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945" yWindow="435" windowWidth="15570" windowHeight="11760"/>
  </bookViews>
  <sheets>
    <sheet name="REPLAY  FASHION &amp; ACCESSOIRES " sheetId="24" r:id="rId1"/>
    <sheet name="EURO_Style Master" sheetId="6" state="hidden" r:id="rId2"/>
  </sheets>
  <definedNames>
    <definedName name="_xlnm._FilterDatabase" localSheetId="1" hidden="1">'EURO_Style Master'!$C$1:$U$1</definedName>
    <definedName name="_xlnm._FilterDatabase" localSheetId="0" hidden="1">'REPLAY  FASHION &amp; ACCESSOIRES '!$C$2:$AE$2</definedName>
    <definedName name="DateOrderRaise">#REF!</definedName>
    <definedName name="PurchaseOrderNumber">#REF!</definedName>
    <definedName name="Vendor">#REF!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3" i="24" l="1"/>
  <c r="AG3" i="24"/>
  <c r="AC4" i="24"/>
  <c r="AG4" i="24"/>
  <c r="AC5" i="24"/>
  <c r="AG5" i="24"/>
  <c r="AC6" i="24"/>
  <c r="AG6" i="24"/>
  <c r="AC8" i="24"/>
  <c r="AG8" i="24"/>
  <c r="AC9" i="24"/>
  <c r="AG9" i="24"/>
  <c r="AC10" i="24"/>
  <c r="AG10" i="24"/>
  <c r="AC11" i="24"/>
  <c r="AG11" i="24"/>
  <c r="AG13" i="24"/>
  <c r="AG14" i="24"/>
  <c r="AG15" i="24"/>
  <c r="AC17" i="24"/>
  <c r="AG17" i="24"/>
  <c r="AC18" i="24"/>
  <c r="AG18" i="24"/>
  <c r="AC19" i="24"/>
  <c r="AG19" i="24"/>
  <c r="AC20" i="24"/>
  <c r="AG20" i="24"/>
  <c r="AC21" i="24"/>
  <c r="AG21" i="24"/>
  <c r="AC23" i="24"/>
  <c r="AG23" i="24"/>
  <c r="AC24" i="24"/>
  <c r="AG24" i="24"/>
  <c r="AC26" i="24"/>
  <c r="AG26" i="24"/>
  <c r="AG27" i="24"/>
  <c r="AF3" i="24"/>
  <c r="AF4" i="24"/>
  <c r="AF5" i="24"/>
  <c r="AF6" i="24"/>
  <c r="AF8" i="24"/>
  <c r="AF9" i="24"/>
  <c r="AF10" i="24"/>
  <c r="AF11" i="24"/>
  <c r="AF13" i="24"/>
  <c r="AF14" i="24"/>
  <c r="AF15" i="24"/>
  <c r="AF17" i="24"/>
  <c r="AF18" i="24"/>
  <c r="AF19" i="24"/>
  <c r="AF20" i="24"/>
  <c r="AF21" i="24"/>
  <c r="AF23" i="24"/>
  <c r="AF24" i="24"/>
  <c r="AF26" i="24"/>
  <c r="AF27" i="24"/>
  <c r="AC27" i="24"/>
  <c r="D23932" i="6"/>
  <c r="D23931" i="6"/>
  <c r="D23930" i="6"/>
  <c r="D23929" i="6"/>
  <c r="D23927" i="6"/>
  <c r="D23926" i="6"/>
  <c r="D23925" i="6"/>
  <c r="D23924" i="6"/>
  <c r="D23923" i="6"/>
  <c r="D23922" i="6"/>
  <c r="D23921" i="6"/>
  <c r="D23920" i="6"/>
  <c r="D23919" i="6"/>
  <c r="D23918" i="6"/>
  <c r="D23917" i="6"/>
  <c r="D23916" i="6"/>
  <c r="D23915" i="6"/>
  <c r="D23914" i="6"/>
  <c r="D23913" i="6"/>
  <c r="D23912" i="6"/>
  <c r="D23911" i="6"/>
  <c r="D23910" i="6"/>
  <c r="D23909" i="6"/>
  <c r="D23908" i="6"/>
  <c r="D23907" i="6"/>
  <c r="D23906" i="6"/>
  <c r="D23905" i="6"/>
  <c r="D23904" i="6"/>
  <c r="D23903" i="6"/>
  <c r="D23902" i="6"/>
  <c r="D23901" i="6"/>
  <c r="D23900" i="6"/>
  <c r="D23899" i="6"/>
  <c r="D23898" i="6"/>
  <c r="D23897" i="6"/>
  <c r="D23896" i="6"/>
  <c r="D23895" i="6"/>
  <c r="D23894" i="6"/>
  <c r="D23893" i="6"/>
  <c r="D23892" i="6"/>
  <c r="D23891" i="6"/>
  <c r="D23890" i="6"/>
  <c r="D23889" i="6"/>
  <c r="D23888" i="6"/>
  <c r="D23887" i="6"/>
  <c r="D23886" i="6"/>
  <c r="D23885" i="6"/>
  <c r="D23884" i="6"/>
  <c r="D23883" i="6"/>
  <c r="D23882" i="6"/>
  <c r="D23881" i="6"/>
  <c r="D23880" i="6"/>
  <c r="D23879" i="6"/>
  <c r="D23878" i="6"/>
  <c r="D23877" i="6"/>
  <c r="D23876" i="6"/>
  <c r="D23875" i="6"/>
  <c r="D23874" i="6"/>
  <c r="D23873" i="6"/>
  <c r="D23872" i="6"/>
  <c r="D23871" i="6"/>
  <c r="D23870" i="6"/>
  <c r="D23869" i="6"/>
  <c r="D23868" i="6"/>
  <c r="D23867" i="6"/>
  <c r="D23866" i="6"/>
  <c r="D23865" i="6"/>
  <c r="D23864" i="6"/>
  <c r="D23863" i="6"/>
  <c r="D23862" i="6"/>
  <c r="D23861" i="6"/>
  <c r="D23860" i="6"/>
  <c r="D23859" i="6"/>
  <c r="D23858" i="6"/>
  <c r="D23857" i="6"/>
  <c r="D23856" i="6"/>
  <c r="D23855" i="6"/>
  <c r="D23854" i="6"/>
  <c r="D23853" i="6"/>
  <c r="D23852" i="6"/>
  <c r="D23851" i="6"/>
  <c r="D23850" i="6"/>
  <c r="D23849" i="6"/>
  <c r="D23848" i="6"/>
  <c r="D23847" i="6"/>
  <c r="D23846" i="6"/>
  <c r="D23845" i="6"/>
  <c r="D23844" i="6"/>
  <c r="D23843" i="6"/>
  <c r="D23842" i="6"/>
  <c r="D23841" i="6"/>
  <c r="D23840" i="6"/>
  <c r="D23839" i="6"/>
  <c r="D23838" i="6"/>
  <c r="D23837" i="6"/>
  <c r="D23836" i="6"/>
  <c r="D23835" i="6"/>
  <c r="D23834" i="6"/>
  <c r="D23833" i="6"/>
  <c r="D23832" i="6"/>
  <c r="D23831" i="6"/>
  <c r="D23830" i="6"/>
  <c r="D23829" i="6"/>
  <c r="D23828" i="6"/>
  <c r="D23827" i="6"/>
  <c r="D23826" i="6"/>
  <c r="D23825" i="6"/>
  <c r="D23824" i="6"/>
  <c r="D23823" i="6"/>
  <c r="D23822" i="6"/>
  <c r="D23821" i="6"/>
  <c r="D23820" i="6"/>
  <c r="D23819" i="6"/>
  <c r="D23818" i="6"/>
  <c r="D23817" i="6"/>
  <c r="D23816" i="6"/>
  <c r="D23815" i="6"/>
  <c r="D23814" i="6"/>
  <c r="D23813" i="6"/>
  <c r="D23812" i="6"/>
  <c r="D23811" i="6"/>
  <c r="D23810" i="6"/>
  <c r="D23809" i="6"/>
  <c r="D23808" i="6"/>
  <c r="D23807" i="6"/>
  <c r="D23806" i="6"/>
  <c r="D23805" i="6"/>
  <c r="D23804" i="6"/>
  <c r="D23803" i="6"/>
  <c r="D23802" i="6"/>
  <c r="D23801" i="6"/>
  <c r="D23800" i="6"/>
  <c r="D23799" i="6"/>
  <c r="D23798" i="6"/>
  <c r="D23797" i="6"/>
  <c r="D23796" i="6"/>
  <c r="D23795" i="6"/>
  <c r="D23794" i="6"/>
  <c r="D23793" i="6"/>
  <c r="D23792" i="6"/>
  <c r="D23791" i="6"/>
  <c r="D23790" i="6"/>
  <c r="D23789" i="6"/>
  <c r="D23788" i="6"/>
  <c r="D23787" i="6"/>
  <c r="D23786" i="6"/>
  <c r="D23785" i="6"/>
  <c r="D23784" i="6"/>
  <c r="D23783" i="6"/>
  <c r="D23782" i="6"/>
  <c r="D23781" i="6"/>
  <c r="D23780" i="6"/>
  <c r="D23779" i="6"/>
  <c r="D23778" i="6"/>
  <c r="D23777" i="6"/>
  <c r="D23776" i="6"/>
  <c r="D23775" i="6"/>
  <c r="D23774" i="6"/>
  <c r="D23773" i="6"/>
  <c r="D23772" i="6"/>
  <c r="D23771" i="6"/>
  <c r="D23770" i="6"/>
  <c r="D23769" i="6"/>
  <c r="D23768" i="6"/>
  <c r="D23767" i="6"/>
  <c r="D23766" i="6"/>
  <c r="D23765" i="6"/>
  <c r="D23764" i="6"/>
  <c r="D23763" i="6"/>
  <c r="D23762" i="6"/>
  <c r="D23761" i="6"/>
  <c r="D23760" i="6"/>
  <c r="D23759" i="6"/>
  <c r="D23758" i="6"/>
  <c r="D23757" i="6"/>
  <c r="D23756" i="6"/>
  <c r="D23755" i="6"/>
  <c r="D23754" i="6"/>
  <c r="D23753" i="6"/>
  <c r="D23752" i="6"/>
  <c r="D23751" i="6"/>
  <c r="D23750" i="6"/>
  <c r="D23749" i="6"/>
  <c r="D23748" i="6"/>
  <c r="D23747" i="6"/>
  <c r="D23746" i="6"/>
  <c r="D23745" i="6"/>
  <c r="D23744" i="6"/>
  <c r="D23743" i="6"/>
  <c r="D23742" i="6"/>
  <c r="D23741" i="6"/>
  <c r="D23740" i="6"/>
  <c r="D23739" i="6"/>
  <c r="D23738" i="6"/>
  <c r="D23737" i="6"/>
  <c r="D23736" i="6"/>
  <c r="D23735" i="6"/>
  <c r="D23734" i="6"/>
  <c r="D23733" i="6"/>
  <c r="D23732" i="6"/>
  <c r="D23731" i="6"/>
  <c r="D23730" i="6"/>
  <c r="D23729" i="6"/>
  <c r="D23728" i="6"/>
  <c r="D23727" i="6"/>
  <c r="D23726" i="6"/>
  <c r="D23725" i="6"/>
  <c r="D23724" i="6"/>
  <c r="D23723" i="6"/>
  <c r="D23722" i="6"/>
  <c r="D23721" i="6"/>
  <c r="D23720" i="6"/>
  <c r="D23719" i="6"/>
  <c r="D23718" i="6"/>
  <c r="D23717" i="6"/>
  <c r="D23716" i="6"/>
  <c r="D23715" i="6"/>
  <c r="D23714" i="6"/>
  <c r="D23713" i="6"/>
  <c r="D23712" i="6"/>
  <c r="D23711" i="6"/>
  <c r="D23710" i="6"/>
  <c r="D23709" i="6"/>
  <c r="D23708" i="6"/>
  <c r="D23707" i="6"/>
  <c r="D23706" i="6"/>
  <c r="D23705" i="6"/>
  <c r="D23704" i="6"/>
  <c r="D23703" i="6"/>
  <c r="D23702" i="6"/>
  <c r="D23701" i="6"/>
  <c r="D23699" i="6"/>
  <c r="D23698" i="6"/>
  <c r="D23697" i="6"/>
  <c r="D23696" i="6"/>
  <c r="D23695" i="6"/>
  <c r="D23694" i="6"/>
  <c r="D23693" i="6"/>
  <c r="D23692" i="6"/>
  <c r="D23691" i="6"/>
  <c r="D23690" i="6"/>
  <c r="D23689" i="6"/>
  <c r="D23688" i="6"/>
  <c r="D23687" i="6"/>
  <c r="D23686" i="6"/>
  <c r="D23685" i="6"/>
  <c r="D23684" i="6"/>
  <c r="D23683" i="6"/>
  <c r="D23682" i="6"/>
  <c r="D23681" i="6"/>
  <c r="D23680" i="6"/>
  <c r="D23679" i="6"/>
  <c r="D23678" i="6"/>
  <c r="D23676" i="6"/>
  <c r="D23675" i="6"/>
  <c r="D23674" i="6"/>
  <c r="D23673" i="6"/>
  <c r="D23672" i="6"/>
  <c r="D23671" i="6"/>
  <c r="D23670" i="6"/>
  <c r="D23669" i="6"/>
  <c r="D23668" i="6"/>
  <c r="D23667" i="6"/>
  <c r="D23666" i="6"/>
  <c r="D23665" i="6"/>
  <c r="D23664" i="6"/>
  <c r="D23663" i="6"/>
  <c r="D23662" i="6"/>
  <c r="D23661" i="6"/>
  <c r="D23660" i="6"/>
  <c r="D23659" i="6"/>
  <c r="D23658" i="6"/>
  <c r="D23657" i="6"/>
  <c r="D23656" i="6"/>
  <c r="D23655" i="6"/>
  <c r="D23654" i="6"/>
  <c r="D23653" i="6"/>
  <c r="D23652" i="6"/>
  <c r="D23650" i="6"/>
  <c r="D23649" i="6"/>
  <c r="D23648" i="6"/>
  <c r="D23647" i="6"/>
  <c r="D23646" i="6"/>
  <c r="D23645" i="6"/>
  <c r="D23644" i="6"/>
  <c r="D23643" i="6"/>
  <c r="D23642" i="6"/>
  <c r="D23641" i="6"/>
  <c r="D23640" i="6"/>
  <c r="D23639" i="6"/>
  <c r="D23638" i="6"/>
  <c r="D23637" i="6"/>
  <c r="D23636" i="6"/>
  <c r="D23635" i="6"/>
  <c r="D23634" i="6"/>
  <c r="D23633" i="6"/>
  <c r="D23632" i="6"/>
  <c r="D23631" i="6"/>
  <c r="D23630" i="6"/>
  <c r="D23629" i="6"/>
  <c r="D23628" i="6"/>
  <c r="D23627" i="6"/>
  <c r="D23626" i="6"/>
  <c r="D23625" i="6"/>
  <c r="D23624" i="6"/>
  <c r="D23623" i="6"/>
  <c r="D23622" i="6"/>
  <c r="D23621" i="6"/>
  <c r="D23620" i="6"/>
  <c r="D23619" i="6"/>
  <c r="D23618" i="6"/>
  <c r="D23617" i="6"/>
  <c r="D23616" i="6"/>
  <c r="D23615" i="6"/>
  <c r="D23614" i="6"/>
  <c r="D23613" i="6"/>
  <c r="D23601" i="6"/>
  <c r="D23594" i="6"/>
  <c r="D23593" i="6"/>
  <c r="D23592" i="6"/>
  <c r="D23591" i="6"/>
  <c r="D23590" i="6"/>
  <c r="D23589" i="6"/>
  <c r="D23588" i="6"/>
  <c r="D23587" i="6"/>
  <c r="D23586" i="6"/>
  <c r="D23585" i="6"/>
  <c r="D23584" i="6"/>
  <c r="D23583" i="6"/>
  <c r="D23582" i="6"/>
  <c r="D23581" i="6"/>
  <c r="D23580" i="6"/>
  <c r="D23579" i="6"/>
  <c r="D23578" i="6"/>
  <c r="D23577" i="6"/>
  <c r="D23576" i="6"/>
  <c r="D23575" i="6"/>
  <c r="D23574" i="6"/>
  <c r="D23573" i="6"/>
  <c r="D23572" i="6"/>
  <c r="D23571" i="6"/>
  <c r="D23570" i="6"/>
  <c r="D23569" i="6"/>
  <c r="D23568" i="6"/>
  <c r="D23567" i="6"/>
  <c r="D23566" i="6"/>
  <c r="D23565" i="6"/>
  <c r="D23564" i="6"/>
  <c r="D23563" i="6"/>
  <c r="D23562" i="6"/>
  <c r="D23539" i="6"/>
  <c r="D23531" i="6"/>
  <c r="D23530" i="6"/>
  <c r="D23529" i="6"/>
  <c r="D23528" i="6"/>
  <c r="D23527" i="6"/>
  <c r="D23526" i="6"/>
  <c r="D23525" i="6"/>
  <c r="D23524" i="6"/>
  <c r="D23523" i="6"/>
  <c r="D23522" i="6"/>
  <c r="D23521" i="6"/>
  <c r="D23520" i="6"/>
  <c r="D23519" i="6"/>
  <c r="D23518" i="6"/>
  <c r="D23517" i="6"/>
  <c r="D23516" i="6"/>
  <c r="D23515" i="6"/>
  <c r="D23514" i="6"/>
  <c r="D23513" i="6"/>
  <c r="D23512" i="6"/>
  <c r="D23511" i="6"/>
  <c r="D23510" i="6"/>
  <c r="D23509" i="6"/>
  <c r="D23508" i="6"/>
  <c r="D23507" i="6"/>
  <c r="D23506" i="6"/>
  <c r="D23505" i="6"/>
  <c r="D23504" i="6"/>
  <c r="D23503" i="6"/>
  <c r="D23501" i="6"/>
  <c r="D23500" i="6"/>
  <c r="D23499" i="6"/>
  <c r="D23498" i="6"/>
  <c r="D23497" i="6"/>
  <c r="D23496" i="6"/>
  <c r="D23495" i="6"/>
  <c r="D23494" i="6"/>
  <c r="D23493" i="6"/>
  <c r="D23492" i="6"/>
  <c r="D23491" i="6"/>
  <c r="D23490" i="6"/>
  <c r="D23489" i="6"/>
  <c r="D23488" i="6"/>
  <c r="D23487" i="6"/>
  <c r="D23486" i="6"/>
  <c r="D23485" i="6"/>
  <c r="D23484" i="6"/>
  <c r="D23483" i="6"/>
  <c r="D23482" i="6"/>
  <c r="D23481" i="6"/>
  <c r="D23480" i="6"/>
  <c r="D23477" i="6"/>
  <c r="D23476" i="6"/>
  <c r="D23475" i="6"/>
  <c r="D23474" i="6"/>
  <c r="D23473" i="6"/>
  <c r="D23467" i="6"/>
  <c r="D23465" i="6"/>
  <c r="D23464" i="6"/>
  <c r="D23463" i="6"/>
  <c r="D23462" i="6"/>
  <c r="D23461" i="6"/>
  <c r="D23460" i="6"/>
  <c r="D23459" i="6"/>
  <c r="D23458" i="6"/>
  <c r="D23457" i="6"/>
  <c r="D23456" i="6"/>
  <c r="D23455" i="6"/>
  <c r="D23454" i="6"/>
  <c r="D23453" i="6"/>
  <c r="D23452" i="6"/>
  <c r="D23451" i="6"/>
  <c r="D23450" i="6"/>
  <c r="D23449" i="6"/>
  <c r="D23448" i="6"/>
  <c r="D23447" i="6"/>
  <c r="D23446" i="6"/>
  <c r="D23445" i="6"/>
  <c r="D23444" i="6"/>
  <c r="D23443" i="6"/>
  <c r="D23442" i="6"/>
  <c r="D23441" i="6"/>
  <c r="D23440" i="6"/>
  <c r="D23439" i="6"/>
  <c r="D23438" i="6"/>
  <c r="D23437" i="6"/>
  <c r="D23436" i="6"/>
  <c r="D23435" i="6"/>
  <c r="D23434" i="6"/>
  <c r="D23433" i="6"/>
  <c r="D23432" i="6"/>
  <c r="D23431" i="6"/>
  <c r="D23430" i="6"/>
  <c r="D23429" i="6"/>
  <c r="D23428" i="6"/>
  <c r="D23427" i="6"/>
  <c r="D23426" i="6"/>
  <c r="D23425" i="6"/>
  <c r="D23424" i="6"/>
  <c r="D23423" i="6"/>
  <c r="D23422" i="6"/>
  <c r="D23421" i="6"/>
  <c r="D23420" i="6"/>
  <c r="D23419" i="6"/>
  <c r="D23418" i="6"/>
  <c r="D23417" i="6"/>
  <c r="D23416" i="6"/>
  <c r="D23415" i="6"/>
  <c r="D23414" i="6"/>
  <c r="D23413" i="6"/>
  <c r="D23412" i="6"/>
  <c r="D23411" i="6"/>
  <c r="D23410" i="6"/>
  <c r="D23409" i="6"/>
  <c r="D23408" i="6"/>
  <c r="D23407" i="6"/>
  <c r="D23406" i="6"/>
  <c r="D23405" i="6"/>
  <c r="D23404" i="6"/>
  <c r="D23403" i="6"/>
  <c r="D23402" i="6"/>
  <c r="D23401" i="6"/>
  <c r="D23400" i="6"/>
  <c r="D23399" i="6"/>
  <c r="D23397" i="6"/>
  <c r="D23396" i="6"/>
  <c r="D23395" i="6"/>
  <c r="D23392" i="6"/>
  <c r="D23389" i="6"/>
  <c r="D23388" i="6"/>
  <c r="D23387" i="6"/>
  <c r="D23386" i="6"/>
  <c r="D23385" i="6"/>
  <c r="D23384" i="6"/>
  <c r="D23383" i="6"/>
  <c r="D23382" i="6"/>
  <c r="D23381" i="6"/>
  <c r="D23380" i="6"/>
  <c r="D23379" i="6"/>
  <c r="D23378" i="6"/>
  <c r="D23377" i="6"/>
  <c r="D23376" i="6"/>
  <c r="D23375" i="6"/>
  <c r="D23374" i="6"/>
  <c r="D23373" i="6"/>
  <c r="D23372" i="6"/>
  <c r="D23371" i="6"/>
  <c r="D23370" i="6"/>
  <c r="D23369" i="6"/>
  <c r="D23368" i="6"/>
  <c r="D23367" i="6"/>
  <c r="D23366" i="6"/>
  <c r="D23365" i="6"/>
  <c r="D23364" i="6"/>
  <c r="D23363" i="6"/>
  <c r="D23362" i="6"/>
  <c r="D23361" i="6"/>
  <c r="D23360" i="6"/>
  <c r="D23359" i="6"/>
  <c r="D23358" i="6"/>
  <c r="D23357" i="6"/>
  <c r="D23356" i="6"/>
  <c r="D23355" i="6"/>
  <c r="D23354" i="6"/>
  <c r="D23353" i="6"/>
  <c r="D23352" i="6"/>
  <c r="D23351" i="6"/>
  <c r="D23350" i="6"/>
  <c r="D23349" i="6"/>
  <c r="D23348" i="6"/>
  <c r="D23347" i="6"/>
  <c r="D23346" i="6"/>
  <c r="D23345" i="6"/>
  <c r="D23344" i="6"/>
  <c r="D23343" i="6"/>
  <c r="D23342" i="6"/>
  <c r="D23341" i="6"/>
  <c r="D23340" i="6"/>
  <c r="D23339" i="6"/>
  <c r="D23338" i="6"/>
  <c r="D23337" i="6"/>
  <c r="D23336" i="6"/>
  <c r="D23335" i="6"/>
  <c r="D23334" i="6"/>
  <c r="D23333" i="6"/>
  <c r="D23332" i="6"/>
  <c r="D23331" i="6"/>
  <c r="D23330" i="6"/>
  <c r="D23329" i="6"/>
  <c r="D23328" i="6"/>
  <c r="D23327" i="6"/>
  <c r="D23326" i="6"/>
  <c r="D23325" i="6"/>
  <c r="D23324" i="6"/>
  <c r="D23323" i="6"/>
  <c r="D23322" i="6"/>
  <c r="D23321" i="6"/>
  <c r="D23320" i="6"/>
  <c r="D23319" i="6"/>
  <c r="D23318" i="6"/>
  <c r="D23317" i="6"/>
  <c r="D23316" i="6"/>
  <c r="D23315" i="6"/>
  <c r="D23314" i="6"/>
  <c r="D23313" i="6"/>
  <c r="D23312" i="6"/>
  <c r="D23311" i="6"/>
  <c r="D23310" i="6"/>
  <c r="D23309" i="6"/>
  <c r="D23308" i="6"/>
  <c r="D23307" i="6"/>
  <c r="D23306" i="6"/>
  <c r="D23305" i="6"/>
  <c r="D23304" i="6"/>
  <c r="D23303" i="6"/>
  <c r="D23302" i="6"/>
  <c r="D23301" i="6"/>
  <c r="D23300" i="6"/>
  <c r="D23299" i="6"/>
  <c r="D23298" i="6"/>
  <c r="D23297" i="6"/>
  <c r="D23296" i="6"/>
  <c r="D23295" i="6"/>
  <c r="D23294" i="6"/>
  <c r="D23293" i="6"/>
  <c r="D23292" i="6"/>
  <c r="D23291" i="6"/>
  <c r="D23290" i="6"/>
  <c r="D23289" i="6"/>
  <c r="D23288" i="6"/>
  <c r="D23287" i="6"/>
  <c r="D23286" i="6"/>
  <c r="D23285" i="6"/>
  <c r="D23284" i="6"/>
  <c r="D23283" i="6"/>
  <c r="D23282" i="6"/>
  <c r="D23281" i="6"/>
  <c r="D23280" i="6"/>
  <c r="D23279" i="6"/>
  <c r="D23278" i="6"/>
  <c r="D23277" i="6"/>
  <c r="D23276" i="6"/>
  <c r="D23275" i="6"/>
  <c r="D23274" i="6"/>
  <c r="D23273" i="6"/>
  <c r="D23272" i="6"/>
  <c r="D23271" i="6"/>
  <c r="D23270" i="6"/>
  <c r="D23269" i="6"/>
  <c r="D23268" i="6"/>
  <c r="D23267" i="6"/>
  <c r="D23266" i="6"/>
  <c r="D23265" i="6"/>
  <c r="D23264" i="6"/>
  <c r="D23263" i="6"/>
  <c r="D23262" i="6"/>
  <c r="D23261" i="6"/>
  <c r="D23260" i="6"/>
  <c r="D23259" i="6"/>
  <c r="D23258" i="6"/>
  <c r="D23257" i="6"/>
  <c r="D23256" i="6"/>
  <c r="D23255" i="6"/>
  <c r="D23238" i="6"/>
  <c r="D23236" i="6"/>
  <c r="D23231" i="6"/>
  <c r="D23229" i="6"/>
  <c r="D23228" i="6"/>
  <c r="D23187" i="6"/>
  <c r="D23186" i="6"/>
  <c r="D23185" i="6"/>
  <c r="D23184" i="6"/>
  <c r="D23183" i="6"/>
  <c r="D23182" i="6"/>
  <c r="D23181" i="6"/>
  <c r="D23180" i="6"/>
  <c r="D23179" i="6"/>
  <c r="D23178" i="6"/>
  <c r="D23177" i="6"/>
  <c r="D23176" i="6"/>
  <c r="D23175" i="6"/>
  <c r="D23174" i="6"/>
  <c r="D23173" i="6"/>
  <c r="D23172" i="6"/>
  <c r="D23171" i="6"/>
  <c r="D23170" i="6"/>
  <c r="D23169" i="6"/>
  <c r="D23168" i="6"/>
  <c r="D23167" i="6"/>
  <c r="D23166" i="6"/>
  <c r="D23165" i="6"/>
  <c r="D23164" i="6"/>
  <c r="D23163" i="6"/>
  <c r="D23162" i="6"/>
  <c r="D23161" i="6"/>
  <c r="D23160" i="6"/>
  <c r="D23159" i="6"/>
  <c r="D23158" i="6"/>
  <c r="D23157" i="6"/>
  <c r="D23156" i="6"/>
  <c r="D23155" i="6"/>
  <c r="D23154" i="6"/>
  <c r="D23153" i="6"/>
  <c r="D23152" i="6"/>
  <c r="D23151" i="6"/>
  <c r="D23150" i="6"/>
  <c r="D23149" i="6"/>
  <c r="D23148" i="6"/>
  <c r="D23147" i="6"/>
  <c r="D23146" i="6"/>
  <c r="D23145" i="6"/>
  <c r="D23144" i="6"/>
  <c r="D23143" i="6"/>
  <c r="D23142" i="6"/>
  <c r="D23141" i="6"/>
  <c r="D23140" i="6"/>
  <c r="D23139" i="6"/>
  <c r="D23138" i="6"/>
  <c r="D23137" i="6"/>
  <c r="D23136" i="6"/>
  <c r="D23135" i="6"/>
  <c r="D23134" i="6"/>
  <c r="D23133" i="6"/>
  <c r="D23132" i="6"/>
  <c r="D23131" i="6"/>
  <c r="D23130" i="6"/>
  <c r="D23129" i="6"/>
  <c r="D23128" i="6"/>
  <c r="D23127" i="6"/>
  <c r="D23126" i="6"/>
  <c r="D23125" i="6"/>
  <c r="D23124" i="6"/>
  <c r="D23123" i="6"/>
  <c r="D23122" i="6"/>
  <c r="D23121" i="6"/>
  <c r="D23120" i="6"/>
  <c r="D23119" i="6"/>
  <c r="D23118" i="6"/>
  <c r="D23117" i="6"/>
  <c r="D23116" i="6"/>
  <c r="D23115" i="6"/>
  <c r="D23114" i="6"/>
  <c r="D23113" i="6"/>
  <c r="D23112" i="6"/>
  <c r="D23111" i="6"/>
  <c r="D23110" i="6"/>
  <c r="D23109" i="6"/>
  <c r="D23108" i="6"/>
  <c r="D23107" i="6"/>
  <c r="D23106" i="6"/>
  <c r="D23105" i="6"/>
  <c r="D23104" i="6"/>
  <c r="D23103" i="6"/>
  <c r="D23102" i="6"/>
  <c r="D23101" i="6"/>
  <c r="D23100" i="6"/>
  <c r="D23099" i="6"/>
  <c r="D23098" i="6"/>
  <c r="D23097" i="6"/>
  <c r="D23096" i="6"/>
  <c r="D23095" i="6"/>
  <c r="D23094" i="6"/>
  <c r="D23093" i="6"/>
  <c r="D23092" i="6"/>
  <c r="D23091" i="6"/>
  <c r="D23090" i="6"/>
  <c r="D23089" i="6"/>
  <c r="D23088" i="6"/>
  <c r="D23087" i="6"/>
  <c r="D23086" i="6"/>
  <c r="D23085" i="6"/>
  <c r="D23084" i="6"/>
  <c r="D23083" i="6"/>
  <c r="D23082" i="6"/>
  <c r="D23081" i="6"/>
  <c r="D23080" i="6"/>
  <c r="D23079" i="6"/>
  <c r="D23078" i="6"/>
  <c r="D23077" i="6"/>
  <c r="D23076" i="6"/>
  <c r="D23075" i="6"/>
  <c r="D23074" i="6"/>
  <c r="D23073" i="6"/>
  <c r="D23072" i="6"/>
  <c r="D23070" i="6"/>
  <c r="D23069" i="6"/>
  <c r="D23068" i="6"/>
  <c r="D23067" i="6"/>
  <c r="D23066" i="6"/>
  <c r="D23065" i="6"/>
  <c r="D23064" i="6"/>
  <c r="D23063" i="6"/>
  <c r="D23062" i="6"/>
  <c r="D23061" i="6"/>
  <c r="D23060" i="6"/>
  <c r="D23059" i="6"/>
  <c r="D23057" i="6"/>
  <c r="D23056" i="6"/>
  <c r="D23055" i="6"/>
  <c r="D23054" i="6"/>
  <c r="D23053" i="6"/>
  <c r="D23052" i="6"/>
  <c r="D23051" i="6"/>
  <c r="D23050" i="6"/>
  <c r="D23049" i="6"/>
  <c r="D23048" i="6"/>
  <c r="D23047" i="6"/>
  <c r="D23046" i="6"/>
  <c r="D23045" i="6"/>
  <c r="D23025" i="6"/>
  <c r="D23023" i="6"/>
  <c r="D23018" i="6"/>
  <c r="D23017" i="6"/>
  <c r="D23014" i="6"/>
  <c r="D23013" i="6"/>
  <c r="D23012" i="6"/>
  <c r="D23011" i="6"/>
  <c r="D23010" i="6"/>
  <c r="D23009" i="6"/>
  <c r="D23008" i="6"/>
  <c r="D23007" i="6"/>
  <c r="D23006" i="6"/>
  <c r="D23005" i="6"/>
  <c r="D23004" i="6"/>
  <c r="D23003" i="6"/>
  <c r="D23002" i="6"/>
  <c r="D23001" i="6"/>
  <c r="D23000" i="6"/>
  <c r="D22999" i="6"/>
  <c r="D22998" i="6"/>
  <c r="D22997" i="6"/>
  <c r="D22996" i="6"/>
  <c r="D22995" i="6"/>
  <c r="D22994" i="6"/>
  <c r="D22993" i="6"/>
  <c r="D22992" i="6"/>
  <c r="D22991" i="6"/>
  <c r="D22990" i="6"/>
  <c r="D22989" i="6"/>
  <c r="D22988" i="6"/>
  <c r="D22987" i="6"/>
  <c r="D22986" i="6"/>
  <c r="D22985" i="6"/>
  <c r="D22984" i="6"/>
  <c r="D22983" i="6"/>
  <c r="D22982" i="6"/>
  <c r="D22981" i="6"/>
  <c r="D22980" i="6"/>
  <c r="D22979" i="6"/>
  <c r="D22978" i="6"/>
  <c r="D22977" i="6"/>
  <c r="D22976" i="6"/>
  <c r="D22975" i="6"/>
  <c r="D22974" i="6"/>
  <c r="D22973" i="6"/>
  <c r="D22972" i="6"/>
  <c r="D22971" i="6"/>
  <c r="D22890" i="6"/>
  <c r="D22889" i="6"/>
  <c r="D22887" i="6"/>
  <c r="D22885" i="6"/>
  <c r="D22881" i="6"/>
  <c r="D22879" i="6"/>
  <c r="D22878" i="6"/>
  <c r="D22869" i="6"/>
  <c r="D22868" i="6"/>
  <c r="D22858" i="6"/>
  <c r="D22854" i="6"/>
  <c r="D22846" i="6"/>
  <c r="D22843" i="6"/>
  <c r="D22841" i="6"/>
  <c r="D22840" i="6"/>
  <c r="D22839" i="6"/>
  <c r="D22838" i="6"/>
  <c r="D22836" i="6"/>
  <c r="D22835" i="6"/>
  <c r="D22834" i="6"/>
  <c r="D22833" i="6"/>
  <c r="D22824" i="6"/>
  <c r="D22823" i="6"/>
  <c r="D22815" i="6"/>
  <c r="D22814" i="6"/>
  <c r="D22792" i="6"/>
  <c r="D22789" i="6"/>
  <c r="D22788" i="6"/>
  <c r="D22785" i="6"/>
  <c r="D22777" i="6"/>
  <c r="D22772" i="6"/>
  <c r="D22771" i="6"/>
  <c r="D22764" i="6"/>
  <c r="D22762" i="6"/>
  <c r="D22755" i="6"/>
  <c r="D22753" i="6"/>
  <c r="D22752" i="6"/>
  <c r="D22751" i="6"/>
  <c r="D22750" i="6"/>
  <c r="D22749" i="6"/>
  <c r="D22748" i="6"/>
  <c r="D22747" i="6"/>
  <c r="D22746" i="6"/>
  <c r="D22745" i="6"/>
  <c r="D22744" i="6"/>
  <c r="D22743" i="6"/>
  <c r="D22742" i="6"/>
  <c r="D22741" i="6"/>
  <c r="D22740" i="6"/>
  <c r="D22739" i="6"/>
  <c r="D22738" i="6"/>
  <c r="D22737" i="6"/>
  <c r="D22736" i="6"/>
  <c r="D22735" i="6"/>
  <c r="D22734" i="6"/>
  <c r="D22733" i="6"/>
  <c r="D22732" i="6"/>
  <c r="D22731" i="6"/>
  <c r="D22730" i="6"/>
  <c r="D22729" i="6"/>
  <c r="D22728" i="6"/>
  <c r="D22727" i="6"/>
  <c r="D22726" i="6"/>
  <c r="D22725" i="6"/>
  <c r="D22724" i="6"/>
  <c r="D22723" i="6"/>
  <c r="D22722" i="6"/>
  <c r="D22721" i="6"/>
  <c r="D22720" i="6"/>
  <c r="D22719" i="6"/>
  <c r="D22718" i="6"/>
  <c r="D22717" i="6"/>
  <c r="D22716" i="6"/>
  <c r="D22715" i="6"/>
  <c r="D22714" i="6"/>
  <c r="D22713" i="6"/>
  <c r="D22712" i="6"/>
  <c r="D22711" i="6"/>
  <c r="D22710" i="6"/>
  <c r="D22709" i="6"/>
  <c r="D22708" i="6"/>
  <c r="D22707" i="6"/>
  <c r="D22706" i="6"/>
  <c r="D22705" i="6"/>
  <c r="D22704" i="6"/>
  <c r="D22703" i="6"/>
  <c r="D22702" i="6"/>
  <c r="D22701" i="6"/>
  <c r="D22700" i="6"/>
  <c r="D22699" i="6"/>
  <c r="D22698" i="6"/>
  <c r="D22697" i="6"/>
  <c r="D22696" i="6"/>
  <c r="D22695" i="6"/>
  <c r="D22694" i="6"/>
  <c r="D22693" i="6"/>
  <c r="D22692" i="6"/>
  <c r="D22691" i="6"/>
  <c r="D22690" i="6"/>
  <c r="D22688" i="6"/>
  <c r="D22687" i="6"/>
  <c r="D22686" i="6"/>
  <c r="D22685" i="6"/>
  <c r="D22684" i="6"/>
  <c r="D22683" i="6"/>
  <c r="D22682" i="6"/>
  <c r="D22681" i="6"/>
  <c r="D22680" i="6"/>
  <c r="D22679" i="6"/>
  <c r="D22678" i="6"/>
  <c r="D22677" i="6"/>
  <c r="D22676" i="6"/>
  <c r="D22675" i="6"/>
  <c r="D22674" i="6"/>
  <c r="D22673" i="6"/>
  <c r="D22672" i="6"/>
  <c r="D22671" i="6"/>
  <c r="D22670" i="6"/>
  <c r="D22669" i="6"/>
  <c r="D22668" i="6"/>
  <c r="D22667" i="6"/>
  <c r="D22666" i="6"/>
  <c r="D22665" i="6"/>
  <c r="D22664" i="6"/>
  <c r="D22663" i="6"/>
  <c r="D22662" i="6"/>
  <c r="D22661" i="6"/>
  <c r="D22660" i="6"/>
  <c r="D22659" i="6"/>
  <c r="D22658" i="6"/>
  <c r="D22657" i="6"/>
  <c r="D22656" i="6"/>
  <c r="D22655" i="6"/>
  <c r="D22654" i="6"/>
  <c r="D22653" i="6"/>
  <c r="D22652" i="6"/>
  <c r="D22651" i="6"/>
  <c r="D22650" i="6"/>
  <c r="D22649" i="6"/>
  <c r="D22648" i="6"/>
  <c r="D22647" i="6"/>
  <c r="D22646" i="6"/>
  <c r="D22645" i="6"/>
  <c r="D22644" i="6"/>
  <c r="D22643" i="6"/>
  <c r="D22642" i="6"/>
  <c r="D22641" i="6"/>
  <c r="D22640" i="6"/>
  <c r="D22639" i="6"/>
  <c r="D22638" i="6"/>
  <c r="D22637" i="6"/>
  <c r="D22630" i="6"/>
  <c r="D22599" i="6"/>
  <c r="D22598" i="6"/>
  <c r="D22597" i="6"/>
  <c r="D22596" i="6"/>
  <c r="D22595" i="6"/>
  <c r="D22594" i="6"/>
  <c r="D22593" i="6"/>
  <c r="D22591" i="6"/>
  <c r="D22590" i="6"/>
  <c r="D22589" i="6"/>
  <c r="D22588" i="6"/>
  <c r="D22587" i="6"/>
  <c r="D22586" i="6"/>
  <c r="D22585" i="6"/>
  <c r="D22584" i="6"/>
  <c r="D22583" i="6"/>
  <c r="D22582" i="6"/>
  <c r="D22580" i="6"/>
  <c r="D22578" i="6"/>
  <c r="D22576" i="6"/>
  <c r="D22575" i="6"/>
  <c r="D22574" i="6"/>
  <c r="D22569" i="6"/>
  <c r="D22568" i="6"/>
  <c r="D22567" i="6"/>
  <c r="D22565" i="6"/>
  <c r="D22560" i="6"/>
  <c r="D22541" i="6"/>
  <c r="D22540" i="6"/>
  <c r="D22539" i="6"/>
  <c r="D22538" i="6"/>
  <c r="D22537" i="6"/>
  <c r="D22536" i="6"/>
  <c r="D22535" i="6"/>
  <c r="D22534" i="6"/>
  <c r="D22506" i="6"/>
  <c r="D22505" i="6"/>
  <c r="D22504" i="6"/>
  <c r="D22503" i="6"/>
  <c r="D22502" i="6"/>
  <c r="D22501" i="6"/>
  <c r="D22500" i="6"/>
  <c r="D22499" i="6"/>
  <c r="D22498" i="6"/>
  <c r="D22497" i="6"/>
  <c r="D22496" i="6"/>
  <c r="D22495" i="6"/>
  <c r="D22494" i="6"/>
  <c r="D22493" i="6"/>
  <c r="D22492" i="6"/>
  <c r="D22491" i="6"/>
  <c r="D22490" i="6"/>
  <c r="D22489" i="6"/>
  <c r="D22488" i="6"/>
  <c r="D22478" i="6"/>
  <c r="D22477" i="6"/>
  <c r="D22476" i="6"/>
  <c r="D22475" i="6"/>
  <c r="D22474" i="6"/>
  <c r="D22473" i="6"/>
  <c r="D22472" i="6"/>
  <c r="D22471" i="6"/>
  <c r="D22470" i="6"/>
  <c r="D22469" i="6"/>
  <c r="D22468" i="6"/>
  <c r="D22467" i="6"/>
  <c r="D22466" i="6"/>
  <c r="D22465" i="6"/>
  <c r="D22464" i="6"/>
  <c r="D22463" i="6"/>
  <c r="D22462" i="6"/>
  <c r="D22461" i="6"/>
  <c r="D22460" i="6"/>
  <c r="D22459" i="6"/>
  <c r="D22458" i="6"/>
  <c r="D22457" i="6"/>
  <c r="D22456" i="6"/>
  <c r="D22455" i="6"/>
  <c r="D22454" i="6"/>
  <c r="D22453" i="6"/>
  <c r="D22452" i="6"/>
  <c r="D22451" i="6"/>
  <c r="D22450" i="6"/>
  <c r="D22449" i="6"/>
  <c r="D22448" i="6"/>
  <c r="D22447" i="6"/>
  <c r="D22446" i="6"/>
  <c r="D22445" i="6"/>
  <c r="D22444" i="6"/>
  <c r="D22443" i="6"/>
  <c r="D22442" i="6"/>
  <c r="D22441" i="6"/>
  <c r="D22440" i="6"/>
  <c r="D22439" i="6"/>
  <c r="D22438" i="6"/>
  <c r="D22437" i="6"/>
  <c r="D22436" i="6"/>
  <c r="D22435" i="6"/>
  <c r="D22434" i="6"/>
  <c r="D22433" i="6"/>
  <c r="D22432" i="6"/>
  <c r="D22431" i="6"/>
  <c r="D22430" i="6"/>
  <c r="D22429" i="6"/>
  <c r="D22428" i="6"/>
  <c r="D22427" i="6"/>
  <c r="D22418" i="6"/>
  <c r="D22408" i="6"/>
  <c r="D22390" i="6"/>
  <c r="D22389" i="6"/>
  <c r="D22388" i="6"/>
  <c r="D22387" i="6"/>
  <c r="D22386" i="6"/>
  <c r="D22385" i="6"/>
  <c r="D22384" i="6"/>
  <c r="D22383" i="6"/>
  <c r="D22382" i="6"/>
  <c r="D22381" i="6"/>
  <c r="D22380" i="6"/>
  <c r="D22379" i="6"/>
  <c r="D22378" i="6"/>
  <c r="D22377" i="6"/>
  <c r="D22376" i="6"/>
  <c r="D22375" i="6"/>
  <c r="D22374" i="6"/>
  <c r="D22373" i="6"/>
  <c r="D22372" i="6"/>
  <c r="D22371" i="6"/>
  <c r="D22370" i="6"/>
  <c r="D22369" i="6"/>
  <c r="D22368" i="6"/>
  <c r="D22367" i="6"/>
  <c r="D22366" i="6"/>
  <c r="D22365" i="6"/>
  <c r="D22362" i="6"/>
  <c r="D22361" i="6"/>
  <c r="D22360" i="6"/>
  <c r="D22359" i="6"/>
  <c r="D22358" i="6"/>
  <c r="D22357" i="6"/>
  <c r="D22356" i="6"/>
  <c r="D22355" i="6"/>
  <c r="D22354" i="6"/>
  <c r="D22353" i="6"/>
  <c r="D22352" i="6"/>
  <c r="D22351" i="6"/>
  <c r="D22350" i="6"/>
  <c r="D22349" i="6"/>
  <c r="D22348" i="6"/>
  <c r="D22347" i="6"/>
  <c r="D22346" i="6"/>
  <c r="D22345" i="6"/>
  <c r="D22344" i="6"/>
  <c r="D22343" i="6"/>
  <c r="D22342" i="6"/>
  <c r="D22341" i="6"/>
  <c r="D22340" i="6"/>
  <c r="D22339" i="6"/>
  <c r="D22338" i="6"/>
  <c r="D22337" i="6"/>
  <c r="D22336" i="6"/>
  <c r="D22335" i="6"/>
  <c r="D22334" i="6"/>
  <c r="D22333" i="6"/>
  <c r="D22332" i="6"/>
  <c r="D22331" i="6"/>
  <c r="D22330" i="6"/>
  <c r="D22329" i="6"/>
  <c r="D22328" i="6"/>
  <c r="D22327" i="6"/>
  <c r="D22326" i="6"/>
  <c r="D22325" i="6"/>
  <c r="D22324" i="6"/>
  <c r="D22323" i="6"/>
  <c r="D22322" i="6"/>
  <c r="D22321" i="6"/>
  <c r="D22320" i="6"/>
  <c r="D22319" i="6"/>
  <c r="D22318" i="6"/>
  <c r="D22317" i="6"/>
  <c r="D22316" i="6"/>
  <c r="D22315" i="6"/>
  <c r="D22314" i="6"/>
  <c r="D22313" i="6"/>
  <c r="D22312" i="6"/>
  <c r="D22311" i="6"/>
  <c r="D22310" i="6"/>
  <c r="D22309" i="6"/>
  <c r="D22308" i="6"/>
  <c r="D22307" i="6"/>
  <c r="D22306" i="6"/>
  <c r="D22305" i="6"/>
  <c r="D22304" i="6"/>
  <c r="D22303" i="6"/>
  <c r="D22302" i="6"/>
  <c r="D22301" i="6"/>
  <c r="D22300" i="6"/>
  <c r="D22299" i="6"/>
  <c r="D22298" i="6"/>
  <c r="D22297" i="6"/>
  <c r="D22296" i="6"/>
  <c r="D22295" i="6"/>
  <c r="D22294" i="6"/>
  <c r="D22293" i="6"/>
  <c r="D22292" i="6"/>
  <c r="D22291" i="6"/>
  <c r="D22290" i="6"/>
  <c r="D22289" i="6"/>
  <c r="D22288" i="6"/>
  <c r="D22287" i="6"/>
  <c r="D22286" i="6"/>
  <c r="D22285" i="6"/>
  <c r="D22284" i="6"/>
  <c r="D22283" i="6"/>
  <c r="D22282" i="6"/>
  <c r="D22281" i="6"/>
  <c r="D22280" i="6"/>
  <c r="D22279" i="6"/>
  <c r="D22278" i="6"/>
  <c r="D22277" i="6"/>
  <c r="D22276" i="6"/>
  <c r="D22275" i="6"/>
  <c r="D22274" i="6"/>
  <c r="D22273" i="6"/>
  <c r="D22272" i="6"/>
  <c r="D22271" i="6"/>
  <c r="D22270" i="6"/>
  <c r="D22269" i="6"/>
  <c r="D22268" i="6"/>
  <c r="D22267" i="6"/>
  <c r="D22266" i="6"/>
  <c r="D22265" i="6"/>
  <c r="D22264" i="6"/>
  <c r="D22263" i="6"/>
  <c r="D22262" i="6"/>
  <c r="D22261" i="6"/>
  <c r="D22260" i="6"/>
  <c r="D22259" i="6"/>
  <c r="D22258" i="6"/>
  <c r="D22257" i="6"/>
  <c r="D22256" i="6"/>
  <c r="D22255" i="6"/>
  <c r="D22254" i="6"/>
  <c r="D22253" i="6"/>
  <c r="D22252" i="6"/>
  <c r="D22251" i="6"/>
  <c r="D22250" i="6"/>
  <c r="D22249" i="6"/>
  <c r="D22248" i="6"/>
  <c r="D22247" i="6"/>
  <c r="D22246" i="6"/>
  <c r="D22245" i="6"/>
  <c r="D22244" i="6"/>
  <c r="D22243" i="6"/>
  <c r="D22242" i="6"/>
  <c r="D22241" i="6"/>
  <c r="D22240" i="6"/>
  <c r="D22239" i="6"/>
  <c r="D22238" i="6"/>
  <c r="D22237" i="6"/>
  <c r="D22236" i="6"/>
  <c r="D22235" i="6"/>
  <c r="D22234" i="6"/>
  <c r="D22233" i="6"/>
  <c r="D22232" i="6"/>
  <c r="D22231" i="6"/>
  <c r="D22230" i="6"/>
  <c r="D22229" i="6"/>
  <c r="D22228" i="6"/>
  <c r="D22227" i="6"/>
  <c r="D22226" i="6"/>
  <c r="D22225" i="6"/>
  <c r="D22224" i="6"/>
  <c r="D22223" i="6"/>
  <c r="D22222" i="6"/>
  <c r="D22221" i="6"/>
  <c r="D22209" i="6"/>
  <c r="D22203" i="6"/>
  <c r="D22197" i="6"/>
  <c r="D22195" i="6"/>
  <c r="D22192" i="6"/>
  <c r="D22190" i="6"/>
  <c r="D22187" i="6"/>
  <c r="D22178" i="6"/>
  <c r="D22177" i="6"/>
  <c r="D22176" i="6"/>
  <c r="D22175" i="6"/>
  <c r="D22174" i="6"/>
  <c r="D22173" i="6"/>
  <c r="D22172" i="6"/>
  <c r="D22171" i="6"/>
  <c r="D22170" i="6"/>
  <c r="D22169" i="6"/>
  <c r="D22168" i="6"/>
  <c r="D22167" i="6"/>
  <c r="D22166" i="6"/>
  <c r="D22165" i="6"/>
  <c r="D22164" i="6"/>
  <c r="D22163" i="6"/>
  <c r="D22162" i="6"/>
  <c r="D22161" i="6"/>
  <c r="D22160" i="6"/>
  <c r="D22159" i="6"/>
  <c r="D22158" i="6"/>
  <c r="D22157" i="6"/>
  <c r="D22156" i="6"/>
  <c r="D22155" i="6"/>
  <c r="D22154" i="6"/>
  <c r="D22153" i="6"/>
  <c r="D22152" i="6"/>
  <c r="D22151" i="6"/>
  <c r="D22150" i="6"/>
  <c r="D22149" i="6"/>
  <c r="D22148" i="6"/>
  <c r="D22147" i="6"/>
  <c r="D22146" i="6"/>
  <c r="D22145" i="6"/>
  <c r="D22144" i="6"/>
  <c r="D22143" i="6"/>
  <c r="D22142" i="6"/>
  <c r="D22141" i="6"/>
  <c r="D22140" i="6"/>
  <c r="D22139" i="6"/>
  <c r="D22138" i="6"/>
  <c r="D22137" i="6"/>
  <c r="D22136" i="6"/>
  <c r="D22135" i="6"/>
  <c r="D22134" i="6"/>
  <c r="D22133" i="6"/>
  <c r="D22132" i="6"/>
  <c r="D22131" i="6"/>
  <c r="D22130" i="6"/>
  <c r="D22129" i="6"/>
  <c r="D22128" i="6"/>
  <c r="D22127" i="6"/>
  <c r="D22126" i="6"/>
  <c r="D22125" i="6"/>
  <c r="D22124" i="6"/>
  <c r="D22123" i="6"/>
  <c r="D22122" i="6"/>
  <c r="D22121" i="6"/>
  <c r="D22120" i="6"/>
  <c r="D22119" i="6"/>
  <c r="D22118" i="6"/>
  <c r="D22117" i="6"/>
  <c r="D22116" i="6"/>
  <c r="D22115" i="6"/>
  <c r="D22114" i="6"/>
  <c r="D22113" i="6"/>
  <c r="D22112" i="6"/>
  <c r="D22111" i="6"/>
  <c r="D22110" i="6"/>
  <c r="D22109" i="6"/>
  <c r="D22108" i="6"/>
  <c r="D22107" i="6"/>
  <c r="D22106" i="6"/>
  <c r="D22105" i="6"/>
  <c r="D22104" i="6"/>
  <c r="D22103" i="6"/>
  <c r="D22102" i="6"/>
  <c r="D22101" i="6"/>
  <c r="D22100" i="6"/>
  <c r="D22099" i="6"/>
  <c r="D22098" i="6"/>
  <c r="D22097" i="6"/>
  <c r="D22096" i="6"/>
  <c r="D22095" i="6"/>
  <c r="D22094" i="6"/>
  <c r="D22093" i="6"/>
  <c r="D22092" i="6"/>
  <c r="D22091" i="6"/>
  <c r="D22090" i="6"/>
  <c r="D22089" i="6"/>
  <c r="D22088" i="6"/>
  <c r="D22087" i="6"/>
  <c r="D22086" i="6"/>
  <c r="D22085" i="6"/>
  <c r="D22084" i="6"/>
  <c r="D22083" i="6"/>
  <c r="D22082" i="6"/>
  <c r="D22081" i="6"/>
  <c r="D22080" i="6"/>
  <c r="D22079" i="6"/>
  <c r="D22078" i="6"/>
  <c r="D22077" i="6"/>
  <c r="D22076" i="6"/>
  <c r="D22075" i="6"/>
  <c r="D22074" i="6"/>
  <c r="D22073" i="6"/>
  <c r="D22072" i="6"/>
  <c r="D22071" i="6"/>
  <c r="D22070" i="6"/>
  <c r="D22069" i="6"/>
  <c r="D22068" i="6"/>
  <c r="D22067" i="6"/>
  <c r="D22066" i="6"/>
  <c r="D22065" i="6"/>
  <c r="D22064" i="6"/>
  <c r="D22062" i="6"/>
  <c r="D22061" i="6"/>
  <c r="D22060" i="6"/>
  <c r="D22059" i="6"/>
  <c r="D22058" i="6"/>
  <c r="D22057" i="6"/>
  <c r="D22056" i="6"/>
  <c r="D22055" i="6"/>
  <c r="D22054" i="6"/>
  <c r="D22053" i="6"/>
  <c r="D22052" i="6"/>
  <c r="D22051" i="6"/>
  <c r="D22050" i="6"/>
  <c r="D22049" i="6"/>
  <c r="D22048" i="6"/>
  <c r="D22047" i="6"/>
  <c r="D22046" i="6"/>
  <c r="D22045" i="6"/>
  <c r="D22044" i="6"/>
  <c r="D22043" i="6"/>
  <c r="D22042" i="6"/>
  <c r="D22041" i="6"/>
  <c r="D22040" i="6"/>
  <c r="D22039" i="6"/>
  <c r="D22038" i="6"/>
  <c r="D22037" i="6"/>
  <c r="D22036" i="6"/>
  <c r="D22035" i="6"/>
  <c r="D22034" i="6"/>
  <c r="D22033" i="6"/>
  <c r="D22032" i="6"/>
  <c r="D22031" i="6"/>
  <c r="D22030" i="6"/>
  <c r="D22029" i="6"/>
  <c r="D22028" i="6"/>
  <c r="D22027" i="6"/>
  <c r="D22026" i="6"/>
  <c r="D22025" i="6"/>
  <c r="D22024" i="6"/>
  <c r="D22023" i="6"/>
  <c r="D22022" i="6"/>
  <c r="D22021" i="6"/>
  <c r="D22020" i="6"/>
  <c r="D22019" i="6"/>
  <c r="D22012" i="6"/>
  <c r="D22011" i="6"/>
  <c r="D22010" i="6"/>
  <c r="D22009" i="6"/>
  <c r="D22008" i="6"/>
  <c r="D22007" i="6"/>
  <c r="D22006" i="6"/>
  <c r="D22005" i="6"/>
  <c r="D22004" i="6"/>
  <c r="D22003" i="6"/>
  <c r="D22002" i="6"/>
  <c r="D22001" i="6"/>
  <c r="D22000" i="6"/>
  <c r="D21999" i="6"/>
  <c r="D21998" i="6"/>
  <c r="D21997" i="6"/>
  <c r="D21996" i="6"/>
  <c r="D21995" i="6"/>
  <c r="D21994" i="6"/>
  <c r="D21993" i="6"/>
  <c r="D21991" i="6"/>
  <c r="D21990" i="6"/>
  <c r="D21989" i="6"/>
  <c r="D21987" i="6"/>
  <c r="D21985" i="6"/>
  <c r="D21984" i="6"/>
  <c r="D21983" i="6"/>
  <c r="D21982" i="6"/>
  <c r="D21981" i="6"/>
  <c r="D21980" i="6"/>
  <c r="D21979" i="6"/>
  <c r="D21978" i="6"/>
  <c r="D21977" i="6"/>
  <c r="D21976" i="6"/>
  <c r="D21975" i="6"/>
  <c r="D21974" i="6"/>
  <c r="D21973" i="6"/>
  <c r="D21972" i="6"/>
  <c r="D21971" i="6"/>
  <c r="D21970" i="6"/>
  <c r="D21969" i="6"/>
  <c r="D21968" i="6"/>
  <c r="D21967" i="6"/>
  <c r="D21966" i="6"/>
  <c r="D21965" i="6"/>
  <c r="D21964" i="6"/>
  <c r="D21963" i="6"/>
  <c r="D21962" i="6"/>
  <c r="D21961" i="6"/>
  <c r="D21960" i="6"/>
  <c r="D21959" i="6"/>
  <c r="D21958" i="6"/>
  <c r="D21957" i="6"/>
  <c r="D21956" i="6"/>
  <c r="D21955" i="6"/>
  <c r="D21954" i="6"/>
  <c r="D21953" i="6"/>
  <c r="D21952" i="6"/>
  <c r="D21951" i="6"/>
  <c r="D21950" i="6"/>
  <c r="D21949" i="6"/>
  <c r="D21948" i="6"/>
  <c r="D21947" i="6"/>
  <c r="D21931" i="6"/>
  <c r="D21930" i="6"/>
  <c r="D21929" i="6"/>
  <c r="D21928" i="6"/>
  <c r="D21927" i="6"/>
  <c r="D21926" i="6"/>
  <c r="D21925" i="6"/>
  <c r="D21924" i="6"/>
  <c r="D21923" i="6"/>
  <c r="D21922" i="6"/>
  <c r="D21921" i="6"/>
  <c r="D21920" i="6"/>
  <c r="D21919" i="6"/>
  <c r="D21918" i="6"/>
  <c r="D21917" i="6"/>
  <c r="D21916" i="6"/>
  <c r="D21915" i="6"/>
  <c r="D21914" i="6"/>
  <c r="D21913" i="6"/>
  <c r="D21912" i="6"/>
  <c r="D21911" i="6"/>
  <c r="D21910" i="6"/>
  <c r="D21909" i="6"/>
  <c r="D21908" i="6"/>
  <c r="D21907" i="6"/>
  <c r="D21906" i="6"/>
  <c r="D21905" i="6"/>
  <c r="D21904" i="6"/>
  <c r="D21903" i="6"/>
  <c r="D21902" i="6"/>
  <c r="D21901" i="6"/>
  <c r="D21900" i="6"/>
  <c r="D21899" i="6"/>
  <c r="D21898" i="6"/>
  <c r="D21897" i="6"/>
  <c r="D21896" i="6"/>
  <c r="D21895" i="6"/>
  <c r="D21894" i="6"/>
  <c r="D21893" i="6"/>
  <c r="D21892" i="6"/>
  <c r="D21891" i="6"/>
  <c r="D21890" i="6"/>
  <c r="D21889" i="6"/>
  <c r="D21888" i="6"/>
  <c r="D21887" i="6"/>
  <c r="D21886" i="6"/>
  <c r="D21885" i="6"/>
  <c r="D21884" i="6"/>
  <c r="D21883" i="6"/>
  <c r="D21882" i="6"/>
  <c r="D21881" i="6"/>
  <c r="D21880" i="6"/>
  <c r="D21879" i="6"/>
  <c r="D21878" i="6"/>
  <c r="D21877" i="6"/>
  <c r="D21876" i="6"/>
  <c r="D21875" i="6"/>
  <c r="D21874" i="6"/>
  <c r="D21873" i="6"/>
  <c r="D21872" i="6"/>
  <c r="D21871" i="6"/>
  <c r="D21870" i="6"/>
  <c r="D21869" i="6"/>
  <c r="D21868" i="6"/>
  <c r="D21867" i="6"/>
  <c r="D21866" i="6"/>
  <c r="D21865" i="6"/>
  <c r="D21864" i="6"/>
  <c r="D21863" i="6"/>
  <c r="D21862" i="6"/>
  <c r="D21861" i="6"/>
  <c r="D21860" i="6"/>
  <c r="D21859" i="6"/>
  <c r="D21858" i="6"/>
  <c r="D21857" i="6"/>
  <c r="D21856" i="6"/>
  <c r="D21853" i="6"/>
  <c r="D21846" i="6"/>
  <c r="D21845" i="6"/>
  <c r="D21844" i="6"/>
  <c r="D21837" i="6"/>
  <c r="D21836" i="6"/>
  <c r="D21835" i="6"/>
  <c r="D21832" i="6"/>
  <c r="D21830" i="6"/>
  <c r="D21821" i="6"/>
  <c r="D21818" i="6"/>
  <c r="D21816" i="6"/>
  <c r="D21814" i="6"/>
  <c r="D21810" i="6"/>
  <c r="D21804" i="6"/>
  <c r="D21797" i="6"/>
  <c r="D21796" i="6"/>
  <c r="D21794" i="6"/>
  <c r="D21791" i="6"/>
  <c r="D21786" i="6"/>
  <c r="D21784" i="6"/>
  <c r="D21777" i="6"/>
  <c r="D21775" i="6"/>
  <c r="D21769" i="6"/>
  <c r="D21767" i="6"/>
  <c r="D21761" i="6"/>
  <c r="D21747" i="6"/>
  <c r="D21730" i="6"/>
  <c r="D21729" i="6"/>
  <c r="D21728" i="6"/>
  <c r="D21722" i="6"/>
  <c r="D21721" i="6"/>
  <c r="D21717" i="6"/>
  <c r="D21716" i="6"/>
  <c r="D21713" i="6"/>
  <c r="D21712" i="6"/>
  <c r="D21709" i="6"/>
  <c r="D21708" i="6"/>
  <c r="D21705" i="6"/>
  <c r="D21704" i="6"/>
  <c r="D21701" i="6"/>
  <c r="D21700" i="6"/>
  <c r="D21697" i="6"/>
  <c r="D21696" i="6"/>
  <c r="D21693" i="6"/>
  <c r="D21692" i="6"/>
  <c r="D21689" i="6"/>
  <c r="D21688" i="6"/>
  <c r="D21685" i="6"/>
  <c r="D21684" i="6"/>
  <c r="D21681" i="6"/>
  <c r="D21680" i="6"/>
  <c r="D21677" i="6"/>
  <c r="D21676" i="6"/>
  <c r="D21673" i="6"/>
  <c r="D21672" i="6"/>
  <c r="D21669" i="6"/>
  <c r="D21668" i="6"/>
  <c r="D21665" i="6"/>
  <c r="D21664" i="6"/>
  <c r="D21661" i="6"/>
  <c r="D21660" i="6"/>
  <c r="D21657" i="6"/>
  <c r="D21656" i="6"/>
  <c r="D21653" i="6"/>
  <c r="D21652" i="6"/>
  <c r="D21644" i="6"/>
  <c r="D21630" i="6"/>
  <c r="D21629" i="6"/>
  <c r="D21627" i="6"/>
  <c r="D21626" i="6"/>
  <c r="D21619" i="6"/>
  <c r="D21618" i="6"/>
  <c r="D21607" i="6"/>
  <c r="D21606" i="6"/>
  <c r="D21603" i="6"/>
  <c r="D21602" i="6"/>
  <c r="D21599" i="6"/>
  <c r="D21598" i="6"/>
  <c r="D21595" i="6"/>
  <c r="D21594" i="6"/>
  <c r="D21591" i="6"/>
  <c r="D21590" i="6"/>
  <c r="D21587" i="6"/>
  <c r="D21586" i="6"/>
  <c r="D21583" i="6"/>
  <c r="D21582" i="6"/>
  <c r="D21579" i="6"/>
  <c r="D21578" i="6"/>
  <c r="D21575" i="6"/>
  <c r="D21574" i="6"/>
  <c r="D21571" i="6"/>
  <c r="D21570" i="6"/>
  <c r="D21567" i="6"/>
  <c r="D21566" i="6"/>
  <c r="D21563" i="6"/>
  <c r="D21562" i="6"/>
  <c r="D21559" i="6"/>
  <c r="D21558" i="6"/>
  <c r="D21555" i="6"/>
  <c r="D21554" i="6"/>
  <c r="D21551" i="6"/>
  <c r="D21550" i="6"/>
  <c r="D21547" i="6"/>
  <c r="D21546" i="6"/>
  <c r="D21543" i="6"/>
  <c r="D21542" i="6"/>
  <c r="D21534" i="6"/>
  <c r="D21523" i="6"/>
  <c r="D21522" i="6"/>
  <c r="D21520" i="6"/>
  <c r="D21519" i="6"/>
  <c r="D21512" i="6"/>
  <c r="D21511" i="6"/>
  <c r="D21504" i="6"/>
  <c r="D21503" i="6"/>
  <c r="D21500" i="6"/>
  <c r="D21499" i="6"/>
  <c r="D21496" i="6"/>
  <c r="D21495" i="6"/>
  <c r="D21492" i="6"/>
  <c r="D21491" i="6"/>
  <c r="D21488" i="6"/>
  <c r="D21487" i="6"/>
  <c r="D21484" i="6"/>
  <c r="D21483" i="6"/>
  <c r="D21480" i="6"/>
  <c r="D21479" i="6"/>
  <c r="D21476" i="6"/>
  <c r="D21475" i="6"/>
  <c r="D21472" i="6"/>
  <c r="D21471" i="6"/>
  <c r="D21468" i="6"/>
  <c r="D21467" i="6"/>
  <c r="D21464" i="6"/>
  <c r="D21463" i="6"/>
  <c r="D21460" i="6"/>
  <c r="D21459" i="6"/>
  <c r="D21456" i="6"/>
  <c r="D21455" i="6"/>
  <c r="D21452" i="6"/>
  <c r="D21451" i="6"/>
  <c r="D21448" i="6"/>
  <c r="D21447" i="6"/>
  <c r="D21444" i="6"/>
  <c r="D21443" i="6"/>
  <c r="D21440" i="6"/>
  <c r="D21439" i="6"/>
  <c r="D21431" i="6"/>
  <c r="D21420" i="6"/>
  <c r="D21419" i="6"/>
  <c r="D21417" i="6"/>
  <c r="D21416" i="6"/>
  <c r="D21409" i="6"/>
  <c r="D21408" i="6"/>
  <c r="D21401" i="6"/>
  <c r="D21400" i="6"/>
  <c r="D21397" i="6"/>
  <c r="D21396" i="6"/>
  <c r="D21393" i="6"/>
  <c r="D21392" i="6"/>
  <c r="D21389" i="6"/>
  <c r="D21388" i="6"/>
  <c r="D21385" i="6"/>
  <c r="D21384" i="6"/>
  <c r="D21381" i="6"/>
  <c r="D21380" i="6"/>
  <c r="D21377" i="6"/>
  <c r="D21376" i="6"/>
  <c r="D21373" i="6"/>
  <c r="D21372" i="6"/>
  <c r="D21369" i="6"/>
  <c r="D21368" i="6"/>
  <c r="D21365" i="6"/>
  <c r="D21364" i="6"/>
  <c r="D21361" i="6"/>
  <c r="D21360" i="6"/>
  <c r="D21357" i="6"/>
  <c r="D21356" i="6"/>
  <c r="D21353" i="6"/>
  <c r="D21352" i="6"/>
  <c r="D21349" i="6"/>
  <c r="D21348" i="6"/>
  <c r="D21345" i="6"/>
  <c r="D21344" i="6"/>
  <c r="D21341" i="6"/>
  <c r="D21340" i="6"/>
  <c r="D21337" i="6"/>
  <c r="D21336" i="6"/>
  <c r="D21334" i="6"/>
  <c r="D21323" i="6"/>
  <c r="D21322" i="6"/>
  <c r="D21320" i="6"/>
  <c r="D21319" i="6"/>
  <c r="D21301" i="6"/>
  <c r="D21300" i="6"/>
  <c r="D21298" i="6"/>
  <c r="D21297" i="6"/>
  <c r="D21285" i="6"/>
  <c r="D21284" i="6"/>
  <c r="D21282" i="6"/>
  <c r="D21281" i="6"/>
  <c r="D21263" i="6"/>
  <c r="D21259" i="6"/>
  <c r="D21257" i="6"/>
  <c r="D21228" i="6"/>
  <c r="D21227" i="6"/>
  <c r="D21220" i="6"/>
  <c r="D21219" i="6"/>
  <c r="D21212" i="6"/>
  <c r="D21211" i="6"/>
  <c r="D21203" i="6"/>
  <c r="D21202" i="6"/>
  <c r="D21193" i="6"/>
  <c r="D21192" i="6"/>
  <c r="D21185" i="6"/>
  <c r="D21184" i="6"/>
  <c r="D21177" i="6"/>
  <c r="D21176" i="6"/>
  <c r="D21169" i="6"/>
  <c r="D21168" i="6"/>
  <c r="D21167" i="6"/>
  <c r="D21166" i="6"/>
  <c r="D21165" i="6"/>
  <c r="D21164" i="6"/>
  <c r="D21163" i="6"/>
  <c r="D21162" i="6"/>
  <c r="D21161" i="6"/>
  <c r="D21160" i="6"/>
  <c r="D21159" i="6"/>
  <c r="D21158" i="6"/>
  <c r="D21157" i="6"/>
  <c r="D21156" i="6"/>
  <c r="D21155" i="6"/>
  <c r="D21154" i="6"/>
  <c r="D21153" i="6"/>
  <c r="D21152" i="6"/>
  <c r="D21151" i="6"/>
  <c r="D21150" i="6"/>
  <c r="D21149" i="6"/>
  <c r="D21148" i="6"/>
  <c r="D21147" i="6"/>
  <c r="D21146" i="6"/>
  <c r="D21145" i="6"/>
  <c r="D21144" i="6"/>
  <c r="D21143" i="6"/>
  <c r="D21137" i="6"/>
  <c r="D21131" i="6"/>
  <c r="D21128" i="6"/>
  <c r="D21123" i="6"/>
  <c r="D21115" i="6"/>
  <c r="D21114" i="6"/>
  <c r="D21108" i="6"/>
  <c r="D21097" i="6"/>
  <c r="D21092" i="6"/>
  <c r="D21087" i="6"/>
  <c r="D21082" i="6"/>
  <c r="D21077" i="6"/>
  <c r="D21072" i="6"/>
  <c r="D21067" i="6"/>
  <c r="D21056" i="6"/>
  <c r="D21055" i="6"/>
  <c r="D21054" i="6"/>
  <c r="D21053" i="6"/>
  <c r="D21052" i="6"/>
  <c r="D21051" i="6"/>
  <c r="D21050" i="6"/>
  <c r="D21049" i="6"/>
  <c r="D21048" i="6"/>
  <c r="D21047" i="6"/>
  <c r="D21046" i="6"/>
  <c r="D21045" i="6"/>
  <c r="D21044" i="6"/>
  <c r="D21043" i="6"/>
  <c r="D21042" i="6"/>
  <c r="D21041" i="6"/>
  <c r="D21040" i="6"/>
  <c r="D21039" i="6"/>
  <c r="D21038" i="6"/>
  <c r="D21037" i="6"/>
  <c r="D21036" i="6"/>
  <c r="D21035" i="6"/>
  <c r="D21034" i="6"/>
  <c r="D21033" i="6"/>
  <c r="D21032" i="6"/>
  <c r="D21031" i="6"/>
  <c r="D21030" i="6"/>
  <c r="D21029" i="6"/>
  <c r="D21028" i="6"/>
  <c r="D21027" i="6"/>
  <c r="D21026" i="6"/>
  <c r="D21025" i="6"/>
  <c r="D21024" i="6"/>
  <c r="D21023" i="6"/>
  <c r="D21022" i="6"/>
  <c r="D21021" i="6"/>
  <c r="D21020" i="6"/>
  <c r="D21019" i="6"/>
  <c r="D21018" i="6"/>
  <c r="D21017" i="6"/>
  <c r="D21016" i="6"/>
  <c r="D21015" i="6"/>
  <c r="D21014" i="6"/>
  <c r="D21013" i="6"/>
  <c r="D21012" i="6"/>
  <c r="D21011" i="6"/>
  <c r="D21010" i="6"/>
  <c r="D21009" i="6"/>
  <c r="D21008" i="6"/>
  <c r="D21007" i="6"/>
  <c r="D21006" i="6"/>
  <c r="D21005" i="6"/>
  <c r="D21004" i="6"/>
  <c r="D21002" i="6"/>
  <c r="D21001" i="6"/>
  <c r="D20992" i="6"/>
  <c r="D20991" i="6"/>
  <c r="D20990" i="6"/>
  <c r="D20989" i="6"/>
  <c r="D20988" i="6"/>
  <c r="D20987" i="6"/>
  <c r="D20986" i="6"/>
  <c r="D20985" i="6"/>
  <c r="D20984" i="6"/>
  <c r="D20983" i="6"/>
  <c r="D20982" i="6"/>
  <c r="D20981" i="6"/>
  <c r="D20980" i="6"/>
  <c r="D20979" i="6"/>
  <c r="D20978" i="6"/>
  <c r="D20977" i="6"/>
  <c r="D20976" i="6"/>
  <c r="D20975" i="6"/>
  <c r="D20974" i="6"/>
  <c r="D20973" i="6"/>
  <c r="D20972" i="6"/>
  <c r="D20971" i="6"/>
  <c r="D20970" i="6"/>
  <c r="D20969" i="6"/>
  <c r="D20968" i="6"/>
  <c r="D20967" i="6"/>
  <c r="D20966" i="6"/>
  <c r="D20965" i="6"/>
  <c r="D20964" i="6"/>
  <c r="D20963" i="6"/>
  <c r="D20962" i="6"/>
  <c r="D20961" i="6"/>
  <c r="D20960" i="6"/>
  <c r="D20959" i="6"/>
  <c r="D20958" i="6"/>
  <c r="D20957" i="6"/>
  <c r="D20956" i="6"/>
  <c r="D20955" i="6"/>
  <c r="D20953" i="6"/>
  <c r="D20952" i="6"/>
  <c r="D20951" i="6"/>
  <c r="D20950" i="6"/>
  <c r="D20949" i="6"/>
  <c r="D20948" i="6"/>
  <c r="D20947" i="6"/>
  <c r="D20946" i="6"/>
  <c r="D20945" i="6"/>
  <c r="D20944" i="6"/>
  <c r="D20943" i="6"/>
  <c r="D20942" i="6"/>
  <c r="D20941" i="6"/>
  <c r="D20940" i="6"/>
  <c r="D20939" i="6"/>
  <c r="D20938" i="6"/>
  <c r="D20937" i="6"/>
  <c r="D20936" i="6"/>
  <c r="D20935" i="6"/>
  <c r="D20934" i="6"/>
  <c r="D20933" i="6"/>
  <c r="D20932" i="6"/>
  <c r="D20931" i="6"/>
  <c r="D20930" i="6"/>
  <c r="D20929" i="6"/>
  <c r="D20928" i="6"/>
  <c r="D20927" i="6"/>
  <c r="D20926" i="6"/>
  <c r="D20925" i="6"/>
  <c r="D20921" i="6"/>
  <c r="D20920" i="6"/>
  <c r="D20919" i="6"/>
  <c r="D20918" i="6"/>
  <c r="D20917" i="6"/>
  <c r="D20916" i="6"/>
  <c r="D20915" i="6"/>
  <c r="D20911" i="6"/>
  <c r="D20910" i="6"/>
  <c r="D20909" i="6"/>
  <c r="D20906" i="6"/>
  <c r="D20905" i="6"/>
  <c r="D20902" i="6"/>
  <c r="D20901" i="6"/>
  <c r="D20900" i="6"/>
  <c r="D20899" i="6"/>
  <c r="D20898" i="6"/>
  <c r="D20897" i="6"/>
  <c r="D20896" i="6"/>
  <c r="D20895" i="6"/>
  <c r="D20894" i="6"/>
  <c r="D20893" i="6"/>
  <c r="D20892" i="6"/>
  <c r="D20891" i="6"/>
  <c r="D20890" i="6"/>
  <c r="D20889" i="6"/>
  <c r="D20888" i="6"/>
  <c r="D20887" i="6"/>
  <c r="D20886" i="6"/>
  <c r="D20885" i="6"/>
  <c r="D20884" i="6"/>
  <c r="D20883" i="6"/>
  <c r="D20882" i="6"/>
  <c r="D20881" i="6"/>
  <c r="D20880" i="6"/>
  <c r="D20879" i="6"/>
  <c r="D20878" i="6"/>
  <c r="D20877" i="6"/>
  <c r="D20876" i="6"/>
  <c r="D20875" i="6"/>
  <c r="D20874" i="6"/>
  <c r="D20873" i="6"/>
  <c r="D20872" i="6"/>
  <c r="D20871" i="6"/>
  <c r="D20870" i="6"/>
  <c r="D20869" i="6"/>
  <c r="D20868" i="6"/>
  <c r="D20867" i="6"/>
  <c r="D20866" i="6"/>
  <c r="D20865" i="6"/>
  <c r="D20864" i="6"/>
  <c r="D20861" i="6"/>
  <c r="D20860" i="6"/>
  <c r="D20859" i="6"/>
  <c r="D20858" i="6"/>
  <c r="D20857" i="6"/>
  <c r="D20856" i="6"/>
  <c r="D20855" i="6"/>
  <c r="D20854" i="6"/>
  <c r="D20853" i="6"/>
  <c r="D20852" i="6"/>
  <c r="D20851" i="6"/>
  <c r="D20850" i="6"/>
  <c r="D20849" i="6"/>
  <c r="D20848" i="6"/>
  <c r="D20847" i="6"/>
  <c r="D20846" i="6"/>
  <c r="D20845" i="6"/>
  <c r="D20833" i="6"/>
  <c r="D20832" i="6"/>
  <c r="D20818" i="6"/>
  <c r="D20817" i="6"/>
  <c r="D20816" i="6"/>
  <c r="D20815" i="6"/>
  <c r="D20814" i="6"/>
  <c r="D20813" i="6"/>
  <c r="D20812" i="6"/>
  <c r="D20804" i="6"/>
  <c r="D20803" i="6"/>
  <c r="D20802" i="6"/>
  <c r="D20801" i="6"/>
  <c r="D20800" i="6"/>
  <c r="D20799" i="6"/>
  <c r="D20798" i="6"/>
  <c r="D20797" i="6"/>
  <c r="D20796" i="6"/>
  <c r="D20795" i="6"/>
  <c r="D20794" i="6"/>
  <c r="D20793" i="6"/>
  <c r="D20792" i="6"/>
  <c r="D20790" i="6"/>
  <c r="D20789" i="6"/>
  <c r="D20788" i="6"/>
  <c r="D20787" i="6"/>
  <c r="D20786" i="6"/>
  <c r="D20785" i="6"/>
  <c r="D20782" i="6"/>
  <c r="D20781" i="6"/>
  <c r="D20780" i="6"/>
  <c r="D20779" i="6"/>
  <c r="D20778" i="6"/>
  <c r="D20777" i="6"/>
  <c r="D20776" i="6"/>
  <c r="D20775" i="6"/>
  <c r="D20774" i="6"/>
  <c r="D20773" i="6"/>
  <c r="D20772" i="6"/>
  <c r="D20771" i="6"/>
  <c r="D20770" i="6"/>
  <c r="D20769" i="6"/>
  <c r="D20768" i="6"/>
  <c r="D20767" i="6"/>
  <c r="D20766" i="6"/>
  <c r="D20765" i="6"/>
  <c r="D20764" i="6"/>
  <c r="D20763" i="6"/>
  <c r="D20762" i="6"/>
  <c r="D20761" i="6"/>
  <c r="D20760" i="6"/>
  <c r="D20759" i="6"/>
  <c r="D20758" i="6"/>
  <c r="D20755" i="6"/>
  <c r="D20753" i="6"/>
  <c r="D20752" i="6"/>
  <c r="D20751" i="6"/>
  <c r="D20750" i="6"/>
  <c r="D20749" i="6"/>
  <c r="D20748" i="6"/>
  <c r="D20733" i="6"/>
  <c r="D20732" i="6"/>
  <c r="D20731" i="6"/>
  <c r="D20730" i="6"/>
  <c r="D20729" i="6"/>
  <c r="D20728" i="6"/>
  <c r="D20727" i="6"/>
  <c r="D20726" i="6"/>
  <c r="D20725" i="6"/>
  <c r="D20724" i="6"/>
  <c r="D20723" i="6"/>
  <c r="D20722" i="6"/>
  <c r="D20721" i="6"/>
  <c r="D20720" i="6"/>
  <c r="D20715" i="6"/>
  <c r="D20714" i="6"/>
  <c r="D20713" i="6"/>
  <c r="D20712" i="6"/>
  <c r="D20711" i="6"/>
  <c r="D20710" i="6"/>
  <c r="D20709" i="6"/>
  <c r="D20703" i="6"/>
  <c r="D20702" i="6"/>
  <c r="D20701" i="6"/>
  <c r="D20700" i="6"/>
  <c r="D20699" i="6"/>
  <c r="D20698" i="6"/>
  <c r="D20697" i="6"/>
  <c r="D20696" i="6"/>
  <c r="D20695" i="6"/>
  <c r="D20694" i="6"/>
  <c r="D20693" i="6"/>
  <c r="D20692" i="6"/>
  <c r="D20691" i="6"/>
  <c r="D20690" i="6"/>
  <c r="D20689" i="6"/>
  <c r="D20688" i="6"/>
  <c r="D20687" i="6"/>
  <c r="D20686" i="6"/>
  <c r="D20685" i="6"/>
  <c r="D20684" i="6"/>
  <c r="D20683" i="6"/>
  <c r="D20682" i="6"/>
  <c r="D20681" i="6"/>
  <c r="D20680" i="6"/>
  <c r="D20679" i="6"/>
  <c r="D20678" i="6"/>
  <c r="D20677" i="6"/>
  <c r="D20676" i="6"/>
  <c r="D20675" i="6"/>
  <c r="D20674" i="6"/>
  <c r="D20673" i="6"/>
  <c r="D20672" i="6"/>
  <c r="D20671" i="6"/>
  <c r="D20669" i="6"/>
  <c r="D20668" i="6"/>
  <c r="D20667" i="6"/>
  <c r="D20666" i="6"/>
  <c r="D20665" i="6"/>
  <c r="D20664" i="6"/>
  <c r="D20663" i="6"/>
  <c r="D20662" i="6"/>
  <c r="D20661" i="6"/>
  <c r="D20660" i="6"/>
  <c r="D20659" i="6"/>
  <c r="D20658" i="6"/>
  <c r="D20657" i="6"/>
  <c r="D20656" i="6"/>
  <c r="D20655" i="6"/>
  <c r="D20654" i="6"/>
  <c r="D20653" i="6"/>
  <c r="D20652" i="6"/>
  <c r="D20632" i="6"/>
  <c r="D20618" i="6"/>
  <c r="D20609" i="6"/>
  <c r="D20608" i="6"/>
  <c r="D20592" i="6"/>
  <c r="D20591" i="6"/>
  <c r="D20560" i="6"/>
  <c r="D20556" i="6"/>
  <c r="D20551" i="6"/>
  <c r="D20550" i="6"/>
  <c r="D20543" i="6"/>
  <c r="D20523" i="6"/>
  <c r="D20519" i="6"/>
  <c r="D20516" i="6"/>
  <c r="D20515" i="6"/>
  <c r="D20514" i="6"/>
  <c r="D20513" i="6"/>
  <c r="D20512" i="6"/>
  <c r="D20511" i="6"/>
  <c r="D20510" i="6"/>
  <c r="D20507" i="6"/>
  <c r="D20506" i="6"/>
  <c r="D20505" i="6"/>
  <c r="D20502" i="6"/>
  <c r="D20501" i="6"/>
  <c r="D20500" i="6"/>
  <c r="D20499" i="6"/>
  <c r="D20498" i="6"/>
  <c r="D20497" i="6"/>
  <c r="D20496" i="6"/>
  <c r="D20493" i="6"/>
  <c r="D20492" i="6"/>
  <c r="D20490" i="6"/>
  <c r="D20489" i="6"/>
  <c r="D20488" i="6"/>
  <c r="D20434" i="6"/>
  <c r="D20415" i="6"/>
  <c r="D20412" i="6"/>
  <c r="D20407" i="6"/>
  <c r="D20400" i="6"/>
  <c r="D20397" i="6"/>
  <c r="D20372" i="6"/>
  <c r="D20369" i="6"/>
  <c r="D20366" i="6"/>
  <c r="D20365" i="6"/>
  <c r="D20364" i="6"/>
  <c r="D20363" i="6"/>
  <c r="D20362" i="6"/>
  <c r="D20361" i="6"/>
  <c r="D20360" i="6"/>
  <c r="D20359" i="6"/>
  <c r="D20358" i="6"/>
  <c r="D20357" i="6"/>
  <c r="D20356" i="6"/>
  <c r="D20355" i="6"/>
  <c r="D20354" i="6"/>
  <c r="D20353" i="6"/>
  <c r="D20352" i="6"/>
  <c r="D20351" i="6"/>
  <c r="D20350" i="6"/>
  <c r="D20349" i="6"/>
  <c r="D20348" i="6"/>
  <c r="D20347" i="6"/>
  <c r="D20346" i="6"/>
  <c r="D20345" i="6"/>
  <c r="D20344" i="6"/>
  <c r="D20343" i="6"/>
  <c r="D20342" i="6"/>
  <c r="D20341" i="6"/>
  <c r="D20340" i="6"/>
  <c r="D20339" i="6"/>
  <c r="D20338" i="6"/>
  <c r="D20336" i="6"/>
  <c r="D20335" i="6"/>
  <c r="D20334" i="6"/>
  <c r="D20333" i="6"/>
  <c r="D20332" i="6"/>
  <c r="D20331" i="6"/>
  <c r="D20330" i="6"/>
  <c r="D20329" i="6"/>
  <c r="D20328" i="6"/>
  <c r="D20327" i="6"/>
  <c r="D20326" i="6"/>
  <c r="D20325" i="6"/>
  <c r="D20324" i="6"/>
  <c r="D20309" i="6"/>
  <c r="D20292" i="6"/>
  <c r="D20291" i="6"/>
  <c r="D20290" i="6"/>
  <c r="D20282" i="6"/>
  <c r="D20278" i="6"/>
  <c r="D20272" i="6"/>
  <c r="D20265" i="6"/>
  <c r="D20259" i="6"/>
  <c r="D20258" i="6"/>
  <c r="D20257" i="6"/>
  <c r="D20256" i="6"/>
  <c r="D20246" i="6"/>
  <c r="D20245" i="6"/>
  <c r="D20243" i="6"/>
  <c r="D20242" i="6"/>
  <c r="D20235" i="6"/>
  <c r="D20233" i="6"/>
  <c r="D20230" i="6"/>
  <c r="D20229" i="6"/>
  <c r="D20228" i="6"/>
  <c r="D20227" i="6"/>
  <c r="D20226" i="6"/>
  <c r="D20225" i="6"/>
  <c r="D20224" i="6"/>
  <c r="D20223" i="6"/>
  <c r="D20222" i="6"/>
  <c r="D20221" i="6"/>
  <c r="D20220" i="6"/>
  <c r="D20219" i="6"/>
  <c r="D20218" i="6"/>
  <c r="D20217" i="6"/>
  <c r="D20216" i="6"/>
  <c r="D20215" i="6"/>
  <c r="D20214" i="6"/>
  <c r="D20213" i="6"/>
  <c r="D20212" i="6"/>
  <c r="D20211" i="6"/>
  <c r="D20210" i="6"/>
  <c r="D20209" i="6"/>
  <c r="D20208" i="6"/>
  <c r="D20207" i="6"/>
  <c r="D20206" i="6"/>
  <c r="D20205" i="6"/>
  <c r="D20204" i="6"/>
  <c r="D20203" i="6"/>
  <c r="D20202" i="6"/>
  <c r="D20201" i="6"/>
  <c r="D20200" i="6"/>
  <c r="D20199" i="6"/>
  <c r="D20198" i="6"/>
  <c r="D20197" i="6"/>
  <c r="D20196" i="6"/>
  <c r="D20195" i="6"/>
  <c r="D20194" i="6"/>
  <c r="D20193" i="6"/>
  <c r="D20192" i="6"/>
  <c r="D20191" i="6"/>
  <c r="D20190" i="6"/>
  <c r="D20189" i="6"/>
  <c r="D20180" i="6"/>
  <c r="D20177" i="6"/>
  <c r="D20171" i="6"/>
  <c r="D20165" i="6"/>
  <c r="D20164" i="6"/>
  <c r="D20163" i="6"/>
  <c r="D20162" i="6"/>
  <c r="D20161" i="6"/>
  <c r="D20160" i="6"/>
  <c r="D20159" i="6"/>
  <c r="D20158" i="6"/>
  <c r="D20157" i="6"/>
  <c r="D20145" i="6"/>
  <c r="D20144" i="6"/>
  <c r="D20141" i="6"/>
  <c r="D20140" i="6"/>
  <c r="D20139" i="6"/>
  <c r="D20138" i="6"/>
  <c r="D20137" i="6"/>
  <c r="D20135" i="6"/>
  <c r="D20134" i="6"/>
  <c r="D20133" i="6"/>
  <c r="D20121" i="6"/>
  <c r="D20111" i="6"/>
  <c r="D20110" i="6"/>
  <c r="D20109" i="6"/>
  <c r="D20105" i="6"/>
  <c r="D20104" i="6"/>
  <c r="D20103" i="6"/>
  <c r="D20102" i="6"/>
  <c r="D20101" i="6"/>
  <c r="D20100" i="6"/>
  <c r="D20099" i="6"/>
  <c r="D20097" i="6"/>
  <c r="D20092" i="6"/>
  <c r="D20091" i="6"/>
  <c r="D20090" i="6"/>
  <c r="D20089" i="6"/>
  <c r="D20088" i="6"/>
  <c r="D20087" i="6"/>
  <c r="D20086" i="6"/>
  <c r="D20085" i="6"/>
  <c r="D20084" i="6"/>
  <c r="D20083" i="6"/>
  <c r="D20082" i="6"/>
  <c r="D20081" i="6"/>
  <c r="D20080" i="6"/>
  <c r="D20079" i="6"/>
  <c r="D20078" i="6"/>
  <c r="D20077" i="6"/>
  <c r="D20076" i="6"/>
  <c r="D20075" i="6"/>
  <c r="D20074" i="6"/>
  <c r="D20073" i="6"/>
  <c r="D20072" i="6"/>
  <c r="D20071" i="6"/>
  <c r="D20070" i="6"/>
  <c r="D20069" i="6"/>
  <c r="D20068" i="6"/>
  <c r="D20067" i="6"/>
  <c r="D20065" i="6"/>
  <c r="D20064" i="6"/>
  <c r="D20063" i="6"/>
  <c r="D20062" i="6"/>
  <c r="D20061" i="6"/>
  <c r="D20060" i="6"/>
  <c r="D20059" i="6"/>
  <c r="D20058" i="6"/>
  <c r="D20057" i="6"/>
  <c r="D20056" i="6"/>
  <c r="D20055" i="6"/>
  <c r="D20054" i="6"/>
  <c r="D20053" i="6"/>
  <c r="D20052" i="6"/>
  <c r="D20051" i="6"/>
  <c r="D20050" i="6"/>
  <c r="D20049" i="6"/>
  <c r="D20048" i="6"/>
  <c r="D20047" i="6"/>
  <c r="D20046" i="6"/>
  <c r="D20045" i="6"/>
  <c r="D20044" i="6"/>
  <c r="D20043" i="6"/>
  <c r="D20042" i="6"/>
  <c r="D20041" i="6"/>
  <c r="D20040" i="6"/>
  <c r="D20039" i="6"/>
  <c r="D20038" i="6"/>
  <c r="D20037" i="6"/>
  <c r="D20036" i="6"/>
  <c r="D20035" i="6"/>
  <c r="D20034" i="6"/>
  <c r="D20033" i="6"/>
  <c r="D20032" i="6"/>
  <c r="D20031" i="6"/>
  <c r="D20030" i="6"/>
  <c r="D20029" i="6"/>
  <c r="D20028" i="6"/>
  <c r="D20027" i="6"/>
  <c r="D20026" i="6"/>
  <c r="D20025" i="6"/>
  <c r="D20022" i="6"/>
  <c r="D20017" i="6"/>
  <c r="D20016" i="6"/>
  <c r="D20015" i="6"/>
  <c r="D20012" i="6"/>
  <c r="D20011" i="6"/>
  <c r="D20005" i="6"/>
  <c r="D20004" i="6"/>
  <c r="D20002" i="6"/>
  <c r="D19997" i="6"/>
  <c r="D19995" i="6"/>
  <c r="D19981" i="6"/>
  <c r="D19977" i="6"/>
  <c r="D19976" i="6"/>
  <c r="D19975" i="6"/>
  <c r="D19974" i="6"/>
  <c r="D19973" i="6"/>
  <c r="D19972" i="6"/>
  <c r="D19971" i="6"/>
  <c r="D19970" i="6"/>
  <c r="D19969" i="6"/>
  <c r="D19968" i="6"/>
  <c r="D19967" i="6"/>
  <c r="D19966" i="6"/>
  <c r="D19965" i="6"/>
  <c r="D19964" i="6"/>
  <c r="D19963" i="6"/>
  <c r="D19962" i="6"/>
  <c r="D19961" i="6"/>
  <c r="D19960" i="6"/>
  <c r="D19959" i="6"/>
  <c r="D19958" i="6"/>
  <c r="D19957" i="6"/>
  <c r="D19956" i="6"/>
  <c r="D19955" i="6"/>
  <c r="D19954" i="6"/>
  <c r="D19953" i="6"/>
  <c r="D19952" i="6"/>
  <c r="D19951" i="6"/>
  <c r="D19950" i="6"/>
  <c r="D19949" i="6"/>
  <c r="D19948" i="6"/>
  <c r="D19947" i="6"/>
  <c r="D19946" i="6"/>
  <c r="D19945" i="6"/>
  <c r="D19944" i="6"/>
  <c r="D19943" i="6"/>
  <c r="D19942" i="6"/>
  <c r="D19940" i="6"/>
  <c r="D19938" i="6"/>
  <c r="D19937" i="6"/>
  <c r="D19935" i="6"/>
  <c r="D19930" i="6"/>
  <c r="D19929" i="6"/>
  <c r="D19928" i="6"/>
  <c r="D19927" i="6"/>
  <c r="D19926" i="6"/>
  <c r="D19917" i="6"/>
  <c r="D19916" i="6"/>
  <c r="D19911" i="6"/>
  <c r="D19908" i="6"/>
  <c r="D19907" i="6"/>
  <c r="D19898" i="6"/>
  <c r="D19897" i="6"/>
  <c r="D19896" i="6"/>
  <c r="D19895" i="6"/>
  <c r="D19894" i="6"/>
  <c r="D19893" i="6"/>
  <c r="D19892" i="6"/>
  <c r="D19891" i="6"/>
  <c r="D19890" i="6"/>
  <c r="D19889" i="6"/>
  <c r="D19888" i="6"/>
  <c r="D19887" i="6"/>
  <c r="D19886" i="6"/>
  <c r="D19885" i="6"/>
  <c r="D19884" i="6"/>
  <c r="D19883" i="6"/>
  <c r="D19882" i="6"/>
  <c r="D19881" i="6"/>
  <c r="D19880" i="6"/>
  <c r="D19879" i="6"/>
  <c r="D19878" i="6"/>
  <c r="D19877" i="6"/>
  <c r="D19876" i="6"/>
  <c r="D19875" i="6"/>
  <c r="D19874" i="6"/>
  <c r="D19873" i="6"/>
  <c r="D19872" i="6"/>
  <c r="D19871" i="6"/>
  <c r="D19870" i="6"/>
  <c r="D19869" i="6"/>
  <c r="D19868" i="6"/>
  <c r="D19867" i="6"/>
  <c r="D19866" i="6"/>
  <c r="D19865" i="6"/>
  <c r="D19864" i="6"/>
  <c r="D19863" i="6"/>
  <c r="D19862" i="6"/>
  <c r="D19861" i="6"/>
  <c r="D19860" i="6"/>
  <c r="D19859" i="6"/>
  <c r="D19858" i="6"/>
  <c r="D19856" i="6"/>
  <c r="D19855" i="6"/>
  <c r="D19854" i="6"/>
  <c r="D19853" i="6"/>
  <c r="D19852" i="6"/>
  <c r="D19851" i="6"/>
  <c r="D19850" i="6"/>
  <c r="D19849" i="6"/>
  <c r="D19848" i="6"/>
  <c r="D19847" i="6"/>
  <c r="D19846" i="6"/>
  <c r="D19845" i="6"/>
  <c r="D19844" i="6"/>
  <c r="D19843" i="6"/>
  <c r="D19842" i="6"/>
  <c r="D19841" i="6"/>
  <c r="D19840" i="6"/>
  <c r="D19839" i="6"/>
  <c r="D19838" i="6"/>
  <c r="D19837" i="6"/>
  <c r="D19836" i="6"/>
  <c r="D19835" i="6"/>
  <c r="D19834" i="6"/>
  <c r="D19833" i="6"/>
  <c r="D19832" i="6"/>
  <c r="D19831" i="6"/>
  <c r="D19830" i="6"/>
  <c r="D19829" i="6"/>
  <c r="D19828" i="6"/>
  <c r="D19827" i="6"/>
  <c r="D19826" i="6"/>
  <c r="D19825" i="6"/>
  <c r="D19824" i="6"/>
  <c r="D19823" i="6"/>
  <c r="D19822" i="6"/>
  <c r="D19821" i="6"/>
  <c r="D19820" i="6"/>
  <c r="D19819" i="6"/>
  <c r="D19818" i="6"/>
  <c r="D19817" i="6"/>
  <c r="D19816" i="6"/>
  <c r="D19815" i="6"/>
  <c r="D19814" i="6"/>
  <c r="D19813" i="6"/>
  <c r="D19812" i="6"/>
  <c r="D19811" i="6"/>
  <c r="D19810" i="6"/>
  <c r="D19809" i="6"/>
  <c r="D19808" i="6"/>
  <c r="D19807" i="6"/>
  <c r="D19806" i="6"/>
  <c r="D19805" i="6"/>
  <c r="D19804" i="6"/>
  <c r="D19800" i="6"/>
  <c r="D19799" i="6"/>
  <c r="D19798" i="6"/>
  <c r="D19797" i="6"/>
  <c r="D19793" i="6"/>
  <c r="D19792" i="6"/>
  <c r="D19791" i="6"/>
  <c r="D19790" i="6"/>
  <c r="D19789" i="6"/>
  <c r="D19788" i="6"/>
  <c r="D19787" i="6"/>
  <c r="D19786" i="6"/>
  <c r="D19785" i="6"/>
  <c r="D19784" i="6"/>
  <c r="D19783" i="6"/>
  <c r="D19782" i="6"/>
  <c r="D19781" i="6"/>
  <c r="D19780" i="6"/>
  <c r="D19779" i="6"/>
  <c r="D19778" i="6"/>
  <c r="D19777" i="6"/>
  <c r="D19776" i="6"/>
  <c r="D19775" i="6"/>
  <c r="D19774" i="6"/>
  <c r="D19773" i="6"/>
  <c r="D19772" i="6"/>
  <c r="D19771" i="6"/>
  <c r="D19768" i="6"/>
  <c r="D19767" i="6"/>
  <c r="D19766" i="6"/>
  <c r="D19765" i="6"/>
  <c r="D19764" i="6"/>
  <c r="D19763" i="6"/>
  <c r="D19762" i="6"/>
  <c r="D19761" i="6"/>
  <c r="D19760" i="6"/>
  <c r="D19759" i="6"/>
  <c r="D19752" i="6"/>
  <c r="D19741" i="6"/>
  <c r="D19740" i="6"/>
  <c r="D19739" i="6"/>
  <c r="D19723" i="6"/>
  <c r="D19718" i="6"/>
  <c r="D19717" i="6"/>
  <c r="D19715" i="6"/>
  <c r="D19714" i="6"/>
  <c r="D19713" i="6"/>
  <c r="D19712" i="6"/>
  <c r="D19711" i="6"/>
  <c r="D19710" i="6"/>
  <c r="D19709" i="6"/>
  <c r="D19708" i="6"/>
  <c r="D19707" i="6"/>
  <c r="D19706" i="6"/>
  <c r="D19705" i="6"/>
  <c r="D19704" i="6"/>
  <c r="D19703" i="6"/>
  <c r="D19702" i="6"/>
  <c r="D19701" i="6"/>
  <c r="D19698" i="6"/>
  <c r="D19697" i="6"/>
  <c r="D19696" i="6"/>
  <c r="D19694" i="6"/>
  <c r="D19693" i="6"/>
  <c r="D19692" i="6"/>
  <c r="D19691" i="6"/>
  <c r="D19690" i="6"/>
  <c r="D19689" i="6"/>
  <c r="D19688" i="6"/>
  <c r="D19687" i="6"/>
  <c r="D19686" i="6"/>
  <c r="D19685" i="6"/>
  <c r="D19684" i="6"/>
  <c r="D19682" i="6"/>
  <c r="D19681" i="6"/>
  <c r="D19680" i="6"/>
  <c r="D19679" i="6"/>
  <c r="D19678" i="6"/>
  <c r="D19677" i="6"/>
  <c r="D19676" i="6"/>
  <c r="D19675" i="6"/>
  <c r="D19674" i="6"/>
  <c r="D19673" i="6"/>
  <c r="D19672" i="6"/>
  <c r="D19671" i="6"/>
  <c r="D19670" i="6"/>
  <c r="D19669" i="6"/>
  <c r="D19668" i="6"/>
  <c r="D19667" i="6"/>
  <c r="D19666" i="6"/>
  <c r="D19665" i="6"/>
  <c r="D19664" i="6"/>
  <c r="D19663" i="6"/>
  <c r="D19662" i="6"/>
  <c r="D19661" i="6"/>
  <c r="D19660" i="6"/>
  <c r="D19659" i="6"/>
  <c r="D19658" i="6"/>
  <c r="D19657" i="6"/>
  <c r="D19656" i="6"/>
  <c r="D19655" i="6"/>
  <c r="D19654" i="6"/>
  <c r="D19650" i="6"/>
  <c r="D19649" i="6"/>
  <c r="D19648" i="6"/>
  <c r="D19647" i="6"/>
  <c r="D19640" i="6"/>
  <c r="D19618" i="6"/>
  <c r="D19599" i="6"/>
  <c r="D19596" i="6"/>
  <c r="D19569" i="6"/>
  <c r="D19568" i="6"/>
  <c r="D19567" i="6"/>
  <c r="D19566" i="6"/>
  <c r="D19565" i="6"/>
  <c r="D19564" i="6"/>
  <c r="D19562" i="6"/>
  <c r="D19561" i="6"/>
  <c r="D19560" i="6"/>
  <c r="D19559" i="6"/>
  <c r="D19558" i="6"/>
  <c r="D19557" i="6"/>
  <c r="D19555" i="6"/>
  <c r="D19554" i="6"/>
  <c r="D19552" i="6"/>
  <c r="D19549" i="6"/>
  <c r="D19547" i="6"/>
  <c r="D19544" i="6"/>
  <c r="D19542" i="6"/>
  <c r="D19538" i="6"/>
  <c r="D19536" i="6"/>
  <c r="D19534" i="6"/>
  <c r="D19531" i="6"/>
  <c r="D19529" i="6"/>
  <c r="D19528" i="6"/>
  <c r="D19527" i="6"/>
  <c r="D19525" i="6"/>
  <c r="D19523" i="6"/>
  <c r="D19522" i="6"/>
  <c r="D19520" i="6"/>
  <c r="D19518" i="6"/>
  <c r="D19517" i="6"/>
  <c r="D19516" i="6"/>
  <c r="D19515" i="6"/>
  <c r="D19514" i="6"/>
  <c r="D19513" i="6"/>
  <c r="D19509" i="6"/>
  <c r="D19504" i="6"/>
  <c r="D19503" i="6"/>
  <c r="D19500" i="6"/>
  <c r="D19497" i="6"/>
  <c r="D19494" i="6"/>
  <c r="D19493" i="6"/>
  <c r="D19492" i="6"/>
  <c r="D19490" i="6"/>
  <c r="D19489" i="6"/>
  <c r="D19488" i="6"/>
  <c r="D19487" i="6"/>
  <c r="D19486" i="6"/>
  <c r="D19485" i="6"/>
  <c r="D19478" i="6"/>
  <c r="D19475" i="6"/>
  <c r="D19474" i="6"/>
  <c r="D19473" i="6"/>
  <c r="D19472" i="6"/>
  <c r="D19471" i="6"/>
  <c r="D19470" i="6"/>
  <c r="D19469" i="6"/>
  <c r="D19465" i="6"/>
  <c r="D19464" i="6"/>
  <c r="D19460" i="6"/>
  <c r="D19458" i="6"/>
  <c r="D19457" i="6"/>
  <c r="D19454" i="6"/>
  <c r="D19453" i="6"/>
  <c r="D19441" i="6"/>
  <c r="D19440" i="6"/>
  <c r="D19439" i="6"/>
  <c r="D19422" i="6"/>
  <c r="D19411" i="6"/>
  <c r="D19410" i="6"/>
  <c r="D19399" i="6"/>
  <c r="D19398" i="6"/>
  <c r="D19394" i="6"/>
  <c r="D19389" i="6"/>
  <c r="D19388" i="6"/>
  <c r="D19387" i="6"/>
  <c r="D19384" i="6"/>
  <c r="D19383" i="6"/>
  <c r="D19381" i="6"/>
  <c r="D19380" i="6"/>
  <c r="D19379" i="6"/>
  <c r="D19368" i="6"/>
  <c r="D19367" i="6"/>
  <c r="D19366" i="6"/>
  <c r="D19365" i="6"/>
  <c r="D19346" i="6"/>
  <c r="D19326" i="6"/>
  <c r="D19320" i="6"/>
  <c r="D19319" i="6"/>
  <c r="D19318" i="6"/>
  <c r="D19317" i="6"/>
  <c r="D19316" i="6"/>
  <c r="D19315" i="6"/>
  <c r="D19314" i="6"/>
  <c r="D19313" i="6"/>
  <c r="D19312" i="6"/>
  <c r="D19311" i="6"/>
  <c r="D19310" i="6"/>
  <c r="D19309" i="6"/>
  <c r="D19298" i="6"/>
  <c r="D19295" i="6"/>
  <c r="D19294" i="6"/>
  <c r="D19293" i="6"/>
  <c r="D19280" i="6"/>
  <c r="D19264" i="6"/>
  <c r="D19258" i="6"/>
  <c r="D19239" i="6"/>
  <c r="D19238" i="6"/>
  <c r="D19197" i="6"/>
  <c r="D19196" i="6"/>
  <c r="D19195" i="6"/>
  <c r="D19194" i="6"/>
  <c r="D19193" i="6"/>
  <c r="D19192" i="6"/>
  <c r="D19191" i="6"/>
  <c r="D19185" i="6"/>
  <c r="D19179" i="6"/>
  <c r="D19172" i="6"/>
  <c r="D19171" i="6"/>
  <c r="D19168" i="6"/>
  <c r="D19167" i="6"/>
  <c r="D19166" i="6"/>
  <c r="D19161" i="6"/>
  <c r="D19159" i="6"/>
  <c r="D19088" i="6"/>
  <c r="D19087" i="6"/>
  <c r="D19086" i="6"/>
  <c r="D19085" i="6"/>
  <c r="D19084" i="6"/>
  <c r="D19083" i="6"/>
  <c r="D19082" i="6"/>
  <c r="D19081" i="6"/>
  <c r="D19080" i="6"/>
  <c r="D19079" i="6"/>
  <c r="D19078" i="6"/>
  <c r="D19077" i="6"/>
  <c r="D19076" i="6"/>
  <c r="D19075" i="6"/>
  <c r="D19074" i="6"/>
  <c r="D19073" i="6"/>
  <c r="D19072" i="6"/>
  <c r="D19071" i="6"/>
  <c r="D19070" i="6"/>
  <c r="D19069" i="6"/>
  <c r="D19068" i="6"/>
  <c r="D19067" i="6"/>
  <c r="D19066" i="6"/>
  <c r="D19065" i="6"/>
  <c r="D19062" i="6"/>
  <c r="D19061" i="6"/>
  <c r="D19060" i="6"/>
  <c r="D19059" i="6"/>
  <c r="D19058" i="6"/>
  <c r="D19057" i="6"/>
  <c r="D19056" i="6"/>
  <c r="D19055" i="6"/>
  <c r="D19054" i="6"/>
  <c r="D19045" i="6"/>
  <c r="D19044" i="6"/>
  <c r="D19043" i="6"/>
  <c r="D19042" i="6"/>
  <c r="D19041" i="6"/>
  <c r="D19040" i="6"/>
  <c r="D19039" i="6"/>
  <c r="D19038" i="6"/>
  <c r="D19037" i="6"/>
  <c r="D19036" i="6"/>
  <c r="D19035" i="6"/>
  <c r="D19034" i="6"/>
  <c r="D19033" i="6"/>
  <c r="D19032" i="6"/>
  <c r="D19031" i="6"/>
  <c r="D19030" i="6"/>
  <c r="D19029" i="6"/>
  <c r="D19028" i="6"/>
  <c r="D19027" i="6"/>
  <c r="D19026" i="6"/>
  <c r="D19025" i="6"/>
  <c r="D19024" i="6"/>
  <c r="D19023" i="6"/>
  <c r="D19022" i="6"/>
  <c r="D19021" i="6"/>
  <c r="D19020" i="6"/>
  <c r="D19019" i="6"/>
  <c r="D19018" i="6"/>
  <c r="D19017" i="6"/>
  <c r="D19016" i="6"/>
  <c r="D19015" i="6"/>
  <c r="D19014" i="6"/>
  <c r="D19013" i="6"/>
  <c r="D19012" i="6"/>
  <c r="D19011" i="6"/>
  <c r="D19010" i="6"/>
  <c r="D19009" i="6"/>
  <c r="D19008" i="6"/>
  <c r="D19007" i="6"/>
  <c r="D19006" i="6"/>
  <c r="D19005" i="6"/>
  <c r="D19004" i="6"/>
  <c r="D19003" i="6"/>
  <c r="D19002" i="6"/>
  <c r="D19001" i="6"/>
  <c r="D19000" i="6"/>
  <c r="D18999" i="6"/>
  <c r="D18998" i="6"/>
  <c r="D18997" i="6"/>
  <c r="D18996" i="6"/>
  <c r="D18995" i="6"/>
  <c r="D18994" i="6"/>
  <c r="D18993" i="6"/>
  <c r="D18992" i="6"/>
  <c r="D18991" i="6"/>
  <c r="D18990" i="6"/>
  <c r="D18989" i="6"/>
  <c r="D18988" i="6"/>
  <c r="D18987" i="6"/>
  <c r="D18986" i="6"/>
  <c r="D18985" i="6"/>
  <c r="D18984" i="6"/>
  <c r="D18983" i="6"/>
  <c r="D18982" i="6"/>
  <c r="D18981" i="6"/>
  <c r="D18980" i="6"/>
  <c r="D18979" i="6"/>
  <c r="D18978" i="6"/>
  <c r="D18977" i="6"/>
  <c r="D18976" i="6"/>
  <c r="D18975" i="6"/>
  <c r="D18974" i="6"/>
  <c r="D18973" i="6"/>
  <c r="D18972" i="6"/>
  <c r="D18971" i="6"/>
  <c r="D18970" i="6"/>
  <c r="D18969" i="6"/>
  <c r="D18968" i="6"/>
  <c r="D18967" i="6"/>
  <c r="D18966" i="6"/>
  <c r="D18965" i="6"/>
  <c r="D18964" i="6"/>
  <c r="D18963" i="6"/>
  <c r="D18962" i="6"/>
  <c r="D18961" i="6"/>
  <c r="D18960" i="6"/>
  <c r="D18959" i="6"/>
  <c r="D18958" i="6"/>
  <c r="D18957" i="6"/>
  <c r="D18956" i="6"/>
  <c r="D18955" i="6"/>
  <c r="D18954" i="6"/>
  <c r="D18953" i="6"/>
  <c r="D18952" i="6"/>
  <c r="D18944" i="6"/>
  <c r="D18943" i="6"/>
  <c r="D18942" i="6"/>
  <c r="D18941" i="6"/>
  <c r="D18940" i="6"/>
  <c r="D18938" i="6"/>
  <c r="D18937" i="6"/>
  <c r="D18936" i="6"/>
  <c r="D18935" i="6"/>
  <c r="D18934" i="6"/>
  <c r="D18933" i="6"/>
  <c r="D18932" i="6"/>
  <c r="D18931" i="6"/>
  <c r="D18930" i="6"/>
  <c r="D18929" i="6"/>
  <c r="D18928" i="6"/>
  <c r="D18927" i="6"/>
  <c r="D18926" i="6"/>
  <c r="D18925" i="6"/>
  <c r="D18924" i="6"/>
  <c r="D18923" i="6"/>
  <c r="D18922" i="6"/>
  <c r="D18919" i="6"/>
  <c r="D18918" i="6"/>
  <c r="D18917" i="6"/>
  <c r="D18913" i="6"/>
  <c r="D18912" i="6"/>
  <c r="D18911" i="6"/>
  <c r="D18910" i="6"/>
  <c r="D18909" i="6"/>
  <c r="D18908" i="6"/>
  <c r="D18906" i="6"/>
  <c r="D18905" i="6"/>
  <c r="D18904" i="6"/>
  <c r="D18902" i="6"/>
  <c r="D18901" i="6"/>
  <c r="D18900" i="6"/>
  <c r="D18899" i="6"/>
  <c r="D18898" i="6"/>
  <c r="D18897" i="6"/>
  <c r="D18896" i="6"/>
  <c r="D18895" i="6"/>
  <c r="D18894" i="6"/>
  <c r="D18893" i="6"/>
  <c r="D18892" i="6"/>
  <c r="D18891" i="6"/>
  <c r="D18890" i="6"/>
  <c r="D18889" i="6"/>
  <c r="D18888" i="6"/>
  <c r="D18887" i="6"/>
  <c r="D18886" i="6"/>
  <c r="D18885" i="6"/>
  <c r="D18884" i="6"/>
  <c r="D18883" i="6"/>
  <c r="D18882" i="6"/>
  <c r="D18881" i="6"/>
  <c r="D18880" i="6"/>
  <c r="D18879" i="6"/>
  <c r="D18878" i="6"/>
  <c r="D18877" i="6"/>
  <c r="D18876" i="6"/>
  <c r="D18875" i="6"/>
  <c r="D18874" i="6"/>
  <c r="D18873" i="6"/>
  <c r="D18872" i="6"/>
  <c r="D18871" i="6"/>
  <c r="D18870" i="6"/>
  <c r="D18869" i="6"/>
  <c r="D18868" i="6"/>
  <c r="D18867" i="6"/>
  <c r="D18866" i="6"/>
  <c r="D18865" i="6"/>
  <c r="D18864" i="6"/>
  <c r="D18863" i="6"/>
  <c r="D18862" i="6"/>
  <c r="D18861" i="6"/>
  <c r="D18860" i="6"/>
  <c r="D18859" i="6"/>
  <c r="D18858" i="6"/>
  <c r="D18857" i="6"/>
  <c r="D18856" i="6"/>
  <c r="D18855" i="6"/>
  <c r="D18854" i="6"/>
  <c r="D18853" i="6"/>
  <c r="D18852" i="6"/>
  <c r="D18851" i="6"/>
  <c r="D18850" i="6"/>
  <c r="D18849" i="6"/>
  <c r="D18848" i="6"/>
  <c r="D18847" i="6"/>
  <c r="D18846" i="6"/>
  <c r="D18845" i="6"/>
  <c r="D18844" i="6"/>
  <c r="D18843" i="6"/>
  <c r="D18842" i="6"/>
  <c r="D18841" i="6"/>
  <c r="D18840" i="6"/>
  <c r="D18839" i="6"/>
  <c r="D18838" i="6"/>
  <c r="D18837" i="6"/>
  <c r="D18836" i="6"/>
  <c r="D18835" i="6"/>
  <c r="D18834" i="6"/>
  <c r="D18833" i="6"/>
  <c r="D18832" i="6"/>
  <c r="D18831" i="6"/>
  <c r="D18830" i="6"/>
  <c r="D18829" i="6"/>
  <c r="D18828" i="6"/>
  <c r="D18827" i="6"/>
  <c r="D18826" i="6"/>
  <c r="D18825" i="6"/>
  <c r="D18824" i="6"/>
  <c r="D18823" i="6"/>
  <c r="D18822" i="6"/>
  <c r="D18821" i="6"/>
  <c r="D18820" i="6"/>
  <c r="D18740" i="6"/>
  <c r="D18739" i="6"/>
  <c r="D18738" i="6"/>
  <c r="D18737" i="6"/>
  <c r="D18736" i="6"/>
  <c r="D18735" i="6"/>
  <c r="D18734" i="6"/>
  <c r="D18733" i="6"/>
  <c r="D18732" i="6"/>
  <c r="D18731" i="6"/>
  <c r="D18730" i="6"/>
  <c r="D18729" i="6"/>
  <c r="D18728" i="6"/>
  <c r="D18727" i="6"/>
  <c r="D18692" i="6"/>
  <c r="D18691" i="6"/>
  <c r="D18690" i="6"/>
  <c r="D18689" i="6"/>
  <c r="D18688" i="6"/>
  <c r="D18666" i="6"/>
  <c r="D18664" i="6"/>
  <c r="D18663" i="6"/>
  <c r="D18662" i="6"/>
  <c r="D18661" i="6"/>
  <c r="D18660" i="6"/>
  <c r="D18659" i="6"/>
  <c r="D18658" i="6"/>
  <c r="D18657" i="6"/>
  <c r="D18656" i="6"/>
  <c r="D18655" i="6"/>
  <c r="D18654" i="6"/>
  <c r="D18653" i="6"/>
  <c r="D18652" i="6"/>
  <c r="D18651" i="6"/>
  <c r="D18650" i="6"/>
  <c r="D18649" i="6"/>
  <c r="D18648" i="6"/>
  <c r="D18647" i="6"/>
  <c r="D18646" i="6"/>
  <c r="D18645" i="6"/>
  <c r="D18644" i="6"/>
  <c r="D18643" i="6"/>
  <c r="D18642" i="6"/>
  <c r="D18641" i="6"/>
  <c r="D18628" i="6"/>
  <c r="D18627" i="6"/>
  <c r="D18626" i="6"/>
  <c r="D18625" i="6"/>
  <c r="D18624" i="6"/>
  <c r="D18618" i="6"/>
  <c r="D18617" i="6"/>
  <c r="D18616" i="6"/>
  <c r="D18615" i="6"/>
  <c r="D18614" i="6"/>
  <c r="D18613" i="6"/>
  <c r="D18612" i="6"/>
  <c r="D18611" i="6"/>
  <c r="D18610" i="6"/>
  <c r="D18609" i="6"/>
  <c r="D18608" i="6"/>
  <c r="D18591" i="6"/>
  <c r="D18590" i="6"/>
  <c r="D18585" i="6"/>
  <c r="D18584" i="6"/>
  <c r="D18583" i="6"/>
  <c r="D18582" i="6"/>
  <c r="D18581" i="6"/>
  <c r="D18568" i="6"/>
  <c r="D18567" i="6"/>
  <c r="D18566" i="6"/>
  <c r="D18565" i="6"/>
  <c r="D18564" i="6"/>
  <c r="D18563" i="6"/>
  <c r="D18562" i="6"/>
  <c r="D18561" i="6"/>
  <c r="D18560" i="6"/>
  <c r="D18559" i="6"/>
  <c r="D18558" i="6"/>
  <c r="D18557" i="6"/>
  <c r="D18556" i="6"/>
  <c r="D18555" i="6"/>
  <c r="D18554" i="6"/>
  <c r="D18553" i="6"/>
  <c r="D18552" i="6"/>
  <c r="D18551" i="6"/>
  <c r="D18550" i="6"/>
  <c r="D18549" i="6"/>
  <c r="D18548" i="6"/>
  <c r="D18547" i="6"/>
  <c r="D18546" i="6"/>
  <c r="D18545" i="6"/>
  <c r="D18544" i="6"/>
  <c r="D18543" i="6"/>
  <c r="D18542" i="6"/>
  <c r="D18541" i="6"/>
  <c r="D18540" i="6"/>
  <c r="D18539" i="6"/>
  <c r="D18538" i="6"/>
  <c r="D18537" i="6"/>
  <c r="D18536" i="6"/>
  <c r="D18535" i="6"/>
  <c r="D18534" i="6"/>
  <c r="D18533" i="6"/>
  <c r="D18532" i="6"/>
  <c r="D18531" i="6"/>
  <c r="D18530" i="6"/>
  <c r="D18529" i="6"/>
  <c r="D18528" i="6"/>
  <c r="D18527" i="6"/>
  <c r="D18514" i="6"/>
  <c r="D18501" i="6"/>
  <c r="D18498" i="6"/>
  <c r="D18497" i="6"/>
  <c r="D18496" i="6"/>
  <c r="D18495" i="6"/>
  <c r="D18490" i="6"/>
  <c r="D18489" i="6"/>
  <c r="D18488" i="6"/>
  <c r="D18487" i="6"/>
  <c r="D18486" i="6"/>
  <c r="D18485" i="6"/>
  <c r="D18484" i="6"/>
  <c r="D18483" i="6"/>
  <c r="D18482" i="6"/>
  <c r="D18480" i="6"/>
  <c r="D18479" i="6"/>
  <c r="D18478" i="6"/>
  <c r="D18477" i="6"/>
  <c r="D18476" i="6"/>
  <c r="D18475" i="6"/>
  <c r="D18474" i="6"/>
  <c r="D18473" i="6"/>
  <c r="D18472" i="6"/>
  <c r="D18471" i="6"/>
  <c r="D18470" i="6"/>
  <c r="D18469" i="6"/>
  <c r="D18468" i="6"/>
  <c r="D18467" i="6"/>
  <c r="D18466" i="6"/>
  <c r="D18465" i="6"/>
  <c r="D18464" i="6"/>
  <c r="D18463" i="6"/>
  <c r="D18462" i="6"/>
  <c r="D18461" i="6"/>
  <c r="D18460" i="6"/>
  <c r="D18459" i="6"/>
  <c r="D18458" i="6"/>
  <c r="D18457" i="6"/>
  <c r="D18456" i="6"/>
  <c r="D18455" i="6"/>
  <c r="D18454" i="6"/>
  <c r="D18453" i="6"/>
  <c r="D18452" i="6"/>
  <c r="D18451" i="6"/>
  <c r="D18450" i="6"/>
  <c r="D18449" i="6"/>
  <c r="D18448" i="6"/>
  <c r="D18447" i="6"/>
  <c r="D18446" i="6"/>
  <c r="D18445" i="6"/>
  <c r="D18444" i="6"/>
  <c r="D18443" i="6"/>
  <c r="D18442" i="6"/>
  <c r="D18441" i="6"/>
  <c r="D18440" i="6"/>
  <c r="D18439" i="6"/>
  <c r="D18438" i="6"/>
  <c r="D18437" i="6"/>
  <c r="D18436" i="6"/>
  <c r="D18435" i="6"/>
  <c r="D18434" i="6"/>
  <c r="D18433" i="6"/>
  <c r="D18432" i="6"/>
  <c r="D18431" i="6"/>
  <c r="D18430" i="6"/>
  <c r="D18429" i="6"/>
  <c r="D18428" i="6"/>
  <c r="D18427" i="6"/>
  <c r="D18426" i="6"/>
  <c r="D18425" i="6"/>
  <c r="D18424" i="6"/>
  <c r="D18423" i="6"/>
  <c r="D18422" i="6"/>
  <c r="D18421" i="6"/>
  <c r="D18420" i="6"/>
  <c r="D18419" i="6"/>
  <c r="D18418" i="6"/>
  <c r="D18417" i="6"/>
  <c r="D18416" i="6"/>
  <c r="D18415" i="6"/>
  <c r="D18414" i="6"/>
  <c r="D18413" i="6"/>
  <c r="D18412" i="6"/>
  <c r="D18411" i="6"/>
  <c r="D18410" i="6"/>
  <c r="D18409" i="6"/>
  <c r="D18408" i="6"/>
  <c r="D18407" i="6"/>
  <c r="D18406" i="6"/>
  <c r="D18405" i="6"/>
  <c r="D18404" i="6"/>
  <c r="D18403" i="6"/>
  <c r="D18402" i="6"/>
  <c r="D18401" i="6"/>
  <c r="D18400" i="6"/>
  <c r="D18399" i="6"/>
  <c r="D18398" i="6"/>
  <c r="D18397" i="6"/>
  <c r="D18396" i="6"/>
  <c r="D18395" i="6"/>
  <c r="D18394" i="6"/>
  <c r="D18393" i="6"/>
  <c r="D18392" i="6"/>
  <c r="D18391" i="6"/>
  <c r="D18390" i="6"/>
  <c r="D18389" i="6"/>
  <c r="D18388" i="6"/>
  <c r="D18387" i="6"/>
  <c r="D18386" i="6"/>
  <c r="D18385" i="6"/>
  <c r="D18384" i="6"/>
  <c r="D18383" i="6"/>
  <c r="D18382" i="6"/>
  <c r="D18381" i="6"/>
  <c r="D18380" i="6"/>
  <c r="D18379" i="6"/>
  <c r="D18378" i="6"/>
  <c r="D18377" i="6"/>
  <c r="D18376" i="6"/>
  <c r="D18375" i="6"/>
  <c r="D18374" i="6"/>
  <c r="D18373" i="6"/>
  <c r="D18372" i="6"/>
  <c r="D18371" i="6"/>
  <c r="D18370" i="6"/>
  <c r="D18369" i="6"/>
  <c r="D18368" i="6"/>
  <c r="D18367" i="6"/>
  <c r="D18366" i="6"/>
  <c r="D18365" i="6"/>
  <c r="D18364" i="6"/>
  <c r="D18363" i="6"/>
  <c r="D18362" i="6"/>
  <c r="D18361" i="6"/>
  <c r="D18360" i="6"/>
  <c r="D18359" i="6"/>
  <c r="D18358" i="6"/>
  <c r="D18357" i="6"/>
  <c r="D18356" i="6"/>
  <c r="D18355" i="6"/>
  <c r="D18354" i="6"/>
  <c r="D18353" i="6"/>
  <c r="D18352" i="6"/>
  <c r="D18351" i="6"/>
  <c r="D18350" i="6"/>
  <c r="D18349" i="6"/>
  <c r="D18348" i="6"/>
  <c r="D18347" i="6"/>
  <c r="D18346" i="6"/>
  <c r="D18345" i="6"/>
  <c r="D18344" i="6"/>
  <c r="D18343" i="6"/>
  <c r="D18342" i="6"/>
  <c r="D18341" i="6"/>
  <c r="D18340" i="6"/>
  <c r="D18339" i="6"/>
  <c r="D18338" i="6"/>
  <c r="D18337" i="6"/>
  <c r="D18336" i="6"/>
  <c r="D18335" i="6"/>
  <c r="D18334" i="6"/>
  <c r="D18333" i="6"/>
  <c r="D18332" i="6"/>
  <c r="D18331" i="6"/>
  <c r="D18330" i="6"/>
  <c r="D18329" i="6"/>
  <c r="D18328" i="6"/>
  <c r="D18327" i="6"/>
  <c r="D18326" i="6"/>
  <c r="D18325" i="6"/>
  <c r="D18324" i="6"/>
  <c r="D18323" i="6"/>
  <c r="D18322" i="6"/>
  <c r="D18321" i="6"/>
  <c r="D18320" i="6"/>
  <c r="D18319" i="6"/>
  <c r="D18318" i="6"/>
  <c r="D18317" i="6"/>
  <c r="D18316" i="6"/>
  <c r="D18315" i="6"/>
  <c r="D18314" i="6"/>
  <c r="D18313" i="6"/>
  <c r="D18312" i="6"/>
  <c r="D18311" i="6"/>
  <c r="D18310" i="6"/>
  <c r="D18309" i="6"/>
  <c r="D18308" i="6"/>
  <c r="D18307" i="6"/>
  <c r="D18306" i="6"/>
  <c r="D18305" i="6"/>
  <c r="D18304" i="6"/>
  <c r="D18303" i="6"/>
  <c r="D18302" i="6"/>
  <c r="D18301" i="6"/>
  <c r="D18300" i="6"/>
  <c r="D18299" i="6"/>
  <c r="D18298" i="6"/>
  <c r="D18297" i="6"/>
  <c r="D18296" i="6"/>
  <c r="D18295" i="6"/>
  <c r="D18294" i="6"/>
  <c r="D18293" i="6"/>
  <c r="D18292" i="6"/>
  <c r="D18291" i="6"/>
  <c r="D18290" i="6"/>
  <c r="D18289" i="6"/>
  <c r="D18288" i="6"/>
  <c r="D18287" i="6"/>
  <c r="D18286" i="6"/>
  <c r="D18285" i="6"/>
  <c r="D18284" i="6"/>
  <c r="D18283" i="6"/>
  <c r="D18282" i="6"/>
  <c r="D18281" i="6"/>
  <c r="D18280" i="6"/>
  <c r="D18279" i="6"/>
  <c r="D18278" i="6"/>
  <c r="D18277" i="6"/>
  <c r="D18276" i="6"/>
  <c r="D18275" i="6"/>
  <c r="D18274" i="6"/>
  <c r="D18273" i="6"/>
  <c r="D18272" i="6"/>
  <c r="D18271" i="6"/>
  <c r="D18270" i="6"/>
  <c r="D18269" i="6"/>
  <c r="D18268" i="6"/>
  <c r="D18267" i="6"/>
  <c r="D18266" i="6"/>
  <c r="D18265" i="6"/>
  <c r="D18264" i="6"/>
  <c r="D18263" i="6"/>
  <c r="D18262" i="6"/>
  <c r="D18261" i="6"/>
  <c r="D18260" i="6"/>
  <c r="D18259" i="6"/>
  <c r="D18258" i="6"/>
  <c r="D18257" i="6"/>
  <c r="D18256" i="6"/>
  <c r="D18255" i="6"/>
  <c r="D18254" i="6"/>
  <c r="D18253" i="6"/>
  <c r="D18252" i="6"/>
  <c r="D18251" i="6"/>
  <c r="D18250" i="6"/>
  <c r="D18249" i="6"/>
  <c r="D18248" i="6"/>
  <c r="D18247" i="6"/>
  <c r="D18246" i="6"/>
  <c r="D18245" i="6"/>
  <c r="D18244" i="6"/>
  <c r="D18243" i="6"/>
  <c r="D18242" i="6"/>
  <c r="D18241" i="6"/>
  <c r="D18240" i="6"/>
  <c r="D18239" i="6"/>
  <c r="D18238" i="6"/>
  <c r="D18237" i="6"/>
  <c r="D18236" i="6"/>
  <c r="D18235" i="6"/>
  <c r="D18234" i="6"/>
  <c r="D18233" i="6"/>
  <c r="D18232" i="6"/>
  <c r="D18231" i="6"/>
  <c r="D18230" i="6"/>
  <c r="D18229" i="6"/>
  <c r="D18228" i="6"/>
  <c r="D18227" i="6"/>
  <c r="D18226" i="6"/>
  <c r="D18225" i="6"/>
  <c r="D18224" i="6"/>
  <c r="D18223" i="6"/>
  <c r="D18222" i="6"/>
  <c r="D18221" i="6"/>
  <c r="D18220" i="6"/>
  <c r="D18219" i="6"/>
  <c r="D18218" i="6"/>
  <c r="D18217" i="6"/>
  <c r="D18216" i="6"/>
  <c r="D18215" i="6"/>
  <c r="D18214" i="6"/>
  <c r="D18213" i="6"/>
  <c r="D18212" i="6"/>
  <c r="D18211" i="6"/>
  <c r="D18210" i="6"/>
  <c r="D18209" i="6"/>
  <c r="D18208" i="6"/>
  <c r="D18207" i="6"/>
  <c r="D18206" i="6"/>
  <c r="D18205" i="6"/>
  <c r="D18204" i="6"/>
  <c r="D18203" i="6"/>
  <c r="D18202" i="6"/>
  <c r="D18201" i="6"/>
  <c r="D18200" i="6"/>
  <c r="D18199" i="6"/>
  <c r="D18198" i="6"/>
  <c r="D18197" i="6"/>
  <c r="D18196" i="6"/>
  <c r="D18195" i="6"/>
  <c r="D18194" i="6"/>
  <c r="D18193" i="6"/>
  <c r="D18192" i="6"/>
  <c r="D18191" i="6"/>
  <c r="D18190" i="6"/>
  <c r="D18189" i="6"/>
  <c r="D18188" i="6"/>
  <c r="D18187" i="6"/>
  <c r="D18186" i="6"/>
  <c r="D18185" i="6"/>
  <c r="D18184" i="6"/>
  <c r="D18183" i="6"/>
  <c r="D18182" i="6"/>
  <c r="D18181" i="6"/>
  <c r="D18180" i="6"/>
  <c r="D18179" i="6"/>
  <c r="D18178" i="6"/>
  <c r="D18177" i="6"/>
  <c r="D18176" i="6"/>
  <c r="D18175" i="6"/>
  <c r="D18174" i="6"/>
  <c r="D18173" i="6"/>
  <c r="D18172" i="6"/>
  <c r="D18171" i="6"/>
  <c r="D18170" i="6"/>
  <c r="D18169" i="6"/>
  <c r="D18168" i="6"/>
  <c r="D18167" i="6"/>
  <c r="D18166" i="6"/>
  <c r="D18165" i="6"/>
  <c r="D18164" i="6"/>
  <c r="D18163" i="6"/>
  <c r="D18162" i="6"/>
  <c r="D18161" i="6"/>
  <c r="D18160" i="6"/>
  <c r="D18159" i="6"/>
  <c r="D18158" i="6"/>
  <c r="D18157" i="6"/>
  <c r="D18156" i="6"/>
  <c r="D18155" i="6"/>
  <c r="D18154" i="6"/>
  <c r="D18153" i="6"/>
  <c r="D18152" i="6"/>
  <c r="D18151" i="6"/>
  <c r="D18150" i="6"/>
  <c r="D18149" i="6"/>
  <c r="D18148" i="6"/>
  <c r="D18147" i="6"/>
  <c r="D18146" i="6"/>
  <c r="D18145" i="6"/>
  <c r="D18144" i="6"/>
  <c r="D18143" i="6"/>
  <c r="D18142" i="6"/>
  <c r="D18141" i="6"/>
  <c r="D18140" i="6"/>
  <c r="D18139" i="6"/>
  <c r="D18138" i="6"/>
  <c r="D18137" i="6"/>
  <c r="D18136" i="6"/>
  <c r="D18135" i="6"/>
  <c r="D18134" i="6"/>
  <c r="D18133" i="6"/>
  <c r="D18132" i="6"/>
  <c r="D18131" i="6"/>
  <c r="D18130" i="6"/>
  <c r="D18129" i="6"/>
  <c r="D18128" i="6"/>
  <c r="D18127" i="6"/>
  <c r="D18126" i="6"/>
  <c r="D18125" i="6"/>
  <c r="D18124" i="6"/>
  <c r="D18123" i="6"/>
  <c r="D18122" i="6"/>
  <c r="D18121" i="6"/>
  <c r="D18120" i="6"/>
  <c r="D18119" i="6"/>
  <c r="D18118" i="6"/>
  <c r="D18117" i="6"/>
  <c r="D18116" i="6"/>
  <c r="D18115" i="6"/>
  <c r="D18114" i="6"/>
  <c r="D18113" i="6"/>
  <c r="D18112" i="6"/>
  <c r="D18111" i="6"/>
  <c r="D18110" i="6"/>
  <c r="D18109" i="6"/>
  <c r="D18108" i="6"/>
  <c r="D18107" i="6"/>
  <c r="D18106" i="6"/>
  <c r="D18105" i="6"/>
  <c r="D18104" i="6"/>
  <c r="D18103" i="6"/>
  <c r="D18102" i="6"/>
  <c r="D18101" i="6"/>
  <c r="D18100" i="6"/>
  <c r="D18099" i="6"/>
  <c r="D18098" i="6"/>
  <c r="D18097" i="6"/>
  <c r="D18096" i="6"/>
  <c r="D18095" i="6"/>
  <c r="D18094" i="6"/>
  <c r="D18093" i="6"/>
  <c r="D18092" i="6"/>
  <c r="D18091" i="6"/>
  <c r="D18090" i="6"/>
  <c r="D18089" i="6"/>
  <c r="D18088" i="6"/>
  <c r="D18087" i="6"/>
  <c r="D18086" i="6"/>
  <c r="D18085" i="6"/>
  <c r="D18084" i="6"/>
  <c r="D18083" i="6"/>
  <c r="D18082" i="6"/>
  <c r="D18081" i="6"/>
  <c r="D18080" i="6"/>
  <c r="D18079" i="6"/>
  <c r="D18078" i="6"/>
  <c r="D18077" i="6"/>
  <c r="D18076" i="6"/>
  <c r="D18075" i="6"/>
  <c r="D18074" i="6"/>
  <c r="D18073" i="6"/>
  <c r="D18072" i="6"/>
  <c r="D18071" i="6"/>
  <c r="D18070" i="6"/>
  <c r="D18069" i="6"/>
  <c r="D18068" i="6"/>
  <c r="D18067" i="6"/>
  <c r="D18066" i="6"/>
  <c r="D18065" i="6"/>
  <c r="D18064" i="6"/>
  <c r="D18063" i="6"/>
  <c r="D18062" i="6"/>
  <c r="D18061" i="6"/>
  <c r="D18060" i="6"/>
  <c r="D18059" i="6"/>
  <c r="D18058" i="6"/>
  <c r="D18057" i="6"/>
  <c r="D18056" i="6"/>
  <c r="D18055" i="6"/>
  <c r="D18054" i="6"/>
  <c r="D18053" i="6"/>
  <c r="D18052" i="6"/>
  <c r="D18051" i="6"/>
  <c r="D18050" i="6"/>
  <c r="D18049" i="6"/>
  <c r="D18048" i="6"/>
  <c r="D18047" i="6"/>
  <c r="D18046" i="6"/>
  <c r="D18045" i="6"/>
  <c r="D18044" i="6"/>
  <c r="D18043" i="6"/>
  <c r="D18042" i="6"/>
  <c r="D18041" i="6"/>
  <c r="D18040" i="6"/>
  <c r="D18039" i="6"/>
  <c r="D18038" i="6"/>
  <c r="D18037" i="6"/>
  <c r="D18036" i="6"/>
  <c r="D18035" i="6"/>
  <c r="D18034" i="6"/>
  <c r="D18033" i="6"/>
  <c r="D18032" i="6"/>
  <c r="D18031" i="6"/>
  <c r="D18030" i="6"/>
  <c r="D18029" i="6"/>
  <c r="D18028" i="6"/>
  <c r="D18027" i="6"/>
  <c r="D18026" i="6"/>
  <c r="D18025" i="6"/>
  <c r="D18024" i="6"/>
  <c r="D18023" i="6"/>
  <c r="D18022" i="6"/>
  <c r="D18021" i="6"/>
  <c r="D18020" i="6"/>
  <c r="D18019" i="6"/>
  <c r="D18018" i="6"/>
  <c r="D18017" i="6"/>
  <c r="D18016" i="6"/>
  <c r="D18015" i="6"/>
  <c r="D18014" i="6"/>
  <c r="D18013" i="6"/>
  <c r="D18012" i="6"/>
  <c r="D18011" i="6"/>
  <c r="D18010" i="6"/>
  <c r="D18009" i="6"/>
  <c r="D18008" i="6"/>
  <c r="D18007" i="6"/>
  <c r="D18006" i="6"/>
  <c r="D18005" i="6"/>
  <c r="D17997" i="6"/>
  <c r="D17996" i="6"/>
  <c r="D17995" i="6"/>
  <c r="D17994" i="6"/>
  <c r="D17993" i="6"/>
  <c r="D17992" i="6"/>
  <c r="D17991" i="6"/>
  <c r="D17990" i="6"/>
  <c r="D17989" i="6"/>
  <c r="D17988" i="6"/>
  <c r="D17987" i="6"/>
  <c r="D17986" i="6"/>
  <c r="D17985" i="6"/>
  <c r="D17984" i="6"/>
  <c r="D17983" i="6"/>
  <c r="D17982" i="6"/>
  <c r="D17981" i="6"/>
  <c r="D17980" i="6"/>
  <c r="D17979" i="6"/>
  <c r="D17978" i="6"/>
  <c r="D17977" i="6"/>
  <c r="D17976" i="6"/>
  <c r="D17975" i="6"/>
  <c r="D17974" i="6"/>
  <c r="D17973" i="6"/>
  <c r="D17972" i="6"/>
  <c r="D17971" i="6"/>
  <c r="D17970" i="6"/>
  <c r="D17969" i="6"/>
  <c r="D17968" i="6"/>
  <c r="D17967" i="6"/>
  <c r="D17966" i="6"/>
  <c r="D17965" i="6"/>
  <c r="D17964" i="6"/>
  <c r="D17963" i="6"/>
  <c r="D17962" i="6"/>
  <c r="D17961" i="6"/>
  <c r="D17960" i="6"/>
  <c r="D17959" i="6"/>
  <c r="D17958" i="6"/>
  <c r="D17957" i="6"/>
  <c r="D17956" i="6"/>
  <c r="D17955" i="6"/>
  <c r="D17954" i="6"/>
  <c r="D17953" i="6"/>
  <c r="D17952" i="6"/>
  <c r="D17951" i="6"/>
  <c r="D17950" i="6"/>
  <c r="D17949" i="6"/>
  <c r="D17948" i="6"/>
  <c r="D17947" i="6"/>
  <c r="D17946" i="6"/>
  <c r="D17945" i="6"/>
  <c r="D17944" i="6"/>
  <c r="D17943" i="6"/>
  <c r="D17942" i="6"/>
  <c r="D17941" i="6"/>
  <c r="D17940" i="6"/>
  <c r="D17939" i="6"/>
  <c r="D17938" i="6"/>
  <c r="D17937" i="6"/>
  <c r="D17936" i="6"/>
  <c r="D17935" i="6"/>
  <c r="D17934" i="6"/>
  <c r="D17933" i="6"/>
  <c r="D17932" i="6"/>
  <c r="D17931" i="6"/>
  <c r="D17930" i="6"/>
  <c r="D17929" i="6"/>
  <c r="D17928" i="6"/>
  <c r="D17927" i="6"/>
  <c r="D17926" i="6"/>
  <c r="D17925" i="6"/>
  <c r="D17924" i="6"/>
  <c r="D17923" i="6"/>
  <c r="D17922" i="6"/>
  <c r="D17921" i="6"/>
  <c r="D17920" i="6"/>
  <c r="D17919" i="6"/>
  <c r="D17918" i="6"/>
  <c r="D17917" i="6"/>
  <c r="D17916" i="6"/>
  <c r="D17915" i="6"/>
  <c r="D17914" i="6"/>
  <c r="D17913" i="6"/>
  <c r="D17912" i="6"/>
  <c r="D17911" i="6"/>
  <c r="D17910" i="6"/>
  <c r="D17909" i="6"/>
  <c r="D17908" i="6"/>
  <c r="D17907" i="6"/>
  <c r="D17906" i="6"/>
  <c r="D17905" i="6"/>
  <c r="D17904" i="6"/>
  <c r="D17903" i="6"/>
  <c r="D17902" i="6"/>
  <c r="D17901" i="6"/>
  <c r="D17900" i="6"/>
  <c r="D17899" i="6"/>
  <c r="D17898" i="6"/>
  <c r="D17897" i="6"/>
  <c r="D17896" i="6"/>
  <c r="D17895" i="6"/>
  <c r="D17894" i="6"/>
  <c r="D17893" i="6"/>
  <c r="D17892" i="6"/>
  <c r="D17891" i="6"/>
  <c r="D17890" i="6"/>
  <c r="D17889" i="6"/>
  <c r="D17888" i="6"/>
  <c r="D17887" i="6"/>
  <c r="D17886" i="6"/>
  <c r="D17885" i="6"/>
  <c r="D17884" i="6"/>
  <c r="D17883" i="6"/>
  <c r="D17882" i="6"/>
  <c r="D17881" i="6"/>
  <c r="D17880" i="6"/>
  <c r="D17879" i="6"/>
  <c r="D17878" i="6"/>
  <c r="D17877" i="6"/>
  <c r="D17876" i="6"/>
  <c r="D17875" i="6"/>
  <c r="D17874" i="6"/>
  <c r="D17873" i="6"/>
  <c r="D17872" i="6"/>
  <c r="D17871" i="6"/>
  <c r="D17870" i="6"/>
  <c r="D17869" i="6"/>
  <c r="D17868" i="6"/>
  <c r="D17867" i="6"/>
  <c r="D17866" i="6"/>
  <c r="D17865" i="6"/>
  <c r="D17864" i="6"/>
  <c r="D17863" i="6"/>
  <c r="D17862" i="6"/>
  <c r="D17861" i="6"/>
  <c r="D17860" i="6"/>
  <c r="D17859" i="6"/>
  <c r="D17858" i="6"/>
  <c r="D17857" i="6"/>
  <c r="D17856" i="6"/>
  <c r="D17855" i="6"/>
  <c r="D17854" i="6"/>
  <c r="D17853" i="6"/>
  <c r="D17852" i="6"/>
  <c r="D17851" i="6"/>
  <c r="D17850" i="6"/>
  <c r="D17849" i="6"/>
  <c r="D17848" i="6"/>
  <c r="D17847" i="6"/>
  <c r="D17846" i="6"/>
  <c r="D17845" i="6"/>
  <c r="D17844" i="6"/>
  <c r="D17843" i="6"/>
  <c r="D17842" i="6"/>
  <c r="D17841" i="6"/>
  <c r="D17840" i="6"/>
  <c r="D17839" i="6"/>
  <c r="D17838" i="6"/>
  <c r="D17837" i="6"/>
  <c r="D17836" i="6"/>
  <c r="D17835" i="6"/>
  <c r="D17834" i="6"/>
  <c r="D17833" i="6"/>
  <c r="D17832" i="6"/>
  <c r="D17831" i="6"/>
  <c r="D17830" i="6"/>
  <c r="D17829" i="6"/>
  <c r="D17828" i="6"/>
  <c r="D17827" i="6"/>
  <c r="D17826" i="6"/>
  <c r="D17825" i="6"/>
  <c r="D17824" i="6"/>
  <c r="D17823" i="6"/>
  <c r="D17822" i="6"/>
  <c r="D17821" i="6"/>
  <c r="D17820" i="6"/>
  <c r="D17819" i="6"/>
  <c r="D17818" i="6"/>
  <c r="D17817" i="6"/>
  <c r="D17816" i="6"/>
  <c r="D17815" i="6"/>
  <c r="D17814" i="6"/>
  <c r="D17813" i="6"/>
  <c r="D17812" i="6"/>
  <c r="D17811" i="6"/>
  <c r="D17810" i="6"/>
  <c r="D17809" i="6"/>
  <c r="D17808" i="6"/>
  <c r="D17807" i="6"/>
  <c r="D17806" i="6"/>
  <c r="D17805" i="6"/>
  <c r="D17804" i="6"/>
  <c r="D17803" i="6"/>
  <c r="D17802" i="6"/>
  <c r="D17801" i="6"/>
  <c r="D17800" i="6"/>
  <c r="D17799" i="6"/>
  <c r="D17798" i="6"/>
  <c r="D17797" i="6"/>
  <c r="D17796" i="6"/>
  <c r="D17795" i="6"/>
  <c r="D17794" i="6"/>
  <c r="D17793" i="6"/>
  <c r="D17792" i="6"/>
  <c r="D17791" i="6"/>
  <c r="D17790" i="6"/>
  <c r="D17789" i="6"/>
  <c r="D17788" i="6"/>
  <c r="D17787" i="6"/>
  <c r="D17786" i="6"/>
  <c r="D17785" i="6"/>
  <c r="D17784" i="6"/>
  <c r="D17783" i="6"/>
  <c r="D17782" i="6"/>
  <c r="D17781" i="6"/>
  <c r="D17780" i="6"/>
  <c r="D17779" i="6"/>
  <c r="D17778" i="6"/>
  <c r="D17777" i="6"/>
  <c r="D17776" i="6"/>
  <c r="D17775" i="6"/>
  <c r="D17774" i="6"/>
  <c r="D17773" i="6"/>
  <c r="D17772" i="6"/>
  <c r="D17771" i="6"/>
  <c r="D17770" i="6"/>
  <c r="D17769" i="6"/>
  <c r="D17768" i="6"/>
  <c r="D17767" i="6"/>
  <c r="D17766" i="6"/>
  <c r="D17765" i="6"/>
  <c r="D17764" i="6"/>
  <c r="D17763" i="6"/>
  <c r="D17762" i="6"/>
  <c r="D17761" i="6"/>
  <c r="D17760" i="6"/>
  <c r="D17759" i="6"/>
  <c r="D17758" i="6"/>
  <c r="D17757" i="6"/>
  <c r="D17756" i="6"/>
  <c r="D17755" i="6"/>
  <c r="D17754" i="6"/>
  <c r="D17753" i="6"/>
  <c r="D17752" i="6"/>
  <c r="D17751" i="6"/>
  <c r="D17750" i="6"/>
  <c r="D17749" i="6"/>
  <c r="D17748" i="6"/>
  <c r="D17747" i="6"/>
  <c r="D17746" i="6"/>
  <c r="D17745" i="6"/>
  <c r="D17744" i="6"/>
  <c r="D17743" i="6"/>
  <c r="D17742" i="6"/>
  <c r="D17741" i="6"/>
  <c r="D17740" i="6"/>
  <c r="D17739" i="6"/>
  <c r="D17738" i="6"/>
  <c r="D17737" i="6"/>
  <c r="D17736" i="6"/>
  <c r="D17735" i="6"/>
  <c r="D17734" i="6"/>
  <c r="D17733" i="6"/>
  <c r="D17732" i="6"/>
  <c r="D17731" i="6"/>
  <c r="D17730" i="6"/>
  <c r="D17729" i="6"/>
  <c r="D17725" i="6"/>
  <c r="D17724" i="6"/>
  <c r="D17723" i="6"/>
  <c r="D17722" i="6"/>
  <c r="D17721" i="6"/>
  <c r="D17720" i="6"/>
  <c r="D17719" i="6"/>
  <c r="D17718" i="6"/>
  <c r="D17717" i="6"/>
  <c r="D17716" i="6"/>
  <c r="D17715" i="6"/>
  <c r="D17714" i="6"/>
  <c r="D17713" i="6"/>
  <c r="E17712" i="6"/>
  <c r="D17712" i="6"/>
  <c r="D17711" i="6"/>
  <c r="D17710" i="6"/>
  <c r="D17709" i="6"/>
  <c r="D17708" i="6"/>
  <c r="D17707" i="6"/>
  <c r="D17706" i="6"/>
  <c r="D17705" i="6"/>
  <c r="D17704" i="6"/>
  <c r="D17703" i="6"/>
  <c r="D17702" i="6"/>
  <c r="D17701" i="6"/>
  <c r="D17700" i="6"/>
  <c r="D17699" i="6"/>
  <c r="D17698" i="6"/>
  <c r="D17697" i="6"/>
  <c r="D17696" i="6"/>
  <c r="D17695" i="6"/>
  <c r="D17694" i="6"/>
  <c r="D17693" i="6"/>
  <c r="D17692" i="6"/>
  <c r="D17691" i="6"/>
  <c r="D17690" i="6"/>
  <c r="D17689" i="6"/>
  <c r="D17688" i="6"/>
  <c r="D17687" i="6"/>
  <c r="D17686" i="6"/>
  <c r="D17685" i="6"/>
  <c r="D17684" i="6"/>
  <c r="D17683" i="6"/>
  <c r="D17682" i="6"/>
  <c r="D17681" i="6"/>
  <c r="D17680" i="6"/>
  <c r="D17679" i="6"/>
  <c r="D17678" i="6"/>
  <c r="D17677" i="6"/>
  <c r="D17676" i="6"/>
  <c r="D17675" i="6"/>
  <c r="D17674" i="6"/>
  <c r="D17673" i="6"/>
  <c r="D17672" i="6"/>
  <c r="D17671" i="6"/>
  <c r="D17670" i="6"/>
  <c r="D17669" i="6"/>
  <c r="D17668" i="6"/>
  <c r="D17667" i="6"/>
  <c r="D17666" i="6"/>
  <c r="D17665" i="6"/>
  <c r="D17664" i="6"/>
  <c r="D17663" i="6"/>
  <c r="D17662" i="6"/>
  <c r="D17661" i="6"/>
  <c r="D17660" i="6"/>
  <c r="D17659" i="6"/>
  <c r="D17658" i="6"/>
  <c r="D17657" i="6"/>
  <c r="D17656" i="6"/>
  <c r="D17655" i="6"/>
  <c r="D17654" i="6"/>
  <c r="D17653" i="6"/>
  <c r="D17652" i="6"/>
  <c r="D17651" i="6"/>
  <c r="D17650" i="6"/>
  <c r="D17649" i="6"/>
  <c r="D17648" i="6"/>
  <c r="D17647" i="6"/>
  <c r="D17646" i="6"/>
  <c r="D17645" i="6"/>
  <c r="D17644" i="6"/>
  <c r="D17643" i="6"/>
  <c r="D17642" i="6"/>
  <c r="D17641" i="6"/>
  <c r="D17640" i="6"/>
  <c r="D17639" i="6"/>
  <c r="D17638" i="6"/>
  <c r="D17637" i="6"/>
  <c r="D17636" i="6"/>
  <c r="D17635" i="6"/>
  <c r="D17634" i="6"/>
  <c r="D17633" i="6"/>
  <c r="D17632" i="6"/>
  <c r="D17631" i="6"/>
  <c r="D17630" i="6"/>
  <c r="D17629" i="6"/>
  <c r="D17628" i="6"/>
  <c r="D17627" i="6"/>
  <c r="D17626" i="6"/>
  <c r="D17625" i="6"/>
  <c r="D17624" i="6"/>
  <c r="D17623" i="6"/>
  <c r="D17622" i="6"/>
  <c r="D17621" i="6"/>
  <c r="D17620" i="6"/>
  <c r="D17619" i="6"/>
  <c r="D17618" i="6"/>
  <c r="D17617" i="6"/>
  <c r="D17616" i="6"/>
  <c r="D17615" i="6"/>
  <c r="D17614" i="6"/>
  <c r="D17613" i="6"/>
  <c r="D17612" i="6"/>
  <c r="D17611" i="6"/>
  <c r="D17610" i="6"/>
  <c r="D17609" i="6"/>
  <c r="D17608" i="6"/>
  <c r="D17607" i="6"/>
  <c r="D17606" i="6"/>
  <c r="D17605" i="6"/>
  <c r="D17604" i="6"/>
  <c r="D17603" i="6"/>
  <c r="D17602" i="6"/>
  <c r="D17601" i="6"/>
  <c r="D17600" i="6"/>
  <c r="D17599" i="6"/>
  <c r="D17598" i="6"/>
  <c r="D17597" i="6"/>
  <c r="D17596" i="6"/>
  <c r="D17595" i="6"/>
  <c r="D17594" i="6"/>
  <c r="D17593" i="6"/>
  <c r="D17592" i="6"/>
  <c r="D17591" i="6"/>
  <c r="D17590" i="6"/>
  <c r="D17589" i="6"/>
  <c r="D17588" i="6"/>
  <c r="D17587" i="6"/>
  <c r="D17586" i="6"/>
  <c r="D17585" i="6"/>
  <c r="D17584" i="6"/>
  <c r="D17583" i="6"/>
  <c r="D17582" i="6"/>
  <c r="D17581" i="6"/>
  <c r="D17580" i="6"/>
  <c r="D17579" i="6"/>
  <c r="D17578" i="6"/>
  <c r="D17577" i="6"/>
  <c r="D17576" i="6"/>
  <c r="D17575" i="6"/>
  <c r="D17574" i="6"/>
  <c r="D17573" i="6"/>
  <c r="D17572" i="6"/>
  <c r="D17571" i="6"/>
  <c r="D17570" i="6"/>
  <c r="D17569" i="6"/>
  <c r="D17568" i="6"/>
  <c r="D17567" i="6"/>
  <c r="D17566" i="6"/>
  <c r="D17565" i="6"/>
  <c r="D17564" i="6"/>
  <c r="D17563" i="6"/>
  <c r="D17562" i="6"/>
  <c r="D17561" i="6"/>
  <c r="D17560" i="6"/>
  <c r="D17559" i="6"/>
  <c r="D17558" i="6"/>
  <c r="D17557" i="6"/>
  <c r="D17556" i="6"/>
  <c r="D17555" i="6"/>
  <c r="D17554" i="6"/>
  <c r="D17553" i="6"/>
  <c r="D17552" i="6"/>
  <c r="D17551" i="6"/>
  <c r="D17550" i="6"/>
  <c r="D17549" i="6"/>
  <c r="D17548" i="6"/>
  <c r="D17547" i="6"/>
  <c r="D17546" i="6"/>
  <c r="D17545" i="6"/>
  <c r="D17544" i="6"/>
  <c r="D17543" i="6"/>
  <c r="D17542" i="6"/>
  <c r="D17541" i="6"/>
  <c r="D17540" i="6"/>
  <c r="D17539" i="6"/>
  <c r="D17538" i="6"/>
  <c r="D17537" i="6"/>
  <c r="D17536" i="6"/>
  <c r="D17535" i="6"/>
  <c r="D17534" i="6"/>
  <c r="D17533" i="6"/>
  <c r="D17532" i="6"/>
  <c r="D17531" i="6"/>
  <c r="D17530" i="6"/>
  <c r="D17529" i="6"/>
  <c r="D17528" i="6"/>
  <c r="D17527" i="6"/>
  <c r="D17526" i="6"/>
  <c r="D17525" i="6"/>
  <c r="D17524" i="6"/>
  <c r="D17523" i="6"/>
  <c r="D17522" i="6"/>
  <c r="D17521" i="6"/>
  <c r="D17520" i="6"/>
  <c r="D17519" i="6"/>
  <c r="D17518" i="6"/>
  <c r="D17517" i="6"/>
  <c r="D17516" i="6"/>
  <c r="D17515" i="6"/>
  <c r="D17514" i="6"/>
  <c r="D17513" i="6"/>
  <c r="D17512" i="6"/>
  <c r="D17511" i="6"/>
  <c r="D17510" i="6"/>
  <c r="D17509" i="6"/>
  <c r="D17508" i="6"/>
  <c r="D17507" i="6"/>
  <c r="D17506" i="6"/>
  <c r="D17505" i="6"/>
  <c r="D17504" i="6"/>
  <c r="D17503" i="6"/>
  <c r="D17502" i="6"/>
  <c r="D17501" i="6"/>
  <c r="D17500" i="6"/>
  <c r="D17499" i="6"/>
  <c r="D17498" i="6"/>
  <c r="D17497" i="6"/>
  <c r="D17496" i="6"/>
  <c r="D17495" i="6"/>
  <c r="D17494" i="6"/>
  <c r="D17493" i="6"/>
  <c r="D17492" i="6"/>
  <c r="D17491" i="6"/>
  <c r="D17490" i="6"/>
  <c r="D17489" i="6"/>
  <c r="D17488" i="6"/>
  <c r="D17487" i="6"/>
  <c r="D17486" i="6"/>
  <c r="D17485" i="6"/>
  <c r="D17484" i="6"/>
  <c r="D17483" i="6"/>
  <c r="D17482" i="6"/>
  <c r="D17481" i="6"/>
  <c r="D17480" i="6"/>
  <c r="D17479" i="6"/>
  <c r="D17478" i="6"/>
  <c r="D17477" i="6"/>
  <c r="D17476" i="6"/>
  <c r="D17475" i="6"/>
  <c r="D17474" i="6"/>
  <c r="D17473" i="6"/>
  <c r="D17472" i="6"/>
  <c r="D17471" i="6"/>
  <c r="D17470" i="6"/>
  <c r="D17469" i="6"/>
  <c r="D17468" i="6"/>
  <c r="D17467" i="6"/>
  <c r="D17466" i="6"/>
  <c r="D17465" i="6"/>
  <c r="D17464" i="6"/>
  <c r="D17463" i="6"/>
  <c r="D17462" i="6"/>
  <c r="D17461" i="6"/>
  <c r="D17460" i="6"/>
  <c r="D17459" i="6"/>
  <c r="D17458" i="6"/>
  <c r="D17457" i="6"/>
  <c r="D17456" i="6"/>
  <c r="D17455" i="6"/>
  <c r="D17454" i="6"/>
  <c r="D17453" i="6"/>
  <c r="D17452" i="6"/>
  <c r="D17451" i="6"/>
  <c r="D17450" i="6"/>
  <c r="D17449" i="6"/>
  <c r="D17448" i="6"/>
  <c r="D17447" i="6"/>
  <c r="D17446" i="6"/>
  <c r="D17445" i="6"/>
  <c r="D17444" i="6"/>
  <c r="D17443" i="6"/>
  <c r="D17442" i="6"/>
  <c r="D17441" i="6"/>
  <c r="D17440" i="6"/>
  <c r="D17439" i="6"/>
  <c r="D17438" i="6"/>
  <c r="D17437" i="6"/>
  <c r="D17436" i="6"/>
  <c r="D17435" i="6"/>
  <c r="D17434" i="6"/>
  <c r="D17433" i="6"/>
  <c r="D17432" i="6"/>
  <c r="D17431" i="6"/>
  <c r="D17430" i="6"/>
  <c r="D17429" i="6"/>
  <c r="D17428" i="6"/>
  <c r="D17427" i="6"/>
  <c r="D17426" i="6"/>
  <c r="D17425" i="6"/>
  <c r="D17424" i="6"/>
  <c r="D17423" i="6"/>
  <c r="D17422" i="6"/>
  <c r="D17421" i="6"/>
  <c r="D17420" i="6"/>
  <c r="D17419" i="6"/>
  <c r="D17418" i="6"/>
  <c r="D17417" i="6"/>
  <c r="D17416" i="6"/>
  <c r="D17415" i="6"/>
  <c r="D17414" i="6"/>
  <c r="D17413" i="6"/>
  <c r="D17412" i="6"/>
  <c r="D17411" i="6"/>
  <c r="D17410" i="6"/>
  <c r="D17409" i="6"/>
  <c r="D17408" i="6"/>
  <c r="D17407" i="6"/>
  <c r="D17406" i="6"/>
  <c r="D17405" i="6"/>
  <c r="D17404" i="6"/>
  <c r="D17403" i="6"/>
  <c r="D17402" i="6"/>
  <c r="D17401" i="6"/>
  <c r="D17400" i="6"/>
  <c r="D17399" i="6"/>
  <c r="D17398" i="6"/>
  <c r="D17397" i="6"/>
  <c r="D17396" i="6"/>
  <c r="D17395" i="6"/>
  <c r="D17394" i="6"/>
  <c r="D17393" i="6"/>
  <c r="D17392" i="6"/>
  <c r="D17391" i="6"/>
  <c r="D17390" i="6"/>
  <c r="D17389" i="6"/>
  <c r="D17381" i="6"/>
  <c r="D17380" i="6"/>
  <c r="D17379" i="6"/>
  <c r="D17378" i="6"/>
  <c r="D17377" i="6"/>
  <c r="D17376" i="6"/>
  <c r="D17375" i="6"/>
  <c r="D17374" i="6"/>
  <c r="D17373" i="6"/>
  <c r="D17372" i="6"/>
  <c r="D17371" i="6"/>
  <c r="D17370" i="6"/>
  <c r="D17369" i="6"/>
  <c r="D17368" i="6"/>
  <c r="D17367" i="6"/>
  <c r="D17366" i="6"/>
  <c r="D17365" i="6"/>
  <c r="D17364" i="6"/>
  <c r="D17363" i="6"/>
  <c r="D17362" i="6"/>
  <c r="D17361" i="6"/>
  <c r="D17360" i="6"/>
  <c r="D17359" i="6"/>
  <c r="D17358" i="6"/>
  <c r="D17357" i="6"/>
  <c r="D17356" i="6"/>
  <c r="D17355" i="6"/>
  <c r="D17354" i="6"/>
  <c r="D17353" i="6"/>
  <c r="D17352" i="6"/>
  <c r="D17351" i="6"/>
  <c r="D17350" i="6"/>
  <c r="D17349" i="6"/>
  <c r="D17348" i="6"/>
  <c r="D17347" i="6"/>
  <c r="D17346" i="6"/>
  <c r="D17345" i="6"/>
  <c r="D17344" i="6"/>
  <c r="D17343" i="6"/>
  <c r="D17342" i="6"/>
  <c r="D17341" i="6"/>
  <c r="D17340" i="6"/>
  <c r="D17339" i="6"/>
  <c r="D17338" i="6"/>
  <c r="D17337" i="6"/>
  <c r="D17336" i="6"/>
  <c r="D17335" i="6"/>
  <c r="D17334" i="6"/>
  <c r="D17333" i="6"/>
  <c r="D17332" i="6"/>
  <c r="D17331" i="6"/>
  <c r="D17330" i="6"/>
  <c r="D17329" i="6"/>
  <c r="D17328" i="6"/>
  <c r="D17327" i="6"/>
  <c r="D17326" i="6"/>
  <c r="D17325" i="6"/>
  <c r="D17324" i="6"/>
  <c r="D17323" i="6"/>
  <c r="D17322" i="6"/>
  <c r="D17321" i="6"/>
  <c r="D17320" i="6"/>
  <c r="D17319" i="6"/>
  <c r="D17318" i="6"/>
  <c r="D17317" i="6"/>
  <c r="D17316" i="6"/>
  <c r="D17315" i="6"/>
  <c r="D17314" i="6"/>
  <c r="D17313" i="6"/>
  <c r="D17312" i="6"/>
  <c r="D17311" i="6"/>
  <c r="D17310" i="6"/>
  <c r="D17309" i="6"/>
  <c r="D17308" i="6"/>
  <c r="D17307" i="6"/>
  <c r="D17306" i="6"/>
  <c r="D17305" i="6"/>
  <c r="D17304" i="6"/>
  <c r="D17303" i="6"/>
  <c r="D17302" i="6"/>
  <c r="D17301" i="6"/>
  <c r="D17300" i="6"/>
  <c r="D17299" i="6"/>
  <c r="D17298" i="6"/>
  <c r="D17297" i="6"/>
  <c r="D17296" i="6"/>
  <c r="D17295" i="6"/>
  <c r="D17294" i="6"/>
  <c r="D17293" i="6"/>
  <c r="D17292" i="6"/>
  <c r="D17291" i="6"/>
  <c r="D17290" i="6"/>
  <c r="D17289" i="6"/>
  <c r="D17288" i="6"/>
  <c r="D17287" i="6"/>
  <c r="D17286" i="6"/>
  <c r="D17285" i="6"/>
  <c r="D17284" i="6"/>
  <c r="D17283" i="6"/>
  <c r="D17282" i="6"/>
  <c r="D17281" i="6"/>
  <c r="D17280" i="6"/>
  <c r="D17279" i="6"/>
  <c r="D17278" i="6"/>
  <c r="D17277" i="6"/>
  <c r="D17276" i="6"/>
  <c r="D17275" i="6"/>
  <c r="D17274" i="6"/>
  <c r="D17273" i="6"/>
  <c r="D17272" i="6"/>
  <c r="D17271" i="6"/>
  <c r="D17270" i="6"/>
  <c r="D17269" i="6"/>
  <c r="D17268" i="6"/>
  <c r="D17267" i="6"/>
  <c r="D17266" i="6"/>
  <c r="D17265" i="6"/>
  <c r="D17264" i="6"/>
  <c r="D17263" i="6"/>
  <c r="D17262" i="6"/>
  <c r="D17261" i="6"/>
  <c r="D17260" i="6"/>
  <c r="D17259" i="6"/>
  <c r="D17258" i="6"/>
  <c r="D17257" i="6"/>
  <c r="D17256" i="6"/>
  <c r="D17255" i="6"/>
  <c r="D17254" i="6"/>
  <c r="D17253" i="6"/>
  <c r="D17252" i="6"/>
  <c r="D17251" i="6"/>
  <c r="D17250" i="6"/>
  <c r="D17249" i="6"/>
  <c r="D17248" i="6"/>
  <c r="D17247" i="6"/>
  <c r="D17246" i="6"/>
  <c r="D17245" i="6"/>
  <c r="D17244" i="6"/>
  <c r="D17243" i="6"/>
  <c r="D17242" i="6"/>
  <c r="D17241" i="6"/>
  <c r="D17240" i="6"/>
  <c r="D17239" i="6"/>
  <c r="D17238" i="6"/>
  <c r="D17237" i="6"/>
  <c r="D17236" i="6"/>
  <c r="D17235" i="6"/>
  <c r="D17234" i="6"/>
  <c r="D17233" i="6"/>
  <c r="D17232" i="6"/>
  <c r="D17231" i="6"/>
  <c r="D17230" i="6"/>
  <c r="D17229" i="6"/>
  <c r="D17228" i="6"/>
  <c r="D17227" i="6"/>
  <c r="D17226" i="6"/>
  <c r="D17225" i="6"/>
  <c r="D17224" i="6"/>
  <c r="D17223" i="6"/>
  <c r="D17222" i="6"/>
  <c r="D17221" i="6"/>
  <c r="D17220" i="6"/>
  <c r="D17219" i="6"/>
  <c r="D17218" i="6"/>
  <c r="D17217" i="6"/>
  <c r="D17216" i="6"/>
  <c r="D17215" i="6"/>
  <c r="D17214" i="6"/>
  <c r="D17204" i="6"/>
  <c r="D17203" i="6"/>
  <c r="D17202" i="6"/>
  <c r="D17201" i="6"/>
  <c r="D17200" i="6"/>
  <c r="D17199" i="6"/>
  <c r="D17198" i="6"/>
  <c r="D17197" i="6"/>
  <c r="D17196" i="6"/>
  <c r="D17195" i="6"/>
  <c r="D17194" i="6"/>
  <c r="D17193" i="6"/>
  <c r="D17192" i="6"/>
  <c r="D17191" i="6"/>
  <c r="D17190" i="6"/>
  <c r="D17189" i="6"/>
  <c r="D17188" i="6"/>
  <c r="D17187" i="6"/>
  <c r="D17186" i="6"/>
  <c r="D17185" i="6"/>
  <c r="D17184" i="6"/>
  <c r="D17183" i="6"/>
  <c r="D17182" i="6"/>
  <c r="D17181" i="6"/>
  <c r="D17180" i="6"/>
  <c r="D17179" i="6"/>
  <c r="D17178" i="6"/>
  <c r="D17177" i="6"/>
  <c r="D17176" i="6"/>
  <c r="D17175" i="6"/>
  <c r="D17174" i="6"/>
  <c r="D17173" i="6"/>
  <c r="D17172" i="6"/>
  <c r="D17171" i="6"/>
  <c r="D17170" i="6"/>
  <c r="D17169" i="6"/>
  <c r="D17168" i="6"/>
  <c r="D17167" i="6"/>
  <c r="D17166" i="6"/>
  <c r="D17165" i="6"/>
  <c r="D17164" i="6"/>
  <c r="D17163" i="6"/>
  <c r="D17162" i="6"/>
  <c r="D17161" i="6"/>
  <c r="D17160" i="6"/>
  <c r="D17159" i="6"/>
  <c r="D17158" i="6"/>
  <c r="D17157" i="6"/>
  <c r="D17156" i="6"/>
  <c r="D17155" i="6"/>
  <c r="D17154" i="6"/>
  <c r="D17153" i="6"/>
  <c r="D17152" i="6"/>
  <c r="D17151" i="6"/>
  <c r="D17150" i="6"/>
  <c r="D17149" i="6"/>
  <c r="D17148" i="6"/>
  <c r="D17147" i="6"/>
  <c r="D17118" i="6"/>
  <c r="D17117" i="6"/>
  <c r="D17116" i="6"/>
  <c r="D17115" i="6"/>
  <c r="D17114" i="6"/>
  <c r="D17113" i="6"/>
  <c r="D17112" i="6"/>
  <c r="D17111" i="6"/>
  <c r="D17110" i="6"/>
  <c r="D17109" i="6"/>
  <c r="D17108" i="6"/>
  <c r="D17107" i="6"/>
  <c r="D17106" i="6"/>
  <c r="D17105" i="6"/>
  <c r="D17104" i="6"/>
  <c r="D17103" i="6"/>
  <c r="D17102" i="6"/>
  <c r="D17101" i="6"/>
  <c r="D17100" i="6"/>
  <c r="D17099" i="6"/>
  <c r="D17098" i="6"/>
  <c r="D17097" i="6"/>
  <c r="D17096" i="6"/>
  <c r="D17095" i="6"/>
  <c r="D17094" i="6"/>
  <c r="D17093" i="6"/>
  <c r="D17092" i="6"/>
  <c r="D17091" i="6"/>
  <c r="D17090" i="6"/>
  <c r="D17089" i="6"/>
  <c r="D17088" i="6"/>
  <c r="D17087" i="6"/>
  <c r="D17086" i="6"/>
  <c r="D17085" i="6"/>
  <c r="D17084" i="6"/>
  <c r="D17083" i="6"/>
  <c r="D17082" i="6"/>
  <c r="D17081" i="6"/>
  <c r="D17080" i="6"/>
  <c r="D17079" i="6"/>
  <c r="D17078" i="6"/>
  <c r="D17077" i="6"/>
  <c r="D17076" i="6"/>
  <c r="D17075" i="6"/>
  <c r="D17074" i="6"/>
  <c r="D17073" i="6"/>
  <c r="D17072" i="6"/>
  <c r="D17071" i="6"/>
  <c r="D17070" i="6"/>
  <c r="D17069" i="6"/>
  <c r="D17068" i="6"/>
  <c r="D17067" i="6"/>
  <c r="D17066" i="6"/>
  <c r="D17065" i="6"/>
  <c r="D17064" i="6"/>
  <c r="D17063" i="6"/>
  <c r="D17062" i="6"/>
  <c r="D17061" i="6"/>
  <c r="D17060" i="6"/>
  <c r="D17059" i="6"/>
  <c r="D17058" i="6"/>
  <c r="D17057" i="6"/>
  <c r="D17056" i="6"/>
  <c r="D17055" i="6"/>
  <c r="D17054" i="6"/>
  <c r="D17053" i="6"/>
  <c r="D17052" i="6"/>
  <c r="D17051" i="6"/>
  <c r="D17050" i="6"/>
  <c r="D17049" i="6"/>
  <c r="D17048" i="6"/>
  <c r="D17047" i="6"/>
  <c r="D17046" i="6"/>
  <c r="D17045" i="6"/>
  <c r="D17044" i="6"/>
  <c r="D17043" i="6"/>
  <c r="D17042" i="6"/>
  <c r="D17041" i="6"/>
  <c r="D17040" i="6"/>
  <c r="D17039" i="6"/>
  <c r="D17038" i="6"/>
  <c r="D17037" i="6"/>
  <c r="D17036" i="6"/>
  <c r="D17035" i="6"/>
  <c r="D17034" i="6"/>
  <c r="D17033" i="6"/>
  <c r="D17032" i="6"/>
  <c r="D17031" i="6"/>
  <c r="D17030" i="6"/>
  <c r="D17029" i="6"/>
  <c r="D17028" i="6"/>
  <c r="D17027" i="6"/>
  <c r="D17026" i="6"/>
  <c r="D17025" i="6"/>
  <c r="D17024" i="6"/>
  <c r="D17023" i="6"/>
  <c r="D17022" i="6"/>
  <c r="D17021" i="6"/>
  <c r="D17020" i="6"/>
  <c r="D17019" i="6"/>
  <c r="D17018" i="6"/>
  <c r="D17017" i="6"/>
  <c r="D17016" i="6"/>
  <c r="D17015" i="6"/>
  <c r="D17014" i="6"/>
  <c r="D17013" i="6"/>
  <c r="D17012" i="6"/>
  <c r="D17011" i="6"/>
  <c r="D17010" i="6"/>
  <c r="D17009" i="6"/>
  <c r="D17008" i="6"/>
  <c r="D17007" i="6"/>
  <c r="D17006" i="6"/>
  <c r="D17005" i="6"/>
  <c r="D17004" i="6"/>
  <c r="D17003" i="6"/>
  <c r="D17002" i="6"/>
  <c r="D17001" i="6"/>
  <c r="D17000" i="6"/>
  <c r="D16999" i="6"/>
  <c r="D16998" i="6"/>
  <c r="D16997" i="6"/>
  <c r="D16996" i="6"/>
  <c r="D16995" i="6"/>
  <c r="D16994" i="6"/>
  <c r="D16993" i="6"/>
  <c r="D16992" i="6"/>
  <c r="D16991" i="6"/>
  <c r="D16990" i="6"/>
  <c r="D16989" i="6"/>
  <c r="D16988" i="6"/>
  <c r="D16987" i="6"/>
  <c r="D16986" i="6"/>
  <c r="D16985" i="6"/>
  <c r="D16984" i="6"/>
  <c r="D16983" i="6"/>
  <c r="D16982" i="6"/>
  <c r="D16981" i="6"/>
  <c r="D16980" i="6"/>
  <c r="D16979" i="6"/>
  <c r="D16978" i="6"/>
  <c r="D16977" i="6"/>
  <c r="D16976" i="6"/>
  <c r="D16975" i="6"/>
  <c r="D16974" i="6"/>
  <c r="D16973" i="6"/>
  <c r="D16972" i="6"/>
  <c r="D16971" i="6"/>
  <c r="D16970" i="6"/>
  <c r="D16969" i="6"/>
  <c r="D16968" i="6"/>
  <c r="D16967" i="6"/>
  <c r="D16966" i="6"/>
  <c r="D16965" i="6"/>
  <c r="D16964" i="6"/>
  <c r="D16963" i="6"/>
  <c r="D16962" i="6"/>
  <c r="D16961" i="6"/>
  <c r="D16960" i="6"/>
  <c r="D16959" i="6"/>
  <c r="D16958" i="6"/>
  <c r="D16957" i="6"/>
  <c r="D16956" i="6"/>
  <c r="D16955" i="6"/>
  <c r="D16954" i="6"/>
  <c r="D16953" i="6"/>
  <c r="D16952" i="6"/>
  <c r="D16951" i="6"/>
  <c r="D16950" i="6"/>
  <c r="D16949" i="6"/>
  <c r="D16948" i="6"/>
  <c r="D16947" i="6"/>
  <c r="D16946" i="6"/>
  <c r="D16945" i="6"/>
  <c r="D16944" i="6"/>
  <c r="D16943" i="6"/>
  <c r="D16942" i="6"/>
  <c r="D16941" i="6"/>
  <c r="D16940" i="6"/>
  <c r="D16939" i="6"/>
  <c r="D16938" i="6"/>
  <c r="D16937" i="6"/>
  <c r="D16936" i="6"/>
  <c r="D16935" i="6"/>
  <c r="D16934" i="6"/>
  <c r="D16933" i="6"/>
  <c r="D16932" i="6"/>
  <c r="D16931" i="6"/>
  <c r="D16930" i="6"/>
  <c r="D16929" i="6"/>
  <c r="D16928" i="6"/>
  <c r="D16927" i="6"/>
  <c r="D16926" i="6"/>
  <c r="D16925" i="6"/>
  <c r="D16924" i="6"/>
  <c r="D16923" i="6"/>
  <c r="D16922" i="6"/>
  <c r="D16921" i="6"/>
  <c r="D16920" i="6"/>
  <c r="D16919" i="6"/>
  <c r="D16918" i="6"/>
  <c r="D16917" i="6"/>
  <c r="D16916" i="6"/>
  <c r="D16915" i="6"/>
  <c r="D16914" i="6"/>
  <c r="D16913" i="6"/>
  <c r="D16912" i="6"/>
  <c r="D16911" i="6"/>
  <c r="D16910" i="6"/>
  <c r="D16909" i="6"/>
  <c r="D16908" i="6"/>
  <c r="D16907" i="6"/>
  <c r="D16906" i="6"/>
  <c r="D16905" i="6"/>
  <c r="D16904" i="6"/>
  <c r="D16903" i="6"/>
  <c r="D16902" i="6"/>
  <c r="D16899" i="6"/>
  <c r="D16898" i="6"/>
  <c r="D16897" i="6"/>
  <c r="D16896" i="6"/>
  <c r="D16895" i="6"/>
  <c r="D16880" i="6"/>
  <c r="D16879" i="6"/>
  <c r="D16878" i="6"/>
  <c r="D16877" i="6"/>
  <c r="D16876" i="6"/>
  <c r="D16875" i="6"/>
  <c r="D16874" i="6"/>
  <c r="D16873" i="6"/>
  <c r="D16872" i="6"/>
  <c r="D16871" i="6"/>
  <c r="D16870" i="6"/>
  <c r="D16869" i="6"/>
  <c r="D16868" i="6"/>
  <c r="D16867" i="6"/>
  <c r="D16866" i="6"/>
  <c r="D16865" i="6"/>
  <c r="D16864" i="6"/>
  <c r="D16863" i="6"/>
  <c r="D16862" i="6"/>
  <c r="D16861" i="6"/>
  <c r="D16860" i="6"/>
  <c r="D16859" i="6"/>
  <c r="D16858" i="6"/>
  <c r="D16857" i="6"/>
  <c r="D16856" i="6"/>
  <c r="D16855" i="6"/>
  <c r="D16854" i="6"/>
  <c r="D16853" i="6"/>
  <c r="D16852" i="6"/>
  <c r="D16851" i="6"/>
  <c r="D16850" i="6"/>
  <c r="D16849" i="6"/>
  <c r="D16848" i="6"/>
  <c r="D16847" i="6"/>
  <c r="D16846" i="6"/>
  <c r="D16845" i="6"/>
  <c r="D16844" i="6"/>
  <c r="D16843" i="6"/>
  <c r="D16842" i="6"/>
  <c r="D16841" i="6"/>
  <c r="D16840" i="6"/>
  <c r="D16839" i="6"/>
  <c r="D16838" i="6"/>
  <c r="D16837" i="6"/>
  <c r="D16836" i="6"/>
  <c r="D16835" i="6"/>
  <c r="D16834" i="6"/>
  <c r="D16833" i="6"/>
  <c r="D16832" i="6"/>
  <c r="D16831" i="6"/>
  <c r="D16830" i="6"/>
  <c r="D16829" i="6"/>
  <c r="D16828" i="6"/>
  <c r="D16827" i="6"/>
  <c r="D16826" i="6"/>
  <c r="D16825" i="6"/>
  <c r="D16824" i="6"/>
  <c r="D16823" i="6"/>
  <c r="D16822" i="6"/>
  <c r="D16821" i="6"/>
  <c r="D16820" i="6"/>
  <c r="D16819" i="6"/>
  <c r="D16818" i="6"/>
  <c r="D16817" i="6"/>
  <c r="D16767" i="6"/>
  <c r="D16766" i="6"/>
  <c r="D16765" i="6"/>
  <c r="D16764" i="6"/>
  <c r="D16763" i="6"/>
  <c r="D16762" i="6"/>
  <c r="D16761" i="6"/>
  <c r="D16760" i="6"/>
  <c r="D16759" i="6"/>
  <c r="D16758" i="6"/>
  <c r="D16757" i="6"/>
  <c r="D16756" i="6"/>
  <c r="D16755" i="6"/>
  <c r="D16754" i="6"/>
  <c r="D16753" i="6"/>
  <c r="D16752" i="6"/>
  <c r="D16751" i="6"/>
  <c r="D16750" i="6"/>
  <c r="D16749" i="6"/>
  <c r="D16748" i="6"/>
  <c r="D16747" i="6"/>
  <c r="D16746" i="6"/>
  <c r="D16745" i="6"/>
  <c r="D16744" i="6"/>
  <c r="D16743" i="6"/>
  <c r="D16742" i="6"/>
  <c r="D16741" i="6"/>
  <c r="D16740" i="6"/>
  <c r="D16739" i="6"/>
  <c r="D16738" i="6"/>
  <c r="D16737" i="6"/>
  <c r="D16736" i="6"/>
  <c r="D16735" i="6"/>
  <c r="D16734" i="6"/>
  <c r="D16733" i="6"/>
  <c r="D16732" i="6"/>
  <c r="D16731" i="6"/>
  <c r="D16730" i="6"/>
  <c r="D16729" i="6"/>
  <c r="D16728" i="6"/>
  <c r="D16727" i="6"/>
  <c r="D16726" i="6"/>
  <c r="D16725" i="6"/>
  <c r="D16724" i="6"/>
  <c r="D16723" i="6"/>
  <c r="D16722" i="6"/>
  <c r="D16721" i="6"/>
  <c r="D16720" i="6"/>
  <c r="D16719" i="6"/>
  <c r="D16718" i="6"/>
  <c r="D16717" i="6"/>
  <c r="D16716" i="6"/>
  <c r="D16715" i="6"/>
  <c r="D16714" i="6"/>
  <c r="D16713" i="6"/>
  <c r="D16712" i="6"/>
  <c r="D16711" i="6"/>
  <c r="D16710" i="6"/>
  <c r="D16709" i="6"/>
  <c r="D16708" i="6"/>
  <c r="D16707" i="6"/>
  <c r="D16706" i="6"/>
  <c r="D16705" i="6"/>
  <c r="D16704" i="6"/>
  <c r="D16703" i="6"/>
  <c r="D16702" i="6"/>
  <c r="D16701" i="6"/>
  <c r="D16700" i="6"/>
  <c r="D16699" i="6"/>
  <c r="D16698" i="6"/>
  <c r="D16697" i="6"/>
  <c r="D16696" i="6"/>
  <c r="D16695" i="6"/>
  <c r="D16694" i="6"/>
  <c r="D16693" i="6"/>
  <c r="D16692" i="6"/>
  <c r="D16691" i="6"/>
  <c r="D16690" i="6"/>
  <c r="D16689" i="6"/>
  <c r="D16688" i="6"/>
  <c r="D16687" i="6"/>
  <c r="D16686" i="6"/>
  <c r="D16685" i="6"/>
  <c r="D16684" i="6"/>
  <c r="D16683" i="6"/>
  <c r="D16682" i="6"/>
  <c r="D16681" i="6"/>
  <c r="D16680" i="6"/>
  <c r="D16679" i="6"/>
  <c r="D16678" i="6"/>
  <c r="D16677" i="6"/>
  <c r="D16676" i="6"/>
  <c r="D16675" i="6"/>
  <c r="D16674" i="6"/>
  <c r="D16673" i="6"/>
  <c r="D16672" i="6"/>
  <c r="D16671" i="6"/>
  <c r="D16670" i="6"/>
  <c r="D16669" i="6"/>
  <c r="D16668" i="6"/>
  <c r="D16667" i="6"/>
  <c r="D16666" i="6"/>
  <c r="D16665" i="6"/>
  <c r="D16664" i="6"/>
  <c r="D16663" i="6"/>
  <c r="D16662" i="6"/>
  <c r="D16661" i="6"/>
  <c r="D16660" i="6"/>
  <c r="D16659" i="6"/>
  <c r="D16658" i="6"/>
  <c r="D16657" i="6"/>
  <c r="D16656" i="6"/>
  <c r="D16655" i="6"/>
  <c r="D16654" i="6"/>
  <c r="D16653" i="6"/>
  <c r="D16652" i="6"/>
  <c r="D16651" i="6"/>
  <c r="D16650" i="6"/>
  <c r="D16649" i="6"/>
  <c r="D16648" i="6"/>
  <c r="D16647" i="6"/>
  <c r="D16646" i="6"/>
  <c r="D16645" i="6"/>
  <c r="D16644" i="6"/>
  <c r="D16643" i="6"/>
  <c r="D16642" i="6"/>
  <c r="D16641" i="6"/>
  <c r="D16640" i="6"/>
  <c r="D16639" i="6"/>
  <c r="D16638" i="6"/>
  <c r="D16637" i="6"/>
  <c r="D16636" i="6"/>
  <c r="D16635" i="6"/>
  <c r="D16634" i="6"/>
  <c r="D16633" i="6"/>
  <c r="D16632" i="6"/>
  <c r="D16631" i="6"/>
  <c r="D16630" i="6"/>
  <c r="D16629" i="6"/>
  <c r="D16628" i="6"/>
  <c r="D16627" i="6"/>
  <c r="D16626" i="6"/>
  <c r="D16625" i="6"/>
  <c r="D16624" i="6"/>
  <c r="D16623" i="6"/>
  <c r="D16622" i="6"/>
  <c r="D16621" i="6"/>
  <c r="D16620" i="6"/>
  <c r="D16619" i="6"/>
  <c r="D16618" i="6"/>
  <c r="D16617" i="6"/>
  <c r="D16616" i="6"/>
  <c r="D16615" i="6"/>
  <c r="D16614" i="6"/>
  <c r="D16613" i="6"/>
  <c r="D16612" i="6"/>
  <c r="D16611" i="6"/>
  <c r="D16610" i="6"/>
  <c r="D16609" i="6"/>
  <c r="D16608" i="6"/>
  <c r="D16607" i="6"/>
  <c r="D16606" i="6"/>
  <c r="D16605" i="6"/>
  <c r="D16604" i="6"/>
  <c r="D16603" i="6"/>
  <c r="D16602" i="6"/>
  <c r="D16601" i="6"/>
  <c r="D16600" i="6"/>
  <c r="D16599" i="6"/>
  <c r="D16598" i="6"/>
  <c r="D16597" i="6"/>
  <c r="D16596" i="6"/>
  <c r="D16595" i="6"/>
  <c r="D16594" i="6"/>
  <c r="D16593" i="6"/>
  <c r="D16592" i="6"/>
  <c r="D16591" i="6"/>
  <c r="D16590" i="6"/>
  <c r="D16589" i="6"/>
  <c r="D16588" i="6"/>
  <c r="D16587" i="6"/>
  <c r="D16586" i="6"/>
  <c r="D16585" i="6"/>
  <c r="D16584" i="6"/>
  <c r="D16583" i="6"/>
  <c r="D16582" i="6"/>
  <c r="D16581" i="6"/>
  <c r="D16580" i="6"/>
  <c r="D16579" i="6"/>
  <c r="D16578" i="6"/>
  <c r="D16577" i="6"/>
  <c r="D16576" i="6"/>
  <c r="D16575" i="6"/>
  <c r="D16574" i="6"/>
  <c r="D16573" i="6"/>
  <c r="D16572" i="6"/>
  <c r="D16571" i="6"/>
  <c r="D16570" i="6"/>
  <c r="D16569" i="6"/>
  <c r="D16568" i="6"/>
  <c r="D16567" i="6"/>
  <c r="D16566" i="6"/>
  <c r="D16565" i="6"/>
  <c r="D16564" i="6"/>
  <c r="D16563" i="6"/>
  <c r="D16562" i="6"/>
  <c r="D16561" i="6"/>
  <c r="D16560" i="6"/>
  <c r="D16559" i="6"/>
  <c r="D16558" i="6"/>
  <c r="D16557" i="6"/>
  <c r="D16556" i="6"/>
  <c r="D16555" i="6"/>
  <c r="D16554" i="6"/>
  <c r="D16553" i="6"/>
  <c r="D16552" i="6"/>
  <c r="D16551" i="6"/>
  <c r="D16550" i="6"/>
  <c r="D16549" i="6"/>
  <c r="D16548" i="6"/>
  <c r="D16547" i="6"/>
  <c r="D16546" i="6"/>
  <c r="D16545" i="6"/>
  <c r="D16544" i="6"/>
  <c r="D16543" i="6"/>
  <c r="D16542" i="6"/>
  <c r="D16541" i="6"/>
  <c r="D16540" i="6"/>
  <c r="D16539" i="6"/>
  <c r="D16538" i="6"/>
  <c r="D16537" i="6"/>
  <c r="D16536" i="6"/>
  <c r="D16535" i="6"/>
  <c r="D16534" i="6"/>
  <c r="D16533" i="6"/>
  <c r="D16532" i="6"/>
  <c r="D16531" i="6"/>
  <c r="D16530" i="6"/>
  <c r="D16529" i="6"/>
  <c r="D16528" i="6"/>
  <c r="D16527" i="6"/>
  <c r="D16526" i="6"/>
  <c r="D16525" i="6"/>
  <c r="D16524" i="6"/>
  <c r="D16523" i="6"/>
  <c r="D16522" i="6"/>
  <c r="D16521" i="6"/>
  <c r="D16520" i="6"/>
  <c r="D16519" i="6"/>
  <c r="D16518" i="6"/>
  <c r="D16517" i="6"/>
  <c r="D16516" i="6"/>
  <c r="D16515" i="6"/>
  <c r="D16514" i="6"/>
  <c r="D16513" i="6"/>
  <c r="D16512" i="6"/>
  <c r="D16511" i="6"/>
  <c r="D16510" i="6"/>
  <c r="D16509" i="6"/>
  <c r="D16508" i="6"/>
  <c r="D16507" i="6"/>
  <c r="D16506" i="6"/>
  <c r="D16505" i="6"/>
  <c r="D16504" i="6"/>
  <c r="D16503" i="6"/>
  <c r="D16502" i="6"/>
  <c r="D16501" i="6"/>
  <c r="D16500" i="6"/>
  <c r="D16499" i="6"/>
  <c r="D16498" i="6"/>
  <c r="D16497" i="6"/>
  <c r="D16496" i="6"/>
  <c r="D16495" i="6"/>
  <c r="D16494" i="6"/>
  <c r="D16493" i="6"/>
  <c r="D16492" i="6"/>
  <c r="D16491" i="6"/>
  <c r="D16490" i="6"/>
  <c r="D16489" i="6"/>
  <c r="D16488" i="6"/>
  <c r="D16487" i="6"/>
  <c r="D16486" i="6"/>
  <c r="D16485" i="6"/>
  <c r="D16484" i="6"/>
  <c r="D16483" i="6"/>
  <c r="D16482" i="6"/>
  <c r="D16481" i="6"/>
  <c r="D16480" i="6"/>
  <c r="D16479" i="6"/>
  <c r="D16478" i="6"/>
  <c r="D16477" i="6"/>
  <c r="D16476" i="6"/>
  <c r="D16475" i="6"/>
  <c r="D16474" i="6"/>
  <c r="D16473" i="6"/>
  <c r="D16472" i="6"/>
  <c r="D16471" i="6"/>
  <c r="D16470" i="6"/>
  <c r="D16440" i="6"/>
  <c r="D16439" i="6"/>
  <c r="D16438" i="6"/>
  <c r="D16437" i="6"/>
  <c r="D16436" i="6"/>
  <c r="D16435" i="6"/>
  <c r="D16434" i="6"/>
  <c r="D16433" i="6"/>
  <c r="D16432" i="6"/>
  <c r="D16431" i="6"/>
  <c r="D16430" i="6"/>
  <c r="D16429" i="6"/>
  <c r="D16428" i="6"/>
  <c r="D16427" i="6"/>
  <c r="D16426" i="6"/>
  <c r="D16425" i="6"/>
  <c r="D16424" i="6"/>
  <c r="D16423" i="6"/>
  <c r="D16422" i="6"/>
  <c r="D16421" i="6"/>
  <c r="D16420" i="6"/>
  <c r="D16419" i="6"/>
  <c r="D16418" i="6"/>
  <c r="D16417" i="6"/>
  <c r="D16415" i="6"/>
  <c r="D16414" i="6"/>
  <c r="D16413" i="6"/>
  <c r="D16412" i="6"/>
  <c r="D16411" i="6"/>
  <c r="D16410" i="6"/>
  <c r="D16409" i="6"/>
  <c r="D16408" i="6"/>
  <c r="D16405" i="6"/>
  <c r="D16404" i="6"/>
  <c r="D16403" i="6"/>
  <c r="D16402" i="6"/>
  <c r="D16401" i="6"/>
  <c r="D16400" i="6"/>
  <c r="D16399" i="6"/>
  <c r="D16398" i="6"/>
  <c r="D16397" i="6"/>
  <c r="D16396" i="6"/>
  <c r="D16395" i="6"/>
  <c r="D16394" i="6"/>
  <c r="D16393" i="6"/>
  <c r="D16392" i="6"/>
  <c r="D16391" i="6"/>
  <c r="D16390" i="6"/>
  <c r="D16389" i="6"/>
  <c r="D16388" i="6"/>
  <c r="D16387" i="6"/>
  <c r="D16386" i="6"/>
  <c r="D16385" i="6"/>
  <c r="D16384" i="6"/>
  <c r="D16383" i="6"/>
  <c r="D16382" i="6"/>
  <c r="D16381" i="6"/>
  <c r="D16380" i="6"/>
  <c r="D16379" i="6"/>
  <c r="D16378" i="6"/>
  <c r="D16377" i="6"/>
  <c r="D16376" i="6"/>
  <c r="D16375" i="6"/>
  <c r="D16374" i="6"/>
  <c r="D16373" i="6"/>
  <c r="D16372" i="6"/>
  <c r="D16371" i="6"/>
  <c r="D16370" i="6"/>
  <c r="D16369" i="6"/>
  <c r="D16368" i="6"/>
  <c r="D16367" i="6"/>
  <c r="D16366" i="6"/>
  <c r="D16365" i="6"/>
  <c r="D16364" i="6"/>
  <c r="D16363" i="6"/>
  <c r="D16362" i="6"/>
  <c r="D16361" i="6"/>
  <c r="D16360" i="6"/>
  <c r="D16359" i="6"/>
  <c r="D16358" i="6"/>
  <c r="D16357" i="6"/>
  <c r="D16356" i="6"/>
  <c r="D16355" i="6"/>
  <c r="D16354" i="6"/>
  <c r="D16353" i="6"/>
  <c r="D16352" i="6"/>
  <c r="D16351" i="6"/>
  <c r="D16350" i="6"/>
  <c r="D16349" i="6"/>
  <c r="D16348" i="6"/>
  <c r="D16347" i="6"/>
  <c r="D16346" i="6"/>
  <c r="D16345" i="6"/>
  <c r="D16344" i="6"/>
  <c r="D16343" i="6"/>
  <c r="D16342" i="6"/>
  <c r="D16341" i="6"/>
  <c r="D16340" i="6"/>
  <c r="D16339" i="6"/>
  <c r="D16338" i="6"/>
  <c r="D16337" i="6"/>
  <c r="D16336" i="6"/>
  <c r="D16335" i="6"/>
  <c r="D16334" i="6"/>
  <c r="D16333" i="6"/>
  <c r="D16332" i="6"/>
  <c r="D16331" i="6"/>
  <c r="D16330" i="6"/>
  <c r="D16329" i="6"/>
  <c r="D16328" i="6"/>
  <c r="D16327" i="6"/>
  <c r="D16326" i="6"/>
  <c r="D16325" i="6"/>
  <c r="D16324" i="6"/>
  <c r="D16323" i="6"/>
  <c r="D16322" i="6"/>
  <c r="D16321" i="6"/>
  <c r="D16320" i="6"/>
  <c r="D16319" i="6"/>
  <c r="D16318" i="6"/>
  <c r="D16317" i="6"/>
  <c r="D16316" i="6"/>
  <c r="D16315" i="6"/>
  <c r="D16314" i="6"/>
  <c r="D16313" i="6"/>
  <c r="D16312" i="6"/>
  <c r="D16311" i="6"/>
  <c r="D16310" i="6"/>
  <c r="D16291" i="6"/>
  <c r="D16290" i="6"/>
  <c r="D16289" i="6"/>
  <c r="D16288" i="6"/>
  <c r="D16287" i="6"/>
  <c r="D16286" i="6"/>
  <c r="D16285" i="6"/>
  <c r="D16284" i="6"/>
  <c r="D16283" i="6"/>
  <c r="D16282" i="6"/>
  <c r="D16281" i="6"/>
  <c r="D16280" i="6"/>
  <c r="D16279" i="6"/>
  <c r="D16278" i="6"/>
  <c r="D16275" i="6"/>
  <c r="D16274" i="6"/>
  <c r="D16273" i="6"/>
  <c r="D16272" i="6"/>
  <c r="D16271" i="6"/>
  <c r="D16270" i="6"/>
  <c r="D16269" i="6"/>
  <c r="D16268" i="6"/>
  <c r="D16267" i="6"/>
  <c r="D16266" i="6"/>
  <c r="D16265" i="6"/>
  <c r="D16264" i="6"/>
  <c r="D16263" i="6"/>
  <c r="D16262" i="6"/>
  <c r="D16261" i="6"/>
  <c r="D16260" i="6"/>
  <c r="D16259" i="6"/>
  <c r="D16258" i="6"/>
  <c r="D16257" i="6"/>
  <c r="D16256" i="6"/>
  <c r="D16255" i="6"/>
  <c r="D16254" i="6"/>
  <c r="D16253" i="6"/>
  <c r="D16252" i="6"/>
  <c r="D16251" i="6"/>
  <c r="D16250" i="6"/>
  <c r="D16249" i="6"/>
  <c r="D16248" i="6"/>
  <c r="D16247" i="6"/>
  <c r="D16246" i="6"/>
  <c r="D16218" i="6"/>
  <c r="D16217" i="6"/>
  <c r="D16216" i="6"/>
  <c r="D16215" i="6"/>
  <c r="D16214" i="6"/>
  <c r="D16213" i="6"/>
  <c r="D16212" i="6"/>
  <c r="D16211" i="6"/>
  <c r="D16210" i="6"/>
  <c r="D16209" i="6"/>
  <c r="D16208" i="6"/>
  <c r="D16207" i="6"/>
  <c r="D16206" i="6"/>
  <c r="D16205" i="6"/>
  <c r="D16204" i="6"/>
  <c r="D16203" i="6"/>
  <c r="D16202" i="6"/>
  <c r="D16201" i="6"/>
  <c r="D16200" i="6"/>
  <c r="D16199" i="6"/>
  <c r="D16198" i="6"/>
  <c r="D16197" i="6"/>
  <c r="D16196" i="6"/>
  <c r="D16195" i="6"/>
  <c r="D16194" i="6"/>
  <c r="D16193" i="6"/>
  <c r="D16192" i="6"/>
  <c r="D16191" i="6"/>
  <c r="D16190" i="6"/>
  <c r="D16189" i="6"/>
  <c r="D16188" i="6"/>
  <c r="D16187" i="6"/>
  <c r="D16186" i="6"/>
  <c r="D16185" i="6"/>
  <c r="D16184" i="6"/>
  <c r="D16183" i="6"/>
  <c r="D16182" i="6"/>
  <c r="D16181" i="6"/>
  <c r="D16180" i="6"/>
  <c r="D16179" i="6"/>
  <c r="D16178" i="6"/>
  <c r="D16177" i="6"/>
  <c r="D16176" i="6"/>
  <c r="D16175" i="6"/>
  <c r="D16174" i="6"/>
  <c r="D16173" i="6"/>
  <c r="D16172" i="6"/>
  <c r="D16171" i="6"/>
  <c r="D16170" i="6"/>
  <c r="D16169" i="6"/>
  <c r="D16168" i="6"/>
  <c r="D16167" i="6"/>
  <c r="D16166" i="6"/>
  <c r="D16165" i="6"/>
  <c r="D16164" i="6"/>
  <c r="D16163" i="6"/>
  <c r="D16162" i="6"/>
  <c r="D16161" i="6"/>
  <c r="D16160" i="6"/>
  <c r="D16159" i="6"/>
  <c r="D16158" i="6"/>
  <c r="D16157" i="6"/>
  <c r="D16156" i="6"/>
  <c r="D16155" i="6"/>
  <c r="D16154" i="6"/>
  <c r="D16153" i="6"/>
  <c r="D16152" i="6"/>
  <c r="D16151" i="6"/>
  <c r="D16150" i="6"/>
  <c r="D16149" i="6"/>
  <c r="D16148" i="6"/>
  <c r="D16147" i="6"/>
  <c r="D16146" i="6"/>
  <c r="D16145" i="6"/>
  <c r="D16144" i="6"/>
  <c r="D16143" i="6"/>
  <c r="D16142" i="6"/>
  <c r="D16141" i="6"/>
  <c r="D16140" i="6"/>
  <c r="D16139" i="6"/>
  <c r="D16138" i="6"/>
  <c r="D16137" i="6"/>
  <c r="D16136" i="6"/>
  <c r="D16135" i="6"/>
  <c r="D16134" i="6"/>
  <c r="D16133" i="6"/>
  <c r="D16132" i="6"/>
  <c r="D16131" i="6"/>
  <c r="D16130" i="6"/>
  <c r="D16129" i="6"/>
  <c r="D16128" i="6"/>
  <c r="D16127" i="6"/>
  <c r="D16126" i="6"/>
  <c r="D16125" i="6"/>
  <c r="D16124" i="6"/>
  <c r="D16123" i="6"/>
  <c r="D16122" i="6"/>
  <c r="D16121" i="6"/>
  <c r="D16120" i="6"/>
  <c r="D16119" i="6"/>
  <c r="D16118" i="6"/>
  <c r="D16117" i="6"/>
  <c r="D16116" i="6"/>
  <c r="D16115" i="6"/>
  <c r="D16114" i="6"/>
  <c r="D16113" i="6"/>
  <c r="D16112" i="6"/>
  <c r="D16111" i="6"/>
  <c r="D16110" i="6"/>
  <c r="D16109" i="6"/>
  <c r="D16108" i="6"/>
  <c r="D16107" i="6"/>
  <c r="D16106" i="6"/>
  <c r="D16105" i="6"/>
  <c r="D16104" i="6"/>
  <c r="D16103" i="6"/>
  <c r="D16102" i="6"/>
  <c r="D16101" i="6"/>
  <c r="D16100" i="6"/>
  <c r="D16096" i="6"/>
  <c r="D16095" i="6"/>
  <c r="D16094" i="6"/>
  <c r="D16093" i="6"/>
  <c r="D16092" i="6"/>
  <c r="D16091" i="6"/>
  <c r="D16090" i="6"/>
  <c r="D16089" i="6"/>
  <c r="D16088" i="6"/>
  <c r="D16087" i="6"/>
  <c r="D16086" i="6"/>
  <c r="D16085" i="6"/>
  <c r="D16084" i="6"/>
  <c r="D16083" i="6"/>
  <c r="D16082" i="6"/>
  <c r="D16081" i="6"/>
  <c r="D16080" i="6"/>
  <c r="D16079" i="6"/>
  <c r="D16078" i="6"/>
  <c r="D16077" i="6"/>
  <c r="D16073" i="6"/>
  <c r="D16072" i="6"/>
  <c r="D16071" i="6"/>
  <c r="D16070" i="6"/>
  <c r="D16069" i="6"/>
  <c r="D16068" i="6"/>
  <c r="D16067" i="6"/>
  <c r="D16066" i="6"/>
  <c r="D16065" i="6"/>
  <c r="D16061" i="6"/>
  <c r="D16060" i="6"/>
  <c r="D16059" i="6"/>
  <c r="D16058" i="6"/>
  <c r="D16057" i="6"/>
  <c r="D16056" i="6"/>
  <c r="D16055" i="6"/>
  <c r="D16054" i="6"/>
  <c r="D16053" i="6"/>
  <c r="D16052" i="6"/>
  <c r="D16051" i="6"/>
  <c r="D16047" i="6"/>
  <c r="D16046" i="6"/>
  <c r="D16045" i="6"/>
  <c r="D16044" i="6"/>
  <c r="D16043" i="6"/>
  <c r="D16042" i="6"/>
  <c r="D16041" i="6"/>
  <c r="D16040" i="6"/>
  <c r="D16039" i="6"/>
  <c r="D16038" i="6"/>
  <c r="D16037" i="6"/>
  <c r="D16036" i="6"/>
  <c r="D16035" i="6"/>
  <c r="D16034" i="6"/>
  <c r="D16033" i="6"/>
  <c r="D16032" i="6"/>
  <c r="D16031" i="6"/>
  <c r="D16030" i="6"/>
  <c r="D16029" i="6"/>
  <c r="D16028" i="6"/>
  <c r="D16027" i="6"/>
  <c r="D16000" i="6"/>
  <c r="D15999" i="6"/>
  <c r="D15998" i="6"/>
  <c r="D15997" i="6"/>
  <c r="D15996" i="6"/>
  <c r="D15995" i="6"/>
  <c r="D15994" i="6"/>
  <c r="D15993" i="6"/>
  <c r="D15992" i="6"/>
  <c r="D15991" i="6"/>
  <c r="D15990" i="6"/>
  <c r="D15989" i="6"/>
  <c r="D15988" i="6"/>
  <c r="D15987" i="6"/>
  <c r="D15986" i="6"/>
  <c r="D15985" i="6"/>
  <c r="D15984" i="6"/>
  <c r="D15983" i="6"/>
  <c r="D15982" i="6"/>
  <c r="D15981" i="6"/>
  <c r="D15980" i="6"/>
  <c r="D15979" i="6"/>
  <c r="D15978" i="6"/>
  <c r="D15977" i="6"/>
  <c r="D15976" i="6"/>
  <c r="D15975" i="6"/>
  <c r="D15974" i="6"/>
  <c r="D15973" i="6"/>
  <c r="D15972" i="6"/>
  <c r="D15971" i="6"/>
  <c r="D15970" i="6"/>
  <c r="D15969" i="6"/>
  <c r="D15957" i="6"/>
  <c r="D15956" i="6"/>
  <c r="D15955" i="6"/>
  <c r="D15954" i="6"/>
  <c r="D15953" i="6"/>
  <c r="D15932" i="6"/>
  <c r="D15931" i="6"/>
  <c r="D15930" i="6"/>
  <c r="D15929" i="6"/>
  <c r="D15928" i="6"/>
  <c r="D15927" i="6"/>
  <c r="D15926" i="6"/>
  <c r="D15925" i="6"/>
  <c r="D15924" i="6"/>
  <c r="D15923" i="6"/>
  <c r="D15922" i="6"/>
  <c r="D15921" i="6"/>
  <c r="D15920" i="6"/>
  <c r="D15919" i="6"/>
  <c r="D15918" i="6"/>
  <c r="D15917" i="6"/>
  <c r="D15916" i="6"/>
  <c r="D15915" i="6"/>
  <c r="D15914" i="6"/>
  <c r="D15913" i="6"/>
  <c r="D15912" i="6"/>
  <c r="D15911" i="6"/>
  <c r="D15910" i="6"/>
  <c r="D15909" i="6"/>
  <c r="D15908" i="6"/>
  <c r="D15907" i="6"/>
  <c r="D15906" i="6"/>
  <c r="D15905" i="6"/>
  <c r="D15904" i="6"/>
  <c r="D15903" i="6"/>
  <c r="D15902" i="6"/>
  <c r="D15901" i="6"/>
  <c r="D15900" i="6"/>
  <c r="D15899" i="6"/>
  <c r="D15898" i="6"/>
  <c r="D15897" i="6"/>
  <c r="D15896" i="6"/>
  <c r="D15895" i="6"/>
  <c r="D15894" i="6"/>
  <c r="D15893" i="6"/>
  <c r="D15892" i="6"/>
  <c r="D15891" i="6"/>
  <c r="D15890" i="6"/>
  <c r="D15889" i="6"/>
  <c r="D15888" i="6"/>
  <c r="D15887" i="6"/>
  <c r="D15886" i="6"/>
  <c r="D15885" i="6"/>
  <c r="D15884" i="6"/>
  <c r="D15883" i="6"/>
  <c r="D15882" i="6"/>
  <c r="D15881" i="6"/>
  <c r="D15880" i="6"/>
  <c r="D15879" i="6"/>
  <c r="D15878" i="6"/>
  <c r="D15877" i="6"/>
  <c r="D15876" i="6"/>
  <c r="D15875" i="6"/>
  <c r="D15874" i="6"/>
  <c r="D15873" i="6"/>
  <c r="D15872" i="6"/>
  <c r="D15871" i="6"/>
  <c r="D15870" i="6"/>
  <c r="D15869" i="6"/>
  <c r="D15868" i="6"/>
  <c r="D15867" i="6"/>
  <c r="D15866" i="6"/>
  <c r="D15865" i="6"/>
  <c r="D15864" i="6"/>
  <c r="D15863" i="6"/>
  <c r="D15862" i="6"/>
  <c r="D15861" i="6"/>
  <c r="D15860" i="6"/>
  <c r="D15859" i="6"/>
  <c r="D15858" i="6"/>
  <c r="D15857" i="6"/>
  <c r="D15856" i="6"/>
  <c r="D15855" i="6"/>
  <c r="D15854" i="6"/>
  <c r="D15853" i="6"/>
  <c r="D15852" i="6"/>
  <c r="D15851" i="6"/>
  <c r="D15850" i="6"/>
  <c r="D15849" i="6"/>
  <c r="D15848" i="6"/>
  <c r="D15847" i="6"/>
  <c r="D15846" i="6"/>
  <c r="D15845" i="6"/>
  <c r="D15844" i="6"/>
  <c r="D15843" i="6"/>
  <c r="D15842" i="6"/>
  <c r="D15789" i="6"/>
  <c r="D15788" i="6"/>
  <c r="D15787" i="6"/>
  <c r="D15786" i="6"/>
  <c r="D15779" i="6"/>
  <c r="D15778" i="6"/>
  <c r="D15777" i="6"/>
  <c r="D15776" i="6"/>
  <c r="D15775" i="6"/>
  <c r="D15774" i="6"/>
  <c r="D15773" i="6"/>
  <c r="D15772" i="6"/>
  <c r="D15771" i="6"/>
  <c r="D15770" i="6"/>
  <c r="D15768" i="6"/>
  <c r="D15767" i="6"/>
  <c r="D15766" i="6"/>
  <c r="D15765" i="6"/>
  <c r="D15764" i="6"/>
  <c r="D15763" i="6"/>
  <c r="D15762" i="6"/>
  <c r="D15761" i="6"/>
  <c r="D15760" i="6"/>
  <c r="D15759" i="6"/>
  <c r="D15758" i="6"/>
  <c r="D15757" i="6"/>
  <c r="D15756" i="6"/>
  <c r="D15755" i="6"/>
  <c r="D15754" i="6"/>
  <c r="D15753" i="6"/>
  <c r="D15752" i="6"/>
  <c r="D15751" i="6"/>
  <c r="D15750" i="6"/>
  <c r="D15749" i="6"/>
  <c r="D15748" i="6"/>
  <c r="D15747" i="6"/>
  <c r="D15746" i="6"/>
  <c r="D15745" i="6"/>
  <c r="D15744" i="6"/>
  <c r="D15743" i="6"/>
  <c r="D15742" i="6"/>
  <c r="D15741" i="6"/>
  <c r="D15740" i="6"/>
  <c r="D15739" i="6"/>
  <c r="D15738" i="6"/>
  <c r="D15737" i="6"/>
  <c r="D15736" i="6"/>
  <c r="D15735" i="6"/>
  <c r="D15734" i="6"/>
  <c r="D15733" i="6"/>
  <c r="D15732" i="6"/>
  <c r="D15731" i="6"/>
  <c r="D15730" i="6"/>
  <c r="D15729" i="6"/>
  <c r="D15728" i="6"/>
  <c r="D15727" i="6"/>
  <c r="D15726" i="6"/>
  <c r="D15725" i="6"/>
  <c r="D15724" i="6"/>
  <c r="D15723" i="6"/>
  <c r="D15722" i="6"/>
  <c r="D15721" i="6"/>
  <c r="D15720" i="6"/>
  <c r="D15719" i="6"/>
  <c r="D15718" i="6"/>
  <c r="D15717" i="6"/>
  <c r="D15716" i="6"/>
  <c r="D15715" i="6"/>
  <c r="D15714" i="6"/>
  <c r="D15713" i="6"/>
  <c r="D15712" i="6"/>
  <c r="D15711" i="6"/>
  <c r="D15710" i="6"/>
  <c r="D15709" i="6"/>
  <c r="D15708" i="6"/>
  <c r="D15707" i="6"/>
  <c r="D15706" i="6"/>
  <c r="D15705" i="6"/>
  <c r="D15704" i="6"/>
  <c r="D15703" i="6"/>
  <c r="D15702" i="6"/>
  <c r="D15701" i="6"/>
  <c r="D15700" i="6"/>
  <c r="D15699" i="6"/>
  <c r="D15698" i="6"/>
  <c r="D15697" i="6"/>
  <c r="D15696" i="6"/>
  <c r="D15695" i="6"/>
  <c r="D15694" i="6"/>
  <c r="D15693" i="6"/>
  <c r="D15692" i="6"/>
  <c r="D15691" i="6"/>
  <c r="D15690" i="6"/>
  <c r="D15689" i="6"/>
  <c r="D15688" i="6"/>
  <c r="D15687" i="6"/>
  <c r="D15686" i="6"/>
  <c r="D15685" i="6"/>
  <c r="D15684" i="6"/>
  <c r="D15683" i="6"/>
  <c r="D15682" i="6"/>
  <c r="D15681" i="6"/>
  <c r="D15680" i="6"/>
  <c r="D15679" i="6"/>
  <c r="D15678" i="6"/>
  <c r="D15677" i="6"/>
  <c r="D15676" i="6"/>
  <c r="D15675" i="6"/>
  <c r="D15674" i="6"/>
  <c r="D15673" i="6"/>
  <c r="D15672" i="6"/>
  <c r="D15671" i="6"/>
  <c r="D15670" i="6"/>
  <c r="D15669" i="6"/>
  <c r="D15668" i="6"/>
  <c r="D15667" i="6"/>
  <c r="D15666" i="6"/>
  <c r="D15665" i="6"/>
  <c r="D15664" i="6"/>
  <c r="D15663" i="6"/>
  <c r="D15662" i="6"/>
  <c r="D15661" i="6"/>
  <c r="D15660" i="6"/>
  <c r="D15659" i="6"/>
  <c r="D15658" i="6"/>
  <c r="D15657" i="6"/>
  <c r="D15656" i="6"/>
  <c r="D15655" i="6"/>
  <c r="D15654" i="6"/>
  <c r="D15653" i="6"/>
  <c r="D15652" i="6"/>
  <c r="D15651" i="6"/>
  <c r="D15650" i="6"/>
  <c r="D15649" i="6"/>
  <c r="D15648" i="6"/>
  <c r="D15647" i="6"/>
  <c r="D15646" i="6"/>
  <c r="D15645" i="6"/>
  <c r="D15644" i="6"/>
  <c r="D15643" i="6"/>
  <c r="D15642" i="6"/>
  <c r="D15641" i="6"/>
  <c r="D15640" i="6"/>
  <c r="D15639" i="6"/>
  <c r="D15638" i="6"/>
  <c r="D15637" i="6"/>
  <c r="D15636" i="6"/>
  <c r="D15635" i="6"/>
  <c r="D15634" i="6"/>
  <c r="D15633" i="6"/>
  <c r="D15632" i="6"/>
  <c r="D15631" i="6"/>
  <c r="D15630" i="6"/>
  <c r="D15619" i="6"/>
  <c r="D15618" i="6"/>
  <c r="D15617" i="6"/>
  <c r="D15616" i="6"/>
  <c r="D15615" i="6"/>
  <c r="D15614" i="6"/>
  <c r="D15610" i="6"/>
  <c r="D15609" i="6"/>
  <c r="D15608" i="6"/>
  <c r="D15607" i="6"/>
  <c r="D15606" i="6"/>
  <c r="D15605" i="6"/>
  <c r="D15604" i="6"/>
  <c r="D15603" i="6"/>
  <c r="D15602" i="6"/>
  <c r="D15601" i="6"/>
  <c r="D15600" i="6"/>
  <c r="D15599" i="6"/>
  <c r="D15598" i="6"/>
  <c r="D15597" i="6"/>
  <c r="D15596" i="6"/>
  <c r="D15595" i="6"/>
  <c r="D15594" i="6"/>
  <c r="D15593" i="6"/>
  <c r="D15592" i="6"/>
  <c r="D15591" i="6"/>
  <c r="D15590" i="6"/>
  <c r="D15589" i="6"/>
  <c r="D15588" i="6"/>
  <c r="D15587" i="6"/>
  <c r="D15586" i="6"/>
  <c r="D15585" i="6"/>
  <c r="D15584" i="6"/>
  <c r="D15583" i="6"/>
  <c r="D15582" i="6"/>
  <c r="D15581" i="6"/>
  <c r="D15580" i="6"/>
  <c r="D15579" i="6"/>
  <c r="D15578" i="6"/>
  <c r="D15577" i="6"/>
  <c r="D15576" i="6"/>
  <c r="D15575" i="6"/>
  <c r="D15574" i="6"/>
  <c r="D15573" i="6"/>
  <c r="D15572" i="6"/>
  <c r="D15571" i="6"/>
  <c r="D15570" i="6"/>
  <c r="D15569" i="6"/>
  <c r="D15568" i="6"/>
  <c r="D15567" i="6"/>
  <c r="D15566" i="6"/>
  <c r="D15565" i="6"/>
  <c r="D15564" i="6"/>
  <c r="D15563" i="6"/>
  <c r="D15562" i="6"/>
  <c r="D15561" i="6"/>
  <c r="D15560" i="6"/>
  <c r="D15559" i="6"/>
  <c r="D15558" i="6"/>
  <c r="D15557" i="6"/>
  <c r="D15556" i="6"/>
  <c r="D15555" i="6"/>
  <c r="D15554" i="6"/>
  <c r="D15553" i="6"/>
  <c r="D15552" i="6"/>
  <c r="D15551" i="6"/>
  <c r="D15550" i="6"/>
  <c r="D15549" i="6"/>
  <c r="D15548" i="6"/>
  <c r="D15547" i="6"/>
  <c r="D15546" i="6"/>
  <c r="D15545" i="6"/>
  <c r="D15544" i="6"/>
  <c r="D15543" i="6"/>
  <c r="D15542" i="6"/>
  <c r="D15541" i="6"/>
  <c r="D15540" i="6"/>
  <c r="D15539" i="6"/>
  <c r="D15538" i="6"/>
  <c r="D15537" i="6"/>
  <c r="D15536" i="6"/>
  <c r="D15535" i="6"/>
  <c r="D15534" i="6"/>
  <c r="D15533" i="6"/>
  <c r="D15532" i="6"/>
  <c r="D15531" i="6"/>
  <c r="D15530" i="6"/>
  <c r="D15529" i="6"/>
  <c r="D15528" i="6"/>
  <c r="D15527" i="6"/>
  <c r="D15526" i="6"/>
  <c r="D15525" i="6"/>
  <c r="D15524" i="6"/>
  <c r="D15523" i="6"/>
  <c r="D15522" i="6"/>
  <c r="D15521" i="6"/>
  <c r="D15520" i="6"/>
  <c r="D15519" i="6"/>
  <c r="D15518" i="6"/>
  <c r="D15517" i="6"/>
  <c r="D15516" i="6"/>
  <c r="D15515" i="6"/>
  <c r="D15514" i="6"/>
  <c r="D15513" i="6"/>
  <c r="D15512" i="6"/>
  <c r="D15511" i="6"/>
  <c r="D15510" i="6"/>
  <c r="D15509" i="6"/>
  <c r="D15508" i="6"/>
  <c r="D15507" i="6"/>
  <c r="D15506" i="6"/>
  <c r="D15505" i="6"/>
  <c r="D15504" i="6"/>
  <c r="D15503" i="6"/>
  <c r="D15502" i="6"/>
  <c r="D15501" i="6"/>
  <c r="D15500" i="6"/>
  <c r="D15499" i="6"/>
  <c r="D15498" i="6"/>
  <c r="D15497" i="6"/>
  <c r="D15496" i="6"/>
  <c r="D15495" i="6"/>
  <c r="D15494" i="6"/>
  <c r="D15493" i="6"/>
  <c r="D15492" i="6"/>
  <c r="D15491" i="6"/>
  <c r="D15490" i="6"/>
  <c r="D15489" i="6"/>
  <c r="D15488" i="6"/>
  <c r="D15487" i="6"/>
  <c r="D15486" i="6"/>
  <c r="D15485" i="6"/>
  <c r="D15484" i="6"/>
  <c r="D15483" i="6"/>
  <c r="D15482" i="6"/>
  <c r="D15481" i="6"/>
  <c r="D15480" i="6"/>
  <c r="D15479" i="6"/>
  <c r="D15478" i="6"/>
  <c r="D15477" i="6"/>
  <c r="D15438" i="6"/>
  <c r="D15437" i="6"/>
  <c r="D15436" i="6"/>
  <c r="D15435" i="6"/>
  <c r="D15434" i="6"/>
  <c r="D15433" i="6"/>
  <c r="D15432" i="6"/>
  <c r="D15431" i="6"/>
  <c r="D15430" i="6"/>
  <c r="D15429" i="6"/>
  <c r="D15428" i="6"/>
  <c r="D15427" i="6"/>
  <c r="D15426" i="6"/>
  <c r="D15425" i="6"/>
  <c r="D15424" i="6"/>
  <c r="D15423" i="6"/>
  <c r="D15422" i="6"/>
  <c r="D15421" i="6"/>
  <c r="D15411" i="6"/>
  <c r="D15410" i="6"/>
  <c r="D15409" i="6"/>
  <c r="D15408" i="6"/>
  <c r="D15407" i="6"/>
  <c r="D15406" i="6"/>
  <c r="D15405" i="6"/>
  <c r="D15404" i="6"/>
  <c r="D15403" i="6"/>
  <c r="D15402" i="6"/>
  <c r="D15401" i="6"/>
  <c r="D15400" i="6"/>
  <c r="D15399" i="6"/>
  <c r="D15398" i="6"/>
  <c r="D15397" i="6"/>
  <c r="D15396" i="6"/>
  <c r="D15395" i="6"/>
  <c r="D15394" i="6"/>
  <c r="D15393" i="6"/>
  <c r="D15392" i="6"/>
  <c r="D15391" i="6"/>
  <c r="D15390" i="6"/>
  <c r="D15389" i="6"/>
  <c r="D15388" i="6"/>
  <c r="D15387" i="6"/>
  <c r="D15386" i="6"/>
  <c r="D15385" i="6"/>
  <c r="D15384" i="6"/>
  <c r="D15383" i="6"/>
  <c r="D15382" i="6"/>
  <c r="D15381" i="6"/>
  <c r="D15380" i="6"/>
  <c r="D15379" i="6"/>
  <c r="D15378" i="6"/>
  <c r="D15377" i="6"/>
  <c r="D15376" i="6"/>
  <c r="D15375" i="6"/>
  <c r="D15374" i="6"/>
  <c r="D15373" i="6"/>
  <c r="D15372" i="6"/>
  <c r="D15371" i="6"/>
  <c r="D15370" i="6"/>
  <c r="D15369" i="6"/>
  <c r="D15368" i="6"/>
  <c r="D15367" i="6"/>
  <c r="D15366" i="6"/>
  <c r="D15365" i="6"/>
  <c r="D15364" i="6"/>
  <c r="D15363" i="6"/>
  <c r="D15362" i="6"/>
  <c r="D15361" i="6"/>
  <c r="D15360" i="6"/>
  <c r="D15359" i="6"/>
  <c r="D15358" i="6"/>
  <c r="D15357" i="6"/>
  <c r="D15356" i="6"/>
  <c r="D15355" i="6"/>
  <c r="D15354" i="6"/>
  <c r="D15353" i="6"/>
  <c r="D15352" i="6"/>
  <c r="D15351" i="6"/>
  <c r="D15350" i="6"/>
  <c r="D15349" i="6"/>
  <c r="D15348" i="6"/>
  <c r="D15347" i="6"/>
  <c r="D15346" i="6"/>
  <c r="D15345" i="6"/>
  <c r="D15344" i="6"/>
  <c r="D15343" i="6"/>
  <c r="D15342" i="6"/>
  <c r="D15341" i="6"/>
  <c r="D15340" i="6"/>
  <c r="D15339" i="6"/>
  <c r="D15338" i="6"/>
  <c r="D15337" i="6"/>
  <c r="D15336" i="6"/>
  <c r="D15335" i="6"/>
  <c r="D15334" i="6"/>
  <c r="D15333" i="6"/>
  <c r="D15332" i="6"/>
  <c r="D15331" i="6"/>
  <c r="D15330" i="6"/>
  <c r="D15329" i="6"/>
  <c r="D15328" i="6"/>
  <c r="D15327" i="6"/>
  <c r="D15326" i="6"/>
  <c r="D15325" i="6"/>
  <c r="D15324" i="6"/>
  <c r="D15323" i="6"/>
  <c r="D15322" i="6"/>
  <c r="D15321" i="6"/>
  <c r="D15320" i="6"/>
  <c r="D15319" i="6"/>
  <c r="D15318" i="6"/>
  <c r="D15317" i="6"/>
  <c r="D15316" i="6"/>
  <c r="D15315" i="6"/>
  <c r="D15314" i="6"/>
  <c r="D15313" i="6"/>
  <c r="D15312" i="6"/>
  <c r="D15311" i="6"/>
  <c r="D15310" i="6"/>
  <c r="D15309" i="6"/>
  <c r="D15308" i="6"/>
  <c r="D15307" i="6"/>
  <c r="D15306" i="6"/>
  <c r="D15305" i="6"/>
  <c r="D15304" i="6"/>
  <c r="D15303" i="6"/>
  <c r="D15302" i="6"/>
  <c r="D15301" i="6"/>
  <c r="D15300" i="6"/>
  <c r="D15299" i="6"/>
  <c r="D15298" i="6"/>
  <c r="D15297" i="6"/>
  <c r="D15296" i="6"/>
  <c r="D15295" i="6"/>
  <c r="D15294" i="6"/>
  <c r="D15293" i="6"/>
  <c r="D15292" i="6"/>
  <c r="D15291" i="6"/>
  <c r="D15290" i="6"/>
  <c r="D15289" i="6"/>
  <c r="D15288" i="6"/>
  <c r="D15287" i="6"/>
  <c r="D15286" i="6"/>
  <c r="D15285" i="6"/>
  <c r="D15284" i="6"/>
  <c r="D15283" i="6"/>
  <c r="D15282" i="6"/>
  <c r="D15281" i="6"/>
  <c r="D15280" i="6"/>
  <c r="D15279" i="6"/>
  <c r="D15278" i="6"/>
  <c r="D15277" i="6"/>
  <c r="D15276" i="6"/>
  <c r="D15275" i="6"/>
  <c r="D15274" i="6"/>
  <c r="D15273" i="6"/>
  <c r="D15272" i="6"/>
  <c r="D15271" i="6"/>
  <c r="D15270" i="6"/>
  <c r="D15269" i="6"/>
  <c r="D15268" i="6"/>
  <c r="D15267" i="6"/>
  <c r="D15266" i="6"/>
  <c r="D15265" i="6"/>
  <c r="D15264" i="6"/>
  <c r="D15262" i="6"/>
  <c r="D15261" i="6"/>
  <c r="D15260" i="6"/>
  <c r="D15259" i="6"/>
  <c r="D15258" i="6"/>
  <c r="D15257" i="6"/>
  <c r="D15256" i="6"/>
  <c r="D15255" i="6"/>
  <c r="D15254" i="6"/>
  <c r="D15253" i="6"/>
  <c r="D15252" i="6"/>
  <c r="D15251" i="6"/>
  <c r="D15250" i="6"/>
  <c r="D15249" i="6"/>
  <c r="D15248" i="6"/>
  <c r="D15247" i="6"/>
  <c r="D15246" i="6"/>
  <c r="D15225" i="6"/>
  <c r="D15224" i="6"/>
  <c r="D15223" i="6"/>
  <c r="D15222" i="6"/>
  <c r="D15221" i="6"/>
  <c r="D15220" i="6"/>
  <c r="D15219" i="6"/>
  <c r="D15218" i="6"/>
  <c r="D15217" i="6"/>
  <c r="D15216" i="6"/>
  <c r="D15215" i="6"/>
  <c r="D15214" i="6"/>
  <c r="D15213" i="6"/>
  <c r="D15212" i="6"/>
  <c r="D15211" i="6"/>
  <c r="D15210" i="6"/>
  <c r="D15209" i="6"/>
  <c r="D15208" i="6"/>
  <c r="D15207" i="6"/>
  <c r="D15206" i="6"/>
  <c r="D15205" i="6"/>
  <c r="D15204" i="6"/>
  <c r="D15203" i="6"/>
  <c r="D15202" i="6"/>
  <c r="D15201" i="6"/>
  <c r="D15200" i="6"/>
  <c r="D15193" i="6"/>
  <c r="D15192" i="6"/>
  <c r="D15191" i="6"/>
  <c r="D15186" i="6"/>
  <c r="D15185" i="6"/>
  <c r="D15184" i="6"/>
  <c r="D15183" i="6"/>
  <c r="D15182" i="6"/>
  <c r="D15181" i="6"/>
  <c r="D15180" i="6"/>
  <c r="D15179" i="6"/>
  <c r="D15174" i="6"/>
  <c r="D15173" i="6"/>
  <c r="D15172" i="6"/>
  <c r="D15171" i="6"/>
  <c r="D15170" i="6"/>
  <c r="D15169" i="6"/>
  <c r="D15168" i="6"/>
  <c r="D15167" i="6"/>
  <c r="D15166" i="6"/>
  <c r="D15165" i="6"/>
  <c r="D15164" i="6"/>
  <c r="D15163" i="6"/>
  <c r="D15162" i="6"/>
  <c r="D15161" i="6"/>
  <c r="D15160" i="6"/>
  <c r="D15159" i="6"/>
  <c r="D15158" i="6"/>
  <c r="D15157" i="6"/>
  <c r="D15156" i="6"/>
  <c r="D15155" i="6"/>
  <c r="D15154" i="6"/>
  <c r="D15153" i="6"/>
  <c r="D15152" i="6"/>
  <c r="D15151" i="6"/>
  <c r="D15150" i="6"/>
  <c r="D15149" i="6"/>
  <c r="D15139" i="6"/>
  <c r="D15135" i="6"/>
  <c r="D15134" i="6"/>
  <c r="D15133" i="6"/>
  <c r="D15132" i="6"/>
  <c r="D15131" i="6"/>
  <c r="D15130" i="6"/>
  <c r="D15129" i="6"/>
  <c r="D15128" i="6"/>
  <c r="D15127" i="6"/>
  <c r="D15126" i="6"/>
  <c r="D15125" i="6"/>
  <c r="D15124" i="6"/>
  <c r="D15123" i="6"/>
  <c r="D15122" i="6"/>
  <c r="D15121" i="6"/>
  <c r="D15120" i="6"/>
  <c r="D15119" i="6"/>
  <c r="D15118" i="6"/>
  <c r="D15117" i="6"/>
  <c r="D15116" i="6"/>
  <c r="D15115" i="6"/>
  <c r="D15114" i="6"/>
  <c r="D15113" i="6"/>
  <c r="D15112" i="6"/>
  <c r="D15111" i="6"/>
  <c r="D15110" i="6"/>
  <c r="D15109" i="6"/>
  <c r="D15108" i="6"/>
  <c r="D15107" i="6"/>
  <c r="D15106" i="6"/>
  <c r="D15105" i="6"/>
  <c r="D15104" i="6"/>
  <c r="D15103" i="6"/>
  <c r="D15102" i="6"/>
  <c r="D15101" i="6"/>
  <c r="D15100" i="6"/>
  <c r="D15099" i="6"/>
  <c r="D15098" i="6"/>
  <c r="D15097" i="6"/>
  <c r="D15096" i="6"/>
  <c r="D15095" i="6"/>
  <c r="D15094" i="6"/>
  <c r="D15093" i="6"/>
  <c r="D15092" i="6"/>
  <c r="D15091" i="6"/>
  <c r="D15090" i="6"/>
  <c r="D15089" i="6"/>
  <c r="D15088" i="6"/>
  <c r="D15087" i="6"/>
  <c r="D15086" i="6"/>
  <c r="D15085" i="6"/>
  <c r="D15084" i="6"/>
  <c r="D15083" i="6"/>
  <c r="D15082" i="6"/>
  <c r="D15081" i="6"/>
  <c r="D15080" i="6"/>
  <c r="D15079" i="6"/>
  <c r="D15078" i="6"/>
  <c r="D15077" i="6"/>
  <c r="D15076" i="6"/>
  <c r="D15075" i="6"/>
  <c r="D15074" i="6"/>
  <c r="D15073" i="6"/>
  <c r="D15072" i="6"/>
  <c r="D15071" i="6"/>
  <c r="D15070" i="6"/>
  <c r="D15069" i="6"/>
  <c r="D15068" i="6"/>
  <c r="D15067" i="6"/>
  <c r="D15066" i="6"/>
  <c r="D15065" i="6"/>
  <c r="D15064" i="6"/>
  <c r="D15063" i="6"/>
  <c r="D15062" i="6"/>
  <c r="D15061" i="6"/>
  <c r="D15060" i="6"/>
  <c r="D15059" i="6"/>
  <c r="D15058" i="6"/>
  <c r="D15057" i="6"/>
  <c r="D15056" i="6"/>
  <c r="D15055" i="6"/>
  <c r="D15054" i="6"/>
  <c r="D15053" i="6"/>
  <c r="D15052" i="6"/>
  <c r="D15051" i="6"/>
  <c r="D15050" i="6"/>
  <c r="D15049" i="6"/>
  <c r="D15048" i="6"/>
  <c r="D15047" i="6"/>
  <c r="D15046" i="6"/>
  <c r="D15045" i="6"/>
  <c r="D15044" i="6"/>
  <c r="D15043" i="6"/>
  <c r="D15042" i="6"/>
  <c r="D15041" i="6"/>
  <c r="D15040" i="6"/>
  <c r="D15039" i="6"/>
  <c r="D15038" i="6"/>
  <c r="D15037" i="6"/>
  <c r="D15036" i="6"/>
  <c r="D15035" i="6"/>
  <c r="D15034" i="6"/>
  <c r="D15033" i="6"/>
  <c r="D15032" i="6"/>
  <c r="D15031" i="6"/>
  <c r="D15030" i="6"/>
  <c r="D15029" i="6"/>
  <c r="D15028" i="6"/>
  <c r="D15027" i="6"/>
  <c r="D15026" i="6"/>
  <c r="D15025" i="6"/>
  <c r="D15024" i="6"/>
  <c r="D15023" i="6"/>
  <c r="D15022" i="6"/>
  <c r="D14955" i="6"/>
  <c r="D14954" i="6"/>
  <c r="D14953" i="6"/>
  <c r="D14952" i="6"/>
  <c r="D14951" i="6"/>
  <c r="D14950" i="6"/>
  <c r="D14949" i="6"/>
  <c r="D14948" i="6"/>
  <c r="D14947" i="6"/>
  <c r="D14946" i="6"/>
  <c r="D14945" i="6"/>
  <c r="D14944" i="6"/>
  <c r="D14943" i="6"/>
  <c r="D14942" i="6"/>
  <c r="D14941" i="6"/>
  <c r="D14940" i="6"/>
  <c r="D14939" i="6"/>
  <c r="D14938" i="6"/>
  <c r="D14937" i="6"/>
  <c r="D14936" i="6"/>
  <c r="D14935" i="6"/>
  <c r="D14934" i="6"/>
  <c r="D14933" i="6"/>
  <c r="D14932" i="6"/>
  <c r="D14931" i="6"/>
  <c r="D14930" i="6"/>
  <c r="D14929" i="6"/>
  <c r="D14928" i="6"/>
  <c r="D14927" i="6"/>
  <c r="D14926" i="6"/>
  <c r="D14925" i="6"/>
  <c r="D14924" i="6"/>
  <c r="D14923" i="6"/>
  <c r="D14922" i="6"/>
  <c r="D14921" i="6"/>
  <c r="D14920" i="6"/>
  <c r="D14919" i="6"/>
  <c r="D14918" i="6"/>
  <c r="D14917" i="6"/>
  <c r="D14916" i="6"/>
  <c r="D14915" i="6"/>
  <c r="D14914" i="6"/>
  <c r="D14913" i="6"/>
  <c r="D14912" i="6"/>
  <c r="D14911" i="6"/>
  <c r="D14910" i="6"/>
  <c r="D14909" i="6"/>
  <c r="D14908" i="6"/>
  <c r="D14907" i="6"/>
  <c r="D14906" i="6"/>
  <c r="D14905" i="6"/>
  <c r="D14904" i="6"/>
  <c r="D14903" i="6"/>
  <c r="D14902" i="6"/>
  <c r="D14901" i="6"/>
  <c r="D14900" i="6"/>
  <c r="D14899" i="6"/>
  <c r="D14898" i="6"/>
  <c r="D14897" i="6"/>
  <c r="D14896" i="6"/>
  <c r="D14895" i="6"/>
  <c r="D14894" i="6"/>
  <c r="D14893" i="6"/>
  <c r="D14892" i="6"/>
  <c r="D14891" i="6"/>
  <c r="D14890" i="6"/>
  <c r="D14889" i="6"/>
  <c r="D14888" i="6"/>
  <c r="D14887" i="6"/>
  <c r="D14886" i="6"/>
  <c r="D14885" i="6"/>
  <c r="D14884" i="6"/>
  <c r="D14883" i="6"/>
  <c r="D14882" i="6"/>
  <c r="D14881" i="6"/>
  <c r="D14880" i="6"/>
  <c r="D14879" i="6"/>
  <c r="D14878" i="6"/>
  <c r="D14877" i="6"/>
  <c r="D14876" i="6"/>
  <c r="D14875" i="6"/>
  <c r="D14874" i="6"/>
  <c r="D14873" i="6"/>
  <c r="D14872" i="6"/>
  <c r="D14871" i="6"/>
  <c r="D14870" i="6"/>
  <c r="D14869" i="6"/>
  <c r="D14868" i="6"/>
  <c r="D14867" i="6"/>
  <c r="D14866" i="6"/>
  <c r="D14865" i="6"/>
  <c r="D14864" i="6"/>
  <c r="D14863" i="6"/>
  <c r="D14862" i="6"/>
  <c r="D14861" i="6"/>
  <c r="D14860" i="6"/>
  <c r="D14859" i="6"/>
  <c r="D14858" i="6"/>
  <c r="D14857" i="6"/>
  <c r="D14856" i="6"/>
  <c r="D14855" i="6"/>
  <c r="D14854" i="6"/>
  <c r="D14853" i="6"/>
  <c r="D14852" i="6"/>
  <c r="D14851" i="6"/>
  <c r="D14850" i="6"/>
  <c r="D14849" i="6"/>
  <c r="D14848" i="6"/>
  <c r="D14847" i="6"/>
  <c r="D14846" i="6"/>
  <c r="D14845" i="6"/>
  <c r="D14844" i="6"/>
  <c r="D14843" i="6"/>
  <c r="D14842" i="6"/>
  <c r="D14841" i="6"/>
  <c r="D14840" i="6"/>
  <c r="D14839" i="6"/>
  <c r="D14838" i="6"/>
  <c r="D14837" i="6"/>
  <c r="D14836" i="6"/>
  <c r="D14835" i="6"/>
  <c r="D14834" i="6"/>
  <c r="D14833" i="6"/>
  <c r="D14832" i="6"/>
  <c r="D14831" i="6"/>
  <c r="D14830" i="6"/>
  <c r="D14829" i="6"/>
  <c r="D14828" i="6"/>
  <c r="D14827" i="6"/>
  <c r="D14826" i="6"/>
  <c r="D14825" i="6"/>
  <c r="D14824" i="6"/>
  <c r="D14823" i="6"/>
  <c r="D14822" i="6"/>
  <c r="D14821" i="6"/>
  <c r="D14820" i="6"/>
  <c r="D14819" i="6"/>
  <c r="D14818" i="6"/>
  <c r="D14817" i="6"/>
  <c r="D14816" i="6"/>
  <c r="D14815" i="6"/>
  <c r="D14814" i="6"/>
  <c r="D14813" i="6"/>
  <c r="D14812" i="6"/>
  <c r="D14811" i="6"/>
  <c r="D14810" i="6"/>
  <c r="D14809" i="6"/>
  <c r="D14808" i="6"/>
  <c r="D14807" i="6"/>
  <c r="D14806" i="6"/>
  <c r="D14805" i="6"/>
  <c r="D14804" i="6"/>
  <c r="D14803" i="6"/>
  <c r="D14802" i="6"/>
  <c r="D14801" i="6"/>
  <c r="D14800" i="6"/>
  <c r="D14799" i="6"/>
  <c r="D14798" i="6"/>
  <c r="D14797" i="6"/>
  <c r="D14796" i="6"/>
  <c r="D14795" i="6"/>
  <c r="D14794" i="6"/>
  <c r="D14793" i="6"/>
  <c r="D14792" i="6"/>
  <c r="D14791" i="6"/>
  <c r="D14790" i="6"/>
  <c r="D14789" i="6"/>
  <c r="D14788" i="6"/>
  <c r="D14787" i="6"/>
  <c r="D14786" i="6"/>
  <c r="D14785" i="6"/>
  <c r="D14784" i="6"/>
  <c r="D14783" i="6"/>
  <c r="D14782" i="6"/>
  <c r="D14781" i="6"/>
  <c r="D14780" i="6"/>
  <c r="D14779" i="6"/>
  <c r="D14778" i="6"/>
  <c r="D14777" i="6"/>
  <c r="D14776" i="6"/>
  <c r="D14775" i="6"/>
  <c r="D14774" i="6"/>
  <c r="D14773" i="6"/>
  <c r="D14772" i="6"/>
  <c r="D14771" i="6"/>
  <c r="D14770" i="6"/>
  <c r="D14769" i="6"/>
  <c r="D14768" i="6"/>
  <c r="D14767" i="6"/>
  <c r="D14766" i="6"/>
  <c r="D14765" i="6"/>
  <c r="D14764" i="6"/>
  <c r="D14763" i="6"/>
  <c r="D14762" i="6"/>
  <c r="D14761" i="6"/>
  <c r="D14760" i="6"/>
  <c r="D14759" i="6"/>
  <c r="D14758" i="6"/>
  <c r="D14757" i="6"/>
  <c r="D14756" i="6"/>
  <c r="D14755" i="6"/>
  <c r="D14754" i="6"/>
  <c r="D14753" i="6"/>
  <c r="D14752" i="6"/>
  <c r="D14751" i="6"/>
  <c r="D14750" i="6"/>
  <c r="D14749" i="6"/>
  <c r="D14748" i="6"/>
  <c r="D14747" i="6"/>
  <c r="D14746" i="6"/>
  <c r="D14745" i="6"/>
  <c r="D14744" i="6"/>
  <c r="D14743" i="6"/>
  <c r="D14742" i="6"/>
  <c r="D14741" i="6"/>
  <c r="D14740" i="6"/>
  <c r="D14739" i="6"/>
  <c r="D14738" i="6"/>
  <c r="D14737" i="6"/>
  <c r="D14736" i="6"/>
  <c r="D14735" i="6"/>
  <c r="D14734" i="6"/>
  <c r="D14733" i="6"/>
  <c r="D14732" i="6"/>
  <c r="D14731" i="6"/>
  <c r="D14730" i="6"/>
  <c r="D14729" i="6"/>
  <c r="D14728" i="6"/>
  <c r="D14727" i="6"/>
  <c r="D14726" i="6"/>
  <c r="D14725" i="6"/>
  <c r="D14724" i="6"/>
  <c r="D14723" i="6"/>
  <c r="D14722" i="6"/>
  <c r="D14721" i="6"/>
  <c r="D14720" i="6"/>
  <c r="D14719" i="6"/>
  <c r="D14718" i="6"/>
  <c r="D14717" i="6"/>
  <c r="D14714" i="6"/>
  <c r="D14713" i="6"/>
  <c r="D14709" i="6"/>
  <c r="D14708" i="6"/>
  <c r="D14689" i="6"/>
  <c r="D14682" i="6"/>
  <c r="D14677" i="6"/>
  <c r="D14672" i="6"/>
  <c r="D14671" i="6"/>
  <c r="D14661" i="6"/>
  <c r="D14660" i="6"/>
  <c r="D14657" i="6"/>
  <c r="D14655" i="6"/>
  <c r="D14652" i="6"/>
  <c r="D14646" i="6"/>
  <c r="D14642" i="6"/>
  <c r="D14637" i="6"/>
  <c r="D14636" i="6"/>
  <c r="D14631" i="6"/>
  <c r="D14630" i="6"/>
  <c r="D14628" i="6"/>
  <c r="D14626" i="6"/>
  <c r="D14625" i="6"/>
  <c r="D14624" i="6"/>
  <c r="D14621" i="6"/>
  <c r="D14620" i="6"/>
  <c r="D14615" i="6"/>
  <c r="D14610" i="6"/>
  <c r="D14609" i="6"/>
  <c r="D14603" i="6"/>
  <c r="D14600" i="6"/>
  <c r="D14597" i="6"/>
  <c r="D14596" i="6"/>
  <c r="D14591" i="6"/>
  <c r="D14590" i="6"/>
  <c r="D14589" i="6"/>
  <c r="D14588" i="6"/>
  <c r="D14587" i="6"/>
  <c r="D14586" i="6"/>
  <c r="D14543" i="6"/>
  <c r="D14542" i="6"/>
  <c r="D14541" i="6"/>
  <c r="D14540" i="6"/>
  <c r="D14539" i="6"/>
  <c r="D14538" i="6"/>
  <c r="D14537" i="6"/>
  <c r="D14536" i="6"/>
  <c r="D14535" i="6"/>
  <c r="D14534" i="6"/>
  <c r="D14533" i="6"/>
  <c r="D14532" i="6"/>
  <c r="D14531" i="6"/>
  <c r="D14530" i="6"/>
  <c r="D14529" i="6"/>
  <c r="D14528" i="6"/>
  <c r="D14527" i="6"/>
  <c r="D14525" i="6"/>
  <c r="D14524" i="6"/>
  <c r="D14523" i="6"/>
  <c r="D14522" i="6"/>
  <c r="D14521" i="6"/>
  <c r="D14520" i="6"/>
  <c r="D14519" i="6"/>
  <c r="D14518" i="6"/>
  <c r="D14517" i="6"/>
  <c r="D14516" i="6"/>
  <c r="D14515" i="6"/>
  <c r="D14514" i="6"/>
  <c r="D14513" i="6"/>
  <c r="D14512" i="6"/>
  <c r="D14511" i="6"/>
  <c r="D14510" i="6"/>
  <c r="D14509" i="6"/>
  <c r="D14508" i="6"/>
  <c r="D14507" i="6"/>
  <c r="D14506" i="6"/>
  <c r="D14505" i="6"/>
  <c r="D14504" i="6"/>
  <c r="D14503" i="6"/>
  <c r="D14502" i="6"/>
  <c r="D14501" i="6"/>
  <c r="D14500" i="6"/>
  <c r="D14499" i="6"/>
  <c r="D14498" i="6"/>
  <c r="D14497" i="6"/>
  <c r="D14496" i="6"/>
  <c r="D14495" i="6"/>
  <c r="D14494" i="6"/>
  <c r="D14493" i="6"/>
  <c r="D14492" i="6"/>
  <c r="D14491" i="6"/>
  <c r="D14490" i="6"/>
  <c r="D14489" i="6"/>
  <c r="D14488" i="6"/>
  <c r="D14487" i="6"/>
  <c r="D14486" i="6"/>
  <c r="D14485" i="6"/>
  <c r="D14484" i="6"/>
  <c r="D14483" i="6"/>
  <c r="D14482" i="6"/>
  <c r="D14481" i="6"/>
  <c r="D14480" i="6"/>
  <c r="D14479" i="6"/>
  <c r="D14478" i="6"/>
  <c r="D14477" i="6"/>
  <c r="D14476" i="6"/>
  <c r="D14475" i="6"/>
  <c r="D14474" i="6"/>
  <c r="D14473" i="6"/>
  <c r="D14472" i="6"/>
  <c r="D14471" i="6"/>
  <c r="D14470" i="6"/>
  <c r="D14469" i="6"/>
  <c r="D14468" i="6"/>
  <c r="D14467" i="6"/>
  <c r="D14466" i="6"/>
  <c r="D14465" i="6"/>
  <c r="D14464" i="6"/>
  <c r="D14463" i="6"/>
  <c r="D14462" i="6"/>
  <c r="D14461" i="6"/>
  <c r="D14460" i="6"/>
  <c r="D14459" i="6"/>
  <c r="D14458" i="6"/>
  <c r="D14457" i="6"/>
  <c r="D14456" i="6"/>
  <c r="D14455" i="6"/>
  <c r="D14454" i="6"/>
  <c r="D14453" i="6"/>
  <c r="D14452" i="6"/>
  <c r="D14451" i="6"/>
  <c r="D14450" i="6"/>
  <c r="D14449" i="6"/>
  <c r="D14448" i="6"/>
  <c r="D14447" i="6"/>
  <c r="D14446" i="6"/>
  <c r="D14445" i="6"/>
  <c r="D14444" i="6"/>
  <c r="D14443" i="6"/>
  <c r="D14442" i="6"/>
  <c r="D14441" i="6"/>
  <c r="D14440" i="6"/>
  <c r="D14439" i="6"/>
  <c r="D14438" i="6"/>
  <c r="D14437" i="6"/>
  <c r="D14436" i="6"/>
  <c r="D14435" i="6"/>
  <c r="D14434" i="6"/>
  <c r="D14433" i="6"/>
  <c r="D14432" i="6"/>
  <c r="D14431" i="6"/>
  <c r="D14430" i="6"/>
  <c r="D14429" i="6"/>
  <c r="D14428" i="6"/>
  <c r="D14427" i="6"/>
  <c r="D14426" i="6"/>
  <c r="D14425" i="6"/>
  <c r="D14424" i="6"/>
  <c r="D14423" i="6"/>
  <c r="D14422" i="6"/>
  <c r="D14421" i="6"/>
  <c r="D14420" i="6"/>
  <c r="D14419" i="6"/>
  <c r="D14418" i="6"/>
  <c r="D14417" i="6"/>
  <c r="D14416" i="6"/>
  <c r="D14415" i="6"/>
  <c r="D14414" i="6"/>
  <c r="D14413" i="6"/>
  <c r="D14412" i="6"/>
  <c r="D14411" i="6"/>
  <c r="D14410" i="6"/>
  <c r="D14409" i="6"/>
  <c r="D14408" i="6"/>
  <c r="D14407" i="6"/>
  <c r="D14406" i="6"/>
  <c r="D14405" i="6"/>
  <c r="D14404" i="6"/>
  <c r="D14403" i="6"/>
  <c r="D14402" i="6"/>
  <c r="D14401" i="6"/>
  <c r="D14400" i="6"/>
  <c r="D14399" i="6"/>
  <c r="D14398" i="6"/>
  <c r="D14397" i="6"/>
  <c r="D14396" i="6"/>
  <c r="D14395" i="6"/>
  <c r="D14394" i="6"/>
  <c r="D14393" i="6"/>
  <c r="D14392" i="6"/>
  <c r="D14391" i="6"/>
  <c r="D14390" i="6"/>
  <c r="D14389" i="6"/>
  <c r="D14388" i="6"/>
  <c r="D14387" i="6"/>
  <c r="D14386" i="6"/>
  <c r="D14385" i="6"/>
  <c r="D14384" i="6"/>
  <c r="D14383" i="6"/>
  <c r="D14382" i="6"/>
  <c r="D14381" i="6"/>
  <c r="D14380" i="6"/>
  <c r="D14379" i="6"/>
  <c r="D14378" i="6"/>
  <c r="D14377" i="6"/>
  <c r="D14376" i="6"/>
  <c r="D14375" i="6"/>
  <c r="D14374" i="6"/>
  <c r="D14373" i="6"/>
  <c r="D14372" i="6"/>
  <c r="D14371" i="6"/>
  <c r="D14370" i="6"/>
  <c r="D14369" i="6"/>
  <c r="D14368" i="6"/>
  <c r="D14367" i="6"/>
  <c r="D14366" i="6"/>
  <c r="D14365" i="6"/>
  <c r="D14364" i="6"/>
  <c r="D14363" i="6"/>
  <c r="D14362" i="6"/>
  <c r="D14361" i="6"/>
  <c r="D14360" i="6"/>
  <c r="D14359" i="6"/>
  <c r="D14358" i="6"/>
  <c r="D14357" i="6"/>
  <c r="D14356" i="6"/>
  <c r="D14355" i="6"/>
  <c r="D14354" i="6"/>
  <c r="D14353" i="6"/>
  <c r="D14352" i="6"/>
  <c r="D14351" i="6"/>
  <c r="D14350" i="6"/>
  <c r="D14349" i="6"/>
  <c r="D14348" i="6"/>
  <c r="D14347" i="6"/>
  <c r="D14346" i="6"/>
  <c r="D14345" i="6"/>
  <c r="D14344" i="6"/>
  <c r="D14343" i="6"/>
  <c r="D14342" i="6"/>
  <c r="D14341" i="6"/>
  <c r="D14340" i="6"/>
  <c r="D14339" i="6"/>
  <c r="D14338" i="6"/>
  <c r="D14337" i="6"/>
  <c r="D14336" i="6"/>
  <c r="D14335" i="6"/>
  <c r="D14334" i="6"/>
  <c r="D14333" i="6"/>
  <c r="D14332" i="6"/>
  <c r="D14331" i="6"/>
  <c r="D14330" i="6"/>
  <c r="D14329" i="6"/>
  <c r="D14328" i="6"/>
  <c r="D14327" i="6"/>
  <c r="D14326" i="6"/>
  <c r="D14325" i="6"/>
  <c r="D14324" i="6"/>
  <c r="D14323" i="6"/>
  <c r="D14322" i="6"/>
  <c r="D14321" i="6"/>
  <c r="D14320" i="6"/>
  <c r="D14319" i="6"/>
  <c r="D14318" i="6"/>
  <c r="D14317" i="6"/>
  <c r="D14316" i="6"/>
  <c r="D14315" i="6"/>
  <c r="D14314" i="6"/>
  <c r="D14313" i="6"/>
  <c r="D14312" i="6"/>
  <c r="D14311" i="6"/>
  <c r="D14310" i="6"/>
  <c r="D14309" i="6"/>
  <c r="D14308" i="6"/>
  <c r="D14307" i="6"/>
  <c r="D14306" i="6"/>
  <c r="D14305" i="6"/>
  <c r="D14304" i="6"/>
  <c r="D14303" i="6"/>
  <c r="D14302" i="6"/>
  <c r="D14301" i="6"/>
  <c r="D14300" i="6"/>
  <c r="D14299" i="6"/>
  <c r="D14298" i="6"/>
  <c r="D14297" i="6"/>
  <c r="D14296" i="6"/>
  <c r="D14295" i="6"/>
  <c r="D14294" i="6"/>
  <c r="D14293" i="6"/>
  <c r="D14292" i="6"/>
  <c r="D14291" i="6"/>
  <c r="D14290" i="6"/>
  <c r="D14289" i="6"/>
  <c r="D14288" i="6"/>
  <c r="D14287" i="6"/>
  <c r="D14286" i="6"/>
  <c r="D14285" i="6"/>
  <c r="D14284" i="6"/>
  <c r="D14283" i="6"/>
  <c r="D14282" i="6"/>
  <c r="D14281" i="6"/>
  <c r="D14280" i="6"/>
  <c r="D14279" i="6"/>
  <c r="D14278" i="6"/>
  <c r="D14277" i="6"/>
  <c r="D14276" i="6"/>
  <c r="D14275" i="6"/>
  <c r="D14274" i="6"/>
  <c r="D14273" i="6"/>
  <c r="D14272" i="6"/>
  <c r="D14271" i="6"/>
  <c r="D14270" i="6"/>
  <c r="D14269" i="6"/>
  <c r="D14268" i="6"/>
  <c r="D14267" i="6"/>
  <c r="D14266" i="6"/>
  <c r="D14265" i="6"/>
  <c r="D14264" i="6"/>
  <c r="D14263" i="6"/>
  <c r="D14262" i="6"/>
  <c r="D14261" i="6"/>
  <c r="D14260" i="6"/>
  <c r="D14259" i="6"/>
  <c r="D14258" i="6"/>
  <c r="D14257" i="6"/>
  <c r="D14256" i="6"/>
  <c r="D14255" i="6"/>
  <c r="D14254" i="6"/>
  <c r="D14253" i="6"/>
  <c r="D14252" i="6"/>
  <c r="D14251" i="6"/>
  <c r="D14250" i="6"/>
  <c r="D14249" i="6"/>
  <c r="D14248" i="6"/>
  <c r="D14247" i="6"/>
  <c r="D14246" i="6"/>
  <c r="D14245" i="6"/>
  <c r="D14244" i="6"/>
  <c r="D14243" i="6"/>
  <c r="D14242" i="6"/>
  <c r="D14241" i="6"/>
  <c r="D14240" i="6"/>
  <c r="D14239" i="6"/>
  <c r="D14238" i="6"/>
  <c r="D14237" i="6"/>
  <c r="D14236" i="6"/>
  <c r="D14235" i="6"/>
  <c r="D14234" i="6"/>
  <c r="D14233" i="6"/>
  <c r="D14232" i="6"/>
  <c r="D14231" i="6"/>
  <c r="D14230" i="6"/>
  <c r="D14229" i="6"/>
  <c r="D14228" i="6"/>
  <c r="D14227" i="6"/>
  <c r="D14226" i="6"/>
  <c r="D14225" i="6"/>
  <c r="D14224" i="6"/>
  <c r="D14223" i="6"/>
  <c r="D14222" i="6"/>
  <c r="D14221" i="6"/>
  <c r="D14220" i="6"/>
  <c r="D14219" i="6"/>
  <c r="D14218" i="6"/>
  <c r="D14217" i="6"/>
  <c r="D14216" i="6"/>
  <c r="D14215" i="6"/>
  <c r="D14214" i="6"/>
  <c r="D14213" i="6"/>
  <c r="D14212" i="6"/>
  <c r="D14211" i="6"/>
  <c r="D14210" i="6"/>
  <c r="D14209" i="6"/>
  <c r="D14208" i="6"/>
  <c r="D14207" i="6"/>
  <c r="D14206" i="6"/>
  <c r="D14205" i="6"/>
  <c r="D14204" i="6"/>
  <c r="D14203" i="6"/>
  <c r="D14202" i="6"/>
  <c r="D14201" i="6"/>
  <c r="D14200" i="6"/>
  <c r="D14199" i="6"/>
  <c r="D14198" i="6"/>
  <c r="D14197" i="6"/>
  <c r="D14196" i="6"/>
  <c r="D14195" i="6"/>
  <c r="D14194" i="6"/>
  <c r="D14193" i="6"/>
  <c r="D14192" i="6"/>
  <c r="D14191" i="6"/>
  <c r="D14190" i="6"/>
  <c r="D14189" i="6"/>
  <c r="D14188" i="6"/>
  <c r="D14187" i="6"/>
  <c r="D14186" i="6"/>
  <c r="D14185" i="6"/>
  <c r="D14184" i="6"/>
  <c r="D14183" i="6"/>
  <c r="D14182" i="6"/>
  <c r="D14181" i="6"/>
  <c r="D14180" i="6"/>
  <c r="D14179" i="6"/>
  <c r="D14178" i="6"/>
  <c r="D14177" i="6"/>
  <c r="D14176" i="6"/>
  <c r="D14175" i="6"/>
  <c r="D14174" i="6"/>
  <c r="D14173" i="6"/>
  <c r="D14172" i="6"/>
  <c r="D14171" i="6"/>
  <c r="D14170" i="6"/>
  <c r="D14169" i="6"/>
  <c r="D14168" i="6"/>
  <c r="D14167" i="6"/>
  <c r="D14166" i="6"/>
  <c r="D14165" i="6"/>
  <c r="D14164" i="6"/>
  <c r="D14163" i="6"/>
  <c r="D14162" i="6"/>
  <c r="D14161" i="6"/>
  <c r="D14160" i="6"/>
  <c r="D14159" i="6"/>
  <c r="D14158" i="6"/>
  <c r="D14157" i="6"/>
  <c r="D14156" i="6"/>
  <c r="D14155" i="6"/>
  <c r="D14154" i="6"/>
  <c r="D14153" i="6"/>
  <c r="D14152" i="6"/>
  <c r="D14151" i="6"/>
  <c r="D14150" i="6"/>
  <c r="D14149" i="6"/>
  <c r="D14148" i="6"/>
  <c r="D14147" i="6"/>
  <c r="D14146" i="6"/>
  <c r="D14145" i="6"/>
  <c r="D14144" i="6"/>
  <c r="D14143" i="6"/>
  <c r="D14142" i="6"/>
  <c r="D14141" i="6"/>
  <c r="D14140" i="6"/>
  <c r="D14139" i="6"/>
  <c r="D14138" i="6"/>
  <c r="D14137" i="6"/>
  <c r="D14136" i="6"/>
  <c r="D14135" i="6"/>
  <c r="D14134" i="6"/>
  <c r="D14133" i="6"/>
  <c r="D14132" i="6"/>
  <c r="D14131" i="6"/>
  <c r="D14130" i="6"/>
  <c r="D14129" i="6"/>
  <c r="D14128" i="6"/>
  <c r="D14127" i="6"/>
  <c r="D14126" i="6"/>
  <c r="D14125" i="6"/>
  <c r="D14124" i="6"/>
  <c r="D14123" i="6"/>
  <c r="D14122" i="6"/>
  <c r="D14121" i="6"/>
  <c r="D14120" i="6"/>
  <c r="D14119" i="6"/>
  <c r="D14118" i="6"/>
  <c r="D14117" i="6"/>
  <c r="D14116" i="6"/>
  <c r="D14115" i="6"/>
  <c r="D14114" i="6"/>
  <c r="D14113" i="6"/>
  <c r="D14112" i="6"/>
  <c r="D14111" i="6"/>
  <c r="D14110" i="6"/>
  <c r="D14109" i="6"/>
  <c r="D14108" i="6"/>
  <c r="D14105" i="6"/>
  <c r="D14104" i="6"/>
  <c r="D14103" i="6"/>
  <c r="D14102" i="6"/>
  <c r="D14101" i="6"/>
  <c r="D14100" i="6"/>
  <c r="D14099" i="6"/>
  <c r="D14098" i="6"/>
  <c r="D14097" i="6"/>
  <c r="D14096" i="6"/>
  <c r="D14095" i="6"/>
  <c r="D14094" i="6"/>
  <c r="D14093" i="6"/>
  <c r="D14092" i="6"/>
  <c r="D14091" i="6"/>
  <c r="D14090" i="6"/>
  <c r="D14089" i="6"/>
  <c r="D14088" i="6"/>
  <c r="D14087" i="6"/>
  <c r="D14086" i="6"/>
  <c r="D14085" i="6"/>
  <c r="D14084" i="6"/>
  <c r="D14083" i="6"/>
  <c r="D14082" i="6"/>
  <c r="D14081" i="6"/>
  <c r="D14080" i="6"/>
  <c r="D14079" i="6"/>
  <c r="D14078" i="6"/>
  <c r="D14077" i="6"/>
  <c r="D14076" i="6"/>
  <c r="D14075" i="6"/>
  <c r="D14074" i="6"/>
  <c r="D14073" i="6"/>
  <c r="D14072" i="6"/>
  <c r="D14071" i="6"/>
  <c r="D14070" i="6"/>
  <c r="D14069" i="6"/>
  <c r="D14068" i="6"/>
  <c r="D14067" i="6"/>
  <c r="D14066" i="6"/>
  <c r="D14065" i="6"/>
  <c r="D14064" i="6"/>
  <c r="D14063" i="6"/>
  <c r="D14062" i="6"/>
  <c r="D14061" i="6"/>
  <c r="D14060" i="6"/>
  <c r="D14059" i="6"/>
  <c r="D14058" i="6"/>
  <c r="D14057" i="6"/>
  <c r="D14056" i="6"/>
  <c r="D14055" i="6"/>
  <c r="D14054" i="6"/>
  <c r="D14053" i="6"/>
  <c r="D14052" i="6"/>
  <c r="D14051" i="6"/>
  <c r="D14050" i="6"/>
  <c r="D14049" i="6"/>
  <c r="D14048" i="6"/>
  <c r="D14047" i="6"/>
  <c r="D14046" i="6"/>
  <c r="D14045" i="6"/>
  <c r="D14044" i="6"/>
  <c r="D14043" i="6"/>
  <c r="D14042" i="6"/>
  <c r="D14041" i="6"/>
  <c r="D14040" i="6"/>
  <c r="D14039" i="6"/>
  <c r="D14038" i="6"/>
  <c r="D14037" i="6"/>
  <c r="D14036" i="6"/>
  <c r="D14035" i="6"/>
  <c r="D14034" i="6"/>
  <c r="D14033" i="6"/>
  <c r="D14032" i="6"/>
  <c r="D14031" i="6"/>
  <c r="D14030" i="6"/>
  <c r="D14029" i="6"/>
  <c r="D14028" i="6"/>
  <c r="D14027" i="6"/>
  <c r="D14026" i="6"/>
  <c r="D14025" i="6"/>
  <c r="D14024" i="6"/>
  <c r="D14023" i="6"/>
  <c r="D14022" i="6"/>
  <c r="D14021" i="6"/>
  <c r="D14020" i="6"/>
  <c r="D14019" i="6"/>
  <c r="D14017" i="6"/>
  <c r="D14016" i="6"/>
  <c r="D14015" i="6"/>
  <c r="D14014" i="6"/>
  <c r="D14013" i="6"/>
  <c r="D14012" i="6"/>
  <c r="D13877" i="6"/>
  <c r="D13842" i="6"/>
  <c r="D13841" i="6"/>
  <c r="D13840" i="6"/>
  <c r="D13838" i="6"/>
  <c r="D13837" i="6"/>
  <c r="D13836" i="6"/>
  <c r="D13835" i="6"/>
  <c r="D13834" i="6"/>
  <c r="D13833" i="6"/>
  <c r="D13832" i="6"/>
  <c r="D13831" i="6"/>
  <c r="D13830" i="6"/>
  <c r="D13829" i="6"/>
  <c r="D13828" i="6"/>
  <c r="D13827" i="6"/>
  <c r="D13820" i="6"/>
  <c r="D13819" i="6"/>
  <c r="D13740" i="6"/>
  <c r="D13735" i="6"/>
  <c r="D13684" i="6"/>
  <c r="D13683" i="6"/>
  <c r="D13682" i="6"/>
  <c r="D13681" i="6"/>
  <c r="D13680" i="6"/>
  <c r="D13679" i="6"/>
  <c r="D13678" i="6"/>
  <c r="D13677" i="6"/>
  <c r="D13672" i="6"/>
  <c r="D13671" i="6"/>
  <c r="D13670" i="6"/>
  <c r="D13669" i="6"/>
  <c r="D13564" i="6"/>
  <c r="D13529" i="6"/>
  <c r="D13528" i="6"/>
  <c r="D13527" i="6"/>
  <c r="D13526" i="6"/>
  <c r="D13525" i="6"/>
  <c r="D13524" i="6"/>
  <c r="D13522" i="6"/>
  <c r="D13521" i="6"/>
  <c r="D13520" i="6"/>
  <c r="D13519" i="6"/>
  <c r="D13518" i="6"/>
  <c r="D13517" i="6"/>
  <c r="D13516" i="6"/>
  <c r="D13515" i="6"/>
  <c r="D13514" i="6"/>
  <c r="D13513" i="6"/>
  <c r="D13512" i="6"/>
  <c r="D13511" i="6"/>
  <c r="D13510" i="6"/>
  <c r="D13503" i="6"/>
  <c r="D13502" i="6"/>
  <c r="D13428" i="6"/>
  <c r="D13423" i="6"/>
  <c r="D13422" i="6"/>
  <c r="D13421" i="6"/>
  <c r="D13420" i="6"/>
  <c r="D13419" i="6"/>
  <c r="D13418" i="6"/>
  <c r="D13417" i="6"/>
  <c r="D13416" i="6"/>
  <c r="D13415" i="6"/>
  <c r="D13411" i="6"/>
  <c r="D13410" i="6"/>
  <c r="D13409" i="6"/>
  <c r="D13408" i="6"/>
  <c r="D13387" i="6"/>
  <c r="D13381" i="6"/>
  <c r="D13380" i="6"/>
  <c r="D13379" i="6"/>
  <c r="D13378" i="6"/>
  <c r="D13377" i="6"/>
  <c r="D13376" i="6"/>
  <c r="D13374" i="6"/>
  <c r="D13373" i="6"/>
  <c r="D13372" i="6"/>
  <c r="D13371" i="6"/>
  <c r="D13370" i="6"/>
  <c r="D13369" i="6"/>
  <c r="D13368" i="6"/>
  <c r="D13367" i="6"/>
  <c r="D13366" i="6"/>
  <c r="D13365" i="6"/>
  <c r="D13364" i="6"/>
  <c r="D13363" i="6"/>
  <c r="D13362" i="6"/>
  <c r="D13353" i="6"/>
  <c r="D13352" i="6"/>
  <c r="D13315" i="6"/>
  <c r="D13310" i="6"/>
  <c r="D13309" i="6"/>
  <c r="D13308" i="6"/>
  <c r="D13307" i="6"/>
  <c r="D13306" i="6"/>
  <c r="D13305" i="6"/>
  <c r="D13304" i="6"/>
  <c r="D13303" i="6"/>
  <c r="D13302" i="6"/>
  <c r="D13298" i="6"/>
  <c r="D13297" i="6"/>
  <c r="D13296" i="6"/>
  <c r="D13295" i="6"/>
  <c r="D13166" i="6"/>
  <c r="D13165" i="6"/>
  <c r="D13164" i="6"/>
  <c r="D13122" i="6"/>
  <c r="D13121" i="6"/>
  <c r="D13103" i="6"/>
  <c r="D13102" i="6"/>
  <c r="D13101" i="6"/>
  <c r="D13100" i="6"/>
  <c r="D13099" i="6"/>
  <c r="D13098" i="6"/>
  <c r="D13097" i="6"/>
  <c r="D13096" i="6"/>
  <c r="D13095" i="6"/>
  <c r="D13094" i="6"/>
  <c r="D13093" i="6"/>
  <c r="D13092" i="6"/>
  <c r="D13091" i="6"/>
  <c r="D13090" i="6"/>
  <c r="D13089" i="6"/>
  <c r="D13088" i="6"/>
  <c r="D13087" i="6"/>
  <c r="D13086" i="6"/>
  <c r="D13085" i="6"/>
  <c r="D13084" i="6"/>
  <c r="D13083" i="6"/>
  <c r="D13082" i="6"/>
  <c r="D13081" i="6"/>
  <c r="D13080" i="6"/>
  <c r="D13079" i="6"/>
  <c r="D13078" i="6"/>
  <c r="D13077" i="6"/>
  <c r="D13076" i="6"/>
  <c r="D13075" i="6"/>
  <c r="D13074" i="6"/>
  <c r="D13073" i="6"/>
  <c r="D13072" i="6"/>
  <c r="D13071" i="6"/>
  <c r="D13070" i="6"/>
  <c r="D13069" i="6"/>
  <c r="D13068" i="6"/>
  <c r="D13067" i="6"/>
  <c r="D13066" i="6"/>
  <c r="D13065" i="6"/>
  <c r="D13064" i="6"/>
  <c r="D13063" i="6"/>
  <c r="D13062" i="6"/>
  <c r="D13061" i="6"/>
  <c r="D13060" i="6"/>
  <c r="D13059" i="6"/>
  <c r="D13058" i="6"/>
  <c r="D13057" i="6"/>
  <c r="D13056" i="6"/>
  <c r="D13055" i="6"/>
  <c r="D13054" i="6"/>
  <c r="D13053" i="6"/>
  <c r="D13052" i="6"/>
  <c r="D13051" i="6"/>
  <c r="D13050" i="6"/>
  <c r="D13049" i="6"/>
  <c r="D13048" i="6"/>
  <c r="D13047" i="6"/>
  <c r="D13046" i="6"/>
  <c r="D13045" i="6"/>
  <c r="D13044" i="6"/>
  <c r="D13043" i="6"/>
  <c r="D13042" i="6"/>
  <c r="D13041" i="6"/>
  <c r="D13040" i="6"/>
  <c r="D13039" i="6"/>
  <c r="D13038" i="6"/>
  <c r="D13037" i="6"/>
  <c r="D13036" i="6"/>
  <c r="D13035" i="6"/>
  <c r="D13034" i="6"/>
  <c r="D13033" i="6"/>
  <c r="D13032" i="6"/>
  <c r="D13031" i="6"/>
  <c r="D13030" i="6"/>
  <c r="D13029" i="6"/>
  <c r="D13028" i="6"/>
  <c r="D13027" i="6"/>
  <c r="D13026" i="6"/>
  <c r="D13025" i="6"/>
  <c r="D13024" i="6"/>
  <c r="D13023" i="6"/>
  <c r="D13022" i="6"/>
  <c r="D13021" i="6"/>
  <c r="D13020" i="6"/>
  <c r="D13019" i="6"/>
  <c r="D13018" i="6"/>
  <c r="D13017" i="6"/>
  <c r="D13016" i="6"/>
  <c r="D13015" i="6"/>
  <c r="D13014" i="6"/>
  <c r="D13013" i="6"/>
  <c r="D13012" i="6"/>
  <c r="D13011" i="6"/>
  <c r="D13010" i="6"/>
  <c r="D13009" i="6"/>
  <c r="D13008" i="6"/>
  <c r="D13007" i="6"/>
  <c r="D13006" i="6"/>
  <c r="D13005" i="6"/>
  <c r="D13004" i="6"/>
  <c r="D13003" i="6"/>
  <c r="D13002" i="6"/>
  <c r="D13001" i="6"/>
  <c r="D13000" i="6"/>
  <c r="D12999" i="6"/>
  <c r="D12998" i="6"/>
  <c r="D12997" i="6"/>
  <c r="D12996" i="6"/>
  <c r="D12995" i="6"/>
  <c r="D12994" i="6"/>
  <c r="D12993" i="6"/>
  <c r="D12992" i="6"/>
  <c r="D12991" i="6"/>
  <c r="D12990" i="6"/>
  <c r="D12989" i="6"/>
  <c r="D12988" i="6"/>
  <c r="D12987" i="6"/>
  <c r="D12986" i="6"/>
  <c r="D12985" i="6"/>
  <c r="D12984" i="6"/>
  <c r="D12983" i="6"/>
  <c r="D12982" i="6"/>
  <c r="D12981" i="6"/>
  <c r="D12980" i="6"/>
  <c r="D12979" i="6"/>
  <c r="D12978" i="6"/>
  <c r="D12977" i="6"/>
  <c r="D12976" i="6"/>
  <c r="D12975" i="6"/>
  <c r="D12974" i="6"/>
  <c r="D12973" i="6"/>
  <c r="D12972" i="6"/>
  <c r="D12971" i="6"/>
  <c r="D12970" i="6"/>
  <c r="D12969" i="6"/>
  <c r="D12968" i="6"/>
  <c r="D12967" i="6"/>
  <c r="D12966" i="6"/>
  <c r="D12965" i="6"/>
  <c r="D12964" i="6"/>
  <c r="D12963" i="6"/>
  <c r="D12962" i="6"/>
  <c r="D12961" i="6"/>
  <c r="D12960" i="6"/>
  <c r="D12959" i="6"/>
  <c r="D12958" i="6"/>
  <c r="D12957" i="6"/>
  <c r="D12956" i="6"/>
  <c r="D12955" i="6"/>
  <c r="D12954" i="6"/>
  <c r="D12953" i="6"/>
  <c r="D12952" i="6"/>
  <c r="D12951" i="6"/>
  <c r="D12950" i="6"/>
  <c r="D12949" i="6"/>
  <c r="D12948" i="6"/>
  <c r="D12947" i="6"/>
  <c r="D12946" i="6"/>
  <c r="D12945" i="6"/>
  <c r="D12944" i="6"/>
  <c r="D12943" i="6"/>
  <c r="D12942" i="6"/>
  <c r="D12941" i="6"/>
  <c r="D12940" i="6"/>
  <c r="D12939" i="6"/>
  <c r="D12938" i="6"/>
  <c r="D12937" i="6"/>
  <c r="D12936" i="6"/>
  <c r="D12935" i="6"/>
  <c r="D12934" i="6"/>
  <c r="D12933" i="6"/>
  <c r="D12932" i="6"/>
  <c r="D12931" i="6"/>
  <c r="D12930" i="6"/>
  <c r="D12929" i="6"/>
  <c r="D12928" i="6"/>
  <c r="D12927" i="6"/>
  <c r="D12926" i="6"/>
  <c r="D12925" i="6"/>
  <c r="D12924" i="6"/>
  <c r="D12923" i="6"/>
  <c r="D12922" i="6"/>
  <c r="D12921" i="6"/>
  <c r="D12920" i="6"/>
  <c r="D12919" i="6"/>
  <c r="D12918" i="6"/>
  <c r="D12917" i="6"/>
  <c r="D12916" i="6"/>
  <c r="D12915" i="6"/>
  <c r="D12914" i="6"/>
  <c r="D12913" i="6"/>
  <c r="D12912" i="6"/>
  <c r="D12911" i="6"/>
  <c r="D12910" i="6"/>
  <c r="D12909" i="6"/>
  <c r="D12908" i="6"/>
  <c r="D12907" i="6"/>
  <c r="D12906" i="6"/>
  <c r="D12905" i="6"/>
  <c r="D12904" i="6"/>
  <c r="D12903" i="6"/>
  <c r="D12902" i="6"/>
  <c r="D12901" i="6"/>
  <c r="D12900" i="6"/>
  <c r="D12899" i="6"/>
  <c r="D12898" i="6"/>
  <c r="D12897" i="6"/>
  <c r="D12896" i="6"/>
  <c r="D12895" i="6"/>
  <c r="D12894" i="6"/>
  <c r="D12893" i="6"/>
  <c r="D12892" i="6"/>
  <c r="D12891" i="6"/>
  <c r="D12890" i="6"/>
  <c r="D12889" i="6"/>
  <c r="D12888" i="6"/>
  <c r="D12887" i="6"/>
  <c r="D12886" i="6"/>
  <c r="D12885" i="6"/>
  <c r="D12884" i="6"/>
  <c r="D12883" i="6"/>
  <c r="D12882" i="6"/>
  <c r="D12881" i="6"/>
  <c r="D12880" i="6"/>
  <c r="D12879" i="6"/>
  <c r="D12878" i="6"/>
  <c r="D12877" i="6"/>
  <c r="D12876" i="6"/>
  <c r="D12875" i="6"/>
  <c r="D12874" i="6"/>
  <c r="D12873" i="6"/>
  <c r="D12872" i="6"/>
  <c r="D12871" i="6"/>
  <c r="D12870" i="6"/>
  <c r="D12869" i="6"/>
  <c r="D12868" i="6"/>
  <c r="D12867" i="6"/>
  <c r="D12866" i="6"/>
  <c r="D12865" i="6"/>
  <c r="D12864" i="6"/>
  <c r="D12863" i="6"/>
  <c r="D12862" i="6"/>
  <c r="D12861" i="6"/>
  <c r="D12860" i="6"/>
  <c r="D12859" i="6"/>
  <c r="D12858" i="6"/>
  <c r="D12857" i="6"/>
  <c r="D12856" i="6"/>
  <c r="D12855" i="6"/>
  <c r="D12854" i="6"/>
  <c r="D12853" i="6"/>
  <c r="D12852" i="6"/>
  <c r="D12851" i="6"/>
  <c r="D12850" i="6"/>
  <c r="D12849" i="6"/>
  <c r="D12848" i="6"/>
  <c r="D12847" i="6"/>
  <c r="D12846" i="6"/>
  <c r="D12845" i="6"/>
  <c r="D12844" i="6"/>
  <c r="D12843" i="6"/>
  <c r="D12842" i="6"/>
  <c r="D12841" i="6"/>
  <c r="D12840" i="6"/>
  <c r="D12839" i="6"/>
  <c r="D12838" i="6"/>
  <c r="D12837" i="6"/>
  <c r="D12836" i="6"/>
  <c r="D12835" i="6"/>
  <c r="D12834" i="6"/>
  <c r="D12833" i="6"/>
  <c r="D12832" i="6"/>
  <c r="D12831" i="6"/>
  <c r="D12830" i="6"/>
  <c r="D12829" i="6"/>
  <c r="D12828" i="6"/>
  <c r="D12827" i="6"/>
  <c r="D12826" i="6"/>
  <c r="D12825" i="6"/>
  <c r="D12824" i="6"/>
  <c r="D12823" i="6"/>
  <c r="D12822" i="6"/>
  <c r="D12821" i="6"/>
  <c r="D12820" i="6"/>
  <c r="D12819" i="6"/>
  <c r="D12818" i="6"/>
  <c r="D12817" i="6"/>
  <c r="D12816" i="6"/>
  <c r="D12815" i="6"/>
  <c r="D12814" i="6"/>
  <c r="D12813" i="6"/>
  <c r="D12812" i="6"/>
  <c r="D12811" i="6"/>
  <c r="D12810" i="6"/>
  <c r="D12713" i="6"/>
  <c r="D12712" i="6"/>
  <c r="D12711" i="6"/>
  <c r="D12576" i="6"/>
  <c r="D12575" i="6"/>
  <c r="D12574" i="6"/>
  <c r="D12573" i="6"/>
  <c r="D12572" i="6"/>
  <c r="D12571" i="6"/>
  <c r="D12570" i="6"/>
  <c r="D12569" i="6"/>
  <c r="D12568" i="6"/>
  <c r="D12567" i="6"/>
  <c r="D12550" i="6"/>
  <c r="D12549" i="6"/>
  <c r="D12548" i="6"/>
  <c r="D12547" i="6"/>
  <c r="D12546" i="6"/>
  <c r="D12545" i="6"/>
  <c r="D12544" i="6"/>
  <c r="D12543" i="6"/>
  <c r="D12542" i="6"/>
  <c r="D12541" i="6"/>
  <c r="D12540" i="6"/>
  <c r="D12539" i="6"/>
  <c r="D12538" i="6"/>
  <c r="D12537" i="6"/>
  <c r="D12536" i="6"/>
  <c r="D12535" i="6"/>
  <c r="D12534" i="6"/>
  <c r="D12533" i="6"/>
  <c r="D12532" i="6"/>
  <c r="D12531" i="6"/>
  <c r="D12530" i="6"/>
  <c r="D12529" i="6"/>
  <c r="D12528" i="6"/>
  <c r="D12527" i="6"/>
  <c r="D12526" i="6"/>
  <c r="D12525" i="6"/>
  <c r="D12524" i="6"/>
  <c r="D12523" i="6"/>
  <c r="D12522" i="6"/>
  <c r="D12521" i="6"/>
  <c r="D12520" i="6"/>
  <c r="D12519" i="6"/>
  <c r="D12518" i="6"/>
  <c r="D12517" i="6"/>
  <c r="D12516" i="6"/>
  <c r="D12515" i="6"/>
  <c r="D12514" i="6"/>
  <c r="D12513" i="6"/>
  <c r="D12512" i="6"/>
  <c r="D12511" i="6"/>
  <c r="D12510" i="6"/>
  <c r="D12509" i="6"/>
  <c r="D12508" i="6"/>
  <c r="D12507" i="6"/>
  <c r="D12506" i="6"/>
  <c r="D12505" i="6"/>
  <c r="D12504" i="6"/>
  <c r="D12503" i="6"/>
  <c r="D12502" i="6"/>
  <c r="D12501" i="6"/>
  <c r="D12500" i="6"/>
  <c r="D12499" i="6"/>
  <c r="D12498" i="6"/>
  <c r="D12497" i="6"/>
  <c r="D12496" i="6"/>
  <c r="D12495" i="6"/>
  <c r="D12494" i="6"/>
  <c r="D12493" i="6"/>
  <c r="D12492" i="6"/>
  <c r="D12491" i="6"/>
  <c r="D12490" i="6"/>
  <c r="D12489" i="6"/>
  <c r="D12488" i="6"/>
  <c r="D12487" i="6"/>
  <c r="D12486" i="6"/>
  <c r="D12485" i="6"/>
  <c r="D12484" i="6"/>
  <c r="D12483" i="6"/>
  <c r="D12482" i="6"/>
  <c r="D12481" i="6"/>
  <c r="D12480" i="6"/>
  <c r="D12479" i="6"/>
  <c r="D12478" i="6"/>
  <c r="D12477" i="6"/>
  <c r="D12476" i="6"/>
  <c r="D12475" i="6"/>
  <c r="D12474" i="6"/>
  <c r="D12473" i="6"/>
  <c r="D12472" i="6"/>
  <c r="D12471" i="6"/>
  <c r="D12470" i="6"/>
  <c r="D12469" i="6"/>
  <c r="D12468" i="6"/>
  <c r="D12467" i="6"/>
  <c r="D12466" i="6"/>
  <c r="D12465" i="6"/>
  <c r="D12464" i="6"/>
  <c r="D12463" i="6"/>
  <c r="D12462" i="6"/>
  <c r="D12461" i="6"/>
  <c r="D12460" i="6"/>
  <c r="D12459" i="6"/>
  <c r="D12458" i="6"/>
  <c r="D12457" i="6"/>
  <c r="D12456" i="6"/>
  <c r="D12455" i="6"/>
  <c r="D12454" i="6"/>
  <c r="D12453" i="6"/>
  <c r="D12452" i="6"/>
  <c r="D12451" i="6"/>
  <c r="D12450" i="6"/>
  <c r="D12449" i="6"/>
  <c r="D12448" i="6"/>
  <c r="D12447" i="6"/>
  <c r="D12446" i="6"/>
  <c r="D12445" i="6"/>
  <c r="D12444" i="6"/>
  <c r="D12443" i="6"/>
  <c r="D12442" i="6"/>
  <c r="D12441" i="6"/>
  <c r="D12440" i="6"/>
  <c r="D12439" i="6"/>
  <c r="D12438" i="6"/>
  <c r="D12437" i="6"/>
  <c r="D12436" i="6"/>
  <c r="D12435" i="6"/>
  <c r="D12434" i="6"/>
  <c r="D12433" i="6"/>
  <c r="D12432" i="6"/>
  <c r="D12431" i="6"/>
  <c r="D12430" i="6"/>
  <c r="D12429" i="6"/>
  <c r="D12428" i="6"/>
  <c r="D12427" i="6"/>
  <c r="D12426" i="6"/>
  <c r="D12425" i="6"/>
  <c r="D12424" i="6"/>
  <c r="D12423" i="6"/>
  <c r="D12422" i="6"/>
  <c r="D12421" i="6"/>
  <c r="D12420" i="6"/>
  <c r="D12419" i="6"/>
  <c r="D12418" i="6"/>
  <c r="D12417" i="6"/>
  <c r="D12416" i="6"/>
  <c r="D12415" i="6"/>
  <c r="D12414" i="6"/>
  <c r="D12413" i="6"/>
  <c r="D12412" i="6"/>
  <c r="D12411" i="6"/>
  <c r="D12410" i="6"/>
  <c r="D12409" i="6"/>
  <c r="D12408" i="6"/>
  <c r="D12407" i="6"/>
  <c r="D12406" i="6"/>
  <c r="D12405" i="6"/>
  <c r="D12404" i="6"/>
  <c r="D12403" i="6"/>
  <c r="D12402" i="6"/>
  <c r="D12401" i="6"/>
  <c r="D12400" i="6"/>
  <c r="D12399" i="6"/>
  <c r="D12398" i="6"/>
  <c r="D12397" i="6"/>
  <c r="D12396" i="6"/>
  <c r="D12395" i="6"/>
  <c r="D12394" i="6"/>
  <c r="D12393" i="6"/>
  <c r="D12392" i="6"/>
  <c r="D12391" i="6"/>
  <c r="D12390" i="6"/>
  <c r="D12389" i="6"/>
  <c r="D12388" i="6"/>
  <c r="D12387" i="6"/>
  <c r="D12386" i="6"/>
  <c r="D12385" i="6"/>
  <c r="D12384" i="6"/>
  <c r="D12383" i="6"/>
  <c r="D12382" i="6"/>
  <c r="D12381" i="6"/>
  <c r="D12380" i="6"/>
  <c r="D12379" i="6"/>
  <c r="D12378" i="6"/>
  <c r="D12377" i="6"/>
  <c r="D12376" i="6"/>
  <c r="D12375" i="6"/>
  <c r="D12374" i="6"/>
  <c r="D12373" i="6"/>
  <c r="D12372" i="6"/>
  <c r="D12371" i="6"/>
  <c r="D12370" i="6"/>
  <c r="D12369" i="6"/>
  <c r="D12368" i="6"/>
  <c r="D12367" i="6"/>
  <c r="D12366" i="6"/>
  <c r="D12365" i="6"/>
  <c r="D12364" i="6"/>
  <c r="D12363" i="6"/>
  <c r="D12362" i="6"/>
  <c r="D12361" i="6"/>
  <c r="D12360" i="6"/>
  <c r="D12359" i="6"/>
  <c r="D12358" i="6"/>
  <c r="D12357" i="6"/>
  <c r="D12356" i="6"/>
  <c r="D12355" i="6"/>
  <c r="D12354" i="6"/>
  <c r="D12353" i="6"/>
  <c r="D12352" i="6"/>
  <c r="D12351" i="6"/>
  <c r="D12350" i="6"/>
  <c r="D12349" i="6"/>
  <c r="D12348" i="6"/>
  <c r="D12347" i="6"/>
  <c r="D12346" i="6"/>
  <c r="D12345" i="6"/>
  <c r="D12344" i="6"/>
  <c r="D12343" i="6"/>
  <c r="D12342" i="6"/>
  <c r="D12341" i="6"/>
  <c r="D12340" i="6"/>
  <c r="D12339" i="6"/>
  <c r="D12338" i="6"/>
  <c r="D12337" i="6"/>
  <c r="D12336" i="6"/>
  <c r="D12335" i="6"/>
  <c r="D12334" i="6"/>
  <c r="D12333" i="6"/>
  <c r="D12332" i="6"/>
  <c r="D12331" i="6"/>
  <c r="D12330" i="6"/>
  <c r="D12329" i="6"/>
  <c r="D12328" i="6"/>
  <c r="D12327" i="6"/>
  <c r="D12326" i="6"/>
  <c r="D12325" i="6"/>
  <c r="D12324" i="6"/>
  <c r="D12323" i="6"/>
  <c r="D12322" i="6"/>
  <c r="D12321" i="6"/>
  <c r="D12320" i="6"/>
  <c r="D12319" i="6"/>
  <c r="D12318" i="6"/>
  <c r="D12317" i="6"/>
  <c r="D12316" i="6"/>
  <c r="D12315" i="6"/>
  <c r="D12314" i="6"/>
  <c r="D12313" i="6"/>
  <c r="D12312" i="6"/>
  <c r="D12311" i="6"/>
  <c r="D12310" i="6"/>
  <c r="D12309" i="6"/>
  <c r="D12308" i="6"/>
  <c r="D12307" i="6"/>
  <c r="D12306" i="6"/>
  <c r="D12305" i="6"/>
  <c r="D12304" i="6"/>
  <c r="D12263" i="6"/>
  <c r="D12253" i="6"/>
  <c r="D12252" i="6"/>
  <c r="D12251" i="6"/>
  <c r="D12250" i="6"/>
  <c r="D12249" i="6"/>
  <c r="D12248" i="6"/>
  <c r="D12247" i="6"/>
  <c r="D12246" i="6"/>
  <c r="D12245" i="6"/>
  <c r="D12244" i="6"/>
  <c r="D12243" i="6"/>
  <c r="D12242" i="6"/>
  <c r="D12241" i="6"/>
  <c r="D12240" i="6"/>
  <c r="D12239" i="6"/>
  <c r="D12238" i="6"/>
  <c r="D12237" i="6"/>
  <c r="D12236" i="6"/>
  <c r="D12235" i="6"/>
  <c r="D12234" i="6"/>
  <c r="D12233" i="6"/>
  <c r="D12232" i="6"/>
  <c r="D12231" i="6"/>
  <c r="D12230" i="6"/>
  <c r="D12229" i="6"/>
  <c r="D12228" i="6"/>
  <c r="D12227" i="6"/>
  <c r="D12226" i="6"/>
  <c r="D12225" i="6"/>
  <c r="D12224" i="6"/>
  <c r="D12223" i="6"/>
  <c r="D12222" i="6"/>
  <c r="D12221" i="6"/>
  <c r="D12220" i="6"/>
  <c r="D12219" i="6"/>
  <c r="D12218" i="6"/>
  <c r="D12217" i="6"/>
  <c r="D12216" i="6"/>
  <c r="D12215" i="6"/>
  <c r="D12214" i="6"/>
  <c r="D12213" i="6"/>
  <c r="D12212" i="6"/>
  <c r="D12211" i="6"/>
  <c r="D12210" i="6"/>
  <c r="D12209" i="6"/>
  <c r="D12208" i="6"/>
  <c r="D12207" i="6"/>
  <c r="D12206" i="6"/>
  <c r="D12205" i="6"/>
  <c r="D12204" i="6"/>
  <c r="D12203" i="6"/>
  <c r="D12202" i="6"/>
  <c r="D12201" i="6"/>
  <c r="D12200" i="6"/>
  <c r="D12199" i="6"/>
  <c r="D12198" i="6"/>
  <c r="D12197" i="6"/>
  <c r="D12192" i="6"/>
  <c r="D12191" i="6"/>
  <c r="D12190" i="6"/>
  <c r="D12189" i="6"/>
  <c r="D12188" i="6"/>
  <c r="D12187" i="6"/>
  <c r="D12186" i="6"/>
  <c r="D12185" i="6"/>
  <c r="D12184" i="6"/>
  <c r="D12183" i="6"/>
  <c r="D12182" i="6"/>
  <c r="D12181" i="6"/>
  <c r="D12180" i="6"/>
  <c r="D12179" i="6"/>
  <c r="D12178" i="6"/>
  <c r="D12177" i="6"/>
  <c r="D12176" i="6"/>
  <c r="D12175" i="6"/>
  <c r="D12174" i="6"/>
  <c r="D12173" i="6"/>
  <c r="D12172" i="6"/>
  <c r="D12171" i="6"/>
  <c r="D12170" i="6"/>
  <c r="D12169" i="6"/>
  <c r="D12168" i="6"/>
  <c r="D12167" i="6"/>
  <c r="D12166" i="6"/>
  <c r="D12165" i="6"/>
  <c r="D12164" i="6"/>
  <c r="D12163" i="6"/>
  <c r="D12162" i="6"/>
  <c r="D12161" i="6"/>
  <c r="D12160" i="6"/>
  <c r="D12159" i="6"/>
  <c r="D12158" i="6"/>
  <c r="D12157" i="6"/>
  <c r="D12156" i="6"/>
  <c r="D12155" i="6"/>
  <c r="D12154" i="6"/>
  <c r="D12153" i="6"/>
  <c r="D12152" i="6"/>
  <c r="D12151" i="6"/>
  <c r="D12150" i="6"/>
  <c r="D12149" i="6"/>
  <c r="D12148" i="6"/>
  <c r="D12147" i="6"/>
  <c r="D12146" i="6"/>
  <c r="D12145" i="6"/>
  <c r="D12144" i="6"/>
  <c r="D12143" i="6"/>
  <c r="D12142" i="6"/>
  <c r="D12141" i="6"/>
  <c r="D12140" i="6"/>
  <c r="D12139" i="6"/>
  <c r="D12138" i="6"/>
  <c r="D12137" i="6"/>
  <c r="D12136" i="6"/>
  <c r="D12135" i="6"/>
  <c r="D12134" i="6"/>
  <c r="D12133" i="6"/>
  <c r="D12132" i="6"/>
  <c r="D12131" i="6"/>
  <c r="D12130" i="6"/>
  <c r="D12129" i="6"/>
  <c r="D12128" i="6"/>
  <c r="D12127" i="6"/>
  <c r="D12126" i="6"/>
  <c r="D12125" i="6"/>
  <c r="D12124" i="6"/>
  <c r="D12123" i="6"/>
  <c r="D12122" i="6"/>
  <c r="D12121" i="6"/>
  <c r="D12120" i="6"/>
  <c r="D12119" i="6"/>
  <c r="D12118" i="6"/>
  <c r="D12117" i="6"/>
  <c r="D12098" i="6"/>
  <c r="D12094" i="6"/>
  <c r="D12076" i="6"/>
  <c r="D12075" i="6"/>
  <c r="D12074" i="6"/>
  <c r="D12073" i="6"/>
  <c r="D12072" i="6"/>
  <c r="D12071" i="6"/>
  <c r="D12070" i="6"/>
  <c r="D12069" i="6"/>
  <c r="D12068" i="6"/>
  <c r="D12067" i="6"/>
  <c r="D12066" i="6"/>
  <c r="D12065" i="6"/>
  <c r="D12064" i="6"/>
  <c r="D12063" i="6"/>
  <c r="D12062" i="6"/>
  <c r="D12061" i="6"/>
  <c r="D12060" i="6"/>
  <c r="D12059" i="6"/>
  <c r="D12058" i="6"/>
  <c r="D12057" i="6"/>
  <c r="D12056" i="6"/>
  <c r="D12055" i="6"/>
  <c r="D12054" i="6"/>
  <c r="D12053" i="6"/>
  <c r="D12052" i="6"/>
  <c r="D12051" i="6"/>
  <c r="D12050" i="6"/>
  <c r="D12049" i="6"/>
  <c r="D12048" i="6"/>
  <c r="D12047" i="6"/>
  <c r="D12046" i="6"/>
  <c r="D12045" i="6"/>
  <c r="D12044" i="6"/>
  <c r="D12043" i="6"/>
  <c r="D12042" i="6"/>
  <c r="D12041" i="6"/>
  <c r="D12040" i="6"/>
  <c r="D12039" i="6"/>
  <c r="D12038" i="6"/>
  <c r="D12037" i="6"/>
  <c r="D12036" i="6"/>
  <c r="D12035" i="6"/>
  <c r="D12034" i="6"/>
  <c r="D12033" i="6"/>
  <c r="D12032" i="6"/>
  <c r="D12031" i="6"/>
  <c r="D12030" i="6"/>
  <c r="D12029" i="6"/>
  <c r="D12028" i="6"/>
  <c r="D12027" i="6"/>
  <c r="D12026" i="6"/>
  <c r="D12025" i="6"/>
  <c r="D12024" i="6"/>
  <c r="D12023" i="6"/>
  <c r="D12022" i="6"/>
  <c r="D12021" i="6"/>
  <c r="D12020" i="6"/>
  <c r="D12019" i="6"/>
  <c r="D12018" i="6"/>
  <c r="D12017" i="6"/>
  <c r="D12016" i="6"/>
  <c r="D12015" i="6"/>
  <c r="D12014" i="6"/>
  <c r="D12013" i="6"/>
  <c r="D12012" i="6"/>
  <c r="D12011" i="6"/>
  <c r="D12010" i="6"/>
  <c r="D12009" i="6"/>
  <c r="D12008" i="6"/>
  <c r="D12007" i="6"/>
  <c r="D12006" i="6"/>
  <c r="D12005" i="6"/>
  <c r="D12004" i="6"/>
  <c r="D12003" i="6"/>
  <c r="D12002" i="6"/>
  <c r="D12001" i="6"/>
  <c r="D12000" i="6"/>
  <c r="D11999" i="6"/>
  <c r="D11998" i="6"/>
  <c r="D11997" i="6"/>
  <c r="D11996" i="6"/>
  <c r="D11995" i="6"/>
  <c r="D11994" i="6"/>
  <c r="D11993" i="6"/>
  <c r="D11992" i="6"/>
  <c r="D11991" i="6"/>
  <c r="D11990" i="6"/>
  <c r="D11989" i="6"/>
  <c r="D11988" i="6"/>
  <c r="D11987" i="6"/>
  <c r="D11986" i="6"/>
  <c r="D11985" i="6"/>
  <c r="D11984" i="6"/>
  <c r="D11983" i="6"/>
  <c r="D11982" i="6"/>
  <c r="D11981" i="6"/>
  <c r="D11980" i="6"/>
  <c r="D11979" i="6"/>
  <c r="D11978" i="6"/>
  <c r="D11977" i="6"/>
  <c r="D11976" i="6"/>
  <c r="D11975" i="6"/>
  <c r="D11974" i="6"/>
  <c r="D11973" i="6"/>
  <c r="D11972" i="6"/>
  <c r="D11971" i="6"/>
  <c r="D11970" i="6"/>
  <c r="D11969" i="6"/>
  <c r="D11968" i="6"/>
  <c r="D11967" i="6"/>
  <c r="D11966" i="6"/>
  <c r="D11965" i="6"/>
  <c r="D11964" i="6"/>
  <c r="D11963" i="6"/>
  <c r="D11962" i="6"/>
  <c r="D11961" i="6"/>
  <c r="D11960" i="6"/>
  <c r="D11959" i="6"/>
  <c r="D11958" i="6"/>
  <c r="D11957" i="6"/>
  <c r="D11956" i="6"/>
  <c r="D11955" i="6"/>
  <c r="D11942" i="6"/>
  <c r="D11941" i="6"/>
  <c r="D11940" i="6"/>
  <c r="D11939" i="6"/>
  <c r="D11938" i="6"/>
  <c r="D11937" i="6"/>
  <c r="D11936" i="6"/>
  <c r="D11935" i="6"/>
  <c r="D11934" i="6"/>
  <c r="D11933" i="6"/>
  <c r="D11932" i="6"/>
  <c r="D11931" i="6"/>
  <c r="D11930" i="6"/>
  <c r="D11929" i="6"/>
  <c r="D11927" i="6"/>
  <c r="D11926" i="6"/>
  <c r="D11924" i="6"/>
  <c r="D11923" i="6"/>
  <c r="D11922" i="6"/>
  <c r="D11921" i="6"/>
  <c r="D11920" i="6"/>
  <c r="D11919" i="6"/>
  <c r="D11918" i="6"/>
  <c r="D11917" i="6"/>
  <c r="D11916" i="6"/>
  <c r="D11915" i="6"/>
  <c r="D11914" i="6"/>
  <c r="D11913" i="6"/>
  <c r="D11912" i="6"/>
  <c r="D11911" i="6"/>
  <c r="D11910" i="6"/>
  <c r="D11909" i="6"/>
  <c r="D11908" i="6"/>
  <c r="D11907" i="6"/>
  <c r="D11906" i="6"/>
  <c r="D11905" i="6"/>
  <c r="D11904" i="6"/>
  <c r="D11903" i="6"/>
  <c r="D11902" i="6"/>
  <c r="D11901" i="6"/>
  <c r="D11900" i="6"/>
  <c r="D11899" i="6"/>
  <c r="D11898" i="6"/>
  <c r="D11897" i="6"/>
  <c r="D11896" i="6"/>
  <c r="D11895" i="6"/>
  <c r="D11894" i="6"/>
  <c r="D11893" i="6"/>
  <c r="D11892" i="6"/>
  <c r="D11891" i="6"/>
  <c r="D11890" i="6"/>
  <c r="D11889" i="6"/>
  <c r="D11888" i="6"/>
  <c r="D11887" i="6"/>
  <c r="D11886" i="6"/>
  <c r="D11885" i="6"/>
  <c r="D11884" i="6"/>
  <c r="D11883" i="6"/>
  <c r="D11882" i="6"/>
  <c r="D11881" i="6"/>
  <c r="D11880" i="6"/>
  <c r="D11879" i="6"/>
  <c r="D11878" i="6"/>
  <c r="D11877" i="6"/>
  <c r="D11876" i="6"/>
  <c r="D11875" i="6"/>
  <c r="D11874" i="6"/>
  <c r="D11873" i="6"/>
  <c r="D11872" i="6"/>
  <c r="D11871" i="6"/>
  <c r="D11870" i="6"/>
  <c r="D11869" i="6"/>
  <c r="D11863" i="6"/>
  <c r="D11862" i="6"/>
  <c r="D11861" i="6"/>
  <c r="D11860" i="6"/>
  <c r="D11859" i="6"/>
  <c r="D11858" i="6"/>
  <c r="D11857" i="6"/>
  <c r="D11856" i="6"/>
  <c r="D11855" i="6"/>
  <c r="D11854" i="6"/>
  <c r="D11853" i="6"/>
  <c r="D11852" i="6"/>
  <c r="D11851" i="6"/>
  <c r="D11850" i="6"/>
  <c r="D11849" i="6"/>
  <c r="D11848" i="6"/>
  <c r="D11847" i="6"/>
  <c r="D11846" i="6"/>
  <c r="D11845" i="6"/>
  <c r="D11844" i="6"/>
  <c r="D11843" i="6"/>
  <c r="D11842" i="6"/>
  <c r="D11841" i="6"/>
  <c r="D11840" i="6"/>
  <c r="D11839" i="6"/>
  <c r="D11830" i="6"/>
  <c r="D11829" i="6"/>
  <c r="D11828" i="6"/>
  <c r="D11827" i="6"/>
  <c r="D11826" i="6"/>
  <c r="D11824" i="6"/>
  <c r="D11823" i="6"/>
  <c r="D11822" i="6"/>
  <c r="D11821" i="6"/>
  <c r="D11820" i="6"/>
  <c r="D11819" i="6"/>
  <c r="D11818" i="6"/>
  <c r="D11817" i="6"/>
  <c r="D11816" i="6"/>
  <c r="D11814" i="6"/>
  <c r="D11813" i="6"/>
  <c r="D11811" i="6"/>
  <c r="D11810" i="6"/>
  <c r="D11809" i="6"/>
  <c r="D11808" i="6"/>
  <c r="D11807" i="6"/>
  <c r="D11806" i="6"/>
  <c r="D11805" i="6"/>
  <c r="D11804" i="6"/>
  <c r="D11803" i="6"/>
  <c r="D11802" i="6"/>
  <c r="D11801" i="6"/>
  <c r="D11800" i="6"/>
  <c r="D11799" i="6"/>
  <c r="D11798" i="6"/>
  <c r="D11797" i="6"/>
  <c r="D11796" i="6"/>
  <c r="D11795" i="6"/>
  <c r="D11794" i="6"/>
  <c r="D11793" i="6"/>
  <c r="D11792" i="6"/>
  <c r="D11791" i="6"/>
  <c r="D11790" i="6"/>
  <c r="D11789" i="6"/>
  <c r="D11788" i="6"/>
  <c r="D11787" i="6"/>
  <c r="D11786" i="6"/>
  <c r="D11785" i="6"/>
  <c r="D11784" i="6"/>
  <c r="D11783" i="6"/>
  <c r="D11782" i="6"/>
  <c r="D11781" i="6"/>
  <c r="D11780" i="6"/>
  <c r="D11779" i="6"/>
  <c r="D11778" i="6"/>
  <c r="D11777" i="6"/>
  <c r="D11776" i="6"/>
  <c r="D11775" i="6"/>
  <c r="D11774" i="6"/>
  <c r="D11773" i="6"/>
  <c r="D11772" i="6"/>
  <c r="D11771" i="6"/>
  <c r="D11770" i="6"/>
  <c r="D11769" i="6"/>
  <c r="D11768" i="6"/>
  <c r="D11767" i="6"/>
  <c r="D11766" i="6"/>
  <c r="D11765" i="6"/>
  <c r="D11764" i="6"/>
  <c r="D11763" i="6"/>
  <c r="D11762" i="6"/>
  <c r="D11761" i="6"/>
  <c r="D11760" i="6"/>
  <c r="D11759" i="6"/>
  <c r="D11758" i="6"/>
  <c r="D11757" i="6"/>
  <c r="D11756" i="6"/>
  <c r="D11755" i="6"/>
  <c r="D11754" i="6"/>
  <c r="D11753" i="6"/>
  <c r="D11752" i="6"/>
  <c r="D11751" i="6"/>
  <c r="D11750" i="6"/>
  <c r="D11749" i="6"/>
  <c r="D11748" i="6"/>
  <c r="D11747" i="6"/>
  <c r="D11746" i="6"/>
  <c r="D11745" i="6"/>
  <c r="D11744" i="6"/>
  <c r="D11743" i="6"/>
  <c r="D11742" i="6"/>
  <c r="D11741" i="6"/>
  <c r="D11740" i="6"/>
  <c r="D11739" i="6"/>
  <c r="D11738" i="6"/>
  <c r="D11737" i="6"/>
  <c r="D11736" i="6"/>
  <c r="D11735" i="6"/>
  <c r="D11734" i="6"/>
  <c r="D11733" i="6"/>
  <c r="D11732" i="6"/>
  <c r="D11731" i="6"/>
  <c r="D11730" i="6"/>
  <c r="D11729" i="6"/>
  <c r="D11728" i="6"/>
  <c r="D11727" i="6"/>
  <c r="D11726" i="6"/>
  <c r="D11725" i="6"/>
  <c r="D11724" i="6"/>
  <c r="D11723" i="6"/>
  <c r="D11722" i="6"/>
  <c r="D11718" i="6"/>
  <c r="D11717" i="6"/>
  <c r="D11716" i="6"/>
  <c r="D11715" i="6"/>
  <c r="D11714" i="6"/>
  <c r="D11713" i="6"/>
  <c r="D11712" i="6"/>
  <c r="D11711" i="6"/>
  <c r="D11710" i="6"/>
  <c r="D11709" i="6"/>
  <c r="D11708" i="6"/>
  <c r="D11704" i="6"/>
  <c r="D11703" i="6"/>
  <c r="D11702" i="6"/>
  <c r="D11701" i="6"/>
  <c r="D11700" i="6"/>
  <c r="D11699" i="6"/>
  <c r="D11698" i="6"/>
  <c r="D11697" i="6"/>
  <c r="D11696" i="6"/>
  <c r="D11695" i="6"/>
  <c r="D11694" i="6"/>
  <c r="D11693" i="6"/>
  <c r="D11692" i="6"/>
  <c r="D11690" i="6"/>
  <c r="D11689" i="6"/>
  <c r="D11688" i="6"/>
  <c r="D11687" i="6"/>
  <c r="D11686" i="6"/>
  <c r="D11685" i="6"/>
  <c r="D11684" i="6"/>
  <c r="D11683" i="6"/>
  <c r="D11682" i="6"/>
  <c r="D11681" i="6"/>
  <c r="D11680" i="6"/>
  <c r="D11679" i="6"/>
  <c r="D11678" i="6"/>
  <c r="D11677" i="6"/>
  <c r="D11676" i="6"/>
  <c r="D11675" i="6"/>
  <c r="D11674" i="6"/>
  <c r="D11673" i="6"/>
  <c r="D11672" i="6"/>
  <c r="D11671" i="6"/>
  <c r="D11670" i="6"/>
  <c r="D11669" i="6"/>
  <c r="D11668" i="6"/>
  <c r="D11667" i="6"/>
  <c r="D11666" i="6"/>
  <c r="D11665" i="6"/>
  <c r="D11664" i="6"/>
  <c r="D11663" i="6"/>
  <c r="D11662" i="6"/>
  <c r="D11661" i="6"/>
  <c r="D11660" i="6"/>
  <c r="D11659" i="6"/>
  <c r="D11658" i="6"/>
  <c r="D11657" i="6"/>
  <c r="D11656" i="6"/>
  <c r="D11655" i="6"/>
  <c r="D11654" i="6"/>
  <c r="D11653" i="6"/>
  <c r="D11652" i="6"/>
  <c r="D11651" i="6"/>
  <c r="D11650" i="6"/>
  <c r="D11649" i="6"/>
  <c r="D11648" i="6"/>
  <c r="D11647" i="6"/>
  <c r="D11646" i="6"/>
  <c r="D11645" i="6"/>
  <c r="D11644" i="6"/>
  <c r="D11643" i="6"/>
  <c r="D11642" i="6"/>
  <c r="D11641" i="6"/>
  <c r="D11640" i="6"/>
  <c r="D11639" i="6"/>
  <c r="D11638" i="6"/>
  <c r="D11637" i="6"/>
  <c r="D11636" i="6"/>
  <c r="D11635" i="6"/>
  <c r="D11634" i="6"/>
  <c r="D11633" i="6"/>
  <c r="D11632" i="6"/>
  <c r="D11631" i="6"/>
  <c r="D11630" i="6"/>
  <c r="D11629" i="6"/>
  <c r="D11628" i="6"/>
  <c r="D11627" i="6"/>
  <c r="D11626" i="6"/>
  <c r="D11625" i="6"/>
  <c r="D11624" i="6"/>
  <c r="D11623" i="6"/>
  <c r="D11622" i="6"/>
  <c r="D11621" i="6"/>
  <c r="D11620" i="6"/>
  <c r="D11619" i="6"/>
  <c r="D11618" i="6"/>
  <c r="D11617" i="6"/>
  <c r="D11616" i="6"/>
  <c r="D11615" i="6"/>
  <c r="D11614" i="6"/>
  <c r="D11613" i="6"/>
  <c r="D11612" i="6"/>
  <c r="D11611" i="6"/>
  <c r="D11610" i="6"/>
  <c r="D11609" i="6"/>
  <c r="D11608" i="6"/>
  <c r="D11607" i="6"/>
  <c r="D11606" i="6"/>
  <c r="D11605" i="6"/>
  <c r="D11604" i="6"/>
  <c r="D11603" i="6"/>
  <c r="D11602" i="6"/>
  <c r="D11601" i="6"/>
  <c r="D11580" i="6"/>
  <c r="D11579" i="6"/>
  <c r="D11578" i="6"/>
  <c r="D11577" i="6"/>
  <c r="D11576" i="6"/>
  <c r="D11575" i="6"/>
  <c r="D11574" i="6"/>
  <c r="D11573" i="6"/>
  <c r="D11572" i="6"/>
  <c r="D11571" i="6"/>
  <c r="D11570" i="6"/>
  <c r="D11569" i="6"/>
  <c r="D11568" i="6"/>
  <c r="D11567" i="6"/>
  <c r="D11566" i="6"/>
  <c r="D11565" i="6"/>
  <c r="D11564" i="6"/>
  <c r="D11563" i="6"/>
  <c r="D11562" i="6"/>
  <c r="D11561" i="6"/>
  <c r="D11560" i="6"/>
  <c r="D11559" i="6"/>
  <c r="D11558" i="6"/>
  <c r="D11557" i="6"/>
  <c r="D11556" i="6"/>
  <c r="D11555" i="6"/>
  <c r="D11554" i="6"/>
  <c r="D11553" i="6"/>
  <c r="D11552" i="6"/>
  <c r="D11551" i="6"/>
  <c r="D11550" i="6"/>
  <c r="D11549" i="6"/>
  <c r="D11548" i="6"/>
  <c r="D11547" i="6"/>
  <c r="D11546" i="6"/>
  <c r="D11545" i="6"/>
  <c r="D11544" i="6"/>
  <c r="D11543" i="6"/>
  <c r="D11542" i="6"/>
  <c r="D11541" i="6"/>
  <c r="D11540" i="6"/>
  <c r="D11539" i="6"/>
  <c r="D11538" i="6"/>
  <c r="D11537" i="6"/>
  <c r="D11536" i="6"/>
  <c r="D11535" i="6"/>
  <c r="D11534" i="6"/>
  <c r="D11533" i="6"/>
  <c r="D11532" i="6"/>
  <c r="D11531" i="6"/>
  <c r="D11530" i="6"/>
  <c r="D11529" i="6"/>
  <c r="D11528" i="6"/>
  <c r="D11527" i="6"/>
  <c r="D11526" i="6"/>
  <c r="D11525" i="6"/>
  <c r="D11524" i="6"/>
  <c r="D11523" i="6"/>
  <c r="D11522" i="6"/>
  <c r="D11521" i="6"/>
  <c r="D11520" i="6"/>
  <c r="D11519" i="6"/>
  <c r="D11518" i="6"/>
  <c r="D11517" i="6"/>
  <c r="D11516" i="6"/>
  <c r="D11515" i="6"/>
  <c r="D11514" i="6"/>
  <c r="D11513" i="6"/>
  <c r="D11512" i="6"/>
  <c r="D11511" i="6"/>
  <c r="D11510" i="6"/>
  <c r="D11509" i="6"/>
  <c r="D11508" i="6"/>
  <c r="D11507" i="6"/>
  <c r="D11506" i="6"/>
  <c r="D11505" i="6"/>
  <c r="D11504" i="6"/>
  <c r="D11503" i="6"/>
  <c r="D11502" i="6"/>
  <c r="D11501" i="6"/>
  <c r="D11500" i="6"/>
  <c r="D11499" i="6"/>
  <c r="D11498" i="6"/>
  <c r="D11497" i="6"/>
  <c r="D11496" i="6"/>
  <c r="D11495" i="6"/>
  <c r="D11494" i="6"/>
  <c r="D11493" i="6"/>
  <c r="D11492" i="6"/>
  <c r="D11491" i="6"/>
  <c r="D11490" i="6"/>
  <c r="D11489" i="6"/>
  <c r="D11488" i="6"/>
  <c r="D11487" i="6"/>
  <c r="D11486" i="6"/>
  <c r="D11485" i="6"/>
  <c r="D11484" i="6"/>
  <c r="D11483" i="6"/>
  <c r="D11482" i="6"/>
  <c r="D11481" i="6"/>
  <c r="D11480" i="6"/>
  <c r="D11479" i="6"/>
  <c r="D11478" i="6"/>
  <c r="D11477" i="6"/>
  <c r="D11476" i="6"/>
  <c r="D11475" i="6"/>
  <c r="D11474" i="6"/>
  <c r="D11473" i="6"/>
  <c r="D11472" i="6"/>
  <c r="D11471" i="6"/>
  <c r="D11470" i="6"/>
  <c r="D11469" i="6"/>
  <c r="D11468" i="6"/>
  <c r="D11467" i="6"/>
  <c r="D11466" i="6"/>
  <c r="D11465" i="6"/>
  <c r="D11464" i="6"/>
  <c r="D11463" i="6"/>
  <c r="D11462" i="6"/>
  <c r="D11461" i="6"/>
  <c r="D11460" i="6"/>
  <c r="D11459" i="6"/>
  <c r="D11458" i="6"/>
  <c r="D11457" i="6"/>
  <c r="D11456" i="6"/>
  <c r="D11455" i="6"/>
  <c r="D11454" i="6"/>
  <c r="D11453" i="6"/>
  <c r="D11452" i="6"/>
  <c r="D11451" i="6"/>
  <c r="D11450" i="6"/>
  <c r="D11449" i="6"/>
  <c r="D11448" i="6"/>
  <c r="D11447" i="6"/>
  <c r="D11446" i="6"/>
  <c r="D11445" i="6"/>
  <c r="D11444" i="6"/>
  <c r="D11443" i="6"/>
  <c r="D11442" i="6"/>
  <c r="D11441" i="6"/>
  <c r="D11440" i="6"/>
  <c r="D11439" i="6"/>
  <c r="D11438" i="6"/>
  <c r="D11437" i="6"/>
  <c r="D11436" i="6"/>
  <c r="D11435" i="6"/>
  <c r="D11434" i="6"/>
  <c r="D11433" i="6"/>
  <c r="D11432" i="6"/>
  <c r="D11431" i="6"/>
  <c r="D11430" i="6"/>
  <c r="D11429" i="6"/>
  <c r="D11428" i="6"/>
  <c r="D11427" i="6"/>
  <c r="D11426" i="6"/>
  <c r="D11425" i="6"/>
  <c r="D11424" i="6"/>
  <c r="D11423" i="6"/>
  <c r="D11422" i="6"/>
  <c r="D11421" i="6"/>
  <c r="D11420" i="6"/>
  <c r="D11416" i="6"/>
  <c r="D11402" i="6"/>
  <c r="D11401" i="6"/>
  <c r="D11400" i="6"/>
  <c r="D11399" i="6"/>
  <c r="D11398" i="6"/>
  <c r="D11397" i="6"/>
  <c r="D11396" i="6"/>
  <c r="D11395" i="6"/>
  <c r="D11394" i="6"/>
  <c r="D11393" i="6"/>
  <c r="D11392" i="6"/>
  <c r="D11391" i="6"/>
  <c r="D11390" i="6"/>
  <c r="D11389" i="6"/>
  <c r="D11388" i="6"/>
  <c r="D11387" i="6"/>
  <c r="D11386" i="6"/>
  <c r="D11385" i="6"/>
  <c r="D11384" i="6"/>
  <c r="D11383" i="6"/>
  <c r="D11382" i="6"/>
  <c r="D11379" i="6"/>
  <c r="D11378" i="6"/>
  <c r="D11377" i="6"/>
  <c r="D11376" i="6"/>
  <c r="D11375" i="6"/>
  <c r="D11374" i="6"/>
  <c r="D11373" i="6"/>
  <c r="D11372" i="6"/>
  <c r="D11371" i="6"/>
  <c r="D11370" i="6"/>
  <c r="D11369" i="6"/>
  <c r="D11368" i="6"/>
  <c r="D11367" i="6"/>
  <c r="D11366" i="6"/>
  <c r="D11365" i="6"/>
  <c r="D11364" i="6"/>
  <c r="D11363" i="6"/>
  <c r="D11362" i="6"/>
  <c r="D11361" i="6"/>
  <c r="D11360" i="6"/>
  <c r="D11359" i="6"/>
  <c r="D11358" i="6"/>
  <c r="D11357" i="6"/>
  <c r="D11356" i="6"/>
  <c r="D11355" i="6"/>
  <c r="D11354" i="6"/>
  <c r="D11353" i="6"/>
  <c r="D11352" i="6"/>
  <c r="D11351" i="6"/>
  <c r="D11350" i="6"/>
  <c r="D11349" i="6"/>
  <c r="D11348" i="6"/>
  <c r="D11347" i="6"/>
  <c r="D11346" i="6"/>
  <c r="D11345" i="6"/>
  <c r="D11344" i="6"/>
  <c r="D11343" i="6"/>
  <c r="D11342" i="6"/>
  <c r="D11341" i="6"/>
  <c r="D11340" i="6"/>
  <c r="D11339" i="6"/>
  <c r="D11338" i="6"/>
  <c r="D11337" i="6"/>
  <c r="D11336" i="6"/>
  <c r="D11335" i="6"/>
  <c r="D11334" i="6"/>
  <c r="D11333" i="6"/>
  <c r="D11332" i="6"/>
  <c r="D11331" i="6"/>
  <c r="D11330" i="6"/>
  <c r="D11329" i="6"/>
  <c r="D11328" i="6"/>
  <c r="D11327" i="6"/>
  <c r="D11326" i="6"/>
  <c r="D11325" i="6"/>
  <c r="D11324" i="6"/>
  <c r="D11323" i="6"/>
  <c r="C11323" i="6"/>
  <c r="D11322" i="6"/>
  <c r="D11321" i="6"/>
  <c r="D11320" i="6"/>
  <c r="D11319" i="6"/>
  <c r="D11318" i="6"/>
  <c r="D11317" i="6"/>
  <c r="D11316" i="6"/>
  <c r="D11315" i="6"/>
  <c r="D11314" i="6"/>
  <c r="D11313" i="6"/>
  <c r="D11312" i="6"/>
  <c r="D11311" i="6"/>
  <c r="D11310" i="6"/>
  <c r="D11309" i="6"/>
  <c r="D11308" i="6"/>
  <c r="D11307" i="6"/>
  <c r="D11306" i="6"/>
  <c r="D11305" i="6"/>
  <c r="D11304" i="6"/>
  <c r="D11303" i="6"/>
  <c r="D11302" i="6"/>
  <c r="D11301" i="6"/>
  <c r="D11300" i="6"/>
  <c r="D11299" i="6"/>
  <c r="D11298" i="6"/>
  <c r="D11297" i="6"/>
  <c r="D11296" i="6"/>
  <c r="D11295" i="6"/>
  <c r="D11294" i="6"/>
  <c r="D11293" i="6"/>
  <c r="D11292" i="6"/>
  <c r="D11291" i="6"/>
  <c r="D11290" i="6"/>
  <c r="D11289" i="6"/>
  <c r="D11288" i="6"/>
  <c r="D11287" i="6"/>
  <c r="D11286" i="6"/>
  <c r="D11285" i="6"/>
  <c r="D11284" i="6"/>
  <c r="D11283" i="6"/>
  <c r="D11282" i="6"/>
  <c r="D11279" i="6"/>
  <c r="D11278" i="6"/>
  <c r="D11277" i="6"/>
  <c r="D11276" i="6"/>
  <c r="D11275" i="6"/>
  <c r="D11274" i="6"/>
  <c r="D11273" i="6"/>
  <c r="D11272" i="6"/>
  <c r="D11271" i="6"/>
  <c r="D11270" i="6"/>
  <c r="D11269" i="6"/>
  <c r="D11268" i="6"/>
  <c r="D11267" i="6"/>
  <c r="D11266" i="6"/>
  <c r="D11265" i="6"/>
  <c r="D11264" i="6"/>
  <c r="D11263" i="6"/>
  <c r="D11262" i="6"/>
  <c r="D11261" i="6"/>
  <c r="D11260" i="6"/>
  <c r="D11259" i="6"/>
  <c r="D11258" i="6"/>
  <c r="D11257" i="6"/>
  <c r="C11182" i="6"/>
  <c r="D11139" i="6"/>
  <c r="D11107" i="6"/>
  <c r="D11104" i="6"/>
  <c r="D11100" i="6"/>
  <c r="D11091" i="6"/>
  <c r="D11090" i="6"/>
  <c r="D11089" i="6"/>
  <c r="D11088" i="6"/>
  <c r="D11087" i="6"/>
  <c r="D11086" i="6"/>
  <c r="D11085" i="6"/>
  <c r="D11084" i="6"/>
  <c r="D11083" i="6"/>
  <c r="D11082" i="6"/>
  <c r="D11081" i="6"/>
  <c r="D11080" i="6"/>
  <c r="D11079" i="6"/>
  <c r="D11072" i="6"/>
  <c r="D11071" i="6"/>
  <c r="D11070" i="6"/>
  <c r="D11069" i="6"/>
  <c r="D11068" i="6"/>
  <c r="D11067" i="6"/>
  <c r="D11066" i="6"/>
  <c r="D11065" i="6"/>
  <c r="D11064" i="6"/>
  <c r="D11063" i="6"/>
  <c r="D11062" i="6"/>
  <c r="D11061" i="6"/>
  <c r="D11060" i="6"/>
  <c r="D11059" i="6"/>
  <c r="D11057" i="6"/>
  <c r="D11056" i="6"/>
  <c r="D11055" i="6"/>
  <c r="D11052" i="6"/>
  <c r="D11051" i="6"/>
  <c r="D11050" i="6"/>
  <c r="D11049" i="6"/>
  <c r="D11048" i="6"/>
  <c r="D11047" i="6"/>
  <c r="D11046" i="6"/>
  <c r="D11045" i="6"/>
  <c r="D11044" i="6"/>
  <c r="D11043" i="6"/>
  <c r="D11042" i="6"/>
  <c r="D11041" i="6"/>
  <c r="D11040" i="6"/>
  <c r="D11039" i="6"/>
  <c r="D11038" i="6"/>
  <c r="D11037" i="6"/>
  <c r="D11036" i="6"/>
  <c r="D11035" i="6"/>
  <c r="D11034" i="6"/>
  <c r="D11033" i="6"/>
  <c r="D11032" i="6"/>
  <c r="D11031" i="6"/>
  <c r="D11030" i="6"/>
  <c r="D11029" i="6"/>
  <c r="D11028" i="6"/>
  <c r="D11027" i="6"/>
  <c r="D11026" i="6"/>
  <c r="D11025" i="6"/>
  <c r="D11024" i="6"/>
  <c r="D11023" i="6"/>
  <c r="D11022" i="6"/>
  <c r="D11021" i="6"/>
  <c r="D11020" i="6"/>
  <c r="D11019" i="6"/>
  <c r="D11018" i="6"/>
  <c r="D11017" i="6"/>
  <c r="D11016" i="6"/>
  <c r="D11015" i="6"/>
  <c r="D11011" i="6"/>
  <c r="D11004" i="6"/>
  <c r="D11003" i="6"/>
  <c r="D11002" i="6"/>
  <c r="D11001" i="6"/>
  <c r="D11000" i="6"/>
  <c r="D10999" i="6"/>
  <c r="D10998" i="6"/>
  <c r="D10997" i="6"/>
  <c r="D10996" i="6"/>
  <c r="D10995" i="6"/>
  <c r="D10994" i="6"/>
  <c r="D10993" i="6"/>
  <c r="D10992" i="6"/>
  <c r="D10991" i="6"/>
  <c r="D10990" i="6"/>
  <c r="D10988" i="6"/>
  <c r="D10987" i="6"/>
  <c r="D10986" i="6"/>
  <c r="D10985" i="6"/>
  <c r="D10984" i="6"/>
  <c r="D10982" i="6"/>
  <c r="D10980" i="6"/>
  <c r="D10979" i="6"/>
  <c r="D10978" i="6"/>
  <c r="D10977" i="6"/>
  <c r="D10976" i="6"/>
  <c r="D10963" i="6"/>
  <c r="D10958" i="6"/>
  <c r="D10893" i="6"/>
  <c r="D10830" i="6"/>
  <c r="D10829" i="6"/>
  <c r="D10828" i="6"/>
  <c r="D10827" i="6"/>
  <c r="D10826" i="6"/>
  <c r="D10825" i="6"/>
  <c r="D10824" i="6"/>
  <c r="D10823" i="6"/>
  <c r="D10822" i="6"/>
  <c r="D10821" i="6"/>
  <c r="D10820" i="6"/>
  <c r="D10819" i="6"/>
  <c r="D10818" i="6"/>
  <c r="D10817" i="6"/>
  <c r="D10816" i="6"/>
  <c r="D10815" i="6"/>
  <c r="D10814" i="6"/>
  <c r="D10813" i="6"/>
  <c r="D10812" i="6"/>
  <c r="D10811" i="6"/>
  <c r="D10810" i="6"/>
  <c r="D10809" i="6"/>
  <c r="D10808" i="6"/>
  <c r="D10807" i="6"/>
  <c r="D10806" i="6"/>
  <c r="D10805" i="6"/>
  <c r="D10804" i="6"/>
  <c r="D10803" i="6"/>
  <c r="D10802" i="6"/>
  <c r="D10801" i="6"/>
  <c r="D10800" i="6"/>
  <c r="D10799" i="6"/>
  <c r="D10798" i="6"/>
  <c r="D10797" i="6"/>
  <c r="D10796" i="6"/>
  <c r="D10795" i="6"/>
  <c r="D10794" i="6"/>
  <c r="D10793" i="6"/>
  <c r="D10792" i="6"/>
  <c r="D10791" i="6"/>
  <c r="D10790" i="6"/>
  <c r="C10790" i="6"/>
  <c r="D10789" i="6"/>
  <c r="C10789" i="6"/>
  <c r="D10788" i="6"/>
  <c r="D10787" i="6"/>
  <c r="D10786" i="6"/>
  <c r="D10785" i="6"/>
  <c r="D10784" i="6"/>
  <c r="D10783" i="6"/>
  <c r="D10782" i="6"/>
  <c r="D10781" i="6"/>
  <c r="D10780" i="6"/>
  <c r="D10779" i="6"/>
  <c r="D10778" i="6"/>
  <c r="D10777" i="6"/>
  <c r="C10777" i="6"/>
  <c r="D10776" i="6"/>
  <c r="C10776" i="6"/>
  <c r="D10775" i="6"/>
  <c r="D10774" i="6"/>
  <c r="D10773" i="6"/>
  <c r="D10772" i="6"/>
  <c r="D10771" i="6"/>
  <c r="D10770" i="6"/>
  <c r="D10769" i="6"/>
  <c r="D10768" i="6"/>
  <c r="D10767" i="6"/>
  <c r="D10766" i="6"/>
  <c r="D10765" i="6"/>
  <c r="D10764" i="6"/>
  <c r="D10760" i="6"/>
  <c r="D10759" i="6"/>
  <c r="D10758" i="6"/>
  <c r="D10757" i="6"/>
  <c r="D10756" i="6"/>
  <c r="D10755" i="6"/>
  <c r="D10754" i="6"/>
  <c r="D10753" i="6"/>
  <c r="D10752" i="6"/>
  <c r="D10751" i="6"/>
  <c r="D10750" i="6"/>
  <c r="D10749" i="6"/>
  <c r="D10748" i="6"/>
  <c r="D10747" i="6"/>
  <c r="D10746" i="6"/>
  <c r="D10745" i="6"/>
  <c r="D10744" i="6"/>
  <c r="D10743" i="6"/>
  <c r="D10742" i="6"/>
  <c r="D10741" i="6"/>
  <c r="D10740" i="6"/>
  <c r="D10739" i="6"/>
  <c r="D10738" i="6"/>
  <c r="D10737" i="6"/>
  <c r="D10736" i="6"/>
  <c r="D10735" i="6"/>
  <c r="D10734" i="6"/>
  <c r="D10733" i="6"/>
  <c r="D10732" i="6"/>
  <c r="D10731" i="6"/>
  <c r="D10730" i="6"/>
  <c r="D10729" i="6"/>
  <c r="D10728" i="6"/>
  <c r="D10727" i="6"/>
  <c r="D10726" i="6"/>
  <c r="D10725" i="6"/>
  <c r="D10724" i="6"/>
  <c r="D10723" i="6"/>
  <c r="D10722" i="6"/>
  <c r="D10721" i="6"/>
  <c r="D10720" i="6"/>
  <c r="D10719" i="6"/>
  <c r="D10718" i="6"/>
  <c r="D10717" i="6"/>
  <c r="D10716" i="6"/>
  <c r="D10715" i="6"/>
  <c r="D10714" i="6"/>
  <c r="D10713" i="6"/>
  <c r="D10712" i="6"/>
  <c r="D10711" i="6"/>
  <c r="D10710" i="6"/>
  <c r="D10709" i="6"/>
  <c r="D10708" i="6"/>
  <c r="D10707" i="6"/>
  <c r="D10706" i="6"/>
  <c r="D10705" i="6"/>
  <c r="D10704" i="6"/>
  <c r="D10703" i="6"/>
  <c r="D10702" i="6"/>
  <c r="D10701" i="6"/>
  <c r="D10700" i="6"/>
  <c r="D10699" i="6"/>
  <c r="D10698" i="6"/>
  <c r="D10697" i="6"/>
  <c r="D10696" i="6"/>
  <c r="D10695" i="6"/>
  <c r="D10694" i="6"/>
  <c r="D10693" i="6"/>
  <c r="D10692" i="6"/>
  <c r="D10691" i="6"/>
  <c r="D10690" i="6"/>
  <c r="D10689" i="6"/>
  <c r="D10688" i="6"/>
  <c r="D10687" i="6"/>
  <c r="D10686" i="6"/>
  <c r="D10685" i="6"/>
  <c r="D10684" i="6"/>
  <c r="D10683" i="6"/>
  <c r="D10682" i="6"/>
  <c r="D10681" i="6"/>
  <c r="D10680" i="6"/>
  <c r="D10679" i="6"/>
  <c r="D10678" i="6"/>
  <c r="D10677" i="6"/>
  <c r="D10676" i="6"/>
  <c r="D10675" i="6"/>
  <c r="D10668" i="6"/>
  <c r="D10667" i="6"/>
  <c r="D10666" i="6"/>
  <c r="D10665" i="6"/>
  <c r="D10664" i="6"/>
  <c r="D10663" i="6"/>
  <c r="D10662" i="6"/>
  <c r="D10661" i="6"/>
  <c r="D10660" i="6"/>
  <c r="D10659" i="6"/>
  <c r="D10658" i="6"/>
  <c r="D10657" i="6"/>
  <c r="D10656" i="6"/>
  <c r="D10655" i="6"/>
  <c r="D10654" i="6"/>
  <c r="D10653" i="6"/>
  <c r="D10652" i="6"/>
  <c r="D10651" i="6"/>
  <c r="D10650" i="6"/>
  <c r="D10649" i="6"/>
  <c r="D10648" i="6"/>
  <c r="D10631" i="6"/>
  <c r="D10630" i="6"/>
  <c r="D10628" i="6"/>
  <c r="D10627" i="6"/>
  <c r="D10626" i="6"/>
  <c r="D10625" i="6"/>
  <c r="D10624" i="6"/>
  <c r="D10623" i="6"/>
  <c r="D10622" i="6"/>
  <c r="D10621" i="6"/>
  <c r="D10620" i="6"/>
  <c r="D10619" i="6"/>
  <c r="D10618" i="6"/>
  <c r="D10617" i="6"/>
  <c r="D10616" i="6"/>
  <c r="D10615" i="6"/>
  <c r="D10529" i="6"/>
  <c r="D10528" i="6"/>
  <c r="D10527" i="6"/>
  <c r="D10526" i="6"/>
  <c r="D10525" i="6"/>
  <c r="D10524" i="6"/>
  <c r="D10523" i="6"/>
  <c r="D10522" i="6"/>
  <c r="D10521" i="6"/>
  <c r="D10520" i="6"/>
  <c r="D10519" i="6"/>
  <c r="D10518" i="6"/>
  <c r="D10517" i="6"/>
  <c r="D10516" i="6"/>
  <c r="D10515" i="6"/>
  <c r="D10514" i="6"/>
  <c r="D10513" i="6"/>
  <c r="D10512" i="6"/>
  <c r="D10511" i="6"/>
  <c r="D10510" i="6"/>
  <c r="D10509" i="6"/>
  <c r="D10508" i="6"/>
  <c r="D10507" i="6"/>
  <c r="D10506" i="6"/>
  <c r="D10505" i="6"/>
  <c r="D10504" i="6"/>
  <c r="D10503" i="6"/>
  <c r="D10502" i="6"/>
  <c r="D10501" i="6"/>
  <c r="D10500" i="6"/>
  <c r="D10499" i="6"/>
  <c r="D10498" i="6"/>
  <c r="D10497" i="6"/>
  <c r="D10496" i="6"/>
  <c r="D10495" i="6"/>
  <c r="D10494" i="6"/>
  <c r="D10493" i="6"/>
  <c r="D10492" i="6"/>
  <c r="D10491" i="6"/>
  <c r="D10490" i="6"/>
  <c r="D10489" i="6"/>
  <c r="D10488" i="6"/>
  <c r="D10487" i="6"/>
  <c r="D10486" i="6"/>
  <c r="D10485" i="6"/>
  <c r="D10484" i="6"/>
  <c r="D10483" i="6"/>
  <c r="D10482" i="6"/>
  <c r="D10481" i="6"/>
  <c r="D10480" i="6"/>
  <c r="D10479" i="6"/>
  <c r="D10478" i="6"/>
  <c r="D10477" i="6"/>
  <c r="D10476" i="6"/>
  <c r="D10475" i="6"/>
  <c r="D10474" i="6"/>
  <c r="D10473" i="6"/>
  <c r="D10472" i="6"/>
  <c r="D10471" i="6"/>
  <c r="D10470" i="6"/>
  <c r="D10469" i="6"/>
  <c r="D10468" i="6"/>
  <c r="D10467" i="6"/>
  <c r="D10466" i="6"/>
  <c r="D10465" i="6"/>
  <c r="D10464" i="6"/>
  <c r="D10463" i="6"/>
  <c r="D10462" i="6"/>
  <c r="D10461" i="6"/>
  <c r="D10460" i="6"/>
  <c r="D10459" i="6"/>
  <c r="D10458" i="6"/>
  <c r="D10457" i="6"/>
  <c r="D10456" i="6"/>
  <c r="D10455" i="6"/>
  <c r="D10454" i="6"/>
  <c r="D10453" i="6"/>
  <c r="D10452" i="6"/>
  <c r="D10451" i="6"/>
  <c r="D10450" i="6"/>
  <c r="D10449" i="6"/>
  <c r="D10448" i="6"/>
  <c r="D10447" i="6"/>
  <c r="D10446" i="6"/>
  <c r="D10445" i="6"/>
  <c r="D10444" i="6"/>
  <c r="D10443" i="6"/>
  <c r="D10442" i="6"/>
  <c r="D10441" i="6"/>
  <c r="D10440" i="6"/>
  <c r="D10439" i="6"/>
  <c r="D10438" i="6"/>
  <c r="D10437" i="6"/>
  <c r="D10436" i="6"/>
  <c r="D10435" i="6"/>
  <c r="D10434" i="6"/>
  <c r="D10433" i="6"/>
  <c r="D10432" i="6"/>
  <c r="D10431" i="6"/>
  <c r="D10430" i="6"/>
  <c r="D10429" i="6"/>
  <c r="D10428" i="6"/>
  <c r="D10427" i="6"/>
  <c r="D10426" i="6"/>
  <c r="D10425" i="6"/>
  <c r="D10424" i="6"/>
  <c r="D10423" i="6"/>
  <c r="D10422" i="6"/>
  <c r="D10421" i="6"/>
  <c r="D10420" i="6"/>
  <c r="D10419" i="6"/>
  <c r="D10418" i="6"/>
  <c r="D10417" i="6"/>
  <c r="D10416" i="6"/>
  <c r="D10415" i="6"/>
  <c r="D10414" i="6"/>
  <c r="D10413" i="6"/>
  <c r="D10412" i="6"/>
  <c r="D10411" i="6"/>
  <c r="D10410" i="6"/>
  <c r="D10409" i="6"/>
  <c r="D10408" i="6"/>
  <c r="D10407" i="6"/>
  <c r="D10406" i="6"/>
  <c r="D10405" i="6"/>
  <c r="D10404" i="6"/>
  <c r="D10403" i="6"/>
  <c r="D10402" i="6"/>
  <c r="D10401" i="6"/>
  <c r="D10400" i="6"/>
  <c r="D10399" i="6"/>
  <c r="D10398" i="6"/>
  <c r="D10397" i="6"/>
  <c r="D10396" i="6"/>
  <c r="D10395" i="6"/>
  <c r="D10394" i="6"/>
  <c r="D10393" i="6"/>
  <c r="D10392" i="6"/>
  <c r="D10391" i="6"/>
  <c r="D10390" i="6"/>
  <c r="D10389" i="6"/>
  <c r="D10388" i="6"/>
  <c r="D10387" i="6"/>
  <c r="D10386" i="6"/>
  <c r="D10385" i="6"/>
  <c r="D10384" i="6"/>
  <c r="D10383" i="6"/>
  <c r="D10382" i="6"/>
  <c r="D10381" i="6"/>
  <c r="D10380" i="6"/>
  <c r="D10379" i="6"/>
  <c r="D10378" i="6"/>
  <c r="D10377" i="6"/>
  <c r="D10376" i="6"/>
  <c r="D10375" i="6"/>
  <c r="D10374" i="6"/>
  <c r="D10373" i="6"/>
  <c r="D10372" i="6"/>
  <c r="D10371" i="6"/>
  <c r="D10370" i="6"/>
  <c r="D10369" i="6"/>
  <c r="D10368" i="6"/>
  <c r="D10367" i="6"/>
  <c r="D10366" i="6"/>
  <c r="D10365" i="6"/>
  <c r="D10364" i="6"/>
  <c r="D10363" i="6"/>
  <c r="D10362" i="6"/>
  <c r="D10361" i="6"/>
  <c r="D10360" i="6"/>
  <c r="D10359" i="6"/>
  <c r="D10358" i="6"/>
  <c r="D10357" i="6"/>
  <c r="D10356" i="6"/>
  <c r="D10355" i="6"/>
  <c r="D10354" i="6"/>
  <c r="D10353" i="6"/>
  <c r="D10352" i="6"/>
  <c r="D10351" i="6"/>
  <c r="D10350" i="6"/>
  <c r="D10349" i="6"/>
  <c r="D10348" i="6"/>
  <c r="D10347" i="6"/>
  <c r="D10346" i="6"/>
  <c r="D10345" i="6"/>
  <c r="D10344" i="6"/>
  <c r="D10343" i="6"/>
  <c r="D10342" i="6"/>
  <c r="D10341" i="6"/>
  <c r="D10340" i="6"/>
  <c r="D10339" i="6"/>
  <c r="D10338" i="6"/>
  <c r="D10337" i="6"/>
  <c r="D10336" i="6"/>
  <c r="D10335" i="6"/>
  <c r="D10334" i="6"/>
  <c r="D10333" i="6"/>
  <c r="D10332" i="6"/>
  <c r="D10331" i="6"/>
  <c r="D10330" i="6"/>
  <c r="D10329" i="6"/>
  <c r="D10328" i="6"/>
  <c r="D10327" i="6"/>
  <c r="D10326" i="6"/>
  <c r="D10325" i="6"/>
  <c r="D10324" i="6"/>
  <c r="D10323" i="6"/>
  <c r="D10322" i="6"/>
  <c r="D10321" i="6"/>
  <c r="D10320" i="6"/>
  <c r="D10319" i="6"/>
  <c r="D10318" i="6"/>
  <c r="D10317" i="6"/>
  <c r="D10316" i="6"/>
  <c r="D10315" i="6"/>
  <c r="D10314" i="6"/>
  <c r="D10313" i="6"/>
  <c r="D10312" i="6"/>
  <c r="D10311" i="6"/>
  <c r="D10310" i="6"/>
  <c r="D10309" i="6"/>
  <c r="D10308" i="6"/>
  <c r="D10307" i="6"/>
  <c r="D10306" i="6"/>
  <c r="D10305" i="6"/>
  <c r="D10304" i="6"/>
  <c r="D10303" i="6"/>
  <c r="D10302" i="6"/>
  <c r="D10301" i="6"/>
  <c r="D10299" i="6"/>
  <c r="D10298" i="6"/>
  <c r="D10297" i="6"/>
  <c r="D10296" i="6"/>
  <c r="D10295" i="6"/>
  <c r="D10294" i="6"/>
  <c r="D10293" i="6"/>
  <c r="D10292" i="6"/>
  <c r="D10291" i="6"/>
  <c r="D10290" i="6"/>
  <c r="D10289" i="6"/>
  <c r="D10288" i="6"/>
  <c r="D10287" i="6"/>
  <c r="D10286" i="6"/>
  <c r="D10285" i="6"/>
  <c r="D10284" i="6"/>
  <c r="D10283" i="6"/>
  <c r="D10282" i="6"/>
  <c r="D10281" i="6"/>
  <c r="D10280" i="6"/>
  <c r="D10279" i="6"/>
  <c r="D10278" i="6"/>
  <c r="D10277" i="6"/>
  <c r="D10276" i="6"/>
  <c r="D10275" i="6"/>
  <c r="D10273" i="6"/>
  <c r="D10272" i="6"/>
  <c r="D10271" i="6"/>
  <c r="D10270" i="6"/>
  <c r="D10269" i="6"/>
  <c r="D10268" i="6"/>
  <c r="D10248" i="6"/>
  <c r="D10247" i="6"/>
  <c r="D10246" i="6"/>
  <c r="D10245" i="6"/>
  <c r="D10244" i="6"/>
  <c r="D10243" i="6"/>
  <c r="D10242" i="6"/>
  <c r="D10241" i="6"/>
  <c r="D10240" i="6"/>
  <c r="D10239" i="6"/>
  <c r="D10238" i="6"/>
  <c r="D10237" i="6"/>
  <c r="D10236" i="6"/>
  <c r="D10235" i="6"/>
  <c r="D10234" i="6"/>
  <c r="D10233" i="6"/>
  <c r="D10232" i="6"/>
  <c r="D10231" i="6"/>
  <c r="D10230" i="6"/>
  <c r="D10229" i="6"/>
  <c r="D10228" i="6"/>
  <c r="D10227" i="6"/>
  <c r="D10226" i="6"/>
  <c r="D10225" i="6"/>
  <c r="D10224" i="6"/>
  <c r="D10223" i="6"/>
  <c r="D10222" i="6"/>
  <c r="D10221" i="6"/>
  <c r="D10220" i="6"/>
  <c r="D10219" i="6"/>
  <c r="D10218" i="6"/>
  <c r="D10217" i="6"/>
  <c r="D10216" i="6"/>
  <c r="D10215" i="6"/>
  <c r="D10214" i="6"/>
  <c r="D10213" i="6"/>
  <c r="D10212" i="6"/>
  <c r="D10211" i="6"/>
  <c r="D10210" i="6"/>
  <c r="D10209" i="6"/>
  <c r="D10208" i="6"/>
  <c r="D10207" i="6"/>
  <c r="D10206" i="6"/>
  <c r="D10205" i="6"/>
  <c r="D10204" i="6"/>
  <c r="D10203" i="6"/>
  <c r="D10202" i="6"/>
  <c r="D10201" i="6"/>
  <c r="D10200" i="6"/>
  <c r="D10199" i="6"/>
  <c r="D10198" i="6"/>
  <c r="D10197" i="6"/>
  <c r="D10196" i="6"/>
  <c r="D10195" i="6"/>
  <c r="D10194" i="6"/>
  <c r="D10193" i="6"/>
  <c r="D10192" i="6"/>
  <c r="D10191" i="6"/>
  <c r="D10190" i="6"/>
  <c r="D10189" i="6"/>
  <c r="D10188" i="6"/>
  <c r="D10187" i="6"/>
  <c r="D10186" i="6"/>
  <c r="D10185" i="6"/>
  <c r="D10184" i="6"/>
  <c r="D10183" i="6"/>
  <c r="D10182" i="6"/>
  <c r="D10181" i="6"/>
  <c r="D10180" i="6"/>
  <c r="D10179" i="6"/>
  <c r="D10178" i="6"/>
  <c r="D10177" i="6"/>
  <c r="D10176" i="6"/>
  <c r="D10175" i="6"/>
  <c r="D10174" i="6"/>
  <c r="D10173" i="6"/>
  <c r="D10172" i="6"/>
  <c r="D10171" i="6"/>
  <c r="D10170" i="6"/>
  <c r="D10169" i="6"/>
  <c r="D10168" i="6"/>
  <c r="D10167" i="6"/>
  <c r="D10166" i="6"/>
  <c r="D10165" i="6"/>
  <c r="D10164" i="6"/>
  <c r="D10163" i="6"/>
  <c r="D10162" i="6"/>
  <c r="D10161" i="6"/>
  <c r="D10160" i="6"/>
  <c r="D10159" i="6"/>
  <c r="D10158" i="6"/>
  <c r="D10157" i="6"/>
  <c r="D10156" i="6"/>
  <c r="D10155" i="6"/>
  <c r="D10154" i="6"/>
  <c r="D10153" i="6"/>
  <c r="D10152" i="6"/>
  <c r="D10151" i="6"/>
  <c r="D10150" i="6"/>
  <c r="D10149" i="6"/>
  <c r="D10148" i="6"/>
  <c r="D10147" i="6"/>
  <c r="D10146" i="6"/>
  <c r="D10145" i="6"/>
  <c r="D10144" i="6"/>
  <c r="D10143" i="6"/>
  <c r="D10142" i="6"/>
  <c r="D10141" i="6"/>
  <c r="D10140" i="6"/>
  <c r="D10139" i="6"/>
  <c r="D10138" i="6"/>
  <c r="D10137" i="6"/>
  <c r="D10136" i="6"/>
  <c r="D10135" i="6"/>
  <c r="D10134" i="6"/>
  <c r="D10133" i="6"/>
  <c r="D10132" i="6"/>
  <c r="D10131" i="6"/>
  <c r="D10130" i="6"/>
  <c r="D10129" i="6"/>
  <c r="D10128" i="6"/>
  <c r="D10127" i="6"/>
  <c r="D10126" i="6"/>
  <c r="D10125" i="6"/>
  <c r="D10124" i="6"/>
  <c r="D10123" i="6"/>
  <c r="D10122" i="6"/>
  <c r="D10121" i="6"/>
  <c r="D10120" i="6"/>
  <c r="D10119" i="6"/>
  <c r="D10118" i="6"/>
  <c r="D10117" i="6"/>
  <c r="D10116" i="6"/>
  <c r="D10115" i="6"/>
  <c r="D10114" i="6"/>
  <c r="D10113" i="6"/>
  <c r="D10112" i="6"/>
  <c r="D10111" i="6"/>
  <c r="D10110" i="6"/>
  <c r="D10109" i="6"/>
  <c r="D10108" i="6"/>
  <c r="D10107" i="6"/>
  <c r="D10106" i="6"/>
  <c r="D10105" i="6"/>
  <c r="D10104" i="6"/>
  <c r="D10103" i="6"/>
  <c r="D10102" i="6"/>
  <c r="D10101" i="6"/>
  <c r="D10100" i="6"/>
  <c r="D10099" i="6"/>
  <c r="D10098" i="6"/>
  <c r="D10097" i="6"/>
  <c r="D10096" i="6"/>
  <c r="D10095" i="6"/>
  <c r="D10094" i="6"/>
  <c r="D10093" i="6"/>
  <c r="D10092" i="6"/>
  <c r="D10091" i="6"/>
  <c r="D10090" i="6"/>
  <c r="D10089" i="6"/>
  <c r="D10088" i="6"/>
  <c r="D10087" i="6"/>
  <c r="D10086" i="6"/>
  <c r="D10085" i="6"/>
  <c r="D10084" i="6"/>
  <c r="D10083" i="6"/>
  <c r="D10082" i="6"/>
  <c r="D10081" i="6"/>
  <c r="D10080" i="6"/>
  <c r="D10079" i="6"/>
  <c r="D10078" i="6"/>
  <c r="D10077" i="6"/>
  <c r="D10076" i="6"/>
  <c r="D10075" i="6"/>
  <c r="D10074" i="6"/>
  <c r="D10073" i="6"/>
  <c r="D10072" i="6"/>
  <c r="D10071" i="6"/>
  <c r="D10070" i="6"/>
  <c r="D10069" i="6"/>
  <c r="D10068" i="6"/>
  <c r="D10067" i="6"/>
  <c r="D10066" i="6"/>
  <c r="D10065" i="6"/>
  <c r="D10064" i="6"/>
  <c r="D10063" i="6"/>
  <c r="D10062" i="6"/>
  <c r="D10061" i="6"/>
  <c r="D10060" i="6"/>
  <c r="D10059" i="6"/>
  <c r="D10058" i="6"/>
  <c r="D10057" i="6"/>
  <c r="D10056" i="6"/>
  <c r="D10055" i="6"/>
  <c r="D10054" i="6"/>
  <c r="D10053" i="6"/>
  <c r="D10052" i="6"/>
  <c r="D10051" i="6"/>
  <c r="D10050" i="6"/>
  <c r="D10049" i="6"/>
  <c r="D10048" i="6"/>
  <c r="D10047" i="6"/>
  <c r="D10046" i="6"/>
  <c r="D10045" i="6"/>
  <c r="D10044" i="6"/>
  <c r="D10043" i="6"/>
  <c r="D10042" i="6"/>
  <c r="D10041" i="6"/>
  <c r="D10040" i="6"/>
  <c r="D10039" i="6"/>
  <c r="D10038" i="6"/>
  <c r="D10037" i="6"/>
  <c r="D10036" i="6"/>
  <c r="D10035" i="6"/>
  <c r="D10034" i="6"/>
  <c r="D10033" i="6"/>
  <c r="D10032" i="6"/>
  <c r="D10031" i="6"/>
  <c r="D10030" i="6"/>
  <c r="D10029" i="6"/>
  <c r="D10028" i="6"/>
  <c r="D10027" i="6"/>
  <c r="D10026" i="6"/>
  <c r="D10025" i="6"/>
  <c r="D10024" i="6"/>
  <c r="D10023" i="6"/>
  <c r="D10022" i="6"/>
  <c r="D10021" i="6"/>
  <c r="D10020" i="6"/>
  <c r="D10019" i="6"/>
  <c r="D10015" i="6"/>
  <c r="D10014" i="6"/>
  <c r="D10013" i="6"/>
  <c r="D10012" i="6"/>
  <c r="D10008" i="6"/>
  <c r="D9995" i="6"/>
  <c r="D9993" i="6"/>
  <c r="D9991" i="6"/>
  <c r="C9978" i="6"/>
  <c r="C9977" i="6"/>
  <c r="D9976" i="6"/>
  <c r="D9963" i="6"/>
  <c r="D9959" i="6"/>
  <c r="D9955" i="6"/>
  <c r="D9951" i="6"/>
  <c r="D9949" i="6"/>
  <c r="D9945" i="6"/>
  <c r="D9940" i="6"/>
  <c r="D9939" i="6"/>
  <c r="D9924" i="6"/>
  <c r="D9923" i="6"/>
  <c r="D9910" i="6"/>
  <c r="D9909" i="6"/>
  <c r="D9871" i="6"/>
  <c r="D9870" i="6"/>
  <c r="D9855" i="6"/>
  <c r="D9854" i="6"/>
  <c r="D9852" i="6"/>
  <c r="D9851" i="6"/>
  <c r="D9837" i="6"/>
  <c r="D9836" i="6"/>
  <c r="D9777" i="6"/>
  <c r="D9776" i="6"/>
  <c r="D9775" i="6"/>
  <c r="D9772" i="6"/>
  <c r="D9762" i="6"/>
  <c r="D9761" i="6"/>
  <c r="D9760" i="6"/>
  <c r="D9759" i="6"/>
  <c r="D9758" i="6"/>
  <c r="D9757" i="6"/>
  <c r="D9756" i="6"/>
  <c r="D9755" i="6"/>
  <c r="D9754" i="6"/>
  <c r="D9753" i="6"/>
  <c r="D9752" i="6"/>
  <c r="D9751" i="6"/>
  <c r="D9745" i="6"/>
  <c r="D9736" i="6"/>
  <c r="D9735" i="6"/>
  <c r="D9734" i="6"/>
  <c r="D9733" i="6"/>
  <c r="D9732" i="6"/>
  <c r="D9730" i="6"/>
  <c r="D9729" i="6"/>
  <c r="D9727" i="6"/>
  <c r="D9726" i="6"/>
  <c r="D9725" i="6"/>
  <c r="D9724" i="6"/>
  <c r="D9702" i="6"/>
  <c r="D9701" i="6"/>
  <c r="D9700" i="6"/>
  <c r="D9699" i="6"/>
  <c r="D9698" i="6"/>
  <c r="D9688" i="6"/>
  <c r="D9687" i="6"/>
  <c r="D9675" i="6"/>
  <c r="D9674" i="6"/>
  <c r="D9673" i="6"/>
  <c r="D9668" i="6"/>
  <c r="D9667" i="6"/>
  <c r="D9666" i="6"/>
  <c r="D9665" i="6"/>
  <c r="D9664" i="6"/>
  <c r="D9663" i="6"/>
  <c r="D9662" i="6"/>
  <c r="D9661" i="6"/>
  <c r="D9660" i="6"/>
  <c r="D9659" i="6"/>
  <c r="D9658" i="6"/>
  <c r="D9657" i="6"/>
  <c r="D9656" i="6"/>
  <c r="D9654" i="6"/>
  <c r="D9653" i="6"/>
  <c r="D9652" i="6"/>
  <c r="D9651" i="6"/>
  <c r="D9650" i="6"/>
  <c r="D9649" i="6"/>
  <c r="D9648" i="6"/>
  <c r="D9647" i="6"/>
  <c r="D9646" i="6"/>
  <c r="D9645" i="6"/>
  <c r="D9644" i="6"/>
  <c r="D9643" i="6"/>
  <c r="D9642" i="6"/>
  <c r="D9641" i="6"/>
  <c r="D9640" i="6"/>
  <c r="D9639" i="6"/>
  <c r="D9638" i="6"/>
  <c r="D9637" i="6"/>
  <c r="D9636" i="6"/>
  <c r="D9635" i="6"/>
  <c r="D9634" i="6"/>
  <c r="D9633" i="6"/>
  <c r="D9632" i="6"/>
  <c r="D9631" i="6"/>
  <c r="D9630" i="6"/>
  <c r="D9629" i="6"/>
  <c r="D9628" i="6"/>
  <c r="D9627" i="6"/>
  <c r="D9626" i="6"/>
  <c r="D9625" i="6"/>
  <c r="D9624" i="6"/>
  <c r="D9623" i="6"/>
  <c r="D9622" i="6"/>
  <c r="D9621" i="6"/>
  <c r="D9620" i="6"/>
  <c r="D9619" i="6"/>
  <c r="D9618" i="6"/>
  <c r="D9617" i="6"/>
  <c r="D9616" i="6"/>
  <c r="D9615" i="6"/>
  <c r="D9614" i="6"/>
  <c r="D9613" i="6"/>
  <c r="D9612" i="6"/>
  <c r="D9611" i="6"/>
  <c r="D9610" i="6"/>
  <c r="D9609" i="6"/>
  <c r="D9608" i="6"/>
  <c r="D9607" i="6"/>
  <c r="D9606" i="6"/>
  <c r="D9605" i="6"/>
  <c r="D9604" i="6"/>
  <c r="D9603" i="6"/>
  <c r="D9602" i="6"/>
  <c r="D9601" i="6"/>
  <c r="D9600" i="6"/>
  <c r="D9599" i="6"/>
  <c r="D9598" i="6"/>
  <c r="D9597" i="6"/>
  <c r="D9596" i="6"/>
  <c r="D9595" i="6"/>
  <c r="D9594" i="6"/>
  <c r="D9593" i="6"/>
  <c r="D9592" i="6"/>
  <c r="D9591" i="6"/>
  <c r="D9590" i="6"/>
  <c r="D9589" i="6"/>
  <c r="D9588" i="6"/>
  <c r="D9587" i="6"/>
  <c r="D9586" i="6"/>
  <c r="D9585" i="6"/>
  <c r="D9584" i="6"/>
  <c r="D9583" i="6"/>
  <c r="D9582" i="6"/>
  <c r="D9581" i="6"/>
  <c r="D9580" i="6"/>
  <c r="D9579" i="6"/>
  <c r="D9578" i="6"/>
  <c r="D9577" i="6"/>
  <c r="D9576" i="6"/>
  <c r="D9575" i="6"/>
  <c r="D9574" i="6"/>
  <c r="D9573" i="6"/>
  <c r="D9572" i="6"/>
  <c r="D9571" i="6"/>
  <c r="D9570" i="6"/>
  <c r="D9569" i="6"/>
  <c r="D9568" i="6"/>
  <c r="D9567" i="6"/>
  <c r="D9566" i="6"/>
  <c r="D9565" i="6"/>
  <c r="D9564" i="6"/>
  <c r="D9563" i="6"/>
  <c r="D9562" i="6"/>
  <c r="D9561" i="6"/>
  <c r="D9560" i="6"/>
  <c r="D9559" i="6"/>
  <c r="D9558" i="6"/>
  <c r="D9557" i="6"/>
  <c r="D9556" i="6"/>
  <c r="D9555" i="6"/>
  <c r="D9554" i="6"/>
  <c r="D9553" i="6"/>
  <c r="D9552" i="6"/>
  <c r="D9551" i="6"/>
  <c r="D9550" i="6"/>
  <c r="D9549" i="6"/>
  <c r="D9548" i="6"/>
  <c r="D9547" i="6"/>
  <c r="D9546" i="6"/>
  <c r="D9545" i="6"/>
  <c r="D9544" i="6"/>
  <c r="D9543" i="6"/>
  <c r="D9542" i="6"/>
  <c r="D9541" i="6"/>
  <c r="D9540" i="6"/>
  <c r="D9539" i="6"/>
  <c r="D9538" i="6"/>
  <c r="D9537" i="6"/>
  <c r="D9536" i="6"/>
  <c r="D9535" i="6"/>
  <c r="D9533" i="6"/>
  <c r="D9532" i="6"/>
  <c r="D9531" i="6"/>
  <c r="D9530" i="6"/>
  <c r="D9519" i="6"/>
  <c r="D9518" i="6"/>
  <c r="D9517" i="6"/>
  <c r="D9516" i="6"/>
  <c r="D9509" i="6"/>
  <c r="D9508" i="6"/>
  <c r="D9498" i="6"/>
  <c r="D9496" i="6"/>
  <c r="D9484" i="6"/>
  <c r="D9483" i="6"/>
  <c r="D9475" i="6"/>
  <c r="D9474" i="6"/>
  <c r="D9473" i="6"/>
  <c r="D9472" i="6"/>
  <c r="D9471" i="6"/>
  <c r="D9470" i="6"/>
  <c r="D9469" i="6"/>
  <c r="D9468" i="6"/>
  <c r="D9467" i="6"/>
  <c r="D9466" i="6"/>
  <c r="D9465" i="6"/>
  <c r="D9464" i="6"/>
  <c r="D9463" i="6"/>
  <c r="D9462" i="6"/>
  <c r="D9461" i="6"/>
  <c r="D9460" i="6"/>
  <c r="D9459" i="6"/>
  <c r="D9458" i="6"/>
  <c r="D9457" i="6"/>
  <c r="D9456" i="6"/>
  <c r="D9455" i="6"/>
  <c r="D9454" i="6"/>
  <c r="D9453" i="6"/>
  <c r="D9452" i="6"/>
  <c r="D9451" i="6"/>
  <c r="D9450" i="6"/>
  <c r="D9449" i="6"/>
  <c r="D9448" i="6"/>
  <c r="D9447" i="6"/>
  <c r="D9446" i="6"/>
  <c r="D9445" i="6"/>
  <c r="D9444" i="6"/>
  <c r="D9443" i="6"/>
  <c r="D9442" i="6"/>
  <c r="D9441" i="6"/>
  <c r="D9440" i="6"/>
  <c r="D9439" i="6"/>
  <c r="D9438" i="6"/>
  <c r="D9437" i="6"/>
  <c r="D9410" i="6"/>
  <c r="D9407" i="6"/>
  <c r="D9389" i="6"/>
  <c r="D9388" i="6"/>
  <c r="D9387" i="6"/>
  <c r="D9386" i="6"/>
  <c r="D9385" i="6"/>
  <c r="D9384" i="6"/>
  <c r="D9383" i="6"/>
  <c r="D9382" i="6"/>
  <c r="D9381" i="6"/>
  <c r="D9380" i="6"/>
  <c r="D9379" i="6"/>
  <c r="D9378" i="6"/>
  <c r="D9377" i="6"/>
  <c r="D9376" i="6"/>
  <c r="D9375" i="6"/>
  <c r="D9374" i="6"/>
  <c r="D9373" i="6"/>
  <c r="D9372" i="6"/>
  <c r="D9371" i="6"/>
  <c r="D9370" i="6"/>
  <c r="D9369" i="6"/>
  <c r="D9368" i="6"/>
  <c r="D9367" i="6"/>
  <c r="D9366" i="6"/>
  <c r="D9365" i="6"/>
  <c r="D9364" i="6"/>
  <c r="D9363" i="6"/>
  <c r="D9362" i="6"/>
  <c r="D9361" i="6"/>
  <c r="D9360" i="6"/>
  <c r="D9359" i="6"/>
  <c r="D9358" i="6"/>
  <c r="D9357" i="6"/>
  <c r="D9356" i="6"/>
  <c r="D9355" i="6"/>
  <c r="D9354" i="6"/>
  <c r="D9353" i="6"/>
  <c r="D9352" i="6"/>
  <c r="D9351" i="6"/>
  <c r="D9350" i="6"/>
  <c r="D9349" i="6"/>
  <c r="D9348" i="6"/>
  <c r="D9347" i="6"/>
  <c r="D9346" i="6"/>
  <c r="D9345" i="6"/>
  <c r="D9344" i="6"/>
  <c r="D9343" i="6"/>
  <c r="D9342" i="6"/>
  <c r="D9341" i="6"/>
  <c r="D9340" i="6"/>
  <c r="D9339" i="6"/>
  <c r="D9338" i="6"/>
  <c r="D9337" i="6"/>
  <c r="D9336" i="6"/>
  <c r="D9335" i="6"/>
  <c r="D9334" i="6"/>
  <c r="D9333" i="6"/>
  <c r="D9332" i="6"/>
  <c r="D9331" i="6"/>
  <c r="D9330" i="6"/>
  <c r="D9329" i="6"/>
  <c r="D9328" i="6"/>
  <c r="D9327" i="6"/>
  <c r="D9326" i="6"/>
  <c r="D9325" i="6"/>
  <c r="D9324" i="6"/>
  <c r="D9323" i="6"/>
  <c r="D9322" i="6"/>
  <c r="D9321" i="6"/>
  <c r="D9320" i="6"/>
  <c r="D9319" i="6"/>
  <c r="D9318" i="6"/>
  <c r="D9317" i="6"/>
  <c r="D9316" i="6"/>
  <c r="D9315" i="6"/>
  <c r="D9314" i="6"/>
  <c r="D9313" i="6"/>
  <c r="D9312" i="6"/>
  <c r="D9311" i="6"/>
  <c r="D9310" i="6"/>
  <c r="D9309" i="6"/>
  <c r="D9308" i="6"/>
  <c r="D9307" i="6"/>
  <c r="D9306" i="6"/>
  <c r="D9305" i="6"/>
  <c r="D9304" i="6"/>
  <c r="D9303" i="6"/>
  <c r="D9302" i="6"/>
  <c r="D9301" i="6"/>
  <c r="D9300" i="6"/>
  <c r="D9299" i="6"/>
  <c r="D9298" i="6"/>
  <c r="D9297" i="6"/>
  <c r="D9296" i="6"/>
  <c r="D9295" i="6"/>
  <c r="D9294" i="6"/>
  <c r="D9293" i="6"/>
  <c r="D9292" i="6"/>
  <c r="D9291" i="6"/>
  <c r="D9290" i="6"/>
  <c r="D9289" i="6"/>
  <c r="D9288" i="6"/>
  <c r="D9287" i="6"/>
  <c r="D9286" i="6"/>
  <c r="D9285" i="6"/>
  <c r="D9284" i="6"/>
  <c r="D9283" i="6"/>
  <c r="D9282" i="6"/>
  <c r="D9281" i="6"/>
  <c r="D9280" i="6"/>
  <c r="D9279" i="6"/>
  <c r="D9278" i="6"/>
  <c r="D9277" i="6"/>
  <c r="D9276" i="6"/>
  <c r="D9275" i="6"/>
  <c r="D9274" i="6"/>
  <c r="D9273" i="6"/>
  <c r="D9272" i="6"/>
  <c r="D9255" i="6"/>
  <c r="D9254" i="6"/>
  <c r="D9252" i="6"/>
  <c r="D9247" i="6"/>
  <c r="D9244" i="6"/>
  <c r="D9241" i="6"/>
  <c r="D9240" i="6"/>
  <c r="D9239" i="6"/>
  <c r="D9236" i="6"/>
  <c r="D9235" i="6"/>
  <c r="D9231" i="6"/>
  <c r="D9208" i="6"/>
  <c r="D9201" i="6"/>
  <c r="D9194" i="6"/>
  <c r="D9193" i="6"/>
  <c r="D9192" i="6"/>
  <c r="D9185" i="6"/>
  <c r="D9162" i="6"/>
  <c r="D9150" i="6"/>
  <c r="D9139" i="6"/>
  <c r="D9138" i="6"/>
  <c r="D9137" i="6"/>
  <c r="D9131" i="6"/>
  <c r="D9130" i="6"/>
  <c r="D9129" i="6"/>
  <c r="D9128" i="6"/>
  <c r="D9092" i="6"/>
  <c r="D9091" i="6"/>
  <c r="D9090" i="6"/>
  <c r="D9083" i="6"/>
  <c r="D9082" i="6"/>
  <c r="D9075" i="6"/>
  <c r="D9074" i="6"/>
  <c r="D9073" i="6"/>
  <c r="D9071" i="6"/>
  <c r="D9065" i="6"/>
  <c r="D9064" i="6"/>
  <c r="D9057" i="6"/>
  <c r="D9056" i="6"/>
  <c r="D9055" i="6"/>
  <c r="D9054" i="6"/>
  <c r="D9053" i="6"/>
  <c r="D9052" i="6"/>
  <c r="D9051" i="6"/>
  <c r="D9050" i="6"/>
  <c r="D9049" i="6"/>
  <c r="D9048" i="6"/>
  <c r="D9044" i="6"/>
  <c r="D9043" i="6"/>
  <c r="D9042" i="6"/>
  <c r="D9041" i="6"/>
  <c r="D9040" i="6"/>
  <c r="D9036" i="6"/>
  <c r="D9035" i="6"/>
  <c r="D9034" i="6"/>
  <c r="D9033" i="6"/>
  <c r="D9032" i="6"/>
  <c r="D9031" i="6"/>
  <c r="D9030" i="6"/>
  <c r="D9029" i="6"/>
  <c r="D9028" i="6"/>
  <c r="D9027" i="6"/>
  <c r="D9026" i="6"/>
  <c r="D9025" i="6"/>
  <c r="D9024" i="6"/>
  <c r="D9023" i="6"/>
  <c r="D9022" i="6"/>
  <c r="C9022" i="6"/>
  <c r="D9021" i="6"/>
  <c r="C9021" i="6"/>
  <c r="D9020" i="6"/>
  <c r="C9020" i="6"/>
  <c r="D9019" i="6"/>
  <c r="C9019" i="6"/>
  <c r="D9018" i="6"/>
  <c r="D9017" i="6"/>
  <c r="D9016" i="6"/>
  <c r="D9015" i="6"/>
  <c r="D9014" i="6"/>
  <c r="D9013" i="6"/>
  <c r="D9012" i="6"/>
  <c r="D9011" i="6"/>
  <c r="D9010" i="6"/>
  <c r="D9009" i="6"/>
  <c r="D9008" i="6"/>
  <c r="D9007" i="6"/>
  <c r="D9006" i="6"/>
  <c r="D9005" i="6"/>
  <c r="D9004" i="6"/>
  <c r="D9003" i="6"/>
  <c r="D9002" i="6"/>
  <c r="D9001" i="6"/>
  <c r="D8998" i="6"/>
  <c r="D8997" i="6"/>
  <c r="D8996" i="6"/>
  <c r="D8995" i="6"/>
  <c r="D8994" i="6"/>
  <c r="D8991" i="6"/>
  <c r="D8989" i="6"/>
  <c r="D8988" i="6"/>
  <c r="D8987" i="6"/>
  <c r="D8986" i="6"/>
  <c r="D8985" i="6"/>
  <c r="D8984" i="6"/>
  <c r="D8983" i="6"/>
  <c r="D8982" i="6"/>
  <c r="D8980" i="6"/>
  <c r="D8979" i="6"/>
  <c r="D8978" i="6"/>
  <c r="D8977" i="6"/>
  <c r="D8972" i="6"/>
  <c r="D8948" i="6"/>
  <c r="D8944" i="6"/>
  <c r="D8942" i="6"/>
  <c r="D8941" i="6"/>
  <c r="D8940" i="6"/>
  <c r="D8939" i="6"/>
  <c r="D8938" i="6"/>
  <c r="D8937" i="6"/>
  <c r="D8936" i="6"/>
  <c r="D8935" i="6"/>
  <c r="D8934" i="6"/>
  <c r="D8932" i="6"/>
  <c r="D8931" i="6"/>
  <c r="D8930" i="6"/>
  <c r="D8929" i="6"/>
  <c r="D8928" i="6"/>
  <c r="D8927" i="6"/>
  <c r="D8925" i="6"/>
  <c r="D8924" i="6"/>
  <c r="D8923" i="6"/>
  <c r="D8922" i="6"/>
  <c r="D8920" i="6"/>
  <c r="D8919" i="6"/>
  <c r="D8918" i="6"/>
  <c r="D8913" i="6"/>
  <c r="D8904" i="6"/>
  <c r="D8856" i="6"/>
  <c r="D8855" i="6"/>
  <c r="D8847" i="6"/>
  <c r="D8846" i="6"/>
  <c r="D8841" i="6"/>
  <c r="D8831" i="6"/>
  <c r="D8813" i="6"/>
  <c r="D8812" i="6"/>
  <c r="D8811" i="6"/>
  <c r="D8809" i="6"/>
  <c r="D8807" i="6"/>
  <c r="D8806" i="6"/>
  <c r="D8804" i="6"/>
  <c r="D8803" i="6"/>
  <c r="D8798" i="6"/>
  <c r="D8797" i="6"/>
  <c r="D8796" i="6"/>
  <c r="D8795" i="6"/>
  <c r="D8794" i="6"/>
  <c r="D8793" i="6"/>
  <c r="D8792" i="6"/>
  <c r="D8790" i="6"/>
  <c r="D8789" i="6"/>
  <c r="D8788" i="6"/>
  <c r="D8787" i="6"/>
  <c r="D8778" i="6"/>
  <c r="D8777" i="6"/>
  <c r="D8776" i="6"/>
  <c r="D8775" i="6"/>
  <c r="D8774" i="6"/>
  <c r="D8773" i="6"/>
  <c r="D8772" i="6"/>
  <c r="D8771" i="6"/>
  <c r="D877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30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496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29" i="6"/>
  <c r="D8428" i="6"/>
  <c r="D8427" i="6"/>
  <c r="D8426" i="6"/>
  <c r="D8425" i="6"/>
  <c r="D8424" i="6"/>
  <c r="D8423" i="6"/>
  <c r="D8422" i="6"/>
  <c r="D8421" i="6"/>
  <c r="D8420" i="6"/>
  <c r="D8417" i="6"/>
  <c r="D8416" i="6"/>
  <c r="D8415" i="6"/>
  <c r="D8408" i="6"/>
  <c r="D8407" i="6"/>
  <c r="D8405" i="6"/>
  <c r="D8404" i="6"/>
  <c r="D8403" i="6"/>
  <c r="D8402" i="6"/>
  <c r="D8401" i="6"/>
  <c r="D8400" i="6"/>
  <c r="D8399" i="6"/>
  <c r="D8398" i="6"/>
  <c r="D8397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52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5" i="6"/>
  <c r="D8304" i="6"/>
  <c r="D8300" i="6"/>
  <c r="D8299" i="6"/>
  <c r="D8298" i="6"/>
  <c r="D8297" i="6"/>
  <c r="D8296" i="6"/>
  <c r="D8295" i="6"/>
  <c r="D8294" i="6"/>
  <c r="D8291" i="6"/>
  <c r="D8290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0" i="6"/>
  <c r="D8189" i="6"/>
  <c r="D8188" i="6"/>
  <c r="D8185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0" i="6"/>
  <c r="D8069" i="6"/>
  <c r="D8068" i="6"/>
  <c r="D8067" i="6"/>
  <c r="D8066" i="6"/>
  <c r="D8065" i="6"/>
  <c r="D8064" i="6"/>
  <c r="D8063" i="6"/>
  <c r="D8062" i="6"/>
  <c r="D8061" i="6"/>
  <c r="D8060" i="6"/>
  <c r="D8059" i="6"/>
  <c r="D8058" i="6"/>
  <c r="D8055" i="6"/>
  <c r="D8054" i="6"/>
  <c r="D8053" i="6"/>
  <c r="D8051" i="6"/>
  <c r="D8039" i="6"/>
  <c r="D8038" i="6"/>
  <c r="D8034" i="6"/>
  <c r="D8033" i="6"/>
  <c r="D8032" i="6"/>
  <c r="D8031" i="6"/>
  <c r="D8030" i="6"/>
  <c r="D8029" i="6"/>
  <c r="D8028" i="6"/>
  <c r="D8027" i="6"/>
  <c r="D8024" i="6"/>
  <c r="D8023" i="6"/>
  <c r="D8022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854" i="6"/>
  <c r="D7853" i="6"/>
  <c r="D7852" i="6"/>
  <c r="D7851" i="6"/>
  <c r="D7830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5" i="6"/>
  <c r="D7764" i="6"/>
  <c r="D7763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666" i="6"/>
  <c r="D7661" i="6"/>
  <c r="D7660" i="6"/>
  <c r="D7659" i="6"/>
  <c r="D7658" i="6"/>
  <c r="D7657" i="6"/>
  <c r="D7656" i="6"/>
  <c r="D7655" i="6"/>
  <c r="D7654" i="6"/>
  <c r="D7653" i="6"/>
  <c r="D7652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554" i="6"/>
  <c r="D7552" i="6"/>
  <c r="D7544" i="6"/>
  <c r="D7543" i="6"/>
  <c r="D7542" i="6"/>
  <c r="D7541" i="6"/>
  <c r="D7540" i="6"/>
  <c r="D7534" i="6"/>
  <c r="D7533" i="6"/>
  <c r="D7532" i="6"/>
  <c r="D7530" i="6"/>
  <c r="D7529" i="6"/>
  <c r="D7518" i="6"/>
  <c r="D7517" i="6"/>
  <c r="D7516" i="6"/>
  <c r="D7515" i="6"/>
  <c r="D7498" i="6"/>
  <c r="D7497" i="6"/>
  <c r="D749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77" i="6"/>
  <c r="D7376" i="6"/>
  <c r="D7369" i="6"/>
  <c r="D7368" i="6"/>
  <c r="D7367" i="6"/>
  <c r="D7366" i="6"/>
  <c r="D7364" i="6"/>
  <c r="D7363" i="6"/>
  <c r="D7362" i="6"/>
  <c r="D7361" i="6"/>
  <c r="D7360" i="6"/>
  <c r="D7359" i="6"/>
  <c r="D7358" i="6"/>
  <c r="D7357" i="6"/>
  <c r="D7356" i="6"/>
  <c r="D7355" i="6"/>
  <c r="D7354" i="6"/>
  <c r="D7353" i="6"/>
  <c r="D7352" i="6"/>
  <c r="D7351" i="6"/>
  <c r="D7350" i="6"/>
  <c r="D7349" i="6"/>
  <c r="D7348" i="6"/>
  <c r="D7347" i="6"/>
  <c r="D7346" i="6"/>
  <c r="D7345" i="6"/>
  <c r="D7344" i="6"/>
  <c r="D7343" i="6"/>
  <c r="D7342" i="6"/>
  <c r="D7341" i="6"/>
  <c r="D7340" i="6"/>
  <c r="D7339" i="6"/>
  <c r="D7338" i="6"/>
  <c r="D7337" i="6"/>
  <c r="D7336" i="6"/>
  <c r="D7335" i="6"/>
  <c r="D7334" i="6"/>
  <c r="D7333" i="6"/>
  <c r="D7332" i="6"/>
  <c r="D7331" i="6"/>
  <c r="D7330" i="6"/>
  <c r="D7329" i="6"/>
  <c r="D7328" i="6"/>
  <c r="D7327" i="6"/>
  <c r="D7326" i="6"/>
  <c r="D7325" i="6"/>
  <c r="D7324" i="6"/>
  <c r="D7323" i="6"/>
  <c r="D7322" i="6"/>
  <c r="D7321" i="6"/>
  <c r="D7320" i="6"/>
  <c r="D7319" i="6"/>
  <c r="D7318" i="6"/>
  <c r="D7315" i="6"/>
  <c r="D7314" i="6"/>
  <c r="D7313" i="6"/>
  <c r="D7312" i="6"/>
  <c r="D7311" i="6"/>
  <c r="D7310" i="6"/>
  <c r="D7309" i="6"/>
  <c r="D7308" i="6"/>
  <c r="D7307" i="6"/>
  <c r="D7306" i="6"/>
  <c r="D7305" i="6"/>
  <c r="D7304" i="6"/>
  <c r="D7303" i="6"/>
  <c r="D7302" i="6"/>
  <c r="D7301" i="6"/>
  <c r="D7300" i="6"/>
  <c r="D7299" i="6"/>
  <c r="D7298" i="6"/>
  <c r="D7297" i="6"/>
  <c r="D7296" i="6"/>
  <c r="D7295" i="6"/>
  <c r="D7294" i="6"/>
  <c r="D7293" i="6"/>
  <c r="D7292" i="6"/>
  <c r="D7291" i="6"/>
  <c r="D7290" i="6"/>
  <c r="D7289" i="6"/>
  <c r="D7288" i="6"/>
  <c r="D7287" i="6"/>
  <c r="D7286" i="6"/>
  <c r="D7285" i="6"/>
  <c r="D7284" i="6"/>
  <c r="D7283" i="6"/>
  <c r="D7282" i="6"/>
  <c r="D7281" i="6"/>
  <c r="D7280" i="6"/>
  <c r="D7279" i="6"/>
  <c r="D7278" i="6"/>
  <c r="D7277" i="6"/>
  <c r="D7276" i="6"/>
  <c r="D7275" i="6"/>
  <c r="D7274" i="6"/>
  <c r="D7273" i="6"/>
  <c r="D7272" i="6"/>
  <c r="D7271" i="6"/>
  <c r="D7270" i="6"/>
  <c r="D7269" i="6"/>
  <c r="D7267" i="6"/>
  <c r="D7266" i="6"/>
  <c r="D7265" i="6"/>
  <c r="D7264" i="6"/>
  <c r="D7263" i="6"/>
  <c r="D7262" i="6"/>
  <c r="D7261" i="6"/>
  <c r="D7260" i="6"/>
  <c r="D7259" i="6"/>
  <c r="D7258" i="6"/>
  <c r="D7257" i="6"/>
  <c r="D7256" i="6"/>
  <c r="D7255" i="6"/>
  <c r="D7254" i="6"/>
  <c r="D7253" i="6"/>
  <c r="D7252" i="6"/>
  <c r="D7251" i="6"/>
  <c r="D7250" i="6"/>
  <c r="D7249" i="6"/>
  <c r="D7244" i="6"/>
  <c r="D7243" i="6"/>
  <c r="D7242" i="6"/>
  <c r="D7241" i="6"/>
  <c r="D7240" i="6"/>
  <c r="D7239" i="6"/>
  <c r="D7214" i="6"/>
  <c r="D7213" i="6"/>
  <c r="D7212" i="6"/>
  <c r="D7211" i="6"/>
  <c r="D7206" i="6"/>
  <c r="D7205" i="6"/>
  <c r="D7166" i="6"/>
  <c r="D7165" i="6"/>
  <c r="D7164" i="6"/>
  <c r="D7163" i="6"/>
  <c r="D7162" i="6"/>
  <c r="D7161" i="6"/>
  <c r="D7136" i="6"/>
  <c r="D7135" i="6"/>
  <c r="D7134" i="6"/>
  <c r="D7132" i="6"/>
  <c r="D7109" i="6"/>
  <c r="D7108" i="6"/>
  <c r="D7107" i="6"/>
  <c r="D7106" i="6"/>
  <c r="D7105" i="6"/>
  <c r="D7104" i="6"/>
  <c r="D7103" i="6"/>
  <c r="D7102" i="6"/>
  <c r="D7101" i="6"/>
  <c r="D7100" i="6"/>
  <c r="D7099" i="6"/>
  <c r="D7098" i="6"/>
  <c r="D7096" i="6"/>
  <c r="D7095" i="6"/>
  <c r="D7094" i="6"/>
  <c r="D7093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45" i="6"/>
  <c r="D6844" i="6"/>
  <c r="D6843" i="6"/>
  <c r="D6842" i="6"/>
  <c r="D6841" i="6"/>
  <c r="D6840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0" i="6"/>
  <c r="D6679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0" i="6"/>
  <c r="D6589" i="6"/>
  <c r="D6575" i="6"/>
  <c r="D6574" i="6"/>
  <c r="D6573" i="6"/>
  <c r="D6572" i="6"/>
  <c r="D6571" i="6"/>
  <c r="D6570" i="6"/>
  <c r="D6569" i="6"/>
  <c r="D6561" i="6"/>
  <c r="D6560" i="6"/>
  <c r="D6559" i="6"/>
  <c r="D6556" i="6"/>
  <c r="D6555" i="6"/>
  <c r="D6553" i="6"/>
  <c r="D6552" i="6"/>
  <c r="D6549" i="6"/>
  <c r="D6548" i="6"/>
  <c r="D6547" i="6"/>
  <c r="D6546" i="6"/>
  <c r="D6544" i="6"/>
  <c r="D6540" i="6"/>
  <c r="D6528" i="6"/>
  <c r="D6520" i="6"/>
  <c r="D6516" i="6"/>
  <c r="D6515" i="6"/>
  <c r="D6514" i="6"/>
  <c r="D6513" i="6"/>
  <c r="D6512" i="6"/>
  <c r="D6511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320" i="6"/>
  <c r="D6287" i="6"/>
  <c r="D6225" i="6"/>
  <c r="D6218" i="6"/>
  <c r="D6198" i="6"/>
  <c r="D6156" i="6"/>
  <c r="D6142" i="6"/>
  <c r="D6119" i="6"/>
  <c r="D6070" i="6"/>
  <c r="D6067" i="6"/>
  <c r="D5971" i="6"/>
  <c r="D5891" i="6"/>
  <c r="D5857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1" i="6"/>
  <c r="D5120" i="6"/>
  <c r="D5118" i="6"/>
  <c r="D5117" i="6"/>
  <c r="D5116" i="6"/>
  <c r="D5115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1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68" i="6"/>
  <c r="D4167" i="6"/>
  <c r="D4166" i="6"/>
  <c r="D4165" i="6"/>
  <c r="D4164" i="6"/>
  <c r="D4163" i="6"/>
  <c r="D4162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39" i="6"/>
  <c r="D4038" i="6"/>
  <c r="D4037" i="6"/>
  <c r="D4036" i="6"/>
  <c r="D4035" i="6"/>
  <c r="D4034" i="6"/>
  <c r="D4033" i="6"/>
  <c r="D4032" i="6"/>
  <c r="D4031" i="6"/>
  <c r="D4030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5" i="6"/>
  <c r="D3744" i="6"/>
  <c r="D3743" i="6"/>
  <c r="D3742" i="6"/>
  <c r="D3741" i="6"/>
  <c r="D3740" i="6"/>
  <c r="D3733" i="6"/>
  <c r="D3732" i="6"/>
  <c r="D3731" i="6"/>
  <c r="D3730" i="6"/>
  <c r="D3729" i="6"/>
  <c r="D3728" i="6"/>
  <c r="D3727" i="6"/>
  <c r="D3726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1" i="6"/>
  <c r="D3440" i="6"/>
  <c r="D3439" i="6"/>
  <c r="D3438" i="6"/>
  <c r="D3437" i="6"/>
  <c r="D3436" i="6"/>
  <c r="D3435" i="6"/>
  <c r="D3434" i="6"/>
  <c r="D3431" i="6"/>
  <c r="D3430" i="6"/>
  <c r="D3429" i="6"/>
  <c r="D3428" i="6"/>
  <c r="D3427" i="6"/>
  <c r="D3422" i="6"/>
  <c r="D3421" i="6"/>
  <c r="D3420" i="6"/>
  <c r="D3419" i="6"/>
  <c r="D3418" i="6"/>
  <c r="D3417" i="6"/>
  <c r="D3416" i="6"/>
  <c r="D3413" i="6"/>
  <c r="D3412" i="6"/>
  <c r="D3411" i="6"/>
  <c r="D3410" i="6"/>
  <c r="D3409" i="6"/>
  <c r="D3408" i="6"/>
  <c r="D3407" i="6"/>
  <c r="D3405" i="6"/>
  <c r="D3404" i="6"/>
  <c r="D3403" i="6"/>
  <c r="D3402" i="6"/>
  <c r="D3401" i="6"/>
  <c r="D3396" i="6"/>
  <c r="D3395" i="6"/>
  <c r="D3394" i="6"/>
  <c r="D3393" i="6"/>
  <c r="D3392" i="6"/>
  <c r="D3391" i="6"/>
  <c r="D3390" i="6"/>
  <c r="D3389" i="6"/>
  <c r="D3380" i="6"/>
  <c r="D3379" i="6"/>
  <c r="D3378" i="6"/>
  <c r="D3377" i="6"/>
  <c r="D3376" i="6"/>
  <c r="D3375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4" i="6"/>
  <c r="D3303" i="6"/>
  <c r="D3302" i="6"/>
  <c r="D3301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199" i="6"/>
  <c r="D3198" i="6"/>
  <c r="D3197" i="6"/>
  <c r="D3196" i="6"/>
  <c r="D3195" i="6"/>
  <c r="D3194" i="6"/>
  <c r="D3193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09" i="6"/>
  <c r="D2608" i="6"/>
  <c r="D2604" i="6"/>
  <c r="D2603" i="6"/>
  <c r="D2597" i="6"/>
  <c r="D2596" i="6"/>
  <c r="D2595" i="6"/>
  <c r="D2594" i="6"/>
  <c r="D2590" i="6"/>
  <c r="D2589" i="6"/>
  <c r="D2588" i="6"/>
  <c r="D2587" i="6"/>
  <c r="D2586" i="6"/>
  <c r="D2585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78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1" i="6"/>
  <c r="D2210" i="6"/>
  <c r="D2209" i="6"/>
  <c r="D2154" i="6"/>
  <c r="D2153" i="6"/>
  <c r="D2152" i="6"/>
  <c r="D2151" i="6"/>
  <c r="D2144" i="6"/>
  <c r="D2143" i="6"/>
  <c r="D2142" i="6"/>
  <c r="D2141" i="6"/>
  <c r="D2140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89" i="6"/>
  <c r="D1986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1" i="6"/>
  <c r="D1879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1" i="6"/>
  <c r="D1838" i="6"/>
  <c r="D1837" i="6"/>
  <c r="D1836" i="6"/>
  <c r="D1834" i="6"/>
  <c r="D182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0" i="6"/>
  <c r="D1789" i="6"/>
  <c r="D1785" i="6"/>
  <c r="D1783" i="6"/>
  <c r="D1782" i="6"/>
  <c r="D1781" i="6"/>
  <c r="D1780" i="6"/>
  <c r="D1779" i="6"/>
  <c r="D1778" i="6"/>
  <c r="D1777" i="6"/>
  <c r="D1776" i="6"/>
  <c r="D1773" i="6"/>
  <c r="D1772" i="6"/>
  <c r="D1771" i="6"/>
  <c r="D1765" i="6"/>
  <c r="D1763" i="6"/>
  <c r="D1760" i="6"/>
  <c r="D1757" i="6"/>
  <c r="D1745" i="6"/>
  <c r="D1736" i="6"/>
  <c r="D1731" i="6"/>
  <c r="D1730" i="6"/>
  <c r="D172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1" i="6"/>
  <c r="D1690" i="6"/>
  <c r="D1689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4" i="6"/>
  <c r="D1633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1" i="6"/>
  <c r="D1600" i="6"/>
  <c r="D1599" i="6"/>
  <c r="D1598" i="6"/>
  <c r="D1597" i="6"/>
  <c r="D1596" i="6"/>
  <c r="D1595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6" i="6"/>
  <c r="D1535" i="6"/>
  <c r="D1528" i="6"/>
  <c r="D1526" i="6"/>
  <c r="D1494" i="6"/>
  <c r="D1477" i="6"/>
  <c r="D1476" i="6"/>
  <c r="D1430" i="6"/>
  <c r="D1429" i="6"/>
  <c r="D1428" i="6"/>
  <c r="D1427" i="6"/>
  <c r="D1426" i="6"/>
  <c r="D1425" i="6"/>
  <c r="D1424" i="6"/>
  <c r="D1423" i="6"/>
  <c r="D1422" i="6"/>
  <c r="D1421" i="6"/>
  <c r="D1420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B770" i="6"/>
  <c r="D769" i="6"/>
  <c r="B769" i="6"/>
  <c r="B768" i="6"/>
  <c r="D762" i="6"/>
  <c r="D755" i="6"/>
  <c r="D748" i="6"/>
  <c r="D737" i="6"/>
  <c r="D725" i="6"/>
  <c r="D724" i="6"/>
  <c r="D707" i="6"/>
  <c r="D680" i="6"/>
  <c r="D677" i="6"/>
  <c r="D656" i="6"/>
  <c r="D655" i="6"/>
  <c r="D651" i="6"/>
  <c r="D648" i="6"/>
  <c r="D641" i="6"/>
  <c r="D626" i="6"/>
  <c r="D620" i="6"/>
  <c r="D612" i="6"/>
  <c r="D603" i="6"/>
  <c r="D591" i="6"/>
  <c r="D590" i="6"/>
  <c r="D587" i="6"/>
  <c r="D586" i="6"/>
  <c r="D585" i="6"/>
  <c r="D584" i="6"/>
  <c r="D581" i="6"/>
  <c r="B581" i="6"/>
  <c r="D580" i="6"/>
  <c r="B580" i="6"/>
  <c r="D579" i="6"/>
  <c r="B579" i="6"/>
  <c r="D578" i="6"/>
  <c r="B578" i="6"/>
  <c r="D577" i="6"/>
  <c r="B577" i="6"/>
  <c r="D576" i="6"/>
  <c r="B576" i="6"/>
  <c r="D575" i="6"/>
  <c r="B575" i="6"/>
  <c r="D574" i="6"/>
  <c r="B574" i="6"/>
  <c r="D573" i="6"/>
  <c r="B573" i="6"/>
  <c r="D572" i="6"/>
  <c r="B572" i="6"/>
  <c r="D571" i="6"/>
  <c r="B571" i="6"/>
  <c r="D570" i="6"/>
  <c r="B570" i="6"/>
  <c r="D569" i="6"/>
  <c r="B569" i="6"/>
  <c r="D568" i="6"/>
  <c r="B568" i="6"/>
  <c r="D567" i="6"/>
  <c r="B567" i="6"/>
  <c r="D566" i="6"/>
  <c r="B566" i="6"/>
  <c r="D565" i="6"/>
  <c r="B565" i="6"/>
  <c r="D564" i="6"/>
  <c r="B564" i="6"/>
  <c r="D563" i="6"/>
  <c r="B563" i="6"/>
  <c r="D562" i="6"/>
  <c r="B562" i="6"/>
  <c r="D561" i="6"/>
  <c r="B561" i="6"/>
  <c r="D560" i="6"/>
  <c r="B560" i="6"/>
  <c r="D559" i="6"/>
  <c r="B559" i="6"/>
  <c r="D558" i="6"/>
  <c r="B558" i="6"/>
  <c r="D557" i="6"/>
  <c r="B557" i="6"/>
  <c r="D556" i="6"/>
  <c r="B556" i="6"/>
  <c r="D555" i="6"/>
  <c r="B555" i="6"/>
  <c r="D554" i="6"/>
  <c r="B554" i="6"/>
  <c r="D553" i="6"/>
  <c r="B553" i="6"/>
  <c r="D552" i="6"/>
  <c r="B552" i="6"/>
  <c r="D551" i="6"/>
  <c r="B551" i="6"/>
  <c r="D550" i="6"/>
  <c r="B550" i="6"/>
  <c r="D549" i="6"/>
  <c r="B549" i="6"/>
  <c r="D548" i="6"/>
  <c r="B548" i="6"/>
  <c r="D547" i="6"/>
  <c r="B547" i="6"/>
  <c r="D546" i="6"/>
  <c r="B546" i="6"/>
  <c r="D545" i="6"/>
  <c r="B545" i="6"/>
  <c r="D544" i="6"/>
  <c r="B544" i="6"/>
  <c r="D543" i="6"/>
  <c r="B543" i="6"/>
  <c r="D542" i="6"/>
  <c r="B542" i="6"/>
  <c r="D541" i="6"/>
  <c r="B541" i="6"/>
  <c r="D540" i="6"/>
  <c r="B540" i="6"/>
  <c r="D539" i="6"/>
  <c r="B539" i="6"/>
  <c r="D538" i="6"/>
  <c r="B538" i="6"/>
  <c r="D537" i="6"/>
  <c r="B537" i="6"/>
  <c r="D536" i="6"/>
  <c r="B536" i="6"/>
  <c r="D535" i="6"/>
  <c r="B535" i="6"/>
  <c r="D534" i="6"/>
  <c r="B534" i="6"/>
  <c r="D533" i="6"/>
  <c r="B533" i="6"/>
  <c r="D532" i="6"/>
  <c r="B532" i="6"/>
  <c r="D531" i="6"/>
  <c r="B531" i="6"/>
  <c r="D530" i="6"/>
  <c r="B530" i="6"/>
  <c r="D529" i="6"/>
  <c r="B529" i="6"/>
  <c r="D528" i="6"/>
  <c r="B528" i="6"/>
  <c r="D527" i="6"/>
  <c r="B527" i="6"/>
  <c r="D526" i="6"/>
  <c r="B526" i="6"/>
  <c r="D525" i="6"/>
  <c r="B525" i="6"/>
  <c r="D524" i="6"/>
  <c r="B524" i="6"/>
  <c r="D523" i="6"/>
  <c r="B523" i="6"/>
  <c r="D522" i="6"/>
  <c r="B522" i="6"/>
  <c r="D521" i="6"/>
  <c r="B521" i="6"/>
  <c r="D520" i="6"/>
  <c r="B520" i="6"/>
  <c r="D519" i="6"/>
  <c r="B519" i="6"/>
  <c r="D518" i="6"/>
  <c r="B518" i="6"/>
  <c r="D517" i="6"/>
  <c r="B517" i="6"/>
  <c r="D516" i="6"/>
  <c r="B516" i="6"/>
  <c r="D515" i="6"/>
  <c r="B515" i="6"/>
  <c r="D514" i="6"/>
  <c r="B514" i="6"/>
  <c r="D513" i="6"/>
  <c r="B513" i="6"/>
  <c r="D512" i="6"/>
  <c r="B512" i="6"/>
  <c r="D511" i="6"/>
  <c r="B511" i="6"/>
  <c r="D510" i="6"/>
  <c r="B510" i="6"/>
  <c r="D509" i="6"/>
  <c r="B509" i="6"/>
  <c r="D508" i="6"/>
  <c r="B508" i="6"/>
  <c r="D507" i="6"/>
  <c r="B507" i="6"/>
  <c r="D506" i="6"/>
  <c r="B506" i="6"/>
  <c r="D505" i="6"/>
  <c r="B505" i="6"/>
  <c r="D504" i="6"/>
  <c r="B504" i="6"/>
  <c r="D503" i="6"/>
  <c r="B503" i="6"/>
  <c r="D502" i="6"/>
  <c r="B502" i="6"/>
  <c r="D501" i="6"/>
  <c r="B501" i="6"/>
  <c r="D500" i="6"/>
  <c r="B500" i="6"/>
  <c r="D499" i="6"/>
  <c r="B499" i="6"/>
  <c r="D498" i="6"/>
  <c r="B498" i="6"/>
  <c r="D497" i="6"/>
  <c r="B497" i="6"/>
  <c r="D496" i="6"/>
  <c r="B496" i="6"/>
  <c r="D495" i="6"/>
  <c r="B495" i="6"/>
  <c r="D494" i="6"/>
  <c r="B494" i="6"/>
  <c r="D493" i="6"/>
  <c r="B493" i="6"/>
  <c r="D492" i="6"/>
  <c r="B492" i="6"/>
  <c r="D491" i="6"/>
  <c r="B491" i="6"/>
  <c r="D490" i="6"/>
  <c r="B490" i="6"/>
  <c r="D489" i="6"/>
  <c r="B489" i="6"/>
  <c r="D488" i="6"/>
  <c r="B488" i="6"/>
  <c r="D487" i="6"/>
  <c r="B487" i="6"/>
  <c r="D486" i="6"/>
  <c r="B486" i="6"/>
  <c r="D485" i="6"/>
  <c r="B485" i="6"/>
  <c r="D484" i="6"/>
  <c r="B484" i="6"/>
  <c r="D483" i="6"/>
  <c r="B483" i="6"/>
  <c r="D482" i="6"/>
  <c r="B482" i="6"/>
  <c r="D481" i="6"/>
  <c r="B481" i="6"/>
  <c r="D480" i="6"/>
  <c r="B480" i="6"/>
  <c r="D479" i="6"/>
  <c r="B479" i="6"/>
  <c r="D478" i="6"/>
  <c r="B478" i="6"/>
  <c r="D477" i="6"/>
  <c r="B477" i="6"/>
  <c r="D476" i="6"/>
  <c r="B476" i="6"/>
  <c r="D475" i="6"/>
  <c r="B475" i="6"/>
  <c r="D474" i="6"/>
  <c r="B474" i="6"/>
  <c r="D473" i="6"/>
  <c r="B473" i="6"/>
  <c r="D472" i="6"/>
  <c r="B472" i="6"/>
  <c r="D471" i="6"/>
  <c r="B471" i="6"/>
  <c r="D470" i="6"/>
  <c r="B470" i="6"/>
  <c r="D469" i="6"/>
  <c r="B469" i="6"/>
  <c r="D468" i="6"/>
  <c r="B468" i="6"/>
  <c r="D467" i="6"/>
  <c r="B467" i="6"/>
  <c r="D466" i="6"/>
  <c r="B466" i="6"/>
  <c r="D465" i="6"/>
  <c r="B465" i="6"/>
  <c r="D464" i="6"/>
  <c r="B464" i="6"/>
  <c r="D463" i="6"/>
  <c r="B463" i="6"/>
  <c r="D462" i="6"/>
  <c r="B462" i="6"/>
  <c r="D461" i="6"/>
  <c r="B461" i="6"/>
  <c r="D460" i="6"/>
  <c r="B460" i="6"/>
  <c r="D459" i="6"/>
  <c r="B459" i="6"/>
  <c r="D458" i="6"/>
  <c r="B458" i="6"/>
  <c r="D457" i="6"/>
  <c r="B457" i="6"/>
  <c r="D456" i="6"/>
  <c r="B456" i="6"/>
  <c r="D455" i="6"/>
  <c r="B455" i="6"/>
  <c r="D454" i="6"/>
  <c r="B454" i="6"/>
  <c r="D453" i="6"/>
  <c r="B453" i="6"/>
  <c r="D452" i="6"/>
  <c r="B452" i="6"/>
  <c r="D451" i="6"/>
  <c r="B451" i="6"/>
  <c r="D450" i="6"/>
  <c r="B450" i="6"/>
  <c r="D449" i="6"/>
  <c r="B449" i="6"/>
  <c r="D448" i="6"/>
  <c r="B448" i="6"/>
  <c r="D447" i="6"/>
  <c r="B447" i="6"/>
  <c r="D446" i="6"/>
  <c r="B446" i="6"/>
  <c r="D445" i="6"/>
  <c r="B445" i="6"/>
  <c r="D444" i="6"/>
  <c r="B444" i="6"/>
  <c r="D443" i="6"/>
  <c r="B443" i="6"/>
  <c r="D442" i="6"/>
  <c r="B442" i="6"/>
  <c r="D441" i="6"/>
  <c r="B441" i="6"/>
  <c r="D440" i="6"/>
  <c r="B440" i="6"/>
  <c r="D439" i="6"/>
  <c r="B439" i="6"/>
  <c r="D438" i="6"/>
  <c r="B438" i="6"/>
  <c r="D437" i="6"/>
  <c r="B437" i="6"/>
  <c r="D436" i="6"/>
  <c r="B436" i="6"/>
  <c r="D435" i="6"/>
  <c r="B435" i="6"/>
  <c r="D434" i="6"/>
  <c r="B434" i="6"/>
  <c r="D433" i="6"/>
  <c r="B433" i="6"/>
  <c r="D432" i="6"/>
  <c r="B432" i="6"/>
  <c r="D431" i="6"/>
  <c r="B431" i="6"/>
  <c r="D430" i="6"/>
  <c r="B430" i="6"/>
  <c r="D429" i="6"/>
  <c r="B429" i="6"/>
  <c r="D428" i="6"/>
  <c r="B428" i="6"/>
  <c r="D427" i="6"/>
  <c r="B427" i="6"/>
  <c r="D426" i="6"/>
  <c r="B426" i="6"/>
  <c r="D425" i="6"/>
  <c r="B425" i="6"/>
  <c r="D424" i="6"/>
  <c r="B424" i="6"/>
  <c r="D423" i="6"/>
  <c r="B423" i="6"/>
  <c r="D422" i="6"/>
  <c r="B422" i="6"/>
  <c r="D421" i="6"/>
  <c r="B421" i="6"/>
  <c r="D420" i="6"/>
  <c r="B420" i="6"/>
  <c r="D419" i="6"/>
  <c r="B419" i="6"/>
  <c r="D418" i="6"/>
  <c r="B418" i="6"/>
  <c r="D417" i="6"/>
  <c r="B417" i="6"/>
  <c r="D416" i="6"/>
  <c r="B416" i="6"/>
  <c r="D415" i="6"/>
  <c r="B415" i="6"/>
  <c r="D414" i="6"/>
  <c r="B414" i="6"/>
  <c r="D413" i="6"/>
  <c r="B413" i="6"/>
  <c r="D412" i="6"/>
  <c r="B412" i="6"/>
  <c r="D411" i="6"/>
  <c r="B411" i="6"/>
  <c r="D410" i="6"/>
  <c r="B410" i="6"/>
  <c r="D409" i="6"/>
  <c r="B409" i="6"/>
  <c r="D408" i="6"/>
  <c r="B408" i="6"/>
  <c r="D407" i="6"/>
  <c r="B407" i="6"/>
  <c r="D406" i="6"/>
  <c r="B406" i="6"/>
  <c r="D405" i="6"/>
  <c r="B405" i="6"/>
  <c r="D404" i="6"/>
  <c r="B404" i="6"/>
  <c r="D403" i="6"/>
  <c r="B403" i="6"/>
  <c r="D402" i="6"/>
  <c r="B402" i="6"/>
  <c r="D401" i="6"/>
  <c r="B401" i="6"/>
  <c r="D400" i="6"/>
  <c r="B400" i="6"/>
  <c r="D399" i="6"/>
  <c r="B399" i="6"/>
  <c r="D398" i="6"/>
  <c r="B398" i="6"/>
  <c r="D397" i="6"/>
  <c r="B397" i="6"/>
  <c r="D396" i="6"/>
  <c r="B396" i="6"/>
  <c r="D395" i="6"/>
  <c r="B395" i="6"/>
  <c r="D394" i="6"/>
  <c r="B394" i="6"/>
  <c r="D393" i="6"/>
  <c r="B393" i="6"/>
  <c r="D392" i="6"/>
  <c r="B392" i="6"/>
  <c r="D391" i="6"/>
  <c r="B391" i="6"/>
  <c r="D390" i="6"/>
  <c r="B390" i="6"/>
  <c r="D389" i="6"/>
  <c r="B389" i="6"/>
  <c r="D388" i="6"/>
  <c r="B388" i="6"/>
  <c r="D387" i="6"/>
  <c r="B387" i="6"/>
  <c r="D386" i="6"/>
  <c r="B386" i="6"/>
  <c r="D385" i="6"/>
  <c r="B385" i="6"/>
  <c r="D384" i="6"/>
  <c r="B384" i="6"/>
  <c r="D383" i="6"/>
  <c r="B383" i="6"/>
  <c r="D382" i="6"/>
  <c r="B382" i="6"/>
  <c r="D381" i="6"/>
  <c r="B381" i="6"/>
  <c r="B380" i="6"/>
  <c r="D379" i="6"/>
  <c r="B379" i="6"/>
  <c r="D378" i="6"/>
  <c r="D377" i="6"/>
  <c r="D376" i="6"/>
  <c r="D375" i="6"/>
  <c r="D374" i="6"/>
  <c r="D373" i="6"/>
  <c r="D372" i="6"/>
  <c r="D371" i="6"/>
  <c r="B370" i="6"/>
  <c r="B369" i="6"/>
  <c r="B368" i="6"/>
  <c r="B367" i="6"/>
  <c r="B366" i="6"/>
  <c r="D365" i="6"/>
  <c r="B365" i="6"/>
  <c r="D364" i="6"/>
  <c r="B364" i="6"/>
  <c r="D363" i="6"/>
  <c r="B363" i="6"/>
  <c r="D362" i="6"/>
  <c r="B362" i="6"/>
  <c r="D361" i="6"/>
  <c r="B361" i="6"/>
  <c r="D360" i="6"/>
  <c r="B360" i="6"/>
  <c r="D359" i="6"/>
  <c r="B359" i="6"/>
  <c r="D358" i="6"/>
  <c r="B358" i="6"/>
  <c r="D357" i="6"/>
  <c r="B357" i="6"/>
  <c r="D356" i="6"/>
  <c r="B356" i="6"/>
  <c r="D355" i="6"/>
  <c r="B355" i="6"/>
  <c r="D354" i="6"/>
  <c r="B354" i="6"/>
  <c r="D353" i="6"/>
  <c r="B353" i="6"/>
  <c r="D352" i="6"/>
  <c r="B352" i="6"/>
  <c r="D351" i="6"/>
  <c r="B351" i="6"/>
  <c r="D350" i="6"/>
  <c r="B350" i="6"/>
  <c r="D349" i="6"/>
  <c r="B349" i="6"/>
  <c r="D348" i="6"/>
  <c r="B348" i="6"/>
  <c r="D347" i="6"/>
  <c r="B347" i="6"/>
  <c r="D346" i="6"/>
  <c r="B346" i="6"/>
  <c r="D345" i="6"/>
  <c r="B345" i="6"/>
  <c r="D344" i="6"/>
  <c r="B344" i="6"/>
  <c r="D343" i="6"/>
  <c r="B343" i="6"/>
  <c r="D342" i="6"/>
  <c r="B342" i="6"/>
  <c r="D341" i="6"/>
  <c r="B341" i="6"/>
  <c r="D340" i="6"/>
  <c r="B340" i="6"/>
  <c r="D339" i="6"/>
  <c r="B339" i="6"/>
  <c r="D338" i="6"/>
  <c r="B338" i="6"/>
  <c r="D337" i="6"/>
  <c r="B337" i="6"/>
  <c r="D336" i="6"/>
  <c r="B336" i="6"/>
  <c r="D335" i="6"/>
  <c r="B335" i="6"/>
  <c r="D334" i="6"/>
  <c r="B334" i="6"/>
  <c r="D333" i="6"/>
  <c r="B333" i="6"/>
  <c r="D332" i="6"/>
  <c r="B332" i="6"/>
  <c r="D331" i="6"/>
  <c r="B331" i="6"/>
  <c r="D330" i="6"/>
  <c r="B330" i="6"/>
  <c r="D329" i="6"/>
  <c r="B329" i="6"/>
  <c r="D328" i="6"/>
  <c r="B328" i="6"/>
  <c r="D327" i="6"/>
  <c r="B327" i="6"/>
  <c r="D326" i="6"/>
  <c r="B326" i="6"/>
  <c r="D325" i="6"/>
  <c r="B325" i="6"/>
  <c r="D324" i="6"/>
  <c r="B324" i="6"/>
  <c r="D323" i="6"/>
  <c r="B323" i="6"/>
  <c r="D322" i="6"/>
  <c r="B322" i="6"/>
  <c r="D321" i="6"/>
  <c r="B321" i="6"/>
  <c r="D320" i="6"/>
  <c r="B320" i="6"/>
  <c r="D319" i="6"/>
  <c r="B319" i="6"/>
  <c r="D318" i="6"/>
  <c r="B318" i="6"/>
  <c r="D317" i="6"/>
  <c r="B317" i="6"/>
  <c r="D316" i="6"/>
  <c r="B316" i="6"/>
  <c r="D315" i="6"/>
  <c r="B315" i="6"/>
  <c r="D314" i="6"/>
  <c r="B314" i="6"/>
  <c r="D313" i="6"/>
  <c r="B313" i="6"/>
  <c r="D312" i="6"/>
  <c r="B312" i="6"/>
  <c r="D311" i="6"/>
  <c r="B311" i="6"/>
  <c r="D310" i="6"/>
  <c r="B310" i="6"/>
  <c r="D309" i="6"/>
  <c r="B309" i="6"/>
  <c r="D308" i="6"/>
  <c r="B308" i="6"/>
  <c r="D307" i="6"/>
  <c r="B307" i="6"/>
  <c r="D306" i="6"/>
  <c r="B306" i="6"/>
  <c r="D305" i="6"/>
  <c r="B305" i="6"/>
  <c r="D304" i="6"/>
  <c r="B304" i="6"/>
  <c r="D303" i="6"/>
  <c r="B303" i="6"/>
  <c r="D302" i="6"/>
  <c r="B302" i="6"/>
  <c r="D301" i="6"/>
  <c r="B301" i="6"/>
  <c r="D300" i="6"/>
  <c r="B300" i="6"/>
  <c r="D299" i="6"/>
  <c r="B299" i="6"/>
  <c r="D298" i="6"/>
  <c r="B298" i="6"/>
  <c r="D297" i="6"/>
  <c r="B297" i="6"/>
  <c r="D296" i="6"/>
  <c r="B296" i="6"/>
  <c r="D295" i="6"/>
  <c r="B295" i="6"/>
  <c r="D294" i="6"/>
  <c r="B294" i="6"/>
  <c r="D293" i="6"/>
  <c r="B293" i="6"/>
  <c r="D292" i="6"/>
  <c r="B292" i="6"/>
  <c r="D291" i="6"/>
  <c r="B291" i="6"/>
  <c r="D290" i="6"/>
  <c r="B290" i="6"/>
  <c r="D289" i="6"/>
  <c r="B289" i="6"/>
  <c r="D288" i="6"/>
  <c r="B288" i="6"/>
  <c r="D287" i="6"/>
  <c r="B287" i="6"/>
  <c r="D286" i="6"/>
  <c r="B286" i="6"/>
  <c r="D285" i="6"/>
  <c r="B285" i="6"/>
  <c r="D284" i="6"/>
  <c r="B284" i="6"/>
  <c r="D283" i="6"/>
  <c r="B283" i="6"/>
  <c r="D282" i="6"/>
  <c r="B282" i="6"/>
  <c r="D281" i="6"/>
  <c r="B281" i="6"/>
  <c r="D280" i="6"/>
  <c r="B280" i="6"/>
  <c r="D279" i="6"/>
  <c r="B279" i="6"/>
  <c r="D278" i="6"/>
  <c r="B278" i="6"/>
  <c r="D277" i="6"/>
  <c r="B277" i="6"/>
  <c r="D276" i="6"/>
  <c r="B276" i="6"/>
  <c r="D275" i="6"/>
  <c r="B275" i="6"/>
  <c r="D274" i="6"/>
  <c r="B274" i="6"/>
  <c r="D273" i="6"/>
  <c r="B273" i="6"/>
  <c r="D272" i="6"/>
  <c r="B272" i="6"/>
  <c r="D271" i="6"/>
  <c r="B271" i="6"/>
  <c r="D270" i="6"/>
  <c r="B270" i="6"/>
  <c r="D269" i="6"/>
  <c r="B269" i="6"/>
  <c r="D268" i="6"/>
  <c r="B268" i="6"/>
  <c r="D267" i="6"/>
  <c r="B267" i="6"/>
  <c r="D266" i="6"/>
  <c r="B266" i="6"/>
  <c r="D265" i="6"/>
  <c r="B265" i="6"/>
  <c r="D264" i="6"/>
  <c r="B264" i="6"/>
  <c r="D263" i="6"/>
  <c r="B263" i="6"/>
  <c r="D262" i="6"/>
  <c r="B262" i="6"/>
  <c r="D261" i="6"/>
  <c r="B261" i="6"/>
  <c r="D260" i="6"/>
  <c r="B260" i="6"/>
  <c r="D259" i="6"/>
  <c r="B259" i="6"/>
  <c r="D258" i="6"/>
  <c r="B258" i="6"/>
  <c r="D257" i="6"/>
  <c r="B257" i="6"/>
  <c r="D256" i="6"/>
  <c r="B256" i="6"/>
  <c r="D255" i="6"/>
  <c r="B255" i="6"/>
  <c r="D254" i="6"/>
  <c r="B254" i="6"/>
  <c r="D253" i="6"/>
  <c r="B253" i="6"/>
  <c r="D252" i="6"/>
  <c r="B252" i="6"/>
  <c r="D251" i="6"/>
  <c r="B251" i="6"/>
  <c r="D250" i="6"/>
  <c r="B250" i="6"/>
  <c r="D249" i="6"/>
  <c r="B249" i="6"/>
  <c r="D248" i="6"/>
  <c r="B248" i="6"/>
  <c r="D247" i="6"/>
  <c r="B247" i="6"/>
  <c r="D246" i="6"/>
  <c r="B246" i="6"/>
  <c r="D245" i="6"/>
  <c r="B245" i="6"/>
  <c r="D244" i="6"/>
  <c r="B244" i="6"/>
  <c r="D243" i="6"/>
  <c r="B243" i="6"/>
  <c r="D242" i="6"/>
  <c r="B242" i="6"/>
  <c r="D241" i="6"/>
  <c r="B241" i="6"/>
  <c r="D240" i="6"/>
  <c r="B240" i="6"/>
  <c r="D239" i="6"/>
  <c r="B239" i="6"/>
  <c r="D238" i="6"/>
  <c r="B238" i="6"/>
  <c r="D237" i="6"/>
  <c r="B237" i="6"/>
  <c r="D236" i="6"/>
  <c r="B236" i="6"/>
  <c r="D235" i="6"/>
  <c r="B235" i="6"/>
  <c r="D234" i="6"/>
  <c r="B234" i="6"/>
  <c r="D233" i="6"/>
  <c r="B233" i="6"/>
  <c r="D232" i="6"/>
  <c r="B232" i="6"/>
  <c r="D231" i="6"/>
  <c r="B231" i="6"/>
  <c r="D230" i="6"/>
  <c r="B230" i="6"/>
  <c r="D229" i="6"/>
  <c r="B229" i="6"/>
  <c r="D228" i="6"/>
  <c r="B228" i="6"/>
  <c r="D227" i="6"/>
  <c r="B227" i="6"/>
  <c r="D226" i="6"/>
  <c r="B226" i="6"/>
  <c r="D225" i="6"/>
  <c r="B225" i="6"/>
  <c r="D224" i="6"/>
  <c r="B224" i="6"/>
  <c r="D223" i="6"/>
  <c r="B223" i="6"/>
  <c r="D222" i="6"/>
  <c r="B222" i="6"/>
  <c r="D221" i="6"/>
  <c r="B221" i="6"/>
  <c r="D220" i="6"/>
  <c r="B220" i="6"/>
  <c r="D219" i="6"/>
  <c r="B219" i="6"/>
  <c r="D218" i="6"/>
  <c r="B218" i="6"/>
  <c r="D217" i="6"/>
  <c r="B217" i="6"/>
  <c r="D216" i="6"/>
  <c r="B216" i="6"/>
  <c r="D215" i="6"/>
  <c r="B215" i="6"/>
  <c r="D214" i="6"/>
  <c r="B214" i="6"/>
  <c r="D213" i="6"/>
  <c r="B213" i="6"/>
  <c r="D212" i="6"/>
  <c r="B212" i="6"/>
  <c r="D211" i="6"/>
  <c r="B211" i="6"/>
  <c r="D210" i="6"/>
  <c r="B210" i="6"/>
  <c r="D209" i="6"/>
  <c r="B209" i="6"/>
  <c r="D208" i="6"/>
  <c r="B208" i="6"/>
  <c r="D207" i="6"/>
  <c r="B207" i="6"/>
  <c r="D206" i="6"/>
  <c r="B206" i="6"/>
  <c r="D205" i="6"/>
  <c r="B205" i="6"/>
  <c r="D204" i="6"/>
  <c r="B204" i="6"/>
  <c r="D203" i="6"/>
  <c r="B203" i="6"/>
  <c r="D202" i="6"/>
  <c r="B202" i="6"/>
  <c r="D201" i="6"/>
  <c r="B201" i="6"/>
  <c r="D200" i="6"/>
  <c r="B200" i="6"/>
  <c r="D199" i="6"/>
  <c r="B199" i="6"/>
  <c r="D198" i="6"/>
  <c r="B198" i="6"/>
  <c r="D197" i="6"/>
  <c r="B197" i="6"/>
  <c r="D196" i="6"/>
  <c r="B196" i="6"/>
  <c r="D195" i="6"/>
  <c r="B195" i="6"/>
  <c r="D194" i="6"/>
  <c r="B194" i="6"/>
  <c r="D193" i="6"/>
  <c r="B193" i="6"/>
  <c r="D192" i="6"/>
  <c r="B192" i="6"/>
  <c r="D191" i="6"/>
  <c r="B191" i="6"/>
  <c r="D190" i="6"/>
  <c r="B190" i="6"/>
  <c r="D189" i="6"/>
  <c r="B189" i="6"/>
  <c r="D188" i="6"/>
  <c r="B188" i="6"/>
  <c r="D187" i="6"/>
  <c r="B187" i="6"/>
  <c r="D186" i="6"/>
  <c r="B186" i="6"/>
  <c r="D185" i="6"/>
  <c r="B185" i="6"/>
  <c r="D184" i="6"/>
  <c r="B184" i="6"/>
  <c r="D183" i="6"/>
  <c r="B183" i="6"/>
  <c r="D182" i="6"/>
  <c r="B182" i="6"/>
  <c r="D181" i="6"/>
  <c r="B181" i="6"/>
  <c r="D180" i="6"/>
  <c r="B180" i="6"/>
  <c r="D179" i="6"/>
  <c r="B179" i="6"/>
  <c r="D178" i="6"/>
  <c r="B178" i="6"/>
  <c r="D177" i="6"/>
  <c r="B177" i="6"/>
  <c r="D176" i="6"/>
  <c r="B176" i="6"/>
  <c r="D175" i="6"/>
  <c r="B175" i="6"/>
  <c r="D174" i="6"/>
  <c r="B174" i="6"/>
  <c r="D173" i="6"/>
  <c r="B173" i="6"/>
  <c r="D172" i="6"/>
  <c r="B172" i="6"/>
  <c r="D171" i="6"/>
  <c r="B171" i="6"/>
  <c r="D170" i="6"/>
  <c r="B170" i="6"/>
  <c r="D169" i="6"/>
  <c r="B169" i="6"/>
  <c r="D168" i="6"/>
  <c r="B168" i="6"/>
  <c r="D167" i="6"/>
  <c r="B167" i="6"/>
  <c r="D166" i="6"/>
  <c r="B166" i="6"/>
  <c r="D165" i="6"/>
  <c r="B165" i="6"/>
  <c r="D164" i="6"/>
  <c r="B164" i="6"/>
  <c r="D163" i="6"/>
  <c r="B163" i="6"/>
  <c r="D162" i="6"/>
  <c r="B162" i="6"/>
  <c r="D161" i="6"/>
  <c r="B161" i="6"/>
  <c r="D160" i="6"/>
  <c r="B160" i="6"/>
  <c r="D159" i="6"/>
  <c r="B159" i="6"/>
  <c r="D158" i="6"/>
  <c r="B158" i="6"/>
  <c r="D157" i="6"/>
  <c r="B157" i="6"/>
  <c r="B156" i="6"/>
  <c r="D139" i="6"/>
  <c r="B138" i="6"/>
  <c r="D135" i="6"/>
  <c r="D134" i="6"/>
  <c r="D121" i="6"/>
  <c r="D119" i="6"/>
  <c r="D118" i="6"/>
  <c r="B117" i="6"/>
  <c r="D116" i="6"/>
  <c r="B116" i="6"/>
  <c r="D109" i="6"/>
  <c r="B106" i="6"/>
  <c r="B105" i="6"/>
  <c r="D104" i="6"/>
  <c r="B104" i="6"/>
  <c r="B100" i="6"/>
  <c r="D99" i="6"/>
  <c r="B99" i="6"/>
  <c r="D96" i="6"/>
  <c r="B95" i="6"/>
  <c r="D94" i="6"/>
  <c r="B94" i="6"/>
  <c r="D93" i="6"/>
  <c r="B93" i="6"/>
  <c r="D92" i="6"/>
  <c r="B92" i="6"/>
  <c r="D91" i="6"/>
  <c r="B91" i="6"/>
  <c r="D90" i="6"/>
  <c r="B90" i="6"/>
  <c r="D89" i="6"/>
  <c r="B89" i="6"/>
  <c r="D88" i="6"/>
  <c r="B88" i="6"/>
  <c r="D87" i="6"/>
  <c r="B87" i="6"/>
  <c r="D86" i="6"/>
  <c r="B86" i="6"/>
  <c r="D85" i="6"/>
  <c r="B85" i="6"/>
  <c r="D84" i="6"/>
  <c r="B84" i="6"/>
  <c r="D83" i="6"/>
  <c r="B83" i="6"/>
  <c r="D82" i="6"/>
  <c r="B82" i="6"/>
  <c r="D81" i="6"/>
  <c r="B81" i="6"/>
  <c r="D80" i="6"/>
  <c r="B80" i="6"/>
  <c r="D79" i="6"/>
  <c r="B79" i="6"/>
  <c r="B78" i="6"/>
  <c r="D77" i="6"/>
  <c r="B77" i="6"/>
  <c r="D76" i="6"/>
  <c r="B76" i="6"/>
  <c r="D75" i="6"/>
  <c r="B75" i="6"/>
  <c r="D74" i="6"/>
  <c r="B74" i="6"/>
  <c r="D73" i="6"/>
  <c r="B73" i="6"/>
  <c r="D72" i="6"/>
  <c r="B72" i="6"/>
  <c r="D71" i="6"/>
  <c r="B71" i="6"/>
  <c r="B70" i="6"/>
  <c r="B69" i="6"/>
  <c r="B68" i="6"/>
  <c r="B67" i="6"/>
  <c r="D66" i="6"/>
  <c r="B66" i="6"/>
  <c r="B65" i="6"/>
  <c r="B64" i="6"/>
  <c r="B63" i="6"/>
  <c r="B62" i="6"/>
  <c r="B61" i="6"/>
  <c r="D60" i="6"/>
  <c r="B60" i="6"/>
  <c r="B59" i="6"/>
  <c r="B58" i="6"/>
  <c r="B57" i="6"/>
  <c r="D56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</calcChain>
</file>

<file path=xl/sharedStrings.xml><?xml version="1.0" encoding="utf-8"?>
<sst xmlns="http://schemas.openxmlformats.org/spreadsheetml/2006/main" count="245555" uniqueCount="50088">
  <si>
    <t>14SP</t>
  </si>
  <si>
    <t>14SM</t>
  </si>
  <si>
    <t>13SP</t>
  </si>
  <si>
    <t>13SM</t>
  </si>
  <si>
    <t>13HO</t>
  </si>
  <si>
    <t>13FA</t>
  </si>
  <si>
    <t>12HO</t>
  </si>
  <si>
    <t>12FA</t>
  </si>
  <si>
    <t>11FA</t>
  </si>
  <si>
    <t>Grand Total</t>
  </si>
  <si>
    <t>S</t>
  </si>
  <si>
    <t>M</t>
  </si>
  <si>
    <t>L</t>
  </si>
  <si>
    <t>40</t>
  </si>
  <si>
    <t>Category Description</t>
  </si>
  <si>
    <t>Color Description</t>
  </si>
  <si>
    <t>Style Description</t>
  </si>
  <si>
    <t>Style/Color</t>
  </si>
  <si>
    <t>XS</t>
  </si>
  <si>
    <t>10564NBT2SHM</t>
  </si>
  <si>
    <t>10564NBT2</t>
  </si>
  <si>
    <t>BECKY SPT WOMENS JEAN</t>
  </si>
  <si>
    <t>SHM</t>
  </si>
  <si>
    <t>SHM MEMPHIS</t>
  </si>
  <si>
    <t>10572NBT22V</t>
  </si>
  <si>
    <t>10572NBT2</t>
  </si>
  <si>
    <t>BILLY SPT WOMEN JEAN</t>
  </si>
  <si>
    <t>2V</t>
  </si>
  <si>
    <t>2V MD DFTR WO RP</t>
  </si>
  <si>
    <t>07F1</t>
  </si>
  <si>
    <t>10572NBT240</t>
  </si>
  <si>
    <t>40 DEL MAR MED</t>
  </si>
  <si>
    <t>09SM</t>
  </si>
  <si>
    <t>10572NBT2AP</t>
  </si>
  <si>
    <t>AP</t>
  </si>
  <si>
    <t>AP SUGAR CREEK MED</t>
  </si>
  <si>
    <t>10SM</t>
  </si>
  <si>
    <t>10572NBTC63</t>
  </si>
  <si>
    <t>10572NBTC</t>
  </si>
  <si>
    <t>DISCO BILLY BIG T</t>
  </si>
  <si>
    <t>63 DK PONY EXPRESS</t>
  </si>
  <si>
    <t>MARISSA BIG T  PANT</t>
  </si>
  <si>
    <t>BLACK</t>
  </si>
  <si>
    <t>DK NAVY</t>
  </si>
  <si>
    <t>SANGRIA</t>
  </si>
  <si>
    <t>MARISSA PANT BIGT</t>
  </si>
  <si>
    <t>HEATHER GREY</t>
  </si>
  <si>
    <t>L/S ROCKY WESTERN PAVE CRYSTAL</t>
  </si>
  <si>
    <t>TRBJ HEART S/S V- NECK TEE</t>
  </si>
  <si>
    <t>REDWOOD</t>
  </si>
  <si>
    <t>TRUE CALI S/S VNK TEE</t>
  </si>
  <si>
    <t>SLATE BLUE</t>
  </si>
  <si>
    <t>11HO</t>
  </si>
  <si>
    <t>HORSESHOE PUFF S/S VNK TEE</t>
  </si>
  <si>
    <t>CHARCOAL</t>
  </si>
  <si>
    <t>CREAM</t>
  </si>
  <si>
    <t>12SP</t>
  </si>
  <si>
    <t>BUDDHA CRYSTAL SS VNECK TEE</t>
  </si>
  <si>
    <t>11SM</t>
  </si>
  <si>
    <t>SKULL TOUR TRIBLEND SS V-NECK</t>
  </si>
  <si>
    <t>WHITE</t>
  </si>
  <si>
    <t>TRBJ TOUR S/S TRIBLEND VNECK T</t>
  </si>
  <si>
    <t>SCRIPT HEART TRIBLEND S/S VNEC</t>
  </si>
  <si>
    <t>FOIL LOGO TRIBLEND S/S V-NECK</t>
  </si>
  <si>
    <t>FEELINGS CHARLOTTE S/S TRI-BLE</t>
  </si>
  <si>
    <t>POPPY</t>
  </si>
  <si>
    <t>BEAUTY MARK TRIBLEND S/S VNECK</t>
  </si>
  <si>
    <t>TR SUNRISE S/S V-NECK TEE</t>
  </si>
  <si>
    <t>BIG T SPARKLE HORSESHOE CLASSI</t>
  </si>
  <si>
    <t>MADALYN L/S PULLOVER HOODIE</t>
  </si>
  <si>
    <t>BERRY</t>
  </si>
  <si>
    <t>A13F71ARCD</t>
  </si>
  <si>
    <t>TSHIRT</t>
  </si>
  <si>
    <t>BRUSHED NICKEL</t>
  </si>
  <si>
    <t>HIGH RISE</t>
  </si>
  <si>
    <t>A13F71RCD</t>
  </si>
  <si>
    <t>PROPERTY TSHIRT</t>
  </si>
  <si>
    <t>PORT</t>
  </si>
  <si>
    <t>A13F72BRCD</t>
  </si>
  <si>
    <t>EAGLE WINGS TSHIRT</t>
  </si>
  <si>
    <t>FOSSIL BROWN</t>
  </si>
  <si>
    <t>A13F72CRCD</t>
  </si>
  <si>
    <t>AMERICAN FLAG TSHIRT</t>
  </si>
  <si>
    <t>A13F72D</t>
  </si>
  <si>
    <t>ANTHRA MARL</t>
  </si>
  <si>
    <t>A13F72RCD</t>
  </si>
  <si>
    <t>TR LUXURY BRAND TSHIRT</t>
  </si>
  <si>
    <t>TRUE RED</t>
  </si>
  <si>
    <t>A13F74RCD</t>
  </si>
  <si>
    <t>LS BUTTON FLY TSHIRT</t>
  </si>
  <si>
    <t>BEETLE GREEN</t>
  </si>
  <si>
    <t>PROVINCIAL BLUE</t>
  </si>
  <si>
    <t>A13F75ARCD</t>
  </si>
  <si>
    <t>EAGLE WINGS LS RAGLAN</t>
  </si>
  <si>
    <t>A13F78AGCD</t>
  </si>
  <si>
    <t>FLEECE PANT</t>
  </si>
  <si>
    <t>A13F79GCD</t>
  </si>
  <si>
    <t>FLEECE BIKER JACKET</t>
  </si>
  <si>
    <t>A13F81</t>
  </si>
  <si>
    <t>1956 FLEECE HOODED JACKET</t>
  </si>
  <si>
    <t>DK MARL</t>
  </si>
  <si>
    <t>A13F81A</t>
  </si>
  <si>
    <t>LA FLEECE HOODED JACKET</t>
  </si>
  <si>
    <t>A13F81GCD</t>
  </si>
  <si>
    <t>HOLLYWOOD FLEECE HOOD JKT</t>
  </si>
  <si>
    <t>A13F82GCD</t>
  </si>
  <si>
    <t>VINTAGE EAGLE HOODED JACKET</t>
  </si>
  <si>
    <t>A13F84PGD</t>
  </si>
  <si>
    <t>AMERICAN FLAG HOODED JACKET</t>
  </si>
  <si>
    <t>A13FK32</t>
  </si>
  <si>
    <t>CARDIGAN BUDDHA</t>
  </si>
  <si>
    <t>DENIM HIGHRISE</t>
  </si>
  <si>
    <t>A13FK33</t>
  </si>
  <si>
    <t>SWEATER BOAT COLLAR</t>
  </si>
  <si>
    <t>A13FK35</t>
  </si>
  <si>
    <t>VNECK CABLE SWEATER</t>
  </si>
  <si>
    <t>A13FK36</t>
  </si>
  <si>
    <t>RAGLAN CREW SWEATER</t>
  </si>
  <si>
    <t>I32A044EH5</t>
  </si>
  <si>
    <t>CASEY BLACK SMOKE SKINNY</t>
  </si>
  <si>
    <t>ATMD</t>
  </si>
  <si>
    <t>ATMD BLK SMKE VT</t>
  </si>
  <si>
    <t>I32A046EH5</t>
  </si>
  <si>
    <t>BILLY BLACK SMOKE SKINNY</t>
  </si>
  <si>
    <t>I43A081EC6</t>
  </si>
  <si>
    <t>EDIE BLACKWELL SKINNY</t>
  </si>
  <si>
    <t>ATOD</t>
  </si>
  <si>
    <t>ATOD BLACKWELL</t>
  </si>
  <si>
    <t>I46A045EH3</t>
  </si>
  <si>
    <t>BILLY MIDNIGHT FOG STRAIGHT</t>
  </si>
  <si>
    <t>ATNM</t>
  </si>
  <si>
    <t>ATNM MDNIGHT FOG</t>
  </si>
  <si>
    <t>ISCA060EI4</t>
  </si>
  <si>
    <t>CHRISSY SOFT FOOTPRINTS SKINNY</t>
  </si>
  <si>
    <t>ATJM</t>
  </si>
  <si>
    <t>ATJM SFT FTPRNTS</t>
  </si>
  <si>
    <t>ISCA309EH8</t>
  </si>
  <si>
    <t>JUDE BALTIC INK SKINNY</t>
  </si>
  <si>
    <t>ATRD</t>
  </si>
  <si>
    <t>ATRD BALTIC INK</t>
  </si>
  <si>
    <t>R200ASST</t>
  </si>
  <si>
    <t>R200</t>
  </si>
  <si>
    <t>WOMENS JEANS IRREGULAR</t>
  </si>
  <si>
    <t>ASST</t>
  </si>
  <si>
    <t>ASSORTED</t>
  </si>
  <si>
    <t>DM</t>
  </si>
  <si>
    <t>SU13F001PS</t>
  </si>
  <si>
    <t>ROUND NECK TEE</t>
  </si>
  <si>
    <t>ROCK</t>
  </si>
  <si>
    <t>SU13F00411</t>
  </si>
  <si>
    <t>SWEATPANT</t>
  </si>
  <si>
    <t>PINK</t>
  </si>
  <si>
    <t>SU13F0073D</t>
  </si>
  <si>
    <t>MINT</t>
  </si>
  <si>
    <t>TURQUOISE</t>
  </si>
  <si>
    <t>SU13F01108</t>
  </si>
  <si>
    <t>LOOP NECK TEE</t>
  </si>
  <si>
    <t>SU13F012BS</t>
  </si>
  <si>
    <t>TIE DYE TEE</t>
  </si>
  <si>
    <t>MILITARY</t>
  </si>
  <si>
    <t>SU13F01500</t>
  </si>
  <si>
    <t>TANK TOP</t>
  </si>
  <si>
    <t>INK</t>
  </si>
  <si>
    <t>SU13F015BS</t>
  </si>
  <si>
    <t>HORSESHOE STUD TANK</t>
  </si>
  <si>
    <t>SU13F01700</t>
  </si>
  <si>
    <t>BIKER SWEAT JACKET</t>
  </si>
  <si>
    <t>MIDNIGHT BLUE</t>
  </si>
  <si>
    <t>SU13F02011</t>
  </si>
  <si>
    <t>SWEAT SHIRT</t>
  </si>
  <si>
    <t>SU13F022</t>
  </si>
  <si>
    <t>RAW EDGE RACERBACK TANK</t>
  </si>
  <si>
    <t>SU13F11X00</t>
  </si>
  <si>
    <t>LOOP NECK TEE PATCH POCKET</t>
  </si>
  <si>
    <t>SU13F13X00</t>
  </si>
  <si>
    <t>TANK TOP WITH METAL STUDDS</t>
  </si>
  <si>
    <t>SU13F14X00</t>
  </si>
  <si>
    <t>HORSESHOE STUDS TEE</t>
  </si>
  <si>
    <t>SU13F17X00</t>
  </si>
  <si>
    <t>BIKER SWEAT JACKET STUDS</t>
  </si>
  <si>
    <t>TR1213</t>
  </si>
  <si>
    <t>GERMANY DOWN JACKET W/ FUR HOO</t>
  </si>
  <si>
    <t>BURNED ORANGE</t>
  </si>
  <si>
    <t>TR1214</t>
  </si>
  <si>
    <t>GERMANY DOWN VEST W/ FUR HOOD</t>
  </si>
  <si>
    <t>YELLOW</t>
  </si>
  <si>
    <t>TRS1305</t>
  </si>
  <si>
    <t>BIKER LEATHER JACKET</t>
  </si>
  <si>
    <t>TRS1306</t>
  </si>
  <si>
    <t>COLLAR LESS LEATHER JCKT</t>
  </si>
  <si>
    <t>BLUE</t>
  </si>
  <si>
    <t>TRSPW1222A</t>
  </si>
  <si>
    <t>TRUE 20 S/S T-SHIRT</t>
  </si>
  <si>
    <t>TRSPW16PGD</t>
  </si>
  <si>
    <t>DOVE GREY</t>
  </si>
  <si>
    <t>TRSPW18</t>
  </si>
  <si>
    <t>S/S FLEECE TOP</t>
  </si>
  <si>
    <t>GREY MELANGE</t>
  </si>
  <si>
    <t>TRSPW711</t>
  </si>
  <si>
    <t>TRUE RELIGION CA S/S SHIRT</t>
  </si>
  <si>
    <t>ANTHRAZIT</t>
  </si>
  <si>
    <t>BALLAD BLUE</t>
  </si>
  <si>
    <t>CORAL RED</t>
  </si>
  <si>
    <t>TRSPW714</t>
  </si>
  <si>
    <t>TRLA S/S CREW NECK TEE</t>
  </si>
  <si>
    <t>RUGBY BLUE</t>
  </si>
  <si>
    <t>WINE RED</t>
  </si>
  <si>
    <t>TRSPW725</t>
  </si>
  <si>
    <t>TR S/S CREW NECK TEE</t>
  </si>
  <si>
    <t>TRSPW8RCD</t>
  </si>
  <si>
    <t>WOMEN RIB TANK TOP</t>
  </si>
  <si>
    <t>TRW1303F</t>
  </si>
  <si>
    <t>SHORT BOMBER W/ RIB HEM</t>
  </si>
  <si>
    <t>TRW1304F</t>
  </si>
  <si>
    <t>3/4 LENGTH PARKA</t>
  </si>
  <si>
    <t>TRW1305F</t>
  </si>
  <si>
    <t>AVIATOR W/ RIB LINING JACKET</t>
  </si>
  <si>
    <t>BRIGHT TANGERINE</t>
  </si>
  <si>
    <t>TRW1307F</t>
  </si>
  <si>
    <t>AVIATOR VEST</t>
  </si>
  <si>
    <t>SKY BLUE</t>
  </si>
  <si>
    <t>DK BLUE</t>
  </si>
  <si>
    <t>TRW1308F</t>
  </si>
  <si>
    <t>QULITED PUFF JACKET</t>
  </si>
  <si>
    <t>SILVER</t>
  </si>
  <si>
    <t>GOLD</t>
  </si>
  <si>
    <t>TRW1309F</t>
  </si>
  <si>
    <t>QULITED PUFF GILET</t>
  </si>
  <si>
    <t>TRW1310F</t>
  </si>
  <si>
    <t>WOMENS PARKA</t>
  </si>
  <si>
    <t>MILITARY GREEN</t>
  </si>
  <si>
    <t>TRW1310SF</t>
  </si>
  <si>
    <t>TRW1331F</t>
  </si>
  <si>
    <t>KNITTED FUNNEL NECK BIKER</t>
  </si>
  <si>
    <t>TRW1332F</t>
  </si>
  <si>
    <t>GREEN CAMOUFLAGE</t>
  </si>
  <si>
    <t>TRW1334F</t>
  </si>
  <si>
    <t>BIKER JACKET WITH RIVETS</t>
  </si>
  <si>
    <t>RED</t>
  </si>
  <si>
    <t>TRW1336F</t>
  </si>
  <si>
    <t>MOTO JACKET</t>
  </si>
  <si>
    <t>GREY</t>
  </si>
  <si>
    <t>TRW1340SF</t>
  </si>
  <si>
    <t>BOMBER FUNNEL KNIT COLLAR</t>
  </si>
  <si>
    <t>TRW1360F</t>
  </si>
  <si>
    <t>QULITED BIKER JACKET</t>
  </si>
  <si>
    <t>TRW1361F</t>
  </si>
  <si>
    <t>QULITED JACKET W/ RIB LINING</t>
  </si>
  <si>
    <t>BROWN</t>
  </si>
  <si>
    <t>TRW1362F</t>
  </si>
  <si>
    <t>QUILTED BLAZER JACKET</t>
  </si>
  <si>
    <t>TRW1370F</t>
  </si>
  <si>
    <t>WOMEN MOTO JACKET</t>
  </si>
  <si>
    <t>DK GREY METALLIC</t>
  </si>
  <si>
    <t>DK GOLD METALLIC</t>
  </si>
  <si>
    <t>TRWF11J06</t>
  </si>
  <si>
    <t>BOMBER JACKET W/FUR  - WMN</t>
  </si>
  <si>
    <t>TRWF12P01</t>
  </si>
  <si>
    <t>CASEY STRETCH LEATHER PANT</t>
  </si>
  <si>
    <t>MAHOGANY</t>
  </si>
  <si>
    <t>CAMEL</t>
  </si>
  <si>
    <t>INDIGO</t>
  </si>
  <si>
    <t>TRWF12P03</t>
  </si>
  <si>
    <t>CASEY STRETCH SUEDE PANT</t>
  </si>
  <si>
    <t>DK STORM</t>
  </si>
  <si>
    <t>W02V63Z35V8M</t>
  </si>
  <si>
    <t>W02V63Z35</t>
  </si>
  <si>
    <t>JOHNNY SPIRIT OF WEST SHORT</t>
  </si>
  <si>
    <t>V8M</t>
  </si>
  <si>
    <t>V8M CABIN CREEK</t>
  </si>
  <si>
    <t>W06A847IC3BCNM</t>
  </si>
  <si>
    <t>W06A847IC3</t>
  </si>
  <si>
    <t>AUDREY ROLLED SLIM STNEY PNT</t>
  </si>
  <si>
    <t>BCNM</t>
  </si>
  <si>
    <t>BCNM STONEY PNT</t>
  </si>
  <si>
    <t>W07R93T03SJM</t>
  </si>
  <si>
    <t>W07R93T03</t>
  </si>
  <si>
    <t>GEORGIA BAJA WESTERN WOMENS SH</t>
  </si>
  <si>
    <t>SJM</t>
  </si>
  <si>
    <t>SJM TALLAHASSEE</t>
  </si>
  <si>
    <t>W07T97U45VED</t>
  </si>
  <si>
    <t>W07T97U45</t>
  </si>
  <si>
    <t>GEORGIA BADLANDS WOMENS SHIRT</t>
  </si>
  <si>
    <t>VED</t>
  </si>
  <si>
    <t>BROWN COATING</t>
  </si>
  <si>
    <t>W10502M3311</t>
  </si>
  <si>
    <t>W10502M33</t>
  </si>
  <si>
    <t>JOHNNY GOLD TRIM BASIC JEAN</t>
  </si>
  <si>
    <t>11 LONESTAR</t>
  </si>
  <si>
    <t>W10592P9011</t>
  </si>
  <si>
    <t>W10592P90</t>
  </si>
  <si>
    <t>STELLA SUPER T SKINNY WOMENS J</t>
  </si>
  <si>
    <t>W10592R54LPD</t>
  </si>
  <si>
    <t>W10592R54</t>
  </si>
  <si>
    <t>LPD</t>
  </si>
  <si>
    <t>LPD PIONEER</t>
  </si>
  <si>
    <t>12SM</t>
  </si>
  <si>
    <t>W10599J4211</t>
  </si>
  <si>
    <t>W10599J42</t>
  </si>
  <si>
    <t>JULIE PAVE SKINNY LEG WM JEAN</t>
  </si>
  <si>
    <t>W10A034EK9ATIM</t>
  </si>
  <si>
    <t>W10A034EK9</t>
  </si>
  <si>
    <t>RORI RELAXED STRAIGHT SWT TOBC</t>
  </si>
  <si>
    <t>ATIM</t>
  </si>
  <si>
    <t>ATIM SW TBCO VNT</t>
  </si>
  <si>
    <t>W10K68D0440</t>
  </si>
  <si>
    <t>W10K68D04</t>
  </si>
  <si>
    <t>JODIE CRYSTAL PAVE WOMEN JEAN</t>
  </si>
  <si>
    <t>W10T29S77SGD</t>
  </si>
  <si>
    <t>W10T29S77</t>
  </si>
  <si>
    <t>STELLA STRAIGHT WOMENS JEAN</t>
  </si>
  <si>
    <t>SGD</t>
  </si>
  <si>
    <t>SGD MIDNIGHT BLUE</t>
  </si>
  <si>
    <t>W13F727</t>
  </si>
  <si>
    <t>S/S CREW NECK TSHIRT</t>
  </si>
  <si>
    <t>W13F783A</t>
  </si>
  <si>
    <t>FLEECE PANT W/ RIB ON CUFF</t>
  </si>
  <si>
    <t>W13F78B99</t>
  </si>
  <si>
    <t>W13F8230S</t>
  </si>
  <si>
    <t>FLEECE HOODED JACKET</t>
  </si>
  <si>
    <t>W13F90B99</t>
  </si>
  <si>
    <t>PEACESIGN FLEECE CREW SWEAT</t>
  </si>
  <si>
    <t>W13F91B4</t>
  </si>
  <si>
    <t>BOXY FIT TSHIRT</t>
  </si>
  <si>
    <t>W14SD01C6I</t>
  </si>
  <si>
    <t>SHANNON SKINNY</t>
  </si>
  <si>
    <t>ED08</t>
  </si>
  <si>
    <t>ED08 CHMNY SWEEP</t>
  </si>
  <si>
    <t>EL02</t>
  </si>
  <si>
    <t>EL02 GREY ACTION</t>
  </si>
  <si>
    <t>W14SD01C7I</t>
  </si>
  <si>
    <t>ED09</t>
  </si>
  <si>
    <t>ED09 OLD ROAD RN</t>
  </si>
  <si>
    <t>ED10</t>
  </si>
  <si>
    <t>ED10 OLD BLNSTNE</t>
  </si>
  <si>
    <t>EM06</t>
  </si>
  <si>
    <t>EM06 FARMER WAY</t>
  </si>
  <si>
    <t>W14SD01D3I</t>
  </si>
  <si>
    <t>SHANNON MIDRISE SKINNY</t>
  </si>
  <si>
    <t>EB01</t>
  </si>
  <si>
    <t>EB01 SKY BLEACH</t>
  </si>
  <si>
    <t>ED02</t>
  </si>
  <si>
    <t>ED02 RINSE 3D</t>
  </si>
  <si>
    <t>EM12</t>
  </si>
  <si>
    <t>EM12 ALL DAY BLU</t>
  </si>
  <si>
    <t>W14SD02C6I</t>
  </si>
  <si>
    <t>JUDE SKINNY</t>
  </si>
  <si>
    <t>EB05</t>
  </si>
  <si>
    <t>EB05 PEARL ROAD</t>
  </si>
  <si>
    <t>ED12</t>
  </si>
  <si>
    <t>ED12 BLUE INK DP</t>
  </si>
  <si>
    <t>W14SD02C7I</t>
  </si>
  <si>
    <t>EL04</t>
  </si>
  <si>
    <t>EL04 STRWY CTING</t>
  </si>
  <si>
    <t>EL05</t>
  </si>
  <si>
    <t>EL05 CLDYPNT WSH</t>
  </si>
  <si>
    <t>EM08</t>
  </si>
  <si>
    <t>EM08 BB BLUE</t>
  </si>
  <si>
    <t>W14SD03A2I</t>
  </si>
  <si>
    <t>GRACE NEW BOYFRIEND</t>
  </si>
  <si>
    <t>EB03</t>
  </si>
  <si>
    <t>EB03 DK SDE STRP</t>
  </si>
  <si>
    <t>EB04</t>
  </si>
  <si>
    <t>EB04 INK STRIPE</t>
  </si>
  <si>
    <t>ER01</t>
  </si>
  <si>
    <t>ER01 RPD SKY BLC</t>
  </si>
  <si>
    <t>W14SD03C6I</t>
  </si>
  <si>
    <t>W14SD03C7I</t>
  </si>
  <si>
    <t>W14SD03D3I</t>
  </si>
  <si>
    <t>GRACE LOWRISE NEW BOYFRIEND</t>
  </si>
  <si>
    <t>W14SD04A2I</t>
  </si>
  <si>
    <t>KAYLA REGULAR</t>
  </si>
  <si>
    <t>W14SD04C7I</t>
  </si>
  <si>
    <t>W14SD04D3I</t>
  </si>
  <si>
    <t>KAYLA MIDRISE REGULAR</t>
  </si>
  <si>
    <t>W14SD07A2I</t>
  </si>
  <si>
    <t>GINA BOOTCUT</t>
  </si>
  <si>
    <t>W14SD07C7I</t>
  </si>
  <si>
    <t>EM09</t>
  </si>
  <si>
    <t>EM09 BLUE SAND</t>
  </si>
  <si>
    <t>W14SD07D3I</t>
  </si>
  <si>
    <t>GINA MINI BOOTCUT</t>
  </si>
  <si>
    <t>W14SD10C8I</t>
  </si>
  <si>
    <t>CHRISSY SUPER SKINNY</t>
  </si>
  <si>
    <t>EL03</t>
  </si>
  <si>
    <t>EL03 LASR ON SKY</t>
  </si>
  <si>
    <t>W14SF25B8G</t>
  </si>
  <si>
    <t>HOODED ZIP JACKET</t>
  </si>
  <si>
    <t>CASTLEROCK</t>
  </si>
  <si>
    <t>W14SF26B8G</t>
  </si>
  <si>
    <t>CARMELIA RED</t>
  </si>
  <si>
    <t>W14SF36B8G</t>
  </si>
  <si>
    <t>LOW CROTCH PANT W/ POCKETS</t>
  </si>
  <si>
    <t>W14SH01A2I</t>
  </si>
  <si>
    <t>LAUREN SHORTS</t>
  </si>
  <si>
    <t>E302</t>
  </si>
  <si>
    <t>E302 GRN SHADOW</t>
  </si>
  <si>
    <t>W14SH01C7I</t>
  </si>
  <si>
    <t>W14SH01C9I</t>
  </si>
  <si>
    <t>LAUREN LOWRISE LOWCROTCH SHORT</t>
  </si>
  <si>
    <t>E410</t>
  </si>
  <si>
    <t>E410 PALE YELLOW</t>
  </si>
  <si>
    <t>E660</t>
  </si>
  <si>
    <t>E660 RUSTY RED</t>
  </si>
  <si>
    <t>E810</t>
  </si>
  <si>
    <t>E810 ACQUAMARINE</t>
  </si>
  <si>
    <t>E840</t>
  </si>
  <si>
    <t>E840 BLUE</t>
  </si>
  <si>
    <t>W14SJ01A2I</t>
  </si>
  <si>
    <t>DUSTY WESTERN JACKET</t>
  </si>
  <si>
    <t>W14SJ04D6I</t>
  </si>
  <si>
    <t>EMMA SLEEVELESS LONG BIKER</t>
  </si>
  <si>
    <t>E832</t>
  </si>
  <si>
    <t>E832 GREY BLUE</t>
  </si>
  <si>
    <t>W14SK02D8I</t>
  </si>
  <si>
    <t>RACHEL KNITWEAR</t>
  </si>
  <si>
    <t>E307</t>
  </si>
  <si>
    <t>E307 ATOLL</t>
  </si>
  <si>
    <t>E999</t>
  </si>
  <si>
    <t>E999 BLACK</t>
  </si>
  <si>
    <t>W14SK04D9I</t>
  </si>
  <si>
    <t>ALYSSA KNITWEAR</t>
  </si>
  <si>
    <t>E826</t>
  </si>
  <si>
    <t>E826 AVIO</t>
  </si>
  <si>
    <t>E937</t>
  </si>
  <si>
    <t>E937 MEL GREY</t>
  </si>
  <si>
    <t>W14SK05E1I</t>
  </si>
  <si>
    <t>SOPHIA KNITWEAR</t>
  </si>
  <si>
    <t>E947</t>
  </si>
  <si>
    <t>E947 DK MEL GREY</t>
  </si>
  <si>
    <t>W14SP02C9I</t>
  </si>
  <si>
    <t>W14SP02D1I</t>
  </si>
  <si>
    <t>E318</t>
  </si>
  <si>
    <t>E318 LIGHT SAGE</t>
  </si>
  <si>
    <t>E930</t>
  </si>
  <si>
    <t>E930 GREY</t>
  </si>
  <si>
    <t>W14SP02D2I</t>
  </si>
  <si>
    <t>E101</t>
  </si>
  <si>
    <t>E101 MILK</t>
  </si>
  <si>
    <t>E640</t>
  </si>
  <si>
    <t>E640 SHINY RED</t>
  </si>
  <si>
    <t>E815</t>
  </si>
  <si>
    <t>E815 LAGUNA</t>
  </si>
  <si>
    <t>W14SP03C9I</t>
  </si>
  <si>
    <t>W14SP03D1I</t>
  </si>
  <si>
    <t>W14SP04C9I</t>
  </si>
  <si>
    <t>W14SP04D2I</t>
  </si>
  <si>
    <t>W14ST08E4I</t>
  </si>
  <si>
    <t>MYA S/S CREWNECK TEE</t>
  </si>
  <si>
    <t>E710</t>
  </si>
  <si>
    <t>E710 LILAC</t>
  </si>
  <si>
    <t>W14ST11B1G</t>
  </si>
  <si>
    <t>MUSCLE RAW EDGE TSHIRT</t>
  </si>
  <si>
    <t>W14ST15B9G</t>
  </si>
  <si>
    <t>S/S CREWNECK TEE</t>
  </si>
  <si>
    <t>W14ST17B9G</t>
  </si>
  <si>
    <t>W14ST19B9G</t>
  </si>
  <si>
    <t>VNECK S/S TEE</t>
  </si>
  <si>
    <t>W14ST39B9G</t>
  </si>
  <si>
    <t>BOXY FIT RAGLAN TEE</t>
  </si>
  <si>
    <t>JET BLACK</t>
  </si>
  <si>
    <t>SWEDISH BLUE</t>
  </si>
  <si>
    <t>W14SW01D4I</t>
  </si>
  <si>
    <t>DANIELLE WESTERN SHIRT</t>
  </si>
  <si>
    <t>EB06</t>
  </si>
  <si>
    <t>EB06 EMPTY BLUE</t>
  </si>
  <si>
    <t>W14SW01D5I</t>
  </si>
  <si>
    <t>ED13</t>
  </si>
  <si>
    <t>ED13 WILD WEST</t>
  </si>
  <si>
    <t>W14SW02A9I</t>
  </si>
  <si>
    <t>ABIGAIL SHIRT</t>
  </si>
  <si>
    <t>ED05</t>
  </si>
  <si>
    <t>ED05 OLD WESTERN</t>
  </si>
  <si>
    <t>W14UD02A4I</t>
  </si>
  <si>
    <t>JUDE LOW RISE SKINNY</t>
  </si>
  <si>
    <t>W14UD02F2I</t>
  </si>
  <si>
    <t>ED21</t>
  </si>
  <si>
    <t>ED21 DARK SHADOW</t>
  </si>
  <si>
    <t>W14UD04C7I</t>
  </si>
  <si>
    <t>KAYLA MID RISE REGULAR</t>
  </si>
  <si>
    <t>W14UD04F2I</t>
  </si>
  <si>
    <t>EM18</t>
  </si>
  <si>
    <t>EM18 RADIANT</t>
  </si>
  <si>
    <t>W14UD07A4I</t>
  </si>
  <si>
    <t>GINA MINI BOOT CUT</t>
  </si>
  <si>
    <t>W14UD07F2I</t>
  </si>
  <si>
    <t>W14UD10A4I</t>
  </si>
  <si>
    <t>CHRISSY MID RISE SUPER SKINNY</t>
  </si>
  <si>
    <t>W14UD10C7I</t>
  </si>
  <si>
    <t>W14UD10F2I</t>
  </si>
  <si>
    <t>W14UD12F2I</t>
  </si>
  <si>
    <t>ABBEY SUPER SKINNY</t>
  </si>
  <si>
    <t>W14UD13F2I</t>
  </si>
  <si>
    <t>CARRIE SKINNY WIDE FLARE</t>
  </si>
  <si>
    <t>W14UF09B8G</t>
  </si>
  <si>
    <t>BOMBER EAGLE JACKET</t>
  </si>
  <si>
    <t>W14UF16B7G</t>
  </si>
  <si>
    <t>BUDDHA FLEECE PANT</t>
  </si>
  <si>
    <t>W14UP02F5I</t>
  </si>
  <si>
    <t>EW06</t>
  </si>
  <si>
    <t>EW06 SUPER CANDY</t>
  </si>
  <si>
    <t>W14UP10F3I</t>
  </si>
  <si>
    <t>E666</t>
  </si>
  <si>
    <t>E666 BORDEAUX</t>
  </si>
  <si>
    <t>E880</t>
  </si>
  <si>
    <t>E880 NAVY</t>
  </si>
  <si>
    <t>W14UP10F5I</t>
  </si>
  <si>
    <t>W14UP12F5I</t>
  </si>
  <si>
    <t>ABBEY HIGH RISE SUPER SKINNY</t>
  </si>
  <si>
    <t>W14UT01B3G</t>
  </si>
  <si>
    <t>TANK TOP TRIANGLE</t>
  </si>
  <si>
    <t>W14UT02B3G</t>
  </si>
  <si>
    <t>W14UT03B3G</t>
  </si>
  <si>
    <t>BOXY VNECK TEE</t>
  </si>
  <si>
    <t>W14UT04B3G</t>
  </si>
  <si>
    <t>S/S SCOOP CREW NECK TEE</t>
  </si>
  <si>
    <t>W14UT05B3G</t>
  </si>
  <si>
    <t>EAGLE SCOOP CREW NECK TEE</t>
  </si>
  <si>
    <t>W14UT06B3G</t>
  </si>
  <si>
    <t>BOXY SCOOP CREW NECK TEE</t>
  </si>
  <si>
    <t>W14UT10B3G</t>
  </si>
  <si>
    <t>TOP DEEP ARMHOLE CREW NECK TEE</t>
  </si>
  <si>
    <t>W14UT13C2I</t>
  </si>
  <si>
    <t>ANNIS CREW NECK TEE</t>
  </si>
  <si>
    <t>W14UT15C2I</t>
  </si>
  <si>
    <t>SHANA CREW NECK TEE</t>
  </si>
  <si>
    <t>W14UT19C1G</t>
  </si>
  <si>
    <t>SCOOP L/S TSHIRT</t>
  </si>
  <si>
    <t>W14XD07K8I</t>
  </si>
  <si>
    <t>EB07</t>
  </si>
  <si>
    <t>EB07 SUN BLEACHD</t>
  </si>
  <si>
    <t>ED14</t>
  </si>
  <si>
    <t>ED14 DEEP NIGHT</t>
  </si>
  <si>
    <t>EL06</t>
  </si>
  <si>
    <t>EL06 LIGHT WATER</t>
  </si>
  <si>
    <t>EM13</t>
  </si>
  <si>
    <t>EM13 MID DK BLUE</t>
  </si>
  <si>
    <t>W14XD07K9I</t>
  </si>
  <si>
    <t>ED15</t>
  </si>
  <si>
    <t>ED15 MDNGHT BLUE</t>
  </si>
  <si>
    <t>ED16</t>
  </si>
  <si>
    <t>ED16 AFTR MDNGHT</t>
  </si>
  <si>
    <t>W14XD07L1I</t>
  </si>
  <si>
    <t>W14XD10C6I</t>
  </si>
  <si>
    <t>EM14</t>
  </si>
  <si>
    <t>EM14 MID GREY</t>
  </si>
  <si>
    <t>W14XD10K8I</t>
  </si>
  <si>
    <t>W14XD10K9I</t>
  </si>
  <si>
    <t>W14XD10L1I</t>
  </si>
  <si>
    <t>W14XD12K8I</t>
  </si>
  <si>
    <t>W14XD12K9I</t>
  </si>
  <si>
    <t>W14XD12L1I</t>
  </si>
  <si>
    <t>W2AA325GD11983</t>
  </si>
  <si>
    <t>W2AA325GD1</t>
  </si>
  <si>
    <t>CASSIE ROLLD SHORT BTTRFLY PRT</t>
  </si>
  <si>
    <t>AYX WHT MONARCH</t>
  </si>
  <si>
    <t>W32A323GB7AXED</t>
  </si>
  <si>
    <t>W32A323GB7</t>
  </si>
  <si>
    <t>JUDE SKINNY BUCKLED</t>
  </si>
  <si>
    <t>AXED</t>
  </si>
  <si>
    <t>AXED NIGHT KISS</t>
  </si>
  <si>
    <t>W33A017EY8ATSM</t>
  </si>
  <si>
    <t>W33A017EY8</t>
  </si>
  <si>
    <t>LEXY MINI BOOTCUT BLUE ROOTS</t>
  </si>
  <si>
    <t>ATSM</t>
  </si>
  <si>
    <t>ATSM BLUE ROOTS</t>
  </si>
  <si>
    <t>W42A050E101394</t>
  </si>
  <si>
    <t>W42A050E10</t>
  </si>
  <si>
    <t>CHRISSY SUPER SKINNY TEAR DROP</t>
  </si>
  <si>
    <t>ATQ TEAR DROP</t>
  </si>
  <si>
    <t>W43A367EC6</t>
  </si>
  <si>
    <t>CHRISSY BLACKWELL STUD MID RIS</t>
  </si>
  <si>
    <t>W52A058GD7AYGL</t>
  </si>
  <si>
    <t>W52A058GD7</t>
  </si>
  <si>
    <t>SHELBY VEST CHARMING LILY</t>
  </si>
  <si>
    <t>AYGL</t>
  </si>
  <si>
    <t>AYGL CHRMNG LILY</t>
  </si>
  <si>
    <t>W52A325GD7AYGL</t>
  </si>
  <si>
    <t>W52A325GD7</t>
  </si>
  <si>
    <t>CASSIE ROLLED SHORT CHRMN LILY</t>
  </si>
  <si>
    <t>W52A517GD7AYGL</t>
  </si>
  <si>
    <t>W52A517GD7</t>
  </si>
  <si>
    <t>CHRISSY ANKL SKINNY CHMNG LILY</t>
  </si>
  <si>
    <t>W52A821IC4</t>
  </si>
  <si>
    <t>VICTORIA SKINNY AXIL BLUE</t>
  </si>
  <si>
    <t>BCPD</t>
  </si>
  <si>
    <t>BCPD AXIL BLUE</t>
  </si>
  <si>
    <t>W95592CD11821</t>
  </si>
  <si>
    <t>W95592CD1</t>
  </si>
  <si>
    <t>STELLA CONTRAST BLACK SUPER T</t>
  </si>
  <si>
    <t>09 OPTIC WHITE</t>
  </si>
  <si>
    <t>W95N52Q111851</t>
  </si>
  <si>
    <t>W95N52Q11</t>
  </si>
  <si>
    <t>BRIANNA PHANTOM WOMENS JEAN</t>
  </si>
  <si>
    <t>W95Q85T801049</t>
  </si>
  <si>
    <t>W95Q85T80</t>
  </si>
  <si>
    <t>HALLE MOJAVE LONESTAR SKINNY W</t>
  </si>
  <si>
    <t>SC BLACK</t>
  </si>
  <si>
    <t>W95Q85T804149</t>
  </si>
  <si>
    <t>SC NAVY</t>
  </si>
  <si>
    <t>W95U26U301264</t>
  </si>
  <si>
    <t>W95U26U30</t>
  </si>
  <si>
    <t>SHANNON POCKET GANG DIE WOMENS</t>
  </si>
  <si>
    <t>TKM STERLING CALIBER</t>
  </si>
  <si>
    <t>W9CA935IB4BGKM</t>
  </si>
  <si>
    <t>W9CA935IB4</t>
  </si>
  <si>
    <t>AUDREY MID RISE VINTAGE SLVDGE</t>
  </si>
  <si>
    <t>BGKM</t>
  </si>
  <si>
    <t>BGKM WLCD DSTRCTN</t>
  </si>
  <si>
    <t>W9CA935JB4BFKM</t>
  </si>
  <si>
    <t>W9CA935JB4</t>
  </si>
  <si>
    <t>BFKM</t>
  </si>
  <si>
    <t>BFKM MODEST SELF</t>
  </si>
  <si>
    <t>WAD572F83LPD</t>
  </si>
  <si>
    <t>WAD572F83</t>
  </si>
  <si>
    <t>BILLY GOLD FASHION VINTAGE WOM</t>
  </si>
  <si>
    <t>WAD572F83NNL</t>
  </si>
  <si>
    <t>NNL</t>
  </si>
  <si>
    <t>NNL PALOMINO</t>
  </si>
  <si>
    <t>WAK592EM2V</t>
  </si>
  <si>
    <t>WAK592EM</t>
  </si>
  <si>
    <t>STELLA SKINNY WM JN</t>
  </si>
  <si>
    <t>2V MED DRIFTER W/O RIPS</t>
  </si>
  <si>
    <t>WAK592EM40</t>
  </si>
  <si>
    <t>WAK592TS11</t>
  </si>
  <si>
    <t>WAK592TS</t>
  </si>
  <si>
    <t>STELLA SKINNY FIT WOMENS JEANS</t>
  </si>
  <si>
    <t>WASK75F87</t>
  </si>
  <si>
    <t>CARRIE LOGO  WMN JEAN</t>
  </si>
  <si>
    <t>EAD</t>
  </si>
  <si>
    <t>EAD VERA CRUZ</t>
  </si>
  <si>
    <t>11SP</t>
  </si>
  <si>
    <t>WASP37M42NSM</t>
  </si>
  <si>
    <t>WASP37M42</t>
  </si>
  <si>
    <t>ADRIANNA TROUSER HI RISE CUT O</t>
  </si>
  <si>
    <t>NSM</t>
  </si>
  <si>
    <t>NSM LOOKING GLASS</t>
  </si>
  <si>
    <t>WAX564FD3</t>
  </si>
  <si>
    <t>BECKY BOOTCUT SUPER T CHARCOAL</t>
  </si>
  <si>
    <t>AUJD</t>
  </si>
  <si>
    <t>AUJD ONYX</t>
  </si>
  <si>
    <t>WAX572FD2ATED</t>
  </si>
  <si>
    <t>WAX572FD2</t>
  </si>
  <si>
    <t>BILLY STRAIGHT SUPER T BLACK</t>
  </si>
  <si>
    <t>ATED</t>
  </si>
  <si>
    <t>ATED BLACK PENNY</t>
  </si>
  <si>
    <t>WAX592FD3AUJD</t>
  </si>
  <si>
    <t>WAX592FD3</t>
  </si>
  <si>
    <t>STELLA CHARCOAL SUPER T</t>
  </si>
  <si>
    <t>WAX592M331VB</t>
  </si>
  <si>
    <t>WAX592M33</t>
  </si>
  <si>
    <t>STELLA MID RISE SKINNY JEAN</t>
  </si>
  <si>
    <t>1VB</t>
  </si>
  <si>
    <t>1VB SPR VIXN BLK</t>
  </si>
  <si>
    <t>WAX592UK2SB</t>
  </si>
  <si>
    <t>WAX592UK</t>
  </si>
  <si>
    <t>STELLA SKINNY WOMENS JEAN</t>
  </si>
  <si>
    <t>2SB</t>
  </si>
  <si>
    <t>2SB BODY RINSE BLACK</t>
  </si>
  <si>
    <t>WAX599FD2ATED</t>
  </si>
  <si>
    <t>WAX599FD2</t>
  </si>
  <si>
    <t>JULIE SKINNY SUPER T BLACK</t>
  </si>
  <si>
    <t>WAXA091S35</t>
  </si>
  <si>
    <t>JUDE SKINNY SAND DRIFTER</t>
  </si>
  <si>
    <t>ATKL</t>
  </si>
  <si>
    <t>ATKL SAND DRFTER</t>
  </si>
  <si>
    <t>WAXK35S31</t>
  </si>
  <si>
    <t>CASEY SUPER VIXEN SKINNY JEAN</t>
  </si>
  <si>
    <t>SB BLACK</t>
  </si>
  <si>
    <t>WAXM60UK2SB</t>
  </si>
  <si>
    <t>WAXM60UK</t>
  </si>
  <si>
    <t>STELLA TORQUE SKINNY LEG WM JE</t>
  </si>
  <si>
    <t>WAXS60T71MND</t>
  </si>
  <si>
    <t>WAXS60T71</t>
  </si>
  <si>
    <t>HALLE ZIP GROUP WOMEN JEAN</t>
  </si>
  <si>
    <t>MND</t>
  </si>
  <si>
    <t>CAPETOWN</t>
  </si>
  <si>
    <t>WB82E20E4E4</t>
  </si>
  <si>
    <t>WB82E20E4</t>
  </si>
  <si>
    <t>JORDAN WMN JEANS</t>
  </si>
  <si>
    <t>E4</t>
  </si>
  <si>
    <t>E4 GUNSMOKE</t>
  </si>
  <si>
    <t>WB8FJ80E46P</t>
  </si>
  <si>
    <t>WB8FJ80E4</t>
  </si>
  <si>
    <t>LEAH DENIM VEST - WOMEN'S</t>
  </si>
  <si>
    <t>6P</t>
  </si>
  <si>
    <t>6P POINT DUNE MED</t>
  </si>
  <si>
    <t>10SP</t>
  </si>
  <si>
    <t>WBFY52BT2</t>
  </si>
  <si>
    <t>DEVON TRUE HERITAGE WOMEN JEAN</t>
  </si>
  <si>
    <t>ANTM</t>
  </si>
  <si>
    <t>ANTM WLLW SPRNGS</t>
  </si>
  <si>
    <t>WBFZ34CS2</t>
  </si>
  <si>
    <t>TRISHA INDIGO 1971 JEAN</t>
  </si>
  <si>
    <t>2G</t>
  </si>
  <si>
    <t>2G DK SUNDOWN</t>
  </si>
  <si>
    <t>AVVM</t>
  </si>
  <si>
    <t>AVVM SILENT SKY</t>
  </si>
  <si>
    <t>WBFZ35CS2</t>
  </si>
  <si>
    <t>SHANNON INDIGO 1971 JEAN</t>
  </si>
  <si>
    <t>ADAL</t>
  </si>
  <si>
    <t>ADAL MASON CITY</t>
  </si>
  <si>
    <t>WBFZ36CS2</t>
  </si>
  <si>
    <t>CARRIE INDIGO 1971 JEAN</t>
  </si>
  <si>
    <t>WBFZ37CU9</t>
  </si>
  <si>
    <t>DUSTY INDIGO 1971 JACKET</t>
  </si>
  <si>
    <t>WC79L05FP41501</t>
  </si>
  <si>
    <t>WC79L05FP4</t>
  </si>
  <si>
    <t>RICHIE VARSITY JACKET</t>
  </si>
  <si>
    <t>WC79L05FP44048</t>
  </si>
  <si>
    <t>MIDNIGHT</t>
  </si>
  <si>
    <t>WCB564K32</t>
  </si>
  <si>
    <t>BECKY CORDUROY BOOTCUT PANT</t>
  </si>
  <si>
    <t>LF ARMY</t>
  </si>
  <si>
    <t>WCB572K321024</t>
  </si>
  <si>
    <t>WCB572K32</t>
  </si>
  <si>
    <t>BILLY CORDUROY STRAIGHT LEG PA</t>
  </si>
  <si>
    <t>2S BLACK</t>
  </si>
  <si>
    <t>WCJK35BCS2S</t>
  </si>
  <si>
    <t>WCJK35BCS</t>
  </si>
  <si>
    <t>CASEY SUPER SKNY WM JEAN</t>
  </si>
  <si>
    <t>2S</t>
  </si>
  <si>
    <t>2S BODY RINSE</t>
  </si>
  <si>
    <t>WCJN68BCS11</t>
  </si>
  <si>
    <t>WCJN68BCS</t>
  </si>
  <si>
    <t>RACHEL SUPER SKNY LEGGING W/ZI</t>
  </si>
  <si>
    <t>WCJN95BCS2S</t>
  </si>
  <si>
    <t>WCJN95BCS</t>
  </si>
  <si>
    <t>HALLE SUPER SKNY LEGGING WM JE</t>
  </si>
  <si>
    <t>WCJN95BCSTIM</t>
  </si>
  <si>
    <t>TIM</t>
  </si>
  <si>
    <t>TIM LUCKDRAW</t>
  </si>
  <si>
    <t>WCJN95M332S</t>
  </si>
  <si>
    <t>WCJN95M33</t>
  </si>
  <si>
    <t>HALLE SKINNY WOMENS JEAN</t>
  </si>
  <si>
    <t>WCJN95M332V</t>
  </si>
  <si>
    <t>WCJN95RINBD</t>
  </si>
  <si>
    <t>WCJN95RI</t>
  </si>
  <si>
    <t>HALLE SUPER SKINNY LEGGING</t>
  </si>
  <si>
    <t>NBD</t>
  </si>
  <si>
    <t>NBD PENNY ROYAL</t>
  </si>
  <si>
    <t>WCJN95TSCH</t>
  </si>
  <si>
    <t>WCJN95TS</t>
  </si>
  <si>
    <t>CH</t>
  </si>
  <si>
    <t>CH BUCKEYE DK</t>
  </si>
  <si>
    <t>WCJN96CR8APAD</t>
  </si>
  <si>
    <t>WCJN96CR8</t>
  </si>
  <si>
    <t>SERENA CORE SKINNY JEAN</t>
  </si>
  <si>
    <t>APAD</t>
  </si>
  <si>
    <t>APAD STARLIGHT</t>
  </si>
  <si>
    <t>WCMN82TSFZM</t>
  </si>
  <si>
    <t>WCMN82TS</t>
  </si>
  <si>
    <t>WOMENS RAYE' L/S WESTERN SHIRT</t>
  </si>
  <si>
    <t>FZM</t>
  </si>
  <si>
    <t>FZM EXPEDITION</t>
  </si>
  <si>
    <t>WED8T12T791035</t>
  </si>
  <si>
    <t>WED8T12T79</t>
  </si>
  <si>
    <t>PEACE TOTEM HOODED HENLEY</t>
  </si>
  <si>
    <t>09 BLACK</t>
  </si>
  <si>
    <t>WELQ85M47</t>
  </si>
  <si>
    <t>HALLE MID RISE LONESTAR WM JN</t>
  </si>
  <si>
    <t>WENBP40VR</t>
  </si>
  <si>
    <t>LONESTAR WESTERN WOMENS SHIRT</t>
  </si>
  <si>
    <t>QSL</t>
  </si>
  <si>
    <t>QSL BANDIDAS</t>
  </si>
  <si>
    <t>WEXHQ25PW1700</t>
  </si>
  <si>
    <t>WEXHQ25PW</t>
  </si>
  <si>
    <t>DESTROYED SABRINA S/S TEE</t>
  </si>
  <si>
    <t>WEXHQ25PW5109</t>
  </si>
  <si>
    <t>PURPLE HAZE</t>
  </si>
  <si>
    <t>WEXHQ26PW1003</t>
  </si>
  <si>
    <t>WEXHQ26PW</t>
  </si>
  <si>
    <t>DESTROYED CYNTHIA TANK- WOMENS</t>
  </si>
  <si>
    <t>FADED BLACK</t>
  </si>
  <si>
    <t>WEXHQ26PW1701</t>
  </si>
  <si>
    <t>WF43599M131001</t>
  </si>
  <si>
    <t>WF43599M13</t>
  </si>
  <si>
    <t>JULIE SKINNY CRYSTAL TRBJ PANT</t>
  </si>
  <si>
    <t>WF43K44V411001</t>
  </si>
  <si>
    <t>WF43K44V41</t>
  </si>
  <si>
    <t>MISTY CHESSBOARD WOMEN PANT</t>
  </si>
  <si>
    <t>WF43N68IK1001</t>
  </si>
  <si>
    <t>WF43N68IK</t>
  </si>
  <si>
    <t>RACHEL PONTE SKINNY PANT</t>
  </si>
  <si>
    <t>WF4U57W961001</t>
  </si>
  <si>
    <t>WF4U57W96</t>
  </si>
  <si>
    <t>RACHEL MOTO WOMEN PANT</t>
  </si>
  <si>
    <t>WG9599B20CB</t>
  </si>
  <si>
    <t>WG9599B20</t>
  </si>
  <si>
    <t>DISCO GODDESS JULIE WOMEN JEAN</t>
  </si>
  <si>
    <t>CB</t>
  </si>
  <si>
    <t>CB CRAZY TRAIN MED</t>
  </si>
  <si>
    <t>WGH8V95Z953343</t>
  </si>
  <si>
    <t>WGH8V95Z95</t>
  </si>
  <si>
    <t>JANE V-NECK TEE</t>
  </si>
  <si>
    <t>XA OLD SAGE</t>
  </si>
  <si>
    <t>WGH8V95Z954491</t>
  </si>
  <si>
    <t>XA SEA BLUE</t>
  </si>
  <si>
    <t>WGH8V95Z954552</t>
  </si>
  <si>
    <t>XA SKY</t>
  </si>
  <si>
    <t>WGH8V95Z955088</t>
  </si>
  <si>
    <t>XA WILD ORCHID</t>
  </si>
  <si>
    <t>WGH8V95Z956267</t>
  </si>
  <si>
    <t>XA FUSCHIA</t>
  </si>
  <si>
    <t>WGHA183EQ51746</t>
  </si>
  <si>
    <t>WGHA183EQ5</t>
  </si>
  <si>
    <t>FASHION SPARKLE S/S CREW NECK</t>
  </si>
  <si>
    <t>09 WHITE</t>
  </si>
  <si>
    <t>WGMEQ66Q87</t>
  </si>
  <si>
    <t>S/S  BRANDED V NECK DRESS-WOME</t>
  </si>
  <si>
    <t>09 WILD ORCHID</t>
  </si>
  <si>
    <t>09 CHERRY</t>
  </si>
  <si>
    <t>WH13P02002</t>
  </si>
  <si>
    <t>SHANNON SATEEN SKINNY</t>
  </si>
  <si>
    <t>FUSCHIA</t>
  </si>
  <si>
    <t>WHDJ58TSRAM</t>
  </si>
  <si>
    <t>WHDJ58TS</t>
  </si>
  <si>
    <t>LIZZY CROP PANT -WOMENS</t>
  </si>
  <si>
    <t>RAM</t>
  </si>
  <si>
    <t>RAM JUNCTION</t>
  </si>
  <si>
    <t>WHHQ85S36SGD</t>
  </si>
  <si>
    <t>WHHQ85S36</t>
  </si>
  <si>
    <t>HALLE LONESTAR SKINNY WOMENS J</t>
  </si>
  <si>
    <t>WHTBR59IK2314</t>
  </si>
  <si>
    <t>WHTBR59IK</t>
  </si>
  <si>
    <t>GEORGIA TEXTURED PLAID SHIRT</t>
  </si>
  <si>
    <t>SY TERRACOTTA PLAID</t>
  </si>
  <si>
    <t>WHTBR59IK4234</t>
  </si>
  <si>
    <t>SY PACIFIC BLUE PLAID</t>
  </si>
  <si>
    <t>WHTBR59IK4235</t>
  </si>
  <si>
    <t>SY RAPID BLUE PLAID</t>
  </si>
  <si>
    <t>WHTBR59IK5116</t>
  </si>
  <si>
    <t>SY VIOLET PLAID</t>
  </si>
  <si>
    <t>WHTBR59IK8129</t>
  </si>
  <si>
    <t>SY PUMPKIN PLAID</t>
  </si>
  <si>
    <t>WHUBT16IK4431</t>
  </si>
  <si>
    <t>WHUBT16IK</t>
  </si>
  <si>
    <t>HOODED WESTERN SHIRT</t>
  </si>
  <si>
    <t>SZ AQUAMARINE PLAID</t>
  </si>
  <si>
    <t>WHUBT16IK6045</t>
  </si>
  <si>
    <t>SZ CRANBERRY PLAID</t>
  </si>
  <si>
    <t>WHZK35TSYZD</t>
  </si>
  <si>
    <t>WHZK35TS</t>
  </si>
  <si>
    <t>CASEY LEGGING BASIC WOMEN JEAN</t>
  </si>
  <si>
    <t>YZD</t>
  </si>
  <si>
    <t>YZD BLACK HILLS</t>
  </si>
  <si>
    <t>WHZK44BCSSHM</t>
  </si>
  <si>
    <t>WHZK44BCS</t>
  </si>
  <si>
    <t>MISTY LEGGING BASIC WOMEN JEAN</t>
  </si>
  <si>
    <t>WHZK44TS2S</t>
  </si>
  <si>
    <t>WHZK44TS</t>
  </si>
  <si>
    <t>WHZK44TSSHM</t>
  </si>
  <si>
    <t>WHZN95BCS</t>
  </si>
  <si>
    <t>HALLE LEGGING BASIC WOMEN JN</t>
  </si>
  <si>
    <t>ZAM</t>
  </si>
  <si>
    <t>ZAM SLAMMER</t>
  </si>
  <si>
    <t>WHZN95RI2S</t>
  </si>
  <si>
    <t>WHZN95RI</t>
  </si>
  <si>
    <t>HALLE HIGHER RISE SUPER SKINNY</t>
  </si>
  <si>
    <t>WHZN95RIQJL</t>
  </si>
  <si>
    <t>QJL</t>
  </si>
  <si>
    <t>QJL SMOKE WAGON</t>
  </si>
  <si>
    <t>WHZN95RISHM</t>
  </si>
  <si>
    <t>WHZN95TS</t>
  </si>
  <si>
    <t>WHZN96BCS11</t>
  </si>
  <si>
    <t>WHZN96BCS</t>
  </si>
  <si>
    <t>SERENA LEGGING BASIC WOMEN JN</t>
  </si>
  <si>
    <t>WHZN96BCS2S</t>
  </si>
  <si>
    <t>WHZN96RISHM</t>
  </si>
  <si>
    <t>WHZN96RI</t>
  </si>
  <si>
    <t>SERENA HIGHER RISE SUPER SKINN</t>
  </si>
  <si>
    <t>WIHBP40IK8013</t>
  </si>
  <si>
    <t>WIHBP40IK</t>
  </si>
  <si>
    <t>LONESTAR WESTERN SHIRT</t>
  </si>
  <si>
    <t>FK ORANGE</t>
  </si>
  <si>
    <t>WJA503OM15</t>
  </si>
  <si>
    <t>WJA503OM</t>
  </si>
  <si>
    <t>JOEY FLARE WOMEN JEAN</t>
  </si>
  <si>
    <t>15 DESTROYED</t>
  </si>
  <si>
    <t>WJAG10OM08</t>
  </si>
  <si>
    <t>WJAG10OM</t>
  </si>
  <si>
    <t>JOEY CUT OFF OM WOMEN SHORT</t>
  </si>
  <si>
    <t>08 BLCHD</t>
  </si>
  <si>
    <t>WJAG10OMTXM</t>
  </si>
  <si>
    <t>TXM</t>
  </si>
  <si>
    <t>TXM HIDE OUT MEDIUM</t>
  </si>
  <si>
    <t>WJAM04OM15</t>
  </si>
  <si>
    <t>WJAM04OM</t>
  </si>
  <si>
    <t>CAMERON BOYFRIEND WOMENS JEAN</t>
  </si>
  <si>
    <t>WJAM04OM6J</t>
  </si>
  <si>
    <t>6J</t>
  </si>
  <si>
    <t>6J ZUMA MED</t>
  </si>
  <si>
    <t>T4</t>
  </si>
  <si>
    <t>T4 WAGONEER MED</t>
  </si>
  <si>
    <t>WJAM05OM2V</t>
  </si>
  <si>
    <t>WJAM05OM</t>
  </si>
  <si>
    <t>JAYDE OM WOMENS SHORT</t>
  </si>
  <si>
    <t>WJAP85F83QCD</t>
  </si>
  <si>
    <t>WJAP85F83</t>
  </si>
  <si>
    <t>CARRIE LOVE &amp; HAIGHT BELL BOTT</t>
  </si>
  <si>
    <t>QCD</t>
  </si>
  <si>
    <t>QCD FALLING LEAF</t>
  </si>
  <si>
    <t>WJAQ82F83QCL</t>
  </si>
  <si>
    <t>WJAQ82F83</t>
  </si>
  <si>
    <t>JOEY C/O LOVE &amp; HAIGHT WOMENS</t>
  </si>
  <si>
    <t>QCL</t>
  </si>
  <si>
    <t>QCL ARLINGTON</t>
  </si>
  <si>
    <t>WJBP75T50SGD</t>
  </si>
  <si>
    <t>WJBP75T50</t>
  </si>
  <si>
    <t>SHANNON LONESTAR SKINNY WOMENS</t>
  </si>
  <si>
    <t>WJBQ85T50</t>
  </si>
  <si>
    <t>WJBS64T5011</t>
  </si>
  <si>
    <t>WJBS64T50</t>
  </si>
  <si>
    <t>TONY LONESTAR MICRO BOOT WOMEN</t>
  </si>
  <si>
    <t>WJBU12U46</t>
  </si>
  <si>
    <t>STELLA BADLANDS WOMEN JEAN</t>
  </si>
  <si>
    <t>VP</t>
  </si>
  <si>
    <t>BLACK COATING</t>
  </si>
  <si>
    <t>WJC502OM</t>
  </si>
  <si>
    <t>JOHNNY STRAIGHT WOMEN JEAN</t>
  </si>
  <si>
    <t>WJC502OMZZM</t>
  </si>
  <si>
    <t>ZZM</t>
  </si>
  <si>
    <t>ZZM HILLSBORO</t>
  </si>
  <si>
    <t>WJC564EX4ARRM</t>
  </si>
  <si>
    <t>WJC564EX4</t>
  </si>
  <si>
    <t>BECKY BOOTCUT SUPER T LEAD&amp;CUR</t>
  </si>
  <si>
    <t>ARRM</t>
  </si>
  <si>
    <t>ARRM SLOW WATER</t>
  </si>
  <si>
    <t>WJC564NBT2ZWM</t>
  </si>
  <si>
    <t>WJC564NBT2</t>
  </si>
  <si>
    <t>BECKY SUPER T BOOT LEG JEAN</t>
  </si>
  <si>
    <t>ZWM</t>
  </si>
  <si>
    <t>ZWM TRACKS</t>
  </si>
  <si>
    <t>WJC572BA32V</t>
  </si>
  <si>
    <t>WJC572BA3</t>
  </si>
  <si>
    <t>BILLY SUPER T PASTEL JEAN</t>
  </si>
  <si>
    <t>WJC572BB4</t>
  </si>
  <si>
    <t>BILLY SUPER T BRIGHTS JEAN</t>
  </si>
  <si>
    <t>WJC572CD9ZWM</t>
  </si>
  <si>
    <t>WJC572CD9</t>
  </si>
  <si>
    <t>BILLY PEARL MICA GOLD SUPER T</t>
  </si>
  <si>
    <t>WJC592BA8SHM</t>
  </si>
  <si>
    <t>WJC592BA8</t>
  </si>
  <si>
    <t>STELLA SUPER T BRIGHTS JEAN</t>
  </si>
  <si>
    <t>WJC592BB1SHM</t>
  </si>
  <si>
    <t>WJC592BB1</t>
  </si>
  <si>
    <t>WJC592BB3SHM</t>
  </si>
  <si>
    <t>WJC592BB3</t>
  </si>
  <si>
    <t>WJC592CD9SHM</t>
  </si>
  <si>
    <t>WJC592CD9</t>
  </si>
  <si>
    <t>STELL PEARL AZTEC GOLD SPT</t>
  </si>
  <si>
    <t>WJC592DB5AOEM</t>
  </si>
  <si>
    <t>WJC592DB5</t>
  </si>
  <si>
    <t>STELLA CONTRAST SEAL SUPER T</t>
  </si>
  <si>
    <t>AOEM</t>
  </si>
  <si>
    <t>AOEM DEWEY AVE</t>
  </si>
  <si>
    <t>WJC592DB6AODD</t>
  </si>
  <si>
    <t>WJC592DB6</t>
  </si>
  <si>
    <t>STELLA CONTRAST PLUM SUPER T</t>
  </si>
  <si>
    <t>AODD</t>
  </si>
  <si>
    <t>AODD BRKN DWN LN</t>
  </si>
  <si>
    <t>WJC592NBT2ANWL</t>
  </si>
  <si>
    <t>WJC592NBT2</t>
  </si>
  <si>
    <t>STELLA SUPER T SKINNY JEAN</t>
  </si>
  <si>
    <t>ANWL</t>
  </si>
  <si>
    <t>ANWL DSRTD SADLE</t>
  </si>
  <si>
    <t>WJC592NBT2V8M</t>
  </si>
  <si>
    <t>WJC592OMP5</t>
  </si>
  <si>
    <t>WJC592OM</t>
  </si>
  <si>
    <t>STELLA SKINNY WOMEN JEAN</t>
  </si>
  <si>
    <t>P5</t>
  </si>
  <si>
    <t>P5 OPEN RANGE</t>
  </si>
  <si>
    <t>WJC592OMW3</t>
  </si>
  <si>
    <t>W3</t>
  </si>
  <si>
    <t>W3 SUNSET PASS MED</t>
  </si>
  <si>
    <t>WJC592OMZXM</t>
  </si>
  <si>
    <t>ZXM</t>
  </si>
  <si>
    <t>ZXM WHISKEY BLUES</t>
  </si>
  <si>
    <t>WJC592SEX4</t>
  </si>
  <si>
    <t>STELLA SKINNY SUPER T LEAD&amp;CUR</t>
  </si>
  <si>
    <t>WJC592X17SIM</t>
  </si>
  <si>
    <t>WJC592X17</t>
  </si>
  <si>
    <t>STELLA SUPER T WOMEN JEAN</t>
  </si>
  <si>
    <t>SIM</t>
  </si>
  <si>
    <t>SIM LAST STAND</t>
  </si>
  <si>
    <t>WJC599BA8SHM</t>
  </si>
  <si>
    <t>WJC599BA8</t>
  </si>
  <si>
    <t>JULIE SUPER T BRIGHTS JEAN</t>
  </si>
  <si>
    <t>WJCA058EI2ATDM</t>
  </si>
  <si>
    <t>WJCA058EI2</t>
  </si>
  <si>
    <t>SHELBY VEST GLORY ROAD</t>
  </si>
  <si>
    <t>ATDM</t>
  </si>
  <si>
    <t>ATDM GLORY ROAD</t>
  </si>
  <si>
    <t>WJCA362GR0BBRL</t>
  </si>
  <si>
    <t>WJCA362GR0</t>
  </si>
  <si>
    <t>JULIE SKNNY SPT STRNG/CRUS BLU</t>
  </si>
  <si>
    <t>BBRL</t>
  </si>
  <si>
    <t>BBRL INCA SUNSET</t>
  </si>
  <si>
    <t>WJCA362GR0BBSD</t>
  </si>
  <si>
    <t>BBSD</t>
  </si>
  <si>
    <t>BBSD DEEP WATER</t>
  </si>
  <si>
    <t>WJCA363GR0BBRL</t>
  </si>
  <si>
    <t>WJCA363GR0</t>
  </si>
  <si>
    <t>BILLY STRGHT SPT STRNG/CRUS</t>
  </si>
  <si>
    <t>WJCA363GR0BBSD</t>
  </si>
  <si>
    <t>WJCA370GN1BBRL</t>
  </si>
  <si>
    <t>WJCA370GN1</t>
  </si>
  <si>
    <t>BECKY BOOTCUT NOUVEAU SUPER T</t>
  </si>
  <si>
    <t>WJCA370GN1BBSD</t>
  </si>
  <si>
    <t>WJCA371GN1BBRL</t>
  </si>
  <si>
    <t>WJCA371GN1</t>
  </si>
  <si>
    <t>STELLA SKINNY NOUVEAU SUPER T</t>
  </si>
  <si>
    <t>WJCA371GN1BBSD</t>
  </si>
  <si>
    <t>WJCA569IN0BGSL</t>
  </si>
  <si>
    <t>WJCA569IN0</t>
  </si>
  <si>
    <t>LINDA SUPER SKINNY MIXED SPR T</t>
  </si>
  <si>
    <t>BGSL</t>
  </si>
  <si>
    <t>BGSL BRACKSH WTR</t>
  </si>
  <si>
    <t>WJCA569IN0BGTL</t>
  </si>
  <si>
    <t>BGTL</t>
  </si>
  <si>
    <t>BGTL RIVER CLAY</t>
  </si>
  <si>
    <t>WJCG93OMW3</t>
  </si>
  <si>
    <t>WJCG93OM</t>
  </si>
  <si>
    <t>EMILY OM WESTERN JACKET</t>
  </si>
  <si>
    <t>WJCJ58OMSHM</t>
  </si>
  <si>
    <t>WJCJ58OM</t>
  </si>
  <si>
    <t>LIZZY CUFFED  OM CAPRI</t>
  </si>
  <si>
    <t>WJCV19Z80XVM</t>
  </si>
  <si>
    <t>WJCV19Z80</t>
  </si>
  <si>
    <t>GIANNA LIVE FAST WOMEN JEAN</t>
  </si>
  <si>
    <t>XVM</t>
  </si>
  <si>
    <t>XVM WARREN</t>
  </si>
  <si>
    <t>WJCV20Z80XUD</t>
  </si>
  <si>
    <t>WJCV20Z80</t>
  </si>
  <si>
    <t>FRANCESCA LIVE FAST WOMEN JEAN</t>
  </si>
  <si>
    <t>XUD</t>
  </si>
  <si>
    <t>XUD VARNISH</t>
  </si>
  <si>
    <t>WJCV57Y4011</t>
  </si>
  <si>
    <t>WJCV57Y40</t>
  </si>
  <si>
    <t>STELLA 32 IN GENERAL LEE WOMEN</t>
  </si>
  <si>
    <t>WJCV76Y392V</t>
  </si>
  <si>
    <t>WJCV76Y39</t>
  </si>
  <si>
    <t>SYDNEY 50S GROUP WOMEN JEAN</t>
  </si>
  <si>
    <t>2V MD DFTR WO RPS</t>
  </si>
  <si>
    <t>WJCV76Y39SGD</t>
  </si>
  <si>
    <t>WJCV76Y39XED</t>
  </si>
  <si>
    <t>XED</t>
  </si>
  <si>
    <t>XED DEADWOOD</t>
  </si>
  <si>
    <t>WJCV78Y39XED</t>
  </si>
  <si>
    <t>WJCV78Y39</t>
  </si>
  <si>
    <t>DALLAS 50S ZIP WOMEN JACKET</t>
  </si>
  <si>
    <t>WJCW02Y392V</t>
  </si>
  <si>
    <t>WJCW02Y39</t>
  </si>
  <si>
    <t>STELLA 50S WOMEN JEAN 32 IN</t>
  </si>
  <si>
    <t>WJCY06OM</t>
  </si>
  <si>
    <t>STELLA CUFFED OM LEGGING</t>
  </si>
  <si>
    <t>WJCY06OMZXM</t>
  </si>
  <si>
    <t>ZXM WHSKEY BLUES</t>
  </si>
  <si>
    <t>WJDA309EF5</t>
  </si>
  <si>
    <t>JUDE ORNATE STUDDING SKINNY</t>
  </si>
  <si>
    <t>AWB BLACK</t>
  </si>
  <si>
    <t>WJDK35DL1</t>
  </si>
  <si>
    <t>CASEY CRYSTAL STITCH JEAN</t>
  </si>
  <si>
    <t>AOA BLACK</t>
  </si>
  <si>
    <t>WJDK44W144630</t>
  </si>
  <si>
    <t>WJDK44W14</t>
  </si>
  <si>
    <t>MISTY MID RISE SUPER SKINNY LE</t>
  </si>
  <si>
    <t>ZI CLEAR / SKY</t>
  </si>
  <si>
    <t>WJDK44W147430</t>
  </si>
  <si>
    <t>YE CLEAR / DAFFODIL</t>
  </si>
  <si>
    <t>WJDN95BP81040</t>
  </si>
  <si>
    <t>WJDN95BP8</t>
  </si>
  <si>
    <t>QY BLACK</t>
  </si>
  <si>
    <t>WJDN95BP81826</t>
  </si>
  <si>
    <t>QY OPTIC WHITE</t>
  </si>
  <si>
    <t>QY DK NAVY</t>
  </si>
  <si>
    <t>WJDN95DL1</t>
  </si>
  <si>
    <t>HALLE CRYSTAL STITCH JEAN</t>
  </si>
  <si>
    <t>WJDN95W141826</t>
  </si>
  <si>
    <t>WJDN95W14</t>
  </si>
  <si>
    <t>HALLE HIGHER RISE SKINNY LEGGI</t>
  </si>
  <si>
    <t>YI BABY PINK</t>
  </si>
  <si>
    <t>WJDN96CI34126</t>
  </si>
  <si>
    <t>WJDN96CI3</t>
  </si>
  <si>
    <t>SERENA CHESSBOARD CRYSTAL OD</t>
  </si>
  <si>
    <t>QY ROYAL BLUE</t>
  </si>
  <si>
    <t>WJDZ55DK31288</t>
  </si>
  <si>
    <t>WJDZ55DK3</t>
  </si>
  <si>
    <t>HALLE OVERDYE BOTTOMS JEAN</t>
  </si>
  <si>
    <t>ACB SEAL</t>
  </si>
  <si>
    <t>WJDZ55DK35135</t>
  </si>
  <si>
    <t>ACB PLUM</t>
  </si>
  <si>
    <t>WJHR85R88SIM</t>
  </si>
  <si>
    <t>WJHR85R88</t>
  </si>
  <si>
    <t>JORDAN BLUE COLLAR BOYFRIEND W</t>
  </si>
  <si>
    <t>WJHR86R88SGD</t>
  </si>
  <si>
    <t>WJHR86R88</t>
  </si>
  <si>
    <t>CAMDEN BLUE COLLAR WOMENS JACK</t>
  </si>
  <si>
    <t>WJLS60T48TMD</t>
  </si>
  <si>
    <t>WJLS60T48</t>
  </si>
  <si>
    <t>HALLE ZIP GROUP WOMENS JEAN</t>
  </si>
  <si>
    <t>TMD</t>
  </si>
  <si>
    <t>MISCHIEF</t>
  </si>
  <si>
    <t>WJLS60T48UBD</t>
  </si>
  <si>
    <t>UBD</t>
  </si>
  <si>
    <t>NIGHT SKY</t>
  </si>
  <si>
    <t>WJO9T18IK1001</t>
  </si>
  <si>
    <t>WJO9T18IK</t>
  </si>
  <si>
    <t>STRIPED NYLON ZIP HOODIE JACKE</t>
  </si>
  <si>
    <t>WJOFT19IK4403</t>
  </si>
  <si>
    <t>WJOFT19IK</t>
  </si>
  <si>
    <t>WESTERN YOKE PUFFER</t>
  </si>
  <si>
    <t>TEAL</t>
  </si>
  <si>
    <t>WJOFT19IK6000</t>
  </si>
  <si>
    <t>WJPBR59TS</t>
  </si>
  <si>
    <t>PHOENIX GEORGIA SHIRT</t>
  </si>
  <si>
    <t>SL COAL</t>
  </si>
  <si>
    <t>WJPBR59TS4275</t>
  </si>
  <si>
    <t>SL NAVAL BLUE</t>
  </si>
  <si>
    <t>WJPBR59TS6099</t>
  </si>
  <si>
    <t>SL RED BARN</t>
  </si>
  <si>
    <t>WJPBR59VR4311</t>
  </si>
  <si>
    <t>WJPBR59VR</t>
  </si>
  <si>
    <t>GEORGIA INDIGO PLAID SHIRT</t>
  </si>
  <si>
    <t>SL BREEZE</t>
  </si>
  <si>
    <t>WJPBR59VR4312</t>
  </si>
  <si>
    <t>SL OCEAN</t>
  </si>
  <si>
    <t>WJPBR59VR7354</t>
  </si>
  <si>
    <t>SL SUNBEAM</t>
  </si>
  <si>
    <t>WJQFT20IK4168</t>
  </si>
  <si>
    <t>WJQFT20IK</t>
  </si>
  <si>
    <t>DENIM CARTER PUFFER VEST W EMB</t>
  </si>
  <si>
    <t>DENIM</t>
  </si>
  <si>
    <t>WJTS29S38</t>
  </si>
  <si>
    <t>HALLE LUXE SKINNY WOMENS JEAN</t>
  </si>
  <si>
    <t>WK29E53M291001</t>
  </si>
  <si>
    <t>WK29E53M29</t>
  </si>
  <si>
    <t>NYLON  PUFFER JACKET W/COYOTE</t>
  </si>
  <si>
    <t>WKB9T24IK2000</t>
  </si>
  <si>
    <t>WKB9T24IK</t>
  </si>
  <si>
    <t>ROCKER JACKET</t>
  </si>
  <si>
    <t>WL78145AA04525</t>
  </si>
  <si>
    <t>WL78145AA0</t>
  </si>
  <si>
    <t>LOTUS CLASSIC TANK</t>
  </si>
  <si>
    <t>09 SKY</t>
  </si>
  <si>
    <t>WL78145AA06814</t>
  </si>
  <si>
    <t>09 BABY PINK</t>
  </si>
  <si>
    <t>WL78145AA07435</t>
  </si>
  <si>
    <t>09 DAFFODIL</t>
  </si>
  <si>
    <t>WL78145AA08030</t>
  </si>
  <si>
    <t>09 FADED CARROT</t>
  </si>
  <si>
    <t>WLB7T08W17</t>
  </si>
  <si>
    <t>LOVE IS TRUE RAGLAN HOODIE</t>
  </si>
  <si>
    <t>3C CHARCOAL</t>
  </si>
  <si>
    <t>WLC8W18Z996814</t>
  </si>
  <si>
    <t>WLC8W18Z99</t>
  </si>
  <si>
    <t>MANTRA TANK</t>
  </si>
  <si>
    <t>WLC8W18Z998030</t>
  </si>
  <si>
    <t>WLC8W19Z704525</t>
  </si>
  <si>
    <t>WLC8W19Z70</t>
  </si>
  <si>
    <t>TRUE GURU L/S SLOUCHY TEE</t>
  </si>
  <si>
    <t>WLH564TSMLD</t>
  </si>
  <si>
    <t>WLH564TS</t>
  </si>
  <si>
    <t>BECKY MID RISE BOOT CUT</t>
  </si>
  <si>
    <t>MLD</t>
  </si>
  <si>
    <t>MLD HOUSTON</t>
  </si>
  <si>
    <t>WLH572TS</t>
  </si>
  <si>
    <t>BILLY STRAIGHT LEG</t>
  </si>
  <si>
    <t>WLH592BCS40</t>
  </si>
  <si>
    <t>WLH592BCS</t>
  </si>
  <si>
    <t>STELLA SKINNY FIT JEANS</t>
  </si>
  <si>
    <t>WLHR89S44SAD</t>
  </si>
  <si>
    <t>WLHR89S44</t>
  </si>
  <si>
    <t>BRIANNA WORKWEAR BOYFRIEND WOM</t>
  </si>
  <si>
    <t>SAD</t>
  </si>
  <si>
    <t>SAD GRIDIRON</t>
  </si>
  <si>
    <t>WLHS67P98TIM</t>
  </si>
  <si>
    <t>WLHS67P98</t>
  </si>
  <si>
    <t>WLK8K99AG01746</t>
  </si>
  <si>
    <t>WLK8K99AG0</t>
  </si>
  <si>
    <t>TRUE 1971  TEE</t>
  </si>
  <si>
    <t>WLK8K99AG94529</t>
  </si>
  <si>
    <t>WLK8K99AG9</t>
  </si>
  <si>
    <t>TR VINTAGE STITCH  TEE</t>
  </si>
  <si>
    <t>3C SKY</t>
  </si>
  <si>
    <t>WLK8K99AQ54482</t>
  </si>
  <si>
    <t>WLK8K99AQ5</t>
  </si>
  <si>
    <t>CALIFORNIA DREAMIN  TEE</t>
  </si>
  <si>
    <t>3C ALMOST AQUA</t>
  </si>
  <si>
    <t>WLK8K99BE21746</t>
  </si>
  <si>
    <t>WLK8K99BE2</t>
  </si>
  <si>
    <t>TR CHAINSTITCH CREWNECK TEE</t>
  </si>
  <si>
    <t>WLK8K99W161033</t>
  </si>
  <si>
    <t>WLK8K99W16</t>
  </si>
  <si>
    <t>ACHILLEUS CREW NECK TEE</t>
  </si>
  <si>
    <t>3C BLACK</t>
  </si>
  <si>
    <t>WLK8K99W166122</t>
  </si>
  <si>
    <t>3C HIGH RED</t>
  </si>
  <si>
    <t>WLK8K99Z425013</t>
  </si>
  <si>
    <t>WLK8K99Z42</t>
  </si>
  <si>
    <t>GOLDEN STATE OF MIND TEE</t>
  </si>
  <si>
    <t>3C WILD ORCHID</t>
  </si>
  <si>
    <t>WLK8K99Z434483</t>
  </si>
  <si>
    <t>WLK8K99Z43</t>
  </si>
  <si>
    <t>MALIBU 56 TEE</t>
  </si>
  <si>
    <t>3C SEA BLUE</t>
  </si>
  <si>
    <t>WLK8K99Z452627</t>
  </si>
  <si>
    <t>WLK8K99Z45</t>
  </si>
  <si>
    <t>SO CAL  TEE</t>
  </si>
  <si>
    <t>3C SAND</t>
  </si>
  <si>
    <t>WLK8K99Z487413</t>
  </si>
  <si>
    <t>WLK8K99Z48</t>
  </si>
  <si>
    <t>TR LOVERS TEE</t>
  </si>
  <si>
    <t>3C DAFFODIL</t>
  </si>
  <si>
    <t>WLK8U37W334265</t>
  </si>
  <si>
    <t>WLK8U37W33</t>
  </si>
  <si>
    <t>TRG56 L/S CREW NECK TEE</t>
  </si>
  <si>
    <t>3C ADMIRAL NAVY</t>
  </si>
  <si>
    <t>WLK8W08Z561906</t>
  </si>
  <si>
    <t>WLK8W08Z56</t>
  </si>
  <si>
    <t>WESTSIDER PKT HIT ALTHETIC TEE</t>
  </si>
  <si>
    <t>WH CREAM / FUSCHIA</t>
  </si>
  <si>
    <t>WLK8W08Z596831</t>
  </si>
  <si>
    <t>WLK8W08Z59</t>
  </si>
  <si>
    <t>TR RACING  ALTHETIC TEE</t>
  </si>
  <si>
    <t>WH BABY PINK / DK NAVY</t>
  </si>
  <si>
    <t>WLK8W08Z602634</t>
  </si>
  <si>
    <t>WLK8W08Z60</t>
  </si>
  <si>
    <t>TRUE 71  ALTHETIC TEE</t>
  </si>
  <si>
    <t>WH SAND / OLD SAGE</t>
  </si>
  <si>
    <t>WLKJ8K99EG1184</t>
  </si>
  <si>
    <t>WLKJ8K99EG</t>
  </si>
  <si>
    <t>CREW NECK TEE</t>
  </si>
  <si>
    <t>WE BLACK VINTAGE</t>
  </si>
  <si>
    <t>WLKJ8K99EG7112</t>
  </si>
  <si>
    <t>WC METALLIC GOLD</t>
  </si>
  <si>
    <t>WLNN96U284288</t>
  </si>
  <si>
    <t>WLNN96U28</t>
  </si>
  <si>
    <t>SERENA GLITTER COATED WOMEN JE</t>
  </si>
  <si>
    <t>TLD NAVY</t>
  </si>
  <si>
    <t>WLNN96U286146</t>
  </si>
  <si>
    <t>TLD MAROON</t>
  </si>
  <si>
    <t>WLNR88S45</t>
  </si>
  <si>
    <t>STELLA WORKWEAR SKINNY WOMENS</t>
  </si>
  <si>
    <t>HW BRANCH</t>
  </si>
  <si>
    <t>WLNS24S331119</t>
  </si>
  <si>
    <t>WLNS24S33</t>
  </si>
  <si>
    <t>SERENA PHANTOM SKINNY WOMENS J</t>
  </si>
  <si>
    <t>09 DK STORM</t>
  </si>
  <si>
    <t>WLNS24S336225</t>
  </si>
  <si>
    <t>09 TOMATO</t>
  </si>
  <si>
    <t>WLS4R28EG4802</t>
  </si>
  <si>
    <t>WLS4R28EG</t>
  </si>
  <si>
    <t>HOT SHORT</t>
  </si>
  <si>
    <t>YT DK NAVY</t>
  </si>
  <si>
    <t>WLS4R28EG8330</t>
  </si>
  <si>
    <t>YT FADED CARROT</t>
  </si>
  <si>
    <t>WLUP38K321911</t>
  </si>
  <si>
    <t>WLUP38K32</t>
  </si>
  <si>
    <t>BROOKLYN CORDUROY WOMANS JEAN</t>
  </si>
  <si>
    <t>YI CREAM</t>
  </si>
  <si>
    <t>WLUP38K325327</t>
  </si>
  <si>
    <t>YI LILAC</t>
  </si>
  <si>
    <t>WLUR12K321820</t>
  </si>
  <si>
    <t>WLUR12K32</t>
  </si>
  <si>
    <t>SHANNON CORDUROY WOMANS JEAN</t>
  </si>
  <si>
    <t>2S OPTIC WHITE</t>
  </si>
  <si>
    <t>WLUS72U151509</t>
  </si>
  <si>
    <t>WLUS72U15</t>
  </si>
  <si>
    <t>BECKY PHOENIX MIDRISE BOOTCUT</t>
  </si>
  <si>
    <t>ST LT STONE</t>
  </si>
  <si>
    <t>WLUS73U151509</t>
  </si>
  <si>
    <t>WLUS73U15</t>
  </si>
  <si>
    <t>TRISHA PHOENIX STARIGHT COURDU</t>
  </si>
  <si>
    <t>WLUS74U151056</t>
  </si>
  <si>
    <t>WLUS74U15</t>
  </si>
  <si>
    <t>SHANNON MID RISE SKINNY FIT CO</t>
  </si>
  <si>
    <t>ST BLACK</t>
  </si>
  <si>
    <t>WLUV37K324321</t>
  </si>
  <si>
    <t>WLUV37K32</t>
  </si>
  <si>
    <t>TRISHA CORDUROY WOMANS JEAN</t>
  </si>
  <si>
    <t>YI SKY</t>
  </si>
  <si>
    <t>WLVQ85U13</t>
  </si>
  <si>
    <t>HALLE HIGHRISE SKINNY LONESTAR</t>
  </si>
  <si>
    <t>2S INDIGO</t>
  </si>
  <si>
    <t>WLVQ85U136627</t>
  </si>
  <si>
    <t>2S VERY BERRY</t>
  </si>
  <si>
    <t>WM46H70EH4558</t>
  </si>
  <si>
    <t>WM46H70EH</t>
  </si>
  <si>
    <t>XC SKY</t>
  </si>
  <si>
    <t>WM47L61EH4557</t>
  </si>
  <si>
    <t>WM47L61EH</t>
  </si>
  <si>
    <t>CLASSIC BIG T HOODIE</t>
  </si>
  <si>
    <t>ZL SKY</t>
  </si>
  <si>
    <t>WM47L61EH6833</t>
  </si>
  <si>
    <t>ZL BABY PINK</t>
  </si>
  <si>
    <t>WMJ8K99Z504808</t>
  </si>
  <si>
    <t>WMJ8K99Z50</t>
  </si>
  <si>
    <t>DEATH VALLEY TRADING TEE</t>
  </si>
  <si>
    <t>WJ DK NAVY</t>
  </si>
  <si>
    <t>WMJ8K99Z521194</t>
  </si>
  <si>
    <t>WMJ8K99Z52</t>
  </si>
  <si>
    <t>TR REBELS TEE</t>
  </si>
  <si>
    <t>WJ CHARCOAL</t>
  </si>
  <si>
    <t>WMJ8W10Z628331</t>
  </si>
  <si>
    <t>WMJ8W10Z62</t>
  </si>
  <si>
    <t>SPORTY NATIVE FOOTBALL TEE</t>
  </si>
  <si>
    <t>YS FADED CARROT</t>
  </si>
  <si>
    <t>WMOBR59TS</t>
  </si>
  <si>
    <t>SL GRANITE BLUE</t>
  </si>
  <si>
    <t>WMUBU25IK6853</t>
  </si>
  <si>
    <t>WMUBU25IK</t>
  </si>
  <si>
    <t>PLAID GEORGIA SHIRT</t>
  </si>
  <si>
    <t>FK WATERMELON</t>
  </si>
  <si>
    <t>WMZBP40IK4801</t>
  </si>
  <si>
    <t>WMZBP40IK</t>
  </si>
  <si>
    <t>GEORGIA LONESTAR SHIRT</t>
  </si>
  <si>
    <t>XD INDIGO DITSY FLORAL</t>
  </si>
  <si>
    <t>WMZBP40IK6174</t>
  </si>
  <si>
    <t>XD RED FLORAL</t>
  </si>
  <si>
    <t>WNDBU25VR5330</t>
  </si>
  <si>
    <t>WNDBU25VR</t>
  </si>
  <si>
    <t>GEORGIA  SHIRT</t>
  </si>
  <si>
    <t>FK DUSK FLORAL</t>
  </si>
  <si>
    <t>WNDBU25VR8046</t>
  </si>
  <si>
    <t>FK SUNRISE FLORAL</t>
  </si>
  <si>
    <t>WP4BT14IK2715</t>
  </si>
  <si>
    <t>WP4BT14IK</t>
  </si>
  <si>
    <t>ZIP FRONT WESTERN SHIRT</t>
  </si>
  <si>
    <t>SX NATURAL PLAID</t>
  </si>
  <si>
    <t>WP4BT14IK6044</t>
  </si>
  <si>
    <t>SX SCARLET PLAID</t>
  </si>
  <si>
    <t>WPR8R30CJ01942</t>
  </si>
  <si>
    <t>WPR8R30CJ0</t>
  </si>
  <si>
    <t>BURNOUT RELAXED TANK</t>
  </si>
  <si>
    <t>AAU WHITE</t>
  </si>
  <si>
    <t>WPR8R30CJ06321</t>
  </si>
  <si>
    <t>AAU FUSCHIA</t>
  </si>
  <si>
    <t>WQ1572BCSAZ</t>
  </si>
  <si>
    <t>WQ1572BCS</t>
  </si>
  <si>
    <t>BILLY CLASSICS WOMEN JEAN</t>
  </si>
  <si>
    <t>AZ</t>
  </si>
  <si>
    <t>AZ MIDNIGHT RAGE DK</t>
  </si>
  <si>
    <t>WQ1572H1340</t>
  </si>
  <si>
    <t>WQ1572H13</t>
  </si>
  <si>
    <t>BILLY RECLAIMED STRAIGHT LEG W</t>
  </si>
  <si>
    <t>WQ1572I3GRD</t>
  </si>
  <si>
    <t>WQ1572I3</t>
  </si>
  <si>
    <t>BILLY SUPER T WOMEN JEAN</t>
  </si>
  <si>
    <t>GRD</t>
  </si>
  <si>
    <t>GRD TENNESSEE</t>
  </si>
  <si>
    <t>WQ1592Q643235</t>
  </si>
  <si>
    <t>WQ1592Q64</t>
  </si>
  <si>
    <t>WJ GREEN</t>
  </si>
  <si>
    <t>WQ1599H13EAD</t>
  </si>
  <si>
    <t>WQ1599H13</t>
  </si>
  <si>
    <t>JULIE RECLAIMED SKINNY LEG WM</t>
  </si>
  <si>
    <t>WQ1599H9440</t>
  </si>
  <si>
    <t>WQ1599H94</t>
  </si>
  <si>
    <t>JULIE SKINNY SUPER T WOMEN JEA</t>
  </si>
  <si>
    <t>WQ1K17BCSKQL</t>
  </si>
  <si>
    <t>WQ1K17BCS</t>
  </si>
  <si>
    <t>NATALIE KNEE LENGTH C/O SHORT</t>
  </si>
  <si>
    <t>KQL</t>
  </si>
  <si>
    <t>KQL SANTA ANA</t>
  </si>
  <si>
    <t>WQ1K75BCSGPD</t>
  </si>
  <si>
    <t>WQ1K75BCS</t>
  </si>
  <si>
    <t>CARRIE SKINNY KNEE WIDE FLARE</t>
  </si>
  <si>
    <t>GPD</t>
  </si>
  <si>
    <t>GPD PANCHO VILLA</t>
  </si>
  <si>
    <t>WQ2572Q04RJL</t>
  </si>
  <si>
    <t>WQ2572Q04</t>
  </si>
  <si>
    <t>BILLY STRAIGHT WOMENS JEAN</t>
  </si>
  <si>
    <t>RJL</t>
  </si>
  <si>
    <t>RJL FISHER</t>
  </si>
  <si>
    <t>WQ2G10Q04RJL</t>
  </si>
  <si>
    <t>WQ2G10Q04</t>
  </si>
  <si>
    <t>JOEY C/O WOMENS SHORT</t>
  </si>
  <si>
    <t>WQ2M04CH0MKD</t>
  </si>
  <si>
    <t>WQ2M04CH0</t>
  </si>
  <si>
    <t>CAMERON VINTAGE WOMENS JEAN</t>
  </si>
  <si>
    <t>MKD</t>
  </si>
  <si>
    <t>MKD PANDEMONIUM</t>
  </si>
  <si>
    <t>WQ2V49Y04XIL</t>
  </si>
  <si>
    <t>WQ2V49Y04</t>
  </si>
  <si>
    <t>JOEY ON THE ROAD WOMEN SHORT</t>
  </si>
  <si>
    <t>XIL</t>
  </si>
  <si>
    <t>XIL KEYSTONE</t>
  </si>
  <si>
    <t>WQ2V52Y04XLD</t>
  </si>
  <si>
    <t>WQ2V52Y04</t>
  </si>
  <si>
    <t>JADA CUT OFF ON THE ROAD VEST</t>
  </si>
  <si>
    <t>XLD</t>
  </si>
  <si>
    <t>XLD OLD 76</t>
  </si>
  <si>
    <t>WQ2X15BU0ZZL</t>
  </si>
  <si>
    <t>WQ2X15BU0</t>
  </si>
  <si>
    <t>JOEY CUTOFF FLOWER CHILD SHORT</t>
  </si>
  <si>
    <t>ZZL</t>
  </si>
  <si>
    <t>ZZL MADAME MYSTERY</t>
  </si>
  <si>
    <t>WQ8K35BCSCH</t>
  </si>
  <si>
    <t>WQ8K35BCS</t>
  </si>
  <si>
    <t>CASEY  LEGGING WOMEN JEAN</t>
  </si>
  <si>
    <t>10FA</t>
  </si>
  <si>
    <t>WQ8K44BCSCH</t>
  </si>
  <si>
    <t>WQ8K44BCS</t>
  </si>
  <si>
    <t>MISTY LEGGING WOMEN JEAN</t>
  </si>
  <si>
    <t>WQ8P18L28CH</t>
  </si>
  <si>
    <t>WQ8P18L28</t>
  </si>
  <si>
    <t>TRISHA SLIM BOOT CUT WM JEAN</t>
  </si>
  <si>
    <t>WQ9G10EG4126</t>
  </si>
  <si>
    <t>WQ9G10EG</t>
  </si>
  <si>
    <t>JOEY HIGH THIGH CO SHORT</t>
  </si>
  <si>
    <t>WQ9G10EG4548</t>
  </si>
  <si>
    <t>PX OASIS</t>
  </si>
  <si>
    <t>WQ9G10Z826257</t>
  </si>
  <si>
    <t>WQ9G10Z82</t>
  </si>
  <si>
    <t>JOEY CUT OFF OMBRE WOMEN SHORT</t>
  </si>
  <si>
    <t>XW FUSCHIA</t>
  </si>
  <si>
    <t>WQ9K18Z828047</t>
  </si>
  <si>
    <t>WQ9K18Z82</t>
  </si>
  <si>
    <t>KIERA OMBRE WOMEN SHORT</t>
  </si>
  <si>
    <t>XW ORANGE</t>
  </si>
  <si>
    <t>WQ9M05Z371821</t>
  </si>
  <si>
    <t>WQ9M05Z37</t>
  </si>
  <si>
    <t>JAYDE WHITE BASICS SHORT</t>
  </si>
  <si>
    <t>WQ9M05Z826257</t>
  </si>
  <si>
    <t>WQ9M05Z82</t>
  </si>
  <si>
    <t>JAYDE OMBRE WOMEN SHORT</t>
  </si>
  <si>
    <t>WQ9M05Z828047</t>
  </si>
  <si>
    <t>WQ9Q86EG5026</t>
  </si>
  <si>
    <t>WQ9Q86EG</t>
  </si>
  <si>
    <t>BRIANNA BOYFRIEND FIT WOMEN JE</t>
  </si>
  <si>
    <t>QE WILD ORCHID</t>
  </si>
  <si>
    <t>WQOBX87IK3432</t>
  </si>
  <si>
    <t>WQOBX87IK</t>
  </si>
  <si>
    <t>WESTERN GEORGIA SHIRT</t>
  </si>
  <si>
    <t>FK LAGOON</t>
  </si>
  <si>
    <t>WSAZ35DH8</t>
  </si>
  <si>
    <t>SHANNON OVERDYE 1971 JEAN</t>
  </si>
  <si>
    <t>ACO CHARCOAL</t>
  </si>
  <si>
    <t>ACO BROWN</t>
  </si>
  <si>
    <t>WSAZ38DH9</t>
  </si>
  <si>
    <t>SHANNON OVERDYE 50S GROUP JEAN</t>
  </si>
  <si>
    <t>ACO DK SLATE BLU</t>
  </si>
  <si>
    <t>ACO PLUM</t>
  </si>
  <si>
    <t>ACO CRIMSON</t>
  </si>
  <si>
    <t>WSAZ46DH9</t>
  </si>
  <si>
    <t>GINA OVERDYE 50S GROUP JEAN</t>
  </si>
  <si>
    <t>WSBZ34DG6</t>
  </si>
  <si>
    <t>TRISHA BLACK 1971 JEAN</t>
  </si>
  <si>
    <t>ACTD</t>
  </si>
  <si>
    <t>ACTD GROOMS ROAD</t>
  </si>
  <si>
    <t>WSBZ35DG6</t>
  </si>
  <si>
    <t>SHANNON BLACK 1971 JEAN</t>
  </si>
  <si>
    <t>ACSD</t>
  </si>
  <si>
    <t>ACSD SUTTONS BAY</t>
  </si>
  <si>
    <t>WSBZ37DG6</t>
  </si>
  <si>
    <t>DUSTY BLACK 1971 JACKET</t>
  </si>
  <si>
    <t>WSBZ38DZ5</t>
  </si>
  <si>
    <t>SHANNON BLACK 50S GROUP</t>
  </si>
  <si>
    <t>ACUL</t>
  </si>
  <si>
    <t>ACUL GREY WOLF</t>
  </si>
  <si>
    <t>ACWM</t>
  </si>
  <si>
    <t>ACWM WESTBORO</t>
  </si>
  <si>
    <t>ADCD</t>
  </si>
  <si>
    <t>ADCD DK BLISTON</t>
  </si>
  <si>
    <t>WSBZ39DZ5</t>
  </si>
  <si>
    <t>CAMERON BLACK 50S GROUP</t>
  </si>
  <si>
    <t>ACVD</t>
  </si>
  <si>
    <t>ACVD COYOTE LANE</t>
  </si>
  <si>
    <t>WSBZ46DZ5</t>
  </si>
  <si>
    <t>GINA BLACK 50S GROUP</t>
  </si>
  <si>
    <t>WSCA091DK7</t>
  </si>
  <si>
    <t>JUDE SKINNY INDIGO 50S GROUP</t>
  </si>
  <si>
    <t>ADCM</t>
  </si>
  <si>
    <t>ADCM BLSTN W RPS</t>
  </si>
  <si>
    <t>WSCZ38DK7</t>
  </si>
  <si>
    <t>SHANNON INDIGO 50S GROUP</t>
  </si>
  <si>
    <t>ACPM</t>
  </si>
  <si>
    <t>ACPM STATELINE</t>
  </si>
  <si>
    <t>ACQD</t>
  </si>
  <si>
    <t>ACQD ZERELDA</t>
  </si>
  <si>
    <t>WSCZ39DK7</t>
  </si>
  <si>
    <t>CAMERON INDIGO 50S GROUP</t>
  </si>
  <si>
    <t>ADEM</t>
  </si>
  <si>
    <t>ADEM LINCOLN WAY</t>
  </si>
  <si>
    <t>ARSM</t>
  </si>
  <si>
    <t>ARSM TRAIN STATN</t>
  </si>
  <si>
    <t>WSCZ46DK7</t>
  </si>
  <si>
    <t>GINA INDIGO 50S GROUP</t>
  </si>
  <si>
    <t>ACRM</t>
  </si>
  <si>
    <t>ACRM SEDONA MARK</t>
  </si>
  <si>
    <t>WUF6H70EG1404</t>
  </si>
  <si>
    <t>WUF6H70EG</t>
  </si>
  <si>
    <t>MARISSA PANT</t>
  </si>
  <si>
    <t>DK HEATHER LEAD</t>
  </si>
  <si>
    <t>WUFA148EG</t>
  </si>
  <si>
    <t>CLASSIC HOODIE ZIP UP HOODIE</t>
  </si>
  <si>
    <t>WUJA137ER62660</t>
  </si>
  <si>
    <t>WUJA137ER6</t>
  </si>
  <si>
    <t>TR HAWKLINES TANK WITH SEAMS</t>
  </si>
  <si>
    <t>STUCCO</t>
  </si>
  <si>
    <t>WUQA142IK</t>
  </si>
  <si>
    <t>FITTED BUTTON DOWN LS WVN SHT</t>
  </si>
  <si>
    <t>WUZA123EQ81388</t>
  </si>
  <si>
    <t>WUZA123EQ8</t>
  </si>
  <si>
    <t>STRONG AND TRUE S/S CREWNK TEE</t>
  </si>
  <si>
    <t>AUL LEAD/CURRANT</t>
  </si>
  <si>
    <t>WUZA123EV01035</t>
  </si>
  <si>
    <t>WUZA123EV0</t>
  </si>
  <si>
    <t>BOUQUET S/S CREW NECK TEE</t>
  </si>
  <si>
    <t>WUZA123EV06634</t>
  </si>
  <si>
    <t>09 CURRANT</t>
  </si>
  <si>
    <t>WWJA318GB51851</t>
  </si>
  <si>
    <t>WWJA318GB5</t>
  </si>
  <si>
    <t>SHELBY VEST WHITE JASMINE</t>
  </si>
  <si>
    <t>WWJA319GB51851</t>
  </si>
  <si>
    <t>WWJA319GB5</t>
  </si>
  <si>
    <t>JOEY CUTOFF SHORT WHITE JASMIN</t>
  </si>
  <si>
    <t>WWJA326GB9</t>
  </si>
  <si>
    <t>RORI RELAXED STRGHT CASA BLNCA</t>
  </si>
  <si>
    <t>AXF CASA BLANCA</t>
  </si>
  <si>
    <t>WWJA332GB91980</t>
  </si>
  <si>
    <t>WWJA332GB9</t>
  </si>
  <si>
    <t>MILES RELAXED SHORT CASA BLNCA</t>
  </si>
  <si>
    <t>WWJA448GD8</t>
  </si>
  <si>
    <t>CORA SLIM STRAIGHT WHT JASMINE</t>
  </si>
  <si>
    <t>09 OPTIC WHITE JASMINE</t>
  </si>
  <si>
    <t>WWJA509IB91850</t>
  </si>
  <si>
    <t>WWJA509IB9</t>
  </si>
  <si>
    <t>EDIE MOTO SKINNY DESTRUCTD</t>
  </si>
  <si>
    <t>BCJ OPTIC WHITE</t>
  </si>
  <si>
    <t>WWJA509IB96430</t>
  </si>
  <si>
    <t>BCJ RIO RED</t>
  </si>
  <si>
    <t>WWJZ37GE6</t>
  </si>
  <si>
    <t>DUSTY WSTRN FTTD JCKT WHT JSMN</t>
  </si>
  <si>
    <t>WXQA137FS4</t>
  </si>
  <si>
    <t>STARS TANK WITH SEAMS</t>
  </si>
  <si>
    <t>V1 WHISPER WHITE</t>
  </si>
  <si>
    <t>WXQA137FS5</t>
  </si>
  <si>
    <t>SNAKE TANK WITH SEAMS</t>
  </si>
  <si>
    <t>V1 BLACK</t>
  </si>
  <si>
    <t>WY1K35EL1VB</t>
  </si>
  <si>
    <t>WY1K35EL</t>
  </si>
  <si>
    <t>CASEY LEGGING WOMEN JEAN</t>
  </si>
  <si>
    <t>1VB SUPER VIXEN BLACK</t>
  </si>
  <si>
    <t>WY1K44EL</t>
  </si>
  <si>
    <t>FFDB</t>
  </si>
  <si>
    <t>FFDB TOPANGA BLACK</t>
  </si>
  <si>
    <t>WY1N95EL1VB</t>
  </si>
  <si>
    <t>WY1N95EL</t>
  </si>
  <si>
    <t>HALLE SUPER SKINNY LEGGING  WM</t>
  </si>
  <si>
    <t>1VB SUPER VXN BLK</t>
  </si>
  <si>
    <t>WY6592Z824499</t>
  </si>
  <si>
    <t>WY6592Z82</t>
  </si>
  <si>
    <t>STELLA OMBRE WOMEN JEAN</t>
  </si>
  <si>
    <t>XW TURQUOISE</t>
  </si>
  <si>
    <t>WY6592Z826168</t>
  </si>
  <si>
    <t>XW RED</t>
  </si>
  <si>
    <t>WY6599Z826168</t>
  </si>
  <si>
    <t>WY6599Z82</t>
  </si>
  <si>
    <t>JULIE SUPER SKINNY LEGGING</t>
  </si>
  <si>
    <t>WY6599Z828047</t>
  </si>
  <si>
    <t>WY6A161EZ21001</t>
  </si>
  <si>
    <t>WY6A161EZ2</t>
  </si>
  <si>
    <t>CASEY SUPER SKINNY FTHERD DRMS</t>
  </si>
  <si>
    <t>ATP FTHERD DRMS</t>
  </si>
  <si>
    <t>WY6G10CE74635</t>
  </si>
  <si>
    <t>WY6G10CE7</t>
  </si>
  <si>
    <t>JOEY TIE DYE BRIGHTS SHORT</t>
  </si>
  <si>
    <t>YO TURQUOISE</t>
  </si>
  <si>
    <t>WY6G11G17</t>
  </si>
  <si>
    <t>BOBBY CUT OFF WOMEN SHORT</t>
  </si>
  <si>
    <t>HW LAPIS</t>
  </si>
  <si>
    <t>WY6K35M331851</t>
  </si>
  <si>
    <t>WY6K35M33</t>
  </si>
  <si>
    <t>CASEY SKINNY WOMENS JEAN</t>
  </si>
  <si>
    <t>WY6K35Y123229</t>
  </si>
  <si>
    <t>WY6K35Y12</t>
  </si>
  <si>
    <t>CASEY WOMEN JEAN</t>
  </si>
  <si>
    <t>VT BOTTLE GREEN</t>
  </si>
  <si>
    <t>VT TOMATO</t>
  </si>
  <si>
    <t>WY6K35Z823202</t>
  </si>
  <si>
    <t>WY6K35Z82</t>
  </si>
  <si>
    <t>CASEY SUPER SKINNY LEGGING</t>
  </si>
  <si>
    <t>XX LAWN</t>
  </si>
  <si>
    <t>XX RED</t>
  </si>
  <si>
    <t>XX PINEAPPLE</t>
  </si>
  <si>
    <t>WY6K75Z824499</t>
  </si>
  <si>
    <t>WY6K75Z82</t>
  </si>
  <si>
    <t>CARRIE OMBRE WOMEN JEAN</t>
  </si>
  <si>
    <t>WY6K75Z827346</t>
  </si>
  <si>
    <t>XW PINEAPPLE</t>
  </si>
  <si>
    <t>WY6M39G171867</t>
  </si>
  <si>
    <t>WY6M39G17</t>
  </si>
  <si>
    <t>KRISTA SUPER SKINNY CARGO LEGG</t>
  </si>
  <si>
    <t>HW OPTIC WHITE</t>
  </si>
  <si>
    <t>WY6N95AG8</t>
  </si>
  <si>
    <t>HALLE SUPER SKINNY LEGGING WM</t>
  </si>
  <si>
    <t>WY6N95CE46846</t>
  </si>
  <si>
    <t>WY6N95CE4</t>
  </si>
  <si>
    <t>V2 SNKE TD TNL PK</t>
  </si>
  <si>
    <t>WY6N95CE47447</t>
  </si>
  <si>
    <t>V2 SNKE TD MLTI YEL</t>
  </si>
  <si>
    <t>WY6N95CQ74666</t>
  </si>
  <si>
    <t>WY6N95CQ7</t>
  </si>
  <si>
    <t>HALLE PYTHON PRINT LEGGING</t>
  </si>
  <si>
    <t>ABM BLUE</t>
  </si>
  <si>
    <t>WY6N95CQ76191</t>
  </si>
  <si>
    <t>ABM RED</t>
  </si>
  <si>
    <t>WY6N95K674060</t>
  </si>
  <si>
    <t>WY6N95K67</t>
  </si>
  <si>
    <t>HALLE MID RISE SPR SKINNY</t>
  </si>
  <si>
    <t>09 ROYAL BLUE</t>
  </si>
  <si>
    <t>WY6N95Z82</t>
  </si>
  <si>
    <t>HALLE SUPER SKINNY WOMAN JEAN</t>
  </si>
  <si>
    <t>WP TIE DYE GREY</t>
  </si>
  <si>
    <t>WY6N95Z823202</t>
  </si>
  <si>
    <t>WP TIE DYE BAHAMAS</t>
  </si>
  <si>
    <t>WY6N95Z825080</t>
  </si>
  <si>
    <t>XX WILD ORCHID</t>
  </si>
  <si>
    <t>WY6N95Z826169</t>
  </si>
  <si>
    <t>WY6N95Z934479</t>
  </si>
  <si>
    <t>WY6N95Z93</t>
  </si>
  <si>
    <t>HALLE METALLIC SPRAY WOMEN JEA</t>
  </si>
  <si>
    <t>WS TURQUOISE</t>
  </si>
  <si>
    <t>WY6N95Z935078</t>
  </si>
  <si>
    <t>WS PURPLE</t>
  </si>
  <si>
    <t>WY6N96BB96169</t>
  </si>
  <si>
    <t>WY6N96BB9</t>
  </si>
  <si>
    <t>SERENA CRYSTAL SPRAY COLOR</t>
  </si>
  <si>
    <t>WY6N96BC03202</t>
  </si>
  <si>
    <t>WY6N96BC0</t>
  </si>
  <si>
    <t>WY6N96BC14319</t>
  </si>
  <si>
    <t>WY6N96BC1</t>
  </si>
  <si>
    <t>XX ROYAL BLUE</t>
  </si>
  <si>
    <t>WY6N96BC45080</t>
  </si>
  <si>
    <t>WY6N96BC4</t>
  </si>
  <si>
    <t>WY6N96BK17347</t>
  </si>
  <si>
    <t>WY6N96BK1</t>
  </si>
  <si>
    <t>WY6N96BK36258</t>
  </si>
  <si>
    <t>WY6N96BK3</t>
  </si>
  <si>
    <t>XX FUSCHIA</t>
  </si>
  <si>
    <t>WY6N96K671825</t>
  </si>
  <si>
    <t>WY6N96K67</t>
  </si>
  <si>
    <t>SERENA MID RISE SPR SKINNY LEG</t>
  </si>
  <si>
    <t>PX OPTIC WHITE</t>
  </si>
  <si>
    <t>WY6P55M465324</t>
  </si>
  <si>
    <t>WY6P55M46</t>
  </si>
  <si>
    <t>MISTY SUPER SKINNY LEGGING</t>
  </si>
  <si>
    <t>PX FADED VIOLET</t>
  </si>
  <si>
    <t>WZ1K35C941035</t>
  </si>
  <si>
    <t>WZ1K35C94</t>
  </si>
  <si>
    <t>CASEY SUPER SKINNY WOMEN LEGGI</t>
  </si>
  <si>
    <t>WZ1K35E422519</t>
  </si>
  <si>
    <t>WZ1K35E42</t>
  </si>
  <si>
    <t>09 KHAKI</t>
  </si>
  <si>
    <t>WZ58J97Q861745</t>
  </si>
  <si>
    <t>WZ58J97Q86</t>
  </si>
  <si>
    <t>RACER BACK TANK - WOMENS</t>
  </si>
  <si>
    <t>2S WHITE</t>
  </si>
  <si>
    <t>WZ58J97Q864113</t>
  </si>
  <si>
    <t>2S ROYAL BLUE</t>
  </si>
  <si>
    <t>WZ86H70EH1535</t>
  </si>
  <si>
    <t>WZ86H70EH</t>
  </si>
  <si>
    <t>XC HEATHER GREY</t>
  </si>
  <si>
    <t>WZ87L61EH1505</t>
  </si>
  <si>
    <t>WZ87L61EH</t>
  </si>
  <si>
    <t>2S HEATHER GREY</t>
  </si>
  <si>
    <t>Style#</t>
  </si>
  <si>
    <t>Style Desc</t>
  </si>
  <si>
    <t>Cost</t>
  </si>
  <si>
    <t>Price</t>
  </si>
  <si>
    <t>Seas</t>
  </si>
  <si>
    <t>Clr</t>
  </si>
  <si>
    <t>Clr Desc</t>
  </si>
  <si>
    <t>05800EL</t>
  </si>
  <si>
    <t>BOBBY MEN JEAN</t>
  </si>
  <si>
    <t>01B</t>
  </si>
  <si>
    <t>01B RAW BLACK</t>
  </si>
  <si>
    <t>2RB</t>
  </si>
  <si>
    <t>2RB ASHBURY BLACK</t>
  </si>
  <si>
    <t>2VB</t>
  </si>
  <si>
    <t>2VB MED DRIFTER W/O RIPS BLACK</t>
  </si>
  <si>
    <t>3MB</t>
  </si>
  <si>
    <t>3MB DK DRIFTER W/O RIPS BLACK</t>
  </si>
  <si>
    <t>09HO</t>
  </si>
  <si>
    <t>9VB</t>
  </si>
  <si>
    <t>9VB SUPERFLY BLACK</t>
  </si>
  <si>
    <t>BZB</t>
  </si>
  <si>
    <t>BZB INGLORIOUS BLACK</t>
  </si>
  <si>
    <t>GTMB</t>
  </si>
  <si>
    <t>GTMB SILVERWOOD BLACK</t>
  </si>
  <si>
    <t>05858EL</t>
  </si>
  <si>
    <t>BILLY MEN JEAN</t>
  </si>
  <si>
    <t>3MB DK DFTR WO RPS BL</t>
  </si>
  <si>
    <t>05859EL</t>
  </si>
  <si>
    <t>RICKY MEN JEAN</t>
  </si>
  <si>
    <t>09FA</t>
  </si>
  <si>
    <t>05E08EL</t>
  </si>
  <si>
    <t>JACK MEN JEAN</t>
  </si>
  <si>
    <t>05J60EL</t>
  </si>
  <si>
    <t>ROCCO MEN JEAN</t>
  </si>
  <si>
    <t>POINT GUARD SUPER T RELAXED ME</t>
  </si>
  <si>
    <t>GSD</t>
  </si>
  <si>
    <t>GSD NASHVILLE</t>
  </si>
  <si>
    <t>WORLD CHAMP SUPER T  MEN JEAN</t>
  </si>
  <si>
    <t>GMM</t>
  </si>
  <si>
    <t>GMM YUKON</t>
  </si>
  <si>
    <t>BOBBY BIG QT STRAIGHT MEN JEAN</t>
  </si>
  <si>
    <t>KPL</t>
  </si>
  <si>
    <t>KPL TULSA</t>
  </si>
  <si>
    <t>PRM</t>
  </si>
  <si>
    <t>PRM ENGINEER</t>
  </si>
  <si>
    <t>PHL</t>
  </si>
  <si>
    <t>PHL FAIRFAX</t>
  </si>
  <si>
    <t>BOBBY SUPER QT STRAIGHT MENS J</t>
  </si>
  <si>
    <t>BOBBY QT MEN JEAN</t>
  </si>
  <si>
    <t>10HO</t>
  </si>
  <si>
    <t>BZ</t>
  </si>
  <si>
    <t>BZ INGLORIOUS</t>
  </si>
  <si>
    <t>ENM</t>
  </si>
  <si>
    <t>ENM YOUNG GUN</t>
  </si>
  <si>
    <t>LHM</t>
  </si>
  <si>
    <t>LHM DODGE CITY</t>
  </si>
  <si>
    <t>JOEY BIG QT TWISTED FLARE MEN</t>
  </si>
  <si>
    <t>JOEY SUPER QT TWISTED FLARE</t>
  </si>
  <si>
    <t>BILLY BIG QT BOOT CUT MEN JEAN</t>
  </si>
  <si>
    <t>BILLY SUPER QT BOOT CUT MENS J</t>
  </si>
  <si>
    <t>BILLY QT MEN JEAN</t>
  </si>
  <si>
    <t>RICKY BIG QT STRAIGHT MEN JEAN</t>
  </si>
  <si>
    <t>RICKY SUPER QT STRAIGHT MENS J</t>
  </si>
  <si>
    <t>RICKY SUPER QT MEN JEAN</t>
  </si>
  <si>
    <t>89 JACKKNIFE DK</t>
  </si>
  <si>
    <t>JACK QT MEN JEAN</t>
  </si>
  <si>
    <t>MZD</t>
  </si>
  <si>
    <t>MZD RETRIBUTION</t>
  </si>
  <si>
    <t>ROCCO QT MEN JEAN</t>
  </si>
  <si>
    <t>MWM</t>
  </si>
  <si>
    <t>MWM CONDUCTOR</t>
  </si>
  <si>
    <t>BOBBY BIG QT STRAIGHT MN JEANS</t>
  </si>
  <si>
    <t>SPD</t>
  </si>
  <si>
    <t>SPD RANSOM</t>
  </si>
  <si>
    <t>BOBBY BIG QT STRAIGHT MN JEAN</t>
  </si>
  <si>
    <t>PGD</t>
  </si>
  <si>
    <t>PGD ASSASINATION</t>
  </si>
  <si>
    <t>RICKY BIG QT STRAIGHT MN JEANS</t>
  </si>
  <si>
    <t>TR CLASSIC RYAN PANT</t>
  </si>
  <si>
    <t>KHAKI</t>
  </si>
  <si>
    <t>ARMY GREEN</t>
  </si>
  <si>
    <t>SCARLET</t>
  </si>
  <si>
    <t>TR CLASSIC RYAN MENS  PANT</t>
  </si>
  <si>
    <t>RICKY CUT OFF MEN'S SHORT</t>
  </si>
  <si>
    <t>KML</t>
  </si>
  <si>
    <t>KML JAMESTOWN</t>
  </si>
  <si>
    <t>TONY C/O MEN'S SHORT</t>
  </si>
  <si>
    <t>KT DUNE</t>
  </si>
  <si>
    <t>QT TRACK PANT - MEN'S</t>
  </si>
  <si>
    <t>QT TRACK SWEAT PANT</t>
  </si>
  <si>
    <t>BOBBY WOMEN JEAN</t>
  </si>
  <si>
    <t>JOHNNY WOMENS STRETCH</t>
  </si>
  <si>
    <t>10502NBT2</t>
  </si>
  <si>
    <t>JOHNNY  NATURAL SUPER T WOMENS</t>
  </si>
  <si>
    <t>07M1</t>
  </si>
  <si>
    <t>10502TS</t>
  </si>
  <si>
    <t>JOHNNY  WMNS STRETCH</t>
  </si>
  <si>
    <t>BA</t>
  </si>
  <si>
    <t>BA SHORT FUSE MED</t>
  </si>
  <si>
    <t>JOEY STRETCH WOMAN JEAN</t>
  </si>
  <si>
    <t>MQD</t>
  </si>
  <si>
    <t>MQD RANSACK</t>
  </si>
  <si>
    <t>10503NBT2</t>
  </si>
  <si>
    <t>JOEY SPT WOMEN JEAN</t>
  </si>
  <si>
    <t>MSM</t>
  </si>
  <si>
    <t>MSM AVALON</t>
  </si>
  <si>
    <t>NAM</t>
  </si>
  <si>
    <t>NAM CHESAPEAKE</t>
  </si>
  <si>
    <t>BECKY WOMEN JEAN</t>
  </si>
  <si>
    <t>LDM</t>
  </si>
  <si>
    <t>LDM GAMBLER</t>
  </si>
  <si>
    <t>10564BKT2</t>
  </si>
  <si>
    <t>BECKY SUPER T WOMEN JEAN</t>
  </si>
  <si>
    <t>EMM</t>
  </si>
  <si>
    <t>EMM OMAHA</t>
  </si>
  <si>
    <t>10564TS</t>
  </si>
  <si>
    <t>BECKY WMNS STRETCH</t>
  </si>
  <si>
    <t>BILLY WOMEN JEAN</t>
  </si>
  <si>
    <t>10572B17</t>
  </si>
  <si>
    <t>BILLY DISCO FEVER  WOMEN JEAN</t>
  </si>
  <si>
    <t>BE</t>
  </si>
  <si>
    <t>BE VIGILANTE MED</t>
  </si>
  <si>
    <t>EJD</t>
  </si>
  <si>
    <t>EJD DUSTY SKIES</t>
  </si>
  <si>
    <t>MWD</t>
  </si>
  <si>
    <t>MWD INDEPENDENCE</t>
  </si>
  <si>
    <t>10572TS</t>
  </si>
  <si>
    <t>BILLY WOMENS JEAN</t>
  </si>
  <si>
    <t>STELLA WOMEN JEAN</t>
  </si>
  <si>
    <t>W9</t>
  </si>
  <si>
    <t>W9 SANTA CRUZ DK</t>
  </si>
  <si>
    <t>10592NBT2</t>
  </si>
  <si>
    <t>STELLA SUPER T</t>
  </si>
  <si>
    <t>10599C73</t>
  </si>
  <si>
    <t>JULIE DISCO FEVER  WOMEN JEAN</t>
  </si>
  <si>
    <t>10599NBT2</t>
  </si>
  <si>
    <t>JULIE NATURAL SUPER T WOMENS J</t>
  </si>
  <si>
    <t>U6</t>
  </si>
  <si>
    <t>U6 PALE OAK MED</t>
  </si>
  <si>
    <t>10599TS</t>
  </si>
  <si>
    <t>JULIE WMNS STRETCH</t>
  </si>
  <si>
    <t>10K68</t>
  </si>
  <si>
    <t>JODIE STRETCH WOMAN JEAN</t>
  </si>
  <si>
    <t>10K73</t>
  </si>
  <si>
    <t>TONY STRETCH WOMAN JEAN</t>
  </si>
  <si>
    <t>ROCKY Q-T  WESTERN SHIRT   -</t>
  </si>
  <si>
    <t>L/S ROCKY PLAID WESTERN SHIRT</t>
  </si>
  <si>
    <t>PINE</t>
  </si>
  <si>
    <t>WOODS</t>
  </si>
  <si>
    <t>HENDON</t>
  </si>
  <si>
    <t>YELLOWSTONE</t>
  </si>
  <si>
    <t>HENDRIX</t>
  </si>
  <si>
    <t>FOSTER</t>
  </si>
  <si>
    <t>HICKORY</t>
  </si>
  <si>
    <t>LINCOLN</t>
  </si>
  <si>
    <t>BRICK</t>
  </si>
  <si>
    <t>L/S PLAID ROCKY WESTERN SHIRT</t>
  </si>
  <si>
    <t>STONE</t>
  </si>
  <si>
    <t>CINNAMON</t>
  </si>
  <si>
    <t>HAZELNUT</t>
  </si>
  <si>
    <t>LIME</t>
  </si>
  <si>
    <t>MUSTARD</t>
  </si>
  <si>
    <t>GINGER</t>
  </si>
  <si>
    <t>ROCKY SOLID POPLIN WESTERN SHI</t>
  </si>
  <si>
    <t>PEBBLE GREY</t>
  </si>
  <si>
    <t>L/S MN RYAN PPLN WST</t>
  </si>
  <si>
    <t>SEAL</t>
  </si>
  <si>
    <t>SNAKE EYES L/S WESTERN SOLID P</t>
  </si>
  <si>
    <t>39 PRINT L/S  LOGO THERMAL HEN</t>
  </si>
  <si>
    <t>L/S MENS CREW LOGO WINGS THERM</t>
  </si>
  <si>
    <t>L/S MENS CREW VINTAGE FORMULA</t>
  </si>
  <si>
    <t>BEGINNERS LUCK  L/S CREWNK SHI</t>
  </si>
  <si>
    <t>ARMY / OLIVE</t>
  </si>
  <si>
    <t>MOTOR CAGE L/S THERMAL HENLEY</t>
  </si>
  <si>
    <t>WINGS TORQUE L/S MENS CREWNECK</t>
  </si>
  <si>
    <t>FORMULA ONE VINTAGE L/S CREW T</t>
  </si>
  <si>
    <t>HORSESHOE L/S MENS CREW NECK T</t>
  </si>
  <si>
    <t>S/S CRW TEE PEACE DOVE</t>
  </si>
  <si>
    <t>S/S MEN'S CREW TEE W/CHAIRMAN</t>
  </si>
  <si>
    <t>COBALT BLUE</t>
  </si>
  <si>
    <t>SS CRW T HORSESHOE</t>
  </si>
  <si>
    <t>PULLING JEANS S/S CREW TSHIRT</t>
  </si>
  <si>
    <t>SUPER T 1956 S/S CREWNECK TEE</t>
  </si>
  <si>
    <t>SPICE</t>
  </si>
  <si>
    <t>STREAKIN' S/S CREWNECK TEE</t>
  </si>
  <si>
    <t>DK MOSS</t>
  </si>
  <si>
    <t>PEACE SIGN S/S CREWNECK TEE</t>
  </si>
  <si>
    <t>VIOLA</t>
  </si>
  <si>
    <t>TORQUE SKULL S/S CREWNECK TEE</t>
  </si>
  <si>
    <t>ROCK ON S/S CREWNECK TEE</t>
  </si>
  <si>
    <t>RUN FOR THE HILLS S/S CRWNK TE</t>
  </si>
  <si>
    <t>CRYING QUEEN S/S CREWNECK TEE</t>
  </si>
  <si>
    <t>LIFEGUARD CHIN S/S MEN CREW NE</t>
  </si>
  <si>
    <t>NO MORE DRAMA S/S CREWNECK TEE</t>
  </si>
  <si>
    <t>EMERALD</t>
  </si>
  <si>
    <t>SAILOR MISSY S/S MENS CREW NEC</t>
  </si>
  <si>
    <t>S/S MEN'S CREW TEE SHIRT W/PUF</t>
  </si>
  <si>
    <t>ROYAL BLUE</t>
  </si>
  <si>
    <t>AQUA</t>
  </si>
  <si>
    <t>PINEAPPLE</t>
  </si>
  <si>
    <t>DOUBLE PUFF LOGO S/S V-NECK TE</t>
  </si>
  <si>
    <t>THE FACE S/S V-NECK TEE</t>
  </si>
  <si>
    <t>MENS S/S CREW SOLID BASIC TEE</t>
  </si>
  <si>
    <t>ZIPPY S/S MEN'S CREW NECK TEE</t>
  </si>
  <si>
    <t>BUTTER</t>
  </si>
  <si>
    <t>HAUL ASS S/S MEN'S CREW NECK T</t>
  </si>
  <si>
    <t>SKULL FLAG S/S CREWNECK TEE</t>
  </si>
  <si>
    <t>SAMURAI S/S MEN'S CREW TEE</t>
  </si>
  <si>
    <t>COIN TOSS S/S MEN'S CREWNECK T</t>
  </si>
  <si>
    <t>DBL PUFF HORSESHOE SS CREWNECK</t>
  </si>
  <si>
    <t>EGGPLANT</t>
  </si>
  <si>
    <t>SAGE</t>
  </si>
  <si>
    <t>PERIDOT</t>
  </si>
  <si>
    <t>LAPIS</t>
  </si>
  <si>
    <t>PEONY</t>
  </si>
  <si>
    <t>CANARY</t>
  </si>
  <si>
    <t>SELVEDGE T.N.T  SS CREWNECK TE</t>
  </si>
  <si>
    <t>CONEY ISLAND SS CREWNECK TEE</t>
  </si>
  <si>
    <t>SKULL CONCERT SS CREWNECK TEE</t>
  </si>
  <si>
    <t>HAND OF FREEDOM SS CREWNECK TE</t>
  </si>
  <si>
    <t>PROUD TRBJ SS CREWNECK TEE</t>
  </si>
  <si>
    <t>INTERNATIONAL INDIGO SS CREWNE</t>
  </si>
  <si>
    <t>BUDDHA BRAND SS CREWNECK TEE</t>
  </si>
  <si>
    <t>TR TOUR SS CREWNECK TEE</t>
  </si>
  <si>
    <t>DEAD LOVE SS CREWNECK TEE</t>
  </si>
  <si>
    <t>JEFF RECORDS SS CREWNECK TEE</t>
  </si>
  <si>
    <t>BUDDHA SS CREWNECK TEE</t>
  </si>
  <si>
    <t>INDIAN WOODS SS CREWNECK TEE</t>
  </si>
  <si>
    <t>KELLY GREEN</t>
  </si>
  <si>
    <t>TR SCRIPT SS V NECK TRIBLND TE</t>
  </si>
  <si>
    <t>ALMOST FAMOUS S/S V-NECK TEE</t>
  </si>
  <si>
    <t>BIG TAKE OVER S/S CREW NECK  T</t>
  </si>
  <si>
    <t>ROSE BOWL S/S CREWNECK  TEE</t>
  </si>
  <si>
    <t>MOJAVE S/S CREWNECK TEE</t>
  </si>
  <si>
    <t>ELM STREET S/S CREWNECK TEE</t>
  </si>
  <si>
    <t>PYRAMID S/S CREW NECKTEE</t>
  </si>
  <si>
    <t>POPS SALOON  S/S CREW NECKTEE</t>
  </si>
  <si>
    <t>ORANGE PEEL</t>
  </si>
  <si>
    <t>MR. NICE GUY S/S CREW NECK TEE</t>
  </si>
  <si>
    <t>HANDRAWN U TRIBLEND SS VNECK T</t>
  </si>
  <si>
    <t>SNAKE EYES TRIBLEND SS VNECK T</t>
  </si>
  <si>
    <t>PHOENIX U TRIBLEND SS VNECK TE</t>
  </si>
  <si>
    <t>BIG TAKE OVER S/S CREWNECK TEE</t>
  </si>
  <si>
    <t>ROSE BOWL S/S CREWNECK TEE</t>
  </si>
  <si>
    <t>ELM STREET SS CREWNECK TEE</t>
  </si>
  <si>
    <t>PYRAMID S/S CREW NECK TEE</t>
  </si>
  <si>
    <t>SHOWCARD APPLQ BIGT HOODIE</t>
  </si>
  <si>
    <t>TR CLASSIC BIG-T MENS ZIP HOOD</t>
  </si>
  <si>
    <t>HORSESHOE QT STITCH ZIP HOODIE</t>
  </si>
  <si>
    <t>HORSESHOE QT ZIP HOODIE</t>
  </si>
  <si>
    <t>QT GOLDEN MENS FLEECE ZIP HOOD</t>
  </si>
  <si>
    <t>HORSESHOE GOLDEN BIG-T ZIP HOO</t>
  </si>
  <si>
    <t>SHEARLING PATCHES BIG-T ZIP HO</t>
  </si>
  <si>
    <t>RAGLAN MENS  ZIP UP HOODIE</t>
  </si>
  <si>
    <t>JIMMY PUFFER MEN'S VEST</t>
  </si>
  <si>
    <t>LMD</t>
  </si>
  <si>
    <t>LMD AZTEC</t>
  </si>
  <si>
    <t>JIMMY QT WESTERN MENS JACKET</t>
  </si>
  <si>
    <t>CK</t>
  </si>
  <si>
    <t>CK CLAIM JUMPER DK</t>
  </si>
  <si>
    <t>Y5</t>
  </si>
  <si>
    <t>Y5 DK TROUBLE SHOOTER</t>
  </si>
  <si>
    <t>JIMMY SHERPA JACKET</t>
  </si>
  <si>
    <t>BECKY BGT QT BOOTCUT WMN JN</t>
  </si>
  <si>
    <t>BILLY BGT STRAIGHT LEG WM JN</t>
  </si>
  <si>
    <t>BILLY GIANT BGT CLASSIC WOMEN</t>
  </si>
  <si>
    <t>2S BODY RINSE WHITE</t>
  </si>
  <si>
    <t>SNAKE EYES MARISSA PANTS</t>
  </si>
  <si>
    <t>TR SIGNATURE FOIL MARISSA PANT</t>
  </si>
  <si>
    <t>SMOKEY QUARTZ</t>
  </si>
  <si>
    <t>ACID WASH STRAIGHT LEG SWEAT P</t>
  </si>
  <si>
    <t>STRAIGHT LEG SWEATPANT</t>
  </si>
  <si>
    <t>LILAC</t>
  </si>
  <si>
    <t>SS ROBYN PIGMENT DYE SHIRT</t>
  </si>
  <si>
    <t>HORSESHOE L/S TRI-BLEND HENLEY</t>
  </si>
  <si>
    <t>MADE OF STARS TRI-BLEND L/S HE</t>
  </si>
  <si>
    <t>SURPLUS</t>
  </si>
  <si>
    <t>CRYSTAL KRISTEN HENLEY L/S WOM</t>
  </si>
  <si>
    <t>DAFFODIL</t>
  </si>
  <si>
    <t>PUFF PRINT SS V-NK TEE</t>
  </si>
  <si>
    <t>HORSESHOE S/S V-NECK TEE</t>
  </si>
  <si>
    <t>ELECTRIC BLUE</t>
  </si>
  <si>
    <t>TEAR CRYSTALS S/S V- NECK TEE</t>
  </si>
  <si>
    <t>RED HAT CRYSTALS C S/S V-NECK</t>
  </si>
  <si>
    <t>BLONDIE COMIC S/S V-NECK TEE</t>
  </si>
  <si>
    <t>MAMMA! CRYSTAL S/S VNECK TEE</t>
  </si>
  <si>
    <t>S/S V NECK SHARE LOVE TEE</t>
  </si>
  <si>
    <t>FOR THE SENSES S/S VNECK TEE</t>
  </si>
  <si>
    <t>WINTER WHITE</t>
  </si>
  <si>
    <t>MORE LOVE S/S V-NECK TEE</t>
  </si>
  <si>
    <t>LT PINK</t>
  </si>
  <si>
    <t>MOON GREY</t>
  </si>
  <si>
    <t>BAHAMAS</t>
  </si>
  <si>
    <t>HORSESHOE S/S  CREWNECK TEE</t>
  </si>
  <si>
    <t>SITTING CRYSTAL S/S CREWNECK T</t>
  </si>
  <si>
    <t>TRBJ HEART S/S CREWNECK TEE</t>
  </si>
  <si>
    <t>CHARLOTTE S/S TEE W/LONG HORN</t>
  </si>
  <si>
    <t>ROSEWATER</t>
  </si>
  <si>
    <t>CHARLOTTE S/S CRYSTAL TEE W/FE</t>
  </si>
  <si>
    <t>L.O.V.E. S/S CHARLOTTE TEE</t>
  </si>
  <si>
    <t>SITTING CRYSTALS S/S CREWNECK</t>
  </si>
  <si>
    <t>L/S TRIBLEND SOLID SCOOP NECK</t>
  </si>
  <si>
    <t>S/S  SPARKLE  VNECK TEE</t>
  </si>
  <si>
    <t>TR LOGO SS VNECK TEE</t>
  </si>
  <si>
    <t>AMETHYST</t>
  </si>
  <si>
    <t>PACIFIC</t>
  </si>
  <si>
    <t>WORLD TOUR TRIBLEND S/S VNECK</t>
  </si>
  <si>
    <t>ASHBURY TRIBLEND S/S VNECK TEE</t>
  </si>
  <si>
    <t>LOVE S/S TRIBLEND VNECK TEE</t>
  </si>
  <si>
    <t>TRI-BLEND SS VNECK TEE</t>
  </si>
  <si>
    <t>BRUSH WASH S/S V-NCK T</t>
  </si>
  <si>
    <t>GUITAR TOUR TRIBLEND S/S CREWN</t>
  </si>
  <si>
    <t>MYSTIC PIZZA TRIBLEND S/S CREW</t>
  </si>
  <si>
    <t>SOMETHING BLUE</t>
  </si>
  <si>
    <t>WILD &amp; TRUE CHARLOTTE S/S TRI-</t>
  </si>
  <si>
    <t>L/S SCOOP NECK SPARKLE TEE</t>
  </si>
  <si>
    <t>BUFFALO L/S SCOOP NECK TEE</t>
  </si>
  <si>
    <t>SKULL TRIBLEND S/S VNECK TEE</t>
  </si>
  <si>
    <t>LOVE TRIBLEND S/S VNECK TEE</t>
  </si>
  <si>
    <t>TRBJ TOUR TRIBLEND S/S VNECK T</t>
  </si>
  <si>
    <t>CHARLOTTE S/S TRI-BLEN TEE W/F</t>
  </si>
  <si>
    <t>HORSESHOE  CLASSIC QT ZIP HOOD</t>
  </si>
  <si>
    <t>HORSESHOE ZIP  Q-T HOODIE</t>
  </si>
  <si>
    <t>DUSK</t>
  </si>
  <si>
    <t>MINERAL WASH CLASSIC ZIP HOODI</t>
  </si>
  <si>
    <t>BIG T TR APPLIQUE CLASSIC ZIP</t>
  </si>
  <si>
    <t>GOLD RAYS ZIP HOODIE</t>
  </si>
  <si>
    <t>STUDDED CLASSIC ZIP HOODIE</t>
  </si>
  <si>
    <t>SPARKLE HORSESHOE CLASSIC HOOD</t>
  </si>
  <si>
    <t>GOLD RAYS ZIP FRONT HOODIE</t>
  </si>
  <si>
    <t>CYNTHIA SOLID TANK - UPDATED</t>
  </si>
  <si>
    <t>OPTIC WHITE</t>
  </si>
  <si>
    <t>SOLID TANK- WOMENS</t>
  </si>
  <si>
    <t>MARIGOLD TANK</t>
  </si>
  <si>
    <t>CRYSTAL HORSESHOE KRISTEN TANK</t>
  </si>
  <si>
    <t>SOLID KRISTEN TANK</t>
  </si>
  <si>
    <t>24800A80</t>
  </si>
  <si>
    <t>BOBBY SUPER  T MEN JEAN</t>
  </si>
  <si>
    <t>F5</t>
  </si>
  <si>
    <t>F5 HIGH PLAINS LT</t>
  </si>
  <si>
    <t>24800BWT2</t>
  </si>
  <si>
    <t>BOBBY SUPER T MEN JEAN</t>
  </si>
  <si>
    <t>R8</t>
  </si>
  <si>
    <t>R8 DOUBLE BARREL W/O RIPS</t>
  </si>
  <si>
    <t>24800NBT2</t>
  </si>
  <si>
    <t>TED BLACK</t>
  </si>
  <si>
    <t>TED CHARCOAL</t>
  </si>
  <si>
    <t>TED BROWN</t>
  </si>
  <si>
    <t>TED TAUPE</t>
  </si>
  <si>
    <t>TED NAVY</t>
  </si>
  <si>
    <t>GQD</t>
  </si>
  <si>
    <t>GQD BROKEN TRAIL</t>
  </si>
  <si>
    <t>HAM</t>
  </si>
  <si>
    <t>HAM INDUSTRIAL</t>
  </si>
  <si>
    <t>SXM</t>
  </si>
  <si>
    <t>SXM TRUSTFALL</t>
  </si>
  <si>
    <t>24800OMBBV</t>
  </si>
  <si>
    <t>BOBBY STRAIGHT LEG MEN'S JEAN</t>
  </si>
  <si>
    <t>CR</t>
  </si>
  <si>
    <t>CR RUSTY BARREL DK</t>
  </si>
  <si>
    <t>LZD</t>
  </si>
  <si>
    <t>LZD IRON HORSE</t>
  </si>
  <si>
    <t>X5</t>
  </si>
  <si>
    <t>X5 SUN BLEACHED LT</t>
  </si>
  <si>
    <t>24803NBT2</t>
  </si>
  <si>
    <t>JOEY SUPER T MEN JEAN</t>
  </si>
  <si>
    <t>24803OMBBV</t>
  </si>
  <si>
    <t>JOEY FLARE MEN'S JEAN</t>
  </si>
  <si>
    <t>24858NBT2</t>
  </si>
  <si>
    <t>BILLY SUPER T MEN JEAN</t>
  </si>
  <si>
    <t>AADM</t>
  </si>
  <si>
    <t>AADM DEVERS CNYN</t>
  </si>
  <si>
    <t>AAFL</t>
  </si>
  <si>
    <t>AAFL WICKETT</t>
  </si>
  <si>
    <t>AAGM</t>
  </si>
  <si>
    <t>AAGM TRIBUTE</t>
  </si>
  <si>
    <t>AAHM</t>
  </si>
  <si>
    <t>AAHM SGUARO VLEY</t>
  </si>
  <si>
    <t>AAPM</t>
  </si>
  <si>
    <t>AAPM BLACK WATER</t>
  </si>
  <si>
    <t>ADKL</t>
  </si>
  <si>
    <t>ADKL ABBOTT WAY</t>
  </si>
  <si>
    <t>24858OMBBV</t>
  </si>
  <si>
    <t>BILLY BOOT CUT MEN'S JEAN</t>
  </si>
  <si>
    <t>24859BKT2</t>
  </si>
  <si>
    <t>RICKY SUPER T MEN JEAN</t>
  </si>
  <si>
    <t>BB</t>
  </si>
  <si>
    <t>BB SHORT FUSE MED W/O RIPS</t>
  </si>
  <si>
    <t>24859E4GBT</t>
  </si>
  <si>
    <t>RICKY GIANT BIG T MEN JEAN</t>
  </si>
  <si>
    <t>AN</t>
  </si>
  <si>
    <t>AN LAWLESS LAND DK</t>
  </si>
  <si>
    <t>24859FBTDL</t>
  </si>
  <si>
    <t>RICKY BIG T MEN JEAN</t>
  </si>
  <si>
    <t>37 RIDIN DIRTY MED</t>
  </si>
  <si>
    <t>24859MCT2</t>
  </si>
  <si>
    <t>24859NBT2</t>
  </si>
  <si>
    <t>08SM</t>
  </si>
  <si>
    <t>24859NNBT2</t>
  </si>
  <si>
    <t>RICKY STRAIGHT NATURAL SUPER T</t>
  </si>
  <si>
    <t>14FA</t>
  </si>
  <si>
    <t>24859OMBB</t>
  </si>
  <si>
    <t>01 RAW</t>
  </si>
  <si>
    <t>24859OMBBV</t>
  </si>
  <si>
    <t>RICKY STRAIGHT LEG MEN'S JEAN</t>
  </si>
  <si>
    <t>24861NBT2</t>
  </si>
  <si>
    <t>LOGAN SUPER  T MEN JEAN</t>
  </si>
  <si>
    <t>24861NBT2L</t>
  </si>
  <si>
    <t>LOGAN SLIM SUPER T NATURAL</t>
  </si>
  <si>
    <t>24861NBTDL</t>
  </si>
  <si>
    <t>LOGAN BIG T</t>
  </si>
  <si>
    <t>ADMD</t>
  </si>
  <si>
    <t>ADMD OLD TAVERN</t>
  </si>
  <si>
    <t>24861OMBBV</t>
  </si>
  <si>
    <t>LOGAN MEN JEAN</t>
  </si>
  <si>
    <t>24900NBT2</t>
  </si>
  <si>
    <t>JIMMY SUPER T</t>
  </si>
  <si>
    <t>08FA</t>
  </si>
  <si>
    <t>K8</t>
  </si>
  <si>
    <t>K8 DUST BOWL</t>
  </si>
  <si>
    <t>24E08NBT2</t>
  </si>
  <si>
    <t>JACK NATURAL SUPER T JEAN</t>
  </si>
  <si>
    <t>24E08OMBBV</t>
  </si>
  <si>
    <t>JACK MEN'S JEAN</t>
  </si>
  <si>
    <t>24H54OMBB</t>
  </si>
  <si>
    <t>ZACH MEN JEAN</t>
  </si>
  <si>
    <t>EHM</t>
  </si>
  <si>
    <t>EHM QUICK DRAW</t>
  </si>
  <si>
    <t>24J19NBT2</t>
  </si>
  <si>
    <t>GENO SLIM MEN JEAN</t>
  </si>
  <si>
    <t>24J60NBT2</t>
  </si>
  <si>
    <t>ROCCO SUPER  T MEN JEAN</t>
  </si>
  <si>
    <t>AR</t>
  </si>
  <si>
    <t>AR BLACK JACK DK</t>
  </si>
  <si>
    <t>24J60OMBBV</t>
  </si>
  <si>
    <t>ROCCO SKINNY MN JEANS</t>
  </si>
  <si>
    <t>24L81OMBBV</t>
  </si>
  <si>
    <t>BENNY SLIM MEN'S JEAN</t>
  </si>
  <si>
    <t>24L82OMBBV</t>
  </si>
  <si>
    <t>JACKSON SLIM MEN JEAN</t>
  </si>
  <si>
    <t>MPD</t>
  </si>
  <si>
    <t>MPD TEXAS TERROR</t>
  </si>
  <si>
    <t>24M45OMBBV</t>
  </si>
  <si>
    <t>NICKY RELAXED MEN'S JEAN</t>
  </si>
  <si>
    <t>24M83OMBBV</t>
  </si>
  <si>
    <t>LENNY RELAXED LEG MEN'S JEAN</t>
  </si>
  <si>
    <t>24N49OMBBV</t>
  </si>
  <si>
    <t>VINCE MEN'S JEAN</t>
  </si>
  <si>
    <t>JACK  BOYS JEANS</t>
  </si>
  <si>
    <t>LEM</t>
  </si>
  <si>
    <t>LEM HICKORY</t>
  </si>
  <si>
    <t>INDIAN WOODS L/S TWO-FER TEE</t>
  </si>
  <si>
    <t>GIRLS JULIE QT JEANS</t>
  </si>
  <si>
    <t>BETTLE GREEN</t>
  </si>
  <si>
    <t>A13F73RCD</t>
  </si>
  <si>
    <t>HOODED BUTTON FLY LS TSHIRT</t>
  </si>
  <si>
    <t>A13F74LA</t>
  </si>
  <si>
    <t>LS LA HENLEY</t>
  </si>
  <si>
    <t>A13F75</t>
  </si>
  <si>
    <t>LS RAGLAN TSHIRT</t>
  </si>
  <si>
    <t>A13F76AMF</t>
  </si>
  <si>
    <t>LS FLAG SCOOP NECK TSHIRT</t>
  </si>
  <si>
    <t>A13F76RCD</t>
  </si>
  <si>
    <t>LS SCOOP NECK TSHIRT</t>
  </si>
  <si>
    <t>A13F77APGD</t>
  </si>
  <si>
    <t>STUDS FLEECE CREW</t>
  </si>
  <si>
    <t>A13F77B</t>
  </si>
  <si>
    <t>WILD FLEECE CREW</t>
  </si>
  <si>
    <t>A13F77PGD</t>
  </si>
  <si>
    <t>1956 CREW NECK FLEECE</t>
  </si>
  <si>
    <t>A13F79C</t>
  </si>
  <si>
    <t>A13F81BPGD</t>
  </si>
  <si>
    <t>EAGLE WINGS HOODED FLEECE</t>
  </si>
  <si>
    <t>A13F82BPGD</t>
  </si>
  <si>
    <t>A13F83</t>
  </si>
  <si>
    <t>A13F84A</t>
  </si>
  <si>
    <t>BLACK BEIGE</t>
  </si>
  <si>
    <t>GREY / WHITE</t>
  </si>
  <si>
    <t>MILITARY BLACK</t>
  </si>
  <si>
    <t>PORT BLACK</t>
  </si>
  <si>
    <t>GREY MARL</t>
  </si>
  <si>
    <t>BEIGE</t>
  </si>
  <si>
    <t>A13FK37</t>
  </si>
  <si>
    <t>CARDIGAN</t>
  </si>
  <si>
    <t>DK GREY</t>
  </si>
  <si>
    <t>A13FK38</t>
  </si>
  <si>
    <t>RASBERRY ROSE</t>
  </si>
  <si>
    <t>A13FK38X</t>
  </si>
  <si>
    <t>EAGLE BOAT COLLAR SWEATER</t>
  </si>
  <si>
    <t>A13FK39</t>
  </si>
  <si>
    <t>AMERICAN FLAG CARDIGAN</t>
  </si>
  <si>
    <t>A13FK39X</t>
  </si>
  <si>
    <t>A13FK40</t>
  </si>
  <si>
    <t>CARDIGAN W SHAWL</t>
  </si>
  <si>
    <t>ORIGINAL</t>
  </si>
  <si>
    <t>A13FK5</t>
  </si>
  <si>
    <t>COCHIWAN HORSESHOE</t>
  </si>
  <si>
    <t>A13M12AGCD</t>
  </si>
  <si>
    <t>POLO</t>
  </si>
  <si>
    <t>A13M12BPGD</t>
  </si>
  <si>
    <t>A13M12CRCD</t>
  </si>
  <si>
    <t>POLO HOLLYWOOD</t>
  </si>
  <si>
    <t>A13M12DPGD</t>
  </si>
  <si>
    <t>HORSESHOE POLO</t>
  </si>
  <si>
    <t>A13M50</t>
  </si>
  <si>
    <t>PANT</t>
  </si>
  <si>
    <t>A13M54</t>
  </si>
  <si>
    <t>HOODED CHECK JACKET</t>
  </si>
  <si>
    <t>A13M55</t>
  </si>
  <si>
    <t>BASEBALL JACKET</t>
  </si>
  <si>
    <t>A13M55A</t>
  </si>
  <si>
    <t>HOLLYWOOD BASEBALL JACKET</t>
  </si>
  <si>
    <t>A13M55B</t>
  </si>
  <si>
    <t>2263 JACKET</t>
  </si>
  <si>
    <t>A13M55D</t>
  </si>
  <si>
    <t>BASEBALL CHECK JACKET</t>
  </si>
  <si>
    <t>A13M56</t>
  </si>
  <si>
    <t>CHECK SHIRT</t>
  </si>
  <si>
    <t>A13M57</t>
  </si>
  <si>
    <t>LS STRIPE TSHIRT</t>
  </si>
  <si>
    <t>NAVY RED STRIPE</t>
  </si>
  <si>
    <t>A13M58A</t>
  </si>
  <si>
    <t>LA LS TSHIRT</t>
  </si>
  <si>
    <t>A13M58RCD</t>
  </si>
  <si>
    <t>AMERICAN FLAG LS TSHIRT</t>
  </si>
  <si>
    <t>A13M59</t>
  </si>
  <si>
    <t>STRIPE BUTTONFLY LS TSHIRT</t>
  </si>
  <si>
    <t>A13M59C</t>
  </si>
  <si>
    <t>BUTTON FLY LS TSHIRT</t>
  </si>
  <si>
    <t>A13M59RCD</t>
  </si>
  <si>
    <t>BUTTONFLY LS TSHIRT</t>
  </si>
  <si>
    <t>A13M60RCD</t>
  </si>
  <si>
    <t>VNECK BUTTON FLY LS TSHIRT</t>
  </si>
  <si>
    <t>A13M61A</t>
  </si>
  <si>
    <t>RELIGION COLLEGE JACKET</t>
  </si>
  <si>
    <t>A13M62</t>
  </si>
  <si>
    <t>AMERICAN FLAG HOODY</t>
  </si>
  <si>
    <t>A13M65</t>
  </si>
  <si>
    <t>1956 HOODED JACKET</t>
  </si>
  <si>
    <t>A13M65A</t>
  </si>
  <si>
    <t>LA HOODED JACKET</t>
  </si>
  <si>
    <t>A13M65XGCD</t>
  </si>
  <si>
    <t>HOODED JACKET</t>
  </si>
  <si>
    <t>A13M66A</t>
  </si>
  <si>
    <t>VNECK TSHIRT</t>
  </si>
  <si>
    <t>A13M66RCD</t>
  </si>
  <si>
    <t>STRIPE VNECK TSHIRT</t>
  </si>
  <si>
    <t>A13M67A</t>
  </si>
  <si>
    <t>CREW TSHIRT</t>
  </si>
  <si>
    <t>A13M67B</t>
  </si>
  <si>
    <t>PROPERTY LS CREW TSHIRT</t>
  </si>
  <si>
    <t>A13M67C</t>
  </si>
  <si>
    <t>GREEN</t>
  </si>
  <si>
    <t>SEA SPRAY</t>
  </si>
  <si>
    <t>COLONY BLUE</t>
  </si>
  <si>
    <t>A13M67CRCD</t>
  </si>
  <si>
    <t>AMERICAN FLAG CREW NECK TSHIRT</t>
  </si>
  <si>
    <t>A13M69A</t>
  </si>
  <si>
    <t>A13M69B</t>
  </si>
  <si>
    <t>EAGLE WINGS CREW TSHIRT</t>
  </si>
  <si>
    <t>A13M69C</t>
  </si>
  <si>
    <t>A13M70</t>
  </si>
  <si>
    <t>SHAWL COLLAR JACKET</t>
  </si>
  <si>
    <t>A13M70B</t>
  </si>
  <si>
    <t>A13M75GCD</t>
  </si>
  <si>
    <t>A13M80</t>
  </si>
  <si>
    <t>FLEECE PANT W PATCH</t>
  </si>
  <si>
    <t>A13M81</t>
  </si>
  <si>
    <t>A13M83</t>
  </si>
  <si>
    <t>LS POLO W PATCH</t>
  </si>
  <si>
    <t>A13M83PGD</t>
  </si>
  <si>
    <t>PATCH SS POLO</t>
  </si>
  <si>
    <t>A13M85</t>
  </si>
  <si>
    <t>CREW NECK SWEATER</t>
  </si>
  <si>
    <t>A13M90</t>
  </si>
  <si>
    <t>A13MK1</t>
  </si>
  <si>
    <t>SWEATER WITH BUTTONFLY</t>
  </si>
  <si>
    <t>A13MK10</t>
  </si>
  <si>
    <t>TURTLENECK CABLE KNIT</t>
  </si>
  <si>
    <t>ANTHRA</t>
  </si>
  <si>
    <t>A13MK11</t>
  </si>
  <si>
    <t>BUTTON CARDIGAN SHAWL COLLAR</t>
  </si>
  <si>
    <t>GREY BLUE</t>
  </si>
  <si>
    <t>BROWN ANTHRA</t>
  </si>
  <si>
    <t>BEETLE BROWN</t>
  </si>
  <si>
    <t>BLUE ANTHRA</t>
  </si>
  <si>
    <t>A13MK12</t>
  </si>
  <si>
    <t>STRIPE ROLL NECK SWEATER</t>
  </si>
  <si>
    <t>CAMEL GREY</t>
  </si>
  <si>
    <t>OLIVE ANTHRA</t>
  </si>
  <si>
    <t>A13MK13</t>
  </si>
  <si>
    <t>STRIPE CARDIGAN W SHAWL COLLAR</t>
  </si>
  <si>
    <t>MILITARY ANTHRA</t>
  </si>
  <si>
    <t>A13MK14</t>
  </si>
  <si>
    <t>STRIPE CREW NECK SWEATER</t>
  </si>
  <si>
    <t>GREY OLIVE</t>
  </si>
  <si>
    <t>BLUE BROWN</t>
  </si>
  <si>
    <t>A13MK17</t>
  </si>
  <si>
    <t>PATTERN MIX CARDIGAN</t>
  </si>
  <si>
    <t>A13MK18</t>
  </si>
  <si>
    <t>SHAWLL COLLAR SWEATER W BUTTON</t>
  </si>
  <si>
    <t>A13MK2</t>
  </si>
  <si>
    <t>CARDIGAN SHAWL COLLAR</t>
  </si>
  <si>
    <t>A13MK20</t>
  </si>
  <si>
    <t>VNECK SWEATER MIX</t>
  </si>
  <si>
    <t>SILVER GREY</t>
  </si>
  <si>
    <t>PORT OLIVE</t>
  </si>
  <si>
    <t>A13MK3</t>
  </si>
  <si>
    <t>SWEATER CREW</t>
  </si>
  <si>
    <t>A13MK30</t>
  </si>
  <si>
    <t>SPRAY RAGLAN CREW SWEATER</t>
  </si>
  <si>
    <t>A13MK31</t>
  </si>
  <si>
    <t>BUTTON FLY SWEATER</t>
  </si>
  <si>
    <t>A13MK32</t>
  </si>
  <si>
    <t>AMERICAN FLAG HOODIE</t>
  </si>
  <si>
    <t>A13MK4</t>
  </si>
  <si>
    <t>GREY CAMEL MIX</t>
  </si>
  <si>
    <t>A13MK5</t>
  </si>
  <si>
    <t>COCHIWAN ZIP FLY</t>
  </si>
  <si>
    <t>A13MK6</t>
  </si>
  <si>
    <t>CARDIGAN SHAWL COLLAR KNOB</t>
  </si>
  <si>
    <t>A13MK7</t>
  </si>
  <si>
    <t>SWEATER WITH SHAWL COLLAR KNOB</t>
  </si>
  <si>
    <t>A13MK8</t>
  </si>
  <si>
    <t>SWEATER WITH SHAWL COLLAR</t>
  </si>
  <si>
    <t>SILVER ANTHRA</t>
  </si>
  <si>
    <t>BEETLE ANTHRA</t>
  </si>
  <si>
    <t>A13MK9</t>
  </si>
  <si>
    <t>CARDIGAN ZIP FLY RAGLAN</t>
  </si>
  <si>
    <t>A13MK90</t>
  </si>
  <si>
    <t>RAGLAN VNECK SWEATER</t>
  </si>
  <si>
    <t>AMB00001</t>
  </si>
  <si>
    <t>BLACK EMBOSSED LOGO</t>
  </si>
  <si>
    <t>AMB00003</t>
  </si>
  <si>
    <t>HORSESHOE BUCKLE</t>
  </si>
  <si>
    <t>AMB00004</t>
  </si>
  <si>
    <t>LEATHER EMBOSSED PLAQUE</t>
  </si>
  <si>
    <t>AMB00005</t>
  </si>
  <si>
    <t>DOUBLE NOTCHED PLAQUE</t>
  </si>
  <si>
    <t>TAN</t>
  </si>
  <si>
    <t>AMB00008</t>
  </si>
  <si>
    <t>BASIC</t>
  </si>
  <si>
    <t>AMB00009</t>
  </si>
  <si>
    <t>SKINNY</t>
  </si>
  <si>
    <t>NEEDLE</t>
  </si>
  <si>
    <t>SQUASH</t>
  </si>
  <si>
    <t>OX BLOOD</t>
  </si>
  <si>
    <t>AMB00010</t>
  </si>
  <si>
    <t>BRAIDED</t>
  </si>
  <si>
    <t>AMB00011</t>
  </si>
  <si>
    <t>CRACKED</t>
  </si>
  <si>
    <t>AMB00012</t>
  </si>
  <si>
    <t>RIBBED</t>
  </si>
  <si>
    <t>AMB00014</t>
  </si>
  <si>
    <t>STITCHED</t>
  </si>
  <si>
    <t>AMB00015</t>
  </si>
  <si>
    <t>LOGO PLAQUE</t>
  </si>
  <si>
    <t>AMB00016</t>
  </si>
  <si>
    <t>DISTRESSED</t>
  </si>
  <si>
    <t>AMB00017</t>
  </si>
  <si>
    <t>FLAT STUD</t>
  </si>
  <si>
    <t>AMB00018</t>
  </si>
  <si>
    <t>DOUBLE STITCH</t>
  </si>
  <si>
    <t>AMB00019</t>
  </si>
  <si>
    <t>EMBOSSED LOGO</t>
  </si>
  <si>
    <t>AMB00020</t>
  </si>
  <si>
    <t>STUD</t>
  </si>
  <si>
    <t>AMB00021</t>
  </si>
  <si>
    <t>AMB00022</t>
  </si>
  <si>
    <t>AUB00001</t>
  </si>
  <si>
    <t>AUB00001I</t>
  </si>
  <si>
    <t>AUB00002</t>
  </si>
  <si>
    <t>SNAKE</t>
  </si>
  <si>
    <t>AUB00002I</t>
  </si>
  <si>
    <t>OLIVE BROWN</t>
  </si>
  <si>
    <t>AUB00003</t>
  </si>
  <si>
    <t>HAND BRUSHED WITH STITCH</t>
  </si>
  <si>
    <t>BROWN MULTI</t>
  </si>
  <si>
    <t>AUB00003I</t>
  </si>
  <si>
    <t>AUB00004I</t>
  </si>
  <si>
    <t>HAND PAINTED W/PLAQUE</t>
  </si>
  <si>
    <t>AUB00005</t>
  </si>
  <si>
    <t>HAND PAINTED</t>
  </si>
  <si>
    <t>AUB00005I</t>
  </si>
  <si>
    <t>AWB00001</t>
  </si>
  <si>
    <t>ALLOVER TEXTURED</t>
  </si>
  <si>
    <t>DK BROWN</t>
  </si>
  <si>
    <t>AWB00002</t>
  </si>
  <si>
    <t>BASIC SKINNY</t>
  </si>
  <si>
    <t>AWB00004</t>
  </si>
  <si>
    <t>SKINNY LONG</t>
  </si>
  <si>
    <t>B04R82S20</t>
  </si>
  <si>
    <t>JOHNNY TWO TONE WESTERN JACKET</t>
  </si>
  <si>
    <t>B04R84S20</t>
  </si>
  <si>
    <t>RICKY TWO TONE JEAN</t>
  </si>
  <si>
    <t>B08859DI5</t>
  </si>
  <si>
    <t>BOYS RICKY GREY BLACK SUPER T</t>
  </si>
  <si>
    <t>ANPD</t>
  </si>
  <si>
    <t>ANPD THUNDERHEAD</t>
  </si>
  <si>
    <t>B176U17W80</t>
  </si>
  <si>
    <t>BIG T RAW EDGE SWEATTRACK PANT</t>
  </si>
  <si>
    <t>B177378K38</t>
  </si>
  <si>
    <t>BOYS ZIP BIG T RUCKERS HOODIE</t>
  </si>
  <si>
    <t>B177K02S94</t>
  </si>
  <si>
    <t>NATIVE FLEECE PULLOVER</t>
  </si>
  <si>
    <t>2S STONE GREY</t>
  </si>
  <si>
    <t>3C INDIGO</t>
  </si>
  <si>
    <t>B177T78ES7</t>
  </si>
  <si>
    <t>TRUE PRINTED CLASSIC ZIP HOODI</t>
  </si>
  <si>
    <t>APV DK NAVY</t>
  </si>
  <si>
    <t>B177U15W79</t>
  </si>
  <si>
    <t>BIG T RAW EDGE CLASSIC HOODIE</t>
  </si>
  <si>
    <t>B179L06EW9</t>
  </si>
  <si>
    <t>BOYS RICHIE VARSITY JACKET</t>
  </si>
  <si>
    <t>B179L06IK</t>
  </si>
  <si>
    <t>NAVY</t>
  </si>
  <si>
    <t>B17A112ES9</t>
  </si>
  <si>
    <t>INFANTS MILITARY STENCIL JCKET</t>
  </si>
  <si>
    <t>APV ARMY</t>
  </si>
  <si>
    <t>B17A113ET2</t>
  </si>
  <si>
    <t>INFANTS MILITARY FLEECE PANT</t>
  </si>
  <si>
    <t>B20A551IH1</t>
  </si>
  <si>
    <t>BOYS EXCURSION CARGO SHORT</t>
  </si>
  <si>
    <t>BFHM</t>
  </si>
  <si>
    <t>BFHM MALIBU TIDE</t>
  </si>
  <si>
    <t>B24800GG4</t>
  </si>
  <si>
    <t>BOYS BOBBY STRAIGHT LT SUMMER</t>
  </si>
  <si>
    <t>ASOL</t>
  </si>
  <si>
    <t>ASOL LNGHRN PASS</t>
  </si>
  <si>
    <t>B24800OM</t>
  </si>
  <si>
    <t>BOYS BOBBY OLD MULTI BASICS</t>
  </si>
  <si>
    <t>ACDM</t>
  </si>
  <si>
    <t>ACDM HILLSIDE</t>
  </si>
  <si>
    <t>ACKM</t>
  </si>
  <si>
    <t>ACKM DSRT DROGHT</t>
  </si>
  <si>
    <t>AQPM</t>
  </si>
  <si>
    <t>AQPM MD STCE CYN</t>
  </si>
  <si>
    <t>ETM</t>
  </si>
  <si>
    <t>ETM HUCKLEBERRY</t>
  </si>
  <si>
    <t>VAM</t>
  </si>
  <si>
    <t>VAM SHADE HORIZONS</t>
  </si>
  <si>
    <t>B24858BB6</t>
  </si>
  <si>
    <t>BOYS BILLY SUPER T CORE</t>
  </si>
  <si>
    <t>B24858CV7</t>
  </si>
  <si>
    <t>BOYS BILLY CONTRAST ARMY SPT</t>
  </si>
  <si>
    <t>B24858F67</t>
  </si>
  <si>
    <t>BOYS BILLY NY SUPER T JEANS</t>
  </si>
  <si>
    <t>KGM</t>
  </si>
  <si>
    <t>KGM COLORADO</t>
  </si>
  <si>
    <t>B24858H54</t>
  </si>
  <si>
    <t>BOYS BILLY CORNELLI EMBROIDERY</t>
  </si>
  <si>
    <t>6W</t>
  </si>
  <si>
    <t>6W DK HARLOW</t>
  </si>
  <si>
    <t>B24858H94</t>
  </si>
  <si>
    <t>BOYS BILLY SUPER T</t>
  </si>
  <si>
    <t>B24858I3</t>
  </si>
  <si>
    <t>2B</t>
  </si>
  <si>
    <t>2B MED DURANGO</t>
  </si>
  <si>
    <t>B24858J45</t>
  </si>
  <si>
    <t>BOYS BILLY TITAN JEAN</t>
  </si>
  <si>
    <t>B24858L16</t>
  </si>
  <si>
    <t>BOYS BILLY SADDLE STITCH EMB J</t>
  </si>
  <si>
    <t>7T</t>
  </si>
  <si>
    <t>7T TRUE GRIT W/ RIPS</t>
  </si>
  <si>
    <t>B24858NBT2</t>
  </si>
  <si>
    <t>BILLY SUPER-T NATURAL BOY'S JE</t>
  </si>
  <si>
    <t>ACLD</t>
  </si>
  <si>
    <t>ACLD DK GRT FLLS</t>
  </si>
  <si>
    <t>ASQM</t>
  </si>
  <si>
    <t>ASQM WDEN BRIDGE</t>
  </si>
  <si>
    <t>CQ</t>
  </si>
  <si>
    <t>CQ DK VINTAGE W/O RIPS</t>
  </si>
  <si>
    <t>B24858OM</t>
  </si>
  <si>
    <t>BOYS BILLY OLD MULTI BASICS</t>
  </si>
  <si>
    <t>B24858P90</t>
  </si>
  <si>
    <t>BILLY RED/NATURAL SUPER T BOY</t>
  </si>
  <si>
    <t>B24858QZ</t>
  </si>
  <si>
    <t>BILLY BROWN GOLD S.N. BOY'S JE</t>
  </si>
  <si>
    <t>NJD</t>
  </si>
  <si>
    <t>NJD FACTORY</t>
  </si>
  <si>
    <t>B24859EG4</t>
  </si>
  <si>
    <t>BOY RICKY RED ORG MIDNIGHT SPT</t>
  </si>
  <si>
    <t>ASKM</t>
  </si>
  <si>
    <t>ASKM HIGHWAY 6</t>
  </si>
  <si>
    <t>B24859EG6</t>
  </si>
  <si>
    <t>BOYS RICKY DK GREY BROWN SPT</t>
  </si>
  <si>
    <t>ASLM</t>
  </si>
  <si>
    <t>ASLM SIERRA CNYN</t>
  </si>
  <si>
    <t>B24859GY1</t>
  </si>
  <si>
    <t>BOYS RICKY POSTMAN BLUE SPT</t>
  </si>
  <si>
    <t>B24861X09</t>
  </si>
  <si>
    <t>LOGAN SUPER T NEON BLUE BARTAC</t>
  </si>
  <si>
    <t>B24900OM</t>
  </si>
  <si>
    <t>BOYS JIMMY WESTERN JACKET</t>
  </si>
  <si>
    <t>B24E08AX3</t>
  </si>
  <si>
    <t>BOYS JACK BASIC JEAN</t>
  </si>
  <si>
    <t>YQM</t>
  </si>
  <si>
    <t>YQM NEW FOURTY</t>
  </si>
  <si>
    <t>B24E08BA7</t>
  </si>
  <si>
    <t>BOYS JACK SUPER T BRIGHT</t>
  </si>
  <si>
    <t>P7</t>
  </si>
  <si>
    <t>P7 SHOOT OUT</t>
  </si>
  <si>
    <t>B24E08BA9</t>
  </si>
  <si>
    <t>B24E08BB3</t>
  </si>
  <si>
    <t>B24E08BT8</t>
  </si>
  <si>
    <t>BOYS JACK SUPER T SLIM</t>
  </si>
  <si>
    <t>B24E08D46</t>
  </si>
  <si>
    <t>2F</t>
  </si>
  <si>
    <t>2F DK DURANGO</t>
  </si>
  <si>
    <t>F4</t>
  </si>
  <si>
    <t>F4 HIGH PLAINS MED</t>
  </si>
  <si>
    <t>FRD</t>
  </si>
  <si>
    <t>FRD DYNAMITE PASS</t>
  </si>
  <si>
    <t>R7</t>
  </si>
  <si>
    <t>R7 RAMBLER MED</t>
  </si>
  <si>
    <t>B24E08E4</t>
  </si>
  <si>
    <t>JACK BOYS JEAN</t>
  </si>
  <si>
    <t>JFM</t>
  </si>
  <si>
    <t>JFM OLD FORTY FOUR</t>
  </si>
  <si>
    <t>B24E08ED8</t>
  </si>
  <si>
    <t>REVERSE DYE GOLD BOYS JACK</t>
  </si>
  <si>
    <t>AUUD GOLD</t>
  </si>
  <si>
    <t>B24E08ED9</t>
  </si>
  <si>
    <t>REVERSE DYE RED BOYS JACK</t>
  </si>
  <si>
    <t>AUUD RED</t>
  </si>
  <si>
    <t>B24E08GG4</t>
  </si>
  <si>
    <t>BOYS JACK SLIM LIGHT SUMMER</t>
  </si>
  <si>
    <t>B24E08GH1</t>
  </si>
  <si>
    <t>BOYS JACK PAINT SPLATTER</t>
  </si>
  <si>
    <t>AWGM</t>
  </si>
  <si>
    <t>AWGM PLYFL DRAGN</t>
  </si>
  <si>
    <t>AWKL</t>
  </si>
  <si>
    <t>AWKL VNTGE WRMTH</t>
  </si>
  <si>
    <t>B24E08HH4</t>
  </si>
  <si>
    <t>BOYS JACK SLIM GRADIENT WASH</t>
  </si>
  <si>
    <t>BEKL</t>
  </si>
  <si>
    <t>BEKL DASH AWAY</t>
  </si>
  <si>
    <t>B24E08J30</t>
  </si>
  <si>
    <t>BOYS JACK HANDSTITCH LOGO</t>
  </si>
  <si>
    <t>B24E08K99</t>
  </si>
  <si>
    <t>BOYS JACK FELT EMBELISHMENT JE</t>
  </si>
  <si>
    <t>B24E08NBT2</t>
  </si>
  <si>
    <t>BOYS JACK SLIM NATURAL SUPER T</t>
  </si>
  <si>
    <t>BEND</t>
  </si>
  <si>
    <t>BEND NEPTUNE</t>
  </si>
  <si>
    <t>B24E08OM</t>
  </si>
  <si>
    <t>BOYS JACK OLD MULTI CLASSICS</t>
  </si>
  <si>
    <t>BEML</t>
  </si>
  <si>
    <t>BEML SLEEPY MDOW</t>
  </si>
  <si>
    <t>YLL</t>
  </si>
  <si>
    <t>YLL LT ANTELOPE</t>
  </si>
  <si>
    <t>B24E08QZ</t>
  </si>
  <si>
    <t>JACK BROWN GOLD S.N.W/FLAPS BO</t>
  </si>
  <si>
    <t>B24E08S47</t>
  </si>
  <si>
    <t>BOYS JACK BAJA EMB LOGO SLIM</t>
  </si>
  <si>
    <t>B24E08X07</t>
  </si>
  <si>
    <t>JACK SUPER T NEON GREEN BARTAC</t>
  </si>
  <si>
    <t>TXD</t>
  </si>
  <si>
    <t>HIDEOUT</t>
  </si>
  <si>
    <t>B24H54NBT2</t>
  </si>
  <si>
    <t>BOYS ZACH SUPER T S LIM</t>
  </si>
  <si>
    <t>SWD</t>
  </si>
  <si>
    <t>SWD RICOCHET</t>
  </si>
  <si>
    <t>B24H54QZ</t>
  </si>
  <si>
    <t>ZACH BROWN GOLD S.N. BOY'S JEA</t>
  </si>
  <si>
    <t>B24J19BA9</t>
  </si>
  <si>
    <t>BOYS GENO SUPER T BRIGHT</t>
  </si>
  <si>
    <t>B24J19GG3</t>
  </si>
  <si>
    <t>BOYS GENO NOUVEAU SUPER T</t>
  </si>
  <si>
    <t>B24J19GG9</t>
  </si>
  <si>
    <t>BOYS GENO SLIM LASER CAMO</t>
  </si>
  <si>
    <t>AWEM</t>
  </si>
  <si>
    <t>AWEM CAMO LASER</t>
  </si>
  <si>
    <t>B24J19GY2</t>
  </si>
  <si>
    <t>BOYS GENO GOLD SUPER T</t>
  </si>
  <si>
    <t>B24J19HH3</t>
  </si>
  <si>
    <t>BOYS GENO BUGSY  BUTTERNUT SPT</t>
  </si>
  <si>
    <t>BERM</t>
  </si>
  <si>
    <t>BERM WILD WIND</t>
  </si>
  <si>
    <t>B24Q15M53</t>
  </si>
  <si>
    <t>BOYS HERBIE PHOENIX GROUP</t>
  </si>
  <si>
    <t>B24Q17M27</t>
  </si>
  <si>
    <t>BOYS HERBIE PONY EXPRESS</t>
  </si>
  <si>
    <t>ETL</t>
  </si>
  <si>
    <t>ETL COVENTRY</t>
  </si>
  <si>
    <t>B24Q19J39</t>
  </si>
  <si>
    <t>BOYS ROCCO PHANTOM</t>
  </si>
  <si>
    <t>B24Q27M65</t>
  </si>
  <si>
    <t>BOYS BILLY SNAKE EYES</t>
  </si>
  <si>
    <t>B24Q27U65</t>
  </si>
  <si>
    <t>BOYS BILLY SNAKE EYES BOOT CUT</t>
  </si>
  <si>
    <t>B24Q28U65</t>
  </si>
  <si>
    <t>BOYS JACK SNAKE EYES SLIM JEAN</t>
  </si>
  <si>
    <t>B24R73R88</t>
  </si>
  <si>
    <t>ROCCO BLUE COLLAR SKINNY JEAN</t>
  </si>
  <si>
    <t>B24S01T85</t>
  </si>
  <si>
    <t>RICKY BAJA JEAN</t>
  </si>
  <si>
    <t>B24S26M53</t>
  </si>
  <si>
    <t>DALTRY SHERPA RETRO JACKET</t>
  </si>
  <si>
    <t>NZM</t>
  </si>
  <si>
    <t>NZM GUNNED DOWN</t>
  </si>
  <si>
    <t>B24V47OM</t>
  </si>
  <si>
    <t>BOYS GENO SHORT CLASSICS</t>
  </si>
  <si>
    <t>B2PCSETGZ6</t>
  </si>
  <si>
    <t>BABY 2PIECE GIFT BOX SET</t>
  </si>
  <si>
    <t>B2PCSETKP4</t>
  </si>
  <si>
    <t>BABY 2-PIECE GIFT BOX SET</t>
  </si>
  <si>
    <t>23 CAMO GREEN</t>
  </si>
  <si>
    <t>B2PCSTKP4</t>
  </si>
  <si>
    <t>B3PCSETAT4</t>
  </si>
  <si>
    <t>BABY BOYS 3 PIECE GIFT BOX</t>
  </si>
  <si>
    <t>HW ROYAL BLUE</t>
  </si>
  <si>
    <t>B3PCSETAU6</t>
  </si>
  <si>
    <t>BABY BOY 3 PIECE GIFT BOX</t>
  </si>
  <si>
    <t>09 SEAL</t>
  </si>
  <si>
    <t>B3PCSETKP6</t>
  </si>
  <si>
    <t>BABY 3-PIECE GIFT BOX SET</t>
  </si>
  <si>
    <t>78 ARMY BOOTS</t>
  </si>
  <si>
    <t>B3PCSETX13</t>
  </si>
  <si>
    <t>B3PCSTKP6</t>
  </si>
  <si>
    <t>B58859N28</t>
  </si>
  <si>
    <t>BOYS RICKY TIE DYE</t>
  </si>
  <si>
    <t>WB DESERT SAND</t>
  </si>
  <si>
    <t>WB OLIVE</t>
  </si>
  <si>
    <t>B58A274GG8</t>
  </si>
  <si>
    <t>BOYS GENO PRINTED OVERDYE</t>
  </si>
  <si>
    <t>AWD LT GY W DK NY</t>
  </si>
  <si>
    <t>AWD ARMY DK NAVY</t>
  </si>
  <si>
    <t>B58E08BJ0</t>
  </si>
  <si>
    <t>BOYS JACK SUPER T OVERDYE JEAN</t>
  </si>
  <si>
    <t>09 RED</t>
  </si>
  <si>
    <t>B58E08GG6</t>
  </si>
  <si>
    <t>BOYS JACK SUPER T OVERDYE</t>
  </si>
  <si>
    <t>AWL FRBDDEN GATE RED</t>
  </si>
  <si>
    <t>B5PA484HT2</t>
  </si>
  <si>
    <t>TR HRSSHOE EMRDRY SS CRW TEE</t>
  </si>
  <si>
    <t>2S GREY STRIPE</t>
  </si>
  <si>
    <t>B648229F59</t>
  </si>
  <si>
    <t>PUFF LOGO S/S CREW NECK BOYS T</t>
  </si>
  <si>
    <t>B648229S79</t>
  </si>
  <si>
    <t>BOYS USA STAMP TEE</t>
  </si>
  <si>
    <t>3C TOMATO</t>
  </si>
  <si>
    <t>B648229S81</t>
  </si>
  <si>
    <t>TRUE BIKER S/S LOGO CREW NECK</t>
  </si>
  <si>
    <t>3C AZUL</t>
  </si>
  <si>
    <t>B64822S81</t>
  </si>
  <si>
    <t>BAR840K33</t>
  </si>
  <si>
    <t>ANTHONY TONAL CARGO BIG T PANT</t>
  </si>
  <si>
    <t>PY MILITARY</t>
  </si>
  <si>
    <t>BAR841K33</t>
  </si>
  <si>
    <t>ISAAC BOYS CARGO SHORT</t>
  </si>
  <si>
    <t>PY SMOKE</t>
  </si>
  <si>
    <t>PY KHAKI</t>
  </si>
  <si>
    <t>PY PINEAPPLE</t>
  </si>
  <si>
    <t>BAXE08EL</t>
  </si>
  <si>
    <t>BOYS JACK BLACK SN JEAN</t>
  </si>
  <si>
    <t>2HB</t>
  </si>
  <si>
    <t>2HB REBEL MED BLACK</t>
  </si>
  <si>
    <t>BB8E08J30</t>
  </si>
  <si>
    <t>BCBE08K32</t>
  </si>
  <si>
    <t>BOYS JACK CORDUROY PANT</t>
  </si>
  <si>
    <t>AAT BLACK</t>
  </si>
  <si>
    <t>AAT CHARCOAL</t>
  </si>
  <si>
    <t>AAT SEAL</t>
  </si>
  <si>
    <t>AAT WHITE</t>
  </si>
  <si>
    <t>AAT BROWN</t>
  </si>
  <si>
    <t>AAT CORK</t>
  </si>
  <si>
    <t>ST KELLY GREEN</t>
  </si>
  <si>
    <t>AAT FOREST</t>
  </si>
  <si>
    <t>AAT SURPLUS GRN</t>
  </si>
  <si>
    <t>AAT ABYSS</t>
  </si>
  <si>
    <t>AAT DK NAVY</t>
  </si>
  <si>
    <t>AAT DK SLTE BLUE</t>
  </si>
  <si>
    <t>AAT CRIMSON</t>
  </si>
  <si>
    <t>AAT STRAW</t>
  </si>
  <si>
    <t>AAT CORAL</t>
  </si>
  <si>
    <t>BCBE08K33</t>
  </si>
  <si>
    <t>BOYS 'JACK' SLIM BIGT PANT</t>
  </si>
  <si>
    <t>BCBV47K32</t>
  </si>
  <si>
    <t>BOYS GENO CUTOFF CORD SHORT</t>
  </si>
  <si>
    <t>BECT73CS2</t>
  </si>
  <si>
    <t>INDIGO 1971 BOYS JIMMY</t>
  </si>
  <si>
    <t>BECW85CS2</t>
  </si>
  <si>
    <t>BOYS RICKY INDIGO 1971</t>
  </si>
  <si>
    <t>AOSM</t>
  </si>
  <si>
    <t>AOSM MESA ROAD</t>
  </si>
  <si>
    <t>BED8H34EC2</t>
  </si>
  <si>
    <t>TRUE STENCIL LS WFLE KNIT CREW</t>
  </si>
  <si>
    <t>BED8H34EC3</t>
  </si>
  <si>
    <t>MOTO SCRIPT LS WFLE KNIT CREW</t>
  </si>
  <si>
    <t>09 CRIMSON</t>
  </si>
  <si>
    <t>BEG841K33</t>
  </si>
  <si>
    <t>AAT RED</t>
  </si>
  <si>
    <t>BEGU23K33</t>
  </si>
  <si>
    <t>BOYS ANTHONY BIG T CARGO</t>
  </si>
  <si>
    <t>AOF BLACK</t>
  </si>
  <si>
    <t>AOF GREY FOG</t>
  </si>
  <si>
    <t>AOF CORK</t>
  </si>
  <si>
    <t>BETQ30ES0</t>
  </si>
  <si>
    <t>INFANTS JACK SLIM</t>
  </si>
  <si>
    <t>BETQ30P90</t>
  </si>
  <si>
    <t>INFANT JACK SUPER T</t>
  </si>
  <si>
    <t>BGH7T79ET4</t>
  </si>
  <si>
    <t>INFANTS STENCIL ONESIE L/S</t>
  </si>
  <si>
    <t>BGH7T79EU0</t>
  </si>
  <si>
    <t>HELLO/BYE L/S PUFF ONESIE</t>
  </si>
  <si>
    <t>BGH7T81ET1</t>
  </si>
  <si>
    <t>INFANTS CAMOHORSESHOE SNAP TEE</t>
  </si>
  <si>
    <t>BGH7T81HU2</t>
  </si>
  <si>
    <t>TRUE STITCH S/S SNAP TEE</t>
  </si>
  <si>
    <t>BGH7W56GG4</t>
  </si>
  <si>
    <t>TIME TO CLIMB SS ONESIE</t>
  </si>
  <si>
    <t>BGH7W56HU6</t>
  </si>
  <si>
    <t>BERMUDA ONESIE</t>
  </si>
  <si>
    <t>BGH7W56HU7</t>
  </si>
  <si>
    <t>TR BRAND SUNSHINE ONESIE</t>
  </si>
  <si>
    <t>BGH8229EB5</t>
  </si>
  <si>
    <t>BOYS BRANDED PUFF S/S CREWNECK</t>
  </si>
  <si>
    <t>BGH8229EB6</t>
  </si>
  <si>
    <t>BLUE EAGLE S/S CREW NECK</t>
  </si>
  <si>
    <t>BGH8229EB9</t>
  </si>
  <si>
    <t>NATIVE 56 S/S CREW NECK TEE</t>
  </si>
  <si>
    <t>09 EVERGREEN</t>
  </si>
  <si>
    <t>BGH8229EC0</t>
  </si>
  <si>
    <t>PANTHER 56 S/S CREW NECK TEE</t>
  </si>
  <si>
    <t>09 PEBBLE GREY</t>
  </si>
  <si>
    <t>BGH8229EC1</t>
  </si>
  <si>
    <t>COLORADO ROCKIES S/S CREW NECK</t>
  </si>
  <si>
    <t>BGH8229FV5</t>
  </si>
  <si>
    <t>TR56 SS CREWNECK TEE</t>
  </si>
  <si>
    <t>09 CREAM</t>
  </si>
  <si>
    <t>BGH8229FV8</t>
  </si>
  <si>
    <t>TEAM SS CREWNECK TEE</t>
  </si>
  <si>
    <t>09 DK NAVY</t>
  </si>
  <si>
    <t>BGH8229FZ3</t>
  </si>
  <si>
    <t>LAND OF FUN SS CREWNECK TEE</t>
  </si>
  <si>
    <t>BGH8229FZ4</t>
  </si>
  <si>
    <t>CAMP BRAVE SS CREWNECK TEE</t>
  </si>
  <si>
    <t>BGH8229FZ7</t>
  </si>
  <si>
    <t>TRUE BISON SS CREWNECK W FLK T</t>
  </si>
  <si>
    <t>BGH8229FZ8</t>
  </si>
  <si>
    <t>RED WHITE AND TRUE SS CREW TEE</t>
  </si>
  <si>
    <t>09 ICELANTIC</t>
  </si>
  <si>
    <t>BGH8229FZ9</t>
  </si>
  <si>
    <t>1ST DIVISION SS CREWNECK TEE</t>
  </si>
  <si>
    <t>09 SURPLUS OLIVE</t>
  </si>
  <si>
    <t>BGH8229HE0</t>
  </si>
  <si>
    <t>THUNDERBIRD S/S CREW NECK TEE</t>
  </si>
  <si>
    <t>09 DK CRIMSON</t>
  </si>
  <si>
    <t>BGH8229HE1</t>
  </si>
  <si>
    <t>TR FLASH S/S CREW NECK TEE</t>
  </si>
  <si>
    <t>BGHA475HU5</t>
  </si>
  <si>
    <t>INFANTS DOTS ONESIE</t>
  </si>
  <si>
    <t>09 WASHED ORANGE</t>
  </si>
  <si>
    <t>BHZQ30JR13</t>
  </si>
  <si>
    <t>GENO RELAXED SLIM W/FLAPS</t>
  </si>
  <si>
    <t>63 BLUE DREAMS</t>
  </si>
  <si>
    <t>BHZT80NBT2</t>
  </si>
  <si>
    <t>INFANTS BILLY BOOTCUT SUPER T</t>
  </si>
  <si>
    <t>BJDQ30FK8</t>
  </si>
  <si>
    <t>AVD WILD HEART</t>
  </si>
  <si>
    <t>BJDQ30GX5</t>
  </si>
  <si>
    <t>AWV ARMY</t>
  </si>
  <si>
    <t>BJHE08DK1</t>
  </si>
  <si>
    <t>BOYS JACK FOAM LOGO BIG T</t>
  </si>
  <si>
    <t>BJS8S45W76</t>
  </si>
  <si>
    <t>MOCK TWIST FOOTBALL T SHIRT</t>
  </si>
  <si>
    <t>BJU9S82</t>
  </si>
  <si>
    <t>UPDATED NYLON CARTER VEST W/LE</t>
  </si>
  <si>
    <t>BJX8U82AB0</t>
  </si>
  <si>
    <t>U EMBROIDERY PIQUE POLO</t>
  </si>
  <si>
    <t>BL4BA74VY</t>
  </si>
  <si>
    <t>L/S BOY'S PLAID WESTERN SHIRT</t>
  </si>
  <si>
    <t>ELLIOT</t>
  </si>
  <si>
    <t>BL4BR22VY</t>
  </si>
  <si>
    <t>WESTERN POPLIN SHIRT</t>
  </si>
  <si>
    <t>FK TURQUOISE</t>
  </si>
  <si>
    <t>BLK8036AT1</t>
  </si>
  <si>
    <t>HIPPY HAIR CREW TEE</t>
  </si>
  <si>
    <t>3C CREAM</t>
  </si>
  <si>
    <t>BLK8036AT2</t>
  </si>
  <si>
    <t>MALIBU FAIR  CREW TEE</t>
  </si>
  <si>
    <t>3C FADED CARROT</t>
  </si>
  <si>
    <t>BLK8036AT3</t>
  </si>
  <si>
    <t>AM TRU CREW TEE</t>
  </si>
  <si>
    <t>3C RED</t>
  </si>
  <si>
    <t>BLK8229DL8</t>
  </si>
  <si>
    <t>ATHLETIC 71 S/S CREW NECK TEE</t>
  </si>
  <si>
    <t>BLK8229DM0</t>
  </si>
  <si>
    <t>TRUE FESTIVAL SS CREW NECK TEE</t>
  </si>
  <si>
    <t>BLK8229DM4</t>
  </si>
  <si>
    <t>FLOCKED LOGO SS CREWNECK TEE</t>
  </si>
  <si>
    <t>09 SCARLET</t>
  </si>
  <si>
    <t>BLK8229DM5</t>
  </si>
  <si>
    <t>TR MUSCLE CAR S/S CREW NECK T</t>
  </si>
  <si>
    <t>BLK8229W73</t>
  </si>
  <si>
    <t>AUSTIN S/S LOGO CREW NECK TEE</t>
  </si>
  <si>
    <t>3C ARMY</t>
  </si>
  <si>
    <t>BLK8229W74</t>
  </si>
  <si>
    <t>CA SPIRIT S/S LOGO CREW NECK T</t>
  </si>
  <si>
    <t>BLK8229W75</t>
  </si>
  <si>
    <t>ACHILLEUS S/S LOGO CREW NECK T</t>
  </si>
  <si>
    <t>3C FOG</t>
  </si>
  <si>
    <t>3C BLACKBERRY</t>
  </si>
  <si>
    <t>BLK8L14W78</t>
  </si>
  <si>
    <t>TRG 56 L/S LOGO CREW NECK TEE</t>
  </si>
  <si>
    <t>BLK8V05AI0</t>
  </si>
  <si>
    <t>TRUE RELIGION FOOTBALL TEE</t>
  </si>
  <si>
    <t>WH SAND / DK NAVY</t>
  </si>
  <si>
    <t>BLK8V05AI2</t>
  </si>
  <si>
    <t>TR GAS FOOTBALL TEE</t>
  </si>
  <si>
    <t>WH WHT/KELLY GRN</t>
  </si>
  <si>
    <t>BLK8V32AK0</t>
  </si>
  <si>
    <t>HOLLYWOOD RINGER TEE</t>
  </si>
  <si>
    <t>WG WHITE / FADED CARROT</t>
  </si>
  <si>
    <t>BLK8V32AK2</t>
  </si>
  <si>
    <t>WEST COAST ENDURO RINGER TEE</t>
  </si>
  <si>
    <t>WH DK NAVY / CREAM</t>
  </si>
  <si>
    <t>BLS7V86AO0</t>
  </si>
  <si>
    <t>70'S RAINBOW ZIP HOODIE</t>
  </si>
  <si>
    <t>WG WHITE</t>
  </si>
  <si>
    <t>BLW8036AT0</t>
  </si>
  <si>
    <t>THE GOLDEN STATE CREW TEE</t>
  </si>
  <si>
    <t>BLW8229DL9</t>
  </si>
  <si>
    <t>VARISTY CHAMP SS CREW NECK TEE</t>
  </si>
  <si>
    <t>BLY7S97DM7</t>
  </si>
  <si>
    <t>ATWATER VILLAGE HOODIE</t>
  </si>
  <si>
    <t>BMJ8T27DM6</t>
  </si>
  <si>
    <t>BANDANA BUDDHA POCKET TEE</t>
  </si>
  <si>
    <t>BN48S46W77</t>
  </si>
  <si>
    <t>L/S RAGLAN THERMAL</t>
  </si>
  <si>
    <t>BNGBP57VR</t>
  </si>
  <si>
    <t>ROCKY L/S WESTERN SHIRT</t>
  </si>
  <si>
    <t>SG MAIZE</t>
  </si>
  <si>
    <t>BNGBX17HY2</t>
  </si>
  <si>
    <t>LS WORKWEAR SHIRT W EMB</t>
  </si>
  <si>
    <t>ABR SUNBLCHD ORG</t>
  </si>
  <si>
    <t>BNL6X84CK2</t>
  </si>
  <si>
    <t>ECHO PARK TERRY PANT</t>
  </si>
  <si>
    <t>BNL7X85CK1</t>
  </si>
  <si>
    <t>ECHO PARK ZIP-UP HOODIE</t>
  </si>
  <si>
    <t>3C ROYAL BLUE</t>
  </si>
  <si>
    <t>BNNV21Y05</t>
  </si>
  <si>
    <t>BOYS RECON CARGO SHORTS</t>
  </si>
  <si>
    <t>ZC SEA GRASS</t>
  </si>
  <si>
    <t>ZC SPICE ORANGE</t>
  </si>
  <si>
    <t>BP48S42IK</t>
  </si>
  <si>
    <t>BOYS PHOENIX LOGO L/S WESTERN</t>
  </si>
  <si>
    <t>SE CAYMAN BLUE</t>
  </si>
  <si>
    <t>SE CANYON RED</t>
  </si>
  <si>
    <t>BP4BV92EB3</t>
  </si>
  <si>
    <t>HIGHWAY REBEL L/S WOVEN TOP</t>
  </si>
  <si>
    <t>SE FIRE RED</t>
  </si>
  <si>
    <t>BP4BV92VR</t>
  </si>
  <si>
    <t>L/S WESTERN SHIRT W/ LOGO</t>
  </si>
  <si>
    <t>SE CARAMEL</t>
  </si>
  <si>
    <t>SE AUTUMN</t>
  </si>
  <si>
    <t>BQ2859Y04</t>
  </si>
  <si>
    <t>BOYS RICKY ON THE ROAD JEAN</t>
  </si>
  <si>
    <t>XGM</t>
  </si>
  <si>
    <t>XGM MEDIUM TREADWAY</t>
  </si>
  <si>
    <t>BQ2A147GR9</t>
  </si>
  <si>
    <t>BOYS JACK COATED LOGO</t>
  </si>
  <si>
    <t>AWCM</t>
  </si>
  <si>
    <t>AWCM TRVLRS DSRE</t>
  </si>
  <si>
    <t>BQ2E08F83</t>
  </si>
  <si>
    <t>BOYS JACK VINTAGE SKULL JEANS</t>
  </si>
  <si>
    <t>JXD</t>
  </si>
  <si>
    <t>JXD MINE CREEK</t>
  </si>
  <si>
    <t>BQ2R62Y04</t>
  </si>
  <si>
    <t>BOYS JIMMY ON THE ROAD JACKET</t>
  </si>
  <si>
    <t>YNL</t>
  </si>
  <si>
    <t>YNL WHISPERING ROCK</t>
  </si>
  <si>
    <t>BQ9861Y44</t>
  </si>
  <si>
    <t>BOYS LOGAN OIL DYE JEAN</t>
  </si>
  <si>
    <t>WX TURQUOISE</t>
  </si>
  <si>
    <t>BQPBS41DC5</t>
  </si>
  <si>
    <t>WORKWEAR OXFORD SHIRT</t>
  </si>
  <si>
    <t>SE WHITE</t>
  </si>
  <si>
    <t>BQUE08DG4</t>
  </si>
  <si>
    <t>BOYS JACK CAMO SLIM</t>
  </si>
  <si>
    <t>AOQ NAVARTE</t>
  </si>
  <si>
    <t>BR8X06ES6</t>
  </si>
  <si>
    <t>ALLOVER SKULLS DIAPER COVER</t>
  </si>
  <si>
    <t>BBLD</t>
  </si>
  <si>
    <t>BBLD TOADSTL DRMS</t>
  </si>
  <si>
    <t>BRG8Y77DM5</t>
  </si>
  <si>
    <t>TR MUSCLE CAR L/S HENLEY</t>
  </si>
  <si>
    <t>ABW CREAM/DK NVY</t>
  </si>
  <si>
    <t>BRK8Z89EB1</t>
  </si>
  <si>
    <t>AMERICAN RUGBY L/S RUGBY POLO</t>
  </si>
  <si>
    <t>BTPA011EA9</t>
  </si>
  <si>
    <t>TRUE APPLIQUE CLASSIC ZIP HOOD</t>
  </si>
  <si>
    <t>BTTA011EH4</t>
  </si>
  <si>
    <t>TR VARSITY CHAMPS  ZIP HOODIE</t>
  </si>
  <si>
    <t>BV68N80K44</t>
  </si>
  <si>
    <t>L/S TWO-FER BIKERS TEE</t>
  </si>
  <si>
    <t>BVKV23GX3</t>
  </si>
  <si>
    <t>BOYS MULTI COLOR CAMO CARGO</t>
  </si>
  <si>
    <t>BBJ MLTI CLR CMO</t>
  </si>
  <si>
    <t>BVU8V32FW2</t>
  </si>
  <si>
    <t>TRUE RELIGION CO SS CREWNECK T</t>
  </si>
  <si>
    <t>2S GREY</t>
  </si>
  <si>
    <t>BVU8V32FW3</t>
  </si>
  <si>
    <t>71 RETRO SS CREWNECK TEE</t>
  </si>
  <si>
    <t>2S GREEN</t>
  </si>
  <si>
    <t>BVUA320FX7</t>
  </si>
  <si>
    <t>KEEP ON ROCKING BASEBALL RAGLN</t>
  </si>
  <si>
    <t>BVUA320GA0</t>
  </si>
  <si>
    <t>ALL STATE 56 BASEBALL RAGLAN</t>
  </si>
  <si>
    <t>BVWA483EG</t>
  </si>
  <si>
    <t>JERSEY S/S POCKET POLO</t>
  </si>
  <si>
    <t>2S WASHED RED</t>
  </si>
  <si>
    <t>BVWA489HT7</t>
  </si>
  <si>
    <t>HIGHWAY REBELS S/S CREW NECK T</t>
  </si>
  <si>
    <t>BWBA239GA1</t>
  </si>
  <si>
    <t>STRIPED POCKET SS POLO</t>
  </si>
  <si>
    <t>BLUE / NAT STRPE</t>
  </si>
  <si>
    <t>BWSA412HY8</t>
  </si>
  <si>
    <t>ZIP UP HOODIE WITH THUMBHOLES</t>
  </si>
  <si>
    <t>2S NAVY STRIPE</t>
  </si>
  <si>
    <t>BXRA340GG5</t>
  </si>
  <si>
    <t>MY NAME IS SS ONESIE</t>
  </si>
  <si>
    <t>BZL8229HT1</t>
  </si>
  <si>
    <t>TR TRADING POST S/S CREW NECK</t>
  </si>
  <si>
    <t>BZL8229HT5</t>
  </si>
  <si>
    <t>CROSSROADS S/S CREW NECK TEE</t>
  </si>
  <si>
    <t>BZL8V32HT1</t>
  </si>
  <si>
    <t>TR TRADING POST S/S CRW NCK T</t>
  </si>
  <si>
    <t>BZYA413GA2</t>
  </si>
  <si>
    <t>TERRY JACKET SHAWL COLLAR</t>
  </si>
  <si>
    <t>Y3 LT GREY</t>
  </si>
  <si>
    <t>G07K89MD</t>
  </si>
  <si>
    <t>GIRLS 'ROCKY' DENIM L/S SHIRT</t>
  </si>
  <si>
    <t>G07K89S50</t>
  </si>
  <si>
    <t>GIRLS ROCKYL/S WESTERN DRESS</t>
  </si>
  <si>
    <t>G10572DGT2</t>
  </si>
  <si>
    <t>GIRLS BILLY SUPER T</t>
  </si>
  <si>
    <t>G10572NBT2</t>
  </si>
  <si>
    <t>BILLY SUPER T GIRLS JEANS</t>
  </si>
  <si>
    <t>ANZD</t>
  </si>
  <si>
    <t>ANZD STAR DUNES</t>
  </si>
  <si>
    <t>ATYM</t>
  </si>
  <si>
    <t>ATYM GLORY ROAD</t>
  </si>
  <si>
    <t>AVFM</t>
  </si>
  <si>
    <t>AVFM COBLT SKIES</t>
  </si>
  <si>
    <t>G10572RDN2</t>
  </si>
  <si>
    <t>G10572S51</t>
  </si>
  <si>
    <t>BILLY RIBBON LOGO GIRL JEANS</t>
  </si>
  <si>
    <t>G10572S54</t>
  </si>
  <si>
    <t>GIRLS BILLY BAJA EMBROIDERY LO</t>
  </si>
  <si>
    <t>G10592BA2</t>
  </si>
  <si>
    <t>GIRLS STELLA SUPER T PASTEL</t>
  </si>
  <si>
    <t>G10592BA3</t>
  </si>
  <si>
    <t>G10592GX9</t>
  </si>
  <si>
    <t>STELLA SUPER T ALL OVER CLARET</t>
  </si>
  <si>
    <t>G10592NBT2</t>
  </si>
  <si>
    <t>GIRLS STELLA SUPER T SKINNY</t>
  </si>
  <si>
    <t>G10592OM</t>
  </si>
  <si>
    <t>GIRL'S STELLA</t>
  </si>
  <si>
    <t>G10599BA8</t>
  </si>
  <si>
    <t>GIRLS  JULIE SUPER T BRIGHTS</t>
  </si>
  <si>
    <t>G10599BB2</t>
  </si>
  <si>
    <t>G10599DB3</t>
  </si>
  <si>
    <t>GIRLS JULIE SUPER T SKINNY</t>
  </si>
  <si>
    <t>AOCD</t>
  </si>
  <si>
    <t>AOCD BAYFIELD</t>
  </si>
  <si>
    <t>G10599DB6</t>
  </si>
  <si>
    <t>G10599DGT2</t>
  </si>
  <si>
    <t>GIRLS JULIE SUPER T</t>
  </si>
  <si>
    <t>GEM</t>
  </si>
  <si>
    <t>GEM STAMPEDE</t>
  </si>
  <si>
    <t>G10599GX8</t>
  </si>
  <si>
    <t>JULIE SUPER T EUCALYPTUS BARTK</t>
  </si>
  <si>
    <t>G10599L36</t>
  </si>
  <si>
    <t>GIRLS JULIE  FLORAL EMB JEANS</t>
  </si>
  <si>
    <t>G10599NBT2</t>
  </si>
  <si>
    <t>GIRLS JULIE SUPER T JEANS</t>
  </si>
  <si>
    <t>G10599OM</t>
  </si>
  <si>
    <t>GIRL'S JULIE</t>
  </si>
  <si>
    <t>G10599PWT2</t>
  </si>
  <si>
    <t>GIRLS JULIE  PINK W/ WHITE BAR</t>
  </si>
  <si>
    <t>G10599RDN2</t>
  </si>
  <si>
    <t>JULIE SUPER T GIRLS JEANS</t>
  </si>
  <si>
    <t>G10599S54</t>
  </si>
  <si>
    <t>GIRLS JULIE BAJA EMBROIDERY LO</t>
  </si>
  <si>
    <t>G10599X08</t>
  </si>
  <si>
    <t>JULIE SUPER T NEON PINK BARTAC</t>
  </si>
  <si>
    <t>G10A280GH2</t>
  </si>
  <si>
    <t>GIRLS LEAH SUNKISSED VEST</t>
  </si>
  <si>
    <t>X5 SUN BLCHED LT</t>
  </si>
  <si>
    <t>G10G11BA8</t>
  </si>
  <si>
    <t>GIRLS BOBBY CUTOFF SHORT SPT</t>
  </si>
  <si>
    <t>G10G11BA9</t>
  </si>
  <si>
    <t>G10G11BB2</t>
  </si>
  <si>
    <t>G10G11IA3</t>
  </si>
  <si>
    <t>GIRLS BOBBY CUT OFF HIP STITCH</t>
  </si>
  <si>
    <t>BEXM</t>
  </si>
  <si>
    <t>BEXM HONEY HEART</t>
  </si>
  <si>
    <t>G10G11NBT2</t>
  </si>
  <si>
    <t>GIRLS BOBBY CUT OFF SUPER T</t>
  </si>
  <si>
    <t>G10H42BA2</t>
  </si>
  <si>
    <t>GIRLS LAYLAA SUPER T PASTEL</t>
  </si>
  <si>
    <t>G10M05GH4</t>
  </si>
  <si>
    <t>GIRS JAYDE SUNKISSED</t>
  </si>
  <si>
    <t>G10M25GH5</t>
  </si>
  <si>
    <t>GIRLS FAYE CUT OFF SHORT</t>
  </si>
  <si>
    <t>AWOL</t>
  </si>
  <si>
    <t>AWOL DREMED PTLS</t>
  </si>
  <si>
    <t>G10Q39R99</t>
  </si>
  <si>
    <t>GIRLS STELLA SKINNY PONY EXPRE</t>
  </si>
  <si>
    <t>G10R94T02</t>
  </si>
  <si>
    <t>JADA BAJA RETRO JACKET</t>
  </si>
  <si>
    <t>PCM</t>
  </si>
  <si>
    <t>PCM DUSTER</t>
  </si>
  <si>
    <t>G10R95T02</t>
  </si>
  <si>
    <t>BILLY BAJA LOW RISE STRAIGHT L</t>
  </si>
  <si>
    <t>G10W13BA2</t>
  </si>
  <si>
    <t>G10W13BA3</t>
  </si>
  <si>
    <t>G10W15BA8</t>
  </si>
  <si>
    <t>G10W15BB2</t>
  </si>
  <si>
    <t>G177227AE1</t>
  </si>
  <si>
    <t>STAR CLASSIC HOODIE</t>
  </si>
  <si>
    <t>HW FUSCHIA</t>
  </si>
  <si>
    <t>HW FADED CARROT</t>
  </si>
  <si>
    <t>G177L18W97</t>
  </si>
  <si>
    <t>HAND DRAWN CLASSIC HOODIE</t>
  </si>
  <si>
    <t>LS FUSCHIA</t>
  </si>
  <si>
    <t>G177P07GE0</t>
  </si>
  <si>
    <t>ALLOVER HEART PATTERN ZIP HOOD</t>
  </si>
  <si>
    <t>APV DK SCARLET</t>
  </si>
  <si>
    <t>G177T78ET3</t>
  </si>
  <si>
    <t>INFANTS ALLOVER HEARTS HOODIE</t>
  </si>
  <si>
    <t>G179L05EU2</t>
  </si>
  <si>
    <t>GIRLS TRUE SPARKLE RICHIE VARS</t>
  </si>
  <si>
    <t>APV BLOSSOM</t>
  </si>
  <si>
    <t>G179L05IK</t>
  </si>
  <si>
    <t>G2PCSETGZ5</t>
  </si>
  <si>
    <t>G2PCSETKP5</t>
  </si>
  <si>
    <t>37 ROSE PDALS</t>
  </si>
  <si>
    <t>G2PCSTKP5</t>
  </si>
  <si>
    <t>G3NA414FY3</t>
  </si>
  <si>
    <t>PRINTED PEASANT S/S BLOUSE</t>
  </si>
  <si>
    <t>G3PCSETAT7</t>
  </si>
  <si>
    <t>BABY GIRLS 3 PIECE GIFT BOX</t>
  </si>
  <si>
    <t>G3PCSETKP7</t>
  </si>
  <si>
    <t>98 WILD CATCH</t>
  </si>
  <si>
    <t>G3PCSETX14</t>
  </si>
  <si>
    <t>G3PCSTKP7</t>
  </si>
  <si>
    <t>G4NA481HV0</t>
  </si>
  <si>
    <t>TRIBAL DRAPED TEE</t>
  </si>
  <si>
    <t>OATMEAL</t>
  </si>
  <si>
    <t>G4OA504CB0</t>
  </si>
  <si>
    <t>GIRLS TANK TOP</t>
  </si>
  <si>
    <t>2S FADED ROSE</t>
  </si>
  <si>
    <t>G648240F59</t>
  </si>
  <si>
    <t>S/S PUFF LOGO GIRLS TEE</t>
  </si>
  <si>
    <t>G648240K62</t>
  </si>
  <si>
    <t>S/S CREW NECK LOVE TEE</t>
  </si>
  <si>
    <t>G648240S55</t>
  </si>
  <si>
    <t>LOVE BALOON S/S LOGO CREW NECK</t>
  </si>
  <si>
    <t>3C PEACH</t>
  </si>
  <si>
    <t>G648240S56</t>
  </si>
  <si>
    <t>CALIFORNIA CACTUS SS LOGO CREW</t>
  </si>
  <si>
    <t>3C LT BURGUNDY</t>
  </si>
  <si>
    <t>G648240S57</t>
  </si>
  <si>
    <t>MYSTIC JOURNEY S/S LOGO GRAPHI</t>
  </si>
  <si>
    <t>3C STONE GREY</t>
  </si>
  <si>
    <t>G8AA477HS5</t>
  </si>
  <si>
    <t>MOCK TWIST TOP DRESS</t>
  </si>
  <si>
    <t>FADED ROSE/NATRL</t>
  </si>
  <si>
    <t>G8M592HL5</t>
  </si>
  <si>
    <t>GIRLS STELLA UTOPIA PETAL PRNT</t>
  </si>
  <si>
    <t>BFA UTOPIA PETAL</t>
  </si>
  <si>
    <t>G8MA449HL5</t>
  </si>
  <si>
    <t>GIRLS DOLLY UTOPIA PETAL PRINT</t>
  </si>
  <si>
    <t>G95K35BT1</t>
  </si>
  <si>
    <t>GIRLS CASEY TIE DIE JEAN</t>
  </si>
  <si>
    <t>YO WILD ORCHID</t>
  </si>
  <si>
    <t>YO FUSCHIA</t>
  </si>
  <si>
    <t>G95K44BT1</t>
  </si>
  <si>
    <t>GIRLS MISTY TIE DIE JEAN</t>
  </si>
  <si>
    <t>YO FADED CARROT</t>
  </si>
  <si>
    <t>G9MA449HM5</t>
  </si>
  <si>
    <t>GIRLS GLORIOUS PRINT SHORT</t>
  </si>
  <si>
    <t>BEP GLORIOUS</t>
  </si>
  <si>
    <t>GAKL56BCS</t>
  </si>
  <si>
    <t>GIRLS CASEY JEANS</t>
  </si>
  <si>
    <t>GAS4J83OM</t>
  </si>
  <si>
    <t>GIRLS DOLLY CUT-OFF SHORTS</t>
  </si>
  <si>
    <t>GAS599EM</t>
  </si>
  <si>
    <t>GIRLS JULIE DREAM CAKE SKINNY</t>
  </si>
  <si>
    <t>BDRM</t>
  </si>
  <si>
    <t>BDRM DREAM CAKE</t>
  </si>
  <si>
    <t>GAS599F83</t>
  </si>
  <si>
    <t>GIRLS JULIE VINTAGE SKULL</t>
  </si>
  <si>
    <t>GXM</t>
  </si>
  <si>
    <t>GXM THUNDER HEART</t>
  </si>
  <si>
    <t>GAS599HN3</t>
  </si>
  <si>
    <t>GIRLS JULIE CORAL SUPER T</t>
  </si>
  <si>
    <t>BEBM</t>
  </si>
  <si>
    <t>BEBM RAINY DRMS</t>
  </si>
  <si>
    <t>GAS5H42OM</t>
  </si>
  <si>
    <t>GIRLS LAYLAA CUT-OFF SKIRT</t>
  </si>
  <si>
    <t>GASA463HN8</t>
  </si>
  <si>
    <t>GIRLS GIGI SHORT OVER ALL</t>
  </si>
  <si>
    <t>BEYL</t>
  </si>
  <si>
    <t>BEYL BOX FLOWER</t>
  </si>
  <si>
    <t>GASG93OM</t>
  </si>
  <si>
    <t>GIRLS EMILY WESTERN JACKET</t>
  </si>
  <si>
    <t>GASJ70OM</t>
  </si>
  <si>
    <t>GIRLS HEIDI SHORTS</t>
  </si>
  <si>
    <t>GASJ83OM</t>
  </si>
  <si>
    <t>GIRLS DOLLY CUT OFF SHORT</t>
  </si>
  <si>
    <t>GASS36OM</t>
  </si>
  <si>
    <t>GIRLS EMILYJKT  W/FLEECE SLEEV</t>
  </si>
  <si>
    <t>GASS36W83</t>
  </si>
  <si>
    <t>GIRLS EMILY WESTERN JACKET W/</t>
  </si>
  <si>
    <t>VVM</t>
  </si>
  <si>
    <t>WIND JAMMER</t>
  </si>
  <si>
    <t>GAX592EY7</t>
  </si>
  <si>
    <t>GIRLS JULIE ALL OVER BLACK SPT</t>
  </si>
  <si>
    <t>GAX599EI6</t>
  </si>
  <si>
    <t>GIRLS JULIE SUPER VIXEN SKINNY</t>
  </si>
  <si>
    <t>ATVD</t>
  </si>
  <si>
    <t>ATVD MIDNGHT BLK</t>
  </si>
  <si>
    <t>GAX599EL</t>
  </si>
  <si>
    <t>GIRLS JULIE W/ BLACK SN JEANS</t>
  </si>
  <si>
    <t>9CB</t>
  </si>
  <si>
    <t>9CB PEBBLE BLACK</t>
  </si>
  <si>
    <t>GAX599ER7</t>
  </si>
  <si>
    <t>GIRLS JULIE DUSTY PINK SUPER T</t>
  </si>
  <si>
    <t>AUBD DUSTY PINK</t>
  </si>
  <si>
    <t>GAXL56GS1</t>
  </si>
  <si>
    <t>GIRLS CASEY GREY WASH</t>
  </si>
  <si>
    <t>ACYL</t>
  </si>
  <si>
    <t>ACYL CLOSD TRAIL</t>
  </si>
  <si>
    <t>GCB599K33</t>
  </si>
  <si>
    <t>GIRLS  'JULIE'  TNL BIG T PNT</t>
  </si>
  <si>
    <t>SMOKE</t>
  </si>
  <si>
    <t>GCBV59K32</t>
  </si>
  <si>
    <t>GIRLS BILLY CORDUROY</t>
  </si>
  <si>
    <t>2S DK TEAL</t>
  </si>
  <si>
    <t>GED8T12W88</t>
  </si>
  <si>
    <t>POWER THROUGH PEACE HOODED HEN</t>
  </si>
  <si>
    <t>GET599X27</t>
  </si>
  <si>
    <t>INFANT JULIE GIRLS JEAN</t>
  </si>
  <si>
    <t>GETQ29ES1</t>
  </si>
  <si>
    <t>INFANTS JULIE SKINNY</t>
  </si>
  <si>
    <t>GETQ29PBT</t>
  </si>
  <si>
    <t>INFANT JULIE JEAN</t>
  </si>
  <si>
    <t>23 MED STONE</t>
  </si>
  <si>
    <t>GETS35M47</t>
  </si>
  <si>
    <t>GIRLS LONESTAR DENIM DRESS</t>
  </si>
  <si>
    <t>GF43592</t>
  </si>
  <si>
    <t>STELLA PONTE  DOUBLE KNIT PANT</t>
  </si>
  <si>
    <t>GGH7T79ES8</t>
  </si>
  <si>
    <t>TRUE RELIGION HEART SCRIPT ONE</t>
  </si>
  <si>
    <t>GGH7T79EU0</t>
  </si>
  <si>
    <t>GGH7T81EV5</t>
  </si>
  <si>
    <t>INFANTS PEACE &amp; LOVE SNAP SS T</t>
  </si>
  <si>
    <t>GGH7T81HU2</t>
  </si>
  <si>
    <t>GGH7W56GG2</t>
  </si>
  <si>
    <t>PAPER DREAMS SS ONESIE</t>
  </si>
  <si>
    <t>GGH7W56HU4</t>
  </si>
  <si>
    <t>TR FLOWER ONESIES</t>
  </si>
  <si>
    <t>GGH7W56HY9</t>
  </si>
  <si>
    <t>TRUE TRAVELER SS ONESIE</t>
  </si>
  <si>
    <t>GGH8240EU7</t>
  </si>
  <si>
    <t>OASIS NECKLACE CREW NECK</t>
  </si>
  <si>
    <t>09 JET</t>
  </si>
  <si>
    <t>09 CHINA</t>
  </si>
  <si>
    <t>GGH8240FY8</t>
  </si>
  <si>
    <t>TR HIPPIE SS CREWNECK TEE</t>
  </si>
  <si>
    <t>GGH8K78EU8</t>
  </si>
  <si>
    <t>TRUE LOVE S/S V-NECK</t>
  </si>
  <si>
    <t>09 CLARET</t>
  </si>
  <si>
    <t>GGH8K78EU9</t>
  </si>
  <si>
    <t>SPARKLE TRUE S/S V-NECK</t>
  </si>
  <si>
    <t>09 BLOSSOM</t>
  </si>
  <si>
    <t>GGH8K78EV1</t>
  </si>
  <si>
    <t>GOLD/COPPER FOIL SS V-NECK TEE</t>
  </si>
  <si>
    <t>09 LEAD</t>
  </si>
  <si>
    <t>09 BONE</t>
  </si>
  <si>
    <t>09 EUCALYPTUS</t>
  </si>
  <si>
    <t>GGH8K78FY9</t>
  </si>
  <si>
    <t>BELONGS TO EARTH SS VNECK TEE</t>
  </si>
  <si>
    <t>09 STERLING BLUE</t>
  </si>
  <si>
    <t>GGH8K78FZ1</t>
  </si>
  <si>
    <t>TR 56 SS VNECK TEE</t>
  </si>
  <si>
    <t>09 LEMONDROP</t>
  </si>
  <si>
    <t>GGH8K78FZ2</t>
  </si>
  <si>
    <t>BUTTERFLY WORLD SS VNECK TEE</t>
  </si>
  <si>
    <t>09 FADED ROSE</t>
  </si>
  <si>
    <t>GGH8K78S62</t>
  </si>
  <si>
    <t>PEACE 56 SS LOGO V-NECK TEE</t>
  </si>
  <si>
    <t>3C VERY BERRY</t>
  </si>
  <si>
    <t>GGH8S37EV4</t>
  </si>
  <si>
    <t>CURSIVE TRUE RELIGION HENLEY</t>
  </si>
  <si>
    <t>09 CAMEO</t>
  </si>
  <si>
    <t>GGHA475HU5</t>
  </si>
  <si>
    <t>INFANTS DOTS ONESIES</t>
  </si>
  <si>
    <t>GGHA478HS3</t>
  </si>
  <si>
    <t>WITH ALL MY HEART TANK TOP</t>
  </si>
  <si>
    <t>GGHA478HS6</t>
  </si>
  <si>
    <t>LEAF TANK TOP</t>
  </si>
  <si>
    <t>GHZA278GG7</t>
  </si>
  <si>
    <t>GIRLS CLAIRE RAILROAD SHORT</t>
  </si>
  <si>
    <t>AWMM</t>
  </si>
  <si>
    <t>AWMM STARRY MOON</t>
  </si>
  <si>
    <t>GHZL56GH6</t>
  </si>
  <si>
    <t>GIRLS CASEY VINTAGE LACE PRINT</t>
  </si>
  <si>
    <t>AWPL</t>
  </si>
  <si>
    <t>AWPL VNTAGE LACE</t>
  </si>
  <si>
    <t>GHZL56HB8</t>
  </si>
  <si>
    <t>GIRLS CASEY BASIC</t>
  </si>
  <si>
    <t>GHZL56HS0</t>
  </si>
  <si>
    <t>GIRLS CASEY SUPER SKINNY</t>
  </si>
  <si>
    <t>BFBM</t>
  </si>
  <si>
    <t>BFBM SKINNY TWRS</t>
  </si>
  <si>
    <t>GHZL56OM</t>
  </si>
  <si>
    <t>GIRLS CASEY OLD MULTI</t>
  </si>
  <si>
    <t>GHZL56TS</t>
  </si>
  <si>
    <t>GIRLS CASEY</t>
  </si>
  <si>
    <t>AWTM</t>
  </si>
  <si>
    <t>AWTM WSTFL ROSES</t>
  </si>
  <si>
    <t>GHZL57TS</t>
  </si>
  <si>
    <t>GIRLS MISTY SKINNY JEAN</t>
  </si>
  <si>
    <t>GHZL57U35</t>
  </si>
  <si>
    <t>MISTY MILES FROM NOWHERE GIRLS</t>
  </si>
  <si>
    <t>GHZQ29JR23</t>
  </si>
  <si>
    <t>56 FLOWER DUST</t>
  </si>
  <si>
    <t>GHZT80NBT2</t>
  </si>
  <si>
    <t>INFANTS BILLY BOOTCUT INFANTS</t>
  </si>
  <si>
    <t>GHZU01HA2</t>
  </si>
  <si>
    <t>INFANTS CASEY SKINNY</t>
  </si>
  <si>
    <t>GJD599GP7</t>
  </si>
  <si>
    <t>GIRLS JULIE OVERDYE BIG T</t>
  </si>
  <si>
    <t>09 STRWBRRY CREM</t>
  </si>
  <si>
    <t>GJDG11GP7</t>
  </si>
  <si>
    <t>GIRLS BOBBY SHORT OVERDYE BGT</t>
  </si>
  <si>
    <t>GJDH42K67</t>
  </si>
  <si>
    <t>GIRLS LAYLAA OVERDYE SKIRT</t>
  </si>
  <si>
    <t>GJDJ70K67</t>
  </si>
  <si>
    <t>GIRLS HEIDI OVERDYE SHORTS</t>
  </si>
  <si>
    <t>GJDL56AF2</t>
  </si>
  <si>
    <t>GIRLS STAR PRINT CASEY</t>
  </si>
  <si>
    <t>Y3 ROYAL BLUE</t>
  </si>
  <si>
    <t>GJDL56CQ0</t>
  </si>
  <si>
    <t>GIRLS CASEY SKINNY LEG</t>
  </si>
  <si>
    <t>ARP PLUM</t>
  </si>
  <si>
    <t>09 DK SCARLET</t>
  </si>
  <si>
    <t>GJDL56EV6</t>
  </si>
  <si>
    <t>GIRLS CASEY TEAR DROP SKINNY</t>
  </si>
  <si>
    <t>ATW SEAL</t>
  </si>
  <si>
    <t>GJDL56EY9</t>
  </si>
  <si>
    <t>ATW CURRANT</t>
  </si>
  <si>
    <t>GJDL56EZ0</t>
  </si>
  <si>
    <t>GIRLS CASEY FEATHER PRINT</t>
  </si>
  <si>
    <t>AVL OPTIC WHITE</t>
  </si>
  <si>
    <t>AVL FTHERD DRMS</t>
  </si>
  <si>
    <t>AVL BLOSSOM</t>
  </si>
  <si>
    <t>GJDL56GH8</t>
  </si>
  <si>
    <t>GIRLS CASEY LOVE SPELL SKINNY</t>
  </si>
  <si>
    <t>AWQ BUTTERFLY</t>
  </si>
  <si>
    <t>GJDL56GQ8</t>
  </si>
  <si>
    <t>AVL CURRANT</t>
  </si>
  <si>
    <t>GJDL56GR5</t>
  </si>
  <si>
    <t>GIRLS CASEY OVERDYE SKINNY</t>
  </si>
  <si>
    <t>09 FOUR LF CLOVR</t>
  </si>
  <si>
    <t>GJDL56K67</t>
  </si>
  <si>
    <t>Y3 TURQUOISE</t>
  </si>
  <si>
    <t>Y3 MIDNIGHT</t>
  </si>
  <si>
    <t>Y3 WILD ORCHID</t>
  </si>
  <si>
    <t>09 VERY BERRY</t>
  </si>
  <si>
    <t>Y3 PUNCH</t>
  </si>
  <si>
    <t>GJDL57K67</t>
  </si>
  <si>
    <t>GIRLS MISTY W/FLAPS</t>
  </si>
  <si>
    <t>09 BLACK BERRY</t>
  </si>
  <si>
    <t>09 LILAC</t>
  </si>
  <si>
    <t>GJDL57U28</t>
  </si>
  <si>
    <t>MISTY GLITTER COATED GIRLS JEA</t>
  </si>
  <si>
    <t>TLD BLACK</t>
  </si>
  <si>
    <t>TLD BEIGE</t>
  </si>
  <si>
    <t>GJDM05GR5</t>
  </si>
  <si>
    <t>GIRLS JAYDE BOYFRIEND SHORT</t>
  </si>
  <si>
    <t>GJDM05HL2</t>
  </si>
  <si>
    <t>GIRLS JAYDE VINT WHT BF SHORT</t>
  </si>
  <si>
    <t>BDP AIR BOHEMIA WH</t>
  </si>
  <si>
    <t>GJDU01AF2</t>
  </si>
  <si>
    <t>INFANT CASEY STAR PANT</t>
  </si>
  <si>
    <t>Y3 FUSCHIA</t>
  </si>
  <si>
    <t>Y3 FADED CARROT</t>
  </si>
  <si>
    <t>GJDU01EX2</t>
  </si>
  <si>
    <t>GJS7S39W72</t>
  </si>
  <si>
    <t>BROOKLYN FOOTBALL PULLOVER</t>
  </si>
  <si>
    <t>09 REDWOOD</t>
  </si>
  <si>
    <t>GJS8S38DR1</t>
  </si>
  <si>
    <t>GIRLS CREW FOOTBALL TEE</t>
  </si>
  <si>
    <t>GJS8S38W71</t>
  </si>
  <si>
    <t>SANTA CRUZ FOOTBALL TEE</t>
  </si>
  <si>
    <t>GL4BA86VY</t>
  </si>
  <si>
    <t>L/S PLAID WESTERN SHIRT - GIRL</t>
  </si>
  <si>
    <t>BRISTOL</t>
  </si>
  <si>
    <t>GL78145AF8</t>
  </si>
  <si>
    <t>RINGER TANK</t>
  </si>
  <si>
    <t>09 WHT/FUSCHIA</t>
  </si>
  <si>
    <t>GL78145T81</t>
  </si>
  <si>
    <t>3C FUSCHIA / KELLY GREEN</t>
  </si>
  <si>
    <t>GL78G77HV2</t>
  </si>
  <si>
    <t>BUTTERFLY WORLD TANK</t>
  </si>
  <si>
    <t>GL78G77HV3</t>
  </si>
  <si>
    <t>TRUE CIRCLE TANK</t>
  </si>
  <si>
    <t>GLB7U69W90</t>
  </si>
  <si>
    <t>LOVE IS TRUE HOODIE</t>
  </si>
  <si>
    <t>GLH572OM</t>
  </si>
  <si>
    <t>GIRLS BILLY OLD MULTI BASIC ST</t>
  </si>
  <si>
    <t>ATZD</t>
  </si>
  <si>
    <t>ATZD QUIET MMNTS</t>
  </si>
  <si>
    <t>AUAM</t>
  </si>
  <si>
    <t>AUAM WRM AFTRNON</t>
  </si>
  <si>
    <t>GLH599OM</t>
  </si>
  <si>
    <t>GIRLS JULIE LOW RISE SKINNY</t>
  </si>
  <si>
    <t>ANXD</t>
  </si>
  <si>
    <t>ANXD DK ARRA WNS</t>
  </si>
  <si>
    <t>GLK8240DL5</t>
  </si>
  <si>
    <t>TRUE FLORAL CREW NECK TEE</t>
  </si>
  <si>
    <t>GLK8240W75</t>
  </si>
  <si>
    <t>ACHILLEUS S/S LOGO CREW NECK</t>
  </si>
  <si>
    <t>GLK8K99AC8</t>
  </si>
  <si>
    <t>SO CAL TEE</t>
  </si>
  <si>
    <t>GLK8K99AC9</t>
  </si>
  <si>
    <t>GLK8K99AX0</t>
  </si>
  <si>
    <t>PAINT SPLATTER TEE</t>
  </si>
  <si>
    <t>GLK8W31AD2</t>
  </si>
  <si>
    <t>TRUE RELIGION  ALTHETIC TEE</t>
  </si>
  <si>
    <t>WH DAFFODIL / FADED CARROT</t>
  </si>
  <si>
    <t>GLUV59K32</t>
  </si>
  <si>
    <t>GIRLS BILLY CORDUROY BOOT CUT</t>
  </si>
  <si>
    <t>GLW8K99AX0</t>
  </si>
  <si>
    <t>GMZBP40IK</t>
  </si>
  <si>
    <t>GNZA103EV2</t>
  </si>
  <si>
    <t>MILITARY FLEECE JACKET</t>
  </si>
  <si>
    <t>APV CLARET</t>
  </si>
  <si>
    <t>GQ1599H13</t>
  </si>
  <si>
    <t>GIRLS JULIE JEANS</t>
  </si>
  <si>
    <t>GQ15Q52U66</t>
  </si>
  <si>
    <t>GIRLS LAYLAA CUT OFF LONESTAR</t>
  </si>
  <si>
    <t>GQ1L39H13</t>
  </si>
  <si>
    <t>GIRLS REAGAN JEANS</t>
  </si>
  <si>
    <t>GQ1M66BCS</t>
  </si>
  <si>
    <t>GIRLS JULIE</t>
  </si>
  <si>
    <t>GQ1Q36M47</t>
  </si>
  <si>
    <t>GIRLS JULIE LONESTAR</t>
  </si>
  <si>
    <t>GQ1Q36U66</t>
  </si>
  <si>
    <t>GIRLS JULIE LONESTAR SKINNY JE</t>
  </si>
  <si>
    <t>GQ1Q37M47</t>
  </si>
  <si>
    <t>GIRLS BOBBY LONESTAR</t>
  </si>
  <si>
    <t>GQ2V51Y04</t>
  </si>
  <si>
    <t>BILLY ON THE ROADJEAN</t>
  </si>
  <si>
    <t>ZGM</t>
  </si>
  <si>
    <t>ZGM SILVER CITY</t>
  </si>
  <si>
    <t>GQHBW93BD1</t>
  </si>
  <si>
    <t>GEORGIA WESTERN SHIRT</t>
  </si>
  <si>
    <t>FK GRAPEFRUIT</t>
  </si>
  <si>
    <t>GR8X06ES5</t>
  </si>
  <si>
    <t>ALLOVER FLOWERS DIAPER COVER</t>
  </si>
  <si>
    <t>GTDBW93VR</t>
  </si>
  <si>
    <t>GIRLS GEORGIA SHIRT WESTERN LS</t>
  </si>
  <si>
    <t>FK DUSTED PINK</t>
  </si>
  <si>
    <t>GTS6Z76DN7</t>
  </si>
  <si>
    <t>INFANTS FRENCH TERRY SWEATPANT</t>
  </si>
  <si>
    <t>GTS7Z75DN5</t>
  </si>
  <si>
    <t>INFANTS FRENCH TERRY HOODIE</t>
  </si>
  <si>
    <t>GVUA259FY0</t>
  </si>
  <si>
    <t>ANCHORS AWAY RAGLAN TEE</t>
  </si>
  <si>
    <t>09 WHITE / GREY</t>
  </si>
  <si>
    <t>GWAA009EV3</t>
  </si>
  <si>
    <t>TRUE HAWKLINES DOLMAN SLV CREW</t>
  </si>
  <si>
    <t>GWAA500FV6</t>
  </si>
  <si>
    <t>GIRLS POCKET S/S STRIPE CRW T</t>
  </si>
  <si>
    <t>GWBA501HZ3</t>
  </si>
  <si>
    <t>GIRLS STRIPE TANK TOP W/EMBLSH</t>
  </si>
  <si>
    <t>BLACK/NAT STRPE</t>
  </si>
  <si>
    <t>GXTA256FV2</t>
  </si>
  <si>
    <t>DRAPED TANK TOP</t>
  </si>
  <si>
    <t>STRAWBERRY CREAM</t>
  </si>
  <si>
    <t>GXTA502HY3</t>
  </si>
  <si>
    <t>ABIGAIL JERSEY DRESS</t>
  </si>
  <si>
    <t>GXUA415FY2</t>
  </si>
  <si>
    <t>LS ZIPPER HOODIE</t>
  </si>
  <si>
    <t>NATURAL / NAVY</t>
  </si>
  <si>
    <t>GXWA411HC6</t>
  </si>
  <si>
    <t>COLORFUL EMB POETS BLOUSE</t>
  </si>
  <si>
    <t>NATURAL</t>
  </si>
  <si>
    <t>GXWA411IK</t>
  </si>
  <si>
    <t>POETS BLOUSE PEASANT TOP</t>
  </si>
  <si>
    <t>WHITE TRELLIS</t>
  </si>
  <si>
    <t>GZ86R29W92</t>
  </si>
  <si>
    <t>WEST COAST SWEATPANT</t>
  </si>
  <si>
    <t>GZ87K02W91</t>
  </si>
  <si>
    <t>WEST COAST POULLOVER</t>
  </si>
  <si>
    <t>GZ87KO2W91</t>
  </si>
  <si>
    <t>WEST COAST PULLOVER</t>
  </si>
  <si>
    <t>GZNA103EV2</t>
  </si>
  <si>
    <t>GZPA258FV3</t>
  </si>
  <si>
    <t>JERSEY HOODIE WITH CROCHET</t>
  </si>
  <si>
    <t>GZPA410FY1</t>
  </si>
  <si>
    <t>TRUE NORTH CREWNECK STRIPE TEE</t>
  </si>
  <si>
    <t>WHITE CRL STRIPE</t>
  </si>
  <si>
    <t>I43A367EC6</t>
  </si>
  <si>
    <t>I46A161EH3</t>
  </si>
  <si>
    <t>CASEY MIDNIGHT FOG SKINNY</t>
  </si>
  <si>
    <t>M04859S20</t>
  </si>
  <si>
    <t>RICKY TWO TONE STRAIGHT MENS J</t>
  </si>
  <si>
    <t>M049020S20</t>
  </si>
  <si>
    <t>JOHNNY TWO TONE WESTERN MENS J</t>
  </si>
  <si>
    <t>NNM</t>
  </si>
  <si>
    <t>NNM DEADEND</t>
  </si>
  <si>
    <t>M04J19S20</t>
  </si>
  <si>
    <t>GENO TWO TONE SLIM MENS JEAN</t>
  </si>
  <si>
    <t>SZM</t>
  </si>
  <si>
    <t>SZM VILLAIN</t>
  </si>
  <si>
    <t>M04J60S20</t>
  </si>
  <si>
    <t>ROCCO TWO TONE SKINNY MENS JEA</t>
  </si>
  <si>
    <t>M05859BKT2</t>
  </si>
  <si>
    <t>RICKY SUPER T STRAIGHT MN JEAN</t>
  </si>
  <si>
    <t>PGDB</t>
  </si>
  <si>
    <t>PGDB ASSASINATION BLACK</t>
  </si>
  <si>
    <t>SYMB</t>
  </si>
  <si>
    <t>SYMB NOMAD BLACK</t>
  </si>
  <si>
    <t>M05861V56</t>
  </si>
  <si>
    <t>LOGAN SUPER T MEN JEAN</t>
  </si>
  <si>
    <t>TZMB</t>
  </si>
  <si>
    <t>ASHLAND BLACK</t>
  </si>
  <si>
    <t>M05J19BK9</t>
  </si>
  <si>
    <t>GENO SLIM MENS JEAN</t>
  </si>
  <si>
    <t>9V</t>
  </si>
  <si>
    <t>9V SUPERFLY</t>
  </si>
  <si>
    <t>M05J60BKT2</t>
  </si>
  <si>
    <t>ROCCO SUPER T SKINNY MN JEANS</t>
  </si>
  <si>
    <t>M05P31M53</t>
  </si>
  <si>
    <t>BOBBY PHEONIX STRAIGHT MENS JE</t>
  </si>
  <si>
    <t>PBMB</t>
  </si>
  <si>
    <t>PBMB BLUE GRASS BLACK</t>
  </si>
  <si>
    <t>M05P32M53</t>
  </si>
  <si>
    <t>GENO PHOENIX MENS JEANS</t>
  </si>
  <si>
    <t>M05P58M53</t>
  </si>
  <si>
    <t>KYLE PHOENIX FRONT PLEATED JAC</t>
  </si>
  <si>
    <t>M05T56U50</t>
  </si>
  <si>
    <t>ROCCO BLACK ZIPPER MEN JEAN</t>
  </si>
  <si>
    <t>PGDB ASSASINTN BLK</t>
  </si>
  <si>
    <t>M07800H76</t>
  </si>
  <si>
    <t>BOBBY STRAIGHT MEN'S JEAN</t>
  </si>
  <si>
    <t>KLM</t>
  </si>
  <si>
    <t>KLM CHATTANOOGA</t>
  </si>
  <si>
    <t>M07859H76</t>
  </si>
  <si>
    <t>RICKY STRAIGHT MEN'S JEAN</t>
  </si>
  <si>
    <t>M07E719MD</t>
  </si>
  <si>
    <t>ROCKY WESTERN SHIRT</t>
  </si>
  <si>
    <t>Y4</t>
  </si>
  <si>
    <t>Y4 LT TROUBLE SHOOTER</t>
  </si>
  <si>
    <t>M07EM48J39</t>
  </si>
  <si>
    <t>FRANCO SLANTED POCKET WESTERN</t>
  </si>
  <si>
    <t>LKM</t>
  </si>
  <si>
    <t>LKM FOLSOM</t>
  </si>
  <si>
    <t>M07EN46J33</t>
  </si>
  <si>
    <t>RYAN EPAULETTE WSTRN SHIRT</t>
  </si>
  <si>
    <t>M07EN48J39</t>
  </si>
  <si>
    <t>'FRANCO SLANTED PCKT WSTRN SHI</t>
  </si>
  <si>
    <t>M07N83TS</t>
  </si>
  <si>
    <t>LUCA LONG SLEEVE SHIRT - MEN'S</t>
  </si>
  <si>
    <t>M07P57M53</t>
  </si>
  <si>
    <t>JAKE PHOENIX LNG SLV WESTERN S</t>
  </si>
  <si>
    <t>M07Q03M65</t>
  </si>
  <si>
    <t>SEAN SNAKE EYES MENS LONG SLEE</t>
  </si>
  <si>
    <t>M07R63S34</t>
  </si>
  <si>
    <t>JAKE VINTAGE MENS WESTERN SHIR</t>
  </si>
  <si>
    <t>STM</t>
  </si>
  <si>
    <t>STM PERDITION</t>
  </si>
  <si>
    <t>M07R76T85</t>
  </si>
  <si>
    <t>SEAN BAJA MENS WESTERN SHIRT</t>
  </si>
  <si>
    <t>SDM</t>
  </si>
  <si>
    <t>SDM UNDISPUTED</t>
  </si>
  <si>
    <t>M07T64U45</t>
  </si>
  <si>
    <t>JAKE BADLANDS WESTERN SHIRT</t>
  </si>
  <si>
    <t>M07T64U47</t>
  </si>
  <si>
    <t>M07T72U54</t>
  </si>
  <si>
    <t>TQM</t>
  </si>
  <si>
    <t>TACOMA</t>
  </si>
  <si>
    <t>M07U83U63</t>
  </si>
  <si>
    <t>JAKE STUDDED LOGO WESTERN SHIR</t>
  </si>
  <si>
    <t>M07V42Y39</t>
  </si>
  <si>
    <t>JAKE 50'S GROUP MENS SHIRT</t>
  </si>
  <si>
    <t>XFM</t>
  </si>
  <si>
    <t>XFM OLD SILVER</t>
  </si>
  <si>
    <t>M07V69Y42</t>
  </si>
  <si>
    <t>PRINTED YOKE SEAN FASHION WEST</t>
  </si>
  <si>
    <t>XTM</t>
  </si>
  <si>
    <t>XTM THUNDER MOUNTAIN</t>
  </si>
  <si>
    <t>M07V70Z06</t>
  </si>
  <si>
    <t>ROLLING BONES JAKE FASHION WES</t>
  </si>
  <si>
    <t>XCL</t>
  </si>
  <si>
    <t>XCL DUST STORM</t>
  </si>
  <si>
    <t>M07W53Y40</t>
  </si>
  <si>
    <t>JAKE GENERAL LEE L/S MEN SHIRT</t>
  </si>
  <si>
    <t>2J</t>
  </si>
  <si>
    <t>2J BAD ASS</t>
  </si>
  <si>
    <t>M07Z06CS2</t>
  </si>
  <si>
    <t>JAKE INDIGO 1971 WESTERN SHIRT</t>
  </si>
  <si>
    <t>ADEM MED LINCOLN WAY</t>
  </si>
  <si>
    <t>SGD MIDNIGHT BLU</t>
  </si>
  <si>
    <t>M08800CR1</t>
  </si>
  <si>
    <t>BOBBY CORE STRAIGHT JEAN</t>
  </si>
  <si>
    <t>ACGD</t>
  </si>
  <si>
    <t>ACGD RICHLAND</t>
  </si>
  <si>
    <t>M08800FF4</t>
  </si>
  <si>
    <t>BOBBY STRAIGHT BLK STD LSR CMO</t>
  </si>
  <si>
    <t>ASUD</t>
  </si>
  <si>
    <t>ASUD BLK CMOFLGD</t>
  </si>
  <si>
    <t>M08800GJ3</t>
  </si>
  <si>
    <t>BOBBY STRGHT 5 PCKT CLSSIC BLK</t>
  </si>
  <si>
    <t>AWAD</t>
  </si>
  <si>
    <t>AWAD BLK GRANITE</t>
  </si>
  <si>
    <t>AWXD</t>
  </si>
  <si>
    <t>AWXD REVOLVER</t>
  </si>
  <si>
    <t>YLD</t>
  </si>
  <si>
    <t>YLD DK ANTELOPE</t>
  </si>
  <si>
    <t>M08858CR1</t>
  </si>
  <si>
    <t>BILLY CORE BOOT CUT JEAN</t>
  </si>
  <si>
    <t>M08858CV1</t>
  </si>
  <si>
    <t>BILLY BROWN GREY BIG QT</t>
  </si>
  <si>
    <t>ANOL</t>
  </si>
  <si>
    <t>ANOL DUST ROAD</t>
  </si>
  <si>
    <t>M08858EG8</t>
  </si>
  <si>
    <t>BILLY BOOTCUT SPT BLK ENGINRED</t>
  </si>
  <si>
    <t>ASND</t>
  </si>
  <si>
    <t>ASND WRONG TURN</t>
  </si>
  <si>
    <t>M08859CR1</t>
  </si>
  <si>
    <t>RICKY CORE STRAIGHT JEAN</t>
  </si>
  <si>
    <t>M08859CV1</t>
  </si>
  <si>
    <t>RICKY BROWN GREY BIG QT</t>
  </si>
  <si>
    <t>M08859DI5</t>
  </si>
  <si>
    <t>RICKY GREY BLACK SUPER T</t>
  </si>
  <si>
    <t>AOND</t>
  </si>
  <si>
    <t>AOND WOLF POINT</t>
  </si>
  <si>
    <t>APML</t>
  </si>
  <si>
    <t>APML LNGHRN TRAIL</t>
  </si>
  <si>
    <t>M08859EG5</t>
  </si>
  <si>
    <t>RICKY STRAIGHT SPT STRING/ERTH</t>
  </si>
  <si>
    <t>ARVD</t>
  </si>
  <si>
    <t>ARVD STARGAZING</t>
  </si>
  <si>
    <t>M08859EG8</t>
  </si>
  <si>
    <t>RICKY STRAIGHT SPT BLK ENGNRED</t>
  </si>
  <si>
    <t>M08859ES3</t>
  </si>
  <si>
    <t>RICKY STRAIGHT BLACK RATTLESNK</t>
  </si>
  <si>
    <t>ASAD</t>
  </si>
  <si>
    <t>ASAD BK RTLSKE W</t>
  </si>
  <si>
    <t>M08859FF4</t>
  </si>
  <si>
    <t>RICKY BLACK STUDDED LASER CAMO</t>
  </si>
  <si>
    <t>M08859GJ3</t>
  </si>
  <si>
    <t>RICKY STRGHT 5 PCKT CLSSCS BLK</t>
  </si>
  <si>
    <t>M08859GM9</t>
  </si>
  <si>
    <t>RICKY STRGHT BLK &amp; BLU REV DYE</t>
  </si>
  <si>
    <t>AQRD</t>
  </si>
  <si>
    <t>AQRD EXPRESSION</t>
  </si>
  <si>
    <t>M08859NKI1</t>
  </si>
  <si>
    <t>RICKY STRAIGHT 34 FASHON WASH</t>
  </si>
  <si>
    <t>BNIM</t>
  </si>
  <si>
    <t>BNIM URBAN DUST</t>
  </si>
  <si>
    <t>M08859NKU4</t>
  </si>
  <si>
    <t>RICKY W/FLAP STRAIGHT 34 IN</t>
  </si>
  <si>
    <t>BNLM</t>
  </si>
  <si>
    <t>BNLM CNCRETE HLL</t>
  </si>
  <si>
    <t>BOZD</t>
  </si>
  <si>
    <t>BOZD BLACK BIRCH</t>
  </si>
  <si>
    <t>M08859NLP7</t>
  </si>
  <si>
    <t>RCKY FLP STRGT BIG T BSBL STCH</t>
  </si>
  <si>
    <t>14HO</t>
  </si>
  <si>
    <t>BSED</t>
  </si>
  <si>
    <t>BSED UMPIRE</t>
  </si>
  <si>
    <t>M08859NLW3</t>
  </si>
  <si>
    <t>RICKY STRAIGHT CLR BLCK SPR T</t>
  </si>
  <si>
    <t>BSCM</t>
  </si>
  <si>
    <t>BSCM SHADOW BOX</t>
  </si>
  <si>
    <t>M08859NLY9</t>
  </si>
  <si>
    <t>RICKY STRAIGHT BLACK SUPER T</t>
  </si>
  <si>
    <t>BSNL</t>
  </si>
  <si>
    <t>BSNL DARK ASH</t>
  </si>
  <si>
    <t>M08859NOJ3</t>
  </si>
  <si>
    <t>15SM</t>
  </si>
  <si>
    <t>CFCD</t>
  </si>
  <si>
    <t>CFCD NGHT WNDRER</t>
  </si>
  <si>
    <t>M08A149EX8</t>
  </si>
  <si>
    <t>DANNY LEATHER CONTRAST JACKET</t>
  </si>
  <si>
    <t>ASCD</t>
  </si>
  <si>
    <t>ASCD DIGNIFIED</t>
  </si>
  <si>
    <t>M08A172EF8</t>
  </si>
  <si>
    <t>ROCCO SLIM BIGT GRY FRNCH SEAM</t>
  </si>
  <si>
    <t>ARWD</t>
  </si>
  <si>
    <t>ARWD MOONLIGHT</t>
  </si>
  <si>
    <t>ASBD</t>
  </si>
  <si>
    <t>ASBD VALTURE MNE</t>
  </si>
  <si>
    <t>M08A473LM9</t>
  </si>
  <si>
    <t>GENO SLIM GRPHC ACD WSH RNGDE</t>
  </si>
  <si>
    <t>BSKM</t>
  </si>
  <si>
    <t>BSKM DARK RAVEN</t>
  </si>
  <si>
    <t>M08A799KI1</t>
  </si>
  <si>
    <t>DEAN RELAXED 32 FASHION WASH</t>
  </si>
  <si>
    <t>M08A907LY3</t>
  </si>
  <si>
    <t>RICKY STRGT BLCK HGH DNS SPR T</t>
  </si>
  <si>
    <t>BUOD</t>
  </si>
  <si>
    <t>BUOD FADED BLACK</t>
  </si>
  <si>
    <t>M08B033LY3</t>
  </si>
  <si>
    <t>GENO SLIM BLCK HGH DNSTY SPR T</t>
  </si>
  <si>
    <t>M08E08CR1</t>
  </si>
  <si>
    <t>JACK CORE SLIM STRAIGHT JEAN</t>
  </si>
  <si>
    <t>M08E08FF4</t>
  </si>
  <si>
    <t>JACK BLACK STUDDED LASER CAMO</t>
  </si>
  <si>
    <t>M08E08NIS6</t>
  </si>
  <si>
    <t>GENO SLIM 34 IN GREY BIG T</t>
  </si>
  <si>
    <t>BMTD</t>
  </si>
  <si>
    <t>BMTD COPPER WOOD</t>
  </si>
  <si>
    <t>M08E08NOJ3</t>
  </si>
  <si>
    <t>GENO W FLAP SUPERT</t>
  </si>
  <si>
    <t>M08J19CR1</t>
  </si>
  <si>
    <t>GENO CORE SLIM STRAIGHT JEAN</t>
  </si>
  <si>
    <t>M08J19CV1</t>
  </si>
  <si>
    <t>GENO BROWN GREY BIG QT</t>
  </si>
  <si>
    <t>M08J19DI5</t>
  </si>
  <si>
    <t>GENO GREY BLACK SUPER T</t>
  </si>
  <si>
    <t>M08J19EG5</t>
  </si>
  <si>
    <t>GENO STRAIGHT SLIM SPT STR/RTH</t>
  </si>
  <si>
    <t>M08J19EG8</t>
  </si>
  <si>
    <t>GENO SLM STRGHT SPT BLK ENGNRD</t>
  </si>
  <si>
    <t>M08J19FF4</t>
  </si>
  <si>
    <t>GENO SLM STRGHT BLK STD LSR CM</t>
  </si>
  <si>
    <t>M08J19GJ3</t>
  </si>
  <si>
    <t>GENO SLM STRGHT 5 PCKT CLASSC</t>
  </si>
  <si>
    <t>M08J19GM9</t>
  </si>
  <si>
    <t>GENO SLM STRGHT BLK/BLU REV DY</t>
  </si>
  <si>
    <t>M08J19NKU4</t>
  </si>
  <si>
    <t>GENO SLIM 34 IN</t>
  </si>
  <si>
    <t>M08J19NLK7</t>
  </si>
  <si>
    <t>GENO SLIM COLOR BLOCK BIG T</t>
  </si>
  <si>
    <t>M08J19NLM9</t>
  </si>
  <si>
    <t>GENO SLIM NO FLP GRPHC ACD WSH</t>
  </si>
  <si>
    <t>M08J19NLP7</t>
  </si>
  <si>
    <t>GENO SLIM BIG T BASBALL STITCH</t>
  </si>
  <si>
    <t>M08J60ES3</t>
  </si>
  <si>
    <t>ROCCO SLIM BLACK RATTLESANKE</t>
  </si>
  <si>
    <t>M08J60NKU4</t>
  </si>
  <si>
    <t>ROCCO SLIM 34 IN</t>
  </si>
  <si>
    <t>M08J60NLW3</t>
  </si>
  <si>
    <t>ROCCO SLIM COLOR BLOCK SUPER T</t>
  </si>
  <si>
    <t>M08Z01EF8</t>
  </si>
  <si>
    <t>RICKY STRAIGHT BIG T GRY FRNCH</t>
  </si>
  <si>
    <t>M08Z03EF8</t>
  </si>
  <si>
    <t>JIMMY JACKET BIG T GREY FRENCH</t>
  </si>
  <si>
    <t>AROL</t>
  </si>
  <si>
    <t>AROL SNOW TRAIL</t>
  </si>
  <si>
    <t>M0AA350KQ2</t>
  </si>
  <si>
    <t>ROCCO SLIM LEATHER LIKE</t>
  </si>
  <si>
    <t>BSXD BROWN</t>
  </si>
  <si>
    <t>M0AA799LX5</t>
  </si>
  <si>
    <t>DEAN RELAXED LEATHER LIKE</t>
  </si>
  <si>
    <t>M0BA894KQ4</t>
  </si>
  <si>
    <t>TRAIL CARGO SHORT</t>
  </si>
  <si>
    <t>BSV PAVEMENT</t>
  </si>
  <si>
    <t>BSV SAND DUNE</t>
  </si>
  <si>
    <t>BSV DUSTY ROSE</t>
  </si>
  <si>
    <t>M0CB031LH3</t>
  </si>
  <si>
    <t>GENO RELAXED COATED ROPESTITCH</t>
  </si>
  <si>
    <t>BRRD</t>
  </si>
  <si>
    <t>BRRD DK WATER WY</t>
  </si>
  <si>
    <t>M0CJ19NLO4</t>
  </si>
  <si>
    <t>GENO RELAXED COATED SUPER T</t>
  </si>
  <si>
    <t>M0CV97NLH3</t>
  </si>
  <si>
    <t>RICKY STRAIGHT COATED RPESTCH</t>
  </si>
  <si>
    <t>M0CV98NLH3</t>
  </si>
  <si>
    <t>M0CV99NLH3</t>
  </si>
  <si>
    <t>ROCCO SLIM COATED ROPESTITCH</t>
  </si>
  <si>
    <t>M0DA602KQ6</t>
  </si>
  <si>
    <t>HERITAGE DENIM SLIM WORK SHIRT</t>
  </si>
  <si>
    <t>BSAD</t>
  </si>
  <si>
    <t>BSAD RGH PVEMENT</t>
  </si>
  <si>
    <t>M0EA892KQ7</t>
  </si>
  <si>
    <t>CARGO PANT SLIM TWEED CAMO</t>
  </si>
  <si>
    <t>BSZ SURPLUS OLVE</t>
  </si>
  <si>
    <t>BSZ RIVER ROCK</t>
  </si>
  <si>
    <t>M0EA893KQ7</t>
  </si>
  <si>
    <t>CARGO SHORT SLIM TWEED CAMO</t>
  </si>
  <si>
    <t>M0K800NKU3</t>
  </si>
  <si>
    <t>RICKY STRAIGHT 34 IN</t>
  </si>
  <si>
    <t>ARTD</t>
  </si>
  <si>
    <t>ARTD WANTED MAN</t>
  </si>
  <si>
    <t>BPGM</t>
  </si>
  <si>
    <t>BPGM LAKE VIEW</t>
  </si>
  <si>
    <t>BUJD</t>
  </si>
  <si>
    <t>BUJD WANTED MAN</t>
  </si>
  <si>
    <t>M0K858NKU3</t>
  </si>
  <si>
    <t>BILLY W FLAP BOOT CUT CORE</t>
  </si>
  <si>
    <t>15SP</t>
  </si>
  <si>
    <t>BMDL</t>
  </si>
  <si>
    <t>BMDL WHITE PINE</t>
  </si>
  <si>
    <t>M0K859NKU3</t>
  </si>
  <si>
    <t>BQHD</t>
  </si>
  <si>
    <t>BQHD ROLLING WTR</t>
  </si>
  <si>
    <t>M0K859NLE6</t>
  </si>
  <si>
    <t>M0KA799KU3</t>
  </si>
  <si>
    <t>DEAN RELAXED CORE</t>
  </si>
  <si>
    <t>M0KA802OD4</t>
  </si>
  <si>
    <t>CEMM</t>
  </si>
  <si>
    <t>CEMM ATLANTIC</t>
  </si>
  <si>
    <t>M0KE08NKU3</t>
  </si>
  <si>
    <t>M0KE08NLE6</t>
  </si>
  <si>
    <t>M0KH54NKU3</t>
  </si>
  <si>
    <t>M0KJ19NKU3</t>
  </si>
  <si>
    <t>BNQL</t>
  </si>
  <si>
    <t>BNQL SYCMRE LANE</t>
  </si>
  <si>
    <t>M0KJ19NLE6</t>
  </si>
  <si>
    <t>M0KJ60NKU3</t>
  </si>
  <si>
    <t>M0KJ60NLE6</t>
  </si>
  <si>
    <t>M0KR62NKU3</t>
  </si>
  <si>
    <t>JIMMY WESTERN JACKET CORE</t>
  </si>
  <si>
    <t>M0L859NLV8</t>
  </si>
  <si>
    <t>RICKY STRAIGHT PETRL BLU SPR T</t>
  </si>
  <si>
    <t>BSGL</t>
  </si>
  <si>
    <t>BSGL SKY RANCH</t>
  </si>
  <si>
    <t>BURD</t>
  </si>
  <si>
    <t>BURD MOORE LANE</t>
  </si>
  <si>
    <t>M0LA350LH0</t>
  </si>
  <si>
    <t>ROCCO SLIM PETROL BLUE DENIM</t>
  </si>
  <si>
    <t>BSFM</t>
  </si>
  <si>
    <t>BSFM DARK RAPIDS</t>
  </si>
  <si>
    <t>BSHL</t>
  </si>
  <si>
    <t>BSHL OCEANSIDE</t>
  </si>
  <si>
    <t>M0LJ19NLV8</t>
  </si>
  <si>
    <t>GENO SLIM PETROL BLUE SUPER T</t>
  </si>
  <si>
    <t>M0LJ19NLW2</t>
  </si>
  <si>
    <t>GENO SLIM PETROL BLUE DENIM</t>
  </si>
  <si>
    <t>M0LY84LV8</t>
  </si>
  <si>
    <t>CLASSIC DANNY TRUCKER SPR T</t>
  </si>
  <si>
    <t>M0M859NNN6</t>
  </si>
  <si>
    <t>RECKLESS GREY DENIM RICKY W/F</t>
  </si>
  <si>
    <t>BXIM</t>
  </si>
  <si>
    <t>BXIM DARK FUGTVE</t>
  </si>
  <si>
    <t>M0MA350LH4</t>
  </si>
  <si>
    <t>ROCCO SLIM GREY DENIM RENEGADE</t>
  </si>
  <si>
    <t>BRFD</t>
  </si>
  <si>
    <t>BRFD DARK GRAVEL</t>
  </si>
  <si>
    <t>BRGM</t>
  </si>
  <si>
    <t>BRGM CLIFF SIDE</t>
  </si>
  <si>
    <t>BRHL</t>
  </si>
  <si>
    <t>BRHL ROUGH TRRAN</t>
  </si>
  <si>
    <t>M0MA350MX6</t>
  </si>
  <si>
    <t>GREY RENEGADE ROCCO</t>
  </si>
  <si>
    <t>BXJM</t>
  </si>
  <si>
    <t>BXJM RCKLS WNDR</t>
  </si>
  <si>
    <t>M0MJ19NMZ5</t>
  </si>
  <si>
    <t>GENO SLIM GREY DENIM</t>
  </si>
  <si>
    <t>M0NA350LL6</t>
  </si>
  <si>
    <t>ROCCO SLIM BLACK ON BLACK RNGD</t>
  </si>
  <si>
    <t>BSJD</t>
  </si>
  <si>
    <t>BSJD IRON ORE</t>
  </si>
  <si>
    <t>M0NJ19NLL6</t>
  </si>
  <si>
    <t>GENO SLIM BLACK ON BLACK RNGDE</t>
  </si>
  <si>
    <t>M0NT73LL6</t>
  </si>
  <si>
    <t>DANNY SLIM JKT BLK ON BLK RNGD</t>
  </si>
  <si>
    <t>M0NY84LL6</t>
  </si>
  <si>
    <t>DANNY SLIM JACKET BLK ON BLK</t>
  </si>
  <si>
    <t>M0PA799KS3</t>
  </si>
  <si>
    <t>DEAN RELAXED LEATHER</t>
  </si>
  <si>
    <t>M0SA905LF3</t>
  </si>
  <si>
    <t>DANNY WESTERN JCKT BLK SHERPA</t>
  </si>
  <si>
    <t>BRJD</t>
  </si>
  <si>
    <t>BRJD DK SEQUOIA</t>
  </si>
  <si>
    <t>M0TA350LB6</t>
  </si>
  <si>
    <t>BSXD MERLOT</t>
  </si>
  <si>
    <t>M0TA799LX6</t>
  </si>
  <si>
    <t>M13JX43BW2</t>
  </si>
  <si>
    <t>MENS STUDDED BIKER BELT</t>
  </si>
  <si>
    <t>OP</t>
  </si>
  <si>
    <t>M13JX43BW5</t>
  </si>
  <si>
    <t>MENS ALLOVER STUDDED BELT</t>
  </si>
  <si>
    <t>M14FA23C6G</t>
  </si>
  <si>
    <t>OLD INDIAN POLO S/S</t>
  </si>
  <si>
    <t>CHINA BLUE</t>
  </si>
  <si>
    <t>M14FA24C6G</t>
  </si>
  <si>
    <t>LONGHORN POLO S/S</t>
  </si>
  <si>
    <t>DUSTY OLIVE</t>
  </si>
  <si>
    <t>M14FB17C4G</t>
  </si>
  <si>
    <t>BOMBER JACKET WITH PATCHES</t>
  </si>
  <si>
    <t>11 SLATE</t>
  </si>
  <si>
    <t>M14FB37D2G</t>
  </si>
  <si>
    <t>BIKER</t>
  </si>
  <si>
    <t>M14FB55B3G</t>
  </si>
  <si>
    <t>BIKER LEATHER JACKETS</t>
  </si>
  <si>
    <t>M14FD01A1I</t>
  </si>
  <si>
    <t>ROCCO SLIM SELVEDGE DENIM</t>
  </si>
  <si>
    <t>ED01</t>
  </si>
  <si>
    <t>ED01 DK SELVEDGE</t>
  </si>
  <si>
    <t>ED30</t>
  </si>
  <si>
    <t>ED30 UPDATE WASH</t>
  </si>
  <si>
    <t>M14FD01A2I</t>
  </si>
  <si>
    <t>ROCCO SLIM</t>
  </si>
  <si>
    <t>EM19</t>
  </si>
  <si>
    <t>EM19 36 BLUE</t>
  </si>
  <si>
    <t>EM26</t>
  </si>
  <si>
    <t>EM26 STICK ON</t>
  </si>
  <si>
    <t>M14FD01A4I</t>
  </si>
  <si>
    <t>ED33</t>
  </si>
  <si>
    <t>ED33 OVERSEA</t>
  </si>
  <si>
    <t>ED34</t>
  </si>
  <si>
    <t>ED34 SHAGGY BLUE</t>
  </si>
  <si>
    <t>EM28</t>
  </si>
  <si>
    <t>EM28 SAILOR BLUE</t>
  </si>
  <si>
    <t>M14FD01G4I</t>
  </si>
  <si>
    <t>ED36</t>
  </si>
  <si>
    <t>ED36 DK NIGHT</t>
  </si>
  <si>
    <t>ED37</t>
  </si>
  <si>
    <t>ED37 DK HME GLRY</t>
  </si>
  <si>
    <t>ED44</t>
  </si>
  <si>
    <t>ED44 COAL MINE</t>
  </si>
  <si>
    <t>M14FD01G5I</t>
  </si>
  <si>
    <t>ED35</t>
  </si>
  <si>
    <t>ED35 FOGGY TRASH</t>
  </si>
  <si>
    <t>ED39</t>
  </si>
  <si>
    <t>ED39 DARK WATERS</t>
  </si>
  <si>
    <t>M14FD01J6I</t>
  </si>
  <si>
    <t>ED29</t>
  </si>
  <si>
    <t>ED29 BLACK RAIL</t>
  </si>
  <si>
    <t>EM25</t>
  </si>
  <si>
    <t>EM25 INOX</t>
  </si>
  <si>
    <t>M14FD01J7I</t>
  </si>
  <si>
    <t>E220</t>
  </si>
  <si>
    <t>E220 KHAKI</t>
  </si>
  <si>
    <t>E824</t>
  </si>
  <si>
    <t>E824 IDRON BLUE</t>
  </si>
  <si>
    <t>M14FD01J8I</t>
  </si>
  <si>
    <t>ED45</t>
  </si>
  <si>
    <t>ED45 ECO BLUE</t>
  </si>
  <si>
    <t>EL08</t>
  </si>
  <si>
    <t>EL08 SHADOW COLR</t>
  </si>
  <si>
    <t>M14FD02A1I</t>
  </si>
  <si>
    <t>GENO SLIM</t>
  </si>
  <si>
    <t>M14FD02A4I</t>
  </si>
  <si>
    <t>M14FD02G4I</t>
  </si>
  <si>
    <t>M14FD02G5I</t>
  </si>
  <si>
    <t>M14FD02J6I</t>
  </si>
  <si>
    <t>M14FD02J7I</t>
  </si>
  <si>
    <t>M14FD02J8I</t>
  </si>
  <si>
    <t>M14FD04A2I</t>
  </si>
  <si>
    <t>MARCO SLIM</t>
  </si>
  <si>
    <t>M14FD04G4I</t>
  </si>
  <si>
    <t>M14FD04J8I</t>
  </si>
  <si>
    <t>M14FD07A2I</t>
  </si>
  <si>
    <t>NEW BOBBY STRAIGHT</t>
  </si>
  <si>
    <t>M14FD07A4I</t>
  </si>
  <si>
    <t>M14FD07G4I</t>
  </si>
  <si>
    <t>M14FD07G5I</t>
  </si>
  <si>
    <t>M14FD07J6I</t>
  </si>
  <si>
    <t>RICKY WITH NO FLAP</t>
  </si>
  <si>
    <t>M14FD07J7I</t>
  </si>
  <si>
    <t>M14FD12A2I</t>
  </si>
  <si>
    <t>DEAN SLIM</t>
  </si>
  <si>
    <t>M14FD12A4I</t>
  </si>
  <si>
    <t>DK GREEN</t>
  </si>
  <si>
    <t>M14FD12G5I</t>
  </si>
  <si>
    <t>M14FD12J8I</t>
  </si>
  <si>
    <t>M14FD12M4I</t>
  </si>
  <si>
    <t>E347</t>
  </si>
  <si>
    <t>E347 DK GREEN</t>
  </si>
  <si>
    <t>E838</t>
  </si>
  <si>
    <t>E838 BLUE</t>
  </si>
  <si>
    <t>ET30</t>
  </si>
  <si>
    <t>ET30 TWIN COLOR</t>
  </si>
  <si>
    <t>M14FD13A1I</t>
  </si>
  <si>
    <t>KURT SLIM</t>
  </si>
  <si>
    <t>M14FD13M4I</t>
  </si>
  <si>
    <t>M14FE06B9G</t>
  </si>
  <si>
    <t>SHIRT WITH WAXED SEAMS</t>
  </si>
  <si>
    <t>13 ANTHRAZITE</t>
  </si>
  <si>
    <t>17 DARK GREEN</t>
  </si>
  <si>
    <t>M14FE39D3G</t>
  </si>
  <si>
    <t>SHIRT</t>
  </si>
  <si>
    <t>VIOLET</t>
  </si>
  <si>
    <t>M14FF17B5G</t>
  </si>
  <si>
    <t>LONGHORN FLEECE PANT</t>
  </si>
  <si>
    <t>M14FF18B8G</t>
  </si>
  <si>
    <t>HARD MOULINE PANT FLEECE</t>
  </si>
  <si>
    <t>HARD MOULINE</t>
  </si>
  <si>
    <t>M14FF19B5G</t>
  </si>
  <si>
    <t>LONGHORN HOODED ZIP JACKET</t>
  </si>
  <si>
    <t>M14FF20B8G</t>
  </si>
  <si>
    <t>HOODIE ZIP JACKET EAGLE</t>
  </si>
  <si>
    <t>M14FF21B5G</t>
  </si>
  <si>
    <t>HOODIE ZIP JACKET TRUE</t>
  </si>
  <si>
    <t>M14FF22B5G</t>
  </si>
  <si>
    <t>TOMATO</t>
  </si>
  <si>
    <t>M14FF25B5G</t>
  </si>
  <si>
    <t>EAGLE HOODY</t>
  </si>
  <si>
    <t>M14FF28B8G</t>
  </si>
  <si>
    <t>CAMO BASEBALL ZIP JACKET</t>
  </si>
  <si>
    <t>M14FF29B8G</t>
  </si>
  <si>
    <t>CAMO FLEECE PANT</t>
  </si>
  <si>
    <t>M14FF30C7G</t>
  </si>
  <si>
    <t>HARD MOULINE HOODIE</t>
  </si>
  <si>
    <t>M14FF31C7G</t>
  </si>
  <si>
    <t>M14FF32C7G</t>
  </si>
  <si>
    <t>HARD MOULINE HOODED ZIP</t>
  </si>
  <si>
    <t>M14FF33C7G</t>
  </si>
  <si>
    <t>CREW SWEATER</t>
  </si>
  <si>
    <t>M14FF50B8G</t>
  </si>
  <si>
    <t>PROPERTY HOODY</t>
  </si>
  <si>
    <t>GREEN MARL</t>
  </si>
  <si>
    <t>BLUE MARL</t>
  </si>
  <si>
    <t>MALIBU MARL</t>
  </si>
  <si>
    <t>VIOLA MARL</t>
  </si>
  <si>
    <t>RED MARL</t>
  </si>
  <si>
    <t>PINK MARL</t>
  </si>
  <si>
    <t>M14FF51B8G</t>
  </si>
  <si>
    <t>PROPERTY HOODED ZIP JACKET</t>
  </si>
  <si>
    <t>M14FF52B8G</t>
  </si>
  <si>
    <t>PROPERTY PANT</t>
  </si>
  <si>
    <t>M14FF55B8G</t>
  </si>
  <si>
    <t>LOS ANGELES HOODED ZIP JACKET</t>
  </si>
  <si>
    <t>M14FF56B8G</t>
  </si>
  <si>
    <t>LOS ANGELES CREW SWEAT</t>
  </si>
  <si>
    <t>M14FF57B8G</t>
  </si>
  <si>
    <t>LOS ANGELES PANT</t>
  </si>
  <si>
    <t>M14FF59B8G</t>
  </si>
  <si>
    <t>TRUE RELIGION HOODY</t>
  </si>
  <si>
    <t>M14FF60B8G</t>
  </si>
  <si>
    <t>TRUE RELIGION CREW SWEAT</t>
  </si>
  <si>
    <t>M14FF61B8G</t>
  </si>
  <si>
    <t>TRUE RELIGION HOODIE ZIP JKT</t>
  </si>
  <si>
    <t>M14FJ04M2I</t>
  </si>
  <si>
    <t>EDWIN JACKET</t>
  </si>
  <si>
    <t>EW13</t>
  </si>
  <si>
    <t>EW13 DIRTY WAXED</t>
  </si>
  <si>
    <t>M14FJ05H8I</t>
  </si>
  <si>
    <t>DONALD MONTGOMERY</t>
  </si>
  <si>
    <t>M14FJ06H9I</t>
  </si>
  <si>
    <t>GRADY PEACOAT</t>
  </si>
  <si>
    <t>M14FJ07J1I</t>
  </si>
  <si>
    <t>JACOB BARRACUDA</t>
  </si>
  <si>
    <t>EW14</t>
  </si>
  <si>
    <t>EW14 BRUSHD DRTY</t>
  </si>
  <si>
    <t>M14FJ08J2I</t>
  </si>
  <si>
    <t>ERNEST BIKER BOMBER</t>
  </si>
  <si>
    <t>EW01</t>
  </si>
  <si>
    <t>EW01 LIGHT WASH</t>
  </si>
  <si>
    <t>M14FK01D1G</t>
  </si>
  <si>
    <t>ZIP JACKET W HOODED FLEECE</t>
  </si>
  <si>
    <t>M14FK02D1G</t>
  </si>
  <si>
    <t>2IN1 BUTTONFLY KNIT W TSHIRT</t>
  </si>
  <si>
    <t>SILVER - BEIGE</t>
  </si>
  <si>
    <t>M14FK03D4G</t>
  </si>
  <si>
    <t>M14FK04D4G</t>
  </si>
  <si>
    <t>CABLE CREW SWEATER</t>
  </si>
  <si>
    <t>M14FK04J4I</t>
  </si>
  <si>
    <t>CODY CUNCKY TURTLE NECK</t>
  </si>
  <si>
    <t>M14FK05D4G</t>
  </si>
  <si>
    <t>M14FK06D4G</t>
  </si>
  <si>
    <t>TURTLE NECK SWEATER</t>
  </si>
  <si>
    <t>M14FK06J4I</t>
  </si>
  <si>
    <t>HUGO CHUNKY</t>
  </si>
  <si>
    <t>M14FK07D4G</t>
  </si>
  <si>
    <t>HOODY WITH BUTTON FLY</t>
  </si>
  <si>
    <t>M14FK07L6I</t>
  </si>
  <si>
    <t>LEONY HOODIE KNIT</t>
  </si>
  <si>
    <t>E215</t>
  </si>
  <si>
    <t>E215 SAND</t>
  </si>
  <si>
    <t>M14FK08L7I</t>
  </si>
  <si>
    <t>MYRON CREW NECK SWEATER</t>
  </si>
  <si>
    <t>E010</t>
  </si>
  <si>
    <t>E010 NAVY/GREY</t>
  </si>
  <si>
    <t>E011</t>
  </si>
  <si>
    <t>E011 NAVY/PURPLE</t>
  </si>
  <si>
    <t>E012</t>
  </si>
  <si>
    <t>E012 GRY BLU VNSE</t>
  </si>
  <si>
    <t>M14FK09D3G</t>
  </si>
  <si>
    <t>CABLE HOODED ZIP JACKET</t>
  </si>
  <si>
    <t>M14FK09L7I</t>
  </si>
  <si>
    <t>NELSON VNECK SWEATER</t>
  </si>
  <si>
    <t>M14FK10D3G</t>
  </si>
  <si>
    <t>M14FK10L7I</t>
  </si>
  <si>
    <t>OLIVER TURTLE NECK</t>
  </si>
  <si>
    <t>M14FK11C4G</t>
  </si>
  <si>
    <t>OLD INDIAN CREW SWEATER</t>
  </si>
  <si>
    <t>M14FK11D4G</t>
  </si>
  <si>
    <t>M14FL05B9G</t>
  </si>
  <si>
    <t>BIKER FUNNEL NECK WITH PATCHES</t>
  </si>
  <si>
    <t>14 SMOKEY GREEN</t>
  </si>
  <si>
    <t>08 SMOKEY BLUE</t>
  </si>
  <si>
    <t>M14FL09C2G</t>
  </si>
  <si>
    <t>BIKER JACKET</t>
  </si>
  <si>
    <t>06 BLACK</t>
  </si>
  <si>
    <t>M14FL10C2G</t>
  </si>
  <si>
    <t>BIKER FUNNEL NECK</t>
  </si>
  <si>
    <t>M14FL13C3G</t>
  </si>
  <si>
    <t>BIKER JK QUILTED COVERED RIVET</t>
  </si>
  <si>
    <t>M14FL15C3G</t>
  </si>
  <si>
    <t>13 ANTRAZITE</t>
  </si>
  <si>
    <t>M14FL38D3G</t>
  </si>
  <si>
    <t>JACKET FUNNEL NECK</t>
  </si>
  <si>
    <t>18 DENIM BLUE</t>
  </si>
  <si>
    <t>M14FL54B3G</t>
  </si>
  <si>
    <t>FUNNEL NECK LEATHER JACKET</t>
  </si>
  <si>
    <t>M14FN21C5G</t>
  </si>
  <si>
    <t>DOWN JACKET WITH RACCOON FUR</t>
  </si>
  <si>
    <t>66 STONE</t>
  </si>
  <si>
    <t>21 DARK PLUM</t>
  </si>
  <si>
    <t>M14FN42C5G</t>
  </si>
  <si>
    <t>DOWN JK W/FAUX FUR AROUND HOOD</t>
  </si>
  <si>
    <t>M14FN50E1G</t>
  </si>
  <si>
    <t>DOWN RACN FUR</t>
  </si>
  <si>
    <t>M14FO20C5G</t>
  </si>
  <si>
    <t>DOWN VEST</t>
  </si>
  <si>
    <t>04 DARK OLIVE</t>
  </si>
  <si>
    <t>M14FP22M1I</t>
  </si>
  <si>
    <t>LUC SLIM</t>
  </si>
  <si>
    <t>ET31</t>
  </si>
  <si>
    <t>ET31 BRK G.DYED</t>
  </si>
  <si>
    <t>M14FT01B1G</t>
  </si>
  <si>
    <t>ELECTION CREW TSHIRT SS</t>
  </si>
  <si>
    <t>M14FT02B1G</t>
  </si>
  <si>
    <t>56 CREW TSHIRT SS</t>
  </si>
  <si>
    <t>M14FT03B1G</t>
  </si>
  <si>
    <t>AMERICAN CREW TSHIRT SS</t>
  </si>
  <si>
    <t>M14FT04B1G</t>
  </si>
  <si>
    <t>EAGLE CREW TSHIRT SS</t>
  </si>
  <si>
    <t>M14FT05C5G</t>
  </si>
  <si>
    <t>TRUE RELIGION CREW SHIRT SS</t>
  </si>
  <si>
    <t>M14FT06B1G</t>
  </si>
  <si>
    <t>OLD INDIAN CREW TSHIRT SS</t>
  </si>
  <si>
    <t>M14FT07B1G</t>
  </si>
  <si>
    <t>LONGHORN CREW TSHIRT SS</t>
  </si>
  <si>
    <t>M14FT08B1G</t>
  </si>
  <si>
    <t>VALLEY CREW TSHIRT SS</t>
  </si>
  <si>
    <t>M14FT09B1G</t>
  </si>
  <si>
    <t>FLAG CREW TSHIRT SS</t>
  </si>
  <si>
    <t>M14FT10C5G</t>
  </si>
  <si>
    <t>INDIAN CHIEF VNECK TSHIRT SS</t>
  </si>
  <si>
    <t>AOG BROWN</t>
  </si>
  <si>
    <t>M14FT11C5G</t>
  </si>
  <si>
    <t>LONGHORN VNECK TSHIRT SS</t>
  </si>
  <si>
    <t>M14FT12C5G</t>
  </si>
  <si>
    <t>UNI VNECK TSHIRT SS</t>
  </si>
  <si>
    <t>M14FT13C5G</t>
  </si>
  <si>
    <t>EAGLE TSHIRT LS</t>
  </si>
  <si>
    <t>M14FT14B1G</t>
  </si>
  <si>
    <t>BUTTON FLY TSHIRT LS</t>
  </si>
  <si>
    <t>M14FT15B1G</t>
  </si>
  <si>
    <t>LONGHORN TSHIRT L/S</t>
  </si>
  <si>
    <t>M14FT16B1G</t>
  </si>
  <si>
    <t>OLD INDIAN TSHIRT LS</t>
  </si>
  <si>
    <t>M14FT26C5G</t>
  </si>
  <si>
    <t>VNECKTSHIRT SS CAMO</t>
  </si>
  <si>
    <t>M14FT27B1G</t>
  </si>
  <si>
    <t>TSHIRT SS CAMO</t>
  </si>
  <si>
    <t>M14FT44B1G</t>
  </si>
  <si>
    <t>PIC CREW NECK</t>
  </si>
  <si>
    <t>M14FT53D7G</t>
  </si>
  <si>
    <t>PROPERTY CREW TSHIRT APPL</t>
  </si>
  <si>
    <t>M14FT54D7G</t>
  </si>
  <si>
    <t>PROPERTY CREW TSHIRT PRINT</t>
  </si>
  <si>
    <t>M14FT58D7G</t>
  </si>
  <si>
    <t>LOS ANGELES CREW TSHIRT</t>
  </si>
  <si>
    <t>M14FT62D7G</t>
  </si>
  <si>
    <t>TRUE RELIGION CREW TSHIRT</t>
  </si>
  <si>
    <t>M14FT63D7G</t>
  </si>
  <si>
    <t>LOGO BUDDHA CREW TSHIRT</t>
  </si>
  <si>
    <t>M14FV14C3G</t>
  </si>
  <si>
    <t>BIKERVESTQUILTEDCOVEREDRIVETS</t>
  </si>
  <si>
    <t>M14FW01A9I</t>
  </si>
  <si>
    <t>JAKE WESTERN SHIRT</t>
  </si>
  <si>
    <t>ED41</t>
  </si>
  <si>
    <t>ED41 BLCK SPRAYD</t>
  </si>
  <si>
    <t>EM29</t>
  </si>
  <si>
    <t>EM29 SWSHIRT</t>
  </si>
  <si>
    <t>M14FW01L5I</t>
  </si>
  <si>
    <t>EL09</t>
  </si>
  <si>
    <t>EL09 LIGHTSTONE</t>
  </si>
  <si>
    <t>M14FW05B2I</t>
  </si>
  <si>
    <t>JAMES SHIRT</t>
  </si>
  <si>
    <t>M14FW05B4I</t>
  </si>
  <si>
    <t>E100</t>
  </si>
  <si>
    <t>E100 OPTIC</t>
  </si>
  <si>
    <t>M14FW05G9I</t>
  </si>
  <si>
    <t>E820</t>
  </si>
  <si>
    <t>E820 LIGHT BLUE</t>
  </si>
  <si>
    <t>E916</t>
  </si>
  <si>
    <t>E916 GREY</t>
  </si>
  <si>
    <t>M14FW05H1I</t>
  </si>
  <si>
    <t>E004</t>
  </si>
  <si>
    <t>E004 GRN/BLU CHK</t>
  </si>
  <si>
    <t>E005</t>
  </si>
  <si>
    <t>E005 RD/GRN CHK</t>
  </si>
  <si>
    <t>M14FW06B2I</t>
  </si>
  <si>
    <t>RICHARD SHIRT</t>
  </si>
  <si>
    <t>M14FW06B4I</t>
  </si>
  <si>
    <t>M14FW07A9I</t>
  </si>
  <si>
    <t>NIGEL SHIRT</t>
  </si>
  <si>
    <t>EM30</t>
  </si>
  <si>
    <t>EM30 RUBBED BLUE</t>
  </si>
  <si>
    <t>M14FY16C4G</t>
  </si>
  <si>
    <t>PARKAW/RACCOONFUR AROUND HOOD</t>
  </si>
  <si>
    <t>M14FY32D1G</t>
  </si>
  <si>
    <t>PARKA WITH RACCOON FUR</t>
  </si>
  <si>
    <t>07 MLITARY GREEN</t>
  </si>
  <si>
    <t>M14FY40C4G</t>
  </si>
  <si>
    <t>PARKA W/FAUX FUR AROUND HOOD</t>
  </si>
  <si>
    <t>M14FY46D1G</t>
  </si>
  <si>
    <t>PARKA W/ FAUX FUR AROUND HOOD</t>
  </si>
  <si>
    <t>M14FY52E2G</t>
  </si>
  <si>
    <t>PARKA RACN FUR</t>
  </si>
  <si>
    <t>ANTHRAZITE</t>
  </si>
  <si>
    <t>M14HB01C1G</t>
  </si>
  <si>
    <t>NIGHT BLUE</t>
  </si>
  <si>
    <t>M14HD01A4I</t>
  </si>
  <si>
    <t>ROCCO REGULAR CLASSIC SLIM</t>
  </si>
  <si>
    <t>ED56</t>
  </si>
  <si>
    <t>ED56 J BLUE</t>
  </si>
  <si>
    <t>EM41</t>
  </si>
  <si>
    <t>EM41 MISTYL BLUE</t>
  </si>
  <si>
    <t>M14HD01G4I</t>
  </si>
  <si>
    <t>ED59</t>
  </si>
  <si>
    <t>ED59 BLACK UP</t>
  </si>
  <si>
    <t>M14HD01G5I</t>
  </si>
  <si>
    <t>EM39</t>
  </si>
  <si>
    <t>EM39 BLUE OPRATR</t>
  </si>
  <si>
    <t>M14HD01J6I</t>
  </si>
  <si>
    <t>ROCCO  REGULAR CLASSIC SLIM</t>
  </si>
  <si>
    <t>ED60</t>
  </si>
  <si>
    <t>ED60 GREY-THINGS</t>
  </si>
  <si>
    <t>M14HD01M4I</t>
  </si>
  <si>
    <t>ED55</t>
  </si>
  <si>
    <t>ED55 BLUE GEAR</t>
  </si>
  <si>
    <t>ED57</t>
  </si>
  <si>
    <t>ED57 BLUE FM</t>
  </si>
  <si>
    <t>M14HD01N5I</t>
  </si>
  <si>
    <t>ED53</t>
  </si>
  <si>
    <t>ED53 BLK SELVDGE</t>
  </si>
  <si>
    <t>ED54</t>
  </si>
  <si>
    <t>ED54 RADIANT GRY</t>
  </si>
  <si>
    <t>M14HD01N6I</t>
  </si>
  <si>
    <t>EM38</t>
  </si>
  <si>
    <t>EM38 BLUE NOON</t>
  </si>
  <si>
    <t>M14HD01O4I</t>
  </si>
  <si>
    <t>EM40</t>
  </si>
  <si>
    <t>EM40 OLD VINTAGE</t>
  </si>
  <si>
    <t>M14HD02A2I</t>
  </si>
  <si>
    <t>GENO REGULAR RELAXED SLIM</t>
  </si>
  <si>
    <t>EM33</t>
  </si>
  <si>
    <t>EM33 RIP STOP</t>
  </si>
  <si>
    <t>M14HD02A4I</t>
  </si>
  <si>
    <t>M14HD02G4I</t>
  </si>
  <si>
    <t>M14HD02G5I</t>
  </si>
  <si>
    <t>M14HD02J6I</t>
  </si>
  <si>
    <t>M14HD02M4I</t>
  </si>
  <si>
    <t>EM42</t>
  </si>
  <si>
    <t>EM42 WORN OUT</t>
  </si>
  <si>
    <t>M14HD02N5I</t>
  </si>
  <si>
    <t>M14HD02N6I</t>
  </si>
  <si>
    <t>M14HD02N7I</t>
  </si>
  <si>
    <t>EM37</t>
  </si>
  <si>
    <t>EM37 DIRTY JOG</t>
  </si>
  <si>
    <t>M14HD02O4I</t>
  </si>
  <si>
    <t>M14HD05G5I</t>
  </si>
  <si>
    <t>RICKY W/O FLAPS REG RLXD STRA</t>
  </si>
  <si>
    <t>M14HD05M4I</t>
  </si>
  <si>
    <t>M14HD05O4I</t>
  </si>
  <si>
    <t>RICKY REGULAR RELAXED STRAIGHT</t>
  </si>
  <si>
    <t>M14HD12A2I</t>
  </si>
  <si>
    <t>DEAN REGULAR TAPERED</t>
  </si>
  <si>
    <t>M14HD12M4I</t>
  </si>
  <si>
    <t>M14HD12N6I</t>
  </si>
  <si>
    <t>M14HD12N7I</t>
  </si>
  <si>
    <t>M14HD13A4I</t>
  </si>
  <si>
    <t>KURT REGULAR SLIM</t>
  </si>
  <si>
    <t>M14HD13M4I</t>
  </si>
  <si>
    <t>M14HD13O4I</t>
  </si>
  <si>
    <t>M14HF01D7G</t>
  </si>
  <si>
    <t>TRUE CAMO RUBBER PRINT</t>
  </si>
  <si>
    <t>GREY  MARL MELANGE</t>
  </si>
  <si>
    <t>DK MARL  MELANGE</t>
  </si>
  <si>
    <t>PARISIAN BLUE</t>
  </si>
  <si>
    <t>M14HF02D7G</t>
  </si>
  <si>
    <t>TRUE CAMO RUBBER PRINT PANT</t>
  </si>
  <si>
    <t>GREY MARL  MELANGE</t>
  </si>
  <si>
    <t>DK MARL MELANGE</t>
  </si>
  <si>
    <t>M14HF03D7G</t>
  </si>
  <si>
    <t>TRUE CAMO RUBBER PRINT ZIP JKT</t>
  </si>
  <si>
    <t>GREY MARL MELANGE</t>
  </si>
  <si>
    <t>M14HF04D7G</t>
  </si>
  <si>
    <t>TRUE CAMO RUBBER PRINT BB JKT</t>
  </si>
  <si>
    <t>M14HF05D7G</t>
  </si>
  <si>
    <t>TRUE CAMO RUBBER PRNTPANT SLIM</t>
  </si>
  <si>
    <t>M14HF06D8G</t>
  </si>
  <si>
    <t>INDIGO CREW SWEATER</t>
  </si>
  <si>
    <t>M14HF07D8G</t>
  </si>
  <si>
    <t>INDIGO PANT</t>
  </si>
  <si>
    <t>M14HF08B5G</t>
  </si>
  <si>
    <t>DOUBLE HOODED ZIP JACKET</t>
  </si>
  <si>
    <t>JASPER GREEN</t>
  </si>
  <si>
    <t>DARK DENIM</t>
  </si>
  <si>
    <t>M14HF10B5G</t>
  </si>
  <si>
    <t>STARS HOODIE</t>
  </si>
  <si>
    <t>M14HF12C7G</t>
  </si>
  <si>
    <t>LA BASEBALL JACKET</t>
  </si>
  <si>
    <t>M14HF13C7G</t>
  </si>
  <si>
    <t>SKULL HOODED ZIP JACKET</t>
  </si>
  <si>
    <t>M14HF14C7G</t>
  </si>
  <si>
    <t>EAGLE HOODIE</t>
  </si>
  <si>
    <t>M14HF32B5G</t>
  </si>
  <si>
    <t>M14HF45B5G</t>
  </si>
  <si>
    <t>DOUBLE BUDDHA FLEECE PANT</t>
  </si>
  <si>
    <t>M14HK11O9I</t>
  </si>
  <si>
    <t>HARRY FACE CREW NECK SWEATER</t>
  </si>
  <si>
    <t>M14HK12P1I</t>
  </si>
  <si>
    <t>JOHN CREW NECK SWEATER</t>
  </si>
  <si>
    <t>M14HK13P1I</t>
  </si>
  <si>
    <t>BEN VNECK SWEATER</t>
  </si>
  <si>
    <t>M14HK14P1I</t>
  </si>
  <si>
    <t>ROSS BICOLOR CREWNECK SWEATER</t>
  </si>
  <si>
    <t>M14HP22O6I</t>
  </si>
  <si>
    <t>LUC CHINO</t>
  </si>
  <si>
    <t>M14HT09D9G</t>
  </si>
  <si>
    <t>TRUE CAMO CREW TSHIRT SS</t>
  </si>
  <si>
    <t>M14HT11C5G</t>
  </si>
  <si>
    <t>LONGSLEEVE BUTTONFLY TSHIRT</t>
  </si>
  <si>
    <t>M14HT16B2G</t>
  </si>
  <si>
    <t>LONGSLEEVE CREW TSHIRT</t>
  </si>
  <si>
    <t>M14HT17E2G</t>
  </si>
  <si>
    <t>LA LONGSLEEVE CREW TSHIRT</t>
  </si>
  <si>
    <t>M14HT18D9G</t>
  </si>
  <si>
    <t>SKULL PRINT LS CREW TSHIRT</t>
  </si>
  <si>
    <t>M14HT19D9G</t>
  </si>
  <si>
    <t>STARS  LONGSLEEVE CREW TSHIRT</t>
  </si>
  <si>
    <t>M14HT20C5G</t>
  </si>
  <si>
    <t>BUTTONFLY TSHIRT LS</t>
  </si>
  <si>
    <t>M14HT20M6I</t>
  </si>
  <si>
    <t>BEIRUT M V NECK T- SHIRT</t>
  </si>
  <si>
    <t>M14HT21D9G</t>
  </si>
  <si>
    <t>SKULL CREW TSHIRT SS</t>
  </si>
  <si>
    <t>M14HT22C5G</t>
  </si>
  <si>
    <t>EAGLE CREW TSHIRT SHORT SLEEVE</t>
  </si>
  <si>
    <t>M14HT23C5G</t>
  </si>
  <si>
    <t>STARS CREW TSHIRT SHORT SLEEVE</t>
  </si>
  <si>
    <t>M14HT24D9G</t>
  </si>
  <si>
    <t>CROSS BUTTONFLY TSHIRT LS</t>
  </si>
  <si>
    <t>M14HT25C5G</t>
  </si>
  <si>
    <t>ALLOVER PRINT VNECK TSHIRT</t>
  </si>
  <si>
    <t>M14HT26C5G</t>
  </si>
  <si>
    <t>LA  VNECK TSHIRT SHORT SLEEVE</t>
  </si>
  <si>
    <t>M14HT27D9G</t>
  </si>
  <si>
    <t>VNECK T SHIRT</t>
  </si>
  <si>
    <t>M14HT28D9G</t>
  </si>
  <si>
    <t>CROSS CREW TSHIRT SS</t>
  </si>
  <si>
    <t>M14HT29D5G</t>
  </si>
  <si>
    <t>DOUBLE BUDDHA VNECK T SHIRT</t>
  </si>
  <si>
    <t>M14HT31D9G</t>
  </si>
  <si>
    <t>LONG SLEEVE BUTTON FLY SHIRT</t>
  </si>
  <si>
    <t>M14HT40D9G</t>
  </si>
  <si>
    <t>LOS ANGELES L/S CREW T SHIRT</t>
  </si>
  <si>
    <t>M14HT41C5G</t>
  </si>
  <si>
    <t>M14HT46C5G</t>
  </si>
  <si>
    <t>DOUBLE BUDDHA BUTTON FLY LS T</t>
  </si>
  <si>
    <t>M14HT47C6G</t>
  </si>
  <si>
    <t>DOUBLE BUDDHA POLO SS</t>
  </si>
  <si>
    <t>M14HW01A9I</t>
  </si>
  <si>
    <t>EL14</t>
  </si>
  <si>
    <t>EL14 RISE INDIGO</t>
  </si>
  <si>
    <t>EM43</t>
  </si>
  <si>
    <t>EM43 NOON INDIGO</t>
  </si>
  <si>
    <t>M14HW01O5I</t>
  </si>
  <si>
    <t>ED58</t>
  </si>
  <si>
    <t>ED58 DAWN INDIGO</t>
  </si>
  <si>
    <t>M14SD01A1I</t>
  </si>
  <si>
    <t>ROCCO SKINNY</t>
  </si>
  <si>
    <t>EM01</t>
  </si>
  <si>
    <t>EM01 VINT SLVDGE</t>
  </si>
  <si>
    <t>M14SD01A2I</t>
  </si>
  <si>
    <t>ED06</t>
  </si>
  <si>
    <t>ED06 RAIL RD RUN</t>
  </si>
  <si>
    <t>ED07</t>
  </si>
  <si>
    <t>ED07 JUST OLD</t>
  </si>
  <si>
    <t>EM02</t>
  </si>
  <si>
    <t>EM02 LSRED WSHED</t>
  </si>
  <si>
    <t>EM03</t>
  </si>
  <si>
    <t>EM03 HIP USED</t>
  </si>
  <si>
    <t>EM04</t>
  </si>
  <si>
    <t>EM04 DIRTY USED</t>
  </si>
  <si>
    <t>M14SD01A3I</t>
  </si>
  <si>
    <t>ED04</t>
  </si>
  <si>
    <t>ED04 LINCOLN WAY</t>
  </si>
  <si>
    <t>EM07</t>
  </si>
  <si>
    <t>EM07 MED DRIFTER</t>
  </si>
  <si>
    <t>M14SD01A4I</t>
  </si>
  <si>
    <t>EB02</t>
  </si>
  <si>
    <t>EB02 SY BLCH STR</t>
  </si>
  <si>
    <t>ED03</t>
  </si>
  <si>
    <t>ED03 USED STREET</t>
  </si>
  <si>
    <t>EM05</t>
  </si>
  <si>
    <t>EM05 LONG USED</t>
  </si>
  <si>
    <t>M14SD02A1I</t>
  </si>
  <si>
    <t>M14SD02A2I</t>
  </si>
  <si>
    <t>M14SD02A3I</t>
  </si>
  <si>
    <t>M14SD02A4I</t>
  </si>
  <si>
    <t>M14SD03A1I</t>
  </si>
  <si>
    <t>SONNY ANTIFIT</t>
  </si>
  <si>
    <t>M14SD04A2I</t>
  </si>
  <si>
    <t>M14SD05A2I</t>
  </si>
  <si>
    <t>RICKY STRAIGHT</t>
  </si>
  <si>
    <t>M14SD07A2I</t>
  </si>
  <si>
    <t>M14SD07A3I</t>
  </si>
  <si>
    <t>M14SD07A4I</t>
  </si>
  <si>
    <t>M14SD08A4I</t>
  </si>
  <si>
    <t>ROCCO HS SLIM</t>
  </si>
  <si>
    <t>M14SD09A4I</t>
  </si>
  <si>
    <t>GENO HS SLIM</t>
  </si>
  <si>
    <t>M14SE07B7G</t>
  </si>
  <si>
    <t>SHIRT W/ STUDS</t>
  </si>
  <si>
    <t>M14SE08B7G</t>
  </si>
  <si>
    <t>BASIS SHIRT</t>
  </si>
  <si>
    <t>STEELBLUE</t>
  </si>
  <si>
    <t>RUSTY RED</t>
  </si>
  <si>
    <t>M14SE10B4G</t>
  </si>
  <si>
    <t>SHIRT WAXED SEAM</t>
  </si>
  <si>
    <t>LIGHT BROWN</t>
  </si>
  <si>
    <t>STEEL BLUE</t>
  </si>
  <si>
    <t>M14SF01C3I</t>
  </si>
  <si>
    <t>TRUE SWEATER</t>
  </si>
  <si>
    <t>E645</t>
  </si>
  <si>
    <t>E645 RED</t>
  </si>
  <si>
    <t>E825</t>
  </si>
  <si>
    <t>E825 FADE BL INK</t>
  </si>
  <si>
    <t>E910</t>
  </si>
  <si>
    <t>E910 PEARL</t>
  </si>
  <si>
    <t>M14SF01C4I</t>
  </si>
  <si>
    <t>M14SF26B6G</t>
  </si>
  <si>
    <t>TRIANGLE CREW FLEECE</t>
  </si>
  <si>
    <t>GREY MARL MEL</t>
  </si>
  <si>
    <t>M14SF27B5G</t>
  </si>
  <si>
    <t>BUTTON FLY BASEBALL JACKET</t>
  </si>
  <si>
    <t>M14SF28B5G</t>
  </si>
  <si>
    <t>M14SF29B5G</t>
  </si>
  <si>
    <t>VINTAGE HOODED ZIP JACKET</t>
  </si>
  <si>
    <t>BLACK PHANTOM</t>
  </si>
  <si>
    <t>SIMPLY GREEN</t>
  </si>
  <si>
    <t>M14SF30B5G</t>
  </si>
  <si>
    <t>M14SF31B8G</t>
  </si>
  <si>
    <t>M14SF32B5G</t>
  </si>
  <si>
    <t>M14SF33B8G</t>
  </si>
  <si>
    <t>LARGE HOOD HOODY</t>
  </si>
  <si>
    <t>M14SF34B5G</t>
  </si>
  <si>
    <t>M14SF35B6G</t>
  </si>
  <si>
    <t>M14SF36B7G</t>
  </si>
  <si>
    <t>HOODY LARGE HOOD</t>
  </si>
  <si>
    <t>M14SF37B5G</t>
  </si>
  <si>
    <t>PANT TUXEDO</t>
  </si>
  <si>
    <t>M14SF38B8G</t>
  </si>
  <si>
    <t>M14SH01A2I</t>
  </si>
  <si>
    <t>DAN SHORTS</t>
  </si>
  <si>
    <t>M14SH01A6I</t>
  </si>
  <si>
    <t>E210</t>
  </si>
  <si>
    <t>E210 SAND</t>
  </si>
  <si>
    <t>E730</t>
  </si>
  <si>
    <t>E730 PURPLE</t>
  </si>
  <si>
    <t>M14SH02C3I</t>
  </si>
  <si>
    <t>TRUE CIRCLE SWEATSHORT</t>
  </si>
  <si>
    <t>M14SH02C4I</t>
  </si>
  <si>
    <t>M14SJ01A2I</t>
  </si>
  <si>
    <t>JIMMY WESTERN JACKET</t>
  </si>
  <si>
    <t>M14SJ01A9G</t>
  </si>
  <si>
    <t>BOMBER W/ RIB LINING</t>
  </si>
  <si>
    <t>M14SJ02A9G</t>
  </si>
  <si>
    <t>M14SJ02B6I</t>
  </si>
  <si>
    <t>BOLTON JACKET</t>
  </si>
  <si>
    <t>E290</t>
  </si>
  <si>
    <t>E290 DK BROWN</t>
  </si>
  <si>
    <t>M14SJ03B5I</t>
  </si>
  <si>
    <t>BART BIKER JACKET</t>
  </si>
  <si>
    <t>E870</t>
  </si>
  <si>
    <t>E870 DK BLUE</t>
  </si>
  <si>
    <t>M14SL04B2G</t>
  </si>
  <si>
    <t>BIKER W/ LONGHORN</t>
  </si>
  <si>
    <t>M14SL05B7G</t>
  </si>
  <si>
    <t>BIKER QUILTED AND STUDS</t>
  </si>
  <si>
    <t>M14SL05B9G</t>
  </si>
  <si>
    <t>BIKER QUILTED JACKET</t>
  </si>
  <si>
    <t>M14SL06B7G</t>
  </si>
  <si>
    <t>BIKER FUNNEL COLLAR</t>
  </si>
  <si>
    <t>M14SL09B7G</t>
  </si>
  <si>
    <t>BIKER JACKET W/ STUDS</t>
  </si>
  <si>
    <t>M14SL09B9G</t>
  </si>
  <si>
    <t>BIKER JACKET W/STUDS</t>
  </si>
  <si>
    <t>M14SL28C1G</t>
  </si>
  <si>
    <t>BIKER QUILTEDJACKET</t>
  </si>
  <si>
    <t>SMOKY BLUE</t>
  </si>
  <si>
    <t>M14SO01A9G</t>
  </si>
  <si>
    <t>2 BUTTON POLO SLIM FIT</t>
  </si>
  <si>
    <t>M14SO02A9G</t>
  </si>
  <si>
    <t>M14SP01A5I</t>
  </si>
  <si>
    <t>M14SP01A6I</t>
  </si>
  <si>
    <t>M14SP02A5I</t>
  </si>
  <si>
    <t>M14SP02A6I</t>
  </si>
  <si>
    <t>M14SP04A6I</t>
  </si>
  <si>
    <t>M14SP20A7I</t>
  </si>
  <si>
    <t>STEVE CHINOS</t>
  </si>
  <si>
    <t>E330</t>
  </si>
  <si>
    <t>E330 ARMY</t>
  </si>
  <si>
    <t>M14SP20A8I</t>
  </si>
  <si>
    <t>E830</t>
  </si>
  <si>
    <t>E830 GREY BLUE</t>
  </si>
  <si>
    <t>M14SP21C3I</t>
  </si>
  <si>
    <t>STAMPY SWEATPANT</t>
  </si>
  <si>
    <t>M14SP21C4I</t>
  </si>
  <si>
    <t>M14SQ11B1G</t>
  </si>
  <si>
    <t>HOODIE JACKET</t>
  </si>
  <si>
    <t>NAVY BLUE</t>
  </si>
  <si>
    <t>M14SQ12B1G</t>
  </si>
  <si>
    <t>FUNNEL COLLAR JACKET</t>
  </si>
  <si>
    <t>M14ST01C4I</t>
  </si>
  <si>
    <t>TR STAMPY S/S CREWNECK TEE</t>
  </si>
  <si>
    <t>M14ST02C2I</t>
  </si>
  <si>
    <t>TR CALIG S/S CREWNECK TEE</t>
  </si>
  <si>
    <t>E840 SMOKE BLUE</t>
  </si>
  <si>
    <t>M14ST03B1G</t>
  </si>
  <si>
    <t>M14ST03C2I</t>
  </si>
  <si>
    <t>TR FRAMES S/S CREWNECK TEE</t>
  </si>
  <si>
    <t>M14ST04B4G</t>
  </si>
  <si>
    <t>M14ST04C2I</t>
  </si>
  <si>
    <t>TRUE T S/S CREWNECK TEE</t>
  </si>
  <si>
    <t>E925</t>
  </si>
  <si>
    <t>E925 MD MEL GREY</t>
  </si>
  <si>
    <t>M14ST05B1G</t>
  </si>
  <si>
    <t>M14ST05C2I</t>
  </si>
  <si>
    <t>STRIPE T S/S CREWNECK TEE</t>
  </si>
  <si>
    <t>E630</t>
  </si>
  <si>
    <t>E630 RED</t>
  </si>
  <si>
    <t>M14ST06B1G</t>
  </si>
  <si>
    <t>M14ST06C2I</t>
  </si>
  <si>
    <t>TAILORED GOODS SS CREWNECK TEE</t>
  </si>
  <si>
    <t>M14ST07B2G</t>
  </si>
  <si>
    <t>M14ST07C2I</t>
  </si>
  <si>
    <t>GONE FISHING S/S CREWNECK TEE</t>
  </si>
  <si>
    <t>M14ST08B1G</t>
  </si>
  <si>
    <t>S/S CALIFORNIA CREWNECK TEE</t>
  </si>
  <si>
    <t>M14ST08C2I</t>
  </si>
  <si>
    <t>STAMPY T-SHIRT</t>
  </si>
  <si>
    <t>M14ST09B1G</t>
  </si>
  <si>
    <t>M14ST10B3G</t>
  </si>
  <si>
    <t>M14ST11B1G</t>
  </si>
  <si>
    <t>M14ST13B1G</t>
  </si>
  <si>
    <t>WIDE S/S CREWNECK TEE</t>
  </si>
  <si>
    <t>M14ST14B2G</t>
  </si>
  <si>
    <t>S/S WIDE COLLAR TEE SHIRT</t>
  </si>
  <si>
    <t>M14ST15B3G</t>
  </si>
  <si>
    <t>VNECK S/S TSHIRT</t>
  </si>
  <si>
    <t>M14ST16B3G</t>
  </si>
  <si>
    <t>M14ST17B4G</t>
  </si>
  <si>
    <t>M14ST18B3G</t>
  </si>
  <si>
    <t>BASEBALL CREWNECK TEE</t>
  </si>
  <si>
    <t>M14ST19B1G</t>
  </si>
  <si>
    <t>M14ST20B1G</t>
  </si>
  <si>
    <t>L/S CREWNECK TEE</t>
  </si>
  <si>
    <t>M14ST21B2G</t>
  </si>
  <si>
    <t>CHEST POCKET L/S CREWNECK TEE</t>
  </si>
  <si>
    <t>M14ST22B1G</t>
  </si>
  <si>
    <t>M14ST23B4G</t>
  </si>
  <si>
    <t>CHEST POCKET L/S CREWNECK</t>
  </si>
  <si>
    <t>M14ST24B2G</t>
  </si>
  <si>
    <t>BUTTON FLY LONG SLEEVE</t>
  </si>
  <si>
    <t>M14ST25B1G</t>
  </si>
  <si>
    <t>M14ST39B1G</t>
  </si>
  <si>
    <t>RAW EDGE S/S CREW NECK TEE</t>
  </si>
  <si>
    <t>M14ST40B1G</t>
  </si>
  <si>
    <t>M14SW01A9I</t>
  </si>
  <si>
    <t>M14SW02A9I</t>
  </si>
  <si>
    <t>FRANK SHIRT</t>
  </si>
  <si>
    <t>M14SW03B2I</t>
  </si>
  <si>
    <t>BUDDY SHIRT</t>
  </si>
  <si>
    <t>EL01</t>
  </si>
  <si>
    <t>EL01 CLOUDY</t>
  </si>
  <si>
    <t>M14SW04B3I</t>
  </si>
  <si>
    <t>SEAN SHIRT</t>
  </si>
  <si>
    <t>E650</t>
  </si>
  <si>
    <t>E650 RED</t>
  </si>
  <si>
    <t>E835</t>
  </si>
  <si>
    <t>E835 BLUETTE</t>
  </si>
  <si>
    <t>M14SW04B4I</t>
  </si>
  <si>
    <t>M14SW04P3I</t>
  </si>
  <si>
    <t>SEAN SHIRT REGULAR FIT</t>
  </si>
  <si>
    <t>E008</t>
  </si>
  <si>
    <t>E008 KALEIDOSCPE</t>
  </si>
  <si>
    <t>M14U001C5G</t>
  </si>
  <si>
    <t>BUDDHA POLO TEE</t>
  </si>
  <si>
    <t>M14U002C5G</t>
  </si>
  <si>
    <t>POLO TEE</t>
  </si>
  <si>
    <t>M14UD01A4I</t>
  </si>
  <si>
    <t>EM16</t>
  </si>
  <si>
    <t>EM16 LGHT INDIGO</t>
  </si>
  <si>
    <t>M14UD01G2I</t>
  </si>
  <si>
    <t>EM17</t>
  </si>
  <si>
    <t>EM17 INOX</t>
  </si>
  <si>
    <t>M14UD01G4I</t>
  </si>
  <si>
    <t>ED19</t>
  </si>
  <si>
    <t>ED19 DK BLINSTON</t>
  </si>
  <si>
    <t>ED20</t>
  </si>
  <si>
    <t>ED20 ALL BLACK</t>
  </si>
  <si>
    <t>M14UD01G5I</t>
  </si>
  <si>
    <t>ED17</t>
  </si>
  <si>
    <t>ED17 DEEP BLUE</t>
  </si>
  <si>
    <t>EM15</t>
  </si>
  <si>
    <t>EM15 BLUE WAVE</t>
  </si>
  <si>
    <t>M14UD02A4I</t>
  </si>
  <si>
    <t>ED18</t>
  </si>
  <si>
    <t>ED18 MDNGHT BLUE</t>
  </si>
  <si>
    <t>M14UD02G2I</t>
  </si>
  <si>
    <t>M14UD02G4I</t>
  </si>
  <si>
    <t>M14UD02G5I</t>
  </si>
  <si>
    <t>M14UD07A4I</t>
  </si>
  <si>
    <t>M14UD07G4I</t>
  </si>
  <si>
    <t>M14UD07G5I</t>
  </si>
  <si>
    <t>M14UD10G4I</t>
  </si>
  <si>
    <t>ROCCO SLANT PKT SLIM</t>
  </si>
  <si>
    <t>M14UF03B6G</t>
  </si>
  <si>
    <t>M14UF04B6G</t>
  </si>
  <si>
    <t>CREW NECK FLEECE</t>
  </si>
  <si>
    <t>M14UF05B6G</t>
  </si>
  <si>
    <t>BERMUDA CAMO FLEECE PANT</t>
  </si>
  <si>
    <t>M14UF06B8G</t>
  </si>
  <si>
    <t>BERMUDA FLEECE SHORT</t>
  </si>
  <si>
    <t>M14UF08B8G</t>
  </si>
  <si>
    <t>M14UF09B8G</t>
  </si>
  <si>
    <t>M14UF16B8G</t>
  </si>
  <si>
    <t>HOODY SKULL SWEATSHIRT</t>
  </si>
  <si>
    <t>M14UF17B6G</t>
  </si>
  <si>
    <t>HOODY CAMO FLEECE</t>
  </si>
  <si>
    <t>M14UF19B6G</t>
  </si>
  <si>
    <t>PANT CAMO FLEECE</t>
  </si>
  <si>
    <t>M14UF40B6G</t>
  </si>
  <si>
    <t>HOODED ZIP JACKET MELANGE</t>
  </si>
  <si>
    <t>M14UF41B6G</t>
  </si>
  <si>
    <t>HOODED ZIP JACKET CAMO</t>
  </si>
  <si>
    <t>M14UJ01A4I</t>
  </si>
  <si>
    <t>M14UP01G3I</t>
  </si>
  <si>
    <t>M14UP02G3I</t>
  </si>
  <si>
    <t>M14UP10G3I</t>
  </si>
  <si>
    <t>M14UT07B1G</t>
  </si>
  <si>
    <t>L/S BUTTON FLY TSHIRT</t>
  </si>
  <si>
    <t>M14UT10B1G</t>
  </si>
  <si>
    <t>TRUE DEEP VNECK TEE</t>
  </si>
  <si>
    <t>M14UT11B1G</t>
  </si>
  <si>
    <t>M14UT12B1G</t>
  </si>
  <si>
    <t>BUDDHA CREW NECK TEE</t>
  </si>
  <si>
    <t>M14UT13B1G</t>
  </si>
  <si>
    <t>TRUE RELIGION CREW NECK TEE</t>
  </si>
  <si>
    <t>SEA WHITE</t>
  </si>
  <si>
    <t>M14UT14B1G</t>
  </si>
  <si>
    <t>WIDE CREW NECK TEE W/CHEST PKT</t>
  </si>
  <si>
    <t>M14UT14C2I</t>
  </si>
  <si>
    <t>BASTIAN CREW NECK TEE</t>
  </si>
  <si>
    <t>M14UT15B1G</t>
  </si>
  <si>
    <t>M14UT15C2I</t>
  </si>
  <si>
    <t>ALLYN CREW NECK TEE</t>
  </si>
  <si>
    <t>M14UT16C2I</t>
  </si>
  <si>
    <t>CAL CREW NECK TEE</t>
  </si>
  <si>
    <t>M14UT18B1G</t>
  </si>
  <si>
    <t>CAMO VNECK TEE</t>
  </si>
  <si>
    <t>M14UW01A9I</t>
  </si>
  <si>
    <t>M15SB09B3G</t>
  </si>
  <si>
    <t>BIKER W/ SKULL PRNT RHINESTONE</t>
  </si>
  <si>
    <t>M15SB12C2G</t>
  </si>
  <si>
    <t>BIKER W/ STAR PRINT 71  APPLIC</t>
  </si>
  <si>
    <t>M15SB14C1G</t>
  </si>
  <si>
    <t>BIKER W/ LA CRACK PRINT</t>
  </si>
  <si>
    <t>M15SB15C1G</t>
  </si>
  <si>
    <t>FUNNEL JKT W CROSS APPLICATION</t>
  </si>
  <si>
    <t>M15SD01A2I</t>
  </si>
  <si>
    <t>ED67</t>
  </si>
  <si>
    <t>ED67 SPR BLASTED</t>
  </si>
  <si>
    <t>ED68</t>
  </si>
  <si>
    <t>ED68 BASIC BLAST</t>
  </si>
  <si>
    <t>M15SD01A4I</t>
  </si>
  <si>
    <t>ED64</t>
  </si>
  <si>
    <t>ED64 INDIGO TAPE</t>
  </si>
  <si>
    <t>ED66</t>
  </si>
  <si>
    <t>ED66 INDIGO-OIL</t>
  </si>
  <si>
    <t>EM45</t>
  </si>
  <si>
    <t>EM45 SEVENTIES</t>
  </si>
  <si>
    <t>M15SD01O4I</t>
  </si>
  <si>
    <t>EM46</t>
  </si>
  <si>
    <t>EM46 SKY TRAIN</t>
  </si>
  <si>
    <t>EM47</t>
  </si>
  <si>
    <t>EM47 WELDER BLUE</t>
  </si>
  <si>
    <t>M15SD01P8I</t>
  </si>
  <si>
    <t>E642</t>
  </si>
  <si>
    <t>E642 CORAL</t>
  </si>
  <si>
    <t>E834</t>
  </si>
  <si>
    <t>E834 PERIWINKLE</t>
  </si>
  <si>
    <t>ET33</t>
  </si>
  <si>
    <t>ET33 SUMMER WALK</t>
  </si>
  <si>
    <t>M15SD01Q1I</t>
  </si>
  <si>
    <t>ET34</t>
  </si>
  <si>
    <t>ET34 GENTLEMAN</t>
  </si>
  <si>
    <t>M15SD02A2I</t>
  </si>
  <si>
    <t>M15SD02A4I</t>
  </si>
  <si>
    <t>ED65</t>
  </si>
  <si>
    <t>ED65 DARK INDIGO</t>
  </si>
  <si>
    <t>EL15</t>
  </si>
  <si>
    <t>EL15 SUMMR BREZE</t>
  </si>
  <si>
    <t>M15SD02N7I</t>
  </si>
  <si>
    <t>GENO REGULAR CLASSIC SLIM</t>
  </si>
  <si>
    <t>EL17</t>
  </si>
  <si>
    <t>EL17 TRAIN-IN'</t>
  </si>
  <si>
    <t>M15SD02O4I</t>
  </si>
  <si>
    <t>M15SD02P9I</t>
  </si>
  <si>
    <t>ED69</t>
  </si>
  <si>
    <t>ED69 BLUE CAPNTR</t>
  </si>
  <si>
    <t>M15SD05A2I</t>
  </si>
  <si>
    <t>M15SD05A4I</t>
  </si>
  <si>
    <t>M15SD05O4I</t>
  </si>
  <si>
    <t>M15SD05P9I</t>
  </si>
  <si>
    <t>M15SD12N6I</t>
  </si>
  <si>
    <t>ET36</t>
  </si>
  <si>
    <t>ET36 GLITTER BLU</t>
  </si>
  <si>
    <t>M15SD12N7I</t>
  </si>
  <si>
    <t>ED70</t>
  </si>
  <si>
    <t>ED70 JOGG-IN'</t>
  </si>
  <si>
    <t>M15SD12O4I</t>
  </si>
  <si>
    <t>EM48</t>
  </si>
  <si>
    <t>EM48 GASWORKS</t>
  </si>
  <si>
    <t>M15SD12P8I</t>
  </si>
  <si>
    <t>M15SD13A4I</t>
  </si>
  <si>
    <t>M15SD13N6I</t>
  </si>
  <si>
    <t>M15SD13O4I</t>
  </si>
  <si>
    <t>EM49</t>
  </si>
  <si>
    <t>EM49 PAINTER</t>
  </si>
  <si>
    <t>M15SD13P9I</t>
  </si>
  <si>
    <t>M15SD14Q1I</t>
  </si>
  <si>
    <t>GENO NEW BACK PKTS RG RLXD SLM</t>
  </si>
  <si>
    <t>ET35</t>
  </si>
  <si>
    <t>ET35 PLUMMY DYED</t>
  </si>
  <si>
    <t>M15SE08B6G</t>
  </si>
  <si>
    <t>LEATHER SHRT W SKULL CRCK PRNT</t>
  </si>
  <si>
    <t>M15SF01C8G</t>
  </si>
  <si>
    <t>M15SF12D7G</t>
  </si>
  <si>
    <t>LA ZIP PANT</t>
  </si>
  <si>
    <t>M15SF13D7G</t>
  </si>
  <si>
    <t>MULTI SHORT</t>
  </si>
  <si>
    <t>M15SF14D7G</t>
  </si>
  <si>
    <t>MULTI  HOODED ZIP JACKET</t>
  </si>
  <si>
    <t>M15SF15D7G</t>
  </si>
  <si>
    <t>MULTI  RELAX PANT</t>
  </si>
  <si>
    <t>M15SF16D7G</t>
  </si>
  <si>
    <t>MULTI HOODIE</t>
  </si>
  <si>
    <t>M15SF25B8G</t>
  </si>
  <si>
    <t>SKULL  HOODED ZIP JACKET</t>
  </si>
  <si>
    <t>DAPPLE</t>
  </si>
  <si>
    <t>SUNSET</t>
  </si>
  <si>
    <t>M15SF26B8G</t>
  </si>
  <si>
    <t>SKULL MEX HOODIE</t>
  </si>
  <si>
    <t>M15SF27B8G</t>
  </si>
  <si>
    <t>SINCE HOODED ZIP JACKET</t>
  </si>
  <si>
    <t>M15SF28C7G</t>
  </si>
  <si>
    <t>PURE PANT</t>
  </si>
  <si>
    <t>M15SF29C7G</t>
  </si>
  <si>
    <t>TR WIDE CREW SWEAT</t>
  </si>
  <si>
    <t>M15SF30C7G</t>
  </si>
  <si>
    <t>LA HOODIE</t>
  </si>
  <si>
    <t>M15SF31C7G</t>
  </si>
  <si>
    <t>LA SHORT</t>
  </si>
  <si>
    <t>M15SF32C7G</t>
  </si>
  <si>
    <t>TRUE 71 CREW SWEAT</t>
  </si>
  <si>
    <t>M15SJ01A2I</t>
  </si>
  <si>
    <t>M15SQ03D7G</t>
  </si>
  <si>
    <t>LIGHT WEIGHT DOWN JACKET</t>
  </si>
  <si>
    <t>RAVEN GREY</t>
  </si>
  <si>
    <t>M15SQ04D7G</t>
  </si>
  <si>
    <t>M15SS01C4G</t>
  </si>
  <si>
    <t>VNECK SWEATER</t>
  </si>
  <si>
    <t>M15SS02C4G</t>
  </si>
  <si>
    <t>M15SS03C4G</t>
  </si>
  <si>
    <t>M15ST02C5G</t>
  </si>
  <si>
    <t>SKULL MEX CREW TSHIRT SS</t>
  </si>
  <si>
    <t>M15ST03C5G</t>
  </si>
  <si>
    <t>71 PALM CREW TSHIRT SS</t>
  </si>
  <si>
    <t>M15ST04C5G</t>
  </si>
  <si>
    <t>HORSESHOE CREW TSHIRT SS</t>
  </si>
  <si>
    <t>M15ST05C5G</t>
  </si>
  <si>
    <t>SINCE CREW TSHIRT SS</t>
  </si>
  <si>
    <t>M15ST06C5G</t>
  </si>
  <si>
    <t>TRADEMARK CREW TSHIRT SS</t>
  </si>
  <si>
    <t>M15ST07C5G</t>
  </si>
  <si>
    <t>PURE BASEBALL TSHIRT 3/4 SLEEV</t>
  </si>
  <si>
    <t>M15ST08E5G</t>
  </si>
  <si>
    <t>ADDRESS CREW TSHIRT SS</t>
  </si>
  <si>
    <t>M15ST09E5G</t>
  </si>
  <si>
    <t>M15ST10E5G</t>
  </si>
  <si>
    <t>LONG HORN CREW TSHIRT SS</t>
  </si>
  <si>
    <t>M15ST17E6G</t>
  </si>
  <si>
    <t>PURE CREW TSHIRT SS</t>
  </si>
  <si>
    <t>M15ST18E5G</t>
  </si>
  <si>
    <t>TRADEMARK TSHIRT LS</t>
  </si>
  <si>
    <t>M15ST19E6G</t>
  </si>
  <si>
    <t>TRUE 71 CREW TSHIRT SS</t>
  </si>
  <si>
    <t>M15ST20E6G</t>
  </si>
  <si>
    <t>TR WIDE CREW TSHIRT SS</t>
  </si>
  <si>
    <t>M15ST21E6G</t>
  </si>
  <si>
    <t>PURE VNECK TSHIRT SS</t>
  </si>
  <si>
    <t>M15ST22E6G</t>
  </si>
  <si>
    <t>MULTI CREW TSHIRT SS</t>
  </si>
  <si>
    <t>M15ST23E6G</t>
  </si>
  <si>
    <t>MULTI TSHIRT LS</t>
  </si>
  <si>
    <t>M15ST24E6G</t>
  </si>
  <si>
    <t>M15ST35E6G</t>
  </si>
  <si>
    <t>PURE SCOOP CREW TSHIRT</t>
  </si>
  <si>
    <t>M15ST36E6G</t>
  </si>
  <si>
    <t>TOP MUSCLE TSHIRT</t>
  </si>
  <si>
    <t>M15ST37C5G</t>
  </si>
  <si>
    <t>BUTTON FLY T SHIRT LS</t>
  </si>
  <si>
    <t>M15SW01A9I</t>
  </si>
  <si>
    <t>EL16</t>
  </si>
  <si>
    <t>EL16 SW STEADY</t>
  </si>
  <si>
    <t>M15SW08Q2I</t>
  </si>
  <si>
    <t>DAVID NEW SHIRT</t>
  </si>
  <si>
    <t>EL18</t>
  </si>
  <si>
    <t>EL18 SUMMR SRFNG</t>
  </si>
  <si>
    <t>EM50</t>
  </si>
  <si>
    <t>EM50 YACHT CLUB</t>
  </si>
  <si>
    <t>M15SW08Q3I</t>
  </si>
  <si>
    <t>EW19</t>
  </si>
  <si>
    <t>EW19 GENTLE WSH</t>
  </si>
  <si>
    <t>M177060C14</t>
  </si>
  <si>
    <t>ZIP RAGLAN HOODIE W/ TRUE RELI</t>
  </si>
  <si>
    <t>SAND</t>
  </si>
  <si>
    <t>M177408B91</t>
  </si>
  <si>
    <t>ZIP TRACK JACKET W/ORIGINAL TR</t>
  </si>
  <si>
    <t>M177J07B43</t>
  </si>
  <si>
    <t>PLLOVR CRW  BGT ZUMA BEACH</t>
  </si>
  <si>
    <t>M177J08B52</t>
  </si>
  <si>
    <t>CLASSIC HOODIE PULLOVER HOODIE</t>
  </si>
  <si>
    <t>M177J08B92</t>
  </si>
  <si>
    <t>HOODIE PLLOVR ORGNL</t>
  </si>
  <si>
    <t>M177K11L1</t>
  </si>
  <si>
    <t>ZIP BLACK BIG-T MEN'S HOODIE W</t>
  </si>
  <si>
    <t>M177K57D72</t>
  </si>
  <si>
    <t>ZIP HODIE QT HORSESHOE</t>
  </si>
  <si>
    <t>M177K58E72</t>
  </si>
  <si>
    <t>QT HORSESHOE PULLOVER</t>
  </si>
  <si>
    <t>M177V93EH</t>
  </si>
  <si>
    <t>BIG T RAW EDGE HOODIE</t>
  </si>
  <si>
    <t>XB FADED PEBBLE GREY</t>
  </si>
  <si>
    <t>XB KELLY GREEN</t>
  </si>
  <si>
    <t>XB FADED TURQUOISE</t>
  </si>
  <si>
    <t>XB FADED FUSCHIA</t>
  </si>
  <si>
    <t>XB FADED CARROT</t>
  </si>
  <si>
    <t>M179N98Y9</t>
  </si>
  <si>
    <t>JOHNNY DENIM MEN'S HOODIE</t>
  </si>
  <si>
    <t>CS</t>
  </si>
  <si>
    <t>CS THUNDER RIVER DK W/ RIPS</t>
  </si>
  <si>
    <t>M179N98Y9E</t>
  </si>
  <si>
    <t>JOHNNY DENIM W/PATCHES MEN'S H</t>
  </si>
  <si>
    <t>M179U36</t>
  </si>
  <si>
    <t>PRINTED FLEECE JACKET</t>
  </si>
  <si>
    <t>SE NAVAJO</t>
  </si>
  <si>
    <t>SE SIENNA</t>
  </si>
  <si>
    <t>M1BA400</t>
  </si>
  <si>
    <t>L/S BASLON SWEATER V-NECK</t>
  </si>
  <si>
    <t>CHARCOAL HEATHER</t>
  </si>
  <si>
    <t>M1FB114IE1</t>
  </si>
  <si>
    <t>EMBROIDERY U MENS POLO</t>
  </si>
  <si>
    <t>BLACK / WHITE</t>
  </si>
  <si>
    <t>WINTER WHITE / RED</t>
  </si>
  <si>
    <t>M1KB029VR</t>
  </si>
  <si>
    <t>L/S QUILTED JACKET</t>
  </si>
  <si>
    <t>RIVER MULTI</t>
  </si>
  <si>
    <t>M1LB011VR</t>
  </si>
  <si>
    <t>L/S WESTERN SHIRT WOVEN</t>
  </si>
  <si>
    <t>2S NGHT HZE MLTI</t>
  </si>
  <si>
    <t>2S DSTY RSE MLTI</t>
  </si>
  <si>
    <t>M1QB158IK</t>
  </si>
  <si>
    <t>CANYON W/CREAM</t>
  </si>
  <si>
    <t>COBALT / BLACK</t>
  </si>
  <si>
    <t>M1SB149IK</t>
  </si>
  <si>
    <t>2S SKYLINE</t>
  </si>
  <si>
    <t>M1UB063NR0</t>
  </si>
  <si>
    <t>L/S STITCH HOODIE BIG T HOOKUP</t>
  </si>
  <si>
    <t>2S DERRINGER CAMO</t>
  </si>
  <si>
    <t>M1UB197NR0</t>
  </si>
  <si>
    <t>CNTRST WDE LG BIG T SWEATPANTS</t>
  </si>
  <si>
    <t>M1UC220NR0</t>
  </si>
  <si>
    <t>CORE WIDE LEG SWEATSHORTS</t>
  </si>
  <si>
    <t>M1VB016EH</t>
  </si>
  <si>
    <t>L/S PUFFER JACKET W/CONTRAST</t>
  </si>
  <si>
    <t>OLIVE</t>
  </si>
  <si>
    <t>M1WA638VR</t>
  </si>
  <si>
    <t>L/S HERRINGBONE SHIRT</t>
  </si>
  <si>
    <t>BQU RIVER MULTI</t>
  </si>
  <si>
    <t>M1WB015EG</t>
  </si>
  <si>
    <t>PUFFER VEST</t>
  </si>
  <si>
    <t>M1WB021VR</t>
  </si>
  <si>
    <t>REVERSIBLE L/S QUILTED JACKET</t>
  </si>
  <si>
    <t>2S NAVY</t>
  </si>
  <si>
    <t>M20A185EG0</t>
  </si>
  <si>
    <t>JAKE WESTERN FASHION SHIRTING</t>
  </si>
  <si>
    <t>ASFM</t>
  </si>
  <si>
    <t>ASFM PASEO DRIVE</t>
  </si>
  <si>
    <t>M20A208NW0</t>
  </si>
  <si>
    <t>BIG T JAKE WESTERN SHIRT</t>
  </si>
  <si>
    <t>CANL</t>
  </si>
  <si>
    <t>CANL SUN FADED</t>
  </si>
  <si>
    <t>M20A208NY3</t>
  </si>
  <si>
    <t>CARL</t>
  </si>
  <si>
    <t>CARL FADED RIM</t>
  </si>
  <si>
    <t>M20A903LK9</t>
  </si>
  <si>
    <t>WORKSHIRT SLIM GRAPHC PTCHWORK</t>
  </si>
  <si>
    <t>BSSM</t>
  </si>
  <si>
    <t>BSSM BROKEN LDGE</t>
  </si>
  <si>
    <t>M20A962LN8</t>
  </si>
  <si>
    <t>JAKE WESTERN SHIRT BSEBL STICH</t>
  </si>
  <si>
    <t>BREM</t>
  </si>
  <si>
    <t>BREM OUTFIELD</t>
  </si>
  <si>
    <t>M20T59Z27</t>
  </si>
  <si>
    <t>SEAN ON THE ROAD MENS SHIRT</t>
  </si>
  <si>
    <t>XJL</t>
  </si>
  <si>
    <t>XJL NAIL DRIVER</t>
  </si>
  <si>
    <t>M20Y61LC0</t>
  </si>
  <si>
    <t>BQGD</t>
  </si>
  <si>
    <t>BQGD RIDGID WATR</t>
  </si>
  <si>
    <t>M20Y61MU8</t>
  </si>
  <si>
    <t>CORE JAKE WESTERN SHIRT</t>
  </si>
  <si>
    <t>BXNL</t>
  </si>
  <si>
    <t>BXNL WORN STONES</t>
  </si>
  <si>
    <t>M20Z22DF3</t>
  </si>
  <si>
    <t>SEAN PREMIUM VINTAGE SHIRT</t>
  </si>
  <si>
    <t>TCD</t>
  </si>
  <si>
    <t>TCD SNYPER</t>
  </si>
  <si>
    <t>M20Z47DI6</t>
  </si>
  <si>
    <t>JAKE ENGINEERED BIG T SHIRT</t>
  </si>
  <si>
    <t>ANRM</t>
  </si>
  <si>
    <t>ANRM TRAVIS</t>
  </si>
  <si>
    <t>M242001EN</t>
  </si>
  <si>
    <t>1D</t>
  </si>
  <si>
    <t>1D THE BOSS</t>
  </si>
  <si>
    <t>2V MED DRIFTER</t>
  </si>
  <si>
    <t>M242001ENL</t>
  </si>
  <si>
    <t>LOGAN SLIM SUPR T BROWN MULTI</t>
  </si>
  <si>
    <t>M24800CR3</t>
  </si>
  <si>
    <t>BOBBY STRAIGHT LEG ORIGINALS</t>
  </si>
  <si>
    <t>M24800EF0</t>
  </si>
  <si>
    <t>BOBBY STARIGHT LEG RAISED LOGO</t>
  </si>
  <si>
    <t>AQPD</t>
  </si>
  <si>
    <t>AQPD SLSTICE CYN</t>
  </si>
  <si>
    <t>ARXM</t>
  </si>
  <si>
    <t>ARXM BULLFIGHT</t>
  </si>
  <si>
    <t>M24800EG3</t>
  </si>
  <si>
    <t>BOBBY OLIVE GREY STRIAGHT</t>
  </si>
  <si>
    <t>ASJD</t>
  </si>
  <si>
    <t>ASJD BRKNG GRNDS</t>
  </si>
  <si>
    <t>M24800F66</t>
  </si>
  <si>
    <t>BOBBY SPT STRAIGHT MEN JEAN</t>
  </si>
  <si>
    <t>M24800GQT3</t>
  </si>
  <si>
    <t>BOBBY SUPER QT STRAIGHT MN JEA</t>
  </si>
  <si>
    <t>M24800HB7</t>
  </si>
  <si>
    <t>BOBBY STRAIGHT SPT GREY MDNGHT</t>
  </si>
  <si>
    <t>M24800I3</t>
  </si>
  <si>
    <t>M24800J31</t>
  </si>
  <si>
    <t>BOBBY PATCHWORK LOGO STRAIGHT</t>
  </si>
  <si>
    <t>M24800J34</t>
  </si>
  <si>
    <t>BOBBY NAT/GREY SPT MEN'S JEAN</t>
  </si>
  <si>
    <t>MGM</t>
  </si>
  <si>
    <t>MGM FIREBIRD</t>
  </si>
  <si>
    <t>M24800J35</t>
  </si>
  <si>
    <t>BOBBY MECA/YELLOW SPT STRAIGHT</t>
  </si>
  <si>
    <t>M24800J45</t>
  </si>
  <si>
    <t>BOBBY TITAN LOGO STRAIGHT LEG</t>
  </si>
  <si>
    <t>M24800K97</t>
  </si>
  <si>
    <t>M24800K99</t>
  </si>
  <si>
    <t>M24800L15</t>
  </si>
  <si>
    <t>M24800L16</t>
  </si>
  <si>
    <t>M24800L18</t>
  </si>
  <si>
    <t>GHOST LOGO BOBBY STRAIGHT</t>
  </si>
  <si>
    <t>BBD</t>
  </si>
  <si>
    <t>BBD REVOLVER</t>
  </si>
  <si>
    <t>M24800L27</t>
  </si>
  <si>
    <t>BOBBY SPT STRAIGHT  MEN'S JEAN</t>
  </si>
  <si>
    <t>M24800M38</t>
  </si>
  <si>
    <t>PJL</t>
  </si>
  <si>
    <t>PJL TRAILS END</t>
  </si>
  <si>
    <t>PKM</t>
  </si>
  <si>
    <t>PKM LOCOMOTIVE</t>
  </si>
  <si>
    <t>M24800NQT2</t>
  </si>
  <si>
    <t>BOBBY BIG QT MEN JEAN</t>
  </si>
  <si>
    <t>M24800P73</t>
  </si>
  <si>
    <t>BOBBY STRAIGHT MENS JEAN</t>
  </si>
  <si>
    <t>M24800P90</t>
  </si>
  <si>
    <t>BOBBY SUPER T STRAIGHT MENS JE</t>
  </si>
  <si>
    <t>EQL</t>
  </si>
  <si>
    <t>EQL ROUGH RIVER</t>
  </si>
  <si>
    <t>M24800R54</t>
  </si>
  <si>
    <t>M24800R98</t>
  </si>
  <si>
    <t>M24800RQT2</t>
  </si>
  <si>
    <t>M24800U52</t>
  </si>
  <si>
    <t>BOBBY STUDDED LOGO MEN JEAN</t>
  </si>
  <si>
    <t>TWM</t>
  </si>
  <si>
    <t>TRAIL WINDS</t>
  </si>
  <si>
    <t>M24803CR3</t>
  </si>
  <si>
    <t>JOEY FLARE LEG ORIGINALS</t>
  </si>
  <si>
    <t>M24803M32</t>
  </si>
  <si>
    <t>JOEY SPT TWISTED FLARE MEN JEA</t>
  </si>
  <si>
    <t>M24803M38</t>
  </si>
  <si>
    <t>M24858CR3</t>
  </si>
  <si>
    <t>BILLY BOOTCUT ORIGINALS</t>
  </si>
  <si>
    <t>M24858CU9</t>
  </si>
  <si>
    <t>BILLY INDIGO GREY BIG QT</t>
  </si>
  <si>
    <t>ADNM</t>
  </si>
  <si>
    <t>ADNM BRDGVW W RPS</t>
  </si>
  <si>
    <t>M24858CV3</t>
  </si>
  <si>
    <t>BILLY ENGINEERED SUPER T</t>
  </si>
  <si>
    <t>ANQM</t>
  </si>
  <si>
    <t>ANQM TEMPERANCE W RIPS</t>
  </si>
  <si>
    <t>M24858CV7</t>
  </si>
  <si>
    <t>BILLY CONTRAST ARMY SUPER T</t>
  </si>
  <si>
    <t>ADLD</t>
  </si>
  <si>
    <t>ADLD ELLSTN W RPS</t>
  </si>
  <si>
    <t>M24858CV8</t>
  </si>
  <si>
    <t>BILLY CONTRAST BROWN SUPER T</t>
  </si>
  <si>
    <t>M24858E98</t>
  </si>
  <si>
    <t>BILLY EMBROIDERED BOOT CUT MN</t>
  </si>
  <si>
    <t>M24858EF0</t>
  </si>
  <si>
    <t>BILLY BOOTCUT RAISED LOGO</t>
  </si>
  <si>
    <t>M24858EG4</t>
  </si>
  <si>
    <t>BILLY BOOTCUT SPT RED ORNG/MDN</t>
  </si>
  <si>
    <t>M24858F45</t>
  </si>
  <si>
    <t>BILLY BOOT CUT  MEN'S JEAN</t>
  </si>
  <si>
    <t>M24858GQT3</t>
  </si>
  <si>
    <t>BILLY SUPER QT BOOT CUT MN JEA</t>
  </si>
  <si>
    <t>M24858H54</t>
  </si>
  <si>
    <t>BILLY ARMY GREEN CORNELLI BOOT</t>
  </si>
  <si>
    <t>M24858H73</t>
  </si>
  <si>
    <t>BILLY BOOTCUT MEN JEAN</t>
  </si>
  <si>
    <t>JUD</t>
  </si>
  <si>
    <t>JUD MONTE</t>
  </si>
  <si>
    <t>M24858J20</t>
  </si>
  <si>
    <t>BILLY SPT BOOT CUT MEN'S JEAN</t>
  </si>
  <si>
    <t>M24858J21</t>
  </si>
  <si>
    <t>BILLY TRIPLE NEEDLE BOOT CUT M</t>
  </si>
  <si>
    <t>M24858J24</t>
  </si>
  <si>
    <t>M24858J30</t>
  </si>
  <si>
    <t>BILLY HANDSTITCH LOGO BOOT CUT</t>
  </si>
  <si>
    <t>M24858J45</t>
  </si>
  <si>
    <t>BILLY TITAN LOGO BOOT CUT MEN'</t>
  </si>
  <si>
    <t>M24858K97</t>
  </si>
  <si>
    <t>M24858K99</t>
  </si>
  <si>
    <t>M24858L15</t>
  </si>
  <si>
    <t>M24858L16</t>
  </si>
  <si>
    <t>M24858L18</t>
  </si>
  <si>
    <t>GHOST LOGO BILLY BOOT CUT</t>
  </si>
  <si>
    <t>M24858L27</t>
  </si>
  <si>
    <t>M24858M32</t>
  </si>
  <si>
    <t>BILLY SPT BOOT CUT MEN JEAN</t>
  </si>
  <si>
    <t>M24858M38</t>
  </si>
  <si>
    <t>M24858NKU2</t>
  </si>
  <si>
    <t>BMOD</t>
  </si>
  <si>
    <t>BMOD MDNGHT PASS</t>
  </si>
  <si>
    <t>M24858NQT2</t>
  </si>
  <si>
    <t>BILLY BIG QT MEN JEAN</t>
  </si>
  <si>
    <t>M24858OGG0</t>
  </si>
  <si>
    <t>BILLY BOOTCUT SPT GOLD/ORGANGE</t>
  </si>
  <si>
    <t>BAFM</t>
  </si>
  <si>
    <t>BAFM HOT SPRINGS</t>
  </si>
  <si>
    <t>M24858RQT2</t>
  </si>
  <si>
    <t>BILLY BIG QT BOOT CUT MN JEAN</t>
  </si>
  <si>
    <t>M24859BA1</t>
  </si>
  <si>
    <t>RICKY MULTI BIG QT MENS JEAN</t>
  </si>
  <si>
    <t>M24859BA2</t>
  </si>
  <si>
    <t>RICKY SUPER T-PASTEL MENS JEAN</t>
  </si>
  <si>
    <t>M24859BA3</t>
  </si>
  <si>
    <t>M24859BA4</t>
  </si>
  <si>
    <t>M24859BA5</t>
  </si>
  <si>
    <t>M24859BA6</t>
  </si>
  <si>
    <t>M24859BA7</t>
  </si>
  <si>
    <t>RICKY SUPER T- BRIGHTS MENS JN</t>
  </si>
  <si>
    <t>M24859BA8</t>
  </si>
  <si>
    <t>M24859BA9</t>
  </si>
  <si>
    <t>M24859BB0</t>
  </si>
  <si>
    <t>M24859BB1</t>
  </si>
  <si>
    <t>M24859BB2</t>
  </si>
  <si>
    <t>M24859BB3</t>
  </si>
  <si>
    <t>M24859BB4</t>
  </si>
  <si>
    <t>M24859BB5</t>
  </si>
  <si>
    <t>RICKY SUPER T-CORE MENS JEAN</t>
  </si>
  <si>
    <t>M24859BB6</t>
  </si>
  <si>
    <t>M24859BB7</t>
  </si>
  <si>
    <t>M24859BB8</t>
  </si>
  <si>
    <t>M24859BQT2</t>
  </si>
  <si>
    <t>RICKY BIG QT MEN JEAN</t>
  </si>
  <si>
    <t>M24859BS4</t>
  </si>
  <si>
    <t>RICKY STRING INDIGO SUPER T</t>
  </si>
  <si>
    <t>M24859BT8</t>
  </si>
  <si>
    <t>RICKY BLUE STONE/RED SUPER T</t>
  </si>
  <si>
    <t>M24859CQ9</t>
  </si>
  <si>
    <t>RICKY BLUE BROWN SUPER T</t>
  </si>
  <si>
    <t>TXD DK HIDEOUT</t>
  </si>
  <si>
    <t>M24859CR3</t>
  </si>
  <si>
    <t>RICKY STRAIGHT LEG ORIGINALS</t>
  </si>
  <si>
    <t>M24859CU9</t>
  </si>
  <si>
    <t>RICKY INDIGO GREY BIG QT</t>
  </si>
  <si>
    <t>M24859CV3</t>
  </si>
  <si>
    <t>RICKY ENGINEERED SUPER T</t>
  </si>
  <si>
    <t>ANQM TPRNC W RPS</t>
  </si>
  <si>
    <t>M24859CV7</t>
  </si>
  <si>
    <t>RICKY CONTRAST ARMY SUPER T</t>
  </si>
  <si>
    <t>ADLD ELLISTON W RIPS</t>
  </si>
  <si>
    <t>M24859CV8</t>
  </si>
  <si>
    <t>RICKY CONTRAST BROWN SUPER T</t>
  </si>
  <si>
    <t>M24859E98</t>
  </si>
  <si>
    <t>RICKY EMBROIDERED MEN JEAN</t>
  </si>
  <si>
    <t>M24859EG3</t>
  </si>
  <si>
    <t>M24859EG4</t>
  </si>
  <si>
    <t>RICKY STRGHT SPT RD ORNG MDNT</t>
  </si>
  <si>
    <t>M24859ES2</t>
  </si>
  <si>
    <t>RICKY STRAIGHT INDGO RATTLESNK</t>
  </si>
  <si>
    <t>ARZM</t>
  </si>
  <si>
    <t>ARZM RTTLSNK WSH</t>
  </si>
  <si>
    <t>M24859F45</t>
  </si>
  <si>
    <t>M24859GJ4</t>
  </si>
  <si>
    <t>RICKY STRAIGHT LEG SPT NOUVEAU</t>
  </si>
  <si>
    <t>AZIL</t>
  </si>
  <si>
    <t>AZIL SCOTTSDALE</t>
  </si>
  <si>
    <t>BAEM</t>
  </si>
  <si>
    <t>BAEM MAR VISTA</t>
  </si>
  <si>
    <t>M24859GN0</t>
  </si>
  <si>
    <t>RICKY STRAIGHT GREY REVRS DYE</t>
  </si>
  <si>
    <t>M24859GQT3</t>
  </si>
  <si>
    <t>RICKY SUPER QT STRAIGHT MN JEA</t>
  </si>
  <si>
    <t>M24859H54</t>
  </si>
  <si>
    <t>RICKY ARMY GREEN CORNELLI STRA</t>
  </si>
  <si>
    <t>M24859J20</t>
  </si>
  <si>
    <t>RICKY SPT STRAIGHT LG MEN'S JE</t>
  </si>
  <si>
    <t>M24859J21</t>
  </si>
  <si>
    <t>RICKY TRIPLE NEEDLE STRAIGHT L</t>
  </si>
  <si>
    <t>M24859J24</t>
  </si>
  <si>
    <t>M24859J30</t>
  </si>
  <si>
    <t>RICKY HANDSTITCH LOGO STRAIGHT</t>
  </si>
  <si>
    <t>M24859J31</t>
  </si>
  <si>
    <t>RICKY PATCHWORK LOGO STRAIGHT</t>
  </si>
  <si>
    <t>M24859J34</t>
  </si>
  <si>
    <t>RICKY NAT/GREY SPT MEN'S JEAN</t>
  </si>
  <si>
    <t>M24859J35</t>
  </si>
  <si>
    <t>RICKY  MECA/YELLOW SPT MEN'S J</t>
  </si>
  <si>
    <t>M24859J45</t>
  </si>
  <si>
    <t>RICKY TITAN LOGO STRAIGHT LEG</t>
  </si>
  <si>
    <t>M24859JD9</t>
  </si>
  <si>
    <t>BJQL</t>
  </si>
  <si>
    <t>BJQL COWBOY BLUES</t>
  </si>
  <si>
    <t>M24859K30</t>
  </si>
  <si>
    <t>RICKY BLACK CORNELLI STRAIGHT</t>
  </si>
  <si>
    <t>M24859K84</t>
  </si>
  <si>
    <t>RICKY BUSTED STAR EMB MEN'S JE</t>
  </si>
  <si>
    <t>2H</t>
  </si>
  <si>
    <t>2H REBEL MED</t>
  </si>
  <si>
    <t>M24859K87</t>
  </si>
  <si>
    <t>RICKY BRWN OMBRE EMBL STRAIGHT</t>
  </si>
  <si>
    <t>M24859K97</t>
  </si>
  <si>
    <t>M24859K99</t>
  </si>
  <si>
    <t>M24859L15</t>
  </si>
  <si>
    <t>M24859L16</t>
  </si>
  <si>
    <t>M24859L18</t>
  </si>
  <si>
    <t>GHOST LOGO RICKY STRAIGHT</t>
  </si>
  <si>
    <t>M24859L27</t>
  </si>
  <si>
    <t>RICKY SPT STRAIGHT  MEN'S JEAN</t>
  </si>
  <si>
    <t>M24859M32</t>
  </si>
  <si>
    <t>RICKY SPT STRAIGHT MEN JEAN</t>
  </si>
  <si>
    <t>M24859NIS1</t>
  </si>
  <si>
    <t>RICKY STRAIGHT 34 IN LIVED IN</t>
  </si>
  <si>
    <t>BMJD</t>
  </si>
  <si>
    <t>BMJD BLACK MALT</t>
  </si>
  <si>
    <t>M24859NJS7</t>
  </si>
  <si>
    <t>RICKY STRAIGHT  BLOOD SPR T</t>
  </si>
  <si>
    <t>BNMM</t>
  </si>
  <si>
    <t>BNMM CASCADE CRK</t>
  </si>
  <si>
    <t>M24859NKU2</t>
  </si>
  <si>
    <t>BMCD</t>
  </si>
  <si>
    <t>BMCD WOODWORKS</t>
  </si>
  <si>
    <t>M24859NLJ3</t>
  </si>
  <si>
    <t>RICKY STRAIGHT HALF &amp; HALF</t>
  </si>
  <si>
    <t>BRID</t>
  </si>
  <si>
    <t>BRID HTCHKRS TRL</t>
  </si>
  <si>
    <t>M24859NMX9</t>
  </si>
  <si>
    <t>BWUL</t>
  </si>
  <si>
    <t>BWUL DSTY BLCHRS</t>
  </si>
  <si>
    <t>M24859NNA0</t>
  </si>
  <si>
    <t>COATED COBALT RICKY W/ FLAP 34</t>
  </si>
  <si>
    <t>BXKL</t>
  </si>
  <si>
    <t>BXKL OPEN WELL</t>
  </si>
  <si>
    <t>M24859NOH4</t>
  </si>
  <si>
    <t>CFBL</t>
  </si>
  <si>
    <t>CFBL FADED DAWN</t>
  </si>
  <si>
    <t>M24859NQM2</t>
  </si>
  <si>
    <t>1/2 RICKY W/ FLAP SE</t>
  </si>
  <si>
    <t>CELL</t>
  </si>
  <si>
    <t>CELL MYSTC PLSDE</t>
  </si>
  <si>
    <t>M24859NQT2</t>
  </si>
  <si>
    <t>EBD</t>
  </si>
  <si>
    <t>EBD CYCLONE</t>
  </si>
  <si>
    <t>M24859OGG0</t>
  </si>
  <si>
    <t>RICKY STRAIGHT LEG SPT GLD/ORG</t>
  </si>
  <si>
    <t>M24859OGG1</t>
  </si>
  <si>
    <t>RICKY STRAIGHT LEG SPT TAN/GRY</t>
  </si>
  <si>
    <t>BABM</t>
  </si>
  <si>
    <t>BABM GEATEST HTS</t>
  </si>
  <si>
    <t>M24859P05</t>
  </si>
  <si>
    <t>RICKY STRAIGHT MENS JEAN</t>
  </si>
  <si>
    <t>M24859P84</t>
  </si>
  <si>
    <t>RICKY SUPER T STRAIGHT MENS JE</t>
  </si>
  <si>
    <t>M24859P90</t>
  </si>
  <si>
    <t>RVD</t>
  </si>
  <si>
    <t>RVD BOUNTY</t>
  </si>
  <si>
    <t>M24859R54</t>
  </si>
  <si>
    <t>M24859RQT2</t>
  </si>
  <si>
    <t>RICKY BIG QT STRAIGHT MN JEAN</t>
  </si>
  <si>
    <t>M24859U38</t>
  </si>
  <si>
    <t>TTD</t>
  </si>
  <si>
    <t>SHASTA</t>
  </si>
  <si>
    <t>M24859U52</t>
  </si>
  <si>
    <t>RICKY STUDDED LOGO</t>
  </si>
  <si>
    <t>M24859U55</t>
  </si>
  <si>
    <t>M24859W50</t>
  </si>
  <si>
    <t>RICKY TRIPLE LEATHER JEAN</t>
  </si>
  <si>
    <t>TWD</t>
  </si>
  <si>
    <t>OVERLAND</t>
  </si>
  <si>
    <t>M24859W51</t>
  </si>
  <si>
    <t>78 URBAN COWBOY DK</t>
  </si>
  <si>
    <t>M24861K97</t>
  </si>
  <si>
    <t>LOGAN SLIM MEN'S JEAN</t>
  </si>
  <si>
    <t>M24861K99</t>
  </si>
  <si>
    <t>M24861L04</t>
  </si>
  <si>
    <t>LOGAN SPT SLIM MEN'S JEAN</t>
  </si>
  <si>
    <t>M24861L15</t>
  </si>
  <si>
    <t>M24861L16</t>
  </si>
  <si>
    <t>M24861L27</t>
  </si>
  <si>
    <t>LOGAN SPT MEN JEAN</t>
  </si>
  <si>
    <t>M24861M32</t>
  </si>
  <si>
    <t>LOGAN SPT SLIM MEN JEAN</t>
  </si>
  <si>
    <t>M24861M38</t>
  </si>
  <si>
    <t>M24861U55</t>
  </si>
  <si>
    <t>UAD</t>
  </si>
  <si>
    <t>OLD COUNTRY</t>
  </si>
  <si>
    <t>M24861U56</t>
  </si>
  <si>
    <t>TRD</t>
  </si>
  <si>
    <t>COLLATERAL</t>
  </si>
  <si>
    <t>M24861Y24</t>
  </si>
  <si>
    <t>LOGAN SUPER T</t>
  </si>
  <si>
    <t>M24900J01</t>
  </si>
  <si>
    <t>M24900NQT2</t>
  </si>
  <si>
    <t>JIMMY BIG QT WESTERN  MENS JAC</t>
  </si>
  <si>
    <t>M24A408GW4</t>
  </si>
  <si>
    <t>GENO SLIM STRAIGHT</t>
  </si>
  <si>
    <t>AZEL</t>
  </si>
  <si>
    <t>AZEL GAMBLIN</t>
  </si>
  <si>
    <t>M24A902LK8</t>
  </si>
  <si>
    <t>GENO RELAXED SLIM GRPHC PTCHWK</t>
  </si>
  <si>
    <t>BROL</t>
  </si>
  <si>
    <t>BROL LNE TRVELER</t>
  </si>
  <si>
    <t>M24B065MB3</t>
  </si>
  <si>
    <t>RICKY RELAXED GRAPHIC PTCHWORK</t>
  </si>
  <si>
    <t>BSRD</t>
  </si>
  <si>
    <t>BSRD LOST TRAIL</t>
  </si>
  <si>
    <t>M24C087QM2</t>
  </si>
  <si>
    <t>1/2 RICKY W/ FLAP SHORT SE</t>
  </si>
  <si>
    <t>M24C204QS4</t>
  </si>
  <si>
    <t>CEHM</t>
  </si>
  <si>
    <t>CEHM STOWAWAY</t>
  </si>
  <si>
    <t>M24C205QS4</t>
  </si>
  <si>
    <t>M24E08BS3</t>
  </si>
  <si>
    <t>JACK BIG QT JEAN</t>
  </si>
  <si>
    <t>M24E08CR3</t>
  </si>
  <si>
    <t>JACK SLIM STRAIGHT ORIGINALS</t>
  </si>
  <si>
    <t>M24E08GPQT</t>
  </si>
  <si>
    <t>JACK BIG QT MENS JEAN</t>
  </si>
  <si>
    <t>M24E08J34</t>
  </si>
  <si>
    <t>JACK NAT/GREY SPT MEN'S JEAN</t>
  </si>
  <si>
    <t>M24E08L27</t>
  </si>
  <si>
    <t>JACK SPT STRAIGHT  MEN'S JEAN</t>
  </si>
  <si>
    <t>M24E08NJS7</t>
  </si>
  <si>
    <t>GENO W FLAP SLIM 34 IN BLOOD</t>
  </si>
  <si>
    <t>M24E08NKU2</t>
  </si>
  <si>
    <t>GENO W/FLAP SLIM 34 IN</t>
  </si>
  <si>
    <t>M24E08NMX9</t>
  </si>
  <si>
    <t>GENO SLIM NATURAL BIG T BSBL</t>
  </si>
  <si>
    <t>M24E08NQT2</t>
  </si>
  <si>
    <t>JACK BIG QT MEN JEAN</t>
  </si>
  <si>
    <t>M24H54EF0</t>
  </si>
  <si>
    <t>ZACH SLIM RAISED LOGO</t>
  </si>
  <si>
    <t>M24H54EG3</t>
  </si>
  <si>
    <t>ZACH SLIM SUPER T OLIVE/GREY</t>
  </si>
  <si>
    <t>M24H54P73</t>
  </si>
  <si>
    <t>ZACH SKINNY MENS JEAN</t>
  </si>
  <si>
    <t>M24J19BA1</t>
  </si>
  <si>
    <t>GENO MULTI BIG QT MENS JEAN</t>
  </si>
  <si>
    <t>M24J19BA2</t>
  </si>
  <si>
    <t>GENO SUPER T-PASTEL MENS JEAN</t>
  </si>
  <si>
    <t>M24J19BA3</t>
  </si>
  <si>
    <t>M24J19BA4</t>
  </si>
  <si>
    <t>M24J19BA5</t>
  </si>
  <si>
    <t>M24J19BA6</t>
  </si>
  <si>
    <t>M24J19BA7</t>
  </si>
  <si>
    <t>GENO SUPER T- BRIGHTS MENS JN</t>
  </si>
  <si>
    <t>M24J19BA8</t>
  </si>
  <si>
    <t>M24J19BA9</t>
  </si>
  <si>
    <t>M24J19BB0</t>
  </si>
  <si>
    <t>M24J19BB1</t>
  </si>
  <si>
    <t>M24J19BB2</t>
  </si>
  <si>
    <t>M24J19BB3</t>
  </si>
  <si>
    <t>M24J19BB4</t>
  </si>
  <si>
    <t>M24J19BB5</t>
  </si>
  <si>
    <t>GENO SUPER T- CORE MENS JEAN</t>
  </si>
  <si>
    <t>M24J19BB6</t>
  </si>
  <si>
    <t>M24J19BB7</t>
  </si>
  <si>
    <t>M24J19BB8</t>
  </si>
  <si>
    <t>M24J19BS4</t>
  </si>
  <si>
    <t>GENO STRING INDIGO SUPER T</t>
  </si>
  <si>
    <t>M24J19BT8</t>
  </si>
  <si>
    <t>GENO BLUESTONE/RED SUPER T</t>
  </si>
  <si>
    <t>M24J19CR3</t>
  </si>
  <si>
    <t>GENO SLIM STRAIGHT ORIGINALS</t>
  </si>
  <si>
    <t>M24J19CU9</t>
  </si>
  <si>
    <t>GENO INDIGO GREY BIG QT</t>
  </si>
  <si>
    <t>M24J19CV3</t>
  </si>
  <si>
    <t>GENO ENGINEERED SUPER T</t>
  </si>
  <si>
    <t>M24J19CV7</t>
  </si>
  <si>
    <t>GENO CONTRAST ARMY SUPER T</t>
  </si>
  <si>
    <t>M24J19CV8</t>
  </si>
  <si>
    <t>GENO CONTRAST BROWN SUPER T</t>
  </si>
  <si>
    <t>M24J19E98</t>
  </si>
  <si>
    <t>GENO EMBROIDERED MEN JEAN</t>
  </si>
  <si>
    <t>M24J19EG3</t>
  </si>
  <si>
    <t>GENO SLIM STRAIGHT SPT OLV/GRY</t>
  </si>
  <si>
    <t>M24J19EG4</t>
  </si>
  <si>
    <t>GENO SLM STRGHT SPT RD ORNG/MD</t>
  </si>
  <si>
    <t>M24J19GJ4</t>
  </si>
  <si>
    <t>GENO SLIM STRAIGHT NOUVEAU SPT</t>
  </si>
  <si>
    <t>M24J19GN0</t>
  </si>
  <si>
    <t>GENO SLIM STRGHT GRY RVRSE DYE</t>
  </si>
  <si>
    <t>M24J19H54</t>
  </si>
  <si>
    <t>GENO ARMY GREEN CORNELLI STRAI</t>
  </si>
  <si>
    <t>M24J19J30</t>
  </si>
  <si>
    <t>GENO HANDSTITCH LOGO SLIM LEG</t>
  </si>
  <si>
    <t>M24J19JD9</t>
  </si>
  <si>
    <t>M24J19K30</t>
  </si>
  <si>
    <t>GENO BLACK CORNELLI SLIM MN JN</t>
  </si>
  <si>
    <t>M24J19L18</t>
  </si>
  <si>
    <t>GHOST LOGO GENO SLIM</t>
  </si>
  <si>
    <t>M24J19NIS1</t>
  </si>
  <si>
    <t>GENO SLIM 34 IN LIVED IN</t>
  </si>
  <si>
    <t>M24J19NKU2</t>
  </si>
  <si>
    <t>M24J19NLJ3</t>
  </si>
  <si>
    <t>GENO SLIM HALF &amp; HALF</t>
  </si>
  <si>
    <t>M24J19NLQ3</t>
  </si>
  <si>
    <t>GENO RELAXED SLIM ROAD WARRIOR</t>
  </si>
  <si>
    <t>BSTD</t>
  </si>
  <si>
    <t>BSTD ROUGH ROAD</t>
  </si>
  <si>
    <t>M24J19NQM2</t>
  </si>
  <si>
    <t>1/2 GENO NO FLAP SE</t>
  </si>
  <si>
    <t>M24J19OGG0</t>
  </si>
  <si>
    <t>GENO SLIM STRAIGHT SPR T</t>
  </si>
  <si>
    <t>M24J19OGG1</t>
  </si>
  <si>
    <t>GENO SLIM STRAIGHT SPT TAN/GRY</t>
  </si>
  <si>
    <t>M24J19SGJ4</t>
  </si>
  <si>
    <t>M24J60BQT1</t>
  </si>
  <si>
    <t>M24J60CQ9</t>
  </si>
  <si>
    <t>ROCCO BLUE BROWN SUPER T</t>
  </si>
  <si>
    <t>M24J60ES2</t>
  </si>
  <si>
    <t>ROCCO SLIM INDIGO RATTLESNAKE</t>
  </si>
  <si>
    <t>M24J60NLJ3</t>
  </si>
  <si>
    <t>ROCCO SLIM HALF &amp; HALF</t>
  </si>
  <si>
    <t>M24J60OGG0</t>
  </si>
  <si>
    <t>ROCCO SLIM SPT GOLD/ORANGE</t>
  </si>
  <si>
    <t>M24J60P05</t>
  </si>
  <si>
    <t>ROCCO SKINNY MENS JEAN</t>
  </si>
  <si>
    <t>M24J60P90</t>
  </si>
  <si>
    <t>ROCCO SUPER T SLIM MENS JEAN</t>
  </si>
  <si>
    <t>M24J60R54</t>
  </si>
  <si>
    <t>ROCCO SUPER T SKINNY MENS JEAN</t>
  </si>
  <si>
    <t>M24J60R98</t>
  </si>
  <si>
    <t>M24L82F66</t>
  </si>
  <si>
    <t>JACKSON SPT SLIM LEG MEN JEAN</t>
  </si>
  <si>
    <t>M24N49J20</t>
  </si>
  <si>
    <t>VINCE SPT CARROT FIT MEN JEAN</t>
  </si>
  <si>
    <t>M24N75K31</t>
  </si>
  <si>
    <t>AL MELLOW YELLOW SKINNY MEN'S</t>
  </si>
  <si>
    <t>M24P30M53</t>
  </si>
  <si>
    <t>DANNY PHOENIX BOOT CUT MN JEAN</t>
  </si>
  <si>
    <t>PBM</t>
  </si>
  <si>
    <t>PBM BLUE GRASS</t>
  </si>
  <si>
    <t>M24P31M53</t>
  </si>
  <si>
    <t>BOBBY PHOENIX STRAIGHT MENS JE</t>
  </si>
  <si>
    <t>QDM</t>
  </si>
  <si>
    <t>QDM WESTWOOD</t>
  </si>
  <si>
    <t>M24P32M53</t>
  </si>
  <si>
    <t>GENO PHOENIX SLIM MENS JEANS</t>
  </si>
  <si>
    <t>RHL</t>
  </si>
  <si>
    <t>RHL NO MANS LAND</t>
  </si>
  <si>
    <t>M24P58M53</t>
  </si>
  <si>
    <t>M24P60M65</t>
  </si>
  <si>
    <t>RICKY SNAKE EYES STRAIGHT MENS</t>
  </si>
  <si>
    <t>TAL</t>
  </si>
  <si>
    <t>TAL HOLLOW POINT</t>
  </si>
  <si>
    <t>M24P61M65</t>
  </si>
  <si>
    <t>BOBBY SNAKE EYES STRAIGHT MN J</t>
  </si>
  <si>
    <t>M24P62M65</t>
  </si>
  <si>
    <t>GENO SNAKE EYES SLIM MN JEANS</t>
  </si>
  <si>
    <t>M24P63M65</t>
  </si>
  <si>
    <t>ROCCO SNAKE EYES SKINNY MN JEA</t>
  </si>
  <si>
    <t>PAL</t>
  </si>
  <si>
    <t>PAL AUSTIN</t>
  </si>
  <si>
    <t>RSM</t>
  </si>
  <si>
    <t>RSM HANGMHIGH</t>
  </si>
  <si>
    <t>M24P92M65</t>
  </si>
  <si>
    <t>DALTRY SNAKE EYES RETRO JACKET</t>
  </si>
  <si>
    <t>M24P95M65</t>
  </si>
  <si>
    <t>DANNY SNAKE EYES BOOT CUT MN J</t>
  </si>
  <si>
    <t>M24Q12R11</t>
  </si>
  <si>
    <t>BOBBY 1971  MENS JEAN</t>
  </si>
  <si>
    <t>M24Q12Z88</t>
  </si>
  <si>
    <t>BOBBY 1971 MENS JEAN</t>
  </si>
  <si>
    <t>XZM</t>
  </si>
  <si>
    <t>XZM SEPULVEDA</t>
  </si>
  <si>
    <t>YAL</t>
  </si>
  <si>
    <t>YAL CHALET</t>
  </si>
  <si>
    <t>M24Q13R11</t>
  </si>
  <si>
    <t>ROCCO 1971 MENS JEAN</t>
  </si>
  <si>
    <t>M24Q13Z88</t>
  </si>
  <si>
    <t>M24R05M65</t>
  </si>
  <si>
    <t>DALTRY SNAKE EYES VEST</t>
  </si>
  <si>
    <t>M24R09BN0</t>
  </si>
  <si>
    <t>GENO 1971 JEAN</t>
  </si>
  <si>
    <t>M24R09R11</t>
  </si>
  <si>
    <t>GENO 1971 MENS JEAN</t>
  </si>
  <si>
    <t>M24R09Z88</t>
  </si>
  <si>
    <t>M24R46M53</t>
  </si>
  <si>
    <t>DALTRY SHERPA PHOENIX MENS SHE</t>
  </si>
  <si>
    <t>M24R62GJ4</t>
  </si>
  <si>
    <t>JIMMY SLIM FIT NOUVEAU SPT</t>
  </si>
  <si>
    <t>AZKL</t>
  </si>
  <si>
    <t>AZKL PISTON</t>
  </si>
  <si>
    <t>M24R71M53</t>
  </si>
  <si>
    <t>ROCCO PHOENIX SKINNY MENS JEAN</t>
  </si>
  <si>
    <t>M24T55U49</t>
  </si>
  <si>
    <t>BOBBY INDIGO ZIPPER MEN JEAN</t>
  </si>
  <si>
    <t>M24T56U49</t>
  </si>
  <si>
    <t>ROCCO INDIGO ZIPPER MEN JEAN</t>
  </si>
  <si>
    <t>M24T60U44</t>
  </si>
  <si>
    <t>RICKY BADLANDS MEN JEAN</t>
  </si>
  <si>
    <t>VQ</t>
  </si>
  <si>
    <t>VR</t>
  </si>
  <si>
    <t>CLEAR / INDIGO COATING</t>
  </si>
  <si>
    <t>M24T60U46</t>
  </si>
  <si>
    <t>VS</t>
  </si>
  <si>
    <t>M24T62U44</t>
  </si>
  <si>
    <t>ROCCO BADLANDS MEN JEAN</t>
  </si>
  <si>
    <t>M24T62U46</t>
  </si>
  <si>
    <t>M24T63U44</t>
  </si>
  <si>
    <t>CHAD BADLANDS MOTO JACKET</t>
  </si>
  <si>
    <t>M24T63U46</t>
  </si>
  <si>
    <t>M24T73V40</t>
  </si>
  <si>
    <t>JIMMY 1971 WESTERN JACKET</t>
  </si>
  <si>
    <t>M24T73Z08</t>
  </si>
  <si>
    <t>JIMMY TRUCKER 1971 MENS JACKET</t>
  </si>
  <si>
    <t>M24U08U31</t>
  </si>
  <si>
    <t>GENO CLASSIC GANG DIE MEN JEAN</t>
  </si>
  <si>
    <t>M24U09U31</t>
  </si>
  <si>
    <t>ROCCO CLASSIC GANG DIE MEN JEA</t>
  </si>
  <si>
    <t>M24V90Z88</t>
  </si>
  <si>
    <t>VINNY 1971 MENS JEAN</t>
  </si>
  <si>
    <t>M24V97AX4</t>
  </si>
  <si>
    <t>RICKY ROPE STITCH MENS JEAN</t>
  </si>
  <si>
    <t>ADIM</t>
  </si>
  <si>
    <t>ADIM EXHIBITION</t>
  </si>
  <si>
    <t>M24V97NIR6</t>
  </si>
  <si>
    <t>RICKY STRAIGHT 34 IN ROPE STCH</t>
  </si>
  <si>
    <t>BMID</t>
  </si>
  <si>
    <t>BMID BYPASS</t>
  </si>
  <si>
    <t>M24V97NKI4</t>
  </si>
  <si>
    <t>RICKY STRAIGHT  ROPE STITCH</t>
  </si>
  <si>
    <t>BNPD</t>
  </si>
  <si>
    <t>BNPD CITY TUNNLS</t>
  </si>
  <si>
    <t>M24V98AX4</t>
  </si>
  <si>
    <t>GENO ROPE STITCH MENS JEAN</t>
  </si>
  <si>
    <t>M24V99AX4</t>
  </si>
  <si>
    <t>ROCCO ROPE STITCH MENS JEAN</t>
  </si>
  <si>
    <t>M24W85BN0</t>
  </si>
  <si>
    <t>RICKY 1971 JEAN</t>
  </si>
  <si>
    <t>M24X13BS5</t>
  </si>
  <si>
    <t>BOBBY ZIP ROPE STITCH JEAN</t>
  </si>
  <si>
    <t>Z8M</t>
  </si>
  <si>
    <t>Z8M OVERLAND</t>
  </si>
  <si>
    <t>M24X14BS5</t>
  </si>
  <si>
    <t>ROCCO ZIP ROPE STITCH JEAN</t>
  </si>
  <si>
    <t>TXM HIDE OUT MED</t>
  </si>
  <si>
    <t>M24Y42AX4</t>
  </si>
  <si>
    <t>BILLY ROPE STITCH MENS JEAN</t>
  </si>
  <si>
    <t>M24Y45BN0</t>
  </si>
  <si>
    <t>ROCCO 1971 JEAN</t>
  </si>
  <si>
    <t>V7L</t>
  </si>
  <si>
    <t>V7L SILVERTON</t>
  </si>
  <si>
    <t>M24Y84DP8</t>
  </si>
  <si>
    <t>DANNY TRUCKER JACKET ORIGINALS</t>
  </si>
  <si>
    <t>ACJM</t>
  </si>
  <si>
    <t>ACJM SOUTH HAVEN</t>
  </si>
  <si>
    <t>M24Y84FA5</t>
  </si>
  <si>
    <t>DANNY SLIM FIT TR MOTO CLUB</t>
  </si>
  <si>
    <t>AVXM</t>
  </si>
  <si>
    <t>AVXM TRANSFORMER</t>
  </si>
  <si>
    <t>M24Y84KU2</t>
  </si>
  <si>
    <t>DANNY SLIM JACKET</t>
  </si>
  <si>
    <t>BQDD</t>
  </si>
  <si>
    <t>BQDD DARK ASPEN</t>
  </si>
  <si>
    <t>M24Y84LY4</t>
  </si>
  <si>
    <t>DANNY SLIM HIGH DENSITY JACKET</t>
  </si>
  <si>
    <t>BAIM</t>
  </si>
  <si>
    <t>BAIM UNCAGED</t>
  </si>
  <si>
    <t>M25Q12CS2</t>
  </si>
  <si>
    <t>BOBBY INDIGO 1971 JEAN</t>
  </si>
  <si>
    <t>AUXM</t>
  </si>
  <si>
    <t>AUXM HOME GLORY</t>
  </si>
  <si>
    <t>AUYD</t>
  </si>
  <si>
    <t>AUYD DK WATERS</t>
  </si>
  <si>
    <t>M25Q13CS2</t>
  </si>
  <si>
    <t>ROCCO INDIGO 1971 JEAN</t>
  </si>
  <si>
    <t>M25R09CS2</t>
  </si>
  <si>
    <t>GENO INDIGO 1971 JEAN</t>
  </si>
  <si>
    <t>M25T73CS2</t>
  </si>
  <si>
    <t>JIMMY INDIGO 1971 JACKET</t>
  </si>
  <si>
    <t>M25Y87CS2</t>
  </si>
  <si>
    <t>ANTONIO INDIGO 1971 JEAN</t>
  </si>
  <si>
    <t>M25Z40CS2</t>
  </si>
  <si>
    <t>MARCO INDIGO 1971 JEAN</t>
  </si>
  <si>
    <t>M26Q12CS2</t>
  </si>
  <si>
    <t>BOBBY BLACK 1971 JEAN</t>
  </si>
  <si>
    <t>ADED</t>
  </si>
  <si>
    <t>ADED DK LNCLN WY</t>
  </si>
  <si>
    <t>AUXD</t>
  </si>
  <si>
    <t>AUXD DK HME GLRY</t>
  </si>
  <si>
    <t>M26Q13CS2</t>
  </si>
  <si>
    <t>ROCCO BLACK 1971 JEAN</t>
  </si>
  <si>
    <t>ADAD</t>
  </si>
  <si>
    <t>ADAD DK MASN CTY</t>
  </si>
  <si>
    <t>M26R09CS2</t>
  </si>
  <si>
    <t>GENO BLACK 1971 JEAN</t>
  </si>
  <si>
    <t>M26Y87CS2</t>
  </si>
  <si>
    <t>ANTONIO BLACK 1971 JEAN</t>
  </si>
  <si>
    <t>M26Z40CS2</t>
  </si>
  <si>
    <t>MARCO BLACK 1971 JEAN</t>
  </si>
  <si>
    <t>M27Q12CS2</t>
  </si>
  <si>
    <t>BOBBY 1971 STRETCH OVERDYE</t>
  </si>
  <si>
    <t>ADF BLACK</t>
  </si>
  <si>
    <t>ADF SEAL</t>
  </si>
  <si>
    <t>ADF DESERT SAND</t>
  </si>
  <si>
    <t>ADF CRIMSON</t>
  </si>
  <si>
    <t>M27Q13CS2</t>
  </si>
  <si>
    <t>ROCCO 1971 STRETCH OVERDYE</t>
  </si>
  <si>
    <t>M27R09CS2</t>
  </si>
  <si>
    <t>GENO 1971 STRETCH OVERDYE</t>
  </si>
  <si>
    <t>M27Y87CS2</t>
  </si>
  <si>
    <t>ANTONIO 1971 STRETCH OVERDYE</t>
  </si>
  <si>
    <t>M27Z40CS2</t>
  </si>
  <si>
    <t>MARCO 1971 STRETCH OVERDYE</t>
  </si>
  <si>
    <t>M29A173DH7</t>
  </si>
  <si>
    <t>ROCCO 50S GROUP SLIM JEAN</t>
  </si>
  <si>
    <t>ADBM</t>
  </si>
  <si>
    <t>ADBM DILLON</t>
  </si>
  <si>
    <t>ADDD</t>
  </si>
  <si>
    <t>ADDD RAILROAD RN</t>
  </si>
  <si>
    <t>AUVM</t>
  </si>
  <si>
    <t>AUVM COLLDED IND</t>
  </si>
  <si>
    <t>AUWM</t>
  </si>
  <si>
    <t>AUWM MDNGHT TRAN</t>
  </si>
  <si>
    <t>M29V38DH7</t>
  </si>
  <si>
    <t>RICKY 50S GROUP JEAN</t>
  </si>
  <si>
    <t>M29V39DH7</t>
  </si>
  <si>
    <t>GENO 50S GROUP SLIM JEAN</t>
  </si>
  <si>
    <t>AUWD</t>
  </si>
  <si>
    <t>AUWD MDNGHT TRIN</t>
  </si>
  <si>
    <t>M29V40DH7</t>
  </si>
  <si>
    <t>VINNY 50S GROUP JEAN</t>
  </si>
  <si>
    <t>M29V41DH7</t>
  </si>
  <si>
    <t>ZIP FRONT 50S GROUP JACKET</t>
  </si>
  <si>
    <t>M29Y43DH7</t>
  </si>
  <si>
    <t>JACK 50S GROUP JEAN</t>
  </si>
  <si>
    <t>M29Z41DH7</t>
  </si>
  <si>
    <t>MARCO 50S GROUP JEAN</t>
  </si>
  <si>
    <t>M2EA605IR3</t>
  </si>
  <si>
    <t>WEEKENDER CARGO SHORT OVRDYE</t>
  </si>
  <si>
    <t>BLC RAVEN</t>
  </si>
  <si>
    <t>BLC SANDSTONE</t>
  </si>
  <si>
    <t>BLC CEDAR GREEN</t>
  </si>
  <si>
    <t>BLC FLINT STONE</t>
  </si>
  <si>
    <t>M2EA606IR3</t>
  </si>
  <si>
    <t>WEEKENDER PANT CARGO OVERDYE</t>
  </si>
  <si>
    <t>M2F800TSM</t>
  </si>
  <si>
    <t>STRAIGHT NATURAL SN</t>
  </si>
  <si>
    <t>BKYM</t>
  </si>
  <si>
    <t>BKYM SAVAGE SALN</t>
  </si>
  <si>
    <t>M2F859EY4</t>
  </si>
  <si>
    <t>STRAIGHT  WFLPS MEGA T NAT</t>
  </si>
  <si>
    <t>BZHD</t>
  </si>
  <si>
    <t>BZHD HIDDN GROVE</t>
  </si>
  <si>
    <t>M2F859TSM</t>
  </si>
  <si>
    <t>BASIC STRAIGHT  WFLPS NATURAL</t>
  </si>
  <si>
    <t>M2F859Y9M</t>
  </si>
  <si>
    <t>STRAIGHT  WFLPS RED ORANGE</t>
  </si>
  <si>
    <t>M2FE08ZY9M</t>
  </si>
  <si>
    <t>BASIC SLIM WFLPS RED ORG</t>
  </si>
  <si>
    <t>BOQD</t>
  </si>
  <si>
    <t>BOQD LOST LAGOON</t>
  </si>
  <si>
    <t>M2FH54ZTSM</t>
  </si>
  <si>
    <t>SKINNY WFLPS BASIC NATURAL</t>
  </si>
  <si>
    <t>M2UBV92VR</t>
  </si>
  <si>
    <t>L/S WESTERN SHIRT</t>
  </si>
  <si>
    <t>2S GREY VENICE</t>
  </si>
  <si>
    <t>M2VA756VR</t>
  </si>
  <si>
    <t>L/S WORK WEAR SHIRT</t>
  </si>
  <si>
    <t>2S RUST</t>
  </si>
  <si>
    <t>M2WA758EG</t>
  </si>
  <si>
    <t>ACID WASH L/S BTN DWN CARDIGAN</t>
  </si>
  <si>
    <t>BQJ BLACK</t>
  </si>
  <si>
    <t>BQJ NAVY</t>
  </si>
  <si>
    <t>M2ZA350NE0</t>
  </si>
  <si>
    <t>BQCD</t>
  </si>
  <si>
    <t>BQCD DEEP MARINA</t>
  </si>
  <si>
    <t>BYHL</t>
  </si>
  <si>
    <t>BYHL CLEAR WATRS</t>
  </si>
  <si>
    <t>M2ZA806IK1</t>
  </si>
  <si>
    <t>RUNNER SWEATPANT</t>
  </si>
  <si>
    <t>INDGO W/LGHT WSH</t>
  </si>
  <si>
    <t>M2ZA806KI2</t>
  </si>
  <si>
    <t>RUNNER RELAXED INDIGO</t>
  </si>
  <si>
    <t>BPY INDIGO</t>
  </si>
  <si>
    <t>M2ZA806QX7</t>
  </si>
  <si>
    <t>CGML</t>
  </si>
  <si>
    <t>CGML ON EDGE</t>
  </si>
  <si>
    <t>M2ZA886KI2</t>
  </si>
  <si>
    <t>RUNNER JACKET INDIGO RUNNER</t>
  </si>
  <si>
    <t>M2ZB088QW7</t>
  </si>
  <si>
    <t>CFWM</t>
  </si>
  <si>
    <t>CFWM DESRT FLOOR</t>
  </si>
  <si>
    <t>M2ZB151NF4</t>
  </si>
  <si>
    <t>ZIP-UP HOODIE</t>
  </si>
  <si>
    <t>M2ZJ19NND9</t>
  </si>
  <si>
    <t>M2ZR62NND9</t>
  </si>
  <si>
    <t>ACTIVE JEAN JIMMY TRUCKER JKT</t>
  </si>
  <si>
    <t>M2ZY84ND9</t>
  </si>
  <si>
    <t>ACTIVE JEAN DANNY TRUCKER JKT</t>
  </si>
  <si>
    <t>M30859EG</t>
  </si>
  <si>
    <t>RICKY STRAIGHT MEN PANT</t>
  </si>
  <si>
    <t>HU LT BLACK</t>
  </si>
  <si>
    <t>HU LT BROWN</t>
  </si>
  <si>
    <t>PQ EMERALD</t>
  </si>
  <si>
    <t>HU ARMY GREEN</t>
  </si>
  <si>
    <t>PQ EGGPLANT</t>
  </si>
  <si>
    <t>PQ GOLDEN POPPY</t>
  </si>
  <si>
    <t>M379Z97VR</t>
  </si>
  <si>
    <t>TAILORED PONTE BLAZER</t>
  </si>
  <si>
    <t>M3E859NNP2</t>
  </si>
  <si>
    <t>RICKY STRGHT  DARK CAST DENIM</t>
  </si>
  <si>
    <t>BSLL</t>
  </si>
  <si>
    <t>BSLL CITY RUINS</t>
  </si>
  <si>
    <t>M3EA802IR4</t>
  </si>
  <si>
    <t>KURT SKINNY  DARK CAST DENIM</t>
  </si>
  <si>
    <t>BMFD</t>
  </si>
  <si>
    <t>BMFD IRON CAST</t>
  </si>
  <si>
    <t>BMGM</t>
  </si>
  <si>
    <t>BMGM CITY BLOCK</t>
  </si>
  <si>
    <t>BRMM</t>
  </si>
  <si>
    <t>BRMM MDNT EXPRSS</t>
  </si>
  <si>
    <t>BYDL</t>
  </si>
  <si>
    <t>BYDL LIGHT HORZN</t>
  </si>
  <si>
    <t>BZCL</t>
  </si>
  <si>
    <t>BZCL STONEWORK</t>
  </si>
  <si>
    <t>BZDM</t>
  </si>
  <si>
    <t>BZDM STONEWORK</t>
  </si>
  <si>
    <t>M3EA897IR4</t>
  </si>
  <si>
    <t>GENO W/FLP SLM DK CST RNGD</t>
  </si>
  <si>
    <t>M3EJ19NLQ2</t>
  </si>
  <si>
    <t>GENO RELAXED DRK CAST SPR T</t>
  </si>
  <si>
    <t>BSMM</t>
  </si>
  <si>
    <t>BSMM REBEL NGHTS</t>
  </si>
  <si>
    <t>M3ET73IR4</t>
  </si>
  <si>
    <t>DANNY SLIM JACKET DRK CST RNGD</t>
  </si>
  <si>
    <t>M3F858OMW</t>
  </si>
  <si>
    <t>BOOTCUT WFLPS BASIC OMW</t>
  </si>
  <si>
    <t>M3F859EY4</t>
  </si>
  <si>
    <t>STRAIGHT WFLPS MEGA T NATURAL</t>
  </si>
  <si>
    <t>BZZD</t>
  </si>
  <si>
    <t>BZZD BK HIDN GRV</t>
  </si>
  <si>
    <t>M3F859OMW</t>
  </si>
  <si>
    <t>STRAIGHT WFLPS BASIC BLACK OMW</t>
  </si>
  <si>
    <t>AQAD</t>
  </si>
  <si>
    <t>AQAD REDFLD PRK</t>
  </si>
  <si>
    <t>M3F859TSM</t>
  </si>
  <si>
    <t>CBYD</t>
  </si>
  <si>
    <t>CBYD COALWOOD RD</t>
  </si>
  <si>
    <t>M3FE08ZTSM</t>
  </si>
  <si>
    <t>SLIM WFLPS NATURAL SN</t>
  </si>
  <si>
    <t>BZUD</t>
  </si>
  <si>
    <t>BZUD COALWD BLK</t>
  </si>
  <si>
    <t>M3RA315TT</t>
  </si>
  <si>
    <t>TRI NEEDLE WESTERN L/S WOVEN</t>
  </si>
  <si>
    <t>PEACOCK</t>
  </si>
  <si>
    <t>M3RA805KI0</t>
  </si>
  <si>
    <t>M3UBV92VR</t>
  </si>
  <si>
    <t>M3VA756VR</t>
  </si>
  <si>
    <t>2S SAFFRON</t>
  </si>
  <si>
    <t>M3WA350LL9</t>
  </si>
  <si>
    <t>ROCCO SLIM WHITE ASPEN RENGDE</t>
  </si>
  <si>
    <t>BRXL</t>
  </si>
  <si>
    <t>BRXL WHITE LGHTS</t>
  </si>
  <si>
    <t>M3X859NLM0</t>
  </si>
  <si>
    <t>RICKY STRAIGHT GREY ASPEN</t>
  </si>
  <si>
    <t>BRYM</t>
  </si>
  <si>
    <t>BRYM GREY LIGHTS</t>
  </si>
  <si>
    <t>M3XA799LM0</t>
  </si>
  <si>
    <t>DEAN RELAXED GREY ASPEN</t>
  </si>
  <si>
    <t>M4A841HHH1</t>
  </si>
  <si>
    <t>ISSAC BIG T CARGO SHORT</t>
  </si>
  <si>
    <t>BDE PAC PALM W GY</t>
  </si>
  <si>
    <t>M4DA350LO1</t>
  </si>
  <si>
    <t>BSXD BLACK</t>
  </si>
  <si>
    <t>M4DA799LX7</t>
  </si>
  <si>
    <t>M4E858HF1</t>
  </si>
  <si>
    <t>BOOTCUT WFLP NAT ARROWHEAD</t>
  </si>
  <si>
    <t>AQKM</t>
  </si>
  <si>
    <t>AQKM OLD LANTERN</t>
  </si>
  <si>
    <t>M4E859HF0</t>
  </si>
  <si>
    <t>STRAIGHT WFLP GOLD ARROWHEAD</t>
  </si>
  <si>
    <t>APOL</t>
  </si>
  <si>
    <t>APOL ABNDNED RD</t>
  </si>
  <si>
    <t>M4E859HF1</t>
  </si>
  <si>
    <t>STRAIGHT WFLP NATURAL ARRWHD</t>
  </si>
  <si>
    <t>AZYM</t>
  </si>
  <si>
    <t>AZYM WILD WRRIOR</t>
  </si>
  <si>
    <t>M4EE08ZFJ5</t>
  </si>
  <si>
    <t>SLIM  WFLPS BROWN &amp; RED BAS</t>
  </si>
  <si>
    <t>M4EE08ZHF0</t>
  </si>
  <si>
    <t>SLIM WFLP GOLD ARROWHEAD</t>
  </si>
  <si>
    <t>UED</t>
  </si>
  <si>
    <t>UED TWISTED TORNS</t>
  </si>
  <si>
    <t>M4PA426IK</t>
  </si>
  <si>
    <t>LINEN BLAZER</t>
  </si>
  <si>
    <t>09 WASHED BLACK</t>
  </si>
  <si>
    <t>M4PA806LP4</t>
  </si>
  <si>
    <t>RUNNER RELAXED PRINTED CMO RNR</t>
  </si>
  <si>
    <t>BUA PRINTED CAMO</t>
  </si>
  <si>
    <t>M4TA746IB2</t>
  </si>
  <si>
    <t>S/S POCKET VNECK KNIT</t>
  </si>
  <si>
    <t>2S FLINSTONE</t>
  </si>
  <si>
    <t>M4UBV92VR</t>
  </si>
  <si>
    <t>2S SPRUCE GREEN</t>
  </si>
  <si>
    <t>M4WA760VR</t>
  </si>
  <si>
    <t>CAMO MILITARY JACKET</t>
  </si>
  <si>
    <t>BAW FACTORY CAMO</t>
  </si>
  <si>
    <t>M50A209FM6</t>
  </si>
  <si>
    <t>RANDY CHAMBRAY WORKWEAR SHIRT</t>
  </si>
  <si>
    <t>BAJL</t>
  </si>
  <si>
    <t>BAJL PLYA DL REY</t>
  </si>
  <si>
    <t>M50A805KI0</t>
  </si>
  <si>
    <t>JAKE WESTERN SHIRT CHAMBRAY</t>
  </si>
  <si>
    <t>BNJL</t>
  </si>
  <si>
    <t>BNJL CITY FOG</t>
  </si>
  <si>
    <t>M53A065FL0</t>
  </si>
  <si>
    <t>ROCCO SLIM TAILORED- OVRDY TWL</t>
  </si>
  <si>
    <t>CHARCOAL AVA</t>
  </si>
  <si>
    <t>AVA CEMENT</t>
  </si>
  <si>
    <t>AVA VINE</t>
  </si>
  <si>
    <t>M53A739IS7</t>
  </si>
  <si>
    <t>ROCCO SLIM OVERDYE TROUSER</t>
  </si>
  <si>
    <t>BMU BLACK</t>
  </si>
  <si>
    <t>BMU CEDAR GREEN</t>
  </si>
  <si>
    <t>BMU DIME</t>
  </si>
  <si>
    <t>M54Y59FN3</t>
  </si>
  <si>
    <t>DENIM COMMANDER BIG T SHORT</t>
  </si>
  <si>
    <t>BAAD</t>
  </si>
  <si>
    <t>BAAD MARIN LAKE</t>
  </si>
  <si>
    <t>M55A349GQ9</t>
  </si>
  <si>
    <t>BOBBY STRAIGHT LEG HORIZON</t>
  </si>
  <si>
    <t>AZPL</t>
  </si>
  <si>
    <t>AZPL OCEAN WAVES</t>
  </si>
  <si>
    <t>M55A349IF5</t>
  </si>
  <si>
    <t>BFVL</t>
  </si>
  <si>
    <t>BFVL PENINSULA</t>
  </si>
  <si>
    <t>M55A350IF5</t>
  </si>
  <si>
    <t>ROCCO SLIM RENEGADE HORIZON</t>
  </si>
  <si>
    <t>BFXM</t>
  </si>
  <si>
    <t>BFXM SEA GLASS</t>
  </si>
  <si>
    <t>M55A365IF6</t>
  </si>
  <si>
    <t>GENO SLIM STRIAGHT SHORT</t>
  </si>
  <si>
    <t>BGDL</t>
  </si>
  <si>
    <t>BGDL THITIAN SND</t>
  </si>
  <si>
    <t>M55A473GQ9</t>
  </si>
  <si>
    <t>AZQL</t>
  </si>
  <si>
    <t>AZQL BLUE CAPS</t>
  </si>
  <si>
    <t>M55A473IF5</t>
  </si>
  <si>
    <t>GENO SLIM STRAIGHT RNGDE HRIZN</t>
  </si>
  <si>
    <t>M55J19OIF5</t>
  </si>
  <si>
    <t>GENO SLIM STRAIGHT HORIZON</t>
  </si>
  <si>
    <t>M55J19OIF6</t>
  </si>
  <si>
    <t>GENO SLIM STRAIGHT SUPER T</t>
  </si>
  <si>
    <t>BFZM</t>
  </si>
  <si>
    <t>BFZM PACIFIC PLM</t>
  </si>
  <si>
    <t>M55T73GQ9</t>
  </si>
  <si>
    <t>JIMMY TRUCKER HORIZON RENEGADE</t>
  </si>
  <si>
    <t>AZRL</t>
  </si>
  <si>
    <t>AZRL BACKBEAT</t>
  </si>
  <si>
    <t>M58800FC6</t>
  </si>
  <si>
    <t>BOBBY STRAIGHT JEAN</t>
  </si>
  <si>
    <t>M58800TS</t>
  </si>
  <si>
    <t>BOBBY STRAIGHT MEN JEAN</t>
  </si>
  <si>
    <t>EP CHARLESTON</t>
  </si>
  <si>
    <t>M58858H74</t>
  </si>
  <si>
    <t>BILLY VINTAGE BOOTCUT MEN'S JE</t>
  </si>
  <si>
    <t>KT CHARCOAL</t>
  </si>
  <si>
    <t>M58859AQ9</t>
  </si>
  <si>
    <t>RICKY SUPER T-OVERDYE MEN JEAN</t>
  </si>
  <si>
    <t>ZB GREY</t>
  </si>
  <si>
    <t>ZB BROWN</t>
  </si>
  <si>
    <t>ZB SAND</t>
  </si>
  <si>
    <t>M58859CA4</t>
  </si>
  <si>
    <t>RICKY SOCAL OVERDYE SUPER T</t>
  </si>
  <si>
    <t>M58859CD1</t>
  </si>
  <si>
    <t>RICKY CONTRAST BLACK SUPER T</t>
  </si>
  <si>
    <t>M58859CW5</t>
  </si>
  <si>
    <t>RICKY BIG T OVERDYE JEAN</t>
  </si>
  <si>
    <t>ABU SEAL</t>
  </si>
  <si>
    <t>ABU DESERT SAND</t>
  </si>
  <si>
    <t>ABU OLIVE</t>
  </si>
  <si>
    <t>M58859FC6</t>
  </si>
  <si>
    <t>RICKY STRAIGHT JEAN</t>
  </si>
  <si>
    <t>M58859H74</t>
  </si>
  <si>
    <t>RICKY STRAIGHT VINTAGE MEN'S J</t>
  </si>
  <si>
    <t>KT SAGE</t>
  </si>
  <si>
    <t>M58859M19</t>
  </si>
  <si>
    <t>PE SMOKE</t>
  </si>
  <si>
    <t>PE KHAKI</t>
  </si>
  <si>
    <t>M58859NBT2</t>
  </si>
  <si>
    <t>RICKY SUPER T STRAIGHT MEN JEA</t>
  </si>
  <si>
    <t>FM BLACK</t>
  </si>
  <si>
    <t>M58859NLO3</t>
  </si>
  <si>
    <t>RICKY STRAIGHT CLR COATED SHNE</t>
  </si>
  <si>
    <t>BSO BLACK</t>
  </si>
  <si>
    <t>BSO GREY</t>
  </si>
  <si>
    <t>BSO BROWN</t>
  </si>
  <si>
    <t>BSO OLIVE</t>
  </si>
  <si>
    <t>M58859NMU9</t>
  </si>
  <si>
    <t>M58859QD</t>
  </si>
  <si>
    <t>RICKY WHITE NATURAL MEN JEAN</t>
  </si>
  <si>
    <t>FJ OPTIC RINSE WHITE</t>
  </si>
  <si>
    <t>M58859TST</t>
  </si>
  <si>
    <t>RICKY STRAIGHT MEN JEAN</t>
  </si>
  <si>
    <t>M58859Y13</t>
  </si>
  <si>
    <t>VT HEATHER GREY</t>
  </si>
  <si>
    <t>VT SAND</t>
  </si>
  <si>
    <t>VT CYPRESS</t>
  </si>
  <si>
    <t>VT ROYAL BLUE</t>
  </si>
  <si>
    <t>VT SEA BLUE</t>
  </si>
  <si>
    <t>VT PINEAPPLE</t>
  </si>
  <si>
    <t>VT FADED CARROT</t>
  </si>
  <si>
    <t>M58861M19</t>
  </si>
  <si>
    <t>M58B088NA6</t>
  </si>
  <si>
    <t>BXYM</t>
  </si>
  <si>
    <t>BXYM CSCDE MRBLE</t>
  </si>
  <si>
    <t>M58C078MU9</t>
  </si>
  <si>
    <t>RICKY STRAIGHT SHORT CORE</t>
  </si>
  <si>
    <t>M58C126QW9</t>
  </si>
  <si>
    <t>1/2 RICKY NO FLAP BIG T SHORT</t>
  </si>
  <si>
    <t>CHB DRY RIVER</t>
  </si>
  <si>
    <t>CHB TOURMALINE</t>
  </si>
  <si>
    <t>CHB CARNELIAN</t>
  </si>
  <si>
    <t>CHB SUNLIGHT</t>
  </si>
  <si>
    <t>M58E08M19</t>
  </si>
  <si>
    <t>JACK SUPER T SLIM MENS JEAN</t>
  </si>
  <si>
    <t>PX SAGE</t>
  </si>
  <si>
    <t>M58E08NMU9</t>
  </si>
  <si>
    <t>GENO W FLAP SLIM CORE</t>
  </si>
  <si>
    <t>M58J19AQ9</t>
  </si>
  <si>
    <t>GENO SUPER T-OVERDYE MEN JEAN</t>
  </si>
  <si>
    <t>M58J19CD1</t>
  </si>
  <si>
    <t>GENO CONTRAST BLACK SUPER T</t>
  </si>
  <si>
    <t>M58J19CW5</t>
  </si>
  <si>
    <t>GENO BIG T OVERDYE JEAN</t>
  </si>
  <si>
    <t>M58J19NLO3</t>
  </si>
  <si>
    <t>GENO SLIM COLOR COATED SHINE</t>
  </si>
  <si>
    <t>M58J19NMU9</t>
  </si>
  <si>
    <t>GENO SLIM CORE</t>
  </si>
  <si>
    <t>M58J19SCW5</t>
  </si>
  <si>
    <t>GENO SLIM SHORT OVERDYE</t>
  </si>
  <si>
    <t>ABU BLACK WASHED</t>
  </si>
  <si>
    <t>ABU RED WASHED</t>
  </si>
  <si>
    <t>M58J19Y13</t>
  </si>
  <si>
    <t>VT BLACK</t>
  </si>
  <si>
    <t>VT INK</t>
  </si>
  <si>
    <t>VT MAHOGANY</t>
  </si>
  <si>
    <t>VT SPICE</t>
  </si>
  <si>
    <t>VT AZUL</t>
  </si>
  <si>
    <t>VT PEACOCK</t>
  </si>
  <si>
    <t>VT BLACKBERRY</t>
  </si>
  <si>
    <t>VT PASSION</t>
  </si>
  <si>
    <t>VT MUSTARD</t>
  </si>
  <si>
    <t>M58J60FC6</t>
  </si>
  <si>
    <t>ROCCO SLIM JEAN</t>
  </si>
  <si>
    <t>M58J60NMU9</t>
  </si>
  <si>
    <t>M58L29Y9</t>
  </si>
  <si>
    <t>EDDIE SKINNY BOOT CUT MEN'S JE</t>
  </si>
  <si>
    <t>GL SIX SHOOTER WHITE</t>
  </si>
  <si>
    <t>M58L81H74</t>
  </si>
  <si>
    <t>BENNY TRADITIONAL RISE SLIM VI</t>
  </si>
  <si>
    <t>M58L81M19</t>
  </si>
  <si>
    <t>BENNY SPT TRADITIONAL RISE SLI</t>
  </si>
  <si>
    <t>M58L81TS</t>
  </si>
  <si>
    <t>BENNY TRADITION SLIM MENS JEAN</t>
  </si>
  <si>
    <t>M58L82TS</t>
  </si>
  <si>
    <t>JACKSON TRADITIONAL RISE SLIM</t>
  </si>
  <si>
    <t>M58P31N04</t>
  </si>
  <si>
    <t>M58P32N04</t>
  </si>
  <si>
    <t>GENO PHOENIX SLIM MENS JEAN</t>
  </si>
  <si>
    <t>PX WHEAT</t>
  </si>
  <si>
    <t>M58P58N04</t>
  </si>
  <si>
    <t>M58R62LO3</t>
  </si>
  <si>
    <t>JIMMY WESTERN JKT CLR CTD SHNE</t>
  </si>
  <si>
    <t>M58R62NMU9</t>
  </si>
  <si>
    <t>M58R62Y13</t>
  </si>
  <si>
    <t>JIMMY COLD PRESS MENS JACKET</t>
  </si>
  <si>
    <t>M5C859OIL6</t>
  </si>
  <si>
    <t>RICKY STRAIGHT LEG GREY SPR T</t>
  </si>
  <si>
    <t>BGAM</t>
  </si>
  <si>
    <t>BGAM ROCKY COVE</t>
  </si>
  <si>
    <t>M5CJ19OIL6</t>
  </si>
  <si>
    <t>M5CJ60OIL6</t>
  </si>
  <si>
    <t>ROCCO SLIM GREY SUPER T</t>
  </si>
  <si>
    <t>M5DA372VR</t>
  </si>
  <si>
    <t>LINEN L/S SINGLE POCKET SHIRT</t>
  </si>
  <si>
    <t>M5EA349IP2</t>
  </si>
  <si>
    <t>BOBBY STRAIGHT LEG WATERMARK</t>
  </si>
  <si>
    <t>BGB GRY WTRMK PT</t>
  </si>
  <si>
    <t>M5EA350IP2</t>
  </si>
  <si>
    <t>ROCCO SLIM RENEGADE WATERMARK</t>
  </si>
  <si>
    <t>M5GA434IM8</t>
  </si>
  <si>
    <t>SPECIAL OPS CARGO PANT</t>
  </si>
  <si>
    <t>BGQ OPTIC WHITE</t>
  </si>
  <si>
    <t>M5IA451HK7</t>
  </si>
  <si>
    <t>TRUE STITCHED S/S CREW NCK TEE</t>
  </si>
  <si>
    <t>M5JA581IK</t>
  </si>
  <si>
    <t>S/S SINGLE POCKET SHIRT</t>
  </si>
  <si>
    <t>2S NATURAL</t>
  </si>
  <si>
    <t>M5KB004IK</t>
  </si>
  <si>
    <t>SLUB RIB L/S RAGLAN CREW TEE</t>
  </si>
  <si>
    <t>2S PAVEMENT</t>
  </si>
  <si>
    <t>2S WINTER WHITE</t>
  </si>
  <si>
    <t>2S PETROL BLUE</t>
  </si>
  <si>
    <t>M5KB025KG6</t>
  </si>
  <si>
    <t>L/S PANEL HENLEY</t>
  </si>
  <si>
    <t>09 MARSH</t>
  </si>
  <si>
    <t>09 VAPOR</t>
  </si>
  <si>
    <t>09 MERLOT</t>
  </si>
  <si>
    <t>M5KBX17VY</t>
  </si>
  <si>
    <t>2S RED</t>
  </si>
  <si>
    <t>M5LA580VR</t>
  </si>
  <si>
    <t>2S NAVY IKAT</t>
  </si>
  <si>
    <t>M5MA282VR</t>
  </si>
  <si>
    <t>COTTON LINEN L/S POCKET SHIRT</t>
  </si>
  <si>
    <t>2S WSHD BL STRPD</t>
  </si>
  <si>
    <t>M5NB005KZ9</t>
  </si>
  <si>
    <t>L/S GRAPHIC CREW SWEATSHIRT</t>
  </si>
  <si>
    <t>09 PAVEMENT</t>
  </si>
  <si>
    <t>M5NB006IK</t>
  </si>
  <si>
    <t>SLIM FIT SWEATPANT</t>
  </si>
  <si>
    <t>M5NB018LA0</t>
  </si>
  <si>
    <t>L/S FLEECE HOODIE ACTIVE</t>
  </si>
  <si>
    <t>09 PETROL BLUE</t>
  </si>
  <si>
    <t>09 CRANBERRY</t>
  </si>
  <si>
    <t>M5NBX17VY</t>
  </si>
  <si>
    <t>LINEN PLAID L/S WORK WEAR SHRT</t>
  </si>
  <si>
    <t>2S TIDE BLUE</t>
  </si>
  <si>
    <t>2S ADOBE</t>
  </si>
  <si>
    <t>2S WASHED ORANGE</t>
  </si>
  <si>
    <t>M5PA566IB2</t>
  </si>
  <si>
    <t>STRIPED S/S POCKET TEE W/EMB</t>
  </si>
  <si>
    <t>M5QA451IY6</t>
  </si>
  <si>
    <t>MONDO PEACE S/S CREW NECK TEE</t>
  </si>
  <si>
    <t>09 SAFFRON</t>
  </si>
  <si>
    <t>M5QA451KW1</t>
  </si>
  <si>
    <t>TR CROSSHATCH S/S CRW NCK TEE</t>
  </si>
  <si>
    <t>M5QA451KW4</t>
  </si>
  <si>
    <t>DENIM &amp; GOODS S/S CRW NCK TEE</t>
  </si>
  <si>
    <t>M5QA451KW8</t>
  </si>
  <si>
    <t>SCROLL S/S CREW NECK TEE</t>
  </si>
  <si>
    <t>M5QA451KY1</t>
  </si>
  <si>
    <t>TR DENIM S/S CREW NECK TEE</t>
  </si>
  <si>
    <t>09 CLOVER</t>
  </si>
  <si>
    <t>M5QA451KY2</t>
  </si>
  <si>
    <t>HRSSHOE BRND S/S CREW NECK TEE</t>
  </si>
  <si>
    <t>09 RIVER</t>
  </si>
  <si>
    <t>M5QA451NU5</t>
  </si>
  <si>
    <t>BASEBALL STITCH EMBROIDERY</t>
  </si>
  <si>
    <t>09 SNOW CLOUD</t>
  </si>
  <si>
    <t>M5QA572IK</t>
  </si>
  <si>
    <t>PAISLEY PRINTED S/S POCKET TEE</t>
  </si>
  <si>
    <t>M5QA574IK</t>
  </si>
  <si>
    <t>S/S PRINTED POCKET CREW NECK T</t>
  </si>
  <si>
    <t>2S DK NAVY</t>
  </si>
  <si>
    <t>M5RA585HL0</t>
  </si>
  <si>
    <t>REPAIRED S/S FBALL CREW TEE</t>
  </si>
  <si>
    <t>BLA INDIGO MD WSH</t>
  </si>
  <si>
    <t>M5SA585HL0</t>
  </si>
  <si>
    <t>REPAIRED S/S FBALL TEE</t>
  </si>
  <si>
    <t>M5SB017EG</t>
  </si>
  <si>
    <t>L/S PARKA JACKET</t>
  </si>
  <si>
    <t>DK OLIVE</t>
  </si>
  <si>
    <t>M5TA575HQ6</t>
  </si>
  <si>
    <t>CONTRAST RAGLAN W GRAPHIC PRNT</t>
  </si>
  <si>
    <t>2S GRY/BLU COMBO</t>
  </si>
  <si>
    <t>M5TA576CBO</t>
  </si>
  <si>
    <t>L/S ZIP HOODIE W/EMBROIDERY</t>
  </si>
  <si>
    <t>Y3 WHITE</t>
  </si>
  <si>
    <t>Y3 FADED OLD SGE</t>
  </si>
  <si>
    <t>Y3 FADED NAVY</t>
  </si>
  <si>
    <t>Y3 FADED RED</t>
  </si>
  <si>
    <t>M5UA577HQ8</t>
  </si>
  <si>
    <t>RAGLAN COLOR BLOCK PULLOVER</t>
  </si>
  <si>
    <t>09 WHT/GRY COMBO</t>
  </si>
  <si>
    <t>M5UA577KA5</t>
  </si>
  <si>
    <t>M5UA578KA5</t>
  </si>
  <si>
    <t>COLOR BLOCK SHORT</t>
  </si>
  <si>
    <t>M5VA571HL1</t>
  </si>
  <si>
    <t>TRUE QB S/S FOOTBALL CREW TEE</t>
  </si>
  <si>
    <t>2S BLUE COMBO</t>
  </si>
  <si>
    <t>2S RED COMBO</t>
  </si>
  <si>
    <t>M5VB007EH</t>
  </si>
  <si>
    <t>L/S HERRINGBONE HOODIE</t>
  </si>
  <si>
    <t>2S BLACK MULTI</t>
  </si>
  <si>
    <t>2S BROWN MULTI</t>
  </si>
  <si>
    <t>M5WA566IB2</t>
  </si>
  <si>
    <t>2S GREEN STRIPE</t>
  </si>
  <si>
    <t>M5XA301GK7</t>
  </si>
  <si>
    <t>HEATHER VNECK TEE</t>
  </si>
  <si>
    <t>2S POOL BLUE</t>
  </si>
  <si>
    <t>2S GOLDEN HAZE</t>
  </si>
  <si>
    <t>M5XA423GK7</t>
  </si>
  <si>
    <t>HEATHER S/S CREW NECK TEE</t>
  </si>
  <si>
    <t>2S OATMEAL HTHER</t>
  </si>
  <si>
    <t>M5ZB010VR</t>
  </si>
  <si>
    <t>L/S COLOR BLOCK PCKT SHIRT</t>
  </si>
  <si>
    <t>BUB RIVER MULTI</t>
  </si>
  <si>
    <t>M60B019EG</t>
  </si>
  <si>
    <t>L/S NYLON FLEECE HOODIE</t>
  </si>
  <si>
    <t>2S BLACK/BLACK</t>
  </si>
  <si>
    <t>M60B186EG</t>
  </si>
  <si>
    <t>NYLON FLEECE SWEATPANTS</t>
  </si>
  <si>
    <t>M648036C06</t>
  </si>
  <si>
    <t>S/S CREW TEE MENS' W/TOP STITC</t>
  </si>
  <si>
    <t>M648036C11</t>
  </si>
  <si>
    <t>M648036D81</t>
  </si>
  <si>
    <t>HOT OIL SS CRWNK TEE</t>
  </si>
  <si>
    <t>M6BB010VR</t>
  </si>
  <si>
    <t>L/S SLIM FIT COLOR BLOCK SHIRT</t>
  </si>
  <si>
    <t>BUB/BLACK MULTI</t>
  </si>
  <si>
    <t>M6CB011VR</t>
  </si>
  <si>
    <t>2S CRANBRRY MLTI</t>
  </si>
  <si>
    <t>M6E859NIQ6</t>
  </si>
  <si>
    <t>RCKY STGHT KHKI CLRD DNM SPR T</t>
  </si>
  <si>
    <t>BMA KHK CLDO TRL</t>
  </si>
  <si>
    <t>M6EJ19NIQ6</t>
  </si>
  <si>
    <t>GENO SLIM KHKI CLRD DNM SUPR T</t>
  </si>
  <si>
    <t>M6FA602IS0</t>
  </si>
  <si>
    <t>HERITAGE DENIM SHIRT SLIM FIT</t>
  </si>
  <si>
    <t>BLQM</t>
  </si>
  <si>
    <t>BLQM HOPS &amp; BRLY</t>
  </si>
  <si>
    <t>M6GA753IB2</t>
  </si>
  <si>
    <t>SLUB FLEECE L/S HOODIE</t>
  </si>
  <si>
    <t>09 RAVEN</t>
  </si>
  <si>
    <t>09 BARK</t>
  </si>
  <si>
    <t>M6GA754VR</t>
  </si>
  <si>
    <t>SLUB FLEECE SWEATPANT</t>
  </si>
  <si>
    <t>M6IB013VR</t>
  </si>
  <si>
    <t>L/S MILITARY CAMO SHIRT WOVEN</t>
  </si>
  <si>
    <t>BQU SABLE MULTI</t>
  </si>
  <si>
    <t>M6JB012VR</t>
  </si>
  <si>
    <t>L/S WORKWEAR SHIRT WOVEN</t>
  </si>
  <si>
    <t>M6MB012VR</t>
  </si>
  <si>
    <t>OVERDYE L/S WORK WEAR SHIRT</t>
  </si>
  <si>
    <t>M6RA638VR</t>
  </si>
  <si>
    <t>L/S SUPERFINE SLIM FIT SHIRT</t>
  </si>
  <si>
    <t>M6TA748IB2</t>
  </si>
  <si>
    <t>L/S HENLEY W/ POPLIN CONTRAST</t>
  </si>
  <si>
    <t>09 DIME</t>
  </si>
  <si>
    <t>09 OXBLOOD</t>
  </si>
  <si>
    <t>M6UA756VR</t>
  </si>
  <si>
    <t>2S SANTA FE</t>
  </si>
  <si>
    <t>M6VA638VR</t>
  </si>
  <si>
    <t>L/S SINGLE POCKET SHIRT</t>
  </si>
  <si>
    <t>M6WA765EG</t>
  </si>
  <si>
    <t>L/S ACID WASH CREW NECK SWEATR</t>
  </si>
  <si>
    <t>BQJ OXBLOOD</t>
  </si>
  <si>
    <t>M6XA761IK</t>
  </si>
  <si>
    <t>LAMB RACER JACKET</t>
  </si>
  <si>
    <t>RAVEN</t>
  </si>
  <si>
    <t>M6YB020VR</t>
  </si>
  <si>
    <t>L/S BLACK DOBBY POCKET SHIRT</t>
  </si>
  <si>
    <t>M7DBZ67VR</t>
  </si>
  <si>
    <t>BKZ INDIGO DOBBY</t>
  </si>
  <si>
    <t>M7E859NIQ7</t>
  </si>
  <si>
    <t>RICKY SRGHT OLV CLRD DNM SPR T</t>
  </si>
  <si>
    <t>BMA OLV CLDO TRL</t>
  </si>
  <si>
    <t>M7EJ19NIQ7</t>
  </si>
  <si>
    <t>GENO SLIM OLVE CLR DNM SPR T</t>
  </si>
  <si>
    <t>M7FA351IS8</t>
  </si>
  <si>
    <t>RICKY STRAIGHT 34 IN RGD CRDRY</t>
  </si>
  <si>
    <t>BLF RAVEN</t>
  </si>
  <si>
    <t>BLF TIMBER</t>
  </si>
  <si>
    <t>BLF COFFEE BEAN</t>
  </si>
  <si>
    <t>BLF OXBLOOD</t>
  </si>
  <si>
    <t>M7FA473IS8</t>
  </si>
  <si>
    <t>GENO SLIM RENEGADE CORDROY</t>
  </si>
  <si>
    <t>M7FA995IS8</t>
  </si>
  <si>
    <t>DEAN W FLAP TAPER 34 IN CRDROY</t>
  </si>
  <si>
    <t>M7KB014EG</t>
  </si>
  <si>
    <t>L/S ACID CREW NECK SWEATER</t>
  </si>
  <si>
    <t>BQJ/WASHED BLACK</t>
  </si>
  <si>
    <t>BQJ WSHD PVEMENT</t>
  </si>
  <si>
    <t>M7LA400KG6</t>
  </si>
  <si>
    <t>L/S BASLON VNECK SWEATER</t>
  </si>
  <si>
    <t>BLACK COMBO</t>
  </si>
  <si>
    <t>GREY COMBO</t>
  </si>
  <si>
    <t>BLUE COMBO</t>
  </si>
  <si>
    <t>M7MB022VR</t>
  </si>
  <si>
    <t>LEATHER L/S MILITARY JACKET</t>
  </si>
  <si>
    <t>MERLOT</t>
  </si>
  <si>
    <t>M7NB023VR</t>
  </si>
  <si>
    <t>SOLID LEATHER L/S RACER JACKET</t>
  </si>
  <si>
    <t>M7PB024VR</t>
  </si>
  <si>
    <t>SOLID LEATHER LS BASEBALL JCKT</t>
  </si>
  <si>
    <t>RODEO BROWN</t>
  </si>
  <si>
    <t>M7QA607IS9</t>
  </si>
  <si>
    <t>MILITARY DENIM JACKET</t>
  </si>
  <si>
    <t>BMVD</t>
  </si>
  <si>
    <t>BMVD HOMECOMING</t>
  </si>
  <si>
    <t>M7TA750JO1</t>
  </si>
  <si>
    <t>TERRY L/S CREW NECK W/EMB</t>
  </si>
  <si>
    <t>09 FACTORY GREY</t>
  </si>
  <si>
    <t>09 MIDNIGHT BLUE</t>
  </si>
  <si>
    <t>M7TA752IK</t>
  </si>
  <si>
    <t>TERRY SLIM FIT SWEATPANT</t>
  </si>
  <si>
    <t>M7TA755IB2</t>
  </si>
  <si>
    <t>L/S TERRY CARDIGAN</t>
  </si>
  <si>
    <t>M7TB027LA1</t>
  </si>
  <si>
    <t>L/S CREW  NECK TEE</t>
  </si>
  <si>
    <t>M7UBV92VR</t>
  </si>
  <si>
    <t>2S FAIRMONT</t>
  </si>
  <si>
    <t>M7VA638VR</t>
  </si>
  <si>
    <t>2S FACTORY GREY</t>
  </si>
  <si>
    <t>M7VA765EG</t>
  </si>
  <si>
    <t>L/S WAFFLE CREW NECK SWEATER</t>
  </si>
  <si>
    <t>HEATHER GRY CMBO</t>
  </si>
  <si>
    <t>RIVER</t>
  </si>
  <si>
    <t>M7YB028EG</t>
  </si>
  <si>
    <t>L/S COLOR BLOCK SWEATER</t>
  </si>
  <si>
    <t>RIVER/PVEMNT CMB</t>
  </si>
  <si>
    <t>M8AA452HI3</t>
  </si>
  <si>
    <t>JUMPSTART S/S RINGER CREW TEE</t>
  </si>
  <si>
    <t>M8AA452HI4</t>
  </si>
  <si>
    <t>HOME OF THE BRAVE SS RINGER T</t>
  </si>
  <si>
    <t>M8AA452HJ2</t>
  </si>
  <si>
    <t>1956 RACES S/S CREW NECK</t>
  </si>
  <si>
    <t>M8D859NIQ1</t>
  </si>
  <si>
    <t>RICKY W/FLAP STGHT FRST INDIGO</t>
  </si>
  <si>
    <t>BLYD</t>
  </si>
  <si>
    <t>BLYD FOREST TRAIL</t>
  </si>
  <si>
    <t>BLZM</t>
  </si>
  <si>
    <t>BLZM CEDAR CRUSH</t>
  </si>
  <si>
    <t>M8DJ60NIQ1</t>
  </si>
  <si>
    <t>ROCCO SLIM FOREST INDIGO</t>
  </si>
  <si>
    <t>M8TA751IB2</t>
  </si>
  <si>
    <t>TERRY L/S ZIP UP HOODIE</t>
  </si>
  <si>
    <t>2S MIDNIGHT BLUE</t>
  </si>
  <si>
    <t>2S OXBLOOD</t>
  </si>
  <si>
    <t>M8TB008IK</t>
  </si>
  <si>
    <t>L/S HEATHER ZIP HOODIE</t>
  </si>
  <si>
    <t>2S RIVER</t>
  </si>
  <si>
    <t>M8TB009IK</t>
  </si>
  <si>
    <t>HEATHER WIDE LEG SWEATPANTS</t>
  </si>
  <si>
    <t>M8UA638VR</t>
  </si>
  <si>
    <t>2S RD BLUE DOBBY</t>
  </si>
  <si>
    <t>M8VA756VR</t>
  </si>
  <si>
    <t>L/S WORKWEAR SHIRT</t>
  </si>
  <si>
    <t>2S COFFEE</t>
  </si>
  <si>
    <t>M9ABV92VR</t>
  </si>
  <si>
    <t>2S NAVY DOBBY</t>
  </si>
  <si>
    <t>M9BC150ABR</t>
  </si>
  <si>
    <t>BLEACHED INDIGO S/S SHIRT</t>
  </si>
  <si>
    <t>CGG IND BLEACHED</t>
  </si>
  <si>
    <t>M9BC150CPL</t>
  </si>
  <si>
    <t>TIE DYE BLEACHED INDIGO SHIRT</t>
  </si>
  <si>
    <t>CGF IND W T D PR</t>
  </si>
  <si>
    <t>M9BC150NC2</t>
  </si>
  <si>
    <t>ALL OVER MONOGRAM PRINT SHIRT</t>
  </si>
  <si>
    <t>CGI IND W MONO PR</t>
  </si>
  <si>
    <t>M9DA473IQ9</t>
  </si>
  <si>
    <t>GENO SLIM 34 IN THICK STITCH</t>
  </si>
  <si>
    <t>BLB NAVY</t>
  </si>
  <si>
    <t>M9DA473IR1</t>
  </si>
  <si>
    <t>BLB BLACK</t>
  </si>
  <si>
    <t>M9DA473IR2</t>
  </si>
  <si>
    <t>BLB DIME</t>
  </si>
  <si>
    <t>M9DA473LK6</t>
  </si>
  <si>
    <t>BLB PUMICE</t>
  </si>
  <si>
    <t>M9DT73KB3</t>
  </si>
  <si>
    <t>DANNY SLIM JACKET THICK STITCH</t>
  </si>
  <si>
    <t>M9DT73KB4</t>
  </si>
  <si>
    <t>M9EA804KF4</t>
  </si>
  <si>
    <t>KURT SKINNY SLTE BLU SLVDG</t>
  </si>
  <si>
    <t>BQBM</t>
  </si>
  <si>
    <t>BQBM HERITAGE RD</t>
  </si>
  <si>
    <t>M9FA806IT0</t>
  </si>
  <si>
    <t>RUNNER RELAXED OVERDYE</t>
  </si>
  <si>
    <t>BLH RAVEN</t>
  </si>
  <si>
    <t>BLH FACTORY GREY</t>
  </si>
  <si>
    <t>BLH OXBLOOD</t>
  </si>
  <si>
    <t>M9FA806LP5</t>
  </si>
  <si>
    <t>RUNNER RELAXED COATED</t>
  </si>
  <si>
    <t>BSQ BLACK COATED</t>
  </si>
  <si>
    <t>BUG WHITE COATED</t>
  </si>
  <si>
    <t>M9FA886IK</t>
  </si>
  <si>
    <t>JOG DENIM JACKET</t>
  </si>
  <si>
    <t>M9FA886IT0</t>
  </si>
  <si>
    <t>RUNNER ZIP JACKET</t>
  </si>
  <si>
    <t>M9FB063LP6</t>
  </si>
  <si>
    <t>L/S COATED RUNNER HOODIE</t>
  </si>
  <si>
    <t>M9FB063NQ9</t>
  </si>
  <si>
    <t>09 NAVY</t>
  </si>
  <si>
    <t>09 TRUE RED</t>
  </si>
  <si>
    <t>2S TRUE RED</t>
  </si>
  <si>
    <t>M9FB153NF7</t>
  </si>
  <si>
    <t>BOMBER JACKET</t>
  </si>
  <si>
    <t>IRON</t>
  </si>
  <si>
    <t>M9FB154NF8</t>
  </si>
  <si>
    <t>SLIM SWEATPANT</t>
  </si>
  <si>
    <t>IRON W/BLCH WASH</t>
  </si>
  <si>
    <t>M9FB197NQ9</t>
  </si>
  <si>
    <t>M9FC220NQ9</t>
  </si>
  <si>
    <t>M9IB078NU1</t>
  </si>
  <si>
    <t>1/2 TROOPER CARGO SHORT BIG T</t>
  </si>
  <si>
    <t>CGYL</t>
  </si>
  <si>
    <t>CGYL ROUGH TIDE</t>
  </si>
  <si>
    <t>M9IB203NU1</t>
  </si>
  <si>
    <t>1/2 TROOPER CARGO PANT BIG T</t>
  </si>
  <si>
    <t>M9TA638VR</t>
  </si>
  <si>
    <t>2S STANFORD</t>
  </si>
  <si>
    <t>M9VA757EG</t>
  </si>
  <si>
    <t>SPACE DYE L/S BTN DWN CARDIGAN</t>
  </si>
  <si>
    <t>NAVY / CHARCOAL</t>
  </si>
  <si>
    <t>OXBLOOD / BROWN</t>
  </si>
  <si>
    <t>M9WA638KG6</t>
  </si>
  <si>
    <t>WOVEN SHIRT</t>
  </si>
  <si>
    <t>CBA BLACK PLAID</t>
  </si>
  <si>
    <t>CBA COBALT PLAID</t>
  </si>
  <si>
    <t>M9YA451NS8</t>
  </si>
  <si>
    <t>SYMBOLS S/S GRAPHIC TEE</t>
  </si>
  <si>
    <t>M9YA451OB9</t>
  </si>
  <si>
    <t>ALL OR NOTHING S/S CREW NECK</t>
  </si>
  <si>
    <t>09 ONYX</t>
  </si>
  <si>
    <t>M9YB156EG</t>
  </si>
  <si>
    <t>S/S SINGLE POCKET CREW NECK</t>
  </si>
  <si>
    <t>09 BLACK W/RED OR WHITE TAPE</t>
  </si>
  <si>
    <t>09 WHITE / BLACK TAPE</t>
  </si>
  <si>
    <t>M9YB156NF3</t>
  </si>
  <si>
    <t>BLACK MULTI</t>
  </si>
  <si>
    <t>MABA577NG8</t>
  </si>
  <si>
    <t>RAGLAN CREW NECK SWEATER</t>
  </si>
  <si>
    <t>CBB BLACK W/SUNET</t>
  </si>
  <si>
    <t>MABB168IK</t>
  </si>
  <si>
    <t>CUT-OFF SHORTS</t>
  </si>
  <si>
    <t>CBB BLACK W/SUNSET</t>
  </si>
  <si>
    <t>MAC2J55EL</t>
  </si>
  <si>
    <t>GENO TORQUE TWISTED SLIM MN JN</t>
  </si>
  <si>
    <t>GBDB</t>
  </si>
  <si>
    <t>GBDB BLACK RIDER BLACK</t>
  </si>
  <si>
    <t>MAC2J56EL</t>
  </si>
  <si>
    <t>JACK TORQUE TWISTED SLIM MN JN</t>
  </si>
  <si>
    <t>MAC800EZ4</t>
  </si>
  <si>
    <t>BOBBY STRAIGHT COATED DENIM</t>
  </si>
  <si>
    <t>GBD</t>
  </si>
  <si>
    <t>GBD BLACK RIDER</t>
  </si>
  <si>
    <t>GDD</t>
  </si>
  <si>
    <t>GDD COYOTE TRAIL</t>
  </si>
  <si>
    <t>MAC859EL</t>
  </si>
  <si>
    <t>RICKY BLACK ALL OVER PRINT MEN</t>
  </si>
  <si>
    <t>MAC859EZ4</t>
  </si>
  <si>
    <t>RICKY STRAIGHT COATED DENIM</t>
  </si>
  <si>
    <t>MAC859NMY0</t>
  </si>
  <si>
    <t>COATED LASER RICKY W/ FLAP</t>
  </si>
  <si>
    <t>BWYD GOLD</t>
  </si>
  <si>
    <t>MAC9020EL</t>
  </si>
  <si>
    <t>JOHNNY WESTERN MEN'S JACKET</t>
  </si>
  <si>
    <t>MACA799MY0</t>
  </si>
  <si>
    <t>COATED LASER - DEAN RELAXED</t>
  </si>
  <si>
    <t>BWYD COBALT</t>
  </si>
  <si>
    <t>MACJ19EZ4</t>
  </si>
  <si>
    <t>GENO SLIM STRAIGHT COATED DNIM</t>
  </si>
  <si>
    <t>MACJ60EZ4</t>
  </si>
  <si>
    <t>ROCCO SLIM COATED DENIM</t>
  </si>
  <si>
    <t>MACP31Z9</t>
  </si>
  <si>
    <t>BOBBY PHOENIX STAIGHT MENS JEA</t>
  </si>
  <si>
    <t>SNDB</t>
  </si>
  <si>
    <t>SNDB INVADER BLACK</t>
  </si>
  <si>
    <t>MACR71Z9</t>
  </si>
  <si>
    <t>MAD2859H14</t>
  </si>
  <si>
    <t>RICKY PATCHWORK MEN'S JEAN</t>
  </si>
  <si>
    <t>MAD2J55Y9</t>
  </si>
  <si>
    <t>GENO TORQUE TWISTED SLIM MN JE</t>
  </si>
  <si>
    <t>LNM</t>
  </si>
  <si>
    <t>LNM SARATOGA</t>
  </si>
  <si>
    <t>LUD</t>
  </si>
  <si>
    <t>LUD NIGHT HAWK</t>
  </si>
  <si>
    <t>MDM</t>
  </si>
  <si>
    <t>MDM KANSAS</t>
  </si>
  <si>
    <t>MAD2J56Y9</t>
  </si>
  <si>
    <t>JACK TORQUE TWISTED SLIM MN JE</t>
  </si>
  <si>
    <t>MAD800F83</t>
  </si>
  <si>
    <t>BOBBY STRAIGHT VINTAGE MEN'S J</t>
  </si>
  <si>
    <t>GYM</t>
  </si>
  <si>
    <t>GYM NEBRASKA</t>
  </si>
  <si>
    <t>HCL</t>
  </si>
  <si>
    <t>HCL TEXAS PLAINS</t>
  </si>
  <si>
    <t>HDD</t>
  </si>
  <si>
    <t>HDD WYOMING</t>
  </si>
  <si>
    <t>LJD</t>
  </si>
  <si>
    <t>LJD SHALLOWMAKER</t>
  </si>
  <si>
    <t>NLM</t>
  </si>
  <si>
    <t>NLM DILLINGER</t>
  </si>
  <si>
    <t>MAD858F83</t>
  </si>
  <si>
    <t>BILLY BOOT CUT VINTAGE MEN'S J</t>
  </si>
  <si>
    <t>GWM</t>
  </si>
  <si>
    <t>GWM SHILOH FALLS</t>
  </si>
  <si>
    <t>KKM</t>
  </si>
  <si>
    <t>KKM SAWBUCK</t>
  </si>
  <si>
    <t>LQM</t>
  </si>
  <si>
    <t>LQM MISSOURI</t>
  </si>
  <si>
    <t>MKD  PANDEMONIUM</t>
  </si>
  <si>
    <t>MAD859F83</t>
  </si>
  <si>
    <t>MAD9020F83</t>
  </si>
  <si>
    <t>JOHNNY VINTAGE  WESTERN MEN'S</t>
  </si>
  <si>
    <t>MAD9M53F83</t>
  </si>
  <si>
    <t>JUSTIN TAILORED VINTAGE BLAZER</t>
  </si>
  <si>
    <t>MADJ60F83</t>
  </si>
  <si>
    <t>ROCCO VINTAGE SKINNY MEN'S JEA</t>
  </si>
  <si>
    <t>RRD</t>
  </si>
  <si>
    <t>RRD IRONWORKER</t>
  </si>
  <si>
    <t>MADL81F83</t>
  </si>
  <si>
    <t>BENNY VINTAGE SLIM MEN'S JEAN</t>
  </si>
  <si>
    <t>MADL82F83</t>
  </si>
  <si>
    <t>JACKSON VINTAGE TRAD RISE SLIM</t>
  </si>
  <si>
    <t>MADP22M27</t>
  </si>
  <si>
    <t>ROCCO PONY EXPRESS SKINNY MENS</t>
  </si>
  <si>
    <t>MADP23M27</t>
  </si>
  <si>
    <t>GENO PONY EXPRESS SLIM MENS JE</t>
  </si>
  <si>
    <t>MADP27M27</t>
  </si>
  <si>
    <t>DAVEY PONY EXPRESS PEG FIT MEN</t>
  </si>
  <si>
    <t>MADP91M27</t>
  </si>
  <si>
    <t>KYLE PONY EXPRESS MENS CINCH B</t>
  </si>
  <si>
    <t>MADP93F83</t>
  </si>
  <si>
    <t>LUC VINTAGE FLARE MENS JEANS</t>
  </si>
  <si>
    <t>MAEB166KG6</t>
  </si>
  <si>
    <t>09 HEATHER GREY</t>
  </si>
  <si>
    <t>SEQUOIA</t>
  </si>
  <si>
    <t>09 VICENTE BLUE</t>
  </si>
  <si>
    <t>MAIB181VR</t>
  </si>
  <si>
    <t>SINGLE POCKET PATCHWORK SHIRT</t>
  </si>
  <si>
    <t>CBA INDIGO</t>
  </si>
  <si>
    <t>MAJB011VR</t>
  </si>
  <si>
    <t>2S SIDEWALK</t>
  </si>
  <si>
    <t>2S SEQUOIA</t>
  </si>
  <si>
    <t>2S LUPINE</t>
  </si>
  <si>
    <t>MAPA638VR</t>
  </si>
  <si>
    <t>SINGLE POCKET SHIRT</t>
  </si>
  <si>
    <t>CBA MIDNIGHT</t>
  </si>
  <si>
    <t>MAR840K33</t>
  </si>
  <si>
    <t>ANTHONY CARGO TONAL PANT</t>
  </si>
  <si>
    <t>PY BLACK</t>
  </si>
  <si>
    <t>PY OPTIC WHITE</t>
  </si>
  <si>
    <t>MAR841K33</t>
  </si>
  <si>
    <t>ISAAC CARGO TONAL SHORTS</t>
  </si>
  <si>
    <t>MAR9N89K32</t>
  </si>
  <si>
    <t>DOUBLE BREASTED JACKET - MEN'S</t>
  </si>
  <si>
    <t>MAT2J55EM</t>
  </si>
  <si>
    <t>MAT9020EM</t>
  </si>
  <si>
    <t>MAUB157EG</t>
  </si>
  <si>
    <t>L/S HENLEY SHIRT</t>
  </si>
  <si>
    <t>CAX ONYX</t>
  </si>
  <si>
    <t>CAX SKYLINE</t>
  </si>
  <si>
    <t>MAUB165IK</t>
  </si>
  <si>
    <t>S/S POLO SHIRT</t>
  </si>
  <si>
    <t>CAX SIDEWALK</t>
  </si>
  <si>
    <t>CAX VINCENTE BLU</t>
  </si>
  <si>
    <t>BEACH GLASS</t>
  </si>
  <si>
    <t>CAX SUNSET</t>
  </si>
  <si>
    <t>RUBY RED</t>
  </si>
  <si>
    <t>MAX859CR0</t>
  </si>
  <si>
    <t>BLLL</t>
  </si>
  <si>
    <t>BLLL STONE GATE</t>
  </si>
  <si>
    <t>MAX859EG7</t>
  </si>
  <si>
    <t>RICKY STRGHT SPT STRCH BLK/DKG</t>
  </si>
  <si>
    <t>ASMD</t>
  </si>
  <si>
    <t>ASMD WOUNDED FOX</t>
  </si>
  <si>
    <t>MAX859GY7</t>
  </si>
  <si>
    <t>MAX859NCR0</t>
  </si>
  <si>
    <t>BQID</t>
  </si>
  <si>
    <t>BQID DARK METAL</t>
  </si>
  <si>
    <t>MAX859NIS2</t>
  </si>
  <si>
    <t>RICKY STRAIGHT MODERN MINR</t>
  </si>
  <si>
    <t>BMQD</t>
  </si>
  <si>
    <t>BMQD COLBALT MNR</t>
  </si>
  <si>
    <t>BMRD</t>
  </si>
  <si>
    <t>BMRD MINERAL MNR</t>
  </si>
  <si>
    <t>MAX859NNB1</t>
  </si>
  <si>
    <t>MARBLE WASH SUPER T RICKY W/F</t>
  </si>
  <si>
    <t>BXUM</t>
  </si>
  <si>
    <t>BXUM URBAN BLOCK</t>
  </si>
  <si>
    <t>MAX859NOD2</t>
  </si>
  <si>
    <t>CEEM</t>
  </si>
  <si>
    <t>CEEM GRY SAILAWY</t>
  </si>
  <si>
    <t>MAX859NOH7</t>
  </si>
  <si>
    <t>CEUM</t>
  </si>
  <si>
    <t>CEUM GREY PHANTM</t>
  </si>
  <si>
    <t>MAXA800IS2</t>
  </si>
  <si>
    <t>KURT SKINNY MODERN MINER</t>
  </si>
  <si>
    <t>MAXA904LJ6</t>
  </si>
  <si>
    <t>ROCCO SLIM MOTO JEAN</t>
  </si>
  <si>
    <t>BRZD</t>
  </si>
  <si>
    <t>BRZD DARK RIDER</t>
  </si>
  <si>
    <t>CHMM</t>
  </si>
  <si>
    <t>CHMM GREY RIDER</t>
  </si>
  <si>
    <t>MAXA948OC1</t>
  </si>
  <si>
    <t>CAMD</t>
  </si>
  <si>
    <t>CAMD DSTY NEBULA</t>
  </si>
  <si>
    <t>MAXC080CR0</t>
  </si>
  <si>
    <t>DANNY SLIM JACKET CORE</t>
  </si>
  <si>
    <t>MAXC087CR0</t>
  </si>
  <si>
    <t>RICKY SHORT STRAIGHT CORE</t>
  </si>
  <si>
    <t>MAXC087NA4</t>
  </si>
  <si>
    <t>MAXC088OC1</t>
  </si>
  <si>
    <t>1/2 JIMMY SVLS VEST</t>
  </si>
  <si>
    <t>MAXE08CR0</t>
  </si>
  <si>
    <t>MAXE08NCR0</t>
  </si>
  <si>
    <t>MAXE08NLL3</t>
  </si>
  <si>
    <t>GENO SLIM W FLAP TONE ON TONE</t>
  </si>
  <si>
    <t>BRKD</t>
  </si>
  <si>
    <t>BRKD ONYX HNDSTH</t>
  </si>
  <si>
    <t>MAXE08NLL4</t>
  </si>
  <si>
    <t>GENO SLIM FLAP TONE ON TONE</t>
  </si>
  <si>
    <t>BRLD</t>
  </si>
  <si>
    <t>BRLD DISTRCT LTS</t>
  </si>
  <si>
    <t>MAXE08NNB1</t>
  </si>
  <si>
    <t>MARBLE WASH SUPER T GENO W/F</t>
  </si>
  <si>
    <t>BXWM</t>
  </si>
  <si>
    <t>BXWM DARK SUBWAY</t>
  </si>
  <si>
    <t>MAXH54CR0</t>
  </si>
  <si>
    <t>ZACH CORE SLIM JEAN</t>
  </si>
  <si>
    <t>MAXH54EG7</t>
  </si>
  <si>
    <t>ZACH SLIM SPT STRCH BLK/DK GRY</t>
  </si>
  <si>
    <t>MAXH54EL</t>
  </si>
  <si>
    <t>ZACH BLACK STRETCH MEN'S JEAN</t>
  </si>
  <si>
    <t>2HB REBEL MD BLK</t>
  </si>
  <si>
    <t>2SB BDY RNSE BLK</t>
  </si>
  <si>
    <t>BZB INGLORS BLK</t>
  </si>
  <si>
    <t>GSDB</t>
  </si>
  <si>
    <t>GSDB NSHVLLE BLK</t>
  </si>
  <si>
    <t>MAXJ19CR0</t>
  </si>
  <si>
    <t>MAXJ19EG7</t>
  </si>
  <si>
    <t>GENO SLIM STRGHT STRCH BLK/DKG</t>
  </si>
  <si>
    <t>MAXJ19NCR0</t>
  </si>
  <si>
    <t>MAXJ19NLH1</t>
  </si>
  <si>
    <t>GENO RELAXED PEBLE BCH TCK STH</t>
  </si>
  <si>
    <t>BRSL</t>
  </si>
  <si>
    <t>BRSL COASTAL FOG</t>
  </si>
  <si>
    <t>MAXJ19NLL4</t>
  </si>
  <si>
    <t>GENO SLIM NO FLAP TONE ON TONE</t>
  </si>
  <si>
    <t>MAXJ60CR0</t>
  </si>
  <si>
    <t>ROCCO CORE SLIM JEAN</t>
  </si>
  <si>
    <t>MAXJ60EL</t>
  </si>
  <si>
    <t>MAXJ60NCR0</t>
  </si>
  <si>
    <t>MAXJ60NOD2</t>
  </si>
  <si>
    <t>MAXK30EL</t>
  </si>
  <si>
    <t>MARCO BLACK STRETCH MEN'S JEAN</t>
  </si>
  <si>
    <t>MAXR62NCR0</t>
  </si>
  <si>
    <t>JIMMY TRUCKER JACKET CORE</t>
  </si>
  <si>
    <t>MAXT38U24</t>
  </si>
  <si>
    <t>GENO SLIM JEAN</t>
  </si>
  <si>
    <t>MAXV91CR0</t>
  </si>
  <si>
    <t>VINNY CORE SLIM JEAN</t>
  </si>
  <si>
    <t>MAXY84CR0</t>
  </si>
  <si>
    <t>DANNY CORE SLIM TRUCKER JACKET</t>
  </si>
  <si>
    <t>MB8800CH0</t>
  </si>
  <si>
    <t>ACFM</t>
  </si>
  <si>
    <t>ACFM ROYSE</t>
  </si>
  <si>
    <t>AYPM</t>
  </si>
  <si>
    <t>AYPM HANG OUT</t>
  </si>
  <si>
    <t>MB8800E4</t>
  </si>
  <si>
    <t>08HO</t>
  </si>
  <si>
    <t>BB SHRTFSE MD WO RPS</t>
  </si>
  <si>
    <t>MB8800FG0</t>
  </si>
  <si>
    <t>MB8800P67</t>
  </si>
  <si>
    <t>MB8800TS</t>
  </si>
  <si>
    <t>BOBBY MENS JEAN</t>
  </si>
  <si>
    <t>BJ</t>
  </si>
  <si>
    <t>BJ SLINGBLADE MED W/ RIPS</t>
  </si>
  <si>
    <t>MB8858CH0</t>
  </si>
  <si>
    <t>BILLY CORE BOOTCUT JEAN</t>
  </si>
  <si>
    <t>MB8858E4</t>
  </si>
  <si>
    <t>MB8858FG0</t>
  </si>
  <si>
    <t>MB8858H75</t>
  </si>
  <si>
    <t>BILLY STUD BOOT CUT MEN JEAN</t>
  </si>
  <si>
    <t>MB8858ML</t>
  </si>
  <si>
    <t>BILLY BOOTCUT SPT MEN'S JEAN</t>
  </si>
  <si>
    <t>MB8858TS</t>
  </si>
  <si>
    <t>BILLY MENS JEAN</t>
  </si>
  <si>
    <t>MB8859CH0</t>
  </si>
  <si>
    <t>MB8859E4</t>
  </si>
  <si>
    <t>RICKY BASICS MEN JEAN</t>
  </si>
  <si>
    <t>2W</t>
  </si>
  <si>
    <t>2W STORM RIDER</t>
  </si>
  <si>
    <t>MB8859FG0</t>
  </si>
  <si>
    <t>MB8859H75</t>
  </si>
  <si>
    <t>RICKY STUD STRAIGHT LG MEN JEA</t>
  </si>
  <si>
    <t>MB8859ML</t>
  </si>
  <si>
    <t>RICKY STRAIGHT SPT MEN'S JEAN</t>
  </si>
  <si>
    <t>MB8859P67</t>
  </si>
  <si>
    <t>QZL</t>
  </si>
  <si>
    <t>QZL SLY FOX</t>
  </si>
  <si>
    <t>MB8859TS</t>
  </si>
  <si>
    <t>RICKY MENS JEAN</t>
  </si>
  <si>
    <t>MB8859TSN</t>
  </si>
  <si>
    <t>AG</t>
  </si>
  <si>
    <t>AG SURFER DK</t>
  </si>
  <si>
    <t>MB8A351NA9</t>
  </si>
  <si>
    <t>LT.WGHT PATHD RENEGAD RICKYW/F</t>
  </si>
  <si>
    <t>BXUL</t>
  </si>
  <si>
    <t>BXUL BROKEN ROAD</t>
  </si>
  <si>
    <t>MB8E08CH0</t>
  </si>
  <si>
    <t>MB8E08E4</t>
  </si>
  <si>
    <t>MB8E08FG0</t>
  </si>
  <si>
    <t>MB8J19CH0</t>
  </si>
  <si>
    <t>MB8J19E4</t>
  </si>
  <si>
    <t>GENO MEN JEAN</t>
  </si>
  <si>
    <t>BB SFE MD WO RP</t>
  </si>
  <si>
    <t>MB8J19FG0</t>
  </si>
  <si>
    <t>MB8J19P67</t>
  </si>
  <si>
    <t>GENO SUPER T SLIM MENS JEAN</t>
  </si>
  <si>
    <t>MB8J60E4</t>
  </si>
  <si>
    <t>ROCCO  MEN JEAN</t>
  </si>
  <si>
    <t>MB8L82E4</t>
  </si>
  <si>
    <t>JACKSON MEN JEAN</t>
  </si>
  <si>
    <t>MB8L82TS</t>
  </si>
  <si>
    <t>JACKSON MENS JEAN</t>
  </si>
  <si>
    <t>MB8U56W70</t>
  </si>
  <si>
    <t>JACK REVERSE INDIGO JEAN</t>
  </si>
  <si>
    <t>MBAB161IK</t>
  </si>
  <si>
    <t>DRAW CORD SWEAT PANTS</t>
  </si>
  <si>
    <t>MBG8L46DC0</t>
  </si>
  <si>
    <t>TRADITIONAL LOGO TEE</t>
  </si>
  <si>
    <t>09 CHARCOAL</t>
  </si>
  <si>
    <t>MBG8L46DCT</t>
  </si>
  <si>
    <t>MBG8L46Z40</t>
  </si>
  <si>
    <t>TRADITIONAL LOGO CREW NECK</t>
  </si>
  <si>
    <t>MBG8L46Z4T</t>
  </si>
  <si>
    <t>MBGL46AY2</t>
  </si>
  <si>
    <t>TRACKMEET S/S CREW NECK TEE</t>
  </si>
  <si>
    <t>3C TURQUOISE</t>
  </si>
  <si>
    <t>MBGL46AY4</t>
  </si>
  <si>
    <t>RIVER RIDER S/S CREW NECK TEE</t>
  </si>
  <si>
    <t>MBGL46AY6</t>
  </si>
  <si>
    <t>SODA POP S/S CREW TEE</t>
  </si>
  <si>
    <t>3C DK NAVY</t>
  </si>
  <si>
    <t>MBGL46CA9</t>
  </si>
  <si>
    <t>STUDY HALL S/S CREW NECK TEE</t>
  </si>
  <si>
    <t>3C CRIMSON</t>
  </si>
  <si>
    <t>MBGL46CA9F</t>
  </si>
  <si>
    <t>MBGL46DC0</t>
  </si>
  <si>
    <t>LOGO TEE SS CREW NECK</t>
  </si>
  <si>
    <t>09 TURQUOISE</t>
  </si>
  <si>
    <t>MBGL46DCT</t>
  </si>
  <si>
    <t>MBGL46DR3</t>
  </si>
  <si>
    <t>TR SPORT  SS CREWNECK TEE</t>
  </si>
  <si>
    <t>MBGL46FJ9</t>
  </si>
  <si>
    <t>TRUE AMERICA S/S CREW NECK TEE</t>
  </si>
  <si>
    <t>MBGL46FK0</t>
  </si>
  <si>
    <t>TRUE CIRCLE S/S CREW NECK TEE</t>
  </si>
  <si>
    <t>MBGL46FU6</t>
  </si>
  <si>
    <t>GUITAR TREE SS CREWNECK TEE</t>
  </si>
  <si>
    <t>MBGL46HV4</t>
  </si>
  <si>
    <t>T57  SS CREWNECK TEE</t>
  </si>
  <si>
    <t>MBGL46HV5</t>
  </si>
  <si>
    <t>ARROW SS CREWNECK TEE</t>
  </si>
  <si>
    <t>MBGL46HV6</t>
  </si>
  <si>
    <t>TR OLD FASHIONED SS CREWNK TEE</t>
  </si>
  <si>
    <t>MBGL46HV7</t>
  </si>
  <si>
    <t>IVY LEAGUE SS CREWNECK TEE</t>
  </si>
  <si>
    <t>09 SPICE</t>
  </si>
  <si>
    <t>MBGL46HV8</t>
  </si>
  <si>
    <t>ALL THE WAY  SS CREWNECK TEE</t>
  </si>
  <si>
    <t>09 DK SLATE BLUE</t>
  </si>
  <si>
    <t>MBGL46HV9</t>
  </si>
  <si>
    <t>TRUE FLIGHT SS CREWNECK TEE</t>
  </si>
  <si>
    <t>MBGL46HW0</t>
  </si>
  <si>
    <t>WORKER SS CREWNECK TEE</t>
  </si>
  <si>
    <t>MBGL46T08</t>
  </si>
  <si>
    <t>BLUE COLLAR S/S CREWNECK TEE</t>
  </si>
  <si>
    <t>3C PEBBLE GREY</t>
  </si>
  <si>
    <t>3C KELLY GREEN</t>
  </si>
  <si>
    <t>3C OLD SAGE</t>
  </si>
  <si>
    <t>3C FUSCHIA</t>
  </si>
  <si>
    <t>3C PINEAPPLE</t>
  </si>
  <si>
    <t>3C PALE DSTD ORG</t>
  </si>
  <si>
    <t>MBGL46Y51</t>
  </si>
  <si>
    <t>TR REBELS S/S CREW TEE</t>
  </si>
  <si>
    <t>MBGL46Z40</t>
  </si>
  <si>
    <t>MBGL46Z4T</t>
  </si>
  <si>
    <t>MBJB011VR</t>
  </si>
  <si>
    <t>CAZ SKYLINE</t>
  </si>
  <si>
    <t>MBKB011VR</t>
  </si>
  <si>
    <t>CBB SUNSET PLAID</t>
  </si>
  <si>
    <t>MBMB170VR</t>
  </si>
  <si>
    <t>S/S WESTERN SHIRT</t>
  </si>
  <si>
    <t>CAZ INDIGO PLAID</t>
  </si>
  <si>
    <t>MBPB171IK</t>
  </si>
  <si>
    <t>MBPB179IK</t>
  </si>
  <si>
    <t>MBT840H86</t>
  </si>
  <si>
    <t>ANTHONY CARGO MENS PANT</t>
  </si>
  <si>
    <t>KU DIRTY MOSS</t>
  </si>
  <si>
    <t>MC4FK48IK</t>
  </si>
  <si>
    <t>MENS CARTER CORDUROY VEST</t>
  </si>
  <si>
    <t>MC79L06IK</t>
  </si>
  <si>
    <t>RICHIE VARSITY JKT</t>
  </si>
  <si>
    <t>MC79R58DB7</t>
  </si>
  <si>
    <t>RICHIE LETTERMAN JACKET</t>
  </si>
  <si>
    <t>MC79R58IK</t>
  </si>
  <si>
    <t>VARSITY LETTERMAN JACKET</t>
  </si>
  <si>
    <t>MCB2J55K33</t>
  </si>
  <si>
    <t>GENO BIGT TORQUE SLIM CORDUROY</t>
  </si>
  <si>
    <t>LG BLACK</t>
  </si>
  <si>
    <t>MCB2J56K33</t>
  </si>
  <si>
    <t>JACK BIGT TORQUE SLIM CORDUROY</t>
  </si>
  <si>
    <t>LG SMOKE</t>
  </si>
  <si>
    <t>LG KHAKI</t>
  </si>
  <si>
    <t>MCB800K32</t>
  </si>
  <si>
    <t>BOBBY STRAIGHT CORUROY PANT</t>
  </si>
  <si>
    <t>ST  BLACK</t>
  </si>
  <si>
    <t>ST CHARCOAL</t>
  </si>
  <si>
    <t>ST CORK</t>
  </si>
  <si>
    <t>ST SEAL</t>
  </si>
  <si>
    <t>ST BROWN</t>
  </si>
  <si>
    <t>ST FOREST</t>
  </si>
  <si>
    <t>ST DK NAVY</t>
  </si>
  <si>
    <t>ST DK SLATE BLUE</t>
  </si>
  <si>
    <t>ST CRIMSON</t>
  </si>
  <si>
    <t>ST BURNT ORANGE</t>
  </si>
  <si>
    <t>MCB859K32</t>
  </si>
  <si>
    <t>RICKY STRAIGHT LEG CORDUROY</t>
  </si>
  <si>
    <t>BZ BLACK</t>
  </si>
  <si>
    <t>BZ SMOKE</t>
  </si>
  <si>
    <t>ST CYPRESS</t>
  </si>
  <si>
    <t>ST OLD SAGE</t>
  </si>
  <si>
    <t>BZ INDIGO</t>
  </si>
  <si>
    <t>ST SEA BLUE</t>
  </si>
  <si>
    <t>ST ROYAL BLUE</t>
  </si>
  <si>
    <t>ST TURQUOISE</t>
  </si>
  <si>
    <t>ST PURPLE</t>
  </si>
  <si>
    <t>ST FUSCHIA</t>
  </si>
  <si>
    <t>BZ STRAW</t>
  </si>
  <si>
    <t>ST PINEAPPLE</t>
  </si>
  <si>
    <t>ST DUSTED ORANGE</t>
  </si>
  <si>
    <t>MCB859NJD2</t>
  </si>
  <si>
    <t>ST IRON</t>
  </si>
  <si>
    <t>ST WHITE</t>
  </si>
  <si>
    <t>ST SPRUCE GREEN</t>
  </si>
  <si>
    <t>ST PACIFIC</t>
  </si>
  <si>
    <t>ST MIDNIGHT</t>
  </si>
  <si>
    <t>ST TRUE RED</t>
  </si>
  <si>
    <t>ST OXBLOOD</t>
  </si>
  <si>
    <t>ST GOLD METAL</t>
  </si>
  <si>
    <t>ST STRAW</t>
  </si>
  <si>
    <t>ST SAFFRON</t>
  </si>
  <si>
    <t>MCB903K32</t>
  </si>
  <si>
    <t>JIMMY CORDUROY SHERPA WSTRN JA</t>
  </si>
  <si>
    <t>LF BLACK</t>
  </si>
  <si>
    <t>LF SMOKE</t>
  </si>
  <si>
    <t>MCB9R46V08</t>
  </si>
  <si>
    <t>CORD SHERPA JACKET</t>
  </si>
  <si>
    <t>2S STRAW</t>
  </si>
  <si>
    <t>MCBJ19K32</t>
  </si>
  <si>
    <t>GENO SLIM STRAIGHT CORDUROY</t>
  </si>
  <si>
    <t>MCBJ19K32O</t>
  </si>
  <si>
    <t>GENO SLIM CORUROY PANT</t>
  </si>
  <si>
    <t>MCBJ19NJD2</t>
  </si>
  <si>
    <t>GENO SLIM CORDUROY</t>
  </si>
  <si>
    <t>MCBP31K32</t>
  </si>
  <si>
    <t>CORDUROY BOBBY STRAIGHT LEG PA</t>
  </si>
  <si>
    <t>MCBP31V08</t>
  </si>
  <si>
    <t>BOBBY STRAIGHT LEG CORDUROY</t>
  </si>
  <si>
    <t>2S CHARCOAL</t>
  </si>
  <si>
    <t>2S LT STONE</t>
  </si>
  <si>
    <t>2S BROWN</t>
  </si>
  <si>
    <t>2S OAK LEAF</t>
  </si>
  <si>
    <t>ST OAK LEAF</t>
  </si>
  <si>
    <t>ST EVERGREEN</t>
  </si>
  <si>
    <t>ST INDIGO</t>
  </si>
  <si>
    <t>ST LT BURGUNDY</t>
  </si>
  <si>
    <t>TL LT BURGANDY</t>
  </si>
  <si>
    <t>MCBP32V08</t>
  </si>
  <si>
    <t>GENO WITH PHOENIX POCKET CORDU</t>
  </si>
  <si>
    <t>MCBR71K32</t>
  </si>
  <si>
    <t>ROCCO SKINNY CORDUROY PANT</t>
  </si>
  <si>
    <t>MCBR71V08</t>
  </si>
  <si>
    <t>MCBU23AS4</t>
  </si>
  <si>
    <t>ANTHONY BIG-T CORDUROY GROUP</t>
  </si>
  <si>
    <t>YJ CYPRESS</t>
  </si>
  <si>
    <t>YJ OLD SAGE</t>
  </si>
  <si>
    <t>YJ KELLY GREEN</t>
  </si>
  <si>
    <t>YJ SEA BLUE</t>
  </si>
  <si>
    <t>YJ ROYAL BLUE</t>
  </si>
  <si>
    <t>YJ TURQUOISE</t>
  </si>
  <si>
    <t>YJ PURPLE</t>
  </si>
  <si>
    <t>YJ FUSCHIA</t>
  </si>
  <si>
    <t>YJ PINEAPPLE</t>
  </si>
  <si>
    <t>YJ DUSTED ORANGE</t>
  </si>
  <si>
    <t>MCBU23K33</t>
  </si>
  <si>
    <t>ANTHONY BIG T CORDUROY PANT</t>
  </si>
  <si>
    <t>YJ CHARCOAL</t>
  </si>
  <si>
    <t>YJ BROWN</t>
  </si>
  <si>
    <t>YJ OLIVE</t>
  </si>
  <si>
    <t>YJ DK NAVY</t>
  </si>
  <si>
    <t>MCBV46AS4</t>
  </si>
  <si>
    <t>ANTHONY CUT OFF BIG T CORDUROY</t>
  </si>
  <si>
    <t>MCBV46K33</t>
  </si>
  <si>
    <t>ANTHONY CUT-OFF CARGO SHORT</t>
  </si>
  <si>
    <t>MCBV47K32</t>
  </si>
  <si>
    <t>GENO CUT OFF FASHION CORDUROY</t>
  </si>
  <si>
    <t>MCBV91K32</t>
  </si>
  <si>
    <t>VINNY CORDUROY CLASSIC PANT</t>
  </si>
  <si>
    <t>MCC719K35</t>
  </si>
  <si>
    <t>ROCKY CORDUROY L/S WESTERN SHI</t>
  </si>
  <si>
    <t>MCK859NR1</t>
  </si>
  <si>
    <t>STRAIGHT WFLP SELVAGE  NAT SN</t>
  </si>
  <si>
    <t>3M</t>
  </si>
  <si>
    <t>3M DK DFTR WO RPS</t>
  </si>
  <si>
    <t>MCKN55J39</t>
  </si>
  <si>
    <t>PHANTOM NATE BOOT CUT MN JEAN</t>
  </si>
  <si>
    <t>LLD</t>
  </si>
  <si>
    <t>LLD OREGON TRAIL</t>
  </si>
  <si>
    <t>PDM</t>
  </si>
  <si>
    <t>PDM GALVESTON</t>
  </si>
  <si>
    <t>MCKN56J39</t>
  </si>
  <si>
    <t>PHANTOM BLAKE STRAIGHT MEN JEA</t>
  </si>
  <si>
    <t>NKL</t>
  </si>
  <si>
    <t>NKL SIERRA MADRE</t>
  </si>
  <si>
    <t>MCKN57J39</t>
  </si>
  <si>
    <t>PHANTOM MATT SLIM LEG MEN'S JE</t>
  </si>
  <si>
    <t>MCKN65J39</t>
  </si>
  <si>
    <t>PHANTOM EDISON WESTERN MEN'S J</t>
  </si>
  <si>
    <t>MCKQ72J39</t>
  </si>
  <si>
    <t>GENO PHANTOM SLIM MENS JEAN</t>
  </si>
  <si>
    <t>THM</t>
  </si>
  <si>
    <t>THM BONDAGE</t>
  </si>
  <si>
    <t>MCKR11J39</t>
  </si>
  <si>
    <t>ROCCO PHANTOM SKINNY MENS JEAN</t>
  </si>
  <si>
    <t>MCL719J24</t>
  </si>
  <si>
    <t>FZMB</t>
  </si>
  <si>
    <t>FZMB EXPEDITION BLACK</t>
  </si>
  <si>
    <t>MCXA602MC5</t>
  </si>
  <si>
    <t>HERITAGE WORK SHIRT DENIM SLIM</t>
  </si>
  <si>
    <t>BLCL</t>
  </si>
  <si>
    <t>BLCL WATER BED</t>
  </si>
  <si>
    <t>MDE800IT7</t>
  </si>
  <si>
    <t>STRAIGHT NATURAL SUPER T</t>
  </si>
  <si>
    <t>UNW</t>
  </si>
  <si>
    <t>UNWASHED</t>
  </si>
  <si>
    <t>MDE858HF3</t>
  </si>
  <si>
    <t>BOOTCUT WFLP COPPER BASIC</t>
  </si>
  <si>
    <t>BASM</t>
  </si>
  <si>
    <t>BASM FRT DFIANCE</t>
  </si>
  <si>
    <t>MDE859HF2</t>
  </si>
  <si>
    <t>STRAIGHT WFLP COAL BASIC</t>
  </si>
  <si>
    <t>MDE859HF3</t>
  </si>
  <si>
    <t>STRAIGHT WFLP COPPER BASIC</t>
  </si>
  <si>
    <t>APQM</t>
  </si>
  <si>
    <t>APQM SCRPION BTE</t>
  </si>
  <si>
    <t>MDE859IC6</t>
  </si>
  <si>
    <t>RICKY STRAIGHT LEG NOUVEAU</t>
  </si>
  <si>
    <t>MDE859IT7</t>
  </si>
  <si>
    <t>STRAIGHT W/FLAPS SUPER T</t>
  </si>
  <si>
    <t>MDE859IT8</t>
  </si>
  <si>
    <t>BBHD</t>
  </si>
  <si>
    <t>BBHD RUBBLE ROAD</t>
  </si>
  <si>
    <t>MDE859IT9</t>
  </si>
  <si>
    <t>APUD</t>
  </si>
  <si>
    <t>APUD WNDNG CLIFF</t>
  </si>
  <si>
    <t>MDE861ZFJ3</t>
  </si>
  <si>
    <t>SLIM PATRIOTIC FLAG POCKET</t>
  </si>
  <si>
    <t>AQSM</t>
  </si>
  <si>
    <t>AQSM DSRTED LAND</t>
  </si>
  <si>
    <t>MDEH54ZHF2</t>
  </si>
  <si>
    <t>SKINNY WFLP COAL BASIC</t>
  </si>
  <si>
    <t>APPM</t>
  </si>
  <si>
    <t>APPM BRIDGEPORT</t>
  </si>
  <si>
    <t>MDF859BCS</t>
  </si>
  <si>
    <t>RICKY STRAIGHT GRY PIGMNT MEN'</t>
  </si>
  <si>
    <t>LC EL PASO GREY</t>
  </si>
  <si>
    <t>MDI7L08L24</t>
  </si>
  <si>
    <t>CHARLIE CASHMERE HOODIE</t>
  </si>
  <si>
    <t>MDLN76Y9</t>
  </si>
  <si>
    <t>KIRK 1956 STRAIGHT MEN'S JEA</t>
  </si>
  <si>
    <t>NCD</t>
  </si>
  <si>
    <t>NCD PASSENGER</t>
  </si>
  <si>
    <t>MDMB078MD1</t>
  </si>
  <si>
    <t>TROOPER CARGO SHORT</t>
  </si>
  <si>
    <t>CAB INDIGO CAMO</t>
  </si>
  <si>
    <t>MDPA903LK9</t>
  </si>
  <si>
    <t>MDQB719TT</t>
  </si>
  <si>
    <t>L/S ROCKY TWILL WESTERN SHIRT</t>
  </si>
  <si>
    <t>MDS800K33</t>
  </si>
  <si>
    <t>BOBBY TONAL BIG-T VELVET PANT</t>
  </si>
  <si>
    <t>MDS800V29</t>
  </si>
  <si>
    <t>MDS859K33</t>
  </si>
  <si>
    <t>RICKY TONAL BIG-T VELVET PANT</t>
  </si>
  <si>
    <t>LG CHARCOAL</t>
  </si>
  <si>
    <t>LG BROWN</t>
  </si>
  <si>
    <t>MDS859V29</t>
  </si>
  <si>
    <t>MDS9M53K32</t>
  </si>
  <si>
    <t>JUSTIN VELVET TAILORED BLAZER</t>
  </si>
  <si>
    <t>MDSJ19K33</t>
  </si>
  <si>
    <t>GENO TONAL BIG-T VELVET PANT</t>
  </si>
  <si>
    <t>MDSJ19V29</t>
  </si>
  <si>
    <t>MDU859NME3</t>
  </si>
  <si>
    <t>BYJ BLACK</t>
  </si>
  <si>
    <t>MDU859NME4</t>
  </si>
  <si>
    <t>BYJ NAVY</t>
  </si>
  <si>
    <t>MDU859NME5</t>
  </si>
  <si>
    <t>BYJ TAN</t>
  </si>
  <si>
    <t>MDU859NNK0</t>
  </si>
  <si>
    <t>BYJ TRUE RED</t>
  </si>
  <si>
    <t>MDU859NNW1</t>
  </si>
  <si>
    <t>BYJ PAVEMENT</t>
  </si>
  <si>
    <t>MDU859NNW2</t>
  </si>
  <si>
    <t>BYJ POPPY</t>
  </si>
  <si>
    <t>MDU859NNW3</t>
  </si>
  <si>
    <t>BYJ SANDSTORM</t>
  </si>
  <si>
    <t>MDUJ19NME3</t>
  </si>
  <si>
    <t>MDUJ19NME4</t>
  </si>
  <si>
    <t>MDUJ19NME5</t>
  </si>
  <si>
    <t>MDUJ19NNK0</t>
  </si>
  <si>
    <t>MDUJ19NNW2</t>
  </si>
  <si>
    <t>MDUJ19NNW3</t>
  </si>
  <si>
    <t>MDVB088MD8</t>
  </si>
  <si>
    <t>INDIGO CORDUROY BIGT SHRT DEAN</t>
  </si>
  <si>
    <t>BXPL</t>
  </si>
  <si>
    <t>BXPL DUSTY BLUE</t>
  </si>
  <si>
    <t>MDVE08NMD8</t>
  </si>
  <si>
    <t>BZDM DK DUSTY BL</t>
  </si>
  <si>
    <t>MDYB085MD4</t>
  </si>
  <si>
    <t>DEAN CARGO SHORT</t>
  </si>
  <si>
    <t>BYO PAVEMENT</t>
  </si>
  <si>
    <t>BYO BALSAM</t>
  </si>
  <si>
    <t>BYO SUNSET</t>
  </si>
  <si>
    <t>MDZA806MG2</t>
  </si>
  <si>
    <t>PRINTED CAMO RUNNER RLXD TAPER</t>
  </si>
  <si>
    <t>BYS OLIVE CAMO</t>
  </si>
  <si>
    <t>MDZA806NB6</t>
  </si>
  <si>
    <t>BYS COBALT BLUE</t>
  </si>
  <si>
    <t>MEAB109EG</t>
  </si>
  <si>
    <t>BROKEN RIB STITCH HOODIE</t>
  </si>
  <si>
    <t>MEC800CR2</t>
  </si>
  <si>
    <t>MEC859CR2</t>
  </si>
  <si>
    <t>MEC859EG6</t>
  </si>
  <si>
    <t>RICKY STRGHT SPT STRCH DKGY/BN</t>
  </si>
  <si>
    <t>MEC859FW7</t>
  </si>
  <si>
    <t>RICKY STRAIGHT NOMAD- 5 POCKET</t>
  </si>
  <si>
    <t>ASRD BLACK</t>
  </si>
  <si>
    <t>ASRD TAUPE</t>
  </si>
  <si>
    <t>ASRD MERLOT</t>
  </si>
  <si>
    <t>MEC859NIS4</t>
  </si>
  <si>
    <t>RICKY STRAIGHT STRCH SPR T</t>
  </si>
  <si>
    <t>BNNM</t>
  </si>
  <si>
    <t>BNNM UNDR CARIAGE</t>
  </si>
  <si>
    <t>MEC859NLL1</t>
  </si>
  <si>
    <t>RICKY W FLAP STRAIGHT BIG T</t>
  </si>
  <si>
    <t>BSDD</t>
  </si>
  <si>
    <t>BSDD STRET SHDWS</t>
  </si>
  <si>
    <t>MEC859NOA7</t>
  </si>
  <si>
    <t>CETM</t>
  </si>
  <si>
    <t>CETM MIDNGHT BRK</t>
  </si>
  <si>
    <t>MEC859NOJ4</t>
  </si>
  <si>
    <t>CFEM</t>
  </si>
  <si>
    <t>CFEM DUSTY DRGHT</t>
  </si>
  <si>
    <t>MEC859OGY5</t>
  </si>
  <si>
    <t>RICKY STRAIGHT LEG SUPER T</t>
  </si>
  <si>
    <t>AZWL</t>
  </si>
  <si>
    <t>AZWL MLBU CRUISE</t>
  </si>
  <si>
    <t>MEC859OIK7</t>
  </si>
  <si>
    <t>BFRD</t>
  </si>
  <si>
    <t>BFRD MNRL VALLEY</t>
  </si>
  <si>
    <t>MEC861EG6</t>
  </si>
  <si>
    <t>LOGAN SLIM SPT STRCH DKGRY/BRN</t>
  </si>
  <si>
    <t>MECA350HE4</t>
  </si>
  <si>
    <t>ROCCO SLIM RENEGADE</t>
  </si>
  <si>
    <t>AZHD</t>
  </si>
  <si>
    <t>AZHD BLUE TAVERN</t>
  </si>
  <si>
    <t>AZJM</t>
  </si>
  <si>
    <t>AZJM BURBANK</t>
  </si>
  <si>
    <t>MECA822KL0</t>
  </si>
  <si>
    <t>JACK SLIM STRAIGHT</t>
  </si>
  <si>
    <t>MECA904MX2</t>
  </si>
  <si>
    <t>MECA904NA2</t>
  </si>
  <si>
    <t>BZBM</t>
  </si>
  <si>
    <t>CEOL</t>
  </si>
  <si>
    <t>CEOL LONE REBEL</t>
  </si>
  <si>
    <t>MECB066LZ8</t>
  </si>
  <si>
    <t>ROCCO SLIM TWO TONE MOTO</t>
  </si>
  <si>
    <t>BUIM</t>
  </si>
  <si>
    <t>BUIM LATE NIGHTS</t>
  </si>
  <si>
    <t>MECC088OA7</t>
  </si>
  <si>
    <t>1/2 JIMMY VEST SUPER T</t>
  </si>
  <si>
    <t>MECC126OA7</t>
  </si>
  <si>
    <t>1/2 RICKY SHORT NO FL SUPER T</t>
  </si>
  <si>
    <t>MECE08CR2</t>
  </si>
  <si>
    <t>MECE08NLL1</t>
  </si>
  <si>
    <t>GENO W FLAP SLIM BIG T</t>
  </si>
  <si>
    <t>MECE08NOH5</t>
  </si>
  <si>
    <t>CERM</t>
  </si>
  <si>
    <t>CERM DSTY PTHFNDR</t>
  </si>
  <si>
    <t>MECE08OMB</t>
  </si>
  <si>
    <t>JACK SLIM MEN JEAN</t>
  </si>
  <si>
    <t>ZVD</t>
  </si>
  <si>
    <t>ZVD COLTON</t>
  </si>
  <si>
    <t>ZWD</t>
  </si>
  <si>
    <t>ZWD LAST CHANCE</t>
  </si>
  <si>
    <t>ZYM</t>
  </si>
  <si>
    <t>ZYM FALLS POINT</t>
  </si>
  <si>
    <t>MECH54CR2</t>
  </si>
  <si>
    <t>MECH54EM</t>
  </si>
  <si>
    <t>ZACH SKINNY MEN JEAN</t>
  </si>
  <si>
    <t>YMM</t>
  </si>
  <si>
    <t>YMM LIQUOR</t>
  </si>
  <si>
    <t>MECH54OMB</t>
  </si>
  <si>
    <t>MECH54TST</t>
  </si>
  <si>
    <t>BB SFSE MD WO RPS</t>
  </si>
  <si>
    <t>MECH54U01</t>
  </si>
  <si>
    <t>MECJ19BS1</t>
  </si>
  <si>
    <t>MECJ19CR2</t>
  </si>
  <si>
    <t>MECJ19FW7</t>
  </si>
  <si>
    <t>GENO SLIM STRAIGHT NOMAD-5 PKT</t>
  </si>
  <si>
    <t>MECJ19NIS4</t>
  </si>
  <si>
    <t>GENO SLIM STRETCH SUPER T</t>
  </si>
  <si>
    <t>MECJ19NIS5</t>
  </si>
  <si>
    <t>BMSD</t>
  </si>
  <si>
    <t>BMSD SMOKEY TVRN</t>
  </si>
  <si>
    <t>MECJ19NJW7</t>
  </si>
  <si>
    <t>GENO SLIM TIGER CAMO</t>
  </si>
  <si>
    <t>BMBD</t>
  </si>
  <si>
    <t>BMBD TIGER CAMO</t>
  </si>
  <si>
    <t>MECJ19NLL1</t>
  </si>
  <si>
    <t>GENO SLIM MATTE SHINE BIG T</t>
  </si>
  <si>
    <t>MECJ19OGY5</t>
  </si>
  <si>
    <t>MECJ19OIK7</t>
  </si>
  <si>
    <t>GENO SLIM STRAIGHT GREY SPR T</t>
  </si>
  <si>
    <t>BFOL</t>
  </si>
  <si>
    <t>BFOL SALT FLATS</t>
  </si>
  <si>
    <t>MECJ19OMB</t>
  </si>
  <si>
    <t>MECJ19TST</t>
  </si>
  <si>
    <t>MECJ60CR2</t>
  </si>
  <si>
    <t>MECJ60EG6</t>
  </si>
  <si>
    <t>ROCCO SLIM SPT STRCH DKGRY/BRN</t>
  </si>
  <si>
    <t>MECJ60EM</t>
  </si>
  <si>
    <t>ROCCO MIDRISE SKINNY BASIC MEN</t>
  </si>
  <si>
    <t>MECJ60NOH5</t>
  </si>
  <si>
    <t>MECJ60NOJ4</t>
  </si>
  <si>
    <t>MECJ60OGY5</t>
  </si>
  <si>
    <t>ROCCO SLIM SUPER T</t>
  </si>
  <si>
    <t>MECJ60OMB</t>
  </si>
  <si>
    <t>ROCCO SKINNY MEN JEAN</t>
  </si>
  <si>
    <t>MECJ60TST</t>
  </si>
  <si>
    <t>ROCCO MID RISE SKINNY JEAN</t>
  </si>
  <si>
    <t>MECJ60U01</t>
  </si>
  <si>
    <t>MECQ13CS2</t>
  </si>
  <si>
    <t>MECR09CS2</t>
  </si>
  <si>
    <t>MECT36U23</t>
  </si>
  <si>
    <t>DANNY BOOT CUT JEAN</t>
  </si>
  <si>
    <t>MECT38U23</t>
  </si>
  <si>
    <t>BB SH FSE M WO RP</t>
  </si>
  <si>
    <t>MECT73CS2</t>
  </si>
  <si>
    <t>MECT73LZ9</t>
  </si>
  <si>
    <t>DANNY SLIM JACKET TWO TNE MOTO</t>
  </si>
  <si>
    <t>MECU31U23</t>
  </si>
  <si>
    <t>MECV90CS2</t>
  </si>
  <si>
    <t>VINNY INDIGO 1971 JEAN</t>
  </si>
  <si>
    <t>MECV91CR2</t>
  </si>
  <si>
    <t>VINNY CORE SKINNY JEAN</t>
  </si>
  <si>
    <t>MECV91EM</t>
  </si>
  <si>
    <t>VINNY SKINNY BASIC MENS JEAN</t>
  </si>
  <si>
    <t>MECV91OMB</t>
  </si>
  <si>
    <t>VINNY SKINNY MEN JEAN</t>
  </si>
  <si>
    <t>MECV97NNA1</t>
  </si>
  <si>
    <t>VINTAGE WASH ROPESTITCH RICKY</t>
  </si>
  <si>
    <t>BXLL</t>
  </si>
  <si>
    <t>BXLL MDRN TRVLER</t>
  </si>
  <si>
    <t>MED7Y49CS1</t>
  </si>
  <si>
    <t>TR USA WAFFLE KNIT HOODIE</t>
  </si>
  <si>
    <t>3C DK TEAL</t>
  </si>
  <si>
    <t>3C SCARLET</t>
  </si>
  <si>
    <t>MED8H34DZ7</t>
  </si>
  <si>
    <t>BIG T L/S WAFFLE CREW NECK TEE</t>
  </si>
  <si>
    <t>3C DUSTED GREEN</t>
  </si>
  <si>
    <t>MED8H34DZ8</t>
  </si>
  <si>
    <t>TRUE STENCIL LS WAFFLE CRWNK T</t>
  </si>
  <si>
    <t>MED8H34DZ9</t>
  </si>
  <si>
    <t>69 MUSIC FEST LS WAFFLE CREW T</t>
  </si>
  <si>
    <t>MED8H34EA0</t>
  </si>
  <si>
    <t>MOTO SCRIPT L/S WAFFLE CRWNK T</t>
  </si>
  <si>
    <t>3C CERULEAN BLUE</t>
  </si>
  <si>
    <t>MED8H34EA1</t>
  </si>
  <si>
    <t>ROLLING THUNDER LS WFL CRWNK T</t>
  </si>
  <si>
    <t>MED8H34EA2</t>
  </si>
  <si>
    <t>TRMC L/S WAFFLE CREW NECK TEE</t>
  </si>
  <si>
    <t>MED8H34HA8</t>
  </si>
  <si>
    <t>TR FLASH L/S CREW NECK WAFFLE</t>
  </si>
  <si>
    <t>MED8H34HA9</t>
  </si>
  <si>
    <t>RED HOOK L/S CREW NECK WAFFLE</t>
  </si>
  <si>
    <t>MED8H34HB0</t>
  </si>
  <si>
    <t>CRAFTED W CARE L/S CREW NECK</t>
  </si>
  <si>
    <t>MED8H34Y47</t>
  </si>
  <si>
    <t>CALI 1000 WAFFLE KNIT LS CREW</t>
  </si>
  <si>
    <t>MED8H34Y60</t>
  </si>
  <si>
    <t>COBRA RIPPER WAFFLE KNT LS CRW</t>
  </si>
  <si>
    <t>Y3 FDED CREAM</t>
  </si>
  <si>
    <t>MED8H34Y90</t>
  </si>
  <si>
    <t>THUMS UP WAFFLE KNIT LS CREW</t>
  </si>
  <si>
    <t>Y3 FADED SKY BLUE</t>
  </si>
  <si>
    <t>MED8H34Y92</t>
  </si>
  <si>
    <t>TRUE 71 WAFFLE KNIT LS CREWNK</t>
  </si>
  <si>
    <t>Y3 FDED KELY GRN</t>
  </si>
  <si>
    <t>MEG4J75K33</t>
  </si>
  <si>
    <t>SAMUEL CARGO SHORT- MENS</t>
  </si>
  <si>
    <t>NR MINT</t>
  </si>
  <si>
    <t>PY PEONY</t>
  </si>
  <si>
    <t>MEG840K33</t>
  </si>
  <si>
    <t>ANTHONY CARGO PANT</t>
  </si>
  <si>
    <t>TL BLACK</t>
  </si>
  <si>
    <t>TL BROWN</t>
  </si>
  <si>
    <t>TL STRAW</t>
  </si>
  <si>
    <t>MEG841EH</t>
  </si>
  <si>
    <t>CARGO ISSAC W/NATURAL BIG-T</t>
  </si>
  <si>
    <t>SR FADED BLACK</t>
  </si>
  <si>
    <t>SR WHEAT</t>
  </si>
  <si>
    <t>SR FOREST GREEN</t>
  </si>
  <si>
    <t>TL CYPRESS</t>
  </si>
  <si>
    <t>TL OLD SAGE</t>
  </si>
  <si>
    <t>TL KELLY GREEN</t>
  </si>
  <si>
    <t>SR NAVY</t>
  </si>
  <si>
    <t>TL SEA BLUE</t>
  </si>
  <si>
    <t>TL ROYAL BLUE</t>
  </si>
  <si>
    <t>TL TURQUOISE</t>
  </si>
  <si>
    <t>TL PURPLE</t>
  </si>
  <si>
    <t>TL FUSCHIA</t>
  </si>
  <si>
    <t>TL PINEAPPLE</t>
  </si>
  <si>
    <t>TL DUSTED ORANGE</t>
  </si>
  <si>
    <t>MEG841FP7</t>
  </si>
  <si>
    <t>ISSAC CARGO SHORT OVERDYE</t>
  </si>
  <si>
    <t>SR SLATE GREY</t>
  </si>
  <si>
    <t>SR WHITE</t>
  </si>
  <si>
    <t>SR WILLOW</t>
  </si>
  <si>
    <t>SR STRAW</t>
  </si>
  <si>
    <t>SR CORAL</t>
  </si>
  <si>
    <t>MEG841HFP7</t>
  </si>
  <si>
    <t>ISAAC CARGO SHORT OVERDYE</t>
  </si>
  <si>
    <t>SR WASHED BLACK</t>
  </si>
  <si>
    <t>ST SLATE GREY</t>
  </si>
  <si>
    <t>MEG841HGR1</t>
  </si>
  <si>
    <t>MEG859V30</t>
  </si>
  <si>
    <t>RICKY STRAIGHT OVERDYED COTTON</t>
  </si>
  <si>
    <t>SR BLACK</t>
  </si>
  <si>
    <t>SR BROWN</t>
  </si>
  <si>
    <t>SR OLIVE</t>
  </si>
  <si>
    <t>SR DK SLATE BLUE</t>
  </si>
  <si>
    <t>MEGJ19V30</t>
  </si>
  <si>
    <t>GENO SKINNY OVERDYED COTTON</t>
  </si>
  <si>
    <t>MEGJ60V30</t>
  </si>
  <si>
    <t>ROCCO SKINNY OVERDYED COTTON T</t>
  </si>
  <si>
    <t>SR LT STONE</t>
  </si>
  <si>
    <t>SR BRANCH</t>
  </si>
  <si>
    <t>SR THYME</t>
  </si>
  <si>
    <t>SR OLD SAGE</t>
  </si>
  <si>
    <t>SR INDIGO</t>
  </si>
  <si>
    <t>SR DK NAVY</t>
  </si>
  <si>
    <t>SR SEA BLUE</t>
  </si>
  <si>
    <t>SR ROYAL BLUE</t>
  </si>
  <si>
    <t>SR RED</t>
  </si>
  <si>
    <t>SR FUSCHIA</t>
  </si>
  <si>
    <t>MEGP10K32</t>
  </si>
  <si>
    <t>ROMAN PHOENIX CHINO MENS</t>
  </si>
  <si>
    <t>NU DK STORM</t>
  </si>
  <si>
    <t>PZ SMOKE</t>
  </si>
  <si>
    <t>NU SMOKE</t>
  </si>
  <si>
    <t>NU LT STONE</t>
  </si>
  <si>
    <t>PZ KHAKI</t>
  </si>
  <si>
    <t>NU KHAKI</t>
  </si>
  <si>
    <t>NU MILITARY</t>
  </si>
  <si>
    <t>PZ MILITARY</t>
  </si>
  <si>
    <t>NU ARMY</t>
  </si>
  <si>
    <t>NU INDIGO</t>
  </si>
  <si>
    <t>MEGP19K32</t>
  </si>
  <si>
    <t>TRAVIS PHOENIX CHINO CUT-OFF-</t>
  </si>
  <si>
    <t>PZ BLACK</t>
  </si>
  <si>
    <t>PZ OPTIC WHITE</t>
  </si>
  <si>
    <t>PZ ROYAL BLUE</t>
  </si>
  <si>
    <t>MEGR04K32</t>
  </si>
  <si>
    <t>GENO PHOENIX CHINO MENS</t>
  </si>
  <si>
    <t>PZ RED</t>
  </si>
  <si>
    <t>PZ SUNFLOWER</t>
  </si>
  <si>
    <t>MEGU23K33</t>
  </si>
  <si>
    <t>TWILL ANTHONY PANT SLIM</t>
  </si>
  <si>
    <t>NU BLACK</t>
  </si>
  <si>
    <t>NU DK NAVY</t>
  </si>
  <si>
    <t>MEM859NMX5</t>
  </si>
  <si>
    <t>RICKY W/FLAP STR  STAY DARK</t>
  </si>
  <si>
    <t>MEMA800MX5</t>
  </si>
  <si>
    <t>MEQ800NMX7</t>
  </si>
  <si>
    <t>RICKY STRGHT NOFLP COBALT DENM</t>
  </si>
  <si>
    <t>BWRL</t>
  </si>
  <si>
    <t>BWRL COBALT VLEY</t>
  </si>
  <si>
    <t>MEQ859NMX8</t>
  </si>
  <si>
    <t>BWTD</t>
  </si>
  <si>
    <t>BWTD CBALT NGHTS</t>
  </si>
  <si>
    <t>MEQE08NMX7</t>
  </si>
  <si>
    <t>BWSM</t>
  </si>
  <si>
    <t>BWSM COBLT SHDWS</t>
  </si>
  <si>
    <t>MEQJ19NMX8</t>
  </si>
  <si>
    <t>MES859NND2</t>
  </si>
  <si>
    <t>BXFM</t>
  </si>
  <si>
    <t>BXFM RCKLS NOMAD</t>
  </si>
  <si>
    <t>MESA799ND2</t>
  </si>
  <si>
    <t>BXED</t>
  </si>
  <si>
    <t>BXED GRITTY CITY</t>
  </si>
  <si>
    <t>MESB088NA5</t>
  </si>
  <si>
    <t>QUICK FADE SHORT DEAN SHORT</t>
  </si>
  <si>
    <t>MESC087NA5</t>
  </si>
  <si>
    <t>BYFM</t>
  </si>
  <si>
    <t>BYFM FDED RUNAWY</t>
  </si>
  <si>
    <t>MET717M49</t>
  </si>
  <si>
    <t>MICK BIG T</t>
  </si>
  <si>
    <t>MET719K80</t>
  </si>
  <si>
    <t>ROCKY VINTAGE LNG SLV WESTERN</t>
  </si>
  <si>
    <t>NMM</t>
  </si>
  <si>
    <t>NMM PISTOL RIVER</t>
  </si>
  <si>
    <t>MET719M63</t>
  </si>
  <si>
    <t>FZL</t>
  </si>
  <si>
    <t>FZL RAILHEAD</t>
  </si>
  <si>
    <t>MET840EH</t>
  </si>
  <si>
    <t>ANTHONY BASIC MENS CARGO PANTS</t>
  </si>
  <si>
    <t>PSD</t>
  </si>
  <si>
    <t>PSD LAW DOG</t>
  </si>
  <si>
    <t>MET841EH</t>
  </si>
  <si>
    <t>ISAAC BASIC MENS CARGO SHORTS</t>
  </si>
  <si>
    <t>QKM</t>
  </si>
  <si>
    <t>QKM CROSS PLAINS</t>
  </si>
  <si>
    <t>METM48J39</t>
  </si>
  <si>
    <t>FRANCO PHANTOM  SLANTED PKT SH</t>
  </si>
  <si>
    <t>METP10Y9</t>
  </si>
  <si>
    <t>ROMAN PHOENIX CHINO MENS JEANS</t>
  </si>
  <si>
    <t>METP19Y9</t>
  </si>
  <si>
    <t>TRAVIS PHOENIX CHINO CUT-OFF</t>
  </si>
  <si>
    <t>METP57M53</t>
  </si>
  <si>
    <t>METQ02F36</t>
  </si>
  <si>
    <t>SEAN L/S SHIRT</t>
  </si>
  <si>
    <t>METQ03M65</t>
  </si>
  <si>
    <t>SEAN SNAKE EYES LS WESTERN SHI</t>
  </si>
  <si>
    <t>METR07M53</t>
  </si>
  <si>
    <t>JAKE PHOENIX WESTERN MENS SHIR</t>
  </si>
  <si>
    <t>METS31S44</t>
  </si>
  <si>
    <t>ANGELO WORKWEAR MENS MECHANIC</t>
  </si>
  <si>
    <t>MEWN56R96</t>
  </si>
  <si>
    <t>BOBBY PHANTOM STRAIGHT MENS JE</t>
  </si>
  <si>
    <t>MEWQ72R96</t>
  </si>
  <si>
    <t>MEWR11R96</t>
  </si>
  <si>
    <t>MEY7T25</t>
  </si>
  <si>
    <t>FRENCH TERRY PULLOVER HOODIE</t>
  </si>
  <si>
    <t>MEY7T25U62</t>
  </si>
  <si>
    <t>REVERSE FRENCH TERRY PULLOVER</t>
  </si>
  <si>
    <t>MFDA301NC3</t>
  </si>
  <si>
    <t>09 MIDNIGHT</t>
  </si>
  <si>
    <t>MFDA451NC2</t>
  </si>
  <si>
    <t>09 ONYX W ONYX</t>
  </si>
  <si>
    <t>MFDA451NC4</t>
  </si>
  <si>
    <t>MAPS</t>
  </si>
  <si>
    <t>09 BALSAM</t>
  </si>
  <si>
    <t>MFDB156NF3</t>
  </si>
  <si>
    <t>CAY BLACK MULTI</t>
  </si>
  <si>
    <t>CAY VINCENTE BLU</t>
  </si>
  <si>
    <t>MFDB184NF1</t>
  </si>
  <si>
    <t>MARBLE WASH KNIT SINGLE POCKET</t>
  </si>
  <si>
    <t>CBE SEQUOIA</t>
  </si>
  <si>
    <t>MFE8W01AX7</t>
  </si>
  <si>
    <t>1971 WORLD TOUR TIE DYE RAGLAN</t>
  </si>
  <si>
    <t>ZQ WHITE / PEBBLE GREY</t>
  </si>
  <si>
    <t>MFE8W01AX8</t>
  </si>
  <si>
    <t>SUNNY COAST TIE DYE RAGLAN</t>
  </si>
  <si>
    <t>ZQ WHITE / NAVY</t>
  </si>
  <si>
    <t>MFF8S92T97</t>
  </si>
  <si>
    <t>L/S GRPAHIC JERSEY HOODED PULL</t>
  </si>
  <si>
    <t>3C CANARY</t>
  </si>
  <si>
    <t>MFHB175ND4</t>
  </si>
  <si>
    <t>CAMO TROOPER CARGO SHORT</t>
  </si>
  <si>
    <t>BYL GRANITE</t>
  </si>
  <si>
    <t>MFIA451NC2</t>
  </si>
  <si>
    <t>09 SUNSET</t>
  </si>
  <si>
    <t>MFIC148NT2</t>
  </si>
  <si>
    <t>DROPPING IN TANK</t>
  </si>
  <si>
    <t>PAVEMENT</t>
  </si>
  <si>
    <t>MFJA451NC9</t>
  </si>
  <si>
    <t>MFJC148NT2</t>
  </si>
  <si>
    <t>SUNLIGHT</t>
  </si>
  <si>
    <t>MFKC034MO1</t>
  </si>
  <si>
    <t>ACTIVE FULL ZIP HOODIE</t>
  </si>
  <si>
    <t>MFKC036MO1</t>
  </si>
  <si>
    <t>ACTIVE SHORT</t>
  </si>
  <si>
    <t>MFLC035MO1</t>
  </si>
  <si>
    <t>ACTIVE SLEEVLESS HOODIE</t>
  </si>
  <si>
    <t>MFR8036R16</t>
  </si>
  <si>
    <t>SIGNATURE PUFF LOGO S/S CRWNCK</t>
  </si>
  <si>
    <t>MFR8036T07</t>
  </si>
  <si>
    <t>SS BASIC CREW W/USA LOGO</t>
  </si>
  <si>
    <t>MFR8036T21</t>
  </si>
  <si>
    <t>S/S BASIC CREW TEE W/GRAPHIC</t>
  </si>
  <si>
    <t>MFR8T23T37</t>
  </si>
  <si>
    <t>TASTY RECORDS RINGER T W CONTR</t>
  </si>
  <si>
    <t>MG34J75H02</t>
  </si>
  <si>
    <t>SAMUEL CARGO SHORTS W/PRINT</t>
  </si>
  <si>
    <t>HU OPTIC WHITE</t>
  </si>
  <si>
    <t>HU CAMEL</t>
  </si>
  <si>
    <t>HU KELLY GREEN</t>
  </si>
  <si>
    <t>HU MILITARY GREEN</t>
  </si>
  <si>
    <t>HU TURQUOISE</t>
  </si>
  <si>
    <t>HU PUNCH</t>
  </si>
  <si>
    <t>HU PINEAPPLE</t>
  </si>
  <si>
    <t>MG34J75K33</t>
  </si>
  <si>
    <t>SAMUEL CARGO SHORTS</t>
  </si>
  <si>
    <t>HU KHAKI</t>
  </si>
  <si>
    <t>HU ROYAL BLUE</t>
  </si>
  <si>
    <t>HU RED</t>
  </si>
  <si>
    <t>MGWPSJ7</t>
  </si>
  <si>
    <t>BE SO BOLD CREW NECK TEE</t>
  </si>
  <si>
    <t>MH0B078L05</t>
  </si>
  <si>
    <t>CBR LT KHAKI CMO</t>
  </si>
  <si>
    <t>MH7H54EM</t>
  </si>
  <si>
    <t>3M DK DRIFTER W/O RIPS</t>
  </si>
  <si>
    <t>MH7H54OMB</t>
  </si>
  <si>
    <t>ZACH MENS JEAN</t>
  </si>
  <si>
    <t>MH7J60OMB</t>
  </si>
  <si>
    <t>ROCCO MENS JEAN</t>
  </si>
  <si>
    <t>MHCQ72J39</t>
  </si>
  <si>
    <t>RQ WHEATLAND NATURAL</t>
  </si>
  <si>
    <t>MHCR11Q11</t>
  </si>
  <si>
    <t>MHI859NMY4</t>
  </si>
  <si>
    <t>NATURALINE SUPER T RICKY W/FLP</t>
  </si>
  <si>
    <t>BXBL</t>
  </si>
  <si>
    <t>BXBL ROLLING ICE</t>
  </si>
  <si>
    <t>MHI859NMY5</t>
  </si>
  <si>
    <t>BROWN/TAN SUPER T RICKY W/FLAP</t>
  </si>
  <si>
    <t>BXDD</t>
  </si>
  <si>
    <t>BXDD CENTERL CTY</t>
  </si>
  <si>
    <t>MHI859NMY8</t>
  </si>
  <si>
    <t>MHIE08NMY4</t>
  </si>
  <si>
    <t>GENO SLIM NATURALINE SUPER T</t>
  </si>
  <si>
    <t>MHIE08NMY7</t>
  </si>
  <si>
    <t>STRING/RED SUPER T GENO W/FLAP</t>
  </si>
  <si>
    <t>BYXL</t>
  </si>
  <si>
    <t>BYXL FOUR RIVER</t>
  </si>
  <si>
    <t>MHIE08NMY9</t>
  </si>
  <si>
    <t>BWXM</t>
  </si>
  <si>
    <t>BWXM ENDLSS ROAD</t>
  </si>
  <si>
    <t>MHIJ19NMY5</t>
  </si>
  <si>
    <t>GENO SLIM BROWN TAN SUPER T</t>
  </si>
  <si>
    <t>MHIJ60NMY6</t>
  </si>
  <si>
    <t>BXCD</t>
  </si>
  <si>
    <t>BXCD ROCKY POINT</t>
  </si>
  <si>
    <t>MHJNZ92K2</t>
  </si>
  <si>
    <t>PUFFER VEST POLY FILL</t>
  </si>
  <si>
    <t>VINTAGE RED</t>
  </si>
  <si>
    <t>MHJNZ93K2</t>
  </si>
  <si>
    <t>PUFFER JACKET POLY FILL VEGAN</t>
  </si>
  <si>
    <t>MHLBP57</t>
  </si>
  <si>
    <t>INDIGO KNIT PHOENIX L/S WEST</t>
  </si>
  <si>
    <t>SLM</t>
  </si>
  <si>
    <t>SLM SCROUNGER</t>
  </si>
  <si>
    <t>MHUB129OB4</t>
  </si>
  <si>
    <t>TRUE FOOTBALLER HOODIE WFLK</t>
  </si>
  <si>
    <t>MI28U24LJ9</t>
  </si>
  <si>
    <t>TR HORSESHOE ALL OVER SS CREW</t>
  </si>
  <si>
    <t>MI28W86NV5</t>
  </si>
  <si>
    <t>TR BIG CREST LS RAGLAN</t>
  </si>
  <si>
    <t>OFF WHITE</t>
  </si>
  <si>
    <t>MIFB078ND7</t>
  </si>
  <si>
    <t>TROOPER DENIM CARGO SHORT</t>
  </si>
  <si>
    <t>CACM</t>
  </si>
  <si>
    <t>CACM EASTERN SHORE</t>
  </si>
  <si>
    <t>MIHBP57</t>
  </si>
  <si>
    <t>PHOENIX LOGO L/S WESTERN SHIRT</t>
  </si>
  <si>
    <t>FK PALE YELLOW DOBBY</t>
  </si>
  <si>
    <t>MIHBR74</t>
  </si>
  <si>
    <t>SAWTOOTH NO LOGO L/S WESTERN S</t>
  </si>
  <si>
    <t>FK RED DOBBY</t>
  </si>
  <si>
    <t>MIIB175ND5</t>
  </si>
  <si>
    <t>BYL KHAKI</t>
  </si>
  <si>
    <t>MIN859NNE2</t>
  </si>
  <si>
    <t>COLORED TWIL SUPER T RICKY W/F</t>
  </si>
  <si>
    <t>BYI PUMICE</t>
  </si>
  <si>
    <t>MIO859NNE3</t>
  </si>
  <si>
    <t>BYI SUNSET</t>
  </si>
  <si>
    <t>MIQ859NNE4</t>
  </si>
  <si>
    <t>RICKY STRAIGHT TWILL SUPER T</t>
  </si>
  <si>
    <t>BYI OLIVE</t>
  </si>
  <si>
    <t>BYI SPRING</t>
  </si>
  <si>
    <t>MIU859NNN1</t>
  </si>
  <si>
    <t>RICKY STRAIGHT COLR TWLL SPR T</t>
  </si>
  <si>
    <t>BYI WHITE</t>
  </si>
  <si>
    <t>MJA800OM</t>
  </si>
  <si>
    <t>YLM</t>
  </si>
  <si>
    <t>YLM ANTELOPE</t>
  </si>
  <si>
    <t>MJA800OMC</t>
  </si>
  <si>
    <t>BOBBY CORE VINTAGE STRAIGHT</t>
  </si>
  <si>
    <t>MJA803OM</t>
  </si>
  <si>
    <t>JOEY FLARE MEN JEAN</t>
  </si>
  <si>
    <t>MJA858OM</t>
  </si>
  <si>
    <t>BILLY BOOT CUT MEN JEAN</t>
  </si>
  <si>
    <t>MJA858OMC</t>
  </si>
  <si>
    <t>BILLY CORE VINTAGE BOOT CUT</t>
  </si>
  <si>
    <t>MJA859CQ6</t>
  </si>
  <si>
    <t>RICKY PREMIUM VINTAGE JEAN</t>
  </si>
  <si>
    <t>MJA859DN0</t>
  </si>
  <si>
    <t>RICKY SADDLE LEATHER JEAN</t>
  </si>
  <si>
    <t>APNM</t>
  </si>
  <si>
    <t>APNM ALLEN STREET</t>
  </si>
  <si>
    <t>MJA859OM</t>
  </si>
  <si>
    <t>MJA859OMC</t>
  </si>
  <si>
    <t>RICKY CORE VINTAGE STRAIGHT</t>
  </si>
  <si>
    <t>MJA9020OM</t>
  </si>
  <si>
    <t>JOHNNY WESTERN JACKET</t>
  </si>
  <si>
    <t>YKM</t>
  </si>
  <si>
    <t>YKM THRISTY CREEK</t>
  </si>
  <si>
    <t>MJAE08OM</t>
  </si>
  <si>
    <t>JACK CORE VINTAGE SLIM JEAN</t>
  </si>
  <si>
    <t>MJAE08OMC</t>
  </si>
  <si>
    <t>JACK CORE VINTAGE SLIM</t>
  </si>
  <si>
    <t>MJAH54CQ6</t>
  </si>
  <si>
    <t>ZACH PREMIUM VINTAGE JEAN</t>
  </si>
  <si>
    <t>MJAH54OM</t>
  </si>
  <si>
    <t>ZACH CORE VINTAGE SLIM JEAN</t>
  </si>
  <si>
    <t>MJAH54OMC</t>
  </si>
  <si>
    <t>ZACH CORE VINTAGE SLIM</t>
  </si>
  <si>
    <t>MJAJ19CQ6</t>
  </si>
  <si>
    <t>GENO PREMIUM VINTAGE JEAN</t>
  </si>
  <si>
    <t>MJAJ19DN0</t>
  </si>
  <si>
    <t>GENO SADDLE LEATHER JEAN</t>
  </si>
  <si>
    <t>MJAJ19OM</t>
  </si>
  <si>
    <t>GENO SLIM BASIC MENS JEAN</t>
  </si>
  <si>
    <t>MJAJ19OMC</t>
  </si>
  <si>
    <t>GENO CORE VINTAGE SLIM</t>
  </si>
  <si>
    <t>MJAJ19SOM</t>
  </si>
  <si>
    <t>GENO CLASSIC CUT OFF SHORT</t>
  </si>
  <si>
    <t>MJAJ60OM</t>
  </si>
  <si>
    <t>ROCCO MIDRISE BASIC MENS JEAN</t>
  </si>
  <si>
    <t>MJAJ60OMC</t>
  </si>
  <si>
    <t>ROCCO CORE VINTAGE SLIM</t>
  </si>
  <si>
    <t>MJAR62OM</t>
  </si>
  <si>
    <t>ACID</t>
  </si>
  <si>
    <t>ACID BILLINGS</t>
  </si>
  <si>
    <t>MJAR62OMC</t>
  </si>
  <si>
    <t>JIMMY CORE VINTAGE JACKET</t>
  </si>
  <si>
    <t>MJAV91OM</t>
  </si>
  <si>
    <t>MJET59Z27</t>
  </si>
  <si>
    <t>MJEY61CR4</t>
  </si>
  <si>
    <t>JAKE CORE WESTERN SHIRT</t>
  </si>
  <si>
    <t>ACCM</t>
  </si>
  <si>
    <t>ACCM SMOKE STACK</t>
  </si>
  <si>
    <t>MJH7S95U97</t>
  </si>
  <si>
    <t>TIME TRIALS FLEECE SWEATER</t>
  </si>
  <si>
    <t>MJH800NOJ2</t>
  </si>
  <si>
    <t>CEGD</t>
  </si>
  <si>
    <t>CEGD TNTD HRTAGE</t>
  </si>
  <si>
    <t>MJH859CV9</t>
  </si>
  <si>
    <t>RICKY FOAM LOGO BIG T JEAN</t>
  </si>
  <si>
    <t>MRM</t>
  </si>
  <si>
    <t>MRM RIDING CANYON</t>
  </si>
  <si>
    <t>MJH859NJW4</t>
  </si>
  <si>
    <t>RICKY STRAIGHT 34 IN SUPER T</t>
  </si>
  <si>
    <t>BNO MAHOGANY</t>
  </si>
  <si>
    <t>MJH859NNA7</t>
  </si>
  <si>
    <t>BXML</t>
  </si>
  <si>
    <t>BXML MNERAL REEF</t>
  </si>
  <si>
    <t>MJH861BF5</t>
  </si>
  <si>
    <t>LOGAN SUPER T SLIM MENS JEAN</t>
  </si>
  <si>
    <t>MJH861BF6</t>
  </si>
  <si>
    <t>MJH861BF7</t>
  </si>
  <si>
    <t>MJH861BF8</t>
  </si>
  <si>
    <t>MJHA604IQ8</t>
  </si>
  <si>
    <t>TRUCKER VEST FASHON DENIM VEST</t>
  </si>
  <si>
    <t>BMEM</t>
  </si>
  <si>
    <t>BMEM WOODFERD</t>
  </si>
  <si>
    <t>MJHA799MY1</t>
  </si>
  <si>
    <t>SLASHED BIG QT - DEAN RELAXED</t>
  </si>
  <si>
    <t>BXAD</t>
  </si>
  <si>
    <t>BXAD FRLSS NGHTS</t>
  </si>
  <si>
    <t>MJHA907LL2</t>
  </si>
  <si>
    <t>RICKY STRAIGHT HGH DNSTY SPR T</t>
  </si>
  <si>
    <t>BSID</t>
  </si>
  <si>
    <t>BSID DARK ALLOY</t>
  </si>
  <si>
    <t>MJHB033LL2</t>
  </si>
  <si>
    <t>GENO SLIM HIGH DENSITY SUPER T</t>
  </si>
  <si>
    <t>MJHC139OB3</t>
  </si>
  <si>
    <t>CFFM</t>
  </si>
  <si>
    <t>CFFM DSRT RNEWAL</t>
  </si>
  <si>
    <t>MJHC214OB3</t>
  </si>
  <si>
    <t>MJHE08NOJ2</t>
  </si>
  <si>
    <t>MJHJ19CV9</t>
  </si>
  <si>
    <t>GENO FOAM LOGO BIG T JEAN</t>
  </si>
  <si>
    <t>MJHJ19NJW4</t>
  </si>
  <si>
    <t>GENO SLIM 34 IN SUPER T</t>
  </si>
  <si>
    <t>MJHJ19NMZ9</t>
  </si>
  <si>
    <t>BYEL</t>
  </si>
  <si>
    <t>BYEL STILL LAKE</t>
  </si>
  <si>
    <t>MJHJ19NNA7</t>
  </si>
  <si>
    <t>MJHR38R88</t>
  </si>
  <si>
    <t>DINO BLUE COLLAR WIDE GOODS ME</t>
  </si>
  <si>
    <t>SQD</t>
  </si>
  <si>
    <t>SQD DETONATION</t>
  </si>
  <si>
    <t>MJHR43R88</t>
  </si>
  <si>
    <t>ROCCO BLUE COLLOR WIDE GOODS S</t>
  </si>
  <si>
    <t>SBD</t>
  </si>
  <si>
    <t>SBD COPPERHEAD</t>
  </si>
  <si>
    <t>MJHR44R88</t>
  </si>
  <si>
    <t>GENO BLUE COLLAR WIDE GOODS SL</t>
  </si>
  <si>
    <t>MJHR62NA7</t>
  </si>
  <si>
    <t>MINERAL REEF SUPER T JIMMY</t>
  </si>
  <si>
    <t>MJHT67U51</t>
  </si>
  <si>
    <t>JACK DOUBLE STITCH JEAN</t>
  </si>
  <si>
    <t>TSD</t>
  </si>
  <si>
    <t>APPALOOSA</t>
  </si>
  <si>
    <t>MJHU40W61</t>
  </si>
  <si>
    <t>GENO TUXEDO GANG DIE MEN JEAN</t>
  </si>
  <si>
    <t>MJHU41W61</t>
  </si>
  <si>
    <t>ROCCO TUXEDO GANG DIE MEN JEAN</t>
  </si>
  <si>
    <t>MJHV43Y40</t>
  </si>
  <si>
    <t>RICKY GENERAL LEE MENS JEAN</t>
  </si>
  <si>
    <t>55 COWBOY DESTROYED</t>
  </si>
  <si>
    <t>XMD</t>
  </si>
  <si>
    <t>XMD MONARCH</t>
  </si>
  <si>
    <t>MJHV44Y40</t>
  </si>
  <si>
    <t>JACK GENERAL LEE MENS JEAN</t>
  </si>
  <si>
    <t>MJHV45Y40</t>
  </si>
  <si>
    <t>ROCCO GENERAL LEE MENS JEAN</t>
  </si>
  <si>
    <t>MJHW50AS6</t>
  </si>
  <si>
    <t>JACK  MULTI-STITCH LOGO MENS</t>
  </si>
  <si>
    <t>XSM</t>
  </si>
  <si>
    <t>XSM JAMESON</t>
  </si>
  <si>
    <t>MJHW51CU1</t>
  </si>
  <si>
    <t>JIMMY TRUCKER GENERAL LEE MENS</t>
  </si>
  <si>
    <t>MJHW51Y40</t>
  </si>
  <si>
    <t>MJHW52AS6</t>
  </si>
  <si>
    <t>RICKY MULTI-STITCH LOGO MENS</t>
  </si>
  <si>
    <t>MJHW52BS8</t>
  </si>
  <si>
    <t>RICKY INDIGO MULTI STITCH JEAN</t>
  </si>
  <si>
    <t>Z2D</t>
  </si>
  <si>
    <t>Z2D DK BRKEN AXL</t>
  </si>
  <si>
    <t>MJHW54AS6</t>
  </si>
  <si>
    <t>ZACH MULTI-STITCH LOGO MENS</t>
  </si>
  <si>
    <t>MJHW54BS8</t>
  </si>
  <si>
    <t>ZACH INDIGO MULTI STITCH JEAN</t>
  </si>
  <si>
    <t>Z2M</t>
  </si>
  <si>
    <t>Z2M BROKEN AXEL</t>
  </si>
  <si>
    <t>MJHX11Y40</t>
  </si>
  <si>
    <t>BOBBY GENERAL LEE MENS JEAN</t>
  </si>
  <si>
    <t>MJHX12AS6</t>
  </si>
  <si>
    <t>BOBBY MULTI-STITCH LOGO MENS</t>
  </si>
  <si>
    <t>MJJR38R88</t>
  </si>
  <si>
    <t>DINO BLUE COLLAR MENS WORK WEA</t>
  </si>
  <si>
    <t>SCM</t>
  </si>
  <si>
    <t>SCM AVENGER</t>
  </si>
  <si>
    <t>MJJR43R88</t>
  </si>
  <si>
    <t>ROCCO BLUE COLLAR SKINNY MENS</t>
  </si>
  <si>
    <t>MJJR44R88</t>
  </si>
  <si>
    <t>GENO BLUE COLLAR SLIM MENS JEA</t>
  </si>
  <si>
    <t>MJM8U24QN5</t>
  </si>
  <si>
    <t>TRUE FAIR ISLE SS CREW</t>
  </si>
  <si>
    <t>MJM8U24QN6</t>
  </si>
  <si>
    <t>THE BRAND SS CREW</t>
  </si>
  <si>
    <t>MJM8U24QN7</t>
  </si>
  <si>
    <t>BRAND BLOCK SS CREW</t>
  </si>
  <si>
    <t>MJM8U24QO2</t>
  </si>
  <si>
    <t>TR BIG CITY SS CREW</t>
  </si>
  <si>
    <t>MJM8U24QU9</t>
  </si>
  <si>
    <t>BLACK FRIDAY 14 SS CREW</t>
  </si>
  <si>
    <t>MJM8W86QN9</t>
  </si>
  <si>
    <t>THROWBACK TR LS RAGLAN T</t>
  </si>
  <si>
    <t>WINTER WH /MERLOT</t>
  </si>
  <si>
    <t>MJM8Z65QO4</t>
  </si>
  <si>
    <t>TRUE R SS FOOTBALL TEE</t>
  </si>
  <si>
    <t>MJMA204OF9</t>
  </si>
  <si>
    <t>CRAFTED WITH PRIDE TANK TOP</t>
  </si>
  <si>
    <t>VICENTE BLUE</t>
  </si>
  <si>
    <t>MJMA271NY4</t>
  </si>
  <si>
    <t>HEAVY HITTER LS FOOTBALL T</t>
  </si>
  <si>
    <t>MJMA271QO1</t>
  </si>
  <si>
    <t>BIG BLOCK 71 LS CREW</t>
  </si>
  <si>
    <t>MJMA271QO3</t>
  </si>
  <si>
    <t>TR OG LS CREW PRNT MATTE FOIL</t>
  </si>
  <si>
    <t>MJMA271QO5</t>
  </si>
  <si>
    <t>SLEEVE FADE LS CREW</t>
  </si>
  <si>
    <t>MJMB121QO6</t>
  </si>
  <si>
    <t>TR STARTER SS CREW</t>
  </si>
  <si>
    <t>CHARCOAL / BLACK</t>
  </si>
  <si>
    <t>NAVY / DK NAVY</t>
  </si>
  <si>
    <t>MJMB145QO0</t>
  </si>
  <si>
    <t>BUTTONS EVERYWHERE SS PKT T</t>
  </si>
  <si>
    <t>MJMW58QN8</t>
  </si>
  <si>
    <t>FADING HORSESHOES SS V NECK</t>
  </si>
  <si>
    <t>MJMW58QO7</t>
  </si>
  <si>
    <t>BIG SKULL TOUR SS V NECK</t>
  </si>
  <si>
    <t>MJO9W75IK</t>
  </si>
  <si>
    <t>PRINTED CHEVRON STRIPPED JCKT</t>
  </si>
  <si>
    <t>MJPBP57</t>
  </si>
  <si>
    <t>INDIGO SHIRTING PHOENIX LOGO</t>
  </si>
  <si>
    <t>SL INK</t>
  </si>
  <si>
    <t>SL JASPER</t>
  </si>
  <si>
    <t>MJPBT32VR</t>
  </si>
  <si>
    <t>INDIGO PLAID L/S WORKWEAR SHIR</t>
  </si>
  <si>
    <t>SL COUNTRY</t>
  </si>
  <si>
    <t>MJPBT32Y11</t>
  </si>
  <si>
    <t>INDIGO PLAID WORK WEAR SHIRT</t>
  </si>
  <si>
    <t>MJPBV92VR</t>
  </si>
  <si>
    <t>SL STEEL BLUE</t>
  </si>
  <si>
    <t>SL BRISTOL</t>
  </si>
  <si>
    <t>MJPBX17VY</t>
  </si>
  <si>
    <t>TRIPLE NEEDLE WORKWEAR SHIRT</t>
  </si>
  <si>
    <t>ARN DUSK BLUE</t>
  </si>
  <si>
    <t>SL AGATE BLUE</t>
  </si>
  <si>
    <t>SL GROVE</t>
  </si>
  <si>
    <t>MJQ9S82</t>
  </si>
  <si>
    <t>PUFFER VEST W/LEATHER YOKE - D</t>
  </si>
  <si>
    <t>MJR8036CX5</t>
  </si>
  <si>
    <t>HAPPY MOON SS CREWNECK TEE</t>
  </si>
  <si>
    <t>3C DK SLATE BLUE</t>
  </si>
  <si>
    <t>MJR8036CZ6</t>
  </si>
  <si>
    <t>KEEP IT NATURAL SS CREWNECK TE</t>
  </si>
  <si>
    <t>MJR8036CZ7</t>
  </si>
  <si>
    <t>HARDWOOD STATE SS CREWNECK</t>
  </si>
  <si>
    <t>3C SEAL</t>
  </si>
  <si>
    <t>MJR8036CZ8</t>
  </si>
  <si>
    <t>CHICKEN SHACK SS CREWNECK TEE</t>
  </si>
  <si>
    <t>MJR8036CZ9</t>
  </si>
  <si>
    <t>JUNK PARTS SS CREWNECK TEE</t>
  </si>
  <si>
    <t>MJR8036FT2</t>
  </si>
  <si>
    <t>MAGIC RIDE SS CREWNECK TEE</t>
  </si>
  <si>
    <t>MJR8036FT6</t>
  </si>
  <si>
    <t>WIDOWMAKER SS CREW NECK TEE</t>
  </si>
  <si>
    <t>MJR8036GV9</t>
  </si>
  <si>
    <t>TRUETON SS CREWNECK TEE</t>
  </si>
  <si>
    <t>3C BUTTER</t>
  </si>
  <si>
    <t>Y3 BUTTER</t>
  </si>
  <si>
    <t>MJR8R77DF6</t>
  </si>
  <si>
    <t>FLOCKED HORSESHOE SLUB HENLEY</t>
  </si>
  <si>
    <t>MJR8R77DY7</t>
  </si>
  <si>
    <t>BRANDED HENLEY LS SLUB HENLEY</t>
  </si>
  <si>
    <t>MJR8R77U26</t>
  </si>
  <si>
    <t>L/S SLUB JERSEY HENLEY</t>
  </si>
  <si>
    <t>09 MAHOGANY</t>
  </si>
  <si>
    <t>MJR8R77V95</t>
  </si>
  <si>
    <t>MENS SLUB JERSEY HENLEY</t>
  </si>
  <si>
    <t>09 LAKE</t>
  </si>
  <si>
    <t>MJR8S32EG</t>
  </si>
  <si>
    <t>SLUB BRANDED CREWNECK TEE</t>
  </si>
  <si>
    <t>MJR8S32T22</t>
  </si>
  <si>
    <t>SLUB S/S CREW NECK W/GRAPHIC</t>
  </si>
  <si>
    <t>MJR8S32T23</t>
  </si>
  <si>
    <t>MJR8S32T24</t>
  </si>
  <si>
    <t>MJR8S32T25</t>
  </si>
  <si>
    <t>3C EVERGREEN</t>
  </si>
  <si>
    <t>MJR8S32T26</t>
  </si>
  <si>
    <t>MJR8S32T27</t>
  </si>
  <si>
    <t>SLUB SS CRW NK W/TRBJ GRAPHIC</t>
  </si>
  <si>
    <t>3C DK STORM</t>
  </si>
  <si>
    <t>MJR8S32T28</t>
  </si>
  <si>
    <t>MJR8S32T30</t>
  </si>
  <si>
    <t>3C BLUE SHADOW</t>
  </si>
  <si>
    <t>MJR8S32T31</t>
  </si>
  <si>
    <t>REBELS  S/S CREW NECK TEE</t>
  </si>
  <si>
    <t>3C OAK LEAF</t>
  </si>
  <si>
    <t>MJR8Y76Y98</t>
  </si>
  <si>
    <t>STENCIL POCKET POLO</t>
  </si>
  <si>
    <t>3C CURRY</t>
  </si>
  <si>
    <t>MJRB177NT4</t>
  </si>
  <si>
    <t>S/S CREW W/LOOSE OVERLOCK</t>
  </si>
  <si>
    <t>MJS8S62T40</t>
  </si>
  <si>
    <t>MOCK TWIST FOOTBALL T W/GRAPHI</t>
  </si>
  <si>
    <t>09 OAK LEAF</t>
  </si>
  <si>
    <t>MJS8S62T41</t>
  </si>
  <si>
    <t>09 INDIGO</t>
  </si>
  <si>
    <t>MJS8S62T42</t>
  </si>
  <si>
    <t>MJS8S62T82</t>
  </si>
  <si>
    <t>MJU9S82</t>
  </si>
  <si>
    <t>PUFFER VEST W/LEATHER YOKE</t>
  </si>
  <si>
    <t>MJU9U86</t>
  </si>
  <si>
    <t>NYLON RACER JKT</t>
  </si>
  <si>
    <t>MED BLUE</t>
  </si>
  <si>
    <t>MJW859S34</t>
  </si>
  <si>
    <t>RICKY VINTAGE STRAIGHT MENS JE</t>
  </si>
  <si>
    <t>RCM</t>
  </si>
  <si>
    <t>RCM TYRANT</t>
  </si>
  <si>
    <t>RDL</t>
  </si>
  <si>
    <t>RDL SUPREMACY</t>
  </si>
  <si>
    <t>MJWH54S34</t>
  </si>
  <si>
    <t>ZACH VINTAGE SKINNY MENS JEAN</t>
  </si>
  <si>
    <t>MJWH54X85</t>
  </si>
  <si>
    <t>ZACH SKINNYMEN JEAN</t>
  </si>
  <si>
    <t>VKD</t>
  </si>
  <si>
    <t>COTTONWOOD</t>
  </si>
  <si>
    <t>XYM</t>
  </si>
  <si>
    <t>XYM MULE SKINNER</t>
  </si>
  <si>
    <t>MJWJ19S34</t>
  </si>
  <si>
    <t>GENO VINTAGE SLIM MENS JEAN</t>
  </si>
  <si>
    <t>SSD</t>
  </si>
  <si>
    <t>SSD UNJUST</t>
  </si>
  <si>
    <t>MJWJ19X85</t>
  </si>
  <si>
    <t>MJWJ60S34</t>
  </si>
  <si>
    <t>ROCCO VINTAGE MID RISE SKINNY</t>
  </si>
  <si>
    <t>MJWP22R99</t>
  </si>
  <si>
    <t>MJWP23R99</t>
  </si>
  <si>
    <t>MJWP27R99</t>
  </si>
  <si>
    <t>DAVEY PONY EXPRESS PEG LEG MEN</t>
  </si>
  <si>
    <t>MJWR47R99</t>
  </si>
  <si>
    <t>BOBBY PONY EXPRESS STRAIGHT ME</t>
  </si>
  <si>
    <t>MJWR62S34</t>
  </si>
  <si>
    <t>JIMMY VINTAGE MENS WESTERN JKT</t>
  </si>
  <si>
    <t>SOM</t>
  </si>
  <si>
    <t>SOM FALCON DAWN</t>
  </si>
  <si>
    <t>MJWR62X85</t>
  </si>
  <si>
    <t>MJX8S96U61</t>
  </si>
  <si>
    <t>SIGNATURE POLO SHIRT</t>
  </si>
  <si>
    <t>3C BRANCH</t>
  </si>
  <si>
    <t>MJX8U82AB0</t>
  </si>
  <si>
    <t>Y3 FADED BLACK</t>
  </si>
  <si>
    <t>V1 WHITE</t>
  </si>
  <si>
    <t>Y3 FADED KELLY GREEN</t>
  </si>
  <si>
    <t>Y3 FADED TURQUOISE</t>
  </si>
  <si>
    <t>ABE FADED NAVY</t>
  </si>
  <si>
    <t>Y3 FADED DAFFODIL</t>
  </si>
  <si>
    <t>MJX8U82DF5</t>
  </si>
  <si>
    <t>BEADED POLO</t>
  </si>
  <si>
    <t>YH BLACK</t>
  </si>
  <si>
    <t>YH TURQUOISE</t>
  </si>
  <si>
    <t>YH SCARLET</t>
  </si>
  <si>
    <t>MJX8V30Y67</t>
  </si>
  <si>
    <t>BUDDHA RIDER 3 CLR BLOKED POLO</t>
  </si>
  <si>
    <t>WG CREAM</t>
  </si>
  <si>
    <t>WG SKY BLUE</t>
  </si>
  <si>
    <t>MJZ7S97U07</t>
  </si>
  <si>
    <t>INDIGO PULLOVER HOODIE</t>
  </si>
  <si>
    <t>TBM INTIQUITY</t>
  </si>
  <si>
    <t>MK29E50M29</t>
  </si>
  <si>
    <t>NYLON PARKA JACKET W/COYOTE FU</t>
  </si>
  <si>
    <t>MKD7V86Y96</t>
  </si>
  <si>
    <t>WG HEATHER GREY</t>
  </si>
  <si>
    <t>MKD8U14V85</t>
  </si>
  <si>
    <t>SPEED CLUB REVERSE TERRY CONTR</t>
  </si>
  <si>
    <t>09 HEATHER GREY / BLACK</t>
  </si>
  <si>
    <t>MKGA451NC0</t>
  </si>
  <si>
    <t>GRAPHIC TEE PCH DRIVING CREW</t>
  </si>
  <si>
    <t>09 PACIFIC</t>
  </si>
  <si>
    <t>MKGA451NC1</t>
  </si>
  <si>
    <t>GRAPHIC TEE LA SUNSET</t>
  </si>
  <si>
    <t>MKLA451NB9</t>
  </si>
  <si>
    <t>STREET SKULL/BURNOUT</t>
  </si>
  <si>
    <t>MKLB176NN5</t>
  </si>
  <si>
    <t>MUSCLE TEE</t>
  </si>
  <si>
    <t>MKLB228NC5</t>
  </si>
  <si>
    <t>STRIPES MUSCLE TEE</t>
  </si>
  <si>
    <t>MKSB078NU2</t>
  </si>
  <si>
    <t>MKVC142IK</t>
  </si>
  <si>
    <t>LAMBSKIN/CHAMBRAY JKT</t>
  </si>
  <si>
    <t>CGL IND W LTHER</t>
  </si>
  <si>
    <t>ML4BL68VY</t>
  </si>
  <si>
    <t>FK OASIS</t>
  </si>
  <si>
    <t>FK CARMINE RED</t>
  </si>
  <si>
    <t>FK WOODLAND</t>
  </si>
  <si>
    <t>ML4BL68VYC</t>
  </si>
  <si>
    <t>PLAID POPLIN ROCKY WESTERN</t>
  </si>
  <si>
    <t>ML4BN12VR</t>
  </si>
  <si>
    <t>SHORT SLEEVE PLAID MICK SHIRT</t>
  </si>
  <si>
    <t>RP HUSK</t>
  </si>
  <si>
    <t>RP WHARF</t>
  </si>
  <si>
    <t>RP CHALK</t>
  </si>
  <si>
    <t>ML4BP57</t>
  </si>
  <si>
    <t>FK SADDLE</t>
  </si>
  <si>
    <t>FK MAPLE BROWN</t>
  </si>
  <si>
    <t>FK MIDNIGHT BLUE</t>
  </si>
  <si>
    <t>FK WINTER BLUE</t>
  </si>
  <si>
    <t>FK SAFFRON</t>
  </si>
  <si>
    <t>ML4BR74</t>
  </si>
  <si>
    <t>FK MESA</t>
  </si>
  <si>
    <t>FK CREEK BLUE</t>
  </si>
  <si>
    <t>FK ACORN</t>
  </si>
  <si>
    <t>FK CAYENNE</t>
  </si>
  <si>
    <t>ML4BT32Y11</t>
  </si>
  <si>
    <t>PLAID POPLIN WORKWEAR SHIRT</t>
  </si>
  <si>
    <t>FK BALTIC BLUE</t>
  </si>
  <si>
    <t>FK RUBY</t>
  </si>
  <si>
    <t>MLCB177NU3</t>
  </si>
  <si>
    <t>MLCB177NX7</t>
  </si>
  <si>
    <t>DESERT SUN</t>
  </si>
  <si>
    <t>MLEA301NR7</t>
  </si>
  <si>
    <t>PERF REPEAT S/S GRAPHIC TEE</t>
  </si>
  <si>
    <t>JET</t>
  </si>
  <si>
    <t>MLEB166KG6</t>
  </si>
  <si>
    <t>MLK7V12Y54</t>
  </si>
  <si>
    <t>SPORTY NATIVE L/S FBALL HOODIE</t>
  </si>
  <si>
    <t>WH CHARCOAL</t>
  </si>
  <si>
    <t>MLK7V12Y86</t>
  </si>
  <si>
    <t>56 BUDDHA L/S FOOTBALL HOODIE</t>
  </si>
  <si>
    <t>WH SEA BLUE</t>
  </si>
  <si>
    <t>MLK8036AA1</t>
  </si>
  <si>
    <t>MR HAVANA S/S CREWNECK</t>
  </si>
  <si>
    <t>MLK8036AA2</t>
  </si>
  <si>
    <t>SURF'S UP S/S CREWNECK</t>
  </si>
  <si>
    <t>MLK8036AA3</t>
  </si>
  <si>
    <t>SUNSHINE FEST S/S CREWNECK</t>
  </si>
  <si>
    <t>MLK8036AA4</t>
  </si>
  <si>
    <t>MALIBU SKATER S/S CREW</t>
  </si>
  <si>
    <t>MLK8036AA5</t>
  </si>
  <si>
    <t>TR CALI SURFING S/S CREWNECK</t>
  </si>
  <si>
    <t>MLK8036AZ3</t>
  </si>
  <si>
    <t>VENICE WILDCATS SS CREWNECK TE</t>
  </si>
  <si>
    <t>MLK8036BD6</t>
  </si>
  <si>
    <t>NUMBER 1 S/S CREWNECK</t>
  </si>
  <si>
    <t>MLK8036BD8</t>
  </si>
  <si>
    <t>TR CHAINSTITCH S/S CREWNECK</t>
  </si>
  <si>
    <t>MLK8036CA8</t>
  </si>
  <si>
    <t>FAST BREAK S/S CREWNECK</t>
  </si>
  <si>
    <t>3C OCEAN BLUE</t>
  </si>
  <si>
    <t>MLK8036CX4</t>
  </si>
  <si>
    <t>MLK8036CX6</t>
  </si>
  <si>
    <t>SPEED NUT SS CREWNECK TEE</t>
  </si>
  <si>
    <t>V4 CHARCOAL</t>
  </si>
  <si>
    <t>V4 DK TEAL</t>
  </si>
  <si>
    <t>V4 SCARLET</t>
  </si>
  <si>
    <t>V4 SIENNA</t>
  </si>
  <si>
    <t>MLK8036CX8</t>
  </si>
  <si>
    <t>OUT OF SIGHT SS CREWNECK TEE</t>
  </si>
  <si>
    <t>MLK8036CX9</t>
  </si>
  <si>
    <t>TRUE FESTIVAL SS CREWNECK TEE</t>
  </si>
  <si>
    <t>MLK8036CY1</t>
  </si>
  <si>
    <t>VENUS PLANET SS CREWNECK TEE</t>
  </si>
  <si>
    <t>MLK8036CY2</t>
  </si>
  <si>
    <t>PEACE AWARENESS SS CREWNECK T</t>
  </si>
  <si>
    <t>MLK8036DY1</t>
  </si>
  <si>
    <t>RIDER TEXT S/S CREW NECK TEE</t>
  </si>
  <si>
    <t>MLK8036DY2</t>
  </si>
  <si>
    <t>TR WHISKEY S/S CREW NECK TEE</t>
  </si>
  <si>
    <t>MLK8036DY4</t>
  </si>
  <si>
    <t>TR EAGLE S/S CREW NECK TEE</t>
  </si>
  <si>
    <t>MLK8036DY5</t>
  </si>
  <si>
    <t>NATIVES 56 S/S CREW NECK TEE</t>
  </si>
  <si>
    <t>MLK8036DY6</t>
  </si>
  <si>
    <t>TR HAWKLINES S/S CREW NECK TEE</t>
  </si>
  <si>
    <t>MLK8036ED5</t>
  </si>
  <si>
    <t>WORLD TOUR UPDATE SS CREWNEK T</t>
  </si>
  <si>
    <t>MLK8036EF2</t>
  </si>
  <si>
    <t>PSYCHADELIC STATE SS CREWNECK</t>
  </si>
  <si>
    <t>MLK8036EF3</t>
  </si>
  <si>
    <t>INDIAN HEADRESS S/S CREW NECK</t>
  </si>
  <si>
    <t>MLK8036FT3</t>
  </si>
  <si>
    <t>MLK8036FT4</t>
  </si>
  <si>
    <t>DUO SS CREW NECK TEE</t>
  </si>
  <si>
    <t>MLK8036FT7</t>
  </si>
  <si>
    <t>OILDALE MUSIC FEST SS CREWNK T</t>
  </si>
  <si>
    <t>MLK8036FT8</t>
  </si>
  <si>
    <t>KNUCKS SS CREW NECK TEE</t>
  </si>
  <si>
    <t>MLK8036GV6</t>
  </si>
  <si>
    <t>MLK8036HB2</t>
  </si>
  <si>
    <t>MLK8036HC2</t>
  </si>
  <si>
    <t>BASICS S/S CREW NECK TEE</t>
  </si>
  <si>
    <t>MLK8036V61</t>
  </si>
  <si>
    <t>TR WARRIORS S/S CREW NECK</t>
  </si>
  <si>
    <t>MLK8036V62</t>
  </si>
  <si>
    <t>CALAVERAS TAVERN S/S CREW NECK</t>
  </si>
  <si>
    <t>MLK8036V65</t>
  </si>
  <si>
    <t>SANTA CRUZ S/S CREW NECK</t>
  </si>
  <si>
    <t>MLK8036V71</t>
  </si>
  <si>
    <t>TOUGH AS NAILS S/S CREW NECK</t>
  </si>
  <si>
    <t>MLK8036V97</t>
  </si>
  <si>
    <t>CHIEF CYCLES S/S CREW NECK</t>
  </si>
  <si>
    <t>MLK8036W56</t>
  </si>
  <si>
    <t>ACHILLEUS LOGO CREW NECK T-SHI</t>
  </si>
  <si>
    <t>VH WHITE</t>
  </si>
  <si>
    <t>MLK8036Y78</t>
  </si>
  <si>
    <t>WISE GUY VINYL S/S CREWNECK</t>
  </si>
  <si>
    <t>MLK8036Y79</t>
  </si>
  <si>
    <t>HIPPI HAIR S/S CREWNECK</t>
  </si>
  <si>
    <t>MLK8036Z24</t>
  </si>
  <si>
    <t>MALIBU FAIR S/S CREWNECK</t>
  </si>
  <si>
    <t>MLK8036Z41</t>
  </si>
  <si>
    <t>AM- TRU S/S CREWNECK</t>
  </si>
  <si>
    <t>MLK8L14CZ0</t>
  </si>
  <si>
    <t>HIPPY DIPPY LS CREW</t>
  </si>
  <si>
    <t>MLK8L14CZ1</t>
  </si>
  <si>
    <t>REPAIR SHOP LS CREW</t>
  </si>
  <si>
    <t>MLK8L14CZ2</t>
  </si>
  <si>
    <t>BONE THRASHER LS CREW</t>
  </si>
  <si>
    <t>MLK8L14CZ3</t>
  </si>
  <si>
    <t>WAVY MOTO LS CREW</t>
  </si>
  <si>
    <t>MLK8L14W54</t>
  </si>
  <si>
    <t>YEARBOOK LS CREW NECK</t>
  </si>
  <si>
    <t>MLK8T39V95</t>
  </si>
  <si>
    <t>SIGNATURE LOGO L/S HOODED HENL</t>
  </si>
  <si>
    <t>3C REDWOOD</t>
  </si>
  <si>
    <t>MLK8V05Y63</t>
  </si>
  <si>
    <t>TRUE RELIGION GRAND PRIX TEE</t>
  </si>
  <si>
    <t>MLK8V05Y76</t>
  </si>
  <si>
    <t>WESTSIDER S/S RAGLAN  FTBALL T</t>
  </si>
  <si>
    <t>WH RED / CHARCOAL</t>
  </si>
  <si>
    <t>MLK8V05Z16</t>
  </si>
  <si>
    <t>TR GAS S/S RAGLAN FTBALL TEE</t>
  </si>
  <si>
    <t>MLK8V10AW9</t>
  </si>
  <si>
    <t>COLOR BLOCKED POCKET TEE</t>
  </si>
  <si>
    <t>WH PEBBLE GREY</t>
  </si>
  <si>
    <t>WH CREAM</t>
  </si>
  <si>
    <t>MLK8V32Y73</t>
  </si>
  <si>
    <t>MLK8V32Y83</t>
  </si>
  <si>
    <t>MLK8X82CS2</t>
  </si>
  <si>
    <t>ATHLETIC 71 VNECK TEE</t>
  </si>
  <si>
    <t>QY WHITE</t>
  </si>
  <si>
    <t>AOW KELLY GREEN</t>
  </si>
  <si>
    <t>AOW PLUM</t>
  </si>
  <si>
    <t>AOW SCARLET</t>
  </si>
  <si>
    <t>MLK8Y95DA0</t>
  </si>
  <si>
    <t>RETRO LOGO  VNECK RINGER TEE</t>
  </si>
  <si>
    <t>WG WHITE/DK TEAL</t>
  </si>
  <si>
    <t>WH SCRLET/DK NVY</t>
  </si>
  <si>
    <t>WH PNAP/DK SLT BL</t>
  </si>
  <si>
    <t>WH CURRY/CRIMSON</t>
  </si>
  <si>
    <t>MLKA006DZ6</t>
  </si>
  <si>
    <t>T RELIGION SS CRWNCK POCKET T</t>
  </si>
  <si>
    <t>MLKA230FW6</t>
  </si>
  <si>
    <t>PRINTED STRIPE SS POCKET TEE</t>
  </si>
  <si>
    <t>BAO FDED OLD SGE</t>
  </si>
  <si>
    <t>MLLB156NR7</t>
  </si>
  <si>
    <t>CGK INDIGO</t>
  </si>
  <si>
    <t>MLP156102</t>
  </si>
  <si>
    <t>ACE HI LEATHER MENS SHOE</t>
  </si>
  <si>
    <t>MLP156103</t>
  </si>
  <si>
    <t>ACE LOW LEATHER MENS SHOE</t>
  </si>
  <si>
    <t>MLPTR1428</t>
  </si>
  <si>
    <t>SOLID KNIT GLOVES</t>
  </si>
  <si>
    <t>MLPTR1429</t>
  </si>
  <si>
    <t>SOLID WATCHCAP</t>
  </si>
  <si>
    <t>MLPTR1798</t>
  </si>
  <si>
    <t>CAMO BASEBALL CAP</t>
  </si>
  <si>
    <t>DIME</t>
  </si>
  <si>
    <t>PUMICE</t>
  </si>
  <si>
    <t>SAFFRON</t>
  </si>
  <si>
    <t>MLPTR1800</t>
  </si>
  <si>
    <t>PRINTED LEATHER BASEBALL CAP</t>
  </si>
  <si>
    <t>SPRUCE GREEN</t>
  </si>
  <si>
    <t>MLPTR1801</t>
  </si>
  <si>
    <t>DENIM BASEBALL CAP</t>
  </si>
  <si>
    <t>MLPTR1802</t>
  </si>
  <si>
    <t>CORDUROY 5 PANEL CAP</t>
  </si>
  <si>
    <t>MLPTR1809</t>
  </si>
  <si>
    <t>CHECK DENIM BASEBALL CAP</t>
  </si>
  <si>
    <t>COFFEE BEAN</t>
  </si>
  <si>
    <t>MLPTR1813</t>
  </si>
  <si>
    <t>HORSESHOE LOGO BASEBALL CAP</t>
  </si>
  <si>
    <t>FACTORY GREY</t>
  </si>
  <si>
    <t>BARK</t>
  </si>
  <si>
    <t>MLPTR1815</t>
  </si>
  <si>
    <t>TONAL 3D LOGO BASEBALL CAP</t>
  </si>
  <si>
    <t>MAROON</t>
  </si>
  <si>
    <t>MLPTR1843T</t>
  </si>
  <si>
    <t>BRANDY SHOE BASEBALL CAP</t>
  </si>
  <si>
    <t>MLPTR1852T</t>
  </si>
  <si>
    <t>ATHLETIC DEPT BASEBALL CAP</t>
  </si>
  <si>
    <t>WHITE / SAFFRON</t>
  </si>
  <si>
    <t>MLQB011IK</t>
  </si>
  <si>
    <t>AGAVE</t>
  </si>
  <si>
    <t>MLRA577NW4</t>
  </si>
  <si>
    <t>TERRY EMB RAGLAN SWEATSHIRT</t>
  </si>
  <si>
    <t>MLRB154IK</t>
  </si>
  <si>
    <t>SLIM RUNNER PANTS</t>
  </si>
  <si>
    <t>MLRC215QW6</t>
  </si>
  <si>
    <t>MLS7U18V89</t>
  </si>
  <si>
    <t>TRMFG ZIP HOODIE</t>
  </si>
  <si>
    <t>MLS7U18W55</t>
  </si>
  <si>
    <t>BRANDED SLEEVE ZIP HOODIE</t>
  </si>
  <si>
    <t>MLS7V86Y96</t>
  </si>
  <si>
    <t>MLTC145IK</t>
  </si>
  <si>
    <t>STRIPED JERSEY HENLEY</t>
  </si>
  <si>
    <t>CGD IND W MINI ST</t>
  </si>
  <si>
    <t>MLW7V12Y85</t>
  </si>
  <si>
    <t>HOPPING BOOMERS L/S FBALL HDIE</t>
  </si>
  <si>
    <t>MLW8036CY0</t>
  </si>
  <si>
    <t>ROCKN BUDDHA SS CREWNECK</t>
  </si>
  <si>
    <t>MLW8036DY3</t>
  </si>
  <si>
    <t>TR PANTHER S/S CREW NECK TEE</t>
  </si>
  <si>
    <t>MLW8036HB1</t>
  </si>
  <si>
    <t>TR STARS S/S CREW NECK TEE</t>
  </si>
  <si>
    <t>MLW8036W56</t>
  </si>
  <si>
    <t>VG HEATHER GREY</t>
  </si>
  <si>
    <t>MLW8036Y58</t>
  </si>
  <si>
    <t>THE GOLDEN STATE S/S CREWNECK</t>
  </si>
  <si>
    <t>MLW8V32Z17</t>
  </si>
  <si>
    <t>POW WOW RINGER TEE</t>
  </si>
  <si>
    <t>WG HEATHER GREY / DK NAVY</t>
  </si>
  <si>
    <t>MLY7S81T99</t>
  </si>
  <si>
    <t>OUTSIDERS 56 FLEECE L/S CREW N</t>
  </si>
  <si>
    <t>MLY7S81U98</t>
  </si>
  <si>
    <t>POPS MOTOR FLEECE SWEATER</t>
  </si>
  <si>
    <t>MLY7S95T98</t>
  </si>
  <si>
    <t>KENTUCKY CHAMPIONS FLEECE SWEA</t>
  </si>
  <si>
    <t>MLY7S97DB4</t>
  </si>
  <si>
    <t>ATWATER VILLAGE PULLOVR HOODIE</t>
  </si>
  <si>
    <t>3C SIENNA</t>
  </si>
  <si>
    <t>MM0A638VR</t>
  </si>
  <si>
    <t>INDIGO L/S SINGLE POCKET SHIRT</t>
  </si>
  <si>
    <t>2S SOLID INDIGO</t>
  </si>
  <si>
    <t>MMA859OM</t>
  </si>
  <si>
    <t>STRAIGHT WFLP PREMIUM BASIC OM</t>
  </si>
  <si>
    <t>BZVD</t>
  </si>
  <si>
    <t>BZVD OLD CROAKER</t>
  </si>
  <si>
    <t>MMA859QM5</t>
  </si>
  <si>
    <t>STRAIGHT  WFLPS LEATHER BLK SN</t>
  </si>
  <si>
    <t>BZTM</t>
  </si>
  <si>
    <t>BZTM CRCKTS TVRN</t>
  </si>
  <si>
    <t>MMA859TS</t>
  </si>
  <si>
    <t>STRAIGHT WFLP PREM BASIC NAT</t>
  </si>
  <si>
    <t>CFLD</t>
  </si>
  <si>
    <t>CFLD ENEMY LINES</t>
  </si>
  <si>
    <t>MMAC166OE1</t>
  </si>
  <si>
    <t>STRAIGHT ZIPPER POCKET</t>
  </si>
  <si>
    <t>MMAE08ZTS</t>
  </si>
  <si>
    <t>SLIM WFLP PREM BASIC NAT</t>
  </si>
  <si>
    <t>BZMD</t>
  </si>
  <si>
    <t>BZMD FORST OF RN</t>
  </si>
  <si>
    <t>MMD800DE4</t>
  </si>
  <si>
    <t>STRAIGHT NATURAL CHAIN LOGO</t>
  </si>
  <si>
    <t>CDXM</t>
  </si>
  <si>
    <t>CDXM TRIBAL SONG</t>
  </si>
  <si>
    <t>MMD800MU0</t>
  </si>
  <si>
    <t>STRAIGHT NATURAL BIG QT</t>
  </si>
  <si>
    <t>MMD800OJ8</t>
  </si>
  <si>
    <t>STRAIGHT BIG T EARTHWORM</t>
  </si>
  <si>
    <t>BZKL</t>
  </si>
  <si>
    <t>BZKL SEASHRE WVE</t>
  </si>
  <si>
    <t>MMD800Y9</t>
  </si>
  <si>
    <t>STRAIGHT PREMIUM BASIC RED ORG</t>
  </si>
  <si>
    <t>BZOM</t>
  </si>
  <si>
    <t>BZOM SAILNG REEF</t>
  </si>
  <si>
    <t>MMD859DE4</t>
  </si>
  <si>
    <t>STRAIGHT WFLP NAT CHAIN LOGO</t>
  </si>
  <si>
    <t>BZPM</t>
  </si>
  <si>
    <t>BZPM HTCHKRS BOT</t>
  </si>
  <si>
    <t>MMD859FP3</t>
  </si>
  <si>
    <t>STRAIGHT WFLP PREM BSC DK CONT</t>
  </si>
  <si>
    <t>BZBD</t>
  </si>
  <si>
    <t>BZBD VLD WLDRNSS</t>
  </si>
  <si>
    <t>MMD859IT7</t>
  </si>
  <si>
    <t>STRAIGHT WFLP SUPER T NATURAL</t>
  </si>
  <si>
    <t>BZND</t>
  </si>
  <si>
    <t>BZND SERENE MDWS</t>
  </si>
  <si>
    <t>MMD859M60</t>
  </si>
  <si>
    <t>STRAIGHT WFLP BIG T RED ORG</t>
  </si>
  <si>
    <t>BZRM</t>
  </si>
  <si>
    <t>BZRM SUN &amp; STARS</t>
  </si>
  <si>
    <t>MMD859OE2</t>
  </si>
  <si>
    <t>STRAIGHT WFLP SUPER QT NAT MID</t>
  </si>
  <si>
    <t>MMD859OMW</t>
  </si>
  <si>
    <t>STRAIGHT WFLP PREM BSC OMW</t>
  </si>
  <si>
    <t>MMD859QX3</t>
  </si>
  <si>
    <t>STRAIGHT WFLP MEGA T OM</t>
  </si>
  <si>
    <t>CFOD</t>
  </si>
  <si>
    <t>CFOD WARPATH</t>
  </si>
  <si>
    <t>MMDH54ZQJ9</t>
  </si>
  <si>
    <t>SKINNY WFLP LEATHER GREY SN</t>
  </si>
  <si>
    <t>MMDQ59IT7</t>
  </si>
  <si>
    <t>TRUCKER JACKET SUPER T</t>
  </si>
  <si>
    <t>MMDQ59OJ8</t>
  </si>
  <si>
    <t>DENIM JACKET BIG T EARTHWORM</t>
  </si>
  <si>
    <t>BZGD</t>
  </si>
  <si>
    <t>BZGD BLU MNSHINE</t>
  </si>
  <si>
    <t>MMF859OIF7</t>
  </si>
  <si>
    <t>RICKY STRAIGHT W/FLAPS</t>
  </si>
  <si>
    <t>BFPM</t>
  </si>
  <si>
    <t>BFPM LOWLIGHT</t>
  </si>
  <si>
    <t>BGFL</t>
  </si>
  <si>
    <t>BGFL PALM COAST</t>
  </si>
  <si>
    <t>MMFA349IF7</t>
  </si>
  <si>
    <t>BOBBY STRAIGHT LEG RENEGADE</t>
  </si>
  <si>
    <t>MMFA350IF7</t>
  </si>
  <si>
    <t>ROCCO SLIM LOOM STATE RENEGADE</t>
  </si>
  <si>
    <t>BGEM</t>
  </si>
  <si>
    <t>BGEM EASTERN SUN</t>
  </si>
  <si>
    <t>MMFA584IF7</t>
  </si>
  <si>
    <t>BOBBY STRAGHT CUT OFF RENEGADE</t>
  </si>
  <si>
    <t>MMFJ19OIF7</t>
  </si>
  <si>
    <t>GENO SLIM LT WEIGHT LOOM STATE</t>
  </si>
  <si>
    <t>MMFT73IF7</t>
  </si>
  <si>
    <t>JIMMY TRUCKER RENEGADE</t>
  </si>
  <si>
    <t>MMJ8T27CY4</t>
  </si>
  <si>
    <t>WJ DK SLATE BLUE</t>
  </si>
  <si>
    <t>WJ SCARLET</t>
  </si>
  <si>
    <t>MMJ8V34V60</t>
  </si>
  <si>
    <t>TRUE RELIGION TRADING CO TEE</t>
  </si>
  <si>
    <t>WJ DAFFODIL</t>
  </si>
  <si>
    <t>MMJ8V34Y48</t>
  </si>
  <si>
    <t>DELTA BLUES RECORDS S/S VNTGE</t>
  </si>
  <si>
    <t>WJ SAND</t>
  </si>
  <si>
    <t>MMJ8V34Y51</t>
  </si>
  <si>
    <t>TR REBELS S/S VINTAGE CREWNECK</t>
  </si>
  <si>
    <t>WJ OLD SAGE</t>
  </si>
  <si>
    <t>MMJ8V34Y69</t>
  </si>
  <si>
    <t>SKULL AND BONES S/S VINTAGE CR</t>
  </si>
  <si>
    <t>MMJ8V34Y75</t>
  </si>
  <si>
    <t>BE COCKY S/S VINTAGE CREWNECK</t>
  </si>
  <si>
    <t>WJ ALMOST AQUA</t>
  </si>
  <si>
    <t>MMOBT32VR</t>
  </si>
  <si>
    <t>MMSC151IK</t>
  </si>
  <si>
    <t>PLAID OMBRE WESTERN SHIRT</t>
  </si>
  <si>
    <t>GOLDEN HOUR</t>
  </si>
  <si>
    <t>MMTB170IK</t>
  </si>
  <si>
    <t>MADRAS PRINT S/S WESTERN SHIRT</t>
  </si>
  <si>
    <t>MADRAS PLAID</t>
  </si>
  <si>
    <t>MMWC163OG5</t>
  </si>
  <si>
    <t>TWO-TONE SLUB LINEN RAGLAN</t>
  </si>
  <si>
    <t>RUBY RED/DUNE</t>
  </si>
  <si>
    <t>MMWC164OG6</t>
  </si>
  <si>
    <t>LATE NIGHT/BLACK</t>
  </si>
  <si>
    <t>MMZBV92VR</t>
  </si>
  <si>
    <t>OMBRE FLORAL PRINTED LS WSTRN</t>
  </si>
  <si>
    <t>MN2R64S44</t>
  </si>
  <si>
    <t>GENO WORKWEAR SLIM MENS JEAN</t>
  </si>
  <si>
    <t>MN2R65S44</t>
  </si>
  <si>
    <t>ROCCO WORKWEAR SKINNY MENS JEA</t>
  </si>
  <si>
    <t>MN2R67T85</t>
  </si>
  <si>
    <t>RICKY BAJA STRAIGHT MENS JEAN</t>
  </si>
  <si>
    <t>SKD</t>
  </si>
  <si>
    <t>SKD PROCLAMATION</t>
  </si>
  <si>
    <t>SLD</t>
  </si>
  <si>
    <t>SLD ANTIETAM</t>
  </si>
  <si>
    <t>MN2R69T85</t>
  </si>
  <si>
    <t>ROCCO BAJA SKINNY MENS JEAN</t>
  </si>
  <si>
    <t>MN2R70T85</t>
  </si>
  <si>
    <t>JOHNNY BAJA WESTERN MENS JKT</t>
  </si>
  <si>
    <t>MN2T87T85</t>
  </si>
  <si>
    <t>GENO BAJA SLIM MENS JEAN</t>
  </si>
  <si>
    <t>MN48H34D86</t>
  </si>
  <si>
    <t>TRMC LS CRWNK THRMAL</t>
  </si>
  <si>
    <t>MN48H34D96</t>
  </si>
  <si>
    <t>HND DRWN LS CRW THRMAL</t>
  </si>
  <si>
    <t>MNABV92BD1</t>
  </si>
  <si>
    <t>L/S WESTERN SPECKLED SHIRT</t>
  </si>
  <si>
    <t>2S FADED BLUE</t>
  </si>
  <si>
    <t>MNBB156IK</t>
  </si>
  <si>
    <t>LOOSE OVERLOCK TEE</t>
  </si>
  <si>
    <t>CGJ IND W WHT ST</t>
  </si>
  <si>
    <t>MNBB179IK</t>
  </si>
  <si>
    <t>STRIPPED TANK</t>
  </si>
  <si>
    <t>MNDBL68VY</t>
  </si>
  <si>
    <t>MIXED FLORAL ROCKY SHIRT</t>
  </si>
  <si>
    <t>FL OVERCAST FLORAL</t>
  </si>
  <si>
    <t>FL SUNKISSED FLORAL</t>
  </si>
  <si>
    <t>MNDBU93VY</t>
  </si>
  <si>
    <t>MIXED FLORAL FASHION WSTRN SHR</t>
  </si>
  <si>
    <t>MNEC160NF4</t>
  </si>
  <si>
    <t>INDIGO TERRY PULLOVER HOODIE</t>
  </si>
  <si>
    <t>CGE INDIGO</t>
  </si>
  <si>
    <t>MNEC161IK</t>
  </si>
  <si>
    <t>BOUNDED SHORTS</t>
  </si>
  <si>
    <t>MNGBL68AR2</t>
  </si>
  <si>
    <t>56 REBELS MOTORCYCLE WSTRN SHR</t>
  </si>
  <si>
    <t>SG BURLWOOD</t>
  </si>
  <si>
    <t>MNGBL68VY</t>
  </si>
  <si>
    <t>MNGBT32AY1</t>
  </si>
  <si>
    <t>TR SERVICE WORKWEAR SHIRT</t>
  </si>
  <si>
    <t>SG JUNIPER</t>
  </si>
  <si>
    <t>MNGBT32AZ5</t>
  </si>
  <si>
    <t>USA STYLE WORKWEAR SHIRT</t>
  </si>
  <si>
    <t>SG AURORA</t>
  </si>
  <si>
    <t>MNGBT32Y11</t>
  </si>
  <si>
    <t>WORKWEAR SHIRT</t>
  </si>
  <si>
    <t>MNGBV92VR</t>
  </si>
  <si>
    <t>L/S WESTERN PLAID FLANNEL SHRT</t>
  </si>
  <si>
    <t>SG REEF</t>
  </si>
  <si>
    <t>SG AQUA</t>
  </si>
  <si>
    <t>SG MUSK</t>
  </si>
  <si>
    <t>MNK859NOD1</t>
  </si>
  <si>
    <t>CDZM</t>
  </si>
  <si>
    <t>CDZM WORN SHORE</t>
  </si>
  <si>
    <t>MNKA799OD1</t>
  </si>
  <si>
    <t>1/2 DEAN NO FLAP SE</t>
  </si>
  <si>
    <t>CEAD</t>
  </si>
  <si>
    <t>CEAD NIGHT SWIM</t>
  </si>
  <si>
    <t>MNKJ19NOD1</t>
  </si>
  <si>
    <t>CDYL</t>
  </si>
  <si>
    <t>CDYL COASTAL WVS</t>
  </si>
  <si>
    <t>MNL6X84AB0</t>
  </si>
  <si>
    <t>BRANDED LT SLUB SWEATPANT</t>
  </si>
  <si>
    <t>MNL7V13AB1</t>
  </si>
  <si>
    <t>LT SLUB TERRY PULLOVER HOODIE</t>
  </si>
  <si>
    <t>Y3 FADED ORANGE</t>
  </si>
  <si>
    <t>MNL7V13AB3</t>
  </si>
  <si>
    <t>MNL7V13BY6</t>
  </si>
  <si>
    <t>BRANDED LT SLUB PULLOVER</t>
  </si>
  <si>
    <t>MNL7X85CB2</t>
  </si>
  <si>
    <t>ECHO PARK APPLIQUE HOODIE</t>
  </si>
  <si>
    <t>MNL7Y47CU8</t>
  </si>
  <si>
    <t>BRANDED CREWNECK SWEATSHIRT</t>
  </si>
  <si>
    <t>MNL7Y50AB0</t>
  </si>
  <si>
    <t>BRANDED HENLEY HOODIE</t>
  </si>
  <si>
    <t>MNL8V94Y68</t>
  </si>
  <si>
    <t>MOTO POLO W/PRINT AND PATCHES</t>
  </si>
  <si>
    <t>WH TURQUOISE</t>
  </si>
  <si>
    <t>WH RED</t>
  </si>
  <si>
    <t>MNMA066EF9</t>
  </si>
  <si>
    <t>NATURAL WORKWEAR FASHION SHIRT</t>
  </si>
  <si>
    <t>ASH MOUNTAIN VIEW</t>
  </si>
  <si>
    <t>MNNV16X94</t>
  </si>
  <si>
    <t>PLATOON  CAMO GROUP</t>
  </si>
  <si>
    <t>ZD TROOPER GREEN</t>
  </si>
  <si>
    <t>MNNV17X94</t>
  </si>
  <si>
    <t>PLATOON  CAMO SHORT</t>
  </si>
  <si>
    <t>MNNV21Y05</t>
  </si>
  <si>
    <t>RECON  CARGO MENS SHORT</t>
  </si>
  <si>
    <t>ZC MARSHLAND</t>
  </si>
  <si>
    <t>ZC RED SKY</t>
  </si>
  <si>
    <t>ZC SUNBEAM</t>
  </si>
  <si>
    <t>MNOA064EF7</t>
  </si>
  <si>
    <t>ROCCO SLIM TAILORED</t>
  </si>
  <si>
    <t>ASV BLACK</t>
  </si>
  <si>
    <t>ASV GREY FOG</t>
  </si>
  <si>
    <t>ASV TRUE KHAKI</t>
  </si>
  <si>
    <t>MNOV26Y17</t>
  </si>
  <si>
    <t>GENO OFFICER CHINO PANT</t>
  </si>
  <si>
    <t>WF BLACK</t>
  </si>
  <si>
    <t>WD BLACK</t>
  </si>
  <si>
    <t>WF WHITE</t>
  </si>
  <si>
    <t>WD WHITE</t>
  </si>
  <si>
    <t>WD SAND DUNE</t>
  </si>
  <si>
    <t>WF SAND DUNE</t>
  </si>
  <si>
    <t>WD OLD MINT</t>
  </si>
  <si>
    <t>WF OLD MINT</t>
  </si>
  <si>
    <t>WF KELLY GREEN</t>
  </si>
  <si>
    <t>WD KELLY GREEN</t>
  </si>
  <si>
    <t>WD ROYAL BLUE</t>
  </si>
  <si>
    <t>WD MIST BLUE</t>
  </si>
  <si>
    <t>WD TURQUOISE</t>
  </si>
  <si>
    <t>WF MIST BLUE</t>
  </si>
  <si>
    <t>WF TURQUOISE</t>
  </si>
  <si>
    <t>WF ROYAL BLUE</t>
  </si>
  <si>
    <t>WF FADED RED</t>
  </si>
  <si>
    <t>WD FUSCHIA</t>
  </si>
  <si>
    <t>WF FUSCHIA</t>
  </si>
  <si>
    <t>WD FADED RED</t>
  </si>
  <si>
    <t>WD DAFFODIL</t>
  </si>
  <si>
    <t>WF DAFFODIL</t>
  </si>
  <si>
    <t>MNOV27Y17</t>
  </si>
  <si>
    <t>GENO CUT-OFF OFFICER CHINO</t>
  </si>
  <si>
    <t>MNPC207QR3</t>
  </si>
  <si>
    <t>CEJL</t>
  </si>
  <si>
    <t>CEJL ANCORE</t>
  </si>
  <si>
    <t>MNPC208QR3</t>
  </si>
  <si>
    <t>1/2 DEAN NO FLAP BIG T</t>
  </si>
  <si>
    <t>MNPC209QR3</t>
  </si>
  <si>
    <t>MNQ859NIR9</t>
  </si>
  <si>
    <t>RICKY STRAIGHT WELL WORN TWILL</t>
  </si>
  <si>
    <t>BIX SANDSTONE</t>
  </si>
  <si>
    <t>MNQ859NJV5</t>
  </si>
  <si>
    <t>BIX RAVEN</t>
  </si>
  <si>
    <t>MNQ859NJV6</t>
  </si>
  <si>
    <t>BIX COFFEE BEAN</t>
  </si>
  <si>
    <t>MNQ859NK03</t>
  </si>
  <si>
    <t>BIX CEDAR GREEN</t>
  </si>
  <si>
    <t>MNQ9W89EG</t>
  </si>
  <si>
    <t>TWILL PARKA JACKET</t>
  </si>
  <si>
    <t>ZE SAND DUNE</t>
  </si>
  <si>
    <t>ZE FADED RED</t>
  </si>
  <si>
    <t>MNQA799IR9</t>
  </si>
  <si>
    <t>DEAN TAPER RLXD WL WRN TWL</t>
  </si>
  <si>
    <t>MNQA799JV5</t>
  </si>
  <si>
    <t>MNQA799JV6</t>
  </si>
  <si>
    <t>MNQA799K03</t>
  </si>
  <si>
    <t>MNQA799ND6</t>
  </si>
  <si>
    <t>BYK BLACK W/GREY</t>
  </si>
  <si>
    <t>BYK RED W/NAVY</t>
  </si>
  <si>
    <t>MNQB044LG5</t>
  </si>
  <si>
    <t>DEAN RELAXED GEO PTCHD QULTED</t>
  </si>
  <si>
    <t>BMU TAR</t>
  </si>
  <si>
    <t>BUN SLATE GREY</t>
  </si>
  <si>
    <t>BMU MARSH</t>
  </si>
  <si>
    <t>MNQB078NJ0</t>
  </si>
  <si>
    <t>TROOPER CARGO SHORTS</t>
  </si>
  <si>
    <t>BBA BLACK</t>
  </si>
  <si>
    <t>BBA WHITE</t>
  </si>
  <si>
    <t>BBA STRAW</t>
  </si>
  <si>
    <t>BBA RED</t>
  </si>
  <si>
    <t>MNQB078NU8</t>
  </si>
  <si>
    <t>1/2 /  1/4 MIXED TROOPER SE</t>
  </si>
  <si>
    <t>CAK PAVEMENT</t>
  </si>
  <si>
    <t>CAK POPPY</t>
  </si>
  <si>
    <t>MNQB085ND8</t>
  </si>
  <si>
    <t>MIDNIGHT THUNDER DEAN CARGO SH</t>
  </si>
  <si>
    <t>BYQ CHARCOAL/NAT</t>
  </si>
  <si>
    <t>BYQ GRAVEL/NAT</t>
  </si>
  <si>
    <t>MNQJ19NND6</t>
  </si>
  <si>
    <t>MNQU23K33</t>
  </si>
  <si>
    <t>ANTHONY BIG T FASHION CARGOS</t>
  </si>
  <si>
    <t>ABY DK NAVY</t>
  </si>
  <si>
    <t>ABY DK MANILLA</t>
  </si>
  <si>
    <t>MNQV16Y01</t>
  </si>
  <si>
    <t>PLATOON CARGO PANT</t>
  </si>
  <si>
    <t>ZE SMOKE</t>
  </si>
  <si>
    <t>ZE WHITE</t>
  </si>
  <si>
    <t>ZE PLATOON OLIVE</t>
  </si>
  <si>
    <t>ZE BAHAMAS</t>
  </si>
  <si>
    <t>ZE DAFFODIL</t>
  </si>
  <si>
    <t>MNQV17Y01</t>
  </si>
  <si>
    <t>PLATOON  CARGO SHORT</t>
  </si>
  <si>
    <t>MNQV22Y06</t>
  </si>
  <si>
    <t>TROOPER  CARGO PANT</t>
  </si>
  <si>
    <t>ZF WHITE</t>
  </si>
  <si>
    <t>ZF SAND DUNE</t>
  </si>
  <si>
    <t>ZF OLD MINT</t>
  </si>
  <si>
    <t>ZF MIST BLUE</t>
  </si>
  <si>
    <t>ZF FADED RED</t>
  </si>
  <si>
    <t>ZF DAFFODIL</t>
  </si>
  <si>
    <t>MNQV23Y06</t>
  </si>
  <si>
    <t>MNQV25FM7</t>
  </si>
  <si>
    <t>EXPEDITION BIG T CARGO SHORT</t>
  </si>
  <si>
    <t>BBA SAND DUNE</t>
  </si>
  <si>
    <t>MNQY58CR5</t>
  </si>
  <si>
    <t>CAMPER BIG T CARGO SHORTS</t>
  </si>
  <si>
    <t>AOF OLIVE</t>
  </si>
  <si>
    <t>AOF DK NAVY</t>
  </si>
  <si>
    <t>AOF DK MANILLA</t>
  </si>
  <si>
    <t>MNQY60CR7</t>
  </si>
  <si>
    <t>SAFARI CARGO SHORT</t>
  </si>
  <si>
    <t>AOF CHARCOAL</t>
  </si>
  <si>
    <t>AOF IVORY</t>
  </si>
  <si>
    <t>AOF DK SLATE</t>
  </si>
  <si>
    <t>MNQZ28CR5</t>
  </si>
  <si>
    <t>CAMPER BIG T CARGOS</t>
  </si>
  <si>
    <t>AOG FOREST</t>
  </si>
  <si>
    <t>AOG STRAW</t>
  </si>
  <si>
    <t>MNQZ29CR6</t>
  </si>
  <si>
    <t>COMMANDER BIG T CARGOS</t>
  </si>
  <si>
    <t>AOG BLACK</t>
  </si>
  <si>
    <t>AOG GREY FOG</t>
  </si>
  <si>
    <t>AOG CORK</t>
  </si>
  <si>
    <t>MNR800NOJ5</t>
  </si>
  <si>
    <t>1/2 RICKY NO FLAP SUPER T</t>
  </si>
  <si>
    <t>CFGD</t>
  </si>
  <si>
    <t>CFGD DIRTY RIVER</t>
  </si>
  <si>
    <t>MNR859NOH8</t>
  </si>
  <si>
    <t>CEWM</t>
  </si>
  <si>
    <t>CEWM SALOON</t>
  </si>
  <si>
    <t>MNR859NOJ6</t>
  </si>
  <si>
    <t>CFHM</t>
  </si>
  <si>
    <t>CFHM RIVER BED</t>
  </si>
  <si>
    <t>MNR859NQM3</t>
  </si>
  <si>
    <t>MNR859NQM4</t>
  </si>
  <si>
    <t>CEKL</t>
  </si>
  <si>
    <t>CEKL SANDY SHORE</t>
  </si>
  <si>
    <t>MNRA799OH8</t>
  </si>
  <si>
    <t>CEXL</t>
  </si>
  <si>
    <t>CEXL FADED MEMRY</t>
  </si>
  <si>
    <t>MNRA799QM3</t>
  </si>
  <si>
    <t>MNRC087QM3</t>
  </si>
  <si>
    <t>MNSA801OC4</t>
  </si>
  <si>
    <t>CEBD</t>
  </si>
  <si>
    <t>CEBD HALLOW WVES</t>
  </si>
  <si>
    <t>MNSC171OC4</t>
  </si>
  <si>
    <t>1/4 GENO NO FLAP SE</t>
  </si>
  <si>
    <t>CECL</t>
  </si>
  <si>
    <t>CECL NIGHT DUNES</t>
  </si>
  <si>
    <t>MNSC211OC4</t>
  </si>
  <si>
    <t>1/4 DEAN NO FLAP SHORT SE</t>
  </si>
  <si>
    <t>MNU859NNL0</t>
  </si>
  <si>
    <t>RICKY STRAIGHT W FLAP CORE</t>
  </si>
  <si>
    <t>ABN DERINGER</t>
  </si>
  <si>
    <t>MNUJ19NNL0</t>
  </si>
  <si>
    <t>MNUJ19Y33</t>
  </si>
  <si>
    <t>GENO CAMO MENS JEAN</t>
  </si>
  <si>
    <t>MP4BR74</t>
  </si>
  <si>
    <t>SE NATURAL</t>
  </si>
  <si>
    <t>SE IVY</t>
  </si>
  <si>
    <t>SE BLUE JAY</t>
  </si>
  <si>
    <t>MP4BS63</t>
  </si>
  <si>
    <t>LIGHT WEIGHT MILITARY SHIRT</t>
  </si>
  <si>
    <t>SE STEEL</t>
  </si>
  <si>
    <t>MP4BV92VR</t>
  </si>
  <si>
    <t>SE ASPEN GREEN</t>
  </si>
  <si>
    <t>SE ANTIQUE AQUA</t>
  </si>
  <si>
    <t>MPC8V06V71</t>
  </si>
  <si>
    <t>FIGHTING PECKERS DOUBLE LYR T</t>
  </si>
  <si>
    <t>WG ALMOST AQUA</t>
  </si>
  <si>
    <t>MPC8V06Y46</t>
  </si>
  <si>
    <t>MALIBU SHARKS DOUBLE LAYER TEE</t>
  </si>
  <si>
    <t>WG DAFFODIL</t>
  </si>
  <si>
    <t>MPC8V06Y52</t>
  </si>
  <si>
    <t>CALIFORNIA SUMMER DBL LAYER T</t>
  </si>
  <si>
    <t>WG PEBBLE GREY</t>
  </si>
  <si>
    <t>MPC8V06Y62</t>
  </si>
  <si>
    <t>PANTHER DOUBLE LAYER TEE</t>
  </si>
  <si>
    <t>WG RED</t>
  </si>
  <si>
    <t>MPCC135OA6</t>
  </si>
  <si>
    <t>CEQL</t>
  </si>
  <si>
    <t>CEQL ESCPE ARTST</t>
  </si>
  <si>
    <t>MPCC136OA6</t>
  </si>
  <si>
    <t>1/2 DEAN NO FLAP SHORT BIGT</t>
  </si>
  <si>
    <t>MPD6V33Z23</t>
  </si>
  <si>
    <t>56 STENCIL CARGO SHORTS</t>
  </si>
  <si>
    <t>Y3 OLD SAGE</t>
  </si>
  <si>
    <t>Y3 DK NAVY</t>
  </si>
  <si>
    <t>MPD859NOA9</t>
  </si>
  <si>
    <t>CEVD</t>
  </si>
  <si>
    <t>CEVD CHPPED AWAY</t>
  </si>
  <si>
    <t>MPE6V33Z23</t>
  </si>
  <si>
    <t>CN HEATHER GREY</t>
  </si>
  <si>
    <t>MPH9W89AB0</t>
  </si>
  <si>
    <t>QUILTED NYLON JACKET</t>
  </si>
  <si>
    <t>ARMY</t>
  </si>
  <si>
    <t>DK CRIMSON</t>
  </si>
  <si>
    <t>MPH9W89IK</t>
  </si>
  <si>
    <t>MPNBL68TT</t>
  </si>
  <si>
    <t>L/S SOLID ROCKY SHIRT</t>
  </si>
  <si>
    <t>YH LT KHAKI</t>
  </si>
  <si>
    <t>MPRA301NT5</t>
  </si>
  <si>
    <t>DISTORTED LINES-V-NECK TEE</t>
  </si>
  <si>
    <t>MPRA451NB8</t>
  </si>
  <si>
    <t>LIVE FOR NOW</t>
  </si>
  <si>
    <t>ONYX</t>
  </si>
  <si>
    <t>09 BANGLE</t>
  </si>
  <si>
    <t>MPYX66BZ2</t>
  </si>
  <si>
    <t>SOLID/POP COLOR BOARDSHORT</t>
  </si>
  <si>
    <t>BLUE HAZE</t>
  </si>
  <si>
    <t>MPYX66BZ4</t>
  </si>
  <si>
    <t>LAVA ROCK</t>
  </si>
  <si>
    <t>MPYX66BZ5</t>
  </si>
  <si>
    <t>FADED CARIBBEAN</t>
  </si>
  <si>
    <t>MPYX67BZ7</t>
  </si>
  <si>
    <t>COLOR BLOCK CARGO BOARDSHORT</t>
  </si>
  <si>
    <t>FADED GREEN</t>
  </si>
  <si>
    <t>MPYX67CT5</t>
  </si>
  <si>
    <t>CARGO BOARDSHORT</t>
  </si>
  <si>
    <t>LAVA ROCK BLK</t>
  </si>
  <si>
    <t>FADED RED</t>
  </si>
  <si>
    <t>MPYX68BZ6</t>
  </si>
  <si>
    <t>RETRO STRIPE BOARDSHORT</t>
  </si>
  <si>
    <t>EMBER</t>
  </si>
  <si>
    <t>MPYX70CA1</t>
  </si>
  <si>
    <t>5 POCKET BIG T BOARDSHORT</t>
  </si>
  <si>
    <t>MQ1H54EM</t>
  </si>
  <si>
    <t>MQ1H54OMBB</t>
  </si>
  <si>
    <t>MQ1J60EM</t>
  </si>
  <si>
    <t>MQ1J60OMBB</t>
  </si>
  <si>
    <t>MQ22J55J91</t>
  </si>
  <si>
    <t>GENO SPT TWISTED SLIM MEN JEAN</t>
  </si>
  <si>
    <t>MQ22J56J91</t>
  </si>
  <si>
    <t>JACK SPT TWISTED SLIM MEN JEAN</t>
  </si>
  <si>
    <t>MQ22N23J91</t>
  </si>
  <si>
    <t>RICKY SPT TWISTED STRAIGHT MEN</t>
  </si>
  <si>
    <t>MQ2800EH0</t>
  </si>
  <si>
    <t>BOBBY STRGHT BGQT GRY ANVL/BLU</t>
  </si>
  <si>
    <t>ASPM</t>
  </si>
  <si>
    <t>ASPM WIND BLOWN</t>
  </si>
  <si>
    <t>MQ2800H94</t>
  </si>
  <si>
    <t>BOBBY SPT STRAIGHT MEN'S JEAN</t>
  </si>
  <si>
    <t>MQ2800L17</t>
  </si>
  <si>
    <t>BOBBY SPT CHAIN STITCH EMB STR</t>
  </si>
  <si>
    <t>MQ2800L22</t>
  </si>
  <si>
    <t>MQ2800OIK4</t>
  </si>
  <si>
    <t>BOBBY STRAIGHT LEG SUPER T</t>
  </si>
  <si>
    <t>AZGL</t>
  </si>
  <si>
    <t>AZGL LT OLDIES</t>
  </si>
  <si>
    <t>MQ2800Y9E</t>
  </si>
  <si>
    <t>BOBBY CLASSIC LOGO MEN'S JEAN</t>
  </si>
  <si>
    <t>MFD</t>
  </si>
  <si>
    <t>MFD PROPOSITION</t>
  </si>
  <si>
    <t>MQ2858EH0</t>
  </si>
  <si>
    <t>BILLY BOOTCT BGQT GRY ANVL BLU</t>
  </si>
  <si>
    <t>MQ2858G24</t>
  </si>
  <si>
    <t>BILLY OLD MULTI BGT MEN JEAN</t>
  </si>
  <si>
    <t>HBD</t>
  </si>
  <si>
    <t>HBD STICK EM UP</t>
  </si>
  <si>
    <t>MQ2858H94</t>
  </si>
  <si>
    <t>MQ2858L17</t>
  </si>
  <si>
    <t>BILLY SPT CHAIN STITCH EMB BOO</t>
  </si>
  <si>
    <t>MQ2858L22</t>
  </si>
  <si>
    <t>MQ2858Y9</t>
  </si>
  <si>
    <t>HKL</t>
  </si>
  <si>
    <t>HKL SADDLE HORN</t>
  </si>
  <si>
    <t>MQ2859CH0</t>
  </si>
  <si>
    <t>RICKY VINTAGE MENS JEAN</t>
  </si>
  <si>
    <t>MQ2859EG9</t>
  </si>
  <si>
    <t>RICKY STRAIGHT BGQT RUST/BROWN</t>
  </si>
  <si>
    <t>AQQM</t>
  </si>
  <si>
    <t>AQQM OLD FIREWOD</t>
  </si>
  <si>
    <t>MQ2859F64</t>
  </si>
  <si>
    <t>RICKY SPT STRAIGHT MEN'S JEAN</t>
  </si>
  <si>
    <t>MQ2859GY6</t>
  </si>
  <si>
    <t>RICKY STRAIGHT LEG BIG QT</t>
  </si>
  <si>
    <t>BAGL</t>
  </si>
  <si>
    <t>BAGL SIERRA VSTA</t>
  </si>
  <si>
    <t>MQ2859GY8</t>
  </si>
  <si>
    <t>RICKY STRGHT SPT BLK/LEAD GREY</t>
  </si>
  <si>
    <t>BALD</t>
  </si>
  <si>
    <t>BALD FOSTER CITY</t>
  </si>
  <si>
    <t>MQ2859H94</t>
  </si>
  <si>
    <t>MQ2859L17</t>
  </si>
  <si>
    <t>RICKY SPT CHAIN STITCH EMB STR</t>
  </si>
  <si>
    <t>MQ2859L22</t>
  </si>
  <si>
    <t>MQ2859M52</t>
  </si>
  <si>
    <t>MQ2859M64</t>
  </si>
  <si>
    <t>MQ2859NLG3</t>
  </si>
  <si>
    <t>RICKY W FLP STGHT BSBLL STITCH</t>
  </si>
  <si>
    <t>BRDD</t>
  </si>
  <si>
    <t>BRDD DUGOUT</t>
  </si>
  <si>
    <t>BSBM</t>
  </si>
  <si>
    <t>BSBM CATCHER</t>
  </si>
  <si>
    <t>MQ2859NOD3</t>
  </si>
  <si>
    <t>CEFL</t>
  </si>
  <si>
    <t>CEFL ARTSN TYE D</t>
  </si>
  <si>
    <t>MQ2859OGF9</t>
  </si>
  <si>
    <t>RICKY STRAIGHT LEG SPT BRN/BLU</t>
  </si>
  <si>
    <t>AZUL</t>
  </si>
  <si>
    <t>AZUL SAIL AWAY</t>
  </si>
  <si>
    <t>MQ2859OIF4</t>
  </si>
  <si>
    <t>RICKY STRAIGHT LEG FASHON WSHS</t>
  </si>
  <si>
    <t>BGGM</t>
  </si>
  <si>
    <t>BGGM FDED CNCRTE</t>
  </si>
  <si>
    <t>MQ2859OIK4</t>
  </si>
  <si>
    <t>BFTD</t>
  </si>
  <si>
    <t>BFTD MDNGHT SRFR</t>
  </si>
  <si>
    <t>MQ2859Y04</t>
  </si>
  <si>
    <t>RICKY ON THE ROAD MENS JEAN</t>
  </si>
  <si>
    <t>MQ2859Y9E</t>
  </si>
  <si>
    <t>RICKY CLASSIC LOGO MEN'S JEAN</t>
  </si>
  <si>
    <t>MQ2861EH0</t>
  </si>
  <si>
    <t>LOGAN SLIM BIG QT GRY ANVL/BLU</t>
  </si>
  <si>
    <t>MQ2861L17</t>
  </si>
  <si>
    <t>LOGAN SPT CHAIN STITCH EMB SLI</t>
  </si>
  <si>
    <t>MQ2861L22</t>
  </si>
  <si>
    <t>MQ2861M52</t>
  </si>
  <si>
    <t>LOGAN SLIM MEN JEAN</t>
  </si>
  <si>
    <t>MQ2861M64</t>
  </si>
  <si>
    <t>MQ2A039EG2</t>
  </si>
  <si>
    <t>WAYNE TRUCKER SHERPA JACKET</t>
  </si>
  <si>
    <t>ASDD</t>
  </si>
  <si>
    <t>ASDD EL DRDO CYN</t>
  </si>
  <si>
    <t>MQ2A365ID7</t>
  </si>
  <si>
    <t>ETHNIQUE LASR PRNT GENO CUTOFF</t>
  </si>
  <si>
    <t>BFQM</t>
  </si>
  <si>
    <t>BFQM LAZY RIVER</t>
  </si>
  <si>
    <t>MQ2A365IF4</t>
  </si>
  <si>
    <t>GENO SLIM SHORT CUT OFF</t>
  </si>
  <si>
    <t>MQ2A799OD3</t>
  </si>
  <si>
    <t>MQ2A801NB0</t>
  </si>
  <si>
    <t>BYCL</t>
  </si>
  <si>
    <t>BYCL CITY ARTIST</t>
  </si>
  <si>
    <t>MQ2B032LG3</t>
  </si>
  <si>
    <t>DANNY WESTERN JKT BSEBL STITCH</t>
  </si>
  <si>
    <t>BRNM</t>
  </si>
  <si>
    <t>BRNM SHORT STOP</t>
  </si>
  <si>
    <t>MQ2B088OD3</t>
  </si>
  <si>
    <t>1/2 DEAN SHORT NO FLAP SE</t>
  </si>
  <si>
    <t>MQ2B187ND3</t>
  </si>
  <si>
    <t>WELL TRAVELED PATCHWORK DEAN</t>
  </si>
  <si>
    <t>BXGM</t>
  </si>
  <si>
    <t>BXGM FRLES WNDRER</t>
  </si>
  <si>
    <t>MQ2B188ND3</t>
  </si>
  <si>
    <t>WELL TRAVELED PATCHWORK JIMMY</t>
  </si>
  <si>
    <t>MQ2C088NB5</t>
  </si>
  <si>
    <t>BLEACHED WASH VEST JIMMY VEST</t>
  </si>
  <si>
    <t>MQ2C137QX1</t>
  </si>
  <si>
    <t>CFAD</t>
  </si>
  <si>
    <t>CFAD WELL CRAFTD</t>
  </si>
  <si>
    <t>MQ2C138QX1</t>
  </si>
  <si>
    <t>MQ2C216OH6</t>
  </si>
  <si>
    <t>CESL</t>
  </si>
  <si>
    <t>CESL MDNGHT SHDW</t>
  </si>
  <si>
    <t>MQ2E08SY04</t>
  </si>
  <si>
    <t>JACK CUT-OFF ON THE ROAD MENS</t>
  </si>
  <si>
    <t>MQ2E08Y9E</t>
  </si>
  <si>
    <t>JACK CLASSIC LOGO MEN'S JEAN</t>
  </si>
  <si>
    <t>MQ2J19EG9</t>
  </si>
  <si>
    <t>GENO SLM STRGHT BGQT RUST/BRN</t>
  </si>
  <si>
    <t>MQ2J19NLG3</t>
  </si>
  <si>
    <t>GENO SLIM NO FLP BASEBALL STCH</t>
  </si>
  <si>
    <t>MQ2J19OGF9</t>
  </si>
  <si>
    <t>GENO SLIM STRAIGHT SPT BRN/BLU</t>
  </si>
  <si>
    <t>MQ2J19OIF4</t>
  </si>
  <si>
    <t>GENO SLIM STRAIGHT FASHON WSHS</t>
  </si>
  <si>
    <t>BFNM</t>
  </si>
  <si>
    <t>BFNM DUAL EXHAUS</t>
  </si>
  <si>
    <t>MQ2J19Y04</t>
  </si>
  <si>
    <t>GENO ON THE ROAD MENS JEAN</t>
  </si>
  <si>
    <t>XGM MED TREADWAY</t>
  </si>
  <si>
    <t>XHL</t>
  </si>
  <si>
    <t>XHL TRUCKTON</t>
  </si>
  <si>
    <t>MQ2J60EH0</t>
  </si>
  <si>
    <t>ROCCO SLIM BIG QT GRY ANVL/BLU</t>
  </si>
  <si>
    <t>MQ2L82M52</t>
  </si>
  <si>
    <t>MQ2L82M64</t>
  </si>
  <si>
    <t>MQ2M23Y9</t>
  </si>
  <si>
    <t>ANTONIO FLARE MEN'S JEAN</t>
  </si>
  <si>
    <t>MQ2N49H94</t>
  </si>
  <si>
    <t>VINCE SPT CARROT MEN'S JEAN</t>
  </si>
  <si>
    <t>MQ2V26BO5</t>
  </si>
  <si>
    <t>GENO DENIM OFFICER CHINO</t>
  </si>
  <si>
    <t>XPD</t>
  </si>
  <si>
    <t>XPD TWAIN</t>
  </si>
  <si>
    <t>MQ2V26PU53</t>
  </si>
  <si>
    <t>XQM</t>
  </si>
  <si>
    <t>XQM CONTRADICTION</t>
  </si>
  <si>
    <t>MQ2V38Y39</t>
  </si>
  <si>
    <t>RICKY 50S GROUP MENS JEAN</t>
  </si>
  <si>
    <t>2A</t>
  </si>
  <si>
    <t>2A MED DRIFTER W/ RIPS</t>
  </si>
  <si>
    <t>MQ2V39SY39</t>
  </si>
  <si>
    <t>GENO 50S GROUP CUT OFF SHORT</t>
  </si>
  <si>
    <t>AACD</t>
  </si>
  <si>
    <t>AACD MANESTREET</t>
  </si>
  <si>
    <t>MQ2V39Y39</t>
  </si>
  <si>
    <t>GENO 50'S GROUP MENS JEAN</t>
  </si>
  <si>
    <t>2A MD DFTR W RPS</t>
  </si>
  <si>
    <t>MQ2V40Y39</t>
  </si>
  <si>
    <t>VINNY 50S GROUP MENS JEAN</t>
  </si>
  <si>
    <t>AABD</t>
  </si>
  <si>
    <t>AABD TIPTON</t>
  </si>
  <si>
    <t>MQ2V41Y39</t>
  </si>
  <si>
    <t>ZIP FRONT TRUCKER 50'S JACKET</t>
  </si>
  <si>
    <t>MQ2V91CH0</t>
  </si>
  <si>
    <t>VINNY VINTAGE MENS JEAN</t>
  </si>
  <si>
    <t>MQ2Y84OD3</t>
  </si>
  <si>
    <t>MQ2Z01DA2</t>
  </si>
  <si>
    <t>RICKY BIG T FRENCH SEAM JEAN</t>
  </si>
  <si>
    <t>ADJD</t>
  </si>
  <si>
    <t>ADJD BARREN LAND</t>
  </si>
  <si>
    <t>MQ2Z02DA2</t>
  </si>
  <si>
    <t>GENO BIG T FRENCH SEAM JEAN</t>
  </si>
  <si>
    <t>MQ2Z03DA2</t>
  </si>
  <si>
    <t>JIMMY BIG T FRENCH SEAM JACKET</t>
  </si>
  <si>
    <t>ANSD</t>
  </si>
  <si>
    <t>ANSD TEXLNE HILL</t>
  </si>
  <si>
    <t>MQ6800BGBT</t>
  </si>
  <si>
    <t>BOBBY BIG T MEN JEAN</t>
  </si>
  <si>
    <t>8MB</t>
  </si>
  <si>
    <t>8MB MED PRANKSTER BLACK</t>
  </si>
  <si>
    <t>MQ6800EL</t>
  </si>
  <si>
    <t>MQ6859EL</t>
  </si>
  <si>
    <t>MQ6859J02</t>
  </si>
  <si>
    <t>RICKY NICKEL STUD LOGO MN JEAN</t>
  </si>
  <si>
    <t>BBDB</t>
  </si>
  <si>
    <t>BBDB REVOLVER BLACK</t>
  </si>
  <si>
    <t>MQ6A107EQ1</t>
  </si>
  <si>
    <t>RICKY STRAIGHT BLK SHADE LOGO</t>
  </si>
  <si>
    <t>ARUD</t>
  </si>
  <si>
    <t>ARUD DK CLOUD</t>
  </si>
  <si>
    <t>MQ6A108EQ1</t>
  </si>
  <si>
    <t>GENO SLIM STRAIGHT BLK SHADE</t>
  </si>
  <si>
    <t>MQ6A168EQ1</t>
  </si>
  <si>
    <t>BILLY BOOTCUT BLACK SHADE LOGO</t>
  </si>
  <si>
    <t>MQ6L82EL</t>
  </si>
  <si>
    <t>JACKSON SLIM LEG MEN'S JEAN</t>
  </si>
  <si>
    <t>MQ6Q13CS2</t>
  </si>
  <si>
    <t>MQ6V90CS2</t>
  </si>
  <si>
    <t>VINNY BLACK 1971 JEAN</t>
  </si>
  <si>
    <t>MQ6W85CS2</t>
  </si>
  <si>
    <t>RICKY BLACK 1971 JEAN</t>
  </si>
  <si>
    <t>MQ92J56G17</t>
  </si>
  <si>
    <t>JACK SLIM TORQUE MEN'S JEAN</t>
  </si>
  <si>
    <t>KR DK GREY</t>
  </si>
  <si>
    <t>KR LT BROWN</t>
  </si>
  <si>
    <t>KR NATURAL</t>
  </si>
  <si>
    <t>KR ARMY GREEN</t>
  </si>
  <si>
    <t>MQ9859EH1</t>
  </si>
  <si>
    <t>RICKY STRAIGHT BIG T CAMO DYE</t>
  </si>
  <si>
    <t>WB BLACK MULTI</t>
  </si>
  <si>
    <t>WB GREY MULTI</t>
  </si>
  <si>
    <t>MQ9859NND1</t>
  </si>
  <si>
    <t>MQ9859NNE7</t>
  </si>
  <si>
    <t>BXT TRUE RED</t>
  </si>
  <si>
    <t>MQ9859Y44</t>
  </si>
  <si>
    <t>RICKY OIL DYE MENS JEAN</t>
  </si>
  <si>
    <t>WX PEBBLE GREY</t>
  </si>
  <si>
    <t>WX SAND DUNE</t>
  </si>
  <si>
    <t>WX PLATOON OLIVE</t>
  </si>
  <si>
    <t>WX MANGO</t>
  </si>
  <si>
    <t>MQ9861Y44</t>
  </si>
  <si>
    <t>LOGAN OIL DYE MENS JEAN</t>
  </si>
  <si>
    <t>MQ9A349ID8</t>
  </si>
  <si>
    <t>MQ9A559IK5</t>
  </si>
  <si>
    <t>RICKY STRAIGHT LEG SINGLE END</t>
  </si>
  <si>
    <t>BFW IVORY COAST</t>
  </si>
  <si>
    <t>MQ9A560IK5</t>
  </si>
  <si>
    <t>GENO SLIM STRAIGHT SINGLE END</t>
  </si>
  <si>
    <t>MQ9A682IH2</t>
  </si>
  <si>
    <t>GENO SLIM STRAIGHT NWCMR RNGDE</t>
  </si>
  <si>
    <t>BAK JOSHUA TREE</t>
  </si>
  <si>
    <t>MQ9B088OF2</t>
  </si>
  <si>
    <t>DEAN SHORT WHITE DENIM SPR T</t>
  </si>
  <si>
    <t>BXXL</t>
  </si>
  <si>
    <t>BXXL ROUGH ELEMENTS</t>
  </si>
  <si>
    <t>MQ9C087OF2</t>
  </si>
  <si>
    <t>RICKY SHORT WHITE DENIM SPR T</t>
  </si>
  <si>
    <t>MQ9C134OF3</t>
  </si>
  <si>
    <t>MQ9H54P64</t>
  </si>
  <si>
    <t>PX RED</t>
  </si>
  <si>
    <t>PX PINEAPPLE</t>
  </si>
  <si>
    <t>MQ9J19Y44</t>
  </si>
  <si>
    <t>GENO OIL DYE MENS JEAN</t>
  </si>
  <si>
    <t>MQ9J60Y44</t>
  </si>
  <si>
    <t>ROCCO OIL DYE MENS JEAN</t>
  </si>
  <si>
    <t>MQ9R44W65</t>
  </si>
  <si>
    <t>GENO BLUE COLLAR JEAN</t>
  </si>
  <si>
    <t>SD SMOKE STACK</t>
  </si>
  <si>
    <t>SD WHEAT</t>
  </si>
  <si>
    <t>MQ9R64S45</t>
  </si>
  <si>
    <t>GENO WORKWEAR SLIM PORKCHOP ME</t>
  </si>
  <si>
    <t>SD BURNT BROWN</t>
  </si>
  <si>
    <t>SD DK CAMEL</t>
  </si>
  <si>
    <t>SD NIGHT SKY</t>
  </si>
  <si>
    <t>MQ9R65S45</t>
  </si>
  <si>
    <t>ROCCO WORKWEAR SKINNY CARPENTE</t>
  </si>
  <si>
    <t>MQ9S31S45</t>
  </si>
  <si>
    <t>MQ9V43Y97</t>
  </si>
  <si>
    <t>RICKY GENERAL LEE OVERDYE</t>
  </si>
  <si>
    <t>SD BLACK</t>
  </si>
  <si>
    <t>SD WHITE</t>
  </si>
  <si>
    <t>SD LT KHAKI</t>
  </si>
  <si>
    <t>SD ROYAL BLUE</t>
  </si>
  <si>
    <t>SD RED</t>
  </si>
  <si>
    <t>SD DUSTED ORANGE</t>
  </si>
  <si>
    <t>MQ9V44Y97</t>
  </si>
  <si>
    <t>JACK GENERAL LEE OVERDYE</t>
  </si>
  <si>
    <t>MQ9V45Y97</t>
  </si>
  <si>
    <t>ROCCO GENERAL LEE OVERDYE</t>
  </si>
  <si>
    <t>MQ9V97NNB4</t>
  </si>
  <si>
    <t>STRING REPESTITCH RICKY W/F</t>
  </si>
  <si>
    <t>MQ9V98NNB4</t>
  </si>
  <si>
    <t>MQ9W51Y97</t>
  </si>
  <si>
    <t>JIMMY TRUCKER GENERAL LEE OD</t>
  </si>
  <si>
    <t>MQ9W66Z33</t>
  </si>
  <si>
    <t>MQ9W67Z33</t>
  </si>
  <si>
    <t>RICKY STRAIGHT BASIC MENS JEAN</t>
  </si>
  <si>
    <t>MQ9W68SZ33</t>
  </si>
  <si>
    <t>JACK CUT-OFF BASIC MENS JEAN</t>
  </si>
  <si>
    <t>MQ9X11Y97</t>
  </si>
  <si>
    <t>BOBBY GENERAL LEE OVERDYE</t>
  </si>
  <si>
    <t>MQDA427EG</t>
  </si>
  <si>
    <t>POPLIN JACKET</t>
  </si>
  <si>
    <t>09 COOL GREY</t>
  </si>
  <si>
    <t>09 OLD SAGE</t>
  </si>
  <si>
    <t>MQHBL68VY</t>
  </si>
  <si>
    <t>L/S ROCKY SHIRT</t>
  </si>
  <si>
    <t>2S REGAL BLUE</t>
  </si>
  <si>
    <t>2S GRAPEFRUIT</t>
  </si>
  <si>
    <t>2S HARVEST</t>
  </si>
  <si>
    <t>MQIBX17DS9</t>
  </si>
  <si>
    <t>TRIPLE NEEDLE WORKWEAR FLANNEL</t>
  </si>
  <si>
    <t>2S HONEY</t>
  </si>
  <si>
    <t>2S TOMATO</t>
  </si>
  <si>
    <t>MQIBZ72VY</t>
  </si>
  <si>
    <t>MIXED PLAID TRPLNDL WORKWEAR</t>
  </si>
  <si>
    <t>MQLBT96DT3</t>
  </si>
  <si>
    <t>BIG-T L/S SINGLE POCKET SHIRT</t>
  </si>
  <si>
    <t>2S NUTMEG</t>
  </si>
  <si>
    <t>2S CABIN</t>
  </si>
  <si>
    <t>MQLBX17VY</t>
  </si>
  <si>
    <t>LT PLAID FLANNEL WORKWEAR SHRT</t>
  </si>
  <si>
    <t>2S RUCKSACK</t>
  </si>
  <si>
    <t>MQOBN11CQ5</t>
  </si>
  <si>
    <t>S/S ROCKY WESTERN SHIRT</t>
  </si>
  <si>
    <t>FK POMEGRANATE</t>
  </si>
  <si>
    <t>MQOBN11CQ8</t>
  </si>
  <si>
    <t>HIGHWAY REBEL S/S ROCKY SHIRT</t>
  </si>
  <si>
    <t>FK CADET BLUE</t>
  </si>
  <si>
    <t>MQOBN11VY</t>
  </si>
  <si>
    <t>MQOBV92DE7</t>
  </si>
  <si>
    <t>BIG T L/S WESTERN SHIRT</t>
  </si>
  <si>
    <t>FK SPICE</t>
  </si>
  <si>
    <t>FK DK CHERRY</t>
  </si>
  <si>
    <t>MQOBV92VR</t>
  </si>
  <si>
    <t>FK SOLTICE</t>
  </si>
  <si>
    <t>FK BUTTERSCOTCH</t>
  </si>
  <si>
    <t>MQOBX17VY</t>
  </si>
  <si>
    <t>FK SUNSTONE</t>
  </si>
  <si>
    <t>FK BOLD TRQUOISE</t>
  </si>
  <si>
    <t>MQPBT96EH</t>
  </si>
  <si>
    <t>SE KHAKI</t>
  </si>
  <si>
    <t>SE BLUE</t>
  </si>
  <si>
    <t>SE SLATE</t>
  </si>
  <si>
    <t>SE RED</t>
  </si>
  <si>
    <t>SE PINK</t>
  </si>
  <si>
    <t>MQS859OGL4</t>
  </si>
  <si>
    <t>RICKY STRAIGHT LEG SPT STRING</t>
  </si>
  <si>
    <t>MQSA904OC5</t>
  </si>
  <si>
    <t>CENL</t>
  </si>
  <si>
    <t>CENL REBEL TRAIL</t>
  </si>
  <si>
    <t>MQSJ19OGL4</t>
  </si>
  <si>
    <t>MQSJ60OGL4</t>
  </si>
  <si>
    <t>ROCCO SLIM SPT STRING</t>
  </si>
  <si>
    <t>MQSQ13CS2</t>
  </si>
  <si>
    <t>ADF SCARLET</t>
  </si>
  <si>
    <t>MQSV90CS2</t>
  </si>
  <si>
    <t>VINNY 1971 STRETCH OVERDYE</t>
  </si>
  <si>
    <t>MQSW85CS2</t>
  </si>
  <si>
    <t>RICKY 1971 STRETCH OVERDYE</t>
  </si>
  <si>
    <t>MQSY87CS2</t>
  </si>
  <si>
    <t>MQU859NLX8</t>
  </si>
  <si>
    <t>RICKY FLAP STRAIGHT CAMO SPR T</t>
  </si>
  <si>
    <t>ABV ARMY GRN CMO</t>
  </si>
  <si>
    <t>MQUJ19DG4</t>
  </si>
  <si>
    <t>GENO CAMO GROUP PANT</t>
  </si>
  <si>
    <t>MQUV91DG4</t>
  </si>
  <si>
    <t>VINNY CAMO GROUP PANT</t>
  </si>
  <si>
    <t>MRG8Y77CV0</t>
  </si>
  <si>
    <t>TR MUSCLE CAR HENLEY</t>
  </si>
  <si>
    <t>ABW HTHR GRY/BLK</t>
  </si>
  <si>
    <t>ABW WHITE / BLUE</t>
  </si>
  <si>
    <t>ABW OATML/SCRLET</t>
  </si>
  <si>
    <t>MRK8Z89DU6</t>
  </si>
  <si>
    <t>GERMAN RUGBY LS RUGBY POLO</t>
  </si>
  <si>
    <t>MRK8Z89DU7</t>
  </si>
  <si>
    <t>AMERICAN RUGBY LS RUGBY POLO</t>
  </si>
  <si>
    <t>MRK8Z89DU8</t>
  </si>
  <si>
    <t>ITALIAN RUGBY LS RUGBY POLO</t>
  </si>
  <si>
    <t>MRM8Z89DU9</t>
  </si>
  <si>
    <t>ENGLISH RUGBY LS RUGBY POLO</t>
  </si>
  <si>
    <t>MRT8U24QN6</t>
  </si>
  <si>
    <t>MRT8U24QN7</t>
  </si>
  <si>
    <t>MRTA451QL8</t>
  </si>
  <si>
    <t>MRTA451QL9</t>
  </si>
  <si>
    <t>STATES S/S CREW NECK</t>
  </si>
  <si>
    <t>MRTA451QM0</t>
  </si>
  <si>
    <t>SKULL GUITAR S/S CREW NECK</t>
  </si>
  <si>
    <t>MRTB228QS1</t>
  </si>
  <si>
    <t>LIBERTY MUSCLE TEE</t>
  </si>
  <si>
    <t>MRTW58QO7</t>
  </si>
  <si>
    <t>MRV9S82</t>
  </si>
  <si>
    <t>PUFFER VEST WITH SERAPE YOKE</t>
  </si>
  <si>
    <t>CHESTNUT</t>
  </si>
  <si>
    <t>AMBER</t>
  </si>
  <si>
    <t>MS48036B93</t>
  </si>
  <si>
    <t>DBL PUFF  LOGO HORSESHOE SS CR</t>
  </si>
  <si>
    <t>3C WHITE</t>
  </si>
  <si>
    <t>3C LAWN</t>
  </si>
  <si>
    <t>3C OCEANSIDE</t>
  </si>
  <si>
    <t>MS48036HQ9</t>
  </si>
  <si>
    <t>BOSTON S/S CREW NECK TEE</t>
  </si>
  <si>
    <t>MS48036Q24</t>
  </si>
  <si>
    <t>EAGLE ROCK S/S CREW NECK- MENS</t>
  </si>
  <si>
    <t>MS48036Q25</t>
  </si>
  <si>
    <t>TOUR POSTER S/S CREW NECK- MEN</t>
  </si>
  <si>
    <t>MS48036Q28</t>
  </si>
  <si>
    <t>CAMPUS  TOUR  S/S CREW NECK- M</t>
  </si>
  <si>
    <t>MS48036Q35</t>
  </si>
  <si>
    <t>ROCK AWAY S/S CREW NECK- MENS</t>
  </si>
  <si>
    <t>MS48036Q39</t>
  </si>
  <si>
    <t>REBELS RIDE S/S CREW NECK- MEN</t>
  </si>
  <si>
    <t>MS48036R16</t>
  </si>
  <si>
    <t>3C SUNFLOWER</t>
  </si>
  <si>
    <t>MS48036T06</t>
  </si>
  <si>
    <t>CALIFORNIA INK SS CRWNK T</t>
  </si>
  <si>
    <t>MS48036T08</t>
  </si>
  <si>
    <t>BLUE COLLAR S/S BASIC CREW TEE</t>
  </si>
  <si>
    <t>MS48036T09</t>
  </si>
  <si>
    <t>TRUE BIKER S/S BASIC CREW</t>
  </si>
  <si>
    <t>MS48036T10</t>
  </si>
  <si>
    <t>MS48036T11</t>
  </si>
  <si>
    <t>MS48036T12</t>
  </si>
  <si>
    <t>S/S BASIC CREW W/GRAPHIC</t>
  </si>
  <si>
    <t>MS48036T13</t>
  </si>
  <si>
    <t>LOS BANDIDOS S/S BASIC CREW TE</t>
  </si>
  <si>
    <t>MS48036T14</t>
  </si>
  <si>
    <t>MORNING WOOD S/S BASIC CREW TE</t>
  </si>
  <si>
    <t>MS48036T15</t>
  </si>
  <si>
    <t>SUNNY STATE S/S BASIC CREW TEE</t>
  </si>
  <si>
    <t>MS48036T16</t>
  </si>
  <si>
    <t>3C MAHOGANY</t>
  </si>
  <si>
    <t>MS48036T17</t>
  </si>
  <si>
    <t>MS48036T18</t>
  </si>
  <si>
    <t>COTTON JERSEYGRAPHIC TEE</t>
  </si>
  <si>
    <t>MS48036T19</t>
  </si>
  <si>
    <t>MS48036T20</t>
  </si>
  <si>
    <t>MS48036T89</t>
  </si>
  <si>
    <t>SERAPE HORSESHOE APPLIQUE TEE</t>
  </si>
  <si>
    <t>3C MATTE COPPER</t>
  </si>
  <si>
    <t>MS48J51R16</t>
  </si>
  <si>
    <t>SIGNATURE PUFF LOGO S/S POLO-</t>
  </si>
  <si>
    <t>MS48L14T43</t>
  </si>
  <si>
    <t>L/S CREW GRAPHIC SHIRT</t>
  </si>
  <si>
    <t>MS48T23T34</t>
  </si>
  <si>
    <t>RINGER TEE W/CONTRAST FLATLOCK</t>
  </si>
  <si>
    <t>MS48T23T35</t>
  </si>
  <si>
    <t>MS48T23T36</t>
  </si>
  <si>
    <t>MS48T27U08</t>
  </si>
  <si>
    <t>SERAPE POCKET TEE</t>
  </si>
  <si>
    <t>MS4A301HI2</t>
  </si>
  <si>
    <t>TR BRAVEBIRD S/S VNECK TEE</t>
  </si>
  <si>
    <t>MS4A301IZ6</t>
  </si>
  <si>
    <t>TRUE SWANK S/S VNECK TEE</t>
  </si>
  <si>
    <t>MS4A451HH9</t>
  </si>
  <si>
    <t>TR CUBED S/S CREW NECK TEE</t>
  </si>
  <si>
    <t>MS4A451HI0</t>
  </si>
  <si>
    <t>TRESE S/S CREW NECK TEE</t>
  </si>
  <si>
    <t>MS4A451HJ6</t>
  </si>
  <si>
    <t>THRILLS S/S CREW NECK TEE</t>
  </si>
  <si>
    <t>MS4A451HJ8</t>
  </si>
  <si>
    <t>TRUE TORO S/S CREW NECK TEE</t>
  </si>
  <si>
    <t>MS4A451HK2</t>
  </si>
  <si>
    <t>CROSSROADS TAVERN SS CRW NCK T</t>
  </si>
  <si>
    <t>MS4A451HK3</t>
  </si>
  <si>
    <t>DEATH VALLEY S/S CREW NECK TEE</t>
  </si>
  <si>
    <t>MS4A451IX9</t>
  </si>
  <si>
    <t>STRANGE WAY S/S CREW NECK TEE</t>
  </si>
  <si>
    <t>09 SPRUCE GREEN</t>
  </si>
  <si>
    <t>MS4A451IY1</t>
  </si>
  <si>
    <t>TMPL OF THE GUITR SS CREW TEE</t>
  </si>
  <si>
    <t>09 FLINSTONE</t>
  </si>
  <si>
    <t>MS4A451IY8</t>
  </si>
  <si>
    <t>CHILL OUT S/S CREW NECK TEE</t>
  </si>
  <si>
    <t>MS4A451IZ4</t>
  </si>
  <si>
    <t>1100 CC S/S CREW NECK TEE</t>
  </si>
  <si>
    <t>MS4A451IZ8</t>
  </si>
  <si>
    <t>TR SHROOMS S/S CREW NECK TEE</t>
  </si>
  <si>
    <t>MS4A451JA0</t>
  </si>
  <si>
    <t>WOMB TO TOMB S/S CREW NECK TEE</t>
  </si>
  <si>
    <t>MS4A451JA2</t>
  </si>
  <si>
    <t>BOWERY S/S CREW NECK TEE</t>
  </si>
  <si>
    <t>MS4A451JA3</t>
  </si>
  <si>
    <t>OPEN ROAD S/S CREW NECK TEE</t>
  </si>
  <si>
    <t>MS4A451JT5</t>
  </si>
  <si>
    <t>MOON RISE S/S CREW NECK TEE</t>
  </si>
  <si>
    <t>MS4A451JT6</t>
  </si>
  <si>
    <t>TOUR LETTERS S/S CRW NCK TEE</t>
  </si>
  <si>
    <t>MS4A451KW2</t>
  </si>
  <si>
    <t>EST U SS CREW NECK TEE</t>
  </si>
  <si>
    <t>09 TAR</t>
  </si>
  <si>
    <t>MS4A451KW5</t>
  </si>
  <si>
    <t>SHIELD SS CREW NECK TEE</t>
  </si>
  <si>
    <t>MS4A451KW6</t>
  </si>
  <si>
    <t>TRLA SS CREW NECK TEE</t>
  </si>
  <si>
    <t>09 NIGHT HAZE</t>
  </si>
  <si>
    <t>MS4A451KW7</t>
  </si>
  <si>
    <t>TRULY SKETCHY SS CREW NECK TEE</t>
  </si>
  <si>
    <t>09 WINTER WHITE</t>
  </si>
  <si>
    <t>MS4A451KW9</t>
  </si>
  <si>
    <t>CRAFTD W PRIDE SS CREW NECK</t>
  </si>
  <si>
    <t>09 RUBY RED</t>
  </si>
  <si>
    <t>MS4A451KX0</t>
  </si>
  <si>
    <t>HALF MOON S/S CREW NECK TEE</t>
  </si>
  <si>
    <t>MS4A451KX2</t>
  </si>
  <si>
    <t>TRI 71 S/S CREW NECK TEE</t>
  </si>
  <si>
    <t>MS4A451KX4</t>
  </si>
  <si>
    <t>MORAY S/S CREW NECK TEE</t>
  </si>
  <si>
    <t>MS4A451KX5</t>
  </si>
  <si>
    <t>BRUSH S/S CREW NECK TEE</t>
  </si>
  <si>
    <t>MS4A451KX7</t>
  </si>
  <si>
    <t>ZEN S/S CREW NECK TEE</t>
  </si>
  <si>
    <t>MS4A451KX8</t>
  </si>
  <si>
    <t>TR71 S/S CREW NECK TEE</t>
  </si>
  <si>
    <t>MS4A451KX9</t>
  </si>
  <si>
    <t>BLACK ON BLACK S/S CRW NCK TEE</t>
  </si>
  <si>
    <t>09 BLACK/GREY</t>
  </si>
  <si>
    <t>09 WHT/GRY</t>
  </si>
  <si>
    <t>09 ABSYNTHE/GREY</t>
  </si>
  <si>
    <t>09 DUSTY ROSE/GREY</t>
  </si>
  <si>
    <t>MS4A451KY3</t>
  </si>
  <si>
    <t>TR MULTI S/S CREW NECK TEE</t>
  </si>
  <si>
    <t>MS4A451KY4</t>
  </si>
  <si>
    <t>ROUND 71 S/S CREW NECK TEE</t>
  </si>
  <si>
    <t>09 ABSYNTHE</t>
  </si>
  <si>
    <t>MS4A451KY7</t>
  </si>
  <si>
    <t>BIG SUR S/S CREW NECK TEE</t>
  </si>
  <si>
    <t>MS4A451KY8</t>
  </si>
  <si>
    <t>NORTH &amp; SOUTH S/S CRW NCK TEE</t>
  </si>
  <si>
    <t>MS4A451LE4</t>
  </si>
  <si>
    <t>CLEAR COATED TR SS CRW NCK TEE</t>
  </si>
  <si>
    <t>MS4A451MZ4</t>
  </si>
  <si>
    <t>FRAGMENT SKULL S/S CRW NCK TEE</t>
  </si>
  <si>
    <t>MS4B177NT7</t>
  </si>
  <si>
    <t>MS4B229NT1</t>
  </si>
  <si>
    <t>ARROW S/S CREW GRAPHIC TEE</t>
  </si>
  <si>
    <t>CARNELIAN</t>
  </si>
  <si>
    <t>MSCA037EF6</t>
  </si>
  <si>
    <t>GENO SLIM STRAIGHT TAILORED</t>
  </si>
  <si>
    <t>MSCA037FK9</t>
  </si>
  <si>
    <t>AUZL</t>
  </si>
  <si>
    <t>AUZL RADIANT SUN</t>
  </si>
  <si>
    <t>MSCA038EF6</t>
  </si>
  <si>
    <t>VINNY SKINNY TAILORED</t>
  </si>
  <si>
    <t>MSCA038FK9</t>
  </si>
  <si>
    <t>MSCA065EF6</t>
  </si>
  <si>
    <t>MSCA065FK9</t>
  </si>
  <si>
    <t>MSCA169EF6</t>
  </si>
  <si>
    <t>BOBBY STRAIGHT LEG TAILORED</t>
  </si>
  <si>
    <t>MSCA169FK9</t>
  </si>
  <si>
    <t>BOBBY STRAIGHT TAILORED</t>
  </si>
  <si>
    <t>MSIBT96DT3</t>
  </si>
  <si>
    <t>2S OLIVE</t>
  </si>
  <si>
    <t>MSJBZ74FP5</t>
  </si>
  <si>
    <t>FINE CORDUROY  WORKWEAR SHIRT</t>
  </si>
  <si>
    <t>2S LT GREY</t>
  </si>
  <si>
    <t>MSK859TS</t>
  </si>
  <si>
    <t>STRAIGHT WFLPS BASIC NATURAL</t>
  </si>
  <si>
    <t>CCAM</t>
  </si>
  <si>
    <t>CCAM OLD STNE FT</t>
  </si>
  <si>
    <t>MSKBV92VR</t>
  </si>
  <si>
    <t>2S ASH</t>
  </si>
  <si>
    <t>2S MAROON</t>
  </si>
  <si>
    <t>MSLBZ67VR</t>
  </si>
  <si>
    <t>L/S SINGLE POCKET SHIRT INDIGO</t>
  </si>
  <si>
    <t>ARM INDIGO BOBBY</t>
  </si>
  <si>
    <t>MSMBX17VY</t>
  </si>
  <si>
    <t>ARL PEWTER</t>
  </si>
  <si>
    <t>MSN8036FJ8</t>
  </si>
  <si>
    <t>RATTLE SS CREWNECK TEE</t>
  </si>
  <si>
    <t>ARH INDIGO</t>
  </si>
  <si>
    <t>AVUM</t>
  </si>
  <si>
    <t>AVUM INDIGO</t>
  </si>
  <si>
    <t>MSN8036FK0</t>
  </si>
  <si>
    <t>TRUE CIRCLE SS CREWNECK TEE</t>
  </si>
  <si>
    <t>MSN8036GE2</t>
  </si>
  <si>
    <t>BISON SS CREW NECK TEE</t>
  </si>
  <si>
    <t>AVUL</t>
  </si>
  <si>
    <t>AVUL INDIGO</t>
  </si>
  <si>
    <t>MSN8Z66VR</t>
  </si>
  <si>
    <t>L/S INDIGO HENLEY</t>
  </si>
  <si>
    <t>ARH INDIGO JRSEY</t>
  </si>
  <si>
    <t>MSNA246GE3</t>
  </si>
  <si>
    <t>NOVELTY WASH SS CRWNK PKT TEE</t>
  </si>
  <si>
    <t>BDN NOVELTY WASH</t>
  </si>
  <si>
    <t>MSO9Z69VR</t>
  </si>
  <si>
    <t>WAXED CANVAS PUFFER VEST</t>
  </si>
  <si>
    <t>DK KHAKI</t>
  </si>
  <si>
    <t>MSPA085VR</t>
  </si>
  <si>
    <t>NYLN CAMO PUFFER JKT W/ LEATHE</t>
  </si>
  <si>
    <t>BLACK CAMO</t>
  </si>
  <si>
    <t>MSPA177VR</t>
  </si>
  <si>
    <t>NYLN CAMO PUFFER VEST W/ LEATH</t>
  </si>
  <si>
    <t>ARMY CAMO</t>
  </si>
  <si>
    <t>MSQB179IK</t>
  </si>
  <si>
    <t>STRIPPED TANK TOP</t>
  </si>
  <si>
    <t>CGJ IND W RED ST</t>
  </si>
  <si>
    <t>MSQC145IK</t>
  </si>
  <si>
    <t>BJYL IND W/RD ST</t>
  </si>
  <si>
    <t>MSTC145IK</t>
  </si>
  <si>
    <t>CGD IN W WT&amp;RD ST</t>
  </si>
  <si>
    <t>MSUB088QW8</t>
  </si>
  <si>
    <t>CEPL</t>
  </si>
  <si>
    <t>CEPL GREY CLOUD</t>
  </si>
  <si>
    <t>MSUJ19NQW8</t>
  </si>
  <si>
    <t>MSUJ60NQW8</t>
  </si>
  <si>
    <t>1/2 ROCCO NO FLAP SE</t>
  </si>
  <si>
    <t>MSX8Z90DZ0</t>
  </si>
  <si>
    <t>COLORADO SS CREWNECK TEE</t>
  </si>
  <si>
    <t>MSX8Z90DZ1</t>
  </si>
  <si>
    <t>BACKPATCH TEE S/S CREWNECK TEE</t>
  </si>
  <si>
    <t>3C SPICE</t>
  </si>
  <si>
    <t>MSX8Z90DZ2</t>
  </si>
  <si>
    <t>BLACK EAGLE SS CREWNECK</t>
  </si>
  <si>
    <t>MSZA372VR</t>
  </si>
  <si>
    <t>LS SINGLE POCKET SHIRT W CONT</t>
  </si>
  <si>
    <t>MSZBZ07VY</t>
  </si>
  <si>
    <t>LS SNGL PKT SOLID POPLIN SHIRT</t>
  </si>
  <si>
    <t>V1 DK NAVY</t>
  </si>
  <si>
    <t>V1 CRIMSON</t>
  </si>
  <si>
    <t>MTB6U17EL5</t>
  </si>
  <si>
    <t>RAW EDGE BIG-T SWEATPANT</t>
  </si>
  <si>
    <t>MTB7V93EL5</t>
  </si>
  <si>
    <t>RAW EDGE BIG-T HOODIE</t>
  </si>
  <si>
    <t>MTH859EN8</t>
  </si>
  <si>
    <t>RICKY STRAIGHT OVERDYE SATEEN</t>
  </si>
  <si>
    <t>ATB BLACK</t>
  </si>
  <si>
    <t>ATB WET SAND</t>
  </si>
  <si>
    <t>ATB FOREST</t>
  </si>
  <si>
    <t>ATB DEEP SEA</t>
  </si>
  <si>
    <t>ATB STRAW</t>
  </si>
  <si>
    <t>MTH859NLX3</t>
  </si>
  <si>
    <t>RICKY W FLAP STRAIGHT OVRDYE</t>
  </si>
  <si>
    <t>ATB PAVEMENT</t>
  </si>
  <si>
    <t>ATB OXBLOOD</t>
  </si>
  <si>
    <t>MTHH54EN8</t>
  </si>
  <si>
    <t>ZACH SLIM OVERDYE SATEEN</t>
  </si>
  <si>
    <t>MTHH54NLX3</t>
  </si>
  <si>
    <t>ROCCO SLIM W FLP OVRDYE SATEN</t>
  </si>
  <si>
    <t>MTHJ19EN8</t>
  </si>
  <si>
    <t>GENO SLM STRGHT OVERDYE SATEEN</t>
  </si>
  <si>
    <t>MTHJ19NLX3</t>
  </si>
  <si>
    <t>GENO RELAXED SLIM OVRDYE SATEN</t>
  </si>
  <si>
    <t>MTIQ12EN5</t>
  </si>
  <si>
    <t>BOBBY STRAIGHT 1971-DIGONL CRD</t>
  </si>
  <si>
    <t>ATC BLACK</t>
  </si>
  <si>
    <t>ATC GREY FOG</t>
  </si>
  <si>
    <t>ATC WET SAND</t>
  </si>
  <si>
    <t>MTIR09EN5</t>
  </si>
  <si>
    <t>GENO SLM STRGHT 1971-DIGNL CRD</t>
  </si>
  <si>
    <t>MTJB011IK</t>
  </si>
  <si>
    <t>HERRINGBONE SLUB PLAID SHIRT</t>
  </si>
  <si>
    <t>TOURMALINE</t>
  </si>
  <si>
    <t>BLOOD MOON</t>
  </si>
  <si>
    <t>MTN8Z98FC8</t>
  </si>
  <si>
    <t>BRANDED L/S POCKET RAGLAN</t>
  </si>
  <si>
    <t>MTNA028AB0</t>
  </si>
  <si>
    <t>BRANDED L/S HOODED HENLEY</t>
  </si>
  <si>
    <t>MTO7Z99EV7</t>
  </si>
  <si>
    <t>VARSITY CARDIGAN W/ PRINT/PTCH</t>
  </si>
  <si>
    <t>MTO7Z99EY1</t>
  </si>
  <si>
    <t>TR FOOTBALL CLUB KNIT CARDIGAN</t>
  </si>
  <si>
    <t>MTP6T90DV8</t>
  </si>
  <si>
    <t>TRUE APPLIQUE FLTLOCK SWEATPAT</t>
  </si>
  <si>
    <t>MTPA011DV7</t>
  </si>
  <si>
    <t>TRUE APPLIQUE HOODIE ZIP HOOD</t>
  </si>
  <si>
    <t>MTPA012FL1</t>
  </si>
  <si>
    <t>HOODED TERRY SHERPA JACKET</t>
  </si>
  <si>
    <t>MTQA007EG</t>
  </si>
  <si>
    <t>L/S POCKET HENLEY</t>
  </si>
  <si>
    <t>09 GREY</t>
  </si>
  <si>
    <t>MTRA003DB4</t>
  </si>
  <si>
    <t>INDIGO FLEECE HOODIE</t>
  </si>
  <si>
    <t>AVB INDIGO</t>
  </si>
  <si>
    <t>MTRA004DB4</t>
  </si>
  <si>
    <t>INDIGO SWEAT FLEECE SWEATPANT</t>
  </si>
  <si>
    <t>MTRA005AB0</t>
  </si>
  <si>
    <t>GRAPHIC INDIGO FLEECE</t>
  </si>
  <si>
    <t>MTRA013VR</t>
  </si>
  <si>
    <t>INDIGO FLEECE BLAZER</t>
  </si>
  <si>
    <t>MTT6T90DV6</t>
  </si>
  <si>
    <t>TR VARSITY CHAMPS SWEATPANT</t>
  </si>
  <si>
    <t>MTTA001DV5</t>
  </si>
  <si>
    <t>TR VARSITY CHAMPS ZIP HOODIE</t>
  </si>
  <si>
    <t>MTTA011DV5</t>
  </si>
  <si>
    <t>MTXA083EA5</t>
  </si>
  <si>
    <t>LETTERMAN BLAZER W PATCH &amp; EMB</t>
  </si>
  <si>
    <t>AVJ CHARCOAL</t>
  </si>
  <si>
    <t>MTYA082</t>
  </si>
  <si>
    <t>CORDUROY BLAZER W/ QUILTING</t>
  </si>
  <si>
    <t>AVG BROWN</t>
  </si>
  <si>
    <t>AVG DK SLATE BLUE</t>
  </si>
  <si>
    <t>MU2A301IK</t>
  </si>
  <si>
    <t>INDIGO V-NECK TEE</t>
  </si>
  <si>
    <t>MU3A451NC5</t>
  </si>
  <si>
    <t>STRIPES</t>
  </si>
  <si>
    <t>MU3A451NC6</t>
  </si>
  <si>
    <t>71 CIRCLE</t>
  </si>
  <si>
    <t>MU3A451NC7</t>
  </si>
  <si>
    <t>MU3B228NT6</t>
  </si>
  <si>
    <t>BUTTON AND RIVET MUSCLE TEE</t>
  </si>
  <si>
    <t>MU4B179IK</t>
  </si>
  <si>
    <t>STRIPED TANK TOP</t>
  </si>
  <si>
    <t>CGJ IN W WT&amp;RD ST</t>
  </si>
  <si>
    <t>MU5859NQR8</t>
  </si>
  <si>
    <t>MU6859NQW4</t>
  </si>
  <si>
    <t>BYI SKY</t>
  </si>
  <si>
    <t>MU7859NQW5</t>
  </si>
  <si>
    <t>BYI PAVEMENT</t>
  </si>
  <si>
    <t>MUAA208NV9</t>
  </si>
  <si>
    <t>CAOL</t>
  </si>
  <si>
    <t>CAOL FADED HRZON</t>
  </si>
  <si>
    <t>MUKA084</t>
  </si>
  <si>
    <t>BRANDED CREWNECK INDIGOSWEATER</t>
  </si>
  <si>
    <t>ARI MD INDGO WSH</t>
  </si>
  <si>
    <t>MUKA086</t>
  </si>
  <si>
    <t>BRANDED INDIGO CARDIGAN</t>
  </si>
  <si>
    <t>MUMB156QM9</t>
  </si>
  <si>
    <t>BANDANA S/S SINGLE POCKET TEE</t>
  </si>
  <si>
    <t>CGH INDIGO</t>
  </si>
  <si>
    <t>MUTA204QU4</t>
  </si>
  <si>
    <t>ALL OVER MONOGRAM TANK</t>
  </si>
  <si>
    <t>RBY</t>
  </si>
  <si>
    <t>RUBY</t>
  </si>
  <si>
    <t>MUTB230QU4</t>
  </si>
  <si>
    <t>ALL OVER MONOGRAM PRINT TANK</t>
  </si>
  <si>
    <t>CRUSHED ICE</t>
  </si>
  <si>
    <t>MV3BG48BS</t>
  </si>
  <si>
    <t>LS WSTRN SHRT BLK TRIM</t>
  </si>
  <si>
    <t>MV3BG48TT</t>
  </si>
  <si>
    <t>L/S POPLIN WESTERN SHIRT</t>
  </si>
  <si>
    <t>MV3BL68</t>
  </si>
  <si>
    <t>ROCKY SOLID POPLIN WOVEN SHIRT</t>
  </si>
  <si>
    <t>MV3BL68TT</t>
  </si>
  <si>
    <t>L/S ROCKY SOLID  POPLIN WESTER</t>
  </si>
  <si>
    <t>RU FADED BLACK</t>
  </si>
  <si>
    <t>RU WHITE</t>
  </si>
  <si>
    <t>RU FADED SUNFLOWER</t>
  </si>
  <si>
    <t>MV3BQ05EG</t>
  </si>
  <si>
    <t>RU PEBBLE GREY</t>
  </si>
  <si>
    <t>RU FADED ROYAL BLUE</t>
  </si>
  <si>
    <t>MV4B177QU8</t>
  </si>
  <si>
    <t>CACTUS POEM S/S GRAPHIC TEE</t>
  </si>
  <si>
    <t>MV76L49F39</t>
  </si>
  <si>
    <t>TR APPLQ PANTS</t>
  </si>
  <si>
    <t>MV76T90V75</t>
  </si>
  <si>
    <t>POWER THROUGH PEACE FLATLOCK R</t>
  </si>
  <si>
    <t>UG INDIGO</t>
  </si>
  <si>
    <t>MV76T90V77</t>
  </si>
  <si>
    <t>FLATLOCK RAW EDGE SWEATPANT</t>
  </si>
  <si>
    <t>MV76T90W08</t>
  </si>
  <si>
    <t>BUITL TO LAST FLATLOCK RAW EDG</t>
  </si>
  <si>
    <t>UG BLACK</t>
  </si>
  <si>
    <t>MV77K58E72</t>
  </si>
  <si>
    <t>NATURAL QT LS FLEECE CREWNECK</t>
  </si>
  <si>
    <t>MV77T33V74</t>
  </si>
  <si>
    <t>MV77T33V76</t>
  </si>
  <si>
    <t>FLATLOCK RAW EDGE HOODIE W/GRA</t>
  </si>
  <si>
    <t>MV77T33W07</t>
  </si>
  <si>
    <t>BUILT TO LAST FLATLOCK RAW EDG</t>
  </si>
  <si>
    <t>MVAA452RA1</t>
  </si>
  <si>
    <t>MVHBV92VR</t>
  </si>
  <si>
    <t>INDIGO PLAID LS WESTERN SHIRT</t>
  </si>
  <si>
    <t>BAP BLUE GEO</t>
  </si>
  <si>
    <t>MVKY59FN0</t>
  </si>
  <si>
    <t>COMMANDER CARGO BIG T SHORT</t>
  </si>
  <si>
    <t>OLIVE CAMO</t>
  </si>
  <si>
    <t>MVN800GX6</t>
  </si>
  <si>
    <t>BOBBY STRAIGHT TWILL OVERDYE</t>
  </si>
  <si>
    <t>BBC BLACK</t>
  </si>
  <si>
    <t>BBC SLATE GREY</t>
  </si>
  <si>
    <t>BBC ECRU</t>
  </si>
  <si>
    <t>BBC HYDE</t>
  </si>
  <si>
    <t>BBC LIMESTONE</t>
  </si>
  <si>
    <t>BBC ROYAL NAVY</t>
  </si>
  <si>
    <t>BBC CORAL</t>
  </si>
  <si>
    <t>MVN859GX6</t>
  </si>
  <si>
    <t>RICKY STRAIGHT LEG OVERDYE</t>
  </si>
  <si>
    <t>MVNJ19GX6</t>
  </si>
  <si>
    <t>GENO SLIM STRAIGHT OVERDYE</t>
  </si>
  <si>
    <t>MVOA211FM8</t>
  </si>
  <si>
    <t>REPAIRED PEACE CORPS SHORT</t>
  </si>
  <si>
    <t>BAX MILTRY OLIVE</t>
  </si>
  <si>
    <t>MVOA211FW4</t>
  </si>
  <si>
    <t>BAX NVY MTRY CLTH</t>
  </si>
  <si>
    <t>MVOA300DS9</t>
  </si>
  <si>
    <t>MILITARY JACKET W EMBROIDERY</t>
  </si>
  <si>
    <t>BBQ OLIVE</t>
  </si>
  <si>
    <t>MVTA547VR</t>
  </si>
  <si>
    <t>SS SNGL PCKT INDGO BNDNA SHIRT</t>
  </si>
  <si>
    <t>INDIGO BANDANA</t>
  </si>
  <si>
    <t>MVTBA421VR</t>
  </si>
  <si>
    <t>INDIGO PRINT LS WESTERN SHIRT</t>
  </si>
  <si>
    <t>BBD BLCHD BANDNA</t>
  </si>
  <si>
    <t>MVUA228FS6</t>
  </si>
  <si>
    <t>TRUE RELIGION CO SS RNGR PKT T</t>
  </si>
  <si>
    <t>MVUA228FS8</t>
  </si>
  <si>
    <t>TR56 SS RINGER POCKET TEE</t>
  </si>
  <si>
    <t>MVW8Z66VR</t>
  </si>
  <si>
    <t>LS POCKET HENLEY</t>
  </si>
  <si>
    <t>MVWA231EG</t>
  </si>
  <si>
    <t>SLUB JERSEY PLEATED PCKET POLO</t>
  </si>
  <si>
    <t>MVWA554IB2</t>
  </si>
  <si>
    <t>SLUB S/S HENLEY</t>
  </si>
  <si>
    <t>FADED CHARCOAL</t>
  </si>
  <si>
    <t>Y3 FDED CHARCOAL</t>
  </si>
  <si>
    <t>Y3 FDED COOL GRY</t>
  </si>
  <si>
    <t>Y3 FDED BRZE BLU</t>
  </si>
  <si>
    <t>Y3 FAD ROSE WINE</t>
  </si>
  <si>
    <t>MVWA573IP1</t>
  </si>
  <si>
    <t>POCKET TEE SS CREW NECK</t>
  </si>
  <si>
    <t>MVWA589EG</t>
  </si>
  <si>
    <t>SLUB JERSEY SINGLE POCKET POLO</t>
  </si>
  <si>
    <t>Y3 FDED BL HORZN</t>
  </si>
  <si>
    <t>MVYA233FQ2</t>
  </si>
  <si>
    <t>TR HORSESHOE LS RAGLAN CRWNECK</t>
  </si>
  <si>
    <t>MVYA234FP9</t>
  </si>
  <si>
    <t>HORSESHOE LS ZIP HOODIE</t>
  </si>
  <si>
    <t>2S CHARCOAL HTHR</t>
  </si>
  <si>
    <t>MVZA240FQ3</t>
  </si>
  <si>
    <t>LS RAGLAN SWEATSHIRT W PRINT</t>
  </si>
  <si>
    <t>2S OATMEAL</t>
  </si>
  <si>
    <t>MWFA249VR</t>
  </si>
  <si>
    <t>WAXED GOAT SUEDE JACKET</t>
  </si>
  <si>
    <t>MWKA267V7</t>
  </si>
  <si>
    <t>LEATHER MILITARY JACKET</t>
  </si>
  <si>
    <t>BEC / BLACK</t>
  </si>
  <si>
    <t>MWKA267VR</t>
  </si>
  <si>
    <t>MWM800OIK6</t>
  </si>
  <si>
    <t>BOBBY STRAIGHT LEG BROWN BIG T</t>
  </si>
  <si>
    <t>BFUD</t>
  </si>
  <si>
    <t>BFUD DEEP SEA</t>
  </si>
  <si>
    <t>MWM858OIK6</t>
  </si>
  <si>
    <t>BILLY BOOT CUT BROWN BIG T</t>
  </si>
  <si>
    <t>BBOL</t>
  </si>
  <si>
    <t>BBOL HARD DAZE</t>
  </si>
  <si>
    <t>MWM859OIK6</t>
  </si>
  <si>
    <t>RICKY STRAIGHT LEG BROWN BIG T</t>
  </si>
  <si>
    <t>MWMA269GF5</t>
  </si>
  <si>
    <t>GENO SLIM STRAIGHT NEWCOMER</t>
  </si>
  <si>
    <t>AZFD</t>
  </si>
  <si>
    <t>AZFD MODDY BLUES</t>
  </si>
  <si>
    <t>BFLL</t>
  </si>
  <si>
    <t>BFLL LOS ALTOS</t>
  </si>
  <si>
    <t>BFMM</t>
  </si>
  <si>
    <t>BFMM SUNSET PASS</t>
  </si>
  <si>
    <t>MWMA317GF5</t>
  </si>
  <si>
    <t>ROCCO SLIM THE NEWCOMER</t>
  </si>
  <si>
    <t>MWMA682JU1</t>
  </si>
  <si>
    <t>MWMJ19OIK6</t>
  </si>
  <si>
    <t>GENO SLIM STRAIGHT BIG T</t>
  </si>
  <si>
    <t>MWNA014ED3</t>
  </si>
  <si>
    <t>TWILL TURISIMO MOTO JACKET</t>
  </si>
  <si>
    <t>AVH CHARCOAL</t>
  </si>
  <si>
    <t>MWQA301GK7</t>
  </si>
  <si>
    <t>SS VNECK TEE</t>
  </si>
  <si>
    <t>2S STEEL GREY</t>
  </si>
  <si>
    <t>HEATHER CHARCOAL</t>
  </si>
  <si>
    <t>ECRU</t>
  </si>
  <si>
    <t>2S OLD SAGE</t>
  </si>
  <si>
    <t>CRIMSON</t>
  </si>
  <si>
    <t>2S CRIMSON</t>
  </si>
  <si>
    <t>2S WASHED CORAL</t>
  </si>
  <si>
    <t>MWQA301KG6</t>
  </si>
  <si>
    <t>2S MERLOT</t>
  </si>
  <si>
    <t>MWQA423GK7</t>
  </si>
  <si>
    <t>SS CREW NECK TEE</t>
  </si>
  <si>
    <t>MWQA451KG6</t>
  </si>
  <si>
    <t>SOLID S/S CREW NECK TEE</t>
  </si>
  <si>
    <t>MWSA422FQ4</t>
  </si>
  <si>
    <t>STRIPED TERRY ZIP HOODIE</t>
  </si>
  <si>
    <t>MWUA290GE3</t>
  </si>
  <si>
    <t>LS MILITARY SHIRT W STUDD PKT</t>
  </si>
  <si>
    <t>BDU FADED KHAKI</t>
  </si>
  <si>
    <t>MWUA583DS9</t>
  </si>
  <si>
    <t>L/S CARGO BUTTON UP</t>
  </si>
  <si>
    <t>BGX WASHED BLACK</t>
  </si>
  <si>
    <t>BGX KHAKI</t>
  </si>
  <si>
    <t>MWX8W86QN9</t>
  </si>
  <si>
    <t>HEATHER GRY/ DK NAVY</t>
  </si>
  <si>
    <t>MWXA271QO5</t>
  </si>
  <si>
    <t>MWXW58QO7</t>
  </si>
  <si>
    <t>MZL451IY3</t>
  </si>
  <si>
    <t>PEACE PILL S/S CREW NECK TEE</t>
  </si>
  <si>
    <t>MZLA451HH5</t>
  </si>
  <si>
    <t>BROOKLYN S/S CREW NECK TEE</t>
  </si>
  <si>
    <t>MZLA451HH6</t>
  </si>
  <si>
    <t>PHUKET S/S CREW NECK TEE</t>
  </si>
  <si>
    <t>09 POOL BLUE</t>
  </si>
  <si>
    <t>MZLA451HH7</t>
  </si>
  <si>
    <t>SURFIN SAFARI S/S CREW NCK TEE</t>
  </si>
  <si>
    <t>MZLA451HH8</t>
  </si>
  <si>
    <t>TEQUILA RUN S/S CREW NECK TEE</t>
  </si>
  <si>
    <t>09 WASHED RED</t>
  </si>
  <si>
    <t>MZLA451HI6</t>
  </si>
  <si>
    <t>5 BOROUGHS S/S CREW NECK</t>
  </si>
  <si>
    <t>MZLA451HI8</t>
  </si>
  <si>
    <t>TRUE SUN DAZE S/S CREW NECK T</t>
  </si>
  <si>
    <t>MZLA451HJ1</t>
  </si>
  <si>
    <t>ONWARD S/S CREW NECK</t>
  </si>
  <si>
    <t>MZLA451HJ3</t>
  </si>
  <si>
    <t>HELL RAZORS S/S CREW NECK TEE</t>
  </si>
  <si>
    <t>MZLA451HJ4</t>
  </si>
  <si>
    <t>TRUE STARK S/S CREW NECK TEE</t>
  </si>
  <si>
    <t>MZLA451HJ7</t>
  </si>
  <si>
    <t>FREE RIDE S/S CREW NECK TEE</t>
  </si>
  <si>
    <t>MZLA451HJ9</t>
  </si>
  <si>
    <t>WANDERLUST S/S CREW NECK TEE</t>
  </si>
  <si>
    <t>MZLA451HK1</t>
  </si>
  <si>
    <t>TR BRAND SUNSHINE S/S CREW TEE</t>
  </si>
  <si>
    <t>MZLA451HK5</t>
  </si>
  <si>
    <t>BARBADOS S/S CREW NECK TEE</t>
  </si>
  <si>
    <t>MZLA451HK6</t>
  </si>
  <si>
    <t>VACATION S/S CREW NECK TEE</t>
  </si>
  <si>
    <t>MZLA451IA2</t>
  </si>
  <si>
    <t>BIRD BRAIN S/S CREW NECK TEE</t>
  </si>
  <si>
    <t>MZLA451IY0</t>
  </si>
  <si>
    <t>LONG LIVE S/S CREW NECK TEE</t>
  </si>
  <si>
    <t>MZLA451JA1</t>
  </si>
  <si>
    <t>TRUE SKINNY LINES SS CRW NCK T</t>
  </si>
  <si>
    <t>MZMA231EG</t>
  </si>
  <si>
    <t>MZMA749IB2</t>
  </si>
  <si>
    <t>SLUB JRSY LS HOODIE</t>
  </si>
  <si>
    <t>MZSA434HG2</t>
  </si>
  <si>
    <t>SPECIAL OPS  CARGO PANT</t>
  </si>
  <si>
    <t>BDA SURPLUS OLIV</t>
  </si>
  <si>
    <t>MZTA461HG3</t>
  </si>
  <si>
    <t>SPECIAL OPS PRINT CARGO PANT</t>
  </si>
  <si>
    <t>BDB KHAK LEAF PT</t>
  </si>
  <si>
    <t>MZTA567HG3</t>
  </si>
  <si>
    <t>SPECIAL OPS PRINT CARGO SHORT</t>
  </si>
  <si>
    <t>MZUV21HG4</t>
  </si>
  <si>
    <t>RECON CARGO SHORT LINEN RECON</t>
  </si>
  <si>
    <t>BDF BLACK WASHED</t>
  </si>
  <si>
    <t>BJV ECRU</t>
  </si>
  <si>
    <t>BDF SURPLUS OLIVE</t>
  </si>
  <si>
    <t>BDF RED WASHED</t>
  </si>
  <si>
    <t>MZVA435HG5</t>
  </si>
  <si>
    <t>EXCURSION CARGO SHORT DENIM</t>
  </si>
  <si>
    <t>BDG IND DMND JCQD</t>
  </si>
  <si>
    <t>MZWA436HG6</t>
  </si>
  <si>
    <t>UTILITY SLIM STRAIGHT SHORT</t>
  </si>
  <si>
    <t>BDH SAND DUNE</t>
  </si>
  <si>
    <t>BDI SAND DUNE</t>
  </si>
  <si>
    <t>BDH BLUE HORIZON</t>
  </si>
  <si>
    <t>BDI BLUE HORIZON</t>
  </si>
  <si>
    <t>BDH GOLDEN HAZE</t>
  </si>
  <si>
    <t>BDI GOLDEN HAZE</t>
  </si>
  <si>
    <t>MZWA437HG6</t>
  </si>
  <si>
    <t>UTILITIY SOLID CHINO PANT</t>
  </si>
  <si>
    <t>BDI WASHED RED</t>
  </si>
  <si>
    <t>MZWA461IM9</t>
  </si>
  <si>
    <t>BGY GREY</t>
  </si>
  <si>
    <t>MZYA312FQ0</t>
  </si>
  <si>
    <t>LS TERRY JACKET WEMBR PRINT</t>
  </si>
  <si>
    <t>MZZA439HG8</t>
  </si>
  <si>
    <t>NOMAD PRINTED SHORT</t>
  </si>
  <si>
    <t>BDCK GRY ETH PT W</t>
  </si>
  <si>
    <t>BDCK KHA ETHNC P</t>
  </si>
  <si>
    <t>R100</t>
  </si>
  <si>
    <t>MENS JEANS -IRREGULAR</t>
  </si>
  <si>
    <t>R1000</t>
  </si>
  <si>
    <t>MENS JEANS ASST C</t>
  </si>
  <si>
    <t>R100A</t>
  </si>
  <si>
    <t>R100B</t>
  </si>
  <si>
    <t>MENS JEANS - IRREGULAR</t>
  </si>
  <si>
    <t>R100F1</t>
  </si>
  <si>
    <t>MENS JEANS IRREGULAR</t>
  </si>
  <si>
    <t>R100F2</t>
  </si>
  <si>
    <t>MENS JEANS IRREGULAR BIG T</t>
  </si>
  <si>
    <t>R100F3</t>
  </si>
  <si>
    <t>MENS SUPER T JEANS IRREGULAR</t>
  </si>
  <si>
    <t>R101F</t>
  </si>
  <si>
    <t>MENS NON-DENIM PANT IRREGULAR</t>
  </si>
  <si>
    <t>R105</t>
  </si>
  <si>
    <t>R105B</t>
  </si>
  <si>
    <t>TBDX UNW DMG</t>
  </si>
  <si>
    <t>R106</t>
  </si>
  <si>
    <t>MENS JEANS -IRREGULAR BIG T</t>
  </si>
  <si>
    <t>R106A</t>
  </si>
  <si>
    <t>R106B</t>
  </si>
  <si>
    <t>R106J</t>
  </si>
  <si>
    <t>R110</t>
  </si>
  <si>
    <t>R1100</t>
  </si>
  <si>
    <t>MEN THIRD QUALITY CORDUROY</t>
  </si>
  <si>
    <t>R110A</t>
  </si>
  <si>
    <t>R121</t>
  </si>
  <si>
    <t>MENS NON DENIM SHORTS IRREG</t>
  </si>
  <si>
    <t>R122F</t>
  </si>
  <si>
    <t>MENS T-SHIRTS &amp; KNIT TOPS IRRE</t>
  </si>
  <si>
    <t>R122F1</t>
  </si>
  <si>
    <t>R130</t>
  </si>
  <si>
    <t>MENS JACKETS DENIM  IRREGULAR</t>
  </si>
  <si>
    <t>R140</t>
  </si>
  <si>
    <t>MENS FLEECE TOPS IRREGULAR</t>
  </si>
  <si>
    <t>R165</t>
  </si>
  <si>
    <t>MENS WOVEN TOPS IRREGULAR</t>
  </si>
  <si>
    <t>R170</t>
  </si>
  <si>
    <t>R2100</t>
  </si>
  <si>
    <t>WOMEN THIRD QUALITY CORDUROY</t>
  </si>
  <si>
    <t>R221</t>
  </si>
  <si>
    <t>WOMENS NON DENIM SHORTS IRREG</t>
  </si>
  <si>
    <t>R224F</t>
  </si>
  <si>
    <t>WOMEN'S FLEECE TOPS IRREGULAR</t>
  </si>
  <si>
    <t>R224F2</t>
  </si>
  <si>
    <t>WOMENS FLEECE TPS BIG T IRRGLR</t>
  </si>
  <si>
    <t>R233</t>
  </si>
  <si>
    <t>WOMEN'S LEATHER JACKETS IRREGU</t>
  </si>
  <si>
    <t>R240</t>
  </si>
  <si>
    <t>R265</t>
  </si>
  <si>
    <t>WOMEN'S WOVEN TOPS IRREGULAR</t>
  </si>
  <si>
    <t>R270</t>
  </si>
  <si>
    <t>WOMEN'S T-SHIRTS &amp; KNIT TOPS I</t>
  </si>
  <si>
    <t>R304</t>
  </si>
  <si>
    <t>GIRLS FLEECE DRESS IRREGULAR</t>
  </si>
  <si>
    <t>R310</t>
  </si>
  <si>
    <t>GIRL'S NON-DENIM PANTS IRREGUL</t>
  </si>
  <si>
    <t>R325A</t>
  </si>
  <si>
    <t>GIRLS DENIM DRESS IRREGULAR</t>
  </si>
  <si>
    <t>R365</t>
  </si>
  <si>
    <t>GIRL'S WOVEN TOPS IRREGULAR</t>
  </si>
  <si>
    <t>R400</t>
  </si>
  <si>
    <t>BOY'S JEANS IRREGULAR</t>
  </si>
  <si>
    <t>R401F</t>
  </si>
  <si>
    <t>R420F</t>
  </si>
  <si>
    <t>R503F2</t>
  </si>
  <si>
    <t>MENS CAP IRREGULAR</t>
  </si>
  <si>
    <t>R540</t>
  </si>
  <si>
    <t>BABY HOODIE IRREGULAR -UNISEX</t>
  </si>
  <si>
    <t>R540F</t>
  </si>
  <si>
    <t>R702</t>
  </si>
  <si>
    <t>WOMENS FLEECE BOTTOMS -IRREGUL</t>
  </si>
  <si>
    <t>SM1S3</t>
  </si>
  <si>
    <t>TRUE RELIGION PRINTED SWEATSHO</t>
  </si>
  <si>
    <t>DK HEATHER</t>
  </si>
  <si>
    <t>SM5</t>
  </si>
  <si>
    <t>TRUE RELIGION CALIFORNIA VINTA</t>
  </si>
  <si>
    <t>SM6S3</t>
  </si>
  <si>
    <t>TRUE RELIGION CALIFORNIA TEE</t>
  </si>
  <si>
    <t>SU13F00414</t>
  </si>
  <si>
    <t>LIGHT WEIGHT FLEECE PANT</t>
  </si>
  <si>
    <t>SU13F00901</t>
  </si>
  <si>
    <t>V NECK HORSESHOE PRINT</t>
  </si>
  <si>
    <t>BLUE RADIANCE</t>
  </si>
  <si>
    <t>SU13F01000</t>
  </si>
  <si>
    <t>LONGSLEEVE</t>
  </si>
  <si>
    <t>SU13F01400</t>
  </si>
  <si>
    <t>SU13F02014</t>
  </si>
  <si>
    <t>LIGHT WEIGHT FLEECE</t>
  </si>
  <si>
    <t>SU13F02114</t>
  </si>
  <si>
    <t>LIGHT WEIGHT FLEECE HOODIE</t>
  </si>
  <si>
    <t>SU13F12X00</t>
  </si>
  <si>
    <t>V NECK HORSESHOE STONES</t>
  </si>
  <si>
    <t>SU13F15X00</t>
  </si>
  <si>
    <t>HORSESHOE LOGO TANK</t>
  </si>
  <si>
    <t>SU13F16X00</t>
  </si>
  <si>
    <t>STUDS TEE</t>
  </si>
  <si>
    <t>SU13F20149</t>
  </si>
  <si>
    <t>OFF THE SHOULDER TOP</t>
  </si>
  <si>
    <t>SU13FKW1</t>
  </si>
  <si>
    <t>DEEP VNECK</t>
  </si>
  <si>
    <t>SU13FKW3</t>
  </si>
  <si>
    <t>SU13FKW9</t>
  </si>
  <si>
    <t>SERAFINO</t>
  </si>
  <si>
    <t>SU13M00103</t>
  </si>
  <si>
    <t>TRACK ZIP JACKET</t>
  </si>
  <si>
    <t>SU13M0024</t>
  </si>
  <si>
    <t>SU13M00504</t>
  </si>
  <si>
    <t>POLO SHIRT</t>
  </si>
  <si>
    <t>MAJOR BROWN</t>
  </si>
  <si>
    <t>SU13M00601</t>
  </si>
  <si>
    <t>LONGSLEEVE CUTOUT CHEST POCKET</t>
  </si>
  <si>
    <t>SU13M00605</t>
  </si>
  <si>
    <t>LONGSLEEVE CALIFORNIA</t>
  </si>
  <si>
    <t>SU13M00718</t>
  </si>
  <si>
    <t>LONGSLEEVE BUTTON TEE</t>
  </si>
  <si>
    <t>SU13M00804</t>
  </si>
  <si>
    <t>SU13M00904</t>
  </si>
  <si>
    <t>BERMUDA STRAIGHT FIT</t>
  </si>
  <si>
    <t>SU13M0104B</t>
  </si>
  <si>
    <t>SU13M0104X</t>
  </si>
  <si>
    <t>SU13M0114B</t>
  </si>
  <si>
    <t>SWEAT SHORT</t>
  </si>
  <si>
    <t>SU13M01216</t>
  </si>
  <si>
    <t>V-NECK TEE SPRAY</t>
  </si>
  <si>
    <t>SU13M01316</t>
  </si>
  <si>
    <t>V-NECK TEE</t>
  </si>
  <si>
    <t>SU13M0143</t>
  </si>
  <si>
    <t>TR EMBROIDERED &amp; POCKET DETAIL</t>
  </si>
  <si>
    <t>SU13M01501</t>
  </si>
  <si>
    <t>FADED HORSESHOE TEE</t>
  </si>
  <si>
    <t>SU13M01502</t>
  </si>
  <si>
    <t>LA TRUE RELIGION BRAND TEE</t>
  </si>
  <si>
    <t>SU13M13P16</t>
  </si>
  <si>
    <t>VNECK W POCKET</t>
  </si>
  <si>
    <t>SU13M1412</t>
  </si>
  <si>
    <t>VERNON ADDRESS TEE</t>
  </si>
  <si>
    <t>SU13M1513</t>
  </si>
  <si>
    <t>AMERICAN HORSESHOE TEE</t>
  </si>
  <si>
    <t>SU13M1515</t>
  </si>
  <si>
    <t>TR CALIFORNIA FLAG TEE</t>
  </si>
  <si>
    <t>SU13M1517</t>
  </si>
  <si>
    <t>TR EMBROIDERED &amp; FLOCKED TEE</t>
  </si>
  <si>
    <t>SU13M18001</t>
  </si>
  <si>
    <t>VNECK POCKET TEE</t>
  </si>
  <si>
    <t>SU13M1804R</t>
  </si>
  <si>
    <t>FLEECE PANT W ZIPPERS</t>
  </si>
  <si>
    <t>SU13M18P</t>
  </si>
  <si>
    <t>VNECK W CUTOUT POCKET</t>
  </si>
  <si>
    <t>NAVY / WHITE</t>
  </si>
  <si>
    <t>SU13M50012</t>
  </si>
  <si>
    <t>POLO SHIRT W HORSESHOE LOGO</t>
  </si>
  <si>
    <t>SW4S8</t>
  </si>
  <si>
    <t>CREW TEE S8 WHITE W/ CORAL APP</t>
  </si>
  <si>
    <t>TR1202</t>
  </si>
  <si>
    <t>NYLON PUFFER JACKET W/SHERPA</t>
  </si>
  <si>
    <t>TR1204</t>
  </si>
  <si>
    <t>NYLON PUFFER VEST W/SHERPA</t>
  </si>
  <si>
    <t>TR12102</t>
  </si>
  <si>
    <t>GERMANY MILITARY PARKA JACKET</t>
  </si>
  <si>
    <t>TR1429</t>
  </si>
  <si>
    <t>SOLID WATCH CAP</t>
  </si>
  <si>
    <t>TR1667</t>
  </si>
  <si>
    <t>SOLID COLOR RIBBED WATCHCAP</t>
  </si>
  <si>
    <t>GREY HEATHER</t>
  </si>
  <si>
    <t>TR1699</t>
  </si>
  <si>
    <t>BUDDHA SNAP BACK BASEBALL CAP</t>
  </si>
  <si>
    <t>TR1700</t>
  </si>
  <si>
    <t>HORSESHOE SNAP BACK CAP</t>
  </si>
  <si>
    <t>CERULEAN BLUE</t>
  </si>
  <si>
    <t>TR1798</t>
  </si>
  <si>
    <t>TR1799</t>
  </si>
  <si>
    <t>CAMO DRIVING CAP</t>
  </si>
  <si>
    <t>TR1800</t>
  </si>
  <si>
    <t>GOLD METAL</t>
  </si>
  <si>
    <t>TR1801</t>
  </si>
  <si>
    <t>FACTORY GREEN</t>
  </si>
  <si>
    <t>TR1802</t>
  </si>
  <si>
    <t>CORDUROY 5- PANEL CAP</t>
  </si>
  <si>
    <t>TR1803</t>
  </si>
  <si>
    <t>HEATHERED FLANNEL BASEBALL CAP</t>
  </si>
  <si>
    <t>AGED OAK</t>
  </si>
  <si>
    <t>TR1804</t>
  </si>
  <si>
    <t>HEATHERED FLANNEL DRIVING CAP</t>
  </si>
  <si>
    <t>TR1806</t>
  </si>
  <si>
    <t>GO WEST DENIM 5-PANEL CAP</t>
  </si>
  <si>
    <t>SAND STONE</t>
  </si>
  <si>
    <t>TR1807</t>
  </si>
  <si>
    <t>PRINTED 5-PANEL CAP</t>
  </si>
  <si>
    <t>FLINSTONE</t>
  </si>
  <si>
    <t>FADED OXBLOOD</t>
  </si>
  <si>
    <t>TR1808</t>
  </si>
  <si>
    <t>KNIT FRONT BASEBALL CAP</t>
  </si>
  <si>
    <t>MINERAL RED</t>
  </si>
  <si>
    <t>VINTAGE OXBLOOD</t>
  </si>
  <si>
    <t>TR1809</t>
  </si>
  <si>
    <t>TR1810</t>
  </si>
  <si>
    <t>COLOR-BLOCKED 5 PANEL CAP</t>
  </si>
  <si>
    <t>TR1811</t>
  </si>
  <si>
    <t>MIXED LEATHER 5-PANEL CAP</t>
  </si>
  <si>
    <t>TR1812</t>
  </si>
  <si>
    <t>FELT APPLIQUES BASEBALL CAP</t>
  </si>
  <si>
    <t>TR1813</t>
  </si>
  <si>
    <t>TR1814</t>
  </si>
  <si>
    <t>T.R.U.E BASEBALL CAP</t>
  </si>
  <si>
    <t>MINIMAL GREY</t>
  </si>
  <si>
    <t>CHERRY</t>
  </si>
  <si>
    <t>TR1815</t>
  </si>
  <si>
    <t>TONAL 3-D LOGO BASEBALL CAP</t>
  </si>
  <si>
    <t>TR1817</t>
  </si>
  <si>
    <t>VARIEGATED KNIT WATHCAP</t>
  </si>
  <si>
    <t>TR1818</t>
  </si>
  <si>
    <t>VARIEGATED CONVERTIBLE MITTEN</t>
  </si>
  <si>
    <t>TR1819</t>
  </si>
  <si>
    <t>VARIEGATED KNIT SCARF</t>
  </si>
  <si>
    <t>TR1820</t>
  </si>
  <si>
    <t>2-TONE KNIT WATCH CAP</t>
  </si>
  <si>
    <t>TR1821</t>
  </si>
  <si>
    <t>2-TONE KNIT GLOVES</t>
  </si>
  <si>
    <t>TR1822</t>
  </si>
  <si>
    <t>2-TONE KNIT SCARF</t>
  </si>
  <si>
    <t>TR1823</t>
  </si>
  <si>
    <t>KNIT COTTON WATCH CAP</t>
  </si>
  <si>
    <t>TR1824</t>
  </si>
  <si>
    <t>KNIT COTTON SCARF</t>
  </si>
  <si>
    <t>TR1825</t>
  </si>
  <si>
    <t>SLOUCHYBEANIEW/KNIT-IN LETTERS</t>
  </si>
  <si>
    <t>TR1826</t>
  </si>
  <si>
    <t>SCARF W/ KNIT-IN LETTERS</t>
  </si>
  <si>
    <t>TR1827</t>
  </si>
  <si>
    <t>REVERSIBLE WAFFLE-KNIT BEANIE</t>
  </si>
  <si>
    <t>TR1828</t>
  </si>
  <si>
    <t>RIBBED KNIT WATCHCAP</t>
  </si>
  <si>
    <t>OZONE</t>
  </si>
  <si>
    <t>MUD</t>
  </si>
  <si>
    <t>TR1829</t>
  </si>
  <si>
    <t>SLOUCHY BEANIE</t>
  </si>
  <si>
    <t>TR1831</t>
  </si>
  <si>
    <t>SOLID COLOR KNIT GLOVE</t>
  </si>
  <si>
    <t>TR1832</t>
  </si>
  <si>
    <t>SOLID-COLOR KNITBEANIE W/VISOR</t>
  </si>
  <si>
    <t>TR1833</t>
  </si>
  <si>
    <t>VARIEGATED KNIT BEANIE W/VISOR</t>
  </si>
  <si>
    <t>TR1834</t>
  </si>
  <si>
    <t>HEATHERED BASEBALL CAP</t>
  </si>
  <si>
    <t>TR1835</t>
  </si>
  <si>
    <t>WOOL SERGE BASEBALL CAP</t>
  </si>
  <si>
    <t>TR1836</t>
  </si>
  <si>
    <t>MELTON WOOL TRAPPER HAT</t>
  </si>
  <si>
    <t>TR1837</t>
  </si>
  <si>
    <t>GENUINE LEATHER VISOR CVR CAP</t>
  </si>
  <si>
    <t>WASHED RED</t>
  </si>
  <si>
    <t>TR1838</t>
  </si>
  <si>
    <t>GENUINE LEATHER VSOR TIP CAP</t>
  </si>
  <si>
    <t>TR334JN002</t>
  </si>
  <si>
    <t>CASEY SUPER SKINNY</t>
  </si>
  <si>
    <t>ATL</t>
  </si>
  <si>
    <t>ATL ATLNTIC WASH</t>
  </si>
  <si>
    <t>AVT</t>
  </si>
  <si>
    <t>AVT AVIATOR</t>
  </si>
  <si>
    <t>BSP</t>
  </si>
  <si>
    <t>BSP BLEACH SPLSH</t>
  </si>
  <si>
    <t>TR334JN015</t>
  </si>
  <si>
    <t>CASEY SUPER SKINNY OVER-DYE</t>
  </si>
  <si>
    <t>BED BEDFORD WASH</t>
  </si>
  <si>
    <t>AMA AMAZON</t>
  </si>
  <si>
    <t>42B AURORA RED</t>
  </si>
  <si>
    <t>ALIZ ALIZE</t>
  </si>
  <si>
    <t>TR334JN021</t>
  </si>
  <si>
    <t>66A</t>
  </si>
  <si>
    <t>66A BLUE DEPTHS</t>
  </si>
  <si>
    <t>BLB</t>
  </si>
  <si>
    <t>BLB BLUE BOOK</t>
  </si>
  <si>
    <t>TR334JN08</t>
  </si>
  <si>
    <t>STELLA SUPER T SKINNY</t>
  </si>
  <si>
    <t>ANC</t>
  </si>
  <si>
    <t>ANC ANCIENT</t>
  </si>
  <si>
    <t>TR334P004</t>
  </si>
  <si>
    <t>FITTED MILITARY JACKET</t>
  </si>
  <si>
    <t>TR334SK01</t>
  </si>
  <si>
    <t>GOTHIC TR DRAPED TEE</t>
  </si>
  <si>
    <t>TR334SK02</t>
  </si>
  <si>
    <t>FADED ROSE</t>
  </si>
  <si>
    <t>TR334SK03</t>
  </si>
  <si>
    <t>TR334SK039</t>
  </si>
  <si>
    <t>STAMP RAGLAN SWEATSHIRT</t>
  </si>
  <si>
    <t>TR334SK04</t>
  </si>
  <si>
    <t>TR334SK31</t>
  </si>
  <si>
    <t>TRUE SWANK DRAPED TEE</t>
  </si>
  <si>
    <t>TR354JN002</t>
  </si>
  <si>
    <t>ABY ABYSS</t>
  </si>
  <si>
    <t>ABT</t>
  </si>
  <si>
    <t>ABT ABSINTE BLUE</t>
  </si>
  <si>
    <t>TR354JN003</t>
  </si>
  <si>
    <t>CASEY SUPER SKINNY W/FLAPS</t>
  </si>
  <si>
    <t>ANF</t>
  </si>
  <si>
    <t>ANF ANGEL FALLS</t>
  </si>
  <si>
    <t>TR354JN004</t>
  </si>
  <si>
    <t>TR354JN005</t>
  </si>
  <si>
    <t>STELLA SKINNY</t>
  </si>
  <si>
    <t>ANH ANTRACITE</t>
  </si>
  <si>
    <t>TR354JN08</t>
  </si>
  <si>
    <t>TR354SR001</t>
  </si>
  <si>
    <t>GEORGIA L/S WESTERN SHIRT</t>
  </si>
  <si>
    <t>ADB</t>
  </si>
  <si>
    <t>ADB ADRIATIC BLUE</t>
  </si>
  <si>
    <t>TR434HD052</t>
  </si>
  <si>
    <t>CAMO PANEL HOODIE PULLOVER</t>
  </si>
  <si>
    <t>OAH</t>
  </si>
  <si>
    <t>OATMEAL HEATHER</t>
  </si>
  <si>
    <t>TR434JN008</t>
  </si>
  <si>
    <t>TR434JN04</t>
  </si>
  <si>
    <t>BOYS GENO SLIM</t>
  </si>
  <si>
    <t>23F</t>
  </si>
  <si>
    <t>23F ANTIQUE MOSS</t>
  </si>
  <si>
    <t>ACM</t>
  </si>
  <si>
    <t>ACM ANTIQUE MOSS</t>
  </si>
  <si>
    <t>TR434JN048</t>
  </si>
  <si>
    <t>BLP1</t>
  </si>
  <si>
    <t>BLP1 BLUE PRINT</t>
  </si>
  <si>
    <t>TR434JN055</t>
  </si>
  <si>
    <t>DNB</t>
  </si>
  <si>
    <t>DNB BLUE DENIM</t>
  </si>
  <si>
    <t>TR434JN056</t>
  </si>
  <si>
    <t>BBK</t>
  </si>
  <si>
    <t>BBK BLUE BLACK</t>
  </si>
  <si>
    <t>TR434JN057</t>
  </si>
  <si>
    <t>ABL1</t>
  </si>
  <si>
    <t>ABL1 ASH BLACK</t>
  </si>
  <si>
    <t>ANL1</t>
  </si>
  <si>
    <t>ANL1 ASH BLACK</t>
  </si>
  <si>
    <t>TR434JN07</t>
  </si>
  <si>
    <t>RICKY SUPER T STRAIGHT W/FLAPS</t>
  </si>
  <si>
    <t>ALT</t>
  </si>
  <si>
    <t>ALT ALTITUDE</t>
  </si>
  <si>
    <t>TR434JN32</t>
  </si>
  <si>
    <t>TR434LK62</t>
  </si>
  <si>
    <t>WANDER CAMO L/S HENLEY</t>
  </si>
  <si>
    <t>NATURAL/HEATHER</t>
  </si>
  <si>
    <t>TR434LK76</t>
  </si>
  <si>
    <t>JUMP START L/S CREWNECK</t>
  </si>
  <si>
    <t>TR434LK77</t>
  </si>
  <si>
    <t>TR434P051</t>
  </si>
  <si>
    <t>SHOW JACKET</t>
  </si>
  <si>
    <t>CAM1</t>
  </si>
  <si>
    <t>TR434TE17</t>
  </si>
  <si>
    <t>GOTHIC TR S/S CREW NECK</t>
  </si>
  <si>
    <t>TR434TE18</t>
  </si>
  <si>
    <t>TR434TE19</t>
  </si>
  <si>
    <t>TR434TE20</t>
  </si>
  <si>
    <t>TR434TE21</t>
  </si>
  <si>
    <t>ROLLIN S/S CREWNECK T-SHIRT</t>
  </si>
  <si>
    <t>TR434TE63</t>
  </si>
  <si>
    <t>TRUE SWANK S/S CREWNECK T</t>
  </si>
  <si>
    <t>TR434TE64</t>
  </si>
  <si>
    <t>TRUE BLOCKS S/S CREWNECK T</t>
  </si>
  <si>
    <t>TR434TE67</t>
  </si>
  <si>
    <t>S/S CREWNECK T-SHIRT</t>
  </si>
  <si>
    <t>TR434TE68</t>
  </si>
  <si>
    <t>MUSHROOM S/S CREWNECK T</t>
  </si>
  <si>
    <t>ORD</t>
  </si>
  <si>
    <t>ORANGE RED</t>
  </si>
  <si>
    <t>TR434TE69</t>
  </si>
  <si>
    <t>OPEN ROAD S/S CREWNECK T</t>
  </si>
  <si>
    <t>TR434TE70</t>
  </si>
  <si>
    <t>TR434TE71</t>
  </si>
  <si>
    <t>MOON RISING S/S CREWNECK T</t>
  </si>
  <si>
    <t>TR434TE73</t>
  </si>
  <si>
    <t>SHOW S/S CREWNECK T-SHIRT</t>
  </si>
  <si>
    <t>TR434TE75</t>
  </si>
  <si>
    <t>TR434TE81</t>
  </si>
  <si>
    <t>TR454JN008</t>
  </si>
  <si>
    <t>ANT</t>
  </si>
  <si>
    <t>ANT ANTIQUE WASH</t>
  </si>
  <si>
    <t>ASH</t>
  </si>
  <si>
    <t>ASH ASH BLUE</t>
  </si>
  <si>
    <t>CBU</t>
  </si>
  <si>
    <t>CBU CROWN BLUE</t>
  </si>
  <si>
    <t>TR454JN009</t>
  </si>
  <si>
    <t>TR454JN010</t>
  </si>
  <si>
    <t>TR454JN011</t>
  </si>
  <si>
    <t>BAL BALI</t>
  </si>
  <si>
    <t>BNT</t>
  </si>
  <si>
    <t>BNT BEACH NUT</t>
  </si>
  <si>
    <t>TR454JN04</t>
  </si>
  <si>
    <t>TR454P007</t>
  </si>
  <si>
    <t>JIMMY JACKET WESTERN JACKET</t>
  </si>
  <si>
    <t>ANE</t>
  </si>
  <si>
    <t>ANE ANTIQUE</t>
  </si>
  <si>
    <t>TR454SR006</t>
  </si>
  <si>
    <t>ARB</t>
  </si>
  <si>
    <t>ARB AIR BRUSH</t>
  </si>
  <si>
    <t>TR534JN002</t>
  </si>
  <si>
    <t>CASEY  SUPER SKINNY</t>
  </si>
  <si>
    <t>TR534JN015</t>
  </si>
  <si>
    <t>ALZ ALIZE</t>
  </si>
  <si>
    <t>TR534JN021</t>
  </si>
  <si>
    <t>TR534JN08</t>
  </si>
  <si>
    <t>TR534P004</t>
  </si>
  <si>
    <t>TR534SK01</t>
  </si>
  <si>
    <t>TR534SK02</t>
  </si>
  <si>
    <t>TR534SK03</t>
  </si>
  <si>
    <t>TR534SK039</t>
  </si>
  <si>
    <t>TR534SK04</t>
  </si>
  <si>
    <t>TR534SK31</t>
  </si>
  <si>
    <t>TR554JN002</t>
  </si>
  <si>
    <t>TR554JN003</t>
  </si>
  <si>
    <t>TR554JN004</t>
  </si>
  <si>
    <t>TR554JN005</t>
  </si>
  <si>
    <t>TR554JN08</t>
  </si>
  <si>
    <t>TR554SR001</t>
  </si>
  <si>
    <t>TR634HD052</t>
  </si>
  <si>
    <t>TR634JN008</t>
  </si>
  <si>
    <t>TR634JN04</t>
  </si>
  <si>
    <t>TR634JN048</t>
  </si>
  <si>
    <t>GENO RELAXED SLIM W/ FLAPS</t>
  </si>
  <si>
    <t>TR634JN055</t>
  </si>
  <si>
    <t>TR634JN056</t>
  </si>
  <si>
    <t>TR634JN057</t>
  </si>
  <si>
    <t>TR634JN07</t>
  </si>
  <si>
    <t>TR634JN32</t>
  </si>
  <si>
    <t>TR634LK62</t>
  </si>
  <si>
    <t>TR634LK76</t>
  </si>
  <si>
    <t>TR634LK77</t>
  </si>
  <si>
    <t>TR634P051</t>
  </si>
  <si>
    <t>TR634TE17</t>
  </si>
  <si>
    <t>TR634TE18</t>
  </si>
  <si>
    <t>TR634TE19</t>
  </si>
  <si>
    <t>TR634TE20</t>
  </si>
  <si>
    <t>TR634TE21</t>
  </si>
  <si>
    <t>TR634TE63</t>
  </si>
  <si>
    <t>TR634TE64</t>
  </si>
  <si>
    <t>TR634TE67</t>
  </si>
  <si>
    <t>TR634TE68</t>
  </si>
  <si>
    <t>TR634TE69</t>
  </si>
  <si>
    <t>TR634TE70</t>
  </si>
  <si>
    <t>TR634TE71</t>
  </si>
  <si>
    <t>TR634TE73</t>
  </si>
  <si>
    <t>TR634TE75</t>
  </si>
  <si>
    <t>TR634TE81</t>
  </si>
  <si>
    <t>TR654JN008</t>
  </si>
  <si>
    <t>TR654JN009</t>
  </si>
  <si>
    <t>RICKY SUPER T STARIGHT W/ FLAP</t>
  </si>
  <si>
    <t>TR654JN010</t>
  </si>
  <si>
    <t>TR654JN011</t>
  </si>
  <si>
    <t>TR654JN04</t>
  </si>
  <si>
    <t>TR654P007</t>
  </si>
  <si>
    <t>TR654SR006</t>
  </si>
  <si>
    <t>TR734JN002</t>
  </si>
  <si>
    <t>TR734JN015</t>
  </si>
  <si>
    <t>CASEY SUPER  SKINNY-OVER DYE</t>
  </si>
  <si>
    <t>TR734JN021</t>
  </si>
  <si>
    <t>TR734JN08</t>
  </si>
  <si>
    <t>TR734P004</t>
  </si>
  <si>
    <t>TR734SK01</t>
  </si>
  <si>
    <t>TR734SK02</t>
  </si>
  <si>
    <t>TR734SK03</t>
  </si>
  <si>
    <t>TR734SK039</t>
  </si>
  <si>
    <t>TR734SK04</t>
  </si>
  <si>
    <t>TR734SK31</t>
  </si>
  <si>
    <t>TR754JN002</t>
  </si>
  <si>
    <t>TR754JN003</t>
  </si>
  <si>
    <t>TR754JN004</t>
  </si>
  <si>
    <t>TR754JN005</t>
  </si>
  <si>
    <t>TR754JN08</t>
  </si>
  <si>
    <t>TR754SR001</t>
  </si>
  <si>
    <t>TR834HD052</t>
  </si>
  <si>
    <t>TR834JN008</t>
  </si>
  <si>
    <t>TR834JN04</t>
  </si>
  <si>
    <t>TR834JN048</t>
  </si>
  <si>
    <t>TR834JN055</t>
  </si>
  <si>
    <t>TR834JN056</t>
  </si>
  <si>
    <t>TR834JN057</t>
  </si>
  <si>
    <t>TR834JN07</t>
  </si>
  <si>
    <t>TR834JN32</t>
  </si>
  <si>
    <t>TR834LK62</t>
  </si>
  <si>
    <t>TR834LK76</t>
  </si>
  <si>
    <t>TR834P051</t>
  </si>
  <si>
    <t>TR834TE17</t>
  </si>
  <si>
    <t>TR834TE18</t>
  </si>
  <si>
    <t>TR834TE19</t>
  </si>
  <si>
    <t>TR834TE20</t>
  </si>
  <si>
    <t>TR834TE21</t>
  </si>
  <si>
    <t>TR834TE63</t>
  </si>
  <si>
    <t>TR834TE64</t>
  </si>
  <si>
    <t>TR834TE67</t>
  </si>
  <si>
    <t>TR834TE68</t>
  </si>
  <si>
    <t>TR834TE69</t>
  </si>
  <si>
    <t>TR834TE73</t>
  </si>
  <si>
    <t>TR834TE75</t>
  </si>
  <si>
    <t>TR854JN008</t>
  </si>
  <si>
    <t>TR854JN009</t>
  </si>
  <si>
    <t>TR854JN010</t>
  </si>
  <si>
    <t>TR854JN011</t>
  </si>
  <si>
    <t>TR854JN04</t>
  </si>
  <si>
    <t>TR854P007</t>
  </si>
  <si>
    <t>TR854SR006</t>
  </si>
  <si>
    <t>TRM1</t>
  </si>
  <si>
    <t>TR APPLIQUE HOODIE</t>
  </si>
  <si>
    <t>TRM101</t>
  </si>
  <si>
    <t>FAIR ISLE CARDIGAN</t>
  </si>
  <si>
    <t>TRM107</t>
  </si>
  <si>
    <t>PULLOVER SWEATER W/GUITAR BUDD</t>
  </si>
  <si>
    <t>TAUPE</t>
  </si>
  <si>
    <t>TRM2</t>
  </si>
  <si>
    <t>L/S HENLEY W/ HEM FLAG</t>
  </si>
  <si>
    <t>BURGUNDY</t>
  </si>
  <si>
    <t>TRM3</t>
  </si>
  <si>
    <t>HORSESHOE APPLIQUE HOODIE</t>
  </si>
  <si>
    <t>TRM7</t>
  </si>
  <si>
    <t>TWO TONE BUTTON FRONT MELANGE</t>
  </si>
  <si>
    <t>TRM8</t>
  </si>
  <si>
    <t>TRBJ PULLOVER HOODIE</t>
  </si>
  <si>
    <t>TRMM4</t>
  </si>
  <si>
    <t>FRENCH TERRY LINED ZIP HOODIE</t>
  </si>
  <si>
    <t>TRS1301</t>
  </si>
  <si>
    <t>COGNAC</t>
  </si>
  <si>
    <t>TRS1302</t>
  </si>
  <si>
    <t>2 COLLAR LEATHER JCKT</t>
  </si>
  <si>
    <t>MAUVE</t>
  </si>
  <si>
    <t>TRS1303</t>
  </si>
  <si>
    <t>GERMANY LEATHER JACKET</t>
  </si>
  <si>
    <t>TRS1304</t>
  </si>
  <si>
    <t>DIRTY SAND</t>
  </si>
  <si>
    <t>TRS1310</t>
  </si>
  <si>
    <t>BIKER LEATHER JACKET M</t>
  </si>
  <si>
    <t>TRS1311</t>
  </si>
  <si>
    <t>LEATHER JACKET COLOURS M</t>
  </si>
  <si>
    <t>TRS1312</t>
  </si>
  <si>
    <t>BIKER LEATHER JACKET  M</t>
  </si>
  <si>
    <t>TRS1313</t>
  </si>
  <si>
    <t>LEATHER SHIRT M</t>
  </si>
  <si>
    <t>MUNICH</t>
  </si>
  <si>
    <t>TRS1315</t>
  </si>
  <si>
    <t>TRSMP1431</t>
  </si>
  <si>
    <t>MENS TRUE LA T-SHIRT</t>
  </si>
  <si>
    <t>DENIM BLUE</t>
  </si>
  <si>
    <t>TRSMP221B</t>
  </si>
  <si>
    <t>MENS TRUE LA SLUPF HOODIE</t>
  </si>
  <si>
    <t>TRSPBAG</t>
  </si>
  <si>
    <t>HELMET BAG</t>
  </si>
  <si>
    <t>TRSPKM1</t>
  </si>
  <si>
    <t>HOODIE W. CHECST POCKET</t>
  </si>
  <si>
    <t>TRSPKM3</t>
  </si>
  <si>
    <t>TRSPKM4</t>
  </si>
  <si>
    <t>SWEATER WITH BUTTONS</t>
  </si>
  <si>
    <t>TRSPKM5</t>
  </si>
  <si>
    <t>CARDIGAN W/  PATCH POCKET</t>
  </si>
  <si>
    <t>TRSPKW1</t>
  </si>
  <si>
    <t>SLOUCHY VNECK LINEN SWEATER</t>
  </si>
  <si>
    <t>BABY BLUE</t>
  </si>
  <si>
    <t>TRSPKW3</t>
  </si>
  <si>
    <t>SLOUCHY BUTTON LINEN SWEATER</t>
  </si>
  <si>
    <t>TRSPKW4</t>
  </si>
  <si>
    <t>GRANDAD CARDIGAN</t>
  </si>
  <si>
    <t>TRSPKW6</t>
  </si>
  <si>
    <t>CABLE KNIT JUMPER</t>
  </si>
  <si>
    <t>TRSPKW8</t>
  </si>
  <si>
    <t>TRSPKW9</t>
  </si>
  <si>
    <t>SERAFINO L/S SWEATER</t>
  </si>
  <si>
    <t>TRSPM1010A</t>
  </si>
  <si>
    <t>L/S RINGEL MEND HENLEY</t>
  </si>
  <si>
    <t>TRSPM10RCD</t>
  </si>
  <si>
    <t>MOTHER OF PEARLS MENS L/S TEE</t>
  </si>
  <si>
    <t>VETIVER GREEN</t>
  </si>
  <si>
    <t>LAGUNA BLUE</t>
  </si>
  <si>
    <t>TRSPM11</t>
  </si>
  <si>
    <t>STRIPE LONGSLEEVE TEE</t>
  </si>
  <si>
    <t>TRSPM113</t>
  </si>
  <si>
    <t>TRBJ 2002 MEN HOODIE</t>
  </si>
  <si>
    <t>GRASS</t>
  </si>
  <si>
    <t>TRSPM11A1B</t>
  </si>
  <si>
    <t>BUFFALO CORNUA MEN HOODIE</t>
  </si>
  <si>
    <t>TRSPM1200</t>
  </si>
  <si>
    <t>HAPPY BUDDHA MEN POLO SHIRT</t>
  </si>
  <si>
    <t>TRSPM1212</t>
  </si>
  <si>
    <t>LOS ANGELES MENS POLO</t>
  </si>
  <si>
    <t>TRSPM121A</t>
  </si>
  <si>
    <t>BUFFALO CORNUA MENS POLO</t>
  </si>
  <si>
    <t>TRSPM128A</t>
  </si>
  <si>
    <t>TRUE BUDDHA MENS POLO SHIRT</t>
  </si>
  <si>
    <t>ORANGE</t>
  </si>
  <si>
    <t>TRSPM130F3</t>
  </si>
  <si>
    <t>TR VARSITY APPLIQUE HOODIE</t>
  </si>
  <si>
    <t>TRSPM1314</t>
  </si>
  <si>
    <t>LOS ANGELES MENS T-SHIRT</t>
  </si>
  <si>
    <t>TRSPM1315</t>
  </si>
  <si>
    <t>TRSPM131B</t>
  </si>
  <si>
    <t>TR VINTAGE MENS T-SHIRT</t>
  </si>
  <si>
    <t>MILKY WHITE</t>
  </si>
  <si>
    <t>TRSPM1325</t>
  </si>
  <si>
    <t>EAGLE MENS T-SHIRT</t>
  </si>
  <si>
    <t>TRSPM132B</t>
  </si>
  <si>
    <t>TRUE OF LA MENS T-SHIRT</t>
  </si>
  <si>
    <t>TRSPM1411</t>
  </si>
  <si>
    <t>TRBJ CALIFORNIA MENS T-SHIRT</t>
  </si>
  <si>
    <t>TRSPM1416</t>
  </si>
  <si>
    <t>NO 2263 MENS T-SHIRT</t>
  </si>
  <si>
    <t>TRSPM1424</t>
  </si>
  <si>
    <t>MENS CALIFORNIA T-SHIRT</t>
  </si>
  <si>
    <t>TRSPM1431</t>
  </si>
  <si>
    <t>TRUE L.A. MENS T-SHIRT</t>
  </si>
  <si>
    <t>TRSPM1510A</t>
  </si>
  <si>
    <t>TRSPM15RCD</t>
  </si>
  <si>
    <t>LOS ANGELES S/S MENS T-SHIRT</t>
  </si>
  <si>
    <t>TRSPM1622A</t>
  </si>
  <si>
    <t>2002 MENS T-SHIRT</t>
  </si>
  <si>
    <t>TRSPM163</t>
  </si>
  <si>
    <t>MENS LA STARS T-SHIRT</t>
  </si>
  <si>
    <t>TRSPM18A</t>
  </si>
  <si>
    <t>BUDDAH PRINT HOODIE</t>
  </si>
  <si>
    <t>TRSPM20LS</t>
  </si>
  <si>
    <t>TRUE RELIGION L/S MENS T-SHIRT</t>
  </si>
  <si>
    <t>TRSPM210B</t>
  </si>
  <si>
    <t>SCHLUPE MEN HOODIE</t>
  </si>
  <si>
    <t>TRSPM221B</t>
  </si>
  <si>
    <t>TRUE L.A. SLUPF MEN HOODIE</t>
  </si>
  <si>
    <t>TRSPM310A</t>
  </si>
  <si>
    <t>DOUBLE HOOD ZIP HOODIE</t>
  </si>
  <si>
    <t>TRSPM416</t>
  </si>
  <si>
    <t>LOS ANGELES CAL MEN HOODIE</t>
  </si>
  <si>
    <t>TRSPM424</t>
  </si>
  <si>
    <t>TRUE RELIGION LA CALI PULLOVER</t>
  </si>
  <si>
    <t>TRSPM425B</t>
  </si>
  <si>
    <t>TR EAGLE PULLOVER HOODIE</t>
  </si>
  <si>
    <t>TRSPM73</t>
  </si>
  <si>
    <t>MEN TRUE LA SHLUPF HOODIE</t>
  </si>
  <si>
    <t>TRSPM910A</t>
  </si>
  <si>
    <t>TR JOGGING TROUSER</t>
  </si>
  <si>
    <t>TRSPM91F1</t>
  </si>
  <si>
    <t>TRSPW10RCD</t>
  </si>
  <si>
    <t>L/S BUTTON HENLEY</t>
  </si>
  <si>
    <t>TRSPW118A</t>
  </si>
  <si>
    <t>SHERPA LINED HOOD</t>
  </si>
  <si>
    <t>TRSPW11RCD</t>
  </si>
  <si>
    <t>TRSPW12AW</t>
  </si>
  <si>
    <t>BUDDAH RHINESTONE HOODIE</t>
  </si>
  <si>
    <t>TRSPW12W4</t>
  </si>
  <si>
    <t>L/S CREW TEE W/ CREST POCKET</t>
  </si>
  <si>
    <t>TRSPW12W91</t>
  </si>
  <si>
    <t>S/S VNECK TEE</t>
  </si>
  <si>
    <t>TRSPW14PGD</t>
  </si>
  <si>
    <t>L/S SCOOP TEE</t>
  </si>
  <si>
    <t>TRSPW1515</t>
  </si>
  <si>
    <t>TRLA MULTI COLOR HOODIE</t>
  </si>
  <si>
    <t>TRSPW17PGD</t>
  </si>
  <si>
    <t>HOODED HENLEY</t>
  </si>
  <si>
    <t>TRSPW18AF</t>
  </si>
  <si>
    <t>FLEECE EMBROIDERED ZIP HOODIE</t>
  </si>
  <si>
    <t>TRSPW222A</t>
  </si>
  <si>
    <t>ZIP HOODIE W/ BUTTON POCKETS</t>
  </si>
  <si>
    <t>TRSPW31A</t>
  </si>
  <si>
    <t>BUFFALO ZIP HOODIE</t>
  </si>
  <si>
    <t>TRSPW410A</t>
  </si>
  <si>
    <t>TR  SWEATPANT</t>
  </si>
  <si>
    <t>TRSPW41A</t>
  </si>
  <si>
    <t>BUFFALO SWEATPANT</t>
  </si>
  <si>
    <t>TRSPW48A</t>
  </si>
  <si>
    <t>TRLA CONTRAST SWEATPANT</t>
  </si>
  <si>
    <t>TRSPW4AF</t>
  </si>
  <si>
    <t>BUDDAH FLEECE PANT</t>
  </si>
  <si>
    <t>TRSPW5RCD</t>
  </si>
  <si>
    <t>WOMEN LIGHT PANT</t>
  </si>
  <si>
    <t>TRSPW73</t>
  </si>
  <si>
    <t>L.A. S/S WOMEN T-SHIRT</t>
  </si>
  <si>
    <t>TRSPW9PGD</t>
  </si>
  <si>
    <t>VNECK S/S WOMEN T-SHIRT</t>
  </si>
  <si>
    <t>TRW1</t>
  </si>
  <si>
    <t>ZIP FRONT HOODIE W GUITAR BUDD</t>
  </si>
  <si>
    <t>TRW106</t>
  </si>
  <si>
    <t>BUTTON FRONT CARDIGAN W/ GUITA</t>
  </si>
  <si>
    <t>TRW1203M</t>
  </si>
  <si>
    <t>MEN BOMBER</t>
  </si>
  <si>
    <t>TRW1210F</t>
  </si>
  <si>
    <t>TRW1213F</t>
  </si>
  <si>
    <t>WOMEN BOMBER</t>
  </si>
  <si>
    <t>PURPLE</t>
  </si>
  <si>
    <t>TRW1311F</t>
  </si>
  <si>
    <t>WOMENS MOUNTAIN JACKET</t>
  </si>
  <si>
    <t>TRW1323M</t>
  </si>
  <si>
    <t>TRW1324M</t>
  </si>
  <si>
    <t>TRW1325M</t>
  </si>
  <si>
    <t>AVIATOR JACKET</t>
  </si>
  <si>
    <t>TRW1327M</t>
  </si>
  <si>
    <t>MENS PARKA</t>
  </si>
  <si>
    <t>TRW1328M</t>
  </si>
  <si>
    <t>MENS MOUNTAIN JACKET</t>
  </si>
  <si>
    <t>TRW1329SF</t>
  </si>
  <si>
    <t>RIB COLLAR JACKET W/ CRYSTALS</t>
  </si>
  <si>
    <t>TRW1330F</t>
  </si>
  <si>
    <t>FUNNEL NECK JACKET</t>
  </si>
  <si>
    <t>OXIDXED RED</t>
  </si>
  <si>
    <t>TRW1333F</t>
  </si>
  <si>
    <t>LT GREY</t>
  </si>
  <si>
    <t>TRW1335F</t>
  </si>
  <si>
    <t>RED CAMOUFLAGE</t>
  </si>
  <si>
    <t>TRW1338M</t>
  </si>
  <si>
    <t>MOTO JACKET QUILTED PARTS</t>
  </si>
  <si>
    <t>TRW1339M</t>
  </si>
  <si>
    <t>2 COL JACKET</t>
  </si>
  <si>
    <t>TRW1340F</t>
  </si>
  <si>
    <t>TRW1340M</t>
  </si>
  <si>
    <t>BIKER JACKET QUILTED PARTS</t>
  </si>
  <si>
    <t>TRW1342M</t>
  </si>
  <si>
    <t>TRW1343M</t>
  </si>
  <si>
    <t>TRW1344M</t>
  </si>
  <si>
    <t>TRW1350M</t>
  </si>
  <si>
    <t>DK VIOLET</t>
  </si>
  <si>
    <t>TRW1363M</t>
  </si>
  <si>
    <t>TRW1364M</t>
  </si>
  <si>
    <t>QUILTED HOODIE JACKET</t>
  </si>
  <si>
    <t>TRW1365M</t>
  </si>
  <si>
    <t>TRW1366M</t>
  </si>
  <si>
    <t>CABAN DOUBLE BREASTED</t>
  </si>
  <si>
    <t>BURGUNDY METALLIC</t>
  </si>
  <si>
    <t>TRW1371F</t>
  </si>
  <si>
    <t>MOTO JACKET BLACK STUDS</t>
  </si>
  <si>
    <t>TRW1372F</t>
  </si>
  <si>
    <t>MOTO JCKT CAMO BLACK STUDS</t>
  </si>
  <si>
    <t>TRW1373M</t>
  </si>
  <si>
    <t>FUNNEL JACKET CUFF PADDED STDS</t>
  </si>
  <si>
    <t>TRW1374M</t>
  </si>
  <si>
    <t>MEN PARKA W/STUDS JCKT</t>
  </si>
  <si>
    <t>TRW1375F</t>
  </si>
  <si>
    <t>PARKA WITH HAND EMBROIDERY</t>
  </si>
  <si>
    <t>TRW61457</t>
  </si>
  <si>
    <t>BUTTON FRONT MELANGE CARDIGAN</t>
  </si>
  <si>
    <t>TRW6HO12</t>
  </si>
  <si>
    <t>BUTTON FRONT TOGGLE CARDIGAN C</t>
  </si>
  <si>
    <t>TRWF11J05</t>
  </si>
  <si>
    <t>SHEERLING JACKET  - WMN</t>
  </si>
  <si>
    <t>TRWF11J12</t>
  </si>
  <si>
    <t>LACE UP BIKER LEATHER JACKET -</t>
  </si>
  <si>
    <t>TRWF11P01</t>
  </si>
  <si>
    <t>TRWF11P03</t>
  </si>
  <si>
    <t>EVERGREEN</t>
  </si>
  <si>
    <t>BRANCH</t>
  </si>
  <si>
    <t>TUS150035</t>
  </si>
  <si>
    <t>MONOGRAM MENS BELT</t>
  </si>
  <si>
    <t>TUS150036</t>
  </si>
  <si>
    <t>PERFORATED MENS BELT</t>
  </si>
  <si>
    <t>TUS150056</t>
  </si>
  <si>
    <t>LOGO BUCKLE MENS BELT</t>
  </si>
  <si>
    <t>TUS150077</t>
  </si>
  <si>
    <t>CLASSIC MENS WALLET</t>
  </si>
  <si>
    <t>TUS150083</t>
  </si>
  <si>
    <t>PERFORATED MENS WALLET</t>
  </si>
  <si>
    <t>TUS150084</t>
  </si>
  <si>
    <t>MONOGRAM MENS WALLET</t>
  </si>
  <si>
    <t>TUS150094</t>
  </si>
  <si>
    <t>U3PCSETH41</t>
  </si>
  <si>
    <t>U3PCSETP78</t>
  </si>
  <si>
    <t>U3PCSETP79</t>
  </si>
  <si>
    <t>PE LT PINK</t>
  </si>
  <si>
    <t>PE CANARY</t>
  </si>
  <si>
    <t>UET2B26E4</t>
  </si>
  <si>
    <t>INFANT BILLY JEAN</t>
  </si>
  <si>
    <t>UETQ30X28</t>
  </si>
  <si>
    <t>INFANT JACK BOYS JEAN</t>
  </si>
  <si>
    <t>UGH7T79AG5</t>
  </si>
  <si>
    <t>UNISEX VINTAGE PATCHWORK ONESI</t>
  </si>
  <si>
    <t>UGH7T81CL4</t>
  </si>
  <si>
    <t>BABY LOGO SNAP TEE</t>
  </si>
  <si>
    <t>UHWBR54</t>
  </si>
  <si>
    <t>WORK WEAR LUMBERJACK PLAID SHI</t>
  </si>
  <si>
    <t>SG POLAR BLUE</t>
  </si>
  <si>
    <t>SG TAHOE BLUE</t>
  </si>
  <si>
    <t>SG DUSTED YELLOW</t>
  </si>
  <si>
    <t>SG FADED CORAL</t>
  </si>
  <si>
    <t>UHWBS51VR</t>
  </si>
  <si>
    <t>SHERPA JACKET</t>
  </si>
  <si>
    <t>SG GLACIER BLUE</t>
  </si>
  <si>
    <t>SG DOVER</t>
  </si>
  <si>
    <t>UHWBT40VR</t>
  </si>
  <si>
    <t>PLAID HEAVY WEIGHT L/S WORK WE</t>
  </si>
  <si>
    <t>SG SKY</t>
  </si>
  <si>
    <t>SG REPUBLIC</t>
  </si>
  <si>
    <t>UKC7T31U02</t>
  </si>
  <si>
    <t>CHIEF 56 CLASSIC HOODIE</t>
  </si>
  <si>
    <t>UKC7T31U03</t>
  </si>
  <si>
    <t>HIGH FIVE CLASSIC HOODIE</t>
  </si>
  <si>
    <t>UR8X06BR8</t>
  </si>
  <si>
    <t>INFANT DIAPER COVER</t>
  </si>
  <si>
    <t>W02R12CH0</t>
  </si>
  <si>
    <t>SHANNON CORE MICRO BOOT</t>
  </si>
  <si>
    <t>W02R12FG0</t>
  </si>
  <si>
    <t>SHANNON CORE MID RISE SKINNY</t>
  </si>
  <si>
    <t>W02W22Z35</t>
  </si>
  <si>
    <t>STELLA SPIRIT OF WEST 32 INCH</t>
  </si>
  <si>
    <t>AAAM</t>
  </si>
  <si>
    <t>AAAM SANDWELL</t>
  </si>
  <si>
    <t>W02Y56CH0</t>
  </si>
  <si>
    <t>AVERY CORE STRAIGHT JEAN</t>
  </si>
  <si>
    <t>W02Y56FG0</t>
  </si>
  <si>
    <t>W02Y62CH0</t>
  </si>
  <si>
    <t>TONY NO FLAPS CORE MICRO BOOT</t>
  </si>
  <si>
    <t>W02Y62FG0</t>
  </si>
  <si>
    <t>W06A428KU5</t>
  </si>
  <si>
    <t>BECCA BOOTCUT 34 IN</t>
  </si>
  <si>
    <t>BIBD</t>
  </si>
  <si>
    <t>BIBD SILENT JRNY</t>
  </si>
  <si>
    <t>W06A429KU5</t>
  </si>
  <si>
    <t>CORA STRAIGHT 34 IN</t>
  </si>
  <si>
    <t>W06A523IC3</t>
  </si>
  <si>
    <t>BRIANNA BOYFRIEND STONEY POINT</t>
  </si>
  <si>
    <t>W06A541IC3</t>
  </si>
  <si>
    <t>BYRN RELAXED BERMUDA SHORT</t>
  </si>
  <si>
    <t>W06A910KU6</t>
  </si>
  <si>
    <t>CORA STRAIGHT FLAP 34 IN</t>
  </si>
  <si>
    <t>BCOM</t>
  </si>
  <si>
    <t>BCOM SPRING INK</t>
  </si>
  <si>
    <t>W06A915KU5</t>
  </si>
  <si>
    <t>AUDREY SLIM RELAXED 29 IN</t>
  </si>
  <si>
    <t>W06A915KU6</t>
  </si>
  <si>
    <t>W07572TS</t>
  </si>
  <si>
    <t>BILLY STRAIGHT LEG WOMEN JEAN</t>
  </si>
  <si>
    <t>W07E241K80</t>
  </si>
  <si>
    <t>L/S VINTAGE ROCKY WESTERN SHIR</t>
  </si>
  <si>
    <t>NML</t>
  </si>
  <si>
    <t>NML BALLAD</t>
  </si>
  <si>
    <t>W07L47EM</t>
  </si>
  <si>
    <t>L/S LUCIA TAILORED DENIM SHIRT</t>
  </si>
  <si>
    <t>1O</t>
  </si>
  <si>
    <t>1O SUNDANCE</t>
  </si>
  <si>
    <t>W07M04TS</t>
  </si>
  <si>
    <t>CAMERON BOYFRIEND WOMEN JEAN</t>
  </si>
  <si>
    <t>W07P40M47</t>
  </si>
  <si>
    <t>GEORGIA LONESTAR L/S SHIRT</t>
  </si>
  <si>
    <t>W07Q21M65</t>
  </si>
  <si>
    <t>CAILEY LONG SLV SHIRT</t>
  </si>
  <si>
    <t>W07Q84K80</t>
  </si>
  <si>
    <t>VINTAGE ROCKY LOVE &amp; HAIGHT WO</t>
  </si>
  <si>
    <t>W07S27T04</t>
  </si>
  <si>
    <t>GEORGIA VINTAGE WESTERN WOMEN</t>
  </si>
  <si>
    <t>W07T97U47</t>
  </si>
  <si>
    <t>GEORGIA BADLANDS WOMEN SHIRT</t>
  </si>
  <si>
    <t>W07V58Z28</t>
  </si>
  <si>
    <t>GEORGIA GENERAL LEE SHIRT</t>
  </si>
  <si>
    <t>W08B061MA3</t>
  </si>
  <si>
    <t>SIENNA CROP BOLERO BLCK POISON</t>
  </si>
  <si>
    <t>BTVD</t>
  </si>
  <si>
    <t>BTVD MINERAL MIST</t>
  </si>
  <si>
    <t>W0SB059LS1</t>
  </si>
  <si>
    <t>DUSTY VEST SHERPA COLLAR</t>
  </si>
  <si>
    <t>W0VC096IK</t>
  </si>
  <si>
    <t>LINEN SLIM TANK</t>
  </si>
  <si>
    <t>W0VC195IK</t>
  </si>
  <si>
    <t>HALF TEE CREW NECK</t>
  </si>
  <si>
    <t>W0ZC185IK</t>
  </si>
  <si>
    <t>SEQUIN RUNNER SHORT</t>
  </si>
  <si>
    <t>PALE AGAVE</t>
  </si>
  <si>
    <t>W10502CQT2</t>
  </si>
  <si>
    <t>JOHNNY BIG QT STRAIGHT WM JEAN</t>
  </si>
  <si>
    <t>NED</t>
  </si>
  <si>
    <t>NED ARENA</t>
  </si>
  <si>
    <t>W10502CR3</t>
  </si>
  <si>
    <t>JOHNNY STRIAGHT LEG ORIGINALS</t>
  </si>
  <si>
    <t>APJD</t>
  </si>
  <si>
    <t>APJD NOCTURN</t>
  </si>
  <si>
    <t>APKD</t>
  </si>
  <si>
    <t>APKD SAPHIRE BLUE</t>
  </si>
  <si>
    <t>W10502H75</t>
  </si>
  <si>
    <t>JOHNNY STUD LOGO STRAIGHT WM J</t>
  </si>
  <si>
    <t>W10503CQT2</t>
  </si>
  <si>
    <t>JOEY BIG QT FLARE WM JEAN</t>
  </si>
  <si>
    <t>W10503CR3</t>
  </si>
  <si>
    <t>AOZM</t>
  </si>
  <si>
    <t>AOZM BLUE STORM</t>
  </si>
  <si>
    <t>W10503M20</t>
  </si>
  <si>
    <t>JOEY SPT  WOMEN JEAN</t>
  </si>
  <si>
    <t>PNM</t>
  </si>
  <si>
    <t>PNM HOLLOW HORN</t>
  </si>
  <si>
    <t>W10503NQT2</t>
  </si>
  <si>
    <t>JOEY BIG QT WOMEN JEAN</t>
  </si>
  <si>
    <t>W10564CQT2</t>
  </si>
  <si>
    <t>BECKY BIG QT BOOT CUT WM JEAN</t>
  </si>
  <si>
    <t>W10564CR3</t>
  </si>
  <si>
    <t>BECKY BOOTCUT ORIGINALS</t>
  </si>
  <si>
    <t>W10564D04</t>
  </si>
  <si>
    <t>BECKY CRYSTAL PAVE WOMEN JEAN</t>
  </si>
  <si>
    <t>W10564H75</t>
  </si>
  <si>
    <t>BECKY STUD LOGO BOOT CUT WM JN</t>
  </si>
  <si>
    <t>W10564NQT2</t>
  </si>
  <si>
    <t>BECKY BIG QT WOMEN JEAN</t>
  </si>
  <si>
    <t>W10564P90</t>
  </si>
  <si>
    <t>BECKY SUPER T BOOT CUT WOMENS</t>
  </si>
  <si>
    <t>W10572CR3</t>
  </si>
  <si>
    <t>BILLY STRAIGHT LEG ORIGINALS</t>
  </si>
  <si>
    <t>W10572D04</t>
  </si>
  <si>
    <t>BILLY CRYSTAL PAVE WOMEN JEAN</t>
  </si>
  <si>
    <t>W10572M20</t>
  </si>
  <si>
    <t>BILLY SPT  WOMEN JEAN</t>
  </si>
  <si>
    <t>W10572NQT2</t>
  </si>
  <si>
    <t>BILLY BIG QT WOMEN JEAN</t>
  </si>
  <si>
    <t>ERM</t>
  </si>
  <si>
    <t>ERM CARLSBAD</t>
  </si>
  <si>
    <t>W10572P90</t>
  </si>
  <si>
    <t>BILLY SUPER T STRAIGHT WOMENS</t>
  </si>
  <si>
    <t>W10592CQT2</t>
  </si>
  <si>
    <t>STELLA BIG QT SKINNY WM JEAN</t>
  </si>
  <si>
    <t>W10592CR3</t>
  </si>
  <si>
    <t>STELLA CORE SKINNY JEAN</t>
  </si>
  <si>
    <t>W10592J42</t>
  </si>
  <si>
    <t>STELLA PAVE SKINNY LEG WM JEAN</t>
  </si>
  <si>
    <t>W10592SCR3</t>
  </si>
  <si>
    <t>STELLA SKINNY ORIGINALS</t>
  </si>
  <si>
    <t>W10599CQT2</t>
  </si>
  <si>
    <t>JULIE BIG QT SKINNY WM JEAN</t>
  </si>
  <si>
    <t>W10599CR3</t>
  </si>
  <si>
    <t>JULIE SKINNY ORIGINALS</t>
  </si>
  <si>
    <t>W10599E59</t>
  </si>
  <si>
    <t>JULIE CRYSTAL PAVE WOMEN JEAN</t>
  </si>
  <si>
    <t>FOD</t>
  </si>
  <si>
    <t>FOD TUCSON</t>
  </si>
  <si>
    <t>W10599M20</t>
  </si>
  <si>
    <t>JULIE SPT  WOMEN JEAN</t>
  </si>
  <si>
    <t>W10599NQT2</t>
  </si>
  <si>
    <t>JULIE SKINNY BQT WOMEN JEAN</t>
  </si>
  <si>
    <t>W10599P90</t>
  </si>
  <si>
    <t>JULIE SUPER T SKINNY WOMENS JE</t>
  </si>
  <si>
    <t>W10A033ED6</t>
  </si>
  <si>
    <t>JOEY FLARE SWEET TOBACCO</t>
  </si>
  <si>
    <t>AVYM</t>
  </si>
  <si>
    <t>AVYM SW TBC WO R</t>
  </si>
  <si>
    <t>W10A034ED6</t>
  </si>
  <si>
    <t>W10G93CR3</t>
  </si>
  <si>
    <t>EMILY WESTERN JACKET ORIGINALS</t>
  </si>
  <si>
    <t>APLM</t>
  </si>
  <si>
    <t>APLM LOKNG GLASS</t>
  </si>
  <si>
    <t>W10M04M20</t>
  </si>
  <si>
    <t>CAMERON SPT  WOMEN JEAN</t>
  </si>
  <si>
    <t>W10M05M20</t>
  </si>
  <si>
    <t>JAYDE SPT  WOMEN JEAN</t>
  </si>
  <si>
    <t>W10N27Y9</t>
  </si>
  <si>
    <t>BOBBY 1971 FLARE LEG WM JEAN</t>
  </si>
  <si>
    <t>NQL</t>
  </si>
  <si>
    <t>NQL DAWN RIVER</t>
  </si>
  <si>
    <t>W10N28Y9</t>
  </si>
  <si>
    <t>JOHNNY 1971 STRAIGHT LEG WM JE</t>
  </si>
  <si>
    <t>W10N29Y9</t>
  </si>
  <si>
    <t>LIZZY 1971 ROLLED CUFF CAPRI</t>
  </si>
  <si>
    <t>W10N30Y9</t>
  </si>
  <si>
    <t>BRIANNA 1971 BOYFRIEND FIT WM</t>
  </si>
  <si>
    <t>W10R78M65</t>
  </si>
  <si>
    <t>JOHNNY SNAKE EYES STRAIGHT</t>
  </si>
  <si>
    <t>W10R81M65</t>
  </si>
  <si>
    <t>BOBBY SNAKE EYES FLARE WOMENS</t>
  </si>
  <si>
    <t>W10R99M65</t>
  </si>
  <si>
    <t>STELLA SNAKE EYES SKINNY WOMEN</t>
  </si>
  <si>
    <t>W2D</t>
  </si>
  <si>
    <t>W2D SUNSET PASS</t>
  </si>
  <si>
    <t>W10T28S77</t>
  </si>
  <si>
    <t>W10Y56CR3</t>
  </si>
  <si>
    <t>AVERY STRAIGHT LEG ORIGINALS</t>
  </si>
  <si>
    <t>W10Y62CR3</t>
  </si>
  <si>
    <t>TONY MICRO BOOT ORIGINALS</t>
  </si>
  <si>
    <t>W13F1730B</t>
  </si>
  <si>
    <t>COFFEE BROWN</t>
  </si>
  <si>
    <t>SALVIA GREEN</t>
  </si>
  <si>
    <t>W13F58A</t>
  </si>
  <si>
    <t>FLEECE PANT W/ RIB</t>
  </si>
  <si>
    <t>W13F712</t>
  </si>
  <si>
    <t>S/S VNECK TSHIRT</t>
  </si>
  <si>
    <t>W13F7210</t>
  </si>
  <si>
    <t>W13F726A</t>
  </si>
  <si>
    <t>W13F74</t>
  </si>
  <si>
    <t>BUTTON FLY L/S TSHIRT</t>
  </si>
  <si>
    <t>W13F7430B</t>
  </si>
  <si>
    <t>W13F7510</t>
  </si>
  <si>
    <t>BASEBALL3/4 SLEEVE TSHIRT</t>
  </si>
  <si>
    <t>W13F7699</t>
  </si>
  <si>
    <t>SCOOP NECK L/S TSHIRT</t>
  </si>
  <si>
    <t>W13F7815A</t>
  </si>
  <si>
    <t>FLEECE PANT WITH RIB ON CUFF</t>
  </si>
  <si>
    <t>W13F8115A</t>
  </si>
  <si>
    <t>W13F814A</t>
  </si>
  <si>
    <t>W13F828A</t>
  </si>
  <si>
    <t>W13F82B99</t>
  </si>
  <si>
    <t>W13F901</t>
  </si>
  <si>
    <t>FLEECE CREW RAGLAN SWEAT</t>
  </si>
  <si>
    <t>W13F90B1</t>
  </si>
  <si>
    <t>FLEECE CREW SWEAT</t>
  </si>
  <si>
    <t>W13F92B</t>
  </si>
  <si>
    <t>SWEATSHIRT</t>
  </si>
  <si>
    <t>W13FK100</t>
  </si>
  <si>
    <t>MIXED PATTERN CREW NECK SWEATR</t>
  </si>
  <si>
    <t>SILVER GREY MELANGE</t>
  </si>
  <si>
    <t>W13FK102</t>
  </si>
  <si>
    <t>MIXED PATTERN SHORT ZIP JACKET</t>
  </si>
  <si>
    <t>W13FK103</t>
  </si>
  <si>
    <t>SILVER GRY MLNGE</t>
  </si>
  <si>
    <t>W13FK32</t>
  </si>
  <si>
    <t>BUTTON FLY CARDIGAN</t>
  </si>
  <si>
    <t>RUGBY BLUE ECRU</t>
  </si>
  <si>
    <t>RED ECRU</t>
  </si>
  <si>
    <t>W13FK3830B</t>
  </si>
  <si>
    <t>PRINT SWEATER</t>
  </si>
  <si>
    <t>BLACK BETTLE GRN</t>
  </si>
  <si>
    <t>NICKEL BROWN</t>
  </si>
  <si>
    <t>RGBY BLE PROVNCL</t>
  </si>
  <si>
    <t>W13FK5</t>
  </si>
  <si>
    <t>COCHIWAN ZIP JACKET</t>
  </si>
  <si>
    <t>W13JX44BW8</t>
  </si>
  <si>
    <t>WOMENS OFFSET STUDDED BELT</t>
  </si>
  <si>
    <t>W13JX44BX1</t>
  </si>
  <si>
    <t>ALLOVER STUDS RHINESTONE BELT</t>
  </si>
  <si>
    <t>W13M1315</t>
  </si>
  <si>
    <t>S/S CREW NECK JERSEY</t>
  </si>
  <si>
    <t>W13M135</t>
  </si>
  <si>
    <t>S/S CREW NECK TEE</t>
  </si>
  <si>
    <t>W13M136</t>
  </si>
  <si>
    <t>W13M136B</t>
  </si>
  <si>
    <t>W13M137</t>
  </si>
  <si>
    <t>W13M508A</t>
  </si>
  <si>
    <t>FLEECE PANT W/ STRIPE</t>
  </si>
  <si>
    <t>W13M508A9</t>
  </si>
  <si>
    <t>W13M55</t>
  </si>
  <si>
    <t>BIG R FLEECE BASEBALL JACKET</t>
  </si>
  <si>
    <t>W13M558B</t>
  </si>
  <si>
    <t>USA FLEECE BASEBALL JACKET</t>
  </si>
  <si>
    <t>W13M5812</t>
  </si>
  <si>
    <t>CHEST POCKET JERSEY L/S</t>
  </si>
  <si>
    <t>W13M583</t>
  </si>
  <si>
    <t>JERSEY L/S W/ CHEST POCKET</t>
  </si>
  <si>
    <t>W13M59</t>
  </si>
  <si>
    <t>BUTTON FLY JERSEY L/S</t>
  </si>
  <si>
    <t>W13M59S1</t>
  </si>
  <si>
    <t>OVERDYE STRIPED JERSEY L/S</t>
  </si>
  <si>
    <t>W13M653</t>
  </si>
  <si>
    <t>W13M66</t>
  </si>
  <si>
    <t>W13M671ST</t>
  </si>
  <si>
    <t>W13M679</t>
  </si>
  <si>
    <t>W13M8015A</t>
  </si>
  <si>
    <t>W13M803A</t>
  </si>
  <si>
    <t>W13M8512</t>
  </si>
  <si>
    <t>FLEECE CREWNECK SLIM FIT</t>
  </si>
  <si>
    <t>W13M858A</t>
  </si>
  <si>
    <t>W13M86</t>
  </si>
  <si>
    <t>FLEECE HOODIE</t>
  </si>
  <si>
    <t>W13M861</t>
  </si>
  <si>
    <t>WAFFLE LINING FLEECE HOODIE</t>
  </si>
  <si>
    <t>W13M861ST</t>
  </si>
  <si>
    <t>METAL STUDS FLEECE HOODIE</t>
  </si>
  <si>
    <t>W13M86B3</t>
  </si>
  <si>
    <t>BURN OUT FLEECE HOODIE</t>
  </si>
  <si>
    <t>W13M8715A</t>
  </si>
  <si>
    <t>W13M883</t>
  </si>
  <si>
    <t>FLEECE LINED HOODED JACKET</t>
  </si>
  <si>
    <t>W13MK104</t>
  </si>
  <si>
    <t>W13MK106</t>
  </si>
  <si>
    <t>HIGH NECK SWEATER</t>
  </si>
  <si>
    <t>W13MK107</t>
  </si>
  <si>
    <t>ZIP FLY CARDIGAN</t>
  </si>
  <si>
    <t>W13MK5</t>
  </si>
  <si>
    <t>ZIP FLY COCHIWAN JACKET</t>
  </si>
  <si>
    <t>W14F47D1G</t>
  </si>
  <si>
    <t>W14FB04B9G</t>
  </si>
  <si>
    <t>15 VIOLETT</t>
  </si>
  <si>
    <t>W14FB25C7G</t>
  </si>
  <si>
    <t>BIKER JACKET WOOL/LAMB LEATHER</t>
  </si>
  <si>
    <t>W14FB36D2G</t>
  </si>
  <si>
    <t>05 RED</t>
  </si>
  <si>
    <t>W14FB56B3G</t>
  </si>
  <si>
    <t>W14FD02K3I</t>
  </si>
  <si>
    <t>JUDE LOWRISE SKINNY</t>
  </si>
  <si>
    <t>EW08</t>
  </si>
  <si>
    <t>EW08 ZEN DRIFT</t>
  </si>
  <si>
    <t>EW15</t>
  </si>
  <si>
    <t>EW15 ROVER DRIFT</t>
  </si>
  <si>
    <t>W14FD03A4I</t>
  </si>
  <si>
    <t>ED24</t>
  </si>
  <si>
    <t>ED24 NEW BLINSTN</t>
  </si>
  <si>
    <t>W14FD03C7I</t>
  </si>
  <si>
    <t>ED40</t>
  </si>
  <si>
    <t>ED40 OLD BLINSTN</t>
  </si>
  <si>
    <t>EM20</t>
  </si>
  <si>
    <t>EM20 36 BLUE P.</t>
  </si>
  <si>
    <t>W14FD03M3I</t>
  </si>
  <si>
    <t>EL07</t>
  </si>
  <si>
    <t>EL07 GREY WHITE</t>
  </si>
  <si>
    <t>EM22</t>
  </si>
  <si>
    <t>EM22 FLOWER GREY</t>
  </si>
  <si>
    <t>W14FD03M5I</t>
  </si>
  <si>
    <t>EM24</t>
  </si>
  <si>
    <t>EM24 BLACK BLUE</t>
  </si>
  <si>
    <t>W14FD04A4I</t>
  </si>
  <si>
    <t>W14FD04C7I</t>
  </si>
  <si>
    <t>ED43</t>
  </si>
  <si>
    <t>ED43 GHOST WASH</t>
  </si>
  <si>
    <t>W14FD04K4I</t>
  </si>
  <si>
    <t>ED26</t>
  </si>
  <si>
    <t>ED26 BLACK</t>
  </si>
  <si>
    <t>W14FD04M3I</t>
  </si>
  <si>
    <t>W14FD07A4I</t>
  </si>
  <si>
    <t>W14FD07C7I</t>
  </si>
  <si>
    <t>GINA MINI BOOTCUT CARRY OVER</t>
  </si>
  <si>
    <t>W14FD07J9I</t>
  </si>
  <si>
    <t>ED28</t>
  </si>
  <si>
    <t>ED28 BASIC DARK</t>
  </si>
  <si>
    <t>EM23</t>
  </si>
  <si>
    <t>EM23 MED BLUE</t>
  </si>
  <si>
    <t>W14FD07M3I</t>
  </si>
  <si>
    <t>W14FD10A4I</t>
  </si>
  <si>
    <t>CHRISSY MIDRISE SUPER SKINNY</t>
  </si>
  <si>
    <t>W14FD10C7I</t>
  </si>
  <si>
    <t>W14FD10F3I</t>
  </si>
  <si>
    <t>W14FD10J8I</t>
  </si>
  <si>
    <t>W14FD10J9I</t>
  </si>
  <si>
    <t>W14FD10K3I</t>
  </si>
  <si>
    <t>W14FD10K4I</t>
  </si>
  <si>
    <t>EM21</t>
  </si>
  <si>
    <t>EM21 PAINTED GRY</t>
  </si>
  <si>
    <t>W14FD10K5I</t>
  </si>
  <si>
    <t>W14FD10K7I</t>
  </si>
  <si>
    <t>ED27</t>
  </si>
  <si>
    <t>ED27 BLACK LASER</t>
  </si>
  <si>
    <t>W14FD10M3I</t>
  </si>
  <si>
    <t>W14FD12A4I</t>
  </si>
  <si>
    <t>ABBEY HIGHRISE SUPER SKINNY</t>
  </si>
  <si>
    <t>W14FD12C7I</t>
  </si>
  <si>
    <t>W14FD12J9I</t>
  </si>
  <si>
    <t>W14FD12K3I</t>
  </si>
  <si>
    <t>W14FD12K4I</t>
  </si>
  <si>
    <t>W14FD12K5I</t>
  </si>
  <si>
    <t>W14FD13C7I</t>
  </si>
  <si>
    <t>CARRIE LOW SKINNY KNEE FLARE</t>
  </si>
  <si>
    <t>W14FD13J9I</t>
  </si>
  <si>
    <t>CARRIE LOW SKNY KNEE WIDE FLAR</t>
  </si>
  <si>
    <t>W14FD13M5I</t>
  </si>
  <si>
    <t>CARRIE LOW SKNY KNEE WIDEFLARE</t>
  </si>
  <si>
    <t>W14FD14A4I</t>
  </si>
  <si>
    <t>HARPER LOWRISE NEW BOYFRIEND</t>
  </si>
  <si>
    <t>W14FD14C7I</t>
  </si>
  <si>
    <t>W14FD14K4I</t>
  </si>
  <si>
    <t>W14FD14M3I</t>
  </si>
  <si>
    <t>W14FD15K5I</t>
  </si>
  <si>
    <t>EDIE LOWRISE STYLEZED SKINNY</t>
  </si>
  <si>
    <t>W14FD16C7I</t>
  </si>
  <si>
    <t>VICTORIA MIDRISE SKINNY</t>
  </si>
  <si>
    <t>W14FD17A4I</t>
  </si>
  <si>
    <t>CORA MIDRISE STRAIGHT</t>
  </si>
  <si>
    <t>W14FD17C7I</t>
  </si>
  <si>
    <t>W14FD17J9I</t>
  </si>
  <si>
    <t>CORA SLIM STRAIGHT</t>
  </si>
  <si>
    <t>W14FD17K4I</t>
  </si>
  <si>
    <t>CORA MIDRISE SLIM STRAIGHT</t>
  </si>
  <si>
    <t>W14FD17M3I</t>
  </si>
  <si>
    <t>W14FD18C7I</t>
  </si>
  <si>
    <t>BECCA MIDRISE BOOTCUT</t>
  </si>
  <si>
    <t>W14FF16B8G</t>
  </si>
  <si>
    <t>W14FF17B8G</t>
  </si>
  <si>
    <t>W14FF18C8G</t>
  </si>
  <si>
    <t>FEATHER SWEATER CREW NECK</t>
  </si>
  <si>
    <t>W14FF19C8G</t>
  </si>
  <si>
    <t>HOODY FEATHER SWEATER</t>
  </si>
  <si>
    <t>W14FF20B8G</t>
  </si>
  <si>
    <t>W14FF21B8G</t>
  </si>
  <si>
    <t>W14FF22B9G</t>
  </si>
  <si>
    <t>W14FF23B9G</t>
  </si>
  <si>
    <t>W14FF28C8G</t>
  </si>
  <si>
    <t>CAMO HAREM PANT</t>
  </si>
  <si>
    <t>W14FF29C7G</t>
  </si>
  <si>
    <t>W14FF30C7G</t>
  </si>
  <si>
    <t>W14FF31C7G</t>
  </si>
  <si>
    <t>W14FF36B7G</t>
  </si>
  <si>
    <t>LONGHORN CREW NECK SWEATER</t>
  </si>
  <si>
    <t>W14FF37B7G</t>
  </si>
  <si>
    <t>TRU RLIGIN BRNOUT CRW NCK SWTR</t>
  </si>
  <si>
    <t>W14FF40B7G</t>
  </si>
  <si>
    <t>W14FF51B8G</t>
  </si>
  <si>
    <t>W PROPERTY HOODED ZIP JKT</t>
  </si>
  <si>
    <t>W14FF52B8G</t>
  </si>
  <si>
    <t>W PROPERTY PANT</t>
  </si>
  <si>
    <t>W14FF55B8G</t>
  </si>
  <si>
    <t>W LOS ANGELES HOODED ZIP JKT</t>
  </si>
  <si>
    <t>W14FF57B8G</t>
  </si>
  <si>
    <t>W LOS ANGELES PANT</t>
  </si>
  <si>
    <t>W14FG01B9G</t>
  </si>
  <si>
    <t>SKIRT WITH CHECK LINING</t>
  </si>
  <si>
    <t>W14FG01C7I</t>
  </si>
  <si>
    <t>ELLY SKIRT</t>
  </si>
  <si>
    <t>OLD</t>
  </si>
  <si>
    <t>OLD BLISTON</t>
  </si>
  <si>
    <t>W14FG01K5I</t>
  </si>
  <si>
    <t>W14FG02B9G</t>
  </si>
  <si>
    <t>SHORT SKIRT</t>
  </si>
  <si>
    <t>W14FJ05F6I</t>
  </si>
  <si>
    <t>LIV FITTED BOMBER LEATHER</t>
  </si>
  <si>
    <t>EW12</t>
  </si>
  <si>
    <t>EW12 SHINY WASH</t>
  </si>
  <si>
    <t>W14FJ06F7I</t>
  </si>
  <si>
    <t>ALEXYS BIKER LEATHER</t>
  </si>
  <si>
    <t>W14FJ09G1I</t>
  </si>
  <si>
    <t>RITA PEACOAT FELT</t>
  </si>
  <si>
    <t>E215 BEIGE</t>
  </si>
  <si>
    <t>W14FK01D4G</t>
  </si>
  <si>
    <t>TURTLE BOXY SWEATER</t>
  </si>
  <si>
    <t>W14FK02D4G</t>
  </si>
  <si>
    <t>CABLE KNIT JACKET</t>
  </si>
  <si>
    <t>W14FK03D4G</t>
  </si>
  <si>
    <t>W14FK04D5G</t>
  </si>
  <si>
    <t>FIRST CARDIGAN</t>
  </si>
  <si>
    <t>W14FK05D5G</t>
  </si>
  <si>
    <t>PATENT CREW</t>
  </si>
  <si>
    <t>W14FK06D5G</t>
  </si>
  <si>
    <t>CREW</t>
  </si>
  <si>
    <t>W14FK06J3I</t>
  </si>
  <si>
    <t>EDITH CHUNKY BIKER</t>
  </si>
  <si>
    <t>W14FK07C4G</t>
  </si>
  <si>
    <t>WINGS CREW NECK SWEATER</t>
  </si>
  <si>
    <t>W14FK07L9I</t>
  </si>
  <si>
    <t>LENA STRIPED V NECK MALFILE</t>
  </si>
  <si>
    <t>E201</t>
  </si>
  <si>
    <t>E201 NATURAL</t>
  </si>
  <si>
    <t>W14FK09D4G</t>
  </si>
  <si>
    <t>W14FK10J4I</t>
  </si>
  <si>
    <t>LUCY OVER KNIT COMMEMARA</t>
  </si>
  <si>
    <t>E236</t>
  </si>
  <si>
    <t>E236 DOVE</t>
  </si>
  <si>
    <t>W14FK11L9I</t>
  </si>
  <si>
    <t>PIPER CARDIGAN MALFILE</t>
  </si>
  <si>
    <t>W14FL07C1G</t>
  </si>
  <si>
    <t>KNITTEDFUNNELNECKBIKERW/PATCH</t>
  </si>
  <si>
    <t>W14FL08C2G</t>
  </si>
  <si>
    <t>W14FL11C3G</t>
  </si>
  <si>
    <t>BIKER WITH CRAWL RIVETS</t>
  </si>
  <si>
    <t>06BLACK</t>
  </si>
  <si>
    <t>16 CINAMONE</t>
  </si>
  <si>
    <t>W14FL12C3G</t>
  </si>
  <si>
    <t>BIKER WITH RIVETS</t>
  </si>
  <si>
    <t>W14FL57B3G</t>
  </si>
  <si>
    <t>W14FN23C5G</t>
  </si>
  <si>
    <t>W14FN44C5G</t>
  </si>
  <si>
    <t>DOWN JACKET W/FAUX FUR</t>
  </si>
  <si>
    <t>W14FN51E1G</t>
  </si>
  <si>
    <t>SNWMASS RACN FUR</t>
  </si>
  <si>
    <t>W14FO22C5G</t>
  </si>
  <si>
    <t>DOWN VEST WITH RACCOON FUR</t>
  </si>
  <si>
    <t>W14FO43C5G</t>
  </si>
  <si>
    <t>DOWN VEST W/FAUX FUR</t>
  </si>
  <si>
    <t>W14FP02F4I</t>
  </si>
  <si>
    <t>ET26</t>
  </si>
  <si>
    <t>ET26 SILVER DENIM</t>
  </si>
  <si>
    <t>W14FP03F3I</t>
  </si>
  <si>
    <t>ET29</t>
  </si>
  <si>
    <t>ET29 BLOCK COLOR</t>
  </si>
  <si>
    <t>W14FP03K6I</t>
  </si>
  <si>
    <t>EW16</t>
  </si>
  <si>
    <t>EW16 DUSTY INDGO</t>
  </si>
  <si>
    <t>W14FP10F3I</t>
  </si>
  <si>
    <t>W14FP10F4I</t>
  </si>
  <si>
    <t>W14FP10K6I</t>
  </si>
  <si>
    <t>W14FP10K7I</t>
  </si>
  <si>
    <t>W14FP12F3I</t>
  </si>
  <si>
    <t>W14FP12K6I</t>
  </si>
  <si>
    <t>W14FP12K7I</t>
  </si>
  <si>
    <t>W14FP15K7I</t>
  </si>
  <si>
    <t>EDIE LOW RISE STYLEZED SKINNY</t>
  </si>
  <si>
    <t>W14FQ27C8G</t>
  </si>
  <si>
    <t>20 MDNIGHT GREEN</t>
  </si>
  <si>
    <t>W14FQ28C8G</t>
  </si>
  <si>
    <t>BOMBER</t>
  </si>
  <si>
    <t>W14FQ29C8G</t>
  </si>
  <si>
    <t>DOWN COAT WITH RACCOON FUR</t>
  </si>
  <si>
    <t>W14FQ45C8G</t>
  </si>
  <si>
    <t>DOWNCOATW/FAUX FUR AROUND HOOD</t>
  </si>
  <si>
    <t>W14FT01B9G</t>
  </si>
  <si>
    <t>FLAG S/S VNECK TEE</t>
  </si>
  <si>
    <t>W14FT02B1G</t>
  </si>
  <si>
    <t>FEATHER S/S CREW NECK TEE</t>
  </si>
  <si>
    <t>W14FT03B1G</t>
  </si>
  <si>
    <t>INDIAN CHIEF S/S CREW NECK TEE</t>
  </si>
  <si>
    <t>W14FT04B1G</t>
  </si>
  <si>
    <t>OLD INDIAN S/S CREW NECK TEE</t>
  </si>
  <si>
    <t>W14FT05B9G</t>
  </si>
  <si>
    <t>W14FT06B1G</t>
  </si>
  <si>
    <t>WINGS GROUP S/S CREW NECK TEE</t>
  </si>
  <si>
    <t>W14FT07B9G</t>
  </si>
  <si>
    <t>OLD INDIAN WINGS GROUP CREW T</t>
  </si>
  <si>
    <t>W14FT08B9G</t>
  </si>
  <si>
    <t>W14FT09B9G</t>
  </si>
  <si>
    <t>WINGS GROUP BUTTONFLY CREW TEE</t>
  </si>
  <si>
    <t>W14FT10B1G</t>
  </si>
  <si>
    <t>EAGLE PRINT S/S VNECK TEE</t>
  </si>
  <si>
    <t>W14FT11B9G</t>
  </si>
  <si>
    <t>WINGS GROUP S/S VNECK TEE</t>
  </si>
  <si>
    <t>W14FT12B9G</t>
  </si>
  <si>
    <t>BUTTONFLY L/S CREW TEE</t>
  </si>
  <si>
    <t>W14FT13B1G</t>
  </si>
  <si>
    <t>W14FT14B1G</t>
  </si>
  <si>
    <t>LONGHORN L/S VNECK TEE</t>
  </si>
  <si>
    <t>W14FT15B9G</t>
  </si>
  <si>
    <t>WINGS GROUP L/S CREW NECK TEE</t>
  </si>
  <si>
    <t>W14FT25B9G</t>
  </si>
  <si>
    <t>CAMO S/S VNECK TEE</t>
  </si>
  <si>
    <t>W14FT26B1G</t>
  </si>
  <si>
    <t>CAMO BASEBALL CREW NECK TEE</t>
  </si>
  <si>
    <t>W14FT27B1G</t>
  </si>
  <si>
    <t>BOXY CAMO L/S CREW NECK TEE</t>
  </si>
  <si>
    <t>W14FT32C9G</t>
  </si>
  <si>
    <t>BURNOUT EAGLE VNECK TEE</t>
  </si>
  <si>
    <t>W14FT33C9G</t>
  </si>
  <si>
    <t>BASEBALL BURNOUT CREW TEE</t>
  </si>
  <si>
    <t>W14FT34C9G</t>
  </si>
  <si>
    <t>BOXY BURNOUT VNECK TEE</t>
  </si>
  <si>
    <t>W14FT35C9G</t>
  </si>
  <si>
    <t>INDIAN CHIEF BOXY CREW NECK T</t>
  </si>
  <si>
    <t>W14FT36B7G</t>
  </si>
  <si>
    <t>W14FT37B7G</t>
  </si>
  <si>
    <t>W14FT38B7G</t>
  </si>
  <si>
    <t>BURNOUT CREW NECK SWEATER</t>
  </si>
  <si>
    <t>W14FT39B7G</t>
  </si>
  <si>
    <t>W14FT41B7G</t>
  </si>
  <si>
    <t>BURNOUT FLEECE PANT</t>
  </si>
  <si>
    <t>W14FT42B7G</t>
  </si>
  <si>
    <t>W14FT43B7G</t>
  </si>
  <si>
    <t>W14FV03B9G</t>
  </si>
  <si>
    <t>VEST WITH COVERED RIVETS</t>
  </si>
  <si>
    <t>W14FW01L3I</t>
  </si>
  <si>
    <t>ED42</t>
  </si>
  <si>
    <t>ED42 LEATHR LOOK</t>
  </si>
  <si>
    <t>EM31</t>
  </si>
  <si>
    <t>EM31 STONESHIRT</t>
  </si>
  <si>
    <t>EW17</t>
  </si>
  <si>
    <t>EW17 WETLOOK</t>
  </si>
  <si>
    <t>W14FW02B4I</t>
  </si>
  <si>
    <t>W14FW07L8I</t>
  </si>
  <si>
    <t>DANA LONG SHIRT CHECK</t>
  </si>
  <si>
    <t>W14FW08L8I</t>
  </si>
  <si>
    <t>ELOISE FITTED SHIRT</t>
  </si>
  <si>
    <t>W14FY18C4G</t>
  </si>
  <si>
    <t>PARKA LINED W/RABBIT FUR-RACCO</t>
  </si>
  <si>
    <t>W14FY19C4G</t>
  </si>
  <si>
    <t>BOMBER JACKET LININED W/RABBIT</t>
  </si>
  <si>
    <t>W14FY33D1G</t>
  </si>
  <si>
    <t>W14FY34D1G</t>
  </si>
  <si>
    <t>PARKA W/RACCOON FUR_ INDIAN</t>
  </si>
  <si>
    <t>09 OLIVE GREEN</t>
  </si>
  <si>
    <t>W14FY35D1G</t>
  </si>
  <si>
    <t>PRKA W/REAL RACN &amp; RABBIT FUR</t>
  </si>
  <si>
    <t>W14FY41C4G</t>
  </si>
  <si>
    <t>PARKA LINED WITH RABBIT FUR</t>
  </si>
  <si>
    <t>W14FY48D1G</t>
  </si>
  <si>
    <t>PARKA W/FAUX FUR INDIAN HEAD</t>
  </si>
  <si>
    <t>W14FY49D1G</t>
  </si>
  <si>
    <t>PARKA W/FAUX FUR_DET. RABBIT</t>
  </si>
  <si>
    <t>W14FY53E2G</t>
  </si>
  <si>
    <t>W14HB03C1G</t>
  </si>
  <si>
    <t>W14HD03C7I</t>
  </si>
  <si>
    <t>W14HD03F5I</t>
  </si>
  <si>
    <t>W14HD03N1I</t>
  </si>
  <si>
    <t>ED51</t>
  </si>
  <si>
    <t>ED51 G-CLOUDS</t>
  </si>
  <si>
    <t>W14HD03N9I</t>
  </si>
  <si>
    <t>ED47</t>
  </si>
  <si>
    <t>ED47 SPEECH</t>
  </si>
  <si>
    <t>ED62</t>
  </si>
  <si>
    <t>ED62 COBALT BLUE</t>
  </si>
  <si>
    <t>W14HD10F5I</t>
  </si>
  <si>
    <t>W14HD10M7I</t>
  </si>
  <si>
    <t>EL12</t>
  </si>
  <si>
    <t>EL12 SEA BREEZE</t>
  </si>
  <si>
    <t>W14HD10M8I</t>
  </si>
  <si>
    <t>ED50</t>
  </si>
  <si>
    <t>ED50 STOPGAP</t>
  </si>
  <si>
    <t>W14HD10N1I</t>
  </si>
  <si>
    <t>W14HD10N2I</t>
  </si>
  <si>
    <t>ED48</t>
  </si>
  <si>
    <t>ED48 BLUE ATOLL</t>
  </si>
  <si>
    <t>W14HD10N9I</t>
  </si>
  <si>
    <t>W14HD10O1I</t>
  </si>
  <si>
    <t>EM32</t>
  </si>
  <si>
    <t>EM32 PLUMBER</t>
  </si>
  <si>
    <t>W14HD10O3I</t>
  </si>
  <si>
    <t>EL10</t>
  </si>
  <si>
    <t>EL10 PAINTED</t>
  </si>
  <si>
    <t>W14HD16F5I</t>
  </si>
  <si>
    <t>VICTORIA MID RISE SKNY CIGARET</t>
  </si>
  <si>
    <t>W14HD16M7I</t>
  </si>
  <si>
    <t>EM34</t>
  </si>
  <si>
    <t>EM34 BLUE ISLAND</t>
  </si>
  <si>
    <t>W14HD16N2I</t>
  </si>
  <si>
    <t>W14HD16O1I</t>
  </si>
  <si>
    <t>W14HD17K8I</t>
  </si>
  <si>
    <t>CORA MID RISE STRAIGHT</t>
  </si>
  <si>
    <t>ED49</t>
  </si>
  <si>
    <t>ED49 BLACK JACK</t>
  </si>
  <si>
    <t>W14HD17N9I</t>
  </si>
  <si>
    <t>CORA MID RISE STARIGHT</t>
  </si>
  <si>
    <t>ED46</t>
  </si>
  <si>
    <t>ED46 BLACKBELT</t>
  </si>
  <si>
    <t>W14HD18C7I</t>
  </si>
  <si>
    <t>BECCA MID RISE BOOT CUT</t>
  </si>
  <si>
    <t>W14HD18M8I</t>
  </si>
  <si>
    <t>BECCA MID RISE BOOTCUT</t>
  </si>
  <si>
    <t>W14HD19N1I</t>
  </si>
  <si>
    <t>STELLA LOW RISE SKINNY</t>
  </si>
  <si>
    <t>ED52</t>
  </si>
  <si>
    <t>ED52 NEW DIP</t>
  </si>
  <si>
    <t>W14HD19O1I</t>
  </si>
  <si>
    <t>W14HD20K8I</t>
  </si>
  <si>
    <t>CASEY LOW RISE SUPER SKINNY</t>
  </si>
  <si>
    <t>W14HD20M7I</t>
  </si>
  <si>
    <t>W14HD20M8I</t>
  </si>
  <si>
    <t>W14HD20N9I</t>
  </si>
  <si>
    <t>W14HD20O2I</t>
  </si>
  <si>
    <t>ED63</t>
  </si>
  <si>
    <t>ED63 DEEP ATOLL</t>
  </si>
  <si>
    <t>W14HD21K8I</t>
  </si>
  <si>
    <t>HALLE MID RISE SUPER SKINNY</t>
  </si>
  <si>
    <t>W14HD21M7I</t>
  </si>
  <si>
    <t>W14HD21N1I</t>
  </si>
  <si>
    <t>W14HD21N9I</t>
  </si>
  <si>
    <t>W14HD21O2I</t>
  </si>
  <si>
    <t>W14HD22K5I</t>
  </si>
  <si>
    <t>BETH MID RISE SUPER SKINNY</t>
  </si>
  <si>
    <t>W14HF03C8G</t>
  </si>
  <si>
    <t>CROSS CREW BOXY FIT</t>
  </si>
  <si>
    <t>W14HF04C8G</t>
  </si>
  <si>
    <t>HOODY BOXY FIT</t>
  </si>
  <si>
    <t>W14HF06C8G</t>
  </si>
  <si>
    <t>W14HF07C8G</t>
  </si>
  <si>
    <t>CREW BOXY FIT</t>
  </si>
  <si>
    <t>W14HF08C8G</t>
  </si>
  <si>
    <t>DOUBLE BUDDHA CREW BOXY FIT</t>
  </si>
  <si>
    <t>W14HF20C8G</t>
  </si>
  <si>
    <t>FLEECE PANT LONG CROTCH</t>
  </si>
  <si>
    <t>W14HF21B8G</t>
  </si>
  <si>
    <t>CROSS HOODED  ZIP JACKET</t>
  </si>
  <si>
    <t>W14HF22B8G</t>
  </si>
  <si>
    <t>SKULL HOODED JACKET</t>
  </si>
  <si>
    <t>W14HF23B8G</t>
  </si>
  <si>
    <t>STARS HOODED JACKET</t>
  </si>
  <si>
    <t>W14HF24B8G</t>
  </si>
  <si>
    <t>SKULL FLEECE PANT RHINESTONES</t>
  </si>
  <si>
    <t>W14HF26B8G</t>
  </si>
  <si>
    <t>CROSS PRINT FLEECE PANT W/STUD</t>
  </si>
  <si>
    <t>W14HF27B8G</t>
  </si>
  <si>
    <t>ZIPPER FLEECE PANT</t>
  </si>
  <si>
    <t>W14HF30B8G</t>
  </si>
  <si>
    <t>TRUE L/S CREW CRACKPRINT</t>
  </si>
  <si>
    <t>W14HF30C8G</t>
  </si>
  <si>
    <t>CREW SWEATSHIRT</t>
  </si>
  <si>
    <t>W14HF31B8G</t>
  </si>
  <si>
    <t>FLAG PRINT FLEECE PANT</t>
  </si>
  <si>
    <t>W14HF43B8G</t>
  </si>
  <si>
    <t>W14HF44B8G</t>
  </si>
  <si>
    <t>DOUBLE BUDDHA HOODED ZIP JKT</t>
  </si>
  <si>
    <t>W14HF45B8G</t>
  </si>
  <si>
    <t>W14HG01N1I</t>
  </si>
  <si>
    <t>W14HG01N9I</t>
  </si>
  <si>
    <t>W14HG01O1I</t>
  </si>
  <si>
    <t>W14HG02B9G</t>
  </si>
  <si>
    <t>SKIRT</t>
  </si>
  <si>
    <t>W14HG04D4G</t>
  </si>
  <si>
    <t>W14HG05D5G</t>
  </si>
  <si>
    <t>W14HH03N9I</t>
  </si>
  <si>
    <t>JOEY CUT OFF MINI SHORTS</t>
  </si>
  <si>
    <t>W14HJ10O8I</t>
  </si>
  <si>
    <t>ANA QUILTED LEATHER JACKET</t>
  </si>
  <si>
    <t>W14HK12P2I</t>
  </si>
  <si>
    <t>MILLA BLACK MYLAR CREW NECK</t>
  </si>
  <si>
    <t>W14HK13P2I</t>
  </si>
  <si>
    <t>ROSE SHORT V NECK</t>
  </si>
  <si>
    <t>W14HK14P3I</t>
  </si>
  <si>
    <t>LAYLA 3 COLORS CREW NECK</t>
  </si>
  <si>
    <t>E013</t>
  </si>
  <si>
    <t>E013 3 COLORS</t>
  </si>
  <si>
    <t>W14HK15P4I</t>
  </si>
  <si>
    <t>JAY CREW NECK</t>
  </si>
  <si>
    <t>W14HK16P4I</t>
  </si>
  <si>
    <t>JEWEL PRECIOUS CREW NECK</t>
  </si>
  <si>
    <t>W14HS01C4G</t>
  </si>
  <si>
    <t>CROSS SWEATER KNITWEAR</t>
  </si>
  <si>
    <t>DARK ROSE</t>
  </si>
  <si>
    <t>W14HS02C4G</t>
  </si>
  <si>
    <t>SKULL SWEATER KNITWEAR</t>
  </si>
  <si>
    <t>W14HS03C4G</t>
  </si>
  <si>
    <t>W14HT01B9G</t>
  </si>
  <si>
    <t>BASEBALL 3/4 SLEEVE SKULL</t>
  </si>
  <si>
    <t>W14HT02C5G</t>
  </si>
  <si>
    <t>FLAG RELAX T SHIRT</t>
  </si>
  <si>
    <t>W14HT09B9G</t>
  </si>
  <si>
    <t>SKULL L/S BUTTON FLY T SHIRT</t>
  </si>
  <si>
    <t>W14HT10B9G</t>
  </si>
  <si>
    <t>AMERICAN FLAG L/S BUTTON FLY T</t>
  </si>
  <si>
    <t>W14HT11B9G</t>
  </si>
  <si>
    <t>WINGS BUTTON FLY  L/S T SHIRT</t>
  </si>
  <si>
    <t>W14HT12B9G</t>
  </si>
  <si>
    <t>WINGS WORKSMANSHIP VNECK T</t>
  </si>
  <si>
    <t>W14HT13B9G</t>
  </si>
  <si>
    <t>WINGS VNECK T SS</t>
  </si>
  <si>
    <t>W14HT14B9G</t>
  </si>
  <si>
    <t>SKULL VNECK T SHIRT</t>
  </si>
  <si>
    <t>W14HT15B9G</t>
  </si>
  <si>
    <t>CREW T SHIRT</t>
  </si>
  <si>
    <t>W14HT16C5G</t>
  </si>
  <si>
    <t>CROSS VNECK L/S TSHIRT</t>
  </si>
  <si>
    <t>W14HT17B9G</t>
  </si>
  <si>
    <t>STARS CREW RELAX T SHIRT</t>
  </si>
  <si>
    <t>W14HT18C5G</t>
  </si>
  <si>
    <t>CREW RELAX T SHIRT</t>
  </si>
  <si>
    <t>W14HT19B9G</t>
  </si>
  <si>
    <t>BASEBALL 3/4 SLEEVE CROSS</t>
  </si>
  <si>
    <t>W14HT20M6I</t>
  </si>
  <si>
    <t>BEIRUT W V NECK T-SHIRT</t>
  </si>
  <si>
    <t>W14HT28E3G</t>
  </si>
  <si>
    <t>SKULL TOP</t>
  </si>
  <si>
    <t>W14HT46B9G</t>
  </si>
  <si>
    <t>DOUBLE LS BUTTON FLY T  WINGS</t>
  </si>
  <si>
    <t>W14HW09N3I</t>
  </si>
  <si>
    <t>ANABEL PATCH SHIRT</t>
  </si>
  <si>
    <t>EL11</t>
  </si>
  <si>
    <t>EL11 PATCHWORK</t>
  </si>
  <si>
    <t>W14HW10L4I</t>
  </si>
  <si>
    <t>KATY SHIRT</t>
  </si>
  <si>
    <t>EL13</t>
  </si>
  <si>
    <t>EL13 SHORELINE</t>
  </si>
  <si>
    <t>EM35</t>
  </si>
  <si>
    <t>EM35 ATOLL</t>
  </si>
  <si>
    <t>W14HW11L4I</t>
  </si>
  <si>
    <t>GINGER NEW WESTERN SHIRT</t>
  </si>
  <si>
    <t>EW18</t>
  </si>
  <si>
    <t>EW18 RINSE</t>
  </si>
  <si>
    <t>W14HW11M9I</t>
  </si>
  <si>
    <t>EM36</t>
  </si>
  <si>
    <t>EM36 SEA MIST</t>
  </si>
  <si>
    <t>W14RD10C7I</t>
  </si>
  <si>
    <t>W14S06B2G</t>
  </si>
  <si>
    <t>RAW EDGE VNECK TEE</t>
  </si>
  <si>
    <t>W14SD01A2I</t>
  </si>
  <si>
    <t>W14SE24B3G</t>
  </si>
  <si>
    <t>SHIRT W/CHAIN TAPE</t>
  </si>
  <si>
    <t>EMERALD GREEN</t>
  </si>
  <si>
    <t>SMARAGD</t>
  </si>
  <si>
    <t>W14SE25B3G</t>
  </si>
  <si>
    <t>SHIRT W/ CHAIN TAPE</t>
  </si>
  <si>
    <t>W14SE26B6G</t>
  </si>
  <si>
    <t>SHIRT, WAXED SEAMS &amp; ARTWORK</t>
  </si>
  <si>
    <t>W14SF23B8G</t>
  </si>
  <si>
    <t>LT BROWN</t>
  </si>
  <si>
    <t>W14SF24B6G</t>
  </si>
  <si>
    <t>W14SF27B6G</t>
  </si>
  <si>
    <t>TRIANGLE S/S CREW NECK TEE</t>
  </si>
  <si>
    <t>W14SF28B7G</t>
  </si>
  <si>
    <t>CREW NECK RAGLAN L/S</t>
  </si>
  <si>
    <t>W14SF29B6G</t>
  </si>
  <si>
    <t>W14SF30C2G</t>
  </si>
  <si>
    <t>CREW NECK REGLAN L/S</t>
  </si>
  <si>
    <t>W14SF31C2G</t>
  </si>
  <si>
    <t>INDIGO JERSEY BOMBER JACKET</t>
  </si>
  <si>
    <t>W14SF32B8G</t>
  </si>
  <si>
    <t>W14SF33C2G</t>
  </si>
  <si>
    <t>INDIGO JERSEY SHORT</t>
  </si>
  <si>
    <t>W14SF34B8G</t>
  </si>
  <si>
    <t>SHORT</t>
  </si>
  <si>
    <t>W14SF35B8G</t>
  </si>
  <si>
    <t>W14SF37B8G</t>
  </si>
  <si>
    <t>W14SF38B6G</t>
  </si>
  <si>
    <t>LONG CROTCH PANT W/ POCKETS</t>
  </si>
  <si>
    <t>W14SF49B6G</t>
  </si>
  <si>
    <t>E602</t>
  </si>
  <si>
    <t>E602 PINK SHADOW</t>
  </si>
  <si>
    <t>W14SJ01D3I</t>
  </si>
  <si>
    <t>DUSTY FITTED WESTERN JACKET</t>
  </si>
  <si>
    <t>W14SJ02A2I</t>
  </si>
  <si>
    <t>EMILY GILE' VEST</t>
  </si>
  <si>
    <t>W14SJ02C7I</t>
  </si>
  <si>
    <t>EMILY VEST</t>
  </si>
  <si>
    <t>W14SJ14A9G</t>
  </si>
  <si>
    <t>W14SJ15A9G</t>
  </si>
  <si>
    <t>E662</t>
  </si>
  <si>
    <t>E662 RUST</t>
  </si>
  <si>
    <t>E945</t>
  </si>
  <si>
    <t>E945 MUSK GREY</t>
  </si>
  <si>
    <t>E647</t>
  </si>
  <si>
    <t>E647 DK MEL RED</t>
  </si>
  <si>
    <t>E847</t>
  </si>
  <si>
    <t>E847 DK MEL BLUE</t>
  </si>
  <si>
    <t>W14SK39C4G</t>
  </si>
  <si>
    <t>SPECIAL RAGLAN SWEATER</t>
  </si>
  <si>
    <t>W14SK40C4G</t>
  </si>
  <si>
    <t>W14SL16B7G</t>
  </si>
  <si>
    <t>FUNNEL COLLAR JACKET W/ STUDS</t>
  </si>
  <si>
    <t>W14SL17B4G</t>
  </si>
  <si>
    <t>BIKER W/ EAGLE PRINT</t>
  </si>
  <si>
    <t>W14SL18B4G</t>
  </si>
  <si>
    <t>KNITTED FUNNEL JCKT W/ PATCHES</t>
  </si>
  <si>
    <t>W14SL22B3G</t>
  </si>
  <si>
    <t>COLLARLESS JACKET</t>
  </si>
  <si>
    <t>PALE YELLOW</t>
  </si>
  <si>
    <t>W14SL23B3G</t>
  </si>
  <si>
    <t>BIKER W/ RIB INSERT &amp; STUDS</t>
  </si>
  <si>
    <t>PALE ROSE RED</t>
  </si>
  <si>
    <t>W14SL27B4G</t>
  </si>
  <si>
    <t>W14SP04D1I</t>
  </si>
  <si>
    <t>W14SQ19B1G</t>
  </si>
  <si>
    <t>SHORT BOMBER W/ RIB</t>
  </si>
  <si>
    <t>PALE RED</t>
  </si>
  <si>
    <t>W14SQ20B1G</t>
  </si>
  <si>
    <t>BANDED COLLAR JACKET</t>
  </si>
  <si>
    <t>W14SQ21B1G</t>
  </si>
  <si>
    <t>BIKER QUILTED</t>
  </si>
  <si>
    <t>W14ST01C1G</t>
  </si>
  <si>
    <t>RACER BACK DRESS</t>
  </si>
  <si>
    <t>W14ST01E2I</t>
  </si>
  <si>
    <t>JULIA S/S CREWNECK TEE</t>
  </si>
  <si>
    <t>E926</t>
  </si>
  <si>
    <t>E926 MED GREY</t>
  </si>
  <si>
    <t>W14ST02B2G</t>
  </si>
  <si>
    <t>W14ST03B2G</t>
  </si>
  <si>
    <t>RAW EDGE TANK</t>
  </si>
  <si>
    <t>W14ST03E2I</t>
  </si>
  <si>
    <t>SYDNEY S/S CREWNECK TEE</t>
  </si>
  <si>
    <t>E833</t>
  </si>
  <si>
    <t>E833 FGY DSTY BL</t>
  </si>
  <si>
    <t>E940</t>
  </si>
  <si>
    <t>E940 MIL GREY</t>
  </si>
  <si>
    <t>W14ST04B1G</t>
  </si>
  <si>
    <t>W14ST04E2I</t>
  </si>
  <si>
    <t>AMBER S/S CREWNECK TEE</t>
  </si>
  <si>
    <t>W14ST05B9G</t>
  </si>
  <si>
    <t>W14ST07B9G</t>
  </si>
  <si>
    <t>BUTTON FLY L/S TEE</t>
  </si>
  <si>
    <t>W14ST08B2G</t>
  </si>
  <si>
    <t>L/S CREW NECK TEE</t>
  </si>
  <si>
    <t>W14ST09B1G</t>
  </si>
  <si>
    <t>CAP SLEEVE CREW NECK TEE</t>
  </si>
  <si>
    <t>W14ST10B9G</t>
  </si>
  <si>
    <t>W14ST12B1G</t>
  </si>
  <si>
    <t>CHESTPOCKET CREW NECK TEE</t>
  </si>
  <si>
    <t>W14ST13B9G</t>
  </si>
  <si>
    <t>LONG CHESTPOCKET VNECK TEE</t>
  </si>
  <si>
    <t>W14ST14B2G</t>
  </si>
  <si>
    <t>W14ST16B1G</t>
  </si>
  <si>
    <t>W14ST18B1G</t>
  </si>
  <si>
    <t>W14ST20C3G</t>
  </si>
  <si>
    <t>W14ST21B3G</t>
  </si>
  <si>
    <t>W14ST22C1G</t>
  </si>
  <si>
    <t>TANK TOP JERSEY</t>
  </si>
  <si>
    <t>W14SW05E9I</t>
  </si>
  <si>
    <t>AMANDA SHIRT</t>
  </si>
  <si>
    <t>E301</t>
  </si>
  <si>
    <t>E301 PALE GREEN</t>
  </si>
  <si>
    <t>E601</t>
  </si>
  <si>
    <t>E601 PALE PINK</t>
  </si>
  <si>
    <t>W14SW05P2I</t>
  </si>
  <si>
    <t>W14UD02C7I</t>
  </si>
  <si>
    <t>W14UD03C7I</t>
  </si>
  <si>
    <t>GRACE LOW RISE NEW BOYFRIEND</t>
  </si>
  <si>
    <t>ED22</t>
  </si>
  <si>
    <t>ED22 CAMO-N BLUE</t>
  </si>
  <si>
    <t>W14UD03F2I</t>
  </si>
  <si>
    <t>W14UD12C7I</t>
  </si>
  <si>
    <t>W14UF14B8G</t>
  </si>
  <si>
    <t>LA CITY FLEECE PANT</t>
  </si>
  <si>
    <t>W14UF17B8G</t>
  </si>
  <si>
    <t>W14UF18B8G</t>
  </si>
  <si>
    <t>W14UH03A4I</t>
  </si>
  <si>
    <t>JOEY CUT OFF SKINNY HOT PANT</t>
  </si>
  <si>
    <t>W14UH03C7I</t>
  </si>
  <si>
    <t>W14UK22C4G</t>
  </si>
  <si>
    <t>JUST BE TRUE SWEATER</t>
  </si>
  <si>
    <t>W14UK23C4G</t>
  </si>
  <si>
    <t>LOS ANGELES CITY SWEATER</t>
  </si>
  <si>
    <t>W14UP02F3I</t>
  </si>
  <si>
    <t>W14UP02F4I</t>
  </si>
  <si>
    <t>W14UP03F3I</t>
  </si>
  <si>
    <t>W14UP03F4I</t>
  </si>
  <si>
    <t>W14UP04F3I</t>
  </si>
  <si>
    <t>W14UT07B3G</t>
  </si>
  <si>
    <t>TSHIRT WIDE EAGLE</t>
  </si>
  <si>
    <t>W14UT08B8G</t>
  </si>
  <si>
    <t>JUST BE TRUE FLEECE SHORT</t>
  </si>
  <si>
    <t>W14UT11B3G</t>
  </si>
  <si>
    <t>W14UT12B3G</t>
  </si>
  <si>
    <t>BOXY LA CREW NECK TEE</t>
  </si>
  <si>
    <t>W14UT13B3G</t>
  </si>
  <si>
    <t>W14UT14C2I</t>
  </si>
  <si>
    <t>CALISTA CREW NECK TEE</t>
  </si>
  <si>
    <t>W14UT15B8G</t>
  </si>
  <si>
    <t>W14UT20C1G</t>
  </si>
  <si>
    <t>W14UT21B3G</t>
  </si>
  <si>
    <t>W14XD07C6I</t>
  </si>
  <si>
    <t>W14XD12C6I</t>
  </si>
  <si>
    <t>W14YD21F2I</t>
  </si>
  <si>
    <t>EM44</t>
  </si>
  <si>
    <t>EM44 NEW RADIANT</t>
  </si>
  <si>
    <t>W14YD21P6I</t>
  </si>
  <si>
    <t>W14YD21P7I</t>
  </si>
  <si>
    <t>ED61</t>
  </si>
  <si>
    <t>ED61 COADED JACQ</t>
  </si>
  <si>
    <t>W14YP21P5I</t>
  </si>
  <si>
    <t>W15SB06C1G</t>
  </si>
  <si>
    <t>W15SB10B9G</t>
  </si>
  <si>
    <t>W15SB13C1G</t>
  </si>
  <si>
    <t>BIKER W/BACKSIDE LA CRACK PRNT</t>
  </si>
  <si>
    <t>W15SD03A4I</t>
  </si>
  <si>
    <t>EM52</t>
  </si>
  <si>
    <t>EM52 RUFFLED BLU</t>
  </si>
  <si>
    <t>W15SD03C7I</t>
  </si>
  <si>
    <t>ED71</t>
  </si>
  <si>
    <t>ED71 DARK RINSE</t>
  </si>
  <si>
    <t>EM51</t>
  </si>
  <si>
    <t>EM51 AGED INDIGO</t>
  </si>
  <si>
    <t>EM53</t>
  </si>
  <si>
    <t>EM53 RIDDLE BLUE</t>
  </si>
  <si>
    <t>W15SD03Q4I</t>
  </si>
  <si>
    <t>ED72</t>
  </si>
  <si>
    <t>ED72 SIXTIES</t>
  </si>
  <si>
    <t>W15SD03Q5I</t>
  </si>
  <si>
    <t>EL22</t>
  </si>
  <si>
    <t>EL22 SUMMER CLDS</t>
  </si>
  <si>
    <t>EL25</t>
  </si>
  <si>
    <t>EL25 NW SMR CLDS</t>
  </si>
  <si>
    <t>W15SD03Q8I</t>
  </si>
  <si>
    <t>E450</t>
  </si>
  <si>
    <t>E450 OCHRE</t>
  </si>
  <si>
    <t>E817</t>
  </si>
  <si>
    <t>E817 CLEAR BLUE</t>
  </si>
  <si>
    <t>E822</t>
  </si>
  <si>
    <t>E822 SKY BLUE</t>
  </si>
  <si>
    <t>ET39</t>
  </si>
  <si>
    <t>ET39 PEARLY</t>
  </si>
  <si>
    <t>W15SD16A4I</t>
  </si>
  <si>
    <t>W15SD16C7I</t>
  </si>
  <si>
    <t>W15SD16Q4I</t>
  </si>
  <si>
    <t>W15SD16Q7I</t>
  </si>
  <si>
    <t>EL20</t>
  </si>
  <si>
    <t>EL20 SNOW WASH</t>
  </si>
  <si>
    <t>W15SD16Q9I</t>
  </si>
  <si>
    <t>ED74</t>
  </si>
  <si>
    <t>ED74 NEW MOVEMNT</t>
  </si>
  <si>
    <t>W15SD17A4I</t>
  </si>
  <si>
    <t>W15SD17C7I</t>
  </si>
  <si>
    <t>ER03</t>
  </si>
  <si>
    <t>ER03 COOLING RPS</t>
  </si>
  <si>
    <t>W15SD17F2I</t>
  </si>
  <si>
    <t>EL21</t>
  </si>
  <si>
    <t>EL21 FLUFFY CLDS</t>
  </si>
  <si>
    <t>W15SD17Q6I</t>
  </si>
  <si>
    <t>EM54</t>
  </si>
  <si>
    <t>EM54 NIGHT PRTY</t>
  </si>
  <si>
    <t>W15SD17Q8I</t>
  </si>
  <si>
    <t>W15SD18C7I</t>
  </si>
  <si>
    <t>W15SD18F2I</t>
  </si>
  <si>
    <t>W15SD18Q4I</t>
  </si>
  <si>
    <t>W15SD18Q5I</t>
  </si>
  <si>
    <t>W15SD19F2I</t>
  </si>
  <si>
    <t>E016</t>
  </si>
  <si>
    <t>E016 BLCK ON BLU</t>
  </si>
  <si>
    <t>E017</t>
  </si>
  <si>
    <t>E017 BLENDED BLU</t>
  </si>
  <si>
    <t>E018</t>
  </si>
  <si>
    <t>E018 DK BLUE</t>
  </si>
  <si>
    <t>ET38</t>
  </si>
  <si>
    <t>ET38 SPRING STRM</t>
  </si>
  <si>
    <t>ET40</t>
  </si>
  <si>
    <t>ET40 SPRWLNG BLU</t>
  </si>
  <si>
    <t>W15SD20F2I</t>
  </si>
  <si>
    <t>E015</t>
  </si>
  <si>
    <t>E015 BLUE ON BLUE</t>
  </si>
  <si>
    <t>W15SD20Q5I</t>
  </si>
  <si>
    <t>E014</t>
  </si>
  <si>
    <t>E014 BLENDED RED</t>
  </si>
  <si>
    <t>ET37</t>
  </si>
  <si>
    <t>ET37 SUMMER FLMS</t>
  </si>
  <si>
    <t>W15SD20Q6I</t>
  </si>
  <si>
    <t>W15SD20Q7I</t>
  </si>
  <si>
    <t>W15SD21C7I</t>
  </si>
  <si>
    <t>W15SD21F2I</t>
  </si>
  <si>
    <t>W15SD21Q4I</t>
  </si>
  <si>
    <t>MID RISE SUPER SKINNY</t>
  </si>
  <si>
    <t>W15SD21Q9I</t>
  </si>
  <si>
    <t>W15SE07B6G</t>
  </si>
  <si>
    <t>LEATHER SHIRT</t>
  </si>
  <si>
    <t>W15SF03E7G</t>
  </si>
  <si>
    <t>W15SF08E8G</t>
  </si>
  <si>
    <t>TRUE 71 HOODED ZIP JACKET</t>
  </si>
  <si>
    <t>W15SF09B8G</t>
  </si>
  <si>
    <t>W15SF10C8G</t>
  </si>
  <si>
    <t>ZIPPER PANT</t>
  </si>
  <si>
    <t>W15SF15B8G</t>
  </si>
  <si>
    <t>TRUE 71 PANT</t>
  </si>
  <si>
    <t>W15SF18B8G</t>
  </si>
  <si>
    <t>CREW SWEAT</t>
  </si>
  <si>
    <t>W15SF21C8G</t>
  </si>
  <si>
    <t>LA CALIFORNIA PANT</t>
  </si>
  <si>
    <t>W15SF32C8G</t>
  </si>
  <si>
    <t>LA CALIFORNIA ZIPPER PANT</t>
  </si>
  <si>
    <t>W15SH01C7I</t>
  </si>
  <si>
    <t>LAUREN BOYFIT SHORT</t>
  </si>
  <si>
    <t>W15SH01Q5I</t>
  </si>
  <si>
    <t>W15SH03Q5I</t>
  </si>
  <si>
    <t>W15SH03Q7I</t>
  </si>
  <si>
    <t>W15SJ01Q4I</t>
  </si>
  <si>
    <t>W15SJ01Q9I</t>
  </si>
  <si>
    <t>W15SJ12C7I</t>
  </si>
  <si>
    <t>KIM RAW CUT VEST</t>
  </si>
  <si>
    <t>W15SJ12Q8I</t>
  </si>
  <si>
    <t>W15SL11C1G</t>
  </si>
  <si>
    <t>FUNNEL JKT W/STAR PRNT &amp; 71 AP</t>
  </si>
  <si>
    <t>W15SQ02D7G</t>
  </si>
  <si>
    <t>LIGHT WEIGHT DOWN  JACKET</t>
  </si>
  <si>
    <t>DUSTY BLUE</t>
  </si>
  <si>
    <t>ROSE</t>
  </si>
  <si>
    <t>W15SS01L3I</t>
  </si>
  <si>
    <t>ED73</t>
  </si>
  <si>
    <t>ED73 DAILY SHIRT</t>
  </si>
  <si>
    <t>W15SS01L4I</t>
  </si>
  <si>
    <t>EL19</t>
  </si>
  <si>
    <t>EL19 LIGHT MRBLD</t>
  </si>
  <si>
    <t>W15SS10C4G</t>
  </si>
  <si>
    <t>LA CALIF CREW WINGS SWEATER</t>
  </si>
  <si>
    <t>W15SS11C4G</t>
  </si>
  <si>
    <t>TRUE 71 CREW WINGS SWEATER</t>
  </si>
  <si>
    <t>W15ST02E7G</t>
  </si>
  <si>
    <t>BOXY CREW T</t>
  </si>
  <si>
    <t>W15ST04E7G</t>
  </si>
  <si>
    <t>CREW T</t>
  </si>
  <si>
    <t>W15ST05E7G</t>
  </si>
  <si>
    <t>W15ST06E7G</t>
  </si>
  <si>
    <t>TOP</t>
  </si>
  <si>
    <t>W15ST07C1G</t>
  </si>
  <si>
    <t>HORSESHOE RHINESTONES PANT</t>
  </si>
  <si>
    <t>W15ST12E7G</t>
  </si>
  <si>
    <t>W15ST13E7G</t>
  </si>
  <si>
    <t>V NECK T</t>
  </si>
  <si>
    <t>W15ST14E7G</t>
  </si>
  <si>
    <t>BUTTON FLY T WINGS</t>
  </si>
  <si>
    <t>W15ST16E8G</t>
  </si>
  <si>
    <t>W15ST17E7G</t>
  </si>
  <si>
    <t>RELAX CREW T 3/4 SLEEVE</t>
  </si>
  <si>
    <t>W15ST20C9G</t>
  </si>
  <si>
    <t>W15ST22E8G</t>
  </si>
  <si>
    <t>CREW T LONG SLEEVE WINGS</t>
  </si>
  <si>
    <t>W15ST23E8G</t>
  </si>
  <si>
    <t>CREW T RELAX WINGS</t>
  </si>
  <si>
    <t>W15ST24E8G</t>
  </si>
  <si>
    <t>W15ST25E8G</t>
  </si>
  <si>
    <t>W15ST26E8G</t>
  </si>
  <si>
    <t>W15ST27E8G</t>
  </si>
  <si>
    <t>T RELAX</t>
  </si>
  <si>
    <t>W15ST28E8G</t>
  </si>
  <si>
    <t>V NECK RELAX T</t>
  </si>
  <si>
    <t>W15ST29E8G</t>
  </si>
  <si>
    <t>CREW RELAX T W/ CHESTPOCKET</t>
  </si>
  <si>
    <t>W15ST30E8G</t>
  </si>
  <si>
    <t>W15ST31E8G</t>
  </si>
  <si>
    <t>BUTTON FLY T LONG SLEEVE</t>
  </si>
  <si>
    <t>W15ST33E8G</t>
  </si>
  <si>
    <t>BASEBALL T RELAX VOILE</t>
  </si>
  <si>
    <t>W15ST34E8G</t>
  </si>
  <si>
    <t>W15ST38E8G</t>
  </si>
  <si>
    <t>TRUE 71 T RELAX</t>
  </si>
  <si>
    <t>W15SV01D7G</t>
  </si>
  <si>
    <t>LIGHT WEIGHT DOWN VEST</t>
  </si>
  <si>
    <t>W15SV05C1G</t>
  </si>
  <si>
    <t>VEST W/ FRINGES</t>
  </si>
  <si>
    <t>W15SW01L3I</t>
  </si>
  <si>
    <t>W15SW01L4I</t>
  </si>
  <si>
    <t>W15UD03A4I</t>
  </si>
  <si>
    <t>GRACE SLOUTCHY SKINNY</t>
  </si>
  <si>
    <t>EL24</t>
  </si>
  <si>
    <t>EL24 CUT-OFF</t>
  </si>
  <si>
    <t>EM61</t>
  </si>
  <si>
    <t>EM61 LA BLUE</t>
  </si>
  <si>
    <t>W15UD03R1I</t>
  </si>
  <si>
    <t>ED75</t>
  </si>
  <si>
    <t>ED75 BLUESHINE</t>
  </si>
  <si>
    <t>W15UD03R3I</t>
  </si>
  <si>
    <t>ED81</t>
  </si>
  <si>
    <t>ED81 GREY CUT-OFF</t>
  </si>
  <si>
    <t>ED82</t>
  </si>
  <si>
    <t>ED82 BLACK DROP</t>
  </si>
  <si>
    <t>W15UD16R1I</t>
  </si>
  <si>
    <t>VICTORIA MID RSE SKNY CIGARTTE</t>
  </si>
  <si>
    <t>W15UD16R3I</t>
  </si>
  <si>
    <t>VICTORIA MID RSE SKINY CIGRETE</t>
  </si>
  <si>
    <t>W15UD16R4I</t>
  </si>
  <si>
    <t>VICTORIA MID RISE SKNY CGARETE</t>
  </si>
  <si>
    <t>EM56</t>
  </si>
  <si>
    <t>EM56 BLUE BUILDR</t>
  </si>
  <si>
    <t>W15UD17R4I</t>
  </si>
  <si>
    <t>EM58</t>
  </si>
  <si>
    <t>EM58 MALIBLUE</t>
  </si>
  <si>
    <t>W15UD18A4I</t>
  </si>
  <si>
    <t>ED80</t>
  </si>
  <si>
    <t>ED80 POINT BREAK</t>
  </si>
  <si>
    <t>W15UD20R3I</t>
  </si>
  <si>
    <t>W15UD20R6I</t>
  </si>
  <si>
    <t>ED86</t>
  </si>
  <si>
    <t>ED86 ONLY BLUES</t>
  </si>
  <si>
    <t>W15UD21R1I</t>
  </si>
  <si>
    <t>W15UD21R4I</t>
  </si>
  <si>
    <t>W15UD23R6I</t>
  </si>
  <si>
    <t>CORA W/FLAPS MID RISE STRAIGHT</t>
  </si>
  <si>
    <t>W15UD24A4I</t>
  </si>
  <si>
    <t>NU BOY NEW BOYFRIEND</t>
  </si>
  <si>
    <t>W15UD25A4I</t>
  </si>
  <si>
    <t>BECCA TWISTD SEAM MIDRISE BCUT</t>
  </si>
  <si>
    <t>W15UD25R1I</t>
  </si>
  <si>
    <t>BECCA TWSTD SEAM M RIS  BOOT C</t>
  </si>
  <si>
    <t>W15UD25R3I</t>
  </si>
  <si>
    <t>BECCA TWITED SEM M RSE BOOTCUT</t>
  </si>
  <si>
    <t>W15UD25R4I</t>
  </si>
  <si>
    <t>BECCA TSTED SEM MD RSE BOOTCUT</t>
  </si>
  <si>
    <t>W15UD27R4I</t>
  </si>
  <si>
    <t>CASEY CROPPED LOW RSE SPR SKNY</t>
  </si>
  <si>
    <t>W15UG01F3I</t>
  </si>
  <si>
    <t>ET42</t>
  </si>
  <si>
    <t>ET42 PEARL SNLTY</t>
  </si>
  <si>
    <t>W15UG01R3I</t>
  </si>
  <si>
    <t>W15UG01R4I</t>
  </si>
  <si>
    <t>W15UH04A4I</t>
  </si>
  <si>
    <t>KEIRA SHORT</t>
  </si>
  <si>
    <t>W15UJ01A4I</t>
  </si>
  <si>
    <t>ED79</t>
  </si>
  <si>
    <t>ED79 BLACKSHINE</t>
  </si>
  <si>
    <t>W15UT15B8G</t>
  </si>
  <si>
    <t>W15UW12M9I</t>
  </si>
  <si>
    <t>GEORGIA NEW WESTERN SHIRT</t>
  </si>
  <si>
    <t>ED88</t>
  </si>
  <si>
    <t>ED88 2TONES</t>
  </si>
  <si>
    <t>EM60</t>
  </si>
  <si>
    <t>EM60 GREY TONIC</t>
  </si>
  <si>
    <t>W176L79EG</t>
  </si>
  <si>
    <t>MOTO PANT - WOMENS</t>
  </si>
  <si>
    <t>W179U76IK</t>
  </si>
  <si>
    <t>SERAPE PRINT KNIT JACKET</t>
  </si>
  <si>
    <t>W19BL67E99</t>
  </si>
  <si>
    <t>LS WSTRN SHRT PAVE SNAPS</t>
  </si>
  <si>
    <t>W1CA933B93</t>
  </si>
  <si>
    <t>DOUBLE PUFF LOGO VNECK TEE</t>
  </si>
  <si>
    <t>W1MA653IK</t>
  </si>
  <si>
    <t>POP OVER PINTUCK TUNIC</t>
  </si>
  <si>
    <t>W1NA620IK</t>
  </si>
  <si>
    <t>GEORGIA LS WESTERN SHIRT</t>
  </si>
  <si>
    <t>2S IRON</t>
  </si>
  <si>
    <t>W1PA634KH7</t>
  </si>
  <si>
    <t>FLORAL ALL OVER VNECK TEE</t>
  </si>
  <si>
    <t>W1XA836IK</t>
  </si>
  <si>
    <t>SOFT IVORY</t>
  </si>
  <si>
    <t>DEEP SPACE</t>
  </si>
  <si>
    <t>W1YA745IK</t>
  </si>
  <si>
    <t>GEORGIA WOVEN SHIRT</t>
  </si>
  <si>
    <t>PINK GARDEN</t>
  </si>
  <si>
    <t>W20B045LY6</t>
  </si>
  <si>
    <t>GEORGIA WSTRN SHRT PATCH LASER</t>
  </si>
  <si>
    <t>BSSM INDIGO</t>
  </si>
  <si>
    <t>W20V58DG2</t>
  </si>
  <si>
    <t>GEORGIA PREMIUM L/S SHIRT</t>
  </si>
  <si>
    <t>W24P66M65</t>
  </si>
  <si>
    <t>JOHNNY SNAKE EYES WOMENS JEAN</t>
  </si>
  <si>
    <t>W24P67M65</t>
  </si>
  <si>
    <t>BOBBY SNAKE EYES WOMENS JEAN</t>
  </si>
  <si>
    <t>W24P68M65</t>
  </si>
  <si>
    <t>LISA SNAKE EYES CROPPED BOYFRI</t>
  </si>
  <si>
    <t>W24P70M65</t>
  </si>
  <si>
    <t>JOEY SNAKE EYES CUT OFF WOMENS</t>
  </si>
  <si>
    <t>W2BA132IK</t>
  </si>
  <si>
    <t>BEADED TANK</t>
  </si>
  <si>
    <t>W2DA912LM4</t>
  </si>
  <si>
    <t>HALLE W FLAPS MID SKNNY 30 IN</t>
  </si>
  <si>
    <t>09 VNTGE OXBLOOD</t>
  </si>
  <si>
    <t>W2G564OM</t>
  </si>
  <si>
    <t>BOOTCUT WFLPS BASIC OLD MULTI</t>
  </si>
  <si>
    <t>W2G564QK2</t>
  </si>
  <si>
    <t>BOOTCUT WFLPS LEATHER VEGAN</t>
  </si>
  <si>
    <t>CBWD</t>
  </si>
  <si>
    <t>CBWD DK LTHR WSH</t>
  </si>
  <si>
    <t>W2G592SY9M</t>
  </si>
  <si>
    <t>SKINNY BASIC RED ORANGE</t>
  </si>
  <si>
    <t>W2G599STSM</t>
  </si>
  <si>
    <t>SKINNY WFLPS NATURAL</t>
  </si>
  <si>
    <t>W2G599SY9M</t>
  </si>
  <si>
    <t>SKINNY WFLP BASIC RED ORANGE</t>
  </si>
  <si>
    <t>W2GC100OM</t>
  </si>
  <si>
    <t>SLIM STRGHT WFLP BASIC OM</t>
  </si>
  <si>
    <t>W2GC100TS</t>
  </si>
  <si>
    <t>SLIM STRGHT WFLP NATURAL SN</t>
  </si>
  <si>
    <t>W2JA807KI3</t>
  </si>
  <si>
    <t>MIA HIGH THIGH MINI BLCK COTED</t>
  </si>
  <si>
    <t>BHOD</t>
  </si>
  <si>
    <t>BHOD OIL SLICK</t>
  </si>
  <si>
    <t>W2JA988LS7</t>
  </si>
  <si>
    <t>HALLE SUPER SKINNY COATED NGHT</t>
  </si>
  <si>
    <t>BTHD</t>
  </si>
  <si>
    <t>BTHD COATED NGHT</t>
  </si>
  <si>
    <t>W2JA989LS7</t>
  </si>
  <si>
    <t>CHLOE PENCL SKIRT COATED NIGHT</t>
  </si>
  <si>
    <t>W2JA990LS7</t>
  </si>
  <si>
    <t>DUSTY WESTERN JACKET CTD NGHT</t>
  </si>
  <si>
    <t>W2KA597KE7</t>
  </si>
  <si>
    <t>BRSHSTKE TRU GRFITI CREW NCK T</t>
  </si>
  <si>
    <t>W2KA597LV0</t>
  </si>
  <si>
    <t>CRAFTED WITH PRIDE CREW NECK T</t>
  </si>
  <si>
    <t>BJYL BLACK</t>
  </si>
  <si>
    <t>BJYL NIGHT HAZE</t>
  </si>
  <si>
    <t>BJYL BORDEAUX</t>
  </si>
  <si>
    <t>09 TANGO RED</t>
  </si>
  <si>
    <t>W2KA597LV4</t>
  </si>
  <si>
    <t>BIG SUR CREW NK EMBROIDERED SS</t>
  </si>
  <si>
    <t>09 DUSTY ROSE</t>
  </si>
  <si>
    <t>W2KA597LV7</t>
  </si>
  <si>
    <t>WILDERNESS CREW NCK GRAPHIC SS</t>
  </si>
  <si>
    <t>W2KA626EG</t>
  </si>
  <si>
    <t>SLEEVELESS SCOOP TANK</t>
  </si>
  <si>
    <t>GRIFFIN</t>
  </si>
  <si>
    <t>PETAL PINK</t>
  </si>
  <si>
    <t>W2KA633EG</t>
  </si>
  <si>
    <t>TWISTED RACERBACK TANK</t>
  </si>
  <si>
    <t>W2KA634JC1</t>
  </si>
  <si>
    <t>RELAXED VNECK W/ HRSSHOE PRINT</t>
  </si>
  <si>
    <t>SANDSTONE</t>
  </si>
  <si>
    <t>W2KA634LV1</t>
  </si>
  <si>
    <t>ANTLERS RELAXED GRAPHIC VNCK</t>
  </si>
  <si>
    <t>W2KA634LV2</t>
  </si>
  <si>
    <t>TRU RELAXED VNK W FAGGOTING</t>
  </si>
  <si>
    <t>W2KA951KH2</t>
  </si>
  <si>
    <t>TRDTNL TRU FLRL MUSCLE TEE</t>
  </si>
  <si>
    <t>W2KA972EG</t>
  </si>
  <si>
    <t>ROLLED SLV FASHION HENLEY</t>
  </si>
  <si>
    <t>09 SKULL</t>
  </si>
  <si>
    <t>W2KB054LV3</t>
  </si>
  <si>
    <t>TR FLORAL SKULL RLLED CREW TEE</t>
  </si>
  <si>
    <t>W2KC037QV9</t>
  </si>
  <si>
    <t>W2KC096NZ1</t>
  </si>
  <si>
    <t>SLIM TANK ARROW</t>
  </si>
  <si>
    <t>W2LA616EG</t>
  </si>
  <si>
    <t>BIRKIN WOVEN SHIRT</t>
  </si>
  <si>
    <t>W2MA644EG</t>
  </si>
  <si>
    <t>LINEN CARGO PANT</t>
  </si>
  <si>
    <t>AXO BLACK</t>
  </si>
  <si>
    <t>AXO WHITE</t>
  </si>
  <si>
    <t>MOUSEY BROWN</t>
  </si>
  <si>
    <t>W2MA645EG</t>
  </si>
  <si>
    <t>LINEN CARGO SHORT</t>
  </si>
  <si>
    <t>W2QA667JL5</t>
  </si>
  <si>
    <t>AURORA SKINNY 29'' BLACK PONTE</t>
  </si>
  <si>
    <t>W2QA853JL5</t>
  </si>
  <si>
    <t>HALLE SPR SKINNY BLACK PONTE</t>
  </si>
  <si>
    <t>W2RA956LN2</t>
  </si>
  <si>
    <t>DEMI SKINNY FAUX LTHR W/PONTE</t>
  </si>
  <si>
    <t>BLACK / BLACK</t>
  </si>
  <si>
    <t>W2SA821LN0</t>
  </si>
  <si>
    <t>VICTORIA VINTAGE COATED SKINNY</t>
  </si>
  <si>
    <t>BQRD</t>
  </si>
  <si>
    <t>BQRD GLOWNG MOON</t>
  </si>
  <si>
    <t>W2SA821LN1</t>
  </si>
  <si>
    <t>BQSL</t>
  </si>
  <si>
    <t>BQSL FOLLOWNG LT</t>
  </si>
  <si>
    <t>W2SA912JG0</t>
  </si>
  <si>
    <t>HALLE SUPER SKINNY FLAP 30 IN</t>
  </si>
  <si>
    <t>BMKD</t>
  </si>
  <si>
    <t>BMKD PAINFUL LVE</t>
  </si>
  <si>
    <t>W2SA912KT8</t>
  </si>
  <si>
    <t>BPEM</t>
  </si>
  <si>
    <t>BPEM LVE NO LESS</t>
  </si>
  <si>
    <t>W2SA912NR2</t>
  </si>
  <si>
    <t>HALLE SUPER SKINNY CORE</t>
  </si>
  <si>
    <t>W2SA914NR2</t>
  </si>
  <si>
    <t>W2SA945KT8</t>
  </si>
  <si>
    <t>CASEY SUPER SKINNY CORE</t>
  </si>
  <si>
    <t>W2SA945LN1</t>
  </si>
  <si>
    <t>CASEY VINTAGE COATED SKINNY</t>
  </si>
  <si>
    <t>W2SA945LU4</t>
  </si>
  <si>
    <t>CASEY SUPER SKINNY GREAT JRNEY</t>
  </si>
  <si>
    <t>W2SA966LT2</t>
  </si>
  <si>
    <t>HALLE SUPER SKINNY MOTO COATNG</t>
  </si>
  <si>
    <t>W2SA999JG0</t>
  </si>
  <si>
    <t>HALLE SUPER SKINNY 30 IN</t>
  </si>
  <si>
    <t>BHUD</t>
  </si>
  <si>
    <t>BHUD KEPT PRMSES</t>
  </si>
  <si>
    <t>W2SA999LR9</t>
  </si>
  <si>
    <t>HALLE SKINNY METALLIC COATED</t>
  </si>
  <si>
    <t>BTL BLACK</t>
  </si>
  <si>
    <t>BTL PEWTER</t>
  </si>
  <si>
    <t>BTL GUNMETAL</t>
  </si>
  <si>
    <t>BTL SILVER</t>
  </si>
  <si>
    <t>BTL COPPER</t>
  </si>
  <si>
    <t>W2SB072MC2</t>
  </si>
  <si>
    <t>AVA SPR HGH RSE WDE LEG MDNGHT</t>
  </si>
  <si>
    <t>W2SB086MC2</t>
  </si>
  <si>
    <t>HALLE HIGH RISE SPR SKNY MDNGT</t>
  </si>
  <si>
    <t>W2TA620JL2</t>
  </si>
  <si>
    <t>GEORGIA WESTERN SHIRT CORE</t>
  </si>
  <si>
    <t>BKVM</t>
  </si>
  <si>
    <t>BKVM SPIRIT BIRD</t>
  </si>
  <si>
    <t>W2TA620LO2</t>
  </si>
  <si>
    <t>BJYL</t>
  </si>
  <si>
    <t>BJYL INDIGO</t>
  </si>
  <si>
    <t>W2TA956LN3</t>
  </si>
  <si>
    <t>GREY / BLACK</t>
  </si>
  <si>
    <t>W2YA794IK</t>
  </si>
  <si>
    <t>MIXED SLEEVELESS WOVEN SHIRT</t>
  </si>
  <si>
    <t>BLUE COAL DOT</t>
  </si>
  <si>
    <t>W32A027EH6</t>
  </si>
  <si>
    <t>HARTLEY BLAZER BLACK SMOKE</t>
  </si>
  <si>
    <t>AVKD</t>
  </si>
  <si>
    <t>AVKD BLACK SMOKE</t>
  </si>
  <si>
    <t>W32A044EH5</t>
  </si>
  <si>
    <t>CASEY SUPER SKINNY BLACK SMOKE</t>
  </si>
  <si>
    <t>W32A046EH5</t>
  </si>
  <si>
    <t>BILLY STRAIGHT BLACK SMOKE</t>
  </si>
  <si>
    <t>W32A047EH5</t>
  </si>
  <si>
    <t>MIA HIGH THIGH BLACK SMOKE</t>
  </si>
  <si>
    <t>W32A555IH5</t>
  </si>
  <si>
    <t>TAWNY SKINNY CROP NIGHT KISS</t>
  </si>
  <si>
    <t>W32A915LT2</t>
  </si>
  <si>
    <t>AUDREY BOYFRIEND EMBELLISHED</t>
  </si>
  <si>
    <t>BTYD</t>
  </si>
  <si>
    <t>BTYD NECROPOLIS</t>
  </si>
  <si>
    <t>W32A966LW8</t>
  </si>
  <si>
    <t>HALLE SUPER SKINNY MOTO</t>
  </si>
  <si>
    <t>BTRM</t>
  </si>
  <si>
    <t>BTRM MSS OBSTRCTN</t>
  </si>
  <si>
    <t>W32A985LS6</t>
  </si>
  <si>
    <t>HALLE SUPER SKINNY</t>
  </si>
  <si>
    <t>BTGD</t>
  </si>
  <si>
    <t>BTGD BRICK STREET</t>
  </si>
  <si>
    <t>W32A986LS6</t>
  </si>
  <si>
    <t>BECCA MICRO BOOT BSEBLL CNSTCT</t>
  </si>
  <si>
    <t>W32A987LS6</t>
  </si>
  <si>
    <t>W32A992LS9</t>
  </si>
  <si>
    <t>HALLE SUPER SKINNY BLACK POISN</t>
  </si>
  <si>
    <t>BTJD</t>
  </si>
  <si>
    <t>BTJD POISND DSRE</t>
  </si>
  <si>
    <t>W32A993LT6</t>
  </si>
  <si>
    <t>CASEY SUPER SKINNY TONE ON TNE</t>
  </si>
  <si>
    <t>W33A405EY8</t>
  </si>
  <si>
    <t>ABBEY BLUE ROOTS SUPER SKINNY</t>
  </si>
  <si>
    <t>W33A406EY8</t>
  </si>
  <si>
    <t>JUDE BLUE ROOTS SKINNY</t>
  </si>
  <si>
    <t>W37A061EI5</t>
  </si>
  <si>
    <t>EDIE PONTE TWISTED SKINNY</t>
  </si>
  <si>
    <t>W37A111EI5</t>
  </si>
  <si>
    <t>CHRISSY PONTE SKINNY</t>
  </si>
  <si>
    <t>W37A182EI5</t>
  </si>
  <si>
    <t>CHRISSY SUPER SKINNY PONT COAT</t>
  </si>
  <si>
    <t>ARYD BLACK MIDNIGHT</t>
  </si>
  <si>
    <t>W37A263EI5</t>
  </si>
  <si>
    <t>W3DA957LL8</t>
  </si>
  <si>
    <t>ARYA FIVE POCKET JOG PANT</t>
  </si>
  <si>
    <t>W3DA958LL8</t>
  </si>
  <si>
    <t>ARYA CROP JOG PANT</t>
  </si>
  <si>
    <t>W3G592SQK0</t>
  </si>
  <si>
    <t>SKINNY CRYSTAL LOGO</t>
  </si>
  <si>
    <t>1V</t>
  </si>
  <si>
    <t>1V SUPER VIXEN</t>
  </si>
  <si>
    <t>W3G592STS</t>
  </si>
  <si>
    <t>SKINNY PREM BSC NATURAL</t>
  </si>
  <si>
    <t>W3GQ70TSM</t>
  </si>
  <si>
    <t>BASIC JACKET NATURAL</t>
  </si>
  <si>
    <t>W3JA999NQ3</t>
  </si>
  <si>
    <t>BIDD</t>
  </si>
  <si>
    <t>BIDD PROSPER NOW</t>
  </si>
  <si>
    <t>W3JB069MC7</t>
  </si>
  <si>
    <t>HALLE SUPER SKINNY METLC PTCHD</t>
  </si>
  <si>
    <t>W3KA625JC0</t>
  </si>
  <si>
    <t>ARROW GRAPHIC OVRSZD DOLMAN T</t>
  </si>
  <si>
    <t>W3KA657JC4</t>
  </si>
  <si>
    <t>THIS IS TRUE MUSCLE TEE</t>
  </si>
  <si>
    <t>W3MA942LM1</t>
  </si>
  <si>
    <t>CASEY SUPER SKINNY PYTHON</t>
  </si>
  <si>
    <t>W3QA869JG2</t>
  </si>
  <si>
    <t>VICTORIA SKINNY HNDSTOOTH PRNT</t>
  </si>
  <si>
    <t>BHS HOUNDSTOOTH</t>
  </si>
  <si>
    <t>W3SA729JF5</t>
  </si>
  <si>
    <t>NIKKI MICRO BOOT NVR GNG BACK</t>
  </si>
  <si>
    <t>BJKM</t>
  </si>
  <si>
    <t>BJKM CNT LVE WTHT</t>
  </si>
  <si>
    <t>W3SA841JF5</t>
  </si>
  <si>
    <t>HALLE SUPER SKINNY NVR GNG BAK</t>
  </si>
  <si>
    <t>W3SA898JE7</t>
  </si>
  <si>
    <t>DUSTY WESTERN JACKET BE QUIET</t>
  </si>
  <si>
    <t>BCMM</t>
  </si>
  <si>
    <t>BCMM BE QUIET</t>
  </si>
  <si>
    <t>W3SA915LR7</t>
  </si>
  <si>
    <t>AUDREY BOYFRIEND PETREL BLUE</t>
  </si>
  <si>
    <t>BTCM</t>
  </si>
  <si>
    <t>BTCM PETREL BLUE</t>
  </si>
  <si>
    <t>W3SA945LR7</t>
  </si>
  <si>
    <t>CASEY SUPER SKINNY PETREL BLUE</t>
  </si>
  <si>
    <t>W3SA966LW9</t>
  </si>
  <si>
    <t>HALLE MOTO SKINNY MOTO COATING</t>
  </si>
  <si>
    <t>BTSM</t>
  </si>
  <si>
    <t>BTSM REBL BLEACH</t>
  </si>
  <si>
    <t>W3SA996MA8</t>
  </si>
  <si>
    <t>BECCA BOOTCUT NAVY SUPER T</t>
  </si>
  <si>
    <t>BHND</t>
  </si>
  <si>
    <t>BHND STRMY NIGHT</t>
  </si>
  <si>
    <t>BHYM</t>
  </si>
  <si>
    <t>BHYM NVR GNG BCK</t>
  </si>
  <si>
    <t>W3SB060MA8</t>
  </si>
  <si>
    <t>HALLE SUPER SKINNY NAVY SUPR T</t>
  </si>
  <si>
    <t>W3SB064LR7</t>
  </si>
  <si>
    <t>CASSIE ROLLED SHORT PTRL BLUE</t>
  </si>
  <si>
    <t>W3SZ37LR7</t>
  </si>
  <si>
    <t>DUSTY WESTERN JCKT PETREL BLUE</t>
  </si>
  <si>
    <t>W3YA790IK</t>
  </si>
  <si>
    <t>FLIGHT JACKET</t>
  </si>
  <si>
    <t>W3ZA620LO2</t>
  </si>
  <si>
    <t>BASEBALL GEORGIA LS WESTERN</t>
  </si>
  <si>
    <t>BQT BLACK</t>
  </si>
  <si>
    <t>BQT WINTER WHITE</t>
  </si>
  <si>
    <t>BQT CRANBERRY</t>
  </si>
  <si>
    <t>W3ZA852KQ1</t>
  </si>
  <si>
    <t>HALLE SUPER SKINNY LITTLE FOOL</t>
  </si>
  <si>
    <t>BHW WRPD HNDSTOH</t>
  </si>
  <si>
    <t>W3ZA959IK</t>
  </si>
  <si>
    <t>ERWIN CARGO JACKET TWILL</t>
  </si>
  <si>
    <t>BQT SURPLS OLIVE</t>
  </si>
  <si>
    <t>W40A517GE1</t>
  </si>
  <si>
    <t>CHRISY SUPR SKINNY STILL VALLY</t>
  </si>
  <si>
    <t>AYF CORIANDER</t>
  </si>
  <si>
    <t>AYF NILE BLUE</t>
  </si>
  <si>
    <t>AYF RIO RED</t>
  </si>
  <si>
    <t>AYF COCOON</t>
  </si>
  <si>
    <t>AYF DUSTY CEDAR</t>
  </si>
  <si>
    <t>W40A517IV5</t>
  </si>
  <si>
    <t>CHRISSY SUPER SKINNY STILL VAL</t>
  </si>
  <si>
    <t>AYF WHITE</t>
  </si>
  <si>
    <t>W40A570GE1</t>
  </si>
  <si>
    <t>LINDA SUPR SKINNY CROP</t>
  </si>
  <si>
    <t>W40A570IN3</t>
  </si>
  <si>
    <t>LINDA SUPER SKINNY  TOUGHT TAR</t>
  </si>
  <si>
    <t>BGW BLACK</t>
  </si>
  <si>
    <t>W40A570IV5</t>
  </si>
  <si>
    <t>W40A879IN3</t>
  </si>
  <si>
    <t>SERENA HGH RSE SPR SKINNY FLAP</t>
  </si>
  <si>
    <t>W40B069MC8</t>
  </si>
  <si>
    <t>W42A493IA5</t>
  </si>
  <si>
    <t>CHRISSY ANKL SKINNY INDO DREAM</t>
  </si>
  <si>
    <t>BBXL</t>
  </si>
  <si>
    <t>BBXL INDO DREAMS</t>
  </si>
  <si>
    <t>W42A518IA5</t>
  </si>
  <si>
    <t>LEONA ROLLED CROP INDO DREAM</t>
  </si>
  <si>
    <t>W42A945LT5</t>
  </si>
  <si>
    <t>CASEY SKINNY METALLIC COATED</t>
  </si>
  <si>
    <t>BTKM</t>
  </si>
  <si>
    <t>BTKM COLD GREY</t>
  </si>
  <si>
    <t>W42A999LT5</t>
  </si>
  <si>
    <t>HALLE SUPER SKINNY METLC COATD</t>
  </si>
  <si>
    <t>W43A021EC6</t>
  </si>
  <si>
    <t>ABBEY SUPER SKINNY BLACK WELL</t>
  </si>
  <si>
    <t>W43A081EC6</t>
  </si>
  <si>
    <t>W43A158EC6</t>
  </si>
  <si>
    <t>CHARLIE FLARE BLACK WELL</t>
  </si>
  <si>
    <t>W43A357IC5</t>
  </si>
  <si>
    <t>SAVANNAH ROLLED BERMUDA SHORT</t>
  </si>
  <si>
    <t>BCQD</t>
  </si>
  <si>
    <t>BCQD BLACK SEAS</t>
  </si>
  <si>
    <t>W43A428KT4</t>
  </si>
  <si>
    <t>BECCA BOOTCUT CORE</t>
  </si>
  <si>
    <t>BPDD</t>
  </si>
  <si>
    <t>BPDD 300AM</t>
  </si>
  <si>
    <t>W43A428KT7</t>
  </si>
  <si>
    <t>BCID</t>
  </si>
  <si>
    <t>BCID NIGHTFALL</t>
  </si>
  <si>
    <t>W43A429KT4</t>
  </si>
  <si>
    <t>CORA STRAIGHT CORE</t>
  </si>
  <si>
    <t>W43A510IC5</t>
  </si>
  <si>
    <t>MILES ROLLED SHORT BLACK SEAS</t>
  </si>
  <si>
    <t>BCRD</t>
  </si>
  <si>
    <t>BCRD BINJAI BLCK</t>
  </si>
  <si>
    <t>W43A535IB8</t>
  </si>
  <si>
    <t>JOEY CUT OFF SHORT NIGHT FALL</t>
  </si>
  <si>
    <t>W43A733KT4</t>
  </si>
  <si>
    <t>VICTORIA MIDRISESKINNY</t>
  </si>
  <si>
    <t>BHPD</t>
  </si>
  <si>
    <t>BHPD FXD TO THRL</t>
  </si>
  <si>
    <t>W43A849LT2</t>
  </si>
  <si>
    <t>JOEY SHORT EMBELLISHED</t>
  </si>
  <si>
    <t>BTUD</t>
  </si>
  <si>
    <t>BTUD FADE TO BLK</t>
  </si>
  <si>
    <t>W43A910KT4</t>
  </si>
  <si>
    <t>CORA STRAIGHT FLAP</t>
  </si>
  <si>
    <t>W43A911KT4</t>
  </si>
  <si>
    <t>VICTORIA SKINNY FLAP 31 1/2</t>
  </si>
  <si>
    <t>W43A945LT2</t>
  </si>
  <si>
    <t>CASEY SKINNY EMBELLISHED</t>
  </si>
  <si>
    <t>W43B099LS2</t>
  </si>
  <si>
    <t>HALLE SKINNY TONE ON TONE</t>
  </si>
  <si>
    <t>W44A052FB1</t>
  </si>
  <si>
    <t>JUDE SKINNY QUIET RIVER</t>
  </si>
  <si>
    <t>AYY JET</t>
  </si>
  <si>
    <t>AYY BONE</t>
  </si>
  <si>
    <t>AYY ALMOND</t>
  </si>
  <si>
    <t>AYY CAMEO</t>
  </si>
  <si>
    <t>AYY SAFFRON</t>
  </si>
  <si>
    <t>W46A041EH3</t>
  </si>
  <si>
    <t>CHARLIE FLARE MIDNIGHT FOG</t>
  </si>
  <si>
    <t>W46A042EH3</t>
  </si>
  <si>
    <t>BECKY BOOTCUT MIDNIGHT FOG</t>
  </si>
  <si>
    <t>W46A045EH3</t>
  </si>
  <si>
    <t>BILLY STRAIGHT MIDNIGHT FOG</t>
  </si>
  <si>
    <t>W46A161EH3</t>
  </si>
  <si>
    <t>CASEY SUPER SKINNY MIDNGHT FOG</t>
  </si>
  <si>
    <t>W46A428NP9</t>
  </si>
  <si>
    <t>AXDD</t>
  </si>
  <si>
    <t>AXDD PCSSOS BLUE</t>
  </si>
  <si>
    <t>W46A429LG0</t>
  </si>
  <si>
    <t>W46A494IA8</t>
  </si>
  <si>
    <t>CORA SLIM STRAIGHT SOUL EYES</t>
  </si>
  <si>
    <t>BBYL</t>
  </si>
  <si>
    <t>BBYL SOUL EYES</t>
  </si>
  <si>
    <t>W46A495IB0</t>
  </si>
  <si>
    <t>LINDA SUPER SKINNY CAPRI</t>
  </si>
  <si>
    <t>BBZL</t>
  </si>
  <si>
    <t>BBZL MOMNTS NTCE</t>
  </si>
  <si>
    <t>W46A498IB5</t>
  </si>
  <si>
    <t>NIKKI MICRO BOOT INDIGO TEARS</t>
  </si>
  <si>
    <t>BCFM</t>
  </si>
  <si>
    <t>BCFM INDGO TEARS</t>
  </si>
  <si>
    <t>W46A508IN4</t>
  </si>
  <si>
    <t>CHRISSY ANKLE SKINNY MALINKE</t>
  </si>
  <si>
    <t>BGNM</t>
  </si>
  <si>
    <t>BGNM MALINKE</t>
  </si>
  <si>
    <t>W46A516IB1</t>
  </si>
  <si>
    <t>CASSIE ROLLED SHORT</t>
  </si>
  <si>
    <t>W46A517IA8</t>
  </si>
  <si>
    <t>CHRISSY ANKLE SKINNY SOUL EYES</t>
  </si>
  <si>
    <t>W46A555IN2</t>
  </si>
  <si>
    <t>TAWNY SKINNY CROP BRISK WALK</t>
  </si>
  <si>
    <t>BGMD</t>
  </si>
  <si>
    <t>BGMD BRISK WALK</t>
  </si>
  <si>
    <t>W46A667KM1</t>
  </si>
  <si>
    <t>ARORA MID RSE STND RM ONLY</t>
  </si>
  <si>
    <t>BKPD</t>
  </si>
  <si>
    <t>BKPD STND RM ONLY</t>
  </si>
  <si>
    <t>W46A733KU8</t>
  </si>
  <si>
    <t>VICTORIA SKINNY</t>
  </si>
  <si>
    <t>BPCD</t>
  </si>
  <si>
    <t>BPCD SLPHR SPRNG</t>
  </si>
  <si>
    <t>W46A881IB0</t>
  </si>
  <si>
    <t>SERENA CROP SKINNY MOMNTS NTCE</t>
  </si>
  <si>
    <t>W46A885IN4</t>
  </si>
  <si>
    <t>VICTORIA MID RISE SKINNY MALNK</t>
  </si>
  <si>
    <t>W46A911KU7</t>
  </si>
  <si>
    <t>VICTORIA SKINNY FLAP</t>
  </si>
  <si>
    <t>BNRL</t>
  </si>
  <si>
    <t>BNRL EARTHS MSTRY</t>
  </si>
  <si>
    <t>W46A912LG0</t>
  </si>
  <si>
    <t>HALLE FLAPS MID SKINNY 30 CORE</t>
  </si>
  <si>
    <t>W46A914KU8</t>
  </si>
  <si>
    <t>BNSM</t>
  </si>
  <si>
    <t>BNSM FTHFL MSSGE</t>
  </si>
  <si>
    <t>W46A914QX5</t>
  </si>
  <si>
    <t>W46A945LG2</t>
  </si>
  <si>
    <t>CASEY LOW RISE SKINNY CORE</t>
  </si>
  <si>
    <t>W46A946LG1</t>
  </si>
  <si>
    <t>CASEY FLAP LOW SKINNY CORE</t>
  </si>
  <si>
    <t>W46A946NP9</t>
  </si>
  <si>
    <t>W46A971KU8</t>
  </si>
  <si>
    <t>BECCA PETITE MIDRISE BOOTCUT</t>
  </si>
  <si>
    <t>W46A999KU8</t>
  </si>
  <si>
    <t>W46A999LG0</t>
  </si>
  <si>
    <t>HALLE MID RISE SKINNY CORE</t>
  </si>
  <si>
    <t>BDXD</t>
  </si>
  <si>
    <t>BDXD EVNING SHDW</t>
  </si>
  <si>
    <t>W46A999LG1</t>
  </si>
  <si>
    <t>W46A999NP9</t>
  </si>
  <si>
    <t>W46C009KU8</t>
  </si>
  <si>
    <t>VICTORIA MID RISE SKINNY CORE</t>
  </si>
  <si>
    <t>W46C102NP9</t>
  </si>
  <si>
    <t>BECCA BOOT CUT PETITE CORE</t>
  </si>
  <si>
    <t>W4FA963IK</t>
  </si>
  <si>
    <t>GEORGIA LS WESTERN SHIRT DRESS</t>
  </si>
  <si>
    <t>ARL INDIGO</t>
  </si>
  <si>
    <t>W4GA620IK</t>
  </si>
  <si>
    <t>GEORGIA LS WESTERN SHIRT PLAID</t>
  </si>
  <si>
    <t>W4KA628IK</t>
  </si>
  <si>
    <t>RELAXED CREW TEE</t>
  </si>
  <si>
    <t>ROSE WINE</t>
  </si>
  <si>
    <t>W4LA642IK</t>
  </si>
  <si>
    <t>GYPSY SUNDRESS</t>
  </si>
  <si>
    <t>GYPSY FLORAL</t>
  </si>
  <si>
    <t>W4MA649IK</t>
  </si>
  <si>
    <t>LYNNE WOVEN TANK</t>
  </si>
  <si>
    <t>TEA STAINED FLRL</t>
  </si>
  <si>
    <t>W4SA733LR8</t>
  </si>
  <si>
    <t>VICTORIA SKINNY CAUGHT GLANCE</t>
  </si>
  <si>
    <t>BHLM</t>
  </si>
  <si>
    <t>BHLM CAGHT GLNCE</t>
  </si>
  <si>
    <t>W4SA910MI2</t>
  </si>
  <si>
    <t>BWJL</t>
  </si>
  <si>
    <t>BWJL SNNYNOOK DR</t>
  </si>
  <si>
    <t>W4SA911LU2</t>
  </si>
  <si>
    <t>VICTORIA SKINNY INKY SEA</t>
  </si>
  <si>
    <t>BTPM</t>
  </si>
  <si>
    <t>BTPM INKY SEA</t>
  </si>
  <si>
    <t>W4SA945NK8</t>
  </si>
  <si>
    <t>CASEY SPR SKINNY IF BY MORNING</t>
  </si>
  <si>
    <t>BTYL</t>
  </si>
  <si>
    <t>BTYL IF BY MRNNG</t>
  </si>
  <si>
    <t>BYTL</t>
  </si>
  <si>
    <t>BYTL IF BY MRNNG</t>
  </si>
  <si>
    <t>W4SA946LR8</t>
  </si>
  <si>
    <t>CASEY SKINNY CAUGHT GLANCE</t>
  </si>
  <si>
    <t>W4SA967LU3</t>
  </si>
  <si>
    <t>BAILEY SLOUCHY SKINNY MUR NIOR</t>
  </si>
  <si>
    <t>BTQM</t>
  </si>
  <si>
    <t>BTQM MUIR NIOR</t>
  </si>
  <si>
    <t>W4SA968LR8</t>
  </si>
  <si>
    <t>CHARLIZE MID RISE FLARE</t>
  </si>
  <si>
    <t>W4SA968LU2</t>
  </si>
  <si>
    <t>CHARLIZE MD RSE FLARE INKY SEA</t>
  </si>
  <si>
    <t>W4SA969LU1</t>
  </si>
  <si>
    <t>BAILEY MD RISE SHRT DENM PTCHD</t>
  </si>
  <si>
    <t>BTNM</t>
  </si>
  <si>
    <t>BTNM WNDRNG TRVR</t>
  </si>
  <si>
    <t>W4SA973LR6</t>
  </si>
  <si>
    <t>HALLE HIGH RISE SUPER SKNNY</t>
  </si>
  <si>
    <t>BTBD</t>
  </si>
  <si>
    <t>BTBD WHOLE HEART</t>
  </si>
  <si>
    <t>W4SA973NK7</t>
  </si>
  <si>
    <t>W4SA974LR6</t>
  </si>
  <si>
    <t>VCTORIA SKNY CIGRTE BSBL CNTCD</t>
  </si>
  <si>
    <t>BTAM</t>
  </si>
  <si>
    <t>BTAM VINTGE NGHT</t>
  </si>
  <si>
    <t>W4SA975LR6</t>
  </si>
  <si>
    <t>KIERA MD THGH SHRT BSBL CNSTCD</t>
  </si>
  <si>
    <t>W4SA982LS5</t>
  </si>
  <si>
    <t>HALLE SKINNY GRPHT NAVY SPR T</t>
  </si>
  <si>
    <t>W4SA983LS5</t>
  </si>
  <si>
    <t>STELLA SKINNY GPHT NAVY SUPR T</t>
  </si>
  <si>
    <t>W4SA983LT7</t>
  </si>
  <si>
    <t>STELLA SKINNY SUPER T</t>
  </si>
  <si>
    <t>W4SA984LS5</t>
  </si>
  <si>
    <t>CORA SLIM GRAPHITE NAVY SPR T</t>
  </si>
  <si>
    <t>W4SA998LU1</t>
  </si>
  <si>
    <t>DUSTY WESTERN JKT DENM PTCHED</t>
  </si>
  <si>
    <t>W4SA999MI2</t>
  </si>
  <si>
    <t>W4SB002LU3</t>
  </si>
  <si>
    <t>DUSTY VEST MUIR NIOR</t>
  </si>
  <si>
    <t>W4SB060LU7</t>
  </si>
  <si>
    <t>HALLE SPR SKINNY COAL SUPER T</t>
  </si>
  <si>
    <t>W4SB074MK1</t>
  </si>
  <si>
    <t>MID RISE HALLE SUPER SKINNY</t>
  </si>
  <si>
    <t>BVUM</t>
  </si>
  <si>
    <t>BVUM GLNDLE BLVD</t>
  </si>
  <si>
    <t>W4SB074MQ2</t>
  </si>
  <si>
    <t>HALLE SKINNY DUSTY BLEACHERS</t>
  </si>
  <si>
    <t>W4SB080ME1</t>
  </si>
  <si>
    <t>MID RISE VICTORIA SKINNY</t>
  </si>
  <si>
    <t>BVTL</t>
  </si>
  <si>
    <t>BVTL FREMONT AVE</t>
  </si>
  <si>
    <t>CBTM</t>
  </si>
  <si>
    <t>CBTM FREMONT AVE</t>
  </si>
  <si>
    <t>W4SB080MQ1</t>
  </si>
  <si>
    <t>BVRM</t>
  </si>
  <si>
    <t>BVRM CRYSTL SP DR</t>
  </si>
  <si>
    <t>W4SB083MW5</t>
  </si>
  <si>
    <t>BECCA MID RISE BOOT CUT 34</t>
  </si>
  <si>
    <t>BVWL</t>
  </si>
  <si>
    <t>BVWL GOODWIN AVE</t>
  </si>
  <si>
    <t>BWBM</t>
  </si>
  <si>
    <t>BWBM MERRICK ST</t>
  </si>
  <si>
    <t>W4SB091ME1</t>
  </si>
  <si>
    <t>CORA CROP MID RISE STRAIGHT</t>
  </si>
  <si>
    <t>W4SB092MG1</t>
  </si>
  <si>
    <t>BVKM</t>
  </si>
  <si>
    <t>BVKM BAYWOOD ST</t>
  </si>
  <si>
    <t>W4SB093MG1</t>
  </si>
  <si>
    <t>BVND</t>
  </si>
  <si>
    <t>BVND BRNSWCK AVE</t>
  </si>
  <si>
    <t>W4SB093MO4</t>
  </si>
  <si>
    <t>W4SB095MI2</t>
  </si>
  <si>
    <t>HALLE MID RISE SKINNY BLEACHED</t>
  </si>
  <si>
    <t>W4SB097MI2</t>
  </si>
  <si>
    <t>BWHM</t>
  </si>
  <si>
    <t>BWHM SANTA FE AV</t>
  </si>
  <si>
    <t>BWNL</t>
  </si>
  <si>
    <t>BWNL VLY BRNK RD</t>
  </si>
  <si>
    <t>W4SB141LT7</t>
  </si>
  <si>
    <t>BECCA BOOTCUT W FLAP SPR T</t>
  </si>
  <si>
    <t>W4SB142LU7</t>
  </si>
  <si>
    <t>CORA STRAIGHT W FLAP SPR T</t>
  </si>
  <si>
    <t>W4SB146MI2</t>
  </si>
  <si>
    <t>W4SB183NM1</t>
  </si>
  <si>
    <t>BNFD</t>
  </si>
  <si>
    <t>BNFD RVLD AFFCTN</t>
  </si>
  <si>
    <t>W4SB189MI2</t>
  </si>
  <si>
    <t>W4SB190NK7</t>
  </si>
  <si>
    <t>CORA STRAIGHT BASEBALL CONTCD</t>
  </si>
  <si>
    <t>W4SC012MI6</t>
  </si>
  <si>
    <t>CASEY SUPER SKINNY 30</t>
  </si>
  <si>
    <t>BVQL</t>
  </si>
  <si>
    <t>BVQL CONWAY PL</t>
  </si>
  <si>
    <t>W4SC012MW5</t>
  </si>
  <si>
    <t>LOW RISE CASEY SUPER SKINNY</t>
  </si>
  <si>
    <t>W4SC013MW5</t>
  </si>
  <si>
    <t>W4SC018ME1</t>
  </si>
  <si>
    <t>JOEY CUT-OFF MID RISE SHORT-F2</t>
  </si>
  <si>
    <t>W4SC018MI2</t>
  </si>
  <si>
    <t>JOEY CUT OFF SHORT BLCHD BLUES</t>
  </si>
  <si>
    <t>W4SC018MI6</t>
  </si>
  <si>
    <t>W4SC020NJ9</t>
  </si>
  <si>
    <t>SUPER T MULTI LOW RISE CASEY</t>
  </si>
  <si>
    <t>W4SC025MO9</t>
  </si>
  <si>
    <t>W4SC028MG1</t>
  </si>
  <si>
    <t>DISTRSSED &amp; DRK WASH KEIRA W/F</t>
  </si>
  <si>
    <t>W4SC031MQ2</t>
  </si>
  <si>
    <t>MID RISE HALLE SUPER SKINN F30</t>
  </si>
  <si>
    <t>W4SC082LU1</t>
  </si>
  <si>
    <t>AUDREY BOYFRIEND DENIM PATCHED</t>
  </si>
  <si>
    <t>W4SC083LU1</t>
  </si>
  <si>
    <t>VICTORIA SKINNY DENIM PATCHED</t>
  </si>
  <si>
    <t>BTOD</t>
  </si>
  <si>
    <t>BTOD FRGTTN PATH</t>
  </si>
  <si>
    <t>W4SZ37MG1</t>
  </si>
  <si>
    <t>DUSTY WESTERN FITTED JACKET</t>
  </si>
  <si>
    <t>W4SZ37MK1</t>
  </si>
  <si>
    <t>W52A343GQ5</t>
  </si>
  <si>
    <t>ERIN RELAXED OVERALL PATCHWORK</t>
  </si>
  <si>
    <t>AXUD</t>
  </si>
  <si>
    <t>AXUD LOST PRDISE</t>
  </si>
  <si>
    <t>W52A515HZ6</t>
  </si>
  <si>
    <t>VERONA FITTED VEST TNSAN TRSRE</t>
  </si>
  <si>
    <t>BCGD</t>
  </si>
  <si>
    <t>BCGD TNISN TRSURE</t>
  </si>
  <si>
    <t>W52A525IC4</t>
  </si>
  <si>
    <t>LEONA ROLLED CROP AXIL BLUE</t>
  </si>
  <si>
    <t>W52A527IB3</t>
  </si>
  <si>
    <t>RORI RELAXED STRAIGHT BRKN HRT</t>
  </si>
  <si>
    <t>BCAM</t>
  </si>
  <si>
    <t>BCAM BROKN HEART</t>
  </si>
  <si>
    <t>W52A542IC4</t>
  </si>
  <si>
    <t>EDEN PATCH PCKT SHORT AXEL BLU</t>
  </si>
  <si>
    <t>W52A556IB3</t>
  </si>
  <si>
    <t>JOEY CUTOFF SHORT BROKEN HEART</t>
  </si>
  <si>
    <t>W52A655JD8</t>
  </si>
  <si>
    <t>HARLOW BARN JACKET WLKING ANGL</t>
  </si>
  <si>
    <t>BOJM</t>
  </si>
  <si>
    <t>BOJM GRADUAL END</t>
  </si>
  <si>
    <t>W52A741KG0</t>
  </si>
  <si>
    <t>BECCA BOOTCUT BLACK BIG T</t>
  </si>
  <si>
    <t>BKQM</t>
  </si>
  <si>
    <t>BKQM SNGL SLHOETE</t>
  </si>
  <si>
    <t>W52A742KG3</t>
  </si>
  <si>
    <t>VICTORIA SKINNY BLACK BIG T</t>
  </si>
  <si>
    <t>BKRD</t>
  </si>
  <si>
    <t>BKRD MN LT FLLWR</t>
  </si>
  <si>
    <t>W52A845KG0</t>
  </si>
  <si>
    <t>HALLE W/FLAPS SKINNY BLCK BG T</t>
  </si>
  <si>
    <t>W52A890KG3</t>
  </si>
  <si>
    <t>CORA W/FLAP STRGHT BLACK BIG T</t>
  </si>
  <si>
    <t>W52A891JD8</t>
  </si>
  <si>
    <t>CORA W/FLAP STGHT WLKING ANGEL</t>
  </si>
  <si>
    <t>BIED</t>
  </si>
  <si>
    <t>BIED WLKNG ANGEL</t>
  </si>
  <si>
    <t>W52A983MA7</t>
  </si>
  <si>
    <t>STELLA LOW RISE SKINNY SUPER T</t>
  </si>
  <si>
    <t>W52A984MA7</t>
  </si>
  <si>
    <t>CORA SLIM STRAIGHT SUPER T</t>
  </si>
  <si>
    <t>W52B067MB8</t>
  </si>
  <si>
    <t>KEIRA MID THIGH CUT OFF</t>
  </si>
  <si>
    <t>W58M04H74</t>
  </si>
  <si>
    <t>CAMERON VINTAGE WOMEN'S JEAN</t>
  </si>
  <si>
    <t>W58M05H74</t>
  </si>
  <si>
    <t>JAYDE VINTAGE BOYFRIEND WM SHO</t>
  </si>
  <si>
    <t>KT ECRU</t>
  </si>
  <si>
    <t>W58M25H74</t>
  </si>
  <si>
    <t>FAYE VINTAGE HIGH THIGH WM SHO</t>
  </si>
  <si>
    <t>W5BA465IK</t>
  </si>
  <si>
    <t>LEATHER BOMBER JACKET</t>
  </si>
  <si>
    <t>W5EA733LT4</t>
  </si>
  <si>
    <t>VICTORIA SKINNY ASPEN LEAVES</t>
  </si>
  <si>
    <t>BTI WINTER WHITE</t>
  </si>
  <si>
    <t>W5FA517IM6</t>
  </si>
  <si>
    <t>CHRISSY SUPER SKINNY BOHEMIAN</t>
  </si>
  <si>
    <t>BGV BHEMIAN FLRL</t>
  </si>
  <si>
    <t>W5IC038IK</t>
  </si>
  <si>
    <t>DISTRESSED HOLES CREW NECK TEE</t>
  </si>
  <si>
    <t>AURA</t>
  </si>
  <si>
    <t>W5MA648IK</t>
  </si>
  <si>
    <t>SHRUKEN SLVLES WOVEN SHIRT</t>
  </si>
  <si>
    <t>WASHED BL STRIPD</t>
  </si>
  <si>
    <t>W5YA790IK</t>
  </si>
  <si>
    <t>W5YA797IK</t>
  </si>
  <si>
    <t>MOD SHIFT DRESS</t>
  </si>
  <si>
    <t>W5ZB030IK</t>
  </si>
  <si>
    <t>UTILITY SHIRT WVEN CHMBRY BLK</t>
  </si>
  <si>
    <t>BUB CHAMBRAY</t>
  </si>
  <si>
    <t>W648K98R47</t>
  </si>
  <si>
    <t>S/S TR SIGNATURE VNECK-WOMENS</t>
  </si>
  <si>
    <t>W648K98T56</t>
  </si>
  <si>
    <t>LOVE FREE V NECK TEE</t>
  </si>
  <si>
    <t>W648K99DD0</t>
  </si>
  <si>
    <t>LOVE IS A BATTLE CREWNECK TEE</t>
  </si>
  <si>
    <t>AOL PURPLE HAZE</t>
  </si>
  <si>
    <t>W648K99DD1</t>
  </si>
  <si>
    <t>PEACE PRISM CREWNECK TEE</t>
  </si>
  <si>
    <t>AOT WHITE</t>
  </si>
  <si>
    <t>W648K99DD2</t>
  </si>
  <si>
    <t>VENUS PLANET CREWNECK TEE</t>
  </si>
  <si>
    <t>W648K99T54</t>
  </si>
  <si>
    <t>LETS GET TOGETHER CREW NECK TE</t>
  </si>
  <si>
    <t>W648K99T55</t>
  </si>
  <si>
    <t>LOVE 76 CREW NECK TEE</t>
  </si>
  <si>
    <t>W64K99HQ9</t>
  </si>
  <si>
    <t>W6AA385IK</t>
  </si>
  <si>
    <t>TOP W AZTEC EMB</t>
  </si>
  <si>
    <t>CHINOIS GREEN</t>
  </si>
  <si>
    <t>W6DA631JC6</t>
  </si>
  <si>
    <t>S/S BOYFRIEND SWEATSHIRT</t>
  </si>
  <si>
    <t>W6DA632EG</t>
  </si>
  <si>
    <t>ACTIVE SHORT W/ POCKET</t>
  </si>
  <si>
    <t>W6DA768KH3</t>
  </si>
  <si>
    <t>L/S ZIP PULL OVER TOP</t>
  </si>
  <si>
    <t>SKULL</t>
  </si>
  <si>
    <t>W6DA779EG</t>
  </si>
  <si>
    <t>BOYFRIEND SWEATSHIRT TOP</t>
  </si>
  <si>
    <t>W6DA779LY1</t>
  </si>
  <si>
    <t>BF SWEATSHIRT W BBALL STITCH</t>
  </si>
  <si>
    <t>BJYL CRANBERRY</t>
  </si>
  <si>
    <t>W6DA779NY9</t>
  </si>
  <si>
    <t>W6DA780EG</t>
  </si>
  <si>
    <t>S/S ZIP UP TOP</t>
  </si>
  <si>
    <t>W6DA781EG</t>
  </si>
  <si>
    <t>BANDED SKINNY PANT</t>
  </si>
  <si>
    <t>W6DA781LY1</t>
  </si>
  <si>
    <t>BANDED SKNNY  W BBALL STITCH</t>
  </si>
  <si>
    <t>W6DB039LV5</t>
  </si>
  <si>
    <t>TR CHAINSTITCH SHRUNKEN SEAMED</t>
  </si>
  <si>
    <t>W6DB042EG</t>
  </si>
  <si>
    <t>PANEL ZIP LEATHER SWEATPANT</t>
  </si>
  <si>
    <t>W6DB056LY7</t>
  </si>
  <si>
    <t>VARSITY PATCH W/ BBALL STITCH</t>
  </si>
  <si>
    <t>W6DC097NL3</t>
  </si>
  <si>
    <t>MARISSA SWEATPANT BIG T</t>
  </si>
  <si>
    <t>INCENSE</t>
  </si>
  <si>
    <t>TANGO RED</t>
  </si>
  <si>
    <t>W6DC098NL3</t>
  </si>
  <si>
    <t>BIG T HOOK UP  HOODIE</t>
  </si>
  <si>
    <t>W6KA666IJ5</t>
  </si>
  <si>
    <t>AUDREY CARPENTER SLIM STRIPES</t>
  </si>
  <si>
    <t>BHJD</t>
  </si>
  <si>
    <t>BHJD BIG MISTAKE</t>
  </si>
  <si>
    <t>W6LA643IK</t>
  </si>
  <si>
    <t>SMOCKED SHORT</t>
  </si>
  <si>
    <t>INDIGO MAZE PRNT</t>
  </si>
  <si>
    <t>W6SA666JE9</t>
  </si>
  <si>
    <t>AUDREY CARPENTER SLIM IF ONLY</t>
  </si>
  <si>
    <t>BHT IF ONLY NAT</t>
  </si>
  <si>
    <t>W6SA946LU5</t>
  </si>
  <si>
    <t>CASEY SUPER SKINNY WINTER WHTE</t>
  </si>
  <si>
    <t>BTW FIRST SNOW</t>
  </si>
  <si>
    <t>W6SA966LX1</t>
  </si>
  <si>
    <t>BTTL</t>
  </si>
  <si>
    <t>BTTL SMTHNG UNSL</t>
  </si>
  <si>
    <t>W6SA988LS8</t>
  </si>
  <si>
    <t>HALLE SUPER SKINNY WINTER WHTE</t>
  </si>
  <si>
    <t>W6SA990LS8</t>
  </si>
  <si>
    <t>DUSTY WESTERN JCKT WINTER WHTE</t>
  </si>
  <si>
    <t>W6SA992LT3</t>
  </si>
  <si>
    <t>HALLE SUPER SKINNY ASPEN LEAVS</t>
  </si>
  <si>
    <t>W6SB060LU6</t>
  </si>
  <si>
    <t>W6SB136LU6</t>
  </si>
  <si>
    <t>BTW DIRTY WHITE</t>
  </si>
  <si>
    <t>W70572A92</t>
  </si>
  <si>
    <t>BILLY  WOMEN JEAN</t>
  </si>
  <si>
    <t>W70572C93</t>
  </si>
  <si>
    <t>BILLY PYRAMID STUD WOMEN JEAN</t>
  </si>
  <si>
    <t>W70599C93</t>
  </si>
  <si>
    <t>JULIE PYRAMID STUD WOMEN JEAN</t>
  </si>
  <si>
    <t>W7AA420IK</t>
  </si>
  <si>
    <t>SLEEVELESS TANK W/ DRAPED BACK</t>
  </si>
  <si>
    <t>BLACK / CREAM</t>
  </si>
  <si>
    <t>CREAM / BLACK</t>
  </si>
  <si>
    <t>W7AA421IK</t>
  </si>
  <si>
    <t>BEACON BEADED TANK</t>
  </si>
  <si>
    <t>W7JA929IJ9</t>
  </si>
  <si>
    <t>AUDREY SLIM NOWHERE TO HIDE</t>
  </si>
  <si>
    <t>BHZM</t>
  </si>
  <si>
    <t>BHZM NW T HD WRPS</t>
  </si>
  <si>
    <t>BNGM</t>
  </si>
  <si>
    <t>BNGM NWRE TO HDE</t>
  </si>
  <si>
    <t>W7LA650IK</t>
  </si>
  <si>
    <t>LYNNE SHIFT DRESS</t>
  </si>
  <si>
    <t>WHITE EYELET</t>
  </si>
  <si>
    <t>W7NA634EG</t>
  </si>
  <si>
    <t>RELAXED VNECK TEE</t>
  </si>
  <si>
    <t>MUSHROOM</t>
  </si>
  <si>
    <t>W7NA656EG</t>
  </si>
  <si>
    <t>TWISTED MAXI DRESS</t>
  </si>
  <si>
    <t>W7SA852JE5</t>
  </si>
  <si>
    <t>BHW SEAL</t>
  </si>
  <si>
    <t>BHW OXBLOOD</t>
  </si>
  <si>
    <t>W7WA771IK</t>
  </si>
  <si>
    <t>SLEEVELESS CREW NECK TUNIC</t>
  </si>
  <si>
    <t>W7WA773IK</t>
  </si>
  <si>
    <t>L/S CARDIGAN JERSEY</t>
  </si>
  <si>
    <t>W7WA783IK</t>
  </si>
  <si>
    <t>BOXY RAGLAN</t>
  </si>
  <si>
    <t>STONE GREY</t>
  </si>
  <si>
    <t>W8AB038LY1</t>
  </si>
  <si>
    <t>CONTRAST PULLOVER LS CREW NECK</t>
  </si>
  <si>
    <t>W8BB043LY1</t>
  </si>
  <si>
    <t>CONTRST LEGGING W BBALL STITCH</t>
  </si>
  <si>
    <t>W8JB046IK</t>
  </si>
  <si>
    <t>HOODED PARKA ZIP-UP JACKET</t>
  </si>
  <si>
    <t>W8KA821JG1</t>
  </si>
  <si>
    <t>VICTORIA SKINNY HIT THE HIGHWY</t>
  </si>
  <si>
    <t>BHRD</t>
  </si>
  <si>
    <t>BHRD HIT THE HWY</t>
  </si>
  <si>
    <t>W8LA651IK</t>
  </si>
  <si>
    <t>QUILTED VEST</t>
  </si>
  <si>
    <t>RED MLTI PTCHWRK</t>
  </si>
  <si>
    <t>W8NA376JC5</t>
  </si>
  <si>
    <t>CORE RACERBACK TANK</t>
  </si>
  <si>
    <t>RIO RED</t>
  </si>
  <si>
    <t>W8OA630JC8</t>
  </si>
  <si>
    <t>FLATLOCK TANK W/SEAMS</t>
  </si>
  <si>
    <t>W8PB048IK</t>
  </si>
  <si>
    <t>BLOUSE W PANEL S/L FASHION TEE</t>
  </si>
  <si>
    <t>BORDEAUX</t>
  </si>
  <si>
    <t>W8RA665IJ6</t>
  </si>
  <si>
    <t>BAILEY SLCHY SKNNY LFT LNG AGO</t>
  </si>
  <si>
    <t>BHVM</t>
  </si>
  <si>
    <t>BHVM LFT LNG AGO</t>
  </si>
  <si>
    <t>W8RA763IJ6</t>
  </si>
  <si>
    <t>CHLOE PENCIL SKIRT RSTLSS NGHT</t>
  </si>
  <si>
    <t>BPUD</t>
  </si>
  <si>
    <t>BPUD RTLSS NIGHT</t>
  </si>
  <si>
    <t>W8SA610JW9</t>
  </si>
  <si>
    <t>TALA SKINNY 32'' HEAD STRONG</t>
  </si>
  <si>
    <t>W8SA912KT4</t>
  </si>
  <si>
    <t>HALLE W FLAP SUPER SKINNY</t>
  </si>
  <si>
    <t>BKUD</t>
  </si>
  <si>
    <t>BKUD RBEL VOICES</t>
  </si>
  <si>
    <t>W8SA999KT4</t>
  </si>
  <si>
    <t>W8SA999KT5</t>
  </si>
  <si>
    <t>BKTM</t>
  </si>
  <si>
    <t>BKTM PRTSTRS SNG</t>
  </si>
  <si>
    <t>W8SB069MC4</t>
  </si>
  <si>
    <t>W8WA777IK</t>
  </si>
  <si>
    <t>CROPPED HOODIE</t>
  </si>
  <si>
    <t>W8XB050IK</t>
  </si>
  <si>
    <t>SHRUNKEN MIX SWEATER CREW NECK</t>
  </si>
  <si>
    <t>NAVY / SAPPHIRE</t>
  </si>
  <si>
    <t>MERLOT/BORDEAUX</t>
  </si>
  <si>
    <t>W8YA648IK</t>
  </si>
  <si>
    <t>SHRNKN SLVLSS GEORGIA SHIRT</t>
  </si>
  <si>
    <t>BLUE MULTI</t>
  </si>
  <si>
    <t>RED MULTI</t>
  </si>
  <si>
    <t>W95503N99</t>
  </si>
  <si>
    <t>JOEY SPT TWISTED SEAM FLARE LE</t>
  </si>
  <si>
    <t>PX SAHARA</t>
  </si>
  <si>
    <t>PX PURPLE HAZE</t>
  </si>
  <si>
    <t>W95572N99</t>
  </si>
  <si>
    <t>BILLY SPT STRAIGHT LEG</t>
  </si>
  <si>
    <t>PX SEAL</t>
  </si>
  <si>
    <t>W95592CA4</t>
  </si>
  <si>
    <t>STELLA CONTRAST RED SUPER T</t>
  </si>
  <si>
    <t>W95592N99</t>
  </si>
  <si>
    <t>STELLA SPT SKINNY FIT</t>
  </si>
  <si>
    <t>PX ROYAL BLUE</t>
  </si>
  <si>
    <t>PX FUSCHIA</t>
  </si>
  <si>
    <t>PX SUNFLOWER</t>
  </si>
  <si>
    <t>W95592R58S</t>
  </si>
  <si>
    <t>STELLA SKINNY FIT WOMENS JEAN</t>
  </si>
  <si>
    <t>RO BLACK</t>
  </si>
  <si>
    <t>RO GREY</t>
  </si>
  <si>
    <t>W95599N99</t>
  </si>
  <si>
    <t>JULIE SPT SKINNY FIT</t>
  </si>
  <si>
    <t>W95G10CA4</t>
  </si>
  <si>
    <t>JOEY CONTRAST RED SUPER T</t>
  </si>
  <si>
    <t>W95K94Q11</t>
  </si>
  <si>
    <t>CHRISTINA PHANTOM WOMENS JEAN</t>
  </si>
  <si>
    <t>W95P39M47</t>
  </si>
  <si>
    <t>LINDSAY LONESTAR PLEATED FRONT</t>
  </si>
  <si>
    <t>W95P66M65</t>
  </si>
  <si>
    <t>W95P72M47</t>
  </si>
  <si>
    <t>BOBBY LONESTAR FLARE LEG</t>
  </si>
  <si>
    <t>W95P73M47</t>
  </si>
  <si>
    <t>RAEGAN LONESTAR BELL BOTTOM</t>
  </si>
  <si>
    <t>PX SLATE BLUE</t>
  </si>
  <si>
    <t>W95P74M47</t>
  </si>
  <si>
    <t>TRISHA LONESTAR TRADITIONAL RI</t>
  </si>
  <si>
    <t>PX BABY LIME</t>
  </si>
  <si>
    <t>W95P75M47</t>
  </si>
  <si>
    <t>SHANNON LONESTAR TRADITIONAL R</t>
  </si>
  <si>
    <t>W95P76M47</t>
  </si>
  <si>
    <t>BROOKLYN LONESTAR SPR SKINNY L</t>
  </si>
  <si>
    <t>PX BERRY</t>
  </si>
  <si>
    <t>SC SEAL</t>
  </si>
  <si>
    <t>SC BROWN</t>
  </si>
  <si>
    <t>W95Q85T90</t>
  </si>
  <si>
    <t>HALLE SAFARI LONESTAR SKINNY W</t>
  </si>
  <si>
    <t>SU OAK LEAF</t>
  </si>
  <si>
    <t>VE BLACK STONE</t>
  </si>
  <si>
    <t>W95U27U30</t>
  </si>
  <si>
    <t>TONY POCKET GANG DIE WOMANS JE</t>
  </si>
  <si>
    <t>W95V54Y97</t>
  </si>
  <si>
    <t>BILLY GENERAL LEE OVERDYE JN</t>
  </si>
  <si>
    <t>XO PEBBLE GREY</t>
  </si>
  <si>
    <t>XO OPTIC WHITE</t>
  </si>
  <si>
    <t>XO ROYAL BLUE</t>
  </si>
  <si>
    <t>XO TURQUOISE</t>
  </si>
  <si>
    <t>XO RED</t>
  </si>
  <si>
    <t>XO FUSCHIA</t>
  </si>
  <si>
    <t>XO PINEAPPLE</t>
  </si>
  <si>
    <t>XO DUSTED ORANGE</t>
  </si>
  <si>
    <t>W95V56Y97</t>
  </si>
  <si>
    <t>EMILY GENERAL LEE OVERDYE</t>
  </si>
  <si>
    <t>SD PEBBLE GREY</t>
  </si>
  <si>
    <t>SD OPTIC WHITE</t>
  </si>
  <si>
    <t>SD TURQUOISE</t>
  </si>
  <si>
    <t>SD PINEAPPLE</t>
  </si>
  <si>
    <t>W95V57Y97</t>
  </si>
  <si>
    <t>STELLA 32 GENERAL LEE OVERDYE</t>
  </si>
  <si>
    <t>W95W65BA0</t>
  </si>
  <si>
    <t>GIANNA NO SNAPS LIVE FAST JEAN</t>
  </si>
  <si>
    <t>W962522QD</t>
  </si>
  <si>
    <t>BILLY WMN JEANS</t>
  </si>
  <si>
    <t>R3 OPTIC WHITE AXEL WHITE</t>
  </si>
  <si>
    <t>W962J30QD</t>
  </si>
  <si>
    <t>GWEN WMN JEANS</t>
  </si>
  <si>
    <t>W9AB051IK</t>
  </si>
  <si>
    <t>SIMONE QUILTED BOMBER COATED</t>
  </si>
  <si>
    <t>W9BA648IK</t>
  </si>
  <si>
    <t>CHAMBRAY</t>
  </si>
  <si>
    <t>W9BA788IK</t>
  </si>
  <si>
    <t>POPOVER SHIRT DRESS</t>
  </si>
  <si>
    <t>W9CA532IB4</t>
  </si>
  <si>
    <t>LEONA ROLLED CROP VNTG SLVDGE</t>
  </si>
  <si>
    <t>W9CA532JB4</t>
  </si>
  <si>
    <t>LEONA ROLLED CROP VNTGE SLVGE</t>
  </si>
  <si>
    <t>W9CA847JB4</t>
  </si>
  <si>
    <t>W9CA935JG5</t>
  </si>
  <si>
    <t>AUDREY SLIM BORROWED HOUR</t>
  </si>
  <si>
    <t>BJRM</t>
  </si>
  <si>
    <t>BJRM BORROWED HR</t>
  </si>
  <si>
    <t>W9CA944KI6</t>
  </si>
  <si>
    <t>AUDREY CRPENTR SLIM SLVDGE</t>
  </si>
  <si>
    <t>W9HB052IK</t>
  </si>
  <si>
    <t>DUSTY LINED WSTRN FTTED JACKET</t>
  </si>
  <si>
    <t>W9LA652IK</t>
  </si>
  <si>
    <t>VINTAGE SHIRT JACKET</t>
  </si>
  <si>
    <t>BLACK IRIS</t>
  </si>
  <si>
    <t>W9MB054IK</t>
  </si>
  <si>
    <t>ROLLED CREW RELAXED FOIL TEE</t>
  </si>
  <si>
    <t>2S SILVER</t>
  </si>
  <si>
    <t>2S COPPER</t>
  </si>
  <si>
    <t>W9NB055EG</t>
  </si>
  <si>
    <t>TEXTURED BOYFRIEND SWEATSHIRT</t>
  </si>
  <si>
    <t>W9QA597LV6</t>
  </si>
  <si>
    <t>MUIR JOURNAL CREW NECK TEE</t>
  </si>
  <si>
    <t>W9QC091MN9</t>
  </si>
  <si>
    <t>W9QC091MT0</t>
  </si>
  <si>
    <t>TRUE SEQUIN S/S CREW TEE</t>
  </si>
  <si>
    <t>W9RA665JF4</t>
  </si>
  <si>
    <t>W9SA620JL3</t>
  </si>
  <si>
    <t>BKVD</t>
  </si>
  <si>
    <t>BKVD DK SPRT BRD</t>
  </si>
  <si>
    <t>WADG11F83</t>
  </si>
  <si>
    <t>BOBBY VINTAGE  CUT OFF SHORTS</t>
  </si>
  <si>
    <t>WADH63F83</t>
  </si>
  <si>
    <t>JADA CROPPED WESTERN JACKET</t>
  </si>
  <si>
    <t>WADK75F83</t>
  </si>
  <si>
    <t>CARRIE SKINNY KNEE WD FLR VINT</t>
  </si>
  <si>
    <t>WADM04F83</t>
  </si>
  <si>
    <t>CAMERON GOLD FASHION VINTAGE W</t>
  </si>
  <si>
    <t>WADM05F83</t>
  </si>
  <si>
    <t>JAYDE GOLD FASHION VINTAGE WOM</t>
  </si>
  <si>
    <t>WADM24F83</t>
  </si>
  <si>
    <t>MORGAN FLARE VINTAGE WMN JN</t>
  </si>
  <si>
    <t>WADN18F83</t>
  </si>
  <si>
    <t>GEMMA TROUSER FIT WIDE LG VINT</t>
  </si>
  <si>
    <t>WADP65F83</t>
  </si>
  <si>
    <t>CAROLINE VINTAGE WMN JN</t>
  </si>
  <si>
    <t>WADP77M27</t>
  </si>
  <si>
    <t>PIPER PONY EXPRESS PLEATED FRO</t>
  </si>
  <si>
    <t>WADP78M27</t>
  </si>
  <si>
    <t>BRIANNA PONY EXPRESS BOYFRIEND</t>
  </si>
  <si>
    <t>WADP79M27</t>
  </si>
  <si>
    <t>CARRIE PONY EXPRESS BELL BOTTO</t>
  </si>
  <si>
    <t>WADP80M27</t>
  </si>
  <si>
    <t>JOHNNY PONY EXPRESS STRAIGHT L</t>
  </si>
  <si>
    <t>WADP81M27</t>
  </si>
  <si>
    <t>KINGSTON PONY EXPRESS CROPPED</t>
  </si>
  <si>
    <t>WADP82M27</t>
  </si>
  <si>
    <t>BOBBY PONY EXPRESS HIGH THIGH</t>
  </si>
  <si>
    <t>WADP83M27</t>
  </si>
  <si>
    <t>MIA PONY EXPRESS HIGH THIGH SK</t>
  </si>
  <si>
    <t>WADP84M27</t>
  </si>
  <si>
    <t>TONY PONY EXPRESS SLIM BOOT CU</t>
  </si>
  <si>
    <t>WAK564TSN</t>
  </si>
  <si>
    <t>BECKY TRADITIONAL RISE BOOT CU</t>
  </si>
  <si>
    <t>WAK572BCS</t>
  </si>
  <si>
    <t>WAK572EM</t>
  </si>
  <si>
    <t>BILLY STRAIGHT LEG WM JN</t>
  </si>
  <si>
    <t>WAK592BCS</t>
  </si>
  <si>
    <t>WAS502J31</t>
  </si>
  <si>
    <t>JOHNNY PATCHWORK LOGO STRAIGHT</t>
  </si>
  <si>
    <t>WAS564F75</t>
  </si>
  <si>
    <t>BECKY BUGSY GOLD BOOT CUT  WMN</t>
  </si>
  <si>
    <t>WAS564J31</t>
  </si>
  <si>
    <t>BECKY PATCHWORK LOGO BOOT CUT</t>
  </si>
  <si>
    <t>WAS564P86</t>
  </si>
  <si>
    <t>BECKY BOOT CUT  WOMENS JEAN</t>
  </si>
  <si>
    <t>WAS572F75</t>
  </si>
  <si>
    <t>BILLY BUGSY GOLD STRAIGHT  WMN</t>
  </si>
  <si>
    <t>WAS592F87</t>
  </si>
  <si>
    <t>STELLA LOGO  WOMEN JEAN</t>
  </si>
  <si>
    <t>WASH63F75</t>
  </si>
  <si>
    <t>WASM04F75</t>
  </si>
  <si>
    <t>CAMERON BUGSY GOLD BOYFREIND</t>
  </si>
  <si>
    <t>WASM05F75</t>
  </si>
  <si>
    <t>JAYDE BUGSY GOLD BOYFRIEND SHO</t>
  </si>
  <si>
    <t>WASN18F75</t>
  </si>
  <si>
    <t>GEMMA BUGSY GOLD TROUSER</t>
  </si>
  <si>
    <t>WASN35F75</t>
  </si>
  <si>
    <t>DANA BUGSY GOLD WIDE LEG</t>
  </si>
  <si>
    <t>WASN59F75</t>
  </si>
  <si>
    <t>KELLY BUGSY GOLD TROUSER</t>
  </si>
  <si>
    <t>WASP33M42</t>
  </si>
  <si>
    <t>CORINNE HI-RISE WIDE LEG TROUS</t>
  </si>
  <si>
    <t>WASP35M42</t>
  </si>
  <si>
    <t>SARENA TROUSER LOW RISE BELL B</t>
  </si>
  <si>
    <t>WASP36M42</t>
  </si>
  <si>
    <t>BOBBY TROUSER FLARE LEG</t>
  </si>
  <si>
    <t>WASQ93P86</t>
  </si>
  <si>
    <t>ADRIANNA CLEAN HEM WOMENS SHOR</t>
  </si>
  <si>
    <t>WAVA152IK</t>
  </si>
  <si>
    <t>COWL FRONT L/S  WOVEN SHIRT</t>
  </si>
  <si>
    <t>WAVBP40IK</t>
  </si>
  <si>
    <t>L/S LONESTAR WESTERN SHIRT</t>
  </si>
  <si>
    <t>WAX502J02</t>
  </si>
  <si>
    <t>JOHNNY BLACK STRETCH W/STUDS S</t>
  </si>
  <si>
    <t>BBB</t>
  </si>
  <si>
    <t>BBB SHORT FUSE MED W/O RIPS BL</t>
  </si>
  <si>
    <t>WAX503BKT2</t>
  </si>
  <si>
    <t>JOEY SPT FLARE WM JEAN</t>
  </si>
  <si>
    <t>MNDB</t>
  </si>
  <si>
    <t>MNDB CAPETOWN BLACK</t>
  </si>
  <si>
    <t>MWDB</t>
  </si>
  <si>
    <t>MWDB INDEPENDENCE BLACK</t>
  </si>
  <si>
    <t>WAX564BKT2</t>
  </si>
  <si>
    <t>BECKY SPT BOOT CUT WM JEAN</t>
  </si>
  <si>
    <t>WAX564CR0</t>
  </si>
  <si>
    <t>BECKY CORE BOOTCUT JEAN</t>
  </si>
  <si>
    <t>APDD</t>
  </si>
  <si>
    <t>APDD IRON BLACK</t>
  </si>
  <si>
    <t>APED</t>
  </si>
  <si>
    <t>APED MERCURY GREY</t>
  </si>
  <si>
    <t>WAX564J02</t>
  </si>
  <si>
    <t>BECKY BLACK STRETCH W/STUDS BO</t>
  </si>
  <si>
    <t>WAX564L74</t>
  </si>
  <si>
    <t>BECKY TRBJ PAVE WM JEAN</t>
  </si>
  <si>
    <t>WAX564L97</t>
  </si>
  <si>
    <t>BECKY EMB LOGO BOOT CUT WM JN</t>
  </si>
  <si>
    <t>WAX564UK</t>
  </si>
  <si>
    <t>BECKY BLACK STRETCH BOOT CUT W</t>
  </si>
  <si>
    <t>WAX572BKT2</t>
  </si>
  <si>
    <t>BILLY SPT STRAIGHT WM JEAN</t>
  </si>
  <si>
    <t>WAX572CR0</t>
  </si>
  <si>
    <t>BILLY CORE STRAIGHT JEAN</t>
  </si>
  <si>
    <t>WAX572FD3</t>
  </si>
  <si>
    <t>BILLY CHARCOAL SUPER T</t>
  </si>
  <si>
    <t>WAX572L74</t>
  </si>
  <si>
    <t>BILLY  TRBJ PAVE WM JEAN</t>
  </si>
  <si>
    <t>WAX572L97</t>
  </si>
  <si>
    <t>BILLY EMB LOGO STRAIGHT WM JN</t>
  </si>
  <si>
    <t>WAX572UK</t>
  </si>
  <si>
    <t>BILLY BLACK STRETCH WOMEN JEAN</t>
  </si>
  <si>
    <t>WAX592BKT2</t>
  </si>
  <si>
    <t>STELLA SPT SKINNY  WM JEAN</t>
  </si>
  <si>
    <t>WAX592L97</t>
  </si>
  <si>
    <t>STELLA EMB LOGO SKINNY WM JN</t>
  </si>
  <si>
    <t>AAL CSMC PRINT BLACK</t>
  </si>
  <si>
    <t>AAL CSMC MUL BLK</t>
  </si>
  <si>
    <t>WAX599BKT2</t>
  </si>
  <si>
    <t>JULIE SPT SKINNY  WM JEAN</t>
  </si>
  <si>
    <t>WAX599FD3</t>
  </si>
  <si>
    <t>JULIE CHARCOAL SUPER T</t>
  </si>
  <si>
    <t>WAX599J02</t>
  </si>
  <si>
    <t>JULIE BLACK STRETCH W/STUDS SK</t>
  </si>
  <si>
    <t>WAX599L74</t>
  </si>
  <si>
    <t>JULIE  TRBJ PAVE WM JEAN</t>
  </si>
  <si>
    <t>WAX599UK</t>
  </si>
  <si>
    <t>JULIE BLACK STRETCH WOMEN JEAN</t>
  </si>
  <si>
    <t>9C</t>
  </si>
  <si>
    <t>9C PEBBLE</t>
  </si>
  <si>
    <t>WAX599V41</t>
  </si>
  <si>
    <t>JULIE CHESSBOARD  WOMEN JEAN</t>
  </si>
  <si>
    <t>WAXD95EL</t>
  </si>
  <si>
    <t>STEALTH STELLA SKINNY WM JEAN</t>
  </si>
  <si>
    <t>WAXM66UK</t>
  </si>
  <si>
    <t>JULIE TORQUE SKINNY LEG WM JEA</t>
  </si>
  <si>
    <t>WAXN28N31</t>
  </si>
  <si>
    <t>JOHNNY 1971 STRAIGHT LEG WOMEN</t>
  </si>
  <si>
    <t>MNMB</t>
  </si>
  <si>
    <t>MNMB SILVER CACTUS BLACK</t>
  </si>
  <si>
    <t>WAXN43EL</t>
  </si>
  <si>
    <t>STEALTH JOHNNY STRAIGHT LEG WM</t>
  </si>
  <si>
    <t>WAXN44EL</t>
  </si>
  <si>
    <t>STEALTH DANA TROUSER WIDE LEG</t>
  </si>
  <si>
    <t>WAXN88EL</t>
  </si>
  <si>
    <t>STEALTH KATELYN SKINNY WM JEAN</t>
  </si>
  <si>
    <t>WAXN95CR0</t>
  </si>
  <si>
    <t>HALLE CORE SKINNY JEAN</t>
  </si>
  <si>
    <t>WAXN95S31</t>
  </si>
  <si>
    <t>HALLE SUPER VIXEN SKINNY JEAN</t>
  </si>
  <si>
    <t>WAXP29N31</t>
  </si>
  <si>
    <t>WAXP39M40</t>
  </si>
  <si>
    <t>LINDSAY LONESTAR 1 PKT JACKET</t>
  </si>
  <si>
    <t>WAXP73M40</t>
  </si>
  <si>
    <t>WAXP74M40</t>
  </si>
  <si>
    <t>WAXP74S35</t>
  </si>
  <si>
    <t>TRISHA LONESTAR STRAIGHT WOMEN</t>
  </si>
  <si>
    <t>NQLB</t>
  </si>
  <si>
    <t>NQLB DAWN RIVER BLACK</t>
  </si>
  <si>
    <t>WAXP75M40</t>
  </si>
  <si>
    <t>WAXP75S35</t>
  </si>
  <si>
    <t>WAXP76M40</t>
  </si>
  <si>
    <t>BROOKLYN LONESTAR CROPPED SPR</t>
  </si>
  <si>
    <t>WAXR55S35</t>
  </si>
  <si>
    <t>AMANDA LONESTAR WOMENS JEAN</t>
  </si>
  <si>
    <t>WAXS28S31</t>
  </si>
  <si>
    <t>HALLE SUPER VIXEN SKINNY WOMEN</t>
  </si>
  <si>
    <t>SB NAVY</t>
  </si>
  <si>
    <t>SB HIGH RED</t>
  </si>
  <si>
    <t>WAXS64S35</t>
  </si>
  <si>
    <t>TONY HI-RISE LONESTAR MICRO BO</t>
  </si>
  <si>
    <t>WAXS66S31</t>
  </si>
  <si>
    <t>TONY HI-RISE SUPER VIXEN MICRO</t>
  </si>
  <si>
    <t>WAXY62CR0</t>
  </si>
  <si>
    <t>TONY NO FLAPS MICRO BOOT JEAN</t>
  </si>
  <si>
    <t>WAXY64CT6</t>
  </si>
  <si>
    <t>BLACK MOTO PANT</t>
  </si>
  <si>
    <t>WAXY98DG6</t>
  </si>
  <si>
    <t>TONY NO FLAPS BLACK 1971 JEAN</t>
  </si>
  <si>
    <t>ACZD</t>
  </si>
  <si>
    <t>ACZD SHADY HOLLW</t>
  </si>
  <si>
    <t>ANYD</t>
  </si>
  <si>
    <t>ANYD UNCRTN PATH</t>
  </si>
  <si>
    <t>WAXY99DG6</t>
  </si>
  <si>
    <t>STELLA 32 BLACK 1971 JEAN</t>
  </si>
  <si>
    <t>WAZM28G17</t>
  </si>
  <si>
    <t>LOOSE CARGO PANT - WOMEN'S</t>
  </si>
  <si>
    <t>HU LT GREY</t>
  </si>
  <si>
    <t>HU WHITE</t>
  </si>
  <si>
    <t>HU MIDNIGHT</t>
  </si>
  <si>
    <t>WAZM29G17</t>
  </si>
  <si>
    <t>JENNA CROPPED CARGO SHORT</t>
  </si>
  <si>
    <t>WAZN59K67</t>
  </si>
  <si>
    <t>KELLY SLOUCHY TROUSER WM PANT</t>
  </si>
  <si>
    <t>HU BLACK</t>
  </si>
  <si>
    <t>HU VIOLA</t>
  </si>
  <si>
    <t>WAZN81K67</t>
  </si>
  <si>
    <t>REGINA STRAIGHT TROUSER WM PAN</t>
  </si>
  <si>
    <t>WB8M04CH0</t>
  </si>
  <si>
    <t>CAMERON CORE BOYFRIEND JEAN</t>
  </si>
  <si>
    <t>APBM</t>
  </si>
  <si>
    <t>APBM TUMBLEWEED</t>
  </si>
  <si>
    <t>WB8M04FG0</t>
  </si>
  <si>
    <t>WB8N50RI</t>
  </si>
  <si>
    <t>MEGAN TROUSER WIDE LEG WM JEAN</t>
  </si>
  <si>
    <t>WB8N81RI</t>
  </si>
  <si>
    <t>REGINA STRAIGHT TROUSER FIT WM</t>
  </si>
  <si>
    <t>WB8Q86CH0</t>
  </si>
  <si>
    <t>BRIANNA CORE BOYFRIEND JEAN</t>
  </si>
  <si>
    <t>WB8Q86FG0</t>
  </si>
  <si>
    <t>WBBA588IP3</t>
  </si>
  <si>
    <t>BRIANNA BOYFRIEND OVRDY POPLIN</t>
  </si>
  <si>
    <t>BBC GRIFFIN</t>
  </si>
  <si>
    <t>BBC CORIANDER</t>
  </si>
  <si>
    <t>BBC DUSTY OLIVE</t>
  </si>
  <si>
    <t>BBC DUSTY CEDAR</t>
  </si>
  <si>
    <t>WBBM05G17</t>
  </si>
  <si>
    <t>JAYDE BOYFRIEND WMN SHORT</t>
  </si>
  <si>
    <t>WBFK67L25</t>
  </si>
  <si>
    <t>FORSAKEN TORI WM JEAN</t>
  </si>
  <si>
    <t>WBFK89K31</t>
  </si>
  <si>
    <t>LENA SLIM BOOT CUT WM JEAN</t>
  </si>
  <si>
    <t>WBFK89L25</t>
  </si>
  <si>
    <t>FORSAKEN LENA WM JEAN</t>
  </si>
  <si>
    <t>WBFK90K31</t>
  </si>
  <si>
    <t>TRISHA STRAIGHT LEG WM JEAN</t>
  </si>
  <si>
    <t>WBFK90L25</t>
  </si>
  <si>
    <t>FORSAKEN TRISHA WM JEAN</t>
  </si>
  <si>
    <t>WBFK91K31</t>
  </si>
  <si>
    <t>SHANNON SKINNY WM JEAN</t>
  </si>
  <si>
    <t>WBFK91L25</t>
  </si>
  <si>
    <t>FORSAKEN SHANNON WM JEAN</t>
  </si>
  <si>
    <t>WBFS28S31</t>
  </si>
  <si>
    <t>SB PEBBLE GREY</t>
  </si>
  <si>
    <t>WBFY53BT2</t>
  </si>
  <si>
    <t>JAIME TRUE HERITAGE WOMEN JEAN</t>
  </si>
  <si>
    <t>WBFY54BT2</t>
  </si>
  <si>
    <t>ROXANNE TRUE HERITAGE VEST</t>
  </si>
  <si>
    <t>WBLUR019D</t>
  </si>
  <si>
    <t>3/4 SLV SHADOW STRIPE KNIT TOP</t>
  </si>
  <si>
    <t>IVORY</t>
  </si>
  <si>
    <t>WBRC217OMW</t>
  </si>
  <si>
    <t>BSC SLIM STRAIGHT WFLP ZIP PKT</t>
  </si>
  <si>
    <t>WBRC218OMW</t>
  </si>
  <si>
    <t>BASIC STRAIGHT ZIPPER PKT</t>
  </si>
  <si>
    <t>WBXA976LR9</t>
  </si>
  <si>
    <t>HALLE SKINNY INDGO HNDSTOOH</t>
  </si>
  <si>
    <t>BTDD</t>
  </si>
  <si>
    <t>BTDD IND HOUNDSTH</t>
  </si>
  <si>
    <t>WC58K98T57</t>
  </si>
  <si>
    <t>LOVE BALLOON V NECK TEE</t>
  </si>
  <si>
    <t>WC79L05S29</t>
  </si>
  <si>
    <t>PLUM</t>
  </si>
  <si>
    <t>2S SMOKE</t>
  </si>
  <si>
    <t>2S KHAKI</t>
  </si>
  <si>
    <t>2S ARMY</t>
  </si>
  <si>
    <t>WCB592K33</t>
  </si>
  <si>
    <t>STELLA CORDUROY SKINNY PANT</t>
  </si>
  <si>
    <t>WCBH09K32</t>
  </si>
  <si>
    <t>EMILY SHERPA LINED CORDUROY JA</t>
  </si>
  <si>
    <t>WCBK68K32</t>
  </si>
  <si>
    <t>JODIE CORDUROY SKINNY LEG PANT</t>
  </si>
  <si>
    <t>WCBM60K33</t>
  </si>
  <si>
    <t>STELLA TORQUE  CORDUROY SKINNY</t>
  </si>
  <si>
    <t>WCBM66K33</t>
  </si>
  <si>
    <t>JULIE TORQUE  CORDUROY SKINNY</t>
  </si>
  <si>
    <t>WCBP38K32</t>
  </si>
  <si>
    <t>BROOKLYN CORDUROY CROPPED SUPE</t>
  </si>
  <si>
    <t>RM OPTIC WHITE</t>
  </si>
  <si>
    <t>RM LIMEADE</t>
  </si>
  <si>
    <t>RM BRIGHT RED</t>
  </si>
  <si>
    <t>RM PINEAPPLE</t>
  </si>
  <si>
    <t>WCBS73U15</t>
  </si>
  <si>
    <t>TRISHA TRADITIONAL RISE STRGT</t>
  </si>
  <si>
    <t>WCBS75U15</t>
  </si>
  <si>
    <t>ASPEN RETRO SHERPA JACKET</t>
  </si>
  <si>
    <t>WCC241K35</t>
  </si>
  <si>
    <t>L/S ROCKY CORDUROY WESTERN SHI</t>
  </si>
  <si>
    <t>WCCS79U16</t>
  </si>
  <si>
    <t>GEORGIA LONESTAR COURDUROY SHI</t>
  </si>
  <si>
    <t>WCJA942LU9</t>
  </si>
  <si>
    <t>CASEY SUPER SKINNY TIGER CAMO</t>
  </si>
  <si>
    <t>WCJD95EM</t>
  </si>
  <si>
    <t>STEALTH STELLA SKINNY  WM JEAN</t>
  </si>
  <si>
    <t>WCJK35CR8</t>
  </si>
  <si>
    <t>CASEY CORE SKINNY JEAN</t>
  </si>
  <si>
    <t>APFD</t>
  </si>
  <si>
    <t>APFD SULFUR SKY</t>
  </si>
  <si>
    <t>WCJK35CR9</t>
  </si>
  <si>
    <t>WCJK44CR8</t>
  </si>
  <si>
    <t>MISTY CORE SKINNY JEAN</t>
  </si>
  <si>
    <t>WCJK44CR9</t>
  </si>
  <si>
    <t>WCJK99BCS</t>
  </si>
  <si>
    <t>TARA SUPER SKNY LEGGING W/ZIPP</t>
  </si>
  <si>
    <t>WCJK99RI</t>
  </si>
  <si>
    <t>TARA SUPER SKINNY LEGGING W/ZI</t>
  </si>
  <si>
    <t>WCJK99TS</t>
  </si>
  <si>
    <t>WCJN43EM</t>
  </si>
  <si>
    <t>STEALTH JOHNNY STRAIGHT LEG  W</t>
  </si>
  <si>
    <t>WCJN44EM</t>
  </si>
  <si>
    <t>WCJN68RI</t>
  </si>
  <si>
    <t>RACHEL SUPER SKINNY LEGGING W/</t>
  </si>
  <si>
    <t>WCJN68TS</t>
  </si>
  <si>
    <t>WCJN88EM</t>
  </si>
  <si>
    <t>STEALTH KATELYN MID RISE SKINN</t>
  </si>
  <si>
    <t>WCJN95CR8</t>
  </si>
  <si>
    <t>WCJN95CR9</t>
  </si>
  <si>
    <t>WCJN96BCS</t>
  </si>
  <si>
    <t>SERENA SUPER SKNY WM JEAN</t>
  </si>
  <si>
    <t>WCJN96CR9</t>
  </si>
  <si>
    <t>WCJN96RI</t>
  </si>
  <si>
    <t>SERENA SUPER SKINNY WOMEN JEAN</t>
  </si>
  <si>
    <t>WCJN96TS</t>
  </si>
  <si>
    <t>SERENA SUPER SKNY LEGGING WM J</t>
  </si>
  <si>
    <t>WCN241J24</t>
  </si>
  <si>
    <t>L/S ROCKY WESTERN SHIRT - BLAC</t>
  </si>
  <si>
    <t>WCNP40M40</t>
  </si>
  <si>
    <t>GEORGIA LONESTAR LS WESTERN SH</t>
  </si>
  <si>
    <t>WCP599SNR1</t>
  </si>
  <si>
    <t>SKINNY WFLPS SELVAGE NAT</t>
  </si>
  <si>
    <t>WCPK94J39</t>
  </si>
  <si>
    <t>PHANTOM CHRISTINA STRAIGHT LG</t>
  </si>
  <si>
    <t>WCPK94L52</t>
  </si>
  <si>
    <t>WCPK94M16</t>
  </si>
  <si>
    <t>WCPK95J39</t>
  </si>
  <si>
    <t>PHANTOM ALEXA SKINNY WM JEAN</t>
  </si>
  <si>
    <t>WCPK95L52</t>
  </si>
  <si>
    <t>WCPK95M16</t>
  </si>
  <si>
    <t>WCPK96J39</t>
  </si>
  <si>
    <t>PHANTOM CHELSEY BOOT CUT WM JE</t>
  </si>
  <si>
    <t>WCPN52L52</t>
  </si>
  <si>
    <t>PHANTOM BRIANNA BOYFRIEND WM J</t>
  </si>
  <si>
    <t>WCPN52M16</t>
  </si>
  <si>
    <t>WCPQ01L52</t>
  </si>
  <si>
    <t>PHANTOM BOBBY FLARE LEG</t>
  </si>
  <si>
    <t>WCYB081ME1</t>
  </si>
  <si>
    <t>LOW RISE AVA-WIDE LEG</t>
  </si>
  <si>
    <t>BWFD</t>
  </si>
  <si>
    <t>BWFD REGALE AVE</t>
  </si>
  <si>
    <t>WCYB086ME1</t>
  </si>
  <si>
    <t>HIGH RISE HALLE SUPER SKIN 30</t>
  </si>
  <si>
    <t>WCYB091ME1</t>
  </si>
  <si>
    <t>CORA CROP MID RISE STR 27</t>
  </si>
  <si>
    <t>WCYB210ME1</t>
  </si>
  <si>
    <t>SANDED COBALT KEIRA</t>
  </si>
  <si>
    <t>WCYC013MO6</t>
  </si>
  <si>
    <t>CORA MID RISE STRAIGHT 34</t>
  </si>
  <si>
    <t>BVID</t>
  </si>
  <si>
    <t>BVID ATWATER AVE</t>
  </si>
  <si>
    <t>WCYC025MO6</t>
  </si>
  <si>
    <t>LOW RISE CASEY SUPER SKINNY 30</t>
  </si>
  <si>
    <t>WCYC028ME1</t>
  </si>
  <si>
    <t>WDBB093MV1</t>
  </si>
  <si>
    <t>WDBB146MV1</t>
  </si>
  <si>
    <t>BVSL</t>
  </si>
  <si>
    <t>BVSL EDNHURST AV</t>
  </si>
  <si>
    <t>WDBB147MV1</t>
  </si>
  <si>
    <t>WDBB172MV1</t>
  </si>
  <si>
    <t>CHARLIZE FLARE EDENHURST AVE</t>
  </si>
  <si>
    <t>WDBB173MV1</t>
  </si>
  <si>
    <t>WDBC012MV1</t>
  </si>
  <si>
    <t>WDBC012RB2</t>
  </si>
  <si>
    <t>WDBC013MV1</t>
  </si>
  <si>
    <t>WDBC018MV1</t>
  </si>
  <si>
    <t>JOEY-CUT OFF</t>
  </si>
  <si>
    <t>WDBC211MV1</t>
  </si>
  <si>
    <t>WDBC213MV1</t>
  </si>
  <si>
    <t>WDBZ37MV1</t>
  </si>
  <si>
    <t>WDDB083QQ3</t>
  </si>
  <si>
    <t>CBFM</t>
  </si>
  <si>
    <t>CBFM DUSTY CANYN</t>
  </si>
  <si>
    <t>WDDB091MI1</t>
  </si>
  <si>
    <t>CORA CROP MID RISE STRA 27 1/2</t>
  </si>
  <si>
    <t>BVML</t>
  </si>
  <si>
    <t>BVML BOYCE AVE</t>
  </si>
  <si>
    <t>WDDB093MI1</t>
  </si>
  <si>
    <t>BVOM</t>
  </si>
  <si>
    <t>BVOM CASITAS</t>
  </si>
  <si>
    <t>WDDB097M07</t>
  </si>
  <si>
    <t>MID RISE HALLE BIKER S/S 30</t>
  </si>
  <si>
    <t>BWMD</t>
  </si>
  <si>
    <t>BWMD TOWNE AVE</t>
  </si>
  <si>
    <t>WDDB222QQ3</t>
  </si>
  <si>
    <t>WDDB230MH9</t>
  </si>
  <si>
    <t>JOEY CUT OFF SHRT BLK INDGO MX</t>
  </si>
  <si>
    <t>BVPM</t>
  </si>
  <si>
    <t>BVPM CHANNING ST</t>
  </si>
  <si>
    <t>WDDC015MH9</t>
  </si>
  <si>
    <t>JOEY SHORT LOW RISE FLAP 2</t>
  </si>
  <si>
    <t>WDDC018QQ3</t>
  </si>
  <si>
    <t>WDDC019MH9</t>
  </si>
  <si>
    <t>BLACK INDIGO MIX ALANA SIDE SK</t>
  </si>
  <si>
    <t>WDDC023MH9</t>
  </si>
  <si>
    <t>WDDC025QQ3</t>
  </si>
  <si>
    <t>CGSM</t>
  </si>
  <si>
    <t>CGSM DSTY CYN CR</t>
  </si>
  <si>
    <t>WDDC028MI1</t>
  </si>
  <si>
    <t>KEIRA LOW RISE MID THIGH</t>
  </si>
  <si>
    <t>BVXD</t>
  </si>
  <si>
    <t>BVXD GRAND AVE</t>
  </si>
  <si>
    <t>WDJB074NX9</t>
  </si>
  <si>
    <t>BWD CANYON</t>
  </si>
  <si>
    <t>WDJB077MD0</t>
  </si>
  <si>
    <t>DUSTY BIKE JACKET  MODIFIED</t>
  </si>
  <si>
    <t>WDKA428NP7</t>
  </si>
  <si>
    <t>WDKA910NP7</t>
  </si>
  <si>
    <t>WDKA910NQ1</t>
  </si>
  <si>
    <t>CORA W FLAP CORE</t>
  </si>
  <si>
    <t>WDKA946LU5</t>
  </si>
  <si>
    <t>WDKA946NP7</t>
  </si>
  <si>
    <t>WDKA999NP7</t>
  </si>
  <si>
    <t>WDKB082MD0</t>
  </si>
  <si>
    <t>HALLE CROP SKINNY MATTE/SHINE</t>
  </si>
  <si>
    <t>WDKB082NY1</t>
  </si>
  <si>
    <t>BVJ VICENTE BLUE</t>
  </si>
  <si>
    <t>WDKB092OF8</t>
  </si>
  <si>
    <t>MID RISE HALLE</t>
  </si>
  <si>
    <t>CBR BLUE HAZE</t>
  </si>
  <si>
    <t>WDKB094MG7</t>
  </si>
  <si>
    <t>AUDREY ZIP MID RISE SLIM BF</t>
  </si>
  <si>
    <t>WDKB095DI0</t>
  </si>
  <si>
    <t>BVJ SKY GREY</t>
  </si>
  <si>
    <t>BVJ BOUGANVILLA</t>
  </si>
  <si>
    <t>WDKB095MF6</t>
  </si>
  <si>
    <t>BVY GRFTH VIEW DR</t>
  </si>
  <si>
    <t>BWKL SQUOIA/GRVL</t>
  </si>
  <si>
    <t>WDKB095MO5</t>
  </si>
  <si>
    <t>BVGL</t>
  </si>
  <si>
    <t>BVGL ALAMEDA ST</t>
  </si>
  <si>
    <t>WDKB097MG7</t>
  </si>
  <si>
    <t>BWC OPTIC WHITE</t>
  </si>
  <si>
    <t>BWO SUNSET</t>
  </si>
  <si>
    <t>WDKB189DI0</t>
  </si>
  <si>
    <t>FASHION MINERAL WASH JOEY SHRT</t>
  </si>
  <si>
    <t>WDKB194NQ1</t>
  </si>
  <si>
    <t>JOEY CUT OFF SHORT CORE</t>
  </si>
  <si>
    <t>WDKB213QT1</t>
  </si>
  <si>
    <t>AUDREY SILM BOYFRIEND</t>
  </si>
  <si>
    <t>CGZ DTRYD OP WHT</t>
  </si>
  <si>
    <t>WDKB215QT1</t>
  </si>
  <si>
    <t>WDKB225QL5</t>
  </si>
  <si>
    <t>09 POWDER BLUE</t>
  </si>
  <si>
    <t>WDKC018DI0</t>
  </si>
  <si>
    <t>WDKC020DI0</t>
  </si>
  <si>
    <t>WDKC028OF8</t>
  </si>
  <si>
    <t>CBR SILVER HAZE</t>
  </si>
  <si>
    <t>WDKC030MR1</t>
  </si>
  <si>
    <t>MID RISE HALLE SUPER SKINNY 30</t>
  </si>
  <si>
    <t>BVV GLENMANOR PL</t>
  </si>
  <si>
    <t>WDKC031MO8</t>
  </si>
  <si>
    <t>WDKC213MF6</t>
  </si>
  <si>
    <t>BWKL BGNVLLA/BLK</t>
  </si>
  <si>
    <t>WDKZ37MF6</t>
  </si>
  <si>
    <t>WDKZ37NP7</t>
  </si>
  <si>
    <t>DUSTY JACKET CORE</t>
  </si>
  <si>
    <t>WDSK35K32</t>
  </si>
  <si>
    <t>CASEY SKINNY VELVET LEGGING</t>
  </si>
  <si>
    <t>WDSK44K32</t>
  </si>
  <si>
    <t>MISTY SKINNY VELVET LEGGING</t>
  </si>
  <si>
    <t>WE29K74IK</t>
  </si>
  <si>
    <t>MOTO LEATHER JACKET</t>
  </si>
  <si>
    <t>WE5572TS</t>
  </si>
  <si>
    <t>STRAIGHT WFLPS NATURAL BASIC</t>
  </si>
  <si>
    <t>AQBD</t>
  </si>
  <si>
    <t>AQBD BTTRMLK SKY</t>
  </si>
  <si>
    <t>WE5599STS</t>
  </si>
  <si>
    <t>SKINNY WFLPS NATURAL BASIC</t>
  </si>
  <si>
    <t>WED8T12T78</t>
  </si>
  <si>
    <t>EAGLE VIBRATIONS HOODED HENLEY</t>
  </si>
  <si>
    <t>09 AZUL</t>
  </si>
  <si>
    <t>WED8U37Z66</t>
  </si>
  <si>
    <t>TR SPORTSWEAR 71 WAFFEL TEE</t>
  </si>
  <si>
    <t>WED8U37Z67</t>
  </si>
  <si>
    <t>70'S DOVE WAFFEL TEE</t>
  </si>
  <si>
    <t>WEG3S98U14</t>
  </si>
  <si>
    <t>JORDAN PANT</t>
  </si>
  <si>
    <t>SR CHARCOAL</t>
  </si>
  <si>
    <t>SR OAK LEAF</t>
  </si>
  <si>
    <t>WEKA933MJ9</t>
  </si>
  <si>
    <t>SKULL VNECK TEE</t>
  </si>
  <si>
    <t>WELP39M47</t>
  </si>
  <si>
    <t>LINDSAY LONESTAR 1 PCKT JACKET</t>
  </si>
  <si>
    <t>WELP72M47</t>
  </si>
  <si>
    <t>BOBBY LONESTAR WOMENS JEAN</t>
  </si>
  <si>
    <t>WELP73M47</t>
  </si>
  <si>
    <t>RAEGAN LONESTAR WOMENS JEANS</t>
  </si>
  <si>
    <t>WELP74M47</t>
  </si>
  <si>
    <t>WELP97M47</t>
  </si>
  <si>
    <t>JOEY LONESTAR HIGH THIGH CUT O</t>
  </si>
  <si>
    <t>WELP99M47</t>
  </si>
  <si>
    <t>LISA LONESTAR BOYFRIEND FIT WP</t>
  </si>
  <si>
    <t>WETH63S34</t>
  </si>
  <si>
    <t>JADA VINTAGE WESTERN WOMEN JAC</t>
  </si>
  <si>
    <t>WF43592IK</t>
  </si>
  <si>
    <t>STELLA SKINNY PANT PONTE</t>
  </si>
  <si>
    <t>WF43599IK</t>
  </si>
  <si>
    <t>JULIE SKINNY PANT PONTE</t>
  </si>
  <si>
    <t>WF43K44E29</t>
  </si>
  <si>
    <t>MISTY PAVE STRETCH PONTE</t>
  </si>
  <si>
    <t>WF43N95IK</t>
  </si>
  <si>
    <t>HALLE SKINNY PONTE PANT</t>
  </si>
  <si>
    <t>WF4B226QU5</t>
  </si>
  <si>
    <t>HALLE SUPER SKINNY INDIGO PNTE</t>
  </si>
  <si>
    <t>WF4K44FW9</t>
  </si>
  <si>
    <t>MISTY GLITZ AND GLAM PONTE</t>
  </si>
  <si>
    <t>WF4K44P04</t>
  </si>
  <si>
    <t>MISTY GOLD PAVE STRETCH PONTE</t>
  </si>
  <si>
    <t>WFNC037MS8</t>
  </si>
  <si>
    <t>CAU BLACK</t>
  </si>
  <si>
    <t>CAU VINCENTE BLU</t>
  </si>
  <si>
    <t>WFOC037NC2</t>
  </si>
  <si>
    <t>CAV BLACK</t>
  </si>
  <si>
    <t>CAV WHITE</t>
  </si>
  <si>
    <t>WFOC038MS9</t>
  </si>
  <si>
    <t>71 GRAPHIC RELAXED SS CREW TEE</t>
  </si>
  <si>
    <t>WFOC038NE9</t>
  </si>
  <si>
    <t>LA SEQUIN RELAXED SS CREW NECK</t>
  </si>
  <si>
    <t>CAV CREAM</t>
  </si>
  <si>
    <t>WFOC038NK4</t>
  </si>
  <si>
    <t>STAMP GRAPHIC SS RLXD CREW NEC</t>
  </si>
  <si>
    <t>CAV PAVEMENT</t>
  </si>
  <si>
    <t>CAV SUNSET</t>
  </si>
  <si>
    <t>WFOC040MT2</t>
  </si>
  <si>
    <t>ALL OR NOTHING S/S MUSCLE TEE</t>
  </si>
  <si>
    <t>CAV  BLACK</t>
  </si>
  <si>
    <t>WFOC040NU6</t>
  </si>
  <si>
    <t>WFOC055MT3</t>
  </si>
  <si>
    <t>TR STAMP BASEBALL RAGLAN TEE</t>
  </si>
  <si>
    <t>CAV WHITE/SUNSET</t>
  </si>
  <si>
    <t>CAV WHITE/BLACK</t>
  </si>
  <si>
    <t>WFOC094NC2</t>
  </si>
  <si>
    <t>WFOC094NM3</t>
  </si>
  <si>
    <t>CAV TANGO RED</t>
  </si>
  <si>
    <t>WFOC096NV4</t>
  </si>
  <si>
    <t>CATALINA SHINE SLIM TANK</t>
  </si>
  <si>
    <t>WFOC196NR5</t>
  </si>
  <si>
    <t>SHADOW BOX RELAXED TANK</t>
  </si>
  <si>
    <t>WFSB058SH4</t>
  </si>
  <si>
    <t>CRAFTED W PRIDE ZIP UP HOODIE</t>
  </si>
  <si>
    <t>WFSC041MT8</t>
  </si>
  <si>
    <t>WFSC051IK</t>
  </si>
  <si>
    <t>WFSC058IK</t>
  </si>
  <si>
    <t>SKINNY SWEATPANT</t>
  </si>
  <si>
    <t>WFSC058KG6</t>
  </si>
  <si>
    <t>CRAFTED W PRIDE SKINNY SWTPNT</t>
  </si>
  <si>
    <t>WFSC058NL2</t>
  </si>
  <si>
    <t>WFSC090NE8</t>
  </si>
  <si>
    <t>WFSC183IK</t>
  </si>
  <si>
    <t>WFSC184IK</t>
  </si>
  <si>
    <t>CROP SEQUIN SKINNY SWEATPANT</t>
  </si>
  <si>
    <t>WFSC192IK</t>
  </si>
  <si>
    <t>WFTC058IK</t>
  </si>
  <si>
    <t>LUREX SKINNY SWEATPANT</t>
  </si>
  <si>
    <t>2S SILVER GREY</t>
  </si>
  <si>
    <t>WFTC090IK</t>
  </si>
  <si>
    <t>LUREX L/S PULLOVER</t>
  </si>
  <si>
    <t>WFUA327IK</t>
  </si>
  <si>
    <t>INDIGO TENCEL BOY UTILITY SHIR</t>
  </si>
  <si>
    <t>BYWL</t>
  </si>
  <si>
    <t>BYWL LGHT BLEACH</t>
  </si>
  <si>
    <t>WFUA620IK</t>
  </si>
  <si>
    <t>INDIGO GEORGIA SLIM LS WESTERN</t>
  </si>
  <si>
    <t>WFUC047IK</t>
  </si>
  <si>
    <t>INDIGO TENCEL TANK</t>
  </si>
  <si>
    <t>BJYL MINERAL</t>
  </si>
  <si>
    <t>WFUC075IK</t>
  </si>
  <si>
    <t>INDIGO RAGLAN UTILITY SHIRT</t>
  </si>
  <si>
    <t>WFUC092IK</t>
  </si>
  <si>
    <t>INDIGO TENCEL RLXD GEORGIA DRS</t>
  </si>
  <si>
    <t>WFUC206IK</t>
  </si>
  <si>
    <t>INDIGO TENCEL DRESS</t>
  </si>
  <si>
    <t>WFVC044IK</t>
  </si>
  <si>
    <t>COLOR BLOCKED BURNOUT TEE</t>
  </si>
  <si>
    <t>2S VINCENTE</t>
  </si>
  <si>
    <t>2S BANGLE</t>
  </si>
  <si>
    <t>WFWA620IK</t>
  </si>
  <si>
    <t>WFXC049NJ1</t>
  </si>
  <si>
    <t>MOTO JACKET RELAXED FIT</t>
  </si>
  <si>
    <t>BWPM</t>
  </si>
  <si>
    <t>BWPM MAPLE ST</t>
  </si>
  <si>
    <t>WFXC050NJ1</t>
  </si>
  <si>
    <t>SEAMED TROUSERS</t>
  </si>
  <si>
    <t>WFY8Q67EG</t>
  </si>
  <si>
    <t>RELAXED CREWNECK TEE</t>
  </si>
  <si>
    <t>2S OCEAN BLUE</t>
  </si>
  <si>
    <t>WFY8Q67Q89</t>
  </si>
  <si>
    <t>S/S RELAXED SUMMER TOUR CREW N</t>
  </si>
  <si>
    <t>2S CREAM</t>
  </si>
  <si>
    <t>WFY8Q67Q90</t>
  </si>
  <si>
    <t>S/S RELAXED PSYCHEDELIC CREWNE</t>
  </si>
  <si>
    <t>2S FADED CHERRY</t>
  </si>
  <si>
    <t>WFZC051IK</t>
  </si>
  <si>
    <t>FOIL INDIGO ZIP HOODIE</t>
  </si>
  <si>
    <t>2S GOLD INDIGO</t>
  </si>
  <si>
    <t>WFZC058IK</t>
  </si>
  <si>
    <t>FOIL INDIGO SKINNY SWEATPANT</t>
  </si>
  <si>
    <t>WG9572C88</t>
  </si>
  <si>
    <t>BILLY CRYSTAL WOMEN JEAN</t>
  </si>
  <si>
    <t>WG9599EM</t>
  </si>
  <si>
    <t>JULIE TONAL CLASSICS WOMEN JEA</t>
  </si>
  <si>
    <t>WGDC053IK</t>
  </si>
  <si>
    <t>REVERSIBLE SEQUIN DUSTY JACKET</t>
  </si>
  <si>
    <t>WGH8K98DB2</t>
  </si>
  <si>
    <t>BASIC LOGO VNECK TEE</t>
  </si>
  <si>
    <t>WGH8U38HB9</t>
  </si>
  <si>
    <t>EMB. L/S HENLEY WITH CAVIAR</t>
  </si>
  <si>
    <t>XA WHITE</t>
  </si>
  <si>
    <t>XA DAFFODIL</t>
  </si>
  <si>
    <t>09 MUSHROOM</t>
  </si>
  <si>
    <t>WGHA183EQ7</t>
  </si>
  <si>
    <t>SPARKLE TRUE GLIT/CAVIAR CREWN</t>
  </si>
  <si>
    <t>WGHA183ER1</t>
  </si>
  <si>
    <t>ROSE BLOCK S/S CREW NECK TEE</t>
  </si>
  <si>
    <t>WGHA183EW8</t>
  </si>
  <si>
    <t>TRUE LOVE SPARKLE SS CREW TEE</t>
  </si>
  <si>
    <t>WGJC054IK</t>
  </si>
  <si>
    <t>WGKC046IK</t>
  </si>
  <si>
    <t>GROMMET EMBELLISHED TANK</t>
  </si>
  <si>
    <t>BZAM</t>
  </si>
  <si>
    <t>BZAM INDGO OMBRE</t>
  </si>
  <si>
    <t>WGM8K99T53</t>
  </si>
  <si>
    <t>CREW NECK TEE W EMB</t>
  </si>
  <si>
    <t>WGPC054IK</t>
  </si>
  <si>
    <t>PEWTER</t>
  </si>
  <si>
    <t>WGPC065IK</t>
  </si>
  <si>
    <t>LEATHER RUNNING SHORT</t>
  </si>
  <si>
    <t>WGQC067MT6</t>
  </si>
  <si>
    <t>CASSETTE GRAPHIC RELAXED TEE</t>
  </si>
  <si>
    <t>CAU SILVER</t>
  </si>
  <si>
    <t>CAU BOUGANVILLA</t>
  </si>
  <si>
    <t>WGQC067QT5</t>
  </si>
  <si>
    <t>PADDLE OUT RELAXED TEE</t>
  </si>
  <si>
    <t>WGQC186IK</t>
  </si>
  <si>
    <t>MESH CREW</t>
  </si>
  <si>
    <t>WGQC187IK</t>
  </si>
  <si>
    <t>MESH TANK</t>
  </si>
  <si>
    <t>WGSBP40IK</t>
  </si>
  <si>
    <t>L/S LONESTAR SOLID WESTERN SHI</t>
  </si>
  <si>
    <t>3C FADED SUNFLOWER</t>
  </si>
  <si>
    <t>WGUC043NJ7</t>
  </si>
  <si>
    <t>CONFETTI SKINNY PANEL SWEATPAN</t>
  </si>
  <si>
    <t>2S BOUGANVILLA</t>
  </si>
  <si>
    <t>WGUC069NJ6</t>
  </si>
  <si>
    <t>WGVC071IK</t>
  </si>
  <si>
    <t>MARLED TERRY CROP HOODIE</t>
  </si>
  <si>
    <t>WGVC072IK</t>
  </si>
  <si>
    <t>MARLED TERRY CROP TROUSER</t>
  </si>
  <si>
    <t>WGWC089IK</t>
  </si>
  <si>
    <t>2S PACIFIC</t>
  </si>
  <si>
    <t>2S SUNSET</t>
  </si>
  <si>
    <t>WGWC095IK</t>
  </si>
  <si>
    <t>SILK RELAXED TANK</t>
  </si>
  <si>
    <t>WGWPSJ8</t>
  </si>
  <si>
    <t>WH13P01001</t>
  </si>
  <si>
    <t>SHANNON STRIPE SKINNY</t>
  </si>
  <si>
    <t>WHDG11TS</t>
  </si>
  <si>
    <t>BOBBY C/O WOMENS SHORT</t>
  </si>
  <si>
    <t>WHHS34T01</t>
  </si>
  <si>
    <t>AUBURN LONESTAR PENCIL SKIRT</t>
  </si>
  <si>
    <t>WHHS50S37</t>
  </si>
  <si>
    <t>LEIGHTON LONESTAR SNAP FRONT D</t>
  </si>
  <si>
    <t>WHJNZ95K2</t>
  </si>
  <si>
    <t>PUFFER VEST W/ FUR TRIM HOODIE</t>
  </si>
  <si>
    <t>AUBURN</t>
  </si>
  <si>
    <t>WHLBP40IK</t>
  </si>
  <si>
    <t>LONESTAR WESTERN INDIGO SHIRT</t>
  </si>
  <si>
    <t>WHUB131NQ6</t>
  </si>
  <si>
    <t>CRYSTAL UNIVERSITY HOODIE</t>
  </si>
  <si>
    <t>WHUB132NQ7</t>
  </si>
  <si>
    <t>CRYSTAL HORSESHOE SWEATPANT</t>
  </si>
  <si>
    <t>SZ CLOVER PLAID</t>
  </si>
  <si>
    <t>WHXB201NQ6</t>
  </si>
  <si>
    <t>CRYSTAL UNIVERSITY LS SCOOP</t>
  </si>
  <si>
    <t>DK ROYAL</t>
  </si>
  <si>
    <t>WHXB202QP3</t>
  </si>
  <si>
    <t>BUDDHAS BRAND SCOOP TEE</t>
  </si>
  <si>
    <t>WHYK95S32</t>
  </si>
  <si>
    <t>ALEXA PHANTOM SKINNY WOMENS JE</t>
  </si>
  <si>
    <t>WHYN52S32</t>
  </si>
  <si>
    <t>BRIANNA PHANTOM BOYFRIEND WOME</t>
  </si>
  <si>
    <t>WHYT48V38</t>
  </si>
  <si>
    <t>HALLE TUXEDO GANG DIE WOMENS J</t>
  </si>
  <si>
    <t>WHYT52U39</t>
  </si>
  <si>
    <t>SHANNON DOUBLE STITCH WOMEN JE</t>
  </si>
  <si>
    <t>TOM</t>
  </si>
  <si>
    <t>GRASSLAND</t>
  </si>
  <si>
    <t>WHYT53U39</t>
  </si>
  <si>
    <t>TRISHA DOUBLE STITCH WOMEN JEA</t>
  </si>
  <si>
    <t>TPD</t>
  </si>
  <si>
    <t>SCORCHED</t>
  </si>
  <si>
    <t>WHZK35BCS</t>
  </si>
  <si>
    <t>WHZK35RI</t>
  </si>
  <si>
    <t>WHZK44RI</t>
  </si>
  <si>
    <t>WHZN95EJ6</t>
  </si>
  <si>
    <t>HI RISE LEGGING NATURAL</t>
  </si>
  <si>
    <t>FDD</t>
  </si>
  <si>
    <t>FDD SUMMIT</t>
  </si>
  <si>
    <t>WHZN95KB5</t>
  </si>
  <si>
    <t>LEGGING  BIG T OLD MULTI</t>
  </si>
  <si>
    <t>WHZN95T05</t>
  </si>
  <si>
    <t>WHZN96EJ6</t>
  </si>
  <si>
    <t>LEGGING WFLAPS NATURAL</t>
  </si>
  <si>
    <t>WHZN96KB5</t>
  </si>
  <si>
    <t>LEGGING WFLAPS BIG T OLD MULTI</t>
  </si>
  <si>
    <t>WHZN96T05</t>
  </si>
  <si>
    <t>WI2B220ML4</t>
  </si>
  <si>
    <t>LIVE IN NY LS RAGLAN</t>
  </si>
  <si>
    <t>BLACK / DK ROYAL</t>
  </si>
  <si>
    <t>OFF WHITE / ASH</t>
  </si>
  <si>
    <t>WI2V02QP0</t>
  </si>
  <si>
    <t>KEEP IT TRUE SS ROUND V NECK</t>
  </si>
  <si>
    <t>WICC015MI4</t>
  </si>
  <si>
    <t>BWI S PAC RL RD</t>
  </si>
  <si>
    <t>WICC023MI4</t>
  </si>
  <si>
    <t>MID RISE CROP HALLE SUPER S</t>
  </si>
  <si>
    <t>WIGBR59IK</t>
  </si>
  <si>
    <t>L/S GEORGIA PRINTED POPLIN SHI</t>
  </si>
  <si>
    <t>2S WNTER BLOSSOM</t>
  </si>
  <si>
    <t>FK YELLOW</t>
  </si>
  <si>
    <t>WJA500OM</t>
  </si>
  <si>
    <t>BOBBY BOOT CUT WOMEN JEAN</t>
  </si>
  <si>
    <t>WJA502OM</t>
  </si>
  <si>
    <t>WJA572OM</t>
  </si>
  <si>
    <t>BILLY STRAIGHT WOMEN JEAN</t>
  </si>
  <si>
    <t>WJAA325GC6</t>
  </si>
  <si>
    <t>CASSIE ROLLED SHORT CYPRS PEAK</t>
  </si>
  <si>
    <t>AXQM</t>
  </si>
  <si>
    <t>AXQM CYPRSS PEAK</t>
  </si>
  <si>
    <t>WJAA355GC6</t>
  </si>
  <si>
    <t>BRISTOL FITTED JCKT CYPRS PEAK</t>
  </si>
  <si>
    <t>WJAK75OM</t>
  </si>
  <si>
    <t>CARRIE FLARE WOMEN JEAN</t>
  </si>
  <si>
    <t>WJAP46F83</t>
  </si>
  <si>
    <t>SADIE LOVE &amp; HAIGHT SKIRT</t>
  </si>
  <si>
    <t>WJAP48F83</t>
  </si>
  <si>
    <t>JADA LOVE &amp; HAIGHT WOMENS JACK</t>
  </si>
  <si>
    <t>SUD</t>
  </si>
  <si>
    <t>SUD RANGEWOOD</t>
  </si>
  <si>
    <t>WJAQ86FF8</t>
  </si>
  <si>
    <t>BRIANNA BOYFRIEND LASER CAMO</t>
  </si>
  <si>
    <t>AUNL</t>
  </si>
  <si>
    <t>AUNL SCRAMBLED</t>
  </si>
  <si>
    <t>WJAQ86OM</t>
  </si>
  <si>
    <t>BRIANNA BOYFRIEND WOMENS JEAN</t>
  </si>
  <si>
    <t>WJAR08F83</t>
  </si>
  <si>
    <t>DAKOTA LOVE &amp; HAIGHT FLOOR LEN</t>
  </si>
  <si>
    <t>WJAY65DV0</t>
  </si>
  <si>
    <t>MADISON PREMIUM BOYFIREND JEAN</t>
  </si>
  <si>
    <t>ANUM</t>
  </si>
  <si>
    <t>ANUM ARROW ROCK</t>
  </si>
  <si>
    <t>ANVM</t>
  </si>
  <si>
    <t>ANVM HRSESHE DRV</t>
  </si>
  <si>
    <t>WJAY66DG5</t>
  </si>
  <si>
    <t>JOHNNY PREMIUM WOMEN JEAN</t>
  </si>
  <si>
    <t>WJAY67DV0</t>
  </si>
  <si>
    <t>ALLIE PREMIUM CUFFED SHORT</t>
  </si>
  <si>
    <t>WJBA970LT8</t>
  </si>
  <si>
    <t>HALLE SPR SKINNY DENIM PTCHWRK</t>
  </si>
  <si>
    <t>BTMD</t>
  </si>
  <si>
    <t>BTMD ALL IS QUET</t>
  </si>
  <si>
    <t>WJBB001LT9</t>
  </si>
  <si>
    <t>ROWAN JACKET DENIM PATCHWORK</t>
  </si>
  <si>
    <t>WJBK95S32</t>
  </si>
  <si>
    <t>ALEXA PHANTOM WOMENS JEAN</t>
  </si>
  <si>
    <t>WJBP74T50</t>
  </si>
  <si>
    <t>WJBR55T50</t>
  </si>
  <si>
    <t>WJBT74U42</t>
  </si>
  <si>
    <t>TONY HERITAGE TROUSER WOMENS J</t>
  </si>
  <si>
    <t>WJBT75U42</t>
  </si>
  <si>
    <t>HALLE HERITAGE TROUSER WOMENS</t>
  </si>
  <si>
    <t>TLM</t>
  </si>
  <si>
    <t>SILVER STUD</t>
  </si>
  <si>
    <t>WJBT76U42</t>
  </si>
  <si>
    <t>ADDISON HERITAGE TROUSER WOMEN</t>
  </si>
  <si>
    <t>WJBT98U44</t>
  </si>
  <si>
    <t>MOTO JACKET BADLANDS WOMEN</t>
  </si>
  <si>
    <t>WJBT98U46</t>
  </si>
  <si>
    <t>WJBU11U44</t>
  </si>
  <si>
    <t>BILLY BADLANDS WOMENS JEAN</t>
  </si>
  <si>
    <t>WJBU11U46</t>
  </si>
  <si>
    <t>WJBY98CS2</t>
  </si>
  <si>
    <t>TONY NO FLAPS INDIGO 1971 JEAN</t>
  </si>
  <si>
    <t>ANXM</t>
  </si>
  <si>
    <t>ANXM MD AURA WNDS</t>
  </si>
  <si>
    <t>WJBY99CS2</t>
  </si>
  <si>
    <t>STELLA 32' INDIGO 1971 JEAN</t>
  </si>
  <si>
    <t>WJBZ25CX0</t>
  </si>
  <si>
    <t>STELLA 32 EMBELLISHED INDIGO</t>
  </si>
  <si>
    <t>WJBZ37CU9</t>
  </si>
  <si>
    <t>WJC500OM</t>
  </si>
  <si>
    <t>07 MED VINTAGE</t>
  </si>
  <si>
    <t>SEM</t>
  </si>
  <si>
    <t>SEM DEFIANCE</t>
  </si>
  <si>
    <t>WJC503DB3</t>
  </si>
  <si>
    <t>JOEY RUST/BROWN SUPER T JEAN</t>
  </si>
  <si>
    <t>WJC503DB5</t>
  </si>
  <si>
    <t>JOEY CONTRAST SEAL SUPER T</t>
  </si>
  <si>
    <t>WJC503DB6</t>
  </si>
  <si>
    <t>JOEY CONTRAST PLUM SUPER T</t>
  </si>
  <si>
    <t>WJC503EX4</t>
  </si>
  <si>
    <t>JOEY FLARE SUPER T LEAD&amp;CURRNT</t>
  </si>
  <si>
    <t>WJC503NBT2</t>
  </si>
  <si>
    <t>JOEY SUPER T FLARE JEAN</t>
  </si>
  <si>
    <t>AOBD</t>
  </si>
  <si>
    <t>AOBD ROLLINGWOOD</t>
  </si>
  <si>
    <t>WJC503OM</t>
  </si>
  <si>
    <t>WJC503OMC</t>
  </si>
  <si>
    <t>JOEY CORE VINTAGE TWIST FLARE</t>
  </si>
  <si>
    <t>WJC564BA2</t>
  </si>
  <si>
    <t>BECKY SUPER T PASTEL JEAN</t>
  </si>
  <si>
    <t>06 DK VINTAGE</t>
  </si>
  <si>
    <t>WJC564BA3</t>
  </si>
  <si>
    <t>WJC564BA4</t>
  </si>
  <si>
    <t>WJC564BA5</t>
  </si>
  <si>
    <t>WJC564BA6</t>
  </si>
  <si>
    <t>WJC564BA7</t>
  </si>
  <si>
    <t>BECKY SUPER T BRIGHTS JEAN</t>
  </si>
  <si>
    <t>WJC564BA8</t>
  </si>
  <si>
    <t>WJC564BA9</t>
  </si>
  <si>
    <t>WJC564BB0</t>
  </si>
  <si>
    <t>WJC564BB1</t>
  </si>
  <si>
    <t>WJC564BB2</t>
  </si>
  <si>
    <t>WJC564BB3</t>
  </si>
  <si>
    <t>WJC564BB4</t>
  </si>
  <si>
    <t>WJC564BB5</t>
  </si>
  <si>
    <t>BECKY SUPER T CORE JEAN</t>
  </si>
  <si>
    <t>WJC564BB6</t>
  </si>
  <si>
    <t>WJC564BB7</t>
  </si>
  <si>
    <t>WJC564BB8</t>
  </si>
  <si>
    <t>WJC564DB3</t>
  </si>
  <si>
    <t>BECKY RUST/BROWN SUPER T JEAN</t>
  </si>
  <si>
    <t>WJC564DB5</t>
  </si>
  <si>
    <t>BECKY CONTRAST SEAL SUPER T</t>
  </si>
  <si>
    <t>WJC564DB6</t>
  </si>
  <si>
    <t>BECKY CONTRAST PLUM SUPER T</t>
  </si>
  <si>
    <t>WJC564OM</t>
  </si>
  <si>
    <t>BECKY BOOT CUT WOMEN JEAN</t>
  </si>
  <si>
    <t>WJC564OMC</t>
  </si>
  <si>
    <t>BECKY CORE VINTAGE BOOTCUT</t>
  </si>
  <si>
    <t>WJC564V42</t>
  </si>
  <si>
    <t>BECKY CHESSBOARD WOMEN JEAN</t>
  </si>
  <si>
    <t>WJC564V59</t>
  </si>
  <si>
    <t>VDD</t>
  </si>
  <si>
    <t>HARPER FALLS</t>
  </si>
  <si>
    <t>WJC572BA2</t>
  </si>
  <si>
    <t>WJC572BA4</t>
  </si>
  <si>
    <t>WJC572BA5</t>
  </si>
  <si>
    <t>WJC572BA6</t>
  </si>
  <si>
    <t>WJC572BA7</t>
  </si>
  <si>
    <t>WJC572BA8</t>
  </si>
  <si>
    <t>WJC572BA9</t>
  </si>
  <si>
    <t>WJC572BB0</t>
  </si>
  <si>
    <t>WJC572BB1</t>
  </si>
  <si>
    <t>WJC572BB2</t>
  </si>
  <si>
    <t>WJC572BB3</t>
  </si>
  <si>
    <t>WJC572BB5</t>
  </si>
  <si>
    <t>WJC572BB6</t>
  </si>
  <si>
    <t>BILLY SUPER T CORE JEAN</t>
  </si>
  <si>
    <t>WJC572BB7</t>
  </si>
  <si>
    <t>WJC572BB8</t>
  </si>
  <si>
    <t>WJC572DB3</t>
  </si>
  <si>
    <t>BILLY RUST/BROWN SUPER T JEAN</t>
  </si>
  <si>
    <t>WJC572DB5</t>
  </si>
  <si>
    <t>BILLY CONTRAST SEAL SUPER T</t>
  </si>
  <si>
    <t>WJC572DB6</t>
  </si>
  <si>
    <t>BILLY CONTRAST PLUM SUPER T</t>
  </si>
  <si>
    <t>WJC572NBT2</t>
  </si>
  <si>
    <t>BILLY SUPER T STRAIGHT JEAN</t>
  </si>
  <si>
    <t>WJC572OM</t>
  </si>
  <si>
    <t>WJC572OMC</t>
  </si>
  <si>
    <t>BILLY CORE VINTAGE STRAIGHT</t>
  </si>
  <si>
    <t>WJC572V42</t>
  </si>
  <si>
    <t>BILLY CHESSBOARD WOMEN JEAN</t>
  </si>
  <si>
    <t>WJC572V59</t>
  </si>
  <si>
    <t>VDM</t>
  </si>
  <si>
    <t>SILENT STORM</t>
  </si>
  <si>
    <t>WJC572X15</t>
  </si>
  <si>
    <t>WJC592BA2</t>
  </si>
  <si>
    <t>STELLA SUPER T PASTEL JEAN</t>
  </si>
  <si>
    <t>WJC592BA3</t>
  </si>
  <si>
    <t>WJC592BA4</t>
  </si>
  <si>
    <t>WJC592BA5</t>
  </si>
  <si>
    <t>WJC592BA6</t>
  </si>
  <si>
    <t>WJC592BA7</t>
  </si>
  <si>
    <t>WJC592BA9</t>
  </si>
  <si>
    <t>WJC592BB0</t>
  </si>
  <si>
    <t>WJC592BB2</t>
  </si>
  <si>
    <t>WJC592BB4</t>
  </si>
  <si>
    <t>WJC592BB5</t>
  </si>
  <si>
    <t>STELLA SUPER T CORE JEAN</t>
  </si>
  <si>
    <t>WJC592BB6</t>
  </si>
  <si>
    <t>WJC592BB7</t>
  </si>
  <si>
    <t>WJC592BB8</t>
  </si>
  <si>
    <t>WJC592CD7</t>
  </si>
  <si>
    <t>STELLA MULTI COLOR SUPER T</t>
  </si>
  <si>
    <t>WJC592CD8</t>
  </si>
  <si>
    <t>STELLA DUSTY PINK GREY SUPER T</t>
  </si>
  <si>
    <t>V9L</t>
  </si>
  <si>
    <t>V9L TRAIL DRIVER</t>
  </si>
  <si>
    <t>WJC592DB3</t>
  </si>
  <si>
    <t>STELLA RUST/BROWN SUPER T JEAN</t>
  </si>
  <si>
    <t>WJC592SOMC</t>
  </si>
  <si>
    <t>STELLA 32 IN CORE VINTAGE</t>
  </si>
  <si>
    <t>WJC592V59</t>
  </si>
  <si>
    <t>WJC592X15</t>
  </si>
  <si>
    <t>WJC599BA2</t>
  </si>
  <si>
    <t>JULIE SUPER T PASTEL JEAN</t>
  </si>
  <si>
    <t>WJC599BA3</t>
  </si>
  <si>
    <t>WJC599BA4</t>
  </si>
  <si>
    <t>WJC599BA5</t>
  </si>
  <si>
    <t>WJC599BA6</t>
  </si>
  <si>
    <t>WJC599BA7</t>
  </si>
  <si>
    <t>WJC599BA9</t>
  </si>
  <si>
    <t>WJC599BB0</t>
  </si>
  <si>
    <t>WJC599BB1</t>
  </si>
  <si>
    <t>WJC599BB2</t>
  </si>
  <si>
    <t>WJC599BB3</t>
  </si>
  <si>
    <t>WJC599BB4</t>
  </si>
  <si>
    <t>WJC599BB5</t>
  </si>
  <si>
    <t>JULIE SUPER T CORE JEAN</t>
  </si>
  <si>
    <t>WJC599BB6</t>
  </si>
  <si>
    <t>WJC599BB7</t>
  </si>
  <si>
    <t>WJC599BB8</t>
  </si>
  <si>
    <t>WJC599DB3</t>
  </si>
  <si>
    <t>JULIE RUST/BROWN SUPER T JEAN</t>
  </si>
  <si>
    <t>WJC599NBT2</t>
  </si>
  <si>
    <t>JULIE SUPER SKINNY JEAN</t>
  </si>
  <si>
    <t>WJC599OM</t>
  </si>
  <si>
    <t>JULIE OM SKINNY JEAN</t>
  </si>
  <si>
    <t>WJC599V42</t>
  </si>
  <si>
    <t>JULIE CHESSBOARD WOMENS JEAN</t>
  </si>
  <si>
    <t>2V MD DTR WO RPS</t>
  </si>
  <si>
    <t>TJD</t>
  </si>
  <si>
    <t>SMITHFIELD</t>
  </si>
  <si>
    <t>WJC599V59</t>
  </si>
  <si>
    <t>JULIE SUPER T WOMEN JEAN</t>
  </si>
  <si>
    <t>WJCA062EI6</t>
  </si>
  <si>
    <t>JUDE SKINNY ASPHALT</t>
  </si>
  <si>
    <t>AVND BLACK</t>
  </si>
  <si>
    <t>WJCA586IO7</t>
  </si>
  <si>
    <t>TINA CROPPED JACKET  RECYCLED</t>
  </si>
  <si>
    <t>BGUL</t>
  </si>
  <si>
    <t>BGUL TIME WAS</t>
  </si>
  <si>
    <t>WJCA942LU9</t>
  </si>
  <si>
    <t>WJCG10NBT2</t>
  </si>
  <si>
    <t>JOEY CUT OFF SHORT</t>
  </si>
  <si>
    <t>WJCG56OM</t>
  </si>
  <si>
    <t>LILY CROPPED OM WOMEN JEAN</t>
  </si>
  <si>
    <t>WJCG93NBT2</t>
  </si>
  <si>
    <t>EMILY SUPER T WESTERN JACKET</t>
  </si>
  <si>
    <t>WJCG93OMC</t>
  </si>
  <si>
    <t>EMILY CORE VINTAGE JACKET</t>
  </si>
  <si>
    <t>WJCK75OMC</t>
  </si>
  <si>
    <t>CARRIE CORE VINTAGE FLARE</t>
  </si>
  <si>
    <t>WJCK75S34</t>
  </si>
  <si>
    <t>CARRIE VINTAGE BELL BOTTOM WOM</t>
  </si>
  <si>
    <t>WJCM04OM</t>
  </si>
  <si>
    <t>CAMERON BOYFRIEND JEAN</t>
  </si>
  <si>
    <t>63 DK PNY EXPRSS</t>
  </si>
  <si>
    <t>78 URBN CWBOY DK</t>
  </si>
  <si>
    <t>WJCM04OMC</t>
  </si>
  <si>
    <t>CAMERON CORE VINTAGE BOYFRIEND</t>
  </si>
  <si>
    <t>WJCM04S34</t>
  </si>
  <si>
    <t>CAMERON VINTAGE BOYFRIEND</t>
  </si>
  <si>
    <t>WJCM11OM</t>
  </si>
  <si>
    <t>BECKY PETITE CLASSICS BOOT CUT</t>
  </si>
  <si>
    <t>WJCP84R99</t>
  </si>
  <si>
    <t>TONY PONY EXPRESS SLIM WOMENS</t>
  </si>
  <si>
    <t>WJCR12OMC</t>
  </si>
  <si>
    <t>SHANNON CORE VINTAGE SKINNY</t>
  </si>
  <si>
    <t>WJCT01S34</t>
  </si>
  <si>
    <t>AVERY SLIM LEG VINTAGE WOMENS</t>
  </si>
  <si>
    <t>WJCV54Y40</t>
  </si>
  <si>
    <t>BILLY GENERAL LEE WOMEN JEAN</t>
  </si>
  <si>
    <t>XNM</t>
  </si>
  <si>
    <t>XNM ROSEWOOD</t>
  </si>
  <si>
    <t>WJCV56Y40</t>
  </si>
  <si>
    <t>EMILY GENERAL LEE WOMEN JACKET</t>
  </si>
  <si>
    <t>WJCW03Y40</t>
  </si>
  <si>
    <t>BECKY GENERAL LEE WOMEN JEAN</t>
  </si>
  <si>
    <t>WJCW65Z80</t>
  </si>
  <si>
    <t>GIANNA NO SNAPS LIVE FAST</t>
  </si>
  <si>
    <t>WJCX09Y39</t>
  </si>
  <si>
    <t>BOBBY 50S WOMEN JEAN</t>
  </si>
  <si>
    <t>WJCY62OM</t>
  </si>
  <si>
    <t>TONY SLIM BOOT CUT JEAN</t>
  </si>
  <si>
    <t>WJCY62OMC</t>
  </si>
  <si>
    <t>TONY CORE VINTAGE MICRO BOOT</t>
  </si>
  <si>
    <t>WJDA036EF5</t>
  </si>
  <si>
    <t>LEXY MINI BOOTCUT ORNATE STUDD</t>
  </si>
  <si>
    <t>AWBB BLACK</t>
  </si>
  <si>
    <t>WJDK35CE4</t>
  </si>
  <si>
    <t>CASEY CRINKLE PRINT LEGGING</t>
  </si>
  <si>
    <t>AAM CNKLE PT CRM</t>
  </si>
  <si>
    <t>AAM CNKLE PT TRQ</t>
  </si>
  <si>
    <t>AAM CKLE PRT PNK</t>
  </si>
  <si>
    <t>WJDK35W14</t>
  </si>
  <si>
    <t>CASEY MID RISE SUPER SKINNY LE</t>
  </si>
  <si>
    <t>QY OLD MINT</t>
  </si>
  <si>
    <t>YB CLEAR / LILAC</t>
  </si>
  <si>
    <t>ZH CLEAR / BABY PINK</t>
  </si>
  <si>
    <t>QY DUSTED ORANGE</t>
  </si>
  <si>
    <t>WJDK44DL1</t>
  </si>
  <si>
    <t>MISTY CRYSTAL STITCH JEAN</t>
  </si>
  <si>
    <t>QY PASSION</t>
  </si>
  <si>
    <t>QY FUSCHIA</t>
  </si>
  <si>
    <t>WJDN95CE4</t>
  </si>
  <si>
    <t>HALLE CRINKLE PRINT LEGGING</t>
  </si>
  <si>
    <t>AAM CNKLE PT BLK</t>
  </si>
  <si>
    <t>AAM CKL PT SK BL</t>
  </si>
  <si>
    <t>AAM CNKLE PT FUS</t>
  </si>
  <si>
    <t>WJDN95HW6</t>
  </si>
  <si>
    <t>HALLE SUPER SKINNY COATED</t>
  </si>
  <si>
    <t>BBW CRIMSON CTED</t>
  </si>
  <si>
    <t>QY SKY</t>
  </si>
  <si>
    <t>QY LILAC</t>
  </si>
  <si>
    <t>QY SCARLET</t>
  </si>
  <si>
    <t>QY BABY PINK</t>
  </si>
  <si>
    <t>QY DAFFODIL</t>
  </si>
  <si>
    <t>WJDN95Z82</t>
  </si>
  <si>
    <t>WJDN96DL1</t>
  </si>
  <si>
    <t>SERENA CRYSTAL STITCH JEAN</t>
  </si>
  <si>
    <t>WJDN96W14</t>
  </si>
  <si>
    <t>SERENA HIGHER RISE SKINNY LEGG</t>
  </si>
  <si>
    <t>WM REDWOOD</t>
  </si>
  <si>
    <t>WJDZ52DK3</t>
  </si>
  <si>
    <t>SERENA OVERDYE BOTTOMS JEAN</t>
  </si>
  <si>
    <t>ACB BLACK</t>
  </si>
  <si>
    <t>ACB DK SLATE BLU</t>
  </si>
  <si>
    <t>ACB CRIMSON</t>
  </si>
  <si>
    <t>WJDZ53DK3</t>
  </si>
  <si>
    <t>MISTY OVERDYE BOTTOMS JEAN</t>
  </si>
  <si>
    <t>WJDZ54DK3</t>
  </si>
  <si>
    <t>CASEY OVERDYE BOTTOMS JEAN</t>
  </si>
  <si>
    <t>WJHR87R88</t>
  </si>
  <si>
    <t>AVERY BLUE COLLAR SLIM WOMENS</t>
  </si>
  <si>
    <t>WJJR85R88</t>
  </si>
  <si>
    <t>WJJR86R88</t>
  </si>
  <si>
    <t>WJJR87R88</t>
  </si>
  <si>
    <t>WJKR96S20</t>
  </si>
  <si>
    <t>CARRIE TWO TONE FLARE WOMENS J</t>
  </si>
  <si>
    <t>WJLK35U29</t>
  </si>
  <si>
    <t>CASEY METALLIC GOLD WOMEN JEAN</t>
  </si>
  <si>
    <t>TM</t>
  </si>
  <si>
    <t>GOLD FOIL</t>
  </si>
  <si>
    <t>WJLU05U41</t>
  </si>
  <si>
    <t>HALLE RIDER GROUP WOMENS JEAN</t>
  </si>
  <si>
    <t>WJLU57X02</t>
  </si>
  <si>
    <t>RACHEL MOTO WOMEN JEAN</t>
  </si>
  <si>
    <t>WJO9W57IK</t>
  </si>
  <si>
    <t>CHEVRON STRPED NYLON JACKET</t>
  </si>
  <si>
    <t>BRIGHT RED</t>
  </si>
  <si>
    <t>WJPBP40IK</t>
  </si>
  <si>
    <t>LONESTAR WESTERN VINTAGE PLAID</t>
  </si>
  <si>
    <t>SM LEMON PLAID</t>
  </si>
  <si>
    <t>SM CORAL PLAID</t>
  </si>
  <si>
    <t>WJPBW93VR</t>
  </si>
  <si>
    <t>SL THISTLE</t>
  </si>
  <si>
    <t>WJR8V96AS9</t>
  </si>
  <si>
    <t>S/S HENLEY</t>
  </si>
  <si>
    <t>WZ KELLY GREEN</t>
  </si>
  <si>
    <t>WZ FUSCHIA</t>
  </si>
  <si>
    <t>WZ DAFFODIL</t>
  </si>
  <si>
    <t>WZ FADED CARROT</t>
  </si>
  <si>
    <t>WJS8K99T61</t>
  </si>
  <si>
    <t>TR NATIVE CREW NECK TEE W/ EMB</t>
  </si>
  <si>
    <t>2S SERAPE PRINT</t>
  </si>
  <si>
    <t>WJS8T05DD8</t>
  </si>
  <si>
    <t>AMERICAN HEART CREWNECK TEE</t>
  </si>
  <si>
    <t>09 MOSS</t>
  </si>
  <si>
    <t>09 PURPLE HAZE</t>
  </si>
  <si>
    <t>09 SIENNA</t>
  </si>
  <si>
    <t>WJS8T05T67</t>
  </si>
  <si>
    <t>SERAPE LOVE CREW NECK FOOTBALL</t>
  </si>
  <si>
    <t>WJS8T06T68</t>
  </si>
  <si>
    <t>SERAPE 71 VNECK FOOTBALL TEE</t>
  </si>
  <si>
    <t>09 CANARY</t>
  </si>
  <si>
    <t>WJS8T07DD5</t>
  </si>
  <si>
    <t>HIPPY DIPPY LS PULLOVER</t>
  </si>
  <si>
    <t>WJS8T07DD6</t>
  </si>
  <si>
    <t>TRUE SURF LS PULLOVER</t>
  </si>
  <si>
    <t>WJS8T07DD7</t>
  </si>
  <si>
    <t>CHECKERED FLAG LS PULLOVER</t>
  </si>
  <si>
    <t>WJS8T07T69</t>
  </si>
  <si>
    <t>LOS ANGLES NATIVE FOOTBALL PUL</t>
  </si>
  <si>
    <t>WJTS65S38</t>
  </si>
  <si>
    <t>TONY HI-RISE LUXE MICRO BOOT W</t>
  </si>
  <si>
    <t>WJTT54S38</t>
  </si>
  <si>
    <t>EMI LUXE MID RISE FLARE LEG JE</t>
  </si>
  <si>
    <t>WJVC070MT1</t>
  </si>
  <si>
    <t>PALM TREE RELAXED TANK</t>
  </si>
  <si>
    <t>BTX WHITE</t>
  </si>
  <si>
    <t>WJYC047IK</t>
  </si>
  <si>
    <t>FOILED INDIGO TENCEL TANK</t>
  </si>
  <si>
    <t>2S TEAL INDIGO</t>
  </si>
  <si>
    <t>WK66U39Z72</t>
  </si>
  <si>
    <t>GURU CROPPED SWEATPANT</t>
  </si>
  <si>
    <t>09 SEA BLUE</t>
  </si>
  <si>
    <t>WK66W21Z73</t>
  </si>
  <si>
    <t>KARMA  SWEATPANT</t>
  </si>
  <si>
    <t>WK67W20Z71</t>
  </si>
  <si>
    <t>GURU PULLOVER HOODIE</t>
  </si>
  <si>
    <t>WKFC096IK</t>
  </si>
  <si>
    <t>WKJA704IE1</t>
  </si>
  <si>
    <t>3/4  HENLEY U EMB THERMAL</t>
  </si>
  <si>
    <t>WKKN95BJ9</t>
  </si>
  <si>
    <t>BASIC LEGGING BLK</t>
  </si>
  <si>
    <t>WKKN96BJ9</t>
  </si>
  <si>
    <t>BASIC LEGGING WFLPS</t>
  </si>
  <si>
    <t>WKRA597LV0</t>
  </si>
  <si>
    <t>WKRA634LV1</t>
  </si>
  <si>
    <t>WKRA634LV2</t>
  </si>
  <si>
    <t>TRU DEFINITION RELAXED VNCK T</t>
  </si>
  <si>
    <t>WKRB054LV3</t>
  </si>
  <si>
    <t>WKRB054NL8</t>
  </si>
  <si>
    <t>WKW8V02CK4</t>
  </si>
  <si>
    <t>FITTED VNECK TEE</t>
  </si>
  <si>
    <t>09 PINEAPPLE</t>
  </si>
  <si>
    <t>WKW8Y23CB8</t>
  </si>
  <si>
    <t>MUSCLE CREWNECK TEE</t>
  </si>
  <si>
    <t>WKWV02DQ6</t>
  </si>
  <si>
    <t>OVERALLS S/S ROUNDED V-NECK</t>
  </si>
  <si>
    <t>WKWV02GV2</t>
  </si>
  <si>
    <t>TRUE WREATH S/S ROUNDED V-NECK</t>
  </si>
  <si>
    <t>PEACHY</t>
  </si>
  <si>
    <t>WKWV02GV3</t>
  </si>
  <si>
    <t>TEAM BUDDHA S/S ROUNDED V-NECK</t>
  </si>
  <si>
    <t>BLACK / CORAL</t>
  </si>
  <si>
    <t>WHITE / BLUE</t>
  </si>
  <si>
    <t>WHITE / RED</t>
  </si>
  <si>
    <t>WKWV02GW8</t>
  </si>
  <si>
    <t>TR BIRDS EYE S/S ROUNDED VNECK</t>
  </si>
  <si>
    <t>LAKE</t>
  </si>
  <si>
    <t>WKWV02HN9</t>
  </si>
  <si>
    <t>BRST CNCR PNK SWRVSKI SS VNECK</t>
  </si>
  <si>
    <t>WHITE / ROSE</t>
  </si>
  <si>
    <t>WKWV02QP5</t>
  </si>
  <si>
    <t>TR FADE AWAY SS ROUNDED V NECK</t>
  </si>
  <si>
    <t>WKWV02QX4</t>
  </si>
  <si>
    <t>CALL OF BUDDHA SS ROUND V NECK</t>
  </si>
  <si>
    <t>WKWY33NH5</t>
  </si>
  <si>
    <t>CLASSIC LOGO SS DEEP VNK CRYST</t>
  </si>
  <si>
    <t>WKWY33QP4</t>
  </si>
  <si>
    <t>BUTTONS EVERYWHERE SS DEEP VNK</t>
  </si>
  <si>
    <t>WL4BM18IK</t>
  </si>
  <si>
    <t>MICK WESTERN SHIRT</t>
  </si>
  <si>
    <t>WL4BM18IKC</t>
  </si>
  <si>
    <t>WL78145AS7</t>
  </si>
  <si>
    <t>PACIFIC RINGER TANK</t>
  </si>
  <si>
    <t>3C FADED CARROT / DAFFODIL</t>
  </si>
  <si>
    <t>WL78145AS8</t>
  </si>
  <si>
    <t>CALI SURFING RINGER TANK</t>
  </si>
  <si>
    <t>3C BABY PINK / DK NAVY</t>
  </si>
  <si>
    <t>WL78145EG</t>
  </si>
  <si>
    <t>SOLID RIB TANK TOP</t>
  </si>
  <si>
    <t>3C BABY PINK</t>
  </si>
  <si>
    <t>3C ORANGE</t>
  </si>
  <si>
    <t>WL78145Z51</t>
  </si>
  <si>
    <t>MALIBU FAIR RINGER TANK</t>
  </si>
  <si>
    <t>09 WHITE / RED</t>
  </si>
  <si>
    <t>WL78145Z54</t>
  </si>
  <si>
    <t>WEST COAST ENDURO RINGER TANK</t>
  </si>
  <si>
    <t>3C CHARCOAL / SAND</t>
  </si>
  <si>
    <t>WL78145Z55</t>
  </si>
  <si>
    <t>GASLAMP RINGER TANK</t>
  </si>
  <si>
    <t>3C DK NAVY / DAFFODIL</t>
  </si>
  <si>
    <t>WLB6U39W18</t>
  </si>
  <si>
    <t>LOVE IS TRUE CROP PANT</t>
  </si>
  <si>
    <t>WLB6U39W22</t>
  </si>
  <si>
    <t>BY LAND OR SEA CROP PANT</t>
  </si>
  <si>
    <t>WLB6U39W58</t>
  </si>
  <si>
    <t>LOVE IS BLIND CROP PANT</t>
  </si>
  <si>
    <t>VN LAKE</t>
  </si>
  <si>
    <t>WLB7T08T70</t>
  </si>
  <si>
    <t>RAGLAN PULLOVER HOODIE</t>
  </si>
  <si>
    <t>3C PLUM</t>
  </si>
  <si>
    <t>WLB7T08W21</t>
  </si>
  <si>
    <t>BY LAND OR SEA RAGLAN HOODIE</t>
  </si>
  <si>
    <t>WLB7T08W57</t>
  </si>
  <si>
    <t>LOVE IS BLIND RAGLAN HOODIE</t>
  </si>
  <si>
    <t>VM LAKE</t>
  </si>
  <si>
    <t>WLC8U38CI0</t>
  </si>
  <si>
    <t>LOGO L/S  HENLEY</t>
  </si>
  <si>
    <t>V4 DK NAVY</t>
  </si>
  <si>
    <t>V4 CURRY</t>
  </si>
  <si>
    <t>WLC8U38P99</t>
  </si>
  <si>
    <t>SIGNATURE LOGO HENLEY</t>
  </si>
  <si>
    <t>WLC8U38T53</t>
  </si>
  <si>
    <t>09 FOG</t>
  </si>
  <si>
    <t>09 HIGH RED</t>
  </si>
  <si>
    <t>WLH4J22BCS</t>
  </si>
  <si>
    <t>ALLIE HIGH THIGH CUFFED SHORT</t>
  </si>
  <si>
    <t>WLH502HF8</t>
  </si>
  <si>
    <t>STRAIGHT DAFFODIL BASIC</t>
  </si>
  <si>
    <t>WLH564DG7</t>
  </si>
  <si>
    <t>BECKY CLEAR CRYSTAL DISCO</t>
  </si>
  <si>
    <t>WLH564HF7</t>
  </si>
  <si>
    <t>BOOTCUT WFLP NATURAL ARROWHEAD</t>
  </si>
  <si>
    <t>APZD</t>
  </si>
  <si>
    <t>APZD WOODEN WAY</t>
  </si>
  <si>
    <t>WLH564HF8</t>
  </si>
  <si>
    <t>BOOTCUT WFLP DAFFODIL BASIC</t>
  </si>
  <si>
    <t>WLH572BCS</t>
  </si>
  <si>
    <t>BILLY STRAIGHT LEG JEANS</t>
  </si>
  <si>
    <t>WLH572DG7</t>
  </si>
  <si>
    <t>BILLY CLEAR CRYSTAL DISCO</t>
  </si>
  <si>
    <t>WLH572EM</t>
  </si>
  <si>
    <t>WLH572HF6</t>
  </si>
  <si>
    <t>STRAIGHT WFLPS GOLD  ARROWHEAD</t>
  </si>
  <si>
    <t>WLH572HF9</t>
  </si>
  <si>
    <t>STRAIGHT WFLP SCENIC BUDDHA</t>
  </si>
  <si>
    <t>BATM</t>
  </si>
  <si>
    <t>BATM HRTBRK HILL</t>
  </si>
  <si>
    <t>WLH592EM</t>
  </si>
  <si>
    <t>WLH592SHF6</t>
  </si>
  <si>
    <t>SKINNY GOLD ARROWHEAD</t>
  </si>
  <si>
    <t>WLH592SHF9</t>
  </si>
  <si>
    <t>SKINNY SCENIC BUDDHA</t>
  </si>
  <si>
    <t>WLH592TS</t>
  </si>
  <si>
    <t>WLH599DG7</t>
  </si>
  <si>
    <t>JULIE CLEAR CRYSTAL DISCO</t>
  </si>
  <si>
    <t>WLH599SHF7</t>
  </si>
  <si>
    <t>SKINNY WFLP NATURAL ARROWHEAD</t>
  </si>
  <si>
    <t>APYM</t>
  </si>
  <si>
    <t>APYM LONG BRANCH</t>
  </si>
  <si>
    <t>WLHQ99P98</t>
  </si>
  <si>
    <t>STACEY STRAIGHT WOMENS JEAN</t>
  </si>
  <si>
    <t>WLHR02P98S</t>
  </si>
  <si>
    <t>STELLA 32 INSEAM SKINNY WOMEN</t>
  </si>
  <si>
    <t>WLHR88S44</t>
  </si>
  <si>
    <t>WLHR91S44</t>
  </si>
  <si>
    <t>CORINNE WORKWEAR WIDE LEG WOME</t>
  </si>
  <si>
    <t>WLHS68P98</t>
  </si>
  <si>
    <t>JOHNNY STRAIGHT WOMENS JEAN</t>
  </si>
  <si>
    <t>WLHS69P98</t>
  </si>
  <si>
    <t>TONY HI-RISE MICRO BOOT WOMENS</t>
  </si>
  <si>
    <t>WLK8K99DD3</t>
  </si>
  <si>
    <t>ATHLETIC 71 CREWNECK TEE</t>
  </si>
  <si>
    <t>AOW FUSCHIA</t>
  </si>
  <si>
    <t>AOW PINEAPPLE</t>
  </si>
  <si>
    <t>WLK8K99Z44</t>
  </si>
  <si>
    <t>FIRST AID  TEE</t>
  </si>
  <si>
    <t>WLK8K99Z46</t>
  </si>
  <si>
    <t>GOLDEN STATE TEE</t>
  </si>
  <si>
    <t>WLK8K99Z49</t>
  </si>
  <si>
    <t>WESTSIDER TEE</t>
  </si>
  <si>
    <t>WLK8K99Z69</t>
  </si>
  <si>
    <t>70'S RAINBOW FLOCKING TEE</t>
  </si>
  <si>
    <t>WLK8U37W32</t>
  </si>
  <si>
    <t>TRUE LOVE L/S CREW NECK TEE</t>
  </si>
  <si>
    <t>WLK8U37W34</t>
  </si>
  <si>
    <t>YEARBOOK L/S CREW NECK TEE</t>
  </si>
  <si>
    <t>WLK8W08Z57</t>
  </si>
  <si>
    <t>CATALINA  ALTHETIC TEE</t>
  </si>
  <si>
    <t>WLK8W08Z58</t>
  </si>
  <si>
    <t>TR GAS  ALTHETIC TEE</t>
  </si>
  <si>
    <t>WH SKY / WILD ORCHID</t>
  </si>
  <si>
    <t>WA HERB</t>
  </si>
  <si>
    <t>WB MILITARY</t>
  </si>
  <si>
    <t>WA BLUE SHADOW</t>
  </si>
  <si>
    <t>WA BLACKBERRY</t>
  </si>
  <si>
    <t>WA TOMATO</t>
  </si>
  <si>
    <t>HW BLACK</t>
  </si>
  <si>
    <t>HW NAVY</t>
  </si>
  <si>
    <t>WLNR89S45</t>
  </si>
  <si>
    <t>WLNS22S33</t>
  </si>
  <si>
    <t>HALLE PHANTOM SKINNY WOMENS JE</t>
  </si>
  <si>
    <t>09 BRANCH</t>
  </si>
  <si>
    <t>WLNT43U28</t>
  </si>
  <si>
    <t>ADDISON GLITTER COATED WOMENS</t>
  </si>
  <si>
    <t>WLPTR1814</t>
  </si>
  <si>
    <t>T.R.U.E. BASEBALL CAP (WOMENS)</t>
  </si>
  <si>
    <t>YT BABY PINK</t>
  </si>
  <si>
    <t>WLS7P07Z68</t>
  </si>
  <si>
    <t>POW WOW HOODIE</t>
  </si>
  <si>
    <t>WH FADED CARROT</t>
  </si>
  <si>
    <t>WLS7P07Z69</t>
  </si>
  <si>
    <t>PANTHERS HOODIE</t>
  </si>
  <si>
    <t>WH BABY PINK</t>
  </si>
  <si>
    <t>WLS7P07Z98</t>
  </si>
  <si>
    <t>GOLDEN STATE HOODIE</t>
  </si>
  <si>
    <t>WH DK NAVY</t>
  </si>
  <si>
    <t>YI OPTIC WHITE</t>
  </si>
  <si>
    <t>2S BABY PINK</t>
  </si>
  <si>
    <t>YI DAFFODIL</t>
  </si>
  <si>
    <t>ST LT GREY</t>
  </si>
  <si>
    <t>ST PASSION</t>
  </si>
  <si>
    <t>ST TOMATO</t>
  </si>
  <si>
    <t>ST PEACH</t>
  </si>
  <si>
    <t>WLUS75U15</t>
  </si>
  <si>
    <t>RETRO SHERPA JKT</t>
  </si>
  <si>
    <t>ST VERY BERRY</t>
  </si>
  <si>
    <t>WLUW57K32</t>
  </si>
  <si>
    <t>JOEY CORDUROY  WOMANS SHORT</t>
  </si>
  <si>
    <t>2S BLACKBERRY</t>
  </si>
  <si>
    <t>2S LT BURGUNDY</t>
  </si>
  <si>
    <t>WLVS64U13</t>
  </si>
  <si>
    <t>TONY HIGHRISE BOOTCUT LONESTAR</t>
  </si>
  <si>
    <t>WLVS71U13</t>
  </si>
  <si>
    <t>JOHNNY HIGHRISE STRAIGHT LONES</t>
  </si>
  <si>
    <t>WLVU03U13</t>
  </si>
  <si>
    <t>LONESTAR STRETCH VELVET</t>
  </si>
  <si>
    <t>WLW8K99BE2</t>
  </si>
  <si>
    <t>WLW8K99DD3</t>
  </si>
  <si>
    <t>JZ HEATHER GREY</t>
  </si>
  <si>
    <t>WLW8K99Z47</t>
  </si>
  <si>
    <t>CHEROKEE SUMMER TEE</t>
  </si>
  <si>
    <t>XC BABY PINK</t>
  </si>
  <si>
    <t>XC DAFFODIL</t>
  </si>
  <si>
    <t>WM46H70ET9</t>
  </si>
  <si>
    <t>MARRISA PANT</t>
  </si>
  <si>
    <t>WM46H70GM8</t>
  </si>
  <si>
    <t>MARISSA PANT SWEATPANT</t>
  </si>
  <si>
    <t>WM46Q32</t>
  </si>
  <si>
    <t>09 BLUE SHADOW</t>
  </si>
  <si>
    <t>WM46Q32U89</t>
  </si>
  <si>
    <t>GOLDEN STATE STRAIGHT LEG DEST</t>
  </si>
  <si>
    <t>WM46Q32U90</t>
  </si>
  <si>
    <t>ELECTRIC CACTUS STRAIGHT LEG D</t>
  </si>
  <si>
    <t>ZL DAFFODIL</t>
  </si>
  <si>
    <t>WM47L61ET9</t>
  </si>
  <si>
    <t>DK SCARLET</t>
  </si>
  <si>
    <t>WM47T11T76</t>
  </si>
  <si>
    <t>GOLDEN STATE RAW EDGE CLASSIC</t>
  </si>
  <si>
    <t>WM47T11T77</t>
  </si>
  <si>
    <t>ELECTRIC CACTUS RAW EDGE CLASS</t>
  </si>
  <si>
    <t>WMA564IT7</t>
  </si>
  <si>
    <t>BOOTCUT WFLPS SUPER T NATURAL</t>
  </si>
  <si>
    <t>BZXM</t>
  </si>
  <si>
    <t>BZXM DRYFORK</t>
  </si>
  <si>
    <t>WMA599SIT7</t>
  </si>
  <si>
    <t>SKINNY WFLPS SUPER T NATURAL</t>
  </si>
  <si>
    <t>WMAC100MU0</t>
  </si>
  <si>
    <t>SLIM STRGHT WFLP NAT BIG QT</t>
  </si>
  <si>
    <t>WMAN95MU0</t>
  </si>
  <si>
    <t>LEGGING NATURAL BIG QT</t>
  </si>
  <si>
    <t>WMAQ70IT7</t>
  </si>
  <si>
    <t>JACKET SUPER T NATURAL</t>
  </si>
  <si>
    <t>WMC592STS</t>
  </si>
  <si>
    <t>SKINNY PREMIUM BASIC NATURAL</t>
  </si>
  <si>
    <t>CBXM</t>
  </si>
  <si>
    <t>CBXM SNSHNE BLOM</t>
  </si>
  <si>
    <t>WMCC100TS</t>
  </si>
  <si>
    <t>SLIM STRGHT WFLP PREMIUM BSC</t>
  </si>
  <si>
    <t>WMCN95OM</t>
  </si>
  <si>
    <t>PREMIUM BASIC LEGGING</t>
  </si>
  <si>
    <t>CFMD</t>
  </si>
  <si>
    <t>CFMD LST MEMRY LN</t>
  </si>
  <si>
    <t>WMCN96OM</t>
  </si>
  <si>
    <t>PREMIUM BASIC LEGGING WFLPS</t>
  </si>
  <si>
    <t>CFNM</t>
  </si>
  <si>
    <t>CFNM GOLDEN CRST</t>
  </si>
  <si>
    <t>YR WHITE</t>
  </si>
  <si>
    <t>WMJ8K99Z53</t>
  </si>
  <si>
    <t>RED,WHITE, &amp; BUDDHA TEE</t>
  </si>
  <si>
    <t>WMJ8W10Z63</t>
  </si>
  <si>
    <t>REBELS FOOTBALL TEE</t>
  </si>
  <si>
    <t>WMJ8W10Z64</t>
  </si>
  <si>
    <t>56 BUDDHA FOOTBALL TEE</t>
  </si>
  <si>
    <t>YS RED</t>
  </si>
  <si>
    <t>WMK6U87C50</t>
  </si>
  <si>
    <t>ATHLETIC HOOK UP EVA PANT</t>
  </si>
  <si>
    <t>09 ADMIRAL NAVY</t>
  </si>
  <si>
    <t>WMK7P07C50</t>
  </si>
  <si>
    <t>ATHLETIC HOOK UP CLASSIC HOODI</t>
  </si>
  <si>
    <t>WMOA327IK</t>
  </si>
  <si>
    <t>LS UTILITY WOVEN SHIRT</t>
  </si>
  <si>
    <t>BBP CHAMBRAY</t>
  </si>
  <si>
    <t>FK GRAPEVINE</t>
  </si>
  <si>
    <t>WNGBT13BE6</t>
  </si>
  <si>
    <t>WNGBT13IK</t>
  </si>
  <si>
    <t>WORK SHIRT FLANNEL PLAID</t>
  </si>
  <si>
    <t>2S REEF</t>
  </si>
  <si>
    <t>WNNW28X94</t>
  </si>
  <si>
    <t>LESLIE CAMO CARGO SHORT</t>
  </si>
  <si>
    <t>YY LAWN</t>
  </si>
  <si>
    <t>YY ROYAL BLUE</t>
  </si>
  <si>
    <t>YY FUSCHIA</t>
  </si>
  <si>
    <t>YY PINEAPPLE</t>
  </si>
  <si>
    <t>WNQS98PY35</t>
  </si>
  <si>
    <t>JORDAN MENDED CHINO PANT</t>
  </si>
  <si>
    <t>WD OPTIC WHITE</t>
  </si>
  <si>
    <t>WD BAHAMAS</t>
  </si>
  <si>
    <t>WD WILD ORCHID</t>
  </si>
  <si>
    <t>WD SHELL</t>
  </si>
  <si>
    <t>WNQS98Y35</t>
  </si>
  <si>
    <t>WF OPTIC WHITE</t>
  </si>
  <si>
    <t>WF BAHAMAS</t>
  </si>
  <si>
    <t>WF WILD ORCHID</t>
  </si>
  <si>
    <t>WF SHELL</t>
  </si>
  <si>
    <t>WNQV35PY35</t>
  </si>
  <si>
    <t>JORDAN MENDED CHINO SHORT</t>
  </si>
  <si>
    <t>WNQV35Y35</t>
  </si>
  <si>
    <t>WNSC122QK3</t>
  </si>
  <si>
    <t>AVA LOW RISE WIDE LEG</t>
  </si>
  <si>
    <t>CBCL</t>
  </si>
  <si>
    <t>CBCL MARIN HARBR</t>
  </si>
  <si>
    <t>WNSC176QK3</t>
  </si>
  <si>
    <t>ZOE MIDI SKIRT</t>
  </si>
  <si>
    <t>WNSC177QK3</t>
  </si>
  <si>
    <t>KATIE OVERALL</t>
  </si>
  <si>
    <t>WNSC178QK3</t>
  </si>
  <si>
    <t>GEORGIA DRESS MID CALF</t>
  </si>
  <si>
    <t>WNTC175QK6</t>
  </si>
  <si>
    <t>CDML</t>
  </si>
  <si>
    <t>CDML SP BEACH DS</t>
  </si>
  <si>
    <t>WNTC210QK6</t>
  </si>
  <si>
    <t>LOW RISE CASEY CROP</t>
  </si>
  <si>
    <t>WOUC040QV2</t>
  </si>
  <si>
    <t>SKULL GRAPHIC MUSCLE TEE</t>
  </si>
  <si>
    <t>AETHER</t>
  </si>
  <si>
    <t>WOUC067MT6</t>
  </si>
  <si>
    <t>WOUC197NW6</t>
  </si>
  <si>
    <t>WP4BT13IK</t>
  </si>
  <si>
    <t>WORK SHIRT FLANNEL PLAID W/EMB</t>
  </si>
  <si>
    <t>2S WALNUT</t>
  </si>
  <si>
    <t>SX AUBERGINE PLAID</t>
  </si>
  <si>
    <t>SX SALMON PLAID</t>
  </si>
  <si>
    <t>SX CARIBBEAN PLAID</t>
  </si>
  <si>
    <t>WPA8W25BI4</t>
  </si>
  <si>
    <t>MEGAN L/S LINEN</t>
  </si>
  <si>
    <t>DK TEAL</t>
  </si>
  <si>
    <t>DK SALMON</t>
  </si>
  <si>
    <t>WPNBW93IK</t>
  </si>
  <si>
    <t>GEORGIA SHIRT W/CLASSIC LOGO</t>
  </si>
  <si>
    <t>WPPX19QP2</t>
  </si>
  <si>
    <t>BUDDHA BRANDED SS CREW CRYSTL</t>
  </si>
  <si>
    <t>WPPX19QR0</t>
  </si>
  <si>
    <t>BLACK FRIDAY 14 SS CREW CRYSTL</t>
  </si>
  <si>
    <t>WPWB212QL0</t>
  </si>
  <si>
    <t>HALLE PANEL ZIP MOTO CROP</t>
  </si>
  <si>
    <t>CDR VNTAGE AGAVE</t>
  </si>
  <si>
    <t>CDR VINTAGE POPPY</t>
  </si>
  <si>
    <t>CDR VTGE HMLN ST</t>
  </si>
  <si>
    <t>WPWC018QL0</t>
  </si>
  <si>
    <t>WPWC113QL0</t>
  </si>
  <si>
    <t>WQ12J37B05</t>
  </si>
  <si>
    <t>JULIE EDGESTITCH SPT WOMEN JEA</t>
  </si>
  <si>
    <t>WQ1503BCS</t>
  </si>
  <si>
    <t>JOEY CLASSICS WOMEN JEAN</t>
  </si>
  <si>
    <t>WQ1503H94</t>
  </si>
  <si>
    <t>JOEY FLARE SUPER T WOMEN JEAN</t>
  </si>
  <si>
    <t>WQ1503L34</t>
  </si>
  <si>
    <t>JOEY SPT FLRE WM JEAN</t>
  </si>
  <si>
    <t>WQ1503M57</t>
  </si>
  <si>
    <t>PPD</t>
  </si>
  <si>
    <t>PPD SAN PEDRO</t>
  </si>
  <si>
    <t>WQ1564BCS</t>
  </si>
  <si>
    <t>BECKY CLASSICS WOMEN JEAN</t>
  </si>
  <si>
    <t>LTD</t>
  </si>
  <si>
    <t>LTD CLEMENTINE</t>
  </si>
  <si>
    <t>WQ1564E67</t>
  </si>
  <si>
    <t>BECKY RECLAIMED BOOT CUT  WOME</t>
  </si>
  <si>
    <t>GFM</t>
  </si>
  <si>
    <t>GFM RANCHER</t>
  </si>
  <si>
    <t>WQ1564H13</t>
  </si>
  <si>
    <t>BECKY RECLAIMED BOOT CUT WM JE</t>
  </si>
  <si>
    <t>WQ1564H94</t>
  </si>
  <si>
    <t>BECKY BOOT CUT SUPER T WOMEN J</t>
  </si>
  <si>
    <t>WQ1564J45</t>
  </si>
  <si>
    <t>BECKY TITAN BOOT CUT WM JEAN</t>
  </si>
  <si>
    <t>WQ1564L31</t>
  </si>
  <si>
    <t>BECKY CRSTAL STUD EMB BOOT CUT</t>
  </si>
  <si>
    <t>WQ1564L34</t>
  </si>
  <si>
    <t>WQ1572H94</t>
  </si>
  <si>
    <t>BILLY STRAIGHT SUPER T WOMEN J</t>
  </si>
  <si>
    <t>WQ1572J29</t>
  </si>
  <si>
    <t>BILLY TRIPLE NEEDLE STRAIGHT L</t>
  </si>
  <si>
    <t>WQ1572L31</t>
  </si>
  <si>
    <t>BILLY CRYSTAL STUD EMB STRAIGH</t>
  </si>
  <si>
    <t>WQ1572L34</t>
  </si>
  <si>
    <t>WQ1572M57</t>
  </si>
  <si>
    <t>WQ1592L31</t>
  </si>
  <si>
    <t>STELLA CRSTAL STUD EMB SKINNY</t>
  </si>
  <si>
    <t>WQ1592L34</t>
  </si>
  <si>
    <t>STELLA SPT SKINNY WM JEAN</t>
  </si>
  <si>
    <t>WQ1592M20</t>
  </si>
  <si>
    <t>STELLA SPT  WOMEN JEAN</t>
  </si>
  <si>
    <t>WQ1592M57</t>
  </si>
  <si>
    <t>WQ1592M58</t>
  </si>
  <si>
    <t>WJ CORAL</t>
  </si>
  <si>
    <t>RFM</t>
  </si>
  <si>
    <t>RFM 8 SECONDS</t>
  </si>
  <si>
    <t>WQ1592T49</t>
  </si>
  <si>
    <t>WQ1592T83</t>
  </si>
  <si>
    <t>WQ1599BCS</t>
  </si>
  <si>
    <t>JULIE CLASSICS WOMEN JEAN</t>
  </si>
  <si>
    <t>WQ1599L34</t>
  </si>
  <si>
    <t>JULIE SPT SKINNY WM JEAN</t>
  </si>
  <si>
    <t>WQ1599M57</t>
  </si>
  <si>
    <t>WQ1599TS</t>
  </si>
  <si>
    <t>JULIE SKINNY FIT</t>
  </si>
  <si>
    <t>NT WHITE</t>
  </si>
  <si>
    <t>NT CREAM</t>
  </si>
  <si>
    <t>WQ1G10TS</t>
  </si>
  <si>
    <t>JOEY CUT OFF WM SHORT</t>
  </si>
  <si>
    <t>NT PURPLE HAZE</t>
  </si>
  <si>
    <t>WQ1H09BCS</t>
  </si>
  <si>
    <t>EMILY SHERPA WOMEN'S JACKET</t>
  </si>
  <si>
    <t>WQ1J58TS</t>
  </si>
  <si>
    <t>LIZZY ROLLED CUFF CAPRI</t>
  </si>
  <si>
    <t>NT BABY PINK</t>
  </si>
  <si>
    <t>WQ1J61TS</t>
  </si>
  <si>
    <t>SADIE MID THIGH CO SKIRT</t>
  </si>
  <si>
    <t>WQ1K67J45</t>
  </si>
  <si>
    <t>TORI TITAN BOOT CUT WM JEAN</t>
  </si>
  <si>
    <t>WQ1K68BCS</t>
  </si>
  <si>
    <t>JODIE CLASSICS WOMEN JEAN</t>
  </si>
  <si>
    <t>WQ1K68J29</t>
  </si>
  <si>
    <t>JODIE TRIPLE NEEDLE SKINNY LEG</t>
  </si>
  <si>
    <t>WQ1K73BCS</t>
  </si>
  <si>
    <t>TONY CLASSICS WOMEN JEAN</t>
  </si>
  <si>
    <t>WQ1K75J45</t>
  </si>
  <si>
    <t>CARRIE TITAN SKINNY KNEE WIDE</t>
  </si>
  <si>
    <t>WQ1K75TS</t>
  </si>
  <si>
    <t>CARRIE BELL BOTTOM</t>
  </si>
  <si>
    <t>WQ1L39H13</t>
  </si>
  <si>
    <t>RAEGAN RECLAIMED SKINNY KNEE W</t>
  </si>
  <si>
    <t>WQ1M04M57</t>
  </si>
  <si>
    <t>WQ1M05M57</t>
  </si>
  <si>
    <t>JAYDE SPT BOYFRIEND SHORT</t>
  </si>
  <si>
    <t>WQ1M05M58</t>
  </si>
  <si>
    <t>WQ1M11Y9</t>
  </si>
  <si>
    <t>BECKY PETITE WOMEN JEAN</t>
  </si>
  <si>
    <t>WQ1M26Y9</t>
  </si>
  <si>
    <t>BILLY PETITE WOMEN JEAN</t>
  </si>
  <si>
    <t>WQ1M60BCS</t>
  </si>
  <si>
    <t>STELLA TORQUE SKINNY LEG</t>
  </si>
  <si>
    <t>WQ1M66BCS</t>
  </si>
  <si>
    <t>JULIE TORQUE SKINNY LEG</t>
  </si>
  <si>
    <t>WQ1N32BCS</t>
  </si>
  <si>
    <t>BILLY TORQUE STRAIGHT LEG</t>
  </si>
  <si>
    <t>WQ1N35BCS</t>
  </si>
  <si>
    <t>DANA WIDE LEG TROUSER FIT WM J</t>
  </si>
  <si>
    <t>WQ1N60BCS</t>
  </si>
  <si>
    <t>WENDY STRAIGHT LEG WM JEAN</t>
  </si>
  <si>
    <t>WQ1P38TS</t>
  </si>
  <si>
    <t>BROOKLYN CROPPED SPR SKINNY LE</t>
  </si>
  <si>
    <t>WQ2500CH0</t>
  </si>
  <si>
    <t>BOBBY VINTAGE WOMENS JEAN</t>
  </si>
  <si>
    <t>WQ2572CH0</t>
  </si>
  <si>
    <t>BILLY VINTAGE WOMENS JEAN</t>
  </si>
  <si>
    <t>WQ2G10Y9</t>
  </si>
  <si>
    <t>JOEY CUT OFF WOMENS SHORT</t>
  </si>
  <si>
    <t>AL</t>
  </si>
  <si>
    <t>AL PRAIRIE SUN LT</t>
  </si>
  <si>
    <t>WQ2K17Y9</t>
  </si>
  <si>
    <t>NATALIE KNEE LENGTH CO SHORT</t>
  </si>
  <si>
    <t>JJL</t>
  </si>
  <si>
    <t>JJL TRAVELLER</t>
  </si>
  <si>
    <t>WQ2L95Y9</t>
  </si>
  <si>
    <t>SAMMY TROUSER WOMEN'S JEAN</t>
  </si>
  <si>
    <t>WQ2M25Y9</t>
  </si>
  <si>
    <t>FAYE HIGH THIGH CO SHORT</t>
  </si>
  <si>
    <t>WQ2P53Y9</t>
  </si>
  <si>
    <t>SUMMER HI THIGH CO SKIRT</t>
  </si>
  <si>
    <t>WQ2R92T02</t>
  </si>
  <si>
    <t>BRIANNA BAJA BOYFRIEND WOMENS</t>
  </si>
  <si>
    <t>WQ2R94T02</t>
  </si>
  <si>
    <t>JADA BAJA RETRO WOMENS JACKET</t>
  </si>
  <si>
    <t>WQ2R95T02</t>
  </si>
  <si>
    <t>BILLY BAJA STRAIGHT WOMENS JEA</t>
  </si>
  <si>
    <t>WQ2V50Y04</t>
  </si>
  <si>
    <t>CAMERON ON THE ROAD JEAN</t>
  </si>
  <si>
    <t>WQ2W04PZ78</t>
  </si>
  <si>
    <t>JORDAN DENIM PATCHWORK PANT</t>
  </si>
  <si>
    <t>WQ2W04Z78</t>
  </si>
  <si>
    <t>WQ2X14BU0</t>
  </si>
  <si>
    <t>JOEY FLOWER CHILD FLARE JEAN</t>
  </si>
  <si>
    <t>WQ62E20EL</t>
  </si>
  <si>
    <t>JORDAN CLASSICS WOMEN JEAN</t>
  </si>
  <si>
    <t>W8B</t>
  </si>
  <si>
    <t>W8B GRAPHITE BLACK</t>
  </si>
  <si>
    <t>Y1B</t>
  </si>
  <si>
    <t>Y1B WAGONEER MED BLACK</t>
  </si>
  <si>
    <t>WQ6A407HD4</t>
  </si>
  <si>
    <t>LEAH RACER BACK VEST GREYSTONE</t>
  </si>
  <si>
    <t>6Q</t>
  </si>
  <si>
    <t>6Q POINT DUNE LT</t>
  </si>
  <si>
    <t>WQ6FJ80EL</t>
  </si>
  <si>
    <t>LEAH VEST BLACK DENIM - WOMEN'</t>
  </si>
  <si>
    <t>6PB</t>
  </si>
  <si>
    <t>6PB POINT DUNE MED BLACK</t>
  </si>
  <si>
    <t>WQ6G10EL</t>
  </si>
  <si>
    <t>PLDB</t>
  </si>
  <si>
    <t>PLDB BLACK FOX BLACK</t>
  </si>
  <si>
    <t>PLLB</t>
  </si>
  <si>
    <t>PLLB WESTERN SPARK BLACK</t>
  </si>
  <si>
    <t>WQ6M04EL</t>
  </si>
  <si>
    <t>Y1</t>
  </si>
  <si>
    <t>Y1 WAGONEER MED</t>
  </si>
  <si>
    <t>WQ6N19EL</t>
  </si>
  <si>
    <t>LISA CROPPED BOYFRIEND FIT</t>
  </si>
  <si>
    <t>PLMB</t>
  </si>
  <si>
    <t>PLMB MIDNIGHT CANYON BLACK</t>
  </si>
  <si>
    <t>WQ6P64EL</t>
  </si>
  <si>
    <t>ROMY W/NO FLAPS</t>
  </si>
  <si>
    <t>APWD</t>
  </si>
  <si>
    <t>APWD DK SOFT EDGE</t>
  </si>
  <si>
    <t>BG</t>
  </si>
  <si>
    <t>BG SANTA CRUZ DK</t>
  </si>
  <si>
    <t>WQ8K35EM</t>
  </si>
  <si>
    <t>FFD</t>
  </si>
  <si>
    <t>FFD TOPANGA</t>
  </si>
  <si>
    <t>WQ8K35TS</t>
  </si>
  <si>
    <t>FPM</t>
  </si>
  <si>
    <t>FPM STINGRAY</t>
  </si>
  <si>
    <t>WQ8K44F71</t>
  </si>
  <si>
    <t>WQ8K44TS</t>
  </si>
  <si>
    <t>WQ8P16L28</t>
  </si>
  <si>
    <t>WQ8P17L28</t>
  </si>
  <si>
    <t>LENA STRAIGHT LEG WM JEAN</t>
  </si>
  <si>
    <t>WQ8P17M45</t>
  </si>
  <si>
    <t>LENA TRADITIONAL SLIM BOOT CUT</t>
  </si>
  <si>
    <t>PML</t>
  </si>
  <si>
    <t>PML WHITE EAGLE</t>
  </si>
  <si>
    <t>WQ8P49M45</t>
  </si>
  <si>
    <t>WQ8P50M45</t>
  </si>
  <si>
    <t>CARRIE BELL BOTTOM WM JEAN</t>
  </si>
  <si>
    <t>WQ8P52M45</t>
  </si>
  <si>
    <t>WQ8P88M37</t>
  </si>
  <si>
    <t>WQ8P89M37</t>
  </si>
  <si>
    <t>MISTY SPER SKINNY LEGGING</t>
  </si>
  <si>
    <t>WQ8P90M37</t>
  </si>
  <si>
    <t>WQ9503Z37</t>
  </si>
  <si>
    <t>JOEY WHITE BASICSJEAN</t>
  </si>
  <si>
    <t>A2W OPTIC DESTROYED</t>
  </si>
  <si>
    <t>PX GOLDEN POPPY</t>
  </si>
  <si>
    <t>WQ9G10Z37</t>
  </si>
  <si>
    <t>JOEY CUT OFF WHITE BASIC SHORT</t>
  </si>
  <si>
    <t>WQ9G93Z37</t>
  </si>
  <si>
    <t>EMILY WHITE BASICS JACKET</t>
  </si>
  <si>
    <t>WQ9K17EG</t>
  </si>
  <si>
    <t>WQ9K18Z37</t>
  </si>
  <si>
    <t>KIERA WHITE BASICS SHORT</t>
  </si>
  <si>
    <t>WQ9M05EG</t>
  </si>
  <si>
    <t>JAYDE BOYFRIEND FIT SHORT</t>
  </si>
  <si>
    <t>WQ9P53EG</t>
  </si>
  <si>
    <t>SUMMER HIGH THIGH CO SKIRT</t>
  </si>
  <si>
    <t>QE OPTIC WHITE</t>
  </si>
  <si>
    <t>WQBB092QQ7</t>
  </si>
  <si>
    <t>MID  RISE HALLE</t>
  </si>
  <si>
    <t>CGTL DSTRD SL FL</t>
  </si>
  <si>
    <t>WQBB092QS2</t>
  </si>
  <si>
    <t>CGTL DSTRD GL FL</t>
  </si>
  <si>
    <t>WQBB092QT6</t>
  </si>
  <si>
    <t>CBJL</t>
  </si>
  <si>
    <t>CBJL DSTD PYA LG</t>
  </si>
  <si>
    <t>WQBB206OF6</t>
  </si>
  <si>
    <t>CBGL</t>
  </si>
  <si>
    <t>CBGL PLAYA LGOON</t>
  </si>
  <si>
    <t>WQBC018QS2</t>
  </si>
  <si>
    <t>WQBC028OF6</t>
  </si>
  <si>
    <t>WQBC028QS2</t>
  </si>
  <si>
    <t>WQCB207QK7</t>
  </si>
  <si>
    <t>HIGH RISE HALLE CROP</t>
  </si>
  <si>
    <t>CBHM</t>
  </si>
  <si>
    <t>CBHM POINT DUME</t>
  </si>
  <si>
    <t>WQCB213QK3</t>
  </si>
  <si>
    <t>CDPL</t>
  </si>
  <si>
    <t>CDPL D L LNS CYN</t>
  </si>
  <si>
    <t>WQCB213QR5</t>
  </si>
  <si>
    <t>CDNM</t>
  </si>
  <si>
    <t>CDNM CRST CVE BH</t>
  </si>
  <si>
    <t>WQCB215QK3</t>
  </si>
  <si>
    <t>WQCB224QT7</t>
  </si>
  <si>
    <t>CCSL</t>
  </si>
  <si>
    <t>CCSL PWDR BL LGN</t>
  </si>
  <si>
    <t>WQCB232QK3</t>
  </si>
  <si>
    <t>WQCB269QK3</t>
  </si>
  <si>
    <t>CHIM</t>
  </si>
  <si>
    <t>CHIM L LIONS CYN</t>
  </si>
  <si>
    <t>WQCC012QR5</t>
  </si>
  <si>
    <t>WQCC013QR5</t>
  </si>
  <si>
    <t>WQCC019QK7</t>
  </si>
  <si>
    <t>MID RISE ALANA SIDE ZIP SKIRT</t>
  </si>
  <si>
    <t>WQCC111QK3</t>
  </si>
  <si>
    <t>WQCC202QR5</t>
  </si>
  <si>
    <t>WQCC209QR5</t>
  </si>
  <si>
    <t>SHELBY WESTERN VEST</t>
  </si>
  <si>
    <t>WQCC211QK7</t>
  </si>
  <si>
    <t>WQCC213QR5</t>
  </si>
  <si>
    <t>WQFC115QL1</t>
  </si>
  <si>
    <t>WQFC168QL1</t>
  </si>
  <si>
    <t>WQHBW93VR</t>
  </si>
  <si>
    <t>GEORGIA PLAID SHIRT</t>
  </si>
  <si>
    <t>WQJBX97VR</t>
  </si>
  <si>
    <t>SAWTOOTH WESTERN SHIRT</t>
  </si>
  <si>
    <t>ABK CREAM DITSY</t>
  </si>
  <si>
    <t>ABK FUSCHIA DTSY</t>
  </si>
  <si>
    <t>WQOBW93VR</t>
  </si>
  <si>
    <t>WQPBZ45EC8</t>
  </si>
  <si>
    <t>OXFORD SHIRT</t>
  </si>
  <si>
    <t>WQR502DH4</t>
  </si>
  <si>
    <t>JOHNNY SATEEN STRAIGHT PANT</t>
  </si>
  <si>
    <t>ABX BROWN</t>
  </si>
  <si>
    <t>ABX OLIVE</t>
  </si>
  <si>
    <t>ABX DK NAVY</t>
  </si>
  <si>
    <t>ABX CRIMSON</t>
  </si>
  <si>
    <t>WQR564DH4</t>
  </si>
  <si>
    <t>BECKY SATEEN BOOT CUT PANT</t>
  </si>
  <si>
    <t>WQR592SDH4</t>
  </si>
  <si>
    <t>STELLA 32 IN SATEEN SKINNY</t>
  </si>
  <si>
    <t>WQUQ86DC3</t>
  </si>
  <si>
    <t>BRIANNA CAMO BOYFRIEND PANT</t>
  </si>
  <si>
    <t>AOQ NVTE A CM GR</t>
  </si>
  <si>
    <t>WQXA620IK</t>
  </si>
  <si>
    <t>INDIGO TENCEL GEORGIA</t>
  </si>
  <si>
    <t>TIE DYE BLEACH</t>
  </si>
  <si>
    <t>WQXC104IK</t>
  </si>
  <si>
    <t>INDIGO TENCEL RUNNER SHORT</t>
  </si>
  <si>
    <t>INDIGO W/MED WSH</t>
  </si>
  <si>
    <t>WQXC174IK</t>
  </si>
  <si>
    <t>INDIGO RELAXED TANK DRESS</t>
  </si>
  <si>
    <t>INDIGO MNRL WASH</t>
  </si>
  <si>
    <t>WQXC180IK</t>
  </si>
  <si>
    <t>WQXC181IK</t>
  </si>
  <si>
    <t>INDIGO TENCEL UTILITY ROMPER</t>
  </si>
  <si>
    <t>WQXC182IK</t>
  </si>
  <si>
    <t>INDIGO TENCEL GEORGIA DRESS</t>
  </si>
  <si>
    <t>WR8Q85IK</t>
  </si>
  <si>
    <t>HALLE INDIGO PANT</t>
  </si>
  <si>
    <t>5NM DIXIE</t>
  </si>
  <si>
    <t>WRG8Y82IK</t>
  </si>
  <si>
    <t>ABW ASH/HTHR GRY</t>
  </si>
  <si>
    <t>ABW WHITE/TAUPE</t>
  </si>
  <si>
    <t>ABW OTMEAL/BERRY</t>
  </si>
  <si>
    <t>WRG8Y83IK</t>
  </si>
  <si>
    <t>CROPPED FOOTBALL TEE</t>
  </si>
  <si>
    <t>ABW O WT/FD RL BL</t>
  </si>
  <si>
    <t>ABW OFF WHT/SCRLT</t>
  </si>
  <si>
    <t>ABW OF WHT/PPL HZ</t>
  </si>
  <si>
    <t>ABW WHT/KLY GRN</t>
  </si>
  <si>
    <t>WRPBZ14IK</t>
  </si>
  <si>
    <t>GEORGIA SHIRT</t>
  </si>
  <si>
    <t>2S MIDNIGHT</t>
  </si>
  <si>
    <t>2S PURPLE HAZE</t>
  </si>
  <si>
    <t>WRQ8Z09EG</t>
  </si>
  <si>
    <t>POCKET BOYFRIEND TEE</t>
  </si>
  <si>
    <t>WRS8Z19EG</t>
  </si>
  <si>
    <t>RIB TANK</t>
  </si>
  <si>
    <t>2S SEAL</t>
  </si>
  <si>
    <t>2S PLUM</t>
  </si>
  <si>
    <t>2S SCARLET</t>
  </si>
  <si>
    <t>WRS8Z20EG</t>
  </si>
  <si>
    <t>3/4 SCOOP VNECK TEE</t>
  </si>
  <si>
    <t>WRU8K98DB2</t>
  </si>
  <si>
    <t>WRX6H70EH</t>
  </si>
  <si>
    <t>MARISSA SWEATPANT</t>
  </si>
  <si>
    <t>WRX6Z23CI0</t>
  </si>
  <si>
    <t>LEGGING SWEATPANTS</t>
  </si>
  <si>
    <t>ABS INDIGO</t>
  </si>
  <si>
    <t>ABS PLUM</t>
  </si>
  <si>
    <t>ABS SCARLET</t>
  </si>
  <si>
    <t>ABS SIENNA</t>
  </si>
  <si>
    <t>WRX7Y79EH</t>
  </si>
  <si>
    <t>DRAPED HOODIE</t>
  </si>
  <si>
    <t>WRX7Y80CI0</t>
  </si>
  <si>
    <t>RAW EDGE PULLOVER SWEATSHIRT</t>
  </si>
  <si>
    <t>WRX7Y81CI0</t>
  </si>
  <si>
    <t>RAGLAN HOODIE</t>
  </si>
  <si>
    <t>WSAZ34DH8</t>
  </si>
  <si>
    <t>TRISHA OVERDYE 1971 JEAN</t>
  </si>
  <si>
    <t>ACO OLIVE</t>
  </si>
  <si>
    <t>ACO MANILLA</t>
  </si>
  <si>
    <t>ACO TAUPE</t>
  </si>
  <si>
    <t>WSAZ39DH9</t>
  </si>
  <si>
    <t>CAMERON OVERDYE 50S GROUP JEAN</t>
  </si>
  <si>
    <t>ACXL</t>
  </si>
  <si>
    <t>ACXL PLAINVIEW</t>
  </si>
  <si>
    <t>WSBZ36DG6</t>
  </si>
  <si>
    <t>CARRIE BLACK 1971 JEAN</t>
  </si>
  <si>
    <t>WSBZ38DK7</t>
  </si>
  <si>
    <t>WSBZ39DK7</t>
  </si>
  <si>
    <t>WSBZ46DK5</t>
  </si>
  <si>
    <t>GINA 50'S GROUP BLACK</t>
  </si>
  <si>
    <t>WSBZ46DK7</t>
  </si>
  <si>
    <t>WSCA017EH8</t>
  </si>
  <si>
    <t>LEXY BALTIC INK BOOT CUT</t>
  </si>
  <si>
    <t>ATR BALTIC INK</t>
  </si>
  <si>
    <t>WSCA051EH8</t>
  </si>
  <si>
    <t>ABBEY SUPER SKINNY BALTIC INK</t>
  </si>
  <si>
    <t>WSCA052EH8</t>
  </si>
  <si>
    <t>WSCA060EI4</t>
  </si>
  <si>
    <t>CHRISSY SUPER SKINNY SOFT FOOT</t>
  </si>
  <si>
    <t>WSCA308EH8</t>
  </si>
  <si>
    <t>LEXY MINI BOOTCUT BALTIC INK</t>
  </si>
  <si>
    <t>WSCA309EH8</t>
  </si>
  <si>
    <t>JUDE SKINNY BALTIC INK</t>
  </si>
  <si>
    <t>WSCD03DK7</t>
  </si>
  <si>
    <t>WSEC012QQ9</t>
  </si>
  <si>
    <t>CCR RINSE</t>
  </si>
  <si>
    <t>WSFB095QL5</t>
  </si>
  <si>
    <t>MID RISE HALLE CROP</t>
  </si>
  <si>
    <t>WSGB092QS3</t>
  </si>
  <si>
    <t>2S RINSE</t>
  </si>
  <si>
    <t>WSYC040NS5</t>
  </si>
  <si>
    <t>CRYSTAL VISION MUSCLE CREW</t>
  </si>
  <si>
    <t>WSYC040OA2</t>
  </si>
  <si>
    <t>TR BANDANA MUSCLE CREW</t>
  </si>
  <si>
    <t>WTEC188IK</t>
  </si>
  <si>
    <t>LEATHER MOTO VEST</t>
  </si>
  <si>
    <t>DRY RIVER</t>
  </si>
  <si>
    <t>WTFC189IK</t>
  </si>
  <si>
    <t>LOGO METAL SILK CROP TANK</t>
  </si>
  <si>
    <t>WTG9Z86IK</t>
  </si>
  <si>
    <t>LEATHER JACKET</t>
  </si>
  <si>
    <t>WTMC199IK</t>
  </si>
  <si>
    <t>TOURMALINE PLAID</t>
  </si>
  <si>
    <t>CARNELIAN PLAID</t>
  </si>
  <si>
    <t>WTR1734</t>
  </si>
  <si>
    <t>PANDORA ITALIAN SCARF</t>
  </si>
  <si>
    <t>WTRFA1301D</t>
  </si>
  <si>
    <t>TWO TONE PULLOVER SWEATER</t>
  </si>
  <si>
    <t>LINEN</t>
  </si>
  <si>
    <t>WTSC200IK</t>
  </si>
  <si>
    <t>WTUC201IK</t>
  </si>
  <si>
    <t>NATIVE STRIPE SILK TANK</t>
  </si>
  <si>
    <t>WTWA079EU1</t>
  </si>
  <si>
    <t>SILVER SAGE</t>
  </si>
  <si>
    <t>WTWC094NL8</t>
  </si>
  <si>
    <t>WTWP07EU1</t>
  </si>
  <si>
    <t>CLASSIC HOODIE L/S ZIP UP HOOD</t>
  </si>
  <si>
    <t>WTZC131QU3</t>
  </si>
  <si>
    <t>NAVY LEATHER</t>
  </si>
  <si>
    <t>WU38W09Z61</t>
  </si>
  <si>
    <t>COLORBLOCK POLOS</t>
  </si>
  <si>
    <t>YT SKY</t>
  </si>
  <si>
    <t>YT DAFFODIL</t>
  </si>
  <si>
    <t>WUCA143EW3</t>
  </si>
  <si>
    <t>CASHMERE HENLEY L/S HENLEY</t>
  </si>
  <si>
    <t>CAMEO</t>
  </si>
  <si>
    <t>WUF6H70EGX</t>
  </si>
  <si>
    <t>WUH8Z19EG</t>
  </si>
  <si>
    <t>BONE</t>
  </si>
  <si>
    <t>EUCALYPTUS</t>
  </si>
  <si>
    <t>BLOSSOM</t>
  </si>
  <si>
    <t>WUHA114EG</t>
  </si>
  <si>
    <t>L/S TEE</t>
  </si>
  <si>
    <t>WUMA201IK</t>
  </si>
  <si>
    <t>L/S TURTLENECK TEE</t>
  </si>
  <si>
    <t>ANTRACITE</t>
  </si>
  <si>
    <t>WUMA202IK</t>
  </si>
  <si>
    <t>WUNA129EG</t>
  </si>
  <si>
    <t>SLIM FIT BUTTON DOWN TOP</t>
  </si>
  <si>
    <t>BURNT CASSIS</t>
  </si>
  <si>
    <t>WUNA131EG</t>
  </si>
  <si>
    <t>BOY TEE S/S WITH RAW EDGE</t>
  </si>
  <si>
    <t>WUXA026EC9</t>
  </si>
  <si>
    <t>JOHNNY STRAIGHT BRIGHT HORIZON</t>
  </si>
  <si>
    <t>WUXA078EC9</t>
  </si>
  <si>
    <t>CHARLIE FLARE BRIGHT HORIZONS</t>
  </si>
  <si>
    <t>AUL WHITE / LEAD</t>
  </si>
  <si>
    <t>WV68K99R35</t>
  </si>
  <si>
    <t>SS WORLD TOUR CRW NK TEE- WOME</t>
  </si>
  <si>
    <t>WV8A036ER2</t>
  </si>
  <si>
    <t>AVCD</t>
  </si>
  <si>
    <t>AVCD QUIET WATRS</t>
  </si>
  <si>
    <t>WV8A309ER2</t>
  </si>
  <si>
    <t>WV8K35C91</t>
  </si>
  <si>
    <t>EKM HOT LEAD GREY</t>
  </si>
  <si>
    <t>APWL</t>
  </si>
  <si>
    <t>APWL LT SFT EDGE</t>
  </si>
  <si>
    <t>WVOA460IK</t>
  </si>
  <si>
    <t>VINTAGE MILITARY JACKET</t>
  </si>
  <si>
    <t>BFD PLATOON GRN</t>
  </si>
  <si>
    <t>WVQB080QT3</t>
  </si>
  <si>
    <t>VICTORIA SKINNY CIGARETTE</t>
  </si>
  <si>
    <t>CBKL</t>
  </si>
  <si>
    <t>CBKL DES MORO RK</t>
  </si>
  <si>
    <t>WVQB093OF7</t>
  </si>
  <si>
    <t>CHAM</t>
  </si>
  <si>
    <t>CHAM MORO ROCK</t>
  </si>
  <si>
    <t>WVQC013OF7</t>
  </si>
  <si>
    <t>WVQC206QT3</t>
  </si>
  <si>
    <t>CBKL DES MORO ROCK</t>
  </si>
  <si>
    <t>WVRA218IK</t>
  </si>
  <si>
    <t>BLAZER</t>
  </si>
  <si>
    <t>WVSA390IK</t>
  </si>
  <si>
    <t>DRESS WITH AZTEC EMBROIDERY</t>
  </si>
  <si>
    <t>WHISPER WHITE</t>
  </si>
  <si>
    <t>WW6C037NV3</t>
  </si>
  <si>
    <t>WW6C038NR3</t>
  </si>
  <si>
    <t>SEQUIN DESERT SONG TEE</t>
  </si>
  <si>
    <t>WW6C038QV6</t>
  </si>
  <si>
    <t>TR SEQUIN CREW NK TEE</t>
  </si>
  <si>
    <t>WWJA325GD9</t>
  </si>
  <si>
    <t>CASSIE ROLLED COLORED SHORT</t>
  </si>
  <si>
    <t>MARS RED</t>
  </si>
  <si>
    <t>09 MARS RED</t>
  </si>
  <si>
    <t>WWJA381HD7</t>
  </si>
  <si>
    <t>JOYCE MILITARY SKINNY SURPLUS</t>
  </si>
  <si>
    <t>BCJ DUSTY OLIVE</t>
  </si>
  <si>
    <t>WWJA615JV9</t>
  </si>
  <si>
    <t>TINA WESTERN JCKT CLASSIC WHTE</t>
  </si>
  <si>
    <t>WWJA883IB9</t>
  </si>
  <si>
    <t>VICTORIA MOTO SKINNY</t>
  </si>
  <si>
    <t>WWOA156GE0</t>
  </si>
  <si>
    <t>LINDA SUPER SKINNY CROP STRIPE</t>
  </si>
  <si>
    <t>AYE BLUE STRIPE</t>
  </si>
  <si>
    <t>WWOA325GE0</t>
  </si>
  <si>
    <t>CASSIE ROLLED SHORT STRIPES</t>
  </si>
  <si>
    <t>WWWA132IK</t>
  </si>
  <si>
    <t>WXAA516IA1</t>
  </si>
  <si>
    <t>CASEY CAMO PANT SUPER SKINNY</t>
  </si>
  <si>
    <t>WXAC103IA1</t>
  </si>
  <si>
    <t>BED OLIVE CAMO</t>
  </si>
  <si>
    <t>WXAN96IA1</t>
  </si>
  <si>
    <t>SERENA SUPER SKINNY W FLAP</t>
  </si>
  <si>
    <t>WXCA133IK</t>
  </si>
  <si>
    <t>TANK WITH LACE INSERT</t>
  </si>
  <si>
    <t>LEAD</t>
  </si>
  <si>
    <t>BLUSH</t>
  </si>
  <si>
    <t>WXCA134IK</t>
  </si>
  <si>
    <t>BUTTON DOWN L/S TOP WITH LACE</t>
  </si>
  <si>
    <t>HONEY</t>
  </si>
  <si>
    <t>WXCA379IK</t>
  </si>
  <si>
    <t>LS UTILITY SHIRT W NO POCKETS</t>
  </si>
  <si>
    <t>ANGEL PRINT</t>
  </si>
  <si>
    <t>WXHA347IK</t>
  </si>
  <si>
    <t>MOTO JACKET BOUCLE</t>
  </si>
  <si>
    <t>WXKA128GR2</t>
  </si>
  <si>
    <t>GEORGIA WESTERN SHIRT INDIGO</t>
  </si>
  <si>
    <t>AQDD</t>
  </si>
  <si>
    <t>AQDD DK HIGHWAY</t>
  </si>
  <si>
    <t>WXKA128GR3</t>
  </si>
  <si>
    <t>AXAL</t>
  </si>
  <si>
    <t>AXAL BREEZY MDOW</t>
  </si>
  <si>
    <t>WXNA425HA0</t>
  </si>
  <si>
    <t>3/4 SLEEVE HENLEY</t>
  </si>
  <si>
    <t>WXPA376EG</t>
  </si>
  <si>
    <t>PERSIMMON</t>
  </si>
  <si>
    <t>COCOON</t>
  </si>
  <si>
    <t>WXPA377EG</t>
  </si>
  <si>
    <t>CORE CREW NECK TEE</t>
  </si>
  <si>
    <t>WXQ597FR3</t>
  </si>
  <si>
    <t>TR STAMPY SS WIDE NECK TEE</t>
  </si>
  <si>
    <t>V1 FADED ROSE</t>
  </si>
  <si>
    <t>WXQA137FR9</t>
  </si>
  <si>
    <t>FLORIST TANK WITH SEAMS</t>
  </si>
  <si>
    <t>WXQA376F53</t>
  </si>
  <si>
    <t>OL56 CORE RACERBACK TANK</t>
  </si>
  <si>
    <t>WXQA376FR0</t>
  </si>
  <si>
    <t>LESS IS MORE RACERBACK TANK</t>
  </si>
  <si>
    <t>V1 4 LEAF CLOVER</t>
  </si>
  <si>
    <t>WXQA376FU1</t>
  </si>
  <si>
    <t>MONOGRAM RACERBACK TANK</t>
  </si>
  <si>
    <t>V1 CASTLEROCK</t>
  </si>
  <si>
    <t>WXQA377FR3</t>
  </si>
  <si>
    <t>TR STAMPY SS CREWNECK TEE</t>
  </si>
  <si>
    <t>WXQA377FR7</t>
  </si>
  <si>
    <t>DIRECTION SS CREWNECK TEE</t>
  </si>
  <si>
    <t>V1 STERLING BLUE</t>
  </si>
  <si>
    <t>WXQA597FR7</t>
  </si>
  <si>
    <t>DIRECTION SS WIDE NECK TEE</t>
  </si>
  <si>
    <t>WXSA131HA7</t>
  </si>
  <si>
    <t>BOY TEE WITH RAW EDGE EMB</t>
  </si>
  <si>
    <t>BAQ INDIGO</t>
  </si>
  <si>
    <t>WXSA137HA1</t>
  </si>
  <si>
    <t>TANK WITH SEAMS</t>
  </si>
  <si>
    <t>WXTA384IK</t>
  </si>
  <si>
    <t>PRINTED KNIT CAMI TANK</t>
  </si>
  <si>
    <t>INDIGO FLORAL</t>
  </si>
  <si>
    <t>WXUA398IK</t>
  </si>
  <si>
    <t>SLEEVELESS FUNNEL NECK HOODIE</t>
  </si>
  <si>
    <t>WXWA399IK</t>
  </si>
  <si>
    <t>EMBROIDERED BOHO TOP</t>
  </si>
  <si>
    <t>WXYA391IK</t>
  </si>
  <si>
    <t>EMBROIDERED CAMI W METAL EYLET</t>
  </si>
  <si>
    <t>AQCD</t>
  </si>
  <si>
    <t>AQCD DK DP ABYSS</t>
  </si>
  <si>
    <t>WY1N68EL</t>
  </si>
  <si>
    <t>WY6572G32</t>
  </si>
  <si>
    <t>BILLY STRAIGHT LEG WMN JEAN</t>
  </si>
  <si>
    <t>WY6G10CE9</t>
  </si>
  <si>
    <t>YO PURPLE</t>
  </si>
  <si>
    <t>WY6G10CF4</t>
  </si>
  <si>
    <t>WY6G10Y13</t>
  </si>
  <si>
    <t>JOEY CUT OFF COLD PRESS SHORT</t>
  </si>
  <si>
    <t>WY6G10Z82</t>
  </si>
  <si>
    <t>JOEY CUT OFF TIE DYE SHORT</t>
  </si>
  <si>
    <t>WP TIE DYE LILAC</t>
  </si>
  <si>
    <t>WP TIE DYE SHELL</t>
  </si>
  <si>
    <t>WY6G11BL0</t>
  </si>
  <si>
    <t>BOBBY PAINT SPLATTER SHORT</t>
  </si>
  <si>
    <t>ZN KELLY GREEN</t>
  </si>
  <si>
    <t>ZN TURQUOISE</t>
  </si>
  <si>
    <t>ZN SEA BLUE</t>
  </si>
  <si>
    <t>ZN PURPLE</t>
  </si>
  <si>
    <t>ZN RED</t>
  </si>
  <si>
    <t>ZN FUSCHIA</t>
  </si>
  <si>
    <t>ZN PINEAPPLE</t>
  </si>
  <si>
    <t>ZN DUSTED ORANGE</t>
  </si>
  <si>
    <t>HW BUTTER</t>
  </si>
  <si>
    <t>WY6G11PCK6</t>
  </si>
  <si>
    <t>BOBBY PALERMO CUT OFF SHORT</t>
  </si>
  <si>
    <t>ZR</t>
  </si>
  <si>
    <t>ZR PALERMO</t>
  </si>
  <si>
    <t>WY6G11Z82</t>
  </si>
  <si>
    <t>BOBBY  SPRAY COLOR SHORT</t>
  </si>
  <si>
    <t>XX TURQUOISE</t>
  </si>
  <si>
    <t>XX DUSTED ORANGE</t>
  </si>
  <si>
    <t>WY6G11Z93</t>
  </si>
  <si>
    <t>BOBBY METALLIC SPRAY SHORT</t>
  </si>
  <si>
    <t>WS PEWTER</t>
  </si>
  <si>
    <t>WS RED</t>
  </si>
  <si>
    <t>WS ORANGE</t>
  </si>
  <si>
    <t>WY6K18Z82</t>
  </si>
  <si>
    <t>KIERA TIE DYE LEGGING</t>
  </si>
  <si>
    <t>WP TIDYE OLD MNT</t>
  </si>
  <si>
    <t>WY6K35CE4</t>
  </si>
  <si>
    <t>V2 SKE TD MLT BR</t>
  </si>
  <si>
    <t>WY6K35CQ7</t>
  </si>
  <si>
    <t>CASEY PYTHON PRINT LEGGING</t>
  </si>
  <si>
    <t>WY6K35G17</t>
  </si>
  <si>
    <t>WY6K35K67</t>
  </si>
  <si>
    <t>09 CAMO GREEN</t>
  </si>
  <si>
    <t>WY6K35N28</t>
  </si>
  <si>
    <t>CASEY SUPER SKINNY LEGGING WM</t>
  </si>
  <si>
    <t>PQ REDWOOD</t>
  </si>
  <si>
    <t>WY6K35PCK6</t>
  </si>
  <si>
    <t>CASEY PALERMO PRINT WOMEN JEAN</t>
  </si>
  <si>
    <t>VT LT BURGUNDY</t>
  </si>
  <si>
    <t>VT YELLOW</t>
  </si>
  <si>
    <t>WP TIEDYE PNEAPLE</t>
  </si>
  <si>
    <t>WY6K44BB9</t>
  </si>
  <si>
    <t>MISTY CRYSTAL SPRAY COLOR</t>
  </si>
  <si>
    <t>WY6K44BC0</t>
  </si>
  <si>
    <t>WY6K44BC1</t>
  </si>
  <si>
    <t>WY6K44BC4</t>
  </si>
  <si>
    <t>WY6K44BK1</t>
  </si>
  <si>
    <t>WY6K44K67</t>
  </si>
  <si>
    <t>HW SAND</t>
  </si>
  <si>
    <t>WY6N95BL0</t>
  </si>
  <si>
    <t>HALLE SPLATTER PAINT JEAN</t>
  </si>
  <si>
    <t>ZN ROYAL BLUE</t>
  </si>
  <si>
    <t>AAK RSTC TRL WHT</t>
  </si>
  <si>
    <t>WY6N95GS0</t>
  </si>
  <si>
    <t>OVERDYED LEGGING</t>
  </si>
  <si>
    <t>AYS ROSEWATER</t>
  </si>
  <si>
    <t>09 SUNFLOWER</t>
  </si>
  <si>
    <t>PX CORAL</t>
  </si>
  <si>
    <t>WY6N96BC2</t>
  </si>
  <si>
    <t>WY6N96BC3</t>
  </si>
  <si>
    <t>WY6N96BK2</t>
  </si>
  <si>
    <t>WY6P38CE7</t>
  </si>
  <si>
    <t>BROOKLYN TIE DYE BRIGHTS</t>
  </si>
  <si>
    <t>WY6P38CE9</t>
  </si>
  <si>
    <t>WY6P38CF1</t>
  </si>
  <si>
    <t>YO KELLY GREEN</t>
  </si>
  <si>
    <t>WY6P38K67</t>
  </si>
  <si>
    <t>PX LT EMERALD</t>
  </si>
  <si>
    <t>WY6P49M46</t>
  </si>
  <si>
    <t>BROOKLYN CROPPED SUPER SKINNY</t>
  </si>
  <si>
    <t>PX OCEAN BLUE</t>
  </si>
  <si>
    <t>WY6P54M46</t>
  </si>
  <si>
    <t>PX MELON</t>
  </si>
  <si>
    <t>WY6R12R68</t>
  </si>
  <si>
    <t>SHANNON SKINNY FIT WOMEN JEANS</t>
  </si>
  <si>
    <t>2C NEON GREEN</t>
  </si>
  <si>
    <t>2C NEON PINK</t>
  </si>
  <si>
    <t>2C NEON YELLOW</t>
  </si>
  <si>
    <t>2C NEON ORANGE</t>
  </si>
  <si>
    <t>WY6Y78DH6</t>
  </si>
  <si>
    <t>CASEY OVERDYE CARGO GROUP</t>
  </si>
  <si>
    <t>ACN CHARCOAL</t>
  </si>
  <si>
    <t>BLACK 3</t>
  </si>
  <si>
    <t>ACN BLACK</t>
  </si>
  <si>
    <t>ACN OLIVE</t>
  </si>
  <si>
    <t>ACN CRIMSON</t>
  </si>
  <si>
    <t>WZBA395IK</t>
  </si>
  <si>
    <t>LS TOP WOVEN SHIRT W HEM TIE</t>
  </si>
  <si>
    <t>AYI SOFT STRIPE</t>
  </si>
  <si>
    <t>WZEA347IK</t>
  </si>
  <si>
    <t>WZHA120GF8</t>
  </si>
  <si>
    <t>BANDED SWEATPANT W EMBROIDERY</t>
  </si>
  <si>
    <t>DK HEATHER GREY</t>
  </si>
  <si>
    <t>WZHA419GF8</t>
  </si>
  <si>
    <t>OVERSIZED SWEATSHIRT WEMBR</t>
  </si>
  <si>
    <t>Y13JX41BW3</t>
  </si>
  <si>
    <t>UNISEX STAR &amp; HORSESHOE BELT</t>
  </si>
  <si>
    <t>Y13JX41BW6</t>
  </si>
  <si>
    <t>UNISEX TR SCRIPT BELT</t>
  </si>
  <si>
    <t>Y13JX41BW7</t>
  </si>
  <si>
    <t>UNISEX TRUE RELIGION REPT BELT</t>
  </si>
  <si>
    <t>Y14JX51BD2</t>
  </si>
  <si>
    <t>UNISEX METAL TR BELT</t>
  </si>
  <si>
    <t>W33A406EY8ATSM</t>
  </si>
  <si>
    <t>WAXN95S311050</t>
  </si>
  <si>
    <t>WJAY65DV0ANVM</t>
  </si>
  <si>
    <t>WJC572DB5AOEM</t>
  </si>
  <si>
    <t>WJCY06OMZZM</t>
  </si>
  <si>
    <t>WLH572EM40</t>
  </si>
  <si>
    <t>WY1K44EL1VB</t>
  </si>
  <si>
    <t>B2F859M60</t>
  </si>
  <si>
    <t>STRAIGHT WFLPS BIG T RED ORG</t>
  </si>
  <si>
    <t>B2F859NBT</t>
  </si>
  <si>
    <t>STRAIGHT WFLPS BIG T NATURAL</t>
  </si>
  <si>
    <t>BOVM</t>
  </si>
  <si>
    <t>BOVM JUNGLE PATH</t>
  </si>
  <si>
    <t>BOY</t>
  </si>
  <si>
    <t>BOY DEADWD HLLW</t>
  </si>
  <si>
    <t>B2F859OM</t>
  </si>
  <si>
    <t>STRAIGHT WFLPS BASIC</t>
  </si>
  <si>
    <t>BOXL</t>
  </si>
  <si>
    <t>BOXL HIDE &amp; SEEK</t>
  </si>
  <si>
    <t>B2F859TS</t>
  </si>
  <si>
    <t>BOYS STRAIGHT W FLP BASIC</t>
  </si>
  <si>
    <t>BORD</t>
  </si>
  <si>
    <t>BORD RTD SHL BLL</t>
  </si>
  <si>
    <t>B3F800BJ9</t>
  </si>
  <si>
    <t>BOYS STRAIGHT BASIC</t>
  </si>
  <si>
    <t>B8CA538MQ4</t>
  </si>
  <si>
    <t>BUDDHA FEST 71 SS CREW TEE</t>
  </si>
  <si>
    <t>B8CA538NM5</t>
  </si>
  <si>
    <t>TR SLUGGER SS CREW GRAPIC WFLK</t>
  </si>
  <si>
    <t>B8CA924NM6</t>
  </si>
  <si>
    <t>BIG BUDDHA SS FOOTBALL TEE</t>
  </si>
  <si>
    <t>G2G592LF9</t>
  </si>
  <si>
    <t>GIRLS SKINNY BASIC</t>
  </si>
  <si>
    <t>G2G599LF8</t>
  </si>
  <si>
    <t>GIRLS SKINNY WFLPS BIG T</t>
  </si>
  <si>
    <t>BOTM</t>
  </si>
  <si>
    <t>BOTM BROKEN SWNG</t>
  </si>
  <si>
    <t>G3G599KL5</t>
  </si>
  <si>
    <t>GIRLS SKINNY WFLPS PLUM S.N.</t>
  </si>
  <si>
    <t>GJDL57S25M</t>
  </si>
  <si>
    <t>GIRLS LEGGING WFLPS FUSCHIA OV</t>
  </si>
  <si>
    <t>BOG FUCHSIA</t>
  </si>
  <si>
    <t>ROCCO W/FLAP RELAXED SKINNY</t>
  </si>
  <si>
    <t>ROCCO RELAXED SKINNY  34 IN</t>
  </si>
  <si>
    <t>ROCCO RELAXED SKINNY 34IN</t>
  </si>
  <si>
    <t>M15UF02C7G</t>
  </si>
  <si>
    <t>STARS PRINT CREW FLEECE</t>
  </si>
  <si>
    <t>M15UF03C7G</t>
  </si>
  <si>
    <t>TRUE RELIGION  PRINT SHORT</t>
  </si>
  <si>
    <t>M15UF04C7G</t>
  </si>
  <si>
    <t>RELAX TRUE RELIGION PRINT PANT</t>
  </si>
  <si>
    <t>M15UF05C7G</t>
  </si>
  <si>
    <t>TR HOODIE STARS PRINT</t>
  </si>
  <si>
    <t>M15UF08D7G</t>
  </si>
  <si>
    <t>TRUE 71 ARTWORK SHORT</t>
  </si>
  <si>
    <t>TANGERINE</t>
  </si>
  <si>
    <t>M15UF09D7G</t>
  </si>
  <si>
    <t>TRUE 71 ARTWORK RELAX PANT</t>
  </si>
  <si>
    <t>M15UF16D7G</t>
  </si>
  <si>
    <t>STAR PRINT ON LEGS PANT</t>
  </si>
  <si>
    <t>M15UF17D7G</t>
  </si>
  <si>
    <t>MULTI PRINT SHORT</t>
  </si>
  <si>
    <t>M15UF19D7G</t>
  </si>
  <si>
    <t>MULTI PRINT HOODED ZIP JACKET</t>
  </si>
  <si>
    <t>M15UF20D7G</t>
  </si>
  <si>
    <t>TR ARTWORK HOODED ZIP JACKET</t>
  </si>
  <si>
    <t>M15UT01E6G</t>
  </si>
  <si>
    <t>STARS PRINT CREW T SHIRT</t>
  </si>
  <si>
    <t>SEA GREEN</t>
  </si>
  <si>
    <t>M15UT06E6G</t>
  </si>
  <si>
    <t>TRUE  71 STARS PRNT CRW TSHIRT</t>
  </si>
  <si>
    <t>M15UT10C6G</t>
  </si>
  <si>
    <t>TRUE RELIGION STARS PRINT POLO</t>
  </si>
  <si>
    <t>M15UT11E6G</t>
  </si>
  <si>
    <t>CITY ON FRONT CREW T SHIRT</t>
  </si>
  <si>
    <t>M15UT12E6G</t>
  </si>
  <si>
    <t>VNECK TSHIRT TR PRINT ON SLEEV</t>
  </si>
  <si>
    <t>M15UT14E6G</t>
  </si>
  <si>
    <t>PRINTS ON CHEST CREW T SHIRT</t>
  </si>
  <si>
    <t>M15UT15E6G</t>
  </si>
  <si>
    <t>CITY OF ANGELES VNECK TSHIRT</t>
  </si>
  <si>
    <t>M15UT21C5G</t>
  </si>
  <si>
    <t>HORSESHOE EMB VNECK TSHIRT</t>
  </si>
  <si>
    <t>M15UT22C5G</t>
  </si>
  <si>
    <t>TRUE ARTWORK VNECK TSHIRT</t>
  </si>
  <si>
    <t>M15UT23E6G</t>
  </si>
  <si>
    <t>AMERICAN INDIAN CREWT SHIRT</t>
  </si>
  <si>
    <t>M15UT24C5G</t>
  </si>
  <si>
    <t>TRUE ARTWORK  VNECK SHIRT</t>
  </si>
  <si>
    <t>M15UT25E6G</t>
  </si>
  <si>
    <t>M15UT26E5G</t>
  </si>
  <si>
    <t>AMERICAN ARTWORK CREW T SHIRT</t>
  </si>
  <si>
    <t>M15UT27C5G</t>
  </si>
  <si>
    <t>INDIAN ARTWORK CREW TSHIRT</t>
  </si>
  <si>
    <t>M15UT28C5G</t>
  </si>
  <si>
    <t>EAGLE PRINT WIDE CREW TSHIRT</t>
  </si>
  <si>
    <t>ROCCO RELAXED SKINNY MOTO</t>
  </si>
  <si>
    <t>MCANVASBAG</t>
  </si>
  <si>
    <t>CANVAS DUFFLE</t>
  </si>
  <si>
    <t>OVERDYE - GENO 34</t>
  </si>
  <si>
    <t>BZBM ROUGH TRAIL</t>
  </si>
  <si>
    <t>1/2 TROOPER BIG T</t>
  </si>
  <si>
    <t>MHGB134IE1</t>
  </si>
  <si>
    <t>CASHMERE BLEND EMB U VNK SWTR</t>
  </si>
  <si>
    <t>MHUB129NQ8</t>
  </si>
  <si>
    <t>TR CREST HOODIE</t>
  </si>
  <si>
    <t>MHUB130OB5</t>
  </si>
  <si>
    <t>TRUE FOOTBALLER SWEATPANT WFLK</t>
  </si>
  <si>
    <t>1/2 RICKY NO FLAP SE</t>
  </si>
  <si>
    <t>1/2 GENO W/ FLAP SE</t>
  </si>
  <si>
    <t>MLGB198IK</t>
  </si>
  <si>
    <t>MENS WOVEN PARKA</t>
  </si>
  <si>
    <t>MLPTR1837T</t>
  </si>
  <si>
    <t>KNIT WATCHCAP</t>
  </si>
  <si>
    <t>MLPTR1851T</t>
  </si>
  <si>
    <t>HI DENSITY LOGO BASEBALL CAP</t>
  </si>
  <si>
    <t>MLPTR1857T</t>
  </si>
  <si>
    <t>OVERPRINT TWILL BASEBALL CAP</t>
  </si>
  <si>
    <t>EMB CUT OFF SWEAT SHORTS</t>
  </si>
  <si>
    <t>MUWB227IK</t>
  </si>
  <si>
    <t>MENS VEGAN LEATHER JACKET</t>
  </si>
  <si>
    <t>MWZ859TS</t>
  </si>
  <si>
    <t>STRAIGHT WFLP TWILL 5 POCKET</t>
  </si>
  <si>
    <t>CAQ STRAW</t>
  </si>
  <si>
    <t>CAQ VINTAGE RED</t>
  </si>
  <si>
    <t>MWZA285IA6</t>
  </si>
  <si>
    <t>SLIM CAMO CARGO BIG T PANTS</t>
  </si>
  <si>
    <t>PTRB006P</t>
  </si>
  <si>
    <t>GEORGE BRD SHRT BG T STITCHING</t>
  </si>
  <si>
    <t>BONFIRE CAMO</t>
  </si>
  <si>
    <t>PTRB006SR</t>
  </si>
  <si>
    <t>RICKY SHORT BIG T STITCH</t>
  </si>
  <si>
    <t>PTRB011P</t>
  </si>
  <si>
    <t>ANDREW SHORT BIG T STITCH</t>
  </si>
  <si>
    <t>BLACK / WHITE CRACKLE</t>
  </si>
  <si>
    <t>DUNE CAMO</t>
  </si>
  <si>
    <t>INDIGO CRACKLE</t>
  </si>
  <si>
    <t>PTRB011PX</t>
  </si>
  <si>
    <t>ANDREW SHORT ALL OVR PRNT BIGT</t>
  </si>
  <si>
    <t>PTRB011S</t>
  </si>
  <si>
    <t>ANDREW SHORT  BIG T STITCH</t>
  </si>
  <si>
    <t>PTRB012P</t>
  </si>
  <si>
    <t>BRADLY SHORT  MOCK FLY</t>
  </si>
  <si>
    <t>AUTHENTIC WASH</t>
  </si>
  <si>
    <t>TR TRADEMRK CREW TEE</t>
  </si>
  <si>
    <t>SKULL STAR VNECK TEE</t>
  </si>
  <si>
    <t>W15UF13C8G</t>
  </si>
  <si>
    <t>W15UF14C8G</t>
  </si>
  <si>
    <t>STARS BIKER PANT</t>
  </si>
  <si>
    <t>W15UF16B8G</t>
  </si>
  <si>
    <t>STARS ON SIDE SEAMS SHORT</t>
  </si>
  <si>
    <t>W15UF19C8G</t>
  </si>
  <si>
    <t>RELAX WITH SLIT HOODED ZIP JKT</t>
  </si>
  <si>
    <t>W15UF20C8G</t>
  </si>
  <si>
    <t>SCOOP NCK SWT W ZIPPER ON SIDE</t>
  </si>
  <si>
    <t>W15UF28B8G</t>
  </si>
  <si>
    <t>BIKER PANT</t>
  </si>
  <si>
    <t>W15UT01E8G</t>
  </si>
  <si>
    <t>VNECK TCREW SHIRT</t>
  </si>
  <si>
    <t>W15UT02E8G</t>
  </si>
  <si>
    <t>W15UT04C8G</t>
  </si>
  <si>
    <t>FLEECE PANT WITH MESH PANEL</t>
  </si>
  <si>
    <t>W15UT05B9G</t>
  </si>
  <si>
    <t>BASEBALL T SHIRT 7/8 SLEEVE</t>
  </si>
  <si>
    <t>W15UT06B9G</t>
  </si>
  <si>
    <t>HRSSHE RHNSTNS 1/1 SLV   SLT</t>
  </si>
  <si>
    <t>W15UT07B9G</t>
  </si>
  <si>
    <t>HORESHOE RHNSTONS SLIT ON BACK</t>
  </si>
  <si>
    <t>W15UT08B9G</t>
  </si>
  <si>
    <t>HORSHE RINSTNS  TOP SLIT ON BK</t>
  </si>
  <si>
    <t>W15UT09B9G</t>
  </si>
  <si>
    <t>SCOOP NCK T SHIRT SLIT ON BACK</t>
  </si>
  <si>
    <t>W15UT10E7G</t>
  </si>
  <si>
    <t>BOXY CREW TSHIRT</t>
  </si>
  <si>
    <t>W15UT12E7G</t>
  </si>
  <si>
    <t>CITY PRINT VNECK TSHIRT</t>
  </si>
  <si>
    <t>W15UT14B9G</t>
  </si>
  <si>
    <t>STARS VNECK TSHIRT SQUARE</t>
  </si>
  <si>
    <t>W15UT21B9G</t>
  </si>
  <si>
    <t>TRUE HORSESHOE V NECK T SHIRT</t>
  </si>
  <si>
    <t>W15UT22B9G</t>
  </si>
  <si>
    <t>INDIAN PRINT BOXY CREW T SHIRT</t>
  </si>
  <si>
    <t>W15UT23B9G</t>
  </si>
  <si>
    <t>AMERICA CREW RELAX TSHIRT</t>
  </si>
  <si>
    <t>W15UT24B9G</t>
  </si>
  <si>
    <t>RAW EDG CONST V NCK RELAX T SH</t>
  </si>
  <si>
    <t>W15UT29F7G</t>
  </si>
  <si>
    <t>LA CA RELAX  CREW 7/8 SLEEVE</t>
  </si>
  <si>
    <t>W15UT30E8G</t>
  </si>
  <si>
    <t>TRUE 71 CREW TSHIRT</t>
  </si>
  <si>
    <t>BECCA MID RISE BOOTCUT 34 WFLP</t>
  </si>
  <si>
    <t>W46A915LG1</t>
  </si>
  <si>
    <t>MID RISE SLIM BOYFRIEND AUDREY</t>
  </si>
  <si>
    <t>CORA MID RISE STRAIGHT 34 WFLP</t>
  </si>
  <si>
    <t>HALLE MID RISE SUPER SKINNY 30</t>
  </si>
  <si>
    <t>SUPER T L/R CASEY FLAP 30</t>
  </si>
  <si>
    <t>WBR592SMN7</t>
  </si>
  <si>
    <t>SKINNY BIG T NATURAL RED</t>
  </si>
  <si>
    <t>CCCM</t>
  </si>
  <si>
    <t>CCCM GRV RBRS IN</t>
  </si>
  <si>
    <t>WC274RE4</t>
  </si>
  <si>
    <t>JESSIE FLARE</t>
  </si>
  <si>
    <t>CLHM</t>
  </si>
  <si>
    <t>CLHM EASTERN CNL</t>
  </si>
  <si>
    <t>WDDC349QQ3</t>
  </si>
  <si>
    <t>WDKB092QT1</t>
  </si>
  <si>
    <t>CIF DST OPTC WHT</t>
  </si>
  <si>
    <t>MID RISE CROP HALLE S 27 IN</t>
  </si>
  <si>
    <t>MID RISE CROP HALLE SKINNY 27</t>
  </si>
  <si>
    <t>WDKC213SO1</t>
  </si>
  <si>
    <t>Y3 BEACH GLASS</t>
  </si>
  <si>
    <t>Y3 LAVENDER</t>
  </si>
  <si>
    <t>Y3 YELLOW</t>
  </si>
  <si>
    <t>Y3 DESERT SUN</t>
  </si>
  <si>
    <t>WDKC338SO1</t>
  </si>
  <si>
    <t>MONOGRAM SS VNECK TEE</t>
  </si>
  <si>
    <t>CRAFTED W PRDE SKINNY SWEATPNT</t>
  </si>
  <si>
    <t>WHNB119MS1</t>
  </si>
  <si>
    <t>VEGAN LEATHER MOTO JACKET</t>
  </si>
  <si>
    <t>WHUB131OG7</t>
  </si>
  <si>
    <t>STAY CLASSY HOODIE W CRYSTALS</t>
  </si>
  <si>
    <t>WHUB242OG8</t>
  </si>
  <si>
    <t>STAY CLASSY SLIM SWEATPANT</t>
  </si>
  <si>
    <t>JOEY SHORT LOW RISE W FLAP</t>
  </si>
  <si>
    <t>WLHC213SH1</t>
  </si>
  <si>
    <t>WLHC327SG9</t>
  </si>
  <si>
    <t>WLHC327SH1</t>
  </si>
  <si>
    <t>WMAC100HE8</t>
  </si>
  <si>
    <t>SLIM STRGHT WFLP CRYSTAL LOGO</t>
  </si>
  <si>
    <t>WNWB204FC3</t>
  </si>
  <si>
    <t>WOMENS WOOL MOTO COAT</t>
  </si>
  <si>
    <t>WPWC179QT1</t>
  </si>
  <si>
    <t>CFR ECRU</t>
  </si>
  <si>
    <t>CFR AETHER</t>
  </si>
  <si>
    <t>CFR FIRELIGHT</t>
  </si>
  <si>
    <t>WQ8C326SG8</t>
  </si>
  <si>
    <t>WQBB092OF6</t>
  </si>
  <si>
    <t>WQBB215OF6</t>
  </si>
  <si>
    <t>WQXC105IK</t>
  </si>
  <si>
    <t>INDIGO TENCEL PATCHED TANK</t>
  </si>
  <si>
    <t>WVQB092QT3</t>
  </si>
  <si>
    <t>WWAB092SO2</t>
  </si>
  <si>
    <t>CIGM DESTYD CAMO</t>
  </si>
  <si>
    <t>15M1</t>
  </si>
  <si>
    <t>WXAB118IA6</t>
  </si>
  <si>
    <t>WY3C321SR5</t>
  </si>
  <si>
    <t>THE RUNWAY LEGGING</t>
  </si>
  <si>
    <t>Y09OX33BU6</t>
  </si>
  <si>
    <t>Y15JB003</t>
  </si>
  <si>
    <t>UNISEX LEATHER STAMP BELT</t>
  </si>
  <si>
    <t>Y15MB002</t>
  </si>
  <si>
    <t>UNISEX METAL STUDDED BELT</t>
  </si>
  <si>
    <t>YBUTTONBAG</t>
  </si>
  <si>
    <t>BUTTONS EVERYWHERE TOTE</t>
  </si>
  <si>
    <t>YTRDTNLBAG</t>
  </si>
  <si>
    <t>TR TRADITIONAL TOTE</t>
  </si>
  <si>
    <t>YTRRGLNBAG</t>
  </si>
  <si>
    <t>TRUE RELIGION ALL OVER BAG</t>
  </si>
  <si>
    <t>YTRUEBAG</t>
  </si>
  <si>
    <t>TRUE TOTE</t>
  </si>
  <si>
    <t>UNISEX STITICHED BELT</t>
  </si>
  <si>
    <t>Y13JX41BW8</t>
  </si>
  <si>
    <t>WY4C321SR5</t>
  </si>
  <si>
    <t>CKVD HIGH TIDE</t>
  </si>
  <si>
    <t>CKVD</t>
  </si>
  <si>
    <t>WW9C321SR6</t>
  </si>
  <si>
    <t>BIG BLOCK TR HOODIE</t>
  </si>
  <si>
    <t>WQQ7224QS7</t>
  </si>
  <si>
    <t>LOW RISE CASEY SUPER T</t>
  </si>
  <si>
    <t>WQCC012QT9</t>
  </si>
  <si>
    <t>WQCB270QK3</t>
  </si>
  <si>
    <t>NU BOY SHORT SLIM BOYFIT</t>
  </si>
  <si>
    <t>FADING HORSESHOOES  V NECK</t>
  </si>
  <si>
    <t>WPPY33QZ8</t>
  </si>
  <si>
    <t>DIAMONDS ARE SS CREW</t>
  </si>
  <si>
    <t>WPPX19QZ3</t>
  </si>
  <si>
    <t>TOO GOOD SS CREW</t>
  </si>
  <si>
    <t>WPPX19QZ1</t>
  </si>
  <si>
    <t>BIG BUDDHA S/S CREW NECK TEE</t>
  </si>
  <si>
    <t>WPPX19KL8</t>
  </si>
  <si>
    <t>BLACK / RED</t>
  </si>
  <si>
    <t>WHT</t>
  </si>
  <si>
    <t>TRBB SCOOP TEE SS</t>
  </si>
  <si>
    <t>WPPB231RA8</t>
  </si>
  <si>
    <t>TRUE RELIGION ALLOVR RND VNK</t>
  </si>
  <si>
    <t>WKWV02QZ7</t>
  </si>
  <si>
    <t>SPEED SHOP SS RND V NECK</t>
  </si>
  <si>
    <t>WKWV02QZ4</t>
  </si>
  <si>
    <t>TRUE LOVE SS RND V NECK</t>
  </si>
  <si>
    <t>WKWV02QZ2</t>
  </si>
  <si>
    <t>L/S TRI-NEEDLE WESTERN SHIRT</t>
  </si>
  <si>
    <t>WIAA313TT</t>
  </si>
  <si>
    <t>NU BOY SLIM BOYFIT   29</t>
  </si>
  <si>
    <t>NU BOY SLIM BOYFIT</t>
  </si>
  <si>
    <t>NU BOY SHORT  SLIM BOYFIT</t>
  </si>
  <si>
    <t>NU BOY SLIM BOYFIT 29</t>
  </si>
  <si>
    <t>05SM</t>
  </si>
  <si>
    <t>ET41 BL OBSESSION</t>
  </si>
  <si>
    <t>ET41</t>
  </si>
  <si>
    <t>HALLE MID RSE SUPER SKINNY</t>
  </si>
  <si>
    <t>W15UP21F3I</t>
  </si>
  <si>
    <t>AVA CUT-OFF HI RISE SHORT</t>
  </si>
  <si>
    <t>W15UH05A4I</t>
  </si>
  <si>
    <t>W15UD18R6I</t>
  </si>
  <si>
    <t>VICTORIA MD RSE SKINY CIGARETE</t>
  </si>
  <si>
    <t>W15UD16A4I</t>
  </si>
  <si>
    <t>OLIVE CAMO PRINT</t>
  </si>
  <si>
    <t>PTRB006PR</t>
  </si>
  <si>
    <t>WALNUT</t>
  </si>
  <si>
    <t>SOLID SLIM CARGO BIG T PANT</t>
  </si>
  <si>
    <t>MWZA285QZ6</t>
  </si>
  <si>
    <t>OLD GOLD</t>
  </si>
  <si>
    <t>MWZA285QZ5</t>
  </si>
  <si>
    <t>HEATHER GREY / BLACK</t>
  </si>
  <si>
    <t>AUTHENTIC ATHLETIC  SS RAGLAN</t>
  </si>
  <si>
    <t>MWXA595QZ9</t>
  </si>
  <si>
    <t>PIGSKIN SS FOOTBALL CREW</t>
  </si>
  <si>
    <t>MWX8Z65QY5</t>
  </si>
  <si>
    <t>WIDE LEG SWEAT PANT</t>
  </si>
  <si>
    <t>MW7B009IK</t>
  </si>
  <si>
    <t>CRAFTED WITH PRIDE HOODIE</t>
  </si>
  <si>
    <t>MW7B008OF9</t>
  </si>
  <si>
    <t>VARSITY BRAND SS VNECK</t>
  </si>
  <si>
    <t>MRTW58QY8</t>
  </si>
  <si>
    <t>BIG BUDDHA VARSITY SS CREW</t>
  </si>
  <si>
    <t>MRT8U24QY4</t>
  </si>
  <si>
    <t>TRADEMARKED SS CREW</t>
  </si>
  <si>
    <t>MRT8U24QY3</t>
  </si>
  <si>
    <t>MED HEATHER GREY</t>
  </si>
  <si>
    <t>BIG BLOCK TR FEECE HOODIE</t>
  </si>
  <si>
    <t>MQQG40QS5</t>
  </si>
  <si>
    <t>MQ2C346OH6</t>
  </si>
  <si>
    <t>MNRJ19NQM4</t>
  </si>
  <si>
    <t>MNRJ19NOJ5</t>
  </si>
  <si>
    <t>MNRE08NOH8</t>
  </si>
  <si>
    <t>PULLOVER SLEEVELESS HOODIE</t>
  </si>
  <si>
    <t>MLRC159NZ2</t>
  </si>
  <si>
    <t>LT WT TERRY DRAWSTRING PANT</t>
  </si>
  <si>
    <t>MLRC156IK</t>
  </si>
  <si>
    <t>LT WT TERRY SLEEVELESS HOODIE</t>
  </si>
  <si>
    <t>MLRC153NF4</t>
  </si>
  <si>
    <t>CLARET</t>
  </si>
  <si>
    <t>BUDDHA FEST BASEBALL CAP</t>
  </si>
  <si>
    <t>MLPTR1849T</t>
  </si>
  <si>
    <t>56TH DIVISION BASEBALL CAP</t>
  </si>
  <si>
    <t>MLPTR1840T</t>
  </si>
  <si>
    <t>MKO8U24QY3</t>
  </si>
  <si>
    <t>OFF FIELD SS V NECK</t>
  </si>
  <si>
    <t>MJMW58QY9</t>
  </si>
  <si>
    <t>MJMW58KT9</t>
  </si>
  <si>
    <t>MOTOR CO SS POCKET TEE</t>
  </si>
  <si>
    <t>MJMB145QY7</t>
  </si>
  <si>
    <t>JUNIOR VARSITY SS PKT TEE W FL</t>
  </si>
  <si>
    <t>MJMB103NI9</t>
  </si>
  <si>
    <t>WINTER WHT/REDWD</t>
  </si>
  <si>
    <t>MJMA595QZ9</t>
  </si>
  <si>
    <t>MJM8Z65QY5</t>
  </si>
  <si>
    <t>TR RIDER SS CREW</t>
  </si>
  <si>
    <t>MJM8U24QZ0</t>
  </si>
  <si>
    <t>RUGBY SCHOOL COLLARED LS SHIRT</t>
  </si>
  <si>
    <t>MJIB115QT4</t>
  </si>
  <si>
    <t>L/S UTILITY SHIRT SOLID</t>
  </si>
  <si>
    <t>MHVB128MU3</t>
  </si>
  <si>
    <t>L/S UTILITY SHIRT CAMO PRINT</t>
  </si>
  <si>
    <t>MHVB128MU2</t>
  </si>
  <si>
    <t>CLASSIC LOGO FLTLOCK SWEATPANT</t>
  </si>
  <si>
    <t>MHUB130MF4</t>
  </si>
  <si>
    <t>CLASSIC LOGO HOODIE W FLOCK</t>
  </si>
  <si>
    <t>MHUB129MF3</t>
  </si>
  <si>
    <t>RIVERWAY</t>
  </si>
  <si>
    <t>MHSA315TT</t>
  </si>
  <si>
    <t>BLUEJAY</t>
  </si>
  <si>
    <t>GENO SLIM COBALT BLUE  SPR T</t>
  </si>
  <si>
    <t>KURT SKINNY-NOFLP 32 STAY DARK</t>
  </si>
  <si>
    <t>CAS DK AGE MHGNY</t>
  </si>
  <si>
    <t>BACKPACK</t>
  </si>
  <si>
    <t>MBACKPACK</t>
  </si>
  <si>
    <t>MAXJ19NOH7</t>
  </si>
  <si>
    <t>ATV DEEP RED</t>
  </si>
  <si>
    <t>CORDUROY STRAIGHT WFLP</t>
  </si>
  <si>
    <t>M7F859EL</t>
  </si>
  <si>
    <t>ATV CHARCOAL</t>
  </si>
  <si>
    <t>CGPM UNDGRND FSL</t>
  </si>
  <si>
    <t>CGPM</t>
  </si>
  <si>
    <t>RICKY W FLAP STRAIGHT SUPER T</t>
  </si>
  <si>
    <t>M24859NQY0</t>
  </si>
  <si>
    <t>NAT  SUNSET SUPER T RICKY WFLP</t>
  </si>
  <si>
    <t>M24859NQM6</t>
  </si>
  <si>
    <t>M360 RIVER FLOW</t>
  </si>
  <si>
    <t>M360</t>
  </si>
  <si>
    <t>M15UW01A9I</t>
  </si>
  <si>
    <t>D380 STRIPE OUT</t>
  </si>
  <si>
    <t>D380</t>
  </si>
  <si>
    <t>T900 DESERT SAND</t>
  </si>
  <si>
    <t>T900</t>
  </si>
  <si>
    <t>DEAN SHORT</t>
  </si>
  <si>
    <t>M15UP17B6I</t>
  </si>
  <si>
    <t>DEAN MODERN TAPERED</t>
  </si>
  <si>
    <t>M15UP12B6I</t>
  </si>
  <si>
    <t>S803 SAND</t>
  </si>
  <si>
    <t>S803</t>
  </si>
  <si>
    <t>GENO RELAXED SLIM</t>
  </si>
  <si>
    <t>M15UP02B5I</t>
  </si>
  <si>
    <t>G803 GREY</t>
  </si>
  <si>
    <t>G803</t>
  </si>
  <si>
    <t>R4A1 RIPPED HERO</t>
  </si>
  <si>
    <t>R4A1</t>
  </si>
  <si>
    <t>DANNY JACKET</t>
  </si>
  <si>
    <t>M15UJ02B2I</t>
  </si>
  <si>
    <t>R401 RIPPED LGND</t>
  </si>
  <si>
    <t>R401</t>
  </si>
  <si>
    <t>M350 WORK 2 WORK</t>
  </si>
  <si>
    <t>M350</t>
  </si>
  <si>
    <t>JIMMY JACKET</t>
  </si>
  <si>
    <t>M15UJ01A2I</t>
  </si>
  <si>
    <t>M602 OCEAN FLOW</t>
  </si>
  <si>
    <t>M602</t>
  </si>
  <si>
    <t>M15UD17B1I</t>
  </si>
  <si>
    <t>M1A3 INDIGO FOCUS</t>
  </si>
  <si>
    <t>M1A3</t>
  </si>
  <si>
    <t>M15UD16A4I</t>
  </si>
  <si>
    <t>M103 INDIGO FLSH</t>
  </si>
  <si>
    <t>M103</t>
  </si>
  <si>
    <t>D201 DIRTY DARK</t>
  </si>
  <si>
    <t>D201</t>
  </si>
  <si>
    <t>RICKY W FLAPS RELAXED STRAIGHT</t>
  </si>
  <si>
    <t>M15UD16A2I</t>
  </si>
  <si>
    <t>D501 DPLR EFFECT</t>
  </si>
  <si>
    <t>D501</t>
  </si>
  <si>
    <t>GENO W FLAPS RELAXED SLIM</t>
  </si>
  <si>
    <t>M15UD15B4I</t>
  </si>
  <si>
    <t>D1A2 CHEMICAL BLUE</t>
  </si>
  <si>
    <t>D1A2</t>
  </si>
  <si>
    <t>GENO WITH FLAPS RELAXED SLIM</t>
  </si>
  <si>
    <t>M15UD15A4I</t>
  </si>
  <si>
    <t>D102 USED BLUE</t>
  </si>
  <si>
    <t>D102</t>
  </si>
  <si>
    <t>KURT MODERN SLIM</t>
  </si>
  <si>
    <t>M15UD13B4I</t>
  </si>
  <si>
    <t>M15UD13B2I</t>
  </si>
  <si>
    <t>D1A1 PURE BLUE</t>
  </si>
  <si>
    <t>D1A1</t>
  </si>
  <si>
    <t>M15UD13A4I</t>
  </si>
  <si>
    <t>D101 BLUE&amp;SPOT</t>
  </si>
  <si>
    <t>D101</t>
  </si>
  <si>
    <t>L400 GREY LEGEND</t>
  </si>
  <si>
    <t>L400</t>
  </si>
  <si>
    <t>M15UD12B2I</t>
  </si>
  <si>
    <t>M15UD12A4I</t>
  </si>
  <si>
    <t>RICKY W OUT FLPS RLAX STRAIGHT</t>
  </si>
  <si>
    <t>M15UD05B2I</t>
  </si>
  <si>
    <t>M15UD05A4I</t>
  </si>
  <si>
    <t>D300 BLACK OIL</t>
  </si>
  <si>
    <t>D300</t>
  </si>
  <si>
    <t>M15UD02B3I</t>
  </si>
  <si>
    <t>M15UD02B2I</t>
  </si>
  <si>
    <t>M15UD02B1I</t>
  </si>
  <si>
    <t>M15UD02A4I</t>
  </si>
  <si>
    <t>GENO RELAXED SKINNY</t>
  </si>
  <si>
    <t>M15UD02A2I</t>
  </si>
  <si>
    <t>ROCCO RELAXED SKINNY</t>
  </si>
  <si>
    <t>M15UD01B3I</t>
  </si>
  <si>
    <t>M15UD01B2I</t>
  </si>
  <si>
    <t>M15UD01B1I</t>
  </si>
  <si>
    <t>D600 BLUE CRVTTE</t>
  </si>
  <si>
    <t>D600</t>
  </si>
  <si>
    <t>M15UD01A4I</t>
  </si>
  <si>
    <t>M15UD01A2I</t>
  </si>
  <si>
    <t>M0KJ19NSM4</t>
  </si>
  <si>
    <t>GIRLS BASIC LEGGING WFLPS</t>
  </si>
  <si>
    <t>GHZL57LE8</t>
  </si>
  <si>
    <t>GIRLS BIG T SKINNY WFLPS</t>
  </si>
  <si>
    <t>G2G599LB5</t>
  </si>
  <si>
    <t>BOSD LN TOTH LDNG</t>
  </si>
  <si>
    <t>BOSD</t>
  </si>
  <si>
    <t>GIRLS BIG T SKINNY</t>
  </si>
  <si>
    <t>G2G592LB5</t>
  </si>
  <si>
    <t>BOG PURPLE</t>
  </si>
  <si>
    <t>GIRLS SKINNY WFLPS</t>
  </si>
  <si>
    <t>G21599MW3</t>
  </si>
  <si>
    <t>BOG ROCKET RED</t>
  </si>
  <si>
    <t>STRAIGHT WFLP  NATURAL</t>
  </si>
  <si>
    <t>BCZ859TS</t>
  </si>
  <si>
    <t>BOG BRIGHT BLUE</t>
  </si>
  <si>
    <t>STRAIGHT WFLP BIG T NATURAL</t>
  </si>
  <si>
    <t>B2F859MN7</t>
  </si>
  <si>
    <t>BOYS STRAIGHT WFLP SUPER T NAT</t>
  </si>
  <si>
    <t>B2F859IT7</t>
  </si>
  <si>
    <t>STRAIGHT BIG T NATURAL</t>
  </si>
  <si>
    <t>B2F800MN7</t>
  </si>
  <si>
    <t>BRIGHT BLUE</t>
  </si>
  <si>
    <t>XL</t>
  </si>
  <si>
    <t>W14FD03A4IED24</t>
  </si>
  <si>
    <t>W14FD03C7IEM20</t>
  </si>
  <si>
    <t>W14FD03M5IEM24</t>
  </si>
  <si>
    <t>W14FD07A4IED24</t>
  </si>
  <si>
    <t>W14FD07C7IED40</t>
  </si>
  <si>
    <t>W14FD10C7IED40</t>
  </si>
  <si>
    <t>W14FD10C7IEM19</t>
  </si>
  <si>
    <t>W14FD10J8IEL08</t>
  </si>
  <si>
    <t>W14FD10K4IEM21</t>
  </si>
  <si>
    <t>W14FD12C7IED40</t>
  </si>
  <si>
    <t>W14FD12K5IEW01</t>
  </si>
  <si>
    <t>W14FD13C7IEM20</t>
  </si>
  <si>
    <t>W14FD13M5IEM24</t>
  </si>
  <si>
    <t>W14FD15K5IEW01</t>
  </si>
  <si>
    <t>W14FD17M3IEL07</t>
  </si>
  <si>
    <t>W14FG01C7IED43</t>
  </si>
  <si>
    <t>W14FG01K5IEW01</t>
  </si>
  <si>
    <t>W14FP10K7IED27</t>
  </si>
  <si>
    <t>W14FP12K6IEW16</t>
  </si>
  <si>
    <t>W14SD02C6IEB05</t>
  </si>
  <si>
    <t>W14SD02C7IEL04</t>
  </si>
  <si>
    <t>W14SD02C7IEL05</t>
  </si>
  <si>
    <t>W14SD07D3IEM12</t>
  </si>
  <si>
    <t>W14SD10C8IEL03</t>
  </si>
  <si>
    <t>W14SH01A2IE302</t>
  </si>
  <si>
    <t>W14SH01A2IEB04</t>
  </si>
  <si>
    <t>W14SH01C7IED09</t>
  </si>
  <si>
    <t>W14SH01C7IED10</t>
  </si>
  <si>
    <t>W14SH01C7IEL04</t>
  </si>
  <si>
    <t>W14SH01C9IE410</t>
  </si>
  <si>
    <t>W14SH01C9IE660</t>
  </si>
  <si>
    <t>W14SH01C9IE810</t>
  </si>
  <si>
    <t>W14SH01C9IE840</t>
  </si>
  <si>
    <t>W14SJ01A2IEB03</t>
  </si>
  <si>
    <t>W14SJ04D6IE832</t>
  </si>
  <si>
    <t>W14SK02D8IE307</t>
  </si>
  <si>
    <t>W14SK02D8IE999</t>
  </si>
  <si>
    <t>W14SK04D9IE826</t>
  </si>
  <si>
    <t>W14SK04D9IE937</t>
  </si>
  <si>
    <t>W14SK05E1IE947</t>
  </si>
  <si>
    <t>W14SP02C9IE810</t>
  </si>
  <si>
    <t>W14SP04D2IE101</t>
  </si>
  <si>
    <t>W14ST08E4IE307</t>
  </si>
  <si>
    <t>W14SW01D4IEB06</t>
  </si>
  <si>
    <t>W14SW01D5IED13</t>
  </si>
  <si>
    <t>W14UD04F2IEM18</t>
  </si>
  <si>
    <t>W14UP10F3IE666</t>
  </si>
  <si>
    <t>W14UP10F3IE880</t>
  </si>
  <si>
    <t>W14UP12F5IEW06</t>
  </si>
  <si>
    <t>W14UT15C2IE101</t>
  </si>
  <si>
    <t>W14XD07K8IEL06</t>
  </si>
  <si>
    <t>W14XD07K8IEM13</t>
  </si>
  <si>
    <t>W14XD07L1IED02</t>
  </si>
  <si>
    <t>W14XD10C6IEM14</t>
  </si>
  <si>
    <t>W14XD10K8IEL06</t>
  </si>
  <si>
    <t>W14XD10K8IEM13</t>
  </si>
  <si>
    <t>W14XD10K9IED15</t>
  </si>
  <si>
    <t>W14XD10K9IED16</t>
  </si>
  <si>
    <t>W14XD12K8IEB07</t>
  </si>
  <si>
    <t>W14XD12K8IEL06</t>
  </si>
  <si>
    <t>W14XD12K8IEM13</t>
  </si>
  <si>
    <t>W14XD12K9IED15</t>
  </si>
  <si>
    <t>W14XD12L1IED02</t>
  </si>
  <si>
    <t>WBFZ37CU911</t>
  </si>
  <si>
    <t>WH13P020021001</t>
  </si>
  <si>
    <t>WH13P020026202</t>
  </si>
  <si>
    <t>WSBZ35DG6ACTD</t>
  </si>
  <si>
    <t>WSBZ37DG6ACTD</t>
  </si>
  <si>
    <t>10502NBT22V</t>
  </si>
  <si>
    <t>24859NBT2LPD</t>
  </si>
  <si>
    <t>24E08NBT22S</t>
  </si>
  <si>
    <t>4000000004LEM</t>
  </si>
  <si>
    <t>A13F71ARCD1299</t>
  </si>
  <si>
    <t>A13F71ARCD1377</t>
  </si>
  <si>
    <t>A13F71ARCD1700</t>
  </si>
  <si>
    <t>A13F71RCD1299</t>
  </si>
  <si>
    <t>A13F71RCD5342</t>
  </si>
  <si>
    <t>A13F72BRCD1001</t>
  </si>
  <si>
    <t>A13F72BRCD2166</t>
  </si>
  <si>
    <t>A13F72CRCD1299</t>
  </si>
  <si>
    <t>A13F72CRCD2166</t>
  </si>
  <si>
    <t>A13F72D5342</t>
  </si>
  <si>
    <t>A13F72RCD1299</t>
  </si>
  <si>
    <t>A13F72RCD1377</t>
  </si>
  <si>
    <t>A13F72RCD6064</t>
  </si>
  <si>
    <t>A13F74RCD3449</t>
  </si>
  <si>
    <t>A13F74RCD4348</t>
  </si>
  <si>
    <t>A13F74RCD6064</t>
  </si>
  <si>
    <t>A13F75ARCD1001</t>
  </si>
  <si>
    <t>A13F75ARCD2166</t>
  </si>
  <si>
    <t>A13F78AGCD1299</t>
  </si>
  <si>
    <t>A13F78AGCD1377</t>
  </si>
  <si>
    <t>A13F78AGCD4348</t>
  </si>
  <si>
    <t>A13F79GCD2166</t>
  </si>
  <si>
    <t>A13F811278</t>
  </si>
  <si>
    <t>A13F81A5342</t>
  </si>
  <si>
    <t>A13F81GCD1299</t>
  </si>
  <si>
    <t>A13F81GCD4348</t>
  </si>
  <si>
    <t>A13F81GCD5342</t>
  </si>
  <si>
    <t>A13F82GCD1299</t>
  </si>
  <si>
    <t>A13F84PGD1299</t>
  </si>
  <si>
    <t>A13FK324350</t>
  </si>
  <si>
    <t>A13FK335342</t>
  </si>
  <si>
    <t>A13FK351001</t>
  </si>
  <si>
    <t>A13FK364348</t>
  </si>
  <si>
    <t>A13FK38X2166</t>
  </si>
  <si>
    <t>A13M504643</t>
  </si>
  <si>
    <t>A13M555342</t>
  </si>
  <si>
    <t>A13M60RCD2166</t>
  </si>
  <si>
    <t>A13M69A4643</t>
  </si>
  <si>
    <t>A13M69B1001</t>
  </si>
  <si>
    <t>A13M69C1001</t>
  </si>
  <si>
    <t>A13M69C1379</t>
  </si>
  <si>
    <t>A13M814643</t>
  </si>
  <si>
    <t>AMB000052602</t>
  </si>
  <si>
    <t>AMB000102000</t>
  </si>
  <si>
    <t>AMB000162000</t>
  </si>
  <si>
    <t>AMB000191001</t>
  </si>
  <si>
    <t>AMB000192000</t>
  </si>
  <si>
    <t>AMB000202000</t>
  </si>
  <si>
    <t>AUB00003I2141</t>
  </si>
  <si>
    <t>AUB00005I2141</t>
  </si>
  <si>
    <t>B179L06IK1001</t>
  </si>
  <si>
    <t>B24858I32B</t>
  </si>
  <si>
    <t>B24858OMACKM</t>
  </si>
  <si>
    <t>B24858QZNJD</t>
  </si>
  <si>
    <t>B24861X09SIM</t>
  </si>
  <si>
    <t>B24E08D46F4</t>
  </si>
  <si>
    <t>B24E08ED87100</t>
  </si>
  <si>
    <t>B24E08ED96000</t>
  </si>
  <si>
    <t>B24E08GH1AWGM</t>
  </si>
  <si>
    <t>B24E08NBT2AAGM</t>
  </si>
  <si>
    <t>B24E08NBT2ACLD</t>
  </si>
  <si>
    <t>B24E08OMYLL</t>
  </si>
  <si>
    <t>B24E08QZ11</t>
  </si>
  <si>
    <t>B24E08QZETM</t>
  </si>
  <si>
    <t>B24E08QZFRD</t>
  </si>
  <si>
    <t>B24E08S47SIM</t>
  </si>
  <si>
    <t>B24H54NBT2SWD</t>
  </si>
  <si>
    <t>B24H54NBT2VAM</t>
  </si>
  <si>
    <t>B24Q17M27ETL</t>
  </si>
  <si>
    <t>B24V47OM2S</t>
  </si>
  <si>
    <t>B58A274GG81519</t>
  </si>
  <si>
    <t>B648229F593190</t>
  </si>
  <si>
    <t>B648229F596010</t>
  </si>
  <si>
    <t>BAXE08EL2SB</t>
  </si>
  <si>
    <t>BCBE08K333190</t>
  </si>
  <si>
    <t>BECW85CS2AOSM</t>
  </si>
  <si>
    <t>BED8H34EC21746</t>
  </si>
  <si>
    <t>BED8H34EC36366</t>
  </si>
  <si>
    <t>BETQ30P902S</t>
  </si>
  <si>
    <t>BGH8229EB61746</t>
  </si>
  <si>
    <t>BGH8229EC11035</t>
  </si>
  <si>
    <t>BGH8229FV88030</t>
  </si>
  <si>
    <t>BJU9S822500</t>
  </si>
  <si>
    <t>BL4BA74VY4607</t>
  </si>
  <si>
    <t>BLK8229W733166</t>
  </si>
  <si>
    <t>BLK8229W744130</t>
  </si>
  <si>
    <t>BLK8229W751740</t>
  </si>
  <si>
    <t>BLK8229W756122</t>
  </si>
  <si>
    <t>BLW8229DL91505</t>
  </si>
  <si>
    <t>BNL7X85CK16030</t>
  </si>
  <si>
    <t>BP48S42IK4237</t>
  </si>
  <si>
    <t>BP48S42IK6226</t>
  </si>
  <si>
    <t>BVWA489HT71820</t>
  </si>
  <si>
    <t>BZL8V32HT14135</t>
  </si>
  <si>
    <t>BZYA413GA21419</t>
  </si>
  <si>
    <t>G07K89MDY5</t>
  </si>
  <si>
    <t>G07K89S50FZM</t>
  </si>
  <si>
    <t>G10572DGT2LEM</t>
  </si>
  <si>
    <t>G10592BA211</t>
  </si>
  <si>
    <t>G10592BA22V</t>
  </si>
  <si>
    <t>G10592NBT2V8M</t>
  </si>
  <si>
    <t>G10599DB6AODD</t>
  </si>
  <si>
    <t>G10599DGT2GEM</t>
  </si>
  <si>
    <t>G10599NBT2SHM</t>
  </si>
  <si>
    <t>G10599X08SIM</t>
  </si>
  <si>
    <t>G10A280GH2X5</t>
  </si>
  <si>
    <t>G10G11BA8SHM</t>
  </si>
  <si>
    <t>G10G11NBT2ZAM</t>
  </si>
  <si>
    <t>G10M05GH4X5</t>
  </si>
  <si>
    <t>G177227AE16275</t>
  </si>
  <si>
    <t>G179L05EU26863</t>
  </si>
  <si>
    <t>G179L05IK6005</t>
  </si>
  <si>
    <t>G648240K626603</t>
  </si>
  <si>
    <t>G95K35BT14635</t>
  </si>
  <si>
    <t>GAKL56BCS11</t>
  </si>
  <si>
    <t>GAKL56BCS2S</t>
  </si>
  <si>
    <t>GAS5H42OM6P</t>
  </si>
  <si>
    <t>GASS36W83VVM</t>
  </si>
  <si>
    <t>GAX599ER76804</t>
  </si>
  <si>
    <t>GCB599K331345</t>
  </si>
  <si>
    <t>GETQ29PBT23</t>
  </si>
  <si>
    <t>GHZL56OM2S</t>
  </si>
  <si>
    <t>GHZL56TS2S</t>
  </si>
  <si>
    <t>GHZL56TSAWTM</t>
  </si>
  <si>
    <t>GHZL57TS2V</t>
  </si>
  <si>
    <t>GJDL56AF24117</t>
  </si>
  <si>
    <t>GJDL56GH89622</t>
  </si>
  <si>
    <t>GJDL56GR51746</t>
  </si>
  <si>
    <t>GJDL56GR56399</t>
  </si>
  <si>
    <t>GJDL56K676616</t>
  </si>
  <si>
    <t>GJDL57K674525</t>
  </si>
  <si>
    <t>GJDL57K675334</t>
  </si>
  <si>
    <t>GJDU01AF26206</t>
  </si>
  <si>
    <t>GL4BA86VY5402</t>
  </si>
  <si>
    <t>GL78145AF81923</t>
  </si>
  <si>
    <t>GL78145T816254</t>
  </si>
  <si>
    <t>GLK8K99AC81746</t>
  </si>
  <si>
    <t>GQ1Q36M47LZD</t>
  </si>
  <si>
    <t>GQ1Q36U66NBD</t>
  </si>
  <si>
    <t>GQ1Q36U66SWD</t>
  </si>
  <si>
    <t>GQ1Q37M47LEM</t>
  </si>
  <si>
    <t>GTDBW93VR6636</t>
  </si>
  <si>
    <t>GWAA009EV31739</t>
  </si>
  <si>
    <t>M07Z06CS2ADEM</t>
  </si>
  <si>
    <t>M08A799KI1BNIM</t>
  </si>
  <si>
    <t>M0BA894KQ41498</t>
  </si>
  <si>
    <t>M0CJ19NLO4BRRD</t>
  </si>
  <si>
    <t>M0CV97NLH3BRRD</t>
  </si>
  <si>
    <t>M0L859NLV8BSGL</t>
  </si>
  <si>
    <t>M0L859NLV8BURD</t>
  </si>
  <si>
    <t>M0LJ19NLV8BSGL</t>
  </si>
  <si>
    <t>M0SA905LF3BRJD</t>
  </si>
  <si>
    <t>M14FB17C4G4882</t>
  </si>
  <si>
    <t>M14FD01G4IED36</t>
  </si>
  <si>
    <t>M14FD01J8IED45</t>
  </si>
  <si>
    <t>M14FD01J8IEL08</t>
  </si>
  <si>
    <t>M14FD02A4IED34</t>
  </si>
  <si>
    <t>M14FD02G4IED37</t>
  </si>
  <si>
    <t>M14FD02G5IED35</t>
  </si>
  <si>
    <t>M14FD02J8IED45</t>
  </si>
  <si>
    <t>M14FD07A4IED33</t>
  </si>
  <si>
    <t>M14FD07J6IED29</t>
  </si>
  <si>
    <t>M14FF18B8G1106</t>
  </si>
  <si>
    <t>M14FF18B8G1377</t>
  </si>
  <si>
    <t>M14FF21B5G1106</t>
  </si>
  <si>
    <t>M14FF22B5G1106</t>
  </si>
  <si>
    <t>M14FK01D1G4000</t>
  </si>
  <si>
    <t>M14FL15C3G1001</t>
  </si>
  <si>
    <t>M14FN42C5G1001</t>
  </si>
  <si>
    <t>M14FN42C5G1478</t>
  </si>
  <si>
    <t>M14FN42C5G4883</t>
  </si>
  <si>
    <t>M14FO20C5G1001</t>
  </si>
  <si>
    <t>M14FT03B1G4000</t>
  </si>
  <si>
    <t>M14FT06B1G1700</t>
  </si>
  <si>
    <t>M14FT09B1G4000</t>
  </si>
  <si>
    <t>M14FW05B4IE999</t>
  </si>
  <si>
    <t>M14FW06B2IEW01</t>
  </si>
  <si>
    <t>M14FW06B4IE100</t>
  </si>
  <si>
    <t>M14FW07A9IEM30</t>
  </si>
  <si>
    <t>M14FY40C4G1001</t>
  </si>
  <si>
    <t>M14FY40C4G3529</t>
  </si>
  <si>
    <t>M14HD01A4IED56</t>
  </si>
  <si>
    <t>M14HD01A4IEM41</t>
  </si>
  <si>
    <t>M14HD01M4IED55</t>
  </si>
  <si>
    <t>M14HD01M4IED57</t>
  </si>
  <si>
    <t>M14HD01N6IEM38</t>
  </si>
  <si>
    <t>M14HD01O4IEM40</t>
  </si>
  <si>
    <t>M14HD02A4IED56</t>
  </si>
  <si>
    <t>M14HD02A4IEM41</t>
  </si>
  <si>
    <t>M14HD02M4IEM42</t>
  </si>
  <si>
    <t>M14HD02N5IED54</t>
  </si>
  <si>
    <t>M14HD02N6IEM38</t>
  </si>
  <si>
    <t>M14HD02N7IEM37</t>
  </si>
  <si>
    <t>M14HD05M4IED55</t>
  </si>
  <si>
    <t>M14HD12A2IEM33</t>
  </si>
  <si>
    <t>M14HD12N6IEM38</t>
  </si>
  <si>
    <t>M14HF04D7G1106</t>
  </si>
  <si>
    <t>M14HP22O6IE930</t>
  </si>
  <si>
    <t>M14HT19D9G4922</t>
  </si>
  <si>
    <t>M14HT22C5G1403</t>
  </si>
  <si>
    <t>M14HT23C5G1106</t>
  </si>
  <si>
    <t>M14HT23C5G1700</t>
  </si>
  <si>
    <t>M14HT23C5G3544</t>
  </si>
  <si>
    <t>M14HT40D9G4922</t>
  </si>
  <si>
    <t>M14HT41C5G1106</t>
  </si>
  <si>
    <t>M14HT41C5G1700</t>
  </si>
  <si>
    <t>M14SH01A2IEM02</t>
  </si>
  <si>
    <t>M14SH02C4IE645</t>
  </si>
  <si>
    <t>M14SH02C4IE820</t>
  </si>
  <si>
    <t>M14SP20A7IE220</t>
  </si>
  <si>
    <t>M14SP21C4IE820</t>
  </si>
  <si>
    <t>M14ST01C4IE645</t>
  </si>
  <si>
    <t>M14ST02C2IE645</t>
  </si>
  <si>
    <t>M14ST02C2IE820</t>
  </si>
  <si>
    <t>M14ST02C2IE910</t>
  </si>
  <si>
    <t>M14ST05C2IE630</t>
  </si>
  <si>
    <t>M14ST05C2IE880</t>
  </si>
  <si>
    <t>M14ST06C2IE840</t>
  </si>
  <si>
    <t>M14ST06C2IE910</t>
  </si>
  <si>
    <t>M14SW04B3IE835</t>
  </si>
  <si>
    <t>M14UF09B8G1377</t>
  </si>
  <si>
    <t>M14UJ01A4IEM16</t>
  </si>
  <si>
    <t>M14UT14C2IE930</t>
  </si>
  <si>
    <t>M1VB016EH1001</t>
  </si>
  <si>
    <t>M24859NJS7BNMM</t>
  </si>
  <si>
    <t>M24J19SGJ4BAEM</t>
  </si>
  <si>
    <t>M24V97NKI4BNPD</t>
  </si>
  <si>
    <t>M24Y84LY4BAIM</t>
  </si>
  <si>
    <t>M2ZA806KI24866</t>
  </si>
  <si>
    <t>M3EA897IR4BMGM</t>
  </si>
  <si>
    <t>M50A209FM6BAJL</t>
  </si>
  <si>
    <t>M5QA451IY67023</t>
  </si>
  <si>
    <t>M5QA572IK4857</t>
  </si>
  <si>
    <t>M5UA577KA51859</t>
  </si>
  <si>
    <t>M6GA754VR1001</t>
  </si>
  <si>
    <t>M6TA748IB21001</t>
  </si>
  <si>
    <t>M7QA607IS9BMVD</t>
  </si>
  <si>
    <t>M7TA750JO14044</t>
  </si>
  <si>
    <t>M7TA752IK4044</t>
  </si>
  <si>
    <t>M9FA806LP51001</t>
  </si>
  <si>
    <t>M9FA806LP51700</t>
  </si>
  <si>
    <t>M9FB063LP61001</t>
  </si>
  <si>
    <t>M9VA757EG6474</t>
  </si>
  <si>
    <t>MAXA904LJ6CHMM</t>
  </si>
  <si>
    <t>MAXJ60EL2HB</t>
  </si>
  <si>
    <t>MBGL46FJ94134</t>
  </si>
  <si>
    <t>MBGL46HV41035</t>
  </si>
  <si>
    <t>MBGL46HW01746</t>
  </si>
  <si>
    <t>MBGL46T081033</t>
  </si>
  <si>
    <t>MBGL46T084061</t>
  </si>
  <si>
    <t>MCB859NJD21056</t>
  </si>
  <si>
    <t>MEC859NIS4BNNM</t>
  </si>
  <si>
    <t>MECA904MX26201</t>
  </si>
  <si>
    <t>MECE08OMB89</t>
  </si>
  <si>
    <t>MECE08OMBLPD</t>
  </si>
  <si>
    <t>MECH54OMB2S</t>
  </si>
  <si>
    <t>MECH54TST11</t>
  </si>
  <si>
    <t>MECJ19NIS4BNNM</t>
  </si>
  <si>
    <t>MECJ19NJW7BMBD</t>
  </si>
  <si>
    <t>MECJ19OMB89</t>
  </si>
  <si>
    <t>MECJ19OMBLPD</t>
  </si>
  <si>
    <t>MECJ19TST11</t>
  </si>
  <si>
    <t>MEG841HFP77232</t>
  </si>
  <si>
    <t>MGWPSJ71001</t>
  </si>
  <si>
    <t>MIU859NNN11700</t>
  </si>
  <si>
    <t>MJHW51Y40XMD</t>
  </si>
  <si>
    <t>MJPBX17VY4687</t>
  </si>
  <si>
    <t>MJX8U82AB01941</t>
  </si>
  <si>
    <t>MNOA064EF72657</t>
  </si>
  <si>
    <t>MQU859NLX83256</t>
  </si>
  <si>
    <t>MS4A451JA23519</t>
  </si>
  <si>
    <t>MS4A451JA31746</t>
  </si>
  <si>
    <t>MS4A451JT61746</t>
  </si>
  <si>
    <t>MTQA007EG1035</t>
  </si>
  <si>
    <t>MVN800GX61001</t>
  </si>
  <si>
    <t>MWQA301KG61745</t>
  </si>
  <si>
    <t>MWSA422FQ44150</t>
  </si>
  <si>
    <t>R110ASST</t>
  </si>
  <si>
    <t>R130ASST</t>
  </si>
  <si>
    <t>R170ASST</t>
  </si>
  <si>
    <t>R503F2ASST</t>
  </si>
  <si>
    <t>SU13F001PS1286</t>
  </si>
  <si>
    <t>SU13F004116500</t>
  </si>
  <si>
    <t>SU13F0073D3301</t>
  </si>
  <si>
    <t>SU13F0073D4400</t>
  </si>
  <si>
    <t>SU13F0073D6500</t>
  </si>
  <si>
    <t>SU13F011084400</t>
  </si>
  <si>
    <t>SU13F012BS3196</t>
  </si>
  <si>
    <t>SU13F015001007</t>
  </si>
  <si>
    <t>SU13F015001377</t>
  </si>
  <si>
    <t>SU13F017001377</t>
  </si>
  <si>
    <t>SU13F017004048</t>
  </si>
  <si>
    <t>SU13F0221007</t>
  </si>
  <si>
    <t>SU13F0224400</t>
  </si>
  <si>
    <t>SU13F0226500</t>
  </si>
  <si>
    <t>SU13F11X001377</t>
  </si>
  <si>
    <t>SU13F11X006500</t>
  </si>
  <si>
    <t>SU13F13X001286</t>
  </si>
  <si>
    <t>SU13F14X001286</t>
  </si>
  <si>
    <t>SU13F14X001377</t>
  </si>
  <si>
    <t>SU13F14X006500</t>
  </si>
  <si>
    <t>SU13F17X001286</t>
  </si>
  <si>
    <t>TR12138038</t>
  </si>
  <si>
    <t>TR12147000</t>
  </si>
  <si>
    <t>TR18384101</t>
  </si>
  <si>
    <t>TRS13051001</t>
  </si>
  <si>
    <t>TRS13064000</t>
  </si>
  <si>
    <t>TRSPM10RCD1368</t>
  </si>
  <si>
    <t>TRSPM13151700</t>
  </si>
  <si>
    <t>TRSPW11RCD6500</t>
  </si>
  <si>
    <t>TRSPW1222A1278</t>
  </si>
  <si>
    <t>TRSPW16PGD1368</t>
  </si>
  <si>
    <t>TRSPW7111004</t>
  </si>
  <si>
    <t>TRSPW7114644</t>
  </si>
  <si>
    <t>TRSPW7116182</t>
  </si>
  <si>
    <t>TRSPW7144643</t>
  </si>
  <si>
    <t>TRSPW7146012</t>
  </si>
  <si>
    <t>TRSPW7251278</t>
  </si>
  <si>
    <t>TRSPW7251700</t>
  </si>
  <si>
    <t>TRSPW8RCD4644</t>
  </si>
  <si>
    <t>TRW1303F1001</t>
  </si>
  <si>
    <t>TRW1304F1001</t>
  </si>
  <si>
    <t>TRW1305F8220</t>
  </si>
  <si>
    <t>TRW1307F1700</t>
  </si>
  <si>
    <t>TRW1307F4542</t>
  </si>
  <si>
    <t>TRW1308F1403</t>
  </si>
  <si>
    <t>TRW1308F7100</t>
  </si>
  <si>
    <t>TRW1309F7100</t>
  </si>
  <si>
    <t>TRW1310F1004</t>
  </si>
  <si>
    <t>TRW1310F3106</t>
  </si>
  <si>
    <t>TRW1310F8220</t>
  </si>
  <si>
    <t>TRW1310SF3106</t>
  </si>
  <si>
    <t>TRW1323M4819</t>
  </si>
  <si>
    <t>TRW1327M8220</t>
  </si>
  <si>
    <t>TRW1331F1001</t>
  </si>
  <si>
    <t>TRW1332F3443</t>
  </si>
  <si>
    <t>TRW1334F6000</t>
  </si>
  <si>
    <t>TRW1336F1001</t>
  </si>
  <si>
    <t>TRW1336F1200</t>
  </si>
  <si>
    <t>TRW1340SF3106</t>
  </si>
  <si>
    <t>TRW1361F1001</t>
  </si>
  <si>
    <t>TRW1361F2000</t>
  </si>
  <si>
    <t>TRW1362F1001</t>
  </si>
  <si>
    <t>TRW1370F1258</t>
  </si>
  <si>
    <t>TRW1370F7116</t>
  </si>
  <si>
    <t>TRWF11J062000</t>
  </si>
  <si>
    <t>TRWF12P011001</t>
  </si>
  <si>
    <t>TRWF12P012207</t>
  </si>
  <si>
    <t>TRWF12P012502</t>
  </si>
  <si>
    <t>TRWF12P014143</t>
  </si>
  <si>
    <t>TRWF12P031001</t>
  </si>
  <si>
    <t>TRWF12P031126</t>
  </si>
  <si>
    <t>W13F7276000</t>
  </si>
  <si>
    <t>W13F8230S1377</t>
  </si>
  <si>
    <t>W13F8230S5342</t>
  </si>
  <si>
    <t>W13F90B994643</t>
  </si>
  <si>
    <t>W13F91B41001</t>
  </si>
  <si>
    <t>W13F91B44643</t>
  </si>
  <si>
    <t>W14FF16B8G1377</t>
  </si>
  <si>
    <t>W14FF20B8G1377</t>
  </si>
  <si>
    <t>W14FF30C7G1476</t>
  </si>
  <si>
    <t>W14FF31C7G1476</t>
  </si>
  <si>
    <t>W14FL08C2G1001</t>
  </si>
  <si>
    <t>W14FN44C5G1001</t>
  </si>
  <si>
    <t>W14FN44C5G1478</t>
  </si>
  <si>
    <t>W14FN44C5G4883</t>
  </si>
  <si>
    <t>W14FO43C5G5155</t>
  </si>
  <si>
    <t>W14FT01B9G1403</t>
  </si>
  <si>
    <t>W14FT01B9G1700</t>
  </si>
  <si>
    <t>W14FT02B1G1285</t>
  </si>
  <si>
    <t>W14FT02B1G3501</t>
  </si>
  <si>
    <t>W14FT32C9G1106</t>
  </si>
  <si>
    <t>W14FT32C9G3501</t>
  </si>
  <si>
    <t>W14FT39B7G1106</t>
  </si>
  <si>
    <t>W14FT43B7G1106</t>
  </si>
  <si>
    <t>W14FW01L3IEM31</t>
  </si>
  <si>
    <t>W14SD03D3IED02</t>
  </si>
  <si>
    <t>W14SF25B8G1377</t>
  </si>
  <si>
    <t>W14SF25B8G1378</t>
  </si>
  <si>
    <t>W14SF25B8G1700</t>
  </si>
  <si>
    <t>W14SF26B8G6000</t>
  </si>
  <si>
    <t>W14SF36B8G1377</t>
  </si>
  <si>
    <t>W14SF36B8G1700</t>
  </si>
  <si>
    <t>W14SF36B8G6000</t>
  </si>
  <si>
    <t>W14ST11B1G1378</t>
  </si>
  <si>
    <t>W14ST11B1G1700</t>
  </si>
  <si>
    <t>W14ST39B9G1106</t>
  </si>
  <si>
    <t>W14ST39B9G1377</t>
  </si>
  <si>
    <t>W14ST39B9G1378</t>
  </si>
  <si>
    <t>W14ST39B9G4000</t>
  </si>
  <si>
    <t>W14UF16B7G1001</t>
  </si>
  <si>
    <t>W14UT03B3G1378</t>
  </si>
  <si>
    <t>W14UT03B3G1700</t>
  </si>
  <si>
    <t>W14UT04B3G1378</t>
  </si>
  <si>
    <t>W14UT04B3G1700</t>
  </si>
  <si>
    <t>W14UT05B3G1378</t>
  </si>
  <si>
    <t>W14UT05B3G1700</t>
  </si>
  <si>
    <t>W14UT06B3G1378</t>
  </si>
  <si>
    <t>W14UT06B3G1700</t>
  </si>
  <si>
    <t>W14UT06B3G4730</t>
  </si>
  <si>
    <t>W14UT19C1G1378</t>
  </si>
  <si>
    <t>W2SA945LN1BQSL</t>
  </si>
  <si>
    <t>W3DA957LL81035</t>
  </si>
  <si>
    <t>W3DA958LL81035</t>
  </si>
  <si>
    <t>W3SA729JF5BJKM</t>
  </si>
  <si>
    <t>W3SA841JF5BJKM</t>
  </si>
  <si>
    <t>W3SA996MA8BHYM</t>
  </si>
  <si>
    <t>W3SB060MA8BHND</t>
  </si>
  <si>
    <t>W3SB060MA8BHYM</t>
  </si>
  <si>
    <t>W52A742KG3BKRD</t>
  </si>
  <si>
    <t>W52A890KG3BKRD</t>
  </si>
  <si>
    <t>W52A984MA7BNSM</t>
  </si>
  <si>
    <t>W5YA797IK1075</t>
  </si>
  <si>
    <t>W6DA781EG3522</t>
  </si>
  <si>
    <t>W6DA781EG4868</t>
  </si>
  <si>
    <t>W8RA665IJ6BHVM</t>
  </si>
  <si>
    <t>W9CA935JG5BJRM</t>
  </si>
  <si>
    <t>WCJN95BCS11</t>
  </si>
  <si>
    <t>WF4K44P041001</t>
  </si>
  <si>
    <t>WJCA942LU9BMBD</t>
  </si>
  <si>
    <t>WLUS72U157226</t>
  </si>
  <si>
    <t>WLVQ85U131024</t>
  </si>
  <si>
    <t>WSCZ46DK7ACQD</t>
  </si>
  <si>
    <t>WY6K35K671113</t>
  </si>
  <si>
    <t>WY6N95Z826839</t>
  </si>
  <si>
    <t>M15SF50B5G</t>
  </si>
  <si>
    <t>PATCH POCKET HOODED ZIP JACKET</t>
  </si>
  <si>
    <t>ORIGINAL MOULINE</t>
  </si>
  <si>
    <t>M15SF51B5G</t>
  </si>
  <si>
    <t>HORSESHOE ON PATCH PKT HOODIE</t>
  </si>
  <si>
    <t>M15SF52B5G</t>
  </si>
  <si>
    <t>M15SF53B5G</t>
  </si>
  <si>
    <t>HORSESHOE PANT W CUTS ON KNEE</t>
  </si>
  <si>
    <t>M15SF54B5G</t>
  </si>
  <si>
    <t>PROPERTY OF CREW SWEAT</t>
  </si>
  <si>
    <t>M15SF55B5G</t>
  </si>
  <si>
    <t>M15SF56B8G</t>
  </si>
  <si>
    <t>TRUE RELIGION  HOODED  ZIPJKT</t>
  </si>
  <si>
    <t>WINE</t>
  </si>
  <si>
    <t>M15SF57B8G</t>
  </si>
  <si>
    <t>TRUE RELIGION BRAND PANT</t>
  </si>
  <si>
    <t>M15SF58B8G</t>
  </si>
  <si>
    <t>BUDDHA APPLICATION  HOODIE</t>
  </si>
  <si>
    <t>M15SF59B8G</t>
  </si>
  <si>
    <t>BUDDHA HOODED ZIP JACKET</t>
  </si>
  <si>
    <t>M15SF60B8G</t>
  </si>
  <si>
    <t>TRUE RELIGION STAR HOODIE</t>
  </si>
  <si>
    <t>M15SF61B8G</t>
  </si>
  <si>
    <t>M15ST62E5G</t>
  </si>
  <si>
    <t>BUDDAH ON CHEST CREW T SHIRT</t>
  </si>
  <si>
    <t>M15ST63E5G</t>
  </si>
  <si>
    <t>TR STAR CREW T SHIRT</t>
  </si>
  <si>
    <t>M15ST64E5G</t>
  </si>
  <si>
    <t>EAGLE V NECK T SHIRT</t>
  </si>
  <si>
    <t>M15ST65E5G</t>
  </si>
  <si>
    <t>PROPERTY OF VNECK T SHIRT</t>
  </si>
  <si>
    <t>M15ST66E5G</t>
  </si>
  <si>
    <t>M301</t>
  </si>
  <si>
    <t>M301 BLACK&amp;SPOT</t>
  </si>
  <si>
    <t>M3A1</t>
  </si>
  <si>
    <t>M3A1 CHMICAL BLK</t>
  </si>
  <si>
    <t>M15UP01B5I</t>
  </si>
  <si>
    <t>M15UT29C8G</t>
  </si>
  <si>
    <t>POLO SHIRT WITH MULTI LOGOS</t>
  </si>
  <si>
    <t>M15UT33E6G</t>
  </si>
  <si>
    <t>SKULL AND BONES CREW TSHIRT</t>
  </si>
  <si>
    <t>M177G40EH</t>
  </si>
  <si>
    <t>CLASSIC FLATLOCK ZIP UP HOODIE</t>
  </si>
  <si>
    <t>M1GB237MU2</t>
  </si>
  <si>
    <t>POLO W/ POCKET</t>
  </si>
  <si>
    <t>M24V97NUU8</t>
  </si>
  <si>
    <t>15FA</t>
  </si>
  <si>
    <t>M2F800OM</t>
  </si>
  <si>
    <t>STRAIGHT OLD MULTI</t>
  </si>
  <si>
    <t>CHJM</t>
  </si>
  <si>
    <t>CHJM PORTLOCK</t>
  </si>
  <si>
    <t>M2F858TSM</t>
  </si>
  <si>
    <t>BASIC BOOTCUT WFLPS NATURAL</t>
  </si>
  <si>
    <t>M2F859LA6</t>
  </si>
  <si>
    <t>MEGA T STRAIGHT W FLAP</t>
  </si>
  <si>
    <t>BJCL</t>
  </si>
  <si>
    <t>BJCL BLCHOUT DTRD</t>
  </si>
  <si>
    <t>M2F859OJ8</t>
  </si>
  <si>
    <t>STRAIGHT WFLPS BIG T EARTHWORM</t>
  </si>
  <si>
    <t>BPSM</t>
  </si>
  <si>
    <t>BPSM INDIGO CAMO</t>
  </si>
  <si>
    <t>M2FC348TS</t>
  </si>
  <si>
    <t>BASIC STRAIGHT W FLAP 32 INSM</t>
  </si>
  <si>
    <t>3M DK DFTR</t>
  </si>
  <si>
    <t>M2FH54ZOM</t>
  </si>
  <si>
    <t>SKINNY WFLP OLD MULTI</t>
  </si>
  <si>
    <t>ACTIVE JEAN - ROCCO 34</t>
  </si>
  <si>
    <t>M2ZB063NP8</t>
  </si>
  <si>
    <t>L/S COATED HOODIE</t>
  </si>
  <si>
    <t>BVE INDIGO</t>
  </si>
  <si>
    <t>CHHL</t>
  </si>
  <si>
    <t>CHHL SHALLOW END</t>
  </si>
  <si>
    <t>M3F859NBTM</t>
  </si>
  <si>
    <t>STRAIGHT  WFLPS BIG T NATURAL</t>
  </si>
  <si>
    <t>BUTD</t>
  </si>
  <si>
    <t>BUTD BLK CHS CRV</t>
  </si>
  <si>
    <t>M52858NSY9</t>
  </si>
  <si>
    <t>1/2 BILLY W FLAP SE</t>
  </si>
  <si>
    <t>CLYD</t>
  </si>
  <si>
    <t>DCLYD CITY RIDER</t>
  </si>
  <si>
    <t>M52858NSZ0</t>
  </si>
  <si>
    <t>CJDD</t>
  </si>
  <si>
    <t>CJDD SUBWAY BLUE</t>
  </si>
  <si>
    <t>M52858NSZ1</t>
  </si>
  <si>
    <t>1/2  BILLY W FLAP SE</t>
  </si>
  <si>
    <t>CIXD</t>
  </si>
  <si>
    <t>CIXD DARK PIER</t>
  </si>
  <si>
    <t>M52858NSZ2</t>
  </si>
  <si>
    <t>M52858SY9</t>
  </si>
  <si>
    <t>M52858SZ2</t>
  </si>
  <si>
    <t>CHRM</t>
  </si>
  <si>
    <t>CHRM STONE REBEL</t>
  </si>
  <si>
    <t>M52859NSY9</t>
  </si>
  <si>
    <t>1/2 RICKY W FLAP SE</t>
  </si>
  <si>
    <t>CLYD CITY RIDER</t>
  </si>
  <si>
    <t>M52859NSZ1</t>
  </si>
  <si>
    <t>M52A799SZ0</t>
  </si>
  <si>
    <t>M52E08NSZ0</t>
  </si>
  <si>
    <t>1/2 GENO W/  FLAP SE</t>
  </si>
  <si>
    <t>M52E08NSZ1</t>
  </si>
  <si>
    <t>1/2 GENO W FLAP SE</t>
  </si>
  <si>
    <t>M52E08NSZ8</t>
  </si>
  <si>
    <t>CMLM</t>
  </si>
  <si>
    <t>CMLM BROKEN STNE</t>
  </si>
  <si>
    <t>M52J19NSZ2</t>
  </si>
  <si>
    <t>M52J19NSZ8</t>
  </si>
  <si>
    <t>M5KB181NL5</t>
  </si>
  <si>
    <t>CRAFTED WITH PRIDE THERMAL</t>
  </si>
  <si>
    <t>M7F859MI7</t>
  </si>
  <si>
    <t>ATV BLACK</t>
  </si>
  <si>
    <t>M7F859MR3</t>
  </si>
  <si>
    <t>CORDUROY STRAIGHT  WFLP</t>
  </si>
  <si>
    <t>ATV MED NAVY</t>
  </si>
  <si>
    <t>M800NRW9</t>
  </si>
  <si>
    <t>CIUM</t>
  </si>
  <si>
    <t>CIUM SNSET CANAL</t>
  </si>
  <si>
    <t>CIWD</t>
  </si>
  <si>
    <t>CIWD VNICE NGHTS</t>
  </si>
  <si>
    <t>M800NRX2</t>
  </si>
  <si>
    <t>CIKM</t>
  </si>
  <si>
    <t>CIKM CANAL CRAWL</t>
  </si>
  <si>
    <t>M800NRX6</t>
  </si>
  <si>
    <t>CIYM</t>
  </si>
  <si>
    <t>CIYM URBN DWLLER</t>
  </si>
  <si>
    <t>M859NJD2</t>
  </si>
  <si>
    <t>IRON/ CHN WASH</t>
  </si>
  <si>
    <t>STRAW / CHN WASH</t>
  </si>
  <si>
    <t>MIDNIGHT BLUE / CHN WASH</t>
  </si>
  <si>
    <t>M859NRW4</t>
  </si>
  <si>
    <t>CINM</t>
  </si>
  <si>
    <t>CINM SANDY PALMS</t>
  </si>
  <si>
    <t>M859NRW7</t>
  </si>
  <si>
    <t>CIQD</t>
  </si>
  <si>
    <t>CIQD BLUE CANAL</t>
  </si>
  <si>
    <t>CIRM</t>
  </si>
  <si>
    <t>CIRM SLW CRUISN'</t>
  </si>
  <si>
    <t>M859NRY5</t>
  </si>
  <si>
    <t>CJCD</t>
  </si>
  <si>
    <t>CJCD GOTHC RUINS</t>
  </si>
  <si>
    <t>CLQM</t>
  </si>
  <si>
    <t>CLQM BROKEN CITY</t>
  </si>
  <si>
    <t>M859NRY6</t>
  </si>
  <si>
    <t>CJEL</t>
  </si>
  <si>
    <t>CJEL BROKN TRCKS</t>
  </si>
  <si>
    <t>M859NRZ7</t>
  </si>
  <si>
    <t>CJJD</t>
  </si>
  <si>
    <t>CJJD LOST ARTS</t>
  </si>
  <si>
    <t>M859NSA0</t>
  </si>
  <si>
    <t>CJKL</t>
  </si>
  <si>
    <t>CJKL ARTIST LAB</t>
  </si>
  <si>
    <t>M859NSA2</t>
  </si>
  <si>
    <t>AYJD</t>
  </si>
  <si>
    <t>AYJD BRKEN RECRD</t>
  </si>
  <si>
    <t>CLSM</t>
  </si>
  <si>
    <t>CLSM CITY LIGHTS</t>
  </si>
  <si>
    <t>CMEM</t>
  </si>
  <si>
    <t>CMEM ABNDND WHSE</t>
  </si>
  <si>
    <t>M859NSB4</t>
  </si>
  <si>
    <t>M859NTA2</t>
  </si>
  <si>
    <t>M859NUP3</t>
  </si>
  <si>
    <t>09 JET BLACK</t>
  </si>
  <si>
    <t>M9YB179IK</t>
  </si>
  <si>
    <t>BANDANA PRINT TANK</t>
  </si>
  <si>
    <t>MA350SA1</t>
  </si>
  <si>
    <t>MA451CS11</t>
  </si>
  <si>
    <t>VENICE SUBLIMATION TEE</t>
  </si>
  <si>
    <t>ACE</t>
  </si>
  <si>
    <t>MA451CS13</t>
  </si>
  <si>
    <t>METALLIC FLOCK LOGO</t>
  </si>
  <si>
    <t>MA451CS25</t>
  </si>
  <si>
    <t>VENICE SUNSET SUBLIMATION TEE</t>
  </si>
  <si>
    <t>MA451NP03</t>
  </si>
  <si>
    <t>MA451NP31</t>
  </si>
  <si>
    <t>CONTENTS UNDER PRESSURE</t>
  </si>
  <si>
    <t>MA451NP32</t>
  </si>
  <si>
    <t>GRAF SKULL</t>
  </si>
  <si>
    <t>MA451NP33</t>
  </si>
  <si>
    <t>DTLA SIGNAGE</t>
  </si>
  <si>
    <t>MA451NP34</t>
  </si>
  <si>
    <t>NEON SKULL</t>
  </si>
  <si>
    <t>MA451NP35</t>
  </si>
  <si>
    <t>OPEN SKULL TEE</t>
  </si>
  <si>
    <t>MA451NP36</t>
  </si>
  <si>
    <t>TR CO</t>
  </si>
  <si>
    <t>MATTEO</t>
  </si>
  <si>
    <t>MA451NP37</t>
  </si>
  <si>
    <t>TR CYCLES</t>
  </si>
  <si>
    <t>MA473RW8</t>
  </si>
  <si>
    <t>MA473RY1</t>
  </si>
  <si>
    <t>CLOD</t>
  </si>
  <si>
    <t>CLOD CITY HIGHLT</t>
  </si>
  <si>
    <t>MA734RX8</t>
  </si>
  <si>
    <t>CJZD</t>
  </si>
  <si>
    <t>CJZD BLOCK PARTY</t>
  </si>
  <si>
    <t>MA799RW7</t>
  </si>
  <si>
    <t>CIRM SLW CRUISN</t>
  </si>
  <si>
    <t>MA799RY5</t>
  </si>
  <si>
    <t>MA904RD3</t>
  </si>
  <si>
    <t>1/4 SE ROCCO MOTO</t>
  </si>
  <si>
    <t>CHTD</t>
  </si>
  <si>
    <t>CHTD DEEP SHADOW</t>
  </si>
  <si>
    <t>CHYL</t>
  </si>
  <si>
    <t>CHYL CITY LIMITS</t>
  </si>
  <si>
    <t>CBB RUBY/PAVEMENT</t>
  </si>
  <si>
    <t>CBB BLACK / BLACK</t>
  </si>
  <si>
    <t>RICKY W FLAP SUPER T SHORT</t>
  </si>
  <si>
    <t>MB008SV6</t>
  </si>
  <si>
    <t>ZIP UP HOODIE</t>
  </si>
  <si>
    <t>MB009RI5</t>
  </si>
  <si>
    <t>ORPHUEM</t>
  </si>
  <si>
    <t>MB009SV6</t>
  </si>
  <si>
    <t>MB011RJ9</t>
  </si>
  <si>
    <t>MB011RN0</t>
  </si>
  <si>
    <t>ORPHEUM PLAID</t>
  </si>
  <si>
    <t>MB011RN1</t>
  </si>
  <si>
    <t>MB011RN4</t>
  </si>
  <si>
    <t>MB011SN6</t>
  </si>
  <si>
    <t>CJLL</t>
  </si>
  <si>
    <t>CJLL DAY GALLERY</t>
  </si>
  <si>
    <t>MB011SV5</t>
  </si>
  <si>
    <t>MATTEO PLAID</t>
  </si>
  <si>
    <t>MB017RI6</t>
  </si>
  <si>
    <t>PARKA</t>
  </si>
  <si>
    <t>MB085RE2</t>
  </si>
  <si>
    <t>1/4 DEAN CARGO SHORT BIG T</t>
  </si>
  <si>
    <t>BIX JET BLACK</t>
  </si>
  <si>
    <t>BIX VENICE</t>
  </si>
  <si>
    <t>BIX STRAW</t>
  </si>
  <si>
    <t>MB156RJ2</t>
  </si>
  <si>
    <t>ORPHEUM</t>
  </si>
  <si>
    <t>MB156SV3</t>
  </si>
  <si>
    <t>PIQUE TEE</t>
  </si>
  <si>
    <t>MB156TS22</t>
  </si>
  <si>
    <t>BRUSH STROKE</t>
  </si>
  <si>
    <t>MB186RK5</t>
  </si>
  <si>
    <t>CONTRAST SWEATPANTS</t>
  </si>
  <si>
    <t>MB252RW8</t>
  </si>
  <si>
    <t>MB252RY9</t>
  </si>
  <si>
    <t>CJUD</t>
  </si>
  <si>
    <t>CJUD DARK DECAY</t>
  </si>
  <si>
    <t>MB252SQ3</t>
  </si>
  <si>
    <t>CLXM</t>
  </si>
  <si>
    <t>CLXM MDRN ARTIST</t>
  </si>
  <si>
    <t>MB271RX8</t>
  </si>
  <si>
    <t>MB273SA3</t>
  </si>
  <si>
    <t>MB274SA3</t>
  </si>
  <si>
    <t>MC087UO3</t>
  </si>
  <si>
    <t>MC088RW7</t>
  </si>
  <si>
    <t>MC151SW8</t>
  </si>
  <si>
    <t>WESTERN BUTTON DOWN COLLAR</t>
  </si>
  <si>
    <t>MC153SS4</t>
  </si>
  <si>
    <t>SLEEVELESS ZIP FRONT HOODIE</t>
  </si>
  <si>
    <t>HEATHER GREY CHARCOAL</t>
  </si>
  <si>
    <t>MC160SS5</t>
  </si>
  <si>
    <t>LS ZIP FRONT HOOD</t>
  </si>
  <si>
    <t>CLPD</t>
  </si>
  <si>
    <t>CLPD GTHC DSTRCTN</t>
  </si>
  <si>
    <t>MC225RI9</t>
  </si>
  <si>
    <t>FLANNEL WORKWEAR SHIRT</t>
  </si>
  <si>
    <t>CIGAR PLAID</t>
  </si>
  <si>
    <t>MC225RN0</t>
  </si>
  <si>
    <t>MC225SV0</t>
  </si>
  <si>
    <t>MC280RN2</t>
  </si>
  <si>
    <t>MOTO MIXED MEDIA</t>
  </si>
  <si>
    <t>MC293RJ4</t>
  </si>
  <si>
    <t>SKATE PARK</t>
  </si>
  <si>
    <t>MC296RI5</t>
  </si>
  <si>
    <t>MC299RI6</t>
  </si>
  <si>
    <t>PUFFER JACKET</t>
  </si>
  <si>
    <t>MC300RI6</t>
  </si>
  <si>
    <t>MC301RK5</t>
  </si>
  <si>
    <t>ELONGATED SWEATSHIRT</t>
  </si>
  <si>
    <t>MC303RG3</t>
  </si>
  <si>
    <t>PULLOVER HOOD</t>
  </si>
  <si>
    <t>MC306RI0</t>
  </si>
  <si>
    <t>PATCHWORK TEE</t>
  </si>
  <si>
    <t>MC310RK0</t>
  </si>
  <si>
    <t>PATCHWORK SHIRT</t>
  </si>
  <si>
    <t>MC324SZ5</t>
  </si>
  <si>
    <t>PATCHWORK SWEATSHIRT</t>
  </si>
  <si>
    <t>MC330SD8</t>
  </si>
  <si>
    <t>CJTD</t>
  </si>
  <si>
    <t>CJTD DARK WAVE</t>
  </si>
  <si>
    <t>MC330SN0</t>
  </si>
  <si>
    <t>1/2 / 1/4 GENO NO FLAP BIG T</t>
  </si>
  <si>
    <t>MC337RH4</t>
  </si>
  <si>
    <t>MC343SD8</t>
  </si>
  <si>
    <t>MC344RZ4</t>
  </si>
  <si>
    <t>CJGD REBEL CRUSH</t>
  </si>
  <si>
    <t>MC353NP02</t>
  </si>
  <si>
    <t>SHOESTRING HORSESHOE TEE</t>
  </si>
  <si>
    <t>VENICE</t>
  </si>
  <si>
    <t>MC356RH7</t>
  </si>
  <si>
    <t>LS MILITARY CREW</t>
  </si>
  <si>
    <t>MC382SZ5</t>
  </si>
  <si>
    <t>PATCHWORK SWEAT PANT</t>
  </si>
  <si>
    <t>MC385RG3</t>
  </si>
  <si>
    <t>DROP CROTCH SWEAT PANT</t>
  </si>
  <si>
    <t>MC408SA6</t>
  </si>
  <si>
    <t>CJNM MUSE DK BROWN</t>
  </si>
  <si>
    <t>CJNM MUSE WINE</t>
  </si>
  <si>
    <t>MC462TS22</t>
  </si>
  <si>
    <t>MC558UK1</t>
  </si>
  <si>
    <t>MC565TS16</t>
  </si>
  <si>
    <t>TR BROCADE</t>
  </si>
  <si>
    <t>MC575TS16</t>
  </si>
  <si>
    <t>MCBC087JD2</t>
  </si>
  <si>
    <t>RICKY SHORT STRAIGHT</t>
  </si>
  <si>
    <t>ST ORPHEUM</t>
  </si>
  <si>
    <t>MCZ859BJ9</t>
  </si>
  <si>
    <t>STRAIGHT WFLP BLK GREY LOGO</t>
  </si>
  <si>
    <t>CHL JET BLACK</t>
  </si>
  <si>
    <t>MCZ859KN8M</t>
  </si>
  <si>
    <t>BASIC STRAIGHT W FLAP</t>
  </si>
  <si>
    <t>MCZ859SH9</t>
  </si>
  <si>
    <t>BIG T STRAIGHT W FLAPS</t>
  </si>
  <si>
    <t>BDL BRCH CT BN OR</t>
  </si>
  <si>
    <t>MCZ859SO4</t>
  </si>
  <si>
    <t>MCZ859TSM</t>
  </si>
  <si>
    <t>BASIC STRAIGHT W FLAPS</t>
  </si>
  <si>
    <t>CHL BRGHT RYL BL</t>
  </si>
  <si>
    <t>CHL RED</t>
  </si>
  <si>
    <t>MCZQ59KN8M</t>
  </si>
  <si>
    <t>BASIC TRUCKER JACKET</t>
  </si>
  <si>
    <t>MDE800OMM</t>
  </si>
  <si>
    <t>STRAIGHT OM BASIC</t>
  </si>
  <si>
    <t>BPMD</t>
  </si>
  <si>
    <t>BPMD COSMIC DUST</t>
  </si>
  <si>
    <t>MDE859LP1</t>
  </si>
  <si>
    <t>STRAIGHT  WFLPS MEGA T EARTHWR</t>
  </si>
  <si>
    <t>BOPM</t>
  </si>
  <si>
    <t>BOPM FRGTN CRSRD</t>
  </si>
  <si>
    <t>MDE859MR9</t>
  </si>
  <si>
    <t>STRAIGHT WFLPS S.N MEGA T OM W</t>
  </si>
  <si>
    <t>BPNM</t>
  </si>
  <si>
    <t>BPNM CANCUN SAND</t>
  </si>
  <si>
    <t>MDE859Y9M</t>
  </si>
  <si>
    <t>STRAIGHT W/FLAPS RED ORG SN</t>
  </si>
  <si>
    <t>MDEE08ZTSM</t>
  </si>
  <si>
    <t>SLIM WFLP NAT PREM BASICS NAT</t>
  </si>
  <si>
    <t>MDUC126ME3</t>
  </si>
  <si>
    <t>RICKY RELAXED SHORT OVERDYE</t>
  </si>
  <si>
    <t>MDUC126ME4</t>
  </si>
  <si>
    <t>MDUC126ME5</t>
  </si>
  <si>
    <t>INDIGO CORDUROY BIGT SHRT GENO</t>
  </si>
  <si>
    <t>ME08NJD2</t>
  </si>
  <si>
    <t>ME08NQN0</t>
  </si>
  <si>
    <t>1/2 GENO W/ FLAP SUPER T</t>
  </si>
  <si>
    <t>ST MIDNIGHT BLUE</t>
  </si>
  <si>
    <t>ST BEACHWOOD</t>
  </si>
  <si>
    <t>ME08NRR1</t>
  </si>
  <si>
    <t>IRON / BYJ WASH</t>
  </si>
  <si>
    <t>ME08NRR2</t>
  </si>
  <si>
    <t>ACE / BYJ WASH</t>
  </si>
  <si>
    <t>ME08NRX2</t>
  </si>
  <si>
    <t>ME08NRX6</t>
  </si>
  <si>
    <t>ME08NRX9</t>
  </si>
  <si>
    <t>CLZD</t>
  </si>
  <si>
    <t>CLZD METROPOLITN</t>
  </si>
  <si>
    <t>ME08NRY5</t>
  </si>
  <si>
    <t>ME08NRY6</t>
  </si>
  <si>
    <t>ME08NRZ3</t>
  </si>
  <si>
    <t>ME08NRZ8</t>
  </si>
  <si>
    <t>ME08NRZ9</t>
  </si>
  <si>
    <t>ME08NSA0</t>
  </si>
  <si>
    <t>ME08NSA9</t>
  </si>
  <si>
    <t>ME08NSB3</t>
  </si>
  <si>
    <t>CJOD</t>
  </si>
  <si>
    <t>CJOD PAINTD ALLY</t>
  </si>
  <si>
    <t>ME08NSU8</t>
  </si>
  <si>
    <t>STRAW/ BYJ WASH</t>
  </si>
  <si>
    <t>META286M60</t>
  </si>
  <si>
    <t>CARGO CUT OFF BIG T SHORT</t>
  </si>
  <si>
    <t>BNUM</t>
  </si>
  <si>
    <t>BNUM MED STONE</t>
  </si>
  <si>
    <t>META286MH7</t>
  </si>
  <si>
    <t>MH54NRW9</t>
  </si>
  <si>
    <t>MH54NRZ8</t>
  </si>
  <si>
    <t>1/2 ROCCO W FLAP SE</t>
  </si>
  <si>
    <t>MH54NSB1</t>
  </si>
  <si>
    <t>CJWD</t>
  </si>
  <si>
    <t>CJWD PAINTD CNVS</t>
  </si>
  <si>
    <t>GENO W FLAP NATURAL BIG QT</t>
  </si>
  <si>
    <t>COASTAL</t>
  </si>
  <si>
    <t>FIRESIDE</t>
  </si>
  <si>
    <t>MHSA316TT</t>
  </si>
  <si>
    <t>TRI NEEDLE WESTERN S/S WOVEN</t>
  </si>
  <si>
    <t>MHUB129QX8</t>
  </si>
  <si>
    <t>VARSITY BUDDHA HOODIE</t>
  </si>
  <si>
    <t>MI2A595SC5</t>
  </si>
  <si>
    <t>TR BLACK ROCK SS RAGLAN</t>
  </si>
  <si>
    <t>BLACK/HTHER GRY</t>
  </si>
  <si>
    <t>OFF WHT/VINT RED</t>
  </si>
  <si>
    <t>MI2A595SL3</t>
  </si>
  <si>
    <t>HAPPY SKULL S/S RAGLAN</t>
  </si>
  <si>
    <t>BLCK/HEATHER GRY</t>
  </si>
  <si>
    <t>OFF WHITE/NAVY</t>
  </si>
  <si>
    <t>MJ19NRZ7</t>
  </si>
  <si>
    <t>MJ19NSA2</t>
  </si>
  <si>
    <t>MJ19NSB1</t>
  </si>
  <si>
    <t>MJ19NSB4</t>
  </si>
  <si>
    <t>MJ19NUP2</t>
  </si>
  <si>
    <t>CRAD</t>
  </si>
  <si>
    <t>CRAD SUN DOWN</t>
  </si>
  <si>
    <t>MJ60NJD2</t>
  </si>
  <si>
    <t>IRON / CHN WASH</t>
  </si>
  <si>
    <t>BROADWAY/ CHN WASH</t>
  </si>
  <si>
    <t>MJ60NRR0</t>
  </si>
  <si>
    <t>1/2 ROCCO NO  FLAP SE</t>
  </si>
  <si>
    <t>BROADWAY/BYJ WASH</t>
  </si>
  <si>
    <t>MJ60NRR1</t>
  </si>
  <si>
    <t>MJ60NRW7</t>
  </si>
  <si>
    <t>MJ60NRX6</t>
  </si>
  <si>
    <t>MJ60NRY5</t>
  </si>
  <si>
    <t>MJ60NRY9</t>
  </si>
  <si>
    <t>MJ60NSU8</t>
  </si>
  <si>
    <t>MJ60NUP2</t>
  </si>
  <si>
    <t>MJM8U24MB7</t>
  </si>
  <si>
    <t>BUDDHA SCRIPT S/S CREW</t>
  </si>
  <si>
    <t>MJM8U24SC4</t>
  </si>
  <si>
    <t>ORIGINAL BUDDHA SS CREW</t>
  </si>
  <si>
    <t>COOL BLUE</t>
  </si>
  <si>
    <t>MJMB121SL1</t>
  </si>
  <si>
    <t>FIRST STRING S/S CREW NECK TEE</t>
  </si>
  <si>
    <t>MJMW58SQ4</t>
  </si>
  <si>
    <t>TRBB S/S VNECK TEE W PRINT</t>
  </si>
  <si>
    <t>RED/ORANGE</t>
  </si>
  <si>
    <t>MLPTR1929T</t>
  </si>
  <si>
    <t>TR PALM TREE BSBL CAP</t>
  </si>
  <si>
    <t>MLPTR1935T</t>
  </si>
  <si>
    <t>BUDDHA AND HORSHOE BASBL CAP</t>
  </si>
  <si>
    <t>MLPTR1941T</t>
  </si>
  <si>
    <t>TRUE RELIGION 1971 BSBL CAP</t>
  </si>
  <si>
    <t>MMD800KL3</t>
  </si>
  <si>
    <t>STRAIGHT BROWN GOLD SN</t>
  </si>
  <si>
    <t>CDEL</t>
  </si>
  <si>
    <t>CDEL HVNS KNCKLE</t>
  </si>
  <si>
    <t>MMD800NB3</t>
  </si>
  <si>
    <t>STRAIGHT BIG T SUPER T</t>
  </si>
  <si>
    <t>MMD800NBT</t>
  </si>
  <si>
    <t>STRAIGHT BIG T</t>
  </si>
  <si>
    <t>CICD</t>
  </si>
  <si>
    <t>CICD CROOK CITY</t>
  </si>
  <si>
    <t>MMD858OM</t>
  </si>
  <si>
    <t>CIBM</t>
  </si>
  <si>
    <t>CIBM OLD BLUEBLL</t>
  </si>
  <si>
    <t>MMD859EY4</t>
  </si>
  <si>
    <t>STRAIGHT W FLAPS MEGA T</t>
  </si>
  <si>
    <t>CIDD</t>
  </si>
  <si>
    <t>CIDD SKELETN CYN</t>
  </si>
  <si>
    <t>MMD859KL3</t>
  </si>
  <si>
    <t>STRAIGHT WFLP BROWN GOLD SN</t>
  </si>
  <si>
    <t>CHVM</t>
  </si>
  <si>
    <t>CHVM LONE GROVE</t>
  </si>
  <si>
    <t>MMD859NB3</t>
  </si>
  <si>
    <t>STRAIGHT WFLP BIG T SUPER T</t>
  </si>
  <si>
    <t>MMD859SO5</t>
  </si>
  <si>
    <t>CDSL</t>
  </si>
  <si>
    <t>CDSL DREDEVLS LP</t>
  </si>
  <si>
    <t>MMD859Y9</t>
  </si>
  <si>
    <t>STRAIGHT WFLP RED ORANGE</t>
  </si>
  <si>
    <t>MMDE08ZTS</t>
  </si>
  <si>
    <t>SLIM WFLP NATURAL SN</t>
  </si>
  <si>
    <t>MMDH54ZOM</t>
  </si>
  <si>
    <t>SKINNY WFLP OLD MULTI SN</t>
  </si>
  <si>
    <t>CHWM</t>
  </si>
  <si>
    <t>CHWM MONSN MYHEM</t>
  </si>
  <si>
    <t>MMDH54ZTS</t>
  </si>
  <si>
    <t>SKINNY WFLP NATURAL SN</t>
  </si>
  <si>
    <t>CDVD</t>
  </si>
  <si>
    <t>CDVD LONEWLF SNG</t>
  </si>
  <si>
    <t>MMDH54ZY9</t>
  </si>
  <si>
    <t>SKINNY WFLP RED ORANGE S.N</t>
  </si>
  <si>
    <t>CDFM</t>
  </si>
  <si>
    <t>CDFM PINE CITY</t>
  </si>
  <si>
    <t>MNR800NRX6</t>
  </si>
  <si>
    <t>MNR858NUL1</t>
  </si>
  <si>
    <t>MNR859NSM3</t>
  </si>
  <si>
    <t>CFIM</t>
  </si>
  <si>
    <t>CFIM WATERS EDGE</t>
  </si>
  <si>
    <t>MNR859NUK9</t>
  </si>
  <si>
    <t>MNR859NUL1</t>
  </si>
  <si>
    <t>MNRC087SM3</t>
  </si>
  <si>
    <t>MNRE08NRX6</t>
  </si>
  <si>
    <t>MNRJ60NUK9</t>
  </si>
  <si>
    <t>MQQ7G40RB3</t>
  </si>
  <si>
    <t>ARCHED LOGO HOODIE</t>
  </si>
  <si>
    <t>MQQB191QS6</t>
  </si>
  <si>
    <t>BIG BLOCK TR JOGGER PANT</t>
  </si>
  <si>
    <t>MQQB239RB4</t>
  </si>
  <si>
    <t>HORSESHOE FLC TAPER SWEATPANT</t>
  </si>
  <si>
    <t>MR62NRY6</t>
  </si>
  <si>
    <t>MR62NTA2</t>
  </si>
  <si>
    <t>MROE08NQN0</t>
  </si>
  <si>
    <t>CORDUROY SUPER T GENO W/F</t>
  </si>
  <si>
    <t>MRT8U24SG3</t>
  </si>
  <si>
    <t>TR STRIKER SS CREW</t>
  </si>
  <si>
    <t>MRXE08NQN0</t>
  </si>
  <si>
    <t>MRYE08NQN0</t>
  </si>
  <si>
    <t>MTHE08NLX3</t>
  </si>
  <si>
    <t>GENO W FLAP SLIM OVERDYE SATN</t>
  </si>
  <si>
    <t>MU3A451NT6</t>
  </si>
  <si>
    <t>BUTTON AND RIVET CREW NECK</t>
  </si>
  <si>
    <t>MW7B168IK</t>
  </si>
  <si>
    <t>CUT OFF SWEAT SHORTS</t>
  </si>
  <si>
    <t>MXD859JF2</t>
  </si>
  <si>
    <t>CHL SEPIA</t>
  </si>
  <si>
    <t>MXD859SKN8</t>
  </si>
  <si>
    <t>STRAIGHT W FLAP CUT OFF SHORT</t>
  </si>
  <si>
    <t>CHL WHITE</t>
  </si>
  <si>
    <t>MXD859STS</t>
  </si>
  <si>
    <t>MXD859TS</t>
  </si>
  <si>
    <t>CHL BLACK</t>
  </si>
  <si>
    <t>TR215ST01</t>
  </si>
  <si>
    <t>TRR</t>
  </si>
  <si>
    <t>TRR TRUE RED</t>
  </si>
  <si>
    <t>TR215ST03</t>
  </si>
  <si>
    <t>BTE</t>
  </si>
  <si>
    <t>BTE BRIGHT WHITE</t>
  </si>
  <si>
    <t>TR315HD11</t>
  </si>
  <si>
    <t>FRENCH TERRY ZIP HOODIE</t>
  </si>
  <si>
    <t>WPK</t>
  </si>
  <si>
    <t>WPK WHITE / PINK</t>
  </si>
  <si>
    <t>TR315JN110</t>
  </si>
  <si>
    <t>CASEY SKINNY</t>
  </si>
  <si>
    <t>WHA</t>
  </si>
  <si>
    <t>WHA WHITE HEAT</t>
  </si>
  <si>
    <t>TR315JN118</t>
  </si>
  <si>
    <t>CASEY INDG FRENCH TERRY SKINNY</t>
  </si>
  <si>
    <t>LEX</t>
  </si>
  <si>
    <t>LEX LEXINGTN WSH</t>
  </si>
  <si>
    <t>TR315JN94</t>
  </si>
  <si>
    <t>CASEY SKNY VNTGE GOLD SIN END</t>
  </si>
  <si>
    <t>OCN</t>
  </si>
  <si>
    <t>OCN OCEAN</t>
  </si>
  <si>
    <t>TR315JN96</t>
  </si>
  <si>
    <t>CASEY SKNNY BOUGAINVLLEA SPR T</t>
  </si>
  <si>
    <t>LBB</t>
  </si>
  <si>
    <t>LBB LITLE BOY BL</t>
  </si>
  <si>
    <t>TR315SK44</t>
  </si>
  <si>
    <t>GOLD FOIL MAP TEE</t>
  </si>
  <si>
    <t>TR315SK46</t>
  </si>
  <si>
    <t>BGV</t>
  </si>
  <si>
    <t>BGV BOUGAINVILLEA</t>
  </si>
  <si>
    <t>CRM</t>
  </si>
  <si>
    <t>CRM CREAM</t>
  </si>
  <si>
    <t>TR315SK57</t>
  </si>
  <si>
    <t>GOLD FOIL 71 FLORAL STRIPE TEE</t>
  </si>
  <si>
    <t>TR315SP12</t>
  </si>
  <si>
    <t>FRENCH TERRY SWEAT PANT</t>
  </si>
  <si>
    <t>TR315TE79</t>
  </si>
  <si>
    <t>LIVE FREE TEE</t>
  </si>
  <si>
    <t>TR315VS03</t>
  </si>
  <si>
    <t>TR415HD14</t>
  </si>
  <si>
    <t>SLEEVLS PUOVER FRNCH TERRY HOD</t>
  </si>
  <si>
    <t>HGY</t>
  </si>
  <si>
    <t>TR415HD15</t>
  </si>
  <si>
    <t>INDIGO FRENCH TERRY HOODIE</t>
  </si>
  <si>
    <t>LBT</t>
  </si>
  <si>
    <t>LBT LT BLUE BLST</t>
  </si>
  <si>
    <t>TR415JN121</t>
  </si>
  <si>
    <t>SNB</t>
  </si>
  <si>
    <t>SNB SUNBLEACHED</t>
  </si>
  <si>
    <t>TR415JN122</t>
  </si>
  <si>
    <t>RICKY CUT OFF SHORT</t>
  </si>
  <si>
    <t>RCB</t>
  </si>
  <si>
    <t>RCB ROCK BLUE</t>
  </si>
  <si>
    <t>TR415JN124</t>
  </si>
  <si>
    <t>RICKY VINTG GOLD SINGLE END</t>
  </si>
  <si>
    <t>SVN</t>
  </si>
  <si>
    <t>SVN SULLIVAN</t>
  </si>
  <si>
    <t>TR415JN165</t>
  </si>
  <si>
    <t>GENO SUPER T</t>
  </si>
  <si>
    <t>TR415JN166</t>
  </si>
  <si>
    <t>GENO NATURAL SUPER T</t>
  </si>
  <si>
    <t>PBL1</t>
  </si>
  <si>
    <t>PBL1 PRSIAN BLUE</t>
  </si>
  <si>
    <t>TR415JN190</t>
  </si>
  <si>
    <t>CLASSIC GENO ROLLD SHRT SIN EN</t>
  </si>
  <si>
    <t>SFW</t>
  </si>
  <si>
    <t>SFW SUPR FLY BLK</t>
  </si>
  <si>
    <t>TR415JN191</t>
  </si>
  <si>
    <t>CLASSIC GENO RELXD SL SING END</t>
  </si>
  <si>
    <t>TR415JN83</t>
  </si>
  <si>
    <t>GENO RXED SLIM VGE GLD SUPER T</t>
  </si>
  <si>
    <t>TUS</t>
  </si>
  <si>
    <t>TUS TUMBLE USED</t>
  </si>
  <si>
    <t>TR415LW18</t>
  </si>
  <si>
    <t>CHAMBRAY WOVEN</t>
  </si>
  <si>
    <t>TR415P22</t>
  </si>
  <si>
    <t>RIP &amp; REPAIR JIMMY JACKET</t>
  </si>
  <si>
    <t>VIN</t>
  </si>
  <si>
    <t>VIN VINTAGE WHT</t>
  </si>
  <si>
    <t>TR415SK58</t>
  </si>
  <si>
    <t>CRAFTED WITH PRIDE TANK</t>
  </si>
  <si>
    <t>TR415SP07</t>
  </si>
  <si>
    <t>5PCKT INDIGO FRNCH TERRY PANT</t>
  </si>
  <si>
    <t>IND</t>
  </si>
  <si>
    <t>IND INDIGO</t>
  </si>
  <si>
    <t>TR415SP10</t>
  </si>
  <si>
    <t>INDIGO FRENCH TERRY RUNNER</t>
  </si>
  <si>
    <t>TR415TE117</t>
  </si>
  <si>
    <t>CRAFTED WITH PRIDE LOGO TEE</t>
  </si>
  <si>
    <t>BLK</t>
  </si>
  <si>
    <t>TR415TE67</t>
  </si>
  <si>
    <t>RESIST PRINT TEE</t>
  </si>
  <si>
    <t>TR415TE68</t>
  </si>
  <si>
    <t>TR CIRCLE GRAPHIC TEE</t>
  </si>
  <si>
    <t>VBE</t>
  </si>
  <si>
    <t>VBE VICENTE</t>
  </si>
  <si>
    <t>TR415TE70</t>
  </si>
  <si>
    <t>CHECK LOGO TEE</t>
  </si>
  <si>
    <t>ONX</t>
  </si>
  <si>
    <t>ONX BLACK</t>
  </si>
  <si>
    <t>TR415TE80</t>
  </si>
  <si>
    <t>MDN</t>
  </si>
  <si>
    <t>MDN MIDNIGHT</t>
  </si>
  <si>
    <t>TR415TE89</t>
  </si>
  <si>
    <t>BASEBALL TEE</t>
  </si>
  <si>
    <t>BLU</t>
  </si>
  <si>
    <t>BLU BLUE</t>
  </si>
  <si>
    <t>TR415VS04</t>
  </si>
  <si>
    <t>JIMMY VEST</t>
  </si>
  <si>
    <t>TR415WB13</t>
  </si>
  <si>
    <t>ISAAC CARGO SHORT BIG T</t>
  </si>
  <si>
    <t>TR515HD11</t>
  </si>
  <si>
    <t>TR515JN110</t>
  </si>
  <si>
    <t>TR515JN118</t>
  </si>
  <si>
    <t>TR515JN94</t>
  </si>
  <si>
    <t>TR515JN96</t>
  </si>
  <si>
    <t>TR515SK44</t>
  </si>
  <si>
    <t>TR515SK46</t>
  </si>
  <si>
    <t>TR515SK57</t>
  </si>
  <si>
    <t>TR515SP12</t>
  </si>
  <si>
    <t>FRENCH TERRY SWEATPANT</t>
  </si>
  <si>
    <t>TR515TE79</t>
  </si>
  <si>
    <t>TR515VS03</t>
  </si>
  <si>
    <t>TR615HD14</t>
  </si>
  <si>
    <t>TR615HD15</t>
  </si>
  <si>
    <t>TR615JN121</t>
  </si>
  <si>
    <t>TR615JN122</t>
  </si>
  <si>
    <t>TR615JN124</t>
  </si>
  <si>
    <t>RICKY VNTAG GOLD SINGLE  END</t>
  </si>
  <si>
    <t>TR615JN165</t>
  </si>
  <si>
    <t>TR615JN166</t>
  </si>
  <si>
    <t>TR615JN190</t>
  </si>
  <si>
    <t>CLASSIC GENO RLD SHORT SING EN</t>
  </si>
  <si>
    <t>TR615JN191</t>
  </si>
  <si>
    <t>CLASSIC  GENO RLXD SLM SIN END</t>
  </si>
  <si>
    <t>TR615JN83</t>
  </si>
  <si>
    <t>GENO RLXD SLIM VGE GLD SUPER T</t>
  </si>
  <si>
    <t>TR615LW18</t>
  </si>
  <si>
    <t>TR615P22</t>
  </si>
  <si>
    <t>TR615SK58</t>
  </si>
  <si>
    <t>TR615SP07</t>
  </si>
  <si>
    <t>5PCKT INDIGO FRENCH TERRY PANT</t>
  </si>
  <si>
    <t>TR615SP10</t>
  </si>
  <si>
    <t>TR615TE117</t>
  </si>
  <si>
    <t>TR615TE67</t>
  </si>
  <si>
    <t>TR615TE68</t>
  </si>
  <si>
    <t>TR615TE70</t>
  </si>
  <si>
    <t>TR615TE80</t>
  </si>
  <si>
    <t>TR615TE89</t>
  </si>
  <si>
    <t>TR615VS04</t>
  </si>
  <si>
    <t>TR615WB13</t>
  </si>
  <si>
    <t>TR715HD11</t>
  </si>
  <si>
    <t>TR715JN110</t>
  </si>
  <si>
    <t>TR715JN118</t>
  </si>
  <si>
    <t>CASEY INDGO FRENCH TERY SKINNY</t>
  </si>
  <si>
    <t>TR715JN94</t>
  </si>
  <si>
    <t>TR715JN96</t>
  </si>
  <si>
    <t>CASEY SKINNY BOUGVILLE SUPER T</t>
  </si>
  <si>
    <t>TR715SK44</t>
  </si>
  <si>
    <t>TR715SK46</t>
  </si>
  <si>
    <t>TR715SK57</t>
  </si>
  <si>
    <t>TR715SP12</t>
  </si>
  <si>
    <t>TR715TE79</t>
  </si>
  <si>
    <t>TR715VS03</t>
  </si>
  <si>
    <t>TR815HD14</t>
  </si>
  <si>
    <t>TR815HD15</t>
  </si>
  <si>
    <t>TR815JN121</t>
  </si>
  <si>
    <t>TR815JN122</t>
  </si>
  <si>
    <t>TR815JN124</t>
  </si>
  <si>
    <t>RICKY VINTAGE GOLD SINGLE END</t>
  </si>
  <si>
    <t>TR815JN165</t>
  </si>
  <si>
    <t>TR815JN166</t>
  </si>
  <si>
    <t>TR815JN190</t>
  </si>
  <si>
    <t>TR815JN191</t>
  </si>
  <si>
    <t>CLASSIC GENO RLXD SLM SING END</t>
  </si>
  <si>
    <t>TR815JN83</t>
  </si>
  <si>
    <t>TR815LW18</t>
  </si>
  <si>
    <t>TR815P22</t>
  </si>
  <si>
    <t>SP</t>
  </si>
  <si>
    <t>TR815SK58</t>
  </si>
  <si>
    <t>TR815SP07</t>
  </si>
  <si>
    <t>TR815TE117</t>
  </si>
  <si>
    <t>TR815TE67</t>
  </si>
  <si>
    <t>TR815TE68</t>
  </si>
  <si>
    <t>TR815TE70</t>
  </si>
  <si>
    <t>TR815TE80</t>
  </si>
  <si>
    <t>TR815TE89</t>
  </si>
  <si>
    <t>TR815VS04</t>
  </si>
  <si>
    <t>TR815WB13</t>
  </si>
  <si>
    <t>W15SD17Q4I</t>
  </si>
  <si>
    <t>W15UD17A4I</t>
  </si>
  <si>
    <t>W15UF04C8G</t>
  </si>
  <si>
    <t>FLEECE PANT WITH  MESH PANEL</t>
  </si>
  <si>
    <t>W15UP20F3I</t>
  </si>
  <si>
    <t>CASEY LOW RSE SUPER SKINNY</t>
  </si>
  <si>
    <t>W15UT11E6G</t>
  </si>
  <si>
    <t>STARS RAW EDGE CONSTRUCTION</t>
  </si>
  <si>
    <t>W15UT17B9G</t>
  </si>
  <si>
    <t>W15UT26F1G</t>
  </si>
  <si>
    <t>COATING PANT</t>
  </si>
  <si>
    <t>W1GB255SC8</t>
  </si>
  <si>
    <t>CRYSTAL HORSESHOE SS POLO</t>
  </si>
  <si>
    <t>W21599SSQ7</t>
  </si>
  <si>
    <t>BASIC SKINNY W FLAPS</t>
  </si>
  <si>
    <t>W21G10SQ7</t>
  </si>
  <si>
    <t>BASIC CUT OFF SHORT W FLAPS</t>
  </si>
  <si>
    <t>W21Q70SQ7</t>
  </si>
  <si>
    <t>TRUCKER JACKET</t>
  </si>
  <si>
    <t>W2G433MW2</t>
  </si>
  <si>
    <t>KNEE LENGTH SHORT BIG T</t>
  </si>
  <si>
    <t>W2G502KL3</t>
  </si>
  <si>
    <t>STRAIGHT BROWN GOLD S.N.</t>
  </si>
  <si>
    <t>W2G502Y9M</t>
  </si>
  <si>
    <t>STRAIGHT RED ORANGE SN</t>
  </si>
  <si>
    <t>W2G564EM</t>
  </si>
  <si>
    <t>BOOTCUT WFLPS BASIC</t>
  </si>
  <si>
    <t>W2G592STS</t>
  </si>
  <si>
    <t>SKINNY BASIC NATURAL</t>
  </si>
  <si>
    <t>BOLM</t>
  </si>
  <si>
    <t>BOLM DEER HOLLOW</t>
  </si>
  <si>
    <t>W2G599SKL3</t>
  </si>
  <si>
    <t>SKINNY WFLPS BROWN GOLD</t>
  </si>
  <si>
    <t>W2GC100KL3</t>
  </si>
  <si>
    <t>SLIM STRGHT WFLP BROWN GOLD SN</t>
  </si>
  <si>
    <t>LAVENDER</t>
  </si>
  <si>
    <t>W6DC332NL3</t>
  </si>
  <si>
    <t>MARISSA SWEAT SHORTS</t>
  </si>
  <si>
    <t>WB083RR4</t>
  </si>
  <si>
    <t>BECCA TWISTED SEAM</t>
  </si>
  <si>
    <t>CKND</t>
  </si>
  <si>
    <t>CKND DIMMD HGHWY</t>
  </si>
  <si>
    <t>WB083SU2S</t>
  </si>
  <si>
    <t>BECCA TWIST SEAM SUPER T</t>
  </si>
  <si>
    <t>CKMM</t>
  </si>
  <si>
    <t>CKMM ELCTRC NGHT</t>
  </si>
  <si>
    <t>WB086RQ5</t>
  </si>
  <si>
    <t>CKBD</t>
  </si>
  <si>
    <t>CKBD TH OF VCE CN</t>
  </si>
  <si>
    <t>WB086RR3</t>
  </si>
  <si>
    <t>WB086RU0</t>
  </si>
  <si>
    <t>CLED</t>
  </si>
  <si>
    <t>CLED MODERN ART</t>
  </si>
  <si>
    <t>WB086SV4</t>
  </si>
  <si>
    <t>CKOD</t>
  </si>
  <si>
    <t>CKOD CLOSNG NGHT</t>
  </si>
  <si>
    <t>WB092RF0</t>
  </si>
  <si>
    <t>CKGL</t>
  </si>
  <si>
    <t>CKGL SEA GLS CLN</t>
  </si>
  <si>
    <t>WB092RQ5</t>
  </si>
  <si>
    <t>CKJD</t>
  </si>
  <si>
    <t>CKJD TOV DEST WR</t>
  </si>
  <si>
    <t>WB092RR4</t>
  </si>
  <si>
    <t>WB092RS6</t>
  </si>
  <si>
    <t>CKWD</t>
  </si>
  <si>
    <t>CKWD DISTRSS DSK</t>
  </si>
  <si>
    <t>WB092RT8</t>
  </si>
  <si>
    <t>CLBD</t>
  </si>
  <si>
    <t>CLBD ANGELENO</t>
  </si>
  <si>
    <t>WB092SE4</t>
  </si>
  <si>
    <t>WB092SK1S</t>
  </si>
  <si>
    <t>MID RISE HALLE SUPER T</t>
  </si>
  <si>
    <t>WB092SM2</t>
  </si>
  <si>
    <t>CKYM</t>
  </si>
  <si>
    <t>CKYM CHARCOAL</t>
  </si>
  <si>
    <t>WB092SP9</t>
  </si>
  <si>
    <t>CLIL</t>
  </si>
  <si>
    <t>CLIL SEA GS D WR</t>
  </si>
  <si>
    <t>WB092SS1</t>
  </si>
  <si>
    <t>CKFM</t>
  </si>
  <si>
    <t>CKFM ABBOTS ALLEY</t>
  </si>
  <si>
    <t>WB092SU2S</t>
  </si>
  <si>
    <t>MID RISE HALLE SKINNY SUPER T</t>
  </si>
  <si>
    <t>WB092SU3</t>
  </si>
  <si>
    <t>CKTM</t>
  </si>
  <si>
    <t>CKTM SLATE BLUE</t>
  </si>
  <si>
    <t>WB092SW6</t>
  </si>
  <si>
    <t>CKND DIMMD HIDWY</t>
  </si>
  <si>
    <t>CLFL</t>
  </si>
  <si>
    <t>CLFL DMD HDWY LT</t>
  </si>
  <si>
    <t>WB093RF0</t>
  </si>
  <si>
    <t>NU BOY</t>
  </si>
  <si>
    <t>WB212RT9</t>
  </si>
  <si>
    <t>HALLE PANELED MOTO CROP</t>
  </si>
  <si>
    <t>CLDD</t>
  </si>
  <si>
    <t>CLDD URBN ESSNSE</t>
  </si>
  <si>
    <t>WB212SW1</t>
  </si>
  <si>
    <t>ACTIVE MOTO PANEL PANT</t>
  </si>
  <si>
    <t>JET 19-0303TPX</t>
  </si>
  <si>
    <t>MATTEO 19-1656TPX</t>
  </si>
  <si>
    <t>WB213RQ5</t>
  </si>
  <si>
    <t>CKJD TCH OF VNCE</t>
  </si>
  <si>
    <t>WB213RQ5R</t>
  </si>
  <si>
    <t>CKLD</t>
  </si>
  <si>
    <t>CKLD TCH OF VCE D</t>
  </si>
  <si>
    <t>WB213SM2</t>
  </si>
  <si>
    <t>WB213SS1</t>
  </si>
  <si>
    <t>CKFM ABBOTS ALLY</t>
  </si>
  <si>
    <t>WB222SW1</t>
  </si>
  <si>
    <t>ACTIVE DUSTY TWIST JACKET</t>
  </si>
  <si>
    <t>WB244SU5S</t>
  </si>
  <si>
    <t>CKND DIMMD HDAWY</t>
  </si>
  <si>
    <t>WB245RT4</t>
  </si>
  <si>
    <t>NU BOY RUNNER</t>
  </si>
  <si>
    <t>CKHD</t>
  </si>
  <si>
    <t>CKHD ALTAIR CHNL</t>
  </si>
  <si>
    <t>WB245RU7</t>
  </si>
  <si>
    <t>CKPL</t>
  </si>
  <si>
    <t>CKPL ECHO PRK LK</t>
  </si>
  <si>
    <t>WB245SH2</t>
  </si>
  <si>
    <t>CKQD</t>
  </si>
  <si>
    <t>CKQD LA RIVER</t>
  </si>
  <si>
    <t>WB264SG5</t>
  </si>
  <si>
    <t>NYLON PUFFER BOMBER JCKT</t>
  </si>
  <si>
    <t>WB265SG6</t>
  </si>
  <si>
    <t>WB301UL8</t>
  </si>
  <si>
    <t>JS HIGH RISE LEGGING</t>
  </si>
  <si>
    <t>CNPD</t>
  </si>
  <si>
    <t>CNPD ENZYME RINSE</t>
  </si>
  <si>
    <t>WB302UO0</t>
  </si>
  <si>
    <t>WB303UO0</t>
  </si>
  <si>
    <t>FT BRANDED BRALETTE</t>
  </si>
  <si>
    <t>WB309UQ2</t>
  </si>
  <si>
    <t>JS MID RISE LEGGING</t>
  </si>
  <si>
    <t>CRC CHARCOAL</t>
  </si>
  <si>
    <t>CRC BLUE</t>
  </si>
  <si>
    <t>WB310UQ1</t>
  </si>
  <si>
    <t>09 BURGUNDY</t>
  </si>
  <si>
    <t>WBR564KL3</t>
  </si>
  <si>
    <t>BOOTCUT WFLP BROWN GOLD SN</t>
  </si>
  <si>
    <t>WBR564M60</t>
  </si>
  <si>
    <t>BOOTCUT WFLP RED ORG BIG T</t>
  </si>
  <si>
    <t>WBR564NBT</t>
  </si>
  <si>
    <t>BOOTCUT WFLPS BIG T NATURALINE</t>
  </si>
  <si>
    <t>WBR564Y9</t>
  </si>
  <si>
    <t>BOOTCUT WFLP RED ORANGE</t>
  </si>
  <si>
    <t>WBR592STS</t>
  </si>
  <si>
    <t>SKINNY NATURAL SN</t>
  </si>
  <si>
    <t>WBR599SIT7</t>
  </si>
  <si>
    <t>SKINNY WFLP SUPER T NATURALINE</t>
  </si>
  <si>
    <t>WBR599SKL3</t>
  </si>
  <si>
    <t>SKINNY WFLP BROWN GOLD SN</t>
  </si>
  <si>
    <t>WC012RE5</t>
  </si>
  <si>
    <t>LOW RISE CASEY</t>
  </si>
  <si>
    <t>CKDL</t>
  </si>
  <si>
    <t>CKDL DP SEA DGRDE</t>
  </si>
  <si>
    <t>WC012RR3</t>
  </si>
  <si>
    <t>WC012RT3S</t>
  </si>
  <si>
    <t>WC012SS1</t>
  </si>
  <si>
    <t>WC012SV4</t>
  </si>
  <si>
    <t>WC013RF0</t>
  </si>
  <si>
    <t>MID RISE CORA STRAIGHT</t>
  </si>
  <si>
    <t>WC013RQ6</t>
  </si>
  <si>
    <t>CKKD</t>
  </si>
  <si>
    <t>CKKD TARMAC BLCK</t>
  </si>
  <si>
    <t>WC013SM2</t>
  </si>
  <si>
    <t>WC013SU3</t>
  </si>
  <si>
    <t>WC025RQ6</t>
  </si>
  <si>
    <t>LOW RISE CASEY SU SKINNY FLAP</t>
  </si>
  <si>
    <t>WC025SE4</t>
  </si>
  <si>
    <t>WC025SU5S</t>
  </si>
  <si>
    <t>WC037RH1</t>
  </si>
  <si>
    <t>ICE</t>
  </si>
  <si>
    <t>WC037TS05</t>
  </si>
  <si>
    <t>TRUE RLGN EMBROIDERY CREW</t>
  </si>
  <si>
    <t>WC051RT4</t>
  </si>
  <si>
    <t>ACTIVE CROP ZIP UP HOODIE</t>
  </si>
  <si>
    <t>WC051RU7</t>
  </si>
  <si>
    <t>ACTIVE IND CROP ZIP UP HOODIE</t>
  </si>
  <si>
    <t>WC051SH2</t>
  </si>
  <si>
    <t>IND FT CROPPED ZIP UP HOODIE</t>
  </si>
  <si>
    <t>WC053ST9</t>
  </si>
  <si>
    <t>SEQUIN DUSTY JACKET</t>
  </si>
  <si>
    <t>WC058RF9</t>
  </si>
  <si>
    <t>SEQUINS SKINNY SWEATPANT</t>
  </si>
  <si>
    <t>WC090RF9</t>
  </si>
  <si>
    <t>SEQUINS BOYFRIEND PULLOVER</t>
  </si>
  <si>
    <t>WC090TS03</t>
  </si>
  <si>
    <t>WC104ST1</t>
  </si>
  <si>
    <t>STRIPED VELOUR SHORT</t>
  </si>
  <si>
    <t>BLACK STRIPED</t>
  </si>
  <si>
    <t>WC131RQ8</t>
  </si>
  <si>
    <t>WC173RG09</t>
  </si>
  <si>
    <t>SKULL VLVT BURNOUT BF PULLOVER</t>
  </si>
  <si>
    <t>WC177RQ5</t>
  </si>
  <si>
    <t>KATIE CROPPED OVERALL</t>
  </si>
  <si>
    <t>WC229RG06</t>
  </si>
  <si>
    <t>DENIM PRINTED SILK BOMBER JKT</t>
  </si>
  <si>
    <t>WHITE/DENIM PRINTED</t>
  </si>
  <si>
    <t>WC237CS17</t>
  </si>
  <si>
    <t>SUNSET PRINT</t>
  </si>
  <si>
    <t>WC240TS03</t>
  </si>
  <si>
    <t>WC240TS18</t>
  </si>
  <si>
    <t>WC244SS9</t>
  </si>
  <si>
    <t>BIG T TROUSER</t>
  </si>
  <si>
    <t>WASHED BLACK</t>
  </si>
  <si>
    <t>OLYMPIC</t>
  </si>
  <si>
    <t>WC261RF0</t>
  </si>
  <si>
    <t>ALEXIA HIGH THIGH MINI SKIRT</t>
  </si>
  <si>
    <t>WC264ST1</t>
  </si>
  <si>
    <t>STRIPED VELOUR HOODIE DRESS</t>
  </si>
  <si>
    <t>WC274RF0</t>
  </si>
  <si>
    <t>LOW RISE JESSIE FLARE</t>
  </si>
  <si>
    <t>WC274RR4</t>
  </si>
  <si>
    <t>WC274SV4</t>
  </si>
  <si>
    <t>WC284RQ8</t>
  </si>
  <si>
    <t>JOEY SHORT</t>
  </si>
  <si>
    <t>WC311RF0</t>
  </si>
  <si>
    <t>DARI BOXY DENIM JACKET</t>
  </si>
  <si>
    <t>WC311RS6</t>
  </si>
  <si>
    <t>WC311TM6</t>
  </si>
  <si>
    <t>CNCM</t>
  </si>
  <si>
    <t>CNCM HOWLAND CNL</t>
  </si>
  <si>
    <t>WC321SE1</t>
  </si>
  <si>
    <t>WC321UG0</t>
  </si>
  <si>
    <t>WC321UP0</t>
  </si>
  <si>
    <t>CQZB</t>
  </si>
  <si>
    <t>CQZB FD TO T W EB</t>
  </si>
  <si>
    <t>WC331SS9</t>
  </si>
  <si>
    <t>BIG T TERRY ZIP UP</t>
  </si>
  <si>
    <t>WC341RG04</t>
  </si>
  <si>
    <t>WC344ST2</t>
  </si>
  <si>
    <t>WHITE OMBRE BASIC TANK</t>
  </si>
  <si>
    <t>WHITE OMBRE</t>
  </si>
  <si>
    <t>WC347SE4</t>
  </si>
  <si>
    <t>CLID</t>
  </si>
  <si>
    <t>CLID BLUE HIGHWY</t>
  </si>
  <si>
    <t>WC358RS1</t>
  </si>
  <si>
    <t>CCL OLYMPIC</t>
  </si>
  <si>
    <t>CCL ACE</t>
  </si>
  <si>
    <t>CCL ORPHEUM</t>
  </si>
  <si>
    <t>WC360NP40</t>
  </si>
  <si>
    <t>TRUE CLASSICAL DOLMAN PULLOVER</t>
  </si>
  <si>
    <t>WC360ST2</t>
  </si>
  <si>
    <t>WHITE OMBRE DOLMAN TEE</t>
  </si>
  <si>
    <t>WC362ST3</t>
  </si>
  <si>
    <t>SOLID RLXED GEORGIA</t>
  </si>
  <si>
    <t>WC362TA5</t>
  </si>
  <si>
    <t>PLAID  RELAXED GEORGIA</t>
  </si>
  <si>
    <t>BLUE/BLACK PLAID</t>
  </si>
  <si>
    <t>WC362TA6</t>
  </si>
  <si>
    <t>BLUE/BLACK SHADOW PLAID</t>
  </si>
  <si>
    <t>WC363ST1</t>
  </si>
  <si>
    <t>STRIPED VELOUR SWEATSHIRT</t>
  </si>
  <si>
    <t>WC365ST8</t>
  </si>
  <si>
    <t>MOTO KNIT SWEATSHIRT</t>
  </si>
  <si>
    <t>WC366CS07</t>
  </si>
  <si>
    <t>LUREX EMB CROP BF PULLOVER</t>
  </si>
  <si>
    <t>WC367SE1</t>
  </si>
  <si>
    <t>THE RUNWAY MOTO LEGGING</t>
  </si>
  <si>
    <t>WC371CS23</t>
  </si>
  <si>
    <t>PHOTOGRAPHIC SHIRTTAIL TANK</t>
  </si>
  <si>
    <t>JET/PHOTO PRNT COMBO</t>
  </si>
  <si>
    <t>WC371CS24</t>
  </si>
  <si>
    <t>SUNSET PRINT SHIRTTAIL TANK</t>
  </si>
  <si>
    <t>WC371TS05</t>
  </si>
  <si>
    <t>TR LUREX EMBR SHIRTTAIL TANK</t>
  </si>
  <si>
    <t>WC372ST4</t>
  </si>
  <si>
    <t>WC373CS03</t>
  </si>
  <si>
    <t>METALLIC GOLD PRINT RXLED CREW</t>
  </si>
  <si>
    <t>WC373NP41</t>
  </si>
  <si>
    <t>SUNSET PRINT RXLED CREW</t>
  </si>
  <si>
    <t>WC373RG10</t>
  </si>
  <si>
    <t>WC373RG29</t>
  </si>
  <si>
    <t>THIS IS TRUE RELAXED CREW</t>
  </si>
  <si>
    <t>WC389TA4</t>
  </si>
  <si>
    <t>RED PLAID</t>
  </si>
  <si>
    <t>WC389TB1</t>
  </si>
  <si>
    <t>CHARCOAL/WHITE PLAID</t>
  </si>
  <si>
    <t>WC392JC31</t>
  </si>
  <si>
    <t>NECKLACE PRINT RELAXED CREW</t>
  </si>
  <si>
    <t>ICE 11-4201TPX</t>
  </si>
  <si>
    <t>WC394JC30</t>
  </si>
  <si>
    <t>NECKLACE PRINT RELAXED V NECK</t>
  </si>
  <si>
    <t>WC401JC10</t>
  </si>
  <si>
    <t>LET THEM STARE PULLOVER</t>
  </si>
  <si>
    <t>WC402TE8</t>
  </si>
  <si>
    <t>WC422JC50</t>
  </si>
  <si>
    <t>INDEPENDENCE GRAPHIC TANK</t>
  </si>
  <si>
    <t>WC427ST4</t>
  </si>
  <si>
    <t>SOLID RLXD MUSCLE CREW</t>
  </si>
  <si>
    <t>CERULEAN</t>
  </si>
  <si>
    <t>WC526SU3</t>
  </si>
  <si>
    <t>LOW RISE JOEY FLARE W FLAPS</t>
  </si>
  <si>
    <t>WC552JC31</t>
  </si>
  <si>
    <t>WC566SS1</t>
  </si>
  <si>
    <t>WCJ592SOMW</t>
  </si>
  <si>
    <t>SKINNY OLD MULTI W WHEAT</t>
  </si>
  <si>
    <t>WCJN96Y9</t>
  </si>
  <si>
    <t>BASIC LEGGING W FLAP</t>
  </si>
  <si>
    <t>WDBB092MV1</t>
  </si>
  <si>
    <t>WHZN95TSM</t>
  </si>
  <si>
    <t>LEGGING BASIC ALLOVER NATURAL</t>
  </si>
  <si>
    <t>WJC592SJV0</t>
  </si>
  <si>
    <t>SKINNY BIG T</t>
  </si>
  <si>
    <t>WJC592STS</t>
  </si>
  <si>
    <t>WJC599SJV0</t>
  </si>
  <si>
    <t>SKINNY W FLAPS BIG T</t>
  </si>
  <si>
    <t>WJCA817TS</t>
  </si>
  <si>
    <t>BASIC ROLLED CAPRI W FLAPS</t>
  </si>
  <si>
    <t>WJCZ21KB5</t>
  </si>
  <si>
    <t>BIG T MID CUT OFF SHORT</t>
  </si>
  <si>
    <t>WJDN96TSM</t>
  </si>
  <si>
    <t>CKA BLUE COATED</t>
  </si>
  <si>
    <t>WKWV02NH6</t>
  </si>
  <si>
    <t>CLASSIC COLLEGIATE SS RND VNK</t>
  </si>
  <si>
    <t>WKWY33NH7</t>
  </si>
  <si>
    <t>TRBJ SS VNECK TEE CRYSTALS</t>
  </si>
  <si>
    <t>WKWY33SL7</t>
  </si>
  <si>
    <t>WORLD TOUR POSTER VNECK TEE</t>
  </si>
  <si>
    <t>WKWY33SX2</t>
  </si>
  <si>
    <t>CLASSY TRUE DEEP VNECK TEE</t>
  </si>
  <si>
    <t>WMA599SY9</t>
  </si>
  <si>
    <t>SKINNY WFLP RED ORANGE SN</t>
  </si>
  <si>
    <t>CDUD</t>
  </si>
  <si>
    <t>CDUD COSMIC CRSH</t>
  </si>
  <si>
    <t>WMC433TS</t>
  </si>
  <si>
    <t>KNEE LENGTH SHORT</t>
  </si>
  <si>
    <t>CIAD</t>
  </si>
  <si>
    <t>CIAD GARNETVILLE</t>
  </si>
  <si>
    <t>WMC599STS</t>
  </si>
  <si>
    <t>SKINNY  WFLPS NATURAL SN</t>
  </si>
  <si>
    <t>WMCN95TS</t>
  </si>
  <si>
    <t>LEGGING NATURALINE SN</t>
  </si>
  <si>
    <t>CHXM</t>
  </si>
  <si>
    <t>CHXM GLDED WINGS</t>
  </si>
  <si>
    <t>WMCN96TS</t>
  </si>
  <si>
    <t>LEGGING WFLP NATURALINE SN</t>
  </si>
  <si>
    <t>CCBD</t>
  </si>
  <si>
    <t>CCBD MIDN AMBUSH</t>
  </si>
  <si>
    <t>WNSA620QK3</t>
  </si>
  <si>
    <t>GEORGIA LONG SLV WESTERN SHIRT</t>
  </si>
  <si>
    <t>WNXB205MU3</t>
  </si>
  <si>
    <t>PURPLE FLOWER</t>
  </si>
  <si>
    <t>WPPB231QP6</t>
  </si>
  <si>
    <t>THE ORIGINAL SCOOP TEE</t>
  </si>
  <si>
    <t>WPPV02TC0</t>
  </si>
  <si>
    <t>S/S ROUNDED VNECK W/CRYSTALS</t>
  </si>
  <si>
    <t>WPPX19SD1</t>
  </si>
  <si>
    <t>VINTAGE CRYSTAL SS CREW</t>
  </si>
  <si>
    <t>DUSTY ROSE</t>
  </si>
  <si>
    <t>WPPX19SM0</t>
  </si>
  <si>
    <t>TRUE REBEL S/S CREW NECK TEE</t>
  </si>
  <si>
    <t>WQQB192QS8</t>
  </si>
  <si>
    <t>CARGO SWEATPANT W PRINT</t>
  </si>
  <si>
    <t>WQQB250RB5</t>
  </si>
  <si>
    <t>CRYSTAL TR HOODIE</t>
  </si>
  <si>
    <t>WQQB254RB6</t>
  </si>
  <si>
    <t>CRYSTAL TR SLIM SWEATPANT</t>
  </si>
  <si>
    <t>WSRB263SL8</t>
  </si>
  <si>
    <t>VARSITY SHINE FOOTBALL TEE</t>
  </si>
  <si>
    <t>WSRU33SD0</t>
  </si>
  <si>
    <t>TR BLACK ROCK RAGLAN TEE</t>
  </si>
  <si>
    <t>OFF WHITE/DSTY RSE</t>
  </si>
  <si>
    <t>OATMEAL/BLACK</t>
  </si>
  <si>
    <t>WXAN96SF2</t>
  </si>
  <si>
    <t>TWILL CRYSTAL  LEGGING WFLP</t>
  </si>
  <si>
    <t>WXAN96SF3</t>
  </si>
  <si>
    <t>WY3B301UL7</t>
  </si>
  <si>
    <t>WY6A817OM</t>
  </si>
  <si>
    <t>BASIC ROLLED CAPRI</t>
  </si>
  <si>
    <t>WY6N95SP3</t>
  </si>
  <si>
    <t>SUPER T LEGGING</t>
  </si>
  <si>
    <t>WYCB298UK1</t>
  </si>
  <si>
    <t>FT DONT BELIEVE ME SWEATSHIRT</t>
  </si>
  <si>
    <t>WYCC403UK0</t>
  </si>
  <si>
    <t>FT SUENA LS BXY CRP SWEATSHIRT</t>
  </si>
  <si>
    <t>WYCC404UJ6</t>
  </si>
  <si>
    <t>WYCC406UJ6</t>
  </si>
  <si>
    <t>WYRC406UJ7</t>
  </si>
  <si>
    <t>NUDE</t>
  </si>
  <si>
    <t>M TEES</t>
  </si>
  <si>
    <t>M ACTIVE BOTTOMS</t>
  </si>
  <si>
    <t>XXL</t>
  </si>
  <si>
    <t>M JACKETS</t>
  </si>
  <si>
    <t>XXXL</t>
  </si>
  <si>
    <t>M BELTS</t>
  </si>
  <si>
    <t>34</t>
  </si>
  <si>
    <t>36</t>
  </si>
  <si>
    <t>38</t>
  </si>
  <si>
    <t>M WOVEN TOPS</t>
  </si>
  <si>
    <t>M DENIM PANTS</t>
  </si>
  <si>
    <t>M CUT &amp; SEW KNITS</t>
  </si>
  <si>
    <t>M SHORTS</t>
  </si>
  <si>
    <t>M NON DENIM PANTS</t>
  </si>
  <si>
    <t>M ACTIVE TOPS</t>
  </si>
  <si>
    <t>RICKY W FLAP SUPER T</t>
  </si>
  <si>
    <t>KURT NO FLAP SINGLE END</t>
  </si>
  <si>
    <t>GENO NO FLAP SINGLE END</t>
  </si>
  <si>
    <t>LT HEATHER GREY</t>
  </si>
  <si>
    <t>WHITE / BLACK</t>
  </si>
  <si>
    <t>M1FA236SE2</t>
  </si>
  <si>
    <t>POLO W/ EMBROIDERY</t>
  </si>
  <si>
    <t>M20A208NWO</t>
  </si>
  <si>
    <t>1/4 BIG T JAKE WESTERN SHIRT</t>
  </si>
  <si>
    <t>M20B277SX0</t>
  </si>
  <si>
    <t>WESTERN SHIRT BIG T</t>
  </si>
  <si>
    <t>CMKM</t>
  </si>
  <si>
    <t>CMKM SEA CLIFF</t>
  </si>
  <si>
    <t>RICKY W FLAP SUPERT</t>
  </si>
  <si>
    <t>RICKY W/ FLAP SE</t>
  </si>
  <si>
    <t>M24859NUG9</t>
  </si>
  <si>
    <t>RICKY W/ FLAP SUPER T</t>
  </si>
  <si>
    <t>GENO W FLP SHORT SUPER T</t>
  </si>
  <si>
    <t>RICKY W FLP SHORT SUPER T</t>
  </si>
  <si>
    <t>BFEM</t>
  </si>
  <si>
    <t>BFEM BLU RCK HLL</t>
  </si>
  <si>
    <t>BQML</t>
  </si>
  <si>
    <t>BQML LT DSCVRY PT</t>
  </si>
  <si>
    <t>M2F859KB5</t>
  </si>
  <si>
    <t>STRAIGHT WFLPS BIG T OLD MULTI</t>
  </si>
  <si>
    <t>M2F859OM</t>
  </si>
  <si>
    <t>STRAIGHT  WFLPS OLD MULTI</t>
  </si>
  <si>
    <t>M2FH54ZKB5</t>
  </si>
  <si>
    <t>SKINNY WFLP BIG T OLD MULTI</t>
  </si>
  <si>
    <t>BHFD</t>
  </si>
  <si>
    <t>BHFD PRMRSE TRRCE</t>
  </si>
  <si>
    <t>M3F859BJ9</t>
  </si>
  <si>
    <t>STRAIGHT WFLPS BASIC BLACK</t>
  </si>
  <si>
    <t>M3F859EL</t>
  </si>
  <si>
    <t>BASIC STRAIGHT WFLPS BLACK</t>
  </si>
  <si>
    <t>M859NRY0</t>
  </si>
  <si>
    <t>M859NUP2</t>
  </si>
  <si>
    <t>M9YB156QM9</t>
  </si>
  <si>
    <t>MA208RG8</t>
  </si>
  <si>
    <t>SPANISH TILE</t>
  </si>
  <si>
    <t>MA451TS17</t>
  </si>
  <si>
    <t>VARSITY BROCADE</t>
  </si>
  <si>
    <t>MA451TS21</t>
  </si>
  <si>
    <t>BROSHOE</t>
  </si>
  <si>
    <t>MA806RD3</t>
  </si>
  <si>
    <t>MA806RU4</t>
  </si>
  <si>
    <t>MA904SA6</t>
  </si>
  <si>
    <t>MA904SQ9</t>
  </si>
  <si>
    <t>CHO BLACK</t>
  </si>
  <si>
    <t>CHO WALKWAY</t>
  </si>
  <si>
    <t>MAXB253CR0</t>
  </si>
  <si>
    <t>1/2 MICK NO FLAP SE</t>
  </si>
  <si>
    <t>SGD MIDNIGHT</t>
  </si>
  <si>
    <t>MB008RI5</t>
  </si>
  <si>
    <t>MB088RD0</t>
  </si>
  <si>
    <t>1/2 DEAN SHORT NO FLAP BIG T</t>
  </si>
  <si>
    <t>IRON/CHO WASH</t>
  </si>
  <si>
    <t>STRAW / CHO WASH</t>
  </si>
  <si>
    <t>VENICE / CHO WASH</t>
  </si>
  <si>
    <t>MB157RH7</t>
  </si>
  <si>
    <t>MILITARY THERMAL</t>
  </si>
  <si>
    <t>WALKWAY</t>
  </si>
  <si>
    <t>MB272SU0</t>
  </si>
  <si>
    <t>1/2 DANNY JACKET</t>
  </si>
  <si>
    <t>MB272SU0MX</t>
  </si>
  <si>
    <t>1/2 DANNY JACKET (MEXICO)</t>
  </si>
  <si>
    <t>AYNM</t>
  </si>
  <si>
    <t>AYNM HANG OUT</t>
  </si>
  <si>
    <t>MC160RJ1</t>
  </si>
  <si>
    <t>MC225RK3</t>
  </si>
  <si>
    <t>MC557RD1</t>
  </si>
  <si>
    <t>MC565TS17</t>
  </si>
  <si>
    <t>MC565TS20</t>
  </si>
  <si>
    <t>BROSTRIPES</t>
  </si>
  <si>
    <t>MC565TS21</t>
  </si>
  <si>
    <t>AUEM</t>
  </si>
  <si>
    <t>AUEM OLD WD CABN</t>
  </si>
  <si>
    <t>BHCD</t>
  </si>
  <si>
    <t>BHCD WOLF HOLLOW</t>
  </si>
  <si>
    <t>BJAL</t>
  </si>
  <si>
    <t>BJAL SLY CREEK</t>
  </si>
  <si>
    <t>STRAIGHT NATURAL BIG T</t>
  </si>
  <si>
    <t>AUFD</t>
  </si>
  <si>
    <t>AUFD REGAL ROAD</t>
  </si>
  <si>
    <t>BILD</t>
  </si>
  <si>
    <t>BILD WHISKEY WAY</t>
  </si>
  <si>
    <t>MDE859IQ0</t>
  </si>
  <si>
    <t>STRAIGHT WFLP BRN GOLD MEGA T</t>
  </si>
  <si>
    <t>MDE859M60</t>
  </si>
  <si>
    <t>STRAIGHT WFLPS RED ORG BIG T</t>
  </si>
  <si>
    <t>STRAIGHT WFLAPS BIG T SUPER T</t>
  </si>
  <si>
    <t>MDE859NB7</t>
  </si>
  <si>
    <t>MDE859TSM</t>
  </si>
  <si>
    <t>STRAIGHT WFLP NAT PREM BASICS</t>
  </si>
  <si>
    <t>MDEH54ZKB5</t>
  </si>
  <si>
    <t>SKINNY WFLP OLD MULTI BIG T</t>
  </si>
  <si>
    <t>ME08NRR0</t>
  </si>
  <si>
    <t>BROADWAY/ BYJ WASH</t>
  </si>
  <si>
    <t>GRY CJGD RBL CRUSH</t>
  </si>
  <si>
    <t>RED CJGD RBL CRUSH</t>
  </si>
  <si>
    <t>MHPB113IE1</t>
  </si>
  <si>
    <t>GRAPHIC 4 LTWT PULLOVER HENLEY</t>
  </si>
  <si>
    <t>ASH / JET BLACK</t>
  </si>
  <si>
    <t>WHITE / NAVY</t>
  </si>
  <si>
    <t>MJ19NRD0</t>
  </si>
  <si>
    <t>IRON / CHO WASH</t>
  </si>
  <si>
    <t>MJ19NRD1</t>
  </si>
  <si>
    <t>MJ60NRD0</t>
  </si>
  <si>
    <t>09 ARMY</t>
  </si>
  <si>
    <t>MJM8Z65NU9</t>
  </si>
  <si>
    <t>WESTERN  CONFERENCE SS CREW</t>
  </si>
  <si>
    <t>MLRC351IK</t>
  </si>
  <si>
    <t>MNKB275SW9</t>
  </si>
  <si>
    <t>CMIM</t>
  </si>
  <si>
    <t>CMIM EVENING SRF</t>
  </si>
  <si>
    <t>MNKB276SW9</t>
  </si>
  <si>
    <t>MNKC345SW9</t>
  </si>
  <si>
    <t>MQQB241SE0</t>
  </si>
  <si>
    <t>HORSESHOE FLEECE JOGGER</t>
  </si>
  <si>
    <t>MQSA904SQ8</t>
  </si>
  <si>
    <t>CMML</t>
  </si>
  <si>
    <t>CMML DIST OP WHT</t>
  </si>
  <si>
    <t>MR62NSU0</t>
  </si>
  <si>
    <t>TR1889</t>
  </si>
  <si>
    <t>REVERSIBLE MONGRM BUCKET</t>
  </si>
  <si>
    <t>TWILIGHT</t>
  </si>
  <si>
    <t>TR1893</t>
  </si>
  <si>
    <t>REVERSIBLE COLORBLOCKED BUCKET</t>
  </si>
  <si>
    <t>W2G592SNB7</t>
  </si>
  <si>
    <t>SKINNY BASIC BIG T SUPER T NAT</t>
  </si>
  <si>
    <t>BHGD</t>
  </si>
  <si>
    <t>BHGD DVL LKE RIS</t>
  </si>
  <si>
    <t>AUDREY SLIM BOYFRIEND</t>
  </si>
  <si>
    <t>STEEL</t>
  </si>
  <si>
    <t>WC203TM4</t>
  </si>
  <si>
    <t>MESH COMBO BOYFRIEND PULLOVER</t>
  </si>
  <si>
    <t>WC254RP9</t>
  </si>
  <si>
    <t>NAVY/BLACK</t>
  </si>
  <si>
    <t>JESSIE LOW RISE TWIST FLARE</t>
  </si>
  <si>
    <t>WC321SE7</t>
  </si>
  <si>
    <t>CKEM</t>
  </si>
  <si>
    <t>CKEM VENUS CANAL</t>
  </si>
  <si>
    <t>CLAD</t>
  </si>
  <si>
    <t>CLAD PACIFIC AVE</t>
  </si>
  <si>
    <t>CLCD</t>
  </si>
  <si>
    <t>CLCD WAVES WASH</t>
  </si>
  <si>
    <t>WC321SE8</t>
  </si>
  <si>
    <t>CKSD</t>
  </si>
  <si>
    <t>CKSD GHOST LIGHT</t>
  </si>
  <si>
    <t>WC321SZ9</t>
  </si>
  <si>
    <t>09 CERULEAN</t>
  </si>
  <si>
    <t>09 ORPHEUM</t>
  </si>
  <si>
    <t>09 MAYAN</t>
  </si>
  <si>
    <t>WC321UK8</t>
  </si>
  <si>
    <t>WC367SE7</t>
  </si>
  <si>
    <t>THE RUNWAY  MOTO LEGGING</t>
  </si>
  <si>
    <t>WC367SE8</t>
  </si>
  <si>
    <t>WC419JC88</t>
  </si>
  <si>
    <t>FESTIVAL DRAPE BK GRAPHIC TANK</t>
  </si>
  <si>
    <t>WC419NP47</t>
  </si>
  <si>
    <t>CONCERT DRAPE BK GRAPHIC TANK</t>
  </si>
  <si>
    <t>WC421TM2</t>
  </si>
  <si>
    <t>TIE DYE POCKET TANK</t>
  </si>
  <si>
    <t>WASHED BLUE</t>
  </si>
  <si>
    <t>WC423TM4</t>
  </si>
  <si>
    <t>WC425TM4</t>
  </si>
  <si>
    <t>MESH COMBO PANEL SWEATPANT</t>
  </si>
  <si>
    <t>WDBB086MV1</t>
  </si>
  <si>
    <t>CASEY SUPER SKINNY SUPER T</t>
  </si>
  <si>
    <t>KEIRA LOW RISE SHORT</t>
  </si>
  <si>
    <t>BECCA TWIST SEAM BOOTCUT</t>
  </si>
  <si>
    <t>DUSTY TWIST SEAM JACKET STUDS</t>
  </si>
  <si>
    <t>CORA STRAIGHT CROP</t>
  </si>
  <si>
    <t>KEIRA SHORT FLAPS</t>
  </si>
  <si>
    <t>WFSC185IK</t>
  </si>
  <si>
    <t>VNECK TEE</t>
  </si>
  <si>
    <t>WHZN95HE8</t>
  </si>
  <si>
    <t>LEGGING CLEAR CRYSTAL LOGO</t>
  </si>
  <si>
    <t>WHZN95NBT</t>
  </si>
  <si>
    <t>LEGGING  NATURAL BIG T</t>
  </si>
  <si>
    <t>HI RISE LEGGING RED ORANGE</t>
  </si>
  <si>
    <t>WHZN96OM</t>
  </si>
  <si>
    <t>LEGGING WFLAPS OLD MULTI</t>
  </si>
  <si>
    <t>WHZN96TSM</t>
  </si>
  <si>
    <t>BRBD</t>
  </si>
  <si>
    <t>BRBD BLKWD FORST</t>
  </si>
  <si>
    <t>WHZN96Y9M</t>
  </si>
  <si>
    <t>LEGGING WFLP RED ORANGE</t>
  </si>
  <si>
    <t>BVBD</t>
  </si>
  <si>
    <t>BVBD BLSHNG ROSE</t>
  </si>
  <si>
    <t>ASH / WHITE</t>
  </si>
  <si>
    <t>SWEET PINK</t>
  </si>
  <si>
    <t>WLH599SHE8</t>
  </si>
  <si>
    <t>SKINNY WFLAP CRYSTAL LOGO</t>
  </si>
  <si>
    <t>TRUE LOVE BASEBALL CAP</t>
  </si>
  <si>
    <t>AVA HIGH RISE CUT OFF SHORT</t>
  </si>
  <si>
    <t>CASEY SUPER SKINNY CROP</t>
  </si>
  <si>
    <t>WQBB080MQ1</t>
  </si>
  <si>
    <t>HALLE SUPER SKINNY SUPER T</t>
  </si>
  <si>
    <t>JOEY CUT OFF SHORT FLAPS</t>
  </si>
  <si>
    <t>BECCA BOOTCUT SUPER T FLAPS</t>
  </si>
  <si>
    <t>NU BOY SLIM BOYFIT ROLLED SHRT</t>
  </si>
  <si>
    <t>JOEY HALTER SHORTALL</t>
  </si>
  <si>
    <t>PEARL</t>
  </si>
  <si>
    <t>WUW8Z91IK</t>
  </si>
  <si>
    <t>VEGAN LEATHER JACKET</t>
  </si>
  <si>
    <t>NU BOY SLIM BOYFIT SUPER T</t>
  </si>
  <si>
    <t>CORA STRAIGHT SUPER T</t>
  </si>
  <si>
    <t>BECCA BOOTCUT FLAPS</t>
  </si>
  <si>
    <t>HEATHR GRY / WHT</t>
  </si>
  <si>
    <t>WZ58M71EG</t>
  </si>
  <si>
    <t>KRISTEN SNAP FRONT TANK</t>
  </si>
  <si>
    <t>M OUTERWEAR</t>
  </si>
  <si>
    <t>GENO W/FLP SLIM COBALT DENIM</t>
  </si>
  <si>
    <t>RICKY W FLAP STRAIGHT 34 IN</t>
  </si>
  <si>
    <t>GENO FLAP SLIM 34</t>
  </si>
  <si>
    <t>M0PA799KS301</t>
  </si>
  <si>
    <t>M14HD02M4IED57</t>
  </si>
  <si>
    <t>M15SD01A2IED67</t>
  </si>
  <si>
    <t>M15SF27B8G1377</t>
  </si>
  <si>
    <t>BILLY W FLAP BOOTCUT 34 IN</t>
  </si>
  <si>
    <t>M5TA576CBO4855</t>
  </si>
  <si>
    <t>MAEB166KG64928</t>
  </si>
  <si>
    <t>MAIB181VR1118</t>
  </si>
  <si>
    <t>RICKY W FLAP STRAIGHT</t>
  </si>
  <si>
    <t>GENO WITH FLAP SLIM 34 IN</t>
  </si>
  <si>
    <t>MBAB161IK1200</t>
  </si>
  <si>
    <t>MIO859NNE36111</t>
  </si>
  <si>
    <t>COLORED TWIL SUPER T RICKY W F</t>
  </si>
  <si>
    <t>CLASSIC MENS BELT</t>
  </si>
  <si>
    <t>TUF150048</t>
  </si>
  <si>
    <t>MEN BELT</t>
  </si>
  <si>
    <t>CORE RICKY WF RLXDSTRAIGHT 34</t>
  </si>
  <si>
    <t>GENO NO FLAP SE</t>
  </si>
  <si>
    <t>GENO W  FLAP SE</t>
  </si>
  <si>
    <t>M24E08NTC3</t>
  </si>
  <si>
    <t>GENO W FLAP SUPER T</t>
  </si>
  <si>
    <t>M15UD13A4ID1A1</t>
  </si>
  <si>
    <t>RICKY W O FLAPS REG RLXD STRA</t>
  </si>
  <si>
    <t>M15UD01B1ID600</t>
  </si>
  <si>
    <t>MDUA806SP4</t>
  </si>
  <si>
    <t>HALF DEAN NO FLAP SHORT SE</t>
  </si>
  <si>
    <t>BRUSHTASTIC SS GRAPHIC TEE</t>
  </si>
  <si>
    <t>MS4B177NT71800</t>
  </si>
  <si>
    <t>BUFFALO SS CREW NECK TEE</t>
  </si>
  <si>
    <t>AC754WF9</t>
  </si>
  <si>
    <t>TOTE BAG</t>
  </si>
  <si>
    <t>AC756WG0</t>
  </si>
  <si>
    <t>SUNFLWR LEOPARD SCARVES WOOL</t>
  </si>
  <si>
    <t>SUNFLOWER</t>
  </si>
  <si>
    <t>AC757WG1</t>
  </si>
  <si>
    <t>SNOW LEOPARD SCARVES WOOL</t>
  </si>
  <si>
    <t>SNOW</t>
  </si>
  <si>
    <t>AC758WG2</t>
  </si>
  <si>
    <t>BLACK CAMO SCARVES WOOL</t>
  </si>
  <si>
    <t>AC759WG3</t>
  </si>
  <si>
    <t>PURPLE CAMO SCARVES WOOL</t>
  </si>
  <si>
    <t>PURPLE CAMO</t>
  </si>
  <si>
    <t>M08859QN2</t>
  </si>
  <si>
    <t>STRAIGHT W FLAP SUPER T</t>
  </si>
  <si>
    <t>CTTM</t>
  </si>
  <si>
    <t>CTTM EASY DOES IT</t>
  </si>
  <si>
    <t>M08859VA1</t>
  </si>
  <si>
    <t>STR FLP SN WPRINT</t>
  </si>
  <si>
    <t>CRXM</t>
  </si>
  <si>
    <t>CRXM MND OVR MYHM</t>
  </si>
  <si>
    <t>M08859WA1</t>
  </si>
  <si>
    <t>CTSD</t>
  </si>
  <si>
    <t>CTSD PCFC DREAMS</t>
  </si>
  <si>
    <t>M14859VX2</t>
  </si>
  <si>
    <t>STRAIGHT W FLAP</t>
  </si>
  <si>
    <t>CSFD</t>
  </si>
  <si>
    <t>CSFD DEVILS POST</t>
  </si>
  <si>
    <t>M14859VX3</t>
  </si>
  <si>
    <t>CSEM</t>
  </si>
  <si>
    <t>CSEM IRON COAST</t>
  </si>
  <si>
    <t>M15FB66E5G</t>
  </si>
  <si>
    <t>SHEEP BIKER JKT</t>
  </si>
  <si>
    <t>COAL GREY</t>
  </si>
  <si>
    <t>HEATHER NAVY</t>
  </si>
  <si>
    <t>M15FD01C1I</t>
  </si>
  <si>
    <t>KPT RUINS</t>
  </si>
  <si>
    <t>M15FD01G4IE002</t>
  </si>
  <si>
    <t>M15FD01G4I</t>
  </si>
  <si>
    <t>E002</t>
  </si>
  <si>
    <t>DARK MATTER</t>
  </si>
  <si>
    <t>M15FD01K1IE005</t>
  </si>
  <si>
    <t>M15FD01K1I</t>
  </si>
  <si>
    <t>ECLIPSE</t>
  </si>
  <si>
    <t>M15FD01S4IE003</t>
  </si>
  <si>
    <t>M15FD01S4I</t>
  </si>
  <si>
    <t>E003</t>
  </si>
  <si>
    <t>SKY FALL</t>
  </si>
  <si>
    <t>M15FD12A4I</t>
  </si>
  <si>
    <t>MENS DEAN</t>
  </si>
  <si>
    <t>E001</t>
  </si>
  <si>
    <t>MULTIVERSE</t>
  </si>
  <si>
    <t>M15FF03D7G</t>
  </si>
  <si>
    <t>SHARK</t>
  </si>
  <si>
    <t>FOG LILIAC</t>
  </si>
  <si>
    <t>SAGE GREEN</t>
  </si>
  <si>
    <t>CORONET BLUE</t>
  </si>
  <si>
    <t>M15FF04D7G</t>
  </si>
  <si>
    <t>M15FF05D7G</t>
  </si>
  <si>
    <t>M15FF08C5G</t>
  </si>
  <si>
    <t>ZIP JACKET</t>
  </si>
  <si>
    <t>M15FF09C5G</t>
  </si>
  <si>
    <t>M15FF12F2G</t>
  </si>
  <si>
    <t>HORSESHOE STITCH ZIP HOODEDJKT</t>
  </si>
  <si>
    <t>M15FF13F2G</t>
  </si>
  <si>
    <t>HOODIE</t>
  </si>
  <si>
    <t>M15FF13F2G1370</t>
  </si>
  <si>
    <t>M15FF15F2G</t>
  </si>
  <si>
    <t>M15FF15F2G1370</t>
  </si>
  <si>
    <t>M15FF21C7G</t>
  </si>
  <si>
    <t>M15FF21C7G1370</t>
  </si>
  <si>
    <t>M15FF22C7G</t>
  </si>
  <si>
    <t>M15FF23C7G</t>
  </si>
  <si>
    <t>M15FF24C7G</t>
  </si>
  <si>
    <t>M15FF24C7G1370</t>
  </si>
  <si>
    <t>M15FF28D7G</t>
  </si>
  <si>
    <t>M15FF29D7G</t>
  </si>
  <si>
    <t>M15FF31E5G</t>
  </si>
  <si>
    <t>M15FF35D7G</t>
  </si>
  <si>
    <t>M15FF35D7G4643</t>
  </si>
  <si>
    <t>M15FK01D3G</t>
  </si>
  <si>
    <t>M15FK09D3G</t>
  </si>
  <si>
    <t>M15FL67E5G</t>
  </si>
  <si>
    <t>SHEEP FUNNEL NECK JKT</t>
  </si>
  <si>
    <t>M15FN01D7G</t>
  </si>
  <si>
    <t>DOWN JACKET</t>
  </si>
  <si>
    <t>DEEP BLUE</t>
  </si>
  <si>
    <t>M15FN88D7G</t>
  </si>
  <si>
    <t>M15FN89D7G</t>
  </si>
  <si>
    <t>DOWN JACKET RACCOON</t>
  </si>
  <si>
    <t>SLATE</t>
  </si>
  <si>
    <t>MUDGREEN</t>
  </si>
  <si>
    <t>M15FN94F3G</t>
  </si>
  <si>
    <t>M15FT06E6G</t>
  </si>
  <si>
    <t>T-SHIRT</t>
  </si>
  <si>
    <t>M15FT06E6G1200</t>
  </si>
  <si>
    <t>M15FT17F3G</t>
  </si>
  <si>
    <t>M15FT17F3G1285</t>
  </si>
  <si>
    <t>M15FT17F3G4000</t>
  </si>
  <si>
    <t>M15FT25E6G</t>
  </si>
  <si>
    <t>M15FT26E6G</t>
  </si>
  <si>
    <t>M15FT30E6G</t>
  </si>
  <si>
    <t>M15FT33C5G</t>
  </si>
  <si>
    <t>M15FT33C5G3304</t>
  </si>
  <si>
    <t>M15FT33C5G4000</t>
  </si>
  <si>
    <t>M15FT36F1G</t>
  </si>
  <si>
    <t>M15FT36F1G1378</t>
  </si>
  <si>
    <t>M15FT36F1G3304</t>
  </si>
  <si>
    <t>M15FT36F1G4000</t>
  </si>
  <si>
    <t>M15FT44E5G</t>
  </si>
  <si>
    <t>M15FT50E6G</t>
  </si>
  <si>
    <t>LS LEATHER BADGE POLO</t>
  </si>
  <si>
    <t>M15FT51E6G</t>
  </si>
  <si>
    <t>S/S LEATHER BADGE POLO</t>
  </si>
  <si>
    <t>M15FV87D7G</t>
  </si>
  <si>
    <t>CORNFLOWER BLUE</t>
  </si>
  <si>
    <t>M15FY59E3G</t>
  </si>
  <si>
    <t>PARKA RACCOON</t>
  </si>
  <si>
    <t>M15HF03D7G</t>
  </si>
  <si>
    <t>TAPE CONTRAST HOODED ZIP JKT</t>
  </si>
  <si>
    <t>15HO</t>
  </si>
  <si>
    <t>THYME</t>
  </si>
  <si>
    <t>SHADOW</t>
  </si>
  <si>
    <t>M15HF04D7G</t>
  </si>
  <si>
    <t>TRUE CREW SWEAT</t>
  </si>
  <si>
    <t>M15HF06E6G</t>
  </si>
  <si>
    <t>TRUE CREW TSHIRT</t>
  </si>
  <si>
    <t>M15HF07D7G</t>
  </si>
  <si>
    <t>M15HF35D7G</t>
  </si>
  <si>
    <t>STRIPE PANT</t>
  </si>
  <si>
    <t>M15UD01B3IM301</t>
  </si>
  <si>
    <t>M15UD02B2IR401</t>
  </si>
  <si>
    <t>M15UF04C7G1476</t>
  </si>
  <si>
    <t>M15UF05C7G1476</t>
  </si>
  <si>
    <t>M15UF16D7G1106</t>
  </si>
  <si>
    <t>M15UF16D7G1285</t>
  </si>
  <si>
    <t>M15UF20D7G1106</t>
  </si>
  <si>
    <t>M15UF20D7G1285</t>
  </si>
  <si>
    <t>M15UT06E6G4643</t>
  </si>
  <si>
    <t>BASEBALL 7 8 SLEEVE</t>
  </si>
  <si>
    <t>M16SD01A6G</t>
  </si>
  <si>
    <t>BOMBER LEATHER  JACKET</t>
  </si>
  <si>
    <t>16SP</t>
  </si>
  <si>
    <t>M16SF22C7G</t>
  </si>
  <si>
    <t>TRUE HORSESHOE ZIP HOODIE</t>
  </si>
  <si>
    <t>INDIGO BLUE</t>
  </si>
  <si>
    <t>CADET</t>
  </si>
  <si>
    <t>M16SF23D7G</t>
  </si>
  <si>
    <t>TR CALI  ASTRO BUDDHA HOODIE</t>
  </si>
  <si>
    <t>HERITAGE BLUE</t>
  </si>
  <si>
    <t>M16SF24D7G</t>
  </si>
  <si>
    <t>TRUE ROSES HOODIE</t>
  </si>
  <si>
    <t>M16SF25D7G</t>
  </si>
  <si>
    <t>TRUE RELIGION CA LA HOODIE</t>
  </si>
  <si>
    <t>M16SF26D7G</t>
  </si>
  <si>
    <t>DESTROY HOODIE</t>
  </si>
  <si>
    <t>M16SF27D7G</t>
  </si>
  <si>
    <t>DESTROY SWEATSHIRT</t>
  </si>
  <si>
    <t>M16SF28D7G</t>
  </si>
  <si>
    <t>TRUE RELIGION SWEATSHIRT</t>
  </si>
  <si>
    <t>M16SF29D7G</t>
  </si>
  <si>
    <t>TR EST TWENTY O TWO SWEATSHIRT</t>
  </si>
  <si>
    <t>M16SF30D7G</t>
  </si>
  <si>
    <t>CA DESTROY HOODED ZIP JACKET</t>
  </si>
  <si>
    <t>M16SF34D7G</t>
  </si>
  <si>
    <t>EST TWENTY O TWO BERMUDA SHORT</t>
  </si>
  <si>
    <t>AIR FORCE BLUE</t>
  </si>
  <si>
    <t>M16SF35D7G</t>
  </si>
  <si>
    <t>BERMUDA SHORT</t>
  </si>
  <si>
    <t>M16SF36D7G</t>
  </si>
  <si>
    <t>DESTROY BERMUDA SHORT</t>
  </si>
  <si>
    <t>M16SF37D7G</t>
  </si>
  <si>
    <t>TRUE RELIGION CALI BUDDHA PANT</t>
  </si>
  <si>
    <t>M16SF38D7G</t>
  </si>
  <si>
    <t>EST TWENTY O TWO PANT</t>
  </si>
  <si>
    <t>M16SF39C7G</t>
  </si>
  <si>
    <t>PANT OVERDYED</t>
  </si>
  <si>
    <t>M16SF40C7G</t>
  </si>
  <si>
    <t>SHORT MOULINE</t>
  </si>
  <si>
    <t>M16SL02A7G</t>
  </si>
  <si>
    <t>FUNNEL JACKET</t>
  </si>
  <si>
    <t>M16ST01G3G</t>
  </si>
  <si>
    <t>TRUE RELIGION CA LA CREW T</t>
  </si>
  <si>
    <t>M16ST02G3G</t>
  </si>
  <si>
    <t>LA 2002 BUDDHA ON BACK CREW T</t>
  </si>
  <si>
    <t>M16ST03G3G</t>
  </si>
  <si>
    <t>TRUE RELIGION CA LA BUDDHA</t>
  </si>
  <si>
    <t>M16ST04G3G</t>
  </si>
  <si>
    <t>TRUE ROSES CREW T SHIRT</t>
  </si>
  <si>
    <t>M16ST05G3G</t>
  </si>
  <si>
    <t>TRUE EMBROIDERY CREW T SHIRT</t>
  </si>
  <si>
    <t>M16ST06G3G</t>
  </si>
  <si>
    <t>TRUE  LA CA ARMY VNECK T SHIRT</t>
  </si>
  <si>
    <t>M16ST07G3G</t>
  </si>
  <si>
    <t>HOLLYWOOD VNECK TSHIRT</t>
  </si>
  <si>
    <t>M16ST08E6G</t>
  </si>
  <si>
    <t>SCOOP T SHIRT</t>
  </si>
  <si>
    <t>M16ST09E6G</t>
  </si>
  <si>
    <t>TRUE RELIGION BUDDHA CREW T</t>
  </si>
  <si>
    <t>M16ST10E6G</t>
  </si>
  <si>
    <t>LOS ANGELES CA LS CREW</t>
  </si>
  <si>
    <t>M16ST11E6G</t>
  </si>
  <si>
    <t>HOLLYWOOD LS CREW</t>
  </si>
  <si>
    <t>M16ST12E7G</t>
  </si>
  <si>
    <t>BUTTON FLY  LS T SHIRT</t>
  </si>
  <si>
    <t>M16ST13E7G</t>
  </si>
  <si>
    <t>M16ST14G1G</t>
  </si>
  <si>
    <t>INDIGO SCOOP T SHIRT</t>
  </si>
  <si>
    <t>M16ST15G1G</t>
  </si>
  <si>
    <t>INDIGO BUTTON FLY LS</t>
  </si>
  <si>
    <t>M16ST16G2G</t>
  </si>
  <si>
    <t>INDIGO STRIPE CREW LS</t>
  </si>
  <si>
    <t>M16ST18G2G</t>
  </si>
  <si>
    <t>TR LA CA INDIGO STRIPE CREW T</t>
  </si>
  <si>
    <t>M16ST19F1G</t>
  </si>
  <si>
    <t>LS BUTTON FLY</t>
  </si>
  <si>
    <t>M16ST20F1G</t>
  </si>
  <si>
    <t>VNECK BUTTON FLY</t>
  </si>
  <si>
    <t>M16ST21F1G</t>
  </si>
  <si>
    <t>TRUE RELIGION CA BUDDHA CREW T</t>
  </si>
  <si>
    <t>M16SX17B2G</t>
  </si>
  <si>
    <t>PARKA JACKET</t>
  </si>
  <si>
    <t>M16SY15A9G</t>
  </si>
  <si>
    <t>RICKY W FLAP ROPESTITCH</t>
  </si>
  <si>
    <t>M2F859LG9</t>
  </si>
  <si>
    <t>STRAIGHT WFLPS SINGLE MEGA T</t>
  </si>
  <si>
    <t>M2F859SGG1</t>
  </si>
  <si>
    <t>STRAIGHT W FLPS CUTOFF SPR T</t>
  </si>
  <si>
    <t>M2F859TSMAQAD</t>
  </si>
  <si>
    <t>M2FC409TS</t>
  </si>
  <si>
    <t>CUT OFF VEST</t>
  </si>
  <si>
    <t>M2FE08ZLG9</t>
  </si>
  <si>
    <t>SLIM W FLAPS SINGLE MEGA T</t>
  </si>
  <si>
    <t>M2FH54ZTSM2S</t>
  </si>
  <si>
    <t>14 INDIGO RUNNER NO FLAP SE</t>
  </si>
  <si>
    <t>GRY CSB EN OF TM</t>
  </si>
  <si>
    <t>RD CSB END OF TIME</t>
  </si>
  <si>
    <t>JAKE LS WESTERN SHIRT</t>
  </si>
  <si>
    <t>M4IA716SE2</t>
  </si>
  <si>
    <t>1 2 BILLY W FLAP SE</t>
  </si>
  <si>
    <t>1 2  BILLY W FLAP SE</t>
  </si>
  <si>
    <t>RICKY W FLAP SE</t>
  </si>
  <si>
    <t>CORE RICKY W FLAP STRAIGHT 34</t>
  </si>
  <si>
    <t>CORE GENO RELAXED SLIM  34</t>
  </si>
  <si>
    <t>CORE ROCCO SLIM  34</t>
  </si>
  <si>
    <t>M800NTW5</t>
  </si>
  <si>
    <t>RICKY NO FLAP SUPER T</t>
  </si>
  <si>
    <t>CQRD</t>
  </si>
  <si>
    <t>CQRD NIGHT SHDWS</t>
  </si>
  <si>
    <t>15H1</t>
  </si>
  <si>
    <t>M800NUQ8</t>
  </si>
  <si>
    <t>CPPM</t>
  </si>
  <si>
    <t>CPPM DAY SHADOWS</t>
  </si>
  <si>
    <t>M800NXL7</t>
  </si>
  <si>
    <t>DATD</t>
  </si>
  <si>
    <t>DATD BLOCK CITY</t>
  </si>
  <si>
    <t>M858NTW8</t>
  </si>
  <si>
    <t>BILLY W FLAP SE</t>
  </si>
  <si>
    <t>CPRD</t>
  </si>
  <si>
    <t>CPRD RUGGED ROAD</t>
  </si>
  <si>
    <t>CPSM</t>
  </si>
  <si>
    <t>CPSM CONCRTE LKE</t>
  </si>
  <si>
    <t>M858NVR1</t>
  </si>
  <si>
    <t>CVVD</t>
  </si>
  <si>
    <t>CVVD OLD SCHOOL</t>
  </si>
  <si>
    <t>16S3</t>
  </si>
  <si>
    <t>CVWL</t>
  </si>
  <si>
    <t>CVWL DOWN ROCK</t>
  </si>
  <si>
    <t>M858NXL2</t>
  </si>
  <si>
    <t>CVIM</t>
  </si>
  <si>
    <t>CVIM FLAGSTONE</t>
  </si>
  <si>
    <t>1 2 RICKY W   FLAP SE</t>
  </si>
  <si>
    <t>RICKY W FLAP 12 SE</t>
  </si>
  <si>
    <t>M859NRX2</t>
  </si>
  <si>
    <t>1 2 RICKY W FLAP SUPER T</t>
  </si>
  <si>
    <t>12 RICKY W FLAP SE</t>
  </si>
  <si>
    <t>M859NRY5CJCD</t>
  </si>
  <si>
    <t>1 2 RICKY W  FLAP SE</t>
  </si>
  <si>
    <t>M859NRZ7CJJD</t>
  </si>
  <si>
    <t>1 2 RICKY W FLAP SE</t>
  </si>
  <si>
    <t>M859NTS4</t>
  </si>
  <si>
    <t>15H3</t>
  </si>
  <si>
    <t>CQKM</t>
  </si>
  <si>
    <t>CQKM ROUGH CITY</t>
  </si>
  <si>
    <t>CQOM</t>
  </si>
  <si>
    <t>CQOM SUNSET DAZE</t>
  </si>
  <si>
    <t>M859NTU1</t>
  </si>
  <si>
    <t>RICKY FLAP SUPER T</t>
  </si>
  <si>
    <t>CQGD</t>
  </si>
  <si>
    <t>CQGD ELCTC MDNGHT</t>
  </si>
  <si>
    <t>15H2</t>
  </si>
  <si>
    <t>M859NTU4</t>
  </si>
  <si>
    <t>CQDD</t>
  </si>
  <si>
    <t>CQDD PITCH DARK</t>
  </si>
  <si>
    <t>M859NTW5</t>
  </si>
  <si>
    <t>M859NTW9</t>
  </si>
  <si>
    <t>CPTD</t>
  </si>
  <si>
    <t>CPTD DRY BRUSH</t>
  </si>
  <si>
    <t>M859NTX8</t>
  </si>
  <si>
    <t>BLACK/DARK PURPLE  / CNN WASH</t>
  </si>
  <si>
    <t>TOBACCO BROWN/ ACE/ CNN WASH</t>
  </si>
  <si>
    <t>ACE/SYCAMORE/ CNN WASH</t>
  </si>
  <si>
    <t>CHILI PEPPER/BLACK CNN WASH</t>
  </si>
  <si>
    <t>M859NTY7</t>
  </si>
  <si>
    <t>CPYD</t>
  </si>
  <si>
    <t>CPYD SLVR HGHLGTS</t>
  </si>
  <si>
    <t>M859NTZ1</t>
  </si>
  <si>
    <t>CPZD</t>
  </si>
  <si>
    <t>CPZD GRY HGHLGTS</t>
  </si>
  <si>
    <t>M859NU06</t>
  </si>
  <si>
    <t>M859NUN9</t>
  </si>
  <si>
    <t>RICKY WITH FLAP SUPER T</t>
  </si>
  <si>
    <t>CIMM</t>
  </si>
  <si>
    <t>CIMM SHALLOW CNL</t>
  </si>
  <si>
    <t>M859NVO6</t>
  </si>
  <si>
    <t>M859NVO6R</t>
  </si>
  <si>
    <t>RICKY W FLAP SUPER T 32 INSEAM</t>
  </si>
  <si>
    <t>M859NVO9</t>
  </si>
  <si>
    <t>CVGM</t>
  </si>
  <si>
    <t>CVGM DAY SHIFTER</t>
  </si>
  <si>
    <t>M859NVP4</t>
  </si>
  <si>
    <t>CVLD</t>
  </si>
  <si>
    <t>CVLD BOROUGH</t>
  </si>
  <si>
    <t>M859NVP6</t>
  </si>
  <si>
    <t>CVQD</t>
  </si>
  <si>
    <t>CVQD BLOCK</t>
  </si>
  <si>
    <t>M859NVQ6</t>
  </si>
  <si>
    <t>CVTM</t>
  </si>
  <si>
    <t>CVTM DEEP BASE</t>
  </si>
  <si>
    <t>16S2</t>
  </si>
  <si>
    <t>M859NVS1</t>
  </si>
  <si>
    <t>CWCL</t>
  </si>
  <si>
    <t>CWCL INDGO OASIS</t>
  </si>
  <si>
    <t>M859NVS2</t>
  </si>
  <si>
    <t>CVYL</t>
  </si>
  <si>
    <t>CVYL SIDE GRIND</t>
  </si>
  <si>
    <t>CWBM</t>
  </si>
  <si>
    <t>CWBM NGHT SHFTER</t>
  </si>
  <si>
    <t>M859NVY9</t>
  </si>
  <si>
    <t>CMSD</t>
  </si>
  <si>
    <t>CMSD RIVER RUSH</t>
  </si>
  <si>
    <t>15F1</t>
  </si>
  <si>
    <t>M859NVZ4</t>
  </si>
  <si>
    <t>M859NXK2</t>
  </si>
  <si>
    <t>RICKY  W FLAP SUPER T</t>
  </si>
  <si>
    <t>MEDIUM DRIFTER</t>
  </si>
  <si>
    <t>M859NXL2</t>
  </si>
  <si>
    <t>M859NXL3</t>
  </si>
  <si>
    <t>M859NXL3R</t>
  </si>
  <si>
    <t>RICKY W FLAP SE 32</t>
  </si>
  <si>
    <t>M859NXL6</t>
  </si>
  <si>
    <t>M859NXP1</t>
  </si>
  <si>
    <t>CVUL</t>
  </si>
  <si>
    <t>CVUL TOP ROCK</t>
  </si>
  <si>
    <t>M8TB009IK1024</t>
  </si>
  <si>
    <t>L S CONTRAST STCH BIG T HOODIE</t>
  </si>
  <si>
    <t>M9FC891NQ9</t>
  </si>
  <si>
    <t>BIG T CUT OFF SHORT</t>
  </si>
  <si>
    <t>16S1</t>
  </si>
  <si>
    <t>M9FC895NQ9</t>
  </si>
  <si>
    <t>BIG T SLVLESS ZIP FRONT HOODIE</t>
  </si>
  <si>
    <t>1 4 JAKE SHIRT</t>
  </si>
  <si>
    <t>IRON  /  CHN WASH</t>
  </si>
  <si>
    <t>MA208TZ0</t>
  </si>
  <si>
    <t>SUPERT JAKE WESTERN SHIRT</t>
  </si>
  <si>
    <t>CQAM</t>
  </si>
  <si>
    <t>CQAM RED ROULETTE</t>
  </si>
  <si>
    <t>ROCCO NO FLAP SE</t>
  </si>
  <si>
    <t>MA350SA1CLSM</t>
  </si>
  <si>
    <t>CQBD</t>
  </si>
  <si>
    <t>CQBD DARK PERCH</t>
  </si>
  <si>
    <t>MA350TR2</t>
  </si>
  <si>
    <t>1/4 SE ROCCO NO FLAP</t>
  </si>
  <si>
    <t>FOG GRAY / BIX FALLING ROCKS</t>
  </si>
  <si>
    <t>ACE / BIX FALLING ROCKS</t>
  </si>
  <si>
    <t>MA350TU5</t>
  </si>
  <si>
    <t>CQEM</t>
  </si>
  <si>
    <t>CQEM WRN UNDRGRND</t>
  </si>
  <si>
    <t>MA350TU6</t>
  </si>
  <si>
    <t>CQFD</t>
  </si>
  <si>
    <t>CQFD SLEEK NIGHT</t>
  </si>
  <si>
    <t>CRFD</t>
  </si>
  <si>
    <t>CRFD WILD NIGHT</t>
  </si>
  <si>
    <t>MA350TX4</t>
  </si>
  <si>
    <t>CRJD</t>
  </si>
  <si>
    <t>CRJD MYSTIC DAWN</t>
  </si>
  <si>
    <t>MA350VO1</t>
  </si>
  <si>
    <t>MA451C006</t>
  </si>
  <si>
    <t>4TH AVE HEADDRESS</t>
  </si>
  <si>
    <t>MA451CS114403</t>
  </si>
  <si>
    <t>MA451CS254403</t>
  </si>
  <si>
    <t>MA451CS57</t>
  </si>
  <si>
    <t>CRAFTED WITH PRIDE PAINTED TEE</t>
  </si>
  <si>
    <t>MA451JS</t>
  </si>
  <si>
    <t>MOCK TWIST CREW NECK</t>
  </si>
  <si>
    <t>FADED OLIVE</t>
  </si>
  <si>
    <t>MA451NP96</t>
  </si>
  <si>
    <t>BLOCK PARTY GRAPHIC</t>
  </si>
  <si>
    <t>MA451RH4</t>
  </si>
  <si>
    <t>SLIM FIT TEE</t>
  </si>
  <si>
    <t>PURPLE VELVET</t>
  </si>
  <si>
    <t>CHILI PEPPER</t>
  </si>
  <si>
    <t>MA451UV4</t>
  </si>
  <si>
    <t>HEATHER CREW</t>
  </si>
  <si>
    <t>MA452XM0</t>
  </si>
  <si>
    <t>CHIEF SS CREW NECK TEE</t>
  </si>
  <si>
    <t>MA473RW8CIUM</t>
  </si>
  <si>
    <t>14 GENO NO FLAP SE</t>
  </si>
  <si>
    <t>MA473RY1BMFD</t>
  </si>
  <si>
    <t>MA473TU5</t>
  </si>
  <si>
    <t>MA473TX4</t>
  </si>
  <si>
    <t>MA577UT7</t>
  </si>
  <si>
    <t>1 4 ROCCO SELVEDGE N FLP</t>
  </si>
  <si>
    <t>DEAN NO FLAP SE</t>
  </si>
  <si>
    <t>MA799VO4</t>
  </si>
  <si>
    <t>CVMD</t>
  </si>
  <si>
    <t>CVMD HYPNOTIC</t>
  </si>
  <si>
    <t>MA801TX4</t>
  </si>
  <si>
    <t>MA801VR2</t>
  </si>
  <si>
    <t>CWIL</t>
  </si>
  <si>
    <t>CWIL PTCHD MTHOD</t>
  </si>
  <si>
    <t>MA806RD3CHTD</t>
  </si>
  <si>
    <t>1 4 RUNNER  1 END 8 SPI</t>
  </si>
  <si>
    <t>1 4 RUNNER W  PRINT 1 END</t>
  </si>
  <si>
    <t>ROCCO MOTO SE</t>
  </si>
  <si>
    <t>SE ROCCO MOTO</t>
  </si>
  <si>
    <t>MA904US1</t>
  </si>
  <si>
    <t>CRGM</t>
  </si>
  <si>
    <t>CRGM ROULETTE</t>
  </si>
  <si>
    <t>MA904VO2</t>
  </si>
  <si>
    <t>CVKL</t>
  </si>
  <si>
    <t>CVKL BRONX</t>
  </si>
  <si>
    <t>MA904VP8</t>
  </si>
  <si>
    <t>CVHM</t>
  </si>
  <si>
    <t>CVHM WRN FLGSTNE</t>
  </si>
  <si>
    <t>MA904WF3</t>
  </si>
  <si>
    <t>SGDB</t>
  </si>
  <si>
    <t>SGDB MDNIGHT BLK</t>
  </si>
  <si>
    <t>MA904WF4</t>
  </si>
  <si>
    <t>DEAN W/ FLAP SE</t>
  </si>
  <si>
    <t>1 2 MICK NO FLAP SE</t>
  </si>
  <si>
    <t>GENO NO FLAP BIG QT</t>
  </si>
  <si>
    <t>ROCCO RELAXED SKINNY 34</t>
  </si>
  <si>
    <t>ROCCO NO FLAP SUPER T</t>
  </si>
  <si>
    <t>MB008VE0</t>
  </si>
  <si>
    <t>HEATHER GREY/VINTAGE RED</t>
  </si>
  <si>
    <t>MB008VE0E</t>
  </si>
  <si>
    <t>JET BLACK/MILITARY GREEN</t>
  </si>
  <si>
    <t>VINTAGE RED/BLACK</t>
  </si>
  <si>
    <t>MB008VE0P</t>
  </si>
  <si>
    <t>MB008WP7</t>
  </si>
  <si>
    <t>LOGO ZIP UP HOODIE</t>
  </si>
  <si>
    <t>16M1</t>
  </si>
  <si>
    <t>MB009RG3</t>
  </si>
  <si>
    <t>WIDE LEG SWEAT PANT1</t>
  </si>
  <si>
    <t>MB009SV64100</t>
  </si>
  <si>
    <t>MB009VE0E</t>
  </si>
  <si>
    <t>MB011RJ91254</t>
  </si>
  <si>
    <t>L S WESTERN SHIRT</t>
  </si>
  <si>
    <t>MB011RN06003</t>
  </si>
  <si>
    <t>MB0185N</t>
  </si>
  <si>
    <t>LONS SLEEVE HOODIE W APPLIQUE</t>
  </si>
  <si>
    <t>MB031VR7</t>
  </si>
  <si>
    <t>GENO W FLAP ROPESTITCH</t>
  </si>
  <si>
    <t>MB078TY1</t>
  </si>
  <si>
    <t>TROOPER CARGO SHORT BIG T</t>
  </si>
  <si>
    <t>BLACK / CNE WASH</t>
  </si>
  <si>
    <t>WHITE / CNE WASH</t>
  </si>
  <si>
    <t>NAVY/ CNE WASH</t>
  </si>
  <si>
    <t>RED / CNE WASH</t>
  </si>
  <si>
    <t>MB078VO8</t>
  </si>
  <si>
    <t>CWE</t>
  </si>
  <si>
    <t>MB078VR8</t>
  </si>
  <si>
    <t>ISAAC CARGO SHORT</t>
  </si>
  <si>
    <t>CWR CHARCOAL</t>
  </si>
  <si>
    <t>CWR WHITE</t>
  </si>
  <si>
    <t>CWR INCENSE</t>
  </si>
  <si>
    <t>CWR COBALT</t>
  </si>
  <si>
    <t>CWR VINTAGE RED</t>
  </si>
  <si>
    <t>MB078VS4</t>
  </si>
  <si>
    <t>ISAAC TROOPER CARGO</t>
  </si>
  <si>
    <t>CWF SNOW CAMO</t>
  </si>
  <si>
    <t>MB085VO8</t>
  </si>
  <si>
    <t>DEAN CARGO SHORT BIG T</t>
  </si>
  <si>
    <t>SS SINGLE POCKET TEE</t>
  </si>
  <si>
    <t>MB157RH4</t>
  </si>
  <si>
    <t>HENLEY</t>
  </si>
  <si>
    <t>MB170WK1</t>
  </si>
  <si>
    <t>SHORT SLEEVE WESTERN SHIRT</t>
  </si>
  <si>
    <t>YELLOW / BLUE PLAID</t>
  </si>
  <si>
    <t>MB179NP102</t>
  </si>
  <si>
    <t>INDIGO TANK</t>
  </si>
  <si>
    <t>MB216TT0</t>
  </si>
  <si>
    <t>CQHD</t>
  </si>
  <si>
    <t>CQHD BLACK NIGHT</t>
  </si>
  <si>
    <t>MB216UJ1</t>
  </si>
  <si>
    <t>MICK SLOUCH NO FLAP SE</t>
  </si>
  <si>
    <t>MICK NO FLAP SE</t>
  </si>
  <si>
    <t>MICK SLOUCHY NO FLAP SE</t>
  </si>
  <si>
    <t>MB252TU5</t>
  </si>
  <si>
    <t>MB252TU6</t>
  </si>
  <si>
    <t>MB252VO1</t>
  </si>
  <si>
    <t>MB253TR8</t>
  </si>
  <si>
    <t>CPUM</t>
  </si>
  <si>
    <t>CPUM SILVER EDGE</t>
  </si>
  <si>
    <t>CQPL</t>
  </si>
  <si>
    <t>CQPL GREY EDGE</t>
  </si>
  <si>
    <t>1 4 GENO SELVEDGE N FLP</t>
  </si>
  <si>
    <t>1 2 GENO W FLAP BIG T</t>
  </si>
  <si>
    <t>MB347RH7</t>
  </si>
  <si>
    <t>MB359CS35</t>
  </si>
  <si>
    <t>BUDDHA PKT TEE GRAPHIC</t>
  </si>
  <si>
    <t>RICKY SHORT WITH FLAP BIGT</t>
  </si>
  <si>
    <t>MC087VO0</t>
  </si>
  <si>
    <t>RICKY W FLAP SHORT SE</t>
  </si>
  <si>
    <t>MC087VQ0</t>
  </si>
  <si>
    <t>RICKY SHORT W FLAP SE</t>
  </si>
  <si>
    <t>MC087VQ2</t>
  </si>
  <si>
    <t>WASHED BLACK CHN WASH</t>
  </si>
  <si>
    <t>OLD GREY CHN WASH</t>
  </si>
  <si>
    <t>NAVY CHN WASH</t>
  </si>
  <si>
    <t>VINTAGE RED CHN WASH</t>
  </si>
  <si>
    <t>MC087XL8</t>
  </si>
  <si>
    <t>RICKY W FLAP SHORT SUPER T</t>
  </si>
  <si>
    <t>ST WASH BLACK</t>
  </si>
  <si>
    <t>ST WASH STRAW</t>
  </si>
  <si>
    <t>SLEEVELESS JIMMY VEST</t>
  </si>
  <si>
    <t>MC088VO9</t>
  </si>
  <si>
    <t>JIMMY VEST SUPER T</t>
  </si>
  <si>
    <t>MC088VQ0</t>
  </si>
  <si>
    <t>JIMMY VEST SE</t>
  </si>
  <si>
    <t>MC126VS1</t>
  </si>
  <si>
    <t>RICKY SHORT NO FLAP SE</t>
  </si>
  <si>
    <t>MC145UZ6</t>
  </si>
  <si>
    <t>STRIPED SS HENLEY</t>
  </si>
  <si>
    <t>BONDI BLUE W/GOLDENROD STRIPES</t>
  </si>
  <si>
    <t>NAVY W/VINTAGE RED STRIPES</t>
  </si>
  <si>
    <t>MC160RJ16003</t>
  </si>
  <si>
    <t>MC160VE0</t>
  </si>
  <si>
    <t>MARKER HOODIE</t>
  </si>
  <si>
    <t>MC290TZ7</t>
  </si>
  <si>
    <t>WASHED LAMBSKIN MOTO</t>
  </si>
  <si>
    <t>MC301TJ6</t>
  </si>
  <si>
    <t>MC301VE2</t>
  </si>
  <si>
    <t>1 2 GENO NO FLAP BIG T</t>
  </si>
  <si>
    <t>SHAMROCK</t>
  </si>
  <si>
    <t>COBALT</t>
  </si>
  <si>
    <t>MC342TL1</t>
  </si>
  <si>
    <t>FUNNEL NECK PRINTED CAMO SWTR</t>
  </si>
  <si>
    <t>PURPLE VELVET CAMO PRINT</t>
  </si>
  <si>
    <t>1 2 DANNYJACKET BIG T</t>
  </si>
  <si>
    <t>CJGD RBL CRUSH RED</t>
  </si>
  <si>
    <t>MC353CS32</t>
  </si>
  <si>
    <t>MULTI FLOCK PRINT W PATCHES</t>
  </si>
  <si>
    <t>MC353CS34</t>
  </si>
  <si>
    <t>BUDDHA GRAPHIC</t>
  </si>
  <si>
    <t>MC353CS37</t>
  </si>
  <si>
    <t>EMBROIDERY BUDDHA</t>
  </si>
  <si>
    <t>MC353CS40</t>
  </si>
  <si>
    <t>DEBOSSED GRAPHIC</t>
  </si>
  <si>
    <t>MC353JC44</t>
  </si>
  <si>
    <t>BUDDHA TAPE CREW</t>
  </si>
  <si>
    <t>MC353JC811</t>
  </si>
  <si>
    <t>DISTRESSED GRAPHIC</t>
  </si>
  <si>
    <t>MC353NP024403</t>
  </si>
  <si>
    <t>MC353NP103</t>
  </si>
  <si>
    <t>STENCEL GRAPHIC</t>
  </si>
  <si>
    <t>MC353NP54</t>
  </si>
  <si>
    <t>HEADDRESS GRAPHIC</t>
  </si>
  <si>
    <t>MC353NP58</t>
  </si>
  <si>
    <t>GOTHIC SPIRAL GRAPHIC</t>
  </si>
  <si>
    <t>MC353NP59</t>
  </si>
  <si>
    <t>PUFF SKULL GRAPHIC</t>
  </si>
  <si>
    <t>CHILI RED</t>
  </si>
  <si>
    <t>MC353NP60</t>
  </si>
  <si>
    <t>DISTRESS PULL PANEL GRAPHIC</t>
  </si>
  <si>
    <t>MC353NP62</t>
  </si>
  <si>
    <t>DENIM AND GOODS GRAPHIC</t>
  </si>
  <si>
    <t>MC353NP64</t>
  </si>
  <si>
    <t>OLD ENGLISH PRINTED POCKET TEE</t>
  </si>
  <si>
    <t>MC353NP89</t>
  </si>
  <si>
    <t>MARKER GRAPHIC</t>
  </si>
  <si>
    <t>MC353SY8</t>
  </si>
  <si>
    <t>HIGH CLASS FADE GRAPHIC</t>
  </si>
  <si>
    <t>MC353TS35</t>
  </si>
  <si>
    <t>CAMO TR APPLIQUE</t>
  </si>
  <si>
    <t>MC353TS37</t>
  </si>
  <si>
    <t>LINEAR GRAPHIC</t>
  </si>
  <si>
    <t>MC353TS44</t>
  </si>
  <si>
    <t>UNIVERSITY OF TR GRAPHIC</t>
  </si>
  <si>
    <t>MC353TS59</t>
  </si>
  <si>
    <t>CONCERT SUBLIMATION GRAPHIC</t>
  </si>
  <si>
    <t>MC353TS67</t>
  </si>
  <si>
    <t>ALL OVER CAMO PRINT</t>
  </si>
  <si>
    <t>FADED OLIVE CAMO</t>
  </si>
  <si>
    <t>MC353TS68</t>
  </si>
  <si>
    <t>TEXTART GRAPHIC</t>
  </si>
  <si>
    <t>MC385VE0</t>
  </si>
  <si>
    <t>EXPOSED ZIP SWEATPANT</t>
  </si>
  <si>
    <t>SE GENO MOTO</t>
  </si>
  <si>
    <t>MC408SQ9</t>
  </si>
  <si>
    <t>GENO MOTO SE</t>
  </si>
  <si>
    <t>BLACK CNF WASH</t>
  </si>
  <si>
    <t>IRON CNF WASH</t>
  </si>
  <si>
    <t>WHITE CNF WASH</t>
  </si>
  <si>
    <t>MC408US4</t>
  </si>
  <si>
    <t>CQTD</t>
  </si>
  <si>
    <t>CQTD RUNNING WLD</t>
  </si>
  <si>
    <t>MC428TF2</t>
  </si>
  <si>
    <t>LEATHER RACER JACKET</t>
  </si>
  <si>
    <t>MC429TF4</t>
  </si>
  <si>
    <t>COLLEGIATE MOLESKIN JACKET</t>
  </si>
  <si>
    <t>MC429TJ0</t>
  </si>
  <si>
    <t>COLLEGIATE CAMO DENIM JACKET</t>
  </si>
  <si>
    <t>MC431TF1</t>
  </si>
  <si>
    <t>REFLECTIVE MOTO JACKET</t>
  </si>
  <si>
    <t>MC443TF5</t>
  </si>
  <si>
    <t>DENIM/PLAID WORKWEAR SHIRT</t>
  </si>
  <si>
    <t>DENIM/BAYBERRY PLAID</t>
  </si>
  <si>
    <t>MC443TF6</t>
  </si>
  <si>
    <t>DENIM CAMO WORKWEAR SHIRT</t>
  </si>
  <si>
    <t>DENIM/PURPLE CAMO</t>
  </si>
  <si>
    <t>MC443TG8</t>
  </si>
  <si>
    <t>DENIM/JET BLACK PLAID</t>
  </si>
  <si>
    <t>MC443US5</t>
  </si>
  <si>
    <t>TRIPLE NEEDLE  WORKWEAR SHIRT</t>
  </si>
  <si>
    <t>MC443UV0</t>
  </si>
  <si>
    <t>VELVETEEN WORKWEAR SHIRT</t>
  </si>
  <si>
    <t>TAWNY PORT</t>
  </si>
  <si>
    <t>MC444TG7</t>
  </si>
  <si>
    <t>PLAID WESTERN SHIRT</t>
  </si>
  <si>
    <t>ACE PLAID</t>
  </si>
  <si>
    <t>MC444TH3</t>
  </si>
  <si>
    <t>DIP DYE PLAID WESTERN SHIRT</t>
  </si>
  <si>
    <t>MC444TJ3</t>
  </si>
  <si>
    <t>SAFFRON PLAID</t>
  </si>
  <si>
    <t>MC444US5</t>
  </si>
  <si>
    <t>NEW WESTERN SHIRT</t>
  </si>
  <si>
    <t>MC444UZ9</t>
  </si>
  <si>
    <t>SHAMROCK PLAID</t>
  </si>
  <si>
    <t>MC444WK2</t>
  </si>
  <si>
    <t>BLUE PLAID</t>
  </si>
  <si>
    <t>MC445TF9</t>
  </si>
  <si>
    <t>LS MOTO CREW</t>
  </si>
  <si>
    <t>MC446UI3</t>
  </si>
  <si>
    <t>COATED MOTO HOODIE</t>
  </si>
  <si>
    <t>MC447UI3</t>
  </si>
  <si>
    <t>COATED MOTO PANT</t>
  </si>
  <si>
    <t>MC448RK5</t>
  </si>
  <si>
    <t>MC449RK5</t>
  </si>
  <si>
    <t>RUNNER</t>
  </si>
  <si>
    <t>MC449TJ6</t>
  </si>
  <si>
    <t>DROP CROTCH SWEATPANT</t>
  </si>
  <si>
    <t>MC449VE2</t>
  </si>
  <si>
    <t>MC450RK5</t>
  </si>
  <si>
    <t>MARLED HOODIE</t>
  </si>
  <si>
    <t>HEATHER GREY / JET BLACK</t>
  </si>
  <si>
    <t>MC451RK5</t>
  </si>
  <si>
    <t>MARLED BLOCK PANT</t>
  </si>
  <si>
    <t>MC452TG2</t>
  </si>
  <si>
    <t>MC453TG2</t>
  </si>
  <si>
    <t>SLIM SWEAT PANT</t>
  </si>
  <si>
    <t>MC454TG6</t>
  </si>
  <si>
    <t>UTILITY FIELD JACKET</t>
  </si>
  <si>
    <t>MC455TQ8</t>
  </si>
  <si>
    <t>ZIP THROUGH SWEATER W LEATHER</t>
  </si>
  <si>
    <t>MC458TG5</t>
  </si>
  <si>
    <t>CHILI PEPPER PLAID</t>
  </si>
  <si>
    <t>MC4609F</t>
  </si>
  <si>
    <t>EXPOSED ZIP SWEATPANTS</t>
  </si>
  <si>
    <t>SNOW CAMO</t>
  </si>
  <si>
    <t>MC460UT7</t>
  </si>
  <si>
    <t>MC4619F</t>
  </si>
  <si>
    <t>FUNNEL ZIP PULLOVER</t>
  </si>
  <si>
    <t>MC461UT7</t>
  </si>
  <si>
    <t>MC463UT7</t>
  </si>
  <si>
    <t>EDGE ZIP SWEATPANT</t>
  </si>
  <si>
    <t>MC464VI0</t>
  </si>
  <si>
    <t>SWEATSHIRT W  DBLE KNIT RIB</t>
  </si>
  <si>
    <t>MC464WR7</t>
  </si>
  <si>
    <t>INDIGO SWEATSHIRT</t>
  </si>
  <si>
    <t>MC465RG3</t>
  </si>
  <si>
    <t>PULL OVER RAGLAN W SHIRT TAIL</t>
  </si>
  <si>
    <t>MC466RG3</t>
  </si>
  <si>
    <t>DROP CROTCH SWEATPANTS</t>
  </si>
  <si>
    <t>MC467CS58</t>
  </si>
  <si>
    <t>LONG SLEEVE GRAPHIC TEE</t>
  </si>
  <si>
    <t>MC467TS43</t>
  </si>
  <si>
    <t>MC467TS43H</t>
  </si>
  <si>
    <t>MC468TF4</t>
  </si>
  <si>
    <t>COLLEGIATE MOLESKIN VEST</t>
  </si>
  <si>
    <t>ACE / WHITE</t>
  </si>
  <si>
    <t>MC470TU0H</t>
  </si>
  <si>
    <t>THERMAL LONG JOHN</t>
  </si>
  <si>
    <t>MC470VT8</t>
  </si>
  <si>
    <t>MILITARY LONG JOHN</t>
  </si>
  <si>
    <t>WASHED OUT BLACK</t>
  </si>
  <si>
    <t>MC471TU0</t>
  </si>
  <si>
    <t>HEATHERED LS RAGLAN</t>
  </si>
  <si>
    <t>MC519TX4</t>
  </si>
  <si>
    <t>DYLAN JACKET</t>
  </si>
  <si>
    <t>MC519VQ4</t>
  </si>
  <si>
    <t>DYLAN JACKET SE</t>
  </si>
  <si>
    <t>MC528TR2</t>
  </si>
  <si>
    <t>SE TWISTED DEAN NO FLAP</t>
  </si>
  <si>
    <t>FOG GRAY/ BIX FALLING ROCKS</t>
  </si>
  <si>
    <t>MC528TY3</t>
  </si>
  <si>
    <t>MC528TY4</t>
  </si>
  <si>
    <t>TWISTED DEAN NO FLAP SE</t>
  </si>
  <si>
    <t>CRQD</t>
  </si>
  <si>
    <t>CRQD NIGHT DRFTR</t>
  </si>
  <si>
    <t>MC532TF7</t>
  </si>
  <si>
    <t>WESTERN SHIRT JACKET</t>
  </si>
  <si>
    <t>PURPLE VELVET PLAID</t>
  </si>
  <si>
    <t>MC533TF8</t>
  </si>
  <si>
    <t>CAMO PRINT BACK SEAM TEE</t>
  </si>
  <si>
    <t>GREY CAMO</t>
  </si>
  <si>
    <t>MC534RG3</t>
  </si>
  <si>
    <t>LS ZIP FRONT HOODIE</t>
  </si>
  <si>
    <t>MC539UV3</t>
  </si>
  <si>
    <t>GYM SHORT</t>
  </si>
  <si>
    <t>MC546TX0</t>
  </si>
  <si>
    <t>GENO STREET MOTO NO FLAP</t>
  </si>
  <si>
    <t>CPVD</t>
  </si>
  <si>
    <t>CPVD CITY DRIFTR</t>
  </si>
  <si>
    <t>MC546US1</t>
  </si>
  <si>
    <t>MC548TS36</t>
  </si>
  <si>
    <t>CAMO POCKET BACK YOKE LS TEE</t>
  </si>
  <si>
    <t>MC557RD1CHTD</t>
  </si>
  <si>
    <t>DYLAN W HOOD</t>
  </si>
  <si>
    <t>MC557TY3</t>
  </si>
  <si>
    <t>MC557TY4</t>
  </si>
  <si>
    <t>1 4 TWISTED GENO NO FLP BIG T</t>
  </si>
  <si>
    <t>MC565CS32</t>
  </si>
  <si>
    <t>ELONGATED TEE W PATCHES</t>
  </si>
  <si>
    <t>MC565CS44</t>
  </si>
  <si>
    <t>BEVELED LOGO GRAPHIC</t>
  </si>
  <si>
    <t>MC565CS49</t>
  </si>
  <si>
    <t>ELONGATED TEE</t>
  </si>
  <si>
    <t>MC565TS39</t>
  </si>
  <si>
    <t>TR SIDEWAYS GRAPHIC</t>
  </si>
  <si>
    <t>MC565TS40</t>
  </si>
  <si>
    <t>02 VARSITY GRAPHIC</t>
  </si>
  <si>
    <t>MC565TS54</t>
  </si>
  <si>
    <t>STARTER</t>
  </si>
  <si>
    <t>MC565TS911001</t>
  </si>
  <si>
    <t>MC565TS91</t>
  </si>
  <si>
    <t>REFLECTIVE MESH TR GRAPHIC</t>
  </si>
  <si>
    <t>MC573TR5</t>
  </si>
  <si>
    <t>GHOST POCKET RYAN SHIRT</t>
  </si>
  <si>
    <t>CQQM</t>
  </si>
  <si>
    <t>CQQM AFTERMATH</t>
  </si>
  <si>
    <t>MC573TX9</t>
  </si>
  <si>
    <t>RYAN WSTN SHIRT BIG T</t>
  </si>
  <si>
    <t>MC573UR1</t>
  </si>
  <si>
    <t>CSZD</t>
  </si>
  <si>
    <t>CSZD EPIC NIGHT</t>
  </si>
  <si>
    <t>MC574VP9</t>
  </si>
  <si>
    <t>BILLY W FLAP ROPESTITCH</t>
  </si>
  <si>
    <t>MC579VP5</t>
  </si>
  <si>
    <t>GENO NO FLAP TRIPLE NEEDLE</t>
  </si>
  <si>
    <t>CVNM</t>
  </si>
  <si>
    <t>CVNM STREET VICE</t>
  </si>
  <si>
    <t>CVOL</t>
  </si>
  <si>
    <t>CVOL MAIN STAGE</t>
  </si>
  <si>
    <t>MC579VP5R</t>
  </si>
  <si>
    <t>GENO NO FLAP TRIPLE NEEDLE 32</t>
  </si>
  <si>
    <t>MC581VP5</t>
  </si>
  <si>
    <t>JIMMY VEST SE TRIPLE NEEDLE</t>
  </si>
  <si>
    <t>MC583TR6</t>
  </si>
  <si>
    <t>1/4 DEAN NO FLAP SE</t>
  </si>
  <si>
    <t>MC583UQ9</t>
  </si>
  <si>
    <t>MC584TR6</t>
  </si>
  <si>
    <t>MC584UQ9</t>
  </si>
  <si>
    <t>MC585TK1</t>
  </si>
  <si>
    <t>NAVY PLAID</t>
  </si>
  <si>
    <t>MC592TJ8</t>
  </si>
  <si>
    <t>REVERSIBLE BOMBER</t>
  </si>
  <si>
    <t>BLACK/VINTAGE RED</t>
  </si>
  <si>
    <t>MC594VT8</t>
  </si>
  <si>
    <t>MC597UT7</t>
  </si>
  <si>
    <t>PULLOVER HOODIE</t>
  </si>
  <si>
    <t>MC598VE1</t>
  </si>
  <si>
    <t>TRACK PANT</t>
  </si>
  <si>
    <t>MC600VE1</t>
  </si>
  <si>
    <t>TRACK JACKET</t>
  </si>
  <si>
    <t>MC601VE2</t>
  </si>
  <si>
    <t>TRIPLE NEEDLE SHORTS</t>
  </si>
  <si>
    <t>MC602VE2</t>
  </si>
  <si>
    <t>MUSCLE PULLOVER HOOD</t>
  </si>
  <si>
    <t>MC603RG3</t>
  </si>
  <si>
    <t>PRINTED RAGLAN CREW</t>
  </si>
  <si>
    <t>MC607RG3</t>
  </si>
  <si>
    <t>RAW EDGE SHORTS</t>
  </si>
  <si>
    <t>MC678UT7</t>
  </si>
  <si>
    <t>MC683VQ2</t>
  </si>
  <si>
    <t>RICKY NO FLAP TRPL NEEDLE</t>
  </si>
  <si>
    <t>CHN WASHED BLACK</t>
  </si>
  <si>
    <t>CHN OLD GREY</t>
  </si>
  <si>
    <t>CHN NAVY</t>
  </si>
  <si>
    <t>CHN VINTAGE RED</t>
  </si>
  <si>
    <t>MC684VQ4</t>
  </si>
  <si>
    <t>MC685VO7</t>
  </si>
  <si>
    <t>CARGO RUNNER SE</t>
  </si>
  <si>
    <t>CWF WASHED BLACK</t>
  </si>
  <si>
    <t>CWF WHITE</t>
  </si>
  <si>
    <t>CWF FADED OLIVE</t>
  </si>
  <si>
    <t>CWF TANGERINE</t>
  </si>
  <si>
    <t>MC685VY0</t>
  </si>
  <si>
    <t>CWF OLIVE CAMO</t>
  </si>
  <si>
    <t>MC687VR8</t>
  </si>
  <si>
    <t>TWISTED TROOPER CARGO BIG T</t>
  </si>
  <si>
    <t>BONDI BLUE</t>
  </si>
  <si>
    <t>MC688VR1</t>
  </si>
  <si>
    <t>MC689VR9</t>
  </si>
  <si>
    <t>DEAN NO FLAP TRIPLE NEEDLE</t>
  </si>
  <si>
    <t>CVRD</t>
  </si>
  <si>
    <t>CVRD BLOCK BRKER</t>
  </si>
  <si>
    <t>MC693VS4</t>
  </si>
  <si>
    <t>PATCHED TROOPER CARGO</t>
  </si>
  <si>
    <t>MC694NQ</t>
  </si>
  <si>
    <t>MILITARY PARKA</t>
  </si>
  <si>
    <t>MC695VX6</t>
  </si>
  <si>
    <t>DENIM TOTE</t>
  </si>
  <si>
    <t>MC696UZ5</t>
  </si>
  <si>
    <t>HENLEY W CHEST POCKET</t>
  </si>
  <si>
    <t>OLD GREY</t>
  </si>
  <si>
    <t>MC704CS50</t>
  </si>
  <si>
    <t>ELONGATED TEE WITH INSERTS</t>
  </si>
  <si>
    <t>MC708NP101</t>
  </si>
  <si>
    <t>PANTHER VS TIGER EMB</t>
  </si>
  <si>
    <t>HEATHER GREY/BLACK</t>
  </si>
  <si>
    <t>MC708NP83</t>
  </si>
  <si>
    <t>TR SNAKE EMB</t>
  </si>
  <si>
    <t>OPTIC WHITE/NAVY</t>
  </si>
  <si>
    <t>MC718VR5</t>
  </si>
  <si>
    <t>MC724VP5</t>
  </si>
  <si>
    <t>RICKY W FLAP TRIPLE NEEDLE</t>
  </si>
  <si>
    <t>MC725VR9</t>
  </si>
  <si>
    <t>MC727CS38</t>
  </si>
  <si>
    <t>LIGHTING TR GRAPHIC</t>
  </si>
  <si>
    <t>MC727TS71</t>
  </si>
  <si>
    <t>BIG BOLTS GRAPHIC</t>
  </si>
  <si>
    <t>MC728VQ9</t>
  </si>
  <si>
    <t>RYAN WESTERN TRIPLE NEEDLE</t>
  </si>
  <si>
    <t>CVPL</t>
  </si>
  <si>
    <t>CVPL DRIVE</t>
  </si>
  <si>
    <t>MC729NP61</t>
  </si>
  <si>
    <t>ENLONGATEDLONG SLEEVE GRAPHIC</t>
  </si>
  <si>
    <t>MC729TS70</t>
  </si>
  <si>
    <t>PATCH APPLIQUE GRAPHIC</t>
  </si>
  <si>
    <t>MC730UT7</t>
  </si>
  <si>
    <t>DENIM TERRY HOODIE</t>
  </si>
  <si>
    <t>MC731UT7</t>
  </si>
  <si>
    <t>DENIM TERRY SWEATPANTS</t>
  </si>
  <si>
    <t>MC748TJ6</t>
  </si>
  <si>
    <t>DISTRESSED SS HOODIE</t>
  </si>
  <si>
    <t>MC748VE2</t>
  </si>
  <si>
    <t>MC749VT8</t>
  </si>
  <si>
    <t>MC760WG4</t>
  </si>
  <si>
    <t>SHIRT JACKET SE</t>
  </si>
  <si>
    <t>DAOD</t>
  </si>
  <si>
    <t>DAOD HERITAGE</t>
  </si>
  <si>
    <t>MC761WG6</t>
  </si>
  <si>
    <t>SS RYAN WSTN SHIRT SE</t>
  </si>
  <si>
    <t>CWAL</t>
  </si>
  <si>
    <t>CWAL RGH CURRENT</t>
  </si>
  <si>
    <t>MC779WA6</t>
  </si>
  <si>
    <t>BIG T STITCH TEE</t>
  </si>
  <si>
    <t>USED BLACK</t>
  </si>
  <si>
    <t>16SM</t>
  </si>
  <si>
    <t>WHITE/DARK ORANGE</t>
  </si>
  <si>
    <t>MC779WN7</t>
  </si>
  <si>
    <t>HTR GREY/SHAMROCK GREEN</t>
  </si>
  <si>
    <t>HTR GREY/NEON GREEN</t>
  </si>
  <si>
    <t>MC790TX5</t>
  </si>
  <si>
    <t>ROCCO NO FLAP ROPESTITCH</t>
  </si>
  <si>
    <t>MC892JS</t>
  </si>
  <si>
    <t>BUDDHA TR SS RAGLAN</t>
  </si>
  <si>
    <t>USED BLACK/NAVY</t>
  </si>
  <si>
    <t>MC894VQ2</t>
  </si>
  <si>
    <t>GENO W FLAP TRPL NEEDLE</t>
  </si>
  <si>
    <t>MC907XQ0</t>
  </si>
  <si>
    <t>TONY NO FLAP SE</t>
  </si>
  <si>
    <t>COKM</t>
  </si>
  <si>
    <t>COKM AUTHNTC IND</t>
  </si>
  <si>
    <t>MC910VP5</t>
  </si>
  <si>
    <t>GENO W FLAP TRIPLE NEEDLE</t>
  </si>
  <si>
    <t>MC911VP9</t>
  </si>
  <si>
    <t>MC912VP7</t>
  </si>
  <si>
    <t>CVSD</t>
  </si>
  <si>
    <t>CVSD STONE STACK</t>
  </si>
  <si>
    <t>RICKY STRT W FLAP CORDUROY</t>
  </si>
  <si>
    <t>MCZ859BJ91106</t>
  </si>
  <si>
    <t>MCZ859EL</t>
  </si>
  <si>
    <t>STRAIGHT WFLPS  BASIC  DENIM</t>
  </si>
  <si>
    <t>CMX CHARCOAL</t>
  </si>
  <si>
    <t>MCZ859EM</t>
  </si>
  <si>
    <t>STRAIGHT W/FLAP</t>
  </si>
  <si>
    <t>CMX BLUE</t>
  </si>
  <si>
    <t>MCZ859TT9</t>
  </si>
  <si>
    <t>STRAIGHT W/FLP BIG T WHPSTCH</t>
  </si>
  <si>
    <t>STRAIGHT WFLAPS SUPER T</t>
  </si>
  <si>
    <t>MDE859UT2</t>
  </si>
  <si>
    <t>STR  FLP TAN OR SPR T</t>
  </si>
  <si>
    <t>BODM</t>
  </si>
  <si>
    <t>BODM CTY SHADOWS</t>
  </si>
  <si>
    <t>MDEC348Y9</t>
  </si>
  <si>
    <t>MDEH54ZTS</t>
  </si>
  <si>
    <t>OVERDYE GENO 34</t>
  </si>
  <si>
    <t>OVERDYE  GENO 34</t>
  </si>
  <si>
    <t>GENO NO FLAP</t>
  </si>
  <si>
    <t>1 2 GENO W  FLAP SE</t>
  </si>
  <si>
    <t>1 2 GENO W  FLAP SUPER T</t>
  </si>
  <si>
    <t>ME08NQN01200</t>
  </si>
  <si>
    <t>GENO W FLAP SE</t>
  </si>
  <si>
    <t>1 2 GENO W FLAP SUPER T</t>
  </si>
  <si>
    <t>ME08NRY5CJCD</t>
  </si>
  <si>
    <t>1 2 GENO W FLAP SE</t>
  </si>
  <si>
    <t>ME08NTS0</t>
  </si>
  <si>
    <t>ME08NTS8</t>
  </si>
  <si>
    <t>JET / CNG WASH</t>
  </si>
  <si>
    <t>ACE / CNG WASH</t>
  </si>
  <si>
    <t>TAWNY PORT/ CNG WASH</t>
  </si>
  <si>
    <t>ME08NTU7</t>
  </si>
  <si>
    <t>ME08NTW5</t>
  </si>
  <si>
    <t>ME08NTW8</t>
  </si>
  <si>
    <t>ME08NTX8</t>
  </si>
  <si>
    <t>GENO W FLAP BIG T</t>
  </si>
  <si>
    <t>BLACK/ CHILI PEPPER CNN WASH</t>
  </si>
  <si>
    <t>ME08NTY9</t>
  </si>
  <si>
    <t>ME08NUQ8</t>
  </si>
  <si>
    <t>GENO WITH FLAP SUPER T</t>
  </si>
  <si>
    <t>ME08NVO0</t>
  </si>
  <si>
    <t>ME08NVO1</t>
  </si>
  <si>
    <t>ME08NVO6</t>
  </si>
  <si>
    <t>ME08NVQ0</t>
  </si>
  <si>
    <t>ME08NVQ3</t>
  </si>
  <si>
    <t>ME08NVQ5</t>
  </si>
  <si>
    <t>CWDL</t>
  </si>
  <si>
    <t>CWDL WHT RAPIDS</t>
  </si>
  <si>
    <t>ME08NVR1</t>
  </si>
  <si>
    <t>ME08NVR3</t>
  </si>
  <si>
    <t>ME08NVR4</t>
  </si>
  <si>
    <t>ME08NVZ3</t>
  </si>
  <si>
    <t>ME08NWH6</t>
  </si>
  <si>
    <t>ME08NXL3</t>
  </si>
  <si>
    <t>ME08NXL7</t>
  </si>
  <si>
    <t>RICKY W FLAP BIG QT</t>
  </si>
  <si>
    <t>MECC088OA7CETM</t>
  </si>
  <si>
    <t>MECC408NA2</t>
  </si>
  <si>
    <t>GENO RELAXED SLIM MOTO</t>
  </si>
  <si>
    <t>GENO W FLAP  SUPER T</t>
  </si>
  <si>
    <t>ROCCO NO FLAP  SUPER T</t>
  </si>
  <si>
    <t>ROCCO NO FLAP BIG QT</t>
  </si>
  <si>
    <t>QUICK FADE DENIM DEAN NF 32</t>
  </si>
  <si>
    <t>QUICK FADE SHRT RICKY SHRT W F</t>
  </si>
  <si>
    <t>MET859BJ9</t>
  </si>
  <si>
    <t>BASIC STRAIGHT W/FLAPS</t>
  </si>
  <si>
    <t>CNJD BLACK SMOKE</t>
  </si>
  <si>
    <t>MET859NBT</t>
  </si>
  <si>
    <t>STRAIGHT W FLAPS BIG T</t>
  </si>
  <si>
    <t>CMVL</t>
  </si>
  <si>
    <t>CMVL GOLD SPRING</t>
  </si>
  <si>
    <t>CMWD</t>
  </si>
  <si>
    <t>CMWD KINGS ISLND</t>
  </si>
  <si>
    <t>MET859STS</t>
  </si>
  <si>
    <t>STRAIGHT CUT OFF W FLAP</t>
  </si>
  <si>
    <t>COHL</t>
  </si>
  <si>
    <t>COHL GREY DOG</t>
  </si>
  <si>
    <t>METE08ZTS</t>
  </si>
  <si>
    <t>BASIC SLIM W/FLAPS</t>
  </si>
  <si>
    <t>MONOGRAM S S CREW NECK</t>
  </si>
  <si>
    <t>09 ONYXW RUBY RED</t>
  </si>
  <si>
    <t>ROCCO WITH FLAP SE</t>
  </si>
  <si>
    <t>MH54NRZ8CJJD</t>
  </si>
  <si>
    <t>1 2 ROCCO W FLAP SE</t>
  </si>
  <si>
    <t>MH54NTU7</t>
  </si>
  <si>
    <t>MH54NVZ4</t>
  </si>
  <si>
    <t>ROCCO W FLAP SE</t>
  </si>
  <si>
    <t>MH54NXL2</t>
  </si>
  <si>
    <t>DK GREY MIDNIGHT SUPER T ROCCO</t>
  </si>
  <si>
    <t>MHUB103SC1</t>
  </si>
  <si>
    <t>TR CO RAGLAN HOODIE</t>
  </si>
  <si>
    <t>OATMEAL/VINT RED</t>
  </si>
  <si>
    <t>MHUB103UW0</t>
  </si>
  <si>
    <t>TR WOOD TYPE HOODIE</t>
  </si>
  <si>
    <t>HEATHER GRY/NAVY</t>
  </si>
  <si>
    <t>MHUB104SC2</t>
  </si>
  <si>
    <t>TR CO PANT SWEATPANT</t>
  </si>
  <si>
    <t>MHUB129UV8</t>
  </si>
  <si>
    <t>BASIC HOODIE W PRINT FLOCK</t>
  </si>
  <si>
    <t>15F2</t>
  </si>
  <si>
    <t>MHUB129VF3</t>
  </si>
  <si>
    <t>BASIC HOODIE</t>
  </si>
  <si>
    <t>MHUB130UV9</t>
  </si>
  <si>
    <t>BASIC SWEATPANT W PRINT FLOCK</t>
  </si>
  <si>
    <t>MHUB130UW1</t>
  </si>
  <si>
    <t>TR WOOD TYPE PANT</t>
  </si>
  <si>
    <t>MHUB130VF4</t>
  </si>
  <si>
    <t>BASIC SWEATPANT</t>
  </si>
  <si>
    <t>MHUB130VV5</t>
  </si>
  <si>
    <t>TR BASIC SWT PNT SWT PNT</t>
  </si>
  <si>
    <t>MHUB239QX9</t>
  </si>
  <si>
    <t>VARSITY BUDDHA PANT W FLEECE</t>
  </si>
  <si>
    <t>MHUB295WL1</t>
  </si>
  <si>
    <t>JGR SWTPNT JGR SWTPNT</t>
  </si>
  <si>
    <t>MHUB297WL0</t>
  </si>
  <si>
    <t>LTRMNS JKT LTRMNS JKT</t>
  </si>
  <si>
    <t>MHUB325VU8</t>
  </si>
  <si>
    <t>BUDHA PLOVR PLOVR HOODIE</t>
  </si>
  <si>
    <t>MI28U24SY4</t>
  </si>
  <si>
    <t>CUT OUT S/S CREW NECK TEE</t>
  </si>
  <si>
    <t>MI28U24TD0</t>
  </si>
  <si>
    <t>TRUE DEFENSE SS CREW NECK TEE</t>
  </si>
  <si>
    <t>MI28U24UM2</t>
  </si>
  <si>
    <t>BUDDHA COURT S S CREW</t>
  </si>
  <si>
    <t>MI28U24UM4</t>
  </si>
  <si>
    <t>TR SOPHMORE S S FOOTBALL CREW</t>
  </si>
  <si>
    <t>MI28U24UW4</t>
  </si>
  <si>
    <t>TR SPORT TEE SS CREW</t>
  </si>
  <si>
    <t>MI28U24VY7</t>
  </si>
  <si>
    <t>SS CREW HORSESHOE DEPT</t>
  </si>
  <si>
    <t>MI2A595SY1</t>
  </si>
  <si>
    <t>TRUE SHOCKER S/S RAGLAN</t>
  </si>
  <si>
    <t>OFF WHITE / FADED ROYAL BLUE</t>
  </si>
  <si>
    <t>MI2A595TC9</t>
  </si>
  <si>
    <t>STREET LEAGUE S S RAGLAN</t>
  </si>
  <si>
    <t>ASH / NAVY</t>
  </si>
  <si>
    <t>MI2A595VC6</t>
  </si>
  <si>
    <t>ALL CITY BASEBALL RAGLAN</t>
  </si>
  <si>
    <t>ASH/HEATHER GREY</t>
  </si>
  <si>
    <t>HEATHER GREY/MOONLIGHT BLUE</t>
  </si>
  <si>
    <t>MI2A595VF2</t>
  </si>
  <si>
    <t>ALLEY OOP SS RAGLAN</t>
  </si>
  <si>
    <t>BLACK /  HEATHER GREY</t>
  </si>
  <si>
    <t>MI2A595VY5</t>
  </si>
  <si>
    <t>LETS PLAY RAGLAN SLEEVE</t>
  </si>
  <si>
    <t>JET BLACK/RUBY RED</t>
  </si>
  <si>
    <t>MJ19NRD01200</t>
  </si>
  <si>
    <t>1 2 GENO 1 END 8 SPI</t>
  </si>
  <si>
    <t>MJ19NRX2</t>
  </si>
  <si>
    <t>GENO NO FLAP SUPER T</t>
  </si>
  <si>
    <t>1 2 GENO NO FLAP SUPER T</t>
  </si>
  <si>
    <t>1 2 GENO NO FLAP SE</t>
  </si>
  <si>
    <t>MJ19NTR3</t>
  </si>
  <si>
    <t>MJ19NTR8</t>
  </si>
  <si>
    <t>MJ19NTS4</t>
  </si>
  <si>
    <t>MJ19NTU1</t>
  </si>
  <si>
    <t>MJ19NTU4</t>
  </si>
  <si>
    <t>MJ19NTU9</t>
  </si>
  <si>
    <t>CPXD</t>
  </si>
  <si>
    <t>CPXD IND HGHLGHTS</t>
  </si>
  <si>
    <t>MJ19NTW5</t>
  </si>
  <si>
    <t>MJ19NTX8</t>
  </si>
  <si>
    <t>BLACK/DK. PURPLE / CNN WASH</t>
  </si>
  <si>
    <t>BLACK/ CHILI PEPPER CND WASH</t>
  </si>
  <si>
    <t>MJ19NTY6</t>
  </si>
  <si>
    <t>CPWD</t>
  </si>
  <si>
    <t>CPWD GLDN HGHLTS</t>
  </si>
  <si>
    <t>MJ19NUN9</t>
  </si>
  <si>
    <t>MJ19NVO6</t>
  </si>
  <si>
    <t>MJ19NVP3</t>
  </si>
  <si>
    <t>MJ19NVP6</t>
  </si>
  <si>
    <t>MJ19NVQ6</t>
  </si>
  <si>
    <t>MJ19NVR4</t>
  </si>
  <si>
    <t>MJ19NVZ3</t>
  </si>
  <si>
    <t>MJ19NXL2</t>
  </si>
  <si>
    <t>MJ19NXL6</t>
  </si>
  <si>
    <t>MJ19NXP1</t>
  </si>
  <si>
    <t>MJ60NRW7CIWD</t>
  </si>
  <si>
    <t>1 2 ROCCO NO FLAP SE</t>
  </si>
  <si>
    <t>MJ60NTR8</t>
  </si>
  <si>
    <t>MJ60NTS8</t>
  </si>
  <si>
    <t>MJ60NTS9</t>
  </si>
  <si>
    <t>MJ60NTW8</t>
  </si>
  <si>
    <t>MJ60NTW9</t>
  </si>
  <si>
    <t>MJ60NTY8</t>
  </si>
  <si>
    <t>12 ROCCO NO FLAP SUPER T</t>
  </si>
  <si>
    <t>MJ60NU06</t>
  </si>
  <si>
    <t>MJ60NVP4</t>
  </si>
  <si>
    <t>MJ60NVP6</t>
  </si>
  <si>
    <t>MJ60NVP6R</t>
  </si>
  <si>
    <t>ROCCO NO FLAP SE 32 INSEAM</t>
  </si>
  <si>
    <t>MJ60NVQ8</t>
  </si>
  <si>
    <t>MJ60NVR1</t>
  </si>
  <si>
    <t>ROCCO NO  FLAP SE</t>
  </si>
  <si>
    <t>MJ60NVS2</t>
  </si>
  <si>
    <t>MJ60NWK3</t>
  </si>
  <si>
    <t>DALD</t>
  </si>
  <si>
    <t>DALD DK PASSAGE</t>
  </si>
  <si>
    <t>MJA800OMM</t>
  </si>
  <si>
    <t>STRAIGHT OM SN</t>
  </si>
  <si>
    <t>CDJM</t>
  </si>
  <si>
    <t>CDJM BROKEN ROAD</t>
  </si>
  <si>
    <t>MJA800TS</t>
  </si>
  <si>
    <t>STRAIGHT NAT SN</t>
  </si>
  <si>
    <t>CNUL</t>
  </si>
  <si>
    <t>CNUL BLUE TYPHOON</t>
  </si>
  <si>
    <t>MJA800Y9</t>
  </si>
  <si>
    <t>STRAIGHT RED ORA SN</t>
  </si>
  <si>
    <t>COFM</t>
  </si>
  <si>
    <t>COFM DEEP WATER</t>
  </si>
  <si>
    <t>MJA858TS</t>
  </si>
  <si>
    <t>BOOTCUT W/FLAP NAT SN</t>
  </si>
  <si>
    <t>COEM</t>
  </si>
  <si>
    <t>COEM NRTHRN CHIL</t>
  </si>
  <si>
    <t>MJA858Y9</t>
  </si>
  <si>
    <t>BOOTCUT RED ORA SN</t>
  </si>
  <si>
    <t>CRYD</t>
  </si>
  <si>
    <t>CRYD MUD SLINGER</t>
  </si>
  <si>
    <t>MJA859EY4</t>
  </si>
  <si>
    <t>STRAIGHT W FLAPS NAT MEGA T</t>
  </si>
  <si>
    <t>MJA859M60</t>
  </si>
  <si>
    <t>STRAIGHT W FLAPS RED ORA BIG T</t>
  </si>
  <si>
    <t>MJA859OMW</t>
  </si>
  <si>
    <t>STRAIGHT W FLAPS OMW SN</t>
  </si>
  <si>
    <t>CDWL</t>
  </si>
  <si>
    <t>CDWL GAMBLRS DRM</t>
  </si>
  <si>
    <t>MJA859SH9</t>
  </si>
  <si>
    <t>STRAIGHT WFLAPS A/O EART BIG T</t>
  </si>
  <si>
    <t>COGL</t>
  </si>
  <si>
    <t>COGL HYPER FANG</t>
  </si>
  <si>
    <t>MJA859Y9</t>
  </si>
  <si>
    <t>STRAIGHT WFLAP RED ORA SN</t>
  </si>
  <si>
    <t>CMXL</t>
  </si>
  <si>
    <t>CMXL OWL STATION</t>
  </si>
  <si>
    <t>MJAE08ZNBT</t>
  </si>
  <si>
    <t>SLIM W FLAPS ALLOVER NAT BIG T</t>
  </si>
  <si>
    <t>MJAH54ZTT7</t>
  </si>
  <si>
    <t>SKINNY W FLAP BIG T</t>
  </si>
  <si>
    <t>RICKY NO FLAP SE</t>
  </si>
  <si>
    <t>RELAXED DEAN NO FLAP SE</t>
  </si>
  <si>
    <t>MJM8036B93</t>
  </si>
  <si>
    <t>DOUBLE PUFF CREW NECK SHIRT</t>
  </si>
  <si>
    <t>MJM8U24SK5</t>
  </si>
  <si>
    <t>VARSITY BLOCK S/S CREW NECK T</t>
  </si>
  <si>
    <t>MJM8U24SK7</t>
  </si>
  <si>
    <t>EST  VARSITY S S CREW</t>
  </si>
  <si>
    <t>MJM8U24SL1</t>
  </si>
  <si>
    <t>FIRST STRING S S CREW NECK TEE</t>
  </si>
  <si>
    <t>MJM8U24SR3</t>
  </si>
  <si>
    <t>BASIC U S/S CREW</t>
  </si>
  <si>
    <t>MJM8U24SY3</t>
  </si>
  <si>
    <t>TRUE STATE S/S CREW NECK TEE</t>
  </si>
  <si>
    <t>MJM8U24SY4</t>
  </si>
  <si>
    <t>CUT OUT SS CREW NECK TEE</t>
  </si>
  <si>
    <t>MJM8U24SY6</t>
  </si>
  <si>
    <t>TRUE SPORT S/S CREW</t>
  </si>
  <si>
    <t>MJM8U24TC7</t>
  </si>
  <si>
    <t>BRAND STACK SS CREW TEE</t>
  </si>
  <si>
    <t>MJM8U24TD0</t>
  </si>
  <si>
    <t>TRUE DEFENSE S S CREW NECK TEE</t>
  </si>
  <si>
    <t>MJM8U24TD1</t>
  </si>
  <si>
    <t>UPFRONT BUDDHA CREW NECK TEE</t>
  </si>
  <si>
    <t>MJM8U24UW3</t>
  </si>
  <si>
    <t>CRACKED HORSESHOE S S CREW</t>
  </si>
  <si>
    <t>MJM8U24UW5</t>
  </si>
  <si>
    <t>TR S S CREW</t>
  </si>
  <si>
    <t>MJM8U24VC1</t>
  </si>
  <si>
    <t>TR02 OLD SCHOOL S S CREW</t>
  </si>
  <si>
    <t>MJM8U24VC5</t>
  </si>
  <si>
    <t>TRUE PERSPECTIVE S S CREW</t>
  </si>
  <si>
    <t>TRUE NAVY</t>
  </si>
  <si>
    <t>MJM8U24VC7</t>
  </si>
  <si>
    <t>TR STRIPES SS CREW</t>
  </si>
  <si>
    <t>MJM8U24VY0</t>
  </si>
  <si>
    <t>MJM8U24VY2</t>
  </si>
  <si>
    <t>TRADEMARK WORLD TOUR S S CREW</t>
  </si>
  <si>
    <t>MJM8U24VY6</t>
  </si>
  <si>
    <t>BOLD STRIPE TR S S CREW</t>
  </si>
  <si>
    <t>MJM8U24WC8</t>
  </si>
  <si>
    <t>TRUE SHOE SHINE SS CREW</t>
  </si>
  <si>
    <t>MJM8U24WS4</t>
  </si>
  <si>
    <t>CON GANAS CREW TEE</t>
  </si>
  <si>
    <t>MJM8U24WS5</t>
  </si>
  <si>
    <t>CORE CREW TEE</t>
  </si>
  <si>
    <t>MJM8W86WC5</t>
  </si>
  <si>
    <t>RACE RAGLAN LS RGLN</t>
  </si>
  <si>
    <t>WHITE / RUBY RED</t>
  </si>
  <si>
    <t>MJM8W86WS1</t>
  </si>
  <si>
    <t>WLD TOUR SKL RGLN</t>
  </si>
  <si>
    <t>VINTAGE BLACK/HEATHER GREY</t>
  </si>
  <si>
    <t>VINTAGE RED / HEATHER WHITE</t>
  </si>
  <si>
    <t>MJM8Z65UW2</t>
  </si>
  <si>
    <t>GRAPHIC FOOTBALL T SHIRT</t>
  </si>
  <si>
    <t>RED/ HEATHER GREY</t>
  </si>
  <si>
    <t>MJM8Z65VD5</t>
  </si>
  <si>
    <t>TR LOGO SS FOOTBALL CREW</t>
  </si>
  <si>
    <t>WHITE/RUBY RED</t>
  </si>
  <si>
    <t>TRUE NAVY/WHITE</t>
  </si>
  <si>
    <t>MJM8Z65VY3</t>
  </si>
  <si>
    <t>TALL TR SS FOOTBALL CREW</t>
  </si>
  <si>
    <t>TRUE NAVY/HEATHER GREY</t>
  </si>
  <si>
    <t>MJM8Z65WE0</t>
  </si>
  <si>
    <t>TEAM WORK SS FTBL TEE</t>
  </si>
  <si>
    <t>RUBY RED / BLACK</t>
  </si>
  <si>
    <t>MJMA204KF8</t>
  </si>
  <si>
    <t>MENS UNDERTANK BUDDHA FEST</t>
  </si>
  <si>
    <t>MJMA204TC8</t>
  </si>
  <si>
    <t>TR WORLD TOUR TANK</t>
  </si>
  <si>
    <t>MJMA204UM3</t>
  </si>
  <si>
    <t>TRUE FRESHMAN BASIC TANK</t>
  </si>
  <si>
    <t>MJMA595SY1</t>
  </si>
  <si>
    <t>BLACK / ASH</t>
  </si>
  <si>
    <t>MJMA595TC9</t>
  </si>
  <si>
    <t>STREET LEAGUE S/S RAGLAN</t>
  </si>
  <si>
    <t>WHITE/JET BLACK</t>
  </si>
  <si>
    <t>MJMA595UW6</t>
  </si>
  <si>
    <t>STAY FIT SS RAGLAN</t>
  </si>
  <si>
    <t>MJMA595VC2</t>
  </si>
  <si>
    <t>TRUE ONE POINT RAGLAN</t>
  </si>
  <si>
    <t>WHITE/TRUE NAVY</t>
  </si>
  <si>
    <t>MJMA595VC3</t>
  </si>
  <si>
    <t>TRUE DIAG RAGLAN</t>
  </si>
  <si>
    <t>RUBY RED/BLACK</t>
  </si>
  <si>
    <t>MJMA595VF2</t>
  </si>
  <si>
    <t>MJMA595VY1</t>
  </si>
  <si>
    <t>CLOCKWORK RAGLAN SLEEVE</t>
  </si>
  <si>
    <t>BLACK/TRUE NAVY</t>
  </si>
  <si>
    <t>MJMA595WE1</t>
  </si>
  <si>
    <t>DIAMOND BUDDHA SS RGLN</t>
  </si>
  <si>
    <t>BLACK / RUBY RED</t>
  </si>
  <si>
    <t>MJMB124TC8</t>
  </si>
  <si>
    <t>MJMB145SL0</t>
  </si>
  <si>
    <t>EXCLAMATION S/S POCKET TEE</t>
  </si>
  <si>
    <t>MJMB257UL9</t>
  </si>
  <si>
    <t>TRUE BACK S/S CREW</t>
  </si>
  <si>
    <t>RED / WHITE</t>
  </si>
  <si>
    <t>MJMB257VC8</t>
  </si>
  <si>
    <t>02 TR SS CREW</t>
  </si>
  <si>
    <t>WHITE / TRUE NAVY</t>
  </si>
  <si>
    <t>MJMC340IK</t>
  </si>
  <si>
    <t>FLATLOCK TEE</t>
  </si>
  <si>
    <t>MJMC340IK6000</t>
  </si>
  <si>
    <t>FLOCK LOGO S S VNECK TEE</t>
  </si>
  <si>
    <t>MJMW58SL5</t>
  </si>
  <si>
    <t>SIDE SHOE S/S V-NECK</t>
  </si>
  <si>
    <t>MJMW58SY7</t>
  </si>
  <si>
    <t>BUDDHA BOX S/S VNECK TEE</t>
  </si>
  <si>
    <t>MJMW58TE7</t>
  </si>
  <si>
    <t>MJMW58UW7</t>
  </si>
  <si>
    <t>BACKSTAGE MENS SS VNECK</t>
  </si>
  <si>
    <t>MJMW58VC0</t>
  </si>
  <si>
    <t>BUDDHA IN THE BOX SS VNECK</t>
  </si>
  <si>
    <t>MJRB177NT41800</t>
  </si>
  <si>
    <t>MJRB177NT44002</t>
  </si>
  <si>
    <t>MLCB177NU31800</t>
  </si>
  <si>
    <t>SKULLS SS CREW GRAPHIC TEE</t>
  </si>
  <si>
    <t>MLEA301NR71001</t>
  </si>
  <si>
    <t>MLEA301NR71800</t>
  </si>
  <si>
    <t>SS LOGO BLEACHED INDIGO TEE</t>
  </si>
  <si>
    <t>MLPTR1845T</t>
  </si>
  <si>
    <t>BUDDHA BASEBALL CAP</t>
  </si>
  <si>
    <t>MLPTR1928T</t>
  </si>
  <si>
    <t>TRUE RELIGION 71 BSBL CAP</t>
  </si>
  <si>
    <t>MLPTR1930T</t>
  </si>
  <si>
    <t>TR COLORBLOCK BSBL CAP</t>
  </si>
  <si>
    <t>MLPTR1932T</t>
  </si>
  <si>
    <t>TR EMBROIDERED BSBL CAP</t>
  </si>
  <si>
    <t>MLPTR1937T</t>
  </si>
  <si>
    <t>TR POWER PLAY BSBL CAP</t>
  </si>
  <si>
    <t>MLPTR1944T</t>
  </si>
  <si>
    <t>TR HEAVY HITTER BSBL CAP</t>
  </si>
  <si>
    <t>MLPTR1946T</t>
  </si>
  <si>
    <t>REVERSIBLE ALLOVER PRINT HAT</t>
  </si>
  <si>
    <t>MLPTR1947T</t>
  </si>
  <si>
    <t>BUDDHA BUCKET HAT</t>
  </si>
  <si>
    <t>MLPTR2016T</t>
  </si>
  <si>
    <t>RIDER BASEBALL CAP</t>
  </si>
  <si>
    <t>MLPTR2028T</t>
  </si>
  <si>
    <t>BIG BUDDHA BASEBALL CAP</t>
  </si>
  <si>
    <t>MLPTR2036T</t>
  </si>
  <si>
    <t>PIGSKIN BASEBALL CAP</t>
  </si>
  <si>
    <t>MLPTR2086T</t>
  </si>
  <si>
    <t>GLW IN THE DRK LGO HS BSBL CAP</t>
  </si>
  <si>
    <t>MLZ859KN8</t>
  </si>
  <si>
    <t>BASIC STRAIGHT W/FLAP</t>
  </si>
  <si>
    <t>MMA859TE6</t>
  </si>
  <si>
    <t>MMA859Y9</t>
  </si>
  <si>
    <t>STRAIGHT W FLAPS RED ORA SN</t>
  </si>
  <si>
    <t>MMAH54ZY9</t>
  </si>
  <si>
    <t>SKINNY W FLAPS RED ORA SN</t>
  </si>
  <si>
    <t>MMAJ19TS</t>
  </si>
  <si>
    <t>BASIC SLIM NAT SN</t>
  </si>
  <si>
    <t>MMC859TS</t>
  </si>
  <si>
    <t>STR WFLP NAT SN</t>
  </si>
  <si>
    <t>MMC859Y9</t>
  </si>
  <si>
    <t>STRAIGHT W/FLAP RED ORA SN</t>
  </si>
  <si>
    <t>CDGM</t>
  </si>
  <si>
    <t>CDGM HAWKS NEST</t>
  </si>
  <si>
    <t>MMCB185TS</t>
  </si>
  <si>
    <t>MMCC345NBT</t>
  </si>
  <si>
    <t>JOGGER NAT BIG T</t>
  </si>
  <si>
    <t>MMCC345TS</t>
  </si>
  <si>
    <t>JOGGER NAT SN</t>
  </si>
  <si>
    <t>MMCE08ZKB5</t>
  </si>
  <si>
    <t>SLIM WFLP OM BIG T</t>
  </si>
  <si>
    <t>CTPD</t>
  </si>
  <si>
    <t>CTPD RESNBLE DBT</t>
  </si>
  <si>
    <t>MMD800TS</t>
  </si>
  <si>
    <t>CMZD</t>
  </si>
  <si>
    <t>CMZD ROGUE RNGDE</t>
  </si>
  <si>
    <t>BASIC BOOTCUT W FLP OM</t>
  </si>
  <si>
    <t>MMD859LG9</t>
  </si>
  <si>
    <t>STRAIGHT W FLAP SINGLE MEGA T</t>
  </si>
  <si>
    <t>CRSD</t>
  </si>
  <si>
    <t>CRSD BONE BAD</t>
  </si>
  <si>
    <t>MMD859SGG1</t>
  </si>
  <si>
    <t>CMRM</t>
  </si>
  <si>
    <t>CMRM DEADMN WLKNG</t>
  </si>
  <si>
    <t>MMD859TC6</t>
  </si>
  <si>
    <t>STRAIGHT W FLAP YLLW SPR T</t>
  </si>
  <si>
    <t>MMD859TM1</t>
  </si>
  <si>
    <t>CMYL</t>
  </si>
  <si>
    <t>CMYL DMOND GHOST</t>
  </si>
  <si>
    <t>MMD859TS</t>
  </si>
  <si>
    <t>STRAIGHT W FLAP NAT SN</t>
  </si>
  <si>
    <t>CMQM</t>
  </si>
  <si>
    <t>CMQM LOSE MYSELF</t>
  </si>
  <si>
    <t>CMUL</t>
  </si>
  <si>
    <t>CMUL COPPER HILL</t>
  </si>
  <si>
    <t>COAL</t>
  </si>
  <si>
    <t>COAL SOLAR BEAM</t>
  </si>
  <si>
    <t>CTNM</t>
  </si>
  <si>
    <t>CTNM PAID OUT</t>
  </si>
  <si>
    <t>MMD859TT3</t>
  </si>
  <si>
    <t>STR FLP MICAH GLD SN</t>
  </si>
  <si>
    <t>CSAM</t>
  </si>
  <si>
    <t>CSAM NO DISCPLNE</t>
  </si>
  <si>
    <t>MMD859UT2</t>
  </si>
  <si>
    <t>STRAIGHT W/ FLAP SUPER T</t>
  </si>
  <si>
    <t>MMD859UT3</t>
  </si>
  <si>
    <t>STR FLP NAT SNGL MGA T</t>
  </si>
  <si>
    <t>CRMD</t>
  </si>
  <si>
    <t>CRMD CNYN DIABLO</t>
  </si>
  <si>
    <t>MMD859UT4</t>
  </si>
  <si>
    <t>STRAIGHT W / FLAPS</t>
  </si>
  <si>
    <t>CRNM</t>
  </si>
  <si>
    <t>CRNM TRAIL HAWK</t>
  </si>
  <si>
    <t>MMD859VA5</t>
  </si>
  <si>
    <t>STR FLP NAT RED SPR T</t>
  </si>
  <si>
    <t>CSPD</t>
  </si>
  <si>
    <t>CSPD OLD HLLWOOD</t>
  </si>
  <si>
    <t>MMDH54ZNBT</t>
  </si>
  <si>
    <t>SKINNY FLP NAT BIG T</t>
  </si>
  <si>
    <t>CSSD</t>
  </si>
  <si>
    <t>CSSD FAST TIMES</t>
  </si>
  <si>
    <t>CNYL</t>
  </si>
  <si>
    <t>CNYL SMOKESCREEN</t>
  </si>
  <si>
    <t>CTRD</t>
  </si>
  <si>
    <t>CTRD NECSSRY EVL</t>
  </si>
  <si>
    <t>MMDJ19OM</t>
  </si>
  <si>
    <t>BASIC SLIM OM SN</t>
  </si>
  <si>
    <t>MMY859OM</t>
  </si>
  <si>
    <t>STRAIGHT W FLAP SN</t>
  </si>
  <si>
    <t>CXPD</t>
  </si>
  <si>
    <t>CXPD REDTIDE</t>
  </si>
  <si>
    <t>MN2800UT6</t>
  </si>
  <si>
    <t>STR ERTWRM RED SN</t>
  </si>
  <si>
    <t>MN2859GG1</t>
  </si>
  <si>
    <t>STR FLP TAN GRY  SUPER T</t>
  </si>
  <si>
    <t>MN2859UT5</t>
  </si>
  <si>
    <t>STR FLP SPR T MEND</t>
  </si>
  <si>
    <t>CRPD</t>
  </si>
  <si>
    <t>CRPD NO ESCAPE</t>
  </si>
  <si>
    <t>MN2859UV2</t>
  </si>
  <si>
    <t>STR FLP OM SNGL MGA T</t>
  </si>
  <si>
    <t>CRLM</t>
  </si>
  <si>
    <t>CRLM FOX LEAF</t>
  </si>
  <si>
    <t>MN2859VA3</t>
  </si>
  <si>
    <t>STR FLP ERTHW RED ROPE</t>
  </si>
  <si>
    <t>CRZL</t>
  </si>
  <si>
    <t>CRZL SLIM CHANCE</t>
  </si>
  <si>
    <t>MN2E08ZVA2</t>
  </si>
  <si>
    <t>SLIM FLP NAT WPRINT</t>
  </si>
  <si>
    <t>MN2E08ZY9</t>
  </si>
  <si>
    <t>SLIM FLP RED ORA SN</t>
  </si>
  <si>
    <t>RICKY NO FLAP BIG T</t>
  </si>
  <si>
    <t>RICKY SHORT W FLAP BIG T</t>
  </si>
  <si>
    <t>RICKY W FLAP BIG T</t>
  </si>
  <si>
    <t>DEAN NO FLAP BIG T</t>
  </si>
  <si>
    <t>MNQ859EL</t>
  </si>
  <si>
    <t>MNQ859IR9</t>
  </si>
  <si>
    <t>MNR858NRX6</t>
  </si>
  <si>
    <t>1 2 BILLY W  FLAP SUPER T</t>
  </si>
  <si>
    <t>RICKY WITH FLAP SE</t>
  </si>
  <si>
    <t>MNRA799OH8CEXL</t>
  </si>
  <si>
    <t>DEAN NO FLAP SUPER T</t>
  </si>
  <si>
    <t>DEAN NO SUPER T</t>
  </si>
  <si>
    <t>RICKY SHORT W FLAP SUPER T</t>
  </si>
  <si>
    <t>RICKY SHORT FLAP SUPER T</t>
  </si>
  <si>
    <t>MNRE08NOH8CEWM</t>
  </si>
  <si>
    <t>GENO W FLAP BIGT</t>
  </si>
  <si>
    <t>MPV859TS</t>
  </si>
  <si>
    <t>COCM</t>
  </si>
  <si>
    <t>COCM MIRACLE EYE</t>
  </si>
  <si>
    <t>CSYM</t>
  </si>
  <si>
    <t>CSYM CRANK SHAFT</t>
  </si>
  <si>
    <t>MPV859UN8</t>
  </si>
  <si>
    <t>CODL</t>
  </si>
  <si>
    <t>CODL NGT OF FIRE</t>
  </si>
  <si>
    <t>MQ2R62NOD3</t>
  </si>
  <si>
    <t>JIMMY JACKET SE</t>
  </si>
  <si>
    <t>DANNY JACKET SE</t>
  </si>
  <si>
    <t>MQ9859QN1</t>
  </si>
  <si>
    <t>CMX ST CTNG CADM</t>
  </si>
  <si>
    <t>GENO W FLAP HIGH DEN ST</t>
  </si>
  <si>
    <t>ROCCO MOTO</t>
  </si>
  <si>
    <t>MOTO ROCCO</t>
  </si>
  <si>
    <t>1 2 JIMMY SUPER T JACKET</t>
  </si>
  <si>
    <t>MR62NSU0CIWD</t>
  </si>
  <si>
    <t>1 2 JIMMY JACKET SN</t>
  </si>
  <si>
    <t>MR62NTS5</t>
  </si>
  <si>
    <t>JIMMY JACKET WITH FLAP SE</t>
  </si>
  <si>
    <t>MR62NTW5</t>
  </si>
  <si>
    <t>JIMMY JACKET SUPER T</t>
  </si>
  <si>
    <t>MR62NTW9</t>
  </si>
  <si>
    <t>MR62NTZ1</t>
  </si>
  <si>
    <t>MR62NVO6</t>
  </si>
  <si>
    <t>JIMMY SUPER T JACKET</t>
  </si>
  <si>
    <t>MR62NVQ5</t>
  </si>
  <si>
    <t>MRTA451QL81800</t>
  </si>
  <si>
    <t>EAGLE S S CREW NECK</t>
  </si>
  <si>
    <t>MRTA451QL96497</t>
  </si>
  <si>
    <t>MSQC145IK4190</t>
  </si>
  <si>
    <t>1/2 IN GENO RLAXED SLIM NO FLP</t>
  </si>
  <si>
    <t>MU3A451NC64289</t>
  </si>
  <si>
    <t>DISTORTED SKULL SS CREW NECK</t>
  </si>
  <si>
    <t>MURB262MU3</t>
  </si>
  <si>
    <t>UTILITY SHIRT W/ROLL UP SLEEVE</t>
  </si>
  <si>
    <t>MV97NTX5</t>
  </si>
  <si>
    <t>MV97NVO5</t>
  </si>
  <si>
    <t>MV97NVY8</t>
  </si>
  <si>
    <t>MV97NVY9</t>
  </si>
  <si>
    <t>MW3859LB6</t>
  </si>
  <si>
    <t>STRAIGHT W FLAPS</t>
  </si>
  <si>
    <t>SULPHUR BLACK</t>
  </si>
  <si>
    <t>MW3859TS</t>
  </si>
  <si>
    <t>SULPHUR RED</t>
  </si>
  <si>
    <t>MW7C722IK</t>
  </si>
  <si>
    <t>LS CREW NECK SWEATER</t>
  </si>
  <si>
    <t>MW7C723IK</t>
  </si>
  <si>
    <t>MWVC386IK1501</t>
  </si>
  <si>
    <t>MWVC386IK</t>
  </si>
  <si>
    <t>MWVC389IK1501</t>
  </si>
  <si>
    <t>MWVC389IK</t>
  </si>
  <si>
    <t>PULL OVER SLEEVELESS HOODIE</t>
  </si>
  <si>
    <t>MWX8U24SL1</t>
  </si>
  <si>
    <t>MWX8U24SY3</t>
  </si>
  <si>
    <t>MWX8U24VY6</t>
  </si>
  <si>
    <t>MWX8W86WC5</t>
  </si>
  <si>
    <t>MWXA595LK0</t>
  </si>
  <si>
    <t>COLLEGE FADE SS RAGLAN W PRINT</t>
  </si>
  <si>
    <t>HEATHER GRY/ARMY</t>
  </si>
  <si>
    <t>MWXA595UW6</t>
  </si>
  <si>
    <t>HEATHER GRY/ BT ROYAL BLUE</t>
  </si>
  <si>
    <t>MWXA595VC2</t>
  </si>
  <si>
    <t>TRUE ONE POINT RAGLAN SLEEVE</t>
  </si>
  <si>
    <t>MWXA595WE1</t>
  </si>
  <si>
    <t>MWXB124UM3</t>
  </si>
  <si>
    <t>MWXW58UW7</t>
  </si>
  <si>
    <t>BACKSTAGE MENS S/S V-NECK</t>
  </si>
  <si>
    <t>MXD859SUP4</t>
  </si>
  <si>
    <t>STRAIGHT CUTOFF W FLAPS SUPERT</t>
  </si>
  <si>
    <t>BOI WHITE</t>
  </si>
  <si>
    <t>MXD859SUP5</t>
  </si>
  <si>
    <t>STRAIGHT CUTOFF W FLAP SUPERT</t>
  </si>
  <si>
    <t>BOI BLACK</t>
  </si>
  <si>
    <t>MXX859UT4</t>
  </si>
  <si>
    <t>MXX859VA4</t>
  </si>
  <si>
    <t>STRGHT W FLP NAT ROPLOGO MEGAT</t>
  </si>
  <si>
    <t>MXX859WG8</t>
  </si>
  <si>
    <t>CXLM</t>
  </si>
  <si>
    <t>CXLM DRAGONFISH</t>
  </si>
  <si>
    <t>MXXH54ZKB5</t>
  </si>
  <si>
    <t>SKINNY W FLAP</t>
  </si>
  <si>
    <t>MXZ859EY4</t>
  </si>
  <si>
    <t>STRAIGHT W FLAP NAT MEGA T</t>
  </si>
  <si>
    <t>CXVD</t>
  </si>
  <si>
    <t>CXVD LANTERN</t>
  </si>
  <si>
    <t>MXZ859MU6</t>
  </si>
  <si>
    <t>CXHD</t>
  </si>
  <si>
    <t>CXHD QUANTUM</t>
  </si>
  <si>
    <t>MXZJ19TS</t>
  </si>
  <si>
    <t>SLIM W OUT FLAPS</t>
  </si>
  <si>
    <t>CXTM</t>
  </si>
  <si>
    <t>CXTM INCANDESCNT</t>
  </si>
  <si>
    <t>MYBB008OF9</t>
  </si>
  <si>
    <t>MYBB009IK</t>
  </si>
  <si>
    <t>MYBB168IK</t>
  </si>
  <si>
    <t>MYBC722IK</t>
  </si>
  <si>
    <t>MYBC723IK</t>
  </si>
  <si>
    <t>MYCB129MF3</t>
  </si>
  <si>
    <t>MYCB130MF4</t>
  </si>
  <si>
    <t>SWEATPANTS</t>
  </si>
  <si>
    <t>MYCB293UH0</t>
  </si>
  <si>
    <t>DUG OUT SLUB SHORT</t>
  </si>
  <si>
    <t>MYCB308TA8</t>
  </si>
  <si>
    <t>SWEATSHORTS W/ PRINT FLOCK</t>
  </si>
  <si>
    <t>HTHR GRY/SMR TEL</t>
  </si>
  <si>
    <t>MYCB308UH0</t>
  </si>
  <si>
    <t>DUGOUT SLUB SHORT</t>
  </si>
  <si>
    <t>MYCB308UN7</t>
  </si>
  <si>
    <t>TR SPORT SWEATSHORT</t>
  </si>
  <si>
    <t>DARK BLUE</t>
  </si>
  <si>
    <t>MYCC316UA2</t>
  </si>
  <si>
    <t>LEAD OFF BASEBALL BUTTON UP</t>
  </si>
  <si>
    <t>MYDB266IE2</t>
  </si>
  <si>
    <t>TR HOODED TRACK JACKET</t>
  </si>
  <si>
    <t>MYDB267TA9</t>
  </si>
  <si>
    <t>TR TRACK PANT</t>
  </si>
  <si>
    <t>MYJA236SE2</t>
  </si>
  <si>
    <t>MENS POLO W EMBROIDERY</t>
  </si>
  <si>
    <t>RUBY FRUIT</t>
  </si>
  <si>
    <t>MYJA236UP7</t>
  </si>
  <si>
    <t>S/S POLO W PRINT</t>
  </si>
  <si>
    <t>MYLB290UH6</t>
  </si>
  <si>
    <t>BASKETBALL JERSEYS BOUNCE PASS</t>
  </si>
  <si>
    <t>MYLB290UH7</t>
  </si>
  <si>
    <t>BASKETBALL JERSEYS THE BUDDHAS</t>
  </si>
  <si>
    <t>VINTAGE RED/BLCK</t>
  </si>
  <si>
    <t>MYLB291UH6</t>
  </si>
  <si>
    <t>MYLB291UH7</t>
  </si>
  <si>
    <t>MYMA315TT</t>
  </si>
  <si>
    <t>TRIPLE NEEDLE WESTERN SHIRT</t>
  </si>
  <si>
    <t>REBEL YELL</t>
  </si>
  <si>
    <t>SPANISH ENVY</t>
  </si>
  <si>
    <t>MYMA316TT</t>
  </si>
  <si>
    <t>MIRAGE</t>
  </si>
  <si>
    <t>BULLSEYE</t>
  </si>
  <si>
    <t>MYNA315TT</t>
  </si>
  <si>
    <t>LS TRINEEDLE WESTERN SHIRT</t>
  </si>
  <si>
    <t>DUSTED GREY</t>
  </si>
  <si>
    <t>MYNA316TT</t>
  </si>
  <si>
    <t>MYUB128MU3</t>
  </si>
  <si>
    <t>L/S UTILITY SHIRT</t>
  </si>
  <si>
    <t>MYXB313SE2</t>
  </si>
  <si>
    <t>MENS LS RAGLAN ZIP UP SWEATER</t>
  </si>
  <si>
    <t>MZ3B128UG6</t>
  </si>
  <si>
    <t>UTILITY SHIRT W EMBROIDERY</t>
  </si>
  <si>
    <t>NAVAL BLUE</t>
  </si>
  <si>
    <t>BLACK / TRUE RED</t>
  </si>
  <si>
    <t>TR1898</t>
  </si>
  <si>
    <t>KNIT COTTON WATCHCAP</t>
  </si>
  <si>
    <t>TR1924</t>
  </si>
  <si>
    <t>MONOGRAM TPU TWILL BUCKET HAT</t>
  </si>
  <si>
    <t>TR1988</t>
  </si>
  <si>
    <t>BUDDHA LOGO PUFF BASEBALL CAP</t>
  </si>
  <si>
    <t>TR1989</t>
  </si>
  <si>
    <t>HORSSHOE PUFF PRINT BSBALL CAP</t>
  </si>
  <si>
    <t>TR1999</t>
  </si>
  <si>
    <t>SEQUIN FLAT KNIT WATCHCAP</t>
  </si>
  <si>
    <t>TR2001</t>
  </si>
  <si>
    <t>CAMO WATCHCAP</t>
  </si>
  <si>
    <t>TR2001Y</t>
  </si>
  <si>
    <t>KNIT CAMO WATCHCAP</t>
  </si>
  <si>
    <t>TR2008</t>
  </si>
  <si>
    <t>SUPER T CORE BASEBALL CAP</t>
  </si>
  <si>
    <t>BABY 2PIECE GIFT SET</t>
  </si>
  <si>
    <t>BABY 2 PIECE GIFT SET</t>
  </si>
  <si>
    <t>VNECK LOGO TEE</t>
  </si>
  <si>
    <t>TR645HD08</t>
  </si>
  <si>
    <t>BLK COATED FRENCH TERRY HOODIE</t>
  </si>
  <si>
    <t>TR645JK06</t>
  </si>
  <si>
    <t>BLEACH SPLASH HOODIE</t>
  </si>
  <si>
    <t>STT</t>
  </si>
  <si>
    <t>STT SPLATTER POP</t>
  </si>
  <si>
    <t>TR645JN149</t>
  </si>
  <si>
    <t>CASEY SKINNY LEGGING</t>
  </si>
  <si>
    <t>IRY1</t>
  </si>
  <si>
    <t>IRY1 INDIGO RYAL</t>
  </si>
  <si>
    <t>PWD</t>
  </si>
  <si>
    <t>PWD POWDER BLUE</t>
  </si>
  <si>
    <t>RNS</t>
  </si>
  <si>
    <t>RNS RINSE</t>
  </si>
  <si>
    <t>TR645JN150</t>
  </si>
  <si>
    <t>MGB</t>
  </si>
  <si>
    <t>MGB MAGIC BLACK</t>
  </si>
  <si>
    <t>TR645JN151</t>
  </si>
  <si>
    <t>CASEY FUSCHIA SUPER T</t>
  </si>
  <si>
    <t>LBL</t>
  </si>
  <si>
    <t>LBL LIGHTNING BL</t>
  </si>
  <si>
    <t>TR645JN157</t>
  </si>
  <si>
    <t>CASEY SKINNY SUPER T W NEON PI</t>
  </si>
  <si>
    <t>NRL</t>
  </si>
  <si>
    <t>NRL NRTHRN LIGHT</t>
  </si>
  <si>
    <t>TR645LK26</t>
  </si>
  <si>
    <t>LS GRAPHIC RAGLAN</t>
  </si>
  <si>
    <t>FIA</t>
  </si>
  <si>
    <t>TR645LK27</t>
  </si>
  <si>
    <t>ANIMAL PRINT FOOTBL SWEATSHIRT</t>
  </si>
  <si>
    <t>SNL</t>
  </si>
  <si>
    <t>SNL SNOW LEOPARD</t>
  </si>
  <si>
    <t>TR645LK28</t>
  </si>
  <si>
    <t>STAR GRAPHIC PULVER SWEATSHIRT</t>
  </si>
  <si>
    <t>TR645LK29</t>
  </si>
  <si>
    <t>HIGH LOW LS GRAPHIC TEE</t>
  </si>
  <si>
    <t>TR645LK31</t>
  </si>
  <si>
    <t>BRUSHD FLEECE WITH VELVT PRINT</t>
  </si>
  <si>
    <t>TR645SP23</t>
  </si>
  <si>
    <t>BKL COATD FRNCH TERY SWEATPANT</t>
  </si>
  <si>
    <t>TR645SP41</t>
  </si>
  <si>
    <t>RSE</t>
  </si>
  <si>
    <t>RSE ROSE</t>
  </si>
  <si>
    <t>TR645TE37</t>
  </si>
  <si>
    <t>BRANDED LOGO TEE</t>
  </si>
  <si>
    <t>NPK</t>
  </si>
  <si>
    <t>NPK NEON PINK</t>
  </si>
  <si>
    <t>TR645TE88</t>
  </si>
  <si>
    <t>CREW NECK TR TEE</t>
  </si>
  <si>
    <t>TR645TE93</t>
  </si>
  <si>
    <t>GRAPHIC TEE</t>
  </si>
  <si>
    <t>TR735TE39</t>
  </si>
  <si>
    <t>MAT</t>
  </si>
  <si>
    <t>MATEO</t>
  </si>
  <si>
    <t>TR745HD21</t>
  </si>
  <si>
    <t>CAMO FRENCH TERRY HOOK UP</t>
  </si>
  <si>
    <t>GCA</t>
  </si>
  <si>
    <t>GCA GRAY CAMO</t>
  </si>
  <si>
    <t>TR745JK02</t>
  </si>
  <si>
    <t>VARSITY JACKET</t>
  </si>
  <si>
    <t>CHI</t>
  </si>
  <si>
    <t>CHI CHILLI PEPPR</t>
  </si>
  <si>
    <t>TR745JK08</t>
  </si>
  <si>
    <t>GREY JIMMY BLK SING END JACKET</t>
  </si>
  <si>
    <t>MTG</t>
  </si>
  <si>
    <t>MTG METEORTE GRY</t>
  </si>
  <si>
    <t>TR745JK09</t>
  </si>
  <si>
    <t>DYLAN INDIGO HOODIE JACKET</t>
  </si>
  <si>
    <t>MIW</t>
  </si>
  <si>
    <t>MIW MEDIUM INDGO</t>
  </si>
  <si>
    <t>TR745JN131</t>
  </si>
  <si>
    <t>BLACK GENO REFLECTIVE SUPER T</t>
  </si>
  <si>
    <t>TR745JN132</t>
  </si>
  <si>
    <t>GENO BLACK SINGLE END STRETCH</t>
  </si>
  <si>
    <t>TR745JN133</t>
  </si>
  <si>
    <t>GENO SUP T W CONTRAST BARTACKS</t>
  </si>
  <si>
    <t>AQM2</t>
  </si>
  <si>
    <t>AQM2 ANTIQUE MSS</t>
  </si>
  <si>
    <t>TR745JN134</t>
  </si>
  <si>
    <t>GENO SINGLE END</t>
  </si>
  <si>
    <t>WAR</t>
  </si>
  <si>
    <t>WAR WARRIOR</t>
  </si>
  <si>
    <t>TR745JN137</t>
  </si>
  <si>
    <t>GENO BLACK SINGLE END</t>
  </si>
  <si>
    <t>ELB</t>
  </si>
  <si>
    <t>ELB ELECTRC BLUE</t>
  </si>
  <si>
    <t>TR745JN141</t>
  </si>
  <si>
    <t>GENO NATRAL SINGLE  END WFLAP</t>
  </si>
  <si>
    <t>HNA</t>
  </si>
  <si>
    <t>HNA HAWKS NAVY</t>
  </si>
  <si>
    <t>TR745JN142</t>
  </si>
  <si>
    <t>GENO SUPER T W CONTRAST LOGO</t>
  </si>
  <si>
    <t>CCR</t>
  </si>
  <si>
    <t>CCR CONCRETE WSH</t>
  </si>
  <si>
    <t>TR745JN143</t>
  </si>
  <si>
    <t>VKY</t>
  </si>
  <si>
    <t>VKY VINTAGE SKY</t>
  </si>
  <si>
    <t>TR745JN162</t>
  </si>
  <si>
    <t>RED GENOBLACK SUPER T</t>
  </si>
  <si>
    <t>TR745JN164</t>
  </si>
  <si>
    <t>GREY GENO BLACK SIN END W FLAP</t>
  </si>
  <si>
    <t>MTG METEORITE GRY</t>
  </si>
  <si>
    <t>TR745LK20</t>
  </si>
  <si>
    <t>LS RAGLAN TEE</t>
  </si>
  <si>
    <t>TR745LK21</t>
  </si>
  <si>
    <t>PANELED SWEATSHIRT</t>
  </si>
  <si>
    <t>R03</t>
  </si>
  <si>
    <t>R03 BLACK W BLUE</t>
  </si>
  <si>
    <t>TR745LK22</t>
  </si>
  <si>
    <t>TRUE LS RAGLAN TEE</t>
  </si>
  <si>
    <t>TR745LK24</t>
  </si>
  <si>
    <t>BURNED OUT LS TEE</t>
  </si>
  <si>
    <t>TR745LK32</t>
  </si>
  <si>
    <t>HENLEY RAGLAN</t>
  </si>
  <si>
    <t>TR745LK36</t>
  </si>
  <si>
    <t>LS TEE</t>
  </si>
  <si>
    <t>TR745LK37</t>
  </si>
  <si>
    <t>THERMAL LS RAGLAN</t>
  </si>
  <si>
    <t>TR745LK42</t>
  </si>
  <si>
    <t>SPECKLED SWEATSHIRT</t>
  </si>
  <si>
    <t>TR745LW07</t>
  </si>
  <si>
    <t>BUFFALO WESTERN</t>
  </si>
  <si>
    <t>IBL1</t>
  </si>
  <si>
    <t>IBL1 IMPERIAL BL</t>
  </si>
  <si>
    <t>TR745SP10</t>
  </si>
  <si>
    <t>5PKT INDIGO KNIT PANT</t>
  </si>
  <si>
    <t>TR745SP32</t>
  </si>
  <si>
    <t>CAMO FRENCH TERRY PANT</t>
  </si>
  <si>
    <t>TR745SP33</t>
  </si>
  <si>
    <t>MOTO PANT W ZIPPER KNEE PANELS</t>
  </si>
  <si>
    <t>TR745SP40</t>
  </si>
  <si>
    <t>SPECKLED FLEECE SWEATPANT</t>
  </si>
  <si>
    <t>TR745SP42</t>
  </si>
  <si>
    <t>FRENCH TERRY TWSTD SEAM RUNNER</t>
  </si>
  <si>
    <t>TR745TE77</t>
  </si>
  <si>
    <t>02 TRUE RELIGION TEE</t>
  </si>
  <si>
    <t>TR745TE78</t>
  </si>
  <si>
    <t>ROCK AND ROLL GRAPHIC TEE</t>
  </si>
  <si>
    <t>TR745TE79</t>
  </si>
  <si>
    <t>MONOGRAM JERSEY TEE</t>
  </si>
  <si>
    <t>TR745TE80</t>
  </si>
  <si>
    <t>TR SHAPES TEE</t>
  </si>
  <si>
    <t>TR745TE83</t>
  </si>
  <si>
    <t>MOCK TWIST GRAPHIC TSHIRT</t>
  </si>
  <si>
    <t>TR745TE84</t>
  </si>
  <si>
    <t>PRINTED PANEL TEE</t>
  </si>
  <si>
    <t>TR745TE91</t>
  </si>
  <si>
    <t>REFLECTIVE PRINT TEE</t>
  </si>
  <si>
    <t>CHA</t>
  </si>
  <si>
    <t>CHA CHARCOAL</t>
  </si>
  <si>
    <t>TWP</t>
  </si>
  <si>
    <t>TWP TAWNY PORT</t>
  </si>
  <si>
    <t>TR745TE94</t>
  </si>
  <si>
    <t>BUDDHA PUFF LOGO TEE</t>
  </si>
  <si>
    <t>TR845HD08</t>
  </si>
  <si>
    <t>TR845HD24</t>
  </si>
  <si>
    <t>ACID WASHED FRNCH TERRY HOODIE</t>
  </si>
  <si>
    <t>TR845JK06</t>
  </si>
  <si>
    <t>TR845JN149</t>
  </si>
  <si>
    <t>TR845JN150</t>
  </si>
  <si>
    <t>TR845JN151</t>
  </si>
  <si>
    <t>TR845JN157</t>
  </si>
  <si>
    <t>CASEY SKINNY SUPR T W NEON PIN</t>
  </si>
  <si>
    <t>TR845LK26</t>
  </si>
  <si>
    <t>TR845LK27</t>
  </si>
  <si>
    <t>TR845LK28</t>
  </si>
  <si>
    <t>STAR GRAPH PULLOVER SWEATSHIRT</t>
  </si>
  <si>
    <t>TR845LK29</t>
  </si>
  <si>
    <t>TR845LK31</t>
  </si>
  <si>
    <t>TR845SP23</t>
  </si>
  <si>
    <t>BKL COTD FRNCH TERRY SWEATPANT</t>
  </si>
  <si>
    <t>TR845SP41</t>
  </si>
  <si>
    <t>TR845TE37</t>
  </si>
  <si>
    <t>TR845TE93</t>
  </si>
  <si>
    <t>TR935TE39</t>
  </si>
  <si>
    <t>TR945HD21</t>
  </si>
  <si>
    <t>TR945JK02</t>
  </si>
  <si>
    <t>TR945JK08</t>
  </si>
  <si>
    <t>TR945JK09</t>
  </si>
  <si>
    <t>TR945JN131</t>
  </si>
  <si>
    <t>TR945JN132</t>
  </si>
  <si>
    <t>TR945JN133</t>
  </si>
  <si>
    <t>TR945JN134</t>
  </si>
  <si>
    <t>TR945JN137</t>
  </si>
  <si>
    <t>TR945JN141</t>
  </si>
  <si>
    <t>TR945JN142</t>
  </si>
  <si>
    <t>GENO SUPER T W CONTRAS LOGO</t>
  </si>
  <si>
    <t>TR945JN143</t>
  </si>
  <si>
    <t>TR945JN162</t>
  </si>
  <si>
    <t>TR945JN164</t>
  </si>
  <si>
    <t>GREY GENO BLK SING END W FLAP</t>
  </si>
  <si>
    <t>TR945LK20</t>
  </si>
  <si>
    <t>TR945LK21</t>
  </si>
  <si>
    <t>TR945LK22</t>
  </si>
  <si>
    <t>TR945LK24</t>
  </si>
  <si>
    <t>TR945LK32</t>
  </si>
  <si>
    <t>TR945LK36</t>
  </si>
  <si>
    <t>TR945LK37</t>
  </si>
  <si>
    <t>TR945LK42</t>
  </si>
  <si>
    <t>TR945LW07</t>
  </si>
  <si>
    <t>TR945SP10</t>
  </si>
  <si>
    <t>5 PKT INDIGO KNIT PANT</t>
  </si>
  <si>
    <t>TR945SP32</t>
  </si>
  <si>
    <t>TR945SP33</t>
  </si>
  <si>
    <t>MOTO PANT WZIPPER KNEE PANELS</t>
  </si>
  <si>
    <t>TR945SP40</t>
  </si>
  <si>
    <t>TR945TE77</t>
  </si>
  <si>
    <t>TR945TE78</t>
  </si>
  <si>
    <t>TR945TE79</t>
  </si>
  <si>
    <t>TR945TE80</t>
  </si>
  <si>
    <t>TR945TE83</t>
  </si>
  <si>
    <t>TR945TE84</t>
  </si>
  <si>
    <t>TR945TE91</t>
  </si>
  <si>
    <t>TR945TE94</t>
  </si>
  <si>
    <t>TRV007</t>
  </si>
  <si>
    <t>LARGE TWO NOTEBOOK SET</t>
  </si>
  <si>
    <t>SNOW LEOPARD</t>
  </si>
  <si>
    <t>TRV012</t>
  </si>
  <si>
    <t>LACY TOTE</t>
  </si>
  <si>
    <t>TRV014</t>
  </si>
  <si>
    <t>CAMO DOPP KIT</t>
  </si>
  <si>
    <t>TUF150046</t>
  </si>
  <si>
    <t>TUF1500501001</t>
  </si>
  <si>
    <t>TUF150050</t>
  </si>
  <si>
    <t>W02564KB5</t>
  </si>
  <si>
    <t>BOOTCUT WFLP OM BIG T</t>
  </si>
  <si>
    <t>CQWM</t>
  </si>
  <si>
    <t>CQWM BLUE SKIES</t>
  </si>
  <si>
    <t>W02592SKL3</t>
  </si>
  <si>
    <t>SKINNY BRWN GLD SN</t>
  </si>
  <si>
    <t>AAOD</t>
  </si>
  <si>
    <t>AAOD GRANITE</t>
  </si>
  <si>
    <t>W02599SHE8</t>
  </si>
  <si>
    <t>SKINNY W/ FLAPS W/CRYSTAL LOGO</t>
  </si>
  <si>
    <t>W02599SR54</t>
  </si>
  <si>
    <t>SKINNY WFLP ERTHW RD SPT</t>
  </si>
  <si>
    <t>CRWD</t>
  </si>
  <si>
    <t>CRWD MDNGHT COMTR</t>
  </si>
  <si>
    <t>W02599SR5M</t>
  </si>
  <si>
    <t>SKINNY WITH FLAPS</t>
  </si>
  <si>
    <t>W02599STS</t>
  </si>
  <si>
    <t>SKINNY W FLAPS NAT SN</t>
  </si>
  <si>
    <t>COBM</t>
  </si>
  <si>
    <t>COBM LUSTER PURGE</t>
  </si>
  <si>
    <t>W02C100KL3</t>
  </si>
  <si>
    <t>SLIM STRAIGHT WFLP BRN GLD SN</t>
  </si>
  <si>
    <t>W02C100VU9</t>
  </si>
  <si>
    <t>SLIM STRAIGHT W FLAPS</t>
  </si>
  <si>
    <t>CSKM</t>
  </si>
  <si>
    <t>CSKM NRTHRN DAWN</t>
  </si>
  <si>
    <t>W02N96VU9</t>
  </si>
  <si>
    <t>LEGGING WITH FLAPS</t>
  </si>
  <si>
    <t>CUBM</t>
  </si>
  <si>
    <t>CUBM ON THE WND</t>
  </si>
  <si>
    <t>W10592SOMW</t>
  </si>
  <si>
    <t>SKINNY OMW SN</t>
  </si>
  <si>
    <t>W10592STS</t>
  </si>
  <si>
    <t>SKINNY NAT SN</t>
  </si>
  <si>
    <t>CSJD</t>
  </si>
  <si>
    <t>CSJD ANGEL EYES</t>
  </si>
  <si>
    <t>W15FB60E4G</t>
  </si>
  <si>
    <t>BOYFRIEND LEATHER RACCOON</t>
  </si>
  <si>
    <t>W15FB61E5G</t>
  </si>
  <si>
    <t>SHEEP BOYFRIEND</t>
  </si>
  <si>
    <t>W15FB62E4G</t>
  </si>
  <si>
    <t>LEATHER BIKER RIVETS</t>
  </si>
  <si>
    <t>W15FF01C7G</t>
  </si>
  <si>
    <t>W15FF02C7G</t>
  </si>
  <si>
    <t>W15FF05C7G</t>
  </si>
  <si>
    <t>W15FF09C8G</t>
  </si>
  <si>
    <t>W15FF10C8G</t>
  </si>
  <si>
    <t>W15FF11C8G</t>
  </si>
  <si>
    <t>W15FF12C8G</t>
  </si>
  <si>
    <t>W15FF20C8G</t>
  </si>
  <si>
    <t>BOXY CREW</t>
  </si>
  <si>
    <t>W15FF21C8G</t>
  </si>
  <si>
    <t>W15FF30D1G</t>
  </si>
  <si>
    <t>W15FF34B8G</t>
  </si>
  <si>
    <t>W15FF40C5G</t>
  </si>
  <si>
    <t>RHINESTONE SHORT  SLEEVE  TOP</t>
  </si>
  <si>
    <t>W15FF41C5G</t>
  </si>
  <si>
    <t>RHINESTONE TANK</t>
  </si>
  <si>
    <t>W15FK06D1G</t>
  </si>
  <si>
    <t>CREW KNIT</t>
  </si>
  <si>
    <t>W15FK07D1G</t>
  </si>
  <si>
    <t>W15FK08D1G</t>
  </si>
  <si>
    <t>W15FN85D7G</t>
  </si>
  <si>
    <t>W15FN95F3G</t>
  </si>
  <si>
    <t>W15FN95F3R</t>
  </si>
  <si>
    <t>W15FT08C5G</t>
  </si>
  <si>
    <t>W15FT13E9G</t>
  </si>
  <si>
    <t>W15FT14E9G</t>
  </si>
  <si>
    <t>W15FT15E9G</t>
  </si>
  <si>
    <t>W15FT16E9G</t>
  </si>
  <si>
    <t>W15FT17C5G</t>
  </si>
  <si>
    <t>W15FT18C5G</t>
  </si>
  <si>
    <t>W15FT19C5G</t>
  </si>
  <si>
    <t>W15FT24E8G</t>
  </si>
  <si>
    <t>LONG SLEEVE TSHIRT</t>
  </si>
  <si>
    <t>W15FY58E3G</t>
  </si>
  <si>
    <t>W15FY96E3G</t>
  </si>
  <si>
    <t>OVERSIZED PARKA FAKE FUR</t>
  </si>
  <si>
    <t>W15HF01C5G</t>
  </si>
  <si>
    <t>TRUE SWEAT SHIRT</t>
  </si>
  <si>
    <t>MOOD INDIGO</t>
  </si>
  <si>
    <t>W15HF07C5G</t>
  </si>
  <si>
    <t>W15HF11C5G</t>
  </si>
  <si>
    <t>STRIPE BIKER KNEE PANT</t>
  </si>
  <si>
    <t>W15HF12C5G</t>
  </si>
  <si>
    <t>STRIPE ZIPPER CREW SWEAT</t>
  </si>
  <si>
    <t>W15HF23B9G</t>
  </si>
  <si>
    <t>TRUE BOXY CREW TSHIRT</t>
  </si>
  <si>
    <t>BIKER W FRINGES</t>
  </si>
  <si>
    <t>W16SC09A3G</t>
  </si>
  <si>
    <t>JACKET WITH FRINGES</t>
  </si>
  <si>
    <t>W16SF01C7G</t>
  </si>
  <si>
    <t>LOS ANGELES CA SWEATSHIRT</t>
  </si>
  <si>
    <t>W16SF02C7G</t>
  </si>
  <si>
    <t>TRUE ROSES EMBR SWEATSHIRT</t>
  </si>
  <si>
    <t>W16SF03C7G</t>
  </si>
  <si>
    <t>TRUE ROSES EMB ZIP HOODED JCKT</t>
  </si>
  <si>
    <t>W16SF05C7G</t>
  </si>
  <si>
    <t>DESTROY EFFECTS SHORT</t>
  </si>
  <si>
    <t>W16SF06C7G</t>
  </si>
  <si>
    <t>W16SF08C7G</t>
  </si>
  <si>
    <t>DESTROY ZIP HOODED JACKET</t>
  </si>
  <si>
    <t>W16SF22A6G</t>
  </si>
  <si>
    <t>W16SL07A3G</t>
  </si>
  <si>
    <t>W16SP05A1G</t>
  </si>
  <si>
    <t>SKINNY PANT WITH DESTRY INSERT</t>
  </si>
  <si>
    <t>W16SP06A8G</t>
  </si>
  <si>
    <t>SKINNY PANT WOUT  DESTROY INSR</t>
  </si>
  <si>
    <t>W16SP10A8G</t>
  </si>
  <si>
    <t>BIKER PANTS WOUT RIVETS</t>
  </si>
  <si>
    <t>DIRTY  TAUPE</t>
  </si>
  <si>
    <t>W16SP11A2G</t>
  </si>
  <si>
    <t>SUEDE FLARED PANT</t>
  </si>
  <si>
    <t>DIRTY TAUPE</t>
  </si>
  <si>
    <t>W16SP12A8G</t>
  </si>
  <si>
    <t>W16SS08A3G</t>
  </si>
  <si>
    <t>SUEDE SKIRT</t>
  </si>
  <si>
    <t>W16ST13B9G</t>
  </si>
  <si>
    <t>TRUE RELIGION CREW T SHIRT</t>
  </si>
  <si>
    <t>W16ST18E7G</t>
  </si>
  <si>
    <t>AIRFORCE BLUE</t>
  </si>
  <si>
    <t>W16ST19E7G</t>
  </si>
  <si>
    <t>ARMY TOP TANK</t>
  </si>
  <si>
    <t>W16ST20E7G</t>
  </si>
  <si>
    <t>W16ST21E7G</t>
  </si>
  <si>
    <t>W16ST22E7G</t>
  </si>
  <si>
    <t>LS CREW TSHIRT</t>
  </si>
  <si>
    <t>W16ST25F1G</t>
  </si>
  <si>
    <t>W16ST26F1G</t>
  </si>
  <si>
    <t>W16ST27F1G</t>
  </si>
  <si>
    <t>BASEBALL TSHIRT</t>
  </si>
  <si>
    <t>W16ST28G2G</t>
  </si>
  <si>
    <t>LA CA INDIGO STRIPE TOP</t>
  </si>
  <si>
    <t>W16ST34G1G</t>
  </si>
  <si>
    <t>INDIGO TANK TOP</t>
  </si>
  <si>
    <t>W16ST35G1G</t>
  </si>
  <si>
    <t>INDIGO VNECK TSHIRT</t>
  </si>
  <si>
    <t>W16ST36G1G</t>
  </si>
  <si>
    <t>W16ST39B9G</t>
  </si>
  <si>
    <t>2002 VNECK TSHIRT</t>
  </si>
  <si>
    <t>W16SW20B4G</t>
  </si>
  <si>
    <t>KNIT JACKET</t>
  </si>
  <si>
    <t>W16SX13A9G</t>
  </si>
  <si>
    <t>OVERSIZED PARKA</t>
  </si>
  <si>
    <t>W16SX19B3G</t>
  </si>
  <si>
    <t>W16SY14A9G</t>
  </si>
  <si>
    <t>W16SY21A6G</t>
  </si>
  <si>
    <t>BOMBER LEATHER JACKET</t>
  </si>
  <si>
    <t>W16SZ16B1G</t>
  </si>
  <si>
    <t>BIKER COAT</t>
  </si>
  <si>
    <t>INDGO</t>
  </si>
  <si>
    <t>W16SZ18B3G</t>
  </si>
  <si>
    <t>TRENCH COAT</t>
  </si>
  <si>
    <t>W16UG36D8G</t>
  </si>
  <si>
    <t>SILK SKIRT</t>
  </si>
  <si>
    <t>W21599STSM</t>
  </si>
  <si>
    <t>BASIC SKINNY W FLAP</t>
  </si>
  <si>
    <t>CHD BLUE LVA DYE</t>
  </si>
  <si>
    <t>CHD PINK LVA DYE</t>
  </si>
  <si>
    <t>W21C100TSM</t>
  </si>
  <si>
    <t>SLIM STRAIGHT BASIC W FLAP</t>
  </si>
  <si>
    <t>CHD BLCK LVA DYE</t>
  </si>
  <si>
    <t>W21N96TL9</t>
  </si>
  <si>
    <t>LEGGING FLP BIG T WHPTSTH</t>
  </si>
  <si>
    <t>W21N96WH3</t>
  </si>
  <si>
    <t>LEGGING WFLAPS NATURALINE SN</t>
  </si>
  <si>
    <t>CZD PINK/NATURAL</t>
  </si>
  <si>
    <t>W2G592SEM</t>
  </si>
  <si>
    <t>W2G599SHE8</t>
  </si>
  <si>
    <t>SKINNY W/FLP W/CLR CRYSTAL LOG</t>
  </si>
  <si>
    <t>W2GA817TSM</t>
  </si>
  <si>
    <t>ROLLED CAPRI BASIC</t>
  </si>
  <si>
    <t>CWP BEADED SLIM CREW TEE</t>
  </si>
  <si>
    <t>BECCA MID RISE BOOTCUT W FLAPS</t>
  </si>
  <si>
    <t>W4GC559TS</t>
  </si>
  <si>
    <t>MOTO SINGLE END</t>
  </si>
  <si>
    <t>WHITE W/ GREY</t>
  </si>
  <si>
    <t>W4GN96NBT</t>
  </si>
  <si>
    <t>LEGGING W FLAP NAT BIG T</t>
  </si>
  <si>
    <t>CRT FUSCHIA</t>
  </si>
  <si>
    <t>W4IA704TW3</t>
  </si>
  <si>
    <t>CRYSTAL HORSESHOE HENLEY</t>
  </si>
  <si>
    <t>VINTAGE PATCHED HALLE SK 30</t>
  </si>
  <si>
    <t>BLEACHED BLUE JOEY SHORT F 2</t>
  </si>
  <si>
    <t>JOEY CUT OFF MID RISE SHORT F2</t>
  </si>
  <si>
    <t>W5J592STL6</t>
  </si>
  <si>
    <t>SKINNY WHT RPD</t>
  </si>
  <si>
    <t>CMF WHT RPD N TN</t>
  </si>
  <si>
    <t>W5J599SBJ9</t>
  </si>
  <si>
    <t>SKINNY WFLP BLK RPD</t>
  </si>
  <si>
    <t>CMF BLK RPD N TN</t>
  </si>
  <si>
    <t>W5JN95TA3</t>
  </si>
  <si>
    <t>LEGGING CRYSTAL LOGO</t>
  </si>
  <si>
    <t>ENDLESS SKIES CROP CREW TEE</t>
  </si>
  <si>
    <t>WA933JC820</t>
  </si>
  <si>
    <t>VINTAGE BUDDHA SLIM  V NECK</t>
  </si>
  <si>
    <t>BOTTLE GREEN</t>
  </si>
  <si>
    <t>CHILI PEPPER RED</t>
  </si>
  <si>
    <t>BOYSENBERRY</t>
  </si>
  <si>
    <t>NEON</t>
  </si>
  <si>
    <t>WB083UD3S</t>
  </si>
  <si>
    <t>BECCA BOOTCUT SUPER T</t>
  </si>
  <si>
    <t>COND</t>
  </si>
  <si>
    <t>COND CLN INKY BLS</t>
  </si>
  <si>
    <t>WB083UF9S</t>
  </si>
  <si>
    <t>BECCA BOOTCUT</t>
  </si>
  <si>
    <t>COLD</t>
  </si>
  <si>
    <t>COLD DK ATNTC IND</t>
  </si>
  <si>
    <t>WB083UG3</t>
  </si>
  <si>
    <t>BECCA BOOTCUT PICKSTITCH</t>
  </si>
  <si>
    <t>COVD</t>
  </si>
  <si>
    <t>COVD BOYFRNDS WSH</t>
  </si>
  <si>
    <t>WB083UR8</t>
  </si>
  <si>
    <t>BYZ OPTIC WHITE</t>
  </si>
  <si>
    <t>HARPER HIGH RISE SUPER SKINNY</t>
  </si>
  <si>
    <t>WB086UD8</t>
  </si>
  <si>
    <t>HARPER</t>
  </si>
  <si>
    <t>COWD</t>
  </si>
  <si>
    <t>COWD INKY ATHNTC</t>
  </si>
  <si>
    <t>WB086UE0</t>
  </si>
  <si>
    <t>COYB</t>
  </si>
  <si>
    <t>COYB DUSTY BLACK</t>
  </si>
  <si>
    <t>WB092UA7</t>
  </si>
  <si>
    <t>COIL</t>
  </si>
  <si>
    <t>COIL D ATH BB WR</t>
  </si>
  <si>
    <t>WB092UA9</t>
  </si>
  <si>
    <t>WB092UB0</t>
  </si>
  <si>
    <t>WB092UB9</t>
  </si>
  <si>
    <t>COPB</t>
  </si>
  <si>
    <t>COPB BLACK VENOM</t>
  </si>
  <si>
    <t>WB092UC2</t>
  </si>
  <si>
    <t>CLK BTR WSH BLK</t>
  </si>
  <si>
    <t>WB092UD4</t>
  </si>
  <si>
    <t>COZ ACE</t>
  </si>
  <si>
    <t>COZ DEEP PLUM</t>
  </si>
  <si>
    <t>COZ BOYSENBERRY</t>
  </si>
  <si>
    <t>WB092UD5S</t>
  </si>
  <si>
    <t>WB092UD7</t>
  </si>
  <si>
    <t>COUM</t>
  </si>
  <si>
    <t>COUM BAYWOOD CLN</t>
  </si>
  <si>
    <t>WB092UD9</t>
  </si>
  <si>
    <t>COXB</t>
  </si>
  <si>
    <t>COXB DSTRYD G HA</t>
  </si>
  <si>
    <t>WB092UE1</t>
  </si>
  <si>
    <t>CPAB</t>
  </si>
  <si>
    <t>CPAB METLC PYTHN</t>
  </si>
  <si>
    <t>WB092UE2</t>
  </si>
  <si>
    <t>COKB</t>
  </si>
  <si>
    <t>COKB AUTHNTC BLK</t>
  </si>
  <si>
    <t>WB092UE5</t>
  </si>
  <si>
    <t>CPCB</t>
  </si>
  <si>
    <t>CPCB STERLNG BLK</t>
  </si>
  <si>
    <t>WB092UE6</t>
  </si>
  <si>
    <t>CPCD</t>
  </si>
  <si>
    <t>CPCD STERLING BL</t>
  </si>
  <si>
    <t>WB092UE7</t>
  </si>
  <si>
    <t>CPDL</t>
  </si>
  <si>
    <t>CPDL NPTUNE BLUE</t>
  </si>
  <si>
    <t>WB092UF0</t>
  </si>
  <si>
    <t>CPGB</t>
  </si>
  <si>
    <t>CPGB WARM GREY</t>
  </si>
  <si>
    <t>WB092UF5</t>
  </si>
  <si>
    <t>CNT SILICONE RINSE</t>
  </si>
  <si>
    <t>WB092UF7</t>
  </si>
  <si>
    <t>SILICONE RINSE</t>
  </si>
  <si>
    <t>WB092UF8S</t>
  </si>
  <si>
    <t>WB092UG2</t>
  </si>
  <si>
    <t>CPL CHILI PEPPER</t>
  </si>
  <si>
    <t>WB092UH5</t>
  </si>
  <si>
    <t>CNS WHITE SHINE</t>
  </si>
  <si>
    <t>WB092UI7S</t>
  </si>
  <si>
    <t>CPFB</t>
  </si>
  <si>
    <t>CPFB POWDER GREY</t>
  </si>
  <si>
    <t>WB092UP8</t>
  </si>
  <si>
    <t>DAK WHITE NOISE</t>
  </si>
  <si>
    <t>WB092UR8</t>
  </si>
  <si>
    <t>WB092US0</t>
  </si>
  <si>
    <t>CRB NEON YELLOW</t>
  </si>
  <si>
    <t>CRB</t>
  </si>
  <si>
    <t>WB092UX9</t>
  </si>
  <si>
    <t>COQB</t>
  </si>
  <si>
    <t>COQB GREY SHADOW</t>
  </si>
  <si>
    <t>WB092VK6</t>
  </si>
  <si>
    <t>CULD</t>
  </si>
  <si>
    <t>CULD INDGO DSTRY</t>
  </si>
  <si>
    <t>WB092VK7</t>
  </si>
  <si>
    <t>CUMD</t>
  </si>
  <si>
    <t>CUMD WORN VNTAGE</t>
  </si>
  <si>
    <t>WB092VK9</t>
  </si>
  <si>
    <t>CSO CAMO FLORAL</t>
  </si>
  <si>
    <t>WB092VM2</t>
  </si>
  <si>
    <t>CUTL</t>
  </si>
  <si>
    <t>CUTL 70'S SKY</t>
  </si>
  <si>
    <t>WB092VM2S</t>
  </si>
  <si>
    <t>WB092VM3</t>
  </si>
  <si>
    <t>CUUM</t>
  </si>
  <si>
    <t>CUUM 70S BRGHT BL</t>
  </si>
  <si>
    <t>WB092WB7</t>
  </si>
  <si>
    <t>CXA TRUE DESTROYED WHITE</t>
  </si>
  <si>
    <t>WB092XL5</t>
  </si>
  <si>
    <t>DAU JET BLACK</t>
  </si>
  <si>
    <t>WB093UB0</t>
  </si>
  <si>
    <t>CORD</t>
  </si>
  <si>
    <t>CORD DK ATH IND</t>
  </si>
  <si>
    <t>WB093UE2</t>
  </si>
  <si>
    <t>LIV</t>
  </si>
  <si>
    <t>WB093VL9S</t>
  </si>
  <si>
    <t>NU BOY SUPER T</t>
  </si>
  <si>
    <t>CUSM</t>
  </si>
  <si>
    <t>CUSM VNT TR RLGN</t>
  </si>
  <si>
    <t>WB211VL5</t>
  </si>
  <si>
    <t>KEIRA LOW RISE SHORT W FLAPS</t>
  </si>
  <si>
    <t>CUOL</t>
  </si>
  <si>
    <t>CUOL VINTGE TRUE</t>
  </si>
  <si>
    <t>WB211VM2</t>
  </si>
  <si>
    <t>WB211VN4</t>
  </si>
  <si>
    <t>CVCG</t>
  </si>
  <si>
    <t>CVCG GREY SKY</t>
  </si>
  <si>
    <t>WB212SW11</t>
  </si>
  <si>
    <t>WB213VL4</t>
  </si>
  <si>
    <t>CUNL</t>
  </si>
  <si>
    <t>CUNL TR VINTAGE</t>
  </si>
  <si>
    <t>WB213VL7</t>
  </si>
  <si>
    <t>CUQL</t>
  </si>
  <si>
    <t>CUQL VT TR DT F E</t>
  </si>
  <si>
    <t>CORA W FLAPS SUPER T</t>
  </si>
  <si>
    <t>LONG PARKA W SHERPA LINING</t>
  </si>
  <si>
    <t>WB301VB1</t>
  </si>
  <si>
    <t>JS HIGH RISE STACKED SKINNY</t>
  </si>
  <si>
    <t>CTIM</t>
  </si>
  <si>
    <t>CTIM LONER</t>
  </si>
  <si>
    <t>WB301VB6</t>
  </si>
  <si>
    <t>CUJB</t>
  </si>
  <si>
    <t>CUJB HELLCAT</t>
  </si>
  <si>
    <t>HIGH RISE BRIEF</t>
  </si>
  <si>
    <t>WB303KI9</t>
  </si>
  <si>
    <t>JS U TR BRANDED BRALETTE</t>
  </si>
  <si>
    <t>WB319UE8</t>
  </si>
  <si>
    <t>CPEM</t>
  </si>
  <si>
    <t>CPEM DST ELC B WR</t>
  </si>
  <si>
    <t>WB321UA7</t>
  </si>
  <si>
    <t>LIV SLIM BOYFRIEND</t>
  </si>
  <si>
    <t>WB324TT6</t>
  </si>
  <si>
    <t>DOUBLE LAYER SWEATSHIRT</t>
  </si>
  <si>
    <t>WB327UZ1</t>
  </si>
  <si>
    <t>CSUL</t>
  </si>
  <si>
    <t>CSUL NU DRIFTER</t>
  </si>
  <si>
    <t>WB327UZ2</t>
  </si>
  <si>
    <t>WB329VJ6</t>
  </si>
  <si>
    <t>PEACOCK PRINT CLSIC SWEATSHIRT</t>
  </si>
  <si>
    <t>PEACOCK PRINT</t>
  </si>
  <si>
    <t>WB330VA7</t>
  </si>
  <si>
    <t>JS U TR SS OVERSIZED TEE</t>
  </si>
  <si>
    <t>WB332VK1</t>
  </si>
  <si>
    <t>SS MESH TOP</t>
  </si>
  <si>
    <t>WB336VK0</t>
  </si>
  <si>
    <t>COATED SCUBA W LEATHER HOOD</t>
  </si>
  <si>
    <t>WB337VI7</t>
  </si>
  <si>
    <t>JS MID RISE W WAISTBAND ZIP</t>
  </si>
  <si>
    <t>WB338UQ1</t>
  </si>
  <si>
    <t>JS MID RISE W BK PCKT ZIPPERS</t>
  </si>
  <si>
    <t>WB340VB5</t>
  </si>
  <si>
    <t>JS MID RISE DENIM AND LEATHER</t>
  </si>
  <si>
    <t>WB341VB0</t>
  </si>
  <si>
    <t>JS MID RISE FLARE</t>
  </si>
  <si>
    <t>CXGD</t>
  </si>
  <si>
    <t>CXGD LINGER</t>
  </si>
  <si>
    <t>WB341VB1</t>
  </si>
  <si>
    <t>WB352FN9</t>
  </si>
  <si>
    <t>SS OVERSIZED T W LEATHER SLV</t>
  </si>
  <si>
    <t>WB355VI7</t>
  </si>
  <si>
    <t>JS MID RISE SKIRT W WSTBND ZIP</t>
  </si>
  <si>
    <t>WB360VK4</t>
  </si>
  <si>
    <t>DARI JACKET</t>
  </si>
  <si>
    <t>WB363WC3</t>
  </si>
  <si>
    <t>KARLIE BELL BOTTOM WELT PKT</t>
  </si>
  <si>
    <t>CXBL</t>
  </si>
  <si>
    <t>CXBL BEYOND BLUE</t>
  </si>
  <si>
    <t>WB363WC3R</t>
  </si>
  <si>
    <t>KARLIE BELL BTM WELT PKT 32 IN</t>
  </si>
  <si>
    <t>WBR564TS</t>
  </si>
  <si>
    <t>BOOTCUT WFLPS NAT SN</t>
  </si>
  <si>
    <t>CNAL</t>
  </si>
  <si>
    <t>CNAL WSTRN WSHES</t>
  </si>
  <si>
    <t>WBR592SEM</t>
  </si>
  <si>
    <t>SKINNY - MIDNIGHT SINGLE NEEDL</t>
  </si>
  <si>
    <t>WBR599STE0</t>
  </si>
  <si>
    <t>SKINNY W FLAP 32 INSEAM</t>
  </si>
  <si>
    <t>WBRA817MD2</t>
  </si>
  <si>
    <t>ROLLED CAPRI WFLP CRYTL BTTN</t>
  </si>
  <si>
    <t>CMNL</t>
  </si>
  <si>
    <t>CMNL STONE CLIFF</t>
  </si>
  <si>
    <t>WBRB068TS</t>
  </si>
  <si>
    <t>MID RISE BOYFRIEND</t>
  </si>
  <si>
    <t>WBRC100TE5</t>
  </si>
  <si>
    <t>SLIM STRAIGHT W FLAP BIG T</t>
  </si>
  <si>
    <t>WBRC323TS</t>
  </si>
  <si>
    <t>CUT OFF CONCEPT</t>
  </si>
  <si>
    <t>WBRC325Y9</t>
  </si>
  <si>
    <t>SKINNY CONCEPT</t>
  </si>
  <si>
    <t>WBRN96UT9</t>
  </si>
  <si>
    <t>LEGGING W FLAP SPR T MEND</t>
  </si>
  <si>
    <t>CRVD</t>
  </si>
  <si>
    <t>CRVD FIRE &amp; SMKE</t>
  </si>
  <si>
    <t>WBRQ70TS</t>
  </si>
  <si>
    <t>WBRZ21HE8</t>
  </si>
  <si>
    <t>MID CUT OFF SHORT W FLAPS</t>
  </si>
  <si>
    <t>WC012UE5</t>
  </si>
  <si>
    <t>WC012UE9</t>
  </si>
  <si>
    <t>WC012UG3</t>
  </si>
  <si>
    <t>CASEY SUPER SKINNY PICKSTITCH</t>
  </si>
  <si>
    <t>WC012UI6S</t>
  </si>
  <si>
    <t>CPJM</t>
  </si>
  <si>
    <t>CPJM ELECTRIC BL</t>
  </si>
  <si>
    <t>WC012UR8</t>
  </si>
  <si>
    <t>WC012VL5</t>
  </si>
  <si>
    <t>WC012VN4</t>
  </si>
  <si>
    <t>WC013UB0</t>
  </si>
  <si>
    <t>WC013UD5S</t>
  </si>
  <si>
    <t>WC013UF8S</t>
  </si>
  <si>
    <t>WC013UJ2S</t>
  </si>
  <si>
    <t>WC013UR8</t>
  </si>
  <si>
    <t>CASEY W FLAPS SUPER T</t>
  </si>
  <si>
    <t>TRUE CLASSICAL SS SLIM  CREW</t>
  </si>
  <si>
    <t>WC051JC793</t>
  </si>
  <si>
    <t>BUDDHA IND CROP ZIP HOODIE</t>
  </si>
  <si>
    <t>WC051TQ2</t>
  </si>
  <si>
    <t>VELOUR CROPPED ZIP UP HOODIE</t>
  </si>
  <si>
    <t>WC051VG6</t>
  </si>
  <si>
    <t>DISTRESSED CROP ZIP HOODIE</t>
  </si>
  <si>
    <t>SHOCKING</t>
  </si>
  <si>
    <t>WC051VJ4F</t>
  </si>
  <si>
    <t>DITSY FLORAL CROP ZIP HOODIE</t>
  </si>
  <si>
    <t>MIDNIGHT FLORAL</t>
  </si>
  <si>
    <t>WC055JC782</t>
  </si>
  <si>
    <t>LIVE FREE BASEBALL RAGLAN</t>
  </si>
  <si>
    <t>WHITE/MONARCH</t>
  </si>
  <si>
    <t>WC055JC783</t>
  </si>
  <si>
    <t>NYC BASEBALL RAGLAN</t>
  </si>
  <si>
    <t>WHITE/BLACK</t>
  </si>
  <si>
    <t>WC056TN6</t>
  </si>
  <si>
    <t>EMBELLISHED BF ZIP HOODIE</t>
  </si>
  <si>
    <t>WC058JC781</t>
  </si>
  <si>
    <t>LOGO SWEATPANT</t>
  </si>
  <si>
    <t>OLIVE DRAB</t>
  </si>
  <si>
    <t>BELLE</t>
  </si>
  <si>
    <t>WC058NP71</t>
  </si>
  <si>
    <t>LOGO CREST SWEATPANT</t>
  </si>
  <si>
    <t>WC058TN6</t>
  </si>
  <si>
    <t>EMBELLISHED BANDED SKINNY</t>
  </si>
  <si>
    <t>WC058TP9</t>
  </si>
  <si>
    <t>PYTHON SWEATPANT</t>
  </si>
  <si>
    <t>INDIGO PYTHON</t>
  </si>
  <si>
    <t>WC058VJ4F</t>
  </si>
  <si>
    <t>DITSY FLORAL PRINT SWEATPANT</t>
  </si>
  <si>
    <t>T RELIGION SEQUIN BF PULLOVER</t>
  </si>
  <si>
    <t>WC094JC203</t>
  </si>
  <si>
    <t>MOTO GRAPHIC SLIM V NECK</t>
  </si>
  <si>
    <t>15F3</t>
  </si>
  <si>
    <t>WC097JC794</t>
  </si>
  <si>
    <t>LOGO IND MARISSA SWEATPANT</t>
  </si>
  <si>
    <t>ACE STRIPE</t>
  </si>
  <si>
    <t>SS SUNSET BASEBALL RAGLAN TEE</t>
  </si>
  <si>
    <t>T RELIGION SEQUIN SL CREW</t>
  </si>
  <si>
    <t>SKULL SL RELAXED CREW</t>
  </si>
  <si>
    <t>WC244TN8</t>
  </si>
  <si>
    <t>DOUBLE DYE ACE</t>
  </si>
  <si>
    <t>WC244TQ2</t>
  </si>
  <si>
    <t>VELOUR TROUSER</t>
  </si>
  <si>
    <t>LEATHER SEQUIN VARSITY JKT</t>
  </si>
  <si>
    <t>WC311UB1</t>
  </si>
  <si>
    <t>COMD</t>
  </si>
  <si>
    <t>COMD WESTERN SKY</t>
  </si>
  <si>
    <t>THE RUNWAY LEGGING BI STRETCH</t>
  </si>
  <si>
    <t>2S  RINSE (BI-STRETCH)</t>
  </si>
  <si>
    <t>THE RUNWAY LEGGING TONAL STIT</t>
  </si>
  <si>
    <t>2S RINSE (TONAL)</t>
  </si>
  <si>
    <t>WC321UY7</t>
  </si>
  <si>
    <t>CTEB</t>
  </si>
  <si>
    <t>CTEB BLK VT SLTCE</t>
  </si>
  <si>
    <t>WC321UY8</t>
  </si>
  <si>
    <t>CTFD</t>
  </si>
  <si>
    <t>CTFD NATIVE AURA</t>
  </si>
  <si>
    <t>WC321UY9</t>
  </si>
  <si>
    <t>CTGL</t>
  </si>
  <si>
    <t>CTGL CLSTIAL SKY</t>
  </si>
  <si>
    <t>WC321VL3</t>
  </si>
  <si>
    <t>DADM</t>
  </si>
  <si>
    <t>DADM RFR BL DEST</t>
  </si>
  <si>
    <t>WC321VS6</t>
  </si>
  <si>
    <t>CTUM</t>
  </si>
  <si>
    <t>CTUM CAPRI BLUE</t>
  </si>
  <si>
    <t>CTVD</t>
  </si>
  <si>
    <t>CTVD DK SAPPHIRE</t>
  </si>
  <si>
    <t>WC321VS9</t>
  </si>
  <si>
    <t>RUNWAY LEGGING</t>
  </si>
  <si>
    <t>CTXD</t>
  </si>
  <si>
    <t>CTXD TURMALINE</t>
  </si>
  <si>
    <t>WC321VT2</t>
  </si>
  <si>
    <t>CLK BUTTER WASH</t>
  </si>
  <si>
    <t>WC321VT3</t>
  </si>
  <si>
    <t>CTZD</t>
  </si>
  <si>
    <t>CTZD GREY SPLATR</t>
  </si>
  <si>
    <t>CUAM</t>
  </si>
  <si>
    <t>CUAM METALLC GRY</t>
  </si>
  <si>
    <t>WC321WC0</t>
  </si>
  <si>
    <t>DAED</t>
  </si>
  <si>
    <t>DAED SMKG M DEST</t>
  </si>
  <si>
    <t>WC321WJ6</t>
  </si>
  <si>
    <t>DACL</t>
  </si>
  <si>
    <t>DACL MNTY BL DEST</t>
  </si>
  <si>
    <t>WC331TN8</t>
  </si>
  <si>
    <t>CHILLI PEPPER PYTHON</t>
  </si>
  <si>
    <t>DENIM PRINTED SILK SL RLX CRW</t>
  </si>
  <si>
    <t>WC362TP7</t>
  </si>
  <si>
    <t>SOLID SILK RLXED GEORGIA TUNIC</t>
  </si>
  <si>
    <t>WC363JC984</t>
  </si>
  <si>
    <t>FLORAL BF SWEATSHRT</t>
  </si>
  <si>
    <t>WC363JC98F</t>
  </si>
  <si>
    <t>FLORAL DISTRESSED BF SWEATSHRT</t>
  </si>
  <si>
    <t>WC363TN6</t>
  </si>
  <si>
    <t>EMBELLISHED SWEATSHIRT</t>
  </si>
  <si>
    <t>SOLID S L MUSCLE CREW</t>
  </si>
  <si>
    <t>TR WATERCOLOR RLXD SS CREW</t>
  </si>
  <si>
    <t>PLAID UTILITY LS SHIRT</t>
  </si>
  <si>
    <t>WC389TN1</t>
  </si>
  <si>
    <t>PLAID UTILITY SHIRT</t>
  </si>
  <si>
    <t>YELLOW/BLACK PLAID</t>
  </si>
  <si>
    <t>WC389TN8</t>
  </si>
  <si>
    <t>WC389TN9</t>
  </si>
  <si>
    <t>POPLIN UTLITY LS SHIRT</t>
  </si>
  <si>
    <t>WC389UP6</t>
  </si>
  <si>
    <t>LT WEIGHT DENIM UTILITY SHIRT</t>
  </si>
  <si>
    <t>NEPTUNE WASH</t>
  </si>
  <si>
    <t>WC389VH7</t>
  </si>
  <si>
    <t>BLUE WHITE MULTI PLAID</t>
  </si>
  <si>
    <t>MIDNIGHT MULTI PLAID</t>
  </si>
  <si>
    <t>WC389WK7</t>
  </si>
  <si>
    <t>DENIM UTILITY SHIRT</t>
  </si>
  <si>
    <t>INDIGO BIG STITCH HI LOW TANK</t>
  </si>
  <si>
    <t>WC410TT4</t>
  </si>
  <si>
    <t>ZIP BCK LEGING W BRNDED ELSTIC</t>
  </si>
  <si>
    <t>WC416TT4</t>
  </si>
  <si>
    <t>ATHLETIC BRA</t>
  </si>
  <si>
    <t>WC417TT4</t>
  </si>
  <si>
    <t>CROP ATHLETIC TANK</t>
  </si>
  <si>
    <t>MESH COMBO SL SWEATSHIRT</t>
  </si>
  <si>
    <t>WC429TP8</t>
  </si>
  <si>
    <t>LONG LINE TANK</t>
  </si>
  <si>
    <t>WC477TQ4</t>
  </si>
  <si>
    <t>MIX MEDIA MOTO JKT</t>
  </si>
  <si>
    <t>WC477UT0</t>
  </si>
  <si>
    <t>COSD</t>
  </si>
  <si>
    <t>COSD STARRY NGHT</t>
  </si>
  <si>
    <t>WC478TQ2</t>
  </si>
  <si>
    <t>MOTO ZIP BF SWEATSHIRT</t>
  </si>
  <si>
    <t>DEEP PLUM</t>
  </si>
  <si>
    <t>WC479TQ2</t>
  </si>
  <si>
    <t>MOTO ZIP SWEATPANT</t>
  </si>
  <si>
    <t>WC480NP65</t>
  </si>
  <si>
    <t>TR LOGO CREST GRAPHIC PULLOVER</t>
  </si>
  <si>
    <t>WC480NP71</t>
  </si>
  <si>
    <t>LOGO CREST CROP SWEATSHIRT</t>
  </si>
  <si>
    <t>WC480TP9</t>
  </si>
  <si>
    <t>PYTHON IND  CROP SWEATSHIRT</t>
  </si>
  <si>
    <t>WC480UA5</t>
  </si>
  <si>
    <t>GRAPHIC STRIPE PULLOVER</t>
  </si>
  <si>
    <t>WC480UA6</t>
  </si>
  <si>
    <t>NEON SNW LEOPARD PULLOVER</t>
  </si>
  <si>
    <t>NEON SNOW LEOPARD PRINT</t>
  </si>
  <si>
    <t>WC483NP68</t>
  </si>
  <si>
    <t>PYTHN PRNT RLXD MSCLE TANK</t>
  </si>
  <si>
    <t>GREYSCALE</t>
  </si>
  <si>
    <t>WC487TP1</t>
  </si>
  <si>
    <t>FAUX FUR CROP MOTO JKT</t>
  </si>
  <si>
    <t>WC488SS9</t>
  </si>
  <si>
    <t>BIG T ACTIVE SKINNY</t>
  </si>
  <si>
    <t>WC488TN8</t>
  </si>
  <si>
    <t>CHILI PEPPER PYTHON</t>
  </si>
  <si>
    <t>WC489TP2</t>
  </si>
  <si>
    <t>FOILED CARDIGAN</t>
  </si>
  <si>
    <t>INDIGO/BLACK</t>
  </si>
  <si>
    <t>WC490NP71</t>
  </si>
  <si>
    <t>LOGO CREST OVRSZD BF HOODIE</t>
  </si>
  <si>
    <t>WC490TP9</t>
  </si>
  <si>
    <t>PYTHON IND OVRSZD BF HOODIE</t>
  </si>
  <si>
    <t>WC491TQ5</t>
  </si>
  <si>
    <t>COLOR BLOCK PUFFER JKT</t>
  </si>
  <si>
    <t>ACE/ICE</t>
  </si>
  <si>
    <t>WC494TP6</t>
  </si>
  <si>
    <t>TRIBLEND HENLEY</t>
  </si>
  <si>
    <t>PONDEROSA PINE</t>
  </si>
  <si>
    <t>WC495TN5</t>
  </si>
  <si>
    <t>STUDDED POCKET SHIRT</t>
  </si>
  <si>
    <t>STERLING</t>
  </si>
  <si>
    <t>WC496TP7</t>
  </si>
  <si>
    <t>SILK CAMISOLE</t>
  </si>
  <si>
    <t>WC498TN2</t>
  </si>
  <si>
    <t>DRAWSTRING CARGO JKT</t>
  </si>
  <si>
    <t>ACE LEOPARD</t>
  </si>
  <si>
    <t>WC499TN2</t>
  </si>
  <si>
    <t>NEON HIT ZIP FRONT HOODIE</t>
  </si>
  <si>
    <t>WC500TN2</t>
  </si>
  <si>
    <t>NEON HIT ANKLE ZIP PANT</t>
  </si>
  <si>
    <t>WC502TM7</t>
  </si>
  <si>
    <t>KNIT WOVEN LS TOP</t>
  </si>
  <si>
    <t>WC503TN3</t>
  </si>
  <si>
    <t>FOILED LEATHER MOTO JKT</t>
  </si>
  <si>
    <t>WC504TQ6</t>
  </si>
  <si>
    <t>MINI STRIPE SLIM LS ZIP RAGLN</t>
  </si>
  <si>
    <t>BLACK/NATURAL MINI STRIPE</t>
  </si>
  <si>
    <t>WC505TQ6</t>
  </si>
  <si>
    <t>MINI STRIPE ZIP TANK</t>
  </si>
  <si>
    <t>WC506UB0</t>
  </si>
  <si>
    <t>WC506UC8</t>
  </si>
  <si>
    <t>WC507UA8</t>
  </si>
  <si>
    <t>COJM</t>
  </si>
  <si>
    <t>COJM IND ECLIPSE</t>
  </si>
  <si>
    <t>WC508UA9</t>
  </si>
  <si>
    <t>WC508UB7</t>
  </si>
  <si>
    <t>COOB</t>
  </si>
  <si>
    <t>COOB TAR WASH</t>
  </si>
  <si>
    <t>WC508UD8</t>
  </si>
  <si>
    <t>WC508UD9</t>
  </si>
  <si>
    <t>CPMB</t>
  </si>
  <si>
    <t>CPMB GRY HZE CLN</t>
  </si>
  <si>
    <t>WC508UF1</t>
  </si>
  <si>
    <t>HALLE</t>
  </si>
  <si>
    <t>CPH WORN WHITE</t>
  </si>
  <si>
    <t>WC508UQ7</t>
  </si>
  <si>
    <t>CPL BOYSENBERRY</t>
  </si>
  <si>
    <t>WC509UB5</t>
  </si>
  <si>
    <t>WC509UB7</t>
  </si>
  <si>
    <t>WC510UC2</t>
  </si>
  <si>
    <t>WC511UC9</t>
  </si>
  <si>
    <t>RELAXED GEORGIA W SIDE ZIPS</t>
  </si>
  <si>
    <t>COTD</t>
  </si>
  <si>
    <t>COTD COSMIC BLUE</t>
  </si>
  <si>
    <t>WC513UD7</t>
  </si>
  <si>
    <t>WC520UB6</t>
  </si>
  <si>
    <t>WC522TQ1</t>
  </si>
  <si>
    <t>PLAID ZIP RLXD GEORGIA TUNIC</t>
  </si>
  <si>
    <t>WC526UA9</t>
  </si>
  <si>
    <t>JOEY LOW RISE FLARE FLAP</t>
  </si>
  <si>
    <t>WC526VM7</t>
  </si>
  <si>
    <t>JOEY LOW RISE FLARE W FLAPS</t>
  </si>
  <si>
    <t>CUWL</t>
  </si>
  <si>
    <t>CUWL SKYLIGHT</t>
  </si>
  <si>
    <t>WC531TP8</t>
  </si>
  <si>
    <t>LONG LINE LS CREW</t>
  </si>
  <si>
    <t>WC535UD3S</t>
  </si>
  <si>
    <t>WC535UG1S</t>
  </si>
  <si>
    <t>WC535UR8</t>
  </si>
  <si>
    <t>CASEY LOW RISE SKINNY FLAPS</t>
  </si>
  <si>
    <t>WC535UZ1</t>
  </si>
  <si>
    <t>WC543JC181</t>
  </si>
  <si>
    <t>PYTHON BOLT BOYFRIEND MUSCLE</t>
  </si>
  <si>
    <t>WC543JC189</t>
  </si>
  <si>
    <t>BAD IDEA BOYFRIEND MUSCLE</t>
  </si>
  <si>
    <t>WC543JC192</t>
  </si>
  <si>
    <t>TRUE MAKEUP MUSCLE</t>
  </si>
  <si>
    <t>WC543JC450</t>
  </si>
  <si>
    <t>STUDIO 54 BOYFRIEND MUSCLE</t>
  </si>
  <si>
    <t>WC543JC784</t>
  </si>
  <si>
    <t>DISTRESSED BUDDHA BF MUSCLE</t>
  </si>
  <si>
    <t>WC543JC791</t>
  </si>
  <si>
    <t>FLORAL NEGATIVE BF MUSCLE</t>
  </si>
  <si>
    <t>WC543JC797</t>
  </si>
  <si>
    <t>BUDDAH CALIGRAPHY BF MUSCLE</t>
  </si>
  <si>
    <t>WC543JC800</t>
  </si>
  <si>
    <t>POET BF MUSCLE</t>
  </si>
  <si>
    <t>WC543UA4</t>
  </si>
  <si>
    <t>SNOW LEOPARD BF MUSCLE</t>
  </si>
  <si>
    <t>WC544JC180</t>
  </si>
  <si>
    <t>PLAY LOUD BOYFRIEND CREW</t>
  </si>
  <si>
    <t>WC544JC182</t>
  </si>
  <si>
    <t>PHOTOREAL BOYFRIEND CREW</t>
  </si>
  <si>
    <t>WC544JC183</t>
  </si>
  <si>
    <t>TR LOGO CREST BF CREW</t>
  </si>
  <si>
    <t>WC544JC186</t>
  </si>
  <si>
    <t>SLOGAN STRIPE BOYFRIEND CREW</t>
  </si>
  <si>
    <t>BLACK/NATURAL BIG STRIPE</t>
  </si>
  <si>
    <t>WC544JC190</t>
  </si>
  <si>
    <t>EXPOSED BOYFRIEND CREW</t>
  </si>
  <si>
    <t>WC544JC191</t>
  </si>
  <si>
    <t>UNZIPPED BOYFRIEND CREW</t>
  </si>
  <si>
    <t>WC544JC460</t>
  </si>
  <si>
    <t>OLD ENGLISH BOYFRIEND CREW</t>
  </si>
  <si>
    <t>WC544JC785</t>
  </si>
  <si>
    <t>DISTRESSED BUDDHA BF CREW</t>
  </si>
  <si>
    <t>WC544JC789</t>
  </si>
  <si>
    <t>L AMOUR BF CREW</t>
  </si>
  <si>
    <t>WC544JC799</t>
  </si>
  <si>
    <t>DISTRESSEDBUDDHA LOVAZ BF CREW</t>
  </si>
  <si>
    <t>WC545TP6</t>
  </si>
  <si>
    <t>TRIBLEND BOYFRIEND V NECK</t>
  </si>
  <si>
    <t>WC547UE2</t>
  </si>
  <si>
    <t>WC547UG1</t>
  </si>
  <si>
    <t>WC547UG5</t>
  </si>
  <si>
    <t>WC547VK7</t>
  </si>
  <si>
    <t>LIV LOW RISE SLIM BOYFRIEND</t>
  </si>
  <si>
    <t>WC547VL6S</t>
  </si>
  <si>
    <t>CUPL</t>
  </si>
  <si>
    <t>CUPL VNT TR DEST</t>
  </si>
  <si>
    <t>WC547VM9</t>
  </si>
  <si>
    <t>CUYM</t>
  </si>
  <si>
    <t>CUYM BLUE Z</t>
  </si>
  <si>
    <t>WC547VN3</t>
  </si>
  <si>
    <t>CVBG</t>
  </si>
  <si>
    <t>CVBG ACID TRIP</t>
  </si>
  <si>
    <t>NECKLACE PRINT SL  RLXD CREW</t>
  </si>
  <si>
    <t>WC568UA9</t>
  </si>
  <si>
    <t>WC568VK5</t>
  </si>
  <si>
    <t>JOEY CUTOFF SHORT W FLAPS</t>
  </si>
  <si>
    <t>WC568VK7</t>
  </si>
  <si>
    <t>WC568VK9</t>
  </si>
  <si>
    <t>WC568VL6</t>
  </si>
  <si>
    <t>WC568VN9</t>
  </si>
  <si>
    <t>CVE RIVERA BLUE</t>
  </si>
  <si>
    <t>CVE SHOCKING PINK</t>
  </si>
  <si>
    <t>WC570UC5</t>
  </si>
  <si>
    <t>JOEY LOW RISE FLARE</t>
  </si>
  <si>
    <t>COSD STARRY SKY</t>
  </si>
  <si>
    <t>WC570UF5</t>
  </si>
  <si>
    <t>WC570WB7</t>
  </si>
  <si>
    <t>WC575TQ2</t>
  </si>
  <si>
    <t>MOTO ZIP VELOUR JACKET</t>
  </si>
  <si>
    <t>WC576UD7</t>
  </si>
  <si>
    <t>WC576VK6S</t>
  </si>
  <si>
    <t>CORA STRAIGHT FLAP SUPER T</t>
  </si>
  <si>
    <t>WC577UG1</t>
  </si>
  <si>
    <t>WC577VK6</t>
  </si>
  <si>
    <t>WC578JC185</t>
  </si>
  <si>
    <t>GEO PYTHON MUSCLE W SLIT</t>
  </si>
  <si>
    <t>WC582VS8</t>
  </si>
  <si>
    <t>MULTI ZIP RUNWAY LEGGING</t>
  </si>
  <si>
    <t>CTWL</t>
  </si>
  <si>
    <t>CTWL AQUAMARINE</t>
  </si>
  <si>
    <t>WC582VS9</t>
  </si>
  <si>
    <t>WC582VT1</t>
  </si>
  <si>
    <t>WC586JC200</t>
  </si>
  <si>
    <t>FINGERTIPS NEW SLIM V NECK</t>
  </si>
  <si>
    <t>WC586JC201</t>
  </si>
  <si>
    <t>THE POINT SLIM V NECK</t>
  </si>
  <si>
    <t>WC586JC788</t>
  </si>
  <si>
    <t>LOVE YOU MORE SLIM V</t>
  </si>
  <si>
    <t>WC586JC796</t>
  </si>
  <si>
    <t>BUDDHA SLIM V NECK</t>
  </si>
  <si>
    <t>WC586NP71</t>
  </si>
  <si>
    <t>LOGO CREST NEW SLIM V NECK</t>
  </si>
  <si>
    <t>WC608VJ3</t>
  </si>
  <si>
    <t>CAMO FLORAL PANELED BF HOODIE</t>
  </si>
  <si>
    <t>CAMO FLORAL</t>
  </si>
  <si>
    <t>WC609VJ3</t>
  </si>
  <si>
    <t>CAMO FLORAL SWEATPANT</t>
  </si>
  <si>
    <t>WC610JC780</t>
  </si>
  <si>
    <t>CRYSTAL LOGO SWEATSHIRT W ZIP</t>
  </si>
  <si>
    <t>WC610VH5</t>
  </si>
  <si>
    <t>STRIPE BF SWEATSHIRT W ZIP</t>
  </si>
  <si>
    <t>MULTI  STRIPE</t>
  </si>
  <si>
    <t>WC611VJ2</t>
  </si>
  <si>
    <t>LS MILITARY SHIRT INDIGO</t>
  </si>
  <si>
    <t>WC611WB2</t>
  </si>
  <si>
    <t>LS MILITARY SHIRT RAYON</t>
  </si>
  <si>
    <t>WC612VJ1</t>
  </si>
  <si>
    <t>MILITARY HENLEY</t>
  </si>
  <si>
    <t>WC613VG5</t>
  </si>
  <si>
    <t>STRIPE HENLEY TANK</t>
  </si>
  <si>
    <t>VERM/CHAR STRIPE</t>
  </si>
  <si>
    <t>WC613VJ1</t>
  </si>
  <si>
    <t>MILITARY TANK</t>
  </si>
  <si>
    <t>VERMILLION</t>
  </si>
  <si>
    <t>WC614VH9</t>
  </si>
  <si>
    <t>WC615VH8</t>
  </si>
  <si>
    <t>INDIGO DENIM</t>
  </si>
  <si>
    <t>WC616JC792</t>
  </si>
  <si>
    <t>TRUE LIGHTNG RINGER SL CREW</t>
  </si>
  <si>
    <t>HEATHER GREY/MIDNIGHT</t>
  </si>
  <si>
    <t>WC616VH5</t>
  </si>
  <si>
    <t>MULTI STRIPE SS RINGER CREW</t>
  </si>
  <si>
    <t>MULTI STRIPE</t>
  </si>
  <si>
    <t>WC617VH6</t>
  </si>
  <si>
    <t>MULTI STRPE CRP RAGLAN LS CREW</t>
  </si>
  <si>
    <t>WC618VH4</t>
  </si>
  <si>
    <t>CONTRAST RAGLAN ZIP UP</t>
  </si>
  <si>
    <t>WC620VH4</t>
  </si>
  <si>
    <t>CONTRAST SHORT</t>
  </si>
  <si>
    <t>WC620VH5</t>
  </si>
  <si>
    <t>MUTLI STRIPE DOLPHIN SHORT</t>
  </si>
  <si>
    <t>WC624JC795</t>
  </si>
  <si>
    <t>BUDDHA CROP RAGLAN</t>
  </si>
  <si>
    <t>WC624VG3</t>
  </si>
  <si>
    <t>STRIPE CROP DOLMAN TEE</t>
  </si>
  <si>
    <t>WC630VG9</t>
  </si>
  <si>
    <t>SL MILITARY SHIRT</t>
  </si>
  <si>
    <t>WC630VG9C</t>
  </si>
  <si>
    <t>SL PLAID MILITARY SHIRT</t>
  </si>
  <si>
    <t>WHITE PINK MULTI PLAID</t>
  </si>
  <si>
    <t>WC631WB5</t>
  </si>
  <si>
    <t>DENIM SLIP DRESS</t>
  </si>
  <si>
    <t>ACID INDIGO</t>
  </si>
  <si>
    <t>WC633VG7</t>
  </si>
  <si>
    <t>RUFFLE TANK</t>
  </si>
  <si>
    <t>WC635VG4</t>
  </si>
  <si>
    <t>INDIGO DISTRESS ZIP HOODIE</t>
  </si>
  <si>
    <t>WC637VG4</t>
  </si>
  <si>
    <t>INDIGO DISTRESS PANT</t>
  </si>
  <si>
    <t>WC638VL3</t>
  </si>
  <si>
    <t>THE RUNWAY LEGGING FLARE</t>
  </si>
  <si>
    <t>CWUM</t>
  </si>
  <si>
    <t>CWUM REEFER BLUE</t>
  </si>
  <si>
    <t>WC638WC0</t>
  </si>
  <si>
    <t>CWVD</t>
  </si>
  <si>
    <t>CWVD SMKNG MRORS</t>
  </si>
  <si>
    <t>WC639VW1</t>
  </si>
  <si>
    <t>RUNWAY FLARE</t>
  </si>
  <si>
    <t>CWKB</t>
  </si>
  <si>
    <t>CWKB BOHO BLACK</t>
  </si>
  <si>
    <t>WC639VW2</t>
  </si>
  <si>
    <t>CUHM</t>
  </si>
  <si>
    <t>CUHM PACIFC BLUE</t>
  </si>
  <si>
    <t>WC639WB5</t>
  </si>
  <si>
    <t>DENIM CAMI</t>
  </si>
  <si>
    <t>WC640VG2</t>
  </si>
  <si>
    <t>FLOWY CAMI</t>
  </si>
  <si>
    <t>WC642VF8</t>
  </si>
  <si>
    <t>DRAWSTRING TANK</t>
  </si>
  <si>
    <t>RIVIERA</t>
  </si>
  <si>
    <t>WC643JC802</t>
  </si>
  <si>
    <t>PUNK STENCIL CROP MUSCLE</t>
  </si>
  <si>
    <t>WC643JC803</t>
  </si>
  <si>
    <t>LOGO STENCIL CROP MUSCLE</t>
  </si>
  <si>
    <t>WC646VK4</t>
  </si>
  <si>
    <t>WC646VK5</t>
  </si>
  <si>
    <t>WC652VL1</t>
  </si>
  <si>
    <t>CARA NU CARGO</t>
  </si>
  <si>
    <t>CSV OLIVE DRAB</t>
  </si>
  <si>
    <t>WC653VL2</t>
  </si>
  <si>
    <t>MILITARY DRAWSTRING SKINNY</t>
  </si>
  <si>
    <t>DAB OLIVE DRAB</t>
  </si>
  <si>
    <t>WC656VL4</t>
  </si>
  <si>
    <t>SCOUT BOYFRIEND SHORT</t>
  </si>
  <si>
    <t>WC656VN1</t>
  </si>
  <si>
    <t>CUZM</t>
  </si>
  <si>
    <t>CUZM BLUE Z DEST</t>
  </si>
  <si>
    <t>WC656VN3</t>
  </si>
  <si>
    <t>WC658VK4</t>
  </si>
  <si>
    <t>KARLIE BELL BOTTOM</t>
  </si>
  <si>
    <t>WC658VK7</t>
  </si>
  <si>
    <t>WC658VK7R</t>
  </si>
  <si>
    <t>KARLIE BELL BOTTOM 32 INSEAM</t>
  </si>
  <si>
    <t>WC658VL6</t>
  </si>
  <si>
    <t>WC658VM9</t>
  </si>
  <si>
    <t>WC659VL8</t>
  </si>
  <si>
    <t>CORA STRAIGHT CROP 27</t>
  </si>
  <si>
    <t>CURM</t>
  </si>
  <si>
    <t>CURM VNTGE TR PW</t>
  </si>
  <si>
    <t>WC661VL8</t>
  </si>
  <si>
    <t>GIGI TRUCKER JACKET</t>
  </si>
  <si>
    <t>WC663VM3</t>
  </si>
  <si>
    <t>JOEY 70S FLARE</t>
  </si>
  <si>
    <t>WC664VM3</t>
  </si>
  <si>
    <t>70S KEIRA SHORT</t>
  </si>
  <si>
    <t>WC665VM7</t>
  </si>
  <si>
    <t>HALLE MID RISE SKINNY CROP</t>
  </si>
  <si>
    <t>WC665VM8</t>
  </si>
  <si>
    <t>CUXM</t>
  </si>
  <si>
    <t>CUXM BROKEN BLUE</t>
  </si>
  <si>
    <t>WC665VN9</t>
  </si>
  <si>
    <t>WC667VL8</t>
  </si>
  <si>
    <t>NORA SHIRT JACKET</t>
  </si>
  <si>
    <t>CWWL</t>
  </si>
  <si>
    <t>CWWL MNDAY BLUES</t>
  </si>
  <si>
    <t>WC667WB8</t>
  </si>
  <si>
    <t>DAF ECRU</t>
  </si>
  <si>
    <t>DAA MONARCH</t>
  </si>
  <si>
    <t>WC668VL1</t>
  </si>
  <si>
    <t>HALLE MILITARY CROP ZIP</t>
  </si>
  <si>
    <t>CSV MONARCH</t>
  </si>
  <si>
    <t>WC668VM8</t>
  </si>
  <si>
    <t>WC669VM8</t>
  </si>
  <si>
    <t>ZOE MILITARY SHORT</t>
  </si>
  <si>
    <t>WC669WB8</t>
  </si>
  <si>
    <t>DAA OLIVE DRAB</t>
  </si>
  <si>
    <t>DAA SHOCKING PINK</t>
  </si>
  <si>
    <t>WC670VN1</t>
  </si>
  <si>
    <t>CLAIRE PENCIL SKIRT</t>
  </si>
  <si>
    <t>WC671VN2</t>
  </si>
  <si>
    <t>CVAD</t>
  </si>
  <si>
    <t>CVAD CRZY BL DST</t>
  </si>
  <si>
    <t>WC673VM9</t>
  </si>
  <si>
    <t>GWEN VEST</t>
  </si>
  <si>
    <t>WC674VM2S</t>
  </si>
  <si>
    <t>CORA CROP SUPER T</t>
  </si>
  <si>
    <t>WC674VN3S</t>
  </si>
  <si>
    <t>WC675VN6</t>
  </si>
  <si>
    <t>HIGH WAIST SHORTIE</t>
  </si>
  <si>
    <t>CWXD</t>
  </si>
  <si>
    <t>CWXD DARK DAZE</t>
  </si>
  <si>
    <t>CWZM</t>
  </si>
  <si>
    <t>CWZM ROLLING IND</t>
  </si>
  <si>
    <t>WC675VN8</t>
  </si>
  <si>
    <t>CWYL</t>
  </si>
  <si>
    <t>CWYL MNRL LRX STR</t>
  </si>
  <si>
    <t>WC675VZ2</t>
  </si>
  <si>
    <t>WC677VP2</t>
  </si>
  <si>
    <t>CVFM</t>
  </si>
  <si>
    <t>CVFM IKY FRL P&amp;R</t>
  </si>
  <si>
    <t>WC714WC3</t>
  </si>
  <si>
    <t>HALLE SUPER SKINNY WELT PKT</t>
  </si>
  <si>
    <t>WC732WB2</t>
  </si>
  <si>
    <t>LS OPEN BACK MILITARY SHIRT</t>
  </si>
  <si>
    <t>WC733WB4</t>
  </si>
  <si>
    <t>LS TUNIC</t>
  </si>
  <si>
    <t>WC734VG6</t>
  </si>
  <si>
    <t>DISTRESSED SWEATPANT</t>
  </si>
  <si>
    <t>WC735WB6</t>
  </si>
  <si>
    <t>LINEN HIGH LOW CREW</t>
  </si>
  <si>
    <t>WC736VK7</t>
  </si>
  <si>
    <t>CORA STRAIGHT W FLAPS</t>
  </si>
  <si>
    <t>WC737UD5S</t>
  </si>
  <si>
    <t>HALLE SKINNY SUPER T FLAP</t>
  </si>
  <si>
    <t>WC737VK7S</t>
  </si>
  <si>
    <t>WC738VL2</t>
  </si>
  <si>
    <t>WC740VL4</t>
  </si>
  <si>
    <t>WC741VL9</t>
  </si>
  <si>
    <t>WC742VL9</t>
  </si>
  <si>
    <t>KARLIE OVERALL</t>
  </si>
  <si>
    <t>WC743VL9</t>
  </si>
  <si>
    <t>ALEXIA MINI SKIRT</t>
  </si>
  <si>
    <t>WC744VM1</t>
  </si>
  <si>
    <t>WC746VP1</t>
  </si>
  <si>
    <t>CVD DEST WHITE</t>
  </si>
  <si>
    <t>WC764VW2</t>
  </si>
  <si>
    <t>RUNWAY FLARE W LET OUT HEM</t>
  </si>
  <si>
    <t>CWJD</t>
  </si>
  <si>
    <t>CWJD BOHO INDIGO</t>
  </si>
  <si>
    <t>WC864VK7</t>
  </si>
  <si>
    <t>WC890UZ1</t>
  </si>
  <si>
    <t>MID RISE CROP HALLE  SS 27 1 2</t>
  </si>
  <si>
    <t>CASEY W FLAP  SKINNY CORE</t>
  </si>
  <si>
    <t>HALLE CROP SKINNY MATTE SHINE</t>
  </si>
  <si>
    <t>FASHION MINERAL WASH MR HALLE</t>
  </si>
  <si>
    <t>CASEY W FLAPS CROP SUPER T</t>
  </si>
  <si>
    <t>FASHION MINERAL LR CASEY SEAM</t>
  </si>
  <si>
    <t>COLORED MARBLE JOEY SHORT 2</t>
  </si>
  <si>
    <t>MAPS GRAPHIC SS CREW NECK TEE</t>
  </si>
  <si>
    <t>MONOGRAM SS CREW NECK TEE</t>
  </si>
  <si>
    <t>RED WHITE  TRUE MUSCLE CREW</t>
  </si>
  <si>
    <t>VDAY TEE SLIM SS VNECK TEE</t>
  </si>
  <si>
    <t>CITY CAMO LS PULLOVER</t>
  </si>
  <si>
    <t>CROP SEQUIN ZIP HOODIE</t>
  </si>
  <si>
    <t>SEQUIN PULLOVER SL CREW</t>
  </si>
  <si>
    <t>LOGO SPPLIQUE SL HOODIE</t>
  </si>
  <si>
    <t>PLAID GEORGIA SLIM LS WESTERN</t>
  </si>
  <si>
    <t>SILK RLXD GEORGIA LS WESTERN</t>
  </si>
  <si>
    <t>WHUB131VF5</t>
  </si>
  <si>
    <t>HOODIE W CRYSTALS</t>
  </si>
  <si>
    <t>WHUB242VF6</t>
  </si>
  <si>
    <t>SWEATPANT W CRYSTALS</t>
  </si>
  <si>
    <t>WHX145UN2</t>
  </si>
  <si>
    <t>TR OLD FAITHFUL TANK</t>
  </si>
  <si>
    <t>WHXB238TD5</t>
  </si>
  <si>
    <t>BUDDHA STATE TANK</t>
  </si>
  <si>
    <t>WHXB317VV4</t>
  </si>
  <si>
    <t>LIVE LIFE TRUE WORK TANK</t>
  </si>
  <si>
    <t>WHZN95JV0</t>
  </si>
  <si>
    <t>LEGGING ERTHWRM RED BIG T</t>
  </si>
  <si>
    <t>CSMM</t>
  </si>
  <si>
    <t>CSMM LIGHT FOG</t>
  </si>
  <si>
    <t>WHZN95Y9M</t>
  </si>
  <si>
    <t>CSND</t>
  </si>
  <si>
    <t>CSND WILD SIDE</t>
  </si>
  <si>
    <t>LEGGING WFLP NAT SN</t>
  </si>
  <si>
    <t>WJC564OMM</t>
  </si>
  <si>
    <t>BOOT CUT W FLAPS</t>
  </si>
  <si>
    <t>WJC564TM0</t>
  </si>
  <si>
    <t>BOOT CUT W FLP BIG T WHPSTH</t>
  </si>
  <si>
    <t>WJC599SKL3</t>
  </si>
  <si>
    <t>SKINNY W/ FLAPS 32 INSEAM SN</t>
  </si>
  <si>
    <t>CQVM</t>
  </si>
  <si>
    <t>CQVM STRWBRY WNE</t>
  </si>
  <si>
    <t>WJC599SUL2</t>
  </si>
  <si>
    <t>SKINNY WFLP NAT PRPL BIG T</t>
  </si>
  <si>
    <t>VDD HARPER FALLS</t>
  </si>
  <si>
    <t>WJC599SULM</t>
  </si>
  <si>
    <t>WJCC100MD2</t>
  </si>
  <si>
    <t>SLIM STRAIGHT WFLP CRYTL BTTN</t>
  </si>
  <si>
    <t>WJCC100OM</t>
  </si>
  <si>
    <t>SLIM STR OM SN</t>
  </si>
  <si>
    <t>CSIM</t>
  </si>
  <si>
    <t>CSIM FRGTN CRSRD</t>
  </si>
  <si>
    <t>WJCC100TS</t>
  </si>
  <si>
    <t>SLIM STR  NAT SN</t>
  </si>
  <si>
    <t>CRDM</t>
  </si>
  <si>
    <t>CRDM BLUE TYPHOON</t>
  </si>
  <si>
    <t>WJCC100UL3</t>
  </si>
  <si>
    <t>SLIM STR  FLP NAT YLLW BIG T</t>
  </si>
  <si>
    <t>WJCC100ULM</t>
  </si>
  <si>
    <t>SLIM STRAIGHT WITH FLAPS</t>
  </si>
  <si>
    <t>CKA FCHSIA COATD</t>
  </si>
  <si>
    <t>CKA YELLOW COATD</t>
  </si>
  <si>
    <t>WJDN96UP1</t>
  </si>
  <si>
    <t>WKWV02TD8</t>
  </si>
  <si>
    <t>FLORAL TR ROUNDED VNECK TEE</t>
  </si>
  <si>
    <t>WKWV02UU5</t>
  </si>
  <si>
    <t>TRUE BELIEVER SS ROUNDED VNECK</t>
  </si>
  <si>
    <t>WKWV02UU6</t>
  </si>
  <si>
    <t>POWDER PUFF SS ROUNDED VNECK</t>
  </si>
  <si>
    <t>WKWV02UU7</t>
  </si>
  <si>
    <t>BACKSTAGE W CRYSTALS VNECK</t>
  </si>
  <si>
    <t>WKWV02VZ7</t>
  </si>
  <si>
    <t>BLOX SS ROUNDED VNECK</t>
  </si>
  <si>
    <t>WKWV02WE6</t>
  </si>
  <si>
    <t>FLOWER  BOX SS RND VNK</t>
  </si>
  <si>
    <t>WKWV02WF1</t>
  </si>
  <si>
    <t>COIN LOGO SS RND VNK</t>
  </si>
  <si>
    <t>WKWY33UU4</t>
  </si>
  <si>
    <t>TR02 SS VNECK</t>
  </si>
  <si>
    <t>BT ROYAL BLUE</t>
  </si>
  <si>
    <t>WKWY33UX1</t>
  </si>
  <si>
    <t>TR ATHLETIC CLUB S/S V-NECK</t>
  </si>
  <si>
    <t>WLH592SMU0</t>
  </si>
  <si>
    <t>SKINNY BIG QT NATURAL</t>
  </si>
  <si>
    <t>LOW RISE JOEY CUT OFF</t>
  </si>
  <si>
    <t>WLZN95TS</t>
  </si>
  <si>
    <t>LEGGING DIGI PRINT</t>
  </si>
  <si>
    <t>CTCM</t>
  </si>
  <si>
    <t>CTCM FREED BALOON</t>
  </si>
  <si>
    <t>CTDD</t>
  </si>
  <si>
    <t>CTDD WNDS OF CHNG</t>
  </si>
  <si>
    <t>WMA564OM</t>
  </si>
  <si>
    <t>BOOTCUT WFLP OM SN</t>
  </si>
  <si>
    <t>WMAN96TC1</t>
  </si>
  <si>
    <t>LEGGING  FLP NAT ORA  SPR T</t>
  </si>
  <si>
    <t>WMC599SWH5</t>
  </si>
  <si>
    <t>SKINNY W FLAPS 32 INSEAM</t>
  </si>
  <si>
    <t>WMCC562TS</t>
  </si>
  <si>
    <t>JOGGER NATURAL SN</t>
  </si>
  <si>
    <t>WMCN95OMW</t>
  </si>
  <si>
    <t>LEGGING  OLD MULTI SINGLE END</t>
  </si>
  <si>
    <t>WMCN95TL7</t>
  </si>
  <si>
    <t>LEGGING NAT PINK SPR T</t>
  </si>
  <si>
    <t>CNZL</t>
  </si>
  <si>
    <t>CNZL CABOT COVE</t>
  </si>
  <si>
    <t>LS WESTERN SHIRT CRYSTAL LOGO</t>
  </si>
  <si>
    <t>RED HOT</t>
  </si>
  <si>
    <t>WOAN95NBT</t>
  </si>
  <si>
    <t>CZBD</t>
  </si>
  <si>
    <t>CZBD DREAM EATER</t>
  </si>
  <si>
    <t>WOAN96Y9</t>
  </si>
  <si>
    <t>WOB592SS05</t>
  </si>
  <si>
    <t>SKINNY 32 INSEAM  B G BIG T</t>
  </si>
  <si>
    <t>CZCM</t>
  </si>
  <si>
    <t>CZCM DRAGON KLLR</t>
  </si>
  <si>
    <t>WOB599STS</t>
  </si>
  <si>
    <t>SKINNY W  FLAPS 32 INSEAM</t>
  </si>
  <si>
    <t>CZAM</t>
  </si>
  <si>
    <t>CZAM MIRROR COAT</t>
  </si>
  <si>
    <t>WOC599SWH4</t>
  </si>
  <si>
    <t>SKINNY W FLAPS 32 INS PK NA</t>
  </si>
  <si>
    <t>CZDD</t>
  </si>
  <si>
    <t>CZDD BIG TIME</t>
  </si>
  <si>
    <t>WOGC591TSM</t>
  </si>
  <si>
    <t>CZE BERRY</t>
  </si>
  <si>
    <t>WOHC591TSM</t>
  </si>
  <si>
    <t>STARLET LEGGING NATURALINE SN</t>
  </si>
  <si>
    <t>WOKC591OMM</t>
  </si>
  <si>
    <t>STARLET LEGGING OLD MULTI SN</t>
  </si>
  <si>
    <t>TRUE BLUE SLIM LS RAGLAN</t>
  </si>
  <si>
    <t>WPOU33SX1</t>
  </si>
  <si>
    <t>HIPPY SURF RAGLAN TEE</t>
  </si>
  <si>
    <t>WHITE/FD RYL BLU</t>
  </si>
  <si>
    <t>WHITE/RED HOT</t>
  </si>
  <si>
    <t>WPOU33TD4</t>
  </si>
  <si>
    <t>TRUE LEAGUE RAGLAN TEE</t>
  </si>
  <si>
    <t>OFF WHITE/PNEAPL</t>
  </si>
  <si>
    <t>OFF WHITE/POPPY</t>
  </si>
  <si>
    <t>WPOU33UM7</t>
  </si>
  <si>
    <t>WORLD TOUR RAGLAN</t>
  </si>
  <si>
    <t>SKY / COBALT</t>
  </si>
  <si>
    <t>WPOU33UM8</t>
  </si>
  <si>
    <t>TRUE LED BURNOUT TEE</t>
  </si>
  <si>
    <t>WHITE / TURQUOISE</t>
  </si>
  <si>
    <t>WPOU33UW1</t>
  </si>
  <si>
    <t>DISTRESSED HORSESHOE RAGLAN</t>
  </si>
  <si>
    <t>OFF WHITE/BT RYL BLUE</t>
  </si>
  <si>
    <t>OFF WHITE/FUSCHIA</t>
  </si>
  <si>
    <t>WPOU33VZ8</t>
  </si>
  <si>
    <t>TRIFECTA BURNOUT TEE</t>
  </si>
  <si>
    <t>CREAM/IRIS</t>
  </si>
  <si>
    <t>CREAM/RUBY RED</t>
  </si>
  <si>
    <t>WPOV02UZ0</t>
  </si>
  <si>
    <t>BACKSTAGE SS ROUNDED VNECK</t>
  </si>
  <si>
    <t>WPOV02VZ5</t>
  </si>
  <si>
    <t>LFLTB SS ROUNDED VNECK</t>
  </si>
  <si>
    <t>WPOV02WS9</t>
  </si>
  <si>
    <t>FLWR FRM RND VNK</t>
  </si>
  <si>
    <t>WPPB231TD3</t>
  </si>
  <si>
    <t>S/S SCOOP TEE W/CRYSTALS</t>
  </si>
  <si>
    <t>WPPB265SC8</t>
  </si>
  <si>
    <t>SPAGHETTI TANK W/CRYSTALS</t>
  </si>
  <si>
    <t>WPPV02SX3</t>
  </si>
  <si>
    <t>02 LINED S/S ROUNDED VNECK TEE</t>
  </si>
  <si>
    <t>FADED ROYAL BLUE</t>
  </si>
  <si>
    <t>WPPV02UL6</t>
  </si>
  <si>
    <t>TRUE LOVE SS ROUNDED VNECK</t>
  </si>
  <si>
    <t>WPPV02UN1</t>
  </si>
  <si>
    <t>TR BAR S/S ROUNDED V-NECK</t>
  </si>
  <si>
    <t>WPPV02VD4</t>
  </si>
  <si>
    <t>KNOCKOUT SS ROUNDED VNECK</t>
  </si>
  <si>
    <t>WPPX19UM9</t>
  </si>
  <si>
    <t>LIVE LIFE S/S CREW</t>
  </si>
  <si>
    <t>WPPX19UU2</t>
  </si>
  <si>
    <t>FASHION TOUR S/S CREW</t>
  </si>
  <si>
    <t>WPPX19VD3</t>
  </si>
  <si>
    <t>EST  SS CREW W STONES</t>
  </si>
  <si>
    <t>WPPX19VZ6</t>
  </si>
  <si>
    <t>FLOWERS EVERYWHERE SS CREW</t>
  </si>
  <si>
    <t>WPPX19WE7</t>
  </si>
  <si>
    <t>LOVE LASTS SS CREW</t>
  </si>
  <si>
    <t>WPPX19WL8</t>
  </si>
  <si>
    <t>HRSSHE FL CREW TEE</t>
  </si>
  <si>
    <t>ROSEY</t>
  </si>
  <si>
    <t>WPPY33SX5</t>
  </si>
  <si>
    <t>SHOE SHINE DEEP VNECK TEE</t>
  </si>
  <si>
    <t>WPPY33SX7</t>
  </si>
  <si>
    <t>BUDDHA BAND VNECK TEE</t>
  </si>
  <si>
    <t>WPPY33UX0</t>
  </si>
  <si>
    <t>CRYSTAL SCRIPT S/S V-NECK</t>
  </si>
  <si>
    <t>WPPY33WS8</t>
  </si>
  <si>
    <t>HIDN ROSES DEEP VNK</t>
  </si>
  <si>
    <t>CORA STRAIGHT CROP 27  W FLAP</t>
  </si>
  <si>
    <t>MID RISE HALLE CROP W FLAPS</t>
  </si>
  <si>
    <t>WQBC013TE1</t>
  </si>
  <si>
    <t>CGRL</t>
  </si>
  <si>
    <t>CGRL VINTAGE INK</t>
  </si>
  <si>
    <t>WQV145SX4</t>
  </si>
  <si>
    <t>TR RAYS RIB TANK</t>
  </si>
  <si>
    <t>INDIGO TNCL LS CROPPED SHIRT</t>
  </si>
  <si>
    <t>WSRZ59VD1</t>
  </si>
  <si>
    <t>ATHLETIC SCRIPT SS VNECK</t>
  </si>
  <si>
    <t>WHITE/FUCHSIA</t>
  </si>
  <si>
    <t>PLAID SILK SL RELAXED GEORGIA</t>
  </si>
  <si>
    <t>U SLIM VNECK</t>
  </si>
  <si>
    <t>WURB205SP5</t>
  </si>
  <si>
    <t>L/S WOVEN ROLL UP SLEEVE</t>
  </si>
  <si>
    <t>WUSB247MU3</t>
  </si>
  <si>
    <t>WOVEN W/ ROLL UP SLEEVE</t>
  </si>
  <si>
    <t>LT MED BLUE WSH</t>
  </si>
  <si>
    <t>SS WAVES SLIM CREW NECK TEE</t>
  </si>
  <si>
    <t>WWLN95TS</t>
  </si>
  <si>
    <t>LEGGING NAT SN</t>
  </si>
  <si>
    <t>WWY145UN2</t>
  </si>
  <si>
    <t>WXAB137EG</t>
  </si>
  <si>
    <t>SOLID SKINNY PANT WFLP</t>
  </si>
  <si>
    <t>WXAN96SF8</t>
  </si>
  <si>
    <t>LEGGING W FLAP RED SN</t>
  </si>
  <si>
    <t>CHP BLEACHED ACID VINTAGE RED</t>
  </si>
  <si>
    <t>WXAN96TS</t>
  </si>
  <si>
    <t>LEGGING W FLAP NAT SN</t>
  </si>
  <si>
    <t>CHP BLEACHED ACID BLACK</t>
  </si>
  <si>
    <t>WY6599STSM</t>
  </si>
  <si>
    <t>CMP ELCTRC TURQ</t>
  </si>
  <si>
    <t>CMO ELECT LVNDER</t>
  </si>
  <si>
    <t>WYCB131KE4</t>
  </si>
  <si>
    <t>HEATHER BLUE</t>
  </si>
  <si>
    <t>WYCB242KJ9</t>
  </si>
  <si>
    <t>WYCB259TA7</t>
  </si>
  <si>
    <t>SHORTS W/PRINT-CRYSTAL</t>
  </si>
  <si>
    <t>WYCB261SJ5</t>
  </si>
  <si>
    <t>GO TEAM PULLOVER</t>
  </si>
  <si>
    <t>HTHR GRY/RED HOT</t>
  </si>
  <si>
    <t>OATMEAL/DK ROYAL</t>
  </si>
  <si>
    <t>WYCB284TZ9</t>
  </si>
  <si>
    <t>SLEEVLESS HOODIE W CRYSTAL</t>
  </si>
  <si>
    <t>WYCB292SJ6</t>
  </si>
  <si>
    <t>GO TEAM SHORTS</t>
  </si>
  <si>
    <t>WYCB292VA8</t>
  </si>
  <si>
    <t>TR SHORT</t>
  </si>
  <si>
    <t>HEATHER BLUE/OATMEAL</t>
  </si>
  <si>
    <t>FT LS FITTED CROP SWEATSHIRT</t>
  </si>
  <si>
    <t>FT SS RAGLAN SWEATSHIRT</t>
  </si>
  <si>
    <t>WYFB288UJ4</t>
  </si>
  <si>
    <t>ACTIVE LEGGING</t>
  </si>
  <si>
    <t>WYFB289SC8</t>
  </si>
  <si>
    <t>ACTIVE TANK</t>
  </si>
  <si>
    <t>WYGB287UJ3</t>
  </si>
  <si>
    <t>HAPPY BABY FOLD-OVER LEGGING</t>
  </si>
  <si>
    <t>BLACK/FUCHSIA</t>
  </si>
  <si>
    <t>WYHB282IK</t>
  </si>
  <si>
    <t>LEATHER COAT W EMBROIDERED LGO</t>
  </si>
  <si>
    <t>WYMA313TT</t>
  </si>
  <si>
    <t>LS TRI NEEDLE WESTERN</t>
  </si>
  <si>
    <t>SNOWBERRY</t>
  </si>
  <si>
    <t>DESERT CORAL</t>
  </si>
  <si>
    <t>WZ2B316UT1</t>
  </si>
  <si>
    <t>WOVEN TANK W CRYSTALS</t>
  </si>
  <si>
    <t>WZ6B314SE2</t>
  </si>
  <si>
    <t>DARK PURPLE</t>
  </si>
  <si>
    <t>YGYMDUFFLE</t>
  </si>
  <si>
    <t>TRUE RELIGION GYM DUFFLE BAG</t>
  </si>
  <si>
    <t>YLSRBLT001</t>
  </si>
  <si>
    <t>UNISEX LASER U BELT</t>
  </si>
  <si>
    <t>YTRBCHTWEL</t>
  </si>
  <si>
    <t>TR BUDDHA BEACH TOWEL</t>
  </si>
  <si>
    <t>YTRSPEAKER</t>
  </si>
  <si>
    <t>TR BLUETOOTH SPEAKER</t>
  </si>
  <si>
    <t>ACTIVE JEAN GENO N F 34</t>
  </si>
  <si>
    <t>SOLID SS VNECK KNIT</t>
  </si>
  <si>
    <t>SS CREW W LOOSE OVERLOCK</t>
  </si>
  <si>
    <t>LS BOMBER JACKET</t>
  </si>
  <si>
    <t>12 GENO NO FLAP BIG T</t>
  </si>
  <si>
    <t>M9OB266SE2</t>
  </si>
  <si>
    <t>EBR TRK JKT</t>
  </si>
  <si>
    <t>BLACK / VNTG RED</t>
  </si>
  <si>
    <t>1 4 GENO NO FLAP SE</t>
  </si>
  <si>
    <t>MCZJ60BJ91106</t>
  </si>
  <si>
    <t>MCZJ60BJ9</t>
  </si>
  <si>
    <t>SKINNY BLACK GREY LOGO</t>
  </si>
  <si>
    <t>MIXB263SE24032</t>
  </si>
  <si>
    <t>MIXB263SE2</t>
  </si>
  <si>
    <t>CLEAR WATER SS UTILITY</t>
  </si>
  <si>
    <t>CLEAR WATER</t>
  </si>
  <si>
    <t>1 2 VEST BIG T</t>
  </si>
  <si>
    <t>MPVE08OMDAPM</t>
  </si>
  <si>
    <t>MPVE08OM</t>
  </si>
  <si>
    <t>SLIM WFLPS OM SN</t>
  </si>
  <si>
    <t>DAPM</t>
  </si>
  <si>
    <t>DAPM HOOLIGAN</t>
  </si>
  <si>
    <t>MPVJ60ZYE0DAPM</t>
  </si>
  <si>
    <t>MPVJ60ZYE0</t>
  </si>
  <si>
    <t>SKINNY NFLPS BR GLD SN</t>
  </si>
  <si>
    <t>MXZ859OMDDLL</t>
  </si>
  <si>
    <t>MXZ859OM</t>
  </si>
  <si>
    <t>STRGHT WFLPS OM SN</t>
  </si>
  <si>
    <t>DDLL</t>
  </si>
  <si>
    <t>DDLL STORM CRASH</t>
  </si>
  <si>
    <t>MXZ859WO2CZJL</t>
  </si>
  <si>
    <t>MXZ859WO2</t>
  </si>
  <si>
    <t>STRGHT WFLPS NAT BIG YLLW BRTK</t>
  </si>
  <si>
    <t>CZJL</t>
  </si>
  <si>
    <t>CZJL LEFT TURN</t>
  </si>
  <si>
    <t>MXZ859YE1DDOL</t>
  </si>
  <si>
    <t>MXZ859YE1</t>
  </si>
  <si>
    <t>STR WFLPS TR INDIGO MNIGHT COM</t>
  </si>
  <si>
    <t>DDOL</t>
  </si>
  <si>
    <t>DDOL CHILL INDGO</t>
  </si>
  <si>
    <t>MXZE08OM</t>
  </si>
  <si>
    <t>SLIM WFLPS OM</t>
  </si>
  <si>
    <t>MXZJ60ZYE4DDLL</t>
  </si>
  <si>
    <t>MXZJ60ZYE4</t>
  </si>
  <si>
    <t>SKNNY NFLPS MNIGT BIGT POP ORG</t>
  </si>
  <si>
    <t>MZIB395TSDDOL</t>
  </si>
  <si>
    <t>MZIB395TS</t>
  </si>
  <si>
    <t>JOGGER W NAT SN</t>
  </si>
  <si>
    <t>MSRP</t>
  </si>
  <si>
    <t>L S ROCKY PLAID WESTERN SHIRT</t>
  </si>
  <si>
    <t>15HOM0001</t>
  </si>
  <si>
    <t>BASEBALL DOWN JACKET</t>
  </si>
  <si>
    <t>15HOW0003</t>
  </si>
  <si>
    <t>OUTERWEAR TRUE RLGN 02</t>
  </si>
  <si>
    <t>15HOW0008</t>
  </si>
  <si>
    <t>15HOW0010</t>
  </si>
  <si>
    <t>REVERSABLE BASEBALL JACKET</t>
  </si>
  <si>
    <t>15HOW0018</t>
  </si>
  <si>
    <t>PATCHWORK DOWN JACKET</t>
  </si>
  <si>
    <t>15HOW0020</t>
  </si>
  <si>
    <t>DOWN JACKET WITH FOX FUR</t>
  </si>
  <si>
    <t>15HOW0021</t>
  </si>
  <si>
    <t>15HOW0022</t>
  </si>
  <si>
    <t>OVERSIZE DOWN JACKET</t>
  </si>
  <si>
    <t>GENO RELAXED SLIM WFLAPS</t>
  </si>
  <si>
    <t>M0R8U24XX8</t>
  </si>
  <si>
    <t>BUDHA UNI CRW NK TEE</t>
  </si>
  <si>
    <t>M0WB389XY1</t>
  </si>
  <si>
    <t>SHDW CLR BLCK CREW</t>
  </si>
  <si>
    <t>M0ZB390MU3</t>
  </si>
  <si>
    <t>DN LS WSTRN WOVEN</t>
  </si>
  <si>
    <t>LT MARBLE WASH</t>
  </si>
  <si>
    <t>DK MARBLE WASH</t>
  </si>
  <si>
    <t>M16FD20D1G</t>
  </si>
  <si>
    <t>ROCCO NO FLAP</t>
  </si>
  <si>
    <t>DGCD</t>
  </si>
  <si>
    <t>DGCD BLACK TOP</t>
  </si>
  <si>
    <t>16F2</t>
  </si>
  <si>
    <t>M16FD21D1G</t>
  </si>
  <si>
    <t>DFJD</t>
  </si>
  <si>
    <t>DFJD WORN RANCH</t>
  </si>
  <si>
    <t>M16FD23H1G</t>
  </si>
  <si>
    <t>ROCCO</t>
  </si>
  <si>
    <t>MID BLUE DESTR</t>
  </si>
  <si>
    <t>16F1</t>
  </si>
  <si>
    <t>M16FD61C1G</t>
  </si>
  <si>
    <t>TONY NO FLAP</t>
  </si>
  <si>
    <t>DFNM</t>
  </si>
  <si>
    <t>DFNM DUSTY RIDER</t>
  </si>
  <si>
    <t>M16FD63F1G</t>
  </si>
  <si>
    <t>DFWM</t>
  </si>
  <si>
    <t>DFWM YOUNG MSFIT</t>
  </si>
  <si>
    <t>M16FD64G1G</t>
  </si>
  <si>
    <t>M16FF01B8G</t>
  </si>
  <si>
    <t>SPECIAL HOODY MOONWASH</t>
  </si>
  <si>
    <t>OXBLOOD</t>
  </si>
  <si>
    <t>M16FF02B8G</t>
  </si>
  <si>
    <t>ZIP JKT MOONWASH</t>
  </si>
  <si>
    <t>M16FF03B8G</t>
  </si>
  <si>
    <t>MOONWASH HOODED JKT</t>
  </si>
  <si>
    <t>M16FF04B8G</t>
  </si>
  <si>
    <t>MOONWASH RELAX PANT</t>
  </si>
  <si>
    <t>M16FF07B8G</t>
  </si>
  <si>
    <t>HOODED ZIP JKT INDIAN</t>
  </si>
  <si>
    <t>M16FF11B8G</t>
  </si>
  <si>
    <t>M16FF12H7G</t>
  </si>
  <si>
    <t>FLEECE SHIRT INDIAN</t>
  </si>
  <si>
    <t>M16FF16H8G</t>
  </si>
  <si>
    <t>WESTERN SHIRT INDIAN</t>
  </si>
  <si>
    <t>M16FF17B8G</t>
  </si>
  <si>
    <t>HOODED ZIP JKT PATCHES</t>
  </si>
  <si>
    <t>M16FF18B8G</t>
  </si>
  <si>
    <t>SHORT PATCHES</t>
  </si>
  <si>
    <t>M16FF23B8G</t>
  </si>
  <si>
    <t>HOODED ZIP JKT RIDE LIKE</t>
  </si>
  <si>
    <t>M16FF24H7G</t>
  </si>
  <si>
    <t>WESTERN SHIRT RIDE LIKE</t>
  </si>
  <si>
    <t>M16FF35H8G</t>
  </si>
  <si>
    <t>WESTERN SHIRT</t>
  </si>
  <si>
    <t>M16FF36H7G</t>
  </si>
  <si>
    <t>CHECK SHIRT TR</t>
  </si>
  <si>
    <t>M16FF37B8G</t>
  </si>
  <si>
    <t>PANT PUFFY</t>
  </si>
  <si>
    <t>M16FG04B6G</t>
  </si>
  <si>
    <t>MENS DOWN VEST</t>
  </si>
  <si>
    <t>M16FJ01B5G</t>
  </si>
  <si>
    <t>MENS DOWN JKT</t>
  </si>
  <si>
    <t>MOSS</t>
  </si>
  <si>
    <t>M16FJ05B6G</t>
  </si>
  <si>
    <t>M16FJ10B7G</t>
  </si>
  <si>
    <t>MENS BOMBER JKT</t>
  </si>
  <si>
    <t>M16FJ23C5G</t>
  </si>
  <si>
    <t>MENS SOLID BOMBER</t>
  </si>
  <si>
    <t>M16FJ31C3G</t>
  </si>
  <si>
    <t>MENS LEATHER BIKER PATCHES</t>
  </si>
  <si>
    <t>M16FJ33C3G</t>
  </si>
  <si>
    <t>MENS BIKER JKT PATCHES</t>
  </si>
  <si>
    <t>M16FJ34C3G</t>
  </si>
  <si>
    <t>MENS LEATHER BOMBER JKT</t>
  </si>
  <si>
    <t>M16FK56C9G</t>
  </si>
  <si>
    <t>HOODY BIG STRIPE</t>
  </si>
  <si>
    <t>M16FK57C9G</t>
  </si>
  <si>
    <t>HOODY SOLID</t>
  </si>
  <si>
    <t>M16FK58C9G</t>
  </si>
  <si>
    <t>SWEATER</t>
  </si>
  <si>
    <t>M16FM13B9G</t>
  </si>
  <si>
    <t>MENS COAT CAMOUFLAGE</t>
  </si>
  <si>
    <t>M16FM14C4G</t>
  </si>
  <si>
    <t>MENS SOLID COAT</t>
  </si>
  <si>
    <t>BLACK OLIVE</t>
  </si>
  <si>
    <t>M16FM16C1G</t>
  </si>
  <si>
    <t>ARMY MELANGE</t>
  </si>
  <si>
    <t>M16FP20C2G</t>
  </si>
  <si>
    <t>MENS OVERSIZED PARKA</t>
  </si>
  <si>
    <t>M16FP22C3G</t>
  </si>
  <si>
    <t>M16FP27C5G</t>
  </si>
  <si>
    <t>MENS LONG BOMBER</t>
  </si>
  <si>
    <t>M16FT05G3G</t>
  </si>
  <si>
    <t>MOONWASH V NECK</t>
  </si>
  <si>
    <t>M16FT06G3G</t>
  </si>
  <si>
    <t>MOONWASH CREW NECK</t>
  </si>
  <si>
    <t>M16FT08E6G</t>
  </si>
  <si>
    <t>V NECK INDIAN</t>
  </si>
  <si>
    <t>M16FT09G3G</t>
  </si>
  <si>
    <t>CREW NECK INDIAN</t>
  </si>
  <si>
    <t>M16FT10C6G</t>
  </si>
  <si>
    <t>POLO INDIAN</t>
  </si>
  <si>
    <t>M16FT13E6G</t>
  </si>
  <si>
    <t>CREW NECK SS INDIAN</t>
  </si>
  <si>
    <t>M16FT14C9G</t>
  </si>
  <si>
    <t>M16FT15D9G</t>
  </si>
  <si>
    <t>INDIAN SKULL</t>
  </si>
  <si>
    <t>M16FT19E6G</t>
  </si>
  <si>
    <t>CREW NECK PATCHES</t>
  </si>
  <si>
    <t>M16FT20E6G</t>
  </si>
  <si>
    <t>SS PATCH</t>
  </si>
  <si>
    <t>M16FT21E6G</t>
  </si>
  <si>
    <t>LS PATCHES</t>
  </si>
  <si>
    <t>M16FT22C6G</t>
  </si>
  <si>
    <t>POLO PATCHES</t>
  </si>
  <si>
    <t>M16FT25D9G</t>
  </si>
  <si>
    <t>CREW NECK RIDE LIKE</t>
  </si>
  <si>
    <t>M16FT26C9G</t>
  </si>
  <si>
    <t>V NECK</t>
  </si>
  <si>
    <t>M16FT27D9G</t>
  </si>
  <si>
    <t>SS ACE SKULL</t>
  </si>
  <si>
    <t>M16FT28C6G</t>
  </si>
  <si>
    <t>POLO SKULL</t>
  </si>
  <si>
    <t>M16FT29E6G</t>
  </si>
  <si>
    <t>CREW NECK TR</t>
  </si>
  <si>
    <t>M16FT30E6G</t>
  </si>
  <si>
    <t>M16FT31H9G</t>
  </si>
  <si>
    <t>V NECK STRIPE</t>
  </si>
  <si>
    <t>M16FT32H9G</t>
  </si>
  <si>
    <t>LS STRIPE</t>
  </si>
  <si>
    <t>M16FT33F1G</t>
  </si>
  <si>
    <t>M16FT34F1G</t>
  </si>
  <si>
    <t>BUTTON FLY LS</t>
  </si>
  <si>
    <t>M16SD20X1G</t>
  </si>
  <si>
    <t>ROCCO BLUE DENIM SUPERSTRETCH</t>
  </si>
  <si>
    <t>BLUE DNM DK USD</t>
  </si>
  <si>
    <t>M16SD21X7G</t>
  </si>
  <si>
    <t>DCRL</t>
  </si>
  <si>
    <t>DCRL LT CNCRTE LK</t>
  </si>
  <si>
    <t>M16SD22X2G</t>
  </si>
  <si>
    <t>ROCCO BLACK DENIM SUPERSTRETCH</t>
  </si>
  <si>
    <t>M16SD23X2G</t>
  </si>
  <si>
    <t>ROCCO BLACK DENIM DESTROY REP</t>
  </si>
  <si>
    <t>BLACK DESTR REP</t>
  </si>
  <si>
    <t>M16SD24X3G</t>
  </si>
  <si>
    <t>ROCCO GREY DENIM</t>
  </si>
  <si>
    <t>M16SD26X3G</t>
  </si>
  <si>
    <t>ROCCO GREY DENIM DESTROY REPAI</t>
  </si>
  <si>
    <t>GREY DESTR REP</t>
  </si>
  <si>
    <t>M16SD27X5G</t>
  </si>
  <si>
    <t>DCTD</t>
  </si>
  <si>
    <t>DCTD CSTL TRVELR</t>
  </si>
  <si>
    <t>M16SD28X5G</t>
  </si>
  <si>
    <t>ROCCO DARK BLUE</t>
  </si>
  <si>
    <t>M16SD29X5G</t>
  </si>
  <si>
    <t>ROCCO DARK BLUE DENIM DESTROY</t>
  </si>
  <si>
    <t>BLUE DEST REP</t>
  </si>
  <si>
    <t>M16SD40X6G</t>
  </si>
  <si>
    <t>DIKM</t>
  </si>
  <si>
    <t>DIKM WN ATNTC IN</t>
  </si>
  <si>
    <t>M16SD41X1G</t>
  </si>
  <si>
    <t>M16SD47X4G</t>
  </si>
  <si>
    <t>MICK BLACK COATED DENIM</t>
  </si>
  <si>
    <t>BLACK COATED</t>
  </si>
  <si>
    <t>M16SD68X5G</t>
  </si>
  <si>
    <t>GENO DARK BLUE</t>
  </si>
  <si>
    <t>M16SD69X5G</t>
  </si>
  <si>
    <t>GENO DARK BLUE DENIM DESTROY</t>
  </si>
  <si>
    <t>M16SP51M1G</t>
  </si>
  <si>
    <t>BERMUDA PATCH POCKET</t>
  </si>
  <si>
    <t>M16SW48E1G</t>
  </si>
  <si>
    <t>CHECK SHIRT 1</t>
  </si>
  <si>
    <t>BROWN/BLUE/ WHITE</t>
  </si>
  <si>
    <t>M16SW54E1G</t>
  </si>
  <si>
    <t>CHECK SHIRT 5</t>
  </si>
  <si>
    <t>RED / WHITE / BLACK</t>
  </si>
  <si>
    <t>M16UF19B8G</t>
  </si>
  <si>
    <t>HOODED ZIP JKT ALL BLACK</t>
  </si>
  <si>
    <t>M16UF20D7G</t>
  </si>
  <si>
    <t>HOODED ZIP JKT DOWNTOWN</t>
  </si>
  <si>
    <t>FROST GREY</t>
  </si>
  <si>
    <t>DRESS BLUE</t>
  </si>
  <si>
    <t>M16UF21B8G</t>
  </si>
  <si>
    <t>BASEBALL JKT DOWNTOWN</t>
  </si>
  <si>
    <t>M16UF22D7G</t>
  </si>
  <si>
    <t>BASEBALL JKT CALI</t>
  </si>
  <si>
    <t>M16UF23B8G</t>
  </si>
  <si>
    <t>CREW SWEAT BORN IN</t>
  </si>
  <si>
    <t>M16UF24D7G</t>
  </si>
  <si>
    <t>CREW SWEAT TR</t>
  </si>
  <si>
    <t>M16UF25B8G</t>
  </si>
  <si>
    <t>SHORT BORN IN</t>
  </si>
  <si>
    <t>M16UF26D7G</t>
  </si>
  <si>
    <t>SHORT BORN IN COLD DYED</t>
  </si>
  <si>
    <t>M16UF27B8G</t>
  </si>
  <si>
    <t>HOODED ZIP JKT BUDDHA</t>
  </si>
  <si>
    <t>M16UF28B8G</t>
  </si>
  <si>
    <t>PANT BUDDHA</t>
  </si>
  <si>
    <t>M16UF29B8G</t>
  </si>
  <si>
    <t>CREW SWEAT BUDDHA</t>
  </si>
  <si>
    <t>M16UF30B8G</t>
  </si>
  <si>
    <t>CREW SWEAT TR DENIM</t>
  </si>
  <si>
    <t>M16UF31B8G</t>
  </si>
  <si>
    <t>HOODY TR</t>
  </si>
  <si>
    <t>M16UF33D7G</t>
  </si>
  <si>
    <t>PANT ALL BLACK</t>
  </si>
  <si>
    <t>M16UF34D7G</t>
  </si>
  <si>
    <t>CREW ALL BLACK</t>
  </si>
  <si>
    <t>M16UF35D7G</t>
  </si>
  <si>
    <t>HOODY ALL BLACK</t>
  </si>
  <si>
    <t>M16UF37B8G</t>
  </si>
  <si>
    <t>HOODED ZIP JKT SKULL</t>
  </si>
  <si>
    <t>M16UK01D1G</t>
  </si>
  <si>
    <t>SWEATER BUTTON FLY</t>
  </si>
  <si>
    <t>M16UT01F1G</t>
  </si>
  <si>
    <t>V NECK CUT EDGE</t>
  </si>
  <si>
    <t>M16UT02F1G</t>
  </si>
  <si>
    <t>V NECK SHIRT SKULL</t>
  </si>
  <si>
    <t>M16UT03F1G</t>
  </si>
  <si>
    <t>LS CUT EDGE</t>
  </si>
  <si>
    <t>M16UT04F1G</t>
  </si>
  <si>
    <t>LS CUT EDGE BUDDHA</t>
  </si>
  <si>
    <t>M16UT05F1G</t>
  </si>
  <si>
    <t>SCOOP NECK BUDDHA</t>
  </si>
  <si>
    <t>M16UT06F1G</t>
  </si>
  <si>
    <t>M16UT07E6G</t>
  </si>
  <si>
    <t>LS TR CUT EDGE</t>
  </si>
  <si>
    <t>M16UT08F1G</t>
  </si>
  <si>
    <t>V NECK TR BUDDHA</t>
  </si>
  <si>
    <t>M16UT09F1G</t>
  </si>
  <si>
    <t>CREW SHIRT DOWNTOWN</t>
  </si>
  <si>
    <t>M16UT10F1G</t>
  </si>
  <si>
    <t>CREW SHIRT TR</t>
  </si>
  <si>
    <t>M16UT11F1G</t>
  </si>
  <si>
    <t>SCOOP NECK SHIRT</t>
  </si>
  <si>
    <t>M16UT14G2G</t>
  </si>
  <si>
    <t>LS CUT EDGE CALI</t>
  </si>
  <si>
    <t>M16UT15G2G</t>
  </si>
  <si>
    <t>V NECK DOWNTOWN</t>
  </si>
  <si>
    <t>M16UT16C6G</t>
  </si>
  <si>
    <t>M16UT18C6G</t>
  </si>
  <si>
    <t>M16UT32B8G</t>
  </si>
  <si>
    <t>LS WIDE NECK CREW SWEATER</t>
  </si>
  <si>
    <t>1 4 SE JAKE WESTERN SHIRT</t>
  </si>
  <si>
    <t>RICKY STRAIGHT SUPER T OLV GRY</t>
  </si>
  <si>
    <t>RICKY W FLAPS STRAIGHT 34 IN</t>
  </si>
  <si>
    <t>NATURAL BIGT BASEBALL RICKYWF</t>
  </si>
  <si>
    <t>M2F800Y9M</t>
  </si>
  <si>
    <t>STRAIGHT NO FLAP RED ORANGE SN</t>
  </si>
  <si>
    <t>M2FC348Y9</t>
  </si>
  <si>
    <t>STRAIGHT FLAP RED ORANGE SN 32</t>
  </si>
  <si>
    <t>M2FH006Y9</t>
  </si>
  <si>
    <t>SLIM W FLAP RED ORANGE SN 32</t>
  </si>
  <si>
    <t>M2FH007TS</t>
  </si>
  <si>
    <t>SKINNY SHORT INSEAM NATURAL SN</t>
  </si>
  <si>
    <t>M2FJ19ZY9M</t>
  </si>
  <si>
    <t>SLIM NO FLPS RED ORANGE SN</t>
  </si>
  <si>
    <t>M2FJ60ZOM</t>
  </si>
  <si>
    <t>SKINNY NO FLAPS OM SN</t>
  </si>
  <si>
    <t>M2FJ60ZTSM</t>
  </si>
  <si>
    <t>SKINNY NO FLAPS NAT SN</t>
  </si>
  <si>
    <t>M2ZB129YE7</t>
  </si>
  <si>
    <t>INDIGO ZIP UP HOODIE BIG T</t>
  </si>
  <si>
    <t>INDIGO TERRY</t>
  </si>
  <si>
    <t>M2ZB239MU3</t>
  </si>
  <si>
    <t>INDIGO BASIC SWEATPANT BIG T</t>
  </si>
  <si>
    <t>M3OB128MU3</t>
  </si>
  <si>
    <t>CRSHTCH LS UTLTY WVN</t>
  </si>
  <si>
    <t>M3OB263SE2</t>
  </si>
  <si>
    <t>MENS SS UTILITY SHIRT</t>
  </si>
  <si>
    <t>M4O8U24JV7</t>
  </si>
  <si>
    <t>BUDDHA LOGO CREW NECK TEE</t>
  </si>
  <si>
    <t>OCEAN WAVES</t>
  </si>
  <si>
    <t>TUCSON SUN</t>
  </si>
  <si>
    <t>M4O8U24QL8</t>
  </si>
  <si>
    <t>02 EAGLE CREW NECK TEE</t>
  </si>
  <si>
    <t>M4O8U24XT9</t>
  </si>
  <si>
    <t>STRPS CREW NECK TEE</t>
  </si>
  <si>
    <t>M4O8U24XY0</t>
  </si>
  <si>
    <t>SCOREBOARD CREW NECK TEE</t>
  </si>
  <si>
    <t>WHITE / SURF</t>
  </si>
  <si>
    <t>M4O8U24XZ6</t>
  </si>
  <si>
    <t>BUDDHA CHAMPS SS CREW NECK TEE</t>
  </si>
  <si>
    <t>M4O8U24XZ7</t>
  </si>
  <si>
    <t>DOUBLE PLAY CREW NECK TEE</t>
  </si>
  <si>
    <t>M4O8U24XZ8</t>
  </si>
  <si>
    <t>SMOKE SIGNAL CREW NECK TEE</t>
  </si>
  <si>
    <t>M4O8U24XZ9</t>
  </si>
  <si>
    <t>TR RALLY CREW NECK TEE</t>
  </si>
  <si>
    <t>M4O8U24YA0</t>
  </si>
  <si>
    <t>HOT ROD CREW NECK TEE</t>
  </si>
  <si>
    <t>M4O8U24YB6</t>
  </si>
  <si>
    <t>IKAT TR SS CREW NECK TEE</t>
  </si>
  <si>
    <t>M4O8U24YB9</t>
  </si>
  <si>
    <t>CRUNCH TEE CREW NECK TEE</t>
  </si>
  <si>
    <t>M4O8U24YD7</t>
  </si>
  <si>
    <t>BOLD EAGLE SS CREW NECK TEE</t>
  </si>
  <si>
    <t>M4O8U24YD8</t>
  </si>
  <si>
    <t>TR RACING SS CREW NECK TEE</t>
  </si>
  <si>
    <t>M4O8U24YE5</t>
  </si>
  <si>
    <t>CHEIFS RACING CREW NECK TEE</t>
  </si>
  <si>
    <t>M4O8U24YJ2</t>
  </si>
  <si>
    <t>CALI PHOTO REAL CREW NECK TEE</t>
  </si>
  <si>
    <t>M4O8U24YS3</t>
  </si>
  <si>
    <t>8 STAR HORSESHOE CREW NECK TEE</t>
  </si>
  <si>
    <t>M4OB417YC1</t>
  </si>
  <si>
    <t>FOOTBALL TR FADING TANK</t>
  </si>
  <si>
    <t>16M2</t>
  </si>
  <si>
    <t>M4OB417ZC2</t>
  </si>
  <si>
    <t>TIE DYE SCOOP HEM TANK</t>
  </si>
  <si>
    <t>SMOKE BREAK</t>
  </si>
  <si>
    <t>M4OB419YB7</t>
  </si>
  <si>
    <t>TR HORSESHOE ELONGATED TEE</t>
  </si>
  <si>
    <t>M4OB419YC1</t>
  </si>
  <si>
    <t>FTBL TR FADING ELONGATED TEE</t>
  </si>
  <si>
    <t>M4OB501UM1</t>
  </si>
  <si>
    <t>CONTRAST HORSESHOE PKT TANK</t>
  </si>
  <si>
    <t>M4OW58Y09</t>
  </si>
  <si>
    <t>TR 02 STRIPES V NECK TEE</t>
  </si>
  <si>
    <t>M4OW58YB8</t>
  </si>
  <si>
    <t>IKAT 2002 V NECK SS TEE</t>
  </si>
  <si>
    <t>MARBLE WASH SHORT DEAN NF</t>
  </si>
  <si>
    <t>M58H54NMU9</t>
  </si>
  <si>
    <t>M5O8U24XZ6</t>
  </si>
  <si>
    <t>M5O8U24YD7</t>
  </si>
  <si>
    <t>M5O8U24YD8</t>
  </si>
  <si>
    <t>M5OB417YC0</t>
  </si>
  <si>
    <t>NATIVE PRINT DISCHARGE TANK</t>
  </si>
  <si>
    <t>M5OB417YC1</t>
  </si>
  <si>
    <t>M5OB419YB7</t>
  </si>
  <si>
    <t>M803NYL4</t>
  </si>
  <si>
    <t>JOEY W FLAP SE</t>
  </si>
  <si>
    <t>DFYD</t>
  </si>
  <si>
    <t>DFYD LOST RCRUIT</t>
  </si>
  <si>
    <t>M803NYN0</t>
  </si>
  <si>
    <t>JOEY W  FLAP SE</t>
  </si>
  <si>
    <t>DFSM</t>
  </si>
  <si>
    <t>DFSM LOST HORIZN</t>
  </si>
  <si>
    <t>16F3</t>
  </si>
  <si>
    <t>M858NWV5</t>
  </si>
  <si>
    <t>BILLY W FLAP SUPER T</t>
  </si>
  <si>
    <t>DAVL</t>
  </si>
  <si>
    <t>DAVL DUSTY PIER</t>
  </si>
  <si>
    <t>M859CZP8</t>
  </si>
  <si>
    <t>RICKY W FLAP SE ATHLETIC FIT</t>
  </si>
  <si>
    <t>DIOM</t>
  </si>
  <si>
    <t>DIOM HALFTIME</t>
  </si>
  <si>
    <t>DIPD</t>
  </si>
  <si>
    <t>DIPD BLOCK OUT</t>
  </si>
  <si>
    <t>M859NWV2</t>
  </si>
  <si>
    <t>DCAL</t>
  </si>
  <si>
    <t>DCAL LT OLD SCHL</t>
  </si>
  <si>
    <t>DCBD</t>
  </si>
  <si>
    <t>DCBD DARK RIM</t>
  </si>
  <si>
    <t>M859NWV5</t>
  </si>
  <si>
    <t>M859NWV7</t>
  </si>
  <si>
    <t>DCDL</t>
  </si>
  <si>
    <t>DCDL WORN INDIGO</t>
  </si>
  <si>
    <t>M859NWY1</t>
  </si>
  <si>
    <t>DCJD</t>
  </si>
  <si>
    <t>DCJD INDGO ANTHM</t>
  </si>
  <si>
    <t>M859NWY9</t>
  </si>
  <si>
    <t>DCHM</t>
  </si>
  <si>
    <t>DCHM WORN SLATE</t>
  </si>
  <si>
    <t>M859NWZ4</t>
  </si>
  <si>
    <t>DCND</t>
  </si>
  <si>
    <t>DCND MID CULTURE</t>
  </si>
  <si>
    <t>M859NWZ6</t>
  </si>
  <si>
    <t>16M3</t>
  </si>
  <si>
    <t>M859NWZ8</t>
  </si>
  <si>
    <t>M859NYJ5</t>
  </si>
  <si>
    <t>DFKD</t>
  </si>
  <si>
    <t>DFKD STORMY NGHT</t>
  </si>
  <si>
    <t>M859NYJ8</t>
  </si>
  <si>
    <t>DFMM</t>
  </si>
  <si>
    <t>DFMM DESERT BNDT</t>
  </si>
  <si>
    <t>M859NYK2</t>
  </si>
  <si>
    <t>DFPM</t>
  </si>
  <si>
    <t>DFPM WORN OUTPST</t>
  </si>
  <si>
    <t>M859NYL2</t>
  </si>
  <si>
    <t>DFVM</t>
  </si>
  <si>
    <t>DFVM BLUE MISFIT</t>
  </si>
  <si>
    <t>M859NYL9</t>
  </si>
  <si>
    <t>CHN ONYX</t>
  </si>
  <si>
    <t>CHN CEMENT GREY</t>
  </si>
  <si>
    <t>M859NYM9</t>
  </si>
  <si>
    <t>M859NZA4</t>
  </si>
  <si>
    <t>DFUM</t>
  </si>
  <si>
    <t>DFUM GREY MISFIT</t>
  </si>
  <si>
    <t>M859NZB0</t>
  </si>
  <si>
    <t>DGHL</t>
  </si>
  <si>
    <t>DGHL DUST CLOUD</t>
  </si>
  <si>
    <t>M859NZB1</t>
  </si>
  <si>
    <t>TRUE NAVY / WHITE</t>
  </si>
  <si>
    <t>M9OB267TA9</t>
  </si>
  <si>
    <t>TRK PNT TRK PNT</t>
  </si>
  <si>
    <t>BLACK /VTNG RED</t>
  </si>
  <si>
    <t>SS SINGLE POCKET CREW NECK</t>
  </si>
  <si>
    <t>MA301J050</t>
  </si>
  <si>
    <t>TRLA GRAPHIC TEE</t>
  </si>
  <si>
    <t>MA301RH4S</t>
  </si>
  <si>
    <t>V NECK TEE</t>
  </si>
  <si>
    <t>SULPHUR</t>
  </si>
  <si>
    <t>MA350WY7</t>
  </si>
  <si>
    <t>MA451C004</t>
  </si>
  <si>
    <t>4TH SKULL TEE</t>
  </si>
  <si>
    <t>MA451C007</t>
  </si>
  <si>
    <t>PAINT SPLATTER FLAG</t>
  </si>
  <si>
    <t>MA451C009</t>
  </si>
  <si>
    <t>PUFF PRINT BUDDHA</t>
  </si>
  <si>
    <t>MA451C011</t>
  </si>
  <si>
    <t>SKULL JSY TEE</t>
  </si>
  <si>
    <t>MA451C033</t>
  </si>
  <si>
    <t>GIVE EM HELL TEE</t>
  </si>
  <si>
    <t>MA451C035</t>
  </si>
  <si>
    <t>OUTLAWS TEE</t>
  </si>
  <si>
    <t>DARK GREY MULTI</t>
  </si>
  <si>
    <t>MA451C036</t>
  </si>
  <si>
    <t>CHIEF TEE</t>
  </si>
  <si>
    <t>INSIGNIA BLUE</t>
  </si>
  <si>
    <t>MA451C037</t>
  </si>
  <si>
    <t>LONGHORN GRAPHIC</t>
  </si>
  <si>
    <t>MA451C038</t>
  </si>
  <si>
    <t>TR CHIEF</t>
  </si>
  <si>
    <t>MA451C039</t>
  </si>
  <si>
    <t>BAD SEED TEE</t>
  </si>
  <si>
    <t>MA451C040</t>
  </si>
  <si>
    <t>HELL BENT TEE</t>
  </si>
  <si>
    <t>MA451C041</t>
  </si>
  <si>
    <t>HAMMERED LOGO TEE</t>
  </si>
  <si>
    <t>MA451C052</t>
  </si>
  <si>
    <t>GWP TR WORLD TOUR</t>
  </si>
  <si>
    <t>MA451J110</t>
  </si>
  <si>
    <t>STUDDED SKULL</t>
  </si>
  <si>
    <t>MA451N002</t>
  </si>
  <si>
    <t>PRINTED STRIPE TEE</t>
  </si>
  <si>
    <t>NAVY STRIPE</t>
  </si>
  <si>
    <t>SULPHUR STRIPE</t>
  </si>
  <si>
    <t>MA451N006</t>
  </si>
  <si>
    <t>TR TIGERS TEE</t>
  </si>
  <si>
    <t>MA451N013</t>
  </si>
  <si>
    <t>KANJI APPLIQUE TEE</t>
  </si>
  <si>
    <t>MA451N015</t>
  </si>
  <si>
    <t>WOWT</t>
  </si>
  <si>
    <t>MA451N017</t>
  </si>
  <si>
    <t>TRUE PEACE SIGN TEE</t>
  </si>
  <si>
    <t>MA451N019</t>
  </si>
  <si>
    <t>SPADE WITH WINGS TEE</t>
  </si>
  <si>
    <t>MA451N020</t>
  </si>
  <si>
    <t>WOLF EMB TEE</t>
  </si>
  <si>
    <t>DRIPPY HORSE TEE</t>
  </si>
  <si>
    <t>MA451NP031</t>
  </si>
  <si>
    <t>MA451NP101</t>
  </si>
  <si>
    <t>PANTHER AND TIGER TEE</t>
  </si>
  <si>
    <t>MA451NP34F</t>
  </si>
  <si>
    <t>MA451NP83</t>
  </si>
  <si>
    <t>EMBROIDERED SNAKE TEE</t>
  </si>
  <si>
    <t>MA451OF9</t>
  </si>
  <si>
    <t>UK CRAFTED WITH PRIDE TEE</t>
  </si>
  <si>
    <t>MA451T002</t>
  </si>
  <si>
    <t>VERBAGE TR TEE</t>
  </si>
  <si>
    <t>MA451T005</t>
  </si>
  <si>
    <t>APPLIQUE SLUB TEE</t>
  </si>
  <si>
    <t>MA451T023</t>
  </si>
  <si>
    <t>TRUE RELIGION MFG CO</t>
  </si>
  <si>
    <t>CACTUS OLIVE</t>
  </si>
  <si>
    <t>MA451T024</t>
  </si>
  <si>
    <t>02 TIE DYE</t>
  </si>
  <si>
    <t>MA451T025</t>
  </si>
  <si>
    <t>TR02 BUDDHA</t>
  </si>
  <si>
    <t>MA451YP7</t>
  </si>
  <si>
    <t>MA452C032</t>
  </si>
  <si>
    <t>SPLIT LOGO RINGER TEE</t>
  </si>
  <si>
    <t>OPTIC WHITE/MIDNIGHT</t>
  </si>
  <si>
    <t>MA452XP0</t>
  </si>
  <si>
    <t>MA473YK7</t>
  </si>
  <si>
    <t>MA577WQ1</t>
  </si>
  <si>
    <t>PANTHER TIGER SWEATER</t>
  </si>
  <si>
    <t>MA577WQ2</t>
  </si>
  <si>
    <t>SNAKES SWEATER</t>
  </si>
  <si>
    <t>MA904WZ1</t>
  </si>
  <si>
    <t>DDDL</t>
  </si>
  <si>
    <t>DDDL GREY SMOKE</t>
  </si>
  <si>
    <t>MA904XF9</t>
  </si>
  <si>
    <t>DCOM</t>
  </si>
  <si>
    <t>DCOM FADED SLATE</t>
  </si>
  <si>
    <t>MA904YL8</t>
  </si>
  <si>
    <t>MA904YM6</t>
  </si>
  <si>
    <t>MA904ZK1</t>
  </si>
  <si>
    <t>DFQ ONYX</t>
  </si>
  <si>
    <t>RUBY RED/CHO WASH</t>
  </si>
  <si>
    <t>MA904ZQ2</t>
  </si>
  <si>
    <t>ONYX/CHN WASH</t>
  </si>
  <si>
    <t>CACTUS OLIVE CHN WASH</t>
  </si>
  <si>
    <t>MA904ZR8</t>
  </si>
  <si>
    <t>DMNM</t>
  </si>
  <si>
    <t>DMNM INDIGO WELL</t>
  </si>
  <si>
    <t>LS WESTERN SHIRT</t>
  </si>
  <si>
    <t>MAOB308XZ1</t>
  </si>
  <si>
    <t>HRSESHOE SWTSHORT</t>
  </si>
  <si>
    <t>BLACK / YELLOW</t>
  </si>
  <si>
    <t>MAOB438YS5</t>
  </si>
  <si>
    <t>TR RALLY CUT OFF SHORT</t>
  </si>
  <si>
    <t>MAOB500XZ0</t>
  </si>
  <si>
    <t>SS BSEBALL BUTTON UP</t>
  </si>
  <si>
    <t>BLACK / HTHR GRY / WHT</t>
  </si>
  <si>
    <t>WHITE / BLK / YLW</t>
  </si>
  <si>
    <t>RICKY STRGHT SPT STRCH BLKGRY</t>
  </si>
  <si>
    <t>MAXB140MX4</t>
  </si>
  <si>
    <t>RICKY STRAIGHT SUPER T</t>
  </si>
  <si>
    <t>MAXH54NCR0</t>
  </si>
  <si>
    <t>MB008OAU1</t>
  </si>
  <si>
    <t>SHOESTRING HORSESHOE HOODIE</t>
  </si>
  <si>
    <t>16FA</t>
  </si>
  <si>
    <t>MB008OAU2</t>
  </si>
  <si>
    <t>MB008VE0D</t>
  </si>
  <si>
    <t>HTR GRY/DEEP BLU</t>
  </si>
  <si>
    <t>HTR GREY</t>
  </si>
  <si>
    <t>MB009VE0D</t>
  </si>
  <si>
    <t>FRENCH SEAM WSTRN SH</t>
  </si>
  <si>
    <t>MB063UT7</t>
  </si>
  <si>
    <t>MB078VO8E</t>
  </si>
  <si>
    <t>CWE WASH</t>
  </si>
  <si>
    <t>MB078VR8E</t>
  </si>
  <si>
    <t>MB078WZ3</t>
  </si>
  <si>
    <t>TROOPER CARGO SHORT SE</t>
  </si>
  <si>
    <t>DDA INCENSE</t>
  </si>
  <si>
    <t>DDA NAVY</t>
  </si>
  <si>
    <t>MB156QM9</t>
  </si>
  <si>
    <t>BANDANA PRINT TEE</t>
  </si>
  <si>
    <t>MB156WQ4</t>
  </si>
  <si>
    <t>BLEACH SPLAT TEE</t>
  </si>
  <si>
    <t>MB156WR0</t>
  </si>
  <si>
    <t>PUSH PRINT TEE</t>
  </si>
  <si>
    <t>MB157YP7</t>
  </si>
  <si>
    <t>LS HENLEY</t>
  </si>
  <si>
    <t>MB170WQ7</t>
  </si>
  <si>
    <t>SS WOVEN SHIRT</t>
  </si>
  <si>
    <t>INDIGO W/MONOGRAM</t>
  </si>
  <si>
    <t>MB170WR3</t>
  </si>
  <si>
    <t>ROLL UP SLEEVE WOVEN</t>
  </si>
  <si>
    <t>MB171C010</t>
  </si>
  <si>
    <t>BUDDHA ACID WASH TEE</t>
  </si>
  <si>
    <t>MB197UT7</t>
  </si>
  <si>
    <t>MB252WV4</t>
  </si>
  <si>
    <t>MB252WZ0</t>
  </si>
  <si>
    <t>MB252YJ9</t>
  </si>
  <si>
    <t>MB252YL3</t>
  </si>
  <si>
    <t>MB439YJ3</t>
  </si>
  <si>
    <t>MB440YJ3</t>
  </si>
  <si>
    <t>MB441YJ4</t>
  </si>
  <si>
    <t>RYAN WESTERN SE</t>
  </si>
  <si>
    <t>DFLM</t>
  </si>
  <si>
    <t>DFLM MID ROCKIES</t>
  </si>
  <si>
    <t>MBACKPACK2</t>
  </si>
  <si>
    <t>ALLOVER HRSESHOE BACKPACK</t>
  </si>
  <si>
    <t>LS WESTERN WOVEN SHIRT</t>
  </si>
  <si>
    <t>MC087VQ2E</t>
  </si>
  <si>
    <t>RICKY SHORT SINGLE END</t>
  </si>
  <si>
    <t>MC087WW0</t>
  </si>
  <si>
    <t>RICKY SHORT WITH FLAP SE</t>
  </si>
  <si>
    <t>DCGM</t>
  </si>
  <si>
    <t>DCGM WRN STREETS</t>
  </si>
  <si>
    <t>MC087WY1</t>
  </si>
  <si>
    <t>MC087XA1</t>
  </si>
  <si>
    <t>DCVD</t>
  </si>
  <si>
    <t>DCVD NGHT GALAXY</t>
  </si>
  <si>
    <t>MC087YJ7</t>
  </si>
  <si>
    <t>MC087ZB0</t>
  </si>
  <si>
    <t>MC087ZB1</t>
  </si>
  <si>
    <t>MC088YM4</t>
  </si>
  <si>
    <t>DGFD</t>
  </si>
  <si>
    <t>DGFD BLK CNTE LK</t>
  </si>
  <si>
    <t>RICKY SHORT NO FLAP SUPERT</t>
  </si>
  <si>
    <t>MC126WW3</t>
  </si>
  <si>
    <t>GENO SHORT NO FLAP SE</t>
  </si>
  <si>
    <t>DCZ INCENSE</t>
  </si>
  <si>
    <t>DCZ WHITE</t>
  </si>
  <si>
    <t>DCZ NAVY</t>
  </si>
  <si>
    <t>MC126WY2</t>
  </si>
  <si>
    <t>DCKL</t>
  </si>
  <si>
    <t>DCKL WORN SNFDED</t>
  </si>
  <si>
    <t>MC126XT1</t>
  </si>
  <si>
    <t>DDFM</t>
  </si>
  <si>
    <t>DDFM STREETS</t>
  </si>
  <si>
    <t>MC126XT3</t>
  </si>
  <si>
    <t>GENO SHORT NO FLAP BIG T</t>
  </si>
  <si>
    <t>CHARCOAL/CHO WASH</t>
  </si>
  <si>
    <t>WHITE / CHO WASH</t>
  </si>
  <si>
    <t>INCENSE/CHO WASH</t>
  </si>
  <si>
    <t>MC145WD7</t>
  </si>
  <si>
    <t>ACID WASH HENLEY</t>
  </si>
  <si>
    <t>CONCRETE</t>
  </si>
  <si>
    <t>VARSITY BLUE</t>
  </si>
  <si>
    <t>SULFUR</t>
  </si>
  <si>
    <t>MC145XU9</t>
  </si>
  <si>
    <t>DBLE FACE SS HENLEY</t>
  </si>
  <si>
    <t>MC225XW4</t>
  </si>
  <si>
    <t>GRAFITTI RED PLAID</t>
  </si>
  <si>
    <t>MC290XM4</t>
  </si>
  <si>
    <t>DBLE ZIP MOTO</t>
  </si>
  <si>
    <t>MC337ZB7</t>
  </si>
  <si>
    <t>1 2 SE MOTO JACKET</t>
  </si>
  <si>
    <t>MC408XG0</t>
  </si>
  <si>
    <t>DCIL</t>
  </si>
  <si>
    <t>DCIL WHITE CREEK</t>
  </si>
  <si>
    <t>MC408YM3</t>
  </si>
  <si>
    <t>DGDL</t>
  </si>
  <si>
    <t>DGDL WRN CNCRETE</t>
  </si>
  <si>
    <t>MC408ZJ8</t>
  </si>
  <si>
    <t>DIGL WORN CAMO</t>
  </si>
  <si>
    <t>MC429TF4F</t>
  </si>
  <si>
    <t>MC443WQ6</t>
  </si>
  <si>
    <t>BLEACHED OUT WORKWEAR</t>
  </si>
  <si>
    <t>DEEP BLUE PLAID</t>
  </si>
  <si>
    <t>MC443WR4</t>
  </si>
  <si>
    <t>TRIPLE NEEDLE WORKWEAR</t>
  </si>
  <si>
    <t>MC444US5F</t>
  </si>
  <si>
    <t>MC444XM3</t>
  </si>
  <si>
    <t>BLACK PLAID</t>
  </si>
  <si>
    <t>MC444XT7</t>
  </si>
  <si>
    <t>WESTERN</t>
  </si>
  <si>
    <t>MC444XU3</t>
  </si>
  <si>
    <t>INSIGNIA BLUE PLAID</t>
  </si>
  <si>
    <t>MC444XV3</t>
  </si>
  <si>
    <t>CACTUS OLIVE PLAID</t>
  </si>
  <si>
    <t>MC444XW3</t>
  </si>
  <si>
    <t>MC444YQ3</t>
  </si>
  <si>
    <t>INDIGO PLAID WESTERN SHIRT</t>
  </si>
  <si>
    <t>INDIGO PLAID</t>
  </si>
  <si>
    <t>MC444YQ4</t>
  </si>
  <si>
    <t>MARIGOLD</t>
  </si>
  <si>
    <t>MC451N026</t>
  </si>
  <si>
    <t>SKULL LIGHTNING</t>
  </si>
  <si>
    <t>MC451XV9</t>
  </si>
  <si>
    <t>SHORT SLEEVE CREW TEE</t>
  </si>
  <si>
    <t>MC460WQ2</t>
  </si>
  <si>
    <t>MC464WQ2</t>
  </si>
  <si>
    <t>LOGO CREW NECK PULLOVER</t>
  </si>
  <si>
    <t>MC467WD7</t>
  </si>
  <si>
    <t>LS CREW NECK TEE</t>
  </si>
  <si>
    <t>MC519WW2</t>
  </si>
  <si>
    <t>MC565C031</t>
  </si>
  <si>
    <t>PROPERTY OF NONE TEE</t>
  </si>
  <si>
    <t>MC565C034</t>
  </si>
  <si>
    <t>UNTOUCHABLE TEE</t>
  </si>
  <si>
    <t>MC565J110</t>
  </si>
  <si>
    <t>MC565N004</t>
  </si>
  <si>
    <t>KANJI TIGER TEE</t>
  </si>
  <si>
    <t>MC565N008</t>
  </si>
  <si>
    <t>02 TR DISTRESSED PRINT</t>
  </si>
  <si>
    <t>MC565N010</t>
  </si>
  <si>
    <t>INTERLOCK HORSESHOE STRIPE</t>
  </si>
  <si>
    <t>MC565T001</t>
  </si>
  <si>
    <t>MESH FOOTBALL TEE</t>
  </si>
  <si>
    <t>MC565T012</t>
  </si>
  <si>
    <t>RAISED DENSITY 02 TEE</t>
  </si>
  <si>
    <t>MC565XV9</t>
  </si>
  <si>
    <t>GRAFITTI RED</t>
  </si>
  <si>
    <t>BURNT ORANGE</t>
  </si>
  <si>
    <t>MC573XA2</t>
  </si>
  <si>
    <t>RYAN WESTERN</t>
  </si>
  <si>
    <t>MC573YK8</t>
  </si>
  <si>
    <t>DFTM</t>
  </si>
  <si>
    <t>DFTM LNE STREETS</t>
  </si>
  <si>
    <t>MC581WW9</t>
  </si>
  <si>
    <t>MC683WW9</t>
  </si>
  <si>
    <t>RICKY NO FLAP TRIPLE NEEDLE</t>
  </si>
  <si>
    <t>MC685XI7</t>
  </si>
  <si>
    <t>DDC WASHED BLACK</t>
  </si>
  <si>
    <t>DDC INCENSE</t>
  </si>
  <si>
    <t>DDC CONCRETE</t>
  </si>
  <si>
    <t>DDC NAVY</t>
  </si>
  <si>
    <t>MC723UT7</t>
  </si>
  <si>
    <t>NEON LOGO SWEATPANT</t>
  </si>
  <si>
    <t>MC723XU6</t>
  </si>
  <si>
    <t>SLIM LEG SWEATPANT</t>
  </si>
  <si>
    <t>MC725WV3</t>
  </si>
  <si>
    <t>MC728WV9</t>
  </si>
  <si>
    <t>DCFL</t>
  </si>
  <si>
    <t>DCFL PAC WATERS</t>
  </si>
  <si>
    <t>INDIGO W/MELON</t>
  </si>
  <si>
    <t>HTR GREY/BRICK</t>
  </si>
  <si>
    <t>HT GREY/JEP GRN</t>
  </si>
  <si>
    <t>MC785WI6</t>
  </si>
  <si>
    <t>SOUVENIR TWILL JACKET</t>
  </si>
  <si>
    <t>MC786WQ2</t>
  </si>
  <si>
    <t>MESH LOGO HOODIE</t>
  </si>
  <si>
    <t>MC788WQ2</t>
  </si>
  <si>
    <t>MESH INSET SHORTS</t>
  </si>
  <si>
    <t>MC791WP8</t>
  </si>
  <si>
    <t>RAGLAN HENLEY</t>
  </si>
  <si>
    <t>MC804WP8</t>
  </si>
  <si>
    <t>APPLIQUE LINEN TEE</t>
  </si>
  <si>
    <t>MC804XV8</t>
  </si>
  <si>
    <t>CURVED HEM TEE</t>
  </si>
  <si>
    <t>BLACK/WHITE STRIPE</t>
  </si>
  <si>
    <t>MC808XY5</t>
  </si>
  <si>
    <t>PULL OVER HOODIE</t>
  </si>
  <si>
    <t>MC830WA6</t>
  </si>
  <si>
    <t>ACID WASH TANK</t>
  </si>
  <si>
    <t>MC859WQ9</t>
  </si>
  <si>
    <t>SWEATSHORTS</t>
  </si>
  <si>
    <t>MC860WQ9</t>
  </si>
  <si>
    <t>SS SWEATSHIRT</t>
  </si>
  <si>
    <t>MC862J051</t>
  </si>
  <si>
    <t>CUT OFF BUDDHA TANK</t>
  </si>
  <si>
    <t>MC862N011</t>
  </si>
  <si>
    <t>PUFF PIN TANK</t>
  </si>
  <si>
    <t>MC874WQ0</t>
  </si>
  <si>
    <t>TRIPLE NEEDLE WESTERN</t>
  </si>
  <si>
    <t>MC878XH7</t>
  </si>
  <si>
    <t>BIG T POLO</t>
  </si>
  <si>
    <t>MC878XU5</t>
  </si>
  <si>
    <t>MC880XG8</t>
  </si>
  <si>
    <t>GENO SHORT NO FLAP TRIPLE NDL</t>
  </si>
  <si>
    <t>DCW INCENSE</t>
  </si>
  <si>
    <t>DCW NAVY</t>
  </si>
  <si>
    <t>MC885C008</t>
  </si>
  <si>
    <t>MESH INSET TEE</t>
  </si>
  <si>
    <t>WASHED BLACK CHN</t>
  </si>
  <si>
    <t>OLD GREY CHN</t>
  </si>
  <si>
    <t>NAVY CHN</t>
  </si>
  <si>
    <t>VINTAGE RED CHN</t>
  </si>
  <si>
    <t>MC897XM1</t>
  </si>
  <si>
    <t>ELONGATED SLUB TEE</t>
  </si>
  <si>
    <t>MC897XS9</t>
  </si>
  <si>
    <t>MC898XM1</t>
  </si>
  <si>
    <t>ELONGATED MUSCLE TEE</t>
  </si>
  <si>
    <t>MC898XS9</t>
  </si>
  <si>
    <t>MC899XM2</t>
  </si>
  <si>
    <t>MC900XM3</t>
  </si>
  <si>
    <t>SS ROLL UP SLEEVE</t>
  </si>
  <si>
    <t>MC902XQ4</t>
  </si>
  <si>
    <t>KNIT TANK</t>
  </si>
  <si>
    <t>MC907XU0</t>
  </si>
  <si>
    <t>MC907YJ9</t>
  </si>
  <si>
    <t>MC907YL3</t>
  </si>
  <si>
    <t>MC931XV4</t>
  </si>
  <si>
    <t>WORKWEAR SHIRT JACKET</t>
  </si>
  <si>
    <t>MC939YP5</t>
  </si>
  <si>
    <t>SUPER T STITCH TEE</t>
  </si>
  <si>
    <t>HTR BLACK/RED</t>
  </si>
  <si>
    <t>HTR GREY/NATUAL</t>
  </si>
  <si>
    <t>H.CACTUS OLIVE/CACTUS OLIVE</t>
  </si>
  <si>
    <t>MC943WQ9</t>
  </si>
  <si>
    <t>WESTERN YOKE HOODIE</t>
  </si>
  <si>
    <t>MC948UT7</t>
  </si>
  <si>
    <t>MC948XW6</t>
  </si>
  <si>
    <t>SULFUR BLACK</t>
  </si>
  <si>
    <t>MC949XW1</t>
  </si>
  <si>
    <t>CAFE RACER</t>
  </si>
  <si>
    <t>MC950XW0</t>
  </si>
  <si>
    <t>GRAFFITI RED</t>
  </si>
  <si>
    <t>MC951XW2</t>
  </si>
  <si>
    <t>INDIGO/DENIM</t>
  </si>
  <si>
    <t>MC954UT7</t>
  </si>
  <si>
    <t>MOTO HOODIE</t>
  </si>
  <si>
    <t>DARK GREY</t>
  </si>
  <si>
    <t>MC955UT7</t>
  </si>
  <si>
    <t>MOTO PANT</t>
  </si>
  <si>
    <t>MCAMODFFLE</t>
  </si>
  <si>
    <t>MCZ800BJ9</t>
  </si>
  <si>
    <t>STRGHT NO FLPS BLK SN</t>
  </si>
  <si>
    <t>MD015WQ2</t>
  </si>
  <si>
    <t>MD015XU6</t>
  </si>
  <si>
    <t>MD016US5</t>
  </si>
  <si>
    <t>GANGDYE WORKWEAR</t>
  </si>
  <si>
    <t>MD017N018</t>
  </si>
  <si>
    <t>MD023YX3</t>
  </si>
  <si>
    <t>DARTED ROCCO NO FLAP SE</t>
  </si>
  <si>
    <t>DAGL</t>
  </si>
  <si>
    <t>DAGL PIVOT</t>
  </si>
  <si>
    <t>MD023YX4</t>
  </si>
  <si>
    <t>DDWD</t>
  </si>
  <si>
    <t>DDWD WORN NIGHTS</t>
  </si>
  <si>
    <t>MD023YX5</t>
  </si>
  <si>
    <t>MD023YX6</t>
  </si>
  <si>
    <t>DDZL</t>
  </si>
  <si>
    <t>DDZL OPTIC GRIND</t>
  </si>
  <si>
    <t>MD023YX7</t>
  </si>
  <si>
    <t>DDXD</t>
  </si>
  <si>
    <t>DDXD INDIGO FLEX</t>
  </si>
  <si>
    <t>DDYL</t>
  </si>
  <si>
    <t>DDYL STREET FLUX</t>
  </si>
  <si>
    <t>MD025WW4</t>
  </si>
  <si>
    <t>WEEKENDER CARGO SE</t>
  </si>
  <si>
    <t>CWR BLACK</t>
  </si>
  <si>
    <t>CWR NAVY</t>
  </si>
  <si>
    <t>MD026YM0</t>
  </si>
  <si>
    <t>CARGO PANT SE</t>
  </si>
  <si>
    <t>DDU DK GREY</t>
  </si>
  <si>
    <t>DDU OLIVE</t>
  </si>
  <si>
    <t>MD046XU8</t>
  </si>
  <si>
    <t>MD055ZB8</t>
  </si>
  <si>
    <t>DIDL</t>
  </si>
  <si>
    <t>DIDL DESERT PLMS</t>
  </si>
  <si>
    <t>MD056ZB8</t>
  </si>
  <si>
    <t>DIFD</t>
  </si>
  <si>
    <t>DIFD DK DSRT PLMS</t>
  </si>
  <si>
    <t>MD056ZS5</t>
  </si>
  <si>
    <t>DCSD</t>
  </si>
  <si>
    <t>DCSD PTCHD TRVLR</t>
  </si>
  <si>
    <t>MD056ZS6</t>
  </si>
  <si>
    <t>DDED</t>
  </si>
  <si>
    <t>DDED WORN RAVEN</t>
  </si>
  <si>
    <t>MD086C070</t>
  </si>
  <si>
    <t>PRESIDENTS DAY TEE</t>
  </si>
  <si>
    <t>MD086ZN6</t>
  </si>
  <si>
    <t>1 4 ROCCO SEL NF PHANT LOGO</t>
  </si>
  <si>
    <t>DILM</t>
  </si>
  <si>
    <t>DILM OLD OUTPOST</t>
  </si>
  <si>
    <t>MD088ZP7</t>
  </si>
  <si>
    <t>SE ROCCO MOTO SHORT</t>
  </si>
  <si>
    <t>CHO WHITE</t>
  </si>
  <si>
    <t>MD091WF4</t>
  </si>
  <si>
    <t>GENO MOTO SHORT  SE</t>
  </si>
  <si>
    <t>MD091ZP7</t>
  </si>
  <si>
    <t>SE GENO MOTO SHORT</t>
  </si>
  <si>
    <t>MDOB452SE2</t>
  </si>
  <si>
    <t>EMBROIDERY LOGO SS HENLEY</t>
  </si>
  <si>
    <t>PRINTED BLACK STRIPE</t>
  </si>
  <si>
    <t>PRINTED SURF STRIPE</t>
  </si>
  <si>
    <t>PRINTED RED STRIPE</t>
  </si>
  <si>
    <t>ME08NWV6</t>
  </si>
  <si>
    <t>ME08NWW0</t>
  </si>
  <si>
    <t>ME08NWY2</t>
  </si>
  <si>
    <t>ME08NWY6</t>
  </si>
  <si>
    <t>ME08NWZ6</t>
  </si>
  <si>
    <t>ME08NXA1</t>
  </si>
  <si>
    <t>ME08NXK2</t>
  </si>
  <si>
    <t>ME08NXT1</t>
  </si>
  <si>
    <t>ME08NYJ5</t>
  </si>
  <si>
    <t>ME08NYJ7</t>
  </si>
  <si>
    <t>ME08NYK1</t>
  </si>
  <si>
    <t>ME08NYK9</t>
  </si>
  <si>
    <t>ME08NYL7</t>
  </si>
  <si>
    <t>DFZD</t>
  </si>
  <si>
    <t>DFZD PTCD RCRUIT</t>
  </si>
  <si>
    <t>ME08NYM1</t>
  </si>
  <si>
    <t>ME08NYM5</t>
  </si>
  <si>
    <t>MEG800ECN</t>
  </si>
  <si>
    <t>STRAIGHT TONAL BIG T</t>
  </si>
  <si>
    <t>DJSL DOVE</t>
  </si>
  <si>
    <t>DJSL TRUE NAVY</t>
  </si>
  <si>
    <t>MEG859ECN</t>
  </si>
  <si>
    <t>STRAIGHT FLAP TONAL BIG T</t>
  </si>
  <si>
    <t>DJSL OLIVE</t>
  </si>
  <si>
    <t>DJSL BURGUNDY</t>
  </si>
  <si>
    <t>COBALT BLUE SUPER T RICKY W FL</t>
  </si>
  <si>
    <t>QUICK FADE DENIM RICKY W FLAP</t>
  </si>
  <si>
    <t>META286EAE</t>
  </si>
  <si>
    <t>CUTOFF CARGOSHORT NATURAL BIGT</t>
  </si>
  <si>
    <t>META286EAF</t>
  </si>
  <si>
    <t>BNTL</t>
  </si>
  <si>
    <t>BNTL LIGHT STONE</t>
  </si>
  <si>
    <t>METB390TS</t>
  </si>
  <si>
    <t>WESTERN DN SHIRT</t>
  </si>
  <si>
    <t>DHLM</t>
  </si>
  <si>
    <t>DHLM WIND TRAVLR</t>
  </si>
  <si>
    <t>METB420YD4</t>
  </si>
  <si>
    <t>SS WESTERN SHIRT</t>
  </si>
  <si>
    <t>DHUL</t>
  </si>
  <si>
    <t>DHUL TOUGH LUCK</t>
  </si>
  <si>
    <t>MONOGRAM SS CREW NECK</t>
  </si>
  <si>
    <t>OPEN ROAD SS CREW NECK</t>
  </si>
  <si>
    <t>MH54NXA1</t>
  </si>
  <si>
    <t>ROCCO W FLAP SUPER T</t>
  </si>
  <si>
    <t>MH54NXL2R</t>
  </si>
  <si>
    <t>ROCCO W FLAP SE 32 INSEAM</t>
  </si>
  <si>
    <t>MH54NYK0</t>
  </si>
  <si>
    <t>MH54NYK0N</t>
  </si>
  <si>
    <t>MH54NYL1</t>
  </si>
  <si>
    <t>MH54NZK0</t>
  </si>
  <si>
    <t>GREY BLUE BIG QT RICKY W FLAP</t>
  </si>
  <si>
    <t>MHUA239MU3</t>
  </si>
  <si>
    <t>BIG T BASIC SWTPNT</t>
  </si>
  <si>
    <t>MHUA239XY4</t>
  </si>
  <si>
    <t>PRPTY OF BSIC SWTPNT</t>
  </si>
  <si>
    <t>MHUB129YE7</t>
  </si>
  <si>
    <t>BIG T ZIP UP HOODIE</t>
  </si>
  <si>
    <t>MHUB130WM3</t>
  </si>
  <si>
    <t>SINAGE BASIC SWT PNT</t>
  </si>
  <si>
    <t>CHARCOAL / VINTAGE RED</t>
  </si>
  <si>
    <t>OATMEAL / JET BLACK</t>
  </si>
  <si>
    <t>MHUB392YD1</t>
  </si>
  <si>
    <t>HS CTST ZIP HOODIE</t>
  </si>
  <si>
    <t>BLACK / H GREY</t>
  </si>
  <si>
    <t>HTHR GRY/MLTRY</t>
  </si>
  <si>
    <t>MHUB393YD2</t>
  </si>
  <si>
    <t>HRSHOE CNST JOGGER</t>
  </si>
  <si>
    <t>BLACK / HTHR GREY</t>
  </si>
  <si>
    <t>MHUB416XS1</t>
  </si>
  <si>
    <t>PRPTY OF CRW PLVR</t>
  </si>
  <si>
    <t>MI2A595X04</t>
  </si>
  <si>
    <t>TRELR SS RGLN</t>
  </si>
  <si>
    <t>HEATHER GREY /SULPHUR RED</t>
  </si>
  <si>
    <t>MI2B257XM7</t>
  </si>
  <si>
    <t>THRWBK FTBL CREW TEE</t>
  </si>
  <si>
    <t>MIVB263SE2</t>
  </si>
  <si>
    <t>RNCH HND SS UTILITY</t>
  </si>
  <si>
    <t>RANCH HAND</t>
  </si>
  <si>
    <t>MIWW58XY3</t>
  </si>
  <si>
    <t>HRSHOE W STRS VNK</t>
  </si>
  <si>
    <t>MIZB420MU3</t>
  </si>
  <si>
    <t>DN SS WESTERN SHIRT HORSESHOE</t>
  </si>
  <si>
    <t>TOTEM</t>
  </si>
  <si>
    <t>MJ19CZP8</t>
  </si>
  <si>
    <t>GENO ATHLETIC FIT  NO FLAP SE</t>
  </si>
  <si>
    <t>GENO NO FLAP BIG T</t>
  </si>
  <si>
    <t>MJ19NWV2</t>
  </si>
  <si>
    <t>MJ19NWV8</t>
  </si>
  <si>
    <t>DCEL</t>
  </si>
  <si>
    <t>DCEL PATCHED IND</t>
  </si>
  <si>
    <t>MJ19NWY3</t>
  </si>
  <si>
    <t>MJ19NWZ0</t>
  </si>
  <si>
    <t>MJ19NWZ4</t>
  </si>
  <si>
    <t>DCQL</t>
  </si>
  <si>
    <t>DCQL DAY CULTURE</t>
  </si>
  <si>
    <t>MJ19NWZ8</t>
  </si>
  <si>
    <t>MJ19NYJ6</t>
  </si>
  <si>
    <t>MJ19NYK5</t>
  </si>
  <si>
    <t>DFQ STRAW</t>
  </si>
  <si>
    <t>DFQ MIDNIGHT</t>
  </si>
  <si>
    <t>MJ19NYL2</t>
  </si>
  <si>
    <t>MJ19NYN3</t>
  </si>
  <si>
    <t>MJ19NZB1</t>
  </si>
  <si>
    <t>GENO NO  FLAP SE</t>
  </si>
  <si>
    <t>MJ19NZS4</t>
  </si>
  <si>
    <t>CHN TAUPE</t>
  </si>
  <si>
    <t>MJ60NLX3</t>
  </si>
  <si>
    <t>DEEP SEA</t>
  </si>
  <si>
    <t>1 2 ROCCO NO FLAP BIG T</t>
  </si>
  <si>
    <t>DCYM</t>
  </si>
  <si>
    <t>DCYM LT PASSAGE</t>
  </si>
  <si>
    <t>MJ60NWV2</t>
  </si>
  <si>
    <t>MJ60NWV5</t>
  </si>
  <si>
    <t>MJ60NWW0</t>
  </si>
  <si>
    <t>MJ60NWY9</t>
  </si>
  <si>
    <t>MJ60NWZ6</t>
  </si>
  <si>
    <t>MJ60NWZ8</t>
  </si>
  <si>
    <t>MJ60NXQ0</t>
  </si>
  <si>
    <t>MJ60NXT1</t>
  </si>
  <si>
    <t>MJ60NYJ7</t>
  </si>
  <si>
    <t>MJ60NYJ8</t>
  </si>
  <si>
    <t>MJ60NYK1</t>
  </si>
  <si>
    <t>MJ60NYK2</t>
  </si>
  <si>
    <t>1 2 ROCCO SE NO FLAP</t>
  </si>
  <si>
    <t>MJ60NYK9</t>
  </si>
  <si>
    <t>MJ60NYL4</t>
  </si>
  <si>
    <t>MJ60NYM4</t>
  </si>
  <si>
    <t>MJ60NYM9</t>
  </si>
  <si>
    <t>MJ60NYN0</t>
  </si>
  <si>
    <t>MJ60NYN1</t>
  </si>
  <si>
    <t>MJ60NZN5</t>
  </si>
  <si>
    <t>MJ60NZR1</t>
  </si>
  <si>
    <t>16H1</t>
  </si>
  <si>
    <t>DKVD</t>
  </si>
  <si>
    <t>DKVD DK INGLORUS</t>
  </si>
  <si>
    <t>MJ60NZR2</t>
  </si>
  <si>
    <t>MINERAL REEF SUPER T RICKY WF</t>
  </si>
  <si>
    <t>HEATHR GRY</t>
  </si>
  <si>
    <t>ATHLETIC GREY HEATHER</t>
  </si>
  <si>
    <t>MJM8U24DR8</t>
  </si>
  <si>
    <t>LETITRIDE CREW TEE</t>
  </si>
  <si>
    <t>MJM8U24IZ4</t>
  </si>
  <si>
    <t>1100CC CREW TEE</t>
  </si>
  <si>
    <t>MJM8U24LJ9</t>
  </si>
  <si>
    <t>TR HORSESHOE ALL OVER TEE</t>
  </si>
  <si>
    <t>MJM8U24XK9</t>
  </si>
  <si>
    <t>ONTHERL CREW TEE</t>
  </si>
  <si>
    <t>OLIVINE</t>
  </si>
  <si>
    <t>MJM8U24XL4</t>
  </si>
  <si>
    <t>BLK FRI CREW TEE</t>
  </si>
  <si>
    <t>MJM8U24XM8</t>
  </si>
  <si>
    <t>TRUE2TEE CREW TEE</t>
  </si>
  <si>
    <t>MJM8U24XO8</t>
  </si>
  <si>
    <t>TLTD TR CREW TEE</t>
  </si>
  <si>
    <t>MJM8U24XS1</t>
  </si>
  <si>
    <t>PRPTY OF CREW TEE</t>
  </si>
  <si>
    <t>MJM8U24XZ5</t>
  </si>
  <si>
    <t>CRACKED HORSESHOE CREW TEE</t>
  </si>
  <si>
    <t>MJM8U24ZA0</t>
  </si>
  <si>
    <t>CLASSIC HORSESHOE LOGO CREW</t>
  </si>
  <si>
    <t>MJMA595X04</t>
  </si>
  <si>
    <t>BLACK /  COOL GREY</t>
  </si>
  <si>
    <t>MJMA595XR9</t>
  </si>
  <si>
    <t>CAMO HS RGLN TEE</t>
  </si>
  <si>
    <t>WHITE / TANGERINE</t>
  </si>
  <si>
    <t>MJMB127XK8</t>
  </si>
  <si>
    <t>SPD TR FTBL TEE</t>
  </si>
  <si>
    <t>MJMB257XM7</t>
  </si>
  <si>
    <t>TRUE NAVY / DK WHEAT</t>
  </si>
  <si>
    <t>MJMB382XS0</t>
  </si>
  <si>
    <t>IVY02 FTBL TEE</t>
  </si>
  <si>
    <t>MILITARY / BLACK</t>
  </si>
  <si>
    <t>MJMW58SX9</t>
  </si>
  <si>
    <t>NEGATIVE HORSESHOE VNECK TEE</t>
  </si>
  <si>
    <t>WHITE/BLUE</t>
  </si>
  <si>
    <t>DENIM  AND SPORTS SS TEE</t>
  </si>
  <si>
    <t>MJMW58XL1</t>
  </si>
  <si>
    <t>SHP TEE VNK TEE</t>
  </si>
  <si>
    <t>CONTRAST CHAMBRAY VNECK</t>
  </si>
  <si>
    <t>MMC800OM</t>
  </si>
  <si>
    <t>STRAIGHT NO FLAPS OM</t>
  </si>
  <si>
    <t>DDHD</t>
  </si>
  <si>
    <t>DDHD NAVY TRAIL</t>
  </si>
  <si>
    <t>CXXM</t>
  </si>
  <si>
    <t>CXXM CHOPPER</t>
  </si>
  <si>
    <t>MMCB394YD3</t>
  </si>
  <si>
    <t>TRCKER HOOD JACKET MNIGHT BIGT</t>
  </si>
  <si>
    <t>MMCB395YD3</t>
  </si>
  <si>
    <t>JOGGER W MNIGHT BIGT</t>
  </si>
  <si>
    <t>MMCE08OMW</t>
  </si>
  <si>
    <t>SLIM W FLAP OLD MULTI WT SN</t>
  </si>
  <si>
    <t>CXWM</t>
  </si>
  <si>
    <t>CXWM HARD BELLY</t>
  </si>
  <si>
    <t>MMCH54ZTS</t>
  </si>
  <si>
    <t>TWO TONE FOOTBALL TEE</t>
  </si>
  <si>
    <t>1 2 DANNY TRUCKER JACKET BIGT</t>
  </si>
  <si>
    <t>MNR800OM</t>
  </si>
  <si>
    <t>STRAIGHT OLD MULTI SN</t>
  </si>
  <si>
    <t>DLLL</t>
  </si>
  <si>
    <t>DLLL LT RDNG S WR</t>
  </si>
  <si>
    <t>MNR800TS</t>
  </si>
  <si>
    <t>STRAIGHT NO FLAP NATURAL SN</t>
  </si>
  <si>
    <t>DHIL</t>
  </si>
  <si>
    <t>DHIL SLVR EXODUS</t>
  </si>
  <si>
    <t>MNR800Y9</t>
  </si>
  <si>
    <t>DHVL</t>
  </si>
  <si>
    <t>DHVL COOL HLIGNS</t>
  </si>
  <si>
    <t>MNR858KL3</t>
  </si>
  <si>
    <t>BOOTCUT FLAP BROWN GOLD SN</t>
  </si>
  <si>
    <t>DHUM</t>
  </si>
  <si>
    <t>DHUM LST ADVNTRE</t>
  </si>
  <si>
    <t>MNR858OM</t>
  </si>
  <si>
    <t>BOOTCUT OLD MULTI SN</t>
  </si>
  <si>
    <t>DHCD</t>
  </si>
  <si>
    <t>DHCD HARD INDIGO (No Rips)</t>
  </si>
  <si>
    <t>MNR859EAC</t>
  </si>
  <si>
    <t>STRAIGHT W FLAP NATURAL SUPERT</t>
  </si>
  <si>
    <t>DHKL</t>
  </si>
  <si>
    <t>DHKL DESRT DREAM</t>
  </si>
  <si>
    <t>MNR859EBZ</t>
  </si>
  <si>
    <t>STRAIGHT FLAP GREY MEGA T</t>
  </si>
  <si>
    <t>DHQM</t>
  </si>
  <si>
    <t>DHQM MOONLIGHT NIGHTS</t>
  </si>
  <si>
    <t>MNR859ECG</t>
  </si>
  <si>
    <t>STRAIGHT TRUE INDIGO MEGA T</t>
  </si>
  <si>
    <t>DHOL</t>
  </si>
  <si>
    <t>DHOL EIGHTY SIX</t>
  </si>
  <si>
    <t>RICKY W  FLAP SUPER T</t>
  </si>
  <si>
    <t>MNR859OM</t>
  </si>
  <si>
    <t>STRAIGHT FLAP OM SN</t>
  </si>
  <si>
    <t>MNR859SEM</t>
  </si>
  <si>
    <t>STRAIGHT CUTOFF FLAP MID SN</t>
  </si>
  <si>
    <t>DHPL</t>
  </si>
  <si>
    <t>DHPL BLUE STAR</t>
  </si>
  <si>
    <t>MNR859SKB5</t>
  </si>
  <si>
    <t>STRAIGHT CUTOFF FLAP OM BIGT</t>
  </si>
  <si>
    <t>MNR859SOM</t>
  </si>
  <si>
    <t>STRAIGHT CUT OFF OLD MULTI SN</t>
  </si>
  <si>
    <t>DHGL</t>
  </si>
  <si>
    <t>DHGL TRVLRS SOLE (Print)</t>
  </si>
  <si>
    <t>MNR859SY9</t>
  </si>
  <si>
    <t>STRAIGHT CUTOFF RED ORANGE SN</t>
  </si>
  <si>
    <t>MNR859TS</t>
  </si>
  <si>
    <t>STRAIGHT FLAP NATURAL SN</t>
  </si>
  <si>
    <t>DHND</t>
  </si>
  <si>
    <t>DHND OFF ROADING</t>
  </si>
  <si>
    <t>MNR859VA5</t>
  </si>
  <si>
    <t>STRAIGHT NATURAL RED SUPER T</t>
  </si>
  <si>
    <t>DHCD HARD INDIGO (No Rios)</t>
  </si>
  <si>
    <t>MNR859ZK3</t>
  </si>
  <si>
    <t>STRAIGHT GREY ORANGE BIG T</t>
  </si>
  <si>
    <t>DHFL</t>
  </si>
  <si>
    <t>DHFL FLLNG CLOUD (No Print)</t>
  </si>
  <si>
    <t>MNRA799M60</t>
  </si>
  <si>
    <t>DEAN TAPERED RED ORANGE BIG T</t>
  </si>
  <si>
    <t>MNRC348OM</t>
  </si>
  <si>
    <t>STRAIGHT FLAP OM SN SHORT INS</t>
  </si>
  <si>
    <t>MNRE08ZOM</t>
  </si>
  <si>
    <t>SLIM W FLAP OLD MULTI SN</t>
  </si>
  <si>
    <t>MNRH027TS</t>
  </si>
  <si>
    <t>MNRH54ZTS</t>
  </si>
  <si>
    <t>SKINNY NATURALINE SN</t>
  </si>
  <si>
    <t>MNRJ19ECH</t>
  </si>
  <si>
    <t>SLIM NATURALINE SN</t>
  </si>
  <si>
    <t>MNRJ19Y9</t>
  </si>
  <si>
    <t>SLIM RED ORANGE SN</t>
  </si>
  <si>
    <t>DHTD</t>
  </si>
  <si>
    <t>DHTD HRD INDG WRIPS</t>
  </si>
  <si>
    <t>MNRJ60TS</t>
  </si>
  <si>
    <t>MNRJ60YD4</t>
  </si>
  <si>
    <t>SKINNY NO FLAP TRUE INDIGO SN</t>
  </si>
  <si>
    <t>MNRJ60ZYD4</t>
  </si>
  <si>
    <t>SKINNY TRUE INDIGO SN</t>
  </si>
  <si>
    <t>DHKL DESERT DREAM</t>
  </si>
  <si>
    <t>MNUB372WN1</t>
  </si>
  <si>
    <t>SLIM MOTO BLACK SINGLE END</t>
  </si>
  <si>
    <t>CYA SLOW RIDE</t>
  </si>
  <si>
    <t>MNYLNBCKPK</t>
  </si>
  <si>
    <t>NYLON TRUE RELIGION BACKPACK</t>
  </si>
  <si>
    <t>MOE859YC4</t>
  </si>
  <si>
    <t>STRGHT WFLPS NAT SUPERT REDBAR</t>
  </si>
  <si>
    <t>DDJD</t>
  </si>
  <si>
    <t>DDJD DEVILS TRAIL</t>
  </si>
  <si>
    <t>MOIB420MU3</t>
  </si>
  <si>
    <t>REMEDY</t>
  </si>
  <si>
    <t>MOM859EM</t>
  </si>
  <si>
    <t>STRAIGHT W FLAP MIDNIGHT SN</t>
  </si>
  <si>
    <t>DHJL</t>
  </si>
  <si>
    <t>DHJL WHITE LIGHTS</t>
  </si>
  <si>
    <t>MOPE08UA0</t>
  </si>
  <si>
    <t>SLIM WFLPS BLK BIG T</t>
  </si>
  <si>
    <t>CXYM</t>
  </si>
  <si>
    <t>CXYM ASPHALT</t>
  </si>
  <si>
    <t>MOQB420MU3</t>
  </si>
  <si>
    <t>PATRIOT</t>
  </si>
  <si>
    <t>MOR8U24XY7</t>
  </si>
  <si>
    <t>TR CIRCLE CREW NECK TEE</t>
  </si>
  <si>
    <t>MOR8U24XZ2</t>
  </si>
  <si>
    <t>BOX BUDHA CRW NK TEE</t>
  </si>
  <si>
    <t>SURF</t>
  </si>
  <si>
    <t>MORA595XY9</t>
  </si>
  <si>
    <t>TR RGLN SS RAGLAN</t>
  </si>
  <si>
    <t>MORB417XY3</t>
  </si>
  <si>
    <t>TR STAR BRIGHT TANK</t>
  </si>
  <si>
    <t>MOTB420MU3</t>
  </si>
  <si>
    <t>WASHINGTON</t>
  </si>
  <si>
    <t>MOX800OMW</t>
  </si>
  <si>
    <t>STRAIGHT NO FLAPS SN OMW</t>
  </si>
  <si>
    <t>DHDM</t>
  </si>
  <si>
    <t>DHDM LUCKY COOL (No Rips)</t>
  </si>
  <si>
    <t>MOX859EAB</t>
  </si>
  <si>
    <t>STRAIGHT W FLAPS NATURAL BIG T</t>
  </si>
  <si>
    <t>DHRM</t>
  </si>
  <si>
    <t>DHRM WIND SAILOR</t>
  </si>
  <si>
    <t>MOX859TS</t>
  </si>
  <si>
    <t>STRAIGHT W FLAP BASIC NAT SN</t>
  </si>
  <si>
    <t>CSXD</t>
  </si>
  <si>
    <t>CSXD SMOKIN JOES</t>
  </si>
  <si>
    <t>DHSM</t>
  </si>
  <si>
    <t>DHSM LUCKY COOL (With Rips)</t>
  </si>
  <si>
    <t>MOX859TT3</t>
  </si>
  <si>
    <t>CXRD</t>
  </si>
  <si>
    <t>CXRD LAW MAKER</t>
  </si>
  <si>
    <t>MOX859WN3</t>
  </si>
  <si>
    <t>STRAIGHT WFLPS SUPER T</t>
  </si>
  <si>
    <t>CYJ HAMMER DOWN</t>
  </si>
  <si>
    <t>MOXH54ZOM</t>
  </si>
  <si>
    <t>SKINNY W FLAP OLD MULTI SN</t>
  </si>
  <si>
    <t>MOXH54ZZK2</t>
  </si>
  <si>
    <t>SKINNY NATURAL BIGT ORNGE LOGO</t>
  </si>
  <si>
    <t>MOXJ19EAA</t>
  </si>
  <si>
    <t>SLIM W FLAP GREY TUSCAN BIG T</t>
  </si>
  <si>
    <t>DHDM LUCKY COOL  (No Rips)</t>
  </si>
  <si>
    <t>MOZ859BJ9</t>
  </si>
  <si>
    <t>STRAIGHT W FLAP ALL BLACK SN</t>
  </si>
  <si>
    <t>CHL - JET BLACK</t>
  </si>
  <si>
    <t>MOZ859KN8</t>
  </si>
  <si>
    <t>STRAIGHT W FLAP ASCOT GREY SN</t>
  </si>
  <si>
    <t>QY-OPTIC WHITE</t>
  </si>
  <si>
    <t>MOZ859MU6</t>
  </si>
  <si>
    <t>STRAIGHT W FLAPS EARTHWORM SN</t>
  </si>
  <si>
    <t>CZW - WHITE (W/RIPS)</t>
  </si>
  <si>
    <t>MOZ859TS</t>
  </si>
  <si>
    <t>STRAIGHT W FLAP NATURAL SN</t>
  </si>
  <si>
    <t>CHL - RED</t>
  </si>
  <si>
    <t>MOZ859YD5</t>
  </si>
  <si>
    <t>STRGHT WFLPS W BIGT TONAL RED</t>
  </si>
  <si>
    <t>MOZH54ZKK1</t>
  </si>
  <si>
    <t>SKINNY W FLAPS ASCOT GREY SE</t>
  </si>
  <si>
    <t>CYC-THROTTLE BLACK</t>
  </si>
  <si>
    <t>MOZH54ZKN8</t>
  </si>
  <si>
    <t>SKINNY W FLAP ASCOT GREY SN</t>
  </si>
  <si>
    <t>QY - OPTIC WHITE</t>
  </si>
  <si>
    <t>MOZJ60BJ9</t>
  </si>
  <si>
    <t>SKINNY ALL BLACK SN</t>
  </si>
  <si>
    <t>W R BASEBALL STITCH RICKY W F</t>
  </si>
  <si>
    <t>MR62NWY9</t>
  </si>
  <si>
    <t>MR62NWZ6</t>
  </si>
  <si>
    <t>MR62NXL3</t>
  </si>
  <si>
    <t>MR62NYJ5</t>
  </si>
  <si>
    <t>MR62NYL9</t>
  </si>
  <si>
    <t>MR62NYM9</t>
  </si>
  <si>
    <t>1 2 DEAN NO FLAP SHORT SE</t>
  </si>
  <si>
    <t>MUY859OM</t>
  </si>
  <si>
    <t>STRAIGHT W FLAPS OM SN</t>
  </si>
  <si>
    <t>DHEM</t>
  </si>
  <si>
    <t>DHEM RIDING SOLO</t>
  </si>
  <si>
    <t>MUY859WO4</t>
  </si>
  <si>
    <t>STRGHT WFLPS FOSSIL SILK SN</t>
  </si>
  <si>
    <t>CZLD</t>
  </si>
  <si>
    <t>CZLD TRUE FOCUS</t>
  </si>
  <si>
    <t>MUY859WP0</t>
  </si>
  <si>
    <t>STRGHT WFLPS NAT SN W BG T LOG</t>
  </si>
  <si>
    <t>CZTM</t>
  </si>
  <si>
    <t>CZTM TRUE HLLION</t>
  </si>
  <si>
    <t>MUY859Y9</t>
  </si>
  <si>
    <t>STRAIGHT FLAP RED ORANGE SN</t>
  </si>
  <si>
    <t>MUYA799OM</t>
  </si>
  <si>
    <t>TAPERED NO FLAPS OM</t>
  </si>
  <si>
    <t>MUYH54ZECF</t>
  </si>
  <si>
    <t>SKINNY FLAP NATURAL BIG T</t>
  </si>
  <si>
    <t>MUYJ19WO1</t>
  </si>
  <si>
    <t>SLIM GREY PHANTOM BIG T</t>
  </si>
  <si>
    <t>MV97NWZ5</t>
  </si>
  <si>
    <t>MVFB383MU3</t>
  </si>
  <si>
    <t>LS UTLTY BLK SHRT</t>
  </si>
  <si>
    <t>BLACK CHMBRY</t>
  </si>
  <si>
    <t>MVGB372KK1</t>
  </si>
  <si>
    <t>SLIM MOTO BLACK THREAD SINGLE</t>
  </si>
  <si>
    <t>CYBD IRON SIDE</t>
  </si>
  <si>
    <t>MW3859WU6</t>
  </si>
  <si>
    <t>STRT W FLAP CAMO SN</t>
  </si>
  <si>
    <t>OLIVE CAMOUFLAGE</t>
  </si>
  <si>
    <t>MW3859WU7</t>
  </si>
  <si>
    <t>CORDUROY BASIC STRAIGHT W FLAP</t>
  </si>
  <si>
    <t>MIDNIGHT W/ GREY</t>
  </si>
  <si>
    <t>2S -  WINTER WHITE</t>
  </si>
  <si>
    <t>MWX8U24XZ5</t>
  </si>
  <si>
    <t>MWX8W86JT6</t>
  </si>
  <si>
    <t>TOURLTRS RGLN TEE</t>
  </si>
  <si>
    <t>MWX8W86XN8</t>
  </si>
  <si>
    <t>TR LTRS BDHA RGLN</t>
  </si>
  <si>
    <t>BLACK / VINTAGE RED</t>
  </si>
  <si>
    <t>HEATHER GRY/OLIVINE</t>
  </si>
  <si>
    <t>MX70NZP9M</t>
  </si>
  <si>
    <t>BIG T BOARD SHORTS</t>
  </si>
  <si>
    <t>CAMO</t>
  </si>
  <si>
    <t>MXD859BJ9</t>
  </si>
  <si>
    <t>STRAIGHT W FLAP BLACK SN</t>
  </si>
  <si>
    <t>CZS-RISING SMOKE</t>
  </si>
  <si>
    <t>MXD859RI</t>
  </si>
  <si>
    <t>STRAIGHT W FLAP GREY SN</t>
  </si>
  <si>
    <t>CZS-RUBY RED</t>
  </si>
  <si>
    <t>MXD859SEAD</t>
  </si>
  <si>
    <t>STRAIGHT CUTOFF BLK MIX SUPERT</t>
  </si>
  <si>
    <t>DHX - BLACK</t>
  </si>
  <si>
    <t>DHX - WHITE</t>
  </si>
  <si>
    <t>MXD859SH9</t>
  </si>
  <si>
    <t>STRAIGHT FLAP EARTHWORM BIGT</t>
  </si>
  <si>
    <t>CZS - STRAW</t>
  </si>
  <si>
    <t>MXD859SZK4</t>
  </si>
  <si>
    <t>STRAIGHT CUT OFF DUAL DUTY SN</t>
  </si>
  <si>
    <t>CZS - RISING SMOKE</t>
  </si>
  <si>
    <t>CZS - APRICOT</t>
  </si>
  <si>
    <t>MXD859W01</t>
  </si>
  <si>
    <t>STRAIGHT FLAP GRY PHANTOM BIGT</t>
  </si>
  <si>
    <t>DHX - BLACK RCTV</t>
  </si>
  <si>
    <t>MXD859WT9</t>
  </si>
  <si>
    <t>STRAIGHT WFLPS DK RED SN</t>
  </si>
  <si>
    <t>VW5 - RUBY RED</t>
  </si>
  <si>
    <t>MXD859WU0</t>
  </si>
  <si>
    <t>STRAIGHT WFLPS DK BRN SN</t>
  </si>
  <si>
    <t>VW6 - SEPIA</t>
  </si>
  <si>
    <t>MXD859YE8</t>
  </si>
  <si>
    <t>STRGHT BIGT SURF TONAL THREAD</t>
  </si>
  <si>
    <t>CZS SURF</t>
  </si>
  <si>
    <t>MXD859YE9</t>
  </si>
  <si>
    <t>STRGHT DTM BIG T</t>
  </si>
  <si>
    <t>CZS WHITE</t>
  </si>
  <si>
    <t>MXDC934UA0</t>
  </si>
  <si>
    <t>CARGO SHORT BLACK BIGT</t>
  </si>
  <si>
    <t>MXDC934WO1</t>
  </si>
  <si>
    <t>CARGO SHORT PHANTOM GREY BIGT</t>
  </si>
  <si>
    <t>DHX- WHITE</t>
  </si>
  <si>
    <t>MXDC934YF0</t>
  </si>
  <si>
    <t>CARGO SHORT BIGT EARTH NAT COM</t>
  </si>
  <si>
    <t>CZS PRALINE</t>
  </si>
  <si>
    <t>MXDC934YF1</t>
  </si>
  <si>
    <t>CZS BLACK</t>
  </si>
  <si>
    <t>MXDU23WO8</t>
  </si>
  <si>
    <t>CARGO BIG T</t>
  </si>
  <si>
    <t>CZS MILITARY</t>
  </si>
  <si>
    <t>MXJB128MU3</t>
  </si>
  <si>
    <t>BETA LS UTLTY FLNL</t>
  </si>
  <si>
    <t>BETA</t>
  </si>
  <si>
    <t>MXLB128MU3</t>
  </si>
  <si>
    <t>ALPHA LS UTLTY FLNL</t>
  </si>
  <si>
    <t>ALPHA</t>
  </si>
  <si>
    <t>MXV8U24XO3</t>
  </si>
  <si>
    <t>ICNC BRND CREW TEE</t>
  </si>
  <si>
    <t>MXV8Z65XO5</t>
  </si>
  <si>
    <t>BTN APP FTBL TEE</t>
  </si>
  <si>
    <t>BLACK / SULPHER RED</t>
  </si>
  <si>
    <t>COOL GREY / BLACK</t>
  </si>
  <si>
    <t>MXVW58XO6</t>
  </si>
  <si>
    <t>CRKED TR VNK TEE</t>
  </si>
  <si>
    <t>MXWA315TT</t>
  </si>
  <si>
    <t>TN CHMBRY WSTRN SHRT</t>
  </si>
  <si>
    <t>MXX859WN2</t>
  </si>
  <si>
    <t>MXXQ59WN2</t>
  </si>
  <si>
    <t>MXZ800WN8</t>
  </si>
  <si>
    <t>STRAIGHT W O FLAPS NAT WR BT</t>
  </si>
  <si>
    <t>CXQD</t>
  </si>
  <si>
    <t>CXQD SPLIT TAIL</t>
  </si>
  <si>
    <t>MXZ859EL</t>
  </si>
  <si>
    <t>STRAIGHT W FLAP BLACK SINGLE E</t>
  </si>
  <si>
    <t>MXZ859LA6</t>
  </si>
  <si>
    <t>STR WLFP BLACK MEGA T</t>
  </si>
  <si>
    <t>CXSD</t>
  </si>
  <si>
    <t>CXSD EMBALZONED</t>
  </si>
  <si>
    <t>MXZ859M60</t>
  </si>
  <si>
    <t>STRAIGHT WFLPS RED ORANGE BIGT</t>
  </si>
  <si>
    <t>DDKM</t>
  </si>
  <si>
    <t>DDKM ROUGE CHASE</t>
  </si>
  <si>
    <t>MXZ859OMW</t>
  </si>
  <si>
    <t>STRAIGHT WFLPS OMW SN</t>
  </si>
  <si>
    <t>MXZ859S05</t>
  </si>
  <si>
    <t>STRAIGHT WFLAPS BRN GLD BIG T</t>
  </si>
  <si>
    <t>MXZ859SH5</t>
  </si>
  <si>
    <t>STRAIGHT W FLAP SUPER QT</t>
  </si>
  <si>
    <t>MXZ859SYE3</t>
  </si>
  <si>
    <t>STR CUTOFF WFLP MNIT POP OB</t>
  </si>
  <si>
    <t>MXZ859TS</t>
  </si>
  <si>
    <t>STRGHT WFLAPS NAT SN</t>
  </si>
  <si>
    <t>CZK RESILNT CAMO</t>
  </si>
  <si>
    <t>DDNM</t>
  </si>
  <si>
    <t>DDNM SCRPIO DAWN</t>
  </si>
  <si>
    <t>MXZ859WM8</t>
  </si>
  <si>
    <t>STR WFLPS NAT MG T YLLW BRTK</t>
  </si>
  <si>
    <t>CYED</t>
  </si>
  <si>
    <t>CYED CAMSHAFT</t>
  </si>
  <si>
    <t>MXZ859WN6</t>
  </si>
  <si>
    <t>MXZ859WN7</t>
  </si>
  <si>
    <t>CXZ SLNGR TRU RD</t>
  </si>
  <si>
    <t>MXZB371Y9</t>
  </si>
  <si>
    <t>SLIM MOTO W FLAPS RD ORA S END</t>
  </si>
  <si>
    <t>MXZB470OM</t>
  </si>
  <si>
    <t>VEST OLD MULTI SN</t>
  </si>
  <si>
    <t>MXZC165TS</t>
  </si>
  <si>
    <t>STRAIGHT WFLPS MOTO ZIP SN</t>
  </si>
  <si>
    <t>MXZC166Y9</t>
  </si>
  <si>
    <t>STRAIGHT MOTO ZIP SN</t>
  </si>
  <si>
    <t>MXZH54ZKK1</t>
  </si>
  <si>
    <t>MXZH54ZWN4</t>
  </si>
  <si>
    <t>SKNY FLPS FSL SLK W ORA SN</t>
  </si>
  <si>
    <t>MXZJ19YE2</t>
  </si>
  <si>
    <t>SLIM NFLPS TRUE INDIGO SN</t>
  </si>
  <si>
    <t>MYJA236XX3</t>
  </si>
  <si>
    <t>POLO WITH PRINT</t>
  </si>
  <si>
    <t>BANJO</t>
  </si>
  <si>
    <t>TUSCON HILL</t>
  </si>
  <si>
    <t>SS TRI NEEDLE WESTERN</t>
  </si>
  <si>
    <t>MYMB390MU3</t>
  </si>
  <si>
    <t>DN LS WESTERN SHIRT</t>
  </si>
  <si>
    <t>DARK STORM</t>
  </si>
  <si>
    <t>DESERT STORM</t>
  </si>
  <si>
    <t>MYNA315VU6</t>
  </si>
  <si>
    <t>ACE PRNTED TN WESTRN</t>
  </si>
  <si>
    <t>MYNA315VU7</t>
  </si>
  <si>
    <t>MAVEN PRNTED TN WESTRN</t>
  </si>
  <si>
    <t>MAVEN</t>
  </si>
  <si>
    <t>WESTERN S S CONTRAST STITCHING</t>
  </si>
  <si>
    <t>MZGB103XS3</t>
  </si>
  <si>
    <t>CLR BLK RGLN HOODIE</t>
  </si>
  <si>
    <t>JET BLACK / BLACK</t>
  </si>
  <si>
    <t>SULPHUR RED COMBO</t>
  </si>
  <si>
    <t>MZGB295XS2</t>
  </si>
  <si>
    <t>CLR BLK JG R SWTPNT</t>
  </si>
  <si>
    <t>MZGB415XR1</t>
  </si>
  <si>
    <t>QUILTED PNL MOTO JOGGER</t>
  </si>
  <si>
    <t>MZI859YD9</t>
  </si>
  <si>
    <t>STRGHT WFLP NAT SN W YEL BTK</t>
  </si>
  <si>
    <t>DDMM</t>
  </si>
  <si>
    <t>DDMM IRON WILL</t>
  </si>
  <si>
    <t>MZIB185TS</t>
  </si>
  <si>
    <t>TRACK JACKET NAT SN</t>
  </si>
  <si>
    <t>MZIJ19YE0</t>
  </si>
  <si>
    <t>SLIM NO FLP BR GLD SN</t>
  </si>
  <si>
    <t>MENS NON DENIM PANT IRREGULAR</t>
  </si>
  <si>
    <t>R300F1</t>
  </si>
  <si>
    <t>BOYS JEANS IRREGULAR</t>
  </si>
  <si>
    <t>R300F2</t>
  </si>
  <si>
    <t>BOYS BIG T JEANS IRREGULAR</t>
  </si>
  <si>
    <t>R300F3</t>
  </si>
  <si>
    <t>BOYS SUPER T JEANS IRREGULAR</t>
  </si>
  <si>
    <t>R400F2</t>
  </si>
  <si>
    <t>GIRLS BIG T JEANS IRREGULAR</t>
  </si>
  <si>
    <t>R400F3</t>
  </si>
  <si>
    <t>GIRLS SUPER T JEANS IRREGULAR</t>
  </si>
  <si>
    <t>TR126HD13</t>
  </si>
  <si>
    <t>HOOK UP HOODIE</t>
  </si>
  <si>
    <t>TR126JN73</t>
  </si>
  <si>
    <t>GENO SUPER T JEANS</t>
  </si>
  <si>
    <t>RHB</t>
  </si>
  <si>
    <t>RHB RHYTHM BLUE</t>
  </si>
  <si>
    <t>TR126JN75</t>
  </si>
  <si>
    <t>GENO 4TH OF JULY S T</t>
  </si>
  <si>
    <t>VBL</t>
  </si>
  <si>
    <t>VBL VINTAGE BLUE</t>
  </si>
  <si>
    <t>TR126JN94</t>
  </si>
  <si>
    <t>GENO SINGLE END JEANS</t>
  </si>
  <si>
    <t>KNG1</t>
  </si>
  <si>
    <t>KNG1 KINGS BLUE</t>
  </si>
  <si>
    <t>TR126KS08</t>
  </si>
  <si>
    <t>FRENCH TERRY GENO SHORT</t>
  </si>
  <si>
    <t>DRC</t>
  </si>
  <si>
    <t>DRC DARK CRINKLE</t>
  </si>
  <si>
    <t>TR126KS15</t>
  </si>
  <si>
    <t>TWISTED SEAM SHORT</t>
  </si>
  <si>
    <t>TR126SH26</t>
  </si>
  <si>
    <t>RICKY ROLLED UP</t>
  </si>
  <si>
    <t>HHN</t>
  </si>
  <si>
    <t>HHN HIPPIE HEAVEN</t>
  </si>
  <si>
    <t>TR126SH27</t>
  </si>
  <si>
    <t>JULY SUPER T SHORT</t>
  </si>
  <si>
    <t>TR126SH64</t>
  </si>
  <si>
    <t>SAB</t>
  </si>
  <si>
    <t>SAB SANDED BLACK</t>
  </si>
  <si>
    <t>TR126ST07</t>
  </si>
  <si>
    <t>ONESIE W FT SHORT</t>
  </si>
  <si>
    <t>LOS</t>
  </si>
  <si>
    <t>LOS LONESTAR</t>
  </si>
  <si>
    <t>TR126ST13</t>
  </si>
  <si>
    <t>TEE WITH DIAPER AND BANDANA</t>
  </si>
  <si>
    <t>DEB</t>
  </si>
  <si>
    <t>DE PLAINVIEW OVD BLACK</t>
  </si>
  <si>
    <t>TR126TE100</t>
  </si>
  <si>
    <t>BUDDHA TEE</t>
  </si>
  <si>
    <t>TR126TE104</t>
  </si>
  <si>
    <t>MONOGRAM PRINTED TEE</t>
  </si>
  <si>
    <t>TR126TE112</t>
  </si>
  <si>
    <t>BRANDED LOGO RAGLAN</t>
  </si>
  <si>
    <t>TR126TE46</t>
  </si>
  <si>
    <t>SURFER GRAPHIC TEE</t>
  </si>
  <si>
    <t>TR126TE49</t>
  </si>
  <si>
    <t>COLOR BLOCK GRAPHIC TEE</t>
  </si>
  <si>
    <t>SUL</t>
  </si>
  <si>
    <t>SUL SULPHUR</t>
  </si>
  <si>
    <t>TR126TE50</t>
  </si>
  <si>
    <t>WRD</t>
  </si>
  <si>
    <t>YEL</t>
  </si>
  <si>
    <t>YEL YELLOW</t>
  </si>
  <si>
    <t>TR126TE53</t>
  </si>
  <si>
    <t>STRIPE GRAPHIC TEE</t>
  </si>
  <si>
    <t>TR126TE59</t>
  </si>
  <si>
    <t>4TH JULY GRAPHIC TEE</t>
  </si>
  <si>
    <t>TR126TE99</t>
  </si>
  <si>
    <t>TIGER TEE</t>
  </si>
  <si>
    <t>TR126VS03</t>
  </si>
  <si>
    <t>DYLAN VES</t>
  </si>
  <si>
    <t>TR126WB12</t>
  </si>
  <si>
    <t>OVERDYE TROOPER CARGO SHORT</t>
  </si>
  <si>
    <t>OLV</t>
  </si>
  <si>
    <t>OLV OLIVE</t>
  </si>
  <si>
    <t>TR126WB15</t>
  </si>
  <si>
    <t>CBY</t>
  </si>
  <si>
    <t>CBY CHAMBRAY</t>
  </si>
  <si>
    <t>TR126WB16</t>
  </si>
  <si>
    <t>CARGO RUNNER SHORT</t>
  </si>
  <si>
    <t>TR136HD19</t>
  </si>
  <si>
    <t>WESTERN HOOK UP</t>
  </si>
  <si>
    <t>TR136HD25</t>
  </si>
  <si>
    <t>CAMO TERRY HOOK UP</t>
  </si>
  <si>
    <t>CAC</t>
  </si>
  <si>
    <t>CAC CACTUS</t>
  </si>
  <si>
    <t>TR136JK14</t>
  </si>
  <si>
    <t>LETTERMAN JACKET</t>
  </si>
  <si>
    <t>TR136JK16</t>
  </si>
  <si>
    <t>JIMMY BLK SINGLE END</t>
  </si>
  <si>
    <t>CRB CHARRED BLACK</t>
  </si>
  <si>
    <t>TR136JN106</t>
  </si>
  <si>
    <t>RICKY SUPER T</t>
  </si>
  <si>
    <t>SWH</t>
  </si>
  <si>
    <t>SWH SOOT WASH</t>
  </si>
  <si>
    <t>TR136JN107</t>
  </si>
  <si>
    <t>DTY1</t>
  </si>
  <si>
    <t>DTY1 DESTROYED LT</t>
  </si>
  <si>
    <t>RGY</t>
  </si>
  <si>
    <t>RGY RAW GREY</t>
  </si>
  <si>
    <t>TR136JN108</t>
  </si>
  <si>
    <t>RICKY CONTRT SUPER T</t>
  </si>
  <si>
    <t>DEE1</t>
  </si>
  <si>
    <t>DEE1 DEEP COAT</t>
  </si>
  <si>
    <t>TR136JN109</t>
  </si>
  <si>
    <t>DRD</t>
  </si>
  <si>
    <t>DRD DRESDEN BLUE</t>
  </si>
  <si>
    <t>TR136JN111</t>
  </si>
  <si>
    <t>BCE</t>
  </si>
  <si>
    <t>BCE BLCHD CONCRT</t>
  </si>
  <si>
    <t>TR136JN121</t>
  </si>
  <si>
    <t>DTR</t>
  </si>
  <si>
    <t>DTR DRK STAIN</t>
  </si>
  <si>
    <t>TR136JN123</t>
  </si>
  <si>
    <t>CRB RUSTY BARREL DK BLACK</t>
  </si>
  <si>
    <t>TR136JN148</t>
  </si>
  <si>
    <t>RGD</t>
  </si>
  <si>
    <t>RGD RINSE GOLD</t>
  </si>
  <si>
    <t>TR136JN150</t>
  </si>
  <si>
    <t>GENO CONTRAST SUPER T</t>
  </si>
  <si>
    <t>TR136KP23</t>
  </si>
  <si>
    <t>FRENCH TERRY MOTO PANT</t>
  </si>
  <si>
    <t>BRW</t>
  </si>
  <si>
    <t>BRW BLUISED WASH</t>
  </si>
  <si>
    <t>TR136LK19</t>
  </si>
  <si>
    <t>HENLEY INDIGO JERSEY</t>
  </si>
  <si>
    <t>CST</t>
  </si>
  <si>
    <t>CST COASTAL BL WSH</t>
  </si>
  <si>
    <t>TR136LK20</t>
  </si>
  <si>
    <t>COLOR BLOCK RAGLAN</t>
  </si>
  <si>
    <t>TR136LK22</t>
  </si>
  <si>
    <t>VARSITY TIGER LS</t>
  </si>
  <si>
    <t>TR136LK23</t>
  </si>
  <si>
    <t>RAGLAN SLEEVE LS</t>
  </si>
  <si>
    <t>TR136LK24</t>
  </si>
  <si>
    <t>TRUE BOYS PULLOVER</t>
  </si>
  <si>
    <t>TR136LW04</t>
  </si>
  <si>
    <t>WOVEN PLAID SHIRT</t>
  </si>
  <si>
    <t>TR136LW07</t>
  </si>
  <si>
    <t>TR BUFFALO WOVEN</t>
  </si>
  <si>
    <t>TR136SP24</t>
  </si>
  <si>
    <t>SWEAT PANT</t>
  </si>
  <si>
    <t>TR136SP32</t>
  </si>
  <si>
    <t>CAMO FRNCHTERRY PANT</t>
  </si>
  <si>
    <t>TR136ST17</t>
  </si>
  <si>
    <t>WILD ONE ONSIE</t>
  </si>
  <si>
    <t>CRD</t>
  </si>
  <si>
    <t>CRD CARDINAL</t>
  </si>
  <si>
    <t>TR136ST39</t>
  </si>
  <si>
    <t>LS TIGER SET</t>
  </si>
  <si>
    <t>TR136TE116</t>
  </si>
  <si>
    <t>TRUE BUDDHA TEE</t>
  </si>
  <si>
    <t>TR136TE117</t>
  </si>
  <si>
    <t>TRUE LOS ANGELES TEE</t>
  </si>
  <si>
    <t>BOR1</t>
  </si>
  <si>
    <t>BOR1 BURNT ORANGE</t>
  </si>
  <si>
    <t>TR136TE118</t>
  </si>
  <si>
    <t>HI LOW TEE</t>
  </si>
  <si>
    <t>TR136TE119</t>
  </si>
  <si>
    <t>NATIVE HEADDRESS TEE</t>
  </si>
  <si>
    <t>TR136TE121</t>
  </si>
  <si>
    <t>BUDDHA STRIPE TEE</t>
  </si>
  <si>
    <t>TR136TE122</t>
  </si>
  <si>
    <t>TR INSIDE OUT TEE</t>
  </si>
  <si>
    <t>TR136TE123</t>
  </si>
  <si>
    <t>CLOUD NINE TEE</t>
  </si>
  <si>
    <t>TR136TE124</t>
  </si>
  <si>
    <t>CIRCLE BUDDHA TEE</t>
  </si>
  <si>
    <t>PEC</t>
  </si>
  <si>
    <t>PEC PEACOCK</t>
  </si>
  <si>
    <t>TR136TE125</t>
  </si>
  <si>
    <t>WALKING SKELETONS TEE</t>
  </si>
  <si>
    <t>TR136TE126</t>
  </si>
  <si>
    <t>PREMIUM GOODS TEE</t>
  </si>
  <si>
    <t>TR136TE134</t>
  </si>
  <si>
    <t>CAMO KNOCK OUT TEE</t>
  </si>
  <si>
    <t>TR136TE173</t>
  </si>
  <si>
    <t>TR136TE39</t>
  </si>
  <si>
    <t>TR136WB08</t>
  </si>
  <si>
    <t>GENO CB CORD PANT</t>
  </si>
  <si>
    <t>CMT</t>
  </si>
  <si>
    <t>CMT CEMENT</t>
  </si>
  <si>
    <t>TR136WB09</t>
  </si>
  <si>
    <t>CARGO RUNNER</t>
  </si>
  <si>
    <t>TR2046</t>
  </si>
  <si>
    <t>LASER PERF BASEBALL CAP</t>
  </si>
  <si>
    <t>TR2047</t>
  </si>
  <si>
    <t>TR02 CAMO BASEBALL CAP</t>
  </si>
  <si>
    <t>SPRING</t>
  </si>
  <si>
    <t>TR2048</t>
  </si>
  <si>
    <t>TR CAMO BUCKET HAT</t>
  </si>
  <si>
    <t>TR2051</t>
  </si>
  <si>
    <t>BLOCK LETTERS BASEBALL CAP</t>
  </si>
  <si>
    <t>TRUE RED/BLACK</t>
  </si>
  <si>
    <t>TR2093</t>
  </si>
  <si>
    <t>SUPER T DENIM BUCKET HAT</t>
  </si>
  <si>
    <t>DK INDIGO</t>
  </si>
  <si>
    <t>TR2105T</t>
  </si>
  <si>
    <t>CAMO HORSESHOE BASEBALL CAP</t>
  </si>
  <si>
    <t>TR2108T</t>
  </si>
  <si>
    <t>STACKED TRUE RLGN BASEBALL CAP</t>
  </si>
  <si>
    <t>TR2109T</t>
  </si>
  <si>
    <t>UNIVERSITY BASEBALL CAP</t>
  </si>
  <si>
    <t>TR2151T</t>
  </si>
  <si>
    <t>FELTED SCRIPT BASEBALL CAP</t>
  </si>
  <si>
    <t>TR2157T</t>
  </si>
  <si>
    <t>EAGLE PROUD BASEBALL CAP</t>
  </si>
  <si>
    <t>TR2158T</t>
  </si>
  <si>
    <t>FRESH PEACH</t>
  </si>
  <si>
    <t>TR226DR04</t>
  </si>
  <si>
    <t>SPORTY DRESS</t>
  </si>
  <si>
    <t>TR226HD12</t>
  </si>
  <si>
    <t>BLOCK SLUB FT HOODIE</t>
  </si>
  <si>
    <t>ARW</t>
  </si>
  <si>
    <t>ARW AFTER GLOW</t>
  </si>
  <si>
    <t>TR226HD14</t>
  </si>
  <si>
    <t>STRIPE PULLOVER HOODIE</t>
  </si>
  <si>
    <t>CLR</t>
  </si>
  <si>
    <t>CLR CORAL</t>
  </si>
  <si>
    <t>TR226JK08</t>
  </si>
  <si>
    <t>PATCHED CROPPED SINGLE END</t>
  </si>
  <si>
    <t>GLS</t>
  </si>
  <si>
    <t>GLS GLASS BLUE</t>
  </si>
  <si>
    <t>TR226JN70</t>
  </si>
  <si>
    <t>CASEY RAW EDGE MIDNIGHT</t>
  </si>
  <si>
    <t>JBL1</t>
  </si>
  <si>
    <t>JBL1 JET BLUE</t>
  </si>
  <si>
    <t>TR226JN90</t>
  </si>
  <si>
    <t>CASEY WHITE DENIM CROP</t>
  </si>
  <si>
    <t>TR226KS06</t>
  </si>
  <si>
    <t>TENCEL TR ROMPER</t>
  </si>
  <si>
    <t>MHG</t>
  </si>
  <si>
    <t>MHG MILE HIGH</t>
  </si>
  <si>
    <t>TR226KS13</t>
  </si>
  <si>
    <t>RETRO PETAL SHORT</t>
  </si>
  <si>
    <t>TR226LG03</t>
  </si>
  <si>
    <t>CASEY FOSSIL SILK SINGLE END</t>
  </si>
  <si>
    <t>TR226SH18</t>
  </si>
  <si>
    <t>BOBBY RAW EDGE COMBO T</t>
  </si>
  <si>
    <t>SKL</t>
  </si>
  <si>
    <t>SKL SKYLINE</t>
  </si>
  <si>
    <t>TR226SH19</t>
  </si>
  <si>
    <t>AUDREY MIDNIGHT SINGLE END SHO</t>
  </si>
  <si>
    <t>SGH</t>
  </si>
  <si>
    <t>SGH STARLIGHT</t>
  </si>
  <si>
    <t>TR226SH20</t>
  </si>
  <si>
    <t>BOBBY CORAL AND MINT COMBO SU</t>
  </si>
  <si>
    <t>RTE</t>
  </si>
  <si>
    <t>RTE RETRO BLUE</t>
  </si>
  <si>
    <t>TR226SH22</t>
  </si>
  <si>
    <t>PATCHED CASEY SINGLE END SHOR</t>
  </si>
  <si>
    <t>TR226SK09</t>
  </si>
  <si>
    <t>MY TRUE MOON TANK</t>
  </si>
  <si>
    <t>TR226SK10</t>
  </si>
  <si>
    <t>STARS N STRIPES DRAPE T</t>
  </si>
  <si>
    <t>MNT</t>
  </si>
  <si>
    <t>MNT MINT</t>
  </si>
  <si>
    <t>TR226SK11</t>
  </si>
  <si>
    <t>TR SPORTY PATCH TANK</t>
  </si>
  <si>
    <t>TR226SK12</t>
  </si>
  <si>
    <t>WE LOVE TR FOOTBALL T</t>
  </si>
  <si>
    <t>TR226SK13</t>
  </si>
  <si>
    <t>IRRIDESCENT DRAPE TEE</t>
  </si>
  <si>
    <t>TR226SP15</t>
  </si>
  <si>
    <t>COLOR BLK SLUB SPANT</t>
  </si>
  <si>
    <t>TR226ST08</t>
  </si>
  <si>
    <t>WE LOVE ONESIE W FT SHORT</t>
  </si>
  <si>
    <t>TR226ST14</t>
  </si>
  <si>
    <t>TEE DIAPER AND BNDNA</t>
  </si>
  <si>
    <t>TR226TE111</t>
  </si>
  <si>
    <t>4 FLAG BUDDHA TEE</t>
  </si>
  <si>
    <t>TR226TE136</t>
  </si>
  <si>
    <t>TR RAGLAN TEE</t>
  </si>
  <si>
    <t>TR226TE41</t>
  </si>
  <si>
    <t>TR COLOR BLCK TEE</t>
  </si>
  <si>
    <t>TR236DR07</t>
  </si>
  <si>
    <t>SURPLUS SHIRT DRESS</t>
  </si>
  <si>
    <t>CHM1</t>
  </si>
  <si>
    <t>CHM1 CHAMBRAY</t>
  </si>
  <si>
    <t>TR236DR08</t>
  </si>
  <si>
    <t>WESTERN SHIRT DRESS</t>
  </si>
  <si>
    <t>TR236HD18</t>
  </si>
  <si>
    <t>MINERAL WASH HOODIE</t>
  </si>
  <si>
    <t>MSG1</t>
  </si>
  <si>
    <t>MSG1 MUSTANG</t>
  </si>
  <si>
    <t>TR236JN101</t>
  </si>
  <si>
    <t>BOYFRIEND JEANS</t>
  </si>
  <si>
    <t>BRZ</t>
  </si>
  <si>
    <t>BRZ BREEZE</t>
  </si>
  <si>
    <t>TR236JN102</t>
  </si>
  <si>
    <t>CASEY MIDNIGHT SUPERT</t>
  </si>
  <si>
    <t>ALM1</t>
  </si>
  <si>
    <t>ALM1 ALUMINIUM</t>
  </si>
  <si>
    <t>TR236JN103</t>
  </si>
  <si>
    <t>CASEY SINGLE END</t>
  </si>
  <si>
    <t>BKB</t>
  </si>
  <si>
    <t>BKB BIKER BLUE</t>
  </si>
  <si>
    <t>TR236JN104</t>
  </si>
  <si>
    <t>CASEY COMBO SUPER T</t>
  </si>
  <si>
    <t>DDW1</t>
  </si>
  <si>
    <t>DDW1 DIAMOND WASH</t>
  </si>
  <si>
    <t>TR236JN105</t>
  </si>
  <si>
    <t>SUP</t>
  </si>
  <si>
    <t>SUP SUPERNOVA</t>
  </si>
  <si>
    <t>TR236JN146</t>
  </si>
  <si>
    <t>BCS</t>
  </si>
  <si>
    <t>BCS BLUELICIOUS</t>
  </si>
  <si>
    <t>TR236JN99</t>
  </si>
  <si>
    <t>CASEY  SUPER T</t>
  </si>
  <si>
    <t>MIW MEDIUM INK WASH</t>
  </si>
  <si>
    <t>TR236LG05</t>
  </si>
  <si>
    <t>CASEY BIG T LEGGING</t>
  </si>
  <si>
    <t>TR236LG06</t>
  </si>
  <si>
    <t>BUF</t>
  </si>
  <si>
    <t>BUF BUFFALO</t>
  </si>
  <si>
    <t>TR236LG07</t>
  </si>
  <si>
    <t>BLO1</t>
  </si>
  <si>
    <t>BLO1 BLACKOUT</t>
  </si>
  <si>
    <t>TR236LK13</t>
  </si>
  <si>
    <t>TR BUDDHA LS TEE</t>
  </si>
  <si>
    <t>BVT</t>
  </si>
  <si>
    <t>BVT BLUE VELVET</t>
  </si>
  <si>
    <t>TR236LK14</t>
  </si>
  <si>
    <t>LONG SLEEVE RAGLAN TEE</t>
  </si>
  <si>
    <t>MNE</t>
  </si>
  <si>
    <t>MNE MOONSHINE</t>
  </si>
  <si>
    <t>TR236LK15</t>
  </si>
  <si>
    <t>TR236LK16</t>
  </si>
  <si>
    <t>GRAPHIC DRAPED TEE</t>
  </si>
  <si>
    <t>TR236LK17</t>
  </si>
  <si>
    <t>PANELED PULLOVER</t>
  </si>
  <si>
    <t>TR236LK18</t>
  </si>
  <si>
    <t>TR236LK26</t>
  </si>
  <si>
    <t>POU</t>
  </si>
  <si>
    <t>POU POUT</t>
  </si>
  <si>
    <t>TR236SK20</t>
  </si>
  <si>
    <t>BOXY DOLMAN TEE</t>
  </si>
  <si>
    <t>TR236SK22</t>
  </si>
  <si>
    <t>LAYERED DOLMAN TEE</t>
  </si>
  <si>
    <t>TR236SK23</t>
  </si>
  <si>
    <t>STAND OUT RAGLAN TEE</t>
  </si>
  <si>
    <t>TR236SK24</t>
  </si>
  <si>
    <t>STUDDED FUTURE TEE</t>
  </si>
  <si>
    <t>TR236SP20</t>
  </si>
  <si>
    <t>MINERAL WASH PANT</t>
  </si>
  <si>
    <t>TR236ST18</t>
  </si>
  <si>
    <t>STAR ONSIE</t>
  </si>
  <si>
    <t>TR236TE174</t>
  </si>
  <si>
    <t>CASEY SUPER SKINNY OVERDYE</t>
  </si>
  <si>
    <t>TR745JN168</t>
  </si>
  <si>
    <t>GENO CHILI PEPPER SINGLE END</t>
  </si>
  <si>
    <t>GRR</t>
  </si>
  <si>
    <t>GRR GARAGE ROKIE</t>
  </si>
  <si>
    <t>TR945JN168</t>
  </si>
  <si>
    <t>TR945SP42</t>
  </si>
  <si>
    <t>SS BOXI POCKET SHIRT</t>
  </si>
  <si>
    <t>TRV001</t>
  </si>
  <si>
    <t>IPAD COVER</t>
  </si>
  <si>
    <t>TRV003</t>
  </si>
  <si>
    <t>CLUTCH TWO POUCH SET</t>
  </si>
  <si>
    <t>TUS160025</t>
  </si>
  <si>
    <t>35MM BRIDLE W HORSESHOE ON TIP</t>
  </si>
  <si>
    <t>TUS160026</t>
  </si>
  <si>
    <t>38MM CUT EDGE BELT W PLQUE BCK</t>
  </si>
  <si>
    <t>TUS160028</t>
  </si>
  <si>
    <t>CAMO WEB BELT W DOUBLE BUCKLE</t>
  </si>
  <si>
    <t>KHAKI CAMO</t>
  </si>
  <si>
    <t>W16FD10A1G</t>
  </si>
  <si>
    <t>HALLE CROP</t>
  </si>
  <si>
    <t>DELM</t>
  </si>
  <si>
    <t>DELM NU DESTD GYP</t>
  </si>
  <si>
    <t>W16FD14G1G</t>
  </si>
  <si>
    <t>DFCB</t>
  </si>
  <si>
    <t>DFCB SMKE STK CLN</t>
  </si>
  <si>
    <t>W16FD30A1G</t>
  </si>
  <si>
    <t>CASEY CROP</t>
  </si>
  <si>
    <t>DEMM</t>
  </si>
  <si>
    <t>DEMM GYPSET BL SF</t>
  </si>
  <si>
    <t>W16FD31G1G</t>
  </si>
  <si>
    <t>CASEY</t>
  </si>
  <si>
    <t>DFDB</t>
  </si>
  <si>
    <t>DFDB SMKE STCK DT</t>
  </si>
  <si>
    <t>W16FD50D1G</t>
  </si>
  <si>
    <t>W16FF01B8G</t>
  </si>
  <si>
    <t>HOODY MOONWASH</t>
  </si>
  <si>
    <t>POUT</t>
  </si>
  <si>
    <t>W16FF02B8G</t>
  </si>
  <si>
    <t>CREW BOXY MOONWASH</t>
  </si>
  <si>
    <t>W16FF03B8G</t>
  </si>
  <si>
    <t>HOODED ZIP JKT MOONWASH</t>
  </si>
  <si>
    <t>W16FF04B8G</t>
  </si>
  <si>
    <t>CREW SWEAT MOONWASH</t>
  </si>
  <si>
    <t>W16FF05B8G</t>
  </si>
  <si>
    <t>PANT RELAX MOONWASH</t>
  </si>
  <si>
    <t>W16FF06B8G</t>
  </si>
  <si>
    <t>HOODED TEDDY BIKER JKT</t>
  </si>
  <si>
    <t>W16FF07B8G</t>
  </si>
  <si>
    <t>HOODED BIKER JKT</t>
  </si>
  <si>
    <t>W16FF08B8G</t>
  </si>
  <si>
    <t>PANT BIKE</t>
  </si>
  <si>
    <t>W16FF09B8G</t>
  </si>
  <si>
    <t>BIKER JKT RIDE LIKE</t>
  </si>
  <si>
    <t>W16FF10H5G</t>
  </si>
  <si>
    <t>CREW SWEAT RELAX</t>
  </si>
  <si>
    <t>W16FF12B8G</t>
  </si>
  <si>
    <t>SPECIAL HOODY RIDE LIKE</t>
  </si>
  <si>
    <t>W16FF13B8G</t>
  </si>
  <si>
    <t>HOODED ZIP JKT</t>
  </si>
  <si>
    <t>W16FF15H5G</t>
  </si>
  <si>
    <t>CREW SWEAT INDIAN</t>
  </si>
  <si>
    <t>W16FF16B8G</t>
  </si>
  <si>
    <t>HOODED ZIP JKT STUDS</t>
  </si>
  <si>
    <t>W16FF25D2G</t>
  </si>
  <si>
    <t>CREW BOXY FIT VELVET</t>
  </si>
  <si>
    <t>W16FF26D2G</t>
  </si>
  <si>
    <t>PANT VELVET</t>
  </si>
  <si>
    <t>W16FF27D2G</t>
  </si>
  <si>
    <t>HOODED ZIP JKT HORSESHOE</t>
  </si>
  <si>
    <t>W16FF44C8G</t>
  </si>
  <si>
    <t>SWEATER PATCHES</t>
  </si>
  <si>
    <t>W16FF45C8G</t>
  </si>
  <si>
    <t>SHORTY PATCHES</t>
  </si>
  <si>
    <t>W16FF46C8G</t>
  </si>
  <si>
    <t>TANK PATCHES</t>
  </si>
  <si>
    <t>W16FG07B6G</t>
  </si>
  <si>
    <t>WMNS DOWN VEST</t>
  </si>
  <si>
    <t>W16FJ02B5G</t>
  </si>
  <si>
    <t>WMNS DOWN JKT</t>
  </si>
  <si>
    <t>W16FJ08B7G</t>
  </si>
  <si>
    <t>WMNS OPEN JKT</t>
  </si>
  <si>
    <t>MOCHA</t>
  </si>
  <si>
    <t>W16FJ28C3G</t>
  </si>
  <si>
    <t>WMS LEATHER BIKER PATCHES</t>
  </si>
  <si>
    <t>W16FJ29C3G</t>
  </si>
  <si>
    <t>WMNS LEATHER BOMBER PEACE</t>
  </si>
  <si>
    <t>W16FJ30C3G</t>
  </si>
  <si>
    <t>WMNS BIKER JKT</t>
  </si>
  <si>
    <t>W16FJ35C3G</t>
  </si>
  <si>
    <t>WMNS LEATHER BOMBER</t>
  </si>
  <si>
    <t>W16FK01N1G</t>
  </si>
  <si>
    <t>CREW SWEATER RIDE ON</t>
  </si>
  <si>
    <t>W16FK47C9G</t>
  </si>
  <si>
    <t>W16FK49C9G</t>
  </si>
  <si>
    <t>PONCHO</t>
  </si>
  <si>
    <t>W16FK50C9G</t>
  </si>
  <si>
    <t>SWEATER STRIPE</t>
  </si>
  <si>
    <t>W16FM03B5G</t>
  </si>
  <si>
    <t>WMNS DOWN COAT</t>
  </si>
  <si>
    <t>W16FM06B6G</t>
  </si>
  <si>
    <t>WMNS LONG JKT</t>
  </si>
  <si>
    <t>W16FM11B8G</t>
  </si>
  <si>
    <t>WMNS COAT SOLID</t>
  </si>
  <si>
    <t>W16FM12B8G</t>
  </si>
  <si>
    <t>WMNS LONG COAT</t>
  </si>
  <si>
    <t>W16FM15B9G</t>
  </si>
  <si>
    <t>WMNS COAT CAMOUFLAGE</t>
  </si>
  <si>
    <t>W16FP09B7G</t>
  </si>
  <si>
    <t>LONG PARKA</t>
  </si>
  <si>
    <t>W16FP19C2G</t>
  </si>
  <si>
    <t>WMNS OVERSIZED PARKA</t>
  </si>
  <si>
    <t>W16FP21C3G</t>
  </si>
  <si>
    <t>W16FP24C5G</t>
  </si>
  <si>
    <t>WMNS LONG BOMBER</t>
  </si>
  <si>
    <t>W16FP25C5G</t>
  </si>
  <si>
    <t>WMNS LONG BOMBER EMBROIDERY</t>
  </si>
  <si>
    <t>W16FS59A7G</t>
  </si>
  <si>
    <t>TUNIK SNAKE</t>
  </si>
  <si>
    <t>W16FS60A7G</t>
  </si>
  <si>
    <t>OFF SHOULDER LEO</t>
  </si>
  <si>
    <t>W16FS61A7G</t>
  </si>
  <si>
    <t>TOP SNAKE</t>
  </si>
  <si>
    <t>W16FS62A7G</t>
  </si>
  <si>
    <t>WESTERN BLOUSE LEO</t>
  </si>
  <si>
    <t>W16FS63A7G</t>
  </si>
  <si>
    <t>BOYFRIEND LEO</t>
  </si>
  <si>
    <t>W16FS64A7G</t>
  </si>
  <si>
    <t>CARMEN SNAKE</t>
  </si>
  <si>
    <t>W16FS65A7G</t>
  </si>
  <si>
    <t>CARMEN BLOUSE STAR</t>
  </si>
  <si>
    <t>W16FS66A7G</t>
  </si>
  <si>
    <t>BASIC STAR</t>
  </si>
  <si>
    <t>W16FS68A7G</t>
  </si>
  <si>
    <t>OFF SHOULDER LS</t>
  </si>
  <si>
    <t>W16FT11B9G</t>
  </si>
  <si>
    <t>W16FT14G4G</t>
  </si>
  <si>
    <t>V NECK STUDS INDIAN</t>
  </si>
  <si>
    <t>W16FT17B9G</t>
  </si>
  <si>
    <t>W16FT18B9G</t>
  </si>
  <si>
    <t>RELAX SS BUDDHA</t>
  </si>
  <si>
    <t>W16FT19B9G</t>
  </si>
  <si>
    <t>CREW SHIRT ARTWORK</t>
  </si>
  <si>
    <t>W16FT20B9G</t>
  </si>
  <si>
    <t>LS</t>
  </si>
  <si>
    <t>W16FT21M1G</t>
  </si>
  <si>
    <t>W16FT22E7G</t>
  </si>
  <si>
    <t>W16FT23E7G</t>
  </si>
  <si>
    <t>BOXY CREW SS</t>
  </si>
  <si>
    <t>W16FT24G4G</t>
  </si>
  <si>
    <t>V NECK RIDE LIKE</t>
  </si>
  <si>
    <t>W16FT28E7G</t>
  </si>
  <si>
    <t>RELAX RAGLAN 7 8</t>
  </si>
  <si>
    <t>W16FT29M1G</t>
  </si>
  <si>
    <t>CREW LS</t>
  </si>
  <si>
    <t>W16FT39C7G</t>
  </si>
  <si>
    <t>ROUND NECK CROCO LS</t>
  </si>
  <si>
    <t>W16FT40C7G</t>
  </si>
  <si>
    <t>SERAFINO LEO LS</t>
  </si>
  <si>
    <t>W16FT41C7G</t>
  </si>
  <si>
    <t>ROUND LEO SS</t>
  </si>
  <si>
    <t>W16FT42C7G</t>
  </si>
  <si>
    <t>BASEBALL SNAKE SS</t>
  </si>
  <si>
    <t>W16FT43C7G</t>
  </si>
  <si>
    <t>V NECK SNAKE SS</t>
  </si>
  <si>
    <t>W16SB19D4G</t>
  </si>
  <si>
    <t>SILK BLOUSE BUDDHA</t>
  </si>
  <si>
    <t>W16SD10X1G</t>
  </si>
  <si>
    <t>HALLE BLUE DENIM SUPERSTRETCH</t>
  </si>
  <si>
    <t>W16SD11X1G</t>
  </si>
  <si>
    <t>W16SD12X2G</t>
  </si>
  <si>
    <t>HALLE BLACK DENIM SUPERSTRETCH</t>
  </si>
  <si>
    <t>BLACK LIGHT USD</t>
  </si>
  <si>
    <t>W16SD13X2G</t>
  </si>
  <si>
    <t>W16SD14X3G</t>
  </si>
  <si>
    <t>HALLE GREY DENIM SPECIAL HEM</t>
  </si>
  <si>
    <t>W16SD15X3G</t>
  </si>
  <si>
    <t>HALLE GREY DENIM NO REPAIR</t>
  </si>
  <si>
    <t>GREY NO REPAIR</t>
  </si>
  <si>
    <t>W16SD16X8G</t>
  </si>
  <si>
    <t>DBIM</t>
  </si>
  <si>
    <t>DBIM GYPSET BLUE</t>
  </si>
  <si>
    <t>W16SD17X8G</t>
  </si>
  <si>
    <t>DBOM</t>
  </si>
  <si>
    <t>DBOM BWIE BL DST</t>
  </si>
  <si>
    <t>W16SD30X6G</t>
  </si>
  <si>
    <t>LIV LOW RISE RELAXED SKINNY</t>
  </si>
  <si>
    <t>CKGL SEA GLASS</t>
  </si>
  <si>
    <t>W16SF70D3G</t>
  </si>
  <si>
    <t>SILKY TOP</t>
  </si>
  <si>
    <t>W16SG24D4G</t>
  </si>
  <si>
    <t>W16SK40D9G</t>
  </si>
  <si>
    <t>W16SP02C3G</t>
  </si>
  <si>
    <t>SILK TOP</t>
  </si>
  <si>
    <t>W16SP20D4G</t>
  </si>
  <si>
    <t>SILK TOP BUDDHA</t>
  </si>
  <si>
    <t>W16SP23D4G</t>
  </si>
  <si>
    <t>W16ST12B9G</t>
  </si>
  <si>
    <t>BUDDHA TRUE CREW T SHIRT</t>
  </si>
  <si>
    <t>W16ST15G4G</t>
  </si>
  <si>
    <t>BUDDHA VNECK TSHIRT</t>
  </si>
  <si>
    <t>W16ST17G4G</t>
  </si>
  <si>
    <t>W16ST23G4G</t>
  </si>
  <si>
    <t>BUDDHA LS CREW TSHIRT</t>
  </si>
  <si>
    <t>W16ST40G4G</t>
  </si>
  <si>
    <t>TSHIRT BOXY CREW STRASS</t>
  </si>
  <si>
    <t>W16ST41G4G</t>
  </si>
  <si>
    <t>TOP STRASS</t>
  </si>
  <si>
    <t>W16SV01C3G</t>
  </si>
  <si>
    <t>SILK PANT</t>
  </si>
  <si>
    <t>W16UA50A9G</t>
  </si>
  <si>
    <t>TOP SPARCLE</t>
  </si>
  <si>
    <t>W16UA51A9G</t>
  </si>
  <si>
    <t>TOP SPARCLE 2</t>
  </si>
  <si>
    <t>W16UA82A9G</t>
  </si>
  <si>
    <t>TOP BIG STRIPE BLACK OFFWHITE</t>
  </si>
  <si>
    <t>W16UB57A3G</t>
  </si>
  <si>
    <t>BLOUSE MOUTH DENIM BLUE DESIGN</t>
  </si>
  <si>
    <t>W16UB85A7G</t>
  </si>
  <si>
    <t>BLOUSE EMBROIDERY</t>
  </si>
  <si>
    <t>W16UC35D8G</t>
  </si>
  <si>
    <t>TUNIC BLOUSE</t>
  </si>
  <si>
    <t>W16UD77A7G</t>
  </si>
  <si>
    <t>DRESS BUDDHA</t>
  </si>
  <si>
    <t>W16UF09B8G</t>
  </si>
  <si>
    <t>SHORT BASEBALL</t>
  </si>
  <si>
    <t>CRADLE PINK</t>
  </si>
  <si>
    <t>W16UF10B8G</t>
  </si>
  <si>
    <t>PANT SKULL</t>
  </si>
  <si>
    <t>W16UF11B8G</t>
  </si>
  <si>
    <t>WIDE KIMONO SHIRT CALI</t>
  </si>
  <si>
    <t>W16UF12B8G</t>
  </si>
  <si>
    <t>CREW FLEECE SKULL</t>
  </si>
  <si>
    <t>W16UF13B8G</t>
  </si>
  <si>
    <t>CREW FLEECE STAR</t>
  </si>
  <si>
    <t>W16UF14B8G</t>
  </si>
  <si>
    <t>CREW FLEECE BUDDHA</t>
  </si>
  <si>
    <t>W16UF31C7G</t>
  </si>
  <si>
    <t>W16UF33C7G</t>
  </si>
  <si>
    <t>PANT BASEBALL</t>
  </si>
  <si>
    <t>W16UF34C7G</t>
  </si>
  <si>
    <t>W16UF35C7G</t>
  </si>
  <si>
    <t>W16UF37C7G</t>
  </si>
  <si>
    <t>CREW SWEAT BUDDHA  ALL BLACK</t>
  </si>
  <si>
    <t>W16UF38C7G</t>
  </si>
  <si>
    <t>SHORT ALL BLACK</t>
  </si>
  <si>
    <t>W16UF39C7G</t>
  </si>
  <si>
    <t>BIKER PANT ALL BLACK</t>
  </si>
  <si>
    <t>W16UF40C7G</t>
  </si>
  <si>
    <t>W16UK01D1G</t>
  </si>
  <si>
    <t>KNIT CABLE SWEATER DESTROYED</t>
  </si>
  <si>
    <t>W16UK88B1G</t>
  </si>
  <si>
    <t>KNIT COAT</t>
  </si>
  <si>
    <t>W16UK89B2G</t>
  </si>
  <si>
    <t>KNIT VEST FRINGES</t>
  </si>
  <si>
    <t>W16UK91B2G</t>
  </si>
  <si>
    <t>KNIT FRINGES JACKET</t>
  </si>
  <si>
    <t>W16UM92B5G</t>
  </si>
  <si>
    <t>COAT LEATHER FRINGES</t>
  </si>
  <si>
    <t>W16UP34D8G</t>
  </si>
  <si>
    <t>VOILE TOP</t>
  </si>
  <si>
    <t>W16UQ70A7G</t>
  </si>
  <si>
    <t>JUMPER BOHEME</t>
  </si>
  <si>
    <t>W16UQ86A7G</t>
  </si>
  <si>
    <t>JUMPER NECKHOLDER</t>
  </si>
  <si>
    <t>W16UQ87A7G</t>
  </si>
  <si>
    <t>JUMPER SHORTY</t>
  </si>
  <si>
    <t>W16US58A2G</t>
  </si>
  <si>
    <t>SHIRT MOUTH DENIM BLUE DESIGN</t>
  </si>
  <si>
    <t>W16US66A4G</t>
  </si>
  <si>
    <t>SHIRT HORSE SHOE</t>
  </si>
  <si>
    <t>W16US71A8G</t>
  </si>
  <si>
    <t>SKIRT BOHEME</t>
  </si>
  <si>
    <t>W16US81A9G</t>
  </si>
  <si>
    <t>LS SHIRT BIG STRIPE BLACKWHITE</t>
  </si>
  <si>
    <t>W16US83A9G</t>
  </si>
  <si>
    <t>LS SHIRT LACE STRIPE BLACKWHIT</t>
  </si>
  <si>
    <t>W16UT01C9G</t>
  </si>
  <si>
    <t>DEEP V NECK TR</t>
  </si>
  <si>
    <t>W16UT02C9G</t>
  </si>
  <si>
    <t>DEEP V NECK BUDDHA</t>
  </si>
  <si>
    <t>W16UT03C9G</t>
  </si>
  <si>
    <t>DEEP V NECK SKULL</t>
  </si>
  <si>
    <t>W16UT04C9G</t>
  </si>
  <si>
    <t>TANK TOP SKULL</t>
  </si>
  <si>
    <t>W16UT05C9G</t>
  </si>
  <si>
    <t>TANK TOP STAR</t>
  </si>
  <si>
    <t>W16UT06C9G</t>
  </si>
  <si>
    <t>T SHIRT LOOSE SKULL</t>
  </si>
  <si>
    <t>W16UT07C9G</t>
  </si>
  <si>
    <t>T SHIRT STAR</t>
  </si>
  <si>
    <t>W16UT08C9G</t>
  </si>
  <si>
    <t>T SHIRT BUDDHA</t>
  </si>
  <si>
    <t>W16UT17G2G</t>
  </si>
  <si>
    <t>VNECK TSHIRT CUT EDGE CNSTR</t>
  </si>
  <si>
    <t>W16UT19M1G</t>
  </si>
  <si>
    <t>SERAFINO LS</t>
  </si>
  <si>
    <t>W16UT20M1G</t>
  </si>
  <si>
    <t>TOP CHEST POCKET</t>
  </si>
  <si>
    <t>W16UT21M1G</t>
  </si>
  <si>
    <t>VNECK BOXY RELAX</t>
  </si>
  <si>
    <t>W16UT22B9G</t>
  </si>
  <si>
    <t>LONG CARDIGAN</t>
  </si>
  <si>
    <t>W16UT25B9G</t>
  </si>
  <si>
    <t>DEEP BACK TOP</t>
  </si>
  <si>
    <t>W16UT26B9G</t>
  </si>
  <si>
    <t>DEEP BACK 3 4 SLEEVE</t>
  </si>
  <si>
    <t>W16UT27B9G</t>
  </si>
  <si>
    <t>COBBLE STONE</t>
  </si>
  <si>
    <t>W16UT28B9G</t>
  </si>
  <si>
    <t>TOP CUT EDGE</t>
  </si>
  <si>
    <t>W16UT30B9G</t>
  </si>
  <si>
    <t>CREW SHIRT AMERICAN BUDDHA</t>
  </si>
  <si>
    <t>W16UT52A9G</t>
  </si>
  <si>
    <t>V NECK SPARCLE</t>
  </si>
  <si>
    <t>W16UT53A9G</t>
  </si>
  <si>
    <t>SHIRT SPARCLE</t>
  </si>
  <si>
    <t>W16UT54A9G</t>
  </si>
  <si>
    <t>BASEBALL EMBLEM</t>
  </si>
  <si>
    <t>W16UT55A9G</t>
  </si>
  <si>
    <t>TOP GLAM</t>
  </si>
  <si>
    <t>W16UT56A9G</t>
  </si>
  <si>
    <t>TOP GLAM EMBLEM</t>
  </si>
  <si>
    <t>W16UX95B4G</t>
  </si>
  <si>
    <t>LEATHER VEST FRINGES STAR</t>
  </si>
  <si>
    <t>W16UY94B4G</t>
  </si>
  <si>
    <t>LEATHER COAT FRINGES</t>
  </si>
  <si>
    <t>CZR - OPTIC WHITE</t>
  </si>
  <si>
    <t>W2G564KB5</t>
  </si>
  <si>
    <t>BOOTCUT WFLP NAT BIGT WSLPR R</t>
  </si>
  <si>
    <t>W2GB473NBT</t>
  </si>
  <si>
    <t>KNEE LENGTH SHRT FLAP NAT BIGT</t>
  </si>
  <si>
    <t>W2GD083NBT</t>
  </si>
  <si>
    <t>MID CUTOFF NATURAL BIG T</t>
  </si>
  <si>
    <t>W2GG10OM</t>
  </si>
  <si>
    <t>CUT OFF SHORTS OM SN</t>
  </si>
  <si>
    <t>DDPD</t>
  </si>
  <si>
    <t>DDPD CAYON HOPE</t>
  </si>
  <si>
    <t>W2GJ58NBT</t>
  </si>
  <si>
    <t>CAPRI ROLLED HEM NATURAL BIG T</t>
  </si>
  <si>
    <t>W33D061BJ9</t>
  </si>
  <si>
    <t>CURVY SKINNY BLACK SN</t>
  </si>
  <si>
    <t>CZE - BLACK</t>
  </si>
  <si>
    <t>W41D061OM</t>
  </si>
  <si>
    <t>CURVY SKINNY SN OM</t>
  </si>
  <si>
    <t>DIJM</t>
  </si>
  <si>
    <t>DIJM FIRST RAY</t>
  </si>
  <si>
    <t>BECCA BOOTCUT WFLAP</t>
  </si>
  <si>
    <t>W5OB365YW6</t>
  </si>
  <si>
    <t>02 SKNY LNS FTBL TEE</t>
  </si>
  <si>
    <t>DK VIOLET / DK VIOLET</t>
  </si>
  <si>
    <t>W5OB454YY4</t>
  </si>
  <si>
    <t>TR CARVED LOVE ROLLUP CREW</t>
  </si>
  <si>
    <t>W5OB459YB3</t>
  </si>
  <si>
    <t>TRUE PATRIOT CROP CREW TEE</t>
  </si>
  <si>
    <t>W5OB468YA7</t>
  </si>
  <si>
    <t>TR HAMSA ROLLUP SLEEVE V NECK</t>
  </si>
  <si>
    <t>W5OX19JV7</t>
  </si>
  <si>
    <t>TR BUDDHA LOGO CREW NECK TEE</t>
  </si>
  <si>
    <t>WA933B93</t>
  </si>
  <si>
    <t>DOUBLE PUFF SS V NECK</t>
  </si>
  <si>
    <t>WA933C052</t>
  </si>
  <si>
    <t>GWP BUDDHA V NECK</t>
  </si>
  <si>
    <t>WA933C071</t>
  </si>
  <si>
    <t>GWP PRESIDENTS DAY V NECK</t>
  </si>
  <si>
    <t>WA933J820</t>
  </si>
  <si>
    <t>16H3</t>
  </si>
  <si>
    <t>CABERNET</t>
  </si>
  <si>
    <t>16H2</t>
  </si>
  <si>
    <t>MUSTANG</t>
  </si>
  <si>
    <t>WISTERIA</t>
  </si>
  <si>
    <t>WB086XE2</t>
  </si>
  <si>
    <t>DBDM</t>
  </si>
  <si>
    <t>DBDM SHOCKING BL</t>
  </si>
  <si>
    <t>WB086YF3</t>
  </si>
  <si>
    <t>HARPER HIGH RISE SKINNY</t>
  </si>
  <si>
    <t>DEVG</t>
  </si>
  <si>
    <t>DEVG ALUMINUM</t>
  </si>
  <si>
    <t>WB086YF4</t>
  </si>
  <si>
    <t>DEWD</t>
  </si>
  <si>
    <t>DEWD SHADY BLUE</t>
  </si>
  <si>
    <t>WB091YF6</t>
  </si>
  <si>
    <t>CORA MID RISE STRAIGHT CROP</t>
  </si>
  <si>
    <t>DEYM</t>
  </si>
  <si>
    <t>DEYM RIVER RISING</t>
  </si>
  <si>
    <t>WB092CBRS</t>
  </si>
  <si>
    <t>DEOM</t>
  </si>
  <si>
    <t>DEOM NGT SWRS CLN</t>
  </si>
  <si>
    <t>WB092XA4</t>
  </si>
  <si>
    <t>CRK DISTRESSED CAMO</t>
  </si>
  <si>
    <t>WB092XC6</t>
  </si>
  <si>
    <t>DBAL</t>
  </si>
  <si>
    <t>DBAL INDIGO HAZE</t>
  </si>
  <si>
    <t>WB092XC7</t>
  </si>
  <si>
    <t>WB092XD1</t>
  </si>
  <si>
    <t>DBPG</t>
  </si>
  <si>
    <t>DBPG DUSTY MINRL</t>
  </si>
  <si>
    <t>WB092XD9</t>
  </si>
  <si>
    <t>DBTG</t>
  </si>
  <si>
    <t>DBTG SMOKE GREY</t>
  </si>
  <si>
    <t>WB092XD9B</t>
  </si>
  <si>
    <t>DBSL</t>
  </si>
  <si>
    <t>DBSL BLCH STNS BL</t>
  </si>
  <si>
    <t>WB092XE4</t>
  </si>
  <si>
    <t>DBCB</t>
  </si>
  <si>
    <t>DBCB BLACK ACID</t>
  </si>
  <si>
    <t>WB092XF1</t>
  </si>
  <si>
    <t>WB092XF8</t>
  </si>
  <si>
    <t>DBLB</t>
  </si>
  <si>
    <t>DBLB BLK SMG CLN</t>
  </si>
  <si>
    <t>WB092XJ8S</t>
  </si>
  <si>
    <t>HALLE MID RISE SUPER T</t>
  </si>
  <si>
    <t>WB092YF4S</t>
  </si>
  <si>
    <t>WB092YF9</t>
  </si>
  <si>
    <t>DFBD</t>
  </si>
  <si>
    <t>DFBD BLACK NOIR</t>
  </si>
  <si>
    <t>WB092YG2</t>
  </si>
  <si>
    <t>WB092YG4</t>
  </si>
  <si>
    <t>DFED</t>
  </si>
  <si>
    <t>DFED BLACK PEARL</t>
  </si>
  <si>
    <t>WB092YI0</t>
  </si>
  <si>
    <t>DEPL</t>
  </si>
  <si>
    <t>DEPL BLUE HAVEN</t>
  </si>
  <si>
    <t>WB092YI2</t>
  </si>
  <si>
    <t>WB092YZ1</t>
  </si>
  <si>
    <t>DGXM</t>
  </si>
  <si>
    <t>DGXM OFF BEAT</t>
  </si>
  <si>
    <t>WB092ZB9S</t>
  </si>
  <si>
    <t>WB213XE5</t>
  </si>
  <si>
    <t>WB213XH8</t>
  </si>
  <si>
    <t>WB213YI0</t>
  </si>
  <si>
    <t>AUDREY MID RISE SLIM BOYFRIEND</t>
  </si>
  <si>
    <t>WB213YK9</t>
  </si>
  <si>
    <t>WB213YP4</t>
  </si>
  <si>
    <t>DAAH BLACK DESTROYED</t>
  </si>
  <si>
    <t>DAAH OLIVE DRAB DESTR</t>
  </si>
  <si>
    <t>WB245CAM</t>
  </si>
  <si>
    <t>WB327YG2</t>
  </si>
  <si>
    <t>WB327YG4</t>
  </si>
  <si>
    <t>WB327YI1</t>
  </si>
  <si>
    <t>WB360XD4</t>
  </si>
  <si>
    <t>DARI BOXY SHIRT JACKET</t>
  </si>
  <si>
    <t>1700 BYZ OPT WTE</t>
  </si>
  <si>
    <t>WB477RO9</t>
  </si>
  <si>
    <t>LS OPEN BACK TOP</t>
  </si>
  <si>
    <t>WC012CAE</t>
  </si>
  <si>
    <t>WC012CAF</t>
  </si>
  <si>
    <t>CASEY SUPER SKINNY W FLAPS</t>
  </si>
  <si>
    <t>WC012CAGS</t>
  </si>
  <si>
    <t>CASEY SUPER T</t>
  </si>
  <si>
    <t>WC012CAHS</t>
  </si>
  <si>
    <t>WC012CAI</t>
  </si>
  <si>
    <t>WC012CAZ</t>
  </si>
  <si>
    <t>CNPB</t>
  </si>
  <si>
    <t>CNPB EZME RSE BLK</t>
  </si>
  <si>
    <t>WC012RO5</t>
  </si>
  <si>
    <t>DEFD</t>
  </si>
  <si>
    <t>DEFD OZONE RINSE</t>
  </si>
  <si>
    <t>WC012XE2</t>
  </si>
  <si>
    <t>WC012XJ4S</t>
  </si>
  <si>
    <t>DBCL</t>
  </si>
  <si>
    <t>DBCL INDIGO ACID</t>
  </si>
  <si>
    <t>WC012XJ7S</t>
  </si>
  <si>
    <t>DBBL</t>
  </si>
  <si>
    <t>DBBL IND HZE DST</t>
  </si>
  <si>
    <t>WC012YF4</t>
  </si>
  <si>
    <t>WC012YG3</t>
  </si>
  <si>
    <t>WC012YG5S</t>
  </si>
  <si>
    <t>DFFD</t>
  </si>
  <si>
    <t>DFFD SMOKEY WTRS</t>
  </si>
  <si>
    <t>WC012YI1</t>
  </si>
  <si>
    <t>WC012YI2</t>
  </si>
  <si>
    <t>WC013XC6</t>
  </si>
  <si>
    <t>WC013XC7</t>
  </si>
  <si>
    <t>WC013XD2S</t>
  </si>
  <si>
    <t>WC051XB7</t>
  </si>
  <si>
    <t>LS ACTIVE ZIP HOODIE</t>
  </si>
  <si>
    <t>MIDNIGHT MINERAL</t>
  </si>
  <si>
    <t>WC055J281</t>
  </si>
  <si>
    <t>BRANDED SLIM RAGLAN</t>
  </si>
  <si>
    <t>WC089YY2</t>
  </si>
  <si>
    <t>LS RELAXED GEORGIA PLAID</t>
  </si>
  <si>
    <t>RED SHADOW PLAID</t>
  </si>
  <si>
    <t>WC182XH5</t>
  </si>
  <si>
    <t>SL GEORGIA DRESS</t>
  </si>
  <si>
    <t>INDIGO/ BLACK</t>
  </si>
  <si>
    <t>WC321CAE</t>
  </si>
  <si>
    <t>WC321CAE1</t>
  </si>
  <si>
    <t>WC321CAZ</t>
  </si>
  <si>
    <t>WC321VW2</t>
  </si>
  <si>
    <t>WC321VZ1</t>
  </si>
  <si>
    <t>RUNWAY LEGGING SUPER T</t>
  </si>
  <si>
    <t>CUIM</t>
  </si>
  <si>
    <t>CUIM COSMIC BLUE</t>
  </si>
  <si>
    <t>WC358YY0</t>
  </si>
  <si>
    <t>HALLE MID RISE CROP</t>
  </si>
  <si>
    <t>DML DISTD ZEBRA</t>
  </si>
  <si>
    <t>WC363J095</t>
  </si>
  <si>
    <t>STAR LS  BF SWEATSHIRT</t>
  </si>
  <si>
    <t>INDIGO STAR</t>
  </si>
  <si>
    <t>WC363J096</t>
  </si>
  <si>
    <t>WC364YH1</t>
  </si>
  <si>
    <t>THE RUNWAY LEGGING MOTO</t>
  </si>
  <si>
    <t>DFAD</t>
  </si>
  <si>
    <t>DFAD BLACK RIVER</t>
  </si>
  <si>
    <t>WC364YH11</t>
  </si>
  <si>
    <t>WC389YU5</t>
  </si>
  <si>
    <t>BLUE VELVET PLAID</t>
  </si>
  <si>
    <t>RED CHECK PLAID</t>
  </si>
  <si>
    <t>WC406J042</t>
  </si>
  <si>
    <t>SUGAR SKULL SS RAGLAN</t>
  </si>
  <si>
    <t>WC526XF1</t>
  </si>
  <si>
    <t>JOEY LOW RISE  FLARE FLAP</t>
  </si>
  <si>
    <t>WC526XJ5S</t>
  </si>
  <si>
    <t>JOEY FLARE FLAP SUPER T</t>
  </si>
  <si>
    <t>WC526XX5</t>
  </si>
  <si>
    <t>WC526YF6</t>
  </si>
  <si>
    <t>WC526YI1</t>
  </si>
  <si>
    <t>WC531YT2</t>
  </si>
  <si>
    <t>DISTRESSED LS SHIRTTAIL CREW</t>
  </si>
  <si>
    <t>WC535XP7</t>
  </si>
  <si>
    <t>CASEY LOW RISE SKINNY W FLAPS</t>
  </si>
  <si>
    <t>CPL BLACK</t>
  </si>
  <si>
    <t>WC535XP8</t>
  </si>
  <si>
    <t>WC543J035</t>
  </si>
  <si>
    <t>SPRAY STENCIL SL BF CREW</t>
  </si>
  <si>
    <t>WC543J038</t>
  </si>
  <si>
    <t>ROCKIN BUDDHA SL BF CREW</t>
  </si>
  <si>
    <t>WC543J097</t>
  </si>
  <si>
    <t>STAR SL MUSCLE BF CREW</t>
  </si>
  <si>
    <t>WHITE /BLACK PRINT</t>
  </si>
  <si>
    <t>WC543J117</t>
  </si>
  <si>
    <t>CIAO SKULL SL BF MUSCLE</t>
  </si>
  <si>
    <t>WC543J280</t>
  </si>
  <si>
    <t>CELESTIAL HAND SL BF MUSCLE</t>
  </si>
  <si>
    <t>WC544J028</t>
  </si>
  <si>
    <t>SUGAR SKULL LOGO  CREW</t>
  </si>
  <si>
    <t>WC544J040</t>
  </si>
  <si>
    <t>PSYCH PUNK BF CREW</t>
  </si>
  <si>
    <t>WC544J096</t>
  </si>
  <si>
    <t>STAR SS BF CREW</t>
  </si>
  <si>
    <t>WHITE W GOLD PRINT</t>
  </si>
  <si>
    <t>WC544J112</t>
  </si>
  <si>
    <t>BRANDED TRBJ SS BF CREW</t>
  </si>
  <si>
    <t>WC545J032</t>
  </si>
  <si>
    <t>SKULL AND ROSES V NECK</t>
  </si>
  <si>
    <t>WC547CBSS</t>
  </si>
  <si>
    <t>LIV RELAXED SKINNY SUPER T</t>
  </si>
  <si>
    <t>WC547VL7</t>
  </si>
  <si>
    <t>WC547XD2S</t>
  </si>
  <si>
    <t>LIV SUPER T</t>
  </si>
  <si>
    <t>WC547XD9</t>
  </si>
  <si>
    <t>WC547XF8</t>
  </si>
  <si>
    <t>CZYB</t>
  </si>
  <si>
    <t>CZYB BLK SMG DST</t>
  </si>
  <si>
    <t>WC547XR5</t>
  </si>
  <si>
    <t>WC547XX5</t>
  </si>
  <si>
    <t>WC547YG2</t>
  </si>
  <si>
    <t>WC547YI0</t>
  </si>
  <si>
    <t>WC568XC8</t>
  </si>
  <si>
    <t>JOEY CUT OFF SHORT W FLAPS</t>
  </si>
  <si>
    <t>WC568XD9B</t>
  </si>
  <si>
    <t>WC568XE1</t>
  </si>
  <si>
    <t>DBGL</t>
  </si>
  <si>
    <t>DBGL PALE BLUE</t>
  </si>
  <si>
    <t>WC568XE3</t>
  </si>
  <si>
    <t>DBEM</t>
  </si>
  <si>
    <t>DBEM STRS &amp; STNS</t>
  </si>
  <si>
    <t>WC570XJ5S</t>
  </si>
  <si>
    <t>JOEY FLARE SUPER T</t>
  </si>
  <si>
    <t>WC570XR6S</t>
  </si>
  <si>
    <t>JOEY LOW RISE FLARE SUPER T</t>
  </si>
  <si>
    <t>WC586J028</t>
  </si>
  <si>
    <t>SUGAR SKULL LOGO  V NECK</t>
  </si>
  <si>
    <t>WC586J032</t>
  </si>
  <si>
    <t>SKULL AND ROSES SLIM V NECK</t>
  </si>
  <si>
    <t>WC586J121</t>
  </si>
  <si>
    <t>RAM SKULL SS SLIM V</t>
  </si>
  <si>
    <t>WC586J282</t>
  </si>
  <si>
    <t>MICRO CAMO SLIM V NECK</t>
  </si>
  <si>
    <t>MICRO CAMO</t>
  </si>
  <si>
    <t>WC586ZA7</t>
  </si>
  <si>
    <t>SLIM  V NECK TEE</t>
  </si>
  <si>
    <t>WC611XM6</t>
  </si>
  <si>
    <t>LS MILITARY SHIRT</t>
  </si>
  <si>
    <t>DBRL</t>
  </si>
  <si>
    <t>DBRL BLURRY BLUE</t>
  </si>
  <si>
    <t>WC611YU6</t>
  </si>
  <si>
    <t>SOLID MILITARY SHIRT</t>
  </si>
  <si>
    <t>MOONSHINE</t>
  </si>
  <si>
    <t>WC639XS6</t>
  </si>
  <si>
    <t>RUNWAY LEGGING FLARE</t>
  </si>
  <si>
    <t>DBWM</t>
  </si>
  <si>
    <t>DBWM BL VNT SLST</t>
  </si>
  <si>
    <t>WC649XC7</t>
  </si>
  <si>
    <t>WC649XD1</t>
  </si>
  <si>
    <t>WC658XC7</t>
  </si>
  <si>
    <t>WC658XD1</t>
  </si>
  <si>
    <t>1700 BYZ OPC WTE</t>
  </si>
  <si>
    <t>WC658XE1</t>
  </si>
  <si>
    <t>WC658XK0S</t>
  </si>
  <si>
    <t>KARLIE BELL BOTTOM SUPER T</t>
  </si>
  <si>
    <t>WC658YI2</t>
  </si>
  <si>
    <t>WC658YI2R</t>
  </si>
  <si>
    <t>KARLIE BELL BOTTOM 32</t>
  </si>
  <si>
    <t>CNPD BODY RINSE</t>
  </si>
  <si>
    <t>WC667YP4</t>
  </si>
  <si>
    <t>WC742VL91</t>
  </si>
  <si>
    <t>WC795UB0</t>
  </si>
  <si>
    <t>JENNIE CURVY MID RISE SKINNY</t>
  </si>
  <si>
    <t>CWCM</t>
  </si>
  <si>
    <t>CWCM ROLLING IND</t>
  </si>
  <si>
    <t>WC795XK5</t>
  </si>
  <si>
    <t>DHWD</t>
  </si>
  <si>
    <t>DHWD NTVE ORA CLN</t>
  </si>
  <si>
    <t>WC799XD1</t>
  </si>
  <si>
    <t>IZZY HIGH RISE SHORT</t>
  </si>
  <si>
    <t>WC799XD6</t>
  </si>
  <si>
    <t>WC799XE2</t>
  </si>
  <si>
    <t>WC811J069</t>
  </si>
  <si>
    <t>EMBELLISHED SS SLIM CREW</t>
  </si>
  <si>
    <t>WC811J320</t>
  </si>
  <si>
    <t>CONCERT BUDDHA CREW NECK</t>
  </si>
  <si>
    <t>WC811J321</t>
  </si>
  <si>
    <t>EAGLE ROCK CREW NECK</t>
  </si>
  <si>
    <t>WC812J033</t>
  </si>
  <si>
    <t>1776 SL SLIM MUSCLE</t>
  </si>
  <si>
    <t>WC812J041</t>
  </si>
  <si>
    <t>CARNABY SL SLIM MUSCLE</t>
  </si>
  <si>
    <t>WC813XA8</t>
  </si>
  <si>
    <t>SOLID TANK</t>
  </si>
  <si>
    <t>WC813XB7</t>
  </si>
  <si>
    <t>SLUB TANK</t>
  </si>
  <si>
    <t>WC814J116</t>
  </si>
  <si>
    <t>METAL TRBJ LS RAGLAN</t>
  </si>
  <si>
    <t>WC816XB6</t>
  </si>
  <si>
    <t>HEATHER GREY/ BLK</t>
  </si>
  <si>
    <t>WC816XB7</t>
  </si>
  <si>
    <t>WC819XB9</t>
  </si>
  <si>
    <t>FLOWY LACE CAMI</t>
  </si>
  <si>
    <t>WC820J034</t>
  </si>
  <si>
    <t>BUDDAH FLAG HIGH LOW TANK</t>
  </si>
  <si>
    <t>WC826XB6</t>
  </si>
  <si>
    <t>ACTIVE  ZIP UP HOODIE</t>
  </si>
  <si>
    <t>HEATHER GREY/BLK</t>
  </si>
  <si>
    <t>WC839XC7</t>
  </si>
  <si>
    <t>CORA HIGH RISE STRAICHT CROP</t>
  </si>
  <si>
    <t>WC839XD6</t>
  </si>
  <si>
    <t>CORA HIGH RISE STRAIGHT CROP</t>
  </si>
  <si>
    <t>WC841XD4</t>
  </si>
  <si>
    <t>WC844XD2</t>
  </si>
  <si>
    <t>KARLIE BELL BOTTOM CROP</t>
  </si>
  <si>
    <t>WC844XF4</t>
  </si>
  <si>
    <t>WC844YH8</t>
  </si>
  <si>
    <t>WC845XC7</t>
  </si>
  <si>
    <t>SCOUT BF MULLET SHORT</t>
  </si>
  <si>
    <t>WC845XD9</t>
  </si>
  <si>
    <t>WC849XD7</t>
  </si>
  <si>
    <t>PIECED DENIM SKIRT</t>
  </si>
  <si>
    <t>WC855XE7</t>
  </si>
  <si>
    <t>JOEY ZIP SHORT</t>
  </si>
  <si>
    <t>DAA SEA FOAM</t>
  </si>
  <si>
    <t>DAA ORANGE</t>
  </si>
  <si>
    <t>WC855XJ9S</t>
  </si>
  <si>
    <t>JOEY ZIP SHORT SUPER T</t>
  </si>
  <si>
    <t>DBJL</t>
  </si>
  <si>
    <t>DBJL CLOUD BLUE</t>
  </si>
  <si>
    <t>WC856XH2</t>
  </si>
  <si>
    <t>RUNWAY LEGGING CROP</t>
  </si>
  <si>
    <t>DBFM</t>
  </si>
  <si>
    <t>DBFM VNT DST BLU</t>
  </si>
  <si>
    <t>WC856XH3</t>
  </si>
  <si>
    <t>DBFB</t>
  </si>
  <si>
    <t>DBFB VNT DST BLK</t>
  </si>
  <si>
    <t>WC856XH31</t>
  </si>
  <si>
    <t>WC856XS6</t>
  </si>
  <si>
    <t>WC856XS61</t>
  </si>
  <si>
    <t>WC856XS8</t>
  </si>
  <si>
    <t>DBYM</t>
  </si>
  <si>
    <t>DBYM VENETIAN BL</t>
  </si>
  <si>
    <t>WC856XS81</t>
  </si>
  <si>
    <t>WC857XF1</t>
  </si>
  <si>
    <t>PENCIL SKIRT</t>
  </si>
  <si>
    <t>WC858XF6</t>
  </si>
  <si>
    <t>CASEY CAPRI ZIP</t>
  </si>
  <si>
    <t>DAA BLACK</t>
  </si>
  <si>
    <t>DAA WHITE</t>
  </si>
  <si>
    <t>WC864XJ8S</t>
  </si>
  <si>
    <t>BECCA BOOTCUT FLAP SUPER T</t>
  </si>
  <si>
    <t>WC864XR5S</t>
  </si>
  <si>
    <t>WC864YF4</t>
  </si>
  <si>
    <t>WC866XJ9S</t>
  </si>
  <si>
    <t>HALLE CROP SUPER T</t>
  </si>
  <si>
    <t>WC866XK0S</t>
  </si>
  <si>
    <t>HALLE CROP W FLAPS SUPER T</t>
  </si>
  <si>
    <t>WC867XC5</t>
  </si>
  <si>
    <t>WC868XC6</t>
  </si>
  <si>
    <t>JOEY CUTOFF SHORT</t>
  </si>
  <si>
    <t>WC869XE5</t>
  </si>
  <si>
    <t>WC871XB0</t>
  </si>
  <si>
    <t>INDIGO  GYPSY HALTER DRESS</t>
  </si>
  <si>
    <t>INDIGO BLEACH</t>
  </si>
  <si>
    <t>WC877XC8</t>
  </si>
  <si>
    <t>WC884XC7</t>
  </si>
  <si>
    <t>EMMA BERMUDA SHORT</t>
  </si>
  <si>
    <t>WC884XD2</t>
  </si>
  <si>
    <t>WC887UB0</t>
  </si>
  <si>
    <t>JENNIE CURVY MID RISE BOOT</t>
  </si>
  <si>
    <t>WC887XK5</t>
  </si>
  <si>
    <t>WC889XD4</t>
  </si>
  <si>
    <t>SHORTALL</t>
  </si>
  <si>
    <t>WC889XE1</t>
  </si>
  <si>
    <t>WC896XE9</t>
  </si>
  <si>
    <t>WC913XL5</t>
  </si>
  <si>
    <t>WC913XR5S</t>
  </si>
  <si>
    <t>BECCA MID RISE BOOTCUT SUPER T</t>
  </si>
  <si>
    <t>WC913YG4</t>
  </si>
  <si>
    <t>WC913YI0</t>
  </si>
  <si>
    <t>WC916XJ7S</t>
  </si>
  <si>
    <t>WC917XB0</t>
  </si>
  <si>
    <t>INDIGO ROLL SLEEVE GEORGIA</t>
  </si>
  <si>
    <t>INDIGO RINSE</t>
  </si>
  <si>
    <t>WC917XR8</t>
  </si>
  <si>
    <t>ROLL SLEEVE  GEORGIA</t>
  </si>
  <si>
    <t>WC919CAAS</t>
  </si>
  <si>
    <t>CASEY CAPRI SUPER T</t>
  </si>
  <si>
    <t>CPL RED</t>
  </si>
  <si>
    <t>WC919XE1</t>
  </si>
  <si>
    <t>WC919XE3</t>
  </si>
  <si>
    <t>CASEY SUPER SKINNY CAPRI</t>
  </si>
  <si>
    <t>WC919XJ5S</t>
  </si>
  <si>
    <t>WC920CAX</t>
  </si>
  <si>
    <t>WC920XR5</t>
  </si>
  <si>
    <t>WC920YF9</t>
  </si>
  <si>
    <t>WC920ZA3</t>
  </si>
  <si>
    <t>WC921XD2</t>
  </si>
  <si>
    <t>MINI SKIRT</t>
  </si>
  <si>
    <t>WC933XE9</t>
  </si>
  <si>
    <t>WC956YH1</t>
  </si>
  <si>
    <t>HALLE CROP ANKLE LACE UP</t>
  </si>
  <si>
    <t>DETB</t>
  </si>
  <si>
    <t>DETB PEPPER CLN</t>
  </si>
  <si>
    <t>WC956YI1</t>
  </si>
  <si>
    <t>DEOM N. SHOWERS CLN</t>
  </si>
  <si>
    <t>WC957YH1</t>
  </si>
  <si>
    <t>HALLE CROP FULL LACE UP</t>
  </si>
  <si>
    <t>WC959YH1</t>
  </si>
  <si>
    <t>LACE UP IZZY</t>
  </si>
  <si>
    <t>WC960YH2</t>
  </si>
  <si>
    <t>EYELET RUNWAY LEGGING</t>
  </si>
  <si>
    <t>WC960YH21</t>
  </si>
  <si>
    <t>WC960YH31</t>
  </si>
  <si>
    <t>CPLB OVERDYE BLACK</t>
  </si>
  <si>
    <t>WC962YH8</t>
  </si>
  <si>
    <t>WC964YF7</t>
  </si>
  <si>
    <t>THE RUNWAY LEGGING STRAIGHT</t>
  </si>
  <si>
    <t>WC964YF71</t>
  </si>
  <si>
    <t>WC964YG9</t>
  </si>
  <si>
    <t>DFID</t>
  </si>
  <si>
    <t>DFID ULTRAMARINE</t>
  </si>
  <si>
    <t>WC964YG91</t>
  </si>
  <si>
    <t>WC966YJ0</t>
  </si>
  <si>
    <t>DESB</t>
  </si>
  <si>
    <t>DESB LEAD GREY</t>
  </si>
  <si>
    <t>WC967YG4</t>
  </si>
  <si>
    <t>HALLE SKINNY MOTO CROP</t>
  </si>
  <si>
    <t>WC967YI0</t>
  </si>
  <si>
    <t>WC968YG2</t>
  </si>
  <si>
    <t>KARLIE BELL BOTTOM MOTO</t>
  </si>
  <si>
    <t>WC968YG5</t>
  </si>
  <si>
    <t>WC970YH8</t>
  </si>
  <si>
    <t>IZZY BOOTIE SHORT</t>
  </si>
  <si>
    <t>WC972YJ1</t>
  </si>
  <si>
    <t>LEATHER HALLE SUPER SKINNY</t>
  </si>
  <si>
    <t>WC973YJ1</t>
  </si>
  <si>
    <t>LEATHER KARLIE BELL BOTTOM</t>
  </si>
  <si>
    <t>WC983YT2</t>
  </si>
  <si>
    <t>DISTRESSED POCKET CREW</t>
  </si>
  <si>
    <t>CAVALRY</t>
  </si>
  <si>
    <t>WC985YT4</t>
  </si>
  <si>
    <t>LACE UP SWEATSHIRT</t>
  </si>
  <si>
    <t>WC988YT6</t>
  </si>
  <si>
    <t>LACE UP PEASANT TOP</t>
  </si>
  <si>
    <t>WC991YH6</t>
  </si>
  <si>
    <t>DEJB</t>
  </si>
  <si>
    <t>DEJB CROW BLACK</t>
  </si>
  <si>
    <t>WC996YV9</t>
  </si>
  <si>
    <t>EMBELISHED SLIT BACK CAMI</t>
  </si>
  <si>
    <t>WC997YV9</t>
  </si>
  <si>
    <t>EMBELLISHMENT PEASANT TOP</t>
  </si>
  <si>
    <t>WD001YV0</t>
  </si>
  <si>
    <t>LS PUFFER JACKET</t>
  </si>
  <si>
    <t>OLIVE/BLACK</t>
  </si>
  <si>
    <t>WD024YQ7</t>
  </si>
  <si>
    <t>HALLE SUPER SKINNY PATCHWORK</t>
  </si>
  <si>
    <t>DENM</t>
  </si>
  <si>
    <t>DENM NT SHWS DST</t>
  </si>
  <si>
    <t>WD037ZA1</t>
  </si>
  <si>
    <t>RUNWAY MOTO FLARE</t>
  </si>
  <si>
    <t>WD037ZA11</t>
  </si>
  <si>
    <t>WD038YI7</t>
  </si>
  <si>
    <t>HALLE SUPER SKINNY CROP</t>
  </si>
  <si>
    <t>DAA MUSTANG</t>
  </si>
  <si>
    <t>WD040YT9</t>
  </si>
  <si>
    <t>LACE UP LEATHER MOTO</t>
  </si>
  <si>
    <t>WD041YW0</t>
  </si>
  <si>
    <t>FRINGE LEATHER MOTO</t>
  </si>
  <si>
    <t>WD048YU7</t>
  </si>
  <si>
    <t>PEASANT SL TOP</t>
  </si>
  <si>
    <t>WD050YZ1</t>
  </si>
  <si>
    <t>DGYL</t>
  </si>
  <si>
    <t>DGYL FREEBIRD</t>
  </si>
  <si>
    <t>WD054YH8</t>
  </si>
  <si>
    <t>CASEY SKINNY CROP</t>
  </si>
  <si>
    <t>WD064ZE9</t>
  </si>
  <si>
    <t>WOOL VARSITY</t>
  </si>
  <si>
    <t>HIGH RISE WAISTED AVA C F2 1 2</t>
  </si>
  <si>
    <t>WDKN95TS</t>
  </si>
  <si>
    <t>LEGGING NATURAL SN</t>
  </si>
  <si>
    <t>DIC OPTC WHT SLIT</t>
  </si>
  <si>
    <t>WDKN96SQ7</t>
  </si>
  <si>
    <t>LEGGING FLAP STER GREY SN</t>
  </si>
  <si>
    <t>WETB445MO3</t>
  </si>
  <si>
    <t>DN WESTERN SHIRT RAW HEM</t>
  </si>
  <si>
    <t>DIAL</t>
  </si>
  <si>
    <t>DIAL CHLL INDIGO</t>
  </si>
  <si>
    <t>WF004XD2S</t>
  </si>
  <si>
    <t>LIV RELAXED SKINNYFLAP SUPER T</t>
  </si>
  <si>
    <t>WF027CBG</t>
  </si>
  <si>
    <t>LS HOODIE W RAW DETAILS</t>
  </si>
  <si>
    <t>WF027YT3</t>
  </si>
  <si>
    <t>STONE BLACK</t>
  </si>
  <si>
    <t>STONE MUSTANG</t>
  </si>
  <si>
    <t>WF028CBG</t>
  </si>
  <si>
    <t>SKINNY SWEATPANT W RAW DETAIL</t>
  </si>
  <si>
    <t>WF028YT3</t>
  </si>
  <si>
    <t>WF038ZA6</t>
  </si>
  <si>
    <t>WF055XL5</t>
  </si>
  <si>
    <t>WF056XL5</t>
  </si>
  <si>
    <t>WFSB058VE7</t>
  </si>
  <si>
    <t>WFSC058VE7</t>
  </si>
  <si>
    <t>CWP SKINNY SWEATPANT</t>
  </si>
  <si>
    <t>FOIL LS PULLOVER</t>
  </si>
  <si>
    <t>CONFETT LS PULLOVER</t>
  </si>
  <si>
    <t>WHUB386XQ5</t>
  </si>
  <si>
    <t>RTRO LGO PLVR</t>
  </si>
  <si>
    <t>HTHR GRY / BERYL</t>
  </si>
  <si>
    <t>AZALEA / HTHR GRY</t>
  </si>
  <si>
    <t>WHUB387XQ5</t>
  </si>
  <si>
    <t>RTRO LGO JOGGER</t>
  </si>
  <si>
    <t>HTHR GRY/BERYL</t>
  </si>
  <si>
    <t>WHUB422ZW5</t>
  </si>
  <si>
    <t>LOGO BIGT FLR SWTPNT</t>
  </si>
  <si>
    <t>WHISPER BLUE</t>
  </si>
  <si>
    <t>WHUB469ZW4</t>
  </si>
  <si>
    <t>BIGT ZIPUP HOODIE</t>
  </si>
  <si>
    <t>WHZ599SNBT</t>
  </si>
  <si>
    <t>SKINNY FLAP NATURALINE BIG T</t>
  </si>
  <si>
    <t>WHZ599STS</t>
  </si>
  <si>
    <t>CYSD</t>
  </si>
  <si>
    <t>CYSD COPPR DREAM</t>
  </si>
  <si>
    <t>WHZD084NBT</t>
  </si>
  <si>
    <t>BOOTCUT NATURAL BIG T</t>
  </si>
  <si>
    <t>WI2B220XN3</t>
  </si>
  <si>
    <t>CHTH RGLN LS RGLN</t>
  </si>
  <si>
    <t>BLACK / HEATHER GREY</t>
  </si>
  <si>
    <t>OFF WHITE / GRAPE</t>
  </si>
  <si>
    <t>WIL145NH5</t>
  </si>
  <si>
    <t>CLASSIC LOGO TANK TOP</t>
  </si>
  <si>
    <t>SEA FOAM</t>
  </si>
  <si>
    <t>CALIENTE</t>
  </si>
  <si>
    <t>WIL145SE2</t>
  </si>
  <si>
    <t>EMBDRY LGO OMBRE TNK</t>
  </si>
  <si>
    <t>GLOW</t>
  </si>
  <si>
    <t>WIL145YA5</t>
  </si>
  <si>
    <t>TRUE SPIRIT 15 TANK TOP</t>
  </si>
  <si>
    <t>TIE DYE TRUE NAVY</t>
  </si>
  <si>
    <t>WIL145YX0</t>
  </si>
  <si>
    <t>LOVE TRUE TANK W CRYSTALS</t>
  </si>
  <si>
    <t>WIL145ZI5</t>
  </si>
  <si>
    <t>TANK TOP TR MADE</t>
  </si>
  <si>
    <t>WK17XR7</t>
  </si>
  <si>
    <t>WKKB397WP4</t>
  </si>
  <si>
    <t>SKINNY WFLP CRYSTAL ZIPPER</t>
  </si>
  <si>
    <t>WKKD061BJ9</t>
  </si>
  <si>
    <t>CURVY SKINNY BLK SN GREY LOGO</t>
  </si>
  <si>
    <t>DIBD</t>
  </si>
  <si>
    <t>DIBD QUEST GIVER SLIT</t>
  </si>
  <si>
    <t>WKWB317YA6</t>
  </si>
  <si>
    <t>TRUE BANDANA WORK TANK</t>
  </si>
  <si>
    <t>WKWB460YB1</t>
  </si>
  <si>
    <t>SO COOL SLEEVELESS CROP TEE</t>
  </si>
  <si>
    <t>WKWV02YB0</t>
  </si>
  <si>
    <t>AMERICAN HEART ROUNDED V NECK</t>
  </si>
  <si>
    <t>RED WHITE BLUE OMBRE</t>
  </si>
  <si>
    <t>WKWV02YB2</t>
  </si>
  <si>
    <t>AMERICAN LOGO ROUNDED VNECK</t>
  </si>
  <si>
    <t>WKWX19JV7</t>
  </si>
  <si>
    <t>BUDDHA SS CREW NECK</t>
  </si>
  <si>
    <t>WKWX19XO0</t>
  </si>
  <si>
    <t>BLK FRDY SS CREW TEE</t>
  </si>
  <si>
    <t>WKWY33XO9</t>
  </si>
  <si>
    <t>FOIL ALOVR DEEP V TEE</t>
  </si>
  <si>
    <t>WKWY33YB4</t>
  </si>
  <si>
    <t>BUDDHA TRIP DEEP V NECK</t>
  </si>
  <si>
    <t>WKZB385SE2</t>
  </si>
  <si>
    <t>DEEP V HENLEY W EMB LOGO</t>
  </si>
  <si>
    <t>CHEEKY</t>
  </si>
  <si>
    <t>WKZB425SE2</t>
  </si>
  <si>
    <t>EMB U SS PANELED DEEP VNK</t>
  </si>
  <si>
    <t>ASH/CHEEKY</t>
  </si>
  <si>
    <t>WKZV02YP3</t>
  </si>
  <si>
    <t>BIG HRT SS RND VNK</t>
  </si>
  <si>
    <t>WLAV02XS5</t>
  </si>
  <si>
    <t>REFLECTIVE ROUNDED VNECK TEE</t>
  </si>
  <si>
    <t>AZALEA</t>
  </si>
  <si>
    <t>WLAY33NH5</t>
  </si>
  <si>
    <t>BASIC BUDDHA SS DP VNK</t>
  </si>
  <si>
    <t>WLAY33XQ8</t>
  </si>
  <si>
    <t>LIVE TRUE DEEP V</t>
  </si>
  <si>
    <t>SHY BLUSH</t>
  </si>
  <si>
    <t>WLAY33YW3</t>
  </si>
  <si>
    <t>TR SCHL RCK SS DP VNK</t>
  </si>
  <si>
    <t>WLFB427YD0</t>
  </si>
  <si>
    <t>TR LVRS HRT CNTRT CREW TEE</t>
  </si>
  <si>
    <t>WLFB430YX2</t>
  </si>
  <si>
    <t>LOVE IS DEEP V TEE</t>
  </si>
  <si>
    <t>WLFV02YX1</t>
  </si>
  <si>
    <t>TRU BUDHA STRP R VNK</t>
  </si>
  <si>
    <t>LEMON ICE</t>
  </si>
  <si>
    <t>WLFX19HI0</t>
  </si>
  <si>
    <t>TRESE SKULL WITH CRYSTALS</t>
  </si>
  <si>
    <t>WLFX19XQ6</t>
  </si>
  <si>
    <t>TRUE OMBRE CREW</t>
  </si>
  <si>
    <t>BERYL</t>
  </si>
  <si>
    <t>WLIB409XL5</t>
  </si>
  <si>
    <t>LEGACY WESTERN WOVEN</t>
  </si>
  <si>
    <t>LEGACY</t>
  </si>
  <si>
    <t>BIG T STRETCH MARISSA PANT</t>
  </si>
  <si>
    <t>WMC592SOM</t>
  </si>
  <si>
    <t>SKINNY OM SN</t>
  </si>
  <si>
    <t>CZND</t>
  </si>
  <si>
    <t>CZND CSCDE DREAM</t>
  </si>
  <si>
    <t>CYMD</t>
  </si>
  <si>
    <t>CYMD PRINTED SKY</t>
  </si>
  <si>
    <t>CYPM</t>
  </si>
  <si>
    <t>CYPM WINTER HAZE</t>
  </si>
  <si>
    <t>WMCB379KL3</t>
  </si>
  <si>
    <t>JOGGER BROWN GOLD SN</t>
  </si>
  <si>
    <t>WMCB379OM</t>
  </si>
  <si>
    <t>JOGGER OLD MULTI SN</t>
  </si>
  <si>
    <t>CYRD</t>
  </si>
  <si>
    <t>CYRD LOVE TIDE</t>
  </si>
  <si>
    <t>WMCB379YC6</t>
  </si>
  <si>
    <t>JOGGER W MNIGHT NAT SN</t>
  </si>
  <si>
    <t>DDOM</t>
  </si>
  <si>
    <t>DDOM MYSTQUE DRM</t>
  </si>
  <si>
    <t>WMCB473XR4</t>
  </si>
  <si>
    <t>KNEE LENGTH SHORT FLAP BIGT</t>
  </si>
  <si>
    <t>WMCC100WO4</t>
  </si>
  <si>
    <t>SLIM STRAIGHT WFLP FSL SLK SN</t>
  </si>
  <si>
    <t>WMCD039KL3</t>
  </si>
  <si>
    <t>JGR BRWN GLD SN</t>
  </si>
  <si>
    <t>WMCN95EB</t>
  </si>
  <si>
    <t>LEGGING OLD MULTI WHEAT BIG</t>
  </si>
  <si>
    <t>WNRB068MO3</t>
  </si>
  <si>
    <t>BOYFRIEND UNLET HEM BROWN SN</t>
  </si>
  <si>
    <t>DGPL</t>
  </si>
  <si>
    <t>DGPL CHL IND DIS</t>
  </si>
  <si>
    <t>WNRM31TS</t>
  </si>
  <si>
    <t>OVERALL W FLAPS NATURAL SN</t>
  </si>
  <si>
    <t>DGWL</t>
  </si>
  <si>
    <t>DGWL DREAM BEAM</t>
  </si>
  <si>
    <t>WNWB323VV9</t>
  </si>
  <si>
    <t>WOOL COAT W EMBROIDERED LOGO</t>
  </si>
  <si>
    <t>WNXB205UH3</t>
  </si>
  <si>
    <t>WOA599SXD0</t>
  </si>
  <si>
    <t>SKNNY WFLP NAT BIGT W VIN RED</t>
  </si>
  <si>
    <t>WOAA817OM</t>
  </si>
  <si>
    <t>ROLLED CAPRI W FLPS OM SN</t>
  </si>
  <si>
    <t>WOAN96HE8</t>
  </si>
  <si>
    <t>LEGGING WFLP CRYSTAL LOGO</t>
  </si>
  <si>
    <t>WOB503OM</t>
  </si>
  <si>
    <t>FLARE W FLAPS OLD MULTI</t>
  </si>
  <si>
    <t>WOB564HE8</t>
  </si>
  <si>
    <t>BOOTCUT  WFLP CRYSTAL LOGO</t>
  </si>
  <si>
    <t>WOB564MU6</t>
  </si>
  <si>
    <t>BOOTCUT W FLAP EARTHWORM SN</t>
  </si>
  <si>
    <t>WOB564VI9</t>
  </si>
  <si>
    <t>BOOTCUT WFLPS NAT W TRANS CRYS</t>
  </si>
  <si>
    <t>CZPM</t>
  </si>
  <si>
    <t>CZPM KINGDM LOVE</t>
  </si>
  <si>
    <t>WOB592STS</t>
  </si>
  <si>
    <t>DGML</t>
  </si>
  <si>
    <t>DGML DREAM BEAM</t>
  </si>
  <si>
    <t>WOB592SWT1</t>
  </si>
  <si>
    <t>SKINNY 32 INS  OLD MUL SUP T</t>
  </si>
  <si>
    <t>WOB599SWO5</t>
  </si>
  <si>
    <t>SKINNY WFLP OM AZALEA</t>
  </si>
  <si>
    <t>WOBA817KB5</t>
  </si>
  <si>
    <t>CAPRI W FLAPS OLD MULTI BIG T</t>
  </si>
  <si>
    <t>DGNM</t>
  </si>
  <si>
    <t>DGNM ABOUT DAY</t>
  </si>
  <si>
    <t>WOBB068OM</t>
  </si>
  <si>
    <t>BOYFRIEND NFLPS OM SN</t>
  </si>
  <si>
    <t>DDPL</t>
  </si>
  <si>
    <t>DDPL LTTLE SPRNG</t>
  </si>
  <si>
    <t>WOBB068Y9</t>
  </si>
  <si>
    <t>BOYFRIEND NO FLPS RED ORANGE</t>
  </si>
  <si>
    <t>CZML</t>
  </si>
  <si>
    <t>CZML DSRT STARS</t>
  </si>
  <si>
    <t>WOBB473OM</t>
  </si>
  <si>
    <t>KNEE LENGTH SHORT FLAP OM SN</t>
  </si>
  <si>
    <t>WOBC100JV0</t>
  </si>
  <si>
    <t>SLIM STRGHT W FLP EART WR BIGT</t>
  </si>
  <si>
    <t>WOBJ58ZL8</t>
  </si>
  <si>
    <t>CAPRI NO FLAP NATURAL PEACH SN</t>
  </si>
  <si>
    <t>WOBN95WO3</t>
  </si>
  <si>
    <t>LEGGING NAT SUPR T W AZALEA</t>
  </si>
  <si>
    <t>WOBN95YD3</t>
  </si>
  <si>
    <t>LEGGING MNIGHT BIG T</t>
  </si>
  <si>
    <t>WOBN96VJ0</t>
  </si>
  <si>
    <t>LEGGING W FLAPS PINK NAT COMBO</t>
  </si>
  <si>
    <t>WOBN96WT3</t>
  </si>
  <si>
    <t>LEGGING WFLP CRYSTAL RK BTN</t>
  </si>
  <si>
    <t>WOBN96WU1</t>
  </si>
  <si>
    <t>LEGGING WFLP NAT WFUSCHIA BIGT</t>
  </si>
  <si>
    <t>WOE599SXT0</t>
  </si>
  <si>
    <t>SKINNY FLAP NAT SN CRSTL BUTN</t>
  </si>
  <si>
    <t>CZQL</t>
  </si>
  <si>
    <t>CZQL SMPLE DMPLS</t>
  </si>
  <si>
    <t>WOGC591WU4</t>
  </si>
  <si>
    <t>STARLET LEGGING</t>
  </si>
  <si>
    <t>CZE - SULFUR RED</t>
  </si>
  <si>
    <t>WOGN95SG0</t>
  </si>
  <si>
    <t>LEGGING OLIVE CAMO SN</t>
  </si>
  <si>
    <t>OLIVE DIQ CAMO</t>
  </si>
  <si>
    <t>WOGN95SG1</t>
  </si>
  <si>
    <t>LEGGING GREY CAMO SN</t>
  </si>
  <si>
    <t>GREY DIQ CAMO</t>
  </si>
  <si>
    <t>WOH599SBJ9</t>
  </si>
  <si>
    <t>SKINNY FLAP BLACK SN GRY LOGO</t>
  </si>
  <si>
    <t>WOHC591BJ9</t>
  </si>
  <si>
    <t>WOHC936EAG</t>
  </si>
  <si>
    <t>CAPRI BLACK SN GREY LOGO</t>
  </si>
  <si>
    <t>DGUD</t>
  </si>
  <si>
    <t>DGUD QUEST GIVER</t>
  </si>
  <si>
    <t>WOKC591EM</t>
  </si>
  <si>
    <t>STARLET LEGGING MIDNIGHT SN</t>
  </si>
  <si>
    <t>DGTM</t>
  </si>
  <si>
    <t>DGTM FLARE AWAY</t>
  </si>
  <si>
    <t>WOKC591WP5</t>
  </si>
  <si>
    <t>STARLET LEGGING WHITE SN</t>
  </si>
  <si>
    <t>WOKC591WVO</t>
  </si>
  <si>
    <t>STARLET LEGGING BROWN GOLD SN</t>
  </si>
  <si>
    <t>DAMM</t>
  </si>
  <si>
    <t>DAMM BLUE KISSES</t>
  </si>
  <si>
    <t>WOKC591YD4</t>
  </si>
  <si>
    <t>STARLET LEGGING TRUE INDIGO SN</t>
  </si>
  <si>
    <t>DDSL</t>
  </si>
  <si>
    <t>DDSL BROKEN LGHT</t>
  </si>
  <si>
    <t>WOKC935E4</t>
  </si>
  <si>
    <t>STARLET FLARE BROWN GOLD SN</t>
  </si>
  <si>
    <t>WOKC935TS</t>
  </si>
  <si>
    <t>STARLET FLARE NATURAL SN</t>
  </si>
  <si>
    <t>WOKC936TS</t>
  </si>
  <si>
    <t>CAPRI NO FLAP NATURAL SN</t>
  </si>
  <si>
    <t>WOKC936TSM</t>
  </si>
  <si>
    <t>WOL592SWP3</t>
  </si>
  <si>
    <t>SKINNY 32INS  ALLOVERGREY SN</t>
  </si>
  <si>
    <t>CZH-BLACK COATED</t>
  </si>
  <si>
    <t>WOL599SBJ9</t>
  </si>
  <si>
    <t>SKINNY W FLAPS</t>
  </si>
  <si>
    <t>CMF BLK RIPPED &amp; TORN</t>
  </si>
  <si>
    <t>WOLA817SQ7</t>
  </si>
  <si>
    <t>CAPRI WFLP STERLING GREY SN</t>
  </si>
  <si>
    <t>OPW</t>
  </si>
  <si>
    <t>CZR OPTIC WHITE</t>
  </si>
  <si>
    <t>WOLB398WP5</t>
  </si>
  <si>
    <t>SKINNY CRYSTAL ZIPPER</t>
  </si>
  <si>
    <t>CZE - OPTIC WHITE</t>
  </si>
  <si>
    <t>WOLC591TS</t>
  </si>
  <si>
    <t>STARLET LEGGING NAT SN</t>
  </si>
  <si>
    <t>DDQL</t>
  </si>
  <si>
    <t>DDQL CSCADE MOON</t>
  </si>
  <si>
    <t>WOLC711WP5</t>
  </si>
  <si>
    <t>BOMBER JACKET CRYSTAL ZIPPER</t>
  </si>
  <si>
    <t>CZE OPTIC WHITE</t>
  </si>
  <si>
    <t>WOLC936BJ9</t>
  </si>
  <si>
    <t>CAPRI NO FLAP BLACK SN</t>
  </si>
  <si>
    <t>WOLJ58WO6</t>
  </si>
  <si>
    <t>ROLLED CAPRI NAT SN CRYSTAL</t>
  </si>
  <si>
    <t>CZR LEMON ICE</t>
  </si>
  <si>
    <t>WOLN95WO6</t>
  </si>
  <si>
    <t>LEGGING NAT SN CRSTL LOGO</t>
  </si>
  <si>
    <t>CZR WHSPR BLUE</t>
  </si>
  <si>
    <t>CZR CHEEKY RED</t>
  </si>
  <si>
    <t>CZE CALIENTE</t>
  </si>
  <si>
    <t>WOLN96FN5</t>
  </si>
  <si>
    <t>LEGGING FLAP TONAL SN</t>
  </si>
  <si>
    <t>DIN TIEDYE SEAFOAM</t>
  </si>
  <si>
    <t>DIN TIEDYE FRSHPCH</t>
  </si>
  <si>
    <t>WOLN96WP1</t>
  </si>
  <si>
    <t>LEGGING W FLAP LIGHTGRAPE SN</t>
  </si>
  <si>
    <t>CZH- GRAPE COATED</t>
  </si>
  <si>
    <t>WOLN96WP2</t>
  </si>
  <si>
    <t>LEGGING W FLAP DARK OLIVE SN</t>
  </si>
  <si>
    <t>CZH-OLIVE COATED</t>
  </si>
  <si>
    <t>WOLN96YS2</t>
  </si>
  <si>
    <t>LEGGING WFLPS TR INDIGO CT SN</t>
  </si>
  <si>
    <t>WOY503TT3</t>
  </si>
  <si>
    <t>FLARE FLAP MICA GOLD SN</t>
  </si>
  <si>
    <t>DGSM</t>
  </si>
  <si>
    <t>DGSM EVER SHARE</t>
  </si>
  <si>
    <t>WOY564OM</t>
  </si>
  <si>
    <t>BOOTCUT W FLAP OM SN</t>
  </si>
  <si>
    <t>WOY564Y9</t>
  </si>
  <si>
    <t>BOOTCUT W FLAP RED ORANGE SN</t>
  </si>
  <si>
    <t>WOY592SOM</t>
  </si>
  <si>
    <t>DGZM</t>
  </si>
  <si>
    <t>DGZM HAZE LIGHT</t>
  </si>
  <si>
    <t>WOY599STS</t>
  </si>
  <si>
    <t>SKINNY W FLAP NATURAL SN</t>
  </si>
  <si>
    <t>DHBD</t>
  </si>
  <si>
    <t>DHBD ISLAND SONG</t>
  </si>
  <si>
    <t>WOY599SZM9</t>
  </si>
  <si>
    <t>SKINNY FLAP NATURAL SUPER T</t>
  </si>
  <si>
    <t>WOY599SZN1</t>
  </si>
  <si>
    <t>SKINNY FLAP EARTHWORM BIGT</t>
  </si>
  <si>
    <t>DGKD</t>
  </si>
  <si>
    <t>DGKD TMLS PRMISE</t>
  </si>
  <si>
    <t>WOYC100KL3</t>
  </si>
  <si>
    <t>SLIM STRAIGHT W FLAP BR GLD SN</t>
  </si>
  <si>
    <t>WOYC100OM</t>
  </si>
  <si>
    <t>SLIM STRAIGHT W FLAP OM SN</t>
  </si>
  <si>
    <t>WOYD083EM</t>
  </si>
  <si>
    <t>MIDCUTOFF MIDNIGHT SN</t>
  </si>
  <si>
    <t>WOYD083KL3</t>
  </si>
  <si>
    <t>MID CUT OFF SHORT</t>
  </si>
  <si>
    <t>WOYD083OM</t>
  </si>
  <si>
    <t>MID CUT OFF SHORT OLD MULTI SN</t>
  </si>
  <si>
    <t>WOYD084TS</t>
  </si>
  <si>
    <t>BOOTCUT NO FLPS NATURAL SN</t>
  </si>
  <si>
    <t>WOYD084Z14</t>
  </si>
  <si>
    <t>BOOTCUT NO FLAP NATURAL BIG T</t>
  </si>
  <si>
    <t>DGRD</t>
  </si>
  <si>
    <t>DGRD STAR CHASER</t>
  </si>
  <si>
    <t>WOYD087OM</t>
  </si>
  <si>
    <t>BOYFRIEND FLAP OM SN</t>
  </si>
  <si>
    <t>WOYD088ZN3</t>
  </si>
  <si>
    <t>SLIM STRAIGHT GLD BRWN SN</t>
  </si>
  <si>
    <t>DGQM</t>
  </si>
  <si>
    <t>DGQM PRHPS LVE D</t>
  </si>
  <si>
    <t>WOYG10OM</t>
  </si>
  <si>
    <t>CUTOFF SHORT FLAP OM SN</t>
  </si>
  <si>
    <t>WOYG10ZN4</t>
  </si>
  <si>
    <t>CUTOFF SHORT FLAP MIDNIGHT SN</t>
  </si>
  <si>
    <t>DGJL</t>
  </si>
  <si>
    <t>DGJL WINTER DSRT</t>
  </si>
  <si>
    <t>WOYN95TS</t>
  </si>
  <si>
    <t>DGVD</t>
  </si>
  <si>
    <t>DGVD TMLS PSE SL</t>
  </si>
  <si>
    <t>WOYN95ZN0</t>
  </si>
  <si>
    <t>LEGGING NATUR SN CRYSTAL LOGO</t>
  </si>
  <si>
    <t>WOYN95ZN2</t>
  </si>
  <si>
    <t>LEGGING NATURAL SUPER T</t>
  </si>
  <si>
    <t>WOYN96KB5</t>
  </si>
  <si>
    <t>SUPER SKINNY WFLAP OM BIG T</t>
  </si>
  <si>
    <t>WOYN96OM</t>
  </si>
  <si>
    <t>LEGGING W FLAP OM SN</t>
  </si>
  <si>
    <t>WOYZ21EB</t>
  </si>
  <si>
    <t>MIDCUTOFF FLAP OM WHEAT BIG T</t>
  </si>
  <si>
    <t>WOYZ21TS</t>
  </si>
  <si>
    <t>MID CUTOFF W FLAP NATURAL SN</t>
  </si>
  <si>
    <t>WOZG11FN5</t>
  </si>
  <si>
    <t>CUTOFF SHORT TONAL SN</t>
  </si>
  <si>
    <t>WOZQ70SQ7</t>
  </si>
  <si>
    <t>BASIC JACKET STERLING GREY SN</t>
  </si>
  <si>
    <t>CZE-OPTIC WHITE</t>
  </si>
  <si>
    <t>WPOU33SD1</t>
  </si>
  <si>
    <t>VNTG RGLN TEE</t>
  </si>
  <si>
    <t>WPOV02KW4</t>
  </si>
  <si>
    <t>GLITTER BUDDHA LOGO VNECK</t>
  </si>
  <si>
    <t>WPOY33XN1</t>
  </si>
  <si>
    <t>ALOVR CHTA VNK TEE</t>
  </si>
  <si>
    <t>WQXB403MU3</t>
  </si>
  <si>
    <t>MED WASH LYOCL SHIRT</t>
  </si>
  <si>
    <t>MED WASH</t>
  </si>
  <si>
    <t>WQXB453MU3</t>
  </si>
  <si>
    <t>DREAM WASH SLVLESS BUTTON UP</t>
  </si>
  <si>
    <t>DREAM WASH</t>
  </si>
  <si>
    <t>WQXB456SE2</t>
  </si>
  <si>
    <t>STRAPPY A LINE TANK</t>
  </si>
  <si>
    <t>WQXB464SE2</t>
  </si>
  <si>
    <t>EMBROIDERY LOGO ROMPER</t>
  </si>
  <si>
    <t>ELECTRIC WASH</t>
  </si>
  <si>
    <t>WQXB465MU3</t>
  </si>
  <si>
    <t>MED WASH LYOCL SHORT</t>
  </si>
  <si>
    <t>WQXB465SE2</t>
  </si>
  <si>
    <t>EMBROIDERY LOGO RUNNER SHORT</t>
  </si>
  <si>
    <t>WQXB466MU3</t>
  </si>
  <si>
    <t>MED WASH LYOCL DRESS</t>
  </si>
  <si>
    <t>WTXB428LV0</t>
  </si>
  <si>
    <t>CRAFTED WITH PRIDE PULLOVER</t>
  </si>
  <si>
    <t>WUSB247WU8</t>
  </si>
  <si>
    <t>LS CLR BLK CHMBRY</t>
  </si>
  <si>
    <t>INDIGO CHMBRY</t>
  </si>
  <si>
    <t>AZALEA CHMBRY</t>
  </si>
  <si>
    <t>WVEB365XN5</t>
  </si>
  <si>
    <t>CHTA TR FTBL TEE</t>
  </si>
  <si>
    <t>WVEV02XM9</t>
  </si>
  <si>
    <t>FNST QLTY RND VNK</t>
  </si>
  <si>
    <t>WVEV02XN2</t>
  </si>
  <si>
    <t>BRND CHTA RND VNK</t>
  </si>
  <si>
    <t>WVEV02XN4</t>
  </si>
  <si>
    <t>FDED OUT RND VNK</t>
  </si>
  <si>
    <t>WVEV02XN6</t>
  </si>
  <si>
    <t>WD BDHA RND VNK</t>
  </si>
  <si>
    <t>GRAPE</t>
  </si>
  <si>
    <t>WVEX19XN0</t>
  </si>
  <si>
    <t>DJA VU CREW TEE</t>
  </si>
  <si>
    <t>WVEY33NH5</t>
  </si>
  <si>
    <t>CLASSIC LOGO DEEP V NECK TEE</t>
  </si>
  <si>
    <t>WVEY33SX5</t>
  </si>
  <si>
    <t>SHOE SHN DP VNK</t>
  </si>
  <si>
    <t>WVGC937BJ9</t>
  </si>
  <si>
    <t>MID SHORT BLACK SN ALL GREY</t>
  </si>
  <si>
    <t>DGOD</t>
  </si>
  <si>
    <t>DGOD EVER US</t>
  </si>
  <si>
    <t>5 PKT CAMO LEGGING W FLAP</t>
  </si>
  <si>
    <t>WXBB182MU3</t>
  </si>
  <si>
    <t>HOT TAMALE LS WSTRN FLNL</t>
  </si>
  <si>
    <t>HOT TAMALE</t>
  </si>
  <si>
    <t>WXGB182MU3</t>
  </si>
  <si>
    <t>HRNGBONE LS WSTRN WVN</t>
  </si>
  <si>
    <t>MIDNIGHT MOON</t>
  </si>
  <si>
    <t>HUNTINGTON</t>
  </si>
  <si>
    <t>WXMB348VV8</t>
  </si>
  <si>
    <t>APPLIQUE VARSITY JACKET</t>
  </si>
  <si>
    <t>BLACK / CHARCOAL</t>
  </si>
  <si>
    <t>WYCB131YY7</t>
  </si>
  <si>
    <t>CRYSTAL HORSESHOE HOODIE</t>
  </si>
  <si>
    <t>WYCB428SE2</t>
  </si>
  <si>
    <t>BASEBALL STITCH PULLOVER</t>
  </si>
  <si>
    <t>DARK VIOLET</t>
  </si>
  <si>
    <t>WYIB403MU3</t>
  </si>
  <si>
    <t>DN WOVEN WSTN SHIRT</t>
  </si>
  <si>
    <t>WYMB403MU3</t>
  </si>
  <si>
    <t>PARTING SKY WOVEN SHIRT</t>
  </si>
  <si>
    <t>PARTING SKY</t>
  </si>
  <si>
    <t>WYMB409XL5</t>
  </si>
  <si>
    <t>WILDOATS WESTERN SHIRT</t>
  </si>
  <si>
    <t>WILD OATS</t>
  </si>
  <si>
    <t>WYOGAMAT</t>
  </si>
  <si>
    <t>YOGA MAT</t>
  </si>
  <si>
    <t>WYYB287XR3</t>
  </si>
  <si>
    <t>HRSHOE LGNG FLDVR LGNG</t>
  </si>
  <si>
    <t>CHARCOAL / GRAPE</t>
  </si>
  <si>
    <t>WYYB410XR2</t>
  </si>
  <si>
    <t>HRSHOE TOP CNTR JKT</t>
  </si>
  <si>
    <t>WYYB429SE2</t>
  </si>
  <si>
    <t>EMB LGO BBLL LGING</t>
  </si>
  <si>
    <t>WOMENS LS RAGLAN</t>
  </si>
  <si>
    <t>WZGB101XZ3</t>
  </si>
  <si>
    <t>WZGB242XZ4</t>
  </si>
  <si>
    <t>CLR BLK JOGGER</t>
  </si>
  <si>
    <t>WZGB399XN0</t>
  </si>
  <si>
    <t>CRSTL ZIP CLSC PLVR</t>
  </si>
  <si>
    <t>WZGB400XH1</t>
  </si>
  <si>
    <t>CRYSTL ZIP SWTPNT</t>
  </si>
  <si>
    <t>Y16GROMBLT</t>
  </si>
  <si>
    <t>GROMMET STUD BELT</t>
  </si>
  <si>
    <t>Y16PERFBLT</t>
  </si>
  <si>
    <t>PERFORATED BUCKLE BELT</t>
  </si>
  <si>
    <t>Y16RDTRBLT</t>
  </si>
  <si>
    <t>NAILHEAD STUD TR BELT</t>
  </si>
  <si>
    <t>YBIGTDUFFL</t>
  </si>
  <si>
    <t>BIG T GYM DUFFLE</t>
  </si>
  <si>
    <t>YCBYDUFFLE</t>
  </si>
  <si>
    <t>TRUE RELIGION CHAMBRAY DUFFLE</t>
  </si>
  <si>
    <t>YDENIMTOTE</t>
  </si>
  <si>
    <t>TR ARCH LOGO DENIM TOTE</t>
  </si>
  <si>
    <t>YMONODUFFL</t>
  </si>
  <si>
    <t>MONOGRAM WEEKENDER DUFFLE</t>
  </si>
  <si>
    <t>YPOOLFLOAT</t>
  </si>
  <si>
    <t>BUDDHA FLAG POOL FLOAT</t>
  </si>
  <si>
    <t>RED / WHITE / BLUE</t>
  </si>
  <si>
    <t>TR136HD19IND</t>
  </si>
  <si>
    <t>TR136JN106SWH</t>
  </si>
  <si>
    <t>TR136JN107RGY</t>
  </si>
  <si>
    <t>TR136LK19CST</t>
  </si>
  <si>
    <t>TR136LK20HGY</t>
  </si>
  <si>
    <t>TR136LK22HGY</t>
  </si>
  <si>
    <t>TR136LK23HGY</t>
  </si>
  <si>
    <t>TR136SP24IND</t>
  </si>
  <si>
    <t>TR136TE104WHT</t>
  </si>
  <si>
    <t>TR136TE104</t>
  </si>
  <si>
    <t>TR MONOGRAM TEE</t>
  </si>
  <si>
    <t>TR136TE117BOR1</t>
  </si>
  <si>
    <t>TR136TE119MDN</t>
  </si>
  <si>
    <t>TR136TE121CAC</t>
  </si>
  <si>
    <t>TR136TE129WHT</t>
  </si>
  <si>
    <t>TR136TE129</t>
  </si>
  <si>
    <t>MASCOT TEE</t>
  </si>
  <si>
    <t>TR136WB09CMT</t>
  </si>
  <si>
    <t>TR226DR04OAH</t>
  </si>
  <si>
    <t>TR226HD12ARW</t>
  </si>
  <si>
    <t>TR226HD14CLR</t>
  </si>
  <si>
    <t>TR226JK08GLS</t>
  </si>
  <si>
    <t>TR226JN70JBL1</t>
  </si>
  <si>
    <t>TR226JN90WHT</t>
  </si>
  <si>
    <t>TR226KS13CLR</t>
  </si>
  <si>
    <t>TR226LG03GLS</t>
  </si>
  <si>
    <t>TR226SH18SKL</t>
  </si>
  <si>
    <t>TR226SH19SGH</t>
  </si>
  <si>
    <t>TR226SH20RTE</t>
  </si>
  <si>
    <t>TR226SH22GLS</t>
  </si>
  <si>
    <t>TR226SK09ARW</t>
  </si>
  <si>
    <t>TR226SK10CLR</t>
  </si>
  <si>
    <t>TR226SK10MNT</t>
  </si>
  <si>
    <t>TR226SK11CLR</t>
  </si>
  <si>
    <t>TR226SK12OAH</t>
  </si>
  <si>
    <t>TR226SK13HGY</t>
  </si>
  <si>
    <t>TR226SP15ARW</t>
  </si>
  <si>
    <t>TR226TE111WHT</t>
  </si>
  <si>
    <t>TR226TE41ARW</t>
  </si>
  <si>
    <t>TR226TE41CLR</t>
  </si>
  <si>
    <t>TR226TE41MHG</t>
  </si>
  <si>
    <t>TR236DR07CHM1</t>
  </si>
  <si>
    <t>TR236DR08BLK</t>
  </si>
  <si>
    <t>TR236JN101BRZ</t>
  </si>
  <si>
    <t>TR236JN103BKB</t>
  </si>
  <si>
    <t>TR236JN105SUP</t>
  </si>
  <si>
    <t>TR236LG07BLO1</t>
  </si>
  <si>
    <t>TR236LK13BVT</t>
  </si>
  <si>
    <t>TR236LK14MNE</t>
  </si>
  <si>
    <t>TR236LK15HGY</t>
  </si>
  <si>
    <t>TR236LK16WHT</t>
  </si>
  <si>
    <t>TR236LK17HGY</t>
  </si>
  <si>
    <t>TR236LK18IND</t>
  </si>
  <si>
    <t>TR236LK26POU</t>
  </si>
  <si>
    <t>TR236SK22MDN</t>
  </si>
  <si>
    <t>TR236SK23WHT</t>
  </si>
  <si>
    <t>TR236SK24BLK</t>
  </si>
  <si>
    <t>TR236SP30BLK</t>
  </si>
  <si>
    <t>TR236SP30</t>
  </si>
  <si>
    <t>TR BRANDED SWEATPANT</t>
  </si>
  <si>
    <t>TR236SP30FIA</t>
  </si>
  <si>
    <t>TR236TE156HGY</t>
  </si>
  <si>
    <t>TR236TE156</t>
  </si>
  <si>
    <t>BOLD TR RAGLAN TEE</t>
  </si>
  <si>
    <t>TR236TE158HGY</t>
  </si>
  <si>
    <t>TR236TE158</t>
  </si>
  <si>
    <t>BUBBLE PRINT TEE</t>
  </si>
  <si>
    <t>TR236TE160WHT</t>
  </si>
  <si>
    <t>TR236TE160</t>
  </si>
  <si>
    <t>SHOES AND STARS TEE</t>
  </si>
  <si>
    <t>TR236TE163BLK</t>
  </si>
  <si>
    <t>TR236TE163</t>
  </si>
  <si>
    <t>BUDDHA RAGLAN TEE</t>
  </si>
  <si>
    <t>TR236TE163WHT</t>
  </si>
  <si>
    <t>M0W8U24EBB4100</t>
  </si>
  <si>
    <t>M0W8U24EBB</t>
  </si>
  <si>
    <t>OLD FASHIONED CREW NECK TEE</t>
  </si>
  <si>
    <t>M16FD21D1GDFJD</t>
  </si>
  <si>
    <t>M16FF07B8G1378</t>
  </si>
  <si>
    <t>M16FF07B8G1383</t>
  </si>
  <si>
    <t>M16FF07B8G4522</t>
  </si>
  <si>
    <t>M16FF07B8G6064</t>
  </si>
  <si>
    <t>M16FF11B8G1378</t>
  </si>
  <si>
    <t>M16FF11B8G1383</t>
  </si>
  <si>
    <t>M16FF11B8G4143</t>
  </si>
  <si>
    <t>M16FF17B8G1106</t>
  </si>
  <si>
    <t>M16FF17B8G1278</t>
  </si>
  <si>
    <t>M16FF17B8G4143</t>
  </si>
  <si>
    <t>M16FF18B8G1106</t>
  </si>
  <si>
    <t>M16FF18B8G1278</t>
  </si>
  <si>
    <t>M16FF18B8G4143</t>
  </si>
  <si>
    <t>M16FF23B8G4143</t>
  </si>
  <si>
    <t>M16FF37B8G1106</t>
  </si>
  <si>
    <t>M16FF37B8G1278</t>
  </si>
  <si>
    <t>M16FF37B8G4143</t>
  </si>
  <si>
    <t>M16FJ31C3G1001</t>
  </si>
  <si>
    <t>M16FJ31C3G3190</t>
  </si>
  <si>
    <t>M16FJ33C3G1001</t>
  </si>
  <si>
    <t>M16FJ33C3G3190</t>
  </si>
  <si>
    <t>M16FK57C9G1001</t>
  </si>
  <si>
    <t>M16FK57C9G4922</t>
  </si>
  <si>
    <t>M16FK58C9G1001</t>
  </si>
  <si>
    <t>M16FK58C9G4922</t>
  </si>
  <si>
    <t>M16FT05G3G6474</t>
  </si>
  <si>
    <t>M16FT06G3G1378</t>
  </si>
  <si>
    <t>M16FT08E6G6064</t>
  </si>
  <si>
    <t>M16FT09G3G1378</t>
  </si>
  <si>
    <t>M16FT09G3G2000</t>
  </si>
  <si>
    <t>M16FT09G3G4522</t>
  </si>
  <si>
    <t>M16FT10C6G1383</t>
  </si>
  <si>
    <t>M16FT10C6G4522</t>
  </si>
  <si>
    <t>M16FT13E6G1278</t>
  </si>
  <si>
    <t>M16FT13E6G1700</t>
  </si>
  <si>
    <t>M16FT14C9G1106</t>
  </si>
  <si>
    <t>M16FT14C9G1700</t>
  </si>
  <si>
    <t>M16FT14C9G3106</t>
  </si>
  <si>
    <t>M16FT20E6G4143</t>
  </si>
  <si>
    <t>M16FT21E6G1278</t>
  </si>
  <si>
    <t>M16FT21E6G4143</t>
  </si>
  <si>
    <t>M16FT22C6G1106</t>
  </si>
  <si>
    <t>M16FT22C6G4143</t>
  </si>
  <si>
    <t>M16FT25D9G1700</t>
  </si>
  <si>
    <t>M16FT25D9G3106</t>
  </si>
  <si>
    <t>M16FT26C9G6474</t>
  </si>
  <si>
    <t>M16FT27D9G6474</t>
  </si>
  <si>
    <t>M16FT34F1G4143</t>
  </si>
  <si>
    <t>M16HF15D7G1285</t>
  </si>
  <si>
    <t>M16HF15D7G</t>
  </si>
  <si>
    <t>M16HF15D7G4143</t>
  </si>
  <si>
    <t>M16HT10G3G3106</t>
  </si>
  <si>
    <t>M16HT10G3G</t>
  </si>
  <si>
    <t>CAMO LS</t>
  </si>
  <si>
    <t>M16HT10G3G4143</t>
  </si>
  <si>
    <t>M16HY01C7G1162</t>
  </si>
  <si>
    <t>M16HY01C7G</t>
  </si>
  <si>
    <t>M41006T0341106</t>
  </si>
  <si>
    <t>M41006T034</t>
  </si>
  <si>
    <t>SKULL TEE</t>
  </si>
  <si>
    <t>M4O8U24EAN6003</t>
  </si>
  <si>
    <t>M4O8U24EAN</t>
  </si>
  <si>
    <t>THE OG CREW NECK TEE</t>
  </si>
  <si>
    <t>M4O8U24ECJ1700</t>
  </si>
  <si>
    <t>M4O8U24ECJ</t>
  </si>
  <si>
    <t>THE ORIGINALS CREW NECK TEE</t>
  </si>
  <si>
    <t>M4O8U24EDP6000</t>
  </si>
  <si>
    <t>M4O8U24EDP</t>
  </si>
  <si>
    <t>SAFETY CREW NECK TEE</t>
  </si>
  <si>
    <t>M4O8U24LJ96000</t>
  </si>
  <si>
    <t>M4O8U24LJ9</t>
  </si>
  <si>
    <t>M4O8Z65EAV1708</t>
  </si>
  <si>
    <t>M4O8Z65EAV</t>
  </si>
  <si>
    <t>STENCIL SHIELD FTBL CREW TEE</t>
  </si>
  <si>
    <t>M4OA595EAM1708</t>
  </si>
  <si>
    <t>M4OA595EAM</t>
  </si>
  <si>
    <t>SKULLS SS RAGLAN TEE</t>
  </si>
  <si>
    <t>M4OB257EGT4188</t>
  </si>
  <si>
    <t>M4OB257EGT</t>
  </si>
  <si>
    <t>UNION CREW SS FOOTBALL TEE</t>
  </si>
  <si>
    <t>TRUE NVY / GLD</t>
  </si>
  <si>
    <t>M4OH025EBD1001</t>
  </si>
  <si>
    <t>M4OH025EBD</t>
  </si>
  <si>
    <t>TR READY ELONGATED LS CREW NK</t>
  </si>
  <si>
    <t>M5OA595EAX1518</t>
  </si>
  <si>
    <t>M5OA595EAX</t>
  </si>
  <si>
    <t>ROCK TOUR SS RAGLAN TEE</t>
  </si>
  <si>
    <t>M5OA595EAY3000</t>
  </si>
  <si>
    <t>M5OA595EAY</t>
  </si>
  <si>
    <t>STRIKE FORCE SS RAGLAN TEE</t>
  </si>
  <si>
    <t>H SKT PRK/SKT PRK</t>
  </si>
  <si>
    <t>M5OB257EGT1518</t>
  </si>
  <si>
    <t>M5OB257EGT</t>
  </si>
  <si>
    <t>HTHR GRY / BLK</t>
  </si>
  <si>
    <t>M5OH025EBD1501</t>
  </si>
  <si>
    <t>M5OH025EBD</t>
  </si>
  <si>
    <t>M859NYJ8DFMM</t>
  </si>
  <si>
    <t>M859NYL2DFVM</t>
  </si>
  <si>
    <t>M859NYL91001</t>
  </si>
  <si>
    <t>M859NYL91200</t>
  </si>
  <si>
    <t>M859NYM9DCAL</t>
  </si>
  <si>
    <t>M859NZA4DFUM</t>
  </si>
  <si>
    <t>M859NZP3DKTM</t>
  </si>
  <si>
    <t>M859NZP3</t>
  </si>
  <si>
    <t>DKTM</t>
  </si>
  <si>
    <t>DKTM MENDED BRWL</t>
  </si>
  <si>
    <t>MA451C0361106</t>
  </si>
  <si>
    <t>MA451C0364000</t>
  </si>
  <si>
    <t>MA451C0371106</t>
  </si>
  <si>
    <t>MA451C0381800</t>
  </si>
  <si>
    <t>MA451C0391106</t>
  </si>
  <si>
    <t>MA451NP0316064</t>
  </si>
  <si>
    <t>MA452C0321501</t>
  </si>
  <si>
    <t>MA473YK7DFSM</t>
  </si>
  <si>
    <t>MAXH038RI2S</t>
  </si>
  <si>
    <t>MAXH038RI</t>
  </si>
  <si>
    <t>MOTO JACKET DK CONTINENT SN</t>
  </si>
  <si>
    <t>MB009AU11106</t>
  </si>
  <si>
    <t>MB009AU1</t>
  </si>
  <si>
    <t>SWEAT PANTS</t>
  </si>
  <si>
    <t>MB009AU21501</t>
  </si>
  <si>
    <t>MB009AU2</t>
  </si>
  <si>
    <t>MB252YL3DFWM</t>
  </si>
  <si>
    <t>MB439YJ3DFJD</t>
  </si>
  <si>
    <t>MB440YJ3DFJD</t>
  </si>
  <si>
    <t>MB441YJ4DFLM</t>
  </si>
  <si>
    <t>MC088YM4DGFD</t>
  </si>
  <si>
    <t>MC444BB51001</t>
  </si>
  <si>
    <t>MC444BB5</t>
  </si>
  <si>
    <t>MC444XM36000</t>
  </si>
  <si>
    <t>PLAID WESTERN SHIRT NM</t>
  </si>
  <si>
    <t>MC444XW36000</t>
  </si>
  <si>
    <t>MC444YQ34143</t>
  </si>
  <si>
    <t>MC451N0261001</t>
  </si>
  <si>
    <t>MC451XV91106</t>
  </si>
  <si>
    <t>MC5006XM21001</t>
  </si>
  <si>
    <t>MC5006XM2</t>
  </si>
  <si>
    <t>DESTROYED V NECK SWEATSHIRT</t>
  </si>
  <si>
    <t>MC565C0311106</t>
  </si>
  <si>
    <t>MC565C0311800</t>
  </si>
  <si>
    <t>MC573YK8DFTM</t>
  </si>
  <si>
    <t>MC718VR5CVLD</t>
  </si>
  <si>
    <t>MC723XU61501</t>
  </si>
  <si>
    <t>MD015XU61501</t>
  </si>
  <si>
    <t>MD056ZS5DCSD</t>
  </si>
  <si>
    <t>MD056ZS6DDED</t>
  </si>
  <si>
    <t>ME08NYL7DFZD</t>
  </si>
  <si>
    <t>ME08NYM1DGCD</t>
  </si>
  <si>
    <t>ME08NZL9DJTD</t>
  </si>
  <si>
    <t>ME08NZL9</t>
  </si>
  <si>
    <t>DJTD</t>
  </si>
  <si>
    <t>DJTD MDNGHT CLDS</t>
  </si>
  <si>
    <t>MJ19NYL2DFVM</t>
  </si>
  <si>
    <t>MJ19NZM9DJUM</t>
  </si>
  <si>
    <t>MJ19NZM9</t>
  </si>
  <si>
    <t>DJUM</t>
  </si>
  <si>
    <t>DJUM MNDED MSFIT</t>
  </si>
  <si>
    <t>MJ60NYJ8DFMM</t>
  </si>
  <si>
    <t>MJ60NYK2DFPM</t>
  </si>
  <si>
    <t>MJ60NYN0DFSM</t>
  </si>
  <si>
    <t>MNR859SKB5DHQM</t>
  </si>
  <si>
    <t>MNR859SY9DHCD</t>
  </si>
  <si>
    <t>MONB390MU34031</t>
  </si>
  <si>
    <t>MONB390MU3</t>
  </si>
  <si>
    <t>WESTERN SHIRT W LOGO STITCH</t>
  </si>
  <si>
    <t>ALMA MATER</t>
  </si>
  <si>
    <t>MONB390MU38019</t>
  </si>
  <si>
    <t>VOYAGE</t>
  </si>
  <si>
    <t>MONH067MU38000</t>
  </si>
  <si>
    <t>MONH067MU3</t>
  </si>
  <si>
    <t>LS UTILITY SHIRT W LOGO STITCH</t>
  </si>
  <si>
    <t>BOUND</t>
  </si>
  <si>
    <t>MR62NYJ5DFJD</t>
  </si>
  <si>
    <t>MX78U24EBC1001</t>
  </si>
  <si>
    <t>MX78U24EBC</t>
  </si>
  <si>
    <t>BUDDHA APPROVED CREW NECK TEE</t>
  </si>
  <si>
    <t>MX78U24EBC4100</t>
  </si>
  <si>
    <t>TUS1600251001</t>
  </si>
  <si>
    <t>TUS1600252602</t>
  </si>
  <si>
    <t>TUS1600261001</t>
  </si>
  <si>
    <t>TUS1600281001</t>
  </si>
  <si>
    <t>W16FD14G1GDFCB</t>
  </si>
  <si>
    <t>W16FD30A1GDEMM</t>
  </si>
  <si>
    <t>W16FD50D1GDFUM</t>
  </si>
  <si>
    <t>W16FF04B8G1378</t>
  </si>
  <si>
    <t>W16FF04B8G6064</t>
  </si>
  <si>
    <t>W16FF06B8G1378</t>
  </si>
  <si>
    <t>W16FF08B8G1106</t>
  </si>
  <si>
    <t>W16FF08B8G1378</t>
  </si>
  <si>
    <t>W16FF09B8G1106</t>
  </si>
  <si>
    <t>W16FF10H5G1106</t>
  </si>
  <si>
    <t>W16FF10H5G3106</t>
  </si>
  <si>
    <t>W16FF10H5G4143</t>
  </si>
  <si>
    <t>W16FF13B8G1378</t>
  </si>
  <si>
    <t>W16FF15H5G1106</t>
  </si>
  <si>
    <t>W16FF16B8G1106</t>
  </si>
  <si>
    <t>W16FF16B8G6064</t>
  </si>
  <si>
    <t>W16FF25D2G1106</t>
  </si>
  <si>
    <t>W16FF25D2G1383</t>
  </si>
  <si>
    <t>W16FF25D2G6807</t>
  </si>
  <si>
    <t>W16FF26D2G1106</t>
  </si>
  <si>
    <t>W16FF26D2G1383</t>
  </si>
  <si>
    <t>W16FF27D2G1106</t>
  </si>
  <si>
    <t>W16FF27D2G1383</t>
  </si>
  <si>
    <t>W16FF27D2G6807</t>
  </si>
  <si>
    <t>W16FF44C8G1383</t>
  </si>
  <si>
    <t>W16FF45C8G6276</t>
  </si>
  <si>
    <t>W16FJ28C3G3106</t>
  </si>
  <si>
    <t>W16FJ30C3G1001</t>
  </si>
  <si>
    <t>W16FK01N1G1106</t>
  </si>
  <si>
    <t>W16FK01N1G1285</t>
  </si>
  <si>
    <t>W16FK47C9G1001</t>
  </si>
  <si>
    <t>W16FK50C9G1370</t>
  </si>
  <si>
    <t>W16FP24C5G4926</t>
  </si>
  <si>
    <t>W16FS62A7G4922</t>
  </si>
  <si>
    <t>W16FS63A7G2602</t>
  </si>
  <si>
    <t>W16FS66A7G1370</t>
  </si>
  <si>
    <t>W16FT11B9G1378</t>
  </si>
  <si>
    <t>W16FT11B9G1700</t>
  </si>
  <si>
    <t>W16FT14G4G1106</t>
  </si>
  <si>
    <t>W16FT14G4G1700</t>
  </si>
  <si>
    <t>W16FT18B9G6807</t>
  </si>
  <si>
    <t>W16FT24G4G1106</t>
  </si>
  <si>
    <t>W16FT24G4G1700</t>
  </si>
  <si>
    <t>W16FT29M1G1106</t>
  </si>
  <si>
    <t>W16FT29M1G1285</t>
  </si>
  <si>
    <t>W16FT42C7G1383</t>
  </si>
  <si>
    <t>W16FT43C7G1383</t>
  </si>
  <si>
    <t>W16FT43C7G4922</t>
  </si>
  <si>
    <t>W16HF05H5G1106</t>
  </si>
  <si>
    <t>W16HF05H5G</t>
  </si>
  <si>
    <t>CREW SWEAT HORSESHOE</t>
  </si>
  <si>
    <t>W16HF05H5G3106</t>
  </si>
  <si>
    <t>W16HF05H5G4143</t>
  </si>
  <si>
    <t>W16HF17H5G1106</t>
  </si>
  <si>
    <t>W16HF17H5G</t>
  </si>
  <si>
    <t>W16HF17H5G3106</t>
  </si>
  <si>
    <t>W16HF17H5G4143</t>
  </si>
  <si>
    <t>W16HT13G4G1106</t>
  </si>
  <si>
    <t>W16HT13G4G</t>
  </si>
  <si>
    <t>RELAX SHIRT TRUE</t>
  </si>
  <si>
    <t>W16HT13G4G1700</t>
  </si>
  <si>
    <t>W16HT13G4G3106</t>
  </si>
  <si>
    <t>W16HT13G4G4143</t>
  </si>
  <si>
    <t>W16HT14G4G4143</t>
  </si>
  <si>
    <t>W16HT14G4G</t>
  </si>
  <si>
    <t>7 8 SLEEVES</t>
  </si>
  <si>
    <t>W16HY07D1G1001</t>
  </si>
  <si>
    <t>W16HY07D1G</t>
  </si>
  <si>
    <t>DENIM LEATHER JACKET W FRINGES</t>
  </si>
  <si>
    <t>W16SF70D3G4922</t>
  </si>
  <si>
    <t>W5OB220EBW1784</t>
  </si>
  <si>
    <t>W5OB220EBW</t>
  </si>
  <si>
    <t>TRUE PEACE LS HENLEY</t>
  </si>
  <si>
    <t>WHITE / RASPBERRY</t>
  </si>
  <si>
    <t>W5OB220EBX1518</t>
  </si>
  <si>
    <t>W5OB220EBX</t>
  </si>
  <si>
    <t>TRUE SMITH LS HENLEY</t>
  </si>
  <si>
    <t>HTHR ASH/HTHR BLK</t>
  </si>
  <si>
    <t>W5OH014EBI1700</t>
  </si>
  <si>
    <t>W5OH014EBI</t>
  </si>
  <si>
    <t>FLORAL STAYTRUE 3QTR SLV HENLY</t>
  </si>
  <si>
    <t>W5OX19EBO2690</t>
  </si>
  <si>
    <t>W5OX19EBO</t>
  </si>
  <si>
    <t>HEATHER ASH</t>
  </si>
  <si>
    <t>WB086YF4DEWD</t>
  </si>
  <si>
    <t>WB091YF6DEYM</t>
  </si>
  <si>
    <t>WB092YI0DEPL</t>
  </si>
  <si>
    <t>WB092YI2CNPD</t>
  </si>
  <si>
    <t>WB092ZB9SDEOM</t>
  </si>
  <si>
    <t>WB092ZH8SDFGG</t>
  </si>
  <si>
    <t>WB092ZH8S</t>
  </si>
  <si>
    <t>DFGG</t>
  </si>
  <si>
    <t>DFGG BLACK ASH D</t>
  </si>
  <si>
    <t>WC012CBDSDKXM</t>
  </si>
  <si>
    <t>WC012CBDS</t>
  </si>
  <si>
    <t>DKXM</t>
  </si>
  <si>
    <t>DKXM DUSTY HAZE</t>
  </si>
  <si>
    <t>WC358YY01001</t>
  </si>
  <si>
    <t>WC363J0966149</t>
  </si>
  <si>
    <t>WC389YU54094</t>
  </si>
  <si>
    <t>WC389YU56006</t>
  </si>
  <si>
    <t>WC544J1121700</t>
  </si>
  <si>
    <t>WC544J3021700</t>
  </si>
  <si>
    <t>WC544J302</t>
  </si>
  <si>
    <t>TYPE BUDDHA CREW</t>
  </si>
  <si>
    <t>WC547CBSSDEWD</t>
  </si>
  <si>
    <t>WC547YI0DEPL</t>
  </si>
  <si>
    <t>WC658YI2RCNPD</t>
  </si>
  <si>
    <t>WC667YP43071</t>
  </si>
  <si>
    <t>WC737ZD9SDKXM</t>
  </si>
  <si>
    <t>WC737ZD9S</t>
  </si>
  <si>
    <t>HALLE SKINNY FLAP SUPER T</t>
  </si>
  <si>
    <t>WC811J3211001</t>
  </si>
  <si>
    <t>WC811J3211700</t>
  </si>
  <si>
    <t>WC844YH8DEMM</t>
  </si>
  <si>
    <t>WC913YI0DEPL</t>
  </si>
  <si>
    <t>WC920YF9DFBD</t>
  </si>
  <si>
    <t>WC920ZA3DELM</t>
  </si>
  <si>
    <t>WC967YG4DFED</t>
  </si>
  <si>
    <t>WC967YI0DEPL</t>
  </si>
  <si>
    <t>WC983YT21001</t>
  </si>
  <si>
    <t>WC983YT21991</t>
  </si>
  <si>
    <t>WC988YT61847</t>
  </si>
  <si>
    <t>WC991YW01001</t>
  </si>
  <si>
    <t>WC991YW0</t>
  </si>
  <si>
    <t>LEATHER MOTO</t>
  </si>
  <si>
    <t>WD064ZE91106</t>
  </si>
  <si>
    <t>WHUB342EBT1001</t>
  </si>
  <si>
    <t>WHUB342EBT</t>
  </si>
  <si>
    <t>TR SQUARED SWEATPANT JOGGER</t>
  </si>
  <si>
    <t>WHUB342EBT6202</t>
  </si>
  <si>
    <t>RASPBERRY</t>
  </si>
  <si>
    <t>WHUH008EBO1001</t>
  </si>
  <si>
    <t>WHUH008EBO</t>
  </si>
  <si>
    <t>TR SQUARED PULLOVER</t>
  </si>
  <si>
    <t>WIL145NH53071</t>
  </si>
  <si>
    <t>WNXA391EAH1001</t>
  </si>
  <si>
    <t>WNXA391EAH</t>
  </si>
  <si>
    <t>GEO BACK HALTER W CRYSTAL LOGO</t>
  </si>
  <si>
    <t>WNXB445EAH1761</t>
  </si>
  <si>
    <t>WNXB445EAH</t>
  </si>
  <si>
    <t>DN SLIM WESTERN W CRYSTAL LOGO</t>
  </si>
  <si>
    <t>WNXB445EAH6202</t>
  </si>
  <si>
    <t>WOHN95BJ9DLHD</t>
  </si>
  <si>
    <t>WOHN95BJ9</t>
  </si>
  <si>
    <t>SUPER SKINNY BLACK SN</t>
  </si>
  <si>
    <t>DLHD</t>
  </si>
  <si>
    <t>DLHD CHROME PLTD</t>
  </si>
  <si>
    <t>WOKD061SQ7DLFD</t>
  </si>
  <si>
    <t>WOKD061SQ7</t>
  </si>
  <si>
    <t>CURVY SKINNY STERLING GREY SN</t>
  </si>
  <si>
    <t>DLFD</t>
  </si>
  <si>
    <t>DLFD YOU LEAD CLN</t>
  </si>
  <si>
    <t>WVEH002EAH1001</t>
  </si>
  <si>
    <t>WVEH002EAH</t>
  </si>
  <si>
    <t>KNIT TANK W CRYSTAL LOGO</t>
  </si>
  <si>
    <t>WVEH002EAH1541</t>
  </si>
  <si>
    <t>WXHB068OMDMCD</t>
  </si>
  <si>
    <t>WXHB068OM</t>
  </si>
  <si>
    <t>BOYFRIEND KNEE SLITS OM SN</t>
  </si>
  <si>
    <t>DMCD</t>
  </si>
  <si>
    <t>DMCD CRISP HUE</t>
  </si>
  <si>
    <t>WXHH041EMDLDD</t>
  </si>
  <si>
    <t>WXHH041EM</t>
  </si>
  <si>
    <t>MOTO SUPER SKINNY MIDNIGHT SN</t>
  </si>
  <si>
    <t>DLDD</t>
  </si>
  <si>
    <t>DLDD CRISP HUE</t>
  </si>
  <si>
    <t>WXHH042OMDLDD</t>
  </si>
  <si>
    <t>WXHH042OM</t>
  </si>
  <si>
    <t>CAPRI LET OUT HEM OM SN</t>
  </si>
  <si>
    <t>05800EL01B</t>
  </si>
  <si>
    <t>05800EL2RB</t>
  </si>
  <si>
    <t>05800EL2VB</t>
  </si>
  <si>
    <t>05800EL3MB</t>
  </si>
  <si>
    <t>05800EL9VB</t>
  </si>
  <si>
    <t>05800ELBZB</t>
  </si>
  <si>
    <t>05800ELGTMB</t>
  </si>
  <si>
    <t>05858EL01B</t>
  </si>
  <si>
    <t>05858EL2RB</t>
  </si>
  <si>
    <t>05858EL2VB</t>
  </si>
  <si>
    <t>05858EL3MB</t>
  </si>
  <si>
    <t>05858ELBZB</t>
  </si>
  <si>
    <t>05858ELGTMB</t>
  </si>
  <si>
    <t>05859EL01B</t>
  </si>
  <si>
    <t>05859EL2RB</t>
  </si>
  <si>
    <t>05859EL2VB</t>
  </si>
  <si>
    <t>05859ELBZB</t>
  </si>
  <si>
    <t>05859ELGTMB</t>
  </si>
  <si>
    <t>05E08EL3MB</t>
  </si>
  <si>
    <t>05E08ELGTMB</t>
  </si>
  <si>
    <t>05J60EL9VB</t>
  </si>
  <si>
    <t>1000000013GSD</t>
  </si>
  <si>
    <t>1000000015GMM</t>
  </si>
  <si>
    <t>1000000017KPL</t>
  </si>
  <si>
    <t>1000000017PRM</t>
  </si>
  <si>
    <t>1000000018KPL</t>
  </si>
  <si>
    <t>1000000018PHL</t>
  </si>
  <si>
    <t>1000000019KPL</t>
  </si>
  <si>
    <t>1000000019PRM</t>
  </si>
  <si>
    <t>10000000202S</t>
  </si>
  <si>
    <t>10000000202V</t>
  </si>
  <si>
    <t>1000000020BZ</t>
  </si>
  <si>
    <t>1000000020ENM</t>
  </si>
  <si>
    <t>1000000020LHM</t>
  </si>
  <si>
    <t>1000000022PHL</t>
  </si>
  <si>
    <t>1000000023KPL</t>
  </si>
  <si>
    <t>1000000024PHL</t>
  </si>
  <si>
    <t>1000000024PRM</t>
  </si>
  <si>
    <t>1000000025KPL</t>
  </si>
  <si>
    <t>1000000025PHL</t>
  </si>
  <si>
    <t>1000000025PRM</t>
  </si>
  <si>
    <t>1000000026BZ</t>
  </si>
  <si>
    <t>1000000026KPL</t>
  </si>
  <si>
    <t>1000000026PRM</t>
  </si>
  <si>
    <t>10000000282V</t>
  </si>
  <si>
    <t>1000000028LHM</t>
  </si>
  <si>
    <t>1000000030KPL</t>
  </si>
  <si>
    <t>1000000030PHL</t>
  </si>
  <si>
    <t>1000000030PRM</t>
  </si>
  <si>
    <t>1000000031KPL</t>
  </si>
  <si>
    <t>1000000031PHL</t>
  </si>
  <si>
    <t>1000000031PRM</t>
  </si>
  <si>
    <t>1000000032PHL</t>
  </si>
  <si>
    <t>1000000032PRM</t>
  </si>
  <si>
    <t>1000000034GSD</t>
  </si>
  <si>
    <t>10000000352S</t>
  </si>
  <si>
    <t>10000000352V</t>
  </si>
  <si>
    <t>1000000035BZ</t>
  </si>
  <si>
    <t>1000000035LHM</t>
  </si>
  <si>
    <t>1000000035MZD</t>
  </si>
  <si>
    <t>1000000036MWM</t>
  </si>
  <si>
    <t>1000000036MZD</t>
  </si>
  <si>
    <t>1000000054SPD</t>
  </si>
  <si>
    <t>1000000055PGD</t>
  </si>
  <si>
    <t>1000000056MZD</t>
  </si>
  <si>
    <t>1000000056SGD</t>
  </si>
  <si>
    <t>1020000003KML</t>
  </si>
  <si>
    <t>10502BZ</t>
  </si>
  <si>
    <t>10502NBT211</t>
  </si>
  <si>
    <t>10502TSBA</t>
  </si>
  <si>
    <t>10503MQD</t>
  </si>
  <si>
    <t>10503NBT2MQD</t>
  </si>
  <si>
    <t>10503NBT2MSM</t>
  </si>
  <si>
    <t>10503NBT2NAM</t>
  </si>
  <si>
    <t>10564LDM</t>
  </si>
  <si>
    <t>10564MQD</t>
  </si>
  <si>
    <t>10564BKT22V</t>
  </si>
  <si>
    <t>10564NBT22S</t>
  </si>
  <si>
    <t>10564NBT240</t>
  </si>
  <si>
    <t>10564NBT2EAD</t>
  </si>
  <si>
    <t>10564NBT2EMM</t>
  </si>
  <si>
    <t>10564NBT2MQD</t>
  </si>
  <si>
    <t>10564NBT2MSM</t>
  </si>
  <si>
    <t>10564TS2S</t>
  </si>
  <si>
    <t>10572MQD</t>
  </si>
  <si>
    <t>10572B1711</t>
  </si>
  <si>
    <t>10572NBT211</t>
  </si>
  <si>
    <t>10572NBT2BE</t>
  </si>
  <si>
    <t>10572NBT2EAD</t>
  </si>
  <si>
    <t>10572NBT2EJD</t>
  </si>
  <si>
    <t>10572NBT2EMM</t>
  </si>
  <si>
    <t>10572NBT2LDM</t>
  </si>
  <si>
    <t>10572NBT2MQD</t>
  </si>
  <si>
    <t>10572NBT2MSM</t>
  </si>
  <si>
    <t>10572NBT2MWD</t>
  </si>
  <si>
    <t>10572NBT2NAM</t>
  </si>
  <si>
    <t>10572NBT2SAD</t>
  </si>
  <si>
    <t>10572NBT2SHM</t>
  </si>
  <si>
    <t>10572TS40</t>
  </si>
  <si>
    <t>10572TSEAD</t>
  </si>
  <si>
    <t>10572TSLDM</t>
  </si>
  <si>
    <t>10592W9</t>
  </si>
  <si>
    <t>10592NBT211</t>
  </si>
  <si>
    <t>10592NBT2MWD</t>
  </si>
  <si>
    <t>10592NBT2NAM</t>
  </si>
  <si>
    <t>10599C732S</t>
  </si>
  <si>
    <t>10599NBT2EAD</t>
  </si>
  <si>
    <t>10599NBT2EJD</t>
  </si>
  <si>
    <t>10599NBT2EMM</t>
  </si>
  <si>
    <t>10599NBT2MQD</t>
  </si>
  <si>
    <t>10599NBT2MSM</t>
  </si>
  <si>
    <t>10599NBT2U6</t>
  </si>
  <si>
    <t>10599TSBA</t>
  </si>
  <si>
    <t>10K68EAD</t>
  </si>
  <si>
    <t>10K68MQD</t>
  </si>
  <si>
    <t>10K68MSM</t>
  </si>
  <si>
    <t>10K732S</t>
  </si>
  <si>
    <t>10K73MQD</t>
  </si>
  <si>
    <t>10K73MSM</t>
  </si>
  <si>
    <t>1200000002FZM</t>
  </si>
  <si>
    <t>1400000002LMD</t>
  </si>
  <si>
    <t>1410000003BZ</t>
  </si>
  <si>
    <t>1410000003CK</t>
  </si>
  <si>
    <t>1410000003Y5</t>
  </si>
  <si>
    <t>1410000004Y5</t>
  </si>
  <si>
    <t>15HOM00014100</t>
  </si>
  <si>
    <t>15HOW00031200</t>
  </si>
  <si>
    <t>15HOW00081200</t>
  </si>
  <si>
    <t>15HOW00101200</t>
  </si>
  <si>
    <t>15HOW00183000</t>
  </si>
  <si>
    <t>15HOW00204100</t>
  </si>
  <si>
    <t>15HOW00214100</t>
  </si>
  <si>
    <t>15HOW00221001</t>
  </si>
  <si>
    <t>2000000003AZ</t>
  </si>
  <si>
    <t>24800A80F5</t>
  </si>
  <si>
    <t>24800BWT2R8</t>
  </si>
  <si>
    <t>24800NBT21061</t>
  </si>
  <si>
    <t>24800NBT21129</t>
  </si>
  <si>
    <t>24800NBT22128</t>
  </si>
  <si>
    <t>24800NBT22518</t>
  </si>
  <si>
    <t>24800NBT22S</t>
  </si>
  <si>
    <t>24800NBT22V</t>
  </si>
  <si>
    <t>24800NBT24178</t>
  </si>
  <si>
    <t>24800NBT289</t>
  </si>
  <si>
    <t>24800NBT2BE</t>
  </si>
  <si>
    <t>24800NBT2GMM</t>
  </si>
  <si>
    <t>24800NBT2GQD</t>
  </si>
  <si>
    <t>24800NBT2GSD</t>
  </si>
  <si>
    <t>24800NBT2HAM</t>
  </si>
  <si>
    <t>24800NBT2LPD</t>
  </si>
  <si>
    <t>24800NBT2MWD</t>
  </si>
  <si>
    <t>24800NBT2MZD</t>
  </si>
  <si>
    <t>24800NBT2SPD</t>
  </si>
  <si>
    <t>24800NBT2SXM</t>
  </si>
  <si>
    <t>24800OMBBV2S</t>
  </si>
  <si>
    <t>24800OMBBV89</t>
  </si>
  <si>
    <t>24800OMBBVCR</t>
  </si>
  <si>
    <t>24800OMBBVGSD</t>
  </si>
  <si>
    <t>24800OMBBVHAM</t>
  </si>
  <si>
    <t>24800OMBBVLPD</t>
  </si>
  <si>
    <t>24800OMBBVLZD</t>
  </si>
  <si>
    <t>24800OMBBVMWM</t>
  </si>
  <si>
    <t>24800OMBBVMZD</t>
  </si>
  <si>
    <t>24800OMBBVX5</t>
  </si>
  <si>
    <t>24803NBT289</t>
  </si>
  <si>
    <t>24803NBT2GMM</t>
  </si>
  <si>
    <t>24803NBT2GQD</t>
  </si>
  <si>
    <t>24803NBT2GSD</t>
  </si>
  <si>
    <t>24803NBT2HAM</t>
  </si>
  <si>
    <t>24803NBT2MWD</t>
  </si>
  <si>
    <t>24803NBT2MZD</t>
  </si>
  <si>
    <t>24803OMBBV2S</t>
  </si>
  <si>
    <t>24803OMBBV89</t>
  </si>
  <si>
    <t>24803OMBBVCR</t>
  </si>
  <si>
    <t>24803OMBBVGSD</t>
  </si>
  <si>
    <t>24803OMBBVHAM</t>
  </si>
  <si>
    <t>24803OMBBVMWM</t>
  </si>
  <si>
    <t>24803OMBBVMZD</t>
  </si>
  <si>
    <t>24858NBT289</t>
  </si>
  <si>
    <t>24858NBT2AADM</t>
  </si>
  <si>
    <t>24858NBT2AAFL</t>
  </si>
  <si>
    <t>24858NBT2AAGM</t>
  </si>
  <si>
    <t>24858NBT2AAHM</t>
  </si>
  <si>
    <t>24858NBT2AAPM</t>
  </si>
  <si>
    <t>24858NBT2ADKL</t>
  </si>
  <si>
    <t>24858NBT2GMM</t>
  </si>
  <si>
    <t>24858NBT2GQD</t>
  </si>
  <si>
    <t>24858NBT2GSD</t>
  </si>
  <si>
    <t>24858NBT2HAM</t>
  </si>
  <si>
    <t>24858NBT2MWD</t>
  </si>
  <si>
    <t>24858NBT2MZD</t>
  </si>
  <si>
    <t>24858NBT2SPD</t>
  </si>
  <si>
    <t>24858OMBBV2S</t>
  </si>
  <si>
    <t>24858OMBBV89</t>
  </si>
  <si>
    <t>24858OMBBVCR</t>
  </si>
  <si>
    <t>24858OMBBVGSD</t>
  </si>
  <si>
    <t>24858OMBBVHAM</t>
  </si>
  <si>
    <t>24858OMBBVLHM</t>
  </si>
  <si>
    <t>24858OMBBVMWM</t>
  </si>
  <si>
    <t>24858OMBBVMZD</t>
  </si>
  <si>
    <t>24859BKT255</t>
  </si>
  <si>
    <t>24859BKT2BB</t>
  </si>
  <si>
    <t>24859E4GBTAN</t>
  </si>
  <si>
    <t>24859FBTDL37</t>
  </si>
  <si>
    <t>24859MCT2R8</t>
  </si>
  <si>
    <t>24859NBT22S</t>
  </si>
  <si>
    <t>24859NBT22V</t>
  </si>
  <si>
    <t>24859NBT24178</t>
  </si>
  <si>
    <t>24859NBT289</t>
  </si>
  <si>
    <t>24859NBT2AADM</t>
  </si>
  <si>
    <t>24859NBT2AAFL</t>
  </si>
  <si>
    <t>24859NBT2AAGM</t>
  </si>
  <si>
    <t>24859NBT2AAHM</t>
  </si>
  <si>
    <t>24859NBT2AAPM</t>
  </si>
  <si>
    <t>24859NBT2ADKL</t>
  </si>
  <si>
    <t>24859NBT2BE</t>
  </si>
  <si>
    <t>24859NBT2GMM</t>
  </si>
  <si>
    <t>24859NBT2GQD</t>
  </si>
  <si>
    <t>24859NBT2GSD</t>
  </si>
  <si>
    <t>24859NBT2HAM</t>
  </si>
  <si>
    <t>24859NBT2LZD</t>
  </si>
  <si>
    <t>24859NBT2MWD</t>
  </si>
  <si>
    <t>24859NBT2MWM</t>
  </si>
  <si>
    <t>24859NBT2MZD</t>
  </si>
  <si>
    <t>24859NBT2NAM</t>
  </si>
  <si>
    <t>24859NBT2SPD</t>
  </si>
  <si>
    <t>24859NBT2SXM</t>
  </si>
  <si>
    <t>24859NNBT2MWD</t>
  </si>
  <si>
    <t>24859OMBB01</t>
  </si>
  <si>
    <t>24859OMBBBZ</t>
  </si>
  <si>
    <t>24859OMBBV2S</t>
  </si>
  <si>
    <t>24859OMBBV89</t>
  </si>
  <si>
    <t>24859OMBBVCR</t>
  </si>
  <si>
    <t>24859OMBBVGQD</t>
  </si>
  <si>
    <t>24859OMBBVGSD</t>
  </si>
  <si>
    <t>24859OMBBVHAM</t>
  </si>
  <si>
    <t>24859OMBBVKQL</t>
  </si>
  <si>
    <t>24859OMBBVLHM</t>
  </si>
  <si>
    <t>24859OMBBVMWM</t>
  </si>
  <si>
    <t>24859OMBBVMZD</t>
  </si>
  <si>
    <t>24861NBT22V</t>
  </si>
  <si>
    <t>24861NBT2MWM</t>
  </si>
  <si>
    <t>24861NBT2MZD</t>
  </si>
  <si>
    <t>24861NBT2NAM</t>
  </si>
  <si>
    <t>24861NBT2LSPD</t>
  </si>
  <si>
    <t>24861NBTDLADMD</t>
  </si>
  <si>
    <t>24861OMBBVMZD</t>
  </si>
  <si>
    <t>24900NBT22S</t>
  </si>
  <si>
    <t>24900NBT2ADKL</t>
  </si>
  <si>
    <t>24900NBT2K8</t>
  </si>
  <si>
    <t>24900NBT2LPD</t>
  </si>
  <si>
    <t>24900NBT2SGD</t>
  </si>
  <si>
    <t>24900NBT2SPD</t>
  </si>
  <si>
    <t>24900NBT2SXM</t>
  </si>
  <si>
    <t>24900NBT2Y5</t>
  </si>
  <si>
    <t>24E08NBT22V</t>
  </si>
  <si>
    <t>24E08OMBBV2S</t>
  </si>
  <si>
    <t>24E08OMBBV89</t>
  </si>
  <si>
    <t>24E08OMBBVCR</t>
  </si>
  <si>
    <t>24E08OMBBVGQD</t>
  </si>
  <si>
    <t>24E08OMBBVGSD</t>
  </si>
  <si>
    <t>24E08OMBBVHAM</t>
  </si>
  <si>
    <t>24E08OMBBVMWM</t>
  </si>
  <si>
    <t>24E08OMBBVMZD</t>
  </si>
  <si>
    <t>24H54OMBBEHM</t>
  </si>
  <si>
    <t>24J19NBT2AADM</t>
  </si>
  <si>
    <t>24J19NBT2AAFL</t>
  </si>
  <si>
    <t>24J19NBT2AAGM</t>
  </si>
  <si>
    <t>24J19NBT2AAHM</t>
  </si>
  <si>
    <t>24J19NBT2AAPM</t>
  </si>
  <si>
    <t>24J19NBT2ADKL</t>
  </si>
  <si>
    <t>24J19NBT2LZD</t>
  </si>
  <si>
    <t>24J19NBT2MWM</t>
  </si>
  <si>
    <t>24J19NBT2NAM</t>
  </si>
  <si>
    <t>24J60NBT21061</t>
  </si>
  <si>
    <t>24J60NBT22518</t>
  </si>
  <si>
    <t>24J60NBT2AADM</t>
  </si>
  <si>
    <t>24J60NBT2AAFL</t>
  </si>
  <si>
    <t>24J60NBT2AAGM</t>
  </si>
  <si>
    <t>24J60NBT2AAHM</t>
  </si>
  <si>
    <t>24J60NBT2AAPM</t>
  </si>
  <si>
    <t>24J60NBT2ADKL</t>
  </si>
  <si>
    <t>24J60NBT2AR</t>
  </si>
  <si>
    <t>24J60NBT2GMM</t>
  </si>
  <si>
    <t>24J60OMBBVLPD</t>
  </si>
  <si>
    <t>24J60OMBBVLZD</t>
  </si>
  <si>
    <t>24L81OMBBV2S</t>
  </si>
  <si>
    <t>24L81OMBBV89</t>
  </si>
  <si>
    <t>24L81OMBBVCR</t>
  </si>
  <si>
    <t>24L81OMBBVGSD</t>
  </si>
  <si>
    <t>24L81OMBBVHAM</t>
  </si>
  <si>
    <t>24L81OMBBVLZD</t>
  </si>
  <si>
    <t>24L81OMBBVMWM</t>
  </si>
  <si>
    <t>24L81OMBBVMZD</t>
  </si>
  <si>
    <t>24L82OMBBVCR</t>
  </si>
  <si>
    <t>24L82OMBBVMPD</t>
  </si>
  <si>
    <t>24L82OMBBVMWM</t>
  </si>
  <si>
    <t>24M45OMBBV2S</t>
  </si>
  <si>
    <t>24M45OMBBV89</t>
  </si>
  <si>
    <t>24M45OMBBVCR</t>
  </si>
  <si>
    <t>24M45OMBBVGSD</t>
  </si>
  <si>
    <t>24M45OMBBVHAM</t>
  </si>
  <si>
    <t>24M45OMBBVMWM</t>
  </si>
  <si>
    <t>24M45OMBBVMZD</t>
  </si>
  <si>
    <t>24M83OMBBV2S</t>
  </si>
  <si>
    <t>24M83OMBBV89</t>
  </si>
  <si>
    <t>24M83OMBBVCR</t>
  </si>
  <si>
    <t>24M83OMBBVGSD</t>
  </si>
  <si>
    <t>24M83OMBBVHAM</t>
  </si>
  <si>
    <t>24M83OMBBVMWM</t>
  </si>
  <si>
    <t>24M83OMBBVMZD</t>
  </si>
  <si>
    <t>24N49OMBBV2S</t>
  </si>
  <si>
    <t>24N49OMBBV89</t>
  </si>
  <si>
    <t>24N49OMBBVCR</t>
  </si>
  <si>
    <t>24N49OMBBVGSD</t>
  </si>
  <si>
    <t>24N49OMBBVHAM</t>
  </si>
  <si>
    <t>24N49OMBBVMWM</t>
  </si>
  <si>
    <t>24N49OMBBVMZD</t>
  </si>
  <si>
    <t>3000000004LEM</t>
  </si>
  <si>
    <t>A13F71ARCD2166</t>
  </si>
  <si>
    <t>A13F71ARCD3449</t>
  </si>
  <si>
    <t>A13F71ARCD4348</t>
  </si>
  <si>
    <t>A13F71ARCD5342</t>
  </si>
  <si>
    <t>A13F71RCD1377</t>
  </si>
  <si>
    <t>A13F71RCD1700</t>
  </si>
  <si>
    <t>A13F71RCD2166</t>
  </si>
  <si>
    <t>A13F71RCD3449</t>
  </si>
  <si>
    <t>A13F71RCD4348</t>
  </si>
  <si>
    <t>A13F72BRCD1299</t>
  </si>
  <si>
    <t>A13F72BRCD1377</t>
  </si>
  <si>
    <t>A13F72BRCD1700</t>
  </si>
  <si>
    <t>A13F72BRCD3449</t>
  </si>
  <si>
    <t>A13F72BRCD4348</t>
  </si>
  <si>
    <t>A13F72BRCD4643</t>
  </si>
  <si>
    <t>A13F72BRCD5342</t>
  </si>
  <si>
    <t>A13F72BRCD6064</t>
  </si>
  <si>
    <t>A13F72CRCD1001</t>
  </si>
  <si>
    <t>A13F72CRCD1377</t>
  </si>
  <si>
    <t>A13F72CRCD1700</t>
  </si>
  <si>
    <t>A13F72CRCD3449</t>
  </si>
  <si>
    <t>A13F72CRCD4348</t>
  </si>
  <si>
    <t>A13F72CRCD4643</t>
  </si>
  <si>
    <t>A13F72CRCD4730</t>
  </si>
  <si>
    <t>A13F72CRCD5342</t>
  </si>
  <si>
    <t>A13F72CRCD6000</t>
  </si>
  <si>
    <t>A13F72CRCD6064</t>
  </si>
  <si>
    <t>A13F72D1001</t>
  </si>
  <si>
    <t>A13F72D1379</t>
  </si>
  <si>
    <t>A13F72D1700</t>
  </si>
  <si>
    <t>A13F72D3449</t>
  </si>
  <si>
    <t>A13F72D4348</t>
  </si>
  <si>
    <t>A13F72D4643</t>
  </si>
  <si>
    <t>A13F72D6064</t>
  </si>
  <si>
    <t>A13F72RCD1001</t>
  </si>
  <si>
    <t>A13F72RCD1700</t>
  </si>
  <si>
    <t>A13F72RCD2166</t>
  </si>
  <si>
    <t>A13F72RCD3449</t>
  </si>
  <si>
    <t>A13F72RCD4348</t>
  </si>
  <si>
    <t>A13F72RCD4643</t>
  </si>
  <si>
    <t>A13F72RCD5342</t>
  </si>
  <si>
    <t>A13F73RCD1001</t>
  </si>
  <si>
    <t>A13F73RCD1299</t>
  </si>
  <si>
    <t>A13F73RCD1377</t>
  </si>
  <si>
    <t>A13F73RCD2166</t>
  </si>
  <si>
    <t>A13F73RCD4348</t>
  </si>
  <si>
    <t>A13F73RCD5342</t>
  </si>
  <si>
    <t>A13F74LA1001</t>
  </si>
  <si>
    <t>A13F74LA1299</t>
  </si>
  <si>
    <t>A13F74LA1377</t>
  </si>
  <si>
    <t>A13F74LA1700</t>
  </si>
  <si>
    <t>A13F74LA2166</t>
  </si>
  <si>
    <t>A13F74LA3449</t>
  </si>
  <si>
    <t>A13F74LA4348</t>
  </si>
  <si>
    <t>A13F74LA5342</t>
  </si>
  <si>
    <t>A13F74LA6064</t>
  </si>
  <si>
    <t>A13F74RCD1001</t>
  </si>
  <si>
    <t>A13F74RCD1299</t>
  </si>
  <si>
    <t>A13F74RCD1377</t>
  </si>
  <si>
    <t>A13F74RCD1700</t>
  </si>
  <si>
    <t>A13F74RCD2166</t>
  </si>
  <si>
    <t>A13F74RCD5342</t>
  </si>
  <si>
    <t>A13F751379</t>
  </si>
  <si>
    <t>A13F755342</t>
  </si>
  <si>
    <t>A13F75ARCD1299</t>
  </si>
  <si>
    <t>A13F75ARCD1377</t>
  </si>
  <si>
    <t>A13F75ARCD1700</t>
  </si>
  <si>
    <t>A13F75ARCD3449</t>
  </si>
  <si>
    <t>A13F75ARCD4348</t>
  </si>
  <si>
    <t>A13F75ARCD4643</t>
  </si>
  <si>
    <t>A13F75ARCD5342</t>
  </si>
  <si>
    <t>A13F75ARCD6064</t>
  </si>
  <si>
    <t>A13F76AMF1001</t>
  </si>
  <si>
    <t>A13F76AMF1299</t>
  </si>
  <si>
    <t>A13F76AMF1377</t>
  </si>
  <si>
    <t>A13F76AMF1700</t>
  </si>
  <si>
    <t>A13F76AMF2166</t>
  </si>
  <si>
    <t>A13F76AMF3449</t>
  </si>
  <si>
    <t>A13F76AMF4348</t>
  </si>
  <si>
    <t>A13F76AMF5342</t>
  </si>
  <si>
    <t>A13F76AMF6064</t>
  </si>
  <si>
    <t>A13F76RCD1001</t>
  </si>
  <si>
    <t>A13F76RCD1299</t>
  </si>
  <si>
    <t>A13F76RCD1377</t>
  </si>
  <si>
    <t>A13F76RCD1700</t>
  </si>
  <si>
    <t>A13F76RCD2166</t>
  </si>
  <si>
    <t>A13F76RCD3449</t>
  </si>
  <si>
    <t>A13F76RCD4348</t>
  </si>
  <si>
    <t>A13F76RCD5342</t>
  </si>
  <si>
    <t>A13F76RCD6064</t>
  </si>
  <si>
    <t>A13F77APGD1001</t>
  </si>
  <si>
    <t>A13F77APGD1299</t>
  </si>
  <si>
    <t>A13F77APGD1377</t>
  </si>
  <si>
    <t>A13F77APGD2166</t>
  </si>
  <si>
    <t>A13F77APGD4348</t>
  </si>
  <si>
    <t>A13F77APGD5342</t>
  </si>
  <si>
    <t>A13F77APGD6064</t>
  </si>
  <si>
    <t>A13F77B1001</t>
  </si>
  <si>
    <t>A13F77B2166</t>
  </si>
  <si>
    <t>A13F77B3449</t>
  </si>
  <si>
    <t>A13F77B4348</t>
  </si>
  <si>
    <t>A13F77B4643</t>
  </si>
  <si>
    <t>A13F77B5342</t>
  </si>
  <si>
    <t>A13F77PGD1001</t>
  </si>
  <si>
    <t>A13F77PGD2166</t>
  </si>
  <si>
    <t>A13F77PGD3449</t>
  </si>
  <si>
    <t>A13F77PGD4348</t>
  </si>
  <si>
    <t>A13F78AGCD1001</t>
  </si>
  <si>
    <t>A13F78AGCD2166</t>
  </si>
  <si>
    <t>A13F78AGCD3449</t>
  </si>
  <si>
    <t>A13F78AGCD4643</t>
  </si>
  <si>
    <t>A13F78AGCD5342</t>
  </si>
  <si>
    <t>A13F78AGCD6064</t>
  </si>
  <si>
    <t>A13F79C1001</t>
  </si>
  <si>
    <t>A13F79C2166</t>
  </si>
  <si>
    <t>A13F79C3449</t>
  </si>
  <si>
    <t>A13F79C4348</t>
  </si>
  <si>
    <t>A13F79GCD1001</t>
  </si>
  <si>
    <t>A13F79GCD1299</t>
  </si>
  <si>
    <t>A13F79GCD1377</t>
  </si>
  <si>
    <t>A13F79GCD3449</t>
  </si>
  <si>
    <t>A13F79GCD4348</t>
  </si>
  <si>
    <t>A13F79GCD5342</t>
  </si>
  <si>
    <t>A13F811001</t>
  </si>
  <si>
    <t>A13F813449</t>
  </si>
  <si>
    <t>A13F814643</t>
  </si>
  <si>
    <t>A13F815342</t>
  </si>
  <si>
    <t>A13F81A1001</t>
  </si>
  <si>
    <t>A13F81A1278</t>
  </si>
  <si>
    <t>A13F81A1299</t>
  </si>
  <si>
    <t>A13F81A3449</t>
  </si>
  <si>
    <t>A13F81A4643</t>
  </si>
  <si>
    <t>A13F81A6064</t>
  </si>
  <si>
    <t>A13F81BPGD1001</t>
  </si>
  <si>
    <t>A13F81BPGD1299</t>
  </si>
  <si>
    <t>A13F81BPGD1377</t>
  </si>
  <si>
    <t>A13F81BPGD2166</t>
  </si>
  <si>
    <t>A13F81BPGD3449</t>
  </si>
  <si>
    <t>A13F81BPGD4348</t>
  </si>
  <si>
    <t>A13F81BPGD4643</t>
  </si>
  <si>
    <t>A13F81BPGD5342</t>
  </si>
  <si>
    <t>A13F81BPGD6064</t>
  </si>
  <si>
    <t>A13F81GCD1001</t>
  </si>
  <si>
    <t>A13F81GCD1377</t>
  </si>
  <si>
    <t>A13F81GCD2166</t>
  </si>
  <si>
    <t>A13F81GCD3449</t>
  </si>
  <si>
    <t>A13F81GCD6064</t>
  </si>
  <si>
    <t>A13F82BPGD1001</t>
  </si>
  <si>
    <t>A13F82BPGD1299</t>
  </si>
  <si>
    <t>A13F82BPGD1377</t>
  </si>
  <si>
    <t>A13F82BPGD2166</t>
  </si>
  <si>
    <t>A13F82BPGD3449</t>
  </si>
  <si>
    <t>A13F82BPGD4348</t>
  </si>
  <si>
    <t>A13F82BPGD5342</t>
  </si>
  <si>
    <t>A13F82BPGD6064</t>
  </si>
  <si>
    <t>A13F82GCD1001</t>
  </si>
  <si>
    <t>A13F82GCD1377</t>
  </si>
  <si>
    <t>A13F82GCD2166</t>
  </si>
  <si>
    <t>A13F82GCD3449</t>
  </si>
  <si>
    <t>A13F82GCD4348</t>
  </si>
  <si>
    <t>A13F82GCD5342</t>
  </si>
  <si>
    <t>A13F82GCD6064</t>
  </si>
  <si>
    <t>A13F831001</t>
  </si>
  <si>
    <t>A13F831377</t>
  </si>
  <si>
    <t>A13F831379</t>
  </si>
  <si>
    <t>A13F832166</t>
  </si>
  <si>
    <t>A13F833449</t>
  </si>
  <si>
    <t>A13F834643</t>
  </si>
  <si>
    <t>A13F835342</t>
  </si>
  <si>
    <t>A13F836064</t>
  </si>
  <si>
    <t>A13F84A1001</t>
  </si>
  <si>
    <t>A13F84A1299</t>
  </si>
  <si>
    <t>A13F84A1377</t>
  </si>
  <si>
    <t>A13F84A1379</t>
  </si>
  <si>
    <t>A13F84A2166</t>
  </si>
  <si>
    <t>A13F84A3449</t>
  </si>
  <si>
    <t>A13F84A4348</t>
  </si>
  <si>
    <t>A13F84A5342</t>
  </si>
  <si>
    <t>A13F84A6064</t>
  </si>
  <si>
    <t>A13F84PGD1001</t>
  </si>
  <si>
    <t>A13F84PGD1377</t>
  </si>
  <si>
    <t>A13F84PGD2166</t>
  </si>
  <si>
    <t>A13F84PGD3449</t>
  </si>
  <si>
    <t>A13F84PGD4348</t>
  </si>
  <si>
    <t>A13F84PGD5342</t>
  </si>
  <si>
    <t>A13F84PGD6064</t>
  </si>
  <si>
    <t>A13FK321001</t>
  </si>
  <si>
    <t>A13FK321238</t>
  </si>
  <si>
    <t>A13FK323451</t>
  </si>
  <si>
    <t>A13FK325343</t>
  </si>
  <si>
    <t>A13FK331001</t>
  </si>
  <si>
    <t>A13FK331285</t>
  </si>
  <si>
    <t>A13FK332701</t>
  </si>
  <si>
    <t>A13FK351285</t>
  </si>
  <si>
    <t>A13FK352701</t>
  </si>
  <si>
    <t>A13FK355342</t>
  </si>
  <si>
    <t>A13FK362166</t>
  </si>
  <si>
    <t>A13FK371200</t>
  </si>
  <si>
    <t>A13FK371258</t>
  </si>
  <si>
    <t>A13FK372166</t>
  </si>
  <si>
    <t>A13FK381001</t>
  </si>
  <si>
    <t>A13FK381377</t>
  </si>
  <si>
    <t>A13FK382166</t>
  </si>
  <si>
    <t>A13FK383449</t>
  </si>
  <si>
    <t>A13FK384643</t>
  </si>
  <si>
    <t>A13FK385342</t>
  </si>
  <si>
    <t>A13FK386082</t>
  </si>
  <si>
    <t>A13FK38X1001</t>
  </si>
  <si>
    <t>A13FK38X1377</t>
  </si>
  <si>
    <t>A13FK38X3449</t>
  </si>
  <si>
    <t>A13FK38X4643</t>
  </si>
  <si>
    <t>A13FK38X5342</t>
  </si>
  <si>
    <t>A13FK391001</t>
  </si>
  <si>
    <t>A13FK391377</t>
  </si>
  <si>
    <t>A13FK392166</t>
  </si>
  <si>
    <t>A13FK393449</t>
  </si>
  <si>
    <t>A13FK394643</t>
  </si>
  <si>
    <t>A13FK395342</t>
  </si>
  <si>
    <t>A13FK39X1001</t>
  </si>
  <si>
    <t>A13FK39X1377</t>
  </si>
  <si>
    <t>A13FK39X2166</t>
  </si>
  <si>
    <t>A13FK39X3449</t>
  </si>
  <si>
    <t>A13FK39X4643</t>
  </si>
  <si>
    <t>A13FK39X5342</t>
  </si>
  <si>
    <t>A13FK401370</t>
  </si>
  <si>
    <t>A13FK51001</t>
  </si>
  <si>
    <t>A13FK51238</t>
  </si>
  <si>
    <t>A13FK54350</t>
  </si>
  <si>
    <t>A13FK55343</t>
  </si>
  <si>
    <t>A13M12AGCD1001</t>
  </si>
  <si>
    <t>A13M12AGCD1299</t>
  </si>
  <si>
    <t>A13M12AGCD1377</t>
  </si>
  <si>
    <t>A13M12AGCD2166</t>
  </si>
  <si>
    <t>A13M12AGCD3449</t>
  </si>
  <si>
    <t>A13M12AGCD4348</t>
  </si>
  <si>
    <t>A13M12AGCD4643</t>
  </si>
  <si>
    <t>A13M12AGCD5342</t>
  </si>
  <si>
    <t>A13M12AGCD6064</t>
  </si>
  <si>
    <t>A13M12BPGD1001</t>
  </si>
  <si>
    <t>A13M12BPGD1299</t>
  </si>
  <si>
    <t>A13M12BPGD1377</t>
  </si>
  <si>
    <t>A13M12BPGD2166</t>
  </si>
  <si>
    <t>A13M12BPGD3449</t>
  </si>
  <si>
    <t>A13M12BPGD4348</t>
  </si>
  <si>
    <t>A13M12BPGD4643</t>
  </si>
  <si>
    <t>A13M12BPGD5342</t>
  </si>
  <si>
    <t>A13M12BPGD6064</t>
  </si>
  <si>
    <t>A13M12CRCD1001</t>
  </si>
  <si>
    <t>A13M12CRCD1299</t>
  </si>
  <si>
    <t>A13M12CRCD1377</t>
  </si>
  <si>
    <t>A13M12CRCD2166</t>
  </si>
  <si>
    <t>A13M12CRCD3449</t>
  </si>
  <si>
    <t>A13M12CRCD4348</t>
  </si>
  <si>
    <t>A13M12CRCD5342</t>
  </si>
  <si>
    <t>A13M12DPGD1001</t>
  </si>
  <si>
    <t>A13M12DPGD1299</t>
  </si>
  <si>
    <t>A13M12DPGD1377</t>
  </si>
  <si>
    <t>A13M12DPGD1700</t>
  </si>
  <si>
    <t>A13M12DPGD2166</t>
  </si>
  <si>
    <t>A13M12DPGD3449</t>
  </si>
  <si>
    <t>A13M12DPGD4348</t>
  </si>
  <si>
    <t>A13M12DPGD4643</t>
  </si>
  <si>
    <t>A13M12DPGD5342</t>
  </si>
  <si>
    <t>A13M12DPGD6064</t>
  </si>
  <si>
    <t>A13M501001</t>
  </si>
  <si>
    <t>A13M501379</t>
  </si>
  <si>
    <t>A13M503449</t>
  </si>
  <si>
    <t>A13M505342</t>
  </si>
  <si>
    <t>A13M542166</t>
  </si>
  <si>
    <t>A13M543449</t>
  </si>
  <si>
    <t>A13M544348</t>
  </si>
  <si>
    <t>A13M545342</t>
  </si>
  <si>
    <t>A13M551379</t>
  </si>
  <si>
    <t>A13M553449</t>
  </si>
  <si>
    <t>A13M554643</t>
  </si>
  <si>
    <t>A13M556064</t>
  </si>
  <si>
    <t>A13M55A1379</t>
  </si>
  <si>
    <t>A13M55A3449</t>
  </si>
  <si>
    <t>A13M55A4643</t>
  </si>
  <si>
    <t>A13M55A5342</t>
  </si>
  <si>
    <t>A13M55A6064</t>
  </si>
  <si>
    <t>A13M55B1001</t>
  </si>
  <si>
    <t>A13M55B1379</t>
  </si>
  <si>
    <t>A13M55B3449</t>
  </si>
  <si>
    <t>A13M55B4643</t>
  </si>
  <si>
    <t>A13M55B5342</t>
  </si>
  <si>
    <t>A13M55B6064</t>
  </si>
  <si>
    <t>A13M55D2166</t>
  </si>
  <si>
    <t>A13M55D3449</t>
  </si>
  <si>
    <t>A13M55D4348</t>
  </si>
  <si>
    <t>A13M55D5342</t>
  </si>
  <si>
    <t>A13M55D6064</t>
  </si>
  <si>
    <t>A13M562166</t>
  </si>
  <si>
    <t>A13M563449</t>
  </si>
  <si>
    <t>A13M564348</t>
  </si>
  <si>
    <t>A13M565342</t>
  </si>
  <si>
    <t>A13M574830</t>
  </si>
  <si>
    <t>A13M58A1001</t>
  </si>
  <si>
    <t>A13M58A1299</t>
  </si>
  <si>
    <t>A13M58A1700</t>
  </si>
  <si>
    <t>A13M58A2166</t>
  </si>
  <si>
    <t>A13M58A3449</t>
  </si>
  <si>
    <t>A13M58A4348</t>
  </si>
  <si>
    <t>A13M58A5342</t>
  </si>
  <si>
    <t>A13M58RCD1001</t>
  </si>
  <si>
    <t>A13M58RCD1299</t>
  </si>
  <si>
    <t>A13M58RCD1700</t>
  </si>
  <si>
    <t>A13M58RCD2166</t>
  </si>
  <si>
    <t>A13M58RCD3449</t>
  </si>
  <si>
    <t>A13M58RCD4348</t>
  </si>
  <si>
    <t>A13M58RCD4643</t>
  </si>
  <si>
    <t>A13M58RCD5342</t>
  </si>
  <si>
    <t>A13M591001</t>
  </si>
  <si>
    <t>A13M595342</t>
  </si>
  <si>
    <t>A13M59C2166</t>
  </si>
  <si>
    <t>A13M59C4348</t>
  </si>
  <si>
    <t>A13M59RCD1001</t>
  </si>
  <si>
    <t>A13M59RCD1299</t>
  </si>
  <si>
    <t>A13M59RCD1377</t>
  </si>
  <si>
    <t>A13M59RCD1700</t>
  </si>
  <si>
    <t>A13M59RCD2166</t>
  </si>
  <si>
    <t>A13M59RCD3449</t>
  </si>
  <si>
    <t>A13M59RCD4348</t>
  </si>
  <si>
    <t>A13M59RCD4643</t>
  </si>
  <si>
    <t>A13M59RCD5342</t>
  </si>
  <si>
    <t>A13M59RCD6064</t>
  </si>
  <si>
    <t>A13M60RCD1001</t>
  </si>
  <si>
    <t>A13M60RCD1299</t>
  </si>
  <si>
    <t>A13M60RCD1377</t>
  </si>
  <si>
    <t>A13M60RCD1700</t>
  </si>
  <si>
    <t>A13M60RCD3449</t>
  </si>
  <si>
    <t>A13M60RCD4348</t>
  </si>
  <si>
    <t>A13M60RCD4643</t>
  </si>
  <si>
    <t>A13M60RCD5342</t>
  </si>
  <si>
    <t>A13M61A1379</t>
  </si>
  <si>
    <t>A13M61A3449</t>
  </si>
  <si>
    <t>A13M61A4643</t>
  </si>
  <si>
    <t>A13M61A6064</t>
  </si>
  <si>
    <t>A13M621278</t>
  </si>
  <si>
    <t>A13M623449</t>
  </si>
  <si>
    <t>A13M624643</t>
  </si>
  <si>
    <t>A13M625342</t>
  </si>
  <si>
    <t>A13M626064</t>
  </si>
  <si>
    <t>A13M651001</t>
  </si>
  <si>
    <t>A13M651278</t>
  </si>
  <si>
    <t>A13M653449</t>
  </si>
  <si>
    <t>A13M655342</t>
  </si>
  <si>
    <t>A13M656064</t>
  </si>
  <si>
    <t>A13M65A2166</t>
  </si>
  <si>
    <t>A13M65A3449</t>
  </si>
  <si>
    <t>A13M65A4643</t>
  </si>
  <si>
    <t>A13M65A5342</t>
  </si>
  <si>
    <t>A13M65A6064</t>
  </si>
  <si>
    <t>A13M65XGCD1299</t>
  </si>
  <si>
    <t>A13M65XGCD2166</t>
  </si>
  <si>
    <t>A13M65XGCD3449</t>
  </si>
  <si>
    <t>A13M65XGCD4348</t>
  </si>
  <si>
    <t>A13M65XGCD4643</t>
  </si>
  <si>
    <t>A13M65XGCD5342</t>
  </si>
  <si>
    <t>A13M65XGCD6064</t>
  </si>
  <si>
    <t>A13M66A1001</t>
  </si>
  <si>
    <t>A13M66A1299</t>
  </si>
  <si>
    <t>A13M66A1700</t>
  </si>
  <si>
    <t>A13M66A2166</t>
  </si>
  <si>
    <t>A13M66A3449</t>
  </si>
  <si>
    <t>A13M66A4348</t>
  </si>
  <si>
    <t>A13M66A5342</t>
  </si>
  <si>
    <t>A13M66A6064</t>
  </si>
  <si>
    <t>A13M66RCD1001</t>
  </si>
  <si>
    <t>A13M66RCD2166</t>
  </si>
  <si>
    <t>A13M66RCD3449</t>
  </si>
  <si>
    <t>A13M66RCD4348</t>
  </si>
  <si>
    <t>A13M66RCD5342</t>
  </si>
  <si>
    <t>A13M67A1379</t>
  </si>
  <si>
    <t>A13M67A1700</t>
  </si>
  <si>
    <t>A13M67A3449</t>
  </si>
  <si>
    <t>A13M67A4348</t>
  </si>
  <si>
    <t>A13M67A4643</t>
  </si>
  <si>
    <t>A13M67A5342</t>
  </si>
  <si>
    <t>A13M67A6064</t>
  </si>
  <si>
    <t>A13M67B1001</t>
  </si>
  <si>
    <t>A13M67B1299</t>
  </si>
  <si>
    <t>A13M67B2166</t>
  </si>
  <si>
    <t>A13M67B3449</t>
  </si>
  <si>
    <t>A13M67B4348</t>
  </si>
  <si>
    <t>A13M67B5342</t>
  </si>
  <si>
    <t>A13M67C1001</t>
  </si>
  <si>
    <t>A13M67C1299</t>
  </si>
  <si>
    <t>A13M67C1377</t>
  </si>
  <si>
    <t>A13M67C1378</t>
  </si>
  <si>
    <t>A13M67C1700</t>
  </si>
  <si>
    <t>A13M67C2166</t>
  </si>
  <si>
    <t>A13M67C3000</t>
  </si>
  <si>
    <t>A13M67C3449</t>
  </si>
  <si>
    <t>A13M67C3489</t>
  </si>
  <si>
    <t>A13M67C4348</t>
  </si>
  <si>
    <t>A13M67C4643</t>
  </si>
  <si>
    <t>A13M67C4729</t>
  </si>
  <si>
    <t>A13M67C4730</t>
  </si>
  <si>
    <t>A13M67C5342</t>
  </si>
  <si>
    <t>A13M67CRCD1001</t>
  </si>
  <si>
    <t>A13M67CRCD1299</t>
  </si>
  <si>
    <t>A13M67CRCD1700</t>
  </si>
  <si>
    <t>A13M67CRCD2166</t>
  </si>
  <si>
    <t>A13M67CRCD3449</t>
  </si>
  <si>
    <t>A13M67CRCD4348</t>
  </si>
  <si>
    <t>A13M67CRCD4643</t>
  </si>
  <si>
    <t>A13M67CRCD5342</t>
  </si>
  <si>
    <t>A13M69A1001</t>
  </si>
  <si>
    <t>A13M69A1278</t>
  </si>
  <si>
    <t>A13M69A1379</t>
  </si>
  <si>
    <t>A13M69A1700</t>
  </si>
  <si>
    <t>A13M69A3449</t>
  </si>
  <si>
    <t>A13M69A5342</t>
  </si>
  <si>
    <t>A13M69A6064</t>
  </si>
  <si>
    <t>A13M69B1278</t>
  </si>
  <si>
    <t>A13M69B1299</t>
  </si>
  <si>
    <t>A13M69B1700</t>
  </si>
  <si>
    <t>A13M69B2166</t>
  </si>
  <si>
    <t>A13M69B3449</t>
  </si>
  <si>
    <t>A13M69B4348</t>
  </si>
  <si>
    <t>A13M69B5342</t>
  </si>
  <si>
    <t>A13M69C1700</t>
  </si>
  <si>
    <t>A13M69C3449</t>
  </si>
  <si>
    <t>A13M69C4643</t>
  </si>
  <si>
    <t>A13M69C5342</t>
  </si>
  <si>
    <t>A13M69C6064</t>
  </si>
  <si>
    <t>A13M701278</t>
  </si>
  <si>
    <t>A13M701379</t>
  </si>
  <si>
    <t>A13M702166</t>
  </si>
  <si>
    <t>A13M703449</t>
  </si>
  <si>
    <t>A13M704643</t>
  </si>
  <si>
    <t>A13M705342</t>
  </si>
  <si>
    <t>A13M70B2166</t>
  </si>
  <si>
    <t>A13M70B3449</t>
  </si>
  <si>
    <t>A13M70B4348</t>
  </si>
  <si>
    <t>A13M70B5342</t>
  </si>
  <si>
    <t>A13M75GCD1001</t>
  </si>
  <si>
    <t>A13M75GCD1299</t>
  </si>
  <si>
    <t>A13M75GCD2166</t>
  </si>
  <si>
    <t>A13M75GCD3449</t>
  </si>
  <si>
    <t>A13M75GCD4348</t>
  </si>
  <si>
    <t>A13M75GCD5342</t>
  </si>
  <si>
    <t>A13M75GCD6064</t>
  </si>
  <si>
    <t>A13M801001</t>
  </si>
  <si>
    <t>A13M801379</t>
  </si>
  <si>
    <t>A13M804643</t>
  </si>
  <si>
    <t>A13M805342</t>
  </si>
  <si>
    <t>A13M811001</t>
  </si>
  <si>
    <t>A13M811379</t>
  </si>
  <si>
    <t>A13M813449</t>
  </si>
  <si>
    <t>A13M816064</t>
  </si>
  <si>
    <t>A13M831001</t>
  </si>
  <si>
    <t>A13M831299</t>
  </si>
  <si>
    <t>A13M831377</t>
  </si>
  <si>
    <t>A13M832166</t>
  </si>
  <si>
    <t>A13M833449</t>
  </si>
  <si>
    <t>A13M834348</t>
  </si>
  <si>
    <t>A13M834643</t>
  </si>
  <si>
    <t>A13M835342</t>
  </si>
  <si>
    <t>A13M83PGD1299</t>
  </si>
  <si>
    <t>A13M83PGD4643</t>
  </si>
  <si>
    <t>A13M851001</t>
  </si>
  <si>
    <t>A13M851379</t>
  </si>
  <si>
    <t>A13M853449</t>
  </si>
  <si>
    <t>A13M854000</t>
  </si>
  <si>
    <t>A13M854643</t>
  </si>
  <si>
    <t>A13M855342</t>
  </si>
  <si>
    <t>A13M901106</t>
  </si>
  <si>
    <t>A13M901379</t>
  </si>
  <si>
    <t>A13M904643</t>
  </si>
  <si>
    <t>A13MK11001</t>
  </si>
  <si>
    <t>A13MK11299</t>
  </si>
  <si>
    <t>A13MK12166</t>
  </si>
  <si>
    <t>A13MK13449</t>
  </si>
  <si>
    <t>A13MK14348</t>
  </si>
  <si>
    <t>A13MK101553</t>
  </si>
  <si>
    <t>A13MK102000</t>
  </si>
  <si>
    <t>A13MK102502</t>
  </si>
  <si>
    <t>A13MK104000</t>
  </si>
  <si>
    <t>A13MK111550</t>
  </si>
  <si>
    <t>A13MK112168</t>
  </si>
  <si>
    <t>A13MK113453</t>
  </si>
  <si>
    <t>A13MK114351</t>
  </si>
  <si>
    <t>A13MK122169</t>
  </si>
  <si>
    <t>A13MK123262</t>
  </si>
  <si>
    <t>A13MK124351</t>
  </si>
  <si>
    <t>A13MK131550</t>
  </si>
  <si>
    <t>A13MK132168</t>
  </si>
  <si>
    <t>A13MK133454</t>
  </si>
  <si>
    <t>A13MK141551</t>
  </si>
  <si>
    <t>A13MK144352</t>
  </si>
  <si>
    <t>A13MK172000</t>
  </si>
  <si>
    <t>A13MK182000</t>
  </si>
  <si>
    <t>A13MK21299</t>
  </si>
  <si>
    <t>A13MK22166</t>
  </si>
  <si>
    <t>A13MK23449</t>
  </si>
  <si>
    <t>A13MK24348</t>
  </si>
  <si>
    <t>A13MK24643</t>
  </si>
  <si>
    <t>A13MK201383</t>
  </si>
  <si>
    <t>A13MK205344</t>
  </si>
  <si>
    <t>A13MK31299</t>
  </si>
  <si>
    <t>A13MK32166</t>
  </si>
  <si>
    <t>A13MK33449</t>
  </si>
  <si>
    <t>A13MK34348</t>
  </si>
  <si>
    <t>A13MK301001</t>
  </si>
  <si>
    <t>A13MK301377</t>
  </si>
  <si>
    <t>A13MK302166</t>
  </si>
  <si>
    <t>A13MK303449</t>
  </si>
  <si>
    <t>A13MK304643</t>
  </si>
  <si>
    <t>A13MK305342</t>
  </si>
  <si>
    <t>A13MK311001</t>
  </si>
  <si>
    <t>A13MK311377</t>
  </si>
  <si>
    <t>A13MK312166</t>
  </si>
  <si>
    <t>A13MK313449</t>
  </si>
  <si>
    <t>A13MK314643</t>
  </si>
  <si>
    <t>A13MK315342</t>
  </si>
  <si>
    <t>A13MK321001</t>
  </si>
  <si>
    <t>A13MK321377</t>
  </si>
  <si>
    <t>A13MK322166</t>
  </si>
  <si>
    <t>A13MK323449</t>
  </si>
  <si>
    <t>A13MK324643</t>
  </si>
  <si>
    <t>A13MK325342</t>
  </si>
  <si>
    <t>A13MK41552</t>
  </si>
  <si>
    <t>A13MK51001</t>
  </si>
  <si>
    <t>A13MK51286</t>
  </si>
  <si>
    <t>A13MK53451</t>
  </si>
  <si>
    <t>A13MK54350</t>
  </si>
  <si>
    <t>A13MK55342</t>
  </si>
  <si>
    <t>A13MK55343</t>
  </si>
  <si>
    <t>A13MK62000</t>
  </si>
  <si>
    <t>A13MK71001</t>
  </si>
  <si>
    <t>A13MK71299</t>
  </si>
  <si>
    <t>A13MK71377</t>
  </si>
  <si>
    <t>A13MK71700</t>
  </si>
  <si>
    <t>A13MK72166</t>
  </si>
  <si>
    <t>A13MK73449</t>
  </si>
  <si>
    <t>A13MK74348</t>
  </si>
  <si>
    <t>A13MK76064</t>
  </si>
  <si>
    <t>A13MK81549</t>
  </si>
  <si>
    <t>A13MK81550</t>
  </si>
  <si>
    <t>A13MK82000</t>
  </si>
  <si>
    <t>A13MK82168</t>
  </si>
  <si>
    <t>A13MK83452</t>
  </si>
  <si>
    <t>A13MK84000</t>
  </si>
  <si>
    <t>A13MK84351</t>
  </si>
  <si>
    <t>A13MK91549</t>
  </si>
  <si>
    <t>A13MK91550</t>
  </si>
  <si>
    <t>A13MK92000</t>
  </si>
  <si>
    <t>A13MK92502</t>
  </si>
  <si>
    <t>A13MK94000</t>
  </si>
  <si>
    <t>A13MK94351</t>
  </si>
  <si>
    <t>A13MK901200</t>
  </si>
  <si>
    <t>A13MK902000</t>
  </si>
  <si>
    <t>A13MK904000</t>
  </si>
  <si>
    <t>AC754WF93071</t>
  </si>
  <si>
    <t>AC756WG07202</t>
  </si>
  <si>
    <t>AC757WG11495</t>
  </si>
  <si>
    <t>AC758WG21001</t>
  </si>
  <si>
    <t>AC759WG35000</t>
  </si>
  <si>
    <t>AMB000011001</t>
  </si>
  <si>
    <t>AMB000031001</t>
  </si>
  <si>
    <t>AMB000042000</t>
  </si>
  <si>
    <t>AMB000081001</t>
  </si>
  <si>
    <t>AMB000082000</t>
  </si>
  <si>
    <t>AMB000091001</t>
  </si>
  <si>
    <t>AMB000092602</t>
  </si>
  <si>
    <t>AMB000093522</t>
  </si>
  <si>
    <t>AMB000094143</t>
  </si>
  <si>
    <t>AMB000098413</t>
  </si>
  <si>
    <t>AMB000099614</t>
  </si>
  <si>
    <t>AMB000101001</t>
  </si>
  <si>
    <t>AMB000102602</t>
  </si>
  <si>
    <t>AMB000112000</t>
  </si>
  <si>
    <t>AMB000121001</t>
  </si>
  <si>
    <t>AMB000124143</t>
  </si>
  <si>
    <t>AMB000132000</t>
  </si>
  <si>
    <t>AMB00013</t>
  </si>
  <si>
    <t>BASIC NARROW</t>
  </si>
  <si>
    <t>AMB000142602</t>
  </si>
  <si>
    <t>AMB000151001</t>
  </si>
  <si>
    <t>AMB000152000</t>
  </si>
  <si>
    <t>AMB000161001</t>
  </si>
  <si>
    <t>AMB000172000</t>
  </si>
  <si>
    <t>AMB000182000</t>
  </si>
  <si>
    <t>AMB000212000</t>
  </si>
  <si>
    <t>AMB000226000</t>
  </si>
  <si>
    <t>AUB000012602</t>
  </si>
  <si>
    <t>AUB00001I2602</t>
  </si>
  <si>
    <t>AUB000022602</t>
  </si>
  <si>
    <t>AUB00002I3268</t>
  </si>
  <si>
    <t>AUB000032141</t>
  </si>
  <si>
    <t>AUB00004I2000</t>
  </si>
  <si>
    <t>AUB000052141</t>
  </si>
  <si>
    <t>AWB000011001</t>
  </si>
  <si>
    <t>AWB000012001</t>
  </si>
  <si>
    <t>AWB000022000</t>
  </si>
  <si>
    <t>AWB000046000</t>
  </si>
  <si>
    <t>B04R82S20SHM</t>
  </si>
  <si>
    <t>B04R84S20SHM</t>
  </si>
  <si>
    <t>B08859DI5ANPD</t>
  </si>
  <si>
    <t>B176U17W801035</t>
  </si>
  <si>
    <t>B177378K383190</t>
  </si>
  <si>
    <t>B177K02S941324</t>
  </si>
  <si>
    <t>B177K02S944130</t>
  </si>
  <si>
    <t>B177T78ES74834</t>
  </si>
  <si>
    <t>B177U15W791033</t>
  </si>
  <si>
    <t>B179L06EW94834</t>
  </si>
  <si>
    <t>B179L06IK4100</t>
  </si>
  <si>
    <t>B17A112ES93265</t>
  </si>
  <si>
    <t>B17A113ET23265</t>
  </si>
  <si>
    <t>B20A551IH1BFHM</t>
  </si>
  <si>
    <t>B24800GG4ASOL</t>
  </si>
  <si>
    <t>B24800OM2S</t>
  </si>
  <si>
    <t>B24800OMACDM</t>
  </si>
  <si>
    <t>B24800OMACKM</t>
  </si>
  <si>
    <t>B24800OMAQPM</t>
  </si>
  <si>
    <t>B24800OMETM</t>
  </si>
  <si>
    <t>B24800OMVAM</t>
  </si>
  <si>
    <t>B24858BB6VAM</t>
  </si>
  <si>
    <t>B24858CV7ADMD</t>
  </si>
  <si>
    <t>B24858F67KGM</t>
  </si>
  <si>
    <t>B24858H546W</t>
  </si>
  <si>
    <t>B24858H94LEM</t>
  </si>
  <si>
    <t>B24858J456W</t>
  </si>
  <si>
    <t>B24858L167T</t>
  </si>
  <si>
    <t>B24858NBT2ACLD</t>
  </si>
  <si>
    <t>B24858NBT2ADKL</t>
  </si>
  <si>
    <t>B24858NBT2ASQM</t>
  </si>
  <si>
    <t>B24858NBT2CQ</t>
  </si>
  <si>
    <t>B24858NBT2MWD</t>
  </si>
  <si>
    <t>B24858OMVAM</t>
  </si>
  <si>
    <t>B24858P90SHM</t>
  </si>
  <si>
    <t>B24858QZETM</t>
  </si>
  <si>
    <t>B24859EG4ASKM</t>
  </si>
  <si>
    <t>B24859EG6ASLM</t>
  </si>
  <si>
    <t>B24859GY1ACLD</t>
  </si>
  <si>
    <t>B24900OM2S</t>
  </si>
  <si>
    <t>B24900OMAQPM</t>
  </si>
  <si>
    <t>B24900OMSPD</t>
  </si>
  <si>
    <t>B24E08AX3YQM</t>
  </si>
  <si>
    <t>B24E08BA7P7</t>
  </si>
  <si>
    <t>B24E08BA7VAM</t>
  </si>
  <si>
    <t>B24E08BA9VAM</t>
  </si>
  <si>
    <t>B24E08BB3P7</t>
  </si>
  <si>
    <t>B24E08BB3VAM</t>
  </si>
  <si>
    <t>B24E08BT8AAFL</t>
  </si>
  <si>
    <t>B24E08D462F</t>
  </si>
  <si>
    <t>B24E08D46FRD</t>
  </si>
  <si>
    <t>B24E08D46R7</t>
  </si>
  <si>
    <t>B24E08E4JFM</t>
  </si>
  <si>
    <t>B24E08GG4ASOL</t>
  </si>
  <si>
    <t>B24E08GH1AWKL</t>
  </si>
  <si>
    <t>B24E08HH4BEKL</t>
  </si>
  <si>
    <t>B24E08J302S</t>
  </si>
  <si>
    <t>B24E08K99NJD</t>
  </si>
  <si>
    <t>B24E08NBT2ADKL</t>
  </si>
  <si>
    <t>B24E08NBT2ASQM</t>
  </si>
  <si>
    <t>B24E08NBT2BEND</t>
  </si>
  <si>
    <t>B24E08OM2S</t>
  </si>
  <si>
    <t>B24E08OMAQPM</t>
  </si>
  <si>
    <t>B24E08OMBEML</t>
  </si>
  <si>
    <t>B24E08OMETM</t>
  </si>
  <si>
    <t>B24E08QZ6W</t>
  </si>
  <si>
    <t>B24E08QZF4</t>
  </si>
  <si>
    <t>B24E08X07TXD</t>
  </si>
  <si>
    <t>B24H54QZ6W</t>
  </si>
  <si>
    <t>B24J19BA9P7</t>
  </si>
  <si>
    <t>B24J19GG3ASOL</t>
  </si>
  <si>
    <t>B24J19GG9AWEM</t>
  </si>
  <si>
    <t>B24J19GY2AAGM</t>
  </si>
  <si>
    <t>B24J19HH3BERM</t>
  </si>
  <si>
    <t>B24Q15M53NBD</t>
  </si>
  <si>
    <t>B24Q15M53SIM</t>
  </si>
  <si>
    <t>B24Q19J39SWD</t>
  </si>
  <si>
    <t>B24Q27M652S</t>
  </si>
  <si>
    <t>B24Q27M65LEM</t>
  </si>
  <si>
    <t>B24Q27M65LZD</t>
  </si>
  <si>
    <t>B24Q27U65EAD</t>
  </si>
  <si>
    <t>B24Q27U65SHM</t>
  </si>
  <si>
    <t>B24Q28U65EAD</t>
  </si>
  <si>
    <t>B24Q28U65SHM</t>
  </si>
  <si>
    <t>B24R73R88SWD</t>
  </si>
  <si>
    <t>B24S01T85SIM</t>
  </si>
  <si>
    <t>B24S26M53NZM</t>
  </si>
  <si>
    <t>B24V47OMAQPM</t>
  </si>
  <si>
    <t>B24V47OMETM</t>
  </si>
  <si>
    <t>B2F800MN711</t>
  </si>
  <si>
    <t>B2F859IT7BOSD</t>
  </si>
  <si>
    <t>B2F859M6011</t>
  </si>
  <si>
    <t>B2F859MN7BOXL</t>
  </si>
  <si>
    <t>B2F859NBTBOVM</t>
  </si>
  <si>
    <t>B2F859NBTBOY</t>
  </si>
  <si>
    <t>B2F859OMBOXL</t>
  </si>
  <si>
    <t>B2F859TSBORD</t>
  </si>
  <si>
    <t>B2PCSETGZ62S</t>
  </si>
  <si>
    <t>B2PCSETKP43535</t>
  </si>
  <si>
    <t>B2PCSTKP43535</t>
  </si>
  <si>
    <t>B3F800BJ92S</t>
  </si>
  <si>
    <t>B3PCSETAT44566</t>
  </si>
  <si>
    <t>B3PCSETAU61209</t>
  </si>
  <si>
    <t>B3PCSETKP63190</t>
  </si>
  <si>
    <t>B3PCSETKP63538</t>
  </si>
  <si>
    <t>B3PCSETX131821</t>
  </si>
  <si>
    <t>B3PCSTKP63538</t>
  </si>
  <si>
    <t>B58859N282647</t>
  </si>
  <si>
    <t>B58859N283436</t>
  </si>
  <si>
    <t>B58A274GG83105</t>
  </si>
  <si>
    <t>B58E08BJ06035</t>
  </si>
  <si>
    <t>B58E08GG66397</t>
  </si>
  <si>
    <t>B5PA484HT21439</t>
  </si>
  <si>
    <t>B648229F591100</t>
  </si>
  <si>
    <t>B648229S796228</t>
  </si>
  <si>
    <t>B648229S814147</t>
  </si>
  <si>
    <t>B64822S814147</t>
  </si>
  <si>
    <t>B8CA538MQ41700</t>
  </si>
  <si>
    <t>B8CA538NM51001</t>
  </si>
  <si>
    <t>B8CA538NM56064</t>
  </si>
  <si>
    <t>B8CA924NM61700</t>
  </si>
  <si>
    <t>BANDANA0019602</t>
  </si>
  <si>
    <t>BANDANA001</t>
  </si>
  <si>
    <t>3 PACKS BANDANA BOX</t>
  </si>
  <si>
    <t>MULTI</t>
  </si>
  <si>
    <t>16HO</t>
  </si>
  <si>
    <t>BAR840K333126</t>
  </si>
  <si>
    <t>BAR841K331311</t>
  </si>
  <si>
    <t>BAR841K332505</t>
  </si>
  <si>
    <t>BAR841K337307</t>
  </si>
  <si>
    <t>BAXE08EL2HB</t>
  </si>
  <si>
    <t>BB8E08J302S</t>
  </si>
  <si>
    <t>BCBE08K321001</t>
  </si>
  <si>
    <t>BCBE08K321100</t>
  </si>
  <si>
    <t>BCBE08K321548</t>
  </si>
  <si>
    <t>BCBE08K321700</t>
  </si>
  <si>
    <t>BCBE08K322167</t>
  </si>
  <si>
    <t>BCBE08K322414</t>
  </si>
  <si>
    <t>BCBE08K323408</t>
  </si>
  <si>
    <t>BCBE08K323461</t>
  </si>
  <si>
    <t>BCBE08K323465</t>
  </si>
  <si>
    <t>BCBE08K324703</t>
  </si>
  <si>
    <t>BCBE08K324828</t>
  </si>
  <si>
    <t>BCBE08K324835</t>
  </si>
  <si>
    <t>BCBE08K326367</t>
  </si>
  <si>
    <t>BCBE08K327280</t>
  </si>
  <si>
    <t>BCBE08K328387</t>
  </si>
  <si>
    <t>BCBV47K321700</t>
  </si>
  <si>
    <t>BCBV47K323408</t>
  </si>
  <si>
    <t>BCBV47K323465</t>
  </si>
  <si>
    <t>BCBV47K324703</t>
  </si>
  <si>
    <t>BCBV47K327280</t>
  </si>
  <si>
    <t>BCBV47K328387</t>
  </si>
  <si>
    <t>BCZ859TS4925</t>
  </si>
  <si>
    <t>BCZ859TS6095</t>
  </si>
  <si>
    <t>BECT73CS2BZ</t>
  </si>
  <si>
    <t>BED8H34EC31746</t>
  </si>
  <si>
    <t>BEG841K336436</t>
  </si>
  <si>
    <t>BEGU23K331001</t>
  </si>
  <si>
    <t>BEGU23K331399</t>
  </si>
  <si>
    <t>BEGU23K332415</t>
  </si>
  <si>
    <t>BETQ30ES02S</t>
  </si>
  <si>
    <t>BGH7T79ET41821</t>
  </si>
  <si>
    <t>BGH7T79EU01821</t>
  </si>
  <si>
    <t>BGH7T81ET11821</t>
  </si>
  <si>
    <t>BGH7T81HU21746</t>
  </si>
  <si>
    <t>BGH7W56GG41746</t>
  </si>
  <si>
    <t>BGH7W56HU61821</t>
  </si>
  <si>
    <t>BGH7W56HU71821</t>
  </si>
  <si>
    <t>BGH8229EB51035</t>
  </si>
  <si>
    <t>BGH8229EB51746</t>
  </si>
  <si>
    <t>BGH8229EB56366</t>
  </si>
  <si>
    <t>BGH8229EB93021</t>
  </si>
  <si>
    <t>BGH8229EC01317</t>
  </si>
  <si>
    <t>BGH8229EC11746</t>
  </si>
  <si>
    <t>BGH8229FV51739</t>
  </si>
  <si>
    <t>BGH8229FV84135</t>
  </si>
  <si>
    <t>BGH8229FZ31821</t>
  </si>
  <si>
    <t>BGH8229FZ46035</t>
  </si>
  <si>
    <t>BGH8229FZ71821</t>
  </si>
  <si>
    <t>BGH8229FZ84704</t>
  </si>
  <si>
    <t>BGH8229FZ93476</t>
  </si>
  <si>
    <t>BGH8229HE06400</t>
  </si>
  <si>
    <t>BGH8229HE14135</t>
  </si>
  <si>
    <t>BGHA475HU58405</t>
  </si>
  <si>
    <t>BHZQ30JR134893</t>
  </si>
  <si>
    <t>BHZQ30JR13RNS</t>
  </si>
  <si>
    <t>BHZT80NBT22S</t>
  </si>
  <si>
    <t>BJDQ30FK86391</t>
  </si>
  <si>
    <t>BJDQ30GX53478</t>
  </si>
  <si>
    <t>BJHE08DK1NBD</t>
  </si>
  <si>
    <t>BJS8S45W761035</t>
  </si>
  <si>
    <t>BJS8S45W761746</t>
  </si>
  <si>
    <t>BJX8U82AB01035</t>
  </si>
  <si>
    <t>BL4BR22VY4495</t>
  </si>
  <si>
    <t>BLK8036AT11740</t>
  </si>
  <si>
    <t>BLK8036AT28315</t>
  </si>
  <si>
    <t>BLK8036AT31746</t>
  </si>
  <si>
    <t>BLK8036AT36030</t>
  </si>
  <si>
    <t>BLK8229DL81746</t>
  </si>
  <si>
    <t>BLK8229DL84135</t>
  </si>
  <si>
    <t>BLK8229DM06366</t>
  </si>
  <si>
    <t>BLK8229DM41035</t>
  </si>
  <si>
    <t>BLK8229DM41746</t>
  </si>
  <si>
    <t>BLK8229DM46032</t>
  </si>
  <si>
    <t>BLK8229DM51746</t>
  </si>
  <si>
    <t>BLK8229DM54135</t>
  </si>
  <si>
    <t>BLK8229W751528</t>
  </si>
  <si>
    <t>BLK8229W755031</t>
  </si>
  <si>
    <t>BLK8L14W786122</t>
  </si>
  <si>
    <t>BLK8V05AI02633</t>
  </si>
  <si>
    <t>BLK8V05AI21904</t>
  </si>
  <si>
    <t>BLK8V32AK01898</t>
  </si>
  <si>
    <t>BLK8V32AK24810</t>
  </si>
  <si>
    <t>BLS7V86AO01900</t>
  </si>
  <si>
    <t>BLW8036AT01505</t>
  </si>
  <si>
    <t>BLW8036AT01746</t>
  </si>
  <si>
    <t>BLY7S97DM76366</t>
  </si>
  <si>
    <t>BMJ8T27DM64135</t>
  </si>
  <si>
    <t>BN48S46W771746</t>
  </si>
  <si>
    <t>BNGBP57VR4313</t>
  </si>
  <si>
    <t>BNGBX17HY28397</t>
  </si>
  <si>
    <t>BNL6X84CK26030</t>
  </si>
  <si>
    <t>BNL7X85CK14061</t>
  </si>
  <si>
    <t>BNNV21Y053243</t>
  </si>
  <si>
    <t>BNNV21Y058048</t>
  </si>
  <si>
    <t>BP4BV92EB36377</t>
  </si>
  <si>
    <t>BP4BV92VR2354</t>
  </si>
  <si>
    <t>BP4BV92VR6343</t>
  </si>
  <si>
    <t>BQ2859Y04XGM</t>
  </si>
  <si>
    <t>BQ2A147GR9AWCM</t>
  </si>
  <si>
    <t>BQ2E08F83JXD</t>
  </si>
  <si>
    <t>BQ2R62Y04YNL</t>
  </si>
  <si>
    <t>BQ9861Y444484</t>
  </si>
  <si>
    <t>BQPBS41DC51959</t>
  </si>
  <si>
    <t>BQUE08DG43450</t>
  </si>
  <si>
    <t>BR8X06ES62S</t>
  </si>
  <si>
    <t>BR8X06ES6BBLD</t>
  </si>
  <si>
    <t>BRG8Y77DM51951</t>
  </si>
  <si>
    <t>BRHSC4192368</t>
  </si>
  <si>
    <t>BRHSC419</t>
  </si>
  <si>
    <t>SKULL BANDANA PRINT SCARF</t>
  </si>
  <si>
    <t>FIERY RED</t>
  </si>
  <si>
    <t>BRHSC4194002</t>
  </si>
  <si>
    <t>MIDNIGHT NAVY</t>
  </si>
  <si>
    <t>BRK8Z89EB14135</t>
  </si>
  <si>
    <t>BTPA011EA94135</t>
  </si>
  <si>
    <t>BTTA011EH41505</t>
  </si>
  <si>
    <t>BV68N80K441100</t>
  </si>
  <si>
    <t>BVKV23GX39624</t>
  </si>
  <si>
    <t>BVU8V32FW21414</t>
  </si>
  <si>
    <t>BVU8V32FW33475</t>
  </si>
  <si>
    <t>BVUA320FX71414</t>
  </si>
  <si>
    <t>BVUA320GA01745</t>
  </si>
  <si>
    <t>BVWA483EG6439</t>
  </si>
  <si>
    <t>BWBA239GA14713</t>
  </si>
  <si>
    <t>BWSA412HY84150</t>
  </si>
  <si>
    <t>BXRA340GG51505</t>
  </si>
  <si>
    <t>BZL8229HT14135</t>
  </si>
  <si>
    <t>BZL8229HT51821</t>
  </si>
  <si>
    <t>DENTOTE0014144</t>
  </si>
  <si>
    <t>DENTOTE001</t>
  </si>
  <si>
    <t>BUDDHA BLEACHED DENIM TOTE</t>
  </si>
  <si>
    <t>DRIPYBP0011001</t>
  </si>
  <si>
    <t>DRIPYBP001</t>
  </si>
  <si>
    <t>DRIPPY HORSESHOE BACKPACK</t>
  </si>
  <si>
    <t>EARTHTB0011701</t>
  </si>
  <si>
    <t>EARTHTB001</t>
  </si>
  <si>
    <t>EARTH DAY TOTE</t>
  </si>
  <si>
    <t>G10572NBT2ANZD</t>
  </si>
  <si>
    <t>G10572NBT2ATYM</t>
  </si>
  <si>
    <t>G10572NBT2AVFM</t>
  </si>
  <si>
    <t>G10572NBT2NJD</t>
  </si>
  <si>
    <t>G10572RDN27T</t>
  </si>
  <si>
    <t>G10572S51SHM</t>
  </si>
  <si>
    <t>G10572S54EAD</t>
  </si>
  <si>
    <t>G10592BA311</t>
  </si>
  <si>
    <t>G10592GX911</t>
  </si>
  <si>
    <t>G10592NBT2ATYM</t>
  </si>
  <si>
    <t>G10592NBT2AVFM</t>
  </si>
  <si>
    <t>G10592OMNJD</t>
  </si>
  <si>
    <t>G10599BA811</t>
  </si>
  <si>
    <t>G10599BA8SHM</t>
  </si>
  <si>
    <t>G10599BB22V</t>
  </si>
  <si>
    <t>G10599DB3AOCD</t>
  </si>
  <si>
    <t>G10599GX8ATYM</t>
  </si>
  <si>
    <t>G10599GX8AVFM</t>
  </si>
  <si>
    <t>G10599L36MWD</t>
  </si>
  <si>
    <t>G10599NBT211</t>
  </si>
  <si>
    <t>G10599NBT27T</t>
  </si>
  <si>
    <t>G10599NBT2ATYM</t>
  </si>
  <si>
    <t>G10599NBT2AVFM</t>
  </si>
  <si>
    <t>G10599NBT2ZAM</t>
  </si>
  <si>
    <t>G10599OMNJD</t>
  </si>
  <si>
    <t>G10599PWT2FRD</t>
  </si>
  <si>
    <t>G10599RDN26W</t>
  </si>
  <si>
    <t>G10599S54SWD</t>
  </si>
  <si>
    <t>G10G11BA811</t>
  </si>
  <si>
    <t>G10G11BA9SHM</t>
  </si>
  <si>
    <t>G10G11BB211</t>
  </si>
  <si>
    <t>G10G11BB2SHM</t>
  </si>
  <si>
    <t>G10G11IA3BEXM</t>
  </si>
  <si>
    <t>G10G11NBT211</t>
  </si>
  <si>
    <t>G10H42BA211</t>
  </si>
  <si>
    <t>G10M25GH5AWOL</t>
  </si>
  <si>
    <t>G10Q39R99SHM</t>
  </si>
  <si>
    <t>G10R94T02PCM</t>
  </si>
  <si>
    <t>G10R95T02SWD</t>
  </si>
  <si>
    <t>G10W13BA211</t>
  </si>
  <si>
    <t>G10W13BA311</t>
  </si>
  <si>
    <t>G10W15BA811</t>
  </si>
  <si>
    <t>G10W15BA8SHM</t>
  </si>
  <si>
    <t>G10W15BB22V</t>
  </si>
  <si>
    <t>G177227AE18348</t>
  </si>
  <si>
    <t>G177L18W976245</t>
  </si>
  <si>
    <t>G177P07GE06390</t>
  </si>
  <si>
    <t>G177T78ET36390</t>
  </si>
  <si>
    <t>G21599MW35160</t>
  </si>
  <si>
    <t>G2G592LB5BOSD</t>
  </si>
  <si>
    <t>G2G592LF911</t>
  </si>
  <si>
    <t>G2G599LB5BOXL</t>
  </si>
  <si>
    <t>G2G599LF8BOTM</t>
  </si>
  <si>
    <t>G2PCSETGZ52S</t>
  </si>
  <si>
    <t>G2PCSETKP56017</t>
  </si>
  <si>
    <t>G2PCSTKP56017</t>
  </si>
  <si>
    <t>G3G599KL51V</t>
  </si>
  <si>
    <t>G3NA414FY31700</t>
  </si>
  <si>
    <t>G3PCSETAT76275</t>
  </si>
  <si>
    <t>G3PCSETKP74894</t>
  </si>
  <si>
    <t>G3PCSETX145031</t>
  </si>
  <si>
    <t>G3PCSTKP74894</t>
  </si>
  <si>
    <t>G4NA481HV02707</t>
  </si>
  <si>
    <t>G4OA504CB06445</t>
  </si>
  <si>
    <t>G648240F591001</t>
  </si>
  <si>
    <t>G648240S558322</t>
  </si>
  <si>
    <t>G648240S561746</t>
  </si>
  <si>
    <t>G648240S566052</t>
  </si>
  <si>
    <t>G648240S571332</t>
  </si>
  <si>
    <t>G8AA477HS56446</t>
  </si>
  <si>
    <t>G8M592HL51837</t>
  </si>
  <si>
    <t>G8MA449HL51837</t>
  </si>
  <si>
    <t>G95K35BT15092</t>
  </si>
  <si>
    <t>G95K35BT16274</t>
  </si>
  <si>
    <t>G95K44BT18347</t>
  </si>
  <si>
    <t>G9MA449HM51838</t>
  </si>
  <si>
    <t>GAS4J83OM2S</t>
  </si>
  <si>
    <t>GAS4J83OMEAD</t>
  </si>
  <si>
    <t>GAS599EMBDRM</t>
  </si>
  <si>
    <t>GAS599F83GXM</t>
  </si>
  <si>
    <t>GAS599HN3BEBM</t>
  </si>
  <si>
    <t>GASA463HN8BEYL</t>
  </si>
  <si>
    <t>GASG93OM6P</t>
  </si>
  <si>
    <t>GASJ70OMNBD</t>
  </si>
  <si>
    <t>GASJ83OM11</t>
  </si>
  <si>
    <t>GASJ83OM6P</t>
  </si>
  <si>
    <t>GASJ83OMGRD</t>
  </si>
  <si>
    <t>GASJ83OMX5</t>
  </si>
  <si>
    <t>GASS36OMNZM</t>
  </si>
  <si>
    <t>GAX592EY7ATED</t>
  </si>
  <si>
    <t>GAX599EI6ATVD</t>
  </si>
  <si>
    <t>GAX599EL2SB</t>
  </si>
  <si>
    <t>GAX599EL9CB</t>
  </si>
  <si>
    <t>GAXL56GS1ACYL</t>
  </si>
  <si>
    <t>GCBV59K324599</t>
  </si>
  <si>
    <t>GED8T12W884130</t>
  </si>
  <si>
    <t>GET599X272S</t>
  </si>
  <si>
    <t>GETQ29ES12S</t>
  </si>
  <si>
    <t>GETS35M47FZM</t>
  </si>
  <si>
    <t>GF435921001</t>
  </si>
  <si>
    <t>GGH7T79ES81821</t>
  </si>
  <si>
    <t>GGH7T79EU01821</t>
  </si>
  <si>
    <t>GGH7T81EV51821</t>
  </si>
  <si>
    <t>GGH7T81HU21746</t>
  </si>
  <si>
    <t>GGH7W56GG21746</t>
  </si>
  <si>
    <t>GGH7W56HU41821</t>
  </si>
  <si>
    <t>GGH7W56HY91746</t>
  </si>
  <si>
    <t>GGH8240EU71001</t>
  </si>
  <si>
    <t>GGH8240EU71746</t>
  </si>
  <si>
    <t>GGH8240EU74701</t>
  </si>
  <si>
    <t>GGH8240FY81746</t>
  </si>
  <si>
    <t>GGH8K78EU81001</t>
  </si>
  <si>
    <t>GGH8K78EU81746</t>
  </si>
  <si>
    <t>GGH8K78EU86392</t>
  </si>
  <si>
    <t>GGH8K78EU91001</t>
  </si>
  <si>
    <t>GGH8K78EU91746</t>
  </si>
  <si>
    <t>GGH8K78EU96635</t>
  </si>
  <si>
    <t>GGH8K78EV11001</t>
  </si>
  <si>
    <t>GGH8K78EV11298</t>
  </si>
  <si>
    <t>GGH8K78EV12546</t>
  </si>
  <si>
    <t>GGH8K78EV13459</t>
  </si>
  <si>
    <t>GGH8K78EV16635</t>
  </si>
  <si>
    <t>GGH8K78FY94705</t>
  </si>
  <si>
    <t>GGH8K78FZ17284</t>
  </si>
  <si>
    <t>GGH8K78FZ26399</t>
  </si>
  <si>
    <t>GGH8K78S626622</t>
  </si>
  <si>
    <t>GGH8S37EV41746</t>
  </si>
  <si>
    <t>GGH8S37EV43459</t>
  </si>
  <si>
    <t>GGH8S37EV46392</t>
  </si>
  <si>
    <t>GGH8S37EV46861</t>
  </si>
  <si>
    <t>GGHA475HU58405</t>
  </si>
  <si>
    <t>GGHA478HS31821</t>
  </si>
  <si>
    <t>GGHA478HS61821</t>
  </si>
  <si>
    <t>GHZA278GG7AWMM</t>
  </si>
  <si>
    <t>GHZL56GH6AWPL</t>
  </si>
  <si>
    <t>GHZL56HB811</t>
  </si>
  <si>
    <t>GHZL56HS0BFBM</t>
  </si>
  <si>
    <t>GHZL56TS2V</t>
  </si>
  <si>
    <t>GHZL56TSAPAD</t>
  </si>
  <si>
    <t>GHZL57LE8FDD</t>
  </si>
  <si>
    <t>GHZL57TSAPAD</t>
  </si>
  <si>
    <t>GHZL57TSAWTM</t>
  </si>
  <si>
    <t>GHZL57U35MWD</t>
  </si>
  <si>
    <t>GHZQ29JR234895</t>
  </si>
  <si>
    <t>STELLA SKINNY W FLAPS</t>
  </si>
  <si>
    <t>GHZQ29JR23RNS</t>
  </si>
  <si>
    <t>GHZT80NBT22S</t>
  </si>
  <si>
    <t>GHZU01HA211</t>
  </si>
  <si>
    <t>GJD599GP74704</t>
  </si>
  <si>
    <t>GJD599GP76398</t>
  </si>
  <si>
    <t>GJDG11GP74704</t>
  </si>
  <si>
    <t>GJDG11GP76398</t>
  </si>
  <si>
    <t>GJDH42K674525</t>
  </si>
  <si>
    <t>GJDH42K676814</t>
  </si>
  <si>
    <t>GJDJ70K674525</t>
  </si>
  <si>
    <t>GJDJ70K677435</t>
  </si>
  <si>
    <t>GJDL56CQ01001</t>
  </si>
  <si>
    <t>GJDL56CQ03459</t>
  </si>
  <si>
    <t>GJDL56CQ05145</t>
  </si>
  <si>
    <t>GJDL56CQ06383</t>
  </si>
  <si>
    <t>GJDL56CQ06635</t>
  </si>
  <si>
    <t>GJDL56EV61202</t>
  </si>
  <si>
    <t>GJDL56EY96604</t>
  </si>
  <si>
    <t>GJDL56EZ01800</t>
  </si>
  <si>
    <t>GJDL56EZ01977</t>
  </si>
  <si>
    <t>GJDL56EZ06862</t>
  </si>
  <si>
    <t>GJDL56GQ86604</t>
  </si>
  <si>
    <t>GJDL56GR53466</t>
  </si>
  <si>
    <t>GJDL56GR54705</t>
  </si>
  <si>
    <t>GJDL56GR57284</t>
  </si>
  <si>
    <t>GJDL56K674577</t>
  </si>
  <si>
    <t>GJDL56K674695</t>
  </si>
  <si>
    <t>GJDL56K675012</t>
  </si>
  <si>
    <t>GJDL56K676632</t>
  </si>
  <si>
    <t>GJDL57K675062</t>
  </si>
  <si>
    <t>GJDL57K676616</t>
  </si>
  <si>
    <t>GJDL57K676814</t>
  </si>
  <si>
    <t>GJDL57K677435</t>
  </si>
  <si>
    <t>GJDL57S25M6484</t>
  </si>
  <si>
    <t>GJDL57U281171</t>
  </si>
  <si>
    <t>GJDL57U282729</t>
  </si>
  <si>
    <t>GJDL57U284288</t>
  </si>
  <si>
    <t>GJDL57U286146</t>
  </si>
  <si>
    <t>GJDM05GR51746</t>
  </si>
  <si>
    <t>GJDM05GR53466</t>
  </si>
  <si>
    <t>GJDM05GR54705</t>
  </si>
  <si>
    <t>GJDM05GR56399</t>
  </si>
  <si>
    <t>GJDM05GR57284</t>
  </si>
  <si>
    <t>GJDM05HL21835</t>
  </si>
  <si>
    <t>GJDU01AF24117</t>
  </si>
  <si>
    <t>GJDU01AF28316</t>
  </si>
  <si>
    <t>GJDU01EX26635</t>
  </si>
  <si>
    <t>GJS7S39W726031</t>
  </si>
  <si>
    <t>GJS8S38DR11746</t>
  </si>
  <si>
    <t>GJS8S38W711746</t>
  </si>
  <si>
    <t>GL78G77HV26399</t>
  </si>
  <si>
    <t>GL78G77HV31821</t>
  </si>
  <si>
    <t>GLB7U69W905031</t>
  </si>
  <si>
    <t>GLH572OMATZD</t>
  </si>
  <si>
    <t>GLH572OMAUAM</t>
  </si>
  <si>
    <t>GLH599OMANXD</t>
  </si>
  <si>
    <t>GLH599OMATZD</t>
  </si>
  <si>
    <t>GLH599OMAUAM</t>
  </si>
  <si>
    <t>GLK8240DL51035</t>
  </si>
  <si>
    <t>GLK8240W751528</t>
  </si>
  <si>
    <t>GLK8240W751740</t>
  </si>
  <si>
    <t>GLK8240W751746</t>
  </si>
  <si>
    <t>GLK8240W755031</t>
  </si>
  <si>
    <t>GLK8240W756122</t>
  </si>
  <si>
    <t>GLK8K99AC82627</t>
  </si>
  <si>
    <t>GLK8K99AC94483</t>
  </si>
  <si>
    <t>GLK8K99AX01746</t>
  </si>
  <si>
    <t>GLK8W31AD27439</t>
  </si>
  <si>
    <t>GLUV59K324599</t>
  </si>
  <si>
    <t>GLW8K99AX01505</t>
  </si>
  <si>
    <t>GMZBP40IK6174</t>
  </si>
  <si>
    <t>GNZA103EV23265</t>
  </si>
  <si>
    <t>GNZA103EV26395</t>
  </si>
  <si>
    <t>GQ1599H132S</t>
  </si>
  <si>
    <t>GQ15Q52U66SWD</t>
  </si>
  <si>
    <t>GQ1L39H13MWD</t>
  </si>
  <si>
    <t>GQ1M66BCS6W</t>
  </si>
  <si>
    <t>GQ2V51Y04ZGM</t>
  </si>
  <si>
    <t>GQHBW93BD16859</t>
  </si>
  <si>
    <t>GR8X06ES52S</t>
  </si>
  <si>
    <t>GR8X06ES5BBLD</t>
  </si>
  <si>
    <t>GTS6Z76DN72S</t>
  </si>
  <si>
    <t>GTS7Z75DN52S</t>
  </si>
  <si>
    <t>GVUA259FY01746</t>
  </si>
  <si>
    <t>GWAA009EV36861</t>
  </si>
  <si>
    <t>GWAA500FV61821</t>
  </si>
  <si>
    <t>GWBA501HZ31001</t>
  </si>
  <si>
    <t>GXTA256FV21700</t>
  </si>
  <si>
    <t>GXTA256FV26415</t>
  </si>
  <si>
    <t>GXTA502HY31701</t>
  </si>
  <si>
    <t>GXUA415FY22666</t>
  </si>
  <si>
    <t>GXWA411HC62702</t>
  </si>
  <si>
    <t>GXWA411IK1700</t>
  </si>
  <si>
    <t>GZ86R29W921505</t>
  </si>
  <si>
    <t>GZ87K02W911505</t>
  </si>
  <si>
    <t>GZ87KO2W911505</t>
  </si>
  <si>
    <t>GZNA103EV23265</t>
  </si>
  <si>
    <t>GZNA103EV26395</t>
  </si>
  <si>
    <t>GZPA258FV31800</t>
  </si>
  <si>
    <t>GZPA410FY11700</t>
  </si>
  <si>
    <t>HEADPHN0011001</t>
  </si>
  <si>
    <t>HEADPHN001</t>
  </si>
  <si>
    <t>TR HEADPHONES</t>
  </si>
  <si>
    <t>HEADPHN0011075</t>
  </si>
  <si>
    <t>BLACK / GOLD</t>
  </si>
  <si>
    <t>I32A044EH5ATMD</t>
  </si>
  <si>
    <t>I32A046EH5ATMD</t>
  </si>
  <si>
    <t>I43A081EC6ATOD</t>
  </si>
  <si>
    <t>I43A367EC6ATOD</t>
  </si>
  <si>
    <t>I46A045EH3ATNM</t>
  </si>
  <si>
    <t>I46A161EH3ATNM</t>
  </si>
  <si>
    <t>ISCA060EI4ATJM</t>
  </si>
  <si>
    <t>ISCA309EH8ATRD</t>
  </si>
  <si>
    <t>M04859S20LPD</t>
  </si>
  <si>
    <t>M049020S20NNM</t>
  </si>
  <si>
    <t>M04J19S20SZM</t>
  </si>
  <si>
    <t>M04J60S20SZM</t>
  </si>
  <si>
    <t>M05859BKT2PGDB</t>
  </si>
  <si>
    <t>M05859BKT2SYMB</t>
  </si>
  <si>
    <t>M05861V56TZMB</t>
  </si>
  <si>
    <t>M05J19BK99V</t>
  </si>
  <si>
    <t>M05J19BK9BB</t>
  </si>
  <si>
    <t>M05J60BKT2PGDB</t>
  </si>
  <si>
    <t>M05J60BKT2SYMB</t>
  </si>
  <si>
    <t>M05P31M53BZB</t>
  </si>
  <si>
    <t>M05P31M53PBMB</t>
  </si>
  <si>
    <t>M05P32M539CB</t>
  </si>
  <si>
    <t>M05P32M53BZB</t>
  </si>
  <si>
    <t>M05P32M53PBMB</t>
  </si>
  <si>
    <t>M05P58M53BZB</t>
  </si>
  <si>
    <t>M05P58M53PBMB</t>
  </si>
  <si>
    <t>M05T56U50PGDB</t>
  </si>
  <si>
    <t>M05T56U50TZMB</t>
  </si>
  <si>
    <t>M07800H76KLM</t>
  </si>
  <si>
    <t>M07859H76HAM</t>
  </si>
  <si>
    <t>M07E719MDFZM</t>
  </si>
  <si>
    <t>M07E719MDY4</t>
  </si>
  <si>
    <t>M07E719MDY5</t>
  </si>
  <si>
    <t>M07EM48J39LKM</t>
  </si>
  <si>
    <t>M07EN46J33CK</t>
  </si>
  <si>
    <t>M07EN46J33FZM</t>
  </si>
  <si>
    <t>M07EN48J39LKM</t>
  </si>
  <si>
    <t>M07N83TSY4</t>
  </si>
  <si>
    <t>M07P57M53PCM</t>
  </si>
  <si>
    <t>M07P57M53SGD</t>
  </si>
  <si>
    <t>M07Q03M65LPD</t>
  </si>
  <si>
    <t>M07R63S34STM</t>
  </si>
  <si>
    <t>M07R76T85SDM</t>
  </si>
  <si>
    <t>M07T64U45VED</t>
  </si>
  <si>
    <t>M07T64U47VP</t>
  </si>
  <si>
    <t>M07T72U54TQM</t>
  </si>
  <si>
    <t>M07U83U63SGD</t>
  </si>
  <si>
    <t>M07V42Y39XFM</t>
  </si>
  <si>
    <t>M07V69Y42XTM</t>
  </si>
  <si>
    <t>M07V70Z06XCL</t>
  </si>
  <si>
    <t>M07W53Y402J</t>
  </si>
  <si>
    <t>M07Z06CS2SGD</t>
  </si>
  <si>
    <t>M08800CR1ACGD</t>
  </si>
  <si>
    <t>M08800CR1SGD</t>
  </si>
  <si>
    <t>M08800FF4ASUD</t>
  </si>
  <si>
    <t>M08800GJ3AWAD</t>
  </si>
  <si>
    <t>M08800GJ3AWXD</t>
  </si>
  <si>
    <t>M08800GJ3YLD</t>
  </si>
  <si>
    <t>M08858CR1ACGD</t>
  </si>
  <si>
    <t>M08858CR1SGD</t>
  </si>
  <si>
    <t>M08858CV1ANOL</t>
  </si>
  <si>
    <t>M08858CV1ANPD</t>
  </si>
  <si>
    <t>M08858EG8ASND</t>
  </si>
  <si>
    <t>M08858EG8ASOL</t>
  </si>
  <si>
    <t>M08859CR1ACGD</t>
  </si>
  <si>
    <t>M08859CR1SGD</t>
  </si>
  <si>
    <t>M08859CV1ANOL</t>
  </si>
  <si>
    <t>M08859CV1ANPD</t>
  </si>
  <si>
    <t>M08859DI5ANPD</t>
  </si>
  <si>
    <t>M08859DI5AOND</t>
  </si>
  <si>
    <t>M08859DI5APML</t>
  </si>
  <si>
    <t>M08859EG5ARVD</t>
  </si>
  <si>
    <t>M08859EG8ASND</t>
  </si>
  <si>
    <t>M08859EG8ASOL</t>
  </si>
  <si>
    <t>M08859ES3ASAD</t>
  </si>
  <si>
    <t>M08859FF4ASUD</t>
  </si>
  <si>
    <t>M08859GJ3AWAD</t>
  </si>
  <si>
    <t>M08859GJ3AWXD</t>
  </si>
  <si>
    <t>M08859GJ3YLD</t>
  </si>
  <si>
    <t>M08859GM9AQRD</t>
  </si>
  <si>
    <t>M08859NKI1BNIM</t>
  </si>
  <si>
    <t>M08859NKU4BNLM</t>
  </si>
  <si>
    <t>M08859NKU4BOZD</t>
  </si>
  <si>
    <t>M08859NLP7BSED</t>
  </si>
  <si>
    <t>M08859NLW3BSCM</t>
  </si>
  <si>
    <t>M08859NLY9BSNL</t>
  </si>
  <si>
    <t>M08859NOJ3CFCD</t>
  </si>
  <si>
    <t>M08859QN2CTTM</t>
  </si>
  <si>
    <t>M08859VA1CRXM</t>
  </si>
  <si>
    <t>M08859WA1CTSD</t>
  </si>
  <si>
    <t>M08A149EX8ASCD</t>
  </si>
  <si>
    <t>M08A172EF8ARWD</t>
  </si>
  <si>
    <t>M08A172EF8ASBD</t>
  </si>
  <si>
    <t>M08A473LM9BSKM</t>
  </si>
  <si>
    <t>M08A907LY3BUOD</t>
  </si>
  <si>
    <t>M08B033LY3BUOD</t>
  </si>
  <si>
    <t>M08E08CR1ACGD</t>
  </si>
  <si>
    <t>M08E08CR1SGD</t>
  </si>
  <si>
    <t>M08E08FF4ASUD</t>
  </si>
  <si>
    <t>M08E08NIS6BMTD</t>
  </si>
  <si>
    <t>M08E08NOJ3CFCD</t>
  </si>
  <si>
    <t>M08J19CR1ACGD</t>
  </si>
  <si>
    <t>M08J19CR1SGD</t>
  </si>
  <si>
    <t>M08J19CV1ANOL</t>
  </si>
  <si>
    <t>M08J19CV1ANPD</t>
  </si>
  <si>
    <t>M08J19DI5ANPD</t>
  </si>
  <si>
    <t>M08J19DI5AOND</t>
  </si>
  <si>
    <t>M08J19DI5APML</t>
  </si>
  <si>
    <t>M08J19EG5ARVD</t>
  </si>
  <si>
    <t>M08J19EG8ASND</t>
  </si>
  <si>
    <t>M08J19EG8ASOL</t>
  </si>
  <si>
    <t>M08J19FF4ASUD</t>
  </si>
  <si>
    <t>M08J19GJ3AWAD</t>
  </si>
  <si>
    <t>M08J19GJ3AWXD</t>
  </si>
  <si>
    <t>M08J19GJ3YLD</t>
  </si>
  <si>
    <t>M08J19GM9AQRD</t>
  </si>
  <si>
    <t>M08J19NKU4BNLM</t>
  </si>
  <si>
    <t>M08J19NLK7BSCM</t>
  </si>
  <si>
    <t>M08J19NLM9BSKM</t>
  </si>
  <si>
    <t>M08J19NLP7BSED</t>
  </si>
  <si>
    <t>M08J60ES3ASAD</t>
  </si>
  <si>
    <t>M08J60NKU4BOZD</t>
  </si>
  <si>
    <t>M08J60NLW3BSCM</t>
  </si>
  <si>
    <t>M08Z01EF8ARWD</t>
  </si>
  <si>
    <t>M08Z01EF8ASBD</t>
  </si>
  <si>
    <t>M08Z03EF8AROL</t>
  </si>
  <si>
    <t>M0AA350KQ22383</t>
  </si>
  <si>
    <t>M0AA799LX52383</t>
  </si>
  <si>
    <t>M0BA894KQ42708</t>
  </si>
  <si>
    <t>M0BA894KQ46065</t>
  </si>
  <si>
    <t>M0CB031LH3BRRD</t>
  </si>
  <si>
    <t>M0CV98NLH3BRRD</t>
  </si>
  <si>
    <t>M0CV99NLH3BRRD</t>
  </si>
  <si>
    <t>M0DA602KQ6BSAD</t>
  </si>
  <si>
    <t>M0EA892KQ73272</t>
  </si>
  <si>
    <t>M0EA892KQ74907</t>
  </si>
  <si>
    <t>M0EA893KQ73272</t>
  </si>
  <si>
    <t>M0EA893KQ74907</t>
  </si>
  <si>
    <t>M0K800NKU3ARTD</t>
  </si>
  <si>
    <t>M0K800NKU3BPGM</t>
  </si>
  <si>
    <t>M0K800NKU3BUJD</t>
  </si>
  <si>
    <t>M0K858NKU3BMDL</t>
  </si>
  <si>
    <t>M0K859NKU3BMDL</t>
  </si>
  <si>
    <t>M0K859NKU3BPGM</t>
  </si>
  <si>
    <t>M0K859NKU3BQHD</t>
  </si>
  <si>
    <t>M0K859NKU3BUJD</t>
  </si>
  <si>
    <t>M0K859NLE6BQHD</t>
  </si>
  <si>
    <t>M0K859NLE6SGD</t>
  </si>
  <si>
    <t>M0KA799KU3BQHD</t>
  </si>
  <si>
    <t>M0KA799KU3BUJD</t>
  </si>
  <si>
    <t>M0KA802OD4CEMM</t>
  </si>
  <si>
    <t>M0KE08NKU3ARTD</t>
  </si>
  <si>
    <t>M0KE08NKU3BPGM</t>
  </si>
  <si>
    <t>M0KE08NKU3BQHD</t>
  </si>
  <si>
    <t>M0KE08NKU3BUJD</t>
  </si>
  <si>
    <t>M0KE08NLE6BQHD</t>
  </si>
  <si>
    <t>M0KE08NLE6SGD</t>
  </si>
  <si>
    <t>M0KH54NKU3ARTD</t>
  </si>
  <si>
    <t>M0KH54NKU3BPGM</t>
  </si>
  <si>
    <t>M0KH54NKU3BUJD</t>
  </si>
  <si>
    <t>M0KJ19NKU3BNQL</t>
  </si>
  <si>
    <t>M0KJ19NKU3BPGM</t>
  </si>
  <si>
    <t>M0KJ19NKU3BQHD</t>
  </si>
  <si>
    <t>M0KJ19NKU3BUJD</t>
  </si>
  <si>
    <t>M0KJ19NLE6BQHD</t>
  </si>
  <si>
    <t>M0KJ19NLE6SGD</t>
  </si>
  <si>
    <t>M0KJ19NSM4CEMM</t>
  </si>
  <si>
    <t>M0KJ60NKU3BMDL</t>
  </si>
  <si>
    <t>M0KJ60NKU3BPGM</t>
  </si>
  <si>
    <t>M0KJ60NLE6SGD</t>
  </si>
  <si>
    <t>M0KR62NKU3BMDL</t>
  </si>
  <si>
    <t>M0LA350LH0BSFM</t>
  </si>
  <si>
    <t>M0LA350LH0BSHL</t>
  </si>
  <si>
    <t>M0LJ19NLV8BURD</t>
  </si>
  <si>
    <t>M0LJ19NLW2BSFM</t>
  </si>
  <si>
    <t>M0LJ19NLW2BSHL</t>
  </si>
  <si>
    <t>M0LY84LV8BSGL</t>
  </si>
  <si>
    <t>M0M859NNN6BXIM</t>
  </si>
  <si>
    <t>M0MA350LH4BRFD</t>
  </si>
  <si>
    <t>M0MA350LH4BRGM</t>
  </si>
  <si>
    <t>M0MA350LH4BRHL</t>
  </si>
  <si>
    <t>M0MA350MX6BXJM</t>
  </si>
  <si>
    <t>M0MJ19NMZ5BRFD</t>
  </si>
  <si>
    <t>M0MJ19NMZ5BRGM</t>
  </si>
  <si>
    <t>M0MJ19NMZ5BRHL</t>
  </si>
  <si>
    <t>M0NA350LL6BSJD</t>
  </si>
  <si>
    <t>M0NJ19NLL6BSJD</t>
  </si>
  <si>
    <t>M0NT73LL6BSJD</t>
  </si>
  <si>
    <t>M0NY84LL6BSJD</t>
  </si>
  <si>
    <t>M0R8U24XX81700</t>
  </si>
  <si>
    <t>M0R8U24XX84100</t>
  </si>
  <si>
    <t>M0TA350LB66042</t>
  </si>
  <si>
    <t>M0TA799LX66042</t>
  </si>
  <si>
    <t>M0W8U24EBF1001</t>
  </si>
  <si>
    <t>M0W8U24EBF</t>
  </si>
  <si>
    <t>HARD KNOCKS CREW NECK TEE</t>
  </si>
  <si>
    <t>M0W8U24EBF1700</t>
  </si>
  <si>
    <t>M0W8U24EFG1700</t>
  </si>
  <si>
    <t>M0W8U24EFG</t>
  </si>
  <si>
    <t>END ZONE SS CREW NECK TEE</t>
  </si>
  <si>
    <t>M0W8U24EFG4100</t>
  </si>
  <si>
    <t>M0W8U24EJL1700</t>
  </si>
  <si>
    <t>M0W8U24EJL</t>
  </si>
  <si>
    <t>BUDDHA PICK UP SS CREW NECK</t>
  </si>
  <si>
    <t>17S1</t>
  </si>
  <si>
    <t>M0W8U24EJL6000</t>
  </si>
  <si>
    <t>M0W8U24EJR1001</t>
  </si>
  <si>
    <t>M0W8U24EJR</t>
  </si>
  <si>
    <t>REAL DEAL SS CREW NECK TEE</t>
  </si>
  <si>
    <t>17S2</t>
  </si>
  <si>
    <t>M0W8U24EJR1700</t>
  </si>
  <si>
    <t>M0W8U24EKK1001</t>
  </si>
  <si>
    <t>M0W8U24EKK</t>
  </si>
  <si>
    <t>SUPERCROSS SS CREW NECK TEE</t>
  </si>
  <si>
    <t>17S3</t>
  </si>
  <si>
    <t>M0W8Z65EJT1767</t>
  </si>
  <si>
    <t>M0W8Z65EJT</t>
  </si>
  <si>
    <t>SCRIPT FOOTBALL CREW NECK TEE</t>
  </si>
  <si>
    <t>WHITE / GUNMETAL</t>
  </si>
  <si>
    <t>M0WB389XY11096</t>
  </si>
  <si>
    <t>M0WB389XY11712</t>
  </si>
  <si>
    <t>M0ZB390MU34000</t>
  </si>
  <si>
    <t>M0ZB390MU34819</t>
  </si>
  <si>
    <t>M10002AU34000</t>
  </si>
  <si>
    <t>M10002AU3</t>
  </si>
  <si>
    <t>DIP DYE WESTERN</t>
  </si>
  <si>
    <t>M10002AW61001</t>
  </si>
  <si>
    <t>M10002AW6</t>
  </si>
  <si>
    <t>M10002AW61800</t>
  </si>
  <si>
    <t>M10002AW64100</t>
  </si>
  <si>
    <t>M10007AU54143</t>
  </si>
  <si>
    <t>M10007AU5</t>
  </si>
  <si>
    <t>SS PLAID WOVEN SHIRT</t>
  </si>
  <si>
    <t>M10007AU74143</t>
  </si>
  <si>
    <t>M10007AU7</t>
  </si>
  <si>
    <t>WINDOW PLAID</t>
  </si>
  <si>
    <t>M10008AU49603</t>
  </si>
  <si>
    <t>M10008AU4</t>
  </si>
  <si>
    <t>WESTERN LS PLAID</t>
  </si>
  <si>
    <t>MULTI PLAID</t>
  </si>
  <si>
    <t>M11006C0761001</t>
  </si>
  <si>
    <t>M11006C076</t>
  </si>
  <si>
    <t>ORIGINAL BUDDHA BRAND TEE</t>
  </si>
  <si>
    <t>M11006C0761700</t>
  </si>
  <si>
    <t>M11006C0766000</t>
  </si>
  <si>
    <t>M11006C0771501</t>
  </si>
  <si>
    <t>M11006C077</t>
  </si>
  <si>
    <t>THROWBACK LOGO TEE</t>
  </si>
  <si>
    <t>M11006C0771700</t>
  </si>
  <si>
    <t>M11006C0781001</t>
  </si>
  <si>
    <t>M11006C078</t>
  </si>
  <si>
    <t>LOCKER LOGO TEE</t>
  </si>
  <si>
    <t>M11006C0781700</t>
  </si>
  <si>
    <t>M11006C0791001</t>
  </si>
  <si>
    <t>M11006C079</t>
  </si>
  <si>
    <t>PIT STOP TEE</t>
  </si>
  <si>
    <t>M11006C0801001</t>
  </si>
  <si>
    <t>M11006C080</t>
  </si>
  <si>
    <t>CIRCA 2002 TEE</t>
  </si>
  <si>
    <t>M11006C0801700</t>
  </si>
  <si>
    <t>M11006C0811700</t>
  </si>
  <si>
    <t>M11006C081</t>
  </si>
  <si>
    <t>SUNBURST LOGO TEE</t>
  </si>
  <si>
    <t>M11006C0814000</t>
  </si>
  <si>
    <t>USED FRENCH BLUE</t>
  </si>
  <si>
    <t>M11006C0831006</t>
  </si>
  <si>
    <t>M11006C083</t>
  </si>
  <si>
    <t>LAYERED LOGO TEE</t>
  </si>
  <si>
    <t>M11006C0831501</t>
  </si>
  <si>
    <t>M11006C0841700</t>
  </si>
  <si>
    <t>M11006C084</t>
  </si>
  <si>
    <t>BUDDHA EMBLEM TEE</t>
  </si>
  <si>
    <t>M11006C0844100</t>
  </si>
  <si>
    <t>M11006C0846000</t>
  </si>
  <si>
    <t>M11006C0851700</t>
  </si>
  <si>
    <t>M11006C085</t>
  </si>
  <si>
    <t>STACKED LOGOS TEE</t>
  </si>
  <si>
    <t>M11006C0853196</t>
  </si>
  <si>
    <t>MILITANT GREEN</t>
  </si>
  <si>
    <t>M11006C1184143</t>
  </si>
  <si>
    <t>M11006C118</t>
  </si>
  <si>
    <t>M11006J5051700</t>
  </si>
  <si>
    <t>M11006J505</t>
  </si>
  <si>
    <t>SINNERS AND SAINTS TEE</t>
  </si>
  <si>
    <t>M11006N0501006</t>
  </si>
  <si>
    <t>M11006N050</t>
  </si>
  <si>
    <t>SELFIE LOGO TEE</t>
  </si>
  <si>
    <t>M11006N0511006</t>
  </si>
  <si>
    <t>M11006N051</t>
  </si>
  <si>
    <t>RETRO LOGO TEE</t>
  </si>
  <si>
    <t>M11006N0511700</t>
  </si>
  <si>
    <t>M11006N0521700</t>
  </si>
  <si>
    <t>M11006N052</t>
  </si>
  <si>
    <t>COBRAS TOUR TEE EMB</t>
  </si>
  <si>
    <t>M11006N0541700</t>
  </si>
  <si>
    <t>M11006N054</t>
  </si>
  <si>
    <t>BUDDAH TEE</t>
  </si>
  <si>
    <t>M11006N0551001</t>
  </si>
  <si>
    <t>M11006N055</t>
  </si>
  <si>
    <t>HEADDRESS TEE</t>
  </si>
  <si>
    <t>M11006N0551700</t>
  </si>
  <si>
    <t>M11011C0891700</t>
  </si>
  <si>
    <t>M11011C089</t>
  </si>
  <si>
    <t>STACKED LOGO LS CREW</t>
  </si>
  <si>
    <t>M11011N0511006</t>
  </si>
  <si>
    <t>M11011N051</t>
  </si>
  <si>
    <t>RETRO LOGO LS CREW</t>
  </si>
  <si>
    <t>M11011N0511700</t>
  </si>
  <si>
    <t>M11022WD74000</t>
  </si>
  <si>
    <t>M11022WD7</t>
  </si>
  <si>
    <t>FOOTBALL VINTAGE TEE</t>
  </si>
  <si>
    <t>FRENCH BLUE</t>
  </si>
  <si>
    <t>M11022WD76000</t>
  </si>
  <si>
    <t>M11022XS94143</t>
  </si>
  <si>
    <t>M11022XS9</t>
  </si>
  <si>
    <t>WHITE DUNES INDIGO TEE</t>
  </si>
  <si>
    <t>M11022YP81700</t>
  </si>
  <si>
    <t>M11022YP8</t>
  </si>
  <si>
    <t>LS SLUB HENLEY</t>
  </si>
  <si>
    <t>M11022YP84100</t>
  </si>
  <si>
    <t>M11023WD71001</t>
  </si>
  <si>
    <t>M11023WD7</t>
  </si>
  <si>
    <t>SKULL RAGLAN</t>
  </si>
  <si>
    <t>M11024AV21006</t>
  </si>
  <si>
    <t>M11024AV2</t>
  </si>
  <si>
    <t>STEP HEM TEE</t>
  </si>
  <si>
    <t>M11026XS94143</t>
  </si>
  <si>
    <t>M11026XS9</t>
  </si>
  <si>
    <t>INDIGO TYE DYE</t>
  </si>
  <si>
    <t>M11026YP84143</t>
  </si>
  <si>
    <t>M11026YP8</t>
  </si>
  <si>
    <t>SPIRAL TIE DYE</t>
  </si>
  <si>
    <t>M11027BB31700</t>
  </si>
  <si>
    <t>M11027BB3</t>
  </si>
  <si>
    <t>BUDDHA EMBLEM RAGLAN</t>
  </si>
  <si>
    <t>WHITE/ ACE</t>
  </si>
  <si>
    <t>M11027WD71518</t>
  </si>
  <si>
    <t>M11027WD7</t>
  </si>
  <si>
    <t>TRBJ SKULL RAGLAN</t>
  </si>
  <si>
    <t>M11029BA44143</t>
  </si>
  <si>
    <t>M11029BA4</t>
  </si>
  <si>
    <t>M11029BA66000</t>
  </si>
  <si>
    <t>M11029BA6</t>
  </si>
  <si>
    <t>M11032XS94143</t>
  </si>
  <si>
    <t>M11032XS9</t>
  </si>
  <si>
    <t>INDIGO RECOLLECTED HENLEY</t>
  </si>
  <si>
    <t>M11033AX44000</t>
  </si>
  <si>
    <t>M11033AX4</t>
  </si>
  <si>
    <t>RECOLLECTED SWEATSHIRT</t>
  </si>
  <si>
    <t>M11066YP81001</t>
  </si>
  <si>
    <t>M11066YP8</t>
  </si>
  <si>
    <t>SS STEP HEMTEE</t>
  </si>
  <si>
    <t>M11066YP81700</t>
  </si>
  <si>
    <t>M11066YP83106</t>
  </si>
  <si>
    <t>M12002AV61006</t>
  </si>
  <si>
    <t>M12002AV6</t>
  </si>
  <si>
    <t>M12004XU61501</t>
  </si>
  <si>
    <t>M12004XU6</t>
  </si>
  <si>
    <t>M12006BA54143</t>
  </si>
  <si>
    <t>M12006BA5</t>
  </si>
  <si>
    <t>M12007UT74143</t>
  </si>
  <si>
    <t>M12007UT7</t>
  </si>
  <si>
    <t>DECAYED TERRY SWEATSHORT</t>
  </si>
  <si>
    <t>ACE TIE DYE</t>
  </si>
  <si>
    <t>M13JX43BW21001</t>
  </si>
  <si>
    <t>M13JX43BW51001</t>
  </si>
  <si>
    <t>M14001AX24168</t>
  </si>
  <si>
    <t>M14001AX2</t>
  </si>
  <si>
    <t>M14005BA94100</t>
  </si>
  <si>
    <t>M14005BA9</t>
  </si>
  <si>
    <t>NYLON JKT W CONTRAST SLVS</t>
  </si>
  <si>
    <t>ACE/BLACK</t>
  </si>
  <si>
    <t>M14859VX2CSFD</t>
  </si>
  <si>
    <t>M14859VX3CSEM</t>
  </si>
  <si>
    <t>M14FA23C6G1106</t>
  </si>
  <si>
    <t>M14FA23C6G1377</t>
  </si>
  <si>
    <t>M14FA23C6G1378</t>
  </si>
  <si>
    <t>M14FA23C6G2166</t>
  </si>
  <si>
    <t>M14FA23C6G4201</t>
  </si>
  <si>
    <t>M14FA23C6G4753</t>
  </si>
  <si>
    <t>M14FA24C6G1106</t>
  </si>
  <si>
    <t>M14FA24C6G1377</t>
  </si>
  <si>
    <t>M14FA24C6G1403</t>
  </si>
  <si>
    <t>M14FA24C6G3501</t>
  </si>
  <si>
    <t>M14FA24C6G4000</t>
  </si>
  <si>
    <t>M14FA24C6G4201</t>
  </si>
  <si>
    <t>M14FB37D2G1001</t>
  </si>
  <si>
    <t>M14FB37D2G2001</t>
  </si>
  <si>
    <t>M14FB55B3G1001</t>
  </si>
  <si>
    <t>M14FD01A1IED01</t>
  </si>
  <si>
    <t>M14FD01A1IED30</t>
  </si>
  <si>
    <t>M14FD01A2IEM19</t>
  </si>
  <si>
    <t>M14FD01A2IEM26</t>
  </si>
  <si>
    <t>M14FD01A4IED33</t>
  </si>
  <si>
    <t>M14FD01A4IED34</t>
  </si>
  <si>
    <t>M14FD01A4IEM28</t>
  </si>
  <si>
    <t>M14FD01G4IED37</t>
  </si>
  <si>
    <t>M14FD01G4IED44</t>
  </si>
  <si>
    <t>M14FD01G5IED35</t>
  </si>
  <si>
    <t>M14FD01G5IED39</t>
  </si>
  <si>
    <t>M14FD01J6IED29</t>
  </si>
  <si>
    <t>M14FD01J6IEM25</t>
  </si>
  <si>
    <t>M14FD01J7IE220</t>
  </si>
  <si>
    <t>M14FD01J7IE824</t>
  </si>
  <si>
    <t>M14FD01J7IE930</t>
  </si>
  <si>
    <t>M14FD02A1IED01</t>
  </si>
  <si>
    <t>M14FD02A1IED30</t>
  </si>
  <si>
    <t>M14FD02A4IED33</t>
  </si>
  <si>
    <t>M14FD02A4IEM28</t>
  </si>
  <si>
    <t>M14FD02G4IED36</t>
  </si>
  <si>
    <t>M14FD02G4IED44</t>
  </si>
  <si>
    <t>M14FD02G5IED39</t>
  </si>
  <si>
    <t>M14FD02J6IED29</t>
  </si>
  <si>
    <t>M14FD02J6IEM25</t>
  </si>
  <si>
    <t>M14FD02J7IE220</t>
  </si>
  <si>
    <t>M14FD02J7IE824</t>
  </si>
  <si>
    <t>M14FD02J7IE930</t>
  </si>
  <si>
    <t>M14FD04A2IEM19</t>
  </si>
  <si>
    <t>M14FD04A2IEM26</t>
  </si>
  <si>
    <t>M14FD04G4IED36</t>
  </si>
  <si>
    <t>M14FD04G4IED37</t>
  </si>
  <si>
    <t>M14FD04G4IED44</t>
  </si>
  <si>
    <t>M14FD04J8IEL08</t>
  </si>
  <si>
    <t>M14FD07A2IEM19</t>
  </si>
  <si>
    <t>M14FD07A2IEM26</t>
  </si>
  <si>
    <t>M14FD07A4IED34</t>
  </si>
  <si>
    <t>M14FD07A4IEM28</t>
  </si>
  <si>
    <t>M14FD07G4IED36</t>
  </si>
  <si>
    <t>M14FD07G4IED37</t>
  </si>
  <si>
    <t>M14FD07G4IED44</t>
  </si>
  <si>
    <t>M14FD07G5IED35</t>
  </si>
  <si>
    <t>M14FD07G5IED39</t>
  </si>
  <si>
    <t>M14FD07J6IEM25</t>
  </si>
  <si>
    <t>M14FD07J7IE220</t>
  </si>
  <si>
    <t>M14FD07J7IE824</t>
  </si>
  <si>
    <t>M14FD07J7IE930</t>
  </si>
  <si>
    <t>M14FD12A2IEM19</t>
  </si>
  <si>
    <t>M14FD12A2IEM26</t>
  </si>
  <si>
    <t>M14FD12A4I3251</t>
  </si>
  <si>
    <t>M14FD12A4IED33</t>
  </si>
  <si>
    <t>M14FD12A4IEM28</t>
  </si>
  <si>
    <t>M14FD12G5IED35</t>
  </si>
  <si>
    <t>M14FD12G5IED39</t>
  </si>
  <si>
    <t>M14FD12J8IEL08</t>
  </si>
  <si>
    <t>M14FD12M4IE347</t>
  </si>
  <si>
    <t>M14FD12M4IE838</t>
  </si>
  <si>
    <t>M14FD12M4IET30</t>
  </si>
  <si>
    <t>M14FD13A1IED01</t>
  </si>
  <si>
    <t>M14FD13A1IED30</t>
  </si>
  <si>
    <t>M14FD13M4IE347</t>
  </si>
  <si>
    <t>M14FD13M4IE838</t>
  </si>
  <si>
    <t>M14FD13M4IET30</t>
  </si>
  <si>
    <t>M14FE06B9G1001</t>
  </si>
  <si>
    <t>M14FE06B9G3270</t>
  </si>
  <si>
    <t>M14FE39D3G1200</t>
  </si>
  <si>
    <t>M14FE39D3G4000</t>
  </si>
  <si>
    <t>M14FE39D3G5105</t>
  </si>
  <si>
    <t>M14FF17B5G1106</t>
  </si>
  <si>
    <t>M14FF17B5G1285</t>
  </si>
  <si>
    <t>M14FF17B5G2166</t>
  </si>
  <si>
    <t>M14FF17B5G3501</t>
  </si>
  <si>
    <t>M14FF17B5G4000</t>
  </si>
  <si>
    <t>M14FF17B5G4201</t>
  </si>
  <si>
    <t>M14FF18B8G1476</t>
  </si>
  <si>
    <t>M14FF18B8G4000</t>
  </si>
  <si>
    <t>M14FF18B8G4201</t>
  </si>
  <si>
    <t>M14FF19B5G1106</t>
  </si>
  <si>
    <t>M14FF19B5G1285</t>
  </si>
  <si>
    <t>M14FF19B5G2166</t>
  </si>
  <si>
    <t>M14FF19B5G3501</t>
  </si>
  <si>
    <t>M14FF19B5G4000</t>
  </si>
  <si>
    <t>M14FF19B5G4201</t>
  </si>
  <si>
    <t>M14FF20B8G1106</t>
  </si>
  <si>
    <t>M14FF20B8G1377</t>
  </si>
  <si>
    <t>M14FF20B8G1378</t>
  </si>
  <si>
    <t>M14FF20B8G1403</t>
  </si>
  <si>
    <t>M14FF20B8G2166</t>
  </si>
  <si>
    <t>M14FF20B8G3501</t>
  </si>
  <si>
    <t>M14FF20B8G4753</t>
  </si>
  <si>
    <t>M14FF21B5G1377</t>
  </si>
  <si>
    <t>M14FF21B5G2166</t>
  </si>
  <si>
    <t>M14FF21B5G4000</t>
  </si>
  <si>
    <t>M14FF21B5G4201</t>
  </si>
  <si>
    <t>M14FF22B5G1285</t>
  </si>
  <si>
    <t>M14FF22B5G1377</t>
  </si>
  <si>
    <t>M14FF22B5G1378</t>
  </si>
  <si>
    <t>M14FF22B5G1403</t>
  </si>
  <si>
    <t>M14FF22B5G2166</t>
  </si>
  <si>
    <t>M14FF22B5G3501</t>
  </si>
  <si>
    <t>M14FF22B5G4000</t>
  </si>
  <si>
    <t>M14FF22B5G4201</t>
  </si>
  <si>
    <t>M14FF22B5G4753</t>
  </si>
  <si>
    <t>M14FF22B5G6276</t>
  </si>
  <si>
    <t>M14FF25B5G1106</t>
  </si>
  <si>
    <t>M14FF25B5G1378</t>
  </si>
  <si>
    <t>M14FF25B5G1403</t>
  </si>
  <si>
    <t>M14FF25B5G2166</t>
  </si>
  <si>
    <t>M14FF25B5G3501</t>
  </si>
  <si>
    <t>M14FF25B5G4753</t>
  </si>
  <si>
    <t>M14FF28B8G1106</t>
  </si>
  <si>
    <t>M14FF29B8G1106</t>
  </si>
  <si>
    <t>M14FF30C7G1476</t>
  </si>
  <si>
    <t>M14FF30C7G4000</t>
  </si>
  <si>
    <t>M14FF30C7G4201</t>
  </si>
  <si>
    <t>M14FF31C7G1476</t>
  </si>
  <si>
    <t>M14FF32C7G1476</t>
  </si>
  <si>
    <t>M14FF33C7G1476</t>
  </si>
  <si>
    <t>M14FF50B8G1106</t>
  </si>
  <si>
    <t>M14FF50B8G1278</t>
  </si>
  <si>
    <t>M14FF50B8G1285</t>
  </si>
  <si>
    <t>M14FF50B8G1379</t>
  </si>
  <si>
    <t>M14FF50B8G1700</t>
  </si>
  <si>
    <t>M14FF50B8G3539</t>
  </si>
  <si>
    <t>M14FF50B8G4643</t>
  </si>
  <si>
    <t>M14FF50B8G4896</t>
  </si>
  <si>
    <t>M14FF50B8G4897</t>
  </si>
  <si>
    <t>M14FF50B8G5157</t>
  </si>
  <si>
    <t>M14FF50B8G6023</t>
  </si>
  <si>
    <t>M14FF50B8G6878</t>
  </si>
  <si>
    <t>M14FF51B8G1106</t>
  </si>
  <si>
    <t>M14FF51B8G1278</t>
  </si>
  <si>
    <t>M14FF51B8G1285</t>
  </si>
  <si>
    <t>M14FF51B8G1379</t>
  </si>
  <si>
    <t>M14FF51B8G1700</t>
  </si>
  <si>
    <t>M14FF51B8G3539</t>
  </si>
  <si>
    <t>M14FF51B8G4643</t>
  </si>
  <si>
    <t>M14FF51B8G4896</t>
  </si>
  <si>
    <t>M14FF51B8G4897</t>
  </si>
  <si>
    <t>M14FF51B8G5157</t>
  </si>
  <si>
    <t>M14FF51B8G6023</t>
  </si>
  <si>
    <t>M14FF51B8G6878</t>
  </si>
  <si>
    <t>M14FF52B8G1106</t>
  </si>
  <si>
    <t>M14FF52B8G1278</t>
  </si>
  <si>
    <t>M14FF52B8G1285</t>
  </si>
  <si>
    <t>M14FF52B8G1379</t>
  </si>
  <si>
    <t>M14FF52B8G1700</t>
  </si>
  <si>
    <t>M14FF52B8G3539</t>
  </si>
  <si>
    <t>M14FF52B8G4643</t>
  </si>
  <si>
    <t>M14FF52B8G4896</t>
  </si>
  <si>
    <t>M14FF52B8G4897</t>
  </si>
  <si>
    <t>M14FF52B8G5157</t>
  </si>
  <si>
    <t>M14FF52B8G6023</t>
  </si>
  <si>
    <t>M14FF52B8G6878</t>
  </si>
  <si>
    <t>M14FF55B8G1106</t>
  </si>
  <si>
    <t>M14FF55B8G1278</t>
  </si>
  <si>
    <t>M14FF55B8G1285</t>
  </si>
  <si>
    <t>M14FF55B8G1379</t>
  </si>
  <si>
    <t>M14FF55B8G1700</t>
  </si>
  <si>
    <t>M14FF55B8G3539</t>
  </si>
  <si>
    <t>M14FF55B8G4643</t>
  </si>
  <si>
    <t>M14FF55B8G4896</t>
  </si>
  <si>
    <t>M14FF55B8G4897</t>
  </si>
  <si>
    <t>M14FF55B8G5157</t>
  </si>
  <si>
    <t>M14FF55B8G6023</t>
  </si>
  <si>
    <t>M14FF55B8G6878</t>
  </si>
  <si>
    <t>M14FF56B8G1106</t>
  </si>
  <si>
    <t>M14FF56B8G1278</t>
  </si>
  <si>
    <t>M14FF56B8G1285</t>
  </si>
  <si>
    <t>M14FF56B8G1379</t>
  </si>
  <si>
    <t>M14FF56B8G1700</t>
  </si>
  <si>
    <t>M14FF56B8G3539</t>
  </si>
  <si>
    <t>M14FF56B8G4643</t>
  </si>
  <si>
    <t>M14FF56B8G4896</t>
  </si>
  <si>
    <t>M14FF56B8G4897</t>
  </si>
  <si>
    <t>M14FF56B8G5157</t>
  </si>
  <si>
    <t>M14FF56B8G6023</t>
  </si>
  <si>
    <t>M14FF56B8G6878</t>
  </si>
  <si>
    <t>M14FF57B8G1106</t>
  </si>
  <si>
    <t>M14FF57B8G1278</t>
  </si>
  <si>
    <t>M14FF57B8G1285</t>
  </si>
  <si>
    <t>M14FF57B8G1379</t>
  </si>
  <si>
    <t>M14FF57B8G1700</t>
  </si>
  <si>
    <t>M14FF57B8G3539</t>
  </si>
  <si>
    <t>M14FF57B8G4643</t>
  </si>
  <si>
    <t>M14FF57B8G4896</t>
  </si>
  <si>
    <t>M14FF57B8G4897</t>
  </si>
  <si>
    <t>M14FF57B8G5157</t>
  </si>
  <si>
    <t>M14FF57B8G6023</t>
  </si>
  <si>
    <t>M14FF57B8G6878</t>
  </si>
  <si>
    <t>M14FF59B8G1106</t>
  </si>
  <si>
    <t>M14FF59B8G1278</t>
  </si>
  <si>
    <t>M14FF59B8G1285</t>
  </si>
  <si>
    <t>M14FF59B8G1379</t>
  </si>
  <si>
    <t>M14FF59B8G1700</t>
  </si>
  <si>
    <t>M14FF59B8G3539</t>
  </si>
  <si>
    <t>M14FF59B8G4643</t>
  </si>
  <si>
    <t>M14FF59B8G4896</t>
  </si>
  <si>
    <t>M14FF59B8G4897</t>
  </si>
  <si>
    <t>M14FF59B8G5157</t>
  </si>
  <si>
    <t>M14FF59B8G6023</t>
  </si>
  <si>
    <t>M14FF59B8G6878</t>
  </si>
  <si>
    <t>M14FF60B8G1106</t>
  </si>
  <si>
    <t>M14FF60B8G1278</t>
  </si>
  <si>
    <t>M14FF60B8G1285</t>
  </si>
  <si>
    <t>M14FF60B8G1379</t>
  </si>
  <si>
    <t>M14FF60B8G1700</t>
  </si>
  <si>
    <t>M14FF60B8G3539</t>
  </si>
  <si>
    <t>M14FF60B8G4643</t>
  </si>
  <si>
    <t>M14FF60B8G4896</t>
  </si>
  <si>
    <t>M14FF60B8G4897</t>
  </si>
  <si>
    <t>M14FF60B8G5157</t>
  </si>
  <si>
    <t>M14FF60B8G6023</t>
  </si>
  <si>
    <t>M14FF60B8G6878</t>
  </si>
  <si>
    <t>M14FF61B8G1106</t>
  </si>
  <si>
    <t>M14FF61B8G1278</t>
  </si>
  <si>
    <t>M14FF61B8G1285</t>
  </si>
  <si>
    <t>M14FF61B8G1379</t>
  </si>
  <si>
    <t>M14FF61B8G1700</t>
  </si>
  <si>
    <t>M14FF61B8G3539</t>
  </si>
  <si>
    <t>M14FF61B8G4643</t>
  </si>
  <si>
    <t>M14FF61B8G4896</t>
  </si>
  <si>
    <t>M14FF61B8G4897</t>
  </si>
  <si>
    <t>M14FF61B8G5157</t>
  </si>
  <si>
    <t>M14FF61B8G6023</t>
  </si>
  <si>
    <t>M14FF61B8G6878</t>
  </si>
  <si>
    <t>M14FJ04M2IE880</t>
  </si>
  <si>
    <t>M14FJ04M2IEW13</t>
  </si>
  <si>
    <t>M14FJ05H8IE880</t>
  </si>
  <si>
    <t>M14FJ06H9IE999</t>
  </si>
  <si>
    <t>M14FJ07J1IE666</t>
  </si>
  <si>
    <t>M14FJ07J1IEW14</t>
  </si>
  <si>
    <t>M14FJ08J2IE999</t>
  </si>
  <si>
    <t>M14FJ08J2IEW01</t>
  </si>
  <si>
    <t>M14FK01D1G2166</t>
  </si>
  <si>
    <t>M14FK02D1G1004</t>
  </si>
  <si>
    <t>M14FK02D1G1285</t>
  </si>
  <si>
    <t>M14FK02D1G1378</t>
  </si>
  <si>
    <t>M14FK02D1G1403</t>
  </si>
  <si>
    <t>M14FK02D1G2000</t>
  </si>
  <si>
    <t>M14FK02D1G4000</t>
  </si>
  <si>
    <t>M14FK02D1G4643</t>
  </si>
  <si>
    <t>M14FK03D4G1001</t>
  </si>
  <si>
    <t>M14FK03D4G1378</t>
  </si>
  <si>
    <t>M14FK03D4G4000</t>
  </si>
  <si>
    <t>M14FK04D4G1001</t>
  </si>
  <si>
    <t>M14FK04D4G1378</t>
  </si>
  <si>
    <t>M14FK04D4G4000</t>
  </si>
  <si>
    <t>M14FK04J4IE666</t>
  </si>
  <si>
    <t>M14FK04J4IE880</t>
  </si>
  <si>
    <t>M14FK04J4IE947</t>
  </si>
  <si>
    <t>M14FK05D4G1001</t>
  </si>
  <si>
    <t>M14FK05D4G1378</t>
  </si>
  <si>
    <t>M14FK05D4G4000</t>
  </si>
  <si>
    <t>M14FK06D4G1001</t>
  </si>
  <si>
    <t>M14FK06D4G1378</t>
  </si>
  <si>
    <t>M14FK06D4G4000</t>
  </si>
  <si>
    <t>M14FK06J4IE666</t>
  </si>
  <si>
    <t>M14FK06J4IE880</t>
  </si>
  <si>
    <t>M14FK06J4IE947</t>
  </si>
  <si>
    <t>M14FK07D4G1001</t>
  </si>
  <si>
    <t>M14FK07D4G1378</t>
  </si>
  <si>
    <t>M14FK07D4G2166</t>
  </si>
  <si>
    <t>M14FK07D4G4000</t>
  </si>
  <si>
    <t>M14FK07L6IE215</t>
  </si>
  <si>
    <t>M14FK07L6IE947</t>
  </si>
  <si>
    <t>M14FK08L7IE010</t>
  </si>
  <si>
    <t>M14FK08L7IE011</t>
  </si>
  <si>
    <t>M14FK08L7IE012</t>
  </si>
  <si>
    <t>M14FK09D3G2000</t>
  </si>
  <si>
    <t>M14FK09D3G4000</t>
  </si>
  <si>
    <t>M14FK09L7IE010</t>
  </si>
  <si>
    <t>M14FK09L7IE011</t>
  </si>
  <si>
    <t>M14FK09L7IE012</t>
  </si>
  <si>
    <t>M14FK10D3G2000</t>
  </si>
  <si>
    <t>M14FK10D3G4000</t>
  </si>
  <si>
    <t>M14FK10L7IE010</t>
  </si>
  <si>
    <t>M14FK10L7IE011</t>
  </si>
  <si>
    <t>M14FK10L7IE012</t>
  </si>
  <si>
    <t>M14FK11C4G1106</t>
  </si>
  <si>
    <t>M14FK11C4G4000</t>
  </si>
  <si>
    <t>M14FK11C4G4201</t>
  </si>
  <si>
    <t>M14FK11C4G4753</t>
  </si>
  <si>
    <t>M14FK11D4G1106</t>
  </si>
  <si>
    <t>M14FK11D4G4000</t>
  </si>
  <si>
    <t>M14FK11D4G4201</t>
  </si>
  <si>
    <t>M14FK11D4G4753</t>
  </si>
  <si>
    <t>M14FL05B9G1001</t>
  </si>
  <si>
    <t>M14FL05B9G3532</t>
  </si>
  <si>
    <t>M14FL05B9G4884</t>
  </si>
  <si>
    <t>M14FL09C2G1001</t>
  </si>
  <si>
    <t>M14FL10C2G1001</t>
  </si>
  <si>
    <t>M14FL13C3G1001</t>
  </si>
  <si>
    <t>M14FL13C3G3270</t>
  </si>
  <si>
    <t>M14FL15C3G1118</t>
  </si>
  <si>
    <t>M14FL15C3G3270</t>
  </si>
  <si>
    <t>M14FL38D3G1200</t>
  </si>
  <si>
    <t>M14FL38D3G4000</t>
  </si>
  <si>
    <t>M14FL38D3G4883</t>
  </si>
  <si>
    <t>M14FL54B3G1001</t>
  </si>
  <si>
    <t>M14FN21C5G1001</t>
  </si>
  <si>
    <t>M14FN21C5G1478</t>
  </si>
  <si>
    <t>M14FN21C5G4883</t>
  </si>
  <si>
    <t>M14FN21C5G5155</t>
  </si>
  <si>
    <t>M14FN42C5G5155</t>
  </si>
  <si>
    <t>M14FN50E1G1001</t>
  </si>
  <si>
    <t>M14FN50E1G4819</t>
  </si>
  <si>
    <t>M14FO20C5G1478</t>
  </si>
  <si>
    <t>M14FO20C5G3529</t>
  </si>
  <si>
    <t>M14FP22M1IE220</t>
  </si>
  <si>
    <t>M14FP22M1IE880</t>
  </si>
  <si>
    <t>M14FP22M1IET31</t>
  </si>
  <si>
    <t>M14FT01B1G1285</t>
  </si>
  <si>
    <t>M14FT01B1G1377</t>
  </si>
  <si>
    <t>M14FT01B1G1378</t>
  </si>
  <si>
    <t>M14FT01B1G1700</t>
  </si>
  <si>
    <t>M14FT01B1G2166</t>
  </si>
  <si>
    <t>M14FT01B1G3501</t>
  </si>
  <si>
    <t>M14FT01B1G4000</t>
  </si>
  <si>
    <t>M14FT01B1G6276</t>
  </si>
  <si>
    <t>M14FT02B1G1106</t>
  </si>
  <si>
    <t>M14FT02B1G1285</t>
  </si>
  <si>
    <t>M14FT02B1G1377</t>
  </si>
  <si>
    <t>M14FT02B1G1700</t>
  </si>
  <si>
    <t>M14FT02B1G4000</t>
  </si>
  <si>
    <t>M14FT02B1G4201</t>
  </si>
  <si>
    <t>M14FT03B1G1285</t>
  </si>
  <si>
    <t>M14FT03B1G1378</t>
  </si>
  <si>
    <t>M14FT03B1G1700</t>
  </si>
  <si>
    <t>M14FT03B1G3501</t>
  </si>
  <si>
    <t>M14FT03B1G6276</t>
  </si>
  <si>
    <t>M14FT04B1G1106</t>
  </si>
  <si>
    <t>M14FT04B1G1378</t>
  </si>
  <si>
    <t>M14FT04B1G1403</t>
  </si>
  <si>
    <t>M14FT04B1G1700</t>
  </si>
  <si>
    <t>M14FT04B1G2166</t>
  </si>
  <si>
    <t>M14FT04B1G3501</t>
  </si>
  <si>
    <t>M14FT04B1G4201</t>
  </si>
  <si>
    <t>M14FT04B1G4753</t>
  </si>
  <si>
    <t>M14FT05C5G1106</t>
  </si>
  <si>
    <t>M14FT05C5G1285</t>
  </si>
  <si>
    <t>M14FT05C5G1378</t>
  </si>
  <si>
    <t>M14FT05C5G1700</t>
  </si>
  <si>
    <t>M14FT05C5G2166</t>
  </si>
  <si>
    <t>M14FT05C5G3501</t>
  </si>
  <si>
    <t>M14FT05C5G4201</t>
  </si>
  <si>
    <t>M14FT06B1G1106</t>
  </si>
  <si>
    <t>M14FT06B1G1285</t>
  </si>
  <si>
    <t>M14FT06B1G1377</t>
  </si>
  <si>
    <t>M14FT06B1G1378</t>
  </si>
  <si>
    <t>M14FT06B1G2166</t>
  </si>
  <si>
    <t>M14FT06B1G4201</t>
  </si>
  <si>
    <t>M14FT06B1G4753</t>
  </si>
  <si>
    <t>M14FT07B1G1106</t>
  </si>
  <si>
    <t>M14FT07B1G1378</t>
  </si>
  <si>
    <t>M14FT07B1G1403</t>
  </si>
  <si>
    <t>M14FT07B1G1700</t>
  </si>
  <si>
    <t>M14FT07B1G3501</t>
  </si>
  <si>
    <t>M14FT07B1G4000</t>
  </si>
  <si>
    <t>M14FT07B1G4201</t>
  </si>
  <si>
    <t>M14FT08B1G1106</t>
  </si>
  <si>
    <t>M14FT08B1G1378</t>
  </si>
  <si>
    <t>M14FT08B1G1700</t>
  </si>
  <si>
    <t>M14FT08B1G2166</t>
  </si>
  <si>
    <t>M14FT08B1G4000</t>
  </si>
  <si>
    <t>M14FT08B1G4201</t>
  </si>
  <si>
    <t>M14FT08B1G4753</t>
  </si>
  <si>
    <t>M14FT09B1G1106</t>
  </si>
  <si>
    <t>M14FT09B1G1377</t>
  </si>
  <si>
    <t>M14FT09B1G1403</t>
  </si>
  <si>
    <t>M14FT09B1G1700</t>
  </si>
  <si>
    <t>M14FT09B1G4201</t>
  </si>
  <si>
    <t>M14FT09B1G4753</t>
  </si>
  <si>
    <t>M14FT09B1G6276</t>
  </si>
  <si>
    <t>M14FT10C5G1106</t>
  </si>
  <si>
    <t>M14FT10C5G1378</t>
  </si>
  <si>
    <t>M14FT10C5G1700</t>
  </si>
  <si>
    <t>M14FT10C5G2160</t>
  </si>
  <si>
    <t>M14FT10C5G2166</t>
  </si>
  <si>
    <t>M14FT10C5G4000</t>
  </si>
  <si>
    <t>M14FT10C5G4201</t>
  </si>
  <si>
    <t>M14FT10C5G4753</t>
  </si>
  <si>
    <t>M14FT11C5G1106</t>
  </si>
  <si>
    <t>M14FT11C5G1378</t>
  </si>
  <si>
    <t>M14FT11C5G1403</t>
  </si>
  <si>
    <t>M14FT11C5G1700</t>
  </si>
  <si>
    <t>M14FT11C5G3501</t>
  </si>
  <si>
    <t>M14FT11C5G4000</t>
  </si>
  <si>
    <t>M14FT11C5G4201</t>
  </si>
  <si>
    <t>M14FT11C5G4753</t>
  </si>
  <si>
    <t>M14FT12C5G1106</t>
  </si>
  <si>
    <t>M14FT12C5G1377</t>
  </si>
  <si>
    <t>M14FT12C5G1378</t>
  </si>
  <si>
    <t>M14FT12C5G1403</t>
  </si>
  <si>
    <t>M14FT12C5G1700</t>
  </si>
  <si>
    <t>M14FT12C5G2166</t>
  </si>
  <si>
    <t>M14FT12C5G4000</t>
  </si>
  <si>
    <t>M14FT12C5G4201</t>
  </si>
  <si>
    <t>M14FT12C5G4753</t>
  </si>
  <si>
    <t>M14FT12C5G6276</t>
  </si>
  <si>
    <t>M14FT13C5G1106</t>
  </si>
  <si>
    <t>M14FT13C5G1378</t>
  </si>
  <si>
    <t>M14FT13C5G1403</t>
  </si>
  <si>
    <t>M14FT13C5G1700</t>
  </si>
  <si>
    <t>M14FT13C5G2166</t>
  </si>
  <si>
    <t>M14FT13C5G3501</t>
  </si>
  <si>
    <t>M14FT13C5G4201</t>
  </si>
  <si>
    <t>M14FT13C5G4753</t>
  </si>
  <si>
    <t>M14FT14B1G1106</t>
  </si>
  <si>
    <t>M14FT14B1G1285</t>
  </si>
  <si>
    <t>M14FT14B1G1403</t>
  </si>
  <si>
    <t>M14FT14B1G1700</t>
  </si>
  <si>
    <t>M14FT14B1G2166</t>
  </si>
  <si>
    <t>M14FT14B1G4201</t>
  </si>
  <si>
    <t>M14FT14B1G4753</t>
  </si>
  <si>
    <t>M14FT15B1G1106</t>
  </si>
  <si>
    <t>M14FT15B1G1378</t>
  </si>
  <si>
    <t>M14FT15B1G1403</t>
  </si>
  <si>
    <t>M14FT15B1G1700</t>
  </si>
  <si>
    <t>M14FT15B1G3501</t>
  </si>
  <si>
    <t>M14FT15B1G4000</t>
  </si>
  <si>
    <t>M14FT15B1G4201</t>
  </si>
  <si>
    <t>M14FT16B1G1106</t>
  </si>
  <si>
    <t>M14FT16B1G1285</t>
  </si>
  <si>
    <t>M14FT16B1G1377</t>
  </si>
  <si>
    <t>M14FT16B1G1378</t>
  </si>
  <si>
    <t>M14FT16B1G1700</t>
  </si>
  <si>
    <t>M14FT16B1G2166</t>
  </si>
  <si>
    <t>M14FT16B1G4201</t>
  </si>
  <si>
    <t>M14FT16B1G4753</t>
  </si>
  <si>
    <t>M14FT26C5G1106</t>
  </si>
  <si>
    <t>M14FT27B1G1106</t>
  </si>
  <si>
    <t>M14FT44B1G1001</t>
  </si>
  <si>
    <t>M14FT44B1G1377</t>
  </si>
  <si>
    <t>M14FT44B1G1378</t>
  </si>
  <si>
    <t>M14FT44B1G1403</t>
  </si>
  <si>
    <t>M14FT44B1G1700</t>
  </si>
  <si>
    <t>M14FT44B1G3501</t>
  </si>
  <si>
    <t>M14FT44B1G4000</t>
  </si>
  <si>
    <t>M14FT44B1G4201</t>
  </si>
  <si>
    <t>M14FT44B1G4753</t>
  </si>
  <si>
    <t>M14FT44B1G6276</t>
  </si>
  <si>
    <t>M14FT53D7G1106</t>
  </si>
  <si>
    <t>M14FT53D7G1278</t>
  </si>
  <si>
    <t>M14FT53D7G1285</t>
  </si>
  <si>
    <t>M14FT53D7G1379</t>
  </si>
  <si>
    <t>M14FT53D7G1700</t>
  </si>
  <si>
    <t>M14FT53D7G3539</t>
  </si>
  <si>
    <t>M14FT53D7G4643</t>
  </si>
  <si>
    <t>M14FT53D7G4896</t>
  </si>
  <si>
    <t>M14FT53D7G4897</t>
  </si>
  <si>
    <t>M14FT53D7G5157</t>
  </si>
  <si>
    <t>M14FT53D7G6023</t>
  </si>
  <si>
    <t>M14FT53D7G6878</t>
  </si>
  <si>
    <t>M14FT54D7G1106</t>
  </si>
  <si>
    <t>M14FT54D7G1278</t>
  </si>
  <si>
    <t>M14FT54D7G1285</t>
  </si>
  <si>
    <t>M14FT54D7G1379</t>
  </si>
  <si>
    <t>M14FT54D7G1700</t>
  </si>
  <si>
    <t>M14FT54D7G3539</t>
  </si>
  <si>
    <t>M14FT54D7G4643</t>
  </si>
  <si>
    <t>M14FT54D7G4896</t>
  </si>
  <si>
    <t>M14FT54D7G4897</t>
  </si>
  <si>
    <t>M14FT54D7G5157</t>
  </si>
  <si>
    <t>M14FT54D7G6023</t>
  </si>
  <si>
    <t>M14FT54D7G6878</t>
  </si>
  <si>
    <t>M14FT58D7G1106</t>
  </si>
  <si>
    <t>M14FT58D7G1278</t>
  </si>
  <si>
    <t>M14FT58D7G1285</t>
  </si>
  <si>
    <t>M14FT58D7G1379</t>
  </si>
  <si>
    <t>M14FT58D7G1700</t>
  </si>
  <si>
    <t>M14FT58D7G3539</t>
  </si>
  <si>
    <t>M14FT58D7G4643</t>
  </si>
  <si>
    <t>M14FT58D7G4896</t>
  </si>
  <si>
    <t>M14FT58D7G4897</t>
  </si>
  <si>
    <t>M14FT58D7G5157</t>
  </si>
  <si>
    <t>M14FT58D7G6023</t>
  </si>
  <si>
    <t>M14FT58D7G6878</t>
  </si>
  <si>
    <t>M14FT62D7G1106</t>
  </si>
  <si>
    <t>M14FT62D7G1278</t>
  </si>
  <si>
    <t>M14FT62D7G1285</t>
  </si>
  <si>
    <t>M14FT62D7G1379</t>
  </si>
  <si>
    <t>M14FT62D7G1700</t>
  </si>
  <si>
    <t>M14FT62D7G3539</t>
  </si>
  <si>
    <t>M14FT62D7G4643</t>
  </si>
  <si>
    <t>M14FT62D7G4896</t>
  </si>
  <si>
    <t>M14FT62D7G4897</t>
  </si>
  <si>
    <t>M14FT62D7G5157</t>
  </si>
  <si>
    <t>M14FT62D7G6023</t>
  </si>
  <si>
    <t>M14FT62D7G6878</t>
  </si>
  <si>
    <t>M14FT63D7G1106</t>
  </si>
  <si>
    <t>M14FT63D7G1278</t>
  </si>
  <si>
    <t>M14FT63D7G1285</t>
  </si>
  <si>
    <t>M14FT63D7G1379</t>
  </si>
  <si>
    <t>M14FT63D7G1700</t>
  </si>
  <si>
    <t>M14FT63D7G3539</t>
  </si>
  <si>
    <t>M14FT63D7G4643</t>
  </si>
  <si>
    <t>M14FT63D7G4896</t>
  </si>
  <si>
    <t>M14FT63D7G4897</t>
  </si>
  <si>
    <t>M14FT63D7G5157</t>
  </si>
  <si>
    <t>M14FT63D7G6023</t>
  </si>
  <si>
    <t>M14FT63D7G6878</t>
  </si>
  <si>
    <t>M14FV14C3G1001</t>
  </si>
  <si>
    <t>M14FW01A9IED41</t>
  </si>
  <si>
    <t>M14FW01A9IEM29</t>
  </si>
  <si>
    <t>M14FW01L5IEL09</t>
  </si>
  <si>
    <t>M14FW05B2IEW01</t>
  </si>
  <si>
    <t>M14FW05B4IE100</t>
  </si>
  <si>
    <t>M14FW05B4IEW01</t>
  </si>
  <si>
    <t>M14FW05G9IE820</t>
  </si>
  <si>
    <t>M14FW05G9IE916</t>
  </si>
  <si>
    <t>M14FW05G9IEW01</t>
  </si>
  <si>
    <t>M14FW05H1IE004</t>
  </si>
  <si>
    <t>M14FW05H1IE005</t>
  </si>
  <si>
    <t>M14FW05H1IEW01</t>
  </si>
  <si>
    <t>M14FW06B4IE999</t>
  </si>
  <si>
    <t>M14FW06B4IEW01</t>
  </si>
  <si>
    <t>M14FW07A9IEM29</t>
  </si>
  <si>
    <t>M14FY16C4G1001</t>
  </si>
  <si>
    <t>M14FY16C4G3529</t>
  </si>
  <si>
    <t>M14FY16C4G4882</t>
  </si>
  <si>
    <t>M14FY32D1G1001</t>
  </si>
  <si>
    <t>M14FY32D1G3531</t>
  </si>
  <si>
    <t>M14FY40C4G4882</t>
  </si>
  <si>
    <t>M14FY46D1G1001</t>
  </si>
  <si>
    <t>M14FY46D1G3531</t>
  </si>
  <si>
    <t>M14FY52E2G1004</t>
  </si>
  <si>
    <t>M14FY52E2G3106</t>
  </si>
  <si>
    <t>M14HB01C1G1001</t>
  </si>
  <si>
    <t>M14HB01C1G1004</t>
  </si>
  <si>
    <t>M14HB01C1G4926</t>
  </si>
  <si>
    <t>M14HD01G4IED59</t>
  </si>
  <si>
    <t>M14HD01G5IEM39</t>
  </si>
  <si>
    <t>M14HD01J6IED60</t>
  </si>
  <si>
    <t>M14HD01N5IED53</t>
  </si>
  <si>
    <t>M14HD01N5IED54</t>
  </si>
  <si>
    <t>M14HD02A2IEM33</t>
  </si>
  <si>
    <t>M14HD02G4IED59</t>
  </si>
  <si>
    <t>M14HD02G5IEM39</t>
  </si>
  <si>
    <t>M14HD02J6IED60</t>
  </si>
  <si>
    <t>M14HD02M4IED55</t>
  </si>
  <si>
    <t>M14HD02N5IED53</t>
  </si>
  <si>
    <t>M14HD02O4IEM40</t>
  </si>
  <si>
    <t>M14HD05G5IEM39</t>
  </si>
  <si>
    <t>M14HD05O4IEM40</t>
  </si>
  <si>
    <t>M14HD12M4IED57</t>
  </si>
  <si>
    <t>M14HD12M4IEM42</t>
  </si>
  <si>
    <t>M14HD12N7IEM37</t>
  </si>
  <si>
    <t>M14HD13A4IED56</t>
  </si>
  <si>
    <t>M14HD13A4IEM41</t>
  </si>
  <si>
    <t>M14HD13M4IED55</t>
  </si>
  <si>
    <t>M14HD13O4IEM40</t>
  </si>
  <si>
    <t>M14HF01D7G1106</t>
  </si>
  <si>
    <t>M14HF01D7G1369</t>
  </si>
  <si>
    <t>M14HF01D7G1500</t>
  </si>
  <si>
    <t>M14HF01D7G4921</t>
  </si>
  <si>
    <t>M14HF01D7G6064</t>
  </si>
  <si>
    <t>M14HF02D7G1106</t>
  </si>
  <si>
    <t>M14HF02D7G1369</t>
  </si>
  <si>
    <t>M14HF02D7G1500</t>
  </si>
  <si>
    <t>M14HF02D7G4921</t>
  </si>
  <si>
    <t>M14HF02D7G6064</t>
  </si>
  <si>
    <t>M14HF03D7G1106</t>
  </si>
  <si>
    <t>M14HF03D7G1369</t>
  </si>
  <si>
    <t>M14HF03D7G1500</t>
  </si>
  <si>
    <t>M14HF03D7G4921</t>
  </si>
  <si>
    <t>M14HF03D7G6064</t>
  </si>
  <si>
    <t>M14HF04D7G1369</t>
  </si>
  <si>
    <t>M14HF04D7G1500</t>
  </si>
  <si>
    <t>M14HF04D7G4921</t>
  </si>
  <si>
    <t>M14HF04D7G6064</t>
  </si>
  <si>
    <t>M14HF05D7G1106</t>
  </si>
  <si>
    <t>M14HF05D7G1369</t>
  </si>
  <si>
    <t>M14HF05D7G1500</t>
  </si>
  <si>
    <t>M14HF05D7G4921</t>
  </si>
  <si>
    <t>M14HF05D7G6064</t>
  </si>
  <si>
    <t>M14HF06D8G4143</t>
  </si>
  <si>
    <t>M14HF07D8G4143</t>
  </si>
  <si>
    <t>M14HF08B5G1106</t>
  </si>
  <si>
    <t>M14HF08B5G1378</t>
  </si>
  <si>
    <t>M14HF08B5G1403</t>
  </si>
  <si>
    <t>M14HF08B5G3544</t>
  </si>
  <si>
    <t>M14HF08B5G4921</t>
  </si>
  <si>
    <t>M14HF08B5G4922</t>
  </si>
  <si>
    <t>M14HF08B5G6064</t>
  </si>
  <si>
    <t>M14HF10B5G1106</t>
  </si>
  <si>
    <t>M14HF10B5G1378</t>
  </si>
  <si>
    <t>M14HF10B5G1403</t>
  </si>
  <si>
    <t>M14HF10B5G3544</t>
  </si>
  <si>
    <t>M14HF10B5G4921</t>
  </si>
  <si>
    <t>M14HF10B5G4922</t>
  </si>
  <si>
    <t>M14HF10B5G6064</t>
  </si>
  <si>
    <t>M14HF12C7G1106</t>
  </si>
  <si>
    <t>M14HF12C7G1378</t>
  </si>
  <si>
    <t>M14HF12C7G3544</t>
  </si>
  <si>
    <t>M14HF12C7G4921</t>
  </si>
  <si>
    <t>M14HF12C7G4922</t>
  </si>
  <si>
    <t>M14HF12C7G6064</t>
  </si>
  <si>
    <t>M14HF13C7G1106</t>
  </si>
  <si>
    <t>M14HF13C7G1378</t>
  </si>
  <si>
    <t>M14HF13C7G1403</t>
  </si>
  <si>
    <t>M14HF13C7G3544</t>
  </si>
  <si>
    <t>M14HF13C7G4921</t>
  </si>
  <si>
    <t>M14HF13C7G4922</t>
  </si>
  <si>
    <t>M14HF13C7G6064</t>
  </si>
  <si>
    <t>M14HF14C7G1106</t>
  </si>
  <si>
    <t>M14HF14C7G1378</t>
  </si>
  <si>
    <t>M14HF14C7G1403</t>
  </si>
  <si>
    <t>M14HF14C7G3544</t>
  </si>
  <si>
    <t>M14HF14C7G4921</t>
  </si>
  <si>
    <t>M14HF14C7G4922</t>
  </si>
  <si>
    <t>M14HF14C7G6064</t>
  </si>
  <si>
    <t>M14HF32B5G1106</t>
  </si>
  <si>
    <t>M14HF32B5G1378</t>
  </si>
  <si>
    <t>M14HF32B5G1403</t>
  </si>
  <si>
    <t>M14HF32B5G3544</t>
  </si>
  <si>
    <t>M14HF32B5G4921</t>
  </si>
  <si>
    <t>M14HF32B5G4922</t>
  </si>
  <si>
    <t>M14HF32B5G6064</t>
  </si>
  <si>
    <t>M14HF45B5G1106</t>
  </si>
  <si>
    <t>M14HF45B5G1378</t>
  </si>
  <si>
    <t>M14HF45B5G4922</t>
  </si>
  <si>
    <t>M14HK11O9IE880</t>
  </si>
  <si>
    <t>M14HK11O9IE999</t>
  </si>
  <si>
    <t>M14HK12P1IE999</t>
  </si>
  <si>
    <t>M14HK13P1IE880</t>
  </si>
  <si>
    <t>M14HK14P1IE010</t>
  </si>
  <si>
    <t>M14HP22O6IE880</t>
  </si>
  <si>
    <t>M14HT09D9G1106</t>
  </si>
  <si>
    <t>M14HT09D9G1378</t>
  </si>
  <si>
    <t>M14HT09D9G1500</t>
  </si>
  <si>
    <t>M14HT09D9G1700</t>
  </si>
  <si>
    <t>M14HT09D9G4921</t>
  </si>
  <si>
    <t>M14HT09D9G4922</t>
  </si>
  <si>
    <t>M14HT09D9G6064</t>
  </si>
  <si>
    <t>M14HT11C5G1106</t>
  </si>
  <si>
    <t>M14HT11C5G1378</t>
  </si>
  <si>
    <t>M14HT11C5G1403</t>
  </si>
  <si>
    <t>M14HT11C5G1700</t>
  </si>
  <si>
    <t>M14HT11C5G3544</t>
  </si>
  <si>
    <t>M14HT11C5G4921</t>
  </si>
  <si>
    <t>M14HT11C5G4922</t>
  </si>
  <si>
    <t>M14HT11C5G6064</t>
  </si>
  <si>
    <t>M14HT16B2G1106</t>
  </si>
  <si>
    <t>M14HT16B2G3544</t>
  </si>
  <si>
    <t>M14HT16B2G4921</t>
  </si>
  <si>
    <t>M14HT16B2G6064</t>
  </si>
  <si>
    <t>M14HT17E2G4143</t>
  </si>
  <si>
    <t>M14HT18D9G1106</t>
  </si>
  <si>
    <t>M14HT18D9G1403</t>
  </si>
  <si>
    <t>M14HT18D9G1500</t>
  </si>
  <si>
    <t>M14HT18D9G1700</t>
  </si>
  <si>
    <t>M14HT18D9G3544</t>
  </si>
  <si>
    <t>M14HT18D9G4921</t>
  </si>
  <si>
    <t>M14HT18D9G4922</t>
  </si>
  <si>
    <t>M14HT18D9G6064</t>
  </si>
  <si>
    <t>M14HT19D9G1106</t>
  </si>
  <si>
    <t>M14HT19D9G1378</t>
  </si>
  <si>
    <t>M14HT19D9G1403</t>
  </si>
  <si>
    <t>M14HT19D9G1500</t>
  </si>
  <si>
    <t>M14HT19D9G1700</t>
  </si>
  <si>
    <t>M14HT19D9G3544</t>
  </si>
  <si>
    <t>M14HT19D9G4921</t>
  </si>
  <si>
    <t>M14HT19D9G6064</t>
  </si>
  <si>
    <t>M14HT20C5G1106</t>
  </si>
  <si>
    <t>M14HT20C5G1378</t>
  </si>
  <si>
    <t>M14HT20C5G1403</t>
  </si>
  <si>
    <t>M14HT20C5G1500</t>
  </si>
  <si>
    <t>M14HT20C5G1700</t>
  </si>
  <si>
    <t>M14HT20C5G3544</t>
  </si>
  <si>
    <t>M14HT20C5G4921</t>
  </si>
  <si>
    <t>M14HT20C5G4922</t>
  </si>
  <si>
    <t>M14HT20C5G6064</t>
  </si>
  <si>
    <t>M14HT20M6IE100</t>
  </si>
  <si>
    <t>M14HT21D9G1106</t>
  </si>
  <si>
    <t>M14HT21D9G1378</t>
  </si>
  <si>
    <t>M14HT21D9G1403</t>
  </si>
  <si>
    <t>M14HT21D9G1500</t>
  </si>
  <si>
    <t>M14HT21D9G1700</t>
  </si>
  <si>
    <t>M14HT21D9G3544</t>
  </si>
  <si>
    <t>M14HT21D9G4921</t>
  </si>
  <si>
    <t>M14HT21D9G4922</t>
  </si>
  <si>
    <t>M14HT21D9G6064</t>
  </si>
  <si>
    <t>M14HT22C5G1106</t>
  </si>
  <si>
    <t>M14HT22C5G1378</t>
  </si>
  <si>
    <t>M14HT22C5G1700</t>
  </si>
  <si>
    <t>M14HT22C5G3544</t>
  </si>
  <si>
    <t>M14HT22C5G4921</t>
  </si>
  <si>
    <t>M14HT22C5G4922</t>
  </si>
  <si>
    <t>M14HT22C5G6064</t>
  </si>
  <si>
    <t>M14HT23C5G1378</t>
  </si>
  <si>
    <t>M14HT23C5G1403</t>
  </si>
  <si>
    <t>M14HT23C5G4921</t>
  </si>
  <si>
    <t>M14HT23C5G4922</t>
  </si>
  <si>
    <t>M14HT23C5G6064</t>
  </si>
  <si>
    <t>M14HT24D9G1106</t>
  </si>
  <si>
    <t>M14HT24D9G1378</t>
  </si>
  <si>
    <t>M14HT24D9G1403</t>
  </si>
  <si>
    <t>M14HT24D9G1700</t>
  </si>
  <si>
    <t>M14HT24D9G3544</t>
  </si>
  <si>
    <t>M14HT24D9G4921</t>
  </si>
  <si>
    <t>M14HT24D9G4922</t>
  </si>
  <si>
    <t>M14HT24D9G6064</t>
  </si>
  <si>
    <t>M14HT25C5G1106</t>
  </si>
  <si>
    <t>M14HT25C5G1378</t>
  </si>
  <si>
    <t>M14HT26C5G1106</t>
  </si>
  <si>
    <t>M14HT26C5G1378</t>
  </si>
  <si>
    <t>M14HT26C5G1500</t>
  </si>
  <si>
    <t>M14HT26C5G1700</t>
  </si>
  <si>
    <t>M14HT26C5G3544</t>
  </si>
  <si>
    <t>M14HT26C5G4921</t>
  </si>
  <si>
    <t>M14HT26C5G4922</t>
  </si>
  <si>
    <t>M14HT26C5G6064</t>
  </si>
  <si>
    <t>M14HT27D9G1106</t>
  </si>
  <si>
    <t>M14HT27D9G1378</t>
  </si>
  <si>
    <t>M14HT27D9G1500</t>
  </si>
  <si>
    <t>M14HT27D9G1700</t>
  </si>
  <si>
    <t>M14HT27D9G3544</t>
  </si>
  <si>
    <t>M14HT27D9G4921</t>
  </si>
  <si>
    <t>M14HT27D9G4922</t>
  </si>
  <si>
    <t>M14HT28D9G1106</t>
  </si>
  <si>
    <t>M14HT28D9G1378</t>
  </si>
  <si>
    <t>M14HT28D9G1403</t>
  </si>
  <si>
    <t>M14HT28D9G1500</t>
  </si>
  <si>
    <t>M14HT28D9G1700</t>
  </si>
  <si>
    <t>M14HT28D9G3544</t>
  </si>
  <si>
    <t>M14HT28D9G4921</t>
  </si>
  <si>
    <t>M14HT28D9G4922</t>
  </si>
  <si>
    <t>M14HT28D9G6064</t>
  </si>
  <si>
    <t>M14HT29D5G1106</t>
  </si>
  <si>
    <t>M14HT29D5G1378</t>
  </si>
  <si>
    <t>M14HT29D5G1700</t>
  </si>
  <si>
    <t>M14HT29D5G4922</t>
  </si>
  <si>
    <t>M14HT29D5G6064</t>
  </si>
  <si>
    <t>M14HT31D9G1106</t>
  </si>
  <si>
    <t>M14HT31D9G1378</t>
  </si>
  <si>
    <t>M14HT31D9G1403</t>
  </si>
  <si>
    <t>M14HT31D9G1700</t>
  </si>
  <si>
    <t>M14HT31D9G3544</t>
  </si>
  <si>
    <t>M14HT31D9G4921</t>
  </si>
  <si>
    <t>M14HT31D9G4922</t>
  </si>
  <si>
    <t>M14HT31D9G6064</t>
  </si>
  <si>
    <t>M14HT40D9G1106</t>
  </si>
  <si>
    <t>M14HT40D9G1378</t>
  </si>
  <si>
    <t>M14HT40D9G1403</t>
  </si>
  <si>
    <t>M14HT40D9G1700</t>
  </si>
  <si>
    <t>M14HT40D9G3544</t>
  </si>
  <si>
    <t>M14HT40D9G4921</t>
  </si>
  <si>
    <t>M14HT40D9G6064</t>
  </si>
  <si>
    <t>M14HT41C5G1378</t>
  </si>
  <si>
    <t>M14HT41C5G1403</t>
  </si>
  <si>
    <t>M14HT41C5G3544</t>
  </si>
  <si>
    <t>M14HT41C5G4921</t>
  </si>
  <si>
    <t>M14HT41C5G4922</t>
  </si>
  <si>
    <t>M14HT41C5G6064</t>
  </si>
  <si>
    <t>M14HT46C5G1106</t>
  </si>
  <si>
    <t>M14HT46C5G1378</t>
  </si>
  <si>
    <t>M14HT46C5G1700</t>
  </si>
  <si>
    <t>M14HT46C5G4922</t>
  </si>
  <si>
    <t>M14HT47C6G1106</t>
  </si>
  <si>
    <t>M14HT47C6G1378</t>
  </si>
  <si>
    <t>M14HT47C6G1700</t>
  </si>
  <si>
    <t>M14HT47C6G4922</t>
  </si>
  <si>
    <t>M14HT47C6G6064</t>
  </si>
  <si>
    <t>M14HW01A9IEL14</t>
  </si>
  <si>
    <t>M14HW01A9IEM43</t>
  </si>
  <si>
    <t>M14HW01O5IED58</t>
  </si>
  <si>
    <t>M14SD01A1IED01</t>
  </si>
  <si>
    <t>M14SD01A1IEM01</t>
  </si>
  <si>
    <t>M14SD01A2IED02</t>
  </si>
  <si>
    <t>M14SD01A2IED06</t>
  </si>
  <si>
    <t>M14SD01A2IED07</t>
  </si>
  <si>
    <t>M14SD01A2IEM02</t>
  </si>
  <si>
    <t>M14SD01A2IEM03</t>
  </si>
  <si>
    <t>M14SD01A2IEM04</t>
  </si>
  <si>
    <t>M14SD01A2IEM06</t>
  </si>
  <si>
    <t>M14SD01A2IER01</t>
  </si>
  <si>
    <t>M14SD01A3IED04</t>
  </si>
  <si>
    <t>M14SD01A3IEM07</t>
  </si>
  <si>
    <t>M14SD01A4IEB02</t>
  </si>
  <si>
    <t>M14SD01A4IED03</t>
  </si>
  <si>
    <t>M14SD01A4IEM05</t>
  </si>
  <si>
    <t>M14SD02A1IED01</t>
  </si>
  <si>
    <t>M14SD02A1IEM01</t>
  </si>
  <si>
    <t>M14SD02A2IEB01</t>
  </si>
  <si>
    <t>M14SD02A2IED02</t>
  </si>
  <si>
    <t>M14SD02A2IED06</t>
  </si>
  <si>
    <t>M14SD02A2IED07</t>
  </si>
  <si>
    <t>M14SD02A2IEM02</t>
  </si>
  <si>
    <t>M14SD02A2IEM03</t>
  </si>
  <si>
    <t>M14SD02A2IEM04</t>
  </si>
  <si>
    <t>M14SD02A2IEM06</t>
  </si>
  <si>
    <t>M14SD02A2IER01</t>
  </si>
  <si>
    <t>M14SD02A3IED04</t>
  </si>
  <si>
    <t>M14SD02A3IEM07</t>
  </si>
  <si>
    <t>M14SD02A4IEB02</t>
  </si>
  <si>
    <t>M14SD02A4IED03</t>
  </si>
  <si>
    <t>M14SD02A4IEM05</t>
  </si>
  <si>
    <t>M14SD03A1IED01</t>
  </si>
  <si>
    <t>M14SD03A1IEM01</t>
  </si>
  <si>
    <t>M14SD04A2IEM06</t>
  </si>
  <si>
    <t>M14SD05A2IEB01</t>
  </si>
  <si>
    <t>M14SD05A2IED02</t>
  </si>
  <si>
    <t>M14SD05A2IEM04</t>
  </si>
  <si>
    <t>M14SD07A2IED02</t>
  </si>
  <si>
    <t>M14SD07A2IED06</t>
  </si>
  <si>
    <t>M14SD07A2IED07</t>
  </si>
  <si>
    <t>M14SD07A2IEM04</t>
  </si>
  <si>
    <t>M14SD07A2IEM06</t>
  </si>
  <si>
    <t>M14SD07A2IER01</t>
  </si>
  <si>
    <t>M14SD07A3IED04</t>
  </si>
  <si>
    <t>M14SD07A3IEM07</t>
  </si>
  <si>
    <t>M14SD07A4IEB02</t>
  </si>
  <si>
    <t>M14SD07A4IED03</t>
  </si>
  <si>
    <t>M14SD07A4IEM05</t>
  </si>
  <si>
    <t>M14SD08A4IEB02</t>
  </si>
  <si>
    <t>M14SD08A4IED03</t>
  </si>
  <si>
    <t>M14SD09A4IED03</t>
  </si>
  <si>
    <t>M14SD09A4IEM05</t>
  </si>
  <si>
    <t>M14SE07B7G1004</t>
  </si>
  <si>
    <t>M14SE07B7G2500</t>
  </si>
  <si>
    <t>M14SE08B7G4000</t>
  </si>
  <si>
    <t>M14SE08B7G6000</t>
  </si>
  <si>
    <t>M14SE10B4G1553</t>
  </si>
  <si>
    <t>M14SE10B4G2000</t>
  </si>
  <si>
    <t>M14SE10B4G4000</t>
  </si>
  <si>
    <t>M14SF01C3IE645</t>
  </si>
  <si>
    <t>M14SF01C3IE820</t>
  </si>
  <si>
    <t>M14SF01C3IE825</t>
  </si>
  <si>
    <t>M14SF01C3IE840</t>
  </si>
  <si>
    <t>M14SF01C3IE910</t>
  </si>
  <si>
    <t>M14SF01C4IE645</t>
  </si>
  <si>
    <t>M14SF01C4IE820</t>
  </si>
  <si>
    <t>M14SF01C4IE825</t>
  </si>
  <si>
    <t>M14SF01C4IE840</t>
  </si>
  <si>
    <t>M14SF01C4IE910</t>
  </si>
  <si>
    <t>M14SF26B6G1285</t>
  </si>
  <si>
    <t>M14SF26B6G1700</t>
  </si>
  <si>
    <t>M14SF26B6G4000</t>
  </si>
  <si>
    <t>M14SF26B6G4643</t>
  </si>
  <si>
    <t>M14SF26B6G6064</t>
  </si>
  <si>
    <t>M14SF27B5G1377</t>
  </si>
  <si>
    <t>M14SF27B5G1378</t>
  </si>
  <si>
    <t>M14SF27B5G4643</t>
  </si>
  <si>
    <t>M14SF27B5G6064</t>
  </si>
  <si>
    <t>M14SF28B5G4643</t>
  </si>
  <si>
    <t>M14SF29B5G1001</t>
  </si>
  <si>
    <t>M14SF29B5G1377</t>
  </si>
  <si>
    <t>M14SF29B5G1378</t>
  </si>
  <si>
    <t>M14SF29B5G3000</t>
  </si>
  <si>
    <t>M14SF29B5G3489</t>
  </si>
  <si>
    <t>M14SF29B5G4000</t>
  </si>
  <si>
    <t>M14SF29B5G4643</t>
  </si>
  <si>
    <t>M14SF29B5G4729</t>
  </si>
  <si>
    <t>M14SF29B5G6064</t>
  </si>
  <si>
    <t>M14SF30B5G1377</t>
  </si>
  <si>
    <t>M14SF30B5G1378</t>
  </si>
  <si>
    <t>M14SF30B5G3000</t>
  </si>
  <si>
    <t>M14SF30B5G4000</t>
  </si>
  <si>
    <t>M14SF30B5G4643</t>
  </si>
  <si>
    <t>M14SF31B8G1370</t>
  </si>
  <si>
    <t>M14SF31B8G4730</t>
  </si>
  <si>
    <t>M14SF32B5G1001</t>
  </si>
  <si>
    <t>M14SF32B5G1285</t>
  </si>
  <si>
    <t>M14SF32B5G1377</t>
  </si>
  <si>
    <t>M14SF32B5G3000</t>
  </si>
  <si>
    <t>M14SF32B5G4000</t>
  </si>
  <si>
    <t>M14SF32B5G4643</t>
  </si>
  <si>
    <t>M14SF32B5G6064</t>
  </si>
  <si>
    <t>M14SF33B8G1370</t>
  </si>
  <si>
    <t>M14SF33B8G6064</t>
  </si>
  <si>
    <t>M14SF34B5G1377</t>
  </si>
  <si>
    <t>M14SF34B5G1378</t>
  </si>
  <si>
    <t>M14SF34B5G3000</t>
  </si>
  <si>
    <t>M14SF34B5G4000</t>
  </si>
  <si>
    <t>M14SF34B5G4643</t>
  </si>
  <si>
    <t>M14SF34B5G4729</t>
  </si>
  <si>
    <t>M14SF34B5G4730</t>
  </si>
  <si>
    <t>M14SF34B5G6064</t>
  </si>
  <si>
    <t>M14SF35B6G1285</t>
  </si>
  <si>
    <t>M14SF35B6G1700</t>
  </si>
  <si>
    <t>M14SF35B6G3000</t>
  </si>
  <si>
    <t>M14SF35B6G4000</t>
  </si>
  <si>
    <t>M14SF35B6G4643</t>
  </si>
  <si>
    <t>M14SF35B6G4730</t>
  </si>
  <si>
    <t>M14SF35B6G6064</t>
  </si>
  <si>
    <t>M14SF36B7G1001</t>
  </si>
  <si>
    <t>M14SF36B7G1377</t>
  </si>
  <si>
    <t>M14SF36B7G4000</t>
  </si>
  <si>
    <t>M14SF36B7G4643</t>
  </si>
  <si>
    <t>M14SF36B7G6064</t>
  </si>
  <si>
    <t>M14SF37B5G1001</t>
  </si>
  <si>
    <t>M14SF37B5G1285</t>
  </si>
  <si>
    <t>M14SF37B5G1700</t>
  </si>
  <si>
    <t>M14SF37B5G3000</t>
  </si>
  <si>
    <t>M14SF37B5G4000</t>
  </si>
  <si>
    <t>M14SF37B5G4643</t>
  </si>
  <si>
    <t>M14SF37B5G6064</t>
  </si>
  <si>
    <t>M14SF38B8G1001</t>
  </si>
  <si>
    <t>M14SF38B8G1377</t>
  </si>
  <si>
    <t>M14SF38B8G1700</t>
  </si>
  <si>
    <t>M14SF38B8G3000</t>
  </si>
  <si>
    <t>M14SF38B8G4000</t>
  </si>
  <si>
    <t>M14SF38B8G4643</t>
  </si>
  <si>
    <t>M14SF38B8G4729</t>
  </si>
  <si>
    <t>M14SF38B8G6064</t>
  </si>
  <si>
    <t>M14SH01A2IEM03</t>
  </si>
  <si>
    <t>M14SH01A2IEM06</t>
  </si>
  <si>
    <t>M14SH01A6IE100</t>
  </si>
  <si>
    <t>M14SH01A6IE210</t>
  </si>
  <si>
    <t>M14SH01A6IE730</t>
  </si>
  <si>
    <t>M14SH01A6IE820</t>
  </si>
  <si>
    <t>M14SH01A6IE840</t>
  </si>
  <si>
    <t>M14SH01A6IE930</t>
  </si>
  <si>
    <t>M14SH01A6IE999</t>
  </si>
  <si>
    <t>M14SH02C3IE645</t>
  </si>
  <si>
    <t>M14SH02C3IE820</t>
  </si>
  <si>
    <t>M14SH02C3IE825</t>
  </si>
  <si>
    <t>M14SH02C3IE840</t>
  </si>
  <si>
    <t>M14SH02C3IE910</t>
  </si>
  <si>
    <t>M14SH02C4IE825</t>
  </si>
  <si>
    <t>M14SH02C4IE840</t>
  </si>
  <si>
    <t>M14SH02C4IE910</t>
  </si>
  <si>
    <t>M14SJ01A2IEM06</t>
  </si>
  <si>
    <t>M14SJ01A9G1001</t>
  </si>
  <si>
    <t>M14SJ01A9G3106</t>
  </si>
  <si>
    <t>M14SJ01A9G6000</t>
  </si>
  <si>
    <t>M14SJ02A9G1001</t>
  </si>
  <si>
    <t>M14SJ02B6IE290</t>
  </si>
  <si>
    <t>M14SJ03B5IE870</t>
  </si>
  <si>
    <t>M14SL04B2G1001</t>
  </si>
  <si>
    <t>M14SL05B7G1004</t>
  </si>
  <si>
    <t>M14SL05B7G4000</t>
  </si>
  <si>
    <t>M14SL05B7G6000</t>
  </si>
  <si>
    <t>M14SL05B9G1004</t>
  </si>
  <si>
    <t>M14SL05B9G4000</t>
  </si>
  <si>
    <t>M14SL06B7G1001</t>
  </si>
  <si>
    <t>M14SL06B7G2500</t>
  </si>
  <si>
    <t>M14SL06B7G6000</t>
  </si>
  <si>
    <t>M14SL09B7G1001</t>
  </si>
  <si>
    <t>M14SL09B9G1001</t>
  </si>
  <si>
    <t>M14SL28C1G4765</t>
  </si>
  <si>
    <t>M14SO01A9G1377</t>
  </si>
  <si>
    <t>M14SO01A9G1378</t>
  </si>
  <si>
    <t>M14SO01A9G1700</t>
  </si>
  <si>
    <t>M14SO01A9G3000</t>
  </si>
  <si>
    <t>M14SO01A9G4000</t>
  </si>
  <si>
    <t>M14SO01A9G4643</t>
  </si>
  <si>
    <t>M14SO01A9G6064</t>
  </si>
  <si>
    <t>M14SO02A9G1377</t>
  </si>
  <si>
    <t>M14SO02A9G1378</t>
  </si>
  <si>
    <t>M14SO02A9G4000</t>
  </si>
  <si>
    <t>M14SO02A9G4643</t>
  </si>
  <si>
    <t>M14SO02A9G4729</t>
  </si>
  <si>
    <t>M14SO02A9G6064</t>
  </si>
  <si>
    <t>M14SP01A5IE100</t>
  </si>
  <si>
    <t>M14SP01A5IE730</t>
  </si>
  <si>
    <t>M14SP01A5IE840</t>
  </si>
  <si>
    <t>M14SP01A5IE930</t>
  </si>
  <si>
    <t>M14SP01A6IE100</t>
  </si>
  <si>
    <t>M14SP01A6IE210</t>
  </si>
  <si>
    <t>M14SP01A6IE730</t>
  </si>
  <si>
    <t>M14SP01A6IE820</t>
  </si>
  <si>
    <t>M14SP01A6IE840</t>
  </si>
  <si>
    <t>M14SP01A6IE930</t>
  </si>
  <si>
    <t>M14SP01A6IE999</t>
  </si>
  <si>
    <t>M14SP02A5IE100</t>
  </si>
  <si>
    <t>M14SP02A5IE730</t>
  </si>
  <si>
    <t>M14SP02A5IE840</t>
  </si>
  <si>
    <t>M14SP02A5IE930</t>
  </si>
  <si>
    <t>M14SP02A6IE100</t>
  </si>
  <si>
    <t>M14SP02A6IE210</t>
  </si>
  <si>
    <t>M14SP02A6IE730</t>
  </si>
  <si>
    <t>M14SP02A6IE820</t>
  </si>
  <si>
    <t>M14SP02A6IE840</t>
  </si>
  <si>
    <t>M14SP02A6IE930</t>
  </si>
  <si>
    <t>M14SP02A6IE999</t>
  </si>
  <si>
    <t>M14SP04A6IE100</t>
  </si>
  <si>
    <t>M14SP04A6IE210</t>
  </si>
  <si>
    <t>M14SP04A6IE730</t>
  </si>
  <si>
    <t>M14SP04A6IE820</t>
  </si>
  <si>
    <t>M14SP04A6IE840</t>
  </si>
  <si>
    <t>M14SP04A6IE930</t>
  </si>
  <si>
    <t>M14SP04A6IE999</t>
  </si>
  <si>
    <t>M14SP20A7IE330</t>
  </si>
  <si>
    <t>M14SP20A7IE880</t>
  </si>
  <si>
    <t>M14SP20A8IE830</t>
  </si>
  <si>
    <t>M14SP21C3IE645</t>
  </si>
  <si>
    <t>M14SP21C3IE820</t>
  </si>
  <si>
    <t>M14SP21C3IE825</t>
  </si>
  <si>
    <t>M14SP21C3IE840</t>
  </si>
  <si>
    <t>M14SP21C3IE910</t>
  </si>
  <si>
    <t>M14SP21C4IE645</t>
  </si>
  <si>
    <t>M14SP21C4IE825</t>
  </si>
  <si>
    <t>M14SP21C4IE840</t>
  </si>
  <si>
    <t>M14SP21C4IE910</t>
  </si>
  <si>
    <t>M14SQ11B1G1001</t>
  </si>
  <si>
    <t>M14SQ11B1G4000</t>
  </si>
  <si>
    <t>M14SQ11B1G7000</t>
  </si>
  <si>
    <t>M14SQ12B1G1001</t>
  </si>
  <si>
    <t>M14SQ12B1G4000</t>
  </si>
  <si>
    <t>M14SQ12B1G7000</t>
  </si>
  <si>
    <t>M14ST01C4IE825</t>
  </si>
  <si>
    <t>M14ST01C4IE840</t>
  </si>
  <si>
    <t>M14ST01C4IE910</t>
  </si>
  <si>
    <t>M14ST02C2IE840</t>
  </si>
  <si>
    <t>M14ST03B1G1377</t>
  </si>
  <si>
    <t>M14ST03B1G1378</t>
  </si>
  <si>
    <t>M14ST03B1G1700</t>
  </si>
  <si>
    <t>M14ST03B1G3000</t>
  </si>
  <si>
    <t>M14ST03B1G4000</t>
  </si>
  <si>
    <t>M14ST03B1G4643</t>
  </si>
  <si>
    <t>M14ST03B1G4730</t>
  </si>
  <si>
    <t>M14ST03B1G6064</t>
  </si>
  <si>
    <t>M14ST03C2IE645</t>
  </si>
  <si>
    <t>M14ST03C2IE820</t>
  </si>
  <si>
    <t>M14ST03C2IE840</t>
  </si>
  <si>
    <t>M14ST03C2IE910</t>
  </si>
  <si>
    <t>M14ST04B4G1377</t>
  </si>
  <si>
    <t>M14ST04B4G1378</t>
  </si>
  <si>
    <t>M14ST04B4G1700</t>
  </si>
  <si>
    <t>M14ST04B4G4000</t>
  </si>
  <si>
    <t>M14ST04B4G4729</t>
  </si>
  <si>
    <t>M14ST04C2IE925</t>
  </si>
  <si>
    <t>M14ST05B1G1285</t>
  </si>
  <si>
    <t>M14ST05B1G1377</t>
  </si>
  <si>
    <t>M14ST05B1G1378</t>
  </si>
  <si>
    <t>M14ST05B1G1700</t>
  </si>
  <si>
    <t>M14ST05B1G3000</t>
  </si>
  <si>
    <t>M14ST05B1G4000</t>
  </si>
  <si>
    <t>M14ST05B1G4643</t>
  </si>
  <si>
    <t>M14ST06B1G1377</t>
  </si>
  <si>
    <t>M14ST06B1G1378</t>
  </si>
  <si>
    <t>M14ST06B1G1700</t>
  </si>
  <si>
    <t>M14ST06B1G3000</t>
  </si>
  <si>
    <t>M14ST06B1G4000</t>
  </si>
  <si>
    <t>M14ST06B1G4643</t>
  </si>
  <si>
    <t>M14ST06B1G4729</t>
  </si>
  <si>
    <t>M14ST06C2IE645</t>
  </si>
  <si>
    <t>M14ST06C2IE820</t>
  </si>
  <si>
    <t>M14ST07B2G1001</t>
  </si>
  <si>
    <t>M14ST07B2G1378</t>
  </si>
  <si>
    <t>M14ST07B2G3000</t>
  </si>
  <si>
    <t>M14ST07B2G4000</t>
  </si>
  <si>
    <t>M14ST07B2G4643</t>
  </si>
  <si>
    <t>M14ST07C2IE825</t>
  </si>
  <si>
    <t>M14ST07C2IE910</t>
  </si>
  <si>
    <t>M14ST08B1G1377</t>
  </si>
  <si>
    <t>M14ST08B1G1378</t>
  </si>
  <si>
    <t>M14ST08B1G1700</t>
  </si>
  <si>
    <t>M14ST08B1G3000</t>
  </si>
  <si>
    <t>M14ST08B1G3489</t>
  </si>
  <si>
    <t>M14ST08B1G4000</t>
  </si>
  <si>
    <t>M14ST08B1G4643</t>
  </si>
  <si>
    <t>M14ST08B1G4729</t>
  </si>
  <si>
    <t>M14ST08C2IE645</t>
  </si>
  <si>
    <t>M14ST08C2IE820</t>
  </si>
  <si>
    <t>M14ST08C2IE840</t>
  </si>
  <si>
    <t>M14ST08C2IE910</t>
  </si>
  <si>
    <t>M14ST09B1G1001</t>
  </si>
  <si>
    <t>M14ST09B1G1377</t>
  </si>
  <si>
    <t>M14ST09B1G1700</t>
  </si>
  <si>
    <t>M14ST09B1G4000</t>
  </si>
  <si>
    <t>M14ST09B1G4643</t>
  </si>
  <si>
    <t>M14ST09B1G4729</t>
  </si>
  <si>
    <t>M14ST10B3G1377</t>
  </si>
  <si>
    <t>M14ST10B3G1378</t>
  </si>
  <si>
    <t>M14ST10B3G1700</t>
  </si>
  <si>
    <t>M14ST10B3G3000</t>
  </si>
  <si>
    <t>M14ST10B3G4000</t>
  </si>
  <si>
    <t>M14ST11B1G1001</t>
  </si>
  <si>
    <t>M14ST11B1G1285</t>
  </si>
  <si>
    <t>M14ST11B1G1377</t>
  </si>
  <si>
    <t>M14ST11B1G1700</t>
  </si>
  <si>
    <t>M14ST11B1G3000</t>
  </si>
  <si>
    <t>M14ST11B1G4000</t>
  </si>
  <si>
    <t>M14ST11B1G4643</t>
  </si>
  <si>
    <t>M14ST11B1G4730</t>
  </si>
  <si>
    <t>M14ST11B1G6064</t>
  </si>
  <si>
    <t>M14ST13B1G1377</t>
  </si>
  <si>
    <t>M14ST13B1G1378</t>
  </si>
  <si>
    <t>M14ST13B1G1700</t>
  </si>
  <si>
    <t>M14ST13B1G3000</t>
  </si>
  <si>
    <t>M14ST13B1G4000</t>
  </si>
  <si>
    <t>M14ST13B1G4643</t>
  </si>
  <si>
    <t>M14ST13B1G6064</t>
  </si>
  <si>
    <t>M14ST14B2G1377</t>
  </si>
  <si>
    <t>M14ST14B2G4730</t>
  </si>
  <si>
    <t>M14ST15B3G1285</t>
  </si>
  <si>
    <t>M14ST15B3G1700</t>
  </si>
  <si>
    <t>M14ST15B3G3489</t>
  </si>
  <si>
    <t>M14ST15B3G4000</t>
  </si>
  <si>
    <t>M14ST15B3G4729</t>
  </si>
  <si>
    <t>M14ST15B3G6064</t>
  </si>
  <si>
    <t>M14ST16B3G1285</t>
  </si>
  <si>
    <t>M14ST16B3G4000</t>
  </si>
  <si>
    <t>M14ST16B3G6064</t>
  </si>
  <si>
    <t>M14ST17B4G1001</t>
  </si>
  <si>
    <t>M14ST17B4G1377</t>
  </si>
  <si>
    <t>M14ST17B4G1378</t>
  </si>
  <si>
    <t>M14ST17B4G1700</t>
  </si>
  <si>
    <t>M14ST17B4G4000</t>
  </si>
  <si>
    <t>M14ST17B4G4643</t>
  </si>
  <si>
    <t>M14ST17B4G4730</t>
  </si>
  <si>
    <t>M14ST18B3G1285</t>
  </si>
  <si>
    <t>M14ST18B3G1378</t>
  </si>
  <si>
    <t>M14ST18B3G3489</t>
  </si>
  <si>
    <t>M14ST18B3G4000</t>
  </si>
  <si>
    <t>M14ST18B3G4729</t>
  </si>
  <si>
    <t>M14ST18B3G6064</t>
  </si>
  <si>
    <t>M14ST19B1G1378</t>
  </si>
  <si>
    <t>M14ST19B1G3000</t>
  </si>
  <si>
    <t>M14ST19B1G4000</t>
  </si>
  <si>
    <t>M14ST19B1G4643</t>
  </si>
  <si>
    <t>M14ST19B1G4729</t>
  </si>
  <si>
    <t>M14ST20B1G1377</t>
  </si>
  <si>
    <t>M14ST20B1G1378</t>
  </si>
  <si>
    <t>M14ST20B1G1700</t>
  </si>
  <si>
    <t>M14ST20B1G4000</t>
  </si>
  <si>
    <t>M14ST20B1G4643</t>
  </si>
  <si>
    <t>M14ST20B1G4729</t>
  </si>
  <si>
    <t>M14ST21B2G1378</t>
  </si>
  <si>
    <t>M14ST21B2G3000</t>
  </si>
  <si>
    <t>M14ST21B2G4000</t>
  </si>
  <si>
    <t>M14ST21B2G4643</t>
  </si>
  <si>
    <t>M14ST21B2G4730</t>
  </si>
  <si>
    <t>M14ST22B1G1377</t>
  </si>
  <si>
    <t>M14ST22B1G1378</t>
  </si>
  <si>
    <t>M14ST22B1G3000</t>
  </si>
  <si>
    <t>M14ST22B1G4643</t>
  </si>
  <si>
    <t>M14ST22B1G4729</t>
  </si>
  <si>
    <t>M14ST22B1G4730</t>
  </si>
  <si>
    <t>M14ST23B4G1377</t>
  </si>
  <si>
    <t>M14ST23B4G1378</t>
  </si>
  <si>
    <t>M14ST23B4G1700</t>
  </si>
  <si>
    <t>M14ST23B4G4000</t>
  </si>
  <si>
    <t>M14ST23B4G4643</t>
  </si>
  <si>
    <t>M14ST24B2G1378</t>
  </si>
  <si>
    <t>M14ST24B2G3000</t>
  </si>
  <si>
    <t>M14ST24B2G4000</t>
  </si>
  <si>
    <t>M14ST24B2G4643</t>
  </si>
  <si>
    <t>M14ST24B2G4730</t>
  </si>
  <si>
    <t>M14ST25B1G1377</t>
  </si>
  <si>
    <t>M14ST25B1G1378</t>
  </si>
  <si>
    <t>M14ST25B1G1700</t>
  </si>
  <si>
    <t>M14ST25B1G3000</t>
  </si>
  <si>
    <t>M14ST25B1G3489</t>
  </si>
  <si>
    <t>M14ST25B1G4000</t>
  </si>
  <si>
    <t>M14ST25B1G4643</t>
  </si>
  <si>
    <t>M14ST25B1G4730</t>
  </si>
  <si>
    <t>M14ST39B1G1377</t>
  </si>
  <si>
    <t>M14ST39B1G1378</t>
  </si>
  <si>
    <t>M14ST39B1G1700</t>
  </si>
  <si>
    <t>M14ST39B1G3489</t>
  </si>
  <si>
    <t>M14ST39B1G4643</t>
  </si>
  <si>
    <t>M14ST39B1G4729</t>
  </si>
  <si>
    <t>M14ST40B1G1377</t>
  </si>
  <si>
    <t>M14ST40B1G1378</t>
  </si>
  <si>
    <t>M14ST40B1G1700</t>
  </si>
  <si>
    <t>M14ST40B1G3000</t>
  </si>
  <si>
    <t>M14ST40B1G3489</t>
  </si>
  <si>
    <t>M14ST40B1G4643</t>
  </si>
  <si>
    <t>M14ST40B1G4729</t>
  </si>
  <si>
    <t>M14SW01A9IED05</t>
  </si>
  <si>
    <t>M14SW02A9IED05</t>
  </si>
  <si>
    <t>M14SW03B2IEL01</t>
  </si>
  <si>
    <t>M14SW04B3IE650</t>
  </si>
  <si>
    <t>M14SW04B3IE880</t>
  </si>
  <si>
    <t>M14SW04B4IE101</t>
  </si>
  <si>
    <t>M14SW04B4IE210</t>
  </si>
  <si>
    <t>M14SW04B4IE330</t>
  </si>
  <si>
    <t>M14SW04B4IE880</t>
  </si>
  <si>
    <t>M14SW04P3IE008</t>
  </si>
  <si>
    <t>M14U001C5G1001</t>
  </si>
  <si>
    <t>M14U001C5G1377</t>
  </si>
  <si>
    <t>M14U001C5G1378</t>
  </si>
  <si>
    <t>M14U001C5G1700</t>
  </si>
  <si>
    <t>M14U001C5G3489</t>
  </si>
  <si>
    <t>M14U001C5G4643</t>
  </si>
  <si>
    <t>M14U001C5G4729</t>
  </si>
  <si>
    <t>M14U001C5G6276</t>
  </si>
  <si>
    <t>M14U002C5G1001</t>
  </si>
  <si>
    <t>M14U002C5G1377</t>
  </si>
  <si>
    <t>M14U002C5G1378</t>
  </si>
  <si>
    <t>M14U002C5G1700</t>
  </si>
  <si>
    <t>M14U002C5G3489</t>
  </si>
  <si>
    <t>M14U002C5G4643</t>
  </si>
  <si>
    <t>M14U002C5G4729</t>
  </si>
  <si>
    <t>M14U002C5G6276</t>
  </si>
  <si>
    <t>M14UD01A4IED01</t>
  </si>
  <si>
    <t>M14UD01A4IEM16</t>
  </si>
  <si>
    <t>M14UD01G2IEM17</t>
  </si>
  <si>
    <t>M14UD01G4IED19</t>
  </si>
  <si>
    <t>M14UD01G4IED20</t>
  </si>
  <si>
    <t>M14UD01G5IED17</t>
  </si>
  <si>
    <t>M14UD01G5IEM15</t>
  </si>
  <si>
    <t>M14UD02A4IED01</t>
  </si>
  <si>
    <t>M14UD02A4IED18</t>
  </si>
  <si>
    <t>M14UD02A4IEM16</t>
  </si>
  <si>
    <t>M14UD02G2IEM17</t>
  </si>
  <si>
    <t>M14UD02G4IED19</t>
  </si>
  <si>
    <t>M14UD02G4IED20</t>
  </si>
  <si>
    <t>M14UD02G5IED17</t>
  </si>
  <si>
    <t>M14UD02G5IEM15</t>
  </si>
  <si>
    <t>M14UD07A4IED01</t>
  </si>
  <si>
    <t>M14UD07A4IED18</t>
  </si>
  <si>
    <t>M14UD07G4IED19</t>
  </si>
  <si>
    <t>M14UD07G4IED20</t>
  </si>
  <si>
    <t>M14UD07G5IEM15</t>
  </si>
  <si>
    <t>M14UD10G4IED02</t>
  </si>
  <si>
    <t>M14UD10G4IED20</t>
  </si>
  <si>
    <t>M14UF03B6G1001</t>
  </si>
  <si>
    <t>M14UF03B6G1285</t>
  </si>
  <si>
    <t>M14UF03B6G4729</t>
  </si>
  <si>
    <t>M14UF03B6G6276</t>
  </si>
  <si>
    <t>M14UF04B6G1001</t>
  </si>
  <si>
    <t>M14UF04B6G1285</t>
  </si>
  <si>
    <t>M14UF04B6G4729</t>
  </si>
  <si>
    <t>M14UF04B6G6276</t>
  </si>
  <si>
    <t>M14UF05B6G1378</t>
  </si>
  <si>
    <t>M14UF05B6G3489</t>
  </si>
  <si>
    <t>M14UF05B6G4643</t>
  </si>
  <si>
    <t>M14UF05B6G4729</t>
  </si>
  <si>
    <t>M14UF05B6G6276</t>
  </si>
  <si>
    <t>M14UF06B8G1001</t>
  </si>
  <si>
    <t>M14UF06B8G1377</t>
  </si>
  <si>
    <t>M14UF06B8G1378</t>
  </si>
  <si>
    <t>M14UF06B8G1700</t>
  </si>
  <si>
    <t>M14UF06B8G3489</t>
  </si>
  <si>
    <t>M14UF06B8G4643</t>
  </si>
  <si>
    <t>M14UF06B8G4729</t>
  </si>
  <si>
    <t>M14UF06B8G6276</t>
  </si>
  <si>
    <t>M14UF08B8G1001</t>
  </si>
  <si>
    <t>M14UF08B8G1377</t>
  </si>
  <si>
    <t>M14UF08B8G1378</t>
  </si>
  <si>
    <t>M14UF08B8G1700</t>
  </si>
  <si>
    <t>M14UF08B8G3489</t>
  </si>
  <si>
    <t>M14UF08B8G4643</t>
  </si>
  <si>
    <t>M14UF08B8G4729</t>
  </si>
  <si>
    <t>M14UF08B8G6276</t>
  </si>
  <si>
    <t>M14UF09B8G1001</t>
  </si>
  <si>
    <t>M14UF09B8G1378</t>
  </si>
  <si>
    <t>M14UF09B8G3489</t>
  </si>
  <si>
    <t>M14UF09B8G4643</t>
  </si>
  <si>
    <t>M14UF09B8G4729</t>
  </si>
  <si>
    <t>M14UF09B8G6276</t>
  </si>
  <si>
    <t>M14UF16B8G1001</t>
  </si>
  <si>
    <t>M14UF16B8G1377</t>
  </si>
  <si>
    <t>M14UF16B8G1378</t>
  </si>
  <si>
    <t>M14UF16B8G1700</t>
  </si>
  <si>
    <t>M14UF16B8G3489</t>
  </si>
  <si>
    <t>M14UF16B8G4643</t>
  </si>
  <si>
    <t>M14UF16B8G4729</t>
  </si>
  <si>
    <t>M14UF16B8G6276</t>
  </si>
  <si>
    <t>M14UF17B6G1285</t>
  </si>
  <si>
    <t>M14UF17B6G1377</t>
  </si>
  <si>
    <t>M14UF17B6G1378</t>
  </si>
  <si>
    <t>M14UF17B6G3489</t>
  </si>
  <si>
    <t>M14UF17B6G4643</t>
  </si>
  <si>
    <t>M14UF17B6G4729</t>
  </si>
  <si>
    <t>M14UF17B6G6276</t>
  </si>
  <si>
    <t>M14UF19B6G1377</t>
  </si>
  <si>
    <t>M14UF19B6G1378</t>
  </si>
  <si>
    <t>M14UF19B6G3489</t>
  </si>
  <si>
    <t>M14UF19B6G4643</t>
  </si>
  <si>
    <t>M14UF19B6G4729</t>
  </si>
  <si>
    <t>M14UF19B6G6276</t>
  </si>
  <si>
    <t>M14UF40B6G1001</t>
  </si>
  <si>
    <t>M14UF40B6G1285</t>
  </si>
  <si>
    <t>M14UF40B6G4729</t>
  </si>
  <si>
    <t>M14UF40B6G6276</t>
  </si>
  <si>
    <t>M14UF41B6G1378</t>
  </si>
  <si>
    <t>M14UF41B6G3489</t>
  </si>
  <si>
    <t>M14UF41B6G4643</t>
  </si>
  <si>
    <t>M14UF41B6G4729</t>
  </si>
  <si>
    <t>M14UF41B6G6276</t>
  </si>
  <si>
    <t>M14UJ01A4IED01</t>
  </si>
  <si>
    <t>M14UP01G3IE330</t>
  </si>
  <si>
    <t>M14UP01G3IE880</t>
  </si>
  <si>
    <t>M14UP01G3IE947</t>
  </si>
  <si>
    <t>M14UP02G3IE947</t>
  </si>
  <si>
    <t>M14UP10G3IE330</t>
  </si>
  <si>
    <t>M14UP10G3IE880</t>
  </si>
  <si>
    <t>M14UP10G3IE947</t>
  </si>
  <si>
    <t>M14UT07B1G1001</t>
  </si>
  <si>
    <t>M14UT07B1G1377</t>
  </si>
  <si>
    <t>M14UT07B1G1378</t>
  </si>
  <si>
    <t>M14UT07B1G1700</t>
  </si>
  <si>
    <t>M14UT07B1G3489</t>
  </si>
  <si>
    <t>M14UT07B1G4643</t>
  </si>
  <si>
    <t>M14UT07B1G4729</t>
  </si>
  <si>
    <t>M14UT07B1G6276</t>
  </si>
  <si>
    <t>M14UT10B1G1001</t>
  </si>
  <si>
    <t>M14UT10B1G1377</t>
  </si>
  <si>
    <t>M14UT10B1G1378</t>
  </si>
  <si>
    <t>M14UT10B1G1700</t>
  </si>
  <si>
    <t>M14UT10B1G3489</t>
  </si>
  <si>
    <t>M14UT10B1G4643</t>
  </si>
  <si>
    <t>M14UT10B1G4729</t>
  </si>
  <si>
    <t>M14UT10B1G6276</t>
  </si>
  <si>
    <t>M14UT11B1G1001</t>
  </si>
  <si>
    <t>M14UT11B1G1377</t>
  </si>
  <si>
    <t>M14UT11B1G1378</t>
  </si>
  <si>
    <t>M14UT11B1G1700</t>
  </si>
  <si>
    <t>M14UT11B1G3489</t>
  </si>
  <si>
    <t>M14UT11B1G4643</t>
  </si>
  <si>
    <t>M14UT11B1G4729</t>
  </si>
  <si>
    <t>M14UT11B1G6276</t>
  </si>
  <si>
    <t>M14UT12B1G1001</t>
  </si>
  <si>
    <t>M14UT12B1G1377</t>
  </si>
  <si>
    <t>M14UT12B1G1378</t>
  </si>
  <si>
    <t>M14UT12B1G1700</t>
  </si>
  <si>
    <t>M14UT12B1G3489</t>
  </si>
  <si>
    <t>M14UT12B1G4643</t>
  </si>
  <si>
    <t>M14UT12B1G4729</t>
  </si>
  <si>
    <t>M14UT12B1G6276</t>
  </si>
  <si>
    <t>M14UT13B1G1001</t>
  </si>
  <si>
    <t>M14UT13B1G1377</t>
  </si>
  <si>
    <t>M14UT13B1G1378</t>
  </si>
  <si>
    <t>M14UT13B1G1700</t>
  </si>
  <si>
    <t>M14UT13B1G1991</t>
  </si>
  <si>
    <t>M14UT13B1G3489</t>
  </si>
  <si>
    <t>M14UT13B1G4643</t>
  </si>
  <si>
    <t>M14UT13B1G4729</t>
  </si>
  <si>
    <t>M14UT13B1G6276</t>
  </si>
  <si>
    <t>M14UT14B1G1001</t>
  </si>
  <si>
    <t>M14UT14B1G1377</t>
  </si>
  <si>
    <t>M14UT14B1G1378</t>
  </si>
  <si>
    <t>M14UT14B1G1700</t>
  </si>
  <si>
    <t>M14UT14B1G3489</t>
  </si>
  <si>
    <t>M14UT14B1G4643</t>
  </si>
  <si>
    <t>M14UT14B1G4729</t>
  </si>
  <si>
    <t>M14UT14B1G6276</t>
  </si>
  <si>
    <t>M14UT14C2IE101</t>
  </si>
  <si>
    <t>M14UT14C2IE880</t>
  </si>
  <si>
    <t>M14UT15B1G1001</t>
  </si>
  <si>
    <t>M14UT15B1G1377</t>
  </si>
  <si>
    <t>M14UT15B1G1378</t>
  </si>
  <si>
    <t>M14UT15B1G1700</t>
  </si>
  <si>
    <t>M14UT15B1G3489</t>
  </si>
  <si>
    <t>M14UT15B1G4643</t>
  </si>
  <si>
    <t>M14UT15B1G4729</t>
  </si>
  <si>
    <t>M14UT15B1G6276</t>
  </si>
  <si>
    <t>M14UT15C2IE101</t>
  </si>
  <si>
    <t>M14UT15C2IE880</t>
  </si>
  <si>
    <t>M14UT15C2IE930</t>
  </si>
  <si>
    <t>M14UT16C2IE101</t>
  </si>
  <si>
    <t>M14UT16C2IE880</t>
  </si>
  <si>
    <t>M14UT16C2IE930</t>
  </si>
  <si>
    <t>M14UT18B1G1377</t>
  </si>
  <si>
    <t>M14UT18B1G1378</t>
  </si>
  <si>
    <t>M14UT18B1G3489</t>
  </si>
  <si>
    <t>M14UT18B1G4643</t>
  </si>
  <si>
    <t>M14UT18B1G4729</t>
  </si>
  <si>
    <t>M14UT18B1G6276</t>
  </si>
  <si>
    <t>M14UW01A9IED01</t>
  </si>
  <si>
    <t>M14UW01A9IEM01</t>
  </si>
  <si>
    <t>M15007UT71006</t>
  </si>
  <si>
    <t>M15007UT7</t>
  </si>
  <si>
    <t>DECAYED TR BOMBER</t>
  </si>
  <si>
    <t>M15009AV61006</t>
  </si>
  <si>
    <t>M15009AV6</t>
  </si>
  <si>
    <t>RAW EDGE ZIP UP HOODIE</t>
  </si>
  <si>
    <t>M15009AX44143</t>
  </si>
  <si>
    <t>M15009AX4</t>
  </si>
  <si>
    <t>M15010AV11001</t>
  </si>
  <si>
    <t>M15010AV1</t>
  </si>
  <si>
    <t>DOUBLE LAYER PULLOVER HOOD</t>
  </si>
  <si>
    <t>M15010AV11700</t>
  </si>
  <si>
    <t>M15010AX44143</t>
  </si>
  <si>
    <t>M15010AX4</t>
  </si>
  <si>
    <t>SS DOUBLE LAYER SWEATSHIRT</t>
  </si>
  <si>
    <t>M15012UT71006</t>
  </si>
  <si>
    <t>M15012UT7</t>
  </si>
  <si>
    <t>WASHED PULLOVER HOODIE</t>
  </si>
  <si>
    <t>M15012UT76000</t>
  </si>
  <si>
    <t>M15012XU61501</t>
  </si>
  <si>
    <t>M15012XU6</t>
  </si>
  <si>
    <t>M15FB66E5G1001</t>
  </si>
  <si>
    <t>M15FB66E5G1106</t>
  </si>
  <si>
    <t>M15FB66E5G1200</t>
  </si>
  <si>
    <t>M15FB66E5G2707</t>
  </si>
  <si>
    <t>M15FB66E5G4739</t>
  </si>
  <si>
    <t>M15FB66E5GHGY</t>
  </si>
  <si>
    <t>M15FB66E5GRBY</t>
  </si>
  <si>
    <t>M15FD01C1IE004</t>
  </si>
  <si>
    <t>M15FD12A4IE001</t>
  </si>
  <si>
    <t>M15FF03D7G1001</t>
  </si>
  <si>
    <t>M15FF03D7G1200</t>
  </si>
  <si>
    <t>M15FF03D7G1285</t>
  </si>
  <si>
    <t>M15FF03D7G1370</t>
  </si>
  <si>
    <t>M15FF03D7G1377</t>
  </si>
  <si>
    <t>M15FF03D7G1378</t>
  </si>
  <si>
    <t>M15FF03D7G1537</t>
  </si>
  <si>
    <t>M15FF03D7G1700</t>
  </si>
  <si>
    <t>M15FF03D7G1704</t>
  </si>
  <si>
    <t>M15FF03D7G3304</t>
  </si>
  <si>
    <t>M15FF03D7G4000</t>
  </si>
  <si>
    <t>M15FF03D7G4643</t>
  </si>
  <si>
    <t>M15FF03D7G4921</t>
  </si>
  <si>
    <t>M15FF04D7G1001</t>
  </si>
  <si>
    <t>M15FF04D7G1200</t>
  </si>
  <si>
    <t>M15FF04D7G1285</t>
  </si>
  <si>
    <t>M15FF04D7G1370</t>
  </si>
  <si>
    <t>M15FF04D7G1377</t>
  </si>
  <si>
    <t>M15FF04D7G1378</t>
  </si>
  <si>
    <t>M15FF04D7G1537</t>
  </si>
  <si>
    <t>M15FF04D7G1700</t>
  </si>
  <si>
    <t>M15FF04D7G1704</t>
  </si>
  <si>
    <t>M15FF04D7G3304</t>
  </si>
  <si>
    <t>M15FF04D7G4000</t>
  </si>
  <si>
    <t>M15FF04D7G4643</t>
  </si>
  <si>
    <t>M15FF04D7G4921</t>
  </si>
  <si>
    <t>M15FF05D7G1001</t>
  </si>
  <si>
    <t>M15FF05D7G1200</t>
  </si>
  <si>
    <t>M15FF05D7G1285</t>
  </si>
  <si>
    <t>M15FF05D7G1370</t>
  </si>
  <si>
    <t>M15FF05D7G1377</t>
  </si>
  <si>
    <t>M15FF05D7G1378</t>
  </si>
  <si>
    <t>M15FF05D7G1537</t>
  </si>
  <si>
    <t>M15FF05D7G1700</t>
  </si>
  <si>
    <t>M15FF05D7G1704</t>
  </si>
  <si>
    <t>M15FF05D7G3304</t>
  </si>
  <si>
    <t>M15FF05D7G4000</t>
  </si>
  <si>
    <t>M15FF05D7G4643</t>
  </si>
  <si>
    <t>M15FF05D7G4921</t>
  </si>
  <si>
    <t>M15FF08C5G1001</t>
  </si>
  <si>
    <t>M15FF08C5G1200</t>
  </si>
  <si>
    <t>M15FF08C5G1285</t>
  </si>
  <si>
    <t>M15FF08C5G1370</t>
  </si>
  <si>
    <t>M15FF08C5G1377</t>
  </si>
  <si>
    <t>M15FF08C5G1378</t>
  </si>
  <si>
    <t>M15FF08C5G1537</t>
  </si>
  <si>
    <t>M15FF08C5G1700</t>
  </si>
  <si>
    <t>M15FF08C5G1704</t>
  </si>
  <si>
    <t>M15FF08C5G3304</t>
  </si>
  <si>
    <t>M15FF08C5G4000</t>
  </si>
  <si>
    <t>M15FF08C5G4643</t>
  </si>
  <si>
    <t>M15FF08C5G4921</t>
  </si>
  <si>
    <t>M15FF09C5G1001</t>
  </si>
  <si>
    <t>M15FF09C5G1200</t>
  </si>
  <si>
    <t>M15FF09C5G1285</t>
  </si>
  <si>
    <t>M15FF09C5G1370</t>
  </si>
  <si>
    <t>M15FF09C5G1377</t>
  </si>
  <si>
    <t>M15FF09C5G1378</t>
  </si>
  <si>
    <t>M15FF09C5G1537</t>
  </si>
  <si>
    <t>M15FF09C5G1700</t>
  </si>
  <si>
    <t>M15FF09C5G1704</t>
  </si>
  <si>
    <t>M15FF09C5G3304</t>
  </si>
  <si>
    <t>M15FF09C5G4000</t>
  </si>
  <si>
    <t>M15FF09C5G4643</t>
  </si>
  <si>
    <t>M15FF09C5G4921</t>
  </si>
  <si>
    <t>M15FF12F2G1001</t>
  </si>
  <si>
    <t>M15FF12F2G1200</t>
  </si>
  <si>
    <t>M15FF12F2G1285</t>
  </si>
  <si>
    <t>M15FF12F2G1370</t>
  </si>
  <si>
    <t>M15FF12F2G1377</t>
  </si>
  <si>
    <t>M15FF12F2G1378</t>
  </si>
  <si>
    <t>M15FF12F2G1537</t>
  </si>
  <si>
    <t>M15FF12F2G1700</t>
  </si>
  <si>
    <t>M15FF12F2G1704</t>
  </si>
  <si>
    <t>M15FF12F2G3304</t>
  </si>
  <si>
    <t>M15FF12F2G4000</t>
  </si>
  <si>
    <t>M15FF12F2G4643</t>
  </si>
  <si>
    <t>M15FF12F2G4921</t>
  </si>
  <si>
    <t>M15FF13F2G1001</t>
  </si>
  <si>
    <t>M15FF13F2G1200</t>
  </si>
  <si>
    <t>M15FF13F2G1285</t>
  </si>
  <si>
    <t>M15FF13F2G1377</t>
  </si>
  <si>
    <t>M15FF13F2G1378</t>
  </si>
  <si>
    <t>M15FF13F2G1537</t>
  </si>
  <si>
    <t>M15FF13F2G1700</t>
  </si>
  <si>
    <t>M15FF13F2G1704</t>
  </si>
  <si>
    <t>M15FF13F2G3304</t>
  </si>
  <si>
    <t>M15FF13F2G4000</t>
  </si>
  <si>
    <t>M15FF13F2G4643</t>
  </si>
  <si>
    <t>M15FF13F2G4921</t>
  </si>
  <si>
    <t>M15FF15F2G1001</t>
  </si>
  <si>
    <t>M15FF15F2G1200</t>
  </si>
  <si>
    <t>M15FF15F2G1285</t>
  </si>
  <si>
    <t>M15FF15F2G1377</t>
  </si>
  <si>
    <t>M15FF15F2G1378</t>
  </si>
  <si>
    <t>M15FF15F2G1537</t>
  </si>
  <si>
    <t>M15FF15F2G1700</t>
  </si>
  <si>
    <t>M15FF15F2G1704</t>
  </si>
  <si>
    <t>M15FF15F2G2000</t>
  </si>
  <si>
    <t>M15FF15F2G3304</t>
  </si>
  <si>
    <t>M15FF15F2G4000</t>
  </si>
  <si>
    <t>M15FF15F2G4643</t>
  </si>
  <si>
    <t>M15FF15F2G4921</t>
  </si>
  <si>
    <t>M15FF21C7G1001</t>
  </si>
  <si>
    <t>M15FF21C7G1200</t>
  </si>
  <si>
    <t>M15FF21C7G1285</t>
  </si>
  <si>
    <t>M15FF21C7G1377</t>
  </si>
  <si>
    <t>M15FF21C7G1378</t>
  </si>
  <si>
    <t>M15FF21C7G1537</t>
  </si>
  <si>
    <t>M15FF21C7G1700</t>
  </si>
  <si>
    <t>M15FF21C7G1704</t>
  </si>
  <si>
    <t>M15FF21C7G3304</t>
  </si>
  <si>
    <t>M15FF21C7G4000</t>
  </si>
  <si>
    <t>M15FF21C7G4643</t>
  </si>
  <si>
    <t>M15FF21C7G4921</t>
  </si>
  <si>
    <t>M15FF22C7G1001</t>
  </si>
  <si>
    <t>M15FF22C7G1200</t>
  </si>
  <si>
    <t>M15FF22C7G1285</t>
  </si>
  <si>
    <t>M15FF22C7G1370</t>
  </si>
  <si>
    <t>M15FF22C7G1377</t>
  </si>
  <si>
    <t>M15FF22C7G1378</t>
  </si>
  <si>
    <t>M15FF22C7G1537</t>
  </si>
  <si>
    <t>M15FF22C7G1700</t>
  </si>
  <si>
    <t>M15FF22C7G1704</t>
  </si>
  <si>
    <t>M15FF22C7G3304</t>
  </si>
  <si>
    <t>M15FF22C7G4000</t>
  </si>
  <si>
    <t>M15FF22C7G4643</t>
  </si>
  <si>
    <t>M15FF22C7G4921</t>
  </si>
  <si>
    <t>M15FF23C7G1001</t>
  </si>
  <si>
    <t>M15FF23C7G1200</t>
  </si>
  <si>
    <t>M15FF23C7G1285</t>
  </si>
  <si>
    <t>M15FF23C7G1370</t>
  </si>
  <si>
    <t>M15FF23C7G1377</t>
  </si>
  <si>
    <t>M15FF23C7G1378</t>
  </si>
  <si>
    <t>M15FF23C7G1537</t>
  </si>
  <si>
    <t>M15FF23C7G1700</t>
  </si>
  <si>
    <t>M15FF23C7G1704</t>
  </si>
  <si>
    <t>M15FF23C7G3304</t>
  </si>
  <si>
    <t>M15FF23C7G4000</t>
  </si>
  <si>
    <t>M15FF23C7G4643</t>
  </si>
  <si>
    <t>M15FF23C7G4921</t>
  </si>
  <si>
    <t>M15FF24C7G1001</t>
  </si>
  <si>
    <t>M15FF24C7G1200</t>
  </si>
  <si>
    <t>M15FF24C7G1285</t>
  </si>
  <si>
    <t>M15FF24C7G1377</t>
  </si>
  <si>
    <t>M15FF24C7G1378</t>
  </si>
  <si>
    <t>M15FF24C7G1537</t>
  </si>
  <si>
    <t>M15FF24C7G1700</t>
  </si>
  <si>
    <t>M15FF24C7G1704</t>
  </si>
  <si>
    <t>M15FF24C7G2000</t>
  </si>
  <si>
    <t>M15FF24C7G3304</t>
  </si>
  <si>
    <t>M15FF24C7G4000</t>
  </si>
  <si>
    <t>M15FF24C7G4643</t>
  </si>
  <si>
    <t>M15FF24C7G4921</t>
  </si>
  <si>
    <t>M15FF28D7G1001</t>
  </si>
  <si>
    <t>M15FF28D7G1200</t>
  </si>
  <si>
    <t>M15FF28D7G1285</t>
  </si>
  <si>
    <t>M15FF28D7G1370</t>
  </si>
  <si>
    <t>M15FF28D7G1377</t>
  </si>
  <si>
    <t>M15FF28D7G1378</t>
  </si>
  <si>
    <t>M15FF28D7G1537</t>
  </si>
  <si>
    <t>M15FF28D7G1700</t>
  </si>
  <si>
    <t>M15FF28D7G1704</t>
  </si>
  <si>
    <t>M15FF28D7G3304</t>
  </si>
  <si>
    <t>M15FF28D7G4000</t>
  </si>
  <si>
    <t>M15FF28D7G4643</t>
  </si>
  <si>
    <t>M15FF28D7G4921</t>
  </si>
  <si>
    <t>M15FF29D7G1001</t>
  </si>
  <si>
    <t>M15FF29D7G1200</t>
  </si>
  <si>
    <t>M15FF29D7G1285</t>
  </si>
  <si>
    <t>M15FF29D7G1370</t>
  </si>
  <si>
    <t>M15FF29D7G1377</t>
  </si>
  <si>
    <t>M15FF29D7G1378</t>
  </si>
  <si>
    <t>M15FF29D7G1537</t>
  </si>
  <si>
    <t>M15FF29D7G1700</t>
  </si>
  <si>
    <t>M15FF29D7G1704</t>
  </si>
  <si>
    <t>M15FF29D7G3304</t>
  </si>
  <si>
    <t>M15FF29D7G4000</t>
  </si>
  <si>
    <t>M15FF29D7G4643</t>
  </si>
  <si>
    <t>M15FF29D7G4921</t>
  </si>
  <si>
    <t>M15FF31E5G1001</t>
  </si>
  <si>
    <t>M15FF31E5G1200</t>
  </si>
  <si>
    <t>M15FF31E5G1285</t>
  </si>
  <si>
    <t>M15FF31E5G1370</t>
  </si>
  <si>
    <t>M15FF31E5G1377</t>
  </si>
  <si>
    <t>M15FF31E5G1378</t>
  </si>
  <si>
    <t>M15FF31E5G1537</t>
  </si>
  <si>
    <t>M15FF31E5G1700</t>
  </si>
  <si>
    <t>M15FF31E5G1704</t>
  </si>
  <si>
    <t>M15FF31E5G3304</t>
  </si>
  <si>
    <t>M15FF31E5G4000</t>
  </si>
  <si>
    <t>M15FF31E5G4643</t>
  </si>
  <si>
    <t>M15FF31E5G4921</t>
  </si>
  <si>
    <t>M15FF35D7G1001</t>
  </si>
  <si>
    <t>M15FF35D7G1200</t>
  </si>
  <si>
    <t>M15FF35D7G1285</t>
  </si>
  <si>
    <t>M15FF35D7G1370</t>
  </si>
  <si>
    <t>M15FF35D7G1377</t>
  </si>
  <si>
    <t>M15FF35D7G1378</t>
  </si>
  <si>
    <t>M15FF35D7G1537</t>
  </si>
  <si>
    <t>M15FF35D7G1700</t>
  </si>
  <si>
    <t>M15FF35D7G1704</t>
  </si>
  <si>
    <t>M15FF35D7G2000</t>
  </si>
  <si>
    <t>M15FF35D7G3304</t>
  </si>
  <si>
    <t>M15FF35D7G4000</t>
  </si>
  <si>
    <t>M15FF35D7G4921</t>
  </si>
  <si>
    <t>M15FK01D3G1001</t>
  </si>
  <si>
    <t>M15FK01D3G1200</t>
  </si>
  <si>
    <t>M15FK01D3G1285</t>
  </si>
  <si>
    <t>M15FK01D3G1370</t>
  </si>
  <si>
    <t>M15FK01D3G1377</t>
  </si>
  <si>
    <t>M15FK01D3G1378</t>
  </si>
  <si>
    <t>M15FK01D3G1537</t>
  </si>
  <si>
    <t>M15FK01D3G1700</t>
  </si>
  <si>
    <t>M15FK01D3G1704</t>
  </si>
  <si>
    <t>M15FK01D3G2000</t>
  </si>
  <si>
    <t>M15FK01D3G3304</t>
  </si>
  <si>
    <t>M15FK01D3G4000</t>
  </si>
  <si>
    <t>M15FK01D3G4643</t>
  </si>
  <si>
    <t>M15FK01D3G4921</t>
  </si>
  <si>
    <t>M15FK09D3G1001</t>
  </si>
  <si>
    <t>M15FK09D3G1200</t>
  </si>
  <si>
    <t>M15FK09D3G1285</t>
  </si>
  <si>
    <t>M15FK09D3G1370</t>
  </si>
  <si>
    <t>M15FK09D3G1377</t>
  </si>
  <si>
    <t>M15FK09D3G1378</t>
  </si>
  <si>
    <t>M15FK09D3G1537</t>
  </si>
  <si>
    <t>M15FK09D3G1700</t>
  </si>
  <si>
    <t>M15FK09D3G1704</t>
  </si>
  <si>
    <t>M15FK09D3G2000</t>
  </si>
  <si>
    <t>M15FK09D3G3304</t>
  </si>
  <si>
    <t>M15FK09D3G4000</t>
  </si>
  <si>
    <t>M15FK09D3G4643</t>
  </si>
  <si>
    <t>M15FK09D3G4921</t>
  </si>
  <si>
    <t>M15FL67E5G1001</t>
  </si>
  <si>
    <t>M15FL67E5G1106</t>
  </si>
  <si>
    <t>M15FL67E5G1200</t>
  </si>
  <si>
    <t>M15FL67E5G2707</t>
  </si>
  <si>
    <t>M15FL67E5G4739</t>
  </si>
  <si>
    <t>M15FL67E5GHGY</t>
  </si>
  <si>
    <t>M15FL67E5GRBY</t>
  </si>
  <si>
    <t>M15FN01D7G4000</t>
  </si>
  <si>
    <t>M15FN88D7G1001</t>
  </si>
  <si>
    <t>M15FN88D7G4000</t>
  </si>
  <si>
    <t>M15FN89D7G1001</t>
  </si>
  <si>
    <t>M15FN89D7G1106</t>
  </si>
  <si>
    <t>M15FN89D7G1200</t>
  </si>
  <si>
    <t>M15FN89D7G1305</t>
  </si>
  <si>
    <t>M15FN89D7G1423</t>
  </si>
  <si>
    <t>M15FN89D7G2377</t>
  </si>
  <si>
    <t>M15FN89D7G2707</t>
  </si>
  <si>
    <t>M15FN89D7G4000</t>
  </si>
  <si>
    <t>M15FN89D7G4739</t>
  </si>
  <si>
    <t>M15FN89D7G6000</t>
  </si>
  <si>
    <t>M15FN89D7GHGY</t>
  </si>
  <si>
    <t>M15FN89D7GRBY</t>
  </si>
  <si>
    <t>M15FN94F3G1001</t>
  </si>
  <si>
    <t>M15FN94F3G1106</t>
  </si>
  <si>
    <t>M15FN94F3G1200</t>
  </si>
  <si>
    <t>M15FN94F3G1305</t>
  </si>
  <si>
    <t>M15FN94F3G1423</t>
  </si>
  <si>
    <t>M15FN94F3G2377</t>
  </si>
  <si>
    <t>M15FN94F3G2707</t>
  </si>
  <si>
    <t>M15FN94F3G4000</t>
  </si>
  <si>
    <t>M15FN94F3G4739</t>
  </si>
  <si>
    <t>M15FN94F3G6000</t>
  </si>
  <si>
    <t>M15FN94F3GHGY</t>
  </si>
  <si>
    <t>M15FN94F3GRBY</t>
  </si>
  <si>
    <t>M15FT06E6G1001</t>
  </si>
  <si>
    <t>M15FT06E6G1700</t>
  </si>
  <si>
    <t>M15FT06E6G3304</t>
  </si>
  <si>
    <t>M15FT06E6G4643</t>
  </si>
  <si>
    <t>M15FT17F3G1001</t>
  </si>
  <si>
    <t>M15FT17F3G1200</t>
  </si>
  <si>
    <t>M15FT17F3G1370</t>
  </si>
  <si>
    <t>M15FT17F3G1377</t>
  </si>
  <si>
    <t>M15FT17F3G1378</t>
  </si>
  <si>
    <t>M15FT17F3G1537</t>
  </si>
  <si>
    <t>M15FT17F3G1700</t>
  </si>
  <si>
    <t>M15FT17F3G1704</t>
  </si>
  <si>
    <t>M15FT17F3G2000</t>
  </si>
  <si>
    <t>M15FT17F3G3304</t>
  </si>
  <si>
    <t>M15FT17F3G4643</t>
  </si>
  <si>
    <t>M15FT17F3G4921</t>
  </si>
  <si>
    <t>M15FT25E6G1001</t>
  </si>
  <si>
    <t>M15FT25E6G1200</t>
  </si>
  <si>
    <t>M15FT25E6G1285</t>
  </si>
  <si>
    <t>M15FT25E6G1370</t>
  </si>
  <si>
    <t>M15FT25E6G1377</t>
  </si>
  <si>
    <t>M15FT25E6G1378</t>
  </si>
  <si>
    <t>M15FT25E6G1537</t>
  </si>
  <si>
    <t>M15FT25E6G1700</t>
  </si>
  <si>
    <t>M15FT25E6G1704</t>
  </si>
  <si>
    <t>M15FT25E6G2000</t>
  </si>
  <si>
    <t>M15FT25E6G3304</t>
  </si>
  <si>
    <t>M15FT25E6G4000</t>
  </si>
  <si>
    <t>M15FT25E6G4643</t>
  </si>
  <si>
    <t>M15FT25E6G4921</t>
  </si>
  <si>
    <t>M15FT26E6G1001</t>
  </si>
  <si>
    <t>M15FT26E6G1200</t>
  </si>
  <si>
    <t>M15FT26E6G1285</t>
  </si>
  <si>
    <t>M15FT26E6G1370</t>
  </si>
  <si>
    <t>M15FT26E6G1377</t>
  </si>
  <si>
    <t>M15FT26E6G1378</t>
  </si>
  <si>
    <t>M15FT26E6G1537</t>
  </si>
  <si>
    <t>M15FT26E6G1700</t>
  </si>
  <si>
    <t>M15FT26E6G1704</t>
  </si>
  <si>
    <t>M15FT26E6G2000</t>
  </si>
  <si>
    <t>M15FT26E6G3304</t>
  </si>
  <si>
    <t>M15FT26E6G4000</t>
  </si>
  <si>
    <t>M15FT26E6G4643</t>
  </si>
  <si>
    <t>M15FT26E6G4921</t>
  </si>
  <si>
    <t>M15FT30E6G1001</t>
  </si>
  <si>
    <t>M15FT30E6G1200</t>
  </si>
  <si>
    <t>M15FT30E6G1285</t>
  </si>
  <si>
    <t>M15FT30E6G1370</t>
  </si>
  <si>
    <t>M15FT30E6G1377</t>
  </si>
  <si>
    <t>M15FT30E6G1378</t>
  </si>
  <si>
    <t>M15FT30E6G1537</t>
  </si>
  <si>
    <t>M15FT30E6G1700</t>
  </si>
  <si>
    <t>M15FT30E6G1704</t>
  </si>
  <si>
    <t>M15FT30E6G2000</t>
  </si>
  <si>
    <t>M15FT30E6G3304</t>
  </si>
  <si>
    <t>M15FT30E6G4000</t>
  </si>
  <si>
    <t>M15FT30E6G4643</t>
  </si>
  <si>
    <t>M15FT30E6G4921</t>
  </si>
  <si>
    <t>M15FT33C5G1001</t>
  </si>
  <si>
    <t>M15FT33C5G1200</t>
  </si>
  <si>
    <t>M15FT33C5G1285</t>
  </si>
  <si>
    <t>M15FT33C5G1370</t>
  </si>
  <si>
    <t>M15FT33C5G1377</t>
  </si>
  <si>
    <t>M15FT33C5G1378</t>
  </si>
  <si>
    <t>M15FT33C5G1537</t>
  </si>
  <si>
    <t>M15FT33C5G1700</t>
  </si>
  <si>
    <t>M15FT33C5G1704</t>
  </si>
  <si>
    <t>M15FT33C5G2000</t>
  </si>
  <si>
    <t>M15FT33C5G4643</t>
  </si>
  <si>
    <t>M15FT33C5G4921</t>
  </si>
  <si>
    <t>M15FT36F1G1001</t>
  </si>
  <si>
    <t>M15FT36F1G1200</t>
  </si>
  <si>
    <t>M15FT36F1G1285</t>
  </si>
  <si>
    <t>M15FT36F1G1370</t>
  </si>
  <si>
    <t>M15FT36F1G1377</t>
  </si>
  <si>
    <t>M15FT36F1G1537</t>
  </si>
  <si>
    <t>M15FT36F1G1700</t>
  </si>
  <si>
    <t>M15FT36F1G1704</t>
  </si>
  <si>
    <t>M15FT36F1G2000</t>
  </si>
  <si>
    <t>M15FT36F1G4643</t>
  </si>
  <si>
    <t>M15FT36F1G4921</t>
  </si>
  <si>
    <t>M15FT44E5G1001</t>
  </si>
  <si>
    <t>M15FT44E5G1200</t>
  </si>
  <si>
    <t>M15FT44E5G1285</t>
  </si>
  <si>
    <t>M15FT44E5G1370</t>
  </si>
  <si>
    <t>M15FT44E5G1377</t>
  </si>
  <si>
    <t>M15FT44E5G1378</t>
  </si>
  <si>
    <t>M15FT44E5G1537</t>
  </si>
  <si>
    <t>M15FT44E5G1700</t>
  </si>
  <si>
    <t>M15FT44E5G1704</t>
  </si>
  <si>
    <t>M15FT44E5G2000</t>
  </si>
  <si>
    <t>M15FT44E5G3304</t>
  </si>
  <si>
    <t>M15FT44E5G4000</t>
  </si>
  <si>
    <t>M15FT44E5G4643</t>
  </si>
  <si>
    <t>M15FT44E5G4921</t>
  </si>
  <si>
    <t>M15FT50E6G1001</t>
  </si>
  <si>
    <t>M15FT50E6G1700</t>
  </si>
  <si>
    <t>M15FT50E6G4643</t>
  </si>
  <si>
    <t>M15FT51E6G1001</t>
  </si>
  <si>
    <t>M15FT51E6G1700</t>
  </si>
  <si>
    <t>M15FT51E6G4643</t>
  </si>
  <si>
    <t>M15FV87D7G1001</t>
  </si>
  <si>
    <t>M15FV87D7G1106</t>
  </si>
  <si>
    <t>M15FV87D7G1200</t>
  </si>
  <si>
    <t>M15FV87D7G1423</t>
  </si>
  <si>
    <t>M15FV87D7G2377</t>
  </si>
  <si>
    <t>M15FV87D7G2707</t>
  </si>
  <si>
    <t>M15FV87D7G4000</t>
  </si>
  <si>
    <t>M15FV87D7G4739</t>
  </si>
  <si>
    <t>M15FV87D7G6000</t>
  </si>
  <si>
    <t>M15FV87D7GHGY</t>
  </si>
  <si>
    <t>M15FV87D7GRBY</t>
  </si>
  <si>
    <t>M15FY59E3G1001</t>
  </si>
  <si>
    <t>M15FY59E3G1106</t>
  </si>
  <si>
    <t>M15FY59E3G1200</t>
  </si>
  <si>
    <t>M15FY59E3G1423</t>
  </si>
  <si>
    <t>M15FY59E3G2377</t>
  </si>
  <si>
    <t>M15FY59E3G2707</t>
  </si>
  <si>
    <t>M15FY59E3G4739</t>
  </si>
  <si>
    <t>M15FY59E3GHGY</t>
  </si>
  <si>
    <t>M15FY59E3GRBY</t>
  </si>
  <si>
    <t>M15HF03D7G1106</t>
  </si>
  <si>
    <t>M15HF03D7G1285</t>
  </si>
  <si>
    <t>M15HF03D7G3160</t>
  </si>
  <si>
    <t>M15HF03D7G4000</t>
  </si>
  <si>
    <t>M15HF03D7G4643</t>
  </si>
  <si>
    <t>M15HF04D7G1106</t>
  </si>
  <si>
    <t>M15HF04D7G1285</t>
  </si>
  <si>
    <t>M15HF04D7G3160</t>
  </si>
  <si>
    <t>M15HF04D7G4000</t>
  </si>
  <si>
    <t>M15HF04D7G4643</t>
  </si>
  <si>
    <t>M15HF06E6G1106</t>
  </si>
  <si>
    <t>M15HF06E6G1278</t>
  </si>
  <si>
    <t>M15HF06E6G1700</t>
  </si>
  <si>
    <t>M15HF06E6G3160</t>
  </si>
  <si>
    <t>M15HF06E6G4000</t>
  </si>
  <si>
    <t>M15HF06E6G4643</t>
  </si>
  <si>
    <t>M15HF07D7G1106</t>
  </si>
  <si>
    <t>M15HF07D7G1285</t>
  </si>
  <si>
    <t>M15HF07D7G3160</t>
  </si>
  <si>
    <t>M15HF07D7G4000</t>
  </si>
  <si>
    <t>M15HF07D7G4643</t>
  </si>
  <si>
    <t>M15HF35D7G1106</t>
  </si>
  <si>
    <t>M15HF35D7G1285</t>
  </si>
  <si>
    <t>M15HF35D7G3160</t>
  </si>
  <si>
    <t>M15HF35D7G4000</t>
  </si>
  <si>
    <t>M15HF35D7G4643</t>
  </si>
  <si>
    <t>M15SB09B3G1001</t>
  </si>
  <si>
    <t>M15SB12C2G1001</t>
  </si>
  <si>
    <t>M15SB14C1G1001</t>
  </si>
  <si>
    <t>M15SB15C1G1001</t>
  </si>
  <si>
    <t>M15SD01A2IED68</t>
  </si>
  <si>
    <t>M15SD01A4IED64</t>
  </si>
  <si>
    <t>M15SD01A4IED66</t>
  </si>
  <si>
    <t>M15SD01A4IEM45</t>
  </si>
  <si>
    <t>M15SD01O4IEM46</t>
  </si>
  <si>
    <t>M15SD01O4IEM47</t>
  </si>
  <si>
    <t>M15SD01P8IE210</t>
  </si>
  <si>
    <t>M15SD01P8IE642</t>
  </si>
  <si>
    <t>M15SD01P8IE834</t>
  </si>
  <si>
    <t>M15SD01P8IE999</t>
  </si>
  <si>
    <t>M15SD01P8IET33</t>
  </si>
  <si>
    <t>M15SD01Q1IE220</t>
  </si>
  <si>
    <t>M15SD01Q1IE880</t>
  </si>
  <si>
    <t>M15SD01Q1IET34</t>
  </si>
  <si>
    <t>M15SD02A2IED67</t>
  </si>
  <si>
    <t>M15SD02A2IED68</t>
  </si>
  <si>
    <t>M15SD02A4IED64</t>
  </si>
  <si>
    <t>M15SD02A4IED65</t>
  </si>
  <si>
    <t>M15SD02A4IED66</t>
  </si>
  <si>
    <t>M15SD02A4IEL15</t>
  </si>
  <si>
    <t>M15SD02N7IEL17</t>
  </si>
  <si>
    <t>M15SD02O4IEM46</t>
  </si>
  <si>
    <t>M15SD02O4IEM47</t>
  </si>
  <si>
    <t>M15SD02P9IED69</t>
  </si>
  <si>
    <t>M15SD05A2IED67</t>
  </si>
  <si>
    <t>M15SD05A2IED68</t>
  </si>
  <si>
    <t>M15SD05A4IEM45</t>
  </si>
  <si>
    <t>M15SD05O4IEM46</t>
  </si>
  <si>
    <t>M15SD05O4IEM47</t>
  </si>
  <si>
    <t>M15SD05P9IED69</t>
  </si>
  <si>
    <t>M15SD12N6IE820</t>
  </si>
  <si>
    <t>M15SD12N6IE880</t>
  </si>
  <si>
    <t>M15SD12N6IET36</t>
  </si>
  <si>
    <t>M15SD12N7IED70</t>
  </si>
  <si>
    <t>M15SD12O4IEM48</t>
  </si>
  <si>
    <t>M15SD12P8IE210</t>
  </si>
  <si>
    <t>M15SD12P8IE642</t>
  </si>
  <si>
    <t>M15SD12P8IE834</t>
  </si>
  <si>
    <t>M15SD12P8IE999</t>
  </si>
  <si>
    <t>M15SD12P8IET33</t>
  </si>
  <si>
    <t>M15SD13A4IEL15</t>
  </si>
  <si>
    <t>M15SD13A4IEM45</t>
  </si>
  <si>
    <t>M15SD13N6IE820</t>
  </si>
  <si>
    <t>M15SD13N6IE880</t>
  </si>
  <si>
    <t>M15SD13N6IET36</t>
  </si>
  <si>
    <t>M15SD13O4IEM49</t>
  </si>
  <si>
    <t>M15SD13P9IED69</t>
  </si>
  <si>
    <t>M15SD14Q1IE820</t>
  </si>
  <si>
    <t>M15SD14Q1IE930</t>
  </si>
  <si>
    <t>M15SD14Q1IET35</t>
  </si>
  <si>
    <t>M15SE08B6G1001</t>
  </si>
  <si>
    <t>M15SF01C8G1106</t>
  </si>
  <si>
    <t>M15SF01C8G1285</t>
  </si>
  <si>
    <t>M15SF01C8G1378</t>
  </si>
  <si>
    <t>M15SF01C8G3501</t>
  </si>
  <si>
    <t>M15SF01C8G4643</t>
  </si>
  <si>
    <t>M15SF01C8G4753</t>
  </si>
  <si>
    <t>M15SF01C8G6064</t>
  </si>
  <si>
    <t>M15SF12D7G1106</t>
  </si>
  <si>
    <t>M15SF12D7G1285</t>
  </si>
  <si>
    <t>M15SF12D7G1700</t>
  </si>
  <si>
    <t>M15SF12D7G3501</t>
  </si>
  <si>
    <t>M15SF12D7G4643</t>
  </si>
  <si>
    <t>M15SF13D7G1106</t>
  </si>
  <si>
    <t>M15SF13D7G1278</t>
  </si>
  <si>
    <t>M15SF13D7G1285</t>
  </si>
  <si>
    <t>M15SF13D7G1700</t>
  </si>
  <si>
    <t>M15SF13D7G3501</t>
  </si>
  <si>
    <t>M15SF13D7G4643</t>
  </si>
  <si>
    <t>M15SF13D7G6064</t>
  </si>
  <si>
    <t>M15SF14D7G1106</t>
  </si>
  <si>
    <t>M15SF14D7G1285</t>
  </si>
  <si>
    <t>M15SF14D7G1700</t>
  </si>
  <si>
    <t>M15SF14D7G3501</t>
  </si>
  <si>
    <t>M15SF14D7G4643</t>
  </si>
  <si>
    <t>M15SF14D7G6064</t>
  </si>
  <si>
    <t>M15SF15D7G1106</t>
  </si>
  <si>
    <t>M15SF15D7G1285</t>
  </si>
  <si>
    <t>M15SF15D7G1700</t>
  </si>
  <si>
    <t>M15SF15D7G3501</t>
  </si>
  <si>
    <t>M15SF15D7G4643</t>
  </si>
  <si>
    <t>M15SF15D7G6064</t>
  </si>
  <si>
    <t>M15SF16D7G1106</t>
  </si>
  <si>
    <t>M15SF16D7G1278</t>
  </si>
  <si>
    <t>M15SF16D7G1285</t>
  </si>
  <si>
    <t>M15SF16D7G1700</t>
  </si>
  <si>
    <t>M15SF16D7G3501</t>
  </si>
  <si>
    <t>M15SF16D7G4643</t>
  </si>
  <si>
    <t>M15SF16D7G6064</t>
  </si>
  <si>
    <t>M15SF25B8G1106</t>
  </si>
  <si>
    <t>M15SF25B8G1303</t>
  </si>
  <si>
    <t>M15SF25B8G1377</t>
  </si>
  <si>
    <t>M15SF25B8G1378</t>
  </si>
  <si>
    <t>M15SF25B8G1403</t>
  </si>
  <si>
    <t>M15SF25B8G3501</t>
  </si>
  <si>
    <t>M15SF25B8G4643</t>
  </si>
  <si>
    <t>M15SF25B8G4753</t>
  </si>
  <si>
    <t>M15SF25B8G6064</t>
  </si>
  <si>
    <t>M15SF25B8G8039</t>
  </si>
  <si>
    <t>M15SF26B8G1106</t>
  </si>
  <si>
    <t>M15SF26B8G1377</t>
  </si>
  <si>
    <t>M15SF26B8G1378</t>
  </si>
  <si>
    <t>M15SF26B8G1403</t>
  </si>
  <si>
    <t>M15SF26B8G3501</t>
  </si>
  <si>
    <t>M15SF26B8G4643</t>
  </si>
  <si>
    <t>M15SF26B8G4753</t>
  </si>
  <si>
    <t>M15SF26B8G6064</t>
  </si>
  <si>
    <t>M15SF26B8G8039</t>
  </si>
  <si>
    <t>M15SF27B8G1106</t>
  </si>
  <si>
    <t>M15SF27B8G1378</t>
  </si>
  <si>
    <t>M15SF27B8G1403</t>
  </si>
  <si>
    <t>M15SF27B8G3501</t>
  </si>
  <si>
    <t>M15SF27B8G4643</t>
  </si>
  <si>
    <t>M15SF27B8G4753</t>
  </si>
  <si>
    <t>M15SF27B8G6064</t>
  </si>
  <si>
    <t>M15SF27B8G8039</t>
  </si>
  <si>
    <t>M15SF28C7G1106</t>
  </si>
  <si>
    <t>M15SF28C7G1278</t>
  </si>
  <si>
    <t>M15SF28C7G1285</t>
  </si>
  <si>
    <t>M15SF28C7G1378</t>
  </si>
  <si>
    <t>M15SF28C7G3501</t>
  </si>
  <si>
    <t>M15SF28C7G4643</t>
  </si>
  <si>
    <t>M15SF28C7G4753</t>
  </si>
  <si>
    <t>M15SF28C7G6064</t>
  </si>
  <si>
    <t>M15SF29C7G1106</t>
  </si>
  <si>
    <t>M15SF29C7G1278</t>
  </si>
  <si>
    <t>M15SF29C7G3501</t>
  </si>
  <si>
    <t>M15SF29C7G4643</t>
  </si>
  <si>
    <t>M15SF29C7G6064</t>
  </si>
  <si>
    <t>M15SF29C7G8039</t>
  </si>
  <si>
    <t>M15SF30C7G1106</t>
  </si>
  <si>
    <t>M15SF30C7G1278</t>
  </si>
  <si>
    <t>M15SF30C7G3501</t>
  </si>
  <si>
    <t>M15SF30C7G4643</t>
  </si>
  <si>
    <t>M15SF30C7G6064</t>
  </si>
  <si>
    <t>M15SF30C7G8039</t>
  </si>
  <si>
    <t>M15SF31C7G1106</t>
  </si>
  <si>
    <t>M15SF31C7G1278</t>
  </si>
  <si>
    <t>M15SF31C7G3501</t>
  </si>
  <si>
    <t>M15SF31C7G4643</t>
  </si>
  <si>
    <t>M15SF31C7G6064</t>
  </si>
  <si>
    <t>M15SF31C7G8039</t>
  </si>
  <si>
    <t>M15SF32C7G1106</t>
  </si>
  <si>
    <t>M15SF32C7G1278</t>
  </si>
  <si>
    <t>M15SF32C7G3501</t>
  </si>
  <si>
    <t>M15SF32C7G4643</t>
  </si>
  <si>
    <t>M15SF32C7G6064</t>
  </si>
  <si>
    <t>M15SF50B5G1370</t>
  </si>
  <si>
    <t>M15SF51B5G1370</t>
  </si>
  <si>
    <t>M15SF52B5G1370</t>
  </si>
  <si>
    <t>M15SF53B5G1370</t>
  </si>
  <si>
    <t>M15SF54B5G1370</t>
  </si>
  <si>
    <t>M15SF55B5G1370</t>
  </si>
  <si>
    <t>M15SF56B8G1001</t>
  </si>
  <si>
    <t>M15SF56B8G1278</t>
  </si>
  <si>
    <t>M15SF56B8G4643</t>
  </si>
  <si>
    <t>M15SF56B8G6000</t>
  </si>
  <si>
    <t>M15SF56B8G6012</t>
  </si>
  <si>
    <t>M15SF57B8G1001</t>
  </si>
  <si>
    <t>M15SF57B8G1278</t>
  </si>
  <si>
    <t>M15SF57B8G4643</t>
  </si>
  <si>
    <t>M15SF57B8G6000</t>
  </si>
  <si>
    <t>M15SF57B8G6012</t>
  </si>
  <si>
    <t>M15SF58B8G1001</t>
  </si>
  <si>
    <t>M15SF58B8G1278</t>
  </si>
  <si>
    <t>M15SF58B8G4643</t>
  </si>
  <si>
    <t>M15SF58B8G6000</t>
  </si>
  <si>
    <t>M15SF59B8G1001</t>
  </si>
  <si>
    <t>M15SF59B8G1278</t>
  </si>
  <si>
    <t>M15SF59B8G4643</t>
  </si>
  <si>
    <t>M15SF60B8G6012</t>
  </si>
  <si>
    <t>M15SF61B8G1278</t>
  </si>
  <si>
    <t>M15SJ01A2IED67</t>
  </si>
  <si>
    <t>M15SJ01A2IED68</t>
  </si>
  <si>
    <t>M15SQ03D7G1001</t>
  </si>
  <si>
    <t>M15SQ03D7G1204</t>
  </si>
  <si>
    <t>M15SQ04D7G1001</t>
  </si>
  <si>
    <t>M15SQ04D7G1204</t>
  </si>
  <si>
    <t>M15SS01C4G1106</t>
  </si>
  <si>
    <t>M15SS01C4G4643</t>
  </si>
  <si>
    <t>M15SS02C4G1106</t>
  </si>
  <si>
    <t>M15SS02C4G4643</t>
  </si>
  <si>
    <t>M15SS03C4G1106</t>
  </si>
  <si>
    <t>M15SS03C4G4643</t>
  </si>
  <si>
    <t>M15ST02C5G1106</t>
  </si>
  <si>
    <t>M15ST02C5G1377</t>
  </si>
  <si>
    <t>M15ST02C5G1378</t>
  </si>
  <si>
    <t>M15ST02C5G1403</t>
  </si>
  <si>
    <t>M15ST02C5G1700</t>
  </si>
  <si>
    <t>M15ST02C5G3501</t>
  </si>
  <si>
    <t>M15ST02C5G4643</t>
  </si>
  <si>
    <t>M15ST02C5G4753</t>
  </si>
  <si>
    <t>M15ST02C5G6064</t>
  </si>
  <si>
    <t>M15ST02C5G8039</t>
  </si>
  <si>
    <t>M15ST03C5G1106</t>
  </si>
  <si>
    <t>M15ST03C5G1377</t>
  </si>
  <si>
    <t>M15ST03C5G1378</t>
  </si>
  <si>
    <t>M15ST03C5G1403</t>
  </si>
  <si>
    <t>M15ST03C5G1700</t>
  </si>
  <si>
    <t>M15ST03C5G3501</t>
  </si>
  <si>
    <t>M15ST03C5G4643</t>
  </si>
  <si>
    <t>M15ST03C5G4753</t>
  </si>
  <si>
    <t>M15ST03C5G6064</t>
  </si>
  <si>
    <t>M15ST03C5G8039</t>
  </si>
  <si>
    <t>M15ST04C5G1377</t>
  </si>
  <si>
    <t>M15ST04C5G1378</t>
  </si>
  <si>
    <t>M15ST04C5G1403</t>
  </si>
  <si>
    <t>M15ST04C5G1700</t>
  </si>
  <si>
    <t>M15ST04C5G3501</t>
  </si>
  <si>
    <t>M15ST04C5G4643</t>
  </si>
  <si>
    <t>M15ST04C5G4753</t>
  </si>
  <si>
    <t>M15ST04C5G6064</t>
  </si>
  <si>
    <t>M15ST05C5G1106</t>
  </si>
  <si>
    <t>M15ST05C5G1377</t>
  </si>
  <si>
    <t>M15ST05C5G1378</t>
  </si>
  <si>
    <t>M15ST05C5G1403</t>
  </si>
  <si>
    <t>M15ST05C5G1700</t>
  </si>
  <si>
    <t>M15ST05C5G3501</t>
  </si>
  <si>
    <t>M15ST05C5G4643</t>
  </si>
  <si>
    <t>M15ST05C5G4753</t>
  </si>
  <si>
    <t>M15ST05C5G6064</t>
  </si>
  <si>
    <t>M15ST05C5G8039</t>
  </si>
  <si>
    <t>M15ST06C5G1106</t>
  </si>
  <si>
    <t>M15ST06C5G1377</t>
  </si>
  <si>
    <t>M15ST06C5G1378</t>
  </si>
  <si>
    <t>M15ST06C5G1403</t>
  </si>
  <si>
    <t>M15ST06C5G1700</t>
  </si>
  <si>
    <t>M15ST06C5G3501</t>
  </si>
  <si>
    <t>M15ST06C5G4643</t>
  </si>
  <si>
    <t>M15ST06C5G4753</t>
  </si>
  <si>
    <t>M15ST06C5G6064</t>
  </si>
  <si>
    <t>M15ST06C5G8039</t>
  </si>
  <si>
    <t>M15ST07C5G1106</t>
  </si>
  <si>
    <t>M15ST07C5G1377</t>
  </si>
  <si>
    <t>M15ST07C5G1700</t>
  </si>
  <si>
    <t>M15ST07C5G3501</t>
  </si>
  <si>
    <t>M15ST07C5G4643</t>
  </si>
  <si>
    <t>M15ST07C5G4753</t>
  </si>
  <si>
    <t>M15ST08E5G1106</t>
  </si>
  <si>
    <t>M15ST08E5G1377</t>
  </si>
  <si>
    <t>M15ST08E5G1378</t>
  </si>
  <si>
    <t>M15ST08E5G1403</t>
  </si>
  <si>
    <t>M15ST08E5G1700</t>
  </si>
  <si>
    <t>M15ST08E5G3501</t>
  </si>
  <si>
    <t>M15ST08E5G4643</t>
  </si>
  <si>
    <t>M15ST08E5G4753</t>
  </si>
  <si>
    <t>M15ST08E5G6064</t>
  </si>
  <si>
    <t>M15ST08E5G8039</t>
  </si>
  <si>
    <t>M15ST09E5G1106</t>
  </si>
  <si>
    <t>M15ST09E5G1285</t>
  </si>
  <si>
    <t>M15ST09E5G1377</t>
  </si>
  <si>
    <t>M15ST09E5G1378</t>
  </si>
  <si>
    <t>M15ST09E5G1403</t>
  </si>
  <si>
    <t>M15ST09E5G1700</t>
  </si>
  <si>
    <t>M15ST09E5G3501</t>
  </si>
  <si>
    <t>M15ST09E5G4643</t>
  </si>
  <si>
    <t>M15ST09E5G4753</t>
  </si>
  <si>
    <t>M15ST09E5G6064</t>
  </si>
  <si>
    <t>M15ST10E5G1106</t>
  </si>
  <si>
    <t>M15ST10E5G1285</t>
  </si>
  <si>
    <t>M15ST10E5G1303</t>
  </si>
  <si>
    <t>M15ST10E5G1377</t>
  </si>
  <si>
    <t>M15ST10E5G1378</t>
  </si>
  <si>
    <t>M15ST10E5G1403</t>
  </si>
  <si>
    <t>M15ST10E5G1700</t>
  </si>
  <si>
    <t>M15ST10E5G3501</t>
  </si>
  <si>
    <t>M15ST10E5G4643</t>
  </si>
  <si>
    <t>M15ST10E5G4753</t>
  </si>
  <si>
    <t>M15ST10E5G6064</t>
  </si>
  <si>
    <t>M15ST17E6G1106</t>
  </si>
  <si>
    <t>M15ST17E6G1278</t>
  </si>
  <si>
    <t>M15ST17E6G1378</t>
  </si>
  <si>
    <t>M15ST17E6G1700</t>
  </si>
  <si>
    <t>M15ST17E6G3501</t>
  </si>
  <si>
    <t>M15ST17E6G4643</t>
  </si>
  <si>
    <t>M15ST17E6G4753</t>
  </si>
  <si>
    <t>M15ST18E5G1106</t>
  </si>
  <si>
    <t>M15ST18E5G1278</t>
  </si>
  <si>
    <t>M15ST18E5G1377</t>
  </si>
  <si>
    <t>M15ST18E5G1378</t>
  </si>
  <si>
    <t>M15ST18E5G1700</t>
  </si>
  <si>
    <t>M15ST18E5G3501</t>
  </si>
  <si>
    <t>M15ST18E5G4643</t>
  </si>
  <si>
    <t>M15ST18E5G4753</t>
  </si>
  <si>
    <t>M15ST18E5G6064</t>
  </si>
  <si>
    <t>M15ST18E5G8039</t>
  </si>
  <si>
    <t>M15ST19E6G1106</t>
  </si>
  <si>
    <t>M15ST19E6G1278</t>
  </si>
  <si>
    <t>M15ST19E6G1700</t>
  </si>
  <si>
    <t>M15ST19E6G3501</t>
  </si>
  <si>
    <t>M15ST19E6G4643</t>
  </si>
  <si>
    <t>M15ST19E6G6064</t>
  </si>
  <si>
    <t>M15ST20E6G1106</t>
  </si>
  <si>
    <t>M15ST20E6G1278</t>
  </si>
  <si>
    <t>M15ST20E6G1700</t>
  </si>
  <si>
    <t>M15ST20E6G3501</t>
  </si>
  <si>
    <t>M15ST20E6G4643</t>
  </si>
  <si>
    <t>M15ST20E6G6064</t>
  </si>
  <si>
    <t>M15ST21E6G1106</t>
  </si>
  <si>
    <t>M15ST21E6G1278</t>
  </si>
  <si>
    <t>M15ST21E6G1700</t>
  </si>
  <si>
    <t>M15ST21E6G3501</t>
  </si>
  <si>
    <t>M15ST21E6G4643</t>
  </si>
  <si>
    <t>M15ST22E6G1106</t>
  </si>
  <si>
    <t>M15ST22E6G1278</t>
  </si>
  <si>
    <t>M15ST22E6G1700</t>
  </si>
  <si>
    <t>M15ST22E6G3501</t>
  </si>
  <si>
    <t>M15ST22E6G4643</t>
  </si>
  <si>
    <t>M15ST22E6G6064</t>
  </si>
  <si>
    <t>M15ST23E6G1106</t>
  </si>
  <si>
    <t>M15ST23E6G1278</t>
  </si>
  <si>
    <t>M15ST23E6G1700</t>
  </si>
  <si>
    <t>M15ST23E6G3501</t>
  </si>
  <si>
    <t>M15ST23E6G4643</t>
  </si>
  <si>
    <t>M15ST23E6G6064</t>
  </si>
  <si>
    <t>M15ST24E6G1106</t>
  </si>
  <si>
    <t>M15ST24E6G1278</t>
  </si>
  <si>
    <t>M15ST24E6G1700</t>
  </si>
  <si>
    <t>M15ST24E6G3501</t>
  </si>
  <si>
    <t>M15ST24E6G4643</t>
  </si>
  <si>
    <t>M15ST24E6G6064</t>
  </si>
  <si>
    <t>M15ST35E6G1106</t>
  </si>
  <si>
    <t>M15ST35E6G1278</t>
  </si>
  <si>
    <t>M15ST35E6G1378</t>
  </si>
  <si>
    <t>M15ST35E6G1700</t>
  </si>
  <si>
    <t>M15ST35E6G3501</t>
  </si>
  <si>
    <t>M15ST35E6G4643</t>
  </si>
  <si>
    <t>M15ST35E6G6064</t>
  </si>
  <si>
    <t>M15ST36E6G1106</t>
  </si>
  <si>
    <t>M15ST36E6G1377</t>
  </si>
  <si>
    <t>M15ST36E6G1378</t>
  </si>
  <si>
    <t>M15ST36E6G1700</t>
  </si>
  <si>
    <t>M15ST36E6G3501</t>
  </si>
  <si>
    <t>M15ST36E6G4643</t>
  </si>
  <si>
    <t>M15ST36E6G4753</t>
  </si>
  <si>
    <t>M15ST36E6G6064</t>
  </si>
  <si>
    <t>M15ST37C5G1106</t>
  </si>
  <si>
    <t>M15ST37C5G1285</t>
  </si>
  <si>
    <t>M15ST37C5G1303</t>
  </si>
  <si>
    <t>M15ST37C5G1377</t>
  </si>
  <si>
    <t>M15ST37C5G1378</t>
  </si>
  <si>
    <t>M15ST37C5G1403</t>
  </si>
  <si>
    <t>M15ST37C5G1700</t>
  </si>
  <si>
    <t>M15ST37C5G3501</t>
  </si>
  <si>
    <t>M15ST37C5G4643</t>
  </si>
  <si>
    <t>M15ST37C5G4753</t>
  </si>
  <si>
    <t>M15ST37C5G6064</t>
  </si>
  <si>
    <t>M15ST37C5G8039</t>
  </si>
  <si>
    <t>M15ST62E5G1001</t>
  </si>
  <si>
    <t>M15ST62E5G1278</t>
  </si>
  <si>
    <t>M15ST62E5G1700</t>
  </si>
  <si>
    <t>M15ST62E5G4643</t>
  </si>
  <si>
    <t>M15ST62E5G6000</t>
  </si>
  <si>
    <t>M15ST62E5G6012</t>
  </si>
  <si>
    <t>M15ST63E5G1001</t>
  </si>
  <si>
    <t>M15ST63E5G1278</t>
  </si>
  <si>
    <t>M15ST63E5G1700</t>
  </si>
  <si>
    <t>M15ST63E5G4643</t>
  </si>
  <si>
    <t>M15ST63E5G6000</t>
  </si>
  <si>
    <t>M15ST63E5G6012</t>
  </si>
  <si>
    <t>M15ST64E5G1001</t>
  </si>
  <si>
    <t>M15ST64E5G1278</t>
  </si>
  <si>
    <t>M15ST64E5G1700</t>
  </si>
  <si>
    <t>M15ST65E5G1278</t>
  </si>
  <si>
    <t>M15ST65E5G1700</t>
  </si>
  <si>
    <t>M15ST65E5G4643</t>
  </si>
  <si>
    <t>M15ST65E5G6012</t>
  </si>
  <si>
    <t>M15ST66E5G1278</t>
  </si>
  <si>
    <t>M15ST66E5G1700</t>
  </si>
  <si>
    <t>M15ST66E5G4643</t>
  </si>
  <si>
    <t>M15SW01A9IEL16</t>
  </si>
  <si>
    <t>M15SW08Q2IEL18</t>
  </si>
  <si>
    <t>M15SW08Q2IEM50</t>
  </si>
  <si>
    <t>M15SW08Q3IEW19</t>
  </si>
  <si>
    <t>M15UD01A2ID201</t>
  </si>
  <si>
    <t>M15UD01A4IM103</t>
  </si>
  <si>
    <t>M15UD01A4IM1A3</t>
  </si>
  <si>
    <t>M15UD01B1IM602</t>
  </si>
  <si>
    <t>M15UD01B2IL400</t>
  </si>
  <si>
    <t>M15UD01B2IR401</t>
  </si>
  <si>
    <t>M15UD01B2IR4A1</t>
  </si>
  <si>
    <t>M15UD01B3ID300</t>
  </si>
  <si>
    <t>M15UD01B3IM3A1</t>
  </si>
  <si>
    <t>M15UD02A2ID201</t>
  </si>
  <si>
    <t>M15UD02A4ID101</t>
  </si>
  <si>
    <t>M15UD02A4ID1A1</t>
  </si>
  <si>
    <t>M15UD02A4IM103</t>
  </si>
  <si>
    <t>M15UD02A4IM1A3</t>
  </si>
  <si>
    <t>M15UD02B1IM602</t>
  </si>
  <si>
    <t>M15UD02B2IL400</t>
  </si>
  <si>
    <t>M15UD02B2IR4A1</t>
  </si>
  <si>
    <t>M15UD02B3ID300</t>
  </si>
  <si>
    <t>M15UD05A4ID101</t>
  </si>
  <si>
    <t>M15UD05A4ID102</t>
  </si>
  <si>
    <t>M15UD05A4ID1A1</t>
  </si>
  <si>
    <t>M15UD05A4ID1A2</t>
  </si>
  <si>
    <t>M15UD05B2IL400</t>
  </si>
  <si>
    <t>M15UD12A4ID102</t>
  </si>
  <si>
    <t>M15UD12A4ID1A2</t>
  </si>
  <si>
    <t>M15UD12B2IL400</t>
  </si>
  <si>
    <t>M15UD13A4ID101</t>
  </si>
  <si>
    <t>M15UD13B2IR401</t>
  </si>
  <si>
    <t>M15UD13B2IR4A1</t>
  </si>
  <si>
    <t>M15UD13B4ID501</t>
  </si>
  <si>
    <t>M15UD15A4ID102</t>
  </si>
  <si>
    <t>M15UD15A4ID1A2</t>
  </si>
  <si>
    <t>M15UD15B4ID501</t>
  </si>
  <si>
    <t>M15UD16A2ID201</t>
  </si>
  <si>
    <t>M15UD16A4IM103</t>
  </si>
  <si>
    <t>M15UD16A4IM1A3</t>
  </si>
  <si>
    <t>M15UD17B1IM602</t>
  </si>
  <si>
    <t>M15UF02C7G1106</t>
  </si>
  <si>
    <t>M15UF02C7G1476</t>
  </si>
  <si>
    <t>M15UF02C7G1700</t>
  </si>
  <si>
    <t>M15UF02C7G4643</t>
  </si>
  <si>
    <t>M15UF02C7G4645</t>
  </si>
  <si>
    <t>M15UF03C7G1106</t>
  </si>
  <si>
    <t>M15UF03C7G1476</t>
  </si>
  <si>
    <t>M15UF03C7G1700</t>
  </si>
  <si>
    <t>M15UF03C7G4643</t>
  </si>
  <si>
    <t>M15UF03C7G4645</t>
  </si>
  <si>
    <t>M15UF04C7G1106</t>
  </si>
  <si>
    <t>M15UF04C7G1700</t>
  </si>
  <si>
    <t>M15UF04C7G4643</t>
  </si>
  <si>
    <t>M15UF04C7G4645</t>
  </si>
  <si>
    <t>M15UF05C7G1106</t>
  </si>
  <si>
    <t>M15UF05C7G1700</t>
  </si>
  <si>
    <t>M15UF05C7G4643</t>
  </si>
  <si>
    <t>M15UF05C7G4645</t>
  </si>
  <si>
    <t>M15UF08D7G1106</t>
  </si>
  <si>
    <t>M15UF08D7G1285</t>
  </si>
  <si>
    <t>M15UF08D7G1700</t>
  </si>
  <si>
    <t>M15UF08D7G4643</t>
  </si>
  <si>
    <t>M15UF08D7G4645</t>
  </si>
  <si>
    <t>M15UF08D7G8206</t>
  </si>
  <si>
    <t>M15UF09D7G1106</t>
  </si>
  <si>
    <t>M15UF09D7G1285</t>
  </si>
  <si>
    <t>M15UF09D7G1700</t>
  </si>
  <si>
    <t>M15UF09D7G4643</t>
  </si>
  <si>
    <t>M15UF09D7G4645</t>
  </si>
  <si>
    <t>M15UF09D7G8206</t>
  </si>
  <si>
    <t>M15UF16D7G1700</t>
  </si>
  <si>
    <t>M15UF16D7G4643</t>
  </si>
  <si>
    <t>M15UF16D7G4645</t>
  </si>
  <si>
    <t>M15UF16D7G8206</t>
  </si>
  <si>
    <t>M15UF17D7G1106</t>
  </si>
  <si>
    <t>M15UF17D7G1285</t>
  </si>
  <si>
    <t>M15UF17D7G1700</t>
  </si>
  <si>
    <t>M15UF17D7G3000</t>
  </si>
  <si>
    <t>M15UF17D7G4643</t>
  </si>
  <si>
    <t>M15UF17D7G4645</t>
  </si>
  <si>
    <t>M15UF19D7G1106</t>
  </si>
  <si>
    <t>M15UF19D7G1285</t>
  </si>
  <si>
    <t>M15UF19D7G1700</t>
  </si>
  <si>
    <t>M15UF19D7G4643</t>
  </si>
  <si>
    <t>M15UF19D7G4645</t>
  </si>
  <si>
    <t>M15UF20D7G1700</t>
  </si>
  <si>
    <t>M15UF20D7G4643</t>
  </si>
  <si>
    <t>M15UF20D7G4645</t>
  </si>
  <si>
    <t>M15UJ01A2IM350</t>
  </si>
  <si>
    <t>M15UJ02B2IR401</t>
  </si>
  <si>
    <t>M15UJ02B2IR4A1</t>
  </si>
  <si>
    <t>M15UP01B5IG803</t>
  </si>
  <si>
    <t>M15UP02B5IG803</t>
  </si>
  <si>
    <t>M15UP02B5IS803</t>
  </si>
  <si>
    <t>M15UP12B6IT900</t>
  </si>
  <si>
    <t>M15UP17B6IT900</t>
  </si>
  <si>
    <t>M15UT01E6G1106</t>
  </si>
  <si>
    <t>M15UT01E6G1278</t>
  </si>
  <si>
    <t>M15UT01E6G1700</t>
  </si>
  <si>
    <t>M15UT01E6G3000</t>
  </si>
  <si>
    <t>M15UT01E6G4643</t>
  </si>
  <si>
    <t>M15UT01E6G4645</t>
  </si>
  <si>
    <t>M15UT06E6G1106</t>
  </si>
  <si>
    <t>M15UT06E6G1278</t>
  </si>
  <si>
    <t>M15UT06E6G1700</t>
  </si>
  <si>
    <t>M15UT06E6G1889</t>
  </si>
  <si>
    <t>M15UT06E6G3000</t>
  </si>
  <si>
    <t>M15UT06E6G4645</t>
  </si>
  <si>
    <t>M15UT06E6G8206</t>
  </si>
  <si>
    <t>M15UT10C6G1106</t>
  </si>
  <si>
    <t>M15UT10C6G1377</t>
  </si>
  <si>
    <t>M15UT10C6G1700</t>
  </si>
  <si>
    <t>M15UT10C6G1889</t>
  </si>
  <si>
    <t>M15UT10C6G4542</t>
  </si>
  <si>
    <t>M15UT10C6G4643</t>
  </si>
  <si>
    <t>M15UT10C6G4645</t>
  </si>
  <si>
    <t>M15UT10C6G8206</t>
  </si>
  <si>
    <t>M15UT11E6G1106</t>
  </si>
  <si>
    <t>M15UT11E6G1700</t>
  </si>
  <si>
    <t>M15UT11E6G3000</t>
  </si>
  <si>
    <t>M15UT11E6G4643</t>
  </si>
  <si>
    <t>M15UT11E6G4645</t>
  </si>
  <si>
    <t>M15UT12E6G1106</t>
  </si>
  <si>
    <t>M15UT12E6G1700</t>
  </si>
  <si>
    <t>M15UT12E6G3000</t>
  </si>
  <si>
    <t>M15UT12E6G4643</t>
  </si>
  <si>
    <t>M15UT12E6G4645</t>
  </si>
  <si>
    <t>M15UT14E6G1106</t>
  </si>
  <si>
    <t>M15UT14E6G1278</t>
  </si>
  <si>
    <t>M15UT14E6G1700</t>
  </si>
  <si>
    <t>M15UT14E6G4643</t>
  </si>
  <si>
    <t>M15UT14E6G4645</t>
  </si>
  <si>
    <t>M15UT15E6G1106</t>
  </si>
  <si>
    <t>M15UT15E6G1278</t>
  </si>
  <si>
    <t>M15UT15E6G1700</t>
  </si>
  <si>
    <t>M15UT15E6G3000</t>
  </si>
  <si>
    <t>M15UT15E6G4643</t>
  </si>
  <si>
    <t>M15UT15E6G4645</t>
  </si>
  <si>
    <t>M15UT21C5G1377</t>
  </si>
  <si>
    <t>M15UT21C5G1378</t>
  </si>
  <si>
    <t>M15UT21C5G1700</t>
  </si>
  <si>
    <t>M15UT21C5G1889</t>
  </si>
  <si>
    <t>M15UT21C5G3000</t>
  </si>
  <si>
    <t>M15UT21C5G4542</t>
  </si>
  <si>
    <t>M15UT21C5G4643</t>
  </si>
  <si>
    <t>M15UT21C5G4645</t>
  </si>
  <si>
    <t>M15UT21C5G8206</t>
  </si>
  <si>
    <t>M15UT22C5G1377</t>
  </si>
  <si>
    <t>M15UT22C5G1378</t>
  </si>
  <si>
    <t>M15UT22C5G1700</t>
  </si>
  <si>
    <t>M15UT22C5G1889</t>
  </si>
  <si>
    <t>M15UT22C5G3000</t>
  </si>
  <si>
    <t>M15UT22C5G4542</t>
  </si>
  <si>
    <t>M15UT22C5G4643</t>
  </si>
  <si>
    <t>M15UT22C5G4645</t>
  </si>
  <si>
    <t>M15UT22C5G8206</t>
  </si>
  <si>
    <t>M15UT23E6G1106</t>
  </si>
  <si>
    <t>M15UT23E6G1278</t>
  </si>
  <si>
    <t>M15UT23E6G1700</t>
  </si>
  <si>
    <t>M15UT23E6G3000</t>
  </si>
  <si>
    <t>M15UT23E6G4643</t>
  </si>
  <si>
    <t>M15UT23E6G4645</t>
  </si>
  <si>
    <t>M15UT24C5G1377</t>
  </si>
  <si>
    <t>M15UT24C5G1378</t>
  </si>
  <si>
    <t>M15UT24C5G1700</t>
  </si>
  <si>
    <t>M15UT24C5G1889</t>
  </si>
  <si>
    <t>M15UT24C5G3000</t>
  </si>
  <si>
    <t>M15UT24C5G4542</t>
  </si>
  <si>
    <t>M15UT24C5G4643</t>
  </si>
  <si>
    <t>M15UT24C5G4645</t>
  </si>
  <si>
    <t>M15UT24C5G8206</t>
  </si>
  <si>
    <t>M15UT25E6G1106</t>
  </si>
  <si>
    <t>M15UT25E6G1278</t>
  </si>
  <si>
    <t>M15UT25E6G1700</t>
  </si>
  <si>
    <t>M15UT25E6G4643</t>
  </si>
  <si>
    <t>M15UT26E5G1278</t>
  </si>
  <si>
    <t>M15UT26E5G1377</t>
  </si>
  <si>
    <t>M15UT26E5G1378</t>
  </si>
  <si>
    <t>M15UT26E5G1700</t>
  </si>
  <si>
    <t>M15UT26E5G1889</t>
  </si>
  <si>
    <t>M15UT26E5G3000</t>
  </si>
  <si>
    <t>M15UT26E5G4643</t>
  </si>
  <si>
    <t>M15UT26E5G4645</t>
  </si>
  <si>
    <t>M15UT27C5G1377</t>
  </si>
  <si>
    <t>M15UT27C5G1378</t>
  </si>
  <si>
    <t>M15UT27C5G1700</t>
  </si>
  <si>
    <t>M15UT27C5G1889</t>
  </si>
  <si>
    <t>M15UT27C5G4542</t>
  </si>
  <si>
    <t>M15UT27C5G4643</t>
  </si>
  <si>
    <t>M15UT27C5G4645</t>
  </si>
  <si>
    <t>M15UT27C5G8206</t>
  </si>
  <si>
    <t>M15UT28C5G1377</t>
  </si>
  <si>
    <t>M15UT28C5G1378</t>
  </si>
  <si>
    <t>M15UT28C5G1700</t>
  </si>
  <si>
    <t>M15UT28C5G4643</t>
  </si>
  <si>
    <t>M15UT29C8G1106</t>
  </si>
  <si>
    <t>M15UT29C8G1377</t>
  </si>
  <si>
    <t>M15UT29C8G1700</t>
  </si>
  <si>
    <t>M15UT29C8G4643</t>
  </si>
  <si>
    <t>M15UT33E6G1106</t>
  </si>
  <si>
    <t>M15UT33E6G1278</t>
  </si>
  <si>
    <t>M15UT33E6G1700</t>
  </si>
  <si>
    <t>M15UW01A9ID380</t>
  </si>
  <si>
    <t>M15UW01A9IM360</t>
  </si>
  <si>
    <t>M16FD20D1GDGCD</t>
  </si>
  <si>
    <t>M16FD23H1G4269</t>
  </si>
  <si>
    <t>M16FD61C1GDFNM</t>
  </si>
  <si>
    <t>M16FD63F1GDFWM</t>
  </si>
  <si>
    <t>M16FD64G1GSGDB</t>
  </si>
  <si>
    <t>M16FF01B8G1305</t>
  </si>
  <si>
    <t>M16FF01B8G1378</t>
  </si>
  <si>
    <t>M16FF01B8G3106</t>
  </si>
  <si>
    <t>M16FF01B8G4522</t>
  </si>
  <si>
    <t>M16FF01B8G6474</t>
  </si>
  <si>
    <t>M16FF02B8G1305</t>
  </si>
  <si>
    <t>M16FF02B8G1378</t>
  </si>
  <si>
    <t>M16FF02B8G3106</t>
  </si>
  <si>
    <t>M16FF02B8G4522</t>
  </si>
  <si>
    <t>M16FF02B8G6474</t>
  </si>
  <si>
    <t>M16FF03B8G1305</t>
  </si>
  <si>
    <t>M16FF03B8G1378</t>
  </si>
  <si>
    <t>M16FF03B8G3106</t>
  </si>
  <si>
    <t>M16FF03B8G4522</t>
  </si>
  <si>
    <t>M16FF03B8G6474</t>
  </si>
  <si>
    <t>M16FF04B8G1305</t>
  </si>
  <si>
    <t>M16FF04B8G1378</t>
  </si>
  <si>
    <t>M16FF04B8G3106</t>
  </si>
  <si>
    <t>M16FF04B8G4522</t>
  </si>
  <si>
    <t>M16FF04B8G6474</t>
  </si>
  <si>
    <t>M16FF07B8G1305</t>
  </si>
  <si>
    <t>M16FF07B8G2000</t>
  </si>
  <si>
    <t>M16FF11B8G3106</t>
  </si>
  <si>
    <t>M16FF12H7G2000</t>
  </si>
  <si>
    <t>M16FF12H7G3106</t>
  </si>
  <si>
    <t>M16FF12H7G4143</t>
  </si>
  <si>
    <t>M16FF16H8G1106</t>
  </si>
  <si>
    <t>M16FF16H8G2000</t>
  </si>
  <si>
    <t>M16FF16H8G3106</t>
  </si>
  <si>
    <t>M16FF16H8G4143</t>
  </si>
  <si>
    <t>M16FF17B8G6474</t>
  </si>
  <si>
    <t>M16FF18B8G6474</t>
  </si>
  <si>
    <t>M16FF23B8G1106</t>
  </si>
  <si>
    <t>M16FF23B8G3106</t>
  </si>
  <si>
    <t>M16FF23B8G6064</t>
  </si>
  <si>
    <t>M16FF23B8G6474</t>
  </si>
  <si>
    <t>M16FF24H7G2000</t>
  </si>
  <si>
    <t>M16FF24H7G3106</t>
  </si>
  <si>
    <t>M16FF24H7G4143</t>
  </si>
  <si>
    <t>M16FF24H7G6064</t>
  </si>
  <si>
    <t>M16FF35H8G2000</t>
  </si>
  <si>
    <t>M16FF35H8G3106</t>
  </si>
  <si>
    <t>M16FF35H8G4143</t>
  </si>
  <si>
    <t>M16FF35H8G6064</t>
  </si>
  <si>
    <t>M16FF36H7G3106</t>
  </si>
  <si>
    <t>M16FF36H7G4143</t>
  </si>
  <si>
    <t>M16FF37B8G3106</t>
  </si>
  <si>
    <t>M16FG04B6G1001</t>
  </si>
  <si>
    <t>M16FG04B6G1305</t>
  </si>
  <si>
    <t>M16FG04B6G4067</t>
  </si>
  <si>
    <t>M16FG04B6G6000</t>
  </si>
  <si>
    <t>M16FJ01B5G3197</t>
  </si>
  <si>
    <t>M16FJ01B5G4819</t>
  </si>
  <si>
    <t>M16FJ05B6G1001</t>
  </si>
  <si>
    <t>M16FJ05B6G1305</t>
  </si>
  <si>
    <t>M16FJ05B6G4067</t>
  </si>
  <si>
    <t>M16FJ05B6G6000</t>
  </si>
  <si>
    <t>M16FJ10B7G1001</t>
  </si>
  <si>
    <t>M16FJ10B7G3197</t>
  </si>
  <si>
    <t>M16FJ10B7G4819</t>
  </si>
  <si>
    <t>M16FJ23C5G3197</t>
  </si>
  <si>
    <t>M16FJ23C5G4926</t>
  </si>
  <si>
    <t>M16FJ34C3G1001</t>
  </si>
  <si>
    <t>M16FK56C9G1370</t>
  </si>
  <si>
    <t>M16FM13B9G1370</t>
  </si>
  <si>
    <t>M16FM14C4G1083</t>
  </si>
  <si>
    <t>M16FM16C1G1233</t>
  </si>
  <si>
    <t>M16FP20C2G2701</t>
  </si>
  <si>
    <t>M16FP20C2G3197</t>
  </si>
  <si>
    <t>M16FP22C3G2377</t>
  </si>
  <si>
    <t>M16FP27C5G3197</t>
  </si>
  <si>
    <t>M16FP27C5G4926</t>
  </si>
  <si>
    <t>M16FT05G3G1378</t>
  </si>
  <si>
    <t>M16FT05G3G1383</t>
  </si>
  <si>
    <t>M16FT05G3G3106</t>
  </si>
  <si>
    <t>M16FT05G3G4522</t>
  </si>
  <si>
    <t>M16FT06G3G1383</t>
  </si>
  <si>
    <t>M16FT06G3G3106</t>
  </si>
  <si>
    <t>M16FT06G3G4522</t>
  </si>
  <si>
    <t>M16FT06G3G6474</t>
  </si>
  <si>
    <t>M16FT08E6G1106</t>
  </si>
  <si>
    <t>M16FT08E6G1278</t>
  </si>
  <si>
    <t>M16FT08E6G1700</t>
  </si>
  <si>
    <t>M16FT08E6G2000</t>
  </si>
  <si>
    <t>M16FT08E6G3106</t>
  </si>
  <si>
    <t>M16FT08E6G4143</t>
  </si>
  <si>
    <t>M16FT09G3G6064</t>
  </si>
  <si>
    <t>M16FT10C6G1378</t>
  </si>
  <si>
    <t>M16FT10C6G2000</t>
  </si>
  <si>
    <t>M16FT10C6G6064</t>
  </si>
  <si>
    <t>M16FT13E6G1106</t>
  </si>
  <si>
    <t>M16FT13E6G2000</t>
  </si>
  <si>
    <t>M16FT13E6G4143</t>
  </si>
  <si>
    <t>M16FT14C9G4143</t>
  </si>
  <si>
    <t>M16FT15D9G1106</t>
  </si>
  <si>
    <t>M16FT15D9G1383</t>
  </si>
  <si>
    <t>M16FT15D9G1700</t>
  </si>
  <si>
    <t>M16FT15D9G4143</t>
  </si>
  <si>
    <t>M16FT15D9G4522</t>
  </si>
  <si>
    <t>M16FT19E6G1106</t>
  </si>
  <si>
    <t>M16FT19E6G1278</t>
  </si>
  <si>
    <t>M16FT19E6G1700</t>
  </si>
  <si>
    <t>M16FT19E6G2000</t>
  </si>
  <si>
    <t>M16FT19E6G3106</t>
  </si>
  <si>
    <t>M16FT19E6G4143</t>
  </si>
  <si>
    <t>M16FT19E6G6064</t>
  </si>
  <si>
    <t>M16FT20E6G1106</t>
  </si>
  <si>
    <t>M16FT20E6G1278</t>
  </si>
  <si>
    <t>M16FT20E6G1700</t>
  </si>
  <si>
    <t>M16FT20E6G2000</t>
  </si>
  <si>
    <t>M16FT20E6G3106</t>
  </si>
  <si>
    <t>M16FT20E6G6064</t>
  </si>
  <si>
    <t>M16FT21E6G1106</t>
  </si>
  <si>
    <t>M16FT21E6G1700</t>
  </si>
  <si>
    <t>M16FT21E6G2000</t>
  </si>
  <si>
    <t>M16FT21E6G3106</t>
  </si>
  <si>
    <t>M16FT21E6G6064</t>
  </si>
  <si>
    <t>M16FT22C6G3106</t>
  </si>
  <si>
    <t>M16FT25D9G1305</t>
  </si>
  <si>
    <t>M16FT25D9G1378</t>
  </si>
  <si>
    <t>M16FT25D9G1383</t>
  </si>
  <si>
    <t>M16FT25D9G4143</t>
  </si>
  <si>
    <t>M16FT25D9G4522</t>
  </si>
  <si>
    <t>M16FT25D9G6064</t>
  </si>
  <si>
    <t>M16FT25D9G6474</t>
  </si>
  <si>
    <t>M16FT26C9G1106</t>
  </si>
  <si>
    <t>M16FT26C9G1700</t>
  </si>
  <si>
    <t>M16FT26C9G3106</t>
  </si>
  <si>
    <t>M16FT26C9G4143</t>
  </si>
  <si>
    <t>M16FT26C9G6064</t>
  </si>
  <si>
    <t>M16FT27D9G1106</t>
  </si>
  <si>
    <t>M16FT27D9G1700</t>
  </si>
  <si>
    <t>M16FT27D9G3106</t>
  </si>
  <si>
    <t>M16FT28C6G1106</t>
  </si>
  <si>
    <t>M16FT28C6G1378</t>
  </si>
  <si>
    <t>M16FT28C6G3106</t>
  </si>
  <si>
    <t>M16FT28C6G4143</t>
  </si>
  <si>
    <t>M16FT28C6G6474</t>
  </si>
  <si>
    <t>M16FT29E6G1106</t>
  </si>
  <si>
    <t>M16FT29E6G1278</t>
  </si>
  <si>
    <t>M16FT29E6G1700</t>
  </si>
  <si>
    <t>M16FT29E6G2000</t>
  </si>
  <si>
    <t>M16FT29E6G4143</t>
  </si>
  <si>
    <t>M16FT29E6G6064</t>
  </si>
  <si>
    <t>M16FT30E6G1106</t>
  </si>
  <si>
    <t>M16FT30E6G1278</t>
  </si>
  <si>
    <t>M16FT30E6G1700</t>
  </si>
  <si>
    <t>M16FT30E6G2000</t>
  </si>
  <si>
    <t>M16FT30E6G3106</t>
  </si>
  <si>
    <t>M16FT30E6G4143</t>
  </si>
  <si>
    <t>M16FT30E6G6064</t>
  </si>
  <si>
    <t>M16FT31H9G4143</t>
  </si>
  <si>
    <t>M16FT32H9G4143</t>
  </si>
  <si>
    <t>M16FT33F1G1106</t>
  </si>
  <si>
    <t>M16FT33F1G2000</t>
  </si>
  <si>
    <t>M16FT33F1G3106</t>
  </si>
  <si>
    <t>M16FT33F1G4143</t>
  </si>
  <si>
    <t>M16FT34F1G1106</t>
  </si>
  <si>
    <t>M16FT34F1G2000</t>
  </si>
  <si>
    <t>M16FT34F1G3106</t>
  </si>
  <si>
    <t>M16HD07G1G1017</t>
  </si>
  <si>
    <t>M16HD07G1G</t>
  </si>
  <si>
    <t>ROCCO BLACK USED</t>
  </si>
  <si>
    <t>BLACK USED</t>
  </si>
  <si>
    <t>M16HD08C1G4090</t>
  </si>
  <si>
    <t>M16HD08C1G</t>
  </si>
  <si>
    <t>ROCCO DESTROYED BLUE PAINT</t>
  </si>
  <si>
    <t>DEST BLUE PAINT</t>
  </si>
  <si>
    <t>M16HD09F1G4318</t>
  </si>
  <si>
    <t>M16HD09F1G</t>
  </si>
  <si>
    <t>ROCCO BLUE USED</t>
  </si>
  <si>
    <t>BLUE USED</t>
  </si>
  <si>
    <t>M16HD10E1G4320</t>
  </si>
  <si>
    <t>M16HD10E1G</t>
  </si>
  <si>
    <t>ROCCO BLUE SELVAGE</t>
  </si>
  <si>
    <t>BLUE SELVAGE</t>
  </si>
  <si>
    <t>M16HD11G1G1007</t>
  </si>
  <si>
    <t>M16HD11G1G</t>
  </si>
  <si>
    <t>TONY BLACK DESTROY</t>
  </si>
  <si>
    <t>BLACK DESTROY</t>
  </si>
  <si>
    <t>M16HF01D7G1106</t>
  </si>
  <si>
    <t>M16HF01D7G</t>
  </si>
  <si>
    <t>FLEECED ZIP JKT</t>
  </si>
  <si>
    <t>M16HF01D7G1278</t>
  </si>
  <si>
    <t>M16HF01D7G3106</t>
  </si>
  <si>
    <t>M16HF01D7G4143</t>
  </si>
  <si>
    <t>M16HF02D7G1106</t>
  </si>
  <si>
    <t>M16HF02D7G</t>
  </si>
  <si>
    <t>FLEECED PANT</t>
  </si>
  <si>
    <t>M16HF02D7G1278</t>
  </si>
  <si>
    <t>M16HF02D7G3106</t>
  </si>
  <si>
    <t>M16HF02D7G4143</t>
  </si>
  <si>
    <t>M16HF03D7G1106</t>
  </si>
  <si>
    <t>M16HF03D7G</t>
  </si>
  <si>
    <t>ZIP JKT PRINT ALL OVER</t>
  </si>
  <si>
    <t>M16HF03D7G1285</t>
  </si>
  <si>
    <t>M16HF03D7G3106</t>
  </si>
  <si>
    <t>M16HF03D7G4143</t>
  </si>
  <si>
    <t>M16HF03D7G6000</t>
  </si>
  <si>
    <t>M16HF04D7G1106</t>
  </si>
  <si>
    <t>M16HF04D7G</t>
  </si>
  <si>
    <t>HOODY PRINT ALL OVER</t>
  </si>
  <si>
    <t>M16HF04D7G1285</t>
  </si>
  <si>
    <t>M16HF04D7G3106</t>
  </si>
  <si>
    <t>M16HF04D7G4143</t>
  </si>
  <si>
    <t>M16HF04D7G6000</t>
  </si>
  <si>
    <t>M16HF05F1G1106</t>
  </si>
  <si>
    <t>M16HF05F1G</t>
  </si>
  <si>
    <t>LS ALL OVER PRINT</t>
  </si>
  <si>
    <t>M16HF05F1G1278</t>
  </si>
  <si>
    <t>M16HF05F1G1700</t>
  </si>
  <si>
    <t>M16HF05F1G3106</t>
  </si>
  <si>
    <t>M16HF05F1G4143</t>
  </si>
  <si>
    <t>M16HF05F1G6000</t>
  </si>
  <si>
    <t>M16HF08D7G1106</t>
  </si>
  <si>
    <t>M16HF08D7G</t>
  </si>
  <si>
    <t>CREW SWEAT LS</t>
  </si>
  <si>
    <t>M16HF08D7G1285</t>
  </si>
  <si>
    <t>M16HF08D7G3106</t>
  </si>
  <si>
    <t>M16HF08D7G4143</t>
  </si>
  <si>
    <t>M16HF09D7G1106</t>
  </si>
  <si>
    <t>M16HF09D7G</t>
  </si>
  <si>
    <t>M16HF09D7G1285</t>
  </si>
  <si>
    <t>M16HF09D7G3106</t>
  </si>
  <si>
    <t>M16HF09D7G4143</t>
  </si>
  <si>
    <t>M16HF15D7G1106</t>
  </si>
  <si>
    <t>M16HF19D7G1106</t>
  </si>
  <si>
    <t>M16HF19D7G</t>
  </si>
  <si>
    <t>HOODY</t>
  </si>
  <si>
    <t>M16HF19D7G1377</t>
  </si>
  <si>
    <t>M16HF19D7G1378</t>
  </si>
  <si>
    <t>M16HF19D7G4143</t>
  </si>
  <si>
    <t>M16HF19D7G4522</t>
  </si>
  <si>
    <t>M16HF37D7G1106</t>
  </si>
  <si>
    <t>M16HF37D7G</t>
  </si>
  <si>
    <t>LONG ZIP FLY HOODY</t>
  </si>
  <si>
    <t>M16HF37D7G1285</t>
  </si>
  <si>
    <t>M16HF37D7G4143</t>
  </si>
  <si>
    <t>M16HT06F1G1106</t>
  </si>
  <si>
    <t>M16HT06F1G</t>
  </si>
  <si>
    <t>SCOOP NECK PRINT</t>
  </si>
  <si>
    <t>M16HT06F1G1278</t>
  </si>
  <si>
    <t>M16HT06F1G1700</t>
  </si>
  <si>
    <t>M16HT06F1G3106</t>
  </si>
  <si>
    <t>M16HT06F1G4143</t>
  </si>
  <si>
    <t>M16HT06F1G6000</t>
  </si>
  <si>
    <t>M16HT07F1G1106</t>
  </si>
  <si>
    <t>M16HT07F1G</t>
  </si>
  <si>
    <t>M16HT07F1G1278</t>
  </si>
  <si>
    <t>M16HT07F1G1700</t>
  </si>
  <si>
    <t>M16HT07F1G3106</t>
  </si>
  <si>
    <t>M16HT07F1G4143</t>
  </si>
  <si>
    <t>M16HT11G3G3106</t>
  </si>
  <si>
    <t>M16HT11G3G</t>
  </si>
  <si>
    <t>VNECK CAMO</t>
  </si>
  <si>
    <t>M16HT11G3G4143</t>
  </si>
  <si>
    <t>M16HT12G3G1106</t>
  </si>
  <si>
    <t>M16HT12G3G</t>
  </si>
  <si>
    <t>CAMO BASEBALL</t>
  </si>
  <si>
    <t>M16HT12G3G1700</t>
  </si>
  <si>
    <t>M16HT12G3G4143</t>
  </si>
  <si>
    <t>M16HT13G3G1106</t>
  </si>
  <si>
    <t>M16HT13G3G</t>
  </si>
  <si>
    <t>CREW SHIRT HORSESHOE</t>
  </si>
  <si>
    <t>M16HT13G3G1285</t>
  </si>
  <si>
    <t>M16HT13G3G1700</t>
  </si>
  <si>
    <t>M16HT13G3G4143</t>
  </si>
  <si>
    <t>M16HT14G3G1106</t>
  </si>
  <si>
    <t>M16HT14G3G</t>
  </si>
  <si>
    <t>LS HORSESHOE</t>
  </si>
  <si>
    <t>M16HT14G3G1285</t>
  </si>
  <si>
    <t>M16HT14G3G1700</t>
  </si>
  <si>
    <t>M16HT14G3G4143</t>
  </si>
  <si>
    <t>M16HT17G3G1106</t>
  </si>
  <si>
    <t>M16HT17G3G</t>
  </si>
  <si>
    <t>M16HT17G3G1377</t>
  </si>
  <si>
    <t>M16HT17G3G1378</t>
  </si>
  <si>
    <t>M16HT17G3G1700</t>
  </si>
  <si>
    <t>M16HT17G3G2000</t>
  </si>
  <si>
    <t>M16HT17G3G4143</t>
  </si>
  <si>
    <t>M16HT17G3G4522</t>
  </si>
  <si>
    <t>M16HT18G3G1106</t>
  </si>
  <si>
    <t>M16HT18G3G</t>
  </si>
  <si>
    <t>T SHIRT T RELIGION</t>
  </si>
  <si>
    <t>M16HT18G3G1377</t>
  </si>
  <si>
    <t>M16HT18G3G1378</t>
  </si>
  <si>
    <t>M16HT18G3G1700</t>
  </si>
  <si>
    <t>M16HT18G3G2000</t>
  </si>
  <si>
    <t>M16HT18G3G4143</t>
  </si>
  <si>
    <t>M16HT18G3G4522</t>
  </si>
  <si>
    <t>M16HT20E6G1106</t>
  </si>
  <si>
    <t>M16HT20E6G</t>
  </si>
  <si>
    <t>CREW SHIRT</t>
  </si>
  <si>
    <t>M16HT20E6G1377</t>
  </si>
  <si>
    <t>M16HT20E6G4143</t>
  </si>
  <si>
    <t>M16HT20E6G4522</t>
  </si>
  <si>
    <t>M16HT20E6G6000</t>
  </si>
  <si>
    <t>M16HT21E6G1106</t>
  </si>
  <si>
    <t>M16HT21E6G</t>
  </si>
  <si>
    <t>M16HT21E6G1377</t>
  </si>
  <si>
    <t>M16HT21E6G4143</t>
  </si>
  <si>
    <t>M16HT21E6G4522</t>
  </si>
  <si>
    <t>M16HT21E6G6000</t>
  </si>
  <si>
    <t>M16HT22G3G1106</t>
  </si>
  <si>
    <t>M16HT22G3G</t>
  </si>
  <si>
    <t>CREW PUFFY PRINT</t>
  </si>
  <si>
    <t>M16HT22G3G1278</t>
  </si>
  <si>
    <t>M16HT22G3G1700</t>
  </si>
  <si>
    <t>M16HT22G3G3106</t>
  </si>
  <si>
    <t>M16HT22G3G4143</t>
  </si>
  <si>
    <t>M16HT22G3G6000</t>
  </si>
  <si>
    <t>M16HY02C8G2139</t>
  </si>
  <si>
    <t>M16HY02C8G</t>
  </si>
  <si>
    <t>CHESTNUT BROWN</t>
  </si>
  <si>
    <t>M16SD01A6G1001</t>
  </si>
  <si>
    <t>M16SD01A6G2043</t>
  </si>
  <si>
    <t>M16SD20X1G4001</t>
  </si>
  <si>
    <t>M16SD21X7GDCRL</t>
  </si>
  <si>
    <t>M16SD22X2G1001</t>
  </si>
  <si>
    <t>M16SD23X2G1008</t>
  </si>
  <si>
    <t>M16SD24X3G1200</t>
  </si>
  <si>
    <t>M16SD26X3G1208</t>
  </si>
  <si>
    <t>M16SD27X5GDCTD</t>
  </si>
  <si>
    <t>M16SD28X5G4819</t>
  </si>
  <si>
    <t>M16SD29X5G4002</t>
  </si>
  <si>
    <t>M16SD40X6GDIKM</t>
  </si>
  <si>
    <t>M16SD41X1G4002</t>
  </si>
  <si>
    <t>M16SD47X4G1002</t>
  </si>
  <si>
    <t>M16SD68X5G4819</t>
  </si>
  <si>
    <t>M16SD69X5G4002</t>
  </si>
  <si>
    <t>M16SF22C7G1001</t>
  </si>
  <si>
    <t>M16SF22C7G1278</t>
  </si>
  <si>
    <t>M16SF22C7G3160</t>
  </si>
  <si>
    <t>M16SF22C7G4143</t>
  </si>
  <si>
    <t>M16SF22C7G5000</t>
  </si>
  <si>
    <t>M16SF22C7G6064</t>
  </si>
  <si>
    <t>M16SF23D7G1285</t>
  </si>
  <si>
    <t>M16SF23D7G1378</t>
  </si>
  <si>
    <t>M16SF23D7G4000</t>
  </si>
  <si>
    <t>M16SF23D7G4143</t>
  </si>
  <si>
    <t>M16SF23D7G5000</t>
  </si>
  <si>
    <t>M16SF23D7G6064</t>
  </si>
  <si>
    <t>M16SF24D7G1285</t>
  </si>
  <si>
    <t>M16SF24D7G1378</t>
  </si>
  <si>
    <t>M16SF24D7G3160</t>
  </si>
  <si>
    <t>M16SF24D7G4143</t>
  </si>
  <si>
    <t>M16SF24D7G5000</t>
  </si>
  <si>
    <t>M16SF25D7G1285</t>
  </si>
  <si>
    <t>M16SF25D7G1378</t>
  </si>
  <si>
    <t>M16SF25D7G3160</t>
  </si>
  <si>
    <t>M16SF25D7G4000</t>
  </si>
  <si>
    <t>M16SF25D7G4143</t>
  </si>
  <si>
    <t>M16SF25D7G5000</t>
  </si>
  <si>
    <t>M16SF25D7G6064</t>
  </si>
  <si>
    <t>M16SF26D7G1285</t>
  </si>
  <si>
    <t>M16SF26D7G1378</t>
  </si>
  <si>
    <t>M16SF26D7G2701</t>
  </si>
  <si>
    <t>M16SF26D7G3160</t>
  </si>
  <si>
    <t>M16SF26D7G4000</t>
  </si>
  <si>
    <t>M16SF26D7G4143</t>
  </si>
  <si>
    <t>M16SF26D7G5000</t>
  </si>
  <si>
    <t>M16SF27D7G1285</t>
  </si>
  <si>
    <t>M16SF27D7G1378</t>
  </si>
  <si>
    <t>M16SF27D7G1924</t>
  </si>
  <si>
    <t>M16SF27D7G3160</t>
  </si>
  <si>
    <t>M16SF27D7G4143</t>
  </si>
  <si>
    <t>M16SF27D7G5000</t>
  </si>
  <si>
    <t>M16SF27D7G6064</t>
  </si>
  <si>
    <t>M16SF28D7G1023</t>
  </si>
  <si>
    <t>M16SF28D7G1285</t>
  </si>
  <si>
    <t>M16SF28D7G1378</t>
  </si>
  <si>
    <t>M16SF28D7G4143</t>
  </si>
  <si>
    <t>M16SF28D7G5000</t>
  </si>
  <si>
    <t>M16SF28D7G6064</t>
  </si>
  <si>
    <t>M16SF29D7G1023</t>
  </si>
  <si>
    <t>M16SF29D7G1285</t>
  </si>
  <si>
    <t>M16SF29D7G1378</t>
  </si>
  <si>
    <t>M16SF29D7G2701</t>
  </si>
  <si>
    <t>M16SF29D7G4000</t>
  </si>
  <si>
    <t>M16SF29D7G4143</t>
  </si>
  <si>
    <t>M16SF29D7G6064</t>
  </si>
  <si>
    <t>M16SF30D7G1001</t>
  </si>
  <si>
    <t>M16SF30D7G1023</t>
  </si>
  <si>
    <t>M16SF30D7G1285</t>
  </si>
  <si>
    <t>M16SF30D7G2701</t>
  </si>
  <si>
    <t>M16SF30D7G4000</t>
  </si>
  <si>
    <t>M16SF30D7G4143</t>
  </si>
  <si>
    <t>M16SF30D7G6064</t>
  </si>
  <si>
    <t>M16SF34D7G1285</t>
  </si>
  <si>
    <t>M16SF34D7G1378</t>
  </si>
  <si>
    <t>M16SF34D7G3160</t>
  </si>
  <si>
    <t>M16SF34D7G4000</t>
  </si>
  <si>
    <t>M16SF34D7G4001</t>
  </si>
  <si>
    <t>M16SF34D7G4143</t>
  </si>
  <si>
    <t>M16SF34D7G6064</t>
  </si>
  <si>
    <t>M16SF35D7G1285</t>
  </si>
  <si>
    <t>M16SF35D7G1378</t>
  </si>
  <si>
    <t>M16SF35D7G2701</t>
  </si>
  <si>
    <t>M16SF35D7G3160</t>
  </si>
  <si>
    <t>M16SF35D7G4000</t>
  </si>
  <si>
    <t>M16SF35D7G4001</t>
  </si>
  <si>
    <t>M16SF35D7G4143</t>
  </si>
  <si>
    <t>M16SF35D7G6064</t>
  </si>
  <si>
    <t>M16SF36D7G1285</t>
  </si>
  <si>
    <t>M16SF36D7G1378</t>
  </si>
  <si>
    <t>M16SF36D7G3160</t>
  </si>
  <si>
    <t>M16SF36D7G4000</t>
  </si>
  <si>
    <t>M16SF36D7G4143</t>
  </si>
  <si>
    <t>M16SF36D7G5000</t>
  </si>
  <si>
    <t>M16SF36D7G6064</t>
  </si>
  <si>
    <t>M16SF37D7G1285</t>
  </si>
  <si>
    <t>M16SF37D7G1378</t>
  </si>
  <si>
    <t>M16SF37D7G3160</t>
  </si>
  <si>
    <t>M16SF37D7G4000</t>
  </si>
  <si>
    <t>M16SF37D7G4143</t>
  </si>
  <si>
    <t>M16SF37D7G5000</t>
  </si>
  <si>
    <t>M16SF37D7G6064</t>
  </si>
  <si>
    <t>M16SF38D7G1285</t>
  </si>
  <si>
    <t>M16SF38D7G1378</t>
  </si>
  <si>
    <t>M16SF38D7G3160</t>
  </si>
  <si>
    <t>M16SF38D7G4000</t>
  </si>
  <si>
    <t>M16SF38D7G4143</t>
  </si>
  <si>
    <t>M16SF39C7G1001</t>
  </si>
  <si>
    <t>M16SF39C7G1278</t>
  </si>
  <si>
    <t>M16SF39C7G3160</t>
  </si>
  <si>
    <t>M16SF39C7G4143</t>
  </si>
  <si>
    <t>M16SF39C7G5000</t>
  </si>
  <si>
    <t>M16SF39C7G6064</t>
  </si>
  <si>
    <t>M16SF40C7G1001</t>
  </si>
  <si>
    <t>M16SF40C7G1278</t>
  </si>
  <si>
    <t>M16SL02A7G1001</t>
  </si>
  <si>
    <t>M16SP51M1G1378</t>
  </si>
  <si>
    <t>M16SP51M1G2701</t>
  </si>
  <si>
    <t>M16SP51M1G3160</t>
  </si>
  <si>
    <t>M16SP51M1G4001</t>
  </si>
  <si>
    <t>M16SP51M1G4143</t>
  </si>
  <si>
    <t>M16ST01G3G1023</t>
  </si>
  <si>
    <t>M16ST01G3G1378</t>
  </si>
  <si>
    <t>M16ST01G3G1924</t>
  </si>
  <si>
    <t>M16ST01G3G4000</t>
  </si>
  <si>
    <t>M16ST01G3G4001</t>
  </si>
  <si>
    <t>M16ST01G3G4143</t>
  </si>
  <si>
    <t>M16ST01G3G5000</t>
  </si>
  <si>
    <t>M16ST01G3G6064</t>
  </si>
  <si>
    <t>M16ST02G3G1023</t>
  </si>
  <si>
    <t>M16ST02G3G1378</t>
  </si>
  <si>
    <t>M16ST02G3G1700</t>
  </si>
  <si>
    <t>M16ST02G3G4000</t>
  </si>
  <si>
    <t>M16ST02G3G4143</t>
  </si>
  <si>
    <t>M16ST02G3G5000</t>
  </si>
  <si>
    <t>M16ST02G3G6064</t>
  </si>
  <si>
    <t>M16ST03G3G1378</t>
  </si>
  <si>
    <t>M16ST03G3G1700</t>
  </si>
  <si>
    <t>M16ST03G3G4000</t>
  </si>
  <si>
    <t>M16ST03G3G4001</t>
  </si>
  <si>
    <t>M16ST03G3G5000</t>
  </si>
  <si>
    <t>M16ST04G3G1378</t>
  </si>
  <si>
    <t>M16ST04G3G1924</t>
  </si>
  <si>
    <t>M16ST04G3G3160</t>
  </si>
  <si>
    <t>M16ST04G3G4143</t>
  </si>
  <si>
    <t>M16ST04G3G5000</t>
  </si>
  <si>
    <t>M16ST05G3G1023</t>
  </si>
  <si>
    <t>M16ST05G3G1378</t>
  </si>
  <si>
    <t>M16ST05G3G1700</t>
  </si>
  <si>
    <t>M16ST05G3G4000</t>
  </si>
  <si>
    <t>M16ST05G3G4143</t>
  </si>
  <si>
    <t>M16ST05G3G5000</t>
  </si>
  <si>
    <t>M16ST05G3G6064</t>
  </si>
  <si>
    <t>M16ST06G3G1023</t>
  </si>
  <si>
    <t>M16ST06G3G1378</t>
  </si>
  <si>
    <t>M16ST06G3G1700</t>
  </si>
  <si>
    <t>M16ST06G3G1924</t>
  </si>
  <si>
    <t>M16ST06G3G4000</t>
  </si>
  <si>
    <t>M16ST06G3G4001</t>
  </si>
  <si>
    <t>M16ST06G3G4143</t>
  </si>
  <si>
    <t>M16ST06G3G5000</t>
  </si>
  <si>
    <t>M16ST07G3G1378</t>
  </si>
  <si>
    <t>M16ST07G3G1700</t>
  </si>
  <si>
    <t>M16ST07G3G3160</t>
  </si>
  <si>
    <t>M16ST07G3G4000</t>
  </si>
  <si>
    <t>M16ST07G3G4001</t>
  </si>
  <si>
    <t>M16ST07G3G4143</t>
  </si>
  <si>
    <t>M16ST07G3G6064</t>
  </si>
  <si>
    <t>M16ST08E6G1001</t>
  </si>
  <si>
    <t>M16ST08E6G1278</t>
  </si>
  <si>
    <t>M16ST08E6G1700</t>
  </si>
  <si>
    <t>M16ST08E6G3160</t>
  </si>
  <si>
    <t>M16ST08E6G4143</t>
  </si>
  <si>
    <t>M16ST09E6G1001</t>
  </si>
  <si>
    <t>M16ST09E6G1278</t>
  </si>
  <si>
    <t>M16ST09E6G1700</t>
  </si>
  <si>
    <t>M16ST09E6G3160</t>
  </si>
  <si>
    <t>M16ST09E6G4143</t>
  </si>
  <si>
    <t>M16ST10E6G1001</t>
  </si>
  <si>
    <t>M16ST10E6G1278</t>
  </si>
  <si>
    <t>M16ST10E6G1700</t>
  </si>
  <si>
    <t>M16ST10E6G3160</t>
  </si>
  <si>
    <t>M16ST10E6G4143</t>
  </si>
  <si>
    <t>M16ST11E6G1001</t>
  </si>
  <si>
    <t>M16ST11E6G1278</t>
  </si>
  <si>
    <t>M16ST11E6G1700</t>
  </si>
  <si>
    <t>M16ST11E6G3160</t>
  </si>
  <si>
    <t>M16ST11E6G4143</t>
  </si>
  <si>
    <t>M16ST12E7G1378</t>
  </si>
  <si>
    <t>M16ST12E7G2701</t>
  </si>
  <si>
    <t>M16ST12E7G3160</t>
  </si>
  <si>
    <t>M16ST12E7G4000</t>
  </si>
  <si>
    <t>M16ST12E7G4001</t>
  </si>
  <si>
    <t>M16ST12E7G5000</t>
  </si>
  <si>
    <t>M16ST13E7G1378</t>
  </si>
  <si>
    <t>M16ST13E7G2701</t>
  </si>
  <si>
    <t>M16ST13E7G3160</t>
  </si>
  <si>
    <t>M16ST13E7G4000</t>
  </si>
  <si>
    <t>M16ST13E7G4001</t>
  </si>
  <si>
    <t>M16ST13E7G5000</t>
  </si>
  <si>
    <t>M16ST14G1G4143</t>
  </si>
  <si>
    <t>M16ST15G1G4143</t>
  </si>
  <si>
    <t>M16ST16G2G4143</t>
  </si>
  <si>
    <t>M16ST18G2G4143</t>
  </si>
  <si>
    <t>M16ST19F1G1001</t>
  </si>
  <si>
    <t>M16ST19F1G1023</t>
  </si>
  <si>
    <t>M16ST19F1G1700</t>
  </si>
  <si>
    <t>M16ST19F1G4000</t>
  </si>
  <si>
    <t>M16ST19F1G4143</t>
  </si>
  <si>
    <t>M16ST19F1G5000</t>
  </si>
  <si>
    <t>M16ST19F1G7100</t>
  </si>
  <si>
    <t>M16ST20F1G1001</t>
  </si>
  <si>
    <t>M16ST20F1G1023</t>
  </si>
  <si>
    <t>M16ST20F1G1700</t>
  </si>
  <si>
    <t>M16ST20F1G4000</t>
  </si>
  <si>
    <t>M16ST20F1G4143</t>
  </si>
  <si>
    <t>M16ST20F1G5000</t>
  </si>
  <si>
    <t>M16ST20F1G7100</t>
  </si>
  <si>
    <t>M16ST21F1G1001</t>
  </si>
  <si>
    <t>M16ST21F1G1700</t>
  </si>
  <si>
    <t>M16ST21F1G4000</t>
  </si>
  <si>
    <t>M16ST21F1G4143</t>
  </si>
  <si>
    <t>M16SW48E1G2000</t>
  </si>
  <si>
    <t>M16SW54E1G6063</t>
  </si>
  <si>
    <t>M16SX17B2G3190</t>
  </si>
  <si>
    <t>M16SY15A9G1001</t>
  </si>
  <si>
    <t>M16SY15A9G3106</t>
  </si>
  <si>
    <t>M16UF19B8G1106</t>
  </si>
  <si>
    <t>M16UF20D7G1106</t>
  </si>
  <si>
    <t>M16UF20D7G1221</t>
  </si>
  <si>
    <t>M16UF20D7G3501</t>
  </si>
  <si>
    <t>M16UF20D7G4926</t>
  </si>
  <si>
    <t>M16UF21B8G1106</t>
  </si>
  <si>
    <t>M16UF21B8G1278</t>
  </si>
  <si>
    <t>M16UF21B8G3501</t>
  </si>
  <si>
    <t>M16UF21B8G4143</t>
  </si>
  <si>
    <t>M16UF22D7G1106</t>
  </si>
  <si>
    <t>M16UF22D7G1221</t>
  </si>
  <si>
    <t>M16UF22D7G3501</t>
  </si>
  <si>
    <t>M16UF22D7G4143</t>
  </si>
  <si>
    <t>M16UF23B8G1106</t>
  </si>
  <si>
    <t>M16UF23B8G1278</t>
  </si>
  <si>
    <t>M16UF23B8G3501</t>
  </si>
  <si>
    <t>M16UF23B8G4143</t>
  </si>
  <si>
    <t>M16UF24D7G1106</t>
  </si>
  <si>
    <t>M16UF24D7G1221</t>
  </si>
  <si>
    <t>M16UF24D7G3501</t>
  </si>
  <si>
    <t>M16UF24D7G4522</t>
  </si>
  <si>
    <t>M16UF24D7G4926</t>
  </si>
  <si>
    <t>M16UF25B8G1106</t>
  </si>
  <si>
    <t>M16UF25B8G1278</t>
  </si>
  <si>
    <t>M16UF25B8G4143</t>
  </si>
  <si>
    <t>M16UF26D7G1106</t>
  </si>
  <si>
    <t>M16UF26D7G1221</t>
  </si>
  <si>
    <t>M16UF26D7G3501</t>
  </si>
  <si>
    <t>M16UF26D7G4522</t>
  </si>
  <si>
    <t>M16UF27B8G1106</t>
  </si>
  <si>
    <t>M16UF27B8G1278</t>
  </si>
  <si>
    <t>M16UF27B8G3501</t>
  </si>
  <si>
    <t>M16UF27B8G4143</t>
  </si>
  <si>
    <t>M16UF28B8G1106</t>
  </si>
  <si>
    <t>M16UF28B8G1278</t>
  </si>
  <si>
    <t>M16UF28B8G3501</t>
  </si>
  <si>
    <t>M16UF28B8G4143</t>
  </si>
  <si>
    <t>M16UF29B8G1106</t>
  </si>
  <si>
    <t>M16UF29B8G1278</t>
  </si>
  <si>
    <t>M16UF29B8G3501</t>
  </si>
  <si>
    <t>M16UF29B8G4143</t>
  </si>
  <si>
    <t>M16UF30B8G1106</t>
  </si>
  <si>
    <t>M16UF30B8G1278</t>
  </si>
  <si>
    <t>M16UF30B8G4143</t>
  </si>
  <si>
    <t>M16UF30D7G1106</t>
  </si>
  <si>
    <t>M16UF30D7G</t>
  </si>
  <si>
    <t>HOODED JKT HORSESHOE JET</t>
  </si>
  <si>
    <t>M16UF30D7G1118</t>
  </si>
  <si>
    <t>BLACK GOLD</t>
  </si>
  <si>
    <t>M16UF30D7G1258</t>
  </si>
  <si>
    <t>M16UF30D7G1501</t>
  </si>
  <si>
    <t>M16UF30D7G4142</t>
  </si>
  <si>
    <t>SOLID NAVY</t>
  </si>
  <si>
    <t>M16UF31B8G1106</t>
  </si>
  <si>
    <t>M16UF31B8G1278</t>
  </si>
  <si>
    <t>M16UF31B8G3501</t>
  </si>
  <si>
    <t>M16UF31B8G4143</t>
  </si>
  <si>
    <t>M16UF31D7G1106</t>
  </si>
  <si>
    <t>M16UF31D7G</t>
  </si>
  <si>
    <t>M16UF31D7G1118</t>
  </si>
  <si>
    <t>M16UF31D7G1258</t>
  </si>
  <si>
    <t>M16UF31D7G1501</t>
  </si>
  <si>
    <t>M16UF31D7G4142</t>
  </si>
  <si>
    <t>M16UF32D7G1106</t>
  </si>
  <si>
    <t>M16UF32D7G</t>
  </si>
  <si>
    <t>CREW FLEECE METAL HORSESHOE</t>
  </si>
  <si>
    <t>M16UF32D7G1118</t>
  </si>
  <si>
    <t>M16UF32D7G1258</t>
  </si>
  <si>
    <t>M16UF32D7G1501</t>
  </si>
  <si>
    <t>M16UF32D7G4142</t>
  </si>
  <si>
    <t>M16UF33D7G1106</t>
  </si>
  <si>
    <t>M16UF34D7G1106</t>
  </si>
  <si>
    <t>M16UF35D7G1106</t>
  </si>
  <si>
    <t>M16UF37B8G1106</t>
  </si>
  <si>
    <t>M16UF37B8G1221</t>
  </si>
  <si>
    <t>M16UF37B8G3501</t>
  </si>
  <si>
    <t>M16UF37B8G4143</t>
  </si>
  <si>
    <t>M16UK01D1G4926</t>
  </si>
  <si>
    <t>M16US40G1GSGDB</t>
  </si>
  <si>
    <t>M16US40G1G</t>
  </si>
  <si>
    <t>TONY 30</t>
  </si>
  <si>
    <t>M16US42G1GDFNM</t>
  </si>
  <si>
    <t>M16US42G1G</t>
  </si>
  <si>
    <t>TONY 30 NO FLAP</t>
  </si>
  <si>
    <t>M16US44G1GDKMM</t>
  </si>
  <si>
    <t>M16US44G1G</t>
  </si>
  <si>
    <t>DKMM</t>
  </si>
  <si>
    <t>DKMM DESERT WELL</t>
  </si>
  <si>
    <t>M16US45G1GDKMM</t>
  </si>
  <si>
    <t>M16US45G1G</t>
  </si>
  <si>
    <t>TONY</t>
  </si>
  <si>
    <t>M16US46G1GSGD</t>
  </si>
  <si>
    <t>M16US46G1G</t>
  </si>
  <si>
    <t>M16US47G1GSGD</t>
  </si>
  <si>
    <t>M16US47G1G</t>
  </si>
  <si>
    <t>M16US51C1GDFNM</t>
  </si>
  <si>
    <t>M16US51C1G</t>
  </si>
  <si>
    <t>GENO 32</t>
  </si>
  <si>
    <t>M16US52C1GDFNM</t>
  </si>
  <si>
    <t>M16US52C1G</t>
  </si>
  <si>
    <t>GENO</t>
  </si>
  <si>
    <t>M16US53C1GDKMM</t>
  </si>
  <si>
    <t>M16US53C1G</t>
  </si>
  <si>
    <t>M16US54C1GDKMM</t>
  </si>
  <si>
    <t>M16US54C1G</t>
  </si>
  <si>
    <t>M16US55G1GSGD</t>
  </si>
  <si>
    <t>M16US55G1G</t>
  </si>
  <si>
    <t>ROCCO 32</t>
  </si>
  <si>
    <t>M16US56G1GSGD</t>
  </si>
  <si>
    <t>M16US56G1G</t>
  </si>
  <si>
    <t>M16US57G1GDKDM</t>
  </si>
  <si>
    <t>M16US57G1G</t>
  </si>
  <si>
    <t>DKDM</t>
  </si>
  <si>
    <t>DKDM DENIM LAPIS</t>
  </si>
  <si>
    <t>M16US58G1GDKDM</t>
  </si>
  <si>
    <t>M16US58G1G</t>
  </si>
  <si>
    <t>M16US61G1GSGDB</t>
  </si>
  <si>
    <t>M16US61G1G</t>
  </si>
  <si>
    <t>M16US62G1GSGDB</t>
  </si>
  <si>
    <t>M16US62G1G</t>
  </si>
  <si>
    <t>M16US71M1GDKLM</t>
  </si>
  <si>
    <t>M16US71M1G</t>
  </si>
  <si>
    <t>DKLM</t>
  </si>
  <si>
    <t>DKLM WRN DSRT WL</t>
  </si>
  <si>
    <t>M16US73M1GDKTM</t>
  </si>
  <si>
    <t>M16US73M1G</t>
  </si>
  <si>
    <t>M16US75M1GDJTD</t>
  </si>
  <si>
    <t>M16US75M1G</t>
  </si>
  <si>
    <t>M16UT01F1G1106</t>
  </si>
  <si>
    <t>M16UT01F1G1700</t>
  </si>
  <si>
    <t>M16UT01F1G3501</t>
  </si>
  <si>
    <t>M16UT01F1G4522</t>
  </si>
  <si>
    <t>M16UT01F1G4926</t>
  </si>
  <si>
    <t>M16UT02F1G1106</t>
  </si>
  <si>
    <t>M16UT02F1G1700</t>
  </si>
  <si>
    <t>M16UT02F1G3501</t>
  </si>
  <si>
    <t>M16UT02F1G4926</t>
  </si>
  <si>
    <t>M16UT03F1G1106</t>
  </si>
  <si>
    <t>M16UT03F1G1700</t>
  </si>
  <si>
    <t>M16UT03F1G3501</t>
  </si>
  <si>
    <t>M16UT03F1G4926</t>
  </si>
  <si>
    <t>M16UT04F1G1106</t>
  </si>
  <si>
    <t>M16UT04F1G1700</t>
  </si>
  <si>
    <t>M16UT04F1G3501</t>
  </si>
  <si>
    <t>M16UT04F1G4926</t>
  </si>
  <si>
    <t>M16UT05F1G1106</t>
  </si>
  <si>
    <t>M16UT05F1G1700</t>
  </si>
  <si>
    <t>M16UT05F1G3501</t>
  </si>
  <si>
    <t>M16UT05F1G4522</t>
  </si>
  <si>
    <t>M16UT05F1G4926</t>
  </si>
  <si>
    <t>M16UT06F1G1106</t>
  </si>
  <si>
    <t>M16UT06F1G1700</t>
  </si>
  <si>
    <t>M16UT06F1G3501</t>
  </si>
  <si>
    <t>M16UT06F1G4522</t>
  </si>
  <si>
    <t>M16UT06F1G4926</t>
  </si>
  <si>
    <t>M16UT07E6G1106</t>
  </si>
  <si>
    <t>M16UT07E6G1278</t>
  </si>
  <si>
    <t>M16UT07E6G1700</t>
  </si>
  <si>
    <t>M16UT07E6G3501</t>
  </si>
  <si>
    <t>M16UT07E6G4143</t>
  </si>
  <si>
    <t>M16UT08F1G1106</t>
  </si>
  <si>
    <t>M16UT08F1G1278</t>
  </si>
  <si>
    <t>M16UT08F1G1700</t>
  </si>
  <si>
    <t>M16UT08F1G4143</t>
  </si>
  <si>
    <t>M16UT09F1G1106</t>
  </si>
  <si>
    <t>M16UT09F1G1278</t>
  </si>
  <si>
    <t>M16UT09F1G1700</t>
  </si>
  <si>
    <t>M16UT09F1G3501</t>
  </si>
  <si>
    <t>M16UT09F1G4143</t>
  </si>
  <si>
    <t>M16UT10F1G1106</t>
  </si>
  <si>
    <t>M16UT10F1G1278</t>
  </si>
  <si>
    <t>M16UT10F1G1700</t>
  </si>
  <si>
    <t>M16UT10F1G3501</t>
  </si>
  <si>
    <t>M16UT10F1G4143</t>
  </si>
  <si>
    <t>M16UT11F1G1106</t>
  </si>
  <si>
    <t>M16UT11F1G1278</t>
  </si>
  <si>
    <t>M16UT11F1G1700</t>
  </si>
  <si>
    <t>M16UT14G2G4926</t>
  </si>
  <si>
    <t>M16UT15G2G4926</t>
  </si>
  <si>
    <t>M16UT16C6G1106</t>
  </si>
  <si>
    <t>M16UT16C6G1700</t>
  </si>
  <si>
    <t>M16UT16C6G3501</t>
  </si>
  <si>
    <t>M16UT16C6G4522</t>
  </si>
  <si>
    <t>M16UT16C6G4926</t>
  </si>
  <si>
    <t>M16UT18C6G1106</t>
  </si>
  <si>
    <t>M16UT18C6G1700</t>
  </si>
  <si>
    <t>M16UT18C6G3501</t>
  </si>
  <si>
    <t>M16UT18C6G4522</t>
  </si>
  <si>
    <t>M16UT18C6G4926</t>
  </si>
  <si>
    <t>M16UT32B8G1106</t>
  </si>
  <si>
    <t>M16UT32B8G1221</t>
  </si>
  <si>
    <t>M16UT32B8G1700</t>
  </si>
  <si>
    <t>M16UT32B8G4522</t>
  </si>
  <si>
    <t>M16UT32B8G4926</t>
  </si>
  <si>
    <t>M16UT90Y1G1001</t>
  </si>
  <si>
    <t>M16UT90Y1G</t>
  </si>
  <si>
    <t>METAL LOGO CREW TEE</t>
  </si>
  <si>
    <t>M16UT90Y1G1700</t>
  </si>
  <si>
    <t>M16UT90Y1G4100</t>
  </si>
  <si>
    <t>M176L49EH4814</t>
  </si>
  <si>
    <t>M176L49EH</t>
  </si>
  <si>
    <t>BIG T RAW EDGE SWEATPANT</t>
  </si>
  <si>
    <t>M176L49F391001</t>
  </si>
  <si>
    <t>M176L49F39</t>
  </si>
  <si>
    <t>M177060C141001</t>
  </si>
  <si>
    <t>M177060C142625</t>
  </si>
  <si>
    <t>M177408B911700</t>
  </si>
  <si>
    <t>M177408B914101</t>
  </si>
  <si>
    <t>M177408B916000</t>
  </si>
  <si>
    <t>M177G40EH4100</t>
  </si>
  <si>
    <t>M177J07B431700</t>
  </si>
  <si>
    <t>M177J08B524400</t>
  </si>
  <si>
    <t>M177J08B527302</t>
  </si>
  <si>
    <t>M177J08B921001</t>
  </si>
  <si>
    <t>M177K11L13003</t>
  </si>
  <si>
    <t>M177K11L14059</t>
  </si>
  <si>
    <t>M177K11L16000</t>
  </si>
  <si>
    <t>M177K57D721001</t>
  </si>
  <si>
    <t>M177K58E721001</t>
  </si>
  <si>
    <t>M177K58E721035</t>
  </si>
  <si>
    <t>M177K58E724137</t>
  </si>
  <si>
    <t>M177V93EH1360</t>
  </si>
  <si>
    <t>M177V93EH3413</t>
  </si>
  <si>
    <t>M177V93EH4488</t>
  </si>
  <si>
    <t>M177V93EH6266</t>
  </si>
  <si>
    <t>M177V93EH8031</t>
  </si>
  <si>
    <t>M179N98Y9CK</t>
  </si>
  <si>
    <t>M179N98Y9CS</t>
  </si>
  <si>
    <t>M179N98Y9ECK</t>
  </si>
  <si>
    <t>M179N98Y9EMZD</t>
  </si>
  <si>
    <t>M179U366142</t>
  </si>
  <si>
    <t>M179U368037</t>
  </si>
  <si>
    <t>M17SD17G9G1800</t>
  </si>
  <si>
    <t>M17SD17G9G</t>
  </si>
  <si>
    <t>ROCCO DESTROYED</t>
  </si>
  <si>
    <t>17SP</t>
  </si>
  <si>
    <t>M17SD26A3G4320</t>
  </si>
  <si>
    <t>M17SD26A3G</t>
  </si>
  <si>
    <t>M17SD27A3G6030</t>
  </si>
  <si>
    <t>M17SD27A3G</t>
  </si>
  <si>
    <t>ROCCO RED SELVAGE DENIM</t>
  </si>
  <si>
    <t>RED SELVAGE</t>
  </si>
  <si>
    <t>M17SD29B1G4000</t>
  </si>
  <si>
    <t>M17SD29B1G</t>
  </si>
  <si>
    <t>ROCCO BLUE DENIM COMFORT</t>
  </si>
  <si>
    <t>M17SD30A4G1229</t>
  </si>
  <si>
    <t>M17SD30A4G</t>
  </si>
  <si>
    <t>ROCCO GREY USED DENIM</t>
  </si>
  <si>
    <t>GREY USED</t>
  </si>
  <si>
    <t>M17SD31A4G1200</t>
  </si>
  <si>
    <t>M17SD31A4G</t>
  </si>
  <si>
    <t>ROCCO GREY DENIM COMFORT</t>
  </si>
  <si>
    <t>M17SD39B1G4000</t>
  </si>
  <si>
    <t>M17SD39B1G</t>
  </si>
  <si>
    <t>M17SD50A3G1800</t>
  </si>
  <si>
    <t>M17SD50A3G</t>
  </si>
  <si>
    <t>ROCCO SUPERSTRETCH</t>
  </si>
  <si>
    <t>M17SF01C7G1001</t>
  </si>
  <si>
    <t>M17SF01C7G</t>
  </si>
  <si>
    <t>RELAXED PANT</t>
  </si>
  <si>
    <t>M17SF01C7G1285</t>
  </si>
  <si>
    <t>M17SF01C7G4249</t>
  </si>
  <si>
    <t>TWILIGHT BLUE</t>
  </si>
  <si>
    <t>M17SF03D7G1285</t>
  </si>
  <si>
    <t>M17SF03D7G</t>
  </si>
  <si>
    <t>M17SF03D7G4643</t>
  </si>
  <si>
    <t>M17SF04D7G1001</t>
  </si>
  <si>
    <t>M17SF04D7G</t>
  </si>
  <si>
    <t>ARTWORK HOODED ZIP JKT</t>
  </si>
  <si>
    <t>M17SF04D7G1285</t>
  </si>
  <si>
    <t>M17SF04D7G4025</t>
  </si>
  <si>
    <t>M17SF04D7G6092</t>
  </si>
  <si>
    <t>RACING RED</t>
  </si>
  <si>
    <t>M17SF05D7G1001</t>
  </si>
  <si>
    <t>M17SF05D7G</t>
  </si>
  <si>
    <t>SWEATER ARTWORK</t>
  </si>
  <si>
    <t>M17SF05D7G1285</t>
  </si>
  <si>
    <t>M17SF05D7G3081</t>
  </si>
  <si>
    <t>MARINE GREEN</t>
  </si>
  <si>
    <t>M17SF05D7G4643</t>
  </si>
  <si>
    <t>M17SF05D7G6092</t>
  </si>
  <si>
    <t>M17SF08D7G1001</t>
  </si>
  <si>
    <t>M17SF08D7G</t>
  </si>
  <si>
    <t>M17SF08D7G1285</t>
  </si>
  <si>
    <t>M17SF08D7G3081</t>
  </si>
  <si>
    <t>M17SF08D7G4643</t>
  </si>
  <si>
    <t>M17SF08D7G6092</t>
  </si>
  <si>
    <t>M17SF31D7G1001</t>
  </si>
  <si>
    <t>M17SF31D7G</t>
  </si>
  <si>
    <t>FLEECED CREW NECK TRUE</t>
  </si>
  <si>
    <t>M17SF31D7G1285</t>
  </si>
  <si>
    <t>M17SF31D7G4643</t>
  </si>
  <si>
    <t>M17SF32D7G1001</t>
  </si>
  <si>
    <t>M17SF32D7G</t>
  </si>
  <si>
    <t>PANT TRUE</t>
  </si>
  <si>
    <t>M17SF32D7G1285</t>
  </si>
  <si>
    <t>M17SF32D7G4643</t>
  </si>
  <si>
    <t>M17SF34C7G3501</t>
  </si>
  <si>
    <t>M17SF34C7G</t>
  </si>
  <si>
    <t>ZIP HOODY CAMOUFLAGE</t>
  </si>
  <si>
    <t>M17SF34C7G4249</t>
  </si>
  <si>
    <t>M17SF35C7G3501</t>
  </si>
  <si>
    <t>M17SF35C7G</t>
  </si>
  <si>
    <t>CAMOUFLAGE HOODY</t>
  </si>
  <si>
    <t>M17SF35C7G4249</t>
  </si>
  <si>
    <t>M17SF36C7G3501</t>
  </si>
  <si>
    <t>M17SF36C7G</t>
  </si>
  <si>
    <t>CAMOUFLAGE PANT</t>
  </si>
  <si>
    <t>M17SF36C7G4249</t>
  </si>
  <si>
    <t>M17SF37C7G3501</t>
  </si>
  <si>
    <t>M17SF37C7G</t>
  </si>
  <si>
    <t>HOODED ZIP JKT CAMO</t>
  </si>
  <si>
    <t>M17SF37C7G4249</t>
  </si>
  <si>
    <t>M17SF38C7G3501</t>
  </si>
  <si>
    <t>M17SF38C7G</t>
  </si>
  <si>
    <t>SHORT TRUE CAMOUFLAGE</t>
  </si>
  <si>
    <t>M17SF38C7G4249</t>
  </si>
  <si>
    <t>M17SJ20E2G3555</t>
  </si>
  <si>
    <t>M17SJ20E2G</t>
  </si>
  <si>
    <t>BOMBER SHORT COAT</t>
  </si>
  <si>
    <t>DK BALSAM GREEN</t>
  </si>
  <si>
    <t>M17SJ21E3G1001</t>
  </si>
  <si>
    <t>M17SJ21E3G</t>
  </si>
  <si>
    <t>WINDBREAKER</t>
  </si>
  <si>
    <t>M17SJ21E3G4025</t>
  </si>
  <si>
    <t>M17SJ21E3G6092</t>
  </si>
  <si>
    <t>M17SJ22E3G1001</t>
  </si>
  <si>
    <t>M17SJ22E3G</t>
  </si>
  <si>
    <t>WINDBREAKER BOMBER</t>
  </si>
  <si>
    <t>M17SJ22E3G3435</t>
  </si>
  <si>
    <t>HEDGE GREEN</t>
  </si>
  <si>
    <t>M17SJ22E3G4819</t>
  </si>
  <si>
    <t>M17ST07D7G1001</t>
  </si>
  <si>
    <t>M17ST07D7G</t>
  </si>
  <si>
    <t>PRINTED HOODY</t>
  </si>
  <si>
    <t>M17ST07D7G1285</t>
  </si>
  <si>
    <t>M17ST07D7G4025</t>
  </si>
  <si>
    <t>M17ST07D7G4249</t>
  </si>
  <si>
    <t>M17ST07D7G6092</t>
  </si>
  <si>
    <t>M17ST11M1G1001</t>
  </si>
  <si>
    <t>M17ST11M1G</t>
  </si>
  <si>
    <t>M17ST11M1G1377</t>
  </si>
  <si>
    <t>M17ST11M1G1700</t>
  </si>
  <si>
    <t>M17ST11M1G3501</t>
  </si>
  <si>
    <t>M17ST11M1G6092</t>
  </si>
  <si>
    <t>M17ST12M1G1378</t>
  </si>
  <si>
    <t>M17ST12M1G</t>
  </si>
  <si>
    <t>PARADISE POLO</t>
  </si>
  <si>
    <t>M17ST12M1G1700</t>
  </si>
  <si>
    <t>M17ST12M1G4249</t>
  </si>
  <si>
    <t>M17ST12M1G6092</t>
  </si>
  <si>
    <t>M17ST13G3G1001</t>
  </si>
  <si>
    <t>M17ST13G3G</t>
  </si>
  <si>
    <t>LONGSLEEVE ARTWORK BACK</t>
  </si>
  <si>
    <t>M17ST13G3G1285</t>
  </si>
  <si>
    <t>M17ST13G3G1700</t>
  </si>
  <si>
    <t>M17ST13G3G4249</t>
  </si>
  <si>
    <t>M17ST13G3G6092</t>
  </si>
  <si>
    <t>M17ST13G3G6247</t>
  </si>
  <si>
    <t>CADMIUM YELLOW</t>
  </si>
  <si>
    <t>M17ST14G3G1001</t>
  </si>
  <si>
    <t>M17ST14G3G</t>
  </si>
  <si>
    <t>TSHIRT TR</t>
  </si>
  <si>
    <t>M17ST14G3G1285</t>
  </si>
  <si>
    <t>M17ST14G3G1700</t>
  </si>
  <si>
    <t>M17ST14G3G4249</t>
  </si>
  <si>
    <t>M17ST14G3G6092</t>
  </si>
  <si>
    <t>M17ST14G3G6247</t>
  </si>
  <si>
    <t>M17ST15E7G1001</t>
  </si>
  <si>
    <t>M17ST15E7G</t>
  </si>
  <si>
    <t>PRINTED LS</t>
  </si>
  <si>
    <t>M17ST15E7G1285</t>
  </si>
  <si>
    <t>M17ST15E7G1700</t>
  </si>
  <si>
    <t>M17ST15E7G4025</t>
  </si>
  <si>
    <t>M17ST16E7G1001</t>
  </si>
  <si>
    <t>M17ST16E7G</t>
  </si>
  <si>
    <t>SCOOP NECK TRUE</t>
  </si>
  <si>
    <t>M17ST16E7G1285</t>
  </si>
  <si>
    <t>M17ST16E7G1700</t>
  </si>
  <si>
    <t>M17ST16E7G4025</t>
  </si>
  <si>
    <t>M17ST17F1G1001</t>
  </si>
  <si>
    <t>M17ST17F1G</t>
  </si>
  <si>
    <t>TSHIRT ARTWORK</t>
  </si>
  <si>
    <t>M17ST17F1G1700</t>
  </si>
  <si>
    <t>M17ST17F1G4025</t>
  </si>
  <si>
    <t>M17ST17F1G4643</t>
  </si>
  <si>
    <t>M17ST17F1G4677</t>
  </si>
  <si>
    <t>M17ST18F1G1001</t>
  </si>
  <si>
    <t>M17ST18F1G</t>
  </si>
  <si>
    <t>CALIFORNIA TRIANGLE SHIRT</t>
  </si>
  <si>
    <t>M17ST18F1G1278</t>
  </si>
  <si>
    <t>M17ST18F1G1700</t>
  </si>
  <si>
    <t>M17ST18F1G3501</t>
  </si>
  <si>
    <t>M17ST18F1G4643</t>
  </si>
  <si>
    <t>M17ST19G3G1285</t>
  </si>
  <si>
    <t>M17ST19G3G</t>
  </si>
  <si>
    <t>CALI LS</t>
  </si>
  <si>
    <t>M17ST19G3G1378</t>
  </si>
  <si>
    <t>M17ST19G3G1700</t>
  </si>
  <si>
    <t>M17ST19G3G4025</t>
  </si>
  <si>
    <t>M17ST20G3G1377</t>
  </si>
  <si>
    <t>M17ST20G3G</t>
  </si>
  <si>
    <t>LONGSLEEVE HORSESHOE</t>
  </si>
  <si>
    <t>M17ST20G3G1378</t>
  </si>
  <si>
    <t>M17ST20G3G4025</t>
  </si>
  <si>
    <t>M17ST21G3G1377</t>
  </si>
  <si>
    <t>M17ST21G3G</t>
  </si>
  <si>
    <t>TSHIRT BATIK</t>
  </si>
  <si>
    <t>M17ST21G3G1378</t>
  </si>
  <si>
    <t>M17ST21G3G4025</t>
  </si>
  <si>
    <t>M17ST22E8G1001</t>
  </si>
  <si>
    <t>M17ST22E8G</t>
  </si>
  <si>
    <t>VNECK</t>
  </si>
  <si>
    <t>M17ST22E8G1377</t>
  </si>
  <si>
    <t>M17ST22E8G4249</t>
  </si>
  <si>
    <t>M17ST23E8G1001</t>
  </si>
  <si>
    <t>M17ST23E8G</t>
  </si>
  <si>
    <t>TSHIRT GRADIENT</t>
  </si>
  <si>
    <t>M17ST23E8G4025</t>
  </si>
  <si>
    <t>M17ST24E6G1377</t>
  </si>
  <si>
    <t>M17ST24E6G</t>
  </si>
  <si>
    <t>FLAG TSHIRT</t>
  </si>
  <si>
    <t>M17ST24E6G1378</t>
  </si>
  <si>
    <t>M17ST24E6G1700</t>
  </si>
  <si>
    <t>M17ST24E6G4025</t>
  </si>
  <si>
    <t>M17ST25E8G1001</t>
  </si>
  <si>
    <t>M17ST25E8G</t>
  </si>
  <si>
    <t>TSHIRT RAINBOW</t>
  </si>
  <si>
    <t>M17ST25E8G1700</t>
  </si>
  <si>
    <t>M17ST25E8G4025</t>
  </si>
  <si>
    <t>M17ST26G3G1285</t>
  </si>
  <si>
    <t>M17ST26G3G</t>
  </si>
  <si>
    <t>CAMO SLEEVES</t>
  </si>
  <si>
    <t>M17ST26G3G1700</t>
  </si>
  <si>
    <t>M17ST26G3G4643</t>
  </si>
  <si>
    <t>M17ST27G3G1285</t>
  </si>
  <si>
    <t>M17ST27G3G</t>
  </si>
  <si>
    <t>CAMO HORSESHOE LS</t>
  </si>
  <si>
    <t>M17ST27G3G1700</t>
  </si>
  <si>
    <t>M17ST27G3G4643</t>
  </si>
  <si>
    <t>M17ST28G3G1285</t>
  </si>
  <si>
    <t>M17ST28G3G</t>
  </si>
  <si>
    <t>CAMO HORSESHOE SS</t>
  </si>
  <si>
    <t>M17ST28G3G1700</t>
  </si>
  <si>
    <t>M17ST28G3G4643</t>
  </si>
  <si>
    <t>M17ST29F1G1001</t>
  </si>
  <si>
    <t>M17ST29F1G</t>
  </si>
  <si>
    <t>TRUE CAMO ARTWORK SS</t>
  </si>
  <si>
    <t>M17ST29F1G1285</t>
  </si>
  <si>
    <t>M17ST29F1G1700</t>
  </si>
  <si>
    <t>M17ST29F1G4643</t>
  </si>
  <si>
    <t>M17ST30F1G1001</t>
  </si>
  <si>
    <t>M17ST30F1G</t>
  </si>
  <si>
    <t>TRUE CAMO ARTWORK LS</t>
  </si>
  <si>
    <t>M17ST30F1G1285</t>
  </si>
  <si>
    <t>M17ST30F1G1700</t>
  </si>
  <si>
    <t>M17ST30F1G4643</t>
  </si>
  <si>
    <t>M17ST33G3G1001</t>
  </si>
  <si>
    <t>M17ST33G3G</t>
  </si>
  <si>
    <t>TSHIRT CALI SKULL</t>
  </si>
  <si>
    <t>M17ST33G3G1377</t>
  </si>
  <si>
    <t>M17ST33G3G1700</t>
  </si>
  <si>
    <t>M17ST39G3G3501</t>
  </si>
  <si>
    <t>M17ST39G3G</t>
  </si>
  <si>
    <t>CAMOUFLAGE LS</t>
  </si>
  <si>
    <t>M17ST39G3G4249</t>
  </si>
  <si>
    <t>M17ST40G3G3501</t>
  </si>
  <si>
    <t>M17ST40G3G</t>
  </si>
  <si>
    <t>CAMOED ALL OUT LONGSLEEVE</t>
  </si>
  <si>
    <t>M17ST40G3G4249</t>
  </si>
  <si>
    <t>M17ST41G3G3501</t>
  </si>
  <si>
    <t>M17ST41G3G</t>
  </si>
  <si>
    <t>BASEBALL SLEEVES CAMO</t>
  </si>
  <si>
    <t>M17ST41G3G4249</t>
  </si>
  <si>
    <t>M17ST42G3G3501</t>
  </si>
  <si>
    <t>M17ST42G3G</t>
  </si>
  <si>
    <t>CAMOUFLAGE TSHIRT</t>
  </si>
  <si>
    <t>M17ST42G3G4249</t>
  </si>
  <si>
    <t>M17ST43F1G1001</t>
  </si>
  <si>
    <t>M17ST43F1G</t>
  </si>
  <si>
    <t>TSHIRT SKULL</t>
  </si>
  <si>
    <t>M17ST43F1G1278</t>
  </si>
  <si>
    <t>M17ST43F1G1700</t>
  </si>
  <si>
    <t>M17ST43F1G4249</t>
  </si>
  <si>
    <t>M17SY15D1G1001</t>
  </si>
  <si>
    <t>M17SY15D1G</t>
  </si>
  <si>
    <t>BIKER JKT</t>
  </si>
  <si>
    <t>M17SY16D1G1001</t>
  </si>
  <si>
    <t>M17SY16D1G</t>
  </si>
  <si>
    <t>MIXED BOMBER</t>
  </si>
  <si>
    <t>M17SY23C5G3555</t>
  </si>
  <si>
    <t>M17SY23C5G</t>
  </si>
  <si>
    <t>M1BA4001001</t>
  </si>
  <si>
    <t>M1BA4001100</t>
  </si>
  <si>
    <t>M1BA4001102</t>
  </si>
  <si>
    <t>M1BA4001501</t>
  </si>
  <si>
    <t>M1FA236SE21001</t>
  </si>
  <si>
    <t>M1FA236SE24143</t>
  </si>
  <si>
    <t>M1FA236SE26000</t>
  </si>
  <si>
    <t>M1FB114IE11096</t>
  </si>
  <si>
    <t>M1FB114IE11702</t>
  </si>
  <si>
    <t>M1GB237MU21700</t>
  </si>
  <si>
    <t>M1GB237MU24100</t>
  </si>
  <si>
    <t>M1KB029VR4082</t>
  </si>
  <si>
    <t>M1LB011VR4899</t>
  </si>
  <si>
    <t>M1LB011VR6026</t>
  </si>
  <si>
    <t>M1QB158IK1555</t>
  </si>
  <si>
    <t>M1QB158IK4058</t>
  </si>
  <si>
    <t>M1SB149IK4011</t>
  </si>
  <si>
    <t>M1UB063NR03548</t>
  </si>
  <si>
    <t>M1UB197NR03548</t>
  </si>
  <si>
    <t>M1UC220NR03548</t>
  </si>
  <si>
    <t>M1VB016EH3071</t>
  </si>
  <si>
    <t>M1WA638VR4891</t>
  </si>
  <si>
    <t>M1WB015EG4891</t>
  </si>
  <si>
    <t>M1WB021VR4857</t>
  </si>
  <si>
    <t>M20A185EG0ASFM</t>
  </si>
  <si>
    <t>M20A208NW0CANL</t>
  </si>
  <si>
    <t>M20A208NWOCANL</t>
  </si>
  <si>
    <t>M20A208NY3CARL</t>
  </si>
  <si>
    <t>M20A903LK9BSSM</t>
  </si>
  <si>
    <t>M20A962LN8BREM</t>
  </si>
  <si>
    <t>M20B277SX0CMKM</t>
  </si>
  <si>
    <t>M20T59Z27XJL</t>
  </si>
  <si>
    <t>M20Y61LC0BQGD</t>
  </si>
  <si>
    <t>M20Y61MU8BXNL</t>
  </si>
  <si>
    <t>M20Z22DF3TCD</t>
  </si>
  <si>
    <t>M20Z47DI6ANRM</t>
  </si>
  <si>
    <t>M242001EN1D</t>
  </si>
  <si>
    <t>M242001EN2V</t>
  </si>
  <si>
    <t>M242001ENL1D</t>
  </si>
  <si>
    <t>M24800CR3ACDM</t>
  </si>
  <si>
    <t>M24800CR3SGD</t>
  </si>
  <si>
    <t>M24800CR3ZZM</t>
  </si>
  <si>
    <t>M24800EF0AQPD</t>
  </si>
  <si>
    <t>M24800EF0ARXM</t>
  </si>
  <si>
    <t>M24800EG3ARVD</t>
  </si>
  <si>
    <t>M24800EG3ASJD</t>
  </si>
  <si>
    <t>M24800F66GMM</t>
  </si>
  <si>
    <t>M24800GQT3MPD</t>
  </si>
  <si>
    <t>M24800GQT3MWD</t>
  </si>
  <si>
    <t>M24800HB7ASKM</t>
  </si>
  <si>
    <t>M24800I3GRD</t>
  </si>
  <si>
    <t>M24800J312S</t>
  </si>
  <si>
    <t>M24800J3189</t>
  </si>
  <si>
    <t>M24800J31HAM</t>
  </si>
  <si>
    <t>M24800J34LHM</t>
  </si>
  <si>
    <t>M24800J34MGM</t>
  </si>
  <si>
    <t>M24800J34MWD</t>
  </si>
  <si>
    <t>M24800J35GSD</t>
  </si>
  <si>
    <t>M24800J35LHM</t>
  </si>
  <si>
    <t>M24800J45GSD</t>
  </si>
  <si>
    <t>M24800K97MQD</t>
  </si>
  <si>
    <t>M24800K97MWD</t>
  </si>
  <si>
    <t>M24800K97MWM</t>
  </si>
  <si>
    <t>M24800K97MZD</t>
  </si>
  <si>
    <t>M24800K99MQD</t>
  </si>
  <si>
    <t>M24800K99MWD</t>
  </si>
  <si>
    <t>M24800K99MWM</t>
  </si>
  <si>
    <t>M24800K99MZD</t>
  </si>
  <si>
    <t>M24800L15LZD</t>
  </si>
  <si>
    <t>M24800L15MGM</t>
  </si>
  <si>
    <t>M24800L15MWM</t>
  </si>
  <si>
    <t>M24800L15MZD</t>
  </si>
  <si>
    <t>M24800L16LZD</t>
  </si>
  <si>
    <t>M24800L16MGM</t>
  </si>
  <si>
    <t>M24800L16MWM</t>
  </si>
  <si>
    <t>M24800L16MZD</t>
  </si>
  <si>
    <t>M24800L18BBD</t>
  </si>
  <si>
    <t>M24800L18BZ</t>
  </si>
  <si>
    <t>M24800L18MZD</t>
  </si>
  <si>
    <t>M24800L18NAM</t>
  </si>
  <si>
    <t>M24800L27BBD</t>
  </si>
  <si>
    <t>M24800L27MWM</t>
  </si>
  <si>
    <t>M24800L27MZD</t>
  </si>
  <si>
    <t>M24800M38PJL</t>
  </si>
  <si>
    <t>M24800M38PKM</t>
  </si>
  <si>
    <t>M24800NQT22V</t>
  </si>
  <si>
    <t>M24800NQT289</t>
  </si>
  <si>
    <t>M24800NQT2GSD</t>
  </si>
  <si>
    <t>M24800P732V</t>
  </si>
  <si>
    <t>M24800P90EQL</t>
  </si>
  <si>
    <t>M24800P90LPD</t>
  </si>
  <si>
    <t>M24800P90PGD</t>
  </si>
  <si>
    <t>M24800R54EQL</t>
  </si>
  <si>
    <t>M24800R98PGD</t>
  </si>
  <si>
    <t>M24800RQT2MZD</t>
  </si>
  <si>
    <t>M24800RQT2NAM</t>
  </si>
  <si>
    <t>M24800U52TWM</t>
  </si>
  <si>
    <t>M24803CR3ACDM</t>
  </si>
  <si>
    <t>M24803CR3SGD</t>
  </si>
  <si>
    <t>M24803CR3ZZM</t>
  </si>
  <si>
    <t>M24803M32PKM</t>
  </si>
  <si>
    <t>M24803M38PJL</t>
  </si>
  <si>
    <t>M24803M38PKM</t>
  </si>
  <si>
    <t>M24858CR3ACDM</t>
  </si>
  <si>
    <t>M24858CR3SGD</t>
  </si>
  <si>
    <t>M24858CR3ZZM</t>
  </si>
  <si>
    <t>M24858CU9ADNM</t>
  </si>
  <si>
    <t>M24858CU9NBD</t>
  </si>
  <si>
    <t>M24858CV3ANQM</t>
  </si>
  <si>
    <t>M24858CV3MZD</t>
  </si>
  <si>
    <t>M24858CV7ADLD</t>
  </si>
  <si>
    <t>M24858CV7ADMD</t>
  </si>
  <si>
    <t>M24858CV8ADLD</t>
  </si>
  <si>
    <t>M24858CV8ADMD</t>
  </si>
  <si>
    <t>M24858E982S</t>
  </si>
  <si>
    <t>M24858E98GSD</t>
  </si>
  <si>
    <t>M24858EF0AQPD</t>
  </si>
  <si>
    <t>M24858EF0ARXM</t>
  </si>
  <si>
    <t>M24858EG4ASKM</t>
  </si>
  <si>
    <t>M24858F452S</t>
  </si>
  <si>
    <t>M24858GQT3MPD</t>
  </si>
  <si>
    <t>M24858GQT3MWD</t>
  </si>
  <si>
    <t>M24858H542S</t>
  </si>
  <si>
    <t>M24858H54GSD</t>
  </si>
  <si>
    <t>M24858H54LHM</t>
  </si>
  <si>
    <t>M24858H73JUD</t>
  </si>
  <si>
    <t>M24858J20GQD</t>
  </si>
  <si>
    <t>M24858J20GSD</t>
  </si>
  <si>
    <t>M24858J20LHM</t>
  </si>
  <si>
    <t>M24858J21BZ</t>
  </si>
  <si>
    <t>M24858J21HAM</t>
  </si>
  <si>
    <t>M24858J242S</t>
  </si>
  <si>
    <t>M24858J30BBD</t>
  </si>
  <si>
    <t>M24858J30BZ</t>
  </si>
  <si>
    <t>M24858J45GQD</t>
  </si>
  <si>
    <t>M24858J45GSD</t>
  </si>
  <si>
    <t>M24858J45LHM</t>
  </si>
  <si>
    <t>M24858K97MQD</t>
  </si>
  <si>
    <t>M24858K97MWD</t>
  </si>
  <si>
    <t>M24858K97MWM</t>
  </si>
  <si>
    <t>M24858K97MZD</t>
  </si>
  <si>
    <t>M24858K99MQD</t>
  </si>
  <si>
    <t>M24858K99MWD</t>
  </si>
  <si>
    <t>M24858K99MWM</t>
  </si>
  <si>
    <t>M24858K99MZD</t>
  </si>
  <si>
    <t>M24858L15LZD</t>
  </si>
  <si>
    <t>M24858L15MGM</t>
  </si>
  <si>
    <t>M24858L15MWM</t>
  </si>
  <si>
    <t>M24858L15MZD</t>
  </si>
  <si>
    <t>M24858L16LZD</t>
  </si>
  <si>
    <t>M24858L16MGM</t>
  </si>
  <si>
    <t>M24858L16MWM</t>
  </si>
  <si>
    <t>M24858L16MZD</t>
  </si>
  <si>
    <t>M24858L18BBD</t>
  </si>
  <si>
    <t>M24858L18BZ</t>
  </si>
  <si>
    <t>M24858L18MZD</t>
  </si>
  <si>
    <t>M24858L18NAM</t>
  </si>
  <si>
    <t>M24858L27BBD</t>
  </si>
  <si>
    <t>M24858L27MWM</t>
  </si>
  <si>
    <t>M24858L27MZD</t>
  </si>
  <si>
    <t>M24858M32BZ</t>
  </si>
  <si>
    <t>M24858M32PJL</t>
  </si>
  <si>
    <t>M24858M32PKM</t>
  </si>
  <si>
    <t>M24858M38PJL</t>
  </si>
  <si>
    <t>M24858M38PKM</t>
  </si>
  <si>
    <t>M24858NKU2BMOD</t>
  </si>
  <si>
    <t>M24858NQT289</t>
  </si>
  <si>
    <t>M24858NQT2LHM</t>
  </si>
  <si>
    <t>M24858OGG0BAFM</t>
  </si>
  <si>
    <t>M24858RQT2MZD</t>
  </si>
  <si>
    <t>M24858RQT2NAM</t>
  </si>
  <si>
    <t>M24859BA12V</t>
  </si>
  <si>
    <t>M24859BA1P5</t>
  </si>
  <si>
    <t>M24859BA2P7</t>
  </si>
  <si>
    <t>M24859BA2VAM</t>
  </si>
  <si>
    <t>M24859BA2XED</t>
  </si>
  <si>
    <t>M24859BA3P7</t>
  </si>
  <si>
    <t>M24859BA3VAM</t>
  </si>
  <si>
    <t>M24859BA3XED</t>
  </si>
  <si>
    <t>M24859BA4P7</t>
  </si>
  <si>
    <t>M24859BA4VAM</t>
  </si>
  <si>
    <t>M24859BA4XED</t>
  </si>
  <si>
    <t>M24859BA5P7</t>
  </si>
  <si>
    <t>M24859BA5VAM</t>
  </si>
  <si>
    <t>M24859BA5XED</t>
  </si>
  <si>
    <t>M24859BA6P7</t>
  </si>
  <si>
    <t>M24859BA6VAM</t>
  </si>
  <si>
    <t>M24859BA6XED</t>
  </si>
  <si>
    <t>M24859BA7P7</t>
  </si>
  <si>
    <t>M24859BA7VAM</t>
  </si>
  <si>
    <t>M24859BA7XED</t>
  </si>
  <si>
    <t>M24859BA8P7</t>
  </si>
  <si>
    <t>M24859BA8VAM</t>
  </si>
  <si>
    <t>M24859BA8XED</t>
  </si>
  <si>
    <t>M24859BA9P7</t>
  </si>
  <si>
    <t>M24859BA9VAM</t>
  </si>
  <si>
    <t>M24859BA9XED</t>
  </si>
  <si>
    <t>M24859BB0P7</t>
  </si>
  <si>
    <t>M24859BB0VAM</t>
  </si>
  <si>
    <t>M24859BB0XED</t>
  </si>
  <si>
    <t>M24859BB1P7</t>
  </si>
  <si>
    <t>M24859BB1VAM</t>
  </si>
  <si>
    <t>M24859BB1XED</t>
  </si>
  <si>
    <t>M24859BB2P7</t>
  </si>
  <si>
    <t>M24859BB2VAM</t>
  </si>
  <si>
    <t>M24859BB2XED</t>
  </si>
  <si>
    <t>M24859BB3P7</t>
  </si>
  <si>
    <t>M24859BB3VAM</t>
  </si>
  <si>
    <t>M24859BB3XED</t>
  </si>
  <si>
    <t>M24859BB4P7</t>
  </si>
  <si>
    <t>M24859BB4VAM</t>
  </si>
  <si>
    <t>M24859BB4XED</t>
  </si>
  <si>
    <t>M24859BB5P7</t>
  </si>
  <si>
    <t>M24859BB5VAM</t>
  </si>
  <si>
    <t>M24859BB5XED</t>
  </si>
  <si>
    <t>M24859BB6P7</t>
  </si>
  <si>
    <t>M24859BB6VAM</t>
  </si>
  <si>
    <t>M24859BB6XED</t>
  </si>
  <si>
    <t>M24859BB7P7</t>
  </si>
  <si>
    <t>M24859BB7VAM</t>
  </si>
  <si>
    <t>M24859BB7XED</t>
  </si>
  <si>
    <t>M24859BB8P7</t>
  </si>
  <si>
    <t>M24859BB8VAM</t>
  </si>
  <si>
    <t>M24859BB8XED</t>
  </si>
  <si>
    <t>M24859BQT2BZ</t>
  </si>
  <si>
    <t>M24859BS4AAGM</t>
  </si>
  <si>
    <t>M24859BT8AADM</t>
  </si>
  <si>
    <t>M24859BT8AAFL</t>
  </si>
  <si>
    <t>M24859CQ9TXD</t>
  </si>
  <si>
    <t>M24859CR3ACDM</t>
  </si>
  <si>
    <t>M24859CR3SGD</t>
  </si>
  <si>
    <t>M24859CR3ZZM</t>
  </si>
  <si>
    <t>M24859CU9ADNM</t>
  </si>
  <si>
    <t>M24859CU9NBD</t>
  </si>
  <si>
    <t>M24859CV3ANQM</t>
  </si>
  <si>
    <t>M24859CV3MZD</t>
  </si>
  <si>
    <t>M24859CV7ADLD</t>
  </si>
  <si>
    <t>M24859CV7ADMD</t>
  </si>
  <si>
    <t>M24859CV8ADLD</t>
  </si>
  <si>
    <t>M24859CV8ADMD</t>
  </si>
  <si>
    <t>M24859E982S</t>
  </si>
  <si>
    <t>M24859E98GSD</t>
  </si>
  <si>
    <t>M24859E98LHM</t>
  </si>
  <si>
    <t>M24859EG3ARVD</t>
  </si>
  <si>
    <t>M24859EG3ASJD</t>
  </si>
  <si>
    <t>M24859EG4ASKM</t>
  </si>
  <si>
    <t>M24859ES2ARZM</t>
  </si>
  <si>
    <t>M24859F45EQL</t>
  </si>
  <si>
    <t>M24859GJ4AZIL</t>
  </si>
  <si>
    <t>M24859GJ4BAEM</t>
  </si>
  <si>
    <t>M24859GN0AQRD</t>
  </si>
  <si>
    <t>M24859GQT3MPD</t>
  </si>
  <si>
    <t>M24859GQT3MWD</t>
  </si>
  <si>
    <t>M24859H542S</t>
  </si>
  <si>
    <t>M24859H54LHM</t>
  </si>
  <si>
    <t>M24859J20GQD</t>
  </si>
  <si>
    <t>M24859J20GSD</t>
  </si>
  <si>
    <t>M24859J20LHM</t>
  </si>
  <si>
    <t>M24859J21HAM</t>
  </si>
  <si>
    <t>M24859J242S</t>
  </si>
  <si>
    <t>M24859J242V</t>
  </si>
  <si>
    <t>M24859J24NAM</t>
  </si>
  <si>
    <t>M24859J3089</t>
  </si>
  <si>
    <t>M24859J30BBD</t>
  </si>
  <si>
    <t>M24859J30BZ</t>
  </si>
  <si>
    <t>M24859J3189</t>
  </si>
  <si>
    <t>M24859J31HAM</t>
  </si>
  <si>
    <t>M24859J34GSD</t>
  </si>
  <si>
    <t>M24859J34LHM</t>
  </si>
  <si>
    <t>M24859J35GSD</t>
  </si>
  <si>
    <t>M24859J35LHM</t>
  </si>
  <si>
    <t>M24859J45GSD</t>
  </si>
  <si>
    <t>M24859J45LHM</t>
  </si>
  <si>
    <t>M24859JD9BJQL</t>
  </si>
  <si>
    <t>M24859K302S</t>
  </si>
  <si>
    <t>M24859K30GSD</t>
  </si>
  <si>
    <t>M24859K30LHM</t>
  </si>
  <si>
    <t>M24859K842H</t>
  </si>
  <si>
    <t>M24859K872S</t>
  </si>
  <si>
    <t>M24859K97MQD</t>
  </si>
  <si>
    <t>M24859K97MWD</t>
  </si>
  <si>
    <t>M24859K97MWM</t>
  </si>
  <si>
    <t>M24859K97MZD</t>
  </si>
  <si>
    <t>M24859K99MQD</t>
  </si>
  <si>
    <t>M24859K99MWD</t>
  </si>
  <si>
    <t>M24859K99MWM</t>
  </si>
  <si>
    <t>M24859K99MZD</t>
  </si>
  <si>
    <t>M24859L15LZD</t>
  </si>
  <si>
    <t>M24859L15MGM</t>
  </si>
  <si>
    <t>M24859L15MWM</t>
  </si>
  <si>
    <t>M24859L15MZD</t>
  </si>
  <si>
    <t>M24859L16LZD</t>
  </si>
  <si>
    <t>M24859L16MGM</t>
  </si>
  <si>
    <t>M24859L16MWM</t>
  </si>
  <si>
    <t>M24859L16MZD</t>
  </si>
  <si>
    <t>M24859L18BBD</t>
  </si>
  <si>
    <t>M24859L18BZ</t>
  </si>
  <si>
    <t>M24859L18MZD</t>
  </si>
  <si>
    <t>M24859L18NAM</t>
  </si>
  <si>
    <t>M24859L27BBD</t>
  </si>
  <si>
    <t>M24859L27MWM</t>
  </si>
  <si>
    <t>M24859L27MZD</t>
  </si>
  <si>
    <t>M24859M32BZ</t>
  </si>
  <si>
    <t>M24859M32PJL</t>
  </si>
  <si>
    <t>M24859M32PKM</t>
  </si>
  <si>
    <t>M24859NIS1BMJD</t>
  </si>
  <si>
    <t>M24859NKU2BMCD</t>
  </si>
  <si>
    <t>M24859NLJ3BRID</t>
  </si>
  <si>
    <t>M24859NMX9BWUL</t>
  </si>
  <si>
    <t>M24859NNA0BXKL</t>
  </si>
  <si>
    <t>M24859NOH4CFBL</t>
  </si>
  <si>
    <t>M24859NQM2CELL</t>
  </si>
  <si>
    <t>M24859NQM6BALD</t>
  </si>
  <si>
    <t>M24859NQT289</t>
  </si>
  <si>
    <t>M24859NQT2BZ</t>
  </si>
  <si>
    <t>M24859NQT2EBD</t>
  </si>
  <si>
    <t>M24859NQT2HAM</t>
  </si>
  <si>
    <t>M24859NQT2LHM</t>
  </si>
  <si>
    <t>M24859NQY0CGPM</t>
  </si>
  <si>
    <t>M24859NUG92S</t>
  </si>
  <si>
    <t>M24859OGG0BAFM</t>
  </si>
  <si>
    <t>M24859OGG1BABM</t>
  </si>
  <si>
    <t>M24859P05EQL</t>
  </si>
  <si>
    <t>M24859P05GSD</t>
  </si>
  <si>
    <t>M24859P84KPL</t>
  </si>
  <si>
    <t>M24859P90LPD</t>
  </si>
  <si>
    <t>M24859P90PGD</t>
  </si>
  <si>
    <t>M24859P90RVD</t>
  </si>
  <si>
    <t>M24859R54EQL</t>
  </si>
  <si>
    <t>M24859R54GSD</t>
  </si>
  <si>
    <t>M24859RQT2MZD</t>
  </si>
  <si>
    <t>M24859RQT2NAM</t>
  </si>
  <si>
    <t>M24859U38TTD</t>
  </si>
  <si>
    <t>M24859U52TWM</t>
  </si>
  <si>
    <t>M24859U55VAM</t>
  </si>
  <si>
    <t>M24859W50TWD</t>
  </si>
  <si>
    <t>M24859W5178</t>
  </si>
  <si>
    <t>M24861K97MQD</t>
  </si>
  <si>
    <t>M24861K97MWD</t>
  </si>
  <si>
    <t>M24861K97MWM</t>
  </si>
  <si>
    <t>M24861K97MZD</t>
  </si>
  <si>
    <t>M24861K99MQD</t>
  </si>
  <si>
    <t>M24861K99MWD</t>
  </si>
  <si>
    <t>M24861K99MWM</t>
  </si>
  <si>
    <t>M24861K99MZD</t>
  </si>
  <si>
    <t>M24861L04LHM</t>
  </si>
  <si>
    <t>M24861L15LZD</t>
  </si>
  <si>
    <t>M24861L15MGM</t>
  </si>
  <si>
    <t>M24861L15MWM</t>
  </si>
  <si>
    <t>M24861L15MZD</t>
  </si>
  <si>
    <t>M24861L1601</t>
  </si>
  <si>
    <t>M24861L16LZD</t>
  </si>
  <si>
    <t>M24861L16MGM</t>
  </si>
  <si>
    <t>M24861L16MWM</t>
  </si>
  <si>
    <t>M24861L16MZD</t>
  </si>
  <si>
    <t>M24861L27MWM</t>
  </si>
  <si>
    <t>M24861M32PJL</t>
  </si>
  <si>
    <t>M24861M32PKM</t>
  </si>
  <si>
    <t>M24861M38PJL</t>
  </si>
  <si>
    <t>M24861M38PKM</t>
  </si>
  <si>
    <t>M24861U55UAD</t>
  </si>
  <si>
    <t>M24861U56TRD</t>
  </si>
  <si>
    <t>M24861Y24TWM</t>
  </si>
  <si>
    <t>M24900J01LMD</t>
  </si>
  <si>
    <t>M24900NQT22V</t>
  </si>
  <si>
    <t>M24900NQT2BZ</t>
  </si>
  <si>
    <t>M24900NQT2CK</t>
  </si>
  <si>
    <t>M24A408GW4AZEL</t>
  </si>
  <si>
    <t>M24A902LK8BROL</t>
  </si>
  <si>
    <t>M24B065MB3BSRD</t>
  </si>
  <si>
    <t>M24C087QM2CELL</t>
  </si>
  <si>
    <t>M24C204QS4CEHM</t>
  </si>
  <si>
    <t>M24C205QS4CEHM</t>
  </si>
  <si>
    <t>M24E08BS3LPD</t>
  </si>
  <si>
    <t>M24E08CR3ACDM</t>
  </si>
  <si>
    <t>M24E08CR3SGD</t>
  </si>
  <si>
    <t>M24E08CR3ZZM</t>
  </si>
  <si>
    <t>M24E08GPQTLPD</t>
  </si>
  <si>
    <t>M24E08GPQTMZD</t>
  </si>
  <si>
    <t>M24E08J342S</t>
  </si>
  <si>
    <t>M24E08J34GSD</t>
  </si>
  <si>
    <t>M24E08J34LHM</t>
  </si>
  <si>
    <t>M24E08J34MGM</t>
  </si>
  <si>
    <t>M24E08J34MWD</t>
  </si>
  <si>
    <t>M24E08L27BBD</t>
  </si>
  <si>
    <t>M24E08L27MWM</t>
  </si>
  <si>
    <t>M24E08L27MZD</t>
  </si>
  <si>
    <t>M24E08NJS7BNMM</t>
  </si>
  <si>
    <t>M24E08NKU2BMOD</t>
  </si>
  <si>
    <t>M24E08NMX9BWUL</t>
  </si>
  <si>
    <t>M24E08NQT22S</t>
  </si>
  <si>
    <t>M24E08NQT22V</t>
  </si>
  <si>
    <t>M24E08NQT289</t>
  </si>
  <si>
    <t>M24E08NQT2BZ</t>
  </si>
  <si>
    <t>M24E08NQT2LHM</t>
  </si>
  <si>
    <t>M24E08NTC3CELL</t>
  </si>
  <si>
    <t>M24H54EF0AQPD</t>
  </si>
  <si>
    <t>M24H54EF0ARXM</t>
  </si>
  <si>
    <t>M24H54EG3ARVD</t>
  </si>
  <si>
    <t>M24H54EG3ASJD</t>
  </si>
  <si>
    <t>M24H54P732V</t>
  </si>
  <si>
    <t>M24J19BA12V</t>
  </si>
  <si>
    <t>M24J19BA1P5</t>
  </si>
  <si>
    <t>M24J19BA2P7</t>
  </si>
  <si>
    <t>M24J19BA2VAM</t>
  </si>
  <si>
    <t>M24J19BA2XED</t>
  </si>
  <si>
    <t>M24J19BA3P7</t>
  </si>
  <si>
    <t>M24J19BA3VAM</t>
  </si>
  <si>
    <t>M24J19BA3XED</t>
  </si>
  <si>
    <t>M24J19BA4P7</t>
  </si>
  <si>
    <t>M24J19BA4VAM</t>
  </si>
  <si>
    <t>M24J19BA4XED</t>
  </si>
  <si>
    <t>M24J19BA589</t>
  </si>
  <si>
    <t>M24J19BA5P7</t>
  </si>
  <si>
    <t>M24J19BA5VAM</t>
  </si>
  <si>
    <t>M24J19BA5XED</t>
  </si>
  <si>
    <t>M24J19BA6P7</t>
  </si>
  <si>
    <t>M24J19BA6VAM</t>
  </si>
  <si>
    <t>M24J19BA6XED</t>
  </si>
  <si>
    <t>M24J19BA789</t>
  </si>
  <si>
    <t>M24J19BA7P7</t>
  </si>
  <si>
    <t>M24J19BA7VAM</t>
  </si>
  <si>
    <t>M24J19BA7XED</t>
  </si>
  <si>
    <t>M24J19BA8P7</t>
  </si>
  <si>
    <t>M24J19BA8VAM</t>
  </si>
  <si>
    <t>M24J19BA8XED</t>
  </si>
  <si>
    <t>M24J19BA9P7</t>
  </si>
  <si>
    <t>M24J19BA9VAM</t>
  </si>
  <si>
    <t>M24J19BA9XED</t>
  </si>
  <si>
    <t>M24J19BB0P7</t>
  </si>
  <si>
    <t>M24J19BB0VAM</t>
  </si>
  <si>
    <t>M24J19BB0XED</t>
  </si>
  <si>
    <t>M24J19BB1P7</t>
  </si>
  <si>
    <t>M24J19BB1VAM</t>
  </si>
  <si>
    <t>M24J19BB1XED</t>
  </si>
  <si>
    <t>M24J19BB2P7</t>
  </si>
  <si>
    <t>M24J19BB2VAM</t>
  </si>
  <si>
    <t>M24J19BB2XED</t>
  </si>
  <si>
    <t>M24J19BB3P7</t>
  </si>
  <si>
    <t>M24J19BB3VAM</t>
  </si>
  <si>
    <t>M24J19BB3XED</t>
  </si>
  <si>
    <t>M24J19BB4P7</t>
  </si>
  <si>
    <t>M24J19BB4VAM</t>
  </si>
  <si>
    <t>M24J19BB4XED</t>
  </si>
  <si>
    <t>M24J19BB5P7</t>
  </si>
  <si>
    <t>M24J19BB5VAM</t>
  </si>
  <si>
    <t>M24J19BB5XED</t>
  </si>
  <si>
    <t>M24J19BB6P7</t>
  </si>
  <si>
    <t>M24J19BB6VAM</t>
  </si>
  <si>
    <t>M24J19BB6XED</t>
  </si>
  <si>
    <t>M24J19BB7P7</t>
  </si>
  <si>
    <t>M24J19BB7VAM</t>
  </si>
  <si>
    <t>M24J19BB7XED</t>
  </si>
  <si>
    <t>M24J19BB8P7</t>
  </si>
  <si>
    <t>M24J19BB8VAM</t>
  </si>
  <si>
    <t>M24J19BB8XED</t>
  </si>
  <si>
    <t>M24J19BS4AAGM</t>
  </si>
  <si>
    <t>M24J19BT8AAFL</t>
  </si>
  <si>
    <t>M24J19BT8AAGM</t>
  </si>
  <si>
    <t>M24J19CR3ACDM</t>
  </si>
  <si>
    <t>M24J19CR3SGD</t>
  </si>
  <si>
    <t>M24J19CR3ZZM</t>
  </si>
  <si>
    <t>M24J19CU9ADNM</t>
  </si>
  <si>
    <t>M24J19CU9NBD</t>
  </si>
  <si>
    <t>M24J19CV3ANQM</t>
  </si>
  <si>
    <t>M24J19CV3MZD</t>
  </si>
  <si>
    <t>M24J19CV7ADLD</t>
  </si>
  <si>
    <t>M24J19CV7ADMD</t>
  </si>
  <si>
    <t>M24J19CV8ADLD</t>
  </si>
  <si>
    <t>M24J19CV8ADMD</t>
  </si>
  <si>
    <t>M24J19E982S</t>
  </si>
  <si>
    <t>M24J19E98GSD</t>
  </si>
  <si>
    <t>M24J19E98LHM</t>
  </si>
  <si>
    <t>M24J19EG3ARVD</t>
  </si>
  <si>
    <t>M24J19EG3ASJD</t>
  </si>
  <si>
    <t>M24J19EG4ASKM</t>
  </si>
  <si>
    <t>M24J19GJ4AZIL</t>
  </si>
  <si>
    <t>M24J19GJ4BAEM</t>
  </si>
  <si>
    <t>M24J19GN0AQRD</t>
  </si>
  <si>
    <t>M24J19H54GSD</t>
  </si>
  <si>
    <t>M24J19J302S</t>
  </si>
  <si>
    <t>M24J19J3089</t>
  </si>
  <si>
    <t>M24J19J30BBD</t>
  </si>
  <si>
    <t>M24J19JD9BJQL</t>
  </si>
  <si>
    <t>M24J19K302S</t>
  </si>
  <si>
    <t>M24J19K30LHM</t>
  </si>
  <si>
    <t>M24J19L18BBD</t>
  </si>
  <si>
    <t>M24J19L18BZ</t>
  </si>
  <si>
    <t>M24J19L18MZD</t>
  </si>
  <si>
    <t>M24J19L18NAM</t>
  </si>
  <si>
    <t>M24J19NIS1BMJD</t>
  </si>
  <si>
    <t>M24J19NKU2BMCD</t>
  </si>
  <si>
    <t>M24J19NKU2BMOD</t>
  </si>
  <si>
    <t>M24J19NLJ3BRID</t>
  </si>
  <si>
    <t>M24J19NLQ3BSTD</t>
  </si>
  <si>
    <t>M24J19NQM2CELL</t>
  </si>
  <si>
    <t>M24J19OGG0BAFM</t>
  </si>
  <si>
    <t>M24J19OGG1BABM</t>
  </si>
  <si>
    <t>M24J60BQT1MWM</t>
  </si>
  <si>
    <t>M24J60CQ9TXD</t>
  </si>
  <si>
    <t>M24J60ES2ARZM</t>
  </si>
  <si>
    <t>M24J60NLJ3BRID</t>
  </si>
  <si>
    <t>M24J60OGG0BAFM</t>
  </si>
  <si>
    <t>M24J60P05EQL</t>
  </si>
  <si>
    <t>M24J60P05GSD</t>
  </si>
  <si>
    <t>M24J60P90PGD</t>
  </si>
  <si>
    <t>M24J60P90RVD</t>
  </si>
  <si>
    <t>M24J60R54EQL</t>
  </si>
  <si>
    <t>M24J60R54GSD</t>
  </si>
  <si>
    <t>M24J60R98PGD</t>
  </si>
  <si>
    <t>M24L82F66X5</t>
  </si>
  <si>
    <t>M24N49J20LHM</t>
  </si>
  <si>
    <t>M24N75K312S</t>
  </si>
  <si>
    <t>M24N75K3189</t>
  </si>
  <si>
    <t>M24N75K31BZ</t>
  </si>
  <si>
    <t>M24N75K31LHM</t>
  </si>
  <si>
    <t>M24P30M53BZ</t>
  </si>
  <si>
    <t>M24P30M53PBM</t>
  </si>
  <si>
    <t>M24P31M53BZ</t>
  </si>
  <si>
    <t>M24P31M53PBM</t>
  </si>
  <si>
    <t>M24P31M53QDM</t>
  </si>
  <si>
    <t>M24P31M53SIM</t>
  </si>
  <si>
    <t>M24P32M53LZD</t>
  </si>
  <si>
    <t>M24P32M53PBM</t>
  </si>
  <si>
    <t>M24P32M53QDM</t>
  </si>
  <si>
    <t>M24P32M53RHL</t>
  </si>
  <si>
    <t>M24P32M53SIM</t>
  </si>
  <si>
    <t>M24P58M53BZ</t>
  </si>
  <si>
    <t>M24P58M53PBM</t>
  </si>
  <si>
    <t>M24P60M65SAD</t>
  </si>
  <si>
    <t>M24P60M65TAL</t>
  </si>
  <si>
    <t>M24P61M65BZ</t>
  </si>
  <si>
    <t>M24P61M65NZM</t>
  </si>
  <si>
    <t>M24P61M65SAD</t>
  </si>
  <si>
    <t>M24P62M65NZM</t>
  </si>
  <si>
    <t>M24P62M65SAD</t>
  </si>
  <si>
    <t>M24P63M65BZ</t>
  </si>
  <si>
    <t>M24P63M65NZM</t>
  </si>
  <si>
    <t>M24P63M65PAL</t>
  </si>
  <si>
    <t>M24P63M65RSM</t>
  </si>
  <si>
    <t>M24P63M65SAD</t>
  </si>
  <si>
    <t>M24P92M65LPD</t>
  </si>
  <si>
    <t>M24P92M65NZM</t>
  </si>
  <si>
    <t>M24P95M65NZM</t>
  </si>
  <si>
    <t>M24P95M65SAD</t>
  </si>
  <si>
    <t>M24Q12R11LPD</t>
  </si>
  <si>
    <t>M24Q12R11SPD</t>
  </si>
  <si>
    <t>M24Q12R11TXD</t>
  </si>
  <si>
    <t>M24Q12Z88TXD</t>
  </si>
  <si>
    <t>M24Q12Z88XZM</t>
  </si>
  <si>
    <t>M24Q12Z88YAL</t>
  </si>
  <si>
    <t>M24Q13R11LPD</t>
  </si>
  <si>
    <t>M24Q13R11SPD</t>
  </si>
  <si>
    <t>M24Q13R11TXD</t>
  </si>
  <si>
    <t>M24Q13Z88TXD</t>
  </si>
  <si>
    <t>M24Q13Z88XZM</t>
  </si>
  <si>
    <t>M24Q13Z88YAL</t>
  </si>
  <si>
    <t>M24R05M65NZM</t>
  </si>
  <si>
    <t>M24R05M65X5</t>
  </si>
  <si>
    <t>M24R09BN0AADM</t>
  </si>
  <si>
    <t>M24R09R11LPD</t>
  </si>
  <si>
    <t>M24R09R11SPD</t>
  </si>
  <si>
    <t>M24R09R11TWM</t>
  </si>
  <si>
    <t>M24R09R11TXD</t>
  </si>
  <si>
    <t>M24R09Z88TXD</t>
  </si>
  <si>
    <t>M24R09Z88XZM</t>
  </si>
  <si>
    <t>M24R09Z88YAL</t>
  </si>
  <si>
    <t>M24R46M53PCM</t>
  </si>
  <si>
    <t>M24R46M53SGD</t>
  </si>
  <si>
    <t>M24R62GJ4AZKL</t>
  </si>
  <si>
    <t>M24R71M53LZD</t>
  </si>
  <si>
    <t>M24R71M53SIM</t>
  </si>
  <si>
    <t>M24T55U49TWD</t>
  </si>
  <si>
    <t>M24T56U49TWD</t>
  </si>
  <si>
    <t>M24T60U44VQ</t>
  </si>
  <si>
    <t>M24T60U44VR</t>
  </si>
  <si>
    <t>M24T60U46VS</t>
  </si>
  <si>
    <t>M24T62U44VR</t>
  </si>
  <si>
    <t>M24T62U46VS</t>
  </si>
  <si>
    <t>M24T63U44VED</t>
  </si>
  <si>
    <t>M24T63U46VP</t>
  </si>
  <si>
    <t>M24T73V40TXD</t>
  </si>
  <si>
    <t>M24T73Z08XZM</t>
  </si>
  <si>
    <t>M24U08U31SGD</t>
  </si>
  <si>
    <t>M24U08U31TXD</t>
  </si>
  <si>
    <t>M24U09U31TXD</t>
  </si>
  <si>
    <t>M24V90Z88TXD</t>
  </si>
  <si>
    <t>M24V90Z88XZM</t>
  </si>
  <si>
    <t>M24V90Z88YAL</t>
  </si>
  <si>
    <t>M24V97AX4ADIM</t>
  </si>
  <si>
    <t>M24V97AX4SGD</t>
  </si>
  <si>
    <t>M24V97AX4XED</t>
  </si>
  <si>
    <t>M24V97NIR6BMID</t>
  </si>
  <si>
    <t>M24V97NUU82S</t>
  </si>
  <si>
    <t>M24V97NUU82V</t>
  </si>
  <si>
    <t>M24V98AX4ADIM</t>
  </si>
  <si>
    <t>M24V98AX4SGD</t>
  </si>
  <si>
    <t>M24V99AX4ADIM</t>
  </si>
  <si>
    <t>M24V99AX4SGD</t>
  </si>
  <si>
    <t>M24V99AX4TRD</t>
  </si>
  <si>
    <t>M24W85BN0AADM</t>
  </si>
  <si>
    <t>M24X13BS5Z8M</t>
  </si>
  <si>
    <t>M24X14BS5TXM</t>
  </si>
  <si>
    <t>M24Y42AX4ADIM</t>
  </si>
  <si>
    <t>M24Y42AX4SGD</t>
  </si>
  <si>
    <t>M24Y45BN0V7L</t>
  </si>
  <si>
    <t>M24Y84DP8ACJM</t>
  </si>
  <si>
    <t>M24Y84DP8XZM</t>
  </si>
  <si>
    <t>M24Y84FA5AVXM</t>
  </si>
  <si>
    <t>M24Y84KU2BQDD</t>
  </si>
  <si>
    <t>M25Q12CS2ADAL</t>
  </si>
  <si>
    <t>M25Q12CS2ADEM</t>
  </si>
  <si>
    <t>M25Q12CS2AUXM</t>
  </si>
  <si>
    <t>M25Q12CS2AUYD</t>
  </si>
  <si>
    <t>M25Q12CS2SGD</t>
  </si>
  <si>
    <t>M25Q13CS2ADAL</t>
  </si>
  <si>
    <t>M25Q13CS2ADEM</t>
  </si>
  <si>
    <t>M25Q13CS2AUXM</t>
  </si>
  <si>
    <t>M25Q13CS2AUYD</t>
  </si>
  <si>
    <t>M25Q13CS2SGD</t>
  </si>
  <si>
    <t>M25R09CS2ADEM</t>
  </si>
  <si>
    <t>M25R09CS2AUXM</t>
  </si>
  <si>
    <t>M25R09CS2AUYD</t>
  </si>
  <si>
    <t>M25R09CS2SGD</t>
  </si>
  <si>
    <t>M25T73CS2SGD</t>
  </si>
  <si>
    <t>M25Y87CS2ADAL</t>
  </si>
  <si>
    <t>M25Y87CS2ADEM</t>
  </si>
  <si>
    <t>M25Y87CS2AUXM</t>
  </si>
  <si>
    <t>M25Y87CS2AUYD</t>
  </si>
  <si>
    <t>M25Y87CS2SGD</t>
  </si>
  <si>
    <t>M25Z40CS2ADAL</t>
  </si>
  <si>
    <t>M25Z40CS2ADEM</t>
  </si>
  <si>
    <t>M25Z40CS2AUXM</t>
  </si>
  <si>
    <t>M25Z40CS2AUYD</t>
  </si>
  <si>
    <t>M25Z40CS2SGD</t>
  </si>
  <si>
    <t>M26Q12CS2ADED</t>
  </si>
  <si>
    <t>M26Q12CS2AUXD</t>
  </si>
  <si>
    <t>M26Q12CS2SGD</t>
  </si>
  <si>
    <t>M26Q13CS2ADAD</t>
  </si>
  <si>
    <t>M26Q13CS2ADED</t>
  </si>
  <si>
    <t>M26Q13CS2AUXD</t>
  </si>
  <si>
    <t>M26Q13CS2SGD</t>
  </si>
  <si>
    <t>M26R09CS2ADAD</t>
  </si>
  <si>
    <t>M26R09CS2ADED</t>
  </si>
  <si>
    <t>M26R09CS2AUXD</t>
  </si>
  <si>
    <t>M26R09CS2SGD</t>
  </si>
  <si>
    <t>M26Y87CS2ADAD</t>
  </si>
  <si>
    <t>M26Y87CS2ADED</t>
  </si>
  <si>
    <t>M26Y87CS2AUXD</t>
  </si>
  <si>
    <t>M26Y87CS2SGD</t>
  </si>
  <si>
    <t>M26Z40CS2ADAD</t>
  </si>
  <si>
    <t>M26Z40CS2ADED</t>
  </si>
  <si>
    <t>M26Z40CS2AUXD</t>
  </si>
  <si>
    <t>M26Z40CS2SGD</t>
  </si>
  <si>
    <t>M27Q12CS21117</t>
  </si>
  <si>
    <t>M27Q12CS21287</t>
  </si>
  <si>
    <t>M27Q12CS22648</t>
  </si>
  <si>
    <t>M27Q12CS26327</t>
  </si>
  <si>
    <t>M27Q13CS21117</t>
  </si>
  <si>
    <t>M27Q13CS21287</t>
  </si>
  <si>
    <t>M27Q13CS22648</t>
  </si>
  <si>
    <t>M27Q13CS26327</t>
  </si>
  <si>
    <t>M27R09CS21117</t>
  </si>
  <si>
    <t>M27R09CS21287</t>
  </si>
  <si>
    <t>M27R09CS26327</t>
  </si>
  <si>
    <t>M27Y87CS21117</t>
  </si>
  <si>
    <t>M27Y87CS21287</t>
  </si>
  <si>
    <t>M27Y87CS22648</t>
  </si>
  <si>
    <t>M27Y87CS26327</t>
  </si>
  <si>
    <t>M27Z40CS21117</t>
  </si>
  <si>
    <t>M27Z40CS21287</t>
  </si>
  <si>
    <t>M27Z40CS22648</t>
  </si>
  <si>
    <t>M27Z40CS26327</t>
  </si>
  <si>
    <t>M29A173DH7ADBM</t>
  </si>
  <si>
    <t>M29A173DH7ADCM</t>
  </si>
  <si>
    <t>M29A173DH7ADDD</t>
  </si>
  <si>
    <t>M29A173DH7AUVM</t>
  </si>
  <si>
    <t>M29A173DH7AUWM</t>
  </si>
  <si>
    <t>M29V38DH7ADBM</t>
  </si>
  <si>
    <t>M29V38DH7ADCM</t>
  </si>
  <si>
    <t>M29V38DH7ADDD</t>
  </si>
  <si>
    <t>M29V38DH7AUVM</t>
  </si>
  <si>
    <t>M29V39DH7ADBM</t>
  </si>
  <si>
    <t>M29V39DH7ADCM</t>
  </si>
  <si>
    <t>M29V39DH7ADDD</t>
  </si>
  <si>
    <t>M29V39DH7AUVM</t>
  </si>
  <si>
    <t>M29V39DH7AUWD</t>
  </si>
  <si>
    <t>M29V39DH7AUWM</t>
  </si>
  <si>
    <t>M29V40DH7ADBM</t>
  </si>
  <si>
    <t>M29V40DH7ADCM</t>
  </si>
  <si>
    <t>M29V40DH7ADDD</t>
  </si>
  <si>
    <t>M29V40DH7AUVM</t>
  </si>
  <si>
    <t>M29V40DH7AUWM</t>
  </si>
  <si>
    <t>M29V41DH7ADBM</t>
  </si>
  <si>
    <t>M29Y43DH7ADBM</t>
  </si>
  <si>
    <t>M29Y43DH7AUVM</t>
  </si>
  <si>
    <t>M29Y43DH7AUWM</t>
  </si>
  <si>
    <t>M29Z41DH7ADBM</t>
  </si>
  <si>
    <t>M29Z41DH7ADCM</t>
  </si>
  <si>
    <t>M29Z41DH7ADDD</t>
  </si>
  <si>
    <t>M29Z41DH7AUVM</t>
  </si>
  <si>
    <t>M29Z41DH7AUWM</t>
  </si>
  <si>
    <t>M2EA605IR31001</t>
  </si>
  <si>
    <t>M2EA605IR32694</t>
  </si>
  <si>
    <t>M2EA605IR33516</t>
  </si>
  <si>
    <t>M2EA605IR34785</t>
  </si>
  <si>
    <t>M2EA606IR31001</t>
  </si>
  <si>
    <t>M2EA606IR32694</t>
  </si>
  <si>
    <t>M2F800OMCHJM</t>
  </si>
  <si>
    <t>M2F800TSMBKYM</t>
  </si>
  <si>
    <t>M2F800Y9M2S</t>
  </si>
  <si>
    <t>M2F858TSM11</t>
  </si>
  <si>
    <t>M2F859EY4BZHD</t>
  </si>
  <si>
    <t>M2F859KB5BQML</t>
  </si>
  <si>
    <t>M2F859LA6BJCL</t>
  </si>
  <si>
    <t>M2F859LG9BJAL</t>
  </si>
  <si>
    <t>M2F859OJ8BPSM</t>
  </si>
  <si>
    <t>M2F859OM2V</t>
  </si>
  <si>
    <t>M2F859SGG12V</t>
  </si>
  <si>
    <t>M2F859TSM11</t>
  </si>
  <si>
    <t>M2F859TSM3M</t>
  </si>
  <si>
    <t>M2F859Y9M2S</t>
  </si>
  <si>
    <t>M2FC348TS3M</t>
  </si>
  <si>
    <t>M2FC348Y92S</t>
  </si>
  <si>
    <t>M2FC409TS3M</t>
  </si>
  <si>
    <t>M2FE08ZLG92V</t>
  </si>
  <si>
    <t>M2FE08ZY9MBOQD</t>
  </si>
  <si>
    <t>M2FH006Y9BOQD</t>
  </si>
  <si>
    <t>M2FH007TS2S</t>
  </si>
  <si>
    <t>M2FH54ZKB5BHFD</t>
  </si>
  <si>
    <t>M2FH54ZOM11</t>
  </si>
  <si>
    <t>M2FH54ZTSMBKYM</t>
  </si>
  <si>
    <t>M2FJ19ZY9MBOQD</t>
  </si>
  <si>
    <t>M2FJ60ZOM11</t>
  </si>
  <si>
    <t>M2FJ60ZTSM2S</t>
  </si>
  <si>
    <t>M2UBV92VR1465</t>
  </si>
  <si>
    <t>M2VA756VR6478</t>
  </si>
  <si>
    <t>M2WA758EG1001</t>
  </si>
  <si>
    <t>M2WA758EG4874</t>
  </si>
  <si>
    <t>M2ZA350NE0BQCD</t>
  </si>
  <si>
    <t>M2ZA350NE0BYHL</t>
  </si>
  <si>
    <t>M2ZA806IK14015</t>
  </si>
  <si>
    <t>M2ZA806QX7CGML</t>
  </si>
  <si>
    <t>M2ZA886KI24866</t>
  </si>
  <si>
    <t>M2ZB063NP84923</t>
  </si>
  <si>
    <t>M2ZB088QW72S</t>
  </si>
  <si>
    <t>M2ZB088QW7CFWM</t>
  </si>
  <si>
    <t>M2ZB129YE74143</t>
  </si>
  <si>
    <t>M2ZB151NF44015</t>
  </si>
  <si>
    <t>M2ZB239MU34143</t>
  </si>
  <si>
    <t>M2ZJ19NND9BQCD</t>
  </si>
  <si>
    <t>M2ZJ19NND9BYHL</t>
  </si>
  <si>
    <t>M2ZJ19NND9CHHL</t>
  </si>
  <si>
    <t>M2ZR62NND9BQCD</t>
  </si>
  <si>
    <t>M2ZR62NND9BYHL</t>
  </si>
  <si>
    <t>M2ZY84ND9BQCD</t>
  </si>
  <si>
    <t>M2ZY84ND9BYHL</t>
  </si>
  <si>
    <t>M30859EG1151</t>
  </si>
  <si>
    <t>M30859EG2320</t>
  </si>
  <si>
    <t>M30859EG3018</t>
  </si>
  <si>
    <t>M30859EG3172</t>
  </si>
  <si>
    <t>M30859EG5024</t>
  </si>
  <si>
    <t>M30859EG7317</t>
  </si>
  <si>
    <t>M379Z97VR1001</t>
  </si>
  <si>
    <t>M3E859NNP2BSLL</t>
  </si>
  <si>
    <t>M3EA802IR4BMFD</t>
  </si>
  <si>
    <t>M3EA802IR4BMGM</t>
  </si>
  <si>
    <t>M3EA802IR4BRMM</t>
  </si>
  <si>
    <t>M3EA802IR4BSLL</t>
  </si>
  <si>
    <t>M3EA802IR4BYDL</t>
  </si>
  <si>
    <t>M3EA802IR4BZCL</t>
  </si>
  <si>
    <t>M3EA802IR4BZDM</t>
  </si>
  <si>
    <t>M3EJ19NLQ2BSMM</t>
  </si>
  <si>
    <t>M3ET73IR4BMFD</t>
  </si>
  <si>
    <t>M3F858OMW2S</t>
  </si>
  <si>
    <t>M3F859BJ92V</t>
  </si>
  <si>
    <t>M3F859EL1200</t>
  </si>
  <si>
    <t>M3F859EL6000</t>
  </si>
  <si>
    <t>M3F859EY4BZZD</t>
  </si>
  <si>
    <t>M3F859NBTMBUTD</t>
  </si>
  <si>
    <t>M3F859OMWAQAD</t>
  </si>
  <si>
    <t>M3F859TSMCBYD</t>
  </si>
  <si>
    <t>M3FE08ZTSMBZUD</t>
  </si>
  <si>
    <t>M3OB128MU31001</t>
  </si>
  <si>
    <t>M3OB128MU36433</t>
  </si>
  <si>
    <t>M3OB263SE21001</t>
  </si>
  <si>
    <t>M3OB263SE21700</t>
  </si>
  <si>
    <t>M3RA315TT1100</t>
  </si>
  <si>
    <t>M3RA315TT2207</t>
  </si>
  <si>
    <t>M3RA315TT4100</t>
  </si>
  <si>
    <t>M3RA315TT4918</t>
  </si>
  <si>
    <t>M3RA805KI01024</t>
  </si>
  <si>
    <t>M3RA805KI01745</t>
  </si>
  <si>
    <t>M3UBV92VR4150</t>
  </si>
  <si>
    <t>M3VA756VR8409</t>
  </si>
  <si>
    <t>M3WA350LL9BRXL</t>
  </si>
  <si>
    <t>M3X859NLM0BRYM</t>
  </si>
  <si>
    <t>M3XA799LM0BRYM</t>
  </si>
  <si>
    <t>M40002AQ46067</t>
  </si>
  <si>
    <t>M40002AQ4</t>
  </si>
  <si>
    <t>M40002XU42500</t>
  </si>
  <si>
    <t>M40002XU4</t>
  </si>
  <si>
    <t>MULTI WASH</t>
  </si>
  <si>
    <t>M41000XS94143</t>
  </si>
  <si>
    <t>M41000XS9</t>
  </si>
  <si>
    <t>INDIGO HENLEY</t>
  </si>
  <si>
    <t>M41002RH71106</t>
  </si>
  <si>
    <t>M41002RH7</t>
  </si>
  <si>
    <t>PLAYOFF CHAMPS RAGLAN</t>
  </si>
  <si>
    <t>M41002RH71800</t>
  </si>
  <si>
    <t>M41006C0484100</t>
  </si>
  <si>
    <t>M41006C048</t>
  </si>
  <si>
    <t>ILLUSIONS TEE</t>
  </si>
  <si>
    <t>M41006C0486067</t>
  </si>
  <si>
    <t>M41006C0491557</t>
  </si>
  <si>
    <t>M41006C049</t>
  </si>
  <si>
    <t>BLACK OUT TEE</t>
  </si>
  <si>
    <t>MARBLE WASH</t>
  </si>
  <si>
    <t>M41006C0501800</t>
  </si>
  <si>
    <t>M41006C050</t>
  </si>
  <si>
    <t>BLACK ALBUM TEE</t>
  </si>
  <si>
    <t>M41006C0511101</t>
  </si>
  <si>
    <t>M41006C051</t>
  </si>
  <si>
    <t>BOP TEE</t>
  </si>
  <si>
    <t>M41006C0516067</t>
  </si>
  <si>
    <t>M41006C0541101</t>
  </si>
  <si>
    <t>M41006C054</t>
  </si>
  <si>
    <t>PUNK PATCHES TEE</t>
  </si>
  <si>
    <t>M41006C0551101</t>
  </si>
  <si>
    <t>M41006C055</t>
  </si>
  <si>
    <t>ALL OVER BUDDHA TEE</t>
  </si>
  <si>
    <t>M41006C0551496</t>
  </si>
  <si>
    <t>SIDEWALK</t>
  </si>
  <si>
    <t>M41006C0561101</t>
  </si>
  <si>
    <t>M41006C056</t>
  </si>
  <si>
    <t>CUT UP BUDDHA TEE</t>
  </si>
  <si>
    <t>M41006C0561800</t>
  </si>
  <si>
    <t>OPTIC  WHITE</t>
  </si>
  <si>
    <t>M41006C0571800</t>
  </si>
  <si>
    <t>M41006C057</t>
  </si>
  <si>
    <t>DISTRESSED TRUE RLGN TEE</t>
  </si>
  <si>
    <t>M41006C0574100</t>
  </si>
  <si>
    <t>M41006CS371106</t>
  </si>
  <si>
    <t>M41006CS37</t>
  </si>
  <si>
    <t>M41006CS371800</t>
  </si>
  <si>
    <t>M41006J3271101</t>
  </si>
  <si>
    <t>M41006J327</t>
  </si>
  <si>
    <t>LAYERED SKULL TEE</t>
  </si>
  <si>
    <t>M41006J3501106</t>
  </si>
  <si>
    <t>M41006J350</t>
  </si>
  <si>
    <t>STENCIL LOGO TEE</t>
  </si>
  <si>
    <t>M41006N0291106</t>
  </si>
  <si>
    <t>M41006N029</t>
  </si>
  <si>
    <t>FIST TEE</t>
  </si>
  <si>
    <t>M41006N0291800</t>
  </si>
  <si>
    <t>M41006N0311106</t>
  </si>
  <si>
    <t>M41006N031</t>
  </si>
  <si>
    <t>TR WHISKEY TEE</t>
  </si>
  <si>
    <t>M41006N0311800</t>
  </si>
  <si>
    <t>M41006NP031101</t>
  </si>
  <si>
    <t>M41006NP03</t>
  </si>
  <si>
    <t>METALLIC DRIPPY HORSESHOE</t>
  </si>
  <si>
    <t>M41006NP031800</t>
  </si>
  <si>
    <t>M41006T0321800</t>
  </si>
  <si>
    <t>M41006T032</t>
  </si>
  <si>
    <t>PUNK TOUR TEE</t>
  </si>
  <si>
    <t>M41006T0341501</t>
  </si>
  <si>
    <t>M41006XS94143</t>
  </si>
  <si>
    <t>M41006XS9</t>
  </si>
  <si>
    <t>CWP INDIGO TEE</t>
  </si>
  <si>
    <t>M41006YP71001</t>
  </si>
  <si>
    <t>M41006YP7</t>
  </si>
  <si>
    <t>M41006YP74168</t>
  </si>
  <si>
    <t>M41009UT71106</t>
  </si>
  <si>
    <t>M41009UT7</t>
  </si>
  <si>
    <t>M41009UT71700</t>
  </si>
  <si>
    <t>M41010UT71106</t>
  </si>
  <si>
    <t>M41010UT7</t>
  </si>
  <si>
    <t>M41010UT71700</t>
  </si>
  <si>
    <t>M41011YP51501</t>
  </si>
  <si>
    <t>M41011YP5</t>
  </si>
  <si>
    <t>SHOESTRING LS JASPE CREWNECK</t>
  </si>
  <si>
    <t>M41011YP56067</t>
  </si>
  <si>
    <t>M41012T0361800</t>
  </si>
  <si>
    <t>M41012T036</t>
  </si>
  <si>
    <t>CRAFTED W PRIDE APPLIQUE TEE</t>
  </si>
  <si>
    <t>M41012T0366000</t>
  </si>
  <si>
    <t>M42000AR31501</t>
  </si>
  <si>
    <t>M42000AR3</t>
  </si>
  <si>
    <t>MICK SWEATPANT</t>
  </si>
  <si>
    <t>M42000UT74100</t>
  </si>
  <si>
    <t>M42000UT7</t>
  </si>
  <si>
    <t>SLIM CUFF SWEATPANT</t>
  </si>
  <si>
    <t>M42004UT71001</t>
  </si>
  <si>
    <t>M42004UT7</t>
  </si>
  <si>
    <t>M42004UT71700</t>
  </si>
  <si>
    <t>M44001TF44002</t>
  </si>
  <si>
    <t>M44001TF4</t>
  </si>
  <si>
    <t>COLLEGIATE JACKET</t>
  </si>
  <si>
    <t>ACE/ NATURAL</t>
  </si>
  <si>
    <t>M44001TF46067</t>
  </si>
  <si>
    <t>BORDEAUX/ BLACK</t>
  </si>
  <si>
    <t>M44003AR41106</t>
  </si>
  <si>
    <t>M44003AR4</t>
  </si>
  <si>
    <t>LEATHER JACKET W SHEARLING COL</t>
  </si>
  <si>
    <t>M45002NP031001</t>
  </si>
  <si>
    <t>M45002NP03</t>
  </si>
  <si>
    <t>DRIPPY HORSESHOE HOODIE</t>
  </si>
  <si>
    <t>M45002NP031700</t>
  </si>
  <si>
    <t>M45002UT74100</t>
  </si>
  <si>
    <t>M45002UT7</t>
  </si>
  <si>
    <t>ZIP HOODIE</t>
  </si>
  <si>
    <t>M45003UT71101</t>
  </si>
  <si>
    <t>M45003UT7</t>
  </si>
  <si>
    <t>BUDDHA SWEATSHIRT</t>
  </si>
  <si>
    <t>M45003WQ21101</t>
  </si>
  <si>
    <t>M45003WQ2</t>
  </si>
  <si>
    <t>CREWNECK SWEATSHIRT</t>
  </si>
  <si>
    <t>M45004AR31501</t>
  </si>
  <si>
    <t>M45004AR3</t>
  </si>
  <si>
    <t>M45005UT71106</t>
  </si>
  <si>
    <t>M45005UT7</t>
  </si>
  <si>
    <t>ACTIVE COLLEGIATE JACKET</t>
  </si>
  <si>
    <t>M45005UT76000</t>
  </si>
  <si>
    <t>M45005UT7H1106</t>
  </si>
  <si>
    <t>M45005UT7H</t>
  </si>
  <si>
    <t>M45005UT7H6000</t>
  </si>
  <si>
    <t>M4A841HHH13494</t>
  </si>
  <si>
    <t>M4AA8BA34143</t>
  </si>
  <si>
    <t>M4AA8BA3</t>
  </si>
  <si>
    <t>SINGLE POCKET WOVEN</t>
  </si>
  <si>
    <t>M4DA350LO11118</t>
  </si>
  <si>
    <t>M4DA799LX71118</t>
  </si>
  <si>
    <t>M4E858HF1AQKM</t>
  </si>
  <si>
    <t>M4E859HF0APOL</t>
  </si>
  <si>
    <t>M4E859HF1AZYM</t>
  </si>
  <si>
    <t>M4EE08ZFJ501</t>
  </si>
  <si>
    <t>M4EE08ZFJ511</t>
  </si>
  <si>
    <t>M4EE08ZHF0UED</t>
  </si>
  <si>
    <t>M4IA716SE21001</t>
  </si>
  <si>
    <t>M4IA716SE21700</t>
  </si>
  <si>
    <t>M4IA716SE21704</t>
  </si>
  <si>
    <t>M4O8U24EAN1700</t>
  </si>
  <si>
    <t>M4O8U24EDP1001</t>
  </si>
  <si>
    <t>M4O8U24EEY1078</t>
  </si>
  <si>
    <t>M4O8U24EEY</t>
  </si>
  <si>
    <t>KNOCK OUT SS CREW NECK TEE</t>
  </si>
  <si>
    <t>BLK/GRY HNDSTOOTH</t>
  </si>
  <si>
    <t>M4O8U24EGU1700</t>
  </si>
  <si>
    <t>M4O8U24EGU</t>
  </si>
  <si>
    <t>BUDDHA TOUR SS CREW NECK TEE</t>
  </si>
  <si>
    <t>M4O8U24EGU6000</t>
  </si>
  <si>
    <t>M4O8U24EGZ1001</t>
  </si>
  <si>
    <t>M4O8U24EGZ</t>
  </si>
  <si>
    <t>BF 2 LOGO SS CREW NECK TEE</t>
  </si>
  <si>
    <t>M4O8U24EGZ1700</t>
  </si>
  <si>
    <t>M4O8U24EHA1700</t>
  </si>
  <si>
    <t>M4O8U24EHA</t>
  </si>
  <si>
    <t>HOUNDSTOOTH LOGO CREW NECK TEE</t>
  </si>
  <si>
    <t>M4O8U24EJJ1001</t>
  </si>
  <si>
    <t>M4O8U24EJJ</t>
  </si>
  <si>
    <t>AD MORTEM SKULL SS CREW NECK</t>
  </si>
  <si>
    <t>M4O8U24EJW1700</t>
  </si>
  <si>
    <t>M4O8U24EJW</t>
  </si>
  <si>
    <t>TRUE SCRIPT SS CREW NECK TEE</t>
  </si>
  <si>
    <t>M4O8U24EJX1700</t>
  </si>
  <si>
    <t>M4O8U24EJX</t>
  </si>
  <si>
    <t>HORSESHOE SPLIT CREW NECK TEE</t>
  </si>
  <si>
    <t>M4O8U24EJX3000</t>
  </si>
  <si>
    <t>M4O8U24EKL1001</t>
  </si>
  <si>
    <t>M4O8U24EKL</t>
  </si>
  <si>
    <t>BUDDHA CHECKS SS CREW NECK TEE</t>
  </si>
  <si>
    <t>M4O8U24EKL1700</t>
  </si>
  <si>
    <t>M4O8U24ENW1001</t>
  </si>
  <si>
    <t>M4O8U24ENW</t>
  </si>
  <si>
    <t>GOLD BIG BUDDHA LOGO SS CREW</t>
  </si>
  <si>
    <t>M4O8U24EOG1001</t>
  </si>
  <si>
    <t>M4O8U24EOG</t>
  </si>
  <si>
    <t>M4O8U24JV71001</t>
  </si>
  <si>
    <t>M4O8U24JV71406</t>
  </si>
  <si>
    <t>M4O8U24JV71501</t>
  </si>
  <si>
    <t>M4O8U24JV71700</t>
  </si>
  <si>
    <t>M4O8U24JV74059</t>
  </si>
  <si>
    <t>M4O8U24JV74602</t>
  </si>
  <si>
    <t>M4O8U24JV77003</t>
  </si>
  <si>
    <t>M4O8U24LJ91001</t>
  </si>
  <si>
    <t>M4O8U24QL81700</t>
  </si>
  <si>
    <t>M4O8U24VC54100</t>
  </si>
  <si>
    <t>M4O8U24VC5</t>
  </si>
  <si>
    <t>TRUE PERSPECTIVE SS CREW TEE</t>
  </si>
  <si>
    <t>M4O8U24XT91081</t>
  </si>
  <si>
    <t>M4O8U24XT91708</t>
  </si>
  <si>
    <t>M4O8U24XY01096</t>
  </si>
  <si>
    <t>M4O8U24XY01862</t>
  </si>
  <si>
    <t>M4O8U24XZ64100</t>
  </si>
  <si>
    <t>M4O8U24XZ71700</t>
  </si>
  <si>
    <t>M4O8U24XZ81001</t>
  </si>
  <si>
    <t>M4O8U24XZ91700</t>
  </si>
  <si>
    <t>M4O8U24XZ94100</t>
  </si>
  <si>
    <t>M4O8U24YA01700</t>
  </si>
  <si>
    <t>M4O8U24YB61700</t>
  </si>
  <si>
    <t>M4O8U24YB66059</t>
  </si>
  <si>
    <t>M4O8U24YB94100</t>
  </si>
  <si>
    <t>M4O8U24YD71001</t>
  </si>
  <si>
    <t>M4O8U24YD86059</t>
  </si>
  <si>
    <t>M4O8U24YE51700</t>
  </si>
  <si>
    <t>M4O8U24YJ21700</t>
  </si>
  <si>
    <t>M4O8U24YP21001</t>
  </si>
  <si>
    <t>M4O8U24YP2</t>
  </si>
  <si>
    <t>CAMO DISCHARGE SS CREW NECK</t>
  </si>
  <si>
    <t>M4O8U24YP21406</t>
  </si>
  <si>
    <t>M4O8U24YP23443</t>
  </si>
  <si>
    <t>M4O8U24YS31001</t>
  </si>
  <si>
    <t>M4O8Z65EDQ1081</t>
  </si>
  <si>
    <t>M4O8Z65EDQ</t>
  </si>
  <si>
    <t>THE LEAGUE FOOTBALL TEE</t>
  </si>
  <si>
    <t>BLACK / BURGNDY</t>
  </si>
  <si>
    <t>M4O8Z65EDQ1710</t>
  </si>
  <si>
    <t>M4OA271EHF1708</t>
  </si>
  <si>
    <t>M4OA271EHF</t>
  </si>
  <si>
    <t>BUDDHA BRAND LS CREW NECK TEE</t>
  </si>
  <si>
    <t>M4OA271EHF4193</t>
  </si>
  <si>
    <t>TR NVY / WHTE</t>
  </si>
  <si>
    <t>M4OA271EHF6432</t>
  </si>
  <si>
    <t>RBY RED/BLK</t>
  </si>
  <si>
    <t>M4OA595EAX1836</t>
  </si>
  <si>
    <t>M4OA595EAX</t>
  </si>
  <si>
    <t>M4OA595EAY1712</t>
  </si>
  <si>
    <t>M4OA595EAY</t>
  </si>
  <si>
    <t>M4OA595EJK1081</t>
  </si>
  <si>
    <t>M4OA595EJK</t>
  </si>
  <si>
    <t>PART BUDDHA SS RAGLAN TEE</t>
  </si>
  <si>
    <t>BLK / RUBY RED</t>
  </si>
  <si>
    <t>M4OA595EJK1779</t>
  </si>
  <si>
    <t>WHITE / TRUE NVY</t>
  </si>
  <si>
    <t>M4OB257EKE1836</t>
  </si>
  <si>
    <t>M4OB257EKE</t>
  </si>
  <si>
    <t>SQUARE FOOTBALL SLEEVE SS CREW</t>
  </si>
  <si>
    <t>M4OB257EKE4031</t>
  </si>
  <si>
    <t>TR NAVY / CANARY</t>
  </si>
  <si>
    <t>M4OB417EKF1700</t>
  </si>
  <si>
    <t>M4OB417EKF</t>
  </si>
  <si>
    <t>PART BUDDHA TNK SCOOP HEM TANK</t>
  </si>
  <si>
    <t>M4OB417YC11700</t>
  </si>
  <si>
    <t>M4OB417ZC21011</t>
  </si>
  <si>
    <t>M4OB419YB71001</t>
  </si>
  <si>
    <t>M4OB419YC11001</t>
  </si>
  <si>
    <t>M4OB419YC11700</t>
  </si>
  <si>
    <t>M4OB501UM11700</t>
  </si>
  <si>
    <t>M4OB501UM14100</t>
  </si>
  <si>
    <t>M4OH024EBA1708</t>
  </si>
  <si>
    <t>M4OH024EBA</t>
  </si>
  <si>
    <t>MEGA LOGO LS FOOTBALL HENLEY</t>
  </si>
  <si>
    <t>M4OH025EJI1001</t>
  </si>
  <si>
    <t>M4OH025EJI</t>
  </si>
  <si>
    <t>DRIPS LS ELONGATED CREW NECK</t>
  </si>
  <si>
    <t>M4OH025EJI1700</t>
  </si>
  <si>
    <t>M4OW58EDO1700</t>
  </si>
  <si>
    <t>M4OW58EDO</t>
  </si>
  <si>
    <t>BIG CHIEF V NECK TEE</t>
  </si>
  <si>
    <t>M4OW58KT91001</t>
  </si>
  <si>
    <t>M4OW58KT9</t>
  </si>
  <si>
    <t>CLASSIC LOGO SS VNECK TEE</t>
  </si>
  <si>
    <t>M4OW58KT94100</t>
  </si>
  <si>
    <t>M4OW58Y091700</t>
  </si>
  <si>
    <t>M4OW58Y094100</t>
  </si>
  <si>
    <t>M4OW58YB81001</t>
  </si>
  <si>
    <t>M4OW58YB81700</t>
  </si>
  <si>
    <t>M4OW58ZA01001</t>
  </si>
  <si>
    <t>M4OW58ZA0</t>
  </si>
  <si>
    <t>CLSSIC HORSESHOE LOGO V NECK</t>
  </si>
  <si>
    <t>M4OW58ZA01700</t>
  </si>
  <si>
    <t>M4OW58ZA03071</t>
  </si>
  <si>
    <t>M4OW58ZA08000</t>
  </si>
  <si>
    <t>BRNT ORNGE</t>
  </si>
  <si>
    <t>M4OW58ZA09614</t>
  </si>
  <si>
    <t>M4PA426IK1035</t>
  </si>
  <si>
    <t>M4PA426IK2519</t>
  </si>
  <si>
    <t>M4PA806LP44908</t>
  </si>
  <si>
    <t>M4TA746IB24789</t>
  </si>
  <si>
    <t>M4TA746IB28409</t>
  </si>
  <si>
    <t>M4UBV92VR3520</t>
  </si>
  <si>
    <t>M4WA760VR4875</t>
  </si>
  <si>
    <t>M4Z7G40IU16001</t>
  </si>
  <si>
    <t>M4Z7G40IU1</t>
  </si>
  <si>
    <t>BANNER BUDDHA HOODIE</t>
  </si>
  <si>
    <t>DK RED</t>
  </si>
  <si>
    <t>M50A805KI0BNJL</t>
  </si>
  <si>
    <t>M52858NSY9CLYD</t>
  </si>
  <si>
    <t>M52858NSZ0CJDD</t>
  </si>
  <si>
    <t>M52858NSZ1CIXD</t>
  </si>
  <si>
    <t>M52858NSZ2CIXD</t>
  </si>
  <si>
    <t>M52858SY9CLYD</t>
  </si>
  <si>
    <t>M52858SZ2CHRM</t>
  </si>
  <si>
    <t>M52859NSY9CLYD</t>
  </si>
  <si>
    <t>M52859NSZ1CIXD</t>
  </si>
  <si>
    <t>M52A799SZ0CLYD</t>
  </si>
  <si>
    <t>M52E08NSZ0CLYD</t>
  </si>
  <si>
    <t>M52E08NSZ1CIXD</t>
  </si>
  <si>
    <t>M52E08NSZ8CMLM</t>
  </si>
  <si>
    <t>M52J19NSZ2CHRM</t>
  </si>
  <si>
    <t>M52J19NSZ8CMLM</t>
  </si>
  <si>
    <t>M53A065FL01100</t>
  </si>
  <si>
    <t>M53A065FL01398</t>
  </si>
  <si>
    <t>M53A065FL02170</t>
  </si>
  <si>
    <t>M53A739IS71001</t>
  </si>
  <si>
    <t>M53A739IS73518</t>
  </si>
  <si>
    <t>M53A739IS74786</t>
  </si>
  <si>
    <t>M54Y59FN3BAAD</t>
  </si>
  <si>
    <t>M55A349GQ9AZPL</t>
  </si>
  <si>
    <t>M55A349IF5BFVL</t>
  </si>
  <si>
    <t>M55A350IF5BFXM</t>
  </si>
  <si>
    <t>M55A365IF6BGDL</t>
  </si>
  <si>
    <t>M55A473GQ9AZQL</t>
  </si>
  <si>
    <t>M55A473IF5BFVL</t>
  </si>
  <si>
    <t>M55J19OIF5BFVL</t>
  </si>
  <si>
    <t>M55J19OIF5BFXM</t>
  </si>
  <si>
    <t>M55J19OIF6BFZM</t>
  </si>
  <si>
    <t>M55T73GQ9AZRL</t>
  </si>
  <si>
    <t>M58800FC61821</t>
  </si>
  <si>
    <t>M58800TS1873</t>
  </si>
  <si>
    <t>M58858H741177</t>
  </si>
  <si>
    <t>M58859AQ91277</t>
  </si>
  <si>
    <t>M58859AQ92155</t>
  </si>
  <si>
    <t>M58859AQ92640</t>
  </si>
  <si>
    <t>M58859CA41821</t>
  </si>
  <si>
    <t>M58859CD11821</t>
  </si>
  <si>
    <t>M58859CW51289</t>
  </si>
  <si>
    <t>M58859CW52649</t>
  </si>
  <si>
    <t>M58859CW53490</t>
  </si>
  <si>
    <t>M58859FC61821</t>
  </si>
  <si>
    <t>M58859H743338</t>
  </si>
  <si>
    <t>M58859M191352</t>
  </si>
  <si>
    <t>M58859M192507</t>
  </si>
  <si>
    <t>M58859NBT21176</t>
  </si>
  <si>
    <t>M58859NLO31001</t>
  </si>
  <si>
    <t>M58859NLO31493</t>
  </si>
  <si>
    <t>M58859NLO32005</t>
  </si>
  <si>
    <t>M58859NLO33273</t>
  </si>
  <si>
    <t>M58859NMU91821</t>
  </si>
  <si>
    <t>M58859QD1874</t>
  </si>
  <si>
    <t>M58859TST1873</t>
  </si>
  <si>
    <t>M58859Y131536</t>
  </si>
  <si>
    <t>M58859Y132639</t>
  </si>
  <si>
    <t>M58859Y133242</t>
  </si>
  <si>
    <t>M58859Y134617</t>
  </si>
  <si>
    <t>M58859Y134618</t>
  </si>
  <si>
    <t>M58859Y137350</t>
  </si>
  <si>
    <t>M58859Y138341</t>
  </si>
  <si>
    <t>M58861M191352</t>
  </si>
  <si>
    <t>M58861M192507</t>
  </si>
  <si>
    <t>M58B088NA6BXYM</t>
  </si>
  <si>
    <t>M58C078MU91821</t>
  </si>
  <si>
    <t>M58C087MU91821</t>
  </si>
  <si>
    <t>M58C087MU9</t>
  </si>
  <si>
    <t>RICKY SHORT W FLAP CORE</t>
  </si>
  <si>
    <t>M58C126QW91304</t>
  </si>
  <si>
    <t>M58C126QW94146</t>
  </si>
  <si>
    <t>M58C126QW96497</t>
  </si>
  <si>
    <t>M58C126QW97026</t>
  </si>
  <si>
    <t>M58E08M193326</t>
  </si>
  <si>
    <t>M58E08NMU91821</t>
  </si>
  <si>
    <t>M58H54NMU91821</t>
  </si>
  <si>
    <t>M58J19AQ91277</t>
  </si>
  <si>
    <t>M58J19AQ92155</t>
  </si>
  <si>
    <t>M58J19AQ92640</t>
  </si>
  <si>
    <t>M58J19CD11821</t>
  </si>
  <si>
    <t>M58J19CW51289</t>
  </si>
  <si>
    <t>M58J19CW52649</t>
  </si>
  <si>
    <t>M58J19CW53490</t>
  </si>
  <si>
    <t>M58J19NLO31493</t>
  </si>
  <si>
    <t>M58J19NLO33273</t>
  </si>
  <si>
    <t>M58J19NMU91821</t>
  </si>
  <si>
    <t>M58J19SCW51001</t>
  </si>
  <si>
    <t>M58J19SCW56428</t>
  </si>
  <si>
    <t>M58J19Y131180</t>
  </si>
  <si>
    <t>M58J19Y131181</t>
  </si>
  <si>
    <t>M58J19Y131536</t>
  </si>
  <si>
    <t>M58J19Y132217</t>
  </si>
  <si>
    <t>M58J19Y132344</t>
  </si>
  <si>
    <t>M58J19Y132639</t>
  </si>
  <si>
    <t>M58J19Y133229</t>
  </si>
  <si>
    <t>M58J19Y133242</t>
  </si>
  <si>
    <t>M58J19Y134292</t>
  </si>
  <si>
    <t>M58J19Y134472</t>
  </si>
  <si>
    <t>M58J19Y134617</t>
  </si>
  <si>
    <t>M58J19Y134618</t>
  </si>
  <si>
    <t>M58J19Y135072</t>
  </si>
  <si>
    <t>M58J19Y135073</t>
  </si>
  <si>
    <t>M58J19Y136248</t>
  </si>
  <si>
    <t>M58J19Y137019</t>
  </si>
  <si>
    <t>M58J19Y137350</t>
  </si>
  <si>
    <t>M58J19Y138341</t>
  </si>
  <si>
    <t>M58J60FC61821</t>
  </si>
  <si>
    <t>M58J60NMU91821</t>
  </si>
  <si>
    <t>M58L29Y91882</t>
  </si>
  <si>
    <t>M58L81H741177</t>
  </si>
  <si>
    <t>M58L81M191352</t>
  </si>
  <si>
    <t>M58L81M192507</t>
  </si>
  <si>
    <t>M58L81TS1873</t>
  </si>
  <si>
    <t>M58L82TS1873</t>
  </si>
  <si>
    <t>M58P31N042507</t>
  </si>
  <si>
    <t>M58P32N041743</t>
  </si>
  <si>
    <t>M58P32N042507</t>
  </si>
  <si>
    <t>M58P32N043326</t>
  </si>
  <si>
    <t>M58P58N042507</t>
  </si>
  <si>
    <t>M58R62LO31001</t>
  </si>
  <si>
    <t>M58R62LO32005</t>
  </si>
  <si>
    <t>M58R62NMU91821</t>
  </si>
  <si>
    <t>M58R62Y131536</t>
  </si>
  <si>
    <t>M58R62Y132639</t>
  </si>
  <si>
    <t>M58R62Y133242</t>
  </si>
  <si>
    <t>M58R62Y134617</t>
  </si>
  <si>
    <t>M58R62Y134618</t>
  </si>
  <si>
    <t>M58R62Y137350</t>
  </si>
  <si>
    <t>M58R62Y138341</t>
  </si>
  <si>
    <t>M5AB223SE21211</t>
  </si>
  <si>
    <t>M5AB223SE2</t>
  </si>
  <si>
    <t>LS HENLEY EMBROIDERY LOGO</t>
  </si>
  <si>
    <t>BIRCH</t>
  </si>
  <si>
    <t>M5AB223SE24100</t>
  </si>
  <si>
    <t>M5AB223SE26000</t>
  </si>
  <si>
    <t>M5C859OIL6BGAM</t>
  </si>
  <si>
    <t>M5CJ19OIL6BGAM</t>
  </si>
  <si>
    <t>M5CJ60OIL6BGAM</t>
  </si>
  <si>
    <t>M5DA372VR1745</t>
  </si>
  <si>
    <t>M5DA372VR4857</t>
  </si>
  <si>
    <t>M5DA372VR6439</t>
  </si>
  <si>
    <t>M5EA349IP21430</t>
  </si>
  <si>
    <t>M5EA350IP21430</t>
  </si>
  <si>
    <t>M5GA434IM81842</t>
  </si>
  <si>
    <t>M5IA451HK71505</t>
  </si>
  <si>
    <t>M5JA581IK2722</t>
  </si>
  <si>
    <t>M5JA581IK6439</t>
  </si>
  <si>
    <t>M5KB004IK1491</t>
  </si>
  <si>
    <t>M5KB004IK1745</t>
  </si>
  <si>
    <t>M5KB004IK4886</t>
  </si>
  <si>
    <t>M5KB025KG61035</t>
  </si>
  <si>
    <t>M5KB025KG61746</t>
  </si>
  <si>
    <t>M5KB025KG62381</t>
  </si>
  <si>
    <t>M5KB025KG62704</t>
  </si>
  <si>
    <t>M5KB025KG66006</t>
  </si>
  <si>
    <t>M5KB181NL51024</t>
  </si>
  <si>
    <t>M5KBX17VY6380</t>
  </si>
  <si>
    <t>M5LA580VR4856</t>
  </si>
  <si>
    <t>M5MA282VR4749</t>
  </si>
  <si>
    <t>M5NB005KZ91484</t>
  </si>
  <si>
    <t>M5NB006IK1484</t>
  </si>
  <si>
    <t>M5NB018LA04892</t>
  </si>
  <si>
    <t>M5NB018LA06002</t>
  </si>
  <si>
    <t>M5NBX17VY4748</t>
  </si>
  <si>
    <t>M5NBX17VY6440</t>
  </si>
  <si>
    <t>M5NBX17VY8406</t>
  </si>
  <si>
    <t>M5O8U24JV71501</t>
  </si>
  <si>
    <t>M5O8U24JV7</t>
  </si>
  <si>
    <t>M5O8U24XZ61501</t>
  </si>
  <si>
    <t>M5O8U24YD71501</t>
  </si>
  <si>
    <t>M5O8U24YD81501</t>
  </si>
  <si>
    <t>M5O8U24YP21501</t>
  </si>
  <si>
    <t>M5O8U24YP2</t>
  </si>
  <si>
    <t>M5O8Z65EAV1213</t>
  </si>
  <si>
    <t>M5O8Z65EAV</t>
  </si>
  <si>
    <t>SKT PRK / BLACK</t>
  </si>
  <si>
    <t>M5OB417YC01501</t>
  </si>
  <si>
    <t>M5OB417YC11501</t>
  </si>
  <si>
    <t>M5OB419YB71501</t>
  </si>
  <si>
    <t>M5OH024EBA1427</t>
  </si>
  <si>
    <t>M5OH024EBA</t>
  </si>
  <si>
    <t>HTHR GRY / TRUE NVY</t>
  </si>
  <si>
    <t>M5PA566IB21439</t>
  </si>
  <si>
    <t>M5QA451KW13476</t>
  </si>
  <si>
    <t>M5QA451KW41035</t>
  </si>
  <si>
    <t>M5QA451KW41746</t>
  </si>
  <si>
    <t>M5QA451KW81035</t>
  </si>
  <si>
    <t>M5QA451KY11484</t>
  </si>
  <si>
    <t>M5QA451KY13084</t>
  </si>
  <si>
    <t>M5QA451KY24912</t>
  </si>
  <si>
    <t>M5QA451NU51035</t>
  </si>
  <si>
    <t>M5QA451NU51486</t>
  </si>
  <si>
    <t>M5QA574IK4169</t>
  </si>
  <si>
    <t>M5RA585HL04757</t>
  </si>
  <si>
    <t>M5SA585HL02722</t>
  </si>
  <si>
    <t>M5SB017EG3537</t>
  </si>
  <si>
    <t>M5TA575HQ61436</t>
  </si>
  <si>
    <t>M5TA576CBO1747</t>
  </si>
  <si>
    <t>M5TA576CBO3484</t>
  </si>
  <si>
    <t>M5TA576CBO6310</t>
  </si>
  <si>
    <t>M5UA577HQ81859</t>
  </si>
  <si>
    <t>M5UA578KA51859</t>
  </si>
  <si>
    <t>M5VA571HL14761</t>
  </si>
  <si>
    <t>M5VA571HL16443</t>
  </si>
  <si>
    <t>M5VB007EH1024</t>
  </si>
  <si>
    <t>M5VB007EH2379</t>
  </si>
  <si>
    <t>M5WA566IB23502</t>
  </si>
  <si>
    <t>M5XA301GK71505</t>
  </si>
  <si>
    <t>M5XA301GK74750</t>
  </si>
  <si>
    <t>M5XA301GK77118</t>
  </si>
  <si>
    <t>M5XA423GK71505</t>
  </si>
  <si>
    <t>M5XA423GK72661</t>
  </si>
  <si>
    <t>M5XA423GK74750</t>
  </si>
  <si>
    <t>M5XA423GK77118</t>
  </si>
  <si>
    <t>M5ZB010VR4888</t>
  </si>
  <si>
    <t>M60B019EG1024</t>
  </si>
  <si>
    <t>M60B186EG1024</t>
  </si>
  <si>
    <t>M648036C063152</t>
  </si>
  <si>
    <t>M648036C114059</t>
  </si>
  <si>
    <t>M648036D811001</t>
  </si>
  <si>
    <t>M6BB010VR1001</t>
  </si>
  <si>
    <t>M6CB011VR6096</t>
  </si>
  <si>
    <t>M6E859NIQ62692</t>
  </si>
  <si>
    <t>M6EH051EGV1213</t>
  </si>
  <si>
    <t>M6EH051EGV</t>
  </si>
  <si>
    <t>COLLEGIATE VARSITY JACKET</t>
  </si>
  <si>
    <t>BTL GRY / BLK</t>
  </si>
  <si>
    <t>M6EH051EGV4877</t>
  </si>
  <si>
    <t>NVY / BIRCH</t>
  </si>
  <si>
    <t>M6EH051EJN1079</t>
  </si>
  <si>
    <t>M6EH051EJN</t>
  </si>
  <si>
    <t>SPRCRSS VRSTY LS VRSTY JACKET</t>
  </si>
  <si>
    <t>BLACK / BIRCH</t>
  </si>
  <si>
    <t>M6EH051EJN4920</t>
  </si>
  <si>
    <t>TR NVY / RBY RED</t>
  </si>
  <si>
    <t>M6EJ19NIQ62692</t>
  </si>
  <si>
    <t>M6FA602IS0BLQM</t>
  </si>
  <si>
    <t>M6GA753IB21001</t>
  </si>
  <si>
    <t>M6GA753IB22373</t>
  </si>
  <si>
    <t>M6GA754VR2373</t>
  </si>
  <si>
    <t>M6IB013VR4890</t>
  </si>
  <si>
    <t>M6JB012VR1744</t>
  </si>
  <si>
    <t>M6MB012VR4886</t>
  </si>
  <si>
    <t>M6RA638VR4891</t>
  </si>
  <si>
    <t>M6TA748IB21461</t>
  </si>
  <si>
    <t>M6TA748IB26480</t>
  </si>
  <si>
    <t>M6UA756VR4871</t>
  </si>
  <si>
    <t>M6VA638VR4789</t>
  </si>
  <si>
    <t>M6WA765EG1001</t>
  </si>
  <si>
    <t>M6WA765EG6479</t>
  </si>
  <si>
    <t>M6XA761IK1001</t>
  </si>
  <si>
    <t>M6YB020VR1024</t>
  </si>
  <si>
    <t>M7DBZ67VR4759</t>
  </si>
  <si>
    <t>M7E859NIQ73515</t>
  </si>
  <si>
    <t>M7EJ19NIQ73515</t>
  </si>
  <si>
    <t>M7F859EL1323</t>
  </si>
  <si>
    <t>M7F859EL6481</t>
  </si>
  <si>
    <t>M7F859MI71001</t>
  </si>
  <si>
    <t>M7F859MR34100</t>
  </si>
  <si>
    <t>M7FA351IS81001</t>
  </si>
  <si>
    <t>M7FA351IS82371</t>
  </si>
  <si>
    <t>M7FA351IS82372</t>
  </si>
  <si>
    <t>M7FA351IS86472</t>
  </si>
  <si>
    <t>M7FA473IS81001</t>
  </si>
  <si>
    <t>M7FA473IS82371</t>
  </si>
  <si>
    <t>M7FA473IS82372</t>
  </si>
  <si>
    <t>M7FA473IS86472</t>
  </si>
  <si>
    <t>M7FA995IS81001</t>
  </si>
  <si>
    <t>M7FA995IS82371</t>
  </si>
  <si>
    <t>M7FA995IS82372</t>
  </si>
  <si>
    <t>M7FA995IS86472</t>
  </si>
  <si>
    <t>M7KB014EG1001</t>
  </si>
  <si>
    <t>M7KB014EG1492</t>
  </si>
  <si>
    <t>M7LA400KG61001</t>
  </si>
  <si>
    <t>M7LA400KG61200</t>
  </si>
  <si>
    <t>M7LA400KG64031</t>
  </si>
  <si>
    <t>M7MB022VR2000</t>
  </si>
  <si>
    <t>M7MB022VR6387</t>
  </si>
  <si>
    <t>M7NB023VR1001</t>
  </si>
  <si>
    <t>M7PB024VR2389</t>
  </si>
  <si>
    <t>M7PB024VR6387</t>
  </si>
  <si>
    <t>M7TA750JO11469</t>
  </si>
  <si>
    <t>M7TA750JO14048</t>
  </si>
  <si>
    <t>M7TA752IK1469</t>
  </si>
  <si>
    <t>M7TA755IB21001</t>
  </si>
  <si>
    <t>M7TB027LA14912</t>
  </si>
  <si>
    <t>M7UBV92VR4872</t>
  </si>
  <si>
    <t>M7VA638VR1466</t>
  </si>
  <si>
    <t>M7VA765EG1485</t>
  </si>
  <si>
    <t>M7VA765EG4082</t>
  </si>
  <si>
    <t>M7YB028EG4913</t>
  </si>
  <si>
    <t>M800NRW9CIUM</t>
  </si>
  <si>
    <t>M800NRW9CIWD</t>
  </si>
  <si>
    <t>M800NRX2CIKM</t>
  </si>
  <si>
    <t>M800NRX6CIYM</t>
  </si>
  <si>
    <t>M800NTW5CQRD</t>
  </si>
  <si>
    <t>M800NUQ8CPPM</t>
  </si>
  <si>
    <t>M800NXL7DATD</t>
  </si>
  <si>
    <t>M803NYL4DFYD</t>
  </si>
  <si>
    <t>M803NYN0DFSM</t>
  </si>
  <si>
    <t>M858NTW8CPPM</t>
  </si>
  <si>
    <t>M858NTW8CPRD</t>
  </si>
  <si>
    <t>M858NTW8CPSM</t>
  </si>
  <si>
    <t>M858NVR1CVVD</t>
  </si>
  <si>
    <t>M858NVR1CVWL</t>
  </si>
  <si>
    <t>M858NWV5DAVL</t>
  </si>
  <si>
    <t>M858NXL2CVIM</t>
  </si>
  <si>
    <t>M858NZU9DQCM</t>
  </si>
  <si>
    <t>M858NZU9</t>
  </si>
  <si>
    <t>DQCM</t>
  </si>
  <si>
    <t>DQCM REBELLION</t>
  </si>
  <si>
    <t>M859CZP8DIOM</t>
  </si>
  <si>
    <t>M859CZP8DIPD</t>
  </si>
  <si>
    <t>M859NAACSGDB</t>
  </si>
  <si>
    <t>M859NAAC</t>
  </si>
  <si>
    <t>M859NAAJDPSL</t>
  </si>
  <si>
    <t>M859NAAJ</t>
  </si>
  <si>
    <t>DPSL</t>
  </si>
  <si>
    <t>DPSL PALE HORIZN</t>
  </si>
  <si>
    <t>M859NAAQDPRM</t>
  </si>
  <si>
    <t>M859NAAQ</t>
  </si>
  <si>
    <t>DPRM</t>
  </si>
  <si>
    <t>DPRM CAPE TOWN</t>
  </si>
  <si>
    <t>M859NAAS3443</t>
  </si>
  <si>
    <t>M859NAAS</t>
  </si>
  <si>
    <t>DMC CAMO</t>
  </si>
  <si>
    <t>M859NAFFDPXM</t>
  </si>
  <si>
    <t>M859NAFF</t>
  </si>
  <si>
    <t>DPXM</t>
  </si>
  <si>
    <t>DPXM WORN TIN</t>
  </si>
  <si>
    <t>M859NJD21200</t>
  </si>
  <si>
    <t>M859NJD22500</t>
  </si>
  <si>
    <t>M859NJD24100</t>
  </si>
  <si>
    <t>M859NRW4CINM</t>
  </si>
  <si>
    <t>M859NRW7CIQD</t>
  </si>
  <si>
    <t>M859NRW7CIRM</t>
  </si>
  <si>
    <t>M859NRW7CIWD</t>
  </si>
  <si>
    <t>M859NRX2CIKM</t>
  </si>
  <si>
    <t>M859NRY0BMFD</t>
  </si>
  <si>
    <t>M859NRY0CLOD</t>
  </si>
  <si>
    <t>M859NRY5CLQM</t>
  </si>
  <si>
    <t>M859NRY6CJEL</t>
  </si>
  <si>
    <t>M859NSA0CJKL</t>
  </si>
  <si>
    <t>M859NSA2AYJD</t>
  </si>
  <si>
    <t>M859NSA2CLSM</t>
  </si>
  <si>
    <t>M859NSA2CMEM</t>
  </si>
  <si>
    <t>M859NSB4CFHM</t>
  </si>
  <si>
    <t>M859NTA2CFHM</t>
  </si>
  <si>
    <t>M859NTS4CIRM</t>
  </si>
  <si>
    <t>M859NTS4CQKM</t>
  </si>
  <si>
    <t>M859NTS4CQOM</t>
  </si>
  <si>
    <t>M859NTU1CQGD</t>
  </si>
  <si>
    <t>M859NTU4CQDD</t>
  </si>
  <si>
    <t>M859NTW5CQRD</t>
  </si>
  <si>
    <t>M859NTW9CPTD</t>
  </si>
  <si>
    <t>M859NTX81001</t>
  </si>
  <si>
    <t>M859NTX82000</t>
  </si>
  <si>
    <t>M859NTX84000</t>
  </si>
  <si>
    <t>ACE/ VNTGE GLD CND</t>
  </si>
  <si>
    <t>M859NTX84100</t>
  </si>
  <si>
    <t>M859NTX86000</t>
  </si>
  <si>
    <t>M859NTX86001</t>
  </si>
  <si>
    <t>CHILI PEPPER/ BLK CND</t>
  </si>
  <si>
    <t>M859NTY7CPYD</t>
  </si>
  <si>
    <t>M859NTZ1CPZD</t>
  </si>
  <si>
    <t>M859NU06CPPM</t>
  </si>
  <si>
    <t>M859NUN9CIMM</t>
  </si>
  <si>
    <t>M859NUP2CRAD</t>
  </si>
  <si>
    <t>M859NUP3CJCD</t>
  </si>
  <si>
    <t>M859NVO6CVIM</t>
  </si>
  <si>
    <t>M859NVO6RCVIM</t>
  </si>
  <si>
    <t>M859NVO9CVGM</t>
  </si>
  <si>
    <t>M859NVP4CVLD</t>
  </si>
  <si>
    <t>M859NVP6CVQD</t>
  </si>
  <si>
    <t>M859NVQ6CVTM</t>
  </si>
  <si>
    <t>M859NVS1CWCL</t>
  </si>
  <si>
    <t>M859NVS2CVYL</t>
  </si>
  <si>
    <t>M859NVS2CWBM</t>
  </si>
  <si>
    <t>M859NVY9CMSD</t>
  </si>
  <si>
    <t>M859NVZ4BUJD</t>
  </si>
  <si>
    <t>M859NWV2DCAL</t>
  </si>
  <si>
    <t>M859NWV2DCBD</t>
  </si>
  <si>
    <t>M859NWV5DAVL</t>
  </si>
  <si>
    <t>M859NWV7DCDL</t>
  </si>
  <si>
    <t>M859NWY1DCJD</t>
  </si>
  <si>
    <t>M859NWY9DCHM</t>
  </si>
  <si>
    <t>M859NWZ4DCND</t>
  </si>
  <si>
    <t>M859NWZ6DCRL</t>
  </si>
  <si>
    <t>M859NWZ8DCRL</t>
  </si>
  <si>
    <t>M859NXK22V</t>
  </si>
  <si>
    <t>M859NXK23M</t>
  </si>
  <si>
    <t>M859NXL2CVIM</t>
  </si>
  <si>
    <t>M859NXL2DOHM</t>
  </si>
  <si>
    <t>DOHM</t>
  </si>
  <si>
    <t>DOHM P FLAGSTONE</t>
  </si>
  <si>
    <t>M859NXL3DATD</t>
  </si>
  <si>
    <t>M859NXL3RDATD</t>
  </si>
  <si>
    <t>M859NXL6CVIM</t>
  </si>
  <si>
    <t>M859NXP1CVUL</t>
  </si>
  <si>
    <t>M859NYJ5DFKD</t>
  </si>
  <si>
    <t>M859NYK2DFPM</t>
  </si>
  <si>
    <t>M859NZB0DGHL</t>
  </si>
  <si>
    <t>M859NZB12S</t>
  </si>
  <si>
    <t>M859NZK51100</t>
  </si>
  <si>
    <t>M859NZK5</t>
  </si>
  <si>
    <t>DIH CHARCOAL</t>
  </si>
  <si>
    <t>M859NZK56000</t>
  </si>
  <si>
    <t>DIH RED</t>
  </si>
  <si>
    <t>M859NZK94000</t>
  </si>
  <si>
    <t>M859NZK9</t>
  </si>
  <si>
    <t>RICKY W  FLAP  BIG T</t>
  </si>
  <si>
    <t>DII ACE</t>
  </si>
  <si>
    <t>M859NZK96497</t>
  </si>
  <si>
    <t>DII BORDEAUX</t>
  </si>
  <si>
    <t>M859NZM3DKAD</t>
  </si>
  <si>
    <t>M859NZM3</t>
  </si>
  <si>
    <t>DKAD</t>
  </si>
  <si>
    <t>DKAD CLOUD COVER</t>
  </si>
  <si>
    <t>M859NZM4DJZD</t>
  </si>
  <si>
    <t>M859NZM4</t>
  </si>
  <si>
    <t>DJZD</t>
  </si>
  <si>
    <t>DJZD BK STRT RBL</t>
  </si>
  <si>
    <t>M859NZN0DKBD</t>
  </si>
  <si>
    <t>M859NZN0</t>
  </si>
  <si>
    <t>RICKY W  FLAP SE</t>
  </si>
  <si>
    <t>DKBD</t>
  </si>
  <si>
    <t>DKBD MNDED WRIOR</t>
  </si>
  <si>
    <t>M859NZN3DKLM</t>
  </si>
  <si>
    <t>M859NZN3</t>
  </si>
  <si>
    <t>M859NZN7DJVL</t>
  </si>
  <si>
    <t>M859NZN7</t>
  </si>
  <si>
    <t>DJVL</t>
  </si>
  <si>
    <t>DJVL ROUCH CNCRTE</t>
  </si>
  <si>
    <t>M859NZN9DGDL</t>
  </si>
  <si>
    <t>M859NZN9</t>
  </si>
  <si>
    <t>M859NZO3BOCM</t>
  </si>
  <si>
    <t>M859NZO3</t>
  </si>
  <si>
    <t>BOCM</t>
  </si>
  <si>
    <t>BOCM MNERL MRBLE</t>
  </si>
  <si>
    <t>M859NZO7DKGM</t>
  </si>
  <si>
    <t>M859NZO7</t>
  </si>
  <si>
    <t>DKGM</t>
  </si>
  <si>
    <t>DKGM BRAWL</t>
  </si>
  <si>
    <t>M859NZP1DKQL</t>
  </si>
  <si>
    <t>M859NZP1</t>
  </si>
  <si>
    <t>DKQL</t>
  </si>
  <si>
    <t>DKQL OPTIC CLASH</t>
  </si>
  <si>
    <t>M859NZQ5DJXM</t>
  </si>
  <si>
    <t>M859NZQ5</t>
  </si>
  <si>
    <t>DJXM</t>
  </si>
  <si>
    <t>DJXM RED INFERNO</t>
  </si>
  <si>
    <t>M859NZS22S</t>
  </si>
  <si>
    <t>M859NZS2</t>
  </si>
  <si>
    <t>M859NZT1DPQD</t>
  </si>
  <si>
    <t>M859NZT1</t>
  </si>
  <si>
    <t>DPQD</t>
  </si>
  <si>
    <t>DPQD INDIGO WTRS</t>
  </si>
  <si>
    <t>M859NZT2DPSL</t>
  </si>
  <si>
    <t>M859NZT2</t>
  </si>
  <si>
    <t>M859NZT6DPVD</t>
  </si>
  <si>
    <t>M859NZT6</t>
  </si>
  <si>
    <t>DPVD</t>
  </si>
  <si>
    <t>DPVD MNDED FRGHT</t>
  </si>
  <si>
    <t>M859NZT7DPOD</t>
  </si>
  <si>
    <t>M859NZT7</t>
  </si>
  <si>
    <t>DPOD</t>
  </si>
  <si>
    <t>DPOD DK OOPTIC</t>
  </si>
  <si>
    <t>M859NZT9DPTD</t>
  </si>
  <si>
    <t>M859NZT9</t>
  </si>
  <si>
    <t>DPTD</t>
  </si>
  <si>
    <t>DPTD SALTWATER</t>
  </si>
  <si>
    <t>M859NZU7DRXD</t>
  </si>
  <si>
    <t>M859NZU7</t>
  </si>
  <si>
    <t>DRXD</t>
  </si>
  <si>
    <t>DRXD BLK DSRT PL</t>
  </si>
  <si>
    <t>M859NZU8DQBL</t>
  </si>
  <si>
    <t>M859NZU8</t>
  </si>
  <si>
    <t>DQBL</t>
  </si>
  <si>
    <t>DQBL LIGHT RAIL</t>
  </si>
  <si>
    <t>M859NZV9DQKM</t>
  </si>
  <si>
    <t>M859NZV9</t>
  </si>
  <si>
    <t>DQKM</t>
  </si>
  <si>
    <t>DQKM BLUE METAL</t>
  </si>
  <si>
    <t>M859NZW8DRZL</t>
  </si>
  <si>
    <t>M859NZW8</t>
  </si>
  <si>
    <t>DRZL</t>
  </si>
  <si>
    <t>DRZL HIDDEN REEF</t>
  </si>
  <si>
    <t>M859NZX1DQQL</t>
  </si>
  <si>
    <t>M859NZX1</t>
  </si>
  <si>
    <t>RICKY WITH FLAP</t>
  </si>
  <si>
    <t>DQQL</t>
  </si>
  <si>
    <t>DQQL WHITE MOON</t>
  </si>
  <si>
    <t>M859NZX6DQSL</t>
  </si>
  <si>
    <t>M859NZX6</t>
  </si>
  <si>
    <t>DQSL</t>
  </si>
  <si>
    <t>DQSL WHITE DUNES</t>
  </si>
  <si>
    <t>M859NZX7DQUD</t>
  </si>
  <si>
    <t>M859NZX7</t>
  </si>
  <si>
    <t>DQUD</t>
  </si>
  <si>
    <t>DQUD INDIGO FOG</t>
  </si>
  <si>
    <t>M859NZY81001</t>
  </si>
  <si>
    <t>M859NZY8</t>
  </si>
  <si>
    <t>DNW BLACK</t>
  </si>
  <si>
    <t>M859NZY81700</t>
  </si>
  <si>
    <t>DNW WHITE</t>
  </si>
  <si>
    <t>M859NZY86000</t>
  </si>
  <si>
    <t>DII RUBY RED</t>
  </si>
  <si>
    <t>M8AA452HI36439</t>
  </si>
  <si>
    <t>M8AA452HI41505</t>
  </si>
  <si>
    <t>M8AA452HJ21745</t>
  </si>
  <si>
    <t>M8D859NIQ1BLYD</t>
  </si>
  <si>
    <t>M8D859NIQ1BLZM</t>
  </si>
  <si>
    <t>M8DJ60NIQ1BLYD</t>
  </si>
  <si>
    <t>M8DJ60NIQ1BLZM</t>
  </si>
  <si>
    <t>M8TA751IB24681</t>
  </si>
  <si>
    <t>M8TA751IB26486</t>
  </si>
  <si>
    <t>M8TB008IK1024</t>
  </si>
  <si>
    <t>M8TB008IK4887</t>
  </si>
  <si>
    <t>M8TB009IK4887</t>
  </si>
  <si>
    <t>M8UA638VR4873</t>
  </si>
  <si>
    <t>M8VA756VR2374</t>
  </si>
  <si>
    <t>M9ABV92VR4858</t>
  </si>
  <si>
    <t>M9BC150ABR4100</t>
  </si>
  <si>
    <t>M9BC150CPL4100</t>
  </si>
  <si>
    <t>M9BC150NC24100</t>
  </si>
  <si>
    <t>M9DA473IQ94865</t>
  </si>
  <si>
    <t>M9DA473IR11001</t>
  </si>
  <si>
    <t>M9DA473IR24787</t>
  </si>
  <si>
    <t>M9DA473LK62696</t>
  </si>
  <si>
    <t>M9DT73KB31001</t>
  </si>
  <si>
    <t>M9DT73KB42696</t>
  </si>
  <si>
    <t>M9EA804KF401</t>
  </si>
  <si>
    <t>M9EA804KF4BQBM</t>
  </si>
  <si>
    <t>M9FA806IT01001</t>
  </si>
  <si>
    <t>M9FA806IT01460</t>
  </si>
  <si>
    <t>M9FA806IT06473</t>
  </si>
  <si>
    <t>M9FA886IK1001</t>
  </si>
  <si>
    <t>M9FA886IK1460</t>
  </si>
  <si>
    <t>M9FA886IK6473</t>
  </si>
  <si>
    <t>M9FA886IT01001</t>
  </si>
  <si>
    <t>M9FA886IT01460</t>
  </si>
  <si>
    <t>M9FA886IT06473</t>
  </si>
  <si>
    <t>M9FB063LP61700</t>
  </si>
  <si>
    <t>M9FB063NQ91024</t>
  </si>
  <si>
    <t>M9FB063NQ91035</t>
  </si>
  <si>
    <t>M9FB063NQ91106</t>
  </si>
  <si>
    <t>M9FB063NQ91484</t>
  </si>
  <si>
    <t>M9FB063NQ91491</t>
  </si>
  <si>
    <t>M9FB063NQ91821</t>
  </si>
  <si>
    <t>M9FB063NQ93548</t>
  </si>
  <si>
    <t>M9FB063NQ94814</t>
  </si>
  <si>
    <t>M9FB063NQ96056</t>
  </si>
  <si>
    <t>M9FB063NQ96135</t>
  </si>
  <si>
    <t>M9FB153NF71254</t>
  </si>
  <si>
    <t>M9FB154NF81259</t>
  </si>
  <si>
    <t>M9FB197NQ91024</t>
  </si>
  <si>
    <t>M9FB197NQ91035</t>
  </si>
  <si>
    <t>M9FB197NQ91106</t>
  </si>
  <si>
    <t>M9FB197NQ91484</t>
  </si>
  <si>
    <t>M9FB197NQ91491</t>
  </si>
  <si>
    <t>M9FB197NQ91821</t>
  </si>
  <si>
    <t>M9FB197NQ93548</t>
  </si>
  <si>
    <t>M9FB197NQ94814</t>
  </si>
  <si>
    <t>M9FB197NQ96056</t>
  </si>
  <si>
    <t>M9FB197NQ96135</t>
  </si>
  <si>
    <t>M9FC220NQ91035</t>
  </si>
  <si>
    <t>M9FC220NQ91106</t>
  </si>
  <si>
    <t>M9FC220NQ91484</t>
  </si>
  <si>
    <t>M9FC220NQ93548</t>
  </si>
  <si>
    <t>M9FC220NQ94814</t>
  </si>
  <si>
    <t>M9FC220NQ96056</t>
  </si>
  <si>
    <t>M9FC891NQ91106</t>
  </si>
  <si>
    <t>M9FC891NQ91800</t>
  </si>
  <si>
    <t>M9FC891NQ96064</t>
  </si>
  <si>
    <t>M9FC895NQ91106</t>
  </si>
  <si>
    <t>M9FC895NQ91800</t>
  </si>
  <si>
    <t>M9FC895NQ96064</t>
  </si>
  <si>
    <t>M9IB078NU1CGYL</t>
  </si>
  <si>
    <t>M9IB203NU1CGYL</t>
  </si>
  <si>
    <t>M9OB266SE21081</t>
  </si>
  <si>
    <t>M9OB266SE24193</t>
  </si>
  <si>
    <t>M9OB267TA91081</t>
  </si>
  <si>
    <t>M9OB267TA94193</t>
  </si>
  <si>
    <t>M9TA638VR4794</t>
  </si>
  <si>
    <t>M9VA757EG4867</t>
  </si>
  <si>
    <t>M9WA638KG61118</t>
  </si>
  <si>
    <t>M9WA638KG64062</t>
  </si>
  <si>
    <t>M9YA451NS81800</t>
  </si>
  <si>
    <t>M9YA451NS84048</t>
  </si>
  <si>
    <t>M9YA451OB91257</t>
  </si>
  <si>
    <t>M9YA451OB91746</t>
  </si>
  <si>
    <t>M9YB156EG1143</t>
  </si>
  <si>
    <t>M9YB156EG1834</t>
  </si>
  <si>
    <t>M9YB156NF31001</t>
  </si>
  <si>
    <t>M9YB156QM94100</t>
  </si>
  <si>
    <t>M9YB179IK4048</t>
  </si>
  <si>
    <t>MA0B129MF31001</t>
  </si>
  <si>
    <t>MA0B129MF3</t>
  </si>
  <si>
    <t>CLASSIC LOGO ZIP HOODIE</t>
  </si>
  <si>
    <t>MA0B129MF32707</t>
  </si>
  <si>
    <t>MA0B129MF33249</t>
  </si>
  <si>
    <t>HTHR SKT PRK</t>
  </si>
  <si>
    <t>MA0B129MF34100</t>
  </si>
  <si>
    <t>MA0B325ECE1501</t>
  </si>
  <si>
    <t>MA0B325ECE</t>
  </si>
  <si>
    <t>ROCK TOUR ACTV PULLOVER HOODIE</t>
  </si>
  <si>
    <t>MA0B325EGO1501</t>
  </si>
  <si>
    <t>MA0B325EGO</t>
  </si>
  <si>
    <t>BUDDHA BRAND PULLOVER HOODIE</t>
  </si>
  <si>
    <t>MA0B325EGO4739</t>
  </si>
  <si>
    <t>HTHR TRUE NAVY</t>
  </si>
  <si>
    <t>MA0B325EJO1700</t>
  </si>
  <si>
    <t>MA0B325EJO</t>
  </si>
  <si>
    <t>SCRIPT ACTIVE PULLOVER HOODIE</t>
  </si>
  <si>
    <t>MA0H023ECD4100</t>
  </si>
  <si>
    <t>MA0H023ECD</t>
  </si>
  <si>
    <t>HARD KNOCKS JOGGER SWEATPANT</t>
  </si>
  <si>
    <t>MA0H023MF41001</t>
  </si>
  <si>
    <t>MA0H023MF4</t>
  </si>
  <si>
    <t>CLASSIC LOGO JOGGER SWEATPANT</t>
  </si>
  <si>
    <t>MA0H023MF42707</t>
  </si>
  <si>
    <t>MA0H023MF43249</t>
  </si>
  <si>
    <t>MA0H023MF44100</t>
  </si>
  <si>
    <t>MA0H026ECB4100</t>
  </si>
  <si>
    <t>MA0H026ECB</t>
  </si>
  <si>
    <t>HARD KNOCKS LS SWEAT SHIRT</t>
  </si>
  <si>
    <t>MA0H026ECB8038</t>
  </si>
  <si>
    <t>MA0H100MF31001</t>
  </si>
  <si>
    <t>MA0H100MF3</t>
  </si>
  <si>
    <t>CLASSIC LOGO MOTO HOODIE</t>
  </si>
  <si>
    <t>MA208RG81254</t>
  </si>
  <si>
    <t>MA208RG82500</t>
  </si>
  <si>
    <t>MA208RG84100</t>
  </si>
  <si>
    <t>MA208TZ0CQAM</t>
  </si>
  <si>
    <t>MA301J0501800</t>
  </si>
  <si>
    <t>MA301RH4S1001</t>
  </si>
  <si>
    <t>MA301RH4S1700</t>
  </si>
  <si>
    <t>MA301RH4S7000</t>
  </si>
  <si>
    <t>MA350AAADPSL</t>
  </si>
  <si>
    <t>MA350AAA</t>
  </si>
  <si>
    <t>MA350SA1ADBM</t>
  </si>
  <si>
    <t>MA350SA1AYJD</t>
  </si>
  <si>
    <t>MA350SA1CMEM</t>
  </si>
  <si>
    <t>MA350SA1CQBD</t>
  </si>
  <si>
    <t>MA350TR21200</t>
  </si>
  <si>
    <t>MA350TR24100</t>
  </si>
  <si>
    <t>MA350TU5CQDD</t>
  </si>
  <si>
    <t>MA350TU5CQEM</t>
  </si>
  <si>
    <t>MA350TU6CQFD</t>
  </si>
  <si>
    <t>MA350TU6CRFD</t>
  </si>
  <si>
    <t>MA350TX4CPSM</t>
  </si>
  <si>
    <t>MA350TX4CRJD</t>
  </si>
  <si>
    <t>MA350VO1CVIM</t>
  </si>
  <si>
    <t>MA350WY7DCTD</t>
  </si>
  <si>
    <t>MA350ZL42S</t>
  </si>
  <si>
    <t>MA350ZL4</t>
  </si>
  <si>
    <t>MA451C0041106</t>
  </si>
  <si>
    <t>MA451C0046000</t>
  </si>
  <si>
    <t>MA451C0061106</t>
  </si>
  <si>
    <t>MA451C0061800</t>
  </si>
  <si>
    <t>MA451C0071800</t>
  </si>
  <si>
    <t>MA451C0091106</t>
  </si>
  <si>
    <t>MA451C0091800</t>
  </si>
  <si>
    <t>MA451C0111800</t>
  </si>
  <si>
    <t>MA451C0331800</t>
  </si>
  <si>
    <t>MA451C0351200</t>
  </si>
  <si>
    <t>MA451C0391700</t>
  </si>
  <si>
    <t>MA451C0401106</t>
  </si>
  <si>
    <t>MA451C0401800</t>
  </si>
  <si>
    <t>MA451C0414100</t>
  </si>
  <si>
    <t>MA451C0521001</t>
  </si>
  <si>
    <t>MA451CS131106</t>
  </si>
  <si>
    <t>MA451CS131800</t>
  </si>
  <si>
    <t>MA451CS576000</t>
  </si>
  <si>
    <t>MA451J1101106</t>
  </si>
  <si>
    <t>MA451JS1001</t>
  </si>
  <si>
    <t>MA451JS1501</t>
  </si>
  <si>
    <t>MA451JS3514</t>
  </si>
  <si>
    <t>MA451JS4168</t>
  </si>
  <si>
    <t>MA451JS6047</t>
  </si>
  <si>
    <t>MA451N0024100</t>
  </si>
  <si>
    <t>MA451N0027000</t>
  </si>
  <si>
    <t>MA451N0061800</t>
  </si>
  <si>
    <t>MA451N0064100</t>
  </si>
  <si>
    <t>MA451N0131501</t>
  </si>
  <si>
    <t>MA451N0151800</t>
  </si>
  <si>
    <t>MA451N0171106</t>
  </si>
  <si>
    <t>MA451N0171800</t>
  </si>
  <si>
    <t>MA451N0191106</t>
  </si>
  <si>
    <t>MA451N0191800</t>
  </si>
  <si>
    <t>MA451N0201106</t>
  </si>
  <si>
    <t>MA451N0201501</t>
  </si>
  <si>
    <t>MA451NP031106</t>
  </si>
  <si>
    <t>MA451NP031800</t>
  </si>
  <si>
    <t>MA451NP034401</t>
  </si>
  <si>
    <t>MA451NP036003</t>
  </si>
  <si>
    <t>MA451NP036064</t>
  </si>
  <si>
    <t>MA451NP0311106</t>
  </si>
  <si>
    <t>MA451NP1011001</t>
  </si>
  <si>
    <t>MA451NP311254</t>
  </si>
  <si>
    <t>MA451NP311800</t>
  </si>
  <si>
    <t>MA451NP321106</t>
  </si>
  <si>
    <t>MA451NP331106</t>
  </si>
  <si>
    <t>MA451NP331800</t>
  </si>
  <si>
    <t>MA451NP341106</t>
  </si>
  <si>
    <t>MA451NP34F1001</t>
  </si>
  <si>
    <t>MA451NP34F1800</t>
  </si>
  <si>
    <t>MA451NP351254</t>
  </si>
  <si>
    <t>MA451NP361800</t>
  </si>
  <si>
    <t>MA451NP366000</t>
  </si>
  <si>
    <t>MA451NP371106</t>
  </si>
  <si>
    <t>MA451NP83WHT</t>
  </si>
  <si>
    <t>MA451NP961106</t>
  </si>
  <si>
    <t>MA451OF91106</t>
  </si>
  <si>
    <t>MA451OF91501</t>
  </si>
  <si>
    <t>MA451OF91800</t>
  </si>
  <si>
    <t>MA451OF93106</t>
  </si>
  <si>
    <t>MA451OF94002</t>
  </si>
  <si>
    <t>MA451OF94302</t>
  </si>
  <si>
    <t>MA451OF94400</t>
  </si>
  <si>
    <t>MA451OF96000</t>
  </si>
  <si>
    <t>MA451RH41106</t>
  </si>
  <si>
    <t>MA451RH41800</t>
  </si>
  <si>
    <t>MA451RH44403</t>
  </si>
  <si>
    <t>MA451RH45000</t>
  </si>
  <si>
    <t>MA451RH46000</t>
  </si>
  <si>
    <t>MA451T0021501</t>
  </si>
  <si>
    <t>MA451T0051800</t>
  </si>
  <si>
    <t>MA451T0231800</t>
  </si>
  <si>
    <t>MA451T0233071</t>
  </si>
  <si>
    <t>MA451T0241106</t>
  </si>
  <si>
    <t>MA451T0251106</t>
  </si>
  <si>
    <t>MA451T0251800</t>
  </si>
  <si>
    <t>MA451TS171106</t>
  </si>
  <si>
    <t>MA451TS214403</t>
  </si>
  <si>
    <t>MA451UV41501</t>
  </si>
  <si>
    <t>MA451YP71001</t>
  </si>
  <si>
    <t>MA451YP73071</t>
  </si>
  <si>
    <t>MA451YP73514</t>
  </si>
  <si>
    <t>MA451YP74168</t>
  </si>
  <si>
    <t>MA451YP76067</t>
  </si>
  <si>
    <t>MA452C0321800</t>
  </si>
  <si>
    <t>MA452XM01541</t>
  </si>
  <si>
    <t>MA452XM01800</t>
  </si>
  <si>
    <t>MA452XP01541</t>
  </si>
  <si>
    <t>MA452XP01800</t>
  </si>
  <si>
    <t>MA473AABDPTD</t>
  </si>
  <si>
    <t>MA473AAB</t>
  </si>
  <si>
    <t>MA473RY1CLOD</t>
  </si>
  <si>
    <t>MA473TU5CQDD</t>
  </si>
  <si>
    <t>MA473TU5CQEM</t>
  </si>
  <si>
    <t>MA473TX4CPSM</t>
  </si>
  <si>
    <t>MA473TX4CRJD</t>
  </si>
  <si>
    <t>MA473YK7DFVM</t>
  </si>
  <si>
    <t>MA577UT71106</t>
  </si>
  <si>
    <t>MA577WQ11501</t>
  </si>
  <si>
    <t>MA577WQ21001</t>
  </si>
  <si>
    <t>MA734RX8AYJD</t>
  </si>
  <si>
    <t>MA734RX8CJZD</t>
  </si>
  <si>
    <t>MA799RW7CIQD</t>
  </si>
  <si>
    <t>MA799RW7CIRM</t>
  </si>
  <si>
    <t>MA799RW7CIWD</t>
  </si>
  <si>
    <t>MA799RY5CJCD</t>
  </si>
  <si>
    <t>MA799RY5CLQM</t>
  </si>
  <si>
    <t>MA799VO4CVMD</t>
  </si>
  <si>
    <t>MA801TX4CPSM</t>
  </si>
  <si>
    <t>MA801TX4CRJD</t>
  </si>
  <si>
    <t>MA801VR2CWIL</t>
  </si>
  <si>
    <t>MA806RD3CHYL</t>
  </si>
  <si>
    <t>MA806RU4CLPD</t>
  </si>
  <si>
    <t>MA904RD3CHTD</t>
  </si>
  <si>
    <t>MA904RD3CHYL</t>
  </si>
  <si>
    <t>MA904SA62000</t>
  </si>
  <si>
    <t>MA904SA66012</t>
  </si>
  <si>
    <t>MA904SQ91001</t>
  </si>
  <si>
    <t>MA904SQ91200</t>
  </si>
  <si>
    <t>MA904US1CRGM</t>
  </si>
  <si>
    <t>MA904VO2CVKL</t>
  </si>
  <si>
    <t>MA904VP8CVHM</t>
  </si>
  <si>
    <t>MA904WF3SGDB</t>
  </si>
  <si>
    <t>MA904WF4CPSM</t>
  </si>
  <si>
    <t>MA904WZ1DDDL</t>
  </si>
  <si>
    <t>MA904XF9DCOM</t>
  </si>
  <si>
    <t>MA904YL8DFVM</t>
  </si>
  <si>
    <t>MA904YM6DFKD</t>
  </si>
  <si>
    <t>MA904ZK11167</t>
  </si>
  <si>
    <t>MA904ZK16000</t>
  </si>
  <si>
    <t>MA904ZL0DJYM</t>
  </si>
  <si>
    <t>MA904ZL0</t>
  </si>
  <si>
    <t>DJYM</t>
  </si>
  <si>
    <t>DJYM DARK REBEL</t>
  </si>
  <si>
    <t>MA904ZO16000</t>
  </si>
  <si>
    <t>MA904ZO1</t>
  </si>
  <si>
    <t>CND BLACK/ CHILI PEPPER</t>
  </si>
  <si>
    <t>MA904ZQ21001</t>
  </si>
  <si>
    <t>MA904ZQ23071</t>
  </si>
  <si>
    <t>MA904ZR8DMNM</t>
  </si>
  <si>
    <t>MA904ZU3DQRL</t>
  </si>
  <si>
    <t>MA904ZU3</t>
  </si>
  <si>
    <t>DQRL</t>
  </si>
  <si>
    <t>DQRL PRISM</t>
  </si>
  <si>
    <t>MA904ZW12SB</t>
  </si>
  <si>
    <t>MA904ZW1</t>
  </si>
  <si>
    <t>MA904ZW2DQLM</t>
  </si>
  <si>
    <t>MA904ZW2</t>
  </si>
  <si>
    <t>DQLM</t>
  </si>
  <si>
    <t>DQLM NIGHT DUNES</t>
  </si>
  <si>
    <t>MA904ZY0DQVL</t>
  </si>
  <si>
    <t>MA904ZY0</t>
  </si>
  <si>
    <t>DQVL</t>
  </si>
  <si>
    <t>DQVL LIGHT DAZE</t>
  </si>
  <si>
    <t>MABA577NG81145</t>
  </si>
  <si>
    <t>MABA577NG86497</t>
  </si>
  <si>
    <t>MABB168IK1075</t>
  </si>
  <si>
    <t>MABB168IK1145</t>
  </si>
  <si>
    <t>MABB168IK6497</t>
  </si>
  <si>
    <t>MAC2J55ELGBDB</t>
  </si>
  <si>
    <t>MAC2J56ELGBDB</t>
  </si>
  <si>
    <t>MAC800EZ4GBD</t>
  </si>
  <si>
    <t>MAC800EZ4GDD</t>
  </si>
  <si>
    <t>MAC859ELGBDB</t>
  </si>
  <si>
    <t>MAC859EZ4GBD</t>
  </si>
  <si>
    <t>MAC859EZ4GDD</t>
  </si>
  <si>
    <t>MAC859NMY07466</t>
  </si>
  <si>
    <t>MAC9020ELGBDB</t>
  </si>
  <si>
    <t>MACA799MY04932</t>
  </si>
  <si>
    <t>MACJ19EZ4GBD</t>
  </si>
  <si>
    <t>MACJ19EZ4GDD</t>
  </si>
  <si>
    <t>MACJ60EZ4GBD</t>
  </si>
  <si>
    <t>MACJ60EZ4GDD</t>
  </si>
  <si>
    <t>MACP31Z9SNDB</t>
  </si>
  <si>
    <t>MACR71Z9GBDB</t>
  </si>
  <si>
    <t>MACR71Z9SNDB</t>
  </si>
  <si>
    <t>MAD2859H14HAM</t>
  </si>
  <si>
    <t>MAD2J55Y9BBD</t>
  </si>
  <si>
    <t>MAD2J55Y9LNM</t>
  </si>
  <si>
    <t>MAD2J55Y9LUD</t>
  </si>
  <si>
    <t>MAD2J55Y9MDM</t>
  </si>
  <si>
    <t>MAD2J55Y9MWD</t>
  </si>
  <si>
    <t>MAD2J55Y9NAM</t>
  </si>
  <si>
    <t>MAD2J56Y9BBD</t>
  </si>
  <si>
    <t>MAD2J56Y9LUD</t>
  </si>
  <si>
    <t>MAD2J56Y9MDM</t>
  </si>
  <si>
    <t>MAD2J56Y9MWD</t>
  </si>
  <si>
    <t>MAD2J56Y9NAM</t>
  </si>
  <si>
    <t>MAD800F83GYM</t>
  </si>
  <si>
    <t>MAD800F83HCL</t>
  </si>
  <si>
    <t>MAD800F83HDD</t>
  </si>
  <si>
    <t>MAD800F83LJD</t>
  </si>
  <si>
    <t>MAD800F83LNM</t>
  </si>
  <si>
    <t>MAD800F83LPD</t>
  </si>
  <si>
    <t>MAD800F83NAM</t>
  </si>
  <si>
    <t>MAD800F83NLM</t>
  </si>
  <si>
    <t>MAD800F83NNL</t>
  </si>
  <si>
    <t>MAD858F83GWM</t>
  </si>
  <si>
    <t>MAD858F83GYM</t>
  </si>
  <si>
    <t>MAD858F83HCL</t>
  </si>
  <si>
    <t>MAD858F83KKM</t>
  </si>
  <si>
    <t>MAD858F83LJD</t>
  </si>
  <si>
    <t>MAD858F83LNM</t>
  </si>
  <si>
    <t>MAD858F83LPD</t>
  </si>
  <si>
    <t>MAD858F83LQM</t>
  </si>
  <si>
    <t>MAD858F83MKD</t>
  </si>
  <si>
    <t>MAD858F83NNL</t>
  </si>
  <si>
    <t>MAD859F83GYM</t>
  </si>
  <si>
    <t>MAD859F83HCL</t>
  </si>
  <si>
    <t>MAD859F83KKM</t>
  </si>
  <si>
    <t>MAD859F83LJD</t>
  </si>
  <si>
    <t>MAD859F83LPD</t>
  </si>
  <si>
    <t>MAD859F83LQM</t>
  </si>
  <si>
    <t>MAD859F83NLM</t>
  </si>
  <si>
    <t>MAD9020F83LJD</t>
  </si>
  <si>
    <t>MAD9M53F83LNM</t>
  </si>
  <si>
    <t>MADJ60F83RRD</t>
  </si>
  <si>
    <t>MADL81F83GYM</t>
  </si>
  <si>
    <t>MADL81F83HCL</t>
  </si>
  <si>
    <t>MADL81F83KKM</t>
  </si>
  <si>
    <t>MADL81F83LJD</t>
  </si>
  <si>
    <t>MADL81F83LNM</t>
  </si>
  <si>
    <t>MADL81F83LPD</t>
  </si>
  <si>
    <t>MADL81F83LQM</t>
  </si>
  <si>
    <t>MADL81F83MKD</t>
  </si>
  <si>
    <t>MADL81F83NAM</t>
  </si>
  <si>
    <t>MADL81F83NLM</t>
  </si>
  <si>
    <t>MADL82F83GYM</t>
  </si>
  <si>
    <t>MADL82F83HCL</t>
  </si>
  <si>
    <t>MADL82F83NAM</t>
  </si>
  <si>
    <t>MADL82F83NLM</t>
  </si>
  <si>
    <t>MADP22M27LZD</t>
  </si>
  <si>
    <t>MADP22M27MWM</t>
  </si>
  <si>
    <t>MADP23M27LZD</t>
  </si>
  <si>
    <t>MADP23M27PCM</t>
  </si>
  <si>
    <t>MADP27M27LZD</t>
  </si>
  <si>
    <t>MADP91M27LZD</t>
  </si>
  <si>
    <t>MADP93F83NLM</t>
  </si>
  <si>
    <t>MAEB166KG61541</t>
  </si>
  <si>
    <t>MAEB166KG62002</t>
  </si>
  <si>
    <t>MAEB166KG66056</t>
  </si>
  <si>
    <t>MAJB011VR1812</t>
  </si>
  <si>
    <t>MAJB011VR2008</t>
  </si>
  <si>
    <t>MAJB011VR4068</t>
  </si>
  <si>
    <t>MAOB308XZ11159</t>
  </si>
  <si>
    <t>MAOB308XZ11422</t>
  </si>
  <si>
    <t>MAOB438YS52707</t>
  </si>
  <si>
    <t>MAOB438YS56059</t>
  </si>
  <si>
    <t>MAOB500XZ01078</t>
  </si>
  <si>
    <t>MAOB500XZ01787</t>
  </si>
  <si>
    <t>MAPA638VR1118</t>
  </si>
  <si>
    <t>MAR840K331027</t>
  </si>
  <si>
    <t>MAR840K331311</t>
  </si>
  <si>
    <t>MAR840K331813</t>
  </si>
  <si>
    <t>MAR840K332505</t>
  </si>
  <si>
    <t>MAR840K333126</t>
  </si>
  <si>
    <t>MAR841K331027</t>
  </si>
  <si>
    <t>MAR841K331813</t>
  </si>
  <si>
    <t>MAR841K332505</t>
  </si>
  <si>
    <t>MAR841K333126</t>
  </si>
  <si>
    <t>MAR9N89K321100</t>
  </si>
  <si>
    <t>MAR9N89K322000</t>
  </si>
  <si>
    <t>MAT2J55EMGBD</t>
  </si>
  <si>
    <t>MAT9020EMGBD</t>
  </si>
  <si>
    <t>MAUB157EG1118</t>
  </si>
  <si>
    <t>MAUB157EG4017</t>
  </si>
  <si>
    <t>MAUB165IK1118</t>
  </si>
  <si>
    <t>MAUB165IK1254</t>
  </si>
  <si>
    <t>MAUB165IK1811</t>
  </si>
  <si>
    <t>MAUB165IK4017</t>
  </si>
  <si>
    <t>MAUB165IK4065</t>
  </si>
  <si>
    <t>MAUB165IK4108</t>
  </si>
  <si>
    <t>MAUB165IK6224</t>
  </si>
  <si>
    <t>MAUB165IK6497</t>
  </si>
  <si>
    <t>MAX3859UA01233</t>
  </si>
  <si>
    <t>MAX3859UA0</t>
  </si>
  <si>
    <t>STRAIGHT FLAP BLACK BIG T</t>
  </si>
  <si>
    <t>DNK DEC HUE BGRY</t>
  </si>
  <si>
    <t>MAX859CR0BLLL</t>
  </si>
  <si>
    <t>MAX859CR0SGD</t>
  </si>
  <si>
    <t>MAX859ECUDLID</t>
  </si>
  <si>
    <t>MAX859ECU</t>
  </si>
  <si>
    <t>DLID</t>
  </si>
  <si>
    <t>DLID NGT STRKR NR</t>
  </si>
  <si>
    <t>MAX859EEVDNMD</t>
  </si>
  <si>
    <t>MAX859EEV</t>
  </si>
  <si>
    <t>STRAIGHT FLAP GREY SPR T COMBO</t>
  </si>
  <si>
    <t>DNMD</t>
  </si>
  <si>
    <t>DNMD STRT WTCHER</t>
  </si>
  <si>
    <t>MAX859EG7ASMD</t>
  </si>
  <si>
    <t>MAX859ENYDTED</t>
  </si>
  <si>
    <t>MAX859ENY</t>
  </si>
  <si>
    <t>STRAIGHT FLAP NAT ROPESTITCH</t>
  </si>
  <si>
    <t>DTED</t>
  </si>
  <si>
    <t>DTED DARK DESIRE</t>
  </si>
  <si>
    <t>MAX859GY7ASMD</t>
  </si>
  <si>
    <t>MAX859NCR0BQID</t>
  </si>
  <si>
    <t>MAX859NCR0SGD</t>
  </si>
  <si>
    <t>MAX859NIS2BMQD</t>
  </si>
  <si>
    <t>MAX859NIS2BMRD</t>
  </si>
  <si>
    <t>MAX859NNB1BXUM</t>
  </si>
  <si>
    <t>MAX859NOD2CEEM</t>
  </si>
  <si>
    <t>MAX859NOH7CEUM</t>
  </si>
  <si>
    <t>MAXA800IS2BMQD</t>
  </si>
  <si>
    <t>MAXA800IS2BMRD</t>
  </si>
  <si>
    <t>MAXA904LJ6BRZD</t>
  </si>
  <si>
    <t>MAXA948OC1CAMD</t>
  </si>
  <si>
    <t>MAXB140MX4SGD</t>
  </si>
  <si>
    <t>MAXB253CR0SGD</t>
  </si>
  <si>
    <t>MAXC080CR0BQID</t>
  </si>
  <si>
    <t>MAXC087CR0SGD</t>
  </si>
  <si>
    <t>MAXC087NA4BQID</t>
  </si>
  <si>
    <t>MAXC088OC1CAMD</t>
  </si>
  <si>
    <t>MAXE08CR0SGD</t>
  </si>
  <si>
    <t>MAXE08NCR0BQID</t>
  </si>
  <si>
    <t>MAXE08NCR0SGD</t>
  </si>
  <si>
    <t>MAXE08NLL3BRKD</t>
  </si>
  <si>
    <t>MAXE08NLL4BRLD</t>
  </si>
  <si>
    <t>MAXE08NNB1BXWM</t>
  </si>
  <si>
    <t>MAXH037RI2S</t>
  </si>
  <si>
    <t>MAXH037RI</t>
  </si>
  <si>
    <t>SKINNY MOTO DK CONTINENT SN</t>
  </si>
  <si>
    <t>MAXH54CR0SGD</t>
  </si>
  <si>
    <t>MAXH54EG7ASMD</t>
  </si>
  <si>
    <t>MAXH54EL2HB</t>
  </si>
  <si>
    <t>MAXH54EL2SB</t>
  </si>
  <si>
    <t>MAXH54ELBZB</t>
  </si>
  <si>
    <t>MAXH54ELGSDB</t>
  </si>
  <si>
    <t>MAXH54NCR0SGD</t>
  </si>
  <si>
    <t>MAXJ19CR0SGD</t>
  </si>
  <si>
    <t>MAXJ19ECZDLUD</t>
  </si>
  <si>
    <t>MAXJ19ECZ</t>
  </si>
  <si>
    <t>SLIM AXEL GREY ALLOVER SN</t>
  </si>
  <si>
    <t>DLUD</t>
  </si>
  <si>
    <t>DLUD NT STRKR RPS</t>
  </si>
  <si>
    <t>MAXJ19EG7ASMD</t>
  </si>
  <si>
    <t>MAXJ19NCR0BQID</t>
  </si>
  <si>
    <t>MAXJ19NCR0SGD</t>
  </si>
  <si>
    <t>MAXJ19NLH1BRSL</t>
  </si>
  <si>
    <t>MAXJ19NLL4BRLD</t>
  </si>
  <si>
    <t>MAXJ19NOH7CEUM</t>
  </si>
  <si>
    <t>MAXJ60CR0SGD</t>
  </si>
  <si>
    <t>MAXJ60EL2SB</t>
  </si>
  <si>
    <t>MAXJ60NCR0SGD</t>
  </si>
  <si>
    <t>MAXJ60NOD2CEEM</t>
  </si>
  <si>
    <t>MAXK30EL2SB</t>
  </si>
  <si>
    <t>MAXK30ELBZB</t>
  </si>
  <si>
    <t>MAXR62NCR0BQID</t>
  </si>
  <si>
    <t>MAXT38U242RB</t>
  </si>
  <si>
    <t>MAXT38U249V</t>
  </si>
  <si>
    <t>MAXV91CR0SGD</t>
  </si>
  <si>
    <t>MAXY84CR0BQID</t>
  </si>
  <si>
    <t>MAXY84CR0SGD</t>
  </si>
  <si>
    <t>MB008OAU11106</t>
  </si>
  <si>
    <t>MB008OAU11501</t>
  </si>
  <si>
    <t>MB008OAU14002</t>
  </si>
  <si>
    <t>MB008OAU16000</t>
  </si>
  <si>
    <t>MB008OAU21501</t>
  </si>
  <si>
    <t>MB008RI51106</t>
  </si>
  <si>
    <t>MB008RI55000</t>
  </si>
  <si>
    <t>MB008SV64100</t>
  </si>
  <si>
    <t>MB008VE01501</t>
  </si>
  <si>
    <t>MB008VE0D1427</t>
  </si>
  <si>
    <t>MB008VE0E1106</t>
  </si>
  <si>
    <t>MB008VE0E1501</t>
  </si>
  <si>
    <t>MB008VE0E6059</t>
  </si>
  <si>
    <t>MB008VE0P1501</t>
  </si>
  <si>
    <t>MB008WP71501</t>
  </si>
  <si>
    <t>MB009RG31106</t>
  </si>
  <si>
    <t>MB009RI51106</t>
  </si>
  <si>
    <t>MB009RI56003</t>
  </si>
  <si>
    <t>MB009VE0D1427</t>
  </si>
  <si>
    <t>MB009VE0E1106</t>
  </si>
  <si>
    <t>MB009VE0E1501</t>
  </si>
  <si>
    <t>MB009VE0E6000</t>
  </si>
  <si>
    <t>MB011RJ96000</t>
  </si>
  <si>
    <t>MB011RN14002</t>
  </si>
  <si>
    <t>MB011RN44403</t>
  </si>
  <si>
    <t>MB011SN6CJLL</t>
  </si>
  <si>
    <t>MB011SV56000</t>
  </si>
  <si>
    <t>MB017RI61106</t>
  </si>
  <si>
    <t>MB0185N1001</t>
  </si>
  <si>
    <t>MB031VR7CVUL</t>
  </si>
  <si>
    <t>MB063UT71001</t>
  </si>
  <si>
    <t>MB063UT71501</t>
  </si>
  <si>
    <t>MB063UT76064</t>
  </si>
  <si>
    <t>MB078TY11001</t>
  </si>
  <si>
    <t>MB078TY11700</t>
  </si>
  <si>
    <t>MB078TY14100</t>
  </si>
  <si>
    <t>MB078TY16000</t>
  </si>
  <si>
    <t>MB078VO83000</t>
  </si>
  <si>
    <t>MB078VO8E3000</t>
  </si>
  <si>
    <t>MB078VR81100</t>
  </si>
  <si>
    <t>MB078VR81700</t>
  </si>
  <si>
    <t>MB078VR82701</t>
  </si>
  <si>
    <t>MB078VR84000</t>
  </si>
  <si>
    <t>MB078VR86000</t>
  </si>
  <si>
    <t>MB078VR8E1100</t>
  </si>
  <si>
    <t>MB078VR8E1700</t>
  </si>
  <si>
    <t>MB078VR8E2701</t>
  </si>
  <si>
    <t>MB078VR8E4000</t>
  </si>
  <si>
    <t>MB078VR8E6000</t>
  </si>
  <si>
    <t>MB078VS41700</t>
  </si>
  <si>
    <t>MB078WZ31307</t>
  </si>
  <si>
    <t>MB078WZ34100</t>
  </si>
  <si>
    <t>MB085RE21001</t>
  </si>
  <si>
    <t>MB085RE24000</t>
  </si>
  <si>
    <t>MB085RE27233</t>
  </si>
  <si>
    <t>MB085VO83000</t>
  </si>
  <si>
    <t>MB088RD01200</t>
  </si>
  <si>
    <t>MB088RD02500</t>
  </si>
  <si>
    <t>MB088RD04000</t>
  </si>
  <si>
    <t>MB156QM91001</t>
  </si>
  <si>
    <t>MB156QM96090</t>
  </si>
  <si>
    <t>MB156RJ24100</t>
  </si>
  <si>
    <t>MB156RJ26003</t>
  </si>
  <si>
    <t>MB156SV34100</t>
  </si>
  <si>
    <t>MB156SV36069</t>
  </si>
  <si>
    <t>MB156TS221106</t>
  </si>
  <si>
    <t>MB156TS226059</t>
  </si>
  <si>
    <t>MB156WQ44100</t>
  </si>
  <si>
    <t>MB156WR04100</t>
  </si>
  <si>
    <t>MB156WR06090</t>
  </si>
  <si>
    <t>MB157RH41106</t>
  </si>
  <si>
    <t>MB157RH41800</t>
  </si>
  <si>
    <t>MB157RH44403</t>
  </si>
  <si>
    <t>MB157RH45000</t>
  </si>
  <si>
    <t>MB157RH46000</t>
  </si>
  <si>
    <t>MB157RH71200</t>
  </si>
  <si>
    <t>MB157YP71106</t>
  </si>
  <si>
    <t>MB157YP73071</t>
  </si>
  <si>
    <t>MB157YP74002</t>
  </si>
  <si>
    <t>MB157YP74168</t>
  </si>
  <si>
    <t>MB170WK17008</t>
  </si>
  <si>
    <t>MB170WQ74000</t>
  </si>
  <si>
    <t>MB170WQ74143</t>
  </si>
  <si>
    <t>MB170WQ74935</t>
  </si>
  <si>
    <t>MB170WR34143</t>
  </si>
  <si>
    <t>MB171C0104100</t>
  </si>
  <si>
    <t>MB171C0106000</t>
  </si>
  <si>
    <t>MB179NP1024143</t>
  </si>
  <si>
    <t>MB186RK51501</t>
  </si>
  <si>
    <t>MB197UT71001</t>
  </si>
  <si>
    <t>MB197UT71501</t>
  </si>
  <si>
    <t>MB197UT76064</t>
  </si>
  <si>
    <t>MB216TT0CQHD</t>
  </si>
  <si>
    <t>MB216UJ11821</t>
  </si>
  <si>
    <t>MB252RW8CIUM</t>
  </si>
  <si>
    <t>MB252RW8CIWD</t>
  </si>
  <si>
    <t>MB252RY9CJUD</t>
  </si>
  <si>
    <t>MB252SQ3CLXM</t>
  </si>
  <si>
    <t>MB252TU5CQDD</t>
  </si>
  <si>
    <t>MB252TU5CQEM</t>
  </si>
  <si>
    <t>MB252TU6CQFD</t>
  </si>
  <si>
    <t>MB252VO1CVHM</t>
  </si>
  <si>
    <t>MB252WV4DCAL</t>
  </si>
  <si>
    <t>MB252WZ0DCOM</t>
  </si>
  <si>
    <t>MB252YJ9DFNM</t>
  </si>
  <si>
    <t>MB253TR8CPUM</t>
  </si>
  <si>
    <t>MB253TR8CQPL</t>
  </si>
  <si>
    <t>MB271RX8AYJD</t>
  </si>
  <si>
    <t>MB271RX8CJZD</t>
  </si>
  <si>
    <t>MB272SU0CIWD</t>
  </si>
  <si>
    <t>MB272SU0MXCIWD</t>
  </si>
  <si>
    <t>MB273SA3CJLL</t>
  </si>
  <si>
    <t>MB274SA3CJLL</t>
  </si>
  <si>
    <t>MB347RH71106</t>
  </si>
  <si>
    <t>MB347RH71800</t>
  </si>
  <si>
    <t>MB359CS351106</t>
  </si>
  <si>
    <t>MB359CS351700</t>
  </si>
  <si>
    <t>MB439YJ3DFKD</t>
  </si>
  <si>
    <t>MB439ZO0DGFD</t>
  </si>
  <si>
    <t>MB439ZO0</t>
  </si>
  <si>
    <t>MB439ZO0DREM</t>
  </si>
  <si>
    <t>DREM</t>
  </si>
  <si>
    <t>DREM WORN GREY</t>
  </si>
  <si>
    <t>MB440YJ3DFKD</t>
  </si>
  <si>
    <t>MB440ZO0DGFD</t>
  </si>
  <si>
    <t>MB440ZO0</t>
  </si>
  <si>
    <t>MB440ZO0DREM</t>
  </si>
  <si>
    <t>MB8800CH0ACFM</t>
  </si>
  <si>
    <t>MB8800CH0AYPM</t>
  </si>
  <si>
    <t>MB8800CH0SGD</t>
  </si>
  <si>
    <t>MB8800E42S</t>
  </si>
  <si>
    <t>MB8800E4BB</t>
  </si>
  <si>
    <t>MB8800E4BBD</t>
  </si>
  <si>
    <t>MB8800E4LHM</t>
  </si>
  <si>
    <t>MB8800FG0ACFM</t>
  </si>
  <si>
    <t>MB8800FG0SGD</t>
  </si>
  <si>
    <t>MB8800NBTJAYNM</t>
  </si>
  <si>
    <t>MB8800NBTJ</t>
  </si>
  <si>
    <t>MB8800P67RJL</t>
  </si>
  <si>
    <t>MB8800TSBJ</t>
  </si>
  <si>
    <t>MB8800TSGQD</t>
  </si>
  <si>
    <t>MB8858CH0ACFM</t>
  </si>
  <si>
    <t>MB8858CH0SGD</t>
  </si>
  <si>
    <t>MB8858E4BBD</t>
  </si>
  <si>
    <t>MB8858FG0ACFM</t>
  </si>
  <si>
    <t>MB8858FG0SGD</t>
  </si>
  <si>
    <t>MB8858H752S</t>
  </si>
  <si>
    <t>MB8858H75BZ</t>
  </si>
  <si>
    <t>MB8858MLKQL</t>
  </si>
  <si>
    <t>MB8858TSHAM</t>
  </si>
  <si>
    <t>MB8859CH0ACFM</t>
  </si>
  <si>
    <t>MB8859CH0SGD</t>
  </si>
  <si>
    <t>MB8859E42S</t>
  </si>
  <si>
    <t>MB8859E42W</t>
  </si>
  <si>
    <t>MB8859E4GSD</t>
  </si>
  <si>
    <t>MB8859FG0ACFM</t>
  </si>
  <si>
    <t>MB8859FG0SGD</t>
  </si>
  <si>
    <t>MB8859H752S</t>
  </si>
  <si>
    <t>MB8859H75BZ</t>
  </si>
  <si>
    <t>MB8859H75LHM</t>
  </si>
  <si>
    <t>MB8859ML2S</t>
  </si>
  <si>
    <t>MB8859P67QZL</t>
  </si>
  <si>
    <t>MB8859P67RJL</t>
  </si>
  <si>
    <t>MB8859TSGMM</t>
  </si>
  <si>
    <t>MB8859TSGQD</t>
  </si>
  <si>
    <t>MB8859TSGSD</t>
  </si>
  <si>
    <t>MB8859TSNAG</t>
  </si>
  <si>
    <t>MB8A351NA9BXUL</t>
  </si>
  <si>
    <t>MB8E08CH0ACFM</t>
  </si>
  <si>
    <t>MB8E08CH0SGD</t>
  </si>
  <si>
    <t>MB8E08E42S</t>
  </si>
  <si>
    <t>MB8E08E4AR</t>
  </si>
  <si>
    <t>MB8E08E4BB</t>
  </si>
  <si>
    <t>MB8E08FG0ACFM</t>
  </si>
  <si>
    <t>MB8E08FG0SGD</t>
  </si>
  <si>
    <t>MB8J19CH0ACFM</t>
  </si>
  <si>
    <t>MB8J19CH0SGD</t>
  </si>
  <si>
    <t>MB8J19E42S</t>
  </si>
  <si>
    <t>MB8J19E4AR</t>
  </si>
  <si>
    <t>MB8J19E4BB</t>
  </si>
  <si>
    <t>MB8J19FG0ACFM</t>
  </si>
  <si>
    <t>MB8J19FG0SGD</t>
  </si>
  <si>
    <t>MB8J19P67QZL</t>
  </si>
  <si>
    <t>MB8J19P67RJL</t>
  </si>
  <si>
    <t>MB8J60E42S</t>
  </si>
  <si>
    <t>MB8J60E4AR</t>
  </si>
  <si>
    <t>MB8J60E4BB</t>
  </si>
  <si>
    <t>MB8L82E42S</t>
  </si>
  <si>
    <t>MB8L82E4BBD</t>
  </si>
  <si>
    <t>MB8L82E4GSD</t>
  </si>
  <si>
    <t>MB8L82E4LHM</t>
  </si>
  <si>
    <t>MB8L82E4X5</t>
  </si>
  <si>
    <t>MB8L82TS2S</t>
  </si>
  <si>
    <t>MB8L82TSGMM</t>
  </si>
  <si>
    <t>MB8L82TSGSD</t>
  </si>
  <si>
    <t>MB8U56W70LPD</t>
  </si>
  <si>
    <t>MBACKPACK4100</t>
  </si>
  <si>
    <t>MBACKPACK21001</t>
  </si>
  <si>
    <t>MBACKPACK24143</t>
  </si>
  <si>
    <t>MBACKPACK26000</t>
  </si>
  <si>
    <t>MBG8L46DC01113</t>
  </si>
  <si>
    <t>MBG8L46DC01746</t>
  </si>
  <si>
    <t>MBG8L46DC04137</t>
  </si>
  <si>
    <t>MBG8L46DCT1100</t>
  </si>
  <si>
    <t>MBG8L46DCT1113</t>
  </si>
  <si>
    <t>MBG8L46DCT1700</t>
  </si>
  <si>
    <t>MBG8L46DCT1746</t>
  </si>
  <si>
    <t>MBG8L46DCT4100</t>
  </si>
  <si>
    <t>MBG8L46DCT4137</t>
  </si>
  <si>
    <t>MBG8L46Z41746</t>
  </si>
  <si>
    <t>MBG8L46Z4</t>
  </si>
  <si>
    <t>MBG8L46Z44137</t>
  </si>
  <si>
    <t>MBG8L46Z401113</t>
  </si>
  <si>
    <t>MBG8L46Z401746</t>
  </si>
  <si>
    <t>MBG8L46Z404137</t>
  </si>
  <si>
    <t>MBG8L46Z4T1100</t>
  </si>
  <si>
    <t>MBG8L46Z4T1113</t>
  </si>
  <si>
    <t>MBG8L46Z4T1700</t>
  </si>
  <si>
    <t>MBG8L46Z4T1746</t>
  </si>
  <si>
    <t>MBG8L46Z4T4100</t>
  </si>
  <si>
    <t>MBG8L46Z4T4137</t>
  </si>
  <si>
    <t>MBGL46AY24434</t>
  </si>
  <si>
    <t>MBGL46AY46030</t>
  </si>
  <si>
    <t>MBGL46AY64134</t>
  </si>
  <si>
    <t>MBGL46CA91033</t>
  </si>
  <si>
    <t>MBGL46CA94134</t>
  </si>
  <si>
    <t>MBGL46CA96332</t>
  </si>
  <si>
    <t>MBGL46CA9F1746</t>
  </si>
  <si>
    <t>MBGL46DC01317</t>
  </si>
  <si>
    <t>MBGL46DC04060</t>
  </si>
  <si>
    <t>MBGL46DC04435</t>
  </si>
  <si>
    <t>MBGL46DC06035</t>
  </si>
  <si>
    <t>MBGL46DC06366</t>
  </si>
  <si>
    <t>MBGL46DCT1317</t>
  </si>
  <si>
    <t>MBGL46DCT4060</t>
  </si>
  <si>
    <t>MBGL46DCT6366</t>
  </si>
  <si>
    <t>MBGL46DR34134</t>
  </si>
  <si>
    <t>MBGL46FK06332</t>
  </si>
  <si>
    <t>MBGL46FU61746</t>
  </si>
  <si>
    <t>MBGL46HV41746</t>
  </si>
  <si>
    <t>MBGL46HV51035</t>
  </si>
  <si>
    <t>MBGL46HV61746</t>
  </si>
  <si>
    <t>MBGL46HV72322</t>
  </si>
  <si>
    <t>MBGL46HV81113</t>
  </si>
  <si>
    <t>MBGL46HV81739</t>
  </si>
  <si>
    <t>MBGL46HV84135</t>
  </si>
  <si>
    <t>MBGL46HV84328</t>
  </si>
  <si>
    <t>MBGL46HV86035</t>
  </si>
  <si>
    <t>MBGL46HV91746</t>
  </si>
  <si>
    <t>MBGL46T081322</t>
  </si>
  <si>
    <t>MBGL46T081746</t>
  </si>
  <si>
    <t>MBGL46T083045</t>
  </si>
  <si>
    <t>MBGL46T083347</t>
  </si>
  <si>
    <t>MBGL46T084434</t>
  </si>
  <si>
    <t>MBGL46T086030</t>
  </si>
  <si>
    <t>MBGL46T086205</t>
  </si>
  <si>
    <t>MBGL46T087323</t>
  </si>
  <si>
    <t>MBGL46T088315</t>
  </si>
  <si>
    <t>MBGL46T088380</t>
  </si>
  <si>
    <t>MBGL46Y514434</t>
  </si>
  <si>
    <t>MBGL46Z401317</t>
  </si>
  <si>
    <t>MBGL46Z404060</t>
  </si>
  <si>
    <t>MBGL46Z404435</t>
  </si>
  <si>
    <t>MBGL46Z406035</t>
  </si>
  <si>
    <t>MBGL46Z406366</t>
  </si>
  <si>
    <t>MBGL46Z4T1317</t>
  </si>
  <si>
    <t>MBGL46Z4T4060</t>
  </si>
  <si>
    <t>MBGL46Z4T6035</t>
  </si>
  <si>
    <t>MBGL46Z4T6366</t>
  </si>
  <si>
    <t>MBJB011VR4020</t>
  </si>
  <si>
    <t>MBKB011VR6227</t>
  </si>
  <si>
    <t>MBMB170VR4069</t>
  </si>
  <si>
    <t>MBNDNA11106</t>
  </si>
  <si>
    <t>MBNDNA1</t>
  </si>
  <si>
    <t>BANDANA</t>
  </si>
  <si>
    <t>MBNDNA16064</t>
  </si>
  <si>
    <t>MBPB171IK1403</t>
  </si>
  <si>
    <t>MBPB171IK2002</t>
  </si>
  <si>
    <t>MBPB179IK1403</t>
  </si>
  <si>
    <t>MBPB179IK2002</t>
  </si>
  <si>
    <t>MBT840H863059</t>
  </si>
  <si>
    <t>MBUDDHABRF1081</t>
  </si>
  <si>
    <t>MBUDDHABRF</t>
  </si>
  <si>
    <t>MENS BUDDHA BRIEF</t>
  </si>
  <si>
    <t>MC087AAGDPYL</t>
  </si>
  <si>
    <t>MC087AAG</t>
  </si>
  <si>
    <t>DPYL</t>
  </si>
  <si>
    <t>DPYL INDIGO TIDE</t>
  </si>
  <si>
    <t>MC087UO31106</t>
  </si>
  <si>
    <t>MC087UO34000</t>
  </si>
  <si>
    <t>MC087UO37233</t>
  </si>
  <si>
    <t>MC087VO0CVGM</t>
  </si>
  <si>
    <t>MC087VQ0CVTM</t>
  </si>
  <si>
    <t>MC087VQ21001</t>
  </si>
  <si>
    <t>MC087VQ21200</t>
  </si>
  <si>
    <t>MC087VQ24143</t>
  </si>
  <si>
    <t>MC087VQ26000</t>
  </si>
  <si>
    <t>MC087VQ2E1001</t>
  </si>
  <si>
    <t>MC087VQ2E1200</t>
  </si>
  <si>
    <t>MC087VQ2E4143</t>
  </si>
  <si>
    <t>MC087VQ2E6000</t>
  </si>
  <si>
    <t>MC087WW0DCGM</t>
  </si>
  <si>
    <t>MC087WY1DCJD</t>
  </si>
  <si>
    <t>MC087XA1DCVD</t>
  </si>
  <si>
    <t>MC087XL81001</t>
  </si>
  <si>
    <t>MC087XL87233</t>
  </si>
  <si>
    <t>MC087YJ7DFMM</t>
  </si>
  <si>
    <t>MC087ZB0DGHL</t>
  </si>
  <si>
    <t>MC087ZB12S</t>
  </si>
  <si>
    <t>MC087ZM7DJTD</t>
  </si>
  <si>
    <t>MC087ZM7</t>
  </si>
  <si>
    <t>MC087ZM9DJUM</t>
  </si>
  <si>
    <t>MC087ZM9</t>
  </si>
  <si>
    <t>MC087ZW8DRZL</t>
  </si>
  <si>
    <t>MC087ZW8</t>
  </si>
  <si>
    <t>MC087ZX7DQUD</t>
  </si>
  <si>
    <t>MC087ZX7</t>
  </si>
  <si>
    <t>MC088RW7CIRM</t>
  </si>
  <si>
    <t>MC088VO9CVGM</t>
  </si>
  <si>
    <t>MC088VQ0CVTM</t>
  </si>
  <si>
    <t>MC1019XM21001</t>
  </si>
  <si>
    <t>MC1019XM2</t>
  </si>
  <si>
    <t>MC126VS1CWCL</t>
  </si>
  <si>
    <t>MC126WW31307</t>
  </si>
  <si>
    <t>MC126WW31700</t>
  </si>
  <si>
    <t>MC126WW34100</t>
  </si>
  <si>
    <t>MC126WY2DCKL</t>
  </si>
  <si>
    <t>MC126XT1DDFM</t>
  </si>
  <si>
    <t>MC126XT31200</t>
  </si>
  <si>
    <t>MC126XT31700</t>
  </si>
  <si>
    <t>MC126XT32500</t>
  </si>
  <si>
    <t>MC145UZ64000</t>
  </si>
  <si>
    <t>MC145UZ64100</t>
  </si>
  <si>
    <t>MC145WD71451</t>
  </si>
  <si>
    <t>MC145WD74000</t>
  </si>
  <si>
    <t>MC145WD77000</t>
  </si>
  <si>
    <t>MC145XU91001</t>
  </si>
  <si>
    <t>MC145XU91700</t>
  </si>
  <si>
    <t>MC151SW84100</t>
  </si>
  <si>
    <t>MC153SS41501</t>
  </si>
  <si>
    <t>MC160SS5CLPD</t>
  </si>
  <si>
    <t>MC160VE01501</t>
  </si>
  <si>
    <t>MC225RI92000</t>
  </si>
  <si>
    <t>MC225RK31254</t>
  </si>
  <si>
    <t>MC225RN06003</t>
  </si>
  <si>
    <t>MC225SV06000</t>
  </si>
  <si>
    <t>MC225XW46000</t>
  </si>
  <si>
    <t>MC280RN21106</t>
  </si>
  <si>
    <t>MC290TZ71106</t>
  </si>
  <si>
    <t>MC290XM41106</t>
  </si>
  <si>
    <t>MC293RJ43000</t>
  </si>
  <si>
    <t>MC296RI51106</t>
  </si>
  <si>
    <t>MC296RI56003</t>
  </si>
  <si>
    <t>MC299RI61106</t>
  </si>
  <si>
    <t>MC300RI61106</t>
  </si>
  <si>
    <t>MC301RK51501</t>
  </si>
  <si>
    <t>MC301TJ61501</t>
  </si>
  <si>
    <t>MC301VE21001</t>
  </si>
  <si>
    <t>MC301VE21700</t>
  </si>
  <si>
    <t>MC303RG31106</t>
  </si>
  <si>
    <t>MC306RI04100</t>
  </si>
  <si>
    <t>MC31016XM11001</t>
  </si>
  <si>
    <t>MC31016XM1</t>
  </si>
  <si>
    <t>SS ELONGATED SLUB TEE</t>
  </si>
  <si>
    <t>MC31016XM11700</t>
  </si>
  <si>
    <t>USED WHITE</t>
  </si>
  <si>
    <t>MC31016XM13196</t>
  </si>
  <si>
    <t>MC31020UT71001</t>
  </si>
  <si>
    <t>MC31020UT7</t>
  </si>
  <si>
    <t>HOODED ELONGATED SWEATSHIRT</t>
  </si>
  <si>
    <t>MC31020UT71700</t>
  </si>
  <si>
    <t>MC31021AQ21001</t>
  </si>
  <si>
    <t>MC31021AQ2</t>
  </si>
  <si>
    <t>DARTED LS THERMAL CREW</t>
  </si>
  <si>
    <t>MC31021AQ23196</t>
  </si>
  <si>
    <t>MC310RK04100</t>
  </si>
  <si>
    <t>MC324SZ54002</t>
  </si>
  <si>
    <t>MC330SD8CJTD</t>
  </si>
  <si>
    <t>MC330SN0CIKM</t>
  </si>
  <si>
    <t>MC337RH41106</t>
  </si>
  <si>
    <t>MC337RH41800</t>
  </si>
  <si>
    <t>MC337RH43000</t>
  </si>
  <si>
    <t>MC337RH43071</t>
  </si>
  <si>
    <t>MC337RH44000</t>
  </si>
  <si>
    <t>MC337RH44059</t>
  </si>
  <si>
    <t>MC337RH44403</t>
  </si>
  <si>
    <t>MC337RH46000</t>
  </si>
  <si>
    <t>MC337RH46003</t>
  </si>
  <si>
    <t>MC337ZB71106</t>
  </si>
  <si>
    <t>MC337ZB71800</t>
  </si>
  <si>
    <t>MC34005AR73196</t>
  </si>
  <si>
    <t>MC34005AR7</t>
  </si>
  <si>
    <t>RAGLAN VARSITY JACKET</t>
  </si>
  <si>
    <t>MC342TL15000</t>
  </si>
  <si>
    <t>MC343SD8CJTD</t>
  </si>
  <si>
    <t>MC344RZ43537</t>
  </si>
  <si>
    <t>MC344RZ46000</t>
  </si>
  <si>
    <t>MC344ZU41001</t>
  </si>
  <si>
    <t>MC344ZU4</t>
  </si>
  <si>
    <t>SLIM MOTO JACKET</t>
  </si>
  <si>
    <t>DII WASH BLACK</t>
  </si>
  <si>
    <t>MC353CS321700</t>
  </si>
  <si>
    <t>MC353CS341106</t>
  </si>
  <si>
    <t>MC353CS341501</t>
  </si>
  <si>
    <t>MC353CS371100</t>
  </si>
  <si>
    <t>MC353CS371106</t>
  </si>
  <si>
    <t>MC353CS371700</t>
  </si>
  <si>
    <t>MC353CS374403</t>
  </si>
  <si>
    <t>MC353CS376064</t>
  </si>
  <si>
    <t>MC353CS401106</t>
  </si>
  <si>
    <t>MC353CS401700</t>
  </si>
  <si>
    <t>MC353CS406000</t>
  </si>
  <si>
    <t>MC353CS408206</t>
  </si>
  <si>
    <t>MC353JC441700</t>
  </si>
  <si>
    <t>MC353JC8111001</t>
  </si>
  <si>
    <t>MC353JC8111501</t>
  </si>
  <si>
    <t>MC353NP021001</t>
  </si>
  <si>
    <t>MC353NP021106</t>
  </si>
  <si>
    <t>MC353NP021700</t>
  </si>
  <si>
    <t>MC353NP021800</t>
  </si>
  <si>
    <t>MC353NP024002</t>
  </si>
  <si>
    <t>MC353NP026064</t>
  </si>
  <si>
    <t>MC353NP1031001</t>
  </si>
  <si>
    <t>MC353NP1031700</t>
  </si>
  <si>
    <t>MC353NP1033071</t>
  </si>
  <si>
    <t>MC353NP541106</t>
  </si>
  <si>
    <t>MC353NP541501</t>
  </si>
  <si>
    <t>MC353NP581106</t>
  </si>
  <si>
    <t>MC353NP591106</t>
  </si>
  <si>
    <t>MC353NP591800</t>
  </si>
  <si>
    <t>MC353NP596000</t>
  </si>
  <si>
    <t>MC353NP601106</t>
  </si>
  <si>
    <t>MC353NP604100</t>
  </si>
  <si>
    <t>MC353NP621106</t>
  </si>
  <si>
    <t>MC353NP621800</t>
  </si>
  <si>
    <t>MC353NP626000</t>
  </si>
  <si>
    <t>MC353NP641106</t>
  </si>
  <si>
    <t>MC353NP641800</t>
  </si>
  <si>
    <t>MC353NP891501</t>
  </si>
  <si>
    <t>MC353SY81106</t>
  </si>
  <si>
    <t>MC353SY81800</t>
  </si>
  <si>
    <t>MC353TS351106</t>
  </si>
  <si>
    <t>MC353TS351501</t>
  </si>
  <si>
    <t>MC353TS371106</t>
  </si>
  <si>
    <t>MC353TS375000</t>
  </si>
  <si>
    <t>MC353TS441800</t>
  </si>
  <si>
    <t>MC353TS444100</t>
  </si>
  <si>
    <t>MC353TS591106</t>
  </si>
  <si>
    <t>MC353TS673071</t>
  </si>
  <si>
    <t>MC353TS681106</t>
  </si>
  <si>
    <t>MC353TS684100</t>
  </si>
  <si>
    <t>MC356RH71106</t>
  </si>
  <si>
    <t>MC356RH71800</t>
  </si>
  <si>
    <t>MC356RH74100</t>
  </si>
  <si>
    <t>MC356RH76003</t>
  </si>
  <si>
    <t>MC382SZ54143</t>
  </si>
  <si>
    <t>MC385RG31106</t>
  </si>
  <si>
    <t>MC385VE01501</t>
  </si>
  <si>
    <t>MC408SA62000</t>
  </si>
  <si>
    <t>MC408SA66012</t>
  </si>
  <si>
    <t>MC408SQ91001</t>
  </si>
  <si>
    <t>MC408SQ91100</t>
  </si>
  <si>
    <t>MC408SQ91700</t>
  </si>
  <si>
    <t>MC408US4CQTD</t>
  </si>
  <si>
    <t>MC408XG01821</t>
  </si>
  <si>
    <t>MC408XG0DCIL</t>
  </si>
  <si>
    <t>MC408YM3DGDL</t>
  </si>
  <si>
    <t>MC408ZJ83535</t>
  </si>
  <si>
    <t>MC408ZK81200</t>
  </si>
  <si>
    <t>MC408ZK8</t>
  </si>
  <si>
    <t>DII USED BLACK</t>
  </si>
  <si>
    <t>MC408ZK84000</t>
  </si>
  <si>
    <t>MC408ZM1CIYM</t>
  </si>
  <si>
    <t>MC408ZM1</t>
  </si>
  <si>
    <t>MC408ZR03000</t>
  </si>
  <si>
    <t>MC408ZR0</t>
  </si>
  <si>
    <t>MC408ZR91001</t>
  </si>
  <si>
    <t>MC408ZR9</t>
  </si>
  <si>
    <t>CNF WASH BLACK</t>
  </si>
  <si>
    <t>MC428TF21106</t>
  </si>
  <si>
    <t>MC429TF41106</t>
  </si>
  <si>
    <t>MC429TF46000</t>
  </si>
  <si>
    <t>MC429TF4F1106</t>
  </si>
  <si>
    <t>MC429TJ03071</t>
  </si>
  <si>
    <t>MC431TF11106</t>
  </si>
  <si>
    <t>MC443TF54403</t>
  </si>
  <si>
    <t>MC443TF63443</t>
  </si>
  <si>
    <t>MC443TG81001</t>
  </si>
  <si>
    <t>MC443US51001</t>
  </si>
  <si>
    <t>MC443US53071</t>
  </si>
  <si>
    <t>MC443UV01106</t>
  </si>
  <si>
    <t>MC443UV02000</t>
  </si>
  <si>
    <t>MC443WQ64000</t>
  </si>
  <si>
    <t>MC443WR44100</t>
  </si>
  <si>
    <t>MC444TG74100</t>
  </si>
  <si>
    <t>MC444TH34000</t>
  </si>
  <si>
    <t>MC444TJ38000</t>
  </si>
  <si>
    <t>MC444US51106</t>
  </si>
  <si>
    <t>MC444US51800</t>
  </si>
  <si>
    <t>MC444US54100</t>
  </si>
  <si>
    <t>MC444US5F1001</t>
  </si>
  <si>
    <t>MC444US5F1451</t>
  </si>
  <si>
    <t>MC444US5F1700</t>
  </si>
  <si>
    <t>MC444US5F4100</t>
  </si>
  <si>
    <t>MC444UZ93000</t>
  </si>
  <si>
    <t>MC444WK24000</t>
  </si>
  <si>
    <t>MC444XM31001</t>
  </si>
  <si>
    <t>MC444XT71001</t>
  </si>
  <si>
    <t>MC444XT71100</t>
  </si>
  <si>
    <t>MC444XT71700</t>
  </si>
  <si>
    <t>MC444XU34000</t>
  </si>
  <si>
    <t>MC444XV33071</t>
  </si>
  <si>
    <t>MC444XW46000</t>
  </si>
  <si>
    <t>MC444XW4</t>
  </si>
  <si>
    <t>MC444YQ47000</t>
  </si>
  <si>
    <t>MC445TF91800</t>
  </si>
  <si>
    <t>MC445TF94100</t>
  </si>
  <si>
    <t>MC445TF95000</t>
  </si>
  <si>
    <t>MC446UI31106</t>
  </si>
  <si>
    <t>MC446UI31800</t>
  </si>
  <si>
    <t>MC447UI31106</t>
  </si>
  <si>
    <t>MC447UI31800</t>
  </si>
  <si>
    <t>MC448RK51501</t>
  </si>
  <si>
    <t>MC449RK51501</t>
  </si>
  <si>
    <t>MC449TJ61501</t>
  </si>
  <si>
    <t>MC449VE21001</t>
  </si>
  <si>
    <t>MC449VE21800</t>
  </si>
  <si>
    <t>MC450RK51518</t>
  </si>
  <si>
    <t>MC451N0261800</t>
  </si>
  <si>
    <t>MC451N0266064</t>
  </si>
  <si>
    <t>MC451RK51518</t>
  </si>
  <si>
    <t>MC452TG25000</t>
  </si>
  <si>
    <t>MC453TG25000</t>
  </si>
  <si>
    <t>MC454TG61106</t>
  </si>
  <si>
    <t>MC455TQ84100</t>
  </si>
  <si>
    <t>MC458TG56000</t>
  </si>
  <si>
    <t>MC4609F1700</t>
  </si>
  <si>
    <t>MC460UT74100</t>
  </si>
  <si>
    <t>MC460UT76000</t>
  </si>
  <si>
    <t>MC460WQ24100</t>
  </si>
  <si>
    <t>MC4619F1700</t>
  </si>
  <si>
    <t>MC461UT74100</t>
  </si>
  <si>
    <t>MC461UT76000</t>
  </si>
  <si>
    <t>MC462TS221106</t>
  </si>
  <si>
    <t>MC462TS226059</t>
  </si>
  <si>
    <t>MC463UT71106</t>
  </si>
  <si>
    <t>MC464VI01200</t>
  </si>
  <si>
    <t>MC464VI06000</t>
  </si>
  <si>
    <t>MC464WQ24100</t>
  </si>
  <si>
    <t>MC464WR74143</t>
  </si>
  <si>
    <t>MC465RG31106</t>
  </si>
  <si>
    <t>MC466RG31106</t>
  </si>
  <si>
    <t>MC466RG31800</t>
  </si>
  <si>
    <t>MC467CS581106</t>
  </si>
  <si>
    <t>MC467TS431106</t>
  </si>
  <si>
    <t>MC467TS43H1501</t>
  </si>
  <si>
    <t>MC467WD71106</t>
  </si>
  <si>
    <t>MC467WD71700</t>
  </si>
  <si>
    <t>MC468TF44193</t>
  </si>
  <si>
    <t>MC470TU0H1501</t>
  </si>
  <si>
    <t>MC470VT81106</t>
  </si>
  <si>
    <t>MC470VT81501</t>
  </si>
  <si>
    <t>MC471TU01501</t>
  </si>
  <si>
    <t>MC4FK48IK1100</t>
  </si>
  <si>
    <t>MC4FK48IK4100</t>
  </si>
  <si>
    <t>MC5007UT74000</t>
  </si>
  <si>
    <t>MC5007UT7</t>
  </si>
  <si>
    <t>KNIT COLLEGIATE JACKET</t>
  </si>
  <si>
    <t>MC519TX4CPSM</t>
  </si>
  <si>
    <t>MC519VQ4CVQD</t>
  </si>
  <si>
    <t>MC519WW2DCAL</t>
  </si>
  <si>
    <t>MC528TR21200</t>
  </si>
  <si>
    <t>MC528TR24100</t>
  </si>
  <si>
    <t>MC528TY3CQTD</t>
  </si>
  <si>
    <t>MC528TY4CRQD</t>
  </si>
  <si>
    <t>MC532TF74100</t>
  </si>
  <si>
    <t>MC532TF75000</t>
  </si>
  <si>
    <t>MC533TF81200</t>
  </si>
  <si>
    <t>MC533TF85000</t>
  </si>
  <si>
    <t>MC534RG31106</t>
  </si>
  <si>
    <t>MC534RG31800</t>
  </si>
  <si>
    <t>MC539UV31501</t>
  </si>
  <si>
    <t>MC546TX0CPVD</t>
  </si>
  <si>
    <t>MC546US1CQAM</t>
  </si>
  <si>
    <t>MC546ZR6DMMD</t>
  </si>
  <si>
    <t>MC546ZR6</t>
  </si>
  <si>
    <t>GENO BIG T MOTO NO FLAP</t>
  </si>
  <si>
    <t>DMMD</t>
  </si>
  <si>
    <t>DMMD INDIGO FLLS</t>
  </si>
  <si>
    <t>MC548TS361106</t>
  </si>
  <si>
    <t>MC548TS361800</t>
  </si>
  <si>
    <t>MC557RD1CHYL</t>
  </si>
  <si>
    <t>MC557TY3CQTD</t>
  </si>
  <si>
    <t>MC557TY4CRQD</t>
  </si>
  <si>
    <t>MC558UK11106</t>
  </si>
  <si>
    <t>MC558UK14000</t>
  </si>
  <si>
    <t>MC558UK17233</t>
  </si>
  <si>
    <t>MC565C0341106</t>
  </si>
  <si>
    <t>MC565C0343071</t>
  </si>
  <si>
    <t>MC565CS321700</t>
  </si>
  <si>
    <t>MC565CS441001</t>
  </si>
  <si>
    <t>MC565CS491106</t>
  </si>
  <si>
    <t>MC565CS491501</t>
  </si>
  <si>
    <t>MC565CS491800</t>
  </si>
  <si>
    <t>MC565J1101106</t>
  </si>
  <si>
    <t>MC565N0041001</t>
  </si>
  <si>
    <t>MC565N0081001</t>
  </si>
  <si>
    <t>MC565N0081800</t>
  </si>
  <si>
    <t>MC565N0101001</t>
  </si>
  <si>
    <t>MC565N0101800</t>
  </si>
  <si>
    <t>MC565T0011001</t>
  </si>
  <si>
    <t>MC565T0121106</t>
  </si>
  <si>
    <t>MC565T0124100</t>
  </si>
  <si>
    <t>MC565TS166003</t>
  </si>
  <si>
    <t>MC565TS171106</t>
  </si>
  <si>
    <t>MC565TS201800</t>
  </si>
  <si>
    <t>MC565TS214403</t>
  </si>
  <si>
    <t>MC565TS391106</t>
  </si>
  <si>
    <t>MC565TS391800</t>
  </si>
  <si>
    <t>WHITE SILVER</t>
  </si>
  <si>
    <t>MC565TS395000</t>
  </si>
  <si>
    <t>MC565TS401800</t>
  </si>
  <si>
    <t>MC565TS541106</t>
  </si>
  <si>
    <t>MC565TS541800</t>
  </si>
  <si>
    <t>MC565XV91106</t>
  </si>
  <si>
    <t>MC565XV94002</t>
  </si>
  <si>
    <t>MC565XV96059</t>
  </si>
  <si>
    <t>MC565XV98000</t>
  </si>
  <si>
    <t>MC573TR5CQQM</t>
  </si>
  <si>
    <t>MC573TX9CPSM</t>
  </si>
  <si>
    <t>MC573UR1CSZD</t>
  </si>
  <si>
    <t>MC573XA2DCRL</t>
  </si>
  <si>
    <t>MC574VP9CVIM</t>
  </si>
  <si>
    <t>MC575TS166003</t>
  </si>
  <si>
    <t>MC579VP5CVNM</t>
  </si>
  <si>
    <t>MC579VP5CVOL</t>
  </si>
  <si>
    <t>MC579VP5CVUL</t>
  </si>
  <si>
    <t>MC579VP5RCVOL</t>
  </si>
  <si>
    <t>MC581VP5CVNM</t>
  </si>
  <si>
    <t>MC581WW9CWDL</t>
  </si>
  <si>
    <t>MC583TR6CQOM</t>
  </si>
  <si>
    <t>MC583UQ9CQOM</t>
  </si>
  <si>
    <t>MC584TR6CQOM</t>
  </si>
  <si>
    <t>MC584UQ9CQOM</t>
  </si>
  <si>
    <t>MC585TK14100</t>
  </si>
  <si>
    <t>MC592TJ81001</t>
  </si>
  <si>
    <t>MC594VT81501</t>
  </si>
  <si>
    <t>MC597UT74100</t>
  </si>
  <si>
    <t>MC598VE14100</t>
  </si>
  <si>
    <t>MC600VE14100</t>
  </si>
  <si>
    <t>MC601VE21001</t>
  </si>
  <si>
    <t>MC602VE21001</t>
  </si>
  <si>
    <t>MC603RG34059</t>
  </si>
  <si>
    <t>MC607RG34059</t>
  </si>
  <si>
    <t>MC678UT74100</t>
  </si>
  <si>
    <t>MC683VQ21001</t>
  </si>
  <si>
    <t>MC683VQ21200</t>
  </si>
  <si>
    <t>MC683VQ24143</t>
  </si>
  <si>
    <t>MC683VQ26000</t>
  </si>
  <si>
    <t>MC683WW9CWDL</t>
  </si>
  <si>
    <t>MC684VQ4CVQD</t>
  </si>
  <si>
    <t>MC685VO71001</t>
  </si>
  <si>
    <t>MC685VO71700</t>
  </si>
  <si>
    <t>MC685VO73071</t>
  </si>
  <si>
    <t>MC685VO78000</t>
  </si>
  <si>
    <t>MC685VY03071</t>
  </si>
  <si>
    <t>MC685XI71001</t>
  </si>
  <si>
    <t>MC685XI71307</t>
  </si>
  <si>
    <t>MC685XI71451</t>
  </si>
  <si>
    <t>MC685XI74000</t>
  </si>
  <si>
    <t>MC687VR81100</t>
  </si>
  <si>
    <t>MC687VR81700</t>
  </si>
  <si>
    <t>MC687VR82701</t>
  </si>
  <si>
    <t>MC687VR83000</t>
  </si>
  <si>
    <t>MC687VR84000</t>
  </si>
  <si>
    <t>MC687VR84502</t>
  </si>
  <si>
    <t>MC688VR1CVWL</t>
  </si>
  <si>
    <t>MC689VR9CVRD</t>
  </si>
  <si>
    <t>MC693VS41700</t>
  </si>
  <si>
    <t>MC694NQ3071</t>
  </si>
  <si>
    <t>MC695VX64143</t>
  </si>
  <si>
    <t>MC696UZ51200</t>
  </si>
  <si>
    <t>MC704CS501501</t>
  </si>
  <si>
    <t>MC704CS501800</t>
  </si>
  <si>
    <t>MC708N0591102</t>
  </si>
  <si>
    <t>MC708N059</t>
  </si>
  <si>
    <t>RAGLAN TEE SKULL GRAPHIC</t>
  </si>
  <si>
    <t>GUNMETAL/BLACK</t>
  </si>
  <si>
    <t>MC708NP1011501</t>
  </si>
  <si>
    <t>MC708NP831800</t>
  </si>
  <si>
    <t>MC723UT71106</t>
  </si>
  <si>
    <t>MC724VP5CVNM</t>
  </si>
  <si>
    <t>MC724VP5CVOL</t>
  </si>
  <si>
    <t>MC725VR9CVRD</t>
  </si>
  <si>
    <t>MC725VR9CVUL</t>
  </si>
  <si>
    <t>MC725WV3DAVL</t>
  </si>
  <si>
    <t>MC725WV3DCBD</t>
  </si>
  <si>
    <t>MC727CS384542</t>
  </si>
  <si>
    <t>MC727TS714403</t>
  </si>
  <si>
    <t>MC727TS716000</t>
  </si>
  <si>
    <t>MC728VQ9CVPL</t>
  </si>
  <si>
    <t>MC728WV9DCFL</t>
  </si>
  <si>
    <t>MC729NP611106</t>
  </si>
  <si>
    <t>MC729NP611800</t>
  </si>
  <si>
    <t>MC729NP616000</t>
  </si>
  <si>
    <t>MC729TS701001</t>
  </si>
  <si>
    <t>MC730UT73071</t>
  </si>
  <si>
    <t>MC731UT73071</t>
  </si>
  <si>
    <t>MC748TJ61501</t>
  </si>
  <si>
    <t>MC748VE21001</t>
  </si>
  <si>
    <t>MC748VE21700</t>
  </si>
  <si>
    <t>MC749VT81001</t>
  </si>
  <si>
    <t>MC760WG4DAOD</t>
  </si>
  <si>
    <t>MC761WG6CWAL</t>
  </si>
  <si>
    <t>MC779WA61001</t>
  </si>
  <si>
    <t>MC779WA61075</t>
  </si>
  <si>
    <t>MC779WA61106</t>
  </si>
  <si>
    <t>MC779WA61200</t>
  </si>
  <si>
    <t>MC779WA61700</t>
  </si>
  <si>
    <t>MC779WA61704</t>
  </si>
  <si>
    <t>MC779WA64143</t>
  </si>
  <si>
    <t>MC779WN71200</t>
  </si>
  <si>
    <t>MC779WN71485</t>
  </si>
  <si>
    <t>MC779WN71501</t>
  </si>
  <si>
    <t>MC779WN73000</t>
  </si>
  <si>
    <t>MC785WI61200</t>
  </si>
  <si>
    <t>MC786WQ21451</t>
  </si>
  <si>
    <t>MC788WQ21451</t>
  </si>
  <si>
    <t>MC790TX5CPPM</t>
  </si>
  <si>
    <t>MC791WP81501</t>
  </si>
  <si>
    <t>MC79L06IK1001</t>
  </si>
  <si>
    <t>MC79L06IK4101</t>
  </si>
  <si>
    <t>MC79R58DB71001</t>
  </si>
  <si>
    <t>MC79R58DB71100</t>
  </si>
  <si>
    <t>MC79R58DB74067</t>
  </si>
  <si>
    <t>MC79R58DB76005</t>
  </si>
  <si>
    <t>MC79R58IK1001</t>
  </si>
  <si>
    <t>MC79R58IK4101</t>
  </si>
  <si>
    <t>MC804WP81501</t>
  </si>
  <si>
    <t>MC804WP84100</t>
  </si>
  <si>
    <t>MC804XV81001</t>
  </si>
  <si>
    <t>MC808XY51001</t>
  </si>
  <si>
    <t>MC830WA61451</t>
  </si>
  <si>
    <t>MC859WQ91001</t>
  </si>
  <si>
    <t>MC860WQ91001</t>
  </si>
  <si>
    <t>MC862J0511001</t>
  </si>
  <si>
    <t>MC862J0511700</t>
  </si>
  <si>
    <t>MC862N0111001</t>
  </si>
  <si>
    <t>MC874WQ04000</t>
  </si>
  <si>
    <t>MC878XH71001</t>
  </si>
  <si>
    <t>MC878XH71700</t>
  </si>
  <si>
    <t>MC878XH74100</t>
  </si>
  <si>
    <t>MC878XH76000</t>
  </si>
  <si>
    <t>MC878XU53071</t>
  </si>
  <si>
    <t>MC878XU54100</t>
  </si>
  <si>
    <t>MC880XG81307</t>
  </si>
  <si>
    <t>MC880XG84100</t>
  </si>
  <si>
    <t>MC885C0081451</t>
  </si>
  <si>
    <t>MC892JS1001</t>
  </si>
  <si>
    <t>MC894VQ21001</t>
  </si>
  <si>
    <t>MC894VQ21200</t>
  </si>
  <si>
    <t>MC894VQ24143</t>
  </si>
  <si>
    <t>MC894VQ26000</t>
  </si>
  <si>
    <t>MC897XM11001</t>
  </si>
  <si>
    <t>MC897XM11700</t>
  </si>
  <si>
    <t>MC897XS94143</t>
  </si>
  <si>
    <t>MC898XM11001</t>
  </si>
  <si>
    <t>MC898XS94143</t>
  </si>
  <si>
    <t>MC899XM21001</t>
  </si>
  <si>
    <t>MC900XM31001</t>
  </si>
  <si>
    <t>MC902XQ41001</t>
  </si>
  <si>
    <t>MC907XQ02S</t>
  </si>
  <si>
    <t>MC907XQ0COKM</t>
  </si>
  <si>
    <t>MC907XQ0DIKM</t>
  </si>
  <si>
    <t>MC907XQ0SGD</t>
  </si>
  <si>
    <t>MC907XQ0RSGD</t>
  </si>
  <si>
    <t>MC907XQ0R</t>
  </si>
  <si>
    <t>TONY NO FLAP SE 32 INSEAM</t>
  </si>
  <si>
    <t>MC907XQ0SSGD</t>
  </si>
  <si>
    <t>MC907XQ0S</t>
  </si>
  <si>
    <t>TONY NO FLAP SE 30 INSEAM</t>
  </si>
  <si>
    <t>MC907XU0SGDB</t>
  </si>
  <si>
    <t>MC907YJ901</t>
  </si>
  <si>
    <t>MC907YJ9DFNM</t>
  </si>
  <si>
    <t>MC907YL3DFWM</t>
  </si>
  <si>
    <t>MC907ZN4DKMM</t>
  </si>
  <si>
    <t>MC907ZN4</t>
  </si>
  <si>
    <t>MC907ZN8DKVD</t>
  </si>
  <si>
    <t>MC907ZN8</t>
  </si>
  <si>
    <t>MC907ZO8DKDM</t>
  </si>
  <si>
    <t>MC907ZO8</t>
  </si>
  <si>
    <t>MC907ZY1DQVL</t>
  </si>
  <si>
    <t>MC907ZY1</t>
  </si>
  <si>
    <t>MC910VP5CVNM</t>
  </si>
  <si>
    <t>MC910VP5CVOL</t>
  </si>
  <si>
    <t>MC911VP9CVIM</t>
  </si>
  <si>
    <t>MC912VP7CVSD</t>
  </si>
  <si>
    <t>MC931XV41001</t>
  </si>
  <si>
    <t>MC939YP51078</t>
  </si>
  <si>
    <t>MC939YP52686</t>
  </si>
  <si>
    <t>MC939YP53071</t>
  </si>
  <si>
    <t>MC943WQ91001</t>
  </si>
  <si>
    <t>MC943WQ96000</t>
  </si>
  <si>
    <t>MC948UT71001</t>
  </si>
  <si>
    <t>MC948XW61001</t>
  </si>
  <si>
    <t>MC949XW11001</t>
  </si>
  <si>
    <t>MC950XW01001</t>
  </si>
  <si>
    <t>MC950XW06000</t>
  </si>
  <si>
    <t>MC951XW24143</t>
  </si>
  <si>
    <t>MC954UT71200</t>
  </si>
  <si>
    <t>MC955UT71200</t>
  </si>
  <si>
    <t>MCAMODFFLE3071</t>
  </si>
  <si>
    <t>MCANVASBAG1001</t>
  </si>
  <si>
    <t>MCB2J55K331026</t>
  </si>
  <si>
    <t>MCB2J56K331026</t>
  </si>
  <si>
    <t>MCB2J56K331341</t>
  </si>
  <si>
    <t>MCB2J56K332526</t>
  </si>
  <si>
    <t>MCB800K321001</t>
  </si>
  <si>
    <t>MCB800K321026</t>
  </si>
  <si>
    <t>MCB800K321100</t>
  </si>
  <si>
    <t>MCB800K321262</t>
  </si>
  <si>
    <t>MCB800K321290</t>
  </si>
  <si>
    <t>MCB800K321341</t>
  </si>
  <si>
    <t>MCB800K322000</t>
  </si>
  <si>
    <t>MCB800K323058</t>
  </si>
  <si>
    <t>MCB800K324101</t>
  </si>
  <si>
    <t>MCB800K324329</t>
  </si>
  <si>
    <t>MCB800K326047</t>
  </si>
  <si>
    <t>MCB800K328003</t>
  </si>
  <si>
    <t>MCB859K321026</t>
  </si>
  <si>
    <t>MCB859K321056</t>
  </si>
  <si>
    <t>MCB859K321085</t>
  </si>
  <si>
    <t>MCB859K321116</t>
  </si>
  <si>
    <t>MCB859K321290</t>
  </si>
  <si>
    <t>MCB859K321330</t>
  </si>
  <si>
    <t>MCB859K321341</t>
  </si>
  <si>
    <t>MCB859K322122</t>
  </si>
  <si>
    <t>MCB859K322412</t>
  </si>
  <si>
    <t>MCB859K322526</t>
  </si>
  <si>
    <t>MCB859K323238</t>
  </si>
  <si>
    <t>MCB859K323239</t>
  </si>
  <si>
    <t>MCB859K323408</t>
  </si>
  <si>
    <t>MCB859K323457</t>
  </si>
  <si>
    <t>MCB859K324287</t>
  </si>
  <si>
    <t>MCB859K324362</t>
  </si>
  <si>
    <t>MCB859K324614</t>
  </si>
  <si>
    <t>MCB859K324615</t>
  </si>
  <si>
    <t>MCB859K324616</t>
  </si>
  <si>
    <t>MCB859K324824</t>
  </si>
  <si>
    <t>MCB859K325084</t>
  </si>
  <si>
    <t>MCB859K326261</t>
  </si>
  <si>
    <t>MCB859K326331</t>
  </si>
  <si>
    <t>MCB859K327235</t>
  </si>
  <si>
    <t>MCB859K327349</t>
  </si>
  <si>
    <t>MCB859K328340</t>
  </si>
  <si>
    <t>MCB859NJD21300</t>
  </si>
  <si>
    <t>MCB859NJD21700</t>
  </si>
  <si>
    <t>MCB859NJD23524</t>
  </si>
  <si>
    <t>MCB859NJD24093</t>
  </si>
  <si>
    <t>MCB859NJD24679</t>
  </si>
  <si>
    <t>MCB859NJD26308</t>
  </si>
  <si>
    <t>MCB859NJD26477</t>
  </si>
  <si>
    <t>MCB859NJD27122</t>
  </si>
  <si>
    <t>MCB859NJD27226</t>
  </si>
  <si>
    <t>MCB859NJD28410</t>
  </si>
  <si>
    <t>MCB903K321025</t>
  </si>
  <si>
    <t>MCB903K321308</t>
  </si>
  <si>
    <t>MCB9R46V084128</t>
  </si>
  <si>
    <t>MCB9R46V087223</t>
  </si>
  <si>
    <t>MCBC087JD21056</t>
  </si>
  <si>
    <t>MCBC087JD21300</t>
  </si>
  <si>
    <t>MCBC087JD21700</t>
  </si>
  <si>
    <t>MCBC087JD24679</t>
  </si>
  <si>
    <t>MCBC087JD26308</t>
  </si>
  <si>
    <t>MCBC087JD27226</t>
  </si>
  <si>
    <t>MCBJ19K321056</t>
  </si>
  <si>
    <t>MCBJ19K321116</t>
  </si>
  <si>
    <t>MCBJ19K321290</t>
  </si>
  <si>
    <t>MCBJ19K322122</t>
  </si>
  <si>
    <t>MCBJ19K322412</t>
  </si>
  <si>
    <t>MCBJ19K323238</t>
  </si>
  <si>
    <t>MCBJ19K323239</t>
  </si>
  <si>
    <t>MCBJ19K323408</t>
  </si>
  <si>
    <t>MCBJ19K323457</t>
  </si>
  <si>
    <t>MCBJ19K324362</t>
  </si>
  <si>
    <t>MCBJ19K324614</t>
  </si>
  <si>
    <t>MCBJ19K324615</t>
  </si>
  <si>
    <t>MCBJ19K324616</t>
  </si>
  <si>
    <t>MCBJ19K324824</t>
  </si>
  <si>
    <t>MCBJ19K325084</t>
  </si>
  <si>
    <t>MCBJ19K326261</t>
  </si>
  <si>
    <t>MCBJ19K326331</t>
  </si>
  <si>
    <t>MCBJ19K327235</t>
  </si>
  <si>
    <t>MCBJ19K327349</t>
  </si>
  <si>
    <t>MCBJ19K328340</t>
  </si>
  <si>
    <t>MCBJ19K32O1035</t>
  </si>
  <si>
    <t>MCBJ19NJD21056</t>
  </si>
  <si>
    <t>MCBJ19NJD21300</t>
  </si>
  <si>
    <t>MCBJ19NJD21700</t>
  </si>
  <si>
    <t>MCBJ19NJD23524</t>
  </si>
  <si>
    <t>MCBJ19NJD24093</t>
  </si>
  <si>
    <t>MCBJ19NJD24679</t>
  </si>
  <si>
    <t>MCBJ19NJD26308</t>
  </si>
  <si>
    <t>MCBJ19NJD26331</t>
  </si>
  <si>
    <t>MCBJ19NJD26477</t>
  </si>
  <si>
    <t>MCBJ19NJD27122</t>
  </si>
  <si>
    <t>MCBJ19NJD27226</t>
  </si>
  <si>
    <t>MCBJ19NJD28410</t>
  </si>
  <si>
    <t>MCBP31K321056</t>
  </si>
  <si>
    <t>MCBP31K324170</t>
  </si>
  <si>
    <t>MCBP31V081024</t>
  </si>
  <si>
    <t>MCBP31V081056</t>
  </si>
  <si>
    <t>MCBP31V081108</t>
  </si>
  <si>
    <t>MCBP31V081116</t>
  </si>
  <si>
    <t>MCBP31V081509</t>
  </si>
  <si>
    <t>MCBP31V081511</t>
  </si>
  <si>
    <t>MCBP31V082118</t>
  </si>
  <si>
    <t>MCBP31V082122</t>
  </si>
  <si>
    <t>MCBP31V083024</t>
  </si>
  <si>
    <t>MCBP31V083026</t>
  </si>
  <si>
    <t>MCBP31V083063</t>
  </si>
  <si>
    <t>MCBP31V084128</t>
  </si>
  <si>
    <t>MCBP31V084158</t>
  </si>
  <si>
    <t>MCBP31V086039</t>
  </si>
  <si>
    <t>MCBP31V086097</t>
  </si>
  <si>
    <t>MCBP31V087223</t>
  </si>
  <si>
    <t>MCBP31V087226</t>
  </si>
  <si>
    <t>MCBP32V081024</t>
  </si>
  <si>
    <t>MCBP32V081116</t>
  </si>
  <si>
    <t>MCBP32V083024</t>
  </si>
  <si>
    <t>MCBP32V083026</t>
  </si>
  <si>
    <t>MCBP32V084128</t>
  </si>
  <si>
    <t>MCBP32V084158</t>
  </si>
  <si>
    <t>MCBP32V084169</t>
  </si>
  <si>
    <t>MCBP32V087223</t>
  </si>
  <si>
    <t>MCBP32V087226</t>
  </si>
  <si>
    <t>MCBR71K321116</t>
  </si>
  <si>
    <t>MCBR71K323026</t>
  </si>
  <si>
    <t>MCBR71V081024</t>
  </si>
  <si>
    <t>MCBR71V081056</t>
  </si>
  <si>
    <t>MCBR71V081108</t>
  </si>
  <si>
    <t>MCBR71V081116</t>
  </si>
  <si>
    <t>MCBR71V081509</t>
  </si>
  <si>
    <t>MCBR71V081511</t>
  </si>
  <si>
    <t>MCBR71V082118</t>
  </si>
  <si>
    <t>MCBR71V082122</t>
  </si>
  <si>
    <t>MCBR71V083024</t>
  </si>
  <si>
    <t>MCBR71V083026</t>
  </si>
  <si>
    <t>MCBR71V084128</t>
  </si>
  <si>
    <t>MCBR71V084158</t>
  </si>
  <si>
    <t>MCBR71V087223</t>
  </si>
  <si>
    <t>MCBR71V087226</t>
  </si>
  <si>
    <t>MCBU23AS43240</t>
  </si>
  <si>
    <t>MCBU23AS43346</t>
  </si>
  <si>
    <t>MCBU23AS43414</t>
  </si>
  <si>
    <t>MCBU23AS44623</t>
  </si>
  <si>
    <t>MCBU23AS44624</t>
  </si>
  <si>
    <t>MCBU23AS44625</t>
  </si>
  <si>
    <t>MCBU23AS45089</t>
  </si>
  <si>
    <t>MCBU23AS46264</t>
  </si>
  <si>
    <t>MCBU23AS47353</t>
  </si>
  <si>
    <t>MCBU23AS48344</t>
  </si>
  <si>
    <t>MCBU23K331100</t>
  </si>
  <si>
    <t>MCBU23K332164</t>
  </si>
  <si>
    <t>MCBU23K333447</t>
  </si>
  <si>
    <t>MCBU23K334815</t>
  </si>
  <si>
    <t>MCBV46AS43240</t>
  </si>
  <si>
    <t>MCBV46AS43346</t>
  </si>
  <si>
    <t>MCBV46AS43414</t>
  </si>
  <si>
    <t>MCBV46AS44623</t>
  </si>
  <si>
    <t>MCBV46AS44624</t>
  </si>
  <si>
    <t>MCBV46AS44625</t>
  </si>
  <si>
    <t>MCBV46AS45089</t>
  </si>
  <si>
    <t>MCBV46AS46264</t>
  </si>
  <si>
    <t>MCBV46AS47353</t>
  </si>
  <si>
    <t>MCBV46AS48344</t>
  </si>
  <si>
    <t>MCBV46K331100</t>
  </si>
  <si>
    <t>MCBV46K332164</t>
  </si>
  <si>
    <t>MCBV46K333447</t>
  </si>
  <si>
    <t>MCBV46K334815</t>
  </si>
  <si>
    <t>MCBV47K323238</t>
  </si>
  <si>
    <t>MCBV47K323239</t>
  </si>
  <si>
    <t>MCBV47K323408</t>
  </si>
  <si>
    <t>MCBV47K324614</t>
  </si>
  <si>
    <t>MCBV47K324615</t>
  </si>
  <si>
    <t>MCBV47K324616</t>
  </si>
  <si>
    <t>MCBV47K325084</t>
  </si>
  <si>
    <t>MCBV47K326261</t>
  </si>
  <si>
    <t>MCBV47K327349</t>
  </si>
  <si>
    <t>MCBV47K328340</t>
  </si>
  <si>
    <t>MCBV91K321056</t>
  </si>
  <si>
    <t>MCBV91K321290</t>
  </si>
  <si>
    <t>MCBV91K322122</t>
  </si>
  <si>
    <t>MCBV91K322412</t>
  </si>
  <si>
    <t>MCBV91K323457</t>
  </si>
  <si>
    <t>MCBV91K324362</t>
  </si>
  <si>
    <t>MCBV91K324824</t>
  </si>
  <si>
    <t>MCBV91K326331</t>
  </si>
  <si>
    <t>MCC719K351025</t>
  </si>
  <si>
    <t>MCC719K351308</t>
  </si>
  <si>
    <t>MCC719K351509</t>
  </si>
  <si>
    <t>MCC719K351511</t>
  </si>
  <si>
    <t>MCC719K352118</t>
  </si>
  <si>
    <t>MCC719K352122</t>
  </si>
  <si>
    <t>MCC719K357223</t>
  </si>
  <si>
    <t>MCK859NR101</t>
  </si>
  <si>
    <t>MCK859NR13M</t>
  </si>
  <si>
    <t>MCKN55J392S</t>
  </si>
  <si>
    <t>MCKN55J39LLD</t>
  </si>
  <si>
    <t>MCKN55J39MPD</t>
  </si>
  <si>
    <t>MCKN55J39MZD</t>
  </si>
  <si>
    <t>MCKN55J39PDM</t>
  </si>
  <si>
    <t>MCKN56J392S</t>
  </si>
  <si>
    <t>MCKN56J39BZ</t>
  </si>
  <si>
    <t>MCKN56J39LLD</t>
  </si>
  <si>
    <t>MCKN56J39MPD</t>
  </si>
  <si>
    <t>MCKN56J39MZD</t>
  </si>
  <si>
    <t>MCKN56J39NKL</t>
  </si>
  <si>
    <t>MCKN56J39PDM</t>
  </si>
  <si>
    <t>MCKN57J3901</t>
  </si>
  <si>
    <t>MCKN57J392S</t>
  </si>
  <si>
    <t>MCKN57J39BZ</t>
  </si>
  <si>
    <t>MCKN57J39LLD</t>
  </si>
  <si>
    <t>MCKN57J39MPD</t>
  </si>
  <si>
    <t>MCKN57J39MZD</t>
  </si>
  <si>
    <t>MCKN57J39PDM</t>
  </si>
  <si>
    <t>MCKN65J39LKM</t>
  </si>
  <si>
    <t>MCKQ72J39THM</t>
  </si>
  <si>
    <t>MCKR11J39RHL</t>
  </si>
  <si>
    <t>MCKR11J39THM</t>
  </si>
  <si>
    <t>MCL719J24FZMB</t>
  </si>
  <si>
    <t>MCXA602MC5BLCL</t>
  </si>
  <si>
    <t>MCZ800BJ91001</t>
  </si>
  <si>
    <t>MCZ859EL1100</t>
  </si>
  <si>
    <t>MCZ859EM4000</t>
  </si>
  <si>
    <t>MCZ859KN8M1826</t>
  </si>
  <si>
    <t>MCZ859SH98000</t>
  </si>
  <si>
    <t>MCZ859SO41826</t>
  </si>
  <si>
    <t>MCZ859TSM4000</t>
  </si>
  <si>
    <t>MCZ859TSM6000</t>
  </si>
  <si>
    <t>MCZ859TT91826</t>
  </si>
  <si>
    <t>MCZQ59KN8M1826</t>
  </si>
  <si>
    <t>MD015WQ21001</t>
  </si>
  <si>
    <t>MD016US51200</t>
  </si>
  <si>
    <t>MD017N0181501</t>
  </si>
  <si>
    <t>DECAL PATCH ELONGATED</t>
  </si>
  <si>
    <t>MD017N0186000</t>
  </si>
  <si>
    <t>MD023YX3DAGL</t>
  </si>
  <si>
    <t>MD023YX4DDWD</t>
  </si>
  <si>
    <t>MD023YX5SGDB</t>
  </si>
  <si>
    <t>MD023YX6DDZL</t>
  </si>
  <si>
    <t>MD023YX7DDXD</t>
  </si>
  <si>
    <t>MD023YX7DDYL</t>
  </si>
  <si>
    <t>MD023YX7DIFD</t>
  </si>
  <si>
    <t>MD023YX7DMGM</t>
  </si>
  <si>
    <t>DMGM</t>
  </si>
  <si>
    <t>DMGM WRN IND MSFT</t>
  </si>
  <si>
    <t>MD023ZQ7DMHM</t>
  </si>
  <si>
    <t>MD023ZQ7</t>
  </si>
  <si>
    <t>DMHM</t>
  </si>
  <si>
    <t>DMHM WRN GRY MSFT</t>
  </si>
  <si>
    <t>MD023ZQ8DKVD</t>
  </si>
  <si>
    <t>MD023ZQ8</t>
  </si>
  <si>
    <t>MD025WW41001</t>
  </si>
  <si>
    <t>MD025WW44100</t>
  </si>
  <si>
    <t>MD025ZW51001</t>
  </si>
  <si>
    <t>MD025ZW5</t>
  </si>
  <si>
    <t>DNY BLACK</t>
  </si>
  <si>
    <t>MD025ZW51307</t>
  </si>
  <si>
    <t>DNY INCENSE</t>
  </si>
  <si>
    <t>MD025ZW53196</t>
  </si>
  <si>
    <t>DNY MILITANT GREEN</t>
  </si>
  <si>
    <t>MD025ZW56000</t>
  </si>
  <si>
    <t>DNY RUBY RED</t>
  </si>
  <si>
    <t>MD026YM01451</t>
  </si>
  <si>
    <t>MD026YM03071</t>
  </si>
  <si>
    <t>MD046XU84143</t>
  </si>
  <si>
    <t>MD055ZB8DIDL</t>
  </si>
  <si>
    <t>MD056ZB8DIFD</t>
  </si>
  <si>
    <t>MD078ZL2DGFD</t>
  </si>
  <si>
    <t>MD078ZL2</t>
  </si>
  <si>
    <t>ROCCO BIKER</t>
  </si>
  <si>
    <t>MD078ZL3DFNM</t>
  </si>
  <si>
    <t>MD078ZL3</t>
  </si>
  <si>
    <t>MD078ZW0DQBL</t>
  </si>
  <si>
    <t>MD078ZW0</t>
  </si>
  <si>
    <t>MD078ZX9DRVM</t>
  </si>
  <si>
    <t>MD078ZX9</t>
  </si>
  <si>
    <t>DRVM</t>
  </si>
  <si>
    <t>DRVM WN GRY RBLN</t>
  </si>
  <si>
    <t>MD078ZY61001</t>
  </si>
  <si>
    <t>MD078ZY6</t>
  </si>
  <si>
    <t>DFQ BLACK</t>
  </si>
  <si>
    <t>MD078ZY61700</t>
  </si>
  <si>
    <t>DFQ WHITE</t>
  </si>
  <si>
    <t>MD078ZY63196</t>
  </si>
  <si>
    <t>DFQ MILITANT GREEN</t>
  </si>
  <si>
    <t>MD078ZY66000</t>
  </si>
  <si>
    <t>DFQ RUBY RED</t>
  </si>
  <si>
    <t>MD085ZK6MDKIM</t>
  </si>
  <si>
    <t>MD085ZK6M</t>
  </si>
  <si>
    <t>SUPER T RYAN</t>
  </si>
  <si>
    <t>DKIM</t>
  </si>
  <si>
    <t>DKIM RUNYON REBL</t>
  </si>
  <si>
    <t>MD086C0671106</t>
  </si>
  <si>
    <t>MD086C067</t>
  </si>
  <si>
    <t>METALLIC GOLD BUDDHA</t>
  </si>
  <si>
    <t>MD086C0671800</t>
  </si>
  <si>
    <t>MD086C067F1106</t>
  </si>
  <si>
    <t>MD086C067F</t>
  </si>
  <si>
    <t>MD086C067F1800</t>
  </si>
  <si>
    <t>MD086C0701700</t>
  </si>
  <si>
    <t>MD086ZN6DIKM</t>
  </si>
  <si>
    <t>MD086ZN6DILM</t>
  </si>
  <si>
    <t>MD087ZP4DMIM</t>
  </si>
  <si>
    <t>MD087ZP4</t>
  </si>
  <si>
    <t>DARTED ROCCO BIKER</t>
  </si>
  <si>
    <t>DMIM</t>
  </si>
  <si>
    <t>DMIM BRKN FIGHTR</t>
  </si>
  <si>
    <t>MD087ZP4DMJM</t>
  </si>
  <si>
    <t>DMJM</t>
  </si>
  <si>
    <t>DMJM GRY BRKN FTR</t>
  </si>
  <si>
    <t>MD088ZP71001</t>
  </si>
  <si>
    <t>MD088ZP71700</t>
  </si>
  <si>
    <t>MD091WF4CPSM</t>
  </si>
  <si>
    <t>MD091ZP71001</t>
  </si>
  <si>
    <t>MD091ZP71700</t>
  </si>
  <si>
    <t>MD091ZZ0DRGM</t>
  </si>
  <si>
    <t>MD091ZZ0</t>
  </si>
  <si>
    <t>DRGM</t>
  </si>
  <si>
    <t>DRGM CLOUD CAST</t>
  </si>
  <si>
    <t>MD092ZR03000</t>
  </si>
  <si>
    <t>MD092ZR0</t>
  </si>
  <si>
    <t>ROCCO CARGO MOTO CAMO</t>
  </si>
  <si>
    <t>MD092ZS7DNTM</t>
  </si>
  <si>
    <t>MD092ZS7</t>
  </si>
  <si>
    <t>ROCCO CLASSIC CARGO MOTO SE</t>
  </si>
  <si>
    <t>DNTM</t>
  </si>
  <si>
    <t>DNTM OUTSIDER</t>
  </si>
  <si>
    <t>MD092ZU41001</t>
  </si>
  <si>
    <t>MD092ZU4</t>
  </si>
  <si>
    <t>MD092ZU43106</t>
  </si>
  <si>
    <t>DII WASH MILITANT GREEN</t>
  </si>
  <si>
    <t>MD097ZY33000</t>
  </si>
  <si>
    <t>MD097ZY3</t>
  </si>
  <si>
    <t>DNV MILITANT GREEN</t>
  </si>
  <si>
    <t>MD098AAKSGDB</t>
  </si>
  <si>
    <t>MD098AAK</t>
  </si>
  <si>
    <t>GENO CLASSIC CARGO MOTO SE</t>
  </si>
  <si>
    <t>MD098ZU2DILM</t>
  </si>
  <si>
    <t>MD098ZU2</t>
  </si>
  <si>
    <t>MD100ZY2DQFM</t>
  </si>
  <si>
    <t>MD100ZY2</t>
  </si>
  <si>
    <t>GENO BIKER</t>
  </si>
  <si>
    <t>DQFM</t>
  </si>
  <si>
    <t>DQFM WRN RBLLION</t>
  </si>
  <si>
    <t>MD104WV9DKIM</t>
  </si>
  <si>
    <t>MD104WV9</t>
  </si>
  <si>
    <t>SS TRIPLE NEEDLE WSTN SHIRT SE</t>
  </si>
  <si>
    <t>MDA859N20ADOKL</t>
  </si>
  <si>
    <t>MDA859N20A</t>
  </si>
  <si>
    <t>DOKL</t>
  </si>
  <si>
    <t>DOKL VINTGE GLRY</t>
  </si>
  <si>
    <t>MDA859N21C2S</t>
  </si>
  <si>
    <t>MDA859N21C</t>
  </si>
  <si>
    <t>17M1</t>
  </si>
  <si>
    <t>MDA859N22ADOML</t>
  </si>
  <si>
    <t>MDA859N22A</t>
  </si>
  <si>
    <t>DOML</t>
  </si>
  <si>
    <t>DOML INDIGO FSSL</t>
  </si>
  <si>
    <t>MDA859N24ADONL</t>
  </si>
  <si>
    <t>MDA859N24A</t>
  </si>
  <si>
    <t>DONL</t>
  </si>
  <si>
    <t>DONL RARE FIND</t>
  </si>
  <si>
    <t>MDA859N29ADRPM</t>
  </si>
  <si>
    <t>MDA859N29A</t>
  </si>
  <si>
    <t>DRPM</t>
  </si>
  <si>
    <t>DRPM DESERT ROAD</t>
  </si>
  <si>
    <t>MDAE08N21BDRZB</t>
  </si>
  <si>
    <t>MDAE08N21B</t>
  </si>
  <si>
    <t>GENO WITH FLAP SE</t>
  </si>
  <si>
    <t>DRZB</t>
  </si>
  <si>
    <t>DRZB NIGHTFALL</t>
  </si>
  <si>
    <t>MDAE08N28ADRND</t>
  </si>
  <si>
    <t>MDAE08N28A</t>
  </si>
  <si>
    <t>DRND</t>
  </si>
  <si>
    <t>DRND DEEP WELL</t>
  </si>
  <si>
    <t>MDAH54N21ADOKL</t>
  </si>
  <si>
    <t>MDAH54N21A</t>
  </si>
  <si>
    <t>MDAH54N25BDOKL</t>
  </si>
  <si>
    <t>MDAH54N25B</t>
  </si>
  <si>
    <t>MDAJ19N21C2S</t>
  </si>
  <si>
    <t>MDAJ19N21C</t>
  </si>
  <si>
    <t>MDAJ19N22DBZB</t>
  </si>
  <si>
    <t>MDAJ19N22D</t>
  </si>
  <si>
    <t>MDAJ19N25ADOKL</t>
  </si>
  <si>
    <t>MDAJ19N25A</t>
  </si>
  <si>
    <t>MDAJ19N26BDOKL</t>
  </si>
  <si>
    <t>MDAJ19N26B</t>
  </si>
  <si>
    <t>MDAJ60N21BDRZB</t>
  </si>
  <si>
    <t>MDAJ60N21B</t>
  </si>
  <si>
    <t>MDAJ60N22CDTID</t>
  </si>
  <si>
    <t>MDAJ60N22C</t>
  </si>
  <si>
    <t>DTID</t>
  </si>
  <si>
    <t>DTID INDIGO HRZN</t>
  </si>
  <si>
    <t>MDAJ60N23ADOLM</t>
  </si>
  <si>
    <t>MDAJ60N23A</t>
  </si>
  <si>
    <t>DOLM</t>
  </si>
  <si>
    <t>DOLM INDIGO BRRL</t>
  </si>
  <si>
    <t>MDAJ60N27BDOLM</t>
  </si>
  <si>
    <t>MDAJ60N27B</t>
  </si>
  <si>
    <t>MDE800IT711</t>
  </si>
  <si>
    <t>MDE800IT7UNW</t>
  </si>
  <si>
    <t>MDE800OMMBPMD</t>
  </si>
  <si>
    <t>MDE858HF3BASM</t>
  </si>
  <si>
    <t>MDE859HF211</t>
  </si>
  <si>
    <t>MDE859HF3APQM</t>
  </si>
  <si>
    <t>MDE859IC6AQKM</t>
  </si>
  <si>
    <t>MDE859IQ0BILD</t>
  </si>
  <si>
    <t>MDE859IT7AQKM</t>
  </si>
  <si>
    <t>MDE859IT7UNW</t>
  </si>
  <si>
    <t>MDE859IT8BBHD</t>
  </si>
  <si>
    <t>MDE859IT8UNW</t>
  </si>
  <si>
    <t>MDE859IT9APUD</t>
  </si>
  <si>
    <t>MDE859IT9UNW</t>
  </si>
  <si>
    <t>MDE859J102S</t>
  </si>
  <si>
    <t>MDE859J10</t>
  </si>
  <si>
    <t>STRAIGHT W/FLAPS PAINTED POCKE</t>
  </si>
  <si>
    <t>MDE859LP1BOPM</t>
  </si>
  <si>
    <t>MDE859M60BJAL</t>
  </si>
  <si>
    <t>MDE859MR9BPNM</t>
  </si>
  <si>
    <t>MDE859NB7BPSM</t>
  </si>
  <si>
    <t>MDE859TSMBHCD</t>
  </si>
  <si>
    <t>MDE859UT2BODM</t>
  </si>
  <si>
    <t>MDE859Y9M2S</t>
  </si>
  <si>
    <t>MDE861ZFJ3AQSM</t>
  </si>
  <si>
    <t>MDEC348Y92S</t>
  </si>
  <si>
    <t>MDEE08ZTSM3M</t>
  </si>
  <si>
    <t>MDEH54ZHF2APPM</t>
  </si>
  <si>
    <t>MDEH54ZKB5BHCD</t>
  </si>
  <si>
    <t>MDEH54ZTSBODM</t>
  </si>
  <si>
    <t>MDF859BCS1270</t>
  </si>
  <si>
    <t>MDI7L08L241701</t>
  </si>
  <si>
    <t>MDI7L08L242000</t>
  </si>
  <si>
    <t>MDI7L08L244101</t>
  </si>
  <si>
    <t>MDI7L08L246000</t>
  </si>
  <si>
    <t>MDLN76Y9NCD</t>
  </si>
  <si>
    <t>MDMB078MD14092</t>
  </si>
  <si>
    <t>MDOB452SE21001</t>
  </si>
  <si>
    <t>MDOB452SE21118</t>
  </si>
  <si>
    <t>MDOB452SE21700</t>
  </si>
  <si>
    <t>MDOB452SE23071</t>
  </si>
  <si>
    <t>MDOB452SE24401</t>
  </si>
  <si>
    <t>MDOB452SE26000</t>
  </si>
  <si>
    <t>MDOB452SE26059</t>
  </si>
  <si>
    <t>MDPA903LK9BSSM</t>
  </si>
  <si>
    <t>MDQB719TT1001</t>
  </si>
  <si>
    <t>MDQB719TT1202</t>
  </si>
  <si>
    <t>MDQB719TT2500</t>
  </si>
  <si>
    <t>MDQB719TT3152</t>
  </si>
  <si>
    <t>MDQB719TT4101</t>
  </si>
  <si>
    <t>MDS800K331056</t>
  </si>
  <si>
    <t>MDS800K332122</t>
  </si>
  <si>
    <t>MDS800K334170</t>
  </si>
  <si>
    <t>MDS800V292122</t>
  </si>
  <si>
    <t>MDS859K331026</t>
  </si>
  <si>
    <t>MDS859K331056</t>
  </si>
  <si>
    <t>MDS859K331110</t>
  </si>
  <si>
    <t>MDS859K332019</t>
  </si>
  <si>
    <t>MDS859V291024</t>
  </si>
  <si>
    <t>MDS859V294158</t>
  </si>
  <si>
    <t>MDS9M53K321001</t>
  </si>
  <si>
    <t>MDS9M53K321025</t>
  </si>
  <si>
    <t>MDS9M53K321026</t>
  </si>
  <si>
    <t>MDSJ19K331026</t>
  </si>
  <si>
    <t>MDSJ19K331110</t>
  </si>
  <si>
    <t>MDSJ19K332019</t>
  </si>
  <si>
    <t>MDSJ19V291511</t>
  </si>
  <si>
    <t>MDSJ19V294128</t>
  </si>
  <si>
    <t>MDU859NME31001</t>
  </si>
  <si>
    <t>MDU859NME44933</t>
  </si>
  <si>
    <t>MDU859NME52501</t>
  </si>
  <si>
    <t>MDU859NNK06113</t>
  </si>
  <si>
    <t>MDU859NNW11310</t>
  </si>
  <si>
    <t>MDU859NNW26497</t>
  </si>
  <si>
    <t>MDU859NNW31991</t>
  </si>
  <si>
    <t>MDUA806SP41310</t>
  </si>
  <si>
    <t>MDUA806SP42501</t>
  </si>
  <si>
    <t>MDUC126ME31128</t>
  </si>
  <si>
    <t>MDUC126ME44933</t>
  </si>
  <si>
    <t>MDUC126ME52501</t>
  </si>
  <si>
    <t>MDUJ19NME31001</t>
  </si>
  <si>
    <t>MDUJ19NME44933</t>
  </si>
  <si>
    <t>MDUJ19NME52501</t>
  </si>
  <si>
    <t>MDUJ19NNK06113</t>
  </si>
  <si>
    <t>MDUJ19NNW26497</t>
  </si>
  <si>
    <t>MDUJ19NNW31991</t>
  </si>
  <si>
    <t>MDVB088MD8BXPL</t>
  </si>
  <si>
    <t>MDVE08NMD8BXPL</t>
  </si>
  <si>
    <t>MDVE08NMD8BZDM</t>
  </si>
  <si>
    <t>MDYB085MD41203</t>
  </si>
  <si>
    <t>MDYB085MD43551</t>
  </si>
  <si>
    <t>MDYB085MD46119</t>
  </si>
  <si>
    <t>MDZA806MG23553</t>
  </si>
  <si>
    <t>MDZA806NB64003</t>
  </si>
  <si>
    <t>ME08NAAEDRIL</t>
  </si>
  <si>
    <t>ME08NAAE</t>
  </si>
  <si>
    <t>DRIL</t>
  </si>
  <si>
    <t>DRIL SHALLOW LAKE</t>
  </si>
  <si>
    <t>ME08NAAGDPYL</t>
  </si>
  <si>
    <t>ME08NAAG</t>
  </si>
  <si>
    <t>ME08NAANDQUD</t>
  </si>
  <si>
    <t>ME08NAAN</t>
  </si>
  <si>
    <t>ME08NJD21200</t>
  </si>
  <si>
    <t>ME08NJD22500</t>
  </si>
  <si>
    <t>ME08NJD24100</t>
  </si>
  <si>
    <t>ME08NQN01001</t>
  </si>
  <si>
    <t>ME08NQN04100</t>
  </si>
  <si>
    <t>ME08NQN07233</t>
  </si>
  <si>
    <t>ME08NRR06000</t>
  </si>
  <si>
    <t>ME08NRR11200</t>
  </si>
  <si>
    <t>ME08NRR24000</t>
  </si>
  <si>
    <t>ME08NRX2CIKM</t>
  </si>
  <si>
    <t>ME08NRX6CIYM</t>
  </si>
  <si>
    <t>ME08NRX9CLZD</t>
  </si>
  <si>
    <t>ME08NRY5CLQM</t>
  </si>
  <si>
    <t>ME08NRY6CJEL</t>
  </si>
  <si>
    <t>ME08NRZ31200</t>
  </si>
  <si>
    <t>ME08NRZ36000</t>
  </si>
  <si>
    <t>ME08NRZ8CJJD</t>
  </si>
  <si>
    <t>ME08NRZ9CJKL</t>
  </si>
  <si>
    <t>ME08NSA0CJKL</t>
  </si>
  <si>
    <t>ME08NSA9BZ</t>
  </si>
  <si>
    <t>ME08NSB3CJOD</t>
  </si>
  <si>
    <t>ME08NSU82500</t>
  </si>
  <si>
    <t>ME08NTS0BZ</t>
  </si>
  <si>
    <t>ME08NTS81001</t>
  </si>
  <si>
    <t>ME08NTS84100</t>
  </si>
  <si>
    <t>ME08NTS86003</t>
  </si>
  <si>
    <t>ME08NTU7CQDD</t>
  </si>
  <si>
    <t>ME08NTU7CQEM</t>
  </si>
  <si>
    <t>ME08NTW5CQRD</t>
  </si>
  <si>
    <t>ME08NTW8CPPM</t>
  </si>
  <si>
    <t>ME08NTW8CPRD</t>
  </si>
  <si>
    <t>ME08NTW8CPSM</t>
  </si>
  <si>
    <t>ME08NTX82000</t>
  </si>
  <si>
    <t>ME08NTX86000</t>
  </si>
  <si>
    <t>ME08NTY9CQAM</t>
  </si>
  <si>
    <t>ME08NUQ8CPPM</t>
  </si>
  <si>
    <t>ME08NVO0CVGM</t>
  </si>
  <si>
    <t>ME08NVO1CVHM</t>
  </si>
  <si>
    <t>ME08NVO6CVHM</t>
  </si>
  <si>
    <t>ME08NVQ0CVTM</t>
  </si>
  <si>
    <t>ME08NVQ31200</t>
  </si>
  <si>
    <t>ME08NVQ32701</t>
  </si>
  <si>
    <t>ME08NVQ36000</t>
  </si>
  <si>
    <t>ME08NVQ5CWDL</t>
  </si>
  <si>
    <t>ME08NVR1CVWL</t>
  </si>
  <si>
    <t>ME08NVR3CWBM</t>
  </si>
  <si>
    <t>ME08NVR4CVVD</t>
  </si>
  <si>
    <t>ME08NVZ3BPGM</t>
  </si>
  <si>
    <t>ME08NWH6CQRD</t>
  </si>
  <si>
    <t>ME08NWV6DCDL</t>
  </si>
  <si>
    <t>ME08NWW0DCGM</t>
  </si>
  <si>
    <t>ME08NWY2DCKL</t>
  </si>
  <si>
    <t>ME08NWY6DCSD</t>
  </si>
  <si>
    <t>ME08NWZ6DCRL</t>
  </si>
  <si>
    <t>ME08NXA1DCVD</t>
  </si>
  <si>
    <t>ME08NXK2BXCD</t>
  </si>
  <si>
    <t>ME08NXL3DATD</t>
  </si>
  <si>
    <t>ME08NXL7DATD</t>
  </si>
  <si>
    <t>ME08NXT1DDFM</t>
  </si>
  <si>
    <t>ME08NYJ5DFJD</t>
  </si>
  <si>
    <t>ME08NYJ7DFMM</t>
  </si>
  <si>
    <t>ME08NYK1DFNM</t>
  </si>
  <si>
    <t>ME08NYK9DFUM</t>
  </si>
  <si>
    <t>ME08NYM1DGDL</t>
  </si>
  <si>
    <t>ME08NYM5DGFD</t>
  </si>
  <si>
    <t>ME08NZM2DKAD</t>
  </si>
  <si>
    <t>ME08NZM2</t>
  </si>
  <si>
    <t>ME08NZN2DKPL</t>
  </si>
  <si>
    <t>ME08NZN2</t>
  </si>
  <si>
    <t>DKPL</t>
  </si>
  <si>
    <t>DKPL OPTIC WRIOR</t>
  </si>
  <si>
    <t>ME08NZO5DKFM</t>
  </si>
  <si>
    <t>ME08NZO5</t>
  </si>
  <si>
    <t>DKFM</t>
  </si>
  <si>
    <t>DKFM GREY INFRNO</t>
  </si>
  <si>
    <t>ME08NZS9DPOD</t>
  </si>
  <si>
    <t>ME08NZS9</t>
  </si>
  <si>
    <t>GENO WITH FLAP</t>
  </si>
  <si>
    <t>ME08NZT1DPQD</t>
  </si>
  <si>
    <t>ME08NZT1</t>
  </si>
  <si>
    <t>ME08NZT8DPXM</t>
  </si>
  <si>
    <t>ME08NZT8</t>
  </si>
  <si>
    <t>ME08NZU0DPYL</t>
  </si>
  <si>
    <t>ME08NZU0</t>
  </si>
  <si>
    <t>ME08NZV8DQGM</t>
  </si>
  <si>
    <t>ME08NZV8</t>
  </si>
  <si>
    <t>DQGM</t>
  </si>
  <si>
    <t>DQGM FDED GALAXY</t>
  </si>
  <si>
    <t>ME08NZX4DQSL</t>
  </si>
  <si>
    <t>ME08NZX4</t>
  </si>
  <si>
    <t>ME08NZX8DQFM</t>
  </si>
  <si>
    <t>ME08NZX8</t>
  </si>
  <si>
    <t>ME7A716SE21473</t>
  </si>
  <si>
    <t>ME7A716SE2</t>
  </si>
  <si>
    <t>SS HENLEY W EMBROIDERY LOGO</t>
  </si>
  <si>
    <t>ME7A716SE24100</t>
  </si>
  <si>
    <t>ME7A716SE26000</t>
  </si>
  <si>
    <t>MEAB109EG1001</t>
  </si>
  <si>
    <t>MEC800CR2SGD</t>
  </si>
  <si>
    <t>MEC800CR2ZZM</t>
  </si>
  <si>
    <t>MEC859CR2SGD</t>
  </si>
  <si>
    <t>MEC859CR2ZZM</t>
  </si>
  <si>
    <t>MEC859EG6ASLM</t>
  </si>
  <si>
    <t>MEC859FW71001</t>
  </si>
  <si>
    <t>MEC859FW72537</t>
  </si>
  <si>
    <t>MEC859FW76387</t>
  </si>
  <si>
    <t>MEC859NLL1BSDD</t>
  </si>
  <si>
    <t>MEC859NOA7CETM</t>
  </si>
  <si>
    <t>MEC859NOJ4CFEM</t>
  </si>
  <si>
    <t>MEC859OGY5AZWL</t>
  </si>
  <si>
    <t>MEC859OIK7BFRD</t>
  </si>
  <si>
    <t>MEC861EG6ASLM</t>
  </si>
  <si>
    <t>MECA350HE4AZHD</t>
  </si>
  <si>
    <t>MECA350HE4AZJM</t>
  </si>
  <si>
    <t>MECA822KL0BZ</t>
  </si>
  <si>
    <t>MECA904MX2BRZD</t>
  </si>
  <si>
    <t>MECA904NA2BZBM</t>
  </si>
  <si>
    <t>MECA904NA2CEOL</t>
  </si>
  <si>
    <t>MECB066LZ8BUIM</t>
  </si>
  <si>
    <t>MECC126OA7CETM</t>
  </si>
  <si>
    <t>MECC408NA2CEOL</t>
  </si>
  <si>
    <t>MECE08CR2SGD</t>
  </si>
  <si>
    <t>MECE08CR2ZZM</t>
  </si>
  <si>
    <t>MECE08NLL1BSDD</t>
  </si>
  <si>
    <t>MECE08NOH5CERM</t>
  </si>
  <si>
    <t>MECE08OMBZVD</t>
  </si>
  <si>
    <t>MECE08OMBZWD</t>
  </si>
  <si>
    <t>MECE08OMBZXM</t>
  </si>
  <si>
    <t>MECE08OMBZYM</t>
  </si>
  <si>
    <t>MECE08OMBZZM</t>
  </si>
  <si>
    <t>MECH54CR2SGD</t>
  </si>
  <si>
    <t>MECH54CR2ZZM</t>
  </si>
  <si>
    <t>MECH54EM2V</t>
  </si>
  <si>
    <t>MECH54EM3M</t>
  </si>
  <si>
    <t>MECH54EMP5</t>
  </si>
  <si>
    <t>MECH54EMVAM</t>
  </si>
  <si>
    <t>MECH54EMYMM</t>
  </si>
  <si>
    <t>MECH54OMBP5</t>
  </si>
  <si>
    <t>MECH54OMBVAM</t>
  </si>
  <si>
    <t>MECH54OMBYMM</t>
  </si>
  <si>
    <t>MECH54OMBZVD</t>
  </si>
  <si>
    <t>MECH54OMBZWD</t>
  </si>
  <si>
    <t>MECH54OMBZXM</t>
  </si>
  <si>
    <t>MECH54OMBZYM</t>
  </si>
  <si>
    <t>MECH54OMBZZM</t>
  </si>
  <si>
    <t>MECH54TSTBB</t>
  </si>
  <si>
    <t>MECH54U01SGD</t>
  </si>
  <si>
    <t>MECJ19BS12S</t>
  </si>
  <si>
    <t>MECJ19BS1LPD</t>
  </si>
  <si>
    <t>MECJ19CR2SGD</t>
  </si>
  <si>
    <t>MECJ19CR2ZZM</t>
  </si>
  <si>
    <t>MECJ19FW71001</t>
  </si>
  <si>
    <t>MECJ19FW72537</t>
  </si>
  <si>
    <t>MECJ19FW76387</t>
  </si>
  <si>
    <t>MECJ19NIS5BMSD</t>
  </si>
  <si>
    <t>MECJ19NLL1BSDD</t>
  </si>
  <si>
    <t>MECJ19OGY5AZWL</t>
  </si>
  <si>
    <t>MECJ19OIK7BFOL</t>
  </si>
  <si>
    <t>MECJ19OMBZVD</t>
  </si>
  <si>
    <t>MECJ19OMBZWD</t>
  </si>
  <si>
    <t>MECJ19OMBZXM</t>
  </si>
  <si>
    <t>MECJ19OMBZYM</t>
  </si>
  <si>
    <t>MECJ19OMBZZM</t>
  </si>
  <si>
    <t>MECJ19TSTBB</t>
  </si>
  <si>
    <t>MECJ60CR2SGD</t>
  </si>
  <si>
    <t>MECJ60CR2ZZM</t>
  </si>
  <si>
    <t>MECJ60EG6ASLM</t>
  </si>
  <si>
    <t>MECJ60EM2S</t>
  </si>
  <si>
    <t>MECJ60EMP5</t>
  </si>
  <si>
    <t>MECJ60EMVAM</t>
  </si>
  <si>
    <t>MECJ60EMYMM</t>
  </si>
  <si>
    <t>MECJ60NOH5CERM</t>
  </si>
  <si>
    <t>MECJ60NOJ4CFEM</t>
  </si>
  <si>
    <t>MECJ60OGY5AZWL</t>
  </si>
  <si>
    <t>MECJ60OMB2S</t>
  </si>
  <si>
    <t>MECJ60OMB2V</t>
  </si>
  <si>
    <t>MECJ60OMBHAM</t>
  </si>
  <si>
    <t>MECJ60OMBP5</t>
  </si>
  <si>
    <t>MECJ60OMBVAM</t>
  </si>
  <si>
    <t>MECJ60OMBYMM</t>
  </si>
  <si>
    <t>MECJ60OMBZVD</t>
  </si>
  <si>
    <t>MECJ60OMBZWD</t>
  </si>
  <si>
    <t>MECJ60OMBZXM</t>
  </si>
  <si>
    <t>MECJ60OMBZYM</t>
  </si>
  <si>
    <t>MECJ60OMBZZM</t>
  </si>
  <si>
    <t>MECJ60TST11</t>
  </si>
  <si>
    <t>MECJ60TSTBB</t>
  </si>
  <si>
    <t>MECJ60U01GRD</t>
  </si>
  <si>
    <t>MECJ60U01SGD</t>
  </si>
  <si>
    <t>MECQ13CS21001</t>
  </si>
  <si>
    <t>MECQ13CS22537</t>
  </si>
  <si>
    <t>MECQ13CS2AOSM</t>
  </si>
  <si>
    <t>MECQ13CS2BZ</t>
  </si>
  <si>
    <t>MECR09CS21001</t>
  </si>
  <si>
    <t>MECR09CS22537</t>
  </si>
  <si>
    <t>MECR09CS26387</t>
  </si>
  <si>
    <t>MECR09CS2AOSM</t>
  </si>
  <si>
    <t>MECR09CS2BZ</t>
  </si>
  <si>
    <t>MECT36U2311</t>
  </si>
  <si>
    <t>MECT36U232G</t>
  </si>
  <si>
    <t>MECT36U23BB</t>
  </si>
  <si>
    <t>MECT38U2311</t>
  </si>
  <si>
    <t>MECT38U232G</t>
  </si>
  <si>
    <t>MECT38U23BB</t>
  </si>
  <si>
    <t>MECT73CS2BZ</t>
  </si>
  <si>
    <t>MECT73LZ9BUIM</t>
  </si>
  <si>
    <t>MECU31U2311</t>
  </si>
  <si>
    <t>MECU31U23BB</t>
  </si>
  <si>
    <t>MECV90CS21001</t>
  </si>
  <si>
    <t>MECV90CS22537</t>
  </si>
  <si>
    <t>MECV90CS2AOSM</t>
  </si>
  <si>
    <t>MECV90CS2BZ</t>
  </si>
  <si>
    <t>MECV91CR2SGD</t>
  </si>
  <si>
    <t>MECV91CR2ZZM</t>
  </si>
  <si>
    <t>MECV91EMP5</t>
  </si>
  <si>
    <t>MECV91EMVAM</t>
  </si>
  <si>
    <t>MECV91EMYMM</t>
  </si>
  <si>
    <t>MECV91OMBP5</t>
  </si>
  <si>
    <t>MECV91OMBVAM</t>
  </si>
  <si>
    <t>MECV91OMBYMM</t>
  </si>
  <si>
    <t>MECV91OMBZVD</t>
  </si>
  <si>
    <t>MECV91OMBZWD</t>
  </si>
  <si>
    <t>MECV91OMBZXM</t>
  </si>
  <si>
    <t>MECV91OMBZYM</t>
  </si>
  <si>
    <t>MECV91OMBZZM</t>
  </si>
  <si>
    <t>MECV97NNA1BXLL</t>
  </si>
  <si>
    <t>MED7Y49CS11165</t>
  </si>
  <si>
    <t>MED7Y49CS11746</t>
  </si>
  <si>
    <t>MED7Y49CS14433</t>
  </si>
  <si>
    <t>MED7Y49CS16050</t>
  </si>
  <si>
    <t>MED8H34DZ73556</t>
  </si>
  <si>
    <t>MED8H34DZ81033</t>
  </si>
  <si>
    <t>MED8H34DZ91746</t>
  </si>
  <si>
    <t>MED8H34EA04248</t>
  </si>
  <si>
    <t>MED8H34EA11033</t>
  </si>
  <si>
    <t>MED8H34EA23556</t>
  </si>
  <si>
    <t>MED8H34EA26332</t>
  </si>
  <si>
    <t>MED8H34HA81740</t>
  </si>
  <si>
    <t>MED8H34HA91033</t>
  </si>
  <si>
    <t>MED8H34HB01033</t>
  </si>
  <si>
    <t>MED8H34Y471746</t>
  </si>
  <si>
    <t>MED8H34Y601907</t>
  </si>
  <si>
    <t>MED8H34Y904555</t>
  </si>
  <si>
    <t>MED8H34Y923097</t>
  </si>
  <si>
    <t>MEG4J75K331027</t>
  </si>
  <si>
    <t>MEG4J75K331311</t>
  </si>
  <si>
    <t>MEG4J75K331813</t>
  </si>
  <si>
    <t>MEG4J75K332505</t>
  </si>
  <si>
    <t>MEG4J75K333126</t>
  </si>
  <si>
    <t>MEG4J75K333310</t>
  </si>
  <si>
    <t>MEG4J75K336605</t>
  </si>
  <si>
    <t>MEG800ECN1701</t>
  </si>
  <si>
    <t>MEG800ECN4100</t>
  </si>
  <si>
    <t>MEG840K331066</t>
  </si>
  <si>
    <t>MEG840K332131</t>
  </si>
  <si>
    <t>MEG840K337017</t>
  </si>
  <si>
    <t>MEG841EH1186</t>
  </si>
  <si>
    <t>MEG841EH1894</t>
  </si>
  <si>
    <t>MEG841EH3092</t>
  </si>
  <si>
    <t>MEG841EH3244</t>
  </si>
  <si>
    <t>MEG841EH3245</t>
  </si>
  <si>
    <t>MEG841EH3412</t>
  </si>
  <si>
    <t>MEG841EH4299</t>
  </si>
  <si>
    <t>MEG841EH4620</t>
  </si>
  <si>
    <t>MEG841EH4621</t>
  </si>
  <si>
    <t>MEG841EH4622</t>
  </si>
  <si>
    <t>MEG841EH5085</t>
  </si>
  <si>
    <t>MEG841EH6262</t>
  </si>
  <si>
    <t>MEG841EH7360</t>
  </si>
  <si>
    <t>MEG841EH8342</t>
  </si>
  <si>
    <t>MEG841FP71409</t>
  </si>
  <si>
    <t>MEG841FP71925</t>
  </si>
  <si>
    <t>MEG841FP73472</t>
  </si>
  <si>
    <t>MEG841FP77232</t>
  </si>
  <si>
    <t>MEG841FP78390</t>
  </si>
  <si>
    <t>MEG841HFP71001</t>
  </si>
  <si>
    <t>MEG841HFP71408</t>
  </si>
  <si>
    <t>MEG841HFP71409</t>
  </si>
  <si>
    <t>MEG841HFP71925</t>
  </si>
  <si>
    <t>MEG841HFP73472</t>
  </si>
  <si>
    <t>MEG841HFP77226</t>
  </si>
  <si>
    <t>MEG841HFP78390</t>
  </si>
  <si>
    <t>MEG841HGR11409</t>
  </si>
  <si>
    <t>MEG841HGR11925</t>
  </si>
  <si>
    <t>MEG841HGR17232</t>
  </si>
  <si>
    <t>MEG841HGR18390</t>
  </si>
  <si>
    <t>MEG859ECN3071</t>
  </si>
  <si>
    <t>MEG859ECN6003</t>
  </si>
  <si>
    <t>MEG859EDJ3501</t>
  </si>
  <si>
    <t>MEG859EDJ</t>
  </si>
  <si>
    <t>STRAIGHT FLAP DK CONTINENT SN</t>
  </si>
  <si>
    <t>DMA-DUSTY CAMO</t>
  </si>
  <si>
    <t>MEG859EIH4100</t>
  </si>
  <si>
    <t>MEG859EIH</t>
  </si>
  <si>
    <t>STRAIGHT FLAP DTM BIG T W GLD</t>
  </si>
  <si>
    <t>CZS TRU NVY</t>
  </si>
  <si>
    <t>MEG859EIK1233</t>
  </si>
  <si>
    <t>MEG859EIK</t>
  </si>
  <si>
    <t>STRAIGHT FLAP BIG T DTM W P GR</t>
  </si>
  <si>
    <t>CZS BTL GRY</t>
  </si>
  <si>
    <t>MEG859EIM1704</t>
  </si>
  <si>
    <t>MEG859EIM</t>
  </si>
  <si>
    <t>STRAIGHT FLAP BIG T DTM W EWRM</t>
  </si>
  <si>
    <t>CZS BIRCH</t>
  </si>
  <si>
    <t>MEG859V301058</t>
  </si>
  <si>
    <t>MEG859V302126</t>
  </si>
  <si>
    <t>MEG859V303442</t>
  </si>
  <si>
    <t>MEG859V304334</t>
  </si>
  <si>
    <t>MEG859V307232</t>
  </si>
  <si>
    <t>MEGH036EL1406</t>
  </si>
  <si>
    <t>MEGH036EL</t>
  </si>
  <si>
    <t>SLIM MOTO BLACK SN</t>
  </si>
  <si>
    <t>DMA GREY CAMO</t>
  </si>
  <si>
    <t>MEGJ19EDD3071</t>
  </si>
  <si>
    <t>MEGJ19EDD</t>
  </si>
  <si>
    <t>SLIM TROLL GREEN SN</t>
  </si>
  <si>
    <t>CZS-SKT PRK PGMNT</t>
  </si>
  <si>
    <t>MEGJ19EDH6003</t>
  </si>
  <si>
    <t>MEGJ19EDH</t>
  </si>
  <si>
    <t>SLIM BURGUNDY TONAL SN</t>
  </si>
  <si>
    <t>CZS-BURGUNDY</t>
  </si>
  <si>
    <t>MEGJ19EDI7233</t>
  </si>
  <si>
    <t>MEGJ19EDI</t>
  </si>
  <si>
    <t>SLIM STRAW TONAL SN</t>
  </si>
  <si>
    <t>MEGJ19V301058</t>
  </si>
  <si>
    <t>MEGJ19V302126</t>
  </si>
  <si>
    <t>MEGJ19V303442</t>
  </si>
  <si>
    <t>MEGJ19V304334</t>
  </si>
  <si>
    <t>MEGJ60V301058</t>
  </si>
  <si>
    <t>MEGJ60V301514</t>
  </si>
  <si>
    <t>MEGJ60V302017</t>
  </si>
  <si>
    <t>MEGJ60V303159</t>
  </si>
  <si>
    <t>MEGJ60V303356</t>
  </si>
  <si>
    <t>MEGJ60V304166</t>
  </si>
  <si>
    <t>MEGJ60V304172</t>
  </si>
  <si>
    <t>MEGJ60V304567</t>
  </si>
  <si>
    <t>MEGJ60V304639</t>
  </si>
  <si>
    <t>MEGJ60V306184</t>
  </si>
  <si>
    <t>MEGJ60V306281</t>
  </si>
  <si>
    <t>MEGP10K321166</t>
  </si>
  <si>
    <t>MEGP10K321313</t>
  </si>
  <si>
    <t>MEGP10K321342</t>
  </si>
  <si>
    <t>MEGP10K321524</t>
  </si>
  <si>
    <t>MEGP10K322509</t>
  </si>
  <si>
    <t>MEGP10K322511</t>
  </si>
  <si>
    <t>MEGP10K323145</t>
  </si>
  <si>
    <t>MEGP10K323146</t>
  </si>
  <si>
    <t>MEGP10K323219</t>
  </si>
  <si>
    <t>MEGP10K324270</t>
  </si>
  <si>
    <t>MEGP19K321029</t>
  </si>
  <si>
    <t>MEGP19K321313</t>
  </si>
  <si>
    <t>MEGP19K321342</t>
  </si>
  <si>
    <t>MEGP19K321815</t>
  </si>
  <si>
    <t>MEGP19K322509</t>
  </si>
  <si>
    <t>MEGP19K322511</t>
  </si>
  <si>
    <t>MEGP19K323145</t>
  </si>
  <si>
    <t>MEGP19K323146</t>
  </si>
  <si>
    <t>MEGP19K324119</t>
  </si>
  <si>
    <t>MEGR04K321029</t>
  </si>
  <si>
    <t>MEGR04K321815</t>
  </si>
  <si>
    <t>MEGR04K324119</t>
  </si>
  <si>
    <t>MEGR04K326025</t>
  </si>
  <si>
    <t>MEGR04K327210</t>
  </si>
  <si>
    <t>MEGU23K331030</t>
  </si>
  <si>
    <t>MEGU23K334267</t>
  </si>
  <si>
    <t>MEM859NMX5BZ</t>
  </si>
  <si>
    <t>MEMA800MX5BZ</t>
  </si>
  <si>
    <t>MEQ800NMX7BWRL</t>
  </si>
  <si>
    <t>MEQ859NMX8BWTD</t>
  </si>
  <si>
    <t>MEQE08NMX7BWSM</t>
  </si>
  <si>
    <t>MEQJ19NMX8BWTD</t>
  </si>
  <si>
    <t>MES859NND2BXFM</t>
  </si>
  <si>
    <t>MESA799ND2BXED</t>
  </si>
  <si>
    <t>MESA799ND2BXFM</t>
  </si>
  <si>
    <t>MESB088NA5BXFM</t>
  </si>
  <si>
    <t>MESC087NA5BYFM</t>
  </si>
  <si>
    <t>MET717M49HCL</t>
  </si>
  <si>
    <t>MET719K80NMM</t>
  </si>
  <si>
    <t>MET719M63FZL</t>
  </si>
  <si>
    <t>MET840EHPSD</t>
  </si>
  <si>
    <t>MET841EHPSD</t>
  </si>
  <si>
    <t>MET841EHQKM</t>
  </si>
  <si>
    <t>MET859BJ91011</t>
  </si>
  <si>
    <t>MET859NBTCMVL</t>
  </si>
  <si>
    <t>MET859NBTCMWD</t>
  </si>
  <si>
    <t>MET859STS11</t>
  </si>
  <si>
    <t>MET859STSCOHL</t>
  </si>
  <si>
    <t>META286EAE2S</t>
  </si>
  <si>
    <t>META286EAFBNTL</t>
  </si>
  <si>
    <t>META286M60BNUM</t>
  </si>
  <si>
    <t>META286MH72S</t>
  </si>
  <si>
    <t>METB390TSDHLM</t>
  </si>
  <si>
    <t>METB390Y9DMKD</t>
  </si>
  <si>
    <t>METB390Y9</t>
  </si>
  <si>
    <t>LS DN WESTERN RED ORANGE SN</t>
  </si>
  <si>
    <t>DMKD</t>
  </si>
  <si>
    <t>DMKD V TWIN</t>
  </si>
  <si>
    <t>METB420YD4DHUL</t>
  </si>
  <si>
    <t>METE08ZTSBKYM</t>
  </si>
  <si>
    <t>METM48J39BZ</t>
  </si>
  <si>
    <t>METM48J39NKL</t>
  </si>
  <si>
    <t>METM48J39PDM</t>
  </si>
  <si>
    <t>METP10Y9PSD</t>
  </si>
  <si>
    <t>METP19Y9PSD</t>
  </si>
  <si>
    <t>METP57M53PBM</t>
  </si>
  <si>
    <t>METQ02F36FZM</t>
  </si>
  <si>
    <t>METQ02F36NMM</t>
  </si>
  <si>
    <t>METQ03M65NZM</t>
  </si>
  <si>
    <t>METQ03M65PAL</t>
  </si>
  <si>
    <t>METR07M53X5</t>
  </si>
  <si>
    <t>METS31S44NZM</t>
  </si>
  <si>
    <t>MEWN56R96LQM</t>
  </si>
  <si>
    <t>MEWQ72R96LQM</t>
  </si>
  <si>
    <t>MEWQ72R96SGD</t>
  </si>
  <si>
    <t>MEWR11R96LQM</t>
  </si>
  <si>
    <t>MEWR11R96SGD</t>
  </si>
  <si>
    <t>MEY7T251501</t>
  </si>
  <si>
    <t>MEY7T25U621501</t>
  </si>
  <si>
    <t>MFDA301NC31746</t>
  </si>
  <si>
    <t>LIVE FAST SS V NECK</t>
  </si>
  <si>
    <t>MFDA301NC34044</t>
  </si>
  <si>
    <t>MFDA451NC21118</t>
  </si>
  <si>
    <t>MFDA451NC21257</t>
  </si>
  <si>
    <t>MFDA451NC42419</t>
  </si>
  <si>
    <t>MFDB156NF31001</t>
  </si>
  <si>
    <t>MFDB156NF34018</t>
  </si>
  <si>
    <t>MFDB184NF12009</t>
  </si>
  <si>
    <t>MFE8W01AX71916</t>
  </si>
  <si>
    <t>MFE8W01AX81913</t>
  </si>
  <si>
    <t>MFF8S92T971746</t>
  </si>
  <si>
    <t>MFF8S92T977321</t>
  </si>
  <si>
    <t>MFHB175ND41201</t>
  </si>
  <si>
    <t>MFIA451NC21541</t>
  </si>
  <si>
    <t>MFIA451NC21746</t>
  </si>
  <si>
    <t>MFIA451NC26104</t>
  </si>
  <si>
    <t>MFIC148NT21496</t>
  </si>
  <si>
    <t>MFJA451NC91746</t>
  </si>
  <si>
    <t>MFJC148NT21889</t>
  </si>
  <si>
    <t>MFKC034MO11501</t>
  </si>
  <si>
    <t>MFKC036MO11501</t>
  </si>
  <si>
    <t>MFLC035MO11001</t>
  </si>
  <si>
    <t>MFR8036R161505</t>
  </si>
  <si>
    <t>MFR8036T071505</t>
  </si>
  <si>
    <t>MFR8036T211505</t>
  </si>
  <si>
    <t>MFR8T23T371505</t>
  </si>
  <si>
    <t>MG34J75H021819</t>
  </si>
  <si>
    <t>MG34J75H022533</t>
  </si>
  <si>
    <t>MG34J75H023046</t>
  </si>
  <si>
    <t>MG34J75H023179</t>
  </si>
  <si>
    <t>MG34J75H024409</t>
  </si>
  <si>
    <t>MG34J75H026607</t>
  </si>
  <si>
    <t>MG34J75H027311</t>
  </si>
  <si>
    <t>MG34J75K332513</t>
  </si>
  <si>
    <t>MG34J75K334120</t>
  </si>
  <si>
    <t>MG34J75K336027</t>
  </si>
  <si>
    <t>MG34J75K337311</t>
  </si>
  <si>
    <t>MH0B078L052548</t>
  </si>
  <si>
    <t>MH54NRW9CIUM</t>
  </si>
  <si>
    <t>MH54NRW9CIWD</t>
  </si>
  <si>
    <t>MH54NSB1CJWD</t>
  </si>
  <si>
    <t>MH54NTU7CQDD</t>
  </si>
  <si>
    <t>MH54NTU7CQEM</t>
  </si>
  <si>
    <t>MH54NVZ4BUJD</t>
  </si>
  <si>
    <t>MH54NXA1DCVD</t>
  </si>
  <si>
    <t>MH54NXL2CVIM</t>
  </si>
  <si>
    <t>MH54NXL2RCVIM</t>
  </si>
  <si>
    <t>MH54NYK001</t>
  </si>
  <si>
    <t>MH54NYK0DFNM</t>
  </si>
  <si>
    <t>MH54NYK0N01</t>
  </si>
  <si>
    <t>MH54NYK0NDFNM</t>
  </si>
  <si>
    <t>MH54NYL1DFVM</t>
  </si>
  <si>
    <t>MH54NZK0DFWM</t>
  </si>
  <si>
    <t>MH54NZM0DJTD</t>
  </si>
  <si>
    <t>MH54NZM0</t>
  </si>
  <si>
    <t>MH54NZM7DJTD</t>
  </si>
  <si>
    <t>MH54NZM7</t>
  </si>
  <si>
    <t>ROCCO WITH  FLAP SE</t>
  </si>
  <si>
    <t>MH54NZO4BOCM</t>
  </si>
  <si>
    <t>MH54NZO4</t>
  </si>
  <si>
    <t>MH54NZU7DRXD</t>
  </si>
  <si>
    <t>MH54NZU7</t>
  </si>
  <si>
    <t>ROCCO WITH FLAP SUPER T</t>
  </si>
  <si>
    <t>MH54NZV2DQGM</t>
  </si>
  <si>
    <t>MH54NZV2</t>
  </si>
  <si>
    <t>MH54NZV9DQKM</t>
  </si>
  <si>
    <t>MH54NZV9</t>
  </si>
  <si>
    <t>MH54NZY81001</t>
  </si>
  <si>
    <t>MH54NZY8</t>
  </si>
  <si>
    <t>ROCCO FLAP SUPER T</t>
  </si>
  <si>
    <t>MH54NZY84000</t>
  </si>
  <si>
    <t>MH7H54EM2V</t>
  </si>
  <si>
    <t>MH7H54EM3M</t>
  </si>
  <si>
    <t>MH7H54OMB2S</t>
  </si>
  <si>
    <t>MH7J60OMB2S</t>
  </si>
  <si>
    <t>MH7J60OMB2V</t>
  </si>
  <si>
    <t>MH7J60OMBHAM</t>
  </si>
  <si>
    <t>MHCQ72J392732</t>
  </si>
  <si>
    <t>MHCR11Q111874</t>
  </si>
  <si>
    <t>MHGB134IE11001</t>
  </si>
  <si>
    <t>MHGB134IE11702</t>
  </si>
  <si>
    <t>MHI859NMY4BXBL</t>
  </si>
  <si>
    <t>MHI859NMY5BXDD</t>
  </si>
  <si>
    <t>MHI859NMY8BPGM</t>
  </si>
  <si>
    <t>MHI859NMY8BXDD</t>
  </si>
  <si>
    <t>MHIE08NMY4BXBL</t>
  </si>
  <si>
    <t>MHIE08NMY7BYXL</t>
  </si>
  <si>
    <t>MHIE08NMY9BWXM</t>
  </si>
  <si>
    <t>MHIE08NMY9BYXL</t>
  </si>
  <si>
    <t>MHIJ19NMY5BXDD</t>
  </si>
  <si>
    <t>MHIJ60NMY6BXCD</t>
  </si>
  <si>
    <t>MHJNZ92K21001</t>
  </si>
  <si>
    <t>MHJNZ92K26433</t>
  </si>
  <si>
    <t>MHJNZ93K21001</t>
  </si>
  <si>
    <t>MHJNZ93K26433</t>
  </si>
  <si>
    <t>MHLBP57SLM</t>
  </si>
  <si>
    <t>MHPB113IE11001</t>
  </si>
  <si>
    <t>MHPB113IE11702</t>
  </si>
  <si>
    <t>MHSA315TT1001</t>
  </si>
  <si>
    <t>MHSA315TT1700</t>
  </si>
  <si>
    <t>MHSA315TT2388</t>
  </si>
  <si>
    <t>MHSA315TT4094</t>
  </si>
  <si>
    <t>MHSA315TT4095</t>
  </si>
  <si>
    <t>MHSA315TT4191</t>
  </si>
  <si>
    <t>MHSA315TT6497</t>
  </si>
  <si>
    <t>MHSA316TT1001</t>
  </si>
  <si>
    <t>MHSA316TT1700</t>
  </si>
  <si>
    <t>MHUA239MU31001</t>
  </si>
  <si>
    <t>MHUA239MU34100</t>
  </si>
  <si>
    <t>MHUA239MU36000</t>
  </si>
  <si>
    <t>MHUA239MU36433</t>
  </si>
  <si>
    <t>MHUA239XY41501</t>
  </si>
  <si>
    <t>MHUA239XY44100</t>
  </si>
  <si>
    <t>MHUB103EGW1427</t>
  </si>
  <si>
    <t>MHUB103EGW</t>
  </si>
  <si>
    <t>BACK STOP RAGLAN ZIP UP HOODIE</t>
  </si>
  <si>
    <t>HTR GRY / HTR TR NVY</t>
  </si>
  <si>
    <t>MHUB103EGW6432</t>
  </si>
  <si>
    <t>HTR RBY RED / HTR BLK</t>
  </si>
  <si>
    <t>MHUB103EJF1518</t>
  </si>
  <si>
    <t>MHUB103EJF</t>
  </si>
  <si>
    <t>BDHA PICKUP ACTV RAGLN HOODIE</t>
  </si>
  <si>
    <t>H GRY / H BLK</t>
  </si>
  <si>
    <t>MHUB103EJF4767</t>
  </si>
  <si>
    <t>COBALT / ASH</t>
  </si>
  <si>
    <t>MHUB103SC11518</t>
  </si>
  <si>
    <t>MHUB103SC12551</t>
  </si>
  <si>
    <t>MHUB103UW01096</t>
  </si>
  <si>
    <t>MHUB103UW01427</t>
  </si>
  <si>
    <t>MHUB104SC21518</t>
  </si>
  <si>
    <t>MHUB104SC22551</t>
  </si>
  <si>
    <t>MHUB129MF31001</t>
  </si>
  <si>
    <t>MHUB129MF32707</t>
  </si>
  <si>
    <t>MHUB129MF34100</t>
  </si>
  <si>
    <t>MHUB129MF36000</t>
  </si>
  <si>
    <t>MHUB129NQ81100</t>
  </si>
  <si>
    <t>MHUB129OB41001</t>
  </si>
  <si>
    <t>MHUB129OB46433</t>
  </si>
  <si>
    <t>MHUB129QX81001</t>
  </si>
  <si>
    <t>MHUB129QX86000</t>
  </si>
  <si>
    <t>MHUB129UV81106</t>
  </si>
  <si>
    <t>MHUB129UV86000</t>
  </si>
  <si>
    <t>MHUB129VF32707</t>
  </si>
  <si>
    <t>MHUB129VF34739</t>
  </si>
  <si>
    <t>MHUB129YE71001</t>
  </si>
  <si>
    <t>MHUB129YE74100</t>
  </si>
  <si>
    <t>MHUB129YE76000</t>
  </si>
  <si>
    <t>MHUB129YE76433</t>
  </si>
  <si>
    <t>MHUB130EHD1406</t>
  </si>
  <si>
    <t>MHUB130EHD</t>
  </si>
  <si>
    <t>TRENCH ACTIVE BASIC SWEAT PANT</t>
  </si>
  <si>
    <t>MHUB130EJG1518</t>
  </si>
  <si>
    <t>MHUB130EJG</t>
  </si>
  <si>
    <t>BUDDHA PICKUP ACTIVE SWEATPANT</t>
  </si>
  <si>
    <t>H. GRY / H. BLK</t>
  </si>
  <si>
    <t>MHUB130EJG4767</t>
  </si>
  <si>
    <t>MHUB130MF43105</t>
  </si>
  <si>
    <t>MHUB130MF44100</t>
  </si>
  <si>
    <t>MHUB130MF46000</t>
  </si>
  <si>
    <t>MHUB130OB51001</t>
  </si>
  <si>
    <t>MHUB130OB56433</t>
  </si>
  <si>
    <t>MHUB130UV91106</t>
  </si>
  <si>
    <t>MHUB130UV96000</t>
  </si>
  <si>
    <t>MHUB130UW11096</t>
  </si>
  <si>
    <t>MHUB130UW11427</t>
  </si>
  <si>
    <t>MHUB130VF42707</t>
  </si>
  <si>
    <t>MHUB130VF44739</t>
  </si>
  <si>
    <t>MHUB130VV51001</t>
  </si>
  <si>
    <t>MHUB130VV51501</t>
  </si>
  <si>
    <t>MHUB130WM31100</t>
  </si>
  <si>
    <t>MHUB130WM32707</t>
  </si>
  <si>
    <t>MHUB239QX91001</t>
  </si>
  <si>
    <t>MHUB239QX91501</t>
  </si>
  <si>
    <t>MHUB239QX96000</t>
  </si>
  <si>
    <t>MHUB295WL11001</t>
  </si>
  <si>
    <t>MHUB295WL16000</t>
  </si>
  <si>
    <t>MHUB297WL01001</t>
  </si>
  <si>
    <t>MHUB297WL06000</t>
  </si>
  <si>
    <t>MHUB325EGM1001</t>
  </si>
  <si>
    <t>MHUB325EGM</t>
  </si>
  <si>
    <t>TR GAINS PULLOVER HOODIE</t>
  </si>
  <si>
    <t>MHUB325EGM6000</t>
  </si>
  <si>
    <t>MHUB325VU81001</t>
  </si>
  <si>
    <t>MHUB325VU81501</t>
  </si>
  <si>
    <t>MHUB392YD11095</t>
  </si>
  <si>
    <t>MHUB392YD11475</t>
  </si>
  <si>
    <t>MHUB393YD21078</t>
  </si>
  <si>
    <t>MHUB393YD21475</t>
  </si>
  <si>
    <t>MHUB416XS11501</t>
  </si>
  <si>
    <t>MHUB416XS14100</t>
  </si>
  <si>
    <t>MHUH023EGX1427</t>
  </si>
  <si>
    <t>MHUH023EGX</t>
  </si>
  <si>
    <t>BACK STOP JOGGER SWEAT PANT</t>
  </si>
  <si>
    <t>MHUH023EGX6432</t>
  </si>
  <si>
    <t>MHUH026EHC1200</t>
  </si>
  <si>
    <t>MHUH026EHC</t>
  </si>
  <si>
    <t>TRENCH ACTIVE CREW PULLOVER</t>
  </si>
  <si>
    <t>BATTLE GRY</t>
  </si>
  <si>
    <t>MHUH026EHC1406</t>
  </si>
  <si>
    <t>MHVB128MU24143</t>
  </si>
  <si>
    <t>MHVB128MU31001</t>
  </si>
  <si>
    <t>MI28U24LJ91001</t>
  </si>
  <si>
    <t>MI28U24LJ91700</t>
  </si>
  <si>
    <t>MI28U24LJ93071</t>
  </si>
  <si>
    <t>MI28U24LJ96064</t>
  </si>
  <si>
    <t>MI28U24SY41001</t>
  </si>
  <si>
    <t>MI28U24SY41700</t>
  </si>
  <si>
    <t>MI28U24TD01106</t>
  </si>
  <si>
    <t>MI28U24UM21106</t>
  </si>
  <si>
    <t>MI28U24UM21700</t>
  </si>
  <si>
    <t>MI28U24UM41700</t>
  </si>
  <si>
    <t>MI28U24UW41106</t>
  </si>
  <si>
    <t>MI28U24UW41700</t>
  </si>
  <si>
    <t>MI28U24UW46433</t>
  </si>
  <si>
    <t>MI28U24VY71106</t>
  </si>
  <si>
    <t>MI28U24VY71473</t>
  </si>
  <si>
    <t>MI28W86NV51106</t>
  </si>
  <si>
    <t>MI28W86NV51704</t>
  </si>
  <si>
    <t>MI2A595SC51001</t>
  </si>
  <si>
    <t>MI2A595SC51994</t>
  </si>
  <si>
    <t>MI2A595SL31001</t>
  </si>
  <si>
    <t>MI2A595SL31704</t>
  </si>
  <si>
    <t>MI2A595SY11704</t>
  </si>
  <si>
    <t>MI2A595TC91473</t>
  </si>
  <si>
    <t>MI2A595VC61473</t>
  </si>
  <si>
    <t>MI2A595VC61501</t>
  </si>
  <si>
    <t>MI2A595VF21095</t>
  </si>
  <si>
    <t>MI2A595VY51106</t>
  </si>
  <si>
    <t>MI2A595VY51473</t>
  </si>
  <si>
    <t>MI2A595X041547</t>
  </si>
  <si>
    <t>MI2B257XM71518</t>
  </si>
  <si>
    <t>MIFB078ND7CACM</t>
  </si>
  <si>
    <t>MIHBP577416</t>
  </si>
  <si>
    <t>MIHBR746127</t>
  </si>
  <si>
    <t>MIIB175ND52503</t>
  </si>
  <si>
    <t>MIN859NNE21802</t>
  </si>
  <si>
    <t>MIQ859NNE43550</t>
  </si>
  <si>
    <t>MIQ859NNE43562</t>
  </si>
  <si>
    <t>MIVB263SE24079</t>
  </si>
  <si>
    <t>MIWW58XY34100</t>
  </si>
  <si>
    <t>MIWW58XY36433</t>
  </si>
  <si>
    <t>MIZB420MU38000</t>
  </si>
  <si>
    <t>MJ19CZP8DIOM</t>
  </si>
  <si>
    <t>MJ19CZP8DIPD</t>
  </si>
  <si>
    <t>MJ19NAAIDQVL</t>
  </si>
  <si>
    <t>MJ19NAAI</t>
  </si>
  <si>
    <t>MJ19NAAJDPSL</t>
  </si>
  <si>
    <t>MJ19NAAJ</t>
  </si>
  <si>
    <t>MJ19NRD02500</t>
  </si>
  <si>
    <t>MJ19NRD04000</t>
  </si>
  <si>
    <t>MJ19NRD1CHTD</t>
  </si>
  <si>
    <t>MJ19NRD1CHYL</t>
  </si>
  <si>
    <t>MJ19NRX2CIKM</t>
  </si>
  <si>
    <t>MJ19NRZ7CJJD</t>
  </si>
  <si>
    <t>MJ19NSA2ADBM</t>
  </si>
  <si>
    <t>MJ19NSA2AYJD</t>
  </si>
  <si>
    <t>MJ19NSA2CLSM</t>
  </si>
  <si>
    <t>MJ19NSA2CMEM</t>
  </si>
  <si>
    <t>MJ19NSA2CQBD</t>
  </si>
  <si>
    <t>MJ19NSB1CJWD</t>
  </si>
  <si>
    <t>MJ19NSB4CFHM</t>
  </si>
  <si>
    <t>MJ19NTR31200</t>
  </si>
  <si>
    <t>MJ19NTR34100</t>
  </si>
  <si>
    <t>MJ19NTR8CPUM</t>
  </si>
  <si>
    <t>MJ19NTR8CQPL</t>
  </si>
  <si>
    <t>MJ19NTS4CIRM</t>
  </si>
  <si>
    <t>MJ19NTS4CQKM</t>
  </si>
  <si>
    <t>MJ19NTS4CQOM</t>
  </si>
  <si>
    <t>MJ19NTU1CQGD</t>
  </si>
  <si>
    <t>MJ19NTU4CQDD</t>
  </si>
  <si>
    <t>MJ19NTU9CPXD</t>
  </si>
  <si>
    <t>MJ19NTW5CQRD</t>
  </si>
  <si>
    <t>MJ19NTX81001</t>
  </si>
  <si>
    <t>MJ19NTX82000</t>
  </si>
  <si>
    <t>MJ19NTX84000</t>
  </si>
  <si>
    <t>CND VNTGE GLD/NVY</t>
  </si>
  <si>
    <t>MJ19NTX84100</t>
  </si>
  <si>
    <t>MJ19NTX86000</t>
  </si>
  <si>
    <t>MJ19NTY6CPWD</t>
  </si>
  <si>
    <t>MJ19NUN9CIMM</t>
  </si>
  <si>
    <t>MJ19NUP2CRAD</t>
  </si>
  <si>
    <t>MJ19NVO6CVHM</t>
  </si>
  <si>
    <t>MJ19NVP3CVLD</t>
  </si>
  <si>
    <t>MJ19NVP6CVQD</t>
  </si>
  <si>
    <t>MJ19NVQ6CVTM</t>
  </si>
  <si>
    <t>MJ19NVR4CVVD</t>
  </si>
  <si>
    <t>MJ19NVZ3BUJD</t>
  </si>
  <si>
    <t>MJ19NWV2DCAL</t>
  </si>
  <si>
    <t>MJ19NWV2DCBD</t>
  </si>
  <si>
    <t>MJ19NWV8DCEL</t>
  </si>
  <si>
    <t>MJ19NWY3DDED</t>
  </si>
  <si>
    <t>MJ19NWZ0DCOM</t>
  </si>
  <si>
    <t>MJ19NWZ4DCND</t>
  </si>
  <si>
    <t>MJ19NWZ4DCQL</t>
  </si>
  <si>
    <t>MJ19NWZ8DCRL</t>
  </si>
  <si>
    <t>MJ19NXL2CVIM</t>
  </si>
  <si>
    <t>MJ19NXL6CVIM</t>
  </si>
  <si>
    <t>MJ19NXP1CVUL</t>
  </si>
  <si>
    <t>MJ19NYJ6DFKD</t>
  </si>
  <si>
    <t>MJ19NYK51167</t>
  </si>
  <si>
    <t>MJ19NYK52500</t>
  </si>
  <si>
    <t>MJ19NYK54100</t>
  </si>
  <si>
    <t>MJ19NYK57233</t>
  </si>
  <si>
    <t>DFQ SHELL</t>
  </si>
  <si>
    <t>MJ19NYN31258</t>
  </si>
  <si>
    <t>MJ19NYN31307</t>
  </si>
  <si>
    <t>MJ19NZB12S</t>
  </si>
  <si>
    <t>MJ19NZK93106</t>
  </si>
  <si>
    <t>MJ19NZK9</t>
  </si>
  <si>
    <t>GENO NO FLAP  BIG T</t>
  </si>
  <si>
    <t>MJ19NZK94000</t>
  </si>
  <si>
    <t>MJ19NZK94733</t>
  </si>
  <si>
    <t>DFQ ACE</t>
  </si>
  <si>
    <t>MJ19NZK96494</t>
  </si>
  <si>
    <t>DFQ RED</t>
  </si>
  <si>
    <t>MJ19NZK96497</t>
  </si>
  <si>
    <t>MJ19NZL5DKJD</t>
  </si>
  <si>
    <t>MJ19NZL5</t>
  </si>
  <si>
    <t>DKJD</t>
  </si>
  <si>
    <t>DKJD TPNGA TRAIL</t>
  </si>
  <si>
    <t>MJ19NZL6DKUM</t>
  </si>
  <si>
    <t>MJ19NZL6</t>
  </si>
  <si>
    <t>DKUM</t>
  </si>
  <si>
    <t>DKUM WORN MYSTIC</t>
  </si>
  <si>
    <t>MJ19NZM0DJTD</t>
  </si>
  <si>
    <t>MJ19NZM0</t>
  </si>
  <si>
    <t>MJ19NZO3BOCM</t>
  </si>
  <si>
    <t>MJ19NZO3</t>
  </si>
  <si>
    <t>MJ19NZO9DKKM</t>
  </si>
  <si>
    <t>MJ19NZO9</t>
  </si>
  <si>
    <t>DKKM</t>
  </si>
  <si>
    <t>DKKM VESSEL</t>
  </si>
  <si>
    <t>MJ19NZR7DKGM</t>
  </si>
  <si>
    <t>MJ19NZR7</t>
  </si>
  <si>
    <t>GENO  NO FLAP SUPER T</t>
  </si>
  <si>
    <t>MJ19NZS1CIYM</t>
  </si>
  <si>
    <t>MJ19NZS1</t>
  </si>
  <si>
    <t>MJ19NZS42000</t>
  </si>
  <si>
    <t>MJ19NZT1DPQD</t>
  </si>
  <si>
    <t>MJ19NZT1</t>
  </si>
  <si>
    <t>MJ19NZV4DQHM</t>
  </si>
  <si>
    <t>MJ19NZV4</t>
  </si>
  <si>
    <t>DQHM</t>
  </si>
  <si>
    <t>DQHM PTD WNDERER</t>
  </si>
  <si>
    <t>MJ19NZV5DQIL</t>
  </si>
  <si>
    <t>MJ19NZV5</t>
  </si>
  <si>
    <t>DQIL</t>
  </si>
  <si>
    <t>DQIL TRENCH</t>
  </si>
  <si>
    <t>MJ19NZW7DRVM</t>
  </si>
  <si>
    <t>MJ19NZW7</t>
  </si>
  <si>
    <t>MJ19NZW8DRZL</t>
  </si>
  <si>
    <t>MJ19NZW8</t>
  </si>
  <si>
    <t>MJ60NJD21200</t>
  </si>
  <si>
    <t>MJ60NJD22500</t>
  </si>
  <si>
    <t>MJ60NJD24100</t>
  </si>
  <si>
    <t>MJ60NJD26000</t>
  </si>
  <si>
    <t>MJ60NLX31075</t>
  </si>
  <si>
    <t>MJ60NLX33071</t>
  </si>
  <si>
    <t>MJ60NLX34000</t>
  </si>
  <si>
    <t>MJ60NRD01200</t>
  </si>
  <si>
    <t>MJ60NRD02500</t>
  </si>
  <si>
    <t>MJ60NRD04000</t>
  </si>
  <si>
    <t>MJ60NRR06000</t>
  </si>
  <si>
    <t>MJ60NRR11200</t>
  </si>
  <si>
    <t>MJ60NRW7CIQD</t>
  </si>
  <si>
    <t>MJ60NRW7CIRM</t>
  </si>
  <si>
    <t>MJ60NRX6CIYM</t>
  </si>
  <si>
    <t>MJ60NRX6DOGM</t>
  </si>
  <si>
    <t>DOGM</t>
  </si>
  <si>
    <t>DOGM P URBN DWR</t>
  </si>
  <si>
    <t>MJ60NRX6DTSD</t>
  </si>
  <si>
    <t>DTSD</t>
  </si>
  <si>
    <t>DTSD URBAN TIGER</t>
  </si>
  <si>
    <t>MJ60NRY5CJCD</t>
  </si>
  <si>
    <t>MJ60NRY5CLQM</t>
  </si>
  <si>
    <t>MJ60NRY9CJUD</t>
  </si>
  <si>
    <t>MJ60NSU82500</t>
  </si>
  <si>
    <t>MJ60NTR8CPUM</t>
  </si>
  <si>
    <t>MJ60NTR8CQPL</t>
  </si>
  <si>
    <t>MJ60NTS81001</t>
  </si>
  <si>
    <t>MJ60NTS84100</t>
  </si>
  <si>
    <t>MJ60NTS86003</t>
  </si>
  <si>
    <t>MJ60NTS9BZB</t>
  </si>
  <si>
    <t>MJ60NTW8CPPM</t>
  </si>
  <si>
    <t>MJ60NTW8CPRD</t>
  </si>
  <si>
    <t>MJ60NTW8CPSM</t>
  </si>
  <si>
    <t>MJ60NTW9CPTD</t>
  </si>
  <si>
    <t>MJ60NTY8CQAM</t>
  </si>
  <si>
    <t>MJ60NU06CPPM</t>
  </si>
  <si>
    <t>MJ60NUP2CRAD</t>
  </si>
  <si>
    <t>MJ60NVP4CVLD</t>
  </si>
  <si>
    <t>MJ60NVP6CVRD</t>
  </si>
  <si>
    <t>MJ60NVP6RCVRD</t>
  </si>
  <si>
    <t>MJ60NVQ8CVOL</t>
  </si>
  <si>
    <t>MJ60NVR1CVVD</t>
  </si>
  <si>
    <t>MJ60NVR1CVWL</t>
  </si>
  <si>
    <t>MJ60NVS2CVYL</t>
  </si>
  <si>
    <t>MJ60NWK3DALD</t>
  </si>
  <si>
    <t>MJ60NWK3DCYM</t>
  </si>
  <si>
    <t>MJ60NWV2DCAL</t>
  </si>
  <si>
    <t>MJ60NWV2DCBD</t>
  </si>
  <si>
    <t>MJ60NWV5DAVL</t>
  </si>
  <si>
    <t>MJ60NWW0DCGM</t>
  </si>
  <si>
    <t>MJ60NWY9DCHM</t>
  </si>
  <si>
    <t>MJ60NWZ6DCRL</t>
  </si>
  <si>
    <t>MJ60NWZ8DCRL</t>
  </si>
  <si>
    <t>MJ60NXQ02S</t>
  </si>
  <si>
    <t>MJ60NXQ0SGD</t>
  </si>
  <si>
    <t>MJ60NXQ0LSGD</t>
  </si>
  <si>
    <t>MJ60NXQ0L</t>
  </si>
  <si>
    <t>ROCCO NO FLAP SE 34 INSEAM</t>
  </si>
  <si>
    <t>MJ60NXQ0RSGD</t>
  </si>
  <si>
    <t>MJ60NXQ0R</t>
  </si>
  <si>
    <t>MJ60NXT1DDFM</t>
  </si>
  <si>
    <t>MJ60NYJ7DFMM</t>
  </si>
  <si>
    <t>MJ60NYK1DFNM</t>
  </si>
  <si>
    <t>MJ60NYK9DFUM</t>
  </si>
  <si>
    <t>MJ60NYL4DFYD</t>
  </si>
  <si>
    <t>MJ60NYM4DGFD</t>
  </si>
  <si>
    <t>MJ60NYM9DCAL</t>
  </si>
  <si>
    <t>MJ60NYN1DFSM</t>
  </si>
  <si>
    <t>MJ60NZN5COKM</t>
  </si>
  <si>
    <t>MJ60NZN5DIKM</t>
  </si>
  <si>
    <t>MJ60NZN5SGD</t>
  </si>
  <si>
    <t>MJ60NZN7DJVL</t>
  </si>
  <si>
    <t>MJ60NZN7</t>
  </si>
  <si>
    <t>MJ60NZN9DGDL</t>
  </si>
  <si>
    <t>MJ60NZN9</t>
  </si>
  <si>
    <t>MJ60NZP0DKDM</t>
  </si>
  <si>
    <t>MJ60NZP0</t>
  </si>
  <si>
    <t>MJ60NZQ9DKVD</t>
  </si>
  <si>
    <t>MJ60NZQ9</t>
  </si>
  <si>
    <t>MJ60NZR1BZB</t>
  </si>
  <si>
    <t>MJ60NZR1DKVD</t>
  </si>
  <si>
    <t>MJ60NZR2BZ</t>
  </si>
  <si>
    <t>MJ60NZR3DNSD</t>
  </si>
  <si>
    <t>MJ60NZR3</t>
  </si>
  <si>
    <t>DNSD</t>
  </si>
  <si>
    <t>DNSD WRN BLK TOP</t>
  </si>
  <si>
    <t>MJ60NZR5DKTM</t>
  </si>
  <si>
    <t>MJ60NZR5</t>
  </si>
  <si>
    <t>MJ60NZT4DPUM</t>
  </si>
  <si>
    <t>MJ60NZT4</t>
  </si>
  <si>
    <t>DPUM</t>
  </si>
  <si>
    <t>DPUM TRAIN HOPPR</t>
  </si>
  <si>
    <t>MJ60NZT7DPOD</t>
  </si>
  <si>
    <t>MJ60NZT7</t>
  </si>
  <si>
    <t>MJ60NZU0DKDM</t>
  </si>
  <si>
    <t>MJ60NZU0</t>
  </si>
  <si>
    <t>ROCCO SUPER T</t>
  </si>
  <si>
    <t>MJ60NZV1DQFM</t>
  </si>
  <si>
    <t>MJ60NZV1</t>
  </si>
  <si>
    <t>MJ60NZV8DQGM</t>
  </si>
  <si>
    <t>MJ60NZV8</t>
  </si>
  <si>
    <t>MJ60NZX8DQVL</t>
  </si>
  <si>
    <t>MJ60NZX8</t>
  </si>
  <si>
    <t>MJA800OM08</t>
  </si>
  <si>
    <t>MJA800OM15</t>
  </si>
  <si>
    <t>MJA800OM2V</t>
  </si>
  <si>
    <t>MJA800OMACKM</t>
  </si>
  <si>
    <t>MJA800OMBZ</t>
  </si>
  <si>
    <t>MJA800OMTWD</t>
  </si>
  <si>
    <t>MJA800OMVAM</t>
  </si>
  <si>
    <t>MJA800OMYLM</t>
  </si>
  <si>
    <t>MJA800OMZWD</t>
  </si>
  <si>
    <t>MJA800OMZXM</t>
  </si>
  <si>
    <t>MJA800OMCACKM</t>
  </si>
  <si>
    <t>MJA800OMCBZ</t>
  </si>
  <si>
    <t>MJA800OMMCDJM</t>
  </si>
  <si>
    <t>MJA800TSCNUL</t>
  </si>
  <si>
    <t>MJA800Y9COFM</t>
  </si>
  <si>
    <t>MJA803OM08</t>
  </si>
  <si>
    <t>MJA803OM15</t>
  </si>
  <si>
    <t>MJA803OMYLM</t>
  </si>
  <si>
    <t>MJA858OM08</t>
  </si>
  <si>
    <t>MJA858OM15</t>
  </si>
  <si>
    <t>MJA858OMBZ</t>
  </si>
  <si>
    <t>MJA858OMVAM</t>
  </si>
  <si>
    <t>MJA858OMYLM</t>
  </si>
  <si>
    <t>MJA858OMCACKM</t>
  </si>
  <si>
    <t>MJA858OMCBZ</t>
  </si>
  <si>
    <t>MJA858OMCVAM</t>
  </si>
  <si>
    <t>MJA858TSCOEM</t>
  </si>
  <si>
    <t>MJA858Y9CRYD</t>
  </si>
  <si>
    <t>MJA859CQ6NLM</t>
  </si>
  <si>
    <t>MJA859CQ6TCD</t>
  </si>
  <si>
    <t>MJA859DN0APNM</t>
  </si>
  <si>
    <t>MJA859EY4CNUL</t>
  </si>
  <si>
    <t>MJA859EY4COFM</t>
  </si>
  <si>
    <t>MJA859M60COEM</t>
  </si>
  <si>
    <t>MJA859OM08</t>
  </si>
  <si>
    <t>MJA859OM15</t>
  </si>
  <si>
    <t>MJA859OM2V</t>
  </si>
  <si>
    <t>MJA859OM3M</t>
  </si>
  <si>
    <t>MJA859OMACKM</t>
  </si>
  <si>
    <t>MJA859OMBZ</t>
  </si>
  <si>
    <t>MJA859OMLPD</t>
  </si>
  <si>
    <t>MJA859OMSGD</t>
  </si>
  <si>
    <t>MJA859OMTWD</t>
  </si>
  <si>
    <t>MJA859OMTWM</t>
  </si>
  <si>
    <t>MJA859OMVAM</t>
  </si>
  <si>
    <t>MJA859OMYLM</t>
  </si>
  <si>
    <t>MJA859OMZWD</t>
  </si>
  <si>
    <t>MJA859OMZZM</t>
  </si>
  <si>
    <t>MJA859OMCACKM</t>
  </si>
  <si>
    <t>MJA859OMCBZ</t>
  </si>
  <si>
    <t>MJA859OMCVAM</t>
  </si>
  <si>
    <t>MJA859OMWCDWL</t>
  </si>
  <si>
    <t>MJA859SH9COGL</t>
  </si>
  <si>
    <t>MJA859Y9CMXL</t>
  </si>
  <si>
    <t>MJA9020OMYKM</t>
  </si>
  <si>
    <t>MJAE08OMACKM</t>
  </si>
  <si>
    <t>MJAE08OMBZ</t>
  </si>
  <si>
    <t>MJAE08OMVAM</t>
  </si>
  <si>
    <t>MJAE08OMCACKM</t>
  </si>
  <si>
    <t>MJAE08OMCVAM</t>
  </si>
  <si>
    <t>MJAE08ZNBTCDWL</t>
  </si>
  <si>
    <t>MJAH54CQ6NLM</t>
  </si>
  <si>
    <t>MJAH54CQ6TCD</t>
  </si>
  <si>
    <t>MJAH54OMACKM</t>
  </si>
  <si>
    <t>MJAH54OMBZ</t>
  </si>
  <si>
    <t>MJAH54OMVAM</t>
  </si>
  <si>
    <t>MJAH54OMCACKM</t>
  </si>
  <si>
    <t>MJAH54OMCBZ</t>
  </si>
  <si>
    <t>MJAH54OMCVAM</t>
  </si>
  <si>
    <t>MJAH54ZTT7CMXL</t>
  </si>
  <si>
    <t>MJAJ19CQ6NLM</t>
  </si>
  <si>
    <t>MJAJ19CQ6TCD</t>
  </si>
  <si>
    <t>MJAJ19DN0APNM</t>
  </si>
  <si>
    <t>MJAJ19OM08</t>
  </si>
  <si>
    <t>MJAJ19OM15</t>
  </si>
  <si>
    <t>MJAJ19OM2V</t>
  </si>
  <si>
    <t>MJAJ19OM3M</t>
  </si>
  <si>
    <t>MJAJ19OMACKM</t>
  </si>
  <si>
    <t>MJAJ19OMBZ</t>
  </si>
  <si>
    <t>MJAJ19OMSGD</t>
  </si>
  <si>
    <t>MJAJ19OMVAM</t>
  </si>
  <si>
    <t>MJAJ19OMYLM</t>
  </si>
  <si>
    <t>MJAJ19OMZWD</t>
  </si>
  <si>
    <t>MJAJ19OMCACKM</t>
  </si>
  <si>
    <t>MJAJ19OMCBZ</t>
  </si>
  <si>
    <t>MJAJ19OMCVAM</t>
  </si>
  <si>
    <t>MJAJ19SOMTXM</t>
  </si>
  <si>
    <t>MJAJ60OM08</t>
  </si>
  <si>
    <t>MJAJ60OM15</t>
  </si>
  <si>
    <t>MJAJ60OM2V</t>
  </si>
  <si>
    <t>MJAJ60OM3M</t>
  </si>
  <si>
    <t>MJAJ60OMACKM</t>
  </si>
  <si>
    <t>MJAJ60OMBZ</t>
  </si>
  <si>
    <t>MJAJ60OMSGD</t>
  </si>
  <si>
    <t>MJAJ60OMVAM</t>
  </si>
  <si>
    <t>MJAJ60OMYLM</t>
  </si>
  <si>
    <t>MJAJ60OMZWD</t>
  </si>
  <si>
    <t>MJAJ60OMZZM</t>
  </si>
  <si>
    <t>MJAJ60OMCACKM</t>
  </si>
  <si>
    <t>MJAJ60OMCBZ</t>
  </si>
  <si>
    <t>MJAJ60OMCVAM</t>
  </si>
  <si>
    <t>MJAR62OMACID</t>
  </si>
  <si>
    <t>MJAR62OMCACID</t>
  </si>
  <si>
    <t>MJAV91OM08</t>
  </si>
  <si>
    <t>MJAV91OM15</t>
  </si>
  <si>
    <t>MJAV91OMYLM</t>
  </si>
  <si>
    <t>MJET59Z27XJL</t>
  </si>
  <si>
    <t>MJEY61CR42S</t>
  </si>
  <si>
    <t>MJEY61CR4ACCM</t>
  </si>
  <si>
    <t>MJH7S95U971322</t>
  </si>
  <si>
    <t>MJH800NOJ2CEGD</t>
  </si>
  <si>
    <t>MJH859CV9MRM</t>
  </si>
  <si>
    <t>MJH859CV9NBD</t>
  </si>
  <si>
    <t>MJH859NJW46470</t>
  </si>
  <si>
    <t>MJH859NNA7BXML</t>
  </si>
  <si>
    <t>MJH861BF578</t>
  </si>
  <si>
    <t>MJH861BF5P7</t>
  </si>
  <si>
    <t>MJH861BF5VAM</t>
  </si>
  <si>
    <t>MJH861BF5XED</t>
  </si>
  <si>
    <t>MJH861BF678</t>
  </si>
  <si>
    <t>MJH861BF6P7</t>
  </si>
  <si>
    <t>MJH861BF6VAM</t>
  </si>
  <si>
    <t>MJH861BF6XED</t>
  </si>
  <si>
    <t>MJH861BF778</t>
  </si>
  <si>
    <t>MJH861BF7P7</t>
  </si>
  <si>
    <t>MJH861BF7VAM</t>
  </si>
  <si>
    <t>MJH861BF7XED</t>
  </si>
  <si>
    <t>MJH861BF878</t>
  </si>
  <si>
    <t>MJH861BF8P7</t>
  </si>
  <si>
    <t>MJH861BF8VAM</t>
  </si>
  <si>
    <t>MJH861BF8XED</t>
  </si>
  <si>
    <t>MJHA604IQ8BMEM</t>
  </si>
  <si>
    <t>MJHA799MY1BXAD</t>
  </si>
  <si>
    <t>MJHA907LL2BSID</t>
  </si>
  <si>
    <t>MJHB033LL2BSID</t>
  </si>
  <si>
    <t>MJHC139OB3CFFM</t>
  </si>
  <si>
    <t>MJHC214OB3CFFM</t>
  </si>
  <si>
    <t>MJHE08NOJ2CEGD</t>
  </si>
  <si>
    <t>MJHJ19CV9MRM</t>
  </si>
  <si>
    <t>MJHJ19CV9NBD</t>
  </si>
  <si>
    <t>MJHJ19NJW46470</t>
  </si>
  <si>
    <t>MJHJ19NMZ9BYEL</t>
  </si>
  <si>
    <t>MJHJ19NNA7BXML</t>
  </si>
  <si>
    <t>MJHR38R88SGD</t>
  </si>
  <si>
    <t>MJHR38R88SQD</t>
  </si>
  <si>
    <t>MJHR43R88SBD</t>
  </si>
  <si>
    <t>MJHR43R88SGD</t>
  </si>
  <si>
    <t>MJHR43R88SQD</t>
  </si>
  <si>
    <t>MJHR44R88SGD</t>
  </si>
  <si>
    <t>MJHR44R88SQD</t>
  </si>
  <si>
    <t>MJHR62NA7BXML</t>
  </si>
  <si>
    <t>MJHT67U51TSD</t>
  </si>
  <si>
    <t>MJHT67U51UAD</t>
  </si>
  <si>
    <t>MJHU40W61SGD</t>
  </si>
  <si>
    <t>MJHU41W61SGD</t>
  </si>
  <si>
    <t>MJHV43Y4055</t>
  </si>
  <si>
    <t>MJHV43Y40XMD</t>
  </si>
  <si>
    <t>MJHV44Y4055</t>
  </si>
  <si>
    <t>MJHV44Y40XMD</t>
  </si>
  <si>
    <t>MJHV45Y4055</t>
  </si>
  <si>
    <t>MJHV45Y40XMD</t>
  </si>
  <si>
    <t>MJHW50AS6BB</t>
  </si>
  <si>
    <t>MJHW50AS6XSM</t>
  </si>
  <si>
    <t>MJHW51CU1XMD</t>
  </si>
  <si>
    <t>MJHW52AS6BB</t>
  </si>
  <si>
    <t>MJHW52AS6XSM</t>
  </si>
  <si>
    <t>MJHW52BS8Z2D</t>
  </si>
  <si>
    <t>MJHW54AS6BB</t>
  </si>
  <si>
    <t>MJHW54AS6XSM</t>
  </si>
  <si>
    <t>MJHW54BS8Z2D</t>
  </si>
  <si>
    <t>MJHW54BS8Z2M</t>
  </si>
  <si>
    <t>MJHX11Y4055</t>
  </si>
  <si>
    <t>MJHX11Y40XMD</t>
  </si>
  <si>
    <t>MJHX12AS6BB</t>
  </si>
  <si>
    <t>MJHX12AS6XSM</t>
  </si>
  <si>
    <t>MJIB115QT41501</t>
  </si>
  <si>
    <t>MJIB115QT44100</t>
  </si>
  <si>
    <t>MJIB411EGS1081</t>
  </si>
  <si>
    <t>MJIB411EGS</t>
  </si>
  <si>
    <t>UNION LS RUGBY POLO</t>
  </si>
  <si>
    <t>MJIB411EGS1212</t>
  </si>
  <si>
    <t>COOL GRY TRU NVY</t>
  </si>
  <si>
    <t>MJJR38R88SCM</t>
  </si>
  <si>
    <t>MJJR43R88SBD</t>
  </si>
  <si>
    <t>MJJR44R88SBD</t>
  </si>
  <si>
    <t>MJM8036B931035</t>
  </si>
  <si>
    <t>MJM8036B931422</t>
  </si>
  <si>
    <t>MJM8036B931501</t>
  </si>
  <si>
    <t>MJM8036B931746</t>
  </si>
  <si>
    <t>MJM8036B934002</t>
  </si>
  <si>
    <t>MJM8036B936011</t>
  </si>
  <si>
    <t>MJM8036B936495</t>
  </si>
  <si>
    <t>CRANBERRY</t>
  </si>
  <si>
    <t>MJM8U24DR81001</t>
  </si>
  <si>
    <t>MJM8U24IZ41001</t>
  </si>
  <si>
    <t>MJM8U24LJ96064</t>
  </si>
  <si>
    <t>MJM8U24MB71001</t>
  </si>
  <si>
    <t>MJM8U24MB71700</t>
  </si>
  <si>
    <t>MJM8U24QN54100</t>
  </si>
  <si>
    <t>MJM8U24QN61001</t>
  </si>
  <si>
    <t>MJM8U24QN71702</t>
  </si>
  <si>
    <t>MJM8U24QN76433</t>
  </si>
  <si>
    <t>MJM8U24QO21001</t>
  </si>
  <si>
    <t>MJM8U24QU91001</t>
  </si>
  <si>
    <t>MJM8U24QU91700</t>
  </si>
  <si>
    <t>MJM8U24QZ01001</t>
  </si>
  <si>
    <t>MJM8U24SC41700</t>
  </si>
  <si>
    <t>MJM8U24SC44000</t>
  </si>
  <si>
    <t>MJM8U24SK51700</t>
  </si>
  <si>
    <t>MJM8U24SK54100</t>
  </si>
  <si>
    <t>MJM8U24SK71700</t>
  </si>
  <si>
    <t>MJM8U24SL11700</t>
  </si>
  <si>
    <t>MJM8U24SR31001</t>
  </si>
  <si>
    <t>MJM8U24SY31001</t>
  </si>
  <si>
    <t>MJM8U24SY41001</t>
  </si>
  <si>
    <t>MJM8U24SY41700</t>
  </si>
  <si>
    <t>MJM8U24SY46000</t>
  </si>
  <si>
    <t>MJM8U24SY61700</t>
  </si>
  <si>
    <t>MJM8U24SY64100</t>
  </si>
  <si>
    <t>MJM8U24TC71001</t>
  </si>
  <si>
    <t>MJM8U24TC71700</t>
  </si>
  <si>
    <t>MJM8U24TD01700</t>
  </si>
  <si>
    <t>MJM8U24TD11001</t>
  </si>
  <si>
    <t>MJM8U24TD11700</t>
  </si>
  <si>
    <t>MJM8U24TD16000</t>
  </si>
  <si>
    <t>MJM8U24UW31700</t>
  </si>
  <si>
    <t>MJM8U24UW36000</t>
  </si>
  <si>
    <t>MJM8U24UW51001</t>
  </si>
  <si>
    <t>MJM8U24V091035</t>
  </si>
  <si>
    <t>MJM8U24V09</t>
  </si>
  <si>
    <t>I U ATL ..GRAPHIC CREWNECK T S</t>
  </si>
  <si>
    <t>MJM8U24VC11001</t>
  </si>
  <si>
    <t>MJM8U24VC11700</t>
  </si>
  <si>
    <t>MJM8U24VC51001</t>
  </si>
  <si>
    <t>MJM8U24VC54100</t>
  </si>
  <si>
    <t>MJM8U24VC71700</t>
  </si>
  <si>
    <t>MJM8U24VC76000</t>
  </si>
  <si>
    <t>MJM8U24VY01001</t>
  </si>
  <si>
    <t>MJM8U24VY01700</t>
  </si>
  <si>
    <t>MJM8U24VY21001</t>
  </si>
  <si>
    <t>MJM8U24VY61700</t>
  </si>
  <si>
    <t>MJM8U24WC81001</t>
  </si>
  <si>
    <t>MJM8U24WC81700</t>
  </si>
  <si>
    <t>MJM8U24WS41001</t>
  </si>
  <si>
    <t>MJM8U24WS41700</t>
  </si>
  <si>
    <t>MJM8U24WS51001</t>
  </si>
  <si>
    <t>MJM8U24WS51700</t>
  </si>
  <si>
    <t>MJM8U24XK91106</t>
  </si>
  <si>
    <t>MJM8U24XK93071</t>
  </si>
  <si>
    <t>MJM8U24XL41001</t>
  </si>
  <si>
    <t>MJM8U24XL41700</t>
  </si>
  <si>
    <t>MJM8U24XM81001</t>
  </si>
  <si>
    <t>MJM8U24XM81700</t>
  </si>
  <si>
    <t>MJM8U24XO81001</t>
  </si>
  <si>
    <t>MJM8U24XO86000</t>
  </si>
  <si>
    <t>MJM8U24XS11001</t>
  </si>
  <si>
    <t>MJM8U24XS11700</t>
  </si>
  <si>
    <t>MJM8U24XZ51001</t>
  </si>
  <si>
    <t>MJM8U24ZA01001</t>
  </si>
  <si>
    <t>MJM8U24ZA01700</t>
  </si>
  <si>
    <t>MJM8U24ZA06000</t>
  </si>
  <si>
    <t>MJM8W86QN91702</t>
  </si>
  <si>
    <t>MJM8W86WC51836</t>
  </si>
  <si>
    <t>MJM8W86WS11013</t>
  </si>
  <si>
    <t>MJM8W86WS16444</t>
  </si>
  <si>
    <t>MJM8Z65NU91001</t>
  </si>
  <si>
    <t>MJM8Z65NU91700</t>
  </si>
  <si>
    <t>MJM8Z65QO41100</t>
  </si>
  <si>
    <t>MJM8Z65QO44100</t>
  </si>
  <si>
    <t>MJM8Z65QO46000</t>
  </si>
  <si>
    <t>MJM8Z65QY56000</t>
  </si>
  <si>
    <t>MJM8Z65UW21081</t>
  </si>
  <si>
    <t>MJM8Z65UW26000</t>
  </si>
  <si>
    <t>MJM8Z65VD51700</t>
  </si>
  <si>
    <t>MJM8Z65VD54100</t>
  </si>
  <si>
    <t>MJM8Z65VY31708</t>
  </si>
  <si>
    <t>MJM8Z65VY34100</t>
  </si>
  <si>
    <t>MJM8Z65WE01096</t>
  </si>
  <si>
    <t>MJM8Z65WE06432</t>
  </si>
  <si>
    <t>MJMA204KF81001</t>
  </si>
  <si>
    <t>MJMA204KF81700</t>
  </si>
  <si>
    <t>MJMA204OF91001</t>
  </si>
  <si>
    <t>MJMA204OF91700</t>
  </si>
  <si>
    <t>MJMA204OF94930</t>
  </si>
  <si>
    <t>MJMA204OF96064</t>
  </si>
  <si>
    <t>MJMA204TC81700</t>
  </si>
  <si>
    <t>MJMA204TC84100</t>
  </si>
  <si>
    <t>MJMA204TC86000</t>
  </si>
  <si>
    <t>MJMA204UM31700</t>
  </si>
  <si>
    <t>MJMA271NY46000</t>
  </si>
  <si>
    <t>MJMA271QO14100</t>
  </si>
  <si>
    <t>MJMA271QO16433</t>
  </si>
  <si>
    <t>MJMA271QO31001</t>
  </si>
  <si>
    <t>MJMA271QO36387</t>
  </si>
  <si>
    <t>MJMA271QO51001</t>
  </si>
  <si>
    <t>MJMA595QZ91702</t>
  </si>
  <si>
    <t>MJMA595SY11078</t>
  </si>
  <si>
    <t>MJMA595TC91708</t>
  </si>
  <si>
    <t>MJMA595UW61708</t>
  </si>
  <si>
    <t>MJMA595VC21700</t>
  </si>
  <si>
    <t>MJMA595VC31096</t>
  </si>
  <si>
    <t>MJMA595VC36000</t>
  </si>
  <si>
    <t>MJMA595VF21839</t>
  </si>
  <si>
    <t>MJMA595VY11001</t>
  </si>
  <si>
    <t>MJMA595VY11708</t>
  </si>
  <si>
    <t>MJMA595WE11081</t>
  </si>
  <si>
    <t>MJMA595X041078</t>
  </si>
  <si>
    <t>MJMA595XR91708</t>
  </si>
  <si>
    <t>MJMA595XR91855</t>
  </si>
  <si>
    <t>MJMB103NI91001</t>
  </si>
  <si>
    <t>MJMB103NI91700</t>
  </si>
  <si>
    <t>MJMB121QO61006</t>
  </si>
  <si>
    <t>MJMB121QO64189</t>
  </si>
  <si>
    <t>MJMB121SL11700</t>
  </si>
  <si>
    <t>MJMB124TC81700</t>
  </si>
  <si>
    <t>MJMB124TC86000</t>
  </si>
  <si>
    <t>MJMB127XK81001</t>
  </si>
  <si>
    <t>MJMB145QO01001</t>
  </si>
  <si>
    <t>MJMB145QO01700</t>
  </si>
  <si>
    <t>MJMB145QY71001</t>
  </si>
  <si>
    <t>MJMB145QY76000</t>
  </si>
  <si>
    <t>MJMB145SL01700</t>
  </si>
  <si>
    <t>MJMB145SL04100</t>
  </si>
  <si>
    <t>MJMB257UL91708</t>
  </si>
  <si>
    <t>MJMB257UL96444</t>
  </si>
  <si>
    <t>MJMB257VC81096</t>
  </si>
  <si>
    <t>MJMB257VC81700</t>
  </si>
  <si>
    <t>MJMB257XM74861</t>
  </si>
  <si>
    <t>MJMB382XS01708</t>
  </si>
  <si>
    <t>MJMB382XS03071</t>
  </si>
  <si>
    <t>MJMC340IK1800</t>
  </si>
  <si>
    <t>MJMU24TS461106</t>
  </si>
  <si>
    <t>MJMU24TS46</t>
  </si>
  <si>
    <t>ALL STAR GRAPHC TEE</t>
  </si>
  <si>
    <t>MJMW58KT91118</t>
  </si>
  <si>
    <t>MJMW58KT96000</t>
  </si>
  <si>
    <t>MJMW58QN81700</t>
  </si>
  <si>
    <t>MJMW58QN86387</t>
  </si>
  <si>
    <t>MJMW58QO71001</t>
  </si>
  <si>
    <t>MJMW58QY91001</t>
  </si>
  <si>
    <t>MJMW58QY96000</t>
  </si>
  <si>
    <t>MJMW58SL51700</t>
  </si>
  <si>
    <t>MJMW58SQ41700</t>
  </si>
  <si>
    <t>MJMW58SQ46000</t>
  </si>
  <si>
    <t>MJMW58SX91700</t>
  </si>
  <si>
    <t>MJMW58SX93000</t>
  </si>
  <si>
    <t>MJMW58SY71001</t>
  </si>
  <si>
    <t>MJMW58SY76000</t>
  </si>
  <si>
    <t>MJMW58TE71001</t>
  </si>
  <si>
    <t>MJMW58TE71700</t>
  </si>
  <si>
    <t>MJMW58TE74189</t>
  </si>
  <si>
    <t>MJMW58UW71700</t>
  </si>
  <si>
    <t>MJMW58VC01001</t>
  </si>
  <si>
    <t>MJMW58VC01700</t>
  </si>
  <si>
    <t>MJMW58XL11001</t>
  </si>
  <si>
    <t>MJMW58XL11700</t>
  </si>
  <si>
    <t>MJO9W75IK4101</t>
  </si>
  <si>
    <t>MJO9W75IK6000</t>
  </si>
  <si>
    <t>MJPBP574022</t>
  </si>
  <si>
    <t>MJPBP576126</t>
  </si>
  <si>
    <t>MJPBT32VR1162</t>
  </si>
  <si>
    <t>MJPBT32VR4275</t>
  </si>
  <si>
    <t>MJPBT32VR6098</t>
  </si>
  <si>
    <t>MJPBT32Y114311</t>
  </si>
  <si>
    <t>MJPBT32Y114312</t>
  </si>
  <si>
    <t>MJPBT32Y117354</t>
  </si>
  <si>
    <t>MJPBV92VR4683</t>
  </si>
  <si>
    <t>MJPBV92VR5406</t>
  </si>
  <si>
    <t>MJPBX17VY4358</t>
  </si>
  <si>
    <t>MJPBX17VY4686</t>
  </si>
  <si>
    <t>MJQ9S824168</t>
  </si>
  <si>
    <t>MJR8036CX54326</t>
  </si>
  <si>
    <t>MJR8036CZ61740</t>
  </si>
  <si>
    <t>MJR8036CZ71220</t>
  </si>
  <si>
    <t>MJR8036CZ87323</t>
  </si>
  <si>
    <t>MJR8036CZ91033</t>
  </si>
  <si>
    <t>MJR8036FT21033</t>
  </si>
  <si>
    <t>MJR8036FT61746</t>
  </si>
  <si>
    <t>MJR8036GV97418</t>
  </si>
  <si>
    <t>MJR8036GV97453</t>
  </si>
  <si>
    <t>MJR8R77DF61113</t>
  </si>
  <si>
    <t>MJR8R77DF61746</t>
  </si>
  <si>
    <t>MJR8R77DY71113</t>
  </si>
  <si>
    <t>MJR8R77DY71739</t>
  </si>
  <si>
    <t>MJR8R77DY76366</t>
  </si>
  <si>
    <t>MJR8R77U261119</t>
  </si>
  <si>
    <t>MJR8R77U261746</t>
  </si>
  <si>
    <t>MJR8R77U262205</t>
  </si>
  <si>
    <t>MJR8R77V951035</t>
  </si>
  <si>
    <t>MJR8R77V951739</t>
  </si>
  <si>
    <t>MJR8R77V954464</t>
  </si>
  <si>
    <t>MJR8S32EG1746</t>
  </si>
  <si>
    <t>MJR8S32T221740</t>
  </si>
  <si>
    <t>MJR8S32T234130</t>
  </si>
  <si>
    <t>MJR8S32T241740</t>
  </si>
  <si>
    <t>MJR8S32T253020</t>
  </si>
  <si>
    <t>MJR8S32T261746</t>
  </si>
  <si>
    <t>MJR8S32T271033</t>
  </si>
  <si>
    <t>MJR8S32T271114</t>
  </si>
  <si>
    <t>MJR8S32T271746</t>
  </si>
  <si>
    <t>MJR8S32T281322</t>
  </si>
  <si>
    <t>MJR8S32T304162</t>
  </si>
  <si>
    <t>MJR8S32T313022</t>
  </si>
  <si>
    <t>MJR8Y76Y981165</t>
  </si>
  <si>
    <t>MJR8Y76Y981746</t>
  </si>
  <si>
    <t>MJR8Y76Y984134</t>
  </si>
  <si>
    <t>MJR8Y76Y986050</t>
  </si>
  <si>
    <t>MJR8Y76Y987387</t>
  </si>
  <si>
    <t>MJS8S62T403023</t>
  </si>
  <si>
    <t>MJS8S62T414129</t>
  </si>
  <si>
    <t>MJS8S62T421035</t>
  </si>
  <si>
    <t>MJS8S62T826010</t>
  </si>
  <si>
    <t>MJU9S821001</t>
  </si>
  <si>
    <t>MJU9S822500</t>
  </si>
  <si>
    <t>MJU9S824143</t>
  </si>
  <si>
    <t>MJU9U864269</t>
  </si>
  <si>
    <t>MJW859S34RCM</t>
  </si>
  <si>
    <t>MJW859S34RDL</t>
  </si>
  <si>
    <t>MJWH54S34RDL</t>
  </si>
  <si>
    <t>MJWH54X85VKD</t>
  </si>
  <si>
    <t>MJWH54X85XYM</t>
  </si>
  <si>
    <t>MJWJ19S34SSD</t>
  </si>
  <si>
    <t>MJWJ19X85VKD</t>
  </si>
  <si>
    <t>MJWJ19X85XYM</t>
  </si>
  <si>
    <t>MJWJ60S34RRD</t>
  </si>
  <si>
    <t>MJWP22R99RCM</t>
  </si>
  <si>
    <t>MJWP22R99TCD</t>
  </si>
  <si>
    <t>MJWP23R99RCM</t>
  </si>
  <si>
    <t>MJWP23R99TCD</t>
  </si>
  <si>
    <t>MJWP27R99RCM</t>
  </si>
  <si>
    <t>MJWP27R99TCD</t>
  </si>
  <si>
    <t>MJWR47R99TCD</t>
  </si>
  <si>
    <t>MJWR62S34SGD</t>
  </si>
  <si>
    <t>MJWR62S34SOM</t>
  </si>
  <si>
    <t>MJWR62X85VKD</t>
  </si>
  <si>
    <t>MJX8S96U611033</t>
  </si>
  <si>
    <t>MJX8S96U611114</t>
  </si>
  <si>
    <t>MJX8S96U611746</t>
  </si>
  <si>
    <t>MJX8S96U612016</t>
  </si>
  <si>
    <t>MJX8S96U614130</t>
  </si>
  <si>
    <t>MJX8S96U616122</t>
  </si>
  <si>
    <t>MJX8S96U61UNW</t>
  </si>
  <si>
    <t>MJX8U82AB01034</t>
  </si>
  <si>
    <t>MJX8U82AB01747</t>
  </si>
  <si>
    <t>MJX8U82AB03097</t>
  </si>
  <si>
    <t>MJX8U82AB04494</t>
  </si>
  <si>
    <t>MJX8U82AB04812</t>
  </si>
  <si>
    <t>MJX8U82AB06310</t>
  </si>
  <si>
    <t>MJX8U82AB07356</t>
  </si>
  <si>
    <t>MJX8U82AB08316</t>
  </si>
  <si>
    <t>MJX8U82DF51065</t>
  </si>
  <si>
    <t>MJX8U82DF51941</t>
  </si>
  <si>
    <t>MJX8U82DF54589</t>
  </si>
  <si>
    <t>MJX8U82DF56358</t>
  </si>
  <si>
    <t>MJX8V30Y671899</t>
  </si>
  <si>
    <t>MJX8V30Y674309</t>
  </si>
  <si>
    <t>MJZ7S97U074263</t>
  </si>
  <si>
    <t>MK29E50M291001</t>
  </si>
  <si>
    <t>MKD7V86Y961533</t>
  </si>
  <si>
    <t>MKD8U14V851525</t>
  </si>
  <si>
    <t>MKGA451NC04289</t>
  </si>
  <si>
    <t>MKGA451NC11118</t>
  </si>
  <si>
    <t>MKLA451NB91541</t>
  </si>
  <si>
    <t>MKLB176NN51501</t>
  </si>
  <si>
    <t>MKLB228NC51501</t>
  </si>
  <si>
    <t>MKO8U24QY31501</t>
  </si>
  <si>
    <t>MKSB078NU2CGYL</t>
  </si>
  <si>
    <t>MKVC142IK4100</t>
  </si>
  <si>
    <t>ML2B390MU31001</t>
  </si>
  <si>
    <t>ML2B390MU3</t>
  </si>
  <si>
    <t>LS DN WESTERN WOVEN SHIRT</t>
  </si>
  <si>
    <t>ML2B390MU31700</t>
  </si>
  <si>
    <t>ML4BL68VY2401</t>
  </si>
  <si>
    <t>ML4BL68VY2801</t>
  </si>
  <si>
    <t>ML4BL68VY4316</t>
  </si>
  <si>
    <t>ML4BL68VY6179</t>
  </si>
  <si>
    <t>ML4BL68VY7021</t>
  </si>
  <si>
    <t>ML4BL68VYC4495</t>
  </si>
  <si>
    <t>ML4BN12VR2117</t>
  </si>
  <si>
    <t>ML4BN12VR4229</t>
  </si>
  <si>
    <t>ML4BN12VR6312</t>
  </si>
  <si>
    <t>ML4BP572127</t>
  </si>
  <si>
    <t>ML4BP572315</t>
  </si>
  <si>
    <t>ML4BP574023</t>
  </si>
  <si>
    <t>ML4BP574238</t>
  </si>
  <si>
    <t>ML4BP577103</t>
  </si>
  <si>
    <t>ML4BR742612</t>
  </si>
  <si>
    <t>ML4BR744239</t>
  </si>
  <si>
    <t>ML4BR746049</t>
  </si>
  <si>
    <t>ML4BR746128</t>
  </si>
  <si>
    <t>ML4BT32Y114807</t>
  </si>
  <si>
    <t>ML4BT32Y118045</t>
  </si>
  <si>
    <t>MLCB177NX71800</t>
  </si>
  <si>
    <t>MLCB177NX76497</t>
  </si>
  <si>
    <t>MLEB166KG61496</t>
  </si>
  <si>
    <t>MLEB166KG61889</t>
  </si>
  <si>
    <t>MLEB166KG64108</t>
  </si>
  <si>
    <t>MLGB198IK3105</t>
  </si>
  <si>
    <t>MLGB198IK4100</t>
  </si>
  <si>
    <t>MLK7V12Y541193</t>
  </si>
  <si>
    <t>MLK7V12Y864493</t>
  </si>
  <si>
    <t>MLK8036AA11746</t>
  </si>
  <si>
    <t>MLK8036AA24134</t>
  </si>
  <si>
    <t>MLK8036AA33045</t>
  </si>
  <si>
    <t>MLK8036AA44529</t>
  </si>
  <si>
    <t>MLK8036AA51746</t>
  </si>
  <si>
    <t>MLK8036AZ31033</t>
  </si>
  <si>
    <t>MLK8036BD61746</t>
  </si>
  <si>
    <t>MLK8036BD81746</t>
  </si>
  <si>
    <t>MLK8036BD84134</t>
  </si>
  <si>
    <t>MLK8036BD84434</t>
  </si>
  <si>
    <t>MLK8036CA81746</t>
  </si>
  <si>
    <t>MLK8036CA84584</t>
  </si>
  <si>
    <t>MLK8036CA86030</t>
  </si>
  <si>
    <t>MLK8036CX41033</t>
  </si>
  <si>
    <t>MLK8036CX41746</t>
  </si>
  <si>
    <t>MLK8036CX44134</t>
  </si>
  <si>
    <t>MLK8036CX44434</t>
  </si>
  <si>
    <t>MLK8036CX46050</t>
  </si>
  <si>
    <t>MLK8036CX61100</t>
  </si>
  <si>
    <t>MLK8036CX61746</t>
  </si>
  <si>
    <t>MLK8036CX64597</t>
  </si>
  <si>
    <t>MLK8036CX66333</t>
  </si>
  <si>
    <t>MLK8036CX68052</t>
  </si>
  <si>
    <t>MLK8036CX81746</t>
  </si>
  <si>
    <t>MLK8036CX96332</t>
  </si>
  <si>
    <t>MLK8036CY11033</t>
  </si>
  <si>
    <t>MLK8036CY24134</t>
  </si>
  <si>
    <t>MLK8036DY11740</t>
  </si>
  <si>
    <t>MLK8036DY21033</t>
  </si>
  <si>
    <t>MLK8036DY24134</t>
  </si>
  <si>
    <t>MLK8036DY41740</t>
  </si>
  <si>
    <t>MLK8036DY56030</t>
  </si>
  <si>
    <t>MLK8036DY61740</t>
  </si>
  <si>
    <t>MLK8036DY63020</t>
  </si>
  <si>
    <t>MLK8036ED51033</t>
  </si>
  <si>
    <t>MLK8036ED51746</t>
  </si>
  <si>
    <t>MLK8036ED53556</t>
  </si>
  <si>
    <t>MLK8036ED56332</t>
  </si>
  <si>
    <t>MLK8036EF24248</t>
  </si>
  <si>
    <t>MLK8036EF36332</t>
  </si>
  <si>
    <t>MLK8036FT36030</t>
  </si>
  <si>
    <t>MLK8036FT44134</t>
  </si>
  <si>
    <t>MLK8036FT71033</t>
  </si>
  <si>
    <t>MLK8036FT83347</t>
  </si>
  <si>
    <t>MLK8036GV61033</t>
  </si>
  <si>
    <t>MLK8036HB21033</t>
  </si>
  <si>
    <t>MLK8036HC26030</t>
  </si>
  <si>
    <t>MLK8036V615031</t>
  </si>
  <si>
    <t>MLK8036V621033</t>
  </si>
  <si>
    <t>MLK8036V621746</t>
  </si>
  <si>
    <t>MLK8036V653020</t>
  </si>
  <si>
    <t>MLK8036V711033</t>
  </si>
  <si>
    <t>MLK8036V711746</t>
  </si>
  <si>
    <t>MLK8036V971165</t>
  </si>
  <si>
    <t>MLK8036W561033</t>
  </si>
  <si>
    <t>MLK8036W561740</t>
  </si>
  <si>
    <t>MLK8036W561865</t>
  </si>
  <si>
    <t>MLK8036W564130</t>
  </si>
  <si>
    <t>MLK8036W565031</t>
  </si>
  <si>
    <t>MLK8036W566122</t>
  </si>
  <si>
    <t>MLK8036Y781746</t>
  </si>
  <si>
    <t>MLK8036Y791740</t>
  </si>
  <si>
    <t>MLK8036Z248315</t>
  </si>
  <si>
    <t>MLK8036Z416030</t>
  </si>
  <si>
    <t>MLK8L14CZ07323</t>
  </si>
  <si>
    <t>MLK8L14CZ11746</t>
  </si>
  <si>
    <t>MLK8L14CZ24326</t>
  </si>
  <si>
    <t>MLK8L14CZ36332</t>
  </si>
  <si>
    <t>MLK8L14W541746</t>
  </si>
  <si>
    <t>MLK8T39V951165</t>
  </si>
  <si>
    <t>MLK8T39V951740</t>
  </si>
  <si>
    <t>MLK8T39V956036</t>
  </si>
  <si>
    <t>MLK8V05Y632633</t>
  </si>
  <si>
    <t>MLK8V05Y766177</t>
  </si>
  <si>
    <t>MLK8V05Z161904</t>
  </si>
  <si>
    <t>MLK8V10AW91365</t>
  </si>
  <si>
    <t>MLK8V10AW91900</t>
  </si>
  <si>
    <t>MLK8V10AW91905</t>
  </si>
  <si>
    <t>MLK8V32Y734810</t>
  </si>
  <si>
    <t>MLK8V32Y831898</t>
  </si>
  <si>
    <t>MLK8X82CS21964</t>
  </si>
  <si>
    <t>MLK8X82CS23448</t>
  </si>
  <si>
    <t>MLK8X82CS25141</t>
  </si>
  <si>
    <t>MLK8X82CS26357</t>
  </si>
  <si>
    <t>MLK8Y95DA01853</t>
  </si>
  <si>
    <t>MLK8Y95DA06335</t>
  </si>
  <si>
    <t>MLK8Y95DA07389</t>
  </si>
  <si>
    <t>MLK8Y95DA07390</t>
  </si>
  <si>
    <t>MLKA006DZ61033</t>
  </si>
  <si>
    <t>MLKA006DZ61746</t>
  </si>
  <si>
    <t>MLKA006DZ64326</t>
  </si>
  <si>
    <t>MLKA230FW63485</t>
  </si>
  <si>
    <t>MLLB156NR74100</t>
  </si>
  <si>
    <t>MLP1561021700</t>
  </si>
  <si>
    <t>MLP1561022001</t>
  </si>
  <si>
    <t>MLP1561031700</t>
  </si>
  <si>
    <t>MLPTR14281001</t>
  </si>
  <si>
    <t>MLPTR14291001</t>
  </si>
  <si>
    <t>MLPTR14291200</t>
  </si>
  <si>
    <t>MLPTR17981470</t>
  </si>
  <si>
    <t>MLPTR17982699</t>
  </si>
  <si>
    <t>MLPTR17988411</t>
  </si>
  <si>
    <t>MLPTR18001001</t>
  </si>
  <si>
    <t>MLPTR18003525</t>
  </si>
  <si>
    <t>MLPTR18008411</t>
  </si>
  <si>
    <t>MLPTR18011001</t>
  </si>
  <si>
    <t>MLPTR18014168</t>
  </si>
  <si>
    <t>MLPTR18023525</t>
  </si>
  <si>
    <t>MLPTR18024048</t>
  </si>
  <si>
    <t>MLPTR18029614</t>
  </si>
  <si>
    <t>MLPTR18091001</t>
  </si>
  <si>
    <t>MLPTR18092375</t>
  </si>
  <si>
    <t>MLPTR18131468</t>
  </si>
  <si>
    <t>MLPTR18131470</t>
  </si>
  <si>
    <t>MLPTR18132054</t>
  </si>
  <si>
    <t>MLPTR18151700</t>
  </si>
  <si>
    <t>MLPTR18156482</t>
  </si>
  <si>
    <t>MLPTR1837T1001</t>
  </si>
  <si>
    <t>MLPTR1837T1200</t>
  </si>
  <si>
    <t>MLPTR1837T4100</t>
  </si>
  <si>
    <t>MLPTR1837T6064</t>
  </si>
  <si>
    <t>MLPTR1840T1468</t>
  </si>
  <si>
    <t>MLPTR1840T6064</t>
  </si>
  <si>
    <t>MLPTR1843T1001</t>
  </si>
  <si>
    <t>MLPTR1843T6064</t>
  </si>
  <si>
    <t>MLPTR1845T1001</t>
  </si>
  <si>
    <t>MLPTR1849T1001</t>
  </si>
  <si>
    <t>MLPTR1849T2536</t>
  </si>
  <si>
    <t>MLPTR1851T1001</t>
  </si>
  <si>
    <t>MLPTR1851T4067</t>
  </si>
  <si>
    <t>MLPTR1852T1001</t>
  </si>
  <si>
    <t>MLPTR1852T1769</t>
  </si>
  <si>
    <t>MLPTR1857T1001</t>
  </si>
  <si>
    <t>MLPTR1857T4002</t>
  </si>
  <si>
    <t>MLPTR1857T6000</t>
  </si>
  <si>
    <t>MLPTR1928T1200</t>
  </si>
  <si>
    <t>MLPTR1928T1700</t>
  </si>
  <si>
    <t>MLPTR1929T1001</t>
  </si>
  <si>
    <t>MLPTR1930T1700</t>
  </si>
  <si>
    <t>MLPTR1930T6064</t>
  </si>
  <si>
    <t>MLPTR1932T1700</t>
  </si>
  <si>
    <t>MLPTR1932T6000</t>
  </si>
  <si>
    <t>MLPTR1935T1700</t>
  </si>
  <si>
    <t>MLPTR1935T6000</t>
  </si>
  <si>
    <t>MLPTR1937T1001</t>
  </si>
  <si>
    <t>MLPTR1937T1700</t>
  </si>
  <si>
    <t>MLPTR1941T1700</t>
  </si>
  <si>
    <t>MLPTR1944T1001</t>
  </si>
  <si>
    <t>MLPTR1944T1200</t>
  </si>
  <si>
    <t>MLPTR1946T1001</t>
  </si>
  <si>
    <t>MLPTR1946T6064</t>
  </si>
  <si>
    <t>MLPTR1947T1001</t>
  </si>
  <si>
    <t>MLPTR2016T1001</t>
  </si>
  <si>
    <t>MLPTR2016T6000</t>
  </si>
  <si>
    <t>MLPTR2028T1700</t>
  </si>
  <si>
    <t>MLPTR2028T6064</t>
  </si>
  <si>
    <t>MLPTR2036T1700</t>
  </si>
  <si>
    <t>MLPTR2086T1001</t>
  </si>
  <si>
    <t>MLPTR2086T6064</t>
  </si>
  <si>
    <t>MLQB011IK3512</t>
  </si>
  <si>
    <t>MLQB011IK6497</t>
  </si>
  <si>
    <t>MLRA577NW44048</t>
  </si>
  <si>
    <t>MLRB154IK1496</t>
  </si>
  <si>
    <t>MLRB154IK6497</t>
  </si>
  <si>
    <t>MLRC153NF41496</t>
  </si>
  <si>
    <t>MLRC153NF44108</t>
  </si>
  <si>
    <t>MLRC156IK1496</t>
  </si>
  <si>
    <t>MLRC159NZ21496</t>
  </si>
  <si>
    <t>MLRC159NZ26497</t>
  </si>
  <si>
    <t>MLRC215QW64048</t>
  </si>
  <si>
    <t>MLRC351IK1496</t>
  </si>
  <si>
    <t>MLRC351IK6497</t>
  </si>
  <si>
    <t>MLS7U18V891033</t>
  </si>
  <si>
    <t>MLS7U18W556122</t>
  </si>
  <si>
    <t>MLS7V86Y961899</t>
  </si>
  <si>
    <t>MLS7V86Y961900</t>
  </si>
  <si>
    <t>MLTC145IK4100</t>
  </si>
  <si>
    <t>MLW7V12Y851533</t>
  </si>
  <si>
    <t>MLW8036CY01505</t>
  </si>
  <si>
    <t>MLW8036DY31505</t>
  </si>
  <si>
    <t>MLW8036HB11505</t>
  </si>
  <si>
    <t>MLW8036W561527</t>
  </si>
  <si>
    <t>MLW8036Y581505</t>
  </si>
  <si>
    <t>MLW8V32Z171532</t>
  </si>
  <si>
    <t>MLY7S81T996036</t>
  </si>
  <si>
    <t>MLY7S81U981114</t>
  </si>
  <si>
    <t>MLY7S95T987321</t>
  </si>
  <si>
    <t>MLY7S97DB41165</t>
  </si>
  <si>
    <t>MLY7S97DB44134</t>
  </si>
  <si>
    <t>MLY7S97DB44434</t>
  </si>
  <si>
    <t>MLY7S97DB46332</t>
  </si>
  <si>
    <t>MLY7S97DB48051</t>
  </si>
  <si>
    <t>MLZ859KN81106</t>
  </si>
  <si>
    <t>MM0A638VR4128</t>
  </si>
  <si>
    <t>MMA859OMBZVD</t>
  </si>
  <si>
    <t>MMA859QM5BZTM</t>
  </si>
  <si>
    <t>MMA859TE6CMSD</t>
  </si>
  <si>
    <t>MMA859TSCFLD</t>
  </si>
  <si>
    <t>MMA859Y9BZMD</t>
  </si>
  <si>
    <t>MMAC166OE1BZVD</t>
  </si>
  <si>
    <t>MMAE08ZTSBZMD</t>
  </si>
  <si>
    <t>MMAH54ZY9CMSD</t>
  </si>
  <si>
    <t>MMAJ19TSBZTM</t>
  </si>
  <si>
    <t>MMC800OMDDHD</t>
  </si>
  <si>
    <t>MMC859TSCFMD</t>
  </si>
  <si>
    <t>MMC859TSCXXM</t>
  </si>
  <si>
    <t>MMC859Y9CDGM</t>
  </si>
  <si>
    <t>MMCB185TSCFMD</t>
  </si>
  <si>
    <t>MMCB394YD3DDHD</t>
  </si>
  <si>
    <t>MMCB395YD3DDHD</t>
  </si>
  <si>
    <t>MMCC345NBTCIAD</t>
  </si>
  <si>
    <t>MMCC345TS2V</t>
  </si>
  <si>
    <t>MMCE08OMWCXWM</t>
  </si>
  <si>
    <t>MMCE08ZKB5CTPD</t>
  </si>
  <si>
    <t>MMCH54ZTSDDOL</t>
  </si>
  <si>
    <t>MMD800DE4CDXM</t>
  </si>
  <si>
    <t>MMD800KL3CDEL</t>
  </si>
  <si>
    <t>MMD800MU0CFLD</t>
  </si>
  <si>
    <t>MMD800NB3BZOM</t>
  </si>
  <si>
    <t>MMD800NBTCICD</t>
  </si>
  <si>
    <t>MMD800OJ8BZKL</t>
  </si>
  <si>
    <t>MMD800TSCMZD</t>
  </si>
  <si>
    <t>MMD800Y9BZOM</t>
  </si>
  <si>
    <t>MMD858OMCIBM</t>
  </si>
  <si>
    <t>MMD859DE4BZPM</t>
  </si>
  <si>
    <t>MMD859EY4CIBM</t>
  </si>
  <si>
    <t>MMD859FP3BZBD</t>
  </si>
  <si>
    <t>MMD859IT7BZND</t>
  </si>
  <si>
    <t>MMD859IT7CDEL</t>
  </si>
  <si>
    <t>MMD859IT7CIDD</t>
  </si>
  <si>
    <t>MMD859KL3CHVM</t>
  </si>
  <si>
    <t>MMD859LG9BZOM</t>
  </si>
  <si>
    <t>MMD859M60BZRM</t>
  </si>
  <si>
    <t>MMD859NB3BZKL</t>
  </si>
  <si>
    <t>MMD859OE2BZOM</t>
  </si>
  <si>
    <t>MMD859OMWBZTM</t>
  </si>
  <si>
    <t>MMD859OMWCRSD</t>
  </si>
  <si>
    <t>MMD859QX3CDXM</t>
  </si>
  <si>
    <t>MMD859QX3CFOD</t>
  </si>
  <si>
    <t>MMD859SGG1CMRM</t>
  </si>
  <si>
    <t>MMD859SO5CDSL</t>
  </si>
  <si>
    <t>MMD859TC6CMRM</t>
  </si>
  <si>
    <t>MMD859TM1CMYL</t>
  </si>
  <si>
    <t>SUPER QT STRAIGHT WFLAPS</t>
  </si>
  <si>
    <t>MMD859TM1CMZD</t>
  </si>
  <si>
    <t>MMD859TSCMQM</t>
  </si>
  <si>
    <t>MMD859TSCMUL</t>
  </si>
  <si>
    <t>MMD859TSCOAL</t>
  </si>
  <si>
    <t>MMD859TSCTNM</t>
  </si>
  <si>
    <t>MMD859TT3CSAM</t>
  </si>
  <si>
    <t>MMD859UT2BODM</t>
  </si>
  <si>
    <t>MMD859UT3CRMD</t>
  </si>
  <si>
    <t>MMD859UT4CRNM</t>
  </si>
  <si>
    <t>MMD859VA5CSPD</t>
  </si>
  <si>
    <t>MMD859Y9CICD</t>
  </si>
  <si>
    <t>MMDE08ZTSCHVM</t>
  </si>
  <si>
    <t>MMDE08ZTSCRMD</t>
  </si>
  <si>
    <t>MMDH54ZNBTCSSD</t>
  </si>
  <si>
    <t>MMDH54ZOMCHWM</t>
  </si>
  <si>
    <t>MMDH54ZOMCMYL</t>
  </si>
  <si>
    <t>MMDH54ZQJ9BZBD</t>
  </si>
  <si>
    <t>MMDH54ZTSBODM</t>
  </si>
  <si>
    <t>MMDH54ZTSCDSL</t>
  </si>
  <si>
    <t>MMDH54ZTSCDVD</t>
  </si>
  <si>
    <t>MMDH54ZTSCIDD</t>
  </si>
  <si>
    <t>MMDH54ZTSCNYL</t>
  </si>
  <si>
    <t>MMDH54ZTSCTRD</t>
  </si>
  <si>
    <t>MMDH54ZY9CDFM</t>
  </si>
  <si>
    <t>MMDH54ZY9CMRM</t>
  </si>
  <si>
    <t>MMDJ19OMBZOM</t>
  </si>
  <si>
    <t>MMDQ59IT7BZND</t>
  </si>
  <si>
    <t>MMDQ59OJ8BZGD</t>
  </si>
  <si>
    <t>MMF859OIF7BFPM</t>
  </si>
  <si>
    <t>MMF859OIF7BGFL</t>
  </si>
  <si>
    <t>MMFA349IF7BFPM</t>
  </si>
  <si>
    <t>MMFA349IF7BGFL</t>
  </si>
  <si>
    <t>MMFA350IF7BGEM</t>
  </si>
  <si>
    <t>MMFA584IF7BGEM</t>
  </si>
  <si>
    <t>MMFJ19OIF7BGEM</t>
  </si>
  <si>
    <t>MMFT73IF7BGEM</t>
  </si>
  <si>
    <t>MMJ8T27CY41194</t>
  </si>
  <si>
    <t>MMJ8T27CY44327</t>
  </si>
  <si>
    <t>MMJ8T27CY44808</t>
  </si>
  <si>
    <t>MMJ8T27CY46336</t>
  </si>
  <si>
    <t>MMJ8V34V607440</t>
  </si>
  <si>
    <t>MMJ8V34Y482635</t>
  </si>
  <si>
    <t>MMJ8V34Y513342</t>
  </si>
  <si>
    <t>MMJ8V34Y691194</t>
  </si>
  <si>
    <t>MMJ8V34Y754496</t>
  </si>
  <si>
    <t>MMOBT32VR4276</t>
  </si>
  <si>
    <t>MMSC151IK2045</t>
  </si>
  <si>
    <t>MMTB170IK6497</t>
  </si>
  <si>
    <t>MMWC163OG56497</t>
  </si>
  <si>
    <t>MMWC164OG61318</t>
  </si>
  <si>
    <t>MMY859OMCXPD</t>
  </si>
  <si>
    <t>MMZBV92VR4801</t>
  </si>
  <si>
    <t>MMZBV92VR6174</t>
  </si>
  <si>
    <t>MN2800UT6BABM</t>
  </si>
  <si>
    <t>MN2859GG1BABM</t>
  </si>
  <si>
    <t>MN2859UT5CRPD</t>
  </si>
  <si>
    <t>MN2859UV2CRLM</t>
  </si>
  <si>
    <t>MN2859VA3CRZL</t>
  </si>
  <si>
    <t>MN2E08ZVA2CRZL</t>
  </si>
  <si>
    <t>MN2E08ZY9CRLM</t>
  </si>
  <si>
    <t>MN2R64S44PGD</t>
  </si>
  <si>
    <t>MN2R64S44RVD</t>
  </si>
  <si>
    <t>MN2R65S44PGD</t>
  </si>
  <si>
    <t>MN2R65S44RVD</t>
  </si>
  <si>
    <t>MN2R67T85SKD</t>
  </si>
  <si>
    <t>MN2R67T85SLD</t>
  </si>
  <si>
    <t>MN2R69T85SLD</t>
  </si>
  <si>
    <t>MN2R70T85LZD</t>
  </si>
  <si>
    <t>MN2T87T85SLD</t>
  </si>
  <si>
    <t>MN48H34D861001</t>
  </si>
  <si>
    <t>MN48H34D961001</t>
  </si>
  <si>
    <t>MNABV92BD14592</t>
  </si>
  <si>
    <t>MNBB156IK4100</t>
  </si>
  <si>
    <t>MNBB179IK4100</t>
  </si>
  <si>
    <t>MNDBL68VY4490</t>
  </si>
  <si>
    <t>MNDBL68VY7359</t>
  </si>
  <si>
    <t>MNDBU93VY4490</t>
  </si>
  <si>
    <t>MNDBU93VY7359</t>
  </si>
  <si>
    <t>MNEC160NF44100</t>
  </si>
  <si>
    <t>MNEC161IK4100</t>
  </si>
  <si>
    <t>MNGBL68AR22348</t>
  </si>
  <si>
    <t>MNGBL68VY2348</t>
  </si>
  <si>
    <t>MNGBT32AY13095</t>
  </si>
  <si>
    <t>MNGBT32AZ56173</t>
  </si>
  <si>
    <t>MNGBT32Y113095</t>
  </si>
  <si>
    <t>MNGBT32Y116173</t>
  </si>
  <si>
    <t>MNGBV92VR1274</t>
  </si>
  <si>
    <t>MNGBV92VR4313</t>
  </si>
  <si>
    <t>MNGBV92VR4489</t>
  </si>
  <si>
    <t>MNGBV92VR8032</t>
  </si>
  <si>
    <t>MNK859NOD1CDZM</t>
  </si>
  <si>
    <t>MNKA799OD1CEAD</t>
  </si>
  <si>
    <t>MNKB275SW9CMIM</t>
  </si>
  <si>
    <t>MNKB276SW9CMIM</t>
  </si>
  <si>
    <t>MNKC345SW9CDZM</t>
  </si>
  <si>
    <t>MNKJ19NOD1CDYL</t>
  </si>
  <si>
    <t>MNL6X84AB01165</t>
  </si>
  <si>
    <t>MNL6X84AB01746</t>
  </si>
  <si>
    <t>MNL6X84AB04134</t>
  </si>
  <si>
    <t>MNL6X84AB04433</t>
  </si>
  <si>
    <t>MNL6X84AB06332</t>
  </si>
  <si>
    <t>MNL6X84AB07387</t>
  </si>
  <si>
    <t>MNL7V13AB11747</t>
  </si>
  <si>
    <t>MNL7V13AB13097</t>
  </si>
  <si>
    <t>MNL7V13AB14555</t>
  </si>
  <si>
    <t>MNL7V13AB18044</t>
  </si>
  <si>
    <t>MNL7V13AB36310</t>
  </si>
  <si>
    <t>MNL7V13BY61033</t>
  </si>
  <si>
    <t>MNL7V13BY64134</t>
  </si>
  <si>
    <t>MNL7X85CB21746</t>
  </si>
  <si>
    <t>MNL7X85CB24061</t>
  </si>
  <si>
    <t>MNL7X85CB26030</t>
  </si>
  <si>
    <t>MNL7Y47CU81165</t>
  </si>
  <si>
    <t>MNL7Y47CU81746</t>
  </si>
  <si>
    <t>MNL7Y47CU84134</t>
  </si>
  <si>
    <t>MNL7Y47CU84433</t>
  </si>
  <si>
    <t>MNL7Y47CU86332</t>
  </si>
  <si>
    <t>MNL7Y47CU87387</t>
  </si>
  <si>
    <t>MNL7Y50AB01165</t>
  </si>
  <si>
    <t>MNL7Y50AB01746</t>
  </si>
  <si>
    <t>MNL7Y50AB04134</t>
  </si>
  <si>
    <t>MNL7Y50AB04433</t>
  </si>
  <si>
    <t>MNL7Y50AB06332</t>
  </si>
  <si>
    <t>MNL7Y50AB07387</t>
  </si>
  <si>
    <t>MNL8V94Y681905</t>
  </si>
  <si>
    <t>MNL8V94Y684492</t>
  </si>
  <si>
    <t>MNL8V94Y686176</t>
  </si>
  <si>
    <t>MNMA066EF92658</t>
  </si>
  <si>
    <t>MNNV16X943409</t>
  </si>
  <si>
    <t>MNNV17X943409</t>
  </si>
  <si>
    <t>MNNV21Y052156</t>
  </si>
  <si>
    <t>MNNV21Y053243</t>
  </si>
  <si>
    <t>MNNV21Y056171</t>
  </si>
  <si>
    <t>MNNV21Y057351</t>
  </si>
  <si>
    <t>MNNV21Y058048</t>
  </si>
  <si>
    <t>MNOA064EF71001</t>
  </si>
  <si>
    <t>MNOA064EF71393</t>
  </si>
  <si>
    <t>MNOV26Y171002</t>
  </si>
  <si>
    <t>MNOV26Y171198</t>
  </si>
  <si>
    <t>MNOV26Y171909</t>
  </si>
  <si>
    <t>MNOV26Y171915</t>
  </si>
  <si>
    <t>MNOV26Y172636</t>
  </si>
  <si>
    <t>MNOV26Y172637</t>
  </si>
  <si>
    <t>MNOV26Y173345</t>
  </si>
  <si>
    <t>MNOV26Y173353</t>
  </si>
  <si>
    <t>MNOV26Y173354</t>
  </si>
  <si>
    <t>MNOV26Y173407</t>
  </si>
  <si>
    <t>MNOV26Y174613</t>
  </si>
  <si>
    <t>MNOV26Y174628</t>
  </si>
  <si>
    <t>MNOV26Y174629</t>
  </si>
  <si>
    <t>MNOV26Y174636</t>
  </si>
  <si>
    <t>MNOV26Y174637</t>
  </si>
  <si>
    <t>MNOV26Y174638</t>
  </si>
  <si>
    <t>MNOV26Y176181</t>
  </si>
  <si>
    <t>MNOV26Y176260</t>
  </si>
  <si>
    <t>MNOV26Y176278</t>
  </si>
  <si>
    <t>MNOV26Y176317</t>
  </si>
  <si>
    <t>MNOV26Y177431</t>
  </si>
  <si>
    <t>MNOV26Y177432</t>
  </si>
  <si>
    <t>MNOV27Y171002</t>
  </si>
  <si>
    <t>MNOV27Y171198</t>
  </si>
  <si>
    <t>MNOV27Y171909</t>
  </si>
  <si>
    <t>MNOV27Y171915</t>
  </si>
  <si>
    <t>MNOV27Y172636</t>
  </si>
  <si>
    <t>MNOV27Y172637</t>
  </si>
  <si>
    <t>MNOV27Y173345</t>
  </si>
  <si>
    <t>MNOV27Y173353</t>
  </si>
  <si>
    <t>MNOV27Y173354</t>
  </si>
  <si>
    <t>MNOV27Y173407</t>
  </si>
  <si>
    <t>MNOV27Y174613</t>
  </si>
  <si>
    <t>MNOV27Y174628</t>
  </si>
  <si>
    <t>MNOV27Y174629</t>
  </si>
  <si>
    <t>MNOV27Y174636</t>
  </si>
  <si>
    <t>MNOV27Y174637</t>
  </si>
  <si>
    <t>MNOV27Y174638</t>
  </si>
  <si>
    <t>MNOV27Y176181</t>
  </si>
  <si>
    <t>MNOV27Y176260</t>
  </si>
  <si>
    <t>MNOV27Y176278</t>
  </si>
  <si>
    <t>MNOV27Y176317</t>
  </si>
  <si>
    <t>MNOV27Y177431</t>
  </si>
  <si>
    <t>MNOV27Y177432</t>
  </si>
  <si>
    <t>MNPC207QR3CEJL</t>
  </si>
  <si>
    <t>MNPC208QR3CEJL</t>
  </si>
  <si>
    <t>MNPC209QR3CEJL</t>
  </si>
  <si>
    <t>MNQ859EL6276</t>
  </si>
  <si>
    <t>MNQ859IR92725</t>
  </si>
  <si>
    <t>MNQ859NIR92695</t>
  </si>
  <si>
    <t>MNQ859NJV51001</t>
  </si>
  <si>
    <t>MNQ859NJV62370</t>
  </si>
  <si>
    <t>MNQ859NK033517</t>
  </si>
  <si>
    <t>MNQ9W89EG2642</t>
  </si>
  <si>
    <t>MNQ9W89EG6277</t>
  </si>
  <si>
    <t>MNQA799IR92695</t>
  </si>
  <si>
    <t>MNQA799JV51001</t>
  </si>
  <si>
    <t>MNQA799JV62370</t>
  </si>
  <si>
    <t>MNQA799K033517</t>
  </si>
  <si>
    <t>MNQA799ND61118</t>
  </si>
  <si>
    <t>MNQA799ND66402</t>
  </si>
  <si>
    <t>MNQB044LG51001</t>
  </si>
  <si>
    <t>MNQB044LG51497</t>
  </si>
  <si>
    <t>MNQB044LG52385</t>
  </si>
  <si>
    <t>MNQB078NJ01130</t>
  </si>
  <si>
    <t>MNQB078NJ01803</t>
  </si>
  <si>
    <t>MNQB078NJ02512</t>
  </si>
  <si>
    <t>MNQB078NJ06117</t>
  </si>
  <si>
    <t>MNQB078NU81315</t>
  </si>
  <si>
    <t>MNQB078NU86497</t>
  </si>
  <si>
    <t>MNQB085ND81123</t>
  </si>
  <si>
    <t>MNQB085ND81216</t>
  </si>
  <si>
    <t>MNQJ19NND61118</t>
  </si>
  <si>
    <t>MNQJ19NND66402</t>
  </si>
  <si>
    <t>MNQU23K331100</t>
  </si>
  <si>
    <t>MNQU23K334823</t>
  </si>
  <si>
    <t>MNQU23K337279</t>
  </si>
  <si>
    <t>MNQV16Y011363</t>
  </si>
  <si>
    <t>MNQV16Y011919</t>
  </si>
  <si>
    <t>MNQV16Y012642</t>
  </si>
  <si>
    <t>MNQV16Y013411</t>
  </si>
  <si>
    <t>MNQV16Y014562</t>
  </si>
  <si>
    <t>MNQV16Y017434</t>
  </si>
  <si>
    <t>MNQV17Y011363</t>
  </si>
  <si>
    <t>MNQV17Y011919</t>
  </si>
  <si>
    <t>MNQV17Y012642</t>
  </si>
  <si>
    <t>MNQV17Y013411</t>
  </si>
  <si>
    <t>MNQV17Y014562</t>
  </si>
  <si>
    <t>MNQV17Y017434</t>
  </si>
  <si>
    <t>MNQV22Y061918</t>
  </si>
  <si>
    <t>MNQV22Y062641</t>
  </si>
  <si>
    <t>MNQV22Y063410</t>
  </si>
  <si>
    <t>MNQV22Y064619</t>
  </si>
  <si>
    <t>MNQV22Y066318</t>
  </si>
  <si>
    <t>MNQV22Y067433</t>
  </si>
  <si>
    <t>MNQV23Y061918</t>
  </si>
  <si>
    <t>MNQV23Y062641</t>
  </si>
  <si>
    <t>MNQV23Y063410</t>
  </si>
  <si>
    <t>MNQV23Y064619</t>
  </si>
  <si>
    <t>MNQV23Y066318</t>
  </si>
  <si>
    <t>MNQV23Y067433</t>
  </si>
  <si>
    <t>MNQV25FM72175</t>
  </si>
  <si>
    <t>MNQY58CR53441</t>
  </si>
  <si>
    <t>MNQY58CR54822</t>
  </si>
  <si>
    <t>MNQY58CR57278</t>
  </si>
  <si>
    <t>MNQY60CR71100</t>
  </si>
  <si>
    <t>MNQY60CR71847</t>
  </si>
  <si>
    <t>MNQY60CR74338</t>
  </si>
  <si>
    <t>MNQY60CR77278</t>
  </si>
  <si>
    <t>MNQZ28CR53458</t>
  </si>
  <si>
    <t>MNQZ28CR57282</t>
  </si>
  <si>
    <t>MNQZ29CR61001</t>
  </si>
  <si>
    <t>MNQZ29CR61397</t>
  </si>
  <si>
    <t>MNQZ29CR62413</t>
  </si>
  <si>
    <t>MNR3859EEADNHD</t>
  </si>
  <si>
    <t>MNR3859EEA</t>
  </si>
  <si>
    <t>STRAIGHT FLAP EARTHWORM RED BT</t>
  </si>
  <si>
    <t>DNHD</t>
  </si>
  <si>
    <t>DNHD FALLEN VCTRY</t>
  </si>
  <si>
    <t>MNR3859EEPDNHD</t>
  </si>
  <si>
    <t>MNR3859EEP</t>
  </si>
  <si>
    <t>STRAIGHT FLAP OX BLD GRY SUP T</t>
  </si>
  <si>
    <t>MNR3859EETDNLM</t>
  </si>
  <si>
    <t>MNR3859EET</t>
  </si>
  <si>
    <t>STRAIGHT FLAP BTL GRY SUPER QT</t>
  </si>
  <si>
    <t>DNLM</t>
  </si>
  <si>
    <t>DNLM BURNG MIGHT</t>
  </si>
  <si>
    <t>MNR3859EGRDNDD</t>
  </si>
  <si>
    <t>MNR3859EGR</t>
  </si>
  <si>
    <t>STRAIGHT FLAP OLD MULTI BIG T</t>
  </si>
  <si>
    <t>DNDD</t>
  </si>
  <si>
    <t>DNDD LIGHT DAWN</t>
  </si>
  <si>
    <t>MNR3859EMTDSKM</t>
  </si>
  <si>
    <t>MNR3859EMT</t>
  </si>
  <si>
    <t>STRAIGHT FLAP NAT SUPER T GRN</t>
  </si>
  <si>
    <t>DSKM</t>
  </si>
  <si>
    <t>DSKM RUNG ALIVE</t>
  </si>
  <si>
    <t>MNR3859EMWDSLD</t>
  </si>
  <si>
    <t>MNR3859EMW</t>
  </si>
  <si>
    <t>STRAIGHT FLAP WHITE SUPER QT</t>
  </si>
  <si>
    <t>DSLD</t>
  </si>
  <si>
    <t>DSLD DEEP LAGOON</t>
  </si>
  <si>
    <t>MNR3859TSDSML</t>
  </si>
  <si>
    <t>MNR3859TS</t>
  </si>
  <si>
    <t>STRAIGHT FLAP ALLOVER NAT SN</t>
  </si>
  <si>
    <t>DSML</t>
  </si>
  <si>
    <t>DSML NATURAL SKY</t>
  </si>
  <si>
    <t>MNR3H54ZESDNHD</t>
  </si>
  <si>
    <t>MNR3H54ZES</t>
  </si>
  <si>
    <t>SKINNY FLAP GOLD TAPSTRY BIG T</t>
  </si>
  <si>
    <t>MNR3H54ZY9DTVL</t>
  </si>
  <si>
    <t>MNR3H54ZY9</t>
  </si>
  <si>
    <t>SKINNY FLAP RED ORANGE SN</t>
  </si>
  <si>
    <t>DTVL</t>
  </si>
  <si>
    <t>DTVL SANDY WD NR</t>
  </si>
  <si>
    <t>MNR3J19EDZDNDD</t>
  </si>
  <si>
    <t>MNR3J19EDZ</t>
  </si>
  <si>
    <t>SLIM NATURALINE SUPER T</t>
  </si>
  <si>
    <t>MNR3J60M60DSLD</t>
  </si>
  <si>
    <t>MNR3J60M60</t>
  </si>
  <si>
    <t>SKINNY RED ORANGE BIG T</t>
  </si>
  <si>
    <t>MNR800EDFDLSD</t>
  </si>
  <si>
    <t>MNR800EDF</t>
  </si>
  <si>
    <t>STRAIGHT T GREEN EW BIG T</t>
  </si>
  <si>
    <t>DLSD</t>
  </si>
  <si>
    <t>DLSD STORM CNTRL</t>
  </si>
  <si>
    <t>MNR800NOJ5CFGD</t>
  </si>
  <si>
    <t>MNR800NRX6CIYM</t>
  </si>
  <si>
    <t>MNR800OMDLLL</t>
  </si>
  <si>
    <t>MNR800TSDHIL</t>
  </si>
  <si>
    <t>MNR800Y9DHVL</t>
  </si>
  <si>
    <t>MNR800Y9VDHVL</t>
  </si>
  <si>
    <t>MNR800Y9V</t>
  </si>
  <si>
    <t>MNR858KL3DHUM</t>
  </si>
  <si>
    <t>MNR858NRX6CIYM</t>
  </si>
  <si>
    <t>MNR858NUL12S</t>
  </si>
  <si>
    <t>MNR858NUL1BYXL</t>
  </si>
  <si>
    <t>MNR858OMDHCD</t>
  </si>
  <si>
    <t>MNR859EACDHKL</t>
  </si>
  <si>
    <t>MNR859EBZDHQM</t>
  </si>
  <si>
    <t>MNR859ECGDHOL</t>
  </si>
  <si>
    <t>MNR859EDBDLOD</t>
  </si>
  <si>
    <t>MNR859EDB</t>
  </si>
  <si>
    <t>STRAIGHT FLAP EW SUPER T</t>
  </si>
  <si>
    <t>DLOD</t>
  </si>
  <si>
    <t>DLOD TWENTY TWO</t>
  </si>
  <si>
    <t>MNR859EDCDLOD</t>
  </si>
  <si>
    <t>MNR859EDC</t>
  </si>
  <si>
    <t>STRAIGHT FLAP MIXED MEGA T</t>
  </si>
  <si>
    <t>MNR859EDXDNFM</t>
  </si>
  <si>
    <t>MNR859EDX</t>
  </si>
  <si>
    <t>STRAIGHT FLAP OM BIG T RED BRT</t>
  </si>
  <si>
    <t>DNFM</t>
  </si>
  <si>
    <t>DNFM HD DC W RPS</t>
  </si>
  <si>
    <t>MNR859EDZDSFM</t>
  </si>
  <si>
    <t>MNR859EDZ</t>
  </si>
  <si>
    <t>STRAIGHT FLAP EARTHWORM RED ST</t>
  </si>
  <si>
    <t>DSFM</t>
  </si>
  <si>
    <t>DSFM TR ILUSN WR</t>
  </si>
  <si>
    <t>MNR859EEUBZ</t>
  </si>
  <si>
    <t>MNR859EEU</t>
  </si>
  <si>
    <t>STRAIGHT FLAP NAT SUPER Q T</t>
  </si>
  <si>
    <t>MNR859EGIDNJD</t>
  </si>
  <si>
    <t>MNR859EGI</t>
  </si>
  <si>
    <t>STRAIGHT FLAP OX BLOOD MEGA T</t>
  </si>
  <si>
    <t>DNJD</t>
  </si>
  <si>
    <t>DNJD HIDDEN MGHT</t>
  </si>
  <si>
    <t>MNR859EGJCYEM</t>
  </si>
  <si>
    <t>MNR859EGJ</t>
  </si>
  <si>
    <t>STRAIGHT FLAP PH GREY MEGA T</t>
  </si>
  <si>
    <t>CYEM</t>
  </si>
  <si>
    <t>CYEM MED CMSHAFT</t>
  </si>
  <si>
    <t>MNR859EHUDLMM</t>
  </si>
  <si>
    <t>MNR859EHU</t>
  </si>
  <si>
    <t>STRAIGHT FLAP NATURAL BIG T</t>
  </si>
  <si>
    <t>DLMM</t>
  </si>
  <si>
    <t>DLMM RGHT TRN WR</t>
  </si>
  <si>
    <t>MNR859EIDDNGM</t>
  </si>
  <si>
    <t>MNR859EID</t>
  </si>
  <si>
    <t>STRAIGHT FLAP NAT LINE SUPER T</t>
  </si>
  <si>
    <t>DNGM</t>
  </si>
  <si>
    <t>DNGM HD DC N RPS</t>
  </si>
  <si>
    <t>MNR859EJDDSUM</t>
  </si>
  <si>
    <t>MNR859EJD</t>
  </si>
  <si>
    <t>STRAIGHT FLAP RED ORANGE RS</t>
  </si>
  <si>
    <t>DSUM</t>
  </si>
  <si>
    <t>DSUM TR ILLUSION</t>
  </si>
  <si>
    <t>MNR859EJEDSED</t>
  </si>
  <si>
    <t>MNR859EJE</t>
  </si>
  <si>
    <t>STRAIGHT FLAP EARTHWORM RS</t>
  </si>
  <si>
    <t>DSED</t>
  </si>
  <si>
    <t>DSED MAJOR WIND</t>
  </si>
  <si>
    <t>MNR859EVHDLKD</t>
  </si>
  <si>
    <t>MNR859EVH</t>
  </si>
  <si>
    <t>STRAIGHT FLAP AXL GREY SUPER T</t>
  </si>
  <si>
    <t>DLKD</t>
  </si>
  <si>
    <t>DLKD CL MDE N RPS</t>
  </si>
  <si>
    <t>MNR859IT7DSJM</t>
  </si>
  <si>
    <t>MNR859IT7</t>
  </si>
  <si>
    <t>STRAIGHT FLAP NATURAL SUPER T</t>
  </si>
  <si>
    <t>DSJM</t>
  </si>
  <si>
    <t>DSJM NEVER LEAVE</t>
  </si>
  <si>
    <t>MNR859KB5DLJM</t>
  </si>
  <si>
    <t>MNR859KB5</t>
  </si>
  <si>
    <t>STRAIGHT FLAP OLD MULTI BIGT</t>
  </si>
  <si>
    <t>DLJM</t>
  </si>
  <si>
    <t>DLJM RGHT TRN NR</t>
  </si>
  <si>
    <t>MNR859NBTX1200</t>
  </si>
  <si>
    <t>MNR859NBTX</t>
  </si>
  <si>
    <t>STRAIGHT FLAP NATLINE BIG T</t>
  </si>
  <si>
    <t>DNE SUP CHS GREY</t>
  </si>
  <si>
    <t>MNR859NOH8CEWM</t>
  </si>
  <si>
    <t>MNR859NOJ6CFHM</t>
  </si>
  <si>
    <t>MNR859NQM3BXBL</t>
  </si>
  <si>
    <t>MNR859NQM4CEKL</t>
  </si>
  <si>
    <t>MNR859NSM3CFIM</t>
  </si>
  <si>
    <t>MNR859NUK9BYXL</t>
  </si>
  <si>
    <t>MNR859NUL12S</t>
  </si>
  <si>
    <t>MNR859NUL1BYXL</t>
  </si>
  <si>
    <t>MNR859OMDHUM</t>
  </si>
  <si>
    <t>MNR859SEMDHPL</t>
  </si>
  <si>
    <t>MNR859SEY4DSJM</t>
  </si>
  <si>
    <t>MNR859SEY4</t>
  </si>
  <si>
    <t>STRAIGHT CO SHORT NAT MEGA T</t>
  </si>
  <si>
    <t>MNR859SOMDHGL</t>
  </si>
  <si>
    <t>MNR859TSDHND</t>
  </si>
  <si>
    <t>MNR859VA5DHCD</t>
  </si>
  <si>
    <t>MNR859Y92S</t>
  </si>
  <si>
    <t>MNR859Y9</t>
  </si>
  <si>
    <t>MNR859Y9DSUM</t>
  </si>
  <si>
    <t>MNR859ZK3DHFL</t>
  </si>
  <si>
    <t>MNRA799M60DHQM</t>
  </si>
  <si>
    <t>MNRA799QM3BXBL</t>
  </si>
  <si>
    <t>MNRB471EDFDLSD</t>
  </si>
  <si>
    <t>MNRB471EDF</t>
  </si>
  <si>
    <t>TRUCKER JACKET EW GREEN BIG T</t>
  </si>
  <si>
    <t>MNRB471EGFDLKD</t>
  </si>
  <si>
    <t>MNRB471EGF</t>
  </si>
  <si>
    <t>TRUCKER JACKET NATURAL SUPER T</t>
  </si>
  <si>
    <t>MNRB471EGKDNJD</t>
  </si>
  <si>
    <t>MNRB471EGK</t>
  </si>
  <si>
    <t>TRUCKER JACKET GRY PHNTM SPR T</t>
  </si>
  <si>
    <t>MNRC087QM3BXBL</t>
  </si>
  <si>
    <t>MNRC087SM3CFIM</t>
  </si>
  <si>
    <t>MNRC348OMDHUM</t>
  </si>
  <si>
    <t>MNRC348Y92S</t>
  </si>
  <si>
    <t>MNRC348Y9</t>
  </si>
  <si>
    <t>STRAIGHT FLAP 32 RED ORANGE SN</t>
  </si>
  <si>
    <t>MNRE08NRX6CIYM</t>
  </si>
  <si>
    <t>MNRE08ZEGHCYEM</t>
  </si>
  <si>
    <t>MNRE08ZEGH</t>
  </si>
  <si>
    <t>SLIM FLAP GOLD BIG T</t>
  </si>
  <si>
    <t>MNRE08ZOMDHVL</t>
  </si>
  <si>
    <t>MNRE08ZOMVDHVL</t>
  </si>
  <si>
    <t>MNRE08ZOMV</t>
  </si>
  <si>
    <t>MNRE08ZOMWBOQD</t>
  </si>
  <si>
    <t>MNRE08ZOMW</t>
  </si>
  <si>
    <t>SLIM FLAP OLD MULTI SN</t>
  </si>
  <si>
    <t>MNRE08ZOMXDNFM</t>
  </si>
  <si>
    <t>MNRE08ZOMX</t>
  </si>
  <si>
    <t>MNRH007OMT2S</t>
  </si>
  <si>
    <t>MNRH007OMT</t>
  </si>
  <si>
    <t>SKINNY FLAP 32 OM SN</t>
  </si>
  <si>
    <t>MNRH027TSDHUM</t>
  </si>
  <si>
    <t>MNRH029OMWBOQD</t>
  </si>
  <si>
    <t>MNRH029OMW</t>
  </si>
  <si>
    <t>SLIM 32 OM WHEAT SN</t>
  </si>
  <si>
    <t>MNRH54ZEGKDNJD</t>
  </si>
  <si>
    <t>MNRH54ZEGK</t>
  </si>
  <si>
    <t>SKINNY FLAP GREY PHANTOM SPR T</t>
  </si>
  <si>
    <t>MNRH54ZOM2S</t>
  </si>
  <si>
    <t>MNRH54ZOM</t>
  </si>
  <si>
    <t>SKINNY FLAP OM SN</t>
  </si>
  <si>
    <t>MNRH54ZOMDSFM</t>
  </si>
  <si>
    <t>MNRH54ZTSDHFL</t>
  </si>
  <si>
    <t>MNRH54ZTSDHIL</t>
  </si>
  <si>
    <t>MNRJ19ECHDHOL</t>
  </si>
  <si>
    <t>MNRJ19ECYBZ</t>
  </si>
  <si>
    <t>MNRJ19ECY</t>
  </si>
  <si>
    <t>SLIM GREY BIG T</t>
  </si>
  <si>
    <t>MNRJ19NOJ5CFGD</t>
  </si>
  <si>
    <t>MNRJ19NQM4CEKL</t>
  </si>
  <si>
    <t>MNRJ19OMDLSD</t>
  </si>
  <si>
    <t>MNRJ19OM</t>
  </si>
  <si>
    <t>SLIM OLD MULTI SN</t>
  </si>
  <si>
    <t>MNRJ19OMWBOQD</t>
  </si>
  <si>
    <t>MNRJ19OMW</t>
  </si>
  <si>
    <t>SLIM OM WHEAT SN</t>
  </si>
  <si>
    <t>MNRJ19Y9DHTD</t>
  </si>
  <si>
    <t>MNRJ60NUK9BYXL</t>
  </si>
  <si>
    <t>MNRJ60TSDHUM</t>
  </si>
  <si>
    <t>MNRJ60YD4DHKL</t>
  </si>
  <si>
    <t>MNRJ60ZYD4DHKL</t>
  </si>
  <si>
    <t>MNRS859EIC8015</t>
  </si>
  <si>
    <t>MNRS859EIC</t>
  </si>
  <si>
    <t>STRAIGHT FLAP ASCOT GREY BIG T</t>
  </si>
  <si>
    <t>DNE SP CHSE BURNT ORANGE</t>
  </si>
  <si>
    <t>MNRS859NBT1200</t>
  </si>
  <si>
    <t>MNRS859NBT</t>
  </si>
  <si>
    <t>DNE-SPR CHSE-GRY</t>
  </si>
  <si>
    <t>MNRSE08OMXDNFM</t>
  </si>
  <si>
    <t>MNRSE08OMX</t>
  </si>
  <si>
    <t>MNSA801OC4CEBD</t>
  </si>
  <si>
    <t>MNSC171OC4CECL</t>
  </si>
  <si>
    <t>MNSC211OC4CEBD</t>
  </si>
  <si>
    <t>MNU859NNL03423</t>
  </si>
  <si>
    <t>MNUB372WN13000</t>
  </si>
  <si>
    <t>MNUJ19NNL03423</t>
  </si>
  <si>
    <t>MNUJ19Y333423</t>
  </si>
  <si>
    <t>MNYLNBCKPK4100</t>
  </si>
  <si>
    <t>MOE859YC4DDJD</t>
  </si>
  <si>
    <t>MOIB420MU34771</t>
  </si>
  <si>
    <t>MOM859EMDHJL</t>
  </si>
  <si>
    <t>MONB390MU31713</t>
  </si>
  <si>
    <t>RED RANCH</t>
  </si>
  <si>
    <t>MONB390MU34352</t>
  </si>
  <si>
    <t>AMBUSH</t>
  </si>
  <si>
    <t>MOPE08UA0CXYM</t>
  </si>
  <si>
    <t>MOQB390MU34031</t>
  </si>
  <si>
    <t>MOQB390MU3</t>
  </si>
  <si>
    <t>LS DN WESTERN</t>
  </si>
  <si>
    <t>COOL VISTA</t>
  </si>
  <si>
    <t>MOQB420MU36041</t>
  </si>
  <si>
    <t>MOR8U24XY71700</t>
  </si>
  <si>
    <t>MOR8U24XY77000</t>
  </si>
  <si>
    <t>MOR8U24XZ21001</t>
  </si>
  <si>
    <t>MOR8U24XZ21700</t>
  </si>
  <si>
    <t>MOR8U24XZ24401</t>
  </si>
  <si>
    <t>MORA595XY91096</t>
  </si>
  <si>
    <t>MORA595XY91855</t>
  </si>
  <si>
    <t>MORB417XY31001</t>
  </si>
  <si>
    <t>MORB417XY31700</t>
  </si>
  <si>
    <t>MOTB420MU34031</t>
  </si>
  <si>
    <t>MOVH022EAI1001</t>
  </si>
  <si>
    <t>MOVH022EAI</t>
  </si>
  <si>
    <t>STANDARD SEAL NYLON VARSTY JKT</t>
  </si>
  <si>
    <t>MOVH022EAI6000</t>
  </si>
  <si>
    <t>MOX800OMWDHDM</t>
  </si>
  <si>
    <t>MOX859EABDHRM</t>
  </si>
  <si>
    <t>MOX859TSCSXD</t>
  </si>
  <si>
    <t>MOX859TSCSYM</t>
  </si>
  <si>
    <t>MOX859TSDHSM</t>
  </si>
  <si>
    <t>MOX859TT3CXRD</t>
  </si>
  <si>
    <t>MOX859WN36003</t>
  </si>
  <si>
    <t>MOXH54ZOMDHRM</t>
  </si>
  <si>
    <t>MOXH54ZZK2DHDM</t>
  </si>
  <si>
    <t>MOXJ19EAADHDM</t>
  </si>
  <si>
    <t>MOZ859BJ91001</t>
  </si>
  <si>
    <t>CZW - BLACK (W/RIPS)</t>
  </si>
  <si>
    <t>MOZ859BJ91106</t>
  </si>
  <si>
    <t>MOZ859BJ9V1106</t>
  </si>
  <si>
    <t>MOZ859BJ9V</t>
  </si>
  <si>
    <t>MOZ859EDE1200</t>
  </si>
  <si>
    <t>MOZ859EDE</t>
  </si>
  <si>
    <t>DLQ-SHDW SONG</t>
  </si>
  <si>
    <t>MOZ859EMY3106</t>
  </si>
  <si>
    <t>MOZ859EMY</t>
  </si>
  <si>
    <t>DSQ MLTRY GRN</t>
  </si>
  <si>
    <t>MOZ859EMY7233</t>
  </si>
  <si>
    <t>DSQ STRAW</t>
  </si>
  <si>
    <t>MOZ859KN81800</t>
  </si>
  <si>
    <t>MOZ859KN8V1800</t>
  </si>
  <si>
    <t>MOZ859KN8V</t>
  </si>
  <si>
    <t>MOZ859MU61700</t>
  </si>
  <si>
    <t>MOZ859TS6000</t>
  </si>
  <si>
    <t>MOZ859TSV6000</t>
  </si>
  <si>
    <t>MOZ859TSV</t>
  </si>
  <si>
    <t>MOZ859YD56000</t>
  </si>
  <si>
    <t>MOZE08EMU1700</t>
  </si>
  <si>
    <t>MOZE08EMU</t>
  </si>
  <si>
    <t>SLIM FLAP WHITE BIG T</t>
  </si>
  <si>
    <t>DSV NVR ENDNG R</t>
  </si>
  <si>
    <t>MOZH036MU61800</t>
  </si>
  <si>
    <t>MOZH036MU6</t>
  </si>
  <si>
    <t>SLIM MOTO GREY ALLOVER SN</t>
  </si>
  <si>
    <t>MOZH037ENA1700</t>
  </si>
  <si>
    <t>MOZH037ENA</t>
  </si>
  <si>
    <t>SKINNY MOTO ASCOT GREY SN</t>
  </si>
  <si>
    <t>DSW NVR ENDNG</t>
  </si>
  <si>
    <t>MOZH54ZKK11001</t>
  </si>
  <si>
    <t>MOZH54ZKN81800</t>
  </si>
  <si>
    <t>MOZJ60BJ91106</t>
  </si>
  <si>
    <t>MOZJ60BJ9V1106</t>
  </si>
  <si>
    <t>MOZJ60BJ9V</t>
  </si>
  <si>
    <t>MP4BR742716</t>
  </si>
  <si>
    <t>MP4BR743033</t>
  </si>
  <si>
    <t>MP4BR744305</t>
  </si>
  <si>
    <t>MP4BS631331</t>
  </si>
  <si>
    <t>MP4BS634237</t>
  </si>
  <si>
    <t>MP4BS636226</t>
  </si>
  <si>
    <t>MP4BV92VR2354</t>
  </si>
  <si>
    <t>MP4BV92VR3440</t>
  </si>
  <si>
    <t>MP4BV92VR4360</t>
  </si>
  <si>
    <t>MP4BV92VR6343</t>
  </si>
  <si>
    <t>MP4BV92VR6377</t>
  </si>
  <si>
    <t>MPC8V06V714485</t>
  </si>
  <si>
    <t>MPC8V06Y467428</t>
  </si>
  <si>
    <t>MPC8V06Y521359</t>
  </si>
  <si>
    <t>MPC8V06Y626166</t>
  </si>
  <si>
    <t>MPCC135OA6CEQL</t>
  </si>
  <si>
    <t>MPCC136OA6CEQL</t>
  </si>
  <si>
    <t>MPD6V33Z233344</t>
  </si>
  <si>
    <t>MPD6V33Z234806</t>
  </si>
  <si>
    <t>MPD6V33Z236310</t>
  </si>
  <si>
    <t>MPD859NOA9CEVD</t>
  </si>
  <si>
    <t>MPE6V33Z231515</t>
  </si>
  <si>
    <t>MPH9W89AB03105</t>
  </si>
  <si>
    <t>MPH9W89AB06379</t>
  </si>
  <si>
    <t>MPH9W89IK3105</t>
  </si>
  <si>
    <t>MPH9W89IK4101</t>
  </si>
  <si>
    <t>MPNBL68TT1065</t>
  </si>
  <si>
    <t>MPNBL68TT1941</t>
  </si>
  <si>
    <t>MPNBL68TT2741</t>
  </si>
  <si>
    <t>MPRA301NT51106</t>
  </si>
  <si>
    <t>MPRA451NB81130</t>
  </si>
  <si>
    <t>MPRA451NB81257</t>
  </si>
  <si>
    <t>MPRA451NB84928</t>
  </si>
  <si>
    <t>MPRA451NB86056</t>
  </si>
  <si>
    <t>MPRA451NB87465</t>
  </si>
  <si>
    <t>MPV859TSCOCM</t>
  </si>
  <si>
    <t>MPV859TSCSXD</t>
  </si>
  <si>
    <t>MPV859TSCSYM</t>
  </si>
  <si>
    <t>MPV859UN8CODL</t>
  </si>
  <si>
    <t>MPYX66BZ24067</t>
  </si>
  <si>
    <t>MPYX66BZ41001</t>
  </si>
  <si>
    <t>MPYX66BZ54596</t>
  </si>
  <si>
    <t>MPYX67BZ74675</t>
  </si>
  <si>
    <t>MPYX67CT51001</t>
  </si>
  <si>
    <t>MPYX67CT51700</t>
  </si>
  <si>
    <t>MPYX67CT56000</t>
  </si>
  <si>
    <t>MPYX68BZ68365</t>
  </si>
  <si>
    <t>MPYX70CA11001</t>
  </si>
  <si>
    <t>MPYX70CA14067</t>
  </si>
  <si>
    <t>MPYX70CA14596</t>
  </si>
  <si>
    <t>MPYX70CA16000</t>
  </si>
  <si>
    <t>MPYX70CA18365</t>
  </si>
  <si>
    <t>MQ1H54EM2S</t>
  </si>
  <si>
    <t>MQ1H54OMBBBZ</t>
  </si>
  <si>
    <t>MQ1J60EMGSD</t>
  </si>
  <si>
    <t>MQ1J60OMBB2S</t>
  </si>
  <si>
    <t>MQ1J60OMBBGRD</t>
  </si>
  <si>
    <t>MQ1J60OMBBHAM</t>
  </si>
  <si>
    <t>MQ22J55J912S</t>
  </si>
  <si>
    <t>MQ22J55J912V</t>
  </si>
  <si>
    <t>MQ22J55J9189</t>
  </si>
  <si>
    <t>MQ22J55J91BZ</t>
  </si>
  <si>
    <t>MQ22J55J91LHM</t>
  </si>
  <si>
    <t>MQ22J56J912V</t>
  </si>
  <si>
    <t>MQ22J56J9189</t>
  </si>
  <si>
    <t>MQ22N23J912S</t>
  </si>
  <si>
    <t>MQ22N23J912V</t>
  </si>
  <si>
    <t>MQ22N23J9189</t>
  </si>
  <si>
    <t>MQ22N23J91BZ</t>
  </si>
  <si>
    <t>MQ22N23J91LHM</t>
  </si>
  <si>
    <t>MQ2800EH0ASPM</t>
  </si>
  <si>
    <t>MQ2800H942V</t>
  </si>
  <si>
    <t>MQ2800H94BBD</t>
  </si>
  <si>
    <t>MQ2800H94GSD</t>
  </si>
  <si>
    <t>MQ2800L17BBD</t>
  </si>
  <si>
    <t>MQ2800L17MGM</t>
  </si>
  <si>
    <t>MQ2800L17MWM</t>
  </si>
  <si>
    <t>MQ2800L17MZD</t>
  </si>
  <si>
    <t>MQ2800L22BBD</t>
  </si>
  <si>
    <t>MQ2800L22MGM</t>
  </si>
  <si>
    <t>MQ2800L22MWM</t>
  </si>
  <si>
    <t>MQ2800L22MZD</t>
  </si>
  <si>
    <t>MQ2800OIK4AZGL</t>
  </si>
  <si>
    <t>MQ2800Y9EMFD</t>
  </si>
  <si>
    <t>MQ2858EH0ASPM</t>
  </si>
  <si>
    <t>MQ2858G24HBD</t>
  </si>
  <si>
    <t>MQ2858H942V</t>
  </si>
  <si>
    <t>MQ2858H94BBD</t>
  </si>
  <si>
    <t>MQ2858L17BBD</t>
  </si>
  <si>
    <t>MQ2858L17MGM</t>
  </si>
  <si>
    <t>MQ2858L17MWM</t>
  </si>
  <si>
    <t>MQ2858L17MZD</t>
  </si>
  <si>
    <t>MQ2858L22BBD</t>
  </si>
  <si>
    <t>MQ2858L22MGM</t>
  </si>
  <si>
    <t>MQ2858L22MWM</t>
  </si>
  <si>
    <t>MQ2858L22MZD</t>
  </si>
  <si>
    <t>MQ2858Y9HKL</t>
  </si>
  <si>
    <t>MQ2859CH0GWM</t>
  </si>
  <si>
    <t>MQ2859EG9AQQM</t>
  </si>
  <si>
    <t>MQ2859EM89</t>
  </si>
  <si>
    <t>MQ2859EM</t>
  </si>
  <si>
    <t>MQ2859F64GMM</t>
  </si>
  <si>
    <t>MQ2859GY6BAGL</t>
  </si>
  <si>
    <t>MQ2859GY8BALD</t>
  </si>
  <si>
    <t>MQ2859H942V</t>
  </si>
  <si>
    <t>MQ2859H94BBD</t>
  </si>
  <si>
    <t>MQ2859H94GSD</t>
  </si>
  <si>
    <t>MQ2859L17BBD</t>
  </si>
  <si>
    <t>MQ2859L17MGM</t>
  </si>
  <si>
    <t>MQ2859L17MWM</t>
  </si>
  <si>
    <t>MQ2859L17MZD</t>
  </si>
  <si>
    <t>MQ2859L22BBD</t>
  </si>
  <si>
    <t>MQ2859L22MGM</t>
  </si>
  <si>
    <t>MQ2859L22MWM</t>
  </si>
  <si>
    <t>MQ2859L22MZD</t>
  </si>
  <si>
    <t>MQ2859M52PGD</t>
  </si>
  <si>
    <t>MQ2859M52PJL</t>
  </si>
  <si>
    <t>MQ2859M64PGD</t>
  </si>
  <si>
    <t>MQ2859M64PJL</t>
  </si>
  <si>
    <t>MQ2859NLG3BRDD</t>
  </si>
  <si>
    <t>MQ2859NLG3BSBM</t>
  </si>
  <si>
    <t>MQ2859NOD3CEFL</t>
  </si>
  <si>
    <t>MQ2859OGF9AZUL</t>
  </si>
  <si>
    <t>MQ2859OIF4BGGM</t>
  </si>
  <si>
    <t>MQ2859OIK4BFTD</t>
  </si>
  <si>
    <t>MQ2859Y04XGM</t>
  </si>
  <si>
    <t>MQ2859Y9EMZD</t>
  </si>
  <si>
    <t>MQ2861EH0ASPM</t>
  </si>
  <si>
    <t>MQ2861L17BBD</t>
  </si>
  <si>
    <t>MQ2861L17MGM</t>
  </si>
  <si>
    <t>MQ2861L17MWM</t>
  </si>
  <si>
    <t>MQ2861L17MZD</t>
  </si>
  <si>
    <t>MQ2861L22BBD</t>
  </si>
  <si>
    <t>MQ2861L22MGM</t>
  </si>
  <si>
    <t>MQ2861L22MWM</t>
  </si>
  <si>
    <t>MQ2861L22MZD</t>
  </si>
  <si>
    <t>MQ2861M52PJL</t>
  </si>
  <si>
    <t>MQ2861M64PGD</t>
  </si>
  <si>
    <t>MQ2861M64PJL</t>
  </si>
  <si>
    <t>MQ2A039EG2ASDD</t>
  </si>
  <si>
    <t>MQ2A365ID7BFQM</t>
  </si>
  <si>
    <t>MQ2A365IF4YLL</t>
  </si>
  <si>
    <t>MQ2A799OD3CEFL</t>
  </si>
  <si>
    <t>MQ2A801NB0BYCL</t>
  </si>
  <si>
    <t>MQ2B032LG3BRNM</t>
  </si>
  <si>
    <t>MQ2B088OD3CEFL</t>
  </si>
  <si>
    <t>MQ2B187ND3BXGM</t>
  </si>
  <si>
    <t>MQ2B188ND3BXGM</t>
  </si>
  <si>
    <t>MQ2C088NB5AZUL</t>
  </si>
  <si>
    <t>MQ2C137QX1CFAD</t>
  </si>
  <si>
    <t>MQ2C138QX1CFAD</t>
  </si>
  <si>
    <t>MQ2C216OH6CESL</t>
  </si>
  <si>
    <t>MQ2C346OH6CESL</t>
  </si>
  <si>
    <t>MQ2E08SY04XIL</t>
  </si>
  <si>
    <t>MQ2E08Y9EMFD</t>
  </si>
  <si>
    <t>MQ2E08Y9EMRM</t>
  </si>
  <si>
    <t>MQ2J19EG9AQQM</t>
  </si>
  <si>
    <t>MQ2J19NLG3BRDD</t>
  </si>
  <si>
    <t>MQ2J19NLG3BSBM</t>
  </si>
  <si>
    <t>MQ2J19OGF9AZUL</t>
  </si>
  <si>
    <t>MQ2J19OIF4BFNM</t>
  </si>
  <si>
    <t>MQ2J19Y04XGM</t>
  </si>
  <si>
    <t>MQ2J19Y04XHL</t>
  </si>
  <si>
    <t>MQ2J60EH0ASPM</t>
  </si>
  <si>
    <t>MQ2L82M52BZ</t>
  </si>
  <si>
    <t>MQ2L82M52PGD</t>
  </si>
  <si>
    <t>MQ2L82M52PJL</t>
  </si>
  <si>
    <t>MQ2L82M64PGD</t>
  </si>
  <si>
    <t>MQ2L82M64PJL</t>
  </si>
  <si>
    <t>MQ2M23Y9HAM</t>
  </si>
  <si>
    <t>MQ2N49H94GSD</t>
  </si>
  <si>
    <t>MQ2R62NOD3CEFL</t>
  </si>
  <si>
    <t>MQ2R62Y04XIL</t>
  </si>
  <si>
    <t>MQ2R62Y04</t>
  </si>
  <si>
    <t>JIMMY ON THE ROAD MENS JACKET</t>
  </si>
  <si>
    <t>MQ2V26BO5XPD</t>
  </si>
  <si>
    <t>MQ2V26PU53XQM</t>
  </si>
  <si>
    <t>MQ2V38Y392A</t>
  </si>
  <si>
    <t>MQ2V38Y39SGD</t>
  </si>
  <si>
    <t>MQ2V38Y39XED</t>
  </si>
  <si>
    <t>MQ2V39SY39AACD</t>
  </si>
  <si>
    <t>MQ2V39Y392A</t>
  </si>
  <si>
    <t>MQ2V39Y39SGD</t>
  </si>
  <si>
    <t>MQ2V39Y39XED</t>
  </si>
  <si>
    <t>MQ2V40Y392A</t>
  </si>
  <si>
    <t>MQ2V40Y39AABD</t>
  </si>
  <si>
    <t>MQ2V40Y39SGD</t>
  </si>
  <si>
    <t>MQ2V40Y39XED</t>
  </si>
  <si>
    <t>MQ2V41Y39XED</t>
  </si>
  <si>
    <t>MQ2V91CH0MKD</t>
  </si>
  <si>
    <t>MQ2Y84OD3CEFL</t>
  </si>
  <si>
    <t>MQ2Z01DA2ADJD</t>
  </si>
  <si>
    <t>MQ2Z01DA2BZ</t>
  </si>
  <si>
    <t>MQ2Z02DA2ADJD</t>
  </si>
  <si>
    <t>MQ2Z02DA2BZ</t>
  </si>
  <si>
    <t>MQ2Z03DA2ANSD</t>
  </si>
  <si>
    <t>MQ6800BGBT8MB</t>
  </si>
  <si>
    <t>MQ6800EL2VB</t>
  </si>
  <si>
    <t>MQ6800EL9VB</t>
  </si>
  <si>
    <t>MQ6859EL2SB</t>
  </si>
  <si>
    <t>MQ6859EL2VB</t>
  </si>
  <si>
    <t>MQ6859EL9VB</t>
  </si>
  <si>
    <t>MQ6859ELGTMB</t>
  </si>
  <si>
    <t>MQ6859ELSYMB</t>
  </si>
  <si>
    <t>MQ6859J022SB</t>
  </si>
  <si>
    <t>MQ6859J02BBDB</t>
  </si>
  <si>
    <t>MQ6859J02BZB</t>
  </si>
  <si>
    <t>MQ6A107EQ1ARUD</t>
  </si>
  <si>
    <t>MQ6A107EQ1ARVD</t>
  </si>
  <si>
    <t>MQ6A108EQ1ARUD</t>
  </si>
  <si>
    <t>MQ6A108EQ1ARVD</t>
  </si>
  <si>
    <t>MQ6A168EQ1ARUD</t>
  </si>
  <si>
    <t>MQ6A168EQ1ARVD</t>
  </si>
  <si>
    <t>MQ6L82EL2RB</t>
  </si>
  <si>
    <t>MQ6Q13CS2BZ</t>
  </si>
  <si>
    <t>MQ6Q13CS2NBD</t>
  </si>
  <si>
    <t>MQ6V90CS2BZ</t>
  </si>
  <si>
    <t>MQ6V90CS2NBD</t>
  </si>
  <si>
    <t>MQ6W85CS2BZ</t>
  </si>
  <si>
    <t>MQ6W85CS2NBD</t>
  </si>
  <si>
    <t>MQ92J56G171266</t>
  </si>
  <si>
    <t>MQ92J56G172343</t>
  </si>
  <si>
    <t>MQ92J56G172730</t>
  </si>
  <si>
    <t>MQ92J56G173081</t>
  </si>
  <si>
    <t>MQ9859EH11001</t>
  </si>
  <si>
    <t>MQ9859EH11395</t>
  </si>
  <si>
    <t>MQ9859NND11821</t>
  </si>
  <si>
    <t>MQ9859NNE76220</t>
  </si>
  <si>
    <t>MQ9859QN16233</t>
  </si>
  <si>
    <t>MQ9859Y441362</t>
  </si>
  <si>
    <t>MQ9859Y442638</t>
  </si>
  <si>
    <t>MQ9859Y443241</t>
  </si>
  <si>
    <t>MQ9859Y444484</t>
  </si>
  <si>
    <t>MQ9859Y448339</t>
  </si>
  <si>
    <t>MQ9861Y441362</t>
  </si>
  <si>
    <t>MQ9861Y442638</t>
  </si>
  <si>
    <t>MQ9861Y443241</t>
  </si>
  <si>
    <t>MQ9861Y444484</t>
  </si>
  <si>
    <t>MQ9861Y448339</t>
  </si>
  <si>
    <t>MQ9A349ID81821</t>
  </si>
  <si>
    <t>MQ9A559IK51841</t>
  </si>
  <si>
    <t>MQ9A560IK51841</t>
  </si>
  <si>
    <t>MQ9A682IH21984</t>
  </si>
  <si>
    <t>MQ9B088OF2BXXL</t>
  </si>
  <si>
    <t>MQ9C087OF2BXXL</t>
  </si>
  <si>
    <t>MQ9C134OF31821</t>
  </si>
  <si>
    <t>MQ9H54P641743</t>
  </si>
  <si>
    <t>MQ9H54P643326</t>
  </si>
  <si>
    <t>MQ9H54P646028</t>
  </si>
  <si>
    <t>MQ9H54P647315</t>
  </si>
  <si>
    <t>MQ9J19Y441362</t>
  </si>
  <si>
    <t>MQ9J19Y442638</t>
  </si>
  <si>
    <t>MQ9J19Y443241</t>
  </si>
  <si>
    <t>MQ9J19Y444484</t>
  </si>
  <si>
    <t>MQ9J19Y448339</t>
  </si>
  <si>
    <t>MQ9J60Y443241</t>
  </si>
  <si>
    <t>MQ9R44W651529</t>
  </si>
  <si>
    <t>MQ9R44W651766</t>
  </si>
  <si>
    <t>MQ9R64S451766</t>
  </si>
  <si>
    <t>MQ9R64S452015</t>
  </si>
  <si>
    <t>MQ9R64S452516</t>
  </si>
  <si>
    <t>MQ9R64S454021</t>
  </si>
  <si>
    <t>MQ9R65S451766</t>
  </si>
  <si>
    <t>MQ9R65S452015</t>
  </si>
  <si>
    <t>MQ9R65S452516</t>
  </si>
  <si>
    <t>MQ9R65S454021</t>
  </si>
  <si>
    <t>MQ9S31S452015</t>
  </si>
  <si>
    <t>MQ9V43Y971197</t>
  </si>
  <si>
    <t>MQ9V43Y971912</t>
  </si>
  <si>
    <t>MQ9V43Y972735</t>
  </si>
  <si>
    <t>MQ9V43Y974322</t>
  </si>
  <si>
    <t>MQ9V43Y976170</t>
  </si>
  <si>
    <t>MQ9V43Y978338</t>
  </si>
  <si>
    <t>MQ9V44Y971197</t>
  </si>
  <si>
    <t>MQ9V44Y971912</t>
  </si>
  <si>
    <t>MQ9V44Y972735</t>
  </si>
  <si>
    <t>MQ9V44Y974322</t>
  </si>
  <si>
    <t>MQ9V44Y976170</t>
  </si>
  <si>
    <t>MQ9V44Y978338</t>
  </si>
  <si>
    <t>MQ9V45Y971197</t>
  </si>
  <si>
    <t>MQ9V45Y971912</t>
  </si>
  <si>
    <t>MQ9V45Y972735</t>
  </si>
  <si>
    <t>MQ9V45Y974322</t>
  </si>
  <si>
    <t>MQ9V45Y976170</t>
  </si>
  <si>
    <t>MQ9V45Y978338</t>
  </si>
  <si>
    <t>MQ9V97NNB41821</t>
  </si>
  <si>
    <t>MQ9V98NNB41821</t>
  </si>
  <si>
    <t>MQ9W51Y971197</t>
  </si>
  <si>
    <t>MQ9W51Y971912</t>
  </si>
  <si>
    <t>MQ9W51Y972735</t>
  </si>
  <si>
    <t>MQ9W51Y974322</t>
  </si>
  <si>
    <t>MQ9W51Y976170</t>
  </si>
  <si>
    <t>MQ9W51Y978338</t>
  </si>
  <si>
    <t>MQ9W66Z331821</t>
  </si>
  <si>
    <t>MQ9W67Z331821</t>
  </si>
  <si>
    <t>MQ9W68SZ331821</t>
  </si>
  <si>
    <t>MQ9X11Y971197</t>
  </si>
  <si>
    <t>MQ9X11Y971912</t>
  </si>
  <si>
    <t>MQ9X11Y972735</t>
  </si>
  <si>
    <t>MQ9X11Y974322</t>
  </si>
  <si>
    <t>MQ9X11Y976170</t>
  </si>
  <si>
    <t>MQ9X11Y978338</t>
  </si>
  <si>
    <t>MQDA427EG1440</t>
  </si>
  <si>
    <t>MQDA427EG3503</t>
  </si>
  <si>
    <t>MQHBL68VY4680</t>
  </si>
  <si>
    <t>MQHBL68VY6854</t>
  </si>
  <si>
    <t>MQHBL68VY7391</t>
  </si>
  <si>
    <t>MQIBX17DS92411</t>
  </si>
  <si>
    <t>MQIBX17DS96221</t>
  </si>
  <si>
    <t>MQIBZ72VY2411</t>
  </si>
  <si>
    <t>MQIBZ72VY6221</t>
  </si>
  <si>
    <t>MQLBT96DT32409</t>
  </si>
  <si>
    <t>MQLBT96DT34364</t>
  </si>
  <si>
    <t>MQLBX17VY6344</t>
  </si>
  <si>
    <t>MQOBN11CQ56340</t>
  </si>
  <si>
    <t>MQOBN11CQ84682</t>
  </si>
  <si>
    <t>MQOBN11VY4682</t>
  </si>
  <si>
    <t>MQOBN11VY6340</t>
  </si>
  <si>
    <t>MQOBV92DE72353</t>
  </si>
  <si>
    <t>MQOBV92DE76341</t>
  </si>
  <si>
    <t>MQOBV92VR4363</t>
  </si>
  <si>
    <t>MQOBV92VR7115</t>
  </si>
  <si>
    <t>MQOBX17VY1544</t>
  </si>
  <si>
    <t>MQOBX17VY4685</t>
  </si>
  <si>
    <t>MQPBT96EH1959</t>
  </si>
  <si>
    <t>MQPBT96EH2653</t>
  </si>
  <si>
    <t>MQPBT96EH4339</t>
  </si>
  <si>
    <t>MQPBT96EH4340</t>
  </si>
  <si>
    <t>MQPBT96EH6342</t>
  </si>
  <si>
    <t>MQPBT96EH6856</t>
  </si>
  <si>
    <t>MQQ7G40RB32707</t>
  </si>
  <si>
    <t>MQQ7G40RB33105</t>
  </si>
  <si>
    <t>MQQB191QS61001</t>
  </si>
  <si>
    <t>MQQB191QS61501</t>
  </si>
  <si>
    <t>MQQB239RB42707</t>
  </si>
  <si>
    <t>MQQB239RB43105</t>
  </si>
  <si>
    <t>MQQB241SE04143</t>
  </si>
  <si>
    <t>MQQB241SE06000</t>
  </si>
  <si>
    <t>MQQG40QS51001</t>
  </si>
  <si>
    <t>MQQG40QS51501</t>
  </si>
  <si>
    <t>MQS859OGL41984</t>
  </si>
  <si>
    <t>MQSA904OC5CENL</t>
  </si>
  <si>
    <t>MQSA904SQ8CMML</t>
  </si>
  <si>
    <t>MQSJ19OGL41984</t>
  </si>
  <si>
    <t>MQSJ60OGL41984</t>
  </si>
  <si>
    <t>MQSQ13CS21117</t>
  </si>
  <si>
    <t>MQSQ13CS21287</t>
  </si>
  <si>
    <t>MQSQ13CS22648</t>
  </si>
  <si>
    <t>MQSQ13CS26330</t>
  </si>
  <si>
    <t>MQSV90CS21117</t>
  </si>
  <si>
    <t>MQSV90CS21287</t>
  </si>
  <si>
    <t>MQSV90CS22648</t>
  </si>
  <si>
    <t>MQSV90CS26330</t>
  </si>
  <si>
    <t>MQSW85CS21117</t>
  </si>
  <si>
    <t>MQSW85CS21287</t>
  </si>
  <si>
    <t>MQSW85CS22648</t>
  </si>
  <si>
    <t>MQSW85CS26330</t>
  </si>
  <si>
    <t>MQSY87CS21117</t>
  </si>
  <si>
    <t>MQSY87CS21287</t>
  </si>
  <si>
    <t>MQSY87CS22648</t>
  </si>
  <si>
    <t>MQSY87CS26330</t>
  </si>
  <si>
    <t>MQUJ19DG43256</t>
  </si>
  <si>
    <t>MQUV91DG43256</t>
  </si>
  <si>
    <t>MR62NRY6CJEL</t>
  </si>
  <si>
    <t>MR62NTA2CFHM</t>
  </si>
  <si>
    <t>MR62NTS5CQKM</t>
  </si>
  <si>
    <t>MR62NTW5CQRD</t>
  </si>
  <si>
    <t>MR62NTW9CPTD</t>
  </si>
  <si>
    <t>MR62NTZ1CPZD</t>
  </si>
  <si>
    <t>MR62NVO6CVHM</t>
  </si>
  <si>
    <t>MR62NVQ5CWDL</t>
  </si>
  <si>
    <t>MR62NWY9DCHM</t>
  </si>
  <si>
    <t>MR62NWZ6DCRL</t>
  </si>
  <si>
    <t>MR62NXL3DATD</t>
  </si>
  <si>
    <t>MR62NYL91001</t>
  </si>
  <si>
    <t>MR62NYM9DCAL</t>
  </si>
  <si>
    <t>MR62NZM0MDJTD</t>
  </si>
  <si>
    <t>MR62NZM0M</t>
  </si>
  <si>
    <t>MR62NZX7DQUD</t>
  </si>
  <si>
    <t>MR62NZX7</t>
  </si>
  <si>
    <t>MRG8Y77CV01200</t>
  </si>
  <si>
    <t>MRG8Y77CV01951</t>
  </si>
  <si>
    <t>MRG8Y77CV01952</t>
  </si>
  <si>
    <t>MRG8Y77CV02650</t>
  </si>
  <si>
    <t>MRK8Z89DU61746</t>
  </si>
  <si>
    <t>MRK8Z89DU74135</t>
  </si>
  <si>
    <t>MRK8Z89DU86035</t>
  </si>
  <si>
    <t>MRM8Z89DU91505</t>
  </si>
  <si>
    <t>MROE08NQN04869</t>
  </si>
  <si>
    <t>MRT8U24QN61001</t>
  </si>
  <si>
    <t>MRT8U24QN71702</t>
  </si>
  <si>
    <t>MRT8U24QN76433</t>
  </si>
  <si>
    <t>MRT8U24QY34100</t>
  </si>
  <si>
    <t>MRT8U24QY41700</t>
  </si>
  <si>
    <t>MRT8U24QY44100</t>
  </si>
  <si>
    <t>MRT8U24SG31001</t>
  </si>
  <si>
    <t>MRT8U24SG31700</t>
  </si>
  <si>
    <t>MRTA451QM01001</t>
  </si>
  <si>
    <t>MRTB228QS14048</t>
  </si>
  <si>
    <t>MRTW58QO71001</t>
  </si>
  <si>
    <t>MRTW58QO71501</t>
  </si>
  <si>
    <t>MRTW58QY81001</t>
  </si>
  <si>
    <t>MRTW58QY83105</t>
  </si>
  <si>
    <t>MRV9S822107</t>
  </si>
  <si>
    <t>MRV9S824101</t>
  </si>
  <si>
    <t>MRV9S828004</t>
  </si>
  <si>
    <t>MRXE08NQN01056</t>
  </si>
  <si>
    <t>MRYE08NQN07226</t>
  </si>
  <si>
    <t>MS48036B931033</t>
  </si>
  <si>
    <t>MS48036B931737</t>
  </si>
  <si>
    <t>MS48036B933132</t>
  </si>
  <si>
    <t>MS48036B933166</t>
  </si>
  <si>
    <t>MS48036B934426</t>
  </si>
  <si>
    <t>MS48036B936030</t>
  </si>
  <si>
    <t>MS48036B936205</t>
  </si>
  <si>
    <t>MS48036HQ91746</t>
  </si>
  <si>
    <t>MS48036Q241033</t>
  </si>
  <si>
    <t>MS48036Q251737</t>
  </si>
  <si>
    <t>MS48036Q256030</t>
  </si>
  <si>
    <t>MS48036Q281033</t>
  </si>
  <si>
    <t>MS48036Q281737</t>
  </si>
  <si>
    <t>MS48036Q351322</t>
  </si>
  <si>
    <t>MS48036Q351737</t>
  </si>
  <si>
    <t>MS48036Q391737</t>
  </si>
  <si>
    <t>MS48036Q394061</t>
  </si>
  <si>
    <t>MS48036R161033</t>
  </si>
  <si>
    <t>MS48036R161737</t>
  </si>
  <si>
    <t>MS48036R164061</t>
  </si>
  <si>
    <t>MS48036R164426</t>
  </si>
  <si>
    <t>MS48036R166030</t>
  </si>
  <si>
    <t>MS48036R166205</t>
  </si>
  <si>
    <t>MS48036R167206</t>
  </si>
  <si>
    <t>MS48036T061322</t>
  </si>
  <si>
    <t>MS48036T081033</t>
  </si>
  <si>
    <t>MS48036T081746</t>
  </si>
  <si>
    <t>MS48036T091746</t>
  </si>
  <si>
    <t>MS48036T101114</t>
  </si>
  <si>
    <t>MS48036T114130</t>
  </si>
  <si>
    <t>MS48036T121740</t>
  </si>
  <si>
    <t>MS48036T137321</t>
  </si>
  <si>
    <t>MS48036T144130</t>
  </si>
  <si>
    <t>MS48036T151033</t>
  </si>
  <si>
    <t>MS48036T151740</t>
  </si>
  <si>
    <t>MS48036T151746</t>
  </si>
  <si>
    <t>MS48036T162204</t>
  </si>
  <si>
    <t>MS48036T171322</t>
  </si>
  <si>
    <t>MS48036T181114</t>
  </si>
  <si>
    <t>MS48036T196036</t>
  </si>
  <si>
    <t>MS48036T201746</t>
  </si>
  <si>
    <t>MS48036T891033</t>
  </si>
  <si>
    <t>MS48036T891114</t>
  </si>
  <si>
    <t>MS48036T891740</t>
  </si>
  <si>
    <t>MS48036T891746</t>
  </si>
  <si>
    <t>MS48036T892206</t>
  </si>
  <si>
    <t>MS48036T893022</t>
  </si>
  <si>
    <t>MS48036T894130</t>
  </si>
  <si>
    <t>MS48036T896036</t>
  </si>
  <si>
    <t>MS48J51R161035</t>
  </si>
  <si>
    <t>MS48J51R161746</t>
  </si>
  <si>
    <t>MS48J51R164060</t>
  </si>
  <si>
    <t>MS48J51R166035</t>
  </si>
  <si>
    <t>MS48L14T431033</t>
  </si>
  <si>
    <t>MS48L14T431746</t>
  </si>
  <si>
    <t>MS48L14T432206</t>
  </si>
  <si>
    <t>MS48T23T343022</t>
  </si>
  <si>
    <t>MS48T23T351746</t>
  </si>
  <si>
    <t>MS48T23T367321</t>
  </si>
  <si>
    <t>MS48T27U081114</t>
  </si>
  <si>
    <t>MS48T27U081740</t>
  </si>
  <si>
    <t>MS48T27U081746</t>
  </si>
  <si>
    <t>MS48T27U083022</t>
  </si>
  <si>
    <t>MS48T27U084130</t>
  </si>
  <si>
    <t>MS48T27U086036</t>
  </si>
  <si>
    <t>MS4A301HI21035</t>
  </si>
  <si>
    <t>MS4A301IZ61746</t>
  </si>
  <si>
    <t>MS4A451HH91746</t>
  </si>
  <si>
    <t>MS4A451HI01035</t>
  </si>
  <si>
    <t>MS4A451HI01746</t>
  </si>
  <si>
    <t>MS4A451HJ61113</t>
  </si>
  <si>
    <t>MS4A451HJ81113</t>
  </si>
  <si>
    <t>MS4A451HK21746</t>
  </si>
  <si>
    <t>MS4A451HK31035</t>
  </si>
  <si>
    <t>MS4A451IX91035</t>
  </si>
  <si>
    <t>MS4A451IX93519</t>
  </si>
  <si>
    <t>MS4A451IY14788</t>
  </si>
  <si>
    <t>MS4A451IY81035</t>
  </si>
  <si>
    <t>MS4A451IZ41035</t>
  </si>
  <si>
    <t>MS4A451IZ86480</t>
  </si>
  <si>
    <t>MS4A451IZ87023</t>
  </si>
  <si>
    <t>MS4A451JA04044</t>
  </si>
  <si>
    <t>MS4A451JA31461</t>
  </si>
  <si>
    <t>MS4A451JT51035</t>
  </si>
  <si>
    <t>MS4A451JT51746</t>
  </si>
  <si>
    <t>MS4A451JT61035</t>
  </si>
  <si>
    <t>MS4A451KW21001</t>
  </si>
  <si>
    <t>MS4A451KW51035</t>
  </si>
  <si>
    <t>MS4A451KW64911</t>
  </si>
  <si>
    <t>MS4A451KW71035</t>
  </si>
  <si>
    <t>MS4A451KW71794</t>
  </si>
  <si>
    <t>MS4A451KW91035</t>
  </si>
  <si>
    <t>MS4A451KW91484</t>
  </si>
  <si>
    <t>MS4A451KW91746</t>
  </si>
  <si>
    <t>MS4A451KW91794</t>
  </si>
  <si>
    <t>MS4A451KW94814</t>
  </si>
  <si>
    <t>MS4A451KW94912</t>
  </si>
  <si>
    <t>MS4A451KW96011</t>
  </si>
  <si>
    <t>MS4A451KW96035</t>
  </si>
  <si>
    <t>MS4A451KX01484</t>
  </si>
  <si>
    <t>MS4A451KX01486</t>
  </si>
  <si>
    <t>MS4A451KX01746</t>
  </si>
  <si>
    <t>MS4A451KX06002</t>
  </si>
  <si>
    <t>MS4A451KX24892</t>
  </si>
  <si>
    <t>MS4A451KX41035</t>
  </si>
  <si>
    <t>MS4A451KX46006</t>
  </si>
  <si>
    <t>MS4A451KX51484</t>
  </si>
  <si>
    <t>MS4A451KX71001</t>
  </si>
  <si>
    <t>MS4A451KX84912</t>
  </si>
  <si>
    <t>MS4A451KX91035</t>
  </si>
  <si>
    <t>MS4A451KX91484</t>
  </si>
  <si>
    <t>MS4A451KX91859</t>
  </si>
  <si>
    <t>MS4A451KX93541</t>
  </si>
  <si>
    <t>MS4A451KX96040</t>
  </si>
  <si>
    <t>MS4A451KY31484</t>
  </si>
  <si>
    <t>MS4A451KY43541</t>
  </si>
  <si>
    <t>MS4A451KY71794</t>
  </si>
  <si>
    <t>MS4A451KY81035</t>
  </si>
  <si>
    <t>MS4A451LE41035</t>
  </si>
  <si>
    <t>MS4A451LE41746</t>
  </si>
  <si>
    <t>MS4A451LE46006</t>
  </si>
  <si>
    <t>MS4A451MZ41035</t>
  </si>
  <si>
    <t>MS4A451MZ41746</t>
  </si>
  <si>
    <t>MS4B177NT71001</t>
  </si>
  <si>
    <t>MS4B177NT74151</t>
  </si>
  <si>
    <t>MS4B229NT11001</t>
  </si>
  <si>
    <t>MS4B229NT16497</t>
  </si>
  <si>
    <t>MSCA037EF6ARTD</t>
  </si>
  <si>
    <t>MSCA037EF6ASQM</t>
  </si>
  <si>
    <t>MSCA037FK9AUYD</t>
  </si>
  <si>
    <t>MSCA037FK9AUZL</t>
  </si>
  <si>
    <t>MSCA037FK9SGD</t>
  </si>
  <si>
    <t>MSCA038EF6ARTD</t>
  </si>
  <si>
    <t>MSCA038EF6ASQM</t>
  </si>
  <si>
    <t>MSCA038FK9AUYD</t>
  </si>
  <si>
    <t>MSCA038FK9AUZL</t>
  </si>
  <si>
    <t>MSCA038FK9SGD</t>
  </si>
  <si>
    <t>MSCA065EF6ARTD</t>
  </si>
  <si>
    <t>MSCA065EF6ASQM</t>
  </si>
  <si>
    <t>MSCA065FK9AUYD</t>
  </si>
  <si>
    <t>MSCA065FK9AUZL</t>
  </si>
  <si>
    <t>MSCA065FK9SGD</t>
  </si>
  <si>
    <t>MSCA169EF6ARTD</t>
  </si>
  <si>
    <t>MSCA169EF6ASQM</t>
  </si>
  <si>
    <t>MSCA169FK9AUYD</t>
  </si>
  <si>
    <t>MSCA169FK9AUZL</t>
  </si>
  <si>
    <t>MSCA169FK9SGD</t>
  </si>
  <si>
    <t>MSIBT96DT31024</t>
  </si>
  <si>
    <t>MSIBT96DT33558</t>
  </si>
  <si>
    <t>MSJAA4C0671501</t>
  </si>
  <si>
    <t>MSJAA4C067</t>
  </si>
  <si>
    <t>HD DBLE PUFF TEE</t>
  </si>
  <si>
    <t>MSJBZ74FP51108</t>
  </si>
  <si>
    <t>MSJBZ74FP51386</t>
  </si>
  <si>
    <t>MSK859TSCCAM</t>
  </si>
  <si>
    <t>MSKBV92VR1385</t>
  </si>
  <si>
    <t>MSKBV92VR6376</t>
  </si>
  <si>
    <t>MSLBZ67VR4359</t>
  </si>
  <si>
    <t>MSMBX17VY1384</t>
  </si>
  <si>
    <t>MSN8036FJ84841</t>
  </si>
  <si>
    <t>MSN8036FJ8AVUM</t>
  </si>
  <si>
    <t>MSN8036FK0AVUM</t>
  </si>
  <si>
    <t>MSN8036GE2AVUL</t>
  </si>
  <si>
    <t>MSN8Z66VR4355</t>
  </si>
  <si>
    <t>MSNA246GE31700</t>
  </si>
  <si>
    <t>MSO9Z69VR2656</t>
  </si>
  <si>
    <t>MSPA085VR1001</t>
  </si>
  <si>
    <t>MSPA177VR3263</t>
  </si>
  <si>
    <t>MSQB179IK4100</t>
  </si>
  <si>
    <t>MSTC145IK4100</t>
  </si>
  <si>
    <t>MSUB088QW8CEPL</t>
  </si>
  <si>
    <t>MSUJ19NQW8CEPL</t>
  </si>
  <si>
    <t>MSUJ60NQW8CEPL</t>
  </si>
  <si>
    <t>MSX8Z90DZ01033</t>
  </si>
  <si>
    <t>MSX8Z90DZ12323</t>
  </si>
  <si>
    <t>MSX8Z90DZ21746</t>
  </si>
  <si>
    <t>MSZA372VR1001</t>
  </si>
  <si>
    <t>MSZA372VR1941</t>
  </si>
  <si>
    <t>MSZBZ07VY1001</t>
  </si>
  <si>
    <t>MSZBZ07VY1941</t>
  </si>
  <si>
    <t>MSZBZ07VY4831</t>
  </si>
  <si>
    <t>MSZBZ07VY6378</t>
  </si>
  <si>
    <t>MTB6U17EL51113</t>
  </si>
  <si>
    <t>MTB6U17EL56366</t>
  </si>
  <si>
    <t>MTB7V93EL51113</t>
  </si>
  <si>
    <t>MTB7V93EL56366</t>
  </si>
  <si>
    <t>MTH859EN81001</t>
  </si>
  <si>
    <t>MTH859EN82662</t>
  </si>
  <si>
    <t>MTH859EN83463</t>
  </si>
  <si>
    <t>MTH859EN84832</t>
  </si>
  <si>
    <t>MTH859EN87281</t>
  </si>
  <si>
    <t>MTH859NLX31001</t>
  </si>
  <si>
    <t>MTH859NLX31488</t>
  </si>
  <si>
    <t>MTH859NLX34832</t>
  </si>
  <si>
    <t>MTH859NLX36051</t>
  </si>
  <si>
    <t>MTH859NLX37281</t>
  </si>
  <si>
    <t>MTHE08NLX31001</t>
  </si>
  <si>
    <t>MTHE08NLX31488</t>
  </si>
  <si>
    <t>MTHE08NLX36051</t>
  </si>
  <si>
    <t>MTHH54EN81001</t>
  </si>
  <si>
    <t>MTHH54EN84832</t>
  </si>
  <si>
    <t>MTHH54EN87281</t>
  </si>
  <si>
    <t>MTHH54NLX31001</t>
  </si>
  <si>
    <t>MTHH54NLX31488</t>
  </si>
  <si>
    <t>MTHH54NLX34832</t>
  </si>
  <si>
    <t>MTHH54NLX36051</t>
  </si>
  <si>
    <t>MTHH54NLX37281</t>
  </si>
  <si>
    <t>MTHJ19EN81001</t>
  </si>
  <si>
    <t>MTHJ19EN82662</t>
  </si>
  <si>
    <t>MTHJ19EN83463</t>
  </si>
  <si>
    <t>MTHJ19EN84832</t>
  </si>
  <si>
    <t>MTHJ19EN87281</t>
  </si>
  <si>
    <t>MTHJ19NLX31001</t>
  </si>
  <si>
    <t>MTHJ19NLX31488</t>
  </si>
  <si>
    <t>MTHJ19NLX34832</t>
  </si>
  <si>
    <t>MTHJ19NLX36051</t>
  </si>
  <si>
    <t>MTHJ19NLX37281</t>
  </si>
  <si>
    <t>MTIQ12EN51001</t>
  </si>
  <si>
    <t>MTIQ12EN51396</t>
  </si>
  <si>
    <t>MTIQ12EN52659</t>
  </si>
  <si>
    <t>MTIR09EN51001</t>
  </si>
  <si>
    <t>MTIR09EN51396</t>
  </si>
  <si>
    <t>MTIR09EN52659</t>
  </si>
  <si>
    <t>MTJB011IK4127</t>
  </si>
  <si>
    <t>MTJB011IK6361</t>
  </si>
  <si>
    <t>MTN8Z98FC81505</t>
  </si>
  <si>
    <t>MTN8Z98FC84169</t>
  </si>
  <si>
    <t>MTN8Z98FC86380</t>
  </si>
  <si>
    <t>MTNA028AB02661</t>
  </si>
  <si>
    <t>MTNA028AB04169</t>
  </si>
  <si>
    <t>MTNA028AB06380</t>
  </si>
  <si>
    <t>MTO7Z99EV71501</t>
  </si>
  <si>
    <t>MTO7Z99EY11100</t>
  </si>
  <si>
    <t>MTP6T90DV84134</t>
  </si>
  <si>
    <t>MTPA011DV74134</t>
  </si>
  <si>
    <t>MTPA012FL14328</t>
  </si>
  <si>
    <t>MTPA012FL16366</t>
  </si>
  <si>
    <t>MTQA007EG1227</t>
  </si>
  <si>
    <t>MTQA007EG6035</t>
  </si>
  <si>
    <t>MTRA003DB44356</t>
  </si>
  <si>
    <t>MTRA004DB44356</t>
  </si>
  <si>
    <t>MTRA005AB04356</t>
  </si>
  <si>
    <t>MTRA013VR4356</t>
  </si>
  <si>
    <t>MTT6T90DV61505</t>
  </si>
  <si>
    <t>MTTA001DV51505</t>
  </si>
  <si>
    <t>MTTA011DV51505</t>
  </si>
  <si>
    <t>MTXA083EA51100</t>
  </si>
  <si>
    <t>MTYA0822173</t>
  </si>
  <si>
    <t>MTYA0824836</t>
  </si>
  <si>
    <t>MU2A301IK4100</t>
  </si>
  <si>
    <t>MU3A451NC51001</t>
  </si>
  <si>
    <t>MU3A451NC51746</t>
  </si>
  <si>
    <t>MU3A451NC66104</t>
  </si>
  <si>
    <t>MU3A451NC71746</t>
  </si>
  <si>
    <t>MU3A451NT61001</t>
  </si>
  <si>
    <t>MU3A451NT61800</t>
  </si>
  <si>
    <t>MU3A451NT66497</t>
  </si>
  <si>
    <t>MU3B228NT61001</t>
  </si>
  <si>
    <t>MU3B228NT61800</t>
  </si>
  <si>
    <t>MU3B228NT66497</t>
  </si>
  <si>
    <t>MU4B179IK4100</t>
  </si>
  <si>
    <t>MU5859NQR8CEVD</t>
  </si>
  <si>
    <t>MU6859NQW44139</t>
  </si>
  <si>
    <t>MU7859NQW51316</t>
  </si>
  <si>
    <t>MUAA208NV9CAOL</t>
  </si>
  <si>
    <t>MUKA0844357</t>
  </si>
  <si>
    <t>MUKA0864357</t>
  </si>
  <si>
    <t>MULOGOBRF1081</t>
  </si>
  <si>
    <t>MULOGOBRF</t>
  </si>
  <si>
    <t>MENS U LOGO BRIEF</t>
  </si>
  <si>
    <t>MULOGOBRF4100</t>
  </si>
  <si>
    <t>MUMB156QM94100</t>
  </si>
  <si>
    <t>MURB262MU31001</t>
  </si>
  <si>
    <t>MURB262MU32500</t>
  </si>
  <si>
    <t>MUTA204QU41106</t>
  </si>
  <si>
    <t>MUTA204QU41800</t>
  </si>
  <si>
    <t>MUTA204QU4RBY</t>
  </si>
  <si>
    <t>MUTB230QU41001</t>
  </si>
  <si>
    <t>MUTB230QU41830</t>
  </si>
  <si>
    <t>MUTB230QU46497</t>
  </si>
  <si>
    <t>MUU8Z65EJT4837</t>
  </si>
  <si>
    <t>MUU8Z65EJT</t>
  </si>
  <si>
    <t>HTHR T NVY /  HTHR BLK</t>
  </si>
  <si>
    <t>MUWB227IK1001</t>
  </si>
  <si>
    <t>MUY859ECFDHEM</t>
  </si>
  <si>
    <t>MUY859ECF</t>
  </si>
  <si>
    <t>STRAIGHT FLAP NAT BIG T</t>
  </si>
  <si>
    <t>MUY859OMDHEM</t>
  </si>
  <si>
    <t>MUY859WO4CZLD</t>
  </si>
  <si>
    <t>MUY859WP0CZTM</t>
  </si>
  <si>
    <t>MUY859Y9DHEM</t>
  </si>
  <si>
    <t>MUYA799OMCZTM</t>
  </si>
  <si>
    <t>MUYH54ZECFDHEM</t>
  </si>
  <si>
    <t>MUYJ19WO1CZLD</t>
  </si>
  <si>
    <t>MV3BG48BS1001</t>
  </si>
  <si>
    <t>MV3BG48TT1700</t>
  </si>
  <si>
    <t>MV3BL681001</t>
  </si>
  <si>
    <t>MV3BL681035</t>
  </si>
  <si>
    <t>MV3BL681737</t>
  </si>
  <si>
    <t>MV3BL681746</t>
  </si>
  <si>
    <t>MV3BL684129</t>
  </si>
  <si>
    <t>MV3BL684130</t>
  </si>
  <si>
    <t>MV3BL686031</t>
  </si>
  <si>
    <t>MV3BL686036</t>
  </si>
  <si>
    <t>MV3BL68TT1046</t>
  </si>
  <si>
    <t>MV3BL68TT1757</t>
  </si>
  <si>
    <t>MV3BL68TT7414</t>
  </si>
  <si>
    <t>MV3BQ05EG1321</t>
  </si>
  <si>
    <t>MV3BQ05EG4227</t>
  </si>
  <si>
    <t>MV4B177QU81800</t>
  </si>
  <si>
    <t>MV4B177QU86497</t>
  </si>
  <si>
    <t>MV76L49F391501</t>
  </si>
  <si>
    <t>MV76T90V754285</t>
  </si>
  <si>
    <t>MV76T90V771515</t>
  </si>
  <si>
    <t>MV76T90W081164</t>
  </si>
  <si>
    <t>MV77K58E721515</t>
  </si>
  <si>
    <t>MV77T33V744285</t>
  </si>
  <si>
    <t>MV77T33V761515</t>
  </si>
  <si>
    <t>MV77T33W071164</t>
  </si>
  <si>
    <t>MV97NTX5CPPM</t>
  </si>
  <si>
    <t>MV97NVO5CVMD</t>
  </si>
  <si>
    <t>MV97NVY8CRYD</t>
  </si>
  <si>
    <t>MV97NVY9CMSD</t>
  </si>
  <si>
    <t>MV97NWZ5DCQL</t>
  </si>
  <si>
    <t>MVAA452RA11541</t>
  </si>
  <si>
    <t>MVFB383MU31001</t>
  </si>
  <si>
    <t>MVFB383MU34143</t>
  </si>
  <si>
    <t>MVGB372KK11001</t>
  </si>
  <si>
    <t>MVHBV92VR4721</t>
  </si>
  <si>
    <t>MVKY59FN03071</t>
  </si>
  <si>
    <t>MVN800GX61413</t>
  </si>
  <si>
    <t>MVN800GX61848</t>
  </si>
  <si>
    <t>MVN800GX62177</t>
  </si>
  <si>
    <t>MVN800GX63491</t>
  </si>
  <si>
    <t>MVN800GX64853</t>
  </si>
  <si>
    <t>MVN800GX68395</t>
  </si>
  <si>
    <t>MVN859GX61001</t>
  </si>
  <si>
    <t>MVN859GX61413</t>
  </si>
  <si>
    <t>MVN859GX62177</t>
  </si>
  <si>
    <t>MVN859GX64853</t>
  </si>
  <si>
    <t>MVN859GX68395</t>
  </si>
  <si>
    <t>MVNJ19GX61001</t>
  </si>
  <si>
    <t>MVNJ19GX61413</t>
  </si>
  <si>
    <t>MVNJ19GX62177</t>
  </si>
  <si>
    <t>MVNJ19GX63491</t>
  </si>
  <si>
    <t>MVNJ19GX64853</t>
  </si>
  <si>
    <t>MVNJ19GX68395</t>
  </si>
  <si>
    <t>MVOA211FM83469</t>
  </si>
  <si>
    <t>MVOA211FW44843</t>
  </si>
  <si>
    <t>MVOA300DS93483</t>
  </si>
  <si>
    <t>MVTA547VR4752</t>
  </si>
  <si>
    <t>MVTBA421VR4722</t>
  </si>
  <si>
    <t>MVUA228FS66380</t>
  </si>
  <si>
    <t>MVUA228FS81414</t>
  </si>
  <si>
    <t>MVW8Z66VR1746</t>
  </si>
  <si>
    <t>MVWA231EG3484</t>
  </si>
  <si>
    <t>MVWA554IB21093</t>
  </si>
  <si>
    <t>MVWA554IB21425</t>
  </si>
  <si>
    <t>MVWA554IB21437</t>
  </si>
  <si>
    <t>MVWA554IB21746</t>
  </si>
  <si>
    <t>MVWA554IB23484</t>
  </si>
  <si>
    <t>MVWA554IB24736</t>
  </si>
  <si>
    <t>MVWA554IB26310</t>
  </si>
  <si>
    <t>MVWA554IB26438</t>
  </si>
  <si>
    <t>MVWA573IP14169</t>
  </si>
  <si>
    <t>MVWA573IP17118</t>
  </si>
  <si>
    <t>MVWA589EG1437</t>
  </si>
  <si>
    <t>MVWA589EG4751</t>
  </si>
  <si>
    <t>MVYA233FQ22661</t>
  </si>
  <si>
    <t>MVYA234FP91108</t>
  </si>
  <si>
    <t>MVZA240FQ32669</t>
  </si>
  <si>
    <t>MW3859LB61001</t>
  </si>
  <si>
    <t>MW3859TS6000</t>
  </si>
  <si>
    <t>MW3859WU63443</t>
  </si>
  <si>
    <t>MW3859WU71001</t>
  </si>
  <si>
    <t>MW7B008OF91106</t>
  </si>
  <si>
    <t>MW7B008OF94002</t>
  </si>
  <si>
    <t>MW7B008OF94048</t>
  </si>
  <si>
    <t>MW7B008OF96000</t>
  </si>
  <si>
    <t>MW7B008OF9RBY</t>
  </si>
  <si>
    <t>MW7B009IK1106</t>
  </si>
  <si>
    <t>MW7B009IK4002</t>
  </si>
  <si>
    <t>MW7B009IKRBY</t>
  </si>
  <si>
    <t>MW7B168IK1106</t>
  </si>
  <si>
    <t>MW7B168IK4048</t>
  </si>
  <si>
    <t>MW7B168IK6000</t>
  </si>
  <si>
    <t>MW7C722IK1106</t>
  </si>
  <si>
    <t>MW7C722IK4002</t>
  </si>
  <si>
    <t>MW7C722IK4048</t>
  </si>
  <si>
    <t>MW7C722IK6000</t>
  </si>
  <si>
    <t>MW7C723IK1001</t>
  </si>
  <si>
    <t>MW7C723IK4002</t>
  </si>
  <si>
    <t>MW7C723IK4048</t>
  </si>
  <si>
    <t>MW7C723IK6000</t>
  </si>
  <si>
    <t>MWFA249VR1001</t>
  </si>
  <si>
    <t>MWKA267V71001</t>
  </si>
  <si>
    <t>MWKA267VR1001</t>
  </si>
  <si>
    <t>MWM800OIK6BFUD</t>
  </si>
  <si>
    <t>MWM858OIK6BBOL</t>
  </si>
  <si>
    <t>MWM859OIK6BBOL</t>
  </si>
  <si>
    <t>MWMA269GF5AZFD</t>
  </si>
  <si>
    <t>MWMA269GF5AZGL</t>
  </si>
  <si>
    <t>MWMA269GF5BFLL</t>
  </si>
  <si>
    <t>MWMA269GF5BFMM</t>
  </si>
  <si>
    <t>MWMA317GF5AZFD</t>
  </si>
  <si>
    <t>MWMA317GF5AZGL</t>
  </si>
  <si>
    <t>MWMA682JU1BFLL</t>
  </si>
  <si>
    <t>MWMA682JU1BFMM</t>
  </si>
  <si>
    <t>MWMJ19OIK6BBOL</t>
  </si>
  <si>
    <t>MWNA014ED31100</t>
  </si>
  <si>
    <t>MWQA301GK71001</t>
  </si>
  <si>
    <t>MWQA301GK71024</t>
  </si>
  <si>
    <t>MWQA301GK71202</t>
  </si>
  <si>
    <t>MWQA301GK71407</t>
  </si>
  <si>
    <t>MWQA301GK71426</t>
  </si>
  <si>
    <t>MWQA301GK71700</t>
  </si>
  <si>
    <t>MWQA301GK71745</t>
  </si>
  <si>
    <t>MWQA301GK72709</t>
  </si>
  <si>
    <t>MWQA301GK73415</t>
  </si>
  <si>
    <t>MWQA301GK73520</t>
  </si>
  <si>
    <t>MWQA301GK74169</t>
  </si>
  <si>
    <t>MWQA301GK74789</t>
  </si>
  <si>
    <t>MWQA301GK76047</t>
  </si>
  <si>
    <t>MWQA301GK76365</t>
  </si>
  <si>
    <t>MWQA301GK78399</t>
  </si>
  <si>
    <t>MWQA301GK78409</t>
  </si>
  <si>
    <t>MWQA301KG61024</t>
  </si>
  <si>
    <t>MWQA301KG61700</t>
  </si>
  <si>
    <t>MWQA301KG61744</t>
  </si>
  <si>
    <t>MWQA301KG61820</t>
  </si>
  <si>
    <t>MWQA301KG64886</t>
  </si>
  <si>
    <t>MWQA301KG66009</t>
  </si>
  <si>
    <t>MWQA423GK71001</t>
  </si>
  <si>
    <t>MWQA423GK71700</t>
  </si>
  <si>
    <t>MWQA451KG61024</t>
  </si>
  <si>
    <t>MWQA451KG66009</t>
  </si>
  <si>
    <t>MWUA290GE32670</t>
  </si>
  <si>
    <t>MWUA583DS91001</t>
  </si>
  <si>
    <t>MWUA583DS92682</t>
  </si>
  <si>
    <t>MWX8U24SL11501</t>
  </si>
  <si>
    <t>MWX8U24SY31501</t>
  </si>
  <si>
    <t>MWX8U24VY61501</t>
  </si>
  <si>
    <t>MWX8U24XZ51501</t>
  </si>
  <si>
    <t>MWX8W86JT61708</t>
  </si>
  <si>
    <t>MWX8W86QN91427</t>
  </si>
  <si>
    <t>MWX8W86WC51518</t>
  </si>
  <si>
    <t>MWX8W86XN81081</t>
  </si>
  <si>
    <t>MWX8W86XN81475</t>
  </si>
  <si>
    <t>MWX8Z65QY51501</t>
  </si>
  <si>
    <t>MWXA271QO51501</t>
  </si>
  <si>
    <t>MWXA595LK01475</t>
  </si>
  <si>
    <t>MWXA595QZ91518</t>
  </si>
  <si>
    <t>MWXA595UW61485</t>
  </si>
  <si>
    <t>MWXA595VC21518</t>
  </si>
  <si>
    <t>MWXA595WE11518</t>
  </si>
  <si>
    <t>MWXB124UM31501</t>
  </si>
  <si>
    <t>MWXW58QO71501</t>
  </si>
  <si>
    <t>MWXW58UW71501</t>
  </si>
  <si>
    <t>MWZ859TS2549</t>
  </si>
  <si>
    <t>MWZ859TS6145</t>
  </si>
  <si>
    <t>MWZA285IA61001</t>
  </si>
  <si>
    <t>MWZA285IA64101</t>
  </si>
  <si>
    <t>MWZA285QZ57470</t>
  </si>
  <si>
    <t>MWZA285QZ62014</t>
  </si>
  <si>
    <t>MX3859TS1001</t>
  </si>
  <si>
    <t>MX3859TS</t>
  </si>
  <si>
    <t>DHX-BLACK</t>
  </si>
  <si>
    <t>MX3859TS4059</t>
  </si>
  <si>
    <t>DHX COBALT</t>
  </si>
  <si>
    <t>MX3859TS4100</t>
  </si>
  <si>
    <t>DHX-TRUE NVY</t>
  </si>
  <si>
    <t>MX3859TS6000</t>
  </si>
  <si>
    <t>DHX-RUBY RED</t>
  </si>
  <si>
    <t>MX3859TS7233</t>
  </si>
  <si>
    <t>DHX-STRAW</t>
  </si>
  <si>
    <t>MX3859WO41700</t>
  </si>
  <si>
    <t>MX3859WO4</t>
  </si>
  <si>
    <t>STRAIGHT FLAP FOSSIL SILK SN</t>
  </si>
  <si>
    <t>DHX WHT RCTV DYE</t>
  </si>
  <si>
    <t>MX70NZP9M1001</t>
  </si>
  <si>
    <t>MX70NZP9M1998</t>
  </si>
  <si>
    <t>MX70NZP9M3071</t>
  </si>
  <si>
    <t>DERRINGER CAMO</t>
  </si>
  <si>
    <t>MX70NZP9M6497</t>
  </si>
  <si>
    <t>MXD859BJ91200</t>
  </si>
  <si>
    <t>MXD859JF22000</t>
  </si>
  <si>
    <t>MXD859RI6059</t>
  </si>
  <si>
    <t>MXD859SEAD1001</t>
  </si>
  <si>
    <t>MXD859SEAD1700</t>
  </si>
  <si>
    <t>MXD859SH97233</t>
  </si>
  <si>
    <t>MXD859SKN81700</t>
  </si>
  <si>
    <t>MXD859STS4000</t>
  </si>
  <si>
    <t>MXD859SUP41700</t>
  </si>
  <si>
    <t>MXD859SUP51001</t>
  </si>
  <si>
    <t>MXD859SZK41200</t>
  </si>
  <si>
    <t>MXD859SZK48419</t>
  </si>
  <si>
    <t>MXD859TS1001</t>
  </si>
  <si>
    <t>MXD859W011001</t>
  </si>
  <si>
    <t>MXD859WT96000</t>
  </si>
  <si>
    <t>MXD859WU02000</t>
  </si>
  <si>
    <t>MXD859YE84000</t>
  </si>
  <si>
    <t>MXD859YE91700</t>
  </si>
  <si>
    <t>MXDC934UA06059</t>
  </si>
  <si>
    <t>MXDC934WO11700</t>
  </si>
  <si>
    <t>MXDC934YF02500</t>
  </si>
  <si>
    <t>MXDC934YF11001</t>
  </si>
  <si>
    <t>MXDU23WO81001</t>
  </si>
  <si>
    <t>MXDU23WO83000</t>
  </si>
  <si>
    <t>MXJB128MU34031</t>
  </si>
  <si>
    <t>MXLB128MU36432</t>
  </si>
  <si>
    <t>MXV8U24XO31001</t>
  </si>
  <si>
    <t>MXV8U24XO31519</t>
  </si>
  <si>
    <t>MXV8Z65XO51081</t>
  </si>
  <si>
    <t>MXV8Z65XO51213</t>
  </si>
  <si>
    <t>MXVW58XO61001</t>
  </si>
  <si>
    <t>MXVW58XO66000</t>
  </si>
  <si>
    <t>MXWA315TT1001</t>
  </si>
  <si>
    <t>MXWA315TT6000</t>
  </si>
  <si>
    <t>MXWH067MU34143</t>
  </si>
  <si>
    <t>MXWH067MU3</t>
  </si>
  <si>
    <t>LS UTILITY CHAMBRAY SHIRT</t>
  </si>
  <si>
    <t>MXWH067MU36000</t>
  </si>
  <si>
    <t>MXX859UT4CRNM</t>
  </si>
  <si>
    <t>MXX859VA4CRYD</t>
  </si>
  <si>
    <t>MXX859WG8CXLM</t>
  </si>
  <si>
    <t>MXX859WN2CXLM</t>
  </si>
  <si>
    <t>MXXH54ZKB5CXLM</t>
  </si>
  <si>
    <t>MXXQ59WN2CXLM</t>
  </si>
  <si>
    <t>MXZ800WN8CXQD</t>
  </si>
  <si>
    <t>MXZ859ELCXWM</t>
  </si>
  <si>
    <t>MXZ859EY4CXVD</t>
  </si>
  <si>
    <t>MXZ859LA6CXSD</t>
  </si>
  <si>
    <t>MXZ859M60DDKM</t>
  </si>
  <si>
    <t>MXZ859MU6CXHD</t>
  </si>
  <si>
    <t>MXZ859OMWCMQM</t>
  </si>
  <si>
    <t>MXZ859S05CXWM</t>
  </si>
  <si>
    <t>MXZ859SH5CXXM</t>
  </si>
  <si>
    <t>MXZ859SYE3DDLL</t>
  </si>
  <si>
    <t>MXZ859TS3000</t>
  </si>
  <si>
    <t>MXZ859TSDDNM</t>
  </si>
  <si>
    <t>MXZ859WM8CYED</t>
  </si>
  <si>
    <t>MXZ859WN6CXQD</t>
  </si>
  <si>
    <t>MXZ859WN76000</t>
  </si>
  <si>
    <t>MXZB371Y9CXXM</t>
  </si>
  <si>
    <t>MXZB371Y9CYED</t>
  </si>
  <si>
    <t>MXZB470OMDDLL</t>
  </si>
  <si>
    <t>MXZC165TSCXSD</t>
  </si>
  <si>
    <t>MXZC166Y9CYED</t>
  </si>
  <si>
    <t>MXZE08OMCZJL</t>
  </si>
  <si>
    <t>MXZH54ZKK1CXQD</t>
  </si>
  <si>
    <t>MXZH54ZWN4CYED</t>
  </si>
  <si>
    <t>MXZJ19TSCXTM</t>
  </si>
  <si>
    <t>MXZJ19YE2DDOL</t>
  </si>
  <si>
    <t>MY0J60ZECZDLRD</t>
  </si>
  <si>
    <t>MY0J60ZECZ</t>
  </si>
  <si>
    <t>SKINNY AXEL GREY ALLOVER SN</t>
  </si>
  <si>
    <t>DLRD</t>
  </si>
  <si>
    <t>DLRD STORM CNTRL</t>
  </si>
  <si>
    <t>MY5E08ZW01DNID</t>
  </si>
  <si>
    <t>MY5E08ZW01</t>
  </si>
  <si>
    <t>SLIM FLAP PHANTOM GREY BIG T</t>
  </si>
  <si>
    <t>DNID</t>
  </si>
  <si>
    <t>DNID IND BONFIRE</t>
  </si>
  <si>
    <t>MY5H036RIDLKD</t>
  </si>
  <si>
    <t>MY5H036RI</t>
  </si>
  <si>
    <t>SLIM MOTO DK CONTINENT SN</t>
  </si>
  <si>
    <t>MY5H54ZKB5DLKD</t>
  </si>
  <si>
    <t>MY5H54ZKB5</t>
  </si>
  <si>
    <t>SKINNY FLAP OLD MULTI BIG T</t>
  </si>
  <si>
    <t>MYBB008OF91501</t>
  </si>
  <si>
    <t>MYBB009IK1501</t>
  </si>
  <si>
    <t>MYBB168IK1501</t>
  </si>
  <si>
    <t>MYBC722IK1501</t>
  </si>
  <si>
    <t>MYBC723IK1501</t>
  </si>
  <si>
    <t>MYCB129MF31001</t>
  </si>
  <si>
    <t>MYCB129MF32707</t>
  </si>
  <si>
    <t>MYCB130MF41001</t>
  </si>
  <si>
    <t>MYCB130MF42707</t>
  </si>
  <si>
    <t>MYCB293UH01001</t>
  </si>
  <si>
    <t>MYCB293UH02707</t>
  </si>
  <si>
    <t>MYCB308TA81427</t>
  </si>
  <si>
    <t>MYCB308TA86444</t>
  </si>
  <si>
    <t>MYCB308UH01001</t>
  </si>
  <si>
    <t>MYCB308UH02707</t>
  </si>
  <si>
    <t>MYCB308UN71106</t>
  </si>
  <si>
    <t>MYCB308UN74922</t>
  </si>
  <si>
    <t>MYCC316UA21001</t>
  </si>
  <si>
    <t>MYCC316UA22707</t>
  </si>
  <si>
    <t>MYDB266IE21001</t>
  </si>
  <si>
    <t>MYDB266IE21200</t>
  </si>
  <si>
    <t>MYDB266IE24100</t>
  </si>
  <si>
    <t>MYDB266IE26000</t>
  </si>
  <si>
    <t>MYDB266IE26444</t>
  </si>
  <si>
    <t>MYDB267TA91001</t>
  </si>
  <si>
    <t>MYDB267TA91200</t>
  </si>
  <si>
    <t>MYDB267TA94100</t>
  </si>
  <si>
    <t>MYDB267TA96000</t>
  </si>
  <si>
    <t>MYDB267TA96444</t>
  </si>
  <si>
    <t>MYJA236EAT1001</t>
  </si>
  <si>
    <t>MYJA236EAT</t>
  </si>
  <si>
    <t>CRAFTED W PRIDE POLO W TIPPING</t>
  </si>
  <si>
    <t>BLK RED TIPING</t>
  </si>
  <si>
    <t>MYJA236EAT1700</t>
  </si>
  <si>
    <t>WHITE BLK TPING</t>
  </si>
  <si>
    <t>MYJA236EAT6003</t>
  </si>
  <si>
    <t>BURGNDY WHT TPNG</t>
  </si>
  <si>
    <t>MYJA236EJQ1001</t>
  </si>
  <si>
    <t>MYJA236EJQ</t>
  </si>
  <si>
    <t>POLO SEAL SS POLO</t>
  </si>
  <si>
    <t>MYJA236EJQ6000</t>
  </si>
  <si>
    <t>MYJA236SE21096</t>
  </si>
  <si>
    <t>MYJA236SE21708</t>
  </si>
  <si>
    <t>MYJA236SE28058</t>
  </si>
  <si>
    <t>MYJA236UP71700</t>
  </si>
  <si>
    <t>MYJA236XX31001</t>
  </si>
  <si>
    <t>MYJA236XX31700</t>
  </si>
  <si>
    <t>MYJA236XX34100</t>
  </si>
  <si>
    <t>MYJA236XX36433</t>
  </si>
  <si>
    <t>MYLB290UH61001</t>
  </si>
  <si>
    <t>MYLB290UH64193</t>
  </si>
  <si>
    <t>MYLB290UH71840</t>
  </si>
  <si>
    <t>MYLB290UH76433</t>
  </si>
  <si>
    <t>MYLB291UH61001</t>
  </si>
  <si>
    <t>MYLB291UH64193</t>
  </si>
  <si>
    <t>MYLB291UH71840</t>
  </si>
  <si>
    <t>MYLB291UH76433</t>
  </si>
  <si>
    <t>MYMA315TT1779</t>
  </si>
  <si>
    <t>MYMA315TT1836</t>
  </si>
  <si>
    <t>MYMA315TT6432</t>
  </si>
  <si>
    <t>MYMA315TT7000</t>
  </si>
  <si>
    <t>MYMA316TT4342</t>
  </si>
  <si>
    <t>MYMA316TT6000</t>
  </si>
  <si>
    <t>MYMB390MU31001</t>
  </si>
  <si>
    <t>MYMB390MU31118</t>
  </si>
  <si>
    <t>BLACK 2</t>
  </si>
  <si>
    <t>MYMB390MU31700</t>
  </si>
  <si>
    <t>MYMB390MU36000</t>
  </si>
  <si>
    <t>MYNA315TT1200</t>
  </si>
  <si>
    <t>MYNA315TT6433</t>
  </si>
  <si>
    <t>MYNA315VU61096</t>
  </si>
  <si>
    <t>MYNA315VU71708</t>
  </si>
  <si>
    <t>MYNA316TT6000</t>
  </si>
  <si>
    <t>MYUB128MU31001</t>
  </si>
  <si>
    <t>MYUB128MU31700</t>
  </si>
  <si>
    <t>MYXB313SE21001</t>
  </si>
  <si>
    <t>MYXB313SE21519</t>
  </si>
  <si>
    <t>MZ3B128UG64100</t>
  </si>
  <si>
    <t>MZGB103XS31075</t>
  </si>
  <si>
    <t>MZGB103XS36041</t>
  </si>
  <si>
    <t>MZGB295XS21075</t>
  </si>
  <si>
    <t>MZGB295XS26041</t>
  </si>
  <si>
    <t>MZGB415XR12707</t>
  </si>
  <si>
    <t>MZGB415XR14100</t>
  </si>
  <si>
    <t>MZI859YD9DDMM</t>
  </si>
  <si>
    <t>MZIB185TSDDOL</t>
  </si>
  <si>
    <t>MZIJ19YE0DDMM</t>
  </si>
  <si>
    <t>MZL451IY31746</t>
  </si>
  <si>
    <t>MZLA451HH51746</t>
  </si>
  <si>
    <t>MZLA451HH64747</t>
  </si>
  <si>
    <t>MZLA451HH71035</t>
  </si>
  <si>
    <t>MZLA451HH86437</t>
  </si>
  <si>
    <t>MZLA451HI61746</t>
  </si>
  <si>
    <t>MZLA451HI81035</t>
  </si>
  <si>
    <t>MZLA451HJ11035</t>
  </si>
  <si>
    <t>MZLA451HJ36437</t>
  </si>
  <si>
    <t>MZLA451HJ41746</t>
  </si>
  <si>
    <t>MZLA451HJ46437</t>
  </si>
  <si>
    <t>MZLA451HJ71746</t>
  </si>
  <si>
    <t>MZLA451HJ91035</t>
  </si>
  <si>
    <t>MZLA451HK11746</t>
  </si>
  <si>
    <t>MZLA451HK51739</t>
  </si>
  <si>
    <t>MZLA451HK68405</t>
  </si>
  <si>
    <t>MZLA451IA21746</t>
  </si>
  <si>
    <t>MZLA451IY02373</t>
  </si>
  <si>
    <t>MZLA451JA16480</t>
  </si>
  <si>
    <t>MZLA451JA17023</t>
  </si>
  <si>
    <t>MZMA231EG1746</t>
  </si>
  <si>
    <t>MZMA749IB21461</t>
  </si>
  <si>
    <t>MZMA749IB24788</t>
  </si>
  <si>
    <t>MZSA434HG23492</t>
  </si>
  <si>
    <t>MZTA461HG32678</t>
  </si>
  <si>
    <t>MZTA567HG32678</t>
  </si>
  <si>
    <t>MZUV21HG41001</t>
  </si>
  <si>
    <t>MZUV21HG42681</t>
  </si>
  <si>
    <t>MZUV21HG43493</t>
  </si>
  <si>
    <t>MZUV21HG46426</t>
  </si>
  <si>
    <t>MZVA435HG54854</t>
  </si>
  <si>
    <t>MZWA436HG62676</t>
  </si>
  <si>
    <t>MZWA436HG62679</t>
  </si>
  <si>
    <t>MZWA436HG64741</t>
  </si>
  <si>
    <t>MZWA436HG64760</t>
  </si>
  <si>
    <t>MZWA436HG67117</t>
  </si>
  <si>
    <t>MZWA436HG67119</t>
  </si>
  <si>
    <t>MZWA437HG62679</t>
  </si>
  <si>
    <t>MZWA437HG66429</t>
  </si>
  <si>
    <t>MZWA461IM91432</t>
  </si>
  <si>
    <t>MZYA312FQ01419</t>
  </si>
  <si>
    <t>MZZA439HG81429</t>
  </si>
  <si>
    <t>MZZA439HG82675</t>
  </si>
  <si>
    <t>PTRB006P3513</t>
  </si>
  <si>
    <t>PTRB006PR3071</t>
  </si>
  <si>
    <t>PTRB006SR1001</t>
  </si>
  <si>
    <t>PTRB006SR1700</t>
  </si>
  <si>
    <t>PTRB006SR4930</t>
  </si>
  <si>
    <t>PTRB006SR6000</t>
  </si>
  <si>
    <t>PTRB011P1096</t>
  </si>
  <si>
    <t>PTRB011P3339</t>
  </si>
  <si>
    <t>PTRB011P4143</t>
  </si>
  <si>
    <t>PTRB011PX1001</t>
  </si>
  <si>
    <t>PTRB011S1001</t>
  </si>
  <si>
    <t>PTRB011S1700</t>
  </si>
  <si>
    <t>PTRB011S6000</t>
  </si>
  <si>
    <t>PTRB012P4185</t>
  </si>
  <si>
    <t>R100ASST</t>
  </si>
  <si>
    <t>R1000ASST</t>
  </si>
  <si>
    <t>R100AASST</t>
  </si>
  <si>
    <t>R100BASST</t>
  </si>
  <si>
    <t>R100F1ASST</t>
  </si>
  <si>
    <t>R100F2ASST</t>
  </si>
  <si>
    <t>R100F3ASST</t>
  </si>
  <si>
    <t>R101FASST</t>
  </si>
  <si>
    <t>R105ASST</t>
  </si>
  <si>
    <t>R105B9998</t>
  </si>
  <si>
    <t>R105BASST</t>
  </si>
  <si>
    <t>R106ASST</t>
  </si>
  <si>
    <t>R106AASST</t>
  </si>
  <si>
    <t>R106BASST</t>
  </si>
  <si>
    <t>R106JASST</t>
  </si>
  <si>
    <t>R1100ASST</t>
  </si>
  <si>
    <t>R110AASST</t>
  </si>
  <si>
    <t>R121ASST</t>
  </si>
  <si>
    <t>R122FASST</t>
  </si>
  <si>
    <t>R122F1ASST</t>
  </si>
  <si>
    <t>R140ASST</t>
  </si>
  <si>
    <t>R165ASST</t>
  </si>
  <si>
    <t>R2100ASST</t>
  </si>
  <si>
    <t>R221ASST</t>
  </si>
  <si>
    <t>R224FASST</t>
  </si>
  <si>
    <t>R224F2ASST</t>
  </si>
  <si>
    <t>R233ASST</t>
  </si>
  <si>
    <t>R240ASST</t>
  </si>
  <si>
    <t>R265ASST</t>
  </si>
  <si>
    <t>R270ASST</t>
  </si>
  <si>
    <t>R300F1ASST</t>
  </si>
  <si>
    <t>R300F2ASST</t>
  </si>
  <si>
    <t>R300F3ASST</t>
  </si>
  <si>
    <t>R304ASST</t>
  </si>
  <si>
    <t>R310ASST</t>
  </si>
  <si>
    <t>R325AASST</t>
  </si>
  <si>
    <t>R365ASST</t>
  </si>
  <si>
    <t>R400ASST</t>
  </si>
  <si>
    <t>R400F2ASST</t>
  </si>
  <si>
    <t>R400F3ASST</t>
  </si>
  <si>
    <t>R401FASST</t>
  </si>
  <si>
    <t>R420FASST</t>
  </si>
  <si>
    <t>R540ASST</t>
  </si>
  <si>
    <t>R540FASST</t>
  </si>
  <si>
    <t>R702ASST</t>
  </si>
  <si>
    <t>SM1S31217</t>
  </si>
  <si>
    <t>SM51700</t>
  </si>
  <si>
    <t>SM54000</t>
  </si>
  <si>
    <t>SM6S34168</t>
  </si>
  <si>
    <t>SU13F004111377</t>
  </si>
  <si>
    <t>SU13F004141007</t>
  </si>
  <si>
    <t>SU13F004141285</t>
  </si>
  <si>
    <t>SU13F004141700</t>
  </si>
  <si>
    <t>SU13F0073D1377</t>
  </si>
  <si>
    <t>SU13F009011007</t>
  </si>
  <si>
    <t>SU13F009011286</t>
  </si>
  <si>
    <t>SU13F009011377</t>
  </si>
  <si>
    <t>SU13F009011700</t>
  </si>
  <si>
    <t>SU13F009014400</t>
  </si>
  <si>
    <t>SU13F009014677</t>
  </si>
  <si>
    <t>SU13F009016500</t>
  </si>
  <si>
    <t>SU13F010001007</t>
  </si>
  <si>
    <t>SU13F010001285</t>
  </si>
  <si>
    <t>SU13F010001286</t>
  </si>
  <si>
    <t>SU13F010001377</t>
  </si>
  <si>
    <t>SU13F010001700</t>
  </si>
  <si>
    <t>SU13F010003196</t>
  </si>
  <si>
    <t>SU13F010004400</t>
  </si>
  <si>
    <t>SU13F010006500</t>
  </si>
  <si>
    <t>SU13F011081007</t>
  </si>
  <si>
    <t>SU13F011081286</t>
  </si>
  <si>
    <t>SU13F011081377</t>
  </si>
  <si>
    <t>SU13F011081700</t>
  </si>
  <si>
    <t>SU13F011086500</t>
  </si>
  <si>
    <t>SU13F012BS1700</t>
  </si>
  <si>
    <t>SU13F012BS3301</t>
  </si>
  <si>
    <t>SU13F014001007</t>
  </si>
  <si>
    <t>SU13F014001286</t>
  </si>
  <si>
    <t>SU13F014001377</t>
  </si>
  <si>
    <t>SU13F014001700</t>
  </si>
  <si>
    <t>SU13F014003196</t>
  </si>
  <si>
    <t>SU13F014004400</t>
  </si>
  <si>
    <t>SU13F014006500</t>
  </si>
  <si>
    <t>SU13F015001285</t>
  </si>
  <si>
    <t>SU13F015001286</t>
  </si>
  <si>
    <t>SU13F015001700</t>
  </si>
  <si>
    <t>SU13F015003196</t>
  </si>
  <si>
    <t>SU13F015004400</t>
  </si>
  <si>
    <t>SU13F015006500</t>
  </si>
  <si>
    <t>SU13F015BS1700</t>
  </si>
  <si>
    <t>SU13F015BS3196</t>
  </si>
  <si>
    <t>SU13F015BS3301</t>
  </si>
  <si>
    <t>SU13F017006500</t>
  </si>
  <si>
    <t>SU13F020111377</t>
  </si>
  <si>
    <t>SU13F020116500</t>
  </si>
  <si>
    <t>SU13F020141007</t>
  </si>
  <si>
    <t>SU13F020141285</t>
  </si>
  <si>
    <t>SU13F020141700</t>
  </si>
  <si>
    <t>SU13F021141007</t>
  </si>
  <si>
    <t>SU13F021141285</t>
  </si>
  <si>
    <t>SU13F021141700</t>
  </si>
  <si>
    <t>SU13F0221286</t>
  </si>
  <si>
    <t>SU13F0221377</t>
  </si>
  <si>
    <t>SU13F0221700</t>
  </si>
  <si>
    <t>SU13F0223196</t>
  </si>
  <si>
    <t>SU13F11X001286</t>
  </si>
  <si>
    <t>SU13F11X001378</t>
  </si>
  <si>
    <t>SU13F11X001700</t>
  </si>
  <si>
    <t>SU13F11X004400</t>
  </si>
  <si>
    <t>SU13F12X001286</t>
  </si>
  <si>
    <t>SU13F12X001377</t>
  </si>
  <si>
    <t>SU13F12X001378</t>
  </si>
  <si>
    <t>SU13F12X001700</t>
  </si>
  <si>
    <t>SU13F12X003196</t>
  </si>
  <si>
    <t>SU13F12X004400</t>
  </si>
  <si>
    <t>SU13F12X006000</t>
  </si>
  <si>
    <t>SU13F12X006500</t>
  </si>
  <si>
    <t>SU13F13X001377</t>
  </si>
  <si>
    <t>SU13F13X001700</t>
  </si>
  <si>
    <t>SU13F13X004400</t>
  </si>
  <si>
    <t>SU13F13X006500</t>
  </si>
  <si>
    <t>SU13F14X001700</t>
  </si>
  <si>
    <t>SU13F14X004400</t>
  </si>
  <si>
    <t>SU13F15X001286</t>
  </si>
  <si>
    <t>SU13F15X001377</t>
  </si>
  <si>
    <t>SU13F15X001700</t>
  </si>
  <si>
    <t>SU13F15X004400</t>
  </si>
  <si>
    <t>SU13F15X006500</t>
  </si>
  <si>
    <t>SU13F16X001286</t>
  </si>
  <si>
    <t>SU13F201491007</t>
  </si>
  <si>
    <t>SU13F201491285</t>
  </si>
  <si>
    <t>SU13F201491700</t>
  </si>
  <si>
    <t>SU13FKW11007</t>
  </si>
  <si>
    <t>SU13FKW11286</t>
  </si>
  <si>
    <t>SU13FKW11377</t>
  </si>
  <si>
    <t>SU13FKW13301</t>
  </si>
  <si>
    <t>SU13FKW14400</t>
  </si>
  <si>
    <t>SU13FKW16500</t>
  </si>
  <si>
    <t>SU13FKW31007</t>
  </si>
  <si>
    <t>SU13FKW31286</t>
  </si>
  <si>
    <t>SU13FKW31377</t>
  </si>
  <si>
    <t>SU13FKW33301</t>
  </si>
  <si>
    <t>SU13FKW34400</t>
  </si>
  <si>
    <t>SU13FKW36500</t>
  </si>
  <si>
    <t>SU13FKW91007</t>
  </si>
  <si>
    <t>SU13FKW91286</t>
  </si>
  <si>
    <t>SU13FKW91377</t>
  </si>
  <si>
    <t>SU13FKW93301</t>
  </si>
  <si>
    <t>SU13FKW94400</t>
  </si>
  <si>
    <t>SU13FKW96500</t>
  </si>
  <si>
    <t>SU13M001031007</t>
  </si>
  <si>
    <t>SU13M001031285</t>
  </si>
  <si>
    <t>SU13M001031700</t>
  </si>
  <si>
    <t>SU13M001034643</t>
  </si>
  <si>
    <t>SU13M001036064</t>
  </si>
  <si>
    <t>SU13M00241007</t>
  </si>
  <si>
    <t>SU13M00241285</t>
  </si>
  <si>
    <t>SU13M00241700</t>
  </si>
  <si>
    <t>SU13M00244643</t>
  </si>
  <si>
    <t>SU13M00246064</t>
  </si>
  <si>
    <t>SU13M005041007</t>
  </si>
  <si>
    <t>SU13M005041286</t>
  </si>
  <si>
    <t>SU13M005041377</t>
  </si>
  <si>
    <t>SU13M005041700</t>
  </si>
  <si>
    <t>SU13M005042069</t>
  </si>
  <si>
    <t>SU13M005043196</t>
  </si>
  <si>
    <t>SU13M005044400</t>
  </si>
  <si>
    <t>SU13M005046064</t>
  </si>
  <si>
    <t>SU13M006011007</t>
  </si>
  <si>
    <t>SU13M006011285</t>
  </si>
  <si>
    <t>SU13M006011700</t>
  </si>
  <si>
    <t>SU13M006013196</t>
  </si>
  <si>
    <t>SU13M006014400</t>
  </si>
  <si>
    <t>SU13M006051007</t>
  </si>
  <si>
    <t>SU13M006051285</t>
  </si>
  <si>
    <t>SU13M006051700</t>
  </si>
  <si>
    <t>SU13M006053196</t>
  </si>
  <si>
    <t>SU13M006054400</t>
  </si>
  <si>
    <t>SU13M007181285</t>
  </si>
  <si>
    <t>SU13M007181377</t>
  </si>
  <si>
    <t>SU13M007183196</t>
  </si>
  <si>
    <t>SU13M008041007</t>
  </si>
  <si>
    <t>SU13M008041285</t>
  </si>
  <si>
    <t>SU13M008041700</t>
  </si>
  <si>
    <t>SU13M008044643</t>
  </si>
  <si>
    <t>SU13M008046064</t>
  </si>
  <si>
    <t>SU13M009041007</t>
  </si>
  <si>
    <t>SU13M009041286</t>
  </si>
  <si>
    <t>SU13M009041377</t>
  </si>
  <si>
    <t>SU13M009041700</t>
  </si>
  <si>
    <t>SU13M009042069</t>
  </si>
  <si>
    <t>SU13M009043196</t>
  </si>
  <si>
    <t>SU13M0104B1007</t>
  </si>
  <si>
    <t>SU13M0104B1286</t>
  </si>
  <si>
    <t>SU13M0104B1377</t>
  </si>
  <si>
    <t>SU13M0104B1700</t>
  </si>
  <si>
    <t>SU13M0104B3196</t>
  </si>
  <si>
    <t>SU13M0104B4643</t>
  </si>
  <si>
    <t>SU13M0104X1007</t>
  </si>
  <si>
    <t>SU13M0104X1286</t>
  </si>
  <si>
    <t>SU13M0104X1377</t>
  </si>
  <si>
    <t>SU13M0104X1700</t>
  </si>
  <si>
    <t>SU13M0104X3196</t>
  </si>
  <si>
    <t>SU13M0104X4643</t>
  </si>
  <si>
    <t>SU13M0114B1007</t>
  </si>
  <si>
    <t>SU13M0114B1285</t>
  </si>
  <si>
    <t>SU13M0114B1700</t>
  </si>
  <si>
    <t>SU13M0114B4643</t>
  </si>
  <si>
    <t>SU13M0114B6064</t>
  </si>
  <si>
    <t>SU13M012161377</t>
  </si>
  <si>
    <t>SU13M012161700</t>
  </si>
  <si>
    <t>SU13M013161007</t>
  </si>
  <si>
    <t>SU13M013161286</t>
  </si>
  <si>
    <t>SU13M013161377</t>
  </si>
  <si>
    <t>SU13M013161700</t>
  </si>
  <si>
    <t>SU13M013162069</t>
  </si>
  <si>
    <t>SU13M013163196</t>
  </si>
  <si>
    <t>SU13M01431007</t>
  </si>
  <si>
    <t>SU13M01431285</t>
  </si>
  <si>
    <t>SU13M01431700</t>
  </si>
  <si>
    <t>SU13M01433196</t>
  </si>
  <si>
    <t>SU13M01436182</t>
  </si>
  <si>
    <t>SU13M015011007</t>
  </si>
  <si>
    <t>SU13M015011285</t>
  </si>
  <si>
    <t>SU13M015011700</t>
  </si>
  <si>
    <t>SU13M015014643</t>
  </si>
  <si>
    <t>SU13M015016064</t>
  </si>
  <si>
    <t>SU13M015021007</t>
  </si>
  <si>
    <t>SU13M015021285</t>
  </si>
  <si>
    <t>SU13M015021700</t>
  </si>
  <si>
    <t>SU13M015024643</t>
  </si>
  <si>
    <t>SU13M015026064</t>
  </si>
  <si>
    <t>SU13M13P161007</t>
  </si>
  <si>
    <t>SU13M13P161286</t>
  </si>
  <si>
    <t>SU13M13P161377</t>
  </si>
  <si>
    <t>SU13M13P161700</t>
  </si>
  <si>
    <t>SU13M13P163196</t>
  </si>
  <si>
    <t>SU13M13P164400</t>
  </si>
  <si>
    <t>SU13M14121007</t>
  </si>
  <si>
    <t>SU13M14121285</t>
  </si>
  <si>
    <t>SU13M14121377</t>
  </si>
  <si>
    <t>SU13M14121700</t>
  </si>
  <si>
    <t>SU13M14123196</t>
  </si>
  <si>
    <t>SU13M14126182</t>
  </si>
  <si>
    <t>SU13M15131007</t>
  </si>
  <si>
    <t>SU13M15131285</t>
  </si>
  <si>
    <t>SU13M15131700</t>
  </si>
  <si>
    <t>SU13M15134643</t>
  </si>
  <si>
    <t>SU13M15136064</t>
  </si>
  <si>
    <t>SU13M15151007</t>
  </si>
  <si>
    <t>SU13M15151285</t>
  </si>
  <si>
    <t>SU13M15151700</t>
  </si>
  <si>
    <t>SU13M15154643</t>
  </si>
  <si>
    <t>SU13M15156064</t>
  </si>
  <si>
    <t>SU13M15171007</t>
  </si>
  <si>
    <t>SU13M15171285</t>
  </si>
  <si>
    <t>SU13M15171700</t>
  </si>
  <si>
    <t>SU13M15174643</t>
  </si>
  <si>
    <t>SU13M15176064</t>
  </si>
  <si>
    <t>SU13M180011001</t>
  </si>
  <si>
    <t>SU13M180011700</t>
  </si>
  <si>
    <t>SU13M1804R1001</t>
  </si>
  <si>
    <t>SU13M1804R1700</t>
  </si>
  <si>
    <t>SU13M18P4193</t>
  </si>
  <si>
    <t>SU13M500121001</t>
  </si>
  <si>
    <t>SU13M500121007</t>
  </si>
  <si>
    <t>SU13M500121700</t>
  </si>
  <si>
    <t>SU13M500122069</t>
  </si>
  <si>
    <t>SU13M500123196</t>
  </si>
  <si>
    <t>SU13M500124400</t>
  </si>
  <si>
    <t>SW4S81700</t>
  </si>
  <si>
    <t>TR12027000</t>
  </si>
  <si>
    <t>TR12028038</t>
  </si>
  <si>
    <t>TR12044000</t>
  </si>
  <si>
    <t>TR12048039</t>
  </si>
  <si>
    <t>TR121023106</t>
  </si>
  <si>
    <t>TR121028038</t>
  </si>
  <si>
    <t>TR12136000</t>
  </si>
  <si>
    <t>TR12144171</t>
  </si>
  <si>
    <t>TR126HD13MDN</t>
  </si>
  <si>
    <t>TR126JN73RHB</t>
  </si>
  <si>
    <t>TR126JN75VBL</t>
  </si>
  <si>
    <t>TR126JN89RNS</t>
  </si>
  <si>
    <t>TR126JN89</t>
  </si>
  <si>
    <t>3 ST LEG OLD</t>
  </si>
  <si>
    <t>TR126JN94KNG1</t>
  </si>
  <si>
    <t>TR126KS08DRC</t>
  </si>
  <si>
    <t>TR126KS15MDN</t>
  </si>
  <si>
    <t>TR126SH26HHN</t>
  </si>
  <si>
    <t>TR126SH27VBL</t>
  </si>
  <si>
    <t>TR126SH64SAB</t>
  </si>
  <si>
    <t>TR126ST07LOS</t>
  </si>
  <si>
    <t>TR126ST13DEB</t>
  </si>
  <si>
    <t>TR126TE100DEB</t>
  </si>
  <si>
    <t>TR126TE100WHT</t>
  </si>
  <si>
    <t>TR126TE104WHT</t>
  </si>
  <si>
    <t>TR126TE108HGY</t>
  </si>
  <si>
    <t>TR126TE108</t>
  </si>
  <si>
    <t>BUFFALO TEE</t>
  </si>
  <si>
    <t>TR126TE108WHT</t>
  </si>
  <si>
    <t>TR126TE112HGY</t>
  </si>
  <si>
    <t>TR126TE46WHT</t>
  </si>
  <si>
    <t>TR126TE49SUL</t>
  </si>
  <si>
    <t>TR126TE50WHT</t>
  </si>
  <si>
    <t>TR126TE50WRD</t>
  </si>
  <si>
    <t>TR126TE50YEL</t>
  </si>
  <si>
    <t>TR126TE53WHT</t>
  </si>
  <si>
    <t>TR126TE59HGY</t>
  </si>
  <si>
    <t>TR126TE99HGY</t>
  </si>
  <si>
    <t>TR126VS03DRC</t>
  </si>
  <si>
    <t>TR126WB12OLV</t>
  </si>
  <si>
    <t>TR126WB15BLK</t>
  </si>
  <si>
    <t>TR126WB15CBY</t>
  </si>
  <si>
    <t>TR126WB16TRR</t>
  </si>
  <si>
    <t>TR135JN100LGA</t>
  </si>
  <si>
    <t>TR135JN100</t>
  </si>
  <si>
    <t>BIG T STRAIGHT JEAN</t>
  </si>
  <si>
    <t>LGA</t>
  </si>
  <si>
    <t>LGA LAGUNA</t>
  </si>
  <si>
    <t>TR135JN159DAI1</t>
  </si>
  <si>
    <t>TR135JN159</t>
  </si>
  <si>
    <t>DAI1</t>
  </si>
  <si>
    <t>DAI1 DARK INDIGO</t>
  </si>
  <si>
    <t>TR135JN161ALT</t>
  </si>
  <si>
    <t>TR135JN161</t>
  </si>
  <si>
    <t>TR135JN191SFW</t>
  </si>
  <si>
    <t>TR135JN191</t>
  </si>
  <si>
    <t>SUPERFLY WASH</t>
  </si>
  <si>
    <t>TR135JN92ASH</t>
  </si>
  <si>
    <t>TR135JN92</t>
  </si>
  <si>
    <t>STRAIGHT SINGLE END JEANS</t>
  </si>
  <si>
    <t>ASH BLUE</t>
  </si>
  <si>
    <t>TR135WB13BAL</t>
  </si>
  <si>
    <t>TR135WB13</t>
  </si>
  <si>
    <t>CORDUROY PANT</t>
  </si>
  <si>
    <t>BAL</t>
  </si>
  <si>
    <t>TR135WB13BNT</t>
  </si>
  <si>
    <t>TR135WB13MAT</t>
  </si>
  <si>
    <t>TR136HD21HGY</t>
  </si>
  <si>
    <t>TR136HD21</t>
  </si>
  <si>
    <t>MASCOT HOOK UP HOODIE</t>
  </si>
  <si>
    <t>TR136HD25CAC</t>
  </si>
  <si>
    <t>TR136HD26RED</t>
  </si>
  <si>
    <t>TR136HD26</t>
  </si>
  <si>
    <t>TR BRANDED HOODIE</t>
  </si>
  <si>
    <t>TR136JK14HGY</t>
  </si>
  <si>
    <t>TR136JK14TRR</t>
  </si>
  <si>
    <t>TR136JK16CRB</t>
  </si>
  <si>
    <t>TR136JN107BLB</t>
  </si>
  <si>
    <t>TR136JN107DTY1</t>
  </si>
  <si>
    <t>TR136JN108DEE1</t>
  </si>
  <si>
    <t>TR136JN109DRD</t>
  </si>
  <si>
    <t>TR136JN111BCE</t>
  </si>
  <si>
    <t>TR136JN111DKD1</t>
  </si>
  <si>
    <t>DKD1</t>
  </si>
  <si>
    <t>DKD1 DK DESTRUCTED</t>
  </si>
  <si>
    <t>TR136JN112JNP</t>
  </si>
  <si>
    <t>TR136JN112</t>
  </si>
  <si>
    <t>STRAIGHT FIT BIG T</t>
  </si>
  <si>
    <t>JNP</t>
  </si>
  <si>
    <t>JNP JUNGLE PATH</t>
  </si>
  <si>
    <t>TR136JN113RNS</t>
  </si>
  <si>
    <t>TR136JN113</t>
  </si>
  <si>
    <t>TR136JN114LOS</t>
  </si>
  <si>
    <t>TR136JN114</t>
  </si>
  <si>
    <t>STRAIGHT SINGLE END</t>
  </si>
  <si>
    <t>TR136JN115SSN</t>
  </si>
  <si>
    <t>TR136JN115</t>
  </si>
  <si>
    <t>SSN</t>
  </si>
  <si>
    <t>SSN SAVAGE SLOON</t>
  </si>
  <si>
    <t>TR136JN116CLU</t>
  </si>
  <si>
    <t>TR136JN116</t>
  </si>
  <si>
    <t>STRAIGHT  BIG T</t>
  </si>
  <si>
    <t>CLU</t>
  </si>
  <si>
    <t>CLU CLUB BLUE</t>
  </si>
  <si>
    <t>TR136JN121DTR</t>
  </si>
  <si>
    <t>ROCCO JEAN</t>
  </si>
  <si>
    <t>TR136JN123CRB</t>
  </si>
  <si>
    <t>TR136JN124FOG1</t>
  </si>
  <si>
    <t>TR136JN124</t>
  </si>
  <si>
    <t>SLIM FIT SINGLE END</t>
  </si>
  <si>
    <t>FOG1</t>
  </si>
  <si>
    <t>FOG1 BLUE FOG</t>
  </si>
  <si>
    <t>TR136JN147BCO</t>
  </si>
  <si>
    <t>TR136JN147</t>
  </si>
  <si>
    <t>STRAIGHT  SINGLE END</t>
  </si>
  <si>
    <t>BCO</t>
  </si>
  <si>
    <t>BCO BLUE COLLAR</t>
  </si>
  <si>
    <t>TR136JN148RGD</t>
  </si>
  <si>
    <t>TR136JN148RNS</t>
  </si>
  <si>
    <t>TR136JN150RNS</t>
  </si>
  <si>
    <t>TR136JN189OLV</t>
  </si>
  <si>
    <t>TR136JN189</t>
  </si>
  <si>
    <t>STRAIGHT  XD TWILL</t>
  </si>
  <si>
    <t>TR136JN98BLK</t>
  </si>
  <si>
    <t>TR136JN98</t>
  </si>
  <si>
    <t>STRIAGHT SINGLE END GENO</t>
  </si>
  <si>
    <t>TR136KP23BRW</t>
  </si>
  <si>
    <t>TR136LK24HGY</t>
  </si>
  <si>
    <t>TR136LW04MDN</t>
  </si>
  <si>
    <t>TR136LW07CST</t>
  </si>
  <si>
    <t>TR136SP27HGY</t>
  </si>
  <si>
    <t>TR136SP27</t>
  </si>
  <si>
    <t>MASCOT SWEATPANT</t>
  </si>
  <si>
    <t>TR136SP32CAC</t>
  </si>
  <si>
    <t>TR136SP33RED</t>
  </si>
  <si>
    <t>TR136SP33</t>
  </si>
  <si>
    <t>TR BRANDED PANT</t>
  </si>
  <si>
    <t>TR136ST17CRD</t>
  </si>
  <si>
    <t>TR136ST37WHT</t>
  </si>
  <si>
    <t>TR136ST37</t>
  </si>
  <si>
    <t>TR BUDDHA TEE SET</t>
  </si>
  <si>
    <t>TR136ST39HGY</t>
  </si>
  <si>
    <t>TR136TE104BLK</t>
  </si>
  <si>
    <t>TR136TE104RED</t>
  </si>
  <si>
    <t>TR136TE116WHT</t>
  </si>
  <si>
    <t>TR136TE118WHT</t>
  </si>
  <si>
    <t>TR136TE122CRD</t>
  </si>
  <si>
    <t>TR136TE123BLK</t>
  </si>
  <si>
    <t>TR136TE124PEC</t>
  </si>
  <si>
    <t>TR136TE125HGY</t>
  </si>
  <si>
    <t>TR136TE126HGY</t>
  </si>
  <si>
    <t>TR136TE127ORG</t>
  </si>
  <si>
    <t>TR136TE127</t>
  </si>
  <si>
    <t>CAMO FOOTBALL TEE</t>
  </si>
  <si>
    <t>ORG</t>
  </si>
  <si>
    <t>TR136TE127WHT</t>
  </si>
  <si>
    <t>TR136TE128ARG</t>
  </si>
  <si>
    <t>TR136TE128</t>
  </si>
  <si>
    <t>ORIGINAL BUDDHA TEE</t>
  </si>
  <si>
    <t>ARG</t>
  </si>
  <si>
    <t>ARG ARMY GREEN</t>
  </si>
  <si>
    <t>TR136TE128BLK</t>
  </si>
  <si>
    <t>TR136TE128HGY</t>
  </si>
  <si>
    <t>TR136TE130RED</t>
  </si>
  <si>
    <t>TR136TE130</t>
  </si>
  <si>
    <t>VARSITY TEE</t>
  </si>
  <si>
    <t>TR136TE131BLU</t>
  </si>
  <si>
    <t>TR136TE131</t>
  </si>
  <si>
    <t>FOOTBALL TEE</t>
  </si>
  <si>
    <t>TR136TE131WHT</t>
  </si>
  <si>
    <t>TR136TE132HGY</t>
  </si>
  <si>
    <t>TR136TE132</t>
  </si>
  <si>
    <t>BOTTLE CAP TEE</t>
  </si>
  <si>
    <t>TR136TE133CAM</t>
  </si>
  <si>
    <t>TR136TE133</t>
  </si>
  <si>
    <t>MILITARY TEE</t>
  </si>
  <si>
    <t>CAM</t>
  </si>
  <si>
    <t>CAM CAMO PRINT</t>
  </si>
  <si>
    <t>TR136TE134WHT</t>
  </si>
  <si>
    <t>TR136TE173HGY</t>
  </si>
  <si>
    <t>TR136TE173MDN</t>
  </si>
  <si>
    <t>TR136TE173WHT</t>
  </si>
  <si>
    <t>TR136TE39BOR1</t>
  </si>
  <si>
    <t>TR136TE39HGY</t>
  </si>
  <si>
    <t>TR136TE39MDN</t>
  </si>
  <si>
    <t>TR136TE39PEC</t>
  </si>
  <si>
    <t>TR136TE39RED</t>
  </si>
  <si>
    <t>TR136TE39TRR</t>
  </si>
  <si>
    <t>TR136TE39WHT</t>
  </si>
  <si>
    <t>TR136WB08CMT</t>
  </si>
  <si>
    <t>TR136WB09CAC</t>
  </si>
  <si>
    <t>TR14291001</t>
  </si>
  <si>
    <t>TR14291200</t>
  </si>
  <si>
    <t>TR14294100</t>
  </si>
  <si>
    <t>TR146HD23NVY</t>
  </si>
  <si>
    <t>TR146HD23</t>
  </si>
  <si>
    <t>OLD SCHOOL HOOK UP</t>
  </si>
  <si>
    <t>NVY</t>
  </si>
  <si>
    <t>TR146HD23RED</t>
  </si>
  <si>
    <t>TR146HD28BLK</t>
  </si>
  <si>
    <t>TR146HD28</t>
  </si>
  <si>
    <t>SHATTERED HOODIE</t>
  </si>
  <si>
    <t>TR146HD31BRW</t>
  </si>
  <si>
    <t>TR146HD31</t>
  </si>
  <si>
    <t>SINGLE END FRENCH</t>
  </si>
  <si>
    <t>TR146HD32BLK</t>
  </si>
  <si>
    <t>TR146HD32</t>
  </si>
  <si>
    <t>HOODY FRENCH TERRY</t>
  </si>
  <si>
    <t>TR146HD32HGY</t>
  </si>
  <si>
    <t>TR146HD32MDN</t>
  </si>
  <si>
    <t>TR146HD32ROB</t>
  </si>
  <si>
    <t>ROB</t>
  </si>
  <si>
    <t>ROB ROYAL BLUE</t>
  </si>
  <si>
    <t>TR146HD32TRR</t>
  </si>
  <si>
    <t>TR146JK18BLK</t>
  </si>
  <si>
    <t>TR146JK18</t>
  </si>
  <si>
    <t>PUNK VARSITY JACKET</t>
  </si>
  <si>
    <t>TR146JK23BLK</t>
  </si>
  <si>
    <t>TR146JK23</t>
  </si>
  <si>
    <t>TR146JK23INS1</t>
  </si>
  <si>
    <t>INS1</t>
  </si>
  <si>
    <t>INS1 INSIGNIA</t>
  </si>
  <si>
    <t>TR146JN132SEB</t>
  </si>
  <si>
    <t>TR146JN132</t>
  </si>
  <si>
    <t>SEB</t>
  </si>
  <si>
    <t>SEB STREAKY BLUE</t>
  </si>
  <si>
    <t>TR146JN151OBL</t>
  </si>
  <si>
    <t>TR146JN151</t>
  </si>
  <si>
    <t>RICKY CONTRAST</t>
  </si>
  <si>
    <t>OBL</t>
  </si>
  <si>
    <t>OBL OXFORD BLUE</t>
  </si>
  <si>
    <t>TR146JN152OXY1</t>
  </si>
  <si>
    <t>TR146JN152</t>
  </si>
  <si>
    <t>OXY1</t>
  </si>
  <si>
    <t>OXY1 OXYGEN BLUE</t>
  </si>
  <si>
    <t>TR146JN153SFB</t>
  </si>
  <si>
    <t>TR146JN153</t>
  </si>
  <si>
    <t>GENO PATCHWORK JEAN</t>
  </si>
  <si>
    <t>SFB</t>
  </si>
  <si>
    <t>SFB SOFT BLUE</t>
  </si>
  <si>
    <t>TR146JN154SOL</t>
  </si>
  <si>
    <t>TR146JN154</t>
  </si>
  <si>
    <t>SOL</t>
  </si>
  <si>
    <t>SOL SOLARIS</t>
  </si>
  <si>
    <t>TR146JN155ROE</t>
  </si>
  <si>
    <t>TR146JN155</t>
  </si>
  <si>
    <t>ROCCO MOTO JEAN</t>
  </si>
  <si>
    <t>ROE</t>
  </si>
  <si>
    <t>ROE ROADSTER BLUE</t>
  </si>
  <si>
    <t>TR146JN155SMO</t>
  </si>
  <si>
    <t>SMO</t>
  </si>
  <si>
    <t>SMO SMOKE</t>
  </si>
  <si>
    <t>TR146JN157RNS</t>
  </si>
  <si>
    <t>TR146JN157</t>
  </si>
  <si>
    <t>TR146JN157VKY</t>
  </si>
  <si>
    <t>TR146JN171RNS</t>
  </si>
  <si>
    <t>TR146JN171</t>
  </si>
  <si>
    <t>TR146JN172ACM</t>
  </si>
  <si>
    <t>TR146JN172</t>
  </si>
  <si>
    <t>STRAIGHT FIT CONTRAST</t>
  </si>
  <si>
    <t>TR146JN172CAM</t>
  </si>
  <si>
    <t>TR146JN175CLN</t>
  </si>
  <si>
    <t>TR146JN175</t>
  </si>
  <si>
    <t>CLN</t>
  </si>
  <si>
    <t>CLN CLOUDY NIGHT</t>
  </si>
  <si>
    <t>TR146JN175SMF</t>
  </si>
  <si>
    <t>SMF</t>
  </si>
  <si>
    <t>SMF SMURF BLUE</t>
  </si>
  <si>
    <t>TR146JN176IPT</t>
  </si>
  <si>
    <t>TR146JN176</t>
  </si>
  <si>
    <t>IPT</t>
  </si>
  <si>
    <t>IPT INK POT</t>
  </si>
  <si>
    <t>TR146JN177GWH</t>
  </si>
  <si>
    <t>TR146JN177</t>
  </si>
  <si>
    <t>RICKY CONTRAST SUPER T</t>
  </si>
  <si>
    <t>GWH</t>
  </si>
  <si>
    <t>GWH GRAND WASH</t>
  </si>
  <si>
    <t>TR146JN180CDB</t>
  </si>
  <si>
    <t>TR146JN180</t>
  </si>
  <si>
    <t>GENO BLACK COATED</t>
  </si>
  <si>
    <t>CDB</t>
  </si>
  <si>
    <t>CDB COATED BLACK</t>
  </si>
  <si>
    <t>TR146JN181TRN</t>
  </si>
  <si>
    <t>TR146JN181</t>
  </si>
  <si>
    <t>TRN</t>
  </si>
  <si>
    <t>TRN TARNISHD WSH</t>
  </si>
  <si>
    <t>TR146JN204SKL</t>
  </si>
  <si>
    <t>TR146JN204</t>
  </si>
  <si>
    <t>GENO SLIM FIT SUPER T</t>
  </si>
  <si>
    <t>TR146JN205RNS</t>
  </si>
  <si>
    <t>TR146JN205</t>
  </si>
  <si>
    <t>TR146LK29HGY</t>
  </si>
  <si>
    <t>TR146LK29</t>
  </si>
  <si>
    <t>VINYL PULLOVER</t>
  </si>
  <si>
    <t>TR146LK30HGY</t>
  </si>
  <si>
    <t>TR146LK30</t>
  </si>
  <si>
    <t>ROCKER LS RAGLAN</t>
  </si>
  <si>
    <t>TR146LK35OAH</t>
  </si>
  <si>
    <t>TR146LK35</t>
  </si>
  <si>
    <t>TR STAMP SWEATSHIRT</t>
  </si>
  <si>
    <t>TR146LK46WHT</t>
  </si>
  <si>
    <t>TR146LK46</t>
  </si>
  <si>
    <t>BUDDHA LS RAGLAN</t>
  </si>
  <si>
    <t>TR146LK47HGY</t>
  </si>
  <si>
    <t>TR146LK47</t>
  </si>
  <si>
    <t>TRUE BASE RAGLAN</t>
  </si>
  <si>
    <t>TR146LK48BLK</t>
  </si>
  <si>
    <t>TR146LK48</t>
  </si>
  <si>
    <t>TR146LK48HGY</t>
  </si>
  <si>
    <t>TR146LK48MDN</t>
  </si>
  <si>
    <t>TR146LK48ROB</t>
  </si>
  <si>
    <t>TR146LK48TRR</t>
  </si>
  <si>
    <t>TR146LK49IND</t>
  </si>
  <si>
    <t>TR146LK49</t>
  </si>
  <si>
    <t>LOGO LS TEE</t>
  </si>
  <si>
    <t>TR146LW06ROB</t>
  </si>
  <si>
    <t>TR146LW06</t>
  </si>
  <si>
    <t>PLAID WORKWEAR</t>
  </si>
  <si>
    <t>TR146LW08INS1</t>
  </si>
  <si>
    <t>TR146LW08</t>
  </si>
  <si>
    <t>INDIGO WASH WESTERN</t>
  </si>
  <si>
    <t>TR146SP29NVY</t>
  </si>
  <si>
    <t>TR146SP29</t>
  </si>
  <si>
    <t>OLD SCHOOL SWEATS</t>
  </si>
  <si>
    <t>TR146SP29RED</t>
  </si>
  <si>
    <t>TR146SP36SOB1</t>
  </si>
  <si>
    <t>TR146SP36</t>
  </si>
  <si>
    <t>SOB1</t>
  </si>
  <si>
    <t>SOB1 STONE BLUE</t>
  </si>
  <si>
    <t>TR146SP41BRW</t>
  </si>
  <si>
    <t>TR146SP41</t>
  </si>
  <si>
    <t>SWEATPANT FRENCH TERRY</t>
  </si>
  <si>
    <t>TR146SP42BLK</t>
  </si>
  <si>
    <t>TR146SP42</t>
  </si>
  <si>
    <t>TR146SP42HGY</t>
  </si>
  <si>
    <t>TR146SP42MDN</t>
  </si>
  <si>
    <t>TR146SP42ROB</t>
  </si>
  <si>
    <t>TR146SP42TRR</t>
  </si>
  <si>
    <t>TR146SP46BLK</t>
  </si>
  <si>
    <t>TR146SP46</t>
  </si>
  <si>
    <t>SHATTERED SWEATPANT</t>
  </si>
  <si>
    <t>TR146ST23BWHT</t>
  </si>
  <si>
    <t>TR146ST23B</t>
  </si>
  <si>
    <t>RAGLAN TEE 3PC BOX</t>
  </si>
  <si>
    <t>TR146ST27MDN</t>
  </si>
  <si>
    <t>TR146ST27</t>
  </si>
  <si>
    <t>JOGGER SET</t>
  </si>
  <si>
    <t>TR146ST43RED</t>
  </si>
  <si>
    <t>TR146ST43</t>
  </si>
  <si>
    <t>CROSSBONE BOX SET</t>
  </si>
  <si>
    <t>TR146ST45WHT</t>
  </si>
  <si>
    <t>TR146ST45</t>
  </si>
  <si>
    <t>BUDDHA BOX SET</t>
  </si>
  <si>
    <t>TR146ST47BBLK</t>
  </si>
  <si>
    <t>TR146ST47B</t>
  </si>
  <si>
    <t>BRANDED 3 PC BOX SET</t>
  </si>
  <si>
    <t>TR146ST49RED</t>
  </si>
  <si>
    <t>TR146ST49</t>
  </si>
  <si>
    <t>HOODY SET</t>
  </si>
  <si>
    <t>TR146ST50WHT</t>
  </si>
  <si>
    <t>TR146ST50</t>
  </si>
  <si>
    <t>RAGLAN TEE BOX SET</t>
  </si>
  <si>
    <t>TR146ST66IND</t>
  </si>
  <si>
    <t>TR146ST66</t>
  </si>
  <si>
    <t>INDIGO MINERAL</t>
  </si>
  <si>
    <t>TR146ST68BLK</t>
  </si>
  <si>
    <t>TR146ST68</t>
  </si>
  <si>
    <t>BUDDHA 2 PC SET</t>
  </si>
  <si>
    <t>TR146TE146RED</t>
  </si>
  <si>
    <t>TR146TE146</t>
  </si>
  <si>
    <t>BRANDED TRUE RELIGION</t>
  </si>
  <si>
    <t>TR146TE147NVY</t>
  </si>
  <si>
    <t>TR146TE147</t>
  </si>
  <si>
    <t>HORSESHOE TEE</t>
  </si>
  <si>
    <t>TR146TE148HGY</t>
  </si>
  <si>
    <t>TR146TE148</t>
  </si>
  <si>
    <t>TR146TE148WHT</t>
  </si>
  <si>
    <t>TR146TE149BLK</t>
  </si>
  <si>
    <t>TR146TE149</t>
  </si>
  <si>
    <t>STENCIL TEE</t>
  </si>
  <si>
    <t>TR146TE149OLV</t>
  </si>
  <si>
    <t>TR146TE150CBT</t>
  </si>
  <si>
    <t>TR146TE150</t>
  </si>
  <si>
    <t>CBT</t>
  </si>
  <si>
    <t>CBT COBALT</t>
  </si>
  <si>
    <t>TR146TE150WHT</t>
  </si>
  <si>
    <t>TR146TE151CBT</t>
  </si>
  <si>
    <t>TR146TE151</t>
  </si>
  <si>
    <t>TR TEE</t>
  </si>
  <si>
    <t>TR146TE151OLV</t>
  </si>
  <si>
    <t>TR146TE152WHT</t>
  </si>
  <si>
    <t>TR146TE152</t>
  </si>
  <si>
    <t>BUDDHA PATCH TEE</t>
  </si>
  <si>
    <t>TR146TE153RED</t>
  </si>
  <si>
    <t>TR146TE153</t>
  </si>
  <si>
    <t>CROSSBONES TEE</t>
  </si>
  <si>
    <t>TR146TE154BLK</t>
  </si>
  <si>
    <t>TR146TE154</t>
  </si>
  <si>
    <t>RAGLAN PATCH TEE</t>
  </si>
  <si>
    <t>TR146TE154WHT</t>
  </si>
  <si>
    <t>TR146TE164BDY</t>
  </si>
  <si>
    <t>TR146TE164</t>
  </si>
  <si>
    <t>BDY</t>
  </si>
  <si>
    <t>BDY BROADWAY</t>
  </si>
  <si>
    <t>TR146TE165HGY</t>
  </si>
  <si>
    <t>TR146TE165</t>
  </si>
  <si>
    <t>CLOUDY TR TEE</t>
  </si>
  <si>
    <t>TR146TE166WHT</t>
  </si>
  <si>
    <t>TR146TE166</t>
  </si>
  <si>
    <t>MOON TEE</t>
  </si>
  <si>
    <t>TR146TE168OAH</t>
  </si>
  <si>
    <t>TR146TE168</t>
  </si>
  <si>
    <t>HARDCORE TEE</t>
  </si>
  <si>
    <t>TR146TE171HGY</t>
  </si>
  <si>
    <t>TR146TE171</t>
  </si>
  <si>
    <t>TAPE TEE</t>
  </si>
  <si>
    <t>TR146TE171INS1</t>
  </si>
  <si>
    <t>TR146TE177BLK</t>
  </si>
  <si>
    <t>TR146TE177</t>
  </si>
  <si>
    <t>MINERAL BUDDHA TEE</t>
  </si>
  <si>
    <t>TR146TE177ROB</t>
  </si>
  <si>
    <t>TR146TE179BLK</t>
  </si>
  <si>
    <t>TR146TE179</t>
  </si>
  <si>
    <t>GOLD BRANDED LOGO TEE</t>
  </si>
  <si>
    <t>TR146TE39BLK</t>
  </si>
  <si>
    <t>TR146TE39</t>
  </si>
  <si>
    <t>TR146TE39HGY</t>
  </si>
  <si>
    <t>TR146TE39MDN</t>
  </si>
  <si>
    <t>TR146TE39OAH</t>
  </si>
  <si>
    <t>TR146TE39ROB</t>
  </si>
  <si>
    <t>TR146TE39TRR</t>
  </si>
  <si>
    <t>TR146TE39WHT</t>
  </si>
  <si>
    <t>TR146WB19GRY</t>
  </si>
  <si>
    <t>TR146WB19</t>
  </si>
  <si>
    <t>SLIM FIT CORD</t>
  </si>
  <si>
    <t>GRY</t>
  </si>
  <si>
    <t>GRY GRAY</t>
  </si>
  <si>
    <t>TR16671001</t>
  </si>
  <si>
    <t>TR16671501</t>
  </si>
  <si>
    <t>TR16672500</t>
  </si>
  <si>
    <t>TR16674059</t>
  </si>
  <si>
    <t>TR16674100</t>
  </si>
  <si>
    <t>TR16676000</t>
  </si>
  <si>
    <t>TR16991001</t>
  </si>
  <si>
    <t>TR16994100</t>
  </si>
  <si>
    <t>TR17001001</t>
  </si>
  <si>
    <t>TR17002502</t>
  </si>
  <si>
    <t>TR17004253</t>
  </si>
  <si>
    <t>TR17006064</t>
  </si>
  <si>
    <t>TR17981100</t>
  </si>
  <si>
    <t>TR17981470</t>
  </si>
  <si>
    <t>TR17982699</t>
  </si>
  <si>
    <t>TR17988411</t>
  </si>
  <si>
    <t>TR17991100</t>
  </si>
  <si>
    <t>TR17991470</t>
  </si>
  <si>
    <t>TR17992699</t>
  </si>
  <si>
    <t>TR17998411</t>
  </si>
  <si>
    <t>TR18001001</t>
  </si>
  <si>
    <t>TR18003525</t>
  </si>
  <si>
    <t>TR18004048</t>
  </si>
  <si>
    <t>TR18007123</t>
  </si>
  <si>
    <t>TR18008411</t>
  </si>
  <si>
    <t>TR18011001</t>
  </si>
  <si>
    <t>TR18013528</t>
  </si>
  <si>
    <t>TR18014048</t>
  </si>
  <si>
    <t>TR18014168</t>
  </si>
  <si>
    <t>TR18018411</t>
  </si>
  <si>
    <t>TR18021001</t>
  </si>
  <si>
    <t>TR18022375</t>
  </si>
  <si>
    <t>TR18022500</t>
  </si>
  <si>
    <t>TR18023525</t>
  </si>
  <si>
    <t>TR18024048</t>
  </si>
  <si>
    <t>TR18029614</t>
  </si>
  <si>
    <t>TR18031001</t>
  </si>
  <si>
    <t>TR18033525</t>
  </si>
  <si>
    <t>TR18034048</t>
  </si>
  <si>
    <t>TR18038416</t>
  </si>
  <si>
    <t>TR18039614</t>
  </si>
  <si>
    <t>TR18041001</t>
  </si>
  <si>
    <t>TR18043525</t>
  </si>
  <si>
    <t>TR18044048</t>
  </si>
  <si>
    <t>TR18048416</t>
  </si>
  <si>
    <t>TR18049614</t>
  </si>
  <si>
    <t>TR18061001</t>
  </si>
  <si>
    <t>TR18061468</t>
  </si>
  <si>
    <t>TR18062725</t>
  </si>
  <si>
    <t>TR18064048</t>
  </si>
  <si>
    <t>TR18068411</t>
  </si>
  <si>
    <t>TR18071100</t>
  </si>
  <si>
    <t>TR18072725</t>
  </si>
  <si>
    <t>TR18074881</t>
  </si>
  <si>
    <t>TR18076492</t>
  </si>
  <si>
    <t>TR18081001</t>
  </si>
  <si>
    <t>TR18083525</t>
  </si>
  <si>
    <t>TR18084048</t>
  </si>
  <si>
    <t>TR18086450</t>
  </si>
  <si>
    <t>TR18086475</t>
  </si>
  <si>
    <t>TR18091001</t>
  </si>
  <si>
    <t>TR18092375</t>
  </si>
  <si>
    <t>TR18094048</t>
  </si>
  <si>
    <t>TR18104048</t>
  </si>
  <si>
    <t>TR18111001</t>
  </si>
  <si>
    <t>TR18112054</t>
  </si>
  <si>
    <t>TR18118411</t>
  </si>
  <si>
    <t>TR18118416</t>
  </si>
  <si>
    <t>TR18121001</t>
  </si>
  <si>
    <t>TR18121468</t>
  </si>
  <si>
    <t>TR18123525</t>
  </si>
  <si>
    <t>TR18124048</t>
  </si>
  <si>
    <t>TR18128411</t>
  </si>
  <si>
    <t>TR18128416</t>
  </si>
  <si>
    <t>TR18129614</t>
  </si>
  <si>
    <t>TR18131468</t>
  </si>
  <si>
    <t>TR18131470</t>
  </si>
  <si>
    <t>TR18132054</t>
  </si>
  <si>
    <t>TR18132725</t>
  </si>
  <si>
    <t>TR18134881</t>
  </si>
  <si>
    <t>TR18141001</t>
  </si>
  <si>
    <t>TR18141462</t>
  </si>
  <si>
    <t>TR18142725</t>
  </si>
  <si>
    <t>TR18144048</t>
  </si>
  <si>
    <t>TR18146132</t>
  </si>
  <si>
    <t>TR18149614</t>
  </si>
  <si>
    <t>TR18151001</t>
  </si>
  <si>
    <t>TR18151470</t>
  </si>
  <si>
    <t>TR18151704</t>
  </si>
  <si>
    <t>TR18152054</t>
  </si>
  <si>
    <t>TR18154048</t>
  </si>
  <si>
    <t>TR18154881</t>
  </si>
  <si>
    <t>TR18158413</t>
  </si>
  <si>
    <t>TR18159614</t>
  </si>
  <si>
    <t>TR18171001</t>
  </si>
  <si>
    <t>TR18172054</t>
  </si>
  <si>
    <t>TR18178411</t>
  </si>
  <si>
    <t>TR18181001</t>
  </si>
  <si>
    <t>TR18182054</t>
  </si>
  <si>
    <t>TR18188411</t>
  </si>
  <si>
    <t>TR18191001</t>
  </si>
  <si>
    <t>TR18192054</t>
  </si>
  <si>
    <t>TR18198411</t>
  </si>
  <si>
    <t>TR18201001</t>
  </si>
  <si>
    <t>TR18201468</t>
  </si>
  <si>
    <t>TR18202725</t>
  </si>
  <si>
    <t>TR18203525</t>
  </si>
  <si>
    <t>TR18204048</t>
  </si>
  <si>
    <t>TR18208411</t>
  </si>
  <si>
    <t>TR18211001</t>
  </si>
  <si>
    <t>TR18211468</t>
  </si>
  <si>
    <t>TR18212725</t>
  </si>
  <si>
    <t>TR18213525</t>
  </si>
  <si>
    <t>TR18214048</t>
  </si>
  <si>
    <t>TR18218411</t>
  </si>
  <si>
    <t>TR18221001</t>
  </si>
  <si>
    <t>TR18221468</t>
  </si>
  <si>
    <t>TR18222725</t>
  </si>
  <si>
    <t>TR18223525</t>
  </si>
  <si>
    <t>TR18224048</t>
  </si>
  <si>
    <t>TR18228411</t>
  </si>
  <si>
    <t>TR18231001</t>
  </si>
  <si>
    <t>TR18231468</t>
  </si>
  <si>
    <t>TR18231704</t>
  </si>
  <si>
    <t>TR18232054</t>
  </si>
  <si>
    <t>TR18232375</t>
  </si>
  <si>
    <t>TR18234048</t>
  </si>
  <si>
    <t>TR18236132</t>
  </si>
  <si>
    <t>TR18236475</t>
  </si>
  <si>
    <t>TR18237123</t>
  </si>
  <si>
    <t>TR18241001</t>
  </si>
  <si>
    <t>TR18241468</t>
  </si>
  <si>
    <t>TR18241704</t>
  </si>
  <si>
    <t>TR18242054</t>
  </si>
  <si>
    <t>TR18242375</t>
  </si>
  <si>
    <t>TR18244048</t>
  </si>
  <si>
    <t>TR18246132</t>
  </si>
  <si>
    <t>TR18246475</t>
  </si>
  <si>
    <t>TR18247123</t>
  </si>
  <si>
    <t>TR18251001</t>
  </si>
  <si>
    <t>TR18251468</t>
  </si>
  <si>
    <t>TR18251704</t>
  </si>
  <si>
    <t>TR18252375</t>
  </si>
  <si>
    <t>TR18253525</t>
  </si>
  <si>
    <t>TR18254048</t>
  </si>
  <si>
    <t>TR18256132</t>
  </si>
  <si>
    <t>TR18256475</t>
  </si>
  <si>
    <t>TR18257123</t>
  </si>
  <si>
    <t>TR18261001</t>
  </si>
  <si>
    <t>TR18261468</t>
  </si>
  <si>
    <t>TR18261704</t>
  </si>
  <si>
    <t>TR18262375</t>
  </si>
  <si>
    <t>TR18263525</t>
  </si>
  <si>
    <t>TR18264048</t>
  </si>
  <si>
    <t>TR18266132</t>
  </si>
  <si>
    <t>TR18266475</t>
  </si>
  <si>
    <t>TR18267123</t>
  </si>
  <si>
    <t>TR18271001</t>
  </si>
  <si>
    <t>TR18271468</t>
  </si>
  <si>
    <t>TR18273525</t>
  </si>
  <si>
    <t>TR18274048</t>
  </si>
  <si>
    <t>TR18276132</t>
  </si>
  <si>
    <t>TR18276475</t>
  </si>
  <si>
    <t>TR18281001</t>
  </si>
  <si>
    <t>TR18281081</t>
  </si>
  <si>
    <t>TR18281462</t>
  </si>
  <si>
    <t>TR18281477</t>
  </si>
  <si>
    <t>TR18281700</t>
  </si>
  <si>
    <t>TR18282375</t>
  </si>
  <si>
    <t>TR18282377</t>
  </si>
  <si>
    <t>TR18283525</t>
  </si>
  <si>
    <t>TR18284048</t>
  </si>
  <si>
    <t>TR18286475</t>
  </si>
  <si>
    <t>TR18288411</t>
  </si>
  <si>
    <t>TR18288413</t>
  </si>
  <si>
    <t>TR18288416</t>
  </si>
  <si>
    <t>TR18291001</t>
  </si>
  <si>
    <t>TR18291468</t>
  </si>
  <si>
    <t>TR18291704</t>
  </si>
  <si>
    <t>TR18292375</t>
  </si>
  <si>
    <t>TR18293525</t>
  </si>
  <si>
    <t>TR18294048</t>
  </si>
  <si>
    <t>TR18296132</t>
  </si>
  <si>
    <t>TR18296475</t>
  </si>
  <si>
    <t>TR18297123</t>
  </si>
  <si>
    <t>TR18311001</t>
  </si>
  <si>
    <t>TR18311462</t>
  </si>
  <si>
    <t>TR18311477</t>
  </si>
  <si>
    <t>TR18311700</t>
  </si>
  <si>
    <t>TR18312375</t>
  </si>
  <si>
    <t>TR18312377</t>
  </si>
  <si>
    <t>TR18313525</t>
  </si>
  <si>
    <t>TR18314048</t>
  </si>
  <si>
    <t>TR18316475</t>
  </si>
  <si>
    <t>TR18318411</t>
  </si>
  <si>
    <t>TR18318413</t>
  </si>
  <si>
    <t>TR18318416</t>
  </si>
  <si>
    <t>TR18321001</t>
  </si>
  <si>
    <t>TR18321700</t>
  </si>
  <si>
    <t>TR18323525</t>
  </si>
  <si>
    <t>TR18323528</t>
  </si>
  <si>
    <t>TR18324048</t>
  </si>
  <si>
    <t>TR18326475</t>
  </si>
  <si>
    <t>TR18328416</t>
  </si>
  <si>
    <t>TR18331001</t>
  </si>
  <si>
    <t>TR18331462</t>
  </si>
  <si>
    <t>TR18332054</t>
  </si>
  <si>
    <t>TR18338411</t>
  </si>
  <si>
    <t>TR18341001</t>
  </si>
  <si>
    <t>TR18341468</t>
  </si>
  <si>
    <t>TR18342054</t>
  </si>
  <si>
    <t>TR18342699</t>
  </si>
  <si>
    <t>TR18344048</t>
  </si>
  <si>
    <t>TR18351001</t>
  </si>
  <si>
    <t>TR18351468</t>
  </si>
  <si>
    <t>TR18353525</t>
  </si>
  <si>
    <t>TR18354048</t>
  </si>
  <si>
    <t>TR18358416</t>
  </si>
  <si>
    <t>TR18359614</t>
  </si>
  <si>
    <t>TR18361001</t>
  </si>
  <si>
    <t>TR18361468</t>
  </si>
  <si>
    <t>TR18364048</t>
  </si>
  <si>
    <t>TR18368416</t>
  </si>
  <si>
    <t>TR18369614</t>
  </si>
  <si>
    <t>TR18371001</t>
  </si>
  <si>
    <t>TR18371200</t>
  </si>
  <si>
    <t>TR18374101</t>
  </si>
  <si>
    <t>TR18376372</t>
  </si>
  <si>
    <t>TR18381001</t>
  </si>
  <si>
    <t>TR18381200</t>
  </si>
  <si>
    <t>TR18386372</t>
  </si>
  <si>
    <t>TR18891001</t>
  </si>
  <si>
    <t>TR18896498</t>
  </si>
  <si>
    <t>TR18931001</t>
  </si>
  <si>
    <t>TR18936498</t>
  </si>
  <si>
    <t>TR18981001</t>
  </si>
  <si>
    <t>TR18981496</t>
  </si>
  <si>
    <t>TR18984100</t>
  </si>
  <si>
    <t>TR18984930</t>
  </si>
  <si>
    <t>TR18986064</t>
  </si>
  <si>
    <t>TR19241001</t>
  </si>
  <si>
    <t>TR19246064</t>
  </si>
  <si>
    <t>TR19661001</t>
  </si>
  <si>
    <t>TR1966</t>
  </si>
  <si>
    <t>TUFTED WOOL BASEBALL CAP</t>
  </si>
  <si>
    <t>TR19841001</t>
  </si>
  <si>
    <t>TR1984</t>
  </si>
  <si>
    <t>TWO TONE KNIT WATCHCAP</t>
  </si>
  <si>
    <t>TR19844100</t>
  </si>
  <si>
    <t>TR19851001</t>
  </si>
  <si>
    <t>TR1985</t>
  </si>
  <si>
    <t>TWO TONE KNIT SCARF</t>
  </si>
  <si>
    <t>TR19854100</t>
  </si>
  <si>
    <t>TR19861001</t>
  </si>
  <si>
    <t>TR1986</t>
  </si>
  <si>
    <t>TWO TONE KNIT TOUCHTEK GLOVES</t>
  </si>
  <si>
    <t>TR19864100</t>
  </si>
  <si>
    <t>TR19881001</t>
  </si>
  <si>
    <t>TR19884100</t>
  </si>
  <si>
    <t>TR19891001</t>
  </si>
  <si>
    <t>TR19894100</t>
  </si>
  <si>
    <t>TR19896064</t>
  </si>
  <si>
    <t>TR19991001</t>
  </si>
  <si>
    <t>TR19991468</t>
  </si>
  <si>
    <t>TR19991701</t>
  </si>
  <si>
    <t>TR19996064</t>
  </si>
  <si>
    <t>TR20001001</t>
  </si>
  <si>
    <t>TR2000</t>
  </si>
  <si>
    <t>TWILL TRAPPER</t>
  </si>
  <si>
    <t>TR20011001</t>
  </si>
  <si>
    <t>TR20015000</t>
  </si>
  <si>
    <t>TR2001Y6064</t>
  </si>
  <si>
    <t>TR20081001</t>
  </si>
  <si>
    <t>TR20081468</t>
  </si>
  <si>
    <t>TR20084100</t>
  </si>
  <si>
    <t>TR20464100</t>
  </si>
  <si>
    <t>TR20474344</t>
  </si>
  <si>
    <t>TR20484344</t>
  </si>
  <si>
    <t>TR20514100</t>
  </si>
  <si>
    <t>TR20516064</t>
  </si>
  <si>
    <t>TR20574344</t>
  </si>
  <si>
    <t>TR2057</t>
  </si>
  <si>
    <t>CAMO PERF BASEBALL CAP</t>
  </si>
  <si>
    <t>TR20641001</t>
  </si>
  <si>
    <t>TR2064</t>
  </si>
  <si>
    <t>SHINY BUDDHA BASEBALL CAP</t>
  </si>
  <si>
    <t>TR20643514</t>
  </si>
  <si>
    <t>TR20644100</t>
  </si>
  <si>
    <t>TR20934144</t>
  </si>
  <si>
    <t>TR20961001</t>
  </si>
  <si>
    <t>TR2096</t>
  </si>
  <si>
    <t>SHINY BUDDHA BUCKET HAT</t>
  </si>
  <si>
    <t>TR20963514</t>
  </si>
  <si>
    <t>TR2105T1001</t>
  </si>
  <si>
    <t>TR2105T3071</t>
  </si>
  <si>
    <t>TR2108T1001</t>
  </si>
  <si>
    <t>TR2108T1700</t>
  </si>
  <si>
    <t>TR2109T4100</t>
  </si>
  <si>
    <t>TR2109T6433</t>
  </si>
  <si>
    <t>TR21181001</t>
  </si>
  <si>
    <t>TR2118</t>
  </si>
  <si>
    <t>SHOE STRING LOGO BASEBALL CAP</t>
  </si>
  <si>
    <t>TR21186064</t>
  </si>
  <si>
    <t>TR21251102</t>
  </si>
  <si>
    <t>TR2125</t>
  </si>
  <si>
    <t>TR21253071</t>
  </si>
  <si>
    <t>TR2151T1001</t>
  </si>
  <si>
    <t>TR2157T1700</t>
  </si>
  <si>
    <t>TR2158T8393</t>
  </si>
  <si>
    <t>TR215ST01TRR</t>
  </si>
  <si>
    <t>TR215ST03BTE</t>
  </si>
  <si>
    <t>TR21801001</t>
  </si>
  <si>
    <t>TR2180</t>
  </si>
  <si>
    <t>STUD HORSESHOE CAP</t>
  </si>
  <si>
    <t>TR21804143</t>
  </si>
  <si>
    <t>TR226JN117ALMW</t>
  </si>
  <si>
    <t>TR226JN117</t>
  </si>
  <si>
    <t>4 NAT AND F SN</t>
  </si>
  <si>
    <t>ALMW</t>
  </si>
  <si>
    <t>ALAMEDA WASH</t>
  </si>
  <si>
    <t>TR226KS06MHG</t>
  </si>
  <si>
    <t>TR226ST08CLR</t>
  </si>
  <si>
    <t>TR226ST14FIA</t>
  </si>
  <si>
    <t>TR226TE136HGY</t>
  </si>
  <si>
    <t>TR226TE136WHT</t>
  </si>
  <si>
    <t>TR235JN114MISW</t>
  </si>
  <si>
    <t>TR235JN114</t>
  </si>
  <si>
    <t>SKINNY SINGLE END JEAN</t>
  </si>
  <si>
    <t>MISW</t>
  </si>
  <si>
    <t>MINSKOFF WASH</t>
  </si>
  <si>
    <t>TR235JN116MIW</t>
  </si>
  <si>
    <t>TR235JN116</t>
  </si>
  <si>
    <t>TR235JN117ALMW</t>
  </si>
  <si>
    <t>TR235JN117</t>
  </si>
  <si>
    <t>TR235JN119MISW</t>
  </si>
  <si>
    <t>TR235JN119</t>
  </si>
  <si>
    <t>TR235JN129ANC</t>
  </si>
  <si>
    <t>TR235JN129</t>
  </si>
  <si>
    <t>TR236HD18MSG1</t>
  </si>
  <si>
    <t>TR236HD30BLK</t>
  </si>
  <si>
    <t>TR236HD30</t>
  </si>
  <si>
    <t>TR236HD30FIA</t>
  </si>
  <si>
    <t>TR236JN102ALM1</t>
  </si>
  <si>
    <t>TR236JN104DDW1</t>
  </si>
  <si>
    <t>TR236JN120BLK</t>
  </si>
  <si>
    <t>TR236JN120</t>
  </si>
  <si>
    <t>SINGLE END SKINNY</t>
  </si>
  <si>
    <t>TR236JN140BIG</t>
  </si>
  <si>
    <t>TR236JN140</t>
  </si>
  <si>
    <t>PINK SINGLE END</t>
  </si>
  <si>
    <t>BIG</t>
  </si>
  <si>
    <t>BIG BIG HOUSE BLUE</t>
  </si>
  <si>
    <t>TR236JN142AZR1</t>
  </si>
  <si>
    <t>TR236JN142</t>
  </si>
  <si>
    <t>CORAL SINGLE END</t>
  </si>
  <si>
    <t>AZR1</t>
  </si>
  <si>
    <t>AZR1 AZURE</t>
  </si>
  <si>
    <t>TR236JN143SSN</t>
  </si>
  <si>
    <t>TR236JN143</t>
  </si>
  <si>
    <t>NATURAL BIG T</t>
  </si>
  <si>
    <t>TR236JN144FED</t>
  </si>
  <si>
    <t>TR236JN144</t>
  </si>
  <si>
    <t>FED</t>
  </si>
  <si>
    <t>FED FEDERAL BL ACID W</t>
  </si>
  <si>
    <t>TR236JN145LOS</t>
  </si>
  <si>
    <t>TR236JN145</t>
  </si>
  <si>
    <t>SOFT PINK SINGLE END</t>
  </si>
  <si>
    <t>TR236JN146BCS</t>
  </si>
  <si>
    <t>TR236JN99MIW</t>
  </si>
  <si>
    <t>TR236LG05ASH</t>
  </si>
  <si>
    <t>TR236LG06BUF</t>
  </si>
  <si>
    <t>TR236LG08FIA</t>
  </si>
  <si>
    <t>TR236LG08</t>
  </si>
  <si>
    <t>STARLET SINGLE END</t>
  </si>
  <si>
    <t>TR236SK20MNE</t>
  </si>
  <si>
    <t>TR236SP20MSG1</t>
  </si>
  <si>
    <t>TR236ST18POU</t>
  </si>
  <si>
    <t>TR236ST38MNE</t>
  </si>
  <si>
    <t>TR236ST38</t>
  </si>
  <si>
    <t>LS RAGLAN SET</t>
  </si>
  <si>
    <t>TR236TE155HGY</t>
  </si>
  <si>
    <t>TR236TE155</t>
  </si>
  <si>
    <t>CROSSWORD TEE</t>
  </si>
  <si>
    <t>TR236TE156WHT</t>
  </si>
  <si>
    <t>TR236TE157HGY</t>
  </si>
  <si>
    <t>TR236TE157</t>
  </si>
  <si>
    <t>HELLO TEE</t>
  </si>
  <si>
    <t>TR236TE157SFK</t>
  </si>
  <si>
    <t>SFK</t>
  </si>
  <si>
    <t>SFK SOFT PINK</t>
  </si>
  <si>
    <t>TR236TE161SFK</t>
  </si>
  <si>
    <t>TR236TE161</t>
  </si>
  <si>
    <t>PEACE AND LOVE</t>
  </si>
  <si>
    <t>TR236TE161WHT</t>
  </si>
  <si>
    <t>TR236TE162SFK</t>
  </si>
  <si>
    <t>TR236TE162</t>
  </si>
  <si>
    <t>FREE SPRIT TEE</t>
  </si>
  <si>
    <t>TR236TE162WHT</t>
  </si>
  <si>
    <t>TR236TE174FIA</t>
  </si>
  <si>
    <t>TR236TE174WHT</t>
  </si>
  <si>
    <t>TR246HD22HGY</t>
  </si>
  <si>
    <t>TR246HD22</t>
  </si>
  <si>
    <t>TR STAR HOODIE</t>
  </si>
  <si>
    <t>TR246HD22MER</t>
  </si>
  <si>
    <t>MER</t>
  </si>
  <si>
    <t>MER MERLOT</t>
  </si>
  <si>
    <t>TR246HD33IND</t>
  </si>
  <si>
    <t>TR246HD33</t>
  </si>
  <si>
    <t>TR246HD34BLK</t>
  </si>
  <si>
    <t>TR246HD34</t>
  </si>
  <si>
    <t>HOODY FLEECE</t>
  </si>
  <si>
    <t>TR246HD34HGY</t>
  </si>
  <si>
    <t>TR246HD35BLK</t>
  </si>
  <si>
    <t>TR246HD35</t>
  </si>
  <si>
    <t>SPORTY HOODIE</t>
  </si>
  <si>
    <t>TR246JK20SLV</t>
  </si>
  <si>
    <t>TR246JK20</t>
  </si>
  <si>
    <t>SLV</t>
  </si>
  <si>
    <t>SLV SILVER</t>
  </si>
  <si>
    <t>TR246JN126MTQ</t>
  </si>
  <si>
    <t>TR246JN126</t>
  </si>
  <si>
    <t>BORDEAUX BIG T</t>
  </si>
  <si>
    <t>MTQ</t>
  </si>
  <si>
    <t>MTQ MISTIQUE</t>
  </si>
  <si>
    <t>TR246JN162TDR</t>
  </si>
  <si>
    <t>TR246JN162</t>
  </si>
  <si>
    <t>COMBO SUPER T</t>
  </si>
  <si>
    <t>TDR</t>
  </si>
  <si>
    <t>TDR TEAR DROP</t>
  </si>
  <si>
    <t>TR246JN163SDH</t>
  </si>
  <si>
    <t>TR246JN163</t>
  </si>
  <si>
    <t>CASEY DOODLE JEAN</t>
  </si>
  <si>
    <t>SDH</t>
  </si>
  <si>
    <t>SDH SUPERSHREDDED</t>
  </si>
  <si>
    <t>TR246JN186ALMW</t>
  </si>
  <si>
    <t>TR246JN186</t>
  </si>
  <si>
    <t>TR246JN206BLK</t>
  </si>
  <si>
    <t>TR246JN206</t>
  </si>
  <si>
    <t>CASEY OVERDYE</t>
  </si>
  <si>
    <t>TR246JN208TAP</t>
  </si>
  <si>
    <t>TR246JN208</t>
  </si>
  <si>
    <t>SINGLE END JEAN</t>
  </si>
  <si>
    <t>TAP</t>
  </si>
  <si>
    <t>TAP TAPESTRY</t>
  </si>
  <si>
    <t>TR246JN210HSK1</t>
  </si>
  <si>
    <t>TR246JN210</t>
  </si>
  <si>
    <t>HSK1</t>
  </si>
  <si>
    <t>HSK1 HEATHER SKY</t>
  </si>
  <si>
    <t>TR246LG09BLK</t>
  </si>
  <si>
    <t>TR246LG09</t>
  </si>
  <si>
    <t>TR246LG09POL</t>
  </si>
  <si>
    <t>POL</t>
  </si>
  <si>
    <t>POL POOL</t>
  </si>
  <si>
    <t>TR246LG11LEX</t>
  </si>
  <si>
    <t>TR246LG11</t>
  </si>
  <si>
    <t>CASEY LEGGING</t>
  </si>
  <si>
    <t>TR246LK38HGY</t>
  </si>
  <si>
    <t>TR246LK38</t>
  </si>
  <si>
    <t>GLITTER BRANDED</t>
  </si>
  <si>
    <t>TR246LK41HGY</t>
  </si>
  <si>
    <t>TR246LK41</t>
  </si>
  <si>
    <t>BRANDED TUNIC</t>
  </si>
  <si>
    <t>TR246LK43HGY</t>
  </si>
  <si>
    <t>TR246LK43</t>
  </si>
  <si>
    <t>GRAFFITI PULLOVER</t>
  </si>
  <si>
    <t>TR246LK45SFK</t>
  </si>
  <si>
    <t>TR246LK45</t>
  </si>
  <si>
    <t>TR VARSITY RAGLAN TEE</t>
  </si>
  <si>
    <t>TR246SK26HGY</t>
  </si>
  <si>
    <t>TR246SK26</t>
  </si>
  <si>
    <t>SPORTY DRAPED SS TEE</t>
  </si>
  <si>
    <t>TR246SK27AUB</t>
  </si>
  <si>
    <t>TR246SK27</t>
  </si>
  <si>
    <t>WAVY BRANDED SS TEE</t>
  </si>
  <si>
    <t>AUB</t>
  </si>
  <si>
    <t>AUB AUBERGINE</t>
  </si>
  <si>
    <t>TR246SK28WHT</t>
  </si>
  <si>
    <t>TR246SK28</t>
  </si>
  <si>
    <t>BUDDHA FACE TEE</t>
  </si>
  <si>
    <t>TR246SK29FIA</t>
  </si>
  <si>
    <t>TR246SK29</t>
  </si>
  <si>
    <t>DOODLE DOLMAN TEE</t>
  </si>
  <si>
    <t>TR246SK30PPK</t>
  </si>
  <si>
    <t>TR246SK30</t>
  </si>
  <si>
    <t>GLITTER STRIPE</t>
  </si>
  <si>
    <t>PPK</t>
  </si>
  <si>
    <t>PPK PRISM PINK</t>
  </si>
  <si>
    <t>TR246SP28HGY</t>
  </si>
  <si>
    <t>TR246SP28</t>
  </si>
  <si>
    <t>TR STAR SWEATPANT</t>
  </si>
  <si>
    <t>TR246SP28MER</t>
  </si>
  <si>
    <t>TR246SP43IND</t>
  </si>
  <si>
    <t>TR246SP43</t>
  </si>
  <si>
    <t>TR246SP44BLK</t>
  </si>
  <si>
    <t>TR246SP44</t>
  </si>
  <si>
    <t>FLEECE SWEATPANT</t>
  </si>
  <si>
    <t>TR246SP44HGY</t>
  </si>
  <si>
    <t>TR246SP45BLK</t>
  </si>
  <si>
    <t>TR246SP45</t>
  </si>
  <si>
    <t>SPORTY SWEATPANT</t>
  </si>
  <si>
    <t>TR246ST28ARW</t>
  </si>
  <si>
    <t>TR246ST28</t>
  </si>
  <si>
    <t>3 PC SET</t>
  </si>
  <si>
    <t>TR246ST32FIA</t>
  </si>
  <si>
    <t>TR246ST32</t>
  </si>
  <si>
    <t>LIPS AND STARS SET</t>
  </si>
  <si>
    <t>TR246ST42SFK</t>
  </si>
  <si>
    <t>TR246ST42</t>
  </si>
  <si>
    <t>TR HOODIE SET</t>
  </si>
  <si>
    <t>TR246ST44WHT</t>
  </si>
  <si>
    <t>TR246ST44</t>
  </si>
  <si>
    <t>IHEART TEE BOX SET</t>
  </si>
  <si>
    <t>TR246ST46SFK</t>
  </si>
  <si>
    <t>TR246ST46</t>
  </si>
  <si>
    <t>BUDDHA TEE BOX SET</t>
  </si>
  <si>
    <t>TR246ST48BBLK</t>
  </si>
  <si>
    <t>TR246ST48B</t>
  </si>
  <si>
    <t>TR246ST65IND</t>
  </si>
  <si>
    <t>TR246ST65</t>
  </si>
  <si>
    <t>INDIGO HOODY SET</t>
  </si>
  <si>
    <t>TR246TE137MER</t>
  </si>
  <si>
    <t>TR246TE137</t>
  </si>
  <si>
    <t>BUDDHA STAR TEE</t>
  </si>
  <si>
    <t>TR246TE137OAH</t>
  </si>
  <si>
    <t>TR246TE138OAH</t>
  </si>
  <si>
    <t>TR246TE138</t>
  </si>
  <si>
    <t>TR STAR RAGLAN TEE</t>
  </si>
  <si>
    <t>TR246TE139SFK</t>
  </si>
  <si>
    <t>TR246TE139</t>
  </si>
  <si>
    <t>TR LOGO TEE</t>
  </si>
  <si>
    <t>TR246TE140SLI</t>
  </si>
  <si>
    <t>TR246TE140</t>
  </si>
  <si>
    <t>WILD AT HEART TEE</t>
  </si>
  <si>
    <t>SLI</t>
  </si>
  <si>
    <t>SLI SWEET LILAC</t>
  </si>
  <si>
    <t>TR246TE141SLI</t>
  </si>
  <si>
    <t>TR246TE141</t>
  </si>
  <si>
    <t>TR246TE142WHT</t>
  </si>
  <si>
    <t>TR246TE142</t>
  </si>
  <si>
    <t>I HEART TR TEE</t>
  </si>
  <si>
    <t>TR246TE144SFK</t>
  </si>
  <si>
    <t>TR246TE144</t>
  </si>
  <si>
    <t>TR246TE175WHT</t>
  </si>
  <si>
    <t>TR246TE175</t>
  </si>
  <si>
    <t>TR GIRLY STARS TEE</t>
  </si>
  <si>
    <t>TR246TE176BLK</t>
  </si>
  <si>
    <t>TR246TE176</t>
  </si>
  <si>
    <t>CORE BRANDED LOGO TEE</t>
  </si>
  <si>
    <t>TR246TE176FIA</t>
  </si>
  <si>
    <t>TR246TE176HGY</t>
  </si>
  <si>
    <t>TR246TE176MER</t>
  </si>
  <si>
    <t>TR246TE176WHT</t>
  </si>
  <si>
    <t>TR246TE178BLK</t>
  </si>
  <si>
    <t>TR246TE178</t>
  </si>
  <si>
    <t>CORE BUDDHA TEE</t>
  </si>
  <si>
    <t>TR315HD11WPK</t>
  </si>
  <si>
    <t>TR315JN110WHA</t>
  </si>
  <si>
    <t>TR315JN118LEX</t>
  </si>
  <si>
    <t>TR315JN94OCN</t>
  </si>
  <si>
    <t>TR315JN96LBB</t>
  </si>
  <si>
    <t>TR315SK44WHT</t>
  </si>
  <si>
    <t>TR315SK46BGV</t>
  </si>
  <si>
    <t>TR315SK46CRM</t>
  </si>
  <si>
    <t>TR315SK57BGV</t>
  </si>
  <si>
    <t>TR315SK57WHT</t>
  </si>
  <si>
    <t>TR315SP12WPK</t>
  </si>
  <si>
    <t>TR315TE79WHT</t>
  </si>
  <si>
    <t>TR315VS03WHA</t>
  </si>
  <si>
    <t>TR334JN002ATL</t>
  </si>
  <si>
    <t>TR334JN002AVT</t>
  </si>
  <si>
    <t>TR334JN002BSP</t>
  </si>
  <si>
    <t>TR334JN0151001</t>
  </si>
  <si>
    <t>TR334JN0153540</t>
  </si>
  <si>
    <t>TR334JN0156024</t>
  </si>
  <si>
    <t>TR334JN0156413</t>
  </si>
  <si>
    <t>TR334JN02166A</t>
  </si>
  <si>
    <t>TR334JN021BLB</t>
  </si>
  <si>
    <t>TR334JN08ANC</t>
  </si>
  <si>
    <t>TR334P0042054</t>
  </si>
  <si>
    <t>TR334SK011001</t>
  </si>
  <si>
    <t>TR334SK026413</t>
  </si>
  <si>
    <t>TR334SK032707</t>
  </si>
  <si>
    <t>TR334SK0391501</t>
  </si>
  <si>
    <t>TR334SK0392707</t>
  </si>
  <si>
    <t>TR334SK041800</t>
  </si>
  <si>
    <t>TR334SK316202</t>
  </si>
  <si>
    <t>TR354JN0024745</t>
  </si>
  <si>
    <t>TR354JN002ABT</t>
  </si>
  <si>
    <t>TR354JN003ABT</t>
  </si>
  <si>
    <t>TR354JN003ANF</t>
  </si>
  <si>
    <t>TR354JN004ANC</t>
  </si>
  <si>
    <t>TR354JN0051104</t>
  </si>
  <si>
    <t>TR354JN08ANC</t>
  </si>
  <si>
    <t>TR354SR001ADB</t>
  </si>
  <si>
    <t>TR415HD14HGY</t>
  </si>
  <si>
    <t>TR415HD15LBT</t>
  </si>
  <si>
    <t>TR415JN121SNB</t>
  </si>
  <si>
    <t>TR415JN122RCB</t>
  </si>
  <si>
    <t>TR415JN124SVN</t>
  </si>
  <si>
    <t>TR415JN165TRR</t>
  </si>
  <si>
    <t>TR415JN166PBL1</t>
  </si>
  <si>
    <t>TR415JN190SFW</t>
  </si>
  <si>
    <t>TR415JN191SFW</t>
  </si>
  <si>
    <t>TR415JN83TUS</t>
  </si>
  <si>
    <t>TR415LW18SNB</t>
  </si>
  <si>
    <t>TR415P22VIN</t>
  </si>
  <si>
    <t>TR415SK58TRR</t>
  </si>
  <si>
    <t>TR415SK58WHT</t>
  </si>
  <si>
    <t>TR415SP07IND</t>
  </si>
  <si>
    <t>TR415SP10LBT</t>
  </si>
  <si>
    <t>TR415TE117BLK</t>
  </si>
  <si>
    <t>TR415TE117WHT</t>
  </si>
  <si>
    <t>TR415TE67TRR</t>
  </si>
  <si>
    <t>TR415TE68VBE</t>
  </si>
  <si>
    <t>TR415TE70BTE</t>
  </si>
  <si>
    <t>TR415TE70ONX</t>
  </si>
  <si>
    <t>TR415TE80MDN</t>
  </si>
  <si>
    <t>TR415TE80TRR</t>
  </si>
  <si>
    <t>TR415TE89BLU</t>
  </si>
  <si>
    <t>TR415TE89BTE</t>
  </si>
  <si>
    <t>TR415VS04RCB</t>
  </si>
  <si>
    <t>TR415WB13TRR</t>
  </si>
  <si>
    <t>TR434HD052OAH</t>
  </si>
  <si>
    <t>TR434JN0082375</t>
  </si>
  <si>
    <t>TR434JN0089614</t>
  </si>
  <si>
    <t>TR434JN0423F</t>
  </si>
  <si>
    <t>TR434JN04ACM</t>
  </si>
  <si>
    <t>TR434JN048BLP1</t>
  </si>
  <si>
    <t>TR434JN055DNB</t>
  </si>
  <si>
    <t>TR434JN056BBK</t>
  </si>
  <si>
    <t>TR434JN057ABL1</t>
  </si>
  <si>
    <t>TR434JN057ANL1</t>
  </si>
  <si>
    <t>TR434JN07ALT</t>
  </si>
  <si>
    <t>TR434JN321001</t>
  </si>
  <si>
    <t>TR434LK622686</t>
  </si>
  <si>
    <t>TR434LK766492</t>
  </si>
  <si>
    <t>TR434LK771001</t>
  </si>
  <si>
    <t>TR434P0513534</t>
  </si>
  <si>
    <t>TR434TE171800</t>
  </si>
  <si>
    <t>TR434TE189614</t>
  </si>
  <si>
    <t>TR434TE191001</t>
  </si>
  <si>
    <t>TR434TE201501</t>
  </si>
  <si>
    <t>TR434TE219614</t>
  </si>
  <si>
    <t>TR434TE631800</t>
  </si>
  <si>
    <t>TR434TE641501</t>
  </si>
  <si>
    <t>TR434TE671800</t>
  </si>
  <si>
    <t>TR434TE68ORD</t>
  </si>
  <si>
    <t>TR434TE691501</t>
  </si>
  <si>
    <t>TR434TE701800</t>
  </si>
  <si>
    <t>TR434TE711501</t>
  </si>
  <si>
    <t>TR434TE731001</t>
  </si>
  <si>
    <t>TR434TE751001</t>
  </si>
  <si>
    <t>TR434TE811800</t>
  </si>
  <si>
    <t>TR454JN008ANT</t>
  </si>
  <si>
    <t>TR454JN008ASH</t>
  </si>
  <si>
    <t>TR454JN008CBU</t>
  </si>
  <si>
    <t>TR454JN009ALT</t>
  </si>
  <si>
    <t>TR454JN010ACM</t>
  </si>
  <si>
    <t>TR454JN0114101</t>
  </si>
  <si>
    <t>TR454JN011BNT</t>
  </si>
  <si>
    <t>TR454JN04ACM</t>
  </si>
  <si>
    <t>TR454P007ANE</t>
  </si>
  <si>
    <t>TR454SR006ARB</t>
  </si>
  <si>
    <t>TR515HD11WPK</t>
  </si>
  <si>
    <t>TR515JN110WHA</t>
  </si>
  <si>
    <t>TR515JN118LEX</t>
  </si>
  <si>
    <t>TR515JN94OCN</t>
  </si>
  <si>
    <t>TR515JN96LBB</t>
  </si>
  <si>
    <t>TR515SK44WHT</t>
  </si>
  <si>
    <t>TR515SK46BGV</t>
  </si>
  <si>
    <t>TR515SK46CRM</t>
  </si>
  <si>
    <t>TR515SK57BGV</t>
  </si>
  <si>
    <t>TR515SK57WHT</t>
  </si>
  <si>
    <t>TR515SP12WPK</t>
  </si>
  <si>
    <t>TR515TE79WHT</t>
  </si>
  <si>
    <t>TR515VS03WHA</t>
  </si>
  <si>
    <t>TR534JN002ATL</t>
  </si>
  <si>
    <t>TR534JN002AVT</t>
  </si>
  <si>
    <t>TR534JN002BSP</t>
  </si>
  <si>
    <t>TR534JN0151001</t>
  </si>
  <si>
    <t>TR534JN0153540</t>
  </si>
  <si>
    <t>TR534JN0156024</t>
  </si>
  <si>
    <t>TR534JN0156413</t>
  </si>
  <si>
    <t>TR534JN02166A</t>
  </si>
  <si>
    <t>TR534JN021BLB</t>
  </si>
  <si>
    <t>TR534JN08ANC</t>
  </si>
  <si>
    <t>TR534P0042054</t>
  </si>
  <si>
    <t>TR534SK011001</t>
  </si>
  <si>
    <t>TR534SK026413</t>
  </si>
  <si>
    <t>TR534SK032707</t>
  </si>
  <si>
    <t>TR534SK0391501</t>
  </si>
  <si>
    <t>TR534SK0392707</t>
  </si>
  <si>
    <t>TR534SK041800</t>
  </si>
  <si>
    <t>TR534SK316202</t>
  </si>
  <si>
    <t>TR554JN0024745</t>
  </si>
  <si>
    <t>TR554JN002ABT</t>
  </si>
  <si>
    <t>TR554JN003ABT</t>
  </si>
  <si>
    <t>TR554JN003ANF</t>
  </si>
  <si>
    <t>TR554JN004ANC</t>
  </si>
  <si>
    <t>TR554JN0051104</t>
  </si>
  <si>
    <t>TR554JN08ANC</t>
  </si>
  <si>
    <t>TR554SR001ADB</t>
  </si>
  <si>
    <t>TR615HD14HGY</t>
  </si>
  <si>
    <t>TR615HD15LBT</t>
  </si>
  <si>
    <t>TR615JN121SNB</t>
  </si>
  <si>
    <t>TR615JN122RCB</t>
  </si>
  <si>
    <t>TR615JN124SVN</t>
  </si>
  <si>
    <t>TR615JN165TRR</t>
  </si>
  <si>
    <t>TR615JN166PBL1</t>
  </si>
  <si>
    <t>TR615JN190SFW</t>
  </si>
  <si>
    <t>TR615JN191SFW</t>
  </si>
  <si>
    <t>TR615JN83TUS</t>
  </si>
  <si>
    <t>TR615LW18SNB</t>
  </si>
  <si>
    <t>TR615P22VIN</t>
  </si>
  <si>
    <t>TR615SK58TRR</t>
  </si>
  <si>
    <t>TR615SK58WHT</t>
  </si>
  <si>
    <t>TR615SP07IND</t>
  </si>
  <si>
    <t>TR615SP10LBT</t>
  </si>
  <si>
    <t>TR615TE117BLK</t>
  </si>
  <si>
    <t>TR615TE117WHT</t>
  </si>
  <si>
    <t>TR615TE67TRR</t>
  </si>
  <si>
    <t>TR615TE68VBE</t>
  </si>
  <si>
    <t>TR615TE70BTE</t>
  </si>
  <si>
    <t>TR615TE70ONX</t>
  </si>
  <si>
    <t>TR615TE80MDN</t>
  </si>
  <si>
    <t>TR615TE80TRR</t>
  </si>
  <si>
    <t>TR615TE89BLU</t>
  </si>
  <si>
    <t>TR615TE89BTE</t>
  </si>
  <si>
    <t>TR615VS04RCB</t>
  </si>
  <si>
    <t>TR615WB13TRR</t>
  </si>
  <si>
    <t>TR626JK08GLS</t>
  </si>
  <si>
    <t>TR626JK08</t>
  </si>
  <si>
    <t>PATCHED CRP JACKET</t>
  </si>
  <si>
    <t>TR626TE41CLR</t>
  </si>
  <si>
    <t>TR626TE41</t>
  </si>
  <si>
    <t>TR634HD052OAH</t>
  </si>
  <si>
    <t>TR634JN0082375</t>
  </si>
  <si>
    <t>TR634JN0089614</t>
  </si>
  <si>
    <t>TR634JN04ACM</t>
  </si>
  <si>
    <t>TR634JN048BLP1</t>
  </si>
  <si>
    <t>TR634JN055DNB</t>
  </si>
  <si>
    <t>TR634JN056BBK</t>
  </si>
  <si>
    <t>TR634JN057ABL1</t>
  </si>
  <si>
    <t>TR634JN07ALT</t>
  </si>
  <si>
    <t>TR634JN321001</t>
  </si>
  <si>
    <t>TR634LK622686</t>
  </si>
  <si>
    <t>TR634LK766492</t>
  </si>
  <si>
    <t>TR634LK771001</t>
  </si>
  <si>
    <t>TR634P0513534</t>
  </si>
  <si>
    <t>TR634TE171800</t>
  </si>
  <si>
    <t>TR634TE189614</t>
  </si>
  <si>
    <t>TR634TE191001</t>
  </si>
  <si>
    <t>TR634TE201501</t>
  </si>
  <si>
    <t>TR634TE219614</t>
  </si>
  <si>
    <t>TR634TE631800</t>
  </si>
  <si>
    <t>TR634TE641501</t>
  </si>
  <si>
    <t>TR634TE671800</t>
  </si>
  <si>
    <t>TR634TE68ORD</t>
  </si>
  <si>
    <t>TR634TE691501</t>
  </si>
  <si>
    <t>TR634TE701800</t>
  </si>
  <si>
    <t>TR634TE711501</t>
  </si>
  <si>
    <t>TR634TE731001</t>
  </si>
  <si>
    <t>TR634TE751001</t>
  </si>
  <si>
    <t>TR634TE811800</t>
  </si>
  <si>
    <t>TR645HD08BLK</t>
  </si>
  <si>
    <t>TR645JK06STT</t>
  </si>
  <si>
    <t>TR645JN149BLK</t>
  </si>
  <si>
    <t>TR645JN149IRY1</t>
  </si>
  <si>
    <t>TR645JN149PWD</t>
  </si>
  <si>
    <t>TR645JN149RNS</t>
  </si>
  <si>
    <t>TR645JN150MGB</t>
  </si>
  <si>
    <t>TR645JN151LBL</t>
  </si>
  <si>
    <t>TR645JN157NRL</t>
  </si>
  <si>
    <t>TR645LK26FIA</t>
  </si>
  <si>
    <t>TR645LK27SNL</t>
  </si>
  <si>
    <t>TR645LK28BLK</t>
  </si>
  <si>
    <t>TR645LK29BLK</t>
  </si>
  <si>
    <t>TR645LK31HGY</t>
  </si>
  <si>
    <t>TR645SP23BLK</t>
  </si>
  <si>
    <t>TR645SP41RSE</t>
  </si>
  <si>
    <t>TR645TE37BLK</t>
  </si>
  <si>
    <t>TR645TE37NPK</t>
  </si>
  <si>
    <t>TR645TE37WPK</t>
  </si>
  <si>
    <t>TR645TE88BLK</t>
  </si>
  <si>
    <t>TR645TE93WHT</t>
  </si>
  <si>
    <t>TR654JN008ANT</t>
  </si>
  <si>
    <t>TR654JN008ASH</t>
  </si>
  <si>
    <t>TR654JN008CBU</t>
  </si>
  <si>
    <t>TR654JN009ALT</t>
  </si>
  <si>
    <t>TR654JN010ACM</t>
  </si>
  <si>
    <t>TR654JN0114101</t>
  </si>
  <si>
    <t>TR654JN011BNT</t>
  </si>
  <si>
    <t>TR654JN04ACM</t>
  </si>
  <si>
    <t>TR654P007ANE</t>
  </si>
  <si>
    <t>TR654SR006ARB</t>
  </si>
  <si>
    <t>TR715HD11WPK</t>
  </si>
  <si>
    <t>TR715JN110WHA</t>
  </si>
  <si>
    <t>TR715JN118LEX</t>
  </si>
  <si>
    <t>TR715JN94OCN</t>
  </si>
  <si>
    <t>TR715JN96LBB</t>
  </si>
  <si>
    <t>TR715SK44WHT</t>
  </si>
  <si>
    <t>TR715SK46BGV</t>
  </si>
  <si>
    <t>TR715SK46CRM</t>
  </si>
  <si>
    <t>TR715SK57BGV</t>
  </si>
  <si>
    <t>TR715SK57WHT</t>
  </si>
  <si>
    <t>TR715SP12WPK</t>
  </si>
  <si>
    <t>TR715TE79WHT</t>
  </si>
  <si>
    <t>TR715VS03WHA</t>
  </si>
  <si>
    <t>TR716HD09BRW</t>
  </si>
  <si>
    <t>TR716HD09</t>
  </si>
  <si>
    <t>FT CORE HOOK UP</t>
  </si>
  <si>
    <t>TR716SP12BRW</t>
  </si>
  <si>
    <t>TR716SP12</t>
  </si>
  <si>
    <t>FT SWEATPANT</t>
  </si>
  <si>
    <t>TR726HD13MDN</t>
  </si>
  <si>
    <t>TR726HD13</t>
  </si>
  <si>
    <t>BOYS FT CORE HOOK UP</t>
  </si>
  <si>
    <t>TR726JN75VBL</t>
  </si>
  <si>
    <t>TR726JN75</t>
  </si>
  <si>
    <t>TR726KS15MDN</t>
  </si>
  <si>
    <t>TR726KS15</t>
  </si>
  <si>
    <t>TR726SH64SAB</t>
  </si>
  <si>
    <t>TR726SH64</t>
  </si>
  <si>
    <t>FASHION RICKY ROLL UP</t>
  </si>
  <si>
    <t>TR726TE99HGY</t>
  </si>
  <si>
    <t>TR726TE99</t>
  </si>
  <si>
    <t>BOYS TIGER TEE</t>
  </si>
  <si>
    <t>TR726VS03DRC</t>
  </si>
  <si>
    <t>TR726VS03</t>
  </si>
  <si>
    <t>BOYS DYLAN VEST</t>
  </si>
  <si>
    <t>TR726WB16TRR</t>
  </si>
  <si>
    <t>TR726WB16</t>
  </si>
  <si>
    <t>BOYS CARGO RUNNER</t>
  </si>
  <si>
    <t>TR734JN002ATL</t>
  </si>
  <si>
    <t>TR734JN002AVT</t>
  </si>
  <si>
    <t>TR734JN002BSP</t>
  </si>
  <si>
    <t>TR734JN0151001</t>
  </si>
  <si>
    <t>TR734JN0153540</t>
  </si>
  <si>
    <t>TR734JN0156024</t>
  </si>
  <si>
    <t>TR734JN0156413</t>
  </si>
  <si>
    <t>TR734JN02166A</t>
  </si>
  <si>
    <t>TR734JN021ASH</t>
  </si>
  <si>
    <t>TR734JN021BLB</t>
  </si>
  <si>
    <t>TR734JN08ANC</t>
  </si>
  <si>
    <t>TR734P0042054</t>
  </si>
  <si>
    <t>TR734SK011001</t>
  </si>
  <si>
    <t>TR734SK026413</t>
  </si>
  <si>
    <t>TR734SK032707</t>
  </si>
  <si>
    <t>TR734SK0391501</t>
  </si>
  <si>
    <t>TR734SK0392707</t>
  </si>
  <si>
    <t>TR734SK041800</t>
  </si>
  <si>
    <t>TR734SK316202</t>
  </si>
  <si>
    <t>TR735TE39MAT</t>
  </si>
  <si>
    <t>TR735TE39WHT</t>
  </si>
  <si>
    <t>TR736TE39BLK</t>
  </si>
  <si>
    <t>TR736TE39</t>
  </si>
  <si>
    <t>TR736TE39HGY</t>
  </si>
  <si>
    <t>TR736TE39MDN</t>
  </si>
  <si>
    <t>TR736TE39RED</t>
  </si>
  <si>
    <t>TR736TE39TRR</t>
  </si>
  <si>
    <t>TR745HD21GCA</t>
  </si>
  <si>
    <t>TR745JK02CHI</t>
  </si>
  <si>
    <t>TR745JK08MTG</t>
  </si>
  <si>
    <t>TR745JK09MIW</t>
  </si>
  <si>
    <t>TR745JN131BLK</t>
  </si>
  <si>
    <t>TR745JN132GCA</t>
  </si>
  <si>
    <t>TR745JN133AQM2</t>
  </si>
  <si>
    <t>TR745JN134WAR</t>
  </si>
  <si>
    <t>TR745JN137ELB</t>
  </si>
  <si>
    <t>TR745JN141HNA</t>
  </si>
  <si>
    <t>TR745JN142CCR</t>
  </si>
  <si>
    <t>TR745JN143VKY</t>
  </si>
  <si>
    <t>TR745JN162CHI</t>
  </si>
  <si>
    <t>TR745JN164MTG</t>
  </si>
  <si>
    <t>TR745JN168GRR</t>
  </si>
  <si>
    <t>TR745LK20HGY</t>
  </si>
  <si>
    <t>TR745LK21R03</t>
  </si>
  <si>
    <t>TR745LK22WHT</t>
  </si>
  <si>
    <t>TR745LK24HGY</t>
  </si>
  <si>
    <t>TR745LK32IND</t>
  </si>
  <si>
    <t>TR745LK36BLK</t>
  </si>
  <si>
    <t>TR745LK37MDN</t>
  </si>
  <si>
    <t>TR745LK42HGY</t>
  </si>
  <si>
    <t>TR745LW07IBL1</t>
  </si>
  <si>
    <t>TR745SP10IND</t>
  </si>
  <si>
    <t>TR745SP32GCA</t>
  </si>
  <si>
    <t>TR745SP33BLK</t>
  </si>
  <si>
    <t>TR745SP38HGY</t>
  </si>
  <si>
    <t>TR745SP38</t>
  </si>
  <si>
    <t>TR745SP40HGY</t>
  </si>
  <si>
    <t>TR745SP42MIW</t>
  </si>
  <si>
    <t>TR745TE77HGY</t>
  </si>
  <si>
    <t>TR745TE78IBL1</t>
  </si>
  <si>
    <t>TR745TE79BLK</t>
  </si>
  <si>
    <t>TR745TE80WHT</t>
  </si>
  <si>
    <t>TR745TE83WHT</t>
  </si>
  <si>
    <t>TR745TE84HGY</t>
  </si>
  <si>
    <t>TR745TE91CHA</t>
  </si>
  <si>
    <t>TR745TE91TWP</t>
  </si>
  <si>
    <t>TR745TE94MDN</t>
  </si>
  <si>
    <t>TR754JN0024745</t>
  </si>
  <si>
    <t>TR754JN002ABT</t>
  </si>
  <si>
    <t>TR754JN003ABT</t>
  </si>
  <si>
    <t>TR754JN003ANF</t>
  </si>
  <si>
    <t>TR754JN004ANC</t>
  </si>
  <si>
    <t>TR754JN0051104</t>
  </si>
  <si>
    <t>TR754JN08ANC</t>
  </si>
  <si>
    <t>TR754SR001ADB</t>
  </si>
  <si>
    <t>TR815HD14HGY</t>
  </si>
  <si>
    <t>TR815HD15LBT</t>
  </si>
  <si>
    <t>TR815JN121SNB</t>
  </si>
  <si>
    <t>TR815JN122RCB</t>
  </si>
  <si>
    <t>TR815JN124SVN</t>
  </si>
  <si>
    <t>TR815JN165TRR</t>
  </si>
  <si>
    <t>TR815JN166PBL1</t>
  </si>
  <si>
    <t>TR815JN190SFW</t>
  </si>
  <si>
    <t>TR815JN191SFW</t>
  </si>
  <si>
    <t>TR815JN83TUS</t>
  </si>
  <si>
    <t>TR815LW18SNB</t>
  </si>
  <si>
    <t>TR815P22VIN</t>
  </si>
  <si>
    <t>TR815SK58TRR</t>
  </si>
  <si>
    <t>TR815SK58WHT</t>
  </si>
  <si>
    <t>TR815SP07IND</t>
  </si>
  <si>
    <t>TR815TE117BLK</t>
  </si>
  <si>
    <t>TR815TE117WHT</t>
  </si>
  <si>
    <t>TR815TE67TRR</t>
  </si>
  <si>
    <t>TR815TE68VBE</t>
  </si>
  <si>
    <t>TR815TE70BTE</t>
  </si>
  <si>
    <t>TR815TE70ONX</t>
  </si>
  <si>
    <t>TR815TE80MDN</t>
  </si>
  <si>
    <t>TR815TE80TRR</t>
  </si>
  <si>
    <t>TR815TE89BLU</t>
  </si>
  <si>
    <t>TR815TE89BTE</t>
  </si>
  <si>
    <t>TR815VS04RCB</t>
  </si>
  <si>
    <t>TR815WB13TRR</t>
  </si>
  <si>
    <t>TR826JK08GLS</t>
  </si>
  <si>
    <t>TR826JK08</t>
  </si>
  <si>
    <t>TR826LG03GLS</t>
  </si>
  <si>
    <t>TR826LG03</t>
  </si>
  <si>
    <t>CASEY FOSSIL LEGGING</t>
  </si>
  <si>
    <t>TR826SH19SGH</t>
  </si>
  <si>
    <t>TR826SH19</t>
  </si>
  <si>
    <t>AUDREY MDN S N SHORT</t>
  </si>
  <si>
    <t>TR826SK09ARW</t>
  </si>
  <si>
    <t>TR826SK09</t>
  </si>
  <si>
    <t>TR826SK10CLR</t>
  </si>
  <si>
    <t>TR826SK10</t>
  </si>
  <si>
    <t>TR826SK10MNT</t>
  </si>
  <si>
    <t>TR826SK17ARW</t>
  </si>
  <si>
    <t>TR826SK17</t>
  </si>
  <si>
    <t>RAW EDGE PULLOVER</t>
  </si>
  <si>
    <t>TR826TE103WHT</t>
  </si>
  <si>
    <t>TR826TE103</t>
  </si>
  <si>
    <t>TR BUDDHA TEE</t>
  </si>
  <si>
    <t>TR826TE41ARW</t>
  </si>
  <si>
    <t>TR826TE41</t>
  </si>
  <si>
    <t>TR826TE41CLR</t>
  </si>
  <si>
    <t>TR834HD052OAH</t>
  </si>
  <si>
    <t>TR834JN0082375</t>
  </si>
  <si>
    <t>TR834JN0089614</t>
  </si>
  <si>
    <t>TR834JN04ACM</t>
  </si>
  <si>
    <t>TR834JN048BLP1</t>
  </si>
  <si>
    <t>TR834JN055DNB</t>
  </si>
  <si>
    <t>TR834JN056BBK</t>
  </si>
  <si>
    <t>TR834JN057ABL1</t>
  </si>
  <si>
    <t>TR834JN07ALT</t>
  </si>
  <si>
    <t>TR834JN321001</t>
  </si>
  <si>
    <t>TR834LK622686</t>
  </si>
  <si>
    <t>TR834LK766492</t>
  </si>
  <si>
    <t>TR834P0513534</t>
  </si>
  <si>
    <t>TR834TE171800</t>
  </si>
  <si>
    <t>TR834TE189614</t>
  </si>
  <si>
    <t>TR834TE191001</t>
  </si>
  <si>
    <t>TR834TE201501</t>
  </si>
  <si>
    <t>TR834TE219614</t>
  </si>
  <si>
    <t>TR834TE631800</t>
  </si>
  <si>
    <t>TR834TE641501</t>
  </si>
  <si>
    <t>TR834TE671800</t>
  </si>
  <si>
    <t>TR834TE68ORD</t>
  </si>
  <si>
    <t>TR834TE691501</t>
  </si>
  <si>
    <t>TR834TE731001</t>
  </si>
  <si>
    <t>TR834TE751001</t>
  </si>
  <si>
    <t>TR845HD08BLK</t>
  </si>
  <si>
    <t>TR845HD24RSE</t>
  </si>
  <si>
    <t>TR845JK06STT</t>
  </si>
  <si>
    <t>TR845JN149BLK</t>
  </si>
  <si>
    <t>TR845JN149IRY1</t>
  </si>
  <si>
    <t>TR845JN149PWD</t>
  </si>
  <si>
    <t>TR845JN149RNS</t>
  </si>
  <si>
    <t>TR845JN150MGB</t>
  </si>
  <si>
    <t>TR845JN151LBL</t>
  </si>
  <si>
    <t>TR845JN157NRL</t>
  </si>
  <si>
    <t>TR845LK26FIA</t>
  </si>
  <si>
    <t>TR845LK27SNL</t>
  </si>
  <si>
    <t>TR845LK28BLK</t>
  </si>
  <si>
    <t>TR845LK29BLK</t>
  </si>
  <si>
    <t>TR845LK31HGY</t>
  </si>
  <si>
    <t>TR845SP23BLK</t>
  </si>
  <si>
    <t>TR845SP41RSE</t>
  </si>
  <si>
    <t>TR845TE37BLK</t>
  </si>
  <si>
    <t>TR845TE37NPK</t>
  </si>
  <si>
    <t>TR845TE37WPK</t>
  </si>
  <si>
    <t>TR845TE93WHT</t>
  </si>
  <si>
    <t>TR854JN008ANT</t>
  </si>
  <si>
    <t>TR854JN008ASH</t>
  </si>
  <si>
    <t>TR854JN008CBU</t>
  </si>
  <si>
    <t>TR854JN009ALT</t>
  </si>
  <si>
    <t>TR854JN010ACM</t>
  </si>
  <si>
    <t>TR854JN0114101</t>
  </si>
  <si>
    <t>TR854JN011BNT</t>
  </si>
  <si>
    <t>TR854JN04ACM</t>
  </si>
  <si>
    <t>TR854P007ANE</t>
  </si>
  <si>
    <t>TR854SR006ARB</t>
  </si>
  <si>
    <t>TR916HD09BRW</t>
  </si>
  <si>
    <t>TR916HD09</t>
  </si>
  <si>
    <t>TR916SP12BRW</t>
  </si>
  <si>
    <t>TR916SP12</t>
  </si>
  <si>
    <t>TR926HD13MDN</t>
  </si>
  <si>
    <t>TR926HD13</t>
  </si>
  <si>
    <t>TR926JN75VBL</t>
  </si>
  <si>
    <t>TR926JN75</t>
  </si>
  <si>
    <t>TR926JN94KNG1</t>
  </si>
  <si>
    <t>TR926JN94</t>
  </si>
  <si>
    <t>FASH GENO SINGLE END</t>
  </si>
  <si>
    <t>TR926KS15MDN</t>
  </si>
  <si>
    <t>TR926KS15</t>
  </si>
  <si>
    <t>TR926SH26HHN</t>
  </si>
  <si>
    <t>TR926SH26</t>
  </si>
  <si>
    <t>TR926TE100DEB</t>
  </si>
  <si>
    <t>TR926TE100</t>
  </si>
  <si>
    <t>BOYS BUDDHA TEE</t>
  </si>
  <si>
    <t>DEB DEEP BLUE</t>
  </si>
  <si>
    <t>TR926TE100WHT</t>
  </si>
  <si>
    <t>TR926TE104WHT</t>
  </si>
  <si>
    <t>TR926TE104</t>
  </si>
  <si>
    <t>TR MONOGRAM PRNTD TEE</t>
  </si>
  <si>
    <t>TR926TE108WHT</t>
  </si>
  <si>
    <t>TR926TE108</t>
  </si>
  <si>
    <t>BOYS BUFFALO TEE</t>
  </si>
  <si>
    <t>TR926TE112HGY</t>
  </si>
  <si>
    <t>TR926TE112</t>
  </si>
  <si>
    <t>TR926TE46WHT</t>
  </si>
  <si>
    <t>TR926TE46</t>
  </si>
  <si>
    <t>TR926TE49SUL</t>
  </si>
  <si>
    <t>TR926TE49</t>
  </si>
  <si>
    <t>COLOR BLOCK GRAPH TEE</t>
  </si>
  <si>
    <t>TR926TE59HGY</t>
  </si>
  <si>
    <t>TR926TE59</t>
  </si>
  <si>
    <t>TR926TE99HGY</t>
  </si>
  <si>
    <t>TR926TE99</t>
  </si>
  <si>
    <t>TR926WB12OLV</t>
  </si>
  <si>
    <t>TR926WB12</t>
  </si>
  <si>
    <t>OVERDYE TROOPER SHORT</t>
  </si>
  <si>
    <t>TR935TE39MAT</t>
  </si>
  <si>
    <t>TR935TE39WHT</t>
  </si>
  <si>
    <t>TR936TE39BLK</t>
  </si>
  <si>
    <t>TR936TE39</t>
  </si>
  <si>
    <t>TR936TE39HGY</t>
  </si>
  <si>
    <t>TR936TE39MDN</t>
  </si>
  <si>
    <t>TR936TE39RED</t>
  </si>
  <si>
    <t>TR936TE39TRR</t>
  </si>
  <si>
    <t>TR945HD21GCA</t>
  </si>
  <si>
    <t>TR945JK02CHI</t>
  </si>
  <si>
    <t>TR945JK08MTG</t>
  </si>
  <si>
    <t>TR945JK09MIW</t>
  </si>
  <si>
    <t>TR945JN131BLK</t>
  </si>
  <si>
    <t>TR945JN132GCA</t>
  </si>
  <si>
    <t>TR945JN133AQM2</t>
  </si>
  <si>
    <t>TR945JN134WAR</t>
  </si>
  <si>
    <t>TR945JN137ELB</t>
  </si>
  <si>
    <t>TR945JN141HNA</t>
  </si>
  <si>
    <t>TR945JN142CCR</t>
  </si>
  <si>
    <t>TR945JN143VKY</t>
  </si>
  <si>
    <t>TR945JN162CHI</t>
  </si>
  <si>
    <t>TR945JN164MTG</t>
  </si>
  <si>
    <t>TR945JN168GRR</t>
  </si>
  <si>
    <t>TR945LK20HGY</t>
  </si>
  <si>
    <t>TR945LK21R03</t>
  </si>
  <si>
    <t>TR945LK22WHT</t>
  </si>
  <si>
    <t>TR945LK24HGY</t>
  </si>
  <si>
    <t>TR945LK32IND</t>
  </si>
  <si>
    <t>TR945LK36BLK</t>
  </si>
  <si>
    <t>TR945LK37MDN</t>
  </si>
  <si>
    <t>TR945LK42HGY</t>
  </si>
  <si>
    <t>TR945LW07IBL1</t>
  </si>
  <si>
    <t>TR945SP10IND</t>
  </si>
  <si>
    <t>TR945SP32GCA</t>
  </si>
  <si>
    <t>TR945SP33BLK</t>
  </si>
  <si>
    <t>TR945SP40HGY</t>
  </si>
  <si>
    <t>TR945SP42MIW</t>
  </si>
  <si>
    <t>TR945TE77HGY</t>
  </si>
  <si>
    <t>TR945TE78IBL1</t>
  </si>
  <si>
    <t>TR945TE79BLK</t>
  </si>
  <si>
    <t>TR945TE80WHT</t>
  </si>
  <si>
    <t>TR945TE83WHT</t>
  </si>
  <si>
    <t>TR945TE84HGY</t>
  </si>
  <si>
    <t>TR945TE91CHA</t>
  </si>
  <si>
    <t>TR945TE91TWP</t>
  </si>
  <si>
    <t>TR945TE94MDN</t>
  </si>
  <si>
    <t>TREYEWR0011001</t>
  </si>
  <si>
    <t>TREYEWR001</t>
  </si>
  <si>
    <t>PILOTA SUNGLASSES</t>
  </si>
  <si>
    <t>TREYEWR0012000</t>
  </si>
  <si>
    <t>TORT</t>
  </si>
  <si>
    <t>TREYEWR0015060</t>
  </si>
  <si>
    <t>TREYEWR0017100</t>
  </si>
  <si>
    <t>24K</t>
  </si>
  <si>
    <t>TREYEWR001AZL</t>
  </si>
  <si>
    <t>AZL</t>
  </si>
  <si>
    <t>TREYEWR0021001</t>
  </si>
  <si>
    <t>TREYEWR002</t>
  </si>
  <si>
    <t>MIGLIA SUNGLASSES</t>
  </si>
  <si>
    <t>TREYEWR0022000</t>
  </si>
  <si>
    <t>TREYEWR0022001</t>
  </si>
  <si>
    <t>TOKYO TORT</t>
  </si>
  <si>
    <t>TREYEWR0023070</t>
  </si>
  <si>
    <t>BRIT GREEN</t>
  </si>
  <si>
    <t>TREYEWR0026003</t>
  </si>
  <si>
    <t>ROOTBEER</t>
  </si>
  <si>
    <t>TREYEWR0031001</t>
  </si>
  <si>
    <t>TREYEWR003</t>
  </si>
  <si>
    <t>MONTONA SUNGLASSES</t>
  </si>
  <si>
    <t>TREYEWR0031700</t>
  </si>
  <si>
    <t>TREYEWR0032000</t>
  </si>
  <si>
    <t>TREYEWR0032213</t>
  </si>
  <si>
    <t>BRONZE AGE</t>
  </si>
  <si>
    <t>TREYEWR0032602</t>
  </si>
  <si>
    <t>NORI</t>
  </si>
  <si>
    <t>TRHD0062502</t>
  </si>
  <si>
    <t>TRHD006</t>
  </si>
  <si>
    <t>PENELOPE SHOULDR BAG W FRINGES</t>
  </si>
  <si>
    <t>TRHD0072502</t>
  </si>
  <si>
    <t>TRHD007</t>
  </si>
  <si>
    <t>KATRINA CROSS BODY</t>
  </si>
  <si>
    <t>TRHD0082502</t>
  </si>
  <si>
    <t>TRHD008</t>
  </si>
  <si>
    <t>BACK PACK</t>
  </si>
  <si>
    <t>TRHD0091001</t>
  </si>
  <si>
    <t>TRHD009</t>
  </si>
  <si>
    <t>TASSEL</t>
  </si>
  <si>
    <t>TRHD0092502</t>
  </si>
  <si>
    <t>TRHD0101001</t>
  </si>
  <si>
    <t>TRHD010</t>
  </si>
  <si>
    <t>WOMENS SATCHEL BAG</t>
  </si>
  <si>
    <t>TRHD0103071</t>
  </si>
  <si>
    <t>TRHD0111001</t>
  </si>
  <si>
    <t>TRHD011</t>
  </si>
  <si>
    <t>WOMENS CLUTCH BAG</t>
  </si>
  <si>
    <t>TRHD0121001</t>
  </si>
  <si>
    <t>TRHD012</t>
  </si>
  <si>
    <t>WOMENS CROSSBODY BAG</t>
  </si>
  <si>
    <t>TRHD0131001</t>
  </si>
  <si>
    <t>TRHD013</t>
  </si>
  <si>
    <t>WOMENS BUCKET BAG</t>
  </si>
  <si>
    <t>TRM13152</t>
  </si>
  <si>
    <t>TRM1011200</t>
  </si>
  <si>
    <t>TRM1016000</t>
  </si>
  <si>
    <t>TRM1072504</t>
  </si>
  <si>
    <t>TRM21001</t>
  </si>
  <si>
    <t>TRM22000</t>
  </si>
  <si>
    <t>TRM26003</t>
  </si>
  <si>
    <t>TRM26500</t>
  </si>
  <si>
    <t>TRM31501</t>
  </si>
  <si>
    <t>TRM72000</t>
  </si>
  <si>
    <t>TRM84100</t>
  </si>
  <si>
    <t>TRMB0051001</t>
  </si>
  <si>
    <t>TRMB005</t>
  </si>
  <si>
    <t>MENS BELT W HORSESHOE BUCKLE</t>
  </si>
  <si>
    <t>TRMB0062000</t>
  </si>
  <si>
    <t>TRMB006</t>
  </si>
  <si>
    <t>STUDDED BELT</t>
  </si>
  <si>
    <t>DARK BROWN</t>
  </si>
  <si>
    <t>TRMB0081001</t>
  </si>
  <si>
    <t>TRMB008</t>
  </si>
  <si>
    <t>MENS BASIC BELT</t>
  </si>
  <si>
    <t>TRMB0082000</t>
  </si>
  <si>
    <t>TRMB0082140</t>
  </si>
  <si>
    <t>TRMM41501</t>
  </si>
  <si>
    <t>TRMUND0019602</t>
  </si>
  <si>
    <t>TRMUND001</t>
  </si>
  <si>
    <t>3 PACKS UNDERWEAR BOX</t>
  </si>
  <si>
    <t>TRMUND0021081</t>
  </si>
  <si>
    <t>TRMUND002</t>
  </si>
  <si>
    <t>2 PACKS UNDERWEAR BOX</t>
  </si>
  <si>
    <t>TRS13011001</t>
  </si>
  <si>
    <t>TRS13012140</t>
  </si>
  <si>
    <t>TRS13026844</t>
  </si>
  <si>
    <t>TRS13027000</t>
  </si>
  <si>
    <t>TRS13037000</t>
  </si>
  <si>
    <t>TRS13042351</t>
  </si>
  <si>
    <t>TRS13044000</t>
  </si>
  <si>
    <t>TRS13051200</t>
  </si>
  <si>
    <t>TRS13056000</t>
  </si>
  <si>
    <t>TRS13061001</t>
  </si>
  <si>
    <t>TRS13063000</t>
  </si>
  <si>
    <t>TRS13065301</t>
  </si>
  <si>
    <t>TRS13066000</t>
  </si>
  <si>
    <t>TRS13101001</t>
  </si>
  <si>
    <t>TRS13103251</t>
  </si>
  <si>
    <t>TRS13104000</t>
  </si>
  <si>
    <t>TRS13106000</t>
  </si>
  <si>
    <t>TRS13112351</t>
  </si>
  <si>
    <t>TRS13113251</t>
  </si>
  <si>
    <t>TRS13121001</t>
  </si>
  <si>
    <t>TRS13122000</t>
  </si>
  <si>
    <t>TRS13132140</t>
  </si>
  <si>
    <t>TRS13133251</t>
  </si>
  <si>
    <t>TRS13134000</t>
  </si>
  <si>
    <t>TRS13136285</t>
  </si>
  <si>
    <t>TRS13151001</t>
  </si>
  <si>
    <t>TRS13154000</t>
  </si>
  <si>
    <t>TRSCARF0014106</t>
  </si>
  <si>
    <t>TRSCARF001</t>
  </si>
  <si>
    <t>TIE DYE INDIGO SCARF</t>
  </si>
  <si>
    <t>TIE DYE BLEACHED</t>
  </si>
  <si>
    <t>TRSCARF0014401</t>
  </si>
  <si>
    <t>TIE DYE AQUA</t>
  </si>
  <si>
    <t>TRSCARF0014448</t>
  </si>
  <si>
    <t>TIE DYE BLEACHED AQUA</t>
  </si>
  <si>
    <t>TRSCARF0014602</t>
  </si>
  <si>
    <t>TIE DYE INDIGO</t>
  </si>
  <si>
    <t>TRSCARF0014609</t>
  </si>
  <si>
    <t>TIE DYE DK NAVY</t>
  </si>
  <si>
    <t>TRSHOE0011001</t>
  </si>
  <si>
    <t>TRSHOE001</t>
  </si>
  <si>
    <t>TR HIGHTOP LEATHER SNEAKERS</t>
  </si>
  <si>
    <t>TRSHOE0011700</t>
  </si>
  <si>
    <t>TRSHOE0016064</t>
  </si>
  <si>
    <t>TRSHOE0024143</t>
  </si>
  <si>
    <t>TRSHOE002</t>
  </si>
  <si>
    <t>TR HIGHTOP DENIM SNEAKERS</t>
  </si>
  <si>
    <t>TRSMP14311700</t>
  </si>
  <si>
    <t>TRSMP14314646</t>
  </si>
  <si>
    <t>TRSMP14316182</t>
  </si>
  <si>
    <t>TRSMP221B1700</t>
  </si>
  <si>
    <t>TRSMP221B6182</t>
  </si>
  <si>
    <t>TRSPBAG1278</t>
  </si>
  <si>
    <t>TRSPKM11200</t>
  </si>
  <si>
    <t>TRSPKM14400</t>
  </si>
  <si>
    <t>TRSPKM14643</t>
  </si>
  <si>
    <t>TRSPKM31001</t>
  </si>
  <si>
    <t>TRSPKM31200</t>
  </si>
  <si>
    <t>TRSPKM34400</t>
  </si>
  <si>
    <t>TRSPKM34643</t>
  </si>
  <si>
    <t>TRSPKM44643</t>
  </si>
  <si>
    <t>TRSPKM54643</t>
  </si>
  <si>
    <t>TRSPKW11200</t>
  </si>
  <si>
    <t>TRSPKW11368</t>
  </si>
  <si>
    <t>TRSPKW11700</t>
  </si>
  <si>
    <t>TRSPKW12500</t>
  </si>
  <si>
    <t>TRSPKW14502</t>
  </si>
  <si>
    <t>TRSPKW14677</t>
  </si>
  <si>
    <t>TRSPKW16500</t>
  </si>
  <si>
    <t>TRSPKW31368</t>
  </si>
  <si>
    <t>TRSPKW32500</t>
  </si>
  <si>
    <t>TRSPKW34100</t>
  </si>
  <si>
    <t>TRSPKW34502</t>
  </si>
  <si>
    <t>TRSPKW34643</t>
  </si>
  <si>
    <t>TRSPKW44100</t>
  </si>
  <si>
    <t>TRSPKW44643</t>
  </si>
  <si>
    <t>TRSPKW64100</t>
  </si>
  <si>
    <t>TRSPKW81700</t>
  </si>
  <si>
    <t>TRSPKW84400</t>
  </si>
  <si>
    <t>TRSPKW84502</t>
  </si>
  <si>
    <t>TRSPKW91368</t>
  </si>
  <si>
    <t>TRSPKW94502</t>
  </si>
  <si>
    <t>TRSPM1010A4193</t>
  </si>
  <si>
    <t>TRSPM10RCD1700</t>
  </si>
  <si>
    <t>TRSPM10RCD3252</t>
  </si>
  <si>
    <t>TRSPM10RCD4645</t>
  </si>
  <si>
    <t>TRSPM10RCD4646</t>
  </si>
  <si>
    <t>TRSPM111370</t>
  </si>
  <si>
    <t>TRSPM1131700</t>
  </si>
  <si>
    <t>TRSPM1133195</t>
  </si>
  <si>
    <t>TRSPM1134643</t>
  </si>
  <si>
    <t>TRSPM1136182</t>
  </si>
  <si>
    <t>TRSPM11A1B1278</t>
  </si>
  <si>
    <t>TRSPM11A1B3195</t>
  </si>
  <si>
    <t>TRSPM11A1B4643</t>
  </si>
  <si>
    <t>TRSPM11A1B4645</t>
  </si>
  <si>
    <t>TRSPM11A1B6182</t>
  </si>
  <si>
    <t>TRSPM12001368</t>
  </si>
  <si>
    <t>TRSPM12001700</t>
  </si>
  <si>
    <t>TRSPM12004644</t>
  </si>
  <si>
    <t>TRSPM12006182</t>
  </si>
  <si>
    <t>TRSPM12121368</t>
  </si>
  <si>
    <t>TRSPM12121700</t>
  </si>
  <si>
    <t>TRSPM12123195</t>
  </si>
  <si>
    <t>TRSPM12124643</t>
  </si>
  <si>
    <t>TRSPM121A1004</t>
  </si>
  <si>
    <t>TRSPM121A1368</t>
  </si>
  <si>
    <t>TRSPM121A1700</t>
  </si>
  <si>
    <t>TRSPM121A3195</t>
  </si>
  <si>
    <t>TRSPM121A4643</t>
  </si>
  <si>
    <t>TRSPM121A4645</t>
  </si>
  <si>
    <t>TRSPM121A4646</t>
  </si>
  <si>
    <t>TRSPM121A6012</t>
  </si>
  <si>
    <t>TRSPM128A1368</t>
  </si>
  <si>
    <t>TRSPM128A1700</t>
  </si>
  <si>
    <t>TRSPM128A3195</t>
  </si>
  <si>
    <t>TRSPM128A4643</t>
  </si>
  <si>
    <t>TRSPM128A4645</t>
  </si>
  <si>
    <t>TRSPM128A6182</t>
  </si>
  <si>
    <t>TRSPM128A8000</t>
  </si>
  <si>
    <t>TRSPM130F34643</t>
  </si>
  <si>
    <t>TRSPM13146182</t>
  </si>
  <si>
    <t>TRSPM13151278</t>
  </si>
  <si>
    <t>TRSPM13153195</t>
  </si>
  <si>
    <t>TRSPM13154646</t>
  </si>
  <si>
    <t>TRSPM131B1004</t>
  </si>
  <si>
    <t>TRSPM131B1924</t>
  </si>
  <si>
    <t>TRSPM131B4646</t>
  </si>
  <si>
    <t>TRSPM13251004</t>
  </si>
  <si>
    <t>TRSPM13251278</t>
  </si>
  <si>
    <t>TRSPM13251700</t>
  </si>
  <si>
    <t>TRSPM13254643</t>
  </si>
  <si>
    <t>TRSPM13256182</t>
  </si>
  <si>
    <t>TRSPM132B1700</t>
  </si>
  <si>
    <t>TRSPM132B4646</t>
  </si>
  <si>
    <t>TRSPM14111700</t>
  </si>
  <si>
    <t>TRSPM14113195</t>
  </si>
  <si>
    <t>TRSPM14114643</t>
  </si>
  <si>
    <t>TRSPM14114645</t>
  </si>
  <si>
    <t>TRSPM14116182</t>
  </si>
  <si>
    <t>TRSPM14161278</t>
  </si>
  <si>
    <t>TRSPM14161700</t>
  </si>
  <si>
    <t>TRSPM14164646</t>
  </si>
  <si>
    <t>TRSPM14166182</t>
  </si>
  <si>
    <t>TRSPM14241278</t>
  </si>
  <si>
    <t>TRSPM14241700</t>
  </si>
  <si>
    <t>TRSPM14244646</t>
  </si>
  <si>
    <t>TRSPM14246182</t>
  </si>
  <si>
    <t>TRSPM14311278</t>
  </si>
  <si>
    <t>TRSPM14314646</t>
  </si>
  <si>
    <t>TRSPM14316182</t>
  </si>
  <si>
    <t>TRSPM1510A1004</t>
  </si>
  <si>
    <t>TRSPM1510A4646</t>
  </si>
  <si>
    <t>TRSPM15RCD1368</t>
  </si>
  <si>
    <t>TRSPM15RCD1700</t>
  </si>
  <si>
    <t>TRSPM15RCD3195</t>
  </si>
  <si>
    <t>TRSPM15RCD4645</t>
  </si>
  <si>
    <t>TRSPM15RCD4646</t>
  </si>
  <si>
    <t>TRSPM15RCD7000</t>
  </si>
  <si>
    <t>TRSPM1622A1004</t>
  </si>
  <si>
    <t>TRSPM1622A6012</t>
  </si>
  <si>
    <t>TRSPM1634646</t>
  </si>
  <si>
    <t>TRSPM18A4643</t>
  </si>
  <si>
    <t>TRSPM18A4645</t>
  </si>
  <si>
    <t>TRSPM20LS1924</t>
  </si>
  <si>
    <t>TRSPM20LS4646</t>
  </si>
  <si>
    <t>TRSPM210B1278</t>
  </si>
  <si>
    <t>TRSPM221B4643</t>
  </si>
  <si>
    <t>TRSPM310A1278</t>
  </si>
  <si>
    <t>TRSPM310A4643</t>
  </si>
  <si>
    <t>TRSPM4164645</t>
  </si>
  <si>
    <t>TRSPM4244646</t>
  </si>
  <si>
    <t>TRSPM4246182</t>
  </si>
  <si>
    <t>TRSPM425B1004</t>
  </si>
  <si>
    <t>TRSPM731278</t>
  </si>
  <si>
    <t>TRSPM734645</t>
  </si>
  <si>
    <t>TRSPM910A1278</t>
  </si>
  <si>
    <t>TRSPM910A4643</t>
  </si>
  <si>
    <t>TRSPM91F14643</t>
  </si>
  <si>
    <t>TRSPM91F16182</t>
  </si>
  <si>
    <t>TRSPW10RCD1368</t>
  </si>
  <si>
    <t>TRSPW10RCD1700</t>
  </si>
  <si>
    <t>TRSPW10RCD4400</t>
  </si>
  <si>
    <t>TRSPW10RCD4644</t>
  </si>
  <si>
    <t>TRSPW10RCD4646</t>
  </si>
  <si>
    <t>TRSPW10RCD6182</t>
  </si>
  <si>
    <t>TRSPW10RCD6500</t>
  </si>
  <si>
    <t>TRSPW118A1278</t>
  </si>
  <si>
    <t>TRSPW118A1700</t>
  </si>
  <si>
    <t>TRSPW118A3195</t>
  </si>
  <si>
    <t>TRSPW118A4000</t>
  </si>
  <si>
    <t>TRSPW118A6182</t>
  </si>
  <si>
    <t>TRSPW11RCD1004</t>
  </si>
  <si>
    <t>TRSPW11RCD1368</t>
  </si>
  <si>
    <t>TRSPW11RCD1700</t>
  </si>
  <si>
    <t>TRSPW11RCD3195</t>
  </si>
  <si>
    <t>TRSPW11RCD4644</t>
  </si>
  <si>
    <t>TRSPW11RCD4645</t>
  </si>
  <si>
    <t>TRSPW11RCD4646</t>
  </si>
  <si>
    <t>TRSPW1222A1700</t>
  </si>
  <si>
    <t>TRSPW12AW1368</t>
  </si>
  <si>
    <t>TRSPW12AW4644</t>
  </si>
  <si>
    <t>TRSPW12AW4645</t>
  </si>
  <si>
    <t>TRSPW12AW6500</t>
  </si>
  <si>
    <t>TRSPW12W41368</t>
  </si>
  <si>
    <t>TRSPW12W43195</t>
  </si>
  <si>
    <t>TRSPW12W44644</t>
  </si>
  <si>
    <t>TRSPW12W44645</t>
  </si>
  <si>
    <t>TRSPW12W44646</t>
  </si>
  <si>
    <t>TRSPW12W46500</t>
  </si>
  <si>
    <t>TRSPW12W911368</t>
  </si>
  <si>
    <t>TRSPW12W913195</t>
  </si>
  <si>
    <t>TRSPW12W914644</t>
  </si>
  <si>
    <t>TRSPW12W914645</t>
  </si>
  <si>
    <t>TRSPW12W914646</t>
  </si>
  <si>
    <t>TRSPW12W916500</t>
  </si>
  <si>
    <t>TRSPW14PGD1368</t>
  </si>
  <si>
    <t>TRSPW14PGD1700</t>
  </si>
  <si>
    <t>TRSPW14PGD3000</t>
  </si>
  <si>
    <t>TRSPW14PGD4643</t>
  </si>
  <si>
    <t>TRSPW14PGD4644</t>
  </si>
  <si>
    <t>TRSPW14PGD4645</t>
  </si>
  <si>
    <t>TRSPW14PGD6500</t>
  </si>
  <si>
    <t>TRSPW15151700</t>
  </si>
  <si>
    <t>TRSPW15153000</t>
  </si>
  <si>
    <t>TRSPW15154643</t>
  </si>
  <si>
    <t>TRSPW15154646</t>
  </si>
  <si>
    <t>TRSPW15156182</t>
  </si>
  <si>
    <t>DEEP VNECK HENLEY W HOODIE</t>
  </si>
  <si>
    <t>TRSPW16PGD4400</t>
  </si>
  <si>
    <t>TRSPW16PGD4644</t>
  </si>
  <si>
    <t>TRSPW16PGD6182</t>
  </si>
  <si>
    <t>TRSPW17PGD1368</t>
  </si>
  <si>
    <t>TRSPW17PGD1700</t>
  </si>
  <si>
    <t>TRSPW17PGD4400</t>
  </si>
  <si>
    <t>TRSPW17PGD4644</t>
  </si>
  <si>
    <t>TRSPW17PGD4646</t>
  </si>
  <si>
    <t>TRSPW17PGD6500</t>
  </si>
  <si>
    <t>TRSPW181369</t>
  </si>
  <si>
    <t>TRSPW181700</t>
  </si>
  <si>
    <t>TRSPW184644</t>
  </si>
  <si>
    <t>TRSPW18AF1278</t>
  </si>
  <si>
    <t>TRSPW18AF1700</t>
  </si>
  <si>
    <t>TRSPW18AF3000</t>
  </si>
  <si>
    <t>TRSPW18AF4643</t>
  </si>
  <si>
    <t>TRSPW18AF4644</t>
  </si>
  <si>
    <t>TRSPW18AF6182</t>
  </si>
  <si>
    <t>TRSPW18AF6500</t>
  </si>
  <si>
    <t>TRSPW222A1700</t>
  </si>
  <si>
    <t>TRSPW222A3000</t>
  </si>
  <si>
    <t>TRSPW222A4168</t>
  </si>
  <si>
    <t>TRSPW222A4644</t>
  </si>
  <si>
    <t>TRSPW222A6500</t>
  </si>
  <si>
    <t>TRSPW31A1004</t>
  </si>
  <si>
    <t>TRSPW31A1278</t>
  </si>
  <si>
    <t>TRSPW31A1700</t>
  </si>
  <si>
    <t>TRSPW31A4645</t>
  </si>
  <si>
    <t>TRSPW31A6182</t>
  </si>
  <si>
    <t>TRSPW410A1700</t>
  </si>
  <si>
    <t>TRSPW410A4644</t>
  </si>
  <si>
    <t>TRSPW410A4645</t>
  </si>
  <si>
    <t>TRSPW410A6500</t>
  </si>
  <si>
    <t>TRSPW41A1004</t>
  </si>
  <si>
    <t>TRSPW41A1278</t>
  </si>
  <si>
    <t>TRSPW41A1700</t>
  </si>
  <si>
    <t>TRSPW41A4645</t>
  </si>
  <si>
    <t>TRSPW41A6182</t>
  </si>
  <si>
    <t>TRSPW48A1278</t>
  </si>
  <si>
    <t>TRSPW4AF1278</t>
  </si>
  <si>
    <t>TRSPW5RCD1368</t>
  </si>
  <si>
    <t>TRSPW5RCD3000</t>
  </si>
  <si>
    <t>TRSPW5RCD4645</t>
  </si>
  <si>
    <t>TRSPW5RCD4646</t>
  </si>
  <si>
    <t>TRSPW5RCD6500</t>
  </si>
  <si>
    <t>TRSPW7111700</t>
  </si>
  <si>
    <t>TRSPW7113195</t>
  </si>
  <si>
    <t>TRSPW7116500</t>
  </si>
  <si>
    <t>TRSPW7141004</t>
  </si>
  <si>
    <t>TRSPW7251004</t>
  </si>
  <si>
    <t>TRSPW7254645</t>
  </si>
  <si>
    <t>TRSPW7256182</t>
  </si>
  <si>
    <t>TRSPW731278</t>
  </si>
  <si>
    <t>TRSPW731700</t>
  </si>
  <si>
    <t>TRSPW734644</t>
  </si>
  <si>
    <t>TRSPW736500</t>
  </si>
  <si>
    <t>TRSPW8RCD1700</t>
  </si>
  <si>
    <t>TRSPW8RCD3195</t>
  </si>
  <si>
    <t>TRSPW8RCD4645</t>
  </si>
  <si>
    <t>TRSPW8RCD4646</t>
  </si>
  <si>
    <t>TRSPW8RCD6500</t>
  </si>
  <si>
    <t>TRSPW9PGD1700</t>
  </si>
  <si>
    <t>TRSPW9PGD3195</t>
  </si>
  <si>
    <t>TRSPW9PGD4644</t>
  </si>
  <si>
    <t>TRSPW9PGD4646</t>
  </si>
  <si>
    <t>TRSPW9PGD6500</t>
  </si>
  <si>
    <t>TRV0014143</t>
  </si>
  <si>
    <t>TRV0031495</t>
  </si>
  <si>
    <t>TRV0071495</t>
  </si>
  <si>
    <t>TRV0124143</t>
  </si>
  <si>
    <t>TRV0141001</t>
  </si>
  <si>
    <t>TRW13105</t>
  </si>
  <si>
    <t>TRW1061200</t>
  </si>
  <si>
    <t>TRW1064100</t>
  </si>
  <si>
    <t>TRW1203M1001</t>
  </si>
  <si>
    <t>TRW1210F1004</t>
  </si>
  <si>
    <t>TRW1210F3071</t>
  </si>
  <si>
    <t>TRW1213F1001</t>
  </si>
  <si>
    <t>TRW1303F4448</t>
  </si>
  <si>
    <t>TRW1303F5000</t>
  </si>
  <si>
    <t>TRW1304F5000</t>
  </si>
  <si>
    <t>TRW1305F2001</t>
  </si>
  <si>
    <t>TRW1305F4819</t>
  </si>
  <si>
    <t>TRW1307F4819</t>
  </si>
  <si>
    <t>TRW1307F8220</t>
  </si>
  <si>
    <t>TRW1309F1403</t>
  </si>
  <si>
    <t>TRW1310SF1004</t>
  </si>
  <si>
    <t>TRW1311F1004</t>
  </si>
  <si>
    <t>TRW1311F3071</t>
  </si>
  <si>
    <t>TRW1311F8220</t>
  </si>
  <si>
    <t>TRW1323M1004</t>
  </si>
  <si>
    <t>TRW1323M4542</t>
  </si>
  <si>
    <t>TRW1324M4542</t>
  </si>
  <si>
    <t>TRW1324M4819</t>
  </si>
  <si>
    <t>TRW1324M8220</t>
  </si>
  <si>
    <t>TRW1325M1004</t>
  </si>
  <si>
    <t>TRW1325M4819</t>
  </si>
  <si>
    <t>TRW1325M8220</t>
  </si>
  <si>
    <t>TRW1327M1004</t>
  </si>
  <si>
    <t>TRW1327M3106</t>
  </si>
  <si>
    <t>TRW1328M1004</t>
  </si>
  <si>
    <t>TRW1328M3071</t>
  </si>
  <si>
    <t>TRW1328M3106</t>
  </si>
  <si>
    <t>TRW1328M8220</t>
  </si>
  <si>
    <t>TRW1329SF1001</t>
  </si>
  <si>
    <t>TRW1329SF6000</t>
  </si>
  <si>
    <t>TRW1330F5000</t>
  </si>
  <si>
    <t>TRW1330F6500</t>
  </si>
  <si>
    <t>TRW1330F8000</t>
  </si>
  <si>
    <t>TRW1331F1200</t>
  </si>
  <si>
    <t>TRW1331F1700</t>
  </si>
  <si>
    <t>TRW1331F6346</t>
  </si>
  <si>
    <t>TRW1333F1001</t>
  </si>
  <si>
    <t>TRW1333F1519</t>
  </si>
  <si>
    <t>TRW1334F1001</t>
  </si>
  <si>
    <t>TRW1335F6347</t>
  </si>
  <si>
    <t>TRW1336F6346</t>
  </si>
  <si>
    <t>TRW1338M1001</t>
  </si>
  <si>
    <t>TRW1338M1200</t>
  </si>
  <si>
    <t>TRW1338M2140</t>
  </si>
  <si>
    <t>TRW1339M1001</t>
  </si>
  <si>
    <t>TRW1339M6346</t>
  </si>
  <si>
    <t>TRW1340F1004</t>
  </si>
  <si>
    <t>TRW1340M4000</t>
  </si>
  <si>
    <t>TRW1340M6000</t>
  </si>
  <si>
    <t>TRW1340M6346</t>
  </si>
  <si>
    <t>TRW1342M3443</t>
  </si>
  <si>
    <t>TRW1343M1001</t>
  </si>
  <si>
    <t>TRW1343M1200</t>
  </si>
  <si>
    <t>TRW1344M1001</t>
  </si>
  <si>
    <t>TRW1350M1004</t>
  </si>
  <si>
    <t>TRW1350M3071</t>
  </si>
  <si>
    <t>TRW1360F1001</t>
  </si>
  <si>
    <t>TRW1360F5339</t>
  </si>
  <si>
    <t>TRW1362F2000</t>
  </si>
  <si>
    <t>TRW1363M1004</t>
  </si>
  <si>
    <t>TRW1364M1001</t>
  </si>
  <si>
    <t>TRW1365M1001</t>
  </si>
  <si>
    <t>TRW1366M1001</t>
  </si>
  <si>
    <t>TRW1370F6069</t>
  </si>
  <si>
    <t>TRW1371F1001</t>
  </si>
  <si>
    <t>TRW1372F3443</t>
  </si>
  <si>
    <t>TRW1373M3443</t>
  </si>
  <si>
    <t>TRW1374M3443</t>
  </si>
  <si>
    <t>TRW1375F3443</t>
  </si>
  <si>
    <t>TRW614571100</t>
  </si>
  <si>
    <t>TRW6HO121100</t>
  </si>
  <si>
    <t>TRWB0041001</t>
  </si>
  <si>
    <t>TRWB004</t>
  </si>
  <si>
    <t>WOMENS BASIC BELT</t>
  </si>
  <si>
    <t>TRWB0042000</t>
  </si>
  <si>
    <t>TRWB0042140</t>
  </si>
  <si>
    <t>TRWB0052000</t>
  </si>
  <si>
    <t>TRWB005</t>
  </si>
  <si>
    <t>BRAIDED BELT</t>
  </si>
  <si>
    <t>TRWF11J051001</t>
  </si>
  <si>
    <t>TRWF11J121001</t>
  </si>
  <si>
    <t>TRWF11J122000</t>
  </si>
  <si>
    <t>TRWF11P011001</t>
  </si>
  <si>
    <t>TRWF11P011200</t>
  </si>
  <si>
    <t>TRWF11P031001</t>
  </si>
  <si>
    <t>TRWF12P011126</t>
  </si>
  <si>
    <t>TRWF12P012500</t>
  </si>
  <si>
    <t>TRWF12P013073</t>
  </si>
  <si>
    <t>TRWF12P032018</t>
  </si>
  <si>
    <t>TRWF12P032500</t>
  </si>
  <si>
    <t>TRWF12P032502</t>
  </si>
  <si>
    <t>TUF1500461001</t>
  </si>
  <si>
    <t>TUF1500462000</t>
  </si>
  <si>
    <t>TUF1500481001</t>
  </si>
  <si>
    <t>TUS1500351001</t>
  </si>
  <si>
    <t>TUS1500352000</t>
  </si>
  <si>
    <t>TUS1500361001</t>
  </si>
  <si>
    <t>TUS1500362000</t>
  </si>
  <si>
    <t>TUS1500561001</t>
  </si>
  <si>
    <t>TUS1500771001</t>
  </si>
  <si>
    <t>TUS1500772000</t>
  </si>
  <si>
    <t>TUS1500831001</t>
  </si>
  <si>
    <t>TUS1500832000</t>
  </si>
  <si>
    <t>TUS1500841001</t>
  </si>
  <si>
    <t>TUS1500842000</t>
  </si>
  <si>
    <t>TUS1500941001</t>
  </si>
  <si>
    <t>TUS1500942000</t>
  </si>
  <si>
    <t>TUS1600262000</t>
  </si>
  <si>
    <t>TUS1600282500</t>
  </si>
  <si>
    <t>U3PCSETH416202</t>
  </si>
  <si>
    <t>U3PCSETP782500</t>
  </si>
  <si>
    <t>U3PCSETP785109</t>
  </si>
  <si>
    <t>U3PCSETP796809</t>
  </si>
  <si>
    <t>U3PCSETP797310</t>
  </si>
  <si>
    <t>UET2B26E423</t>
  </si>
  <si>
    <t>UETQ30X282S</t>
  </si>
  <si>
    <t>UGH7T79AG51746</t>
  </si>
  <si>
    <t>UGH7T81CL41746</t>
  </si>
  <si>
    <t>UGH7T81CL46035</t>
  </si>
  <si>
    <t>UHWBR544236</t>
  </si>
  <si>
    <t>UHWBR544521</t>
  </si>
  <si>
    <t>UHWBR547415</t>
  </si>
  <si>
    <t>UHWBR548320</t>
  </si>
  <si>
    <t>UHWBS51VR4086</t>
  </si>
  <si>
    <t>UHWBS51VR6137</t>
  </si>
  <si>
    <t>UHWBT40VR4084</t>
  </si>
  <si>
    <t>UHWBT40VR6136</t>
  </si>
  <si>
    <t>UKC7T31U021114</t>
  </si>
  <si>
    <t>UKC7T31U022206</t>
  </si>
  <si>
    <t>UKC7T31U026036</t>
  </si>
  <si>
    <t>UKC7T31U031114</t>
  </si>
  <si>
    <t>UKC7T31U034130</t>
  </si>
  <si>
    <t>UNSXPIN0019602</t>
  </si>
  <si>
    <t>UNSXPIN001</t>
  </si>
  <si>
    <t>BUTTON PINS SET</t>
  </si>
  <si>
    <t>UR8X06BR82S</t>
  </si>
  <si>
    <t>W02564KB5CQWM</t>
  </si>
  <si>
    <t>W02592SKL3AAOD</t>
  </si>
  <si>
    <t>W02599SHE8CQWM</t>
  </si>
  <si>
    <t>W02599SR54CRWD</t>
  </si>
  <si>
    <t>W02599SR5MCRWD</t>
  </si>
  <si>
    <t>W02599STSCOBM</t>
  </si>
  <si>
    <t>W02C100KL3BZND</t>
  </si>
  <si>
    <t>W02C100VU9CSKM</t>
  </si>
  <si>
    <t>W02N96VU9CUBM</t>
  </si>
  <si>
    <t>W02R12CH0APAD</t>
  </si>
  <si>
    <t>W02R12FG0APAD</t>
  </si>
  <si>
    <t>W02W22Z35AAAM</t>
  </si>
  <si>
    <t>W02Y56CH0APAD</t>
  </si>
  <si>
    <t>W02Y56FG0APAD</t>
  </si>
  <si>
    <t>W02Y62CH0APAD</t>
  </si>
  <si>
    <t>W02Y62FG0APAD</t>
  </si>
  <si>
    <t>W06A428KU5BIBD</t>
  </si>
  <si>
    <t>W06A429KU5BIBD</t>
  </si>
  <si>
    <t>W06A523IC3BCNM</t>
  </si>
  <si>
    <t>W06A541IC3BCNM</t>
  </si>
  <si>
    <t>W06A910KU6BCOM</t>
  </si>
  <si>
    <t>W06A915KU5BIBD</t>
  </si>
  <si>
    <t>W06A915KU6BCOM</t>
  </si>
  <si>
    <t>W07572TSKLM</t>
  </si>
  <si>
    <t>W07E241K80LJD</t>
  </si>
  <si>
    <t>W07E241K80NML</t>
  </si>
  <si>
    <t>W07L47EM1O</t>
  </si>
  <si>
    <t>W07L47EM2S</t>
  </si>
  <si>
    <t>W07M04TSKLM</t>
  </si>
  <si>
    <t>W07P40M47QDM</t>
  </si>
  <si>
    <t>W07Q21M65NZM</t>
  </si>
  <si>
    <t>W07Q84K80QCL</t>
  </si>
  <si>
    <t>W07S27T04LKM</t>
  </si>
  <si>
    <t>W07T97U47VP</t>
  </si>
  <si>
    <t>W07V58Z282J</t>
  </si>
  <si>
    <t>W08B061MA3BTVD</t>
  </si>
  <si>
    <t>W0SB059LS1BRJD</t>
  </si>
  <si>
    <t>W0VC096IK1254</t>
  </si>
  <si>
    <t>W0VC096IK1700</t>
  </si>
  <si>
    <t>W0VC195IK1254</t>
  </si>
  <si>
    <t>W0VC195IK1700</t>
  </si>
  <si>
    <t>W0ZC185IK4002</t>
  </si>
  <si>
    <t>W0ZC185IK4110</t>
  </si>
  <si>
    <t>W10502CQT22S</t>
  </si>
  <si>
    <t>W10502CQT2MWD</t>
  </si>
  <si>
    <t>W10502CQT2NBD</t>
  </si>
  <si>
    <t>W10502CQT2NED</t>
  </si>
  <si>
    <t>W10502CR311</t>
  </si>
  <si>
    <t>W10502CR340</t>
  </si>
  <si>
    <t>W10502CR3APJD</t>
  </si>
  <si>
    <t>W10502CR3APKD</t>
  </si>
  <si>
    <t>W10502H7540</t>
  </si>
  <si>
    <t>W10502H75AZ</t>
  </si>
  <si>
    <t>W10502H75LDM</t>
  </si>
  <si>
    <t>W10502M332V</t>
  </si>
  <si>
    <t>W10503CQT22S</t>
  </si>
  <si>
    <t>W10503CQT2MWD</t>
  </si>
  <si>
    <t>W10503CQT2NBD</t>
  </si>
  <si>
    <t>W10503CQT2NED</t>
  </si>
  <si>
    <t>W10503CR311</t>
  </si>
  <si>
    <t>W10503CR340</t>
  </si>
  <si>
    <t>W10503CR3AOZM</t>
  </si>
  <si>
    <t>W10503CR3APJD</t>
  </si>
  <si>
    <t>W10503CR3APKD</t>
  </si>
  <si>
    <t>W10503M20PNM</t>
  </si>
  <si>
    <t>W10503NQT240</t>
  </si>
  <si>
    <t>W10564CQT22S</t>
  </si>
  <si>
    <t>W10564CQT2MWD</t>
  </si>
  <si>
    <t>W10564CQT2NBD</t>
  </si>
  <si>
    <t>W10564CQT2NED</t>
  </si>
  <si>
    <t>W10564CR311</t>
  </si>
  <si>
    <t>W10564CR340</t>
  </si>
  <si>
    <t>W10564CR3APJD</t>
  </si>
  <si>
    <t>W10564CR3APKD</t>
  </si>
  <si>
    <t>W10564D0440</t>
  </si>
  <si>
    <t>W10564H7540</t>
  </si>
  <si>
    <t>W10564NQT240</t>
  </si>
  <si>
    <t>W10564NQT2AZ</t>
  </si>
  <si>
    <t>W10564P9011</t>
  </si>
  <si>
    <t>W10564P90LPD</t>
  </si>
  <si>
    <t>W10572CR311</t>
  </si>
  <si>
    <t>W10572CR340</t>
  </si>
  <si>
    <t>W10572CR3AOZM</t>
  </si>
  <si>
    <t>W10572CR3APJD</t>
  </si>
  <si>
    <t>W10572CR3APKD</t>
  </si>
  <si>
    <t>W10572D042S</t>
  </si>
  <si>
    <t>W10572D0440</t>
  </si>
  <si>
    <t>W10572D0463</t>
  </si>
  <si>
    <t>W10572D04EAD</t>
  </si>
  <si>
    <t>W10572D04LDM</t>
  </si>
  <si>
    <t>W10572M20PNM</t>
  </si>
  <si>
    <t>W10572M20PRM</t>
  </si>
  <si>
    <t>W10572NQT240</t>
  </si>
  <si>
    <t>W10572NQT2AZ</t>
  </si>
  <si>
    <t>W10572NQT2CR</t>
  </si>
  <si>
    <t>W10572NQT2ERM</t>
  </si>
  <si>
    <t>W10572P9011</t>
  </si>
  <si>
    <t>W10572P90LPD</t>
  </si>
  <si>
    <t>W10592CQT22S</t>
  </si>
  <si>
    <t>W10592CQT2MWD</t>
  </si>
  <si>
    <t>W10592CQT2NBD</t>
  </si>
  <si>
    <t>W10592CQT2NED</t>
  </si>
  <si>
    <t>W10592CR340</t>
  </si>
  <si>
    <t>W10592CR3APJD</t>
  </si>
  <si>
    <t>W10592CR3APKD</t>
  </si>
  <si>
    <t>W10592J4211</t>
  </si>
  <si>
    <t>W10592J422S</t>
  </si>
  <si>
    <t>W10592P90LPD</t>
  </si>
  <si>
    <t>W10592SCR311</t>
  </si>
  <si>
    <t>W10592SCR340</t>
  </si>
  <si>
    <t>W10592SCR3AOZM</t>
  </si>
  <si>
    <t>W10592SCR3APJD</t>
  </si>
  <si>
    <t>W10592SCR3APKD</t>
  </si>
  <si>
    <t>W10592SOMW2S</t>
  </si>
  <si>
    <t>W10592STSCSJD</t>
  </si>
  <si>
    <t>W10599CQT22S</t>
  </si>
  <si>
    <t>W10599CQT2MWD</t>
  </si>
  <si>
    <t>W10599CQT2NBD</t>
  </si>
  <si>
    <t>W10599CQT2NED</t>
  </si>
  <si>
    <t>W10599CR311</t>
  </si>
  <si>
    <t>W10599CR340</t>
  </si>
  <si>
    <t>W10599CR3AOZM</t>
  </si>
  <si>
    <t>W10599CR3APJD</t>
  </si>
  <si>
    <t>W10599CR3APKD</t>
  </si>
  <si>
    <t>W10599E59FOD</t>
  </si>
  <si>
    <t>W10599J422S</t>
  </si>
  <si>
    <t>W10599M20PNM</t>
  </si>
  <si>
    <t>W10599M20PRM</t>
  </si>
  <si>
    <t>W10599NQT2AZ</t>
  </si>
  <si>
    <t>W10599P9011</t>
  </si>
  <si>
    <t>W10599P90LPD</t>
  </si>
  <si>
    <t>W10A033ED6AVYM</t>
  </si>
  <si>
    <t>W10A034ED6AVYM</t>
  </si>
  <si>
    <t>W10G93CR3APLM</t>
  </si>
  <si>
    <t>W10K68D042S</t>
  </si>
  <si>
    <t>W10K68D04EAD</t>
  </si>
  <si>
    <t>W10K68D04HAM</t>
  </si>
  <si>
    <t>W10M04M20PNM</t>
  </si>
  <si>
    <t>W10M04M20PRM</t>
  </si>
  <si>
    <t>W10M05M20PNM</t>
  </si>
  <si>
    <t>W10M05M20PRM</t>
  </si>
  <si>
    <t>W10N27Y9NQL</t>
  </si>
  <si>
    <t>W10N28Y9NQL</t>
  </si>
  <si>
    <t>W10N29Y9NQL</t>
  </si>
  <si>
    <t>W10N30Y9NQL</t>
  </si>
  <si>
    <t>W10R78M65TIM</t>
  </si>
  <si>
    <t>W10R81M65TIM</t>
  </si>
  <si>
    <t>W10R99M65TIM</t>
  </si>
  <si>
    <t>W10R99M65W2D</t>
  </si>
  <si>
    <t>W10T28S77SGD</t>
  </si>
  <si>
    <t>W10T28S77TIM</t>
  </si>
  <si>
    <t>W10T29S77TIM</t>
  </si>
  <si>
    <t>W10Y56CR311</t>
  </si>
  <si>
    <t>W10Y56CR340</t>
  </si>
  <si>
    <t>W10Y56CR3AOZM</t>
  </si>
  <si>
    <t>W10Y56CR3APJD</t>
  </si>
  <si>
    <t>W10Y56CR3APKD</t>
  </si>
  <si>
    <t>W10Y62CR311</t>
  </si>
  <si>
    <t>W10Y62CR340</t>
  </si>
  <si>
    <t>W10Y62CR3APJD</t>
  </si>
  <si>
    <t>W10Y62CR3APKD</t>
  </si>
  <si>
    <t>W13F1730B1001</t>
  </si>
  <si>
    <t>W13F1730B1377</t>
  </si>
  <si>
    <t>W13F1730B2174</t>
  </si>
  <si>
    <t>W13F1730B3467</t>
  </si>
  <si>
    <t>W13F1730B5342</t>
  </si>
  <si>
    <t>W13F1730B6000</t>
  </si>
  <si>
    <t>W13F58A1285</t>
  </si>
  <si>
    <t>W13F7121001</t>
  </si>
  <si>
    <t>W13F7121377</t>
  </si>
  <si>
    <t>W13F7121700</t>
  </si>
  <si>
    <t>W13F7122602</t>
  </si>
  <si>
    <t>W13F7123467</t>
  </si>
  <si>
    <t>W13F72101001</t>
  </si>
  <si>
    <t>W13F72101377</t>
  </si>
  <si>
    <t>W13F72101700</t>
  </si>
  <si>
    <t>W13F72102174</t>
  </si>
  <si>
    <t>W13F72103467</t>
  </si>
  <si>
    <t>W13F726A1001</t>
  </si>
  <si>
    <t>W13F726A1377</t>
  </si>
  <si>
    <t>W13F726A1700</t>
  </si>
  <si>
    <t>W13F726A3467</t>
  </si>
  <si>
    <t>W13F7271001</t>
  </si>
  <si>
    <t>W13F7271377</t>
  </si>
  <si>
    <t>W13F7272602</t>
  </si>
  <si>
    <t>W13F7273467</t>
  </si>
  <si>
    <t>W13F7275342</t>
  </si>
  <si>
    <t>W13F741001</t>
  </si>
  <si>
    <t>W13F741377</t>
  </si>
  <si>
    <t>W13F741700</t>
  </si>
  <si>
    <t>W13F742174</t>
  </si>
  <si>
    <t>W13F745342</t>
  </si>
  <si>
    <t>W13F746000</t>
  </si>
  <si>
    <t>W13F7430B1001</t>
  </si>
  <si>
    <t>W13F7430B1377</t>
  </si>
  <si>
    <t>W13F7430B1700</t>
  </si>
  <si>
    <t>W13F7430B2174</t>
  </si>
  <si>
    <t>W13F7430B5342</t>
  </si>
  <si>
    <t>W13F7430B6000</t>
  </si>
  <si>
    <t>W13F75101001</t>
  </si>
  <si>
    <t>W13F75101377</t>
  </si>
  <si>
    <t>W13F75101700</t>
  </si>
  <si>
    <t>W13F75102602</t>
  </si>
  <si>
    <t>W13F75103467</t>
  </si>
  <si>
    <t>W13F76991001</t>
  </si>
  <si>
    <t>W13F76991377</t>
  </si>
  <si>
    <t>W13F76991700</t>
  </si>
  <si>
    <t>W13F76992174</t>
  </si>
  <si>
    <t>W13F76993467</t>
  </si>
  <si>
    <t>W13F7815A1278</t>
  </si>
  <si>
    <t>W13F7815A4643</t>
  </si>
  <si>
    <t>W13F7815A6000</t>
  </si>
  <si>
    <t>W13F783A1001</t>
  </si>
  <si>
    <t>W13F783A1377</t>
  </si>
  <si>
    <t>W13F783A2602</t>
  </si>
  <si>
    <t>W13F783A3467</t>
  </si>
  <si>
    <t>W13F783A5342</t>
  </si>
  <si>
    <t>W13F783A6000</t>
  </si>
  <si>
    <t>W13F78B991001</t>
  </si>
  <si>
    <t>W13F78B992174</t>
  </si>
  <si>
    <t>W13F78B994643</t>
  </si>
  <si>
    <t>W13F78B995342</t>
  </si>
  <si>
    <t>W13F78B996000</t>
  </si>
  <si>
    <t>W13F8115A1285</t>
  </si>
  <si>
    <t>W13F8115A4643</t>
  </si>
  <si>
    <t>W13F8115A6000</t>
  </si>
  <si>
    <t>W13F814A1001</t>
  </si>
  <si>
    <t>W13F814A1377</t>
  </si>
  <si>
    <t>W13F814A2602</t>
  </si>
  <si>
    <t>W13F814A3467</t>
  </si>
  <si>
    <t>W13F814A5342</t>
  </si>
  <si>
    <t>W13F814A6000</t>
  </si>
  <si>
    <t>W13F8230S1001</t>
  </si>
  <si>
    <t>W13F828A1285</t>
  </si>
  <si>
    <t>W13F82B991001</t>
  </si>
  <si>
    <t>W13F82B992174</t>
  </si>
  <si>
    <t>W13F82B993467</t>
  </si>
  <si>
    <t>W13F82B994643</t>
  </si>
  <si>
    <t>W13F82B996000</t>
  </si>
  <si>
    <t>W13F9011285</t>
  </si>
  <si>
    <t>W13F90B11001</t>
  </si>
  <si>
    <t>W13F90B12174</t>
  </si>
  <si>
    <t>W13F90B13467</t>
  </si>
  <si>
    <t>W13F90B14643</t>
  </si>
  <si>
    <t>W13F90B16000</t>
  </si>
  <si>
    <t>W13F90B991001</t>
  </si>
  <si>
    <t>W13F90B992174</t>
  </si>
  <si>
    <t>W13F90B993467</t>
  </si>
  <si>
    <t>W13F90B996000</t>
  </si>
  <si>
    <t>W13F91B42174</t>
  </si>
  <si>
    <t>W13F91B43467</t>
  </si>
  <si>
    <t>W13F91B46000</t>
  </si>
  <si>
    <t>W13F92B1001</t>
  </si>
  <si>
    <t>W13F92B2174</t>
  </si>
  <si>
    <t>W13F92B3467</t>
  </si>
  <si>
    <t>W13F92B4643</t>
  </si>
  <si>
    <t>W13F92B6064</t>
  </si>
  <si>
    <t>W13FK1001383</t>
  </si>
  <si>
    <t>W13FK1004643</t>
  </si>
  <si>
    <t>W13FK1021383</t>
  </si>
  <si>
    <t>W13FK1024643</t>
  </si>
  <si>
    <t>W13FK1031001</t>
  </si>
  <si>
    <t>W13FK1031383</t>
  </si>
  <si>
    <t>W13FK1033196</t>
  </si>
  <si>
    <t>W13FK1034643</t>
  </si>
  <si>
    <t>W13FK323451</t>
  </si>
  <si>
    <t>W13FK324643</t>
  </si>
  <si>
    <t>W13FK326000</t>
  </si>
  <si>
    <t>W13FK3830B1001</t>
  </si>
  <si>
    <t>W13FK3830B1504</t>
  </si>
  <si>
    <t>W13FK3830B4643</t>
  </si>
  <si>
    <t>W13FK3830B5343</t>
  </si>
  <si>
    <t>W13FK53451</t>
  </si>
  <si>
    <t>W13FK54643</t>
  </si>
  <si>
    <t>W13FK56000</t>
  </si>
  <si>
    <t>W13JX44BW82000</t>
  </si>
  <si>
    <t>W13JX44BX11100</t>
  </si>
  <si>
    <t>W13M13151285</t>
  </si>
  <si>
    <t>W13M13151700</t>
  </si>
  <si>
    <t>W13M13154643</t>
  </si>
  <si>
    <t>W13M1351285</t>
  </si>
  <si>
    <t>W13M1351700</t>
  </si>
  <si>
    <t>W13M1354643</t>
  </si>
  <si>
    <t>W13M1355342</t>
  </si>
  <si>
    <t>W13M1361700</t>
  </si>
  <si>
    <t>W13M136B1377</t>
  </si>
  <si>
    <t>W13M136B1700</t>
  </si>
  <si>
    <t>W13M136B3467</t>
  </si>
  <si>
    <t>W13M136B4643</t>
  </si>
  <si>
    <t>W13M136B5342</t>
  </si>
  <si>
    <t>W13M1371001</t>
  </si>
  <si>
    <t>W13M1371700</t>
  </si>
  <si>
    <t>W13M1373467</t>
  </si>
  <si>
    <t>W13M1375342</t>
  </si>
  <si>
    <t>W13M508A1278</t>
  </si>
  <si>
    <t>W13M508A4643</t>
  </si>
  <si>
    <t>W13M508A5342</t>
  </si>
  <si>
    <t>W13M508A91285</t>
  </si>
  <si>
    <t>W13M552174</t>
  </si>
  <si>
    <t>W13M553467</t>
  </si>
  <si>
    <t>W13M554643</t>
  </si>
  <si>
    <t>W13M555342</t>
  </si>
  <si>
    <t>W13M558B1285</t>
  </si>
  <si>
    <t>W13M58121001</t>
  </si>
  <si>
    <t>W13M58121700</t>
  </si>
  <si>
    <t>W13M58122174</t>
  </si>
  <si>
    <t>W13M58122602</t>
  </si>
  <si>
    <t>W13M58123467</t>
  </si>
  <si>
    <t>W13M58125342</t>
  </si>
  <si>
    <t>W13M5831001</t>
  </si>
  <si>
    <t>W13M5831700</t>
  </si>
  <si>
    <t>W13M5832174</t>
  </si>
  <si>
    <t>W13M5832602</t>
  </si>
  <si>
    <t>W13M5833467</t>
  </si>
  <si>
    <t>W13M5835342</t>
  </si>
  <si>
    <t>W13M591001</t>
  </si>
  <si>
    <t>W13M591377</t>
  </si>
  <si>
    <t>W13M591700</t>
  </si>
  <si>
    <t>W13M592602</t>
  </si>
  <si>
    <t>W13M595342</t>
  </si>
  <si>
    <t>W13M59S11001</t>
  </si>
  <si>
    <t>W13M59S13467</t>
  </si>
  <si>
    <t>W13M59S14643</t>
  </si>
  <si>
    <t>W13M6531001</t>
  </si>
  <si>
    <t>W13M6531377</t>
  </si>
  <si>
    <t>W13M6532174</t>
  </si>
  <si>
    <t>W13M6533467</t>
  </si>
  <si>
    <t>W13M6535342</t>
  </si>
  <si>
    <t>W13M661001</t>
  </si>
  <si>
    <t>W13M661377</t>
  </si>
  <si>
    <t>W13M661700</t>
  </si>
  <si>
    <t>W13M671ST1001</t>
  </si>
  <si>
    <t>W13M671ST1700</t>
  </si>
  <si>
    <t>W13M671ST2174</t>
  </si>
  <si>
    <t>W13M671ST3467</t>
  </si>
  <si>
    <t>W13M671ST5342</t>
  </si>
  <si>
    <t>W13M6791001</t>
  </si>
  <si>
    <t>W13M6791377</t>
  </si>
  <si>
    <t>W13M6791700</t>
  </si>
  <si>
    <t>W13M6793467</t>
  </si>
  <si>
    <t>W13M6794643</t>
  </si>
  <si>
    <t>W13M8015A1278</t>
  </si>
  <si>
    <t>W13M8015A4643</t>
  </si>
  <si>
    <t>W13M8015A6000</t>
  </si>
  <si>
    <t>W13M803A1001</t>
  </si>
  <si>
    <t>W13M803A1377</t>
  </si>
  <si>
    <t>W13M803A2174</t>
  </si>
  <si>
    <t>W13M803A3467</t>
  </si>
  <si>
    <t>W13M803A5342</t>
  </si>
  <si>
    <t>W13M85121285</t>
  </si>
  <si>
    <t>W13M858A1001</t>
  </si>
  <si>
    <t>W13M858A1377</t>
  </si>
  <si>
    <t>W13M858A2174</t>
  </si>
  <si>
    <t>W13M858A3467</t>
  </si>
  <si>
    <t>W13M858A5342</t>
  </si>
  <si>
    <t>W13M861001</t>
  </si>
  <si>
    <t>W13M861377</t>
  </si>
  <si>
    <t>W13M862174</t>
  </si>
  <si>
    <t>W13M862602</t>
  </si>
  <si>
    <t>W13M863467</t>
  </si>
  <si>
    <t>W13M866000</t>
  </si>
  <si>
    <t>W13M8611285</t>
  </si>
  <si>
    <t>W13M861ST1001</t>
  </si>
  <si>
    <t>W13M861ST1278</t>
  </si>
  <si>
    <t>W13M861ST4643</t>
  </si>
  <si>
    <t>W13M86B31001</t>
  </si>
  <si>
    <t>W13M86B32174</t>
  </si>
  <si>
    <t>W13M86B33467</t>
  </si>
  <si>
    <t>W13M86B34643</t>
  </si>
  <si>
    <t>W13M8715A1278</t>
  </si>
  <si>
    <t>W13M8715A4643</t>
  </si>
  <si>
    <t>W13M8715A6000</t>
  </si>
  <si>
    <t>W13M8831001</t>
  </si>
  <si>
    <t>W13M8831377</t>
  </si>
  <si>
    <t>W13M8832174</t>
  </si>
  <si>
    <t>W13M8833467</t>
  </si>
  <si>
    <t>W13M8835342</t>
  </si>
  <si>
    <t>W13MK1041285</t>
  </si>
  <si>
    <t>W13MK1044643</t>
  </si>
  <si>
    <t>W13MK1061285</t>
  </si>
  <si>
    <t>W13MK1064643</t>
  </si>
  <si>
    <t>W13MK1071285</t>
  </si>
  <si>
    <t>W13MK1074643</t>
  </si>
  <si>
    <t>W13MK53451</t>
  </si>
  <si>
    <t>W13MK53467</t>
  </si>
  <si>
    <t>W13MK56000</t>
  </si>
  <si>
    <t>W14F47D1G1001</t>
  </si>
  <si>
    <t>W14F47D1G3106</t>
  </si>
  <si>
    <t>W14FB04B9G1001</t>
  </si>
  <si>
    <t>W14FB04B9G5156</t>
  </si>
  <si>
    <t>W14FB25C7G1001</t>
  </si>
  <si>
    <t>W14FB36D2G1001</t>
  </si>
  <si>
    <t>W14FB36D2G6494</t>
  </si>
  <si>
    <t>W14FB56B3G1001</t>
  </si>
  <si>
    <t>W14FD02K3IEW08</t>
  </si>
  <si>
    <t>W14FD02K3IEW15</t>
  </si>
  <si>
    <t>W14FD03C7IED40</t>
  </si>
  <si>
    <t>W14FD03M3IEL07</t>
  </si>
  <si>
    <t>W14FD03M3IEM22</t>
  </si>
  <si>
    <t>W14FD04A4IED24</t>
  </si>
  <si>
    <t>W14FD04C7IED40</t>
  </si>
  <si>
    <t>W14FD04C7IED43</t>
  </si>
  <si>
    <t>W14FD04K4IED26</t>
  </si>
  <si>
    <t>W14FD04M3IEL07</t>
  </si>
  <si>
    <t>W14FD07C7IED43</t>
  </si>
  <si>
    <t>W14FD07J9IED28</t>
  </si>
  <si>
    <t>W14FD07J9IEM23</t>
  </si>
  <si>
    <t>W14FD07M3IEL07</t>
  </si>
  <si>
    <t>W14FD07M3IEM22</t>
  </si>
  <si>
    <t>W14FD10A4IED24</t>
  </si>
  <si>
    <t>W14FD10C7IED43</t>
  </si>
  <si>
    <t>W14FD10C7IEM20</t>
  </si>
  <si>
    <t>W14FD10F3IE824</t>
  </si>
  <si>
    <t>W14FD10J9IED28</t>
  </si>
  <si>
    <t>W14FD10J9IEM23</t>
  </si>
  <si>
    <t>W14FD10K3IEW08</t>
  </si>
  <si>
    <t>W14FD10K3IEW15</t>
  </si>
  <si>
    <t>W14FD10K5IEW01</t>
  </si>
  <si>
    <t>W14FD10K7IED27</t>
  </si>
  <si>
    <t>W14FD10M3IEL07</t>
  </si>
  <si>
    <t>W14FD10M3IEM22</t>
  </si>
  <si>
    <t>W14FD12A4IED24</t>
  </si>
  <si>
    <t>W14FD12C7IED43</t>
  </si>
  <si>
    <t>W14FD12J9IED28</t>
  </si>
  <si>
    <t>W14FD12J9IEM23</t>
  </si>
  <si>
    <t>W14FD12K3IEW08</t>
  </si>
  <si>
    <t>W14FD12K3IEW15</t>
  </si>
  <si>
    <t>W14FD12K4IED26</t>
  </si>
  <si>
    <t>W14FD13J9IEM23</t>
  </si>
  <si>
    <t>W14FD14A4IED24</t>
  </si>
  <si>
    <t>W14FD14C7IED40</t>
  </si>
  <si>
    <t>W14FD14C7IED43</t>
  </si>
  <si>
    <t>W14FD14K4IED26</t>
  </si>
  <si>
    <t>W14FD14M3IEL07</t>
  </si>
  <si>
    <t>W14FD14M3IEM22</t>
  </si>
  <si>
    <t>W14FD16C7IEM19</t>
  </si>
  <si>
    <t>W14FD17A4IED24</t>
  </si>
  <si>
    <t>W14FD17C7IED40</t>
  </si>
  <si>
    <t>W14FD17C7IED43</t>
  </si>
  <si>
    <t>W14FD17J9IED28</t>
  </si>
  <si>
    <t>W14FD17J9IEM23</t>
  </si>
  <si>
    <t>W14FD17K4IED26</t>
  </si>
  <si>
    <t>W14FD17M3IEM22</t>
  </si>
  <si>
    <t>W14FD18C7IED40</t>
  </si>
  <si>
    <t>W14FD18C7IED43</t>
  </si>
  <si>
    <t>W14FF16B8G1378</t>
  </si>
  <si>
    <t>W14FF16B8G1403</t>
  </si>
  <si>
    <t>W14FF16B8G4201</t>
  </si>
  <si>
    <t>W14FF16B8G6276</t>
  </si>
  <si>
    <t>W14FF17B8G1106</t>
  </si>
  <si>
    <t>W14FF17B8G1285</t>
  </si>
  <si>
    <t>W14FF17B8G1377</t>
  </si>
  <si>
    <t>W14FF17B8G1378</t>
  </si>
  <si>
    <t>W14FF17B8G1403</t>
  </si>
  <si>
    <t>W14FF17B8G1700</t>
  </si>
  <si>
    <t>W14FF17B8G2166</t>
  </si>
  <si>
    <t>W14FF17B8G3501</t>
  </si>
  <si>
    <t>W14FF17B8G4000</t>
  </si>
  <si>
    <t>W14FF17B8G4201</t>
  </si>
  <si>
    <t>W14FF17B8G4753</t>
  </si>
  <si>
    <t>W14FF17B8G6276</t>
  </si>
  <si>
    <t>W14FF18C8G1285</t>
  </si>
  <si>
    <t>W14FF18C8G1378</t>
  </si>
  <si>
    <t>W14FF18C8G2166</t>
  </si>
  <si>
    <t>W14FF19C8G1285</t>
  </si>
  <si>
    <t>W14FF19C8G1378</t>
  </si>
  <si>
    <t>W14FF19C8G2166</t>
  </si>
  <si>
    <t>W14FF20B8G1378</t>
  </si>
  <si>
    <t>W14FF20B8G1403</t>
  </si>
  <si>
    <t>W14FF20B8G4201</t>
  </si>
  <si>
    <t>W14FF20B8G6276</t>
  </si>
  <si>
    <t>W14FF21B8G1106</t>
  </si>
  <si>
    <t>W14FF21B8G1377</t>
  </si>
  <si>
    <t>W14FF21B8G1378</t>
  </si>
  <si>
    <t>W14FF21B8G1403</t>
  </si>
  <si>
    <t>W14FF21B8G2166</t>
  </si>
  <si>
    <t>W14FF21B8G4201</t>
  </si>
  <si>
    <t>W14FF21B8G4753</t>
  </si>
  <si>
    <t>W14FF21B8G6276</t>
  </si>
  <si>
    <t>W14FF22B9G1106</t>
  </si>
  <si>
    <t>W14FF22B9G1377</t>
  </si>
  <si>
    <t>W14FF22B9G1403</t>
  </si>
  <si>
    <t>W14FF22B9G2166</t>
  </si>
  <si>
    <t>W14FF22B9G4201</t>
  </si>
  <si>
    <t>W14FF22B9G4753</t>
  </si>
  <si>
    <t>W14FF23B9G1106</t>
  </si>
  <si>
    <t>W14FF23B9G1377</t>
  </si>
  <si>
    <t>W14FF23B9G1403</t>
  </si>
  <si>
    <t>W14FF23B9G4201</t>
  </si>
  <si>
    <t>W14FF23B9G4753</t>
  </si>
  <si>
    <t>W14FF23B9G6276</t>
  </si>
  <si>
    <t>W14FF28C8G1106</t>
  </si>
  <si>
    <t>W14FF29C7G1476</t>
  </si>
  <si>
    <t>W14FF29C7G4000</t>
  </si>
  <si>
    <t>W14FF29C7G4201</t>
  </si>
  <si>
    <t>W14FF30C7G4201</t>
  </si>
  <si>
    <t>W14FF31C7G4201</t>
  </si>
  <si>
    <t>W14FF36B7G1106</t>
  </si>
  <si>
    <t>W14FF36B7G3501</t>
  </si>
  <si>
    <t>W14FF36B7G4201</t>
  </si>
  <si>
    <t>W14FF37B7G1106</t>
  </si>
  <si>
    <t>W14FF37B7G3501</t>
  </si>
  <si>
    <t>W14FF37B7G4201</t>
  </si>
  <si>
    <t>W14FF40B7G1106</t>
  </si>
  <si>
    <t>W14FF40B7G3501</t>
  </si>
  <si>
    <t>W14FF40B7G4201</t>
  </si>
  <si>
    <t>W14FF51B8G1106</t>
  </si>
  <si>
    <t>W14FF51B8G1278</t>
  </si>
  <si>
    <t>W14FF51B8G1285</t>
  </si>
  <si>
    <t>W14FF51B8G1379</t>
  </si>
  <si>
    <t>W14FF51B8G1700</t>
  </si>
  <si>
    <t>W14FF51B8G3539</t>
  </si>
  <si>
    <t>W14FF51B8G4643</t>
  </si>
  <si>
    <t>W14FF51B8G4896</t>
  </si>
  <si>
    <t>W14FF51B8G4897</t>
  </si>
  <si>
    <t>W14FF51B8G5157</t>
  </si>
  <si>
    <t>W14FF51B8G6023</t>
  </si>
  <si>
    <t>W14FF51B8G6878</t>
  </si>
  <si>
    <t>W14FF52B8G1106</t>
  </si>
  <si>
    <t>W14FF52B8G1278</t>
  </si>
  <si>
    <t>W14FF52B8G1285</t>
  </si>
  <si>
    <t>W14FF52B8G1379</t>
  </si>
  <si>
    <t>W14FF52B8G1700</t>
  </si>
  <si>
    <t>W14FF52B8G3539</t>
  </si>
  <si>
    <t>W14FF52B8G4643</t>
  </si>
  <si>
    <t>W14FF52B8G4896</t>
  </si>
  <si>
    <t>W14FF52B8G4897</t>
  </si>
  <si>
    <t>W14FF52B8G5157</t>
  </si>
  <si>
    <t>W14FF52B8G6023</t>
  </si>
  <si>
    <t>W14FF52B8G6878</t>
  </si>
  <si>
    <t>W14FF55B8G1106</t>
  </si>
  <si>
    <t>W14FF55B8G1278</t>
  </si>
  <si>
    <t>W14FF55B8G1285</t>
  </si>
  <si>
    <t>W14FF55B8G1379</t>
  </si>
  <si>
    <t>W14FF55B8G1700</t>
  </si>
  <si>
    <t>W14FF55B8G3539</t>
  </si>
  <si>
    <t>W14FF55B8G4643</t>
  </si>
  <si>
    <t>W14FF55B8G4896</t>
  </si>
  <si>
    <t>W14FF55B8G4897</t>
  </si>
  <si>
    <t>W14FF55B8G5157</t>
  </si>
  <si>
    <t>W14FF55B8G6023</t>
  </si>
  <si>
    <t>W14FF55B8G6878</t>
  </si>
  <si>
    <t>W14FF57B8G1106</t>
  </si>
  <si>
    <t>W14FF57B8G1278</t>
  </si>
  <si>
    <t>W14FF57B8G1285</t>
  </si>
  <si>
    <t>W14FF57B8G1379</t>
  </si>
  <si>
    <t>W14FF57B8G1700</t>
  </si>
  <si>
    <t>W14FF57B8G3539</t>
  </si>
  <si>
    <t>W14FF57B8G4643</t>
  </si>
  <si>
    <t>W14FF57B8G4896</t>
  </si>
  <si>
    <t>W14FF57B8G4897</t>
  </si>
  <si>
    <t>W14FF57B8G5157</t>
  </si>
  <si>
    <t>W14FF57B8G6023</t>
  </si>
  <si>
    <t>W14FF57B8G6878</t>
  </si>
  <si>
    <t>W14FG01B9G1001</t>
  </si>
  <si>
    <t>W14FG01C7IOLD</t>
  </si>
  <si>
    <t>W14FG02B9G1001</t>
  </si>
  <si>
    <t>W14FJ05F6IE666</t>
  </si>
  <si>
    <t>W14FJ05F6IE999</t>
  </si>
  <si>
    <t>W14FJ05F6IEW12</t>
  </si>
  <si>
    <t>W14FJ06F7IE999</t>
  </si>
  <si>
    <t>W14FJ06F7IEW01</t>
  </si>
  <si>
    <t>W14FJ09G1IE215</t>
  </si>
  <si>
    <t>W14FJ09G1IE666</t>
  </si>
  <si>
    <t>W14FJ09G1IE947</t>
  </si>
  <si>
    <t>W14FJ09G1IE999</t>
  </si>
  <si>
    <t>W14FK01D4G1106</t>
  </si>
  <si>
    <t>W14FK01D4G1378</t>
  </si>
  <si>
    <t>W14FK01D4G2166</t>
  </si>
  <si>
    <t>W14FK01D4G4000</t>
  </si>
  <si>
    <t>W14FK02D4G1106</t>
  </si>
  <si>
    <t>W14FK02D4G1378</t>
  </si>
  <si>
    <t>W14FK02D4G2166</t>
  </si>
  <si>
    <t>W14FK02D4G4000</t>
  </si>
  <si>
    <t>W14FK03D4G1106</t>
  </si>
  <si>
    <t>W14FK03D4G1378</t>
  </si>
  <si>
    <t>W14FK03D4G4000</t>
  </si>
  <si>
    <t>W14FK04D5G1106</t>
  </si>
  <si>
    <t>W14FK04D5G1285</t>
  </si>
  <si>
    <t>W14FK04D5G1378</t>
  </si>
  <si>
    <t>W14FK04D5G2166</t>
  </si>
  <si>
    <t>W14FK04D5G4000</t>
  </si>
  <si>
    <t>W14FK05D5G1106</t>
  </si>
  <si>
    <t>W14FK05D5G1285</t>
  </si>
  <si>
    <t>W14FK05D5G1378</t>
  </si>
  <si>
    <t>W14FK05D5G2166</t>
  </si>
  <si>
    <t>W14FK05D5G4000</t>
  </si>
  <si>
    <t>W14FK06D5G1106</t>
  </si>
  <si>
    <t>W14FK06D5G1285</t>
  </si>
  <si>
    <t>W14FK06D5G1378</t>
  </si>
  <si>
    <t>W14FK06D5G2166</t>
  </si>
  <si>
    <t>W14FK06D5G4000</t>
  </si>
  <si>
    <t>W14FK06J3IE215</t>
  </si>
  <si>
    <t>W14FK06J3IE666</t>
  </si>
  <si>
    <t>W14FK06J3IE947</t>
  </si>
  <si>
    <t>W14FK06J3IE999</t>
  </si>
  <si>
    <t>W14FK07C4G1106</t>
  </si>
  <si>
    <t>W14FK07C4G1377</t>
  </si>
  <si>
    <t>W14FK07C4G1378</t>
  </si>
  <si>
    <t>W14FK07C4G2166</t>
  </si>
  <si>
    <t>W14FK07C4G4000</t>
  </si>
  <si>
    <t>W14FK07C4G4201</t>
  </si>
  <si>
    <t>W14FK07C4G4643</t>
  </si>
  <si>
    <t>W14FK07C4G4753</t>
  </si>
  <si>
    <t>W14FK07C4GEM20</t>
  </si>
  <si>
    <t>W14FK07L9IE201</t>
  </si>
  <si>
    <t>W14FK07L9IE947</t>
  </si>
  <si>
    <t>W14FK07L9IE999</t>
  </si>
  <si>
    <t>W14FK09D4G1106</t>
  </si>
  <si>
    <t>W14FK09D4G1378</t>
  </si>
  <si>
    <t>W14FK09D4G2166</t>
  </si>
  <si>
    <t>W14FK10J4IE236</t>
  </si>
  <si>
    <t>W14FK10J4IE880</t>
  </si>
  <si>
    <t>W14FK10J4IE947</t>
  </si>
  <si>
    <t>W14FK11L9IE201</t>
  </si>
  <si>
    <t>W14FK11L9IE947</t>
  </si>
  <si>
    <t>W14FK11L9IE999</t>
  </si>
  <si>
    <t>W14FL07C1G1001</t>
  </si>
  <si>
    <t>W14FL07C1G1118</t>
  </si>
  <si>
    <t>W14FL07C1G3532</t>
  </si>
  <si>
    <t>W14FL08C2G6494</t>
  </si>
  <si>
    <t>W14FL11C3G1001</t>
  </si>
  <si>
    <t>W14FL11C3G2378</t>
  </si>
  <si>
    <t>W14FL12C3G1001</t>
  </si>
  <si>
    <t>W14FL12C3G1118</t>
  </si>
  <si>
    <t>W14FL12C3G5156</t>
  </si>
  <si>
    <t>W14FL57B3G1001</t>
  </si>
  <si>
    <t>W14FN23C5G1001</t>
  </si>
  <si>
    <t>W14FN23C5G1478</t>
  </si>
  <si>
    <t>W14FN23C5G4883</t>
  </si>
  <si>
    <t>W14FN23C5G5155</t>
  </si>
  <si>
    <t>W14FN44C5G5155</t>
  </si>
  <si>
    <t>W14FN51E1G1001</t>
  </si>
  <si>
    <t>W14FN51E1G4819</t>
  </si>
  <si>
    <t>W14FO22C5G1001</t>
  </si>
  <si>
    <t>W14FO22C5G4883</t>
  </si>
  <si>
    <t>W14FO22C5G5155</t>
  </si>
  <si>
    <t>W14FO43C5G4883</t>
  </si>
  <si>
    <t>W14FP02F4IET26</t>
  </si>
  <si>
    <t>W14FP03F3IE347</t>
  </si>
  <si>
    <t>W14FP03F3IE666</t>
  </si>
  <si>
    <t>W14FP03F3IE824</t>
  </si>
  <si>
    <t>W14FP03F3IET29</t>
  </si>
  <si>
    <t>W14FP03K6IEW16</t>
  </si>
  <si>
    <t>W14FP10F3IE347</t>
  </si>
  <si>
    <t>W14FP10F3IE666</t>
  </si>
  <si>
    <t>W14FP10F3IE824</t>
  </si>
  <si>
    <t>W14FP10F3IET29</t>
  </si>
  <si>
    <t>W14FP10F4IET26</t>
  </si>
  <si>
    <t>W14FP10K6IEW16</t>
  </si>
  <si>
    <t>W14FP12F3IE347</t>
  </si>
  <si>
    <t>W14FP12F3IE666</t>
  </si>
  <si>
    <t>W14FP12F3IE824</t>
  </si>
  <si>
    <t>W14FP12F3IET29</t>
  </si>
  <si>
    <t>W14FP12K7IED27</t>
  </si>
  <si>
    <t>W14FP15K7IED27</t>
  </si>
  <si>
    <t>W14FQ27C8G1001</t>
  </si>
  <si>
    <t>W14FQ27C8G3530</t>
  </si>
  <si>
    <t>W14FQ27C8G4883</t>
  </si>
  <si>
    <t>W14FQ28C8G1001</t>
  </si>
  <si>
    <t>W14FQ28C8G3530</t>
  </si>
  <si>
    <t>W14FQ28C8G4883</t>
  </si>
  <si>
    <t>W14FQ29C8G1001</t>
  </si>
  <si>
    <t>W14FQ45C8G1001</t>
  </si>
  <si>
    <t>W14FT01B9G1106</t>
  </si>
  <si>
    <t>W14FT01B9G1377</t>
  </si>
  <si>
    <t>W14FT01B9G1378</t>
  </si>
  <si>
    <t>W14FT01B9G4000</t>
  </si>
  <si>
    <t>W14FT01B9G4201</t>
  </si>
  <si>
    <t>W14FT01B9G4753</t>
  </si>
  <si>
    <t>W14FT01B9G6276</t>
  </si>
  <si>
    <t>W14FT01B9GEM20</t>
  </si>
  <si>
    <t>W14FT02B1G1378</t>
  </si>
  <si>
    <t>W14FT02B1G1700</t>
  </si>
  <si>
    <t>W14FT02B1G2166</t>
  </si>
  <si>
    <t>W14FT02B1G4201</t>
  </si>
  <si>
    <t>W14FT03B1G1377</t>
  </si>
  <si>
    <t>W14FT03B1G1378</t>
  </si>
  <si>
    <t>W14FT03B1G1403</t>
  </si>
  <si>
    <t>W14FT03B1G1700</t>
  </si>
  <si>
    <t>W14FT03B1G2166</t>
  </si>
  <si>
    <t>W14FT03B1G3501</t>
  </si>
  <si>
    <t>W14FT03B1G4000</t>
  </si>
  <si>
    <t>W14FT03B1G6276</t>
  </si>
  <si>
    <t>W14FT04B1G1106</t>
  </si>
  <si>
    <t>W14FT04B1G1285</t>
  </si>
  <si>
    <t>W14FT04B1G1403</t>
  </si>
  <si>
    <t>W14FT04B1G1700</t>
  </si>
  <si>
    <t>W14FT04B1G2166</t>
  </si>
  <si>
    <t>W14FT04B1G3501</t>
  </si>
  <si>
    <t>W14FT04B1G4201</t>
  </si>
  <si>
    <t>W14FT04B1G6276</t>
  </si>
  <si>
    <t>W14FT05B9G1106</t>
  </si>
  <si>
    <t>W14FT05B9G1377</t>
  </si>
  <si>
    <t>W14FT05B9G1403</t>
  </si>
  <si>
    <t>W14FT05B9G1700</t>
  </si>
  <si>
    <t>W14FT05B9G4000</t>
  </si>
  <si>
    <t>W14FT05B9G4201</t>
  </si>
  <si>
    <t>W14FT06B1G1377</t>
  </si>
  <si>
    <t>W14FT06B1G1378</t>
  </si>
  <si>
    <t>W14FT06B1G1403</t>
  </si>
  <si>
    <t>W14FT06B1G1700</t>
  </si>
  <si>
    <t>W14FT06B1G2166</t>
  </si>
  <si>
    <t>W14FT06B1G4000</t>
  </si>
  <si>
    <t>W14FT06B1G4201</t>
  </si>
  <si>
    <t>W14FT06B1G6276</t>
  </si>
  <si>
    <t>W14FT07B9G1377</t>
  </si>
  <si>
    <t>W14FT07B9G1378</t>
  </si>
  <si>
    <t>W14FT07B9G1403</t>
  </si>
  <si>
    <t>W14FT07B9G1700</t>
  </si>
  <si>
    <t>W14FT07B9G4201</t>
  </si>
  <si>
    <t>W14FT07B9G4753</t>
  </si>
  <si>
    <t>W14FT07B9G6276</t>
  </si>
  <si>
    <t>W14FT08B9G1106</t>
  </si>
  <si>
    <t>W14FT08B9G1285</t>
  </si>
  <si>
    <t>W14FT08B9G1377</t>
  </si>
  <si>
    <t>W14FT08B9G1378</t>
  </si>
  <si>
    <t>W14FT08B9G1403</t>
  </si>
  <si>
    <t>W14FT08B9G1700</t>
  </si>
  <si>
    <t>W14FT08B9G2166</t>
  </si>
  <si>
    <t>W14FT08B9G4000</t>
  </si>
  <si>
    <t>W14FT08B9G4201</t>
  </si>
  <si>
    <t>W14FT08B9G6276</t>
  </si>
  <si>
    <t>W14FT09B9G1106</t>
  </si>
  <si>
    <t>W14FT09B9G1377</t>
  </si>
  <si>
    <t>W14FT09B9G1378</t>
  </si>
  <si>
    <t>W14FT09B9G1403</t>
  </si>
  <si>
    <t>W14FT09B9G1700</t>
  </si>
  <si>
    <t>W14FT09B9G2166</t>
  </si>
  <si>
    <t>W14FT09B9G4201</t>
  </si>
  <si>
    <t>W14FT09B9G4753</t>
  </si>
  <si>
    <t>W14FT10B1G1106</t>
  </si>
  <si>
    <t>W14FT10B1G1285</t>
  </si>
  <si>
    <t>W14FT10B1G1700</t>
  </si>
  <si>
    <t>W14FT10B1G3501</t>
  </si>
  <si>
    <t>W14FT10B1G6276</t>
  </si>
  <si>
    <t>W14FT11B9G1106</t>
  </si>
  <si>
    <t>W14FT11B9G1377</t>
  </si>
  <si>
    <t>W14FT11B9G1378</t>
  </si>
  <si>
    <t>W14FT11B9G1403</t>
  </si>
  <si>
    <t>W14FT11B9G1700</t>
  </si>
  <si>
    <t>W14FT11B9G2166</t>
  </si>
  <si>
    <t>W14FT11B9G3501</t>
  </si>
  <si>
    <t>W14FT11B9G4000</t>
  </si>
  <si>
    <t>W14FT11B9G4201</t>
  </si>
  <si>
    <t>W14FT11B9G4753</t>
  </si>
  <si>
    <t>W14FT11B9G6276</t>
  </si>
  <si>
    <t>W14FT12B9G1106</t>
  </si>
  <si>
    <t>W14FT12B9G1377</t>
  </si>
  <si>
    <t>W14FT12B9G1378</t>
  </si>
  <si>
    <t>W14FT12B9G1403</t>
  </si>
  <si>
    <t>W14FT12B9G1700</t>
  </si>
  <si>
    <t>W14FT12B9G2166</t>
  </si>
  <si>
    <t>W14FT12B9G4201</t>
  </si>
  <si>
    <t>W14FT12B9G4753</t>
  </si>
  <si>
    <t>W14FT13B1G1106</t>
  </si>
  <si>
    <t>W14FT13B1G1377</t>
  </si>
  <si>
    <t>W14FT13B1G1378</t>
  </si>
  <si>
    <t>W14FT13B1G1403</t>
  </si>
  <si>
    <t>W14FT13B1G1700</t>
  </si>
  <si>
    <t>W14FT13B1G2166</t>
  </si>
  <si>
    <t>W14FT13B1G4000</t>
  </si>
  <si>
    <t>W14FT13B1G4201</t>
  </si>
  <si>
    <t>W14FT13B1G4753</t>
  </si>
  <si>
    <t>W14FT14B1G1285</t>
  </si>
  <si>
    <t>W14FT14B1G1377</t>
  </si>
  <si>
    <t>W14FT14B1G1378</t>
  </si>
  <si>
    <t>W14FT14B1G1403</t>
  </si>
  <si>
    <t>W14FT14B1G1700</t>
  </si>
  <si>
    <t>W14FT14B1G2166</t>
  </si>
  <si>
    <t>W14FT14B1G4000</t>
  </si>
  <si>
    <t>W14FT14B1G4201</t>
  </si>
  <si>
    <t>W14FT14B1G6276</t>
  </si>
  <si>
    <t>W14FT15B9G1106</t>
  </si>
  <si>
    <t>W14FT15B9G1377</t>
  </si>
  <si>
    <t>W14FT15B9G1378</t>
  </si>
  <si>
    <t>W14FT15B9G1403</t>
  </si>
  <si>
    <t>W14FT15B9G1700</t>
  </si>
  <si>
    <t>W14FT15B9G2166</t>
  </si>
  <si>
    <t>W14FT15B9G4201</t>
  </si>
  <si>
    <t>W14FT15B9G4753</t>
  </si>
  <si>
    <t>W14FT25B9G1106</t>
  </si>
  <si>
    <t>W14FT26B1G1106</t>
  </si>
  <si>
    <t>W14FT27B1G1106</t>
  </si>
  <si>
    <t>W14FT32C9G4201</t>
  </si>
  <si>
    <t>W14FT33C9G1106</t>
  </si>
  <si>
    <t>W14FT33C9G3501</t>
  </si>
  <si>
    <t>W14FT33C9G4201</t>
  </si>
  <si>
    <t>W14FT34C9G1106</t>
  </si>
  <si>
    <t>W14FT34C9G3501</t>
  </si>
  <si>
    <t>W14FT34C9G4201</t>
  </si>
  <si>
    <t>W14FT35C9G1106</t>
  </si>
  <si>
    <t>W14FT35C9G3501</t>
  </si>
  <si>
    <t>W14FT35C9G4201</t>
  </si>
  <si>
    <t>W14FT36B7G1106</t>
  </si>
  <si>
    <t>W14FT36B7G3501</t>
  </si>
  <si>
    <t>W14FT36B7G4201</t>
  </si>
  <si>
    <t>W14FT37B7G1106</t>
  </si>
  <si>
    <t>W14FT37B7G3501</t>
  </si>
  <si>
    <t>W14FT37B7G4201</t>
  </si>
  <si>
    <t>W14FT38B7G1106</t>
  </si>
  <si>
    <t>W14FT38B7G3501</t>
  </si>
  <si>
    <t>W14FT38B7G4201</t>
  </si>
  <si>
    <t>W14FT39B7G3501</t>
  </si>
  <si>
    <t>W14FT39B7G4201</t>
  </si>
  <si>
    <t>W14FT41B7G1106</t>
  </si>
  <si>
    <t>W14FT41B7G3501</t>
  </si>
  <si>
    <t>W14FT41B7G4201</t>
  </si>
  <si>
    <t>W14FT42B7G1106</t>
  </si>
  <si>
    <t>W14FT42B7G3501</t>
  </si>
  <si>
    <t>W14FT42B7G4201</t>
  </si>
  <si>
    <t>W14FT43B7G3501</t>
  </si>
  <si>
    <t>W14FT43B7G4201</t>
  </si>
  <si>
    <t>W14FV03B9G1001</t>
  </si>
  <si>
    <t>W14FW01L3IED42</t>
  </si>
  <si>
    <t>W14FW01L3IEW14</t>
  </si>
  <si>
    <t>W14FW01L3IEW17</t>
  </si>
  <si>
    <t>W14FW02B4IE100</t>
  </si>
  <si>
    <t>W14FW02B4IE999</t>
  </si>
  <si>
    <t>W14FW02B4IEW01</t>
  </si>
  <si>
    <t>W14FW07L8IEW01</t>
  </si>
  <si>
    <t>W14FW08L8IEW01</t>
  </si>
  <si>
    <t>W14FY18C4G1001</t>
  </si>
  <si>
    <t>W14FY18C4G4882</t>
  </si>
  <si>
    <t>W14FY19C4G1001</t>
  </si>
  <si>
    <t>W14FY19C4G4882</t>
  </si>
  <si>
    <t>W14FY33D1G1001</t>
  </si>
  <si>
    <t>W14FY33D1G3071</t>
  </si>
  <si>
    <t>W14FY33D1G3196</t>
  </si>
  <si>
    <t>W14FY34D1G3078</t>
  </si>
  <si>
    <t>W14FY35D1G3531</t>
  </si>
  <si>
    <t>W14FY41C4G1001</t>
  </si>
  <si>
    <t>W14FY41C4G4882</t>
  </si>
  <si>
    <t>W14FY48D1G3078</t>
  </si>
  <si>
    <t>W14FY49D1G3531</t>
  </si>
  <si>
    <t>W14FY53E2G1004</t>
  </si>
  <si>
    <t>W14FY53E2G3106</t>
  </si>
  <si>
    <t>W14HB03C1G1001</t>
  </si>
  <si>
    <t>W14HB03C1G1004</t>
  </si>
  <si>
    <t>W14HB03C1G4926</t>
  </si>
  <si>
    <t>W14HD03C7IEM33</t>
  </si>
  <si>
    <t>W14HD03F5IEM37</t>
  </si>
  <si>
    <t>W14HD03N1IED51</t>
  </si>
  <si>
    <t>W14HD03N9IED47</t>
  </si>
  <si>
    <t>W14HD03N9IED62</t>
  </si>
  <si>
    <t>W14HD10F5IEM37</t>
  </si>
  <si>
    <t>W14HD10M7IEL12</t>
  </si>
  <si>
    <t>W14HD10M8IED50</t>
  </si>
  <si>
    <t>W14HD10N1IED51</t>
  </si>
  <si>
    <t>W14HD10N2IED48</t>
  </si>
  <si>
    <t>W14HD10N9IED47</t>
  </si>
  <si>
    <t>W14HD10N9IED62</t>
  </si>
  <si>
    <t>W14HD10O1IEM32</t>
  </si>
  <si>
    <t>W14HD10O3IEL10</t>
  </si>
  <si>
    <t>W14HD16F5IEM37</t>
  </si>
  <si>
    <t>W14HD16M7IEL12</t>
  </si>
  <si>
    <t>W14HD16M7IEM34</t>
  </si>
  <si>
    <t>W14HD16N2IED48</t>
  </si>
  <si>
    <t>W14HD16O1IEM32</t>
  </si>
  <si>
    <t>W14HD17K8IED49</t>
  </si>
  <si>
    <t>W14HD17N9IED46</t>
  </si>
  <si>
    <t>W14HD17N9IED62</t>
  </si>
  <si>
    <t>W14HD18C7IEM33</t>
  </si>
  <si>
    <t>W14HD18M8IED50</t>
  </si>
  <si>
    <t>W14HD19N1IED52</t>
  </si>
  <si>
    <t>W14HD19O1IEM32</t>
  </si>
  <si>
    <t>W14HD20K8IED49</t>
  </si>
  <si>
    <t>W14HD20M7IEM34</t>
  </si>
  <si>
    <t>W14HD20M8IED50</t>
  </si>
  <si>
    <t>W14HD20N9IED62</t>
  </si>
  <si>
    <t>W14HD20O2IED63</t>
  </si>
  <si>
    <t>W14HD21K8IED49</t>
  </si>
  <si>
    <t>W14HD21M7IEM34</t>
  </si>
  <si>
    <t>W14HD21N1IED51</t>
  </si>
  <si>
    <t>W14HD21N1IED52</t>
  </si>
  <si>
    <t>W14HD21N9IED46</t>
  </si>
  <si>
    <t>W14HD21O2IED63</t>
  </si>
  <si>
    <t>W14HD22K5IEW01</t>
  </si>
  <si>
    <t>W14HF03C8G1106</t>
  </si>
  <si>
    <t>W14HF03C8G1369</t>
  </si>
  <si>
    <t>W14HF03C8G1378</t>
  </si>
  <si>
    <t>W14HF03C8G1403</t>
  </si>
  <si>
    <t>W14HF03C8G1500</t>
  </si>
  <si>
    <t>W14HF03C8G3544</t>
  </si>
  <si>
    <t>W14HF03C8G4921</t>
  </si>
  <si>
    <t>W14HF03C8G4922</t>
  </si>
  <si>
    <t>W14HF03C8G6064</t>
  </si>
  <si>
    <t>W14HF03C8G6082</t>
  </si>
  <si>
    <t>W14HF04C8G1106</t>
  </si>
  <si>
    <t>W14HF04C8G1369</t>
  </si>
  <si>
    <t>W14HF04C8G1378</t>
  </si>
  <si>
    <t>W14HF04C8G1403</t>
  </si>
  <si>
    <t>W14HF04C8G1500</t>
  </si>
  <si>
    <t>W14HF04C8G3544</t>
  </si>
  <si>
    <t>W14HF04C8G4921</t>
  </si>
  <si>
    <t>W14HF04C8G4922</t>
  </si>
  <si>
    <t>W14HF04C8G6064</t>
  </si>
  <si>
    <t>W14HF04C8G6082</t>
  </si>
  <si>
    <t>W14HF06C8G1106</t>
  </si>
  <si>
    <t>W14HF06C8G1369</t>
  </si>
  <si>
    <t>W14HF06C8G1378</t>
  </si>
  <si>
    <t>W14HF06C8G1403</t>
  </si>
  <si>
    <t>W14HF06C8G1500</t>
  </si>
  <si>
    <t>W14HF06C8G3544</t>
  </si>
  <si>
    <t>W14HF06C8G4921</t>
  </si>
  <si>
    <t>W14HF06C8G4922</t>
  </si>
  <si>
    <t>W14HF06C8G6064</t>
  </si>
  <si>
    <t>W14HF06C8G6082</t>
  </si>
  <si>
    <t>W14HF07C8G1106</t>
  </si>
  <si>
    <t>W14HF07C8G1369</t>
  </si>
  <si>
    <t>W14HF07C8G1378</t>
  </si>
  <si>
    <t>W14HF07C8G1403</t>
  </si>
  <si>
    <t>W14HF07C8G1500</t>
  </si>
  <si>
    <t>W14HF07C8G3544</t>
  </si>
  <si>
    <t>W14HF07C8G4921</t>
  </si>
  <si>
    <t>W14HF07C8G4922</t>
  </si>
  <si>
    <t>W14HF07C8G6064</t>
  </si>
  <si>
    <t>W14HF07C8G6082</t>
  </si>
  <si>
    <t>W14HF08C8G1106</t>
  </si>
  <si>
    <t>W14HF08C8G1369</t>
  </si>
  <si>
    <t>W14HF08C8G1377</t>
  </si>
  <si>
    <t>W14HF08C8G1378</t>
  </si>
  <si>
    <t>W14HF08C8G1403</t>
  </si>
  <si>
    <t>W14HF08C8G1500</t>
  </si>
  <si>
    <t>W14HF08C8G3544</t>
  </si>
  <si>
    <t>W14HF08C8G4921</t>
  </si>
  <si>
    <t>W14HF08C8G4922</t>
  </si>
  <si>
    <t>W14HF08C8G6064</t>
  </si>
  <si>
    <t>W14HF08C8G6082</t>
  </si>
  <si>
    <t>W14HF20C8G1106</t>
  </si>
  <si>
    <t>W14HF20C8G1285</t>
  </si>
  <si>
    <t>W14HF20C8G1378</t>
  </si>
  <si>
    <t>W14HF20C8G1403</t>
  </si>
  <si>
    <t>W14HF20C8G3544</t>
  </si>
  <si>
    <t>W14HF20C8G4921</t>
  </si>
  <si>
    <t>W14HF20C8G6064</t>
  </si>
  <si>
    <t>W14HF20C8G6082</t>
  </si>
  <si>
    <t>W14HF21B8G1106</t>
  </si>
  <si>
    <t>W14HF21B8G1378</t>
  </si>
  <si>
    <t>W14HF21B8G1403</t>
  </si>
  <si>
    <t>W14HF21B8G3544</t>
  </si>
  <si>
    <t>W14HF21B8G4921</t>
  </si>
  <si>
    <t>W14HF21B8G6064</t>
  </si>
  <si>
    <t>W14HF21B8G6082</t>
  </si>
  <si>
    <t>W14HF22B8G1106</t>
  </si>
  <si>
    <t>W14HF22B8G1378</t>
  </si>
  <si>
    <t>W14HF22B8G1403</t>
  </si>
  <si>
    <t>W14HF22B8G3544</t>
  </si>
  <si>
    <t>W14HF22B8G4921</t>
  </si>
  <si>
    <t>W14HF22B8G4922</t>
  </si>
  <si>
    <t>W14HF22B8G6064</t>
  </si>
  <si>
    <t>W14HF22B8G6082</t>
  </si>
  <si>
    <t>W14HF23B8G1106</t>
  </si>
  <si>
    <t>W14HF23B8G1378</t>
  </si>
  <si>
    <t>W14HF23B8G1403</t>
  </si>
  <si>
    <t>W14HF23B8G3544</t>
  </si>
  <si>
    <t>W14HF23B8G4921</t>
  </si>
  <si>
    <t>W14HF23B8G6064</t>
  </si>
  <si>
    <t>W14HF23B8G6082</t>
  </si>
  <si>
    <t>W14HF24B8G1106</t>
  </si>
  <si>
    <t>W14HF24B8G1378</t>
  </si>
  <si>
    <t>W14HF24B8G1403</t>
  </si>
  <si>
    <t>W14HF24B8G3544</t>
  </si>
  <si>
    <t>W14HF24B8G4921</t>
  </si>
  <si>
    <t>W14HF24B8G6064</t>
  </si>
  <si>
    <t>W14HF24B8G6082</t>
  </si>
  <si>
    <t>W14HF26B8G1106</t>
  </si>
  <si>
    <t>W14HF26B8G1378</t>
  </si>
  <si>
    <t>W14HF26B8G1403</t>
  </si>
  <si>
    <t>W14HF26B8G3544</t>
  </si>
  <si>
    <t>W14HF26B8G4921</t>
  </si>
  <si>
    <t>W14HF26B8G6064</t>
  </si>
  <si>
    <t>W14HF26B8G6082</t>
  </si>
  <si>
    <t>W14HF27B8G1106</t>
  </si>
  <si>
    <t>W14HF27B8G1378</t>
  </si>
  <si>
    <t>W14HF27B8G1403</t>
  </si>
  <si>
    <t>W14HF27B8G3544</t>
  </si>
  <si>
    <t>W14HF27B8G4921</t>
  </si>
  <si>
    <t>W14HF27B8G4922</t>
  </si>
  <si>
    <t>W14HF27B8G6064</t>
  </si>
  <si>
    <t>W14HF27B8G6082</t>
  </si>
  <si>
    <t>W14HF30B8G1106</t>
  </si>
  <si>
    <t>W14HF30B8G1369</t>
  </si>
  <si>
    <t>W14HF30B8G1378</t>
  </si>
  <si>
    <t>W14HF30B8G1500</t>
  </si>
  <si>
    <t>W14HF30B8G6082</t>
  </si>
  <si>
    <t>W14HF30C8G1106</t>
  </si>
  <si>
    <t>W14HF30C8G1369</t>
  </si>
  <si>
    <t>W14HF30C8G1378</t>
  </si>
  <si>
    <t>W14HF30C8G1500</t>
  </si>
  <si>
    <t>W14HF31B8G1106</t>
  </si>
  <si>
    <t>W14HF31B8G1378</t>
  </si>
  <si>
    <t>W14HF31B8G1403</t>
  </si>
  <si>
    <t>W14HF31B8G3544</t>
  </si>
  <si>
    <t>W14HF31B8G4921</t>
  </si>
  <si>
    <t>W14HF31B8G6064</t>
  </si>
  <si>
    <t>W14HF31B8G6082</t>
  </si>
  <si>
    <t>W14HF43B8G1106</t>
  </si>
  <si>
    <t>W14HF43B8G1378</t>
  </si>
  <si>
    <t>W14HF43B8G1403</t>
  </si>
  <si>
    <t>W14HF43B8G3544</t>
  </si>
  <si>
    <t>W14HF43B8G4921</t>
  </si>
  <si>
    <t>W14HF43B8G6064</t>
  </si>
  <si>
    <t>W14HF43B8G6082</t>
  </si>
  <si>
    <t>W14HF44B8G1106</t>
  </si>
  <si>
    <t>W14HF44B8G1377</t>
  </si>
  <si>
    <t>W14HF44B8G1403</t>
  </si>
  <si>
    <t>W14HF44B8G6082</t>
  </si>
  <si>
    <t>W14HF45B8G1106</t>
  </si>
  <si>
    <t>W14HF45B8G1377</t>
  </si>
  <si>
    <t>W14HF45B8G1403</t>
  </si>
  <si>
    <t>W14HF45B8G6082</t>
  </si>
  <si>
    <t>W14HG01N1IED52</t>
  </si>
  <si>
    <t>W14HG01N9IED46</t>
  </si>
  <si>
    <t>W14HG01O1IEM32</t>
  </si>
  <si>
    <t>W14HG02B9G1001</t>
  </si>
  <si>
    <t>W14HG02B9G1004</t>
  </si>
  <si>
    <t>W14HG02B9G4926</t>
  </si>
  <si>
    <t>W14HG04D4G1001</t>
  </si>
  <si>
    <t>W14HG05D5G1001</t>
  </si>
  <si>
    <t>W14HG05D5G4000</t>
  </si>
  <si>
    <t>W14HH03N9IED46</t>
  </si>
  <si>
    <t>W14HH03N9IED62</t>
  </si>
  <si>
    <t>W14HJ10O8IE999</t>
  </si>
  <si>
    <t>W14HK12P2IE101</t>
  </si>
  <si>
    <t>W14HK12P2IE999</t>
  </si>
  <si>
    <t>W14HK13P2IE101</t>
  </si>
  <si>
    <t>W14HK13P2IE999</t>
  </si>
  <si>
    <t>W14HK14P3IE013</t>
  </si>
  <si>
    <t>W14HK15P4IE999</t>
  </si>
  <si>
    <t>W14HK16P4IE999</t>
  </si>
  <si>
    <t>W14HS01C4G1106</t>
  </si>
  <si>
    <t>W14HS01C4G1378</t>
  </si>
  <si>
    <t>W14HS01C4G1403</t>
  </si>
  <si>
    <t>W14HS01C4G3544</t>
  </si>
  <si>
    <t>W14HS01C4G4921</t>
  </si>
  <si>
    <t>W14HS01C4G4922</t>
  </si>
  <si>
    <t>W14HS01C4G6064</t>
  </si>
  <si>
    <t>W14HS01C4G6082</t>
  </si>
  <si>
    <t>W14HS01C4G6216</t>
  </si>
  <si>
    <t>W14HS02C4G1106</t>
  </si>
  <si>
    <t>W14HS02C4G1378</t>
  </si>
  <si>
    <t>W14HS02C4G1403</t>
  </si>
  <si>
    <t>W14HS02C4G3544</t>
  </si>
  <si>
    <t>W14HS02C4G4921</t>
  </si>
  <si>
    <t>W14HS02C4G4922</t>
  </si>
  <si>
    <t>W14HS02C4G6064</t>
  </si>
  <si>
    <t>W14HS02C4G6082</t>
  </si>
  <si>
    <t>W14HS03C4G1106</t>
  </si>
  <si>
    <t>W14HS03C4G1378</t>
  </si>
  <si>
    <t>W14HS03C4G1403</t>
  </si>
  <si>
    <t>W14HS03C4G3544</t>
  </si>
  <si>
    <t>W14HS03C4G4921</t>
  </si>
  <si>
    <t>W14HS03C4G4922</t>
  </si>
  <si>
    <t>W14HS03C4G6064</t>
  </si>
  <si>
    <t>W14HS03C4G6082</t>
  </si>
  <si>
    <t>W14HT01B9G1106</t>
  </si>
  <si>
    <t>W14HT01B9G1378</t>
  </si>
  <si>
    <t>W14HT01B9G1403</t>
  </si>
  <si>
    <t>W14HT01B9G1700</t>
  </si>
  <si>
    <t>W14HT01B9G3544</t>
  </si>
  <si>
    <t>W14HT01B9G4921</t>
  </si>
  <si>
    <t>W14HT01B9G4922</t>
  </si>
  <si>
    <t>W14HT01B9G6064</t>
  </si>
  <si>
    <t>W14HT01B9G6082</t>
  </si>
  <si>
    <t>W14HT02C5G1106</t>
  </si>
  <si>
    <t>W14HT02C5G1378</t>
  </si>
  <si>
    <t>W14HT02C5G1403</t>
  </si>
  <si>
    <t>W14HT02C5G1700</t>
  </si>
  <si>
    <t>W14HT02C5G3544</t>
  </si>
  <si>
    <t>W14HT02C5G4921</t>
  </si>
  <si>
    <t>W14HT02C5G6064</t>
  </si>
  <si>
    <t>W14HT02C5G6082</t>
  </si>
  <si>
    <t>W14HT09B9G1106</t>
  </si>
  <si>
    <t>W14HT09B9G1378</t>
  </si>
  <si>
    <t>W14HT09B9G1403</t>
  </si>
  <si>
    <t>W14HT09B9G1700</t>
  </si>
  <si>
    <t>W14HT09B9G3544</t>
  </si>
  <si>
    <t>W14HT09B9G4921</t>
  </si>
  <si>
    <t>W14HT09B9G4922</t>
  </si>
  <si>
    <t>W14HT09B9G6064</t>
  </si>
  <si>
    <t>W14HT09B9G6082</t>
  </si>
  <si>
    <t>W14HT10B9G1106</t>
  </si>
  <si>
    <t>W14HT10B9G1378</t>
  </si>
  <si>
    <t>W14HT10B9G1403</t>
  </si>
  <si>
    <t>W14HT10B9G1700</t>
  </si>
  <si>
    <t>W14HT10B9G3544</t>
  </si>
  <si>
    <t>W14HT10B9G4921</t>
  </si>
  <si>
    <t>W14HT10B9G4922</t>
  </si>
  <si>
    <t>W14HT10B9G6064</t>
  </si>
  <si>
    <t>W14HT10B9G6082</t>
  </si>
  <si>
    <t>W14HT11B9G1106</t>
  </si>
  <si>
    <t>W14HT11B9G1378</t>
  </si>
  <si>
    <t>W14HT11B9G1403</t>
  </si>
  <si>
    <t>W14HT11B9G1700</t>
  </si>
  <si>
    <t>W14HT11B9G3544</t>
  </si>
  <si>
    <t>W14HT11B9G4921</t>
  </si>
  <si>
    <t>W14HT11B9G4922</t>
  </si>
  <si>
    <t>W14HT11B9G6064</t>
  </si>
  <si>
    <t>W14HT11B9G6082</t>
  </si>
  <si>
    <t>W14HT12B9G1106</t>
  </si>
  <si>
    <t>W14HT12B9G1378</t>
  </si>
  <si>
    <t>W14HT12B9G1403</t>
  </si>
  <si>
    <t>W14HT12B9G1700</t>
  </si>
  <si>
    <t>W14HT12B9G3544</t>
  </si>
  <si>
    <t>W14HT12B9G4921</t>
  </si>
  <si>
    <t>W14HT12B9G6064</t>
  </si>
  <si>
    <t>W14HT12B9G6082</t>
  </si>
  <si>
    <t>W14HT13B9G1106</t>
  </si>
  <si>
    <t>W14HT13B9G1378</t>
  </si>
  <si>
    <t>W14HT13B9G1403</t>
  </si>
  <si>
    <t>W14HT13B9G1700</t>
  </si>
  <si>
    <t>W14HT13B9G1701</t>
  </si>
  <si>
    <t>W14HT13B9G3544</t>
  </si>
  <si>
    <t>W14HT13B9G4921</t>
  </si>
  <si>
    <t>W14HT13B9G4922</t>
  </si>
  <si>
    <t>W14HT13B9G6064</t>
  </si>
  <si>
    <t>W14HT13B9G6082</t>
  </si>
  <si>
    <t>W14HT14B9G1106</t>
  </si>
  <si>
    <t>W14HT14B9G1378</t>
  </si>
  <si>
    <t>W14HT14B9G1403</t>
  </si>
  <si>
    <t>W14HT14B9G1700</t>
  </si>
  <si>
    <t>W14HT14B9G3544</t>
  </si>
  <si>
    <t>W14HT14B9G4921</t>
  </si>
  <si>
    <t>W14HT14B9G4922</t>
  </si>
  <si>
    <t>W14HT14B9G6064</t>
  </si>
  <si>
    <t>W14HT14B9G6082</t>
  </si>
  <si>
    <t>W14HT15B9G1106</t>
  </si>
  <si>
    <t>W14HT15B9G1378</t>
  </si>
  <si>
    <t>W14HT15B9G1403</t>
  </si>
  <si>
    <t>W14HT15B9G1700</t>
  </si>
  <si>
    <t>W14HT15B9G3544</t>
  </si>
  <si>
    <t>W14HT15B9G4921</t>
  </si>
  <si>
    <t>W14HT15B9G4922</t>
  </si>
  <si>
    <t>W14HT15B9G6064</t>
  </si>
  <si>
    <t>W14HT15B9G6082</t>
  </si>
  <si>
    <t>W14HT16C5G1106</t>
  </si>
  <si>
    <t>W14HT16C5G1369</t>
  </si>
  <si>
    <t>W14HT16C5G1378</t>
  </si>
  <si>
    <t>W14HT16C5G1500</t>
  </si>
  <si>
    <t>W14HT16C5G1700</t>
  </si>
  <si>
    <t>W14HT16C5G1701</t>
  </si>
  <si>
    <t>W14HT16C5G6064</t>
  </si>
  <si>
    <t>W14HT16C5G6082</t>
  </si>
  <si>
    <t>W14HT17B9G1106</t>
  </si>
  <si>
    <t>W14HT17B9G1378</t>
  </si>
  <si>
    <t>W14HT17B9G1403</t>
  </si>
  <si>
    <t>W14HT17B9G1700</t>
  </si>
  <si>
    <t>W14HT17B9G3544</t>
  </si>
  <si>
    <t>W14HT17B9G4921</t>
  </si>
  <si>
    <t>W14HT17B9G4922</t>
  </si>
  <si>
    <t>W14HT17B9G6064</t>
  </si>
  <si>
    <t>W14HT17B9G6082</t>
  </si>
  <si>
    <t>W14HT18C5G1106</t>
  </si>
  <si>
    <t>W14HT18C5G1369</t>
  </si>
  <si>
    <t>W14HT18C5G1378</t>
  </si>
  <si>
    <t>W14HT18C5G1500</t>
  </si>
  <si>
    <t>W14HT18C5G1700</t>
  </si>
  <si>
    <t>W14HT18C5G1701</t>
  </si>
  <si>
    <t>W14HT18C5G6064</t>
  </si>
  <si>
    <t>W14HT18C5G6082</t>
  </si>
  <si>
    <t>W14HT19B9G1106</t>
  </si>
  <si>
    <t>W14HT19B9G1378</t>
  </si>
  <si>
    <t>W14HT19B9G1403</t>
  </si>
  <si>
    <t>W14HT19B9G1700</t>
  </si>
  <si>
    <t>W14HT19B9G3544</t>
  </si>
  <si>
    <t>W14HT19B9G4921</t>
  </si>
  <si>
    <t>W14HT19B9G4922</t>
  </si>
  <si>
    <t>W14HT19B9G6064</t>
  </si>
  <si>
    <t>W14HT19B9G6082</t>
  </si>
  <si>
    <t>W14HT20M6IE100</t>
  </si>
  <si>
    <t>W14HT28E3G1106</t>
  </si>
  <si>
    <t>W14HT28E3G1303</t>
  </si>
  <si>
    <t>W14HT28E3G1403</t>
  </si>
  <si>
    <t>W14HT28E3G1700</t>
  </si>
  <si>
    <t>W14HT28E3G4753</t>
  </si>
  <si>
    <t>W14HT28E3G6500</t>
  </si>
  <si>
    <t>W14HT28E3G8039</t>
  </si>
  <si>
    <t>W14HT46B9G1377</t>
  </si>
  <si>
    <t>W14HT46B9G1403</t>
  </si>
  <si>
    <t>W14HT46B9G6082</t>
  </si>
  <si>
    <t>W14HW09N3IEL11</t>
  </si>
  <si>
    <t>W14HW10L4IEL13</t>
  </si>
  <si>
    <t>W14HW10L4IEM35</t>
  </si>
  <si>
    <t>W14HW11L4IEW18</t>
  </si>
  <si>
    <t>W14HW11M9IEM36</t>
  </si>
  <si>
    <t>W14RD10C7IED43</t>
  </si>
  <si>
    <t>W14S06B2G3000</t>
  </si>
  <si>
    <t>W14S06B2G4000</t>
  </si>
  <si>
    <t>W14S06B2G4643</t>
  </si>
  <si>
    <t>W14S06B2G6000</t>
  </si>
  <si>
    <t>W14SD01A2IEB01</t>
  </si>
  <si>
    <t>W14SD01A2IED02</t>
  </si>
  <si>
    <t>W14SD01A2IEM12</t>
  </si>
  <si>
    <t>W14SD01C6IED08</t>
  </si>
  <si>
    <t>W14SD01C6IEL02</t>
  </si>
  <si>
    <t>W14SD01C7IED09</t>
  </si>
  <si>
    <t>W14SD01C7IED10</t>
  </si>
  <si>
    <t>W14SD01C7IEM06</t>
  </si>
  <si>
    <t>W14SD01D3IEB01</t>
  </si>
  <si>
    <t>W14SD01D3IED02</t>
  </si>
  <si>
    <t>W14SD01D3IEM12</t>
  </si>
  <si>
    <t>W14SD02C6IED08</t>
  </si>
  <si>
    <t>W14SD02C6IED12</t>
  </si>
  <si>
    <t>W14SD02C6IEL02</t>
  </si>
  <si>
    <t>W14SD02C7IEM08</t>
  </si>
  <si>
    <t>W14SD02C7IEM09</t>
  </si>
  <si>
    <t>W14SD03A2IEB01</t>
  </si>
  <si>
    <t>W14SD03A2IEB03</t>
  </si>
  <si>
    <t>W14SD03A2IEB04</t>
  </si>
  <si>
    <t>W14SD03A2IER01</t>
  </si>
  <si>
    <t>W14SD03C6IED08</t>
  </si>
  <si>
    <t>W14SD03C6IEL02</t>
  </si>
  <si>
    <t>W14SD03C7IED09</t>
  </si>
  <si>
    <t>W14SD03C7IED10</t>
  </si>
  <si>
    <t>W14SD03C7IEM06</t>
  </si>
  <si>
    <t>W14SD03D3IEM12</t>
  </si>
  <si>
    <t>W14SD04A2IEB03</t>
  </si>
  <si>
    <t>W14SD04A2IEB04</t>
  </si>
  <si>
    <t>W14SD04A2IER01</t>
  </si>
  <si>
    <t>W14SD04C7IED09</t>
  </si>
  <si>
    <t>W14SD04C7IED10</t>
  </si>
  <si>
    <t>W14SD04C7IEM06</t>
  </si>
  <si>
    <t>W14SD04C7IEM08</t>
  </si>
  <si>
    <t>W14SD04C7IEM09</t>
  </si>
  <si>
    <t>W14SD04D3IEB01</t>
  </si>
  <si>
    <t>W14SD04D3IED02</t>
  </si>
  <si>
    <t>W14SD04D3IEM12</t>
  </si>
  <si>
    <t>W14SD07A2IEB01</t>
  </si>
  <si>
    <t>W14SD07A2IEM12</t>
  </si>
  <si>
    <t>W14SD07A2IER01</t>
  </si>
  <si>
    <t>W14SD07C7IED09</t>
  </si>
  <si>
    <t>W14SD07C7IED10</t>
  </si>
  <si>
    <t>W14SD07C7IEM06</t>
  </si>
  <si>
    <t>W14SD07C7IEM08</t>
  </si>
  <si>
    <t>W14SD07C7IEM09</t>
  </si>
  <si>
    <t>W14SD07D3IED02</t>
  </si>
  <si>
    <t>W14SE24B3G1001</t>
  </si>
  <si>
    <t>W14SE24B3G1701</t>
  </si>
  <si>
    <t>W14SE24B3G3002</t>
  </si>
  <si>
    <t>W14SE24B3G3498</t>
  </si>
  <si>
    <t>W14SE25B3G1001</t>
  </si>
  <si>
    <t>W14SE25B3G1701</t>
  </si>
  <si>
    <t>W14SE26B6G2000</t>
  </si>
  <si>
    <t>W14SF23B8G1370</t>
  </si>
  <si>
    <t>W14SF23B8G2300</t>
  </si>
  <si>
    <t>W14SF24B6G1285</t>
  </si>
  <si>
    <t>W14SF24B6G1700</t>
  </si>
  <si>
    <t>W14SF24B6G4000</t>
  </si>
  <si>
    <t>W14SF24B6G4643</t>
  </si>
  <si>
    <t>W14SF24B6G4730</t>
  </si>
  <si>
    <t>W14SF24B6G6000</t>
  </si>
  <si>
    <t>W14SF25B8G4000</t>
  </si>
  <si>
    <t>W14SF25B8G4643</t>
  </si>
  <si>
    <t>W14SF25B8G4730</t>
  </si>
  <si>
    <t>W14SF25B8G6000</t>
  </si>
  <si>
    <t>W14SF25B8G6064</t>
  </si>
  <si>
    <t>W14SF26B8G1285</t>
  </si>
  <si>
    <t>W14SF26B8G1377</t>
  </si>
  <si>
    <t>W14SF26B8G1378</t>
  </si>
  <si>
    <t>W14SF26B8G1700</t>
  </si>
  <si>
    <t>W14SF26B8G3000</t>
  </si>
  <si>
    <t>W14SF26B8G4000</t>
  </si>
  <si>
    <t>W14SF26B8G4730</t>
  </si>
  <si>
    <t>W14SF27B6G1285</t>
  </si>
  <si>
    <t>W14SF27B6G1700</t>
  </si>
  <si>
    <t>W14SF27B6G4000</t>
  </si>
  <si>
    <t>W14SF27B6G6000</t>
  </si>
  <si>
    <t>W14SF28B7G1001</t>
  </si>
  <si>
    <t>W14SF28B7G1377</t>
  </si>
  <si>
    <t>W14SF28B7G4000</t>
  </si>
  <si>
    <t>W14SF28B7G6000</t>
  </si>
  <si>
    <t>W14SF29B6G1285</t>
  </si>
  <si>
    <t>W14SF29B6G4000</t>
  </si>
  <si>
    <t>W14SF29B6G4643</t>
  </si>
  <si>
    <t>W14SF29B6G4730</t>
  </si>
  <si>
    <t>W14SF29B6G6000</t>
  </si>
  <si>
    <t>W14SF30C2G4143</t>
  </si>
  <si>
    <t>W14SF30C2G6000</t>
  </si>
  <si>
    <t>W14SF31C2G4143</t>
  </si>
  <si>
    <t>W14SF31C2G6000</t>
  </si>
  <si>
    <t>W14SF32B8G1377</t>
  </si>
  <si>
    <t>W14SF32B8G1378</t>
  </si>
  <si>
    <t>W14SF32B8G3000</t>
  </si>
  <si>
    <t>W14SF32B8G4000</t>
  </si>
  <si>
    <t>W14SF32B8G6000</t>
  </si>
  <si>
    <t>W14SF33C2G4143</t>
  </si>
  <si>
    <t>W14SF33C2G6000</t>
  </si>
  <si>
    <t>W14SF34B8G1285</t>
  </si>
  <si>
    <t>W14SF34B8G1377</t>
  </si>
  <si>
    <t>W14SF34B8G1378</t>
  </si>
  <si>
    <t>W14SF34B8G1700</t>
  </si>
  <si>
    <t>W14SF34B8G3000</t>
  </si>
  <si>
    <t>W14SF34B8G4000</t>
  </si>
  <si>
    <t>W14SF34B8G4643</t>
  </si>
  <si>
    <t>W14SF34B8G6000</t>
  </si>
  <si>
    <t>W14SF34B8G6064</t>
  </si>
  <si>
    <t>W14SF35B8G1377</t>
  </si>
  <si>
    <t>W14SF35B8G1378</t>
  </si>
  <si>
    <t>W14SF35B8G1700</t>
  </si>
  <si>
    <t>W14SF35B8G3000</t>
  </si>
  <si>
    <t>W14SF35B8G4000</t>
  </si>
  <si>
    <t>W14SF35B8G4730</t>
  </si>
  <si>
    <t>W14SF35B8G6000</t>
  </si>
  <si>
    <t>W14SF36B8G1378</t>
  </si>
  <si>
    <t>W14SF36B8G3000</t>
  </si>
  <si>
    <t>W14SF36B8G4000</t>
  </si>
  <si>
    <t>W14SF36B8G4730</t>
  </si>
  <si>
    <t>W14SF37B8G1377</t>
  </si>
  <si>
    <t>W14SF37B8G1378</t>
  </si>
  <si>
    <t>W14SF37B8G1700</t>
  </si>
  <si>
    <t>W14SF37B8G3000</t>
  </si>
  <si>
    <t>W14SF37B8G4000</t>
  </si>
  <si>
    <t>W14SF37B8G4730</t>
  </si>
  <si>
    <t>W14SF37B8G6000</t>
  </si>
  <si>
    <t>W14SF38B6G1285</t>
  </si>
  <si>
    <t>W14SF38B6G1700</t>
  </si>
  <si>
    <t>W14SF38B6G4000</t>
  </si>
  <si>
    <t>W14SF49B6G1285</t>
  </si>
  <si>
    <t>W14SF49B6G4730</t>
  </si>
  <si>
    <t>W14SF49B6G6451</t>
  </si>
  <si>
    <t>W14SH01A2IE602</t>
  </si>
  <si>
    <t>W14SH01A2IEB03</t>
  </si>
  <si>
    <t>W14SJ01A2IER01</t>
  </si>
  <si>
    <t>W14SJ01D3IEB01</t>
  </si>
  <si>
    <t>W14SJ02A2IE302</t>
  </si>
  <si>
    <t>W14SJ02A2IE602</t>
  </si>
  <si>
    <t>W14SJ02C7IED10</t>
  </si>
  <si>
    <t>W14SJ04D6IE215</t>
  </si>
  <si>
    <t>W14SJ04D6IE880</t>
  </si>
  <si>
    <t>W14SJ14A9G1001</t>
  </si>
  <si>
    <t>W14SJ14A9G3106</t>
  </si>
  <si>
    <t>W14SJ14A9G6000</t>
  </si>
  <si>
    <t>W14SJ15A9G1001</t>
  </si>
  <si>
    <t>W14SJ15A9G6000</t>
  </si>
  <si>
    <t>W14SK02D8IE662</t>
  </si>
  <si>
    <t>W14SK02D8IE870</t>
  </si>
  <si>
    <t>W14SK04D9IE662</t>
  </si>
  <si>
    <t>W14SK04D9IE945</t>
  </si>
  <si>
    <t>W14SK05E1IE647</t>
  </si>
  <si>
    <t>W14SK05E1IE847</t>
  </si>
  <si>
    <t>W14SK39C4G1001</t>
  </si>
  <si>
    <t>W14SK39C4G1377</t>
  </si>
  <si>
    <t>W14SK39C4G2166</t>
  </si>
  <si>
    <t>W14SK39C4G4201</t>
  </si>
  <si>
    <t>W14SK39C4G4730</t>
  </si>
  <si>
    <t>W14SK39C4G4753</t>
  </si>
  <si>
    <t>W14SK39C4G6000</t>
  </si>
  <si>
    <t>W14SK40C4G1001</t>
  </si>
  <si>
    <t>W14SK40C4G1377</t>
  </si>
  <si>
    <t>W14SK40C4G1378</t>
  </si>
  <si>
    <t>W14SK40C4G2166</t>
  </si>
  <si>
    <t>W14SK40C4G4643</t>
  </si>
  <si>
    <t>W14SK40C4G4730</t>
  </si>
  <si>
    <t>W14SK40C4G6000</t>
  </si>
  <si>
    <t>W14SL16B7G1001</t>
  </si>
  <si>
    <t>W14SL16B7G1004</t>
  </si>
  <si>
    <t>W14SL17B4G1001</t>
  </si>
  <si>
    <t>W14SL17B4G2000</t>
  </si>
  <si>
    <t>W14SL17B4G6000</t>
  </si>
  <si>
    <t>W14SL18B4G1001</t>
  </si>
  <si>
    <t>W14SL18B4G2000</t>
  </si>
  <si>
    <t>W14SL18B4G6000</t>
  </si>
  <si>
    <t>W14SL22B3G1701</t>
  </si>
  <si>
    <t>W14SL22B3G2000</t>
  </si>
  <si>
    <t>W14SL22B3G3002</t>
  </si>
  <si>
    <t>W14SL22B3G7421</t>
  </si>
  <si>
    <t>W14SL23B3G1001</t>
  </si>
  <si>
    <t>W14SL23B3G1701</t>
  </si>
  <si>
    <t>W14SL23B3G6081</t>
  </si>
  <si>
    <t>W14SL27B4G1001</t>
  </si>
  <si>
    <t>W14SL27B4G2300</t>
  </si>
  <si>
    <t>W14SL27B4G6000</t>
  </si>
  <si>
    <t>W14SP02C9IE410</t>
  </si>
  <si>
    <t>W14SP02C9IE660</t>
  </si>
  <si>
    <t>W14SP02C9IE840</t>
  </si>
  <si>
    <t>W14SP02D1IE318</t>
  </si>
  <si>
    <t>W14SP02D1IE930</t>
  </si>
  <si>
    <t>W14SP02D2IE101</t>
  </si>
  <si>
    <t>W14SP02D2IE640</t>
  </si>
  <si>
    <t>W14SP02D2IE815</t>
  </si>
  <si>
    <t>W14SP03C9IE410</t>
  </si>
  <si>
    <t>W14SP03C9IE660</t>
  </si>
  <si>
    <t>W14SP03C9IE810</t>
  </si>
  <si>
    <t>W14SP03C9IE840</t>
  </si>
  <si>
    <t>W14SP03D1IE318</t>
  </si>
  <si>
    <t>W14SP03D1IE930</t>
  </si>
  <si>
    <t>W14SP04C9IE410</t>
  </si>
  <si>
    <t>W14SP04C9IE660</t>
  </si>
  <si>
    <t>W14SP04C9IE810</t>
  </si>
  <si>
    <t>W14SP04C9IE840</t>
  </si>
  <si>
    <t>W14SP04D1IE318</t>
  </si>
  <si>
    <t>W14SP04D1IE840</t>
  </si>
  <si>
    <t>W14SP04D1IE930</t>
  </si>
  <si>
    <t>W14SP04D2IE640</t>
  </si>
  <si>
    <t>W14SP04D2IE710</t>
  </si>
  <si>
    <t>W14SP04D2IE815</t>
  </si>
  <si>
    <t>W14SQ19B1G1001</t>
  </si>
  <si>
    <t>W14SQ19B1G3002</t>
  </si>
  <si>
    <t>W14SQ19B1G3498</t>
  </si>
  <si>
    <t>W14SQ19B1G4100</t>
  </si>
  <si>
    <t>W14SQ19B1G6000</t>
  </si>
  <si>
    <t>W14SQ19B1G7000</t>
  </si>
  <si>
    <t>W14SQ20B1G1001</t>
  </si>
  <si>
    <t>W14SQ20B1G3002</t>
  </si>
  <si>
    <t>W14SQ20B1G4100</t>
  </si>
  <si>
    <t>W14SQ20B1G6000</t>
  </si>
  <si>
    <t>W14SQ20B1G7000</t>
  </si>
  <si>
    <t>W14SQ21B1G1001</t>
  </si>
  <si>
    <t>W14SQ21B1G3002</t>
  </si>
  <si>
    <t>W14SQ21B1G4000</t>
  </si>
  <si>
    <t>W14SQ21B1G6000</t>
  </si>
  <si>
    <t>W14SQ21B1G7000</t>
  </si>
  <si>
    <t>W14ST01C1G1377</t>
  </si>
  <si>
    <t>W14ST01C1G1378</t>
  </si>
  <si>
    <t>W14ST01C1G3489</t>
  </si>
  <si>
    <t>W14ST01C1G4643</t>
  </si>
  <si>
    <t>W14ST01C1G6000</t>
  </si>
  <si>
    <t>W14ST01E2IE100</t>
  </si>
  <si>
    <t>W14ST01E2IE926</t>
  </si>
  <si>
    <t>W14ST01E2IE999</t>
  </si>
  <si>
    <t>W14ST02B2G3000</t>
  </si>
  <si>
    <t>W14ST02B2G4000</t>
  </si>
  <si>
    <t>W14ST02B2G4643</t>
  </si>
  <si>
    <t>W14ST02B2G4730</t>
  </si>
  <si>
    <t>W14ST02B2G6000</t>
  </si>
  <si>
    <t>W14ST03B2G1377</t>
  </si>
  <si>
    <t>W14ST03B2G1378</t>
  </si>
  <si>
    <t>W14ST03B2G3000</t>
  </si>
  <si>
    <t>W14ST03B2G4000</t>
  </si>
  <si>
    <t>W14ST03B2G4643</t>
  </si>
  <si>
    <t>W14ST03B2G6000</t>
  </si>
  <si>
    <t>W14ST03E2IE666</t>
  </si>
  <si>
    <t>W14ST03E2IE833</t>
  </si>
  <si>
    <t>W14ST03E2IE940</t>
  </si>
  <si>
    <t>W14ST04B1G1001</t>
  </si>
  <si>
    <t>W14ST04B1G1377</t>
  </si>
  <si>
    <t>W14ST04B1G1378</t>
  </si>
  <si>
    <t>W14ST04B1G1700</t>
  </si>
  <si>
    <t>W14ST04B1G3000</t>
  </si>
  <si>
    <t>W14ST04B1G4000</t>
  </si>
  <si>
    <t>W14ST04B1G4643</t>
  </si>
  <si>
    <t>W14ST04B1G4729</t>
  </si>
  <si>
    <t>W14ST04B1G6000</t>
  </si>
  <si>
    <t>W14ST04E2IE666</t>
  </si>
  <si>
    <t>W14ST04E2IE833</t>
  </si>
  <si>
    <t>W14ST04E2IE940</t>
  </si>
  <si>
    <t>W14ST05B9G1377</t>
  </si>
  <si>
    <t>W14ST05B9G1378</t>
  </si>
  <si>
    <t>W14ST05B9G1700</t>
  </si>
  <si>
    <t>W14ST05B9G4000</t>
  </si>
  <si>
    <t>W14ST05B9G4643</t>
  </si>
  <si>
    <t>W14ST05B9G6000</t>
  </si>
  <si>
    <t>W14ST07B9G1001</t>
  </si>
  <si>
    <t>W14ST07B9G1377</t>
  </si>
  <si>
    <t>W14ST07B9G1378</t>
  </si>
  <si>
    <t>W14ST07B9G1700</t>
  </si>
  <si>
    <t>W14ST07B9G3000</t>
  </si>
  <si>
    <t>W14ST07B9G4000</t>
  </si>
  <si>
    <t>W14ST07B9G4730</t>
  </si>
  <si>
    <t>W14ST07B9G6000</t>
  </si>
  <si>
    <t>W14ST08B2G1377</t>
  </si>
  <si>
    <t>W14ST08B2G1378</t>
  </si>
  <si>
    <t>W14ST08B2G3000</t>
  </si>
  <si>
    <t>W14ST08B2G4000</t>
  </si>
  <si>
    <t>W14ST08B2G4643</t>
  </si>
  <si>
    <t>W14ST08B2G6000</t>
  </si>
  <si>
    <t>W14ST08E4IE710</t>
  </si>
  <si>
    <t>W14ST08E4IE910</t>
  </si>
  <si>
    <t>W14ST09B1G1001</t>
  </si>
  <si>
    <t>W14ST09B1G1377</t>
  </si>
  <si>
    <t>W14ST09B1G1700</t>
  </si>
  <si>
    <t>W14ST09B1G3000</t>
  </si>
  <si>
    <t>W14ST09B1G3489</t>
  </si>
  <si>
    <t>W14ST09B1G4000</t>
  </si>
  <si>
    <t>W14ST09B1G4643</t>
  </si>
  <si>
    <t>W14ST09B1G4729</t>
  </si>
  <si>
    <t>W14ST09B1G4730</t>
  </si>
  <si>
    <t>W14ST09B1G6000</t>
  </si>
  <si>
    <t>W14ST10B9G1001</t>
  </si>
  <si>
    <t>W14ST10B9G1377</t>
  </si>
  <si>
    <t>W14ST10B9G1378</t>
  </si>
  <si>
    <t>W14ST10B9G1700</t>
  </si>
  <si>
    <t>W14ST10B9G3000</t>
  </si>
  <si>
    <t>W14ST10B9G4000</t>
  </si>
  <si>
    <t>W14ST10B9G4643</t>
  </si>
  <si>
    <t>W14ST10B9G6000</t>
  </si>
  <si>
    <t>W14ST11B1G1001</t>
  </si>
  <si>
    <t>W14ST11B1G1377</t>
  </si>
  <si>
    <t>W14ST11B1G4000</t>
  </si>
  <si>
    <t>W14ST11B1G4729</t>
  </si>
  <si>
    <t>W14ST12B1G1001</t>
  </si>
  <si>
    <t>W14ST12B1G1377</t>
  </si>
  <si>
    <t>W14ST12B1G1378</t>
  </si>
  <si>
    <t>W14ST12B1G1700</t>
  </si>
  <si>
    <t>W14ST12B1G3000</t>
  </si>
  <si>
    <t>W14ST12B1G3489</t>
  </si>
  <si>
    <t>W14ST12B1G4000</t>
  </si>
  <si>
    <t>W14ST12B1G4643</t>
  </si>
  <si>
    <t>W14ST12B1G4729</t>
  </si>
  <si>
    <t>W14ST12B1G6000</t>
  </si>
  <si>
    <t>W14ST13B9G1001</t>
  </si>
  <si>
    <t>W14ST13B9G1377</t>
  </si>
  <si>
    <t>W14ST13B9G1378</t>
  </si>
  <si>
    <t>W14ST13B9G1700</t>
  </si>
  <si>
    <t>W14ST13B9G3000</t>
  </si>
  <si>
    <t>W14ST13B9G4000</t>
  </si>
  <si>
    <t>W14ST13B9G4643</t>
  </si>
  <si>
    <t>W14ST13B9G4729</t>
  </si>
  <si>
    <t>W14ST13B9G6000</t>
  </si>
  <si>
    <t>W14ST14B2G3000</t>
  </si>
  <si>
    <t>W14ST14B2G4000</t>
  </si>
  <si>
    <t>W14ST14B2G4643</t>
  </si>
  <si>
    <t>W14ST14B2G6000</t>
  </si>
  <si>
    <t>W14ST15B9G1377</t>
  </si>
  <si>
    <t>W14ST15B9G1378</t>
  </si>
  <si>
    <t>W14ST15B9G1700</t>
  </si>
  <si>
    <t>W14ST15B9G3000</t>
  </si>
  <si>
    <t>W14ST15B9G4000</t>
  </si>
  <si>
    <t>W14ST15B9G4643</t>
  </si>
  <si>
    <t>W14ST15B9G4730</t>
  </si>
  <si>
    <t>W14ST15B9G6000</t>
  </si>
  <si>
    <t>W14ST16B1G1377</t>
  </si>
  <si>
    <t>W14ST16B1G1378</t>
  </si>
  <si>
    <t>W14ST16B1G1700</t>
  </si>
  <si>
    <t>W14ST16B1G3000</t>
  </si>
  <si>
    <t>W14ST16B1G4000</t>
  </si>
  <si>
    <t>W14ST16B1G4643</t>
  </si>
  <si>
    <t>W14ST16B1G4729</t>
  </si>
  <si>
    <t>W14ST16B1G4730</t>
  </si>
  <si>
    <t>W14ST16B1G6000</t>
  </si>
  <si>
    <t>W14ST17B9G1377</t>
  </si>
  <si>
    <t>W14ST17B9G1378</t>
  </si>
  <si>
    <t>W14ST17B9G1700</t>
  </si>
  <si>
    <t>W14ST17B9G3000</t>
  </si>
  <si>
    <t>W14ST17B9G4000</t>
  </si>
  <si>
    <t>W14ST17B9G6000</t>
  </si>
  <si>
    <t>W14ST18B1G1285</t>
  </si>
  <si>
    <t>W14ST18B1G1377</t>
  </si>
  <si>
    <t>W14ST18B1G1378</t>
  </si>
  <si>
    <t>W14ST18B1G1700</t>
  </si>
  <si>
    <t>W14ST18B1G3000</t>
  </si>
  <si>
    <t>W14ST18B1G4000</t>
  </si>
  <si>
    <t>W14ST18B1G4730</t>
  </si>
  <si>
    <t>W14ST18B1G6000</t>
  </si>
  <si>
    <t>W14ST19B9G1377</t>
  </si>
  <si>
    <t>W14ST19B9G1378</t>
  </si>
  <si>
    <t>W14ST19B9G1700</t>
  </si>
  <si>
    <t>W14ST19B9G4000</t>
  </si>
  <si>
    <t>W14ST19B9G4643</t>
  </si>
  <si>
    <t>W14ST19B9G4730</t>
  </si>
  <si>
    <t>W14ST19B9G6000</t>
  </si>
  <si>
    <t>W14ST20C3G1377</t>
  </si>
  <si>
    <t>W14ST20C3G1378</t>
  </si>
  <si>
    <t>W14ST20C3G1700</t>
  </si>
  <si>
    <t>W14ST20C3G3000</t>
  </si>
  <si>
    <t>W14ST20C3G4000</t>
  </si>
  <si>
    <t>W14ST20C3G4643</t>
  </si>
  <si>
    <t>W14ST20C3G4730</t>
  </si>
  <si>
    <t>W14ST20C3G6000</t>
  </si>
  <si>
    <t>W14ST21B3G1001</t>
  </si>
  <si>
    <t>W14ST21B3G1377</t>
  </si>
  <si>
    <t>W14ST21B3G3489</t>
  </si>
  <si>
    <t>W14ST21B3G4000</t>
  </si>
  <si>
    <t>W14ST21B3G4643</t>
  </si>
  <si>
    <t>W14ST21B3G4730</t>
  </si>
  <si>
    <t>W14ST21B3G6000</t>
  </si>
  <si>
    <t>W14ST22C1G1377</t>
  </si>
  <si>
    <t>W14ST22C1G1378</t>
  </si>
  <si>
    <t>W14ST22C1G1700</t>
  </si>
  <si>
    <t>W14ST22C1G3000</t>
  </si>
  <si>
    <t>W14ST22C1G4000</t>
  </si>
  <si>
    <t>W14ST22C1G4730</t>
  </si>
  <si>
    <t>W14ST22C1G6000</t>
  </si>
  <si>
    <t>W14ST39B9G1403</t>
  </si>
  <si>
    <t>W14ST39B9G1700</t>
  </si>
  <si>
    <t>W14ST39B9G2166</t>
  </si>
  <si>
    <t>W14ST39B9G3489</t>
  </si>
  <si>
    <t>W14ST39B9G4201</t>
  </si>
  <si>
    <t>W14ST39B9G4730</t>
  </si>
  <si>
    <t>W14ST39B9G4753</t>
  </si>
  <si>
    <t>W14ST39B9G6000</t>
  </si>
  <si>
    <t>W14SW02A9IED05</t>
  </si>
  <si>
    <t>W14SW05E9IE101</t>
  </si>
  <si>
    <t>W14SW05E9IE301</t>
  </si>
  <si>
    <t>W14SW05E9IE601</t>
  </si>
  <si>
    <t>W14SW05E9IE820</t>
  </si>
  <si>
    <t>W14SW05P2IE008</t>
  </si>
  <si>
    <t>W14UD02A4IEM12</t>
  </si>
  <si>
    <t>W14UD02C7IED10</t>
  </si>
  <si>
    <t>W14UD02F2IED21</t>
  </si>
  <si>
    <t>W14UD03C7IED10</t>
  </si>
  <si>
    <t>W14UD03C7IED22</t>
  </si>
  <si>
    <t>W14UD03F2IEM18</t>
  </si>
  <si>
    <t>W14UD04C7IED10</t>
  </si>
  <si>
    <t>W14UD04C7IED22</t>
  </si>
  <si>
    <t>W14UD04F2IED21</t>
  </si>
  <si>
    <t>W14UD07A4IEM12</t>
  </si>
  <si>
    <t>W14UD07F2IED21</t>
  </si>
  <si>
    <t>W14UD07F2IEM18</t>
  </si>
  <si>
    <t>W14UD10A4IEM12</t>
  </si>
  <si>
    <t>W14UD10C7IED10</t>
  </si>
  <si>
    <t>W14UD10F2IEM18</t>
  </si>
  <si>
    <t>W14UD12C7IED10</t>
  </si>
  <si>
    <t>W14UD12F2IED21</t>
  </si>
  <si>
    <t>W14UD13F2IED21</t>
  </si>
  <si>
    <t>W14UF09B8G1001</t>
  </si>
  <si>
    <t>W14UF09B8G1377</t>
  </si>
  <si>
    <t>W14UF09B8G1378</t>
  </si>
  <si>
    <t>W14UF09B8G1700</t>
  </si>
  <si>
    <t>W14UF09B8G4729</t>
  </si>
  <si>
    <t>W14UF09B8G4730</t>
  </si>
  <si>
    <t>W14UF09B8G6451</t>
  </si>
  <si>
    <t>W14UF09B8G7000</t>
  </si>
  <si>
    <t>W14UF14B8G1001</t>
  </si>
  <si>
    <t>W14UF14B8G1377</t>
  </si>
  <si>
    <t>W14UF14B8G1378</t>
  </si>
  <si>
    <t>W14UF14B8G1700</t>
  </si>
  <si>
    <t>W14UF14B8G4729</t>
  </si>
  <si>
    <t>W14UF14B8G4730</t>
  </si>
  <si>
    <t>W14UF14B8G6451</t>
  </si>
  <si>
    <t>W14UF14B8G7000</t>
  </si>
  <si>
    <t>W14UF16B7G4730</t>
  </si>
  <si>
    <t>W14UF16B7G6451</t>
  </si>
  <si>
    <t>W14UF17B8G1001</t>
  </si>
  <si>
    <t>W14UF17B8G1377</t>
  </si>
  <si>
    <t>W14UF17B8G1378</t>
  </si>
  <si>
    <t>W14UF17B8G1700</t>
  </si>
  <si>
    <t>W14UF17B8G4729</t>
  </si>
  <si>
    <t>W14UF17B8G4730</t>
  </si>
  <si>
    <t>W14UF17B8G6451</t>
  </si>
  <si>
    <t>W14UF17B8G7000</t>
  </si>
  <si>
    <t>W14UF18B8G1001</t>
  </si>
  <si>
    <t>W14UF18B8G4730</t>
  </si>
  <si>
    <t>W14UF18B8G6451</t>
  </si>
  <si>
    <t>W14UH03A4IEM12</t>
  </si>
  <si>
    <t>W14UH03C7IED10</t>
  </si>
  <si>
    <t>W14UK22C4G1001</t>
  </si>
  <si>
    <t>W14UK22C4G1377</t>
  </si>
  <si>
    <t>W14UK22C4G1378</t>
  </si>
  <si>
    <t>W14UK22C4G4729</t>
  </si>
  <si>
    <t>W14UK22C4G4730</t>
  </si>
  <si>
    <t>W14UK22C4G6451</t>
  </si>
  <si>
    <t>W14UK22C4G7000</t>
  </si>
  <si>
    <t>W14UK23C4G1001</t>
  </si>
  <si>
    <t>W14UK23C4G1377</t>
  </si>
  <si>
    <t>W14UK23C4G1378</t>
  </si>
  <si>
    <t>W14UK23C4G4729</t>
  </si>
  <si>
    <t>W14UK23C4G4730</t>
  </si>
  <si>
    <t>W14UK23C4G6451</t>
  </si>
  <si>
    <t>W14UK23C4G7000</t>
  </si>
  <si>
    <t>W14UP02F3IE666</t>
  </si>
  <si>
    <t>W14UP02F3IE880</t>
  </si>
  <si>
    <t>W14UP02F3IE910</t>
  </si>
  <si>
    <t>W14UP02F4IE100</t>
  </si>
  <si>
    <t>W14UP02F5IEW06</t>
  </si>
  <si>
    <t>W14UP03F3IE666</t>
  </si>
  <si>
    <t>W14UP03F3IE880</t>
  </si>
  <si>
    <t>W14UP03F3IE910</t>
  </si>
  <si>
    <t>W14UP03F4IE100</t>
  </si>
  <si>
    <t>W14UP04F3IE666</t>
  </si>
  <si>
    <t>W14UP04F3IE880</t>
  </si>
  <si>
    <t>W14UP04F3IE910</t>
  </si>
  <si>
    <t>W14UP10F3IE910</t>
  </si>
  <si>
    <t>W14UP10F5IEW06</t>
  </si>
  <si>
    <t>W14UP12F5IE999</t>
  </si>
  <si>
    <t>W14UT01B3G1001</t>
  </si>
  <si>
    <t>W14UT01B3G1377</t>
  </si>
  <si>
    <t>W14UT01B3G1378</t>
  </si>
  <si>
    <t>W14UT01B3G1700</t>
  </si>
  <si>
    <t>W14UT01B3G4729</t>
  </si>
  <si>
    <t>W14UT01B3G4730</t>
  </si>
  <si>
    <t>W14UT01B3G6451</t>
  </si>
  <si>
    <t>W14UT01B3G7000</t>
  </si>
  <si>
    <t>W14UT02B3G1001</t>
  </si>
  <si>
    <t>W14UT02B3G1377</t>
  </si>
  <si>
    <t>W14UT02B3G1378</t>
  </si>
  <si>
    <t>W14UT02B3G1700</t>
  </si>
  <si>
    <t>W14UT02B3G4729</t>
  </si>
  <si>
    <t>W14UT02B3G4730</t>
  </si>
  <si>
    <t>W14UT02B3G6451</t>
  </si>
  <si>
    <t>W14UT02B3G7000</t>
  </si>
  <si>
    <t>W14UT03B3G1001</t>
  </si>
  <si>
    <t>W14UT03B3G1377</t>
  </si>
  <si>
    <t>W14UT03B3G4729</t>
  </si>
  <si>
    <t>W14UT03B3G4730</t>
  </si>
  <si>
    <t>W14UT03B3G6451</t>
  </si>
  <si>
    <t>W14UT03B3G7000</t>
  </si>
  <si>
    <t>W14UT04B3G1001</t>
  </si>
  <si>
    <t>W14UT04B3G1377</t>
  </si>
  <si>
    <t>W14UT04B3G4729</t>
  </si>
  <si>
    <t>W14UT04B3G4730</t>
  </si>
  <si>
    <t>W14UT04B3G6451</t>
  </si>
  <si>
    <t>W14UT04B3G7000</t>
  </si>
  <si>
    <t>W14UT05B3G1001</t>
  </si>
  <si>
    <t>W14UT05B3G1377</t>
  </si>
  <si>
    <t>W14UT05B3G4729</t>
  </si>
  <si>
    <t>W14UT05B3G4730</t>
  </si>
  <si>
    <t>W14UT05B3G6451</t>
  </si>
  <si>
    <t>W14UT05B3G7000</t>
  </si>
  <si>
    <t>W14UT06B3G1001</t>
  </si>
  <si>
    <t>W14UT06B3G1377</t>
  </si>
  <si>
    <t>W14UT06B3G4729</t>
  </si>
  <si>
    <t>W14UT06B3G6451</t>
  </si>
  <si>
    <t>W14UT06B3G7000</t>
  </si>
  <si>
    <t>W14UT07B3G1001</t>
  </si>
  <si>
    <t>W14UT07B3G1377</t>
  </si>
  <si>
    <t>W14UT07B3G1378</t>
  </si>
  <si>
    <t>W14UT07B3G1700</t>
  </si>
  <si>
    <t>W14UT07B3G4729</t>
  </si>
  <si>
    <t>W14UT07B3G4730</t>
  </si>
  <si>
    <t>W14UT07B3G6451</t>
  </si>
  <si>
    <t>W14UT07B3G7000</t>
  </si>
  <si>
    <t>W14UT08B8G1001</t>
  </si>
  <si>
    <t>W14UT08B8G1377</t>
  </si>
  <si>
    <t>W14UT08B8G1378</t>
  </si>
  <si>
    <t>W14UT08B8G1700</t>
  </si>
  <si>
    <t>W14UT08B8G4729</t>
  </si>
  <si>
    <t>W14UT08B8G4730</t>
  </si>
  <si>
    <t>W14UT08B8G6451</t>
  </si>
  <si>
    <t>W14UT08B8G7000</t>
  </si>
  <si>
    <t>W14UT10B3G1001</t>
  </si>
  <si>
    <t>W14UT10B3G1377</t>
  </si>
  <si>
    <t>W14UT10B3G1378</t>
  </si>
  <si>
    <t>W14UT10B3G1700</t>
  </si>
  <si>
    <t>W14UT10B3G4729</t>
  </si>
  <si>
    <t>W14UT10B3G4730</t>
  </si>
  <si>
    <t>W14UT10B3G6451</t>
  </si>
  <si>
    <t>W14UT10B3G7000</t>
  </si>
  <si>
    <t>W14UT11B3G1001</t>
  </si>
  <si>
    <t>W14UT11B3G1377</t>
  </si>
  <si>
    <t>W14UT11B3G1378</t>
  </si>
  <si>
    <t>W14UT11B3G1700</t>
  </si>
  <si>
    <t>W14UT11B3G4729</t>
  </si>
  <si>
    <t>W14UT11B3G4730</t>
  </si>
  <si>
    <t>W14UT11B3G6451</t>
  </si>
  <si>
    <t>W14UT11B3G7000</t>
  </si>
  <si>
    <t>W14UT12B3G1001</t>
  </si>
  <si>
    <t>W14UT12B3G1377</t>
  </si>
  <si>
    <t>W14UT12B3G1378</t>
  </si>
  <si>
    <t>W14UT12B3G1700</t>
  </si>
  <si>
    <t>W14UT12B3G4729</t>
  </si>
  <si>
    <t>W14UT12B3G4730</t>
  </si>
  <si>
    <t>W14UT12B3G6451</t>
  </si>
  <si>
    <t>W14UT12B3G7000</t>
  </si>
  <si>
    <t>W14UT13B3G1001</t>
  </si>
  <si>
    <t>W14UT13B3G1377</t>
  </si>
  <si>
    <t>W14UT13B3G1378</t>
  </si>
  <si>
    <t>W14UT13B3G1700</t>
  </si>
  <si>
    <t>W14UT13B3G4729</t>
  </si>
  <si>
    <t>W14UT13B3G4730</t>
  </si>
  <si>
    <t>W14UT13B3G6451</t>
  </si>
  <si>
    <t>W14UT13B3G7000</t>
  </si>
  <si>
    <t>W14UT13C2IE999</t>
  </si>
  <si>
    <t>W14UT14C2IE666</t>
  </si>
  <si>
    <t>W14UT15B8G1001</t>
  </si>
  <si>
    <t>W14UT15B8G1377</t>
  </si>
  <si>
    <t>W14UT15B8G1378</t>
  </si>
  <si>
    <t>W14UT15B8G1700</t>
  </si>
  <si>
    <t>W14UT15B8G4729</t>
  </si>
  <si>
    <t>W14UT15B8G4730</t>
  </si>
  <si>
    <t>W14UT15B8G6451</t>
  </si>
  <si>
    <t>W14UT15B8G7000</t>
  </si>
  <si>
    <t>W14UT19C1G1001</t>
  </si>
  <si>
    <t>W14UT19C1G1377</t>
  </si>
  <si>
    <t>W14UT19C1G1700</t>
  </si>
  <si>
    <t>W14UT19C1G4729</t>
  </si>
  <si>
    <t>W14UT19C1G4730</t>
  </si>
  <si>
    <t>W14UT19C1G6451</t>
  </si>
  <si>
    <t>W14UT19C1G7000</t>
  </si>
  <si>
    <t>W14UT20C1G1001</t>
  </si>
  <si>
    <t>W14UT20C1G1377</t>
  </si>
  <si>
    <t>W14UT20C1G1378</t>
  </si>
  <si>
    <t>W14UT20C1G1700</t>
  </si>
  <si>
    <t>W14UT20C1G4729</t>
  </si>
  <si>
    <t>W14UT20C1G4730</t>
  </si>
  <si>
    <t>W14UT20C1G6451</t>
  </si>
  <si>
    <t>W14UT20C1G7000</t>
  </si>
  <si>
    <t>W14UT21B3G1001</t>
  </si>
  <si>
    <t>W14UT21B3G1377</t>
  </si>
  <si>
    <t>W14UT21B3G1378</t>
  </si>
  <si>
    <t>W14UT21B3G1700</t>
  </si>
  <si>
    <t>W14UT21B3G4729</t>
  </si>
  <si>
    <t>W14UT21B3G4730</t>
  </si>
  <si>
    <t>W14UT21B3G6451</t>
  </si>
  <si>
    <t>W14UT21B3G7000</t>
  </si>
  <si>
    <t>W14XD07C6IEM14</t>
  </si>
  <si>
    <t>W14XD07K8IEB07</t>
  </si>
  <si>
    <t>W14XD07K8IED14</t>
  </si>
  <si>
    <t>W14XD07K9IED15</t>
  </si>
  <si>
    <t>W14XD07K9IED16</t>
  </si>
  <si>
    <t>W14XD10K8IEB07</t>
  </si>
  <si>
    <t>W14XD10K8IED14</t>
  </si>
  <si>
    <t>W14XD10L1IED02</t>
  </si>
  <si>
    <t>W14XD12C6IEM14</t>
  </si>
  <si>
    <t>W14XD12K8IED14</t>
  </si>
  <si>
    <t>W14XD12K9IED16</t>
  </si>
  <si>
    <t>W14YD21F2IEM44</t>
  </si>
  <si>
    <t>W14YD21P6IEW01</t>
  </si>
  <si>
    <t>W14YD21P7IED61</t>
  </si>
  <si>
    <t>W14YP21P5IE100</t>
  </si>
  <si>
    <t>W14YP21P5IE880</t>
  </si>
  <si>
    <t>W15FB60E4G1001</t>
  </si>
  <si>
    <t>W15FB60E4G6000</t>
  </si>
  <si>
    <t>W15FB61E5G1200</t>
  </si>
  <si>
    <t>W15FB62E4G1001</t>
  </si>
  <si>
    <t>W15FB62E4G1200</t>
  </si>
  <si>
    <t>W15FF01C7G1001</t>
  </si>
  <si>
    <t>W15FF01C7G1200</t>
  </si>
  <si>
    <t>W15FF01C7G1370</t>
  </si>
  <si>
    <t>W15FF01C7G1377</t>
  </si>
  <si>
    <t>W15FF01C7G1378</t>
  </si>
  <si>
    <t>W15FF01C7G1704</t>
  </si>
  <si>
    <t>W15FF01C7G4000</t>
  </si>
  <si>
    <t>W15FF01C7G4921</t>
  </si>
  <si>
    <t>W15FF02C7G1370</t>
  </si>
  <si>
    <t>W15FF05C7G1001</t>
  </si>
  <si>
    <t>W15FF05C7G1200</t>
  </si>
  <si>
    <t>W15FF05C7G1370</t>
  </si>
  <si>
    <t>W15FF05C7G1377</t>
  </si>
  <si>
    <t>W15FF05C7G1378</t>
  </si>
  <si>
    <t>W15FF05C7G1704</t>
  </si>
  <si>
    <t>W15FF05C7G4000</t>
  </si>
  <si>
    <t>W15FF05C7G4921</t>
  </si>
  <si>
    <t>W15FF09C8G1001</t>
  </si>
  <si>
    <t>W15FF09C8G1200</t>
  </si>
  <si>
    <t>W15FF09C8G1377</t>
  </si>
  <si>
    <t>W15FF09C8G1378</t>
  </si>
  <si>
    <t>W15FF09C8G1704</t>
  </si>
  <si>
    <t>W15FF09C8G4000</t>
  </si>
  <si>
    <t>W15FF09C8G4921</t>
  </si>
  <si>
    <t>W15FF10C8G1001</t>
  </si>
  <si>
    <t>W15FF10C8G1200</t>
  </si>
  <si>
    <t>W15FF10C8G1377</t>
  </si>
  <si>
    <t>W15FF10C8G1378</t>
  </si>
  <si>
    <t>W15FF10C8G1704</t>
  </si>
  <si>
    <t>W15FF10C8G4000</t>
  </si>
  <si>
    <t>W15FF10C8G4921</t>
  </si>
  <si>
    <t>W15FF11C8G1001</t>
  </si>
  <si>
    <t>W15FF11C8G1200</t>
  </si>
  <si>
    <t>W15FF11C8G1377</t>
  </si>
  <si>
    <t>W15FF11C8G1378</t>
  </si>
  <si>
    <t>W15FF11C8G1704</t>
  </si>
  <si>
    <t>W15FF11C8G4000</t>
  </si>
  <si>
    <t>W15FF11C8G4921</t>
  </si>
  <si>
    <t>W15FF12C8G1001</t>
  </si>
  <si>
    <t>W15FF12C8G1200</t>
  </si>
  <si>
    <t>W15FF12C8G1377</t>
  </si>
  <si>
    <t>W15FF12C8G1378</t>
  </si>
  <si>
    <t>W15FF12C8G1704</t>
  </si>
  <si>
    <t>W15FF12C8G4000</t>
  </si>
  <si>
    <t>W15FF12C8G4921</t>
  </si>
  <si>
    <t>W15FF20C8G1001</t>
  </si>
  <si>
    <t>W15FF20C8G1200</t>
  </si>
  <si>
    <t>W15FF20C8G1377</t>
  </si>
  <si>
    <t>W15FF20C8G1378</t>
  </si>
  <si>
    <t>W15FF20C8G1704</t>
  </si>
  <si>
    <t>W15FF20C8G4000</t>
  </si>
  <si>
    <t>W15FF20C8G4921</t>
  </si>
  <si>
    <t>W15FF21C8G1001</t>
  </si>
  <si>
    <t>W15FF21C8G1200</t>
  </si>
  <si>
    <t>W15FF21C8G1377</t>
  </si>
  <si>
    <t>W15FF21C8G1378</t>
  </si>
  <si>
    <t>W15FF21C8G1704</t>
  </si>
  <si>
    <t>W15FF21C8G4000</t>
  </si>
  <si>
    <t>W15FF21C8G4921</t>
  </si>
  <si>
    <t>W15FF30D1G1001</t>
  </si>
  <si>
    <t>W15FF30D1G1200</t>
  </si>
  <si>
    <t>W15FF30D1G1370</t>
  </si>
  <si>
    <t>W15FF30D1G1377</t>
  </si>
  <si>
    <t>W15FF30D1G1378</t>
  </si>
  <si>
    <t>W15FF30D1G1537</t>
  </si>
  <si>
    <t>W15FF30D1G1700</t>
  </si>
  <si>
    <t>W15FF30D1G1704</t>
  </si>
  <si>
    <t>W15FF30D1G3304</t>
  </si>
  <si>
    <t>W15FF30D1G4000</t>
  </si>
  <si>
    <t>W15FF30D1G4643</t>
  </si>
  <si>
    <t>W15FF30D1G4921</t>
  </si>
  <si>
    <t>W15FF34B8G1001</t>
  </si>
  <si>
    <t>W15FF34B8G1200</t>
  </si>
  <si>
    <t>W15FF34B8G1370</t>
  </si>
  <si>
    <t>W15FF34B8G1377</t>
  </si>
  <si>
    <t>W15FF34B8G1378</t>
  </si>
  <si>
    <t>W15FF34B8G1537</t>
  </si>
  <si>
    <t>W15FF34B8G1700</t>
  </si>
  <si>
    <t>W15FF34B8G1704</t>
  </si>
  <si>
    <t>W15FF34B8G3304</t>
  </si>
  <si>
    <t>W15FF34B8G4000</t>
  </si>
  <si>
    <t>W15FF34B8G4643</t>
  </si>
  <si>
    <t>W15FF34B8G4921</t>
  </si>
  <si>
    <t>W15FF40C5G1001</t>
  </si>
  <si>
    <t>W15FF40C5G1200</t>
  </si>
  <si>
    <t>W15FF40C5G1370</t>
  </si>
  <si>
    <t>W15FF40C5G1377</t>
  </si>
  <si>
    <t>W15FF40C5G1378</t>
  </si>
  <si>
    <t>W15FF40C5G1700</t>
  </si>
  <si>
    <t>W15FF40C5G1704</t>
  </si>
  <si>
    <t>W15FF40C5G4000</t>
  </si>
  <si>
    <t>W15FF40C5G4921</t>
  </si>
  <si>
    <t>W15FF41C5G1001</t>
  </si>
  <si>
    <t>W15FF41C5G1200</t>
  </si>
  <si>
    <t>W15FF41C5G1370</t>
  </si>
  <si>
    <t>W15FF41C5G1377</t>
  </si>
  <si>
    <t>W15FF41C5G1378</t>
  </si>
  <si>
    <t>W15FF41C5G1700</t>
  </si>
  <si>
    <t>W15FF41C5G1704</t>
  </si>
  <si>
    <t>W15FF41C5G4000</t>
  </si>
  <si>
    <t>W15FF41C5G4921</t>
  </si>
  <si>
    <t>W15FK06D1G1001</t>
  </si>
  <si>
    <t>W15FK06D1G1200</t>
  </si>
  <si>
    <t>W15FK06D1G1370</t>
  </si>
  <si>
    <t>W15FK06D1G1377</t>
  </si>
  <si>
    <t>W15FK06D1G1378</t>
  </si>
  <si>
    <t>W15FK06D1G1537</t>
  </si>
  <si>
    <t>W15FK06D1G1700</t>
  </si>
  <si>
    <t>W15FK06D1G1704</t>
  </si>
  <si>
    <t>W15FK06D1G3304</t>
  </si>
  <si>
    <t>W15FK06D1G4000</t>
  </si>
  <si>
    <t>W15FK06D1G4643</t>
  </si>
  <si>
    <t>W15FK06D1G4921</t>
  </si>
  <si>
    <t>W15FK07D1G1001</t>
  </si>
  <si>
    <t>W15FK07D1G1200</t>
  </si>
  <si>
    <t>W15FK07D1G1370</t>
  </si>
  <si>
    <t>W15FK07D1G1377</t>
  </si>
  <si>
    <t>W15FK07D1G1378</t>
  </si>
  <si>
    <t>W15FK07D1G1537</t>
  </si>
  <si>
    <t>W15FK07D1G1700</t>
  </si>
  <si>
    <t>W15FK07D1G1704</t>
  </si>
  <si>
    <t>W15FK07D1G3304</t>
  </si>
  <si>
    <t>W15FK07D1G4000</t>
  </si>
  <si>
    <t>W15FK07D1G4643</t>
  </si>
  <si>
    <t>W15FK07D1G4921</t>
  </si>
  <si>
    <t>W15FK08D1G1001</t>
  </si>
  <si>
    <t>W15FK08D1G1200</t>
  </si>
  <si>
    <t>W15FK08D1G1370</t>
  </si>
  <si>
    <t>W15FK08D1G1377</t>
  </si>
  <si>
    <t>W15FK08D1G1378</t>
  </si>
  <si>
    <t>W15FK08D1G1537</t>
  </si>
  <si>
    <t>W15FK08D1G1700</t>
  </si>
  <si>
    <t>W15FK08D1G1704</t>
  </si>
  <si>
    <t>W15FK08D1G3304</t>
  </si>
  <si>
    <t>W15FK08D1G4000</t>
  </si>
  <si>
    <t>W15FK08D1G4643</t>
  </si>
  <si>
    <t>W15FK08D1G4921</t>
  </si>
  <si>
    <t>W15FN85D7G1305</t>
  </si>
  <si>
    <t>W15FN85D7G4000</t>
  </si>
  <si>
    <t>W15FN95F3G1001</t>
  </si>
  <si>
    <t>W15FN95F3G4000</t>
  </si>
  <si>
    <t>W15FN95F3R1001</t>
  </si>
  <si>
    <t>W15FN95F3R4000</t>
  </si>
  <si>
    <t>W15FT08C5G1001</t>
  </si>
  <si>
    <t>W15FT08C5G1200</t>
  </si>
  <si>
    <t>W15FT08C5G1370</t>
  </si>
  <si>
    <t>W15FT08C5G1377</t>
  </si>
  <si>
    <t>W15FT08C5G1378</t>
  </si>
  <si>
    <t>W15FT08C5G1537</t>
  </si>
  <si>
    <t>W15FT08C5G1700</t>
  </si>
  <si>
    <t>W15FT08C5G1704</t>
  </si>
  <si>
    <t>W15FT08C5G3304</t>
  </si>
  <si>
    <t>W15FT08C5G4000</t>
  </si>
  <si>
    <t>W15FT08C5G4643</t>
  </si>
  <si>
    <t>W15FT08C5G4921</t>
  </si>
  <si>
    <t>W15FT13E9G1001</t>
  </si>
  <si>
    <t>W15FT13E9G1200</t>
  </si>
  <si>
    <t>W15FT13E9G1370</t>
  </si>
  <si>
    <t>W15FT13E9G1377</t>
  </si>
  <si>
    <t>W15FT13E9G1378</t>
  </si>
  <si>
    <t>W15FT13E9G1537</t>
  </si>
  <si>
    <t>W15FT13E9G1700</t>
  </si>
  <si>
    <t>W15FT13E9G1704</t>
  </si>
  <si>
    <t>W15FT13E9G3304</t>
  </si>
  <si>
    <t>W15FT13E9G4000</t>
  </si>
  <si>
    <t>W15FT13E9G4643</t>
  </si>
  <si>
    <t>W15FT13E9G4921</t>
  </si>
  <si>
    <t>W15FT14E9G1001</t>
  </si>
  <si>
    <t>W15FT14E9G1200</t>
  </si>
  <si>
    <t>W15FT14E9G1370</t>
  </si>
  <si>
    <t>W15FT14E9G1377</t>
  </si>
  <si>
    <t>W15FT14E9G1378</t>
  </si>
  <si>
    <t>W15FT14E9G1537</t>
  </si>
  <si>
    <t>W15FT14E9G1700</t>
  </si>
  <si>
    <t>W15FT14E9G1704</t>
  </si>
  <si>
    <t>W15FT14E9G3304</t>
  </si>
  <si>
    <t>W15FT14E9G4000</t>
  </si>
  <si>
    <t>W15FT14E9G4643</t>
  </si>
  <si>
    <t>W15FT14E9G4921</t>
  </si>
  <si>
    <t>W15FT15E9G1001</t>
  </si>
  <si>
    <t>W15FT15E9G1200</t>
  </si>
  <si>
    <t>W15FT15E9G1370</t>
  </si>
  <si>
    <t>W15FT15E9G1377</t>
  </si>
  <si>
    <t>W15FT15E9G1378</t>
  </si>
  <si>
    <t>W15FT15E9G1537</t>
  </si>
  <si>
    <t>W15FT15E9G1700</t>
  </si>
  <si>
    <t>W15FT15E9G1704</t>
  </si>
  <si>
    <t>W15FT15E9G3304</t>
  </si>
  <si>
    <t>W15FT15E9G4000</t>
  </si>
  <si>
    <t>W15FT15E9G4643</t>
  </si>
  <si>
    <t>W15FT15E9G4921</t>
  </si>
  <si>
    <t>W15FT16E9G1001</t>
  </si>
  <si>
    <t>W15FT16E9G1200</t>
  </si>
  <si>
    <t>W15FT16E9G1370</t>
  </si>
  <si>
    <t>W15FT16E9G1377</t>
  </si>
  <si>
    <t>W15FT16E9G1378</t>
  </si>
  <si>
    <t>W15FT16E9G1537</t>
  </si>
  <si>
    <t>W15FT16E9G1700</t>
  </si>
  <si>
    <t>W15FT16E9G1704</t>
  </si>
  <si>
    <t>W15FT16E9G3304</t>
  </si>
  <si>
    <t>W15FT16E9G4000</t>
  </si>
  <si>
    <t>W15FT16E9G4643</t>
  </si>
  <si>
    <t>W15FT16E9G4921</t>
  </si>
  <si>
    <t>W15FT17C5G1001</t>
  </si>
  <si>
    <t>W15FT17C5G1200</t>
  </si>
  <si>
    <t>W15FT17C5G1370</t>
  </si>
  <si>
    <t>W15FT17C5G1377</t>
  </si>
  <si>
    <t>W15FT17C5G1378</t>
  </si>
  <si>
    <t>W15FT17C5G1537</t>
  </si>
  <si>
    <t>W15FT17C5G1700</t>
  </si>
  <si>
    <t>W15FT17C5G1704</t>
  </si>
  <si>
    <t>W15FT17C5G3304</t>
  </si>
  <si>
    <t>W15FT17C5G4000</t>
  </si>
  <si>
    <t>W15FT17C5G4643</t>
  </si>
  <si>
    <t>W15FT17C5G4921</t>
  </si>
  <si>
    <t>W15FT18C5G1001</t>
  </si>
  <si>
    <t>W15FT18C5G1200</t>
  </si>
  <si>
    <t>W15FT18C5G1370</t>
  </si>
  <si>
    <t>W15FT18C5G1377</t>
  </si>
  <si>
    <t>W15FT18C5G1378</t>
  </si>
  <si>
    <t>W15FT18C5G1537</t>
  </si>
  <si>
    <t>W15FT18C5G1700</t>
  </si>
  <si>
    <t>W15FT18C5G1704</t>
  </si>
  <si>
    <t>W15FT18C5G3304</t>
  </si>
  <si>
    <t>W15FT18C5G4000</t>
  </si>
  <si>
    <t>W15FT18C5G4643</t>
  </si>
  <si>
    <t>W15FT18C5G4921</t>
  </si>
  <si>
    <t>W15FT19C5G1001</t>
  </si>
  <si>
    <t>W15FT19C5G1200</t>
  </si>
  <si>
    <t>W15FT19C5G1370</t>
  </si>
  <si>
    <t>W15FT19C5G1377</t>
  </si>
  <si>
    <t>W15FT19C5G1378</t>
  </si>
  <si>
    <t>W15FT19C5G1537</t>
  </si>
  <si>
    <t>W15FT19C5G1700</t>
  </si>
  <si>
    <t>W15FT19C5G1704</t>
  </si>
  <si>
    <t>W15FT19C5G3304</t>
  </si>
  <si>
    <t>W15FT19C5G4000</t>
  </si>
  <si>
    <t>W15FT19C5G4643</t>
  </si>
  <si>
    <t>W15FT19C5G4921</t>
  </si>
  <si>
    <t>W15FT24E8G1001</t>
  </si>
  <si>
    <t>W15FT24E8G1200</t>
  </si>
  <si>
    <t>W15FT24E8G1370</t>
  </si>
  <si>
    <t>W15FT24E8G1377</t>
  </si>
  <si>
    <t>W15FT24E8G1378</t>
  </si>
  <si>
    <t>W15FT24E8G1537</t>
  </si>
  <si>
    <t>W15FT24E8G1700</t>
  </si>
  <si>
    <t>W15FT24E8G1704</t>
  </si>
  <si>
    <t>W15FT24E8G3304</t>
  </si>
  <si>
    <t>W15FT24E8G4000</t>
  </si>
  <si>
    <t>W15FT24E8G4643</t>
  </si>
  <si>
    <t>W15FT24E8G4921</t>
  </si>
  <si>
    <t>W15FY58E3G1423</t>
  </si>
  <si>
    <t>W15FY58E3G2377</t>
  </si>
  <si>
    <t>W15FY96E3G1423</t>
  </si>
  <si>
    <t>W15FY96E3G2377</t>
  </si>
  <si>
    <t>W15HF01C5G1106</t>
  </si>
  <si>
    <t>W15HF01C5G1285</t>
  </si>
  <si>
    <t>W15HF01C5G1378</t>
  </si>
  <si>
    <t>W15HF01C5G1403</t>
  </si>
  <si>
    <t>W15HF01C5G3160</t>
  </si>
  <si>
    <t>W15HF01C5G4000</t>
  </si>
  <si>
    <t>W15HF01C5G4143</t>
  </si>
  <si>
    <t>W15HF07C5G1106</t>
  </si>
  <si>
    <t>W15HF07C5G1285</t>
  </si>
  <si>
    <t>W15HF07C5G1378</t>
  </si>
  <si>
    <t>W15HF07C5G1700</t>
  </si>
  <si>
    <t>W15HF07C5G3160</t>
  </si>
  <si>
    <t>W15HF07C5G4000</t>
  </si>
  <si>
    <t>W15HF07C5G4143</t>
  </si>
  <si>
    <t>W15HF11C5G1106</t>
  </si>
  <si>
    <t>W15HF11C5G1285</t>
  </si>
  <si>
    <t>W15HF11C5G1700</t>
  </si>
  <si>
    <t>W15HF11C5G3160</t>
  </si>
  <si>
    <t>W15HF11C5G4000</t>
  </si>
  <si>
    <t>W15HF11C5G4143</t>
  </si>
  <si>
    <t>W15HF12C5G1106</t>
  </si>
  <si>
    <t>W15HF12C5G1285</t>
  </si>
  <si>
    <t>W15HF12C5G1700</t>
  </si>
  <si>
    <t>W15HF12C5G3160</t>
  </si>
  <si>
    <t>W15HF12C5G4000</t>
  </si>
  <si>
    <t>W15HF12C5G4143</t>
  </si>
  <si>
    <t>W15HF12C5G4643</t>
  </si>
  <si>
    <t>W15HF23B9G1106</t>
  </si>
  <si>
    <t>W15HF23B9G1378</t>
  </si>
  <si>
    <t>W15HF23B9G1403</t>
  </si>
  <si>
    <t>W15HF23B9G1700</t>
  </si>
  <si>
    <t>W15HF23B9G3160</t>
  </si>
  <si>
    <t>W15HF23B9G4000</t>
  </si>
  <si>
    <t>W15HF23B9G4143</t>
  </si>
  <si>
    <t>W15SB06C1G1001</t>
  </si>
  <si>
    <t>W15SB10B9G1001</t>
  </si>
  <si>
    <t>W15SB10B9G6000</t>
  </si>
  <si>
    <t>W15SB13C1G6000</t>
  </si>
  <si>
    <t>W15SD03A4IEM52</t>
  </si>
  <si>
    <t>W15SD03C7IED71</t>
  </si>
  <si>
    <t>W15SD03C7IEM51</t>
  </si>
  <si>
    <t>W15SD03C7IEM53</t>
  </si>
  <si>
    <t>W15SD03Q4IED72</t>
  </si>
  <si>
    <t>W15SD03Q5IEL22</t>
  </si>
  <si>
    <t>W15SD03Q5IEL25</t>
  </si>
  <si>
    <t>W15SD03Q8IE450</t>
  </si>
  <si>
    <t>W15SD03Q8IE817</t>
  </si>
  <si>
    <t>W15SD03Q8IE822</t>
  </si>
  <si>
    <t>W15SD03Q8IE835</t>
  </si>
  <si>
    <t>W15SD03Q8IET39</t>
  </si>
  <si>
    <t>W15SD16A4IEM52</t>
  </si>
  <si>
    <t>W15SD16C7IEM51</t>
  </si>
  <si>
    <t>W15SD16Q4IED72</t>
  </si>
  <si>
    <t>W15SD16Q7IEL20</t>
  </si>
  <si>
    <t>W15SD16Q9IED74</t>
  </si>
  <si>
    <t>W15SD17A4IEM52</t>
  </si>
  <si>
    <t>W15SD17C7IER03</t>
  </si>
  <si>
    <t>W15SD17F2IEL21</t>
  </si>
  <si>
    <t>W15SD17Q4IED72</t>
  </si>
  <si>
    <t>W15SD17Q6IEM54</t>
  </si>
  <si>
    <t>W15SD17Q8IE450</t>
  </si>
  <si>
    <t>W15SD17Q8IE817</t>
  </si>
  <si>
    <t>W15SD17Q8IE822</t>
  </si>
  <si>
    <t>W15SD17Q8IE835</t>
  </si>
  <si>
    <t>W15SD17Q8IET39</t>
  </si>
  <si>
    <t>W15SD18C7IEM53</t>
  </si>
  <si>
    <t>W15SD18F2IEL21</t>
  </si>
  <si>
    <t>W15SD18Q4IED72</t>
  </si>
  <si>
    <t>W15SD18Q5IEL22</t>
  </si>
  <si>
    <t>W15SD19F2IE016</t>
  </si>
  <si>
    <t>W15SD19F2IE017</t>
  </si>
  <si>
    <t>W15SD19F2IE018</t>
  </si>
  <si>
    <t>W15SD19F2IET38</t>
  </si>
  <si>
    <t>W15SD19F2IET40</t>
  </si>
  <si>
    <t>W15SD20F2IE015</t>
  </si>
  <si>
    <t>W15SD20F2IET38</t>
  </si>
  <si>
    <t>W15SD20Q5IE014</t>
  </si>
  <si>
    <t>W15SD20Q5IET37</t>
  </si>
  <si>
    <t>W15SD20Q6IEM54</t>
  </si>
  <si>
    <t>W15SD20Q7IEL20</t>
  </si>
  <si>
    <t>W15SD21C7IED71</t>
  </si>
  <si>
    <t>W15SD21C7IEM51</t>
  </si>
  <si>
    <t>W15SD21F2IE017</t>
  </si>
  <si>
    <t>W15SD21F2IE018</t>
  </si>
  <si>
    <t>W15SD21F2IET40</t>
  </si>
  <si>
    <t>W15SD21Q4IED72</t>
  </si>
  <si>
    <t>W15SD21Q9IED74</t>
  </si>
  <si>
    <t>W15SE07B6G1001</t>
  </si>
  <si>
    <t>W15SF03E7G1106</t>
  </si>
  <si>
    <t>W15SF03E7G1303</t>
  </si>
  <si>
    <t>W15SF03E7G1377</t>
  </si>
  <si>
    <t>W15SF03E7G1403</t>
  </si>
  <si>
    <t>W15SF03E7G1700</t>
  </si>
  <si>
    <t>W15SF03E7G4753</t>
  </si>
  <si>
    <t>W15SF03E7G6500</t>
  </si>
  <si>
    <t>W15SF03E7G8039</t>
  </si>
  <si>
    <t>W15SF08E8G1377</t>
  </si>
  <si>
    <t>W15SF08E8G1378</t>
  </si>
  <si>
    <t>W15SF08E8G1700</t>
  </si>
  <si>
    <t>W15SF08E8G4753</t>
  </si>
  <si>
    <t>W15SF08E8G6500</t>
  </si>
  <si>
    <t>W15SF08E8G8039</t>
  </si>
  <si>
    <t>W15SF09B8G1106</t>
  </si>
  <si>
    <t>W15SF09B8G1303</t>
  </si>
  <si>
    <t>W15SF09B8G1377</t>
  </si>
  <si>
    <t>W15SF09B8G1403</t>
  </si>
  <si>
    <t>W15SF09B8G1700</t>
  </si>
  <si>
    <t>W15SF09B8G3501</t>
  </si>
  <si>
    <t>W15SF09B8G4753</t>
  </si>
  <si>
    <t>W15SF09B8G6500</t>
  </si>
  <si>
    <t>W15SF09B8G8039</t>
  </si>
  <si>
    <t>W15SF10C8G1106</t>
  </si>
  <si>
    <t>W15SF10C8G1303</t>
  </si>
  <si>
    <t>W15SF10C8G1377</t>
  </si>
  <si>
    <t>W15SF10C8G1403</t>
  </si>
  <si>
    <t>W15SF10C8G1700</t>
  </si>
  <si>
    <t>W15SF10C8G3501</t>
  </si>
  <si>
    <t>W15SF10C8G6500</t>
  </si>
  <si>
    <t>W15SF10C8G8039</t>
  </si>
  <si>
    <t>W15SF15B8G1303</t>
  </si>
  <si>
    <t>W15SF15B8G1377</t>
  </si>
  <si>
    <t>W15SF15B8G1378</t>
  </si>
  <si>
    <t>W15SF15B8G1403</t>
  </si>
  <si>
    <t>W15SF15B8G1700</t>
  </si>
  <si>
    <t>W15SF15B8G4753</t>
  </si>
  <si>
    <t>W15SF15B8G6500</t>
  </si>
  <si>
    <t>W15SF15B8G8039</t>
  </si>
  <si>
    <t>W15SF18B8G1285</t>
  </si>
  <si>
    <t>W15SF18B8G1377</t>
  </si>
  <si>
    <t>W15SF18B8G1378</t>
  </si>
  <si>
    <t>W15SF18B8G1403</t>
  </si>
  <si>
    <t>W15SF18B8G1700</t>
  </si>
  <si>
    <t>W15SF18B8G4753</t>
  </si>
  <si>
    <t>W15SF18B8G6500</t>
  </si>
  <si>
    <t>W15SF18B8G8039</t>
  </si>
  <si>
    <t>W15SF21C8G1106</t>
  </si>
  <si>
    <t>W15SF21C8G1377</t>
  </si>
  <si>
    <t>W15SF21C8G1403</t>
  </si>
  <si>
    <t>W15SF21C8G1700</t>
  </si>
  <si>
    <t>W15SF21C8G3501</t>
  </si>
  <si>
    <t>W15SF21C8G4753</t>
  </si>
  <si>
    <t>W15SF21C8G6500</t>
  </si>
  <si>
    <t>W15SF21C8G8039</t>
  </si>
  <si>
    <t>W15SF32C8G1106</t>
  </si>
  <si>
    <t>W15SF32C8G1377</t>
  </si>
  <si>
    <t>W15SF32C8G1403</t>
  </si>
  <si>
    <t>W15SF32C8G1700</t>
  </si>
  <si>
    <t>W15SF32C8G3501</t>
  </si>
  <si>
    <t>W15SF32C8G4753</t>
  </si>
  <si>
    <t>W15SF32C8G6500</t>
  </si>
  <si>
    <t>W15SF32C8G8039</t>
  </si>
  <si>
    <t>W15SH01C7IEM51</t>
  </si>
  <si>
    <t>W15SH01Q5IEL22</t>
  </si>
  <si>
    <t>W15SH01Q5IEL25</t>
  </si>
  <si>
    <t>W15SH03Q5IE014</t>
  </si>
  <si>
    <t>W15SH03Q5IET37</t>
  </si>
  <si>
    <t>W15SH03Q7IEL20</t>
  </si>
  <si>
    <t>W15SJ01Q4IED72</t>
  </si>
  <si>
    <t>W15SJ01Q9IED74</t>
  </si>
  <si>
    <t>W15SJ12C7IEM51</t>
  </si>
  <si>
    <t>W15SJ12Q8IE450</t>
  </si>
  <si>
    <t>W15SJ12Q8IE817</t>
  </si>
  <si>
    <t>W15SJ12Q8IE822</t>
  </si>
  <si>
    <t>W15SJ12Q8IE835</t>
  </si>
  <si>
    <t>W15SJ12Q8IET39</t>
  </si>
  <si>
    <t>W15SL11C1G1001</t>
  </si>
  <si>
    <t>W15SQ02D7G1001</t>
  </si>
  <si>
    <t>W15SQ02D7G2504</t>
  </si>
  <si>
    <t>W15SQ02D7G4522</t>
  </si>
  <si>
    <t>W15SQ02D7G6081</t>
  </si>
  <si>
    <t>W15SS01L3IED73</t>
  </si>
  <si>
    <t>W15SS01L4IEL19</t>
  </si>
  <si>
    <t>W15SS10C4G1106</t>
  </si>
  <si>
    <t>W15SS10C4G1377</t>
  </si>
  <si>
    <t>W15SS10C4G1378</t>
  </si>
  <si>
    <t>W15SS10C4G1403</t>
  </si>
  <si>
    <t>W15SS10C4G4753</t>
  </si>
  <si>
    <t>W15SS10C4G6500</t>
  </si>
  <si>
    <t>W15SS10C4G8039</t>
  </si>
  <si>
    <t>W15SS11C4G1106</t>
  </si>
  <si>
    <t>W15SS11C4G1377</t>
  </si>
  <si>
    <t>W15SS11C4G1378</t>
  </si>
  <si>
    <t>W15SS11C4G1403</t>
  </si>
  <si>
    <t>W15SS11C4G4753</t>
  </si>
  <si>
    <t>W15SS11C4G6500</t>
  </si>
  <si>
    <t>W15SS11C4G8039</t>
  </si>
  <si>
    <t>W15ST02E7G1106</t>
  </si>
  <si>
    <t>W15ST02E7G1303</t>
  </si>
  <si>
    <t>W15ST02E7G1377</t>
  </si>
  <si>
    <t>W15ST02E7G1403</t>
  </si>
  <si>
    <t>W15ST02E7G1700</t>
  </si>
  <si>
    <t>W15ST02E7G3501</t>
  </si>
  <si>
    <t>W15ST02E7G4643</t>
  </si>
  <si>
    <t>W15ST02E7G4753</t>
  </si>
  <si>
    <t>W15ST02E7G6500</t>
  </si>
  <si>
    <t>W15ST02E7G8039</t>
  </si>
  <si>
    <t>W15ST04E7G1106</t>
  </si>
  <si>
    <t>W15ST04E7G1303</t>
  </si>
  <si>
    <t>W15ST04E7G1377</t>
  </si>
  <si>
    <t>W15ST04E7G1403</t>
  </si>
  <si>
    <t>W15ST04E7G1700</t>
  </si>
  <si>
    <t>W15ST04E7G3501</t>
  </si>
  <si>
    <t>W15ST04E7G4753</t>
  </si>
  <si>
    <t>W15ST04E7G6500</t>
  </si>
  <si>
    <t>W15ST04E7G8039</t>
  </si>
  <si>
    <t>W15ST05E7G1001</t>
  </si>
  <si>
    <t>W15ST05E7G1303</t>
  </si>
  <si>
    <t>W15ST05E7G1377</t>
  </si>
  <si>
    <t>W15ST05E7G1378</t>
  </si>
  <si>
    <t>W15ST05E7G1403</t>
  </si>
  <si>
    <t>W15ST05E7G1700</t>
  </si>
  <si>
    <t>W15ST05E7G4753</t>
  </si>
  <si>
    <t>W15ST05E7G6500</t>
  </si>
  <si>
    <t>W15ST05E7G8039</t>
  </si>
  <si>
    <t>W15ST06E7G1303</t>
  </si>
  <si>
    <t>W15ST06E7G1377</t>
  </si>
  <si>
    <t>W15ST06E7G1378</t>
  </si>
  <si>
    <t>W15ST06E7G1403</t>
  </si>
  <si>
    <t>W15ST06E7G1700</t>
  </si>
  <si>
    <t>W15ST06E7G4753</t>
  </si>
  <si>
    <t>W15ST06E7G6500</t>
  </si>
  <si>
    <t>W15ST06E7G8039</t>
  </si>
  <si>
    <t>W15ST07C1G1303</t>
  </si>
  <si>
    <t>W15ST07C1G1377</t>
  </si>
  <si>
    <t>W15ST07C1G1378</t>
  </si>
  <si>
    <t>W15ST07C1G1403</t>
  </si>
  <si>
    <t>W15ST07C1G1700</t>
  </si>
  <si>
    <t>W15ST07C1G4753</t>
  </si>
  <si>
    <t>W15ST07C1G6500</t>
  </si>
  <si>
    <t>W15ST07C1G8039</t>
  </si>
  <si>
    <t>W15ST12E7G1303</t>
  </si>
  <si>
    <t>W15ST12E7G1377</t>
  </si>
  <si>
    <t>W15ST12E7G1378</t>
  </si>
  <si>
    <t>W15ST12E7G1403</t>
  </si>
  <si>
    <t>W15ST12E7G1700</t>
  </si>
  <si>
    <t>W15ST12E7G4753</t>
  </si>
  <si>
    <t>W15ST12E7G6500</t>
  </si>
  <si>
    <t>W15ST12E7G8039</t>
  </si>
  <si>
    <t>W15ST13E7G1106</t>
  </si>
  <si>
    <t>W15ST13E7G1303</t>
  </si>
  <si>
    <t>W15ST13E7G1377</t>
  </si>
  <si>
    <t>W15ST13E7G1403</t>
  </si>
  <si>
    <t>W15ST13E7G1700</t>
  </si>
  <si>
    <t>W15ST13E7G3501</t>
  </si>
  <si>
    <t>W15ST13E7G4643</t>
  </si>
  <si>
    <t>W15ST13E7G4753</t>
  </si>
  <si>
    <t>W15ST13E7G6500</t>
  </si>
  <si>
    <t>W15ST13E7G8039</t>
  </si>
  <si>
    <t>W15ST14E7G1106</t>
  </si>
  <si>
    <t>W15ST14E7G1303</t>
  </si>
  <si>
    <t>W15ST14E7G1377</t>
  </si>
  <si>
    <t>W15ST14E7G1403</t>
  </si>
  <si>
    <t>W15ST14E7G1700</t>
  </si>
  <si>
    <t>W15ST14E7G4753</t>
  </si>
  <si>
    <t>W15ST14E7G6500</t>
  </si>
  <si>
    <t>W15ST14E7G8039</t>
  </si>
  <si>
    <t>W15ST16E8G1303</t>
  </si>
  <si>
    <t>W15ST16E8G1377</t>
  </si>
  <si>
    <t>W15ST16E8G1378</t>
  </si>
  <si>
    <t>W15ST16E8G1403</t>
  </si>
  <si>
    <t>W15ST16E8G1700</t>
  </si>
  <si>
    <t>W15ST16E8G4753</t>
  </si>
  <si>
    <t>W15ST16E8G6500</t>
  </si>
  <si>
    <t>W15ST16E8G8039</t>
  </si>
  <si>
    <t>W15ST17E7G1106</t>
  </si>
  <si>
    <t>W15ST17E7G1303</t>
  </si>
  <si>
    <t>W15ST17E7G1377</t>
  </si>
  <si>
    <t>W15ST17E7G1403</t>
  </si>
  <si>
    <t>W15ST17E7G1700</t>
  </si>
  <si>
    <t>W15ST17E7G3501</t>
  </si>
  <si>
    <t>W15ST17E7G4753</t>
  </si>
  <si>
    <t>W15ST17E7G6500</t>
  </si>
  <si>
    <t>W15ST17E7G8039</t>
  </si>
  <si>
    <t>W15ST20C9G1106</t>
  </si>
  <si>
    <t>W15ST20C9G1377</t>
  </si>
  <si>
    <t>W15ST20C9G4753</t>
  </si>
  <si>
    <t>W15ST20C9G6500</t>
  </si>
  <si>
    <t>W15ST20C9G8039</t>
  </si>
  <si>
    <t>W15ST22E8G1106</t>
  </si>
  <si>
    <t>W15ST22E8G1303</t>
  </si>
  <si>
    <t>W15ST22E8G1377</t>
  </si>
  <si>
    <t>W15ST22E8G1403</t>
  </si>
  <si>
    <t>W15ST22E8G1700</t>
  </si>
  <si>
    <t>W15ST22E8G3501</t>
  </si>
  <si>
    <t>W15ST22E8G4753</t>
  </si>
  <si>
    <t>W15ST22E8G6500</t>
  </si>
  <si>
    <t>W15ST22E8G8039</t>
  </si>
  <si>
    <t>W15ST23E8G1106</t>
  </si>
  <si>
    <t>W15ST23E8G1303</t>
  </si>
  <si>
    <t>W15ST23E8G1377</t>
  </si>
  <si>
    <t>W15ST23E8G1403</t>
  </si>
  <si>
    <t>W15ST23E8G1700</t>
  </si>
  <si>
    <t>W15ST23E8G3501</t>
  </si>
  <si>
    <t>W15ST23E8G4753</t>
  </si>
  <si>
    <t>W15ST23E8G6500</t>
  </si>
  <si>
    <t>W15ST23E8G8039</t>
  </si>
  <si>
    <t>W15ST24E8G1106</t>
  </si>
  <si>
    <t>W15ST24E8G1303</t>
  </si>
  <si>
    <t>W15ST24E8G1377</t>
  </si>
  <si>
    <t>W15ST24E8G1403</t>
  </si>
  <si>
    <t>W15ST24E8G1700</t>
  </si>
  <si>
    <t>W15ST24E8G3501</t>
  </si>
  <si>
    <t>W15ST24E8G4753</t>
  </si>
  <si>
    <t>W15ST24E8G6500</t>
  </si>
  <si>
    <t>W15ST24E8G8039</t>
  </si>
  <si>
    <t>W15ST25E8G1106</t>
  </si>
  <si>
    <t>W15ST25E8G1303</t>
  </si>
  <si>
    <t>W15ST25E8G1377</t>
  </si>
  <si>
    <t>W15ST25E8G1403</t>
  </si>
  <si>
    <t>W15ST25E8G1700</t>
  </si>
  <si>
    <t>W15ST25E8G3501</t>
  </si>
  <si>
    <t>W15ST25E8G4753</t>
  </si>
  <si>
    <t>W15ST25E8G6500</t>
  </si>
  <si>
    <t>W15ST25E8G8039</t>
  </si>
  <si>
    <t>W15ST26E8G1303</t>
  </si>
  <si>
    <t>W15ST26E8G1377</t>
  </si>
  <si>
    <t>W15ST26E8G1378</t>
  </si>
  <si>
    <t>W15ST26E8G1403</t>
  </si>
  <si>
    <t>W15ST26E8G1700</t>
  </si>
  <si>
    <t>W15ST26E8G4753</t>
  </si>
  <si>
    <t>W15ST26E8G6500</t>
  </si>
  <si>
    <t>W15ST26E8G8039</t>
  </si>
  <si>
    <t>W15ST27E8G1303</t>
  </si>
  <si>
    <t>W15ST27E8G1377</t>
  </si>
  <si>
    <t>W15ST27E8G1378</t>
  </si>
  <si>
    <t>W15ST27E8G1403</t>
  </si>
  <si>
    <t>W15ST27E8G1700</t>
  </si>
  <si>
    <t>W15ST27E8G4753</t>
  </si>
  <si>
    <t>W15ST27E8G6500</t>
  </si>
  <si>
    <t>W15ST27E8G8039</t>
  </si>
  <si>
    <t>W15ST28E8G1106</t>
  </si>
  <si>
    <t>W15ST28E8G1303</t>
  </si>
  <si>
    <t>W15ST28E8G1377</t>
  </si>
  <si>
    <t>W15ST28E8G1403</t>
  </si>
  <si>
    <t>W15ST28E8G1700</t>
  </si>
  <si>
    <t>W15ST28E8G4753</t>
  </si>
  <si>
    <t>W15ST28E8G6500</t>
  </si>
  <si>
    <t>W15ST28E8G8039</t>
  </si>
  <si>
    <t>W15ST29E8G1303</t>
  </si>
  <si>
    <t>W15ST29E8G1377</t>
  </si>
  <si>
    <t>W15ST29E8G1378</t>
  </si>
  <si>
    <t>W15ST29E8G1403</t>
  </si>
  <si>
    <t>W15ST29E8G1700</t>
  </si>
  <si>
    <t>W15ST29E8G4753</t>
  </si>
  <si>
    <t>W15ST29E8G6500</t>
  </si>
  <si>
    <t>W15ST29E8G8039</t>
  </si>
  <si>
    <t>W15ST30E8G1303</t>
  </si>
  <si>
    <t>W15ST30E8G1377</t>
  </si>
  <si>
    <t>W15ST30E8G1378</t>
  </si>
  <si>
    <t>W15ST30E8G1403</t>
  </si>
  <si>
    <t>W15ST30E8G1700</t>
  </si>
  <si>
    <t>W15ST30E8G4753</t>
  </si>
  <si>
    <t>W15ST30E8G6500</t>
  </si>
  <si>
    <t>W15ST30E8G8039</t>
  </si>
  <si>
    <t>W15ST31E8G1106</t>
  </si>
  <si>
    <t>W15ST31E8G1303</t>
  </si>
  <si>
    <t>W15ST31E8G1377</t>
  </si>
  <si>
    <t>W15ST31E8G1378</t>
  </si>
  <si>
    <t>W15ST31E8G1403</t>
  </si>
  <si>
    <t>W15ST31E8G1700</t>
  </si>
  <si>
    <t>W15ST31E8G4753</t>
  </si>
  <si>
    <t>W15ST31E8G6500</t>
  </si>
  <si>
    <t>W15ST31E8G8039</t>
  </si>
  <si>
    <t>W15ST33E8G1106</t>
  </si>
  <si>
    <t>W15ST33E8G1377</t>
  </si>
  <si>
    <t>W15ST33E8G1403</t>
  </si>
  <si>
    <t>W15ST33E8G1700</t>
  </si>
  <si>
    <t>W15ST33E8G6500</t>
  </si>
  <si>
    <t>W15ST33E8G8039</t>
  </si>
  <si>
    <t>W15ST34E8G1106</t>
  </si>
  <si>
    <t>W15ST34E8G1303</t>
  </si>
  <si>
    <t>W15ST34E8G1377</t>
  </si>
  <si>
    <t>W15ST34E8G1403</t>
  </si>
  <si>
    <t>W15ST34E8G1700</t>
  </si>
  <si>
    <t>W15ST34E8G3501</t>
  </si>
  <si>
    <t>W15ST34E8G4753</t>
  </si>
  <si>
    <t>W15ST34E8G6500</t>
  </si>
  <si>
    <t>W15ST34E8G8039</t>
  </si>
  <si>
    <t>W15ST38E8G1377</t>
  </si>
  <si>
    <t>W15ST38E8G1378</t>
  </si>
  <si>
    <t>W15ST38E8G1403</t>
  </si>
  <si>
    <t>W15ST38E8G1700</t>
  </si>
  <si>
    <t>W15ST38E8G4753</t>
  </si>
  <si>
    <t>W15ST38E8G6500</t>
  </si>
  <si>
    <t>W15ST38E8G8039</t>
  </si>
  <si>
    <t>W15SV01D7G1001</t>
  </si>
  <si>
    <t>W15SV01D7G2504</t>
  </si>
  <si>
    <t>W15SV01D7G6081</t>
  </si>
  <si>
    <t>W15SV05C1G1001</t>
  </si>
  <si>
    <t>W15SW01L3IED73</t>
  </si>
  <si>
    <t>W15SW01L4IEL19</t>
  </si>
  <si>
    <t>W15UD03A4IEL24</t>
  </si>
  <si>
    <t>W15UD03A4IEM61</t>
  </si>
  <si>
    <t>W15UD03R1IED75</t>
  </si>
  <si>
    <t>W15UD03R3IED81</t>
  </si>
  <si>
    <t>W15UD03R3IED82</t>
  </si>
  <si>
    <t>W15UD16A4IED80</t>
  </si>
  <si>
    <t>W15UD16R1IED62</t>
  </si>
  <si>
    <t>W15UD16R3IED81</t>
  </si>
  <si>
    <t>W15UD16R4IEM56</t>
  </si>
  <si>
    <t>W15UD17A4IEM61</t>
  </si>
  <si>
    <t>W15UD17R4IEM58</t>
  </si>
  <si>
    <t>W15UD18A4IED80</t>
  </si>
  <si>
    <t>W15UD18R6IED86</t>
  </si>
  <si>
    <t>W15UD20R3IED81</t>
  </si>
  <si>
    <t>W15UD20R3IED82</t>
  </si>
  <si>
    <t>W15UD20R6IED86</t>
  </si>
  <si>
    <t>W15UD21R1IED62</t>
  </si>
  <si>
    <t>W15UD21R1IED75</t>
  </si>
  <si>
    <t>W15UD21R4IEM58</t>
  </si>
  <si>
    <t>W15UD23R6IED86</t>
  </si>
  <si>
    <t>W15UD24A4IED80</t>
  </si>
  <si>
    <t>W15UD25A4IEM61</t>
  </si>
  <si>
    <t>W15UD25R1IED62</t>
  </si>
  <si>
    <t>W15UD25R3IED82</t>
  </si>
  <si>
    <t>W15UD25R4IEM56</t>
  </si>
  <si>
    <t>W15UD27R4IEM56</t>
  </si>
  <si>
    <t>W15UF04C8G1106</t>
  </si>
  <si>
    <t>W15UF04C8G1377</t>
  </si>
  <si>
    <t>W15UF04C8G1700</t>
  </si>
  <si>
    <t>W15UF04C8G1889</t>
  </si>
  <si>
    <t>W15UF04C8G3000</t>
  </si>
  <si>
    <t>W15UF04C8G4542</t>
  </si>
  <si>
    <t>W15UF04C8G4645</t>
  </si>
  <si>
    <t>W15UF04C8G5301</t>
  </si>
  <si>
    <t>W15UF04C8G6081</t>
  </si>
  <si>
    <t>W15UF04C8G8206</t>
  </si>
  <si>
    <t>W15UF13C8G1106</t>
  </si>
  <si>
    <t>W15UF13C8G1377</t>
  </si>
  <si>
    <t>W15UF13C8G1700</t>
  </si>
  <si>
    <t>W15UF13C8G1889</t>
  </si>
  <si>
    <t>W15UF13C8G4542</t>
  </si>
  <si>
    <t>W15UF13C8G5301</t>
  </si>
  <si>
    <t>W15UF13C8G6081</t>
  </si>
  <si>
    <t>W15UF14C8G1106</t>
  </si>
  <si>
    <t>W15UF14C8G1377</t>
  </si>
  <si>
    <t>W15UF14C8G1700</t>
  </si>
  <si>
    <t>W15UF14C8G1889</t>
  </si>
  <si>
    <t>W15UF14C8G4542</t>
  </si>
  <si>
    <t>W15UF14C8G5301</t>
  </si>
  <si>
    <t>W15UF16B8G1377</t>
  </si>
  <si>
    <t>W15UF16B8G1378</t>
  </si>
  <si>
    <t>W15UF16B8G1700</t>
  </si>
  <si>
    <t>W15UF16B8G1889</t>
  </si>
  <si>
    <t>W15UF16B8G3000</t>
  </si>
  <si>
    <t>W15UF16B8G4542</t>
  </si>
  <si>
    <t>W15UF16B8G4645</t>
  </si>
  <si>
    <t>W15UF16B8G5301</t>
  </si>
  <si>
    <t>W15UF16B8G6081</t>
  </si>
  <si>
    <t>W15UF16B8G8206</t>
  </si>
  <si>
    <t>W15UF19C8G1106</t>
  </si>
  <si>
    <t>W15UF19C8G1285</t>
  </si>
  <si>
    <t>W15UF19C8G1700</t>
  </si>
  <si>
    <t>W15UF19C8G4542</t>
  </si>
  <si>
    <t>W15UF19C8G4643</t>
  </si>
  <si>
    <t>W15UF19C8G6081</t>
  </si>
  <si>
    <t>W15UF20C8G1106</t>
  </si>
  <si>
    <t>W15UF20C8G1285</t>
  </si>
  <si>
    <t>W15UF20C8G1700</t>
  </si>
  <si>
    <t>W15UF20C8G1889</t>
  </si>
  <si>
    <t>W15UF20C8G4542</t>
  </si>
  <si>
    <t>W15UF20C8G4643</t>
  </si>
  <si>
    <t>W15UF20C8G5301</t>
  </si>
  <si>
    <t>W15UF20C8G8206</t>
  </si>
  <si>
    <t>W15UF28B8G1106</t>
  </si>
  <si>
    <t>W15UF28B8G1285</t>
  </si>
  <si>
    <t>W15UF28B8G1700</t>
  </si>
  <si>
    <t>W15UF28B8G1889</t>
  </si>
  <si>
    <t>W15UF28B8G3000</t>
  </si>
  <si>
    <t>W15UF28B8G4542</t>
  </si>
  <si>
    <t>W15UF28B8G4643</t>
  </si>
  <si>
    <t>W15UF28B8G4645</t>
  </si>
  <si>
    <t>W15UF28B8G5301</t>
  </si>
  <si>
    <t>W15UF28B8G6081</t>
  </si>
  <si>
    <t>W15UF28B8G8206</t>
  </si>
  <si>
    <t>W15UG01F3IET42</t>
  </si>
  <si>
    <t>W15UG01R3IED82</t>
  </si>
  <si>
    <t>W15UG01R4IEM58</t>
  </si>
  <si>
    <t>W15UH04A4IED80</t>
  </si>
  <si>
    <t>W15UH05A4IEM61</t>
  </si>
  <si>
    <t>W15UJ01A4IED79</t>
  </si>
  <si>
    <t>W15UJ01A4IEL24</t>
  </si>
  <si>
    <t>W15UP20F3IET42</t>
  </si>
  <si>
    <t>W15UP21F3IET41</t>
  </si>
  <si>
    <t>W15UT01E8G1106</t>
  </si>
  <si>
    <t>W15UT01E8G1377</t>
  </si>
  <si>
    <t>W15UT01E8G1700</t>
  </si>
  <si>
    <t>W15UT01E8G1889</t>
  </si>
  <si>
    <t>W15UT01E8G3000</t>
  </si>
  <si>
    <t>W15UT01E8G4542</t>
  </si>
  <si>
    <t>W15UT01E8G4645</t>
  </si>
  <si>
    <t>W15UT01E8G5301</t>
  </si>
  <si>
    <t>W15UT01E8G6081</t>
  </si>
  <si>
    <t>W15UT01E8G8206</t>
  </si>
  <si>
    <t>W15UT02E8G1106</t>
  </si>
  <si>
    <t>W15UT02E8G1377</t>
  </si>
  <si>
    <t>W15UT02E8G1700</t>
  </si>
  <si>
    <t>W15UT02E8G1889</t>
  </si>
  <si>
    <t>W15UT02E8G3000</t>
  </si>
  <si>
    <t>W15UT02E8G4542</t>
  </si>
  <si>
    <t>W15UT02E8G4645</t>
  </si>
  <si>
    <t>W15UT02E8G5301</t>
  </si>
  <si>
    <t>W15UT02E8G6081</t>
  </si>
  <si>
    <t>W15UT02E8G8206</t>
  </si>
  <si>
    <t>W15UT04C8G1106</t>
  </si>
  <si>
    <t>W15UT04C8G1377</t>
  </si>
  <si>
    <t>W15UT04C8G1700</t>
  </si>
  <si>
    <t>W15UT04C8G1889</t>
  </si>
  <si>
    <t>W15UT04C8G3000</t>
  </si>
  <si>
    <t>W15UT04C8G4542</t>
  </si>
  <si>
    <t>W15UT04C8G4645</t>
  </si>
  <si>
    <t>W15UT04C8G5301</t>
  </si>
  <si>
    <t>W15UT04C8G6081</t>
  </si>
  <si>
    <t>W15UT04C8G8206</t>
  </si>
  <si>
    <t>W15UT05B9G1106</t>
  </si>
  <si>
    <t>W15UT05B9G1377</t>
  </si>
  <si>
    <t>W15UT05B9G1700</t>
  </si>
  <si>
    <t>W15UT05B9G1889</t>
  </si>
  <si>
    <t>W15UT05B9G3000</t>
  </si>
  <si>
    <t>W15UT05B9G4542</t>
  </si>
  <si>
    <t>W15UT05B9G4645</t>
  </si>
  <si>
    <t>W15UT05B9G5301</t>
  </si>
  <si>
    <t>W15UT05B9G6081</t>
  </si>
  <si>
    <t>W15UT05B9G8206</t>
  </si>
  <si>
    <t>W15UT06B9G1106</t>
  </si>
  <si>
    <t>W15UT06B9G1377</t>
  </si>
  <si>
    <t>W15UT06B9G1378</t>
  </si>
  <si>
    <t>W15UT06B9G1700</t>
  </si>
  <si>
    <t>W15UT06B9G4542</t>
  </si>
  <si>
    <t>W15UT06B9G4643</t>
  </si>
  <si>
    <t>W15UT06B9G5301</t>
  </si>
  <si>
    <t>W15UT07B9G1106</t>
  </si>
  <si>
    <t>W15UT07B9G1377</t>
  </si>
  <si>
    <t>W15UT07B9G1378</t>
  </si>
  <si>
    <t>W15UT07B9G1700</t>
  </si>
  <si>
    <t>W15UT07B9G4542</t>
  </si>
  <si>
    <t>W15UT07B9G4643</t>
  </si>
  <si>
    <t>W15UT07B9G5301</t>
  </si>
  <si>
    <t>W15UT08B9G1106</t>
  </si>
  <si>
    <t>W15UT08B9G1377</t>
  </si>
  <si>
    <t>W15UT08B9G1378</t>
  </si>
  <si>
    <t>W15UT08B9G1700</t>
  </si>
  <si>
    <t>W15UT08B9G1889</t>
  </si>
  <si>
    <t>W15UT08B9G4542</t>
  </si>
  <si>
    <t>W15UT08B9G4643</t>
  </si>
  <si>
    <t>W15UT08B9G5301</t>
  </si>
  <si>
    <t>W15UT09B9G1106</t>
  </si>
  <si>
    <t>W15UT09B9G1377</t>
  </si>
  <si>
    <t>W15UT09B9G1378</t>
  </si>
  <si>
    <t>W15UT09B9G1700</t>
  </si>
  <si>
    <t>W15UT09B9G1889</t>
  </si>
  <si>
    <t>W15UT09B9G4542</t>
  </si>
  <si>
    <t>W15UT09B9G4643</t>
  </si>
  <si>
    <t>W15UT09B9G5301</t>
  </si>
  <si>
    <t>W15UT09B9G6081</t>
  </si>
  <si>
    <t>W15UT10E7G1106</t>
  </si>
  <si>
    <t>W15UT10E7G1377</t>
  </si>
  <si>
    <t>W15UT10E7G1700</t>
  </si>
  <si>
    <t>W15UT10E7G1889</t>
  </si>
  <si>
    <t>W15UT10E7G4645</t>
  </si>
  <si>
    <t>W15UT10E7G5301</t>
  </si>
  <si>
    <t>W15UT11E6G1106</t>
  </si>
  <si>
    <t>W15UT11E6G1278</t>
  </si>
  <si>
    <t>W15UT11E6G1700</t>
  </si>
  <si>
    <t>W15UT12E7G1106</t>
  </si>
  <si>
    <t>W15UT12E7G1377</t>
  </si>
  <si>
    <t>W15UT12E7G1700</t>
  </si>
  <si>
    <t>W15UT12E7G1889</t>
  </si>
  <si>
    <t>W15UT12E7G4645</t>
  </si>
  <si>
    <t>W15UT12E7G5301</t>
  </si>
  <si>
    <t>W15UT14B9G1377</t>
  </si>
  <si>
    <t>W15UT14B9G1378</t>
  </si>
  <si>
    <t>W15UT14B9G1700</t>
  </si>
  <si>
    <t>W15UT14B9G1889</t>
  </si>
  <si>
    <t>W15UT14B9G3000</t>
  </si>
  <si>
    <t>W15UT14B9G4542</t>
  </si>
  <si>
    <t>W15UT14B9G4645</t>
  </si>
  <si>
    <t>W15UT14B9G5301</t>
  </si>
  <si>
    <t>W15UT14B9G6081</t>
  </si>
  <si>
    <t>W15UT14B9G8206</t>
  </si>
  <si>
    <t>W15UT15B8G1001</t>
  </si>
  <si>
    <t>W15UT15B8G1377</t>
  </si>
  <si>
    <t>W15UT15B8G1378</t>
  </si>
  <si>
    <t>W15UT15B8G1700</t>
  </si>
  <si>
    <t>W15UT15B8G4729</t>
  </si>
  <si>
    <t>W15UT15B8G4730</t>
  </si>
  <si>
    <t>W15UT15B8G6451</t>
  </si>
  <si>
    <t>W15UT15B8G7000</t>
  </si>
  <si>
    <t>W15UT17B9G1377</t>
  </si>
  <si>
    <t>W15UT17B9G1378</t>
  </si>
  <si>
    <t>W15UT17B9G1700</t>
  </si>
  <si>
    <t>W15UT17B9G1889</t>
  </si>
  <si>
    <t>W15UT17B9G3000</t>
  </si>
  <si>
    <t>W15UT17B9G4542</t>
  </si>
  <si>
    <t>W15UT17B9G4645</t>
  </si>
  <si>
    <t>W15UT17B9G5301</t>
  </si>
  <si>
    <t>W15UT17B9G6081</t>
  </si>
  <si>
    <t>W15UT17B9G8206</t>
  </si>
  <si>
    <t>W15UT21B9G1377</t>
  </si>
  <si>
    <t>W15UT21B9G1378</t>
  </si>
  <si>
    <t>W15UT21B9G1700</t>
  </si>
  <si>
    <t>W15UT21B9G1889</t>
  </si>
  <si>
    <t>W15UT21B9G3000</t>
  </si>
  <si>
    <t>W15UT21B9G4542</t>
  </si>
  <si>
    <t>W15UT21B9G4645</t>
  </si>
  <si>
    <t>W15UT21B9G5301</t>
  </si>
  <si>
    <t>W15UT21B9G6081</t>
  </si>
  <si>
    <t>W15UT21B9G8206</t>
  </si>
  <si>
    <t>W15UT22B9G1106</t>
  </si>
  <si>
    <t>W15UT22B9G1377</t>
  </si>
  <si>
    <t>W15UT22B9G1700</t>
  </si>
  <si>
    <t>W15UT22B9G1889</t>
  </si>
  <si>
    <t>W15UT22B9G3000</t>
  </si>
  <si>
    <t>W15UT22B9G4645</t>
  </si>
  <si>
    <t>W15UT22B9G5301</t>
  </si>
  <si>
    <t>W15UT22B9G8206</t>
  </si>
  <si>
    <t>W15UT23B9G1377</t>
  </si>
  <si>
    <t>W15UT23B9G1378</t>
  </si>
  <si>
    <t>W15UT23B9G1700</t>
  </si>
  <si>
    <t>W15UT23B9G1889</t>
  </si>
  <si>
    <t>W15UT23B9G4542</t>
  </si>
  <si>
    <t>W15UT23B9G5301</t>
  </si>
  <si>
    <t>W15UT24B9G1377</t>
  </si>
  <si>
    <t>W15UT24B9G1378</t>
  </si>
  <si>
    <t>W15UT24B9G1700</t>
  </si>
  <si>
    <t>W15UT24B9G1889</t>
  </si>
  <si>
    <t>W15UT24B9G4542</t>
  </si>
  <si>
    <t>W15UT24B9G4643</t>
  </si>
  <si>
    <t>W15UT24B9G5301</t>
  </si>
  <si>
    <t>W15UT24B9G8206</t>
  </si>
  <si>
    <t>W15UT26F1G1106</t>
  </si>
  <si>
    <t>W15UT26F1G1700</t>
  </si>
  <si>
    <t>W15UT29F7G1106</t>
  </si>
  <si>
    <t>W15UT29F7G1377</t>
  </si>
  <si>
    <t>W15UT29F7G1700</t>
  </si>
  <si>
    <t>W15UT29F7G1889</t>
  </si>
  <si>
    <t>W15UT29F7G3000</t>
  </si>
  <si>
    <t>W15UT29F7G4542</t>
  </si>
  <si>
    <t>W15UT29F7G4645</t>
  </si>
  <si>
    <t>W15UT29F7G5301</t>
  </si>
  <si>
    <t>W15UT29F7G6081</t>
  </si>
  <si>
    <t>W15UT29F7G8206</t>
  </si>
  <si>
    <t>W15UT30E8G1377</t>
  </si>
  <si>
    <t>W15UT30E8G1378</t>
  </si>
  <si>
    <t>W15UT30E8G1700</t>
  </si>
  <si>
    <t>W15UT30E8G1889</t>
  </si>
  <si>
    <t>W15UT30E8G3000</t>
  </si>
  <si>
    <t>W15UT30E8G4542</t>
  </si>
  <si>
    <t>W15UT30E8G4645</t>
  </si>
  <si>
    <t>W15UT30E8G5301</t>
  </si>
  <si>
    <t>W15UT30E8G6081</t>
  </si>
  <si>
    <t>W15UT30E8G8206</t>
  </si>
  <si>
    <t>W15UW12M9IED88</t>
  </si>
  <si>
    <t>W15UW12M9IEM60</t>
  </si>
  <si>
    <t>W16FD10A1GDELM</t>
  </si>
  <si>
    <t>W16FD31G1GDFDB</t>
  </si>
  <si>
    <t>W16FF01B8G1378</t>
  </si>
  <si>
    <t>W16FF01B8G1383</t>
  </si>
  <si>
    <t>W16FF01B8G4522</t>
  </si>
  <si>
    <t>W16FF01B8G5306</t>
  </si>
  <si>
    <t>W16FF01B8G6064</t>
  </si>
  <si>
    <t>W16FF01B8G6807</t>
  </si>
  <si>
    <t>W16FF02B8G1378</t>
  </si>
  <si>
    <t>W16FF02B8G1383</t>
  </si>
  <si>
    <t>W16FF02B8G4522</t>
  </si>
  <si>
    <t>W16FF02B8G5306</t>
  </si>
  <si>
    <t>W16FF02B8G6064</t>
  </si>
  <si>
    <t>W16FF02B8G6807</t>
  </si>
  <si>
    <t>W16FF03B8G1378</t>
  </si>
  <si>
    <t>W16FF03B8G1383</t>
  </si>
  <si>
    <t>W16FF03B8G4522</t>
  </si>
  <si>
    <t>W16FF03B8G5306</t>
  </si>
  <si>
    <t>W16FF03B8G6064</t>
  </si>
  <si>
    <t>W16FF03B8G6807</t>
  </si>
  <si>
    <t>W16FF04B8G1383</t>
  </si>
  <si>
    <t>W16FF04B8G4522</t>
  </si>
  <si>
    <t>W16FF04B8G5306</t>
  </si>
  <si>
    <t>W16FF04B8G6807</t>
  </si>
  <si>
    <t>W16FF05B8G1378</t>
  </si>
  <si>
    <t>W16FF05B8G1383</t>
  </si>
  <si>
    <t>W16FF05B8G4522</t>
  </si>
  <si>
    <t>W16FF05B8G5306</t>
  </si>
  <si>
    <t>W16FF05B8G6064</t>
  </si>
  <si>
    <t>W16FF05B8G6807</t>
  </si>
  <si>
    <t>W16FF06B8G1106</t>
  </si>
  <si>
    <t>W16FF06B8G1383</t>
  </si>
  <si>
    <t>W16FF06B8G5306</t>
  </si>
  <si>
    <t>W16FF07B8G1106</t>
  </si>
  <si>
    <t>W16FF07B8G1378</t>
  </si>
  <si>
    <t>W16FF07B8G1383</t>
  </si>
  <si>
    <t>W16FF07B8G5306</t>
  </si>
  <si>
    <t>W16FF08B8G1383</t>
  </si>
  <si>
    <t>W16FF08B8G5306</t>
  </si>
  <si>
    <t>W16FF09B8G1383</t>
  </si>
  <si>
    <t>W16FF11B8G1106</t>
  </si>
  <si>
    <t>W16FF11B8G</t>
  </si>
  <si>
    <t>BASEBALL CAMO</t>
  </si>
  <si>
    <t>W16FF11B8G1700</t>
  </si>
  <si>
    <t>W16FF11B8G4143</t>
  </si>
  <si>
    <t>W16FF12B8G1106</t>
  </si>
  <si>
    <t>W16FF13B8G1383</t>
  </si>
  <si>
    <t>W16FF13B8G5306</t>
  </si>
  <si>
    <t>W16FF13B8G6807</t>
  </si>
  <si>
    <t>W16FF15H5G3106</t>
  </si>
  <si>
    <t>W16FF15H5G4143</t>
  </si>
  <si>
    <t>W16FF16B8G1378</t>
  </si>
  <si>
    <t>W16FF16B8G1383</t>
  </si>
  <si>
    <t>W16FF16B8G4522</t>
  </si>
  <si>
    <t>W16FF25D2G1378</t>
  </si>
  <si>
    <t>W16FF25D2G4522</t>
  </si>
  <si>
    <t>W16FF26D2G1378</t>
  </si>
  <si>
    <t>W16FF26D2G4522</t>
  </si>
  <si>
    <t>W16FF26D2G6807</t>
  </si>
  <si>
    <t>W16FF27D2G1378</t>
  </si>
  <si>
    <t>W16FF27D2G4522</t>
  </si>
  <si>
    <t>W16FF44C8G1001</t>
  </si>
  <si>
    <t>W16FF44C8G4922</t>
  </si>
  <si>
    <t>W16FF44C8G6276</t>
  </si>
  <si>
    <t>W16FF45C8G1001</t>
  </si>
  <si>
    <t>W16FF45C8G1383</t>
  </si>
  <si>
    <t>W16FF45C8G4922</t>
  </si>
  <si>
    <t>W16FF46C8G1001</t>
  </si>
  <si>
    <t>W16FF46C8G1383</t>
  </si>
  <si>
    <t>W16FF46C8G4922</t>
  </si>
  <si>
    <t>W16FF46C8G6276</t>
  </si>
  <si>
    <t>W16FG07B6G1001</t>
  </si>
  <si>
    <t>W16FG07B6G1305</t>
  </si>
  <si>
    <t>W16FG07B6G4067</t>
  </si>
  <si>
    <t>W16FG07B6G6000</t>
  </si>
  <si>
    <t>W16FJ02B5G1702</t>
  </si>
  <si>
    <t>W16FJ02B5G3197</t>
  </si>
  <si>
    <t>W16FJ02B5G4819</t>
  </si>
  <si>
    <t>W16FJ08B7G1001</t>
  </si>
  <si>
    <t>W16FJ08B7G2105</t>
  </si>
  <si>
    <t>W16FJ08B7G3197</t>
  </si>
  <si>
    <t>W16FJ08B7G4819</t>
  </si>
  <si>
    <t>W16FJ29C3G1001</t>
  </si>
  <si>
    <t>W16FJ35C3G1001</t>
  </si>
  <si>
    <t>W16FK47C9G2602</t>
  </si>
  <si>
    <t>W16FK47C9G4922</t>
  </si>
  <si>
    <t>W16FK47C9G6276</t>
  </si>
  <si>
    <t>W16FK49C9G1001</t>
  </si>
  <si>
    <t>W16FK49C9G2602</t>
  </si>
  <si>
    <t>W16FK49C9G4922</t>
  </si>
  <si>
    <t>W16FK49C9G6276</t>
  </si>
  <si>
    <t>W16FM03B5G1702</t>
  </si>
  <si>
    <t>W16FM03B5G3197</t>
  </si>
  <si>
    <t>W16FM03B5G4819</t>
  </si>
  <si>
    <t>W16FM06B6G1001</t>
  </si>
  <si>
    <t>W16FM06B6G1305</t>
  </si>
  <si>
    <t>W16FM06B6G4067</t>
  </si>
  <si>
    <t>W16FM06B6G6000</t>
  </si>
  <si>
    <t>W16FM11B8G1449</t>
  </si>
  <si>
    <t>W16FM11B8G2351</t>
  </si>
  <si>
    <t>W16FM11B8G6000</t>
  </si>
  <si>
    <t>W16FM12B8G1449</t>
  </si>
  <si>
    <t>W16FM12B8G2351</t>
  </si>
  <si>
    <t>W16FM12B8G6000</t>
  </si>
  <si>
    <t>W16FM15B9G1370</t>
  </si>
  <si>
    <t>W16FP09B7G1001</t>
  </si>
  <si>
    <t>W16FP09B7G3197</t>
  </si>
  <si>
    <t>W16FP19C2G2701</t>
  </si>
  <si>
    <t>W16FP19C2G3197</t>
  </si>
  <si>
    <t>W16FP21C3G2377</t>
  </si>
  <si>
    <t>W16FP24C5G3197</t>
  </si>
  <si>
    <t>W16FP25C5G3197</t>
  </si>
  <si>
    <t>W16FP25C5G4926</t>
  </si>
  <si>
    <t>W16FS59A7G1001</t>
  </si>
  <si>
    <t>W16FS59A7G1383</t>
  </si>
  <si>
    <t>W16FS59A7G2602</t>
  </si>
  <si>
    <t>W16FS59A7G4922</t>
  </si>
  <si>
    <t>W16FS60A7G1001</t>
  </si>
  <si>
    <t>W16FS60A7G1383</t>
  </si>
  <si>
    <t>W16FS60A7G2602</t>
  </si>
  <si>
    <t>W16FS60A7G4922</t>
  </si>
  <si>
    <t>W16FS61A7G1001</t>
  </si>
  <si>
    <t>W16FS61A7G1383</t>
  </si>
  <si>
    <t>W16FS61A7G2602</t>
  </si>
  <si>
    <t>W16FS61A7G4922</t>
  </si>
  <si>
    <t>W16FS62A7G1001</t>
  </si>
  <si>
    <t>W16FS62A7G1383</t>
  </si>
  <si>
    <t>W16FS62A7G2602</t>
  </si>
  <si>
    <t>W16FS63A7G1001</t>
  </si>
  <si>
    <t>W16FS63A7G1383</t>
  </si>
  <si>
    <t>W16FS63A7G4922</t>
  </si>
  <si>
    <t>W16FS64A7G1001</t>
  </si>
  <si>
    <t>W16FS64A7G1383</t>
  </si>
  <si>
    <t>W16FS64A7G2602</t>
  </si>
  <si>
    <t>W16FS64A7G4922</t>
  </si>
  <si>
    <t>W16FS65A7G1370</t>
  </si>
  <si>
    <t>W16FS68A7G1001</t>
  </si>
  <si>
    <t>W16FS68A7G1383</t>
  </si>
  <si>
    <t>W16FS68A7G1700</t>
  </si>
  <si>
    <t>W16FT11B9G1383</t>
  </si>
  <si>
    <t>W16FT11B9G5306</t>
  </si>
  <si>
    <t>W16FT11B9G6807</t>
  </si>
  <si>
    <t>W16FT14G4G3106</t>
  </si>
  <si>
    <t>W16FT14G4G4143</t>
  </si>
  <si>
    <t>W16FT17B9G1106</t>
  </si>
  <si>
    <t>W16FT17B9G1383</t>
  </si>
  <si>
    <t>W16FT17B9G1700</t>
  </si>
  <si>
    <t>W16FT17B9G4522</t>
  </si>
  <si>
    <t>W16FT17B9G5306</t>
  </si>
  <si>
    <t>W16FT17B9G6064</t>
  </si>
  <si>
    <t>W16FT17B9G6807</t>
  </si>
  <si>
    <t>W16FT18B9G1378</t>
  </si>
  <si>
    <t>W16FT18B9G1383</t>
  </si>
  <si>
    <t>W16FT18B9G1700</t>
  </si>
  <si>
    <t>W16FT18B9G4522</t>
  </si>
  <si>
    <t>W16FT18B9G5306</t>
  </si>
  <si>
    <t>W16FT19B9G1378</t>
  </si>
  <si>
    <t>W16FT19B9G1383</t>
  </si>
  <si>
    <t>W16FT19B9G1700</t>
  </si>
  <si>
    <t>W16FT19B9G4522</t>
  </si>
  <si>
    <t>W16FT19B9G5306</t>
  </si>
  <si>
    <t>W16FT19B9G6064</t>
  </si>
  <si>
    <t>W16FT19B9G6807</t>
  </si>
  <si>
    <t>W16FT20B9G1378</t>
  </si>
  <si>
    <t>W16FT20B9G1383</t>
  </si>
  <si>
    <t>W16FT20B9G1700</t>
  </si>
  <si>
    <t>W16FT20B9G5306</t>
  </si>
  <si>
    <t>W16FT20B9G6064</t>
  </si>
  <si>
    <t>W16FT20B9G6807</t>
  </si>
  <si>
    <t>W16FT21M1G1106</t>
  </si>
  <si>
    <t>W16FT21M1G1285</t>
  </si>
  <si>
    <t>W16FT21M1G1704</t>
  </si>
  <si>
    <t>W16FT22E7G1106</t>
  </si>
  <si>
    <t>W16FT22E7G1700</t>
  </si>
  <si>
    <t>W16FT22E7G4143</t>
  </si>
  <si>
    <t>W16FT22E7G6807</t>
  </si>
  <si>
    <t>W16FT23E7G1106</t>
  </si>
  <si>
    <t>W16FT23E7G1700</t>
  </si>
  <si>
    <t>W16FT23E7G4143</t>
  </si>
  <si>
    <t>W16FT23E7G6807</t>
  </si>
  <si>
    <t>W16FT24G4G4143</t>
  </si>
  <si>
    <t>W16FT28E7G1106</t>
  </si>
  <si>
    <t>W16FT28E7G1700</t>
  </si>
  <si>
    <t>W16FT28E7G4143</t>
  </si>
  <si>
    <t>W16FT28E7G6807</t>
  </si>
  <si>
    <t>W16FT29M1G1704</t>
  </si>
  <si>
    <t>W16FT39C7G1001</t>
  </si>
  <si>
    <t>W16FT39C7G4922</t>
  </si>
  <si>
    <t>W16FT40C7G1001</t>
  </si>
  <si>
    <t>W16FT40C7G4922</t>
  </si>
  <si>
    <t>W16FT41C7G1001</t>
  </si>
  <si>
    <t>W16FT41C7G4922</t>
  </si>
  <si>
    <t>W16FT42C7G1001</t>
  </si>
  <si>
    <t>W16FT42C7G4922</t>
  </si>
  <si>
    <t>W16FT43C7G1001</t>
  </si>
  <si>
    <t>W16HA17D6G1001</t>
  </si>
  <si>
    <t>W16HA17D6G</t>
  </si>
  <si>
    <t>TOP ROSES</t>
  </si>
  <si>
    <t>W16HA18D4G4922</t>
  </si>
  <si>
    <t>W16HA18D4G</t>
  </si>
  <si>
    <t>TOP EMBROIDERY</t>
  </si>
  <si>
    <t>W16HB12D3G1001</t>
  </si>
  <si>
    <t>W16HB12D3G</t>
  </si>
  <si>
    <t>TUNIC BLOUSE SURF DIVA</t>
  </si>
  <si>
    <t>W16HB13D4G4922</t>
  </si>
  <si>
    <t>W16HB13D4G</t>
  </si>
  <si>
    <t>TUNIC BLOUSE EMBROIDERY</t>
  </si>
  <si>
    <t>W16HB14D5G1700</t>
  </si>
  <si>
    <t>W16HB14D5G</t>
  </si>
  <si>
    <t>TUNIC BLOUSE FLOWERS</t>
  </si>
  <si>
    <t>W16HB15D5G1001</t>
  </si>
  <si>
    <t>W16HB15D5G</t>
  </si>
  <si>
    <t>TUNIC BLOUSE ROSES</t>
  </si>
  <si>
    <t>W16HD01G1G1219</t>
  </si>
  <si>
    <t>W16HD01G1G</t>
  </si>
  <si>
    <t>CASEY DESTROYED GREY PAINT</t>
  </si>
  <si>
    <t>DEST GREY PAINT</t>
  </si>
  <si>
    <t>W16HD02C1G4319</t>
  </si>
  <si>
    <t>W16HD02C1G</t>
  </si>
  <si>
    <t>CASEY USED BLUE PAINT</t>
  </si>
  <si>
    <t>USED BLUE PAINT</t>
  </si>
  <si>
    <t>W16HD03D1G1046</t>
  </si>
  <si>
    <t>W16HD03D1G</t>
  </si>
  <si>
    <t>CASEY BLUE BLACK HEM</t>
  </si>
  <si>
    <t>BLUE BLACK HEM</t>
  </si>
  <si>
    <t>W16HD04G1G1229</t>
  </si>
  <si>
    <t>W16HD04G1G</t>
  </si>
  <si>
    <t>HALLE GREY USED</t>
  </si>
  <si>
    <t>W16HD05G1G1045</t>
  </si>
  <si>
    <t>W16HD05G1G</t>
  </si>
  <si>
    <t>CASEY BLACK SPECIAL HEM</t>
  </si>
  <si>
    <t>BLACK SPEC HEM</t>
  </si>
  <si>
    <t>W16HD12G1G1044</t>
  </si>
  <si>
    <t>W16HD12G1G</t>
  </si>
  <si>
    <t>CASEY BLACK FOLDED HEM</t>
  </si>
  <si>
    <t>BLCK FOLDED HEM</t>
  </si>
  <si>
    <t>W16HD13E1G4322</t>
  </si>
  <si>
    <t>W16HD13E1G</t>
  </si>
  <si>
    <t>LIV BLUE DENIM SELVAGE STRETCH</t>
  </si>
  <si>
    <t>BLU DNM SLV DST</t>
  </si>
  <si>
    <t>W16HF01D2G1106</t>
  </si>
  <si>
    <t>W16HF01D2G</t>
  </si>
  <si>
    <t>TURTLE NECK</t>
  </si>
  <si>
    <t>W16HF01D2G1700</t>
  </si>
  <si>
    <t>W16HF02D2G1106</t>
  </si>
  <si>
    <t>W16HF02D2G</t>
  </si>
  <si>
    <t>HOODED ZIP JKT STRIPE</t>
  </si>
  <si>
    <t>W16HF02D2G1700</t>
  </si>
  <si>
    <t>W16HF03D2G1106</t>
  </si>
  <si>
    <t>W16HF03D2G</t>
  </si>
  <si>
    <t>CREW FLEECE STRIPE</t>
  </si>
  <si>
    <t>W16HF03D2G1700</t>
  </si>
  <si>
    <t>W16HF04D2G1106</t>
  </si>
  <si>
    <t>W16HF04D2G</t>
  </si>
  <si>
    <t>PANT VELVET STRIPE</t>
  </si>
  <si>
    <t>W16HF04D2G1700</t>
  </si>
  <si>
    <t>W16HF05H5G1700</t>
  </si>
  <si>
    <t>W16HF08B8G1106</t>
  </si>
  <si>
    <t>W16HF08B8G</t>
  </si>
  <si>
    <t>TURTLE NECK SPECIAL</t>
  </si>
  <si>
    <t>W16HF08B8G1285</t>
  </si>
  <si>
    <t>W16HF08B8G4143</t>
  </si>
  <si>
    <t>W16HF09B8G1106</t>
  </si>
  <si>
    <t>W16HF09B8G</t>
  </si>
  <si>
    <t>W16HF09B8G1285</t>
  </si>
  <si>
    <t>W16HF09B8G4143</t>
  </si>
  <si>
    <t>W16HF09D2G1001</t>
  </si>
  <si>
    <t>W16HF09D2G</t>
  </si>
  <si>
    <t>SWEATER EMBROIDERY</t>
  </si>
  <si>
    <t>W16HF10D2G1285</t>
  </si>
  <si>
    <t>W16HF10D2G</t>
  </si>
  <si>
    <t>SWEAT TSHIRT EMBROIDERY</t>
  </si>
  <si>
    <t>W16HF11D2G1700</t>
  </si>
  <si>
    <t>W16HF11D2G</t>
  </si>
  <si>
    <t>SWEATER SURF DIVA</t>
  </si>
  <si>
    <t>W16HF12H5G1106</t>
  </si>
  <si>
    <t>W16HF12H5G</t>
  </si>
  <si>
    <t>CREW SWEAT TRUE</t>
  </si>
  <si>
    <t>W16HF12H5G1700</t>
  </si>
  <si>
    <t>W16HF12H5G3106</t>
  </si>
  <si>
    <t>W16HF12H5G4143</t>
  </si>
  <si>
    <t>W16HF16D2G1001</t>
  </si>
  <si>
    <t>W16HF16D2G</t>
  </si>
  <si>
    <t>SWEATER ROSES</t>
  </si>
  <si>
    <t>W16HF19D2G1285</t>
  </si>
  <si>
    <t>W16HF19D2G</t>
  </si>
  <si>
    <t>SWEATER TRUE ALWAYS LEGEND</t>
  </si>
  <si>
    <t>W16HF21D2G1001</t>
  </si>
  <si>
    <t>W16HF21D2G</t>
  </si>
  <si>
    <t>W16HF24D2G1285</t>
  </si>
  <si>
    <t>W16HF24D2G</t>
  </si>
  <si>
    <t>SWEATER AMERICAN DREAM</t>
  </si>
  <si>
    <t>W16HK20G2G1285</t>
  </si>
  <si>
    <t>W16HK20G2G</t>
  </si>
  <si>
    <t>RELAX CREW SWEATER</t>
  </si>
  <si>
    <t>W16HK21G2G1285</t>
  </si>
  <si>
    <t>W16HK21G2G</t>
  </si>
  <si>
    <t>TURTLE RELAX SWEATER</t>
  </si>
  <si>
    <t>W16HK22G2G1285</t>
  </si>
  <si>
    <t>W16HK22G2G</t>
  </si>
  <si>
    <t>HOODED JACKET SWEATER</t>
  </si>
  <si>
    <t>W16HT06G4G1106</t>
  </si>
  <si>
    <t>W16HT06G4G</t>
  </si>
  <si>
    <t>RELAX BIG HORSESHOE SHIRT</t>
  </si>
  <si>
    <t>W16HT06G4G1700</t>
  </si>
  <si>
    <t>W16HT06G4G3106</t>
  </si>
  <si>
    <t>W16HT06G4G4143</t>
  </si>
  <si>
    <t>W16HT07G4G1106</t>
  </si>
  <si>
    <t>W16HT07G4G</t>
  </si>
  <si>
    <t>W16HT07G4G1700</t>
  </si>
  <si>
    <t>W16HT07G4G3106</t>
  </si>
  <si>
    <t>W16HT07G4G4143</t>
  </si>
  <si>
    <t>W16HT10B8G1106</t>
  </si>
  <si>
    <t>W16HT10B8G</t>
  </si>
  <si>
    <t>W16HT10B8G1285</t>
  </si>
  <si>
    <t>W16HT10B8G4143</t>
  </si>
  <si>
    <t>W16HT14G4G1106</t>
  </si>
  <si>
    <t>W16HT14G4G1700</t>
  </si>
  <si>
    <t>W16HT14G4G3106</t>
  </si>
  <si>
    <t>W16HT15G4G1106</t>
  </si>
  <si>
    <t>W16HT15G4G</t>
  </si>
  <si>
    <t>BASEBALL SHIRT</t>
  </si>
  <si>
    <t>W16HT15G4G1700</t>
  </si>
  <si>
    <t>W16HT15G4G3106</t>
  </si>
  <si>
    <t>W16HT15G4G4143</t>
  </si>
  <si>
    <t>W16HT16G4G1106</t>
  </si>
  <si>
    <t>W16HT16G4G</t>
  </si>
  <si>
    <t>W16HT16G4G1700</t>
  </si>
  <si>
    <t>W16HT16G4G3106</t>
  </si>
  <si>
    <t>W16HT16G4G4143</t>
  </si>
  <si>
    <t>W16HT18M1G1106</t>
  </si>
  <si>
    <t>W16HT18M1G</t>
  </si>
  <si>
    <t>WIDE CREW SHIRT</t>
  </si>
  <si>
    <t>W16HT18M1G1285</t>
  </si>
  <si>
    <t>W16HT19M1G1106</t>
  </si>
  <si>
    <t>W16HT19M1G</t>
  </si>
  <si>
    <t>SCOOP NECK</t>
  </si>
  <si>
    <t>W16HT19M1G1285</t>
  </si>
  <si>
    <t>W16HT20D6G1700</t>
  </si>
  <si>
    <t>W16HT20D6G</t>
  </si>
  <si>
    <t>TSHIRT TRUE ALWAYS LEGEND</t>
  </si>
  <si>
    <t>W16HT22D6G1001</t>
  </si>
  <si>
    <t>W16HT22D6G</t>
  </si>
  <si>
    <t>TSHIRT EMBROIDERY</t>
  </si>
  <si>
    <t>W16HT23D6G1700</t>
  </si>
  <si>
    <t>W16HT23D6G</t>
  </si>
  <si>
    <t>TSHIRT AMERICAN DREAM</t>
  </si>
  <si>
    <t>W16HT23D6G4922</t>
  </si>
  <si>
    <t>W16HT23E6G1106</t>
  </si>
  <si>
    <t>W16HT23E6G</t>
  </si>
  <si>
    <t>RELAX LS HORSESHOE</t>
  </si>
  <si>
    <t>W16HT23E6G1700</t>
  </si>
  <si>
    <t>W16HY08C8G2723</t>
  </si>
  <si>
    <t>W16HY08C8G</t>
  </si>
  <si>
    <t>DNM LEATHER JKT W FRINGS ZEBRA</t>
  </si>
  <si>
    <t>W16HZ04C9G1001</t>
  </si>
  <si>
    <t>W16HZ04C9G</t>
  </si>
  <si>
    <t>7 8 PANT WITH PATCHES</t>
  </si>
  <si>
    <t>W16HZ05C8G2723</t>
  </si>
  <si>
    <t>W16HZ05C8G</t>
  </si>
  <si>
    <t>7 8 PANT</t>
  </si>
  <si>
    <t>W16SB19D4G3106</t>
  </si>
  <si>
    <t>W16SB19D4G4765</t>
  </si>
  <si>
    <t>W16SC09A3G1383</t>
  </si>
  <si>
    <t>W16SD10X1G4001</t>
  </si>
  <si>
    <t>W16SD11X1G4002</t>
  </si>
  <si>
    <t>W16SD12X2G1016</t>
  </si>
  <si>
    <t>W16SD13X2G1008</t>
  </si>
  <si>
    <t>W16SD14X3G1200</t>
  </si>
  <si>
    <t>W16SD15X3G1218</t>
  </si>
  <si>
    <t>W16SD16X8GDBIM</t>
  </si>
  <si>
    <t>W16SD17X8GDBOM</t>
  </si>
  <si>
    <t>W16SD30X6GCKGL</t>
  </si>
  <si>
    <t>W16SF01C7G1001</t>
  </si>
  <si>
    <t>W16SF01C7G1378</t>
  </si>
  <si>
    <t>W16SF01C7G1924</t>
  </si>
  <si>
    <t>W16SF01C7G3160</t>
  </si>
  <si>
    <t>W16SF01C7G4000</t>
  </si>
  <si>
    <t>W16SF01C7G4143</t>
  </si>
  <si>
    <t>W16SF01C7G5000</t>
  </si>
  <si>
    <t>W16SF01C7G6064</t>
  </si>
  <si>
    <t>W16SF01C7G6500</t>
  </si>
  <si>
    <t>W16SF01C7G8206</t>
  </si>
  <si>
    <t>W16SF02C7G1001</t>
  </si>
  <si>
    <t>W16SF02C7G1924</t>
  </si>
  <si>
    <t>W16SF02C7G3160</t>
  </si>
  <si>
    <t>W16SF02C7G4000</t>
  </si>
  <si>
    <t>W16SF02C7G5000</t>
  </si>
  <si>
    <t>W16SF02C7G6500</t>
  </si>
  <si>
    <t>W16SF02C7G8206</t>
  </si>
  <si>
    <t>W16SF03C7G1001</t>
  </si>
  <si>
    <t>W16SF03C7G1285</t>
  </si>
  <si>
    <t>W16SF03C7G1924</t>
  </si>
  <si>
    <t>W16SF03C7G3160</t>
  </si>
  <si>
    <t>W16SF03C7G4000</t>
  </si>
  <si>
    <t>W16SF03C7G4143</t>
  </si>
  <si>
    <t>W16SF03C7G5000</t>
  </si>
  <si>
    <t>W16SF03C7G6500</t>
  </si>
  <si>
    <t>W16SF03C7G8206</t>
  </si>
  <si>
    <t>W16SF05C7G1285</t>
  </si>
  <si>
    <t>W16SF05C7G1378</t>
  </si>
  <si>
    <t>W16SF05C7G1924</t>
  </si>
  <si>
    <t>W16SF05C7G3160</t>
  </si>
  <si>
    <t>W16SF05C7G4000</t>
  </si>
  <si>
    <t>W16SF05C7G4001</t>
  </si>
  <si>
    <t>W16SF05C7G5000</t>
  </si>
  <si>
    <t>W16SF05C7G6500</t>
  </si>
  <si>
    <t>W16SF05C7G8206</t>
  </si>
  <si>
    <t>W16SF06C7G1001</t>
  </si>
  <si>
    <t>W16SF06C7G1285</t>
  </si>
  <si>
    <t>W16SF06C7G1378</t>
  </si>
  <si>
    <t>W16SF06C7G1924</t>
  </si>
  <si>
    <t>W16SF06C7G3160</t>
  </si>
  <si>
    <t>W16SF06C7G4000</t>
  </si>
  <si>
    <t>W16SF06C7G5000</t>
  </si>
  <si>
    <t>W16SF06C7G8206</t>
  </si>
  <si>
    <t>W16SF08C7G1378</t>
  </si>
  <si>
    <t>W16SF08C7G1924</t>
  </si>
  <si>
    <t>W16SF08C7G3160</t>
  </si>
  <si>
    <t>W16SF08C7G4000</t>
  </si>
  <si>
    <t>W16SF08C7G4001</t>
  </si>
  <si>
    <t>W16SF08C7G4143</t>
  </si>
  <si>
    <t>W16SF08C7G5000</t>
  </si>
  <si>
    <t>W16SF08C7G6500</t>
  </si>
  <si>
    <t>W16SF08C7G8206</t>
  </si>
  <si>
    <t>W16SF22A6G1001</t>
  </si>
  <si>
    <t>W16SF22A6G3106</t>
  </si>
  <si>
    <t>W16SF70D3G1001</t>
  </si>
  <si>
    <t>W16SF70D3G1700</t>
  </si>
  <si>
    <t>W16SG24D4G3106</t>
  </si>
  <si>
    <t>W16SG24D4G4765</t>
  </si>
  <si>
    <t>W16SK40D9G4645</t>
  </si>
  <si>
    <t>W16SL07A3G1200</t>
  </si>
  <si>
    <t>W16SL07A3G1383</t>
  </si>
  <si>
    <t>W16SP02C3G1378</t>
  </si>
  <si>
    <t>W16SP02C3G1700</t>
  </si>
  <si>
    <t>W16SP02C3G2701</t>
  </si>
  <si>
    <t>W16SP02C3G3106</t>
  </si>
  <si>
    <t>W16SP02C3G4143</t>
  </si>
  <si>
    <t>W16SP05A1G1001</t>
  </si>
  <si>
    <t>W16SP06A8G1200</t>
  </si>
  <si>
    <t>W16SP10A8G2552</t>
  </si>
  <si>
    <t>W16SP11A2G2552</t>
  </si>
  <si>
    <t>W16SP12A8G1001</t>
  </si>
  <si>
    <t>W16SP20D4G3106</t>
  </si>
  <si>
    <t>W16SP20D4G4765</t>
  </si>
  <si>
    <t>W16SP23D4G3106</t>
  </si>
  <si>
    <t>W16SP23D4G4765</t>
  </si>
  <si>
    <t>W16SS08A3G1200</t>
  </si>
  <si>
    <t>W16SS08A3G2552</t>
  </si>
  <si>
    <t>W16ST12B9G1378</t>
  </si>
  <si>
    <t>W16ST12B9G1700</t>
  </si>
  <si>
    <t>W16ST12B9G3160</t>
  </si>
  <si>
    <t>W16ST12B9G4000</t>
  </si>
  <si>
    <t>W16ST12B9G8206</t>
  </si>
  <si>
    <t>W16ST13B9G1001</t>
  </si>
  <si>
    <t>W16ST13B9G1378</t>
  </si>
  <si>
    <t>W16ST13B9G1700</t>
  </si>
  <si>
    <t>W16ST13B9G2701</t>
  </si>
  <si>
    <t>W16ST13B9G3160</t>
  </si>
  <si>
    <t>W16ST13B9G4000</t>
  </si>
  <si>
    <t>W16ST13B9G4001</t>
  </si>
  <si>
    <t>W16ST13B9G4143</t>
  </si>
  <si>
    <t>W16ST13B9G5000</t>
  </si>
  <si>
    <t>W16ST13B9G6064</t>
  </si>
  <si>
    <t>W16ST13B9G6500</t>
  </si>
  <si>
    <t>W16ST13B9G7100</t>
  </si>
  <si>
    <t>W16ST13B9G8206</t>
  </si>
  <si>
    <t>W16ST15G4G1001</t>
  </si>
  <si>
    <t>W16ST15G4G1700</t>
  </si>
  <si>
    <t>W16ST15G4G4000</t>
  </si>
  <si>
    <t>W16ST17G4G4000</t>
  </si>
  <si>
    <t>W16ST18E7G1378</t>
  </si>
  <si>
    <t>W16ST18E7G3160</t>
  </si>
  <si>
    <t>W16ST18E7G4000</t>
  </si>
  <si>
    <t>W16ST18E7G4001</t>
  </si>
  <si>
    <t>W16ST18E7G5000</t>
  </si>
  <si>
    <t>W16ST18E7G6500</t>
  </si>
  <si>
    <t>W16ST18E7G8206</t>
  </si>
  <si>
    <t>W16ST19E7G1378</t>
  </si>
  <si>
    <t>W16ST19E7G3160</t>
  </si>
  <si>
    <t>W16ST19E7G4000</t>
  </si>
  <si>
    <t>W16ST19E7G4001</t>
  </si>
  <si>
    <t>W16ST19E7G5000</t>
  </si>
  <si>
    <t>W16ST19E7G6500</t>
  </si>
  <si>
    <t>W16ST19E7G8206</t>
  </si>
  <si>
    <t>W16ST20E7G1378</t>
  </si>
  <si>
    <t>W16ST20E7G3160</t>
  </si>
  <si>
    <t>W16ST20E7G4000</t>
  </si>
  <si>
    <t>W16ST20E7G4001</t>
  </si>
  <si>
    <t>W16ST20E7G4143</t>
  </si>
  <si>
    <t>W16ST20E7G5000</t>
  </si>
  <si>
    <t>W16ST20E7G6500</t>
  </si>
  <si>
    <t>W16ST20E7G8206</t>
  </si>
  <si>
    <t>W16ST21E7G1378</t>
  </si>
  <si>
    <t>W16ST21E7G3160</t>
  </si>
  <si>
    <t>W16ST21E7G4000</t>
  </si>
  <si>
    <t>W16ST21E7G4001</t>
  </si>
  <si>
    <t>W16ST21E7G4143</t>
  </si>
  <si>
    <t>W16ST21E7G5000</t>
  </si>
  <si>
    <t>W16ST21E7G6500</t>
  </si>
  <si>
    <t>W16ST21E7G8206</t>
  </si>
  <si>
    <t>W16ST22E7G1378</t>
  </si>
  <si>
    <t>W16ST22E7G3160</t>
  </si>
  <si>
    <t>W16ST22E7G4000</t>
  </si>
  <si>
    <t>W16ST22E7G4001</t>
  </si>
  <si>
    <t>W16ST22E7G5000</t>
  </si>
  <si>
    <t>W16ST22E7G6500</t>
  </si>
  <si>
    <t>W16ST22E7G8206</t>
  </si>
  <si>
    <t>W16ST23G4G1001</t>
  </si>
  <si>
    <t>W16ST23G4G3160</t>
  </si>
  <si>
    <t>W16ST25F1G1001</t>
  </si>
  <si>
    <t>W16ST25F1G1023</t>
  </si>
  <si>
    <t>W16ST25F1G1700</t>
  </si>
  <si>
    <t>W16ST25F1G4000</t>
  </si>
  <si>
    <t>W16ST25F1G6500</t>
  </si>
  <si>
    <t>W16ST25F1G7100</t>
  </si>
  <si>
    <t>W16ST26F1G1001</t>
  </si>
  <si>
    <t>W16ST26F1G1023</t>
  </si>
  <si>
    <t>W16ST26F1G1700</t>
  </si>
  <si>
    <t>W16ST26F1G4000</t>
  </si>
  <si>
    <t>W16ST26F1G6500</t>
  </si>
  <si>
    <t>W16ST26F1G7100</t>
  </si>
  <si>
    <t>W16ST27F1G1001</t>
  </si>
  <si>
    <t>W16ST27F1G1023</t>
  </si>
  <si>
    <t>W16ST27F1G1700</t>
  </si>
  <si>
    <t>W16ST27F1G4000</t>
  </si>
  <si>
    <t>W16ST27F1G6500</t>
  </si>
  <si>
    <t>W16ST27F1G7100</t>
  </si>
  <si>
    <t>W16ST28G2G4143</t>
  </si>
  <si>
    <t>W16ST34G1G4143</t>
  </si>
  <si>
    <t>W16ST35G1G4143</t>
  </si>
  <si>
    <t>W16ST36G1G4143</t>
  </si>
  <si>
    <t>W16ST39B9G1378</t>
  </si>
  <si>
    <t>W16ST39B9G1700</t>
  </si>
  <si>
    <t>W16ST39B9G4000</t>
  </si>
  <si>
    <t>W16ST39B9G4001</t>
  </si>
  <si>
    <t>W16ST39B9G5000</t>
  </si>
  <si>
    <t>W16ST39B9G6500</t>
  </si>
  <si>
    <t>W16ST39B9G8206</t>
  </si>
  <si>
    <t>W16ST40G4G1001</t>
  </si>
  <si>
    <t>W16ST40G4G1378</t>
  </si>
  <si>
    <t>W16ST40G4G1700</t>
  </si>
  <si>
    <t>W16ST40G4G3160</t>
  </si>
  <si>
    <t>W16ST40G4G4000</t>
  </si>
  <si>
    <t>W16ST40G4G6500</t>
  </si>
  <si>
    <t>W16ST40G4G8206</t>
  </si>
  <si>
    <t>W16ST41G4G1001</t>
  </si>
  <si>
    <t>W16ST41G4G1378</t>
  </si>
  <si>
    <t>W16ST41G4G1700</t>
  </si>
  <si>
    <t>W16ST41G4G3160</t>
  </si>
  <si>
    <t>W16ST41G4G4000</t>
  </si>
  <si>
    <t>W16ST41G4G6500</t>
  </si>
  <si>
    <t>W16ST41G4G8206</t>
  </si>
  <si>
    <t>W16SV01C3G1378</t>
  </si>
  <si>
    <t>W16SV01C3G2701</t>
  </si>
  <si>
    <t>W16SV01C3G3106</t>
  </si>
  <si>
    <t>W16SV01C3G4143</t>
  </si>
  <si>
    <t>W16SW20B4G1001</t>
  </si>
  <si>
    <t>W16SX13A9G1001</t>
  </si>
  <si>
    <t>W16SX13A9G3106</t>
  </si>
  <si>
    <t>W16SX19B3G3196</t>
  </si>
  <si>
    <t>W16SY14A9G1001</t>
  </si>
  <si>
    <t>W16SY14A9G2725</t>
  </si>
  <si>
    <t>W16SY21A6G1001</t>
  </si>
  <si>
    <t>W16SZ16B1G4015</t>
  </si>
  <si>
    <t>W16SZ18B3G1704</t>
  </si>
  <si>
    <t>W16SZ18B3G2701</t>
  </si>
  <si>
    <t>W16UA50A9G1001</t>
  </si>
  <si>
    <t>W16UA50A9G4646</t>
  </si>
  <si>
    <t>W16UA51A9G1001</t>
  </si>
  <si>
    <t>W16UA51A9G4646</t>
  </si>
  <si>
    <t>W16UA82A9G1708</t>
  </si>
  <si>
    <t>W16UB57A3G1370</t>
  </si>
  <si>
    <t>W16UB85A7G1001</t>
  </si>
  <si>
    <t>W16UC35D8G1700</t>
  </si>
  <si>
    <t>W16UD77A7G1378</t>
  </si>
  <si>
    <t>W16UD77A7G6858</t>
  </si>
  <si>
    <t>W16UF09B8G1106</t>
  </si>
  <si>
    <t>W16UF09B8G1700</t>
  </si>
  <si>
    <t>W16UF09B8G3501</t>
  </si>
  <si>
    <t>W16UF09B8G4522</t>
  </si>
  <si>
    <t>W16UF09B8G6512</t>
  </si>
  <si>
    <t>W16UF10B8G1106</t>
  </si>
  <si>
    <t>W16UF10B8G1700</t>
  </si>
  <si>
    <t>W16UF10B8G3501</t>
  </si>
  <si>
    <t>W16UF10B8G4522</t>
  </si>
  <si>
    <t>W16UF10B8G4926</t>
  </si>
  <si>
    <t>W16UF11B8G1106</t>
  </si>
  <si>
    <t>W16UF11B8G1700</t>
  </si>
  <si>
    <t>W16UF11B8G4522</t>
  </si>
  <si>
    <t>W16UF11B8G4926</t>
  </si>
  <si>
    <t>W16UF12B8G1106</t>
  </si>
  <si>
    <t>W16UF12B8G1700</t>
  </si>
  <si>
    <t>W16UF12B8G3501</t>
  </si>
  <si>
    <t>W16UF12B8G4926</t>
  </si>
  <si>
    <t>W16UF13B8G1106</t>
  </si>
  <si>
    <t>W16UF13B8G4522</t>
  </si>
  <si>
    <t>W16UF13B8G4926</t>
  </si>
  <si>
    <t>W16UF13B8G6512</t>
  </si>
  <si>
    <t>W16UF14B8G1106</t>
  </si>
  <si>
    <t>W16UF14B8G1700</t>
  </si>
  <si>
    <t>W16UF14B8G3501</t>
  </si>
  <si>
    <t>W16UF14B8G4522</t>
  </si>
  <si>
    <t>W16UF14B8G4926</t>
  </si>
  <si>
    <t>W16UF31C7G1106</t>
  </si>
  <si>
    <t>W16UF31C7G1221</t>
  </si>
  <si>
    <t>W16UF31C7G1748</t>
  </si>
  <si>
    <t>W16UF31C7G4926</t>
  </si>
  <si>
    <t>W16UF33C7G1106</t>
  </si>
  <si>
    <t>W16UF33C7G1221</t>
  </si>
  <si>
    <t>W16UF33C7G3501</t>
  </si>
  <si>
    <t>W16UF33C7G4522</t>
  </si>
  <si>
    <t>W16UF34C7G1106</t>
  </si>
  <si>
    <t>W16UF34C7G1221</t>
  </si>
  <si>
    <t>W16UF34C7G6512</t>
  </si>
  <si>
    <t>W16UF35C7G1106</t>
  </si>
  <si>
    <t>W16UF35C7G1221</t>
  </si>
  <si>
    <t>W16UF35C7G3501</t>
  </si>
  <si>
    <t>W16UF35C7G4926</t>
  </si>
  <si>
    <t>W16UF35C7G6512</t>
  </si>
  <si>
    <t>W16UF37C7G1106</t>
  </si>
  <si>
    <t>W16UF38C7G1106</t>
  </si>
  <si>
    <t>W16UF39C7G1106</t>
  </si>
  <si>
    <t>W16UF40C7G1106</t>
  </si>
  <si>
    <t>W16UG36D8G1001</t>
  </si>
  <si>
    <t>W16UK01D1G1106</t>
  </si>
  <si>
    <t>W16UK88B1G1210</t>
  </si>
  <si>
    <t>W16UK88B1G1704</t>
  </si>
  <si>
    <t>W16UK89B2G1210</t>
  </si>
  <si>
    <t>W16UK89B2G4926</t>
  </si>
  <si>
    <t>W16UK91B2G1210</t>
  </si>
  <si>
    <t>W16UK91B2G4926</t>
  </si>
  <si>
    <t>W16UM92B5G1210</t>
  </si>
  <si>
    <t>W16UM92B5G3106</t>
  </si>
  <si>
    <t>W16UP34D8G1700</t>
  </si>
  <si>
    <t>W16UQ70A7G1001</t>
  </si>
  <si>
    <t>W16UQ70A7G1700</t>
  </si>
  <si>
    <t>W16UQ70A7G4926</t>
  </si>
  <si>
    <t>W16UQ86A7G1001</t>
  </si>
  <si>
    <t>W16UQ87A7G1001</t>
  </si>
  <si>
    <t>W16US20B1GDJIM</t>
  </si>
  <si>
    <t>W16US20B1G</t>
  </si>
  <si>
    <t>DJIM</t>
  </si>
  <si>
    <t>DJIM BALLAD BLU</t>
  </si>
  <si>
    <t>W16US21C1GDJHM</t>
  </si>
  <si>
    <t>W16US21C1G</t>
  </si>
  <si>
    <t>DJHM</t>
  </si>
  <si>
    <t>DJHM TRUE HAZE</t>
  </si>
  <si>
    <t>W16US22D1GDJPL</t>
  </si>
  <si>
    <t>W16US22D1G</t>
  </si>
  <si>
    <t>DJPL</t>
  </si>
  <si>
    <t>DJPL PAPRBCK BLU</t>
  </si>
  <si>
    <t>W16US23C1GDJHM</t>
  </si>
  <si>
    <t>W16US23C1G</t>
  </si>
  <si>
    <t>W16US24E1GDJDM</t>
  </si>
  <si>
    <t>W16US24E1G</t>
  </si>
  <si>
    <t>DJDM</t>
  </si>
  <si>
    <t>DJDM BLUES REVIVL</t>
  </si>
  <si>
    <t>W16US25D1GDJPL</t>
  </si>
  <si>
    <t>W16US25D1G</t>
  </si>
  <si>
    <t>CORA</t>
  </si>
  <si>
    <t>W16US26B1GDJIM</t>
  </si>
  <si>
    <t>W16US26B1G</t>
  </si>
  <si>
    <t>W16US58A2G1370</t>
  </si>
  <si>
    <t>W16US66A4G1378</t>
  </si>
  <si>
    <t>W16US66A4G4926</t>
  </si>
  <si>
    <t>W16US71A8G1001</t>
  </si>
  <si>
    <t>W16US71A8G1700</t>
  </si>
  <si>
    <t>W16US71A8G4926</t>
  </si>
  <si>
    <t>W16US81A9G1708</t>
  </si>
  <si>
    <t>W16US83A9G1708</t>
  </si>
  <si>
    <t>W16UT01C9G1106</t>
  </si>
  <si>
    <t>W16UT01C9G1700</t>
  </si>
  <si>
    <t>W16UT01C9G3501</t>
  </si>
  <si>
    <t>W16UT01C9G4522</t>
  </si>
  <si>
    <t>W16UT01C9G4926</t>
  </si>
  <si>
    <t>W16UT01C9G6512</t>
  </si>
  <si>
    <t>W16UT02C9G1106</t>
  </si>
  <si>
    <t>W16UT02C9G1700</t>
  </si>
  <si>
    <t>W16UT02C9G3501</t>
  </si>
  <si>
    <t>W16UT02C9G4522</t>
  </si>
  <si>
    <t>W16UT02C9G4926</t>
  </si>
  <si>
    <t>W16UT02C9G6512</t>
  </si>
  <si>
    <t>W16UT03C9G1106</t>
  </si>
  <si>
    <t>W16UT03C9G1700</t>
  </si>
  <si>
    <t>W16UT03C9G3501</t>
  </si>
  <si>
    <t>W16UT03C9G4522</t>
  </si>
  <si>
    <t>W16UT03C9G4926</t>
  </si>
  <si>
    <t>W16UT04C9G1106</t>
  </si>
  <si>
    <t>W16UT04C9G1700</t>
  </si>
  <si>
    <t>W16UT04C9G3501</t>
  </si>
  <si>
    <t>W16UT04C9G4522</t>
  </si>
  <si>
    <t>W16UT04C9G4926</t>
  </si>
  <si>
    <t>W16UT05C9G1106</t>
  </si>
  <si>
    <t>W16UT05C9G1700</t>
  </si>
  <si>
    <t>W16UT05C9G4522</t>
  </si>
  <si>
    <t>W16UT05C9G4926</t>
  </si>
  <si>
    <t>W16UT05C9G6512</t>
  </si>
  <si>
    <t>W16UT06C9G1106</t>
  </si>
  <si>
    <t>W16UT06C9G1700</t>
  </si>
  <si>
    <t>W16UT06C9G3501</t>
  </si>
  <si>
    <t>W16UT06C9G4522</t>
  </si>
  <si>
    <t>W16UT06C9G4926</t>
  </si>
  <si>
    <t>W16UT07C9G1106</t>
  </si>
  <si>
    <t>W16UT07C9G1700</t>
  </si>
  <si>
    <t>W16UT07C9G3501</t>
  </si>
  <si>
    <t>W16UT07C9G4522</t>
  </si>
  <si>
    <t>W16UT07C9G4926</t>
  </si>
  <si>
    <t>W16UT08C9G1106</t>
  </si>
  <si>
    <t>W16UT08C9G1700</t>
  </si>
  <si>
    <t>W16UT08C9G3501</t>
  </si>
  <si>
    <t>W16UT08C9G4522</t>
  </si>
  <si>
    <t>W16UT08C9G4926</t>
  </si>
  <si>
    <t>W16UT17G2G4926</t>
  </si>
  <si>
    <t>W16UT19M1G1106</t>
  </si>
  <si>
    <t>W16UT19M1G1285</t>
  </si>
  <si>
    <t>W16UT19M1G1748</t>
  </si>
  <si>
    <t>W16UT20M1G1106</t>
  </si>
  <si>
    <t>W16UT20M1G1285</t>
  </si>
  <si>
    <t>W16UT20M1G1748</t>
  </si>
  <si>
    <t>W16UT21M1G1106</t>
  </si>
  <si>
    <t>W16UT21M1G1285</t>
  </si>
  <si>
    <t>W16UT21M1G1748</t>
  </si>
  <si>
    <t>W16UT22B9G1106</t>
  </si>
  <si>
    <t>W16UT22B9G1748</t>
  </si>
  <si>
    <t>W16UT25B9G1106</t>
  </si>
  <si>
    <t>W16UT25B9G1221</t>
  </si>
  <si>
    <t>W16UT25B9G1700</t>
  </si>
  <si>
    <t>W16UT25B9G4926</t>
  </si>
  <si>
    <t>W16UT26B9G1106</t>
  </si>
  <si>
    <t>W16UT26B9G1221</t>
  </si>
  <si>
    <t>W16UT26B9G1700</t>
  </si>
  <si>
    <t>W16UT26B9G4926</t>
  </si>
  <si>
    <t>W16UT26B9G6512</t>
  </si>
  <si>
    <t>W16UT27B9G1106</t>
  </si>
  <si>
    <t>W16UT27B9G1221</t>
  </si>
  <si>
    <t>W16UT27B9G1700</t>
  </si>
  <si>
    <t>W16UT27B9G1748</t>
  </si>
  <si>
    <t>W16UT27B9G2725</t>
  </si>
  <si>
    <t>W16UT27B9G4926</t>
  </si>
  <si>
    <t>W16UT28B9G1106</t>
  </si>
  <si>
    <t>W16UT28B9G1221</t>
  </si>
  <si>
    <t>W16UT28B9G1700</t>
  </si>
  <si>
    <t>W16UT28B9G3501</t>
  </si>
  <si>
    <t>W16UT28B9G4926</t>
  </si>
  <si>
    <t>W16UT30B9G1106</t>
  </si>
  <si>
    <t>W16UT30B9G1221</t>
  </si>
  <si>
    <t>W16UT30B9G1700</t>
  </si>
  <si>
    <t>W16UT30B9G4522</t>
  </si>
  <si>
    <t>W16UT30B9G4926</t>
  </si>
  <si>
    <t>W16UT52A9G1001</t>
  </si>
  <si>
    <t>W16UT52A9G4646</t>
  </si>
  <si>
    <t>W16UT53A9G1001</t>
  </si>
  <si>
    <t>W16UT53A9G4646</t>
  </si>
  <si>
    <t>W16UT54A9G1001</t>
  </si>
  <si>
    <t>W16UT54A9G4646</t>
  </si>
  <si>
    <t>W16UT55A9G1001</t>
  </si>
  <si>
    <t>W16UT55A9G4646</t>
  </si>
  <si>
    <t>W16UT56A9G1001</t>
  </si>
  <si>
    <t>W16UT56A9G4646</t>
  </si>
  <si>
    <t>W16UX95B4G1704</t>
  </si>
  <si>
    <t>W16UX95B4G2701</t>
  </si>
  <si>
    <t>W16UX95B4G3106</t>
  </si>
  <si>
    <t>W16UY94B4G1704</t>
  </si>
  <si>
    <t>W16UY94B4G2701</t>
  </si>
  <si>
    <t>W16UY94B4G3106</t>
  </si>
  <si>
    <t>W176L79EG1100</t>
  </si>
  <si>
    <t>W179U76IK6142</t>
  </si>
  <si>
    <t>W17SA49E7G4143</t>
  </si>
  <si>
    <t>W17SA49E7G</t>
  </si>
  <si>
    <t>FRINGED TOP</t>
  </si>
  <si>
    <t>W17SA57E7G1001</t>
  </si>
  <si>
    <t>W17SA57E7G</t>
  </si>
  <si>
    <t>CROCHET EMBROIDERED TOP</t>
  </si>
  <si>
    <t>W17SA57E7G1700</t>
  </si>
  <si>
    <t>W17SB27E4G1700</t>
  </si>
  <si>
    <t>W17SB27E4G</t>
  </si>
  <si>
    <t>BLOUSE FESTIVAL</t>
  </si>
  <si>
    <t>W17SB27E4G4922</t>
  </si>
  <si>
    <t>W17SB32E6G6500</t>
  </si>
  <si>
    <t>W17SB32E6G</t>
  </si>
  <si>
    <t>EMBROIDERY BLOUSE</t>
  </si>
  <si>
    <t>W17SB35E5G4400</t>
  </si>
  <si>
    <t>W17SB35E5G</t>
  </si>
  <si>
    <t>TRUMPET BLOUSE</t>
  </si>
  <si>
    <t>W17SB37E5G4143</t>
  </si>
  <si>
    <t>W17SB37E5G</t>
  </si>
  <si>
    <t>POM POM BLOUSE</t>
  </si>
  <si>
    <t>W17SB56A2G1700</t>
  </si>
  <si>
    <t>W17SB56A2G</t>
  </si>
  <si>
    <t>W17SB56A2G6092</t>
  </si>
  <si>
    <t>W17SD01G9G1800</t>
  </si>
  <si>
    <t>W17SD01G9G</t>
  </si>
  <si>
    <t>HALLE DESTROYED</t>
  </si>
  <si>
    <t>W17SD03G9G1800</t>
  </si>
  <si>
    <t>W17SD03G9G</t>
  </si>
  <si>
    <t>W17SD04G9G1700</t>
  </si>
  <si>
    <t>W17SD04G9G</t>
  </si>
  <si>
    <t>W17SD08X1G4000</t>
  </si>
  <si>
    <t>W17SD08X1G</t>
  </si>
  <si>
    <t>CASEY BLUE STRETCH DENIM</t>
  </si>
  <si>
    <t>W17SD09A2G4000</t>
  </si>
  <si>
    <t>W17SD09A2G</t>
  </si>
  <si>
    <t>HALLE BI ELASTIC BLUE DENIM</t>
  </si>
  <si>
    <t>W17SD10A2G4318</t>
  </si>
  <si>
    <t>W17SD10A2G</t>
  </si>
  <si>
    <t>HALLE BLUE USED COLOR DOTS</t>
  </si>
  <si>
    <t>W17SD14A9G1229</t>
  </si>
  <si>
    <t>W17SD14A9G</t>
  </si>
  <si>
    <t>CASEY GREY USED COLOR DOTS</t>
  </si>
  <si>
    <t>W17SD15A9G1265</t>
  </si>
  <si>
    <t>W17SD15A9G</t>
  </si>
  <si>
    <t>CASEY DARK GREY USED WASH</t>
  </si>
  <si>
    <t>DK GREY USED</t>
  </si>
  <si>
    <t>W17SD19B1G4000</t>
  </si>
  <si>
    <t>W17SD19B1G</t>
  </si>
  <si>
    <t>LIV BLUE DENIM BLEACHED DESTR</t>
  </si>
  <si>
    <t>W17SD20M1G1377</t>
  </si>
  <si>
    <t>W17SD20M1G</t>
  </si>
  <si>
    <t>W17SD20M1G1378</t>
  </si>
  <si>
    <t>W17SD20M1G4025</t>
  </si>
  <si>
    <t>W17SD20M1G4677</t>
  </si>
  <si>
    <t>W17SD20M1G6500</t>
  </si>
  <si>
    <t>W17SD28E4G1700</t>
  </si>
  <si>
    <t>W17SD28E4G</t>
  </si>
  <si>
    <t>DRESS FESTIVAL</t>
  </si>
  <si>
    <t>W17SD28E4G4922</t>
  </si>
  <si>
    <t>W17SF09H5G1001</t>
  </si>
  <si>
    <t>W17SF09H5G</t>
  </si>
  <si>
    <t>RELAX PANT RHINESTONE HORSESHO</t>
  </si>
  <si>
    <t>W17SF09H5G1700</t>
  </si>
  <si>
    <t>W17SF09H5G3081</t>
  </si>
  <si>
    <t>W17SF09H5G3501</t>
  </si>
  <si>
    <t>W17SF09H5G4025</t>
  </si>
  <si>
    <t>W17SF09H5G6500</t>
  </si>
  <si>
    <t>W17SF10H5G1001</t>
  </si>
  <si>
    <t>W17SF10H5G</t>
  </si>
  <si>
    <t>FLEECED CREW SWEATER</t>
  </si>
  <si>
    <t>W17SF10H5G1700</t>
  </si>
  <si>
    <t>W17SF10H5G3081</t>
  </si>
  <si>
    <t>W17SF10H5G3501</t>
  </si>
  <si>
    <t>W17SF10H5G4025</t>
  </si>
  <si>
    <t>W17SF10H5G6500</t>
  </si>
  <si>
    <t>W17SF11H5G1001</t>
  </si>
  <si>
    <t>W17SF11H5G</t>
  </si>
  <si>
    <t>CREW FLEECE LS PALM</t>
  </si>
  <si>
    <t>W17SF11H5G1700</t>
  </si>
  <si>
    <t>W17SF11H5G3081</t>
  </si>
  <si>
    <t>W17SF11H5G3501</t>
  </si>
  <si>
    <t>W17SF11H5G4025</t>
  </si>
  <si>
    <t>W17SF11H5G6500</t>
  </si>
  <si>
    <t>W17SF28C7G3501</t>
  </si>
  <si>
    <t>W17SF28C7G</t>
  </si>
  <si>
    <t>CREW FLEECE LS CAMOUFLAGE</t>
  </si>
  <si>
    <t>W17SF28C7G4025</t>
  </si>
  <si>
    <t>W17SF28C7G6500</t>
  </si>
  <si>
    <t>W17SF29C7G3501</t>
  </si>
  <si>
    <t>W17SF29C7G</t>
  </si>
  <si>
    <t>PANT FLEECE CAMOUFLAGE</t>
  </si>
  <si>
    <t>W17SF29C7G4025</t>
  </si>
  <si>
    <t>W17SF29C7G6500</t>
  </si>
  <si>
    <t>W17SF30C7G3501</t>
  </si>
  <si>
    <t>W17SF30C7G</t>
  </si>
  <si>
    <t>HOODED ZIP CAMOUFLAGE JKT</t>
  </si>
  <si>
    <t>W17SF30C7G4025</t>
  </si>
  <si>
    <t>W17SF30C7G6500</t>
  </si>
  <si>
    <t>W17SF31C7G3501</t>
  </si>
  <si>
    <t>W17SF31C7G</t>
  </si>
  <si>
    <t>FLEECE SHORT CAMOUFLAGE</t>
  </si>
  <si>
    <t>W17SF31C7G4025</t>
  </si>
  <si>
    <t>W17SF31C7G6500</t>
  </si>
  <si>
    <t>W17SF33C7G1001</t>
  </si>
  <si>
    <t>W17SF33C7G</t>
  </si>
  <si>
    <t>W17SF33C7G1377</t>
  </si>
  <si>
    <t>W17SF33C7G1700</t>
  </si>
  <si>
    <t>W17SF33C7G4025</t>
  </si>
  <si>
    <t>W17SF33C7G4677</t>
  </si>
  <si>
    <t>W17SF33C7G6092</t>
  </si>
  <si>
    <t>W17SF33C7G6500</t>
  </si>
  <si>
    <t>W17SF36C7G1377</t>
  </si>
  <si>
    <t>W17SF36C7G</t>
  </si>
  <si>
    <t>MOTO FLEECE PANT</t>
  </si>
  <si>
    <t>W17SF36C7G1378</t>
  </si>
  <si>
    <t>W17SF36C7G4249</t>
  </si>
  <si>
    <t>W17SF36C7G4677</t>
  </si>
  <si>
    <t>W17SF37C7G1377</t>
  </si>
  <si>
    <t>W17SF37C7G</t>
  </si>
  <si>
    <t>FLEECED SWEATER CALI LOVE</t>
  </si>
  <si>
    <t>W17SF37C7G3081</t>
  </si>
  <si>
    <t>W17SF37C7G4025</t>
  </si>
  <si>
    <t>W17SF37C7G4677</t>
  </si>
  <si>
    <t>W17SF37C7G6092</t>
  </si>
  <si>
    <t>W17SF37C7G6500</t>
  </si>
  <si>
    <t>W17SF38C7G1377</t>
  </si>
  <si>
    <t>W17SF38C7G</t>
  </si>
  <si>
    <t>FLEECED HOODED ZIP JKT CALI</t>
  </si>
  <si>
    <t>W17SF38C7G3081</t>
  </si>
  <si>
    <t>W17SF38C7G4025</t>
  </si>
  <si>
    <t>W17SF38C7G4677</t>
  </si>
  <si>
    <t>W17SF38C7G6092</t>
  </si>
  <si>
    <t>W17SF38C7G6500</t>
  </si>
  <si>
    <t>W17SF50C7G3501</t>
  </si>
  <si>
    <t>W17SF50C7G</t>
  </si>
  <si>
    <t>CREW FLEECE SWEATER CAMO</t>
  </si>
  <si>
    <t>W17SF50C7G4025</t>
  </si>
  <si>
    <t>W17SF50C7G6500</t>
  </si>
  <si>
    <t>W17SF70C7G3501</t>
  </si>
  <si>
    <t>W17SF70C7G</t>
  </si>
  <si>
    <t>CAMO ZIPPER JKT</t>
  </si>
  <si>
    <t>W17SF70C7G4025</t>
  </si>
  <si>
    <t>W17SF70C7G6500</t>
  </si>
  <si>
    <t>W17SJ01D8G1795</t>
  </si>
  <si>
    <t>W17SJ01D8G</t>
  </si>
  <si>
    <t>DENIM HIBISCUS JKT</t>
  </si>
  <si>
    <t>WHITE SWAN</t>
  </si>
  <si>
    <t>W17SJ07D9G6506</t>
  </si>
  <si>
    <t>W17SJ07D9G</t>
  </si>
  <si>
    <t>SHORT BOMBER</t>
  </si>
  <si>
    <t>VENICE BEACH AOP</t>
  </si>
  <si>
    <t>W17SJ18E3G1001</t>
  </si>
  <si>
    <t>W17SJ18E3G</t>
  </si>
  <si>
    <t>W17SJ18E3G4677</t>
  </si>
  <si>
    <t>W17SJ18E3G6247</t>
  </si>
  <si>
    <t>W17SJ59D9G3559</t>
  </si>
  <si>
    <t>W17SJ59D9G</t>
  </si>
  <si>
    <t>BALSAM GREEN</t>
  </si>
  <si>
    <t>W17SJ59D9G6017</t>
  </si>
  <si>
    <t>ROSE CLOUD</t>
  </si>
  <si>
    <t>W17SM08C2G3435</t>
  </si>
  <si>
    <t>W17SM08C2G</t>
  </si>
  <si>
    <t>OVERSIZED TRENCH</t>
  </si>
  <si>
    <t>W17SM08C2G4626</t>
  </si>
  <si>
    <t>VINTAGE BLUE</t>
  </si>
  <si>
    <t>W17SP02B3G3559</t>
  </si>
  <si>
    <t>W17SP02B3G</t>
  </si>
  <si>
    <t>HOODLESS PARKA EMBROIDERY</t>
  </si>
  <si>
    <t>W17SP06D9G3559</t>
  </si>
  <si>
    <t>W17SP06D9G</t>
  </si>
  <si>
    <t>LONG BOMBER</t>
  </si>
  <si>
    <t>W17SP06D9G6017</t>
  </si>
  <si>
    <t>W17SP17E2G4249</t>
  </si>
  <si>
    <t>W17SP17E2G</t>
  </si>
  <si>
    <t>BOMBER COAT</t>
  </si>
  <si>
    <t>W17ST01B9G1377</t>
  </si>
  <si>
    <t>W17ST01B9G</t>
  </si>
  <si>
    <t>SQUARE SHIRT</t>
  </si>
  <si>
    <t>W17ST01B9G1378</t>
  </si>
  <si>
    <t>W17ST01B9G1700</t>
  </si>
  <si>
    <t>W17ST01B9G3081</t>
  </si>
  <si>
    <t>W17ST01B9G4677</t>
  </si>
  <si>
    <t>W17ST01B9G6092</t>
  </si>
  <si>
    <t>W17ST02B9G1377</t>
  </si>
  <si>
    <t>W17ST02B9G</t>
  </si>
  <si>
    <t>TSHIRT KNOT DETAIL</t>
  </si>
  <si>
    <t>W17ST02B9G1700</t>
  </si>
  <si>
    <t>W17ST02B9G3081</t>
  </si>
  <si>
    <t>W17ST02B9G4677</t>
  </si>
  <si>
    <t>W17ST02B9G6092</t>
  </si>
  <si>
    <t>W17ST02B9G6500</t>
  </si>
  <si>
    <t>W17ST03G4G1001</t>
  </si>
  <si>
    <t>W17ST03G4G</t>
  </si>
  <si>
    <t>TSHIRT LOVE ARTWORK</t>
  </si>
  <si>
    <t>W17ST03G4G1377</t>
  </si>
  <si>
    <t>W17ST03G4G3081</t>
  </si>
  <si>
    <t>W17ST03G4G4025</t>
  </si>
  <si>
    <t>W17ST03G4G4677</t>
  </si>
  <si>
    <t>W17ST03G4G6500</t>
  </si>
  <si>
    <t>W17ST04B9G1377</t>
  </si>
  <si>
    <t>W17ST04B9G</t>
  </si>
  <si>
    <t>DEEP VNECK COLD DYED</t>
  </si>
  <si>
    <t>W17ST04B9G1700</t>
  </si>
  <si>
    <t>W17ST04B9G3081</t>
  </si>
  <si>
    <t>W17ST04B9G4677</t>
  </si>
  <si>
    <t>W17ST04B9G6092</t>
  </si>
  <si>
    <t>W17ST04B9G6500</t>
  </si>
  <si>
    <t>W17ST05B9G1377</t>
  </si>
  <si>
    <t>W17ST05B9G</t>
  </si>
  <si>
    <t>TSHIRT SLIT</t>
  </si>
  <si>
    <t>W17ST05B9G1378</t>
  </si>
  <si>
    <t>W17ST05B9G1700</t>
  </si>
  <si>
    <t>W17ST05B9G3081</t>
  </si>
  <si>
    <t>W17ST05B9G4677</t>
  </si>
  <si>
    <t>W17ST05B9G6092</t>
  </si>
  <si>
    <t>W17ST05B9G6500</t>
  </si>
  <si>
    <t>W17ST06G4G1001</t>
  </si>
  <si>
    <t>W17ST06G4G</t>
  </si>
  <si>
    <t>VNECK SS BOXY CROP</t>
  </si>
  <si>
    <t>W17ST06G4G1700</t>
  </si>
  <si>
    <t>W17ST06G4G3081</t>
  </si>
  <si>
    <t>W17ST06G4G3501</t>
  </si>
  <si>
    <t>W17ST06G4G4025</t>
  </si>
  <si>
    <t>W17ST06G4G6500</t>
  </si>
  <si>
    <t>W17ST07G4G1001</t>
  </si>
  <si>
    <t>W17ST07G4G</t>
  </si>
  <si>
    <t>VNECK CALIFORNIA</t>
  </si>
  <si>
    <t>W17ST07G4G1700</t>
  </si>
  <si>
    <t>W17ST07G4G3081</t>
  </si>
  <si>
    <t>W17ST07G4G4025</t>
  </si>
  <si>
    <t>W17ST07G4G6500</t>
  </si>
  <si>
    <t>W17ST08B9G1001</t>
  </si>
  <si>
    <t>W17ST08B9G</t>
  </si>
  <si>
    <t>TSHIRT CUT OUT AMERICAN FLAG</t>
  </si>
  <si>
    <t>W17ST08B9G1377</t>
  </si>
  <si>
    <t>W17ST08B9G1378</t>
  </si>
  <si>
    <t>W17ST08B9G1700</t>
  </si>
  <si>
    <t>W17ST08B9G4025</t>
  </si>
  <si>
    <t>W17ST08B9G4677</t>
  </si>
  <si>
    <t>W17ST08B9G6500</t>
  </si>
  <si>
    <t>W17ST12E7G1377</t>
  </si>
  <si>
    <t>W17ST12E7G</t>
  </si>
  <si>
    <t>RAINBOW RELAXED LS</t>
  </si>
  <si>
    <t>W17ST12E7G1700</t>
  </si>
  <si>
    <t>W17ST12E7G4025</t>
  </si>
  <si>
    <t>W17ST12E7G4677</t>
  </si>
  <si>
    <t>W17ST13E7G1377</t>
  </si>
  <si>
    <t>W17ST13E7G</t>
  </si>
  <si>
    <t>RAINBOW BOYFRIEND SS</t>
  </si>
  <si>
    <t>W17ST13E7G1700</t>
  </si>
  <si>
    <t>W17ST13E7G4677</t>
  </si>
  <si>
    <t>W17ST15B9G1001</t>
  </si>
  <si>
    <t>W17ST15B9G</t>
  </si>
  <si>
    <t>TSHIRT SS KNOT</t>
  </si>
  <si>
    <t>W17ST15B9G1377</t>
  </si>
  <si>
    <t>W17ST15B9G3081</t>
  </si>
  <si>
    <t>W17ST15B9G4025</t>
  </si>
  <si>
    <t>W17ST15B9G6092</t>
  </si>
  <si>
    <t>W17ST16B9G1378</t>
  </si>
  <si>
    <t>W17ST16B9G</t>
  </si>
  <si>
    <t>TOP TIE DYE RAINBOW</t>
  </si>
  <si>
    <t>W17ST16B9G3081</t>
  </si>
  <si>
    <t>W17ST16B9G4025</t>
  </si>
  <si>
    <t>W17ST16B9G6092</t>
  </si>
  <si>
    <t>W17ST17B9G1377</t>
  </si>
  <si>
    <t>W17ST17B9G</t>
  </si>
  <si>
    <t>VNECK SS RAINBOW</t>
  </si>
  <si>
    <t>W17ST17B9G1378</t>
  </si>
  <si>
    <t>W17ST17B9G3081</t>
  </si>
  <si>
    <t>W17ST17B9G4025</t>
  </si>
  <si>
    <t>W17ST17B9G4677</t>
  </si>
  <si>
    <t>W17ST17B9G6092</t>
  </si>
  <si>
    <t>W17ST18B9G1001</t>
  </si>
  <si>
    <t>W17ST18B9G</t>
  </si>
  <si>
    <t>W17ST18B9G1377</t>
  </si>
  <si>
    <t>W17ST18B9G3081</t>
  </si>
  <si>
    <t>W17ST18B9G4025</t>
  </si>
  <si>
    <t>W17ST18B9G6092</t>
  </si>
  <si>
    <t>W17ST19G2G1001</t>
  </si>
  <si>
    <t>W17ST19G2G</t>
  </si>
  <si>
    <t>7 8 SLEEVE BATIK PALM</t>
  </si>
  <si>
    <t>W17ST20G2G1001</t>
  </si>
  <si>
    <t>W17ST20G2G</t>
  </si>
  <si>
    <t>BOXY SS BATIK STRIPE</t>
  </si>
  <si>
    <t>W17ST21E7G3501</t>
  </si>
  <si>
    <t>W17ST21E7G</t>
  </si>
  <si>
    <t>CAMOUFLAGE KNOT TSHIRT</t>
  </si>
  <si>
    <t>W17ST21E7G4025</t>
  </si>
  <si>
    <t>W17ST21E7G6500</t>
  </si>
  <si>
    <t>W17ST22E7G3501</t>
  </si>
  <si>
    <t>W17ST22E7G</t>
  </si>
  <si>
    <t>CAMOUFLAGE VNECK</t>
  </si>
  <si>
    <t>W17ST22E7G4025</t>
  </si>
  <si>
    <t>W17ST22E7G6500</t>
  </si>
  <si>
    <t>W17ST23E7G3501</t>
  </si>
  <si>
    <t>W17ST23E7G</t>
  </si>
  <si>
    <t>BASEBALL LS PALM</t>
  </si>
  <si>
    <t>W17ST23E7G4025</t>
  </si>
  <si>
    <t>W17ST23E7G6500</t>
  </si>
  <si>
    <t>W17ST24E7G3501</t>
  </si>
  <si>
    <t>W17ST24E7G</t>
  </si>
  <si>
    <t>W17ST24E7G4025</t>
  </si>
  <si>
    <t>W17ST24E7G6500</t>
  </si>
  <si>
    <t>W17ST25E7G3501</t>
  </si>
  <si>
    <t>W17ST25E7G</t>
  </si>
  <si>
    <t>CAMO TANK</t>
  </si>
  <si>
    <t>W17ST25E7G4025</t>
  </si>
  <si>
    <t>W17ST25E7G6500</t>
  </si>
  <si>
    <t>W17ST51E8G4400</t>
  </si>
  <si>
    <t>W17ST51E8G</t>
  </si>
  <si>
    <t>LS WITH LACING</t>
  </si>
  <si>
    <t>W17ST60B9G1377</t>
  </si>
  <si>
    <t>W17ST60B9G</t>
  </si>
  <si>
    <t>BOYFRIEND SS SLIT</t>
  </si>
  <si>
    <t>W17ST60B9G1378</t>
  </si>
  <si>
    <t>W17ST60B9G1700</t>
  </si>
  <si>
    <t>W17ST60B9G3081</t>
  </si>
  <si>
    <t>W17ST60B9G4677</t>
  </si>
  <si>
    <t>W17ST60B9G6092</t>
  </si>
  <si>
    <t>W17ST60B9G6500</t>
  </si>
  <si>
    <t>W17ST77G4G1001</t>
  </si>
  <si>
    <t>W17ST77G4G</t>
  </si>
  <si>
    <t>VNECK CALIFORNIA BLEACHED</t>
  </si>
  <si>
    <t>W17ST77G4G3081</t>
  </si>
  <si>
    <t>W17ST77G4G4025</t>
  </si>
  <si>
    <t>W17ST77G4G6500</t>
  </si>
  <si>
    <t>W17SV14D1G1001</t>
  </si>
  <si>
    <t>W17SV14D1G</t>
  </si>
  <si>
    <t>EMBELLISHED LEATHER SKIRT</t>
  </si>
  <si>
    <t>W17SY12D1G1001</t>
  </si>
  <si>
    <t>W17SY12D1G</t>
  </si>
  <si>
    <t>EMBELLISHED FUNNEL NECK JKT</t>
  </si>
  <si>
    <t>W17SY12D1G6092</t>
  </si>
  <si>
    <t>W17SY12D1G6247</t>
  </si>
  <si>
    <t>W17SY13D1G1001</t>
  </si>
  <si>
    <t>W17SY13D1G</t>
  </si>
  <si>
    <t>FUNNEL NECK LEATHER JKT</t>
  </si>
  <si>
    <t>W19BL67E991700</t>
  </si>
  <si>
    <t>W1CA933B931035</t>
  </si>
  <si>
    <t>W1CA933B931746</t>
  </si>
  <si>
    <t>W1GB255SC81700</t>
  </si>
  <si>
    <t>W1MA653IK1700</t>
  </si>
  <si>
    <t>W1NA620IK2382</t>
  </si>
  <si>
    <t>W1PA634KH74048</t>
  </si>
  <si>
    <t>W1XA836IK1001</t>
  </si>
  <si>
    <t>W1XA836IK1847</t>
  </si>
  <si>
    <t>W1XA836IK4048</t>
  </si>
  <si>
    <t>W1XA836IK4868</t>
  </si>
  <si>
    <t>W1XA836IK6475</t>
  </si>
  <si>
    <t>W1YA745IK6875</t>
  </si>
  <si>
    <t>W20B045LY64904</t>
  </si>
  <si>
    <t>W20V58DG2ANWL</t>
  </si>
  <si>
    <t>W21599SSQ71826</t>
  </si>
  <si>
    <t>W21599STSM4000</t>
  </si>
  <si>
    <t>W21599STSM6500</t>
  </si>
  <si>
    <t>W21C100TSM1001</t>
  </si>
  <si>
    <t>W21G10SQ71800</t>
  </si>
  <si>
    <t>W21G10SQ71826</t>
  </si>
  <si>
    <t>W21N96TL91826</t>
  </si>
  <si>
    <t>W21N96WH36500</t>
  </si>
  <si>
    <t>W21Q70SQ71826</t>
  </si>
  <si>
    <t>W24P66M65PAL</t>
  </si>
  <si>
    <t>W24P67M65PAL</t>
  </si>
  <si>
    <t>W24P68M65PAL</t>
  </si>
  <si>
    <t>W24P70M65PAL</t>
  </si>
  <si>
    <t>W2BA132IK1001</t>
  </si>
  <si>
    <t>W2DA912LM41035</t>
  </si>
  <si>
    <t>W2DA912LM46488</t>
  </si>
  <si>
    <t>W2G433MW2BKYM</t>
  </si>
  <si>
    <t>W2G502KL32S</t>
  </si>
  <si>
    <t>W2G502Y9M11</t>
  </si>
  <si>
    <t>W2G564EM2V</t>
  </si>
  <si>
    <t>W2G564KB5BFEM</t>
  </si>
  <si>
    <t>W2G564KL32V</t>
  </si>
  <si>
    <t>W2G564KL3</t>
  </si>
  <si>
    <t>BOOTCUT WFLPS BROWN GOLD</t>
  </si>
  <si>
    <t>W2G564OM2S</t>
  </si>
  <si>
    <t>W2G564QK2CBWD</t>
  </si>
  <si>
    <t>W2G592SEMCNYL</t>
  </si>
  <si>
    <t>W2G592SNB7BHGD</t>
  </si>
  <si>
    <t>W2G592STSBOLM</t>
  </si>
  <si>
    <t>W2G592SY9M3M</t>
  </si>
  <si>
    <t>W2G599SHE82S</t>
  </si>
  <si>
    <t>W2G599SKL3CHJM</t>
  </si>
  <si>
    <t>W2G599STSMBOQD</t>
  </si>
  <si>
    <t>W2G599SY9M11</t>
  </si>
  <si>
    <t>W2GA817TSMBKYM</t>
  </si>
  <si>
    <t>W2GB473NBT2S</t>
  </si>
  <si>
    <t>W2GC100KL3BKYM</t>
  </si>
  <si>
    <t>W2GC100OMBKYM</t>
  </si>
  <si>
    <t>W2GC100TSBKYM</t>
  </si>
  <si>
    <t>W2GD083NBT2S</t>
  </si>
  <si>
    <t>W2GG10OMDDPD</t>
  </si>
  <si>
    <t>W2GJ58NBT2S</t>
  </si>
  <si>
    <t>W2JA807KI3BHOD</t>
  </si>
  <si>
    <t>W2JA988LS7BTHD</t>
  </si>
  <si>
    <t>W2JA989LS7BTHD</t>
  </si>
  <si>
    <t>W2JA990LS7BTHD</t>
  </si>
  <si>
    <t>W2KA597KE71700</t>
  </si>
  <si>
    <t>W2KA597LV01001</t>
  </si>
  <si>
    <t>W2KA597LV01035</t>
  </si>
  <si>
    <t>W2KA597LV01746</t>
  </si>
  <si>
    <t>W2KA597LV04900</t>
  </si>
  <si>
    <t>W2KA597LV06068</t>
  </si>
  <si>
    <t>W2KA597LV06490</t>
  </si>
  <si>
    <t>W2KA597LV46040</t>
  </si>
  <si>
    <t>W2KA597LV71794</t>
  </si>
  <si>
    <t>W2KA626EG1438</t>
  </si>
  <si>
    <t>W2KA626EG1700</t>
  </si>
  <si>
    <t>W2KA626EG6868</t>
  </si>
  <si>
    <t>W2KA633EG1001</t>
  </si>
  <si>
    <t>W2KA634JC11700</t>
  </si>
  <si>
    <t>W2KA634JC17457</t>
  </si>
  <si>
    <t>W2KA634LV11035</t>
  </si>
  <si>
    <t>W2KA634LV11794</t>
  </si>
  <si>
    <t>W2KA634LV21035</t>
  </si>
  <si>
    <t>W2KA634LV21746</t>
  </si>
  <si>
    <t>W2KA951KH21700</t>
  </si>
  <si>
    <t>W2KA972EG2703</t>
  </si>
  <si>
    <t>W2KB054LV31035</t>
  </si>
  <si>
    <t>W2KB054LV31794</t>
  </si>
  <si>
    <t>W2KC037QV91700</t>
  </si>
  <si>
    <t>W2KC037QV94108</t>
  </si>
  <si>
    <t>W2KC037QV95320</t>
  </si>
  <si>
    <t>W2KC037QV96000</t>
  </si>
  <si>
    <t>W2KC037QV97000</t>
  </si>
  <si>
    <t>W2KC096NZ11830</t>
  </si>
  <si>
    <t>W2KC096NZ14127</t>
  </si>
  <si>
    <t>W2LA616EG1700</t>
  </si>
  <si>
    <t>W2MA644EG1001</t>
  </si>
  <si>
    <t>W2MA644EG1438</t>
  </si>
  <si>
    <t>W2MA644EG1700</t>
  </si>
  <si>
    <t>W2MA644EG2364</t>
  </si>
  <si>
    <t>W2MA645EG1001</t>
  </si>
  <si>
    <t>W2MA645EG1438</t>
  </si>
  <si>
    <t>W2MA645EG1700</t>
  </si>
  <si>
    <t>W2MA645EG2364</t>
  </si>
  <si>
    <t>W2QA667JL51001</t>
  </si>
  <si>
    <t>W2QA853JL51001</t>
  </si>
  <si>
    <t>W2RA956LN21075</t>
  </si>
  <si>
    <t>W2SA821LN0BQRD</t>
  </si>
  <si>
    <t>W2SA821LN1BQSL</t>
  </si>
  <si>
    <t>W2SA912JG0BMKD</t>
  </si>
  <si>
    <t>W2SA912KT8BPEM</t>
  </si>
  <si>
    <t>W2SA912NR2BMKD</t>
  </si>
  <si>
    <t>W2SA914NR2BMKD</t>
  </si>
  <si>
    <t>W2SA945KT8BMKD</t>
  </si>
  <si>
    <t>W2SA945LU4BSDD</t>
  </si>
  <si>
    <t>W2SA966LT2BMKD</t>
  </si>
  <si>
    <t>W2SA999JG0BHUD</t>
  </si>
  <si>
    <t>W2SA999JG0BMKD</t>
  </si>
  <si>
    <t>W2SA999LR91001</t>
  </si>
  <si>
    <t>W2SA999LR91118</t>
  </si>
  <si>
    <t>W2SA999LR91489</t>
  </si>
  <si>
    <t>W2SA999LR91506</t>
  </si>
  <si>
    <t>W2SA999LR92386</t>
  </si>
  <si>
    <t>W2SB072MC22S</t>
  </si>
  <si>
    <t>W2SB086MC22S</t>
  </si>
  <si>
    <t>W2TA620JL2BKVM</t>
  </si>
  <si>
    <t>W2TA620LO2BJYL</t>
  </si>
  <si>
    <t>W2TA956LN31213</t>
  </si>
  <si>
    <t>W2YA794IK4793</t>
  </si>
  <si>
    <t>W32A027EH6AVKD</t>
  </si>
  <si>
    <t>W32A044EH5ATMD</t>
  </si>
  <si>
    <t>W32A046EH5ATMD</t>
  </si>
  <si>
    <t>W32A047EH5ATMD</t>
  </si>
  <si>
    <t>W32A555IH5AXED</t>
  </si>
  <si>
    <t>W32A915LT2BTYD</t>
  </si>
  <si>
    <t>W32A966LW8BTRM</t>
  </si>
  <si>
    <t>W32A985LS6BTGD</t>
  </si>
  <si>
    <t>W32A986LS6BTGD</t>
  </si>
  <si>
    <t>W32A987LS6BTGD</t>
  </si>
  <si>
    <t>W32A992LS9BTJD</t>
  </si>
  <si>
    <t>W32A993LT6BRLD</t>
  </si>
  <si>
    <t>W33A405EY8ATSM</t>
  </si>
  <si>
    <t>W33D061BJ91001</t>
  </si>
  <si>
    <t>W37A061EI51001</t>
  </si>
  <si>
    <t>W37A111EI51001</t>
  </si>
  <si>
    <t>W37A182EI51001</t>
  </si>
  <si>
    <t>W37A263EI51001</t>
  </si>
  <si>
    <t>W3DA957LL84044</t>
  </si>
  <si>
    <t>W3DA957LL86392</t>
  </si>
  <si>
    <t>W3DA958LL84044</t>
  </si>
  <si>
    <t>W3DA958LL86392</t>
  </si>
  <si>
    <t>W3G592SQK01V</t>
  </si>
  <si>
    <t>W3G592STS2S</t>
  </si>
  <si>
    <t>W3GQ70TSM2S</t>
  </si>
  <si>
    <t>W3JA999NQ3BIDD</t>
  </si>
  <si>
    <t>W3JB069MC7BIDD</t>
  </si>
  <si>
    <t>W3KA625JC01438</t>
  </si>
  <si>
    <t>W3KA657JC43501</t>
  </si>
  <si>
    <t>W3KA657JC44753</t>
  </si>
  <si>
    <t>W3MA942LM11001</t>
  </si>
  <si>
    <t>W3QA869JG21459</t>
  </si>
  <si>
    <t>W3SA898JE7BCMM</t>
  </si>
  <si>
    <t>W3SA915LR7BTCM</t>
  </si>
  <si>
    <t>W3SA945LR7BTCM</t>
  </si>
  <si>
    <t>W3SA966LW9BTSM</t>
  </si>
  <si>
    <t>W3SA996MA8BHND</t>
  </si>
  <si>
    <t>W3SB064LR7BTCM</t>
  </si>
  <si>
    <t>W3SZ37LR7BTCM</t>
  </si>
  <si>
    <t>W3YA790IK1001</t>
  </si>
  <si>
    <t>W3YA790IK3522</t>
  </si>
  <si>
    <t>W3ZA620LO21001</t>
  </si>
  <si>
    <t>W3ZA620LO21742</t>
  </si>
  <si>
    <t>W3ZA620LO26033</t>
  </si>
  <si>
    <t>W3ZA852KQ14864</t>
  </si>
  <si>
    <t>W3ZA959IK1001</t>
  </si>
  <si>
    <t>W3ZA959IK3271</t>
  </si>
  <si>
    <t>W40A517GE12360</t>
  </si>
  <si>
    <t>W40A517GE14743</t>
  </si>
  <si>
    <t>W40A517GE16431</t>
  </si>
  <si>
    <t>W40A517GE17455</t>
  </si>
  <si>
    <t>W40A517GE18400</t>
  </si>
  <si>
    <t>W40A517IV51700</t>
  </si>
  <si>
    <t>W40A570GE12360</t>
  </si>
  <si>
    <t>W40A570GE14743</t>
  </si>
  <si>
    <t>W40A570GE16431</t>
  </si>
  <si>
    <t>W40A570GE17455</t>
  </si>
  <si>
    <t>W40A570GE18400</t>
  </si>
  <si>
    <t>W40A570IN31001</t>
  </si>
  <si>
    <t>W40A570IV51700</t>
  </si>
  <si>
    <t>W40A879IN31001</t>
  </si>
  <si>
    <t>W40B069MC81821</t>
  </si>
  <si>
    <t>W41D061OM11</t>
  </si>
  <si>
    <t>W41D061OMDIJM</t>
  </si>
  <si>
    <t>W42A493IA5BBXL</t>
  </si>
  <si>
    <t>W42A518IA5BBXL</t>
  </si>
  <si>
    <t>W42A733LW5BHQL</t>
  </si>
  <si>
    <t>W42A733LW5</t>
  </si>
  <si>
    <t>VICTORIA SKINNY FROZEN FOREVER</t>
  </si>
  <si>
    <t>BHQL</t>
  </si>
  <si>
    <t>BHQL FROZEN FRVR</t>
  </si>
  <si>
    <t>W42A945LT5BTKM</t>
  </si>
  <si>
    <t>W42A999LT5BTKM</t>
  </si>
  <si>
    <t>W43A021EC6ATOD</t>
  </si>
  <si>
    <t>W43A081EC6ATOD</t>
  </si>
  <si>
    <t>W43A158EC6ATOD</t>
  </si>
  <si>
    <t>W43A357IC5BCQD</t>
  </si>
  <si>
    <t>W43A367EC6ATOD</t>
  </si>
  <si>
    <t>W43A428KT4BPDD</t>
  </si>
  <si>
    <t>W43A428KT7BCID</t>
  </si>
  <si>
    <t>W43A429KT4BPDD</t>
  </si>
  <si>
    <t>W43A510IC5BCRD</t>
  </si>
  <si>
    <t>W43A535IB8BCID</t>
  </si>
  <si>
    <t>W43A733KT4BHPD</t>
  </si>
  <si>
    <t>W43A849LT2BTUD</t>
  </si>
  <si>
    <t>W43A910KT4BPDD</t>
  </si>
  <si>
    <t>W43A911KT4BHPD</t>
  </si>
  <si>
    <t>W43A945LT2BTUD</t>
  </si>
  <si>
    <t>W43B099LS2BRKD</t>
  </si>
  <si>
    <t>W44A052FB11153</t>
  </si>
  <si>
    <t>W44A052FB11703</t>
  </si>
  <si>
    <t>W44A052FB12319</t>
  </si>
  <si>
    <t>W44A052FB16861</t>
  </si>
  <si>
    <t>W44A052FB17023</t>
  </si>
  <si>
    <t>W46A041EH3ATNM</t>
  </si>
  <si>
    <t>W46A042EH3ATNM</t>
  </si>
  <si>
    <t>W46A045EH3ATNM</t>
  </si>
  <si>
    <t>W46A105EN7AYDM</t>
  </si>
  <si>
    <t>W46A105EN7</t>
  </si>
  <si>
    <t>CHARLIE FLARE CLEAR HORIZON</t>
  </si>
  <si>
    <t>AYDM</t>
  </si>
  <si>
    <t>AYDM CLEAR HRZON</t>
  </si>
  <si>
    <t>W46A161EH3ATNM</t>
  </si>
  <si>
    <t>W46A428NP9AXDD</t>
  </si>
  <si>
    <t>W46A429LG0AXDD</t>
  </si>
  <si>
    <t>W46A494IA8BBYL</t>
  </si>
  <si>
    <t>W46A495IB0BBZL</t>
  </si>
  <si>
    <t>W46A498IB5BCFM</t>
  </si>
  <si>
    <t>W46A508IN4BGNM</t>
  </si>
  <si>
    <t>W46A516IB1BBZL</t>
  </si>
  <si>
    <t>W46A517IA8BBYL</t>
  </si>
  <si>
    <t>W46A555IN2BGMD</t>
  </si>
  <si>
    <t>W46A667KM1BKPD</t>
  </si>
  <si>
    <t>W46A733KU8BPCD</t>
  </si>
  <si>
    <t>W46A881IB0BBZL</t>
  </si>
  <si>
    <t>W46A885IN4BGNM</t>
  </si>
  <si>
    <t>W46A911KU7BNRL</t>
  </si>
  <si>
    <t>W46A912LG0AXDD</t>
  </si>
  <si>
    <t>W46A914KU8BNRL</t>
  </si>
  <si>
    <t>W46A914KU8BNSM</t>
  </si>
  <si>
    <t>W46A914QX5AXDD</t>
  </si>
  <si>
    <t>W46A915LG1AXDD</t>
  </si>
  <si>
    <t>W46A945LG2ATNM</t>
  </si>
  <si>
    <t>W46A946LG1AXDD</t>
  </si>
  <si>
    <t>W46A946NP9AXDD</t>
  </si>
  <si>
    <t>W46A971KU8BNRL</t>
  </si>
  <si>
    <t>W46A999KU8BNRL</t>
  </si>
  <si>
    <t>W46A999LG0BDXD</t>
  </si>
  <si>
    <t>W46A999LG1BDXD</t>
  </si>
  <si>
    <t>W46A999NP9AXDD</t>
  </si>
  <si>
    <t>W46C009KU8BPCD</t>
  </si>
  <si>
    <t>W46C102NP9AXDD</t>
  </si>
  <si>
    <t>W4FA963IK4910</t>
  </si>
  <si>
    <t>W4GA620IK4128</t>
  </si>
  <si>
    <t>W4GC559TS1767</t>
  </si>
  <si>
    <t>W4GN96NBT6202</t>
  </si>
  <si>
    <t>W4IA704TW31001</t>
  </si>
  <si>
    <t>W4IA704TW31700</t>
  </si>
  <si>
    <t>W4KA628IK1001</t>
  </si>
  <si>
    <t>W4KA628IK1700</t>
  </si>
  <si>
    <t>W4KA628IK6441</t>
  </si>
  <si>
    <t>W4LA642IK5151</t>
  </si>
  <si>
    <t>W4MA649IK5152</t>
  </si>
  <si>
    <t>W4OB220YY71081</t>
  </si>
  <si>
    <t>W4OB220YY7</t>
  </si>
  <si>
    <t>CRYSTAL LOGO LS HENLEY</t>
  </si>
  <si>
    <t>BLK / RASPBERRY</t>
  </si>
  <si>
    <t>W4OB220YY71827</t>
  </si>
  <si>
    <t>WHITE/HEATHR GRY</t>
  </si>
  <si>
    <t>W4OB220YY73070</t>
  </si>
  <si>
    <t>OLIVE / BLK</t>
  </si>
  <si>
    <t>W4SA733LR8BHLM</t>
  </si>
  <si>
    <t>W4SA910MI2BWJL</t>
  </si>
  <si>
    <t>W4SA911LU2BTPM</t>
  </si>
  <si>
    <t>W4SA945NK8BTYL</t>
  </si>
  <si>
    <t>W4SA945NK8BYTL</t>
  </si>
  <si>
    <t>W4SA946LR8BHLM</t>
  </si>
  <si>
    <t>W4SA967LU3BTQM</t>
  </si>
  <si>
    <t>W4SA968LR8BHLM</t>
  </si>
  <si>
    <t>W4SA968LU2BTPM</t>
  </si>
  <si>
    <t>W4SA969LU1BTNM</t>
  </si>
  <si>
    <t>W4SA973LR6BTBD</t>
  </si>
  <si>
    <t>W4SA973NK7BTBD</t>
  </si>
  <si>
    <t>W4SA974LR6BTAM</t>
  </si>
  <si>
    <t>W4SA975LR6BTBD</t>
  </si>
  <si>
    <t>W4SA982LS5BHLM</t>
  </si>
  <si>
    <t>W4SA983LS5BHLM</t>
  </si>
  <si>
    <t>W4SA983LT7BTPM</t>
  </si>
  <si>
    <t>W4SA984LS5BHLM</t>
  </si>
  <si>
    <t>W4SA998LU1BTNM</t>
  </si>
  <si>
    <t>W4SA999MI2BWJL</t>
  </si>
  <si>
    <t>W4SB002LU3BTQM</t>
  </si>
  <si>
    <t>W4SB060LU7BTQM</t>
  </si>
  <si>
    <t>W4SB074MK1BVUM</t>
  </si>
  <si>
    <t>W4SB074MQ2BWUL</t>
  </si>
  <si>
    <t>W4SB080ME1BVTL</t>
  </si>
  <si>
    <t>W4SB080ME1CBTM</t>
  </si>
  <si>
    <t>W4SB080MQ1BVRM</t>
  </si>
  <si>
    <t>W4SB083MW5BVWL</t>
  </si>
  <si>
    <t>W4SB083MW5BWBM</t>
  </si>
  <si>
    <t>W4SB091ME1CBTM</t>
  </si>
  <si>
    <t>W4SB092MG1BVKM</t>
  </si>
  <si>
    <t>W4SB093MG1BVND</t>
  </si>
  <si>
    <t>W4SB093MO4BVKM</t>
  </si>
  <si>
    <t>W4SB095MI2BWJL</t>
  </si>
  <si>
    <t>W4SB097MI2BWHM</t>
  </si>
  <si>
    <t>MID RISE HALLE BIKE SS 30</t>
  </si>
  <si>
    <t>W4SB097MI2BWNL</t>
  </si>
  <si>
    <t>W4SB141LT7BTPM</t>
  </si>
  <si>
    <t>W4SB142LU7BTQM</t>
  </si>
  <si>
    <t>W4SB146MI2BWJL</t>
  </si>
  <si>
    <t>W4SB183NM1BNFD</t>
  </si>
  <si>
    <t>W4SB189MI2BWJL</t>
  </si>
  <si>
    <t>W4SB190NK7BTAM</t>
  </si>
  <si>
    <t>W4SC012MI6BVQL</t>
  </si>
  <si>
    <t>W4SC012MW5BVWL</t>
  </si>
  <si>
    <t>W4SC012MW5BWBM</t>
  </si>
  <si>
    <t>W4SC013MW5BVWL</t>
  </si>
  <si>
    <t>W4SC013MW5BWBM</t>
  </si>
  <si>
    <t>W4SC018ME1CBTM</t>
  </si>
  <si>
    <t>W4SC018MI2BWJL</t>
  </si>
  <si>
    <t>W4SC018MI6BVQL</t>
  </si>
  <si>
    <t>W4SC020NJ9BWJL</t>
  </si>
  <si>
    <t>W4SC025MO9BXML</t>
  </si>
  <si>
    <t>W4SC028MG1BVKM</t>
  </si>
  <si>
    <t>W4SC031MQ2BWUL</t>
  </si>
  <si>
    <t>W4SC082LU1BTNM</t>
  </si>
  <si>
    <t>W4SC083LU1BTOD</t>
  </si>
  <si>
    <t>W4SZ37MG1BVKM</t>
  </si>
  <si>
    <t>W4SZ37MK1BVUM</t>
  </si>
  <si>
    <t>W52A343GQ5AXUD</t>
  </si>
  <si>
    <t>W52A515HZ6BCGD</t>
  </si>
  <si>
    <t>W52A525IC4BCPD</t>
  </si>
  <si>
    <t>W52A527IB3BCAM</t>
  </si>
  <si>
    <t>W52A542IC4BCPD</t>
  </si>
  <si>
    <t>W52A556IB3BCAM</t>
  </si>
  <si>
    <t>W52A655JD8BOJM</t>
  </si>
  <si>
    <t>W52A741KG0BKQM</t>
  </si>
  <si>
    <t>W52A821IC4BCPD</t>
  </si>
  <si>
    <t>W52A845KG0BKQM</t>
  </si>
  <si>
    <t>W52A891JD8BIED</t>
  </si>
  <si>
    <t>W52A983MA7BNFD</t>
  </si>
  <si>
    <t>W52A983MA7BNSM</t>
  </si>
  <si>
    <t>W52A984MA7BNFD</t>
  </si>
  <si>
    <t>W52B067MB8BCPD</t>
  </si>
  <si>
    <t>W58M04H741177</t>
  </si>
  <si>
    <t>W58M04H743338</t>
  </si>
  <si>
    <t>W58M05H742731</t>
  </si>
  <si>
    <t>W58M25H742805</t>
  </si>
  <si>
    <t>W5BA465IK1001</t>
  </si>
  <si>
    <t>W5EA733LT41758</t>
  </si>
  <si>
    <t>W5FA517IM64742</t>
  </si>
  <si>
    <t>W5IC038IK1001</t>
  </si>
  <si>
    <t>W5IC038IK1700</t>
  </si>
  <si>
    <t>W5IC038IK4123</t>
  </si>
  <si>
    <t>W5J592STL61700</t>
  </si>
  <si>
    <t>W5J599SBJ91001</t>
  </si>
  <si>
    <t>W5JN95TA31826</t>
  </si>
  <si>
    <t>W5MA648IK4756</t>
  </si>
  <si>
    <t>W5OB220YY71081</t>
  </si>
  <si>
    <t>W5OB220YY7</t>
  </si>
  <si>
    <t>W5OB220YY71483</t>
  </si>
  <si>
    <t>HTHR ASH TRU NVY</t>
  </si>
  <si>
    <t>W5OB220YY71827</t>
  </si>
  <si>
    <t>W5OB220YY73070</t>
  </si>
  <si>
    <t>W5OB365YW61444</t>
  </si>
  <si>
    <t>W5OB365YW64000</t>
  </si>
  <si>
    <t>W5OB454YY41501</t>
  </si>
  <si>
    <t>W5OB459YB31014</t>
  </si>
  <si>
    <t>W5OB468YA71014</t>
  </si>
  <si>
    <t>W5OB468YA71700</t>
  </si>
  <si>
    <t>W5OV02EFP1501</t>
  </si>
  <si>
    <t>W5OV02EFP</t>
  </si>
  <si>
    <t>BIG TRUE SS RND V NECK TEE</t>
  </si>
  <si>
    <t>W5OV02EFP4100</t>
  </si>
  <si>
    <t>W5OX19EBO4739</t>
  </si>
  <si>
    <t>HTHR TRUE NVY</t>
  </si>
  <si>
    <t>W5OX19EGA1001</t>
  </si>
  <si>
    <t>W5OX19EGA</t>
  </si>
  <si>
    <t>STRAIGHT STACK SS CREW TEE</t>
  </si>
  <si>
    <t>W5OX19EGA6132</t>
  </si>
  <si>
    <t>W5OX19JV71700</t>
  </si>
  <si>
    <t>W5YA790IK2504</t>
  </si>
  <si>
    <t>W5ZB030IK4909</t>
  </si>
  <si>
    <t>W648K98R474061</t>
  </si>
  <si>
    <t>W648K98R476205</t>
  </si>
  <si>
    <t>W648K98R477206</t>
  </si>
  <si>
    <t>W648K98T561746</t>
  </si>
  <si>
    <t>W648K99DD05142</t>
  </si>
  <si>
    <t>W648K99DD11968</t>
  </si>
  <si>
    <t>W648K99DD21001</t>
  </si>
  <si>
    <t>W648K99T544130</t>
  </si>
  <si>
    <t>W648K99T551033</t>
  </si>
  <si>
    <t>W648K99T551746</t>
  </si>
  <si>
    <t>W64K99HQ91746</t>
  </si>
  <si>
    <t>W6AA385IK3481</t>
  </si>
  <si>
    <t>W6DA631JC63501</t>
  </si>
  <si>
    <t>W6DA632EG3501</t>
  </si>
  <si>
    <t>W6DA768KH31704</t>
  </si>
  <si>
    <t>W6DA779EG3522</t>
  </si>
  <si>
    <t>W6DA779EG4868</t>
  </si>
  <si>
    <t>W6DA779LY14900</t>
  </si>
  <si>
    <t>W6DA779LY16029</t>
  </si>
  <si>
    <t>W6DA779NY94127</t>
  </si>
  <si>
    <t>W6DA779NY96497</t>
  </si>
  <si>
    <t>W6DA780EG6475</t>
  </si>
  <si>
    <t>W6DA781EG6475</t>
  </si>
  <si>
    <t>W6DA781LY11001</t>
  </si>
  <si>
    <t>W6DA781LY16029</t>
  </si>
  <si>
    <t>W6DB039LV51794</t>
  </si>
  <si>
    <t>W6DB039LV56040</t>
  </si>
  <si>
    <t>W6DB042EG1024</t>
  </si>
  <si>
    <t>W6DB056LY71001</t>
  </si>
  <si>
    <t>W6DB056LY76029</t>
  </si>
  <si>
    <t>W6DC097NL31035</t>
  </si>
  <si>
    <t>W6DC097NL31307</t>
  </si>
  <si>
    <t>W6DC097NL31541</t>
  </si>
  <si>
    <t>W6DC097NL36006</t>
  </si>
  <si>
    <t>W6DC097NL36011</t>
  </si>
  <si>
    <t>W6DC097NL36487</t>
  </si>
  <si>
    <t>W6DC098NL31035</t>
  </si>
  <si>
    <t>W6DC098NL31307</t>
  </si>
  <si>
    <t>W6DC098NL31541</t>
  </si>
  <si>
    <t>W6DC098NL36006</t>
  </si>
  <si>
    <t>W6DC098NL36011</t>
  </si>
  <si>
    <t>W6DC098NL36487</t>
  </si>
  <si>
    <t>W6DC098NL38422</t>
  </si>
  <si>
    <t>W6DC332NL38422</t>
  </si>
  <si>
    <t>W6KA666IJ5BHJD</t>
  </si>
  <si>
    <t>W6LA643IK4755</t>
  </si>
  <si>
    <t>W6SA666JE92693</t>
  </si>
  <si>
    <t>W6SA946LU51760</t>
  </si>
  <si>
    <t>W6SA966LX1BTTL</t>
  </si>
  <si>
    <t>W6SA988LS81758</t>
  </si>
  <si>
    <t>W6SA990LS81758</t>
  </si>
  <si>
    <t>W6SA992LT31758</t>
  </si>
  <si>
    <t>W6SB060LU61760</t>
  </si>
  <si>
    <t>W6SB136LU61700</t>
  </si>
  <si>
    <t>W6SB136LU61760</t>
  </si>
  <si>
    <t>W70572A922SB</t>
  </si>
  <si>
    <t>W70572C931VB</t>
  </si>
  <si>
    <t>W70599C931VB</t>
  </si>
  <si>
    <t>W7AA420IK1001</t>
  </si>
  <si>
    <t>W7AA420IK1793</t>
  </si>
  <si>
    <t>W7AA421IK1001</t>
  </si>
  <si>
    <t>W7JA929IJ9BHZM</t>
  </si>
  <si>
    <t>W7JA929IJ9BNGM</t>
  </si>
  <si>
    <t>W7LA650IK1700</t>
  </si>
  <si>
    <t>W7NA634EG1001</t>
  </si>
  <si>
    <t>W7NA656EG1700</t>
  </si>
  <si>
    <t>W7SA852JE51458</t>
  </si>
  <si>
    <t>W7SA852JE56471</t>
  </si>
  <si>
    <t>W7WA771IK4048</t>
  </si>
  <si>
    <t>W7WA771IK4868</t>
  </si>
  <si>
    <t>W7WA773IK4048</t>
  </si>
  <si>
    <t>W7WA773IK4868</t>
  </si>
  <si>
    <t>W7WA783IK1001</t>
  </si>
  <si>
    <t>W7WA783IK1305</t>
  </si>
  <si>
    <t>W8AB038LY11024</t>
  </si>
  <si>
    <t>W8AB038LY11744</t>
  </si>
  <si>
    <t>W8BB043LY11024</t>
  </si>
  <si>
    <t>W8BB043LY11744</t>
  </si>
  <si>
    <t>W8JB046IK1001</t>
  </si>
  <si>
    <t>W8JB046IK6387</t>
  </si>
  <si>
    <t>W8KA821JG1BHRD</t>
  </si>
  <si>
    <t>W8LA651IK6447</t>
  </si>
  <si>
    <t>W8NA376JC56389</t>
  </si>
  <si>
    <t>W8OA630JC84171</t>
  </si>
  <si>
    <t>W8PB048IK1001</t>
  </si>
  <si>
    <t>W8PB048IK6067</t>
  </si>
  <si>
    <t>W8RA763IJ6BPUD</t>
  </si>
  <si>
    <t>W8SA610JW9BIDD</t>
  </si>
  <si>
    <t>W8SA912KT4BKUD</t>
  </si>
  <si>
    <t>W8SA999KT4BKUD</t>
  </si>
  <si>
    <t>W8SA999KT5BKTM</t>
  </si>
  <si>
    <t>W8SB069MC4BIDD</t>
  </si>
  <si>
    <t>W8WA777IK1305</t>
  </si>
  <si>
    <t>W8WA777IK4868</t>
  </si>
  <si>
    <t>W8XB050IK4903</t>
  </si>
  <si>
    <t>W8XB050IK6038</t>
  </si>
  <si>
    <t>W8YA648IK4028</t>
  </si>
  <si>
    <t>W8YA648IK6060</t>
  </si>
  <si>
    <t>W95503N991825</t>
  </si>
  <si>
    <t>W95503N992608</t>
  </si>
  <si>
    <t>W95503N994548</t>
  </si>
  <si>
    <t>W95503N995127</t>
  </si>
  <si>
    <t>W95572N991218</t>
  </si>
  <si>
    <t>W95572N991825</t>
  </si>
  <si>
    <t>W95572N992608</t>
  </si>
  <si>
    <t>W95572N994548</t>
  </si>
  <si>
    <t>W95572N995127</t>
  </si>
  <si>
    <t>W95592CA41821</t>
  </si>
  <si>
    <t>W95592N991218</t>
  </si>
  <si>
    <t>W95592N991825</t>
  </si>
  <si>
    <t>W95592N994125</t>
  </si>
  <si>
    <t>W95592N994548</t>
  </si>
  <si>
    <t>W95592N995127</t>
  </si>
  <si>
    <t>W95592N996214</t>
  </si>
  <si>
    <t>W95592N997216</t>
  </si>
  <si>
    <t>W95592R58S1044</t>
  </si>
  <si>
    <t>W95592R58S1221</t>
  </si>
  <si>
    <t>W95599N991218</t>
  </si>
  <si>
    <t>W95599N991825</t>
  </si>
  <si>
    <t>W95599N992608</t>
  </si>
  <si>
    <t>W95599N994548</t>
  </si>
  <si>
    <t>W95599N995127</t>
  </si>
  <si>
    <t>W95G10CA41821</t>
  </si>
  <si>
    <t>W95K94Q111851</t>
  </si>
  <si>
    <t>W95P39M471825</t>
  </si>
  <si>
    <t>W95P66M651851</t>
  </si>
  <si>
    <t>W95P72M471825</t>
  </si>
  <si>
    <t>W95P73M471218</t>
  </si>
  <si>
    <t>W95P73M471825</t>
  </si>
  <si>
    <t>W95P73M474218</t>
  </si>
  <si>
    <t>W95P74M471218</t>
  </si>
  <si>
    <t>W95P74M471825</t>
  </si>
  <si>
    <t>W95P74M473315</t>
  </si>
  <si>
    <t>W95P74M474218</t>
  </si>
  <si>
    <t>W95P75M471218</t>
  </si>
  <si>
    <t>W95P75M471825</t>
  </si>
  <si>
    <t>W95P75M473315</t>
  </si>
  <si>
    <t>W95P75M473326</t>
  </si>
  <si>
    <t>W95P75M474218</t>
  </si>
  <si>
    <t>W95P75M475127</t>
  </si>
  <si>
    <t>W95P75M476107</t>
  </si>
  <si>
    <t>W95P76M471825</t>
  </si>
  <si>
    <t>W95P76M473315</t>
  </si>
  <si>
    <t>W95P76M473326</t>
  </si>
  <si>
    <t>W95P76M474218</t>
  </si>
  <si>
    <t>W95P76M475111</t>
  </si>
  <si>
    <t>W95P76M475127</t>
  </si>
  <si>
    <t>W95Q85T801224</t>
  </si>
  <si>
    <t>W95Q85T802119</t>
  </si>
  <si>
    <t>W95Q85T903028</t>
  </si>
  <si>
    <t>W95U26U301168</t>
  </si>
  <si>
    <t>W95U27U301168</t>
  </si>
  <si>
    <t>W95V54Y971361</t>
  </si>
  <si>
    <t>W95V54Y971908</t>
  </si>
  <si>
    <t>W95V54Y974318</t>
  </si>
  <si>
    <t>W95V54Y974498</t>
  </si>
  <si>
    <t>W95V54Y976167</t>
  </si>
  <si>
    <t>W95V54Y976256</t>
  </si>
  <si>
    <t>W95V54Y977345</t>
  </si>
  <si>
    <t>W95V54Y978336</t>
  </si>
  <si>
    <t>W95V56Y971364</t>
  </si>
  <si>
    <t>W95V56Y971920</t>
  </si>
  <si>
    <t>W95V56Y974322</t>
  </si>
  <si>
    <t>W95V56Y974634</t>
  </si>
  <si>
    <t>W95V56Y976170</t>
  </si>
  <si>
    <t>W95V56Y977358</t>
  </si>
  <si>
    <t>W95V56Y978338</t>
  </si>
  <si>
    <t>W95V57Y971361</t>
  </si>
  <si>
    <t>W95V57Y971908</t>
  </si>
  <si>
    <t>W95V57Y974318</t>
  </si>
  <si>
    <t>W95V57Y974498</t>
  </si>
  <si>
    <t>W95V57Y976167</t>
  </si>
  <si>
    <t>W95V57Y976256</t>
  </si>
  <si>
    <t>W95V57Y977345</t>
  </si>
  <si>
    <t>W95V57Y978336</t>
  </si>
  <si>
    <t>W95W65BA01821</t>
  </si>
  <si>
    <t>W962522QD1875</t>
  </si>
  <si>
    <t>W962J30QD1885</t>
  </si>
  <si>
    <t>W9AB051IK1001</t>
  </si>
  <si>
    <t>W9BA648IK4792</t>
  </si>
  <si>
    <t>W9BA788IK4792</t>
  </si>
  <si>
    <t>W9CA532IB4BGKM</t>
  </si>
  <si>
    <t>W9CA532JB4BFKM</t>
  </si>
  <si>
    <t>W9CA847JB4BFKM</t>
  </si>
  <si>
    <t>W9CA847JB4BGKM</t>
  </si>
  <si>
    <t>W9CA944KI6BNFD</t>
  </si>
  <si>
    <t>W9HB052IK1001</t>
  </si>
  <si>
    <t>W9LA652IK1001</t>
  </si>
  <si>
    <t>W9MB054IK1490</t>
  </si>
  <si>
    <t>W9MB054IK2387</t>
  </si>
  <si>
    <t>W9NB055EG1744</t>
  </si>
  <si>
    <t>W9QA597LV61744</t>
  </si>
  <si>
    <t>W9QC091MN91001</t>
  </si>
  <si>
    <t>W9QC091MN91700</t>
  </si>
  <si>
    <t>W9QC091MT01746</t>
  </si>
  <si>
    <t>W9RA665JF4BHVM</t>
  </si>
  <si>
    <t>W9SA620JL3BKVD</t>
  </si>
  <si>
    <t>WA933B931001</t>
  </si>
  <si>
    <t>WA933B931700</t>
  </si>
  <si>
    <t>WA933C0521001</t>
  </si>
  <si>
    <t>WA933C0711700</t>
  </si>
  <si>
    <t>WA933J8201001</t>
  </si>
  <si>
    <t>WA933J8201501</t>
  </si>
  <si>
    <t>WA933J8201700</t>
  </si>
  <si>
    <t>WA933J8203071</t>
  </si>
  <si>
    <t>WA933J8203190</t>
  </si>
  <si>
    <t>WA933J8206000</t>
  </si>
  <si>
    <t>WA933J8206012</t>
  </si>
  <si>
    <t>WA933J8206149</t>
  </si>
  <si>
    <t>WA933J8206387</t>
  </si>
  <si>
    <t>WA933J8206404</t>
  </si>
  <si>
    <t>WA933J8206807</t>
  </si>
  <si>
    <t>WA933J820A6387</t>
  </si>
  <si>
    <t>WA933J820A</t>
  </si>
  <si>
    <t>WA933J820A6404</t>
  </si>
  <si>
    <t>WA933JC8203002</t>
  </si>
  <si>
    <t>WA933JC8206000</t>
  </si>
  <si>
    <t>WA933JC8206602</t>
  </si>
  <si>
    <t>WA933JC8207000</t>
  </si>
  <si>
    <t>WAD572F83GXM</t>
  </si>
  <si>
    <t>WAD572F83GYM</t>
  </si>
  <si>
    <t>WAD572F83HCL</t>
  </si>
  <si>
    <t>WAD572F83KKM</t>
  </si>
  <si>
    <t>WAD572F83LJD</t>
  </si>
  <si>
    <t>WAD572F83LNM</t>
  </si>
  <si>
    <t>WAD572F83LQM</t>
  </si>
  <si>
    <t>WAD572F83MKD</t>
  </si>
  <si>
    <t>WAD572F83NLM</t>
  </si>
  <si>
    <t>WADG11F83NNL</t>
  </si>
  <si>
    <t>WADH63F83LJD</t>
  </si>
  <si>
    <t>WADH63F83LNM</t>
  </si>
  <si>
    <t>WADH63F83NNL</t>
  </si>
  <si>
    <t>WADK75F83GXM</t>
  </si>
  <si>
    <t>WADK75F83GYM</t>
  </si>
  <si>
    <t>WADK75F83KKM</t>
  </si>
  <si>
    <t>WADK75F83LJD</t>
  </si>
  <si>
    <t>WADK75F83LNM</t>
  </si>
  <si>
    <t>WADK75F83LPD</t>
  </si>
  <si>
    <t>WADK75F83LQM</t>
  </si>
  <si>
    <t>WADK75F83MKD</t>
  </si>
  <si>
    <t>WADK75F83NNL</t>
  </si>
  <si>
    <t>WADM04F83GXM</t>
  </si>
  <si>
    <t>WADM04F83GYM</t>
  </si>
  <si>
    <t>WADM04F83HCL</t>
  </si>
  <si>
    <t>WADM04F83KKM</t>
  </si>
  <si>
    <t>WADM04F83LJD</t>
  </si>
  <si>
    <t>WADM04F83LNM</t>
  </si>
  <si>
    <t>WADM04F83LPD</t>
  </si>
  <si>
    <t>WADM04F83LQM</t>
  </si>
  <si>
    <t>WADM04F83MKD</t>
  </si>
  <si>
    <t>WADM04F83NNL</t>
  </si>
  <si>
    <t>WADM05F832S</t>
  </si>
  <si>
    <t>WADM05F83HCL</t>
  </si>
  <si>
    <t>WADM05F83NLM</t>
  </si>
  <si>
    <t>WADM05F83NNL</t>
  </si>
  <si>
    <t>WADM24F83GXM</t>
  </si>
  <si>
    <t>WADM24F83GYM</t>
  </si>
  <si>
    <t>WADM24F83KKM</t>
  </si>
  <si>
    <t>WADM24F83LJD</t>
  </si>
  <si>
    <t>WADM24F83LNM</t>
  </si>
  <si>
    <t>WADM24F83LPD</t>
  </si>
  <si>
    <t>WADM24F83LQM</t>
  </si>
  <si>
    <t>WADM24F83MKD</t>
  </si>
  <si>
    <t>WADN18F83GXM</t>
  </si>
  <si>
    <t>WADN18F83GYM</t>
  </si>
  <si>
    <t>WADN18F83KKM</t>
  </si>
  <si>
    <t>WADN18F83LJD</t>
  </si>
  <si>
    <t>WADN18F83LNM</t>
  </si>
  <si>
    <t>WADN18F83LPD</t>
  </si>
  <si>
    <t>WADN18F83LQM</t>
  </si>
  <si>
    <t>WADN18F83MKD</t>
  </si>
  <si>
    <t>WADP65F832S</t>
  </si>
  <si>
    <t>WADP65F83NNL</t>
  </si>
  <si>
    <t>WADP77M27PCM</t>
  </si>
  <si>
    <t>WADP78M27PCM</t>
  </si>
  <si>
    <t>WADP79M27LZD</t>
  </si>
  <si>
    <t>WADP79M27PCM</t>
  </si>
  <si>
    <t>WADP80M272S</t>
  </si>
  <si>
    <t>WADP80M27PCM</t>
  </si>
  <si>
    <t>WADP81M27PCM</t>
  </si>
  <si>
    <t>WADP82M27PCM</t>
  </si>
  <si>
    <t>WADP83M27LZD</t>
  </si>
  <si>
    <t>WADP83M27PCM</t>
  </si>
  <si>
    <t>WADP84M27LZD</t>
  </si>
  <si>
    <t>WAK564TSNMLD</t>
  </si>
  <si>
    <t>WAK572BCS2S</t>
  </si>
  <si>
    <t>WAK572BCS2V</t>
  </si>
  <si>
    <t>WAK572BCS40</t>
  </si>
  <si>
    <t>WAK572EM2V</t>
  </si>
  <si>
    <t>WAK572EM40</t>
  </si>
  <si>
    <t>WAK592BCS2S</t>
  </si>
  <si>
    <t>WAK592BCS2V</t>
  </si>
  <si>
    <t>WAK592EM2S</t>
  </si>
  <si>
    <t>WAS502J3140</t>
  </si>
  <si>
    <t>WAS502J31EAD</t>
  </si>
  <si>
    <t>WAS502J31LDM</t>
  </si>
  <si>
    <t>WAS564F7540</t>
  </si>
  <si>
    <t>WAS564J3140</t>
  </si>
  <si>
    <t>WAS564P86NKL</t>
  </si>
  <si>
    <t>WAS564P86QZL</t>
  </si>
  <si>
    <t>WAS572F75AZ</t>
  </si>
  <si>
    <t>WAS592F87HAM</t>
  </si>
  <si>
    <t>WASH63F75CK</t>
  </si>
  <si>
    <t>WASK75F87EAD</t>
  </si>
  <si>
    <t>WASM04F7540</t>
  </si>
  <si>
    <t>WASM04F75KLM</t>
  </si>
  <si>
    <t>WASM04F75LDM</t>
  </si>
  <si>
    <t>WASM05F75KML</t>
  </si>
  <si>
    <t>WASN18F75KLM</t>
  </si>
  <si>
    <t>WASN35F75AZ</t>
  </si>
  <si>
    <t>WASN59F7540</t>
  </si>
  <si>
    <t>WASP33M42NSM</t>
  </si>
  <si>
    <t>WASP35M42NSM</t>
  </si>
  <si>
    <t>WASP36M42NSM</t>
  </si>
  <si>
    <t>WASQ93P86QZL</t>
  </si>
  <si>
    <t>WAVA152IK1001</t>
  </si>
  <si>
    <t>WAVA152IK1704</t>
  </si>
  <si>
    <t>WAVA152IK6389</t>
  </si>
  <si>
    <t>WAVBP40IK1700</t>
  </si>
  <si>
    <t>WAVBP40IK1701</t>
  </si>
  <si>
    <t>WAVBP40IK4542</t>
  </si>
  <si>
    <t>WAVBP40IK5301</t>
  </si>
  <si>
    <t>WAX502J022SB</t>
  </si>
  <si>
    <t>WAX502J02BBB</t>
  </si>
  <si>
    <t>WAX503BKT22SB</t>
  </si>
  <si>
    <t>WAX503BKT2MNDB</t>
  </si>
  <si>
    <t>WAX503BKT2MWDB</t>
  </si>
  <si>
    <t>WAX564BKT22SB</t>
  </si>
  <si>
    <t>WAX564BKT2MNDB</t>
  </si>
  <si>
    <t>WAX564BKT2MWDB</t>
  </si>
  <si>
    <t>WAX564CR0APDD</t>
  </si>
  <si>
    <t>WAX564CR0APED</t>
  </si>
  <si>
    <t>WAX564FD3AUJD</t>
  </si>
  <si>
    <t>WAX564J02BBB</t>
  </si>
  <si>
    <t>WAX564L742SB</t>
  </si>
  <si>
    <t>WAX564L74MWDB</t>
  </si>
  <si>
    <t>WAX564L972SB</t>
  </si>
  <si>
    <t>WAX564L97MWDB</t>
  </si>
  <si>
    <t>WAX564UK2HB</t>
  </si>
  <si>
    <t>WAX572BKT22SB</t>
  </si>
  <si>
    <t>WAX572BKT2MNDB</t>
  </si>
  <si>
    <t>WAX572BKT2MWDB</t>
  </si>
  <si>
    <t>WAX572CR0APDD</t>
  </si>
  <si>
    <t>WAX572CR0APED</t>
  </si>
  <si>
    <t>WAX572FD3AUJD</t>
  </si>
  <si>
    <t>WAX572L742SB</t>
  </si>
  <si>
    <t>WAX572L74MWDB</t>
  </si>
  <si>
    <t>WAX572L972SB</t>
  </si>
  <si>
    <t>WAX572L97MWDB</t>
  </si>
  <si>
    <t>WAX572UK2HB</t>
  </si>
  <si>
    <t>WAX572UK2RB</t>
  </si>
  <si>
    <t>WAX572UK2SB</t>
  </si>
  <si>
    <t>WAX572UK9CB</t>
  </si>
  <si>
    <t>WAX572UKBBB</t>
  </si>
  <si>
    <t>WAX592BKT22SB</t>
  </si>
  <si>
    <t>WAX592BKT2MNDB</t>
  </si>
  <si>
    <t>WAX592BKT2MWDB</t>
  </si>
  <si>
    <t>WAX592L972SB</t>
  </si>
  <si>
    <t>WAX592L97MWDB</t>
  </si>
  <si>
    <t>WAX592UK1028</t>
  </si>
  <si>
    <t>WAX592UK1032</t>
  </si>
  <si>
    <t>WAX592UK2HB</t>
  </si>
  <si>
    <t>WAX592UK2RB</t>
  </si>
  <si>
    <t>WAX599BKT22SB</t>
  </si>
  <si>
    <t>WAX599BKT2MNDB</t>
  </si>
  <si>
    <t>WAX599BKT2MWDB</t>
  </si>
  <si>
    <t>WAX599FD3AUJD</t>
  </si>
  <si>
    <t>WAX599J022RB</t>
  </si>
  <si>
    <t>WAX599J022SB</t>
  </si>
  <si>
    <t>WAX599J02BBB</t>
  </si>
  <si>
    <t>WAX599L742SB</t>
  </si>
  <si>
    <t>WAX599L74MWDB</t>
  </si>
  <si>
    <t>WAX599UK2HB</t>
  </si>
  <si>
    <t>WAX599UK2RB</t>
  </si>
  <si>
    <t>WAX599UK2SB</t>
  </si>
  <si>
    <t>WAX599UK9C</t>
  </si>
  <si>
    <t>WAX599UKBBB</t>
  </si>
  <si>
    <t>WAX599V4111</t>
  </si>
  <si>
    <t>WAXA091S35ATKL</t>
  </si>
  <si>
    <t>WAXD95EL2SB</t>
  </si>
  <si>
    <t>WAXD95ELMNDB</t>
  </si>
  <si>
    <t>WAXD95ELMWDB</t>
  </si>
  <si>
    <t>WAXH080BJ9DMOD</t>
  </si>
  <si>
    <t>WAXH080BJ9</t>
  </si>
  <si>
    <t>SUPER SKINNY FLAP MOTO STITCH</t>
  </si>
  <si>
    <t>DMOD</t>
  </si>
  <si>
    <t>DMOD YEARS AWAY</t>
  </si>
  <si>
    <t>WAXK35S311050</t>
  </si>
  <si>
    <t>WAXM60UK2RB</t>
  </si>
  <si>
    <t>WAXM66UK2SB</t>
  </si>
  <si>
    <t>WAXN28N31MNMB</t>
  </si>
  <si>
    <t>WAXN43EL2SB</t>
  </si>
  <si>
    <t>WAXN43ELMNDB</t>
  </si>
  <si>
    <t>WAXN43ELMWDB</t>
  </si>
  <si>
    <t>WAXN44EL2SB</t>
  </si>
  <si>
    <t>WAXN44ELMNDB</t>
  </si>
  <si>
    <t>WAXN44ELMWDB</t>
  </si>
  <si>
    <t>WAXN88EL2SB</t>
  </si>
  <si>
    <t>WAXN88ELMNDB</t>
  </si>
  <si>
    <t>WAXN88ELMWDB</t>
  </si>
  <si>
    <t>WAXN95CR0APDD</t>
  </si>
  <si>
    <t>WAXN95CR0APED</t>
  </si>
  <si>
    <t>WAXP29N312SB</t>
  </si>
  <si>
    <t>WAXP29N319CB</t>
  </si>
  <si>
    <t>WAXP29N31MNMB</t>
  </si>
  <si>
    <t>WAXP39M409CB</t>
  </si>
  <si>
    <t>WAXP73M409CB</t>
  </si>
  <si>
    <t>WAXP74M409CB</t>
  </si>
  <si>
    <t>WAXP74S35NQLB</t>
  </si>
  <si>
    <t>WAXP75M402S</t>
  </si>
  <si>
    <t>WAXP75M409CB</t>
  </si>
  <si>
    <t>WAXP75S35NQLB</t>
  </si>
  <si>
    <t>WAXP76M409CB</t>
  </si>
  <si>
    <t>WAXR55S35NQLB</t>
  </si>
  <si>
    <t>WAXS28S311050</t>
  </si>
  <si>
    <t>WAXS28S314156</t>
  </si>
  <si>
    <t>WAXS28S316129</t>
  </si>
  <si>
    <t>WAXS64S35NQLB</t>
  </si>
  <si>
    <t>WAXS66S314156</t>
  </si>
  <si>
    <t>WAXY62CR0APDD</t>
  </si>
  <si>
    <t>WAXY62CR0APED</t>
  </si>
  <si>
    <t>WAXY64CT62S</t>
  </si>
  <si>
    <t>WAXY98DG6ACYL</t>
  </si>
  <si>
    <t>WAXY98DG6ACZD</t>
  </si>
  <si>
    <t>WAXY98DG6ANYD</t>
  </si>
  <si>
    <t>WAXY99DG6ACYL</t>
  </si>
  <si>
    <t>WAXY99DG6ACZD</t>
  </si>
  <si>
    <t>WAXY99DG6ANYD</t>
  </si>
  <si>
    <t>WAXZ21EKPDUWB</t>
  </si>
  <si>
    <t>WAXZ21EKP</t>
  </si>
  <si>
    <t>MIDCUTOFF SHRT FLP DKCONTNT SN</t>
  </si>
  <si>
    <t>DUWB</t>
  </si>
  <si>
    <t>DUWB DSCO DRE RP</t>
  </si>
  <si>
    <t>WAZM28G171516</t>
  </si>
  <si>
    <t>WAZM28G171774</t>
  </si>
  <si>
    <t>WAZM28G172320</t>
  </si>
  <si>
    <t>WAZM28G173172</t>
  </si>
  <si>
    <t>WAZM28G174014</t>
  </si>
  <si>
    <t>WAZM29G171516</t>
  </si>
  <si>
    <t>WAZM29G171774</t>
  </si>
  <si>
    <t>WAZM29G172320</t>
  </si>
  <si>
    <t>WAZM29G173172</t>
  </si>
  <si>
    <t>WAZN59K671041</t>
  </si>
  <si>
    <t>WAZN59K674243</t>
  </si>
  <si>
    <t>WAZN81K671041</t>
  </si>
  <si>
    <t>WB083RR4CKND</t>
  </si>
  <si>
    <t>WB083SU2SCKMM</t>
  </si>
  <si>
    <t>WB083UD3SCOND</t>
  </si>
  <si>
    <t>WB083UF9SCOLD</t>
  </si>
  <si>
    <t>WB083UG3COVD</t>
  </si>
  <si>
    <t>WB083UR81700</t>
  </si>
  <si>
    <t>WB086RQ5CKBD</t>
  </si>
  <si>
    <t>WB086RR3CKMM</t>
  </si>
  <si>
    <t>WB086RU0CLED</t>
  </si>
  <si>
    <t>WB086SV4CKOD</t>
  </si>
  <si>
    <t>WB086UD8COWD</t>
  </si>
  <si>
    <t>WB086UE0COYB</t>
  </si>
  <si>
    <t>WB086XE2DBDM</t>
  </si>
  <si>
    <t>WB086YF3DEVG</t>
  </si>
  <si>
    <t>WB086ZC7DJIM</t>
  </si>
  <si>
    <t>WB086ZC7</t>
  </si>
  <si>
    <t>WB086ZC81DJCB</t>
  </si>
  <si>
    <t>WB086ZC81</t>
  </si>
  <si>
    <t>DJCB</t>
  </si>
  <si>
    <t>DJCB BLACK SKY</t>
  </si>
  <si>
    <t>WB09237ADRQM</t>
  </si>
  <si>
    <t>WB09237A</t>
  </si>
  <si>
    <t>DRQM</t>
  </si>
  <si>
    <t>DRQM WRN OUT VIN</t>
  </si>
  <si>
    <t>WB092CBLDNWB</t>
  </si>
  <si>
    <t>WB092CBL</t>
  </si>
  <si>
    <t>HALLE SUPER SKINNY PATCHED</t>
  </si>
  <si>
    <t>DNWB</t>
  </si>
  <si>
    <t>DNWB BLACK REBEL</t>
  </si>
  <si>
    <t>WB092CBRSDEOM</t>
  </si>
  <si>
    <t>WB092CBYDNUG</t>
  </si>
  <si>
    <t>WB092CBY</t>
  </si>
  <si>
    <t>DNUG</t>
  </si>
  <si>
    <t>DNUG GREY MIST</t>
  </si>
  <si>
    <t>WB092CBZDKXM</t>
  </si>
  <si>
    <t>WB092CBZ</t>
  </si>
  <si>
    <t>WB092CCXSDORL</t>
  </si>
  <si>
    <t>WB092CCXS</t>
  </si>
  <si>
    <t>DORL</t>
  </si>
  <si>
    <t>DORL CSTAL DRFTR</t>
  </si>
  <si>
    <t>WB092CEFDPAM</t>
  </si>
  <si>
    <t>WB092CEF</t>
  </si>
  <si>
    <t>DPAM</t>
  </si>
  <si>
    <t>DPAM DAY DREAMER</t>
  </si>
  <si>
    <t>WB092CEQ9602</t>
  </si>
  <si>
    <t>WB092CEQ</t>
  </si>
  <si>
    <t>DRD TAPESTRY</t>
  </si>
  <si>
    <t>WB092RF0CKGL</t>
  </si>
  <si>
    <t>WB092RQ5CKJD</t>
  </si>
  <si>
    <t>WB092RR4CKND</t>
  </si>
  <si>
    <t>WB092RS6CKWD</t>
  </si>
  <si>
    <t>WB092RT8CLBD</t>
  </si>
  <si>
    <t>WB092SE42S</t>
  </si>
  <si>
    <t>WB092SK1SBHND</t>
  </si>
  <si>
    <t>WB092SM2CKYM</t>
  </si>
  <si>
    <t>WB092SP9CLIL</t>
  </si>
  <si>
    <t>WB092SS1CKFM</t>
  </si>
  <si>
    <t>WB092SU2SCKMM</t>
  </si>
  <si>
    <t>WB092SU3CKTM</t>
  </si>
  <si>
    <t>WB092SW6CKND</t>
  </si>
  <si>
    <t>WB092SW6CLFL</t>
  </si>
  <si>
    <t>WB092UA7COIL</t>
  </si>
  <si>
    <t>WB092UA9COKM</t>
  </si>
  <si>
    <t>WB092UB0COLD</t>
  </si>
  <si>
    <t>WB092UB9COPB</t>
  </si>
  <si>
    <t>WB092UC21001</t>
  </si>
  <si>
    <t>WB092UD44000</t>
  </si>
  <si>
    <t>WB092UD45000</t>
  </si>
  <si>
    <t>WB092UD46500</t>
  </si>
  <si>
    <t>WB092UD5SCOKM</t>
  </si>
  <si>
    <t>WB092UD7COUM</t>
  </si>
  <si>
    <t>WB092UD9COXB</t>
  </si>
  <si>
    <t>WB092UE1CPAB</t>
  </si>
  <si>
    <t>WB092UE2COKB</t>
  </si>
  <si>
    <t>WB092UE2DMFB</t>
  </si>
  <si>
    <t>DMFB</t>
  </si>
  <si>
    <t>DMFB ATC BLK W P</t>
  </si>
  <si>
    <t>WB092UE5CPCB</t>
  </si>
  <si>
    <t>WB092UE6CPCD</t>
  </si>
  <si>
    <t>WB092UE7CPDL</t>
  </si>
  <si>
    <t>WB092UF0CPGB</t>
  </si>
  <si>
    <t>WB092UF51001</t>
  </si>
  <si>
    <t>WB092UF71001</t>
  </si>
  <si>
    <t>WB092UF71701</t>
  </si>
  <si>
    <t>WB092UF8SCOUM</t>
  </si>
  <si>
    <t>WB092UG26000</t>
  </si>
  <si>
    <t>WB092UH51700</t>
  </si>
  <si>
    <t>WB092UI7SCPFB</t>
  </si>
  <si>
    <t>WB092UI7SCPGB</t>
  </si>
  <si>
    <t>WB092UP81700</t>
  </si>
  <si>
    <t>WB092UR81700</t>
  </si>
  <si>
    <t>WB092US07000</t>
  </si>
  <si>
    <t>WB092US0CRB</t>
  </si>
  <si>
    <t>WB092UX9COQB</t>
  </si>
  <si>
    <t>WB092VK6CULD</t>
  </si>
  <si>
    <t>WB092VK7CUMD</t>
  </si>
  <si>
    <t>WB092VK91200</t>
  </si>
  <si>
    <t>WB092VM2CUTL</t>
  </si>
  <si>
    <t>WB092VM2SCUTL</t>
  </si>
  <si>
    <t>WB092VM3CUUM</t>
  </si>
  <si>
    <t>WB092WB71700</t>
  </si>
  <si>
    <t>WB092XA43010</t>
  </si>
  <si>
    <t>WB092XC6DBAL</t>
  </si>
  <si>
    <t>WB092XC7DBIM</t>
  </si>
  <si>
    <t>WB092XD1DBPG</t>
  </si>
  <si>
    <t>WB092XD9DBTG</t>
  </si>
  <si>
    <t>WB092XD9BDBSL</t>
  </si>
  <si>
    <t>WB092XE4DBCB</t>
  </si>
  <si>
    <t>WB092XF1DBOM</t>
  </si>
  <si>
    <t>WB092XF8DBLB</t>
  </si>
  <si>
    <t>WB092XJ8SDBDM</t>
  </si>
  <si>
    <t>WB092XL51001</t>
  </si>
  <si>
    <t>WB092XL511001</t>
  </si>
  <si>
    <t>WB092XL51</t>
  </si>
  <si>
    <t>WB092YF4SDEWD</t>
  </si>
  <si>
    <t>WB092YF9DFBD</t>
  </si>
  <si>
    <t>WB092YG2DFCB</t>
  </si>
  <si>
    <t>WB092YG4DFED</t>
  </si>
  <si>
    <t>WB092YZ1DGXM</t>
  </si>
  <si>
    <t>WB092ZC8DJKB</t>
  </si>
  <si>
    <t>WB092ZC8</t>
  </si>
  <si>
    <t>DJKB</t>
  </si>
  <si>
    <t>DJKB BLACK SKY D</t>
  </si>
  <si>
    <t>WB092ZD6DJJB</t>
  </si>
  <si>
    <t>WB092ZD6</t>
  </si>
  <si>
    <t>DJJB</t>
  </si>
  <si>
    <t>DJJB BLK MN STNE</t>
  </si>
  <si>
    <t>WB092ZD811</t>
  </si>
  <si>
    <t>WB092ZD8</t>
  </si>
  <si>
    <t>WB092ZD9DJHM</t>
  </si>
  <si>
    <t>WB092ZD9</t>
  </si>
  <si>
    <t>WB092ZE9SDJJB</t>
  </si>
  <si>
    <t>WB092ZE9S</t>
  </si>
  <si>
    <t>WB092ZH5DIXB</t>
  </si>
  <si>
    <t>WB092ZH5</t>
  </si>
  <si>
    <t>DIXB</t>
  </si>
  <si>
    <t>DIXB DK GRY SHDW</t>
  </si>
  <si>
    <t>WB092ZI6DJPL</t>
  </si>
  <si>
    <t>WB092ZI6</t>
  </si>
  <si>
    <t>WB092ZI9DIWM</t>
  </si>
  <si>
    <t>WB092ZI9</t>
  </si>
  <si>
    <t>DIWM</t>
  </si>
  <si>
    <t>DIWM CBLT RH SLT</t>
  </si>
  <si>
    <t>WB092ZJ1CTEB</t>
  </si>
  <si>
    <t>WB092ZJ1</t>
  </si>
  <si>
    <t>WB092ZJ4DJNG</t>
  </si>
  <si>
    <t>WB092ZJ4</t>
  </si>
  <si>
    <t>DJNG</t>
  </si>
  <si>
    <t>DJNG BLACK ONYX</t>
  </si>
  <si>
    <t>WB093RF0CKGL</t>
  </si>
  <si>
    <t>WB093UB0CORD</t>
  </si>
  <si>
    <t>WB093UE2COKB</t>
  </si>
  <si>
    <t>WB093VL9SCUSM</t>
  </si>
  <si>
    <t>WB211VL5CUOL</t>
  </si>
  <si>
    <t>WB211VM2CUTL</t>
  </si>
  <si>
    <t>WB211VN4CVCG</t>
  </si>
  <si>
    <t>WB212RT9CLDD</t>
  </si>
  <si>
    <t>WB212SW11001</t>
  </si>
  <si>
    <t>WB212SW15000</t>
  </si>
  <si>
    <t>WB212SW111001</t>
  </si>
  <si>
    <t>WB213CBKDNXM</t>
  </si>
  <si>
    <t>WB213CBK</t>
  </si>
  <si>
    <t>AUDREY SLIM BOYFRIEND PATCHED</t>
  </si>
  <si>
    <t>DNXM</t>
  </si>
  <si>
    <t>DNXM CORONET BLU</t>
  </si>
  <si>
    <t>WB213RQ5CKJD</t>
  </si>
  <si>
    <t>WB213RQ5RCKLD</t>
  </si>
  <si>
    <t>WB213SM2CKYM</t>
  </si>
  <si>
    <t>WB213SS1CKFM</t>
  </si>
  <si>
    <t>WB213VL4CUNL</t>
  </si>
  <si>
    <t>WB213VL7CUQL</t>
  </si>
  <si>
    <t>WB213XE5DBSL</t>
  </si>
  <si>
    <t>WB213XH8DBIM</t>
  </si>
  <si>
    <t>WB213YI0DEPL</t>
  </si>
  <si>
    <t>WB213YK9DFUM</t>
  </si>
  <si>
    <t>WB213YP41001</t>
  </si>
  <si>
    <t>WB213YP43071</t>
  </si>
  <si>
    <t>WB213ZC4SDIYM</t>
  </si>
  <si>
    <t>WB213ZC4S</t>
  </si>
  <si>
    <t>AUDREY SLIM BOYFRIEND SUPER T</t>
  </si>
  <si>
    <t>DIYM</t>
  </si>
  <si>
    <t>DIYM DK BLS RVL D</t>
  </si>
  <si>
    <t>WB213ZD9DJHM</t>
  </si>
  <si>
    <t>WB213ZD9</t>
  </si>
  <si>
    <t>WB222SW11001</t>
  </si>
  <si>
    <t>WB222SW15000</t>
  </si>
  <si>
    <t>WB244SU5SCKND</t>
  </si>
  <si>
    <t>WB245CAM4143</t>
  </si>
  <si>
    <t>WB245RT4CKHD</t>
  </si>
  <si>
    <t>WB245RU7CKPL</t>
  </si>
  <si>
    <t>WB245SH2CKQD</t>
  </si>
  <si>
    <t>WB264SG51001</t>
  </si>
  <si>
    <t>WB265SG61001</t>
  </si>
  <si>
    <t>WB301UL8CNPD</t>
  </si>
  <si>
    <t>WB301VB1CTIM</t>
  </si>
  <si>
    <t>WB301VB6CUJB</t>
  </si>
  <si>
    <t>WB302UO01001</t>
  </si>
  <si>
    <t>WB303KI91001</t>
  </si>
  <si>
    <t>WB303UO01001</t>
  </si>
  <si>
    <t>WB309UQ21100</t>
  </si>
  <si>
    <t>WB309UQ24000</t>
  </si>
  <si>
    <t>WB310UQ11700</t>
  </si>
  <si>
    <t>WB310UQ16003</t>
  </si>
  <si>
    <t>WB319UE8CPEM</t>
  </si>
  <si>
    <t>WB321UA7COIL</t>
  </si>
  <si>
    <t>WB324TT61001</t>
  </si>
  <si>
    <t>WB327UZ1CSUL</t>
  </si>
  <si>
    <t>WB327UZ2COND</t>
  </si>
  <si>
    <t>WB327YG2DFCB</t>
  </si>
  <si>
    <t>WB327YG4DFED</t>
  </si>
  <si>
    <t>WB327YI1DEOM</t>
  </si>
  <si>
    <t>WB327ZC6DEXD</t>
  </si>
  <si>
    <t>WB327ZC6</t>
  </si>
  <si>
    <t>DEXD</t>
  </si>
  <si>
    <t>DEXD FOGGY BLUE</t>
  </si>
  <si>
    <t>WB329VJ64918</t>
  </si>
  <si>
    <t>WB330VA71001</t>
  </si>
  <si>
    <t>WB330VA71700</t>
  </si>
  <si>
    <t>WB332VK11001</t>
  </si>
  <si>
    <t>WB332VK11700</t>
  </si>
  <si>
    <t>WB336VK01001</t>
  </si>
  <si>
    <t>WB337VI7CUJB</t>
  </si>
  <si>
    <t>WB338UQ11035</t>
  </si>
  <si>
    <t>WB338UQ13151</t>
  </si>
  <si>
    <t>WB340VB51001</t>
  </si>
  <si>
    <t>WB341VB0CXGD</t>
  </si>
  <si>
    <t>WB341VB1CTIM</t>
  </si>
  <si>
    <t>WB352FN91001</t>
  </si>
  <si>
    <t>WB355VI7CUJB</t>
  </si>
  <si>
    <t>WB360VK4COKM</t>
  </si>
  <si>
    <t>WB360XD41700</t>
  </si>
  <si>
    <t>WB363WC3CXBL</t>
  </si>
  <si>
    <t>WB363WC3RCXBL</t>
  </si>
  <si>
    <t>WB472CCH4143</t>
  </si>
  <si>
    <t>WB472CCH</t>
  </si>
  <si>
    <t>DENIM OFF THE SHOULDER TOP</t>
  </si>
  <si>
    <t>WB477RO91501</t>
  </si>
  <si>
    <t>WB8M04CH0APBM</t>
  </si>
  <si>
    <t>WB8M04FG0APBM</t>
  </si>
  <si>
    <t>WB8N50RI11</t>
  </si>
  <si>
    <t>WB8N81RI2S</t>
  </si>
  <si>
    <t>WB8Q86CH0APBM</t>
  </si>
  <si>
    <t>WB8Q86FG0APBM</t>
  </si>
  <si>
    <t>WBBA588IP31431</t>
  </si>
  <si>
    <t>WBBA588IP32361</t>
  </si>
  <si>
    <t>WBBA588IP33496</t>
  </si>
  <si>
    <t>WBBA588IP38401</t>
  </si>
  <si>
    <t>WBBM05G176607</t>
  </si>
  <si>
    <t>WBFK67L2511</t>
  </si>
  <si>
    <t>WBFK67L252S</t>
  </si>
  <si>
    <t>WBFK67L2540</t>
  </si>
  <si>
    <t>WBFK67L25EAD</t>
  </si>
  <si>
    <t>WBFK89K3111</t>
  </si>
  <si>
    <t>WBFK89L2511</t>
  </si>
  <si>
    <t>WBFK89L252S</t>
  </si>
  <si>
    <t>WBFK89L2540</t>
  </si>
  <si>
    <t>WBFK89L25EAD</t>
  </si>
  <si>
    <t>WBFK90K3111</t>
  </si>
  <si>
    <t>WBFK90K3140</t>
  </si>
  <si>
    <t>WBFK90L2511</t>
  </si>
  <si>
    <t>WBFK90L252S</t>
  </si>
  <si>
    <t>WBFK90L2540</t>
  </si>
  <si>
    <t>WBFK90L25EAD</t>
  </si>
  <si>
    <t>WBFK91K31EAD</t>
  </si>
  <si>
    <t>WBFK91L2511</t>
  </si>
  <si>
    <t>WBFK91L252S</t>
  </si>
  <si>
    <t>WBFK91L2540</t>
  </si>
  <si>
    <t>WBFK91L25EAD</t>
  </si>
  <si>
    <t>WBFS28S311335</t>
  </si>
  <si>
    <t>WBFY52BT2ANTM</t>
  </si>
  <si>
    <t>WBFY53BT2ANTM</t>
  </si>
  <si>
    <t>WBFY54BT2ANTM</t>
  </si>
  <si>
    <t>WBFZ34CS211</t>
  </si>
  <si>
    <t>WBFZ34CS22G</t>
  </si>
  <si>
    <t>WBFZ34CS240</t>
  </si>
  <si>
    <t>WBFZ34CS2ADAL</t>
  </si>
  <si>
    <t>WBFZ34CS2AVVM</t>
  </si>
  <si>
    <t>WBFZ35CS211</t>
  </si>
  <si>
    <t>WBFZ35CS22G</t>
  </si>
  <si>
    <t>WBFZ35CS240</t>
  </si>
  <si>
    <t>WBFZ35CS2ADAL</t>
  </si>
  <si>
    <t>WBFZ35CS2AVVM</t>
  </si>
  <si>
    <t>WBFZ36CS211</t>
  </si>
  <si>
    <t>WBFZ36CS22G</t>
  </si>
  <si>
    <t>WBFZ36CS240</t>
  </si>
  <si>
    <t>WBFZ37CU92G</t>
  </si>
  <si>
    <t>WBFZ37CU940</t>
  </si>
  <si>
    <t>WBH3N96EKQ2500</t>
  </si>
  <si>
    <t>WBH3N96EKQ</t>
  </si>
  <si>
    <t>SUPER SKINNY W FLAP KHKI SN</t>
  </si>
  <si>
    <t>WBLUR019D1001</t>
  </si>
  <si>
    <t>WBLUR019D1847</t>
  </si>
  <si>
    <t>WBR564KL3CDEL</t>
  </si>
  <si>
    <t>WBR564M60BZOM</t>
  </si>
  <si>
    <t>WBR564NBTCHVM</t>
  </si>
  <si>
    <t>WBR564TSCNAL</t>
  </si>
  <si>
    <t>WBR564Y9CDFM</t>
  </si>
  <si>
    <t>WBR592SEMCNYL</t>
  </si>
  <si>
    <t>WBR592SMN7CCCM</t>
  </si>
  <si>
    <t>WBR592STSCDVD</t>
  </si>
  <si>
    <t>WBR599SIT7CDEL</t>
  </si>
  <si>
    <t>WBR599SKL3CHVM</t>
  </si>
  <si>
    <t>WBR599STE0CHVM</t>
  </si>
  <si>
    <t>WBR599STE0CMRM</t>
  </si>
  <si>
    <t>WBRA817MD2CMNL</t>
  </si>
  <si>
    <t>WBRB068TSCMRM</t>
  </si>
  <si>
    <t>WBRC100TE5CHVM</t>
  </si>
  <si>
    <t>WBRC100TE5CMRM</t>
  </si>
  <si>
    <t>WBRC217OMWCFOD</t>
  </si>
  <si>
    <t>WBRC218OMWBZPM</t>
  </si>
  <si>
    <t>WBRC323TSCMNL</t>
  </si>
  <si>
    <t>WBRC325Y9CMNL</t>
  </si>
  <si>
    <t>WBRN96UT9CRVD</t>
  </si>
  <si>
    <t>WBRQ70TSBKYM</t>
  </si>
  <si>
    <t>WBRZ21HE8CHVM</t>
  </si>
  <si>
    <t>WBXA976LR9BTDD</t>
  </si>
  <si>
    <t>WC012CAECKVD</t>
  </si>
  <si>
    <t>WC012CAF1700</t>
  </si>
  <si>
    <t>WC012CAGSCUMD</t>
  </si>
  <si>
    <t>WC012CAHSDBIM</t>
  </si>
  <si>
    <t>WC012CAIBVRM</t>
  </si>
  <si>
    <t>WC012CAZCNPB</t>
  </si>
  <si>
    <t>WC012CCVDOPL</t>
  </si>
  <si>
    <t>WC012CCV</t>
  </si>
  <si>
    <t>DOPL</t>
  </si>
  <si>
    <t>DOPL PBACK BL DT</t>
  </si>
  <si>
    <t>WC012CDCDOVM</t>
  </si>
  <si>
    <t>WC012CDC</t>
  </si>
  <si>
    <t>DOVM</t>
  </si>
  <si>
    <t>DOVM BLUE BAYOU</t>
  </si>
  <si>
    <t>WC012CEIDPEL</t>
  </si>
  <si>
    <t>WC012CEI</t>
  </si>
  <si>
    <t>DPEL</t>
  </si>
  <si>
    <t>DPEL BALI BLUE</t>
  </si>
  <si>
    <t>WC012RE5CKDL</t>
  </si>
  <si>
    <t>WC012RO5DEFD</t>
  </si>
  <si>
    <t>WC012RR3CKMM</t>
  </si>
  <si>
    <t>WC012RT3SCKYM</t>
  </si>
  <si>
    <t>WC012SS1CKFM</t>
  </si>
  <si>
    <t>WC012SV4CKOD</t>
  </si>
  <si>
    <t>WC012UE5CPCB</t>
  </si>
  <si>
    <t>WC012UE9CPFB</t>
  </si>
  <si>
    <t>WC012UG3COVD</t>
  </si>
  <si>
    <t>WC012UI6SCPJM</t>
  </si>
  <si>
    <t>WC012UR81700</t>
  </si>
  <si>
    <t>WC012VL5CUOL</t>
  </si>
  <si>
    <t>WC012VN4CVCG</t>
  </si>
  <si>
    <t>WC012XE2DBDM</t>
  </si>
  <si>
    <t>WC012XJ4SDBCL</t>
  </si>
  <si>
    <t>WC012XJ7SDBAL</t>
  </si>
  <si>
    <t>WC012XJ7SDBBL</t>
  </si>
  <si>
    <t>WC012YF4DEWD</t>
  </si>
  <si>
    <t>WC012YG3DFDB</t>
  </si>
  <si>
    <t>WC012YG5SDFFD</t>
  </si>
  <si>
    <t>WC012YI1DEOM</t>
  </si>
  <si>
    <t>WC012YI2CNPD</t>
  </si>
  <si>
    <t>WC012ZC8DJCB</t>
  </si>
  <si>
    <t>WC012ZC8</t>
  </si>
  <si>
    <t>WC012ZE0DJIM</t>
  </si>
  <si>
    <t>WC012ZE0</t>
  </si>
  <si>
    <t>WC013RF0CKGL</t>
  </si>
  <si>
    <t>WC013RQ6CKKD</t>
  </si>
  <si>
    <t>WC013SM2CKYM</t>
  </si>
  <si>
    <t>WC013SU3CKTM</t>
  </si>
  <si>
    <t>WC013UB0CORD</t>
  </si>
  <si>
    <t>WC013UD5SCOKM</t>
  </si>
  <si>
    <t>WC013UF8SCOUM</t>
  </si>
  <si>
    <t>WC013UJ2SCPDL</t>
  </si>
  <si>
    <t>WC013UR81700</t>
  </si>
  <si>
    <t>WC013XC6DBAL</t>
  </si>
  <si>
    <t>WC013XC7DBIM</t>
  </si>
  <si>
    <t>WC013XD2SCUNL</t>
  </si>
  <si>
    <t>WC025RQ6CKKD</t>
  </si>
  <si>
    <t>WC025SE42S</t>
  </si>
  <si>
    <t>WC025SU5SCKND</t>
  </si>
  <si>
    <t>WC037RH11001</t>
  </si>
  <si>
    <t>WC037RH11700</t>
  </si>
  <si>
    <t>WC037TS054000</t>
  </si>
  <si>
    <t>WC051JC7934143</t>
  </si>
  <si>
    <t>WC051RT4CKHD</t>
  </si>
  <si>
    <t>WC051RU7CKPL</t>
  </si>
  <si>
    <t>WC051SH2CKQD</t>
  </si>
  <si>
    <t>WC051TQ21001</t>
  </si>
  <si>
    <t>WC051TQ26602</t>
  </si>
  <si>
    <t>WC051VG61501</t>
  </si>
  <si>
    <t>WC051VG66500</t>
  </si>
  <si>
    <t>WC051VJ4F4002</t>
  </si>
  <si>
    <t>WC051XB74002</t>
  </si>
  <si>
    <t>WC053ST91001</t>
  </si>
  <si>
    <t>WC055J2811700</t>
  </si>
  <si>
    <t>WC055J3131700</t>
  </si>
  <si>
    <t>WC055J313</t>
  </si>
  <si>
    <t>RUSTIC HORSESHOE BURNOUT</t>
  </si>
  <si>
    <t>H.GREY/WHITE</t>
  </si>
  <si>
    <t>WC055J3221700</t>
  </si>
  <si>
    <t>WC055J322</t>
  </si>
  <si>
    <t>BUDDHA BRAND RAGLAN</t>
  </si>
  <si>
    <t>WC055J5081001</t>
  </si>
  <si>
    <t>WC055J508</t>
  </si>
  <si>
    <t>TR LOGO RAGLAN</t>
  </si>
  <si>
    <t>WC055JC7821700</t>
  </si>
  <si>
    <t>WC055JC7831700</t>
  </si>
  <si>
    <t>WC056CBH1001</t>
  </si>
  <si>
    <t>WC056CBH</t>
  </si>
  <si>
    <t>PATCH WORK HOODIE</t>
  </si>
  <si>
    <t>WC056TN61501</t>
  </si>
  <si>
    <t>WC056ZG31106</t>
  </si>
  <si>
    <t>WC056ZG3</t>
  </si>
  <si>
    <t>EMBELLISHED HOODIE</t>
  </si>
  <si>
    <t>WC058CBH1001</t>
  </si>
  <si>
    <t>WC058CBH</t>
  </si>
  <si>
    <t>PATCH WORK SKINNY SWEATPANT</t>
  </si>
  <si>
    <t>WC058CBH1106</t>
  </si>
  <si>
    <t>WC058JC7811001</t>
  </si>
  <si>
    <t>WC058JC7811700</t>
  </si>
  <si>
    <t>WC058JC7813071</t>
  </si>
  <si>
    <t>WC058JC7815146</t>
  </si>
  <si>
    <t>WC058NP711001</t>
  </si>
  <si>
    <t>WC058RF91501</t>
  </si>
  <si>
    <t>WC058TN61501</t>
  </si>
  <si>
    <t>WC058TP94143</t>
  </si>
  <si>
    <t>WC058VJ4F4002</t>
  </si>
  <si>
    <t>WC058ZG31106</t>
  </si>
  <si>
    <t>WC058ZG3</t>
  </si>
  <si>
    <t>EMBELLISHED SKINNY SWEATPANT</t>
  </si>
  <si>
    <t>WC089YY26060</t>
  </si>
  <si>
    <t>WC089ZB6DJQM</t>
  </si>
  <si>
    <t>WC089ZB6</t>
  </si>
  <si>
    <t>RELAXED GEORGIA SHIRT</t>
  </si>
  <si>
    <t>DJQM</t>
  </si>
  <si>
    <t>DJQM FACTORY BLU</t>
  </si>
  <si>
    <t>WC089ZF61001</t>
  </si>
  <si>
    <t>WC089ZF6</t>
  </si>
  <si>
    <t>PLAID GEORGIA</t>
  </si>
  <si>
    <t>BLACK WHITE PLAID</t>
  </si>
  <si>
    <t>WC089ZF66000</t>
  </si>
  <si>
    <t>WC090RF91501</t>
  </si>
  <si>
    <t>WC090TS031001</t>
  </si>
  <si>
    <t>WC090TS031700</t>
  </si>
  <si>
    <t>WC094JC2031700</t>
  </si>
  <si>
    <t>WC097JC7944143</t>
  </si>
  <si>
    <t>WC104ST11001</t>
  </si>
  <si>
    <t>WC104ST14000</t>
  </si>
  <si>
    <t>WC131RQ81001</t>
  </si>
  <si>
    <t>WC173RG091001</t>
  </si>
  <si>
    <t>WC177RQ5CKBD</t>
  </si>
  <si>
    <t>WC182XH54143</t>
  </si>
  <si>
    <t>WC203TM41001</t>
  </si>
  <si>
    <t>WC203TM41700</t>
  </si>
  <si>
    <t>WC213ZC4DJDM</t>
  </si>
  <si>
    <t>WC213ZC4</t>
  </si>
  <si>
    <t>WC213ZI6DJPL</t>
  </si>
  <si>
    <t>WC213ZI6</t>
  </si>
  <si>
    <t>WC229RG061700</t>
  </si>
  <si>
    <t>WC237CS176106</t>
  </si>
  <si>
    <t>WC240TS031001</t>
  </si>
  <si>
    <t>WC240TS031700</t>
  </si>
  <si>
    <t>WC240TS181001</t>
  </si>
  <si>
    <t>WC244SS91001</t>
  </si>
  <si>
    <t>WC244SS91501</t>
  </si>
  <si>
    <t>WC244SS94826</t>
  </si>
  <si>
    <t>WC244SS96000</t>
  </si>
  <si>
    <t>WC244TN81001</t>
  </si>
  <si>
    <t>WC244TN81501</t>
  </si>
  <si>
    <t>WC244TN84000</t>
  </si>
  <si>
    <t>WC244TQ21001</t>
  </si>
  <si>
    <t>WC244TQ26602</t>
  </si>
  <si>
    <t>WC254RP94100</t>
  </si>
  <si>
    <t>WC261RF0CKGL</t>
  </si>
  <si>
    <t>WC264ST11001</t>
  </si>
  <si>
    <t>WC264ST14000</t>
  </si>
  <si>
    <t>WC274RE4CLHM</t>
  </si>
  <si>
    <t>WC274RF0CKGL</t>
  </si>
  <si>
    <t>WC274RR4CKND</t>
  </si>
  <si>
    <t>WC274SV4CKOD</t>
  </si>
  <si>
    <t>WC284RQ81001</t>
  </si>
  <si>
    <t>WC311RF0CKGL</t>
  </si>
  <si>
    <t>WC311RS6CKWD</t>
  </si>
  <si>
    <t>WC311TM6CNCM</t>
  </si>
  <si>
    <t>WC311UB1COMD</t>
  </si>
  <si>
    <t>WC321CAE2S</t>
  </si>
  <si>
    <t>WC321CAE12S</t>
  </si>
  <si>
    <t>WC321CAE1CKVD</t>
  </si>
  <si>
    <t>WC321CAZCNPB</t>
  </si>
  <si>
    <t>WC321CDBDHWD</t>
  </si>
  <si>
    <t>WC321CDB</t>
  </si>
  <si>
    <t>WC321SE12S</t>
  </si>
  <si>
    <t>WC321SE7CKEM</t>
  </si>
  <si>
    <t>WC321SE7CLAD</t>
  </si>
  <si>
    <t>WC321SE7CLCD</t>
  </si>
  <si>
    <t>WC321SE8CKSD</t>
  </si>
  <si>
    <t>WC321SZ94067</t>
  </si>
  <si>
    <t>WC321SZ95000</t>
  </si>
  <si>
    <t>WC321SZ97000</t>
  </si>
  <si>
    <t>WC321UG02S</t>
  </si>
  <si>
    <t>WC321UK82S</t>
  </si>
  <si>
    <t>WC321UP0CQZB</t>
  </si>
  <si>
    <t>WC321UY7CTEB</t>
  </si>
  <si>
    <t>WC321UY8CTFD</t>
  </si>
  <si>
    <t>WC321UY9CTGL</t>
  </si>
  <si>
    <t>WC321VL3DADM</t>
  </si>
  <si>
    <t>WC321VS6CTUM</t>
  </si>
  <si>
    <t>WC321VS6CTVD</t>
  </si>
  <si>
    <t>WC321VS9CTXD</t>
  </si>
  <si>
    <t>WC321VT21001</t>
  </si>
  <si>
    <t>WC321VT3CTZD</t>
  </si>
  <si>
    <t>WC321VT3CUAM</t>
  </si>
  <si>
    <t>WC321VW2CWJD</t>
  </si>
  <si>
    <t>WC321VZ1CUIM</t>
  </si>
  <si>
    <t>WC321WC0DAED</t>
  </si>
  <si>
    <t>WC321WJ6DACL</t>
  </si>
  <si>
    <t>WC331SS91001</t>
  </si>
  <si>
    <t>WC331SS91501</t>
  </si>
  <si>
    <t>WC331SS94826</t>
  </si>
  <si>
    <t>WC331SS96059</t>
  </si>
  <si>
    <t>WC331TN81001</t>
  </si>
  <si>
    <t>WC331TN81501</t>
  </si>
  <si>
    <t>WC331TN84000</t>
  </si>
  <si>
    <t>WC331TN86000</t>
  </si>
  <si>
    <t>WC341RG041700</t>
  </si>
  <si>
    <t>WC344ST21700</t>
  </si>
  <si>
    <t>WC347SE42S</t>
  </si>
  <si>
    <t>WC347SE4CLID</t>
  </si>
  <si>
    <t>WC358CBI1001</t>
  </si>
  <si>
    <t>WC358CBI</t>
  </si>
  <si>
    <t>WC358CBI6000</t>
  </si>
  <si>
    <t>CPL CABERNET</t>
  </si>
  <si>
    <t>WC358CDS1700</t>
  </si>
  <si>
    <t>WC358CDS</t>
  </si>
  <si>
    <t>DOW OPTIC WHITE PT DES</t>
  </si>
  <si>
    <t>WC358RS14000</t>
  </si>
  <si>
    <t>WC358RS14100</t>
  </si>
  <si>
    <t>WC358RS15000</t>
  </si>
  <si>
    <t>WC360NP401001</t>
  </si>
  <si>
    <t>WC360ST21700</t>
  </si>
  <si>
    <t>WC362ST31001</t>
  </si>
  <si>
    <t>WC362ST31700</t>
  </si>
  <si>
    <t>WC362TA54000</t>
  </si>
  <si>
    <t>WC362TA64000</t>
  </si>
  <si>
    <t>WC362TP73000</t>
  </si>
  <si>
    <t>WC362TP76602</t>
  </si>
  <si>
    <t>WC363CBH1106</t>
  </si>
  <si>
    <t>WC363CBH</t>
  </si>
  <si>
    <t>PATCH WORK SWEATSHIRT</t>
  </si>
  <si>
    <t>WC363J0954143</t>
  </si>
  <si>
    <t>WC363JC9841501</t>
  </si>
  <si>
    <t>WC363JC98F4143</t>
  </si>
  <si>
    <t>WC363ST11001</t>
  </si>
  <si>
    <t>WC363ST14000</t>
  </si>
  <si>
    <t>WC363TN61501</t>
  </si>
  <si>
    <t>WC364CCCCNPB</t>
  </si>
  <si>
    <t>WC364CCC</t>
  </si>
  <si>
    <t>WC364YH1DFAD</t>
  </si>
  <si>
    <t>WC364YH11DFAD</t>
  </si>
  <si>
    <t>WC365ST81001</t>
  </si>
  <si>
    <t>WC365ST84000</t>
  </si>
  <si>
    <t>WC365ST86000</t>
  </si>
  <si>
    <t>WC366CS071001</t>
  </si>
  <si>
    <t>WC367SE12S</t>
  </si>
  <si>
    <t>WC367SE7CLAD</t>
  </si>
  <si>
    <t>WC367SE8CKSD</t>
  </si>
  <si>
    <t>WC371CS231001</t>
  </si>
  <si>
    <t>WC371CS246106</t>
  </si>
  <si>
    <t>WC371TS054000</t>
  </si>
  <si>
    <t>WC372ST41200</t>
  </si>
  <si>
    <t>WC372ST44002</t>
  </si>
  <si>
    <t>WC372ST45000</t>
  </si>
  <si>
    <t>WC373CS031700</t>
  </si>
  <si>
    <t>WC373NP416106</t>
  </si>
  <si>
    <t>WC373RG101700</t>
  </si>
  <si>
    <t>WC373RG291700</t>
  </si>
  <si>
    <t>WC389CAW6506</t>
  </si>
  <si>
    <t>WC389CAW</t>
  </si>
  <si>
    <t>PINK BLACK PLAID</t>
  </si>
  <si>
    <t>WC389TA46059</t>
  </si>
  <si>
    <t>WC389TB11001</t>
  </si>
  <si>
    <t>WC389TN17000</t>
  </si>
  <si>
    <t>WC389TN86000</t>
  </si>
  <si>
    <t>WC389TN91700</t>
  </si>
  <si>
    <t>WC389UP64143</t>
  </si>
  <si>
    <t>WC389VH71700</t>
  </si>
  <si>
    <t>WC389VH74002</t>
  </si>
  <si>
    <t>WC389WK74143</t>
  </si>
  <si>
    <t>WC389ZF04143</t>
  </si>
  <si>
    <t>WC389ZF0</t>
  </si>
  <si>
    <t>INDIGO CHECK PLAID</t>
  </si>
  <si>
    <t>WC389ZF06404</t>
  </si>
  <si>
    <t>WISTERIA CHECK PLAID</t>
  </si>
  <si>
    <t>WC392JC311700</t>
  </si>
  <si>
    <t>WC394JC301001</t>
  </si>
  <si>
    <t>WC394JC301700</t>
  </si>
  <si>
    <t>WC401JC101001</t>
  </si>
  <si>
    <t>WC401JC101501</t>
  </si>
  <si>
    <t>WC402TE84143</t>
  </si>
  <si>
    <t>WC406J0421001</t>
  </si>
  <si>
    <t>WC410TT41001</t>
  </si>
  <si>
    <t>WC416TT41001</t>
  </si>
  <si>
    <t>WC417TT41001</t>
  </si>
  <si>
    <t>WC419JC881700</t>
  </si>
  <si>
    <t>WC419NP471700</t>
  </si>
  <si>
    <t>WC421TM24000</t>
  </si>
  <si>
    <t>WC421TM26000</t>
  </si>
  <si>
    <t>WC422JC501700</t>
  </si>
  <si>
    <t>WC423TM41001</t>
  </si>
  <si>
    <t>WC423TM41700</t>
  </si>
  <si>
    <t>WC425TM41001</t>
  </si>
  <si>
    <t>WC425TM41700</t>
  </si>
  <si>
    <t>WC427ST41200</t>
  </si>
  <si>
    <t>WC427ST44000</t>
  </si>
  <si>
    <t>WC427ST44067</t>
  </si>
  <si>
    <t>WC427ST45000</t>
  </si>
  <si>
    <t>WC429TP81001</t>
  </si>
  <si>
    <t>WC429TP81501</t>
  </si>
  <si>
    <t>WC429TP81700</t>
  </si>
  <si>
    <t>WC429TP86602</t>
  </si>
  <si>
    <t>WC429TP87000</t>
  </si>
  <si>
    <t>WC477TQ41001</t>
  </si>
  <si>
    <t>WC477UT0COSD</t>
  </si>
  <si>
    <t>WC478TQ23002</t>
  </si>
  <si>
    <t>WC478TQ25000</t>
  </si>
  <si>
    <t>WC479TQ23002</t>
  </si>
  <si>
    <t>WC479TQ25000</t>
  </si>
  <si>
    <t>WC480NP651001</t>
  </si>
  <si>
    <t>WC480NP711001</t>
  </si>
  <si>
    <t>WC480TP94143</t>
  </si>
  <si>
    <t>WC480UA51700</t>
  </si>
  <si>
    <t>WC480UA61001</t>
  </si>
  <si>
    <t>WC483NP681200</t>
  </si>
  <si>
    <t>WC483NP683002</t>
  </si>
  <si>
    <t>WC487TP14000</t>
  </si>
  <si>
    <t>WC488SS91001</t>
  </si>
  <si>
    <t>WC488SS91501</t>
  </si>
  <si>
    <t>WC488TN81001</t>
  </si>
  <si>
    <t>WC488TN81501</t>
  </si>
  <si>
    <t>WC488TN86000</t>
  </si>
  <si>
    <t>WC489TP24143</t>
  </si>
  <si>
    <t>WC489ZG11001</t>
  </si>
  <si>
    <t>WC489ZG1</t>
  </si>
  <si>
    <t>LS CARDIGAN</t>
  </si>
  <si>
    <t>WC490NP711001</t>
  </si>
  <si>
    <t>WC490TP94143</t>
  </si>
  <si>
    <t>WC491TQ54100</t>
  </si>
  <si>
    <t>WC494TP61501</t>
  </si>
  <si>
    <t>WC494TP63000</t>
  </si>
  <si>
    <t>WC494TP65000</t>
  </si>
  <si>
    <t>WC494TP66000</t>
  </si>
  <si>
    <t>WC494TP66602</t>
  </si>
  <si>
    <t>WC495TN54015</t>
  </si>
  <si>
    <t>WC495TN54143</t>
  </si>
  <si>
    <t>WC496TP71001</t>
  </si>
  <si>
    <t>WC496TP76602</t>
  </si>
  <si>
    <t>WC498TN24000</t>
  </si>
  <si>
    <t>WC499TN21001</t>
  </si>
  <si>
    <t>WC499TN21700</t>
  </si>
  <si>
    <t>WC500TN21001</t>
  </si>
  <si>
    <t>WC500TN21700</t>
  </si>
  <si>
    <t>WC502TM74143</t>
  </si>
  <si>
    <t>WC503TN31001</t>
  </si>
  <si>
    <t>WC504TQ61001</t>
  </si>
  <si>
    <t>WC505TQ61001</t>
  </si>
  <si>
    <t>WC506UB0CORD</t>
  </si>
  <si>
    <t>WC506UC8COSD</t>
  </si>
  <si>
    <t>WC507CABDOIM</t>
  </si>
  <si>
    <t>WC507CAB</t>
  </si>
  <si>
    <t>LIV LOW RISE RELAXED SKNNY</t>
  </si>
  <si>
    <t>DOIM</t>
  </si>
  <si>
    <t>DOIM IND EPS W P</t>
  </si>
  <si>
    <t>WC507UA8COJM</t>
  </si>
  <si>
    <t>WC508UA9COKM</t>
  </si>
  <si>
    <t>WC508UB7COOB</t>
  </si>
  <si>
    <t>WC508UD8COWD</t>
  </si>
  <si>
    <t>WC508UD9CPMB</t>
  </si>
  <si>
    <t>WC508UF11700</t>
  </si>
  <si>
    <t>WC508UQ75000</t>
  </si>
  <si>
    <t>WC509UB5COND</t>
  </si>
  <si>
    <t>WC509UB7COOB</t>
  </si>
  <si>
    <t>WC510UC21001</t>
  </si>
  <si>
    <t>WC511UC9COTD</t>
  </si>
  <si>
    <t>WC513UD7COKM</t>
  </si>
  <si>
    <t>WC513UD7COUM</t>
  </si>
  <si>
    <t>WC520UB6COND</t>
  </si>
  <si>
    <t>WC522TQ13000</t>
  </si>
  <si>
    <t>WC522TQ15000</t>
  </si>
  <si>
    <t>WC526SU3CKTM</t>
  </si>
  <si>
    <t>WC526UA9COKM</t>
  </si>
  <si>
    <t>WC526VM7CUWL</t>
  </si>
  <si>
    <t>WC526XF1DBOM</t>
  </si>
  <si>
    <t>WC526XJ5SDBIM</t>
  </si>
  <si>
    <t>WC526XX5CKGL</t>
  </si>
  <si>
    <t>WC526YF6DEYM</t>
  </si>
  <si>
    <t>WC526YI1DEOM</t>
  </si>
  <si>
    <t>WC531TP81001</t>
  </si>
  <si>
    <t>WC531TP81501</t>
  </si>
  <si>
    <t>WC531TP81700</t>
  </si>
  <si>
    <t>WC531YT21001</t>
  </si>
  <si>
    <t>WC53530A1700</t>
  </si>
  <si>
    <t>WC53530A</t>
  </si>
  <si>
    <t>WC53538ADRQM</t>
  </si>
  <si>
    <t>WC53538A</t>
  </si>
  <si>
    <t>CASEY SUPER SKINNY W FLAP</t>
  </si>
  <si>
    <t>WC535CDUDOYM</t>
  </si>
  <si>
    <t>WC535CDU</t>
  </si>
  <si>
    <t>CASEY SUPER SKINNY FLAP</t>
  </si>
  <si>
    <t>DOYM</t>
  </si>
  <si>
    <t>DOYM SPRNG BREAK</t>
  </si>
  <si>
    <t>WC535UD3SCOND</t>
  </si>
  <si>
    <t>WC535UG1SCOVD</t>
  </si>
  <si>
    <t>WC535UR81700</t>
  </si>
  <si>
    <t>WC535UZ1CSUL</t>
  </si>
  <si>
    <t>WC535XP71001</t>
  </si>
  <si>
    <t>WC535XP811</t>
  </si>
  <si>
    <t>WC535YG5SDFFD</t>
  </si>
  <si>
    <t>WC535YG5S</t>
  </si>
  <si>
    <t>CASEY SKINNY FLAP SUPER T</t>
  </si>
  <si>
    <t>WC535ZD8S11</t>
  </si>
  <si>
    <t>WC535ZD8S</t>
  </si>
  <si>
    <t>WC535ZJ4SDJNG</t>
  </si>
  <si>
    <t>WC535ZJ4S</t>
  </si>
  <si>
    <t>WC543J0351700</t>
  </si>
  <si>
    <t>WC543J0381700</t>
  </si>
  <si>
    <t>WC543J0971700</t>
  </si>
  <si>
    <t>WC543J1171700</t>
  </si>
  <si>
    <t>WC543J2801700</t>
  </si>
  <si>
    <t>WC543JC1811700</t>
  </si>
  <si>
    <t>WC543JC1891001</t>
  </si>
  <si>
    <t>WC543JC1921700</t>
  </si>
  <si>
    <t>WC543JC4501001</t>
  </si>
  <si>
    <t>WC543JC7841001</t>
  </si>
  <si>
    <t>WC543JC7841700</t>
  </si>
  <si>
    <t>WC543JC7911700</t>
  </si>
  <si>
    <t>WC543JC7971700</t>
  </si>
  <si>
    <t>WC543JC8001700</t>
  </si>
  <si>
    <t>WC543UA41001</t>
  </si>
  <si>
    <t>WC544J0281700</t>
  </si>
  <si>
    <t>WC544J0401700</t>
  </si>
  <si>
    <t>WC544J0961700</t>
  </si>
  <si>
    <t>WC544J3061700</t>
  </si>
  <si>
    <t>WC544J306</t>
  </si>
  <si>
    <t>KISSED BF  CREW</t>
  </si>
  <si>
    <t>WC544JC1801001</t>
  </si>
  <si>
    <t>WC544JC1821700</t>
  </si>
  <si>
    <t>WC544JC1831700</t>
  </si>
  <si>
    <t>WC544JC1837000</t>
  </si>
  <si>
    <t>WC544JC1861001</t>
  </si>
  <si>
    <t>WC544JC1901700</t>
  </si>
  <si>
    <t>WC544JC1911700</t>
  </si>
  <si>
    <t>WC544JC4601700</t>
  </si>
  <si>
    <t>WC544JC7851700</t>
  </si>
  <si>
    <t>WC544JC7891001</t>
  </si>
  <si>
    <t>WC544JC7991700</t>
  </si>
  <si>
    <t>WC545J0321700</t>
  </si>
  <si>
    <t>WC545TP63000</t>
  </si>
  <si>
    <t>WC545TP65000</t>
  </si>
  <si>
    <t>WC545TP66000</t>
  </si>
  <si>
    <t>WC547UE2COKB</t>
  </si>
  <si>
    <t>WC547UG1COVD</t>
  </si>
  <si>
    <t>WC547UG51700</t>
  </si>
  <si>
    <t>WC547VK7CUMD</t>
  </si>
  <si>
    <t>WC547VL6SCUPL</t>
  </si>
  <si>
    <t>WC547VL7CUQL</t>
  </si>
  <si>
    <t>WC547VM9CUYM</t>
  </si>
  <si>
    <t>WC547VN3CVBG</t>
  </si>
  <si>
    <t>WC547XD2SCUNL</t>
  </si>
  <si>
    <t>WC547XD9DBTG</t>
  </si>
  <si>
    <t>WC547XF8CZYB</t>
  </si>
  <si>
    <t>WC547XR5DBOM</t>
  </si>
  <si>
    <t>EMBELLISHED LOW RISE SKINNY</t>
  </si>
  <si>
    <t>WC547XX5CKGL</t>
  </si>
  <si>
    <t>WC547YG2DFCB</t>
  </si>
  <si>
    <t>WC547ZE0DJIM</t>
  </si>
  <si>
    <t>WC547ZE0</t>
  </si>
  <si>
    <t>WC552JC311700</t>
  </si>
  <si>
    <t>WC566SS1CKFM</t>
  </si>
  <si>
    <t>WC56830A1700</t>
  </si>
  <si>
    <t>WC56830A</t>
  </si>
  <si>
    <t>WC568CEMDRQM</t>
  </si>
  <si>
    <t>WC568CEM</t>
  </si>
  <si>
    <t>WC568UA9COKM</t>
  </si>
  <si>
    <t>WC568VK5COKB</t>
  </si>
  <si>
    <t>WC568VK7CUMD</t>
  </si>
  <si>
    <t>WC568VK91200</t>
  </si>
  <si>
    <t>WC568VL6CUPL</t>
  </si>
  <si>
    <t>WC568VN94000</t>
  </si>
  <si>
    <t>WC568VN96500</t>
  </si>
  <si>
    <t>WC568XC8DBCL</t>
  </si>
  <si>
    <t>WC568XD9BDBSL</t>
  </si>
  <si>
    <t>WC568XE1DBGL</t>
  </si>
  <si>
    <t>WC568XE3DBEM</t>
  </si>
  <si>
    <t>WC570UC5COSD</t>
  </si>
  <si>
    <t>WC570UF51001</t>
  </si>
  <si>
    <t>WC570WB71700</t>
  </si>
  <si>
    <t>WC570XJ5SDBIM</t>
  </si>
  <si>
    <t>WC570XR6SDEWD</t>
  </si>
  <si>
    <t>WC570ZD811</t>
  </si>
  <si>
    <t>WC570ZD8</t>
  </si>
  <si>
    <t>WC575TQ21001</t>
  </si>
  <si>
    <t>WC575TQ26602</t>
  </si>
  <si>
    <t>WC576UD7COUM</t>
  </si>
  <si>
    <t>WC576VK6SCULD</t>
  </si>
  <si>
    <t>WC577UG1COVD</t>
  </si>
  <si>
    <t>WC577VK6CULD</t>
  </si>
  <si>
    <t>WC578JC1851700</t>
  </si>
  <si>
    <t>WC582VS8CTWL</t>
  </si>
  <si>
    <t>WC582VS9CTXD</t>
  </si>
  <si>
    <t>WC582VT11001</t>
  </si>
  <si>
    <t>WC586CCD1001</t>
  </si>
  <si>
    <t>WC586CCD</t>
  </si>
  <si>
    <t>SS SLIM BUDDHA BURNOUT</t>
  </si>
  <si>
    <t>WC586CCD1700</t>
  </si>
  <si>
    <t>WC586CCD4000</t>
  </si>
  <si>
    <t>WC586CCD6000</t>
  </si>
  <si>
    <t>WC586CCD6500</t>
  </si>
  <si>
    <t>VINTAGE PINK</t>
  </si>
  <si>
    <t>WC586CCD7000</t>
  </si>
  <si>
    <t>OVERDYED YELLOW</t>
  </si>
  <si>
    <t>WC586J0281700</t>
  </si>
  <si>
    <t>WC586J0321700</t>
  </si>
  <si>
    <t>WC586J1211001</t>
  </si>
  <si>
    <t>WC586J2821700</t>
  </si>
  <si>
    <t>WC586J3011106</t>
  </si>
  <si>
    <t>WC586J301</t>
  </si>
  <si>
    <t>ART DECO SLIM V</t>
  </si>
  <si>
    <t>WC586J3251700</t>
  </si>
  <si>
    <t>WC586J325</t>
  </si>
  <si>
    <t>EMBELLISED ART DECO SLIM V</t>
  </si>
  <si>
    <t>WC586J3256012</t>
  </si>
  <si>
    <t>WC586J3261106</t>
  </si>
  <si>
    <t>WC586J326</t>
  </si>
  <si>
    <t>PRINTED PATCH SLIM V</t>
  </si>
  <si>
    <t>WC586J5051700</t>
  </si>
  <si>
    <t>WC586J505</t>
  </si>
  <si>
    <t>PALM TREE SS V NECK</t>
  </si>
  <si>
    <t>WC586J5091700</t>
  </si>
  <si>
    <t>WC586J509</t>
  </si>
  <si>
    <t>BUDDHA BRAND V NECK</t>
  </si>
  <si>
    <t>WC586JC2001001</t>
  </si>
  <si>
    <t>WC586JC2011700</t>
  </si>
  <si>
    <t>WC586JC7885146</t>
  </si>
  <si>
    <t>WC586JC7961700</t>
  </si>
  <si>
    <t>WC586JC7963071</t>
  </si>
  <si>
    <t>WC586NP711700</t>
  </si>
  <si>
    <t>WC586NP716000</t>
  </si>
  <si>
    <t>WC586ZA71001</t>
  </si>
  <si>
    <t>WC586ZA71501</t>
  </si>
  <si>
    <t>WC586ZA71700</t>
  </si>
  <si>
    <t>WC586ZA75306</t>
  </si>
  <si>
    <t>WC58K98T571505</t>
  </si>
  <si>
    <t>WC58K98T571746</t>
  </si>
  <si>
    <t>WC608VJ33071</t>
  </si>
  <si>
    <t>WC609VJ33071</t>
  </si>
  <si>
    <t>WC610JC7801001</t>
  </si>
  <si>
    <t>WC610JC7801700</t>
  </si>
  <si>
    <t>WC610JC7803071</t>
  </si>
  <si>
    <t>WC610JC7805146</t>
  </si>
  <si>
    <t>WC610VH51001</t>
  </si>
  <si>
    <t>WC611VJ24143</t>
  </si>
  <si>
    <t>WC611WB21700</t>
  </si>
  <si>
    <t>WC611XM6DBRL</t>
  </si>
  <si>
    <t>WC611YU61991</t>
  </si>
  <si>
    <t>WC611YU63071</t>
  </si>
  <si>
    <t>WC612VJ11001</t>
  </si>
  <si>
    <t>WC612VJ11700</t>
  </si>
  <si>
    <t>WC612VJ13071</t>
  </si>
  <si>
    <t>WC613VG58418</t>
  </si>
  <si>
    <t>WC613VJ11001</t>
  </si>
  <si>
    <t>WC613VJ11700</t>
  </si>
  <si>
    <t>WC613VJ18418</t>
  </si>
  <si>
    <t>WC614VH93071</t>
  </si>
  <si>
    <t>WC615VH84143</t>
  </si>
  <si>
    <t>WC616JC7921501</t>
  </si>
  <si>
    <t>WC616VH51001</t>
  </si>
  <si>
    <t>WC617VH61001</t>
  </si>
  <si>
    <t>WC618VH48418</t>
  </si>
  <si>
    <t>WC620VH48418</t>
  </si>
  <si>
    <t>WC620VH51001</t>
  </si>
  <si>
    <t>WC624JC7951501</t>
  </si>
  <si>
    <t>WC624JC7958418</t>
  </si>
  <si>
    <t>WC624VG38418</t>
  </si>
  <si>
    <t>WC630VG94143</t>
  </si>
  <si>
    <t>WC630VG9C1700</t>
  </si>
  <si>
    <t>WC631WB54143</t>
  </si>
  <si>
    <t>WC633VG74143</t>
  </si>
  <si>
    <t>WC635VG44143</t>
  </si>
  <si>
    <t>WC637VG44143</t>
  </si>
  <si>
    <t>WC638VL3CWUM</t>
  </si>
  <si>
    <t>WC638WC0CWVD</t>
  </si>
  <si>
    <t>WC639VW1CWKB</t>
  </si>
  <si>
    <t>WC639VW2CUHM</t>
  </si>
  <si>
    <t>WC639WB54143</t>
  </si>
  <si>
    <t>WC639XS6DBWM</t>
  </si>
  <si>
    <t>WC640VG21001</t>
  </si>
  <si>
    <t>WC640VG21700</t>
  </si>
  <si>
    <t>WC640VG28418</t>
  </si>
  <si>
    <t>WC642VF81700</t>
  </si>
  <si>
    <t>WC642VF84067</t>
  </si>
  <si>
    <t>WC643JC8021700</t>
  </si>
  <si>
    <t>WC643JC8034067</t>
  </si>
  <si>
    <t>WC646VK4COKM</t>
  </si>
  <si>
    <t>WC646VK5COKB</t>
  </si>
  <si>
    <t>WC649XC7DBIM</t>
  </si>
  <si>
    <t>WC649XD11700</t>
  </si>
  <si>
    <t>WC652VL13071</t>
  </si>
  <si>
    <t>WC653VL23000</t>
  </si>
  <si>
    <t>WC656VL4CUNL</t>
  </si>
  <si>
    <t>WC656VN1CUZM</t>
  </si>
  <si>
    <t>WC656VN3CVBG</t>
  </si>
  <si>
    <t>WC658VK4COKM</t>
  </si>
  <si>
    <t>WC658VK7CUMD</t>
  </si>
  <si>
    <t>WC658VK7RCUMD</t>
  </si>
  <si>
    <t>WC658VL6CUPL</t>
  </si>
  <si>
    <t>WC658VM9CUYM</t>
  </si>
  <si>
    <t>WC658XC7DBIM</t>
  </si>
  <si>
    <t>WC658XD11700</t>
  </si>
  <si>
    <t>WC658XE1DBGL</t>
  </si>
  <si>
    <t>WC658XK0SDBOM</t>
  </si>
  <si>
    <t>WC658YI2CNPD</t>
  </si>
  <si>
    <t>WC658ZJ0DJMM</t>
  </si>
  <si>
    <t>WC658ZJ0</t>
  </si>
  <si>
    <t>KARLIE LOW RISE BELL BOTTOM</t>
  </si>
  <si>
    <t>DJMM</t>
  </si>
  <si>
    <t>DJMM COBLT RSH D</t>
  </si>
  <si>
    <t>WC659VL8CURM</t>
  </si>
  <si>
    <t>WC661VL8CURM</t>
  </si>
  <si>
    <t>WC663VM3CUUM</t>
  </si>
  <si>
    <t>WC664VM3CUUM</t>
  </si>
  <si>
    <t>WC665VM7CUWL</t>
  </si>
  <si>
    <t>WC665VM8CUXM</t>
  </si>
  <si>
    <t>WC665VN94000</t>
  </si>
  <si>
    <t>WC665VN96500</t>
  </si>
  <si>
    <t>WC667CDP3071</t>
  </si>
  <si>
    <t>WC667CDP</t>
  </si>
  <si>
    <t>DPH VINTAGE CAMO</t>
  </si>
  <si>
    <t>WC667VL8CWWL</t>
  </si>
  <si>
    <t>WC667WB82709</t>
  </si>
  <si>
    <t>WC667WB88000</t>
  </si>
  <si>
    <t>WC668VL13071</t>
  </si>
  <si>
    <t>WC668VL18000</t>
  </si>
  <si>
    <t>WC668VM8CUXM</t>
  </si>
  <si>
    <t>WC669VM8CUXM</t>
  </si>
  <si>
    <t>WC669WB83000</t>
  </si>
  <si>
    <t>WC669WB86500</t>
  </si>
  <si>
    <t>WC670VN1CUZM</t>
  </si>
  <si>
    <t>WC671VN2CVAD</t>
  </si>
  <si>
    <t>WC673VM9CUYM</t>
  </si>
  <si>
    <t>WC674VM2SCUTL</t>
  </si>
  <si>
    <t>WC674VN3SCVBG</t>
  </si>
  <si>
    <t>WC675VN6CWXD</t>
  </si>
  <si>
    <t>WC675VN6CWZM</t>
  </si>
  <si>
    <t>WC675VN8CWYL</t>
  </si>
  <si>
    <t>WC675VZ22S</t>
  </si>
  <si>
    <t>WC677VP2CVFM</t>
  </si>
  <si>
    <t>WC714WC3CXBL</t>
  </si>
  <si>
    <t>WC732WB21001</t>
  </si>
  <si>
    <t>WC732WB23071</t>
  </si>
  <si>
    <t>WC733WB41001</t>
  </si>
  <si>
    <t>WC733WB41847</t>
  </si>
  <si>
    <t>WC734VG61501</t>
  </si>
  <si>
    <t>WC734VG66500</t>
  </si>
  <si>
    <t>WC735WB61001</t>
  </si>
  <si>
    <t>WC735WB61700</t>
  </si>
  <si>
    <t>WC735WB66500</t>
  </si>
  <si>
    <t>WC736VK7CUMD</t>
  </si>
  <si>
    <t>WC73738ADRQM</t>
  </si>
  <si>
    <t>WC73738A</t>
  </si>
  <si>
    <t>HALLE SUPER SKINNY W FLAP</t>
  </si>
  <si>
    <t>WC737UD5SCOKM</t>
  </si>
  <si>
    <t>WC737VK7SCUMD</t>
  </si>
  <si>
    <t>WC738VL23000</t>
  </si>
  <si>
    <t>WC740VL4CUNL</t>
  </si>
  <si>
    <t>WC741VL9CUSM</t>
  </si>
  <si>
    <t>WC742VL9CUNL</t>
  </si>
  <si>
    <t>WC742VL9CUSM</t>
  </si>
  <si>
    <t>WC742VL91CUSM</t>
  </si>
  <si>
    <t>WC742ZC91001</t>
  </si>
  <si>
    <t>WC742ZC9</t>
  </si>
  <si>
    <t>CPL JET BLACK</t>
  </si>
  <si>
    <t>WC743VL9CUSM</t>
  </si>
  <si>
    <t>WC744VM1CUSM</t>
  </si>
  <si>
    <t>WC746VP11700</t>
  </si>
  <si>
    <t>WC764VW2CWJD</t>
  </si>
  <si>
    <t>WC795CDUDOYM</t>
  </si>
  <si>
    <t>WC795CDU</t>
  </si>
  <si>
    <t>JENNIE CURVY SKINNY</t>
  </si>
  <si>
    <t>WC795UB0CWCM</t>
  </si>
  <si>
    <t>WC795XK5DHWD</t>
  </si>
  <si>
    <t>WC799XD1DBPG</t>
  </si>
  <si>
    <t>WC799XD6CUMD</t>
  </si>
  <si>
    <t>WC799XE2DBDM</t>
  </si>
  <si>
    <t>WC79L05S291001</t>
  </si>
  <si>
    <t>WC79L05S294067</t>
  </si>
  <si>
    <t>WC79L05S295060</t>
  </si>
  <si>
    <t>WC79L05S296005</t>
  </si>
  <si>
    <t>WC79L05S296047</t>
  </si>
  <si>
    <t>WC811J0691001</t>
  </si>
  <si>
    <t>WC811J0691700</t>
  </si>
  <si>
    <t>WC811J3121001</t>
  </si>
  <si>
    <t>WC811J312</t>
  </si>
  <si>
    <t>HOT FIXX SLIM CREW NECK</t>
  </si>
  <si>
    <t>WC811J3131700</t>
  </si>
  <si>
    <t>WC811J313</t>
  </si>
  <si>
    <t>RUSTIC HORSESHOE CREW NECK</t>
  </si>
  <si>
    <t>WC811J3201001</t>
  </si>
  <si>
    <t>WC811J3201700</t>
  </si>
  <si>
    <t>WC811J5061001</t>
  </si>
  <si>
    <t>WC811J506</t>
  </si>
  <si>
    <t>BUDDHA BRAND CREW</t>
  </si>
  <si>
    <t>WC811J5071001</t>
  </si>
  <si>
    <t>WC811J507</t>
  </si>
  <si>
    <t>CAVIAR LOGO CREW</t>
  </si>
  <si>
    <t>WC811J5076387</t>
  </si>
  <si>
    <t>WC811J5101001</t>
  </si>
  <si>
    <t>WC811J510</t>
  </si>
  <si>
    <t>TR LA CREW</t>
  </si>
  <si>
    <t>WC811J5171700</t>
  </si>
  <si>
    <t>WC811J517</t>
  </si>
  <si>
    <t>CONCERT T CREW NECK</t>
  </si>
  <si>
    <t>WC811J5261700</t>
  </si>
  <si>
    <t>WC811J526</t>
  </si>
  <si>
    <t>FLORAL TR LA SLIM CREW</t>
  </si>
  <si>
    <t>WHITE FLORAL</t>
  </si>
  <si>
    <t>WC811J5274143</t>
  </si>
  <si>
    <t>WC811J527</t>
  </si>
  <si>
    <t>GRAPHIC INDIGO CREW</t>
  </si>
  <si>
    <t>WC811J5281001</t>
  </si>
  <si>
    <t>WC811J528</t>
  </si>
  <si>
    <t>VINTAGE EAGLE CREW</t>
  </si>
  <si>
    <t>WC811J5291700</t>
  </si>
  <si>
    <t>WC811J529</t>
  </si>
  <si>
    <t>TR PEGASUS CREW</t>
  </si>
  <si>
    <t>WC811J5301700</t>
  </si>
  <si>
    <t>WC811J530</t>
  </si>
  <si>
    <t>FADED FLORAL SLIM CREW</t>
  </si>
  <si>
    <t>FLORAL PRINT</t>
  </si>
  <si>
    <t>WC811J5311001</t>
  </si>
  <si>
    <t>WC811J531</t>
  </si>
  <si>
    <t>NEON LOGO CREW</t>
  </si>
  <si>
    <t>WC811J6011001</t>
  </si>
  <si>
    <t>WC811J601</t>
  </si>
  <si>
    <t>LOGO REPEAT CREW NECK</t>
  </si>
  <si>
    <t>WC812J0331700</t>
  </si>
  <si>
    <t>WC812J0411700</t>
  </si>
  <si>
    <t>WC812J5281001</t>
  </si>
  <si>
    <t>WC812J528</t>
  </si>
  <si>
    <t>VINTAGE EAGLE MUSCLE</t>
  </si>
  <si>
    <t>WC813XA81700</t>
  </si>
  <si>
    <t>WC813XB74002</t>
  </si>
  <si>
    <t>WC814J1161700</t>
  </si>
  <si>
    <t>WC816XB61501</t>
  </si>
  <si>
    <t>WC816XB74002</t>
  </si>
  <si>
    <t>WC819XB91001</t>
  </si>
  <si>
    <t>WC820J0341700</t>
  </si>
  <si>
    <t>WC826XB61501</t>
  </si>
  <si>
    <t>WC839XC7DBIM</t>
  </si>
  <si>
    <t>WC839XD6CUMD</t>
  </si>
  <si>
    <t>WC839ZD811</t>
  </si>
  <si>
    <t>WC839ZD8</t>
  </si>
  <si>
    <t>WC839ZI6DJPL</t>
  </si>
  <si>
    <t>WC839ZI6</t>
  </si>
  <si>
    <t>WC841XD41700</t>
  </si>
  <si>
    <t>WC844XD2CUNL</t>
  </si>
  <si>
    <t>WC844XF4CUYM</t>
  </si>
  <si>
    <t>WC845XC7DBIM</t>
  </si>
  <si>
    <t>WC845XD9DBTG</t>
  </si>
  <si>
    <t>WC849XD7DBBL</t>
  </si>
  <si>
    <t>WC855XE73000</t>
  </si>
  <si>
    <t>WC855XE76000</t>
  </si>
  <si>
    <t>WC855XJ9SDBJL</t>
  </si>
  <si>
    <t>WC856CEA1001</t>
  </si>
  <si>
    <t>WC856CEA</t>
  </si>
  <si>
    <t>DPB BLACK</t>
  </si>
  <si>
    <t>WC856CEA6000</t>
  </si>
  <si>
    <t>DPB RUBY RED</t>
  </si>
  <si>
    <t>WC856CECDRAM</t>
  </si>
  <si>
    <t>WC856CEC</t>
  </si>
  <si>
    <t>DRAM</t>
  </si>
  <si>
    <t>DRAM OCEAN S DST</t>
  </si>
  <si>
    <t>WC856XH2DBFM</t>
  </si>
  <si>
    <t>WC856XH3DBFB</t>
  </si>
  <si>
    <t>WC856XH31DBFB</t>
  </si>
  <si>
    <t>WC856XS6DBWM</t>
  </si>
  <si>
    <t>WC856XS61DBWM</t>
  </si>
  <si>
    <t>WC856XS8DBYM</t>
  </si>
  <si>
    <t>WC856XS81DBYM</t>
  </si>
  <si>
    <t>WC857XF1DBOM</t>
  </si>
  <si>
    <t>WC858XF61001</t>
  </si>
  <si>
    <t>WC858XF61700</t>
  </si>
  <si>
    <t>WC858XF63000</t>
  </si>
  <si>
    <t>WC858XF66000</t>
  </si>
  <si>
    <t>WC86437ADRQM</t>
  </si>
  <si>
    <t>WC86437A</t>
  </si>
  <si>
    <t>WC864VK7CUMD</t>
  </si>
  <si>
    <t>WC864XJ8SDBDM</t>
  </si>
  <si>
    <t>WC864XR5SDEOM</t>
  </si>
  <si>
    <t>WC864YF4DEWD</t>
  </si>
  <si>
    <t>WC864ZD8S11</t>
  </si>
  <si>
    <t>WC864ZD8S</t>
  </si>
  <si>
    <t>BECCA BOOTCUT W FLAPS SUPER T</t>
  </si>
  <si>
    <t>WC864ZD9DJHM</t>
  </si>
  <si>
    <t>WC864ZD9</t>
  </si>
  <si>
    <t>WC866XJ9SDBJL</t>
  </si>
  <si>
    <t>WC866XK0SDBOM</t>
  </si>
  <si>
    <t>WC867XC5DBAL</t>
  </si>
  <si>
    <t>WC868XC6DBAL</t>
  </si>
  <si>
    <t>WC869XE5DBSL</t>
  </si>
  <si>
    <t>WC871XB04143</t>
  </si>
  <si>
    <t>WC877XC8DBCL</t>
  </si>
  <si>
    <t>WC884XC7DBIM</t>
  </si>
  <si>
    <t>WC884XD2CUNL</t>
  </si>
  <si>
    <t>WC887UB0CWCM</t>
  </si>
  <si>
    <t>WC887XK5DHWD</t>
  </si>
  <si>
    <t>WC889XD41700</t>
  </si>
  <si>
    <t>WC889XE1DBGL</t>
  </si>
  <si>
    <t>WC890UZ1CSUL</t>
  </si>
  <si>
    <t>WC896XE9DBIM</t>
  </si>
  <si>
    <t>WC913XL51001</t>
  </si>
  <si>
    <t>WC913XR5SDEOM</t>
  </si>
  <si>
    <t>WC913YG4DFED</t>
  </si>
  <si>
    <t>WC913ZC6DEXD</t>
  </si>
  <si>
    <t>WC913ZC6</t>
  </si>
  <si>
    <t>WC913ZI6DJPL</t>
  </si>
  <si>
    <t>WC913ZI6</t>
  </si>
  <si>
    <t>WC913ZI9DJLM</t>
  </si>
  <si>
    <t>WC913ZI9</t>
  </si>
  <si>
    <t>DJLM</t>
  </si>
  <si>
    <t>DJLM COBALT RUSH</t>
  </si>
  <si>
    <t>WC916XJ7SDBBL</t>
  </si>
  <si>
    <t>WC917XB04143</t>
  </si>
  <si>
    <t>WC917XR81700</t>
  </si>
  <si>
    <t>WC919CAAS6000</t>
  </si>
  <si>
    <t>WC919XE1DBGL</t>
  </si>
  <si>
    <t>WC919XE3DBEM</t>
  </si>
  <si>
    <t>WC919XJ5SDBSL</t>
  </si>
  <si>
    <t>WC920CAXCUNL</t>
  </si>
  <si>
    <t>WC920XR5DBOM</t>
  </si>
  <si>
    <t>WC921XD2CUNL</t>
  </si>
  <si>
    <t>WC933XE9DBIM</t>
  </si>
  <si>
    <t>WC956YH1DETB</t>
  </si>
  <si>
    <t>WC956YI1DEOM</t>
  </si>
  <si>
    <t>WC956ZH8DJCB</t>
  </si>
  <si>
    <t>WC956ZH8</t>
  </si>
  <si>
    <t>HALLE CROP ANKLE EYELETS</t>
  </si>
  <si>
    <t>WC957YH1DETB</t>
  </si>
  <si>
    <t>WC959YH1DETB</t>
  </si>
  <si>
    <t>WC960YH2CNPD</t>
  </si>
  <si>
    <t>WC960YH21CNPD</t>
  </si>
  <si>
    <t>WC960YH311001</t>
  </si>
  <si>
    <t>WC962YH8DELM</t>
  </si>
  <si>
    <t>WC964CDBDHWD</t>
  </si>
  <si>
    <t>WC964CDB</t>
  </si>
  <si>
    <t>WC964YF7COND</t>
  </si>
  <si>
    <t>WC964YF71COND</t>
  </si>
  <si>
    <t>WC964YG9DFID</t>
  </si>
  <si>
    <t>WC964YG91DFID</t>
  </si>
  <si>
    <t>WC964ZD1DJEG</t>
  </si>
  <si>
    <t>WC964ZD1</t>
  </si>
  <si>
    <t>DJEG</t>
  </si>
  <si>
    <t>DJEG GREY STAGE</t>
  </si>
  <si>
    <t>WC966YJ0DESB</t>
  </si>
  <si>
    <t>WC966ZJ9DKWB</t>
  </si>
  <si>
    <t>WC966ZJ9</t>
  </si>
  <si>
    <t>DKWB</t>
  </si>
  <si>
    <t>DKWB HEMATITE</t>
  </si>
  <si>
    <t>WC968YG2DFCB</t>
  </si>
  <si>
    <t>WC968YG5DFFD</t>
  </si>
  <si>
    <t>WC970YH8DELM</t>
  </si>
  <si>
    <t>WC972YJ11001</t>
  </si>
  <si>
    <t>WC973YJ11001</t>
  </si>
  <si>
    <t>WC983YT27003</t>
  </si>
  <si>
    <t>WC985YT41001</t>
  </si>
  <si>
    <t>WC985YT41991</t>
  </si>
  <si>
    <t>WC988YT65306</t>
  </si>
  <si>
    <t>WC991YH6DEJB</t>
  </si>
  <si>
    <t>WC996YV91001</t>
  </si>
  <si>
    <t>WC997YV91001</t>
  </si>
  <si>
    <t>WCB564K321309</t>
  </si>
  <si>
    <t>WCB564K323124</t>
  </si>
  <si>
    <t>WCB572K322520</t>
  </si>
  <si>
    <t>WCB572K323125</t>
  </si>
  <si>
    <t>WCB592K331024</t>
  </si>
  <si>
    <t>WCBH09K321024</t>
  </si>
  <si>
    <t>WCBH09K323125</t>
  </si>
  <si>
    <t>WCBK68K321024</t>
  </si>
  <si>
    <t>WCBK68K321309</t>
  </si>
  <si>
    <t>WCBK68K322520</t>
  </si>
  <si>
    <t>WCBK68K323125</t>
  </si>
  <si>
    <t>WCBM60K331024</t>
  </si>
  <si>
    <t>WCBM60K331309</t>
  </si>
  <si>
    <t>WCBM60K332520</t>
  </si>
  <si>
    <t>WCBM60K333125</t>
  </si>
  <si>
    <t>WCBM66K333125</t>
  </si>
  <si>
    <t>WCBP38K321828</t>
  </si>
  <si>
    <t>WCBP38K323207</t>
  </si>
  <si>
    <t>WCBP38K326218</t>
  </si>
  <si>
    <t>WCBP38K327318</t>
  </si>
  <si>
    <t>WCBS73U151024</t>
  </si>
  <si>
    <t>WCBS73U151509</t>
  </si>
  <si>
    <t>WCBS75U151116</t>
  </si>
  <si>
    <t>WCC241K352520</t>
  </si>
  <si>
    <t>WCCS79U164158</t>
  </si>
  <si>
    <t>WCJ592SOMW2S</t>
  </si>
  <si>
    <t>WCJA942LU9BMBD</t>
  </si>
  <si>
    <t>WCJD95EM11</t>
  </si>
  <si>
    <t>WCJD95EM2S</t>
  </si>
  <si>
    <t>WCJD95EMAZ</t>
  </si>
  <si>
    <t>WCJK35BCS11</t>
  </si>
  <si>
    <t>WCJK35BCSTIM</t>
  </si>
  <si>
    <t>WCJK35CR8APAD</t>
  </si>
  <si>
    <t>WCJK35CR8APDD</t>
  </si>
  <si>
    <t>WCJK35CR8APFD</t>
  </si>
  <si>
    <t>WCJK35CR9APAD</t>
  </si>
  <si>
    <t>WCJK35CR9APDD</t>
  </si>
  <si>
    <t>WCJK35CR9APFD</t>
  </si>
  <si>
    <t>WCJK44CR8APAD</t>
  </si>
  <si>
    <t>WCJK44CR8APDD</t>
  </si>
  <si>
    <t>WCJK44CR8APFD</t>
  </si>
  <si>
    <t>WCJK44CR9APAD</t>
  </si>
  <si>
    <t>WCJK44CR9APDD</t>
  </si>
  <si>
    <t>WCJK44CR9APFD</t>
  </si>
  <si>
    <t>WCJK99BCS2S</t>
  </si>
  <si>
    <t>WCJK99BCSCH</t>
  </si>
  <si>
    <t>WCJK99BCSNBD</t>
  </si>
  <si>
    <t>WCJK99BCSSIM</t>
  </si>
  <si>
    <t>WCJK99RI2S</t>
  </si>
  <si>
    <t>WCJK99RICH</t>
  </si>
  <si>
    <t>WCJK99RINBD</t>
  </si>
  <si>
    <t>WCJK99RISIM</t>
  </si>
  <si>
    <t>WCJK99TSNBD</t>
  </si>
  <si>
    <t>WCJN43EM2S</t>
  </si>
  <si>
    <t>WCJN44EM11</t>
  </si>
  <si>
    <t>WCJN44EM2S</t>
  </si>
  <si>
    <t>WCJN44EMAZ</t>
  </si>
  <si>
    <t>WCJN68BCS2S</t>
  </si>
  <si>
    <t>WCJN68BCSCH</t>
  </si>
  <si>
    <t>WCJN68BCSNBD</t>
  </si>
  <si>
    <t>WCJN68RI2S</t>
  </si>
  <si>
    <t>WCJN68RICH</t>
  </si>
  <si>
    <t>WCJN68RINBD</t>
  </si>
  <si>
    <t>WCJN68TS11</t>
  </si>
  <si>
    <t>WCJN68TS2S</t>
  </si>
  <si>
    <t>WCJN68TSCH</t>
  </si>
  <si>
    <t>WCJN68TSLDM</t>
  </si>
  <si>
    <t>WCJN68TSNBD</t>
  </si>
  <si>
    <t>WCJN88EM11</t>
  </si>
  <si>
    <t>WCJN88EM2S</t>
  </si>
  <si>
    <t>WCJN88EMAZ</t>
  </si>
  <si>
    <t>WCJN95BCSCH</t>
  </si>
  <si>
    <t>WCJN95BCSNBD</t>
  </si>
  <si>
    <t>WCJN95BCSSIM</t>
  </si>
  <si>
    <t>WCJN95CR8APAD</t>
  </si>
  <si>
    <t>WCJN95CR8APDD</t>
  </si>
  <si>
    <t>WCJN95CR8APFD</t>
  </si>
  <si>
    <t>WCJN95CR9APAD</t>
  </si>
  <si>
    <t>WCJN95CR9APDD</t>
  </si>
  <si>
    <t>WCJN95CR9APFD</t>
  </si>
  <si>
    <t>WCJN95RI2S</t>
  </si>
  <si>
    <t>WCJN95RICH</t>
  </si>
  <si>
    <t>WCJN95TSNBD</t>
  </si>
  <si>
    <t>WCJN96BCS11</t>
  </si>
  <si>
    <t>WCJN96BCS2S</t>
  </si>
  <si>
    <t>WCJN96BCSCH</t>
  </si>
  <si>
    <t>WCJN96BCSNBD</t>
  </si>
  <si>
    <t>WCJN96BCSSIM</t>
  </si>
  <si>
    <t>WCJN96BCSTIM</t>
  </si>
  <si>
    <t>WCJN96CR8APDD</t>
  </si>
  <si>
    <t>WCJN96CR8APFD</t>
  </si>
  <si>
    <t>WCJN96CR9APAD</t>
  </si>
  <si>
    <t>WCJN96CR9APDD</t>
  </si>
  <si>
    <t>WCJN96CR9APFD</t>
  </si>
  <si>
    <t>WCJN96RI2S</t>
  </si>
  <si>
    <t>WCJN96RICH</t>
  </si>
  <si>
    <t>WCJN96RINBD</t>
  </si>
  <si>
    <t>WCJN96RITIM</t>
  </si>
  <si>
    <t>WCJN96TSNBD</t>
  </si>
  <si>
    <t>WCJN96Y9AQAD</t>
  </si>
  <si>
    <t>WCN241J242SB</t>
  </si>
  <si>
    <t>WCNP40M409CB</t>
  </si>
  <si>
    <t>WCP599SNR12S</t>
  </si>
  <si>
    <t>WCPK94J39LLD</t>
  </si>
  <si>
    <t>WCPK94L522S</t>
  </si>
  <si>
    <t>WCPK94L52BZ</t>
  </si>
  <si>
    <t>WCPK94L52LLD</t>
  </si>
  <si>
    <t>WCPK94M162S</t>
  </si>
  <si>
    <t>WCPK94M16BZ</t>
  </si>
  <si>
    <t>WCPK94M16LLD</t>
  </si>
  <si>
    <t>WCPK94M16NKL</t>
  </si>
  <si>
    <t>WCPK94M16PDM</t>
  </si>
  <si>
    <t>WCPK95J39BZ</t>
  </si>
  <si>
    <t>WCPK95L522S</t>
  </si>
  <si>
    <t>WCPK95L52BZ</t>
  </si>
  <si>
    <t>WCPK95L52LLD</t>
  </si>
  <si>
    <t>WCPK95M162S</t>
  </si>
  <si>
    <t>WCPK95M16BZ</t>
  </si>
  <si>
    <t>WCPK95M16LLD</t>
  </si>
  <si>
    <t>WCPK95M16NKL</t>
  </si>
  <si>
    <t>WCPK96J392S</t>
  </si>
  <si>
    <t>WCPN52L522S</t>
  </si>
  <si>
    <t>WCPN52L52BZ</t>
  </si>
  <si>
    <t>WCPN52L52LLD</t>
  </si>
  <si>
    <t>WCPN52M162S</t>
  </si>
  <si>
    <t>WCPN52M16LLD</t>
  </si>
  <si>
    <t>WCPN52M16NKL</t>
  </si>
  <si>
    <t>WCPQ01L52NKL</t>
  </si>
  <si>
    <t>WCYB081ME1BWFD</t>
  </si>
  <si>
    <t>WCYB086ME1BWFD</t>
  </si>
  <si>
    <t>WCYB091ME1BWFD</t>
  </si>
  <si>
    <t>WCYB210ME1BWFD</t>
  </si>
  <si>
    <t>WCYC013MO6BVID</t>
  </si>
  <si>
    <t>WCYC025MO6BVID</t>
  </si>
  <si>
    <t>WCYC028ME1BWFD</t>
  </si>
  <si>
    <t>WD001YV01001</t>
  </si>
  <si>
    <t>WD007ZF81001</t>
  </si>
  <si>
    <t>WD007ZF8</t>
  </si>
  <si>
    <t>SUGAR SKULL GGT BACK CREW</t>
  </si>
  <si>
    <t>WD024YQ7DENM</t>
  </si>
  <si>
    <t>WD034V931001</t>
  </si>
  <si>
    <t>WD034V93</t>
  </si>
  <si>
    <t>CROP MUSCLE PUFF TEE</t>
  </si>
  <si>
    <t>WD034V931700</t>
  </si>
  <si>
    <t>WD037ZA1CTVD</t>
  </si>
  <si>
    <t>WD037ZA11CTVD</t>
  </si>
  <si>
    <t>WD038YI71001</t>
  </si>
  <si>
    <t>WD038YI73071</t>
  </si>
  <si>
    <t>WD038YI76149</t>
  </si>
  <si>
    <t>WD038ZJ21700</t>
  </si>
  <si>
    <t>WD038ZJ2</t>
  </si>
  <si>
    <t>WD040YT96149</t>
  </si>
  <si>
    <t>WD041YW01001</t>
  </si>
  <si>
    <t>WD048YU77003</t>
  </si>
  <si>
    <t>WD050YZ1DGYL</t>
  </si>
  <si>
    <t>WD054YH8DEMM</t>
  </si>
  <si>
    <t>WD054ZD05000</t>
  </si>
  <si>
    <t>WD054ZD0</t>
  </si>
  <si>
    <t>DAA  WISTERIA</t>
  </si>
  <si>
    <t>WD054ZD06387</t>
  </si>
  <si>
    <t>DAA MERLOT</t>
  </si>
  <si>
    <t>WD054ZD06404</t>
  </si>
  <si>
    <t>DAA_WISTERIA</t>
  </si>
  <si>
    <t>WD05735ADOVM</t>
  </si>
  <si>
    <t>WD05735A</t>
  </si>
  <si>
    <t>WESTERN DUSTY TRUCKER</t>
  </si>
  <si>
    <t>WD057ZD7DJJB</t>
  </si>
  <si>
    <t>WD057ZD7</t>
  </si>
  <si>
    <t>WD057ZD811</t>
  </si>
  <si>
    <t>WD057ZD8</t>
  </si>
  <si>
    <t>WESTERN DUSTY JACKET</t>
  </si>
  <si>
    <t>WD063ZE81106</t>
  </si>
  <si>
    <t>WD063ZE8</t>
  </si>
  <si>
    <t>SHERPA OUTERWEAR</t>
  </si>
  <si>
    <t>WD066ZF31106</t>
  </si>
  <si>
    <t>WD066ZF3</t>
  </si>
  <si>
    <t>VELVET CAMI</t>
  </si>
  <si>
    <t>WD066ZF36387</t>
  </si>
  <si>
    <t>WD068ZG01106</t>
  </si>
  <si>
    <t>WD068ZG0</t>
  </si>
  <si>
    <t>LACE GGT PEASANT TOP</t>
  </si>
  <si>
    <t>WD074ZJ31700</t>
  </si>
  <si>
    <t>WD074ZJ3</t>
  </si>
  <si>
    <t>WD080ZI7DJPD</t>
  </si>
  <si>
    <t>WD080ZI7</t>
  </si>
  <si>
    <t>DJPD</t>
  </si>
  <si>
    <t>DK PAPER BACK BLUE</t>
  </si>
  <si>
    <t>WD081ZH7DJRL</t>
  </si>
  <si>
    <t>WD081ZH7</t>
  </si>
  <si>
    <t>GEORGIA SHIRT DRESS</t>
  </si>
  <si>
    <t>DJRL</t>
  </si>
  <si>
    <t>DJRL BRSH BLEACH</t>
  </si>
  <si>
    <t>WDA09258B1001</t>
  </si>
  <si>
    <t>WDA09258B</t>
  </si>
  <si>
    <t>WDA09272ADRQM</t>
  </si>
  <si>
    <t>WDA09272A</t>
  </si>
  <si>
    <t>WDA57217ADOLM</t>
  </si>
  <si>
    <t>WDA57217A</t>
  </si>
  <si>
    <t>BILLIE STRAIGHT FLAP SUPER T</t>
  </si>
  <si>
    <t>WDA57219ADRLD</t>
  </si>
  <si>
    <t>WDA57219A</t>
  </si>
  <si>
    <t>BILLIE LOW RISE STRAIGHT FLAP</t>
  </si>
  <si>
    <t>DRLD</t>
  </si>
  <si>
    <t>DRLD DK TWILIGHT</t>
  </si>
  <si>
    <t>WDAAB713ADONL</t>
  </si>
  <si>
    <t>WDAAB713A</t>
  </si>
  <si>
    <t>WDAAB713A1DONL</t>
  </si>
  <si>
    <t>WDAAB713A1</t>
  </si>
  <si>
    <t>WDAAB716ADOLM</t>
  </si>
  <si>
    <t>WDAAB716A</t>
  </si>
  <si>
    <t>WDAAB716A1DOLM</t>
  </si>
  <si>
    <t>WDAAB716A1</t>
  </si>
  <si>
    <t>WDAAB915ADOML</t>
  </si>
  <si>
    <t>WDAAB915A</t>
  </si>
  <si>
    <t>BILLIE STRAIGHT SUPER T</t>
  </si>
  <si>
    <t>WDAAB915A1DOML</t>
  </si>
  <si>
    <t>WDAAB915A1</t>
  </si>
  <si>
    <t>WDAAC1CEU1001</t>
  </si>
  <si>
    <t>WDAAC1CEU</t>
  </si>
  <si>
    <t>JENNIE CURVY SKINNY FLAP</t>
  </si>
  <si>
    <t>WDAAC3CDLDPID</t>
  </si>
  <si>
    <t>WDAAC3CDL</t>
  </si>
  <si>
    <t>KORI HIGH RISE BOYFRIEND SHORT</t>
  </si>
  <si>
    <t>DPID</t>
  </si>
  <si>
    <t>DPID OCEANA BLUE</t>
  </si>
  <si>
    <t>WDAAC5AAEDRIL</t>
  </si>
  <si>
    <t>WDAAC5AAE</t>
  </si>
  <si>
    <t>WDAAC7CDKDPML</t>
  </si>
  <si>
    <t>WDAAC7CDK</t>
  </si>
  <si>
    <t>KORI HIGH RISE BOYFRIEND</t>
  </si>
  <si>
    <t>DPML</t>
  </si>
  <si>
    <t>DPML DESTD B BL M</t>
  </si>
  <si>
    <t>WDAAC976ADTUL</t>
  </si>
  <si>
    <t>WDAAC976A</t>
  </si>
  <si>
    <t>DTUL</t>
  </si>
  <si>
    <t>DTUL INDIE WHIMSY</t>
  </si>
  <si>
    <t>WDAAC9CCYDRQM</t>
  </si>
  <si>
    <t>WDAAC9CCY</t>
  </si>
  <si>
    <t>WDAAC9CCYDTUL</t>
  </si>
  <si>
    <t>WDAAD131A1700</t>
  </si>
  <si>
    <t>WDAAD131A</t>
  </si>
  <si>
    <t>WDAAD3CDO3071</t>
  </si>
  <si>
    <t>WDAAD3CDO</t>
  </si>
  <si>
    <t>WDAAD3XC7DBIM</t>
  </si>
  <si>
    <t>WDAAD3XC7</t>
  </si>
  <si>
    <t>KEIRA LOW RISE CUT OFF</t>
  </si>
  <si>
    <t>WDAAE1CEFDPAM</t>
  </si>
  <si>
    <t>WDAAE1CEF</t>
  </si>
  <si>
    <t>WDAAE339ADSAM</t>
  </si>
  <si>
    <t>WDAAE339A</t>
  </si>
  <si>
    <t>DSAM</t>
  </si>
  <si>
    <t>DSAM BLUE WONDER</t>
  </si>
  <si>
    <t>WDAAT778A1700</t>
  </si>
  <si>
    <t>WDAAT778A</t>
  </si>
  <si>
    <t>CASEY SKINNY SUPER T</t>
  </si>
  <si>
    <t>WDABN1CDKDPML</t>
  </si>
  <si>
    <t>WDABN1CDK</t>
  </si>
  <si>
    <t>JAYDE SHORT W FLAP</t>
  </si>
  <si>
    <t>WDBB086MV1BVRM</t>
  </si>
  <si>
    <t>WDBB092MV1BVRM</t>
  </si>
  <si>
    <t>WDBB093MV1BVRM</t>
  </si>
  <si>
    <t>WDBB146MV1BVRM</t>
  </si>
  <si>
    <t>WDBB146MV1BVSL</t>
  </si>
  <si>
    <t>WDBB147MV1BVRM</t>
  </si>
  <si>
    <t>WDBB172MV1BVSL</t>
  </si>
  <si>
    <t>WDBB173MV1BVSL</t>
  </si>
  <si>
    <t>WDBC012MV1BVSL</t>
  </si>
  <si>
    <t>WDBC012RB2BVRM</t>
  </si>
  <si>
    <t>WDBC013MV1BVSL</t>
  </si>
  <si>
    <t>WDBC018MV1BVSL</t>
  </si>
  <si>
    <t>WDBC211MV1BVRM</t>
  </si>
  <si>
    <t>WDBC213MV1BVRM</t>
  </si>
  <si>
    <t>WDBZ37MV1BVRM</t>
  </si>
  <si>
    <t>WDDB083QQ3CBFM</t>
  </si>
  <si>
    <t>WDDB091MI1BVML</t>
  </si>
  <si>
    <t>WDDB093MI1BVOM</t>
  </si>
  <si>
    <t>WDDB097M07BWMD</t>
  </si>
  <si>
    <t>WDDB222QQ3CBFM</t>
  </si>
  <si>
    <t>WDDB230MH9BVPM</t>
  </si>
  <si>
    <t>WDDC015MH9BVPM</t>
  </si>
  <si>
    <t>WDDC018QQ3CBFM</t>
  </si>
  <si>
    <t>WDDC019MH9BVPM</t>
  </si>
  <si>
    <t>WDDC023MH9BVPM</t>
  </si>
  <si>
    <t>WDDC025QQ3CGSM</t>
  </si>
  <si>
    <t>WDDC028MI1BVXD</t>
  </si>
  <si>
    <t>WDDC349QQ3CGSM</t>
  </si>
  <si>
    <t>WDJB074NX91821</t>
  </si>
  <si>
    <t>WDJB074NX92418</t>
  </si>
  <si>
    <t>WDJB077MD01821</t>
  </si>
  <si>
    <t>WDKA428NP71821</t>
  </si>
  <si>
    <t>WDKA910NP71821</t>
  </si>
  <si>
    <t>WDKA910NQ11821</t>
  </si>
  <si>
    <t>WDKA946LU51760</t>
  </si>
  <si>
    <t>WDKA946NP71821</t>
  </si>
  <si>
    <t>WDKA999NP71821</t>
  </si>
  <si>
    <t>WDKB082MD01821</t>
  </si>
  <si>
    <t>WDKB082NY14004</t>
  </si>
  <si>
    <t>WDKB092OF84154</t>
  </si>
  <si>
    <t>WDKB092QT11800</t>
  </si>
  <si>
    <t>WDKB094MG71821</t>
  </si>
  <si>
    <t>WDKB095DI01255</t>
  </si>
  <si>
    <t>WDKB095DI06303</t>
  </si>
  <si>
    <t>WDKB095MF61256</t>
  </si>
  <si>
    <t>WDKB095MF63554</t>
  </si>
  <si>
    <t>WDKB095MO5BVGL</t>
  </si>
  <si>
    <t>WDKB097MG71805</t>
  </si>
  <si>
    <t>WDKB097MG76121</t>
  </si>
  <si>
    <t>WDKB189DI01255</t>
  </si>
  <si>
    <t>WDKB189DI06303</t>
  </si>
  <si>
    <t>WDKB194NQ11821</t>
  </si>
  <si>
    <t>WDKB213QT11725</t>
  </si>
  <si>
    <t>WDKB215QT11725</t>
  </si>
  <si>
    <t>WDKB225QL51821</t>
  </si>
  <si>
    <t>WDKB225QL54157</t>
  </si>
  <si>
    <t>WDKB225QL56035</t>
  </si>
  <si>
    <t>WDKC018DI01255</t>
  </si>
  <si>
    <t>WDKC020DI01255</t>
  </si>
  <si>
    <t>WDKC020DI06303</t>
  </si>
  <si>
    <t>WDKC028OF81326</t>
  </si>
  <si>
    <t>WDKC030MR11001</t>
  </si>
  <si>
    <t>WDKC031MO81821</t>
  </si>
  <si>
    <t>WDKC213MF66123</t>
  </si>
  <si>
    <t>WDKC213SO11821</t>
  </si>
  <si>
    <t>WDKC213SO14108</t>
  </si>
  <si>
    <t>WDKC213SO15320</t>
  </si>
  <si>
    <t>WDKC213SO17000</t>
  </si>
  <si>
    <t>WDKC213SO18422</t>
  </si>
  <si>
    <t>WDKC338SO11821</t>
  </si>
  <si>
    <t>WDKC338SO14108</t>
  </si>
  <si>
    <t>WDKC338SO15320</t>
  </si>
  <si>
    <t>WDKC338SO17000</t>
  </si>
  <si>
    <t>WDKC338SO18422</t>
  </si>
  <si>
    <t>WDKH052OM1800</t>
  </si>
  <si>
    <t>WDKH052OM</t>
  </si>
  <si>
    <t>CURVY SKINNY W FLAPS</t>
  </si>
  <si>
    <t>WDKN95EEG1800</t>
  </si>
  <si>
    <t>WDKN95EEG</t>
  </si>
  <si>
    <t>SUPER SKINNY STUD LOGO</t>
  </si>
  <si>
    <t>WDKN95TS1800</t>
  </si>
  <si>
    <t>SUPER SKINNY NATURAL SN</t>
  </si>
  <si>
    <t>WDKN96SQ71800</t>
  </si>
  <si>
    <t>WDKZ37MF61256</t>
  </si>
  <si>
    <t>WDKZ37NP71821</t>
  </si>
  <si>
    <t>WDSK35K321024</t>
  </si>
  <si>
    <t>WDSK35K321108</t>
  </si>
  <si>
    <t>WDSK35K322118</t>
  </si>
  <si>
    <t>WDSK44K321024</t>
  </si>
  <si>
    <t>WDSK44K321108</t>
  </si>
  <si>
    <t>WDSK44K322118</t>
  </si>
  <si>
    <t>WE29K74IK1001</t>
  </si>
  <si>
    <t>WE5572TS2V</t>
  </si>
  <si>
    <t>WE5572TSAQBD</t>
  </si>
  <si>
    <t>WE5599STSAQBD</t>
  </si>
  <si>
    <t>WE6N96NBT2S</t>
  </si>
  <si>
    <t>WE6N96NBT</t>
  </si>
  <si>
    <t>SUPER SKINNY BIG T FLAP</t>
  </si>
  <si>
    <t>BLACK 2S BODY RINSE</t>
  </si>
  <si>
    <t>WED8T12T781746</t>
  </si>
  <si>
    <t>WED8T12T784148</t>
  </si>
  <si>
    <t>WED8T12T796616</t>
  </si>
  <si>
    <t>WED8U37Z664525</t>
  </si>
  <si>
    <t>WED8U37Z668030</t>
  </si>
  <si>
    <t>WED8U37Z671739</t>
  </si>
  <si>
    <t>WED8U37Z674435</t>
  </si>
  <si>
    <t>WEG3S98U141124</t>
  </si>
  <si>
    <t>WEG3S98U141514</t>
  </si>
  <si>
    <t>WEG3S98U143031</t>
  </si>
  <si>
    <t>WEG3S98U144166</t>
  </si>
  <si>
    <t>WEG3S98U147232</t>
  </si>
  <si>
    <t>WEKA933MJ91746</t>
  </si>
  <si>
    <t>WELP39M47QDM</t>
  </si>
  <si>
    <t>WELP72M472S</t>
  </si>
  <si>
    <t>WELP72M472V</t>
  </si>
  <si>
    <t>WELP72M47QDM</t>
  </si>
  <si>
    <t>WELP73M47QDM</t>
  </si>
  <si>
    <t>WELP74M472S</t>
  </si>
  <si>
    <t>WELP74M47QDM</t>
  </si>
  <si>
    <t>WELP97M472S</t>
  </si>
  <si>
    <t>WELP97M47QDM</t>
  </si>
  <si>
    <t>WELP99M47QDM</t>
  </si>
  <si>
    <t>WELQ85M472S</t>
  </si>
  <si>
    <t>WENBP40VRQSL</t>
  </si>
  <si>
    <t>WETB445MO3DIAL</t>
  </si>
  <si>
    <t>WETH63S34PCM</t>
  </si>
  <si>
    <t>WEXHQ25PW1301</t>
  </si>
  <si>
    <t>WEXHQ26PW3304</t>
  </si>
  <si>
    <t>WF004XD2SCUNL</t>
  </si>
  <si>
    <t>WF017CDVDPKM</t>
  </si>
  <si>
    <t>WF017CDV</t>
  </si>
  <si>
    <t>DPKM</t>
  </si>
  <si>
    <t>DPKM BLUES FEST</t>
  </si>
  <si>
    <t>WF017ZJ0DJMM</t>
  </si>
  <si>
    <t>WF017ZJ0</t>
  </si>
  <si>
    <t>EMMA BERMUDA SHORT FLAP</t>
  </si>
  <si>
    <t>WF017ZJ31700</t>
  </si>
  <si>
    <t>WF017ZJ3</t>
  </si>
  <si>
    <t>WF027CBG1001</t>
  </si>
  <si>
    <t>WF027CBG1501</t>
  </si>
  <si>
    <t>WF027CBG1700</t>
  </si>
  <si>
    <t>WF027CBG6000</t>
  </si>
  <si>
    <t>SUN FADE RED</t>
  </si>
  <si>
    <t>WF027CBG6387</t>
  </si>
  <si>
    <t>WF027CCI1001</t>
  </si>
  <si>
    <t>WF027CCI</t>
  </si>
  <si>
    <t>BURNOUT LOGO HOODIE</t>
  </si>
  <si>
    <t>WF027CCI6500</t>
  </si>
  <si>
    <t>WF027YT31001</t>
  </si>
  <si>
    <t>WF027YT31501</t>
  </si>
  <si>
    <t>WF027YT36149</t>
  </si>
  <si>
    <t>WF028CBG1001</t>
  </si>
  <si>
    <t>WF028CBG1501</t>
  </si>
  <si>
    <t>WF028CBG1700</t>
  </si>
  <si>
    <t>WF028CBG6000</t>
  </si>
  <si>
    <t>SUN FADED RED</t>
  </si>
  <si>
    <t>WF028CBG6387</t>
  </si>
  <si>
    <t>WF028YT31001</t>
  </si>
  <si>
    <t>WF028YT31501</t>
  </si>
  <si>
    <t>WF028YT36149</t>
  </si>
  <si>
    <t>WF038ZA61001</t>
  </si>
  <si>
    <t>WF038ZA61501</t>
  </si>
  <si>
    <t>WF038ZA61700</t>
  </si>
  <si>
    <t>WF038ZA66807</t>
  </si>
  <si>
    <t>WF044CAY1001</t>
  </si>
  <si>
    <t>WF044CAY</t>
  </si>
  <si>
    <t>LS VARSITY</t>
  </si>
  <si>
    <t>CABERNET/BLACK</t>
  </si>
  <si>
    <t>WF045CBCDEMM</t>
  </si>
  <si>
    <t>WF045CBC</t>
  </si>
  <si>
    <t>WF046ZC4DJDM</t>
  </si>
  <si>
    <t>WF046ZC4</t>
  </si>
  <si>
    <t>WF046ZJ31700</t>
  </si>
  <si>
    <t>WF046ZJ3</t>
  </si>
  <si>
    <t>DIZ BRIGHT WHITE DEST</t>
  </si>
  <si>
    <t>WF048YT31501</t>
  </si>
  <si>
    <t>WF048YT3</t>
  </si>
  <si>
    <t>WF048YT41501</t>
  </si>
  <si>
    <t>WF048YT4</t>
  </si>
  <si>
    <t>WF051CBF3000</t>
  </si>
  <si>
    <t>WF051CBF</t>
  </si>
  <si>
    <t>CASEY SUPER SKINNY MOTO</t>
  </si>
  <si>
    <t>WF055XL51001</t>
  </si>
  <si>
    <t>WF056XL51001</t>
  </si>
  <si>
    <t>WF057CB0DJJB</t>
  </si>
  <si>
    <t>WF057CB0</t>
  </si>
  <si>
    <t>WF059CCK4143</t>
  </si>
  <si>
    <t>WF059CCK</t>
  </si>
  <si>
    <t>RELAXED UTILITY</t>
  </si>
  <si>
    <t>WF059CCL4920</t>
  </si>
  <si>
    <t>WF059CCL</t>
  </si>
  <si>
    <t>SHIRRED BACK UTILITY</t>
  </si>
  <si>
    <t>NAVY PINK PLAID</t>
  </si>
  <si>
    <t>WF059CCL7009</t>
  </si>
  <si>
    <t>YELLOW PINK PLAID</t>
  </si>
  <si>
    <t>WF061CDN3071</t>
  </si>
  <si>
    <t>WF061CDN</t>
  </si>
  <si>
    <t>HALLE MID RISE CARGO 27 IN</t>
  </si>
  <si>
    <t>DAA BURNT OLIVE</t>
  </si>
  <si>
    <t>WF061CDN6500</t>
  </si>
  <si>
    <t>DAA VINTAGE PINK</t>
  </si>
  <si>
    <t>WF061CDO3071</t>
  </si>
  <si>
    <t>WF061CDO</t>
  </si>
  <si>
    <t>WF067CCD1001</t>
  </si>
  <si>
    <t>WF067CCD</t>
  </si>
  <si>
    <t>BURNOUT RAGLAN SWEATSHIRT</t>
  </si>
  <si>
    <t>WF067CCD6000</t>
  </si>
  <si>
    <t>WF071CCM3071</t>
  </si>
  <si>
    <t>WF071CCM</t>
  </si>
  <si>
    <t>LS MILITARY JACKET</t>
  </si>
  <si>
    <t>DAB BURNT OLIVE</t>
  </si>
  <si>
    <t>WF073J5151700</t>
  </si>
  <si>
    <t>WF073J515</t>
  </si>
  <si>
    <t>ANGEL WAVES RINGER</t>
  </si>
  <si>
    <t>WF073J5161700</t>
  </si>
  <si>
    <t>WF073J516</t>
  </si>
  <si>
    <t>TR HEART RINGER</t>
  </si>
  <si>
    <t>WF076CCQ1700</t>
  </si>
  <si>
    <t>WF076CCQ</t>
  </si>
  <si>
    <t>EMBROIDERED PEASANT TOP</t>
  </si>
  <si>
    <t>WF077CCK4143</t>
  </si>
  <si>
    <t>WF077CCK</t>
  </si>
  <si>
    <t>LS RELAXED UTILITY DRESS</t>
  </si>
  <si>
    <t>WF08139ADSAM</t>
  </si>
  <si>
    <t>WF08139A</t>
  </si>
  <si>
    <t>WF081CCXSDORL</t>
  </si>
  <si>
    <t>WF081CCXS</t>
  </si>
  <si>
    <t>WF081CDLDPID</t>
  </si>
  <si>
    <t>WF081CDL</t>
  </si>
  <si>
    <t>WF083CCVDOPL</t>
  </si>
  <si>
    <t>WF083CCV</t>
  </si>
  <si>
    <t>BILLIE LOW RISE STRAIGHT</t>
  </si>
  <si>
    <t>WF084CDADOUB</t>
  </si>
  <si>
    <t>WF084CDA</t>
  </si>
  <si>
    <t>HALLE SUPER SKINNY EYELET</t>
  </si>
  <si>
    <t>DOUB</t>
  </si>
  <si>
    <t>DOUB SMOKE ASH</t>
  </si>
  <si>
    <t>WF084CDFDOTL</t>
  </si>
  <si>
    <t>WF084CDF</t>
  </si>
  <si>
    <t>DOTL</t>
  </si>
  <si>
    <t>DOTL CLOUD NINE</t>
  </si>
  <si>
    <t>WF085CDFDOTL</t>
  </si>
  <si>
    <t>WF085CDF</t>
  </si>
  <si>
    <t>JOEY CUTOFF SHORT EYELET</t>
  </si>
  <si>
    <t>WF087CCS4143</t>
  </si>
  <si>
    <t>WF087CCS</t>
  </si>
  <si>
    <t>EMBROIDERED SHIFT DRESS</t>
  </si>
  <si>
    <t>WF088CCT1703</t>
  </si>
  <si>
    <t>WF088CCT</t>
  </si>
  <si>
    <t>EMBROIDERED TOP</t>
  </si>
  <si>
    <t>WF089CCU4143</t>
  </si>
  <si>
    <t>WF089CCU</t>
  </si>
  <si>
    <t>EMBROIDERED RAGLAN SWEATSHIRT</t>
  </si>
  <si>
    <t>WF090CCU4143</t>
  </si>
  <si>
    <t>WF090CCU</t>
  </si>
  <si>
    <t>PATCHED REPAIR SWEATPANT</t>
  </si>
  <si>
    <t>WF091CCU4143</t>
  </si>
  <si>
    <t>WF091CCU</t>
  </si>
  <si>
    <t>02 ACTIVE TOP</t>
  </si>
  <si>
    <t>WF093CDADOUB</t>
  </si>
  <si>
    <t>WF093CDA</t>
  </si>
  <si>
    <t>MAXI SKIRT</t>
  </si>
  <si>
    <t>WF09434ADEUB</t>
  </si>
  <si>
    <t>WF09434A</t>
  </si>
  <si>
    <t>DEUB</t>
  </si>
  <si>
    <t>DEUB DEST PEPPER</t>
  </si>
  <si>
    <t>WF094CDMDPGM</t>
  </si>
  <si>
    <t>WF094CDM</t>
  </si>
  <si>
    <t>DPGM</t>
  </si>
  <si>
    <t>DPGM BLUE CITY</t>
  </si>
  <si>
    <t>WF096CCWDJPL</t>
  </si>
  <si>
    <t>WF096CCW</t>
  </si>
  <si>
    <t>JAIME OVERALL</t>
  </si>
  <si>
    <t>WF099CDKDPML</t>
  </si>
  <si>
    <t>WF099CDK</t>
  </si>
  <si>
    <t>EMMA BERMUDA SHORT W FLAP</t>
  </si>
  <si>
    <t>WF10032ADPID</t>
  </si>
  <si>
    <t>WF10032A</t>
  </si>
  <si>
    <t>WF10177ASDTUL</t>
  </si>
  <si>
    <t>WF10177AS</t>
  </si>
  <si>
    <t>AUDREY SLIM BF SUPER T</t>
  </si>
  <si>
    <t>WF101CCZSDRQM</t>
  </si>
  <si>
    <t>WF101CCZS</t>
  </si>
  <si>
    <t>WF101CCZSDTUL</t>
  </si>
  <si>
    <t>WF101CDLDPID</t>
  </si>
  <si>
    <t>WF101CDL</t>
  </si>
  <si>
    <t>WF101CDVSDPKM</t>
  </si>
  <si>
    <t>WF101CDVS</t>
  </si>
  <si>
    <t>WF10239ADSAM</t>
  </si>
  <si>
    <t>WF10239A</t>
  </si>
  <si>
    <t>WF108CDJDPDM</t>
  </si>
  <si>
    <t>WF108CDJ</t>
  </si>
  <si>
    <t>DPDM</t>
  </si>
  <si>
    <t>DPDM BL DRM DEST</t>
  </si>
  <si>
    <t>WF109CEE6500</t>
  </si>
  <si>
    <t>WF109CEE</t>
  </si>
  <si>
    <t>DSU VINTAGE PINK</t>
  </si>
  <si>
    <t>WF109CEE7000</t>
  </si>
  <si>
    <t>DSU OVERDYED YELLOW</t>
  </si>
  <si>
    <t>WF112CDDDRWL</t>
  </si>
  <si>
    <t>WF112CDD</t>
  </si>
  <si>
    <t>DRWL</t>
  </si>
  <si>
    <t>DRWL BBY BL MOON</t>
  </si>
  <si>
    <t>WF113CDDDRWL</t>
  </si>
  <si>
    <t>WF113CDD</t>
  </si>
  <si>
    <t>WF114CDCDOVM</t>
  </si>
  <si>
    <t>WF114CDC</t>
  </si>
  <si>
    <t>NIKKI MID RISE FLARE</t>
  </si>
  <si>
    <t>WF114CEIDPEL</t>
  </si>
  <si>
    <t>WF114CEI</t>
  </si>
  <si>
    <t>WF115CDWDPLL</t>
  </si>
  <si>
    <t>WF115CDW</t>
  </si>
  <si>
    <t>DPLL</t>
  </si>
  <si>
    <t>DPLL SUMR BL DES</t>
  </si>
  <si>
    <t>WF116CEDSDPDM</t>
  </si>
  <si>
    <t>WF116CEDS</t>
  </si>
  <si>
    <t>BILLIE SUPER T</t>
  </si>
  <si>
    <t>WF116CEMDRQM</t>
  </si>
  <si>
    <t>WF116CEM</t>
  </si>
  <si>
    <t>BILLY LOW RISE STRAIGHT</t>
  </si>
  <si>
    <t>WF11859BDOYM</t>
  </si>
  <si>
    <t>WF11859B</t>
  </si>
  <si>
    <t>WF118CDUDOYM</t>
  </si>
  <si>
    <t>WF118CDU</t>
  </si>
  <si>
    <t>WF119CDXDOZL</t>
  </si>
  <si>
    <t>WF119CDX</t>
  </si>
  <si>
    <t>SKYE LOW RISE WIDE LEG</t>
  </si>
  <si>
    <t>DOZL</t>
  </si>
  <si>
    <t>DOZL WHISPER</t>
  </si>
  <si>
    <t>WF121CDJDPDM</t>
  </si>
  <si>
    <t>WF121CDJ</t>
  </si>
  <si>
    <t>WF124CEG3000</t>
  </si>
  <si>
    <t>WF124CEG</t>
  </si>
  <si>
    <t>DSU SHATTERED GREEN</t>
  </si>
  <si>
    <t>WF124CEG6500</t>
  </si>
  <si>
    <t>WF124CEG7000</t>
  </si>
  <si>
    <t>DSU OVERDYE YELLOW</t>
  </si>
  <si>
    <t>WF43592IK1001</t>
  </si>
  <si>
    <t>WF43592IK1258</t>
  </si>
  <si>
    <t>WF43592IK2000</t>
  </si>
  <si>
    <t>WF43592IK2502</t>
  </si>
  <si>
    <t>WF43599IK1001</t>
  </si>
  <si>
    <t>WF43K44E291001</t>
  </si>
  <si>
    <t>WF43N95IK1001</t>
  </si>
  <si>
    <t>WF4B226QU54100</t>
  </si>
  <si>
    <t>WF4K44FW91001</t>
  </si>
  <si>
    <t>WF8599SNBTDMXM</t>
  </si>
  <si>
    <t>WF8599SNBT</t>
  </si>
  <si>
    <t>SKINNY BIG T FLAP</t>
  </si>
  <si>
    <t>DMXM</t>
  </si>
  <si>
    <t>BLUE VEIL</t>
  </si>
  <si>
    <t>WF9599SNBT2S</t>
  </si>
  <si>
    <t>WF9599SNBT</t>
  </si>
  <si>
    <t>WFNC037MS81118</t>
  </si>
  <si>
    <t>WFNC037MS84071</t>
  </si>
  <si>
    <t>WFOC037NC21118</t>
  </si>
  <si>
    <t>WFOC037NC21814</t>
  </si>
  <si>
    <t>WFOC038MS91118</t>
  </si>
  <si>
    <t>WFOC038MS91814</t>
  </si>
  <si>
    <t>WFOC038NE91818</t>
  </si>
  <si>
    <t>WFOC038NK41302</t>
  </si>
  <si>
    <t>WFOC038NK46229</t>
  </si>
  <si>
    <t>WFOC040MT21118</t>
  </si>
  <si>
    <t>WFOC040NU61700</t>
  </si>
  <si>
    <t>WFOC055MT31814</t>
  </si>
  <si>
    <t>WFOC055MT31824</t>
  </si>
  <si>
    <t>WFOC094NC21118</t>
  </si>
  <si>
    <t>WFOC094NC21814</t>
  </si>
  <si>
    <t>WFOC094NM31814</t>
  </si>
  <si>
    <t>WFOC094NM36309</t>
  </si>
  <si>
    <t>WFOC096NV41700</t>
  </si>
  <si>
    <t>WFOC196NR51001</t>
  </si>
  <si>
    <t>WFOC196NR51700</t>
  </si>
  <si>
    <t>WFSB058SH41505</t>
  </si>
  <si>
    <t>WFSB058VE71001</t>
  </si>
  <si>
    <t>WFSC041MT81024</t>
  </si>
  <si>
    <t>WFSC051IK4048</t>
  </si>
  <si>
    <t>WFSC051IK4110</t>
  </si>
  <si>
    <t>WFSC058IK1700</t>
  </si>
  <si>
    <t>WFSC058KG61505</t>
  </si>
  <si>
    <t>WFSC058NL21505</t>
  </si>
  <si>
    <t>WFSC058VE71001</t>
  </si>
  <si>
    <t>WFSC090NE81746</t>
  </si>
  <si>
    <t>WFSC183IK4048</t>
  </si>
  <si>
    <t>WFSC183IK4110</t>
  </si>
  <si>
    <t>WFSC184IK4048</t>
  </si>
  <si>
    <t>WFSC184IK4110</t>
  </si>
  <si>
    <t>WFSC185IK4048</t>
  </si>
  <si>
    <t>WFSC185IK4110</t>
  </si>
  <si>
    <t>WFSC192IK1700</t>
  </si>
  <si>
    <t>WFTC058IK1490</t>
  </si>
  <si>
    <t>WFTC090IK1490</t>
  </si>
  <si>
    <t>WFUA327IKBYWL</t>
  </si>
  <si>
    <t>WFUA620IKBVUM</t>
  </si>
  <si>
    <t>WFUC047IK3561</t>
  </si>
  <si>
    <t>WFUC075IK4128</t>
  </si>
  <si>
    <t>WFUC092IKBYWL</t>
  </si>
  <si>
    <t>WFUC206IKBYWL</t>
  </si>
  <si>
    <t>WFVC044IK4072</t>
  </si>
  <si>
    <t>WFVC044IK7468</t>
  </si>
  <si>
    <t>WFWA620IK4128</t>
  </si>
  <si>
    <t>WFXC049NJ1BWJL</t>
  </si>
  <si>
    <t>WFXC049NJ1BWPM</t>
  </si>
  <si>
    <t>WFXC050NJ1BWPM</t>
  </si>
  <si>
    <t>WFY8Q67EG1745</t>
  </si>
  <si>
    <t>WFY8Q67EG3415</t>
  </si>
  <si>
    <t>WFY8Q67EG4587</t>
  </si>
  <si>
    <t>WFY8Q67Q891738</t>
  </si>
  <si>
    <t>WFY8Q67Q906305</t>
  </si>
  <si>
    <t>WFZC051IK7469</t>
  </si>
  <si>
    <t>WFZC058IK7469</t>
  </si>
  <si>
    <t>WG9572C882S</t>
  </si>
  <si>
    <t>WG9599EM2S</t>
  </si>
  <si>
    <t>WGDC053IK7100</t>
  </si>
  <si>
    <t>WGH8K98DB21033</t>
  </si>
  <si>
    <t>WGH8K98DB21737</t>
  </si>
  <si>
    <t>WGH8K98DB21746</t>
  </si>
  <si>
    <t>WGH8K98DB24134</t>
  </si>
  <si>
    <t>WGH8K98DB24434</t>
  </si>
  <si>
    <t>WGH8K98DB26050</t>
  </si>
  <si>
    <t>WGH8K98DB27323</t>
  </si>
  <si>
    <t>WGH8K98DB28315</t>
  </si>
  <si>
    <t>WGH8U38HB91746</t>
  </si>
  <si>
    <t>WGH8U38HB93459</t>
  </si>
  <si>
    <t>WGH8V95Z951903</t>
  </si>
  <si>
    <t>WGH8V95Z957436</t>
  </si>
  <si>
    <t>WGHA183EQ51035</t>
  </si>
  <si>
    <t>WGHA183EQ52171</t>
  </si>
  <si>
    <t>WGHA183EQ71035</t>
  </si>
  <si>
    <t>WGHA183EQ71746</t>
  </si>
  <si>
    <t>WGHA183EQ73459</t>
  </si>
  <si>
    <t>WGHA183EQ76635</t>
  </si>
  <si>
    <t>WGHA183ER11035</t>
  </si>
  <si>
    <t>WGHA183ER11746</t>
  </si>
  <si>
    <t>WGHA183EW81746</t>
  </si>
  <si>
    <t>WGJC054IK7100</t>
  </si>
  <si>
    <t>WGKC046IKBZAM</t>
  </si>
  <si>
    <t>WGM8K99T531746</t>
  </si>
  <si>
    <t>WGM8K99T533021</t>
  </si>
  <si>
    <t>WGMEQ66Q874129</t>
  </si>
  <si>
    <t>WGMEQ66Q875011</t>
  </si>
  <si>
    <t>WGMEQ66Q876107</t>
  </si>
  <si>
    <t>WGPC054IK1118</t>
  </si>
  <si>
    <t>WGPC065IK1118</t>
  </si>
  <si>
    <t>WGQC067MT61272</t>
  </si>
  <si>
    <t>WGQC067MT66300</t>
  </si>
  <si>
    <t>WGQC067QT51700</t>
  </si>
  <si>
    <t>WGQC186IK1001</t>
  </si>
  <si>
    <t>WGQC186IK1700</t>
  </si>
  <si>
    <t>WGQC186IK4108</t>
  </si>
  <si>
    <t>WGQC186IK6304</t>
  </si>
  <si>
    <t>WGQC187IK1001</t>
  </si>
  <si>
    <t>WGQC187IK1700</t>
  </si>
  <si>
    <t>WGQC187IK4108</t>
  </si>
  <si>
    <t>WGQC187IK6304</t>
  </si>
  <si>
    <t>WGSBP40IK7410</t>
  </si>
  <si>
    <t>WGUC043NJ71024</t>
  </si>
  <si>
    <t>WGUC043NJ76301</t>
  </si>
  <si>
    <t>WGUC069NJ61024</t>
  </si>
  <si>
    <t>WGUC069NJ66301</t>
  </si>
  <si>
    <t>WGVC071IK1024</t>
  </si>
  <si>
    <t>WGVC072IK1024</t>
  </si>
  <si>
    <t>WGWC089IK1024</t>
  </si>
  <si>
    <t>WGWC089IK1745</t>
  </si>
  <si>
    <t>WGWC089IK4076</t>
  </si>
  <si>
    <t>WGWC089IK6238</t>
  </si>
  <si>
    <t>WGWC095IK1024</t>
  </si>
  <si>
    <t>WGWC095IK1745</t>
  </si>
  <si>
    <t>WGWC095IK4076</t>
  </si>
  <si>
    <t>WGWC095IK6238</t>
  </si>
  <si>
    <t>WGWPSJ81001</t>
  </si>
  <si>
    <t>WH13P010011001</t>
  </si>
  <si>
    <t>WH13P020026000</t>
  </si>
  <si>
    <t>WHDG11TSRAM</t>
  </si>
  <si>
    <t>WHHQ85S36SHM</t>
  </si>
  <si>
    <t>WHHS34T01SGD</t>
  </si>
  <si>
    <t>WHHS34T01SHM</t>
  </si>
  <si>
    <t>WHHS50S37SGD</t>
  </si>
  <si>
    <t>WHHS50S37SHM</t>
  </si>
  <si>
    <t>WHJNZ95K21001</t>
  </si>
  <si>
    <t>WHJNZ95K22388</t>
  </si>
  <si>
    <t>WHLBP40IKSLM</t>
  </si>
  <si>
    <t>WHNB119MS11001</t>
  </si>
  <si>
    <t>WHUB131NQ61001</t>
  </si>
  <si>
    <t>WHUB131NQ66433</t>
  </si>
  <si>
    <t>WHUB131OG72707</t>
  </si>
  <si>
    <t>WHUB131OG74915</t>
  </si>
  <si>
    <t>WHUB131VF51001</t>
  </si>
  <si>
    <t>WHUB131VF51501</t>
  </si>
  <si>
    <t>WHUB132MH01449</t>
  </si>
  <si>
    <t>WHUB132MH0</t>
  </si>
  <si>
    <t>CLASSIC TR SWEATPANT CRYSTAL</t>
  </si>
  <si>
    <t>WHUB132NQ71001</t>
  </si>
  <si>
    <t>WHUB132NQ76433</t>
  </si>
  <si>
    <t>WHUB242OG82707</t>
  </si>
  <si>
    <t>WHUB242OG84915</t>
  </si>
  <si>
    <t>WHUB242VF61001</t>
  </si>
  <si>
    <t>WHUB242VF61501</t>
  </si>
  <si>
    <t>WHUB386XQ51475</t>
  </si>
  <si>
    <t>WHUB386XQ56058</t>
  </si>
  <si>
    <t>WHUB387XQ51475</t>
  </si>
  <si>
    <t>WHUB387XQ56058</t>
  </si>
  <si>
    <t>WHUB422EBS2707</t>
  </si>
  <si>
    <t>WHUB422EBS</t>
  </si>
  <si>
    <t>TRUE SCRIPT FLARE SWEAT PANT</t>
  </si>
  <si>
    <t>HEATHER OATMEAL</t>
  </si>
  <si>
    <t>WHUB422EBS4100</t>
  </si>
  <si>
    <t>WHUB422ZW51001</t>
  </si>
  <si>
    <t>WHUB422ZW51473</t>
  </si>
  <si>
    <t>WHUB422ZW51501</t>
  </si>
  <si>
    <t>WHUB422ZW54500</t>
  </si>
  <si>
    <t>WHUB469EBR2707</t>
  </si>
  <si>
    <t>WHUB469EBR</t>
  </si>
  <si>
    <t>TRUE SCRIPT ZIP UP HOODIE</t>
  </si>
  <si>
    <t>WHUB469EBR4100</t>
  </si>
  <si>
    <t>WHUB469ZW41001</t>
  </si>
  <si>
    <t>WHUB469ZW41473</t>
  </si>
  <si>
    <t>WHUB469ZW41501</t>
  </si>
  <si>
    <t>WHUB469ZW44500</t>
  </si>
  <si>
    <t>WHUBT16IK3158</t>
  </si>
  <si>
    <t>WHUH008EBO6202</t>
  </si>
  <si>
    <t>WHUH058EHM1001</t>
  </si>
  <si>
    <t>WHUH058EHM</t>
  </si>
  <si>
    <t>HALF ZIP HOODIE DRESS</t>
  </si>
  <si>
    <t>WHUH058EHM2707</t>
  </si>
  <si>
    <t>WHX145UN21700</t>
  </si>
  <si>
    <t>WHXB201NQ61702</t>
  </si>
  <si>
    <t>WHXB201NQ64915</t>
  </si>
  <si>
    <t>WHXB202QP31001</t>
  </si>
  <si>
    <t>WHXB202QP36000</t>
  </si>
  <si>
    <t>WHXB238TD51700</t>
  </si>
  <si>
    <t>WHXB238TD56304</t>
  </si>
  <si>
    <t>WHXB317VV41001</t>
  </si>
  <si>
    <t>WHXB317VV41700</t>
  </si>
  <si>
    <t>WHYK95S32NBD</t>
  </si>
  <si>
    <t>WHYK95S32SIM</t>
  </si>
  <si>
    <t>WHYN52S32NBD</t>
  </si>
  <si>
    <t>WHYN52S32SIM</t>
  </si>
  <si>
    <t>WHYT48V38SGD</t>
  </si>
  <si>
    <t>WHYT52U39TOM</t>
  </si>
  <si>
    <t>WHYT53U39TPD</t>
  </si>
  <si>
    <t>WHZ599SNBT2S</t>
  </si>
  <si>
    <t>WHZ599STSCYSD</t>
  </si>
  <si>
    <t>WHZD084NBT2S</t>
  </si>
  <si>
    <t>WHZK35BCS11</t>
  </si>
  <si>
    <t>WHZK35BCS2S</t>
  </si>
  <si>
    <t>WHZK35BCSSHM</t>
  </si>
  <si>
    <t>WHZK35BCSYZD</t>
  </si>
  <si>
    <t>WHZK35BCSZAM</t>
  </si>
  <si>
    <t>WHZK35RI11</t>
  </si>
  <si>
    <t>WHZK35RI2S</t>
  </si>
  <si>
    <t>WHZK35RISHM</t>
  </si>
  <si>
    <t>WHZK35RIYZD</t>
  </si>
  <si>
    <t>WHZK35RIZAM</t>
  </si>
  <si>
    <t>WHZK35TS11</t>
  </si>
  <si>
    <t>WHZK35TS2S</t>
  </si>
  <si>
    <t>WHZK35TSSHM</t>
  </si>
  <si>
    <t>WHZK35TSZAM</t>
  </si>
  <si>
    <t>WHZK44BCS11</t>
  </si>
  <si>
    <t>WHZK44BCS2S</t>
  </si>
  <si>
    <t>WHZK44BCSYZD</t>
  </si>
  <si>
    <t>WHZK44BCSZAM</t>
  </si>
  <si>
    <t>WHZK44RI11</t>
  </si>
  <si>
    <t>WHZK44RI2S</t>
  </si>
  <si>
    <t>WHZK44RISHM</t>
  </si>
  <si>
    <t>WHZK44RIYZD</t>
  </si>
  <si>
    <t>WHZK44RIZAM</t>
  </si>
  <si>
    <t>WHZK44TS11</t>
  </si>
  <si>
    <t>WHZK44TSYZD</t>
  </si>
  <si>
    <t>WHZK44TSZAM</t>
  </si>
  <si>
    <t>WHZN95BCS11</t>
  </si>
  <si>
    <t>WHZN95BCS2S</t>
  </si>
  <si>
    <t>WHZN95BCSSHM</t>
  </si>
  <si>
    <t>WHZN95BCSYZD</t>
  </si>
  <si>
    <t>WHZN95BCSZAM</t>
  </si>
  <si>
    <t>WHZN95EJ6FDD</t>
  </si>
  <si>
    <t>WHZN95HE82S</t>
  </si>
  <si>
    <t>WHZN95HE8BOQD</t>
  </si>
  <si>
    <t>WHZN95JV0BVBD</t>
  </si>
  <si>
    <t>WHZN95KB53M</t>
  </si>
  <si>
    <t>WHZN95NBT2S</t>
  </si>
  <si>
    <t>WHZN95RI11</t>
  </si>
  <si>
    <t>WHZN95RIYZD</t>
  </si>
  <si>
    <t>WHZN95RIZAM</t>
  </si>
  <si>
    <t>WHZN95T0511</t>
  </si>
  <si>
    <t>WHZN95TS11</t>
  </si>
  <si>
    <t>WHZN95TS2S</t>
  </si>
  <si>
    <t>WHZN95TSCSMM</t>
  </si>
  <si>
    <t>WHZN95TSSHM</t>
  </si>
  <si>
    <t>WHZN95TSYZD</t>
  </si>
  <si>
    <t>WHZN95TSZAM</t>
  </si>
  <si>
    <t>WHZN95TSMFDD</t>
  </si>
  <si>
    <t>WHZN95Y9M3M</t>
  </si>
  <si>
    <t>WHZN96BCSSHM</t>
  </si>
  <si>
    <t>WHZN96BCSYZD</t>
  </si>
  <si>
    <t>WHZN96BCSZAM</t>
  </si>
  <si>
    <t>WHZN96EJ611</t>
  </si>
  <si>
    <t>WHZN96KB52S</t>
  </si>
  <si>
    <t>WHZN96OMCSND</t>
  </si>
  <si>
    <t>WHZN96RI11</t>
  </si>
  <si>
    <t>WHZN96RI2S</t>
  </si>
  <si>
    <t>WHZN96RIQJL</t>
  </si>
  <si>
    <t>WHZN96RIYZD</t>
  </si>
  <si>
    <t>WHZN96RIZAM</t>
  </si>
  <si>
    <t>WHZN96T0511</t>
  </si>
  <si>
    <t>WHZN96T052S</t>
  </si>
  <si>
    <t>WHZN96T05QJL</t>
  </si>
  <si>
    <t>WHZN96T05SHM</t>
  </si>
  <si>
    <t>WHZN96TSMBRBD</t>
  </si>
  <si>
    <t>WHZN96Y9MAQAD</t>
  </si>
  <si>
    <t>WI2B220ML41182</t>
  </si>
  <si>
    <t>WI2B220ML41796</t>
  </si>
  <si>
    <t>WI2B220XN31078</t>
  </si>
  <si>
    <t>WI2B220XN31730</t>
  </si>
  <si>
    <t>WI2V02QP01106</t>
  </si>
  <si>
    <t>WI2V02QP06000</t>
  </si>
  <si>
    <t>WIAA313TT1001</t>
  </si>
  <si>
    <t>WIAA313TT1700</t>
  </si>
  <si>
    <t>WIAA313TT4646</t>
  </si>
  <si>
    <t>WIAA313TT6433</t>
  </si>
  <si>
    <t>WICC015MI44005</t>
  </si>
  <si>
    <t>WICC023MI44005</t>
  </si>
  <si>
    <t>WIGBR59IK4163</t>
  </si>
  <si>
    <t>WIHBP40IK7231</t>
  </si>
  <si>
    <t>WIL145NH53308</t>
  </si>
  <si>
    <t>WIL145NH56200</t>
  </si>
  <si>
    <t>WIL145SE25105</t>
  </si>
  <si>
    <t>WIL145SE27000</t>
  </si>
  <si>
    <t>WIL145YA51700</t>
  </si>
  <si>
    <t>WIL145YA54609</t>
  </si>
  <si>
    <t>WIL145YX01001</t>
  </si>
  <si>
    <t>WIL145YX01700</t>
  </si>
  <si>
    <t>WIL145ZI51700</t>
  </si>
  <si>
    <t>WIL145ZI54100</t>
  </si>
  <si>
    <t>WJA500OM15</t>
  </si>
  <si>
    <t>WJA500OM2V</t>
  </si>
  <si>
    <t>WJA500OM6J</t>
  </si>
  <si>
    <t>WJA500OMLPD</t>
  </si>
  <si>
    <t>WJA500OMPGD</t>
  </si>
  <si>
    <t>WJA500OMT4</t>
  </si>
  <si>
    <t>WJA500OMTWM</t>
  </si>
  <si>
    <t>WJA502OM08</t>
  </si>
  <si>
    <t>WJA502OM15</t>
  </si>
  <si>
    <t>WJA502OM2V</t>
  </si>
  <si>
    <t>WJA502OM6J</t>
  </si>
  <si>
    <t>WJA502OMLPD</t>
  </si>
  <si>
    <t>WJA502OMPGD</t>
  </si>
  <si>
    <t>WJA502OMT4</t>
  </si>
  <si>
    <t>WJA502OMTWM</t>
  </si>
  <si>
    <t>WJA503OM08</t>
  </si>
  <si>
    <t>WJA503OM2V</t>
  </si>
  <si>
    <t>WJA503OM6J</t>
  </si>
  <si>
    <t>WJA503OMLPD</t>
  </si>
  <si>
    <t>WJA503OMPGD</t>
  </si>
  <si>
    <t>WJA503OMT4</t>
  </si>
  <si>
    <t>WJA503OMTWM</t>
  </si>
  <si>
    <t>WJA572OM08</t>
  </si>
  <si>
    <t>WJA572OM15</t>
  </si>
  <si>
    <t>WJA572OM2V</t>
  </si>
  <si>
    <t>WJA572OM6J</t>
  </si>
  <si>
    <t>WJA572OMLPD</t>
  </si>
  <si>
    <t>WJA572OMPGD</t>
  </si>
  <si>
    <t>WJA572OMT4</t>
  </si>
  <si>
    <t>WJA572OMTWM</t>
  </si>
  <si>
    <t>WJAA325GC6AXQM</t>
  </si>
  <si>
    <t>WJAA355GC6AXQM</t>
  </si>
  <si>
    <t>WJAG10OM15</t>
  </si>
  <si>
    <t>WJAG10OM2V</t>
  </si>
  <si>
    <t>WJAG10OM6J</t>
  </si>
  <si>
    <t>WJAG10OMLPD</t>
  </si>
  <si>
    <t>WJAG10OMPGD</t>
  </si>
  <si>
    <t>WJAG10OMT4</t>
  </si>
  <si>
    <t>WJAG10OMTWM</t>
  </si>
  <si>
    <t>WJAK75OM08</t>
  </si>
  <si>
    <t>WJAK75OM15</t>
  </si>
  <si>
    <t>WJAK75OM2V</t>
  </si>
  <si>
    <t>WJAK75OM6J</t>
  </si>
  <si>
    <t>WJAK75OMLPD</t>
  </si>
  <si>
    <t>WJAK75OMPGD</t>
  </si>
  <si>
    <t>WJAK75OMT4</t>
  </si>
  <si>
    <t>WJAK75OMTWM</t>
  </si>
  <si>
    <t>WJAM04OM08</t>
  </si>
  <si>
    <t>WJAM04OM2V</t>
  </si>
  <si>
    <t>WJAM04OMLPD</t>
  </si>
  <si>
    <t>WJAM04OMPGD</t>
  </si>
  <si>
    <t>WJAM04OMT4</t>
  </si>
  <si>
    <t>WJAM04OMTWM</t>
  </si>
  <si>
    <t>WJAM05OM08</t>
  </si>
  <si>
    <t>WJAM05OM15</t>
  </si>
  <si>
    <t>WJAM05OM6J</t>
  </si>
  <si>
    <t>WJAM05OMLPD</t>
  </si>
  <si>
    <t>WJAM05OMPGD</t>
  </si>
  <si>
    <t>WJAM05OMT4</t>
  </si>
  <si>
    <t>WJAM05OMTWM</t>
  </si>
  <si>
    <t>WJAP46F83QCL</t>
  </si>
  <si>
    <t>WJAP48F83QCL</t>
  </si>
  <si>
    <t>WJAP48F83SUD</t>
  </si>
  <si>
    <t>WJAP85F83SUD</t>
  </si>
  <si>
    <t>WJAQ86FF8AUNL</t>
  </si>
  <si>
    <t>WJAQ86OMV7L</t>
  </si>
  <si>
    <t>WJAR08F83SUD</t>
  </si>
  <si>
    <t>WJAY65DV0ANUM</t>
  </si>
  <si>
    <t>WJAY65DV0ANWL</t>
  </si>
  <si>
    <t>WJAY66DG5ANUM</t>
  </si>
  <si>
    <t>WJAY66DG5ANVM</t>
  </si>
  <si>
    <t>WJAY66DG5ANWL</t>
  </si>
  <si>
    <t>WJAY67DV0ANUM</t>
  </si>
  <si>
    <t>WJAY67DV0ANVM</t>
  </si>
  <si>
    <t>WJAY67DV0ANWL</t>
  </si>
  <si>
    <t>WJBA970LT8BTMD</t>
  </si>
  <si>
    <t>WJBB001LT9BTMD</t>
  </si>
  <si>
    <t>WJBK95S32NBD</t>
  </si>
  <si>
    <t>WJBK95S32SIM</t>
  </si>
  <si>
    <t>WJBP74T5011</t>
  </si>
  <si>
    <t>WJBP74T50SGD</t>
  </si>
  <si>
    <t>WJBP75T5011</t>
  </si>
  <si>
    <t>WJBQ85T50SGD</t>
  </si>
  <si>
    <t>WJBR55T50SGD</t>
  </si>
  <si>
    <t>WJBS64T50SGD</t>
  </si>
  <si>
    <t>WJBS64T50W2D</t>
  </si>
  <si>
    <t>WJBT74U42UBD</t>
  </si>
  <si>
    <t>WJBT75U42TLM</t>
  </si>
  <si>
    <t>WJBT75U42UBD</t>
  </si>
  <si>
    <t>WJBT76U42UBD</t>
  </si>
  <si>
    <t>WJBT98U44VED</t>
  </si>
  <si>
    <t>WJBT98U46VP</t>
  </si>
  <si>
    <t>WJBU11U44VED</t>
  </si>
  <si>
    <t>WJBU11U46VP</t>
  </si>
  <si>
    <t>WJBU12U46VP</t>
  </si>
  <si>
    <t>WJBY98CS2ANXD</t>
  </si>
  <si>
    <t>WJBY98CS2ANXM</t>
  </si>
  <si>
    <t>WJBY99CS2ANXD</t>
  </si>
  <si>
    <t>WJBY99CS2ANXM</t>
  </si>
  <si>
    <t>WJBZ25CX0ANZD</t>
  </si>
  <si>
    <t>WJBZ37CU9ANXD</t>
  </si>
  <si>
    <t>WJC500OM07</t>
  </si>
  <si>
    <t>WJC500OM11</t>
  </si>
  <si>
    <t>WJC500OM2S</t>
  </si>
  <si>
    <t>WJC500OM63</t>
  </si>
  <si>
    <t>WJC500OM78</t>
  </si>
  <si>
    <t>WJC500OMEJD</t>
  </si>
  <si>
    <t>WJC500OMP5</t>
  </si>
  <si>
    <t>WJC500OMSEM</t>
  </si>
  <si>
    <t>WJC500OMSHM</t>
  </si>
  <si>
    <t>WJC500OMTPD</t>
  </si>
  <si>
    <t>WJC500OMW3</t>
  </si>
  <si>
    <t>WJC500OMZVD</t>
  </si>
  <si>
    <t>WJC500OMZWD</t>
  </si>
  <si>
    <t>WJC500OMZXM</t>
  </si>
  <si>
    <t>WJC500OMZYM</t>
  </si>
  <si>
    <t>WJC500OMZZM</t>
  </si>
  <si>
    <t>WJC502OM07</t>
  </si>
  <si>
    <t>WJC502OM11</t>
  </si>
  <si>
    <t>WJC502OM2S</t>
  </si>
  <si>
    <t>WJC502OM63</t>
  </si>
  <si>
    <t>WJC502OM78</t>
  </si>
  <si>
    <t>WJC502OMEJD</t>
  </si>
  <si>
    <t>WJC502OMP5</t>
  </si>
  <si>
    <t>WJC502OMSEM</t>
  </si>
  <si>
    <t>WJC502OMSHM</t>
  </si>
  <si>
    <t>WJC502OMW3</t>
  </si>
  <si>
    <t>WJC502OMZVD</t>
  </si>
  <si>
    <t>WJC502OMZWD</t>
  </si>
  <si>
    <t>WJC502OMZXM</t>
  </si>
  <si>
    <t>WJC502OMZYM</t>
  </si>
  <si>
    <t>WJC503DB3AOCD</t>
  </si>
  <si>
    <t>WJC503DB5AOEM</t>
  </si>
  <si>
    <t>WJC503DB6AODD</t>
  </si>
  <si>
    <t>WJC503EX4ARRM</t>
  </si>
  <si>
    <t>WJC503NBT2ANVM</t>
  </si>
  <si>
    <t>WJC503NBT2ANWL</t>
  </si>
  <si>
    <t>WJC503NBT2AOBD</t>
  </si>
  <si>
    <t>WJC503OM07</t>
  </si>
  <si>
    <t>WJC503OM11</t>
  </si>
  <si>
    <t>WJC503OM2S</t>
  </si>
  <si>
    <t>WJC503OM63</t>
  </si>
  <si>
    <t>WJC503OM78</t>
  </si>
  <si>
    <t>WJC503OMEJD</t>
  </si>
  <si>
    <t>WJC503OMP5</t>
  </si>
  <si>
    <t>WJC503OMSEM</t>
  </si>
  <si>
    <t>WJC503OMSHM</t>
  </si>
  <si>
    <t>WJC503OMW3</t>
  </si>
  <si>
    <t>WJC503OMZVD</t>
  </si>
  <si>
    <t>WJC503OMZWD</t>
  </si>
  <si>
    <t>WJC503OMZXM</t>
  </si>
  <si>
    <t>WJC503OMZYM</t>
  </si>
  <si>
    <t>WJC503OMZZM</t>
  </si>
  <si>
    <t>WJC503OMC40</t>
  </si>
  <si>
    <t>WJC503OMCAOZM</t>
  </si>
  <si>
    <t>WJC564BA206</t>
  </si>
  <si>
    <t>WJC564BA211</t>
  </si>
  <si>
    <t>WJC564BA22V</t>
  </si>
  <si>
    <t>WJC564BA2SHM</t>
  </si>
  <si>
    <t>WJC564BA306</t>
  </si>
  <si>
    <t>WJC564BA311</t>
  </si>
  <si>
    <t>WJC564BA32V</t>
  </si>
  <si>
    <t>WJC564BA3SHM</t>
  </si>
  <si>
    <t>WJC564BA406</t>
  </si>
  <si>
    <t>WJC564BA411</t>
  </si>
  <si>
    <t>WJC564BA42V</t>
  </si>
  <si>
    <t>WJC564BA4SHM</t>
  </si>
  <si>
    <t>WJC564BA506</t>
  </si>
  <si>
    <t>WJC564BA511</t>
  </si>
  <si>
    <t>WJC564BA52V</t>
  </si>
  <si>
    <t>WJC564BA5SHM</t>
  </si>
  <si>
    <t>WJC564BA606</t>
  </si>
  <si>
    <t>WJC564BA611</t>
  </si>
  <si>
    <t>WJC564BA62V</t>
  </si>
  <si>
    <t>WJC564BA6SHM</t>
  </si>
  <si>
    <t>WJC564BA706</t>
  </si>
  <si>
    <t>WJC564BA711</t>
  </si>
  <si>
    <t>WJC564BA72V</t>
  </si>
  <si>
    <t>WJC564BA7SHM</t>
  </si>
  <si>
    <t>WJC564BA806</t>
  </si>
  <si>
    <t>WJC564BA811</t>
  </si>
  <si>
    <t>WJC564BA82V</t>
  </si>
  <si>
    <t>WJC564BA8SHM</t>
  </si>
  <si>
    <t>WJC564BA906</t>
  </si>
  <si>
    <t>WJC564BA911</t>
  </si>
  <si>
    <t>WJC564BA92V</t>
  </si>
  <si>
    <t>WJC564BA9SHM</t>
  </si>
  <si>
    <t>WJC564BB006</t>
  </si>
  <si>
    <t>WJC564BB011</t>
  </si>
  <si>
    <t>WJC564BB02V</t>
  </si>
  <si>
    <t>WJC564BB0SHM</t>
  </si>
  <si>
    <t>WJC564BB106</t>
  </si>
  <si>
    <t>WJC564BB111</t>
  </si>
  <si>
    <t>WJC564BB12V</t>
  </si>
  <si>
    <t>WJC564BB1SHM</t>
  </si>
  <si>
    <t>WJC564BB206</t>
  </si>
  <si>
    <t>WJC564BB211</t>
  </si>
  <si>
    <t>WJC564BB22V</t>
  </si>
  <si>
    <t>WJC564BB2SHM</t>
  </si>
  <si>
    <t>WJC564BB306</t>
  </si>
  <si>
    <t>WJC564BB311</t>
  </si>
  <si>
    <t>WJC564BB32V</t>
  </si>
  <si>
    <t>WJC564BB3SHM</t>
  </si>
  <si>
    <t>WJC564BB406</t>
  </si>
  <si>
    <t>WJC564BB411</t>
  </si>
  <si>
    <t>WJC564BB42V</t>
  </si>
  <si>
    <t>WJC564BB4SHM</t>
  </si>
  <si>
    <t>WJC564BB506</t>
  </si>
  <si>
    <t>WJC564BB511</t>
  </si>
  <si>
    <t>WJC564BB52V</t>
  </si>
  <si>
    <t>WJC564BB5SHM</t>
  </si>
  <si>
    <t>WJC564BB606</t>
  </si>
  <si>
    <t>WJC564BB611</t>
  </si>
  <si>
    <t>WJC564BB62V</t>
  </si>
  <si>
    <t>WJC564BB6SHM</t>
  </si>
  <si>
    <t>WJC564BB706</t>
  </si>
  <si>
    <t>WJC564BB711</t>
  </si>
  <si>
    <t>WJC564BB72V</t>
  </si>
  <si>
    <t>WJC564BB7SHM</t>
  </si>
  <si>
    <t>WJC564BB806</t>
  </si>
  <si>
    <t>WJC564BB811</t>
  </si>
  <si>
    <t>WJC564BB82V</t>
  </si>
  <si>
    <t>WJC564BB8SHM</t>
  </si>
  <si>
    <t>WJC564DB3AOCD</t>
  </si>
  <si>
    <t>WJC564DB5AOEM</t>
  </si>
  <si>
    <t>WJC564DB6AODD</t>
  </si>
  <si>
    <t>WJC564NBT206</t>
  </si>
  <si>
    <t>WJC564NBT211</t>
  </si>
  <si>
    <t>WJC564NBT22V</t>
  </si>
  <si>
    <t>WJC564NBT2ANVM</t>
  </si>
  <si>
    <t>WJC564NBT2ANWL</t>
  </si>
  <si>
    <t>WJC564NBT2AOBD</t>
  </si>
  <si>
    <t>WJC564NBT2SHM</t>
  </si>
  <si>
    <t>WJC564OM07</t>
  </si>
  <si>
    <t>WJC564OM11</t>
  </si>
  <si>
    <t>WJC564OM2S</t>
  </si>
  <si>
    <t>WJC564OM63</t>
  </si>
  <si>
    <t>WJC564OM78</t>
  </si>
  <si>
    <t>WJC564OMEJD</t>
  </si>
  <si>
    <t>WJC564OMP5</t>
  </si>
  <si>
    <t>WJC564OMSEM</t>
  </si>
  <si>
    <t>WJC564OMSHM</t>
  </si>
  <si>
    <t>WJC564OMW3</t>
  </si>
  <si>
    <t>WJC564OMZVD</t>
  </si>
  <si>
    <t>WJC564OMZWD</t>
  </si>
  <si>
    <t>WJC564OMZXM</t>
  </si>
  <si>
    <t>WJC564OMZYM</t>
  </si>
  <si>
    <t>WJC564OMZZM</t>
  </si>
  <si>
    <t>WJC564OMC40</t>
  </si>
  <si>
    <t>WJC564OMCAOZM</t>
  </si>
  <si>
    <t>WJC564OMM3M</t>
  </si>
  <si>
    <t>WJC564TM0BZND</t>
  </si>
  <si>
    <t>WJC564V422V</t>
  </si>
  <si>
    <t>WJC564V42LPD</t>
  </si>
  <si>
    <t>WJC564V42SHM</t>
  </si>
  <si>
    <t>WJC564V59VDD</t>
  </si>
  <si>
    <t>WJC572BA206</t>
  </si>
  <si>
    <t>WJC572BA211</t>
  </si>
  <si>
    <t>WJC572BA22V</t>
  </si>
  <si>
    <t>WJC572BA2SHM</t>
  </si>
  <si>
    <t>WJC572BA306</t>
  </si>
  <si>
    <t>WJC572BA311</t>
  </si>
  <si>
    <t>WJC572BA3SHM</t>
  </si>
  <si>
    <t>WJC572BA406</t>
  </si>
  <si>
    <t>WJC572BA411</t>
  </si>
  <si>
    <t>WJC572BA42V</t>
  </si>
  <si>
    <t>WJC572BA4SHM</t>
  </si>
  <si>
    <t>WJC572BA506</t>
  </si>
  <si>
    <t>WJC572BA511</t>
  </si>
  <si>
    <t>WJC572BA52V</t>
  </si>
  <si>
    <t>WJC572BA5SHM</t>
  </si>
  <si>
    <t>WJC572BA606</t>
  </si>
  <si>
    <t>WJC572BA611</t>
  </si>
  <si>
    <t>WJC572BA62V</t>
  </si>
  <si>
    <t>WJC572BA6SHM</t>
  </si>
  <si>
    <t>WJC572BA706</t>
  </si>
  <si>
    <t>WJC572BA711</t>
  </si>
  <si>
    <t>WJC572BA72V</t>
  </si>
  <si>
    <t>WJC572BA7SHM</t>
  </si>
  <si>
    <t>WJC572BA806</t>
  </si>
  <si>
    <t>WJC572BA811</t>
  </si>
  <si>
    <t>WJC572BA82V</t>
  </si>
  <si>
    <t>WJC572BA8SHM</t>
  </si>
  <si>
    <t>WJC572BA906</t>
  </si>
  <si>
    <t>WJC572BA911</t>
  </si>
  <si>
    <t>WJC572BA92V</t>
  </si>
  <si>
    <t>WJC572BA9SHM</t>
  </si>
  <si>
    <t>WJC572BB006</t>
  </si>
  <si>
    <t>WJC572BB011</t>
  </si>
  <si>
    <t>WJC572BB02V</t>
  </si>
  <si>
    <t>WJC572BB0SHM</t>
  </si>
  <si>
    <t>WJC572BB106</t>
  </si>
  <si>
    <t>WJC572BB111</t>
  </si>
  <si>
    <t>WJC572BB12V</t>
  </si>
  <si>
    <t>WJC572BB1SHM</t>
  </si>
  <si>
    <t>WJC572BB206</t>
  </si>
  <si>
    <t>WJC572BB211</t>
  </si>
  <si>
    <t>WJC572BB22V</t>
  </si>
  <si>
    <t>WJC572BB2SHM</t>
  </si>
  <si>
    <t>WJC572BB306</t>
  </si>
  <si>
    <t>WJC572BB311</t>
  </si>
  <si>
    <t>WJC572BB32V</t>
  </si>
  <si>
    <t>WJC572BB3SHM</t>
  </si>
  <si>
    <t>WJC572BB406</t>
  </si>
  <si>
    <t>WJC572BB411</t>
  </si>
  <si>
    <t>WJC572BB42V</t>
  </si>
  <si>
    <t>WJC572BB4SHM</t>
  </si>
  <si>
    <t>WJC572BB506</t>
  </si>
  <si>
    <t>WJC572BB511</t>
  </si>
  <si>
    <t>WJC572BB52V</t>
  </si>
  <si>
    <t>WJC572BB5SHM</t>
  </si>
  <si>
    <t>WJC572BB606</t>
  </si>
  <si>
    <t>WJC572BB611</t>
  </si>
  <si>
    <t>WJC572BB62V</t>
  </si>
  <si>
    <t>WJC572BB6SHM</t>
  </si>
  <si>
    <t>WJC572BB706</t>
  </si>
  <si>
    <t>WJC572BB711</t>
  </si>
  <si>
    <t>WJC572BB72V</t>
  </si>
  <si>
    <t>WJC572BB7SHM</t>
  </si>
  <si>
    <t>WJC572BB806</t>
  </si>
  <si>
    <t>WJC572BB811</t>
  </si>
  <si>
    <t>WJC572BB82V</t>
  </si>
  <si>
    <t>WJC572BB8SHM</t>
  </si>
  <si>
    <t>WJC572DB3AOCD</t>
  </si>
  <si>
    <t>WJC572DB6AODD</t>
  </si>
  <si>
    <t>WJC572NBT206</t>
  </si>
  <si>
    <t>WJC572NBT211</t>
  </si>
  <si>
    <t>WJC572NBT22V</t>
  </si>
  <si>
    <t>WJC572NBT2ANVM</t>
  </si>
  <si>
    <t>WJC572NBT2ANWL</t>
  </si>
  <si>
    <t>WJC572NBT2AOBD</t>
  </si>
  <si>
    <t>WJC572NBT2SHM</t>
  </si>
  <si>
    <t>WJC572NBT2V8M</t>
  </si>
  <si>
    <t>WJC572OM07</t>
  </si>
  <si>
    <t>WJC572OM11</t>
  </si>
  <si>
    <t>WJC572OM2S</t>
  </si>
  <si>
    <t>WJC572OM63</t>
  </si>
  <si>
    <t>WJC572OM78</t>
  </si>
  <si>
    <t>WJC572OMEJD</t>
  </si>
  <si>
    <t>WJC572OMP5</t>
  </si>
  <si>
    <t>WJC572OMSEM</t>
  </si>
  <si>
    <t>WJC572OMSHM</t>
  </si>
  <si>
    <t>WJC572OMW3</t>
  </si>
  <si>
    <t>WJC572OMZVD</t>
  </si>
  <si>
    <t>WJC572OMZWD</t>
  </si>
  <si>
    <t>WJC572OMZXM</t>
  </si>
  <si>
    <t>WJC572OMZYM</t>
  </si>
  <si>
    <t>WJC572OMZZM</t>
  </si>
  <si>
    <t>WJC572OMC40</t>
  </si>
  <si>
    <t>WJC572OMCAOZM</t>
  </si>
  <si>
    <t>WJC572V422V</t>
  </si>
  <si>
    <t>WJC572V42LPD</t>
  </si>
  <si>
    <t>WJC572V42SHM</t>
  </si>
  <si>
    <t>WJC572V59VDM</t>
  </si>
  <si>
    <t>WJC572X15PNM</t>
  </si>
  <si>
    <t>WJC572X15VDD</t>
  </si>
  <si>
    <t>WJC592BA206</t>
  </si>
  <si>
    <t>WJC592BA211</t>
  </si>
  <si>
    <t>WJC592BA22V</t>
  </si>
  <si>
    <t>WJC592BA2SHM</t>
  </si>
  <si>
    <t>WJC592BA306</t>
  </si>
  <si>
    <t>WJC592BA311</t>
  </si>
  <si>
    <t>WJC592BA32V</t>
  </si>
  <si>
    <t>WJC592BA3SHM</t>
  </si>
  <si>
    <t>WJC592BA406</t>
  </si>
  <si>
    <t>WJC592BA411</t>
  </si>
  <si>
    <t>WJC592BA42V</t>
  </si>
  <si>
    <t>WJC592BA4SHM</t>
  </si>
  <si>
    <t>WJC592BA506</t>
  </si>
  <si>
    <t>WJC592BA511</t>
  </si>
  <si>
    <t>WJC592BA52V</t>
  </si>
  <si>
    <t>WJC592BA5SHM</t>
  </si>
  <si>
    <t>WJC592BA606</t>
  </si>
  <si>
    <t>WJC592BA611</t>
  </si>
  <si>
    <t>WJC592BA62V</t>
  </si>
  <si>
    <t>WJC592BA6SHM</t>
  </si>
  <si>
    <t>WJC592BA706</t>
  </si>
  <si>
    <t>WJC592BA711</t>
  </si>
  <si>
    <t>WJC592BA72V</t>
  </si>
  <si>
    <t>WJC592BA7SHM</t>
  </si>
  <si>
    <t>WJC592BA806</t>
  </si>
  <si>
    <t>WJC592BA811</t>
  </si>
  <si>
    <t>WJC592BA82V</t>
  </si>
  <si>
    <t>WJC592BA906</t>
  </si>
  <si>
    <t>WJC592BA911</t>
  </si>
  <si>
    <t>WJC592BA92V</t>
  </si>
  <si>
    <t>WJC592BA9SHM</t>
  </si>
  <si>
    <t>WJC592BB006</t>
  </si>
  <si>
    <t>WJC592BB011</t>
  </si>
  <si>
    <t>WJC592BB02V</t>
  </si>
  <si>
    <t>WJC592BB0SHM</t>
  </si>
  <si>
    <t>WJC592BB106</t>
  </si>
  <si>
    <t>WJC592BB111</t>
  </si>
  <si>
    <t>WJC592BB12V</t>
  </si>
  <si>
    <t>WJC592BB206</t>
  </si>
  <si>
    <t>WJC592BB211</t>
  </si>
  <si>
    <t>WJC592BB22V</t>
  </si>
  <si>
    <t>WJC592BB2SHM</t>
  </si>
  <si>
    <t>WJC592BB306</t>
  </si>
  <si>
    <t>WJC592BB311</t>
  </si>
  <si>
    <t>WJC592BB32V</t>
  </si>
  <si>
    <t>WJC592BB406</t>
  </si>
  <si>
    <t>WJC592BB411</t>
  </si>
  <si>
    <t>WJC592BB42V</t>
  </si>
  <si>
    <t>WJC592BB4SHM</t>
  </si>
  <si>
    <t>WJC592BB506</t>
  </si>
  <si>
    <t>WJC592BB511</t>
  </si>
  <si>
    <t>WJC592BB52V</t>
  </si>
  <si>
    <t>WJC592BB5SHM</t>
  </si>
  <si>
    <t>WJC592BB606</t>
  </si>
  <si>
    <t>WJC592BB611</t>
  </si>
  <si>
    <t>WJC592BB62V</t>
  </si>
  <si>
    <t>WJC592BB6SHM</t>
  </si>
  <si>
    <t>WJC592BB706</t>
  </si>
  <si>
    <t>WJC592BB711</t>
  </si>
  <si>
    <t>WJC592BB72V</t>
  </si>
  <si>
    <t>WJC592BB7SHM</t>
  </si>
  <si>
    <t>WJC592BB806</t>
  </si>
  <si>
    <t>WJC592BB811</t>
  </si>
  <si>
    <t>WJC592BB82V</t>
  </si>
  <si>
    <t>WJC592BB8SHM</t>
  </si>
  <si>
    <t>WJC592CD7SHM</t>
  </si>
  <si>
    <t>WJC592CD8V9L</t>
  </si>
  <si>
    <t>WJC592CD8ZWM</t>
  </si>
  <si>
    <t>WJC592CD9ZWM</t>
  </si>
  <si>
    <t>WJC592DB3AOCD</t>
  </si>
  <si>
    <t>WJC592NBT206</t>
  </si>
  <si>
    <t>WJC592NBT211</t>
  </si>
  <si>
    <t>WJC592NBT22V</t>
  </si>
  <si>
    <t>WJC592NBT2ANVM</t>
  </si>
  <si>
    <t>WJC592NBT2AOBD</t>
  </si>
  <si>
    <t>WJC592NBT2SHM</t>
  </si>
  <si>
    <t>WJC592OM07</t>
  </si>
  <si>
    <t>WJC592OM11</t>
  </si>
  <si>
    <t>WJC592OM2S</t>
  </si>
  <si>
    <t>WJC592OM63</t>
  </si>
  <si>
    <t>WJC592OM78</t>
  </si>
  <si>
    <t>WJC592OMEJD</t>
  </si>
  <si>
    <t>WJC592OMLPD</t>
  </si>
  <si>
    <t>WJC592OMSEM</t>
  </si>
  <si>
    <t>WJC592OMSHM</t>
  </si>
  <si>
    <t>WJC592OMZVD</t>
  </si>
  <si>
    <t>WJC592OMZWD</t>
  </si>
  <si>
    <t>WJC592OMZYM</t>
  </si>
  <si>
    <t>WJC592OMZZM</t>
  </si>
  <si>
    <t>WJC592SEX4ARRM</t>
  </si>
  <si>
    <t>WJC592SJV0CICD</t>
  </si>
  <si>
    <t>WJC592SOMC40</t>
  </si>
  <si>
    <t>WJC592SOMCAOZM</t>
  </si>
  <si>
    <t>WJC592STSBKYM</t>
  </si>
  <si>
    <t>WJC592STSCDSL</t>
  </si>
  <si>
    <t>WJC592V59VDM</t>
  </si>
  <si>
    <t>WJC592X15PNM</t>
  </si>
  <si>
    <t>WJC592X15VDD</t>
  </si>
  <si>
    <t>WJC599BA206</t>
  </si>
  <si>
    <t>WJC599BA211</t>
  </si>
  <si>
    <t>WJC599BA22V</t>
  </si>
  <si>
    <t>WJC599BA2SHM</t>
  </si>
  <si>
    <t>WJC599BA306</t>
  </si>
  <si>
    <t>WJC599BA311</t>
  </si>
  <si>
    <t>WJC599BA32V</t>
  </si>
  <si>
    <t>WJC599BA3SHM</t>
  </si>
  <si>
    <t>WJC599BA406</t>
  </si>
  <si>
    <t>WJC599BA411</t>
  </si>
  <si>
    <t>WJC599BA42V</t>
  </si>
  <si>
    <t>WJC599BA4SHM</t>
  </si>
  <si>
    <t>WJC599BA506</t>
  </si>
  <si>
    <t>WJC599BA511</t>
  </si>
  <si>
    <t>WJC599BA52V</t>
  </si>
  <si>
    <t>WJC599BA5SHM</t>
  </si>
  <si>
    <t>WJC599BA606</t>
  </si>
  <si>
    <t>WJC599BA611</t>
  </si>
  <si>
    <t>WJC599BA62V</t>
  </si>
  <si>
    <t>WJC599BA6SHM</t>
  </si>
  <si>
    <t>WJC599BA706</t>
  </si>
  <si>
    <t>WJC599BA711</t>
  </si>
  <si>
    <t>WJC599BA72V</t>
  </si>
  <si>
    <t>WJC599BA7SHM</t>
  </si>
  <si>
    <t>WJC599BA806</t>
  </si>
  <si>
    <t>WJC599BA811</t>
  </si>
  <si>
    <t>WJC599BA82V</t>
  </si>
  <si>
    <t>WJC599BA906</t>
  </si>
  <si>
    <t>WJC599BA911</t>
  </si>
  <si>
    <t>WJC599BA92V</t>
  </si>
  <si>
    <t>WJC599BA9SHM</t>
  </si>
  <si>
    <t>WJC599BB006</t>
  </si>
  <si>
    <t>WJC599BB011</t>
  </si>
  <si>
    <t>WJC599BB02V</t>
  </si>
  <si>
    <t>WJC599BB0SHM</t>
  </si>
  <si>
    <t>WJC599BB106</t>
  </si>
  <si>
    <t>WJC599BB111</t>
  </si>
  <si>
    <t>WJC599BB12V</t>
  </si>
  <si>
    <t>WJC599BB1SHM</t>
  </si>
  <si>
    <t>WJC599BB206</t>
  </si>
  <si>
    <t>WJC599BB211</t>
  </si>
  <si>
    <t>WJC599BB22V</t>
  </si>
  <si>
    <t>WJC599BB2SHM</t>
  </si>
  <si>
    <t>WJC599BB306</t>
  </si>
  <si>
    <t>WJC599BB311</t>
  </si>
  <si>
    <t>WJC599BB32V</t>
  </si>
  <si>
    <t>WJC599BB3SHM</t>
  </si>
  <si>
    <t>WJC599BB406</t>
  </si>
  <si>
    <t>WJC599BB411</t>
  </si>
  <si>
    <t>WJC599BB42V</t>
  </si>
  <si>
    <t>WJC599BB4SHM</t>
  </si>
  <si>
    <t>WJC599BB506</t>
  </si>
  <si>
    <t>WJC599BB511</t>
  </si>
  <si>
    <t>WJC599BB52V</t>
  </si>
  <si>
    <t>WJC599BB5SHM</t>
  </si>
  <si>
    <t>WJC599BB606</t>
  </si>
  <si>
    <t>WJC599BB611</t>
  </si>
  <si>
    <t>WJC599BB62V</t>
  </si>
  <si>
    <t>WJC599BB6SHM</t>
  </si>
  <si>
    <t>WJC599BB706</t>
  </si>
  <si>
    <t>WJC599BB711</t>
  </si>
  <si>
    <t>WJC599BB72V</t>
  </si>
  <si>
    <t>WJC599BB7SHM</t>
  </si>
  <si>
    <t>WJC599BB806</t>
  </si>
  <si>
    <t>WJC599BB811</t>
  </si>
  <si>
    <t>WJC599BB82V</t>
  </si>
  <si>
    <t>WJC599BB8SHM</t>
  </si>
  <si>
    <t>WJC599DB3AOCD</t>
  </si>
  <si>
    <t>WJC599NBT206</t>
  </si>
  <si>
    <t>WJC599NBT211</t>
  </si>
  <si>
    <t>WJC599NBT22V</t>
  </si>
  <si>
    <t>WJC599NBT2ANVM</t>
  </si>
  <si>
    <t>WJC599NBT2ANWL</t>
  </si>
  <si>
    <t>WJC599NBT2AOBD</t>
  </si>
  <si>
    <t>WJC599NBT2SHM</t>
  </si>
  <si>
    <t>WJC599OM11</t>
  </si>
  <si>
    <t>WJC599OM63</t>
  </si>
  <si>
    <t>WJC599OM78</t>
  </si>
  <si>
    <t>WJC599OMZVD</t>
  </si>
  <si>
    <t>WJC599OMZWD</t>
  </si>
  <si>
    <t>WJC599OMZXM</t>
  </si>
  <si>
    <t>WJC599OMZYM</t>
  </si>
  <si>
    <t>WJC599OMZZM</t>
  </si>
  <si>
    <t>WJC599SJV0CIBM</t>
  </si>
  <si>
    <t>WJC599SKL3CQVM</t>
  </si>
  <si>
    <t>WJC599SUL2VDD</t>
  </si>
  <si>
    <t>WJC599SULMVDD</t>
  </si>
  <si>
    <t>WJC599V422V</t>
  </si>
  <si>
    <t>WJC599V42LPD</t>
  </si>
  <si>
    <t>WJC599V42SHM</t>
  </si>
  <si>
    <t>WJC599V42TJD</t>
  </si>
  <si>
    <t>WJC599V42V7L</t>
  </si>
  <si>
    <t>WJC599V59VDM</t>
  </si>
  <si>
    <t>WJCA062EI61001</t>
  </si>
  <si>
    <t>WJCA586IO7BGUL</t>
  </si>
  <si>
    <t>WJCA817TSCIBM</t>
  </si>
  <si>
    <t>WJCC100MD211</t>
  </si>
  <si>
    <t>WJCC100OMCSIM</t>
  </si>
  <si>
    <t>WJCC100TSCRDM</t>
  </si>
  <si>
    <t>WJCC100UL3PNM</t>
  </si>
  <si>
    <t>WJCC100ULMPNM</t>
  </si>
  <si>
    <t>WJCG10NBT2V9L</t>
  </si>
  <si>
    <t>WJCG56OM07</t>
  </si>
  <si>
    <t>WJCG56OM2S</t>
  </si>
  <si>
    <t>WJCG56OM63</t>
  </si>
  <si>
    <t>WJCG56OMEJD</t>
  </si>
  <si>
    <t>WJCG56OMP5</t>
  </si>
  <si>
    <t>WJCG56OMSHM</t>
  </si>
  <si>
    <t>WJCG56OMW3</t>
  </si>
  <si>
    <t>WJCG93NBT2AOBD</t>
  </si>
  <si>
    <t>WJCG93OM07</t>
  </si>
  <si>
    <t>WJCG93OM2S</t>
  </si>
  <si>
    <t>WJCG93OM63</t>
  </si>
  <si>
    <t>WJCG93OMAPKD</t>
  </si>
  <si>
    <t>WJCG93OMEJD</t>
  </si>
  <si>
    <t>WJCG93OMP5</t>
  </si>
  <si>
    <t>WJCG93OMSHM</t>
  </si>
  <si>
    <t>WJCG93OMCAPKD</t>
  </si>
  <si>
    <t>WJCJ58OM07</t>
  </si>
  <si>
    <t>WJCJ58OM2S</t>
  </si>
  <si>
    <t>WJCJ58OM63</t>
  </si>
  <si>
    <t>WJCJ58OMEJD</t>
  </si>
  <si>
    <t>WJCJ58OMP5</t>
  </si>
  <si>
    <t>WJCJ58OMW3</t>
  </si>
  <si>
    <t>WJCK75OMC40</t>
  </si>
  <si>
    <t>WJCK75OMCAOZM</t>
  </si>
  <si>
    <t>WJCK75S34SEM</t>
  </si>
  <si>
    <t>WJCM04OM11</t>
  </si>
  <si>
    <t>WJCM04OM2S</t>
  </si>
  <si>
    <t>WJCM04OM63</t>
  </si>
  <si>
    <t>WJCM04OM78</t>
  </si>
  <si>
    <t>WJCM04OMSEM</t>
  </si>
  <si>
    <t>WJCM04OMZVD</t>
  </si>
  <si>
    <t>WJCM04OMZWD</t>
  </si>
  <si>
    <t>WJCM04OMZXM</t>
  </si>
  <si>
    <t>WJCM04OMZYM</t>
  </si>
  <si>
    <t>WJCM04OMZZM</t>
  </si>
  <si>
    <t>WJCM04OMC40</t>
  </si>
  <si>
    <t>WJCM04OMCAOZM</t>
  </si>
  <si>
    <t>WJCM04S34SEM</t>
  </si>
  <si>
    <t>WJCM11OMEJD</t>
  </si>
  <si>
    <t>WJCM11OMZZM</t>
  </si>
  <si>
    <t>WJCP84R99TIM</t>
  </si>
  <si>
    <t>WJCR12OMC40</t>
  </si>
  <si>
    <t>WJCR12OMCAOZM</t>
  </si>
  <si>
    <t>WJCT01S34LNM</t>
  </si>
  <si>
    <t>WJCT01S34SEM</t>
  </si>
  <si>
    <t>WJCV19Z8011</t>
  </si>
  <si>
    <t>WJCV20Z8011</t>
  </si>
  <si>
    <t>WJCV54Y4011</t>
  </si>
  <si>
    <t>WJCV54Y40XNM</t>
  </si>
  <si>
    <t>WJCV56Y40XNM</t>
  </si>
  <si>
    <t>WJCV57Y40XNM</t>
  </si>
  <si>
    <t>WJCW02Y39SGD</t>
  </si>
  <si>
    <t>WJCW02Y39XED</t>
  </si>
  <si>
    <t>WJCW03Y4011</t>
  </si>
  <si>
    <t>WJCW03Y40XNM</t>
  </si>
  <si>
    <t>WJCW65Z8011</t>
  </si>
  <si>
    <t>WJCW65Z80XVM</t>
  </si>
  <si>
    <t>WJCX09Y39SGD</t>
  </si>
  <si>
    <t>WJCY06OM11</t>
  </si>
  <si>
    <t>WJCY06OM63</t>
  </si>
  <si>
    <t>WJCY06OM78</t>
  </si>
  <si>
    <t>WJCY06OMSEM</t>
  </si>
  <si>
    <t>WJCY06OMZVD</t>
  </si>
  <si>
    <t>WJCY06OMZWD</t>
  </si>
  <si>
    <t>WJCY06OMZYM</t>
  </si>
  <si>
    <t>WJCY62OM11</t>
  </si>
  <si>
    <t>WJCY62OM63</t>
  </si>
  <si>
    <t>WJCY62OM78</t>
  </si>
  <si>
    <t>WJCY62OMSEM</t>
  </si>
  <si>
    <t>WJCY62OMZVD</t>
  </si>
  <si>
    <t>WJCY62OMZWD</t>
  </si>
  <si>
    <t>WJCY62OMZXM</t>
  </si>
  <si>
    <t>WJCY62OMZYM</t>
  </si>
  <si>
    <t>WJCY62OMZZM</t>
  </si>
  <si>
    <t>WJCY62OMC40</t>
  </si>
  <si>
    <t>WJCY62OMCAOZM</t>
  </si>
  <si>
    <t>WJCZ21KB5CIBM</t>
  </si>
  <si>
    <t>WJDA036EF51001</t>
  </si>
  <si>
    <t>WJDA309EF51001</t>
  </si>
  <si>
    <t>WJDK35CE41933</t>
  </si>
  <si>
    <t>WJDK35CE44573</t>
  </si>
  <si>
    <t>WJDK35CE46849</t>
  </si>
  <si>
    <t>WJDK35DL11001</t>
  </si>
  <si>
    <t>WJDK35W143351</t>
  </si>
  <si>
    <t>WJDK35W144630</t>
  </si>
  <si>
    <t>WJDK35W145331</t>
  </si>
  <si>
    <t>WJDK35W146837</t>
  </si>
  <si>
    <t>WJDK35W147430</t>
  </si>
  <si>
    <t>WJDK35W148352</t>
  </si>
  <si>
    <t>WJDK44DL11001</t>
  </si>
  <si>
    <t>WJDK44W143351</t>
  </si>
  <si>
    <t>WJDK44W145331</t>
  </si>
  <si>
    <t>WJDK44W146837</t>
  </si>
  <si>
    <t>WJDK44W148352</t>
  </si>
  <si>
    <t>WJDN95BP84126</t>
  </si>
  <si>
    <t>WJDN95BP84161</t>
  </si>
  <si>
    <t>WJDN95BP85069</t>
  </si>
  <si>
    <t>WJDN95BP86215</t>
  </si>
  <si>
    <t>WJDN95CE41043</t>
  </si>
  <si>
    <t>WJDN95CE44570</t>
  </si>
  <si>
    <t>WJDN95CE46290</t>
  </si>
  <si>
    <t>WJDN95DL11001</t>
  </si>
  <si>
    <t>WJDN95HW66414</t>
  </si>
  <si>
    <t>WJDN95W143351</t>
  </si>
  <si>
    <t>WJDN95W144161</t>
  </si>
  <si>
    <t>WJDN95W144563</t>
  </si>
  <si>
    <t>WJDN95W145069</t>
  </si>
  <si>
    <t>WJDN95W145332</t>
  </si>
  <si>
    <t>WJDN95W146043</t>
  </si>
  <si>
    <t>WJDN95W146836</t>
  </si>
  <si>
    <t>WJDN95W146842</t>
  </si>
  <si>
    <t>WJDN95W147444</t>
  </si>
  <si>
    <t>WJDN95W148352</t>
  </si>
  <si>
    <t>WJDN95Z824630</t>
  </si>
  <si>
    <t>WJDN95Z825331</t>
  </si>
  <si>
    <t>WJDN95Z826837</t>
  </si>
  <si>
    <t>WJDN95Z827430</t>
  </si>
  <si>
    <t>WJDN96CI36215</t>
  </si>
  <si>
    <t>WJDN96DL11001</t>
  </si>
  <si>
    <t>WJDN96TSM4000</t>
  </si>
  <si>
    <t>WJDN96TSM6202</t>
  </si>
  <si>
    <t>WJDN96TSM7000</t>
  </si>
  <si>
    <t>WJDN96UP17000</t>
  </si>
  <si>
    <t>WJDN96W141826</t>
  </si>
  <si>
    <t>WJDN96W144161</t>
  </si>
  <si>
    <t>WJDN96W146043</t>
  </si>
  <si>
    <t>WJDN96W146161</t>
  </si>
  <si>
    <t>WJDZ52DK31001</t>
  </si>
  <si>
    <t>WJDZ52DK31288</t>
  </si>
  <si>
    <t>WJDZ52DK34325</t>
  </si>
  <si>
    <t>WJDZ52DK35135</t>
  </si>
  <si>
    <t>WJDZ52DK36328</t>
  </si>
  <si>
    <t>WJDZ53DK31001</t>
  </si>
  <si>
    <t>WJDZ53DK31288</t>
  </si>
  <si>
    <t>WJDZ53DK34325</t>
  </si>
  <si>
    <t>WJDZ53DK35135</t>
  </si>
  <si>
    <t>WJDZ53DK36328</t>
  </si>
  <si>
    <t>WJDZ54DK31001</t>
  </si>
  <si>
    <t>WJDZ54DK31288</t>
  </si>
  <si>
    <t>WJDZ54DK34325</t>
  </si>
  <si>
    <t>WJDZ54DK35135</t>
  </si>
  <si>
    <t>WJDZ54DK36328</t>
  </si>
  <si>
    <t>WJDZ55DK31001</t>
  </si>
  <si>
    <t>WJDZ55DK34325</t>
  </si>
  <si>
    <t>WJDZ55DK36328</t>
  </si>
  <si>
    <t>WJHR86R88NNL</t>
  </si>
  <si>
    <t>WJHR87R88SBD</t>
  </si>
  <si>
    <t>WJHR87R88SGD</t>
  </si>
  <si>
    <t>WJJR85R88SBD</t>
  </si>
  <si>
    <t>WJJR85R88SGD</t>
  </si>
  <si>
    <t>WJJR86R88SCM</t>
  </si>
  <si>
    <t>WJJR87R88SBD</t>
  </si>
  <si>
    <t>WJKR96S20SHM</t>
  </si>
  <si>
    <t>WJLK35U29TM</t>
  </si>
  <si>
    <t>WJLU05U41SGD</t>
  </si>
  <si>
    <t>WJLU57X022S</t>
  </si>
  <si>
    <t>WJO9T18IK6003</t>
  </si>
  <si>
    <t>WJO9W57IK4101</t>
  </si>
  <si>
    <t>WJO9W57IK6200</t>
  </si>
  <si>
    <t>WJPBP40IK4022</t>
  </si>
  <si>
    <t>WJPBP40IK6126</t>
  </si>
  <si>
    <t>WJPBP40IK7322</t>
  </si>
  <si>
    <t>WJPBP40IK8321</t>
  </si>
  <si>
    <t>WJPBR59TS1162</t>
  </si>
  <si>
    <t>WJPBW93VR4683</t>
  </si>
  <si>
    <t>WJPBW93VR6855</t>
  </si>
  <si>
    <t>WJR8V96AS91746</t>
  </si>
  <si>
    <t>WJR8V96AS93096</t>
  </si>
  <si>
    <t>WJR8V96AS96269</t>
  </si>
  <si>
    <t>WJR8V96AS97437</t>
  </si>
  <si>
    <t>WJR8V96AS98329</t>
  </si>
  <si>
    <t>WJS8K99T619606</t>
  </si>
  <si>
    <t>WJS8T05DD81113</t>
  </si>
  <si>
    <t>WJS8T05DD83258</t>
  </si>
  <si>
    <t>WJS8T05DD85128</t>
  </si>
  <si>
    <t>WJS8T05DD88005</t>
  </si>
  <si>
    <t>WJS8T05T671035</t>
  </si>
  <si>
    <t>WJS8T06T687320</t>
  </si>
  <si>
    <t>WJS8T07DD51746</t>
  </si>
  <si>
    <t>WJS8T07DD56032</t>
  </si>
  <si>
    <t>WJS8T07DD61746</t>
  </si>
  <si>
    <t>WJS8T07DD64328</t>
  </si>
  <si>
    <t>WJS8T07DD71209</t>
  </si>
  <si>
    <t>WJS8T07DD71746</t>
  </si>
  <si>
    <t>WJS8T07T696031</t>
  </si>
  <si>
    <t>WJTS29S3811</t>
  </si>
  <si>
    <t>WJTS29S38SGD</t>
  </si>
  <si>
    <t>WJTS65S3811</t>
  </si>
  <si>
    <t>WJTS65S38SGD</t>
  </si>
  <si>
    <t>WJTT54S3811</t>
  </si>
  <si>
    <t>WJVC070MT11822</t>
  </si>
  <si>
    <t>WJYC047IK4080</t>
  </si>
  <si>
    <t>WK17XR7DBGL</t>
  </si>
  <si>
    <t>WK66U39Z724486</t>
  </si>
  <si>
    <t>WK66U39Z725011</t>
  </si>
  <si>
    <t>WK66U39Z726814</t>
  </si>
  <si>
    <t>WK66U39Z728030</t>
  </si>
  <si>
    <t>WK66W21Z734486</t>
  </si>
  <si>
    <t>WK66W21Z735011</t>
  </si>
  <si>
    <t>WK66W21Z736814</t>
  </si>
  <si>
    <t>WK66W21Z738030</t>
  </si>
  <si>
    <t>WK67W20Z714486</t>
  </si>
  <si>
    <t>WK67W20Z715011</t>
  </si>
  <si>
    <t>WK67W20Z716814</t>
  </si>
  <si>
    <t>WK67W20Z718030</t>
  </si>
  <si>
    <t>WKFC096IK1254</t>
  </si>
  <si>
    <t>WKFC096IK1700</t>
  </si>
  <si>
    <t>WKFC096IK3554</t>
  </si>
  <si>
    <t>WKFC096IK6123</t>
  </si>
  <si>
    <t>WKJA704IE11702</t>
  </si>
  <si>
    <t>WKJA704IE15002</t>
  </si>
  <si>
    <t>WKKB397WP42S</t>
  </si>
  <si>
    <t>WKKD061BJ92S</t>
  </si>
  <si>
    <t>WKKD061ECQ2S</t>
  </si>
  <si>
    <t>WKKD061ECQ</t>
  </si>
  <si>
    <t>CURVY SKINNY BLK SN JTBLK LOGO</t>
  </si>
  <si>
    <t>WKKN95BJ92S</t>
  </si>
  <si>
    <t>WKKN95BJ9DIBD</t>
  </si>
  <si>
    <t>WKKN96BJ92S</t>
  </si>
  <si>
    <t>WKRA597LV01035</t>
  </si>
  <si>
    <t>WKRA597LV01746</t>
  </si>
  <si>
    <t>WKRA597LV04900</t>
  </si>
  <si>
    <t>WKRA597LV06068</t>
  </si>
  <si>
    <t>WKRA597LV06490</t>
  </si>
  <si>
    <t>WKRA634LV11035</t>
  </si>
  <si>
    <t>WKRA634LV11794</t>
  </si>
  <si>
    <t>WKRA634LV21035</t>
  </si>
  <si>
    <t>WKRA634LV21746</t>
  </si>
  <si>
    <t>WKRB054LV31035</t>
  </si>
  <si>
    <t>WKRB054LV31794</t>
  </si>
  <si>
    <t>WKRB054NL81490</t>
  </si>
  <si>
    <t>WKRB054NL82387</t>
  </si>
  <si>
    <t>WKW8V02CK41035</t>
  </si>
  <si>
    <t>WKW8V02CK41746</t>
  </si>
  <si>
    <t>WKW8V02CK47337</t>
  </si>
  <si>
    <t>WKW8V02CK48030</t>
  </si>
  <si>
    <t>WKW8Y23CB81035</t>
  </si>
  <si>
    <t>WKW8Y23CB81746</t>
  </si>
  <si>
    <t>WKW8Y23CB87337</t>
  </si>
  <si>
    <t>WKW8Y23CB88030</t>
  </si>
  <si>
    <t>WKWB317YA61014</t>
  </si>
  <si>
    <t>WKWB460YB11700</t>
  </si>
  <si>
    <t>WKWV02DQ61001</t>
  </si>
  <si>
    <t>WKWV02DQ61700</t>
  </si>
  <si>
    <t>WKWV02DQ64100</t>
  </si>
  <si>
    <t>WKWV02GV21001</t>
  </si>
  <si>
    <t>WKWV02GV21700</t>
  </si>
  <si>
    <t>WKWV02GV28393</t>
  </si>
  <si>
    <t>WKWV02GV31001</t>
  </si>
  <si>
    <t>WKWV02GV31779</t>
  </si>
  <si>
    <t>WKWV02GV31836</t>
  </si>
  <si>
    <t>WKWV02GW81001</t>
  </si>
  <si>
    <t>WKWV02GW81700</t>
  </si>
  <si>
    <t>WKWV02GW84439</t>
  </si>
  <si>
    <t>WKWV02HN91987</t>
  </si>
  <si>
    <t>WKWV02LV01001</t>
  </si>
  <si>
    <t>WKWV02LV0</t>
  </si>
  <si>
    <t>CRAFTED W PRIDE ROUNDED VNK</t>
  </si>
  <si>
    <t>WKWV02LV01700</t>
  </si>
  <si>
    <t>WKWV02NH61001</t>
  </si>
  <si>
    <t>WKWV02NH64100</t>
  </si>
  <si>
    <t>WKWV02QP51001</t>
  </si>
  <si>
    <t>WKWV02QP51700</t>
  </si>
  <si>
    <t>WKWV02QX44915</t>
  </si>
  <si>
    <t>WKWV02QZ21001</t>
  </si>
  <si>
    <t>WKWV02QZ4WHT</t>
  </si>
  <si>
    <t>WKWV02QZ71001</t>
  </si>
  <si>
    <t>WKWV02QZ71700</t>
  </si>
  <si>
    <t>WKWV02TD81001</t>
  </si>
  <si>
    <t>WKWV02TD81700</t>
  </si>
  <si>
    <t>WKWV02UU51001</t>
  </si>
  <si>
    <t>WKWV02UU51700</t>
  </si>
  <si>
    <t>WKWV02UU61700</t>
  </si>
  <si>
    <t>WKWV02UU66202</t>
  </si>
  <si>
    <t>WKWV02UU71001</t>
  </si>
  <si>
    <t>WKWV02UU71700</t>
  </si>
  <si>
    <t>WKWV02VZ71700</t>
  </si>
  <si>
    <t>WKWV02WE61001</t>
  </si>
  <si>
    <t>WKWV02WE61700</t>
  </si>
  <si>
    <t>WKWV02WF11001</t>
  </si>
  <si>
    <t>WKWV02WF11700</t>
  </si>
  <si>
    <t>WKWV02YB01700</t>
  </si>
  <si>
    <t>WKWV02YB06060</t>
  </si>
  <si>
    <t>WKWV02YB21700</t>
  </si>
  <si>
    <t>WKWX19JV74143</t>
  </si>
  <si>
    <t>WKWX19XO01001</t>
  </si>
  <si>
    <t>WKWX19XO01700</t>
  </si>
  <si>
    <t>WKWY33NH51001</t>
  </si>
  <si>
    <t>WKWY33NH51702</t>
  </si>
  <si>
    <t>WKWY33NH56000</t>
  </si>
  <si>
    <t>WKWY33NH56132</t>
  </si>
  <si>
    <t>WKWY33NH71001</t>
  </si>
  <si>
    <t>WKWY33QP41700</t>
  </si>
  <si>
    <t>WKWY33QP44915</t>
  </si>
  <si>
    <t>WKWY33SL71700</t>
  </si>
  <si>
    <t>WKWY33SX21700</t>
  </si>
  <si>
    <t>WKWY33SX26000</t>
  </si>
  <si>
    <t>WKWY33UU41700</t>
  </si>
  <si>
    <t>WKWY33UU44067</t>
  </si>
  <si>
    <t>WKWY33UX11001</t>
  </si>
  <si>
    <t>WKWY33UX11700</t>
  </si>
  <si>
    <t>WKWY33XO91100</t>
  </si>
  <si>
    <t>WKWY33YB41700</t>
  </si>
  <si>
    <t>WKZB385SE21473</t>
  </si>
  <si>
    <t>WKZB385SE24500</t>
  </si>
  <si>
    <t>WKZB385SE26807</t>
  </si>
  <si>
    <t>WKZB425SE21096</t>
  </si>
  <si>
    <t>WKZB425SE21473</t>
  </si>
  <si>
    <t>WKZV02YP31473</t>
  </si>
  <si>
    <t>WKZV02YP36807</t>
  </si>
  <si>
    <t>WL4BM18IK8045</t>
  </si>
  <si>
    <t>WL4BM18IKC4495</t>
  </si>
  <si>
    <t>WL78145AS78346</t>
  </si>
  <si>
    <t>WL78145AS86838</t>
  </si>
  <si>
    <t>WL78145EG1033</t>
  </si>
  <si>
    <t>WL78145EG1746</t>
  </si>
  <si>
    <t>WL78145EG3022</t>
  </si>
  <si>
    <t>WL78145EG3045</t>
  </si>
  <si>
    <t>WL78145EG3347</t>
  </si>
  <si>
    <t>WL78145EG4134</t>
  </si>
  <si>
    <t>WL78145EG4529</t>
  </si>
  <si>
    <t>WL78145EG5013</t>
  </si>
  <si>
    <t>WL78145EG6122</t>
  </si>
  <si>
    <t>WL78145EG6205</t>
  </si>
  <si>
    <t>WL78145EG6806</t>
  </si>
  <si>
    <t>WL78145EG7112</t>
  </si>
  <si>
    <t>WL78145EG7413</t>
  </si>
  <si>
    <t>WL78145EG8010</t>
  </si>
  <si>
    <t>WL78145EG8315</t>
  </si>
  <si>
    <t>WL78145Z511901</t>
  </si>
  <si>
    <t>WL78145Z541199</t>
  </si>
  <si>
    <t>WL78145Z554809</t>
  </si>
  <si>
    <t>WLAV02XS51700</t>
  </si>
  <si>
    <t>WLAV02XS56000</t>
  </si>
  <si>
    <t>WLAY33NH51001</t>
  </si>
  <si>
    <t>WLAY33NH51700</t>
  </si>
  <si>
    <t>WLAY33XQ85146</t>
  </si>
  <si>
    <t>WLAY33YW31700</t>
  </si>
  <si>
    <t>WLB6U39W181113</t>
  </si>
  <si>
    <t>WLB6U39W226031</t>
  </si>
  <si>
    <t>WLB6U39W584474</t>
  </si>
  <si>
    <t>WLB7T08T701165</t>
  </si>
  <si>
    <t>WLB7T08T701746</t>
  </si>
  <si>
    <t>WLB7T08T704434</t>
  </si>
  <si>
    <t>WLB7T08T705136</t>
  </si>
  <si>
    <t>WLB7T08T706332</t>
  </si>
  <si>
    <t>WLB7T08T708051</t>
  </si>
  <si>
    <t>WLB7T08W171165</t>
  </si>
  <si>
    <t>WLB7T08W216036</t>
  </si>
  <si>
    <t>WLB7T08W574473</t>
  </si>
  <si>
    <t>WLC8U38CI01100</t>
  </si>
  <si>
    <t>WLC8U38CI01746</t>
  </si>
  <si>
    <t>WLC8U38CI04816</t>
  </si>
  <si>
    <t>WLC8U38CI07388</t>
  </si>
  <si>
    <t>WLC8U38P991746</t>
  </si>
  <si>
    <t>WLC8U38P995062</t>
  </si>
  <si>
    <t>WLC8U38T531522</t>
  </si>
  <si>
    <t>WLC8U38T531746</t>
  </si>
  <si>
    <t>WLC8U38T535062</t>
  </si>
  <si>
    <t>WLC8U38T536125</t>
  </si>
  <si>
    <t>WLC8W18Z994525</t>
  </si>
  <si>
    <t>WLC8W18Z997435</t>
  </si>
  <si>
    <t>WLC8W19Z706814</t>
  </si>
  <si>
    <t>WLC8W19Z707435</t>
  </si>
  <si>
    <t>WLC8W19Z708030</t>
  </si>
  <si>
    <t>WLFB427YD01700</t>
  </si>
  <si>
    <t>WLFB430YX21001</t>
  </si>
  <si>
    <t>WLFB430YX21700</t>
  </si>
  <si>
    <t>WLFV02YX11001</t>
  </si>
  <si>
    <t>WLFV02YX11700</t>
  </si>
  <si>
    <t>WLFV02YX17326</t>
  </si>
  <si>
    <t>WLFX19HI01700</t>
  </si>
  <si>
    <t>WLFX19XQ61700</t>
  </si>
  <si>
    <t>WLFX19XQ63000</t>
  </si>
  <si>
    <t>WLH4J22BCS2S</t>
  </si>
  <si>
    <t>WLH502HF8AQAD</t>
  </si>
  <si>
    <t>WLH564DG7V8M</t>
  </si>
  <si>
    <t>WLH564HF7APZD</t>
  </si>
  <si>
    <t>WLH564HF83M</t>
  </si>
  <si>
    <t>WLH572BCS2S</t>
  </si>
  <si>
    <t>WLH572DG7V8M</t>
  </si>
  <si>
    <t>WLH572HF6APUD</t>
  </si>
  <si>
    <t>WLH572HF9BATM</t>
  </si>
  <si>
    <t>WLH572TS11</t>
  </si>
  <si>
    <t>WLH592BCS2S</t>
  </si>
  <si>
    <t>WLH592EM2V</t>
  </si>
  <si>
    <t>WLH592SHF6AQKM</t>
  </si>
  <si>
    <t>WLH592SHF911</t>
  </si>
  <si>
    <t>WLH592SMU0AUFD</t>
  </si>
  <si>
    <t>WLH592TS11</t>
  </si>
  <si>
    <t>WLH599DG7V8M</t>
  </si>
  <si>
    <t>WLH599S232S</t>
  </si>
  <si>
    <t>WLH599S23</t>
  </si>
  <si>
    <t>SKINNY W/FLAPS ROSE METALLIC L</t>
  </si>
  <si>
    <t>WLH599SHE8AUEM</t>
  </si>
  <si>
    <t>WLH599SHF7APYM</t>
  </si>
  <si>
    <t>WLHC213SH12V</t>
  </si>
  <si>
    <t>WLHC327SG911</t>
  </si>
  <si>
    <t>WLHC327SH12V</t>
  </si>
  <si>
    <t>WLHQ99P98SIM</t>
  </si>
  <si>
    <t>WLHR02P98S2S</t>
  </si>
  <si>
    <t>WLHR02P98SSIM</t>
  </si>
  <si>
    <t>WLHR02P98STIM</t>
  </si>
  <si>
    <t>WLHR88S4463</t>
  </si>
  <si>
    <t>WLHR88S44SAD</t>
  </si>
  <si>
    <t>WLHR88S44SGD</t>
  </si>
  <si>
    <t>WLHR91S44SAD</t>
  </si>
  <si>
    <t>WLHS67P982S</t>
  </si>
  <si>
    <t>WLHS67P98SIM</t>
  </si>
  <si>
    <t>WLHS68P98SIM</t>
  </si>
  <si>
    <t>WLHS68P98TIM</t>
  </si>
  <si>
    <t>WLHS69P98SIM</t>
  </si>
  <si>
    <t>WLHS69P98TIM</t>
  </si>
  <si>
    <t>WLIB409XL51700</t>
  </si>
  <si>
    <t>WLK8K99AG91746</t>
  </si>
  <si>
    <t>WLK8K99AQ51746</t>
  </si>
  <si>
    <t>WLK8K99BE26205</t>
  </si>
  <si>
    <t>WLK8K99DD31964</t>
  </si>
  <si>
    <t>WLK8K99DD33448</t>
  </si>
  <si>
    <t>WLK8K99DD35141</t>
  </si>
  <si>
    <t>WLK8K99DD36356</t>
  </si>
  <si>
    <t>WLK8K99DD37392</t>
  </si>
  <si>
    <t>WLK8K99W161528</t>
  </si>
  <si>
    <t>WLK8K99W161865</t>
  </si>
  <si>
    <t>WLK8K99W164130</t>
  </si>
  <si>
    <t>WLK8K99W165031</t>
  </si>
  <si>
    <t>WLK8K99Z421746</t>
  </si>
  <si>
    <t>WLK8K99Z431746</t>
  </si>
  <si>
    <t>WLK8K99Z441746</t>
  </si>
  <si>
    <t>WLK8K99Z448315</t>
  </si>
  <si>
    <t>WLK8K99Z451746</t>
  </si>
  <si>
    <t>WLK8K99Z461746</t>
  </si>
  <si>
    <t>WLK8K99Z466030</t>
  </si>
  <si>
    <t>WLK8K99Z481746</t>
  </si>
  <si>
    <t>WLK8K99Z491746</t>
  </si>
  <si>
    <t>WLK8K99Z494134</t>
  </si>
  <si>
    <t>WLK8K99Z696806</t>
  </si>
  <si>
    <t>WLK8U37W321746</t>
  </si>
  <si>
    <t>WLK8U37W326122</t>
  </si>
  <si>
    <t>WLK8U37W341746</t>
  </si>
  <si>
    <t>WLK8W08Z577439</t>
  </si>
  <si>
    <t>WLK8W08Z584314</t>
  </si>
  <si>
    <t>WLKJ8K99EG3233</t>
  </si>
  <si>
    <t>WLKJ8K99EG3234</t>
  </si>
  <si>
    <t>WLKJ8K99EG4294</t>
  </si>
  <si>
    <t>WLKJ8K99EG5076</t>
  </si>
  <si>
    <t>WLKJ8K99EG6252</t>
  </si>
  <si>
    <t>WLNN96U281171</t>
  </si>
  <si>
    <t>WLNR88S451042</t>
  </si>
  <si>
    <t>WLNR88S452011</t>
  </si>
  <si>
    <t>WLNR88S454173</t>
  </si>
  <si>
    <t>WLNR89S452011</t>
  </si>
  <si>
    <t>WLNR89S454173</t>
  </si>
  <si>
    <t>WLNS22S331035</t>
  </si>
  <si>
    <t>WLNS22S331119</t>
  </si>
  <si>
    <t>WLNS22S332012</t>
  </si>
  <si>
    <t>WLNS22S336225</t>
  </si>
  <si>
    <t>WLNS24S331035</t>
  </si>
  <si>
    <t>WLNS24S332012</t>
  </si>
  <si>
    <t>WLNT43U284288</t>
  </si>
  <si>
    <t>WLNT43U286146</t>
  </si>
  <si>
    <t>WLPTR18141462</t>
  </si>
  <si>
    <t>WLPTR18146132</t>
  </si>
  <si>
    <t>WLS4R28EG6828</t>
  </si>
  <si>
    <t>WLS7P07Z688333</t>
  </si>
  <si>
    <t>WLS7P07Z696830</t>
  </si>
  <si>
    <t>WLS7P07Z984805</t>
  </si>
  <si>
    <t>WLUP38K321910</t>
  </si>
  <si>
    <t>WLUP38K324321</t>
  </si>
  <si>
    <t>WLUP38K326836</t>
  </si>
  <si>
    <t>WLUP38K326845</t>
  </si>
  <si>
    <t>WLUP38K327429</t>
  </si>
  <si>
    <t>WLUR12K321910</t>
  </si>
  <si>
    <t>WLUR12K321911</t>
  </si>
  <si>
    <t>WLUR12K324321</t>
  </si>
  <si>
    <t>WLUR12K325327</t>
  </si>
  <si>
    <t>WLUR12K326836</t>
  </si>
  <si>
    <t>WLUR12K327429</t>
  </si>
  <si>
    <t>WLUS72U151056</t>
  </si>
  <si>
    <t>WLUS72U151116</t>
  </si>
  <si>
    <t>WLUS72U152122</t>
  </si>
  <si>
    <t>WLUS72U153026</t>
  </si>
  <si>
    <t>WLUS72U154158</t>
  </si>
  <si>
    <t>WLUS73U151056</t>
  </si>
  <si>
    <t>WLUS74U151116</t>
  </si>
  <si>
    <t>WLUS74U151510</t>
  </si>
  <si>
    <t>WLUS74U152122</t>
  </si>
  <si>
    <t>WLUS74U153026</t>
  </si>
  <si>
    <t>WLUS74U153063</t>
  </si>
  <si>
    <t>WLUS74U154158</t>
  </si>
  <si>
    <t>WLUS74U155034</t>
  </si>
  <si>
    <t>WLUS74U156223</t>
  </si>
  <si>
    <t>WLUS74U157226</t>
  </si>
  <si>
    <t>WLUS74U158323</t>
  </si>
  <si>
    <t>WLUS75U156619</t>
  </si>
  <si>
    <t>WLUV37K321910</t>
  </si>
  <si>
    <t>WLUV37K321911</t>
  </si>
  <si>
    <t>WLUV37K325327</t>
  </si>
  <si>
    <t>WLUV37K326836</t>
  </si>
  <si>
    <t>WLUV37K327429</t>
  </si>
  <si>
    <t>WLUW57K321910</t>
  </si>
  <si>
    <t>WLUW57K321911</t>
  </si>
  <si>
    <t>WLUW57K324321</t>
  </si>
  <si>
    <t>WLUW57K325327</t>
  </si>
  <si>
    <t>WLUW57K326836</t>
  </si>
  <si>
    <t>WLUW57K327429</t>
  </si>
  <si>
    <t>WLVQ85U131108</t>
  </si>
  <si>
    <t>WLVQ85U131511</t>
  </si>
  <si>
    <t>WLVQ85U133024</t>
  </si>
  <si>
    <t>WLVQ85U134128</t>
  </si>
  <si>
    <t>WLVQ85U135032</t>
  </si>
  <si>
    <t>WLVQ85U136037</t>
  </si>
  <si>
    <t>WLVS64U131024</t>
  </si>
  <si>
    <t>WLVS64U132118</t>
  </si>
  <si>
    <t>WLVS64U133024</t>
  </si>
  <si>
    <t>WLVS64U134128</t>
  </si>
  <si>
    <t>WLVS71U135032</t>
  </si>
  <si>
    <t>WLVS71U136627</t>
  </si>
  <si>
    <t>WLVU03U135032</t>
  </si>
  <si>
    <t>WLW8K99BE21505</t>
  </si>
  <si>
    <t>WLW8K99DD31545</t>
  </si>
  <si>
    <t>WLW8K99Z471505</t>
  </si>
  <si>
    <t>WLW8K99Z471746</t>
  </si>
  <si>
    <t>WLZN95TSCTCM</t>
  </si>
  <si>
    <t>WLZN95TSCTDD</t>
  </si>
  <si>
    <t>WM46H70EH1202</t>
  </si>
  <si>
    <t>WM46H70EH3195</t>
  </si>
  <si>
    <t>WM46H70EH6834</t>
  </si>
  <si>
    <t>WM46H70EH7443</t>
  </si>
  <si>
    <t>WM46H70ET91001</t>
  </si>
  <si>
    <t>WM46H70GM81035</t>
  </si>
  <si>
    <t>WM46Q321739</t>
  </si>
  <si>
    <t>WM46Q324167</t>
  </si>
  <si>
    <t>WM46Q326125</t>
  </si>
  <si>
    <t>WM46Q327320</t>
  </si>
  <si>
    <t>WM46Q32U891739</t>
  </si>
  <si>
    <t>WM46Q32U891746</t>
  </si>
  <si>
    <t>WM46Q32U894167</t>
  </si>
  <si>
    <t>WM46Q32U906125</t>
  </si>
  <si>
    <t>WM47L61EH7442</t>
  </si>
  <si>
    <t>WM47L61ET91001</t>
  </si>
  <si>
    <t>WM47L61ET91035</t>
  </si>
  <si>
    <t>WM47L61ET96381</t>
  </si>
  <si>
    <t>WM47L61ET96383</t>
  </si>
  <si>
    <t>WM47T11T761740</t>
  </si>
  <si>
    <t>WM47T11T764162</t>
  </si>
  <si>
    <t>WM47T11T776122</t>
  </si>
  <si>
    <t>WM47T11T777321</t>
  </si>
  <si>
    <t>WMA564IT7BZTM</t>
  </si>
  <si>
    <t>WMA564IT7BZXM</t>
  </si>
  <si>
    <t>WMA564OMBZMD</t>
  </si>
  <si>
    <t>WMA599SIT7BZVD</t>
  </si>
  <si>
    <t>WMA599SY9CDUD</t>
  </si>
  <si>
    <t>WMAC100HE8BZTM</t>
  </si>
  <si>
    <t>WMAC100MU0BZMD</t>
  </si>
  <si>
    <t>WMAN95MU0BZTM</t>
  </si>
  <si>
    <t>WMAN95MU0BZXM</t>
  </si>
  <si>
    <t>WMAN96TC1BZVD</t>
  </si>
  <si>
    <t>WMAQ70IT7BZVD</t>
  </si>
  <si>
    <t>WMC433TSCIAD</t>
  </si>
  <si>
    <t>WMC592SOMCZND</t>
  </si>
  <si>
    <t>WMC592STSCBXM</t>
  </si>
  <si>
    <t>WMC599STSCIAD</t>
  </si>
  <si>
    <t>WMC599STSCYMD</t>
  </si>
  <si>
    <t>WMC599STSCYPM</t>
  </si>
  <si>
    <t>WMC599SWH511</t>
  </si>
  <si>
    <t>WMCB379KL3CFNM</t>
  </si>
  <si>
    <t>WMCB379OMCYRD</t>
  </si>
  <si>
    <t>WMCB379YC6DDOM</t>
  </si>
  <si>
    <t>WMCB473XR4CZND</t>
  </si>
  <si>
    <t>WMCC100TS2S</t>
  </si>
  <si>
    <t>WMCC100WO4CZND</t>
  </si>
  <si>
    <t>WMCC562TSCFMD</t>
  </si>
  <si>
    <t>WMCC562TSCFNM</t>
  </si>
  <si>
    <t>WMCD039KL3CFNM</t>
  </si>
  <si>
    <t>WMCN95EB11</t>
  </si>
  <si>
    <t>WMCN95OMCFMD</t>
  </si>
  <si>
    <t>WMCN95OMWCFNM</t>
  </si>
  <si>
    <t>WMCN95TL7BKYM</t>
  </si>
  <si>
    <t>WMCN95TS2S</t>
  </si>
  <si>
    <t>WMCN95TSCHXM</t>
  </si>
  <si>
    <t>WMCN96OMCFNM</t>
  </si>
  <si>
    <t>WMCN96TSCCBD</t>
  </si>
  <si>
    <t>WMCN96TSCNZL</t>
  </si>
  <si>
    <t>WMJ8K99Z501902</t>
  </si>
  <si>
    <t>WMJ8K99Z521902</t>
  </si>
  <si>
    <t>WMJ8K99Z531902</t>
  </si>
  <si>
    <t>WMJ8W10Z634802</t>
  </si>
  <si>
    <t>WMJ8W10Z646175</t>
  </si>
  <si>
    <t>WMK6U87C504282</t>
  </si>
  <si>
    <t>WMK6U87C505062</t>
  </si>
  <si>
    <t>WMK7P07C504282</t>
  </si>
  <si>
    <t>WMK7P07C505062</t>
  </si>
  <si>
    <t>WMOA327IK4716</t>
  </si>
  <si>
    <t>WMOBR59TS4276</t>
  </si>
  <si>
    <t>WMUBU25IK2068</t>
  </si>
  <si>
    <t>WNGBT13BE66173</t>
  </si>
  <si>
    <t>WNGBT13IK1275</t>
  </si>
  <si>
    <t>WNGBT13IK4489</t>
  </si>
  <si>
    <t>WNGBT13IK6173</t>
  </si>
  <si>
    <t>WNNW28X943203</t>
  </si>
  <si>
    <t>WNNW28X944320</t>
  </si>
  <si>
    <t>WNNW28X946259</t>
  </si>
  <si>
    <t>WNNW28X947348</t>
  </si>
  <si>
    <t>WNQS98PY351914</t>
  </si>
  <si>
    <t>WNQS98PY352636</t>
  </si>
  <si>
    <t>WNQS98PY354627</t>
  </si>
  <si>
    <t>WNQS98PY355082</t>
  </si>
  <si>
    <t>WNQS98PY356840</t>
  </si>
  <si>
    <t>WNQS98PY357431</t>
  </si>
  <si>
    <t>WNQS98Y351917</t>
  </si>
  <si>
    <t>WNQS98Y352637</t>
  </si>
  <si>
    <t>WNQS98Y354561</t>
  </si>
  <si>
    <t>WNQS98Y355083</t>
  </si>
  <si>
    <t>WNQS98Y356841</t>
  </si>
  <si>
    <t>WNQS98Y357432</t>
  </si>
  <si>
    <t>WNQV35PY351914</t>
  </si>
  <si>
    <t>WNQV35PY352636</t>
  </si>
  <si>
    <t>WNQV35PY354627</t>
  </si>
  <si>
    <t>WNQV35PY355082</t>
  </si>
  <si>
    <t>WNQV35PY356840</t>
  </si>
  <si>
    <t>WNQV35PY357431</t>
  </si>
  <si>
    <t>WNQV35Y351917</t>
  </si>
  <si>
    <t>WNQV35Y352637</t>
  </si>
  <si>
    <t>WNQV35Y354561</t>
  </si>
  <si>
    <t>WNQV35Y355083</t>
  </si>
  <si>
    <t>WNQV35Y356841</t>
  </si>
  <si>
    <t>WNQV35Y357432</t>
  </si>
  <si>
    <t>WNRB068MO3DGPL</t>
  </si>
  <si>
    <t>WNRM31TSDGWL</t>
  </si>
  <si>
    <t>WNSA620QK3CBCL</t>
  </si>
  <si>
    <t>WNSC122QK3CBCL</t>
  </si>
  <si>
    <t>WNSC176QK3CBCL</t>
  </si>
  <si>
    <t>WNSC177QK3CBCL</t>
  </si>
  <si>
    <t>WNSC178QK3CBCL</t>
  </si>
  <si>
    <t>WNTC175QK6CDML</t>
  </si>
  <si>
    <t>WNTC210QK6CDML</t>
  </si>
  <si>
    <t>WNWB204FC31001</t>
  </si>
  <si>
    <t>WNWB323VV91001</t>
  </si>
  <si>
    <t>WNXB205MU31001</t>
  </si>
  <si>
    <t>WNXB205MU31700</t>
  </si>
  <si>
    <t>WNXB205MU35000</t>
  </si>
  <si>
    <t>WNXB205MU36000</t>
  </si>
  <si>
    <t>WNXB205UH31001</t>
  </si>
  <si>
    <t>WNXB205UH31700</t>
  </si>
  <si>
    <t>WNXB445EAH1001</t>
  </si>
  <si>
    <t>WNXB445YY71001</t>
  </si>
  <si>
    <t>WNXB445YY7</t>
  </si>
  <si>
    <t>WNXB445YY71700</t>
  </si>
  <si>
    <t>WNXB445YY76000</t>
  </si>
  <si>
    <t>WNXB445YY76500</t>
  </si>
  <si>
    <t>GO PINK</t>
  </si>
  <si>
    <t>WNXH001EHP1001</t>
  </si>
  <si>
    <t>WNXH001EHP</t>
  </si>
  <si>
    <t>STEP HEM WSTRN SHRT STUD LOGO</t>
  </si>
  <si>
    <t>WNXH001EHP1700</t>
  </si>
  <si>
    <t>WOA599SXD0CZBD</t>
  </si>
  <si>
    <t>WOAA817OMDDPD</t>
  </si>
  <si>
    <t>WOAN95NBTCZBD</t>
  </si>
  <si>
    <t>WOAN96HE8CZBD</t>
  </si>
  <si>
    <t>WOAN96Y9CZBD</t>
  </si>
  <si>
    <t>WOB503OMDDPD</t>
  </si>
  <si>
    <t>WOB564HE8CZCM</t>
  </si>
  <si>
    <t>WOB564MU6DIAL</t>
  </si>
  <si>
    <t>WOB564VI9CZPM</t>
  </si>
  <si>
    <t>WOB592SS05CZCM</t>
  </si>
  <si>
    <t>WOB592STSDGML</t>
  </si>
  <si>
    <t>WOB592SWT1CZCM</t>
  </si>
  <si>
    <t>WOB599STSCZAM</t>
  </si>
  <si>
    <t>WOB599SWO5CZPM</t>
  </si>
  <si>
    <t>WOBA817KB5DGNM</t>
  </si>
  <si>
    <t>WOBB068OMDDPL</t>
  </si>
  <si>
    <t>WOBB068Y9CZML</t>
  </si>
  <si>
    <t>WOBB473OMCZML</t>
  </si>
  <si>
    <t>WOBC100JV0CYMD</t>
  </si>
  <si>
    <t>WOBJ58ZL8DGWL</t>
  </si>
  <si>
    <t>WOBN95WO3CZML</t>
  </si>
  <si>
    <t>WOBN95YD3DDPL</t>
  </si>
  <si>
    <t>WOBN96VJ0CZPM</t>
  </si>
  <si>
    <t>WOBN96WT3CYRD</t>
  </si>
  <si>
    <t>WOBN96WU1CZCM</t>
  </si>
  <si>
    <t>WOC599SWH4CZDD</t>
  </si>
  <si>
    <t>WOE599SXT0CZQL</t>
  </si>
  <si>
    <t>WOG592SEIX4143</t>
  </si>
  <si>
    <t>WOG592SEIX</t>
  </si>
  <si>
    <t>SKINNY WASHED COATED</t>
  </si>
  <si>
    <t>DMT WILDEST DREAM INDIGO</t>
  </si>
  <si>
    <t>WOGC591TSM5101</t>
  </si>
  <si>
    <t>WOGC591WU46000</t>
  </si>
  <si>
    <t>WOGH041EIS3071</t>
  </si>
  <si>
    <t>WOGH041EIS</t>
  </si>
  <si>
    <t>S SKINNY CAMO MOTO ZIP PKTS</t>
  </si>
  <si>
    <t>WOGH052EIU3071</t>
  </si>
  <si>
    <t>WOGH052EIU</t>
  </si>
  <si>
    <t>CRVY SKINNY W FLPS WASH COATED</t>
  </si>
  <si>
    <t>DMT WILDEST DREAM OLIVE</t>
  </si>
  <si>
    <t>WOGN95SG03071</t>
  </si>
  <si>
    <t>WOGN95SG11200</t>
  </si>
  <si>
    <t>WOGN96EKT4401</t>
  </si>
  <si>
    <t>WOGN96EKT</t>
  </si>
  <si>
    <t>SUPR SKNY W FLP CRYSTL AQUA SN</t>
  </si>
  <si>
    <t>MANHATTAN SKY AQUA GREEN</t>
  </si>
  <si>
    <t>WOH592SEEKDMOD</t>
  </si>
  <si>
    <t>WOH592SEEK</t>
  </si>
  <si>
    <t>WOH599SBJ92S</t>
  </si>
  <si>
    <t>WOH599SECTDKYD</t>
  </si>
  <si>
    <t>WOH599SECT</t>
  </si>
  <si>
    <t>SKINNY FLAP GREY BIG T</t>
  </si>
  <si>
    <t>DKYD</t>
  </si>
  <si>
    <t>DKYD SILVR DREAM</t>
  </si>
  <si>
    <t>WOHC591BJ92S</t>
  </si>
  <si>
    <t>WOHC591BJ9DMOD</t>
  </si>
  <si>
    <t>WOHC591TSM2S</t>
  </si>
  <si>
    <t>WOHC936EAGDGUD</t>
  </si>
  <si>
    <t>WOHD061BJ92S</t>
  </si>
  <si>
    <t>WOHD061BJ9</t>
  </si>
  <si>
    <t>WOHH031BJ9DKYD</t>
  </si>
  <si>
    <t>WOHH031BJ9</t>
  </si>
  <si>
    <t>MOTO LEGGING BLACK SN</t>
  </si>
  <si>
    <t>WOHH035BJ9DKYD</t>
  </si>
  <si>
    <t>WOHH035BJ9</t>
  </si>
  <si>
    <t>STARLET FLARE FLP ALL OVBLK SN</t>
  </si>
  <si>
    <t>WOHH041BJ9DKYD</t>
  </si>
  <si>
    <t>WOHH041BJ9</t>
  </si>
  <si>
    <t>MOTO SUPER SKINNY BLACK SN</t>
  </si>
  <si>
    <t>WOHN96ECQDKYD</t>
  </si>
  <si>
    <t>WOHN96ECQ</t>
  </si>
  <si>
    <t>SUPER SKINNY FLAP BLACK SN</t>
  </si>
  <si>
    <t>WOKC591EMDGTM</t>
  </si>
  <si>
    <t>WOKC591OMM11</t>
  </si>
  <si>
    <t>WOKC591OMM3M</t>
  </si>
  <si>
    <t>WOKC591WP5CDSL</t>
  </si>
  <si>
    <t>WOKC591WVODAMM</t>
  </si>
  <si>
    <t>WOKC591YD4DDSL</t>
  </si>
  <si>
    <t>WOKC935E411</t>
  </si>
  <si>
    <t>WOKC935TSDGML</t>
  </si>
  <si>
    <t>WOKC936TS11</t>
  </si>
  <si>
    <t>WOKC936TSM11</t>
  </si>
  <si>
    <t>WOKD061OM11</t>
  </si>
  <si>
    <t>WOKD061OM</t>
  </si>
  <si>
    <t>CURVY SKINNY OLD MULTI SN</t>
  </si>
  <si>
    <t>WOKN95EEEDMRD</t>
  </si>
  <si>
    <t>WOKN95EEE</t>
  </si>
  <si>
    <t>SUPER SKINNY CRYSTAL LOGO</t>
  </si>
  <si>
    <t>DMRD</t>
  </si>
  <si>
    <t>DMRD MAPLE TRKS</t>
  </si>
  <si>
    <t>WOL592SWP31001</t>
  </si>
  <si>
    <t>WOL599SBJ91001</t>
  </si>
  <si>
    <t>WOLA817SQ7OPW</t>
  </si>
  <si>
    <t>WOLB398WP51704</t>
  </si>
  <si>
    <t>WOLC591TSDDQL</t>
  </si>
  <si>
    <t>WOLC711WP51704</t>
  </si>
  <si>
    <t>WOLC936BJ9DGUD</t>
  </si>
  <si>
    <t>WOLD061BJ91001</t>
  </si>
  <si>
    <t>WOLD061BJ9</t>
  </si>
  <si>
    <t>CURVY SKINNY RIPPED TORN</t>
  </si>
  <si>
    <t>CMF BLACK RIPPED &amp; TORN</t>
  </si>
  <si>
    <t>WOLJ58WO67000</t>
  </si>
  <si>
    <t>WOLN95TS1800</t>
  </si>
  <si>
    <t>WOLN95TS</t>
  </si>
  <si>
    <t>DIC OPTIC WHITE SLIT</t>
  </si>
  <si>
    <t>WOLN95WO64000</t>
  </si>
  <si>
    <t>WOLN95WO66000</t>
  </si>
  <si>
    <t>WOLN95WO66315</t>
  </si>
  <si>
    <t>WOLN96FN54602</t>
  </si>
  <si>
    <t>WOLN96FN56901</t>
  </si>
  <si>
    <t>WOLN96WP15102</t>
  </si>
  <si>
    <t>WOLN96WP23071</t>
  </si>
  <si>
    <t>WOLN96YS2DDQL</t>
  </si>
  <si>
    <t>WONB445MU36000</t>
  </si>
  <si>
    <t>WONB445MU3</t>
  </si>
  <si>
    <t>PLAID DN SLIM WESTERN</t>
  </si>
  <si>
    <t>CHERRY / CREAM PLAID</t>
  </si>
  <si>
    <t>WOUC040QV21700</t>
  </si>
  <si>
    <t>WOUC040QV24131</t>
  </si>
  <si>
    <t>WOUC040QV26497</t>
  </si>
  <si>
    <t>WOUC067MT61272</t>
  </si>
  <si>
    <t>WOUC067MT66300</t>
  </si>
  <si>
    <t>WOUC197NW64002</t>
  </si>
  <si>
    <t>WOY503TT3DGSM</t>
  </si>
  <si>
    <t>WOY564OM2S</t>
  </si>
  <si>
    <t>WOY564Y9DGNM</t>
  </si>
  <si>
    <t>WOY592SEKYDUBM</t>
  </si>
  <si>
    <t>WOY592SEKY</t>
  </si>
  <si>
    <t>SKINNY NATURALINE SUPER T</t>
  </si>
  <si>
    <t>DUBM</t>
  </si>
  <si>
    <t>DUBM SECRET BLIS</t>
  </si>
  <si>
    <t>WOY592SKN9DUSD</t>
  </si>
  <si>
    <t>WOY592SKN9</t>
  </si>
  <si>
    <t>SKINNY FOSSIL SILK SN</t>
  </si>
  <si>
    <t>DUSD</t>
  </si>
  <si>
    <t>DUSD PUSHING TME</t>
  </si>
  <si>
    <t>WOY592SOMDGZM</t>
  </si>
  <si>
    <t>WOY599SEIIDNPD</t>
  </si>
  <si>
    <t>WOY599SEII</t>
  </si>
  <si>
    <t>S SKNY S T W FLPS KNEE SLITS</t>
  </si>
  <si>
    <t>DNPD</t>
  </si>
  <si>
    <t>DNPD AUTMNHTS KS</t>
  </si>
  <si>
    <t>WOY599STSDHBD</t>
  </si>
  <si>
    <t>WOY599SZM9DGSM</t>
  </si>
  <si>
    <t>WOY599SZN1DGKD</t>
  </si>
  <si>
    <t>WOYC100KL3DHBD</t>
  </si>
  <si>
    <t>WOYC100OMDIAL</t>
  </si>
  <si>
    <t>WOYD083EMDGTM</t>
  </si>
  <si>
    <t>WOYD083KL3DIAL</t>
  </si>
  <si>
    <t>WOYD083OMDIAL</t>
  </si>
  <si>
    <t>WOYD084TSDGZM</t>
  </si>
  <si>
    <t>WOYD084Z14DGRD</t>
  </si>
  <si>
    <t>WOYD087OMDGKD</t>
  </si>
  <si>
    <t>WOYD088WT1DUAL</t>
  </si>
  <si>
    <t>WOYD088WT1</t>
  </si>
  <si>
    <t>SLIM STRGHT LET OUT HEM SUPE T</t>
  </si>
  <si>
    <t>DUAL</t>
  </si>
  <si>
    <t>DUAL LOW TIDE KS</t>
  </si>
  <si>
    <t>WOYD088ZN3DGQM</t>
  </si>
  <si>
    <t>WOYG10OMBKYM</t>
  </si>
  <si>
    <t>WOYG10ZN4DGJL</t>
  </si>
  <si>
    <t>WOYH052EKRDUCM</t>
  </si>
  <si>
    <t>WOYH052EKR</t>
  </si>
  <si>
    <t>CURVY SKNY W FLP DSTRYD DC SN</t>
  </si>
  <si>
    <t>DUCM</t>
  </si>
  <si>
    <t>DUCM SCRET BLS R</t>
  </si>
  <si>
    <t>WOYN95EIPDMSM</t>
  </si>
  <si>
    <t>WOYN95EIP</t>
  </si>
  <si>
    <t>SUPER SKINNY SUPER T</t>
  </si>
  <si>
    <t>DMSM</t>
  </si>
  <si>
    <t>DMSM FIRST SNOW</t>
  </si>
  <si>
    <t>WOYN95OMDUJL</t>
  </si>
  <si>
    <t>WOYN95OM</t>
  </si>
  <si>
    <t>SUPER SKNY SUPER DSTRYD OM SN</t>
  </si>
  <si>
    <t>DUJL</t>
  </si>
  <si>
    <t>DUJL FALLN LT RP</t>
  </si>
  <si>
    <t>WOYN95TSDGVD</t>
  </si>
  <si>
    <t>WOYN95ZN011</t>
  </si>
  <si>
    <t>WOYN95ZN2DGQM</t>
  </si>
  <si>
    <t>WOYN96EKODUBM</t>
  </si>
  <si>
    <t>WOYN96EKO</t>
  </si>
  <si>
    <t>SUPER SKINNY W FLAP NAT BIG T</t>
  </si>
  <si>
    <t>WOYN96KB52S</t>
  </si>
  <si>
    <t>WOYN96OM2S</t>
  </si>
  <si>
    <t>WOYZ21EBDGML</t>
  </si>
  <si>
    <t>WOYZ21TSDGRD</t>
  </si>
  <si>
    <t>WOZG11FN56901</t>
  </si>
  <si>
    <t>WOZQ70SQ71800</t>
  </si>
  <si>
    <t>WP4BT13IK2349</t>
  </si>
  <si>
    <t>WP4BT13IK5040</t>
  </si>
  <si>
    <t>WP4BT13IK8319</t>
  </si>
  <si>
    <t>WP4BT14IK4430</t>
  </si>
  <si>
    <t>WPA8W25BI41001</t>
  </si>
  <si>
    <t>WPA8W25BI41202</t>
  </si>
  <si>
    <t>WPA8W25BI41700</t>
  </si>
  <si>
    <t>WPA8W25BI44402</t>
  </si>
  <si>
    <t>WPA8W25BI48103</t>
  </si>
  <si>
    <t>WPNBW93IK1941</t>
  </si>
  <si>
    <t>WPNBW93IK4589</t>
  </si>
  <si>
    <t>WPOH013EAJ1001</t>
  </si>
  <si>
    <t>WPOH013EAJ</t>
  </si>
  <si>
    <t>BRNOUT CRYSTAL LOGO STEP HEM T</t>
  </si>
  <si>
    <t>WPOH013EAJ1700</t>
  </si>
  <si>
    <t>WPOH013EAJ6000</t>
  </si>
  <si>
    <t>WPOH013EAJ6500</t>
  </si>
  <si>
    <t>WPOH013EHP3071</t>
  </si>
  <si>
    <t>WPOH013EHP</t>
  </si>
  <si>
    <t>BO ROLL UP SLV STP HEM TEE</t>
  </si>
  <si>
    <t>WPOH013EHP6003</t>
  </si>
  <si>
    <t>NOCTURNAL</t>
  </si>
  <si>
    <t>WPOU33SD11100</t>
  </si>
  <si>
    <t>WPOU33SX11991</t>
  </si>
  <si>
    <t>WPOU33SX11992</t>
  </si>
  <si>
    <t>WPOU33TD41700</t>
  </si>
  <si>
    <t>WPOU33TD41704</t>
  </si>
  <si>
    <t>WPOU33TD41712</t>
  </si>
  <si>
    <t>WPOU33TD41845</t>
  </si>
  <si>
    <t>WPOU33UM71708</t>
  </si>
  <si>
    <t>WPOU33UM74531</t>
  </si>
  <si>
    <t>WPOU33UM81708</t>
  </si>
  <si>
    <t>WPOU33UM81791</t>
  </si>
  <si>
    <t>WPOU33UM81836</t>
  </si>
  <si>
    <t>WPOU33UW11704</t>
  </si>
  <si>
    <t>WPOU33UW16202</t>
  </si>
  <si>
    <t>WPOU33VZ81701</t>
  </si>
  <si>
    <t>WPOU33VZ82707</t>
  </si>
  <si>
    <t>WPOU33VZ86000</t>
  </si>
  <si>
    <t>WPOV02KW41001</t>
  </si>
  <si>
    <t>WPOV02KW41700</t>
  </si>
  <si>
    <t>WPOV02UZ01001</t>
  </si>
  <si>
    <t>WPOV02UZ01700</t>
  </si>
  <si>
    <t>WPOV02VZ51001</t>
  </si>
  <si>
    <t>WPOV02VZ51700</t>
  </si>
  <si>
    <t>WPOV02WS91001</t>
  </si>
  <si>
    <t>WPOV02WS91700</t>
  </si>
  <si>
    <t>WPOX19ELZ6000</t>
  </si>
  <si>
    <t>WPOX19ELZ</t>
  </si>
  <si>
    <t>HORSESHOE BURNOUT CRW NECK TEE</t>
  </si>
  <si>
    <t>WPOY33XN11001</t>
  </si>
  <si>
    <t>WPOY33XN11700</t>
  </si>
  <si>
    <t>WPPB231QP61001</t>
  </si>
  <si>
    <t>WPPB231QP65000</t>
  </si>
  <si>
    <t>WPPB231RA86000</t>
  </si>
  <si>
    <t>WPPB231RA8WHT</t>
  </si>
  <si>
    <t>WPPB231TD31001</t>
  </si>
  <si>
    <t>WPPB231TD31700</t>
  </si>
  <si>
    <t>WPPB265SC81001</t>
  </si>
  <si>
    <t>WPPB265SC81700</t>
  </si>
  <si>
    <t>WPPV02SX34504</t>
  </si>
  <si>
    <t>WPPV02SX36000</t>
  </si>
  <si>
    <t>WPPV02TC01700</t>
  </si>
  <si>
    <t>WPPV02UL61001</t>
  </si>
  <si>
    <t>WPPV02UL61700</t>
  </si>
  <si>
    <t>WPPV02UN11700</t>
  </si>
  <si>
    <t>WPPV02UN16000</t>
  </si>
  <si>
    <t>WPPV02VD41700</t>
  </si>
  <si>
    <t>WPPV02VD46000</t>
  </si>
  <si>
    <t>WPPX19KL81081</t>
  </si>
  <si>
    <t>WPPX19KL84101</t>
  </si>
  <si>
    <t>WPPX19QP26000</t>
  </si>
  <si>
    <t>WPPX19QR01001</t>
  </si>
  <si>
    <t>WPPX19QR01700</t>
  </si>
  <si>
    <t>WPPX19QZ11001</t>
  </si>
  <si>
    <t>WPPX19QZ16000</t>
  </si>
  <si>
    <t>WPPX19QZ36433</t>
  </si>
  <si>
    <t>WPPX19SD11700</t>
  </si>
  <si>
    <t>WPPX19SD16212</t>
  </si>
  <si>
    <t>WPPX19SM01001</t>
  </si>
  <si>
    <t>WPPX19SM01700</t>
  </si>
  <si>
    <t>WPPX19UM91700</t>
  </si>
  <si>
    <t>WPPX19UU21700</t>
  </si>
  <si>
    <t>WPPX19UU26202</t>
  </si>
  <si>
    <t>WPPX19VD31001</t>
  </si>
  <si>
    <t>WPPX19VD31700</t>
  </si>
  <si>
    <t>WPPX19VZ61001</t>
  </si>
  <si>
    <t>WPPX19VZ61700</t>
  </si>
  <si>
    <t>WPPX19WE71001</t>
  </si>
  <si>
    <t>WPPX19WE71700</t>
  </si>
  <si>
    <t>WPPX19WL81001</t>
  </si>
  <si>
    <t>WPPX19WL86084</t>
  </si>
  <si>
    <t>WPPY33QZ81001</t>
  </si>
  <si>
    <t>WPPY33QZ84143</t>
  </si>
  <si>
    <t>WPPY33SX51700</t>
  </si>
  <si>
    <t>WPPY33SX56000</t>
  </si>
  <si>
    <t>WPPY33SX71001</t>
  </si>
  <si>
    <t>WPPY33SX71700</t>
  </si>
  <si>
    <t>WPPY33UX01700</t>
  </si>
  <si>
    <t>WPPY33WS81001</t>
  </si>
  <si>
    <t>WPPY33WS81700</t>
  </si>
  <si>
    <t>WPWB212QL01035</t>
  </si>
  <si>
    <t>WPWB212QL03004</t>
  </si>
  <si>
    <t>WPWB212QL06497</t>
  </si>
  <si>
    <t>WPWB212QL06883</t>
  </si>
  <si>
    <t>WPWC018QL01035</t>
  </si>
  <si>
    <t>WPWC018QL03004</t>
  </si>
  <si>
    <t>WPWC018QL06497</t>
  </si>
  <si>
    <t>WPWC018QL06883</t>
  </si>
  <si>
    <t>WPWC113QL01035</t>
  </si>
  <si>
    <t>WPWC113QL03004</t>
  </si>
  <si>
    <t>WPWC113QL06497</t>
  </si>
  <si>
    <t>WPWC113QL06883</t>
  </si>
  <si>
    <t>WPWC179QT12550</t>
  </si>
  <si>
    <t>WPWC179QT14159</t>
  </si>
  <si>
    <t>WPWC179QT16497</t>
  </si>
  <si>
    <t>WQ12J37B0540</t>
  </si>
  <si>
    <t>WQ1503BCS11</t>
  </si>
  <si>
    <t>WQ1503BCSNBD</t>
  </si>
  <si>
    <t>WQ1503H9440</t>
  </si>
  <si>
    <t>WQ1503L342S</t>
  </si>
  <si>
    <t>WQ1503L34MWD</t>
  </si>
  <si>
    <t>WQ1503L34MZD</t>
  </si>
  <si>
    <t>WQ1503L34NED</t>
  </si>
  <si>
    <t>WQ1503M57PNM</t>
  </si>
  <si>
    <t>WQ1503M57PPD</t>
  </si>
  <si>
    <t>WQ1564BCS11</t>
  </si>
  <si>
    <t>WQ1564BCS2S</t>
  </si>
  <si>
    <t>WQ1564BCS40</t>
  </si>
  <si>
    <t>WQ1564BCSAZ</t>
  </si>
  <si>
    <t>WQ1564BCSLTD</t>
  </si>
  <si>
    <t>WQ1564BCSNAM</t>
  </si>
  <si>
    <t>WQ1564BCSNBD</t>
  </si>
  <si>
    <t>WQ1564E67GFM</t>
  </si>
  <si>
    <t>WQ1564H13AZ</t>
  </si>
  <si>
    <t>WQ1564H9440</t>
  </si>
  <si>
    <t>WQ1564H9463</t>
  </si>
  <si>
    <t>WQ1564H94LDM</t>
  </si>
  <si>
    <t>WQ1564J45EAD</t>
  </si>
  <si>
    <t>WQ1564L31NBD</t>
  </si>
  <si>
    <t>WQ1564L34NED</t>
  </si>
  <si>
    <t>WQ1572BCS11</t>
  </si>
  <si>
    <t>WQ1572BCS2S</t>
  </si>
  <si>
    <t>WQ1572BCSAP</t>
  </si>
  <si>
    <t>WQ1572BCSLTD</t>
  </si>
  <si>
    <t>WQ1572BCSMWD</t>
  </si>
  <si>
    <t>WQ1572BCSNBD</t>
  </si>
  <si>
    <t>WQ1572BCSNED</t>
  </si>
  <si>
    <t>WQ1572H13AZ</t>
  </si>
  <si>
    <t>WQ1572H942S</t>
  </si>
  <si>
    <t>WQ1572H9440</t>
  </si>
  <si>
    <t>WQ1572H9463</t>
  </si>
  <si>
    <t>WQ1572I3EAD</t>
  </si>
  <si>
    <t>WQ1572J2940</t>
  </si>
  <si>
    <t>WQ1572J29EAD</t>
  </si>
  <si>
    <t>WQ1572J29LTD</t>
  </si>
  <si>
    <t>WQ1572J29NED</t>
  </si>
  <si>
    <t>WQ1572L31NBD</t>
  </si>
  <si>
    <t>WQ1572L342S</t>
  </si>
  <si>
    <t>WQ1572L34MWD</t>
  </si>
  <si>
    <t>WQ1572L34MZD</t>
  </si>
  <si>
    <t>WQ1572L34NED</t>
  </si>
  <si>
    <t>WQ1572M57PPD</t>
  </si>
  <si>
    <t>WQ1592L31NBD</t>
  </si>
  <si>
    <t>WQ1592L342S</t>
  </si>
  <si>
    <t>WQ1592L34MWD</t>
  </si>
  <si>
    <t>WQ1592L34MZD</t>
  </si>
  <si>
    <t>WQ1592L34NED</t>
  </si>
  <si>
    <t>WQ1592M20PNM</t>
  </si>
  <si>
    <t>WQ1592M20PRM</t>
  </si>
  <si>
    <t>WQ1592M572S</t>
  </si>
  <si>
    <t>WQ1592M57PNM</t>
  </si>
  <si>
    <t>WQ1592M57PPD</t>
  </si>
  <si>
    <t>WQ1592M58PNM</t>
  </si>
  <si>
    <t>WQ1592M58X5</t>
  </si>
  <si>
    <t>WQ1592Q648135</t>
  </si>
  <si>
    <t>WQ1592Q64RFM</t>
  </si>
  <si>
    <t>WQ1592T49SIM</t>
  </si>
  <si>
    <t>WQ1592T83SGD</t>
  </si>
  <si>
    <t>WQ1599BCS2S</t>
  </si>
  <si>
    <t>WQ1599H13AZ</t>
  </si>
  <si>
    <t>WQ1599H942S</t>
  </si>
  <si>
    <t>WQ1599H9463</t>
  </si>
  <si>
    <t>WQ1599H94LDM</t>
  </si>
  <si>
    <t>WQ1599L342S</t>
  </si>
  <si>
    <t>WQ1599L34MWD</t>
  </si>
  <si>
    <t>WQ1599L34MZD</t>
  </si>
  <si>
    <t>WQ1599L34NED</t>
  </si>
  <si>
    <t>WQ1599M572S</t>
  </si>
  <si>
    <t>WQ1599M57PNM</t>
  </si>
  <si>
    <t>WQ1599M57PPD</t>
  </si>
  <si>
    <t>WQ1599TS1770</t>
  </si>
  <si>
    <t>WQ1599TS1868</t>
  </si>
  <si>
    <t>WQ1G10TS1770</t>
  </si>
  <si>
    <t>WQ1G10TS5126</t>
  </si>
  <si>
    <t>WQ1H09BCSY5</t>
  </si>
  <si>
    <t>WQ1J58TS1868</t>
  </si>
  <si>
    <t>WQ1J58TS5126</t>
  </si>
  <si>
    <t>WQ1J58TS6825</t>
  </si>
  <si>
    <t>WQ1J61TS6825</t>
  </si>
  <si>
    <t>WQ1K67J4540</t>
  </si>
  <si>
    <t>WQ1K67J45EAD</t>
  </si>
  <si>
    <t>WQ1K67J45LDM</t>
  </si>
  <si>
    <t>WQ1K68BCS11</t>
  </si>
  <si>
    <t>WQ1K68BCS2S</t>
  </si>
  <si>
    <t>WQ1K68BCSAZ</t>
  </si>
  <si>
    <t>WQ1K68BCSLTD</t>
  </si>
  <si>
    <t>WQ1K68BCSMWD</t>
  </si>
  <si>
    <t>WQ1K68BCSNAM</t>
  </si>
  <si>
    <t>WQ1K68BCSNBD</t>
  </si>
  <si>
    <t>WQ1K68J292S</t>
  </si>
  <si>
    <t>WQ1K68J2940</t>
  </si>
  <si>
    <t>WQ1K68J29EAD</t>
  </si>
  <si>
    <t>WQ1K68J29NED</t>
  </si>
  <si>
    <t>WQ1K73BCS2S</t>
  </si>
  <si>
    <t>WQ1K73BCS40</t>
  </si>
  <si>
    <t>WQ1K73BCSLTD</t>
  </si>
  <si>
    <t>WQ1K73BCSMQD</t>
  </si>
  <si>
    <t>WQ1K73BCSNAM</t>
  </si>
  <si>
    <t>WQ1K73BCSNBD</t>
  </si>
  <si>
    <t>WQ1K75BCS2S</t>
  </si>
  <si>
    <t>WQ1K75BCSLTD</t>
  </si>
  <si>
    <t>WQ1K75BCSMQD</t>
  </si>
  <si>
    <t>WQ1K75BCSNAM</t>
  </si>
  <si>
    <t>WQ1K75J4540</t>
  </si>
  <si>
    <t>WQ1K75TS1770</t>
  </si>
  <si>
    <t>WQ1L39H13LDM</t>
  </si>
  <si>
    <t>WQ1M04M57PNM</t>
  </si>
  <si>
    <t>WQ1M04M57PPD</t>
  </si>
  <si>
    <t>WQ1M05M57PNM</t>
  </si>
  <si>
    <t>WQ1M05M58PNM</t>
  </si>
  <si>
    <t>WQ1M05M58X5</t>
  </si>
  <si>
    <t>WQ1M11Y9BB</t>
  </si>
  <si>
    <t>WQ1M11Y9EAD</t>
  </si>
  <si>
    <t>WQ1M26Y963</t>
  </si>
  <si>
    <t>WQ1M60BCS11</t>
  </si>
  <si>
    <t>WQ1M60BCSAZ</t>
  </si>
  <si>
    <t>WQ1M66BCS11</t>
  </si>
  <si>
    <t>WQ1N32BCSAZ</t>
  </si>
  <si>
    <t>WQ1N35BCSLDM</t>
  </si>
  <si>
    <t>WQ1N35BCSLTD</t>
  </si>
  <si>
    <t>WQ1N60BCS11</t>
  </si>
  <si>
    <t>WQ1N60BCS2S</t>
  </si>
  <si>
    <t>WQ1N60BCS40</t>
  </si>
  <si>
    <t>WQ1N60BCSNAM</t>
  </si>
  <si>
    <t>WQ1P38TS1770</t>
  </si>
  <si>
    <t>WQ1P38TS6825</t>
  </si>
  <si>
    <t>WQ2500CH0HCL</t>
  </si>
  <si>
    <t>WQ2572CH0PCM</t>
  </si>
  <si>
    <t>WQ2G10Y9AL</t>
  </si>
  <si>
    <t>WQ2K17Y9JJL</t>
  </si>
  <si>
    <t>WQ2K17Y9LPD</t>
  </si>
  <si>
    <t>WQ2K17Y9X5</t>
  </si>
  <si>
    <t>WQ2K75Y9EQL</t>
  </si>
  <si>
    <t>WQ2K75Y9</t>
  </si>
  <si>
    <t>CARRIE SKINNY KNEE WIDE LEG WO</t>
  </si>
  <si>
    <t>WQ2L95Y9GQD</t>
  </si>
  <si>
    <t>WQ2M25Y9JJL</t>
  </si>
  <si>
    <t>WQ2P53Y9JJL</t>
  </si>
  <si>
    <t>WQ2P53Y9LPD</t>
  </si>
  <si>
    <t>WQ2P53Y9X5</t>
  </si>
  <si>
    <t>WQ2R92T02GXM</t>
  </si>
  <si>
    <t>WQ2R92T02SAD</t>
  </si>
  <si>
    <t>WQ2R94T02LZD</t>
  </si>
  <si>
    <t>WQ2R95T02GXM</t>
  </si>
  <si>
    <t>WQ2R95T02SAD</t>
  </si>
  <si>
    <t>WQ2V50Y04ZGM</t>
  </si>
  <si>
    <t>WQ2W04PZ78XQM</t>
  </si>
  <si>
    <t>WQ2W04Z78XPD</t>
  </si>
  <si>
    <t>WQ2X14BU0ZZL</t>
  </si>
  <si>
    <t>WQ62E20ELW8B</t>
  </si>
  <si>
    <t>WQ62E20ELY1B</t>
  </si>
  <si>
    <t>WQ6A407HD46Q</t>
  </si>
  <si>
    <t>WQ6FJ80EL6PB</t>
  </si>
  <si>
    <t>WQ6G10ELPLDB</t>
  </si>
  <si>
    <t>WQ6G10ELPLLB</t>
  </si>
  <si>
    <t>WQ6M04ELY1</t>
  </si>
  <si>
    <t>WQ6N19ELPLLB</t>
  </si>
  <si>
    <t>WQ6N19ELPLMB</t>
  </si>
  <si>
    <t>WQ6P64ELPLDB</t>
  </si>
  <si>
    <t>WQ8C326SG82S</t>
  </si>
  <si>
    <t>WQ8K35BCS2S</t>
  </si>
  <si>
    <t>WQ8K35BCSAPWD</t>
  </si>
  <si>
    <t>WQ8K35BCSBG</t>
  </si>
  <si>
    <t>WQ8K35BCSNAM</t>
  </si>
  <si>
    <t>WQ8K35EMBG</t>
  </si>
  <si>
    <t>WQ8K35EMFFD</t>
  </si>
  <si>
    <t>WQ8K35TS2S</t>
  </si>
  <si>
    <t>WQ8K35TSCH</t>
  </si>
  <si>
    <t>WQ8K35TSFFD</t>
  </si>
  <si>
    <t>WQ8K35TSNAM</t>
  </si>
  <si>
    <t>WQ8K44BCS2S</t>
  </si>
  <si>
    <t>WQ8K44BCSBG</t>
  </si>
  <si>
    <t>WQ8K44BCSFPM</t>
  </si>
  <si>
    <t>WQ8K44BCSNAM</t>
  </si>
  <si>
    <t>WQ8K44F71CH</t>
  </si>
  <si>
    <t>WQ8K44TS2S</t>
  </si>
  <si>
    <t>WQ8K44TSNAM</t>
  </si>
  <si>
    <t>WQ8P16L282S</t>
  </si>
  <si>
    <t>WQ8P16L28CH</t>
  </si>
  <si>
    <t>WQ8P16L28NAM</t>
  </si>
  <si>
    <t>WQ8P17L282S</t>
  </si>
  <si>
    <t>WQ8P17L28CH</t>
  </si>
  <si>
    <t>WQ8P17L28NAM</t>
  </si>
  <si>
    <t>WQ8P17M452S</t>
  </si>
  <si>
    <t>WQ8P17M45PML</t>
  </si>
  <si>
    <t>WQ8P17M45PPD</t>
  </si>
  <si>
    <t>WQ8P18L282S</t>
  </si>
  <si>
    <t>WQ8P18L28NAM</t>
  </si>
  <si>
    <t>WQ8P49M45PML</t>
  </si>
  <si>
    <t>WQ8P49M45PPD</t>
  </si>
  <si>
    <t>WQ8P50M45PML</t>
  </si>
  <si>
    <t>WQ8P52M45PML</t>
  </si>
  <si>
    <t>WQ8P52M45PPD</t>
  </si>
  <si>
    <t>WQ8P88M37PNM</t>
  </si>
  <si>
    <t>WQ8P88M37PPD</t>
  </si>
  <si>
    <t>WQ8P89M37PNM</t>
  </si>
  <si>
    <t>WQ8P89M37PPD</t>
  </si>
  <si>
    <t>WQ8P90M37PNM</t>
  </si>
  <si>
    <t>WQ8P90M37PPD</t>
  </si>
  <si>
    <t>WQ9503Z371821</t>
  </si>
  <si>
    <t>WQ9503Z371922</t>
  </si>
  <si>
    <t>WQ9G10EG1218</t>
  </si>
  <si>
    <t>WQ9G10EG1825</t>
  </si>
  <si>
    <t>WQ9G10EG5127</t>
  </si>
  <si>
    <t>WQ9G10EG7339</t>
  </si>
  <si>
    <t>WQ9G10Z371821</t>
  </si>
  <si>
    <t>WQ9G10Z371922</t>
  </si>
  <si>
    <t>WQ9G10Z824499</t>
  </si>
  <si>
    <t>WQ9G10Z826168</t>
  </si>
  <si>
    <t>WQ9G10Z827346</t>
  </si>
  <si>
    <t>WQ9G10Z828047</t>
  </si>
  <si>
    <t>WQ9G93Z371821</t>
  </si>
  <si>
    <t>WQ9G93Z371922</t>
  </si>
  <si>
    <t>WQ9K17EG1218</t>
  </si>
  <si>
    <t>WQ9K17EG1825</t>
  </si>
  <si>
    <t>WQ9K17EG5127</t>
  </si>
  <si>
    <t>WQ9K18Z371821</t>
  </si>
  <si>
    <t>WQ9K18Z371922</t>
  </si>
  <si>
    <t>WQ9K18Z824499</t>
  </si>
  <si>
    <t>WQ9K18Z826168</t>
  </si>
  <si>
    <t>WQ9K18Z826257</t>
  </si>
  <si>
    <t>WQ9K18Z827346</t>
  </si>
  <si>
    <t>WQ9M05EG1218</t>
  </si>
  <si>
    <t>WQ9M05EG1825</t>
  </si>
  <si>
    <t>WQ9M05EG4548</t>
  </si>
  <si>
    <t>WQ9M05EG5127</t>
  </si>
  <si>
    <t>WQ9M05EG7339</t>
  </si>
  <si>
    <t>WQ9M05Z371922</t>
  </si>
  <si>
    <t>WQ9M05Z824499</t>
  </si>
  <si>
    <t>WQ9M05Z826168</t>
  </si>
  <si>
    <t>WQ9M05Z827346</t>
  </si>
  <si>
    <t>WQ9P53EG1825</t>
  </si>
  <si>
    <t>WQ9P53EG4548</t>
  </si>
  <si>
    <t>WQ9P53EG5127</t>
  </si>
  <si>
    <t>WQ9Q86EG1829</t>
  </si>
  <si>
    <t>WQBB080MQ1BVRM</t>
  </si>
  <si>
    <t>WQBB092OF6CBJL</t>
  </si>
  <si>
    <t>WQBB092QQ71325</t>
  </si>
  <si>
    <t>WQBB092QS27471</t>
  </si>
  <si>
    <t>WQBB092QT6CBJL</t>
  </si>
  <si>
    <t>WQBB206OF6CBGL</t>
  </si>
  <si>
    <t>WQBB215OF6CBGL</t>
  </si>
  <si>
    <t>WQBC013TE1CGRL</t>
  </si>
  <si>
    <t>WQBC018QS27471</t>
  </si>
  <si>
    <t>WQBC028OF6CBJL</t>
  </si>
  <si>
    <t>WQBC028QS27471</t>
  </si>
  <si>
    <t>WQCB207QK7CBHM</t>
  </si>
  <si>
    <t>WQCB213QK3CDPL</t>
  </si>
  <si>
    <t>WQCB213QR5CDNM</t>
  </si>
  <si>
    <t>WQCB215QK3CDPL</t>
  </si>
  <si>
    <t>WQCB224QT7CCSL</t>
  </si>
  <si>
    <t>WQCB232QK3CCSL</t>
  </si>
  <si>
    <t>WQCB269QK3CHIM</t>
  </si>
  <si>
    <t>WQCB270QK3CDPL</t>
  </si>
  <si>
    <t>WQCC012QR5CDNM</t>
  </si>
  <si>
    <t>WQCC012QT9CDNM</t>
  </si>
  <si>
    <t>WQCC013QR5CDNM</t>
  </si>
  <si>
    <t>WQCC019QK7CBHM</t>
  </si>
  <si>
    <t>WQCC111QK3CCSL</t>
  </si>
  <si>
    <t>WQCC202QR5CDNM</t>
  </si>
  <si>
    <t>WQCC209QR5CDNM</t>
  </si>
  <si>
    <t>WQCC211QK7CBHM</t>
  </si>
  <si>
    <t>WQCC213QR5CDNM</t>
  </si>
  <si>
    <t>WQFC115QL12S</t>
  </si>
  <si>
    <t>WQFC168QL12S</t>
  </si>
  <si>
    <t>WQHBW93VR4680</t>
  </si>
  <si>
    <t>WQHBW93VR6854</t>
  </si>
  <si>
    <t>WQHBW93VR7391</t>
  </si>
  <si>
    <t>WQJBX97VR1945</t>
  </si>
  <si>
    <t>WQJBX97VR6322</t>
  </si>
  <si>
    <t>WQOBW93VR4682</t>
  </si>
  <si>
    <t>WQOBW93VR6340</t>
  </si>
  <si>
    <t>WQPBZ45EC81959</t>
  </si>
  <si>
    <t>WQPBZ45EC84339</t>
  </si>
  <si>
    <t>WQPBZ45EC86342</t>
  </si>
  <si>
    <t>WQPBZ45EC86856</t>
  </si>
  <si>
    <t>WQQ7224QS71001</t>
  </si>
  <si>
    <t>WQQ7224QS7RED</t>
  </si>
  <si>
    <t>WQQB101EFV1001</t>
  </si>
  <si>
    <t>WQQB101EFV</t>
  </si>
  <si>
    <t>FLWR BWL BDHA RAGLAN ZIP UP</t>
  </si>
  <si>
    <t>BLACK / HEATHER BLACK</t>
  </si>
  <si>
    <t>WQQB101EFV1501</t>
  </si>
  <si>
    <t>HEATHER GREY/OATMEAL</t>
  </si>
  <si>
    <t>WQQB131ELG1001</t>
  </si>
  <si>
    <t>WQQB131ELG</t>
  </si>
  <si>
    <t>CRSTLSRPT BDHA  ZIP HOODIE</t>
  </si>
  <si>
    <t>WQQB131ELG2707</t>
  </si>
  <si>
    <t>WQQB192QS81001</t>
  </si>
  <si>
    <t>WQQB192QS8RED</t>
  </si>
  <si>
    <t>WQQB250RB51501</t>
  </si>
  <si>
    <t>WQQB254RB61501</t>
  </si>
  <si>
    <t>WQQB342EHN2707</t>
  </si>
  <si>
    <t>WQQB342EHN</t>
  </si>
  <si>
    <t>FLEECE JOGGER</t>
  </si>
  <si>
    <t>WQQB342EHN4100</t>
  </si>
  <si>
    <t>WQQC266EHL1001</t>
  </si>
  <si>
    <t>WQQC266EHL</t>
  </si>
  <si>
    <t>MARISSA FLARE PANT</t>
  </si>
  <si>
    <t>WQQC266EHL1501</t>
  </si>
  <si>
    <t>WQQC266ELH1001</t>
  </si>
  <si>
    <t>WQQC266ELH</t>
  </si>
  <si>
    <t>ACTIVE HRSHOE SWEATPANT</t>
  </si>
  <si>
    <t>WQQC266ELH2707</t>
  </si>
  <si>
    <t>WQQH057EGE2707</t>
  </si>
  <si>
    <t>WQQH057EGE</t>
  </si>
  <si>
    <t>HALF ZIP PULLOVER HOODIE</t>
  </si>
  <si>
    <t>WQQH057EGE4100</t>
  </si>
  <si>
    <t>WQQH057ELP1501</t>
  </si>
  <si>
    <t>WQQH057ELP</t>
  </si>
  <si>
    <t>02 BUDDHA CREST HLF ZIP HOODIE</t>
  </si>
  <si>
    <t>WQQH057ELP6000</t>
  </si>
  <si>
    <t>WQQH104ELQ1501</t>
  </si>
  <si>
    <t>WQQH104ELQ</t>
  </si>
  <si>
    <t>ACTIVE HRSHOE MOTO JOGGER</t>
  </si>
  <si>
    <t>WQR502DH42162</t>
  </si>
  <si>
    <t>WQR502DH43446</t>
  </si>
  <si>
    <t>WQR502DH44821</t>
  </si>
  <si>
    <t>WQR502DH46354</t>
  </si>
  <si>
    <t>WQR564DH42162</t>
  </si>
  <si>
    <t>WQR564DH43446</t>
  </si>
  <si>
    <t>WQR564DH44821</t>
  </si>
  <si>
    <t>WQR564DH46354</t>
  </si>
  <si>
    <t>WQR592SDH42162</t>
  </si>
  <si>
    <t>WQR592SDH43446</t>
  </si>
  <si>
    <t>WQR592SDH44821</t>
  </si>
  <si>
    <t>WQR592SDH46354</t>
  </si>
  <si>
    <t>WQUQ86DC33445</t>
  </si>
  <si>
    <t>WQV145SX41001</t>
  </si>
  <si>
    <t>WQV145SX41700</t>
  </si>
  <si>
    <t>WQXA620IK4106</t>
  </si>
  <si>
    <t>WQXB403MU34000</t>
  </si>
  <si>
    <t>WQXB453MU34143</t>
  </si>
  <si>
    <t>WQXB456SE24143</t>
  </si>
  <si>
    <t>WQXB464SE24922</t>
  </si>
  <si>
    <t>WQXB465MU34000</t>
  </si>
  <si>
    <t>WQXB465SE24922</t>
  </si>
  <si>
    <t>WQXB466MU34000</t>
  </si>
  <si>
    <t>WQXC104IK4195</t>
  </si>
  <si>
    <t>WQXC105IK4015</t>
  </si>
  <si>
    <t>WQXC174IK4187</t>
  </si>
  <si>
    <t>WQXC180IK4015</t>
  </si>
  <si>
    <t>WQXC181IK4015</t>
  </si>
  <si>
    <t>WQXC182IK4106</t>
  </si>
  <si>
    <t>WR8Q85IK4264</t>
  </si>
  <si>
    <t>WRG8Y82IK1543</t>
  </si>
  <si>
    <t>WRG8Y82IK1957</t>
  </si>
  <si>
    <t>WRG8Y82IK2652</t>
  </si>
  <si>
    <t>WRG8Y83IK1953</t>
  </si>
  <si>
    <t>WRG8Y83IK1954</t>
  </si>
  <si>
    <t>WRG8Y83IK1955</t>
  </si>
  <si>
    <t>WRG8Y83IK1958</t>
  </si>
  <si>
    <t>WRPBZ14IK1738</t>
  </si>
  <si>
    <t>WRPBZ14IK4599</t>
  </si>
  <si>
    <t>WRPBZ14IK4681</t>
  </si>
  <si>
    <t>WRPBZ14IK5138</t>
  </si>
  <si>
    <t>WRQ8Z09EG1100</t>
  </si>
  <si>
    <t>WRQ8Z09EG1700</t>
  </si>
  <si>
    <t>WRQ8Z09EG4402</t>
  </si>
  <si>
    <t>WRQ8Z09EG8103</t>
  </si>
  <si>
    <t>WRS8Z19EG1024</t>
  </si>
  <si>
    <t>WRS8Z19EG1291</t>
  </si>
  <si>
    <t>WRS8Z19EG1745</t>
  </si>
  <si>
    <t>WRS8Z19EG5137</t>
  </si>
  <si>
    <t>WRS8Z19EG6338</t>
  </si>
  <si>
    <t>WRS8Z20EG1024</t>
  </si>
  <si>
    <t>WRS8Z20EG1291</t>
  </si>
  <si>
    <t>WRS8Z20EG1745</t>
  </si>
  <si>
    <t>WRS8Z20EG5137</t>
  </si>
  <si>
    <t>WRS8Z20EG6338</t>
  </si>
  <si>
    <t>WRU8K98DB21505</t>
  </si>
  <si>
    <t>WRX6H70EH1113</t>
  </si>
  <si>
    <t>WRX6H70EH1746</t>
  </si>
  <si>
    <t>WRX6H70EH4328</t>
  </si>
  <si>
    <t>WRX6H70EH6032</t>
  </si>
  <si>
    <t>WRX6Z23CI01746</t>
  </si>
  <si>
    <t>WRX6Z23CI04818</t>
  </si>
  <si>
    <t>WRX6Z23CI05139</t>
  </si>
  <si>
    <t>WRX6Z23CI06339</t>
  </si>
  <si>
    <t>WRX6Z23CI08053</t>
  </si>
  <si>
    <t>WRX7Y79EH1165</t>
  </si>
  <si>
    <t>WRX7Y79EH1746</t>
  </si>
  <si>
    <t>WRX7Y79EH4326</t>
  </si>
  <si>
    <t>WRX7Y79EH6050</t>
  </si>
  <si>
    <t>WRX7Y80CI01746</t>
  </si>
  <si>
    <t>WRX7Y80CI04818</t>
  </si>
  <si>
    <t>WRX7Y80CI05139</t>
  </si>
  <si>
    <t>WRX7Y80CI06339</t>
  </si>
  <si>
    <t>WRX7Y80CI08053</t>
  </si>
  <si>
    <t>WRX7Y81CI01746</t>
  </si>
  <si>
    <t>WRX7Y81CI04818</t>
  </si>
  <si>
    <t>WRX7Y81CI05139</t>
  </si>
  <si>
    <t>WRX7Y81CI06339</t>
  </si>
  <si>
    <t>WRX7Y81CI08053</t>
  </si>
  <si>
    <t>WSAZ34DH81107</t>
  </si>
  <si>
    <t>WSAZ34DH82158</t>
  </si>
  <si>
    <t>WSAZ34DH83437</t>
  </si>
  <si>
    <t>WSAZ34DH87273</t>
  </si>
  <si>
    <t>WSAZ35DH81107</t>
  </si>
  <si>
    <t>WSAZ35DH82158</t>
  </si>
  <si>
    <t>WSAZ35DH83437</t>
  </si>
  <si>
    <t>WSAZ35DH87273</t>
  </si>
  <si>
    <t>WSAZ38DH92543</t>
  </si>
  <si>
    <t>WSAZ38DH94324</t>
  </si>
  <si>
    <t>WSAZ38DH95134</t>
  </si>
  <si>
    <t>WSAZ38DH96326</t>
  </si>
  <si>
    <t>WSAZ39DH92543</t>
  </si>
  <si>
    <t>WSAZ39DH94324</t>
  </si>
  <si>
    <t>WSAZ39DH95134</t>
  </si>
  <si>
    <t>WSAZ39DH96326</t>
  </si>
  <si>
    <t>WSAZ46DH92543</t>
  </si>
  <si>
    <t>WSAZ46DH94324</t>
  </si>
  <si>
    <t>WSAZ46DH95134</t>
  </si>
  <si>
    <t>WSAZ46DH96326</t>
  </si>
  <si>
    <t>WSBZ34DG6ACSD</t>
  </si>
  <si>
    <t>WSBZ34DG6ACTD</t>
  </si>
  <si>
    <t>WSBZ34DG6ACXL</t>
  </si>
  <si>
    <t>WSBZ35DG6ACSD</t>
  </si>
  <si>
    <t>WSBZ35DG6ACXL</t>
  </si>
  <si>
    <t>WSBZ36DG6ACSD</t>
  </si>
  <si>
    <t>WSBZ36DG6ACTD</t>
  </si>
  <si>
    <t>WSBZ36DG6ACXL</t>
  </si>
  <si>
    <t>WSBZ37DG6ACSD</t>
  </si>
  <si>
    <t>WSBZ37DG6ACXL</t>
  </si>
  <si>
    <t>WSBZ38DK7ACUL</t>
  </si>
  <si>
    <t>WSBZ38DK7ACVD</t>
  </si>
  <si>
    <t>WSBZ38DK7ACWM</t>
  </si>
  <si>
    <t>WSBZ38DK7ADAD</t>
  </si>
  <si>
    <t>WSBZ38DK7ADCD</t>
  </si>
  <si>
    <t>WSBZ38DZ5ACUL</t>
  </si>
  <si>
    <t>WSBZ38DZ5ACVD</t>
  </si>
  <si>
    <t>WSBZ38DZ5ACWM</t>
  </si>
  <si>
    <t>WSBZ38DZ5ADCD</t>
  </si>
  <si>
    <t>WSBZ39DK7ACUL</t>
  </si>
  <si>
    <t>WSBZ39DK7ACVD</t>
  </si>
  <si>
    <t>WSBZ39DK7ACWM</t>
  </si>
  <si>
    <t>WSBZ39DK7ADAD</t>
  </si>
  <si>
    <t>WSBZ39DK7ADCD</t>
  </si>
  <si>
    <t>WSBZ39DZ5ACUL</t>
  </si>
  <si>
    <t>WSBZ39DZ5ACVD</t>
  </si>
  <si>
    <t>WSBZ39DZ5ACWM</t>
  </si>
  <si>
    <t>WSBZ39DZ5ADAD</t>
  </si>
  <si>
    <t>WSBZ39DZ5ADCD</t>
  </si>
  <si>
    <t>WSBZ46DK5ADAD</t>
  </si>
  <si>
    <t>WSBZ46DK5ADCD</t>
  </si>
  <si>
    <t>WSBZ46DK7ACUL</t>
  </si>
  <si>
    <t>WSBZ46DK7ACVD</t>
  </si>
  <si>
    <t>WSBZ46DZ5ACUL</t>
  </si>
  <si>
    <t>WSBZ46DZ5ACVD</t>
  </si>
  <si>
    <t>WSBZ46DZ5ACWM</t>
  </si>
  <si>
    <t>WSBZ46DZ5ADAD</t>
  </si>
  <si>
    <t>WSBZ46DZ5ADCD</t>
  </si>
  <si>
    <t>WSCA017EH84361</t>
  </si>
  <si>
    <t>WSCA051EH84361</t>
  </si>
  <si>
    <t>WSCA051EH8ATRD</t>
  </si>
  <si>
    <t>WSCA052EH84361</t>
  </si>
  <si>
    <t>WSCA052EH8ATRD</t>
  </si>
  <si>
    <t>WSCA060EI4ATJM</t>
  </si>
  <si>
    <t>WSCA091DK7ADCM</t>
  </si>
  <si>
    <t>WSCA091DK7ADEM</t>
  </si>
  <si>
    <t>WSCA308EH84361</t>
  </si>
  <si>
    <t>WSCA308EH8ATRD</t>
  </si>
  <si>
    <t>WSCA309EH84361</t>
  </si>
  <si>
    <t>WSCA309EH8ATRD</t>
  </si>
  <si>
    <t>WSCD03DK7ADEM</t>
  </si>
  <si>
    <t>WSCZ38DK7ACPM</t>
  </si>
  <si>
    <t>WSCZ38DK7ACQD</t>
  </si>
  <si>
    <t>WSCZ38DK7ACRM</t>
  </si>
  <si>
    <t>WSCZ39DK7ACPM</t>
  </si>
  <si>
    <t>WSCZ39DK7ACQD</t>
  </si>
  <si>
    <t>WSCZ39DK7ACRM</t>
  </si>
  <si>
    <t>WSCZ39DK7ADCM</t>
  </si>
  <si>
    <t>WSCZ39DK7ADEM</t>
  </si>
  <si>
    <t>WSCZ39DK7ARSM</t>
  </si>
  <si>
    <t>WSCZ46DK7ACPM</t>
  </si>
  <si>
    <t>WSCZ46DK7ACRM</t>
  </si>
  <si>
    <t>WSCZ46DK7ADCM</t>
  </si>
  <si>
    <t>WSCZ46DK7ADEM</t>
  </si>
  <si>
    <t>WSEC012QQ91705</t>
  </si>
  <si>
    <t>WSFB095QL51705</t>
  </si>
  <si>
    <t>WSGB092QS34152</t>
  </si>
  <si>
    <t>WSJBA7N0951700</t>
  </si>
  <si>
    <t>WSJBA7N095</t>
  </si>
  <si>
    <t>SELFIE BF V NECK</t>
  </si>
  <si>
    <t>WSJBA7N0951704</t>
  </si>
  <si>
    <t>WSRB263SL81001</t>
  </si>
  <si>
    <t>WSRB263SL81700</t>
  </si>
  <si>
    <t>WSRU33SD01991</t>
  </si>
  <si>
    <t>WSRU33SD02707</t>
  </si>
  <si>
    <t>WSRZ59VD11096</t>
  </si>
  <si>
    <t>WSRZ59VD11700</t>
  </si>
  <si>
    <t>WSUSPND0011001</t>
  </si>
  <si>
    <t>WSUSPND001</t>
  </si>
  <si>
    <t>WOMENS SUSPENDERS</t>
  </si>
  <si>
    <t>WSYC040NS51700</t>
  </si>
  <si>
    <t>WSYC040NS54108</t>
  </si>
  <si>
    <t>WSYC040OA24002</t>
  </si>
  <si>
    <t>WTEC188IK1304</t>
  </si>
  <si>
    <t>WTFC189IK1001</t>
  </si>
  <si>
    <t>WTG9Z86IK1001</t>
  </si>
  <si>
    <t>WTG9Z86IK9614</t>
  </si>
  <si>
    <t>WTMC199IK4127</t>
  </si>
  <si>
    <t>WTMC199IK6497</t>
  </si>
  <si>
    <t>WTR17341200</t>
  </si>
  <si>
    <t>WTR17341700</t>
  </si>
  <si>
    <t>WTRFA1301D2667</t>
  </si>
  <si>
    <t>WTSC200IK4127</t>
  </si>
  <si>
    <t>WTUC201IK1700</t>
  </si>
  <si>
    <t>WTWA079EU11001</t>
  </si>
  <si>
    <t>WTWA079EU11390</t>
  </si>
  <si>
    <t>WTWC094NL82709</t>
  </si>
  <si>
    <t>WTWC094NL84127</t>
  </si>
  <si>
    <t>WTWP07EU11001</t>
  </si>
  <si>
    <t>WTWP07EU11390</t>
  </si>
  <si>
    <t>WTXB428LV04143</t>
  </si>
  <si>
    <t>WTZC131QU34100</t>
  </si>
  <si>
    <t>WU38W09Z614554</t>
  </si>
  <si>
    <t>WU38W09Z616828</t>
  </si>
  <si>
    <t>WU38W09Z617438</t>
  </si>
  <si>
    <t>WUCA143EW31001</t>
  </si>
  <si>
    <t>WUCA143EW31501</t>
  </si>
  <si>
    <t>WUCA143EW31762</t>
  </si>
  <si>
    <t>WUF6H70EGX1404</t>
  </si>
  <si>
    <t>WUFA148EG1404</t>
  </si>
  <si>
    <t>WUH8Z19EG1001</t>
  </si>
  <si>
    <t>WUH8Z19EG1700</t>
  </si>
  <si>
    <t>WUH8Z19EG1703</t>
  </si>
  <si>
    <t>WUH8Z19EG3460</t>
  </si>
  <si>
    <t>WUH8Z19EG6862</t>
  </si>
  <si>
    <t>WUHA114EG1001</t>
  </si>
  <si>
    <t>WUHA114EG1700</t>
  </si>
  <si>
    <t>WUHA114EG1703</t>
  </si>
  <si>
    <t>WUHA114EG3460</t>
  </si>
  <si>
    <t>WUHA114EG6862</t>
  </si>
  <si>
    <t>WUJA137ER61001</t>
  </si>
  <si>
    <t>WUJA137ER64100</t>
  </si>
  <si>
    <t>WUMA201IK1104</t>
  </si>
  <si>
    <t>WUMA201IK1369</t>
  </si>
  <si>
    <t>WUMA202IK1104</t>
  </si>
  <si>
    <t>WUMA202IK1369</t>
  </si>
  <si>
    <t>WUMA202IK2707</t>
  </si>
  <si>
    <t>WUNA129EG1001</t>
  </si>
  <si>
    <t>WUNA129EG2504</t>
  </si>
  <si>
    <t>WUNA129EG6384</t>
  </si>
  <si>
    <t>WUNA131EG1001</t>
  </si>
  <si>
    <t>WUNA131EG2504</t>
  </si>
  <si>
    <t>WUNA131EG6384</t>
  </si>
  <si>
    <t>WUQA142IK1001</t>
  </si>
  <si>
    <t>WUQA142IK1700</t>
  </si>
  <si>
    <t>WURB205SP51700</t>
  </si>
  <si>
    <t>WURB205SP52500</t>
  </si>
  <si>
    <t>WUSB247MU34500</t>
  </si>
  <si>
    <t>WUSB247WU84143</t>
  </si>
  <si>
    <t>WUSB247WU86000</t>
  </si>
  <si>
    <t>WUW8Z91IK1001</t>
  </si>
  <si>
    <t>WUXA026EC91106</t>
  </si>
  <si>
    <t>WUXA026EC91391</t>
  </si>
  <si>
    <t>WUXA026EC96383</t>
  </si>
  <si>
    <t>WUXA078EC91106</t>
  </si>
  <si>
    <t>WUXA078EC91391</t>
  </si>
  <si>
    <t>WUXA078EC96032</t>
  </si>
  <si>
    <t>WUZA123EQ81975</t>
  </si>
  <si>
    <t>WUZA123EV01298</t>
  </si>
  <si>
    <t>WV68K99R351746</t>
  </si>
  <si>
    <t>WV8A036ER2AVCD</t>
  </si>
  <si>
    <t>WV8A309ER2AVCD</t>
  </si>
  <si>
    <t>WV8K35C911271</t>
  </si>
  <si>
    <t>WV8K35C912S</t>
  </si>
  <si>
    <t>WV8K35C91APWL</t>
  </si>
  <si>
    <t>WVEB365XN51708</t>
  </si>
  <si>
    <t>WVEH002EAHHGY</t>
  </si>
  <si>
    <t>WVEH079EHX1001</t>
  </si>
  <si>
    <t>WVEH079EHX</t>
  </si>
  <si>
    <t>TRUE BADGES LS RND V NCK TEE</t>
  </si>
  <si>
    <t>WVEH079EHX1700</t>
  </si>
  <si>
    <t>WVEV02EBJ1700</t>
  </si>
  <si>
    <t>WVEV02EBJ</t>
  </si>
  <si>
    <t>FLORAL LEAGUE ROUND VNECK</t>
  </si>
  <si>
    <t>WVEV02EBQ1700</t>
  </si>
  <si>
    <t>WVEV02EBQ</t>
  </si>
  <si>
    <t>MAKE LOVE ROUNDED VNECK TEE</t>
  </si>
  <si>
    <t>WVEV02EBQ4100</t>
  </si>
  <si>
    <t>WVEV02EFU1001</t>
  </si>
  <si>
    <t>WVEV02EFU</t>
  </si>
  <si>
    <t>FINEST QUALITY SS RND V NK TEE</t>
  </si>
  <si>
    <t>WVEV02EFU1700</t>
  </si>
  <si>
    <t>WVEV02EFW1700</t>
  </si>
  <si>
    <t>WVEV02EFW</t>
  </si>
  <si>
    <t>FLOWER BOWL SS RND V NCK TEE</t>
  </si>
  <si>
    <t>WVEV02EFW6500</t>
  </si>
  <si>
    <t>WVEV02ELD4100</t>
  </si>
  <si>
    <t>WVEV02ELD</t>
  </si>
  <si>
    <t>BANNER SCRIPT SS ROUNDED V NCK</t>
  </si>
  <si>
    <t>WVEV02ELD6500</t>
  </si>
  <si>
    <t>ROSEWINE</t>
  </si>
  <si>
    <t>WVEV02ELJ1700</t>
  </si>
  <si>
    <t>WVEV02ELJ</t>
  </si>
  <si>
    <t>FLOWER BOX SS RNDED V NECK TEE</t>
  </si>
  <si>
    <t>WVEV02ELJ6500</t>
  </si>
  <si>
    <t>WVEV02ELN1700</t>
  </si>
  <si>
    <t>WVEV02ELN</t>
  </si>
  <si>
    <t>TR LOVE SS RNDED V NECK TEE</t>
  </si>
  <si>
    <t>WVEV02EMC1700</t>
  </si>
  <si>
    <t>WVEV02EMC</t>
  </si>
  <si>
    <t>OMBRE HORSESHOE SS RND V NECK</t>
  </si>
  <si>
    <t>WVEV02EMC4401</t>
  </si>
  <si>
    <t>AQUA GREEN</t>
  </si>
  <si>
    <t>WVEV02LV01001</t>
  </si>
  <si>
    <t>WVEV02LV0</t>
  </si>
  <si>
    <t>CRAFTED W PRIDE ROUND V NECK</t>
  </si>
  <si>
    <t>WVEV02LV01700</t>
  </si>
  <si>
    <t>WVEV02LV06202</t>
  </si>
  <si>
    <t>WVEV02XM91001</t>
  </si>
  <si>
    <t>WVEV02XM96000</t>
  </si>
  <si>
    <t>WVEV02XN21001</t>
  </si>
  <si>
    <t>WVEV02XN21700</t>
  </si>
  <si>
    <t>WVEV02XN41100</t>
  </si>
  <si>
    <t>WVEV02XN41700</t>
  </si>
  <si>
    <t>WVEV02XN61001</t>
  </si>
  <si>
    <t>WVEV02XN61700</t>
  </si>
  <si>
    <t>WVEV02XN65102</t>
  </si>
  <si>
    <t>WVEX19EFO1001</t>
  </si>
  <si>
    <t>WVEX19EFO</t>
  </si>
  <si>
    <t>CRYSTAL BURST SS CREW NECK TEE</t>
  </si>
  <si>
    <t>WVEX19EFO1700</t>
  </si>
  <si>
    <t>WVEX19EFQ1001</t>
  </si>
  <si>
    <t>WVEX19EFQ</t>
  </si>
  <si>
    <t>BUDDHA CRADLE SS CREW TEE</t>
  </si>
  <si>
    <t>WVEX19ELI1700</t>
  </si>
  <si>
    <t>WVEX19ELI</t>
  </si>
  <si>
    <t>LRG FLOWER BOWL CREW NECK TEE</t>
  </si>
  <si>
    <t>WVEX19ELI4100</t>
  </si>
  <si>
    <t>WVEX19ELO6000</t>
  </si>
  <si>
    <t>WVEX19ELO</t>
  </si>
  <si>
    <t>VALENTINE HEART CREW NECK TEE</t>
  </si>
  <si>
    <t>WVEX19ENH1501</t>
  </si>
  <si>
    <t>WVEX19ENH</t>
  </si>
  <si>
    <t>HANDBILL BUDDHA SS CRW T CRYST</t>
  </si>
  <si>
    <t>WVEX19ENH6132</t>
  </si>
  <si>
    <t>WVEX19EOF1001</t>
  </si>
  <si>
    <t>WVEX19EOF</t>
  </si>
  <si>
    <t>FOIL DEJA VU RND V NCK TEE</t>
  </si>
  <si>
    <t>WVEX19XN01001</t>
  </si>
  <si>
    <t>WVEX19XN01700</t>
  </si>
  <si>
    <t>WVEY33ECI1001</t>
  </si>
  <si>
    <t>WVEY33ECI</t>
  </si>
  <si>
    <t>STAND OUT DEEP VNECK</t>
  </si>
  <si>
    <t>WVEY33ECI1700</t>
  </si>
  <si>
    <t>WVEY33ENG1700</t>
  </si>
  <si>
    <t>WVEY33ENG</t>
  </si>
  <si>
    <t>ARCH BUDDHA SS DEEP V CRYSTAL</t>
  </si>
  <si>
    <t>WVEY33ENG3071</t>
  </si>
  <si>
    <t>WVEY33ENG4100</t>
  </si>
  <si>
    <t>WVEY33EOE1001</t>
  </si>
  <si>
    <t>WVEY33EOE</t>
  </si>
  <si>
    <t>FOIL CLSIC LOGO DP V NCK TEE</t>
  </si>
  <si>
    <t>WVEY33NH51001</t>
  </si>
  <si>
    <t>WVEY33NH51700</t>
  </si>
  <si>
    <t>WVEY33NH55000</t>
  </si>
  <si>
    <t>WVEY33NH56000</t>
  </si>
  <si>
    <t>WVEY33NH57000</t>
  </si>
  <si>
    <t>LEMON</t>
  </si>
  <si>
    <t>WVEY33SX51100</t>
  </si>
  <si>
    <t>WVEY33SX56000</t>
  </si>
  <si>
    <t>WVGC937BJ9DGOD</t>
  </si>
  <si>
    <t>WVOA460IK3488</t>
  </si>
  <si>
    <t>WVQB080QT3CBKL</t>
  </si>
  <si>
    <t>WVQB092QT3CBKL</t>
  </si>
  <si>
    <t>WVQB093OF7CHAM</t>
  </si>
  <si>
    <t>WVQC013OF7CHAM</t>
  </si>
  <si>
    <t>WVQC206QT3CBKL</t>
  </si>
  <si>
    <t>WVRA218IK1001</t>
  </si>
  <si>
    <t>WVSA390IK1989</t>
  </si>
  <si>
    <t>WW6C037NV31700</t>
  </si>
  <si>
    <t>WW6C038NR31700</t>
  </si>
  <si>
    <t>WW6C038QV61700</t>
  </si>
  <si>
    <t>WW9C321SR62S</t>
  </si>
  <si>
    <t>WW9C321SR6CKVD</t>
  </si>
  <si>
    <t>WWAB092SO23010</t>
  </si>
  <si>
    <t>WWHB348EGB1001</t>
  </si>
  <si>
    <t>WWHB348EGB</t>
  </si>
  <si>
    <t>BLACK / OATMEAL</t>
  </si>
  <si>
    <t>WWHB348EGB6000</t>
  </si>
  <si>
    <t>CRANBERRY / HEATHER GREY</t>
  </si>
  <si>
    <t>WWJA325GD91851</t>
  </si>
  <si>
    <t>WWJA325GD96412</t>
  </si>
  <si>
    <t>WWJA325GD96421</t>
  </si>
  <si>
    <t>WWJA326GB91980</t>
  </si>
  <si>
    <t>WWJA333GC31746</t>
  </si>
  <si>
    <t>WWJA333GC3</t>
  </si>
  <si>
    <t>ANYA FLARE WHITE JASMINE</t>
  </si>
  <si>
    <t>WWJA381HD71821</t>
  </si>
  <si>
    <t>WWJA381HD73466</t>
  </si>
  <si>
    <t>WWJA448GD81851</t>
  </si>
  <si>
    <t>WWJA509IB93495</t>
  </si>
  <si>
    <t>WWJA615JV91821</t>
  </si>
  <si>
    <t>WWJA883IB91850</t>
  </si>
  <si>
    <t>WWJA883IB93495</t>
  </si>
  <si>
    <t>WWJA883IB96430</t>
  </si>
  <si>
    <t>WWJZ37GE61851</t>
  </si>
  <si>
    <t>WWLN95TSCOCM</t>
  </si>
  <si>
    <t>WWOA156GE04746</t>
  </si>
  <si>
    <t>WWOA325GE04746</t>
  </si>
  <si>
    <t>WWWA132IK1701</t>
  </si>
  <si>
    <t>WWWA132IK1762</t>
  </si>
  <si>
    <t>WWY145UN21501</t>
  </si>
  <si>
    <t>WX6Y33EBN1001</t>
  </si>
  <si>
    <t>WX6Y33EBN</t>
  </si>
  <si>
    <t>ROSE SKULL TOUR DEEP VNECK</t>
  </si>
  <si>
    <t>WX9V02EBV1001</t>
  </si>
  <si>
    <t>WX9V02EBV</t>
  </si>
  <si>
    <t>FREE CONCERT ROUND V NECK</t>
  </si>
  <si>
    <t>WX9X19EBP1700</t>
  </si>
  <si>
    <t>WX9X19EBP</t>
  </si>
  <si>
    <t>RAYS CREW NECK TEE</t>
  </si>
  <si>
    <t>WX9X19EBP4100</t>
  </si>
  <si>
    <t>WXAA516IA13071</t>
  </si>
  <si>
    <t>WXAB118IA61702</t>
  </si>
  <si>
    <t>WXAB137EG6433</t>
  </si>
  <si>
    <t>WXAC103IA13543</t>
  </si>
  <si>
    <t>WXAN96IA13543</t>
  </si>
  <si>
    <t>WXAN96SF26200</t>
  </si>
  <si>
    <t>WXAN96SF31800</t>
  </si>
  <si>
    <t>WXAN96SF86433</t>
  </si>
  <si>
    <t>WXAN96TS1001</t>
  </si>
  <si>
    <t>WXBB182MU36041</t>
  </si>
  <si>
    <t>WXCA133IK1389</t>
  </si>
  <si>
    <t>WXCA133IK1703</t>
  </si>
  <si>
    <t>WXCA133IK1847</t>
  </si>
  <si>
    <t>WXCA133IK5146</t>
  </si>
  <si>
    <t>WXCA134IK1847</t>
  </si>
  <si>
    <t>WXCA134IK2410</t>
  </si>
  <si>
    <t>WXCA379IK9623</t>
  </si>
  <si>
    <t>WXGB182MU34002</t>
  </si>
  <si>
    <t>WXGB182MU36432</t>
  </si>
  <si>
    <t>WXGH001MU31862</t>
  </si>
  <si>
    <t>WXGH001MU3</t>
  </si>
  <si>
    <t>STEP HEM WESTERN SHIRT</t>
  </si>
  <si>
    <t>BLUE/WHITE MULTI</t>
  </si>
  <si>
    <t>WXH3052EKNDUDM</t>
  </si>
  <si>
    <t>WXH3052EKN</t>
  </si>
  <si>
    <t>CURVY SKINNY W FLAP SUPER T</t>
  </si>
  <si>
    <t>DUDM</t>
  </si>
  <si>
    <t>DUDM COOL LUCK</t>
  </si>
  <si>
    <t>WXH3N96TSDUDM</t>
  </si>
  <si>
    <t>WXH3N96TS</t>
  </si>
  <si>
    <t>SUPER SKINNY W FLAP NAT SN</t>
  </si>
  <si>
    <t>WXH4061HE8DUFD</t>
  </si>
  <si>
    <t>WXH4061HE8</t>
  </si>
  <si>
    <t>CURVY SKINNY NAT SN CRYSTL</t>
  </si>
  <si>
    <t>DUFD</t>
  </si>
  <si>
    <t>DUFD DARNG DREAM</t>
  </si>
  <si>
    <t>WXH4N95NBTDUGD</t>
  </si>
  <si>
    <t>WXH4N95NBT</t>
  </si>
  <si>
    <t>SUPER SKINNY NAT BIG T</t>
  </si>
  <si>
    <t>DUGD</t>
  </si>
  <si>
    <t>DUGD DARNG DM RP</t>
  </si>
  <si>
    <t>WXH592SEIEDRSM</t>
  </si>
  <si>
    <t>WXH592SEIE</t>
  </si>
  <si>
    <t>SKINNY W CRYSTAL LOGO</t>
  </si>
  <si>
    <t>DRSM</t>
  </si>
  <si>
    <t>DRSM FST SNW CLN</t>
  </si>
  <si>
    <t>WXH592SSQ7DKZD</t>
  </si>
  <si>
    <t>WXH592SSQ7</t>
  </si>
  <si>
    <t>SKINNY STERLING GREY SN</t>
  </si>
  <si>
    <t>DKZD</t>
  </si>
  <si>
    <t>DKZD BROKEN ROAD</t>
  </si>
  <si>
    <t>WXHA347IK1001</t>
  </si>
  <si>
    <t>WXHC100HE8DLDD</t>
  </si>
  <si>
    <t>WXHC100HE8</t>
  </si>
  <si>
    <t>STRAIGHT FLAP NAT SN CLEAR LGO</t>
  </si>
  <si>
    <t>WXHD061EODDUIL</t>
  </si>
  <si>
    <t>WXHD061EOD</t>
  </si>
  <si>
    <t>CURVY SKINNY NAT SN STUD</t>
  </si>
  <si>
    <t>DUIL</t>
  </si>
  <si>
    <t>DUIL FALLING LIGHT</t>
  </si>
  <si>
    <t>WXHD061OMDLAM</t>
  </si>
  <si>
    <t>WXHD061OM</t>
  </si>
  <si>
    <t>CURVY SKINNY OM SN</t>
  </si>
  <si>
    <t>DLAM</t>
  </si>
  <si>
    <t>DLAM NRTHRN SHRE</t>
  </si>
  <si>
    <t>WXHD062OMDKZD</t>
  </si>
  <si>
    <t>WXHD062OM</t>
  </si>
  <si>
    <t>CURVY BOOT OLD MULTI SN</t>
  </si>
  <si>
    <t>WXHH034ECSDKZD</t>
  </si>
  <si>
    <t>WXHH034ECS</t>
  </si>
  <si>
    <t>CURVY SKINNY NATURAL RSPBRY SN</t>
  </si>
  <si>
    <t>WXHH052EEGDMQD</t>
  </si>
  <si>
    <t>WXHH052EEG</t>
  </si>
  <si>
    <t>CURVY SKINNY W FLAP STUD LOGO</t>
  </si>
  <si>
    <t>DMQD</t>
  </si>
  <si>
    <t>DMQD AUTMN NGHTS</t>
  </si>
  <si>
    <t>WXHH052EIJDMRD</t>
  </si>
  <si>
    <t>WXHH052EIJ</t>
  </si>
  <si>
    <t>CURVY SKINNY W FLAP BIG T</t>
  </si>
  <si>
    <t>WXHH052EIODRSM</t>
  </si>
  <si>
    <t>WXHH052EIO</t>
  </si>
  <si>
    <t>WXHH081EIZDMQD</t>
  </si>
  <si>
    <t>WXHH081EIZ</t>
  </si>
  <si>
    <t>SKINNY W FLAP MOTO STITCHED</t>
  </si>
  <si>
    <t>WXHN96EEDDMPM</t>
  </si>
  <si>
    <t>WXHN96EED</t>
  </si>
  <si>
    <t>S SKINNY FLAPS BC BIG T</t>
  </si>
  <si>
    <t>DMPM</t>
  </si>
  <si>
    <t>DMPM FALL BEGIN</t>
  </si>
  <si>
    <t>WXHN96EINDMQD</t>
  </si>
  <si>
    <t>WXHN96EIN</t>
  </si>
  <si>
    <t>SUPER SKINNY W FLAP</t>
  </si>
  <si>
    <t>WXKA128GR2AQDD</t>
  </si>
  <si>
    <t>WXKA128GR3AXAL</t>
  </si>
  <si>
    <t>WXMB348VV81006</t>
  </si>
  <si>
    <t>WXNA425HA01700</t>
  </si>
  <si>
    <t>WXNA425HA06415</t>
  </si>
  <si>
    <t>WXPA376EG1001</t>
  </si>
  <si>
    <t>WXPA376EG3501</t>
  </si>
  <si>
    <t>WXPA376EG6442</t>
  </si>
  <si>
    <t>WXPA376EG7456</t>
  </si>
  <si>
    <t>WXPA377EG1700</t>
  </si>
  <si>
    <t>WXPA377EG3501</t>
  </si>
  <si>
    <t>WXPA377EG6442</t>
  </si>
  <si>
    <t>WXPA377EG7456</t>
  </si>
  <si>
    <t>WXQ597FR36417</t>
  </si>
  <si>
    <t>WXQA137FR91941</t>
  </si>
  <si>
    <t>WXQA137FS41990</t>
  </si>
  <si>
    <t>WXQA137FS51001</t>
  </si>
  <si>
    <t>WXQA376F531001</t>
  </si>
  <si>
    <t>WXQA376FR03480</t>
  </si>
  <si>
    <t>WXQA376FU11417</t>
  </si>
  <si>
    <t>WXQA377FR36417</t>
  </si>
  <si>
    <t>WXQA377FR71001</t>
  </si>
  <si>
    <t>WXQA377FR71941</t>
  </si>
  <si>
    <t>WXQA377FR73480</t>
  </si>
  <si>
    <t>WXQA377FR74714</t>
  </si>
  <si>
    <t>WXQA597FR71001</t>
  </si>
  <si>
    <t>WXQA597FR71941</t>
  </si>
  <si>
    <t>WXQA597FR73480</t>
  </si>
  <si>
    <t>WXQA597FR74714</t>
  </si>
  <si>
    <t>WXSA131HA74838</t>
  </si>
  <si>
    <t>WXSA137HA14838</t>
  </si>
  <si>
    <t>WXTA384IK4844</t>
  </si>
  <si>
    <t>WXUA398IK2666</t>
  </si>
  <si>
    <t>WXWA399IK1700</t>
  </si>
  <si>
    <t>WXYA391IK6413</t>
  </si>
  <si>
    <t>WY1K35ELAQCD</t>
  </si>
  <si>
    <t>WY1K44ELFFDB</t>
  </si>
  <si>
    <t>WY1N68EL1VB</t>
  </si>
  <si>
    <t>WY3B301UL71024</t>
  </si>
  <si>
    <t>WY3C321SR5BHPD</t>
  </si>
  <si>
    <t>WY4C321SR52S</t>
  </si>
  <si>
    <t>WY5N95EIVDRSM</t>
  </si>
  <si>
    <t>WY5N95EIV</t>
  </si>
  <si>
    <t>SUPER SKINNY BIG T</t>
  </si>
  <si>
    <t>WY5N96ECODLAM</t>
  </si>
  <si>
    <t>WY5N96ECO</t>
  </si>
  <si>
    <t>SUPER SKINNY FLAP NTRL SUPER T</t>
  </si>
  <si>
    <t>WY6572G321874</t>
  </si>
  <si>
    <t>WY6592Z826257</t>
  </si>
  <si>
    <t>WY6592Z827346</t>
  </si>
  <si>
    <t>WY6599STSM4400</t>
  </si>
  <si>
    <t>WY6599STSM5320</t>
  </si>
  <si>
    <t>WY6599Z824499</t>
  </si>
  <si>
    <t>WY6599Z826257</t>
  </si>
  <si>
    <t>WY6599Z827346</t>
  </si>
  <si>
    <t>WY6A817OM1826</t>
  </si>
  <si>
    <t>WY6G10CE95337</t>
  </si>
  <si>
    <t>WY6G10CF46274</t>
  </si>
  <si>
    <t>WY6G10Y131536</t>
  </si>
  <si>
    <t>WY6G10Y132639</t>
  </si>
  <si>
    <t>WY6G10Y133242</t>
  </si>
  <si>
    <t>WY6G10Y134617</t>
  </si>
  <si>
    <t>WY6G10Y134618</t>
  </si>
  <si>
    <t>WY6G10Y137350</t>
  </si>
  <si>
    <t>WY6G10Y138341</t>
  </si>
  <si>
    <t>WY6G10Z821276</t>
  </si>
  <si>
    <t>WY6G10Z824560</t>
  </si>
  <si>
    <t>WY6G10Z825326</t>
  </si>
  <si>
    <t>WY6G10Z826839</t>
  </si>
  <si>
    <t>WY6G11BL03099</t>
  </si>
  <si>
    <t>WY6G11BL04611</t>
  </si>
  <si>
    <t>WY6G11BL04612</t>
  </si>
  <si>
    <t>WY6G11BL05081</t>
  </si>
  <si>
    <t>WY6G11BL06172</t>
  </si>
  <si>
    <t>WY6G11BL06263</t>
  </si>
  <si>
    <t>WY6G11BL07352</t>
  </si>
  <si>
    <t>WY6G11BL08343</t>
  </si>
  <si>
    <t>WY6G11G174547</t>
  </si>
  <si>
    <t>WY6G11G177426</t>
  </si>
  <si>
    <t>WY6G11PCK6ZR</t>
  </si>
  <si>
    <t>WY6G11Z821851</t>
  </si>
  <si>
    <t>WY6G11Z823202</t>
  </si>
  <si>
    <t>WY6G11Z824319</t>
  </si>
  <si>
    <t>WY6G11Z824559</t>
  </si>
  <si>
    <t>WY6G11Z825080</t>
  </si>
  <si>
    <t>WY6G11Z826169</t>
  </si>
  <si>
    <t>WY6G11Z826258</t>
  </si>
  <si>
    <t>WY6G11Z827347</t>
  </si>
  <si>
    <t>WY6G11Z828337</t>
  </si>
  <si>
    <t>WY6G11Z931356</t>
  </si>
  <si>
    <t>WY6G11Z934479</t>
  </si>
  <si>
    <t>WY6G11Z935078</t>
  </si>
  <si>
    <t>WY6G11Z936157</t>
  </si>
  <si>
    <t>WY6G11Z938041</t>
  </si>
  <si>
    <t>WY6K18Z823365</t>
  </si>
  <si>
    <t>WY6K35CE42157</t>
  </si>
  <si>
    <t>WY6K35CQ74666</t>
  </si>
  <si>
    <t>WY6K35CQ76191</t>
  </si>
  <si>
    <t>WY6K35G171867</t>
  </si>
  <si>
    <t>WY6K35K671317</t>
  </si>
  <si>
    <t>WY6K35K673187</t>
  </si>
  <si>
    <t>WY6K35N283018</t>
  </si>
  <si>
    <t>WY6K35N286148</t>
  </si>
  <si>
    <t>WY6K35PCK6ZR</t>
  </si>
  <si>
    <t>WY6K35Y121180</t>
  </si>
  <si>
    <t>WY6K35Y121181</t>
  </si>
  <si>
    <t>WY6K35Y122344</t>
  </si>
  <si>
    <t>WY6K35Y124472</t>
  </si>
  <si>
    <t>WY6K35Y125072</t>
  </si>
  <si>
    <t>WY6K35Y126152</t>
  </si>
  <si>
    <t>WY6K35Y126248</t>
  </si>
  <si>
    <t>WY6K35Y127019</t>
  </si>
  <si>
    <t>WY6K35Y127236</t>
  </si>
  <si>
    <t>WY6K35Z821276</t>
  </si>
  <si>
    <t>WY6K35Z821851</t>
  </si>
  <si>
    <t>WY6K35Z823365</t>
  </si>
  <si>
    <t>WY6K35Z824319</t>
  </si>
  <si>
    <t>WY6K35Z824560</t>
  </si>
  <si>
    <t>WY6K35Z825080</t>
  </si>
  <si>
    <t>WY6K35Z825326</t>
  </si>
  <si>
    <t>WY6K35Z826169</t>
  </si>
  <si>
    <t>WY6K35Z826839</t>
  </si>
  <si>
    <t>WY6K35Z827347</t>
  </si>
  <si>
    <t>WY6K35Z827370</t>
  </si>
  <si>
    <t>WY6K35Z82ZR</t>
  </si>
  <si>
    <t>WY6K44BB96169</t>
  </si>
  <si>
    <t>WY6K44BC03202</t>
  </si>
  <si>
    <t>WY6K44BC14319</t>
  </si>
  <si>
    <t>WY6K44BC45080</t>
  </si>
  <si>
    <t>WY6K44BK17347</t>
  </si>
  <si>
    <t>WY6K44K671113</t>
  </si>
  <si>
    <t>WY6K44K671317</t>
  </si>
  <si>
    <t>WY6K75Z826168</t>
  </si>
  <si>
    <t>WY6K75Z826257</t>
  </si>
  <si>
    <t>WY6K75Z828047</t>
  </si>
  <si>
    <t>WY6M39G172630</t>
  </si>
  <si>
    <t>WY6N95AG86252</t>
  </si>
  <si>
    <t>WY6N95AG87112</t>
  </si>
  <si>
    <t>WY6N95BL03099</t>
  </si>
  <si>
    <t>WY6N95BL04611</t>
  </si>
  <si>
    <t>WY6N95BL04612</t>
  </si>
  <si>
    <t>WY6N95BL04626</t>
  </si>
  <si>
    <t>WY6N95BL05081</t>
  </si>
  <si>
    <t>WY6N95BL06172</t>
  </si>
  <si>
    <t>WY6N95BL06263</t>
  </si>
  <si>
    <t>WY6N95BL07352</t>
  </si>
  <si>
    <t>WY6N95BL08343</t>
  </si>
  <si>
    <t>WY6N95CE41932</t>
  </si>
  <si>
    <t>WY6N95GS06019</t>
  </si>
  <si>
    <t>WY6N95K674548</t>
  </si>
  <si>
    <t>WY6N95K675111</t>
  </si>
  <si>
    <t>WY6N95K675127</t>
  </si>
  <si>
    <t>WY6N95K676107</t>
  </si>
  <si>
    <t>WY6N95K677205</t>
  </si>
  <si>
    <t>WY6N95K677339</t>
  </si>
  <si>
    <t>WY6N95K678326</t>
  </si>
  <si>
    <t>WY6N95SP31826</t>
  </si>
  <si>
    <t>WY6N95Z821276</t>
  </si>
  <si>
    <t>WY6N95Z821851</t>
  </si>
  <si>
    <t>WY6N95Z824319</t>
  </si>
  <si>
    <t>WY6N95Z824559</t>
  </si>
  <si>
    <t>WY6N95Z824560</t>
  </si>
  <si>
    <t>WY6N95Z825326</t>
  </si>
  <si>
    <t>WY6N95Z826258</t>
  </si>
  <si>
    <t>WY6N95Z827347</t>
  </si>
  <si>
    <t>WY6N95Z828337</t>
  </si>
  <si>
    <t>WY6N95Z931356</t>
  </si>
  <si>
    <t>WY6N95Z936157</t>
  </si>
  <si>
    <t>WY6N95Z938041</t>
  </si>
  <si>
    <t>WY6N96BC28337</t>
  </si>
  <si>
    <t>WY6N96BC31821</t>
  </si>
  <si>
    <t>WY6N96BK24559</t>
  </si>
  <si>
    <t>WY6N96K674548</t>
  </si>
  <si>
    <t>WY6N96K677339</t>
  </si>
  <si>
    <t>WY6N96K678326</t>
  </si>
  <si>
    <t>WY6P38CE74635</t>
  </si>
  <si>
    <t>WY6P38CE95337</t>
  </si>
  <si>
    <t>WY6P38CF13352</t>
  </si>
  <si>
    <t>WY6P38K671825</t>
  </si>
  <si>
    <t>WY6P38K673313</t>
  </si>
  <si>
    <t>WY6P38K674548</t>
  </si>
  <si>
    <t>WY6P38K677339</t>
  </si>
  <si>
    <t>WY6P38K678326</t>
  </si>
  <si>
    <t>WY6P49M464549</t>
  </si>
  <si>
    <t>WY6P54M461825</t>
  </si>
  <si>
    <t>WY6P54M464549</t>
  </si>
  <si>
    <t>WY6P54M465324</t>
  </si>
  <si>
    <t>WY6P54M468327</t>
  </si>
  <si>
    <t>WY6P55M461825</t>
  </si>
  <si>
    <t>WY6P55M464549</t>
  </si>
  <si>
    <t>WY6P55M468327</t>
  </si>
  <si>
    <t>WY6R12R683208</t>
  </si>
  <si>
    <t>WY6R12R686704</t>
  </si>
  <si>
    <t>WY6R12R687319</t>
  </si>
  <si>
    <t>WY6R12R688204</t>
  </si>
  <si>
    <t>WY6Y78DH61100</t>
  </si>
  <si>
    <t>WY6Y78DH61130</t>
  </si>
  <si>
    <t>WY6Y78DH61142</t>
  </si>
  <si>
    <t>WY6Y78DH63438</t>
  </si>
  <si>
    <t>WY6Y78DH66329</t>
  </si>
  <si>
    <t>WYCB131KE42707</t>
  </si>
  <si>
    <t>WYCB131KE44739</t>
  </si>
  <si>
    <t>WYCB131YY71106</t>
  </si>
  <si>
    <t>WYCB131YY72707</t>
  </si>
  <si>
    <t>WYCB242KJ92707</t>
  </si>
  <si>
    <t>WYCB242KJ94739</t>
  </si>
  <si>
    <t>WYCB242YY71106</t>
  </si>
  <si>
    <t>WYCB242YY7</t>
  </si>
  <si>
    <t>WYCB242YY71473</t>
  </si>
  <si>
    <t>WYCB242YY72707</t>
  </si>
  <si>
    <t>WYCB259TA71001</t>
  </si>
  <si>
    <t>WYCB259TA76000</t>
  </si>
  <si>
    <t>WYCB261SJ51501</t>
  </si>
  <si>
    <t>WYCB261SJ52707</t>
  </si>
  <si>
    <t>WYCB284TZ91001</t>
  </si>
  <si>
    <t>WYCB284TZ96000</t>
  </si>
  <si>
    <t>WYCB292SJ61501</t>
  </si>
  <si>
    <t>WYCB292SJ62707</t>
  </si>
  <si>
    <t>WYCB292VA81441</t>
  </si>
  <si>
    <t>WYCB292VA84739</t>
  </si>
  <si>
    <t>WYCB298UK11100</t>
  </si>
  <si>
    <t>WYCB298UK11700</t>
  </si>
  <si>
    <t>WYCB428SE21001</t>
  </si>
  <si>
    <t>WYCB428SE25105</t>
  </si>
  <si>
    <t>WYCC266EHL1001</t>
  </si>
  <si>
    <t>WYCC266EHL</t>
  </si>
  <si>
    <t>WYCC266EHL1501</t>
  </si>
  <si>
    <t>WYCC403UK01501</t>
  </si>
  <si>
    <t>WYCC403UK01700</t>
  </si>
  <si>
    <t>WYCC404UJ61100</t>
  </si>
  <si>
    <t>WYCC404UJ65146</t>
  </si>
  <si>
    <t>WYCC406UJ61501</t>
  </si>
  <si>
    <t>WYFB288UJ41001</t>
  </si>
  <si>
    <t>WYFB288UJ46202</t>
  </si>
  <si>
    <t>WYFB289SC81001</t>
  </si>
  <si>
    <t>WYGB287UJ31001</t>
  </si>
  <si>
    <t>WYGB287UJ31096</t>
  </si>
  <si>
    <t>WYHB282IK1001</t>
  </si>
  <si>
    <t>WYIB403MU31001</t>
  </si>
  <si>
    <t>WYIB403MU31700</t>
  </si>
  <si>
    <t>WYMA313TT5101</t>
  </si>
  <si>
    <t>WYMA313TT6213</t>
  </si>
  <si>
    <t>WYMB403MU34531</t>
  </si>
  <si>
    <t>WYMB409XL56003</t>
  </si>
  <si>
    <t>WYOGAMAT5000</t>
  </si>
  <si>
    <t>WYRC406UJ72723</t>
  </si>
  <si>
    <t>WYYB287XR31096</t>
  </si>
  <si>
    <t>WYYB287XR31100</t>
  </si>
  <si>
    <t>WYYB410EGD1001</t>
  </si>
  <si>
    <t>WYYB410EGD</t>
  </si>
  <si>
    <t>ACTIVE SKINNY ZIP UP</t>
  </si>
  <si>
    <t>BLACK / CHARCOAL HEATHER</t>
  </si>
  <si>
    <t>WYYB410EGD1501</t>
  </si>
  <si>
    <t>HEATHER GREY / NOCTURNAL</t>
  </si>
  <si>
    <t>WYYB410XR21096</t>
  </si>
  <si>
    <t>WYYB410XR21100</t>
  </si>
  <si>
    <t>WYYB429SE21001</t>
  </si>
  <si>
    <t>WYYB429SE24819</t>
  </si>
  <si>
    <t>WYYH064EGD1001</t>
  </si>
  <si>
    <t>WYYH064EGD</t>
  </si>
  <si>
    <t>ACTIVE SKINNY PANT</t>
  </si>
  <si>
    <t>WYYH064EGD1501</t>
  </si>
  <si>
    <t>WZ2B316UT11001</t>
  </si>
  <si>
    <t>WZ2B316UT11702</t>
  </si>
  <si>
    <t>WZ58M71EG7303</t>
  </si>
  <si>
    <t>WZ6B314SE21702</t>
  </si>
  <si>
    <t>WZ6B314SE25000</t>
  </si>
  <si>
    <t>WZ87L61EH1535</t>
  </si>
  <si>
    <t>WZA5089EOA1700</t>
  </si>
  <si>
    <t>WZA5089EOA</t>
  </si>
  <si>
    <t>MOTO CURVY SKINNY WHITE SN</t>
  </si>
  <si>
    <t>WZA592SXL81700</t>
  </si>
  <si>
    <t>WZA592SXL8</t>
  </si>
  <si>
    <t>SKINNY DESTROYED GREY ANVIL SN</t>
  </si>
  <si>
    <t>WZBA395IK1700</t>
  </si>
  <si>
    <t>WZEA347IK1704</t>
  </si>
  <si>
    <t>WZGB101XZ36041</t>
  </si>
  <si>
    <t>WZGB242XZ46041</t>
  </si>
  <si>
    <t>WZGB399XN01001</t>
  </si>
  <si>
    <t>WZGB399XN02707</t>
  </si>
  <si>
    <t>WZGB400XH11001</t>
  </si>
  <si>
    <t>WZGB400XH12707</t>
  </si>
  <si>
    <t>WZHA120GF81415</t>
  </si>
  <si>
    <t>WZHA419GF81415</t>
  </si>
  <si>
    <t>Y09OX33BU64100</t>
  </si>
  <si>
    <t>Y13JX41BW31001</t>
  </si>
  <si>
    <t>Y13JX41BW62300</t>
  </si>
  <si>
    <t>Y13JX41BW72000</t>
  </si>
  <si>
    <t>Y13JX41BW81001</t>
  </si>
  <si>
    <t>Y13JX41BW82000</t>
  </si>
  <si>
    <t>Y13JX42LV51001</t>
  </si>
  <si>
    <t>Y13JX42LV5</t>
  </si>
  <si>
    <t>BRAIDED LEATHER BELT</t>
  </si>
  <si>
    <t>Y14JX51BD21001</t>
  </si>
  <si>
    <t>Y15JB0032000</t>
  </si>
  <si>
    <t>Y15MB0021001</t>
  </si>
  <si>
    <t>Y16GROMBLT1001</t>
  </si>
  <si>
    <t>Y16PERFBLT1001</t>
  </si>
  <si>
    <t>Y16PERFBLT2000</t>
  </si>
  <si>
    <t>Y16RDTRBLT1001</t>
  </si>
  <si>
    <t>YBIGTDUFFL1001</t>
  </si>
  <si>
    <t>YBUTTONBAG4168</t>
  </si>
  <si>
    <t>YCAMOBP3071</t>
  </si>
  <si>
    <t>YCAMOBP</t>
  </si>
  <si>
    <t>HORSESHOE BACKPACK</t>
  </si>
  <si>
    <t>YCAMODUF3071</t>
  </si>
  <si>
    <t>YCAMODUF</t>
  </si>
  <si>
    <t>TR DUFFEL</t>
  </si>
  <si>
    <t>YCBYDUFFLE4143</t>
  </si>
  <si>
    <t>YDENIMTOTE1001</t>
  </si>
  <si>
    <t>YDENIMTOTE4143</t>
  </si>
  <si>
    <t>YDENIMTOTE6000</t>
  </si>
  <si>
    <t>YGYMDUFFLE1001</t>
  </si>
  <si>
    <t>YLSRBLT0011001</t>
  </si>
  <si>
    <t>YM341DB4143</t>
  </si>
  <si>
    <t>YM341DB</t>
  </si>
  <si>
    <t>DENIM DUFFLE BAG</t>
  </si>
  <si>
    <t>YM633DB1001</t>
  </si>
  <si>
    <t>YM633DB</t>
  </si>
  <si>
    <t>LEATHER DUFFLE BAG</t>
  </si>
  <si>
    <t>YM633DB2001</t>
  </si>
  <si>
    <t>YM634TB4144</t>
  </si>
  <si>
    <t>YM634TB</t>
  </si>
  <si>
    <t>TIE DYE TOTE BAG</t>
  </si>
  <si>
    <t>YM635TB1001</t>
  </si>
  <si>
    <t>YM635TB</t>
  </si>
  <si>
    <t>LEATHER TOTE BAG</t>
  </si>
  <si>
    <t>YM635TB2001</t>
  </si>
  <si>
    <t>YM636TB4143</t>
  </si>
  <si>
    <t>YM636TB</t>
  </si>
  <si>
    <t>LARGE TIE DYE TOTE</t>
  </si>
  <si>
    <t>YM637TB2702</t>
  </si>
  <si>
    <t>YM637TB</t>
  </si>
  <si>
    <t>CANVAS TOTE BAG</t>
  </si>
  <si>
    <t>YM638BP4143</t>
  </si>
  <si>
    <t>YM638BP</t>
  </si>
  <si>
    <t>LARGE TIE DYE BACKPACK</t>
  </si>
  <si>
    <t>YM639TB4143</t>
  </si>
  <si>
    <t>YM639TB</t>
  </si>
  <si>
    <t>DENIM TOTE BAG</t>
  </si>
  <si>
    <t>YM640BP1001</t>
  </si>
  <si>
    <t>YM640BP</t>
  </si>
  <si>
    <t>MENS BACKPACK</t>
  </si>
  <si>
    <t>YM641MB1001</t>
  </si>
  <si>
    <t>YM641MB</t>
  </si>
  <si>
    <t>MENS MESSENGER BAG</t>
  </si>
  <si>
    <t>YM641MB3071</t>
  </si>
  <si>
    <t>YM642DB1001</t>
  </si>
  <si>
    <t>YM642DB</t>
  </si>
  <si>
    <t>MENS DUFFLE BAG</t>
  </si>
  <si>
    <t>YM643WA1001</t>
  </si>
  <si>
    <t>YM643WA</t>
  </si>
  <si>
    <t>MENS WALLET</t>
  </si>
  <si>
    <t>YM643WA3071</t>
  </si>
  <si>
    <t>YM645BP4144</t>
  </si>
  <si>
    <t>YM645BP</t>
  </si>
  <si>
    <t>DENIM BACKPACK WITH PATCHES</t>
  </si>
  <si>
    <t>YMONODUFFL1001</t>
  </si>
  <si>
    <t>YMONODUFFL4143</t>
  </si>
  <si>
    <t>YMONODUFFL6000</t>
  </si>
  <si>
    <t>YPOOLFLOAT6497</t>
  </si>
  <si>
    <t>YTRBCHTWEL6000</t>
  </si>
  <si>
    <t>YTRBCHTWELASST</t>
  </si>
  <si>
    <t>YTRDTNLBAG1700</t>
  </si>
  <si>
    <t>YTRRGLNBAG1001</t>
  </si>
  <si>
    <t>YTRSPEAKER1081</t>
  </si>
  <si>
    <t>YTRUEBAG4168</t>
  </si>
  <si>
    <t>OS</t>
  </si>
  <si>
    <t>M SWEATERS</t>
  </si>
  <si>
    <t>17M2</t>
  </si>
  <si>
    <t>M HATS</t>
  </si>
  <si>
    <t>M11006J5501700</t>
  </si>
  <si>
    <t>M11006J550</t>
  </si>
  <si>
    <t>RINGED TIE DYE SWEAT SHORT</t>
  </si>
  <si>
    <t>EMB CREWNECK</t>
  </si>
  <si>
    <t>MAX859TS</t>
  </si>
  <si>
    <t>DNOD</t>
  </si>
  <si>
    <t>DNOD BLK COOL MDE</t>
  </si>
  <si>
    <t>DENIM PLAID WORKWEAR SHIRT</t>
  </si>
  <si>
    <t>MG3E08EEA</t>
  </si>
  <si>
    <t>SLIM FLAP EARTWORM BIG T RED</t>
  </si>
  <si>
    <t>MHUB104MG01494</t>
  </si>
  <si>
    <t>MHUB104MG0</t>
  </si>
  <si>
    <t>STENCIL HORSESHOE SWEATPANT</t>
  </si>
  <si>
    <t>HTHR GRY/DK NVY</t>
  </si>
  <si>
    <t>MNR859ETO</t>
  </si>
  <si>
    <t>STRAIGHT FLAP NAT SN RED VSTCH</t>
  </si>
  <si>
    <t>MNR859ETP</t>
  </si>
  <si>
    <t>STRAIGHT FLAP RO SN ORG VSTCH</t>
  </si>
  <si>
    <t>TR117HD06</t>
  </si>
  <si>
    <t>TIE DYE HOODIE</t>
  </si>
  <si>
    <t>BRL</t>
  </si>
  <si>
    <t>BRILLIAN BLUE</t>
  </si>
  <si>
    <t>TR117JN26</t>
  </si>
  <si>
    <t>SLIM JEAN SN</t>
  </si>
  <si>
    <t>IVT1</t>
  </si>
  <si>
    <t>INDIGO VINTAGE WASH</t>
  </si>
  <si>
    <t>TR117SH32</t>
  </si>
  <si>
    <t>SKINNY BIG T SHORT</t>
  </si>
  <si>
    <t>BGS</t>
  </si>
  <si>
    <t>BGS BLUE GREASE</t>
  </si>
  <si>
    <t>TR117SP06</t>
  </si>
  <si>
    <t>TIE DYE SWEATPANT</t>
  </si>
  <si>
    <t>TR117ST05BOAH</t>
  </si>
  <si>
    <t>TR117ST05B</t>
  </si>
  <si>
    <t>WAVE HOODY BOX SET</t>
  </si>
  <si>
    <t>TR117TE16</t>
  </si>
  <si>
    <t>CROSS ARROWS TEE</t>
  </si>
  <si>
    <t>TR117TE17</t>
  </si>
  <si>
    <t>CALI DREAMIN TEE</t>
  </si>
  <si>
    <t>TR117TE18</t>
  </si>
  <si>
    <t>TR117TE19</t>
  </si>
  <si>
    <t>BUDDHA CIRCLE TEE</t>
  </si>
  <si>
    <t>TR117TE22</t>
  </si>
  <si>
    <t>TR117TE23</t>
  </si>
  <si>
    <t>BUDDHA TIE DYE TEE</t>
  </si>
  <si>
    <t>TR117TE24</t>
  </si>
  <si>
    <t>TR117TE25</t>
  </si>
  <si>
    <t>GUITARS LOGO TEE</t>
  </si>
  <si>
    <t>TR117WB02</t>
  </si>
  <si>
    <t>SLIM FIT CORD SHORT</t>
  </si>
  <si>
    <t>DB</t>
  </si>
  <si>
    <t>WHITE / TRUE RED</t>
  </si>
  <si>
    <t>TR216JN63</t>
  </si>
  <si>
    <t>NATURAL SN JEANS</t>
  </si>
  <si>
    <t>TR217DR03</t>
  </si>
  <si>
    <t>TIE DYE BRAND DRESS</t>
  </si>
  <si>
    <t>RNP</t>
  </si>
  <si>
    <t>PURPLE RAIN</t>
  </si>
  <si>
    <t>TR217JN53</t>
  </si>
  <si>
    <t>BIG T JEAN W FLAP</t>
  </si>
  <si>
    <t>TR217JN57</t>
  </si>
  <si>
    <t>TR217LG02</t>
  </si>
  <si>
    <t>STARLET SNGL END LEG</t>
  </si>
  <si>
    <t>TR217SH20</t>
  </si>
  <si>
    <t>SINGLE END SHORT</t>
  </si>
  <si>
    <t>TR217SH21</t>
  </si>
  <si>
    <t>SNGL END TYDY SHORT</t>
  </si>
  <si>
    <t>TR217TE27</t>
  </si>
  <si>
    <t>BRANDED RAGLAN TEE</t>
  </si>
  <si>
    <t>TR217TE28</t>
  </si>
  <si>
    <t>TR217TE29</t>
  </si>
  <si>
    <t>STRIPES TEE</t>
  </si>
  <si>
    <t>DPK</t>
  </si>
  <si>
    <t>DESERT PINK</t>
  </si>
  <si>
    <t>TR217TE32</t>
  </si>
  <si>
    <t>POLKA DOT TEE</t>
  </si>
  <si>
    <t>TR317ST06BTIE1</t>
  </si>
  <si>
    <t>TR317ST06B</t>
  </si>
  <si>
    <t>ALL DAY TEE SET</t>
  </si>
  <si>
    <t>TIE1</t>
  </si>
  <si>
    <t>TIE DYE</t>
  </si>
  <si>
    <t>TR317ST08</t>
  </si>
  <si>
    <t>POP TRUE HOODY SET</t>
  </si>
  <si>
    <t>TR417ST02BFIA</t>
  </si>
  <si>
    <t>TR417ST02B</t>
  </si>
  <si>
    <t>TR417ST03BFIA</t>
  </si>
  <si>
    <t>TR417ST03B</t>
  </si>
  <si>
    <t>TR417ST11</t>
  </si>
  <si>
    <t>TR617DR01</t>
  </si>
  <si>
    <t>BLUE TENCEL DRESS</t>
  </si>
  <si>
    <t>TR617JN35</t>
  </si>
  <si>
    <t>PLL</t>
  </si>
  <si>
    <t>PLANET BLUE</t>
  </si>
  <si>
    <t>TR617JN37</t>
  </si>
  <si>
    <t>CASEY PATCHED JEAN</t>
  </si>
  <si>
    <t>MDR1</t>
  </si>
  <si>
    <t>MEDIUM REPAIR</t>
  </si>
  <si>
    <t>TR617JN39</t>
  </si>
  <si>
    <t>CASEY SUPER T JEAN</t>
  </si>
  <si>
    <t>CSL</t>
  </si>
  <si>
    <t>CLOUDY SILVER</t>
  </si>
  <si>
    <t>TR617LK04</t>
  </si>
  <si>
    <t>TRUE RAGLAN</t>
  </si>
  <si>
    <t>TR617SH15</t>
  </si>
  <si>
    <t>BOBBY SUPER T SHORT</t>
  </si>
  <si>
    <t>PLU</t>
  </si>
  <si>
    <t>PALACE BLUE</t>
  </si>
  <si>
    <t>TR617SK02</t>
  </si>
  <si>
    <t>POCKET TEE</t>
  </si>
  <si>
    <t>TR617SK03</t>
  </si>
  <si>
    <t>ACTIVE DOLMAN TEE</t>
  </si>
  <si>
    <t>LIP</t>
  </si>
  <si>
    <t>LIPSTICK</t>
  </si>
  <si>
    <t>TR617SK04</t>
  </si>
  <si>
    <t>DRAPE BASEBALL TEE</t>
  </si>
  <si>
    <t>TR617SK05</t>
  </si>
  <si>
    <t>TIE DYE TANK</t>
  </si>
  <si>
    <t>TR617SP07</t>
  </si>
  <si>
    <t>MOTO SWEATPANT</t>
  </si>
  <si>
    <t>TR646TE178FIA</t>
  </si>
  <si>
    <t>TR646TE178</t>
  </si>
  <si>
    <t>TR646TE178WHT</t>
  </si>
  <si>
    <t>TR717HD01</t>
  </si>
  <si>
    <t>POP TRUE HOODY</t>
  </si>
  <si>
    <t>TR717HD02</t>
  </si>
  <si>
    <t>WAVE HOODIE HOOK UP</t>
  </si>
  <si>
    <t>TR717JK02</t>
  </si>
  <si>
    <t>BRU</t>
  </si>
  <si>
    <t>BRU BRIGHT BLUE</t>
  </si>
  <si>
    <t>TR717JN01</t>
  </si>
  <si>
    <t>ROCCO JEAN W PATCHES</t>
  </si>
  <si>
    <t>DCD</t>
  </si>
  <si>
    <t>DECODED</t>
  </si>
  <si>
    <t>TR717JN02</t>
  </si>
  <si>
    <t>PDB</t>
  </si>
  <si>
    <t>PALLID BLUE</t>
  </si>
  <si>
    <t>TR717JN05</t>
  </si>
  <si>
    <t>DMO</t>
  </si>
  <si>
    <t>DEMOLISHED</t>
  </si>
  <si>
    <t>TR717JN07</t>
  </si>
  <si>
    <t>TONY SUPER T</t>
  </si>
  <si>
    <t>LUB</t>
  </si>
  <si>
    <t>BRLLNT BLU</t>
  </si>
  <si>
    <t>TR717JN08</t>
  </si>
  <si>
    <t>GVG</t>
  </si>
  <si>
    <t>GRAVEL GREY</t>
  </si>
  <si>
    <t>TR717JN11</t>
  </si>
  <si>
    <t>CSW</t>
  </si>
  <si>
    <t>CRSTLN WHS</t>
  </si>
  <si>
    <t>TR717JN13</t>
  </si>
  <si>
    <t>GENO SUPER T SHORT</t>
  </si>
  <si>
    <t>MUE</t>
  </si>
  <si>
    <t>MUDDY BLUE</t>
  </si>
  <si>
    <t>TR717KS02</t>
  </si>
  <si>
    <t>WAVE SHORT HOOK UP</t>
  </si>
  <si>
    <t>TR717KS04</t>
  </si>
  <si>
    <t>GENO SHORT</t>
  </si>
  <si>
    <t>CUE</t>
  </si>
  <si>
    <t>CALI BLUE</t>
  </si>
  <si>
    <t>TR717SH04</t>
  </si>
  <si>
    <t>TR717SH06</t>
  </si>
  <si>
    <t>BYL</t>
  </si>
  <si>
    <t>BRIGHT YELLOW</t>
  </si>
  <si>
    <t>TR717SP02</t>
  </si>
  <si>
    <t>POP TRUE SWEATPANT</t>
  </si>
  <si>
    <t>TR717TE02</t>
  </si>
  <si>
    <t>RETRO TR TEE</t>
  </si>
  <si>
    <t>TR717TE03</t>
  </si>
  <si>
    <t>BUDDHA POP TEE</t>
  </si>
  <si>
    <t>TR717TE04</t>
  </si>
  <si>
    <t>WORLD TOUR TEE</t>
  </si>
  <si>
    <t>TR717TE05</t>
  </si>
  <si>
    <t>STRIPE TEE</t>
  </si>
  <si>
    <t>BRR1</t>
  </si>
  <si>
    <t>TR717TE06</t>
  </si>
  <si>
    <t>ALL DAY HOODED TEE</t>
  </si>
  <si>
    <t>TR717TE08</t>
  </si>
  <si>
    <t>TR717TE10</t>
  </si>
  <si>
    <t>CALI TEE</t>
  </si>
  <si>
    <t>TR717TE12</t>
  </si>
  <si>
    <t>BATIK TEE</t>
  </si>
  <si>
    <t>TR717TE13</t>
  </si>
  <si>
    <t>WRE</t>
  </si>
  <si>
    <t>TR735TE13</t>
  </si>
  <si>
    <t>TRUE R TEE</t>
  </si>
  <si>
    <t>TR746TE181BRU</t>
  </si>
  <si>
    <t>TR746TE181</t>
  </si>
  <si>
    <t>BRANDED BUDDHA TEE</t>
  </si>
  <si>
    <t>TR746TE181BTG</t>
  </si>
  <si>
    <t>BTG</t>
  </si>
  <si>
    <t>BRIGHT GREEN</t>
  </si>
  <si>
    <t>TR817DR01</t>
  </si>
  <si>
    <t>TR817JN35</t>
  </si>
  <si>
    <t>TR817JN37</t>
  </si>
  <si>
    <t>TR817JN39</t>
  </si>
  <si>
    <t>TR817LK04</t>
  </si>
  <si>
    <t>TR817SH15</t>
  </si>
  <si>
    <t>TR817SK02</t>
  </si>
  <si>
    <t>TR817SK03</t>
  </si>
  <si>
    <t>TR817SK04</t>
  </si>
  <si>
    <t>TR817SK05</t>
  </si>
  <si>
    <t>TR817SK06</t>
  </si>
  <si>
    <t>TRUE LOVE DRAPE TEE</t>
  </si>
  <si>
    <t>TR817SK07</t>
  </si>
  <si>
    <t>AZTEC TANK</t>
  </si>
  <si>
    <t>TR817SP07</t>
  </si>
  <si>
    <t>TR817TE26</t>
  </si>
  <si>
    <t>TIE DYE BUNNY TEE</t>
  </si>
  <si>
    <t>TR846TE178BKG</t>
  </si>
  <si>
    <t>TR846TE178</t>
  </si>
  <si>
    <t>BKG</t>
  </si>
  <si>
    <t>TR846TE178FIA</t>
  </si>
  <si>
    <t>TR917HD01</t>
  </si>
  <si>
    <t>TR917JK02</t>
  </si>
  <si>
    <t>TR917JN01</t>
  </si>
  <si>
    <t>TR917JN02</t>
  </si>
  <si>
    <t>TR917JN05</t>
  </si>
  <si>
    <t>TR917JN07</t>
  </si>
  <si>
    <t>TR917JN08</t>
  </si>
  <si>
    <t>TR917JN11</t>
  </si>
  <si>
    <t>TR917JN13</t>
  </si>
  <si>
    <t>TR917KS04</t>
  </si>
  <si>
    <t>TR917SH04</t>
  </si>
  <si>
    <t>TR917SH06</t>
  </si>
  <si>
    <t>TR917SP02</t>
  </si>
  <si>
    <t>TR917TE02</t>
  </si>
  <si>
    <t>TR917TE03</t>
  </si>
  <si>
    <t>TR917TE04</t>
  </si>
  <si>
    <t>TR917TE05</t>
  </si>
  <si>
    <t>TR917TE08</t>
  </si>
  <si>
    <t>TR917TE10</t>
  </si>
  <si>
    <t>TR917TE12</t>
  </si>
  <si>
    <t>TR917TE13</t>
  </si>
  <si>
    <t>TR946TE181BRU</t>
  </si>
  <si>
    <t>TR946TE181</t>
  </si>
  <si>
    <t>TR946TE181BTG</t>
  </si>
  <si>
    <t>WA93335A</t>
  </si>
  <si>
    <t>SLIM V GOLD METALLIC V NECK</t>
  </si>
  <si>
    <t>WC820J078</t>
  </si>
  <si>
    <t>LINEN TANK</t>
  </si>
  <si>
    <t>WDAAB918A</t>
  </si>
  <si>
    <t>DRKM</t>
  </si>
  <si>
    <t>DRKM DK BLUE MST</t>
  </si>
  <si>
    <t>WOHX061BJ92S</t>
  </si>
  <si>
    <t>WOHX061BJ9</t>
  </si>
  <si>
    <t>WOKX061OM</t>
  </si>
  <si>
    <t>WXH599SNBT2S</t>
  </si>
  <si>
    <t>WXH599SNBT</t>
  </si>
  <si>
    <t>MAX859TSDNOD</t>
  </si>
  <si>
    <t>MG3E08EEADSUM</t>
  </si>
  <si>
    <t>MNR859ETOCYEM</t>
  </si>
  <si>
    <t>MNR859ETPDSED</t>
  </si>
  <si>
    <t>TR117HD06BRL</t>
  </si>
  <si>
    <t>TR117JN26IVT1</t>
  </si>
  <si>
    <t>TR117SH32BGS</t>
  </si>
  <si>
    <t>TR117SP06BRL</t>
  </si>
  <si>
    <t>TR117TE16WHT</t>
  </si>
  <si>
    <t>TR117TE17NVY</t>
  </si>
  <si>
    <t>TR117TE18YEL</t>
  </si>
  <si>
    <t>TR117TE19BLK</t>
  </si>
  <si>
    <t>TR117TE22RED</t>
  </si>
  <si>
    <t>TR117TE23BRL</t>
  </si>
  <si>
    <t>TR117TE24WHT</t>
  </si>
  <si>
    <t>TR117TE25WHT</t>
  </si>
  <si>
    <t>TR117WB02DB</t>
  </si>
  <si>
    <t>TR146WB19BLK</t>
  </si>
  <si>
    <t>TR19891468</t>
  </si>
  <si>
    <t>TR19891712</t>
  </si>
  <si>
    <t>TR19891836</t>
  </si>
  <si>
    <t>TR216JN63SFK</t>
  </si>
  <si>
    <t>TR217DR03RNP</t>
  </si>
  <si>
    <t>TR217JN53FOG1</t>
  </si>
  <si>
    <t>TR217JN57WHT</t>
  </si>
  <si>
    <t>TR217LG02CLR</t>
  </si>
  <si>
    <t>TR217SH20SSN</t>
  </si>
  <si>
    <t>TR217SH21CLR</t>
  </si>
  <si>
    <t>TR217TE27CLR</t>
  </si>
  <si>
    <t>TR217TE28FIA</t>
  </si>
  <si>
    <t>TR217TE28WHT</t>
  </si>
  <si>
    <t>TR217TE29DPK</t>
  </si>
  <si>
    <t>TR217TE32WHT</t>
  </si>
  <si>
    <t>TR317ST08HGY</t>
  </si>
  <si>
    <t>TR417ST11FIA</t>
  </si>
  <si>
    <t>TR617DR01IND</t>
  </si>
  <si>
    <t>TR617JN35PLL</t>
  </si>
  <si>
    <t>TR617JN37MDR1</t>
  </si>
  <si>
    <t>TR617JN39CSL</t>
  </si>
  <si>
    <t>TR617LK04OAH</t>
  </si>
  <si>
    <t>TR617SH15PLU</t>
  </si>
  <si>
    <t>TR617SK02OAH</t>
  </si>
  <si>
    <t>TR617SK03LIP</t>
  </si>
  <si>
    <t>TR617SK04WHT</t>
  </si>
  <si>
    <t>TR617SK05FIA</t>
  </si>
  <si>
    <t>TR617SP07LIP</t>
  </si>
  <si>
    <t>TR717HD01HGY</t>
  </si>
  <si>
    <t>TR717HD02OAH</t>
  </si>
  <si>
    <t>TR717JK02BRU</t>
  </si>
  <si>
    <t>TR717JN01DCD</t>
  </si>
  <si>
    <t>TR717JN02PDB</t>
  </si>
  <si>
    <t>TR717JN05DMO</t>
  </si>
  <si>
    <t>TR717JN07LUB</t>
  </si>
  <si>
    <t>TR717JN08GVG</t>
  </si>
  <si>
    <t>TR717JN11CSW</t>
  </si>
  <si>
    <t>TR717JN13MUE</t>
  </si>
  <si>
    <t>TR717KS02OAH</t>
  </si>
  <si>
    <t>TR717KS04CUE</t>
  </si>
  <si>
    <t>TR717SH04CSW</t>
  </si>
  <si>
    <t>TR717SH06BRU</t>
  </si>
  <si>
    <t>TR717SH06BYL</t>
  </si>
  <si>
    <t>TR717SP02HGY</t>
  </si>
  <si>
    <t>TR717TE02HGY</t>
  </si>
  <si>
    <t>TR717TE03BRU</t>
  </si>
  <si>
    <t>TR717TE04OAH</t>
  </si>
  <si>
    <t>TR717TE05BRR1</t>
  </si>
  <si>
    <t>TR717TE06TIE1</t>
  </si>
  <si>
    <t>TR717TE08BRR1</t>
  </si>
  <si>
    <t>TR717TE10WHT</t>
  </si>
  <si>
    <t>TR717TE12IND</t>
  </si>
  <si>
    <t>TR717TE13WRE</t>
  </si>
  <si>
    <t>TR735TE13RED</t>
  </si>
  <si>
    <t>TR817DR01IND</t>
  </si>
  <si>
    <t>TR817JN35PLL</t>
  </si>
  <si>
    <t>TR817JN37MDR1</t>
  </si>
  <si>
    <t>TR817JN39CSL</t>
  </si>
  <si>
    <t>TR817LK04OAH</t>
  </si>
  <si>
    <t>TR817SH15PLU</t>
  </si>
  <si>
    <t>TR817SK02OAH</t>
  </si>
  <si>
    <t>TR817SK03LIP</t>
  </si>
  <si>
    <t>TR817SK04WHT</t>
  </si>
  <si>
    <t>TR817SK05FIA</t>
  </si>
  <si>
    <t>TR817SK06IND</t>
  </si>
  <si>
    <t>TR817SK07HGY</t>
  </si>
  <si>
    <t>TR817SP07LIP</t>
  </si>
  <si>
    <t>TR817TE26MHG</t>
  </si>
  <si>
    <t>TR917HD01HGY</t>
  </si>
  <si>
    <t>TR917JK02BRU</t>
  </si>
  <si>
    <t>TR917JN01DCD</t>
  </si>
  <si>
    <t>TR917JN02PDB</t>
  </si>
  <si>
    <t>TR917JN05DMO</t>
  </si>
  <si>
    <t>TR917JN07LUB</t>
  </si>
  <si>
    <t>TR917JN08GVG</t>
  </si>
  <si>
    <t>TR917JN11CSW</t>
  </si>
  <si>
    <t>TR917JN13MUE</t>
  </si>
  <si>
    <t>TR917KS04CUE</t>
  </si>
  <si>
    <t>TR917SH04CSW</t>
  </si>
  <si>
    <t>TR917SH06BRU</t>
  </si>
  <si>
    <t>TR917SH06BYL</t>
  </si>
  <si>
    <t>TR917SP02HGY</t>
  </si>
  <si>
    <t>TR917TE02HGY</t>
  </si>
  <si>
    <t>TR917TE03BRU</t>
  </si>
  <si>
    <t>TR917TE04OAH</t>
  </si>
  <si>
    <t>TR917TE05BRR1</t>
  </si>
  <si>
    <t>TR917TE08BRR1</t>
  </si>
  <si>
    <t>TR917TE10WHT</t>
  </si>
  <si>
    <t>TR917TE12IND</t>
  </si>
  <si>
    <t>TR917TE13WRE</t>
  </si>
  <si>
    <t>WA93335A1001</t>
  </si>
  <si>
    <t>WA93335A1700</t>
  </si>
  <si>
    <t>WA93335A6000</t>
  </si>
  <si>
    <t>WC321SE72S</t>
  </si>
  <si>
    <t>WC820J0781700</t>
  </si>
  <si>
    <t>WDAAB918ADRKM</t>
  </si>
  <si>
    <t>WOKX061OM11</t>
  </si>
  <si>
    <t>PVTL</t>
  </si>
  <si>
    <t>M GWP</t>
  </si>
  <si>
    <t>AMER</t>
  </si>
  <si>
    <t>GRJV</t>
  </si>
  <si>
    <t>CLASSIC LOGO ZIP UP HOODIE</t>
  </si>
  <si>
    <t>MAX3036EIBDNOD</t>
  </si>
  <si>
    <t>MAX3036EIB</t>
  </si>
  <si>
    <t>MAX3H54ZY9DNMD</t>
  </si>
  <si>
    <t>MAX3H54ZY9</t>
  </si>
  <si>
    <t>M BAGS</t>
  </si>
  <si>
    <t>M UNDERWEAR</t>
  </si>
  <si>
    <t>MEG859EDK7233</t>
  </si>
  <si>
    <t>MEG859EDK</t>
  </si>
  <si>
    <t>STRAIGHT FLAP CTDD BBIN BIG T</t>
  </si>
  <si>
    <t>MNR3E08EDZDNDD</t>
  </si>
  <si>
    <t>MNR3E08EDZ</t>
  </si>
  <si>
    <t>SLIM FLAP NATURAL SUPER T</t>
  </si>
  <si>
    <t>MNRS859EIDDNGM</t>
  </si>
  <si>
    <t>MNRS859EID</t>
  </si>
  <si>
    <t>LIPR</t>
  </si>
  <si>
    <t>B DENIM PANTS</t>
  </si>
  <si>
    <t>B TEES</t>
  </si>
  <si>
    <t>B GIFT SET</t>
  </si>
  <si>
    <t>B ACTIVE TOPS</t>
  </si>
  <si>
    <t>B JACKETS</t>
  </si>
  <si>
    <t>B NON DENIM PANTS</t>
  </si>
  <si>
    <t>B CUT &amp; SEW KNITS</t>
  </si>
  <si>
    <t>B WOVEN TOPS</t>
  </si>
  <si>
    <t>B ACTIVE BOTTOMS</t>
  </si>
  <si>
    <t>G DENIM PANTS</t>
  </si>
  <si>
    <t>G ACTIVE TOPS</t>
  </si>
  <si>
    <t>G NON DENIM PANTS</t>
  </si>
  <si>
    <t>G CUT &amp; SEW KNITS</t>
  </si>
  <si>
    <t>G ACTIVE BOTTOMS</t>
  </si>
  <si>
    <t>G GIFT SET</t>
  </si>
  <si>
    <t>G TEES</t>
  </si>
  <si>
    <t>TR646TE178BKG</t>
  </si>
  <si>
    <t>W HANDBAGS</t>
  </si>
  <si>
    <t>W BELTS</t>
  </si>
  <si>
    <t>W TEES</t>
  </si>
  <si>
    <t>W TANKS</t>
  </si>
  <si>
    <t>W DENIM PANTS</t>
  </si>
  <si>
    <t>W ACTIVE TOPS</t>
  </si>
  <si>
    <t>W ACTIVE BOTTOMS</t>
  </si>
  <si>
    <t>W SWEATERS</t>
  </si>
  <si>
    <t>W CUT &amp; SEW KNITS</t>
  </si>
  <si>
    <t>W JACKETS</t>
  </si>
  <si>
    <t>W NON DENIM PANTS</t>
  </si>
  <si>
    <t>TR SQUARE CREW NECK TEE</t>
  </si>
  <si>
    <t>W WOVEN TOPS</t>
  </si>
  <si>
    <t>W OUTERWEAR</t>
  </si>
  <si>
    <t>W DRESSES</t>
  </si>
  <si>
    <t>M WALLETS</t>
  </si>
  <si>
    <t>YM643WA2602</t>
  </si>
  <si>
    <t>Cat Desc</t>
  </si>
  <si>
    <t>Prod Group</t>
  </si>
  <si>
    <t>Country</t>
  </si>
  <si>
    <t>Country of Origin Description</t>
  </si>
  <si>
    <t>Curr</t>
  </si>
  <si>
    <t>US</t>
  </si>
  <si>
    <t>UNITED STATES</t>
  </si>
  <si>
    <t>EUR</t>
  </si>
  <si>
    <t>ZZ</t>
  </si>
  <si>
    <t>NOT APPLICABLE</t>
  </si>
  <si>
    <t>MX</t>
  </si>
  <si>
    <t>MEXICO</t>
  </si>
  <si>
    <t>IN</t>
  </si>
  <si>
    <t>INDIA</t>
  </si>
  <si>
    <t>CN</t>
  </si>
  <si>
    <t>CHINA</t>
  </si>
  <si>
    <t>M VEST</t>
  </si>
  <si>
    <t>CHNA</t>
  </si>
  <si>
    <t>PT</t>
  </si>
  <si>
    <t>PORTUGAL</t>
  </si>
  <si>
    <t>GRMN</t>
  </si>
  <si>
    <t>TR</t>
  </si>
  <si>
    <t>TURKEY</t>
  </si>
  <si>
    <t>W GWP</t>
  </si>
  <si>
    <t>W SCARVES</t>
  </si>
  <si>
    <t>M SCARVES</t>
  </si>
  <si>
    <t>IT</t>
  </si>
  <si>
    <t>ITALY</t>
  </si>
  <si>
    <t>B SWEATERS</t>
  </si>
  <si>
    <t>B SHORTS</t>
  </si>
  <si>
    <t>LK</t>
  </si>
  <si>
    <t>SRI LANKA</t>
  </si>
  <si>
    <t>B VEST</t>
  </si>
  <si>
    <t>PK</t>
  </si>
  <si>
    <t>PAKISTAN</t>
  </si>
  <si>
    <t>BLANKET0014144</t>
  </si>
  <si>
    <t>BLANKET001</t>
  </si>
  <si>
    <t>BANDANA BLANKET</t>
  </si>
  <si>
    <t>CONW</t>
  </si>
  <si>
    <t>G DRESSES</t>
  </si>
  <si>
    <t>G VEST</t>
  </si>
  <si>
    <t>G SHORTS</t>
  </si>
  <si>
    <t>G SKIRT</t>
  </si>
  <si>
    <t>G JACKETS</t>
  </si>
  <si>
    <t>G WOVEN TOPS</t>
  </si>
  <si>
    <t>G TANKS</t>
  </si>
  <si>
    <t>G SWEATERS</t>
  </si>
  <si>
    <t>ITAL</t>
  </si>
  <si>
    <t>SV</t>
  </si>
  <si>
    <t>EL SALVADOR</t>
  </si>
  <si>
    <t>M0W8U24EPV1700</t>
  </si>
  <si>
    <t>M0W8U24EPV</t>
  </si>
  <si>
    <t>TRUE TYPE SS CREW NECK TEE</t>
  </si>
  <si>
    <t>M0W8U24EPV6000</t>
  </si>
  <si>
    <t>M0W8U24EQJ1001</t>
  </si>
  <si>
    <t>M0W8U24EQJ</t>
  </si>
  <si>
    <t>VERTICAL PTCHS SS CRW NECK TEE</t>
  </si>
  <si>
    <t>17M3</t>
  </si>
  <si>
    <t>M0W8U24EQJ6000</t>
  </si>
  <si>
    <t>M0W8U24EQN1700</t>
  </si>
  <si>
    <t>M0W8U24EQN</t>
  </si>
  <si>
    <t>PATRIOTIC SS CREW NECK TEE</t>
  </si>
  <si>
    <t>M0W8U24EWO1700</t>
  </si>
  <si>
    <t>M0W8U24EWO</t>
  </si>
  <si>
    <t>SKLL PATCHES SS CREW NECK TEE</t>
  </si>
  <si>
    <t>17F2</t>
  </si>
  <si>
    <t>M0WA595EWS4861</t>
  </si>
  <si>
    <t>M0WA595EWS</t>
  </si>
  <si>
    <t>RIDDELL HIGH SS RAGLAN TEE</t>
  </si>
  <si>
    <t>NVY / D GLD CAMO</t>
  </si>
  <si>
    <t>BD</t>
  </si>
  <si>
    <t>BANGLADESH</t>
  </si>
  <si>
    <t>HK</t>
  </si>
  <si>
    <t>HONG KONG</t>
  </si>
  <si>
    <t>M16FD64G1GSGD</t>
  </si>
  <si>
    <t>SGD MIDNIGHT GUNMETAL</t>
  </si>
  <si>
    <t>M16FD64G1GSGDG</t>
  </si>
  <si>
    <t>SGDG</t>
  </si>
  <si>
    <t>SGDG MDNIGHT GOLD</t>
  </si>
  <si>
    <t>17M4</t>
  </si>
  <si>
    <t>M16UF30D7G3106</t>
  </si>
  <si>
    <t>PANT METAL HORSESHOE</t>
  </si>
  <si>
    <t>M16UF31D7G3106</t>
  </si>
  <si>
    <t>M17FD02L4G1037</t>
  </si>
  <si>
    <t>M17FD02L4G</t>
  </si>
  <si>
    <t>ROCCO BLACK DENIM</t>
  </si>
  <si>
    <t>SUPER DNM BLACK</t>
  </si>
  <si>
    <t>17FA</t>
  </si>
  <si>
    <t>M17FD03E1G4003</t>
  </si>
  <si>
    <t>M17FD03E1G</t>
  </si>
  <si>
    <t>ROCCO COBALT BLUE</t>
  </si>
  <si>
    <t>M17FD04E1G4819</t>
  </si>
  <si>
    <t>M17FD04E1G</t>
  </si>
  <si>
    <t>ROCCO COBALT BLUE DENIM</t>
  </si>
  <si>
    <t>M17FD56L1G1037</t>
  </si>
  <si>
    <t>M17FD56L1G</t>
  </si>
  <si>
    <t>ROCCO 32 SUPER BLACK DENIM</t>
  </si>
  <si>
    <t>M17FD88X6G4125</t>
  </si>
  <si>
    <t>M17FD88X6G</t>
  </si>
  <si>
    <t>ROCCO BROKEN TWILL BLUE</t>
  </si>
  <si>
    <t>BRKN TWILL BLUE</t>
  </si>
  <si>
    <t>M17FF13F2G1001</t>
  </si>
  <si>
    <t>M17FF13F2G</t>
  </si>
  <si>
    <t>SUPER WIDE HOODY</t>
  </si>
  <si>
    <t>M17FF13F2G2625</t>
  </si>
  <si>
    <t>M17FF14K2G1001</t>
  </si>
  <si>
    <t>M17FF14K2G</t>
  </si>
  <si>
    <t>M17FF14K2G2639</t>
  </si>
  <si>
    <t>DUNE</t>
  </si>
  <si>
    <t>M17FF14K2G4000</t>
  </si>
  <si>
    <t>M17FF16K2G1001</t>
  </si>
  <si>
    <t>M17FF16K2G</t>
  </si>
  <si>
    <t>ZIPPER BASE PANT</t>
  </si>
  <si>
    <t>M17FF16K2G4000</t>
  </si>
  <si>
    <t>M17FF18K2G1001</t>
  </si>
  <si>
    <t>M17FF18K2G</t>
  </si>
  <si>
    <t>BASEBALL BLOUSIN</t>
  </si>
  <si>
    <t>M17FF18K2G2639</t>
  </si>
  <si>
    <t>M17FF19K2G1001</t>
  </si>
  <si>
    <t>M17FF19K2G</t>
  </si>
  <si>
    <t>VOLUME PANT</t>
  </si>
  <si>
    <t>M17FF19K2G4000</t>
  </si>
  <si>
    <t>M17FF21D2G3106</t>
  </si>
  <si>
    <t>M17FF21D2G</t>
  </si>
  <si>
    <t>VELVET CREW SWEAT</t>
  </si>
  <si>
    <t>M17FF21D2G4269</t>
  </si>
  <si>
    <t>M17FF22D2G3106</t>
  </si>
  <si>
    <t>M17FF22D2G</t>
  </si>
  <si>
    <t>VELVET RELAX PANT</t>
  </si>
  <si>
    <t>M17FF22D2G4269</t>
  </si>
  <si>
    <t>M17FF31F2G1001</t>
  </si>
  <si>
    <t>M17FF31F2G</t>
  </si>
  <si>
    <t>HOODY FLOWER</t>
  </si>
  <si>
    <t>M17FF33F2G4000</t>
  </si>
  <si>
    <t>M17FF33F2G</t>
  </si>
  <si>
    <t>CREW SWEAT FLOWER</t>
  </si>
  <si>
    <t>M17FF36C9G1001</t>
  </si>
  <si>
    <t>M17FF36C9G</t>
  </si>
  <si>
    <t>HOODED FLEECE JKT</t>
  </si>
  <si>
    <t>M17FF71D7G1258</t>
  </si>
  <si>
    <t>M17FF71D7G</t>
  </si>
  <si>
    <t>FLEECE SHORT HORSESHOE</t>
  </si>
  <si>
    <t>M17FF71D7G4142</t>
  </si>
  <si>
    <t>M17FF71K2G1001</t>
  </si>
  <si>
    <t>M17FF71K2G</t>
  </si>
  <si>
    <t>DOUBLE FACE SHORT</t>
  </si>
  <si>
    <t>M17FF71K2G1278</t>
  </si>
  <si>
    <t>M17FF71K2G2625</t>
  </si>
  <si>
    <t>M17FF71K2G4000</t>
  </si>
  <si>
    <t>M17FG19F4G3518</t>
  </si>
  <si>
    <t>M17FG19F4G</t>
  </si>
  <si>
    <t>NIGHT GREEN</t>
  </si>
  <si>
    <t>M17FJ04C5G3122</t>
  </si>
  <si>
    <t>M17FJ04C5G</t>
  </si>
  <si>
    <t>CHALK GREEN</t>
  </si>
  <si>
    <t>M17FJ04C5G4926</t>
  </si>
  <si>
    <t>M17FJ05C5G1106</t>
  </si>
  <si>
    <t>M17FJ05C5G</t>
  </si>
  <si>
    <t>HOODED JKT</t>
  </si>
  <si>
    <t>M17FJ05C5G1378</t>
  </si>
  <si>
    <t>M17FJ18F4G1106</t>
  </si>
  <si>
    <t>M17FJ18F4G</t>
  </si>
  <si>
    <t>HOODED DOWN JKT</t>
  </si>
  <si>
    <t>M17FJ18F4G3071</t>
  </si>
  <si>
    <t>M17FJ21F5G3122</t>
  </si>
  <si>
    <t>M17FJ21F5G</t>
  </si>
  <si>
    <t>PADDED BIKER JKT</t>
  </si>
  <si>
    <t>M17FJ21F5G4935</t>
  </si>
  <si>
    <t>NIGHT SHADE</t>
  </si>
  <si>
    <t>M17FJ28G2G3547</t>
  </si>
  <si>
    <t>M17FJ28G2G</t>
  </si>
  <si>
    <t>CAMOUFLAGE JKT</t>
  </si>
  <si>
    <t>M17FJ30B7G3518</t>
  </si>
  <si>
    <t>M17FJ30B7G</t>
  </si>
  <si>
    <t>LIGHT WEIGHT BOMBER</t>
  </si>
  <si>
    <t>M17FJ30B7G4926</t>
  </si>
  <si>
    <t>M17FJ45G1G3547</t>
  </si>
  <si>
    <t>M17FJ45G1G</t>
  </si>
  <si>
    <t>HOODED CAMOUFLAGE JKT</t>
  </si>
  <si>
    <t>M17FP46C5G3122</t>
  </si>
  <si>
    <t>M17FP46C5G</t>
  </si>
  <si>
    <t>PARKA FAKE FUR</t>
  </si>
  <si>
    <t>M17FP46C5G4926</t>
  </si>
  <si>
    <t>M17FT08M1G1377</t>
  </si>
  <si>
    <t>M17FT08M1G</t>
  </si>
  <si>
    <t>CREW T SHIRT SKULL</t>
  </si>
  <si>
    <t>M17FT08M1G1700</t>
  </si>
  <si>
    <t>M17FT08M1G4269</t>
  </si>
  <si>
    <t>M17FT11F2G2625</t>
  </si>
  <si>
    <t>M17FT11F2G</t>
  </si>
  <si>
    <t>WIDE CREW NECK</t>
  </si>
  <si>
    <t>M17FT20C9G1001</t>
  </si>
  <si>
    <t>M17FT20C9G</t>
  </si>
  <si>
    <t>CLASSIC CREW CAMO SWEATER</t>
  </si>
  <si>
    <t>M17FT24G3G1001</t>
  </si>
  <si>
    <t>M17FT24G3G</t>
  </si>
  <si>
    <t>LONGSLEEVE SKULL</t>
  </si>
  <si>
    <t>M17FT24G3G1278</t>
  </si>
  <si>
    <t>M17FT24G3G1700</t>
  </si>
  <si>
    <t>M17FT27K4G1001</t>
  </si>
  <si>
    <t>M17FT27K4G</t>
  </si>
  <si>
    <t>CREW NECK T SHIRT FLOWER</t>
  </si>
  <si>
    <t>M17FT27K4G3106</t>
  </si>
  <si>
    <t>M17FT28M1G1001</t>
  </si>
  <si>
    <t>M17FT28M1G</t>
  </si>
  <si>
    <t>CREW NECK T SHIRT ARTWORK</t>
  </si>
  <si>
    <t>M17FT28M1G1700</t>
  </si>
  <si>
    <t>M17FT28M1G2625</t>
  </si>
  <si>
    <t>M17FT911G91001</t>
  </si>
  <si>
    <t>M17FT911G9</t>
  </si>
  <si>
    <t>CREW LS METAL HORSESHOE</t>
  </si>
  <si>
    <t>M17FT911G91700</t>
  </si>
  <si>
    <t>M17FT911G94100</t>
  </si>
  <si>
    <t>M17FY23F7G1378</t>
  </si>
  <si>
    <t>M17FY23F7G</t>
  </si>
  <si>
    <t>SHEARLING BOMBER SKULL</t>
  </si>
  <si>
    <t>M17UD51A3G1106</t>
  </si>
  <si>
    <t>M17UD51A3G</t>
  </si>
  <si>
    <t>ROCCO OVER DYED DENIM</t>
  </si>
  <si>
    <t>17SM</t>
  </si>
  <si>
    <t>M17UD51A3G3190</t>
  </si>
  <si>
    <t>M17UD51A3G6474</t>
  </si>
  <si>
    <t>M17UD52A3G4000</t>
  </si>
  <si>
    <t>M17UD52A3G</t>
  </si>
  <si>
    <t>ROCCO BI STRETCH DENIM</t>
  </si>
  <si>
    <t>M17UD57G1G4003</t>
  </si>
  <si>
    <t>M17UD57G1G</t>
  </si>
  <si>
    <t>NEW ROCCO COBALT BLUE DENIM</t>
  </si>
  <si>
    <t>M17UD58G1G4003</t>
  </si>
  <si>
    <t>M17UD58G1G</t>
  </si>
  <si>
    <t>NEW ROCCO COMFORT COBALT BLUE</t>
  </si>
  <si>
    <t>M17UD59A3G4003</t>
  </si>
  <si>
    <t>M17UD59A3G</t>
  </si>
  <si>
    <t>M17UD59G1G4086</t>
  </si>
  <si>
    <t>M17UD59G1G</t>
  </si>
  <si>
    <t>NU ROCCO RED SELVG RUSTIC BLUE</t>
  </si>
  <si>
    <t>RUSTIC BLUE</t>
  </si>
  <si>
    <t>M17UD60G1G4086</t>
  </si>
  <si>
    <t>M17UD60G1G</t>
  </si>
  <si>
    <t>NEW ROCCO RUSTIC BLUE DENIM</t>
  </si>
  <si>
    <t>M17UD63G1G4086</t>
  </si>
  <si>
    <t>M17UD63G1G</t>
  </si>
  <si>
    <t>NU ROCCO RUSTIC BLUE RED SELVG</t>
  </si>
  <si>
    <t>M17UD74G1GDKDM</t>
  </si>
  <si>
    <t>M17UD74G1G</t>
  </si>
  <si>
    <t>ROCCO 30 LAPIS BLUE</t>
  </si>
  <si>
    <t>M17UD75G1GDKMM</t>
  </si>
  <si>
    <t>M17UD75G1G</t>
  </si>
  <si>
    <t>GENO 30 DESERT WELL</t>
  </si>
  <si>
    <t>M17UD76G1GDFNM</t>
  </si>
  <si>
    <t>M17UD76G1G</t>
  </si>
  <si>
    <t>GENO 30 DUSTY RIDER</t>
  </si>
  <si>
    <t>M17UD88C1G4000</t>
  </si>
  <si>
    <t>M17UD88C1G</t>
  </si>
  <si>
    <t>ROCCO SUPERSTRETCH BLUE DENIM</t>
  </si>
  <si>
    <t>M17UD92A4G1200</t>
  </si>
  <si>
    <t>M17UD92A4G</t>
  </si>
  <si>
    <t>ROCCO SUPER T GREY COMFORT DNM</t>
  </si>
  <si>
    <t>M17UF02F2G1106</t>
  </si>
  <si>
    <t>M17UF02F2G</t>
  </si>
  <si>
    <t>HOODED ZIP JKT RANDOM PYRAMID</t>
  </si>
  <si>
    <t>M17UF02F2G1278</t>
  </si>
  <si>
    <t>M17UF02F2G1285</t>
  </si>
  <si>
    <t>M17UF03F2G1106</t>
  </si>
  <si>
    <t>M17UF03F2G</t>
  </si>
  <si>
    <t>PANT RANDOM PYRAMID</t>
  </si>
  <si>
    <t>M17UF03F2G1278</t>
  </si>
  <si>
    <t>M17UF03F2G1285</t>
  </si>
  <si>
    <t>M17UF07F2G1106</t>
  </si>
  <si>
    <t>M17UF07F2G</t>
  </si>
  <si>
    <t>HOODED ZIP JKT GOTHIC</t>
  </si>
  <si>
    <t>M17UF07F2G1285</t>
  </si>
  <si>
    <t>M17UF07F2G3190</t>
  </si>
  <si>
    <t>M17UF07F2G4025</t>
  </si>
  <si>
    <t>M17UF09F2G1106</t>
  </si>
  <si>
    <t>M17UF09F2G</t>
  </si>
  <si>
    <t>PANT GOTHIC</t>
  </si>
  <si>
    <t>M17UF09F2G1285</t>
  </si>
  <si>
    <t>M17UF09F2G4025</t>
  </si>
  <si>
    <t>M17UF11K2G1106</t>
  </si>
  <si>
    <t>M17UF11K2G</t>
  </si>
  <si>
    <t>PANT ALL METAL</t>
  </si>
  <si>
    <t>M17UF11K2G3190</t>
  </si>
  <si>
    <t>M17UF11K2G4025</t>
  </si>
  <si>
    <t>M17UF13K2G1106</t>
  </si>
  <si>
    <t>M17UF13K2G</t>
  </si>
  <si>
    <t>HOODED ZIP JKT ALL METAL</t>
  </si>
  <si>
    <t>M17UF13K2G3190</t>
  </si>
  <si>
    <t>M17UF13K2G4025</t>
  </si>
  <si>
    <t>M17UF15C7G1106</t>
  </si>
  <si>
    <t>M17UF15C7G</t>
  </si>
  <si>
    <t>HOODY DESTROYED EFFECTS</t>
  </si>
  <si>
    <t>M17UF15C7G1285</t>
  </si>
  <si>
    <t>M17UF16C7G1106</t>
  </si>
  <si>
    <t>M17UF16C7G</t>
  </si>
  <si>
    <t>SHORT DESTROYED EFFECTS</t>
  </si>
  <si>
    <t>M17UF16C7G1285</t>
  </si>
  <si>
    <t>M17UF33K2G1106</t>
  </si>
  <si>
    <t>M17UF33K2G</t>
  </si>
  <si>
    <t>HOODY ZIP</t>
  </si>
  <si>
    <t>M17UF33K2G4025</t>
  </si>
  <si>
    <t>M17UF38F2G1106</t>
  </si>
  <si>
    <t>M17UF38F2G</t>
  </si>
  <si>
    <t>SPECIAL HOODY GOTHIC</t>
  </si>
  <si>
    <t>M17UF38F2G1285</t>
  </si>
  <si>
    <t>M17UF38F2G4025</t>
  </si>
  <si>
    <t>M17UT08K4G1285</t>
  </si>
  <si>
    <t>M17UT08K4G</t>
  </si>
  <si>
    <t>LS GOTHIC</t>
  </si>
  <si>
    <t>M17UT08K4G1700</t>
  </si>
  <si>
    <t>M17UT14C7G1106</t>
  </si>
  <si>
    <t>M17UT14C7G</t>
  </si>
  <si>
    <t>LS STUDS</t>
  </si>
  <si>
    <t>M17UT14C7G1285</t>
  </si>
  <si>
    <t>M17UT33E7G1106</t>
  </si>
  <si>
    <t>M17UT33E7G</t>
  </si>
  <si>
    <t>LS CAMOUFLAGE</t>
  </si>
  <si>
    <t>M17UT34E7G1106</t>
  </si>
  <si>
    <t>M17UT34E7G</t>
  </si>
  <si>
    <t>V NECK CAMOUFLAGE</t>
  </si>
  <si>
    <t>M17UT58K4G1106</t>
  </si>
  <si>
    <t>M17UT58K4G</t>
  </si>
  <si>
    <t>CREW SHIRT GOTHIC</t>
  </si>
  <si>
    <t>M17UT58K4G1285</t>
  </si>
  <si>
    <t>M17UT58K4G4025</t>
  </si>
  <si>
    <t>M17UT68G3G1106</t>
  </si>
  <si>
    <t>M17UT68G3G</t>
  </si>
  <si>
    <t>M17UT68G3G1278</t>
  </si>
  <si>
    <t>M17UT68G3G1700</t>
  </si>
  <si>
    <t>M17UT68G3G4025</t>
  </si>
  <si>
    <t>M17UT78G3G1278</t>
  </si>
  <si>
    <t>M17UT78G3G</t>
  </si>
  <si>
    <t>CREW SHIRT TRUE</t>
  </si>
  <si>
    <t>M17UT78G3G1700</t>
  </si>
  <si>
    <t>M17UT78G3G3190</t>
  </si>
  <si>
    <t>M17UT88K4G1378</t>
  </si>
  <si>
    <t>M17UT88K4G</t>
  </si>
  <si>
    <t>CREW SHIRT LOGO</t>
  </si>
  <si>
    <t>M17UT88K4G1700</t>
  </si>
  <si>
    <t>M17UT88K4G4025</t>
  </si>
  <si>
    <t>M3RA805KI01001</t>
  </si>
  <si>
    <t>M3RA805KI01700</t>
  </si>
  <si>
    <t>GOLD HORSESHOE</t>
  </si>
  <si>
    <t>M4O8U24EPP1700</t>
  </si>
  <si>
    <t>M4O8U24EPP</t>
  </si>
  <si>
    <t>TR02 SS CREW NECK ELNGATED TEE</t>
  </si>
  <si>
    <t>M4O8U24EPP4100</t>
  </si>
  <si>
    <t>M4O8U24EQE1001</t>
  </si>
  <si>
    <t>M4O8U24EQE</t>
  </si>
  <si>
    <t>TRUE OMBRE SS CREW NECK TEE</t>
  </si>
  <si>
    <t>M4O8U24EQG1700</t>
  </si>
  <si>
    <t>M4O8U24EQG</t>
  </si>
  <si>
    <t>TR PATRIOT SS CREW NECK TEE</t>
  </si>
  <si>
    <t>M4O8U24EQO1001</t>
  </si>
  <si>
    <t>M4O8U24EQO</t>
  </si>
  <si>
    <t>BUDDHA BANNER SS CREW NECK T</t>
  </si>
  <si>
    <t>M4O8U24EQO4100</t>
  </si>
  <si>
    <t>M4O8U24EQP1700</t>
  </si>
  <si>
    <t>M4O8U24EQP</t>
  </si>
  <si>
    <t>BUDDHA TABLOID SS CREW NECK</t>
  </si>
  <si>
    <t>M4O8U24EQQ1700</t>
  </si>
  <si>
    <t>M4O8U24EQQ</t>
  </si>
  <si>
    <t>HRSESHOE VERB SS ELNG CREW NK</t>
  </si>
  <si>
    <t>M4O8U24EQR1001</t>
  </si>
  <si>
    <t>M4O8U24EQR</t>
  </si>
  <si>
    <t>OLYMPC HRSESHOE SS CREW NECK T</t>
  </si>
  <si>
    <t>M4O8U24EQR1700</t>
  </si>
  <si>
    <t>M4O8U24EUF1700</t>
  </si>
  <si>
    <t>M4O8U24EUF</t>
  </si>
  <si>
    <t>GOLD OUTLINE BUDDHA LGO SS CRW</t>
  </si>
  <si>
    <t>M4O8U24EWC1700</t>
  </si>
  <si>
    <t>M4O8U24EWC</t>
  </si>
  <si>
    <t>BLACK TOP SS CREW NECK TEE</t>
  </si>
  <si>
    <t>17F3</t>
  </si>
  <si>
    <t>M4O8U24EWC4100</t>
  </si>
  <si>
    <t>M4O8U24EWG1001</t>
  </si>
  <si>
    <t>M4O8U24EWG</t>
  </si>
  <si>
    <t>BUDDHA PUSHPRINT SS CREW NECK</t>
  </si>
  <si>
    <t>M4O8U24EWG1700</t>
  </si>
  <si>
    <t>M4O8U24EWH1001</t>
  </si>
  <si>
    <t>M4O8U24EWH</t>
  </si>
  <si>
    <t>CHEER SS CREW NECK TEE</t>
  </si>
  <si>
    <t>17F1</t>
  </si>
  <si>
    <t>M4O8U24EWH1700</t>
  </si>
  <si>
    <t>M4O8U24EWH6000</t>
  </si>
  <si>
    <t>M4O8U24EWN1001</t>
  </si>
  <si>
    <t>M4O8U24EWN</t>
  </si>
  <si>
    <t>TR SHADOW SS CREW NECK TEE</t>
  </si>
  <si>
    <t>M4O8U24EWN1700</t>
  </si>
  <si>
    <t>M4O8U24EWX1700</t>
  </si>
  <si>
    <t>M4O8U24EWX</t>
  </si>
  <si>
    <t>CAMO CLASSIC SS CREW NECK TEE</t>
  </si>
  <si>
    <t>M4O8U24EWX4100</t>
  </si>
  <si>
    <t>M4O8U24JV74100</t>
  </si>
  <si>
    <t>M4O8U24JV76000</t>
  </si>
  <si>
    <t>M4O8U24JV76003</t>
  </si>
  <si>
    <t>M4O8Z65EPW1836</t>
  </si>
  <si>
    <t>M4O8Z65EPW</t>
  </si>
  <si>
    <t>STAR ATHL SS FTBL CRW NECK TEE</t>
  </si>
  <si>
    <t>WHT / RBY RED</t>
  </si>
  <si>
    <t>M4O8Z65EPW4193</t>
  </si>
  <si>
    <t>TRU NVY / WHT</t>
  </si>
  <si>
    <t>M4O8Z65EWI1708</t>
  </si>
  <si>
    <t>M4O8Z65EWI</t>
  </si>
  <si>
    <t>DIMES SS FTBALL CREW NECK TEE</t>
  </si>
  <si>
    <t>M4O8Z65EWI4193</t>
  </si>
  <si>
    <t>M4O8Z65EXC1081</t>
  </si>
  <si>
    <t>M4O8Z65EXC</t>
  </si>
  <si>
    <t>TR FIGHT SS FOOTBALL CREW TEE</t>
  </si>
  <si>
    <t>M4O8Z65EXC6069</t>
  </si>
  <si>
    <t>BRGNDY / YLW</t>
  </si>
  <si>
    <t>M4OA595EQI1081</t>
  </si>
  <si>
    <t>M4OA595EQI</t>
  </si>
  <si>
    <t>TR BRAND RGLN SS RAGLAN TEE</t>
  </si>
  <si>
    <t>M4OA595EQI1712</t>
  </si>
  <si>
    <t>WHITE /TRUE NAVY</t>
  </si>
  <si>
    <t>M4OA595UW31081</t>
  </si>
  <si>
    <t>M4OA595UW3</t>
  </si>
  <si>
    <t>CRACKED HORSESHOE SS RAGLAN</t>
  </si>
  <si>
    <t>M4OA595UW31712</t>
  </si>
  <si>
    <t>M4OB257EQH1700</t>
  </si>
  <si>
    <t>M4OB257EQH</t>
  </si>
  <si>
    <t>FAST HRSESHOE FTBL SLV CRW NK</t>
  </si>
  <si>
    <t>M4OB257EQH4193</t>
  </si>
  <si>
    <t>TRUE NVY / WHITE</t>
  </si>
  <si>
    <t>M4OB257EXD1779</t>
  </si>
  <si>
    <t>M4OB257EXD</t>
  </si>
  <si>
    <t>SCHOOL TIGER SS FOOTBALL SLV T</t>
  </si>
  <si>
    <t>M TANKS</t>
  </si>
  <si>
    <t>M4OB419EQP1700</t>
  </si>
  <si>
    <t>M4OB419EQP</t>
  </si>
  <si>
    <t>BUDDHA TBLD ELONGATED SS CREW</t>
  </si>
  <si>
    <t>M4OB419EQQ1700</t>
  </si>
  <si>
    <t>M4OB419EQQ</t>
  </si>
  <si>
    <t>M4OH024EBA1096</t>
  </si>
  <si>
    <t>M4OH024EBA1712</t>
  </si>
  <si>
    <t>WHT / TRU NVY</t>
  </si>
  <si>
    <t>RICKY NO FLAP RELAXED STRG</t>
  </si>
  <si>
    <t>VN</t>
  </si>
  <si>
    <t>VIETNAM</t>
  </si>
  <si>
    <t>MA0B129EPQ1081</t>
  </si>
  <si>
    <t>MA0B129EPQ</t>
  </si>
  <si>
    <t>ORIGINAL TR ZIP UP HOODIE</t>
  </si>
  <si>
    <t>BLACK / R RED</t>
  </si>
  <si>
    <t>MA0B129EPQ1767</t>
  </si>
  <si>
    <t>WHITE / C GREY</t>
  </si>
  <si>
    <t>MA0B129EPQ3504</t>
  </si>
  <si>
    <t>OATMEAL / OLV</t>
  </si>
  <si>
    <t>MA0B130EXB1001</t>
  </si>
  <si>
    <t>MA0B130EXB</t>
  </si>
  <si>
    <t>FIGHT ON BASIC SWEAT PANT</t>
  </si>
  <si>
    <t>MA0B438EPR1081</t>
  </si>
  <si>
    <t>MA0B438EPR</t>
  </si>
  <si>
    <t>ORIGINAL TR ACTIVE SHORT STRT</t>
  </si>
  <si>
    <t>MA0B438EPR1767</t>
  </si>
  <si>
    <t>MA0B438EPR3504</t>
  </si>
  <si>
    <t>MA0H153EWT4861</t>
  </si>
  <si>
    <t>MA0H153EWT</t>
  </si>
  <si>
    <t>RIDDELL HIGH ACTV PLVR HOODIE</t>
  </si>
  <si>
    <t>MA0H158EXA1096</t>
  </si>
  <si>
    <t>MA0H158EXA</t>
  </si>
  <si>
    <t>FIGHT ON PANELED ZIPUP HOODIE</t>
  </si>
  <si>
    <t>MA0H158EXA1712</t>
  </si>
  <si>
    <t>PE</t>
  </si>
  <si>
    <t>PERU</t>
  </si>
  <si>
    <t>MA904WF3SGD</t>
  </si>
  <si>
    <t>SS VNECK SHIRT</t>
  </si>
  <si>
    <t>MAX3037ETDDVSD</t>
  </si>
  <si>
    <t>MAX3037ETD</t>
  </si>
  <si>
    <t>SKINNY MOTO GREY SN RED</t>
  </si>
  <si>
    <t>DVSD</t>
  </si>
  <si>
    <t>NIGHTMARE WISH</t>
  </si>
  <si>
    <t>MAX3859ETVDVSD</t>
  </si>
  <si>
    <t>MAX3859ETV</t>
  </si>
  <si>
    <t>STRAIGHT FLAP PHNTM GRY SN RED</t>
  </si>
  <si>
    <t>MAX3859KN8DNOD</t>
  </si>
  <si>
    <t>MAX3859KN8</t>
  </si>
  <si>
    <t>STRAIGHT FLAP CAMO HORSESHOE</t>
  </si>
  <si>
    <t>MAX3E08TSDVSD</t>
  </si>
  <si>
    <t>MAX3E08TS</t>
  </si>
  <si>
    <t>SLIM FLAP NATURAL SN</t>
  </si>
  <si>
    <t>MAXH164KN82S</t>
  </si>
  <si>
    <t>MAXH164KN8</t>
  </si>
  <si>
    <t>STRAIGHT RUN STITCH BK PCKT SN</t>
  </si>
  <si>
    <t>TH</t>
  </si>
  <si>
    <t>THAILAND</t>
  </si>
  <si>
    <t>MC337ZB74343</t>
  </si>
  <si>
    <t>MONSOON</t>
  </si>
  <si>
    <t>M LEGWEAR</t>
  </si>
  <si>
    <t>M OTHER</t>
  </si>
  <si>
    <t>MD086C067F4100</t>
  </si>
  <si>
    <t>MD086C067F6000</t>
  </si>
  <si>
    <t>MDA859N20MEDWD</t>
  </si>
  <si>
    <t>MDA859N20M</t>
  </si>
  <si>
    <t>EDWD</t>
  </si>
  <si>
    <t>EDWD DK RAVEN</t>
  </si>
  <si>
    <t>MDA859N21EDXXM</t>
  </si>
  <si>
    <t>MDA859N21E</t>
  </si>
  <si>
    <t>DXXM</t>
  </si>
  <si>
    <t>DXXM WHITE TIDE</t>
  </si>
  <si>
    <t>MDA859N21JDYNL</t>
  </si>
  <si>
    <t>MDA859N21J</t>
  </si>
  <si>
    <t>DYNL</t>
  </si>
  <si>
    <t>DYNL WORN PIER</t>
  </si>
  <si>
    <t>MDA859N22FDYBM</t>
  </si>
  <si>
    <t>MDA859N22F</t>
  </si>
  <si>
    <t>DYBM</t>
  </si>
  <si>
    <t>DYBM GRANITE REEF</t>
  </si>
  <si>
    <t>MDA859N22REEPM</t>
  </si>
  <si>
    <t>MDA859N22R</t>
  </si>
  <si>
    <t>EEPM</t>
  </si>
  <si>
    <t>EEPM DEEP HYPNOTIC</t>
  </si>
  <si>
    <t>MDA859N23MEDYM</t>
  </si>
  <si>
    <t>MDA859N23M</t>
  </si>
  <si>
    <t>EDYM</t>
  </si>
  <si>
    <t>EDYM SHADOW LANDS</t>
  </si>
  <si>
    <t>MDA859N23TEDVL</t>
  </si>
  <si>
    <t>MDA859N23T</t>
  </si>
  <si>
    <t>EDVL</t>
  </si>
  <si>
    <t>EDVL IMMORTAL OUTSIDER</t>
  </si>
  <si>
    <t>MDA859N24GDYAM</t>
  </si>
  <si>
    <t>MDA859N24G</t>
  </si>
  <si>
    <t>DYAM</t>
  </si>
  <si>
    <t>DYAM MENDED INDIGO CASCADE</t>
  </si>
  <si>
    <t>MDA859N24HDXSM</t>
  </si>
  <si>
    <t>MDA859N24H</t>
  </si>
  <si>
    <t>DXSM</t>
  </si>
  <si>
    <t>WORN RIFF</t>
  </si>
  <si>
    <t>MDA859N25D1700</t>
  </si>
  <si>
    <t>MDA859N25D</t>
  </si>
  <si>
    <t>DXT WORN CRUISER</t>
  </si>
  <si>
    <t>MDA859N25HDXWM</t>
  </si>
  <si>
    <t>MDA859N25H</t>
  </si>
  <si>
    <t>DXWM</t>
  </si>
  <si>
    <t>CARAVAN</t>
  </si>
  <si>
    <t>MDA859N25NEERD</t>
  </si>
  <si>
    <t>MDA859N25N</t>
  </si>
  <si>
    <t>EERD</t>
  </si>
  <si>
    <t>EERD DARK UNDERGROUND</t>
  </si>
  <si>
    <t>MDA859N25REEUD</t>
  </si>
  <si>
    <t>MDA859N25R</t>
  </si>
  <si>
    <t>EEUD</t>
  </si>
  <si>
    <t>EEUD DARK CANVAS</t>
  </si>
  <si>
    <t>MDA859N28NEEWD</t>
  </si>
  <si>
    <t>MDA859N28N</t>
  </si>
  <si>
    <t>EEWD</t>
  </si>
  <si>
    <t>EEWD BLUE MARINER</t>
  </si>
  <si>
    <t>MDA859N29HDYKD</t>
  </si>
  <si>
    <t>MDA859N29H</t>
  </si>
  <si>
    <t>DYKD</t>
  </si>
  <si>
    <t>DYKD RAZORS EDGE</t>
  </si>
  <si>
    <t>MDAA35029NEEWD</t>
  </si>
  <si>
    <t>MDAA35029N</t>
  </si>
  <si>
    <t>ROCCO RENEGADE</t>
  </si>
  <si>
    <t>MDAA79920FDYAM</t>
  </si>
  <si>
    <t>MDAA79920F</t>
  </si>
  <si>
    <t>CLASSIC DEAN SE</t>
  </si>
  <si>
    <t>MDAA90424JDYDD</t>
  </si>
  <si>
    <t>MDAA90424J</t>
  </si>
  <si>
    <t>ROCCO CLASSIC MOTO SE</t>
  </si>
  <si>
    <t>DYDD</t>
  </si>
  <si>
    <t>DYDD ENDLESS ROAD</t>
  </si>
  <si>
    <t>MDAA90429C1700</t>
  </si>
  <si>
    <t>MDAA90429C</t>
  </si>
  <si>
    <t>MDAA90429KEDWD</t>
  </si>
  <si>
    <t>MDAA90429K</t>
  </si>
  <si>
    <t>ROCCO CLASSIC MOTO</t>
  </si>
  <si>
    <t>MDAAG424CDXVL</t>
  </si>
  <si>
    <t>MDAAG424C</t>
  </si>
  <si>
    <t>DXVL</t>
  </si>
  <si>
    <t>DXVL WORN TROPICS</t>
  </si>
  <si>
    <t>MDAAG821DDYIM</t>
  </si>
  <si>
    <t>MDAAG821D</t>
  </si>
  <si>
    <t>RACER SE</t>
  </si>
  <si>
    <t>DYIM</t>
  </si>
  <si>
    <t>DYIM WHISKEY BLUES</t>
  </si>
  <si>
    <t>MDAAG824FDDWD</t>
  </si>
  <si>
    <t>MDAAG824F</t>
  </si>
  <si>
    <t>MDAAK426F1001</t>
  </si>
  <si>
    <t>MDAAK426F</t>
  </si>
  <si>
    <t>GENO SHORT W HEM SE</t>
  </si>
  <si>
    <t>DXU BLACK</t>
  </si>
  <si>
    <t>MDAAK426F2000</t>
  </si>
  <si>
    <t>DXU INCENSE</t>
  </si>
  <si>
    <t>MDAAK627GDYCM</t>
  </si>
  <si>
    <t>MDAAK627G</t>
  </si>
  <si>
    <t>DEAN SHORT  NO FLAP SE</t>
  </si>
  <si>
    <t>DYCM</t>
  </si>
  <si>
    <t>DYCM WORN ODYSSEY</t>
  </si>
  <si>
    <t>MDAAK926HDXXM</t>
  </si>
  <si>
    <t>MDAAK926H</t>
  </si>
  <si>
    <t>MDAAR827MEDOD</t>
  </si>
  <si>
    <t>MDAAR827M</t>
  </si>
  <si>
    <t>RICKY NO FLAP CABLE STITCH</t>
  </si>
  <si>
    <t>EDOD</t>
  </si>
  <si>
    <t>EDOD MIDNIGHT WAREHOUSE</t>
  </si>
  <si>
    <t>MDAAS628QEEJM</t>
  </si>
  <si>
    <t>MDAAS628Q</t>
  </si>
  <si>
    <t>EEJM</t>
  </si>
  <si>
    <t>EEJM INDIGO BIRCH</t>
  </si>
  <si>
    <t>MDAAS827TDALD</t>
  </si>
  <si>
    <t>MDAAS827T</t>
  </si>
  <si>
    <t>JACK SE</t>
  </si>
  <si>
    <t>MDAAS827TDXMM</t>
  </si>
  <si>
    <t>DXMM</t>
  </si>
  <si>
    <t>DESERT HIGHWAY</t>
  </si>
  <si>
    <t>MDAAX422VEDRD</t>
  </si>
  <si>
    <t>MDAAX422V</t>
  </si>
  <si>
    <t>GENO NO FLAP CABLE STITCH</t>
  </si>
  <si>
    <t>EDRD</t>
  </si>
  <si>
    <t>EDRD MIDNIGHT TRACKS</t>
  </si>
  <si>
    <t>MDAAX427V2000</t>
  </si>
  <si>
    <t>MDAAX427V</t>
  </si>
  <si>
    <t>GENO CABLE STITCH</t>
  </si>
  <si>
    <t>EDN STRAW</t>
  </si>
  <si>
    <t>MDAAX427V4100</t>
  </si>
  <si>
    <t>EDN ACE</t>
  </si>
  <si>
    <t>MDAAX822TEDQM</t>
  </si>
  <si>
    <t>MDAAX822T</t>
  </si>
  <si>
    <t>RICKY W FLAP SELVEDGE</t>
  </si>
  <si>
    <t>EDQM</t>
  </si>
  <si>
    <t>EDQM INDIGO LEGACY</t>
  </si>
  <si>
    <t>MDAAY222TEFZD</t>
  </si>
  <si>
    <t>MDAAY222T</t>
  </si>
  <si>
    <t>EFZD</t>
  </si>
  <si>
    <t>EFZD BLUE LEGEND</t>
  </si>
  <si>
    <t>MDAAZ427MEDPM</t>
  </si>
  <si>
    <t>MDAAZ427M</t>
  </si>
  <si>
    <t>ROCCO CABLE STITCH</t>
  </si>
  <si>
    <t>EDPM</t>
  </si>
  <si>
    <t>EDPM FADED DISTRICT</t>
  </si>
  <si>
    <t>MDAB25221PEEHD</t>
  </si>
  <si>
    <t>MDAB25221P</t>
  </si>
  <si>
    <t>MICK RENEGADE SE</t>
  </si>
  <si>
    <t>EEHD</t>
  </si>
  <si>
    <t>EEHD LOFT EDGE</t>
  </si>
  <si>
    <t>MDAC08720HDXRL</t>
  </si>
  <si>
    <t>MDAC08720H</t>
  </si>
  <si>
    <t>DXRL</t>
  </si>
  <si>
    <t>DXRL OJAI ESCAPE</t>
  </si>
  <si>
    <t>MDAC08724HDXSM</t>
  </si>
  <si>
    <t>MDAC08724H</t>
  </si>
  <si>
    <t>DXSM WORN RIFF</t>
  </si>
  <si>
    <t>MDAC08727HDXXM</t>
  </si>
  <si>
    <t>MDAC08727H</t>
  </si>
  <si>
    <t>RICKY W FLAP SHORT SN</t>
  </si>
  <si>
    <t>MDAD07822QEEND</t>
  </si>
  <si>
    <t>MDAD07822Q</t>
  </si>
  <si>
    <t>ROCCO BIKER SE</t>
  </si>
  <si>
    <t>EEND</t>
  </si>
  <si>
    <t>EEND REBEL RACE</t>
  </si>
  <si>
    <t>MDAD07829QEEMM</t>
  </si>
  <si>
    <t>MDAD07829Q</t>
  </si>
  <si>
    <t>EEMM</t>
  </si>
  <si>
    <t>EEMM INDIGO CLUTCH</t>
  </si>
  <si>
    <t>MDAD088ZY0DQVL</t>
  </si>
  <si>
    <t>MDAD088ZY0</t>
  </si>
  <si>
    <t>ROCCO CLASSIC MOTO SHORT SE</t>
  </si>
  <si>
    <t>MDAD09428MEDSL</t>
  </si>
  <si>
    <t>MDAD09428M</t>
  </si>
  <si>
    <t>EDSL</t>
  </si>
  <si>
    <t>EDSL INDIGO IMMORTAL</t>
  </si>
  <si>
    <t>MDAD10023QEEOD</t>
  </si>
  <si>
    <t>MDAD10023Q</t>
  </si>
  <si>
    <t>GENO MOTO</t>
  </si>
  <si>
    <t>EEOD</t>
  </si>
  <si>
    <t>EEOD DK REBEL RACE</t>
  </si>
  <si>
    <t>MDAE08N20EDYSM</t>
  </si>
  <si>
    <t>MDAE08N20E</t>
  </si>
  <si>
    <t>DYSM</t>
  </si>
  <si>
    <t>DYSM RIFF</t>
  </si>
  <si>
    <t>MDAE08N21HDXRL</t>
  </si>
  <si>
    <t>MDAE08N21H</t>
  </si>
  <si>
    <t>MDAE08N21VDYUL</t>
  </si>
  <si>
    <t>MDAE08N21V</t>
  </si>
  <si>
    <t>DYUL</t>
  </si>
  <si>
    <t>DYUL TROPICS</t>
  </si>
  <si>
    <t>MDAE08N22PEEQD</t>
  </si>
  <si>
    <t>MDAE08N22P</t>
  </si>
  <si>
    <t>GENO FLAP SUPER T</t>
  </si>
  <si>
    <t>EEQD</t>
  </si>
  <si>
    <t>EEQD NOCTURNAL RHYME</t>
  </si>
  <si>
    <t>MDAE08N26UBZB</t>
  </si>
  <si>
    <t>MDAE08N26U</t>
  </si>
  <si>
    <t>MDAE08N27EDXZM</t>
  </si>
  <si>
    <t>MDAE08N27E</t>
  </si>
  <si>
    <t>DXZM</t>
  </si>
  <si>
    <t>DXZM INDIGO CASCADE</t>
  </si>
  <si>
    <t>MDAE08N27QEEKM</t>
  </si>
  <si>
    <t>MDAE08N27Q</t>
  </si>
  <si>
    <t>EEKM</t>
  </si>
  <si>
    <t>EEKM L.A. BASIN</t>
  </si>
  <si>
    <t>MDAE08N28GDYCM</t>
  </si>
  <si>
    <t>MDAE08N28G</t>
  </si>
  <si>
    <t>GENO FLAP SE</t>
  </si>
  <si>
    <t>MDAE08N28VEESD</t>
  </si>
  <si>
    <t>MDAE08N28V</t>
  </si>
  <si>
    <t>EESD</t>
  </si>
  <si>
    <t>EESD DARK CRATER</t>
  </si>
  <si>
    <t>MDAH54N22HDXSM</t>
  </si>
  <si>
    <t>MDAH54N22H</t>
  </si>
  <si>
    <t>ROCCO FLAP SE</t>
  </si>
  <si>
    <t>MDAJ19N20HDXRL</t>
  </si>
  <si>
    <t>MDAJ19N20H</t>
  </si>
  <si>
    <t>MDAJ19N20JDYNL</t>
  </si>
  <si>
    <t>MDAJ19N20J</t>
  </si>
  <si>
    <t>MDAJ19N21NEEXD</t>
  </si>
  <si>
    <t>MDAJ19N21N</t>
  </si>
  <si>
    <t>EEXD</t>
  </si>
  <si>
    <t>EEXD STREET DWELLER</t>
  </si>
  <si>
    <t>MDAJ19N23NEEDD</t>
  </si>
  <si>
    <t>MDAJ19N23N</t>
  </si>
  <si>
    <t>EEDD</t>
  </si>
  <si>
    <t>EEDD PATCHED RIDER</t>
  </si>
  <si>
    <t>MDAJ19N23VEEEM</t>
  </si>
  <si>
    <t>MDAJ19N23V</t>
  </si>
  <si>
    <t>EEEM</t>
  </si>
  <si>
    <t>EEEM STREET VICE</t>
  </si>
  <si>
    <t>MDAJ19N24HDXSM</t>
  </si>
  <si>
    <t>MDAJ19N24H</t>
  </si>
  <si>
    <t>MDAJ19N26TEEFM</t>
  </si>
  <si>
    <t>MDAJ19N26T</t>
  </si>
  <si>
    <t>EEFM</t>
  </si>
  <si>
    <t>EEFM GOLDEN ROAD</t>
  </si>
  <si>
    <t>MDAJ19N27DDQVL</t>
  </si>
  <si>
    <t>MDAJ19N27D</t>
  </si>
  <si>
    <t>GENO NO  FLAP SUPER T</t>
  </si>
  <si>
    <t>MDAJ19N29EDXVL</t>
  </si>
  <si>
    <t>MDAJ19N29E</t>
  </si>
  <si>
    <t>MDAJ60N20PEEHD</t>
  </si>
  <si>
    <t>MDAJ60N20P</t>
  </si>
  <si>
    <t>MDAJ60N22HDXSM</t>
  </si>
  <si>
    <t>MDAJ60N22H</t>
  </si>
  <si>
    <t>ROCCO NO FLAP SN</t>
  </si>
  <si>
    <t>MDAJ60N22JDYSM</t>
  </si>
  <si>
    <t>MDAJ60N22J</t>
  </si>
  <si>
    <t>MDAJ60N23FDXYL</t>
  </si>
  <si>
    <t>MDAJ60N23F</t>
  </si>
  <si>
    <t>DXYL</t>
  </si>
  <si>
    <t>DXYL BOARDWALK SHADOW</t>
  </si>
  <si>
    <t>MDAJ60N23VEEEM</t>
  </si>
  <si>
    <t>MDAJ60N23V</t>
  </si>
  <si>
    <t>MDAJ60N24D1700</t>
  </si>
  <si>
    <t>MDAJ60N24D</t>
  </si>
  <si>
    <t>MDAJ60N24MEDZM</t>
  </si>
  <si>
    <t>MDAJ60N24M</t>
  </si>
  <si>
    <t>EDZM</t>
  </si>
  <si>
    <t>EDZM MENDED STREET ARTIST</t>
  </si>
  <si>
    <t>MDAJ60N26JDZQD</t>
  </si>
  <si>
    <t>MDAJ60N26J</t>
  </si>
  <si>
    <t>DZQD</t>
  </si>
  <si>
    <t>DZQD STONE RELIC</t>
  </si>
  <si>
    <t>MDAJ60N27KEDUD</t>
  </si>
  <si>
    <t>MDAJ60N27K</t>
  </si>
  <si>
    <t>EDUD</t>
  </si>
  <si>
    <t>EDUD MENDED BACK STAGE</t>
  </si>
  <si>
    <t>MDAJ60N28EDXZM</t>
  </si>
  <si>
    <t>MDAJ60N28E</t>
  </si>
  <si>
    <t>MDAJ60N28FDYEM</t>
  </si>
  <si>
    <t>MDAJ60N28F</t>
  </si>
  <si>
    <t>DYEM</t>
  </si>
  <si>
    <t>DYEM MENDED INK WELL</t>
  </si>
  <si>
    <t>MDB859N21CDYLM</t>
  </si>
  <si>
    <t>MDB859N21C</t>
  </si>
  <si>
    <t>DYLM</t>
  </si>
  <si>
    <t>DYLM INDIGO RELIC</t>
  </si>
  <si>
    <t>MDB859N25QEETD</t>
  </si>
  <si>
    <t>MDB859N25Q</t>
  </si>
  <si>
    <t>RICKY FLAP SE</t>
  </si>
  <si>
    <t>EETD</t>
  </si>
  <si>
    <t>EETD ROUGH TURF</t>
  </si>
  <si>
    <t>MDBA90427R3071</t>
  </si>
  <si>
    <t>MDBA90427R</t>
  </si>
  <si>
    <t>EEB COATED OLIVE</t>
  </si>
  <si>
    <t>MDBAG824QEETD</t>
  </si>
  <si>
    <t>MDBAG824Q</t>
  </si>
  <si>
    <t>MDBAH225PEEIM</t>
  </si>
  <si>
    <t>MDBAH225P</t>
  </si>
  <si>
    <t>DEAN RUNNER RENEGADE</t>
  </si>
  <si>
    <t>EEIM</t>
  </si>
  <si>
    <t>EEIM ALLEY REBEL</t>
  </si>
  <si>
    <t>MDBAH226CDYOM</t>
  </si>
  <si>
    <t>MDBAH226C</t>
  </si>
  <si>
    <t>DYOM</t>
  </si>
  <si>
    <t>DYOM SHALLOW SANDS</t>
  </si>
  <si>
    <t>MDBAK825P2S</t>
  </si>
  <si>
    <t>MDBAK825P</t>
  </si>
  <si>
    <t>JACK RUNNER RENEGADE</t>
  </si>
  <si>
    <t>MDBAK829G1001</t>
  </si>
  <si>
    <t>MDBAK829G</t>
  </si>
  <si>
    <t>JACK RUNNER SE</t>
  </si>
  <si>
    <t>DYP BLACK</t>
  </si>
  <si>
    <t>MDBAM229G1001</t>
  </si>
  <si>
    <t>MDBAM229G</t>
  </si>
  <si>
    <t>MOTO VARSITY BOMBER</t>
  </si>
  <si>
    <t>MDBAZ626V3071</t>
  </si>
  <si>
    <t>MDBAZ626V</t>
  </si>
  <si>
    <t>SLIM CARGO</t>
  </si>
  <si>
    <t>EDH CAMO</t>
  </si>
  <si>
    <t>MDBC08721CDYLM</t>
  </si>
  <si>
    <t>MDBC08721C</t>
  </si>
  <si>
    <t>RICKY FLAP SHORT SUPER T</t>
  </si>
  <si>
    <t>MDBC08723G1200</t>
  </si>
  <si>
    <t>MDBC08723G</t>
  </si>
  <si>
    <t>RICKY FLAP SHORT SE</t>
  </si>
  <si>
    <t>DII GREY</t>
  </si>
  <si>
    <t>MDBC08723G3000</t>
  </si>
  <si>
    <t>DII DESERT SAGE</t>
  </si>
  <si>
    <t>MDBC08723G4000</t>
  </si>
  <si>
    <t>DII MORNING BLUE</t>
  </si>
  <si>
    <t>MDBC08723G7000</t>
  </si>
  <si>
    <t>DII WASHED YELLOW</t>
  </si>
  <si>
    <t>MDBC08729FDYUL</t>
  </si>
  <si>
    <t>MDBC08729F</t>
  </si>
  <si>
    <t>RICKY  W FLAP SHORT SUPER T</t>
  </si>
  <si>
    <t>MDBD02628T2000</t>
  </si>
  <si>
    <t>MDBD02628T</t>
  </si>
  <si>
    <t>MODERN CARGO PANT</t>
  </si>
  <si>
    <t>EDT MENDED INCENSE</t>
  </si>
  <si>
    <t>MDBD02628T3000</t>
  </si>
  <si>
    <t>EDT MENDED OLIVE</t>
  </si>
  <si>
    <t>MDBJ19N20N1001</t>
  </si>
  <si>
    <t>MDBJ19N20N</t>
  </si>
  <si>
    <t>EEA MENDED BLACK</t>
  </si>
  <si>
    <t>MDBJ19N20N1200</t>
  </si>
  <si>
    <t>EEA MENDED STEEL GRAY</t>
  </si>
  <si>
    <t>MDBJ19N20N4000</t>
  </si>
  <si>
    <t>EEA MENDED INSIGNIA BLUE</t>
  </si>
  <si>
    <t>MDBJ19N20N6000</t>
  </si>
  <si>
    <t>EEA MENDED TRUE RED</t>
  </si>
  <si>
    <t>MDBJ19N25QEETD</t>
  </si>
  <si>
    <t>MDBJ19N25Q</t>
  </si>
  <si>
    <t>MDBJ60N23G1200</t>
  </si>
  <si>
    <t>MDBJ60N23G</t>
  </si>
  <si>
    <t>MDBJ60N23G4000</t>
  </si>
  <si>
    <t>MDBJ60N28R1200</t>
  </si>
  <si>
    <t>MDBJ60N28R</t>
  </si>
  <si>
    <t>EEB COATED ROCK RIDGE</t>
  </si>
  <si>
    <t>MDBJ60N28R6000</t>
  </si>
  <si>
    <t>EEB COATED TRUE RED</t>
  </si>
  <si>
    <t>MDBJ60N29R3000</t>
  </si>
  <si>
    <t>MDBJ60N29R</t>
  </si>
  <si>
    <t>ST MILITANT GREEN</t>
  </si>
  <si>
    <t>MDCAF227B1215</t>
  </si>
  <si>
    <t>MDCAF227B</t>
  </si>
  <si>
    <t>SURPLUS SHORT SE</t>
  </si>
  <si>
    <t>MOONSON</t>
  </si>
  <si>
    <t>MDCAF227B2000</t>
  </si>
  <si>
    <t>MDCAF227B4100</t>
  </si>
  <si>
    <t>DTL MOONSOON</t>
  </si>
  <si>
    <t>MDCAF228B3071</t>
  </si>
  <si>
    <t>MDCAF228B</t>
  </si>
  <si>
    <t>SURPLUS SHORT</t>
  </si>
  <si>
    <t>DTM CAMO</t>
  </si>
  <si>
    <t>MDCC08728UEAFL</t>
  </si>
  <si>
    <t>MDCC08728U</t>
  </si>
  <si>
    <t>EAFL</t>
  </si>
  <si>
    <t>EAFL LT WATERS EDGE</t>
  </si>
  <si>
    <t>GT</t>
  </si>
  <si>
    <t>GUATEMALA</t>
  </si>
  <si>
    <t>MDGAW227UCQQM</t>
  </si>
  <si>
    <t>MDGAW227U</t>
  </si>
  <si>
    <t>SS SUPER T WESTERN</t>
  </si>
  <si>
    <t>MDGC57320TEEVD</t>
  </si>
  <si>
    <t>MDGC57320T</t>
  </si>
  <si>
    <t>EEVD</t>
  </si>
  <si>
    <t>EEVD DARK IMMORTAL</t>
  </si>
  <si>
    <t>MDGC57323UEELM</t>
  </si>
  <si>
    <t>MDGC57323U</t>
  </si>
  <si>
    <t>EELM</t>
  </si>
  <si>
    <t>EELM INDIGO BLEED</t>
  </si>
  <si>
    <t>MDGC76125GDYFM</t>
  </si>
  <si>
    <t>MDGC76125G</t>
  </si>
  <si>
    <t>WESTERN SHIRT SE</t>
  </si>
  <si>
    <t>DYFM</t>
  </si>
  <si>
    <t>DYFM WORN INK WELL</t>
  </si>
  <si>
    <t>MDQAT421T3000</t>
  </si>
  <si>
    <t>MDQAT421T</t>
  </si>
  <si>
    <t>DANNY JACKET RENEGADE SE</t>
  </si>
  <si>
    <t>EEY MILITANT GREEN</t>
  </si>
  <si>
    <t>MDQAT428KEEJM</t>
  </si>
  <si>
    <t>MDQAT428K</t>
  </si>
  <si>
    <t>MDQAY424TEDQM</t>
  </si>
  <si>
    <t>MDQAY424T</t>
  </si>
  <si>
    <t>MDQBP627MEDOD</t>
  </si>
  <si>
    <t>MDQBP627M</t>
  </si>
  <si>
    <t>MDQR62N27KEDUD</t>
  </si>
  <si>
    <t>MDQR62N27K</t>
  </si>
  <si>
    <t>MG3859KL3EBHM</t>
  </si>
  <si>
    <t>MG3859KL3</t>
  </si>
  <si>
    <t>STRAIGHT FLAP BROWN GOLD SN</t>
  </si>
  <si>
    <t>EBHM</t>
  </si>
  <si>
    <t>EBHM CHROME SUNSET</t>
  </si>
  <si>
    <t>MG3E08OMEBHM</t>
  </si>
  <si>
    <t>MG3E08OM</t>
  </si>
  <si>
    <t>MG3H54ESNDVED</t>
  </si>
  <si>
    <t>MG3H54ESN</t>
  </si>
  <si>
    <t>SKINNY FLAP NTRL BIG T ORNG</t>
  </si>
  <si>
    <t>DVED</t>
  </si>
  <si>
    <t>DEPERADO RIDE CLEAN</t>
  </si>
  <si>
    <t>MG3H54EUADVGM</t>
  </si>
  <si>
    <t>MG3H54EUA</t>
  </si>
  <si>
    <t>SKINNY FLAP NAT BIG T R FRNK S</t>
  </si>
  <si>
    <t>DVGM</t>
  </si>
  <si>
    <t>WILD EXPRESSION</t>
  </si>
  <si>
    <t>MG3H54ZETFDSJM</t>
  </si>
  <si>
    <t>MG3H54ZETF</t>
  </si>
  <si>
    <t>SKINNY FLP NATURAL BIG T RED</t>
  </si>
  <si>
    <t>MG3J19EAEDVED</t>
  </si>
  <si>
    <t>MG3J19EAE</t>
  </si>
  <si>
    <t>SLIM NATURAL SN RED</t>
  </si>
  <si>
    <t>MH3859ETLDXNM</t>
  </si>
  <si>
    <t>MH3859ETL</t>
  </si>
  <si>
    <t>STRAIGHT FLAP NAT SUPER T RED</t>
  </si>
  <si>
    <t>DXNM</t>
  </si>
  <si>
    <t>SOUL BANDIT</t>
  </si>
  <si>
    <t>MHUH023WL11096</t>
  </si>
  <si>
    <t>MHUH023WL1</t>
  </si>
  <si>
    <t>HORSESHOE JOGGER SWEATPANT</t>
  </si>
  <si>
    <t>MHUH153EQU1096</t>
  </si>
  <si>
    <t>MHUH153EQU</t>
  </si>
  <si>
    <t>TR BRND ACTV RGLAN PLVR HOODIE</t>
  </si>
  <si>
    <t>MHUH161EWQ1001</t>
  </si>
  <si>
    <t>MHUH161EWQ</t>
  </si>
  <si>
    <t>SKULL 3D LS UTILITY ZIP UP</t>
  </si>
  <si>
    <t>MHUH161EWQ3106</t>
  </si>
  <si>
    <t>NI</t>
  </si>
  <si>
    <t>NICARAGUA</t>
  </si>
  <si>
    <t>MJ60NXQ0SSGD</t>
  </si>
  <si>
    <t>MJ60NXQ0S</t>
  </si>
  <si>
    <t>ROCCO NO FLAP SE 30 INSEAM</t>
  </si>
  <si>
    <t>EST 02 TR CREW</t>
  </si>
  <si>
    <t>M SHOES</t>
  </si>
  <si>
    <t>M GLOVES</t>
  </si>
  <si>
    <t>TW</t>
  </si>
  <si>
    <t>TAIWAN</t>
  </si>
  <si>
    <t>MNR3859EXJEAZM</t>
  </si>
  <si>
    <t>MNR3859EXJ</t>
  </si>
  <si>
    <t>STRAIGHT FLAP NTRL SPR T OXBLD</t>
  </si>
  <si>
    <t>EAZM</t>
  </si>
  <si>
    <t>EAZM COOL HAZE</t>
  </si>
  <si>
    <t>MNR3859EZCEBLD</t>
  </si>
  <si>
    <t>MNR3859EZC</t>
  </si>
  <si>
    <t>STRAIGHT FLAP NAT MT GLDN PLM</t>
  </si>
  <si>
    <t>EBLD</t>
  </si>
  <si>
    <t>EBLD MOON GLITCH</t>
  </si>
  <si>
    <t>MNR3859OMEBLD</t>
  </si>
  <si>
    <t>MNR3859OM</t>
  </si>
  <si>
    <t>STRAIGHT FLAP OLD MULTI SN</t>
  </si>
  <si>
    <t>MNR3859Y9DTKD</t>
  </si>
  <si>
    <t>MNR3859Y9</t>
  </si>
  <si>
    <t>DTKD</t>
  </si>
  <si>
    <t>DTKD LT DWN W RS</t>
  </si>
  <si>
    <t>MNR3859Y9EBCM</t>
  </si>
  <si>
    <t>EBCM</t>
  </si>
  <si>
    <t>EBCM BLUE ATLAS</t>
  </si>
  <si>
    <t>MNR3B471Y9EBCM</t>
  </si>
  <si>
    <t>MNR3B471Y9</t>
  </si>
  <si>
    <t>TRUCKER JACKET CAMO YOKE</t>
  </si>
  <si>
    <t>MNR3J60EEAEBLD</t>
  </si>
  <si>
    <t>MNR3J60EEA</t>
  </si>
  <si>
    <t>SKINNY EARTHWORM BIG T RED</t>
  </si>
  <si>
    <t>MNR859EDJEBKD</t>
  </si>
  <si>
    <t>MNR859EDJ</t>
  </si>
  <si>
    <t>STRAIGHT FLAP DK CNTINENT ROPE</t>
  </si>
  <si>
    <t>EBKD</t>
  </si>
  <si>
    <t>EBKD INDIGO HEART</t>
  </si>
  <si>
    <t>MNR859ENYEBHM</t>
  </si>
  <si>
    <t>MNR859ENY</t>
  </si>
  <si>
    <t>STRAIGHT FLAP NTRL SPR QT RED</t>
  </si>
  <si>
    <t>MNR859ESCDVED</t>
  </si>
  <si>
    <t>MNR859ESC</t>
  </si>
  <si>
    <t>STRAIGHT FLAP WHT SUPER T RED</t>
  </si>
  <si>
    <t>DVED DEPERADO RIDE CLEAN</t>
  </si>
  <si>
    <t>MNR859ESDDVGM</t>
  </si>
  <si>
    <t>MNR859ESD</t>
  </si>
  <si>
    <t>STRAIGHT FLAP WHITE ROPESTITCH</t>
  </si>
  <si>
    <t>MNR859ETKBZ</t>
  </si>
  <si>
    <t>MNR859ETK</t>
  </si>
  <si>
    <t>STRAIGHT FLAP NAT MEGA T YLW</t>
  </si>
  <si>
    <t>MNR859ETLDXNM</t>
  </si>
  <si>
    <t>MNR859ETL</t>
  </si>
  <si>
    <t>DXNM SOUL BANDIT</t>
  </si>
  <si>
    <t>MNR859ETTDVKD</t>
  </si>
  <si>
    <t>MNR859ETT</t>
  </si>
  <si>
    <t>STRAIGHT FLAP ERTHWRM SPR QT R</t>
  </si>
  <si>
    <t>DVKD</t>
  </si>
  <si>
    <t>LOUD HIT W/RIPS</t>
  </si>
  <si>
    <t>MNR859ETZDVED</t>
  </si>
  <si>
    <t>MNR859ETZ</t>
  </si>
  <si>
    <t>STRAIGHT FLAP NAT BIG T FNK ST</t>
  </si>
  <si>
    <t>MNR859EUEBZ</t>
  </si>
  <si>
    <t>MNR859EUE</t>
  </si>
  <si>
    <t>STRAIGHT FLAP FSL SLK RPSTCH</t>
  </si>
  <si>
    <t>MNR859EXIEBHM</t>
  </si>
  <si>
    <t>MNR859EXI</t>
  </si>
  <si>
    <t>STRAIGHT FLAP EW BIGT OX BLOOD</t>
  </si>
  <si>
    <t>MNR859KB5DVGM</t>
  </si>
  <si>
    <t>MNR859M60DZSL</t>
  </si>
  <si>
    <t>MNR859M60</t>
  </si>
  <si>
    <t>STRAIGHT FLAP RED ORANGE BIG T</t>
  </si>
  <si>
    <t>DZSL</t>
  </si>
  <si>
    <t>LIGHT DESPERADO RIDE (CLEAN)</t>
  </si>
  <si>
    <t>MNR859SESCBZ</t>
  </si>
  <si>
    <t>MNR859SESC</t>
  </si>
  <si>
    <t>STRAIGHT CUT OFF WHITE SUPER T</t>
  </si>
  <si>
    <t>MNR859SEUBCYEM</t>
  </si>
  <si>
    <t>MNR859SEUB</t>
  </si>
  <si>
    <t>STRAIGHT FLAP COS WHT MEGA T R</t>
  </si>
  <si>
    <t>MNR859SVX2DZSL</t>
  </si>
  <si>
    <t>MNR859SVX2</t>
  </si>
  <si>
    <t>STRAIGHT CUT OFF SHORT MEGA T</t>
  </si>
  <si>
    <t>MNRE08ETFEBKD</t>
  </si>
  <si>
    <t>MNRE08ETF</t>
  </si>
  <si>
    <t>SLIM FLAP NATURAL BIG T RED</t>
  </si>
  <si>
    <t>MNRE08EXNEBHM</t>
  </si>
  <si>
    <t>MNRE08EXN</t>
  </si>
  <si>
    <t>SLIM FLAP RED ORANGE SUPER T</t>
  </si>
  <si>
    <t>MNRE08EXQEBKD</t>
  </si>
  <si>
    <t>MNRE08EXQ</t>
  </si>
  <si>
    <t>SLIM FLAP NTRL BIG T GOLD PALM</t>
  </si>
  <si>
    <t>MNRH040ECZDLXD</t>
  </si>
  <si>
    <t>MNRH040ECZ</t>
  </si>
  <si>
    <t>STRAIGHT FLAP GREY SN</t>
  </si>
  <si>
    <t>DLXD</t>
  </si>
  <si>
    <t>DLXD COOL MODE</t>
  </si>
  <si>
    <t>MNRJ60M60DSLD</t>
  </si>
  <si>
    <t>MNRJ60M60</t>
  </si>
  <si>
    <t>MNRS800NBTDVFD</t>
  </si>
  <si>
    <t>MNRS800NBT</t>
  </si>
  <si>
    <t>STRAIGHT NATURALINE BIG T</t>
  </si>
  <si>
    <t>DVFD</t>
  </si>
  <si>
    <t>STONE GRUNGE</t>
  </si>
  <si>
    <t>MNRS859EMVDVCL</t>
  </si>
  <si>
    <t>MNRS859EMV</t>
  </si>
  <si>
    <t>STRAIGHT FLAP WHITE SUPER T</t>
  </si>
  <si>
    <t>DVCL</t>
  </si>
  <si>
    <t>SUMMER SHORE</t>
  </si>
  <si>
    <t>MNRS859ESXDVLM</t>
  </si>
  <si>
    <t>MNRS859ESX</t>
  </si>
  <si>
    <t>STRAIGHT FLAP GOLD BIG T</t>
  </si>
  <si>
    <t>DVLM</t>
  </si>
  <si>
    <t>ROCKY SAND W RIPS</t>
  </si>
  <si>
    <t>MNRS859EXKEAXL</t>
  </si>
  <si>
    <t>MNRS859EXK</t>
  </si>
  <si>
    <t>STRAIGHT FLAP OM OXBLD BIG T</t>
  </si>
  <si>
    <t>EAXL</t>
  </si>
  <si>
    <t>EAXL HEAVENS HORN</t>
  </si>
  <si>
    <t>MNRS859OMDVCL</t>
  </si>
  <si>
    <t>MNRS859OM</t>
  </si>
  <si>
    <t>MNRSE08EDXEAXL</t>
  </si>
  <si>
    <t>MNRSE08EDX</t>
  </si>
  <si>
    <t>SLIM FLAP OM BIG T RED</t>
  </si>
  <si>
    <t>MNRSE08ESRDVFD</t>
  </si>
  <si>
    <t>MNRSE08ESR</t>
  </si>
  <si>
    <t>SLIM FLAP NATURAL BIG T</t>
  </si>
  <si>
    <t>MNRSE08SH9DVCL</t>
  </si>
  <si>
    <t>MNRSE08SH9</t>
  </si>
  <si>
    <t>SLIM FLAP EARTHWORM BIG T</t>
  </si>
  <si>
    <t>MNRSH155Y9BZ</t>
  </si>
  <si>
    <t>MNRSH155Y9</t>
  </si>
  <si>
    <t>MOTO SLIM RUN STITCH BCK PKT</t>
  </si>
  <si>
    <t>MNRSH164Y9EBND</t>
  </si>
  <si>
    <t>MNRSH164Y9</t>
  </si>
  <si>
    <t>STRAIGHT FLAP RUN STITCH LOGO</t>
  </si>
  <si>
    <t>EBND</t>
  </si>
  <si>
    <t>EBND FALCON CLAW</t>
  </si>
  <si>
    <t>MNRSH54ESXDVFD</t>
  </si>
  <si>
    <t>MNRSH54ESX</t>
  </si>
  <si>
    <t>SKINNY FLAP GOLD BIG T</t>
  </si>
  <si>
    <t>MNRSJ19KB5DNGM</t>
  </si>
  <si>
    <t>MNRSJ19KB5</t>
  </si>
  <si>
    <t>SLIM OM BIG T</t>
  </si>
  <si>
    <t>MOVH159EXF1001</t>
  </si>
  <si>
    <t>MOVH159EXF</t>
  </si>
  <si>
    <t>VARSITY TIGER HOODED VRSTY JKT</t>
  </si>
  <si>
    <t>MOZ859EMW1700</t>
  </si>
  <si>
    <t>MOZ859EMW</t>
  </si>
  <si>
    <t>DSW NVR ENDG WHT</t>
  </si>
  <si>
    <t>MOZ859SBJ91106</t>
  </si>
  <si>
    <t>MOZ859SBJ9</t>
  </si>
  <si>
    <t>STRAIGHT FLAP CUTOFF SHORT BLK</t>
  </si>
  <si>
    <t>MOZ859SENA1700</t>
  </si>
  <si>
    <t>MOZ859SENA</t>
  </si>
  <si>
    <t>STRAIGHT CUT OFF GREY SN</t>
  </si>
  <si>
    <t>DSW NVR ENDING</t>
  </si>
  <si>
    <t>MOZJ60ESB1700</t>
  </si>
  <si>
    <t>MOZJ60ESB</t>
  </si>
  <si>
    <t>SKINNY GREY ALLOVER BIG T</t>
  </si>
  <si>
    <t>DSW - NVR ENDNG</t>
  </si>
  <si>
    <t>MQDH162EXE1001</t>
  </si>
  <si>
    <t>MQDH162EXE</t>
  </si>
  <si>
    <t>MQDH162EXE3443</t>
  </si>
  <si>
    <t>MSD2004BF71014</t>
  </si>
  <si>
    <t>MSD2004BF7</t>
  </si>
  <si>
    <t>RISING SUN SLIM SWEAT PANT</t>
  </si>
  <si>
    <t>MSD2004WQ21100</t>
  </si>
  <si>
    <t>MSD2004WQ2</t>
  </si>
  <si>
    <t>SLIM OPEN LEG SWEATPANT</t>
  </si>
  <si>
    <t>MSDAD8UT71001</t>
  </si>
  <si>
    <t>MSDAD8UT7</t>
  </si>
  <si>
    <t>MOTO SWEATSHORTS</t>
  </si>
  <si>
    <t>MSDAD8UT76000</t>
  </si>
  <si>
    <t>MSDAE2UT71014</t>
  </si>
  <si>
    <t>MSDAE2UT7</t>
  </si>
  <si>
    <t>MSDAN8UT71001</t>
  </si>
  <si>
    <t>MSDAN8UT7</t>
  </si>
  <si>
    <t>PULLOVER HOODIE W KANGAROO PKT</t>
  </si>
  <si>
    <t>MSDAN8UT72701</t>
  </si>
  <si>
    <t>SCUFFED BEIGE</t>
  </si>
  <si>
    <t>MSDAN8UT73196</t>
  </si>
  <si>
    <t>MSDAP8UT71001</t>
  </si>
  <si>
    <t>MSDAP8UT7</t>
  </si>
  <si>
    <t>SLIM CUFFED MOTO SWEATPANTS</t>
  </si>
  <si>
    <t>MSDAY8UT71001</t>
  </si>
  <si>
    <t>MSDAY8UT7</t>
  </si>
  <si>
    <t>SLIM MILITANT SWEATPANT</t>
  </si>
  <si>
    <t>MSDAY8UT73106</t>
  </si>
  <si>
    <t>MSG0007BC24143</t>
  </si>
  <si>
    <t>MSG0007BC2</t>
  </si>
  <si>
    <t>SS ROLL UP SHIRT</t>
  </si>
  <si>
    <t>INDIGO YD PLAID</t>
  </si>
  <si>
    <t>MSG0007BC37000</t>
  </si>
  <si>
    <t>MSG0007BC3</t>
  </si>
  <si>
    <t>SS ROLL UP SHIRT W CHEST PKT</t>
  </si>
  <si>
    <t>WASHED YELLOW PLAID</t>
  </si>
  <si>
    <t>MSGAA8BD74105</t>
  </si>
  <si>
    <t>MSGAA8BD7</t>
  </si>
  <si>
    <t>LS SINGLE POCKET SHIRT</t>
  </si>
  <si>
    <t>MEDIUM WASH</t>
  </si>
  <si>
    <t>MSGAA8BD74143</t>
  </si>
  <si>
    <t>BLEACH DRIP WASH</t>
  </si>
  <si>
    <t>MSGAE6XT71800</t>
  </si>
  <si>
    <t>MSGAE6XT7</t>
  </si>
  <si>
    <t>SS WESTERN</t>
  </si>
  <si>
    <t>MSGAW4BQ43105</t>
  </si>
  <si>
    <t>MSGAW4BQ4</t>
  </si>
  <si>
    <t>SS ROLL UP SHIRT RELEASED HEMS</t>
  </si>
  <si>
    <t>CAMO PRINT</t>
  </si>
  <si>
    <t>MSH1024WQ21800</t>
  </si>
  <si>
    <t>MSH1024WQ2</t>
  </si>
  <si>
    <t>MSHAB2AV11006</t>
  </si>
  <si>
    <t>MSHAB2AV1</t>
  </si>
  <si>
    <t>ELONGATED CURVED HEM TEE</t>
  </si>
  <si>
    <t>MSHAB2AV16000</t>
  </si>
  <si>
    <t>MSHAB8BM61501</t>
  </si>
  <si>
    <t>MSHAB8BM6</t>
  </si>
  <si>
    <t>EMBELLISHED SPLATTER TEE</t>
  </si>
  <si>
    <t>MSHAC8YP84100</t>
  </si>
  <si>
    <t>MSHAC8YP8</t>
  </si>
  <si>
    <t>SS HENLEY</t>
  </si>
  <si>
    <t>MSHAC8YP86000</t>
  </si>
  <si>
    <t>MSHAN2YQ21001</t>
  </si>
  <si>
    <t>MSHAN2YQ2</t>
  </si>
  <si>
    <t>MSHAN2YQ23196</t>
  </si>
  <si>
    <t>MSHAT6A0051800</t>
  </si>
  <si>
    <t>MSHAT6A005</t>
  </si>
  <si>
    <t>TRUE VINTAGE BUDDHA TEE</t>
  </si>
  <si>
    <t>MSHAV8AW81836</t>
  </si>
  <si>
    <t>MSHAV8AW8</t>
  </si>
  <si>
    <t>ELONGATED FOOTBALL TEE</t>
  </si>
  <si>
    <t>OPTIC WHITE /RUBY RED</t>
  </si>
  <si>
    <t>MSHAW4AW81014</t>
  </si>
  <si>
    <t>MSHAW4AW8</t>
  </si>
  <si>
    <t>ELONGATED RAGLAN TEE</t>
  </si>
  <si>
    <t>MSHAW4AW83196</t>
  </si>
  <si>
    <t>MSJ1022RH71001</t>
  </si>
  <si>
    <t>MSJ1022RH7</t>
  </si>
  <si>
    <t>MSJ1022RH73196</t>
  </si>
  <si>
    <t>MSJAB2C1281800</t>
  </si>
  <si>
    <t>MSJAB2C128</t>
  </si>
  <si>
    <t>TWIN PALMS GRAPHIC TEE</t>
  </si>
  <si>
    <t>MSJAB2C1551700</t>
  </si>
  <si>
    <t>MSJAB2C155</t>
  </si>
  <si>
    <t>2002 TOUR TEE</t>
  </si>
  <si>
    <t>MSJAB2N0661001</t>
  </si>
  <si>
    <t>MSJAB2N066</t>
  </si>
  <si>
    <t>BUDDHA OVERPRINT GRAPHIC TEE</t>
  </si>
  <si>
    <t>MSJAB2N0661800</t>
  </si>
  <si>
    <t>MSJAB2N0684143</t>
  </si>
  <si>
    <t>MSJAB2N068</t>
  </si>
  <si>
    <t>BUDDHA CURVED HEM TEE</t>
  </si>
  <si>
    <t>MSJAB2N0721001</t>
  </si>
  <si>
    <t>MSJAB2N072</t>
  </si>
  <si>
    <t>ELONGATED CURVED GRAPHIC TEE</t>
  </si>
  <si>
    <t>MSJAB2N0721800</t>
  </si>
  <si>
    <t>MSJAB8AW83512</t>
  </si>
  <si>
    <t>MSJAB8AW8</t>
  </si>
  <si>
    <t>DOUBLE PUFF CREW NECK TEE</t>
  </si>
  <si>
    <t>MSJAB8AW87000</t>
  </si>
  <si>
    <t>WASHED YELLOW</t>
  </si>
  <si>
    <t>MSJAB8BB31001</t>
  </si>
  <si>
    <t>MSJAB8BB3</t>
  </si>
  <si>
    <t>DENIM APPLIQUE GRAPHIC TEE</t>
  </si>
  <si>
    <t>MSJAB8C1261800</t>
  </si>
  <si>
    <t>MSJAB8C126</t>
  </si>
  <si>
    <t>COPYRIGHT LOGO GRAPHIC TEE</t>
  </si>
  <si>
    <t>MSJAB8C1311001</t>
  </si>
  <si>
    <t>MSJAB8C131</t>
  </si>
  <si>
    <t>POP ART HORSESHOE GRAPHIC TEE</t>
  </si>
  <si>
    <t>MSJAB8C1511286</t>
  </si>
  <si>
    <t>MSJAB8C151</t>
  </si>
  <si>
    <t>IMMORTAL TEE</t>
  </si>
  <si>
    <t>ROCK RIDGE</t>
  </si>
  <si>
    <t>MSJAB8C1531001</t>
  </si>
  <si>
    <t>MSJAB8C153</t>
  </si>
  <si>
    <t>DIZZY TOUR TEE</t>
  </si>
  <si>
    <t>MSJAB8C1541014</t>
  </si>
  <si>
    <t>MSJAB8C154</t>
  </si>
  <si>
    <t>STUDDED IMMORTAL TEE</t>
  </si>
  <si>
    <t>MSJAB8C1566000</t>
  </si>
  <si>
    <t>MSJAB8C156</t>
  </si>
  <si>
    <t>WEB AND ROSE TEE</t>
  </si>
  <si>
    <t>MSJAB8C1571700</t>
  </si>
  <si>
    <t>MSJAB8C157</t>
  </si>
  <si>
    <t>THE WALL TEE</t>
  </si>
  <si>
    <t>MSJAB8C1581700</t>
  </si>
  <si>
    <t>MSJAB8C158</t>
  </si>
  <si>
    <t>RECLAIMED CHIEF TEE</t>
  </si>
  <si>
    <t>MSJAB8C1591700</t>
  </si>
  <si>
    <t>MSJAB8C159</t>
  </si>
  <si>
    <t>RECLAIMED PHYS ED TEE</t>
  </si>
  <si>
    <t>MSJAB8C1601700</t>
  </si>
  <si>
    <t>MSJAB8C160</t>
  </si>
  <si>
    <t>TRUE U TEE</t>
  </si>
  <si>
    <t>MSJAB8C1606000</t>
  </si>
  <si>
    <t>MSJAB8C1614000</t>
  </si>
  <si>
    <t>MSJAB8C161</t>
  </si>
  <si>
    <t>GOD IS IN THE DETAILS TEE</t>
  </si>
  <si>
    <t>INSIGNIA BLUE BLEACHED</t>
  </si>
  <si>
    <t>MSJAB8C1621700</t>
  </si>
  <si>
    <t>MSJAB8C162</t>
  </si>
  <si>
    <t>ILLUSIONS 2 TEE</t>
  </si>
  <si>
    <t>MSJAB8C1911700</t>
  </si>
  <si>
    <t>MSJAB8C191</t>
  </si>
  <si>
    <t>BADGE OF HONOR TEE</t>
  </si>
  <si>
    <t>MSJAB8C1971001</t>
  </si>
  <si>
    <t>MSJAB8C197</t>
  </si>
  <si>
    <t>HANDBILL TEE</t>
  </si>
  <si>
    <t>USWH</t>
  </si>
  <si>
    <t>MSJAB8C2111001</t>
  </si>
  <si>
    <t>MSJAB8C211</t>
  </si>
  <si>
    <t>TRCWP PUFF TEE</t>
  </si>
  <si>
    <t>MSJAB8C2181014</t>
  </si>
  <si>
    <t>MSJAB8C218</t>
  </si>
  <si>
    <t>MSJAB8J8061800</t>
  </si>
  <si>
    <t>MSJAB8J806</t>
  </si>
  <si>
    <t>RISING SUN GRAPHIC TEE</t>
  </si>
  <si>
    <t>MSJAB8N0651001</t>
  </si>
  <si>
    <t>MSJAB8N065</t>
  </si>
  <si>
    <t>ESTABLISHED LOGO GRAPHIC TEE</t>
  </si>
  <si>
    <t>MSJAB8N0691001</t>
  </si>
  <si>
    <t>MSJAB8N069</t>
  </si>
  <si>
    <t>TRUE RLGN CRUST GRAPHIC TEE</t>
  </si>
  <si>
    <t>MSJAB8N0691800</t>
  </si>
  <si>
    <t>MSJAB8N0711001</t>
  </si>
  <si>
    <t>MSJAB8N071</t>
  </si>
  <si>
    <t>LAND OF THE FREE GRAPHIC TEE</t>
  </si>
  <si>
    <t>MSJAB8N0711700</t>
  </si>
  <si>
    <t>MSJAB8N0741001</t>
  </si>
  <si>
    <t>MSJAB8N074</t>
  </si>
  <si>
    <t>NO LOVE LOST GRAPHIC TEE</t>
  </si>
  <si>
    <t>MSJAB8N0741800</t>
  </si>
  <si>
    <t>MSJAB8N0751700</t>
  </si>
  <si>
    <t>MSJAB8N075</t>
  </si>
  <si>
    <t>4TH FLAG GRAPHIC TEE</t>
  </si>
  <si>
    <t>MSJAB8N0756000</t>
  </si>
  <si>
    <t>MSJAB8N0771501</t>
  </si>
  <si>
    <t>MSJAB8N077</t>
  </si>
  <si>
    <t>INDIAN CHIEF GRAPHIC TEE</t>
  </si>
  <si>
    <t>MSJAB8N0771800</t>
  </si>
  <si>
    <t>MSJAB8N0781800</t>
  </si>
  <si>
    <t>MSJAB8N078</t>
  </si>
  <si>
    <t>GUARDIAN GRAPHIC TEE</t>
  </si>
  <si>
    <t>MSJAB8N0791001</t>
  </si>
  <si>
    <t>MSJAB8N079</t>
  </si>
  <si>
    <t>DENIM GOODS GRAPHIC TEE</t>
  </si>
  <si>
    <t>MSJAB8N0981001</t>
  </si>
  <si>
    <t>MSJAB8N098</t>
  </si>
  <si>
    <t>TEETH TEE</t>
  </si>
  <si>
    <t>MSJAB8N0981700</t>
  </si>
  <si>
    <t>MSJAB8XS94143</t>
  </si>
  <si>
    <t>MSJAB8XS9</t>
  </si>
  <si>
    <t>EAGLE SHADOW INDIGO TEE</t>
  </si>
  <si>
    <t>MSJAB8YP76432</t>
  </si>
  <si>
    <t>MSJAB8YP7</t>
  </si>
  <si>
    <t>MOCK TWIST CREW NECK TEE</t>
  </si>
  <si>
    <t>ASH ROSE</t>
  </si>
  <si>
    <t>MSJAF6BC14792</t>
  </si>
  <si>
    <t>MSJAF6BC1</t>
  </si>
  <si>
    <t>PRINTED FLORAL SHIRT</t>
  </si>
  <si>
    <t>PRINTED FLORAL</t>
  </si>
  <si>
    <t>MSJAH8C2121001</t>
  </si>
  <si>
    <t>MSJAH8C212</t>
  </si>
  <si>
    <t>LS MOTO PUFF TEE</t>
  </si>
  <si>
    <t>MSJAH8J8041001</t>
  </si>
  <si>
    <t>MSJAH8J804</t>
  </si>
  <si>
    <t>RISING SUN LS GRAPHIC TEE</t>
  </si>
  <si>
    <t>MSJAH8N0871001</t>
  </si>
  <si>
    <t>MSJAH8N087</t>
  </si>
  <si>
    <t>TRUES LS CREW</t>
  </si>
  <si>
    <t>MSJAJ2N0784837</t>
  </si>
  <si>
    <t>MSJAJ2N078</t>
  </si>
  <si>
    <t>FOO DOG GRAPHIC RAGLAN</t>
  </si>
  <si>
    <t>BLACK/ACE</t>
  </si>
  <si>
    <t>MSJAN6C2171001</t>
  </si>
  <si>
    <t>MSJAN6C217</t>
  </si>
  <si>
    <t>SNAKE SKULL TEE</t>
  </si>
  <si>
    <t>MSJAN6C2174100</t>
  </si>
  <si>
    <t>MSJAY8AV11767</t>
  </si>
  <si>
    <t>MSJAY8AV1</t>
  </si>
  <si>
    <t>RAGLAN TIGER</t>
  </si>
  <si>
    <t>WHITE / CHARCOAL</t>
  </si>
  <si>
    <t>MSJB156BM23071</t>
  </si>
  <si>
    <t>MSJB156BM2</t>
  </si>
  <si>
    <t>LOOSE FIT TEE W CHEST PKT</t>
  </si>
  <si>
    <t>MSM1009UT71001</t>
  </si>
  <si>
    <t>MSM1009UT7</t>
  </si>
  <si>
    <t>RAW EDGE ZIP HOODIE</t>
  </si>
  <si>
    <t>MSM5007BF71014</t>
  </si>
  <si>
    <t>MSM5007BF7</t>
  </si>
  <si>
    <t>RISING SUN BOMBER</t>
  </si>
  <si>
    <t>MSMAJ8UT71001</t>
  </si>
  <si>
    <t>MSMAJ8UT7</t>
  </si>
  <si>
    <t>MOTO PULLOVER HOODIE</t>
  </si>
  <si>
    <t>MSMAJ8UT76000</t>
  </si>
  <si>
    <t>MSMAQ2UT71001</t>
  </si>
  <si>
    <t>MSMAQ2UT7</t>
  </si>
  <si>
    <t>COLLEGIATE KNIT JACKET</t>
  </si>
  <si>
    <t>MSMAX2C0671001</t>
  </si>
  <si>
    <t>MSMAX2C067</t>
  </si>
  <si>
    <t>MSMAX2C0674792</t>
  </si>
  <si>
    <t>MSMAX2C0676500</t>
  </si>
  <si>
    <t>NEON PINK</t>
  </si>
  <si>
    <t>MSQ5007BF53105</t>
  </si>
  <si>
    <t>MSQ5007BF5</t>
  </si>
  <si>
    <t>CAMO BOMBER</t>
  </si>
  <si>
    <t>MSQAE4BN33106</t>
  </si>
  <si>
    <t>MSQAE4BN3</t>
  </si>
  <si>
    <t>CAMO ANORAK</t>
  </si>
  <si>
    <t>MILITARY GREEN CAMO</t>
  </si>
  <si>
    <t>PR</t>
  </si>
  <si>
    <t>MSRAX2BM54048</t>
  </si>
  <si>
    <t>MSRAX2BM5</t>
  </si>
  <si>
    <t>LIGHT HOODED BOMBER</t>
  </si>
  <si>
    <t>DARK MIDNIGHT</t>
  </si>
  <si>
    <t>MX3859NBT1001</t>
  </si>
  <si>
    <t>MX3859NBT</t>
  </si>
  <si>
    <t>DHX BLACK</t>
  </si>
  <si>
    <t>MX3859NBT3106</t>
  </si>
  <si>
    <t>DHX MILITARY GREEN</t>
  </si>
  <si>
    <t>MX3859NBT7233</t>
  </si>
  <si>
    <t>DHX STRAW</t>
  </si>
  <si>
    <t>MXD859ECU1406</t>
  </si>
  <si>
    <t>MXD859ECU</t>
  </si>
  <si>
    <t>STRAIGHT FLAP BLACK BIG T RED</t>
  </si>
  <si>
    <t>MXD859EDJ3263</t>
  </si>
  <si>
    <t>MXD859EDJ</t>
  </si>
  <si>
    <t>STRAIGHT FLAP DK CNTNT SN</t>
  </si>
  <si>
    <t>DMA TAUPE CAMO</t>
  </si>
  <si>
    <t>MXD859NBT3071</t>
  </si>
  <si>
    <t>MXD859NBT</t>
  </si>
  <si>
    <t>CZS OLIVE</t>
  </si>
  <si>
    <t>MXD859NBT4100</t>
  </si>
  <si>
    <t>CZS TRUE NVY</t>
  </si>
  <si>
    <t>MXD859NBT7233</t>
  </si>
  <si>
    <t>CZS STRAW</t>
  </si>
  <si>
    <t>MXD859SECU1406</t>
  </si>
  <si>
    <t>MXD859SECU</t>
  </si>
  <si>
    <t>STRAIGHT FLP COS BLK BIG T RED</t>
  </si>
  <si>
    <t>MXD859SNBT7233</t>
  </si>
  <si>
    <t>MXD859SNBT</t>
  </si>
  <si>
    <t>STRAIGHT FLP COS NATURAL BIG T</t>
  </si>
  <si>
    <t>MXDA286ESH1700</t>
  </si>
  <si>
    <t>MXDA286ESH</t>
  </si>
  <si>
    <t>CARGO CUTOFF GREY BIG T MDNT</t>
  </si>
  <si>
    <t>QY OPTIC WHT</t>
  </si>
  <si>
    <t>MXDA286ESI1001</t>
  </si>
  <si>
    <t>MXDA286ESI</t>
  </si>
  <si>
    <t>CARGO COS ASCOT GREY BIGT RED</t>
  </si>
  <si>
    <t>CZS - BLACK</t>
  </si>
  <si>
    <t>MXDH037EDJ3501</t>
  </si>
  <si>
    <t>MXDH037EDJ</t>
  </si>
  <si>
    <t>SKINNY MOTO DK CNTINENT SN</t>
  </si>
  <si>
    <t>MXDH114EDJ3263</t>
  </si>
  <si>
    <t>MXDH114EDJ</t>
  </si>
  <si>
    <t>MOTO CUTOFF SHORTS DK CONT SN</t>
  </si>
  <si>
    <t>MXDJ19TS7233</t>
  </si>
  <si>
    <t>MXDJ19TS</t>
  </si>
  <si>
    <t>SLIM NATURAL SN</t>
  </si>
  <si>
    <t>MY5B395ECWDLKD</t>
  </si>
  <si>
    <t>MY5B395ECW</t>
  </si>
  <si>
    <t>JOGGER FLAP GREY RED COMBO SN</t>
  </si>
  <si>
    <t>M BOTTOM DAMAGES</t>
  </si>
  <si>
    <t>M TOP DAMAGES</t>
  </si>
  <si>
    <t>M OUTERWEAR DAMAGES</t>
  </si>
  <si>
    <t>W BOTTOM DAMAGES</t>
  </si>
  <si>
    <t>W TOP DAMAGES</t>
  </si>
  <si>
    <t>W OUTERWEAR DAMAGES</t>
  </si>
  <si>
    <t>B BOTTOM DAMAGES</t>
  </si>
  <si>
    <t>G TOP DAMAGES</t>
  </si>
  <si>
    <t>G BOTTOM DAMAGES</t>
  </si>
  <si>
    <t>M ACC. DAMAGES</t>
  </si>
  <si>
    <t>B TOP DAMAGES</t>
  </si>
  <si>
    <t>TR117ST15BRED</t>
  </si>
  <si>
    <t>TR117ST15B</t>
  </si>
  <si>
    <t>TR117ST16BMDN</t>
  </si>
  <si>
    <t>TR117ST16B</t>
  </si>
  <si>
    <t>CALI TEE BOX SET</t>
  </si>
  <si>
    <t>W VEST</t>
  </si>
  <si>
    <t>TR127HD11ROB</t>
  </si>
  <si>
    <t>TR127HD11</t>
  </si>
  <si>
    <t>PALM TREE VARSITY HOODIE</t>
  </si>
  <si>
    <t>TR127HD12BLK</t>
  </si>
  <si>
    <t>TR127HD12</t>
  </si>
  <si>
    <t>BUDDHA BRANDED HOODIE</t>
  </si>
  <si>
    <t>TR127JN65JFB</t>
  </si>
  <si>
    <t>TR127JN65</t>
  </si>
  <si>
    <t>STRAIGHT BIG T JEAN</t>
  </si>
  <si>
    <t>JFB</t>
  </si>
  <si>
    <t>JFB JELLYFISH BLUE</t>
  </si>
  <si>
    <t>TR127JN67LOS</t>
  </si>
  <si>
    <t>TR127JN67</t>
  </si>
  <si>
    <t>TR127SH41HYW1</t>
  </si>
  <si>
    <t>TR127SH41</t>
  </si>
  <si>
    <t>SHORT SINGLE END</t>
  </si>
  <si>
    <t>HYW1</t>
  </si>
  <si>
    <t>HYW1 HARLEY WASH</t>
  </si>
  <si>
    <t>TR127SH42BAT</t>
  </si>
  <si>
    <t>TR127SH42</t>
  </si>
  <si>
    <t>SHORT BIG T</t>
  </si>
  <si>
    <t>BAT</t>
  </si>
  <si>
    <t>BAT BALTIC</t>
  </si>
  <si>
    <t>TR127SW01WHT</t>
  </si>
  <si>
    <t>TR127SW01</t>
  </si>
  <si>
    <t>4TH OF JULY WOVEN</t>
  </si>
  <si>
    <t>TR127TE40WHT</t>
  </si>
  <si>
    <t>TR127TE40</t>
  </si>
  <si>
    <t>CHAMPIONS RAGLAN TEE</t>
  </si>
  <si>
    <t>TR127TE41WHT</t>
  </si>
  <si>
    <t>TR127TE41</t>
  </si>
  <si>
    <t>PALM TREE VARSITY TEE</t>
  </si>
  <si>
    <t>TR127TE43RED</t>
  </si>
  <si>
    <t>TR127TE43</t>
  </si>
  <si>
    <t>TR127TE43ROB</t>
  </si>
  <si>
    <t>TR127TE44WHT</t>
  </si>
  <si>
    <t>TR127TE44</t>
  </si>
  <si>
    <t>TR127TE48WHT</t>
  </si>
  <si>
    <t>TR127TE48</t>
  </si>
  <si>
    <t>TRUE HORSESHOE TEE</t>
  </si>
  <si>
    <t>W HATS</t>
  </si>
  <si>
    <t>B HATS</t>
  </si>
  <si>
    <t>TR217ST20BFIA</t>
  </si>
  <si>
    <t>TR217ST20B</t>
  </si>
  <si>
    <t>TR217ST21BDPK</t>
  </si>
  <si>
    <t>TR217ST21B</t>
  </si>
  <si>
    <t>BRAND RAGLAN BOX SET</t>
  </si>
  <si>
    <t>TR217TE27MDN</t>
  </si>
  <si>
    <t>TR227JN76MIA</t>
  </si>
  <si>
    <t>TR227JN76</t>
  </si>
  <si>
    <t>MIA</t>
  </si>
  <si>
    <t>MIA MIAMI BLUE</t>
  </si>
  <si>
    <t>TR227SH75FIA</t>
  </si>
  <si>
    <t>TR227SH75</t>
  </si>
  <si>
    <t>TR227TE35PEC</t>
  </si>
  <si>
    <t>TR227TE35</t>
  </si>
  <si>
    <t>BUDDHA CRAFTED TEE</t>
  </si>
  <si>
    <t>TR227TE35SFK</t>
  </si>
  <si>
    <t>TR227TE37WHT</t>
  </si>
  <si>
    <t>TR227TE37</t>
  </si>
  <si>
    <t>4TH OF JULY TEE</t>
  </si>
  <si>
    <t>TR227TE61RPP</t>
  </si>
  <si>
    <t>TR227TE61</t>
  </si>
  <si>
    <t>TRUE ANIMAL TEE</t>
  </si>
  <si>
    <t>RPP</t>
  </si>
  <si>
    <t>ROYAL PURPLE</t>
  </si>
  <si>
    <t>TR227TE62RBY</t>
  </si>
  <si>
    <t>TR227TE62</t>
  </si>
  <si>
    <t>ROCK SAFARI TEE</t>
  </si>
  <si>
    <t>TR23671074</t>
  </si>
  <si>
    <t>TR2367</t>
  </si>
  <si>
    <t>UK CORE LOGO BASEBALL CAP</t>
  </si>
  <si>
    <t>BLACK / SILVER</t>
  </si>
  <si>
    <t>TR23673196</t>
  </si>
  <si>
    <t>MILITARY/BLACK</t>
  </si>
  <si>
    <t>TR23674100</t>
  </si>
  <si>
    <t>TRUE NAVY/ROSE GOLD</t>
  </si>
  <si>
    <t>TR2367BKG</t>
  </si>
  <si>
    <t>BLACK/GOLD</t>
  </si>
  <si>
    <t>TR317ST07BBYL</t>
  </si>
  <si>
    <t>TR317ST07B</t>
  </si>
  <si>
    <t>STRIPED TEE BOX SET</t>
  </si>
  <si>
    <t>TR327ST33BWHT</t>
  </si>
  <si>
    <t>TR327ST33B</t>
  </si>
  <si>
    <t>3 PC ONESIE BOX SET</t>
  </si>
  <si>
    <t>B TANKS</t>
  </si>
  <si>
    <t>DOLMAN TEE BOXED SET</t>
  </si>
  <si>
    <t>3PC OVERALL BOX SET</t>
  </si>
  <si>
    <t>TR427ST30BWHT</t>
  </si>
  <si>
    <t>TR427ST30B</t>
  </si>
  <si>
    <t>TR427ST31BSFK</t>
  </si>
  <si>
    <t>TR427ST31B</t>
  </si>
  <si>
    <t>HOODY PANT SET</t>
  </si>
  <si>
    <t>TR617SH17FRD1</t>
  </si>
  <si>
    <t>TR617SH17</t>
  </si>
  <si>
    <t>FRD1</t>
  </si>
  <si>
    <t>SN</t>
  </si>
  <si>
    <t>SENEGAL</t>
  </si>
  <si>
    <t>TR617SK06IND</t>
  </si>
  <si>
    <t>TR617SK06</t>
  </si>
  <si>
    <t>TR617SK07HGY</t>
  </si>
  <si>
    <t>TR617SK07</t>
  </si>
  <si>
    <t>TR617SP45FIA</t>
  </si>
  <si>
    <t>TR617SP45</t>
  </si>
  <si>
    <t>BRANDED SWEATPANT</t>
  </si>
  <si>
    <t>TR617SP45OAH</t>
  </si>
  <si>
    <t>TR617TE26MHG</t>
  </si>
  <si>
    <t>TR617TE26</t>
  </si>
  <si>
    <t>TR627DR06IND</t>
  </si>
  <si>
    <t>TR627DR06</t>
  </si>
  <si>
    <t>TR627JN73PRY1</t>
  </si>
  <si>
    <t>TR627JN73</t>
  </si>
  <si>
    <t>CASEY SUPER T SKINNY</t>
  </si>
  <si>
    <t>PRY1</t>
  </si>
  <si>
    <t>PRY1 PERRY</t>
  </si>
  <si>
    <t>TR627KS10HGY</t>
  </si>
  <si>
    <t>TR627KS10</t>
  </si>
  <si>
    <t>TR627SH59PRY1</t>
  </si>
  <si>
    <t>TR627SH59</t>
  </si>
  <si>
    <t>TR627SH61PEB</t>
  </si>
  <si>
    <t>TR627SH61</t>
  </si>
  <si>
    <t>HIGH WAISTED SHORT</t>
  </si>
  <si>
    <t>PEB</t>
  </si>
  <si>
    <t>PEB PEBBLE</t>
  </si>
  <si>
    <t>TR627SH62UWS1</t>
  </si>
  <si>
    <t>TR627SH62</t>
  </si>
  <si>
    <t>BOYFRIEND SUPER T SHORT</t>
  </si>
  <si>
    <t>UWS1</t>
  </si>
  <si>
    <t>UWS1 USED WASH</t>
  </si>
  <si>
    <t>TR627SH63WHT</t>
  </si>
  <si>
    <t>TR627SH63</t>
  </si>
  <si>
    <t>AUDREY STRIPED SHORT</t>
  </si>
  <si>
    <t>TR627SH65SAY</t>
  </si>
  <si>
    <t>TR627SH65</t>
  </si>
  <si>
    <t>PATCHED SHORT</t>
  </si>
  <si>
    <t>SAY</t>
  </si>
  <si>
    <t>SAY SAILAWAY</t>
  </si>
  <si>
    <t>TR627SH66CIR</t>
  </si>
  <si>
    <t>TR627SH66</t>
  </si>
  <si>
    <t>RAW EDGE SHORT</t>
  </si>
  <si>
    <t>CIR</t>
  </si>
  <si>
    <t>CIR CIRCUIT</t>
  </si>
  <si>
    <t>TR627SH67MGL</t>
  </si>
  <si>
    <t>TR627SH67</t>
  </si>
  <si>
    <t>PRINTED PKT SHORT</t>
  </si>
  <si>
    <t>MGL</t>
  </si>
  <si>
    <t>MGL MORNING GLORY</t>
  </si>
  <si>
    <t>TR627SH69PCE</t>
  </si>
  <si>
    <t>TR627SH69</t>
  </si>
  <si>
    <t>BOYFRIEND OVERALL</t>
  </si>
  <si>
    <t>PCE</t>
  </si>
  <si>
    <t>PCE PEACE</t>
  </si>
  <si>
    <t>TR627SK18WHT</t>
  </si>
  <si>
    <t>TR627SK18</t>
  </si>
  <si>
    <t>TR627SK19MED</t>
  </si>
  <si>
    <t>TR627SK19</t>
  </si>
  <si>
    <t>WOVEN TIE COLLAR SHIRT</t>
  </si>
  <si>
    <t>MED</t>
  </si>
  <si>
    <t>MED MEDIAM</t>
  </si>
  <si>
    <t>TR627SK20WHT</t>
  </si>
  <si>
    <t>TR627SK20</t>
  </si>
  <si>
    <t>EMBROIDERED DRAPE TANK</t>
  </si>
  <si>
    <t>TR627SK22FIA</t>
  </si>
  <si>
    <t>TR627SK22</t>
  </si>
  <si>
    <t>TR627SK22HGY</t>
  </si>
  <si>
    <t>TR627SK25FIA</t>
  </si>
  <si>
    <t>TR627SK25</t>
  </si>
  <si>
    <t>CROCHET SLEEVE TEE</t>
  </si>
  <si>
    <t>TR627SK25JAD</t>
  </si>
  <si>
    <t>JAD</t>
  </si>
  <si>
    <t>JAD JADE</t>
  </si>
  <si>
    <t>TR627SK26WHT</t>
  </si>
  <si>
    <t>TR627SK26</t>
  </si>
  <si>
    <t>SPONGE FLOWER TANK</t>
  </si>
  <si>
    <t>TR627SK27HGY</t>
  </si>
  <si>
    <t>TR627SK27</t>
  </si>
  <si>
    <t>GIRLS FOOTBALL TEE</t>
  </si>
  <si>
    <t>TR627SK27WHT</t>
  </si>
  <si>
    <t>TR627SK29WHT</t>
  </si>
  <si>
    <t>TR627SK29</t>
  </si>
  <si>
    <t>PATCHED TEE</t>
  </si>
  <si>
    <t>TR627SK30HGY</t>
  </si>
  <si>
    <t>TR627SK30</t>
  </si>
  <si>
    <t>TR646HD34FIA</t>
  </si>
  <si>
    <t>TR646HD34</t>
  </si>
  <si>
    <t>BRANDED HOODIE</t>
  </si>
  <si>
    <t>TR646HD34OAH</t>
  </si>
  <si>
    <t>TR646JN206FIA</t>
  </si>
  <si>
    <t>TR646JN206</t>
  </si>
  <si>
    <t>TR646TE176FIA</t>
  </si>
  <si>
    <t>TR646TE176</t>
  </si>
  <si>
    <t>TR646TE176WHT</t>
  </si>
  <si>
    <t>TR717HD03BLK</t>
  </si>
  <si>
    <t>TR717HD03</t>
  </si>
  <si>
    <t>MARLED FRENCH HOODIE</t>
  </si>
  <si>
    <t>TR717JN04CSP</t>
  </si>
  <si>
    <t>TR717JN04</t>
  </si>
  <si>
    <t>TONY JEAN</t>
  </si>
  <si>
    <t>CSP</t>
  </si>
  <si>
    <t>CASPER</t>
  </si>
  <si>
    <t>TR717JN56BIW</t>
  </si>
  <si>
    <t>TR717JN56</t>
  </si>
  <si>
    <t>BIW</t>
  </si>
  <si>
    <t>BRITE BLUE WASH</t>
  </si>
  <si>
    <t>TR717SH06WDR</t>
  </si>
  <si>
    <t>WDR</t>
  </si>
  <si>
    <t>TR717SP12BLK</t>
  </si>
  <si>
    <t>TR717SP12</t>
  </si>
  <si>
    <t>MARLED SWEATPANT</t>
  </si>
  <si>
    <t>TR717TE09WLU</t>
  </si>
  <si>
    <t>TR717TE09</t>
  </si>
  <si>
    <t>TONAL LOGO TEE</t>
  </si>
  <si>
    <t>WLU</t>
  </si>
  <si>
    <t>TR717TE13WLU</t>
  </si>
  <si>
    <t>TR717TE179BLK</t>
  </si>
  <si>
    <t>TR717TE179</t>
  </si>
  <si>
    <t>GOLD BUDDHA LOGO TEE</t>
  </si>
  <si>
    <t>TR717TE179BRR1</t>
  </si>
  <si>
    <t>TR717TE179WHT</t>
  </si>
  <si>
    <t>TR717TE183WHT</t>
  </si>
  <si>
    <t>TR717TE183</t>
  </si>
  <si>
    <t>TR SHADOW TEE</t>
  </si>
  <si>
    <t>TR727HD13BRU</t>
  </si>
  <si>
    <t>TR727HD13</t>
  </si>
  <si>
    <t>RETRO PATCH HOODY</t>
  </si>
  <si>
    <t>TR727HD14HGY</t>
  </si>
  <si>
    <t>TR727HD14</t>
  </si>
  <si>
    <t>COLORBLOCK HOOKUP</t>
  </si>
  <si>
    <t>TR727JK10HNW</t>
  </si>
  <si>
    <t>TR727JK10</t>
  </si>
  <si>
    <t>VARSITY DENIM JACKET</t>
  </si>
  <si>
    <t>HNW</t>
  </si>
  <si>
    <t>HNW HENDRIX</t>
  </si>
  <si>
    <t>B OUTERWEAR</t>
  </si>
  <si>
    <t>TR727JN154BAI</t>
  </si>
  <si>
    <t>TR727JN154</t>
  </si>
  <si>
    <t>BAI</t>
  </si>
  <si>
    <t>BLACK LIGHT</t>
  </si>
  <si>
    <t>TR727JN68RSI</t>
  </si>
  <si>
    <t>TR727JN68</t>
  </si>
  <si>
    <t>RSI</t>
  </si>
  <si>
    <t>RSI RUSTIC INDIGO</t>
  </si>
  <si>
    <t>TR727JN72HGO</t>
  </si>
  <si>
    <t>TR727JN72</t>
  </si>
  <si>
    <t>HGO</t>
  </si>
  <si>
    <t>HGO HIGH ROAD</t>
  </si>
  <si>
    <t>TR727JN83SUS</t>
  </si>
  <si>
    <t>TR727JN83</t>
  </si>
  <si>
    <t>SUS</t>
  </si>
  <si>
    <t>SUS SUNWASH</t>
  </si>
  <si>
    <t>TR727JN84NVY</t>
  </si>
  <si>
    <t>TR727JN84</t>
  </si>
  <si>
    <t>TR727JN87WKR1</t>
  </si>
  <si>
    <t>TR727JN87</t>
  </si>
  <si>
    <t>WKR1</t>
  </si>
  <si>
    <t>WKR 1WORKER WASH</t>
  </si>
  <si>
    <t>TR727JN88RSI</t>
  </si>
  <si>
    <t>TR727JN88</t>
  </si>
  <si>
    <t>TONY JEAN SINGLE END</t>
  </si>
  <si>
    <t>TR727KS07BRU</t>
  </si>
  <si>
    <t>TR727KS07</t>
  </si>
  <si>
    <t>RETRO PATCH SHORT</t>
  </si>
  <si>
    <t>TR727KS08HGY</t>
  </si>
  <si>
    <t>TR727KS08</t>
  </si>
  <si>
    <t>ROLLED UP SHORT</t>
  </si>
  <si>
    <t>TR727KS11REW</t>
  </si>
  <si>
    <t>TR727KS11</t>
  </si>
  <si>
    <t>FRENCH TERRY SHORT</t>
  </si>
  <si>
    <t>REW</t>
  </si>
  <si>
    <t>REW REX WASH</t>
  </si>
  <si>
    <t>TR727LW07CBY</t>
  </si>
  <si>
    <t>TR727LW07</t>
  </si>
  <si>
    <t>TR PATCH WOVEN</t>
  </si>
  <si>
    <t>TR727SH45RSI</t>
  </si>
  <si>
    <t>TR727SH45</t>
  </si>
  <si>
    <t>GENO SINGLE END SHORT</t>
  </si>
  <si>
    <t>TR727SH50CVW</t>
  </si>
  <si>
    <t>TR727SH50</t>
  </si>
  <si>
    <t>CVW</t>
  </si>
  <si>
    <t>CVW CANVAS</t>
  </si>
  <si>
    <t>TR727SH51UWS1</t>
  </si>
  <si>
    <t>TR727SH51</t>
  </si>
  <si>
    <t>TR727SH54IOM</t>
  </si>
  <si>
    <t>TR727SH54</t>
  </si>
  <si>
    <t>IOM</t>
  </si>
  <si>
    <t>IOM INDIGO MIX</t>
  </si>
  <si>
    <t>TR727SH55BHM</t>
  </si>
  <si>
    <t>TR727SH55</t>
  </si>
  <si>
    <t>BHM</t>
  </si>
  <si>
    <t>BHM BEACH BUM</t>
  </si>
  <si>
    <t>TR727SH58RKW</t>
  </si>
  <si>
    <t>TR727SH58</t>
  </si>
  <si>
    <t>GENO MOTO SHORT</t>
  </si>
  <si>
    <t>RKW</t>
  </si>
  <si>
    <t>RKW ROCKIT WASH</t>
  </si>
  <si>
    <t>TR727SK16IND</t>
  </si>
  <si>
    <t>TR727SK16</t>
  </si>
  <si>
    <t>TR727SK17HGY</t>
  </si>
  <si>
    <t>TR727SK17</t>
  </si>
  <si>
    <t>PATCH TANK</t>
  </si>
  <si>
    <t>TR727SW02WHT</t>
  </si>
  <si>
    <t>TR727SW02</t>
  </si>
  <si>
    <t>02 AMERICAN WOVEN</t>
  </si>
  <si>
    <t>TR727SW04CBY</t>
  </si>
  <si>
    <t>TR727SW04</t>
  </si>
  <si>
    <t>TR727TE49BRR1</t>
  </si>
  <si>
    <t>TR727TE49</t>
  </si>
  <si>
    <t>TR727TE49WHT</t>
  </si>
  <si>
    <t>TR727TE50IND</t>
  </si>
  <si>
    <t>TR727TE50</t>
  </si>
  <si>
    <t>INDIGO AMERICAN TEE</t>
  </si>
  <si>
    <t>TR727TE51BRU</t>
  </si>
  <si>
    <t>TR727TE51</t>
  </si>
  <si>
    <t>TR TIGER TEE</t>
  </si>
  <si>
    <t>TR727TE51WHT</t>
  </si>
  <si>
    <t>TR727TE52WHT</t>
  </si>
  <si>
    <t>TR727TE52</t>
  </si>
  <si>
    <t>TR727TE53HGY</t>
  </si>
  <si>
    <t>TR727TE53</t>
  </si>
  <si>
    <t>INDIGO WASH STRIPE TEE</t>
  </si>
  <si>
    <t>TR727TE54WHT</t>
  </si>
  <si>
    <t>TR727TE54</t>
  </si>
  <si>
    <t>TR CITY TEE</t>
  </si>
  <si>
    <t>TR727TE55IND</t>
  </si>
  <si>
    <t>TR727TE55</t>
  </si>
  <si>
    <t>BLUE PRINTED TEE</t>
  </si>
  <si>
    <t>TR727TE56MDN</t>
  </si>
  <si>
    <t>TR727TE56</t>
  </si>
  <si>
    <t>GEO FLAG TEE</t>
  </si>
  <si>
    <t>TR727TE56WHT</t>
  </si>
  <si>
    <t>TR727TE57HGY</t>
  </si>
  <si>
    <t>TR727TE57</t>
  </si>
  <si>
    <t>SS BUTTON RAGLAN</t>
  </si>
  <si>
    <t>TR727TE57WHT</t>
  </si>
  <si>
    <t>TR727TE58HGY</t>
  </si>
  <si>
    <t>TR727TE58</t>
  </si>
  <si>
    <t>DOODLE TEE</t>
  </si>
  <si>
    <t>TR727TE59HGY</t>
  </si>
  <si>
    <t>TR727TE59</t>
  </si>
  <si>
    <t>BLOCKED TR TEE</t>
  </si>
  <si>
    <t>TR746TE181BYL</t>
  </si>
  <si>
    <t>TR817SH17FRD1</t>
  </si>
  <si>
    <t>TR817SH17</t>
  </si>
  <si>
    <t>TR817SP45FIA</t>
  </si>
  <si>
    <t>TR817SP45</t>
  </si>
  <si>
    <t>TR817SP45OAH</t>
  </si>
  <si>
    <t>TR827JN73PRY1</t>
  </si>
  <si>
    <t>TR827JN73</t>
  </si>
  <si>
    <t>TR827KS10HGY</t>
  </si>
  <si>
    <t>TR827KS10</t>
  </si>
  <si>
    <t>TR827SH59PRY1</t>
  </si>
  <si>
    <t>TR827SH59</t>
  </si>
  <si>
    <t>TR827SH61PEB</t>
  </si>
  <si>
    <t>TR827SH61</t>
  </si>
  <si>
    <t>TR827SH62UWS1</t>
  </si>
  <si>
    <t>TR827SH62</t>
  </si>
  <si>
    <t>TR827SH65SAY</t>
  </si>
  <si>
    <t>TR827SH65</t>
  </si>
  <si>
    <t>TR827SH66CIR</t>
  </si>
  <si>
    <t>TR827SH66</t>
  </si>
  <si>
    <t>TR827SH67MGL</t>
  </si>
  <si>
    <t>TR827SH67</t>
  </si>
  <si>
    <t>TR827SH69PCE</t>
  </si>
  <si>
    <t>TR827SH69</t>
  </si>
  <si>
    <t>TR827SK18WHT</t>
  </si>
  <si>
    <t>TR827SK18</t>
  </si>
  <si>
    <t>TR827SK19MED</t>
  </si>
  <si>
    <t>TR827SK19</t>
  </si>
  <si>
    <t>TR827SK20WHT</t>
  </si>
  <si>
    <t>TR827SK20</t>
  </si>
  <si>
    <t>EMBROIDED DRAPE TANK</t>
  </si>
  <si>
    <t>TR827SK22FIA</t>
  </si>
  <si>
    <t>TR827SK22</t>
  </si>
  <si>
    <t>TR827SK22HGY</t>
  </si>
  <si>
    <t>TR827SK25FIA</t>
  </si>
  <si>
    <t>TR827SK25</t>
  </si>
  <si>
    <t>TR827SK25JAD</t>
  </si>
  <si>
    <t>TR827SK26WHT</t>
  </si>
  <si>
    <t>TR827SK26</t>
  </si>
  <si>
    <t>TR827SK27HGY</t>
  </si>
  <si>
    <t>TR827SK27</t>
  </si>
  <si>
    <t>TR827SK27WHT</t>
  </si>
  <si>
    <t>TR827SK29WHT</t>
  </si>
  <si>
    <t>TR827SK29</t>
  </si>
  <si>
    <t>TR827SK30HGY</t>
  </si>
  <si>
    <t>TR827SK30</t>
  </si>
  <si>
    <t>TR846HD34FIA</t>
  </si>
  <si>
    <t>TR846HD34</t>
  </si>
  <si>
    <t>TR846HD34OAH</t>
  </si>
  <si>
    <t>TR846JN206FIA</t>
  </si>
  <si>
    <t>TR846JN206</t>
  </si>
  <si>
    <t>TR846TE176FIA</t>
  </si>
  <si>
    <t>TR846TE176</t>
  </si>
  <si>
    <t>TR846TE176WHT</t>
  </si>
  <si>
    <t>TR846TE178WHT</t>
  </si>
  <si>
    <t>TR917HD03BLK</t>
  </si>
  <si>
    <t>TR917HD03</t>
  </si>
  <si>
    <t>TR917JN04CSP</t>
  </si>
  <si>
    <t>TR917JN04</t>
  </si>
  <si>
    <t>TR917JN56BIW</t>
  </si>
  <si>
    <t>TR917JN56</t>
  </si>
  <si>
    <t>TR917SH06WDR</t>
  </si>
  <si>
    <t>TR917SP12BLK</t>
  </si>
  <si>
    <t>TR917SP12</t>
  </si>
  <si>
    <t>TR917TE09WLU</t>
  </si>
  <si>
    <t>TR917TE09</t>
  </si>
  <si>
    <t>TR917TE13WLU</t>
  </si>
  <si>
    <t>TR917TE179BLK</t>
  </si>
  <si>
    <t>TR917TE179</t>
  </si>
  <si>
    <t>TR917TE179BRR1</t>
  </si>
  <si>
    <t>TR917TE179WHT</t>
  </si>
  <si>
    <t>TR917TE183WHT</t>
  </si>
  <si>
    <t>TR917TE183</t>
  </si>
  <si>
    <t>TR927HD13BRU</t>
  </si>
  <si>
    <t>TR927HD13</t>
  </si>
  <si>
    <t>TR927HD14HGY</t>
  </si>
  <si>
    <t>TR927HD14</t>
  </si>
  <si>
    <t>TR927JK10HNW</t>
  </si>
  <si>
    <t>TR927JK10</t>
  </si>
  <si>
    <t>TR927JN154BAI</t>
  </si>
  <si>
    <t>TR927JN154</t>
  </si>
  <si>
    <t>TR927JN68RSI</t>
  </si>
  <si>
    <t>TR927JN68</t>
  </si>
  <si>
    <t>TR927JN72HGO</t>
  </si>
  <si>
    <t>TR927JN72</t>
  </si>
  <si>
    <t>TR927JN83SUS</t>
  </si>
  <si>
    <t>TR927JN83</t>
  </si>
  <si>
    <t>TR927JN84NVY</t>
  </si>
  <si>
    <t>TR927JN84</t>
  </si>
  <si>
    <t>TR927JN87WKR1</t>
  </si>
  <si>
    <t>TR927JN87</t>
  </si>
  <si>
    <t>TR927JN88RSI</t>
  </si>
  <si>
    <t>TR927JN88</t>
  </si>
  <si>
    <t>TR927KS07BRU</t>
  </si>
  <si>
    <t>TR927KS07</t>
  </si>
  <si>
    <t>TR927KS08HGY</t>
  </si>
  <si>
    <t>TR927KS08</t>
  </si>
  <si>
    <t>TR927KS11REW</t>
  </si>
  <si>
    <t>TR927KS11</t>
  </si>
  <si>
    <t>TR927LW07CBY</t>
  </si>
  <si>
    <t>TR927LW07</t>
  </si>
  <si>
    <t>TR927SH51UWS1</t>
  </si>
  <si>
    <t>TR927SH51</t>
  </si>
  <si>
    <t>TR927SH54IOM</t>
  </si>
  <si>
    <t>TR927SH54</t>
  </si>
  <si>
    <t>TR927SH55BHM</t>
  </si>
  <si>
    <t>TR927SH55</t>
  </si>
  <si>
    <t>TR927SH58RKW</t>
  </si>
  <si>
    <t>TR927SH58</t>
  </si>
  <si>
    <t>TR927SW04CBY</t>
  </si>
  <si>
    <t>TR927SW04</t>
  </si>
  <si>
    <t>TR927TE49BRR1</t>
  </si>
  <si>
    <t>TR927TE49</t>
  </si>
  <si>
    <t>TR927TE49WHT</t>
  </si>
  <si>
    <t>TR927TE50IND</t>
  </si>
  <si>
    <t>TR927TE50</t>
  </si>
  <si>
    <t>TR927TE51BRU</t>
  </si>
  <si>
    <t>TR927TE51</t>
  </si>
  <si>
    <t>TR927TE51WHT</t>
  </si>
  <si>
    <t>TR927TE52WHT</t>
  </si>
  <si>
    <t>TR927TE52</t>
  </si>
  <si>
    <t>HAPPY TR TEE</t>
  </si>
  <si>
    <t>TR927TE55IND</t>
  </si>
  <si>
    <t>TR927TE55</t>
  </si>
  <si>
    <t>TR927TE56MDN</t>
  </si>
  <si>
    <t>TR927TE56</t>
  </si>
  <si>
    <t>TR927TE56WHT</t>
  </si>
  <si>
    <t>TR927TE57HGY</t>
  </si>
  <si>
    <t>TR927TE57</t>
  </si>
  <si>
    <t>TR927TE57WHT</t>
  </si>
  <si>
    <t>TR927TE58HGY</t>
  </si>
  <si>
    <t>TR927TE58</t>
  </si>
  <si>
    <t>TR927TE59HGY</t>
  </si>
  <si>
    <t>TR927TE59</t>
  </si>
  <si>
    <t>TR946TE181BYL</t>
  </si>
  <si>
    <t>TRBCHTOWL4143</t>
  </si>
  <si>
    <t>TRBCHTOWL</t>
  </si>
  <si>
    <t>TR BUDDHA CIRCULAR BEACH TOWEL</t>
  </si>
  <si>
    <t>TRCLRBOK019602</t>
  </si>
  <si>
    <t>TRCLRBOK01</t>
  </si>
  <si>
    <t>TR COLORING BOOK</t>
  </si>
  <si>
    <t>B GWP</t>
  </si>
  <si>
    <t>M EYEWEAR</t>
  </si>
  <si>
    <t>JP</t>
  </si>
  <si>
    <t>JAPAN</t>
  </si>
  <si>
    <t>TRHD0144143</t>
  </si>
  <si>
    <t>TRHD014</t>
  </si>
  <si>
    <t>OVERSIZED TIE DYE DENIM TOTE</t>
  </si>
  <si>
    <t>TRMB0052000</t>
  </si>
  <si>
    <t>TRMB0093071</t>
  </si>
  <si>
    <t>TRMB009</t>
  </si>
  <si>
    <t>MENS CAMO BELT</t>
  </si>
  <si>
    <t>TRMB0121001</t>
  </si>
  <si>
    <t>TRMB012</t>
  </si>
  <si>
    <t>BELT W TRUE RLGN ON BUCKLE</t>
  </si>
  <si>
    <t>TRMUND0031001</t>
  </si>
  <si>
    <t>TRMUND003</t>
  </si>
  <si>
    <t>2 PACKS BANDANA UNDERWEAR BOX</t>
  </si>
  <si>
    <t>TRMUND0034100</t>
  </si>
  <si>
    <t>TRMUND0036064</t>
  </si>
  <si>
    <t>TRMUND0041767</t>
  </si>
  <si>
    <t>TRMUND004</t>
  </si>
  <si>
    <t>WHITE / GREY</t>
  </si>
  <si>
    <t>TRPENCIL019602</t>
  </si>
  <si>
    <t>TRPENCIL01</t>
  </si>
  <si>
    <t>TR PENCIL CASE</t>
  </si>
  <si>
    <t>TRSHOE0034193</t>
  </si>
  <si>
    <t>TRSHOE003</t>
  </si>
  <si>
    <t>TR SLIDE SHOE</t>
  </si>
  <si>
    <t>NAVY/WHITE</t>
  </si>
  <si>
    <t>TRSHOE003BKG</t>
  </si>
  <si>
    <t>TRSHOE003CAM</t>
  </si>
  <si>
    <t>CAMO PRINT/BLACK</t>
  </si>
  <si>
    <t>W SHORTS</t>
  </si>
  <si>
    <t>W SKIRT</t>
  </si>
  <si>
    <t>W16SD11X1G4001</t>
  </si>
  <si>
    <t>W16SD13X2G1001</t>
  </si>
  <si>
    <t>W16SD16X8G03</t>
  </si>
  <si>
    <t>W17FB58A7G1370</t>
  </si>
  <si>
    <t>W17FB58A7G</t>
  </si>
  <si>
    <t>BLOUSE TRUE LOVE</t>
  </si>
  <si>
    <t>W17FB62A7G6003</t>
  </si>
  <si>
    <t>W17FB62A7G</t>
  </si>
  <si>
    <t>FLAP POCKET BLOUSE LEO</t>
  </si>
  <si>
    <t>W17FB68E9G4646</t>
  </si>
  <si>
    <t>W17FB68E9G</t>
  </si>
  <si>
    <t>WESTERN BLOUSE</t>
  </si>
  <si>
    <t>W17FD01N1G4117</t>
  </si>
  <si>
    <t>W17FD01N1G</t>
  </si>
  <si>
    <t>CULOTTE GLORYBLUE</t>
  </si>
  <si>
    <t>GLORY BLUE</t>
  </si>
  <si>
    <t>W17FD03L5G1071</t>
  </si>
  <si>
    <t>W17FD03L5G</t>
  </si>
  <si>
    <t>HALLE DUSK BLACK DENIM</t>
  </si>
  <si>
    <t>DUSK BLACK</t>
  </si>
  <si>
    <t>W17FD05X6G4125</t>
  </si>
  <si>
    <t>W17FD05X6G</t>
  </si>
  <si>
    <t>HALLE BROKEN TWILL BLUE DENIM</t>
  </si>
  <si>
    <t>W17FD06C1G4646</t>
  </si>
  <si>
    <t>W17FD06C1G</t>
  </si>
  <si>
    <t>HALLE MODFIT BLUE DENIM</t>
  </si>
  <si>
    <t>W17FD12L7G1001</t>
  </si>
  <si>
    <t>W17FD12L7G</t>
  </si>
  <si>
    <t>CARGO READY TO DYE</t>
  </si>
  <si>
    <t>W17FD12L7G3106</t>
  </si>
  <si>
    <t>W17FD13L8G1001</t>
  </si>
  <si>
    <t>W17FD13L8G</t>
  </si>
  <si>
    <t>JEGGING BLACK DENIM</t>
  </si>
  <si>
    <t>W17FD14L9G4646</t>
  </si>
  <si>
    <t>W17FD14L9G</t>
  </si>
  <si>
    <t>JEGGING BLUE DENIM</t>
  </si>
  <si>
    <t>W17FD16X6G4125</t>
  </si>
  <si>
    <t>W17FD16X6G</t>
  </si>
  <si>
    <t>CORA BROKEN TWILL BLUE DENIM</t>
  </si>
  <si>
    <t>W17FD17L1G4646</t>
  </si>
  <si>
    <t>W17FD17L1G</t>
  </si>
  <si>
    <t>DENIM JACKET BLUE DENIM</t>
  </si>
  <si>
    <t>W17FD55X6G4125</t>
  </si>
  <si>
    <t>W17FD55X6G</t>
  </si>
  <si>
    <t>W17FD66C1G4646</t>
  </si>
  <si>
    <t>W17FD66C1G</t>
  </si>
  <si>
    <t>HALLE MODFIT BLUE DENIM LONG</t>
  </si>
  <si>
    <t>W17FF01F2G1001</t>
  </si>
  <si>
    <t>W17FF01F2G</t>
  </si>
  <si>
    <t>W17FF02F2G1001</t>
  </si>
  <si>
    <t>W17FF02F2G</t>
  </si>
  <si>
    <t>HOODED JKT FLOWER</t>
  </si>
  <si>
    <t>W17FF12C7G1001</t>
  </si>
  <si>
    <t>W17FF12C7G</t>
  </si>
  <si>
    <t>CREW SWEAT ARTWORK MIX</t>
  </si>
  <si>
    <t>W17FF12C7G6000</t>
  </si>
  <si>
    <t>W17FF15M5G1377</t>
  </si>
  <si>
    <t>W17FF15M5G</t>
  </si>
  <si>
    <t>HOODED JKT BATIK</t>
  </si>
  <si>
    <t>W17FF15M5G4269</t>
  </si>
  <si>
    <t>W17FF18K2G1001</t>
  </si>
  <si>
    <t>W17FF18K2G</t>
  </si>
  <si>
    <t>TRAINING JACKET</t>
  </si>
  <si>
    <t>W17FF18K2G1377</t>
  </si>
  <si>
    <t>W17FF19K2G1001</t>
  </si>
  <si>
    <t>W17FF19K2G</t>
  </si>
  <si>
    <t>HOODED JKT BLACK</t>
  </si>
  <si>
    <t>W17FF19K2G2639</t>
  </si>
  <si>
    <t>W17FF19K2G4000</t>
  </si>
  <si>
    <t>W17FF20K2G1001</t>
  </si>
  <si>
    <t>W17FF20K2G</t>
  </si>
  <si>
    <t>LEGGING</t>
  </si>
  <si>
    <t>W17FF20K2G4000</t>
  </si>
  <si>
    <t>W17FF21K2G2639</t>
  </si>
  <si>
    <t>W17FF21K2G</t>
  </si>
  <si>
    <t>RELAX SWEAT</t>
  </si>
  <si>
    <t>W17FF21K2G4000</t>
  </si>
  <si>
    <t>W17FF23K2G1001</t>
  </si>
  <si>
    <t>W17FF23K2G</t>
  </si>
  <si>
    <t>PONCHO JACKET</t>
  </si>
  <si>
    <t>W17FF23K2G2639</t>
  </si>
  <si>
    <t>W17FF51F8G1001</t>
  </si>
  <si>
    <t>W17FF51F8G</t>
  </si>
  <si>
    <t>OVERSIZED HOODY SNAKE BLUE</t>
  </si>
  <si>
    <t>W17FF51F8G1285</t>
  </si>
  <si>
    <t>W17FF71C9G1001</t>
  </si>
  <si>
    <t>W17FF71C9G</t>
  </si>
  <si>
    <t>DOUBLEFACE BLOUSON</t>
  </si>
  <si>
    <t>W17FF71F8G4015</t>
  </si>
  <si>
    <t>W17FF71F8G</t>
  </si>
  <si>
    <t>OVERSIZED HOODY TIGER</t>
  </si>
  <si>
    <t>MOONBEAM</t>
  </si>
  <si>
    <t>W17FJ01C5G1106</t>
  </si>
  <si>
    <t>W17FJ01C5G</t>
  </si>
  <si>
    <t>PADDED BOMBER</t>
  </si>
  <si>
    <t>W17FJ01C5G3122</t>
  </si>
  <si>
    <t>W17FJ06D1G1106</t>
  </si>
  <si>
    <t>W17FJ06D1G</t>
  </si>
  <si>
    <t>LEATHER JKT EAGLE</t>
  </si>
  <si>
    <t>W17FJ09F2G3122</t>
  </si>
  <si>
    <t>W17FJ09F2G</t>
  </si>
  <si>
    <t>VOCUHILA JKT</t>
  </si>
  <si>
    <t>W17FJ11F3G1106</t>
  </si>
  <si>
    <t>W17FJ11F3G</t>
  </si>
  <si>
    <t>FAKE FUR BOMBER</t>
  </si>
  <si>
    <t>W17FJ12F3G4015</t>
  </si>
  <si>
    <t>W17FJ12F3G</t>
  </si>
  <si>
    <t>FAKE FUR FUNNEL BUDDHA JKT</t>
  </si>
  <si>
    <t>W17FJ15D9G1106</t>
  </si>
  <si>
    <t>W17FJ15D9G</t>
  </si>
  <si>
    <t>LEO BOMBER</t>
  </si>
  <si>
    <t>W17FJ15D9G3122</t>
  </si>
  <si>
    <t>W17FJ16F4G3518</t>
  </si>
  <si>
    <t>W17FJ16F4G</t>
  </si>
  <si>
    <t>BOYFRIEND DOWN JKT</t>
  </si>
  <si>
    <t>W17FJ16F4G4015</t>
  </si>
  <si>
    <t>W17FJ27G1G3547</t>
  </si>
  <si>
    <t>W17FJ27G1G</t>
  </si>
  <si>
    <t>DOWN JKT CAMOUFLAGE</t>
  </si>
  <si>
    <t>W17FJ32G3G1506</t>
  </si>
  <si>
    <t>W17FJ32G3G</t>
  </si>
  <si>
    <t>SILVER METALLIC</t>
  </si>
  <si>
    <t>W17FK03N2G1001</t>
  </si>
  <si>
    <t>W17FK03N2G</t>
  </si>
  <si>
    <t>SUPER DESTROY PULLOVER</t>
  </si>
  <si>
    <t>W17FK03N2G1278</t>
  </si>
  <si>
    <t>W17FK03N2G1700</t>
  </si>
  <si>
    <t>OFFWHITE</t>
  </si>
  <si>
    <t>W17FK05G8G1001</t>
  </si>
  <si>
    <t>W17FK05G8G</t>
  </si>
  <si>
    <t>HOODY ZIPPERS</t>
  </si>
  <si>
    <t>W17FK05N2G1278</t>
  </si>
  <si>
    <t>W17FK05N2G</t>
  </si>
  <si>
    <t>VNECK PULLOVER DESTROYED</t>
  </si>
  <si>
    <t>W17FK05N2G4000</t>
  </si>
  <si>
    <t>W17FK06N2G1001</t>
  </si>
  <si>
    <t>W17FK06N2G</t>
  </si>
  <si>
    <t>ROLLNECK DESTROYED</t>
  </si>
  <si>
    <t>W17FK06N2G1278</t>
  </si>
  <si>
    <t>W17FM07C4G1378</t>
  </si>
  <si>
    <t>W17FM07C4G</t>
  </si>
  <si>
    <t>OVERSIZED TRENCH COAT</t>
  </si>
  <si>
    <t>W17FM08F1G4926</t>
  </si>
  <si>
    <t>W17FM08F1G</t>
  </si>
  <si>
    <t>CURLY COAT</t>
  </si>
  <si>
    <t>W17FP13F3G1106</t>
  </si>
  <si>
    <t>W17FP13F3G</t>
  </si>
  <si>
    <t>FAKE FUR LONG BOMBER</t>
  </si>
  <si>
    <t>W17FP13F3G4015</t>
  </si>
  <si>
    <t>W17FP17F4G1106</t>
  </si>
  <si>
    <t>W17FP17F4G</t>
  </si>
  <si>
    <t>DOWN PARKA</t>
  </si>
  <si>
    <t>W17FT13B9G1700</t>
  </si>
  <si>
    <t>W17FT13B9G</t>
  </si>
  <si>
    <t>RELAX TEE ARTWORK MIX</t>
  </si>
  <si>
    <t>W17FT13B9G3106</t>
  </si>
  <si>
    <t>W17FT13B9G6000</t>
  </si>
  <si>
    <t>W17FT24B9G1001</t>
  </si>
  <si>
    <t>W17FT24B9G</t>
  </si>
  <si>
    <t>CREW SHIRT RHINESTONES FLOWER</t>
  </si>
  <si>
    <t>W17FT70M2G1377</t>
  </si>
  <si>
    <t>W17FT70M2G</t>
  </si>
  <si>
    <t>BATIK BUTTONFLY LS</t>
  </si>
  <si>
    <t>W17FT70M2G4269</t>
  </si>
  <si>
    <t>W17FT74E8G4015</t>
  </si>
  <si>
    <t>W17FT74E8G</t>
  </si>
  <si>
    <t>LS TIGER</t>
  </si>
  <si>
    <t>W17FT75E8G1001</t>
  </si>
  <si>
    <t>W17FT75E8G</t>
  </si>
  <si>
    <t>LS BLUE SNAKE</t>
  </si>
  <si>
    <t>W17FT76E8G1001</t>
  </si>
  <si>
    <t>W17FT76E8G</t>
  </si>
  <si>
    <t>T SHIRT CACTUS</t>
  </si>
  <si>
    <t>W17FT76G2G1001</t>
  </si>
  <si>
    <t>W17FT76G2G</t>
  </si>
  <si>
    <t>HORSESHOE RHINESTONES LS</t>
  </si>
  <si>
    <t>W17SF51C7G1001</t>
  </si>
  <si>
    <t>W17SF51C7G</t>
  </si>
  <si>
    <t>FLEECE PANT UNI</t>
  </si>
  <si>
    <t>W17SF52C7G1001</t>
  </si>
  <si>
    <t>W17SF52C7G</t>
  </si>
  <si>
    <t>CREW SWEATER UNI</t>
  </si>
  <si>
    <t>W17ST60B9G1100</t>
  </si>
  <si>
    <t>W17UB07A7G1700</t>
  </si>
  <si>
    <t>W17UB07A7G</t>
  </si>
  <si>
    <t>BLOUSE</t>
  </si>
  <si>
    <t>W17UB13E9G4646</t>
  </si>
  <si>
    <t>W17UB13E9G</t>
  </si>
  <si>
    <t>TENCEL BLOUSE</t>
  </si>
  <si>
    <t>W17UB17A7G1001</t>
  </si>
  <si>
    <t>W17UB17A7G</t>
  </si>
  <si>
    <t>HAWAI CARMEN BLOUSE</t>
  </si>
  <si>
    <t>W17UB19A7G1001</t>
  </si>
  <si>
    <t>W17UB19A7G</t>
  </si>
  <si>
    <t>ONE SHOULDER HAWAI BLOUSE</t>
  </si>
  <si>
    <t>W17UB21A7G2709</t>
  </si>
  <si>
    <t>W17UB21A7G</t>
  </si>
  <si>
    <t>LACE SHIRT HAWAIIAN VINTAGE</t>
  </si>
  <si>
    <t>W17UB25A7G1370</t>
  </si>
  <si>
    <t>W17UB25A7G</t>
  </si>
  <si>
    <t>ONE SHOULDER TOP VENICE BEACH</t>
  </si>
  <si>
    <t>W17UB26A9G4626</t>
  </si>
  <si>
    <t>W17UB26A9G</t>
  </si>
  <si>
    <t>CARMEN BLOUSE</t>
  </si>
  <si>
    <t>W17UD07A3G1800</t>
  </si>
  <si>
    <t>W17UD07A3G</t>
  </si>
  <si>
    <t>HALLE STUDS OPTICWHITE</t>
  </si>
  <si>
    <t>W17UD11G1G1001</t>
  </si>
  <si>
    <t>W17UD11G1G</t>
  </si>
  <si>
    <t>HALLE SUPERSTRETCH BLACK DENIM</t>
  </si>
  <si>
    <t>W17UD12E9G4646</t>
  </si>
  <si>
    <t>W17UD12E9G</t>
  </si>
  <si>
    <t>TENCEL DRESS</t>
  </si>
  <si>
    <t>W17UD13E1G4003</t>
  </si>
  <si>
    <t>W17UD13E1G</t>
  </si>
  <si>
    <t>LIV COBALT BLUE</t>
  </si>
  <si>
    <t>W17UD14A9G1200</t>
  </si>
  <si>
    <t>W17UD14A9G</t>
  </si>
  <si>
    <t>HALLE STUDS GREY DENIM</t>
  </si>
  <si>
    <t>W17UD14E9G4646</t>
  </si>
  <si>
    <t>W17UD14E9G</t>
  </si>
  <si>
    <t>W17UD15E9G4646</t>
  </si>
  <si>
    <t>W17UD15E9G</t>
  </si>
  <si>
    <t>TENCEL JUMPER</t>
  </si>
  <si>
    <t>W17UD40D1G4000</t>
  </si>
  <si>
    <t>W17UD40D1G</t>
  </si>
  <si>
    <t>HALLE CORAL BLUE DENIM</t>
  </si>
  <si>
    <t>W17UD44C1G4000</t>
  </si>
  <si>
    <t>W17UD44C1G</t>
  </si>
  <si>
    <t>HALLE SUPERSTRETCH BLUE DENIM</t>
  </si>
  <si>
    <t>W17UF02D2G1700</t>
  </si>
  <si>
    <t>W17UF02D2G</t>
  </si>
  <si>
    <t>SWEATER BUTTERFLY SKULL</t>
  </si>
  <si>
    <t>W17UF02D2G4644</t>
  </si>
  <si>
    <t>W17UF02F2G1106</t>
  </si>
  <si>
    <t>W17UF02F2G</t>
  </si>
  <si>
    <t>HOODED ZIP JKT DESTROY</t>
  </si>
  <si>
    <t>W17UF02F2G1278</t>
  </si>
  <si>
    <t>W17UF03F2G1106</t>
  </si>
  <si>
    <t>W17UF03F2G</t>
  </si>
  <si>
    <t>DESTROYED RELAX PANT</t>
  </si>
  <si>
    <t>W17UF03F2G1278</t>
  </si>
  <si>
    <t>W17UF05D2G1369</t>
  </si>
  <si>
    <t>W17UF05D2G</t>
  </si>
  <si>
    <t>SWEATER GUITAR</t>
  </si>
  <si>
    <t>W17UF05D2G1700</t>
  </si>
  <si>
    <t>W17UF07K2G1106</t>
  </si>
  <si>
    <t>W17UF07K2G</t>
  </si>
  <si>
    <t>W17UF07K2G1285</t>
  </si>
  <si>
    <t>W17UF07K2G1700</t>
  </si>
  <si>
    <t>W17UF07K2G3190</t>
  </si>
  <si>
    <t>W17UF09K2G1106</t>
  </si>
  <si>
    <t>W17UF09K2G</t>
  </si>
  <si>
    <t>W17UF09K2G1285</t>
  </si>
  <si>
    <t>W17UF09K2G1700</t>
  </si>
  <si>
    <t>W17UF11K2G1106</t>
  </si>
  <si>
    <t>W17UF11K2G</t>
  </si>
  <si>
    <t>W17UF11K2G1700</t>
  </si>
  <si>
    <t>W17UF11K2G3190</t>
  </si>
  <si>
    <t>W17UF12K2G1106</t>
  </si>
  <si>
    <t>W17UF12K2G</t>
  </si>
  <si>
    <t>CREW SWEAT ALL METAL</t>
  </si>
  <si>
    <t>W17UF12K2G1700</t>
  </si>
  <si>
    <t>W17UF13K2G1106</t>
  </si>
  <si>
    <t>W17UF13K2G</t>
  </si>
  <si>
    <t>W17UF13K2G1285</t>
  </si>
  <si>
    <t>W17UF13K2G1700</t>
  </si>
  <si>
    <t>W17UF13K2G3190</t>
  </si>
  <si>
    <t>W17UF13K2G4025</t>
  </si>
  <si>
    <t>W17UF22H5G1106</t>
  </si>
  <si>
    <t>W17UF22H5G</t>
  </si>
  <si>
    <t>W17UF22H5G1700</t>
  </si>
  <si>
    <t>W17UF89K2G1106</t>
  </si>
  <si>
    <t>W17UF89K2G</t>
  </si>
  <si>
    <t>LEGGING ALL METAL HORSESHOE</t>
  </si>
  <si>
    <t>W17UF89K2G1285</t>
  </si>
  <si>
    <t>W17UF89K2G1700</t>
  </si>
  <si>
    <t>W17UF89K2G3190</t>
  </si>
  <si>
    <t>W17UF89K2G4025</t>
  </si>
  <si>
    <t>W17UF92K2G1106</t>
  </si>
  <si>
    <t>W17UF92K2G</t>
  </si>
  <si>
    <t>CREW SWEAT WITH LONG ZIPPER</t>
  </si>
  <si>
    <t>W17UF92K2G1285</t>
  </si>
  <si>
    <t>W17UF92K2G1700</t>
  </si>
  <si>
    <t>W17UF92K2G3190</t>
  </si>
  <si>
    <t>W17UF92K2G4025</t>
  </si>
  <si>
    <t>W17US09A7G4504</t>
  </si>
  <si>
    <t>W17US09A7G</t>
  </si>
  <si>
    <t>BLOUSE TOP CACTUS</t>
  </si>
  <si>
    <t>FADED BLUE</t>
  </si>
  <si>
    <t>W17UT01E8G1700</t>
  </si>
  <si>
    <t>W17UT01E8G</t>
  </si>
  <si>
    <t>BUTTERFLY SKULL</t>
  </si>
  <si>
    <t>W17UT01E8G4644</t>
  </si>
  <si>
    <t>W17UT03E8G1700</t>
  </si>
  <si>
    <t>W17UT03E8G</t>
  </si>
  <si>
    <t>LS BUTTERFLY SKULL</t>
  </si>
  <si>
    <t>W17UT04E8G1369</t>
  </si>
  <si>
    <t>W17UT04E8G</t>
  </si>
  <si>
    <t>GUITAR SHIRT</t>
  </si>
  <si>
    <t>W17UT04E8G1700</t>
  </si>
  <si>
    <t>W17UT18K3G1106</t>
  </si>
  <si>
    <t>W17UT18K3G</t>
  </si>
  <si>
    <t>CREW SHIRT PIGMENT DYED</t>
  </si>
  <si>
    <t>W17UT18K3G1700</t>
  </si>
  <si>
    <t>W17UT18K3G3190</t>
  </si>
  <si>
    <t>W17UT18K3G6807</t>
  </si>
  <si>
    <t>W17UT21C9G1106</t>
  </si>
  <si>
    <t>W17UT21C9G</t>
  </si>
  <si>
    <t>COLLAR SHIRT ARTWORK</t>
  </si>
  <si>
    <t>W17UT21C9G1700</t>
  </si>
  <si>
    <t>W17UT21C9G3501</t>
  </si>
  <si>
    <t>W17UT21C9G6474</t>
  </si>
  <si>
    <t>W17UT24C9G1106</t>
  </si>
  <si>
    <t>W17UT24C9G</t>
  </si>
  <si>
    <t>V NECK BURNOUT</t>
  </si>
  <si>
    <t>W17UT24C9G1700</t>
  </si>
  <si>
    <t>W17UT25C9G1106</t>
  </si>
  <si>
    <t>W17UT25C9G</t>
  </si>
  <si>
    <t>BOYFRIEND CREW SHIRT</t>
  </si>
  <si>
    <t>W17UT25C9G1700</t>
  </si>
  <si>
    <t>W17UT25C9G4025</t>
  </si>
  <si>
    <t>W17UT30G2G1106</t>
  </si>
  <si>
    <t>W17UT30G2G</t>
  </si>
  <si>
    <t>W17UT33E7G1106</t>
  </si>
  <si>
    <t>W17UT33E7G</t>
  </si>
  <si>
    <t>SCOOP T SHIRT CAMO</t>
  </si>
  <si>
    <t>W17UT55E7G1106</t>
  </si>
  <si>
    <t>W17UT55E7G</t>
  </si>
  <si>
    <t>LS HORSESHOE CAMO</t>
  </si>
  <si>
    <t>WB092XC71DBIM</t>
  </si>
  <si>
    <t>WB092XC71</t>
  </si>
  <si>
    <t>W UNDERWEAR</t>
  </si>
  <si>
    <t>WBG4143YY71700</t>
  </si>
  <si>
    <t>WBG4143YY7</t>
  </si>
  <si>
    <t>KNIT GEORGIA W CRYSTAL LOGO</t>
  </si>
  <si>
    <t>WBG4143YY74100</t>
  </si>
  <si>
    <t>WBG8129EOY1700</t>
  </si>
  <si>
    <t>WBG8129EOY</t>
  </si>
  <si>
    <t>MELISSA HOODIE</t>
  </si>
  <si>
    <t>WBG8130EOZ1700</t>
  </si>
  <si>
    <t>WBG8130EOZ</t>
  </si>
  <si>
    <t>RUNNER SHORTS</t>
  </si>
  <si>
    <t>WBH1061ERF1700</t>
  </si>
  <si>
    <t>WBH1061ERF</t>
  </si>
  <si>
    <t>CURVY SKINNY STRING SN</t>
  </si>
  <si>
    <t>WBH1061SQ7OPW</t>
  </si>
  <si>
    <t>WBH1061SQ7</t>
  </si>
  <si>
    <t>WBH1061XL81700</t>
  </si>
  <si>
    <t>WBH1061XL8</t>
  </si>
  <si>
    <t>CURVY SKINNY GRY ANVL SN CRYTL</t>
  </si>
  <si>
    <t>WBH1N96EUC1700</t>
  </si>
  <si>
    <t>WBH1N96EUC</t>
  </si>
  <si>
    <t>SUPER SKINNY W FLP LTGREY BIGT</t>
  </si>
  <si>
    <t>WBH1Z21ERG1700</t>
  </si>
  <si>
    <t>WBH1Z21ERG</t>
  </si>
  <si>
    <t>MIDCUTOFF SHRT FLP BIGT STRING</t>
  </si>
  <si>
    <t>WBS8124XL82SB</t>
  </si>
  <si>
    <t>WBS8124XL8</t>
  </si>
  <si>
    <t>HIGH RISE SPR SKNY GRY ANVL SN</t>
  </si>
  <si>
    <t>WBS9H124OMDMQD</t>
  </si>
  <si>
    <t>WBS9H124OM</t>
  </si>
  <si>
    <t>HIGH RISE SPR SKINNY OM SN</t>
  </si>
  <si>
    <t>WBT1052EUNECJL</t>
  </si>
  <si>
    <t>WBT1052EUN</t>
  </si>
  <si>
    <t>CURVY SKNY FLP OM BIGT BURG BT</t>
  </si>
  <si>
    <t>ECJL</t>
  </si>
  <si>
    <t>ECJL LIGHT MIST</t>
  </si>
  <si>
    <t>WBT3599STS3000</t>
  </si>
  <si>
    <t>WBT3599STS</t>
  </si>
  <si>
    <t>SKINNY FLP NAT SN</t>
  </si>
  <si>
    <t>WC490VG61001</t>
  </si>
  <si>
    <t>WC490VG6</t>
  </si>
  <si>
    <t>EMBELLISHED BF HOODIE</t>
  </si>
  <si>
    <t>WC586C1441700</t>
  </si>
  <si>
    <t>WC586C144</t>
  </si>
  <si>
    <t>CRAFTED W PRIDE V NECK</t>
  </si>
  <si>
    <t>WC586C1443301</t>
  </si>
  <si>
    <t>SUCCULENT</t>
  </si>
  <si>
    <t>WC795UB01CWCM</t>
  </si>
  <si>
    <t>WC795UB01</t>
  </si>
  <si>
    <t>WC811C1481001</t>
  </si>
  <si>
    <t>WC811C148</t>
  </si>
  <si>
    <t>EMBELLISHED BUDDHA CREW</t>
  </si>
  <si>
    <t>WC811C1481700</t>
  </si>
  <si>
    <t>WC811C1488365</t>
  </si>
  <si>
    <t>WC983C1461001</t>
  </si>
  <si>
    <t>WC983C146</t>
  </si>
  <si>
    <t>SKULL POCKET CREW</t>
  </si>
  <si>
    <t>WC983C1531001</t>
  </si>
  <si>
    <t>WC983C153</t>
  </si>
  <si>
    <t>DIZZY TOUR CREW</t>
  </si>
  <si>
    <t>WC983C1641001</t>
  </si>
  <si>
    <t>WC983C164</t>
  </si>
  <si>
    <t>IITD POCKET CREW W DISS</t>
  </si>
  <si>
    <t>WC983C2131704</t>
  </si>
  <si>
    <t>WC983C213</t>
  </si>
  <si>
    <t>WD00175C3268</t>
  </si>
  <si>
    <t>WD00175C</t>
  </si>
  <si>
    <t>WDA01230C1700</t>
  </si>
  <si>
    <t>WDA01230C</t>
  </si>
  <si>
    <t>DZJ ATLANTIS</t>
  </si>
  <si>
    <t>WDA012ZI6DZKL</t>
  </si>
  <si>
    <t>WDA012ZI6</t>
  </si>
  <si>
    <t>CASEY LOW  RISE SUPER SKINNY</t>
  </si>
  <si>
    <t>DZKL</t>
  </si>
  <si>
    <t>DZKL INDIGO ATLANTIS</t>
  </si>
  <si>
    <t>WDA09232DEDUD</t>
  </si>
  <si>
    <t>WDA09232D</t>
  </si>
  <si>
    <t>HALLE PRINTED PATCH</t>
  </si>
  <si>
    <t>WDA09234BEFBB</t>
  </si>
  <si>
    <t>WDA09234B</t>
  </si>
  <si>
    <t>HALLE PAINT SPLATTER</t>
  </si>
  <si>
    <t>EFBB</t>
  </si>
  <si>
    <t>EFBB SUPREME</t>
  </si>
  <si>
    <t>WDA09297DEFMD</t>
  </si>
  <si>
    <t>WDA09297D</t>
  </si>
  <si>
    <t>EFMD</t>
  </si>
  <si>
    <t>EFMD FADED NIGHT WASH</t>
  </si>
  <si>
    <t>WDA35898BEALD</t>
  </si>
  <si>
    <t>WDA35898B</t>
  </si>
  <si>
    <t>EALD</t>
  </si>
  <si>
    <t>EALD IN CADNCE D</t>
  </si>
  <si>
    <t>WDA57274EEFKD</t>
  </si>
  <si>
    <t>WDA57274E</t>
  </si>
  <si>
    <t>EFKD</t>
  </si>
  <si>
    <t>EFKD WANTED WOMAN</t>
  </si>
  <si>
    <t>WDA79513CDZFM</t>
  </si>
  <si>
    <t>WDA79513C</t>
  </si>
  <si>
    <t>JENNIE MID RISE CURVY SKINNY</t>
  </si>
  <si>
    <t>DZFM</t>
  </si>
  <si>
    <t>DZFM SUMMER NIGHTS</t>
  </si>
  <si>
    <t>WDA79551DEFID</t>
  </si>
  <si>
    <t>WDA79551D</t>
  </si>
  <si>
    <t>EFID</t>
  </si>
  <si>
    <t>EFID BELL BLUES</t>
  </si>
  <si>
    <t>WDA91331CDYVD</t>
  </si>
  <si>
    <t>WDA91331C</t>
  </si>
  <si>
    <t>DYVD</t>
  </si>
  <si>
    <t>DYVD INDIGO CADENCE</t>
  </si>
  <si>
    <t>WDAAB912GEGID</t>
  </si>
  <si>
    <t>WDAAB912G</t>
  </si>
  <si>
    <t>BILLIE MID RISE STRAIGHT</t>
  </si>
  <si>
    <t>EGID</t>
  </si>
  <si>
    <t>EGID INDIGO ORIGIN</t>
  </si>
  <si>
    <t>WDAAB952DEFTD</t>
  </si>
  <si>
    <t>WDAAB952D</t>
  </si>
  <si>
    <t>BILLIE STRAIGHT CABLE STITCH</t>
  </si>
  <si>
    <t>EFTD</t>
  </si>
  <si>
    <t>EFTD DARK BELL BLUES</t>
  </si>
  <si>
    <t>WDAAB999FEGEM</t>
  </si>
  <si>
    <t>WDAAB999F</t>
  </si>
  <si>
    <t>EGEM</t>
  </si>
  <si>
    <t>EGEM TRIED N TRUE BLUE</t>
  </si>
  <si>
    <t>WDAAN331B1DZNM</t>
  </si>
  <si>
    <t>WDAAN331B1</t>
  </si>
  <si>
    <t>LONG SLEEVE JUMPSUIT</t>
  </si>
  <si>
    <t>DZNM</t>
  </si>
  <si>
    <t>DZNM ARMY BRAT</t>
  </si>
  <si>
    <t>WDAAV110CDYAM</t>
  </si>
  <si>
    <t>WDAAV110C</t>
  </si>
  <si>
    <t>WDAAV111CDYWB</t>
  </si>
  <si>
    <t>WDAAV111C</t>
  </si>
  <si>
    <t>DYWB</t>
  </si>
  <si>
    <t>DYWB BLACK CASCADE</t>
  </si>
  <si>
    <t>WDAAV713CDZFM</t>
  </si>
  <si>
    <t>WDAAV713C</t>
  </si>
  <si>
    <t>BECCA MID RISE BOOTCUT CROP</t>
  </si>
  <si>
    <t>WDAAW119C1700</t>
  </si>
  <si>
    <t>WDAAW119C</t>
  </si>
  <si>
    <t>WDAAW131BDZIM</t>
  </si>
  <si>
    <t>WDAAW131B</t>
  </si>
  <si>
    <t>JENNIE CURVY EXPSD BUTTONFLY</t>
  </si>
  <si>
    <t>DZIM</t>
  </si>
  <si>
    <t>DZIM OJAI FIELDS</t>
  </si>
  <si>
    <t>WDAAW934CCUNL</t>
  </si>
  <si>
    <t>WDAAW934C</t>
  </si>
  <si>
    <t>WDAAX111GEGHD</t>
  </si>
  <si>
    <t>WDAAX111G</t>
  </si>
  <si>
    <t>EGHD</t>
  </si>
  <si>
    <t>EGHD EAST AUSTIN</t>
  </si>
  <si>
    <t>WDAAX112CDYXL</t>
  </si>
  <si>
    <t>WDAAX112C</t>
  </si>
  <si>
    <t>HALLE SKINNY SUPER T</t>
  </si>
  <si>
    <t>DYXL</t>
  </si>
  <si>
    <t>DYXL AQUARIUS BLUES</t>
  </si>
  <si>
    <t>WDAAX112CEGUL</t>
  </si>
  <si>
    <t>EGUL</t>
  </si>
  <si>
    <t>EGUL LIGHT AQUARIUS BLUES</t>
  </si>
  <si>
    <t>WDAAX114GEGKB</t>
  </si>
  <si>
    <t>WDAAX114G</t>
  </si>
  <si>
    <t>EGKB</t>
  </si>
  <si>
    <t>EGKB WAY BACK BLACK</t>
  </si>
  <si>
    <t>WDAAX137CDZMG</t>
  </si>
  <si>
    <t>WDAAX137C</t>
  </si>
  <si>
    <t>DZMG</t>
  </si>
  <si>
    <t>DZMG CRYSTAL COVE</t>
  </si>
  <si>
    <t>WDAAX139CDZOD</t>
  </si>
  <si>
    <t>WDAAX139C</t>
  </si>
  <si>
    <t>DZOD</t>
  </si>
  <si>
    <t>DZOD SUMMER SOLSTICE</t>
  </si>
  <si>
    <t>WDAAX173EEFLM</t>
  </si>
  <si>
    <t>WDAAX173E</t>
  </si>
  <si>
    <t>HALLE SUPER T</t>
  </si>
  <si>
    <t>EFLM</t>
  </si>
  <si>
    <t>EFLM TIMELESS BLUES</t>
  </si>
  <si>
    <t>WDAAX338CDZOD</t>
  </si>
  <si>
    <t>WDAAX338C</t>
  </si>
  <si>
    <t>WDAAX534BDZHM</t>
  </si>
  <si>
    <t>WDAAX534B</t>
  </si>
  <si>
    <t>DZHM</t>
  </si>
  <si>
    <t>DZHM DISTILLERY</t>
  </si>
  <si>
    <t>WDABA993CDYVD</t>
  </si>
  <si>
    <t>WDABA993C</t>
  </si>
  <si>
    <t>JENNY CURVY FLAP SUPER T</t>
  </si>
  <si>
    <t>WDABA994CDYVD</t>
  </si>
  <si>
    <t>WDABA994C</t>
  </si>
  <si>
    <t>WDABC114DDXLL</t>
  </si>
  <si>
    <t>WDABC114D</t>
  </si>
  <si>
    <t>EMBELISHED BOYFRIEND</t>
  </si>
  <si>
    <t>DXLL</t>
  </si>
  <si>
    <t>NEW CITY</t>
  </si>
  <si>
    <t>WDABP197CDZRM</t>
  </si>
  <si>
    <t>WDABP197C</t>
  </si>
  <si>
    <t>PRINTED LIV SLIM BOYFRIEND</t>
  </si>
  <si>
    <t>DZRM</t>
  </si>
  <si>
    <t>BLUE VALLEY</t>
  </si>
  <si>
    <t>WDABR319EDZUL</t>
  </si>
  <si>
    <t>WDABR319E</t>
  </si>
  <si>
    <t>CAMERON BOYFRIEND</t>
  </si>
  <si>
    <t>DZUL</t>
  </si>
  <si>
    <t>BAD GIRL</t>
  </si>
  <si>
    <t>WDABR319EEAMD</t>
  </si>
  <si>
    <t>EAMD</t>
  </si>
  <si>
    <t>EAMD CELESTIAL SKY</t>
  </si>
  <si>
    <t>WDABR334BDZHM</t>
  </si>
  <si>
    <t>WDABR334B</t>
  </si>
  <si>
    <t>CAMERON MID RISE BOYFRIEND</t>
  </si>
  <si>
    <t>WDABR337DEDVD</t>
  </si>
  <si>
    <t>WDABR337D</t>
  </si>
  <si>
    <t>CAMERON SLIM BOYFRIEND</t>
  </si>
  <si>
    <t>EDVD</t>
  </si>
  <si>
    <t>EDVD IMMORTAL OUTSIDER</t>
  </si>
  <si>
    <t>WDABR351BDYXL</t>
  </si>
  <si>
    <t>WDABR351B</t>
  </si>
  <si>
    <t>WDABT335DEFCM</t>
  </si>
  <si>
    <t>WDABT335D</t>
  </si>
  <si>
    <t>EFCM</t>
  </si>
  <si>
    <t>EFCM MENDED STREET</t>
  </si>
  <si>
    <t>WDABT570DEFJM</t>
  </si>
  <si>
    <t>WDABT570D</t>
  </si>
  <si>
    <t>CAMERON JACQUARD PATCH</t>
  </si>
  <si>
    <t>EFJM</t>
  </si>
  <si>
    <t>EFJM IMMORTAL BLUE</t>
  </si>
  <si>
    <t>WDABT771DEFWD</t>
  </si>
  <si>
    <t>WDABT771D</t>
  </si>
  <si>
    <t>EFWD</t>
  </si>
  <si>
    <t>EFWD MENDED METAL WASH</t>
  </si>
  <si>
    <t>WDABU719EEAOL</t>
  </si>
  <si>
    <t>WDABU719E</t>
  </si>
  <si>
    <t>EAOL</t>
  </si>
  <si>
    <t>EAOL AQUAHOLIC</t>
  </si>
  <si>
    <t>WDABU922EEAND</t>
  </si>
  <si>
    <t>WDABU922E</t>
  </si>
  <si>
    <t>HALLE MD RSE SPR SKNY LET STP</t>
  </si>
  <si>
    <t>EAND</t>
  </si>
  <si>
    <t>EAND STARRY NIGHT</t>
  </si>
  <si>
    <t>WDABU956EDEPL</t>
  </si>
  <si>
    <t>WDABU956E</t>
  </si>
  <si>
    <t>WDABV731EEBPM</t>
  </si>
  <si>
    <t>WDABV731E</t>
  </si>
  <si>
    <t>HISE RISE STOVEPIPE</t>
  </si>
  <si>
    <t>EBPM</t>
  </si>
  <si>
    <t>EBPM SAND SCULPTURE</t>
  </si>
  <si>
    <t>WDABV936EEBOL</t>
  </si>
  <si>
    <t>WDABV936E</t>
  </si>
  <si>
    <t>TWISTED SEAM JENNIE MD RS SKNY</t>
  </si>
  <si>
    <t>EBOL</t>
  </si>
  <si>
    <t>EBOL LT. SUMMER NIGHTS</t>
  </si>
  <si>
    <t>WDABV936EEBRD</t>
  </si>
  <si>
    <t>EBRD</t>
  </si>
  <si>
    <t>EBRD COBALT CRUSH</t>
  </si>
  <si>
    <t>WDABW135E1001</t>
  </si>
  <si>
    <t>WDABW135E</t>
  </si>
  <si>
    <t>CAMERON MILITARY ZIP</t>
  </si>
  <si>
    <t>DAU BLACK</t>
  </si>
  <si>
    <t>WDABW135E3071</t>
  </si>
  <si>
    <t>DAU OLIVE GREEN</t>
  </si>
  <si>
    <t>WDABW712EDOTL</t>
  </si>
  <si>
    <t>WDABW712E</t>
  </si>
  <si>
    <t>EMBELLISHED CAMERON</t>
  </si>
  <si>
    <t>WDACB571EEFFD</t>
  </si>
  <si>
    <t>WDACB571E</t>
  </si>
  <si>
    <t>HALLE CABLE STITCH</t>
  </si>
  <si>
    <t>EFFD</t>
  </si>
  <si>
    <t>EFFD EVERBLUE</t>
  </si>
  <si>
    <t>WDACB772EEFGM</t>
  </si>
  <si>
    <t>WDACB772E</t>
  </si>
  <si>
    <t>CAMERON SUPER T</t>
  </si>
  <si>
    <t>EFGM</t>
  </si>
  <si>
    <t>EFGM ENDLESS INDIGO</t>
  </si>
  <si>
    <t>WDACB975ECNP</t>
  </si>
  <si>
    <t>WDACB975E</t>
  </si>
  <si>
    <t>HIGH RISE SUPER SKINNY</t>
  </si>
  <si>
    <t>CNP</t>
  </si>
  <si>
    <t>CNP ENZYME RINSE</t>
  </si>
  <si>
    <t>WDACB976EEFPB</t>
  </si>
  <si>
    <t>WDACB976E</t>
  </si>
  <si>
    <t>EFPB</t>
  </si>
  <si>
    <t>EFPB TARNISHED BLACK</t>
  </si>
  <si>
    <t>WDACV117DEFAB</t>
  </si>
  <si>
    <t>WDACV117D</t>
  </si>
  <si>
    <t>CIGARETTE FREY</t>
  </si>
  <si>
    <t>EFAB</t>
  </si>
  <si>
    <t>EFAB ETERNAL GREY</t>
  </si>
  <si>
    <t>WDACV118DEEZD</t>
  </si>
  <si>
    <t>WDACV118D</t>
  </si>
  <si>
    <t>EEZD</t>
  </si>
  <si>
    <t>EEZD ETERNAL INDIGO</t>
  </si>
  <si>
    <t>WDADB111GEGHD</t>
  </si>
  <si>
    <t>WDADB111G</t>
  </si>
  <si>
    <t>WDADB114GEGKB</t>
  </si>
  <si>
    <t>WDADB114G</t>
  </si>
  <si>
    <t>WDADB510GEGGM</t>
  </si>
  <si>
    <t>WDADB510G</t>
  </si>
  <si>
    <t>BECCA MID RISE BOOTCUT  W FLAP</t>
  </si>
  <si>
    <t>EGGM</t>
  </si>
  <si>
    <t>EGGM LANDS END INDIGO</t>
  </si>
  <si>
    <t>WDADB513GEGJM</t>
  </si>
  <si>
    <t>WDADB513G</t>
  </si>
  <si>
    <t>EGJM</t>
  </si>
  <si>
    <t>EGJM MYSTIC BLUES</t>
  </si>
  <si>
    <t>WDADC930GEGQM</t>
  </si>
  <si>
    <t>WDADC930G</t>
  </si>
  <si>
    <t>RELAXED STRAIGHT</t>
  </si>
  <si>
    <t>EGQM</t>
  </si>
  <si>
    <t>EGQM MOONDANCE</t>
  </si>
  <si>
    <t>WDADD798DEFXB</t>
  </si>
  <si>
    <t>WDADD798D</t>
  </si>
  <si>
    <t>EFXB</t>
  </si>
  <si>
    <t>EFXB ROCK SOLID WASH</t>
  </si>
  <si>
    <t>WDADE152EEDQM</t>
  </si>
  <si>
    <t>WDADE152E</t>
  </si>
  <si>
    <t>CAMERON BOYFRIEND FLAP</t>
  </si>
  <si>
    <t>WDB09259EEASM</t>
  </si>
  <si>
    <t>WDB09259E</t>
  </si>
  <si>
    <t>EASM</t>
  </si>
  <si>
    <t>EASM BLUE LOVE</t>
  </si>
  <si>
    <t>WDB79570E7233</t>
  </si>
  <si>
    <t>WDB79570E</t>
  </si>
  <si>
    <t>WDB79570E9614</t>
  </si>
  <si>
    <t>DHX OX BLOOD</t>
  </si>
  <si>
    <t>WDBBZ751B1001</t>
  </si>
  <si>
    <t>WDBBZ751B</t>
  </si>
  <si>
    <t>HALLE CROPPED SKINNY LACED</t>
  </si>
  <si>
    <t>WDBDD978E1EFOB</t>
  </si>
  <si>
    <t>WDBDD978E1</t>
  </si>
  <si>
    <t>JENNIE CURVY SKINNY ANKLE ZIP</t>
  </si>
  <si>
    <t>EFOB</t>
  </si>
  <si>
    <t>EFOB OXIDIZED BLACK</t>
  </si>
  <si>
    <t>WDBDD979E1EETD</t>
  </si>
  <si>
    <t>WDBDD979E1</t>
  </si>
  <si>
    <t>WDCAW331BDZIM</t>
  </si>
  <si>
    <t>WDCAW331B</t>
  </si>
  <si>
    <t>JAYDE SHORT EXPSD BUTTONFLY</t>
  </si>
  <si>
    <t>WDCAY113CDZCL</t>
  </si>
  <si>
    <t>WDCAY113C</t>
  </si>
  <si>
    <t>KORI HIGH RISE CF SHORT</t>
  </si>
  <si>
    <t>DZCL</t>
  </si>
  <si>
    <t>DZCL LIGHT SPECTRUM</t>
  </si>
  <si>
    <t>WDCBB9CDDDRWL</t>
  </si>
  <si>
    <t>WDCBB9CDD</t>
  </si>
  <si>
    <t>WDCBR734BDZHM</t>
  </si>
  <si>
    <t>WDCBR734B</t>
  </si>
  <si>
    <t>JAYDE MID RISE CLASSIC SHORT</t>
  </si>
  <si>
    <t>WDCK1695B6500</t>
  </si>
  <si>
    <t>WDCK1695B</t>
  </si>
  <si>
    <t>KEIRA LOW RISE CUTOFF SHORT</t>
  </si>
  <si>
    <t>DZA URBN ASH ROSE</t>
  </si>
  <si>
    <t>WDEAW531BDZIM</t>
  </si>
  <si>
    <t>WDEAW531B</t>
  </si>
  <si>
    <t>MID RISE SKIRT EXPSD BUTTONFLY</t>
  </si>
  <si>
    <t>WDEBF794DEFHM</t>
  </si>
  <si>
    <t>WDEBF794D</t>
  </si>
  <si>
    <t>DECONSTRUCTED STEP HEM SKIRT</t>
  </si>
  <si>
    <t>EFHM</t>
  </si>
  <si>
    <t>EFHM BROKEN RECORD</t>
  </si>
  <si>
    <t>WDEBP519EDZUL</t>
  </si>
  <si>
    <t>WDEBP519E</t>
  </si>
  <si>
    <t>WDF88913CDZCL</t>
  </si>
  <si>
    <t>WDF88913C</t>
  </si>
  <si>
    <t>WDFAX958CDZGL</t>
  </si>
  <si>
    <t>WDFAX958C</t>
  </si>
  <si>
    <t>DZGL</t>
  </si>
  <si>
    <t>DZGL SEASPRAY</t>
  </si>
  <si>
    <t>WDFBZ831BDZNM</t>
  </si>
  <si>
    <t>WDFBZ831B</t>
  </si>
  <si>
    <t>WDQAT593BEAQM</t>
  </si>
  <si>
    <t>WDQAT593B</t>
  </si>
  <si>
    <t>DANNI SUNRISE JACKET</t>
  </si>
  <si>
    <t>EAQM</t>
  </si>
  <si>
    <t>EAQM ELEMENTS</t>
  </si>
  <si>
    <t>WDQAV532DEGTD</t>
  </si>
  <si>
    <t>WDQAV532D</t>
  </si>
  <si>
    <t>DESTROYED DANNI JACKET</t>
  </si>
  <si>
    <t>EGTD</t>
  </si>
  <si>
    <t>EGTD BACKSTAGE DESTROY</t>
  </si>
  <si>
    <t>WDQAV550DEFHM</t>
  </si>
  <si>
    <t>WDQAV550D</t>
  </si>
  <si>
    <t>JACKET LET OUT SEAMS</t>
  </si>
  <si>
    <t>WDQAV551BDYXL</t>
  </si>
  <si>
    <t>WDQAV551B</t>
  </si>
  <si>
    <t>DANNI JACKET</t>
  </si>
  <si>
    <t>WDQBC314DDXLL</t>
  </si>
  <si>
    <t>WDQBC314D</t>
  </si>
  <si>
    <t>WF005N0851700</t>
  </si>
  <si>
    <t>WF005N085</t>
  </si>
  <si>
    <t>DOODLE OPEN BACK</t>
  </si>
  <si>
    <t>EMMA MID RISE SHORT W FLAPS</t>
  </si>
  <si>
    <t>WF028VG61001</t>
  </si>
  <si>
    <t>WF028VG6</t>
  </si>
  <si>
    <t>WF089VG61001</t>
  </si>
  <si>
    <t>WF089VG6</t>
  </si>
  <si>
    <t>DISTRESSED EMB BF SWEATSHIRT</t>
  </si>
  <si>
    <t>WF089VG69614</t>
  </si>
  <si>
    <t>WNXH001YY71001</t>
  </si>
  <si>
    <t>WNXH001YY7</t>
  </si>
  <si>
    <t>ELONGATED GEORGIA CRYSTL LOGO</t>
  </si>
  <si>
    <t>SUPER SKINNY NATURALINE BIG T</t>
  </si>
  <si>
    <t>SUPER SKINNY WFLPS RED ORG SN</t>
  </si>
  <si>
    <t>WOHC100NBT2SB</t>
  </si>
  <si>
    <t>WOHC100NBT</t>
  </si>
  <si>
    <t>SLIM STRAIGHT W FLAP NAT BIG T</t>
  </si>
  <si>
    <t>WOK599SEYI2S</t>
  </si>
  <si>
    <t>WOK599SEYI</t>
  </si>
  <si>
    <t>SKINNY MDNIGHT SN STUD LOGO</t>
  </si>
  <si>
    <t>WOKA817ERR2S</t>
  </si>
  <si>
    <t>WOKA817ERR</t>
  </si>
  <si>
    <t>RLLD CAPRI FLP MID SN W CRYSTL</t>
  </si>
  <si>
    <t>WOKH124ERR2S</t>
  </si>
  <si>
    <t>WOKH124ERR</t>
  </si>
  <si>
    <t>HIRISE SPR SKNY MIDNT SN CRYS</t>
  </si>
  <si>
    <t>WOKH124OMDWED</t>
  </si>
  <si>
    <t>WOKH124OM</t>
  </si>
  <si>
    <t>DWED</t>
  </si>
  <si>
    <t>DARK SUMMER</t>
  </si>
  <si>
    <t>WOY592SERJDZZL</t>
  </si>
  <si>
    <t>WOY592SERJ</t>
  </si>
  <si>
    <t>SKINNY NAT BIGT RUBY RED BT</t>
  </si>
  <si>
    <t>DZZL</t>
  </si>
  <si>
    <t>BROKEN DAWN WITH RIPS</t>
  </si>
  <si>
    <t>WOY599SERKDWLL</t>
  </si>
  <si>
    <t>WOY599SERK</t>
  </si>
  <si>
    <t>SKINNY FLP STRING SUPER T</t>
  </si>
  <si>
    <t>DWLL</t>
  </si>
  <si>
    <t>DAWN LIGHT</t>
  </si>
  <si>
    <t>WOYD083KN9DLVM</t>
  </si>
  <si>
    <t>WOYD083KN9</t>
  </si>
  <si>
    <t>MIDCUTOFF SHRT FOSSIL SILK SN</t>
  </si>
  <si>
    <t>DLVM</t>
  </si>
  <si>
    <t>DLVM NRTHRN SHRE</t>
  </si>
  <si>
    <t>WOYH135TSDWLL</t>
  </si>
  <si>
    <t>WOYH135TS</t>
  </si>
  <si>
    <t>CURVY SHORT FLP NATURALINE SN</t>
  </si>
  <si>
    <t>WQQB131EQZ1501</t>
  </si>
  <si>
    <t>WQQB131EQZ</t>
  </si>
  <si>
    <t>PATCHES ZIP UP HOODIE</t>
  </si>
  <si>
    <t>WQQB131EQZ4100</t>
  </si>
  <si>
    <t>WQQB131EVM1001</t>
  </si>
  <si>
    <t>WQQB131EVM</t>
  </si>
  <si>
    <t>FOIL LOGO ZIP HOODIE</t>
  </si>
  <si>
    <t>WQQB131EVM4100</t>
  </si>
  <si>
    <t>WQQB131NH51001</t>
  </si>
  <si>
    <t>WQQB131NH5</t>
  </si>
  <si>
    <t>WQQB131NH52707</t>
  </si>
  <si>
    <t>HEATHERED OATMEAL</t>
  </si>
  <si>
    <t>WQQB131NH56003</t>
  </si>
  <si>
    <t>WQQB342ERA1501</t>
  </si>
  <si>
    <t>WQQB342ERA</t>
  </si>
  <si>
    <t>PATCHES JOGGER</t>
  </si>
  <si>
    <t>WQQB342ERA4100</t>
  </si>
  <si>
    <t>WQQH150EVX1001</t>
  </si>
  <si>
    <t>WQQH150EVX</t>
  </si>
  <si>
    <t>ZIPPERED JOGGER</t>
  </si>
  <si>
    <t>WQQH150EVX2707</t>
  </si>
  <si>
    <t>WSDAK3BF34143</t>
  </si>
  <si>
    <t>WSDAK3BF3</t>
  </si>
  <si>
    <t>INDIGO BLEACH SWEATPANT</t>
  </si>
  <si>
    <t>BLEACH INDIGO</t>
  </si>
  <si>
    <t>WSDAK6BE81001</t>
  </si>
  <si>
    <t>WSDAK6BE8</t>
  </si>
  <si>
    <t>SKINNY MOTO SWEATPANT</t>
  </si>
  <si>
    <t>WSDAK6BE91501</t>
  </si>
  <si>
    <t>WSDAK6BE9</t>
  </si>
  <si>
    <t>WSDBG3VG61001</t>
  </si>
  <si>
    <t>WSDBG3VG6</t>
  </si>
  <si>
    <t>DISTRESSED EMB SKINNY CROP</t>
  </si>
  <si>
    <t>WSDBG3VG69614</t>
  </si>
  <si>
    <t>WSFAY573C4143</t>
  </si>
  <si>
    <t>WSFAY573C</t>
  </si>
  <si>
    <t>LACE UP DRESS</t>
  </si>
  <si>
    <t>DK RINSE INDIGO</t>
  </si>
  <si>
    <t>WSFBH9BL81001</t>
  </si>
  <si>
    <t>WSFBH9BL8</t>
  </si>
  <si>
    <t>MOCK NECK DRESS</t>
  </si>
  <si>
    <t>WSFBH9BL89614</t>
  </si>
  <si>
    <t>WSFBM3BK21501</t>
  </si>
  <si>
    <t>WSFBM3BK2</t>
  </si>
  <si>
    <t>ACTIVE HOODIE DRESS</t>
  </si>
  <si>
    <t>WSGAJ711B4143</t>
  </si>
  <si>
    <t>WSGAJ711B</t>
  </si>
  <si>
    <t>LS STACKED HEM UTILITY</t>
  </si>
  <si>
    <t>WSGAK1BE44143</t>
  </si>
  <si>
    <t>WSGAK1BE4</t>
  </si>
  <si>
    <t>SL UTILITY DRESS</t>
  </si>
  <si>
    <t>WSGAU179A1700</t>
  </si>
  <si>
    <t>WSGAU179A</t>
  </si>
  <si>
    <t>BOXY STEP HEM TOP</t>
  </si>
  <si>
    <t>BLEACH WHITE</t>
  </si>
  <si>
    <t>WSGAU179A4143</t>
  </si>
  <si>
    <t>WSGAU391B4143</t>
  </si>
  <si>
    <t>WSGAU391B</t>
  </si>
  <si>
    <t>RAW HEM DENIM TANK</t>
  </si>
  <si>
    <t>WSGAU7BM21100</t>
  </si>
  <si>
    <t>WSGAU7BM2</t>
  </si>
  <si>
    <t>SLOUCHY V NECK</t>
  </si>
  <si>
    <t>WSGAU7BM21700</t>
  </si>
  <si>
    <t>WSGAU7BM23071</t>
  </si>
  <si>
    <t>BURNT OLIVE</t>
  </si>
  <si>
    <t>WSGAU7BM26084</t>
  </si>
  <si>
    <t>WSGAZ376C1700</t>
  </si>
  <si>
    <t>WSGAZ376C</t>
  </si>
  <si>
    <t>EMBELISHED OPEN BACK TOP</t>
  </si>
  <si>
    <t>WSGAZ979C1700</t>
  </si>
  <si>
    <t>WSGAZ979C</t>
  </si>
  <si>
    <t>OFF SHOULDER BUTTON UP</t>
  </si>
  <si>
    <t>WSGBG575A4143</t>
  </si>
  <si>
    <t>WSGBG575A</t>
  </si>
  <si>
    <t>LS RELAXED GEORGIA</t>
  </si>
  <si>
    <t>WSGBG791B4143</t>
  </si>
  <si>
    <t>WSGBG791B</t>
  </si>
  <si>
    <t>DISTRESSED RLAXED GEORGIA</t>
  </si>
  <si>
    <t>WSGBH5BL51001</t>
  </si>
  <si>
    <t>WSGBH5BL5</t>
  </si>
  <si>
    <t>SS GEORGETTE CREW</t>
  </si>
  <si>
    <t>WSGBH5BL53106</t>
  </si>
  <si>
    <t>WSGBQ572C1700</t>
  </si>
  <si>
    <t>WSGBQ572C</t>
  </si>
  <si>
    <t>HIGH LOW BUTTON UP</t>
  </si>
  <si>
    <t>WSGBQ572C3071</t>
  </si>
  <si>
    <t>WSGBX1C2054000</t>
  </si>
  <si>
    <t>WSGBX1C205</t>
  </si>
  <si>
    <t>MUSCLE W SLITS</t>
  </si>
  <si>
    <t>WSGBX9BS41001</t>
  </si>
  <si>
    <t>WSGBX9BS4</t>
  </si>
  <si>
    <t>VARSITY TULLE TOP</t>
  </si>
  <si>
    <t>WSHAY716E1100</t>
  </si>
  <si>
    <t>WSHAY716E</t>
  </si>
  <si>
    <t>STUDDED TANK</t>
  </si>
  <si>
    <t>WSHAY9BB31001</t>
  </si>
  <si>
    <t>WSHAY9BB3</t>
  </si>
  <si>
    <t>RAGLAN SHIRT DRESS</t>
  </si>
  <si>
    <t>WSHAY9BB31100</t>
  </si>
  <si>
    <t>WSHAY9BB31700</t>
  </si>
  <si>
    <t>WSHBH7BJ41501</t>
  </si>
  <si>
    <t>WSHBH7BJ4</t>
  </si>
  <si>
    <t>SS SEAMED CREW</t>
  </si>
  <si>
    <t>WSHBH7BM14143</t>
  </si>
  <si>
    <t>WSHBH7BM1</t>
  </si>
  <si>
    <t>WSHCA7BM61501</t>
  </si>
  <si>
    <t>WSHCA7BM6</t>
  </si>
  <si>
    <t>EMBELLISHED SPLATTER DEEP V</t>
  </si>
  <si>
    <t>WSHCA7C1691001</t>
  </si>
  <si>
    <t>WSHCA7C169</t>
  </si>
  <si>
    <t>WEB N ROSE DEEP V</t>
  </si>
  <si>
    <t>WSMAK5BE81001</t>
  </si>
  <si>
    <t>WSMAK5BE8</t>
  </si>
  <si>
    <t>WSMAK5BE91501</t>
  </si>
  <si>
    <t>WSMAK5BE9</t>
  </si>
  <si>
    <t>WSMAM9BF34143</t>
  </si>
  <si>
    <t>WSMAM9BF3</t>
  </si>
  <si>
    <t>INDIGO BLEACH HOODIE</t>
  </si>
  <si>
    <t>WSMAZ577C1703</t>
  </si>
  <si>
    <t>WSMAZ577C</t>
  </si>
  <si>
    <t>WSMBY3VG61001</t>
  </si>
  <si>
    <t>WSMBY3VG6</t>
  </si>
  <si>
    <t>LACE UP SLOUCHY SWEATSHIRT</t>
  </si>
  <si>
    <t>WSMBY3VG61501</t>
  </si>
  <si>
    <t>WSQBF9BH61001</t>
  </si>
  <si>
    <t>WSQBF9BH6</t>
  </si>
  <si>
    <t>WSQBJ5BH61001</t>
  </si>
  <si>
    <t>WSQBJ5BH6</t>
  </si>
  <si>
    <t>EMBELLISHED LEATHER JACKET</t>
  </si>
  <si>
    <t>WSQBJ7BJ64100</t>
  </si>
  <si>
    <t>WSQBJ7BJ6</t>
  </si>
  <si>
    <t>PATCHED BOMBER HOODIE</t>
  </si>
  <si>
    <t>INSIGNIA BLLUE</t>
  </si>
  <si>
    <t>WSRBG1BH71001</t>
  </si>
  <si>
    <t>WSRBG1BH7</t>
  </si>
  <si>
    <t>DISTRESSED CARDIGAN</t>
  </si>
  <si>
    <t>WSRBJ9BJ73504</t>
  </si>
  <si>
    <t>WSRBJ9BJ7</t>
  </si>
  <si>
    <t>BIKER TRENCH</t>
  </si>
  <si>
    <t>WSRBJ9BJ74240</t>
  </si>
  <si>
    <t>W OTHER</t>
  </si>
  <si>
    <t>WVEV02EOE4401</t>
  </si>
  <si>
    <t>WVEV02EOE</t>
  </si>
  <si>
    <t>CLASSIC GOLD BUDDHA TEE</t>
  </si>
  <si>
    <t>WVEV02EOK5146</t>
  </si>
  <si>
    <t>WVEV02EOK</t>
  </si>
  <si>
    <t>TRUE HORSESHOE SS ROUNDED V</t>
  </si>
  <si>
    <t>WVEV02EPK1001</t>
  </si>
  <si>
    <t>WVEV02EPK</t>
  </si>
  <si>
    <t>STUD BUDDHA CRADLE V NECK TEE</t>
  </si>
  <si>
    <t>WVEV02EPK6000</t>
  </si>
  <si>
    <t>HN</t>
  </si>
  <si>
    <t>HONDURAS</t>
  </si>
  <si>
    <t>WVEX19EOM1001</t>
  </si>
  <si>
    <t>WVEX19EOM</t>
  </si>
  <si>
    <t>TRUE BUDDHA RELIGION CREW</t>
  </si>
  <si>
    <t>WVEX19EOM1700</t>
  </si>
  <si>
    <t>WVEX19EPB1001</t>
  </si>
  <si>
    <t>WVEX19EPB</t>
  </si>
  <si>
    <t>AMERICANA HORSESHOE CREW</t>
  </si>
  <si>
    <t>WVEX19EPG1700</t>
  </si>
  <si>
    <t>WVEX19EPG</t>
  </si>
  <si>
    <t>CLASSIC AMERICAN FLAG CREW</t>
  </si>
  <si>
    <t>WVEX19EPJ4100</t>
  </si>
  <si>
    <t>WVEX19EPJ</t>
  </si>
  <si>
    <t>BUDDHA CRYSTAL SCRIPT CREW</t>
  </si>
  <si>
    <t>WVEX19EPJ8302</t>
  </si>
  <si>
    <t>CORAL</t>
  </si>
  <si>
    <t>WVEX19EUS1700</t>
  </si>
  <si>
    <t>WVEX19EUS</t>
  </si>
  <si>
    <t>CIRCLE CREST CREW NECK TEE</t>
  </si>
  <si>
    <t>WVEX19EUS4100</t>
  </si>
  <si>
    <t>WVEY33NH54531</t>
  </si>
  <si>
    <t>SKY</t>
  </si>
  <si>
    <t>WVEY33NH56003</t>
  </si>
  <si>
    <t>WVEY33NH56500</t>
  </si>
  <si>
    <t>WXHC100OMDWFM</t>
  </si>
  <si>
    <t>WXHC100OM</t>
  </si>
  <si>
    <t>DWFM</t>
  </si>
  <si>
    <t>SUMMER DREAM</t>
  </si>
  <si>
    <t>WXHG10KB5DWED</t>
  </si>
  <si>
    <t>WXHG10KB5</t>
  </si>
  <si>
    <t>CUTOFF SHRTS FLAP OM BIGT</t>
  </si>
  <si>
    <t>WXHH052ERODWFM</t>
  </si>
  <si>
    <t>WXHH052ERO</t>
  </si>
  <si>
    <t>CURVY SKINNY W FLAP BIGT</t>
  </si>
  <si>
    <t>WXHH138KB5DWED</t>
  </si>
  <si>
    <t>WXHH138KB5</t>
  </si>
  <si>
    <t>SUPER SKINNY ANKLE BIG T OM</t>
  </si>
  <si>
    <t>WXHN95TSDWGD</t>
  </si>
  <si>
    <t>WXHN95TS</t>
  </si>
  <si>
    <t>SUPER SKINNY NATURALINE SN</t>
  </si>
  <si>
    <t>DWGD</t>
  </si>
  <si>
    <t>BLUE LIGHT</t>
  </si>
  <si>
    <t>WXHN96ERNDWED</t>
  </si>
  <si>
    <t>WXHN96ERN</t>
  </si>
  <si>
    <t>SUPER SKINNY W FLAP SUPER T</t>
  </si>
  <si>
    <t>WY5592SEVRECCD</t>
  </si>
  <si>
    <t>WY5592SEVR</t>
  </si>
  <si>
    <t>SKNY ERTHWRM SUPERT RUBYRED BT</t>
  </si>
  <si>
    <t>ECCD</t>
  </si>
  <si>
    <t>ECCD NIGHT FOG</t>
  </si>
  <si>
    <t>WY5599SERYDLAM</t>
  </si>
  <si>
    <t>WY5599SERY</t>
  </si>
  <si>
    <t>SKINNY FLP BIGT NAT W RSWN BT</t>
  </si>
  <si>
    <t>WY5H052ERCDWHM</t>
  </si>
  <si>
    <t>WY5H052ERC</t>
  </si>
  <si>
    <t>DWHM</t>
  </si>
  <si>
    <t>HIDDEN ROAD</t>
  </si>
  <si>
    <t>WY5H052EUKEBTM</t>
  </si>
  <si>
    <t>WY5H052EUK</t>
  </si>
  <si>
    <t>CRVY SKNY FLP  NAT ST PINK BT</t>
  </si>
  <si>
    <t>EBTM</t>
  </si>
  <si>
    <t>EBTM SHALLOW BLUE</t>
  </si>
  <si>
    <t>WY5H106EREDWFM</t>
  </si>
  <si>
    <t>WY5H106ERE</t>
  </si>
  <si>
    <t>CRVY SKNY CPRI NAT SN STUDS</t>
  </si>
  <si>
    <t>WY5N95KN9DMQD</t>
  </si>
  <si>
    <t>WY5N95KN9</t>
  </si>
  <si>
    <t>SUPER SKINNY FOSSIL SILK SN</t>
  </si>
  <si>
    <t>WY5N96EMDWFM</t>
  </si>
  <si>
    <t>WY5N96EM</t>
  </si>
  <si>
    <t>SPR SKNY W FLP MIDNIGHT SN</t>
  </si>
  <si>
    <t>WYIB445MU31700</t>
  </si>
  <si>
    <t>WYIB445MU3</t>
  </si>
  <si>
    <t>GEORGIA SHIRT EMBROIDERED PKT</t>
  </si>
  <si>
    <t>WZA5G11EMJ1700</t>
  </si>
  <si>
    <t>WZA5G11EMJ</t>
  </si>
  <si>
    <t>CUTOFF SHRTS STRLNG SN STUD</t>
  </si>
  <si>
    <t>WZA5G11SQ71700</t>
  </si>
  <si>
    <t>WZA5G11SQ7</t>
  </si>
  <si>
    <t>YM644DB3071</t>
  </si>
  <si>
    <t>YM644DB</t>
  </si>
  <si>
    <t>MENS FOLD OVER DUFFLE BAG</t>
  </si>
  <si>
    <t>YM646BP3071</t>
  </si>
  <si>
    <t>YM646BP</t>
  </si>
  <si>
    <t>Intern.-Nr.</t>
  </si>
  <si>
    <t>Art.-Nr./EAN</t>
  </si>
  <si>
    <t>RETAIL</t>
  </si>
  <si>
    <t>4/M</t>
  </si>
  <si>
    <t>5/L</t>
  </si>
  <si>
    <t>6/XL</t>
  </si>
  <si>
    <t>7/XXL</t>
  </si>
  <si>
    <t>39-42</t>
  </si>
  <si>
    <t>43-46</t>
  </si>
  <si>
    <t>REPLAY [FASHION + ACCESSOIRES]</t>
  </si>
  <si>
    <t>A097</t>
  </si>
  <si>
    <t>X621</t>
  </si>
  <si>
    <t>X625</t>
  </si>
  <si>
    <t>X626</t>
  </si>
  <si>
    <t>X620</t>
  </si>
  <si>
    <t>A098</t>
  </si>
  <si>
    <t>X631</t>
  </si>
  <si>
    <t>X632</t>
  </si>
  <si>
    <t>X634</t>
  </si>
  <si>
    <t>X635</t>
  </si>
  <si>
    <t>A130</t>
  </si>
  <si>
    <t>X900</t>
  </si>
  <si>
    <t>X901</t>
  </si>
  <si>
    <t>X902</t>
  </si>
  <si>
    <t>A143</t>
  </si>
  <si>
    <t>X950</t>
  </si>
  <si>
    <t>X951</t>
  </si>
  <si>
    <t>X952</t>
  </si>
  <si>
    <t>X953</t>
  </si>
  <si>
    <t>X954</t>
  </si>
  <si>
    <t>A196</t>
  </si>
  <si>
    <t>A197</t>
  </si>
  <si>
    <t>X1373</t>
  </si>
  <si>
    <t>X1374</t>
  </si>
  <si>
    <t>X1375</t>
  </si>
  <si>
    <t xml:space="preserve">Replay T Shirt, C-Neck Model: X626 - Men, orange </t>
  </si>
  <si>
    <t xml:space="preserve">Replay T Shirt, C-Neck V2 Model: X631 - Men, navy </t>
  </si>
  <si>
    <t xml:space="preserve">Replay T Shirt, C-Neck Model: X621 - Men, dark blue </t>
  </si>
  <si>
    <t xml:space="preserve">Replay T Shirt, C-Neck Model: X625 - Men, blue </t>
  </si>
  <si>
    <t>Replay T Shirt, C-Neck V2 Model: X632 - Men, royalblue</t>
  </si>
  <si>
    <t>Replay T Shirt, C-Neck Model: X620 - Men, white</t>
  </si>
  <si>
    <t xml:space="preserve">Replay T Shirt, C-Neck V2 Model: X634 - Men, yellow </t>
  </si>
  <si>
    <t>Replay T Shirt, C-Neck V2 Model: X635 - Men, red</t>
  </si>
  <si>
    <t>A130 - Replay Towel  X900 - unisex, green</t>
  </si>
  <si>
    <t>A130 - Replay Towel  X901 - unisex, blue</t>
  </si>
  <si>
    <t>A130 - Replay Towel  X902 - unisex, red</t>
  </si>
  <si>
    <t xml:space="preserve">Replay Trunks Modell: X950 - Men, white </t>
  </si>
  <si>
    <t xml:space="preserve">Replay Trunks Modell: X951 - Men, navy </t>
  </si>
  <si>
    <t>Replay Trunks Modell: X952 - Men, black</t>
  </si>
  <si>
    <t xml:space="preserve">Replay Trunks Modell: X953 - Men, red </t>
  </si>
  <si>
    <t xml:space="preserve">Replay Trunks Modell: X954 - Men, blue </t>
  </si>
  <si>
    <t>Replay Trunks Modell: X1373 - Men, red</t>
  </si>
  <si>
    <t xml:space="preserve">Replay Trunks Modell: X1374 - Men, navy </t>
  </si>
  <si>
    <t xml:space="preserve">Replay Trunks Modell: X1375 - Men, turqouise </t>
  </si>
  <si>
    <t>TOT RETAIL</t>
  </si>
  <si>
    <t xml:space="preserve">TOT </t>
  </si>
  <si>
    <t xml:space="preserve">OFFERTA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</si>
</sst>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44" fontId="3" fillId="0" borderId="0" applyFont="0" applyFill="0" applyBorder="0" applyAlignment="0" applyProtection="0"/>
  </cellStyleXfs>
  <cellXfs count="26">
    <xf numFmtId="0" fontId="0" fillId="0" borderId="0" xfId="0"/>
    <xf numFmtId="0" fontId="1" fillId="0" borderId="0" xfId="0" applyFont="1"/>
    <xf numFmtId="4" fontId="0" fillId="0" borderId="0" xfId="0" applyNumberFormat="1"/>
    <xf numFmtId="0" fontId="0" fillId="0" borderId="1" xfId="0" applyBorder="1"/>
    <xf numFmtId="44" fontId="0" fillId="0" borderId="0" xfId="2" applyFont="1" applyFill="1"/>
    <xf numFmtId="0" fontId="0" fillId="0" borderId="0" xfId="0" applyBorder="1" applyAlignment="1">
      <alignment horizontal="left"/>
    </xf>
    <xf numFmtId="0" fontId="0" fillId="2" borderId="0" xfId="0" applyFill="1" applyBorder="1"/>
    <xf numFmtId="0" fontId="0" fillId="2" borderId="2" xfId="0" applyFill="1" applyBorder="1"/>
    <xf numFmtId="164" fontId="0" fillId="3" borderId="0" xfId="0" applyNumberFormat="1" applyFill="1"/>
    <xf numFmtId="0" fontId="0" fillId="0" borderId="0" xfId="0" applyFill="1"/>
    <xf numFmtId="0" fontId="0" fillId="0" borderId="1" xfId="0" applyBorder="1" applyAlignment="1">
      <alignment horizontal="left" vertical="center"/>
    </xf>
    <xf numFmtId="164" fontId="0" fillId="3" borderId="1" xfId="0" applyNumberFormat="1" applyFill="1" applyBorder="1" applyAlignment="1">
      <alignment horizontal="left" vertical="center"/>
    </xf>
    <xf numFmtId="1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Border="1"/>
    <xf numFmtId="0" fontId="0" fillId="4" borderId="0" xfId="0" applyFill="1" applyBorder="1" applyAlignment="1">
      <alignment horizontal="left"/>
    </xf>
    <xf numFmtId="164" fontId="0" fillId="4" borderId="0" xfId="2" applyNumberFormat="1" applyFont="1" applyFill="1" applyBorder="1" applyAlignment="1">
      <alignment horizontal="left"/>
    </xf>
    <xf numFmtId="44" fontId="0" fillId="4" borderId="0" xfId="2" applyFont="1" applyFill="1" applyBorder="1" applyAlignment="1">
      <alignment horizontal="left"/>
    </xf>
    <xf numFmtId="44" fontId="0" fillId="0" borderId="4" xfId="2" applyFont="1" applyFill="1" applyBorder="1" applyAlignment="1">
      <alignment horizontal="left" vertical="center"/>
    </xf>
    <xf numFmtId="44" fontId="0" fillId="0" borderId="1" xfId="0" applyNumberFormat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/>
    </xf>
    <xf numFmtId="0" fontId="0" fillId="4" borderId="5" xfId="0" applyFill="1" applyBorder="1"/>
    <xf numFmtId="44" fontId="0" fillId="5" borderId="4" xfId="2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</cellXfs>
  <cellStyles count="3">
    <cellStyle name="Currency" xfId="2" builtinId="4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2</xdr:row>
      <xdr:rowOff>76200</xdr:rowOff>
    </xdr:from>
    <xdr:to>
      <xdr:col>1</xdr:col>
      <xdr:colOff>1522984</xdr:colOff>
      <xdr:row>2</xdr:row>
      <xdr:rowOff>1600200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8000" y="18288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3</xdr:row>
      <xdr:rowOff>101600</xdr:rowOff>
    </xdr:from>
    <xdr:to>
      <xdr:col>1</xdr:col>
      <xdr:colOff>1586484</xdr:colOff>
      <xdr:row>4</xdr:row>
      <xdr:rowOff>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34798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4</xdr:row>
      <xdr:rowOff>50800</xdr:rowOff>
    </xdr:from>
    <xdr:to>
      <xdr:col>1</xdr:col>
      <xdr:colOff>1548384</xdr:colOff>
      <xdr:row>4</xdr:row>
      <xdr:rowOff>1574800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3400" y="50546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546100</xdr:colOff>
      <xdr:row>5</xdr:row>
      <xdr:rowOff>101600</xdr:rowOff>
    </xdr:from>
    <xdr:to>
      <xdr:col>1</xdr:col>
      <xdr:colOff>1561084</xdr:colOff>
      <xdr:row>6</xdr:row>
      <xdr:rowOff>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100" y="67310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584200</xdr:colOff>
      <xdr:row>7</xdr:row>
      <xdr:rowOff>88900</xdr:rowOff>
    </xdr:from>
    <xdr:to>
      <xdr:col>1</xdr:col>
      <xdr:colOff>1599184</xdr:colOff>
      <xdr:row>7</xdr:row>
      <xdr:rowOff>1612900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4200" y="86614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8</xdr:row>
      <xdr:rowOff>50800</xdr:rowOff>
    </xdr:from>
    <xdr:to>
      <xdr:col>1</xdr:col>
      <xdr:colOff>1573784</xdr:colOff>
      <xdr:row>8</xdr:row>
      <xdr:rowOff>1574800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8800" y="102489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9</xdr:row>
      <xdr:rowOff>88900</xdr:rowOff>
    </xdr:from>
    <xdr:to>
      <xdr:col>1</xdr:col>
      <xdr:colOff>1510284</xdr:colOff>
      <xdr:row>9</xdr:row>
      <xdr:rowOff>1612900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5300" y="119126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520700</xdr:colOff>
      <xdr:row>10</xdr:row>
      <xdr:rowOff>38100</xdr:rowOff>
    </xdr:from>
    <xdr:to>
      <xdr:col>1</xdr:col>
      <xdr:colOff>1535684</xdr:colOff>
      <xdr:row>10</xdr:row>
      <xdr:rowOff>1562100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0700" y="134874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12</xdr:row>
      <xdr:rowOff>101600</xdr:rowOff>
    </xdr:from>
    <xdr:to>
      <xdr:col>1</xdr:col>
      <xdr:colOff>1548384</xdr:colOff>
      <xdr:row>13</xdr:row>
      <xdr:rowOff>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3400" y="154432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13</xdr:row>
      <xdr:rowOff>317500</xdr:rowOff>
    </xdr:from>
    <xdr:to>
      <xdr:col>2</xdr:col>
      <xdr:colOff>3175</xdr:colOff>
      <xdr:row>13</xdr:row>
      <xdr:rowOff>1332484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55600" y="17284700"/>
          <a:ext cx="1524000" cy="1014984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584200</xdr:colOff>
      <xdr:row>14</xdr:row>
      <xdr:rowOff>63500</xdr:rowOff>
    </xdr:from>
    <xdr:to>
      <xdr:col>1</xdr:col>
      <xdr:colOff>1599184</xdr:colOff>
      <xdr:row>14</xdr:row>
      <xdr:rowOff>1587500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84200" y="186563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16</xdr:row>
      <xdr:rowOff>88900</xdr:rowOff>
    </xdr:from>
    <xdr:to>
      <xdr:col>1</xdr:col>
      <xdr:colOff>1548384</xdr:colOff>
      <xdr:row>16</xdr:row>
      <xdr:rowOff>1612900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33400" y="205232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17</xdr:row>
      <xdr:rowOff>25400</xdr:rowOff>
    </xdr:from>
    <xdr:to>
      <xdr:col>1</xdr:col>
      <xdr:colOff>1624584</xdr:colOff>
      <xdr:row>17</xdr:row>
      <xdr:rowOff>1549400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9600" y="220853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546100</xdr:colOff>
      <xdr:row>18</xdr:row>
      <xdr:rowOff>50800</xdr:rowOff>
    </xdr:from>
    <xdr:to>
      <xdr:col>1</xdr:col>
      <xdr:colOff>1561084</xdr:colOff>
      <xdr:row>18</xdr:row>
      <xdr:rowOff>1574800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6100" y="237363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19</xdr:row>
      <xdr:rowOff>38100</xdr:rowOff>
    </xdr:from>
    <xdr:to>
      <xdr:col>1</xdr:col>
      <xdr:colOff>1573784</xdr:colOff>
      <xdr:row>19</xdr:row>
      <xdr:rowOff>1562100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58800" y="253492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596900</xdr:colOff>
      <xdr:row>20</xdr:row>
      <xdr:rowOff>25400</xdr:rowOff>
    </xdr:from>
    <xdr:to>
      <xdr:col>1</xdr:col>
      <xdr:colOff>1611884</xdr:colOff>
      <xdr:row>20</xdr:row>
      <xdr:rowOff>1549400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6900" y="269621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584200</xdr:colOff>
      <xdr:row>22</xdr:row>
      <xdr:rowOff>76200</xdr:rowOff>
    </xdr:from>
    <xdr:to>
      <xdr:col>1</xdr:col>
      <xdr:colOff>1599184</xdr:colOff>
      <xdr:row>22</xdr:row>
      <xdr:rowOff>1600200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84200" y="288417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584200</xdr:colOff>
      <xdr:row>23</xdr:row>
      <xdr:rowOff>25400</xdr:rowOff>
    </xdr:from>
    <xdr:to>
      <xdr:col>1</xdr:col>
      <xdr:colOff>1599184</xdr:colOff>
      <xdr:row>23</xdr:row>
      <xdr:rowOff>1549400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4200" y="30416500"/>
          <a:ext cx="101498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596900</xdr:colOff>
      <xdr:row>25</xdr:row>
      <xdr:rowOff>50800</xdr:rowOff>
    </xdr:from>
    <xdr:to>
      <xdr:col>1</xdr:col>
      <xdr:colOff>1611884</xdr:colOff>
      <xdr:row>25</xdr:row>
      <xdr:rowOff>1574800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96900" y="32258000"/>
          <a:ext cx="1014984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G28"/>
  <sheetViews>
    <sheetView showGridLines="0" tabSelected="1" topLeftCell="B1" workbookViewId="0">
      <selection activeCell="AI25" sqref="AI25"/>
    </sheetView>
  </sheetViews>
  <sheetFormatPr defaultColWidth="9.140625" defaultRowHeight="15" x14ac:dyDescent="0.25"/>
  <cols>
    <col min="1" max="1" width="37.7109375" hidden="1" customWidth="1"/>
    <col min="2" max="2" width="27.85546875" customWidth="1"/>
    <col min="3" max="3" width="9.140625" customWidth="1"/>
    <col min="4" max="4" width="11.7109375" style="5" customWidth="1"/>
    <col min="5" max="5" width="44.5703125" customWidth="1"/>
    <col min="6" max="6" width="22.85546875" hidden="1" customWidth="1"/>
    <col min="7" max="7" width="21.85546875" hidden="1" customWidth="1"/>
    <col min="8" max="13" width="5.28515625" hidden="1" customWidth="1"/>
    <col min="14" max="14" width="3.140625" hidden="1" customWidth="1"/>
    <col min="15" max="15" width="6.85546875" hidden="1" customWidth="1"/>
    <col min="16" max="16" width="6" hidden="1" customWidth="1"/>
    <col min="17" max="17" width="7.140625" hidden="1" customWidth="1"/>
    <col min="18" max="18" width="8.28515625" hidden="1" customWidth="1"/>
    <col min="19" max="20" width="8" hidden="1" customWidth="1"/>
    <col min="21" max="21" width="5.42578125" hidden="1" customWidth="1"/>
    <col min="22" max="22" width="4.28515625" customWidth="1"/>
    <col min="23" max="23" width="5" customWidth="1"/>
    <col min="24" max="24" width="5.42578125" customWidth="1"/>
    <col min="25" max="25" width="4.85546875" customWidth="1"/>
    <col min="26" max="26" width="5.5703125" customWidth="1"/>
    <col min="27" max="27" width="7.42578125" hidden="1" customWidth="1"/>
    <col min="28" max="28" width="5.7109375" hidden="1" customWidth="1"/>
    <col min="29" max="29" width="10.140625" style="9" customWidth="1"/>
    <col min="30" max="30" width="8.7109375" style="8" customWidth="1"/>
    <col min="31" max="31" width="14.28515625" style="4" bestFit="1" customWidth="1"/>
    <col min="32" max="32" width="12.85546875" customWidth="1"/>
    <col min="33" max="33" width="12" customWidth="1"/>
    <col min="34" max="34" width="9.7109375" bestFit="1" customWidth="1"/>
    <col min="35" max="35" width="14.42578125" bestFit="1" customWidth="1"/>
    <col min="36" max="36" width="12.7109375" bestFit="1" customWidth="1"/>
    <col min="37" max="37" width="20.7109375" bestFit="1" customWidth="1"/>
    <col min="38" max="38" width="9" bestFit="1" customWidth="1"/>
    <col min="39" max="39" width="12.7109375" bestFit="1" customWidth="1"/>
    <col min="40" max="40" width="5.7109375" bestFit="1" customWidth="1"/>
    <col min="41" max="41" width="7.42578125" bestFit="1" customWidth="1"/>
    <col min="42" max="42" width="10.28515625" bestFit="1" customWidth="1"/>
    <col min="43" max="43" width="9.7109375" bestFit="1" customWidth="1"/>
    <col min="44" max="44" width="7.28515625" bestFit="1" customWidth="1"/>
    <col min="45" max="45" width="5.28515625" bestFit="1" customWidth="1"/>
  </cols>
  <sheetData>
    <row r="1" spans="1:33" ht="123" customHeight="1" x14ac:dyDescent="0.25">
      <c r="A1" s="25" t="s">
        <v>50040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</row>
    <row r="2" spans="1:33" s="6" customFormat="1" x14ac:dyDescent="0.25">
      <c r="A2" s="7"/>
      <c r="B2" s="15"/>
      <c r="C2" s="16" t="s">
        <v>50031</v>
      </c>
      <c r="D2" s="16" t="s">
        <v>50032</v>
      </c>
      <c r="E2" s="16" t="s">
        <v>16</v>
      </c>
      <c r="F2" s="16" t="s">
        <v>15</v>
      </c>
      <c r="G2" s="16" t="s">
        <v>14</v>
      </c>
      <c r="H2" s="16" t="s">
        <v>16227</v>
      </c>
      <c r="I2" s="16" t="s">
        <v>16228</v>
      </c>
      <c r="J2" s="16" t="s">
        <v>16229</v>
      </c>
      <c r="K2" s="16" t="s">
        <v>13</v>
      </c>
      <c r="L2" s="16">
        <v>42</v>
      </c>
      <c r="M2" s="16">
        <v>44</v>
      </c>
      <c r="N2" s="16">
        <v>46</v>
      </c>
      <c r="O2" s="16" t="s">
        <v>50034</v>
      </c>
      <c r="P2" s="16" t="s">
        <v>50035</v>
      </c>
      <c r="Q2" s="16" t="s">
        <v>50036</v>
      </c>
      <c r="R2" s="16" t="s">
        <v>50037</v>
      </c>
      <c r="S2" s="16" t="s">
        <v>50038</v>
      </c>
      <c r="T2" s="16" t="s">
        <v>50039</v>
      </c>
      <c r="U2" s="16" t="s">
        <v>18</v>
      </c>
      <c r="V2" s="16" t="s">
        <v>10</v>
      </c>
      <c r="W2" s="16" t="s">
        <v>11</v>
      </c>
      <c r="X2" s="16" t="s">
        <v>12</v>
      </c>
      <c r="Y2" s="16" t="s">
        <v>14639</v>
      </c>
      <c r="Z2" s="16" t="s">
        <v>16223</v>
      </c>
      <c r="AA2" s="16" t="s">
        <v>16225</v>
      </c>
      <c r="AB2" s="16" t="s">
        <v>46685</v>
      </c>
      <c r="AC2" s="17" t="s">
        <v>9</v>
      </c>
      <c r="AD2" s="17" t="s">
        <v>50033</v>
      </c>
      <c r="AE2" s="18" t="s">
        <v>50087</v>
      </c>
      <c r="AF2" s="23" t="s">
        <v>50086</v>
      </c>
      <c r="AG2" s="23" t="s">
        <v>50085</v>
      </c>
    </row>
    <row r="3" spans="1:33" ht="128.1" customHeight="1" x14ac:dyDescent="0.25">
      <c r="A3" s="3"/>
      <c r="B3" s="3"/>
      <c r="C3" s="10" t="s">
        <v>50041</v>
      </c>
      <c r="D3" s="10" t="s">
        <v>50042</v>
      </c>
      <c r="E3" s="10" t="s">
        <v>50068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>
        <v>36</v>
      </c>
      <c r="X3" s="10">
        <v>152</v>
      </c>
      <c r="Y3" s="10">
        <v>44</v>
      </c>
      <c r="Z3" s="10"/>
      <c r="AA3" s="10"/>
      <c r="AB3" s="10"/>
      <c r="AC3" s="21">
        <f t="shared" ref="AC3:AC26" si="0">SUM(V3:Z3)</f>
        <v>232</v>
      </c>
      <c r="AD3" s="11">
        <v>49.9</v>
      </c>
      <c r="AE3" s="24">
        <v>6.95</v>
      </c>
      <c r="AF3" s="20">
        <f>AE3*AC3</f>
        <v>1612.4</v>
      </c>
      <c r="AG3" s="13">
        <f>AD3*AC3</f>
        <v>11576.8</v>
      </c>
    </row>
    <row r="4" spans="1:33" ht="128.1" customHeight="1" x14ac:dyDescent="0.25">
      <c r="A4" s="3"/>
      <c r="B4" s="3"/>
      <c r="C4" s="10"/>
      <c r="D4" s="12" t="s">
        <v>50043</v>
      </c>
      <c r="E4" s="10" t="s">
        <v>50069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>
        <v>15</v>
      </c>
      <c r="X4" s="10"/>
      <c r="Y4" s="10"/>
      <c r="Z4" s="10"/>
      <c r="AA4" s="10"/>
      <c r="AB4" s="10"/>
      <c r="AC4" s="21">
        <f t="shared" si="0"/>
        <v>15</v>
      </c>
      <c r="AD4" s="11">
        <v>49.9</v>
      </c>
      <c r="AE4" s="24">
        <v>6.95</v>
      </c>
      <c r="AF4" s="20">
        <f t="shared" ref="AF4:AF26" si="1">AE4*AC4</f>
        <v>104.25</v>
      </c>
      <c r="AG4" s="13">
        <f t="shared" ref="AG4:AG26" si="2">AD4*AC4</f>
        <v>748.5</v>
      </c>
    </row>
    <row r="5" spans="1:33" ht="128.1" customHeight="1" x14ac:dyDescent="0.25">
      <c r="A5" s="3"/>
      <c r="B5" s="3"/>
      <c r="C5" s="10"/>
      <c r="D5" s="12" t="s">
        <v>50044</v>
      </c>
      <c r="E5" s="10" t="s">
        <v>50066</v>
      </c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>
        <v>104</v>
      </c>
      <c r="X5" s="10">
        <v>42</v>
      </c>
      <c r="Y5" s="10"/>
      <c r="Z5" s="10"/>
      <c r="AA5" s="10"/>
      <c r="AB5" s="10"/>
      <c r="AC5" s="21">
        <f t="shared" si="0"/>
        <v>146</v>
      </c>
      <c r="AD5" s="11">
        <v>49.9</v>
      </c>
      <c r="AE5" s="24">
        <v>6.95</v>
      </c>
      <c r="AF5" s="20">
        <f t="shared" si="1"/>
        <v>1014.7</v>
      </c>
      <c r="AG5" s="13">
        <f t="shared" si="2"/>
        <v>7285.4</v>
      </c>
    </row>
    <row r="6" spans="1:33" ht="128.1" customHeight="1" x14ac:dyDescent="0.25">
      <c r="A6" s="3"/>
      <c r="B6" s="3"/>
      <c r="C6" s="10"/>
      <c r="D6" s="12" t="s">
        <v>50045</v>
      </c>
      <c r="E6" s="10" t="s">
        <v>50071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>
        <v>4172</v>
      </c>
      <c r="X6" s="10">
        <v>8152</v>
      </c>
      <c r="Y6" s="10">
        <v>9484</v>
      </c>
      <c r="Z6" s="10">
        <v>5852</v>
      </c>
      <c r="AA6" s="10"/>
      <c r="AB6" s="10"/>
      <c r="AC6" s="21">
        <f t="shared" si="0"/>
        <v>27660</v>
      </c>
      <c r="AD6" s="11">
        <v>49.9</v>
      </c>
      <c r="AE6" s="24">
        <v>6.95</v>
      </c>
      <c r="AF6" s="20">
        <f t="shared" si="1"/>
        <v>192237</v>
      </c>
      <c r="AG6" s="13">
        <f t="shared" si="2"/>
        <v>1380234</v>
      </c>
    </row>
    <row r="7" spans="1:33" ht="24.95" customHeight="1" x14ac:dyDescent="0.25">
      <c r="A7" s="3"/>
      <c r="B7" s="3"/>
      <c r="C7" s="10"/>
      <c r="D7" s="12"/>
      <c r="E7" s="13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3"/>
      <c r="X7" s="13"/>
      <c r="Y7" s="13"/>
      <c r="Z7" s="13"/>
      <c r="AA7" s="10"/>
      <c r="AB7" s="10"/>
      <c r="AC7" s="21"/>
      <c r="AD7" s="11"/>
      <c r="AE7" s="19"/>
      <c r="AF7" s="20"/>
      <c r="AG7" s="13"/>
    </row>
    <row r="8" spans="1:33" ht="128.1" customHeight="1" x14ac:dyDescent="0.25">
      <c r="A8" s="3"/>
      <c r="B8" s="3"/>
      <c r="C8" s="10" t="s">
        <v>50046</v>
      </c>
      <c r="D8" s="12" t="s">
        <v>50047</v>
      </c>
      <c r="E8" s="13" t="s">
        <v>50067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3"/>
      <c r="X8" s="13">
        <v>4</v>
      </c>
      <c r="Y8" s="13"/>
      <c r="Z8" s="13">
        <v>1</v>
      </c>
      <c r="AA8" s="10"/>
      <c r="AB8" s="10"/>
      <c r="AC8" s="21">
        <f t="shared" si="0"/>
        <v>5</v>
      </c>
      <c r="AD8" s="11">
        <v>49.9</v>
      </c>
      <c r="AE8" s="24">
        <v>6.95</v>
      </c>
      <c r="AF8" s="20">
        <f t="shared" si="1"/>
        <v>34.75</v>
      </c>
      <c r="AG8" s="13">
        <f t="shared" si="2"/>
        <v>249.5</v>
      </c>
    </row>
    <row r="9" spans="1:33" ht="128.1" customHeight="1" x14ac:dyDescent="0.25">
      <c r="A9" s="3"/>
      <c r="B9" s="3"/>
      <c r="C9" s="10"/>
      <c r="D9" s="12" t="s">
        <v>50048</v>
      </c>
      <c r="E9" s="13" t="s">
        <v>50070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3"/>
      <c r="X9" s="13">
        <v>17</v>
      </c>
      <c r="Y9" s="13"/>
      <c r="Z9" s="13"/>
      <c r="AA9" s="10"/>
      <c r="AB9" s="10"/>
      <c r="AC9" s="21">
        <f t="shared" si="0"/>
        <v>17</v>
      </c>
      <c r="AD9" s="11">
        <v>49.9</v>
      </c>
      <c r="AE9" s="24">
        <v>6.95</v>
      </c>
      <c r="AF9" s="20">
        <f t="shared" si="1"/>
        <v>118.15</v>
      </c>
      <c r="AG9" s="13">
        <f t="shared" si="2"/>
        <v>848.3</v>
      </c>
    </row>
    <row r="10" spans="1:33" ht="128.1" customHeight="1" x14ac:dyDescent="0.25">
      <c r="A10" s="3"/>
      <c r="B10" s="3"/>
      <c r="C10" s="10"/>
      <c r="D10" s="12" t="s">
        <v>50049</v>
      </c>
      <c r="E10" s="13" t="s">
        <v>50072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3">
        <v>10</v>
      </c>
      <c r="X10" s="13">
        <v>36</v>
      </c>
      <c r="Y10" s="13">
        <v>8</v>
      </c>
      <c r="Z10" s="13">
        <v>9</v>
      </c>
      <c r="AA10" s="10"/>
      <c r="AB10" s="10"/>
      <c r="AC10" s="21">
        <f t="shared" si="0"/>
        <v>63</v>
      </c>
      <c r="AD10" s="11">
        <v>49.9</v>
      </c>
      <c r="AE10" s="24">
        <v>6.95</v>
      </c>
      <c r="AF10" s="20">
        <f t="shared" si="1"/>
        <v>437.85</v>
      </c>
      <c r="AG10" s="13">
        <f t="shared" si="2"/>
        <v>3143.7</v>
      </c>
    </row>
    <row r="11" spans="1:33" ht="128.1" customHeight="1" x14ac:dyDescent="0.25">
      <c r="A11" s="3"/>
      <c r="B11" s="3"/>
      <c r="C11" s="10"/>
      <c r="D11" s="12" t="s">
        <v>50050</v>
      </c>
      <c r="E11" s="13" t="s">
        <v>50073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3">
        <v>9</v>
      </c>
      <c r="X11" s="13">
        <v>45</v>
      </c>
      <c r="Y11" s="13">
        <v>6</v>
      </c>
      <c r="Z11" s="13">
        <v>17</v>
      </c>
      <c r="AA11" s="10"/>
      <c r="AB11" s="10"/>
      <c r="AC11" s="21">
        <f t="shared" si="0"/>
        <v>77</v>
      </c>
      <c r="AD11" s="11">
        <v>49.9</v>
      </c>
      <c r="AE11" s="24">
        <v>6.95</v>
      </c>
      <c r="AF11" s="20">
        <f t="shared" si="1"/>
        <v>535.15</v>
      </c>
      <c r="AG11" s="13">
        <f t="shared" si="2"/>
        <v>3842.2999999999997</v>
      </c>
    </row>
    <row r="12" spans="1:33" ht="21" customHeight="1" x14ac:dyDescent="0.25">
      <c r="A12" s="3"/>
      <c r="B12" s="3"/>
      <c r="C12" s="10"/>
      <c r="D12" s="12"/>
      <c r="E12" s="13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3"/>
      <c r="W12" s="13"/>
      <c r="X12" s="13"/>
      <c r="Y12" s="13"/>
      <c r="Z12" s="13"/>
      <c r="AA12" s="10"/>
      <c r="AB12" s="10"/>
      <c r="AC12" s="21"/>
      <c r="AD12" s="11"/>
      <c r="AE12" s="19"/>
      <c r="AF12" s="20"/>
      <c r="AG12" s="13"/>
    </row>
    <row r="13" spans="1:33" ht="128.1" customHeight="1" x14ac:dyDescent="0.25">
      <c r="A13" s="3"/>
      <c r="B13" s="3"/>
      <c r="C13" s="10" t="s">
        <v>50051</v>
      </c>
      <c r="D13" s="12" t="s">
        <v>50052</v>
      </c>
      <c r="E13" s="13" t="s">
        <v>50074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3"/>
      <c r="W13" s="13"/>
      <c r="X13" s="13"/>
      <c r="Y13" s="13"/>
      <c r="Z13" s="13"/>
      <c r="AA13" s="10"/>
      <c r="AB13" s="10"/>
      <c r="AC13" s="21">
        <v>537</v>
      </c>
      <c r="AD13" s="11">
        <v>59.99</v>
      </c>
      <c r="AE13" s="24">
        <v>12.85</v>
      </c>
      <c r="AF13" s="20">
        <f t="shared" si="1"/>
        <v>6900.45</v>
      </c>
      <c r="AG13" s="13">
        <f t="shared" si="2"/>
        <v>32214.63</v>
      </c>
    </row>
    <row r="14" spans="1:33" ht="128.1" customHeight="1" x14ac:dyDescent="0.25">
      <c r="A14" s="3"/>
      <c r="B14" s="3"/>
      <c r="C14" s="10"/>
      <c r="D14" s="12" t="s">
        <v>50053</v>
      </c>
      <c r="E14" s="13" t="s">
        <v>50075</v>
      </c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3"/>
      <c r="W14" s="13"/>
      <c r="X14" s="13"/>
      <c r="Y14" s="13"/>
      <c r="Z14" s="13"/>
      <c r="AA14" s="10"/>
      <c r="AB14" s="10"/>
      <c r="AC14" s="21">
        <v>54</v>
      </c>
      <c r="AD14" s="11">
        <v>59.99</v>
      </c>
      <c r="AE14" s="24">
        <v>12.85</v>
      </c>
      <c r="AF14" s="20">
        <f t="shared" si="1"/>
        <v>693.9</v>
      </c>
      <c r="AG14" s="13">
        <f t="shared" si="2"/>
        <v>3239.46</v>
      </c>
    </row>
    <row r="15" spans="1:33" ht="128.1" customHeight="1" x14ac:dyDescent="0.25">
      <c r="A15" s="3"/>
      <c r="B15" s="3"/>
      <c r="C15" s="10"/>
      <c r="D15" s="12" t="s">
        <v>50054</v>
      </c>
      <c r="E15" s="13" t="s">
        <v>50076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3"/>
      <c r="W15" s="13"/>
      <c r="X15" s="13"/>
      <c r="Y15" s="13"/>
      <c r="Z15" s="13"/>
      <c r="AA15" s="10"/>
      <c r="AB15" s="10"/>
      <c r="AC15" s="21">
        <v>109</v>
      </c>
      <c r="AD15" s="11">
        <v>59.99</v>
      </c>
      <c r="AE15" s="24">
        <v>12.85</v>
      </c>
      <c r="AF15" s="20">
        <f t="shared" si="1"/>
        <v>1400.6499999999999</v>
      </c>
      <c r="AG15" s="13">
        <f t="shared" si="2"/>
        <v>6538.91</v>
      </c>
    </row>
    <row r="16" spans="1:33" ht="17.100000000000001" customHeight="1" x14ac:dyDescent="0.25">
      <c r="A16" s="3"/>
      <c r="B16" s="3"/>
      <c r="C16" s="10"/>
      <c r="D16" s="12"/>
      <c r="E16" s="13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3"/>
      <c r="W16" s="13"/>
      <c r="X16" s="13"/>
      <c r="Y16" s="13"/>
      <c r="Z16" s="13"/>
      <c r="AA16" s="10"/>
      <c r="AB16" s="10"/>
      <c r="AC16" s="21"/>
      <c r="AD16" s="11"/>
      <c r="AE16" s="19"/>
      <c r="AF16" s="20"/>
      <c r="AG16" s="13"/>
    </row>
    <row r="17" spans="1:33" ht="128.1" customHeight="1" x14ac:dyDescent="0.25">
      <c r="A17" s="3"/>
      <c r="B17" s="3"/>
      <c r="C17" s="10" t="s">
        <v>50055</v>
      </c>
      <c r="D17" s="12" t="s">
        <v>50056</v>
      </c>
      <c r="E17" s="13" t="s">
        <v>50077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3">
        <v>1</v>
      </c>
      <c r="W17" s="13">
        <v>8</v>
      </c>
      <c r="X17" s="13">
        <v>274</v>
      </c>
      <c r="Y17" s="13">
        <v>270</v>
      </c>
      <c r="Z17" s="13">
        <v>607</v>
      </c>
      <c r="AA17" s="10"/>
      <c r="AB17" s="10"/>
      <c r="AC17" s="21">
        <f t="shared" si="0"/>
        <v>1160</v>
      </c>
      <c r="AD17" s="11">
        <v>59.99</v>
      </c>
      <c r="AE17" s="24">
        <v>10.75</v>
      </c>
      <c r="AF17" s="20">
        <f t="shared" si="1"/>
        <v>12470</v>
      </c>
      <c r="AG17" s="13">
        <f t="shared" si="2"/>
        <v>69588.400000000009</v>
      </c>
    </row>
    <row r="18" spans="1:33" ht="128.1" customHeight="1" x14ac:dyDescent="0.25">
      <c r="A18" s="3"/>
      <c r="B18" s="3"/>
      <c r="C18" s="10"/>
      <c r="D18" s="12" t="s">
        <v>50057</v>
      </c>
      <c r="E18" s="13" t="s">
        <v>50078</v>
      </c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>
        <v>1</v>
      </c>
      <c r="W18" s="13">
        <v>186</v>
      </c>
      <c r="X18" s="13">
        <v>607</v>
      </c>
      <c r="Y18" s="13">
        <v>755</v>
      </c>
      <c r="Z18" s="13">
        <v>411</v>
      </c>
      <c r="AA18" s="10"/>
      <c r="AB18" s="10"/>
      <c r="AC18" s="21">
        <f t="shared" si="0"/>
        <v>1960</v>
      </c>
      <c r="AD18" s="11">
        <v>59.99</v>
      </c>
      <c r="AE18" s="24">
        <v>10.75</v>
      </c>
      <c r="AF18" s="20">
        <f t="shared" si="1"/>
        <v>21070</v>
      </c>
      <c r="AG18" s="13">
        <f t="shared" si="2"/>
        <v>117580.40000000001</v>
      </c>
    </row>
    <row r="19" spans="1:33" ht="128.1" customHeight="1" x14ac:dyDescent="0.25">
      <c r="A19" s="3"/>
      <c r="B19" s="3"/>
      <c r="C19" s="10"/>
      <c r="D19" s="12" t="s">
        <v>50058</v>
      </c>
      <c r="E19" s="13" t="s">
        <v>50079</v>
      </c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3"/>
      <c r="W19" s="13">
        <v>5</v>
      </c>
      <c r="X19" s="13">
        <v>158</v>
      </c>
      <c r="Y19" s="13">
        <v>174</v>
      </c>
      <c r="Z19" s="13">
        <v>371</v>
      </c>
      <c r="AA19" s="10"/>
      <c r="AB19" s="10"/>
      <c r="AC19" s="21">
        <f t="shared" si="0"/>
        <v>708</v>
      </c>
      <c r="AD19" s="11">
        <v>59.99</v>
      </c>
      <c r="AE19" s="24">
        <v>10.75</v>
      </c>
      <c r="AF19" s="20">
        <f t="shared" si="1"/>
        <v>7611</v>
      </c>
      <c r="AG19" s="13">
        <f t="shared" si="2"/>
        <v>42472.92</v>
      </c>
    </row>
    <row r="20" spans="1:33" ht="128.1" customHeight="1" x14ac:dyDescent="0.25">
      <c r="A20" s="3"/>
      <c r="B20" s="3"/>
      <c r="C20" s="10"/>
      <c r="D20" s="12" t="s">
        <v>50059</v>
      </c>
      <c r="E20" s="13" t="s">
        <v>50080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3"/>
      <c r="W20" s="13">
        <v>270</v>
      </c>
      <c r="X20" s="13">
        <v>1055</v>
      </c>
      <c r="Y20" s="13">
        <v>1303</v>
      </c>
      <c r="Z20" s="13">
        <v>764</v>
      </c>
      <c r="AA20" s="10"/>
      <c r="AB20" s="10"/>
      <c r="AC20" s="21">
        <f t="shared" si="0"/>
        <v>3392</v>
      </c>
      <c r="AD20" s="11">
        <v>59.99</v>
      </c>
      <c r="AE20" s="24">
        <v>10.75</v>
      </c>
      <c r="AF20" s="20">
        <f t="shared" si="1"/>
        <v>36464</v>
      </c>
      <c r="AG20" s="13">
        <f t="shared" si="2"/>
        <v>203486.08000000002</v>
      </c>
    </row>
    <row r="21" spans="1:33" ht="128.1" customHeight="1" x14ac:dyDescent="0.25">
      <c r="A21" s="3"/>
      <c r="B21" s="3"/>
      <c r="C21" s="10"/>
      <c r="D21" s="12" t="s">
        <v>50060</v>
      </c>
      <c r="E21" s="13" t="s">
        <v>50081</v>
      </c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3">
        <v>1</v>
      </c>
      <c r="W21" s="13">
        <v>191</v>
      </c>
      <c r="X21" s="13">
        <v>813</v>
      </c>
      <c r="Y21" s="13">
        <v>958</v>
      </c>
      <c r="Z21" s="13">
        <v>459</v>
      </c>
      <c r="AA21" s="10"/>
      <c r="AB21" s="10"/>
      <c r="AC21" s="21">
        <f t="shared" si="0"/>
        <v>2422</v>
      </c>
      <c r="AD21" s="11">
        <v>59.99</v>
      </c>
      <c r="AE21" s="24">
        <v>10.75</v>
      </c>
      <c r="AF21" s="20">
        <f t="shared" si="1"/>
        <v>26036.5</v>
      </c>
      <c r="AG21" s="13">
        <f t="shared" si="2"/>
        <v>145295.78</v>
      </c>
    </row>
    <row r="22" spans="1:33" ht="15.95" customHeight="1" x14ac:dyDescent="0.25">
      <c r="A22" s="3"/>
      <c r="B22" s="3"/>
      <c r="C22" s="10"/>
      <c r="D22" s="12"/>
      <c r="E22" s="13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3"/>
      <c r="W22" s="13"/>
      <c r="X22" s="13"/>
      <c r="Y22" s="13"/>
      <c r="Z22" s="10"/>
      <c r="AA22" s="10"/>
      <c r="AB22" s="10"/>
      <c r="AC22" s="21"/>
      <c r="AD22" s="11"/>
      <c r="AE22" s="19"/>
      <c r="AF22" s="20"/>
      <c r="AG22" s="13"/>
    </row>
    <row r="23" spans="1:33" ht="128.1" customHeight="1" x14ac:dyDescent="0.25">
      <c r="A23" s="3"/>
      <c r="B23" s="3"/>
      <c r="C23" s="10" t="s">
        <v>50061</v>
      </c>
      <c r="D23" s="12" t="s">
        <v>50063</v>
      </c>
      <c r="E23" s="13" t="s">
        <v>50082</v>
      </c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3"/>
      <c r="W23" s="13">
        <v>24</v>
      </c>
      <c r="X23" s="13">
        <v>19</v>
      </c>
      <c r="Y23" s="13">
        <v>15</v>
      </c>
      <c r="Z23" s="13">
        <v>18</v>
      </c>
      <c r="AA23" s="10"/>
      <c r="AB23" s="10"/>
      <c r="AC23" s="21">
        <f t="shared" si="0"/>
        <v>76</v>
      </c>
      <c r="AD23" s="11">
        <v>59.9</v>
      </c>
      <c r="AE23" s="24">
        <v>10.75</v>
      </c>
      <c r="AF23" s="20">
        <f t="shared" si="1"/>
        <v>817</v>
      </c>
      <c r="AG23" s="13">
        <f t="shared" si="2"/>
        <v>4552.3999999999996</v>
      </c>
    </row>
    <row r="24" spans="1:33" ht="128.1" customHeight="1" x14ac:dyDescent="0.25">
      <c r="A24" s="3"/>
      <c r="B24" s="3"/>
      <c r="C24" s="10"/>
      <c r="D24" s="12" t="s">
        <v>50064</v>
      </c>
      <c r="E24" s="14" t="s">
        <v>50083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3"/>
      <c r="W24" s="13"/>
      <c r="X24" s="13"/>
      <c r="Y24" s="13"/>
      <c r="Z24" s="13">
        <v>26</v>
      </c>
      <c r="AA24" s="10"/>
      <c r="AB24" s="10"/>
      <c r="AC24" s="21">
        <f t="shared" si="0"/>
        <v>26</v>
      </c>
      <c r="AD24" s="11">
        <v>59.9</v>
      </c>
      <c r="AE24" s="24">
        <v>10.75</v>
      </c>
      <c r="AF24" s="20">
        <f t="shared" si="1"/>
        <v>279.5</v>
      </c>
      <c r="AG24" s="13">
        <f t="shared" si="2"/>
        <v>1557.3999999999999</v>
      </c>
    </row>
    <row r="25" spans="1:33" ht="15" customHeight="1" x14ac:dyDescent="0.25">
      <c r="A25" s="3"/>
      <c r="B25" s="3"/>
      <c r="C25" s="10"/>
      <c r="D25" s="12"/>
      <c r="E25" s="13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3"/>
      <c r="W25" s="13"/>
      <c r="X25" s="13"/>
      <c r="Y25" s="13"/>
      <c r="Z25" s="13"/>
      <c r="AA25" s="10"/>
      <c r="AB25" s="10"/>
      <c r="AC25" s="21"/>
      <c r="AD25" s="11"/>
      <c r="AE25" s="19"/>
      <c r="AF25" s="20"/>
      <c r="AG25" s="13"/>
    </row>
    <row r="26" spans="1:33" ht="128.1" customHeight="1" x14ac:dyDescent="0.25">
      <c r="A26" s="3"/>
      <c r="B26" s="3"/>
      <c r="C26" s="13" t="s">
        <v>50062</v>
      </c>
      <c r="D26" s="12" t="s">
        <v>50065</v>
      </c>
      <c r="E26" s="13" t="s">
        <v>50084</v>
      </c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3"/>
      <c r="W26" s="13">
        <v>21</v>
      </c>
      <c r="X26" s="13">
        <v>16</v>
      </c>
      <c r="Y26" s="13">
        <v>20</v>
      </c>
      <c r="Z26" s="13">
        <v>18</v>
      </c>
      <c r="AA26" s="10"/>
      <c r="AB26" s="10"/>
      <c r="AC26" s="21">
        <f t="shared" si="0"/>
        <v>75</v>
      </c>
      <c r="AD26" s="11">
        <v>59.9</v>
      </c>
      <c r="AE26" s="24">
        <v>10.75</v>
      </c>
      <c r="AF26" s="20">
        <f t="shared" si="1"/>
        <v>806.25</v>
      </c>
      <c r="AG26" s="13">
        <f t="shared" si="2"/>
        <v>4492.5</v>
      </c>
    </row>
    <row r="27" spans="1:33" ht="19.5" thickBot="1" x14ac:dyDescent="0.35">
      <c r="AC27" s="22">
        <f>SUM(AC3:AC26)</f>
        <v>38734</v>
      </c>
      <c r="AF27" s="22">
        <f>SUM(AF3:AF26)</f>
        <v>310643.5</v>
      </c>
      <c r="AG27" s="22">
        <f>SUM(AG3:AG26)</f>
        <v>2038947.3799999994</v>
      </c>
    </row>
    <row r="28" spans="1:33" ht="15.75" thickTop="1" x14ac:dyDescent="0.25"/>
  </sheetData>
  <mergeCells count="1">
    <mergeCell ref="A1:AG1"/>
  </mergeCells>
  <phoneticPr fontId="6" type="noConversion"/>
  <pageMargins left="0.70000000000000007" right="0.70000000000000007" top="0.75000000000000011" bottom="0.75000000000000011" header="0.30000000000000004" footer="0.30000000000000004"/>
  <pageSetup paperSize="9" scale="58" fitToHeight="20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theme="4"/>
  </sheetPr>
  <dimension ref="A1:U23932"/>
  <sheetViews>
    <sheetView workbookViewId="0">
      <selection activeCell="J17" sqref="J17"/>
    </sheetView>
  </sheetViews>
  <sheetFormatPr defaultColWidth="9.140625" defaultRowHeight="15" x14ac:dyDescent="0.25"/>
  <cols>
    <col min="1" max="1" width="19.28515625" bestFit="1" customWidth="1"/>
  </cols>
  <sheetData>
    <row r="1" spans="1:21" x14ac:dyDescent="0.25">
      <c r="A1" t="s">
        <v>17</v>
      </c>
      <c r="B1" t="s">
        <v>1668</v>
      </c>
      <c r="C1" t="s">
        <v>1669</v>
      </c>
      <c r="D1" t="s">
        <v>1673</v>
      </c>
      <c r="E1" t="s">
        <v>1674</v>
      </c>
      <c r="F1" t="s">
        <v>1672</v>
      </c>
      <c r="G1" t="s">
        <v>47106</v>
      </c>
      <c r="H1" t="s">
        <v>47107</v>
      </c>
      <c r="I1" t="s">
        <v>47108</v>
      </c>
      <c r="J1" t="s">
        <v>47109</v>
      </c>
      <c r="K1" t="s">
        <v>47110</v>
      </c>
      <c r="L1" t="s">
        <v>1670</v>
      </c>
      <c r="M1" t="s">
        <v>1671</v>
      </c>
      <c r="N1" t="s">
        <v>19523</v>
      </c>
      <c r="O1" t="s">
        <v>1671</v>
      </c>
      <c r="P1" t="s">
        <v>19523</v>
      </c>
      <c r="Q1" s="1"/>
      <c r="R1" s="1"/>
      <c r="S1" s="1"/>
      <c r="T1" s="1"/>
      <c r="U1" s="1"/>
    </row>
    <row r="2" spans="1:21" x14ac:dyDescent="0.25">
      <c r="A2" t="s">
        <v>22977</v>
      </c>
      <c r="B2" t="s">
        <v>1675</v>
      </c>
      <c r="C2" t="s">
        <v>1676</v>
      </c>
      <c r="D2" t="s">
        <v>1677</v>
      </c>
      <c r="E2" t="s">
        <v>1678</v>
      </c>
      <c r="F2" t="s">
        <v>52</v>
      </c>
      <c r="G2" t="s">
        <v>16231</v>
      </c>
      <c r="H2" t="s">
        <v>47054</v>
      </c>
      <c r="I2" t="s">
        <v>47111</v>
      </c>
      <c r="J2" t="s">
        <v>47112</v>
      </c>
      <c r="K2" t="s">
        <v>47113</v>
      </c>
      <c r="L2">
        <v>26.13</v>
      </c>
      <c r="M2">
        <v>64</v>
      </c>
      <c r="N2">
        <v>0</v>
      </c>
      <c r="O2">
        <v>64</v>
      </c>
      <c r="P2">
        <v>0</v>
      </c>
    </row>
    <row r="3" spans="1:21" x14ac:dyDescent="0.25">
      <c r="A3" t="s">
        <v>22978</v>
      </c>
      <c r="B3" t="s">
        <v>1675</v>
      </c>
      <c r="C3" t="s">
        <v>1676</v>
      </c>
      <c r="D3" t="s">
        <v>1679</v>
      </c>
      <c r="E3" t="s">
        <v>1680</v>
      </c>
      <c r="F3" t="s">
        <v>52</v>
      </c>
      <c r="G3" t="s">
        <v>16231</v>
      </c>
      <c r="H3" t="s">
        <v>47054</v>
      </c>
      <c r="I3" t="s">
        <v>47111</v>
      </c>
      <c r="J3" t="s">
        <v>47112</v>
      </c>
      <c r="K3" t="s">
        <v>47113</v>
      </c>
      <c r="L3">
        <v>34.79</v>
      </c>
      <c r="M3">
        <v>85</v>
      </c>
      <c r="N3">
        <v>0</v>
      </c>
      <c r="O3">
        <v>85</v>
      </c>
      <c r="P3">
        <v>0</v>
      </c>
    </row>
    <row r="4" spans="1:21" x14ac:dyDescent="0.25">
      <c r="A4" t="s">
        <v>22979</v>
      </c>
      <c r="B4" t="s">
        <v>1675</v>
      </c>
      <c r="C4" t="s">
        <v>1676</v>
      </c>
      <c r="D4" t="s">
        <v>1681</v>
      </c>
      <c r="E4" t="s">
        <v>1682</v>
      </c>
      <c r="F4" t="s">
        <v>52</v>
      </c>
      <c r="G4" t="s">
        <v>16231</v>
      </c>
      <c r="H4" t="s">
        <v>47054</v>
      </c>
      <c r="I4" t="s">
        <v>47111</v>
      </c>
      <c r="J4" t="s">
        <v>47112</v>
      </c>
      <c r="K4" t="s">
        <v>47113</v>
      </c>
      <c r="L4">
        <v>35.36</v>
      </c>
      <c r="M4">
        <v>87</v>
      </c>
      <c r="N4">
        <v>0</v>
      </c>
      <c r="O4">
        <v>87</v>
      </c>
      <c r="P4">
        <v>0</v>
      </c>
    </row>
    <row r="5" spans="1:21" x14ac:dyDescent="0.25">
      <c r="A5" t="s">
        <v>22980</v>
      </c>
      <c r="B5" t="s">
        <v>1675</v>
      </c>
      <c r="C5" t="s">
        <v>1676</v>
      </c>
      <c r="D5" t="s">
        <v>1683</v>
      </c>
      <c r="E5" t="s">
        <v>1684</v>
      </c>
      <c r="F5" t="s">
        <v>687</v>
      </c>
      <c r="G5" t="s">
        <v>16231</v>
      </c>
      <c r="H5" t="s">
        <v>47054</v>
      </c>
      <c r="I5" t="s">
        <v>47111</v>
      </c>
      <c r="J5" t="s">
        <v>47112</v>
      </c>
      <c r="K5" t="s">
        <v>47113</v>
      </c>
      <c r="L5">
        <v>34.200000000000003</v>
      </c>
      <c r="M5">
        <v>87</v>
      </c>
      <c r="N5">
        <v>0</v>
      </c>
      <c r="O5">
        <v>87</v>
      </c>
      <c r="P5">
        <v>0</v>
      </c>
    </row>
    <row r="6" spans="1:21" x14ac:dyDescent="0.25">
      <c r="A6" t="s">
        <v>22981</v>
      </c>
      <c r="B6" t="s">
        <v>1675</v>
      </c>
      <c r="C6" t="s">
        <v>1676</v>
      </c>
      <c r="D6" t="s">
        <v>1686</v>
      </c>
      <c r="E6" t="s">
        <v>1687</v>
      </c>
      <c r="F6" t="s">
        <v>1685</v>
      </c>
      <c r="G6" t="s">
        <v>16231</v>
      </c>
      <c r="H6" t="s">
        <v>47054</v>
      </c>
      <c r="I6" t="s">
        <v>47111</v>
      </c>
      <c r="J6" t="s">
        <v>47112</v>
      </c>
      <c r="K6" t="s">
        <v>47113</v>
      </c>
      <c r="L6">
        <v>30.44</v>
      </c>
      <c r="M6">
        <v>77</v>
      </c>
      <c r="N6">
        <v>0</v>
      </c>
      <c r="O6">
        <v>77</v>
      </c>
      <c r="P6">
        <v>0</v>
      </c>
    </row>
    <row r="7" spans="1:21" x14ac:dyDescent="0.25">
      <c r="A7" t="s">
        <v>22982</v>
      </c>
      <c r="B7" t="s">
        <v>1675</v>
      </c>
      <c r="C7" t="s">
        <v>1676</v>
      </c>
      <c r="D7" t="s">
        <v>1688</v>
      </c>
      <c r="E7" t="s">
        <v>1689</v>
      </c>
      <c r="F7" t="s">
        <v>36</v>
      </c>
      <c r="G7" t="s">
        <v>16231</v>
      </c>
      <c r="H7" t="s">
        <v>47054</v>
      </c>
      <c r="I7" t="s">
        <v>47111</v>
      </c>
      <c r="J7" t="s">
        <v>47112</v>
      </c>
      <c r="K7" t="s">
        <v>47113</v>
      </c>
      <c r="L7">
        <v>30.74</v>
      </c>
      <c r="M7">
        <v>78</v>
      </c>
      <c r="N7">
        <v>0</v>
      </c>
      <c r="O7">
        <v>78</v>
      </c>
      <c r="P7">
        <v>0</v>
      </c>
    </row>
    <row r="8" spans="1:21" x14ac:dyDescent="0.25">
      <c r="A8" t="s">
        <v>22983</v>
      </c>
      <c r="B8" t="s">
        <v>1675</v>
      </c>
      <c r="C8" t="s">
        <v>1676</v>
      </c>
      <c r="D8" t="s">
        <v>1690</v>
      </c>
      <c r="E8" t="s">
        <v>1691</v>
      </c>
      <c r="F8" t="s">
        <v>52</v>
      </c>
      <c r="G8" t="s">
        <v>16231</v>
      </c>
      <c r="H8" t="s">
        <v>47054</v>
      </c>
      <c r="I8" t="s">
        <v>47111</v>
      </c>
      <c r="J8" t="s">
        <v>47112</v>
      </c>
      <c r="K8" t="s">
        <v>47113</v>
      </c>
      <c r="L8">
        <v>37.08</v>
      </c>
      <c r="M8">
        <v>94</v>
      </c>
      <c r="N8">
        <v>0</v>
      </c>
      <c r="O8">
        <v>94</v>
      </c>
      <c r="P8">
        <v>0</v>
      </c>
    </row>
    <row r="9" spans="1:21" x14ac:dyDescent="0.25">
      <c r="A9" t="s">
        <v>22984</v>
      </c>
      <c r="B9" t="s">
        <v>1692</v>
      </c>
      <c r="C9" t="s">
        <v>1693</v>
      </c>
      <c r="D9" t="s">
        <v>1677</v>
      </c>
      <c r="E9" t="s">
        <v>1678</v>
      </c>
      <c r="F9" t="s">
        <v>52</v>
      </c>
      <c r="G9" t="s">
        <v>16231</v>
      </c>
      <c r="H9" t="s">
        <v>47054</v>
      </c>
      <c r="I9" t="s">
        <v>47111</v>
      </c>
      <c r="J9" t="s">
        <v>47112</v>
      </c>
      <c r="K9" t="s">
        <v>47113</v>
      </c>
      <c r="L9">
        <v>29.36</v>
      </c>
      <c r="M9">
        <v>72</v>
      </c>
      <c r="N9">
        <v>0</v>
      </c>
      <c r="O9">
        <v>72</v>
      </c>
      <c r="P9">
        <v>0</v>
      </c>
    </row>
    <row r="10" spans="1:21" x14ac:dyDescent="0.25">
      <c r="A10" t="s">
        <v>22985</v>
      </c>
      <c r="B10" t="s">
        <v>1692</v>
      </c>
      <c r="C10" t="s">
        <v>1693</v>
      </c>
      <c r="D10" t="s">
        <v>1679</v>
      </c>
      <c r="E10" t="s">
        <v>1680</v>
      </c>
      <c r="F10" t="s">
        <v>52</v>
      </c>
      <c r="G10" t="s">
        <v>16231</v>
      </c>
      <c r="H10" t="s">
        <v>47054</v>
      </c>
      <c r="I10" t="s">
        <v>47111</v>
      </c>
      <c r="J10" t="s">
        <v>47112</v>
      </c>
      <c r="K10" t="s">
        <v>47113</v>
      </c>
      <c r="L10">
        <v>38.020000000000003</v>
      </c>
      <c r="M10">
        <v>93</v>
      </c>
      <c r="N10">
        <v>0</v>
      </c>
      <c r="O10">
        <v>93</v>
      </c>
      <c r="P10">
        <v>0</v>
      </c>
    </row>
    <row r="11" spans="1:21" x14ac:dyDescent="0.25">
      <c r="A11" t="s">
        <v>22986</v>
      </c>
      <c r="B11" t="s">
        <v>1692</v>
      </c>
      <c r="C11" t="s">
        <v>1693</v>
      </c>
      <c r="D11" t="s">
        <v>1681</v>
      </c>
      <c r="E11" t="s">
        <v>1682</v>
      </c>
      <c r="F11" t="s">
        <v>52</v>
      </c>
      <c r="G11" t="s">
        <v>16231</v>
      </c>
      <c r="H11" t="s">
        <v>47054</v>
      </c>
      <c r="I11" t="s">
        <v>47111</v>
      </c>
      <c r="J11" t="s">
        <v>47112</v>
      </c>
      <c r="K11" t="s">
        <v>47113</v>
      </c>
      <c r="L11">
        <v>38.6</v>
      </c>
      <c r="M11">
        <v>95</v>
      </c>
      <c r="N11">
        <v>0</v>
      </c>
      <c r="O11">
        <v>95</v>
      </c>
      <c r="P11">
        <v>0</v>
      </c>
    </row>
    <row r="12" spans="1:21" x14ac:dyDescent="0.25">
      <c r="A12" t="s">
        <v>22987</v>
      </c>
      <c r="B12" t="s">
        <v>1692</v>
      </c>
      <c r="C12" t="s">
        <v>1693</v>
      </c>
      <c r="D12" t="s">
        <v>1683</v>
      </c>
      <c r="E12" t="s">
        <v>1694</v>
      </c>
      <c r="F12" t="s">
        <v>52</v>
      </c>
      <c r="G12" t="s">
        <v>16231</v>
      </c>
      <c r="H12" t="s">
        <v>47054</v>
      </c>
      <c r="I12" t="s">
        <v>47111</v>
      </c>
      <c r="J12" t="s">
        <v>47112</v>
      </c>
      <c r="K12" t="s">
        <v>47113</v>
      </c>
      <c r="L12">
        <v>38.6</v>
      </c>
      <c r="M12">
        <v>95</v>
      </c>
      <c r="N12">
        <v>0</v>
      </c>
      <c r="O12">
        <v>95</v>
      </c>
      <c r="P12">
        <v>0</v>
      </c>
    </row>
    <row r="13" spans="1:21" x14ac:dyDescent="0.25">
      <c r="A13" t="s">
        <v>22988</v>
      </c>
      <c r="B13" t="s">
        <v>1692</v>
      </c>
      <c r="C13" t="s">
        <v>1693</v>
      </c>
      <c r="D13" t="s">
        <v>1688</v>
      </c>
      <c r="E13" t="s">
        <v>1689</v>
      </c>
      <c r="F13" t="s">
        <v>36</v>
      </c>
      <c r="G13" t="s">
        <v>16231</v>
      </c>
      <c r="H13" t="s">
        <v>47054</v>
      </c>
      <c r="I13" t="s">
        <v>47111</v>
      </c>
      <c r="J13" t="s">
        <v>47112</v>
      </c>
      <c r="K13" t="s">
        <v>47113</v>
      </c>
      <c r="L13">
        <v>32.159999999999997</v>
      </c>
      <c r="M13">
        <v>86</v>
      </c>
      <c r="N13">
        <v>0</v>
      </c>
      <c r="O13">
        <v>86</v>
      </c>
      <c r="P13">
        <v>0</v>
      </c>
    </row>
    <row r="14" spans="1:21" x14ac:dyDescent="0.25">
      <c r="A14" t="s">
        <v>22989</v>
      </c>
      <c r="B14" t="s">
        <v>1692</v>
      </c>
      <c r="C14" t="s">
        <v>1693</v>
      </c>
      <c r="D14" t="s">
        <v>1690</v>
      </c>
      <c r="E14" t="s">
        <v>1691</v>
      </c>
      <c r="F14" t="s">
        <v>52</v>
      </c>
      <c r="G14" t="s">
        <v>16231</v>
      </c>
      <c r="H14" t="s">
        <v>47054</v>
      </c>
      <c r="I14" t="s">
        <v>47111</v>
      </c>
      <c r="J14" t="s">
        <v>47112</v>
      </c>
      <c r="K14" t="s">
        <v>47113</v>
      </c>
      <c r="L14">
        <v>41.53</v>
      </c>
      <c r="M14">
        <v>102</v>
      </c>
      <c r="N14">
        <v>0</v>
      </c>
      <c r="O14">
        <v>102</v>
      </c>
      <c r="P14">
        <v>0</v>
      </c>
    </row>
    <row r="15" spans="1:21" x14ac:dyDescent="0.25">
      <c r="A15" t="s">
        <v>22990</v>
      </c>
      <c r="B15" t="s">
        <v>1695</v>
      </c>
      <c r="C15" t="s">
        <v>1696</v>
      </c>
      <c r="D15" t="s">
        <v>1677</v>
      </c>
      <c r="E15" t="s">
        <v>1678</v>
      </c>
      <c r="F15" t="s">
        <v>1697</v>
      </c>
      <c r="G15" t="s">
        <v>16231</v>
      </c>
      <c r="H15" t="s">
        <v>47054</v>
      </c>
      <c r="I15" t="s">
        <v>47111</v>
      </c>
      <c r="J15" t="s">
        <v>47112</v>
      </c>
      <c r="K15" t="s">
        <v>47113</v>
      </c>
      <c r="L15">
        <v>28.08</v>
      </c>
      <c r="M15">
        <v>65</v>
      </c>
      <c r="N15">
        <v>0</v>
      </c>
      <c r="O15">
        <v>65</v>
      </c>
      <c r="P15">
        <v>0</v>
      </c>
    </row>
    <row r="16" spans="1:21" x14ac:dyDescent="0.25">
      <c r="A16" t="s">
        <v>22991</v>
      </c>
      <c r="B16" t="s">
        <v>1695</v>
      </c>
      <c r="C16" t="s">
        <v>1696</v>
      </c>
      <c r="D16" t="s">
        <v>1679</v>
      </c>
      <c r="E16" t="s">
        <v>1680</v>
      </c>
      <c r="F16" t="s">
        <v>52</v>
      </c>
      <c r="G16" t="s">
        <v>16231</v>
      </c>
      <c r="H16" t="s">
        <v>47054</v>
      </c>
      <c r="I16" t="s">
        <v>47111</v>
      </c>
      <c r="J16" t="s">
        <v>47112</v>
      </c>
      <c r="K16" t="s">
        <v>47113</v>
      </c>
      <c r="L16">
        <v>38.020000000000003</v>
      </c>
      <c r="M16">
        <v>93</v>
      </c>
      <c r="N16">
        <v>0</v>
      </c>
      <c r="O16">
        <v>93</v>
      </c>
      <c r="P16">
        <v>0</v>
      </c>
    </row>
    <row r="17" spans="1:16" x14ac:dyDescent="0.25">
      <c r="A17" t="s">
        <v>22992</v>
      </c>
      <c r="B17" t="s">
        <v>1695</v>
      </c>
      <c r="C17" t="s">
        <v>1696</v>
      </c>
      <c r="D17" t="s">
        <v>1681</v>
      </c>
      <c r="E17" t="s">
        <v>1682</v>
      </c>
      <c r="F17" t="s">
        <v>52</v>
      </c>
      <c r="G17" t="s">
        <v>16231</v>
      </c>
      <c r="H17" t="s">
        <v>47054</v>
      </c>
      <c r="I17" t="s">
        <v>47111</v>
      </c>
      <c r="J17" t="s">
        <v>47112</v>
      </c>
      <c r="K17" t="s">
        <v>47113</v>
      </c>
      <c r="L17">
        <v>38.6</v>
      </c>
      <c r="M17">
        <v>95</v>
      </c>
      <c r="N17">
        <v>0</v>
      </c>
      <c r="O17">
        <v>95</v>
      </c>
      <c r="P17">
        <v>0</v>
      </c>
    </row>
    <row r="18" spans="1:16" x14ac:dyDescent="0.25">
      <c r="A18" t="s">
        <v>22993</v>
      </c>
      <c r="B18" t="s">
        <v>1695</v>
      </c>
      <c r="C18" t="s">
        <v>1696</v>
      </c>
      <c r="D18" t="s">
        <v>1688</v>
      </c>
      <c r="E18" t="s">
        <v>1689</v>
      </c>
      <c r="F18" t="s">
        <v>36</v>
      </c>
      <c r="G18" t="s">
        <v>16231</v>
      </c>
      <c r="H18" t="s">
        <v>47054</v>
      </c>
      <c r="I18" t="s">
        <v>47111</v>
      </c>
      <c r="J18" t="s">
        <v>47112</v>
      </c>
      <c r="K18" t="s">
        <v>47113</v>
      </c>
      <c r="L18">
        <v>32.159999999999997</v>
      </c>
      <c r="M18">
        <v>86</v>
      </c>
      <c r="N18">
        <v>0</v>
      </c>
      <c r="O18">
        <v>86</v>
      </c>
      <c r="P18">
        <v>0</v>
      </c>
    </row>
    <row r="19" spans="1:16" x14ac:dyDescent="0.25">
      <c r="A19" t="s">
        <v>22994</v>
      </c>
      <c r="B19" t="s">
        <v>1695</v>
      </c>
      <c r="C19" t="s">
        <v>1696</v>
      </c>
      <c r="D19" t="s">
        <v>1690</v>
      </c>
      <c r="E19" t="s">
        <v>1691</v>
      </c>
      <c r="F19" t="s">
        <v>52</v>
      </c>
      <c r="G19" t="s">
        <v>16231</v>
      </c>
      <c r="H19" t="s">
        <v>47054</v>
      </c>
      <c r="I19" t="s">
        <v>47111</v>
      </c>
      <c r="J19" t="s">
        <v>47112</v>
      </c>
      <c r="K19" t="s">
        <v>47113</v>
      </c>
      <c r="L19">
        <v>41.53</v>
      </c>
      <c r="M19">
        <v>102</v>
      </c>
      <c r="N19">
        <v>0</v>
      </c>
      <c r="O19">
        <v>102</v>
      </c>
      <c r="P19">
        <v>0</v>
      </c>
    </row>
    <row r="20" spans="1:16" x14ac:dyDescent="0.25">
      <c r="A20" t="s">
        <v>22995</v>
      </c>
      <c r="B20" t="s">
        <v>1698</v>
      </c>
      <c r="C20" t="s">
        <v>1699</v>
      </c>
      <c r="D20" t="s">
        <v>1683</v>
      </c>
      <c r="E20" t="s">
        <v>1694</v>
      </c>
      <c r="F20" t="s">
        <v>52</v>
      </c>
      <c r="G20" t="s">
        <v>16231</v>
      </c>
      <c r="H20" t="s">
        <v>47054</v>
      </c>
      <c r="I20" t="s">
        <v>47114</v>
      </c>
      <c r="J20" t="s">
        <v>47115</v>
      </c>
      <c r="K20" t="s">
        <v>47113</v>
      </c>
      <c r="L20">
        <v>39.04</v>
      </c>
      <c r="M20">
        <v>86</v>
      </c>
      <c r="N20">
        <v>0</v>
      </c>
      <c r="O20">
        <v>86</v>
      </c>
      <c r="P20">
        <v>0</v>
      </c>
    </row>
    <row r="21" spans="1:16" x14ac:dyDescent="0.25">
      <c r="A21" t="s">
        <v>22996</v>
      </c>
      <c r="B21" t="s">
        <v>1698</v>
      </c>
      <c r="C21" t="s">
        <v>1699</v>
      </c>
      <c r="D21" t="s">
        <v>1690</v>
      </c>
      <c r="E21" t="s">
        <v>1691</v>
      </c>
      <c r="F21" t="s">
        <v>52</v>
      </c>
      <c r="G21" t="s">
        <v>16231</v>
      </c>
      <c r="H21" t="s">
        <v>47054</v>
      </c>
      <c r="I21" t="s">
        <v>47114</v>
      </c>
      <c r="J21" t="s">
        <v>47115</v>
      </c>
      <c r="K21" t="s">
        <v>47113</v>
      </c>
      <c r="L21">
        <v>40.65</v>
      </c>
      <c r="M21">
        <v>93</v>
      </c>
      <c r="N21">
        <v>0</v>
      </c>
      <c r="O21">
        <v>93</v>
      </c>
      <c r="P21">
        <v>0</v>
      </c>
    </row>
    <row r="22" spans="1:16" x14ac:dyDescent="0.25">
      <c r="A22" t="s">
        <v>22997</v>
      </c>
      <c r="B22" t="s">
        <v>1700</v>
      </c>
      <c r="C22" t="s">
        <v>1701</v>
      </c>
      <c r="D22" t="s">
        <v>1686</v>
      </c>
      <c r="E22" t="s">
        <v>1687</v>
      </c>
      <c r="F22" t="s">
        <v>1401</v>
      </c>
      <c r="G22" t="s">
        <v>16231</v>
      </c>
      <c r="H22" t="s">
        <v>47054</v>
      </c>
      <c r="I22" t="s">
        <v>47111</v>
      </c>
      <c r="J22" t="s">
        <v>47112</v>
      </c>
      <c r="K22" t="s">
        <v>47113</v>
      </c>
      <c r="L22">
        <v>28.14</v>
      </c>
      <c r="M22">
        <v>69</v>
      </c>
      <c r="N22">
        <v>0</v>
      </c>
      <c r="O22">
        <v>69</v>
      </c>
      <c r="P22">
        <v>0</v>
      </c>
    </row>
    <row r="23" spans="1:16" x14ac:dyDescent="0.25">
      <c r="A23" t="s">
        <v>22998</v>
      </c>
      <c r="B23" t="str">
        <f>"1000000013"</f>
        <v>1000000013</v>
      </c>
      <c r="C23" t="s">
        <v>1702</v>
      </c>
      <c r="D23" t="s">
        <v>1703</v>
      </c>
      <c r="E23" t="s">
        <v>1704</v>
      </c>
      <c r="F23" t="s">
        <v>631</v>
      </c>
      <c r="G23" t="s">
        <v>16231</v>
      </c>
      <c r="H23" t="s">
        <v>47054</v>
      </c>
      <c r="I23" t="s">
        <v>47111</v>
      </c>
      <c r="J23" t="s">
        <v>47112</v>
      </c>
      <c r="K23" t="s">
        <v>47113</v>
      </c>
      <c r="L23">
        <v>58.28</v>
      </c>
      <c r="M23">
        <v>130</v>
      </c>
      <c r="N23">
        <v>0</v>
      </c>
      <c r="O23">
        <v>130</v>
      </c>
      <c r="P23">
        <v>0</v>
      </c>
    </row>
    <row r="24" spans="1:16" x14ac:dyDescent="0.25">
      <c r="A24" t="s">
        <v>22999</v>
      </c>
      <c r="B24" t="str">
        <f>"1000000015"</f>
        <v>1000000015</v>
      </c>
      <c r="C24" t="s">
        <v>1705</v>
      </c>
      <c r="D24" t="s">
        <v>1706</v>
      </c>
      <c r="E24" t="s">
        <v>1707</v>
      </c>
      <c r="F24" t="s">
        <v>631</v>
      </c>
      <c r="G24" t="s">
        <v>16231</v>
      </c>
      <c r="H24" t="s">
        <v>47054</v>
      </c>
      <c r="I24" t="s">
        <v>47111</v>
      </c>
      <c r="J24" t="s">
        <v>47112</v>
      </c>
      <c r="K24" t="s">
        <v>47113</v>
      </c>
      <c r="L24">
        <v>56.5</v>
      </c>
      <c r="M24">
        <v>126</v>
      </c>
      <c r="N24">
        <v>0</v>
      </c>
      <c r="O24">
        <v>126</v>
      </c>
      <c r="P24">
        <v>0</v>
      </c>
    </row>
    <row r="25" spans="1:16" x14ac:dyDescent="0.25">
      <c r="A25" t="s">
        <v>23000</v>
      </c>
      <c r="B25" t="str">
        <f>"1000000017"</f>
        <v>1000000017</v>
      </c>
      <c r="C25" t="s">
        <v>1708</v>
      </c>
      <c r="D25" t="s">
        <v>1709</v>
      </c>
      <c r="E25" t="s">
        <v>1710</v>
      </c>
      <c r="F25" t="s">
        <v>56</v>
      </c>
      <c r="G25" t="s">
        <v>16231</v>
      </c>
      <c r="H25" t="s">
        <v>47054</v>
      </c>
      <c r="I25" t="s">
        <v>47111</v>
      </c>
      <c r="J25" t="s">
        <v>47112</v>
      </c>
      <c r="K25" t="s">
        <v>47113</v>
      </c>
      <c r="L25">
        <v>59.03</v>
      </c>
      <c r="M25">
        <v>132</v>
      </c>
      <c r="N25">
        <v>0</v>
      </c>
      <c r="O25">
        <v>132</v>
      </c>
      <c r="P25">
        <v>0</v>
      </c>
    </row>
    <row r="26" spans="1:16" x14ac:dyDescent="0.25">
      <c r="A26" t="s">
        <v>23001</v>
      </c>
      <c r="B26" t="str">
        <f>"1000000017"</f>
        <v>1000000017</v>
      </c>
      <c r="C26" t="s">
        <v>1708</v>
      </c>
      <c r="D26" t="s">
        <v>1711</v>
      </c>
      <c r="E26" t="s">
        <v>1712</v>
      </c>
      <c r="F26" t="s">
        <v>56</v>
      </c>
      <c r="G26" t="s">
        <v>16231</v>
      </c>
      <c r="H26" t="s">
        <v>47054</v>
      </c>
      <c r="I26" t="s">
        <v>47114</v>
      </c>
      <c r="J26" t="s">
        <v>47115</v>
      </c>
      <c r="K26" t="s">
        <v>47113</v>
      </c>
      <c r="L26">
        <v>54.54</v>
      </c>
      <c r="M26">
        <v>129</v>
      </c>
      <c r="N26">
        <v>0</v>
      </c>
      <c r="O26">
        <v>129</v>
      </c>
      <c r="P26">
        <v>0</v>
      </c>
    </row>
    <row r="27" spans="1:16" x14ac:dyDescent="0.25">
      <c r="A27" t="s">
        <v>23002</v>
      </c>
      <c r="B27" t="str">
        <f>"1000000018"</f>
        <v>1000000018</v>
      </c>
      <c r="C27" t="s">
        <v>1708</v>
      </c>
      <c r="D27" t="s">
        <v>1709</v>
      </c>
      <c r="E27" t="s">
        <v>1710</v>
      </c>
      <c r="F27" t="s">
        <v>56</v>
      </c>
      <c r="G27" t="s">
        <v>16231</v>
      </c>
      <c r="H27" t="s">
        <v>47054</v>
      </c>
      <c r="I27" t="s">
        <v>47111</v>
      </c>
      <c r="J27" t="s">
        <v>47112</v>
      </c>
      <c r="K27" t="s">
        <v>47113</v>
      </c>
      <c r="L27">
        <v>61.59</v>
      </c>
      <c r="M27">
        <v>133</v>
      </c>
      <c r="N27">
        <v>0</v>
      </c>
      <c r="O27">
        <v>133</v>
      </c>
      <c r="P27">
        <v>0</v>
      </c>
    </row>
    <row r="28" spans="1:16" x14ac:dyDescent="0.25">
      <c r="A28" t="s">
        <v>23003</v>
      </c>
      <c r="B28" t="str">
        <f>"1000000018"</f>
        <v>1000000018</v>
      </c>
      <c r="C28" t="s">
        <v>1708</v>
      </c>
      <c r="D28" t="s">
        <v>1713</v>
      </c>
      <c r="E28" t="s">
        <v>1714</v>
      </c>
      <c r="F28" t="s">
        <v>56</v>
      </c>
      <c r="G28" t="s">
        <v>16231</v>
      </c>
      <c r="H28" t="s">
        <v>47054</v>
      </c>
      <c r="I28" t="s">
        <v>47111</v>
      </c>
      <c r="J28" t="s">
        <v>47112</v>
      </c>
      <c r="K28" t="s">
        <v>47113</v>
      </c>
      <c r="L28">
        <v>54.84</v>
      </c>
      <c r="M28">
        <v>120</v>
      </c>
      <c r="N28">
        <v>0</v>
      </c>
      <c r="O28">
        <v>120</v>
      </c>
      <c r="P28">
        <v>0</v>
      </c>
    </row>
    <row r="29" spans="1:16" x14ac:dyDescent="0.25">
      <c r="A29" t="s">
        <v>23004</v>
      </c>
      <c r="B29" t="str">
        <f>"1000000019"</f>
        <v>1000000019</v>
      </c>
      <c r="C29" t="s">
        <v>1715</v>
      </c>
      <c r="D29" t="s">
        <v>1709</v>
      </c>
      <c r="E29" t="s">
        <v>1710</v>
      </c>
      <c r="F29" t="s">
        <v>56</v>
      </c>
      <c r="G29" t="s">
        <v>16231</v>
      </c>
      <c r="H29" t="s">
        <v>47054</v>
      </c>
      <c r="I29" t="s">
        <v>47114</v>
      </c>
      <c r="J29" t="s">
        <v>47115</v>
      </c>
      <c r="K29" t="s">
        <v>47113</v>
      </c>
      <c r="L29">
        <v>76.17</v>
      </c>
      <c r="M29">
        <v>171</v>
      </c>
      <c r="N29">
        <v>0</v>
      </c>
      <c r="O29">
        <v>171</v>
      </c>
      <c r="P29">
        <v>0</v>
      </c>
    </row>
    <row r="30" spans="1:16" x14ac:dyDescent="0.25">
      <c r="A30" t="s">
        <v>23005</v>
      </c>
      <c r="B30" t="str">
        <f>"1000000019"</f>
        <v>1000000019</v>
      </c>
      <c r="C30" t="s">
        <v>1715</v>
      </c>
      <c r="D30" t="s">
        <v>1711</v>
      </c>
      <c r="E30" t="s">
        <v>1712</v>
      </c>
      <c r="F30" t="s">
        <v>56</v>
      </c>
      <c r="G30" t="s">
        <v>16231</v>
      </c>
      <c r="H30" t="s">
        <v>47054</v>
      </c>
      <c r="I30" t="s">
        <v>47114</v>
      </c>
      <c r="J30" t="s">
        <v>47115</v>
      </c>
      <c r="K30" t="s">
        <v>47113</v>
      </c>
      <c r="L30">
        <v>66.23</v>
      </c>
      <c r="M30">
        <v>167</v>
      </c>
      <c r="N30">
        <v>0</v>
      </c>
      <c r="O30">
        <v>167</v>
      </c>
      <c r="P30">
        <v>0</v>
      </c>
    </row>
    <row r="31" spans="1:16" x14ac:dyDescent="0.25">
      <c r="A31" t="s">
        <v>23006</v>
      </c>
      <c r="B31" t="str">
        <f>"1000000020"</f>
        <v>1000000020</v>
      </c>
      <c r="C31" t="s">
        <v>1716</v>
      </c>
      <c r="D31" t="s">
        <v>721</v>
      </c>
      <c r="E31" t="s">
        <v>722</v>
      </c>
      <c r="F31" t="s">
        <v>1717</v>
      </c>
      <c r="G31" t="s">
        <v>16231</v>
      </c>
      <c r="H31" t="s">
        <v>47054</v>
      </c>
      <c r="I31" t="s">
        <v>47111</v>
      </c>
      <c r="J31" t="s">
        <v>47112</v>
      </c>
      <c r="K31" t="s">
        <v>47113</v>
      </c>
      <c r="L31">
        <v>26.94</v>
      </c>
      <c r="M31">
        <v>94</v>
      </c>
      <c r="N31">
        <v>0</v>
      </c>
      <c r="O31">
        <v>94</v>
      </c>
      <c r="P31">
        <v>0</v>
      </c>
    </row>
    <row r="32" spans="1:16" x14ac:dyDescent="0.25">
      <c r="A32" t="s">
        <v>23007</v>
      </c>
      <c r="B32" t="str">
        <f>"1000000020"</f>
        <v>1000000020</v>
      </c>
      <c r="C32" t="s">
        <v>1716</v>
      </c>
      <c r="D32" t="s">
        <v>27</v>
      </c>
      <c r="E32" t="s">
        <v>622</v>
      </c>
      <c r="F32" t="s">
        <v>1717</v>
      </c>
      <c r="G32" t="s">
        <v>16231</v>
      </c>
      <c r="H32" t="s">
        <v>47054</v>
      </c>
      <c r="I32" t="s">
        <v>47111</v>
      </c>
      <c r="J32" t="s">
        <v>47112</v>
      </c>
      <c r="K32" t="s">
        <v>47113</v>
      </c>
      <c r="L32">
        <v>36.869999999999997</v>
      </c>
      <c r="M32">
        <v>113</v>
      </c>
      <c r="N32">
        <v>0</v>
      </c>
      <c r="O32">
        <v>113</v>
      </c>
      <c r="P32">
        <v>0</v>
      </c>
    </row>
    <row r="33" spans="1:16" x14ac:dyDescent="0.25">
      <c r="A33" t="s">
        <v>23008</v>
      </c>
      <c r="B33" t="str">
        <f>"1000000020"</f>
        <v>1000000020</v>
      </c>
      <c r="C33" t="s">
        <v>1716</v>
      </c>
      <c r="D33" t="s">
        <v>1718</v>
      </c>
      <c r="E33" t="s">
        <v>1719</v>
      </c>
      <c r="F33" t="s">
        <v>1717</v>
      </c>
      <c r="G33" t="s">
        <v>16231</v>
      </c>
      <c r="H33" t="s">
        <v>47054</v>
      </c>
      <c r="I33" t="s">
        <v>47111</v>
      </c>
      <c r="J33" t="s">
        <v>47112</v>
      </c>
      <c r="K33" t="s">
        <v>47113</v>
      </c>
      <c r="L33">
        <v>31.68</v>
      </c>
      <c r="M33">
        <v>108</v>
      </c>
      <c r="N33">
        <v>0</v>
      </c>
      <c r="O33">
        <v>108</v>
      </c>
      <c r="P33">
        <v>0</v>
      </c>
    </row>
    <row r="34" spans="1:16" x14ac:dyDescent="0.25">
      <c r="A34" t="s">
        <v>23009</v>
      </c>
      <c r="B34" t="str">
        <f>"1000000020"</f>
        <v>1000000020</v>
      </c>
      <c r="C34" t="s">
        <v>1716</v>
      </c>
      <c r="D34" t="s">
        <v>1720</v>
      </c>
      <c r="E34" t="s">
        <v>1721</v>
      </c>
      <c r="F34" t="s">
        <v>1717</v>
      </c>
      <c r="G34" t="s">
        <v>16231</v>
      </c>
      <c r="H34" t="s">
        <v>47054</v>
      </c>
      <c r="I34" t="s">
        <v>47111</v>
      </c>
      <c r="J34" t="s">
        <v>47112</v>
      </c>
      <c r="K34" t="s">
        <v>47113</v>
      </c>
      <c r="L34">
        <v>42.93</v>
      </c>
      <c r="M34">
        <v>96</v>
      </c>
      <c r="N34">
        <v>0</v>
      </c>
      <c r="O34">
        <v>96</v>
      </c>
      <c r="P34">
        <v>0</v>
      </c>
    </row>
    <row r="35" spans="1:16" x14ac:dyDescent="0.25">
      <c r="A35" t="s">
        <v>23010</v>
      </c>
      <c r="B35" t="str">
        <f>"1000000020"</f>
        <v>1000000020</v>
      </c>
      <c r="C35" t="s">
        <v>1716</v>
      </c>
      <c r="D35" t="s">
        <v>1722</v>
      </c>
      <c r="E35" t="s">
        <v>1723</v>
      </c>
      <c r="F35" t="s">
        <v>8</v>
      </c>
      <c r="G35" t="s">
        <v>16231</v>
      </c>
      <c r="H35" t="s">
        <v>47054</v>
      </c>
      <c r="I35" t="s">
        <v>47111</v>
      </c>
      <c r="J35" t="s">
        <v>47112</v>
      </c>
      <c r="K35" t="s">
        <v>47113</v>
      </c>
      <c r="L35">
        <v>39.93</v>
      </c>
      <c r="M35">
        <v>127</v>
      </c>
      <c r="N35">
        <v>0</v>
      </c>
      <c r="O35">
        <v>127</v>
      </c>
      <c r="P35">
        <v>0</v>
      </c>
    </row>
    <row r="36" spans="1:16" x14ac:dyDescent="0.25">
      <c r="A36" t="s">
        <v>23011</v>
      </c>
      <c r="B36" t="str">
        <f>"1000000022"</f>
        <v>1000000022</v>
      </c>
      <c r="C36" t="s">
        <v>1724</v>
      </c>
      <c r="D36" t="s">
        <v>1713</v>
      </c>
      <c r="E36" t="s">
        <v>1714</v>
      </c>
      <c r="F36" t="s">
        <v>56</v>
      </c>
      <c r="G36" t="s">
        <v>16231</v>
      </c>
      <c r="H36" t="s">
        <v>47054</v>
      </c>
      <c r="I36" t="s">
        <v>47114</v>
      </c>
      <c r="J36" t="s">
        <v>47115</v>
      </c>
      <c r="K36" t="s">
        <v>47113</v>
      </c>
      <c r="L36">
        <v>53.78</v>
      </c>
      <c r="M36">
        <v>119</v>
      </c>
      <c r="N36">
        <v>0</v>
      </c>
      <c r="O36">
        <v>119</v>
      </c>
      <c r="P36">
        <v>0</v>
      </c>
    </row>
    <row r="37" spans="1:16" x14ac:dyDescent="0.25">
      <c r="A37" t="s">
        <v>23012</v>
      </c>
      <c r="B37" t="str">
        <f>"1000000023"</f>
        <v>1000000023</v>
      </c>
      <c r="C37" t="s">
        <v>1724</v>
      </c>
      <c r="D37" t="s">
        <v>1709</v>
      </c>
      <c r="E37" t="s">
        <v>1710</v>
      </c>
      <c r="F37" t="s">
        <v>56</v>
      </c>
      <c r="G37" t="s">
        <v>16231</v>
      </c>
      <c r="H37" t="s">
        <v>47054</v>
      </c>
      <c r="I37" t="s">
        <v>47111</v>
      </c>
      <c r="J37" t="s">
        <v>47112</v>
      </c>
      <c r="K37" t="s">
        <v>47113</v>
      </c>
      <c r="L37">
        <v>64.13</v>
      </c>
      <c r="M37">
        <v>133</v>
      </c>
      <c r="N37">
        <v>0</v>
      </c>
      <c r="O37">
        <v>133</v>
      </c>
      <c r="P37">
        <v>0</v>
      </c>
    </row>
    <row r="38" spans="1:16" x14ac:dyDescent="0.25">
      <c r="A38" t="s">
        <v>23013</v>
      </c>
      <c r="B38" t="str">
        <f>"1000000024"</f>
        <v>1000000024</v>
      </c>
      <c r="C38" t="s">
        <v>1725</v>
      </c>
      <c r="D38" t="s">
        <v>1713</v>
      </c>
      <c r="E38" t="s">
        <v>1714</v>
      </c>
      <c r="F38" t="s">
        <v>56</v>
      </c>
      <c r="G38" t="s">
        <v>16231</v>
      </c>
      <c r="H38" t="s">
        <v>47054</v>
      </c>
      <c r="I38" t="s">
        <v>47114</v>
      </c>
      <c r="J38" t="s">
        <v>47115</v>
      </c>
      <c r="K38" t="s">
        <v>47113</v>
      </c>
      <c r="L38">
        <v>75.349999999999994</v>
      </c>
      <c r="M38">
        <v>157</v>
      </c>
      <c r="N38">
        <v>0</v>
      </c>
      <c r="O38">
        <v>157</v>
      </c>
      <c r="P38">
        <v>0</v>
      </c>
    </row>
    <row r="39" spans="1:16" x14ac:dyDescent="0.25">
      <c r="A39" t="s">
        <v>23014</v>
      </c>
      <c r="B39" t="str">
        <f>"1000000024"</f>
        <v>1000000024</v>
      </c>
      <c r="C39" t="s">
        <v>1725</v>
      </c>
      <c r="D39" t="s">
        <v>1711</v>
      </c>
      <c r="E39" t="s">
        <v>1712</v>
      </c>
      <c r="F39" t="s">
        <v>56</v>
      </c>
      <c r="G39" t="s">
        <v>16231</v>
      </c>
      <c r="H39" t="s">
        <v>47054</v>
      </c>
      <c r="I39" t="s">
        <v>47114</v>
      </c>
      <c r="J39" t="s">
        <v>47115</v>
      </c>
      <c r="K39" t="s">
        <v>47113</v>
      </c>
      <c r="L39">
        <v>78.180000000000007</v>
      </c>
      <c r="M39">
        <v>167</v>
      </c>
      <c r="N39">
        <v>0</v>
      </c>
      <c r="O39">
        <v>167</v>
      </c>
      <c r="P39">
        <v>0</v>
      </c>
    </row>
    <row r="40" spans="1:16" x14ac:dyDescent="0.25">
      <c r="A40" t="s">
        <v>23015</v>
      </c>
      <c r="B40" t="str">
        <f>"1000000025"</f>
        <v>1000000025</v>
      </c>
      <c r="C40" t="s">
        <v>1726</v>
      </c>
      <c r="D40" t="s">
        <v>1709</v>
      </c>
      <c r="E40" t="s">
        <v>1710</v>
      </c>
      <c r="F40" t="s">
        <v>56</v>
      </c>
      <c r="G40" t="s">
        <v>16231</v>
      </c>
      <c r="H40" t="s">
        <v>47054</v>
      </c>
      <c r="I40" t="s">
        <v>47111</v>
      </c>
      <c r="J40" t="s">
        <v>47112</v>
      </c>
      <c r="K40" t="s">
        <v>47113</v>
      </c>
      <c r="L40">
        <v>59.03</v>
      </c>
      <c r="M40">
        <v>132</v>
      </c>
      <c r="N40">
        <v>0</v>
      </c>
      <c r="O40">
        <v>132</v>
      </c>
      <c r="P40">
        <v>0</v>
      </c>
    </row>
    <row r="41" spans="1:16" x14ac:dyDescent="0.25">
      <c r="A41" t="s">
        <v>23016</v>
      </c>
      <c r="B41" t="str">
        <f>"1000000025"</f>
        <v>1000000025</v>
      </c>
      <c r="C41" t="s">
        <v>1726</v>
      </c>
      <c r="D41" t="s">
        <v>1713</v>
      </c>
      <c r="E41" t="s">
        <v>1714</v>
      </c>
      <c r="F41" t="s">
        <v>56</v>
      </c>
      <c r="G41" t="s">
        <v>16231</v>
      </c>
      <c r="H41" t="s">
        <v>47054</v>
      </c>
      <c r="I41" t="s">
        <v>47111</v>
      </c>
      <c r="J41" t="s">
        <v>47112</v>
      </c>
      <c r="K41" t="s">
        <v>47113</v>
      </c>
      <c r="L41">
        <v>56.92</v>
      </c>
      <c r="M41">
        <v>119</v>
      </c>
      <c r="N41">
        <v>0</v>
      </c>
      <c r="O41">
        <v>119</v>
      </c>
      <c r="P41">
        <v>0</v>
      </c>
    </row>
    <row r="42" spans="1:16" x14ac:dyDescent="0.25">
      <c r="A42" t="s">
        <v>23017</v>
      </c>
      <c r="B42" t="str">
        <f>"1000000025"</f>
        <v>1000000025</v>
      </c>
      <c r="C42" t="s">
        <v>1726</v>
      </c>
      <c r="D42" t="s">
        <v>1711</v>
      </c>
      <c r="E42" t="s">
        <v>1712</v>
      </c>
      <c r="F42" t="s">
        <v>56</v>
      </c>
      <c r="G42" t="s">
        <v>16231</v>
      </c>
      <c r="H42" t="s">
        <v>47054</v>
      </c>
      <c r="I42" t="s">
        <v>47111</v>
      </c>
      <c r="J42" t="s">
        <v>47112</v>
      </c>
      <c r="K42" t="s">
        <v>47113</v>
      </c>
      <c r="L42">
        <v>59.7</v>
      </c>
      <c r="M42">
        <v>129</v>
      </c>
      <c r="N42">
        <v>0</v>
      </c>
      <c r="O42">
        <v>129</v>
      </c>
      <c r="P42">
        <v>0</v>
      </c>
    </row>
    <row r="43" spans="1:16" x14ac:dyDescent="0.25">
      <c r="A43" t="s">
        <v>23018</v>
      </c>
      <c r="B43" t="str">
        <f>"1000000026"</f>
        <v>1000000026</v>
      </c>
      <c r="C43" t="s">
        <v>1727</v>
      </c>
      <c r="D43" t="s">
        <v>1718</v>
      </c>
      <c r="E43" t="s">
        <v>1719</v>
      </c>
      <c r="F43" t="s">
        <v>56</v>
      </c>
      <c r="G43" t="s">
        <v>16231</v>
      </c>
      <c r="H43" t="s">
        <v>47054</v>
      </c>
      <c r="I43" t="s">
        <v>47114</v>
      </c>
      <c r="J43" t="s">
        <v>47115</v>
      </c>
      <c r="K43" t="s">
        <v>47113</v>
      </c>
      <c r="L43">
        <v>72.53</v>
      </c>
      <c r="M43">
        <v>150</v>
      </c>
      <c r="N43">
        <v>0</v>
      </c>
      <c r="O43">
        <v>150</v>
      </c>
      <c r="P43">
        <v>0</v>
      </c>
    </row>
    <row r="44" spans="1:16" x14ac:dyDescent="0.25">
      <c r="A44" t="s">
        <v>23019</v>
      </c>
      <c r="B44" t="str">
        <f>"1000000026"</f>
        <v>1000000026</v>
      </c>
      <c r="C44" t="s">
        <v>1727</v>
      </c>
      <c r="D44" t="s">
        <v>1709</v>
      </c>
      <c r="E44" t="s">
        <v>1710</v>
      </c>
      <c r="F44" t="s">
        <v>56</v>
      </c>
      <c r="G44" t="s">
        <v>16231</v>
      </c>
      <c r="H44" t="s">
        <v>47054</v>
      </c>
      <c r="I44" t="s">
        <v>47114</v>
      </c>
      <c r="J44" t="s">
        <v>47115</v>
      </c>
      <c r="K44" t="s">
        <v>47113</v>
      </c>
      <c r="L44">
        <v>82.14</v>
      </c>
      <c r="M44">
        <v>171</v>
      </c>
      <c r="N44">
        <v>0</v>
      </c>
      <c r="O44">
        <v>171</v>
      </c>
      <c r="P44">
        <v>0</v>
      </c>
    </row>
    <row r="45" spans="1:16" x14ac:dyDescent="0.25">
      <c r="A45" t="s">
        <v>23020</v>
      </c>
      <c r="B45" t="str">
        <f>"1000000026"</f>
        <v>1000000026</v>
      </c>
      <c r="C45" t="s">
        <v>1727</v>
      </c>
      <c r="D45" t="s">
        <v>1711</v>
      </c>
      <c r="E45" t="s">
        <v>1712</v>
      </c>
      <c r="F45" t="s">
        <v>56</v>
      </c>
      <c r="G45" t="s">
        <v>16231</v>
      </c>
      <c r="H45" t="s">
        <v>47054</v>
      </c>
      <c r="I45" t="s">
        <v>47114</v>
      </c>
      <c r="J45" t="s">
        <v>47115</v>
      </c>
      <c r="K45" t="s">
        <v>47113</v>
      </c>
      <c r="L45">
        <v>78.180000000000007</v>
      </c>
      <c r="M45">
        <v>167</v>
      </c>
      <c r="N45">
        <v>0</v>
      </c>
      <c r="O45">
        <v>167</v>
      </c>
      <c r="P45">
        <v>0</v>
      </c>
    </row>
    <row r="46" spans="1:16" x14ac:dyDescent="0.25">
      <c r="A46" t="s">
        <v>23021</v>
      </c>
      <c r="B46" t="str">
        <f>"1000000028"</f>
        <v>1000000028</v>
      </c>
      <c r="C46" t="s">
        <v>1728</v>
      </c>
      <c r="D46" t="s">
        <v>27</v>
      </c>
      <c r="E46" t="s">
        <v>622</v>
      </c>
      <c r="F46" t="s">
        <v>631</v>
      </c>
      <c r="G46" t="s">
        <v>16231</v>
      </c>
      <c r="H46" t="s">
        <v>47054</v>
      </c>
      <c r="I46" t="s">
        <v>47111</v>
      </c>
      <c r="J46" t="s">
        <v>47112</v>
      </c>
      <c r="K46" t="s">
        <v>47113</v>
      </c>
      <c r="L46">
        <v>44.63</v>
      </c>
      <c r="M46">
        <v>110</v>
      </c>
      <c r="N46">
        <v>0</v>
      </c>
      <c r="O46">
        <v>110</v>
      </c>
      <c r="P46">
        <v>0</v>
      </c>
    </row>
    <row r="47" spans="1:16" x14ac:dyDescent="0.25">
      <c r="A47" t="s">
        <v>23022</v>
      </c>
      <c r="B47" t="str">
        <f>"1000000028"</f>
        <v>1000000028</v>
      </c>
      <c r="C47" t="s">
        <v>1728</v>
      </c>
      <c r="D47" t="s">
        <v>1722</v>
      </c>
      <c r="E47" t="s">
        <v>1723</v>
      </c>
      <c r="F47" t="s">
        <v>8</v>
      </c>
      <c r="G47" t="s">
        <v>16231</v>
      </c>
      <c r="H47" t="s">
        <v>47054</v>
      </c>
      <c r="I47" t="s">
        <v>47111</v>
      </c>
      <c r="J47" t="s">
        <v>47112</v>
      </c>
      <c r="K47" t="s">
        <v>47113</v>
      </c>
      <c r="L47">
        <v>49.09</v>
      </c>
      <c r="M47">
        <v>127</v>
      </c>
      <c r="N47">
        <v>0</v>
      </c>
      <c r="O47">
        <v>127</v>
      </c>
      <c r="P47">
        <v>0</v>
      </c>
    </row>
    <row r="48" spans="1:16" x14ac:dyDescent="0.25">
      <c r="A48" t="s">
        <v>23023</v>
      </c>
      <c r="B48" t="str">
        <f>"1000000030"</f>
        <v>1000000030</v>
      </c>
      <c r="C48" t="s">
        <v>1729</v>
      </c>
      <c r="D48" t="s">
        <v>1709</v>
      </c>
      <c r="E48" t="s">
        <v>1710</v>
      </c>
      <c r="F48" t="s">
        <v>56</v>
      </c>
      <c r="G48" t="s">
        <v>16231</v>
      </c>
      <c r="H48" t="s">
        <v>47054</v>
      </c>
      <c r="I48" t="s">
        <v>47111</v>
      </c>
      <c r="J48" t="s">
        <v>47112</v>
      </c>
      <c r="K48" t="s">
        <v>47113</v>
      </c>
      <c r="L48">
        <v>63.66</v>
      </c>
      <c r="M48">
        <v>132</v>
      </c>
      <c r="N48">
        <v>0</v>
      </c>
      <c r="O48">
        <v>132</v>
      </c>
      <c r="P48">
        <v>0</v>
      </c>
    </row>
    <row r="49" spans="1:16" x14ac:dyDescent="0.25">
      <c r="A49" t="s">
        <v>23024</v>
      </c>
      <c r="B49" t="str">
        <f>"1000000030"</f>
        <v>1000000030</v>
      </c>
      <c r="C49" t="s">
        <v>1729</v>
      </c>
      <c r="D49" t="s">
        <v>1713</v>
      </c>
      <c r="E49" t="s">
        <v>1714</v>
      </c>
      <c r="F49" t="s">
        <v>56</v>
      </c>
      <c r="G49" t="s">
        <v>16231</v>
      </c>
      <c r="H49" t="s">
        <v>47054</v>
      </c>
      <c r="I49" t="s">
        <v>47111</v>
      </c>
      <c r="J49" t="s">
        <v>47112</v>
      </c>
      <c r="K49" t="s">
        <v>47113</v>
      </c>
      <c r="L49">
        <v>56.92</v>
      </c>
      <c r="M49">
        <v>119</v>
      </c>
      <c r="N49">
        <v>0</v>
      </c>
      <c r="O49">
        <v>119</v>
      </c>
      <c r="P49">
        <v>0</v>
      </c>
    </row>
    <row r="50" spans="1:16" x14ac:dyDescent="0.25">
      <c r="A50" t="s">
        <v>23025</v>
      </c>
      <c r="B50" t="str">
        <f>"1000000030"</f>
        <v>1000000030</v>
      </c>
      <c r="C50" t="s">
        <v>1729</v>
      </c>
      <c r="D50" t="s">
        <v>1711</v>
      </c>
      <c r="E50" t="s">
        <v>1712</v>
      </c>
      <c r="F50" t="s">
        <v>56</v>
      </c>
      <c r="G50" t="s">
        <v>16231</v>
      </c>
      <c r="H50" t="s">
        <v>47054</v>
      </c>
      <c r="I50" t="s">
        <v>47111</v>
      </c>
      <c r="J50" t="s">
        <v>47112</v>
      </c>
      <c r="K50" t="s">
        <v>47113</v>
      </c>
      <c r="L50">
        <v>59.7</v>
      </c>
      <c r="M50">
        <v>129</v>
      </c>
      <c r="N50">
        <v>0</v>
      </c>
      <c r="O50">
        <v>129</v>
      </c>
      <c r="P50">
        <v>0</v>
      </c>
    </row>
    <row r="51" spans="1:16" x14ac:dyDescent="0.25">
      <c r="A51" t="s">
        <v>23026</v>
      </c>
      <c r="B51" t="str">
        <f>"1000000031"</f>
        <v>1000000031</v>
      </c>
      <c r="C51" t="s">
        <v>1729</v>
      </c>
      <c r="D51" t="s">
        <v>1709</v>
      </c>
      <c r="E51" t="s">
        <v>1710</v>
      </c>
      <c r="F51" t="s">
        <v>56</v>
      </c>
      <c r="G51" t="s">
        <v>16231</v>
      </c>
      <c r="H51" t="s">
        <v>47054</v>
      </c>
      <c r="I51" t="s">
        <v>47111</v>
      </c>
      <c r="J51" t="s">
        <v>47112</v>
      </c>
      <c r="K51" t="s">
        <v>47113</v>
      </c>
      <c r="L51">
        <v>64.09</v>
      </c>
      <c r="M51">
        <v>133</v>
      </c>
      <c r="N51">
        <v>0</v>
      </c>
      <c r="O51">
        <v>133</v>
      </c>
      <c r="P51">
        <v>0</v>
      </c>
    </row>
    <row r="52" spans="1:16" x14ac:dyDescent="0.25">
      <c r="A52" t="s">
        <v>23027</v>
      </c>
      <c r="B52" t="str">
        <f>"1000000031"</f>
        <v>1000000031</v>
      </c>
      <c r="C52" t="s">
        <v>1729</v>
      </c>
      <c r="D52" t="s">
        <v>1713</v>
      </c>
      <c r="E52" t="s">
        <v>1714</v>
      </c>
      <c r="F52" t="s">
        <v>56</v>
      </c>
      <c r="G52" t="s">
        <v>16231</v>
      </c>
      <c r="H52" t="s">
        <v>47054</v>
      </c>
      <c r="I52" t="s">
        <v>47111</v>
      </c>
      <c r="J52" t="s">
        <v>47112</v>
      </c>
      <c r="K52" t="s">
        <v>47113</v>
      </c>
      <c r="L52">
        <v>57.38</v>
      </c>
      <c r="M52">
        <v>120</v>
      </c>
      <c r="N52">
        <v>0</v>
      </c>
      <c r="O52">
        <v>120</v>
      </c>
      <c r="P52">
        <v>0</v>
      </c>
    </row>
    <row r="53" spans="1:16" x14ac:dyDescent="0.25">
      <c r="A53" t="s">
        <v>23028</v>
      </c>
      <c r="B53" t="str">
        <f>"1000000031"</f>
        <v>1000000031</v>
      </c>
      <c r="C53" t="s">
        <v>1729</v>
      </c>
      <c r="D53" t="s">
        <v>1711</v>
      </c>
      <c r="E53" t="s">
        <v>1712</v>
      </c>
      <c r="F53" t="s">
        <v>56</v>
      </c>
      <c r="G53" t="s">
        <v>16231</v>
      </c>
      <c r="H53" t="s">
        <v>47054</v>
      </c>
      <c r="I53" t="s">
        <v>47111</v>
      </c>
      <c r="J53" t="s">
        <v>47112</v>
      </c>
      <c r="K53" t="s">
        <v>47113</v>
      </c>
      <c r="L53">
        <v>60.17</v>
      </c>
      <c r="M53">
        <v>129</v>
      </c>
      <c r="N53">
        <v>0</v>
      </c>
      <c r="O53">
        <v>129</v>
      </c>
      <c r="P53">
        <v>0</v>
      </c>
    </row>
    <row r="54" spans="1:16" x14ac:dyDescent="0.25">
      <c r="A54" t="s">
        <v>23029</v>
      </c>
      <c r="B54" t="str">
        <f>"1000000032"</f>
        <v>1000000032</v>
      </c>
      <c r="C54" t="s">
        <v>1730</v>
      </c>
      <c r="D54" t="s">
        <v>1713</v>
      </c>
      <c r="E54" t="s">
        <v>1714</v>
      </c>
      <c r="F54" t="s">
        <v>56</v>
      </c>
      <c r="G54" t="s">
        <v>16231</v>
      </c>
      <c r="H54" t="s">
        <v>47054</v>
      </c>
      <c r="I54" t="s">
        <v>47114</v>
      </c>
      <c r="J54" t="s">
        <v>47115</v>
      </c>
      <c r="K54" t="s">
        <v>47113</v>
      </c>
      <c r="L54">
        <v>75.349999999999994</v>
      </c>
      <c r="M54">
        <v>157</v>
      </c>
      <c r="N54">
        <v>0</v>
      </c>
      <c r="O54">
        <v>157</v>
      </c>
      <c r="P54">
        <v>0</v>
      </c>
    </row>
    <row r="55" spans="1:16" x14ac:dyDescent="0.25">
      <c r="A55" t="s">
        <v>23030</v>
      </c>
      <c r="B55" t="str">
        <f>"1000000032"</f>
        <v>1000000032</v>
      </c>
      <c r="C55" t="s">
        <v>1730</v>
      </c>
      <c r="D55" t="s">
        <v>1711</v>
      </c>
      <c r="E55" t="s">
        <v>1712</v>
      </c>
      <c r="F55" t="s">
        <v>56</v>
      </c>
      <c r="G55" t="s">
        <v>16231</v>
      </c>
      <c r="H55" t="s">
        <v>47054</v>
      </c>
      <c r="I55" t="s">
        <v>47111</v>
      </c>
      <c r="J55" t="s">
        <v>47112</v>
      </c>
      <c r="K55" t="s">
        <v>47113</v>
      </c>
      <c r="L55">
        <v>78.180000000000007</v>
      </c>
      <c r="M55">
        <v>167</v>
      </c>
      <c r="N55">
        <v>0</v>
      </c>
      <c r="O55">
        <v>167</v>
      </c>
      <c r="P55">
        <v>0</v>
      </c>
    </row>
    <row r="56" spans="1:16" x14ac:dyDescent="0.25">
      <c r="A56">
        <v>100000003489</v>
      </c>
      <c r="B56" t="str">
        <f>"1000000034"</f>
        <v>1000000034</v>
      </c>
      <c r="C56" t="s">
        <v>1731</v>
      </c>
      <c r="D56" t="str">
        <f>"89"</f>
        <v>89</v>
      </c>
      <c r="E56" t="s">
        <v>1732</v>
      </c>
      <c r="F56" t="s">
        <v>8</v>
      </c>
      <c r="G56" t="s">
        <v>16231</v>
      </c>
      <c r="H56" t="s">
        <v>47054</v>
      </c>
      <c r="I56" t="s">
        <v>47111</v>
      </c>
      <c r="J56" t="s">
        <v>47112</v>
      </c>
      <c r="K56" t="s">
        <v>47113</v>
      </c>
      <c r="L56">
        <v>68.05</v>
      </c>
      <c r="M56">
        <v>176</v>
      </c>
      <c r="N56">
        <v>0</v>
      </c>
      <c r="O56">
        <v>176</v>
      </c>
      <c r="P56">
        <v>0</v>
      </c>
    </row>
    <row r="57" spans="1:16" x14ac:dyDescent="0.25">
      <c r="A57" t="s">
        <v>23031</v>
      </c>
      <c r="B57" t="str">
        <f>"1000000034"</f>
        <v>1000000034</v>
      </c>
      <c r="C57" t="s">
        <v>1731</v>
      </c>
      <c r="D57" t="s">
        <v>1703</v>
      </c>
      <c r="E57" t="s">
        <v>1704</v>
      </c>
      <c r="F57" t="s">
        <v>631</v>
      </c>
      <c r="G57" t="s">
        <v>16231</v>
      </c>
      <c r="H57" t="s">
        <v>47054</v>
      </c>
      <c r="I57" t="s">
        <v>47111</v>
      </c>
      <c r="J57" t="s">
        <v>47112</v>
      </c>
      <c r="K57" t="s">
        <v>47113</v>
      </c>
      <c r="L57">
        <v>69.47</v>
      </c>
      <c r="M57">
        <v>154</v>
      </c>
      <c r="N57">
        <v>0</v>
      </c>
      <c r="O57">
        <v>154</v>
      </c>
      <c r="P57">
        <v>0</v>
      </c>
    </row>
    <row r="58" spans="1:16" x14ac:dyDescent="0.25">
      <c r="A58" t="s">
        <v>23032</v>
      </c>
      <c r="B58" t="str">
        <f t="shared" ref="B58:B63" si="0">"1000000035"</f>
        <v>1000000035</v>
      </c>
      <c r="C58" t="s">
        <v>1733</v>
      </c>
      <c r="D58" t="s">
        <v>721</v>
      </c>
      <c r="E58" t="s">
        <v>722</v>
      </c>
      <c r="F58" t="s">
        <v>8</v>
      </c>
      <c r="G58" t="s">
        <v>16231</v>
      </c>
      <c r="H58" t="s">
        <v>47054</v>
      </c>
      <c r="I58" t="s">
        <v>47111</v>
      </c>
      <c r="J58" t="s">
        <v>47112</v>
      </c>
      <c r="K58" t="s">
        <v>47113</v>
      </c>
      <c r="L58">
        <v>35.31</v>
      </c>
      <c r="M58">
        <v>94</v>
      </c>
      <c r="N58">
        <v>0</v>
      </c>
      <c r="O58">
        <v>94</v>
      </c>
      <c r="P58">
        <v>0</v>
      </c>
    </row>
    <row r="59" spans="1:16" x14ac:dyDescent="0.25">
      <c r="A59" t="s">
        <v>23033</v>
      </c>
      <c r="B59" t="str">
        <f t="shared" si="0"/>
        <v>1000000035</v>
      </c>
      <c r="C59" t="s">
        <v>1733</v>
      </c>
      <c r="D59" t="s">
        <v>27</v>
      </c>
      <c r="E59" t="s">
        <v>622</v>
      </c>
      <c r="F59" t="s">
        <v>8</v>
      </c>
      <c r="G59" t="s">
        <v>16231</v>
      </c>
      <c r="H59" t="s">
        <v>47054</v>
      </c>
      <c r="I59" t="s">
        <v>47111</v>
      </c>
      <c r="J59" t="s">
        <v>47112</v>
      </c>
      <c r="K59" t="s">
        <v>47113</v>
      </c>
      <c r="L59">
        <v>47.31</v>
      </c>
      <c r="M59">
        <v>96</v>
      </c>
      <c r="N59">
        <v>0</v>
      </c>
      <c r="O59">
        <v>96</v>
      </c>
      <c r="P59">
        <v>0</v>
      </c>
    </row>
    <row r="60" spans="1:16" x14ac:dyDescent="0.25">
      <c r="A60">
        <v>100000003589</v>
      </c>
      <c r="B60" t="str">
        <f t="shared" si="0"/>
        <v>1000000035</v>
      </c>
      <c r="C60" t="s">
        <v>1733</v>
      </c>
      <c r="D60" t="str">
        <f>"89"</f>
        <v>89</v>
      </c>
      <c r="E60" t="s">
        <v>1732</v>
      </c>
      <c r="F60" t="s">
        <v>8</v>
      </c>
      <c r="G60" t="s">
        <v>16231</v>
      </c>
      <c r="H60" t="s">
        <v>47054</v>
      </c>
      <c r="I60" t="s">
        <v>47111</v>
      </c>
      <c r="J60" t="s">
        <v>47112</v>
      </c>
      <c r="K60" t="s">
        <v>47113</v>
      </c>
      <c r="L60">
        <v>41.78</v>
      </c>
      <c r="M60">
        <v>108</v>
      </c>
      <c r="N60">
        <v>0</v>
      </c>
      <c r="O60">
        <v>108</v>
      </c>
      <c r="P60">
        <v>0</v>
      </c>
    </row>
    <row r="61" spans="1:16" x14ac:dyDescent="0.25">
      <c r="A61" t="s">
        <v>23034</v>
      </c>
      <c r="B61" t="str">
        <f t="shared" si="0"/>
        <v>1000000035</v>
      </c>
      <c r="C61" t="s">
        <v>1733</v>
      </c>
      <c r="D61" t="s">
        <v>1718</v>
      </c>
      <c r="E61" t="s">
        <v>1719</v>
      </c>
      <c r="F61" t="s">
        <v>8</v>
      </c>
      <c r="G61" t="s">
        <v>16231</v>
      </c>
      <c r="H61" t="s">
        <v>47054</v>
      </c>
      <c r="I61" t="s">
        <v>47111</v>
      </c>
      <c r="J61" t="s">
        <v>47112</v>
      </c>
      <c r="K61" t="s">
        <v>47113</v>
      </c>
      <c r="L61">
        <v>39.99</v>
      </c>
      <c r="M61">
        <v>108</v>
      </c>
      <c r="N61">
        <v>0</v>
      </c>
      <c r="O61">
        <v>108</v>
      </c>
      <c r="P61">
        <v>0</v>
      </c>
    </row>
    <row r="62" spans="1:16" x14ac:dyDescent="0.25">
      <c r="A62" t="s">
        <v>23035</v>
      </c>
      <c r="B62" t="str">
        <f t="shared" si="0"/>
        <v>1000000035</v>
      </c>
      <c r="C62" t="s">
        <v>1733</v>
      </c>
      <c r="D62" t="s">
        <v>1722</v>
      </c>
      <c r="E62" t="s">
        <v>1723</v>
      </c>
      <c r="F62" t="s">
        <v>8</v>
      </c>
      <c r="G62" t="s">
        <v>16231</v>
      </c>
      <c r="H62" t="s">
        <v>47054</v>
      </c>
      <c r="I62" t="s">
        <v>47111</v>
      </c>
      <c r="J62" t="s">
        <v>47112</v>
      </c>
      <c r="K62" t="s">
        <v>47113</v>
      </c>
      <c r="L62">
        <v>47.31</v>
      </c>
      <c r="M62">
        <v>127</v>
      </c>
      <c r="N62">
        <v>0</v>
      </c>
      <c r="O62">
        <v>127</v>
      </c>
      <c r="P62">
        <v>0</v>
      </c>
    </row>
    <row r="63" spans="1:16" x14ac:dyDescent="0.25">
      <c r="A63" t="s">
        <v>23036</v>
      </c>
      <c r="B63" t="str">
        <f t="shared" si="0"/>
        <v>1000000035</v>
      </c>
      <c r="C63" t="s">
        <v>1733</v>
      </c>
      <c r="D63" t="s">
        <v>1734</v>
      </c>
      <c r="E63" t="s">
        <v>1735</v>
      </c>
      <c r="F63" t="s">
        <v>56</v>
      </c>
      <c r="G63" t="s">
        <v>16231</v>
      </c>
      <c r="H63" t="s">
        <v>47054</v>
      </c>
      <c r="I63" t="s">
        <v>47111</v>
      </c>
      <c r="J63" t="s">
        <v>47112</v>
      </c>
      <c r="K63" t="s">
        <v>47113</v>
      </c>
      <c r="L63">
        <v>45.63</v>
      </c>
      <c r="M63">
        <v>96</v>
      </c>
      <c r="N63">
        <v>0</v>
      </c>
      <c r="O63">
        <v>96</v>
      </c>
      <c r="P63">
        <v>0</v>
      </c>
    </row>
    <row r="64" spans="1:16" x14ac:dyDescent="0.25">
      <c r="A64" t="s">
        <v>23037</v>
      </c>
      <c r="B64" t="str">
        <f>"1000000036"</f>
        <v>1000000036</v>
      </c>
      <c r="C64" t="s">
        <v>1736</v>
      </c>
      <c r="D64" t="s">
        <v>1737</v>
      </c>
      <c r="E64" t="s">
        <v>1738</v>
      </c>
      <c r="F64" t="s">
        <v>56</v>
      </c>
      <c r="G64" t="s">
        <v>16231</v>
      </c>
      <c r="H64" t="s">
        <v>47054</v>
      </c>
      <c r="I64" t="s">
        <v>47111</v>
      </c>
      <c r="J64" t="s">
        <v>47112</v>
      </c>
      <c r="K64" t="s">
        <v>47113</v>
      </c>
      <c r="L64">
        <v>41.73</v>
      </c>
      <c r="M64">
        <v>85</v>
      </c>
      <c r="N64">
        <v>0</v>
      </c>
      <c r="O64">
        <v>85</v>
      </c>
      <c r="P64">
        <v>0</v>
      </c>
    </row>
    <row r="65" spans="1:16" x14ac:dyDescent="0.25">
      <c r="A65" t="s">
        <v>23038</v>
      </c>
      <c r="B65" t="str">
        <f>"1000000036"</f>
        <v>1000000036</v>
      </c>
      <c r="C65" t="s">
        <v>1736</v>
      </c>
      <c r="D65" t="s">
        <v>1734</v>
      </c>
      <c r="E65" t="s">
        <v>1735</v>
      </c>
      <c r="F65" t="s">
        <v>56</v>
      </c>
      <c r="G65" t="s">
        <v>16231</v>
      </c>
      <c r="H65" t="s">
        <v>47054</v>
      </c>
      <c r="I65" t="s">
        <v>47111</v>
      </c>
      <c r="J65" t="s">
        <v>47112</v>
      </c>
      <c r="K65" t="s">
        <v>47113</v>
      </c>
      <c r="L65">
        <v>37.08</v>
      </c>
      <c r="M65">
        <v>97</v>
      </c>
      <c r="N65">
        <v>0</v>
      </c>
      <c r="O65">
        <v>97</v>
      </c>
      <c r="P65">
        <v>0</v>
      </c>
    </row>
    <row r="66" spans="1:16" x14ac:dyDescent="0.25">
      <c r="A66">
        <v>100000005489</v>
      </c>
      <c r="B66" t="str">
        <f>"1000000054"</f>
        <v>1000000054</v>
      </c>
      <c r="C66" t="s">
        <v>1739</v>
      </c>
      <c r="D66" t="str">
        <f>"89"</f>
        <v>89</v>
      </c>
      <c r="E66" t="s">
        <v>1732</v>
      </c>
      <c r="F66" t="s">
        <v>7</v>
      </c>
      <c r="G66" t="s">
        <v>16231</v>
      </c>
      <c r="H66" t="s">
        <v>47054</v>
      </c>
      <c r="I66" t="s">
        <v>47111</v>
      </c>
      <c r="J66" t="s">
        <v>47112</v>
      </c>
      <c r="K66" t="s">
        <v>47113</v>
      </c>
      <c r="L66">
        <v>39.79</v>
      </c>
      <c r="M66">
        <v>128</v>
      </c>
      <c r="N66">
        <v>0</v>
      </c>
      <c r="O66">
        <v>128</v>
      </c>
      <c r="P66">
        <v>0</v>
      </c>
    </row>
    <row r="67" spans="1:16" x14ac:dyDescent="0.25">
      <c r="A67" t="s">
        <v>23039</v>
      </c>
      <c r="B67" t="str">
        <f>"1000000054"</f>
        <v>1000000054</v>
      </c>
      <c r="C67" t="s">
        <v>1739</v>
      </c>
      <c r="D67" t="s">
        <v>1740</v>
      </c>
      <c r="E67" t="s">
        <v>1741</v>
      </c>
      <c r="F67" t="s">
        <v>7</v>
      </c>
      <c r="G67" t="s">
        <v>16231</v>
      </c>
      <c r="H67" t="s">
        <v>47054</v>
      </c>
      <c r="I67" t="s">
        <v>47111</v>
      </c>
      <c r="J67" t="s">
        <v>47112</v>
      </c>
      <c r="K67" t="s">
        <v>47113</v>
      </c>
      <c r="L67">
        <v>61.16</v>
      </c>
      <c r="M67">
        <v>129</v>
      </c>
      <c r="N67">
        <v>0</v>
      </c>
      <c r="O67">
        <v>129</v>
      </c>
      <c r="P67">
        <v>0</v>
      </c>
    </row>
    <row r="68" spans="1:16" x14ac:dyDescent="0.25">
      <c r="A68" t="s">
        <v>23040</v>
      </c>
      <c r="B68" t="str">
        <f>"1000000055"</f>
        <v>1000000055</v>
      </c>
      <c r="C68" t="s">
        <v>1742</v>
      </c>
      <c r="D68" t="s">
        <v>1743</v>
      </c>
      <c r="E68" t="s">
        <v>1744</v>
      </c>
      <c r="F68" t="s">
        <v>7</v>
      </c>
      <c r="G68" t="s">
        <v>16231</v>
      </c>
      <c r="H68" t="s">
        <v>47054</v>
      </c>
      <c r="I68" t="s">
        <v>47111</v>
      </c>
      <c r="J68" t="s">
        <v>47112</v>
      </c>
      <c r="K68" t="s">
        <v>47113</v>
      </c>
      <c r="L68">
        <v>45.67</v>
      </c>
      <c r="M68">
        <v>142</v>
      </c>
      <c r="N68">
        <v>0</v>
      </c>
      <c r="O68">
        <v>142</v>
      </c>
      <c r="P68">
        <v>0</v>
      </c>
    </row>
    <row r="69" spans="1:16" x14ac:dyDescent="0.25">
      <c r="A69" t="s">
        <v>23041</v>
      </c>
      <c r="B69" t="str">
        <f>"1000000056"</f>
        <v>1000000056</v>
      </c>
      <c r="C69" t="s">
        <v>1745</v>
      </c>
      <c r="D69" t="s">
        <v>1734</v>
      </c>
      <c r="E69" t="s">
        <v>1735</v>
      </c>
      <c r="F69" t="s">
        <v>7</v>
      </c>
      <c r="G69" t="s">
        <v>16231</v>
      </c>
      <c r="H69" t="s">
        <v>47054</v>
      </c>
      <c r="I69" t="s">
        <v>47111</v>
      </c>
      <c r="J69" t="s">
        <v>47112</v>
      </c>
      <c r="K69" t="s">
        <v>47113</v>
      </c>
      <c r="L69">
        <v>48.99</v>
      </c>
      <c r="M69">
        <v>147</v>
      </c>
      <c r="N69">
        <v>0</v>
      </c>
      <c r="O69">
        <v>147</v>
      </c>
      <c r="P69">
        <v>0</v>
      </c>
    </row>
    <row r="70" spans="1:16" x14ac:dyDescent="0.25">
      <c r="A70" t="s">
        <v>23042</v>
      </c>
      <c r="B70" t="str">
        <f>"1000000056"</f>
        <v>1000000056</v>
      </c>
      <c r="C70" t="s">
        <v>1745</v>
      </c>
      <c r="D70" t="s">
        <v>311</v>
      </c>
      <c r="E70" t="s">
        <v>312</v>
      </c>
      <c r="F70" t="s">
        <v>7</v>
      </c>
      <c r="G70" t="s">
        <v>16231</v>
      </c>
      <c r="H70" t="s">
        <v>47054</v>
      </c>
      <c r="I70" t="s">
        <v>47111</v>
      </c>
      <c r="J70" t="s">
        <v>47112</v>
      </c>
      <c r="K70" t="s">
        <v>47113</v>
      </c>
      <c r="L70">
        <v>41.09</v>
      </c>
      <c r="M70">
        <v>129</v>
      </c>
      <c r="N70">
        <v>0</v>
      </c>
      <c r="O70">
        <v>129</v>
      </c>
      <c r="P70">
        <v>0</v>
      </c>
    </row>
    <row r="71" spans="1:16" x14ac:dyDescent="0.25">
      <c r="A71">
        <v>10100000011001</v>
      </c>
      <c r="B71" t="str">
        <f>"1010000001"</f>
        <v>1010000001</v>
      </c>
      <c r="C71" t="s">
        <v>1746</v>
      </c>
      <c r="D71" t="str">
        <f>"1001"</f>
        <v>1001</v>
      </c>
      <c r="E71" t="s">
        <v>42</v>
      </c>
      <c r="F71" t="s">
        <v>52</v>
      </c>
      <c r="G71" t="s">
        <v>16222</v>
      </c>
      <c r="H71" t="s">
        <v>47054</v>
      </c>
      <c r="I71" t="s">
        <v>47116</v>
      </c>
      <c r="J71" t="s">
        <v>47117</v>
      </c>
      <c r="K71" t="s">
        <v>47113</v>
      </c>
      <c r="L71">
        <v>24.23</v>
      </c>
      <c r="M71">
        <v>56</v>
      </c>
      <c r="N71">
        <v>0</v>
      </c>
      <c r="O71">
        <v>56</v>
      </c>
      <c r="P71">
        <v>0</v>
      </c>
    </row>
    <row r="72" spans="1:16" x14ac:dyDescent="0.25">
      <c r="A72">
        <v>10100000012500</v>
      </c>
      <c r="B72" t="str">
        <f>"1010000001"</f>
        <v>1010000001</v>
      </c>
      <c r="C72" t="s">
        <v>1746</v>
      </c>
      <c r="D72" t="str">
        <f>"2500"</f>
        <v>2500</v>
      </c>
      <c r="E72" t="s">
        <v>1747</v>
      </c>
      <c r="F72" t="s">
        <v>52</v>
      </c>
      <c r="G72" t="s">
        <v>16222</v>
      </c>
      <c r="H72" t="s">
        <v>47054</v>
      </c>
      <c r="I72" t="s">
        <v>47116</v>
      </c>
      <c r="J72" t="s">
        <v>47117</v>
      </c>
      <c r="K72" t="s">
        <v>47113</v>
      </c>
      <c r="L72">
        <v>24.84</v>
      </c>
      <c r="M72">
        <v>56</v>
      </c>
      <c r="N72">
        <v>0</v>
      </c>
      <c r="O72">
        <v>56</v>
      </c>
      <c r="P72">
        <v>0</v>
      </c>
    </row>
    <row r="73" spans="1:16" x14ac:dyDescent="0.25">
      <c r="A73">
        <v>10100000013190</v>
      </c>
      <c r="B73" t="str">
        <f>"1010000001"</f>
        <v>1010000001</v>
      </c>
      <c r="C73" t="s">
        <v>1746</v>
      </c>
      <c r="D73" t="str">
        <f>"3190"</f>
        <v>3190</v>
      </c>
      <c r="E73" t="s">
        <v>1748</v>
      </c>
      <c r="F73" t="s">
        <v>52</v>
      </c>
      <c r="G73" t="s">
        <v>16222</v>
      </c>
      <c r="H73" t="s">
        <v>47054</v>
      </c>
      <c r="I73" t="s">
        <v>47116</v>
      </c>
      <c r="J73" t="s">
        <v>47117</v>
      </c>
      <c r="K73" t="s">
        <v>47113</v>
      </c>
      <c r="L73">
        <v>24.84</v>
      </c>
      <c r="M73">
        <v>57</v>
      </c>
      <c r="N73">
        <v>0</v>
      </c>
      <c r="O73">
        <v>57</v>
      </c>
      <c r="P73">
        <v>0</v>
      </c>
    </row>
    <row r="74" spans="1:16" x14ac:dyDescent="0.25">
      <c r="A74">
        <v>10100000014101</v>
      </c>
      <c r="B74" t="str">
        <f>"1010000001"</f>
        <v>1010000001</v>
      </c>
      <c r="C74" t="s">
        <v>1746</v>
      </c>
      <c r="D74" t="str">
        <f>"4101"</f>
        <v>4101</v>
      </c>
      <c r="E74" t="s">
        <v>43</v>
      </c>
      <c r="F74" t="s">
        <v>52</v>
      </c>
      <c r="G74" t="s">
        <v>16222</v>
      </c>
      <c r="H74" t="s">
        <v>47054</v>
      </c>
      <c r="I74" t="s">
        <v>47116</v>
      </c>
      <c r="J74" t="s">
        <v>47117</v>
      </c>
      <c r="K74" t="s">
        <v>47113</v>
      </c>
      <c r="L74">
        <v>24.84</v>
      </c>
      <c r="M74">
        <v>56</v>
      </c>
      <c r="N74">
        <v>0</v>
      </c>
      <c r="O74">
        <v>56</v>
      </c>
      <c r="P74">
        <v>0</v>
      </c>
    </row>
    <row r="75" spans="1:16" x14ac:dyDescent="0.25">
      <c r="A75">
        <v>10100000016005</v>
      </c>
      <c r="B75" t="str">
        <f>"1010000001"</f>
        <v>1010000001</v>
      </c>
      <c r="C75" t="s">
        <v>1746</v>
      </c>
      <c r="D75" t="str">
        <f>"6005"</f>
        <v>6005</v>
      </c>
      <c r="E75" t="s">
        <v>1749</v>
      </c>
      <c r="F75" t="s">
        <v>52</v>
      </c>
      <c r="G75" t="s">
        <v>16222</v>
      </c>
      <c r="H75" t="s">
        <v>47054</v>
      </c>
      <c r="I75" t="s">
        <v>47116</v>
      </c>
      <c r="J75" t="s">
        <v>47117</v>
      </c>
      <c r="K75" t="s">
        <v>47113</v>
      </c>
      <c r="L75">
        <v>24.84</v>
      </c>
      <c r="M75">
        <v>56</v>
      </c>
      <c r="N75">
        <v>0</v>
      </c>
      <c r="O75">
        <v>56</v>
      </c>
      <c r="P75">
        <v>0</v>
      </c>
    </row>
    <row r="76" spans="1:16" x14ac:dyDescent="0.25">
      <c r="A76">
        <v>10100000041501</v>
      </c>
      <c r="B76" t="str">
        <f>"1010000004"</f>
        <v>1010000004</v>
      </c>
      <c r="C76" t="s">
        <v>1750</v>
      </c>
      <c r="D76" t="str">
        <f>"1501"</f>
        <v>1501</v>
      </c>
      <c r="E76" t="s">
        <v>46</v>
      </c>
      <c r="F76" t="s">
        <v>52</v>
      </c>
      <c r="G76" t="s">
        <v>16234</v>
      </c>
      <c r="H76" t="s">
        <v>47054</v>
      </c>
      <c r="I76" t="s">
        <v>47116</v>
      </c>
      <c r="J76" t="s">
        <v>47117</v>
      </c>
      <c r="K76" t="s">
        <v>47113</v>
      </c>
      <c r="L76">
        <v>24.84</v>
      </c>
      <c r="M76">
        <v>61</v>
      </c>
      <c r="N76">
        <v>0</v>
      </c>
      <c r="O76">
        <v>61</v>
      </c>
      <c r="P76">
        <v>0</v>
      </c>
    </row>
    <row r="77" spans="1:16" x14ac:dyDescent="0.25">
      <c r="A77">
        <v>10100000051501</v>
      </c>
      <c r="B77" t="str">
        <f>"1010000005"</f>
        <v>1010000005</v>
      </c>
      <c r="C77" t="s">
        <v>1746</v>
      </c>
      <c r="D77" t="str">
        <f>"1501"</f>
        <v>1501</v>
      </c>
      <c r="E77" t="s">
        <v>46</v>
      </c>
      <c r="F77" t="s">
        <v>52</v>
      </c>
      <c r="G77" t="s">
        <v>16234</v>
      </c>
      <c r="H77" t="s">
        <v>47054</v>
      </c>
      <c r="I77" t="s">
        <v>47116</v>
      </c>
      <c r="J77" t="s">
        <v>47117</v>
      </c>
      <c r="K77" t="s">
        <v>47113</v>
      </c>
      <c r="L77">
        <v>24.84</v>
      </c>
      <c r="M77">
        <v>57</v>
      </c>
      <c r="N77">
        <v>0</v>
      </c>
      <c r="O77">
        <v>57</v>
      </c>
      <c r="P77">
        <v>0</v>
      </c>
    </row>
    <row r="78" spans="1:16" x14ac:dyDescent="0.25">
      <c r="A78" t="s">
        <v>23043</v>
      </c>
      <c r="B78" t="str">
        <f>"1020000003"</f>
        <v>1020000003</v>
      </c>
      <c r="C78" t="s">
        <v>1751</v>
      </c>
      <c r="D78" t="s">
        <v>1752</v>
      </c>
      <c r="E78" t="s">
        <v>1753</v>
      </c>
      <c r="F78" t="s">
        <v>58</v>
      </c>
      <c r="G78" t="s">
        <v>16233</v>
      </c>
      <c r="H78" t="s">
        <v>47054</v>
      </c>
      <c r="I78" t="s">
        <v>47111</v>
      </c>
      <c r="J78" t="s">
        <v>47112</v>
      </c>
      <c r="K78" t="s">
        <v>47113</v>
      </c>
      <c r="L78">
        <v>37.119999999999997</v>
      </c>
      <c r="M78">
        <v>83</v>
      </c>
      <c r="N78">
        <v>0</v>
      </c>
      <c r="O78">
        <v>83</v>
      </c>
      <c r="P78">
        <v>0</v>
      </c>
    </row>
    <row r="79" spans="1:16" x14ac:dyDescent="0.25">
      <c r="A79">
        <v>10200000052805</v>
      </c>
      <c r="B79" t="str">
        <f>"1020000005"</f>
        <v>1020000005</v>
      </c>
      <c r="C79" t="s">
        <v>1754</v>
      </c>
      <c r="D79" t="str">
        <f>"2805"</f>
        <v>2805</v>
      </c>
      <c r="E79" t="s">
        <v>1755</v>
      </c>
      <c r="F79" t="s">
        <v>58</v>
      </c>
      <c r="G79" t="s">
        <v>16233</v>
      </c>
      <c r="H79" t="s">
        <v>47054</v>
      </c>
      <c r="I79" t="s">
        <v>47111</v>
      </c>
      <c r="J79" t="s">
        <v>47112</v>
      </c>
      <c r="K79" t="s">
        <v>47113</v>
      </c>
      <c r="L79">
        <v>35.9</v>
      </c>
      <c r="M79">
        <v>73</v>
      </c>
      <c r="N79">
        <v>0</v>
      </c>
      <c r="O79">
        <v>73</v>
      </c>
      <c r="P79">
        <v>0</v>
      </c>
    </row>
    <row r="80" spans="1:16" x14ac:dyDescent="0.25">
      <c r="A80">
        <v>10300000011001</v>
      </c>
      <c r="B80" t="str">
        <f>"1030000001"</f>
        <v>1030000001</v>
      </c>
      <c r="C80" t="s">
        <v>1756</v>
      </c>
      <c r="D80" t="str">
        <f>"1001"</f>
        <v>1001</v>
      </c>
      <c r="E80" t="s">
        <v>42</v>
      </c>
      <c r="F80" t="s">
        <v>8</v>
      </c>
      <c r="G80" t="s">
        <v>16222</v>
      </c>
      <c r="H80" t="s">
        <v>47054</v>
      </c>
      <c r="I80" t="s">
        <v>47116</v>
      </c>
      <c r="J80" t="s">
        <v>47117</v>
      </c>
      <c r="K80" t="s">
        <v>47113</v>
      </c>
      <c r="L80">
        <v>19.149999999999999</v>
      </c>
      <c r="M80">
        <v>49</v>
      </c>
      <c r="N80">
        <v>0</v>
      </c>
      <c r="O80">
        <v>49</v>
      </c>
      <c r="P80">
        <v>0</v>
      </c>
    </row>
    <row r="81" spans="1:16" x14ac:dyDescent="0.25">
      <c r="A81">
        <v>10300000031001</v>
      </c>
      <c r="B81" t="str">
        <f>"1030000003"</f>
        <v>1030000003</v>
      </c>
      <c r="C81" t="s">
        <v>1756</v>
      </c>
      <c r="D81" t="str">
        <f>"1001"</f>
        <v>1001</v>
      </c>
      <c r="E81" t="s">
        <v>42</v>
      </c>
      <c r="F81" t="s">
        <v>631</v>
      </c>
      <c r="G81" t="s">
        <v>16222</v>
      </c>
      <c r="H81" t="s">
        <v>47054</v>
      </c>
      <c r="I81" t="s">
        <v>47116</v>
      </c>
      <c r="J81" t="s">
        <v>47117</v>
      </c>
      <c r="K81" t="s">
        <v>47113</v>
      </c>
      <c r="L81">
        <v>26.64</v>
      </c>
      <c r="M81">
        <v>47</v>
      </c>
      <c r="N81">
        <v>0</v>
      </c>
      <c r="O81">
        <v>47</v>
      </c>
      <c r="P81">
        <v>0</v>
      </c>
    </row>
    <row r="82" spans="1:16" x14ac:dyDescent="0.25">
      <c r="A82">
        <v>10300000032500</v>
      </c>
      <c r="B82" t="str">
        <f>"1030000003"</f>
        <v>1030000003</v>
      </c>
      <c r="C82" t="s">
        <v>1756</v>
      </c>
      <c r="D82" t="str">
        <f>"2500"</f>
        <v>2500</v>
      </c>
      <c r="E82" t="s">
        <v>1747</v>
      </c>
      <c r="F82" t="s">
        <v>631</v>
      </c>
      <c r="G82" t="s">
        <v>16222</v>
      </c>
      <c r="H82" t="s">
        <v>47054</v>
      </c>
      <c r="I82" t="s">
        <v>47116</v>
      </c>
      <c r="J82" t="s">
        <v>47117</v>
      </c>
      <c r="K82" t="s">
        <v>47113</v>
      </c>
      <c r="L82">
        <v>26.64</v>
      </c>
      <c r="M82">
        <v>47</v>
      </c>
      <c r="N82">
        <v>0</v>
      </c>
      <c r="O82">
        <v>47</v>
      </c>
      <c r="P82">
        <v>0</v>
      </c>
    </row>
    <row r="83" spans="1:16" x14ac:dyDescent="0.25">
      <c r="A83">
        <v>10300000034101</v>
      </c>
      <c r="B83" t="str">
        <f>"1030000003"</f>
        <v>1030000003</v>
      </c>
      <c r="C83" t="s">
        <v>1756</v>
      </c>
      <c r="D83" t="str">
        <f>"4101"</f>
        <v>4101</v>
      </c>
      <c r="E83" t="s">
        <v>43</v>
      </c>
      <c r="F83" t="s">
        <v>631</v>
      </c>
      <c r="G83" t="s">
        <v>16222</v>
      </c>
      <c r="H83" t="s">
        <v>47054</v>
      </c>
      <c r="I83" t="s">
        <v>47116</v>
      </c>
      <c r="J83" t="s">
        <v>47117</v>
      </c>
      <c r="K83" t="s">
        <v>47113</v>
      </c>
      <c r="L83">
        <v>26.64</v>
      </c>
      <c r="M83">
        <v>47</v>
      </c>
      <c r="N83">
        <v>0</v>
      </c>
      <c r="O83">
        <v>47</v>
      </c>
      <c r="P83">
        <v>0</v>
      </c>
    </row>
    <row r="84" spans="1:16" x14ac:dyDescent="0.25">
      <c r="A84">
        <v>10300000051001</v>
      </c>
      <c r="B84" t="str">
        <f>"1030000005"</f>
        <v>1030000005</v>
      </c>
      <c r="C84" t="s">
        <v>1746</v>
      </c>
      <c r="D84" t="str">
        <f>"1001"</f>
        <v>1001</v>
      </c>
      <c r="E84" t="s">
        <v>42</v>
      </c>
      <c r="F84" t="s">
        <v>52</v>
      </c>
      <c r="G84" t="s">
        <v>16222</v>
      </c>
      <c r="H84" t="s">
        <v>47054</v>
      </c>
      <c r="I84" t="s">
        <v>47114</v>
      </c>
      <c r="J84" t="s">
        <v>47115</v>
      </c>
      <c r="K84" t="s">
        <v>47113</v>
      </c>
      <c r="L84">
        <v>24.84</v>
      </c>
      <c r="M84">
        <v>57</v>
      </c>
      <c r="N84">
        <v>0</v>
      </c>
      <c r="O84">
        <v>57</v>
      </c>
      <c r="P84">
        <v>0</v>
      </c>
    </row>
    <row r="85" spans="1:16" x14ac:dyDescent="0.25">
      <c r="A85">
        <v>10300000052500</v>
      </c>
      <c r="B85" t="str">
        <f>"1030000005"</f>
        <v>1030000005</v>
      </c>
      <c r="C85" t="s">
        <v>1746</v>
      </c>
      <c r="D85" t="str">
        <f>"2500"</f>
        <v>2500</v>
      </c>
      <c r="E85" t="s">
        <v>1747</v>
      </c>
      <c r="F85" t="s">
        <v>52</v>
      </c>
      <c r="G85" t="s">
        <v>16222</v>
      </c>
      <c r="H85" t="s">
        <v>47054</v>
      </c>
      <c r="I85" t="s">
        <v>47114</v>
      </c>
      <c r="J85" t="s">
        <v>47115</v>
      </c>
      <c r="K85" t="s">
        <v>47113</v>
      </c>
      <c r="L85">
        <v>24.84</v>
      </c>
      <c r="M85">
        <v>61</v>
      </c>
      <c r="N85">
        <v>0</v>
      </c>
      <c r="O85">
        <v>61</v>
      </c>
      <c r="P85">
        <v>0</v>
      </c>
    </row>
    <row r="86" spans="1:16" x14ac:dyDescent="0.25">
      <c r="A86">
        <v>10300000053190</v>
      </c>
      <c r="B86" t="str">
        <f>"1030000005"</f>
        <v>1030000005</v>
      </c>
      <c r="C86" t="s">
        <v>1746</v>
      </c>
      <c r="D86" t="str">
        <f>"3190"</f>
        <v>3190</v>
      </c>
      <c r="E86" t="s">
        <v>1748</v>
      </c>
      <c r="F86" t="s">
        <v>52</v>
      </c>
      <c r="G86" t="s">
        <v>16222</v>
      </c>
      <c r="H86" t="s">
        <v>47054</v>
      </c>
      <c r="I86" t="s">
        <v>47114</v>
      </c>
      <c r="J86" t="s">
        <v>47115</v>
      </c>
      <c r="K86" t="s">
        <v>47113</v>
      </c>
      <c r="L86">
        <v>24.84</v>
      </c>
      <c r="M86">
        <v>57</v>
      </c>
      <c r="N86">
        <v>0</v>
      </c>
      <c r="O86">
        <v>57</v>
      </c>
      <c r="P86">
        <v>0</v>
      </c>
    </row>
    <row r="87" spans="1:16" x14ac:dyDescent="0.25">
      <c r="A87">
        <v>10300000054101</v>
      </c>
      <c r="B87" t="str">
        <f>"1030000005"</f>
        <v>1030000005</v>
      </c>
      <c r="C87" t="s">
        <v>1746</v>
      </c>
      <c r="D87" t="str">
        <f>"4101"</f>
        <v>4101</v>
      </c>
      <c r="E87" t="s">
        <v>43</v>
      </c>
      <c r="F87" t="s">
        <v>52</v>
      </c>
      <c r="G87" t="s">
        <v>16222</v>
      </c>
      <c r="H87" t="s">
        <v>47054</v>
      </c>
      <c r="I87" t="s">
        <v>47114</v>
      </c>
      <c r="J87" t="s">
        <v>47115</v>
      </c>
      <c r="K87" t="s">
        <v>47113</v>
      </c>
      <c r="L87">
        <v>24.84</v>
      </c>
      <c r="M87">
        <v>61</v>
      </c>
      <c r="N87">
        <v>0</v>
      </c>
      <c r="O87">
        <v>61</v>
      </c>
      <c r="P87">
        <v>0</v>
      </c>
    </row>
    <row r="88" spans="1:16" x14ac:dyDescent="0.25">
      <c r="A88">
        <v>10300000056005</v>
      </c>
      <c r="B88" t="str">
        <f>"1030000005"</f>
        <v>1030000005</v>
      </c>
      <c r="C88" t="s">
        <v>1746</v>
      </c>
      <c r="D88" t="str">
        <f>"6005"</f>
        <v>6005</v>
      </c>
      <c r="E88" t="s">
        <v>1749</v>
      </c>
      <c r="F88" t="s">
        <v>52</v>
      </c>
      <c r="G88" t="s">
        <v>16222</v>
      </c>
      <c r="H88" t="s">
        <v>47054</v>
      </c>
      <c r="I88" t="s">
        <v>47114</v>
      </c>
      <c r="J88" t="s">
        <v>47115</v>
      </c>
      <c r="K88" t="s">
        <v>47113</v>
      </c>
      <c r="L88">
        <v>24.84</v>
      </c>
      <c r="M88">
        <v>61</v>
      </c>
      <c r="N88">
        <v>0</v>
      </c>
      <c r="O88">
        <v>61</v>
      </c>
      <c r="P88">
        <v>0</v>
      </c>
    </row>
    <row r="89" spans="1:16" x14ac:dyDescent="0.25">
      <c r="A89">
        <v>10300000061001</v>
      </c>
      <c r="B89" t="str">
        <f>"1030000006"</f>
        <v>1030000006</v>
      </c>
      <c r="C89" t="s">
        <v>1757</v>
      </c>
      <c r="D89" t="str">
        <f>"1001"</f>
        <v>1001</v>
      </c>
      <c r="E89" t="s">
        <v>42</v>
      </c>
      <c r="F89" t="s">
        <v>52</v>
      </c>
      <c r="G89" t="s">
        <v>16222</v>
      </c>
      <c r="H89" t="s">
        <v>47054</v>
      </c>
      <c r="I89" t="s">
        <v>47116</v>
      </c>
      <c r="J89" t="s">
        <v>47117</v>
      </c>
      <c r="K89" t="s">
        <v>47113</v>
      </c>
      <c r="L89">
        <v>24.88</v>
      </c>
      <c r="M89">
        <v>55</v>
      </c>
      <c r="N89">
        <v>0</v>
      </c>
      <c r="O89">
        <v>55</v>
      </c>
      <c r="P89">
        <v>0</v>
      </c>
    </row>
    <row r="90" spans="1:16" x14ac:dyDescent="0.25">
      <c r="A90">
        <v>10300000061501</v>
      </c>
      <c r="B90" t="str">
        <f>"1030000006"</f>
        <v>1030000006</v>
      </c>
      <c r="C90" t="s">
        <v>1757</v>
      </c>
      <c r="D90" t="str">
        <f>"1501"</f>
        <v>1501</v>
      </c>
      <c r="E90" t="s">
        <v>46</v>
      </c>
      <c r="F90" t="s">
        <v>52</v>
      </c>
      <c r="G90" t="s">
        <v>16222</v>
      </c>
      <c r="H90" t="s">
        <v>47054</v>
      </c>
      <c r="I90" t="s">
        <v>47116</v>
      </c>
      <c r="J90" t="s">
        <v>47117</v>
      </c>
      <c r="K90" t="s">
        <v>47113</v>
      </c>
      <c r="L90">
        <v>24.13</v>
      </c>
      <c r="M90">
        <v>58</v>
      </c>
      <c r="N90">
        <v>0</v>
      </c>
      <c r="O90">
        <v>58</v>
      </c>
      <c r="P90">
        <v>0</v>
      </c>
    </row>
    <row r="91" spans="1:16" x14ac:dyDescent="0.25">
      <c r="A91">
        <v>10300000064101</v>
      </c>
      <c r="B91" t="str">
        <f>"1030000006"</f>
        <v>1030000006</v>
      </c>
      <c r="C91" t="s">
        <v>1757</v>
      </c>
      <c r="D91" t="str">
        <f>"4101"</f>
        <v>4101</v>
      </c>
      <c r="E91" t="s">
        <v>43</v>
      </c>
      <c r="F91" t="s">
        <v>52</v>
      </c>
      <c r="G91" t="s">
        <v>16222</v>
      </c>
      <c r="H91" t="s">
        <v>47054</v>
      </c>
      <c r="I91" t="s">
        <v>47116</v>
      </c>
      <c r="J91" t="s">
        <v>47117</v>
      </c>
      <c r="K91" t="s">
        <v>47113</v>
      </c>
      <c r="L91">
        <v>25.41</v>
      </c>
      <c r="M91">
        <v>55</v>
      </c>
      <c r="N91">
        <v>0</v>
      </c>
      <c r="O91">
        <v>55</v>
      </c>
      <c r="P91">
        <v>0</v>
      </c>
    </row>
    <row r="92" spans="1:16" x14ac:dyDescent="0.25">
      <c r="A92">
        <v>10300000131501</v>
      </c>
      <c r="B92" t="str">
        <f>"1030000013"</f>
        <v>1030000013</v>
      </c>
      <c r="C92" t="s">
        <v>1756</v>
      </c>
      <c r="D92" t="str">
        <f>"1501"</f>
        <v>1501</v>
      </c>
      <c r="E92" t="s">
        <v>46</v>
      </c>
      <c r="F92" t="s">
        <v>631</v>
      </c>
      <c r="G92" t="s">
        <v>16222</v>
      </c>
      <c r="H92" t="s">
        <v>47054</v>
      </c>
      <c r="I92" t="s">
        <v>47116</v>
      </c>
      <c r="J92" t="s">
        <v>47117</v>
      </c>
      <c r="K92" t="s">
        <v>47113</v>
      </c>
      <c r="L92">
        <v>25.99</v>
      </c>
      <c r="M92">
        <v>46</v>
      </c>
      <c r="N92">
        <v>0</v>
      </c>
      <c r="O92">
        <v>46</v>
      </c>
      <c r="P92">
        <v>0</v>
      </c>
    </row>
    <row r="93" spans="1:16" x14ac:dyDescent="0.25">
      <c r="A93">
        <v>10300000151501</v>
      </c>
      <c r="B93" t="str">
        <f>"1030000015"</f>
        <v>1030000015</v>
      </c>
      <c r="C93" t="s">
        <v>1757</v>
      </c>
      <c r="D93" t="str">
        <f>"1501"</f>
        <v>1501</v>
      </c>
      <c r="E93" t="s">
        <v>46</v>
      </c>
      <c r="F93" t="s">
        <v>52</v>
      </c>
      <c r="G93" t="s">
        <v>16222</v>
      </c>
      <c r="H93" t="s">
        <v>47054</v>
      </c>
      <c r="I93" t="s">
        <v>47116</v>
      </c>
      <c r="J93" t="s">
        <v>47117</v>
      </c>
      <c r="K93" t="s">
        <v>47113</v>
      </c>
      <c r="L93">
        <v>24.27</v>
      </c>
      <c r="M93">
        <v>55</v>
      </c>
      <c r="N93">
        <v>0</v>
      </c>
      <c r="O93">
        <v>55</v>
      </c>
      <c r="P93">
        <v>0</v>
      </c>
    </row>
    <row r="94" spans="1:16" x14ac:dyDescent="0.25">
      <c r="A94">
        <v>1050040</v>
      </c>
      <c r="B94" t="str">
        <f>"10500"</f>
        <v>10500</v>
      </c>
      <c r="C94" t="s">
        <v>1758</v>
      </c>
      <c r="D94" t="str">
        <f>"40"</f>
        <v>40</v>
      </c>
      <c r="E94" t="s">
        <v>31</v>
      </c>
      <c r="F94" t="s">
        <v>56</v>
      </c>
      <c r="G94" t="s">
        <v>47093</v>
      </c>
      <c r="H94" t="s">
        <v>47054</v>
      </c>
      <c r="I94" t="s">
        <v>47111</v>
      </c>
      <c r="J94" t="s">
        <v>47112</v>
      </c>
      <c r="K94" t="s">
        <v>47113</v>
      </c>
      <c r="L94">
        <v>32.25</v>
      </c>
      <c r="M94">
        <v>74</v>
      </c>
      <c r="N94">
        <v>0</v>
      </c>
      <c r="O94">
        <v>74</v>
      </c>
      <c r="P94">
        <v>0</v>
      </c>
    </row>
    <row r="95" spans="1:16" x14ac:dyDescent="0.25">
      <c r="A95" t="s">
        <v>23044</v>
      </c>
      <c r="B95" t="str">
        <f>"10502"</f>
        <v>10502</v>
      </c>
      <c r="C95" t="s">
        <v>1759</v>
      </c>
      <c r="D95" t="s">
        <v>1718</v>
      </c>
      <c r="E95" t="s">
        <v>1719</v>
      </c>
      <c r="F95" t="s">
        <v>1401</v>
      </c>
      <c r="G95" t="s">
        <v>47093</v>
      </c>
      <c r="H95" t="s">
        <v>47054</v>
      </c>
      <c r="I95" t="s">
        <v>47111</v>
      </c>
      <c r="J95" t="s">
        <v>47112</v>
      </c>
      <c r="K95" t="s">
        <v>47113</v>
      </c>
      <c r="L95">
        <v>31.55</v>
      </c>
      <c r="M95">
        <v>79</v>
      </c>
      <c r="N95">
        <v>0</v>
      </c>
      <c r="O95">
        <v>79</v>
      </c>
      <c r="P95">
        <v>0</v>
      </c>
    </row>
    <row r="96" spans="1:16" x14ac:dyDescent="0.25">
      <c r="A96" t="s">
        <v>23045</v>
      </c>
      <c r="B96" t="s">
        <v>1760</v>
      </c>
      <c r="C96" t="s">
        <v>1761</v>
      </c>
      <c r="D96" t="str">
        <f>"11"</f>
        <v>11</v>
      </c>
      <c r="E96" t="s">
        <v>288</v>
      </c>
      <c r="F96" t="s">
        <v>56</v>
      </c>
      <c r="G96" t="s">
        <v>47093</v>
      </c>
      <c r="H96" t="s">
        <v>47054</v>
      </c>
      <c r="I96" t="s">
        <v>47111</v>
      </c>
      <c r="J96" t="s">
        <v>47112</v>
      </c>
      <c r="K96" t="s">
        <v>47113</v>
      </c>
      <c r="L96">
        <v>47.79</v>
      </c>
      <c r="M96">
        <v>107</v>
      </c>
      <c r="N96">
        <v>0</v>
      </c>
      <c r="O96">
        <v>107</v>
      </c>
      <c r="P96">
        <v>0</v>
      </c>
    </row>
    <row r="97" spans="1:16" x14ac:dyDescent="0.25">
      <c r="A97" t="s">
        <v>14708</v>
      </c>
      <c r="B97" t="s">
        <v>1760</v>
      </c>
      <c r="C97" t="s">
        <v>1761</v>
      </c>
      <c r="D97" t="s">
        <v>27</v>
      </c>
      <c r="E97" t="s">
        <v>28</v>
      </c>
      <c r="F97" t="s">
        <v>1762</v>
      </c>
      <c r="G97" t="s">
        <v>47093</v>
      </c>
      <c r="H97" t="s">
        <v>47054</v>
      </c>
      <c r="I97" t="s">
        <v>47111</v>
      </c>
      <c r="J97" t="s">
        <v>47112</v>
      </c>
      <c r="K97" t="s">
        <v>47113</v>
      </c>
      <c r="L97">
        <v>51.86</v>
      </c>
      <c r="M97">
        <v>112</v>
      </c>
      <c r="N97">
        <v>0</v>
      </c>
      <c r="O97">
        <v>112</v>
      </c>
      <c r="P97">
        <v>0</v>
      </c>
    </row>
    <row r="98" spans="1:16" x14ac:dyDescent="0.25">
      <c r="A98" t="s">
        <v>23046</v>
      </c>
      <c r="B98" t="s">
        <v>1763</v>
      </c>
      <c r="C98" t="s">
        <v>1764</v>
      </c>
      <c r="D98" t="s">
        <v>1765</v>
      </c>
      <c r="E98" t="s">
        <v>1766</v>
      </c>
      <c r="F98" t="s">
        <v>36</v>
      </c>
      <c r="G98" t="s">
        <v>47093</v>
      </c>
      <c r="H98" t="s">
        <v>47054</v>
      </c>
      <c r="I98" t="s">
        <v>47111</v>
      </c>
      <c r="J98" t="s">
        <v>47112</v>
      </c>
      <c r="K98" t="s">
        <v>47113</v>
      </c>
      <c r="L98">
        <v>38.33</v>
      </c>
      <c r="M98">
        <v>86</v>
      </c>
      <c r="N98">
        <v>0</v>
      </c>
      <c r="O98">
        <v>86</v>
      </c>
      <c r="P98">
        <v>0</v>
      </c>
    </row>
    <row r="99" spans="1:16" x14ac:dyDescent="0.25">
      <c r="A99">
        <v>1050340</v>
      </c>
      <c r="B99" t="str">
        <f>"10503"</f>
        <v>10503</v>
      </c>
      <c r="C99" t="s">
        <v>1767</v>
      </c>
      <c r="D99" t="str">
        <f>"40"</f>
        <v>40</v>
      </c>
      <c r="E99" t="s">
        <v>31</v>
      </c>
      <c r="F99" t="s">
        <v>8</v>
      </c>
      <c r="G99" t="s">
        <v>47093</v>
      </c>
      <c r="H99" t="s">
        <v>47054</v>
      </c>
      <c r="I99" t="s">
        <v>47111</v>
      </c>
      <c r="J99" t="s">
        <v>47112</v>
      </c>
      <c r="K99" t="s">
        <v>47113</v>
      </c>
      <c r="L99">
        <v>35.049999999999997</v>
      </c>
      <c r="M99">
        <v>80</v>
      </c>
      <c r="N99">
        <v>0</v>
      </c>
      <c r="O99">
        <v>80</v>
      </c>
      <c r="P99">
        <v>0</v>
      </c>
    </row>
    <row r="100" spans="1:16" x14ac:dyDescent="0.25">
      <c r="A100" t="s">
        <v>23047</v>
      </c>
      <c r="B100" t="str">
        <f>"10503"</f>
        <v>10503</v>
      </c>
      <c r="C100" t="s">
        <v>1767</v>
      </c>
      <c r="D100" t="s">
        <v>1768</v>
      </c>
      <c r="E100" t="s">
        <v>1769</v>
      </c>
      <c r="F100" t="s">
        <v>52</v>
      </c>
      <c r="G100" t="s">
        <v>47093</v>
      </c>
      <c r="H100" t="s">
        <v>47054</v>
      </c>
      <c r="I100" t="s">
        <v>47111</v>
      </c>
      <c r="J100" t="s">
        <v>47112</v>
      </c>
      <c r="K100" t="s">
        <v>47113</v>
      </c>
      <c r="L100">
        <v>41.6</v>
      </c>
      <c r="M100">
        <v>92</v>
      </c>
      <c r="N100">
        <v>0</v>
      </c>
      <c r="O100">
        <v>92</v>
      </c>
      <c r="P100">
        <v>0</v>
      </c>
    </row>
    <row r="101" spans="1:16" x14ac:dyDescent="0.25">
      <c r="A101" t="s">
        <v>23048</v>
      </c>
      <c r="B101" t="s">
        <v>1770</v>
      </c>
      <c r="C101" t="s">
        <v>1771</v>
      </c>
      <c r="D101" t="s">
        <v>1768</v>
      </c>
      <c r="E101" t="s">
        <v>1769</v>
      </c>
      <c r="F101" t="s">
        <v>52</v>
      </c>
      <c r="G101" t="s">
        <v>47093</v>
      </c>
      <c r="H101" t="s">
        <v>47054</v>
      </c>
      <c r="I101" t="s">
        <v>47111</v>
      </c>
      <c r="J101" t="s">
        <v>47112</v>
      </c>
      <c r="K101" t="s">
        <v>47113</v>
      </c>
      <c r="L101">
        <v>57.63</v>
      </c>
      <c r="M101">
        <v>146</v>
      </c>
      <c r="N101">
        <v>0</v>
      </c>
      <c r="O101">
        <v>146</v>
      </c>
      <c r="P101">
        <v>0</v>
      </c>
    </row>
    <row r="102" spans="1:16" x14ac:dyDescent="0.25">
      <c r="A102" t="s">
        <v>23049</v>
      </c>
      <c r="B102" t="s">
        <v>1770</v>
      </c>
      <c r="C102" t="s">
        <v>1771</v>
      </c>
      <c r="D102" t="s">
        <v>1772</v>
      </c>
      <c r="E102" t="s">
        <v>1773</v>
      </c>
      <c r="F102" t="s">
        <v>52</v>
      </c>
      <c r="G102" t="s">
        <v>47093</v>
      </c>
      <c r="H102" t="s">
        <v>47054</v>
      </c>
      <c r="I102" t="s">
        <v>47111</v>
      </c>
      <c r="J102" t="s">
        <v>47112</v>
      </c>
      <c r="K102" t="s">
        <v>47113</v>
      </c>
      <c r="L102">
        <v>62.38</v>
      </c>
      <c r="M102">
        <v>153</v>
      </c>
      <c r="N102">
        <v>0</v>
      </c>
      <c r="O102">
        <v>153</v>
      </c>
      <c r="P102">
        <v>0</v>
      </c>
    </row>
    <row r="103" spans="1:16" x14ac:dyDescent="0.25">
      <c r="A103" t="s">
        <v>23050</v>
      </c>
      <c r="B103" t="s">
        <v>1770</v>
      </c>
      <c r="C103" t="s">
        <v>1771</v>
      </c>
      <c r="D103" t="s">
        <v>1774</v>
      </c>
      <c r="E103" t="s">
        <v>1775</v>
      </c>
      <c r="F103" t="s">
        <v>56</v>
      </c>
      <c r="G103" t="s">
        <v>47093</v>
      </c>
      <c r="H103" t="s">
        <v>47054</v>
      </c>
      <c r="I103" t="s">
        <v>47111</v>
      </c>
      <c r="J103" t="s">
        <v>47112</v>
      </c>
      <c r="K103" t="s">
        <v>47113</v>
      </c>
      <c r="L103">
        <v>58.3</v>
      </c>
      <c r="M103">
        <v>130</v>
      </c>
      <c r="N103">
        <v>0</v>
      </c>
      <c r="O103">
        <v>130</v>
      </c>
      <c r="P103">
        <v>0</v>
      </c>
    </row>
    <row r="104" spans="1:16" x14ac:dyDescent="0.25">
      <c r="A104">
        <v>1056440</v>
      </c>
      <c r="B104" t="str">
        <f>"10564"</f>
        <v>10564</v>
      </c>
      <c r="C104" t="s">
        <v>1776</v>
      </c>
      <c r="D104" t="str">
        <f>"40"</f>
        <v>40</v>
      </c>
      <c r="E104" t="s">
        <v>31</v>
      </c>
      <c r="F104" t="s">
        <v>8</v>
      </c>
      <c r="G104" t="s">
        <v>47093</v>
      </c>
      <c r="H104" t="s">
        <v>47054</v>
      </c>
      <c r="I104" t="s">
        <v>47111</v>
      </c>
      <c r="J104" t="s">
        <v>47112</v>
      </c>
      <c r="K104" t="s">
        <v>47113</v>
      </c>
      <c r="L104">
        <v>35.979999999999997</v>
      </c>
      <c r="M104">
        <v>80</v>
      </c>
      <c r="N104">
        <v>0</v>
      </c>
      <c r="O104">
        <v>80</v>
      </c>
      <c r="P104">
        <v>0</v>
      </c>
    </row>
    <row r="105" spans="1:16" x14ac:dyDescent="0.25">
      <c r="A105" t="s">
        <v>23051</v>
      </c>
      <c r="B105" t="str">
        <f>"10564"</f>
        <v>10564</v>
      </c>
      <c r="C105" t="s">
        <v>1776</v>
      </c>
      <c r="D105" t="s">
        <v>1777</v>
      </c>
      <c r="E105" t="s">
        <v>1778</v>
      </c>
      <c r="F105" t="s">
        <v>8</v>
      </c>
      <c r="G105" t="s">
        <v>47093</v>
      </c>
      <c r="H105" t="s">
        <v>47054</v>
      </c>
      <c r="I105" t="s">
        <v>47111</v>
      </c>
      <c r="J105" t="s">
        <v>47112</v>
      </c>
      <c r="K105" t="s">
        <v>47113</v>
      </c>
      <c r="L105">
        <v>34.28</v>
      </c>
      <c r="M105">
        <v>91</v>
      </c>
      <c r="N105">
        <v>0</v>
      </c>
      <c r="O105">
        <v>91</v>
      </c>
      <c r="P105">
        <v>0</v>
      </c>
    </row>
    <row r="106" spans="1:16" x14ac:dyDescent="0.25">
      <c r="A106" t="s">
        <v>23052</v>
      </c>
      <c r="B106" t="str">
        <f>"10564"</f>
        <v>10564</v>
      </c>
      <c r="C106" t="s">
        <v>1776</v>
      </c>
      <c r="D106" t="s">
        <v>1768</v>
      </c>
      <c r="E106" t="s">
        <v>1769</v>
      </c>
      <c r="F106" t="s">
        <v>52</v>
      </c>
      <c r="G106" t="s">
        <v>47093</v>
      </c>
      <c r="H106" t="s">
        <v>47054</v>
      </c>
      <c r="I106" t="s">
        <v>47111</v>
      </c>
      <c r="J106" t="s">
        <v>47112</v>
      </c>
      <c r="K106" t="s">
        <v>47113</v>
      </c>
      <c r="L106">
        <v>41.15</v>
      </c>
      <c r="M106">
        <v>92</v>
      </c>
      <c r="N106">
        <v>0</v>
      </c>
      <c r="O106">
        <v>92</v>
      </c>
      <c r="P106">
        <v>0</v>
      </c>
    </row>
    <row r="107" spans="1:16" x14ac:dyDescent="0.25">
      <c r="A107" t="s">
        <v>23053</v>
      </c>
      <c r="B107" t="s">
        <v>1779</v>
      </c>
      <c r="C107" t="s">
        <v>1780</v>
      </c>
      <c r="D107" t="s">
        <v>27</v>
      </c>
      <c r="E107" t="s">
        <v>622</v>
      </c>
      <c r="F107" t="s">
        <v>36</v>
      </c>
      <c r="G107" t="s">
        <v>47093</v>
      </c>
      <c r="H107" t="s">
        <v>47054</v>
      </c>
      <c r="I107" t="s">
        <v>47111</v>
      </c>
      <c r="J107" t="s">
        <v>47112</v>
      </c>
      <c r="K107" t="s">
        <v>47113</v>
      </c>
      <c r="L107">
        <v>53.8</v>
      </c>
      <c r="M107">
        <v>131</v>
      </c>
      <c r="N107">
        <v>0</v>
      </c>
      <c r="O107">
        <v>131</v>
      </c>
      <c r="P107">
        <v>0</v>
      </c>
    </row>
    <row r="108" spans="1:16" x14ac:dyDescent="0.25">
      <c r="A108" t="s">
        <v>23054</v>
      </c>
      <c r="B108" t="s">
        <v>20</v>
      </c>
      <c r="C108" t="s">
        <v>21</v>
      </c>
      <c r="D108" t="s">
        <v>721</v>
      </c>
      <c r="E108" t="s">
        <v>722</v>
      </c>
      <c r="F108" t="s">
        <v>1401</v>
      </c>
      <c r="G108" t="s">
        <v>47093</v>
      </c>
      <c r="H108" t="s">
        <v>47054</v>
      </c>
      <c r="I108" t="s">
        <v>47111</v>
      </c>
      <c r="J108" t="s">
        <v>47112</v>
      </c>
      <c r="K108" t="s">
        <v>47113</v>
      </c>
      <c r="L108">
        <v>45.25</v>
      </c>
      <c r="M108">
        <v>113</v>
      </c>
      <c r="N108">
        <v>0</v>
      </c>
      <c r="O108">
        <v>113</v>
      </c>
      <c r="P108">
        <v>0</v>
      </c>
    </row>
    <row r="109" spans="1:16" x14ac:dyDescent="0.25">
      <c r="A109" t="s">
        <v>23055</v>
      </c>
      <c r="B109" t="s">
        <v>20</v>
      </c>
      <c r="C109" t="s">
        <v>21</v>
      </c>
      <c r="D109" t="str">
        <f>"40"</f>
        <v>40</v>
      </c>
      <c r="E109" t="s">
        <v>31</v>
      </c>
      <c r="F109" t="s">
        <v>52</v>
      </c>
      <c r="G109" t="s">
        <v>47093</v>
      </c>
      <c r="H109" t="s">
        <v>47054</v>
      </c>
      <c r="I109" t="s">
        <v>47111</v>
      </c>
      <c r="J109" t="s">
        <v>47112</v>
      </c>
      <c r="K109" t="s">
        <v>47113</v>
      </c>
      <c r="L109">
        <v>53.37</v>
      </c>
      <c r="M109">
        <v>113</v>
      </c>
      <c r="N109">
        <v>0</v>
      </c>
      <c r="O109">
        <v>113</v>
      </c>
      <c r="P109">
        <v>0</v>
      </c>
    </row>
    <row r="110" spans="1:16" x14ac:dyDescent="0.25">
      <c r="A110" t="s">
        <v>23056</v>
      </c>
      <c r="B110" t="s">
        <v>20</v>
      </c>
      <c r="C110" t="s">
        <v>21</v>
      </c>
      <c r="D110" t="s">
        <v>629</v>
      </c>
      <c r="E110" t="s">
        <v>630</v>
      </c>
      <c r="F110" t="s">
        <v>8</v>
      </c>
      <c r="G110" t="s">
        <v>47093</v>
      </c>
      <c r="H110" t="s">
        <v>47054</v>
      </c>
      <c r="I110" t="s">
        <v>47111</v>
      </c>
      <c r="J110" t="s">
        <v>47112</v>
      </c>
      <c r="K110" t="s">
        <v>47113</v>
      </c>
      <c r="L110">
        <v>52.28</v>
      </c>
      <c r="M110">
        <v>146</v>
      </c>
      <c r="N110">
        <v>0</v>
      </c>
      <c r="O110">
        <v>146</v>
      </c>
      <c r="P110">
        <v>0</v>
      </c>
    </row>
    <row r="111" spans="1:16" x14ac:dyDescent="0.25">
      <c r="A111" t="s">
        <v>23057</v>
      </c>
      <c r="B111" t="s">
        <v>20</v>
      </c>
      <c r="C111" t="s">
        <v>21</v>
      </c>
      <c r="D111" t="s">
        <v>1781</v>
      </c>
      <c r="E111" t="s">
        <v>1782</v>
      </c>
      <c r="F111" t="s">
        <v>1717</v>
      </c>
      <c r="G111" t="s">
        <v>47093</v>
      </c>
      <c r="H111" t="s">
        <v>47054</v>
      </c>
      <c r="I111" t="s">
        <v>47111</v>
      </c>
      <c r="J111" t="s">
        <v>47112</v>
      </c>
      <c r="K111" t="s">
        <v>47113</v>
      </c>
      <c r="L111">
        <v>53.38</v>
      </c>
      <c r="M111">
        <v>146</v>
      </c>
      <c r="N111">
        <v>0</v>
      </c>
      <c r="O111">
        <v>146</v>
      </c>
      <c r="P111">
        <v>0</v>
      </c>
    </row>
    <row r="112" spans="1:16" x14ac:dyDescent="0.25">
      <c r="A112" t="s">
        <v>23058</v>
      </c>
      <c r="B112" t="s">
        <v>20</v>
      </c>
      <c r="C112" t="s">
        <v>21</v>
      </c>
      <c r="D112" t="s">
        <v>1768</v>
      </c>
      <c r="E112" t="s">
        <v>1769</v>
      </c>
      <c r="F112" t="s">
        <v>52</v>
      </c>
      <c r="G112" t="s">
        <v>47093</v>
      </c>
      <c r="H112" t="s">
        <v>47054</v>
      </c>
      <c r="I112" t="s">
        <v>47111</v>
      </c>
      <c r="J112" t="s">
        <v>47112</v>
      </c>
      <c r="K112" t="s">
        <v>47113</v>
      </c>
      <c r="L112">
        <v>59.13</v>
      </c>
      <c r="M112">
        <v>145</v>
      </c>
      <c r="N112">
        <v>0</v>
      </c>
      <c r="O112">
        <v>145</v>
      </c>
      <c r="P112">
        <v>0</v>
      </c>
    </row>
    <row r="113" spans="1:16" x14ac:dyDescent="0.25">
      <c r="A113" t="s">
        <v>23059</v>
      </c>
      <c r="B113" t="s">
        <v>20</v>
      </c>
      <c r="C113" t="s">
        <v>21</v>
      </c>
      <c r="D113" t="s">
        <v>1772</v>
      </c>
      <c r="E113" t="s">
        <v>1773</v>
      </c>
      <c r="F113" t="s">
        <v>52</v>
      </c>
      <c r="G113" t="s">
        <v>47093</v>
      </c>
      <c r="H113" t="s">
        <v>47054</v>
      </c>
      <c r="I113" t="s">
        <v>47111</v>
      </c>
      <c r="J113" t="s">
        <v>47112</v>
      </c>
      <c r="K113" t="s">
        <v>47113</v>
      </c>
      <c r="L113">
        <v>61.94</v>
      </c>
      <c r="M113">
        <v>152</v>
      </c>
      <c r="N113">
        <v>0</v>
      </c>
      <c r="O113">
        <v>152</v>
      </c>
      <c r="P113">
        <v>0</v>
      </c>
    </row>
    <row r="114" spans="1:16" x14ac:dyDescent="0.25">
      <c r="A114" t="s">
        <v>19</v>
      </c>
      <c r="B114" t="s">
        <v>20</v>
      </c>
      <c r="C114" t="s">
        <v>21</v>
      </c>
      <c r="D114" t="s">
        <v>22</v>
      </c>
      <c r="E114" t="s">
        <v>23</v>
      </c>
      <c r="F114" t="s">
        <v>7</v>
      </c>
      <c r="G114" t="s">
        <v>47093</v>
      </c>
      <c r="H114" t="s">
        <v>47054</v>
      </c>
      <c r="I114" t="s">
        <v>47111</v>
      </c>
      <c r="J114" t="s">
        <v>47112</v>
      </c>
      <c r="K114" t="s">
        <v>47113</v>
      </c>
      <c r="L114">
        <v>50.23</v>
      </c>
      <c r="M114">
        <v>126</v>
      </c>
      <c r="N114">
        <v>0</v>
      </c>
      <c r="O114">
        <v>126</v>
      </c>
      <c r="P114">
        <v>0</v>
      </c>
    </row>
    <row r="115" spans="1:16" x14ac:dyDescent="0.25">
      <c r="A115" t="s">
        <v>23060</v>
      </c>
      <c r="B115" t="s">
        <v>1783</v>
      </c>
      <c r="C115" t="s">
        <v>1784</v>
      </c>
      <c r="D115" t="s">
        <v>721</v>
      </c>
      <c r="E115" t="s">
        <v>722</v>
      </c>
      <c r="F115" t="s">
        <v>1697</v>
      </c>
      <c r="G115" t="s">
        <v>47093</v>
      </c>
      <c r="H115" t="s">
        <v>47054</v>
      </c>
      <c r="I115" t="s">
        <v>47111</v>
      </c>
      <c r="J115" t="s">
        <v>47112</v>
      </c>
      <c r="K115" t="s">
        <v>47113</v>
      </c>
      <c r="L115">
        <v>24.68</v>
      </c>
      <c r="M115">
        <v>83</v>
      </c>
      <c r="N115">
        <v>0</v>
      </c>
      <c r="O115">
        <v>83</v>
      </c>
      <c r="P115">
        <v>0</v>
      </c>
    </row>
    <row r="116" spans="1:16" x14ac:dyDescent="0.25">
      <c r="A116">
        <v>1057240</v>
      </c>
      <c r="B116" t="str">
        <f>"10572"</f>
        <v>10572</v>
      </c>
      <c r="C116" t="s">
        <v>1785</v>
      </c>
      <c r="D116" t="str">
        <f>"40"</f>
        <v>40</v>
      </c>
      <c r="E116" t="s">
        <v>31</v>
      </c>
      <c r="F116" t="s">
        <v>8</v>
      </c>
      <c r="G116" t="s">
        <v>47093</v>
      </c>
      <c r="H116" t="s">
        <v>47054</v>
      </c>
      <c r="I116" t="s">
        <v>47111</v>
      </c>
      <c r="J116" t="s">
        <v>47112</v>
      </c>
      <c r="K116" t="s">
        <v>47113</v>
      </c>
      <c r="L116">
        <v>35.369999999999997</v>
      </c>
      <c r="M116">
        <v>80</v>
      </c>
      <c r="N116">
        <v>0</v>
      </c>
      <c r="O116">
        <v>80</v>
      </c>
      <c r="P116">
        <v>0</v>
      </c>
    </row>
    <row r="117" spans="1:16" x14ac:dyDescent="0.25">
      <c r="A117" t="s">
        <v>23061</v>
      </c>
      <c r="B117" t="str">
        <f>"10572"</f>
        <v>10572</v>
      </c>
      <c r="C117" t="s">
        <v>1785</v>
      </c>
      <c r="D117" t="s">
        <v>1768</v>
      </c>
      <c r="E117" t="s">
        <v>1769</v>
      </c>
      <c r="F117" t="s">
        <v>52</v>
      </c>
      <c r="G117" t="s">
        <v>47093</v>
      </c>
      <c r="H117" t="s">
        <v>47054</v>
      </c>
      <c r="I117" t="s">
        <v>47111</v>
      </c>
      <c r="J117" t="s">
        <v>47112</v>
      </c>
      <c r="K117" t="s">
        <v>47113</v>
      </c>
      <c r="L117">
        <v>39.28</v>
      </c>
      <c r="M117">
        <v>92</v>
      </c>
      <c r="N117">
        <v>0</v>
      </c>
      <c r="O117">
        <v>92</v>
      </c>
      <c r="P117">
        <v>0</v>
      </c>
    </row>
    <row r="118" spans="1:16" x14ac:dyDescent="0.25">
      <c r="A118" t="s">
        <v>23062</v>
      </c>
      <c r="B118" t="s">
        <v>1786</v>
      </c>
      <c r="C118" t="s">
        <v>1787</v>
      </c>
      <c r="D118" t="str">
        <f>"11"</f>
        <v>11</v>
      </c>
      <c r="E118" t="s">
        <v>288</v>
      </c>
      <c r="F118" t="s">
        <v>687</v>
      </c>
      <c r="G118" t="s">
        <v>47093</v>
      </c>
      <c r="H118" t="s">
        <v>47054</v>
      </c>
      <c r="I118" t="s">
        <v>47111</v>
      </c>
      <c r="J118" t="s">
        <v>47112</v>
      </c>
      <c r="K118" t="s">
        <v>47113</v>
      </c>
      <c r="L118">
        <v>38.32</v>
      </c>
      <c r="M118">
        <v>86</v>
      </c>
      <c r="N118">
        <v>0</v>
      </c>
      <c r="O118">
        <v>86</v>
      </c>
      <c r="P118">
        <v>0</v>
      </c>
    </row>
    <row r="119" spans="1:16" x14ac:dyDescent="0.25">
      <c r="A119" t="s">
        <v>23063</v>
      </c>
      <c r="B119" t="s">
        <v>25</v>
      </c>
      <c r="C119" t="s">
        <v>26</v>
      </c>
      <c r="D119" t="str">
        <f>"11"</f>
        <v>11</v>
      </c>
      <c r="E119" t="s">
        <v>288</v>
      </c>
      <c r="F119" t="s">
        <v>1401</v>
      </c>
      <c r="G119" t="s">
        <v>47093</v>
      </c>
      <c r="H119" t="s">
        <v>47054</v>
      </c>
      <c r="I119" t="s">
        <v>47111</v>
      </c>
      <c r="J119" t="s">
        <v>47112</v>
      </c>
      <c r="K119" t="s">
        <v>47113</v>
      </c>
      <c r="L119">
        <v>46.02</v>
      </c>
      <c r="M119">
        <v>112</v>
      </c>
      <c r="N119">
        <v>0</v>
      </c>
      <c r="O119">
        <v>112</v>
      </c>
      <c r="P119">
        <v>0</v>
      </c>
    </row>
    <row r="120" spans="1:16" x14ac:dyDescent="0.25">
      <c r="A120" t="s">
        <v>24</v>
      </c>
      <c r="B120" t="s">
        <v>25</v>
      </c>
      <c r="C120" t="s">
        <v>26</v>
      </c>
      <c r="D120" t="s">
        <v>27</v>
      </c>
      <c r="E120" t="s">
        <v>28</v>
      </c>
      <c r="F120" t="s">
        <v>29</v>
      </c>
      <c r="G120" t="s">
        <v>47093</v>
      </c>
      <c r="H120" t="s">
        <v>47054</v>
      </c>
      <c r="I120" t="s">
        <v>47111</v>
      </c>
      <c r="J120" t="s">
        <v>47112</v>
      </c>
      <c r="K120" t="s">
        <v>47113</v>
      </c>
      <c r="L120">
        <v>53.85</v>
      </c>
      <c r="M120">
        <v>112</v>
      </c>
      <c r="N120">
        <v>0</v>
      </c>
      <c r="O120">
        <v>112</v>
      </c>
      <c r="P120">
        <v>0</v>
      </c>
    </row>
    <row r="121" spans="1:16" x14ac:dyDescent="0.25">
      <c r="A121" t="s">
        <v>30</v>
      </c>
      <c r="B121" t="s">
        <v>25</v>
      </c>
      <c r="C121" t="s">
        <v>26</v>
      </c>
      <c r="D121" t="str">
        <f>"40"</f>
        <v>40</v>
      </c>
      <c r="E121" t="s">
        <v>31</v>
      </c>
      <c r="F121" t="s">
        <v>32</v>
      </c>
      <c r="G121" t="s">
        <v>47093</v>
      </c>
      <c r="H121" t="s">
        <v>47054</v>
      </c>
      <c r="I121" t="s">
        <v>47111</v>
      </c>
      <c r="J121" t="s">
        <v>47112</v>
      </c>
      <c r="K121" t="s">
        <v>47113</v>
      </c>
      <c r="L121">
        <v>52.72</v>
      </c>
      <c r="M121">
        <v>123</v>
      </c>
      <c r="N121">
        <v>0</v>
      </c>
      <c r="O121">
        <v>123</v>
      </c>
      <c r="P121">
        <v>0</v>
      </c>
    </row>
    <row r="122" spans="1:16" x14ac:dyDescent="0.25">
      <c r="A122" t="s">
        <v>33</v>
      </c>
      <c r="B122" t="s">
        <v>25</v>
      </c>
      <c r="C122" t="s">
        <v>26</v>
      </c>
      <c r="D122" t="s">
        <v>34</v>
      </c>
      <c r="E122" t="s">
        <v>35</v>
      </c>
      <c r="F122" t="s">
        <v>36</v>
      </c>
      <c r="G122" t="s">
        <v>47093</v>
      </c>
      <c r="H122" t="s">
        <v>47054</v>
      </c>
      <c r="I122" t="s">
        <v>47111</v>
      </c>
      <c r="J122" t="s">
        <v>47112</v>
      </c>
      <c r="K122" t="s">
        <v>47113</v>
      </c>
      <c r="L122">
        <v>50.54</v>
      </c>
      <c r="M122">
        <v>127</v>
      </c>
      <c r="N122">
        <v>0</v>
      </c>
      <c r="O122">
        <v>127</v>
      </c>
      <c r="P122">
        <v>0</v>
      </c>
    </row>
    <row r="123" spans="1:16" x14ac:dyDescent="0.25">
      <c r="A123" t="s">
        <v>23064</v>
      </c>
      <c r="B123" t="s">
        <v>25</v>
      </c>
      <c r="C123" t="s">
        <v>26</v>
      </c>
      <c r="D123" t="s">
        <v>1788</v>
      </c>
      <c r="E123" t="s">
        <v>1789</v>
      </c>
      <c r="F123" t="s">
        <v>36</v>
      </c>
      <c r="G123" t="s">
        <v>47093</v>
      </c>
      <c r="H123" t="s">
        <v>47054</v>
      </c>
      <c r="I123" t="s">
        <v>47111</v>
      </c>
      <c r="J123" t="s">
        <v>47112</v>
      </c>
      <c r="K123" t="s">
        <v>47113</v>
      </c>
      <c r="L123">
        <v>53.61</v>
      </c>
      <c r="M123">
        <v>119</v>
      </c>
      <c r="N123">
        <v>0</v>
      </c>
      <c r="O123">
        <v>119</v>
      </c>
      <c r="P123">
        <v>0</v>
      </c>
    </row>
    <row r="124" spans="1:16" x14ac:dyDescent="0.25">
      <c r="A124" t="s">
        <v>23065</v>
      </c>
      <c r="B124" t="s">
        <v>25</v>
      </c>
      <c r="C124" t="s">
        <v>26</v>
      </c>
      <c r="D124" t="s">
        <v>629</v>
      </c>
      <c r="E124" t="s">
        <v>630</v>
      </c>
      <c r="F124" t="s">
        <v>8</v>
      </c>
      <c r="G124" t="s">
        <v>47093</v>
      </c>
      <c r="H124" t="s">
        <v>47054</v>
      </c>
      <c r="I124" t="s">
        <v>47111</v>
      </c>
      <c r="J124" t="s">
        <v>47112</v>
      </c>
      <c r="K124" t="s">
        <v>47113</v>
      </c>
      <c r="L124">
        <v>52.32</v>
      </c>
      <c r="M124">
        <v>146</v>
      </c>
      <c r="N124">
        <v>0</v>
      </c>
      <c r="O124">
        <v>146</v>
      </c>
      <c r="P124">
        <v>0</v>
      </c>
    </row>
    <row r="125" spans="1:16" x14ac:dyDescent="0.25">
      <c r="A125" t="s">
        <v>23066</v>
      </c>
      <c r="B125" t="s">
        <v>25</v>
      </c>
      <c r="C125" t="s">
        <v>26</v>
      </c>
      <c r="D125" t="s">
        <v>1790</v>
      </c>
      <c r="E125" t="s">
        <v>1791</v>
      </c>
      <c r="F125" t="s">
        <v>1717</v>
      </c>
      <c r="G125" t="s">
        <v>47093</v>
      </c>
      <c r="H125" t="s">
        <v>47054</v>
      </c>
      <c r="I125" t="s">
        <v>47111</v>
      </c>
      <c r="J125" t="s">
        <v>47112</v>
      </c>
      <c r="K125" t="s">
        <v>47113</v>
      </c>
      <c r="L125">
        <v>51.86</v>
      </c>
      <c r="M125">
        <v>116</v>
      </c>
      <c r="N125">
        <v>0</v>
      </c>
      <c r="O125">
        <v>116</v>
      </c>
      <c r="P125">
        <v>0</v>
      </c>
    </row>
    <row r="126" spans="1:16" x14ac:dyDescent="0.25">
      <c r="A126" t="s">
        <v>23067</v>
      </c>
      <c r="B126" t="s">
        <v>25</v>
      </c>
      <c r="C126" t="s">
        <v>26</v>
      </c>
      <c r="D126" t="s">
        <v>1781</v>
      </c>
      <c r="E126" t="s">
        <v>1782</v>
      </c>
      <c r="F126" t="s">
        <v>1717</v>
      </c>
      <c r="G126" t="s">
        <v>47093</v>
      </c>
      <c r="H126" t="s">
        <v>47054</v>
      </c>
      <c r="I126" t="s">
        <v>47111</v>
      </c>
      <c r="J126" t="s">
        <v>47112</v>
      </c>
      <c r="K126" t="s">
        <v>47113</v>
      </c>
      <c r="L126">
        <v>52.1</v>
      </c>
      <c r="M126">
        <v>146</v>
      </c>
      <c r="N126">
        <v>0</v>
      </c>
      <c r="O126">
        <v>146</v>
      </c>
      <c r="P126">
        <v>0</v>
      </c>
    </row>
    <row r="127" spans="1:16" x14ac:dyDescent="0.25">
      <c r="A127" t="s">
        <v>23068</v>
      </c>
      <c r="B127" t="s">
        <v>25</v>
      </c>
      <c r="C127" t="s">
        <v>26</v>
      </c>
      <c r="D127" t="s">
        <v>1777</v>
      </c>
      <c r="E127" t="s">
        <v>1778</v>
      </c>
      <c r="F127" t="s">
        <v>8</v>
      </c>
      <c r="G127" t="s">
        <v>47093</v>
      </c>
      <c r="H127" t="s">
        <v>47054</v>
      </c>
      <c r="I127" t="s">
        <v>47111</v>
      </c>
      <c r="J127" t="s">
        <v>47112</v>
      </c>
      <c r="K127" t="s">
        <v>47113</v>
      </c>
      <c r="L127">
        <v>49.56</v>
      </c>
      <c r="M127">
        <v>146</v>
      </c>
      <c r="N127">
        <v>0</v>
      </c>
      <c r="O127">
        <v>146</v>
      </c>
      <c r="P127">
        <v>0</v>
      </c>
    </row>
    <row r="128" spans="1:16" x14ac:dyDescent="0.25">
      <c r="A128" t="s">
        <v>23069</v>
      </c>
      <c r="B128" t="s">
        <v>25</v>
      </c>
      <c r="C128" t="s">
        <v>26</v>
      </c>
      <c r="D128" t="s">
        <v>1768</v>
      </c>
      <c r="E128" t="s">
        <v>1769</v>
      </c>
      <c r="F128" t="s">
        <v>52</v>
      </c>
      <c r="G128" t="s">
        <v>47093</v>
      </c>
      <c r="H128" t="s">
        <v>47054</v>
      </c>
      <c r="I128" t="s">
        <v>47111</v>
      </c>
      <c r="J128" t="s">
        <v>47112</v>
      </c>
      <c r="K128" t="s">
        <v>47113</v>
      </c>
      <c r="L128">
        <v>54.58</v>
      </c>
      <c r="M128">
        <v>133</v>
      </c>
      <c r="N128">
        <v>0</v>
      </c>
      <c r="O128">
        <v>133</v>
      </c>
      <c r="P128">
        <v>0</v>
      </c>
    </row>
    <row r="129" spans="1:16" x14ac:dyDescent="0.25">
      <c r="A129" t="s">
        <v>23070</v>
      </c>
      <c r="B129" t="s">
        <v>25</v>
      </c>
      <c r="C129" t="s">
        <v>26</v>
      </c>
      <c r="D129" t="s">
        <v>1772</v>
      </c>
      <c r="E129" t="s">
        <v>1773</v>
      </c>
      <c r="F129" t="s">
        <v>52</v>
      </c>
      <c r="G129" t="s">
        <v>47093</v>
      </c>
      <c r="H129" t="s">
        <v>47054</v>
      </c>
      <c r="I129" t="s">
        <v>47111</v>
      </c>
      <c r="J129" t="s">
        <v>47112</v>
      </c>
      <c r="K129" t="s">
        <v>47113</v>
      </c>
      <c r="L129">
        <v>57.65</v>
      </c>
      <c r="M129">
        <v>152</v>
      </c>
      <c r="N129">
        <v>0</v>
      </c>
      <c r="O129">
        <v>152</v>
      </c>
      <c r="P129">
        <v>0</v>
      </c>
    </row>
    <row r="130" spans="1:16" x14ac:dyDescent="0.25">
      <c r="A130" t="s">
        <v>23071</v>
      </c>
      <c r="B130" t="s">
        <v>25</v>
      </c>
      <c r="C130" t="s">
        <v>26</v>
      </c>
      <c r="D130" t="s">
        <v>1792</v>
      </c>
      <c r="E130" t="s">
        <v>1793</v>
      </c>
      <c r="F130" t="s">
        <v>2</v>
      </c>
      <c r="G130" t="s">
        <v>47093</v>
      </c>
      <c r="H130" t="s">
        <v>47054</v>
      </c>
      <c r="I130" t="s">
        <v>47111</v>
      </c>
      <c r="J130" t="s">
        <v>47112</v>
      </c>
      <c r="K130" t="s">
        <v>47113</v>
      </c>
      <c r="L130">
        <v>54.43</v>
      </c>
      <c r="M130">
        <v>119</v>
      </c>
      <c r="N130">
        <v>0</v>
      </c>
      <c r="O130">
        <v>119</v>
      </c>
      <c r="P130">
        <v>0</v>
      </c>
    </row>
    <row r="131" spans="1:16" x14ac:dyDescent="0.25">
      <c r="A131" t="s">
        <v>23072</v>
      </c>
      <c r="B131" t="s">
        <v>25</v>
      </c>
      <c r="C131" t="s">
        <v>26</v>
      </c>
      <c r="D131" t="s">
        <v>1774</v>
      </c>
      <c r="E131" t="s">
        <v>1775</v>
      </c>
      <c r="F131" t="s">
        <v>52</v>
      </c>
      <c r="G131" t="s">
        <v>47093</v>
      </c>
      <c r="H131" t="s">
        <v>47054</v>
      </c>
      <c r="I131" t="s">
        <v>47111</v>
      </c>
      <c r="J131" t="s">
        <v>47112</v>
      </c>
      <c r="K131" t="s">
        <v>47113</v>
      </c>
      <c r="L131">
        <v>57.64</v>
      </c>
      <c r="M131">
        <v>138</v>
      </c>
      <c r="N131">
        <v>0</v>
      </c>
      <c r="O131">
        <v>138</v>
      </c>
      <c r="P131">
        <v>0</v>
      </c>
    </row>
    <row r="132" spans="1:16" x14ac:dyDescent="0.25">
      <c r="A132" t="s">
        <v>23073</v>
      </c>
      <c r="B132" t="s">
        <v>25</v>
      </c>
      <c r="C132" t="s">
        <v>26</v>
      </c>
      <c r="D132" t="s">
        <v>1174</v>
      </c>
      <c r="E132" t="s">
        <v>1175</v>
      </c>
      <c r="F132" t="s">
        <v>7</v>
      </c>
      <c r="G132" t="s">
        <v>47093</v>
      </c>
      <c r="H132" t="s">
        <v>47054</v>
      </c>
      <c r="I132" t="s">
        <v>47111</v>
      </c>
      <c r="J132" t="s">
        <v>47112</v>
      </c>
      <c r="K132" t="s">
        <v>47113</v>
      </c>
      <c r="L132">
        <v>56.25</v>
      </c>
      <c r="M132">
        <v>137</v>
      </c>
      <c r="N132">
        <v>0</v>
      </c>
      <c r="O132">
        <v>137</v>
      </c>
      <c r="P132">
        <v>0</v>
      </c>
    </row>
    <row r="133" spans="1:16" x14ac:dyDescent="0.25">
      <c r="A133" t="s">
        <v>23074</v>
      </c>
      <c r="B133" t="s">
        <v>25</v>
      </c>
      <c r="C133" t="s">
        <v>26</v>
      </c>
      <c r="D133" t="s">
        <v>22</v>
      </c>
      <c r="E133" t="s">
        <v>23</v>
      </c>
      <c r="F133" t="s">
        <v>7</v>
      </c>
      <c r="G133" t="s">
        <v>47093</v>
      </c>
      <c r="H133" t="s">
        <v>47054</v>
      </c>
      <c r="I133" t="s">
        <v>47111</v>
      </c>
      <c r="J133" t="s">
        <v>47112</v>
      </c>
      <c r="K133" t="s">
        <v>47113</v>
      </c>
      <c r="L133">
        <v>49.52</v>
      </c>
      <c r="M133">
        <v>122</v>
      </c>
      <c r="N133">
        <v>0</v>
      </c>
      <c r="O133">
        <v>122</v>
      </c>
      <c r="P133">
        <v>0</v>
      </c>
    </row>
    <row r="134" spans="1:16" x14ac:dyDescent="0.25">
      <c r="A134" t="s">
        <v>37</v>
      </c>
      <c r="B134" t="s">
        <v>38</v>
      </c>
      <c r="C134" t="s">
        <v>39</v>
      </c>
      <c r="D134" t="str">
        <f>"63"</f>
        <v>63</v>
      </c>
      <c r="E134" t="s">
        <v>40</v>
      </c>
      <c r="F134" t="s">
        <v>8</v>
      </c>
      <c r="G134" t="s">
        <v>47093</v>
      </c>
      <c r="H134" t="s">
        <v>47054</v>
      </c>
      <c r="I134" t="s">
        <v>47111</v>
      </c>
      <c r="J134" t="s">
        <v>47112</v>
      </c>
      <c r="K134" t="s">
        <v>47113</v>
      </c>
      <c r="L134">
        <v>45.25</v>
      </c>
      <c r="M134">
        <v>106</v>
      </c>
      <c r="N134">
        <v>0</v>
      </c>
      <c r="O134">
        <v>106</v>
      </c>
      <c r="P134">
        <v>0</v>
      </c>
    </row>
    <row r="135" spans="1:16" x14ac:dyDescent="0.25">
      <c r="A135" t="s">
        <v>23075</v>
      </c>
      <c r="B135" t="s">
        <v>1794</v>
      </c>
      <c r="C135" t="s">
        <v>1795</v>
      </c>
      <c r="D135" t="str">
        <f>"40"</f>
        <v>40</v>
      </c>
      <c r="E135" t="s">
        <v>31</v>
      </c>
      <c r="F135" t="s">
        <v>8</v>
      </c>
      <c r="G135" t="s">
        <v>47093</v>
      </c>
      <c r="H135" t="s">
        <v>47054</v>
      </c>
      <c r="I135" t="s">
        <v>47111</v>
      </c>
      <c r="J135" t="s">
        <v>47112</v>
      </c>
      <c r="K135" t="s">
        <v>47113</v>
      </c>
      <c r="L135">
        <v>35.9</v>
      </c>
      <c r="M135">
        <v>95</v>
      </c>
      <c r="N135">
        <v>0</v>
      </c>
      <c r="O135">
        <v>95</v>
      </c>
      <c r="P135">
        <v>0</v>
      </c>
    </row>
    <row r="136" spans="1:16" x14ac:dyDescent="0.25">
      <c r="A136" t="s">
        <v>23076</v>
      </c>
      <c r="B136" t="s">
        <v>1794</v>
      </c>
      <c r="C136" t="s">
        <v>1795</v>
      </c>
      <c r="D136" t="s">
        <v>629</v>
      </c>
      <c r="E136" t="s">
        <v>630</v>
      </c>
      <c r="F136" t="s">
        <v>631</v>
      </c>
      <c r="G136" t="s">
        <v>47093</v>
      </c>
      <c r="H136" t="s">
        <v>47054</v>
      </c>
      <c r="I136" t="s">
        <v>47111</v>
      </c>
      <c r="J136" t="s">
        <v>47112</v>
      </c>
      <c r="K136" t="s">
        <v>47113</v>
      </c>
      <c r="L136">
        <v>35.08</v>
      </c>
      <c r="M136">
        <v>87</v>
      </c>
      <c r="N136">
        <v>0</v>
      </c>
      <c r="O136">
        <v>87</v>
      </c>
      <c r="P136">
        <v>0</v>
      </c>
    </row>
    <row r="137" spans="1:16" x14ac:dyDescent="0.25">
      <c r="A137" t="s">
        <v>23077</v>
      </c>
      <c r="B137" t="s">
        <v>1794</v>
      </c>
      <c r="C137" t="s">
        <v>1795</v>
      </c>
      <c r="D137" t="s">
        <v>1777</v>
      </c>
      <c r="E137" t="s">
        <v>1778</v>
      </c>
      <c r="F137" t="s">
        <v>8</v>
      </c>
      <c r="G137" t="s">
        <v>47093</v>
      </c>
      <c r="H137" t="s">
        <v>47054</v>
      </c>
      <c r="I137" t="s">
        <v>47111</v>
      </c>
      <c r="J137" t="s">
        <v>47112</v>
      </c>
      <c r="K137" t="s">
        <v>47113</v>
      </c>
      <c r="L137">
        <v>34.17</v>
      </c>
      <c r="M137">
        <v>91</v>
      </c>
      <c r="N137">
        <v>0</v>
      </c>
      <c r="O137">
        <v>91</v>
      </c>
      <c r="P137">
        <v>0</v>
      </c>
    </row>
    <row r="138" spans="1:16" x14ac:dyDescent="0.25">
      <c r="A138" t="s">
        <v>23078</v>
      </c>
      <c r="B138" t="str">
        <f>"10592"</f>
        <v>10592</v>
      </c>
      <c r="C138" t="s">
        <v>1796</v>
      </c>
      <c r="D138" t="s">
        <v>1797</v>
      </c>
      <c r="E138" t="s">
        <v>1798</v>
      </c>
      <c r="F138" t="s">
        <v>687</v>
      </c>
      <c r="G138" t="s">
        <v>47093</v>
      </c>
      <c r="H138" t="s">
        <v>47054</v>
      </c>
      <c r="I138" t="s">
        <v>47111</v>
      </c>
      <c r="J138" t="s">
        <v>47112</v>
      </c>
      <c r="K138" t="s">
        <v>47113</v>
      </c>
      <c r="L138">
        <v>35.83</v>
      </c>
      <c r="M138">
        <v>81</v>
      </c>
      <c r="N138">
        <v>0</v>
      </c>
      <c r="O138">
        <v>81</v>
      </c>
      <c r="P138">
        <v>0</v>
      </c>
    </row>
    <row r="139" spans="1:16" x14ac:dyDescent="0.25">
      <c r="A139" t="s">
        <v>23079</v>
      </c>
      <c r="B139" t="s">
        <v>1799</v>
      </c>
      <c r="C139" t="s">
        <v>1800</v>
      </c>
      <c r="D139" t="str">
        <f>"11"</f>
        <v>11</v>
      </c>
      <c r="E139" t="s">
        <v>288</v>
      </c>
      <c r="F139" t="s">
        <v>1717</v>
      </c>
      <c r="G139" t="s">
        <v>47093</v>
      </c>
      <c r="H139" t="s">
        <v>47054</v>
      </c>
      <c r="I139" t="s">
        <v>47111</v>
      </c>
      <c r="J139" t="s">
        <v>47112</v>
      </c>
      <c r="K139" t="s">
        <v>47113</v>
      </c>
      <c r="L139">
        <v>47.71</v>
      </c>
      <c r="M139">
        <v>108</v>
      </c>
      <c r="N139">
        <v>0</v>
      </c>
      <c r="O139">
        <v>108</v>
      </c>
      <c r="P139">
        <v>0</v>
      </c>
    </row>
    <row r="140" spans="1:16" x14ac:dyDescent="0.25">
      <c r="A140" t="s">
        <v>23080</v>
      </c>
      <c r="B140" t="s">
        <v>1799</v>
      </c>
      <c r="C140" t="s">
        <v>1800</v>
      </c>
      <c r="D140" t="s">
        <v>1792</v>
      </c>
      <c r="E140" t="s">
        <v>1793</v>
      </c>
      <c r="F140" t="s">
        <v>56</v>
      </c>
      <c r="G140" t="s">
        <v>47093</v>
      </c>
      <c r="H140" t="s">
        <v>47054</v>
      </c>
      <c r="I140" t="s">
        <v>47111</v>
      </c>
      <c r="J140" t="s">
        <v>47112</v>
      </c>
      <c r="K140" t="s">
        <v>47113</v>
      </c>
      <c r="L140">
        <v>52.94</v>
      </c>
      <c r="M140">
        <v>119</v>
      </c>
      <c r="N140">
        <v>0</v>
      </c>
      <c r="O140">
        <v>119</v>
      </c>
      <c r="P140">
        <v>0</v>
      </c>
    </row>
    <row r="141" spans="1:16" x14ac:dyDescent="0.25">
      <c r="A141" t="s">
        <v>23081</v>
      </c>
      <c r="B141" t="s">
        <v>1799</v>
      </c>
      <c r="C141" t="s">
        <v>1800</v>
      </c>
      <c r="D141" t="s">
        <v>1774</v>
      </c>
      <c r="E141" t="s">
        <v>1775</v>
      </c>
      <c r="F141" t="s">
        <v>56</v>
      </c>
      <c r="G141" t="s">
        <v>47093</v>
      </c>
      <c r="H141" t="s">
        <v>47054</v>
      </c>
      <c r="I141" t="s">
        <v>47111</v>
      </c>
      <c r="J141" t="s">
        <v>47112</v>
      </c>
      <c r="K141" t="s">
        <v>47113</v>
      </c>
      <c r="L141">
        <v>53.55</v>
      </c>
      <c r="M141">
        <v>127</v>
      </c>
      <c r="N141">
        <v>0</v>
      </c>
      <c r="O141">
        <v>127</v>
      </c>
      <c r="P141">
        <v>0</v>
      </c>
    </row>
    <row r="142" spans="1:16" x14ac:dyDescent="0.25">
      <c r="A142" t="s">
        <v>23082</v>
      </c>
      <c r="B142" t="s">
        <v>1801</v>
      </c>
      <c r="C142" t="s">
        <v>1802</v>
      </c>
      <c r="D142" t="s">
        <v>721</v>
      </c>
      <c r="E142" t="s">
        <v>722</v>
      </c>
      <c r="F142" t="s">
        <v>687</v>
      </c>
      <c r="G142" t="s">
        <v>47093</v>
      </c>
      <c r="H142" t="s">
        <v>47054</v>
      </c>
      <c r="I142" t="s">
        <v>47111</v>
      </c>
      <c r="J142" t="s">
        <v>47112</v>
      </c>
      <c r="K142" t="s">
        <v>47113</v>
      </c>
      <c r="L142">
        <v>30.7</v>
      </c>
      <c r="M142">
        <v>69</v>
      </c>
      <c r="N142">
        <v>0</v>
      </c>
      <c r="O142">
        <v>69</v>
      </c>
      <c r="P142">
        <v>0</v>
      </c>
    </row>
    <row r="143" spans="1:16" x14ac:dyDescent="0.25">
      <c r="A143" t="s">
        <v>23083</v>
      </c>
      <c r="B143" t="s">
        <v>1803</v>
      </c>
      <c r="C143" t="s">
        <v>1804</v>
      </c>
      <c r="D143" t="s">
        <v>629</v>
      </c>
      <c r="E143" t="s">
        <v>630</v>
      </c>
      <c r="F143" t="s">
        <v>8</v>
      </c>
      <c r="G143" t="s">
        <v>47093</v>
      </c>
      <c r="H143" t="s">
        <v>47054</v>
      </c>
      <c r="I143" t="s">
        <v>47111</v>
      </c>
      <c r="J143" t="s">
        <v>47112</v>
      </c>
      <c r="K143" t="s">
        <v>47113</v>
      </c>
      <c r="L143">
        <v>51.29</v>
      </c>
      <c r="M143">
        <v>146</v>
      </c>
      <c r="N143">
        <v>0</v>
      </c>
      <c r="O143">
        <v>146</v>
      </c>
      <c r="P143">
        <v>0</v>
      </c>
    </row>
    <row r="144" spans="1:16" x14ac:dyDescent="0.25">
      <c r="A144" t="s">
        <v>23084</v>
      </c>
      <c r="B144" t="s">
        <v>1803</v>
      </c>
      <c r="C144" t="s">
        <v>1804</v>
      </c>
      <c r="D144" t="s">
        <v>1790</v>
      </c>
      <c r="E144" t="s">
        <v>1791</v>
      </c>
      <c r="F144" t="s">
        <v>1717</v>
      </c>
      <c r="G144" t="s">
        <v>47093</v>
      </c>
      <c r="H144" t="s">
        <v>47054</v>
      </c>
      <c r="I144" t="s">
        <v>47111</v>
      </c>
      <c r="J144" t="s">
        <v>47112</v>
      </c>
      <c r="K144" t="s">
        <v>47113</v>
      </c>
      <c r="L144">
        <v>51.93</v>
      </c>
      <c r="M144">
        <v>116</v>
      </c>
      <c r="N144">
        <v>0</v>
      </c>
      <c r="O144">
        <v>116</v>
      </c>
      <c r="P144">
        <v>0</v>
      </c>
    </row>
    <row r="145" spans="1:16" x14ac:dyDescent="0.25">
      <c r="A145" t="s">
        <v>23085</v>
      </c>
      <c r="B145" t="s">
        <v>1803</v>
      </c>
      <c r="C145" t="s">
        <v>1804</v>
      </c>
      <c r="D145" t="s">
        <v>1781</v>
      </c>
      <c r="E145" t="s">
        <v>1782</v>
      </c>
      <c r="F145" t="s">
        <v>1717</v>
      </c>
      <c r="G145" t="s">
        <v>47093</v>
      </c>
      <c r="H145" t="s">
        <v>47054</v>
      </c>
      <c r="I145" t="s">
        <v>47111</v>
      </c>
      <c r="J145" t="s">
        <v>47112</v>
      </c>
      <c r="K145" t="s">
        <v>47113</v>
      </c>
      <c r="L145">
        <v>52.16</v>
      </c>
      <c r="M145">
        <v>146</v>
      </c>
      <c r="N145">
        <v>0</v>
      </c>
      <c r="O145">
        <v>146</v>
      </c>
      <c r="P145">
        <v>0</v>
      </c>
    </row>
    <row r="146" spans="1:16" x14ac:dyDescent="0.25">
      <c r="A146" t="s">
        <v>23086</v>
      </c>
      <c r="B146" t="s">
        <v>1803</v>
      </c>
      <c r="C146" t="s">
        <v>1804</v>
      </c>
      <c r="D146" t="s">
        <v>1768</v>
      </c>
      <c r="E146" t="s">
        <v>1769</v>
      </c>
      <c r="F146" t="s">
        <v>52</v>
      </c>
      <c r="G146" t="s">
        <v>47093</v>
      </c>
      <c r="H146" t="s">
        <v>47054</v>
      </c>
      <c r="I146" t="s">
        <v>47111</v>
      </c>
      <c r="J146" t="s">
        <v>47112</v>
      </c>
      <c r="K146" t="s">
        <v>47113</v>
      </c>
      <c r="L146">
        <v>57.3</v>
      </c>
      <c r="M146">
        <v>144</v>
      </c>
      <c r="N146">
        <v>0</v>
      </c>
      <c r="O146">
        <v>144</v>
      </c>
      <c r="P146">
        <v>0</v>
      </c>
    </row>
    <row r="147" spans="1:16" x14ac:dyDescent="0.25">
      <c r="A147" t="s">
        <v>23087</v>
      </c>
      <c r="B147" t="s">
        <v>1803</v>
      </c>
      <c r="C147" t="s">
        <v>1804</v>
      </c>
      <c r="D147" t="s">
        <v>1772</v>
      </c>
      <c r="E147" t="s">
        <v>1773</v>
      </c>
      <c r="F147" t="s">
        <v>52</v>
      </c>
      <c r="G147" t="s">
        <v>47093</v>
      </c>
      <c r="H147" t="s">
        <v>47054</v>
      </c>
      <c r="I147" t="s">
        <v>47111</v>
      </c>
      <c r="J147" t="s">
        <v>47112</v>
      </c>
      <c r="K147" t="s">
        <v>47113</v>
      </c>
      <c r="L147">
        <v>60.19</v>
      </c>
      <c r="M147">
        <v>152</v>
      </c>
      <c r="N147">
        <v>0</v>
      </c>
      <c r="O147">
        <v>152</v>
      </c>
      <c r="P147">
        <v>0</v>
      </c>
    </row>
    <row r="148" spans="1:16" x14ac:dyDescent="0.25">
      <c r="A148" t="s">
        <v>23088</v>
      </c>
      <c r="B148" t="s">
        <v>1803</v>
      </c>
      <c r="C148" t="s">
        <v>1804</v>
      </c>
      <c r="D148" t="s">
        <v>1805</v>
      </c>
      <c r="E148" t="s">
        <v>1806</v>
      </c>
      <c r="F148" t="s">
        <v>631</v>
      </c>
      <c r="G148" t="s">
        <v>47093</v>
      </c>
      <c r="H148" t="s">
        <v>47054</v>
      </c>
      <c r="I148" t="s">
        <v>47111</v>
      </c>
      <c r="J148" t="s">
        <v>47112</v>
      </c>
      <c r="K148" t="s">
        <v>47113</v>
      </c>
      <c r="L148">
        <v>53.02</v>
      </c>
      <c r="M148">
        <v>118</v>
      </c>
      <c r="N148">
        <v>0</v>
      </c>
      <c r="O148">
        <v>118</v>
      </c>
      <c r="P148">
        <v>0</v>
      </c>
    </row>
    <row r="149" spans="1:16" x14ac:dyDescent="0.25">
      <c r="A149" t="s">
        <v>23089</v>
      </c>
      <c r="B149" t="s">
        <v>1807</v>
      </c>
      <c r="C149" t="s">
        <v>1808</v>
      </c>
      <c r="D149" t="s">
        <v>1765</v>
      </c>
      <c r="E149" t="s">
        <v>1766</v>
      </c>
      <c r="F149" t="s">
        <v>36</v>
      </c>
      <c r="G149" t="s">
        <v>47093</v>
      </c>
      <c r="H149" t="s">
        <v>47054</v>
      </c>
      <c r="I149" t="s">
        <v>47111</v>
      </c>
      <c r="J149" t="s">
        <v>47112</v>
      </c>
      <c r="K149" t="s">
        <v>47113</v>
      </c>
      <c r="L149">
        <v>39.32</v>
      </c>
      <c r="M149">
        <v>88</v>
      </c>
      <c r="N149">
        <v>0</v>
      </c>
      <c r="O149">
        <v>88</v>
      </c>
      <c r="P149">
        <v>0</v>
      </c>
    </row>
    <row r="150" spans="1:16" x14ac:dyDescent="0.25">
      <c r="A150" t="s">
        <v>23090</v>
      </c>
      <c r="B150" t="s">
        <v>1809</v>
      </c>
      <c r="C150" t="s">
        <v>1810</v>
      </c>
      <c r="D150" t="s">
        <v>629</v>
      </c>
      <c r="E150" t="s">
        <v>630</v>
      </c>
      <c r="F150" t="s">
        <v>1717</v>
      </c>
      <c r="G150" t="s">
        <v>47093</v>
      </c>
      <c r="H150" t="s">
        <v>47054</v>
      </c>
      <c r="I150" t="s">
        <v>47111</v>
      </c>
      <c r="J150" t="s">
        <v>47112</v>
      </c>
      <c r="K150" t="s">
        <v>47113</v>
      </c>
      <c r="L150">
        <v>35.979999999999997</v>
      </c>
      <c r="M150">
        <v>87</v>
      </c>
      <c r="N150">
        <v>0</v>
      </c>
      <c r="O150">
        <v>87</v>
      </c>
      <c r="P150">
        <v>0</v>
      </c>
    </row>
    <row r="151" spans="1:16" x14ac:dyDescent="0.25">
      <c r="A151" t="s">
        <v>23091</v>
      </c>
      <c r="B151" t="s">
        <v>1809</v>
      </c>
      <c r="C151" t="s">
        <v>1810</v>
      </c>
      <c r="D151" t="s">
        <v>1768</v>
      </c>
      <c r="E151" t="s">
        <v>1769</v>
      </c>
      <c r="F151" t="s">
        <v>52</v>
      </c>
      <c r="G151" t="s">
        <v>47093</v>
      </c>
      <c r="H151" t="s">
        <v>47054</v>
      </c>
      <c r="I151" t="s">
        <v>47111</v>
      </c>
      <c r="J151" t="s">
        <v>47112</v>
      </c>
      <c r="K151" t="s">
        <v>47113</v>
      </c>
      <c r="L151">
        <v>40.83</v>
      </c>
      <c r="M151">
        <v>105</v>
      </c>
      <c r="N151">
        <v>0</v>
      </c>
      <c r="O151">
        <v>105</v>
      </c>
      <c r="P151">
        <v>0</v>
      </c>
    </row>
    <row r="152" spans="1:16" x14ac:dyDescent="0.25">
      <c r="A152" t="s">
        <v>23092</v>
      </c>
      <c r="B152" t="s">
        <v>1809</v>
      </c>
      <c r="C152" t="s">
        <v>1810</v>
      </c>
      <c r="D152" t="s">
        <v>1772</v>
      </c>
      <c r="E152" t="s">
        <v>1773</v>
      </c>
      <c r="F152" t="s">
        <v>52</v>
      </c>
      <c r="G152" t="s">
        <v>47093</v>
      </c>
      <c r="H152" t="s">
        <v>47054</v>
      </c>
      <c r="I152" t="s">
        <v>47111</v>
      </c>
      <c r="J152" t="s">
        <v>47112</v>
      </c>
      <c r="K152" t="s">
        <v>47113</v>
      </c>
      <c r="L152">
        <v>44.03</v>
      </c>
      <c r="M152">
        <v>112</v>
      </c>
      <c r="N152">
        <v>0</v>
      </c>
      <c r="O152">
        <v>112</v>
      </c>
      <c r="P152">
        <v>0</v>
      </c>
    </row>
    <row r="153" spans="1:16" x14ac:dyDescent="0.25">
      <c r="A153" t="s">
        <v>23093</v>
      </c>
      <c r="B153" t="s">
        <v>1811</v>
      </c>
      <c r="C153" t="s">
        <v>1812</v>
      </c>
      <c r="D153" t="s">
        <v>721</v>
      </c>
      <c r="E153" t="s">
        <v>722</v>
      </c>
      <c r="F153" t="s">
        <v>1401</v>
      </c>
      <c r="G153" t="s">
        <v>47093</v>
      </c>
      <c r="H153" t="s">
        <v>47054</v>
      </c>
      <c r="I153" t="s">
        <v>47114</v>
      </c>
      <c r="J153" t="s">
        <v>47115</v>
      </c>
      <c r="K153" t="s">
        <v>47113</v>
      </c>
      <c r="L153">
        <v>26.58</v>
      </c>
      <c r="M153">
        <v>69</v>
      </c>
      <c r="N153">
        <v>0</v>
      </c>
      <c r="O153">
        <v>69</v>
      </c>
      <c r="P153">
        <v>0</v>
      </c>
    </row>
    <row r="154" spans="1:16" x14ac:dyDescent="0.25">
      <c r="A154" t="s">
        <v>23094</v>
      </c>
      <c r="B154" t="s">
        <v>1811</v>
      </c>
      <c r="C154" t="s">
        <v>1812</v>
      </c>
      <c r="D154" t="s">
        <v>1768</v>
      </c>
      <c r="E154" t="s">
        <v>1769</v>
      </c>
      <c r="F154" t="s">
        <v>52</v>
      </c>
      <c r="G154" t="s">
        <v>47093</v>
      </c>
      <c r="H154" t="s">
        <v>47054</v>
      </c>
      <c r="I154" t="s">
        <v>47114</v>
      </c>
      <c r="J154" t="s">
        <v>47115</v>
      </c>
      <c r="K154" t="s">
        <v>47113</v>
      </c>
      <c r="L154">
        <v>39.47</v>
      </c>
      <c r="M154">
        <v>101</v>
      </c>
      <c r="N154">
        <v>0</v>
      </c>
      <c r="O154">
        <v>101</v>
      </c>
      <c r="P154">
        <v>0</v>
      </c>
    </row>
    <row r="155" spans="1:16" x14ac:dyDescent="0.25">
      <c r="A155" t="s">
        <v>23095</v>
      </c>
      <c r="B155" t="s">
        <v>1811</v>
      </c>
      <c r="C155" t="s">
        <v>1812</v>
      </c>
      <c r="D155" t="s">
        <v>1772</v>
      </c>
      <c r="E155" t="s">
        <v>1773</v>
      </c>
      <c r="F155" t="s">
        <v>52</v>
      </c>
      <c r="G155" t="s">
        <v>47093</v>
      </c>
      <c r="H155" t="s">
        <v>47054</v>
      </c>
      <c r="I155" t="s">
        <v>47114</v>
      </c>
      <c r="J155" t="s">
        <v>47115</v>
      </c>
      <c r="K155" t="s">
        <v>47113</v>
      </c>
      <c r="L155">
        <v>42.36</v>
      </c>
      <c r="M155">
        <v>108</v>
      </c>
      <c r="N155">
        <v>0</v>
      </c>
      <c r="O155">
        <v>108</v>
      </c>
      <c r="P155">
        <v>0</v>
      </c>
    </row>
    <row r="156" spans="1:16" x14ac:dyDescent="0.25">
      <c r="A156" t="s">
        <v>23096</v>
      </c>
      <c r="B156" t="str">
        <f>"1200000002"</f>
        <v>1200000002</v>
      </c>
      <c r="C156" t="s">
        <v>1813</v>
      </c>
      <c r="D156" t="s">
        <v>753</v>
      </c>
      <c r="E156" t="s">
        <v>754</v>
      </c>
      <c r="F156" t="s">
        <v>8</v>
      </c>
      <c r="G156" t="s">
        <v>16230</v>
      </c>
      <c r="H156" t="s">
        <v>47054</v>
      </c>
      <c r="I156" t="s">
        <v>47116</v>
      </c>
      <c r="J156" t="s">
        <v>47117</v>
      </c>
      <c r="K156" t="s">
        <v>47113</v>
      </c>
      <c r="L156">
        <v>47.71</v>
      </c>
      <c r="M156">
        <v>110</v>
      </c>
      <c r="N156">
        <v>0</v>
      </c>
      <c r="O156">
        <v>110</v>
      </c>
      <c r="P156">
        <v>0</v>
      </c>
    </row>
    <row r="157" spans="1:16" x14ac:dyDescent="0.25">
      <c r="A157">
        <v>12000000151023</v>
      </c>
      <c r="B157" t="str">
        <f t="shared" ref="B157:B165" si="1">"1200000015"</f>
        <v>1200000015</v>
      </c>
      <c r="C157" t="s">
        <v>1814</v>
      </c>
      <c r="D157" t="str">
        <f>"1023"</f>
        <v>1023</v>
      </c>
      <c r="E157" t="s">
        <v>1815</v>
      </c>
      <c r="F157" t="s">
        <v>52</v>
      </c>
      <c r="G157" t="s">
        <v>16230</v>
      </c>
      <c r="H157" t="s">
        <v>47054</v>
      </c>
      <c r="I157" t="s">
        <v>47118</v>
      </c>
      <c r="J157" t="s">
        <v>47119</v>
      </c>
      <c r="K157" t="s">
        <v>47113</v>
      </c>
      <c r="L157">
        <v>20.75</v>
      </c>
      <c r="M157">
        <v>51</v>
      </c>
      <c r="N157">
        <v>0</v>
      </c>
      <c r="O157">
        <v>51</v>
      </c>
      <c r="P157">
        <v>0</v>
      </c>
    </row>
    <row r="158" spans="1:16" x14ac:dyDescent="0.25">
      <c r="A158">
        <v>12000000152043</v>
      </c>
      <c r="B158" t="str">
        <f t="shared" si="1"/>
        <v>1200000015</v>
      </c>
      <c r="C158" t="s">
        <v>1814</v>
      </c>
      <c r="D158" t="str">
        <f>"2043"</f>
        <v>2043</v>
      </c>
      <c r="E158" t="s">
        <v>1816</v>
      </c>
      <c r="F158" t="s">
        <v>52</v>
      </c>
      <c r="G158" t="s">
        <v>16230</v>
      </c>
      <c r="H158" t="s">
        <v>47054</v>
      </c>
      <c r="I158" t="s">
        <v>47118</v>
      </c>
      <c r="J158" t="s">
        <v>47119</v>
      </c>
      <c r="K158" t="s">
        <v>47113</v>
      </c>
      <c r="L158">
        <v>20.239999999999998</v>
      </c>
      <c r="M158">
        <v>51</v>
      </c>
      <c r="N158">
        <v>0</v>
      </c>
      <c r="O158">
        <v>51</v>
      </c>
      <c r="P158">
        <v>0</v>
      </c>
    </row>
    <row r="159" spans="1:16" x14ac:dyDescent="0.25">
      <c r="A159">
        <v>12000000152401</v>
      </c>
      <c r="B159" t="str">
        <f t="shared" si="1"/>
        <v>1200000015</v>
      </c>
      <c r="C159" t="s">
        <v>1814</v>
      </c>
      <c r="D159" t="str">
        <f>"2401"</f>
        <v>2401</v>
      </c>
      <c r="E159" t="s">
        <v>1817</v>
      </c>
      <c r="F159" t="s">
        <v>8</v>
      </c>
      <c r="G159" t="s">
        <v>16230</v>
      </c>
      <c r="H159" t="s">
        <v>47054</v>
      </c>
      <c r="I159" t="s">
        <v>47118</v>
      </c>
      <c r="J159" t="s">
        <v>47119</v>
      </c>
      <c r="K159" t="s">
        <v>47113</v>
      </c>
      <c r="L159">
        <v>20.75</v>
      </c>
      <c r="M159">
        <v>64</v>
      </c>
      <c r="N159">
        <v>0</v>
      </c>
      <c r="O159">
        <v>64</v>
      </c>
      <c r="P159">
        <v>0</v>
      </c>
    </row>
    <row r="160" spans="1:16" x14ac:dyDescent="0.25">
      <c r="A160">
        <v>12000000152531</v>
      </c>
      <c r="B160" t="str">
        <f t="shared" si="1"/>
        <v>1200000015</v>
      </c>
      <c r="C160" t="s">
        <v>1814</v>
      </c>
      <c r="D160" t="str">
        <f>"2531"</f>
        <v>2531</v>
      </c>
      <c r="E160" t="s">
        <v>1818</v>
      </c>
      <c r="F160" t="s">
        <v>52</v>
      </c>
      <c r="G160" t="s">
        <v>16230</v>
      </c>
      <c r="H160" t="s">
        <v>47054</v>
      </c>
      <c r="I160" t="s">
        <v>47118</v>
      </c>
      <c r="J160" t="s">
        <v>47119</v>
      </c>
      <c r="K160" t="s">
        <v>47113</v>
      </c>
      <c r="L160">
        <v>20.75</v>
      </c>
      <c r="M160">
        <v>51</v>
      </c>
      <c r="N160">
        <v>0</v>
      </c>
      <c r="O160">
        <v>51</v>
      </c>
      <c r="P160">
        <v>0</v>
      </c>
    </row>
    <row r="161" spans="1:16" x14ac:dyDescent="0.25">
      <c r="A161">
        <v>12000000152801</v>
      </c>
      <c r="B161" t="str">
        <f t="shared" si="1"/>
        <v>1200000015</v>
      </c>
      <c r="C161" t="s">
        <v>1814</v>
      </c>
      <c r="D161" t="str">
        <f>"2801"</f>
        <v>2801</v>
      </c>
      <c r="E161" t="s">
        <v>1819</v>
      </c>
      <c r="F161" t="s">
        <v>8</v>
      </c>
      <c r="G161" t="s">
        <v>16230</v>
      </c>
      <c r="H161" t="s">
        <v>47054</v>
      </c>
      <c r="I161" t="s">
        <v>47118</v>
      </c>
      <c r="J161" t="s">
        <v>47119</v>
      </c>
      <c r="K161" t="s">
        <v>47113</v>
      </c>
      <c r="L161">
        <v>20.75</v>
      </c>
      <c r="M161">
        <v>64</v>
      </c>
      <c r="N161">
        <v>0</v>
      </c>
      <c r="O161">
        <v>64</v>
      </c>
      <c r="P161">
        <v>0</v>
      </c>
    </row>
    <row r="162" spans="1:16" x14ac:dyDescent="0.25">
      <c r="A162">
        <v>12000000153404</v>
      </c>
      <c r="B162" t="str">
        <f t="shared" si="1"/>
        <v>1200000015</v>
      </c>
      <c r="C162" t="s">
        <v>1814</v>
      </c>
      <c r="D162" t="str">
        <f>"3404"</f>
        <v>3404</v>
      </c>
      <c r="E162" t="s">
        <v>1820</v>
      </c>
      <c r="F162" t="s">
        <v>8</v>
      </c>
      <c r="G162" t="s">
        <v>16230</v>
      </c>
      <c r="H162" t="s">
        <v>47054</v>
      </c>
      <c r="I162" t="s">
        <v>47118</v>
      </c>
      <c r="J162" t="s">
        <v>47119</v>
      </c>
      <c r="K162" t="s">
        <v>47113</v>
      </c>
      <c r="L162">
        <v>20.75</v>
      </c>
      <c r="M162">
        <v>64</v>
      </c>
      <c r="N162">
        <v>0</v>
      </c>
      <c r="O162">
        <v>64</v>
      </c>
      <c r="P162">
        <v>0</v>
      </c>
    </row>
    <row r="163" spans="1:16" x14ac:dyDescent="0.25">
      <c r="A163">
        <v>12000000154184</v>
      </c>
      <c r="B163" t="str">
        <f t="shared" si="1"/>
        <v>1200000015</v>
      </c>
      <c r="C163" t="s">
        <v>1814</v>
      </c>
      <c r="D163" t="str">
        <f>"4184"</f>
        <v>4184</v>
      </c>
      <c r="E163" t="s">
        <v>1821</v>
      </c>
      <c r="F163" t="s">
        <v>52</v>
      </c>
      <c r="G163" t="s">
        <v>16230</v>
      </c>
      <c r="H163" t="s">
        <v>47054</v>
      </c>
      <c r="I163" t="s">
        <v>47118</v>
      </c>
      <c r="J163" t="s">
        <v>47119</v>
      </c>
      <c r="K163" t="s">
        <v>47113</v>
      </c>
      <c r="L163">
        <v>20.75</v>
      </c>
      <c r="M163">
        <v>51</v>
      </c>
      <c r="N163">
        <v>0</v>
      </c>
      <c r="O163">
        <v>51</v>
      </c>
      <c r="P163">
        <v>0</v>
      </c>
    </row>
    <row r="164" spans="1:16" x14ac:dyDescent="0.25">
      <c r="A164">
        <v>12000000154608</v>
      </c>
      <c r="B164" t="str">
        <f t="shared" si="1"/>
        <v>1200000015</v>
      </c>
      <c r="C164" t="s">
        <v>1814</v>
      </c>
      <c r="D164" t="str">
        <f>"4608"</f>
        <v>4608</v>
      </c>
      <c r="E164" t="s">
        <v>1822</v>
      </c>
      <c r="F164" t="s">
        <v>8</v>
      </c>
      <c r="G164" t="s">
        <v>16230</v>
      </c>
      <c r="H164" t="s">
        <v>47054</v>
      </c>
      <c r="I164" t="s">
        <v>47118</v>
      </c>
      <c r="J164" t="s">
        <v>47119</v>
      </c>
      <c r="K164" t="s">
        <v>47113</v>
      </c>
      <c r="L164">
        <v>20.75</v>
      </c>
      <c r="M164">
        <v>64</v>
      </c>
      <c r="N164">
        <v>0</v>
      </c>
      <c r="O164">
        <v>64</v>
      </c>
      <c r="P164">
        <v>0</v>
      </c>
    </row>
    <row r="165" spans="1:16" x14ac:dyDescent="0.25">
      <c r="A165">
        <v>12000000156090</v>
      </c>
      <c r="B165" t="str">
        <f t="shared" si="1"/>
        <v>1200000015</v>
      </c>
      <c r="C165" t="s">
        <v>1814</v>
      </c>
      <c r="D165" t="str">
        <f>"6090"</f>
        <v>6090</v>
      </c>
      <c r="E165" t="s">
        <v>1823</v>
      </c>
      <c r="F165" t="s">
        <v>52</v>
      </c>
      <c r="G165" t="s">
        <v>16230</v>
      </c>
      <c r="H165" t="s">
        <v>47054</v>
      </c>
      <c r="I165" t="s">
        <v>47118</v>
      </c>
      <c r="J165" t="s">
        <v>47119</v>
      </c>
      <c r="K165" t="s">
        <v>47113</v>
      </c>
      <c r="L165">
        <v>20.239999999999998</v>
      </c>
      <c r="M165">
        <v>51</v>
      </c>
      <c r="N165">
        <v>0</v>
      </c>
      <c r="O165">
        <v>51</v>
      </c>
      <c r="P165">
        <v>0</v>
      </c>
    </row>
    <row r="166" spans="1:16" x14ac:dyDescent="0.25">
      <c r="A166">
        <v>12000000171305</v>
      </c>
      <c r="B166" t="str">
        <f>"1200000017"</f>
        <v>1200000017</v>
      </c>
      <c r="C166" t="s">
        <v>1824</v>
      </c>
      <c r="D166" t="str">
        <f>"1305"</f>
        <v>1305</v>
      </c>
      <c r="E166" t="s">
        <v>1825</v>
      </c>
      <c r="F166" t="s">
        <v>56</v>
      </c>
      <c r="G166" t="s">
        <v>16230</v>
      </c>
      <c r="H166" t="s">
        <v>47054</v>
      </c>
      <c r="I166" t="s">
        <v>47118</v>
      </c>
      <c r="J166" t="s">
        <v>47119</v>
      </c>
      <c r="K166" t="s">
        <v>47113</v>
      </c>
      <c r="L166">
        <v>23.34</v>
      </c>
      <c r="M166">
        <v>48</v>
      </c>
      <c r="N166">
        <v>0</v>
      </c>
      <c r="O166">
        <v>48</v>
      </c>
      <c r="P166">
        <v>0</v>
      </c>
    </row>
    <row r="167" spans="1:16" x14ac:dyDescent="0.25">
      <c r="A167">
        <v>12000000172114</v>
      </c>
      <c r="B167" t="str">
        <f>"1200000017"</f>
        <v>1200000017</v>
      </c>
      <c r="C167" t="s">
        <v>1824</v>
      </c>
      <c r="D167" t="str">
        <f>"2114"</f>
        <v>2114</v>
      </c>
      <c r="E167" t="s">
        <v>1826</v>
      </c>
      <c r="F167" t="s">
        <v>56</v>
      </c>
      <c r="G167" t="s">
        <v>16230</v>
      </c>
      <c r="H167" t="s">
        <v>47054</v>
      </c>
      <c r="I167" t="s">
        <v>47118</v>
      </c>
      <c r="J167" t="s">
        <v>47119</v>
      </c>
      <c r="K167" t="s">
        <v>47113</v>
      </c>
      <c r="L167">
        <v>23.34</v>
      </c>
      <c r="M167">
        <v>48</v>
      </c>
      <c r="N167">
        <v>0</v>
      </c>
      <c r="O167">
        <v>48</v>
      </c>
      <c r="P167">
        <v>0</v>
      </c>
    </row>
    <row r="168" spans="1:16" x14ac:dyDescent="0.25">
      <c r="A168">
        <v>12000000172115</v>
      </c>
      <c r="B168" t="str">
        <f>"1200000017"</f>
        <v>1200000017</v>
      </c>
      <c r="C168" t="s">
        <v>1824</v>
      </c>
      <c r="D168" t="str">
        <f>"2115"</f>
        <v>2115</v>
      </c>
      <c r="E168" t="s">
        <v>1827</v>
      </c>
      <c r="F168" t="s">
        <v>56</v>
      </c>
      <c r="G168" t="s">
        <v>16230</v>
      </c>
      <c r="H168" t="s">
        <v>47054</v>
      </c>
      <c r="I168" t="s">
        <v>47118</v>
      </c>
      <c r="J168" t="s">
        <v>47119</v>
      </c>
      <c r="K168" t="s">
        <v>47113</v>
      </c>
      <c r="L168">
        <v>23.34</v>
      </c>
      <c r="M168">
        <v>48</v>
      </c>
      <c r="N168">
        <v>0</v>
      </c>
      <c r="O168">
        <v>48</v>
      </c>
      <c r="P168">
        <v>0</v>
      </c>
    </row>
    <row r="169" spans="1:16" x14ac:dyDescent="0.25">
      <c r="A169">
        <v>12000000173204</v>
      </c>
      <c r="B169" t="str">
        <f>"1200000017"</f>
        <v>1200000017</v>
      </c>
      <c r="C169" t="s">
        <v>1824</v>
      </c>
      <c r="D169" t="str">
        <f>"3204"</f>
        <v>3204</v>
      </c>
      <c r="E169" t="s">
        <v>1828</v>
      </c>
      <c r="F169" t="s">
        <v>56</v>
      </c>
      <c r="G169" t="s">
        <v>16230</v>
      </c>
      <c r="H169" t="s">
        <v>47054</v>
      </c>
      <c r="I169" t="s">
        <v>47118</v>
      </c>
      <c r="J169" t="s">
        <v>47119</v>
      </c>
      <c r="K169" t="s">
        <v>47113</v>
      </c>
      <c r="L169">
        <v>23.34</v>
      </c>
      <c r="M169">
        <v>48</v>
      </c>
      <c r="N169">
        <v>0</v>
      </c>
      <c r="O169">
        <v>48</v>
      </c>
      <c r="P169">
        <v>0</v>
      </c>
    </row>
    <row r="170" spans="1:16" x14ac:dyDescent="0.25">
      <c r="A170">
        <v>12000000177003</v>
      </c>
      <c r="B170" t="str">
        <f>"1200000017"</f>
        <v>1200000017</v>
      </c>
      <c r="C170" t="s">
        <v>1824</v>
      </c>
      <c r="D170" t="str">
        <f>"7003"</f>
        <v>7003</v>
      </c>
      <c r="E170" t="s">
        <v>1829</v>
      </c>
      <c r="F170" t="s">
        <v>56</v>
      </c>
      <c r="G170" t="s">
        <v>16230</v>
      </c>
      <c r="H170" t="s">
        <v>47054</v>
      </c>
      <c r="I170" t="s">
        <v>47118</v>
      </c>
      <c r="J170" t="s">
        <v>47119</v>
      </c>
      <c r="K170" t="s">
        <v>47113</v>
      </c>
      <c r="L170">
        <v>20.239999999999998</v>
      </c>
      <c r="M170">
        <v>48</v>
      </c>
      <c r="N170">
        <v>0</v>
      </c>
      <c r="O170">
        <v>48</v>
      </c>
      <c r="P170">
        <v>0</v>
      </c>
    </row>
    <row r="171" spans="1:16" x14ac:dyDescent="0.25">
      <c r="A171">
        <v>12000000268017</v>
      </c>
      <c r="B171" t="str">
        <f>"1200000026"</f>
        <v>1200000026</v>
      </c>
      <c r="C171" t="s">
        <v>19524</v>
      </c>
      <c r="D171" t="str">
        <f>"8017"</f>
        <v>8017</v>
      </c>
      <c r="E171" t="s">
        <v>1830</v>
      </c>
      <c r="F171" t="s">
        <v>52</v>
      </c>
      <c r="G171" t="s">
        <v>16230</v>
      </c>
      <c r="H171" t="s">
        <v>47054</v>
      </c>
      <c r="I171" t="s">
        <v>47120</v>
      </c>
      <c r="J171" t="s">
        <v>47121</v>
      </c>
      <c r="K171" t="s">
        <v>47113</v>
      </c>
      <c r="L171">
        <v>27.89</v>
      </c>
      <c r="M171">
        <v>63</v>
      </c>
      <c r="N171">
        <v>0</v>
      </c>
      <c r="O171">
        <v>63</v>
      </c>
      <c r="P171">
        <v>0</v>
      </c>
    </row>
    <row r="172" spans="1:16" x14ac:dyDescent="0.25">
      <c r="A172">
        <v>12000000271001</v>
      </c>
      <c r="B172" t="str">
        <f>"1200000027"</f>
        <v>1200000027</v>
      </c>
      <c r="C172" t="s">
        <v>1831</v>
      </c>
      <c r="D172" t="str">
        <f>"1001"</f>
        <v>1001</v>
      </c>
      <c r="E172" t="s">
        <v>42</v>
      </c>
      <c r="F172" t="s">
        <v>8</v>
      </c>
      <c r="G172" t="s">
        <v>16230</v>
      </c>
      <c r="H172" t="s">
        <v>47054</v>
      </c>
      <c r="I172" t="s">
        <v>47120</v>
      </c>
      <c r="J172" t="s">
        <v>47121</v>
      </c>
      <c r="K172" t="s">
        <v>47113</v>
      </c>
      <c r="L172">
        <v>28.19</v>
      </c>
      <c r="M172">
        <v>64</v>
      </c>
      <c r="N172">
        <v>0</v>
      </c>
      <c r="O172">
        <v>64</v>
      </c>
      <c r="P172">
        <v>0</v>
      </c>
    </row>
    <row r="173" spans="1:16" x14ac:dyDescent="0.25">
      <c r="A173">
        <v>12000000271301</v>
      </c>
      <c r="B173" t="str">
        <f>"1200000027"</f>
        <v>1200000027</v>
      </c>
      <c r="C173" t="s">
        <v>1831</v>
      </c>
      <c r="D173" t="str">
        <f>"1301"</f>
        <v>1301</v>
      </c>
      <c r="E173" t="s">
        <v>1832</v>
      </c>
      <c r="F173" t="s">
        <v>8</v>
      </c>
      <c r="G173" t="s">
        <v>16230</v>
      </c>
      <c r="H173" t="s">
        <v>47054</v>
      </c>
      <c r="I173" t="s">
        <v>47120</v>
      </c>
      <c r="J173" t="s">
        <v>47121</v>
      </c>
      <c r="K173" t="s">
        <v>47113</v>
      </c>
      <c r="L173">
        <v>27.5</v>
      </c>
      <c r="M173">
        <v>64</v>
      </c>
      <c r="N173">
        <v>0</v>
      </c>
      <c r="O173">
        <v>64</v>
      </c>
      <c r="P173">
        <v>0</v>
      </c>
    </row>
    <row r="174" spans="1:16" x14ac:dyDescent="0.25">
      <c r="A174">
        <v>12000000271700</v>
      </c>
      <c r="B174" t="str">
        <f>"1200000027"</f>
        <v>1200000027</v>
      </c>
      <c r="C174" t="s">
        <v>1831</v>
      </c>
      <c r="D174" t="str">
        <f>"1700"</f>
        <v>1700</v>
      </c>
      <c r="E174" t="s">
        <v>60</v>
      </c>
      <c r="F174" t="s">
        <v>8</v>
      </c>
      <c r="G174" t="s">
        <v>16230</v>
      </c>
      <c r="H174" t="s">
        <v>47054</v>
      </c>
      <c r="I174" t="s">
        <v>47120</v>
      </c>
      <c r="J174" t="s">
        <v>47121</v>
      </c>
      <c r="K174" t="s">
        <v>47113</v>
      </c>
      <c r="L174">
        <v>27.5</v>
      </c>
      <c r="M174">
        <v>64</v>
      </c>
      <c r="N174">
        <v>0</v>
      </c>
      <c r="O174">
        <v>64</v>
      </c>
      <c r="P174">
        <v>0</v>
      </c>
    </row>
    <row r="175" spans="1:16" x14ac:dyDescent="0.25">
      <c r="A175">
        <v>12000000276010</v>
      </c>
      <c r="B175" t="str">
        <f>"1200000027"</f>
        <v>1200000027</v>
      </c>
      <c r="C175" t="s">
        <v>1831</v>
      </c>
      <c r="D175" t="str">
        <f>"6010"</f>
        <v>6010</v>
      </c>
      <c r="E175" t="s">
        <v>49</v>
      </c>
      <c r="F175" t="s">
        <v>8</v>
      </c>
      <c r="G175" t="s">
        <v>16230</v>
      </c>
      <c r="H175" t="s">
        <v>47054</v>
      </c>
      <c r="I175" t="s">
        <v>47120</v>
      </c>
      <c r="J175" t="s">
        <v>47121</v>
      </c>
      <c r="K175" t="s">
        <v>47113</v>
      </c>
      <c r="L175">
        <v>28.19</v>
      </c>
      <c r="M175">
        <v>64</v>
      </c>
      <c r="N175">
        <v>0</v>
      </c>
      <c r="O175">
        <v>64</v>
      </c>
      <c r="P175">
        <v>0</v>
      </c>
    </row>
    <row r="176" spans="1:16" x14ac:dyDescent="0.25">
      <c r="A176">
        <v>12000000291001</v>
      </c>
      <c r="B176" t="str">
        <f>"1200000029"</f>
        <v>1200000029</v>
      </c>
      <c r="C176" t="s">
        <v>1833</v>
      </c>
      <c r="D176" t="str">
        <f>"1001"</f>
        <v>1001</v>
      </c>
      <c r="E176" t="s">
        <v>42</v>
      </c>
      <c r="F176" t="s">
        <v>52</v>
      </c>
      <c r="G176" t="s">
        <v>16230</v>
      </c>
      <c r="H176" t="s">
        <v>47054</v>
      </c>
      <c r="I176" t="s">
        <v>47114</v>
      </c>
      <c r="J176" t="s">
        <v>47115</v>
      </c>
      <c r="K176" t="s">
        <v>47113</v>
      </c>
      <c r="L176">
        <v>24.61</v>
      </c>
      <c r="M176">
        <v>60</v>
      </c>
      <c r="N176">
        <v>0</v>
      </c>
      <c r="O176">
        <v>60</v>
      </c>
      <c r="P176">
        <v>0</v>
      </c>
    </row>
    <row r="177" spans="1:16" x14ac:dyDescent="0.25">
      <c r="A177">
        <v>12000000291202</v>
      </c>
      <c r="B177" t="str">
        <f>"1200000029"</f>
        <v>1200000029</v>
      </c>
      <c r="C177" t="s">
        <v>1833</v>
      </c>
      <c r="D177" t="str">
        <f>"1202"</f>
        <v>1202</v>
      </c>
      <c r="E177" t="s">
        <v>1834</v>
      </c>
      <c r="F177" t="s">
        <v>52</v>
      </c>
      <c r="G177" t="s">
        <v>16230</v>
      </c>
      <c r="H177" t="s">
        <v>47054</v>
      </c>
      <c r="I177" t="s">
        <v>47114</v>
      </c>
      <c r="J177" t="s">
        <v>47115</v>
      </c>
      <c r="K177" t="s">
        <v>47113</v>
      </c>
      <c r="L177">
        <v>24.61</v>
      </c>
      <c r="M177">
        <v>60</v>
      </c>
      <c r="N177">
        <v>0</v>
      </c>
      <c r="O177">
        <v>60</v>
      </c>
      <c r="P177">
        <v>0</v>
      </c>
    </row>
    <row r="178" spans="1:16" x14ac:dyDescent="0.25">
      <c r="A178">
        <v>12000000291700</v>
      </c>
      <c r="B178" t="str">
        <f>"1200000029"</f>
        <v>1200000029</v>
      </c>
      <c r="C178" t="s">
        <v>1833</v>
      </c>
      <c r="D178" t="str">
        <f>"1700"</f>
        <v>1700</v>
      </c>
      <c r="E178" t="s">
        <v>60</v>
      </c>
      <c r="F178" t="s">
        <v>52</v>
      </c>
      <c r="G178" t="s">
        <v>16230</v>
      </c>
      <c r="H178" t="s">
        <v>47054</v>
      </c>
      <c r="I178" t="s">
        <v>47114</v>
      </c>
      <c r="J178" t="s">
        <v>47115</v>
      </c>
      <c r="K178" t="s">
        <v>47113</v>
      </c>
      <c r="L178">
        <v>22.97</v>
      </c>
      <c r="M178">
        <v>60</v>
      </c>
      <c r="N178">
        <v>0</v>
      </c>
      <c r="O178">
        <v>60</v>
      </c>
      <c r="P178">
        <v>0</v>
      </c>
    </row>
    <row r="179" spans="1:16" x14ac:dyDescent="0.25">
      <c r="A179">
        <v>12000000301001</v>
      </c>
      <c r="B179" t="str">
        <f>"1200000030"</f>
        <v>1200000030</v>
      </c>
      <c r="C179" t="s">
        <v>1835</v>
      </c>
      <c r="D179" t="str">
        <f>"1001"</f>
        <v>1001</v>
      </c>
      <c r="E179" t="s">
        <v>42</v>
      </c>
      <c r="F179" t="s">
        <v>56</v>
      </c>
      <c r="G179" t="s">
        <v>16230</v>
      </c>
      <c r="H179" t="s">
        <v>47054</v>
      </c>
      <c r="I179" t="s">
        <v>47120</v>
      </c>
      <c r="J179" t="s">
        <v>47121</v>
      </c>
      <c r="K179" t="s">
        <v>47113</v>
      </c>
      <c r="L179">
        <v>25.81</v>
      </c>
      <c r="M179">
        <v>66</v>
      </c>
      <c r="N179">
        <v>0</v>
      </c>
      <c r="O179">
        <v>66</v>
      </c>
      <c r="P179">
        <v>0</v>
      </c>
    </row>
    <row r="180" spans="1:16" x14ac:dyDescent="0.25">
      <c r="A180">
        <v>12000000301700</v>
      </c>
      <c r="B180" t="str">
        <f>"1200000030"</f>
        <v>1200000030</v>
      </c>
      <c r="C180" t="s">
        <v>1835</v>
      </c>
      <c r="D180" t="str">
        <f>"1700"</f>
        <v>1700</v>
      </c>
      <c r="E180" t="s">
        <v>60</v>
      </c>
      <c r="F180" t="s">
        <v>56</v>
      </c>
      <c r="G180" t="s">
        <v>16230</v>
      </c>
      <c r="H180" t="s">
        <v>47054</v>
      </c>
      <c r="I180" t="s">
        <v>47120</v>
      </c>
      <c r="J180" t="s">
        <v>47121</v>
      </c>
      <c r="K180" t="s">
        <v>47113</v>
      </c>
      <c r="L180">
        <v>25.81</v>
      </c>
      <c r="M180">
        <v>66</v>
      </c>
      <c r="N180">
        <v>0</v>
      </c>
      <c r="O180">
        <v>66</v>
      </c>
      <c r="P180">
        <v>0</v>
      </c>
    </row>
    <row r="181" spans="1:16" x14ac:dyDescent="0.25">
      <c r="A181">
        <v>12100000031501</v>
      </c>
      <c r="B181" t="str">
        <f>"1210000003"</f>
        <v>1210000003</v>
      </c>
      <c r="C181" t="s">
        <v>1836</v>
      </c>
      <c r="D181" t="str">
        <f>"1501"</f>
        <v>1501</v>
      </c>
      <c r="E181" t="s">
        <v>46</v>
      </c>
      <c r="F181" t="s">
        <v>8</v>
      </c>
      <c r="G181" t="s">
        <v>16232</v>
      </c>
      <c r="H181" t="s">
        <v>47054</v>
      </c>
      <c r="I181" t="s">
        <v>47111</v>
      </c>
      <c r="J181" t="s">
        <v>47112</v>
      </c>
      <c r="K181" t="s">
        <v>47113</v>
      </c>
      <c r="L181">
        <v>17.95</v>
      </c>
      <c r="M181">
        <v>42</v>
      </c>
      <c r="N181">
        <v>0</v>
      </c>
      <c r="O181">
        <v>42</v>
      </c>
      <c r="P181">
        <v>0</v>
      </c>
    </row>
    <row r="182" spans="1:16" x14ac:dyDescent="0.25">
      <c r="A182">
        <v>12100000051501</v>
      </c>
      <c r="B182" t="str">
        <f>"1210000005"</f>
        <v>1210000005</v>
      </c>
      <c r="C182" t="s">
        <v>1837</v>
      </c>
      <c r="D182" t="str">
        <f>"1501"</f>
        <v>1501</v>
      </c>
      <c r="E182" t="s">
        <v>46</v>
      </c>
      <c r="F182" t="s">
        <v>8</v>
      </c>
      <c r="G182" t="s">
        <v>16232</v>
      </c>
      <c r="H182" t="s">
        <v>47054</v>
      </c>
      <c r="I182" t="s">
        <v>47111</v>
      </c>
      <c r="J182" t="s">
        <v>47112</v>
      </c>
      <c r="K182" t="s">
        <v>47113</v>
      </c>
      <c r="L182">
        <v>15</v>
      </c>
      <c r="M182">
        <v>42</v>
      </c>
      <c r="N182">
        <v>0</v>
      </c>
      <c r="O182">
        <v>42</v>
      </c>
      <c r="P182">
        <v>0</v>
      </c>
    </row>
    <row r="183" spans="1:16" x14ac:dyDescent="0.25">
      <c r="A183">
        <v>12100000061501</v>
      </c>
      <c r="B183" t="str">
        <f>"1210000006"</f>
        <v>1210000006</v>
      </c>
      <c r="C183" t="s">
        <v>1838</v>
      </c>
      <c r="D183" t="str">
        <f>"1501"</f>
        <v>1501</v>
      </c>
      <c r="E183" t="s">
        <v>46</v>
      </c>
      <c r="F183" t="s">
        <v>8</v>
      </c>
      <c r="G183" t="s">
        <v>16232</v>
      </c>
      <c r="H183" t="s">
        <v>47054</v>
      </c>
      <c r="I183" t="s">
        <v>47111</v>
      </c>
      <c r="J183" t="s">
        <v>47112</v>
      </c>
      <c r="K183" t="s">
        <v>47113</v>
      </c>
      <c r="L183">
        <v>15</v>
      </c>
      <c r="M183">
        <v>42</v>
      </c>
      <c r="N183">
        <v>0</v>
      </c>
      <c r="O183">
        <v>42</v>
      </c>
      <c r="P183">
        <v>0</v>
      </c>
    </row>
    <row r="184" spans="1:16" x14ac:dyDescent="0.25">
      <c r="A184">
        <v>12100000131001</v>
      </c>
      <c r="B184" t="str">
        <f>"1210000013"</f>
        <v>1210000013</v>
      </c>
      <c r="C184" t="s">
        <v>1839</v>
      </c>
      <c r="D184" t="str">
        <f>"1001"</f>
        <v>1001</v>
      </c>
      <c r="E184" t="s">
        <v>42</v>
      </c>
      <c r="F184" t="s">
        <v>52</v>
      </c>
      <c r="G184" t="s">
        <v>16232</v>
      </c>
      <c r="H184" t="s">
        <v>47054</v>
      </c>
      <c r="I184" t="s">
        <v>47111</v>
      </c>
      <c r="J184" t="s">
        <v>47112</v>
      </c>
      <c r="K184" t="s">
        <v>47113</v>
      </c>
      <c r="L184">
        <v>21.11</v>
      </c>
      <c r="M184">
        <v>52</v>
      </c>
      <c r="N184">
        <v>0</v>
      </c>
      <c r="O184">
        <v>52</v>
      </c>
      <c r="P184">
        <v>0</v>
      </c>
    </row>
    <row r="185" spans="1:16" x14ac:dyDescent="0.25">
      <c r="A185">
        <v>12100000131202</v>
      </c>
      <c r="B185" t="str">
        <f>"1210000013"</f>
        <v>1210000013</v>
      </c>
      <c r="C185" t="s">
        <v>1839</v>
      </c>
      <c r="D185" t="str">
        <f>"1202"</f>
        <v>1202</v>
      </c>
      <c r="E185" t="s">
        <v>1834</v>
      </c>
      <c r="F185" t="s">
        <v>52</v>
      </c>
      <c r="G185" t="s">
        <v>16232</v>
      </c>
      <c r="H185" t="s">
        <v>47054</v>
      </c>
      <c r="I185" t="s">
        <v>47111</v>
      </c>
      <c r="J185" t="s">
        <v>47112</v>
      </c>
      <c r="K185" t="s">
        <v>47113</v>
      </c>
      <c r="L185">
        <v>21.11</v>
      </c>
      <c r="M185">
        <v>52</v>
      </c>
      <c r="N185">
        <v>0</v>
      </c>
      <c r="O185">
        <v>52</v>
      </c>
      <c r="P185">
        <v>0</v>
      </c>
    </row>
    <row r="186" spans="1:16" x14ac:dyDescent="0.25">
      <c r="A186">
        <v>12100000131701</v>
      </c>
      <c r="B186" t="str">
        <f>"1210000013"</f>
        <v>1210000013</v>
      </c>
      <c r="C186" t="s">
        <v>1839</v>
      </c>
      <c r="D186" t="str">
        <f>"1701"</f>
        <v>1701</v>
      </c>
      <c r="E186" t="s">
        <v>55</v>
      </c>
      <c r="F186" t="s">
        <v>52</v>
      </c>
      <c r="G186" t="s">
        <v>16232</v>
      </c>
      <c r="H186" t="s">
        <v>47054</v>
      </c>
      <c r="I186" t="s">
        <v>47111</v>
      </c>
      <c r="J186" t="s">
        <v>47112</v>
      </c>
      <c r="K186" t="s">
        <v>47113</v>
      </c>
      <c r="L186">
        <v>21.11</v>
      </c>
      <c r="M186">
        <v>52</v>
      </c>
      <c r="N186">
        <v>0</v>
      </c>
      <c r="O186">
        <v>52</v>
      </c>
      <c r="P186">
        <v>0</v>
      </c>
    </row>
    <row r="187" spans="1:16" x14ac:dyDescent="0.25">
      <c r="A187">
        <v>12100000133152</v>
      </c>
      <c r="B187" t="str">
        <f>"1210000013"</f>
        <v>1210000013</v>
      </c>
      <c r="C187" t="s">
        <v>1839</v>
      </c>
      <c r="D187" t="str">
        <f>"3152"</f>
        <v>3152</v>
      </c>
      <c r="E187" t="s">
        <v>1840</v>
      </c>
      <c r="F187" t="s">
        <v>52</v>
      </c>
      <c r="G187" t="s">
        <v>16232</v>
      </c>
      <c r="H187" t="s">
        <v>47054</v>
      </c>
      <c r="I187" t="s">
        <v>47111</v>
      </c>
      <c r="J187" t="s">
        <v>47112</v>
      </c>
      <c r="K187" t="s">
        <v>47113</v>
      </c>
      <c r="L187">
        <v>21.11</v>
      </c>
      <c r="M187">
        <v>52</v>
      </c>
      <c r="N187">
        <v>0</v>
      </c>
      <c r="O187">
        <v>52</v>
      </c>
      <c r="P187">
        <v>0</v>
      </c>
    </row>
    <row r="188" spans="1:16" x14ac:dyDescent="0.25">
      <c r="A188">
        <v>12100000134101</v>
      </c>
      <c r="B188" t="str">
        <f>"1210000013"</f>
        <v>1210000013</v>
      </c>
      <c r="C188" t="s">
        <v>1839</v>
      </c>
      <c r="D188" t="str">
        <f>"4101"</f>
        <v>4101</v>
      </c>
      <c r="E188" t="s">
        <v>43</v>
      </c>
      <c r="F188" t="s">
        <v>52</v>
      </c>
      <c r="G188" t="s">
        <v>16232</v>
      </c>
      <c r="H188" t="s">
        <v>47054</v>
      </c>
      <c r="I188" t="s">
        <v>47111</v>
      </c>
      <c r="J188" t="s">
        <v>47112</v>
      </c>
      <c r="K188" t="s">
        <v>47113</v>
      </c>
      <c r="L188">
        <v>21.11</v>
      </c>
      <c r="M188">
        <v>52</v>
      </c>
      <c r="N188">
        <v>0</v>
      </c>
      <c r="O188">
        <v>52</v>
      </c>
      <c r="P188">
        <v>0</v>
      </c>
    </row>
    <row r="189" spans="1:16" x14ac:dyDescent="0.25">
      <c r="A189">
        <v>12100000181001</v>
      </c>
      <c r="B189" t="str">
        <f>"1210000018"</f>
        <v>1210000018</v>
      </c>
      <c r="C189" t="s">
        <v>1841</v>
      </c>
      <c r="D189" t="str">
        <f>"1001"</f>
        <v>1001</v>
      </c>
      <c r="E189" t="s">
        <v>42</v>
      </c>
      <c r="F189" t="s">
        <v>8</v>
      </c>
      <c r="G189" t="s">
        <v>16232</v>
      </c>
      <c r="H189" t="s">
        <v>47054</v>
      </c>
      <c r="I189" t="s">
        <v>47111</v>
      </c>
      <c r="J189" t="s">
        <v>47112</v>
      </c>
      <c r="K189" t="s">
        <v>47113</v>
      </c>
      <c r="L189">
        <v>17.22</v>
      </c>
      <c r="M189">
        <v>47</v>
      </c>
      <c r="N189">
        <v>0</v>
      </c>
      <c r="O189">
        <v>47</v>
      </c>
      <c r="P189">
        <v>0</v>
      </c>
    </row>
    <row r="190" spans="1:16" x14ac:dyDescent="0.25">
      <c r="A190">
        <v>12100000181301</v>
      </c>
      <c r="B190" t="str">
        <f>"1210000018"</f>
        <v>1210000018</v>
      </c>
      <c r="C190" t="s">
        <v>1841</v>
      </c>
      <c r="D190" t="str">
        <f>"1301"</f>
        <v>1301</v>
      </c>
      <c r="E190" t="s">
        <v>1832</v>
      </c>
      <c r="F190" t="s">
        <v>8</v>
      </c>
      <c r="G190" t="s">
        <v>16232</v>
      </c>
      <c r="H190" t="s">
        <v>47054</v>
      </c>
      <c r="I190" t="s">
        <v>47111</v>
      </c>
      <c r="J190" t="s">
        <v>47112</v>
      </c>
      <c r="K190" t="s">
        <v>47113</v>
      </c>
      <c r="L190">
        <v>17.22</v>
      </c>
      <c r="M190">
        <v>47</v>
      </c>
      <c r="N190">
        <v>0</v>
      </c>
      <c r="O190">
        <v>47</v>
      </c>
      <c r="P190">
        <v>0</v>
      </c>
    </row>
    <row r="191" spans="1:16" x14ac:dyDescent="0.25">
      <c r="A191">
        <v>12100000181700</v>
      </c>
      <c r="B191" t="str">
        <f>"1210000018"</f>
        <v>1210000018</v>
      </c>
      <c r="C191" t="s">
        <v>1841</v>
      </c>
      <c r="D191" t="str">
        <f>"1700"</f>
        <v>1700</v>
      </c>
      <c r="E191" t="s">
        <v>60</v>
      </c>
      <c r="F191" t="s">
        <v>8</v>
      </c>
      <c r="G191" t="s">
        <v>16232</v>
      </c>
      <c r="H191" t="s">
        <v>47054</v>
      </c>
      <c r="I191" t="s">
        <v>47111</v>
      </c>
      <c r="J191" t="s">
        <v>47112</v>
      </c>
      <c r="K191" t="s">
        <v>47113</v>
      </c>
      <c r="L191">
        <v>17.22</v>
      </c>
      <c r="M191">
        <v>47</v>
      </c>
      <c r="N191">
        <v>0</v>
      </c>
      <c r="O191">
        <v>47</v>
      </c>
      <c r="P191">
        <v>0</v>
      </c>
    </row>
    <row r="192" spans="1:16" x14ac:dyDescent="0.25">
      <c r="A192">
        <v>12100000201001</v>
      </c>
      <c r="B192" t="str">
        <f>"1210000020"</f>
        <v>1210000020</v>
      </c>
      <c r="C192" t="s">
        <v>1842</v>
      </c>
      <c r="D192" t="str">
        <f>"1001"</f>
        <v>1001</v>
      </c>
      <c r="E192" t="s">
        <v>42</v>
      </c>
      <c r="F192" t="s">
        <v>8</v>
      </c>
      <c r="G192" t="s">
        <v>16232</v>
      </c>
      <c r="H192" t="s">
        <v>47054</v>
      </c>
      <c r="I192" t="s">
        <v>47111</v>
      </c>
      <c r="J192" t="s">
        <v>47112</v>
      </c>
      <c r="K192" t="s">
        <v>47113</v>
      </c>
      <c r="L192">
        <v>17.22</v>
      </c>
      <c r="M192">
        <v>42</v>
      </c>
      <c r="N192">
        <v>0</v>
      </c>
      <c r="O192">
        <v>42</v>
      </c>
      <c r="P192">
        <v>0</v>
      </c>
    </row>
    <row r="193" spans="1:16" x14ac:dyDescent="0.25">
      <c r="A193">
        <v>12100000201700</v>
      </c>
      <c r="B193" t="str">
        <f>"1210000020"</f>
        <v>1210000020</v>
      </c>
      <c r="C193" t="s">
        <v>1842</v>
      </c>
      <c r="D193" t="str">
        <f>"1700"</f>
        <v>1700</v>
      </c>
      <c r="E193" t="s">
        <v>60</v>
      </c>
      <c r="F193" t="s">
        <v>8</v>
      </c>
      <c r="G193" t="s">
        <v>16232</v>
      </c>
      <c r="H193" t="s">
        <v>47054</v>
      </c>
      <c r="I193" t="s">
        <v>47111</v>
      </c>
      <c r="J193" t="s">
        <v>47112</v>
      </c>
      <c r="K193" t="s">
        <v>47113</v>
      </c>
      <c r="L193">
        <v>17.22</v>
      </c>
      <c r="M193">
        <v>42</v>
      </c>
      <c r="N193">
        <v>0</v>
      </c>
      <c r="O193">
        <v>42</v>
      </c>
      <c r="P193">
        <v>0</v>
      </c>
    </row>
    <row r="194" spans="1:16" x14ac:dyDescent="0.25">
      <c r="A194">
        <v>12100000211001</v>
      </c>
      <c r="B194" t="str">
        <f>"1210000021"</f>
        <v>1210000021</v>
      </c>
      <c r="C194" t="s">
        <v>1843</v>
      </c>
      <c r="D194" t="str">
        <f>"1001"</f>
        <v>1001</v>
      </c>
      <c r="E194" t="s">
        <v>42</v>
      </c>
      <c r="F194" t="s">
        <v>8</v>
      </c>
      <c r="G194" t="s">
        <v>16232</v>
      </c>
      <c r="H194" t="s">
        <v>47054</v>
      </c>
      <c r="I194" t="s">
        <v>47111</v>
      </c>
      <c r="J194" t="s">
        <v>47112</v>
      </c>
      <c r="K194" t="s">
        <v>47113</v>
      </c>
      <c r="L194">
        <v>17.46</v>
      </c>
      <c r="M194">
        <v>42</v>
      </c>
      <c r="N194">
        <v>0</v>
      </c>
      <c r="O194">
        <v>42</v>
      </c>
      <c r="P194">
        <v>0</v>
      </c>
    </row>
    <row r="195" spans="1:16" x14ac:dyDescent="0.25">
      <c r="A195">
        <v>12100000211700</v>
      </c>
      <c r="B195" t="str">
        <f>"1210000021"</f>
        <v>1210000021</v>
      </c>
      <c r="C195" t="s">
        <v>1843</v>
      </c>
      <c r="D195" t="str">
        <f>"1700"</f>
        <v>1700</v>
      </c>
      <c r="E195" t="s">
        <v>60</v>
      </c>
      <c r="F195" t="s">
        <v>8</v>
      </c>
      <c r="G195" t="s">
        <v>16232</v>
      </c>
      <c r="H195" t="s">
        <v>47054</v>
      </c>
      <c r="I195" t="s">
        <v>47111</v>
      </c>
      <c r="J195" t="s">
        <v>47112</v>
      </c>
      <c r="K195" t="s">
        <v>47113</v>
      </c>
      <c r="L195">
        <v>17.46</v>
      </c>
      <c r="M195">
        <v>42</v>
      </c>
      <c r="N195">
        <v>0</v>
      </c>
      <c r="O195">
        <v>42</v>
      </c>
      <c r="P195">
        <v>0</v>
      </c>
    </row>
    <row r="196" spans="1:16" x14ac:dyDescent="0.25">
      <c r="A196">
        <v>12100000211701</v>
      </c>
      <c r="B196" t="str">
        <f>"1210000021"</f>
        <v>1210000021</v>
      </c>
      <c r="C196" t="s">
        <v>1843</v>
      </c>
      <c r="D196" t="str">
        <f>"1701"</f>
        <v>1701</v>
      </c>
      <c r="E196" t="s">
        <v>55</v>
      </c>
      <c r="F196" t="s">
        <v>8</v>
      </c>
      <c r="G196" t="s">
        <v>16232</v>
      </c>
      <c r="H196" t="s">
        <v>47054</v>
      </c>
      <c r="I196" t="s">
        <v>47111</v>
      </c>
      <c r="J196" t="s">
        <v>47112</v>
      </c>
      <c r="K196" t="s">
        <v>47113</v>
      </c>
      <c r="L196">
        <v>17.46</v>
      </c>
      <c r="M196">
        <v>42</v>
      </c>
      <c r="N196">
        <v>0</v>
      </c>
      <c r="O196">
        <v>42</v>
      </c>
      <c r="P196">
        <v>0</v>
      </c>
    </row>
    <row r="197" spans="1:16" x14ac:dyDescent="0.25">
      <c r="A197">
        <v>12100000221001</v>
      </c>
      <c r="B197" t="str">
        <f>"1210000022"</f>
        <v>1210000022</v>
      </c>
      <c r="C197" t="s">
        <v>1844</v>
      </c>
      <c r="D197" t="str">
        <f>"1001"</f>
        <v>1001</v>
      </c>
      <c r="E197" t="s">
        <v>42</v>
      </c>
      <c r="F197" t="s">
        <v>8</v>
      </c>
      <c r="G197" t="s">
        <v>16232</v>
      </c>
      <c r="H197" t="s">
        <v>47054</v>
      </c>
      <c r="I197" t="s">
        <v>47111</v>
      </c>
      <c r="J197" t="s">
        <v>47112</v>
      </c>
      <c r="K197" t="s">
        <v>47113</v>
      </c>
      <c r="L197">
        <v>17.22</v>
      </c>
      <c r="M197">
        <v>42</v>
      </c>
      <c r="N197">
        <v>0</v>
      </c>
      <c r="O197">
        <v>42</v>
      </c>
      <c r="P197">
        <v>0</v>
      </c>
    </row>
    <row r="198" spans="1:16" x14ac:dyDescent="0.25">
      <c r="A198">
        <v>12100000221700</v>
      </c>
      <c r="B198" t="str">
        <f>"1210000022"</f>
        <v>1210000022</v>
      </c>
      <c r="C198" t="s">
        <v>1844</v>
      </c>
      <c r="D198" t="str">
        <f>"1700"</f>
        <v>1700</v>
      </c>
      <c r="E198" t="s">
        <v>60</v>
      </c>
      <c r="F198" t="s">
        <v>8</v>
      </c>
      <c r="G198" t="s">
        <v>16232</v>
      </c>
      <c r="H198" t="s">
        <v>47054</v>
      </c>
      <c r="I198" t="s">
        <v>47111</v>
      </c>
      <c r="J198" t="s">
        <v>47112</v>
      </c>
      <c r="K198" t="s">
        <v>47113</v>
      </c>
      <c r="L198">
        <v>17.22</v>
      </c>
      <c r="M198">
        <v>42</v>
      </c>
      <c r="N198">
        <v>0</v>
      </c>
      <c r="O198">
        <v>42</v>
      </c>
      <c r="P198">
        <v>0</v>
      </c>
    </row>
    <row r="199" spans="1:16" x14ac:dyDescent="0.25">
      <c r="A199">
        <v>12200000101001</v>
      </c>
      <c r="B199" t="str">
        <f>"1220000010"</f>
        <v>1220000010</v>
      </c>
      <c r="C199" t="s">
        <v>1845</v>
      </c>
      <c r="D199" t="str">
        <f>"1001"</f>
        <v>1001</v>
      </c>
      <c r="E199" t="s">
        <v>42</v>
      </c>
      <c r="F199" t="s">
        <v>687</v>
      </c>
      <c r="G199" t="s">
        <v>16221</v>
      </c>
      <c r="H199" t="s">
        <v>47054</v>
      </c>
      <c r="I199" t="s">
        <v>47120</v>
      </c>
      <c r="J199" t="s">
        <v>47121</v>
      </c>
      <c r="K199" t="s">
        <v>47113</v>
      </c>
      <c r="L199">
        <v>14.03</v>
      </c>
      <c r="M199">
        <v>26</v>
      </c>
      <c r="N199">
        <v>0</v>
      </c>
      <c r="O199">
        <v>26</v>
      </c>
      <c r="P199">
        <v>0</v>
      </c>
    </row>
    <row r="200" spans="1:16" x14ac:dyDescent="0.25">
      <c r="A200">
        <v>12200000101700</v>
      </c>
      <c r="B200" t="str">
        <f>"1220000010"</f>
        <v>1220000010</v>
      </c>
      <c r="C200" t="s">
        <v>1845</v>
      </c>
      <c r="D200" t="str">
        <f>"1700"</f>
        <v>1700</v>
      </c>
      <c r="E200" t="s">
        <v>60</v>
      </c>
      <c r="F200" t="s">
        <v>687</v>
      </c>
      <c r="G200" t="s">
        <v>16221</v>
      </c>
      <c r="H200" t="s">
        <v>47054</v>
      </c>
      <c r="I200" t="s">
        <v>47120</v>
      </c>
      <c r="J200" t="s">
        <v>47121</v>
      </c>
      <c r="K200" t="s">
        <v>47113</v>
      </c>
      <c r="L200">
        <v>14.03</v>
      </c>
      <c r="M200">
        <v>21</v>
      </c>
      <c r="N200">
        <v>0</v>
      </c>
      <c r="O200">
        <v>21</v>
      </c>
      <c r="P200">
        <v>0</v>
      </c>
    </row>
    <row r="201" spans="1:16" x14ac:dyDescent="0.25">
      <c r="A201">
        <v>12200000144059</v>
      </c>
      <c r="B201" t="str">
        <f>"1220000014"</f>
        <v>1220000014</v>
      </c>
      <c r="C201" t="s">
        <v>1846</v>
      </c>
      <c r="D201" t="str">
        <f>"4059"</f>
        <v>4059</v>
      </c>
      <c r="E201" t="s">
        <v>1847</v>
      </c>
      <c r="F201" t="s">
        <v>687</v>
      </c>
      <c r="G201" t="s">
        <v>16221</v>
      </c>
      <c r="H201" t="s">
        <v>47054</v>
      </c>
      <c r="I201" t="s">
        <v>47120</v>
      </c>
      <c r="J201" t="s">
        <v>47121</v>
      </c>
      <c r="K201" t="s">
        <v>47113</v>
      </c>
      <c r="L201">
        <v>10.15</v>
      </c>
      <c r="M201">
        <v>24</v>
      </c>
      <c r="N201">
        <v>0</v>
      </c>
      <c r="O201">
        <v>24</v>
      </c>
      <c r="P201">
        <v>0</v>
      </c>
    </row>
    <row r="202" spans="1:16" x14ac:dyDescent="0.25">
      <c r="A202">
        <v>12200000171001</v>
      </c>
      <c r="B202" t="str">
        <f>"1220000017"</f>
        <v>1220000017</v>
      </c>
      <c r="C202" t="s">
        <v>1848</v>
      </c>
      <c r="D202" t="str">
        <f>"1001"</f>
        <v>1001</v>
      </c>
      <c r="E202" t="s">
        <v>42</v>
      </c>
      <c r="F202" t="s">
        <v>687</v>
      </c>
      <c r="G202" t="s">
        <v>16221</v>
      </c>
      <c r="H202" t="s">
        <v>47054</v>
      </c>
      <c r="I202" t="s">
        <v>47120</v>
      </c>
      <c r="J202" t="s">
        <v>47121</v>
      </c>
      <c r="K202" t="s">
        <v>47113</v>
      </c>
      <c r="L202">
        <v>10.83</v>
      </c>
      <c r="M202">
        <v>27</v>
      </c>
      <c r="N202">
        <v>0</v>
      </c>
      <c r="O202">
        <v>27</v>
      </c>
      <c r="P202">
        <v>0</v>
      </c>
    </row>
    <row r="203" spans="1:16" x14ac:dyDescent="0.25">
      <c r="A203">
        <v>12200000171700</v>
      </c>
      <c r="B203" t="str">
        <f>"1220000017"</f>
        <v>1220000017</v>
      </c>
      <c r="C203" t="s">
        <v>1848</v>
      </c>
      <c r="D203" t="str">
        <f>"1700"</f>
        <v>1700</v>
      </c>
      <c r="E203" t="s">
        <v>60</v>
      </c>
      <c r="F203" t="s">
        <v>687</v>
      </c>
      <c r="G203" t="s">
        <v>16221</v>
      </c>
      <c r="H203" t="s">
        <v>47054</v>
      </c>
      <c r="I203" t="s">
        <v>47120</v>
      </c>
      <c r="J203" t="s">
        <v>47121</v>
      </c>
      <c r="K203" t="s">
        <v>47113</v>
      </c>
      <c r="L203">
        <v>10.25</v>
      </c>
      <c r="M203">
        <v>30</v>
      </c>
      <c r="N203">
        <v>0</v>
      </c>
      <c r="O203">
        <v>30</v>
      </c>
      <c r="P203">
        <v>0</v>
      </c>
    </row>
    <row r="204" spans="1:16" x14ac:dyDescent="0.25">
      <c r="A204">
        <v>12200000351003</v>
      </c>
      <c r="B204" t="str">
        <f>"1220000035"</f>
        <v>1220000035</v>
      </c>
      <c r="C204" t="s">
        <v>1849</v>
      </c>
      <c r="D204" t="str">
        <f>"1003"</f>
        <v>1003</v>
      </c>
      <c r="E204" t="s">
        <v>773</v>
      </c>
      <c r="F204" t="s">
        <v>58</v>
      </c>
      <c r="G204" t="s">
        <v>16221</v>
      </c>
      <c r="H204" t="s">
        <v>47054</v>
      </c>
      <c r="I204" t="s">
        <v>47120</v>
      </c>
      <c r="J204" t="s">
        <v>47121</v>
      </c>
      <c r="K204" t="s">
        <v>47113</v>
      </c>
      <c r="L204">
        <v>9.32</v>
      </c>
      <c r="M204">
        <v>23</v>
      </c>
      <c r="N204">
        <v>0</v>
      </c>
      <c r="O204">
        <v>23</v>
      </c>
      <c r="P204">
        <v>0</v>
      </c>
    </row>
    <row r="205" spans="1:16" x14ac:dyDescent="0.25">
      <c r="A205">
        <v>12200000361001</v>
      </c>
      <c r="B205" t="str">
        <f>"1220000036"</f>
        <v>1220000036</v>
      </c>
      <c r="C205" t="s">
        <v>1850</v>
      </c>
      <c r="D205" t="str">
        <f>"1001"</f>
        <v>1001</v>
      </c>
      <c r="E205" t="s">
        <v>42</v>
      </c>
      <c r="F205" t="s">
        <v>8</v>
      </c>
      <c r="G205" t="s">
        <v>16221</v>
      </c>
      <c r="H205" t="s">
        <v>47054</v>
      </c>
      <c r="I205" t="s">
        <v>47120</v>
      </c>
      <c r="J205" t="s">
        <v>47121</v>
      </c>
      <c r="K205" t="s">
        <v>47113</v>
      </c>
      <c r="L205">
        <v>10.92</v>
      </c>
      <c r="M205">
        <v>23</v>
      </c>
      <c r="N205">
        <v>0</v>
      </c>
      <c r="O205">
        <v>23</v>
      </c>
      <c r="P205">
        <v>0</v>
      </c>
    </row>
    <row r="206" spans="1:16" x14ac:dyDescent="0.25">
      <c r="A206">
        <v>12200000361700</v>
      </c>
      <c r="B206" t="str">
        <f>"1220000036"</f>
        <v>1220000036</v>
      </c>
      <c r="C206" t="s">
        <v>1850</v>
      </c>
      <c r="D206" t="str">
        <f>"1700"</f>
        <v>1700</v>
      </c>
      <c r="E206" t="s">
        <v>60</v>
      </c>
      <c r="F206" t="s">
        <v>8</v>
      </c>
      <c r="G206" t="s">
        <v>16221</v>
      </c>
      <c r="H206" t="s">
        <v>47054</v>
      </c>
      <c r="I206" t="s">
        <v>47120</v>
      </c>
      <c r="J206" t="s">
        <v>47121</v>
      </c>
      <c r="K206" t="s">
        <v>47113</v>
      </c>
      <c r="L206">
        <v>10.92</v>
      </c>
      <c r="M206">
        <v>23</v>
      </c>
      <c r="N206">
        <v>0</v>
      </c>
      <c r="O206">
        <v>23</v>
      </c>
      <c r="P206">
        <v>0</v>
      </c>
    </row>
    <row r="207" spans="1:16" x14ac:dyDescent="0.25">
      <c r="A207">
        <v>12200000362330</v>
      </c>
      <c r="B207" t="str">
        <f>"1220000036"</f>
        <v>1220000036</v>
      </c>
      <c r="C207" t="s">
        <v>1850</v>
      </c>
      <c r="D207" t="str">
        <f>"2330"</f>
        <v>2330</v>
      </c>
      <c r="E207" t="s">
        <v>1851</v>
      </c>
      <c r="F207" t="s">
        <v>8</v>
      </c>
      <c r="G207" t="s">
        <v>16221</v>
      </c>
      <c r="H207" t="s">
        <v>47054</v>
      </c>
      <c r="I207" t="s">
        <v>47120</v>
      </c>
      <c r="J207" t="s">
        <v>47121</v>
      </c>
      <c r="K207" t="s">
        <v>47113</v>
      </c>
      <c r="L207">
        <v>10.92</v>
      </c>
      <c r="M207">
        <v>23</v>
      </c>
      <c r="N207">
        <v>0</v>
      </c>
      <c r="O207">
        <v>23</v>
      </c>
      <c r="P207">
        <v>0</v>
      </c>
    </row>
    <row r="208" spans="1:16" x14ac:dyDescent="0.25">
      <c r="A208">
        <v>12200000371001</v>
      </c>
      <c r="B208" t="str">
        <f>"1220000037"</f>
        <v>1220000037</v>
      </c>
      <c r="C208" t="s">
        <v>1852</v>
      </c>
      <c r="D208" t="str">
        <f>"1001"</f>
        <v>1001</v>
      </c>
      <c r="E208" t="s">
        <v>42</v>
      </c>
      <c r="F208" t="s">
        <v>8</v>
      </c>
      <c r="G208" t="s">
        <v>16221</v>
      </c>
      <c r="H208" t="s">
        <v>47054</v>
      </c>
      <c r="I208" t="s">
        <v>47120</v>
      </c>
      <c r="J208" t="s">
        <v>47121</v>
      </c>
      <c r="K208" t="s">
        <v>47113</v>
      </c>
      <c r="L208">
        <v>10.88</v>
      </c>
      <c r="M208">
        <v>23</v>
      </c>
      <c r="N208">
        <v>0</v>
      </c>
      <c r="O208">
        <v>23</v>
      </c>
      <c r="P208">
        <v>0</v>
      </c>
    </row>
    <row r="209" spans="1:16" x14ac:dyDescent="0.25">
      <c r="A209">
        <v>12200000371700</v>
      </c>
      <c r="B209" t="str">
        <f>"1220000037"</f>
        <v>1220000037</v>
      </c>
      <c r="C209" t="s">
        <v>1852</v>
      </c>
      <c r="D209" t="str">
        <f>"1700"</f>
        <v>1700</v>
      </c>
      <c r="E209" t="s">
        <v>60</v>
      </c>
      <c r="F209" t="s">
        <v>8</v>
      </c>
      <c r="G209" t="s">
        <v>16221</v>
      </c>
      <c r="H209" t="s">
        <v>47054</v>
      </c>
      <c r="I209" t="s">
        <v>47120</v>
      </c>
      <c r="J209" t="s">
        <v>47121</v>
      </c>
      <c r="K209" t="s">
        <v>47113</v>
      </c>
      <c r="L209">
        <v>10.88</v>
      </c>
      <c r="M209">
        <v>23</v>
      </c>
      <c r="N209">
        <v>0</v>
      </c>
      <c r="O209">
        <v>23</v>
      </c>
      <c r="P209">
        <v>0</v>
      </c>
    </row>
    <row r="210" spans="1:16" x14ac:dyDescent="0.25">
      <c r="A210">
        <v>12200000373005</v>
      </c>
      <c r="B210" t="str">
        <f>"1220000037"</f>
        <v>1220000037</v>
      </c>
      <c r="C210" t="s">
        <v>1852</v>
      </c>
      <c r="D210" t="str">
        <f>"3005"</f>
        <v>3005</v>
      </c>
      <c r="E210" t="s">
        <v>1853</v>
      </c>
      <c r="F210" t="s">
        <v>8</v>
      </c>
      <c r="G210" t="s">
        <v>16221</v>
      </c>
      <c r="H210" t="s">
        <v>47054</v>
      </c>
      <c r="I210" t="s">
        <v>47120</v>
      </c>
      <c r="J210" t="s">
        <v>47121</v>
      </c>
      <c r="K210" t="s">
        <v>47113</v>
      </c>
      <c r="L210">
        <v>10.88</v>
      </c>
      <c r="M210">
        <v>23</v>
      </c>
      <c r="N210">
        <v>0</v>
      </c>
      <c r="O210">
        <v>23</v>
      </c>
      <c r="P210">
        <v>0</v>
      </c>
    </row>
    <row r="211" spans="1:16" x14ac:dyDescent="0.25">
      <c r="A211">
        <v>12200000381001</v>
      </c>
      <c r="B211" t="str">
        <f>"1220000038"</f>
        <v>1220000038</v>
      </c>
      <c r="C211" t="s">
        <v>1854</v>
      </c>
      <c r="D211" t="str">
        <f>"1001"</f>
        <v>1001</v>
      </c>
      <c r="E211" t="s">
        <v>42</v>
      </c>
      <c r="F211" t="s">
        <v>8</v>
      </c>
      <c r="G211" t="s">
        <v>16221</v>
      </c>
      <c r="H211" t="s">
        <v>47054</v>
      </c>
      <c r="I211" t="s">
        <v>47120</v>
      </c>
      <c r="J211" t="s">
        <v>47121</v>
      </c>
      <c r="K211" t="s">
        <v>47113</v>
      </c>
      <c r="L211">
        <v>10.88</v>
      </c>
      <c r="M211">
        <v>23</v>
      </c>
      <c r="N211">
        <v>0</v>
      </c>
      <c r="O211">
        <v>23</v>
      </c>
      <c r="P211">
        <v>0</v>
      </c>
    </row>
    <row r="212" spans="1:16" x14ac:dyDescent="0.25">
      <c r="A212">
        <v>12200000381700</v>
      </c>
      <c r="B212" t="str">
        <f>"1220000038"</f>
        <v>1220000038</v>
      </c>
      <c r="C212" t="s">
        <v>1854</v>
      </c>
      <c r="D212" t="str">
        <f>"1700"</f>
        <v>1700</v>
      </c>
      <c r="E212" t="s">
        <v>60</v>
      </c>
      <c r="F212" t="s">
        <v>8</v>
      </c>
      <c r="G212" t="s">
        <v>16221</v>
      </c>
      <c r="H212" t="s">
        <v>47054</v>
      </c>
      <c r="I212" t="s">
        <v>47120</v>
      </c>
      <c r="J212" t="s">
        <v>47121</v>
      </c>
      <c r="K212" t="s">
        <v>47113</v>
      </c>
      <c r="L212">
        <v>10.88</v>
      </c>
      <c r="M212">
        <v>23</v>
      </c>
      <c r="N212">
        <v>0</v>
      </c>
      <c r="O212">
        <v>23</v>
      </c>
      <c r="P212">
        <v>0</v>
      </c>
    </row>
    <row r="213" spans="1:16" x14ac:dyDescent="0.25">
      <c r="A213">
        <v>12200000384201</v>
      </c>
      <c r="B213" t="str">
        <f>"1220000038"</f>
        <v>1220000038</v>
      </c>
      <c r="C213" t="s">
        <v>1854</v>
      </c>
      <c r="D213" t="str">
        <f>"4201"</f>
        <v>4201</v>
      </c>
      <c r="E213" t="s">
        <v>1855</v>
      </c>
      <c r="F213" t="s">
        <v>8</v>
      </c>
      <c r="G213" t="s">
        <v>16221</v>
      </c>
      <c r="H213" t="s">
        <v>47054</v>
      </c>
      <c r="I213" t="s">
        <v>47120</v>
      </c>
      <c r="J213" t="s">
        <v>47121</v>
      </c>
      <c r="K213" t="s">
        <v>47113</v>
      </c>
      <c r="L213">
        <v>10.88</v>
      </c>
      <c r="M213">
        <v>23</v>
      </c>
      <c r="N213">
        <v>0</v>
      </c>
      <c r="O213">
        <v>23</v>
      </c>
      <c r="P213">
        <v>0</v>
      </c>
    </row>
    <row r="214" spans="1:16" x14ac:dyDescent="0.25">
      <c r="A214">
        <v>12200000391001</v>
      </c>
      <c r="B214" t="str">
        <f>"1220000039"</f>
        <v>1220000039</v>
      </c>
      <c r="C214" t="s">
        <v>1856</v>
      </c>
      <c r="D214" t="str">
        <f>"1001"</f>
        <v>1001</v>
      </c>
      <c r="E214" t="s">
        <v>42</v>
      </c>
      <c r="F214" t="s">
        <v>8</v>
      </c>
      <c r="G214" t="s">
        <v>16221</v>
      </c>
      <c r="H214" t="s">
        <v>47054</v>
      </c>
      <c r="I214" t="s">
        <v>47120</v>
      </c>
      <c r="J214" t="s">
        <v>47121</v>
      </c>
      <c r="K214" t="s">
        <v>47113</v>
      </c>
      <c r="L214">
        <v>10.14</v>
      </c>
      <c r="M214">
        <v>23</v>
      </c>
      <c r="N214">
        <v>0</v>
      </c>
      <c r="O214">
        <v>23</v>
      </c>
      <c r="P214">
        <v>0</v>
      </c>
    </row>
    <row r="215" spans="1:16" x14ac:dyDescent="0.25">
      <c r="A215">
        <v>12200000391700</v>
      </c>
      <c r="B215" t="str">
        <f>"1220000039"</f>
        <v>1220000039</v>
      </c>
      <c r="C215" t="s">
        <v>1856</v>
      </c>
      <c r="D215" t="str">
        <f>"1700"</f>
        <v>1700</v>
      </c>
      <c r="E215" t="s">
        <v>60</v>
      </c>
      <c r="F215" t="s">
        <v>8</v>
      </c>
      <c r="G215" t="s">
        <v>16221</v>
      </c>
      <c r="H215" t="s">
        <v>47054</v>
      </c>
      <c r="I215" t="s">
        <v>47120</v>
      </c>
      <c r="J215" t="s">
        <v>47121</v>
      </c>
      <c r="K215" t="s">
        <v>47113</v>
      </c>
      <c r="L215">
        <v>10.14</v>
      </c>
      <c r="M215">
        <v>23</v>
      </c>
      <c r="N215">
        <v>0</v>
      </c>
      <c r="O215">
        <v>23</v>
      </c>
      <c r="P215">
        <v>0</v>
      </c>
    </row>
    <row r="216" spans="1:16" x14ac:dyDescent="0.25">
      <c r="A216">
        <v>12200000392330</v>
      </c>
      <c r="B216" t="str">
        <f>"1220000039"</f>
        <v>1220000039</v>
      </c>
      <c r="C216" t="s">
        <v>1856</v>
      </c>
      <c r="D216" t="str">
        <f>"2330"</f>
        <v>2330</v>
      </c>
      <c r="E216" t="s">
        <v>1851</v>
      </c>
      <c r="F216" t="s">
        <v>8</v>
      </c>
      <c r="G216" t="s">
        <v>16221</v>
      </c>
      <c r="H216" t="s">
        <v>47054</v>
      </c>
      <c r="I216" t="s">
        <v>47120</v>
      </c>
      <c r="J216" t="s">
        <v>47121</v>
      </c>
      <c r="K216" t="s">
        <v>47113</v>
      </c>
      <c r="L216">
        <v>10.14</v>
      </c>
      <c r="M216">
        <v>23</v>
      </c>
      <c r="N216">
        <v>0</v>
      </c>
      <c r="O216">
        <v>23</v>
      </c>
      <c r="P216">
        <v>0</v>
      </c>
    </row>
    <row r="217" spans="1:16" x14ac:dyDescent="0.25">
      <c r="A217">
        <v>12200000401001</v>
      </c>
      <c r="B217" t="str">
        <f>"1220000040"</f>
        <v>1220000040</v>
      </c>
      <c r="C217" t="s">
        <v>1857</v>
      </c>
      <c r="D217" t="str">
        <f>"1001"</f>
        <v>1001</v>
      </c>
      <c r="E217" t="s">
        <v>42</v>
      </c>
      <c r="F217" t="s">
        <v>8</v>
      </c>
      <c r="G217" t="s">
        <v>16221</v>
      </c>
      <c r="H217" t="s">
        <v>47054</v>
      </c>
      <c r="I217" t="s">
        <v>47111</v>
      </c>
      <c r="J217" t="s">
        <v>47112</v>
      </c>
      <c r="K217" t="s">
        <v>47113</v>
      </c>
      <c r="L217">
        <v>10.14</v>
      </c>
      <c r="M217">
        <v>23</v>
      </c>
      <c r="N217">
        <v>0</v>
      </c>
      <c r="O217">
        <v>23</v>
      </c>
      <c r="P217">
        <v>0</v>
      </c>
    </row>
    <row r="218" spans="1:16" x14ac:dyDescent="0.25">
      <c r="A218">
        <v>12200000401700</v>
      </c>
      <c r="B218" t="str">
        <f>"1220000040"</f>
        <v>1220000040</v>
      </c>
      <c r="C218" t="s">
        <v>1857</v>
      </c>
      <c r="D218" t="str">
        <f>"1700"</f>
        <v>1700</v>
      </c>
      <c r="E218" t="s">
        <v>60</v>
      </c>
      <c r="F218" t="s">
        <v>8</v>
      </c>
      <c r="G218" t="s">
        <v>16221</v>
      </c>
      <c r="H218" t="s">
        <v>47054</v>
      </c>
      <c r="I218" t="s">
        <v>47111</v>
      </c>
      <c r="J218" t="s">
        <v>47112</v>
      </c>
      <c r="K218" t="s">
        <v>47113</v>
      </c>
      <c r="L218">
        <v>10.14</v>
      </c>
      <c r="M218">
        <v>23</v>
      </c>
      <c r="N218">
        <v>0</v>
      </c>
      <c r="O218">
        <v>23</v>
      </c>
      <c r="P218">
        <v>0</v>
      </c>
    </row>
    <row r="219" spans="1:16" x14ac:dyDescent="0.25">
      <c r="A219">
        <v>12200000411001</v>
      </c>
      <c r="B219" t="str">
        <f>"1220000041"</f>
        <v>1220000041</v>
      </c>
      <c r="C219" t="s">
        <v>1858</v>
      </c>
      <c r="D219" t="str">
        <f>"1001"</f>
        <v>1001</v>
      </c>
      <c r="E219" t="s">
        <v>42</v>
      </c>
      <c r="F219" t="s">
        <v>8</v>
      </c>
      <c r="G219" t="s">
        <v>16221</v>
      </c>
      <c r="H219" t="s">
        <v>47054</v>
      </c>
      <c r="I219" t="s">
        <v>47120</v>
      </c>
      <c r="J219" t="s">
        <v>47121</v>
      </c>
      <c r="K219" t="s">
        <v>47113</v>
      </c>
      <c r="L219">
        <v>10.14</v>
      </c>
      <c r="M219">
        <v>23</v>
      </c>
      <c r="N219">
        <v>0</v>
      </c>
      <c r="O219">
        <v>23</v>
      </c>
      <c r="P219">
        <v>0</v>
      </c>
    </row>
    <row r="220" spans="1:16" x14ac:dyDescent="0.25">
      <c r="A220">
        <v>12200000411700</v>
      </c>
      <c r="B220" t="str">
        <f>"1220000041"</f>
        <v>1220000041</v>
      </c>
      <c r="C220" t="s">
        <v>1858</v>
      </c>
      <c r="D220" t="str">
        <f>"1700"</f>
        <v>1700</v>
      </c>
      <c r="E220" t="s">
        <v>60</v>
      </c>
      <c r="F220" t="s">
        <v>8</v>
      </c>
      <c r="G220" t="s">
        <v>16221</v>
      </c>
      <c r="H220" t="s">
        <v>47054</v>
      </c>
      <c r="I220" t="s">
        <v>47120</v>
      </c>
      <c r="J220" t="s">
        <v>47121</v>
      </c>
      <c r="K220" t="s">
        <v>47113</v>
      </c>
      <c r="L220">
        <v>10.14</v>
      </c>
      <c r="M220">
        <v>23</v>
      </c>
      <c r="N220">
        <v>0</v>
      </c>
      <c r="O220">
        <v>23</v>
      </c>
      <c r="P220">
        <v>0</v>
      </c>
    </row>
    <row r="221" spans="1:16" x14ac:dyDescent="0.25">
      <c r="A221">
        <v>12200000412330</v>
      </c>
      <c r="B221" t="str">
        <f>"1220000041"</f>
        <v>1220000041</v>
      </c>
      <c r="C221" t="s">
        <v>1858</v>
      </c>
      <c r="D221" t="str">
        <f>"2330"</f>
        <v>2330</v>
      </c>
      <c r="E221" t="s">
        <v>1851</v>
      </c>
      <c r="F221" t="s">
        <v>8</v>
      </c>
      <c r="G221" t="s">
        <v>16221</v>
      </c>
      <c r="H221" t="s">
        <v>47054</v>
      </c>
      <c r="I221" t="s">
        <v>47120</v>
      </c>
      <c r="J221" t="s">
        <v>47121</v>
      </c>
      <c r="K221" t="s">
        <v>47113</v>
      </c>
      <c r="L221">
        <v>10.14</v>
      </c>
      <c r="M221">
        <v>23</v>
      </c>
      <c r="N221">
        <v>0</v>
      </c>
      <c r="O221">
        <v>23</v>
      </c>
      <c r="P221">
        <v>0</v>
      </c>
    </row>
    <row r="222" spans="1:16" x14ac:dyDescent="0.25">
      <c r="A222">
        <v>12200000421001</v>
      </c>
      <c r="B222" t="str">
        <f>"1220000042"</f>
        <v>1220000042</v>
      </c>
      <c r="C222" t="s">
        <v>1859</v>
      </c>
      <c r="D222" t="str">
        <f>"1001"</f>
        <v>1001</v>
      </c>
      <c r="E222" t="s">
        <v>42</v>
      </c>
      <c r="F222" t="s">
        <v>8</v>
      </c>
      <c r="G222" t="s">
        <v>16221</v>
      </c>
      <c r="H222" t="s">
        <v>47054</v>
      </c>
      <c r="I222" t="s">
        <v>47111</v>
      </c>
      <c r="J222" t="s">
        <v>47112</v>
      </c>
      <c r="K222" t="s">
        <v>47113</v>
      </c>
      <c r="L222">
        <v>10.14</v>
      </c>
      <c r="M222">
        <v>23</v>
      </c>
      <c r="N222">
        <v>0</v>
      </c>
      <c r="O222">
        <v>23</v>
      </c>
      <c r="P222">
        <v>0</v>
      </c>
    </row>
    <row r="223" spans="1:16" x14ac:dyDescent="0.25">
      <c r="A223">
        <v>12200000421700</v>
      </c>
      <c r="B223" t="str">
        <f>"1220000042"</f>
        <v>1220000042</v>
      </c>
      <c r="C223" t="s">
        <v>1859</v>
      </c>
      <c r="D223" t="str">
        <f>"1700"</f>
        <v>1700</v>
      </c>
      <c r="E223" t="s">
        <v>60</v>
      </c>
      <c r="F223" t="s">
        <v>8</v>
      </c>
      <c r="G223" t="s">
        <v>16221</v>
      </c>
      <c r="H223" t="s">
        <v>47054</v>
      </c>
      <c r="I223" t="s">
        <v>47111</v>
      </c>
      <c r="J223" t="s">
        <v>47112</v>
      </c>
      <c r="K223" t="s">
        <v>47113</v>
      </c>
      <c r="L223">
        <v>10.14</v>
      </c>
      <c r="M223">
        <v>23</v>
      </c>
      <c r="N223">
        <v>0</v>
      </c>
      <c r="O223">
        <v>23</v>
      </c>
      <c r="P223">
        <v>0</v>
      </c>
    </row>
    <row r="224" spans="1:16" x14ac:dyDescent="0.25">
      <c r="A224">
        <v>12200000431001</v>
      </c>
      <c r="B224" t="str">
        <f>"1220000043"</f>
        <v>1220000043</v>
      </c>
      <c r="C224" t="s">
        <v>1860</v>
      </c>
      <c r="D224" t="str">
        <f>"1001"</f>
        <v>1001</v>
      </c>
      <c r="E224" t="s">
        <v>42</v>
      </c>
      <c r="F224" t="s">
        <v>8</v>
      </c>
      <c r="G224" t="s">
        <v>16221</v>
      </c>
      <c r="H224" t="s">
        <v>47054</v>
      </c>
      <c r="I224" t="s">
        <v>47111</v>
      </c>
      <c r="J224" t="s">
        <v>47112</v>
      </c>
      <c r="K224" t="s">
        <v>47113</v>
      </c>
      <c r="L224">
        <v>10.14</v>
      </c>
      <c r="M224">
        <v>23</v>
      </c>
      <c r="N224">
        <v>0</v>
      </c>
      <c r="O224">
        <v>23</v>
      </c>
      <c r="P224">
        <v>0</v>
      </c>
    </row>
    <row r="225" spans="1:16" x14ac:dyDescent="0.25">
      <c r="A225">
        <v>12200000431700</v>
      </c>
      <c r="B225" t="str">
        <f>"1220000043"</f>
        <v>1220000043</v>
      </c>
      <c r="C225" t="s">
        <v>1860</v>
      </c>
      <c r="D225" t="str">
        <f>"1700"</f>
        <v>1700</v>
      </c>
      <c r="E225" t="s">
        <v>60</v>
      </c>
      <c r="F225" t="s">
        <v>8</v>
      </c>
      <c r="G225" t="s">
        <v>16221</v>
      </c>
      <c r="H225" t="s">
        <v>47054</v>
      </c>
      <c r="I225" t="s">
        <v>47111</v>
      </c>
      <c r="J225" t="s">
        <v>47112</v>
      </c>
      <c r="K225" t="s">
        <v>47113</v>
      </c>
      <c r="L225">
        <v>10.14</v>
      </c>
      <c r="M225">
        <v>23</v>
      </c>
      <c r="N225">
        <v>0</v>
      </c>
      <c r="O225">
        <v>23</v>
      </c>
      <c r="P225">
        <v>0</v>
      </c>
    </row>
    <row r="226" spans="1:16" x14ac:dyDescent="0.25">
      <c r="A226">
        <v>12200000433005</v>
      </c>
      <c r="B226" t="str">
        <f>"1220000043"</f>
        <v>1220000043</v>
      </c>
      <c r="C226" t="s">
        <v>1860</v>
      </c>
      <c r="D226" t="str">
        <f>"3005"</f>
        <v>3005</v>
      </c>
      <c r="E226" t="s">
        <v>1853</v>
      </c>
      <c r="F226" t="s">
        <v>8</v>
      </c>
      <c r="G226" t="s">
        <v>16221</v>
      </c>
      <c r="H226" t="s">
        <v>47054</v>
      </c>
      <c r="I226" t="s">
        <v>47111</v>
      </c>
      <c r="J226" t="s">
        <v>47112</v>
      </c>
      <c r="K226" t="s">
        <v>47113</v>
      </c>
      <c r="L226">
        <v>10.14</v>
      </c>
      <c r="M226">
        <v>23</v>
      </c>
      <c r="N226">
        <v>0</v>
      </c>
      <c r="O226">
        <v>23</v>
      </c>
      <c r="P226">
        <v>0</v>
      </c>
    </row>
    <row r="227" spans="1:16" x14ac:dyDescent="0.25">
      <c r="A227">
        <v>12200000441001</v>
      </c>
      <c r="B227" t="str">
        <f>"1220000044"</f>
        <v>1220000044</v>
      </c>
      <c r="C227" t="s">
        <v>1861</v>
      </c>
      <c r="D227" t="str">
        <f>"1001"</f>
        <v>1001</v>
      </c>
      <c r="E227" t="s">
        <v>42</v>
      </c>
      <c r="F227" t="s">
        <v>8</v>
      </c>
      <c r="G227" t="s">
        <v>16221</v>
      </c>
      <c r="H227" t="s">
        <v>47054</v>
      </c>
      <c r="I227" t="s">
        <v>47111</v>
      </c>
      <c r="J227" t="s">
        <v>47112</v>
      </c>
      <c r="K227" t="s">
        <v>47113</v>
      </c>
      <c r="L227">
        <v>10.14</v>
      </c>
      <c r="M227">
        <v>23</v>
      </c>
      <c r="N227">
        <v>0</v>
      </c>
      <c r="O227">
        <v>23</v>
      </c>
      <c r="P227">
        <v>0</v>
      </c>
    </row>
    <row r="228" spans="1:16" x14ac:dyDescent="0.25">
      <c r="A228">
        <v>12200000441700</v>
      </c>
      <c r="B228" t="str">
        <f>"1220000044"</f>
        <v>1220000044</v>
      </c>
      <c r="C228" t="s">
        <v>1861</v>
      </c>
      <c r="D228" t="str">
        <f>"1700"</f>
        <v>1700</v>
      </c>
      <c r="E228" t="s">
        <v>60</v>
      </c>
      <c r="F228" t="s">
        <v>8</v>
      </c>
      <c r="G228" t="s">
        <v>16221</v>
      </c>
      <c r="H228" t="s">
        <v>47054</v>
      </c>
      <c r="I228" t="s">
        <v>47111</v>
      </c>
      <c r="J228" t="s">
        <v>47112</v>
      </c>
      <c r="K228" t="s">
        <v>47113</v>
      </c>
      <c r="L228">
        <v>10.14</v>
      </c>
      <c r="M228">
        <v>23</v>
      </c>
      <c r="N228">
        <v>0</v>
      </c>
      <c r="O228">
        <v>23</v>
      </c>
      <c r="P228">
        <v>0</v>
      </c>
    </row>
    <row r="229" spans="1:16" x14ac:dyDescent="0.25">
      <c r="A229">
        <v>12200000443002</v>
      </c>
      <c r="B229" t="str">
        <f>"1220000044"</f>
        <v>1220000044</v>
      </c>
      <c r="C229" t="s">
        <v>1861</v>
      </c>
      <c r="D229" t="str">
        <f>"3002"</f>
        <v>3002</v>
      </c>
      <c r="E229" t="s">
        <v>1862</v>
      </c>
      <c r="F229" t="s">
        <v>8</v>
      </c>
      <c r="G229" t="s">
        <v>16221</v>
      </c>
      <c r="H229" t="s">
        <v>47054</v>
      </c>
      <c r="I229" t="s">
        <v>47111</v>
      </c>
      <c r="J229" t="s">
        <v>47112</v>
      </c>
      <c r="K229" t="s">
        <v>47113</v>
      </c>
      <c r="L229">
        <v>10.14</v>
      </c>
      <c r="M229">
        <v>23</v>
      </c>
      <c r="N229">
        <v>0</v>
      </c>
      <c r="O229">
        <v>23</v>
      </c>
      <c r="P229">
        <v>0</v>
      </c>
    </row>
    <row r="230" spans="1:16" x14ac:dyDescent="0.25">
      <c r="A230">
        <v>12200000451001</v>
      </c>
      <c r="B230" t="str">
        <f>"1220000045"</f>
        <v>1220000045</v>
      </c>
      <c r="C230" t="s">
        <v>1863</v>
      </c>
      <c r="D230" t="str">
        <f>"1001"</f>
        <v>1001</v>
      </c>
      <c r="E230" t="s">
        <v>42</v>
      </c>
      <c r="F230" t="s">
        <v>8</v>
      </c>
      <c r="G230" t="s">
        <v>16221</v>
      </c>
      <c r="H230" t="s">
        <v>47054</v>
      </c>
      <c r="I230" t="s">
        <v>47111</v>
      </c>
      <c r="J230" t="s">
        <v>47112</v>
      </c>
      <c r="K230" t="s">
        <v>47113</v>
      </c>
      <c r="L230">
        <v>10.14</v>
      </c>
      <c r="M230">
        <v>23</v>
      </c>
      <c r="N230">
        <v>0</v>
      </c>
      <c r="O230">
        <v>23</v>
      </c>
      <c r="P230">
        <v>0</v>
      </c>
    </row>
    <row r="231" spans="1:16" x14ac:dyDescent="0.25">
      <c r="A231">
        <v>12200000451700</v>
      </c>
      <c r="B231" t="str">
        <f>"1220000045"</f>
        <v>1220000045</v>
      </c>
      <c r="C231" t="s">
        <v>1863</v>
      </c>
      <c r="D231" t="str">
        <f>"1700"</f>
        <v>1700</v>
      </c>
      <c r="E231" t="s">
        <v>60</v>
      </c>
      <c r="F231" t="s">
        <v>8</v>
      </c>
      <c r="G231" t="s">
        <v>16221</v>
      </c>
      <c r="H231" t="s">
        <v>47054</v>
      </c>
      <c r="I231" t="s">
        <v>47111</v>
      </c>
      <c r="J231" t="s">
        <v>47112</v>
      </c>
      <c r="K231" t="s">
        <v>47113</v>
      </c>
      <c r="L231">
        <v>10.14</v>
      </c>
      <c r="M231">
        <v>23</v>
      </c>
      <c r="N231">
        <v>0</v>
      </c>
      <c r="O231">
        <v>23</v>
      </c>
      <c r="P231">
        <v>0</v>
      </c>
    </row>
    <row r="232" spans="1:16" x14ac:dyDescent="0.25">
      <c r="A232">
        <v>12200000456005</v>
      </c>
      <c r="B232" t="str">
        <f>"1220000045"</f>
        <v>1220000045</v>
      </c>
      <c r="C232" t="s">
        <v>1863</v>
      </c>
      <c r="D232" t="str">
        <f>"6005"</f>
        <v>6005</v>
      </c>
      <c r="E232" t="s">
        <v>1749</v>
      </c>
      <c r="F232" t="s">
        <v>8</v>
      </c>
      <c r="G232" t="s">
        <v>16221</v>
      </c>
      <c r="H232" t="s">
        <v>47054</v>
      </c>
      <c r="I232" t="s">
        <v>47111</v>
      </c>
      <c r="J232" t="s">
        <v>47112</v>
      </c>
      <c r="K232" t="s">
        <v>47113</v>
      </c>
      <c r="L232">
        <v>10.14</v>
      </c>
      <c r="M232">
        <v>23</v>
      </c>
      <c r="N232">
        <v>0</v>
      </c>
      <c r="O232">
        <v>23</v>
      </c>
      <c r="P232">
        <v>0</v>
      </c>
    </row>
    <row r="233" spans="1:16" x14ac:dyDescent="0.25">
      <c r="A233">
        <v>12200000511001</v>
      </c>
      <c r="B233" t="str">
        <f t="shared" ref="B233:B238" si="2">"1220000051"</f>
        <v>1220000051</v>
      </c>
      <c r="C233" t="s">
        <v>1864</v>
      </c>
      <c r="D233" t="str">
        <f>"1001"</f>
        <v>1001</v>
      </c>
      <c r="E233" t="s">
        <v>42</v>
      </c>
      <c r="F233" t="s">
        <v>687</v>
      </c>
      <c r="G233" t="s">
        <v>16221</v>
      </c>
      <c r="H233" t="s">
        <v>47054</v>
      </c>
      <c r="I233" t="s">
        <v>47120</v>
      </c>
      <c r="J233" t="s">
        <v>47121</v>
      </c>
      <c r="K233" t="s">
        <v>47113</v>
      </c>
      <c r="L233">
        <v>10.62</v>
      </c>
      <c r="M233">
        <v>26</v>
      </c>
      <c r="N233">
        <v>0</v>
      </c>
      <c r="O233">
        <v>26</v>
      </c>
      <c r="P233">
        <v>0</v>
      </c>
    </row>
    <row r="234" spans="1:16" x14ac:dyDescent="0.25">
      <c r="A234">
        <v>12200000511700</v>
      </c>
      <c r="B234" t="str">
        <f t="shared" si="2"/>
        <v>1220000051</v>
      </c>
      <c r="C234" t="s">
        <v>1864</v>
      </c>
      <c r="D234" t="str">
        <f>"1700"</f>
        <v>1700</v>
      </c>
      <c r="E234" t="s">
        <v>60</v>
      </c>
      <c r="F234" t="s">
        <v>687</v>
      </c>
      <c r="G234" t="s">
        <v>16221</v>
      </c>
      <c r="H234" t="s">
        <v>47054</v>
      </c>
      <c r="I234" t="s">
        <v>47120</v>
      </c>
      <c r="J234" t="s">
        <v>47121</v>
      </c>
      <c r="K234" t="s">
        <v>47113</v>
      </c>
      <c r="L234">
        <v>8.33</v>
      </c>
      <c r="M234">
        <v>26</v>
      </c>
      <c r="N234">
        <v>0</v>
      </c>
      <c r="O234">
        <v>26</v>
      </c>
      <c r="P234">
        <v>0</v>
      </c>
    </row>
    <row r="235" spans="1:16" x14ac:dyDescent="0.25">
      <c r="A235">
        <v>12200000514067</v>
      </c>
      <c r="B235" t="str">
        <f t="shared" si="2"/>
        <v>1220000051</v>
      </c>
      <c r="C235" t="s">
        <v>1864</v>
      </c>
      <c r="D235" t="str">
        <f>"4067"</f>
        <v>4067</v>
      </c>
      <c r="E235" t="s">
        <v>1865</v>
      </c>
      <c r="F235" t="s">
        <v>687</v>
      </c>
      <c r="G235" t="s">
        <v>16221</v>
      </c>
      <c r="H235" t="s">
        <v>47054</v>
      </c>
      <c r="I235" t="s">
        <v>47120</v>
      </c>
      <c r="J235" t="s">
        <v>47121</v>
      </c>
      <c r="K235" t="s">
        <v>47113</v>
      </c>
      <c r="L235">
        <v>10.220000000000001</v>
      </c>
      <c r="M235">
        <v>26</v>
      </c>
      <c r="N235">
        <v>0</v>
      </c>
      <c r="O235">
        <v>26</v>
      </c>
      <c r="P235">
        <v>0</v>
      </c>
    </row>
    <row r="236" spans="1:16" x14ac:dyDescent="0.25">
      <c r="A236">
        <v>12200000514448</v>
      </c>
      <c r="B236" t="str">
        <f t="shared" si="2"/>
        <v>1220000051</v>
      </c>
      <c r="C236" t="s">
        <v>1864</v>
      </c>
      <c r="D236" t="str">
        <f>"4448"</f>
        <v>4448</v>
      </c>
      <c r="E236" t="s">
        <v>1866</v>
      </c>
      <c r="F236" t="s">
        <v>687</v>
      </c>
      <c r="G236" t="s">
        <v>16221</v>
      </c>
      <c r="H236" t="s">
        <v>47054</v>
      </c>
      <c r="I236" t="s">
        <v>47120</v>
      </c>
      <c r="J236" t="s">
        <v>47121</v>
      </c>
      <c r="K236" t="s">
        <v>47113</v>
      </c>
      <c r="L236">
        <v>10.130000000000001</v>
      </c>
      <c r="M236">
        <v>24</v>
      </c>
      <c r="N236">
        <v>0</v>
      </c>
      <c r="O236">
        <v>24</v>
      </c>
      <c r="P236">
        <v>0</v>
      </c>
    </row>
    <row r="237" spans="1:16" x14ac:dyDescent="0.25">
      <c r="A237">
        <v>12200000516000</v>
      </c>
      <c r="B237" t="str">
        <f t="shared" si="2"/>
        <v>1220000051</v>
      </c>
      <c r="C237" t="s">
        <v>1864</v>
      </c>
      <c r="D237" t="str">
        <f>"6000"</f>
        <v>6000</v>
      </c>
      <c r="E237" t="s">
        <v>238</v>
      </c>
      <c r="F237" t="s">
        <v>687</v>
      </c>
      <c r="G237" t="s">
        <v>16221</v>
      </c>
      <c r="H237" t="s">
        <v>47054</v>
      </c>
      <c r="I237" t="s">
        <v>47120</v>
      </c>
      <c r="J237" t="s">
        <v>47121</v>
      </c>
      <c r="K237" t="s">
        <v>47113</v>
      </c>
      <c r="L237">
        <v>10.14</v>
      </c>
      <c r="M237">
        <v>26</v>
      </c>
      <c r="N237">
        <v>0</v>
      </c>
      <c r="O237">
        <v>26</v>
      </c>
      <c r="P237">
        <v>0</v>
      </c>
    </row>
    <row r="238" spans="1:16" x14ac:dyDescent="0.25">
      <c r="A238">
        <v>12200000517302</v>
      </c>
      <c r="B238" t="str">
        <f t="shared" si="2"/>
        <v>1220000051</v>
      </c>
      <c r="C238" t="s">
        <v>1864</v>
      </c>
      <c r="D238" t="str">
        <f>"7302"</f>
        <v>7302</v>
      </c>
      <c r="E238" t="s">
        <v>1867</v>
      </c>
      <c r="F238" t="s">
        <v>687</v>
      </c>
      <c r="G238" t="s">
        <v>16221</v>
      </c>
      <c r="H238" t="s">
        <v>47054</v>
      </c>
      <c r="I238" t="s">
        <v>47120</v>
      </c>
      <c r="J238" t="s">
        <v>47121</v>
      </c>
      <c r="K238" t="s">
        <v>47113</v>
      </c>
      <c r="L238">
        <v>10.93</v>
      </c>
      <c r="M238">
        <v>26</v>
      </c>
      <c r="N238">
        <v>0</v>
      </c>
      <c r="O238">
        <v>26</v>
      </c>
      <c r="P238">
        <v>0</v>
      </c>
    </row>
    <row r="239" spans="1:16" x14ac:dyDescent="0.25">
      <c r="A239">
        <v>12200000521001</v>
      </c>
      <c r="B239" t="str">
        <f>"1220000052"</f>
        <v>1220000052</v>
      </c>
      <c r="C239" t="s">
        <v>1868</v>
      </c>
      <c r="D239" t="str">
        <f>"1001"</f>
        <v>1001</v>
      </c>
      <c r="E239" t="s">
        <v>42</v>
      </c>
      <c r="F239" t="s">
        <v>58</v>
      </c>
      <c r="G239" t="s">
        <v>16221</v>
      </c>
      <c r="H239" t="s">
        <v>47054</v>
      </c>
      <c r="I239" t="s">
        <v>47120</v>
      </c>
      <c r="J239" t="s">
        <v>47121</v>
      </c>
      <c r="K239" t="s">
        <v>47113</v>
      </c>
      <c r="L239">
        <v>9.92</v>
      </c>
      <c r="M239">
        <v>27</v>
      </c>
      <c r="N239">
        <v>0</v>
      </c>
      <c r="O239">
        <v>27</v>
      </c>
      <c r="P239">
        <v>0</v>
      </c>
    </row>
    <row r="240" spans="1:16" x14ac:dyDescent="0.25">
      <c r="A240">
        <v>12200000521700</v>
      </c>
      <c r="B240" t="str">
        <f>"1220000052"</f>
        <v>1220000052</v>
      </c>
      <c r="C240" t="s">
        <v>1868</v>
      </c>
      <c r="D240" t="str">
        <f>"1700"</f>
        <v>1700</v>
      </c>
      <c r="E240" t="s">
        <v>60</v>
      </c>
      <c r="F240" t="s">
        <v>58</v>
      </c>
      <c r="G240" t="s">
        <v>16221</v>
      </c>
      <c r="H240" t="s">
        <v>47054</v>
      </c>
      <c r="I240" t="s">
        <v>47120</v>
      </c>
      <c r="J240" t="s">
        <v>47121</v>
      </c>
      <c r="K240" t="s">
        <v>47113</v>
      </c>
      <c r="L240">
        <v>9.92</v>
      </c>
      <c r="M240">
        <v>27</v>
      </c>
      <c r="N240">
        <v>0</v>
      </c>
      <c r="O240">
        <v>27</v>
      </c>
      <c r="P240">
        <v>0</v>
      </c>
    </row>
    <row r="241" spans="1:16" x14ac:dyDescent="0.25">
      <c r="A241">
        <v>12200000551001</v>
      </c>
      <c r="B241" t="str">
        <f>"1220000055"</f>
        <v>1220000055</v>
      </c>
      <c r="C241" t="s">
        <v>1869</v>
      </c>
      <c r="D241" t="str">
        <f>"1001"</f>
        <v>1001</v>
      </c>
      <c r="E241" t="s">
        <v>42</v>
      </c>
      <c r="F241" t="s">
        <v>8</v>
      </c>
      <c r="G241" t="s">
        <v>16221</v>
      </c>
      <c r="H241" t="s">
        <v>47054</v>
      </c>
      <c r="I241" t="s">
        <v>47120</v>
      </c>
      <c r="J241" t="s">
        <v>47121</v>
      </c>
      <c r="K241" t="s">
        <v>47113</v>
      </c>
      <c r="L241">
        <v>11.15</v>
      </c>
      <c r="M241">
        <v>30</v>
      </c>
      <c r="N241">
        <v>0</v>
      </c>
      <c r="O241">
        <v>30</v>
      </c>
      <c r="P241">
        <v>0</v>
      </c>
    </row>
    <row r="242" spans="1:16" x14ac:dyDescent="0.25">
      <c r="A242">
        <v>12200000551700</v>
      </c>
      <c r="B242" t="str">
        <f>"1220000055"</f>
        <v>1220000055</v>
      </c>
      <c r="C242" t="s">
        <v>1869</v>
      </c>
      <c r="D242" t="str">
        <f>"1700"</f>
        <v>1700</v>
      </c>
      <c r="E242" t="s">
        <v>60</v>
      </c>
      <c r="F242" t="s">
        <v>8</v>
      </c>
      <c r="G242" t="s">
        <v>16221</v>
      </c>
      <c r="H242" t="s">
        <v>47054</v>
      </c>
      <c r="I242" t="s">
        <v>47120</v>
      </c>
      <c r="J242" t="s">
        <v>47121</v>
      </c>
      <c r="K242" t="s">
        <v>47113</v>
      </c>
      <c r="L242">
        <v>11.15</v>
      </c>
      <c r="M242">
        <v>30</v>
      </c>
      <c r="N242">
        <v>0</v>
      </c>
      <c r="O242">
        <v>30</v>
      </c>
      <c r="P242">
        <v>0</v>
      </c>
    </row>
    <row r="243" spans="1:16" x14ac:dyDescent="0.25">
      <c r="A243">
        <v>12200000554101</v>
      </c>
      <c r="B243" t="str">
        <f>"1220000055"</f>
        <v>1220000055</v>
      </c>
      <c r="C243" t="s">
        <v>1869</v>
      </c>
      <c r="D243" t="str">
        <f>"4101"</f>
        <v>4101</v>
      </c>
      <c r="E243" t="s">
        <v>43</v>
      </c>
      <c r="F243" t="s">
        <v>8</v>
      </c>
      <c r="G243" t="s">
        <v>16221</v>
      </c>
      <c r="H243" t="s">
        <v>47054</v>
      </c>
      <c r="I243" t="s">
        <v>47120</v>
      </c>
      <c r="J243" t="s">
        <v>47121</v>
      </c>
      <c r="K243" t="s">
        <v>47113</v>
      </c>
      <c r="L243">
        <v>11.15</v>
      </c>
      <c r="M243">
        <v>23</v>
      </c>
      <c r="N243">
        <v>0</v>
      </c>
      <c r="O243">
        <v>23</v>
      </c>
      <c r="P243">
        <v>0</v>
      </c>
    </row>
    <row r="244" spans="1:16" x14ac:dyDescent="0.25">
      <c r="A244">
        <v>12200000601001</v>
      </c>
      <c r="B244" t="str">
        <f>"1220000060"</f>
        <v>1220000060</v>
      </c>
      <c r="C244" t="s">
        <v>1870</v>
      </c>
      <c r="D244" t="str">
        <f>"1001"</f>
        <v>1001</v>
      </c>
      <c r="E244" t="s">
        <v>42</v>
      </c>
      <c r="F244" t="s">
        <v>8</v>
      </c>
      <c r="G244" t="s">
        <v>16221</v>
      </c>
      <c r="H244" t="s">
        <v>47054</v>
      </c>
      <c r="I244" t="s">
        <v>47111</v>
      </c>
      <c r="J244" t="s">
        <v>47112</v>
      </c>
      <c r="K244" t="s">
        <v>47113</v>
      </c>
      <c r="L244">
        <v>10.14</v>
      </c>
      <c r="M244">
        <v>24</v>
      </c>
      <c r="N244">
        <v>0</v>
      </c>
      <c r="O244">
        <v>24</v>
      </c>
      <c r="P244">
        <v>0</v>
      </c>
    </row>
    <row r="245" spans="1:16" x14ac:dyDescent="0.25">
      <c r="A245">
        <v>12200000604101</v>
      </c>
      <c r="B245" t="str">
        <f>"1220000060"</f>
        <v>1220000060</v>
      </c>
      <c r="C245" t="s">
        <v>1870</v>
      </c>
      <c r="D245" t="str">
        <f>"4101"</f>
        <v>4101</v>
      </c>
      <c r="E245" t="s">
        <v>43</v>
      </c>
      <c r="F245" t="s">
        <v>8</v>
      </c>
      <c r="G245" t="s">
        <v>16221</v>
      </c>
      <c r="H245" t="s">
        <v>47054</v>
      </c>
      <c r="I245" t="s">
        <v>47111</v>
      </c>
      <c r="J245" t="s">
        <v>47112</v>
      </c>
      <c r="K245" t="s">
        <v>47113</v>
      </c>
      <c r="L245">
        <v>10.14</v>
      </c>
      <c r="M245">
        <v>24</v>
      </c>
      <c r="N245">
        <v>0</v>
      </c>
      <c r="O245">
        <v>24</v>
      </c>
      <c r="P245">
        <v>0</v>
      </c>
    </row>
    <row r="246" spans="1:16" x14ac:dyDescent="0.25">
      <c r="A246">
        <v>12200000661001</v>
      </c>
      <c r="B246" t="str">
        <f>"1220000066"</f>
        <v>1220000066</v>
      </c>
      <c r="C246" t="s">
        <v>1871</v>
      </c>
      <c r="D246" t="str">
        <f>"1001"</f>
        <v>1001</v>
      </c>
      <c r="E246" t="s">
        <v>42</v>
      </c>
      <c r="F246" t="s">
        <v>8</v>
      </c>
      <c r="G246" t="s">
        <v>16221</v>
      </c>
      <c r="H246" t="s">
        <v>47054</v>
      </c>
      <c r="I246" t="s">
        <v>47111</v>
      </c>
      <c r="J246" t="s">
        <v>47112</v>
      </c>
      <c r="K246" t="s">
        <v>47113</v>
      </c>
      <c r="L246">
        <v>8.2799999999999994</v>
      </c>
      <c r="M246">
        <v>23</v>
      </c>
      <c r="N246">
        <v>0</v>
      </c>
      <c r="O246">
        <v>23</v>
      </c>
      <c r="P246">
        <v>0</v>
      </c>
    </row>
    <row r="247" spans="1:16" x14ac:dyDescent="0.25">
      <c r="A247">
        <v>12200000661700</v>
      </c>
      <c r="B247" t="str">
        <f>"1220000066"</f>
        <v>1220000066</v>
      </c>
      <c r="C247" t="s">
        <v>1871</v>
      </c>
      <c r="D247" t="str">
        <f>"1700"</f>
        <v>1700</v>
      </c>
      <c r="E247" t="s">
        <v>60</v>
      </c>
      <c r="F247" t="s">
        <v>8</v>
      </c>
      <c r="G247" t="s">
        <v>16221</v>
      </c>
      <c r="H247" t="s">
        <v>47054</v>
      </c>
      <c r="I247" t="s">
        <v>47111</v>
      </c>
      <c r="J247" t="s">
        <v>47112</v>
      </c>
      <c r="K247" t="s">
        <v>47113</v>
      </c>
      <c r="L247">
        <v>8.2799999999999994</v>
      </c>
      <c r="M247">
        <v>23</v>
      </c>
      <c r="N247">
        <v>0</v>
      </c>
      <c r="O247">
        <v>23</v>
      </c>
      <c r="P247">
        <v>0</v>
      </c>
    </row>
    <row r="248" spans="1:16" x14ac:dyDescent="0.25">
      <c r="A248">
        <v>12200000667419</v>
      </c>
      <c r="B248" t="str">
        <f>"1220000066"</f>
        <v>1220000066</v>
      </c>
      <c r="C248" t="s">
        <v>1871</v>
      </c>
      <c r="D248" t="str">
        <f>"7419"</f>
        <v>7419</v>
      </c>
      <c r="E248" t="s">
        <v>1872</v>
      </c>
      <c r="F248" t="s">
        <v>8</v>
      </c>
      <c r="G248" t="s">
        <v>16221</v>
      </c>
      <c r="H248" t="s">
        <v>47054</v>
      </c>
      <c r="I248" t="s">
        <v>47111</v>
      </c>
      <c r="J248" t="s">
        <v>47112</v>
      </c>
      <c r="K248" t="s">
        <v>47113</v>
      </c>
      <c r="L248">
        <v>8.2799999999999994</v>
      </c>
      <c r="M248">
        <v>23</v>
      </c>
      <c r="N248">
        <v>0</v>
      </c>
      <c r="O248">
        <v>23</v>
      </c>
      <c r="P248">
        <v>0</v>
      </c>
    </row>
    <row r="249" spans="1:16" x14ac:dyDescent="0.25">
      <c r="A249">
        <v>12200000671001</v>
      </c>
      <c r="B249" t="str">
        <f>"1220000067"</f>
        <v>1220000067</v>
      </c>
      <c r="C249" t="s">
        <v>1873</v>
      </c>
      <c r="D249" t="str">
        <f>"1001"</f>
        <v>1001</v>
      </c>
      <c r="E249" t="s">
        <v>42</v>
      </c>
      <c r="F249" t="s">
        <v>8</v>
      </c>
      <c r="G249" t="s">
        <v>16221</v>
      </c>
      <c r="H249" t="s">
        <v>47054</v>
      </c>
      <c r="I249" t="s">
        <v>47111</v>
      </c>
      <c r="J249" t="s">
        <v>47112</v>
      </c>
      <c r="K249" t="s">
        <v>47113</v>
      </c>
      <c r="L249">
        <v>8.18</v>
      </c>
      <c r="M249">
        <v>23</v>
      </c>
      <c r="N249">
        <v>0</v>
      </c>
      <c r="O249">
        <v>23</v>
      </c>
      <c r="P249">
        <v>0</v>
      </c>
    </row>
    <row r="250" spans="1:16" x14ac:dyDescent="0.25">
      <c r="A250">
        <v>12200000671700</v>
      </c>
      <c r="B250" t="str">
        <f>"1220000067"</f>
        <v>1220000067</v>
      </c>
      <c r="C250" t="s">
        <v>1873</v>
      </c>
      <c r="D250" t="str">
        <f>"1700"</f>
        <v>1700</v>
      </c>
      <c r="E250" t="s">
        <v>60</v>
      </c>
      <c r="F250" t="s">
        <v>8</v>
      </c>
      <c r="G250" t="s">
        <v>16221</v>
      </c>
      <c r="H250" t="s">
        <v>47054</v>
      </c>
      <c r="I250" t="s">
        <v>47111</v>
      </c>
      <c r="J250" t="s">
        <v>47112</v>
      </c>
      <c r="K250" t="s">
        <v>47113</v>
      </c>
      <c r="L250">
        <v>8.18</v>
      </c>
      <c r="M250">
        <v>23</v>
      </c>
      <c r="N250">
        <v>0</v>
      </c>
      <c r="O250">
        <v>23</v>
      </c>
      <c r="P250">
        <v>0</v>
      </c>
    </row>
    <row r="251" spans="1:16" x14ac:dyDescent="0.25">
      <c r="A251">
        <v>12200000673002</v>
      </c>
      <c r="B251" t="str">
        <f>"1220000067"</f>
        <v>1220000067</v>
      </c>
      <c r="C251" t="s">
        <v>1873</v>
      </c>
      <c r="D251" t="str">
        <f>"3002"</f>
        <v>3002</v>
      </c>
      <c r="E251" t="s">
        <v>1862</v>
      </c>
      <c r="F251" t="s">
        <v>8</v>
      </c>
      <c r="G251" t="s">
        <v>16221</v>
      </c>
      <c r="H251" t="s">
        <v>47054</v>
      </c>
      <c r="I251" t="s">
        <v>47111</v>
      </c>
      <c r="J251" t="s">
        <v>47112</v>
      </c>
      <c r="K251" t="s">
        <v>47113</v>
      </c>
      <c r="L251">
        <v>8.18</v>
      </c>
      <c r="M251">
        <v>23</v>
      </c>
      <c r="N251">
        <v>0</v>
      </c>
      <c r="O251">
        <v>23</v>
      </c>
      <c r="P251">
        <v>0</v>
      </c>
    </row>
    <row r="252" spans="1:16" x14ac:dyDescent="0.25">
      <c r="A252">
        <v>12200000681001</v>
      </c>
      <c r="B252" t="str">
        <f>"1220000068"</f>
        <v>1220000068</v>
      </c>
      <c r="C252" t="s">
        <v>1874</v>
      </c>
      <c r="D252" t="str">
        <f>"1001"</f>
        <v>1001</v>
      </c>
      <c r="E252" t="s">
        <v>42</v>
      </c>
      <c r="F252" t="s">
        <v>8</v>
      </c>
      <c r="G252" t="s">
        <v>16221</v>
      </c>
      <c r="H252" t="s">
        <v>47054</v>
      </c>
      <c r="I252" t="s">
        <v>47111</v>
      </c>
      <c r="J252" t="s">
        <v>47112</v>
      </c>
      <c r="K252" t="s">
        <v>47113</v>
      </c>
      <c r="L252">
        <v>7.93</v>
      </c>
      <c r="M252">
        <v>23</v>
      </c>
      <c r="N252">
        <v>0</v>
      </c>
      <c r="O252">
        <v>23</v>
      </c>
      <c r="P252">
        <v>0</v>
      </c>
    </row>
    <row r="253" spans="1:16" x14ac:dyDescent="0.25">
      <c r="A253">
        <v>12200000681100</v>
      </c>
      <c r="B253" t="str">
        <f>"1220000068"</f>
        <v>1220000068</v>
      </c>
      <c r="C253" t="s">
        <v>1874</v>
      </c>
      <c r="D253" t="str">
        <f>"1100"</f>
        <v>1100</v>
      </c>
      <c r="E253" t="s">
        <v>54</v>
      </c>
      <c r="F253" t="s">
        <v>8</v>
      </c>
      <c r="G253" t="s">
        <v>16221</v>
      </c>
      <c r="H253" t="s">
        <v>47054</v>
      </c>
      <c r="I253" t="s">
        <v>47111</v>
      </c>
      <c r="J253" t="s">
        <v>47112</v>
      </c>
      <c r="K253" t="s">
        <v>47113</v>
      </c>
      <c r="L253">
        <v>7.93</v>
      </c>
      <c r="M253">
        <v>23</v>
      </c>
      <c r="N253">
        <v>0</v>
      </c>
      <c r="O253">
        <v>23</v>
      </c>
      <c r="P253">
        <v>0</v>
      </c>
    </row>
    <row r="254" spans="1:16" x14ac:dyDescent="0.25">
      <c r="A254">
        <v>12200000681700</v>
      </c>
      <c r="B254" t="str">
        <f>"1220000068"</f>
        <v>1220000068</v>
      </c>
      <c r="C254" t="s">
        <v>1874</v>
      </c>
      <c r="D254" t="str">
        <f>"1700"</f>
        <v>1700</v>
      </c>
      <c r="E254" t="s">
        <v>60</v>
      </c>
      <c r="F254" t="s">
        <v>8</v>
      </c>
      <c r="G254" t="s">
        <v>16221</v>
      </c>
      <c r="H254" t="s">
        <v>47054</v>
      </c>
      <c r="I254" t="s">
        <v>47111</v>
      </c>
      <c r="J254" t="s">
        <v>47112</v>
      </c>
      <c r="K254" t="s">
        <v>47113</v>
      </c>
      <c r="L254">
        <v>7.93</v>
      </c>
      <c r="M254">
        <v>23</v>
      </c>
      <c r="N254">
        <v>0</v>
      </c>
      <c r="O254">
        <v>23</v>
      </c>
      <c r="P254">
        <v>0</v>
      </c>
    </row>
    <row r="255" spans="1:16" x14ac:dyDescent="0.25">
      <c r="A255">
        <v>12200000691001</v>
      </c>
      <c r="B255" t="str">
        <f>"1220000069"</f>
        <v>1220000069</v>
      </c>
      <c r="C255" t="s">
        <v>1875</v>
      </c>
      <c r="D255" t="str">
        <f>"1001"</f>
        <v>1001</v>
      </c>
      <c r="E255" t="s">
        <v>42</v>
      </c>
      <c r="F255" t="s">
        <v>8</v>
      </c>
      <c r="G255" t="s">
        <v>16221</v>
      </c>
      <c r="H255" t="s">
        <v>47054</v>
      </c>
      <c r="I255" t="s">
        <v>47111</v>
      </c>
      <c r="J255" t="s">
        <v>47112</v>
      </c>
      <c r="K255" t="s">
        <v>47113</v>
      </c>
      <c r="L255">
        <v>8.2799999999999994</v>
      </c>
      <c r="M255">
        <v>23</v>
      </c>
      <c r="N255">
        <v>0</v>
      </c>
      <c r="O255">
        <v>23</v>
      </c>
      <c r="P255">
        <v>0</v>
      </c>
    </row>
    <row r="256" spans="1:16" x14ac:dyDescent="0.25">
      <c r="A256">
        <v>12200000691700</v>
      </c>
      <c r="B256" t="str">
        <f>"1220000069"</f>
        <v>1220000069</v>
      </c>
      <c r="C256" t="s">
        <v>1875</v>
      </c>
      <c r="D256" t="str">
        <f>"1700"</f>
        <v>1700</v>
      </c>
      <c r="E256" t="s">
        <v>60</v>
      </c>
      <c r="F256" t="s">
        <v>8</v>
      </c>
      <c r="G256" t="s">
        <v>16221</v>
      </c>
      <c r="H256" t="s">
        <v>47054</v>
      </c>
      <c r="I256" t="s">
        <v>47111</v>
      </c>
      <c r="J256" t="s">
        <v>47112</v>
      </c>
      <c r="K256" t="s">
        <v>47113</v>
      </c>
      <c r="L256">
        <v>8.2799999999999994</v>
      </c>
      <c r="M256">
        <v>23</v>
      </c>
      <c r="N256">
        <v>0</v>
      </c>
      <c r="O256">
        <v>23</v>
      </c>
      <c r="P256">
        <v>0</v>
      </c>
    </row>
    <row r="257" spans="1:16" x14ac:dyDescent="0.25">
      <c r="A257">
        <v>12200000696005</v>
      </c>
      <c r="B257" t="str">
        <f>"1220000069"</f>
        <v>1220000069</v>
      </c>
      <c r="C257" t="s">
        <v>1875</v>
      </c>
      <c r="D257" t="str">
        <f>"6005"</f>
        <v>6005</v>
      </c>
      <c r="E257" t="s">
        <v>1749</v>
      </c>
      <c r="F257" t="s">
        <v>8</v>
      </c>
      <c r="G257" t="s">
        <v>16221</v>
      </c>
      <c r="H257" t="s">
        <v>47054</v>
      </c>
      <c r="I257" t="s">
        <v>47111</v>
      </c>
      <c r="J257" t="s">
        <v>47112</v>
      </c>
      <c r="K257" t="s">
        <v>47113</v>
      </c>
      <c r="L257">
        <v>8.2799999999999994</v>
      </c>
      <c r="M257">
        <v>23</v>
      </c>
      <c r="N257">
        <v>0</v>
      </c>
      <c r="O257">
        <v>23</v>
      </c>
      <c r="P257">
        <v>0</v>
      </c>
    </row>
    <row r="258" spans="1:16" x14ac:dyDescent="0.25">
      <c r="A258">
        <v>12200000701001</v>
      </c>
      <c r="B258" t="str">
        <f>"1220000070"</f>
        <v>1220000070</v>
      </c>
      <c r="C258" t="s">
        <v>1876</v>
      </c>
      <c r="D258" t="str">
        <f>"1001"</f>
        <v>1001</v>
      </c>
      <c r="E258" t="s">
        <v>42</v>
      </c>
      <c r="F258" t="s">
        <v>8</v>
      </c>
      <c r="G258" t="s">
        <v>16221</v>
      </c>
      <c r="H258" t="s">
        <v>47054</v>
      </c>
      <c r="I258" t="s">
        <v>47111</v>
      </c>
      <c r="J258" t="s">
        <v>47112</v>
      </c>
      <c r="K258" t="s">
        <v>47113</v>
      </c>
      <c r="L258">
        <v>8.8699999999999992</v>
      </c>
      <c r="M258">
        <v>23</v>
      </c>
      <c r="N258">
        <v>0</v>
      </c>
      <c r="O258">
        <v>23</v>
      </c>
      <c r="P258">
        <v>0</v>
      </c>
    </row>
    <row r="259" spans="1:16" x14ac:dyDescent="0.25">
      <c r="A259">
        <v>12200000701700</v>
      </c>
      <c r="B259" t="str">
        <f>"1220000070"</f>
        <v>1220000070</v>
      </c>
      <c r="C259" t="s">
        <v>1876</v>
      </c>
      <c r="D259" t="str">
        <f>"1700"</f>
        <v>1700</v>
      </c>
      <c r="E259" t="s">
        <v>60</v>
      </c>
      <c r="F259" t="s">
        <v>8</v>
      </c>
      <c r="G259" t="s">
        <v>16221</v>
      </c>
      <c r="H259" t="s">
        <v>47054</v>
      </c>
      <c r="I259" t="s">
        <v>47111</v>
      </c>
      <c r="J259" t="s">
        <v>47112</v>
      </c>
      <c r="K259" t="s">
        <v>47113</v>
      </c>
      <c r="L259">
        <v>8.8699999999999992</v>
      </c>
      <c r="M259">
        <v>23</v>
      </c>
      <c r="N259">
        <v>0</v>
      </c>
      <c r="O259">
        <v>23</v>
      </c>
      <c r="P259">
        <v>0</v>
      </c>
    </row>
    <row r="260" spans="1:16" x14ac:dyDescent="0.25">
      <c r="A260">
        <v>12200000704101</v>
      </c>
      <c r="B260" t="str">
        <f>"1220000070"</f>
        <v>1220000070</v>
      </c>
      <c r="C260" t="s">
        <v>1876</v>
      </c>
      <c r="D260" t="str">
        <f>"4101"</f>
        <v>4101</v>
      </c>
      <c r="E260" t="s">
        <v>43</v>
      </c>
      <c r="F260" t="s">
        <v>8</v>
      </c>
      <c r="G260" t="s">
        <v>16221</v>
      </c>
      <c r="H260" t="s">
        <v>47054</v>
      </c>
      <c r="I260" t="s">
        <v>47111</v>
      </c>
      <c r="J260" t="s">
        <v>47112</v>
      </c>
      <c r="K260" t="s">
        <v>47113</v>
      </c>
      <c r="L260">
        <v>8.8699999999999992</v>
      </c>
      <c r="M260">
        <v>23</v>
      </c>
      <c r="N260">
        <v>0</v>
      </c>
      <c r="O260">
        <v>23</v>
      </c>
      <c r="P260">
        <v>0</v>
      </c>
    </row>
    <row r="261" spans="1:16" x14ac:dyDescent="0.25">
      <c r="A261">
        <v>12200000791501</v>
      </c>
      <c r="B261" t="str">
        <f>"1220000079"</f>
        <v>1220000079</v>
      </c>
      <c r="C261" t="s">
        <v>1850</v>
      </c>
      <c r="D261" t="str">
        <f>"1501"</f>
        <v>1501</v>
      </c>
      <c r="E261" t="s">
        <v>46</v>
      </c>
      <c r="F261" t="s">
        <v>8</v>
      </c>
      <c r="G261" t="s">
        <v>16221</v>
      </c>
      <c r="H261" t="s">
        <v>47054</v>
      </c>
      <c r="I261" t="s">
        <v>47120</v>
      </c>
      <c r="J261" t="s">
        <v>47121</v>
      </c>
      <c r="K261" t="s">
        <v>47113</v>
      </c>
      <c r="L261">
        <v>9.15</v>
      </c>
      <c r="M261">
        <v>23</v>
      </c>
      <c r="N261">
        <v>0</v>
      </c>
      <c r="O261">
        <v>23</v>
      </c>
      <c r="P261">
        <v>0</v>
      </c>
    </row>
    <row r="262" spans="1:16" x14ac:dyDescent="0.25">
      <c r="A262">
        <v>12200000931501</v>
      </c>
      <c r="B262" t="str">
        <f>"1220000093"</f>
        <v>1220000093</v>
      </c>
      <c r="C262" t="s">
        <v>1877</v>
      </c>
      <c r="D262" t="str">
        <f>"1501"</f>
        <v>1501</v>
      </c>
      <c r="E262" t="s">
        <v>46</v>
      </c>
      <c r="F262" t="s">
        <v>56</v>
      </c>
      <c r="G262" t="s">
        <v>16221</v>
      </c>
      <c r="H262" t="s">
        <v>47054</v>
      </c>
      <c r="I262" t="s">
        <v>47111</v>
      </c>
      <c r="J262" t="s">
        <v>47112</v>
      </c>
      <c r="K262" t="s">
        <v>47113</v>
      </c>
      <c r="L262">
        <v>9.27</v>
      </c>
      <c r="M262">
        <v>24</v>
      </c>
      <c r="N262">
        <v>0</v>
      </c>
      <c r="O262">
        <v>24</v>
      </c>
      <c r="P262">
        <v>0</v>
      </c>
    </row>
    <row r="263" spans="1:16" x14ac:dyDescent="0.25">
      <c r="A263">
        <v>12200000961001</v>
      </c>
      <c r="B263" t="str">
        <f t="shared" ref="B263:B271" si="3">"1220000096"</f>
        <v>1220000096</v>
      </c>
      <c r="C263" t="s">
        <v>1877</v>
      </c>
      <c r="D263" t="str">
        <f>"1001"</f>
        <v>1001</v>
      </c>
      <c r="E263" t="s">
        <v>42</v>
      </c>
      <c r="F263" t="s">
        <v>52</v>
      </c>
      <c r="G263" t="s">
        <v>16221</v>
      </c>
      <c r="H263" t="s">
        <v>47054</v>
      </c>
      <c r="I263" t="s">
        <v>47111</v>
      </c>
      <c r="J263" t="s">
        <v>47112</v>
      </c>
      <c r="K263" t="s">
        <v>47113</v>
      </c>
      <c r="L263">
        <v>11.34</v>
      </c>
      <c r="M263">
        <v>29</v>
      </c>
      <c r="N263">
        <v>0</v>
      </c>
      <c r="O263">
        <v>29</v>
      </c>
      <c r="P263">
        <v>0</v>
      </c>
    </row>
    <row r="264" spans="1:16" x14ac:dyDescent="0.25">
      <c r="A264">
        <v>12200000961202</v>
      </c>
      <c r="B264" t="str">
        <f t="shared" si="3"/>
        <v>1220000096</v>
      </c>
      <c r="C264" t="s">
        <v>1877</v>
      </c>
      <c r="D264" t="str">
        <f>"1202"</f>
        <v>1202</v>
      </c>
      <c r="E264" t="s">
        <v>1834</v>
      </c>
      <c r="F264" t="s">
        <v>52</v>
      </c>
      <c r="G264" t="s">
        <v>16221</v>
      </c>
      <c r="H264" t="s">
        <v>47054</v>
      </c>
      <c r="I264" t="s">
        <v>47111</v>
      </c>
      <c r="J264" t="s">
        <v>47112</v>
      </c>
      <c r="K264" t="s">
        <v>47113</v>
      </c>
      <c r="L264">
        <v>11.34</v>
      </c>
      <c r="M264">
        <v>29</v>
      </c>
      <c r="N264">
        <v>0</v>
      </c>
      <c r="O264">
        <v>29</v>
      </c>
      <c r="P264">
        <v>0</v>
      </c>
    </row>
    <row r="265" spans="1:16" x14ac:dyDescent="0.25">
      <c r="A265">
        <v>12200000961700</v>
      </c>
      <c r="B265" t="str">
        <f t="shared" si="3"/>
        <v>1220000096</v>
      </c>
      <c r="C265" t="s">
        <v>1877</v>
      </c>
      <c r="D265" t="str">
        <f>"1700"</f>
        <v>1700</v>
      </c>
      <c r="E265" t="s">
        <v>60</v>
      </c>
      <c r="F265" t="s">
        <v>52</v>
      </c>
      <c r="G265" t="s">
        <v>16221</v>
      </c>
      <c r="H265" t="s">
        <v>47054</v>
      </c>
      <c r="I265" t="s">
        <v>47111</v>
      </c>
      <c r="J265" t="s">
        <v>47112</v>
      </c>
      <c r="K265" t="s">
        <v>47113</v>
      </c>
      <c r="L265">
        <v>11.34</v>
      </c>
      <c r="M265">
        <v>29</v>
      </c>
      <c r="N265">
        <v>0</v>
      </c>
      <c r="O265">
        <v>29</v>
      </c>
      <c r="P265">
        <v>0</v>
      </c>
    </row>
    <row r="266" spans="1:16" x14ac:dyDescent="0.25">
      <c r="A266">
        <v>12200000961701</v>
      </c>
      <c r="B266" t="str">
        <f t="shared" si="3"/>
        <v>1220000096</v>
      </c>
      <c r="C266" t="s">
        <v>1877</v>
      </c>
      <c r="D266" t="str">
        <f>"1701"</f>
        <v>1701</v>
      </c>
      <c r="E266" t="s">
        <v>55</v>
      </c>
      <c r="F266" t="s">
        <v>52</v>
      </c>
      <c r="G266" t="s">
        <v>16221</v>
      </c>
      <c r="H266" t="s">
        <v>47054</v>
      </c>
      <c r="I266" t="s">
        <v>47111</v>
      </c>
      <c r="J266" t="s">
        <v>47112</v>
      </c>
      <c r="K266" t="s">
        <v>47113</v>
      </c>
      <c r="L266">
        <v>11.81</v>
      </c>
      <c r="M266">
        <v>29</v>
      </c>
      <c r="N266">
        <v>0</v>
      </c>
      <c r="O266">
        <v>29</v>
      </c>
      <c r="P266">
        <v>0</v>
      </c>
    </row>
    <row r="267" spans="1:16" x14ac:dyDescent="0.25">
      <c r="A267">
        <v>12200000963152</v>
      </c>
      <c r="B267" t="str">
        <f t="shared" si="3"/>
        <v>1220000096</v>
      </c>
      <c r="C267" t="s">
        <v>1877</v>
      </c>
      <c r="D267" t="str">
        <f>"3152"</f>
        <v>3152</v>
      </c>
      <c r="E267" t="s">
        <v>1840</v>
      </c>
      <c r="F267" t="s">
        <v>56</v>
      </c>
      <c r="G267" t="s">
        <v>16221</v>
      </c>
      <c r="H267" t="s">
        <v>47054</v>
      </c>
      <c r="I267" t="s">
        <v>47111</v>
      </c>
      <c r="J267" t="s">
        <v>47112</v>
      </c>
      <c r="K267" t="s">
        <v>47113</v>
      </c>
      <c r="L267">
        <v>11.81</v>
      </c>
      <c r="M267">
        <v>29</v>
      </c>
      <c r="N267">
        <v>0</v>
      </c>
      <c r="O267">
        <v>29</v>
      </c>
      <c r="P267">
        <v>0</v>
      </c>
    </row>
    <row r="268" spans="1:16" x14ac:dyDescent="0.25">
      <c r="A268">
        <v>12200000964101</v>
      </c>
      <c r="B268" t="str">
        <f t="shared" si="3"/>
        <v>1220000096</v>
      </c>
      <c r="C268" t="s">
        <v>1877</v>
      </c>
      <c r="D268" t="str">
        <f>"4101"</f>
        <v>4101</v>
      </c>
      <c r="E268" t="s">
        <v>43</v>
      </c>
      <c r="F268" t="s">
        <v>56</v>
      </c>
      <c r="G268" t="s">
        <v>16221</v>
      </c>
      <c r="H268" t="s">
        <v>47054</v>
      </c>
      <c r="I268" t="s">
        <v>47111</v>
      </c>
      <c r="J268" t="s">
        <v>47112</v>
      </c>
      <c r="K268" t="s">
        <v>47113</v>
      </c>
      <c r="L268">
        <v>11.42</v>
      </c>
      <c r="M268">
        <v>29</v>
      </c>
      <c r="N268">
        <v>0</v>
      </c>
      <c r="O268">
        <v>29</v>
      </c>
      <c r="P268">
        <v>0</v>
      </c>
    </row>
    <row r="269" spans="1:16" x14ac:dyDescent="0.25">
      <c r="A269">
        <v>12200000965002</v>
      </c>
      <c r="B269" t="str">
        <f t="shared" si="3"/>
        <v>1220000096</v>
      </c>
      <c r="C269" t="s">
        <v>1877</v>
      </c>
      <c r="D269" t="str">
        <f>"5002"</f>
        <v>5002</v>
      </c>
      <c r="E269" t="s">
        <v>1878</v>
      </c>
      <c r="F269" t="s">
        <v>52</v>
      </c>
      <c r="G269" t="s">
        <v>16221</v>
      </c>
      <c r="H269" t="s">
        <v>47054</v>
      </c>
      <c r="I269" t="s">
        <v>47111</v>
      </c>
      <c r="J269" t="s">
        <v>47112</v>
      </c>
      <c r="K269" t="s">
        <v>47113</v>
      </c>
      <c r="L269">
        <v>11.42</v>
      </c>
      <c r="M269">
        <v>29</v>
      </c>
      <c r="N269">
        <v>0</v>
      </c>
      <c r="O269">
        <v>29</v>
      </c>
      <c r="P269">
        <v>0</v>
      </c>
    </row>
    <row r="270" spans="1:16" x14ac:dyDescent="0.25">
      <c r="A270">
        <v>12200000966005</v>
      </c>
      <c r="B270" t="str">
        <f t="shared" si="3"/>
        <v>1220000096</v>
      </c>
      <c r="C270" t="s">
        <v>1877</v>
      </c>
      <c r="D270" t="str">
        <f>"6005"</f>
        <v>6005</v>
      </c>
      <c r="E270" t="s">
        <v>1749</v>
      </c>
      <c r="F270" t="s">
        <v>56</v>
      </c>
      <c r="G270" t="s">
        <v>16221</v>
      </c>
      <c r="H270" t="s">
        <v>47054</v>
      </c>
      <c r="I270" t="s">
        <v>47111</v>
      </c>
      <c r="J270" t="s">
        <v>47112</v>
      </c>
      <c r="K270" t="s">
        <v>47113</v>
      </c>
      <c r="L270">
        <v>11.42</v>
      </c>
      <c r="M270">
        <v>29</v>
      </c>
      <c r="N270">
        <v>0</v>
      </c>
      <c r="O270">
        <v>29</v>
      </c>
      <c r="P270">
        <v>0</v>
      </c>
    </row>
    <row r="271" spans="1:16" x14ac:dyDescent="0.25">
      <c r="A271">
        <v>12200000966010</v>
      </c>
      <c r="B271" t="str">
        <f t="shared" si="3"/>
        <v>1220000096</v>
      </c>
      <c r="C271" t="s">
        <v>1877</v>
      </c>
      <c r="D271" t="str">
        <f>"6010"</f>
        <v>6010</v>
      </c>
      <c r="E271" t="s">
        <v>49</v>
      </c>
      <c r="F271" t="s">
        <v>52</v>
      </c>
      <c r="G271" t="s">
        <v>16221</v>
      </c>
      <c r="H271" t="s">
        <v>47054</v>
      </c>
      <c r="I271" t="s">
        <v>47111</v>
      </c>
      <c r="J271" t="s">
        <v>47112</v>
      </c>
      <c r="K271" t="s">
        <v>47113</v>
      </c>
      <c r="L271">
        <v>11.34</v>
      </c>
      <c r="M271">
        <v>29</v>
      </c>
      <c r="N271">
        <v>0</v>
      </c>
      <c r="O271">
        <v>29</v>
      </c>
      <c r="P271">
        <v>0</v>
      </c>
    </row>
    <row r="272" spans="1:16" x14ac:dyDescent="0.25">
      <c r="A272">
        <v>12200000971701</v>
      </c>
      <c r="B272" t="str">
        <f t="shared" ref="B272:B277" si="4">"1220000097"</f>
        <v>1220000097</v>
      </c>
      <c r="C272" t="s">
        <v>1877</v>
      </c>
      <c r="D272" t="str">
        <f>"1701"</f>
        <v>1701</v>
      </c>
      <c r="E272" t="s">
        <v>55</v>
      </c>
      <c r="F272" t="s">
        <v>56</v>
      </c>
      <c r="G272" t="s">
        <v>16221</v>
      </c>
      <c r="H272" t="s">
        <v>47054</v>
      </c>
      <c r="I272" t="s">
        <v>47111</v>
      </c>
      <c r="J272" t="s">
        <v>47112</v>
      </c>
      <c r="K272" t="s">
        <v>47113</v>
      </c>
      <c r="L272">
        <v>12.64</v>
      </c>
      <c r="M272">
        <v>29</v>
      </c>
      <c r="N272">
        <v>0</v>
      </c>
      <c r="O272">
        <v>29</v>
      </c>
      <c r="P272">
        <v>0</v>
      </c>
    </row>
    <row r="273" spans="1:16" x14ac:dyDescent="0.25">
      <c r="A273">
        <v>12200000973304</v>
      </c>
      <c r="B273" t="str">
        <f t="shared" si="4"/>
        <v>1220000097</v>
      </c>
      <c r="C273" t="s">
        <v>1877</v>
      </c>
      <c r="D273" t="str">
        <f>"3304"</f>
        <v>3304</v>
      </c>
      <c r="E273" t="s">
        <v>1879</v>
      </c>
      <c r="F273" t="s">
        <v>56</v>
      </c>
      <c r="G273" t="s">
        <v>16221</v>
      </c>
      <c r="H273" t="s">
        <v>47054</v>
      </c>
      <c r="I273" t="s">
        <v>47111</v>
      </c>
      <c r="J273" t="s">
        <v>47112</v>
      </c>
      <c r="K273" t="s">
        <v>47113</v>
      </c>
      <c r="L273">
        <v>12.64</v>
      </c>
      <c r="M273">
        <v>29</v>
      </c>
      <c r="N273">
        <v>0</v>
      </c>
      <c r="O273">
        <v>29</v>
      </c>
      <c r="P273">
        <v>0</v>
      </c>
    </row>
    <row r="274" spans="1:16" x14ac:dyDescent="0.25">
      <c r="A274">
        <v>12200000973306</v>
      </c>
      <c r="B274" t="str">
        <f t="shared" si="4"/>
        <v>1220000097</v>
      </c>
      <c r="C274" t="s">
        <v>1877</v>
      </c>
      <c r="D274" t="str">
        <f>"3306"</f>
        <v>3306</v>
      </c>
      <c r="E274" t="s">
        <v>1880</v>
      </c>
      <c r="F274" t="s">
        <v>56</v>
      </c>
      <c r="G274" t="s">
        <v>16221</v>
      </c>
      <c r="H274" t="s">
        <v>47054</v>
      </c>
      <c r="I274" t="s">
        <v>47111</v>
      </c>
      <c r="J274" t="s">
        <v>47112</v>
      </c>
      <c r="K274" t="s">
        <v>47113</v>
      </c>
      <c r="L274">
        <v>12.64</v>
      </c>
      <c r="M274">
        <v>29</v>
      </c>
      <c r="N274">
        <v>0</v>
      </c>
      <c r="O274">
        <v>29</v>
      </c>
      <c r="P274">
        <v>0</v>
      </c>
    </row>
    <row r="275" spans="1:16" x14ac:dyDescent="0.25">
      <c r="A275">
        <v>12200000974501</v>
      </c>
      <c r="B275" t="str">
        <f t="shared" si="4"/>
        <v>1220000097</v>
      </c>
      <c r="C275" t="s">
        <v>1877</v>
      </c>
      <c r="D275" t="str">
        <f>"4501"</f>
        <v>4501</v>
      </c>
      <c r="E275" t="s">
        <v>1881</v>
      </c>
      <c r="F275" t="s">
        <v>56</v>
      </c>
      <c r="G275" t="s">
        <v>16221</v>
      </c>
      <c r="H275" t="s">
        <v>47054</v>
      </c>
      <c r="I275" t="s">
        <v>47111</v>
      </c>
      <c r="J275" t="s">
        <v>47112</v>
      </c>
      <c r="K275" t="s">
        <v>47113</v>
      </c>
      <c r="L275">
        <v>12.64</v>
      </c>
      <c r="M275">
        <v>29</v>
      </c>
      <c r="N275">
        <v>0</v>
      </c>
      <c r="O275">
        <v>29</v>
      </c>
      <c r="P275">
        <v>0</v>
      </c>
    </row>
    <row r="276" spans="1:16" x14ac:dyDescent="0.25">
      <c r="A276">
        <v>12200000976603</v>
      </c>
      <c r="B276" t="str">
        <f t="shared" si="4"/>
        <v>1220000097</v>
      </c>
      <c r="C276" t="s">
        <v>1877</v>
      </c>
      <c r="D276" t="str">
        <f>"6603"</f>
        <v>6603</v>
      </c>
      <c r="E276" t="s">
        <v>1882</v>
      </c>
      <c r="F276" t="s">
        <v>56</v>
      </c>
      <c r="G276" t="s">
        <v>16221</v>
      </c>
      <c r="H276" t="s">
        <v>47054</v>
      </c>
      <c r="I276" t="s">
        <v>47111</v>
      </c>
      <c r="J276" t="s">
        <v>47112</v>
      </c>
      <c r="K276" t="s">
        <v>47113</v>
      </c>
      <c r="L276">
        <v>11.34</v>
      </c>
      <c r="M276">
        <v>29</v>
      </c>
      <c r="N276">
        <v>0</v>
      </c>
      <c r="O276">
        <v>29</v>
      </c>
      <c r="P276">
        <v>0</v>
      </c>
    </row>
    <row r="277" spans="1:16" x14ac:dyDescent="0.25">
      <c r="A277">
        <v>12200000977303</v>
      </c>
      <c r="B277" t="str">
        <f t="shared" si="4"/>
        <v>1220000097</v>
      </c>
      <c r="C277" t="s">
        <v>1877</v>
      </c>
      <c r="D277" t="str">
        <f>"7303"</f>
        <v>7303</v>
      </c>
      <c r="E277" t="s">
        <v>1883</v>
      </c>
      <c r="F277" t="s">
        <v>56</v>
      </c>
      <c r="G277" t="s">
        <v>16221</v>
      </c>
      <c r="H277" t="s">
        <v>47054</v>
      </c>
      <c r="I277" t="s">
        <v>47111</v>
      </c>
      <c r="J277" t="s">
        <v>47112</v>
      </c>
      <c r="K277" t="s">
        <v>47113</v>
      </c>
      <c r="L277">
        <v>11.34</v>
      </c>
      <c r="M277">
        <v>29</v>
      </c>
      <c r="N277">
        <v>0</v>
      </c>
      <c r="O277">
        <v>29</v>
      </c>
      <c r="P277">
        <v>0</v>
      </c>
    </row>
    <row r="278" spans="1:16" x14ac:dyDescent="0.25">
      <c r="A278">
        <v>12200001022500</v>
      </c>
      <c r="B278" t="str">
        <f>"1220000102"</f>
        <v>1220000102</v>
      </c>
      <c r="C278" t="s">
        <v>1884</v>
      </c>
      <c r="D278" t="str">
        <f>"2500"</f>
        <v>2500</v>
      </c>
      <c r="E278" t="s">
        <v>1747</v>
      </c>
      <c r="F278" t="s">
        <v>52</v>
      </c>
      <c r="G278" t="s">
        <v>16221</v>
      </c>
      <c r="H278" t="s">
        <v>47054</v>
      </c>
      <c r="I278" t="s">
        <v>47111</v>
      </c>
      <c r="J278" t="s">
        <v>47112</v>
      </c>
      <c r="K278" t="s">
        <v>47113</v>
      </c>
      <c r="L278">
        <v>11.05</v>
      </c>
      <c r="M278">
        <v>27</v>
      </c>
      <c r="N278">
        <v>0</v>
      </c>
      <c r="O278">
        <v>27</v>
      </c>
      <c r="P278">
        <v>0</v>
      </c>
    </row>
    <row r="279" spans="1:16" x14ac:dyDescent="0.25">
      <c r="A279">
        <v>12200001023190</v>
      </c>
      <c r="B279" t="str">
        <f>"1220000102"</f>
        <v>1220000102</v>
      </c>
      <c r="C279" t="s">
        <v>1884</v>
      </c>
      <c r="D279" t="str">
        <f>"3190"</f>
        <v>3190</v>
      </c>
      <c r="E279" t="s">
        <v>1748</v>
      </c>
      <c r="F279" t="s">
        <v>52</v>
      </c>
      <c r="G279" t="s">
        <v>16221</v>
      </c>
      <c r="H279" t="s">
        <v>47054</v>
      </c>
      <c r="I279" t="s">
        <v>47111</v>
      </c>
      <c r="J279" t="s">
        <v>47112</v>
      </c>
      <c r="K279" t="s">
        <v>47113</v>
      </c>
      <c r="L279">
        <v>11.05</v>
      </c>
      <c r="M279">
        <v>27</v>
      </c>
      <c r="N279">
        <v>0</v>
      </c>
      <c r="O279">
        <v>27</v>
      </c>
      <c r="P279">
        <v>0</v>
      </c>
    </row>
    <row r="280" spans="1:16" x14ac:dyDescent="0.25">
      <c r="A280">
        <v>12200001025002</v>
      </c>
      <c r="B280" t="str">
        <f>"1220000102"</f>
        <v>1220000102</v>
      </c>
      <c r="C280" t="s">
        <v>1884</v>
      </c>
      <c r="D280" t="str">
        <f>"5002"</f>
        <v>5002</v>
      </c>
      <c r="E280" t="s">
        <v>1878</v>
      </c>
      <c r="F280" t="s">
        <v>52</v>
      </c>
      <c r="G280" t="s">
        <v>16221</v>
      </c>
      <c r="H280" t="s">
        <v>47054</v>
      </c>
      <c r="I280" t="s">
        <v>47111</v>
      </c>
      <c r="J280" t="s">
        <v>47112</v>
      </c>
      <c r="K280" t="s">
        <v>47113</v>
      </c>
      <c r="L280">
        <v>11.05</v>
      </c>
      <c r="M280">
        <v>27</v>
      </c>
      <c r="N280">
        <v>0</v>
      </c>
      <c r="O280">
        <v>27</v>
      </c>
      <c r="P280">
        <v>0</v>
      </c>
    </row>
    <row r="281" spans="1:16" x14ac:dyDescent="0.25">
      <c r="A281">
        <v>12200001051001</v>
      </c>
      <c r="B281" t="str">
        <f>"1220000105"</f>
        <v>1220000105</v>
      </c>
      <c r="C281" t="s">
        <v>1885</v>
      </c>
      <c r="D281" t="str">
        <f>"1001"</f>
        <v>1001</v>
      </c>
      <c r="E281" t="s">
        <v>42</v>
      </c>
      <c r="F281" t="s">
        <v>52</v>
      </c>
      <c r="G281" t="s">
        <v>16221</v>
      </c>
      <c r="H281" t="s">
        <v>47054</v>
      </c>
      <c r="I281" t="s">
        <v>47111</v>
      </c>
      <c r="J281" t="s">
        <v>47112</v>
      </c>
      <c r="K281" t="s">
        <v>47113</v>
      </c>
      <c r="L281">
        <v>10.96</v>
      </c>
      <c r="M281">
        <v>27</v>
      </c>
      <c r="N281">
        <v>0</v>
      </c>
      <c r="O281">
        <v>27</v>
      </c>
      <c r="P281">
        <v>0</v>
      </c>
    </row>
    <row r="282" spans="1:16" x14ac:dyDescent="0.25">
      <c r="A282">
        <v>12200001051700</v>
      </c>
      <c r="B282" t="str">
        <f>"1220000105"</f>
        <v>1220000105</v>
      </c>
      <c r="C282" t="s">
        <v>1885</v>
      </c>
      <c r="D282" t="str">
        <f>"1700"</f>
        <v>1700</v>
      </c>
      <c r="E282" t="s">
        <v>60</v>
      </c>
      <c r="F282" t="s">
        <v>52</v>
      </c>
      <c r="G282" t="s">
        <v>16221</v>
      </c>
      <c r="H282" t="s">
        <v>47054</v>
      </c>
      <c r="I282" t="s">
        <v>47111</v>
      </c>
      <c r="J282" t="s">
        <v>47112</v>
      </c>
      <c r="K282" t="s">
        <v>47113</v>
      </c>
      <c r="L282">
        <v>10.96</v>
      </c>
      <c r="M282">
        <v>27</v>
      </c>
      <c r="N282">
        <v>0</v>
      </c>
      <c r="O282">
        <v>27</v>
      </c>
      <c r="P282">
        <v>0</v>
      </c>
    </row>
    <row r="283" spans="1:16" x14ac:dyDescent="0.25">
      <c r="A283">
        <v>12200001052000</v>
      </c>
      <c r="B283" t="str">
        <f>"1220000105"</f>
        <v>1220000105</v>
      </c>
      <c r="C283" t="s">
        <v>1885</v>
      </c>
      <c r="D283" t="str">
        <f>"2000"</f>
        <v>2000</v>
      </c>
      <c r="E283" t="s">
        <v>248</v>
      </c>
      <c r="F283" t="s">
        <v>52</v>
      </c>
      <c r="G283" t="s">
        <v>16221</v>
      </c>
      <c r="H283" t="s">
        <v>47054</v>
      </c>
      <c r="I283" t="s">
        <v>47111</v>
      </c>
      <c r="J283" t="s">
        <v>47112</v>
      </c>
      <c r="K283" t="s">
        <v>47113</v>
      </c>
      <c r="L283">
        <v>10.96</v>
      </c>
      <c r="M283">
        <v>27</v>
      </c>
      <c r="N283">
        <v>0</v>
      </c>
      <c r="O283">
        <v>27</v>
      </c>
      <c r="P283">
        <v>0</v>
      </c>
    </row>
    <row r="284" spans="1:16" x14ac:dyDescent="0.25">
      <c r="A284">
        <v>12200001061202</v>
      </c>
      <c r="B284" t="str">
        <f>"1220000106"</f>
        <v>1220000106</v>
      </c>
      <c r="C284" t="s">
        <v>1886</v>
      </c>
      <c r="D284" t="str">
        <f>"1202"</f>
        <v>1202</v>
      </c>
      <c r="E284" t="s">
        <v>1834</v>
      </c>
      <c r="F284" t="s">
        <v>56</v>
      </c>
      <c r="G284" t="s">
        <v>16221</v>
      </c>
      <c r="H284" t="s">
        <v>47054</v>
      </c>
      <c r="I284" t="s">
        <v>47111</v>
      </c>
      <c r="J284" t="s">
        <v>47112</v>
      </c>
      <c r="K284" t="s">
        <v>47113</v>
      </c>
      <c r="L284">
        <v>11.55</v>
      </c>
      <c r="M284">
        <v>29</v>
      </c>
      <c r="N284">
        <v>0</v>
      </c>
      <c r="O284">
        <v>29</v>
      </c>
      <c r="P284">
        <v>0</v>
      </c>
    </row>
    <row r="285" spans="1:16" x14ac:dyDescent="0.25">
      <c r="A285">
        <v>12200001073190</v>
      </c>
      <c r="B285" t="str">
        <f>"1220000107"</f>
        <v>1220000107</v>
      </c>
      <c r="C285" t="s">
        <v>1887</v>
      </c>
      <c r="D285" t="str">
        <f>"3190"</f>
        <v>3190</v>
      </c>
      <c r="E285" t="s">
        <v>1748</v>
      </c>
      <c r="F285" t="s">
        <v>56</v>
      </c>
      <c r="G285" t="s">
        <v>16221</v>
      </c>
      <c r="H285" t="s">
        <v>47054</v>
      </c>
      <c r="I285" t="s">
        <v>47111</v>
      </c>
      <c r="J285" t="s">
        <v>47112</v>
      </c>
      <c r="K285" t="s">
        <v>47113</v>
      </c>
      <c r="L285">
        <v>11.55</v>
      </c>
      <c r="M285">
        <v>29</v>
      </c>
      <c r="N285">
        <v>0</v>
      </c>
      <c r="O285">
        <v>29</v>
      </c>
      <c r="P285">
        <v>0</v>
      </c>
    </row>
    <row r="286" spans="1:16" x14ac:dyDescent="0.25">
      <c r="A286">
        <v>12200001082500</v>
      </c>
      <c r="B286" t="str">
        <f>"1220000108"</f>
        <v>1220000108</v>
      </c>
      <c r="C286" t="s">
        <v>1888</v>
      </c>
      <c r="D286" t="str">
        <f>"2500"</f>
        <v>2500</v>
      </c>
      <c r="E286" t="s">
        <v>1747</v>
      </c>
      <c r="F286" t="s">
        <v>56</v>
      </c>
      <c r="G286" t="s">
        <v>16221</v>
      </c>
      <c r="H286" t="s">
        <v>47054</v>
      </c>
      <c r="I286" t="s">
        <v>47111</v>
      </c>
      <c r="J286" t="s">
        <v>47112</v>
      </c>
      <c r="K286" t="s">
        <v>47113</v>
      </c>
      <c r="L286">
        <v>11.84</v>
      </c>
      <c r="M286">
        <v>29</v>
      </c>
      <c r="N286">
        <v>0</v>
      </c>
      <c r="O286">
        <v>29</v>
      </c>
      <c r="P286">
        <v>0</v>
      </c>
    </row>
    <row r="287" spans="1:16" x14ac:dyDescent="0.25">
      <c r="A287">
        <v>12200001091701</v>
      </c>
      <c r="B287" t="str">
        <f>"1220000109"</f>
        <v>1220000109</v>
      </c>
      <c r="C287" t="s">
        <v>1889</v>
      </c>
      <c r="D287" t="str">
        <f>"1701"</f>
        <v>1701</v>
      </c>
      <c r="E287" t="s">
        <v>55</v>
      </c>
      <c r="F287" t="s">
        <v>56</v>
      </c>
      <c r="G287" t="s">
        <v>16221</v>
      </c>
      <c r="H287" t="s">
        <v>47054</v>
      </c>
      <c r="I287" t="s">
        <v>47111</v>
      </c>
      <c r="J287" t="s">
        <v>47112</v>
      </c>
      <c r="K287" t="s">
        <v>47113</v>
      </c>
      <c r="L287">
        <v>11.99</v>
      </c>
      <c r="M287">
        <v>29</v>
      </c>
      <c r="N287">
        <v>0</v>
      </c>
      <c r="O287">
        <v>29</v>
      </c>
      <c r="P287">
        <v>0</v>
      </c>
    </row>
    <row r="288" spans="1:16" x14ac:dyDescent="0.25">
      <c r="A288">
        <v>12200001101700</v>
      </c>
      <c r="B288" t="str">
        <f>"1220000110"</f>
        <v>1220000110</v>
      </c>
      <c r="C288" t="s">
        <v>1890</v>
      </c>
      <c r="D288" t="str">
        <f>"1700"</f>
        <v>1700</v>
      </c>
      <c r="E288" t="s">
        <v>60</v>
      </c>
      <c r="F288" t="s">
        <v>56</v>
      </c>
      <c r="G288" t="s">
        <v>16221</v>
      </c>
      <c r="H288" t="s">
        <v>47054</v>
      </c>
      <c r="I288" t="s">
        <v>47111</v>
      </c>
      <c r="J288" t="s">
        <v>47112</v>
      </c>
      <c r="K288" t="s">
        <v>47113</v>
      </c>
      <c r="L288">
        <v>11.84</v>
      </c>
      <c r="M288">
        <v>32</v>
      </c>
      <c r="N288">
        <v>0</v>
      </c>
      <c r="O288">
        <v>32</v>
      </c>
      <c r="P288">
        <v>0</v>
      </c>
    </row>
    <row r="289" spans="1:16" x14ac:dyDescent="0.25">
      <c r="A289">
        <v>12200001104101</v>
      </c>
      <c r="B289" t="str">
        <f>"1220000110"</f>
        <v>1220000110</v>
      </c>
      <c r="C289" t="s">
        <v>1890</v>
      </c>
      <c r="D289" t="str">
        <f>"4101"</f>
        <v>4101</v>
      </c>
      <c r="E289" t="s">
        <v>43</v>
      </c>
      <c r="F289" t="s">
        <v>56</v>
      </c>
      <c r="G289" t="s">
        <v>16221</v>
      </c>
      <c r="H289" t="s">
        <v>47054</v>
      </c>
      <c r="I289" t="s">
        <v>47111</v>
      </c>
      <c r="J289" t="s">
        <v>47112</v>
      </c>
      <c r="K289" t="s">
        <v>47113</v>
      </c>
      <c r="L289">
        <v>11.55</v>
      </c>
      <c r="M289">
        <v>29</v>
      </c>
      <c r="N289">
        <v>0</v>
      </c>
      <c r="O289">
        <v>29</v>
      </c>
      <c r="P289">
        <v>0</v>
      </c>
    </row>
    <row r="290" spans="1:16" x14ac:dyDescent="0.25">
      <c r="A290">
        <v>12200001111700</v>
      </c>
      <c r="B290" t="str">
        <f>"1220000111"</f>
        <v>1220000111</v>
      </c>
      <c r="C290" t="s">
        <v>1891</v>
      </c>
      <c r="D290" t="str">
        <f>"1700"</f>
        <v>1700</v>
      </c>
      <c r="E290" t="s">
        <v>60</v>
      </c>
      <c r="F290" t="s">
        <v>56</v>
      </c>
      <c r="G290" t="s">
        <v>16221</v>
      </c>
      <c r="H290" t="s">
        <v>47054</v>
      </c>
      <c r="I290" t="s">
        <v>47111</v>
      </c>
      <c r="J290" t="s">
        <v>47112</v>
      </c>
      <c r="K290" t="s">
        <v>47113</v>
      </c>
      <c r="L290">
        <v>10.93</v>
      </c>
      <c r="M290">
        <v>31</v>
      </c>
      <c r="N290">
        <v>0</v>
      </c>
      <c r="O290">
        <v>31</v>
      </c>
      <c r="P290">
        <v>0</v>
      </c>
    </row>
    <row r="291" spans="1:16" x14ac:dyDescent="0.25">
      <c r="A291">
        <v>12200001121001</v>
      </c>
      <c r="B291" t="str">
        <f>"1220000112"</f>
        <v>1220000112</v>
      </c>
      <c r="C291" t="s">
        <v>1892</v>
      </c>
      <c r="D291" t="str">
        <f>"1001"</f>
        <v>1001</v>
      </c>
      <c r="E291" t="s">
        <v>42</v>
      </c>
      <c r="F291" t="s">
        <v>56</v>
      </c>
      <c r="G291" t="s">
        <v>16221</v>
      </c>
      <c r="H291" t="s">
        <v>47054</v>
      </c>
      <c r="I291" t="s">
        <v>47111</v>
      </c>
      <c r="J291" t="s">
        <v>47112</v>
      </c>
      <c r="K291" t="s">
        <v>47113</v>
      </c>
      <c r="L291">
        <v>11.55</v>
      </c>
      <c r="M291">
        <v>29</v>
      </c>
      <c r="N291">
        <v>0</v>
      </c>
      <c r="O291">
        <v>29</v>
      </c>
      <c r="P291">
        <v>0</v>
      </c>
    </row>
    <row r="292" spans="1:16" x14ac:dyDescent="0.25">
      <c r="A292">
        <v>12200001136005</v>
      </c>
      <c r="B292" t="str">
        <f>"1220000113"</f>
        <v>1220000113</v>
      </c>
      <c r="C292" t="s">
        <v>1893</v>
      </c>
      <c r="D292" t="str">
        <f>"6005"</f>
        <v>6005</v>
      </c>
      <c r="E292" t="s">
        <v>1749</v>
      </c>
      <c r="F292" t="s">
        <v>56</v>
      </c>
      <c r="G292" t="s">
        <v>16221</v>
      </c>
      <c r="H292" t="s">
        <v>47054</v>
      </c>
      <c r="I292" t="s">
        <v>47111</v>
      </c>
      <c r="J292" t="s">
        <v>47112</v>
      </c>
      <c r="K292" t="s">
        <v>47113</v>
      </c>
      <c r="L292">
        <v>11.55</v>
      </c>
      <c r="M292">
        <v>29</v>
      </c>
      <c r="N292">
        <v>0</v>
      </c>
      <c r="O292">
        <v>29</v>
      </c>
      <c r="P292">
        <v>0</v>
      </c>
    </row>
    <row r="293" spans="1:16" x14ac:dyDescent="0.25">
      <c r="A293">
        <v>12200001181202</v>
      </c>
      <c r="B293" t="str">
        <f>"1220000118"</f>
        <v>1220000118</v>
      </c>
      <c r="C293" t="s">
        <v>1894</v>
      </c>
      <c r="D293" t="str">
        <f>"1202"</f>
        <v>1202</v>
      </c>
      <c r="E293" t="s">
        <v>1834</v>
      </c>
      <c r="F293" t="s">
        <v>56</v>
      </c>
      <c r="G293" t="s">
        <v>16221</v>
      </c>
      <c r="H293" t="s">
        <v>47054</v>
      </c>
      <c r="I293" t="s">
        <v>47111</v>
      </c>
      <c r="J293" t="s">
        <v>47112</v>
      </c>
      <c r="K293" t="s">
        <v>47113</v>
      </c>
      <c r="L293">
        <v>11.84</v>
      </c>
      <c r="M293">
        <v>29</v>
      </c>
      <c r="N293">
        <v>0</v>
      </c>
      <c r="O293">
        <v>29</v>
      </c>
      <c r="P293">
        <v>0</v>
      </c>
    </row>
    <row r="294" spans="1:16" x14ac:dyDescent="0.25">
      <c r="A294">
        <v>12200001203003</v>
      </c>
      <c r="B294" t="str">
        <f>"1220000120"</f>
        <v>1220000120</v>
      </c>
      <c r="C294" t="s">
        <v>1895</v>
      </c>
      <c r="D294" t="str">
        <f>"3003"</f>
        <v>3003</v>
      </c>
      <c r="E294" t="s">
        <v>1896</v>
      </c>
      <c r="F294" t="s">
        <v>56</v>
      </c>
      <c r="G294" t="s">
        <v>16221</v>
      </c>
      <c r="H294" t="s">
        <v>47054</v>
      </c>
      <c r="I294" t="s">
        <v>47111</v>
      </c>
      <c r="J294" t="s">
        <v>47112</v>
      </c>
      <c r="K294" t="s">
        <v>47113</v>
      </c>
      <c r="L294">
        <v>12.55</v>
      </c>
      <c r="M294">
        <v>31</v>
      </c>
      <c r="N294">
        <v>0</v>
      </c>
      <c r="O294">
        <v>31</v>
      </c>
      <c r="P294">
        <v>0</v>
      </c>
    </row>
    <row r="295" spans="1:16" x14ac:dyDescent="0.25">
      <c r="A295">
        <v>12200001443106</v>
      </c>
      <c r="B295" t="str">
        <f>"1220000144"</f>
        <v>1220000144</v>
      </c>
      <c r="C295" t="s">
        <v>1897</v>
      </c>
      <c r="D295" t="str">
        <f>"3106"</f>
        <v>3106</v>
      </c>
      <c r="E295" t="s">
        <v>230</v>
      </c>
      <c r="F295" t="s">
        <v>631</v>
      </c>
      <c r="G295" t="s">
        <v>16221</v>
      </c>
      <c r="H295" t="s">
        <v>47054</v>
      </c>
      <c r="I295" t="s">
        <v>47111</v>
      </c>
      <c r="J295" t="s">
        <v>47112</v>
      </c>
      <c r="K295" t="s">
        <v>47113</v>
      </c>
      <c r="L295">
        <v>13.05</v>
      </c>
      <c r="M295">
        <v>31</v>
      </c>
      <c r="N295">
        <v>0</v>
      </c>
      <c r="O295">
        <v>31</v>
      </c>
      <c r="P295">
        <v>0</v>
      </c>
    </row>
    <row r="296" spans="1:16" x14ac:dyDescent="0.25">
      <c r="A296">
        <v>12200001471001</v>
      </c>
      <c r="B296" t="str">
        <f>"1220000147"</f>
        <v>1220000147</v>
      </c>
      <c r="C296" t="s">
        <v>1898</v>
      </c>
      <c r="D296" t="str">
        <f>"1001"</f>
        <v>1001</v>
      </c>
      <c r="E296" t="s">
        <v>42</v>
      </c>
      <c r="F296" t="s">
        <v>8</v>
      </c>
      <c r="G296" t="s">
        <v>16221</v>
      </c>
      <c r="H296" t="s">
        <v>47054</v>
      </c>
      <c r="I296" t="s">
        <v>47114</v>
      </c>
      <c r="J296" t="s">
        <v>47115</v>
      </c>
      <c r="K296" t="s">
        <v>47113</v>
      </c>
      <c r="L296">
        <v>14.94</v>
      </c>
      <c r="M296">
        <v>33</v>
      </c>
      <c r="N296">
        <v>0</v>
      </c>
      <c r="O296">
        <v>33</v>
      </c>
      <c r="P296">
        <v>0</v>
      </c>
    </row>
    <row r="297" spans="1:16" x14ac:dyDescent="0.25">
      <c r="A297">
        <v>12200001471700</v>
      </c>
      <c r="B297" t="str">
        <f>"1220000147"</f>
        <v>1220000147</v>
      </c>
      <c r="C297" t="s">
        <v>1898</v>
      </c>
      <c r="D297" t="str">
        <f>"1700"</f>
        <v>1700</v>
      </c>
      <c r="E297" t="s">
        <v>60</v>
      </c>
      <c r="F297" t="s">
        <v>8</v>
      </c>
      <c r="G297" t="s">
        <v>16221</v>
      </c>
      <c r="H297" t="s">
        <v>47054</v>
      </c>
      <c r="I297" t="s">
        <v>47114</v>
      </c>
      <c r="J297" t="s">
        <v>47115</v>
      </c>
      <c r="K297" t="s">
        <v>47113</v>
      </c>
      <c r="L297">
        <v>13.42</v>
      </c>
      <c r="M297">
        <v>33</v>
      </c>
      <c r="N297">
        <v>0</v>
      </c>
      <c r="O297">
        <v>33</v>
      </c>
      <c r="P297">
        <v>0</v>
      </c>
    </row>
    <row r="298" spans="1:16" x14ac:dyDescent="0.25">
      <c r="A298">
        <v>12200001474201</v>
      </c>
      <c r="B298" t="str">
        <f>"1220000147"</f>
        <v>1220000147</v>
      </c>
      <c r="C298" t="s">
        <v>1898</v>
      </c>
      <c r="D298" t="str">
        <f>"4201"</f>
        <v>4201</v>
      </c>
      <c r="E298" t="s">
        <v>1855</v>
      </c>
      <c r="F298" t="s">
        <v>8</v>
      </c>
      <c r="G298" t="s">
        <v>16221</v>
      </c>
      <c r="H298" t="s">
        <v>47054</v>
      </c>
      <c r="I298" t="s">
        <v>47114</v>
      </c>
      <c r="J298" t="s">
        <v>47115</v>
      </c>
      <c r="K298" t="s">
        <v>47113</v>
      </c>
      <c r="L298">
        <v>14.94</v>
      </c>
      <c r="M298">
        <v>33</v>
      </c>
      <c r="N298">
        <v>0</v>
      </c>
      <c r="O298">
        <v>33</v>
      </c>
      <c r="P298">
        <v>0</v>
      </c>
    </row>
    <row r="299" spans="1:16" x14ac:dyDescent="0.25">
      <c r="A299">
        <v>12200001631001</v>
      </c>
      <c r="B299" t="str">
        <f>"1220000163"</f>
        <v>1220000163</v>
      </c>
      <c r="C299" t="s">
        <v>1899</v>
      </c>
      <c r="D299" t="str">
        <f>"1001"</f>
        <v>1001</v>
      </c>
      <c r="E299" t="s">
        <v>42</v>
      </c>
      <c r="F299" t="s">
        <v>8</v>
      </c>
      <c r="G299" t="s">
        <v>16221</v>
      </c>
      <c r="H299" t="s">
        <v>47054</v>
      </c>
      <c r="I299" t="s">
        <v>47111</v>
      </c>
      <c r="J299" t="s">
        <v>47112</v>
      </c>
      <c r="K299" t="s">
        <v>47113</v>
      </c>
      <c r="L299">
        <v>13.24</v>
      </c>
      <c r="M299">
        <v>33</v>
      </c>
      <c r="N299">
        <v>0</v>
      </c>
      <c r="O299">
        <v>33</v>
      </c>
      <c r="P299">
        <v>0</v>
      </c>
    </row>
    <row r="300" spans="1:16" x14ac:dyDescent="0.25">
      <c r="A300">
        <v>12200001631700</v>
      </c>
      <c r="B300" t="str">
        <f>"1220000163"</f>
        <v>1220000163</v>
      </c>
      <c r="C300" t="s">
        <v>1899</v>
      </c>
      <c r="D300" t="str">
        <f>"1700"</f>
        <v>1700</v>
      </c>
      <c r="E300" t="s">
        <v>60</v>
      </c>
      <c r="F300" t="s">
        <v>8</v>
      </c>
      <c r="G300" t="s">
        <v>16221</v>
      </c>
      <c r="H300" t="s">
        <v>47054</v>
      </c>
      <c r="I300" t="s">
        <v>47111</v>
      </c>
      <c r="J300" t="s">
        <v>47112</v>
      </c>
      <c r="K300" t="s">
        <v>47113</v>
      </c>
      <c r="L300">
        <v>11.52</v>
      </c>
      <c r="M300">
        <v>33</v>
      </c>
      <c r="N300">
        <v>0</v>
      </c>
      <c r="O300">
        <v>33</v>
      </c>
      <c r="P300">
        <v>0</v>
      </c>
    </row>
    <row r="301" spans="1:16" x14ac:dyDescent="0.25">
      <c r="A301">
        <v>12200001631701</v>
      </c>
      <c r="B301" t="str">
        <f>"1220000163"</f>
        <v>1220000163</v>
      </c>
      <c r="C301" t="s">
        <v>1899</v>
      </c>
      <c r="D301" t="str">
        <f>"1701"</f>
        <v>1701</v>
      </c>
      <c r="E301" t="s">
        <v>55</v>
      </c>
      <c r="F301" t="s">
        <v>8</v>
      </c>
      <c r="G301" t="s">
        <v>16221</v>
      </c>
      <c r="H301" t="s">
        <v>47054</v>
      </c>
      <c r="I301" t="s">
        <v>47111</v>
      </c>
      <c r="J301" t="s">
        <v>47112</v>
      </c>
      <c r="K301" t="s">
        <v>47113</v>
      </c>
      <c r="L301">
        <v>13.24</v>
      </c>
      <c r="M301">
        <v>33</v>
      </c>
      <c r="N301">
        <v>0</v>
      </c>
      <c r="O301">
        <v>33</v>
      </c>
      <c r="P301">
        <v>0</v>
      </c>
    </row>
    <row r="302" spans="1:16" x14ac:dyDescent="0.25">
      <c r="A302">
        <v>12200001641001</v>
      </c>
      <c r="B302" t="str">
        <f>"1220000164"</f>
        <v>1220000164</v>
      </c>
      <c r="C302" t="s">
        <v>1900</v>
      </c>
      <c r="D302" t="str">
        <f>"1001"</f>
        <v>1001</v>
      </c>
      <c r="E302" t="s">
        <v>42</v>
      </c>
      <c r="F302" t="s">
        <v>8</v>
      </c>
      <c r="G302" t="s">
        <v>16221</v>
      </c>
      <c r="H302" t="s">
        <v>47054</v>
      </c>
      <c r="I302" t="s">
        <v>47114</v>
      </c>
      <c r="J302" t="s">
        <v>47115</v>
      </c>
      <c r="K302" t="s">
        <v>47113</v>
      </c>
      <c r="L302">
        <v>14.87</v>
      </c>
      <c r="M302">
        <v>33</v>
      </c>
      <c r="N302">
        <v>0</v>
      </c>
      <c r="O302">
        <v>33</v>
      </c>
      <c r="P302">
        <v>0</v>
      </c>
    </row>
    <row r="303" spans="1:16" x14ac:dyDescent="0.25">
      <c r="A303">
        <v>12200001641700</v>
      </c>
      <c r="B303" t="str">
        <f>"1220000164"</f>
        <v>1220000164</v>
      </c>
      <c r="C303" t="s">
        <v>1900</v>
      </c>
      <c r="D303" t="str">
        <f>"1700"</f>
        <v>1700</v>
      </c>
      <c r="E303" t="s">
        <v>60</v>
      </c>
      <c r="F303" t="s">
        <v>8</v>
      </c>
      <c r="G303" t="s">
        <v>16221</v>
      </c>
      <c r="H303" t="s">
        <v>47054</v>
      </c>
      <c r="I303" t="s">
        <v>47114</v>
      </c>
      <c r="J303" t="s">
        <v>47115</v>
      </c>
      <c r="K303" t="s">
        <v>47113</v>
      </c>
      <c r="L303">
        <v>14.44</v>
      </c>
      <c r="M303">
        <v>33</v>
      </c>
      <c r="N303">
        <v>0</v>
      </c>
      <c r="O303">
        <v>33</v>
      </c>
      <c r="P303">
        <v>0</v>
      </c>
    </row>
    <row r="304" spans="1:16" x14ac:dyDescent="0.25">
      <c r="A304">
        <v>12200001651001</v>
      </c>
      <c r="B304" t="str">
        <f>"1220000165"</f>
        <v>1220000165</v>
      </c>
      <c r="C304" t="s">
        <v>1901</v>
      </c>
      <c r="D304" t="str">
        <f>"1001"</f>
        <v>1001</v>
      </c>
      <c r="E304" t="s">
        <v>42</v>
      </c>
      <c r="F304" t="s">
        <v>8</v>
      </c>
      <c r="G304" t="s">
        <v>16221</v>
      </c>
      <c r="H304" t="s">
        <v>47054</v>
      </c>
      <c r="I304" t="s">
        <v>47111</v>
      </c>
      <c r="J304" t="s">
        <v>47112</v>
      </c>
      <c r="K304" t="s">
        <v>47113</v>
      </c>
      <c r="L304">
        <v>13.35</v>
      </c>
      <c r="M304">
        <v>33</v>
      </c>
      <c r="N304">
        <v>0</v>
      </c>
      <c r="O304">
        <v>33</v>
      </c>
      <c r="P304">
        <v>0</v>
      </c>
    </row>
    <row r="305" spans="1:16" x14ac:dyDescent="0.25">
      <c r="A305">
        <v>12200001651700</v>
      </c>
      <c r="B305" t="str">
        <f>"1220000165"</f>
        <v>1220000165</v>
      </c>
      <c r="C305" t="s">
        <v>1901</v>
      </c>
      <c r="D305" t="str">
        <f>"1700"</f>
        <v>1700</v>
      </c>
      <c r="E305" t="s">
        <v>60</v>
      </c>
      <c r="F305" t="s">
        <v>8</v>
      </c>
      <c r="G305" t="s">
        <v>16221</v>
      </c>
      <c r="H305" t="s">
        <v>47054</v>
      </c>
      <c r="I305" t="s">
        <v>47111</v>
      </c>
      <c r="J305" t="s">
        <v>47112</v>
      </c>
      <c r="K305" t="s">
        <v>47113</v>
      </c>
      <c r="L305">
        <v>12.19</v>
      </c>
      <c r="M305">
        <v>33</v>
      </c>
      <c r="N305">
        <v>0</v>
      </c>
      <c r="O305">
        <v>33</v>
      </c>
      <c r="P305">
        <v>0</v>
      </c>
    </row>
    <row r="306" spans="1:16" x14ac:dyDescent="0.25">
      <c r="A306">
        <v>12200001652330</v>
      </c>
      <c r="B306" t="str">
        <f>"1220000165"</f>
        <v>1220000165</v>
      </c>
      <c r="C306" t="s">
        <v>1901</v>
      </c>
      <c r="D306" t="str">
        <f>"2330"</f>
        <v>2330</v>
      </c>
      <c r="E306" t="s">
        <v>1851</v>
      </c>
      <c r="F306" t="s">
        <v>8</v>
      </c>
      <c r="G306" t="s">
        <v>16221</v>
      </c>
      <c r="H306" t="s">
        <v>47054</v>
      </c>
      <c r="I306" t="s">
        <v>47111</v>
      </c>
      <c r="J306" t="s">
        <v>47112</v>
      </c>
      <c r="K306" t="s">
        <v>47113</v>
      </c>
      <c r="L306">
        <v>13.35</v>
      </c>
      <c r="M306">
        <v>33</v>
      </c>
      <c r="N306">
        <v>0</v>
      </c>
      <c r="O306">
        <v>33</v>
      </c>
      <c r="P306">
        <v>0</v>
      </c>
    </row>
    <row r="307" spans="1:16" x14ac:dyDescent="0.25">
      <c r="A307">
        <v>12200001661001</v>
      </c>
      <c r="B307" t="str">
        <f>"1220000166"</f>
        <v>1220000166</v>
      </c>
      <c r="C307" t="s">
        <v>1902</v>
      </c>
      <c r="D307" t="str">
        <f>"1001"</f>
        <v>1001</v>
      </c>
      <c r="E307" t="s">
        <v>42</v>
      </c>
      <c r="F307" t="s">
        <v>8</v>
      </c>
      <c r="G307" t="s">
        <v>16221</v>
      </c>
      <c r="H307" t="s">
        <v>47054</v>
      </c>
      <c r="I307" t="s">
        <v>47111</v>
      </c>
      <c r="J307" t="s">
        <v>47112</v>
      </c>
      <c r="K307" t="s">
        <v>47113</v>
      </c>
      <c r="L307">
        <v>13.35</v>
      </c>
      <c r="M307">
        <v>33</v>
      </c>
      <c r="N307">
        <v>0</v>
      </c>
      <c r="O307">
        <v>33</v>
      </c>
      <c r="P307">
        <v>0</v>
      </c>
    </row>
    <row r="308" spans="1:16" x14ac:dyDescent="0.25">
      <c r="A308">
        <v>12200001661100</v>
      </c>
      <c r="B308" t="str">
        <f>"1220000166"</f>
        <v>1220000166</v>
      </c>
      <c r="C308" t="s">
        <v>1902</v>
      </c>
      <c r="D308" t="str">
        <f>"1100"</f>
        <v>1100</v>
      </c>
      <c r="E308" t="s">
        <v>54</v>
      </c>
      <c r="F308" t="s">
        <v>8</v>
      </c>
      <c r="G308" t="s">
        <v>16221</v>
      </c>
      <c r="H308" t="s">
        <v>47054</v>
      </c>
      <c r="I308" t="s">
        <v>47111</v>
      </c>
      <c r="J308" t="s">
        <v>47112</v>
      </c>
      <c r="K308" t="s">
        <v>47113</v>
      </c>
      <c r="L308">
        <v>13.35</v>
      </c>
      <c r="M308">
        <v>33</v>
      </c>
      <c r="N308">
        <v>0</v>
      </c>
      <c r="O308">
        <v>33</v>
      </c>
      <c r="P308">
        <v>0</v>
      </c>
    </row>
    <row r="309" spans="1:16" x14ac:dyDescent="0.25">
      <c r="A309">
        <v>12200001661700</v>
      </c>
      <c r="B309" t="str">
        <f>"1220000166"</f>
        <v>1220000166</v>
      </c>
      <c r="C309" t="s">
        <v>1902</v>
      </c>
      <c r="D309" t="str">
        <f>"1700"</f>
        <v>1700</v>
      </c>
      <c r="E309" t="s">
        <v>60</v>
      </c>
      <c r="F309" t="s">
        <v>8</v>
      </c>
      <c r="G309" t="s">
        <v>16221</v>
      </c>
      <c r="H309" t="s">
        <v>47054</v>
      </c>
      <c r="I309" t="s">
        <v>47111</v>
      </c>
      <c r="J309" t="s">
        <v>47112</v>
      </c>
      <c r="K309" t="s">
        <v>47113</v>
      </c>
      <c r="L309">
        <v>13.35</v>
      </c>
      <c r="M309">
        <v>33</v>
      </c>
      <c r="N309">
        <v>0</v>
      </c>
      <c r="O309">
        <v>33</v>
      </c>
      <c r="P309">
        <v>0</v>
      </c>
    </row>
    <row r="310" spans="1:16" x14ac:dyDescent="0.25">
      <c r="A310">
        <v>12200001671001</v>
      </c>
      <c r="B310" t="str">
        <f>"1220000167"</f>
        <v>1220000167</v>
      </c>
      <c r="C310" t="s">
        <v>1903</v>
      </c>
      <c r="D310" t="str">
        <f>"1001"</f>
        <v>1001</v>
      </c>
      <c r="E310" t="s">
        <v>42</v>
      </c>
      <c r="F310" t="s">
        <v>8</v>
      </c>
      <c r="G310" t="s">
        <v>16221</v>
      </c>
      <c r="H310" t="s">
        <v>47054</v>
      </c>
      <c r="I310" t="s">
        <v>47111</v>
      </c>
      <c r="J310" t="s">
        <v>47112</v>
      </c>
      <c r="K310" t="s">
        <v>47113</v>
      </c>
      <c r="L310">
        <v>14.4</v>
      </c>
      <c r="M310">
        <v>33</v>
      </c>
      <c r="N310">
        <v>0</v>
      </c>
      <c r="O310">
        <v>33</v>
      </c>
      <c r="P310">
        <v>0</v>
      </c>
    </row>
    <row r="311" spans="1:16" x14ac:dyDescent="0.25">
      <c r="A311">
        <v>12200001671700</v>
      </c>
      <c r="B311" t="str">
        <f>"1220000167"</f>
        <v>1220000167</v>
      </c>
      <c r="C311" t="s">
        <v>1903</v>
      </c>
      <c r="D311" t="str">
        <f>"1700"</f>
        <v>1700</v>
      </c>
      <c r="E311" t="s">
        <v>60</v>
      </c>
      <c r="F311" t="s">
        <v>8</v>
      </c>
      <c r="G311" t="s">
        <v>16221</v>
      </c>
      <c r="H311" t="s">
        <v>47054</v>
      </c>
      <c r="I311" t="s">
        <v>47111</v>
      </c>
      <c r="J311" t="s">
        <v>47112</v>
      </c>
      <c r="K311" t="s">
        <v>47113</v>
      </c>
      <c r="L311">
        <v>14.4</v>
      </c>
      <c r="M311">
        <v>33</v>
      </c>
      <c r="N311">
        <v>0</v>
      </c>
      <c r="O311">
        <v>33</v>
      </c>
      <c r="P311">
        <v>0</v>
      </c>
    </row>
    <row r="312" spans="1:16" x14ac:dyDescent="0.25">
      <c r="A312">
        <v>12200001673002</v>
      </c>
      <c r="B312" t="str">
        <f>"1220000167"</f>
        <v>1220000167</v>
      </c>
      <c r="C312" t="s">
        <v>1903</v>
      </c>
      <c r="D312" t="str">
        <f>"3002"</f>
        <v>3002</v>
      </c>
      <c r="E312" t="s">
        <v>1862</v>
      </c>
      <c r="F312" t="s">
        <v>8</v>
      </c>
      <c r="G312" t="s">
        <v>16221</v>
      </c>
      <c r="H312" t="s">
        <v>47054</v>
      </c>
      <c r="I312" t="s">
        <v>47111</v>
      </c>
      <c r="J312" t="s">
        <v>47112</v>
      </c>
      <c r="K312" t="s">
        <v>47113</v>
      </c>
      <c r="L312">
        <v>14.4</v>
      </c>
      <c r="M312">
        <v>33</v>
      </c>
      <c r="N312">
        <v>0</v>
      </c>
      <c r="O312">
        <v>33</v>
      </c>
      <c r="P312">
        <v>0</v>
      </c>
    </row>
    <row r="313" spans="1:16" x14ac:dyDescent="0.25">
      <c r="A313">
        <v>12200001682500</v>
      </c>
      <c r="B313" t="str">
        <f>"1220000168"</f>
        <v>1220000168</v>
      </c>
      <c r="C313" t="s">
        <v>1904</v>
      </c>
      <c r="D313" t="str">
        <f>"2500"</f>
        <v>2500</v>
      </c>
      <c r="E313" t="s">
        <v>1747</v>
      </c>
      <c r="F313" t="s">
        <v>52</v>
      </c>
      <c r="G313" t="s">
        <v>16221</v>
      </c>
      <c r="H313" t="s">
        <v>47054</v>
      </c>
      <c r="I313" t="s">
        <v>47111</v>
      </c>
      <c r="J313" t="s">
        <v>47112</v>
      </c>
      <c r="K313" t="s">
        <v>47113</v>
      </c>
      <c r="L313">
        <v>13.35</v>
      </c>
      <c r="M313">
        <v>33</v>
      </c>
      <c r="N313">
        <v>0</v>
      </c>
      <c r="O313">
        <v>33</v>
      </c>
      <c r="P313">
        <v>0</v>
      </c>
    </row>
    <row r="314" spans="1:16" x14ac:dyDescent="0.25">
      <c r="A314">
        <v>12200001684101</v>
      </c>
      <c r="B314" t="str">
        <f>"1220000168"</f>
        <v>1220000168</v>
      </c>
      <c r="C314" t="s">
        <v>1904</v>
      </c>
      <c r="D314" t="str">
        <f>"4101"</f>
        <v>4101</v>
      </c>
      <c r="E314" t="s">
        <v>43</v>
      </c>
      <c r="F314" t="s">
        <v>52</v>
      </c>
      <c r="G314" t="s">
        <v>16221</v>
      </c>
      <c r="H314" t="s">
        <v>47054</v>
      </c>
      <c r="I314" t="s">
        <v>47111</v>
      </c>
      <c r="J314" t="s">
        <v>47112</v>
      </c>
      <c r="K314" t="s">
        <v>47113</v>
      </c>
      <c r="L314">
        <v>13.35</v>
      </c>
      <c r="M314">
        <v>33</v>
      </c>
      <c r="N314">
        <v>0</v>
      </c>
      <c r="O314">
        <v>33</v>
      </c>
      <c r="P314">
        <v>0</v>
      </c>
    </row>
    <row r="315" spans="1:16" x14ac:dyDescent="0.25">
      <c r="A315">
        <v>12200001686005</v>
      </c>
      <c r="B315" t="str">
        <f>"1220000168"</f>
        <v>1220000168</v>
      </c>
      <c r="C315" t="s">
        <v>1904</v>
      </c>
      <c r="D315" t="str">
        <f>"6005"</f>
        <v>6005</v>
      </c>
      <c r="E315" t="s">
        <v>1749</v>
      </c>
      <c r="F315" t="s">
        <v>52</v>
      </c>
      <c r="G315" t="s">
        <v>16221</v>
      </c>
      <c r="H315" t="s">
        <v>47054</v>
      </c>
      <c r="I315" t="s">
        <v>47111</v>
      </c>
      <c r="J315" t="s">
        <v>47112</v>
      </c>
      <c r="K315" t="s">
        <v>47113</v>
      </c>
      <c r="L315">
        <v>13.02</v>
      </c>
      <c r="M315">
        <v>33</v>
      </c>
      <c r="N315">
        <v>0</v>
      </c>
      <c r="O315">
        <v>33</v>
      </c>
      <c r="P315">
        <v>0</v>
      </c>
    </row>
    <row r="316" spans="1:16" x14ac:dyDescent="0.25">
      <c r="A316">
        <v>12200001688106</v>
      </c>
      <c r="B316" t="str">
        <f>"1220000168"</f>
        <v>1220000168</v>
      </c>
      <c r="C316" t="s">
        <v>1904</v>
      </c>
      <c r="D316" t="str">
        <f>"8106"</f>
        <v>8106</v>
      </c>
      <c r="E316" t="s">
        <v>1905</v>
      </c>
      <c r="F316" t="s">
        <v>52</v>
      </c>
      <c r="G316" t="s">
        <v>16221</v>
      </c>
      <c r="H316" t="s">
        <v>47054</v>
      </c>
      <c r="I316" t="s">
        <v>47111</v>
      </c>
      <c r="J316" t="s">
        <v>47112</v>
      </c>
      <c r="K316" t="s">
        <v>47113</v>
      </c>
      <c r="L316">
        <v>13.35</v>
      </c>
      <c r="M316">
        <v>33</v>
      </c>
      <c r="N316">
        <v>0</v>
      </c>
      <c r="O316">
        <v>33</v>
      </c>
      <c r="P316">
        <v>0</v>
      </c>
    </row>
    <row r="317" spans="1:16" x14ac:dyDescent="0.25">
      <c r="A317">
        <v>12200001691001</v>
      </c>
      <c r="B317" t="str">
        <f>"1220000169"</f>
        <v>1220000169</v>
      </c>
      <c r="C317" t="s">
        <v>1906</v>
      </c>
      <c r="D317" t="str">
        <f>"1001"</f>
        <v>1001</v>
      </c>
      <c r="E317" t="s">
        <v>42</v>
      </c>
      <c r="F317" t="s">
        <v>52</v>
      </c>
      <c r="G317" t="s">
        <v>16221</v>
      </c>
      <c r="H317" t="s">
        <v>47054</v>
      </c>
      <c r="I317" t="s">
        <v>47111</v>
      </c>
      <c r="J317" t="s">
        <v>47112</v>
      </c>
      <c r="K317" t="s">
        <v>47113</v>
      </c>
      <c r="L317">
        <v>13.35</v>
      </c>
      <c r="M317">
        <v>33</v>
      </c>
      <c r="N317">
        <v>0</v>
      </c>
      <c r="O317">
        <v>33</v>
      </c>
      <c r="P317">
        <v>0</v>
      </c>
    </row>
    <row r="318" spans="1:16" x14ac:dyDescent="0.25">
      <c r="A318">
        <v>12200001691700</v>
      </c>
      <c r="B318" t="str">
        <f>"1220000169"</f>
        <v>1220000169</v>
      </c>
      <c r="C318" t="s">
        <v>1906</v>
      </c>
      <c r="D318" t="str">
        <f>"1700"</f>
        <v>1700</v>
      </c>
      <c r="E318" t="s">
        <v>60</v>
      </c>
      <c r="F318" t="s">
        <v>52</v>
      </c>
      <c r="G318" t="s">
        <v>16221</v>
      </c>
      <c r="H318" t="s">
        <v>47054</v>
      </c>
      <c r="I318" t="s">
        <v>47111</v>
      </c>
      <c r="J318" t="s">
        <v>47112</v>
      </c>
      <c r="K318" t="s">
        <v>47113</v>
      </c>
      <c r="L318">
        <v>13.35</v>
      </c>
      <c r="M318">
        <v>33</v>
      </c>
      <c r="N318">
        <v>0</v>
      </c>
      <c r="O318">
        <v>33</v>
      </c>
      <c r="P318">
        <v>0</v>
      </c>
    </row>
    <row r="319" spans="1:16" x14ac:dyDescent="0.25">
      <c r="A319">
        <v>12200001761700</v>
      </c>
      <c r="B319" t="str">
        <f>"1220000176"</f>
        <v>1220000176</v>
      </c>
      <c r="C319" t="s">
        <v>1907</v>
      </c>
      <c r="D319" t="str">
        <f>"1700"</f>
        <v>1700</v>
      </c>
      <c r="E319" t="s">
        <v>60</v>
      </c>
      <c r="F319" t="s">
        <v>56</v>
      </c>
      <c r="G319" t="s">
        <v>16221</v>
      </c>
      <c r="H319" t="s">
        <v>47054</v>
      </c>
      <c r="I319" t="s">
        <v>47111</v>
      </c>
      <c r="J319" t="s">
        <v>47112</v>
      </c>
      <c r="K319" t="s">
        <v>47113</v>
      </c>
      <c r="L319">
        <v>12.77</v>
      </c>
      <c r="M319">
        <v>34</v>
      </c>
      <c r="N319">
        <v>0</v>
      </c>
      <c r="O319">
        <v>34</v>
      </c>
      <c r="P319">
        <v>0</v>
      </c>
    </row>
    <row r="320" spans="1:16" x14ac:dyDescent="0.25">
      <c r="A320">
        <v>12200001762000</v>
      </c>
      <c r="B320" t="str">
        <f>"1220000176"</f>
        <v>1220000176</v>
      </c>
      <c r="C320" t="s">
        <v>1907</v>
      </c>
      <c r="D320" t="str">
        <f>"2000"</f>
        <v>2000</v>
      </c>
      <c r="E320" t="s">
        <v>248</v>
      </c>
      <c r="F320" t="s">
        <v>56</v>
      </c>
      <c r="G320" t="s">
        <v>16221</v>
      </c>
      <c r="H320" t="s">
        <v>47054</v>
      </c>
      <c r="I320" t="s">
        <v>47111</v>
      </c>
      <c r="J320" t="s">
        <v>47112</v>
      </c>
      <c r="K320" t="s">
        <v>47113</v>
      </c>
      <c r="L320">
        <v>13.93</v>
      </c>
      <c r="M320">
        <v>34</v>
      </c>
      <c r="N320">
        <v>0</v>
      </c>
      <c r="O320">
        <v>34</v>
      </c>
      <c r="P320">
        <v>0</v>
      </c>
    </row>
    <row r="321" spans="1:16" x14ac:dyDescent="0.25">
      <c r="A321">
        <v>12200001762500</v>
      </c>
      <c r="B321" t="str">
        <f>"1220000176"</f>
        <v>1220000176</v>
      </c>
      <c r="C321" t="s">
        <v>1907</v>
      </c>
      <c r="D321" t="str">
        <f>"2500"</f>
        <v>2500</v>
      </c>
      <c r="E321" t="s">
        <v>1747</v>
      </c>
      <c r="F321" t="s">
        <v>56</v>
      </c>
      <c r="G321" t="s">
        <v>16221</v>
      </c>
      <c r="H321" t="s">
        <v>47054</v>
      </c>
      <c r="I321" t="s">
        <v>47111</v>
      </c>
      <c r="J321" t="s">
        <v>47112</v>
      </c>
      <c r="K321" t="s">
        <v>47113</v>
      </c>
      <c r="L321">
        <v>14.28</v>
      </c>
      <c r="M321">
        <v>34</v>
      </c>
      <c r="N321">
        <v>0</v>
      </c>
      <c r="O321">
        <v>34</v>
      </c>
      <c r="P321">
        <v>0</v>
      </c>
    </row>
    <row r="322" spans="1:16" x14ac:dyDescent="0.25">
      <c r="A322">
        <v>12200001763304</v>
      </c>
      <c r="B322" t="str">
        <f>"1220000176"</f>
        <v>1220000176</v>
      </c>
      <c r="C322" t="s">
        <v>1907</v>
      </c>
      <c r="D322" t="str">
        <f>"3304"</f>
        <v>3304</v>
      </c>
      <c r="E322" t="s">
        <v>1879</v>
      </c>
      <c r="F322" t="s">
        <v>56</v>
      </c>
      <c r="G322" t="s">
        <v>16221</v>
      </c>
      <c r="H322" t="s">
        <v>47054</v>
      </c>
      <c r="I322" t="s">
        <v>47111</v>
      </c>
      <c r="J322" t="s">
        <v>47112</v>
      </c>
      <c r="K322" t="s">
        <v>47113</v>
      </c>
      <c r="L322">
        <v>14.28</v>
      </c>
      <c r="M322">
        <v>34</v>
      </c>
      <c r="N322">
        <v>0</v>
      </c>
      <c r="O322">
        <v>34</v>
      </c>
      <c r="P322">
        <v>0</v>
      </c>
    </row>
    <row r="323" spans="1:16" x14ac:dyDescent="0.25">
      <c r="A323">
        <v>12200001771701</v>
      </c>
      <c r="B323" t="str">
        <f>"1220000177"</f>
        <v>1220000177</v>
      </c>
      <c r="C323" t="s">
        <v>1908</v>
      </c>
      <c r="D323" t="str">
        <f>"1701"</f>
        <v>1701</v>
      </c>
      <c r="E323" t="s">
        <v>55</v>
      </c>
      <c r="F323" t="s">
        <v>56</v>
      </c>
      <c r="G323" t="s">
        <v>16221</v>
      </c>
      <c r="H323" t="s">
        <v>47054</v>
      </c>
      <c r="I323" t="s">
        <v>47111</v>
      </c>
      <c r="J323" t="s">
        <v>47112</v>
      </c>
      <c r="K323" t="s">
        <v>47113</v>
      </c>
      <c r="L323">
        <v>14.28</v>
      </c>
      <c r="M323">
        <v>34</v>
      </c>
      <c r="N323">
        <v>0</v>
      </c>
      <c r="O323">
        <v>34</v>
      </c>
      <c r="P323">
        <v>0</v>
      </c>
    </row>
    <row r="324" spans="1:16" x14ac:dyDescent="0.25">
      <c r="A324">
        <v>12200001773190</v>
      </c>
      <c r="B324" t="str">
        <f>"1220000177"</f>
        <v>1220000177</v>
      </c>
      <c r="C324" t="s">
        <v>1908</v>
      </c>
      <c r="D324" t="str">
        <f>"3190"</f>
        <v>3190</v>
      </c>
      <c r="E324" t="s">
        <v>1748</v>
      </c>
      <c r="F324" t="s">
        <v>56</v>
      </c>
      <c r="G324" t="s">
        <v>16221</v>
      </c>
      <c r="H324" t="s">
        <v>47054</v>
      </c>
      <c r="I324" t="s">
        <v>47111</v>
      </c>
      <c r="J324" t="s">
        <v>47112</v>
      </c>
      <c r="K324" t="s">
        <v>47113</v>
      </c>
      <c r="L324">
        <v>13.93</v>
      </c>
      <c r="M324">
        <v>34</v>
      </c>
      <c r="N324">
        <v>0</v>
      </c>
      <c r="O324">
        <v>34</v>
      </c>
      <c r="P324">
        <v>0</v>
      </c>
    </row>
    <row r="325" spans="1:16" x14ac:dyDescent="0.25">
      <c r="A325">
        <v>12200001774101</v>
      </c>
      <c r="B325" t="str">
        <f>"1220000177"</f>
        <v>1220000177</v>
      </c>
      <c r="C325" t="s">
        <v>1908</v>
      </c>
      <c r="D325" t="str">
        <f>"4101"</f>
        <v>4101</v>
      </c>
      <c r="E325" t="s">
        <v>43</v>
      </c>
      <c r="F325" t="s">
        <v>56</v>
      </c>
      <c r="G325" t="s">
        <v>16221</v>
      </c>
      <c r="H325" t="s">
        <v>47054</v>
      </c>
      <c r="I325" t="s">
        <v>47111</v>
      </c>
      <c r="J325" t="s">
        <v>47112</v>
      </c>
      <c r="K325" t="s">
        <v>47113</v>
      </c>
      <c r="L325">
        <v>13.93</v>
      </c>
      <c r="M325">
        <v>34</v>
      </c>
      <c r="N325">
        <v>0</v>
      </c>
      <c r="O325">
        <v>34</v>
      </c>
      <c r="P325">
        <v>0</v>
      </c>
    </row>
    <row r="326" spans="1:16" x14ac:dyDescent="0.25">
      <c r="A326">
        <v>12200001776005</v>
      </c>
      <c r="B326" t="str">
        <f>"1220000177"</f>
        <v>1220000177</v>
      </c>
      <c r="C326" t="s">
        <v>1908</v>
      </c>
      <c r="D326" t="str">
        <f>"6005"</f>
        <v>6005</v>
      </c>
      <c r="E326" t="s">
        <v>1749</v>
      </c>
      <c r="F326" t="s">
        <v>56</v>
      </c>
      <c r="G326" t="s">
        <v>16221</v>
      </c>
      <c r="H326" t="s">
        <v>47054</v>
      </c>
      <c r="I326" t="s">
        <v>47111</v>
      </c>
      <c r="J326" t="s">
        <v>47112</v>
      </c>
      <c r="K326" t="s">
        <v>47113</v>
      </c>
      <c r="L326">
        <v>13.93</v>
      </c>
      <c r="M326">
        <v>34</v>
      </c>
      <c r="N326">
        <v>0</v>
      </c>
      <c r="O326">
        <v>34</v>
      </c>
      <c r="P326">
        <v>0</v>
      </c>
    </row>
    <row r="327" spans="1:16" x14ac:dyDescent="0.25">
      <c r="A327">
        <v>12200001784067</v>
      </c>
      <c r="B327" t="str">
        <f>"1220000178"</f>
        <v>1220000178</v>
      </c>
      <c r="C327" t="s">
        <v>1909</v>
      </c>
      <c r="D327" t="str">
        <f>"4067"</f>
        <v>4067</v>
      </c>
      <c r="E327" t="s">
        <v>1865</v>
      </c>
      <c r="F327" t="s">
        <v>56</v>
      </c>
      <c r="G327" t="s">
        <v>16221</v>
      </c>
      <c r="H327" t="s">
        <v>47054</v>
      </c>
      <c r="I327" t="s">
        <v>47111</v>
      </c>
      <c r="J327" t="s">
        <v>47112</v>
      </c>
      <c r="K327" t="s">
        <v>47113</v>
      </c>
      <c r="L327">
        <v>13.93</v>
      </c>
      <c r="M327">
        <v>34</v>
      </c>
      <c r="N327">
        <v>0</v>
      </c>
      <c r="O327">
        <v>34</v>
      </c>
      <c r="P327">
        <v>0</v>
      </c>
    </row>
    <row r="328" spans="1:16" x14ac:dyDescent="0.25">
      <c r="A328">
        <v>12200001784400</v>
      </c>
      <c r="B328" t="str">
        <f>"1220000178"</f>
        <v>1220000178</v>
      </c>
      <c r="C328" t="s">
        <v>1909</v>
      </c>
      <c r="D328" t="str">
        <f>"4400"</f>
        <v>4400</v>
      </c>
      <c r="E328" t="s">
        <v>154</v>
      </c>
      <c r="F328" t="s">
        <v>56</v>
      </c>
      <c r="G328" t="s">
        <v>16221</v>
      </c>
      <c r="H328" t="s">
        <v>47054</v>
      </c>
      <c r="I328" t="s">
        <v>47111</v>
      </c>
      <c r="J328" t="s">
        <v>47112</v>
      </c>
      <c r="K328" t="s">
        <v>47113</v>
      </c>
      <c r="L328">
        <v>14.28</v>
      </c>
      <c r="M328">
        <v>34</v>
      </c>
      <c r="N328">
        <v>0</v>
      </c>
      <c r="O328">
        <v>34</v>
      </c>
      <c r="P328">
        <v>0</v>
      </c>
    </row>
    <row r="329" spans="1:16" x14ac:dyDescent="0.25">
      <c r="A329">
        <v>12200001786000</v>
      </c>
      <c r="B329" t="str">
        <f>"1220000178"</f>
        <v>1220000178</v>
      </c>
      <c r="C329" t="s">
        <v>1909</v>
      </c>
      <c r="D329" t="str">
        <f>"6000"</f>
        <v>6000</v>
      </c>
      <c r="E329" t="s">
        <v>238</v>
      </c>
      <c r="F329" t="s">
        <v>56</v>
      </c>
      <c r="G329" t="s">
        <v>16221</v>
      </c>
      <c r="H329" t="s">
        <v>47054</v>
      </c>
      <c r="I329" t="s">
        <v>47111</v>
      </c>
      <c r="J329" t="s">
        <v>47112</v>
      </c>
      <c r="K329" t="s">
        <v>47113</v>
      </c>
      <c r="L329">
        <v>14.28</v>
      </c>
      <c r="M329">
        <v>34</v>
      </c>
      <c r="N329">
        <v>0</v>
      </c>
      <c r="O329">
        <v>34</v>
      </c>
      <c r="P329">
        <v>0</v>
      </c>
    </row>
    <row r="330" spans="1:16" x14ac:dyDescent="0.25">
      <c r="A330">
        <v>12200001787302</v>
      </c>
      <c r="B330" t="str">
        <f>"1220000178"</f>
        <v>1220000178</v>
      </c>
      <c r="C330" t="s">
        <v>1909</v>
      </c>
      <c r="D330" t="str">
        <f>"7302"</f>
        <v>7302</v>
      </c>
      <c r="E330" t="s">
        <v>1867</v>
      </c>
      <c r="F330" t="s">
        <v>56</v>
      </c>
      <c r="G330" t="s">
        <v>16221</v>
      </c>
      <c r="H330" t="s">
        <v>47054</v>
      </c>
      <c r="I330" t="s">
        <v>47111</v>
      </c>
      <c r="J330" t="s">
        <v>47112</v>
      </c>
      <c r="K330" t="s">
        <v>47113</v>
      </c>
      <c r="L330">
        <v>14.28</v>
      </c>
      <c r="M330">
        <v>34</v>
      </c>
      <c r="N330">
        <v>0</v>
      </c>
      <c r="O330">
        <v>34</v>
      </c>
      <c r="P330">
        <v>0</v>
      </c>
    </row>
    <row r="331" spans="1:16" x14ac:dyDescent="0.25">
      <c r="A331">
        <v>12200001861501</v>
      </c>
      <c r="B331" t="str">
        <f>"1220000186"</f>
        <v>1220000186</v>
      </c>
      <c r="C331" t="s">
        <v>1898</v>
      </c>
      <c r="D331" t="str">
        <f t="shared" ref="D331:D337" si="5">"1501"</f>
        <v>1501</v>
      </c>
      <c r="E331" t="s">
        <v>46</v>
      </c>
      <c r="F331" t="s">
        <v>8</v>
      </c>
      <c r="G331" t="s">
        <v>16221</v>
      </c>
      <c r="H331" t="s">
        <v>47054</v>
      </c>
      <c r="I331" t="s">
        <v>47114</v>
      </c>
      <c r="J331" t="s">
        <v>47115</v>
      </c>
      <c r="K331" t="s">
        <v>47113</v>
      </c>
      <c r="L331">
        <v>13.42</v>
      </c>
      <c r="M331">
        <v>33</v>
      </c>
      <c r="N331">
        <v>0</v>
      </c>
      <c r="O331">
        <v>33</v>
      </c>
      <c r="P331">
        <v>0</v>
      </c>
    </row>
    <row r="332" spans="1:16" x14ac:dyDescent="0.25">
      <c r="A332">
        <v>12200001991501</v>
      </c>
      <c r="B332" t="str">
        <f>"1220000199"</f>
        <v>1220000199</v>
      </c>
      <c r="C332" t="s">
        <v>1910</v>
      </c>
      <c r="D332" t="str">
        <f t="shared" si="5"/>
        <v>1501</v>
      </c>
      <c r="E332" t="s">
        <v>46</v>
      </c>
      <c r="F332" t="s">
        <v>8</v>
      </c>
      <c r="G332" t="s">
        <v>16221</v>
      </c>
      <c r="H332" t="s">
        <v>47054</v>
      </c>
      <c r="I332" t="s">
        <v>47111</v>
      </c>
      <c r="J332" t="s">
        <v>47112</v>
      </c>
      <c r="K332" t="s">
        <v>47113</v>
      </c>
      <c r="L332">
        <v>10.15</v>
      </c>
      <c r="M332">
        <v>33</v>
      </c>
      <c r="N332">
        <v>0</v>
      </c>
      <c r="O332">
        <v>33</v>
      </c>
      <c r="P332">
        <v>0</v>
      </c>
    </row>
    <row r="333" spans="1:16" x14ac:dyDescent="0.25">
      <c r="A333">
        <v>12200002011501</v>
      </c>
      <c r="B333" t="str">
        <f>"1220000201"</f>
        <v>1220000201</v>
      </c>
      <c r="C333" t="s">
        <v>1911</v>
      </c>
      <c r="D333" t="str">
        <f t="shared" si="5"/>
        <v>1501</v>
      </c>
      <c r="E333" t="s">
        <v>46</v>
      </c>
      <c r="F333" t="s">
        <v>8</v>
      </c>
      <c r="G333" t="s">
        <v>16221</v>
      </c>
      <c r="H333" t="s">
        <v>47054</v>
      </c>
      <c r="I333" t="s">
        <v>47114</v>
      </c>
      <c r="J333" t="s">
        <v>47115</v>
      </c>
      <c r="K333" t="s">
        <v>47113</v>
      </c>
      <c r="L333">
        <v>11.98</v>
      </c>
      <c r="M333">
        <v>33</v>
      </c>
      <c r="N333">
        <v>0</v>
      </c>
      <c r="O333">
        <v>33</v>
      </c>
      <c r="P333">
        <v>0</v>
      </c>
    </row>
    <row r="334" spans="1:16" x14ac:dyDescent="0.25">
      <c r="A334">
        <v>12200002021501</v>
      </c>
      <c r="B334" t="str">
        <f>"1220000202"</f>
        <v>1220000202</v>
      </c>
      <c r="C334" t="s">
        <v>1901</v>
      </c>
      <c r="D334" t="str">
        <f t="shared" si="5"/>
        <v>1501</v>
      </c>
      <c r="E334" t="s">
        <v>46</v>
      </c>
      <c r="F334" t="s">
        <v>8</v>
      </c>
      <c r="G334" t="s">
        <v>16221</v>
      </c>
      <c r="H334" t="s">
        <v>47054</v>
      </c>
      <c r="I334" t="s">
        <v>47111</v>
      </c>
      <c r="J334" t="s">
        <v>47112</v>
      </c>
      <c r="K334" t="s">
        <v>47113</v>
      </c>
      <c r="L334">
        <v>10.25</v>
      </c>
      <c r="M334">
        <v>33</v>
      </c>
      <c r="N334">
        <v>0</v>
      </c>
      <c r="O334">
        <v>33</v>
      </c>
      <c r="P334">
        <v>0</v>
      </c>
    </row>
    <row r="335" spans="1:16" x14ac:dyDescent="0.25">
      <c r="A335">
        <v>12200002031501</v>
      </c>
      <c r="B335" t="str">
        <f>"1220000203"</f>
        <v>1220000203</v>
      </c>
      <c r="C335" t="s">
        <v>1912</v>
      </c>
      <c r="D335" t="str">
        <f t="shared" si="5"/>
        <v>1501</v>
      </c>
      <c r="E335" t="s">
        <v>46</v>
      </c>
      <c r="F335" t="s">
        <v>8</v>
      </c>
      <c r="G335" t="s">
        <v>16221</v>
      </c>
      <c r="H335" t="s">
        <v>47054</v>
      </c>
      <c r="I335" t="s">
        <v>47111</v>
      </c>
      <c r="J335" t="s">
        <v>47112</v>
      </c>
      <c r="K335" t="s">
        <v>47113</v>
      </c>
      <c r="L335">
        <v>10.76</v>
      </c>
      <c r="M335">
        <v>33</v>
      </c>
      <c r="N335">
        <v>0</v>
      </c>
      <c r="O335">
        <v>33</v>
      </c>
      <c r="P335">
        <v>0</v>
      </c>
    </row>
    <row r="336" spans="1:16" x14ac:dyDescent="0.25">
      <c r="A336">
        <v>12200002041501</v>
      </c>
      <c r="B336" t="str">
        <f>"1220000204"</f>
        <v>1220000204</v>
      </c>
      <c r="C336" t="s">
        <v>1913</v>
      </c>
      <c r="D336" t="str">
        <f t="shared" si="5"/>
        <v>1501</v>
      </c>
      <c r="E336" t="s">
        <v>46</v>
      </c>
      <c r="F336" t="s">
        <v>8</v>
      </c>
      <c r="G336" t="s">
        <v>16221</v>
      </c>
      <c r="H336" t="s">
        <v>47054</v>
      </c>
      <c r="I336" t="s">
        <v>47111</v>
      </c>
      <c r="J336" t="s">
        <v>47112</v>
      </c>
      <c r="K336" t="s">
        <v>47113</v>
      </c>
      <c r="L336">
        <v>11.3</v>
      </c>
      <c r="M336">
        <v>33</v>
      </c>
      <c r="N336">
        <v>0</v>
      </c>
      <c r="O336">
        <v>33</v>
      </c>
      <c r="P336">
        <v>0</v>
      </c>
    </row>
    <row r="337" spans="1:16" x14ac:dyDescent="0.25">
      <c r="A337">
        <v>12200002051501</v>
      </c>
      <c r="B337" t="str">
        <f>"1220000205"</f>
        <v>1220000205</v>
      </c>
      <c r="C337" t="s">
        <v>1906</v>
      </c>
      <c r="D337" t="str">
        <f t="shared" si="5"/>
        <v>1501</v>
      </c>
      <c r="E337" t="s">
        <v>46</v>
      </c>
      <c r="F337" t="s">
        <v>52</v>
      </c>
      <c r="G337" t="s">
        <v>16221</v>
      </c>
      <c r="H337" t="s">
        <v>47054</v>
      </c>
      <c r="I337" t="s">
        <v>47111</v>
      </c>
      <c r="J337" t="s">
        <v>47112</v>
      </c>
      <c r="K337" t="s">
        <v>47113</v>
      </c>
      <c r="L337">
        <v>10.5</v>
      </c>
      <c r="M337">
        <v>25</v>
      </c>
      <c r="N337">
        <v>0</v>
      </c>
      <c r="O337">
        <v>25</v>
      </c>
      <c r="P337">
        <v>0</v>
      </c>
    </row>
    <row r="338" spans="1:16" x14ac:dyDescent="0.25">
      <c r="A338">
        <v>12400000051003</v>
      </c>
      <c r="B338" t="str">
        <f>"1240000005"</f>
        <v>1240000005</v>
      </c>
      <c r="C338" t="s">
        <v>1914</v>
      </c>
      <c r="D338" t="str">
        <f>"1003"</f>
        <v>1003</v>
      </c>
      <c r="E338" t="s">
        <v>773</v>
      </c>
      <c r="F338" t="s">
        <v>631</v>
      </c>
      <c r="G338" t="s">
        <v>16235</v>
      </c>
      <c r="H338" t="s">
        <v>47054</v>
      </c>
      <c r="I338" t="s">
        <v>47116</v>
      </c>
      <c r="J338" t="s">
        <v>47117</v>
      </c>
      <c r="K338" t="s">
        <v>47113</v>
      </c>
      <c r="L338">
        <v>39.24</v>
      </c>
      <c r="M338">
        <v>88</v>
      </c>
      <c r="N338">
        <v>0</v>
      </c>
      <c r="O338">
        <v>88</v>
      </c>
      <c r="P338">
        <v>0</v>
      </c>
    </row>
    <row r="339" spans="1:16" x14ac:dyDescent="0.25">
      <c r="A339">
        <v>12400000081001</v>
      </c>
      <c r="B339" t="str">
        <f>"1240000008"</f>
        <v>1240000008</v>
      </c>
      <c r="C339" t="s">
        <v>1915</v>
      </c>
      <c r="D339" t="str">
        <f>"1001"</f>
        <v>1001</v>
      </c>
      <c r="E339" t="s">
        <v>42</v>
      </c>
      <c r="F339" t="s">
        <v>52</v>
      </c>
      <c r="G339" t="s">
        <v>16235</v>
      </c>
      <c r="H339" t="s">
        <v>47054</v>
      </c>
      <c r="I339" t="s">
        <v>47116</v>
      </c>
      <c r="J339" t="s">
        <v>47117</v>
      </c>
      <c r="K339" t="s">
        <v>47113</v>
      </c>
      <c r="L339">
        <v>34.9</v>
      </c>
      <c r="M339">
        <v>88</v>
      </c>
      <c r="N339">
        <v>0</v>
      </c>
      <c r="O339">
        <v>88</v>
      </c>
      <c r="P339">
        <v>0</v>
      </c>
    </row>
    <row r="340" spans="1:16" x14ac:dyDescent="0.25">
      <c r="A340">
        <v>12400000082500</v>
      </c>
      <c r="B340" t="str">
        <f>"1240000008"</f>
        <v>1240000008</v>
      </c>
      <c r="C340" t="s">
        <v>1915</v>
      </c>
      <c r="D340" t="str">
        <f>"2500"</f>
        <v>2500</v>
      </c>
      <c r="E340" t="s">
        <v>1747</v>
      </c>
      <c r="F340" t="s">
        <v>52</v>
      </c>
      <c r="G340" t="s">
        <v>16235</v>
      </c>
      <c r="H340" t="s">
        <v>47054</v>
      </c>
      <c r="I340" t="s">
        <v>47116</v>
      </c>
      <c r="J340" t="s">
        <v>47117</v>
      </c>
      <c r="K340" t="s">
        <v>47113</v>
      </c>
      <c r="L340">
        <v>36.479999999999997</v>
      </c>
      <c r="M340">
        <v>88</v>
      </c>
      <c r="N340">
        <v>0</v>
      </c>
      <c r="O340">
        <v>88</v>
      </c>
      <c r="P340">
        <v>0</v>
      </c>
    </row>
    <row r="341" spans="1:16" x14ac:dyDescent="0.25">
      <c r="A341">
        <v>12400000083152</v>
      </c>
      <c r="B341" t="str">
        <f>"1240000008"</f>
        <v>1240000008</v>
      </c>
      <c r="C341" t="s">
        <v>1915</v>
      </c>
      <c r="D341" t="str">
        <f>"3152"</f>
        <v>3152</v>
      </c>
      <c r="E341" t="s">
        <v>1840</v>
      </c>
      <c r="F341" t="s">
        <v>52</v>
      </c>
      <c r="G341" t="s">
        <v>16235</v>
      </c>
      <c r="H341" t="s">
        <v>47054</v>
      </c>
      <c r="I341" t="s">
        <v>47116</v>
      </c>
      <c r="J341" t="s">
        <v>47117</v>
      </c>
      <c r="K341" t="s">
        <v>47113</v>
      </c>
      <c r="L341">
        <v>36.479999999999997</v>
      </c>
      <c r="M341">
        <v>88</v>
      </c>
      <c r="N341">
        <v>0</v>
      </c>
      <c r="O341">
        <v>88</v>
      </c>
      <c r="P341">
        <v>0</v>
      </c>
    </row>
    <row r="342" spans="1:16" x14ac:dyDescent="0.25">
      <c r="A342">
        <v>12400000084101</v>
      </c>
      <c r="B342" t="str">
        <f>"1240000008"</f>
        <v>1240000008</v>
      </c>
      <c r="C342" t="s">
        <v>1915</v>
      </c>
      <c r="D342" t="str">
        <f>"4101"</f>
        <v>4101</v>
      </c>
      <c r="E342" t="s">
        <v>43</v>
      </c>
      <c r="F342" t="s">
        <v>52</v>
      </c>
      <c r="G342" t="s">
        <v>16235</v>
      </c>
      <c r="H342" t="s">
        <v>47054</v>
      </c>
      <c r="I342" t="s">
        <v>47116</v>
      </c>
      <c r="J342" t="s">
        <v>47117</v>
      </c>
      <c r="K342" t="s">
        <v>47113</v>
      </c>
      <c r="L342">
        <v>36.479999999999997</v>
      </c>
      <c r="M342">
        <v>88</v>
      </c>
      <c r="N342">
        <v>0</v>
      </c>
      <c r="O342">
        <v>88</v>
      </c>
      <c r="P342">
        <v>0</v>
      </c>
    </row>
    <row r="343" spans="1:16" x14ac:dyDescent="0.25">
      <c r="A343">
        <v>12400000086005</v>
      </c>
      <c r="B343" t="str">
        <f>"1240000008"</f>
        <v>1240000008</v>
      </c>
      <c r="C343" t="s">
        <v>1915</v>
      </c>
      <c r="D343" t="str">
        <f>"6005"</f>
        <v>6005</v>
      </c>
      <c r="E343" t="s">
        <v>1749</v>
      </c>
      <c r="F343" t="s">
        <v>52</v>
      </c>
      <c r="G343" t="s">
        <v>16235</v>
      </c>
      <c r="H343" t="s">
        <v>47054</v>
      </c>
      <c r="I343" t="s">
        <v>47116</v>
      </c>
      <c r="J343" t="s">
        <v>47117</v>
      </c>
      <c r="K343" t="s">
        <v>47113</v>
      </c>
      <c r="L343">
        <v>36.479999999999997</v>
      </c>
      <c r="M343">
        <v>88</v>
      </c>
      <c r="N343">
        <v>0</v>
      </c>
      <c r="O343">
        <v>88</v>
      </c>
      <c r="P343">
        <v>0</v>
      </c>
    </row>
    <row r="344" spans="1:16" x14ac:dyDescent="0.25">
      <c r="A344">
        <v>12400000111001</v>
      </c>
      <c r="B344" t="str">
        <f>"1240000011"</f>
        <v>1240000011</v>
      </c>
      <c r="C344" t="s">
        <v>1916</v>
      </c>
      <c r="D344" t="str">
        <f>"1001"</f>
        <v>1001</v>
      </c>
      <c r="E344" t="s">
        <v>42</v>
      </c>
      <c r="F344" t="s">
        <v>8</v>
      </c>
      <c r="G344" t="s">
        <v>16235</v>
      </c>
      <c r="H344" t="s">
        <v>47054</v>
      </c>
      <c r="I344" t="s">
        <v>47116</v>
      </c>
      <c r="J344" t="s">
        <v>47117</v>
      </c>
      <c r="K344" t="s">
        <v>47113</v>
      </c>
      <c r="L344">
        <v>29.69</v>
      </c>
      <c r="M344">
        <v>71</v>
      </c>
      <c r="N344">
        <v>0</v>
      </c>
      <c r="O344">
        <v>71</v>
      </c>
      <c r="P344">
        <v>0</v>
      </c>
    </row>
    <row r="345" spans="1:16" x14ac:dyDescent="0.25">
      <c r="A345">
        <v>12400000111700</v>
      </c>
      <c r="B345" t="str">
        <f>"1240000011"</f>
        <v>1240000011</v>
      </c>
      <c r="C345" t="s">
        <v>1916</v>
      </c>
      <c r="D345" t="str">
        <f>"1700"</f>
        <v>1700</v>
      </c>
      <c r="E345" t="s">
        <v>60</v>
      </c>
      <c r="F345" t="s">
        <v>8</v>
      </c>
      <c r="G345" t="s">
        <v>16235</v>
      </c>
      <c r="H345" t="s">
        <v>47054</v>
      </c>
      <c r="I345" t="s">
        <v>47116</v>
      </c>
      <c r="J345" t="s">
        <v>47117</v>
      </c>
      <c r="K345" t="s">
        <v>47113</v>
      </c>
      <c r="L345">
        <v>29.69</v>
      </c>
      <c r="M345">
        <v>71</v>
      </c>
      <c r="N345">
        <v>0</v>
      </c>
      <c r="O345">
        <v>71</v>
      </c>
      <c r="P345">
        <v>0</v>
      </c>
    </row>
    <row r="346" spans="1:16" x14ac:dyDescent="0.25">
      <c r="A346">
        <v>12400000113190</v>
      </c>
      <c r="B346" t="str">
        <f>"1240000011"</f>
        <v>1240000011</v>
      </c>
      <c r="C346" t="s">
        <v>1916</v>
      </c>
      <c r="D346" t="str">
        <f>"3190"</f>
        <v>3190</v>
      </c>
      <c r="E346" t="s">
        <v>1748</v>
      </c>
      <c r="F346" t="s">
        <v>8</v>
      </c>
      <c r="G346" t="s">
        <v>16235</v>
      </c>
      <c r="H346" t="s">
        <v>47054</v>
      </c>
      <c r="I346" t="s">
        <v>47116</v>
      </c>
      <c r="J346" t="s">
        <v>47117</v>
      </c>
      <c r="K346" t="s">
        <v>47113</v>
      </c>
      <c r="L346">
        <v>29.69</v>
      </c>
      <c r="M346">
        <v>71</v>
      </c>
      <c r="N346">
        <v>0</v>
      </c>
      <c r="O346">
        <v>71</v>
      </c>
      <c r="P346">
        <v>0</v>
      </c>
    </row>
    <row r="347" spans="1:16" x14ac:dyDescent="0.25">
      <c r="A347">
        <v>12400000114101</v>
      </c>
      <c r="B347" t="str">
        <f>"1240000011"</f>
        <v>1240000011</v>
      </c>
      <c r="C347" t="s">
        <v>1916</v>
      </c>
      <c r="D347" t="str">
        <f>"4101"</f>
        <v>4101</v>
      </c>
      <c r="E347" t="s">
        <v>43</v>
      </c>
      <c r="F347" t="s">
        <v>8</v>
      </c>
      <c r="G347" t="s">
        <v>16235</v>
      </c>
      <c r="H347" t="s">
        <v>47054</v>
      </c>
      <c r="I347" t="s">
        <v>47116</v>
      </c>
      <c r="J347" t="s">
        <v>47117</v>
      </c>
      <c r="K347" t="s">
        <v>47113</v>
      </c>
      <c r="L347">
        <v>29.69</v>
      </c>
      <c r="M347">
        <v>75</v>
      </c>
      <c r="N347">
        <v>0</v>
      </c>
      <c r="O347">
        <v>75</v>
      </c>
      <c r="P347">
        <v>0</v>
      </c>
    </row>
    <row r="348" spans="1:16" x14ac:dyDescent="0.25">
      <c r="A348">
        <v>12400000121001</v>
      </c>
      <c r="B348" t="str">
        <f>"1240000012"</f>
        <v>1240000012</v>
      </c>
      <c r="C348" t="s">
        <v>1917</v>
      </c>
      <c r="D348" t="str">
        <f>"1001"</f>
        <v>1001</v>
      </c>
      <c r="E348" t="s">
        <v>42</v>
      </c>
      <c r="F348" t="s">
        <v>631</v>
      </c>
      <c r="G348" t="s">
        <v>16235</v>
      </c>
      <c r="H348" t="s">
        <v>47054</v>
      </c>
      <c r="I348" t="s">
        <v>47116</v>
      </c>
      <c r="J348" t="s">
        <v>47117</v>
      </c>
      <c r="K348" t="s">
        <v>47113</v>
      </c>
      <c r="L348">
        <v>32.39</v>
      </c>
      <c r="M348">
        <v>66</v>
      </c>
      <c r="N348">
        <v>0</v>
      </c>
      <c r="O348">
        <v>66</v>
      </c>
      <c r="P348">
        <v>0</v>
      </c>
    </row>
    <row r="349" spans="1:16" x14ac:dyDescent="0.25">
      <c r="A349">
        <v>12400000122500</v>
      </c>
      <c r="B349" t="str">
        <f>"1240000012"</f>
        <v>1240000012</v>
      </c>
      <c r="C349" t="s">
        <v>1917</v>
      </c>
      <c r="D349" t="str">
        <f>"2500"</f>
        <v>2500</v>
      </c>
      <c r="E349" t="s">
        <v>1747</v>
      </c>
      <c r="F349" t="s">
        <v>631</v>
      </c>
      <c r="G349" t="s">
        <v>16235</v>
      </c>
      <c r="H349" t="s">
        <v>47054</v>
      </c>
      <c r="I349" t="s">
        <v>47116</v>
      </c>
      <c r="J349" t="s">
        <v>47117</v>
      </c>
      <c r="K349" t="s">
        <v>47113</v>
      </c>
      <c r="L349">
        <v>30.2</v>
      </c>
      <c r="M349">
        <v>60</v>
      </c>
      <c r="N349">
        <v>0</v>
      </c>
      <c r="O349">
        <v>60</v>
      </c>
      <c r="P349">
        <v>0</v>
      </c>
    </row>
    <row r="350" spans="1:16" x14ac:dyDescent="0.25">
      <c r="A350">
        <v>12400000124101</v>
      </c>
      <c r="B350" t="str">
        <f>"1240000012"</f>
        <v>1240000012</v>
      </c>
      <c r="C350" t="s">
        <v>1917</v>
      </c>
      <c r="D350" t="str">
        <f>"4101"</f>
        <v>4101</v>
      </c>
      <c r="E350" t="s">
        <v>43</v>
      </c>
      <c r="F350" t="s">
        <v>631</v>
      </c>
      <c r="G350" t="s">
        <v>16235</v>
      </c>
      <c r="H350" t="s">
        <v>47054</v>
      </c>
      <c r="I350" t="s">
        <v>47116</v>
      </c>
      <c r="J350" t="s">
        <v>47117</v>
      </c>
      <c r="K350" t="s">
        <v>47113</v>
      </c>
      <c r="L350">
        <v>30.83</v>
      </c>
      <c r="M350">
        <v>66</v>
      </c>
      <c r="N350">
        <v>0</v>
      </c>
      <c r="O350">
        <v>66</v>
      </c>
      <c r="P350">
        <v>0</v>
      </c>
    </row>
    <row r="351" spans="1:16" x14ac:dyDescent="0.25">
      <c r="A351">
        <v>12400000151001</v>
      </c>
      <c r="B351" t="str">
        <f>"1240000015"</f>
        <v>1240000015</v>
      </c>
      <c r="C351" t="s">
        <v>1918</v>
      </c>
      <c r="D351" t="str">
        <f>"1001"</f>
        <v>1001</v>
      </c>
      <c r="E351" t="s">
        <v>42</v>
      </c>
      <c r="F351" t="s">
        <v>52</v>
      </c>
      <c r="G351" t="s">
        <v>16235</v>
      </c>
      <c r="H351" t="s">
        <v>47054</v>
      </c>
      <c r="I351" t="s">
        <v>47116</v>
      </c>
      <c r="J351" t="s">
        <v>47117</v>
      </c>
      <c r="K351" t="s">
        <v>47113</v>
      </c>
      <c r="L351">
        <v>33.07</v>
      </c>
      <c r="M351">
        <v>74</v>
      </c>
      <c r="N351">
        <v>0</v>
      </c>
      <c r="O351">
        <v>74</v>
      </c>
      <c r="P351">
        <v>0</v>
      </c>
    </row>
    <row r="352" spans="1:16" x14ac:dyDescent="0.25">
      <c r="A352">
        <v>12400000151202</v>
      </c>
      <c r="B352" t="str">
        <f>"1240000015"</f>
        <v>1240000015</v>
      </c>
      <c r="C352" t="s">
        <v>1918</v>
      </c>
      <c r="D352" t="str">
        <f>"1202"</f>
        <v>1202</v>
      </c>
      <c r="E352" t="s">
        <v>1834</v>
      </c>
      <c r="F352" t="s">
        <v>52</v>
      </c>
      <c r="G352" t="s">
        <v>16235</v>
      </c>
      <c r="H352" t="s">
        <v>47054</v>
      </c>
      <c r="I352" t="s">
        <v>47116</v>
      </c>
      <c r="J352" t="s">
        <v>47117</v>
      </c>
      <c r="K352" t="s">
        <v>47113</v>
      </c>
      <c r="L352">
        <v>33.07</v>
      </c>
      <c r="M352">
        <v>74</v>
      </c>
      <c r="N352">
        <v>0</v>
      </c>
      <c r="O352">
        <v>74</v>
      </c>
      <c r="P352">
        <v>0</v>
      </c>
    </row>
    <row r="353" spans="1:16" x14ac:dyDescent="0.25">
      <c r="A353">
        <v>12400000153152</v>
      </c>
      <c r="B353" t="str">
        <f>"1240000015"</f>
        <v>1240000015</v>
      </c>
      <c r="C353" t="s">
        <v>1918</v>
      </c>
      <c r="D353" t="str">
        <f>"3152"</f>
        <v>3152</v>
      </c>
      <c r="E353" t="s">
        <v>1840</v>
      </c>
      <c r="F353" t="s">
        <v>52</v>
      </c>
      <c r="G353" t="s">
        <v>16235</v>
      </c>
      <c r="H353" t="s">
        <v>47054</v>
      </c>
      <c r="I353" t="s">
        <v>47116</v>
      </c>
      <c r="J353" t="s">
        <v>47117</v>
      </c>
      <c r="K353" t="s">
        <v>47113</v>
      </c>
      <c r="L353">
        <v>33.07</v>
      </c>
      <c r="M353">
        <v>74</v>
      </c>
      <c r="N353">
        <v>0</v>
      </c>
      <c r="O353">
        <v>74</v>
      </c>
      <c r="P353">
        <v>0</v>
      </c>
    </row>
    <row r="354" spans="1:16" x14ac:dyDescent="0.25">
      <c r="A354">
        <v>12400000156005</v>
      </c>
      <c r="B354" t="str">
        <f>"1240000015"</f>
        <v>1240000015</v>
      </c>
      <c r="C354" t="s">
        <v>1918</v>
      </c>
      <c r="D354" t="str">
        <f>"6005"</f>
        <v>6005</v>
      </c>
      <c r="E354" t="s">
        <v>1749</v>
      </c>
      <c r="F354" t="s">
        <v>52</v>
      </c>
      <c r="G354" t="s">
        <v>16235</v>
      </c>
      <c r="H354" t="s">
        <v>47054</v>
      </c>
      <c r="I354" t="s">
        <v>47116</v>
      </c>
      <c r="J354" t="s">
        <v>47117</v>
      </c>
      <c r="K354" t="s">
        <v>47113</v>
      </c>
      <c r="L354">
        <v>32.25</v>
      </c>
      <c r="M354">
        <v>74</v>
      </c>
      <c r="N354">
        <v>0</v>
      </c>
      <c r="O354">
        <v>74</v>
      </c>
      <c r="P354">
        <v>0</v>
      </c>
    </row>
    <row r="355" spans="1:16" x14ac:dyDescent="0.25">
      <c r="A355">
        <v>12400000161001</v>
      </c>
      <c r="B355" t="str">
        <f>"1240000016"</f>
        <v>1240000016</v>
      </c>
      <c r="C355" t="s">
        <v>1919</v>
      </c>
      <c r="D355" t="str">
        <f>"1001"</f>
        <v>1001</v>
      </c>
      <c r="E355" t="s">
        <v>42</v>
      </c>
      <c r="F355" t="s">
        <v>52</v>
      </c>
      <c r="G355" t="s">
        <v>16235</v>
      </c>
      <c r="H355" t="s">
        <v>47054</v>
      </c>
      <c r="I355" t="s">
        <v>47114</v>
      </c>
      <c r="J355" t="s">
        <v>47115</v>
      </c>
      <c r="K355" t="s">
        <v>47113</v>
      </c>
      <c r="L355">
        <v>36.020000000000003</v>
      </c>
      <c r="M355">
        <v>88</v>
      </c>
      <c r="N355">
        <v>0</v>
      </c>
      <c r="O355">
        <v>88</v>
      </c>
      <c r="P355">
        <v>0</v>
      </c>
    </row>
    <row r="356" spans="1:16" x14ac:dyDescent="0.25">
      <c r="A356">
        <v>12400000161202</v>
      </c>
      <c r="B356" t="str">
        <f>"1240000016"</f>
        <v>1240000016</v>
      </c>
      <c r="C356" t="s">
        <v>1919</v>
      </c>
      <c r="D356" t="str">
        <f>"1202"</f>
        <v>1202</v>
      </c>
      <c r="E356" t="s">
        <v>1834</v>
      </c>
      <c r="F356" t="s">
        <v>52</v>
      </c>
      <c r="G356" t="s">
        <v>16235</v>
      </c>
      <c r="H356" t="s">
        <v>47054</v>
      </c>
      <c r="I356" t="s">
        <v>47114</v>
      </c>
      <c r="J356" t="s">
        <v>47115</v>
      </c>
      <c r="K356" t="s">
        <v>47113</v>
      </c>
      <c r="L356">
        <v>36.020000000000003</v>
      </c>
      <c r="M356">
        <v>88</v>
      </c>
      <c r="N356">
        <v>0</v>
      </c>
      <c r="O356">
        <v>88</v>
      </c>
      <c r="P356">
        <v>0</v>
      </c>
    </row>
    <row r="357" spans="1:16" x14ac:dyDescent="0.25">
      <c r="A357">
        <v>12400000191001</v>
      </c>
      <c r="B357" t="str">
        <f>"1240000019"</f>
        <v>1240000019</v>
      </c>
      <c r="C357" t="s">
        <v>1920</v>
      </c>
      <c r="D357" t="str">
        <f>"1001"</f>
        <v>1001</v>
      </c>
      <c r="E357" t="s">
        <v>42</v>
      </c>
      <c r="F357" t="s">
        <v>52</v>
      </c>
      <c r="G357" t="s">
        <v>16235</v>
      </c>
      <c r="H357" t="s">
        <v>47054</v>
      </c>
      <c r="I357" t="s">
        <v>47111</v>
      </c>
      <c r="J357" t="s">
        <v>47112</v>
      </c>
      <c r="K357" t="s">
        <v>47113</v>
      </c>
      <c r="L357">
        <v>55.69</v>
      </c>
      <c r="M357">
        <v>108</v>
      </c>
      <c r="N357">
        <v>0</v>
      </c>
      <c r="O357">
        <v>108</v>
      </c>
      <c r="P357">
        <v>0</v>
      </c>
    </row>
    <row r="358" spans="1:16" x14ac:dyDescent="0.25">
      <c r="A358">
        <v>12400000193152</v>
      </c>
      <c r="B358" t="str">
        <f>"1240000019"</f>
        <v>1240000019</v>
      </c>
      <c r="C358" t="s">
        <v>1920</v>
      </c>
      <c r="D358" t="str">
        <f>"3152"</f>
        <v>3152</v>
      </c>
      <c r="E358" t="s">
        <v>1840</v>
      </c>
      <c r="F358" t="s">
        <v>52</v>
      </c>
      <c r="G358" t="s">
        <v>16235</v>
      </c>
      <c r="H358" t="s">
        <v>47054</v>
      </c>
      <c r="I358" t="s">
        <v>47111</v>
      </c>
      <c r="J358" t="s">
        <v>47112</v>
      </c>
      <c r="K358" t="s">
        <v>47113</v>
      </c>
      <c r="L358">
        <v>55.69</v>
      </c>
      <c r="M358">
        <v>108</v>
      </c>
      <c r="N358">
        <v>0</v>
      </c>
      <c r="O358">
        <v>108</v>
      </c>
      <c r="P358">
        <v>0</v>
      </c>
    </row>
    <row r="359" spans="1:16" x14ac:dyDescent="0.25">
      <c r="A359">
        <v>12400000194101</v>
      </c>
      <c r="B359" t="str">
        <f>"1240000019"</f>
        <v>1240000019</v>
      </c>
      <c r="C359" t="s">
        <v>1920</v>
      </c>
      <c r="D359" t="str">
        <f>"4101"</f>
        <v>4101</v>
      </c>
      <c r="E359" t="s">
        <v>43</v>
      </c>
      <c r="F359" t="s">
        <v>52</v>
      </c>
      <c r="G359" t="s">
        <v>16235</v>
      </c>
      <c r="H359" t="s">
        <v>47054</v>
      </c>
      <c r="I359" t="s">
        <v>47111</v>
      </c>
      <c r="J359" t="s">
        <v>47112</v>
      </c>
      <c r="K359" t="s">
        <v>47113</v>
      </c>
      <c r="L359">
        <v>55.69</v>
      </c>
      <c r="M359">
        <v>108</v>
      </c>
      <c r="N359">
        <v>0</v>
      </c>
      <c r="O359">
        <v>108</v>
      </c>
      <c r="P359">
        <v>0</v>
      </c>
    </row>
    <row r="360" spans="1:16" x14ac:dyDescent="0.25">
      <c r="A360">
        <v>12400000201001</v>
      </c>
      <c r="B360" t="str">
        <f>"1240000020"</f>
        <v>1240000020</v>
      </c>
      <c r="C360" t="s">
        <v>1921</v>
      </c>
      <c r="D360" t="str">
        <f>"1001"</f>
        <v>1001</v>
      </c>
      <c r="E360" t="s">
        <v>42</v>
      </c>
      <c r="F360" t="s">
        <v>52</v>
      </c>
      <c r="G360" t="s">
        <v>16235</v>
      </c>
      <c r="H360" t="s">
        <v>47054</v>
      </c>
      <c r="I360" t="s">
        <v>47114</v>
      </c>
      <c r="J360" t="s">
        <v>47115</v>
      </c>
      <c r="K360" t="s">
        <v>47113</v>
      </c>
      <c r="L360">
        <v>41.7</v>
      </c>
      <c r="M360">
        <v>102</v>
      </c>
      <c r="N360">
        <v>0</v>
      </c>
      <c r="O360">
        <v>102</v>
      </c>
      <c r="P360">
        <v>0</v>
      </c>
    </row>
    <row r="361" spans="1:16" x14ac:dyDescent="0.25">
      <c r="A361">
        <v>12400000201202</v>
      </c>
      <c r="B361" t="str">
        <f>"1240000020"</f>
        <v>1240000020</v>
      </c>
      <c r="C361" t="s">
        <v>1921</v>
      </c>
      <c r="D361" t="str">
        <f>"1202"</f>
        <v>1202</v>
      </c>
      <c r="E361" t="s">
        <v>1834</v>
      </c>
      <c r="F361" t="s">
        <v>52</v>
      </c>
      <c r="G361" t="s">
        <v>16235</v>
      </c>
      <c r="H361" t="s">
        <v>47054</v>
      </c>
      <c r="I361" t="s">
        <v>47114</v>
      </c>
      <c r="J361" t="s">
        <v>47115</v>
      </c>
      <c r="K361" t="s">
        <v>47113</v>
      </c>
      <c r="L361">
        <v>41.7</v>
      </c>
      <c r="M361">
        <v>102</v>
      </c>
      <c r="N361">
        <v>0</v>
      </c>
      <c r="O361">
        <v>102</v>
      </c>
      <c r="P361">
        <v>0</v>
      </c>
    </row>
    <row r="362" spans="1:16" x14ac:dyDescent="0.25">
      <c r="A362">
        <v>12400000203152</v>
      </c>
      <c r="B362" t="str">
        <f>"1240000020"</f>
        <v>1240000020</v>
      </c>
      <c r="C362" t="s">
        <v>1921</v>
      </c>
      <c r="D362" t="str">
        <f>"3152"</f>
        <v>3152</v>
      </c>
      <c r="E362" t="s">
        <v>1840</v>
      </c>
      <c r="F362" t="s">
        <v>52</v>
      </c>
      <c r="G362" t="s">
        <v>16235</v>
      </c>
      <c r="H362" t="s">
        <v>47054</v>
      </c>
      <c r="I362" t="s">
        <v>47114</v>
      </c>
      <c r="J362" t="s">
        <v>47115</v>
      </c>
      <c r="K362" t="s">
        <v>47113</v>
      </c>
      <c r="L362">
        <v>41.7</v>
      </c>
      <c r="M362">
        <v>102</v>
      </c>
      <c r="N362">
        <v>0</v>
      </c>
      <c r="O362">
        <v>102</v>
      </c>
      <c r="P362">
        <v>0</v>
      </c>
    </row>
    <row r="363" spans="1:16" x14ac:dyDescent="0.25">
      <c r="A363">
        <v>12400000204101</v>
      </c>
      <c r="B363" t="str">
        <f>"1240000020"</f>
        <v>1240000020</v>
      </c>
      <c r="C363" t="s">
        <v>1921</v>
      </c>
      <c r="D363" t="str">
        <f>"4101"</f>
        <v>4101</v>
      </c>
      <c r="E363" t="s">
        <v>43</v>
      </c>
      <c r="F363" t="s">
        <v>52</v>
      </c>
      <c r="G363" t="s">
        <v>16235</v>
      </c>
      <c r="H363" t="s">
        <v>47054</v>
      </c>
      <c r="I363" t="s">
        <v>47114</v>
      </c>
      <c r="J363" t="s">
        <v>47115</v>
      </c>
      <c r="K363" t="s">
        <v>47113</v>
      </c>
      <c r="L363">
        <v>41.7</v>
      </c>
      <c r="M363">
        <v>102</v>
      </c>
      <c r="N363">
        <v>0</v>
      </c>
      <c r="O363">
        <v>102</v>
      </c>
      <c r="P363">
        <v>0</v>
      </c>
    </row>
    <row r="364" spans="1:16" x14ac:dyDescent="0.25">
      <c r="A364">
        <v>12400000341501</v>
      </c>
      <c r="B364" t="str">
        <f>"1240000034"</f>
        <v>1240000034</v>
      </c>
      <c r="C364" t="s">
        <v>1915</v>
      </c>
      <c r="D364" t="str">
        <f>"1501"</f>
        <v>1501</v>
      </c>
      <c r="E364" t="s">
        <v>46</v>
      </c>
      <c r="F364" t="s">
        <v>52</v>
      </c>
      <c r="G364" t="s">
        <v>16235</v>
      </c>
      <c r="H364" t="s">
        <v>47054</v>
      </c>
      <c r="I364" t="s">
        <v>47116</v>
      </c>
      <c r="J364" t="s">
        <v>47117</v>
      </c>
      <c r="K364" t="s">
        <v>47113</v>
      </c>
      <c r="L364">
        <v>35.79</v>
      </c>
      <c r="M364">
        <v>88</v>
      </c>
      <c r="N364">
        <v>0</v>
      </c>
      <c r="O364">
        <v>88</v>
      </c>
      <c r="P364">
        <v>0</v>
      </c>
    </row>
    <row r="365" spans="1:16" x14ac:dyDescent="0.25">
      <c r="A365">
        <v>12400000371501</v>
      </c>
      <c r="B365" t="str">
        <f>"1240000037"</f>
        <v>1240000037</v>
      </c>
      <c r="C365" t="s">
        <v>1917</v>
      </c>
      <c r="D365" t="str">
        <f>"1501"</f>
        <v>1501</v>
      </c>
      <c r="E365" t="s">
        <v>46</v>
      </c>
      <c r="F365" t="s">
        <v>631</v>
      </c>
      <c r="G365" t="s">
        <v>16235</v>
      </c>
      <c r="H365" t="s">
        <v>47054</v>
      </c>
      <c r="I365" t="s">
        <v>47116</v>
      </c>
      <c r="J365" t="s">
        <v>47117</v>
      </c>
      <c r="K365" t="s">
        <v>47113</v>
      </c>
      <c r="L365">
        <v>29.27</v>
      </c>
      <c r="M365">
        <v>66</v>
      </c>
      <c r="N365">
        <v>0</v>
      </c>
      <c r="O365">
        <v>66</v>
      </c>
      <c r="P365">
        <v>0</v>
      </c>
    </row>
    <row r="366" spans="1:16" x14ac:dyDescent="0.25">
      <c r="A366" t="s">
        <v>23097</v>
      </c>
      <c r="B366" t="str">
        <f>"1400000002"</f>
        <v>1400000002</v>
      </c>
      <c r="C366" t="s">
        <v>1922</v>
      </c>
      <c r="D366" t="s">
        <v>1923</v>
      </c>
      <c r="E366" t="s">
        <v>1924</v>
      </c>
      <c r="F366" t="s">
        <v>52</v>
      </c>
      <c r="G366" t="s">
        <v>47122</v>
      </c>
      <c r="H366" t="s">
        <v>47054</v>
      </c>
      <c r="I366" t="s">
        <v>47114</v>
      </c>
      <c r="J366" t="s">
        <v>47115</v>
      </c>
      <c r="K366" t="s">
        <v>47113</v>
      </c>
      <c r="L366">
        <v>44.39</v>
      </c>
      <c r="M366">
        <v>98</v>
      </c>
      <c r="N366">
        <v>0</v>
      </c>
      <c r="O366">
        <v>98</v>
      </c>
      <c r="P366">
        <v>0</v>
      </c>
    </row>
    <row r="367" spans="1:16" x14ac:dyDescent="0.25">
      <c r="A367" t="s">
        <v>23098</v>
      </c>
      <c r="B367" t="str">
        <f>"1410000003"</f>
        <v>1410000003</v>
      </c>
      <c r="C367" t="s">
        <v>1925</v>
      </c>
      <c r="D367" t="s">
        <v>1718</v>
      </c>
      <c r="E367" t="s">
        <v>1719</v>
      </c>
      <c r="F367" t="s">
        <v>1717</v>
      </c>
      <c r="G367" t="s">
        <v>16224</v>
      </c>
      <c r="H367" t="s">
        <v>47054</v>
      </c>
      <c r="I367" t="s">
        <v>47111</v>
      </c>
      <c r="J367" t="s">
        <v>47112</v>
      </c>
      <c r="K367" t="s">
        <v>47113</v>
      </c>
      <c r="L367">
        <v>36.32</v>
      </c>
      <c r="M367">
        <v>101</v>
      </c>
      <c r="N367">
        <v>0</v>
      </c>
      <c r="O367">
        <v>101</v>
      </c>
      <c r="P367">
        <v>0</v>
      </c>
    </row>
    <row r="368" spans="1:16" x14ac:dyDescent="0.25">
      <c r="A368" t="s">
        <v>23099</v>
      </c>
      <c r="B368" t="str">
        <f>"1410000003"</f>
        <v>1410000003</v>
      </c>
      <c r="C368" t="s">
        <v>1925</v>
      </c>
      <c r="D368" t="s">
        <v>1926</v>
      </c>
      <c r="E368" t="s">
        <v>1927</v>
      </c>
      <c r="F368" t="s">
        <v>8</v>
      </c>
      <c r="G368" t="s">
        <v>16224</v>
      </c>
      <c r="H368" t="s">
        <v>47054</v>
      </c>
      <c r="I368" t="s">
        <v>47111</v>
      </c>
      <c r="J368" t="s">
        <v>47112</v>
      </c>
      <c r="K368" t="s">
        <v>47113</v>
      </c>
      <c r="L368">
        <v>39.4</v>
      </c>
      <c r="M368">
        <v>108</v>
      </c>
      <c r="N368">
        <v>0</v>
      </c>
      <c r="O368">
        <v>108</v>
      </c>
      <c r="P368">
        <v>0</v>
      </c>
    </row>
    <row r="369" spans="1:16" x14ac:dyDescent="0.25">
      <c r="A369" t="s">
        <v>23100</v>
      </c>
      <c r="B369" t="str">
        <f>"1410000003"</f>
        <v>1410000003</v>
      </c>
      <c r="C369" t="s">
        <v>1925</v>
      </c>
      <c r="D369" t="s">
        <v>1928</v>
      </c>
      <c r="E369" t="s">
        <v>1929</v>
      </c>
      <c r="F369" t="s">
        <v>1717</v>
      </c>
      <c r="G369" t="s">
        <v>16224</v>
      </c>
      <c r="H369" t="s">
        <v>47054</v>
      </c>
      <c r="I369" t="s">
        <v>47111</v>
      </c>
      <c r="J369" t="s">
        <v>47112</v>
      </c>
      <c r="K369" t="s">
        <v>47113</v>
      </c>
      <c r="L369">
        <v>39.76</v>
      </c>
      <c r="M369">
        <v>108</v>
      </c>
      <c r="N369">
        <v>0</v>
      </c>
      <c r="O369">
        <v>108</v>
      </c>
      <c r="P369">
        <v>0</v>
      </c>
    </row>
    <row r="370" spans="1:16" x14ac:dyDescent="0.25">
      <c r="A370" t="s">
        <v>23101</v>
      </c>
      <c r="B370" t="str">
        <f>"1410000004"</f>
        <v>1410000004</v>
      </c>
      <c r="C370" t="s">
        <v>1930</v>
      </c>
      <c r="D370" t="s">
        <v>1928</v>
      </c>
      <c r="E370" t="s">
        <v>1929</v>
      </c>
      <c r="F370" t="s">
        <v>8</v>
      </c>
      <c r="G370" t="s">
        <v>16224</v>
      </c>
      <c r="H370" t="s">
        <v>47054</v>
      </c>
      <c r="I370" t="s">
        <v>47116</v>
      </c>
      <c r="J370" t="s">
        <v>47117</v>
      </c>
      <c r="K370" t="s">
        <v>47113</v>
      </c>
      <c r="L370">
        <v>44.71</v>
      </c>
      <c r="M370">
        <v>121</v>
      </c>
      <c r="N370">
        <v>0</v>
      </c>
      <c r="O370">
        <v>121</v>
      </c>
      <c r="P370">
        <v>0</v>
      </c>
    </row>
    <row r="371" spans="1:16" x14ac:dyDescent="0.25">
      <c r="A371" t="s">
        <v>23102</v>
      </c>
      <c r="B371" t="s">
        <v>19525</v>
      </c>
      <c r="C371" t="s">
        <v>19526</v>
      </c>
      <c r="D371" t="str">
        <f>"4100"</f>
        <v>4100</v>
      </c>
      <c r="E371" t="s">
        <v>2383</v>
      </c>
      <c r="F371" t="s">
        <v>16601</v>
      </c>
      <c r="G371" t="s">
        <v>16448</v>
      </c>
      <c r="H371" t="s">
        <v>47123</v>
      </c>
      <c r="I371" t="s">
        <v>47120</v>
      </c>
      <c r="J371" t="s">
        <v>47121</v>
      </c>
      <c r="K371" t="s">
        <v>47113</v>
      </c>
      <c r="L371">
        <v>120.24</v>
      </c>
      <c r="M371">
        <v>222</v>
      </c>
      <c r="N371">
        <v>0</v>
      </c>
      <c r="O371">
        <v>222</v>
      </c>
      <c r="P371">
        <v>0</v>
      </c>
    </row>
    <row r="372" spans="1:16" x14ac:dyDescent="0.25">
      <c r="A372" t="s">
        <v>23103</v>
      </c>
      <c r="B372" t="s">
        <v>19527</v>
      </c>
      <c r="C372" t="s">
        <v>19528</v>
      </c>
      <c r="D372" t="str">
        <f>"1200"</f>
        <v>1200</v>
      </c>
      <c r="E372" t="s">
        <v>241</v>
      </c>
      <c r="F372" t="s">
        <v>16601</v>
      </c>
      <c r="G372" t="s">
        <v>47102</v>
      </c>
      <c r="H372" t="s">
        <v>47123</v>
      </c>
      <c r="I372" t="s">
        <v>47120</v>
      </c>
      <c r="J372" t="s">
        <v>47121</v>
      </c>
      <c r="K372" t="s">
        <v>47113</v>
      </c>
      <c r="L372">
        <v>156.32</v>
      </c>
      <c r="M372">
        <v>289</v>
      </c>
      <c r="N372">
        <v>0</v>
      </c>
      <c r="O372">
        <v>289</v>
      </c>
      <c r="P372">
        <v>0</v>
      </c>
    </row>
    <row r="373" spans="1:16" x14ac:dyDescent="0.25">
      <c r="A373" t="s">
        <v>23104</v>
      </c>
      <c r="B373" t="s">
        <v>19529</v>
      </c>
      <c r="C373" t="s">
        <v>2177</v>
      </c>
      <c r="D373" t="str">
        <f>"1200"</f>
        <v>1200</v>
      </c>
      <c r="E373" t="s">
        <v>241</v>
      </c>
      <c r="F373" t="s">
        <v>16601</v>
      </c>
      <c r="G373" t="s">
        <v>47102</v>
      </c>
      <c r="H373" t="s">
        <v>47123</v>
      </c>
      <c r="I373" t="s">
        <v>47120</v>
      </c>
      <c r="J373" t="s">
        <v>47121</v>
      </c>
      <c r="K373" t="s">
        <v>47113</v>
      </c>
      <c r="L373">
        <v>110.07</v>
      </c>
      <c r="M373">
        <v>202</v>
      </c>
      <c r="N373">
        <v>0</v>
      </c>
      <c r="O373">
        <v>202</v>
      </c>
      <c r="P373">
        <v>0</v>
      </c>
    </row>
    <row r="374" spans="1:16" x14ac:dyDescent="0.25">
      <c r="A374" t="s">
        <v>23105</v>
      </c>
      <c r="B374" t="s">
        <v>19530</v>
      </c>
      <c r="C374" t="s">
        <v>19531</v>
      </c>
      <c r="D374" t="str">
        <f>"1200"</f>
        <v>1200</v>
      </c>
      <c r="E374" t="s">
        <v>241</v>
      </c>
      <c r="F374" t="s">
        <v>16601</v>
      </c>
      <c r="G374" t="s">
        <v>47102</v>
      </c>
      <c r="H374" t="s">
        <v>47123</v>
      </c>
      <c r="I374" t="s">
        <v>47120</v>
      </c>
      <c r="J374" t="s">
        <v>47121</v>
      </c>
      <c r="K374" t="s">
        <v>47113</v>
      </c>
      <c r="L374">
        <v>98.05</v>
      </c>
      <c r="M374">
        <v>185</v>
      </c>
      <c r="N374">
        <v>0</v>
      </c>
      <c r="O374">
        <v>185</v>
      </c>
      <c r="P374">
        <v>0</v>
      </c>
    </row>
    <row r="375" spans="1:16" x14ac:dyDescent="0.25">
      <c r="A375" t="s">
        <v>23106</v>
      </c>
      <c r="B375" t="s">
        <v>19532</v>
      </c>
      <c r="C375" t="s">
        <v>19533</v>
      </c>
      <c r="D375" t="str">
        <f>"3000"</f>
        <v>3000</v>
      </c>
      <c r="E375" t="s">
        <v>2220</v>
      </c>
      <c r="F375" t="s">
        <v>16601</v>
      </c>
      <c r="G375" t="s">
        <v>47102</v>
      </c>
      <c r="H375" t="s">
        <v>47123</v>
      </c>
      <c r="I375" t="s">
        <v>47120</v>
      </c>
      <c r="J375" t="s">
        <v>47121</v>
      </c>
      <c r="K375" t="s">
        <v>47113</v>
      </c>
      <c r="L375">
        <v>98.97</v>
      </c>
      <c r="M375">
        <v>191</v>
      </c>
      <c r="N375">
        <v>0</v>
      </c>
      <c r="O375">
        <v>191</v>
      </c>
      <c r="P375">
        <v>0</v>
      </c>
    </row>
    <row r="376" spans="1:16" x14ac:dyDescent="0.25">
      <c r="A376" t="s">
        <v>23107</v>
      </c>
      <c r="B376" t="s">
        <v>19534</v>
      </c>
      <c r="C376" t="s">
        <v>19535</v>
      </c>
      <c r="D376" t="str">
        <f>"4100"</f>
        <v>4100</v>
      </c>
      <c r="E376" t="s">
        <v>2383</v>
      </c>
      <c r="F376" t="s">
        <v>16601</v>
      </c>
      <c r="G376" t="s">
        <v>47102</v>
      </c>
      <c r="H376" t="s">
        <v>47123</v>
      </c>
      <c r="I376" t="s">
        <v>47120</v>
      </c>
      <c r="J376" t="s">
        <v>47121</v>
      </c>
      <c r="K376" t="s">
        <v>47113</v>
      </c>
      <c r="L376">
        <v>131.34</v>
      </c>
      <c r="M376">
        <v>147</v>
      </c>
      <c r="N376">
        <v>0</v>
      </c>
      <c r="O376">
        <v>147</v>
      </c>
      <c r="P376">
        <v>0</v>
      </c>
    </row>
    <row r="377" spans="1:16" x14ac:dyDescent="0.25">
      <c r="A377" t="s">
        <v>23108</v>
      </c>
      <c r="B377" t="s">
        <v>19536</v>
      </c>
      <c r="C377" t="s">
        <v>3979</v>
      </c>
      <c r="D377" t="str">
        <f>"4100"</f>
        <v>4100</v>
      </c>
      <c r="E377" t="s">
        <v>2383</v>
      </c>
      <c r="F377" t="s">
        <v>16601</v>
      </c>
      <c r="G377" t="s">
        <v>47102</v>
      </c>
      <c r="H377" t="s">
        <v>47123</v>
      </c>
      <c r="I377" t="s">
        <v>47120</v>
      </c>
      <c r="J377" t="s">
        <v>47121</v>
      </c>
      <c r="K377" t="s">
        <v>47113</v>
      </c>
      <c r="L377">
        <v>153.54</v>
      </c>
      <c r="M377">
        <v>289</v>
      </c>
      <c r="N377">
        <v>0</v>
      </c>
      <c r="O377">
        <v>289</v>
      </c>
      <c r="P377">
        <v>0</v>
      </c>
    </row>
    <row r="378" spans="1:16" x14ac:dyDescent="0.25">
      <c r="A378" t="s">
        <v>23109</v>
      </c>
      <c r="B378" t="s">
        <v>19537</v>
      </c>
      <c r="C378" t="s">
        <v>19538</v>
      </c>
      <c r="D378" t="str">
        <f>"1001"</f>
        <v>1001</v>
      </c>
      <c r="E378" t="s">
        <v>42</v>
      </c>
      <c r="F378" t="s">
        <v>16601</v>
      </c>
      <c r="G378" t="s">
        <v>47102</v>
      </c>
      <c r="H378" t="s">
        <v>47123</v>
      </c>
      <c r="I378" t="s">
        <v>47120</v>
      </c>
      <c r="J378" t="s">
        <v>47121</v>
      </c>
      <c r="K378" t="s">
        <v>47113</v>
      </c>
      <c r="L378">
        <v>146.13999999999999</v>
      </c>
      <c r="M378">
        <v>277</v>
      </c>
      <c r="N378">
        <v>0</v>
      </c>
      <c r="O378">
        <v>277</v>
      </c>
      <c r="P378">
        <v>0</v>
      </c>
    </row>
    <row r="379" spans="1:16" x14ac:dyDescent="0.25">
      <c r="A379">
        <v>200000000340</v>
      </c>
      <c r="B379" t="str">
        <f>"2000000003"</f>
        <v>2000000003</v>
      </c>
      <c r="C379" t="s">
        <v>1931</v>
      </c>
      <c r="D379" t="str">
        <f>"40"</f>
        <v>40</v>
      </c>
      <c r="E379" t="s">
        <v>31</v>
      </c>
      <c r="F379" t="s">
        <v>8</v>
      </c>
      <c r="G379" t="s">
        <v>47093</v>
      </c>
      <c r="H379" t="s">
        <v>47054</v>
      </c>
      <c r="I379" t="s">
        <v>47111</v>
      </c>
      <c r="J379" t="s">
        <v>47112</v>
      </c>
      <c r="K379" t="s">
        <v>47113</v>
      </c>
      <c r="L379">
        <v>46.72</v>
      </c>
      <c r="M379">
        <v>128</v>
      </c>
      <c r="N379">
        <v>0</v>
      </c>
      <c r="O379">
        <v>128</v>
      </c>
      <c r="P379">
        <v>0</v>
      </c>
    </row>
    <row r="380" spans="1:16" x14ac:dyDescent="0.25">
      <c r="A380" t="s">
        <v>23110</v>
      </c>
      <c r="B380" t="str">
        <f>"2000000003"</f>
        <v>2000000003</v>
      </c>
      <c r="C380" t="s">
        <v>1931</v>
      </c>
      <c r="D380" t="s">
        <v>1341</v>
      </c>
      <c r="E380" t="s">
        <v>1342</v>
      </c>
      <c r="F380" t="s">
        <v>8</v>
      </c>
      <c r="G380" t="s">
        <v>47093</v>
      </c>
      <c r="H380" t="s">
        <v>47054</v>
      </c>
      <c r="I380" t="s">
        <v>47111</v>
      </c>
      <c r="J380" t="s">
        <v>47112</v>
      </c>
      <c r="K380" t="s">
        <v>47113</v>
      </c>
      <c r="L380">
        <v>47.68</v>
      </c>
      <c r="M380">
        <v>128</v>
      </c>
      <c r="N380">
        <v>0</v>
      </c>
      <c r="O380">
        <v>128</v>
      </c>
      <c r="P380">
        <v>0</v>
      </c>
    </row>
    <row r="381" spans="1:16" x14ac:dyDescent="0.25">
      <c r="A381">
        <v>200000000540</v>
      </c>
      <c r="B381" t="str">
        <f>"2000000005"</f>
        <v>2000000005</v>
      </c>
      <c r="C381" t="s">
        <v>1932</v>
      </c>
      <c r="D381" t="str">
        <f>"40"</f>
        <v>40</v>
      </c>
      <c r="E381" t="s">
        <v>31</v>
      </c>
      <c r="F381" t="s">
        <v>8</v>
      </c>
      <c r="G381" t="s">
        <v>47093</v>
      </c>
      <c r="H381" t="s">
        <v>47054</v>
      </c>
      <c r="I381" t="s">
        <v>47111</v>
      </c>
      <c r="J381" t="s">
        <v>47112</v>
      </c>
      <c r="K381" t="s">
        <v>47113</v>
      </c>
      <c r="L381">
        <v>46.43</v>
      </c>
      <c r="M381">
        <v>128</v>
      </c>
      <c r="N381">
        <v>0</v>
      </c>
      <c r="O381">
        <v>128</v>
      </c>
      <c r="P381">
        <v>0</v>
      </c>
    </row>
    <row r="382" spans="1:16" x14ac:dyDescent="0.25">
      <c r="A382">
        <v>20000000111885</v>
      </c>
      <c r="B382" t="str">
        <f>"2000000011"</f>
        <v>2000000011</v>
      </c>
      <c r="C382" t="s">
        <v>1933</v>
      </c>
      <c r="D382" t="str">
        <f>"1885"</f>
        <v>1885</v>
      </c>
      <c r="E382" t="s">
        <v>1934</v>
      </c>
      <c r="F382" t="s">
        <v>36</v>
      </c>
      <c r="G382" t="s">
        <v>47093</v>
      </c>
      <c r="H382" t="s">
        <v>47054</v>
      </c>
      <c r="I382" t="s">
        <v>47111</v>
      </c>
      <c r="J382" t="s">
        <v>47112</v>
      </c>
      <c r="K382" t="s">
        <v>47113</v>
      </c>
      <c r="L382">
        <v>48.83</v>
      </c>
      <c r="M382">
        <v>109</v>
      </c>
      <c r="N382">
        <v>0</v>
      </c>
      <c r="O382">
        <v>109</v>
      </c>
      <c r="P382">
        <v>0</v>
      </c>
    </row>
    <row r="383" spans="1:16" x14ac:dyDescent="0.25">
      <c r="A383">
        <v>20100000131501</v>
      </c>
      <c r="B383" t="str">
        <f>"2010000013"</f>
        <v>2010000013</v>
      </c>
      <c r="C383" t="s">
        <v>1935</v>
      </c>
      <c r="D383" t="str">
        <f>"1501"</f>
        <v>1501</v>
      </c>
      <c r="E383" t="s">
        <v>46</v>
      </c>
      <c r="F383" t="s">
        <v>56</v>
      </c>
      <c r="G383" t="s">
        <v>47099</v>
      </c>
      <c r="H383" t="s">
        <v>47054</v>
      </c>
      <c r="I383" t="s">
        <v>47114</v>
      </c>
      <c r="J383" t="s">
        <v>47115</v>
      </c>
      <c r="K383" t="s">
        <v>47113</v>
      </c>
      <c r="L383">
        <v>36.31</v>
      </c>
      <c r="M383">
        <v>81</v>
      </c>
      <c r="N383">
        <v>0</v>
      </c>
      <c r="O383">
        <v>81</v>
      </c>
      <c r="P383">
        <v>0</v>
      </c>
    </row>
    <row r="384" spans="1:16" x14ac:dyDescent="0.25">
      <c r="A384">
        <v>20300000051001</v>
      </c>
      <c r="B384" t="str">
        <f>"2030000005"</f>
        <v>2030000005</v>
      </c>
      <c r="C384" t="s">
        <v>41</v>
      </c>
      <c r="D384" t="str">
        <f>"1001"</f>
        <v>1001</v>
      </c>
      <c r="E384" t="s">
        <v>42</v>
      </c>
      <c r="F384" t="s">
        <v>8</v>
      </c>
      <c r="G384" t="s">
        <v>47095</v>
      </c>
      <c r="H384" t="s">
        <v>47054</v>
      </c>
      <c r="I384" t="s">
        <v>47111</v>
      </c>
      <c r="J384" t="s">
        <v>47112</v>
      </c>
      <c r="K384" t="s">
        <v>47113</v>
      </c>
      <c r="L384">
        <v>22.68</v>
      </c>
      <c r="M384">
        <v>53</v>
      </c>
      <c r="N384">
        <v>0</v>
      </c>
      <c r="O384">
        <v>53</v>
      </c>
      <c r="P384">
        <v>0</v>
      </c>
    </row>
    <row r="385" spans="1:16" x14ac:dyDescent="0.25">
      <c r="A385">
        <v>20300000054101</v>
      </c>
      <c r="B385" t="str">
        <f>"2030000005"</f>
        <v>2030000005</v>
      </c>
      <c r="C385" t="s">
        <v>41</v>
      </c>
      <c r="D385" t="str">
        <f>"4101"</f>
        <v>4101</v>
      </c>
      <c r="E385" t="s">
        <v>43</v>
      </c>
      <c r="F385" t="s">
        <v>8</v>
      </c>
      <c r="G385" t="s">
        <v>47095</v>
      </c>
      <c r="H385" t="s">
        <v>47054</v>
      </c>
      <c r="I385" t="s">
        <v>47111</v>
      </c>
      <c r="J385" t="s">
        <v>47112</v>
      </c>
      <c r="K385" t="s">
        <v>47113</v>
      </c>
      <c r="L385">
        <v>22.68</v>
      </c>
      <c r="M385">
        <v>53</v>
      </c>
      <c r="N385">
        <v>0</v>
      </c>
      <c r="O385">
        <v>53</v>
      </c>
      <c r="P385">
        <v>0</v>
      </c>
    </row>
    <row r="386" spans="1:16" x14ac:dyDescent="0.25">
      <c r="A386">
        <v>20300000054201</v>
      </c>
      <c r="B386" t="str">
        <f>"2030000005"</f>
        <v>2030000005</v>
      </c>
      <c r="C386" t="s">
        <v>41</v>
      </c>
      <c r="D386" t="str">
        <f>"4201"</f>
        <v>4201</v>
      </c>
      <c r="E386" t="s">
        <v>1855</v>
      </c>
      <c r="F386" t="s">
        <v>8</v>
      </c>
      <c r="G386" t="s">
        <v>47095</v>
      </c>
      <c r="H386" t="s">
        <v>47054</v>
      </c>
      <c r="I386" t="s">
        <v>47111</v>
      </c>
      <c r="J386" t="s">
        <v>47112</v>
      </c>
      <c r="K386" t="s">
        <v>47113</v>
      </c>
      <c r="L386">
        <v>23.25</v>
      </c>
      <c r="M386">
        <v>53</v>
      </c>
      <c r="N386">
        <v>0</v>
      </c>
      <c r="O386">
        <v>53</v>
      </c>
      <c r="P386">
        <v>0</v>
      </c>
    </row>
    <row r="387" spans="1:16" x14ac:dyDescent="0.25">
      <c r="A387">
        <v>20300000055202</v>
      </c>
      <c r="B387" t="str">
        <f>"2030000005"</f>
        <v>2030000005</v>
      </c>
      <c r="C387" t="s">
        <v>41</v>
      </c>
      <c r="D387" t="str">
        <f>"5202"</f>
        <v>5202</v>
      </c>
      <c r="E387" t="s">
        <v>44</v>
      </c>
      <c r="F387" t="s">
        <v>8</v>
      </c>
      <c r="G387" t="s">
        <v>47095</v>
      </c>
      <c r="H387" t="s">
        <v>47054</v>
      </c>
      <c r="I387" t="s">
        <v>47111</v>
      </c>
      <c r="J387" t="s">
        <v>47112</v>
      </c>
      <c r="K387" t="s">
        <v>47113</v>
      </c>
      <c r="L387">
        <v>22.68</v>
      </c>
      <c r="M387">
        <v>53</v>
      </c>
      <c r="N387">
        <v>0</v>
      </c>
      <c r="O387">
        <v>53</v>
      </c>
      <c r="P387">
        <v>0</v>
      </c>
    </row>
    <row r="388" spans="1:16" x14ac:dyDescent="0.25">
      <c r="A388">
        <v>20300000081003</v>
      </c>
      <c r="B388" t="str">
        <f>"2030000008"</f>
        <v>2030000008</v>
      </c>
      <c r="C388" t="s">
        <v>1936</v>
      </c>
      <c r="D388" t="str">
        <f>"1003"</f>
        <v>1003</v>
      </c>
      <c r="E388" t="s">
        <v>773</v>
      </c>
      <c r="F388" t="s">
        <v>52</v>
      </c>
      <c r="G388" t="s">
        <v>47095</v>
      </c>
      <c r="H388" t="s">
        <v>47054</v>
      </c>
      <c r="I388" t="s">
        <v>47111</v>
      </c>
      <c r="J388" t="s">
        <v>47112</v>
      </c>
      <c r="K388" t="s">
        <v>47113</v>
      </c>
      <c r="L388">
        <v>25.6</v>
      </c>
      <c r="M388">
        <v>63</v>
      </c>
      <c r="N388">
        <v>0</v>
      </c>
      <c r="O388">
        <v>63</v>
      </c>
      <c r="P388">
        <v>0</v>
      </c>
    </row>
    <row r="389" spans="1:16" x14ac:dyDescent="0.25">
      <c r="A389">
        <v>20300000081306</v>
      </c>
      <c r="B389" t="str">
        <f>"2030000008"</f>
        <v>2030000008</v>
      </c>
      <c r="C389" t="s">
        <v>1936</v>
      </c>
      <c r="D389" t="str">
        <f>"1306"</f>
        <v>1306</v>
      </c>
      <c r="E389" t="s">
        <v>1937</v>
      </c>
      <c r="F389" t="s">
        <v>52</v>
      </c>
      <c r="G389" t="s">
        <v>47095</v>
      </c>
      <c r="H389" t="s">
        <v>47054</v>
      </c>
      <c r="I389" t="s">
        <v>47111</v>
      </c>
      <c r="J389" t="s">
        <v>47112</v>
      </c>
      <c r="K389" t="s">
        <v>47113</v>
      </c>
      <c r="L389">
        <v>25.6</v>
      </c>
      <c r="M389">
        <v>63</v>
      </c>
      <c r="N389">
        <v>0</v>
      </c>
      <c r="O389">
        <v>63</v>
      </c>
      <c r="P389">
        <v>0</v>
      </c>
    </row>
    <row r="390" spans="1:16" x14ac:dyDescent="0.25">
      <c r="A390">
        <v>20300000111700</v>
      </c>
      <c r="B390" t="str">
        <f>"2030000011"</f>
        <v>2030000011</v>
      </c>
      <c r="C390" t="s">
        <v>1938</v>
      </c>
      <c r="D390" t="str">
        <f>"1700"</f>
        <v>1700</v>
      </c>
      <c r="E390" t="s">
        <v>60</v>
      </c>
      <c r="F390" t="s">
        <v>56</v>
      </c>
      <c r="G390" t="s">
        <v>47095</v>
      </c>
      <c r="H390" t="s">
        <v>47054</v>
      </c>
      <c r="I390" t="s">
        <v>47116</v>
      </c>
      <c r="J390" t="s">
        <v>47117</v>
      </c>
      <c r="K390" t="s">
        <v>47113</v>
      </c>
      <c r="L390">
        <v>25.81</v>
      </c>
      <c r="M390">
        <v>57</v>
      </c>
      <c r="N390">
        <v>0</v>
      </c>
      <c r="O390">
        <v>57</v>
      </c>
      <c r="P390">
        <v>0</v>
      </c>
    </row>
    <row r="391" spans="1:16" x14ac:dyDescent="0.25">
      <c r="A391">
        <v>20300000124207</v>
      </c>
      <c r="B391" t="str">
        <f>"2030000012"</f>
        <v>2030000012</v>
      </c>
      <c r="C391" t="s">
        <v>1939</v>
      </c>
      <c r="D391" t="str">
        <f>"4207"</f>
        <v>4207</v>
      </c>
      <c r="E391" t="s">
        <v>51</v>
      </c>
      <c r="F391" t="s">
        <v>56</v>
      </c>
      <c r="G391" t="s">
        <v>47095</v>
      </c>
      <c r="H391" t="s">
        <v>47054</v>
      </c>
      <c r="I391" t="s">
        <v>47111</v>
      </c>
      <c r="J391" t="s">
        <v>47112</v>
      </c>
      <c r="K391" t="s">
        <v>47113</v>
      </c>
      <c r="L391">
        <v>28.25</v>
      </c>
      <c r="M391">
        <v>86</v>
      </c>
      <c r="N391">
        <v>0</v>
      </c>
      <c r="O391">
        <v>86</v>
      </c>
      <c r="P391">
        <v>0</v>
      </c>
    </row>
    <row r="392" spans="1:16" x14ac:dyDescent="0.25">
      <c r="A392">
        <v>20300000125101</v>
      </c>
      <c r="B392" t="str">
        <f>"2030000012"</f>
        <v>2030000012</v>
      </c>
      <c r="C392" t="s">
        <v>1939</v>
      </c>
      <c r="D392" t="str">
        <f>"5101"</f>
        <v>5101</v>
      </c>
      <c r="E392" t="s">
        <v>70</v>
      </c>
      <c r="F392" t="s">
        <v>56</v>
      </c>
      <c r="G392" t="s">
        <v>47095</v>
      </c>
      <c r="H392" t="s">
        <v>47054</v>
      </c>
      <c r="I392" t="s">
        <v>47111</v>
      </c>
      <c r="J392" t="s">
        <v>47112</v>
      </c>
      <c r="K392" t="s">
        <v>47113</v>
      </c>
      <c r="L392">
        <v>28.25</v>
      </c>
      <c r="M392">
        <v>86</v>
      </c>
      <c r="N392">
        <v>0</v>
      </c>
      <c r="O392">
        <v>86</v>
      </c>
      <c r="P392">
        <v>0</v>
      </c>
    </row>
    <row r="393" spans="1:16" x14ac:dyDescent="0.25">
      <c r="A393">
        <v>20300000125301</v>
      </c>
      <c r="B393" t="str">
        <f>"2030000012"</f>
        <v>2030000012</v>
      </c>
      <c r="C393" t="s">
        <v>1939</v>
      </c>
      <c r="D393" t="str">
        <f>"5301"</f>
        <v>5301</v>
      </c>
      <c r="E393" t="s">
        <v>1940</v>
      </c>
      <c r="F393" t="s">
        <v>56</v>
      </c>
      <c r="G393" t="s">
        <v>47095</v>
      </c>
      <c r="H393" t="s">
        <v>47054</v>
      </c>
      <c r="I393" t="s">
        <v>47111</v>
      </c>
      <c r="J393" t="s">
        <v>47112</v>
      </c>
      <c r="K393" t="s">
        <v>47113</v>
      </c>
      <c r="L393">
        <v>28.25</v>
      </c>
      <c r="M393">
        <v>86</v>
      </c>
      <c r="N393">
        <v>0</v>
      </c>
      <c r="O393">
        <v>86</v>
      </c>
      <c r="P393">
        <v>0</v>
      </c>
    </row>
    <row r="394" spans="1:16" x14ac:dyDescent="0.25">
      <c r="A394">
        <v>20300000161501</v>
      </c>
      <c r="B394" t="str">
        <f>"2030000016"</f>
        <v>2030000016</v>
      </c>
      <c r="C394" t="s">
        <v>45</v>
      </c>
      <c r="D394" t="str">
        <f>"1501"</f>
        <v>1501</v>
      </c>
      <c r="E394" t="s">
        <v>46</v>
      </c>
      <c r="F394" t="s">
        <v>8</v>
      </c>
      <c r="G394" t="s">
        <v>47095</v>
      </c>
      <c r="H394" t="s">
        <v>47054</v>
      </c>
      <c r="I394" t="s">
        <v>47111</v>
      </c>
      <c r="J394" t="s">
        <v>47112</v>
      </c>
      <c r="K394" t="s">
        <v>47113</v>
      </c>
      <c r="L394">
        <v>20.13</v>
      </c>
      <c r="M394">
        <v>53</v>
      </c>
      <c r="N394">
        <v>0</v>
      </c>
      <c r="O394">
        <v>53</v>
      </c>
      <c r="P394">
        <v>0</v>
      </c>
    </row>
    <row r="395" spans="1:16" x14ac:dyDescent="0.25">
      <c r="A395">
        <v>20300000171501</v>
      </c>
      <c r="B395" t="str">
        <f>"2030000017"</f>
        <v>2030000017</v>
      </c>
      <c r="C395" t="s">
        <v>1936</v>
      </c>
      <c r="D395" t="str">
        <f>"1501"</f>
        <v>1501</v>
      </c>
      <c r="E395" t="s">
        <v>46</v>
      </c>
      <c r="F395" t="s">
        <v>52</v>
      </c>
      <c r="G395" t="s">
        <v>47095</v>
      </c>
      <c r="H395" t="s">
        <v>47054</v>
      </c>
      <c r="I395" t="s">
        <v>47111</v>
      </c>
      <c r="J395" t="s">
        <v>47112</v>
      </c>
      <c r="K395" t="s">
        <v>47113</v>
      </c>
      <c r="L395">
        <v>23.71</v>
      </c>
      <c r="M395">
        <v>63</v>
      </c>
      <c r="N395">
        <v>0</v>
      </c>
      <c r="O395">
        <v>63</v>
      </c>
      <c r="P395">
        <v>0</v>
      </c>
    </row>
    <row r="396" spans="1:16" x14ac:dyDescent="0.25">
      <c r="A396">
        <v>20300000181700</v>
      </c>
      <c r="B396" t="str">
        <f>"2030000018"</f>
        <v>2030000018</v>
      </c>
      <c r="C396" t="s">
        <v>1939</v>
      </c>
      <c r="D396" t="str">
        <f>"1700"</f>
        <v>1700</v>
      </c>
      <c r="E396" t="s">
        <v>60</v>
      </c>
      <c r="F396" t="s">
        <v>56</v>
      </c>
      <c r="G396" t="s">
        <v>47095</v>
      </c>
      <c r="H396" t="s">
        <v>47054</v>
      </c>
      <c r="I396" t="s">
        <v>47116</v>
      </c>
      <c r="J396" t="s">
        <v>47117</v>
      </c>
      <c r="K396" t="s">
        <v>47113</v>
      </c>
      <c r="L396">
        <v>41.24</v>
      </c>
      <c r="M396">
        <v>91</v>
      </c>
      <c r="N396">
        <v>0</v>
      </c>
      <c r="O396">
        <v>91</v>
      </c>
      <c r="P396">
        <v>0</v>
      </c>
    </row>
    <row r="397" spans="1:16" x14ac:dyDescent="0.25">
      <c r="A397">
        <v>22000000241003</v>
      </c>
      <c r="B397" t="str">
        <f>"2200000024"</f>
        <v>2200000024</v>
      </c>
      <c r="C397" t="s">
        <v>1941</v>
      </c>
      <c r="D397" t="str">
        <f>"1003"</f>
        <v>1003</v>
      </c>
      <c r="E397" t="s">
        <v>773</v>
      </c>
      <c r="F397" t="s">
        <v>631</v>
      </c>
      <c r="G397" t="s">
        <v>47101</v>
      </c>
      <c r="H397" t="s">
        <v>47054</v>
      </c>
      <c r="I397" t="s">
        <v>47120</v>
      </c>
      <c r="J397" t="s">
        <v>47121</v>
      </c>
      <c r="K397" t="s">
        <v>47113</v>
      </c>
      <c r="L397">
        <v>25.66</v>
      </c>
      <c r="M397">
        <v>58</v>
      </c>
      <c r="N397">
        <v>0</v>
      </c>
      <c r="O397">
        <v>58</v>
      </c>
      <c r="P397">
        <v>0</v>
      </c>
    </row>
    <row r="398" spans="1:16" x14ac:dyDescent="0.25">
      <c r="A398">
        <v>22000000251001</v>
      </c>
      <c r="B398" t="str">
        <f>"2200000025"</f>
        <v>2200000025</v>
      </c>
      <c r="C398" t="s">
        <v>47</v>
      </c>
      <c r="D398" t="str">
        <f>"1001"</f>
        <v>1001</v>
      </c>
      <c r="E398" t="s">
        <v>42</v>
      </c>
      <c r="F398" t="s">
        <v>8</v>
      </c>
      <c r="G398" t="s">
        <v>47101</v>
      </c>
      <c r="H398" t="s">
        <v>47054</v>
      </c>
      <c r="I398" t="s">
        <v>47120</v>
      </c>
      <c r="J398" t="s">
        <v>47121</v>
      </c>
      <c r="K398" t="s">
        <v>47113</v>
      </c>
      <c r="L398">
        <v>39.5</v>
      </c>
      <c r="M398">
        <v>100</v>
      </c>
      <c r="N398">
        <v>0</v>
      </c>
      <c r="O398">
        <v>100</v>
      </c>
      <c r="P398">
        <v>0</v>
      </c>
    </row>
    <row r="399" spans="1:16" x14ac:dyDescent="0.25">
      <c r="A399">
        <v>22000000251700</v>
      </c>
      <c r="B399" t="str">
        <f>"2200000025"</f>
        <v>2200000025</v>
      </c>
      <c r="C399" t="s">
        <v>47</v>
      </c>
      <c r="D399" t="str">
        <f>"1700"</f>
        <v>1700</v>
      </c>
      <c r="E399" t="s">
        <v>60</v>
      </c>
      <c r="F399" t="s">
        <v>8</v>
      </c>
      <c r="G399" t="s">
        <v>47101</v>
      </c>
      <c r="H399" t="s">
        <v>47054</v>
      </c>
      <c r="I399" t="s">
        <v>47120</v>
      </c>
      <c r="J399" t="s">
        <v>47121</v>
      </c>
      <c r="K399" t="s">
        <v>47113</v>
      </c>
      <c r="L399">
        <v>40.51</v>
      </c>
      <c r="M399">
        <v>100</v>
      </c>
      <c r="N399">
        <v>0</v>
      </c>
      <c r="O399">
        <v>100</v>
      </c>
      <c r="P399">
        <v>0</v>
      </c>
    </row>
    <row r="400" spans="1:16" x14ac:dyDescent="0.25">
      <c r="A400">
        <v>22000000256010</v>
      </c>
      <c r="B400" t="str">
        <f>"2200000025"</f>
        <v>2200000025</v>
      </c>
      <c r="C400" t="s">
        <v>47</v>
      </c>
      <c r="D400" t="str">
        <f>"6010"</f>
        <v>6010</v>
      </c>
      <c r="E400" t="s">
        <v>49</v>
      </c>
      <c r="F400" t="s">
        <v>8</v>
      </c>
      <c r="G400" t="s">
        <v>47101</v>
      </c>
      <c r="H400" t="s">
        <v>47054</v>
      </c>
      <c r="I400" t="s">
        <v>47120</v>
      </c>
      <c r="J400" t="s">
        <v>47121</v>
      </c>
      <c r="K400" t="s">
        <v>47113</v>
      </c>
      <c r="L400">
        <v>40.51</v>
      </c>
      <c r="M400">
        <v>67</v>
      </c>
      <c r="N400">
        <v>0</v>
      </c>
      <c r="O400">
        <v>67</v>
      </c>
      <c r="P400">
        <v>0</v>
      </c>
    </row>
    <row r="401" spans="1:16" x14ac:dyDescent="0.25">
      <c r="A401">
        <v>22100000081001</v>
      </c>
      <c r="B401" t="str">
        <f>"2210000008"</f>
        <v>2210000008</v>
      </c>
      <c r="C401" t="s">
        <v>1942</v>
      </c>
      <c r="D401" t="str">
        <f>"1001"</f>
        <v>1001</v>
      </c>
      <c r="E401" t="s">
        <v>42</v>
      </c>
      <c r="F401" t="s">
        <v>8</v>
      </c>
      <c r="G401" t="s">
        <v>47097</v>
      </c>
      <c r="H401" t="s">
        <v>47054</v>
      </c>
      <c r="I401" t="s">
        <v>47114</v>
      </c>
      <c r="J401" t="s">
        <v>47115</v>
      </c>
      <c r="K401" t="s">
        <v>47113</v>
      </c>
      <c r="L401">
        <v>17.829999999999998</v>
      </c>
      <c r="M401">
        <v>34</v>
      </c>
      <c r="N401">
        <v>0</v>
      </c>
      <c r="O401">
        <v>34</v>
      </c>
      <c r="P401">
        <v>0</v>
      </c>
    </row>
    <row r="402" spans="1:16" x14ac:dyDescent="0.25">
      <c r="A402">
        <v>22100000084201</v>
      </c>
      <c r="B402" t="str">
        <f>"2210000008"</f>
        <v>2210000008</v>
      </c>
      <c r="C402" t="s">
        <v>1942</v>
      </c>
      <c r="D402" t="str">
        <f>"4201"</f>
        <v>4201</v>
      </c>
      <c r="E402" t="s">
        <v>1855</v>
      </c>
      <c r="F402" t="s">
        <v>8</v>
      </c>
      <c r="G402" t="s">
        <v>47097</v>
      </c>
      <c r="H402" t="s">
        <v>47054</v>
      </c>
      <c r="I402" t="s">
        <v>47114</v>
      </c>
      <c r="J402" t="s">
        <v>47115</v>
      </c>
      <c r="K402" t="s">
        <v>47113</v>
      </c>
      <c r="L402">
        <v>17.829999999999998</v>
      </c>
      <c r="M402">
        <v>44</v>
      </c>
      <c r="N402">
        <v>0</v>
      </c>
      <c r="O402">
        <v>44</v>
      </c>
      <c r="P402">
        <v>0</v>
      </c>
    </row>
    <row r="403" spans="1:16" x14ac:dyDescent="0.25">
      <c r="A403">
        <v>22100000093128</v>
      </c>
      <c r="B403" t="str">
        <f>"2210000009"</f>
        <v>2210000009</v>
      </c>
      <c r="C403" t="s">
        <v>1943</v>
      </c>
      <c r="D403" t="str">
        <f>"3128"</f>
        <v>3128</v>
      </c>
      <c r="E403" t="s">
        <v>1944</v>
      </c>
      <c r="F403" t="s">
        <v>52</v>
      </c>
      <c r="G403" t="s">
        <v>47097</v>
      </c>
      <c r="H403" t="s">
        <v>47054</v>
      </c>
      <c r="I403" t="s">
        <v>47114</v>
      </c>
      <c r="J403" t="s">
        <v>47115</v>
      </c>
      <c r="K403" t="s">
        <v>47113</v>
      </c>
      <c r="L403">
        <v>17</v>
      </c>
      <c r="M403">
        <v>42</v>
      </c>
      <c r="N403">
        <v>0</v>
      </c>
      <c r="O403">
        <v>42</v>
      </c>
      <c r="P403">
        <v>0</v>
      </c>
    </row>
    <row r="404" spans="1:16" x14ac:dyDescent="0.25">
      <c r="A404">
        <v>22100000094207</v>
      </c>
      <c r="B404" t="str">
        <f>"2210000009"</f>
        <v>2210000009</v>
      </c>
      <c r="C404" t="s">
        <v>1943</v>
      </c>
      <c r="D404" t="str">
        <f>"4207"</f>
        <v>4207</v>
      </c>
      <c r="E404" t="s">
        <v>51</v>
      </c>
      <c r="F404" t="s">
        <v>52</v>
      </c>
      <c r="G404" t="s">
        <v>47097</v>
      </c>
      <c r="H404" t="s">
        <v>47054</v>
      </c>
      <c r="I404" t="s">
        <v>47114</v>
      </c>
      <c r="J404" t="s">
        <v>47115</v>
      </c>
      <c r="K404" t="s">
        <v>47113</v>
      </c>
      <c r="L404">
        <v>18.57</v>
      </c>
      <c r="M404">
        <v>42</v>
      </c>
      <c r="N404">
        <v>0</v>
      </c>
      <c r="O404">
        <v>42</v>
      </c>
      <c r="P404">
        <v>0</v>
      </c>
    </row>
    <row r="405" spans="1:16" x14ac:dyDescent="0.25">
      <c r="A405">
        <v>22100000096304</v>
      </c>
      <c r="B405" t="str">
        <f>"2210000009"</f>
        <v>2210000009</v>
      </c>
      <c r="C405" t="s">
        <v>1943</v>
      </c>
      <c r="D405" t="str">
        <f>"6304"</f>
        <v>6304</v>
      </c>
      <c r="E405" t="s">
        <v>65</v>
      </c>
      <c r="F405" t="s">
        <v>52</v>
      </c>
      <c r="G405" t="s">
        <v>47097</v>
      </c>
      <c r="H405" t="s">
        <v>47054</v>
      </c>
      <c r="I405" t="s">
        <v>47114</v>
      </c>
      <c r="J405" t="s">
        <v>47115</v>
      </c>
      <c r="K405" t="s">
        <v>47113</v>
      </c>
      <c r="L405">
        <v>18.57</v>
      </c>
      <c r="M405">
        <v>42</v>
      </c>
      <c r="N405">
        <v>0</v>
      </c>
      <c r="O405">
        <v>42</v>
      </c>
      <c r="P405">
        <v>0</v>
      </c>
    </row>
    <row r="406" spans="1:16" x14ac:dyDescent="0.25">
      <c r="A406">
        <v>22100000121001</v>
      </c>
      <c r="B406" t="str">
        <f t="shared" ref="B406:B412" si="6">"2210000012"</f>
        <v>2210000012</v>
      </c>
      <c r="C406" t="s">
        <v>1945</v>
      </c>
      <c r="D406" t="str">
        <f>"1001"</f>
        <v>1001</v>
      </c>
      <c r="E406" t="s">
        <v>42</v>
      </c>
      <c r="F406" t="s">
        <v>56</v>
      </c>
      <c r="G406" t="s">
        <v>47097</v>
      </c>
      <c r="H406" t="s">
        <v>47054</v>
      </c>
      <c r="I406" t="s">
        <v>47124</v>
      </c>
      <c r="J406" t="s">
        <v>47125</v>
      </c>
      <c r="K406" t="s">
        <v>47113</v>
      </c>
      <c r="L406">
        <v>17.329999999999998</v>
      </c>
      <c r="M406">
        <v>38</v>
      </c>
      <c r="N406">
        <v>0</v>
      </c>
      <c r="O406">
        <v>38</v>
      </c>
      <c r="P406">
        <v>0</v>
      </c>
    </row>
    <row r="407" spans="1:16" x14ac:dyDescent="0.25">
      <c r="A407">
        <v>22100000121301</v>
      </c>
      <c r="B407" t="str">
        <f t="shared" si="6"/>
        <v>2210000012</v>
      </c>
      <c r="C407" t="s">
        <v>1945</v>
      </c>
      <c r="D407" t="str">
        <f>"1301"</f>
        <v>1301</v>
      </c>
      <c r="E407" t="s">
        <v>1832</v>
      </c>
      <c r="F407" t="s">
        <v>56</v>
      </c>
      <c r="G407" t="s">
        <v>47097</v>
      </c>
      <c r="H407" t="s">
        <v>47054</v>
      </c>
      <c r="I407" t="s">
        <v>47124</v>
      </c>
      <c r="J407" t="s">
        <v>47125</v>
      </c>
      <c r="K407" t="s">
        <v>47113</v>
      </c>
      <c r="L407">
        <v>17.329999999999998</v>
      </c>
      <c r="M407">
        <v>38</v>
      </c>
      <c r="N407">
        <v>0</v>
      </c>
      <c r="O407">
        <v>38</v>
      </c>
      <c r="P407">
        <v>0</v>
      </c>
    </row>
    <row r="408" spans="1:16" x14ac:dyDescent="0.25">
      <c r="A408">
        <v>22100000121700</v>
      </c>
      <c r="B408" t="str">
        <f t="shared" si="6"/>
        <v>2210000012</v>
      </c>
      <c r="C408" t="s">
        <v>1945</v>
      </c>
      <c r="D408" t="str">
        <f>"1700"</f>
        <v>1700</v>
      </c>
      <c r="E408" t="s">
        <v>60</v>
      </c>
      <c r="F408" t="s">
        <v>56</v>
      </c>
      <c r="G408" t="s">
        <v>47097</v>
      </c>
      <c r="H408" t="s">
        <v>47054</v>
      </c>
      <c r="I408" t="s">
        <v>47124</v>
      </c>
      <c r="J408" t="s">
        <v>47125</v>
      </c>
      <c r="K408" t="s">
        <v>47113</v>
      </c>
      <c r="L408">
        <v>16.850000000000001</v>
      </c>
      <c r="M408">
        <v>38</v>
      </c>
      <c r="N408">
        <v>0</v>
      </c>
      <c r="O408">
        <v>38</v>
      </c>
      <c r="P408">
        <v>0</v>
      </c>
    </row>
    <row r="409" spans="1:16" x14ac:dyDescent="0.25">
      <c r="A409">
        <v>22100000123128</v>
      </c>
      <c r="B409" t="str">
        <f t="shared" si="6"/>
        <v>2210000012</v>
      </c>
      <c r="C409" t="s">
        <v>1945</v>
      </c>
      <c r="D409" t="str">
        <f>"3128"</f>
        <v>3128</v>
      </c>
      <c r="E409" t="s">
        <v>1944</v>
      </c>
      <c r="F409" t="s">
        <v>56</v>
      </c>
      <c r="G409" t="s">
        <v>47097</v>
      </c>
      <c r="H409" t="s">
        <v>47054</v>
      </c>
      <c r="I409" t="s">
        <v>47124</v>
      </c>
      <c r="J409" t="s">
        <v>47125</v>
      </c>
      <c r="K409" t="s">
        <v>47113</v>
      </c>
      <c r="L409">
        <v>16.850000000000001</v>
      </c>
      <c r="M409">
        <v>38</v>
      </c>
      <c r="N409">
        <v>0</v>
      </c>
      <c r="O409">
        <v>38</v>
      </c>
      <c r="P409">
        <v>0</v>
      </c>
    </row>
    <row r="410" spans="1:16" x14ac:dyDescent="0.25">
      <c r="A410">
        <v>22100000123304</v>
      </c>
      <c r="B410" t="str">
        <f t="shared" si="6"/>
        <v>2210000012</v>
      </c>
      <c r="C410" t="s">
        <v>1945</v>
      </c>
      <c r="D410" t="str">
        <f>"3304"</f>
        <v>3304</v>
      </c>
      <c r="E410" t="s">
        <v>1879</v>
      </c>
      <c r="F410" t="s">
        <v>56</v>
      </c>
      <c r="G410" t="s">
        <v>47097</v>
      </c>
      <c r="H410" t="s">
        <v>47054</v>
      </c>
      <c r="I410" t="s">
        <v>47124</v>
      </c>
      <c r="J410" t="s">
        <v>47125</v>
      </c>
      <c r="K410" t="s">
        <v>47113</v>
      </c>
      <c r="L410">
        <v>17.329999999999998</v>
      </c>
      <c r="M410">
        <v>38</v>
      </c>
      <c r="N410">
        <v>0</v>
      </c>
      <c r="O410">
        <v>38</v>
      </c>
      <c r="P410">
        <v>0</v>
      </c>
    </row>
    <row r="411" spans="1:16" x14ac:dyDescent="0.25">
      <c r="A411">
        <v>22100000125101</v>
      </c>
      <c r="B411" t="str">
        <f t="shared" si="6"/>
        <v>2210000012</v>
      </c>
      <c r="C411" t="s">
        <v>1945</v>
      </c>
      <c r="D411" t="str">
        <f>"5101"</f>
        <v>5101</v>
      </c>
      <c r="E411" t="s">
        <v>70</v>
      </c>
      <c r="F411" t="s">
        <v>56</v>
      </c>
      <c r="G411" t="s">
        <v>47097</v>
      </c>
      <c r="H411" t="s">
        <v>47054</v>
      </c>
      <c r="I411" t="s">
        <v>47124</v>
      </c>
      <c r="J411" t="s">
        <v>47125</v>
      </c>
      <c r="K411" t="s">
        <v>47113</v>
      </c>
      <c r="L411">
        <v>17.329999999999998</v>
      </c>
      <c r="M411">
        <v>38</v>
      </c>
      <c r="N411">
        <v>0</v>
      </c>
      <c r="O411">
        <v>38</v>
      </c>
      <c r="P411">
        <v>0</v>
      </c>
    </row>
    <row r="412" spans="1:16" x14ac:dyDescent="0.25">
      <c r="A412">
        <v>22100000127405</v>
      </c>
      <c r="B412" t="str">
        <f t="shared" si="6"/>
        <v>2210000012</v>
      </c>
      <c r="C412" t="s">
        <v>1945</v>
      </c>
      <c r="D412" t="str">
        <f>"7405"</f>
        <v>7405</v>
      </c>
      <c r="E412" t="s">
        <v>1946</v>
      </c>
      <c r="F412" t="s">
        <v>56</v>
      </c>
      <c r="G412" t="s">
        <v>47097</v>
      </c>
      <c r="H412" t="s">
        <v>47054</v>
      </c>
      <c r="I412" t="s">
        <v>47124</v>
      </c>
      <c r="J412" t="s">
        <v>47125</v>
      </c>
      <c r="K412" t="s">
        <v>47113</v>
      </c>
      <c r="L412">
        <v>17.329999999999998</v>
      </c>
      <c r="M412">
        <v>38</v>
      </c>
      <c r="N412">
        <v>0</v>
      </c>
      <c r="O412">
        <v>38</v>
      </c>
      <c r="P412">
        <v>0</v>
      </c>
    </row>
    <row r="413" spans="1:16" x14ac:dyDescent="0.25">
      <c r="A413">
        <v>22200000141001</v>
      </c>
      <c r="B413" t="str">
        <f>"2220000014"</f>
        <v>2220000014</v>
      </c>
      <c r="C413" t="s">
        <v>1947</v>
      </c>
      <c r="D413" t="str">
        <f>"1001"</f>
        <v>1001</v>
      </c>
      <c r="E413" t="s">
        <v>42</v>
      </c>
      <c r="F413" t="s">
        <v>1401</v>
      </c>
      <c r="G413" t="s">
        <v>47091</v>
      </c>
      <c r="H413" t="s">
        <v>47054</v>
      </c>
      <c r="I413" t="s">
        <v>47120</v>
      </c>
      <c r="J413" t="s">
        <v>47121</v>
      </c>
      <c r="K413" t="s">
        <v>47113</v>
      </c>
      <c r="L413">
        <v>8.66</v>
      </c>
      <c r="M413">
        <v>25</v>
      </c>
      <c r="N413">
        <v>0</v>
      </c>
      <c r="O413">
        <v>25</v>
      </c>
      <c r="P413">
        <v>0</v>
      </c>
    </row>
    <row r="414" spans="1:16" x14ac:dyDescent="0.25">
      <c r="A414">
        <v>22200000141700</v>
      </c>
      <c r="B414" t="str">
        <f>"2220000014"</f>
        <v>2220000014</v>
      </c>
      <c r="C414" t="s">
        <v>1947</v>
      </c>
      <c r="D414" t="str">
        <f>"1700"</f>
        <v>1700</v>
      </c>
      <c r="E414" t="s">
        <v>60</v>
      </c>
      <c r="F414" t="s">
        <v>1401</v>
      </c>
      <c r="G414" t="s">
        <v>47091</v>
      </c>
      <c r="H414" t="s">
        <v>47054</v>
      </c>
      <c r="I414" t="s">
        <v>47120</v>
      </c>
      <c r="J414" t="s">
        <v>47121</v>
      </c>
      <c r="K414" t="s">
        <v>47113</v>
      </c>
      <c r="L414">
        <v>8.42</v>
      </c>
      <c r="M414">
        <v>25</v>
      </c>
      <c r="N414">
        <v>0</v>
      </c>
      <c r="O414">
        <v>25</v>
      </c>
      <c r="P414">
        <v>0</v>
      </c>
    </row>
    <row r="415" spans="1:16" x14ac:dyDescent="0.25">
      <c r="A415">
        <v>22200000181001</v>
      </c>
      <c r="B415" t="str">
        <f>"2220000018"</f>
        <v>2220000018</v>
      </c>
      <c r="C415" t="s">
        <v>1948</v>
      </c>
      <c r="D415" t="str">
        <f>"1001"</f>
        <v>1001</v>
      </c>
      <c r="E415" t="s">
        <v>42</v>
      </c>
      <c r="F415" t="s">
        <v>8</v>
      </c>
      <c r="G415" t="s">
        <v>47091</v>
      </c>
      <c r="H415" t="s">
        <v>47054</v>
      </c>
      <c r="I415" t="s">
        <v>47120</v>
      </c>
      <c r="J415" t="s">
        <v>47121</v>
      </c>
      <c r="K415" t="s">
        <v>47113</v>
      </c>
      <c r="L415">
        <v>11.19</v>
      </c>
      <c r="M415">
        <v>23</v>
      </c>
      <c r="N415">
        <v>0</v>
      </c>
      <c r="O415">
        <v>23</v>
      </c>
      <c r="P415">
        <v>0</v>
      </c>
    </row>
    <row r="416" spans="1:16" x14ac:dyDescent="0.25">
      <c r="A416">
        <v>22200000184302</v>
      </c>
      <c r="B416" t="str">
        <f>"2220000018"</f>
        <v>2220000018</v>
      </c>
      <c r="C416" t="s">
        <v>1948</v>
      </c>
      <c r="D416" t="str">
        <f>"4302"</f>
        <v>4302</v>
      </c>
      <c r="E416" t="s">
        <v>1949</v>
      </c>
      <c r="F416" t="s">
        <v>8</v>
      </c>
      <c r="G416" t="s">
        <v>47091</v>
      </c>
      <c r="H416" t="s">
        <v>47054</v>
      </c>
      <c r="I416" t="s">
        <v>47120</v>
      </c>
      <c r="J416" t="s">
        <v>47121</v>
      </c>
      <c r="K416" t="s">
        <v>47113</v>
      </c>
      <c r="L416">
        <v>11.19</v>
      </c>
      <c r="M416">
        <v>23</v>
      </c>
      <c r="N416">
        <v>0</v>
      </c>
      <c r="O416">
        <v>23</v>
      </c>
      <c r="P416">
        <v>0</v>
      </c>
    </row>
    <row r="417" spans="1:16" x14ac:dyDescent="0.25">
      <c r="A417">
        <v>22200000185202</v>
      </c>
      <c r="B417" t="str">
        <f>"2220000018"</f>
        <v>2220000018</v>
      </c>
      <c r="C417" t="s">
        <v>1948</v>
      </c>
      <c r="D417" t="str">
        <f>"5202"</f>
        <v>5202</v>
      </c>
      <c r="E417" t="s">
        <v>44</v>
      </c>
      <c r="F417" t="s">
        <v>8</v>
      </c>
      <c r="G417" t="s">
        <v>47091</v>
      </c>
      <c r="H417" t="s">
        <v>47054</v>
      </c>
      <c r="I417" t="s">
        <v>47120</v>
      </c>
      <c r="J417" t="s">
        <v>47121</v>
      </c>
      <c r="K417" t="s">
        <v>47113</v>
      </c>
      <c r="L417">
        <v>11.19</v>
      </c>
      <c r="M417">
        <v>23</v>
      </c>
      <c r="N417">
        <v>0</v>
      </c>
      <c r="O417">
        <v>23</v>
      </c>
      <c r="P417">
        <v>0</v>
      </c>
    </row>
    <row r="418" spans="1:16" x14ac:dyDescent="0.25">
      <c r="A418">
        <v>22200000188106</v>
      </c>
      <c r="B418" t="str">
        <f>"2220000018"</f>
        <v>2220000018</v>
      </c>
      <c r="C418" t="s">
        <v>1948</v>
      </c>
      <c r="D418" t="str">
        <f>"8106"</f>
        <v>8106</v>
      </c>
      <c r="E418" t="s">
        <v>1905</v>
      </c>
      <c r="F418" t="s">
        <v>8</v>
      </c>
      <c r="G418" t="s">
        <v>47091</v>
      </c>
      <c r="H418" t="s">
        <v>47054</v>
      </c>
      <c r="I418" t="s">
        <v>47120</v>
      </c>
      <c r="J418" t="s">
        <v>47121</v>
      </c>
      <c r="K418" t="s">
        <v>47113</v>
      </c>
      <c r="L418">
        <v>11.19</v>
      </c>
      <c r="M418">
        <v>23</v>
      </c>
      <c r="N418">
        <v>0</v>
      </c>
      <c r="O418">
        <v>23</v>
      </c>
      <c r="P418">
        <v>0</v>
      </c>
    </row>
    <row r="419" spans="1:16" x14ac:dyDescent="0.25">
      <c r="A419">
        <v>22200000191001</v>
      </c>
      <c r="B419" t="str">
        <f>"2220000019"</f>
        <v>2220000019</v>
      </c>
      <c r="C419" t="s">
        <v>1950</v>
      </c>
      <c r="D419" t="str">
        <f>"1001"</f>
        <v>1001</v>
      </c>
      <c r="E419" t="s">
        <v>42</v>
      </c>
      <c r="F419" t="s">
        <v>8</v>
      </c>
      <c r="G419" t="s">
        <v>47091</v>
      </c>
      <c r="H419" t="s">
        <v>47054</v>
      </c>
      <c r="I419" t="s">
        <v>47120</v>
      </c>
      <c r="J419" t="s">
        <v>47121</v>
      </c>
      <c r="K419" t="s">
        <v>47113</v>
      </c>
      <c r="L419">
        <v>12.87</v>
      </c>
      <c r="M419">
        <v>23</v>
      </c>
      <c r="N419">
        <v>0</v>
      </c>
      <c r="O419">
        <v>23</v>
      </c>
      <c r="P419">
        <v>0</v>
      </c>
    </row>
    <row r="420" spans="1:16" x14ac:dyDescent="0.25">
      <c r="A420">
        <v>22200000191700</v>
      </c>
      <c r="B420" t="str">
        <f>"2220000019"</f>
        <v>2220000019</v>
      </c>
      <c r="C420" t="s">
        <v>1950</v>
      </c>
      <c r="D420" t="str">
        <f>"1700"</f>
        <v>1700</v>
      </c>
      <c r="E420" t="s">
        <v>60</v>
      </c>
      <c r="F420" t="s">
        <v>8</v>
      </c>
      <c r="G420" t="s">
        <v>47091</v>
      </c>
      <c r="H420" t="s">
        <v>47054</v>
      </c>
      <c r="I420" t="s">
        <v>47120</v>
      </c>
      <c r="J420" t="s">
        <v>47121</v>
      </c>
      <c r="K420" t="s">
        <v>47113</v>
      </c>
      <c r="L420">
        <v>12.87</v>
      </c>
      <c r="M420">
        <v>23</v>
      </c>
      <c r="N420">
        <v>0</v>
      </c>
      <c r="O420">
        <v>23</v>
      </c>
      <c r="P420">
        <v>0</v>
      </c>
    </row>
    <row r="421" spans="1:16" x14ac:dyDescent="0.25">
      <c r="A421">
        <v>22200000197419</v>
      </c>
      <c r="B421" t="str">
        <f>"2220000019"</f>
        <v>2220000019</v>
      </c>
      <c r="C421" t="s">
        <v>1950</v>
      </c>
      <c r="D421" t="str">
        <f>"7419"</f>
        <v>7419</v>
      </c>
      <c r="E421" t="s">
        <v>1872</v>
      </c>
      <c r="F421" t="s">
        <v>8</v>
      </c>
      <c r="G421" t="s">
        <v>47091</v>
      </c>
      <c r="H421" t="s">
        <v>47054</v>
      </c>
      <c r="I421" t="s">
        <v>47120</v>
      </c>
      <c r="J421" t="s">
        <v>47121</v>
      </c>
      <c r="K421" t="s">
        <v>47113</v>
      </c>
      <c r="L421">
        <v>12.87</v>
      </c>
      <c r="M421">
        <v>23</v>
      </c>
      <c r="N421">
        <v>0</v>
      </c>
      <c r="O421">
        <v>23</v>
      </c>
      <c r="P421">
        <v>0</v>
      </c>
    </row>
    <row r="422" spans="1:16" x14ac:dyDescent="0.25">
      <c r="A422">
        <v>22200000201001</v>
      </c>
      <c r="B422" t="str">
        <f>"2220000020"</f>
        <v>2220000020</v>
      </c>
      <c r="C422" t="s">
        <v>1951</v>
      </c>
      <c r="D422" t="str">
        <f>"1001"</f>
        <v>1001</v>
      </c>
      <c r="E422" t="s">
        <v>42</v>
      </c>
      <c r="F422" t="s">
        <v>8</v>
      </c>
      <c r="G422" t="s">
        <v>47091</v>
      </c>
      <c r="H422" t="s">
        <v>47054</v>
      </c>
      <c r="I422" t="s">
        <v>47120</v>
      </c>
      <c r="J422" t="s">
        <v>47121</v>
      </c>
      <c r="K422" t="s">
        <v>47113</v>
      </c>
      <c r="L422">
        <v>12.37</v>
      </c>
      <c r="M422">
        <v>23</v>
      </c>
      <c r="N422">
        <v>0</v>
      </c>
      <c r="O422">
        <v>23</v>
      </c>
      <c r="P422">
        <v>0</v>
      </c>
    </row>
    <row r="423" spans="1:16" x14ac:dyDescent="0.25">
      <c r="A423">
        <v>22200000201700</v>
      </c>
      <c r="B423" t="str">
        <f>"2220000020"</f>
        <v>2220000020</v>
      </c>
      <c r="C423" t="s">
        <v>1951</v>
      </c>
      <c r="D423" t="str">
        <f>"1700"</f>
        <v>1700</v>
      </c>
      <c r="E423" t="s">
        <v>60</v>
      </c>
      <c r="F423" t="s">
        <v>8</v>
      </c>
      <c r="G423" t="s">
        <v>47091</v>
      </c>
      <c r="H423" t="s">
        <v>47054</v>
      </c>
      <c r="I423" t="s">
        <v>47120</v>
      </c>
      <c r="J423" t="s">
        <v>47121</v>
      </c>
      <c r="K423" t="s">
        <v>47113</v>
      </c>
      <c r="L423">
        <v>12.37</v>
      </c>
      <c r="M423">
        <v>23</v>
      </c>
      <c r="N423">
        <v>0</v>
      </c>
      <c r="O423">
        <v>23</v>
      </c>
      <c r="P423">
        <v>0</v>
      </c>
    </row>
    <row r="424" spans="1:16" x14ac:dyDescent="0.25">
      <c r="A424">
        <v>22200000211001</v>
      </c>
      <c r="B424" t="str">
        <f>"2220000021"</f>
        <v>2220000021</v>
      </c>
      <c r="C424" t="s">
        <v>1952</v>
      </c>
      <c r="D424" t="str">
        <f>"1001"</f>
        <v>1001</v>
      </c>
      <c r="E424" t="s">
        <v>42</v>
      </c>
      <c r="F424" t="s">
        <v>8</v>
      </c>
      <c r="G424" t="s">
        <v>47091</v>
      </c>
      <c r="H424" t="s">
        <v>47054</v>
      </c>
      <c r="I424" t="s">
        <v>47120</v>
      </c>
      <c r="J424" t="s">
        <v>47121</v>
      </c>
      <c r="K424" t="s">
        <v>47113</v>
      </c>
      <c r="L424">
        <v>12.21</v>
      </c>
      <c r="M424">
        <v>23</v>
      </c>
      <c r="N424">
        <v>0</v>
      </c>
      <c r="O424">
        <v>23</v>
      </c>
      <c r="P424">
        <v>0</v>
      </c>
    </row>
    <row r="425" spans="1:16" x14ac:dyDescent="0.25">
      <c r="A425">
        <v>22200000211700</v>
      </c>
      <c r="B425" t="str">
        <f>"2220000021"</f>
        <v>2220000021</v>
      </c>
      <c r="C425" t="s">
        <v>1952</v>
      </c>
      <c r="D425" t="str">
        <f>"1700"</f>
        <v>1700</v>
      </c>
      <c r="E425" t="s">
        <v>60</v>
      </c>
      <c r="F425" t="s">
        <v>8</v>
      </c>
      <c r="G425" t="s">
        <v>47091</v>
      </c>
      <c r="H425" t="s">
        <v>47054</v>
      </c>
      <c r="I425" t="s">
        <v>47120</v>
      </c>
      <c r="J425" t="s">
        <v>47121</v>
      </c>
      <c r="K425" t="s">
        <v>47113</v>
      </c>
      <c r="L425">
        <v>12.21</v>
      </c>
      <c r="M425">
        <v>23</v>
      </c>
      <c r="N425">
        <v>0</v>
      </c>
      <c r="O425">
        <v>23</v>
      </c>
      <c r="P425">
        <v>0</v>
      </c>
    </row>
    <row r="426" spans="1:16" x14ac:dyDescent="0.25">
      <c r="A426">
        <v>22200000214302</v>
      </c>
      <c r="B426" t="str">
        <f>"2220000021"</f>
        <v>2220000021</v>
      </c>
      <c r="C426" t="s">
        <v>1952</v>
      </c>
      <c r="D426" t="str">
        <f>"4302"</f>
        <v>4302</v>
      </c>
      <c r="E426" t="s">
        <v>1949</v>
      </c>
      <c r="F426" t="s">
        <v>8</v>
      </c>
      <c r="G426" t="s">
        <v>47091</v>
      </c>
      <c r="H426" t="s">
        <v>47054</v>
      </c>
      <c r="I426" t="s">
        <v>47120</v>
      </c>
      <c r="J426" t="s">
        <v>47121</v>
      </c>
      <c r="K426" t="s">
        <v>47113</v>
      </c>
      <c r="L426">
        <v>12.21</v>
      </c>
      <c r="M426">
        <v>23</v>
      </c>
      <c r="N426">
        <v>0</v>
      </c>
      <c r="O426">
        <v>23</v>
      </c>
      <c r="P426">
        <v>0</v>
      </c>
    </row>
    <row r="427" spans="1:16" x14ac:dyDescent="0.25">
      <c r="A427">
        <v>22200000221001</v>
      </c>
      <c r="B427" t="str">
        <f>"2220000022"</f>
        <v>2220000022</v>
      </c>
      <c r="C427" t="s">
        <v>1953</v>
      </c>
      <c r="D427" t="str">
        <f>"1001"</f>
        <v>1001</v>
      </c>
      <c r="E427" t="s">
        <v>42</v>
      </c>
      <c r="F427" t="s">
        <v>8</v>
      </c>
      <c r="G427" t="s">
        <v>47091</v>
      </c>
      <c r="H427" t="s">
        <v>47054</v>
      </c>
      <c r="I427" t="s">
        <v>47120</v>
      </c>
      <c r="J427" t="s">
        <v>47121</v>
      </c>
      <c r="K427" t="s">
        <v>47113</v>
      </c>
      <c r="L427">
        <v>11.84</v>
      </c>
      <c r="M427">
        <v>23</v>
      </c>
      <c r="N427">
        <v>0</v>
      </c>
      <c r="O427">
        <v>23</v>
      </c>
      <c r="P427">
        <v>0</v>
      </c>
    </row>
    <row r="428" spans="1:16" x14ac:dyDescent="0.25">
      <c r="A428">
        <v>22200000221700</v>
      </c>
      <c r="B428" t="str">
        <f>"2220000022"</f>
        <v>2220000022</v>
      </c>
      <c r="C428" t="s">
        <v>1953</v>
      </c>
      <c r="D428" t="str">
        <f>"1700"</f>
        <v>1700</v>
      </c>
      <c r="E428" t="s">
        <v>60</v>
      </c>
      <c r="F428" t="s">
        <v>8</v>
      </c>
      <c r="G428" t="s">
        <v>47091</v>
      </c>
      <c r="H428" t="s">
        <v>47054</v>
      </c>
      <c r="I428" t="s">
        <v>47120</v>
      </c>
      <c r="J428" t="s">
        <v>47121</v>
      </c>
      <c r="K428" t="s">
        <v>47113</v>
      </c>
      <c r="L428">
        <v>11.84</v>
      </c>
      <c r="M428">
        <v>23</v>
      </c>
      <c r="N428">
        <v>0</v>
      </c>
      <c r="O428">
        <v>23</v>
      </c>
      <c r="P428">
        <v>0</v>
      </c>
    </row>
    <row r="429" spans="1:16" x14ac:dyDescent="0.25">
      <c r="A429">
        <v>22200000226005</v>
      </c>
      <c r="B429" t="str">
        <f>"2220000022"</f>
        <v>2220000022</v>
      </c>
      <c r="C429" t="s">
        <v>1953</v>
      </c>
      <c r="D429" t="str">
        <f>"6005"</f>
        <v>6005</v>
      </c>
      <c r="E429" t="s">
        <v>1749</v>
      </c>
      <c r="F429" t="s">
        <v>8</v>
      </c>
      <c r="G429" t="s">
        <v>47091</v>
      </c>
      <c r="H429" t="s">
        <v>47054</v>
      </c>
      <c r="I429" t="s">
        <v>47120</v>
      </c>
      <c r="J429" t="s">
        <v>47121</v>
      </c>
      <c r="K429" t="s">
        <v>47113</v>
      </c>
      <c r="L429">
        <v>11.84</v>
      </c>
      <c r="M429">
        <v>23</v>
      </c>
      <c r="N429">
        <v>0</v>
      </c>
      <c r="O429">
        <v>23</v>
      </c>
      <c r="P429">
        <v>0</v>
      </c>
    </row>
    <row r="430" spans="1:16" x14ac:dyDescent="0.25">
      <c r="A430">
        <v>22200000241700</v>
      </c>
      <c r="B430" t="str">
        <f>"2220000024"</f>
        <v>2220000024</v>
      </c>
      <c r="C430" t="s">
        <v>1954</v>
      </c>
      <c r="D430" t="str">
        <f>"1700"</f>
        <v>1700</v>
      </c>
      <c r="E430" t="s">
        <v>60</v>
      </c>
      <c r="F430" t="s">
        <v>8</v>
      </c>
      <c r="G430" t="s">
        <v>47091</v>
      </c>
      <c r="H430" t="s">
        <v>47054</v>
      </c>
      <c r="I430" t="s">
        <v>47120</v>
      </c>
      <c r="J430" t="s">
        <v>47121</v>
      </c>
      <c r="K430" t="s">
        <v>47113</v>
      </c>
      <c r="L430">
        <v>10.9</v>
      </c>
      <c r="M430">
        <v>29</v>
      </c>
      <c r="N430">
        <v>0</v>
      </c>
      <c r="O430">
        <v>29</v>
      </c>
      <c r="P430">
        <v>0</v>
      </c>
    </row>
    <row r="431" spans="1:16" x14ac:dyDescent="0.25">
      <c r="A431">
        <v>22200000251700</v>
      </c>
      <c r="B431" t="str">
        <f>"2220000025"</f>
        <v>2220000025</v>
      </c>
      <c r="C431" t="s">
        <v>1955</v>
      </c>
      <c r="D431" t="str">
        <f>"1700"</f>
        <v>1700</v>
      </c>
      <c r="E431" t="s">
        <v>60</v>
      </c>
      <c r="F431" t="s">
        <v>8</v>
      </c>
      <c r="G431" t="s">
        <v>47091</v>
      </c>
      <c r="H431" t="s">
        <v>47054</v>
      </c>
      <c r="I431" t="s">
        <v>47120</v>
      </c>
      <c r="J431" t="s">
        <v>47121</v>
      </c>
      <c r="K431" t="s">
        <v>47113</v>
      </c>
      <c r="L431">
        <v>7.87</v>
      </c>
      <c r="M431">
        <v>29</v>
      </c>
      <c r="N431">
        <v>0</v>
      </c>
      <c r="O431">
        <v>29</v>
      </c>
      <c r="P431">
        <v>0</v>
      </c>
    </row>
    <row r="432" spans="1:16" x14ac:dyDescent="0.25">
      <c r="A432">
        <v>22200000261001</v>
      </c>
      <c r="B432" t="str">
        <f>"2220000026"</f>
        <v>2220000026</v>
      </c>
      <c r="C432" t="s">
        <v>48</v>
      </c>
      <c r="D432" t="str">
        <f>"1001"</f>
        <v>1001</v>
      </c>
      <c r="E432" t="s">
        <v>42</v>
      </c>
      <c r="F432" t="s">
        <v>8</v>
      </c>
      <c r="G432" t="s">
        <v>47091</v>
      </c>
      <c r="H432" t="s">
        <v>47054</v>
      </c>
      <c r="I432" t="s">
        <v>47120</v>
      </c>
      <c r="J432" t="s">
        <v>47121</v>
      </c>
      <c r="K432" t="s">
        <v>47113</v>
      </c>
      <c r="L432">
        <v>7.87</v>
      </c>
      <c r="M432">
        <v>19</v>
      </c>
      <c r="N432">
        <v>0</v>
      </c>
      <c r="O432">
        <v>19</v>
      </c>
      <c r="P432">
        <v>0</v>
      </c>
    </row>
    <row r="433" spans="1:16" x14ac:dyDescent="0.25">
      <c r="A433">
        <v>22200000266010</v>
      </c>
      <c r="B433" t="str">
        <f>"2220000026"</f>
        <v>2220000026</v>
      </c>
      <c r="C433" t="s">
        <v>48</v>
      </c>
      <c r="D433" t="str">
        <f>"6010"</f>
        <v>6010</v>
      </c>
      <c r="E433" t="s">
        <v>49</v>
      </c>
      <c r="F433" t="s">
        <v>8</v>
      </c>
      <c r="G433" t="s">
        <v>47091</v>
      </c>
      <c r="H433" t="s">
        <v>47054</v>
      </c>
      <c r="I433" t="s">
        <v>47120</v>
      </c>
      <c r="J433" t="s">
        <v>47121</v>
      </c>
      <c r="K433" t="s">
        <v>47113</v>
      </c>
      <c r="L433">
        <v>7.87</v>
      </c>
      <c r="M433">
        <v>23</v>
      </c>
      <c r="N433">
        <v>0</v>
      </c>
      <c r="O433">
        <v>23</v>
      </c>
      <c r="P433">
        <v>0</v>
      </c>
    </row>
    <row r="434" spans="1:16" x14ac:dyDescent="0.25">
      <c r="A434">
        <v>22200000281702</v>
      </c>
      <c r="B434" t="str">
        <f>"2220000028"</f>
        <v>2220000028</v>
      </c>
      <c r="C434" t="s">
        <v>50</v>
      </c>
      <c r="D434" t="str">
        <f>"1702"</f>
        <v>1702</v>
      </c>
      <c r="E434" t="s">
        <v>1956</v>
      </c>
      <c r="F434" t="s">
        <v>52</v>
      </c>
      <c r="G434" t="s">
        <v>47091</v>
      </c>
      <c r="H434" t="s">
        <v>47054</v>
      </c>
      <c r="I434" t="s">
        <v>47120</v>
      </c>
      <c r="J434" t="s">
        <v>47121</v>
      </c>
      <c r="K434" t="s">
        <v>47113</v>
      </c>
      <c r="L434">
        <v>10.9</v>
      </c>
      <c r="M434">
        <v>27</v>
      </c>
      <c r="N434">
        <v>0</v>
      </c>
      <c r="O434">
        <v>27</v>
      </c>
      <c r="P434">
        <v>0</v>
      </c>
    </row>
    <row r="435" spans="1:16" x14ac:dyDescent="0.25">
      <c r="A435">
        <v>22200000284207</v>
      </c>
      <c r="B435" t="str">
        <f>"2220000028"</f>
        <v>2220000028</v>
      </c>
      <c r="C435" t="s">
        <v>50</v>
      </c>
      <c r="D435" t="str">
        <f>"4207"</f>
        <v>4207</v>
      </c>
      <c r="E435" t="s">
        <v>51</v>
      </c>
      <c r="F435" t="s">
        <v>52</v>
      </c>
      <c r="G435" t="s">
        <v>47091</v>
      </c>
      <c r="H435" t="s">
        <v>47054</v>
      </c>
      <c r="I435" t="s">
        <v>47120</v>
      </c>
      <c r="J435" t="s">
        <v>47121</v>
      </c>
      <c r="K435" t="s">
        <v>47113</v>
      </c>
      <c r="L435">
        <v>10.9</v>
      </c>
      <c r="M435">
        <v>27</v>
      </c>
      <c r="N435">
        <v>0</v>
      </c>
      <c r="O435">
        <v>27</v>
      </c>
      <c r="P435">
        <v>0</v>
      </c>
    </row>
    <row r="436" spans="1:16" x14ac:dyDescent="0.25">
      <c r="A436">
        <v>22200000286304</v>
      </c>
      <c r="B436" t="str">
        <f>"2220000028"</f>
        <v>2220000028</v>
      </c>
      <c r="C436" t="s">
        <v>50</v>
      </c>
      <c r="D436" t="str">
        <f>"6304"</f>
        <v>6304</v>
      </c>
      <c r="E436" t="s">
        <v>65</v>
      </c>
      <c r="F436" t="s">
        <v>52</v>
      </c>
      <c r="G436" t="s">
        <v>47091</v>
      </c>
      <c r="H436" t="s">
        <v>47054</v>
      </c>
      <c r="I436" t="s">
        <v>47120</v>
      </c>
      <c r="J436" t="s">
        <v>47121</v>
      </c>
      <c r="K436" t="s">
        <v>47113</v>
      </c>
      <c r="L436">
        <v>10.9</v>
      </c>
      <c r="M436">
        <v>27</v>
      </c>
      <c r="N436">
        <v>0</v>
      </c>
      <c r="O436">
        <v>27</v>
      </c>
      <c r="P436">
        <v>0</v>
      </c>
    </row>
    <row r="437" spans="1:16" x14ac:dyDescent="0.25">
      <c r="A437">
        <v>22200000311700</v>
      </c>
      <c r="B437" t="str">
        <f>"2220000031"</f>
        <v>2220000031</v>
      </c>
      <c r="C437" t="s">
        <v>1957</v>
      </c>
      <c r="D437" t="str">
        <f>"1700"</f>
        <v>1700</v>
      </c>
      <c r="E437" t="s">
        <v>60</v>
      </c>
      <c r="F437" t="s">
        <v>56</v>
      </c>
      <c r="G437" t="s">
        <v>47091</v>
      </c>
      <c r="H437" t="s">
        <v>47054</v>
      </c>
      <c r="I437" t="s">
        <v>47120</v>
      </c>
      <c r="J437" t="s">
        <v>47121</v>
      </c>
      <c r="K437" t="s">
        <v>47113</v>
      </c>
      <c r="L437">
        <v>10.81</v>
      </c>
      <c r="M437">
        <v>27</v>
      </c>
      <c r="N437">
        <v>0</v>
      </c>
      <c r="O437">
        <v>27</v>
      </c>
      <c r="P437">
        <v>0</v>
      </c>
    </row>
    <row r="438" spans="1:16" x14ac:dyDescent="0.25">
      <c r="A438">
        <v>22200000315109</v>
      </c>
      <c r="B438" t="str">
        <f>"2220000031"</f>
        <v>2220000031</v>
      </c>
      <c r="C438" t="s">
        <v>1957</v>
      </c>
      <c r="D438" t="str">
        <f>"5109"</f>
        <v>5109</v>
      </c>
      <c r="E438" t="s">
        <v>769</v>
      </c>
      <c r="F438" t="s">
        <v>56</v>
      </c>
      <c r="G438" t="s">
        <v>47091</v>
      </c>
      <c r="H438" t="s">
        <v>47054</v>
      </c>
      <c r="I438" t="s">
        <v>47120</v>
      </c>
      <c r="J438" t="s">
        <v>47121</v>
      </c>
      <c r="K438" t="s">
        <v>47113</v>
      </c>
      <c r="L438">
        <v>10.81</v>
      </c>
      <c r="M438">
        <v>27</v>
      </c>
      <c r="N438">
        <v>0</v>
      </c>
      <c r="O438">
        <v>27</v>
      </c>
      <c r="P438">
        <v>0</v>
      </c>
    </row>
    <row r="439" spans="1:16" x14ac:dyDescent="0.25">
      <c r="A439">
        <v>22200000316807</v>
      </c>
      <c r="B439" t="str">
        <f>"2220000031"</f>
        <v>2220000031</v>
      </c>
      <c r="C439" t="s">
        <v>1957</v>
      </c>
      <c r="D439" t="str">
        <f>"6807"</f>
        <v>6807</v>
      </c>
      <c r="E439" t="s">
        <v>1958</v>
      </c>
      <c r="F439" t="s">
        <v>56</v>
      </c>
      <c r="G439" t="s">
        <v>47091</v>
      </c>
      <c r="H439" t="s">
        <v>47054</v>
      </c>
      <c r="I439" t="s">
        <v>47120</v>
      </c>
      <c r="J439" t="s">
        <v>47121</v>
      </c>
      <c r="K439" t="s">
        <v>47113</v>
      </c>
      <c r="L439">
        <v>10.81</v>
      </c>
      <c r="M439">
        <v>27</v>
      </c>
      <c r="N439">
        <v>0</v>
      </c>
      <c r="O439">
        <v>27</v>
      </c>
      <c r="P439">
        <v>0</v>
      </c>
    </row>
    <row r="440" spans="1:16" x14ac:dyDescent="0.25">
      <c r="A440">
        <v>22200000341100</v>
      </c>
      <c r="B440" t="str">
        <f t="shared" ref="B440:B446" si="7">"2220000034"</f>
        <v>2220000034</v>
      </c>
      <c r="C440" t="s">
        <v>53</v>
      </c>
      <c r="D440" t="str">
        <f>"1100"</f>
        <v>1100</v>
      </c>
      <c r="E440" t="s">
        <v>54</v>
      </c>
      <c r="F440" t="s">
        <v>52</v>
      </c>
      <c r="G440" t="s">
        <v>47091</v>
      </c>
      <c r="H440" t="s">
        <v>47054</v>
      </c>
      <c r="I440" t="s">
        <v>47120</v>
      </c>
      <c r="J440" t="s">
        <v>47121</v>
      </c>
      <c r="K440" t="s">
        <v>47113</v>
      </c>
      <c r="L440">
        <v>9.7200000000000006</v>
      </c>
      <c r="M440">
        <v>25</v>
      </c>
      <c r="N440">
        <v>0</v>
      </c>
      <c r="O440">
        <v>25</v>
      </c>
      <c r="P440">
        <v>0</v>
      </c>
    </row>
    <row r="441" spans="1:16" x14ac:dyDescent="0.25">
      <c r="A441">
        <v>22200000341215</v>
      </c>
      <c r="B441" t="str">
        <f t="shared" si="7"/>
        <v>2220000034</v>
      </c>
      <c r="C441" t="s">
        <v>53</v>
      </c>
      <c r="D441" t="str">
        <f>"1215"</f>
        <v>1215</v>
      </c>
      <c r="E441" t="s">
        <v>1959</v>
      </c>
      <c r="F441" t="s">
        <v>52</v>
      </c>
      <c r="G441" t="s">
        <v>47091</v>
      </c>
      <c r="H441" t="s">
        <v>47054</v>
      </c>
      <c r="I441" t="s">
        <v>47120</v>
      </c>
      <c r="J441" t="s">
        <v>47121</v>
      </c>
      <c r="K441" t="s">
        <v>47113</v>
      </c>
      <c r="L441">
        <v>9.7200000000000006</v>
      </c>
      <c r="M441">
        <v>25</v>
      </c>
      <c r="N441">
        <v>0</v>
      </c>
      <c r="O441">
        <v>25</v>
      </c>
      <c r="P441">
        <v>0</v>
      </c>
    </row>
    <row r="442" spans="1:16" x14ac:dyDescent="0.25">
      <c r="A442">
        <v>22200000341701</v>
      </c>
      <c r="B442" t="str">
        <f t="shared" si="7"/>
        <v>2220000034</v>
      </c>
      <c r="C442" t="s">
        <v>53</v>
      </c>
      <c r="D442" t="str">
        <f>"1701"</f>
        <v>1701</v>
      </c>
      <c r="E442" t="s">
        <v>55</v>
      </c>
      <c r="F442" t="s">
        <v>56</v>
      </c>
      <c r="G442" t="s">
        <v>47091</v>
      </c>
      <c r="H442" t="s">
        <v>47054</v>
      </c>
      <c r="I442" t="s">
        <v>47120</v>
      </c>
      <c r="J442" t="s">
        <v>47121</v>
      </c>
      <c r="K442" t="s">
        <v>47113</v>
      </c>
      <c r="L442">
        <v>10.02</v>
      </c>
      <c r="M442">
        <v>25</v>
      </c>
      <c r="N442">
        <v>0</v>
      </c>
      <c r="O442">
        <v>25</v>
      </c>
      <c r="P442">
        <v>0</v>
      </c>
    </row>
    <row r="443" spans="1:16" x14ac:dyDescent="0.25">
      <c r="A443">
        <v>22200000344510</v>
      </c>
      <c r="B443" t="str">
        <f t="shared" si="7"/>
        <v>2220000034</v>
      </c>
      <c r="C443" t="s">
        <v>53</v>
      </c>
      <c r="D443" t="str">
        <f>"4510"</f>
        <v>4510</v>
      </c>
      <c r="E443" t="s">
        <v>1960</v>
      </c>
      <c r="F443" t="s">
        <v>56</v>
      </c>
      <c r="G443" t="s">
        <v>47091</v>
      </c>
      <c r="H443" t="s">
        <v>47054</v>
      </c>
      <c r="I443" t="s">
        <v>47120</v>
      </c>
      <c r="J443" t="s">
        <v>47121</v>
      </c>
      <c r="K443" t="s">
        <v>47113</v>
      </c>
      <c r="L443">
        <v>9.7200000000000006</v>
      </c>
      <c r="M443">
        <v>25</v>
      </c>
      <c r="N443">
        <v>0</v>
      </c>
      <c r="O443">
        <v>25</v>
      </c>
      <c r="P443">
        <v>0</v>
      </c>
    </row>
    <row r="444" spans="1:16" x14ac:dyDescent="0.25">
      <c r="A444">
        <v>22200000345301</v>
      </c>
      <c r="B444" t="str">
        <f t="shared" si="7"/>
        <v>2220000034</v>
      </c>
      <c r="C444" t="s">
        <v>53</v>
      </c>
      <c r="D444" t="str">
        <f>"5301"</f>
        <v>5301</v>
      </c>
      <c r="E444" t="s">
        <v>1940</v>
      </c>
      <c r="F444" t="s">
        <v>56</v>
      </c>
      <c r="G444" t="s">
        <v>47091</v>
      </c>
      <c r="H444" t="s">
        <v>47054</v>
      </c>
      <c r="I444" t="s">
        <v>47120</v>
      </c>
      <c r="J444" t="s">
        <v>47121</v>
      </c>
      <c r="K444" t="s">
        <v>47113</v>
      </c>
      <c r="L444">
        <v>9.7200000000000006</v>
      </c>
      <c r="M444">
        <v>25</v>
      </c>
      <c r="N444">
        <v>0</v>
      </c>
      <c r="O444">
        <v>25</v>
      </c>
      <c r="P444">
        <v>0</v>
      </c>
    </row>
    <row r="445" spans="1:16" x14ac:dyDescent="0.25">
      <c r="A445">
        <v>22200000346807</v>
      </c>
      <c r="B445" t="str">
        <f t="shared" si="7"/>
        <v>2220000034</v>
      </c>
      <c r="C445" t="s">
        <v>53</v>
      </c>
      <c r="D445" t="str">
        <f>"6807"</f>
        <v>6807</v>
      </c>
      <c r="E445" t="s">
        <v>1958</v>
      </c>
      <c r="F445" t="s">
        <v>56</v>
      </c>
      <c r="G445" t="s">
        <v>47091</v>
      </c>
      <c r="H445" t="s">
        <v>47054</v>
      </c>
      <c r="I445" t="s">
        <v>47120</v>
      </c>
      <c r="J445" t="s">
        <v>47121</v>
      </c>
      <c r="K445" t="s">
        <v>47113</v>
      </c>
      <c r="L445">
        <v>9.7200000000000006</v>
      </c>
      <c r="M445">
        <v>25</v>
      </c>
      <c r="N445">
        <v>0</v>
      </c>
      <c r="O445">
        <v>25</v>
      </c>
      <c r="P445">
        <v>0</v>
      </c>
    </row>
    <row r="446" spans="1:16" x14ac:dyDescent="0.25">
      <c r="A446">
        <v>22200000347405</v>
      </c>
      <c r="B446" t="str">
        <f t="shared" si="7"/>
        <v>2220000034</v>
      </c>
      <c r="C446" t="s">
        <v>53</v>
      </c>
      <c r="D446" t="str">
        <f>"7405"</f>
        <v>7405</v>
      </c>
      <c r="E446" t="s">
        <v>1946</v>
      </c>
      <c r="F446" t="s">
        <v>56</v>
      </c>
      <c r="G446" t="s">
        <v>47091</v>
      </c>
      <c r="H446" t="s">
        <v>47054</v>
      </c>
      <c r="I446" t="s">
        <v>47120</v>
      </c>
      <c r="J446" t="s">
        <v>47121</v>
      </c>
      <c r="K446" t="s">
        <v>47113</v>
      </c>
      <c r="L446">
        <v>9.7200000000000006</v>
      </c>
      <c r="M446">
        <v>25</v>
      </c>
      <c r="N446">
        <v>0</v>
      </c>
      <c r="O446">
        <v>25</v>
      </c>
      <c r="P446">
        <v>0</v>
      </c>
    </row>
    <row r="447" spans="1:16" x14ac:dyDescent="0.25">
      <c r="A447">
        <v>22200000351001</v>
      </c>
      <c r="B447" t="str">
        <f>"2220000035"</f>
        <v>2220000035</v>
      </c>
      <c r="C447" t="s">
        <v>1961</v>
      </c>
      <c r="D447" t="str">
        <f>"1001"</f>
        <v>1001</v>
      </c>
      <c r="E447" t="s">
        <v>42</v>
      </c>
      <c r="F447" t="s">
        <v>8</v>
      </c>
      <c r="G447" t="s">
        <v>47091</v>
      </c>
      <c r="H447" t="s">
        <v>47054</v>
      </c>
      <c r="I447" t="s">
        <v>47120</v>
      </c>
      <c r="J447" t="s">
        <v>47121</v>
      </c>
      <c r="K447" t="s">
        <v>47113</v>
      </c>
      <c r="L447">
        <v>11.14</v>
      </c>
      <c r="M447">
        <v>23</v>
      </c>
      <c r="N447">
        <v>0</v>
      </c>
      <c r="O447">
        <v>23</v>
      </c>
      <c r="P447">
        <v>0</v>
      </c>
    </row>
    <row r="448" spans="1:16" x14ac:dyDescent="0.25">
      <c r="A448">
        <v>22200000354302</v>
      </c>
      <c r="B448" t="str">
        <f>"2220000035"</f>
        <v>2220000035</v>
      </c>
      <c r="C448" t="s">
        <v>1961</v>
      </c>
      <c r="D448" t="str">
        <f>"4302"</f>
        <v>4302</v>
      </c>
      <c r="E448" t="s">
        <v>1949</v>
      </c>
      <c r="F448" t="s">
        <v>8</v>
      </c>
      <c r="G448" t="s">
        <v>47091</v>
      </c>
      <c r="H448" t="s">
        <v>47054</v>
      </c>
      <c r="I448" t="s">
        <v>47120</v>
      </c>
      <c r="J448" t="s">
        <v>47121</v>
      </c>
      <c r="K448" t="s">
        <v>47113</v>
      </c>
      <c r="L448">
        <v>11.14</v>
      </c>
      <c r="M448">
        <v>23</v>
      </c>
      <c r="N448">
        <v>0</v>
      </c>
      <c r="O448">
        <v>23</v>
      </c>
      <c r="P448">
        <v>0</v>
      </c>
    </row>
    <row r="449" spans="1:16" x14ac:dyDescent="0.25">
      <c r="A449">
        <v>22200000355202</v>
      </c>
      <c r="B449" t="str">
        <f>"2220000035"</f>
        <v>2220000035</v>
      </c>
      <c r="C449" t="s">
        <v>1961</v>
      </c>
      <c r="D449" t="str">
        <f>"5202"</f>
        <v>5202</v>
      </c>
      <c r="E449" t="s">
        <v>44</v>
      </c>
      <c r="F449" t="s">
        <v>8</v>
      </c>
      <c r="G449" t="s">
        <v>47091</v>
      </c>
      <c r="H449" t="s">
        <v>47054</v>
      </c>
      <c r="I449" t="s">
        <v>47120</v>
      </c>
      <c r="J449" t="s">
        <v>47121</v>
      </c>
      <c r="K449" t="s">
        <v>47113</v>
      </c>
      <c r="L449">
        <v>11.14</v>
      </c>
      <c r="M449">
        <v>23</v>
      </c>
      <c r="N449">
        <v>0</v>
      </c>
      <c r="O449">
        <v>23</v>
      </c>
      <c r="P449">
        <v>0</v>
      </c>
    </row>
    <row r="450" spans="1:16" x14ac:dyDescent="0.25">
      <c r="A450">
        <v>22200000358106</v>
      </c>
      <c r="B450" t="str">
        <f>"2220000035"</f>
        <v>2220000035</v>
      </c>
      <c r="C450" t="s">
        <v>1961</v>
      </c>
      <c r="D450" t="str">
        <f>"8106"</f>
        <v>8106</v>
      </c>
      <c r="E450" t="s">
        <v>1905</v>
      </c>
      <c r="F450" t="s">
        <v>8</v>
      </c>
      <c r="G450" t="s">
        <v>47091</v>
      </c>
      <c r="H450" t="s">
        <v>47054</v>
      </c>
      <c r="I450" t="s">
        <v>47120</v>
      </c>
      <c r="J450" t="s">
        <v>47121</v>
      </c>
      <c r="K450" t="s">
        <v>47113</v>
      </c>
      <c r="L450">
        <v>11.14</v>
      </c>
      <c r="M450">
        <v>23</v>
      </c>
      <c r="N450">
        <v>0</v>
      </c>
      <c r="O450">
        <v>23</v>
      </c>
      <c r="P450">
        <v>0</v>
      </c>
    </row>
    <row r="451" spans="1:16" x14ac:dyDescent="0.25">
      <c r="A451">
        <v>22200000361001</v>
      </c>
      <c r="B451" t="str">
        <f>"2220000036"</f>
        <v>2220000036</v>
      </c>
      <c r="C451" t="s">
        <v>1962</v>
      </c>
      <c r="D451" t="str">
        <f>"1001"</f>
        <v>1001</v>
      </c>
      <c r="E451" t="s">
        <v>42</v>
      </c>
      <c r="F451" t="s">
        <v>8</v>
      </c>
      <c r="G451" t="s">
        <v>47091</v>
      </c>
      <c r="H451" t="s">
        <v>47054</v>
      </c>
      <c r="I451" t="s">
        <v>47120</v>
      </c>
      <c r="J451" t="s">
        <v>47121</v>
      </c>
      <c r="K451" t="s">
        <v>47113</v>
      </c>
      <c r="L451">
        <v>12.61</v>
      </c>
      <c r="M451">
        <v>23</v>
      </c>
      <c r="N451">
        <v>0</v>
      </c>
      <c r="O451">
        <v>23</v>
      </c>
      <c r="P451">
        <v>0</v>
      </c>
    </row>
    <row r="452" spans="1:16" x14ac:dyDescent="0.25">
      <c r="A452">
        <v>22200000361700</v>
      </c>
      <c r="B452" t="str">
        <f>"2220000036"</f>
        <v>2220000036</v>
      </c>
      <c r="C452" t="s">
        <v>1962</v>
      </c>
      <c r="D452" t="str">
        <f>"1700"</f>
        <v>1700</v>
      </c>
      <c r="E452" t="s">
        <v>60</v>
      </c>
      <c r="F452" t="s">
        <v>8</v>
      </c>
      <c r="G452" t="s">
        <v>47091</v>
      </c>
      <c r="H452" t="s">
        <v>47054</v>
      </c>
      <c r="I452" t="s">
        <v>47120</v>
      </c>
      <c r="J452" t="s">
        <v>47121</v>
      </c>
      <c r="K452" t="s">
        <v>47113</v>
      </c>
      <c r="L452">
        <v>12.61</v>
      </c>
      <c r="M452">
        <v>23</v>
      </c>
      <c r="N452">
        <v>0</v>
      </c>
      <c r="O452">
        <v>23</v>
      </c>
      <c r="P452">
        <v>0</v>
      </c>
    </row>
    <row r="453" spans="1:16" x14ac:dyDescent="0.25">
      <c r="A453">
        <v>22200000368106</v>
      </c>
      <c r="B453" t="str">
        <f>"2220000036"</f>
        <v>2220000036</v>
      </c>
      <c r="C453" t="s">
        <v>1962</v>
      </c>
      <c r="D453" t="str">
        <f>"8106"</f>
        <v>8106</v>
      </c>
      <c r="E453" t="s">
        <v>1905</v>
      </c>
      <c r="F453" t="s">
        <v>8</v>
      </c>
      <c r="G453" t="s">
        <v>47091</v>
      </c>
      <c r="H453" t="s">
        <v>47054</v>
      </c>
      <c r="I453" t="s">
        <v>47120</v>
      </c>
      <c r="J453" t="s">
        <v>47121</v>
      </c>
      <c r="K453" t="s">
        <v>47113</v>
      </c>
      <c r="L453">
        <v>12.61</v>
      </c>
      <c r="M453">
        <v>23</v>
      </c>
      <c r="N453">
        <v>0</v>
      </c>
      <c r="O453">
        <v>23</v>
      </c>
      <c r="P453">
        <v>0</v>
      </c>
    </row>
    <row r="454" spans="1:16" x14ac:dyDescent="0.25">
      <c r="A454">
        <v>22200000371001</v>
      </c>
      <c r="B454" t="str">
        <f>"2220000037"</f>
        <v>2220000037</v>
      </c>
      <c r="C454" t="s">
        <v>1963</v>
      </c>
      <c r="D454" t="str">
        <f>"1001"</f>
        <v>1001</v>
      </c>
      <c r="E454" t="s">
        <v>42</v>
      </c>
      <c r="F454" t="s">
        <v>8</v>
      </c>
      <c r="G454" t="s">
        <v>47091</v>
      </c>
      <c r="H454" t="s">
        <v>47054</v>
      </c>
      <c r="I454" t="s">
        <v>47120</v>
      </c>
      <c r="J454" t="s">
        <v>47121</v>
      </c>
      <c r="K454" t="s">
        <v>47113</v>
      </c>
      <c r="L454">
        <v>10.14</v>
      </c>
      <c r="M454">
        <v>29</v>
      </c>
      <c r="N454">
        <v>0</v>
      </c>
      <c r="O454">
        <v>29</v>
      </c>
      <c r="P454">
        <v>0</v>
      </c>
    </row>
    <row r="455" spans="1:16" x14ac:dyDescent="0.25">
      <c r="A455">
        <v>22200000371700</v>
      </c>
      <c r="B455" t="str">
        <f>"2220000037"</f>
        <v>2220000037</v>
      </c>
      <c r="C455" t="s">
        <v>1963</v>
      </c>
      <c r="D455" t="str">
        <f>"1700"</f>
        <v>1700</v>
      </c>
      <c r="E455" t="s">
        <v>60</v>
      </c>
      <c r="F455" t="s">
        <v>8</v>
      </c>
      <c r="G455" t="s">
        <v>47091</v>
      </c>
      <c r="H455" t="s">
        <v>47054</v>
      </c>
      <c r="I455" t="s">
        <v>47120</v>
      </c>
      <c r="J455" t="s">
        <v>47121</v>
      </c>
      <c r="K455" t="s">
        <v>47113</v>
      </c>
      <c r="L455">
        <v>10.14</v>
      </c>
      <c r="M455">
        <v>29</v>
      </c>
      <c r="N455">
        <v>0</v>
      </c>
      <c r="O455">
        <v>29</v>
      </c>
      <c r="P455">
        <v>0</v>
      </c>
    </row>
    <row r="456" spans="1:16" x14ac:dyDescent="0.25">
      <c r="A456">
        <v>22200000376010</v>
      </c>
      <c r="B456" t="str">
        <f>"2220000037"</f>
        <v>2220000037</v>
      </c>
      <c r="C456" t="s">
        <v>1963</v>
      </c>
      <c r="D456" t="str">
        <f>"6010"</f>
        <v>6010</v>
      </c>
      <c r="E456" t="s">
        <v>49</v>
      </c>
      <c r="F456" t="s">
        <v>8</v>
      </c>
      <c r="G456" t="s">
        <v>47091</v>
      </c>
      <c r="H456" t="s">
        <v>47054</v>
      </c>
      <c r="I456" t="s">
        <v>47120</v>
      </c>
      <c r="J456" t="s">
        <v>47121</v>
      </c>
      <c r="K456" t="s">
        <v>47113</v>
      </c>
      <c r="L456">
        <v>10.14</v>
      </c>
      <c r="M456">
        <v>29</v>
      </c>
      <c r="N456">
        <v>0</v>
      </c>
      <c r="O456">
        <v>29</v>
      </c>
      <c r="P456">
        <v>0</v>
      </c>
    </row>
    <row r="457" spans="1:16" x14ac:dyDescent="0.25">
      <c r="A457">
        <v>22200000411702</v>
      </c>
      <c r="B457" t="str">
        <f>"2220000041"</f>
        <v>2220000041</v>
      </c>
      <c r="C457" t="s">
        <v>1964</v>
      </c>
      <c r="D457" t="str">
        <f>"1702"</f>
        <v>1702</v>
      </c>
      <c r="E457" t="s">
        <v>1956</v>
      </c>
      <c r="F457" t="s">
        <v>52</v>
      </c>
      <c r="G457" t="s">
        <v>47091</v>
      </c>
      <c r="H457" t="s">
        <v>47054</v>
      </c>
      <c r="I457" t="s">
        <v>47114</v>
      </c>
      <c r="J457" t="s">
        <v>47115</v>
      </c>
      <c r="K457" t="s">
        <v>47113</v>
      </c>
      <c r="L457">
        <v>12.54</v>
      </c>
      <c r="M457">
        <v>30</v>
      </c>
      <c r="N457">
        <v>0</v>
      </c>
      <c r="O457">
        <v>30</v>
      </c>
      <c r="P457">
        <v>0</v>
      </c>
    </row>
    <row r="458" spans="1:16" x14ac:dyDescent="0.25">
      <c r="A458">
        <v>22200000413128</v>
      </c>
      <c r="B458" t="str">
        <f>"2220000041"</f>
        <v>2220000041</v>
      </c>
      <c r="C458" t="s">
        <v>1964</v>
      </c>
      <c r="D458" t="str">
        <f>"3128"</f>
        <v>3128</v>
      </c>
      <c r="E458" t="s">
        <v>1944</v>
      </c>
      <c r="F458" t="s">
        <v>52</v>
      </c>
      <c r="G458" t="s">
        <v>47091</v>
      </c>
      <c r="H458" t="s">
        <v>47054</v>
      </c>
      <c r="I458" t="s">
        <v>47114</v>
      </c>
      <c r="J458" t="s">
        <v>47115</v>
      </c>
      <c r="K458" t="s">
        <v>47113</v>
      </c>
      <c r="L458">
        <v>12.54</v>
      </c>
      <c r="M458">
        <v>31</v>
      </c>
      <c r="N458">
        <v>0</v>
      </c>
      <c r="O458">
        <v>31</v>
      </c>
      <c r="P458">
        <v>0</v>
      </c>
    </row>
    <row r="459" spans="1:16" x14ac:dyDescent="0.25">
      <c r="A459">
        <v>22200000416019</v>
      </c>
      <c r="B459" t="str">
        <f>"2220000041"</f>
        <v>2220000041</v>
      </c>
      <c r="C459" t="s">
        <v>1964</v>
      </c>
      <c r="D459" t="str">
        <f>"6019"</f>
        <v>6019</v>
      </c>
      <c r="E459" t="s">
        <v>1965</v>
      </c>
      <c r="F459" t="s">
        <v>52</v>
      </c>
      <c r="G459" t="s">
        <v>47091</v>
      </c>
      <c r="H459" t="s">
        <v>47054</v>
      </c>
      <c r="I459" t="s">
        <v>47114</v>
      </c>
      <c r="J459" t="s">
        <v>47115</v>
      </c>
      <c r="K459" t="s">
        <v>47113</v>
      </c>
      <c r="L459">
        <v>12.54</v>
      </c>
      <c r="M459">
        <v>30</v>
      </c>
      <c r="N459">
        <v>0</v>
      </c>
      <c r="O459">
        <v>30</v>
      </c>
      <c r="P459">
        <v>0</v>
      </c>
    </row>
    <row r="460" spans="1:16" x14ac:dyDescent="0.25">
      <c r="A460">
        <v>22200000421100</v>
      </c>
      <c r="B460" t="str">
        <f>"2220000042"</f>
        <v>2220000042</v>
      </c>
      <c r="C460" t="s">
        <v>1966</v>
      </c>
      <c r="D460" t="str">
        <f>"1100"</f>
        <v>1100</v>
      </c>
      <c r="E460" t="s">
        <v>54</v>
      </c>
      <c r="F460" t="s">
        <v>52</v>
      </c>
      <c r="G460" t="s">
        <v>47091</v>
      </c>
      <c r="H460" t="s">
        <v>47054</v>
      </c>
      <c r="I460" t="s">
        <v>47120</v>
      </c>
      <c r="J460" t="s">
        <v>47121</v>
      </c>
      <c r="K460" t="s">
        <v>47113</v>
      </c>
      <c r="L460">
        <v>15.66</v>
      </c>
      <c r="M460">
        <v>37</v>
      </c>
      <c r="N460">
        <v>0</v>
      </c>
      <c r="O460">
        <v>37</v>
      </c>
      <c r="P460">
        <v>0</v>
      </c>
    </row>
    <row r="461" spans="1:16" x14ac:dyDescent="0.25">
      <c r="A461">
        <v>22200000421702</v>
      </c>
      <c r="B461" t="str">
        <f>"2220000042"</f>
        <v>2220000042</v>
      </c>
      <c r="C461" t="s">
        <v>1966</v>
      </c>
      <c r="D461" t="str">
        <f>"1702"</f>
        <v>1702</v>
      </c>
      <c r="E461" t="s">
        <v>1956</v>
      </c>
      <c r="F461" t="s">
        <v>52</v>
      </c>
      <c r="G461" t="s">
        <v>47091</v>
      </c>
      <c r="H461" t="s">
        <v>47054</v>
      </c>
      <c r="I461" t="s">
        <v>47120</v>
      </c>
      <c r="J461" t="s">
        <v>47121</v>
      </c>
      <c r="K461" t="s">
        <v>47113</v>
      </c>
      <c r="L461">
        <v>15.66</v>
      </c>
      <c r="M461">
        <v>37</v>
      </c>
      <c r="N461">
        <v>0</v>
      </c>
      <c r="O461">
        <v>37</v>
      </c>
      <c r="P461">
        <v>0</v>
      </c>
    </row>
    <row r="462" spans="1:16" x14ac:dyDescent="0.25">
      <c r="A462">
        <v>22200000431700</v>
      </c>
      <c r="B462" t="str">
        <f>"2220000043"</f>
        <v>2220000043</v>
      </c>
      <c r="C462" t="s">
        <v>1967</v>
      </c>
      <c r="D462" t="str">
        <f>"1700"</f>
        <v>1700</v>
      </c>
      <c r="E462" t="s">
        <v>60</v>
      </c>
      <c r="F462" t="s">
        <v>56</v>
      </c>
      <c r="G462" t="s">
        <v>47091</v>
      </c>
      <c r="H462" t="s">
        <v>47054</v>
      </c>
      <c r="I462" t="s">
        <v>47120</v>
      </c>
      <c r="J462" t="s">
        <v>47121</v>
      </c>
      <c r="K462" t="s">
        <v>47113</v>
      </c>
      <c r="L462">
        <v>12.72</v>
      </c>
      <c r="M462">
        <v>31</v>
      </c>
      <c r="N462">
        <v>0</v>
      </c>
      <c r="O462">
        <v>31</v>
      </c>
      <c r="P462">
        <v>0</v>
      </c>
    </row>
    <row r="463" spans="1:16" x14ac:dyDescent="0.25">
      <c r="A463">
        <v>22200000434510</v>
      </c>
      <c r="B463" t="str">
        <f>"2220000043"</f>
        <v>2220000043</v>
      </c>
      <c r="C463" t="s">
        <v>1967</v>
      </c>
      <c r="D463" t="str">
        <f>"4510"</f>
        <v>4510</v>
      </c>
      <c r="E463" t="s">
        <v>1960</v>
      </c>
      <c r="F463" t="s">
        <v>56</v>
      </c>
      <c r="G463" t="s">
        <v>47091</v>
      </c>
      <c r="H463" t="s">
        <v>47054</v>
      </c>
      <c r="I463" t="s">
        <v>47120</v>
      </c>
      <c r="J463" t="s">
        <v>47121</v>
      </c>
      <c r="K463" t="s">
        <v>47113</v>
      </c>
      <c r="L463">
        <v>12.72</v>
      </c>
      <c r="M463">
        <v>31</v>
      </c>
      <c r="N463">
        <v>0</v>
      </c>
      <c r="O463">
        <v>31</v>
      </c>
      <c r="P463">
        <v>0</v>
      </c>
    </row>
    <row r="464" spans="1:16" x14ac:dyDescent="0.25">
      <c r="A464">
        <v>22200000437405</v>
      </c>
      <c r="B464" t="str">
        <f>"2220000043"</f>
        <v>2220000043</v>
      </c>
      <c r="C464" t="s">
        <v>1967</v>
      </c>
      <c r="D464" t="str">
        <f>"7405"</f>
        <v>7405</v>
      </c>
      <c r="E464" t="s">
        <v>1946</v>
      </c>
      <c r="F464" t="s">
        <v>56</v>
      </c>
      <c r="G464" t="s">
        <v>47091</v>
      </c>
      <c r="H464" t="s">
        <v>47054</v>
      </c>
      <c r="I464" t="s">
        <v>47120</v>
      </c>
      <c r="J464" t="s">
        <v>47121</v>
      </c>
      <c r="K464" t="s">
        <v>47113</v>
      </c>
      <c r="L464">
        <v>12.72</v>
      </c>
      <c r="M464">
        <v>31</v>
      </c>
      <c r="N464">
        <v>0</v>
      </c>
      <c r="O464">
        <v>31</v>
      </c>
      <c r="P464">
        <v>0</v>
      </c>
    </row>
    <row r="465" spans="1:16" x14ac:dyDescent="0.25">
      <c r="A465">
        <v>22200000491501</v>
      </c>
      <c r="B465" t="str">
        <f>"2220000049"</f>
        <v>2220000049</v>
      </c>
      <c r="C465" t="s">
        <v>53</v>
      </c>
      <c r="D465" t="str">
        <f>"1501"</f>
        <v>1501</v>
      </c>
      <c r="E465" t="s">
        <v>46</v>
      </c>
      <c r="F465" t="s">
        <v>56</v>
      </c>
      <c r="G465" t="s">
        <v>47091</v>
      </c>
      <c r="H465" t="s">
        <v>47054</v>
      </c>
      <c r="I465" t="s">
        <v>47120</v>
      </c>
      <c r="J465" t="s">
        <v>47121</v>
      </c>
      <c r="K465" t="s">
        <v>47113</v>
      </c>
      <c r="L465">
        <v>10.02</v>
      </c>
      <c r="M465">
        <v>26</v>
      </c>
      <c r="N465">
        <v>0</v>
      </c>
      <c r="O465">
        <v>26</v>
      </c>
      <c r="P465">
        <v>0</v>
      </c>
    </row>
    <row r="466" spans="1:16" x14ac:dyDescent="0.25">
      <c r="A466">
        <v>22200000511501</v>
      </c>
      <c r="B466" t="str">
        <f>"2220000051"</f>
        <v>2220000051</v>
      </c>
      <c r="C466" t="s">
        <v>1968</v>
      </c>
      <c r="D466" t="str">
        <f>"1501"</f>
        <v>1501</v>
      </c>
      <c r="E466" t="s">
        <v>46</v>
      </c>
      <c r="F466" t="s">
        <v>8</v>
      </c>
      <c r="G466" t="s">
        <v>47091</v>
      </c>
      <c r="H466" t="s">
        <v>47054</v>
      </c>
      <c r="I466" t="s">
        <v>47120</v>
      </c>
      <c r="J466" t="s">
        <v>47121</v>
      </c>
      <c r="K466" t="s">
        <v>47113</v>
      </c>
      <c r="L466">
        <v>10.7</v>
      </c>
      <c r="M466">
        <v>23</v>
      </c>
      <c r="N466">
        <v>0</v>
      </c>
      <c r="O466">
        <v>23</v>
      </c>
      <c r="P466">
        <v>0</v>
      </c>
    </row>
    <row r="467" spans="1:16" x14ac:dyDescent="0.25">
      <c r="A467">
        <v>22200000521501</v>
      </c>
      <c r="B467" t="str">
        <f>"2220000052"</f>
        <v>2220000052</v>
      </c>
      <c r="C467" t="s">
        <v>1967</v>
      </c>
      <c r="D467" t="str">
        <f>"1501"</f>
        <v>1501</v>
      </c>
      <c r="E467" t="s">
        <v>46</v>
      </c>
      <c r="F467" t="s">
        <v>56</v>
      </c>
      <c r="G467" t="s">
        <v>47091</v>
      </c>
      <c r="H467" t="s">
        <v>47054</v>
      </c>
      <c r="I467" t="s">
        <v>47114</v>
      </c>
      <c r="J467" t="s">
        <v>47115</v>
      </c>
      <c r="K467" t="s">
        <v>47113</v>
      </c>
      <c r="L467">
        <v>10.86</v>
      </c>
      <c r="M467">
        <v>31</v>
      </c>
      <c r="N467">
        <v>0</v>
      </c>
      <c r="O467">
        <v>31</v>
      </c>
      <c r="P467">
        <v>0</v>
      </c>
    </row>
    <row r="468" spans="1:16" x14ac:dyDescent="0.25">
      <c r="A468">
        <v>22200000592330</v>
      </c>
      <c r="B468" t="str">
        <f>"2220000059"</f>
        <v>2220000059</v>
      </c>
      <c r="C468" t="s">
        <v>1969</v>
      </c>
      <c r="D468" t="str">
        <f>"2330"</f>
        <v>2330</v>
      </c>
      <c r="E468" t="s">
        <v>1851</v>
      </c>
      <c r="F468" t="s">
        <v>8</v>
      </c>
      <c r="G468" t="s">
        <v>47091</v>
      </c>
      <c r="H468" t="s">
        <v>47054</v>
      </c>
      <c r="I468" t="s">
        <v>47111</v>
      </c>
      <c r="J468" t="s">
        <v>47112</v>
      </c>
      <c r="K468" t="s">
        <v>47113</v>
      </c>
      <c r="L468">
        <v>13.21</v>
      </c>
      <c r="M468">
        <v>30</v>
      </c>
      <c r="N468">
        <v>0</v>
      </c>
      <c r="O468">
        <v>30</v>
      </c>
      <c r="P468">
        <v>0</v>
      </c>
    </row>
    <row r="469" spans="1:16" x14ac:dyDescent="0.25">
      <c r="A469">
        <v>22200000596005</v>
      </c>
      <c r="B469" t="str">
        <f>"2220000059"</f>
        <v>2220000059</v>
      </c>
      <c r="C469" t="s">
        <v>1969</v>
      </c>
      <c r="D469" t="str">
        <f>"6005"</f>
        <v>6005</v>
      </c>
      <c r="E469" t="s">
        <v>1749</v>
      </c>
      <c r="F469" t="s">
        <v>8</v>
      </c>
      <c r="G469" t="s">
        <v>47091</v>
      </c>
      <c r="H469" t="s">
        <v>47054</v>
      </c>
      <c r="I469" t="s">
        <v>47111</v>
      </c>
      <c r="J469" t="s">
        <v>47112</v>
      </c>
      <c r="K469" t="s">
        <v>47113</v>
      </c>
      <c r="L469">
        <v>13.21</v>
      </c>
      <c r="M469">
        <v>30</v>
      </c>
      <c r="N469">
        <v>0</v>
      </c>
      <c r="O469">
        <v>30</v>
      </c>
      <c r="P469">
        <v>0</v>
      </c>
    </row>
    <row r="470" spans="1:16" x14ac:dyDescent="0.25">
      <c r="A470">
        <v>22200000596010</v>
      </c>
      <c r="B470" t="str">
        <f>"2220000059"</f>
        <v>2220000059</v>
      </c>
      <c r="C470" t="s">
        <v>1969</v>
      </c>
      <c r="D470" t="str">
        <f>"6010"</f>
        <v>6010</v>
      </c>
      <c r="E470" t="s">
        <v>49</v>
      </c>
      <c r="F470" t="s">
        <v>8</v>
      </c>
      <c r="G470" t="s">
        <v>47091</v>
      </c>
      <c r="H470" t="s">
        <v>47054</v>
      </c>
      <c r="I470" t="s">
        <v>47111</v>
      </c>
      <c r="J470" t="s">
        <v>47112</v>
      </c>
      <c r="K470" t="s">
        <v>47113</v>
      </c>
      <c r="L470">
        <v>13.21</v>
      </c>
      <c r="M470">
        <v>30</v>
      </c>
      <c r="N470">
        <v>0</v>
      </c>
      <c r="O470">
        <v>30</v>
      </c>
      <c r="P470">
        <v>0</v>
      </c>
    </row>
    <row r="471" spans="1:16" x14ac:dyDescent="0.25">
      <c r="A471">
        <v>22200000621001</v>
      </c>
      <c r="B471" t="str">
        <f>"2220000062"</f>
        <v>2220000062</v>
      </c>
      <c r="C471" t="s">
        <v>1970</v>
      </c>
      <c r="D471" t="str">
        <f>"1001"</f>
        <v>1001</v>
      </c>
      <c r="E471" t="s">
        <v>42</v>
      </c>
      <c r="F471" t="s">
        <v>8</v>
      </c>
      <c r="G471" t="s">
        <v>47091</v>
      </c>
      <c r="H471" t="s">
        <v>47054</v>
      </c>
      <c r="I471" t="s">
        <v>47111</v>
      </c>
      <c r="J471" t="s">
        <v>47112</v>
      </c>
      <c r="K471" t="s">
        <v>47113</v>
      </c>
      <c r="L471">
        <v>21.7</v>
      </c>
      <c r="M471">
        <v>47</v>
      </c>
      <c r="N471">
        <v>0</v>
      </c>
      <c r="O471">
        <v>47</v>
      </c>
      <c r="P471">
        <v>0</v>
      </c>
    </row>
    <row r="472" spans="1:16" x14ac:dyDescent="0.25">
      <c r="A472">
        <v>22200000621100</v>
      </c>
      <c r="B472" t="str">
        <f>"2220000062"</f>
        <v>2220000062</v>
      </c>
      <c r="C472" t="s">
        <v>1970</v>
      </c>
      <c r="D472" t="str">
        <f>"1100"</f>
        <v>1100</v>
      </c>
      <c r="E472" t="s">
        <v>54</v>
      </c>
      <c r="F472" t="s">
        <v>8</v>
      </c>
      <c r="G472" t="s">
        <v>47091</v>
      </c>
      <c r="H472" t="s">
        <v>47054</v>
      </c>
      <c r="I472" t="s">
        <v>47111</v>
      </c>
      <c r="J472" t="s">
        <v>47112</v>
      </c>
      <c r="K472" t="s">
        <v>47113</v>
      </c>
      <c r="L472">
        <v>21.7</v>
      </c>
      <c r="M472">
        <v>47</v>
      </c>
      <c r="N472">
        <v>0</v>
      </c>
      <c r="O472">
        <v>47</v>
      </c>
      <c r="P472">
        <v>0</v>
      </c>
    </row>
    <row r="473" spans="1:16" x14ac:dyDescent="0.25">
      <c r="A473">
        <v>22200000631700</v>
      </c>
      <c r="B473" t="str">
        <f>"2220000063"</f>
        <v>2220000063</v>
      </c>
      <c r="C473" t="s">
        <v>1971</v>
      </c>
      <c r="D473" t="str">
        <f>"1700"</f>
        <v>1700</v>
      </c>
      <c r="E473" t="s">
        <v>60</v>
      </c>
      <c r="F473" t="s">
        <v>631</v>
      </c>
      <c r="G473" t="s">
        <v>47091</v>
      </c>
      <c r="H473" t="s">
        <v>47054</v>
      </c>
      <c r="I473" t="s">
        <v>47111</v>
      </c>
      <c r="J473" t="s">
        <v>47112</v>
      </c>
      <c r="K473" t="s">
        <v>47113</v>
      </c>
      <c r="L473">
        <v>11.06</v>
      </c>
      <c r="M473">
        <v>28</v>
      </c>
      <c r="N473">
        <v>0</v>
      </c>
      <c r="O473">
        <v>28</v>
      </c>
      <c r="P473">
        <v>0</v>
      </c>
    </row>
    <row r="474" spans="1:16" x14ac:dyDescent="0.25">
      <c r="A474">
        <v>22200000633304</v>
      </c>
      <c r="B474" t="str">
        <f>"2220000063"</f>
        <v>2220000063</v>
      </c>
      <c r="C474" t="s">
        <v>1971</v>
      </c>
      <c r="D474" t="str">
        <f>"3304"</f>
        <v>3304</v>
      </c>
      <c r="E474" t="s">
        <v>1879</v>
      </c>
      <c r="F474" t="s">
        <v>631</v>
      </c>
      <c r="G474" t="s">
        <v>47091</v>
      </c>
      <c r="H474" t="s">
        <v>47054</v>
      </c>
      <c r="I474" t="s">
        <v>47111</v>
      </c>
      <c r="J474" t="s">
        <v>47112</v>
      </c>
      <c r="K474" t="s">
        <v>47113</v>
      </c>
      <c r="L474">
        <v>11.06</v>
      </c>
      <c r="M474">
        <v>26</v>
      </c>
      <c r="N474">
        <v>0</v>
      </c>
      <c r="O474">
        <v>26</v>
      </c>
      <c r="P474">
        <v>0</v>
      </c>
    </row>
    <row r="475" spans="1:16" x14ac:dyDescent="0.25">
      <c r="A475">
        <v>22200000634501</v>
      </c>
      <c r="B475" t="str">
        <f>"2220000063"</f>
        <v>2220000063</v>
      </c>
      <c r="C475" t="s">
        <v>1971</v>
      </c>
      <c r="D475" t="str">
        <f>"4501"</f>
        <v>4501</v>
      </c>
      <c r="E475" t="s">
        <v>1881</v>
      </c>
      <c r="F475" t="s">
        <v>631</v>
      </c>
      <c r="G475" t="s">
        <v>47091</v>
      </c>
      <c r="H475" t="s">
        <v>47054</v>
      </c>
      <c r="I475" t="s">
        <v>47111</v>
      </c>
      <c r="J475" t="s">
        <v>47112</v>
      </c>
      <c r="K475" t="s">
        <v>47113</v>
      </c>
      <c r="L475">
        <v>11.06</v>
      </c>
      <c r="M475">
        <v>26</v>
      </c>
      <c r="N475">
        <v>0</v>
      </c>
      <c r="O475">
        <v>26</v>
      </c>
      <c r="P475">
        <v>0</v>
      </c>
    </row>
    <row r="476" spans="1:16" x14ac:dyDescent="0.25">
      <c r="A476">
        <v>22200000635302</v>
      </c>
      <c r="B476" t="str">
        <f>"2220000063"</f>
        <v>2220000063</v>
      </c>
      <c r="C476" t="s">
        <v>1971</v>
      </c>
      <c r="D476" t="str">
        <f>"5302"</f>
        <v>5302</v>
      </c>
      <c r="E476" t="s">
        <v>1972</v>
      </c>
      <c r="F476" t="s">
        <v>631</v>
      </c>
      <c r="G476" t="s">
        <v>47091</v>
      </c>
      <c r="H476" t="s">
        <v>47054</v>
      </c>
      <c r="I476" t="s">
        <v>47111</v>
      </c>
      <c r="J476" t="s">
        <v>47112</v>
      </c>
      <c r="K476" t="s">
        <v>47113</v>
      </c>
      <c r="L476">
        <v>11.06</v>
      </c>
      <c r="M476">
        <v>28</v>
      </c>
      <c r="N476">
        <v>0</v>
      </c>
      <c r="O476">
        <v>28</v>
      </c>
      <c r="P476">
        <v>0</v>
      </c>
    </row>
    <row r="477" spans="1:16" x14ac:dyDescent="0.25">
      <c r="A477">
        <v>22200000636603</v>
      </c>
      <c r="B477" t="str">
        <f>"2220000063"</f>
        <v>2220000063</v>
      </c>
      <c r="C477" t="s">
        <v>1971</v>
      </c>
      <c r="D477" t="str">
        <f>"6603"</f>
        <v>6603</v>
      </c>
      <c r="E477" t="s">
        <v>1882</v>
      </c>
      <c r="F477" t="s">
        <v>631</v>
      </c>
      <c r="G477" t="s">
        <v>47091</v>
      </c>
      <c r="H477" t="s">
        <v>47054</v>
      </c>
      <c r="I477" t="s">
        <v>47111</v>
      </c>
      <c r="J477" t="s">
        <v>47112</v>
      </c>
      <c r="K477" t="s">
        <v>47113</v>
      </c>
      <c r="L477">
        <v>11.06</v>
      </c>
      <c r="M477">
        <v>28</v>
      </c>
      <c r="N477">
        <v>0</v>
      </c>
      <c r="O477">
        <v>28</v>
      </c>
      <c r="P477">
        <v>0</v>
      </c>
    </row>
    <row r="478" spans="1:16" x14ac:dyDescent="0.25">
      <c r="A478">
        <v>22200000711001</v>
      </c>
      <c r="B478" t="str">
        <f>"2220000071"</f>
        <v>2220000071</v>
      </c>
      <c r="C478" t="s">
        <v>57</v>
      </c>
      <c r="D478" t="str">
        <f>"1001"</f>
        <v>1001</v>
      </c>
      <c r="E478" t="s">
        <v>42</v>
      </c>
      <c r="F478" t="s">
        <v>58</v>
      </c>
      <c r="G478" t="s">
        <v>47091</v>
      </c>
      <c r="H478" t="s">
        <v>47054</v>
      </c>
      <c r="I478" t="s">
        <v>47111</v>
      </c>
      <c r="J478" t="s">
        <v>47112</v>
      </c>
      <c r="K478" t="s">
        <v>47113</v>
      </c>
      <c r="L478">
        <v>18.2</v>
      </c>
      <c r="M478">
        <v>44</v>
      </c>
      <c r="N478">
        <v>0</v>
      </c>
      <c r="O478">
        <v>44</v>
      </c>
      <c r="P478">
        <v>0</v>
      </c>
    </row>
    <row r="479" spans="1:16" x14ac:dyDescent="0.25">
      <c r="A479">
        <v>22200000711700</v>
      </c>
      <c r="B479" t="str">
        <f>"2220000071"</f>
        <v>2220000071</v>
      </c>
      <c r="C479" t="s">
        <v>57</v>
      </c>
      <c r="D479" t="str">
        <f>"1700"</f>
        <v>1700</v>
      </c>
      <c r="E479" t="s">
        <v>60</v>
      </c>
      <c r="F479" t="s">
        <v>58</v>
      </c>
      <c r="G479" t="s">
        <v>47091</v>
      </c>
      <c r="H479" t="s">
        <v>47054</v>
      </c>
      <c r="I479" t="s">
        <v>47114</v>
      </c>
      <c r="J479" t="s">
        <v>47115</v>
      </c>
      <c r="K479" t="s">
        <v>47113</v>
      </c>
      <c r="L479">
        <v>17.41</v>
      </c>
      <c r="M479">
        <v>42</v>
      </c>
      <c r="N479">
        <v>0</v>
      </c>
      <c r="O479">
        <v>42</v>
      </c>
      <c r="P479">
        <v>0</v>
      </c>
    </row>
    <row r="480" spans="1:16" x14ac:dyDescent="0.25">
      <c r="A480">
        <v>22200000714262</v>
      </c>
      <c r="B480" t="str">
        <f>"2220000071"</f>
        <v>2220000071</v>
      </c>
      <c r="C480" t="s">
        <v>57</v>
      </c>
      <c r="D480" t="str">
        <f>"4262"</f>
        <v>4262</v>
      </c>
      <c r="E480" t="s">
        <v>1973</v>
      </c>
      <c r="F480" t="s">
        <v>58</v>
      </c>
      <c r="G480" t="s">
        <v>47091</v>
      </c>
      <c r="H480" t="s">
        <v>47054</v>
      </c>
      <c r="I480" t="s">
        <v>47114</v>
      </c>
      <c r="J480" t="s">
        <v>47115</v>
      </c>
      <c r="K480" t="s">
        <v>47113</v>
      </c>
      <c r="L480">
        <v>18.670000000000002</v>
      </c>
      <c r="M480">
        <v>44</v>
      </c>
      <c r="N480">
        <v>0</v>
      </c>
      <c r="O480">
        <v>44</v>
      </c>
      <c r="P480">
        <v>0</v>
      </c>
    </row>
    <row r="481" spans="1:16" x14ac:dyDescent="0.25">
      <c r="A481">
        <v>22200000731001</v>
      </c>
      <c r="B481" t="str">
        <f>"2220000073"</f>
        <v>2220000073</v>
      </c>
      <c r="C481" t="s">
        <v>66</v>
      </c>
      <c r="D481" t="str">
        <f>"1001"</f>
        <v>1001</v>
      </c>
      <c r="E481" t="s">
        <v>42</v>
      </c>
      <c r="F481" t="s">
        <v>8</v>
      </c>
      <c r="G481" t="s">
        <v>47091</v>
      </c>
      <c r="H481" t="s">
        <v>47054</v>
      </c>
      <c r="I481" t="s">
        <v>47111</v>
      </c>
      <c r="J481" t="s">
        <v>47112</v>
      </c>
      <c r="K481" t="s">
        <v>47113</v>
      </c>
      <c r="L481">
        <v>13.16</v>
      </c>
      <c r="M481">
        <v>29</v>
      </c>
      <c r="N481">
        <v>0</v>
      </c>
      <c r="O481">
        <v>29</v>
      </c>
      <c r="P481">
        <v>0</v>
      </c>
    </row>
    <row r="482" spans="1:16" x14ac:dyDescent="0.25">
      <c r="A482">
        <v>22200000731700</v>
      </c>
      <c r="B482" t="str">
        <f>"2220000073"</f>
        <v>2220000073</v>
      </c>
      <c r="C482" t="s">
        <v>66</v>
      </c>
      <c r="D482" t="str">
        <f>"1700"</f>
        <v>1700</v>
      </c>
      <c r="E482" t="s">
        <v>60</v>
      </c>
      <c r="F482" t="s">
        <v>8</v>
      </c>
      <c r="G482" t="s">
        <v>47091</v>
      </c>
      <c r="H482" t="s">
        <v>47054</v>
      </c>
      <c r="I482" t="s">
        <v>47111</v>
      </c>
      <c r="J482" t="s">
        <v>47112</v>
      </c>
      <c r="K482" t="s">
        <v>47113</v>
      </c>
      <c r="L482">
        <v>13.16</v>
      </c>
      <c r="M482">
        <v>29</v>
      </c>
      <c r="N482">
        <v>0</v>
      </c>
      <c r="O482">
        <v>29</v>
      </c>
      <c r="P482">
        <v>0</v>
      </c>
    </row>
    <row r="483" spans="1:16" x14ac:dyDescent="0.25">
      <c r="A483">
        <v>22200000731701</v>
      </c>
      <c r="B483" t="str">
        <f>"2220000073"</f>
        <v>2220000073</v>
      </c>
      <c r="C483" t="s">
        <v>66</v>
      </c>
      <c r="D483" t="str">
        <f>"1701"</f>
        <v>1701</v>
      </c>
      <c r="E483" t="s">
        <v>55</v>
      </c>
      <c r="F483" t="s">
        <v>8</v>
      </c>
      <c r="G483" t="s">
        <v>47091</v>
      </c>
      <c r="H483" t="s">
        <v>47054</v>
      </c>
      <c r="I483" t="s">
        <v>47111</v>
      </c>
      <c r="J483" t="s">
        <v>47112</v>
      </c>
      <c r="K483" t="s">
        <v>47113</v>
      </c>
      <c r="L483">
        <v>13.16</v>
      </c>
      <c r="M483">
        <v>29</v>
      </c>
      <c r="N483">
        <v>0</v>
      </c>
      <c r="O483">
        <v>29</v>
      </c>
      <c r="P483">
        <v>0</v>
      </c>
    </row>
    <row r="484" spans="1:16" x14ac:dyDescent="0.25">
      <c r="A484">
        <v>22200000741001</v>
      </c>
      <c r="B484" t="str">
        <f>"2220000074"</f>
        <v>2220000074</v>
      </c>
      <c r="C484" t="s">
        <v>59</v>
      </c>
      <c r="D484" t="str">
        <f>"1001"</f>
        <v>1001</v>
      </c>
      <c r="E484" t="s">
        <v>42</v>
      </c>
      <c r="F484" t="s">
        <v>8</v>
      </c>
      <c r="G484" t="s">
        <v>47091</v>
      </c>
      <c r="H484" t="s">
        <v>47054</v>
      </c>
      <c r="I484" t="s">
        <v>47111</v>
      </c>
      <c r="J484" t="s">
        <v>47112</v>
      </c>
      <c r="K484" t="s">
        <v>47113</v>
      </c>
      <c r="L484">
        <v>16.22</v>
      </c>
      <c r="M484">
        <v>29</v>
      </c>
      <c r="N484">
        <v>0</v>
      </c>
      <c r="O484">
        <v>29</v>
      </c>
      <c r="P484">
        <v>0</v>
      </c>
    </row>
    <row r="485" spans="1:16" x14ac:dyDescent="0.25">
      <c r="A485">
        <v>22200000741700</v>
      </c>
      <c r="B485" t="str">
        <f>"2220000074"</f>
        <v>2220000074</v>
      </c>
      <c r="C485" t="s">
        <v>59</v>
      </c>
      <c r="D485" t="str">
        <f>"1700"</f>
        <v>1700</v>
      </c>
      <c r="E485" t="s">
        <v>60</v>
      </c>
      <c r="F485" t="s">
        <v>8</v>
      </c>
      <c r="G485" t="s">
        <v>47091</v>
      </c>
      <c r="H485" t="s">
        <v>47054</v>
      </c>
      <c r="I485" t="s">
        <v>47111</v>
      </c>
      <c r="J485" t="s">
        <v>47112</v>
      </c>
      <c r="K485" t="s">
        <v>47113</v>
      </c>
      <c r="L485">
        <v>16.22</v>
      </c>
      <c r="M485">
        <v>29</v>
      </c>
      <c r="N485">
        <v>0</v>
      </c>
      <c r="O485">
        <v>29</v>
      </c>
      <c r="P485">
        <v>0</v>
      </c>
    </row>
    <row r="486" spans="1:16" x14ac:dyDescent="0.25">
      <c r="A486">
        <v>22200000745202</v>
      </c>
      <c r="B486" t="str">
        <f>"2220000074"</f>
        <v>2220000074</v>
      </c>
      <c r="C486" t="s">
        <v>59</v>
      </c>
      <c r="D486" t="str">
        <f>"5202"</f>
        <v>5202</v>
      </c>
      <c r="E486" t="s">
        <v>44</v>
      </c>
      <c r="F486" t="s">
        <v>8</v>
      </c>
      <c r="G486" t="s">
        <v>47091</v>
      </c>
      <c r="H486" t="s">
        <v>47054</v>
      </c>
      <c r="I486" t="s">
        <v>47111</v>
      </c>
      <c r="J486" t="s">
        <v>47112</v>
      </c>
      <c r="K486" t="s">
        <v>47113</v>
      </c>
      <c r="L486">
        <v>16.22</v>
      </c>
      <c r="M486">
        <v>29</v>
      </c>
      <c r="N486">
        <v>0</v>
      </c>
      <c r="O486">
        <v>29</v>
      </c>
      <c r="P486">
        <v>0</v>
      </c>
    </row>
    <row r="487" spans="1:16" x14ac:dyDescent="0.25">
      <c r="A487">
        <v>22200000751001</v>
      </c>
      <c r="B487" t="str">
        <f>"2220000075"</f>
        <v>2220000075</v>
      </c>
      <c r="C487" t="s">
        <v>1974</v>
      </c>
      <c r="D487" t="str">
        <f>"1001"</f>
        <v>1001</v>
      </c>
      <c r="E487" t="s">
        <v>42</v>
      </c>
      <c r="F487" t="s">
        <v>8</v>
      </c>
      <c r="G487" t="s">
        <v>47091</v>
      </c>
      <c r="H487" t="s">
        <v>47054</v>
      </c>
      <c r="I487" t="s">
        <v>47114</v>
      </c>
      <c r="J487" t="s">
        <v>47115</v>
      </c>
      <c r="K487" t="s">
        <v>47113</v>
      </c>
      <c r="L487">
        <v>18.12</v>
      </c>
      <c r="M487">
        <v>29</v>
      </c>
      <c r="N487">
        <v>0</v>
      </c>
      <c r="O487">
        <v>29</v>
      </c>
      <c r="P487">
        <v>0</v>
      </c>
    </row>
    <row r="488" spans="1:16" x14ac:dyDescent="0.25">
      <c r="A488">
        <v>22200000761001</v>
      </c>
      <c r="B488" t="str">
        <f>"2220000076"</f>
        <v>2220000076</v>
      </c>
      <c r="C488" t="s">
        <v>1975</v>
      </c>
      <c r="D488" t="str">
        <f>"1001"</f>
        <v>1001</v>
      </c>
      <c r="E488" t="s">
        <v>42</v>
      </c>
      <c r="F488" t="s">
        <v>8</v>
      </c>
      <c r="G488" t="s">
        <v>47091</v>
      </c>
      <c r="H488" t="s">
        <v>47054</v>
      </c>
      <c r="I488" t="s">
        <v>47114</v>
      </c>
      <c r="J488" t="s">
        <v>47115</v>
      </c>
      <c r="K488" t="s">
        <v>47113</v>
      </c>
      <c r="L488">
        <v>13.16</v>
      </c>
      <c r="M488">
        <v>29</v>
      </c>
      <c r="N488">
        <v>0</v>
      </c>
      <c r="O488">
        <v>29</v>
      </c>
      <c r="P488">
        <v>0</v>
      </c>
    </row>
    <row r="489" spans="1:16" x14ac:dyDescent="0.25">
      <c r="A489">
        <v>22200000762330</v>
      </c>
      <c r="B489" t="str">
        <f>"2220000076"</f>
        <v>2220000076</v>
      </c>
      <c r="C489" t="s">
        <v>1975</v>
      </c>
      <c r="D489" t="str">
        <f>"2330"</f>
        <v>2330</v>
      </c>
      <c r="E489" t="s">
        <v>1851</v>
      </c>
      <c r="F489" t="s">
        <v>8</v>
      </c>
      <c r="G489" t="s">
        <v>47091</v>
      </c>
      <c r="H489" t="s">
        <v>47054</v>
      </c>
      <c r="I489" t="s">
        <v>47114</v>
      </c>
      <c r="J489" t="s">
        <v>47115</v>
      </c>
      <c r="K489" t="s">
        <v>47113</v>
      </c>
      <c r="L489">
        <v>13.16</v>
      </c>
      <c r="M489">
        <v>29</v>
      </c>
      <c r="N489">
        <v>0</v>
      </c>
      <c r="O489">
        <v>29</v>
      </c>
      <c r="P489">
        <v>0</v>
      </c>
    </row>
    <row r="490" spans="1:16" x14ac:dyDescent="0.25">
      <c r="A490">
        <v>22200000771001</v>
      </c>
      <c r="B490" t="str">
        <f>"2220000077"</f>
        <v>2220000077</v>
      </c>
      <c r="C490" t="s">
        <v>1976</v>
      </c>
      <c r="D490" t="str">
        <f>"1001"</f>
        <v>1001</v>
      </c>
      <c r="E490" t="s">
        <v>42</v>
      </c>
      <c r="F490" t="s">
        <v>8</v>
      </c>
      <c r="G490" t="s">
        <v>47091</v>
      </c>
      <c r="H490" t="s">
        <v>47054</v>
      </c>
      <c r="I490" t="s">
        <v>47114</v>
      </c>
      <c r="J490" t="s">
        <v>47115</v>
      </c>
      <c r="K490" t="s">
        <v>47113</v>
      </c>
      <c r="L490">
        <v>13.32</v>
      </c>
      <c r="M490">
        <v>29</v>
      </c>
      <c r="N490">
        <v>0</v>
      </c>
      <c r="O490">
        <v>29</v>
      </c>
      <c r="P490">
        <v>0</v>
      </c>
    </row>
    <row r="491" spans="1:16" x14ac:dyDescent="0.25">
      <c r="A491">
        <v>22200000771700</v>
      </c>
      <c r="B491" t="str">
        <f>"2220000077"</f>
        <v>2220000077</v>
      </c>
      <c r="C491" t="s">
        <v>1976</v>
      </c>
      <c r="D491" t="str">
        <f>"1700"</f>
        <v>1700</v>
      </c>
      <c r="E491" t="s">
        <v>60</v>
      </c>
      <c r="F491" t="s">
        <v>8</v>
      </c>
      <c r="G491" t="s">
        <v>47091</v>
      </c>
      <c r="H491" t="s">
        <v>47054</v>
      </c>
      <c r="I491" t="s">
        <v>47114</v>
      </c>
      <c r="J491" t="s">
        <v>47115</v>
      </c>
      <c r="K491" t="s">
        <v>47113</v>
      </c>
      <c r="L491">
        <v>11.59</v>
      </c>
      <c r="M491">
        <v>29</v>
      </c>
      <c r="N491">
        <v>0</v>
      </c>
      <c r="O491">
        <v>29</v>
      </c>
      <c r="P491">
        <v>0</v>
      </c>
    </row>
    <row r="492" spans="1:16" x14ac:dyDescent="0.25">
      <c r="A492">
        <v>22200000773005</v>
      </c>
      <c r="B492" t="str">
        <f>"2220000077"</f>
        <v>2220000077</v>
      </c>
      <c r="C492" t="s">
        <v>1976</v>
      </c>
      <c r="D492" t="str">
        <f>"3005"</f>
        <v>3005</v>
      </c>
      <c r="E492" t="s">
        <v>1853</v>
      </c>
      <c r="F492" t="s">
        <v>8</v>
      </c>
      <c r="G492" t="s">
        <v>47091</v>
      </c>
      <c r="H492" t="s">
        <v>47054</v>
      </c>
      <c r="I492" t="s">
        <v>47114</v>
      </c>
      <c r="J492" t="s">
        <v>47115</v>
      </c>
      <c r="K492" t="s">
        <v>47113</v>
      </c>
      <c r="L492">
        <v>13.32</v>
      </c>
      <c r="M492">
        <v>29</v>
      </c>
      <c r="N492">
        <v>0</v>
      </c>
      <c r="O492">
        <v>29</v>
      </c>
      <c r="P492">
        <v>0</v>
      </c>
    </row>
    <row r="493" spans="1:16" x14ac:dyDescent="0.25">
      <c r="A493">
        <v>22200000781001</v>
      </c>
      <c r="B493" t="str">
        <f>"2220000078"</f>
        <v>2220000078</v>
      </c>
      <c r="C493" t="s">
        <v>61</v>
      </c>
      <c r="D493" t="str">
        <f>"1001"</f>
        <v>1001</v>
      </c>
      <c r="E493" t="s">
        <v>42</v>
      </c>
      <c r="F493" t="s">
        <v>8</v>
      </c>
      <c r="G493" t="s">
        <v>47091</v>
      </c>
      <c r="H493" t="s">
        <v>47054</v>
      </c>
      <c r="I493" t="s">
        <v>47111</v>
      </c>
      <c r="J493" t="s">
        <v>47112</v>
      </c>
      <c r="K493" t="s">
        <v>47113</v>
      </c>
      <c r="L493">
        <v>13.16</v>
      </c>
      <c r="M493">
        <v>29</v>
      </c>
      <c r="N493">
        <v>0</v>
      </c>
      <c r="O493">
        <v>29</v>
      </c>
      <c r="P493">
        <v>0</v>
      </c>
    </row>
    <row r="494" spans="1:16" x14ac:dyDescent="0.25">
      <c r="A494">
        <v>22200000781700</v>
      </c>
      <c r="B494" t="str">
        <f>"2220000078"</f>
        <v>2220000078</v>
      </c>
      <c r="C494" t="s">
        <v>61</v>
      </c>
      <c r="D494" t="str">
        <f>"1700"</f>
        <v>1700</v>
      </c>
      <c r="E494" t="s">
        <v>60</v>
      </c>
      <c r="F494" t="s">
        <v>8</v>
      </c>
      <c r="G494" t="s">
        <v>47091</v>
      </c>
      <c r="H494" t="s">
        <v>47054</v>
      </c>
      <c r="I494" t="s">
        <v>47111</v>
      </c>
      <c r="J494" t="s">
        <v>47112</v>
      </c>
      <c r="K494" t="s">
        <v>47113</v>
      </c>
      <c r="L494">
        <v>12.84</v>
      </c>
      <c r="M494">
        <v>29</v>
      </c>
      <c r="N494">
        <v>0</v>
      </c>
      <c r="O494">
        <v>29</v>
      </c>
      <c r="P494">
        <v>0</v>
      </c>
    </row>
    <row r="495" spans="1:16" x14ac:dyDescent="0.25">
      <c r="A495">
        <v>22200000786010</v>
      </c>
      <c r="B495" t="str">
        <f>"2220000078"</f>
        <v>2220000078</v>
      </c>
      <c r="C495" t="s">
        <v>61</v>
      </c>
      <c r="D495" t="str">
        <f>"6010"</f>
        <v>6010</v>
      </c>
      <c r="E495" t="s">
        <v>49</v>
      </c>
      <c r="F495" t="s">
        <v>8</v>
      </c>
      <c r="G495" t="s">
        <v>47091</v>
      </c>
      <c r="H495" t="s">
        <v>47054</v>
      </c>
      <c r="I495" t="s">
        <v>47111</v>
      </c>
      <c r="J495" t="s">
        <v>47112</v>
      </c>
      <c r="K495" t="s">
        <v>47113</v>
      </c>
      <c r="L495">
        <v>13.16</v>
      </c>
      <c r="M495">
        <v>29</v>
      </c>
      <c r="N495">
        <v>0</v>
      </c>
      <c r="O495">
        <v>29</v>
      </c>
      <c r="P495">
        <v>0</v>
      </c>
    </row>
    <row r="496" spans="1:16" x14ac:dyDescent="0.25">
      <c r="A496">
        <v>22200000791001</v>
      </c>
      <c r="B496" t="str">
        <f>"2220000079"</f>
        <v>2220000079</v>
      </c>
      <c r="C496" t="s">
        <v>62</v>
      </c>
      <c r="D496" t="str">
        <f>"1001"</f>
        <v>1001</v>
      </c>
      <c r="E496" t="s">
        <v>42</v>
      </c>
      <c r="F496" t="s">
        <v>8</v>
      </c>
      <c r="G496" t="s">
        <v>47091</v>
      </c>
      <c r="H496" t="s">
        <v>47054</v>
      </c>
      <c r="I496" t="s">
        <v>47111</v>
      </c>
      <c r="J496" t="s">
        <v>47112</v>
      </c>
      <c r="K496" t="s">
        <v>47113</v>
      </c>
      <c r="L496">
        <v>12.84</v>
      </c>
      <c r="M496">
        <v>29</v>
      </c>
      <c r="N496">
        <v>0</v>
      </c>
      <c r="O496">
        <v>29</v>
      </c>
      <c r="P496">
        <v>0</v>
      </c>
    </row>
    <row r="497" spans="1:16" x14ac:dyDescent="0.25">
      <c r="A497">
        <v>22200000791700</v>
      </c>
      <c r="B497" t="str">
        <f>"2220000079"</f>
        <v>2220000079</v>
      </c>
      <c r="C497" t="s">
        <v>62</v>
      </c>
      <c r="D497" t="str">
        <f>"1700"</f>
        <v>1700</v>
      </c>
      <c r="E497" t="s">
        <v>60</v>
      </c>
      <c r="F497" t="s">
        <v>8</v>
      </c>
      <c r="G497" t="s">
        <v>47091</v>
      </c>
      <c r="H497" t="s">
        <v>47054</v>
      </c>
      <c r="I497" t="s">
        <v>47111</v>
      </c>
      <c r="J497" t="s">
        <v>47112</v>
      </c>
      <c r="K497" t="s">
        <v>47113</v>
      </c>
      <c r="L497">
        <v>13.16</v>
      </c>
      <c r="M497">
        <v>29</v>
      </c>
      <c r="N497">
        <v>0</v>
      </c>
      <c r="O497">
        <v>29</v>
      </c>
      <c r="P497">
        <v>0</v>
      </c>
    </row>
    <row r="498" spans="1:16" x14ac:dyDescent="0.25">
      <c r="A498">
        <v>22200000797419</v>
      </c>
      <c r="B498" t="str">
        <f>"2220000079"</f>
        <v>2220000079</v>
      </c>
      <c r="C498" t="s">
        <v>62</v>
      </c>
      <c r="D498" t="str">
        <f>"7419"</f>
        <v>7419</v>
      </c>
      <c r="E498" t="s">
        <v>1872</v>
      </c>
      <c r="F498" t="s">
        <v>8</v>
      </c>
      <c r="G498" t="s">
        <v>47091</v>
      </c>
      <c r="H498" t="s">
        <v>47054</v>
      </c>
      <c r="I498" t="s">
        <v>47111</v>
      </c>
      <c r="J498" t="s">
        <v>47112</v>
      </c>
      <c r="K498" t="s">
        <v>47113</v>
      </c>
      <c r="L498">
        <v>13.16</v>
      </c>
      <c r="M498">
        <v>29</v>
      </c>
      <c r="N498">
        <v>0</v>
      </c>
      <c r="O498">
        <v>29</v>
      </c>
      <c r="P498">
        <v>0</v>
      </c>
    </row>
    <row r="499" spans="1:16" x14ac:dyDescent="0.25">
      <c r="A499">
        <v>22200000861001</v>
      </c>
      <c r="B499" t="str">
        <f>"2220000086"</f>
        <v>2220000086</v>
      </c>
      <c r="C499" t="s">
        <v>63</v>
      </c>
      <c r="D499" t="str">
        <f>"1001"</f>
        <v>1001</v>
      </c>
      <c r="E499" t="s">
        <v>42</v>
      </c>
      <c r="F499" t="s">
        <v>52</v>
      </c>
      <c r="G499" t="s">
        <v>47091</v>
      </c>
      <c r="H499" t="s">
        <v>47054</v>
      </c>
      <c r="I499" t="s">
        <v>47111</v>
      </c>
      <c r="J499" t="s">
        <v>47112</v>
      </c>
      <c r="K499" t="s">
        <v>47113</v>
      </c>
      <c r="L499">
        <v>20.57</v>
      </c>
      <c r="M499">
        <v>48</v>
      </c>
      <c r="N499">
        <v>0</v>
      </c>
      <c r="O499">
        <v>48</v>
      </c>
      <c r="P499">
        <v>0</v>
      </c>
    </row>
    <row r="500" spans="1:16" x14ac:dyDescent="0.25">
      <c r="A500">
        <v>22200000861306</v>
      </c>
      <c r="B500" t="str">
        <f>"2220000086"</f>
        <v>2220000086</v>
      </c>
      <c r="C500" t="s">
        <v>63</v>
      </c>
      <c r="D500" t="str">
        <f>"1306"</f>
        <v>1306</v>
      </c>
      <c r="E500" t="s">
        <v>1937</v>
      </c>
      <c r="F500" t="s">
        <v>52</v>
      </c>
      <c r="G500" t="s">
        <v>47091</v>
      </c>
      <c r="H500" t="s">
        <v>47054</v>
      </c>
      <c r="I500" t="s">
        <v>47114</v>
      </c>
      <c r="J500" t="s">
        <v>47115</v>
      </c>
      <c r="K500" t="s">
        <v>47113</v>
      </c>
      <c r="L500">
        <v>20.57</v>
      </c>
      <c r="M500">
        <v>48</v>
      </c>
      <c r="N500">
        <v>0</v>
      </c>
      <c r="O500">
        <v>48</v>
      </c>
      <c r="P500">
        <v>0</v>
      </c>
    </row>
    <row r="501" spans="1:16" x14ac:dyDescent="0.25">
      <c r="A501">
        <v>22200000863152</v>
      </c>
      <c r="B501" t="str">
        <f>"2220000086"</f>
        <v>2220000086</v>
      </c>
      <c r="C501" t="s">
        <v>63</v>
      </c>
      <c r="D501" t="str">
        <f>"3152"</f>
        <v>3152</v>
      </c>
      <c r="E501" t="s">
        <v>1840</v>
      </c>
      <c r="F501" t="s">
        <v>52</v>
      </c>
      <c r="G501" t="s">
        <v>47091</v>
      </c>
      <c r="H501" t="s">
        <v>47054</v>
      </c>
      <c r="I501" t="s">
        <v>47114</v>
      </c>
      <c r="J501" t="s">
        <v>47115</v>
      </c>
      <c r="K501" t="s">
        <v>47113</v>
      </c>
      <c r="L501">
        <v>20.57</v>
      </c>
      <c r="M501">
        <v>48</v>
      </c>
      <c r="N501">
        <v>0</v>
      </c>
      <c r="O501">
        <v>48</v>
      </c>
      <c r="P501">
        <v>0</v>
      </c>
    </row>
    <row r="502" spans="1:16" x14ac:dyDescent="0.25">
      <c r="A502">
        <v>22200000921100</v>
      </c>
      <c r="B502" t="str">
        <f t="shared" ref="B502:B511" si="8">"2220000092"</f>
        <v>2220000092</v>
      </c>
      <c r="C502" t="s">
        <v>1977</v>
      </c>
      <c r="D502" t="str">
        <f>"1100"</f>
        <v>1100</v>
      </c>
      <c r="E502" t="s">
        <v>54</v>
      </c>
      <c r="F502" t="s">
        <v>8</v>
      </c>
      <c r="G502" t="s">
        <v>47091</v>
      </c>
      <c r="H502" t="s">
        <v>47054</v>
      </c>
      <c r="I502" t="s">
        <v>47111</v>
      </c>
      <c r="J502" t="s">
        <v>47112</v>
      </c>
      <c r="K502" t="s">
        <v>47113</v>
      </c>
      <c r="L502">
        <v>12.01</v>
      </c>
      <c r="M502">
        <v>27</v>
      </c>
      <c r="N502">
        <v>0</v>
      </c>
      <c r="O502">
        <v>27</v>
      </c>
      <c r="P502">
        <v>0</v>
      </c>
    </row>
    <row r="503" spans="1:16" x14ac:dyDescent="0.25">
      <c r="A503">
        <v>22200000921701</v>
      </c>
      <c r="B503" t="str">
        <f t="shared" si="8"/>
        <v>2220000092</v>
      </c>
      <c r="C503" t="s">
        <v>1977</v>
      </c>
      <c r="D503" t="str">
        <f>"1701"</f>
        <v>1701</v>
      </c>
      <c r="E503" t="s">
        <v>55</v>
      </c>
      <c r="F503" t="s">
        <v>8</v>
      </c>
      <c r="G503" t="s">
        <v>47091</v>
      </c>
      <c r="H503" t="s">
        <v>47054</v>
      </c>
      <c r="I503" t="s">
        <v>47111</v>
      </c>
      <c r="J503" t="s">
        <v>47112</v>
      </c>
      <c r="K503" t="s">
        <v>47113</v>
      </c>
      <c r="L503">
        <v>12.01</v>
      </c>
      <c r="M503">
        <v>27</v>
      </c>
      <c r="N503">
        <v>0</v>
      </c>
      <c r="O503">
        <v>27</v>
      </c>
      <c r="P503">
        <v>0</v>
      </c>
    </row>
    <row r="504" spans="1:16" x14ac:dyDescent="0.25">
      <c r="A504">
        <v>22200000922000</v>
      </c>
      <c r="B504" t="str">
        <f t="shared" si="8"/>
        <v>2220000092</v>
      </c>
      <c r="C504" t="s">
        <v>1977</v>
      </c>
      <c r="D504" t="str">
        <f>"2000"</f>
        <v>2000</v>
      </c>
      <c r="E504" t="s">
        <v>248</v>
      </c>
      <c r="F504" t="s">
        <v>8</v>
      </c>
      <c r="G504" t="s">
        <v>47091</v>
      </c>
      <c r="H504" t="s">
        <v>47054</v>
      </c>
      <c r="I504" t="s">
        <v>47111</v>
      </c>
      <c r="J504" t="s">
        <v>47112</v>
      </c>
      <c r="K504" t="s">
        <v>47113</v>
      </c>
      <c r="L504">
        <v>12.01</v>
      </c>
      <c r="M504">
        <v>27</v>
      </c>
      <c r="N504">
        <v>0</v>
      </c>
      <c r="O504">
        <v>27</v>
      </c>
      <c r="P504">
        <v>0</v>
      </c>
    </row>
    <row r="505" spans="1:16" x14ac:dyDescent="0.25">
      <c r="A505">
        <v>22200000922330</v>
      </c>
      <c r="B505" t="str">
        <f t="shared" si="8"/>
        <v>2220000092</v>
      </c>
      <c r="C505" t="s">
        <v>1977</v>
      </c>
      <c r="D505" t="str">
        <f>"2330"</f>
        <v>2330</v>
      </c>
      <c r="E505" t="s">
        <v>1851</v>
      </c>
      <c r="F505" t="s">
        <v>8</v>
      </c>
      <c r="G505" t="s">
        <v>47091</v>
      </c>
      <c r="H505" t="s">
        <v>47054</v>
      </c>
      <c r="I505" t="s">
        <v>47111</v>
      </c>
      <c r="J505" t="s">
        <v>47112</v>
      </c>
      <c r="K505" t="s">
        <v>47113</v>
      </c>
      <c r="L505">
        <v>12.01</v>
      </c>
      <c r="M505">
        <v>27</v>
      </c>
      <c r="N505">
        <v>0</v>
      </c>
      <c r="O505">
        <v>27</v>
      </c>
      <c r="P505">
        <v>0</v>
      </c>
    </row>
    <row r="506" spans="1:16" x14ac:dyDescent="0.25">
      <c r="A506">
        <v>22200000923152</v>
      </c>
      <c r="B506" t="str">
        <f t="shared" si="8"/>
        <v>2220000092</v>
      </c>
      <c r="C506" t="s">
        <v>1977</v>
      </c>
      <c r="D506" t="str">
        <f>"3152"</f>
        <v>3152</v>
      </c>
      <c r="E506" t="s">
        <v>1840</v>
      </c>
      <c r="F506" t="s">
        <v>8</v>
      </c>
      <c r="G506" t="s">
        <v>47091</v>
      </c>
      <c r="H506" t="s">
        <v>47054</v>
      </c>
      <c r="I506" t="s">
        <v>47111</v>
      </c>
      <c r="J506" t="s">
        <v>47112</v>
      </c>
      <c r="K506" t="s">
        <v>47113</v>
      </c>
      <c r="L506">
        <v>12.01</v>
      </c>
      <c r="M506">
        <v>27</v>
      </c>
      <c r="N506">
        <v>0</v>
      </c>
      <c r="O506">
        <v>27</v>
      </c>
      <c r="P506">
        <v>0</v>
      </c>
    </row>
    <row r="507" spans="1:16" x14ac:dyDescent="0.25">
      <c r="A507">
        <v>22200000924201</v>
      </c>
      <c r="B507" t="str">
        <f t="shared" si="8"/>
        <v>2220000092</v>
      </c>
      <c r="C507" t="s">
        <v>1977</v>
      </c>
      <c r="D507" t="str">
        <f>"4201"</f>
        <v>4201</v>
      </c>
      <c r="E507" t="s">
        <v>1855</v>
      </c>
      <c r="F507" t="s">
        <v>8</v>
      </c>
      <c r="G507" t="s">
        <v>47091</v>
      </c>
      <c r="H507" t="s">
        <v>47054</v>
      </c>
      <c r="I507" t="s">
        <v>47111</v>
      </c>
      <c r="J507" t="s">
        <v>47112</v>
      </c>
      <c r="K507" t="s">
        <v>47113</v>
      </c>
      <c r="L507">
        <v>12.01</v>
      </c>
      <c r="M507">
        <v>27</v>
      </c>
      <c r="N507">
        <v>0</v>
      </c>
      <c r="O507">
        <v>27</v>
      </c>
      <c r="P507">
        <v>0</v>
      </c>
    </row>
    <row r="508" spans="1:16" x14ac:dyDescent="0.25">
      <c r="A508">
        <v>22200000924302</v>
      </c>
      <c r="B508" t="str">
        <f t="shared" si="8"/>
        <v>2220000092</v>
      </c>
      <c r="C508" t="s">
        <v>1977</v>
      </c>
      <c r="D508" t="str">
        <f>"4302"</f>
        <v>4302</v>
      </c>
      <c r="E508" t="s">
        <v>1949</v>
      </c>
      <c r="F508" t="s">
        <v>8</v>
      </c>
      <c r="G508" t="s">
        <v>47091</v>
      </c>
      <c r="H508" t="s">
        <v>47054</v>
      </c>
      <c r="I508" t="s">
        <v>47111</v>
      </c>
      <c r="J508" t="s">
        <v>47112</v>
      </c>
      <c r="K508" t="s">
        <v>47113</v>
      </c>
      <c r="L508">
        <v>12.01</v>
      </c>
      <c r="M508">
        <v>27</v>
      </c>
      <c r="N508">
        <v>0</v>
      </c>
      <c r="O508">
        <v>27</v>
      </c>
      <c r="P508">
        <v>0</v>
      </c>
    </row>
    <row r="509" spans="1:16" x14ac:dyDescent="0.25">
      <c r="A509">
        <v>22200000925202</v>
      </c>
      <c r="B509" t="str">
        <f t="shared" si="8"/>
        <v>2220000092</v>
      </c>
      <c r="C509" t="s">
        <v>1977</v>
      </c>
      <c r="D509" t="str">
        <f>"5202"</f>
        <v>5202</v>
      </c>
      <c r="E509" t="s">
        <v>44</v>
      </c>
      <c r="F509" t="s">
        <v>8</v>
      </c>
      <c r="G509" t="s">
        <v>47091</v>
      </c>
      <c r="H509" t="s">
        <v>47054</v>
      </c>
      <c r="I509" t="s">
        <v>47111</v>
      </c>
      <c r="J509" t="s">
        <v>47112</v>
      </c>
      <c r="K509" t="s">
        <v>47113</v>
      </c>
      <c r="L509">
        <v>12.01</v>
      </c>
      <c r="M509">
        <v>27</v>
      </c>
      <c r="N509">
        <v>0</v>
      </c>
      <c r="O509">
        <v>27</v>
      </c>
      <c r="P509">
        <v>0</v>
      </c>
    </row>
    <row r="510" spans="1:16" x14ac:dyDescent="0.25">
      <c r="A510">
        <v>22200000926005</v>
      </c>
      <c r="B510" t="str">
        <f t="shared" si="8"/>
        <v>2220000092</v>
      </c>
      <c r="C510" t="s">
        <v>1977</v>
      </c>
      <c r="D510" t="str">
        <f>"6005"</f>
        <v>6005</v>
      </c>
      <c r="E510" t="s">
        <v>1749</v>
      </c>
      <c r="F510" t="s">
        <v>8</v>
      </c>
      <c r="G510" t="s">
        <v>47091</v>
      </c>
      <c r="H510" t="s">
        <v>47054</v>
      </c>
      <c r="I510" t="s">
        <v>47111</v>
      </c>
      <c r="J510" t="s">
        <v>47112</v>
      </c>
      <c r="K510" t="s">
        <v>47113</v>
      </c>
      <c r="L510">
        <v>12.01</v>
      </c>
      <c r="M510">
        <v>27</v>
      </c>
      <c r="N510">
        <v>0</v>
      </c>
      <c r="O510">
        <v>27</v>
      </c>
      <c r="P510">
        <v>0</v>
      </c>
    </row>
    <row r="511" spans="1:16" x14ac:dyDescent="0.25">
      <c r="A511">
        <v>22200000926010</v>
      </c>
      <c r="B511" t="str">
        <f t="shared" si="8"/>
        <v>2220000092</v>
      </c>
      <c r="C511" t="s">
        <v>1977</v>
      </c>
      <c r="D511" t="str">
        <f>"6010"</f>
        <v>6010</v>
      </c>
      <c r="E511" t="s">
        <v>49</v>
      </c>
      <c r="F511" t="s">
        <v>8</v>
      </c>
      <c r="G511" t="s">
        <v>47091</v>
      </c>
      <c r="H511" t="s">
        <v>47054</v>
      </c>
      <c r="I511" t="s">
        <v>47111</v>
      </c>
      <c r="J511" t="s">
        <v>47112</v>
      </c>
      <c r="K511" t="s">
        <v>47113</v>
      </c>
      <c r="L511">
        <v>12.01</v>
      </c>
      <c r="M511">
        <v>27</v>
      </c>
      <c r="N511">
        <v>0</v>
      </c>
      <c r="O511">
        <v>27</v>
      </c>
      <c r="P511">
        <v>0</v>
      </c>
    </row>
    <row r="512" spans="1:16" x14ac:dyDescent="0.25">
      <c r="A512">
        <v>22200000931001</v>
      </c>
      <c r="B512" t="str">
        <f>"2220000093"</f>
        <v>2220000093</v>
      </c>
      <c r="C512" t="s">
        <v>1978</v>
      </c>
      <c r="D512" t="str">
        <f>"1001"</f>
        <v>1001</v>
      </c>
      <c r="E512" t="s">
        <v>42</v>
      </c>
      <c r="F512" t="s">
        <v>52</v>
      </c>
      <c r="G512" t="s">
        <v>47091</v>
      </c>
      <c r="H512" t="s">
        <v>47054</v>
      </c>
      <c r="I512" t="s">
        <v>47114</v>
      </c>
      <c r="J512" t="s">
        <v>47115</v>
      </c>
      <c r="K512" t="s">
        <v>47113</v>
      </c>
      <c r="L512">
        <v>18.559999999999999</v>
      </c>
      <c r="M512">
        <v>46</v>
      </c>
      <c r="N512">
        <v>0</v>
      </c>
      <c r="O512">
        <v>46</v>
      </c>
      <c r="P512">
        <v>0</v>
      </c>
    </row>
    <row r="513" spans="1:16" x14ac:dyDescent="0.25">
      <c r="A513">
        <v>22200000931306</v>
      </c>
      <c r="B513" t="str">
        <f>"2220000093"</f>
        <v>2220000093</v>
      </c>
      <c r="C513" t="s">
        <v>1978</v>
      </c>
      <c r="D513" t="str">
        <f>"1306"</f>
        <v>1306</v>
      </c>
      <c r="E513" t="s">
        <v>1937</v>
      </c>
      <c r="F513" t="s">
        <v>52</v>
      </c>
      <c r="G513" t="s">
        <v>47091</v>
      </c>
      <c r="H513" t="s">
        <v>47054</v>
      </c>
      <c r="I513" t="s">
        <v>47114</v>
      </c>
      <c r="J513" t="s">
        <v>47115</v>
      </c>
      <c r="K513" t="s">
        <v>47113</v>
      </c>
      <c r="L513">
        <v>18.559999999999999</v>
      </c>
      <c r="M513">
        <v>43</v>
      </c>
      <c r="N513">
        <v>0</v>
      </c>
      <c r="O513">
        <v>43</v>
      </c>
      <c r="P513">
        <v>0</v>
      </c>
    </row>
    <row r="514" spans="1:16" x14ac:dyDescent="0.25">
      <c r="A514">
        <v>22200000933152</v>
      </c>
      <c r="B514" t="str">
        <f>"2220000093"</f>
        <v>2220000093</v>
      </c>
      <c r="C514" t="s">
        <v>1978</v>
      </c>
      <c r="D514" t="str">
        <f>"3152"</f>
        <v>3152</v>
      </c>
      <c r="E514" t="s">
        <v>1840</v>
      </c>
      <c r="F514" t="s">
        <v>52</v>
      </c>
      <c r="G514" t="s">
        <v>47091</v>
      </c>
      <c r="H514" t="s">
        <v>47054</v>
      </c>
      <c r="I514" t="s">
        <v>47114</v>
      </c>
      <c r="J514" t="s">
        <v>47115</v>
      </c>
      <c r="K514" t="s">
        <v>47113</v>
      </c>
      <c r="L514">
        <v>18.559999999999999</v>
      </c>
      <c r="M514">
        <v>46</v>
      </c>
      <c r="N514">
        <v>0</v>
      </c>
      <c r="O514">
        <v>46</v>
      </c>
      <c r="P514">
        <v>0</v>
      </c>
    </row>
    <row r="515" spans="1:16" x14ac:dyDescent="0.25">
      <c r="A515">
        <v>22200000991001</v>
      </c>
      <c r="B515" t="str">
        <f>"2220000099"</f>
        <v>2220000099</v>
      </c>
      <c r="C515" t="s">
        <v>1979</v>
      </c>
      <c r="D515" t="str">
        <f>"1001"</f>
        <v>1001</v>
      </c>
      <c r="E515" t="s">
        <v>42</v>
      </c>
      <c r="F515" t="s">
        <v>8</v>
      </c>
      <c r="G515" t="s">
        <v>47091</v>
      </c>
      <c r="H515" t="s">
        <v>47054</v>
      </c>
      <c r="I515" t="s">
        <v>47111</v>
      </c>
      <c r="J515" t="s">
        <v>47112</v>
      </c>
      <c r="K515" t="s">
        <v>47113</v>
      </c>
      <c r="L515">
        <v>18.12</v>
      </c>
      <c r="M515">
        <v>29</v>
      </c>
      <c r="N515">
        <v>0</v>
      </c>
      <c r="O515">
        <v>29</v>
      </c>
      <c r="P515">
        <v>0</v>
      </c>
    </row>
    <row r="516" spans="1:16" x14ac:dyDescent="0.25">
      <c r="A516">
        <v>22200000991700</v>
      </c>
      <c r="B516" t="str">
        <f>"2220000099"</f>
        <v>2220000099</v>
      </c>
      <c r="C516" t="s">
        <v>1979</v>
      </c>
      <c r="D516" t="str">
        <f>"1700"</f>
        <v>1700</v>
      </c>
      <c r="E516" t="s">
        <v>60</v>
      </c>
      <c r="F516" t="s">
        <v>8</v>
      </c>
      <c r="G516" t="s">
        <v>47091</v>
      </c>
      <c r="H516" t="s">
        <v>47054</v>
      </c>
      <c r="I516" t="s">
        <v>47111</v>
      </c>
      <c r="J516" t="s">
        <v>47112</v>
      </c>
      <c r="K516" t="s">
        <v>47113</v>
      </c>
      <c r="L516">
        <v>16.59</v>
      </c>
      <c r="M516">
        <v>29</v>
      </c>
      <c r="N516">
        <v>0</v>
      </c>
      <c r="O516">
        <v>29</v>
      </c>
      <c r="P516">
        <v>0</v>
      </c>
    </row>
    <row r="517" spans="1:16" x14ac:dyDescent="0.25">
      <c r="A517">
        <v>22200000992000</v>
      </c>
      <c r="B517" t="str">
        <f>"2220000099"</f>
        <v>2220000099</v>
      </c>
      <c r="C517" t="s">
        <v>1979</v>
      </c>
      <c r="D517" t="str">
        <f>"2000"</f>
        <v>2000</v>
      </c>
      <c r="E517" t="s">
        <v>248</v>
      </c>
      <c r="F517" t="s">
        <v>8</v>
      </c>
      <c r="G517" t="s">
        <v>47091</v>
      </c>
      <c r="H517" t="s">
        <v>47054</v>
      </c>
      <c r="I517" t="s">
        <v>47111</v>
      </c>
      <c r="J517" t="s">
        <v>47112</v>
      </c>
      <c r="K517" t="s">
        <v>47113</v>
      </c>
      <c r="L517">
        <v>18.12</v>
      </c>
      <c r="M517">
        <v>32</v>
      </c>
      <c r="N517">
        <v>0</v>
      </c>
      <c r="O517">
        <v>32</v>
      </c>
      <c r="P517">
        <v>0</v>
      </c>
    </row>
    <row r="518" spans="1:16" x14ac:dyDescent="0.25">
      <c r="A518">
        <v>22200001001001</v>
      </c>
      <c r="B518" t="str">
        <f>"2220000100"</f>
        <v>2220000100</v>
      </c>
      <c r="C518" t="s">
        <v>1980</v>
      </c>
      <c r="D518" t="str">
        <f>"1001"</f>
        <v>1001</v>
      </c>
      <c r="E518" t="s">
        <v>42</v>
      </c>
      <c r="F518" t="s">
        <v>8</v>
      </c>
      <c r="G518" t="s">
        <v>47091</v>
      </c>
      <c r="H518" t="s">
        <v>47054</v>
      </c>
      <c r="I518" t="s">
        <v>47111</v>
      </c>
      <c r="J518" t="s">
        <v>47112</v>
      </c>
      <c r="K518" t="s">
        <v>47113</v>
      </c>
      <c r="L518">
        <v>12.95</v>
      </c>
      <c r="M518">
        <v>29</v>
      </c>
      <c r="N518">
        <v>0</v>
      </c>
      <c r="O518">
        <v>29</v>
      </c>
      <c r="P518">
        <v>0</v>
      </c>
    </row>
    <row r="519" spans="1:16" x14ac:dyDescent="0.25">
      <c r="A519">
        <v>22200001001700</v>
      </c>
      <c r="B519" t="str">
        <f>"2220000100"</f>
        <v>2220000100</v>
      </c>
      <c r="C519" t="s">
        <v>1980</v>
      </c>
      <c r="D519" t="str">
        <f>"1700"</f>
        <v>1700</v>
      </c>
      <c r="E519" t="s">
        <v>60</v>
      </c>
      <c r="F519" t="s">
        <v>8</v>
      </c>
      <c r="G519" t="s">
        <v>47091</v>
      </c>
      <c r="H519" t="s">
        <v>47054</v>
      </c>
      <c r="I519" t="s">
        <v>47111</v>
      </c>
      <c r="J519" t="s">
        <v>47112</v>
      </c>
      <c r="K519" t="s">
        <v>47113</v>
      </c>
      <c r="L519">
        <v>12.95</v>
      </c>
      <c r="M519">
        <v>29</v>
      </c>
      <c r="N519">
        <v>0</v>
      </c>
      <c r="O519">
        <v>29</v>
      </c>
      <c r="P519">
        <v>0</v>
      </c>
    </row>
    <row r="520" spans="1:16" x14ac:dyDescent="0.25">
      <c r="A520">
        <v>22200001004510</v>
      </c>
      <c r="B520" t="str">
        <f>"2220000100"</f>
        <v>2220000100</v>
      </c>
      <c r="C520" t="s">
        <v>1980</v>
      </c>
      <c r="D520" t="str">
        <f>"4510"</f>
        <v>4510</v>
      </c>
      <c r="E520" t="s">
        <v>1960</v>
      </c>
      <c r="F520" t="s">
        <v>8</v>
      </c>
      <c r="G520" t="s">
        <v>47091</v>
      </c>
      <c r="H520" t="s">
        <v>47054</v>
      </c>
      <c r="I520" t="s">
        <v>47111</v>
      </c>
      <c r="J520" t="s">
        <v>47112</v>
      </c>
      <c r="K520" t="s">
        <v>47113</v>
      </c>
      <c r="L520">
        <v>12.95</v>
      </c>
      <c r="M520">
        <v>29</v>
      </c>
      <c r="N520">
        <v>0</v>
      </c>
      <c r="O520">
        <v>29</v>
      </c>
      <c r="P520">
        <v>0</v>
      </c>
    </row>
    <row r="521" spans="1:16" x14ac:dyDescent="0.25">
      <c r="A521">
        <v>22200001151702</v>
      </c>
      <c r="B521" t="str">
        <f>"2220000115"</f>
        <v>2220000115</v>
      </c>
      <c r="C521" t="s">
        <v>64</v>
      </c>
      <c r="D521" t="str">
        <f>"1702"</f>
        <v>1702</v>
      </c>
      <c r="E521" t="s">
        <v>1956</v>
      </c>
      <c r="F521" t="s">
        <v>52</v>
      </c>
      <c r="G521" t="s">
        <v>47091</v>
      </c>
      <c r="H521" t="s">
        <v>47054</v>
      </c>
      <c r="I521" t="s">
        <v>47111</v>
      </c>
      <c r="J521" t="s">
        <v>47112</v>
      </c>
      <c r="K521" t="s">
        <v>47113</v>
      </c>
      <c r="L521">
        <v>13.58</v>
      </c>
      <c r="M521">
        <v>32</v>
      </c>
      <c r="N521">
        <v>0</v>
      </c>
      <c r="O521">
        <v>32</v>
      </c>
      <c r="P521">
        <v>0</v>
      </c>
    </row>
    <row r="522" spans="1:16" x14ac:dyDescent="0.25">
      <c r="A522">
        <v>22200001154012</v>
      </c>
      <c r="B522" t="str">
        <f>"2220000115"</f>
        <v>2220000115</v>
      </c>
      <c r="C522" t="s">
        <v>64</v>
      </c>
      <c r="D522" t="str">
        <f>"4012"</f>
        <v>4012</v>
      </c>
      <c r="E522" t="s">
        <v>1981</v>
      </c>
      <c r="F522" t="s">
        <v>52</v>
      </c>
      <c r="G522" t="s">
        <v>47091</v>
      </c>
      <c r="H522" t="s">
        <v>47054</v>
      </c>
      <c r="I522" t="s">
        <v>47111</v>
      </c>
      <c r="J522" t="s">
        <v>47112</v>
      </c>
      <c r="K522" t="s">
        <v>47113</v>
      </c>
      <c r="L522">
        <v>13.58</v>
      </c>
      <c r="M522">
        <v>31</v>
      </c>
      <c r="N522">
        <v>0</v>
      </c>
      <c r="O522">
        <v>31</v>
      </c>
      <c r="P522">
        <v>0</v>
      </c>
    </row>
    <row r="523" spans="1:16" x14ac:dyDescent="0.25">
      <c r="A523">
        <v>22200001156304</v>
      </c>
      <c r="B523" t="str">
        <f>"2220000115"</f>
        <v>2220000115</v>
      </c>
      <c r="C523" t="s">
        <v>64</v>
      </c>
      <c r="D523" t="str">
        <f>"6304"</f>
        <v>6304</v>
      </c>
      <c r="E523" t="s">
        <v>65</v>
      </c>
      <c r="F523" t="s">
        <v>52</v>
      </c>
      <c r="G523" t="s">
        <v>47091</v>
      </c>
      <c r="H523" t="s">
        <v>47054</v>
      </c>
      <c r="I523" t="s">
        <v>47111</v>
      </c>
      <c r="J523" t="s">
        <v>47112</v>
      </c>
      <c r="K523" t="s">
        <v>47113</v>
      </c>
      <c r="L523">
        <v>13.58</v>
      </c>
      <c r="M523">
        <v>32</v>
      </c>
      <c r="N523">
        <v>0</v>
      </c>
      <c r="O523">
        <v>32</v>
      </c>
      <c r="P523">
        <v>0</v>
      </c>
    </row>
    <row r="524" spans="1:16" x14ac:dyDescent="0.25">
      <c r="A524">
        <v>22200001161215</v>
      </c>
      <c r="B524" t="str">
        <f>"2220000116"</f>
        <v>2220000116</v>
      </c>
      <c r="C524" t="s">
        <v>1982</v>
      </c>
      <c r="D524" t="str">
        <f>"1215"</f>
        <v>1215</v>
      </c>
      <c r="E524" t="s">
        <v>1959</v>
      </c>
      <c r="F524" t="s">
        <v>52</v>
      </c>
      <c r="G524" t="s">
        <v>47091</v>
      </c>
      <c r="H524" t="s">
        <v>47054</v>
      </c>
      <c r="I524" t="s">
        <v>47114</v>
      </c>
      <c r="J524" t="s">
        <v>47115</v>
      </c>
      <c r="K524" t="s">
        <v>47113</v>
      </c>
      <c r="L524">
        <v>12.51</v>
      </c>
      <c r="M524">
        <v>29</v>
      </c>
      <c r="N524">
        <v>0</v>
      </c>
      <c r="O524">
        <v>29</v>
      </c>
      <c r="P524">
        <v>0</v>
      </c>
    </row>
    <row r="525" spans="1:16" x14ac:dyDescent="0.25">
      <c r="A525">
        <v>22200001161702</v>
      </c>
      <c r="B525" t="str">
        <f>"2220000116"</f>
        <v>2220000116</v>
      </c>
      <c r="C525" t="s">
        <v>1982</v>
      </c>
      <c r="D525" t="str">
        <f>"1702"</f>
        <v>1702</v>
      </c>
      <c r="E525" t="s">
        <v>1956</v>
      </c>
      <c r="F525" t="s">
        <v>52</v>
      </c>
      <c r="G525" t="s">
        <v>47091</v>
      </c>
      <c r="H525" t="s">
        <v>47054</v>
      </c>
      <c r="I525" t="s">
        <v>47114</v>
      </c>
      <c r="J525" t="s">
        <v>47115</v>
      </c>
      <c r="K525" t="s">
        <v>47113</v>
      </c>
      <c r="L525">
        <v>12.51</v>
      </c>
      <c r="M525">
        <v>29</v>
      </c>
      <c r="N525">
        <v>0</v>
      </c>
      <c r="O525">
        <v>29</v>
      </c>
      <c r="P525">
        <v>0</v>
      </c>
    </row>
    <row r="526" spans="1:16" x14ac:dyDescent="0.25">
      <c r="A526">
        <v>22200001164012</v>
      </c>
      <c r="B526" t="str">
        <f>"2220000116"</f>
        <v>2220000116</v>
      </c>
      <c r="C526" t="s">
        <v>1982</v>
      </c>
      <c r="D526" t="str">
        <f>"4012"</f>
        <v>4012</v>
      </c>
      <c r="E526" t="s">
        <v>1981</v>
      </c>
      <c r="F526" t="s">
        <v>52</v>
      </c>
      <c r="G526" t="s">
        <v>47091</v>
      </c>
      <c r="H526" t="s">
        <v>47054</v>
      </c>
      <c r="I526" t="s">
        <v>47114</v>
      </c>
      <c r="J526" t="s">
        <v>47115</v>
      </c>
      <c r="K526" t="s">
        <v>47113</v>
      </c>
      <c r="L526">
        <v>12.51</v>
      </c>
      <c r="M526">
        <v>29</v>
      </c>
      <c r="N526">
        <v>0</v>
      </c>
      <c r="O526">
        <v>29</v>
      </c>
      <c r="P526">
        <v>0</v>
      </c>
    </row>
    <row r="527" spans="1:16" x14ac:dyDescent="0.25">
      <c r="A527">
        <v>22200001194201</v>
      </c>
      <c r="B527" t="str">
        <f>"2220000119"</f>
        <v>2220000119</v>
      </c>
      <c r="C527" t="s">
        <v>1983</v>
      </c>
      <c r="D527" t="str">
        <f>"4201"</f>
        <v>4201</v>
      </c>
      <c r="E527" t="s">
        <v>1855</v>
      </c>
      <c r="F527" t="s">
        <v>8</v>
      </c>
      <c r="G527" t="s">
        <v>47091</v>
      </c>
      <c r="H527" t="s">
        <v>47054</v>
      </c>
      <c r="I527" t="s">
        <v>47114</v>
      </c>
      <c r="J527" t="s">
        <v>47115</v>
      </c>
      <c r="K527" t="s">
        <v>47113</v>
      </c>
      <c r="L527">
        <v>25.7</v>
      </c>
      <c r="M527">
        <v>50</v>
      </c>
      <c r="N527">
        <v>0</v>
      </c>
      <c r="O527">
        <v>50</v>
      </c>
      <c r="P527">
        <v>0</v>
      </c>
    </row>
    <row r="528" spans="1:16" x14ac:dyDescent="0.25">
      <c r="A528">
        <v>22200001201215</v>
      </c>
      <c r="B528" t="str">
        <f>"2220000120"</f>
        <v>2220000120</v>
      </c>
      <c r="C528" t="s">
        <v>1984</v>
      </c>
      <c r="D528" t="str">
        <f>"1215"</f>
        <v>1215</v>
      </c>
      <c r="E528" t="s">
        <v>1959</v>
      </c>
      <c r="F528" t="s">
        <v>52</v>
      </c>
      <c r="G528" t="s">
        <v>47091</v>
      </c>
      <c r="H528" t="s">
        <v>47054</v>
      </c>
      <c r="I528" t="s">
        <v>47114</v>
      </c>
      <c r="J528" t="s">
        <v>47115</v>
      </c>
      <c r="K528" t="s">
        <v>47113</v>
      </c>
      <c r="L528">
        <v>14.19</v>
      </c>
      <c r="M528">
        <v>31</v>
      </c>
      <c r="N528">
        <v>0</v>
      </c>
      <c r="O528">
        <v>31</v>
      </c>
      <c r="P528">
        <v>0</v>
      </c>
    </row>
    <row r="529" spans="1:16" x14ac:dyDescent="0.25">
      <c r="A529">
        <v>22200001201306</v>
      </c>
      <c r="B529" t="str">
        <f>"2220000120"</f>
        <v>2220000120</v>
      </c>
      <c r="C529" t="s">
        <v>1984</v>
      </c>
      <c r="D529" t="str">
        <f>"1306"</f>
        <v>1306</v>
      </c>
      <c r="E529" t="s">
        <v>1937</v>
      </c>
      <c r="F529" t="s">
        <v>52</v>
      </c>
      <c r="G529" t="s">
        <v>47091</v>
      </c>
      <c r="H529" t="s">
        <v>47054</v>
      </c>
      <c r="I529" t="s">
        <v>47114</v>
      </c>
      <c r="J529" t="s">
        <v>47115</v>
      </c>
      <c r="K529" t="s">
        <v>47113</v>
      </c>
      <c r="L529">
        <v>12.77</v>
      </c>
      <c r="M529">
        <v>31</v>
      </c>
      <c r="N529">
        <v>0</v>
      </c>
      <c r="O529">
        <v>31</v>
      </c>
      <c r="P529">
        <v>0</v>
      </c>
    </row>
    <row r="530" spans="1:16" x14ac:dyDescent="0.25">
      <c r="A530">
        <v>22200001201702</v>
      </c>
      <c r="B530" t="str">
        <f>"2220000120"</f>
        <v>2220000120</v>
      </c>
      <c r="C530" t="s">
        <v>1984</v>
      </c>
      <c r="D530" t="str">
        <f>"1702"</f>
        <v>1702</v>
      </c>
      <c r="E530" t="s">
        <v>1956</v>
      </c>
      <c r="F530" t="s">
        <v>52</v>
      </c>
      <c r="G530" t="s">
        <v>47091</v>
      </c>
      <c r="H530" t="s">
        <v>47054</v>
      </c>
      <c r="I530" t="s">
        <v>47114</v>
      </c>
      <c r="J530" t="s">
        <v>47115</v>
      </c>
      <c r="K530" t="s">
        <v>47113</v>
      </c>
      <c r="L530">
        <v>14.19</v>
      </c>
      <c r="M530">
        <v>31</v>
      </c>
      <c r="N530">
        <v>0</v>
      </c>
      <c r="O530">
        <v>31</v>
      </c>
      <c r="P530">
        <v>0</v>
      </c>
    </row>
    <row r="531" spans="1:16" x14ac:dyDescent="0.25">
      <c r="A531">
        <v>22200001281501</v>
      </c>
      <c r="B531" t="str">
        <f>"2220000128"</f>
        <v>2220000128</v>
      </c>
      <c r="C531" t="s">
        <v>66</v>
      </c>
      <c r="D531" t="str">
        <f t="shared" ref="D531:D541" si="9">"1501"</f>
        <v>1501</v>
      </c>
      <c r="E531" t="s">
        <v>46</v>
      </c>
      <c r="F531" t="s">
        <v>8</v>
      </c>
      <c r="G531" t="s">
        <v>47091</v>
      </c>
      <c r="H531" t="s">
        <v>47054</v>
      </c>
      <c r="I531" t="s">
        <v>47111</v>
      </c>
      <c r="J531" t="s">
        <v>47112</v>
      </c>
      <c r="K531" t="s">
        <v>47113</v>
      </c>
      <c r="L531">
        <v>10.1</v>
      </c>
      <c r="M531">
        <v>29</v>
      </c>
      <c r="N531">
        <v>0</v>
      </c>
      <c r="O531">
        <v>29</v>
      </c>
      <c r="P531">
        <v>0</v>
      </c>
    </row>
    <row r="532" spans="1:16" x14ac:dyDescent="0.25">
      <c r="A532">
        <v>22200001291501</v>
      </c>
      <c r="B532" t="str">
        <f>"2220000129"</f>
        <v>2220000129</v>
      </c>
      <c r="C532" t="s">
        <v>1985</v>
      </c>
      <c r="D532" t="str">
        <f t="shared" si="9"/>
        <v>1501</v>
      </c>
      <c r="E532" t="s">
        <v>46</v>
      </c>
      <c r="F532" t="s">
        <v>8</v>
      </c>
      <c r="G532" t="s">
        <v>47091</v>
      </c>
      <c r="H532" t="s">
        <v>47054</v>
      </c>
      <c r="I532" t="s">
        <v>47111</v>
      </c>
      <c r="J532" t="s">
        <v>47112</v>
      </c>
      <c r="K532" t="s">
        <v>47113</v>
      </c>
      <c r="L532">
        <v>13.62</v>
      </c>
      <c r="M532">
        <v>29</v>
      </c>
      <c r="N532">
        <v>0</v>
      </c>
      <c r="O532">
        <v>29</v>
      </c>
      <c r="P532">
        <v>0</v>
      </c>
    </row>
    <row r="533" spans="1:16" x14ac:dyDescent="0.25">
      <c r="A533">
        <v>22200001311501</v>
      </c>
      <c r="B533" t="str">
        <f>"2220000131"</f>
        <v>2220000131</v>
      </c>
      <c r="C533" t="s">
        <v>1975</v>
      </c>
      <c r="D533" t="str">
        <f t="shared" si="9"/>
        <v>1501</v>
      </c>
      <c r="E533" t="s">
        <v>46</v>
      </c>
      <c r="F533" t="s">
        <v>8</v>
      </c>
      <c r="G533" t="s">
        <v>47091</v>
      </c>
      <c r="H533" t="s">
        <v>47054</v>
      </c>
      <c r="I533" t="s">
        <v>47114</v>
      </c>
      <c r="J533" t="s">
        <v>47115</v>
      </c>
      <c r="K533" t="s">
        <v>47113</v>
      </c>
      <c r="L533">
        <v>10.35</v>
      </c>
      <c r="M533">
        <v>29</v>
      </c>
      <c r="N533">
        <v>0</v>
      </c>
      <c r="O533">
        <v>29</v>
      </c>
      <c r="P533">
        <v>0</v>
      </c>
    </row>
    <row r="534" spans="1:16" x14ac:dyDescent="0.25">
      <c r="A534">
        <v>22200001321501</v>
      </c>
      <c r="B534" t="str">
        <f>"2220000132"</f>
        <v>2220000132</v>
      </c>
      <c r="C534" t="s">
        <v>1986</v>
      </c>
      <c r="D534" t="str">
        <f t="shared" si="9"/>
        <v>1501</v>
      </c>
      <c r="E534" t="s">
        <v>46</v>
      </c>
      <c r="F534" t="s">
        <v>8</v>
      </c>
      <c r="G534" t="s">
        <v>47091</v>
      </c>
      <c r="H534" t="s">
        <v>47054</v>
      </c>
      <c r="I534" t="s">
        <v>47114</v>
      </c>
      <c r="J534" t="s">
        <v>47115</v>
      </c>
      <c r="K534" t="s">
        <v>47113</v>
      </c>
      <c r="L534">
        <v>10.51</v>
      </c>
      <c r="M534">
        <v>29</v>
      </c>
      <c r="N534">
        <v>0</v>
      </c>
      <c r="O534">
        <v>29</v>
      </c>
      <c r="P534">
        <v>0</v>
      </c>
    </row>
    <row r="535" spans="1:16" x14ac:dyDescent="0.25">
      <c r="A535">
        <v>22200001331501</v>
      </c>
      <c r="B535" t="str">
        <f>"2220000133"</f>
        <v>2220000133</v>
      </c>
      <c r="C535" t="s">
        <v>1987</v>
      </c>
      <c r="D535" t="str">
        <f t="shared" si="9"/>
        <v>1501</v>
      </c>
      <c r="E535" t="s">
        <v>46</v>
      </c>
      <c r="F535" t="s">
        <v>8</v>
      </c>
      <c r="G535" t="s">
        <v>47091</v>
      </c>
      <c r="H535" t="s">
        <v>47054</v>
      </c>
      <c r="I535" t="s">
        <v>47114</v>
      </c>
      <c r="J535" t="s">
        <v>47115</v>
      </c>
      <c r="K535" t="s">
        <v>47113</v>
      </c>
      <c r="L535">
        <v>10.35</v>
      </c>
      <c r="M535">
        <v>29</v>
      </c>
      <c r="N535">
        <v>0</v>
      </c>
      <c r="O535">
        <v>29</v>
      </c>
      <c r="P535">
        <v>0</v>
      </c>
    </row>
    <row r="536" spans="1:16" x14ac:dyDescent="0.25">
      <c r="A536">
        <v>22200001341501</v>
      </c>
      <c r="B536" t="str">
        <f>"2220000134"</f>
        <v>2220000134</v>
      </c>
      <c r="C536" t="s">
        <v>62</v>
      </c>
      <c r="D536" t="str">
        <f t="shared" si="9"/>
        <v>1501</v>
      </c>
      <c r="E536" t="s">
        <v>46</v>
      </c>
      <c r="F536" t="s">
        <v>8</v>
      </c>
      <c r="G536" t="s">
        <v>47091</v>
      </c>
      <c r="H536" t="s">
        <v>47054</v>
      </c>
      <c r="I536" t="s">
        <v>47111</v>
      </c>
      <c r="J536" t="s">
        <v>47112</v>
      </c>
      <c r="K536" t="s">
        <v>47113</v>
      </c>
      <c r="L536">
        <v>10.35</v>
      </c>
      <c r="M536">
        <v>29</v>
      </c>
      <c r="N536">
        <v>0</v>
      </c>
      <c r="O536">
        <v>29</v>
      </c>
      <c r="P536">
        <v>0</v>
      </c>
    </row>
    <row r="537" spans="1:16" x14ac:dyDescent="0.25">
      <c r="A537">
        <v>22200001361501</v>
      </c>
      <c r="B537" t="str">
        <f>"2220000136"</f>
        <v>2220000136</v>
      </c>
      <c r="C537" t="s">
        <v>67</v>
      </c>
      <c r="D537" t="str">
        <f t="shared" si="9"/>
        <v>1501</v>
      </c>
      <c r="E537" t="s">
        <v>46</v>
      </c>
      <c r="F537" t="s">
        <v>56</v>
      </c>
      <c r="G537" t="s">
        <v>47091</v>
      </c>
      <c r="H537" t="s">
        <v>47054</v>
      </c>
      <c r="I537" t="s">
        <v>47111</v>
      </c>
      <c r="J537" t="s">
        <v>47112</v>
      </c>
      <c r="K537" t="s">
        <v>47113</v>
      </c>
      <c r="L537">
        <v>15.45</v>
      </c>
      <c r="M537">
        <v>38</v>
      </c>
      <c r="N537">
        <v>0</v>
      </c>
      <c r="O537">
        <v>38</v>
      </c>
      <c r="P537">
        <v>0</v>
      </c>
    </row>
    <row r="538" spans="1:16" x14ac:dyDescent="0.25">
      <c r="A538">
        <v>22200001381501</v>
      </c>
      <c r="B538" t="str">
        <f>"2220000138"</f>
        <v>2220000138</v>
      </c>
      <c r="C538" t="s">
        <v>1977</v>
      </c>
      <c r="D538" t="str">
        <f t="shared" si="9"/>
        <v>1501</v>
      </c>
      <c r="E538" t="s">
        <v>46</v>
      </c>
      <c r="F538" t="s">
        <v>8</v>
      </c>
      <c r="G538" t="s">
        <v>47091</v>
      </c>
      <c r="H538" t="s">
        <v>47054</v>
      </c>
      <c r="I538" t="s">
        <v>47114</v>
      </c>
      <c r="J538" t="s">
        <v>47115</v>
      </c>
      <c r="K538" t="s">
        <v>47113</v>
      </c>
      <c r="L538">
        <v>11.54</v>
      </c>
      <c r="M538">
        <v>27</v>
      </c>
      <c r="N538">
        <v>0</v>
      </c>
      <c r="O538">
        <v>27</v>
      </c>
      <c r="P538">
        <v>0</v>
      </c>
    </row>
    <row r="539" spans="1:16" x14ac:dyDescent="0.25">
      <c r="A539">
        <v>22200001431501</v>
      </c>
      <c r="B539" t="str">
        <f>"2220000143"</f>
        <v>2220000143</v>
      </c>
      <c r="C539" t="s">
        <v>1979</v>
      </c>
      <c r="D539" t="str">
        <f t="shared" si="9"/>
        <v>1501</v>
      </c>
      <c r="E539" t="s">
        <v>46</v>
      </c>
      <c r="F539" t="s">
        <v>8</v>
      </c>
      <c r="G539" t="s">
        <v>47091</v>
      </c>
      <c r="H539" t="s">
        <v>47054</v>
      </c>
      <c r="I539" t="s">
        <v>47111</v>
      </c>
      <c r="J539" t="s">
        <v>47112</v>
      </c>
      <c r="K539" t="s">
        <v>47113</v>
      </c>
      <c r="L539">
        <v>15.27</v>
      </c>
      <c r="M539">
        <v>29</v>
      </c>
      <c r="N539">
        <v>0</v>
      </c>
      <c r="O539">
        <v>29</v>
      </c>
      <c r="P539">
        <v>0</v>
      </c>
    </row>
    <row r="540" spans="1:16" x14ac:dyDescent="0.25">
      <c r="A540">
        <v>22200001441501</v>
      </c>
      <c r="B540" t="str">
        <f>"2220000144"</f>
        <v>2220000144</v>
      </c>
      <c r="C540" t="s">
        <v>1980</v>
      </c>
      <c r="D540" t="str">
        <f t="shared" si="9"/>
        <v>1501</v>
      </c>
      <c r="E540" t="s">
        <v>46</v>
      </c>
      <c r="F540" t="s">
        <v>8</v>
      </c>
      <c r="G540" t="s">
        <v>47091</v>
      </c>
      <c r="H540" t="s">
        <v>47054</v>
      </c>
      <c r="I540" t="s">
        <v>47114</v>
      </c>
      <c r="J540" t="s">
        <v>47115</v>
      </c>
      <c r="K540" t="s">
        <v>47113</v>
      </c>
      <c r="L540">
        <v>11.06</v>
      </c>
      <c r="M540">
        <v>29</v>
      </c>
      <c r="N540">
        <v>0</v>
      </c>
      <c r="O540">
        <v>29</v>
      </c>
      <c r="P540">
        <v>0</v>
      </c>
    </row>
    <row r="541" spans="1:16" x14ac:dyDescent="0.25">
      <c r="A541">
        <v>22200001451501</v>
      </c>
      <c r="B541" t="str">
        <f>"2220000145"</f>
        <v>2220000145</v>
      </c>
      <c r="C541" t="s">
        <v>1988</v>
      </c>
      <c r="D541" t="str">
        <f t="shared" si="9"/>
        <v>1501</v>
      </c>
      <c r="E541" t="s">
        <v>46</v>
      </c>
      <c r="F541" t="s">
        <v>52</v>
      </c>
      <c r="G541" t="s">
        <v>47091</v>
      </c>
      <c r="H541" t="s">
        <v>47054</v>
      </c>
      <c r="I541" t="s">
        <v>47114</v>
      </c>
      <c r="J541" t="s">
        <v>47115</v>
      </c>
      <c r="K541" t="s">
        <v>47113</v>
      </c>
      <c r="L541">
        <v>11.81</v>
      </c>
      <c r="M541">
        <v>29</v>
      </c>
      <c r="N541">
        <v>0</v>
      </c>
      <c r="O541">
        <v>29</v>
      </c>
      <c r="P541">
        <v>0</v>
      </c>
    </row>
    <row r="542" spans="1:16" x14ac:dyDescent="0.25">
      <c r="A542">
        <v>22400000031001</v>
      </c>
      <c r="B542" t="str">
        <f>"2240000003"</f>
        <v>2240000003</v>
      </c>
      <c r="C542" t="s">
        <v>1989</v>
      </c>
      <c r="D542" t="str">
        <f>"1001"</f>
        <v>1001</v>
      </c>
      <c r="E542" t="s">
        <v>42</v>
      </c>
      <c r="F542" t="s">
        <v>8</v>
      </c>
      <c r="G542" t="s">
        <v>47094</v>
      </c>
      <c r="H542" t="s">
        <v>47054</v>
      </c>
      <c r="I542" t="s">
        <v>47114</v>
      </c>
      <c r="J542" t="s">
        <v>47115</v>
      </c>
      <c r="K542" t="s">
        <v>47113</v>
      </c>
      <c r="L542">
        <v>31.6</v>
      </c>
      <c r="M542">
        <v>71</v>
      </c>
      <c r="N542">
        <v>0</v>
      </c>
      <c r="O542">
        <v>71</v>
      </c>
      <c r="P542">
        <v>0</v>
      </c>
    </row>
    <row r="543" spans="1:16" x14ac:dyDescent="0.25">
      <c r="A543">
        <v>22400000031701</v>
      </c>
      <c r="B543" t="str">
        <f>"2240000003"</f>
        <v>2240000003</v>
      </c>
      <c r="C543" t="s">
        <v>1989</v>
      </c>
      <c r="D543" t="str">
        <f>"1701"</f>
        <v>1701</v>
      </c>
      <c r="E543" t="s">
        <v>55</v>
      </c>
      <c r="F543" t="s">
        <v>8</v>
      </c>
      <c r="G543" t="s">
        <v>47094</v>
      </c>
      <c r="H543" t="s">
        <v>47054</v>
      </c>
      <c r="I543" t="s">
        <v>47114</v>
      </c>
      <c r="J543" t="s">
        <v>47115</v>
      </c>
      <c r="K543" t="s">
        <v>47113</v>
      </c>
      <c r="L543">
        <v>31.6</v>
      </c>
      <c r="M543">
        <v>71</v>
      </c>
      <c r="N543">
        <v>0</v>
      </c>
      <c r="O543">
        <v>71</v>
      </c>
      <c r="P543">
        <v>0</v>
      </c>
    </row>
    <row r="544" spans="1:16" x14ac:dyDescent="0.25">
      <c r="A544">
        <v>22400000034101</v>
      </c>
      <c r="B544" t="str">
        <f>"2240000003"</f>
        <v>2240000003</v>
      </c>
      <c r="C544" t="s">
        <v>1989</v>
      </c>
      <c r="D544" t="str">
        <f>"4101"</f>
        <v>4101</v>
      </c>
      <c r="E544" t="s">
        <v>43</v>
      </c>
      <c r="F544" t="s">
        <v>8</v>
      </c>
      <c r="G544" t="s">
        <v>47094</v>
      </c>
      <c r="H544" t="s">
        <v>47054</v>
      </c>
      <c r="I544" t="s">
        <v>47114</v>
      </c>
      <c r="J544" t="s">
        <v>47115</v>
      </c>
      <c r="K544" t="s">
        <v>47113</v>
      </c>
      <c r="L544">
        <v>31.6</v>
      </c>
      <c r="M544">
        <v>71</v>
      </c>
      <c r="N544">
        <v>0</v>
      </c>
      <c r="O544">
        <v>71</v>
      </c>
      <c r="P544">
        <v>0</v>
      </c>
    </row>
    <row r="545" spans="1:16" x14ac:dyDescent="0.25">
      <c r="A545">
        <v>22400000036010</v>
      </c>
      <c r="B545" t="str">
        <f>"2240000003"</f>
        <v>2240000003</v>
      </c>
      <c r="C545" t="s">
        <v>1989</v>
      </c>
      <c r="D545" t="str">
        <f>"6010"</f>
        <v>6010</v>
      </c>
      <c r="E545" t="s">
        <v>49</v>
      </c>
      <c r="F545" t="s">
        <v>8</v>
      </c>
      <c r="G545" t="s">
        <v>47094</v>
      </c>
      <c r="H545" t="s">
        <v>47054</v>
      </c>
      <c r="I545" t="s">
        <v>47114</v>
      </c>
      <c r="J545" t="s">
        <v>47115</v>
      </c>
      <c r="K545" t="s">
        <v>47113</v>
      </c>
      <c r="L545">
        <v>31.6</v>
      </c>
      <c r="M545">
        <v>71</v>
      </c>
      <c r="N545">
        <v>0</v>
      </c>
      <c r="O545">
        <v>71</v>
      </c>
      <c r="P545">
        <v>0</v>
      </c>
    </row>
    <row r="546" spans="1:16" x14ac:dyDescent="0.25">
      <c r="A546">
        <v>22400000051001</v>
      </c>
      <c r="B546" t="str">
        <f>"2240000005"</f>
        <v>2240000005</v>
      </c>
      <c r="C546" t="s">
        <v>1990</v>
      </c>
      <c r="D546" t="str">
        <f>"1001"</f>
        <v>1001</v>
      </c>
      <c r="E546" t="s">
        <v>42</v>
      </c>
      <c r="F546" t="s">
        <v>52</v>
      </c>
      <c r="G546" t="s">
        <v>47094</v>
      </c>
      <c r="H546" t="s">
        <v>47054</v>
      </c>
      <c r="I546" t="s">
        <v>47114</v>
      </c>
      <c r="J546" t="s">
        <v>47115</v>
      </c>
      <c r="K546" t="s">
        <v>47113</v>
      </c>
      <c r="L546">
        <v>28.97</v>
      </c>
      <c r="M546">
        <v>71</v>
      </c>
      <c r="N546">
        <v>0</v>
      </c>
      <c r="O546">
        <v>71</v>
      </c>
      <c r="P546">
        <v>0</v>
      </c>
    </row>
    <row r="547" spans="1:16" x14ac:dyDescent="0.25">
      <c r="A547">
        <v>22400000051702</v>
      </c>
      <c r="B547" t="str">
        <f>"2240000005"</f>
        <v>2240000005</v>
      </c>
      <c r="C547" t="s">
        <v>1990</v>
      </c>
      <c r="D547" t="str">
        <f>"1702"</f>
        <v>1702</v>
      </c>
      <c r="E547" t="s">
        <v>1956</v>
      </c>
      <c r="F547" t="s">
        <v>52</v>
      </c>
      <c r="G547" t="s">
        <v>47094</v>
      </c>
      <c r="H547" t="s">
        <v>47054</v>
      </c>
      <c r="I547" t="s">
        <v>47114</v>
      </c>
      <c r="J547" t="s">
        <v>47115</v>
      </c>
      <c r="K547" t="s">
        <v>47113</v>
      </c>
      <c r="L547">
        <v>28.97</v>
      </c>
      <c r="M547">
        <v>71</v>
      </c>
      <c r="N547">
        <v>0</v>
      </c>
      <c r="O547">
        <v>71</v>
      </c>
      <c r="P547">
        <v>0</v>
      </c>
    </row>
    <row r="548" spans="1:16" x14ac:dyDescent="0.25">
      <c r="A548">
        <v>22400000055306</v>
      </c>
      <c r="B548" t="str">
        <f>"2240000005"</f>
        <v>2240000005</v>
      </c>
      <c r="C548" t="s">
        <v>1990</v>
      </c>
      <c r="D548" t="str">
        <f>"5306"</f>
        <v>5306</v>
      </c>
      <c r="E548" t="s">
        <v>1991</v>
      </c>
      <c r="F548" t="s">
        <v>52</v>
      </c>
      <c r="G548" t="s">
        <v>47094</v>
      </c>
      <c r="H548" t="s">
        <v>47054</v>
      </c>
      <c r="I548" t="s">
        <v>47114</v>
      </c>
      <c r="J548" t="s">
        <v>47115</v>
      </c>
      <c r="K548" t="s">
        <v>47113</v>
      </c>
      <c r="L548">
        <v>28.97</v>
      </c>
      <c r="M548">
        <v>71</v>
      </c>
      <c r="N548">
        <v>0</v>
      </c>
      <c r="O548">
        <v>71</v>
      </c>
      <c r="P548">
        <v>0</v>
      </c>
    </row>
    <row r="549" spans="1:16" x14ac:dyDescent="0.25">
      <c r="A549">
        <v>22400000133304</v>
      </c>
      <c r="B549" t="str">
        <f>"2240000013"</f>
        <v>2240000013</v>
      </c>
      <c r="C549" t="s">
        <v>1992</v>
      </c>
      <c r="D549" t="str">
        <f>"3304"</f>
        <v>3304</v>
      </c>
      <c r="E549" t="s">
        <v>1879</v>
      </c>
      <c r="F549" t="s">
        <v>56</v>
      </c>
      <c r="G549" t="s">
        <v>47094</v>
      </c>
      <c r="H549" t="s">
        <v>47054</v>
      </c>
      <c r="I549" t="s">
        <v>47116</v>
      </c>
      <c r="J549" t="s">
        <v>47117</v>
      </c>
      <c r="K549" t="s">
        <v>47113</v>
      </c>
      <c r="L549">
        <v>30.02</v>
      </c>
      <c r="M549">
        <v>63</v>
      </c>
      <c r="N549">
        <v>0</v>
      </c>
      <c r="O549">
        <v>63</v>
      </c>
      <c r="P549">
        <v>0</v>
      </c>
    </row>
    <row r="550" spans="1:16" x14ac:dyDescent="0.25">
      <c r="A550">
        <v>22400000134542</v>
      </c>
      <c r="B550" t="str">
        <f>"2240000013"</f>
        <v>2240000013</v>
      </c>
      <c r="C550" t="s">
        <v>1992</v>
      </c>
      <c r="D550" t="str">
        <f>"4542"</f>
        <v>4542</v>
      </c>
      <c r="E550" t="s">
        <v>220</v>
      </c>
      <c r="F550" t="s">
        <v>56</v>
      </c>
      <c r="G550" t="s">
        <v>47094</v>
      </c>
      <c r="H550" t="s">
        <v>47054</v>
      </c>
      <c r="I550" t="s">
        <v>47116</v>
      </c>
      <c r="J550" t="s">
        <v>47117</v>
      </c>
      <c r="K550" t="s">
        <v>47113</v>
      </c>
      <c r="L550">
        <v>30.02</v>
      </c>
      <c r="M550">
        <v>63</v>
      </c>
      <c r="N550">
        <v>0</v>
      </c>
      <c r="O550">
        <v>63</v>
      </c>
      <c r="P550">
        <v>0</v>
      </c>
    </row>
    <row r="551" spans="1:16" x14ac:dyDescent="0.25">
      <c r="A551">
        <v>22400000135302</v>
      </c>
      <c r="B551" t="str">
        <f>"2240000013"</f>
        <v>2240000013</v>
      </c>
      <c r="C551" t="s">
        <v>1992</v>
      </c>
      <c r="D551" t="str">
        <f>"5302"</f>
        <v>5302</v>
      </c>
      <c r="E551" t="s">
        <v>1972</v>
      </c>
      <c r="F551" t="s">
        <v>56</v>
      </c>
      <c r="G551" t="s">
        <v>47094</v>
      </c>
      <c r="H551" t="s">
        <v>47054</v>
      </c>
      <c r="I551" t="s">
        <v>47116</v>
      </c>
      <c r="J551" t="s">
        <v>47117</v>
      </c>
      <c r="K551" t="s">
        <v>47113</v>
      </c>
      <c r="L551">
        <v>30.02</v>
      </c>
      <c r="M551">
        <v>63</v>
      </c>
      <c r="N551">
        <v>0</v>
      </c>
      <c r="O551">
        <v>63</v>
      </c>
      <c r="P551">
        <v>0</v>
      </c>
    </row>
    <row r="552" spans="1:16" x14ac:dyDescent="0.25">
      <c r="A552">
        <v>22400000171001</v>
      </c>
      <c r="B552" t="str">
        <f>"2240000017"</f>
        <v>2240000017</v>
      </c>
      <c r="C552" t="s">
        <v>1993</v>
      </c>
      <c r="D552" t="str">
        <f>"1001"</f>
        <v>1001</v>
      </c>
      <c r="E552" t="s">
        <v>42</v>
      </c>
      <c r="F552" t="s">
        <v>8</v>
      </c>
      <c r="G552" t="s">
        <v>47094</v>
      </c>
      <c r="H552" t="s">
        <v>47054</v>
      </c>
      <c r="I552" t="s">
        <v>47111</v>
      </c>
      <c r="J552" t="s">
        <v>47112</v>
      </c>
      <c r="K552" t="s">
        <v>47113</v>
      </c>
      <c r="L552">
        <v>33</v>
      </c>
      <c r="M552">
        <v>76</v>
      </c>
      <c r="N552">
        <v>0</v>
      </c>
      <c r="O552">
        <v>76</v>
      </c>
      <c r="P552">
        <v>0</v>
      </c>
    </row>
    <row r="553" spans="1:16" x14ac:dyDescent="0.25">
      <c r="A553">
        <v>22400000181001</v>
      </c>
      <c r="B553" t="str">
        <f>"2240000018"</f>
        <v>2240000018</v>
      </c>
      <c r="C553" t="s">
        <v>68</v>
      </c>
      <c r="D553" t="str">
        <f>"1001"</f>
        <v>1001</v>
      </c>
      <c r="E553" t="s">
        <v>42</v>
      </c>
      <c r="F553" t="s">
        <v>8</v>
      </c>
      <c r="G553" t="s">
        <v>47094</v>
      </c>
      <c r="H553" t="s">
        <v>47054</v>
      </c>
      <c r="I553" t="s">
        <v>47111</v>
      </c>
      <c r="J553" t="s">
        <v>47112</v>
      </c>
      <c r="K553" t="s">
        <v>47113</v>
      </c>
      <c r="L553">
        <v>34.92</v>
      </c>
      <c r="M553">
        <v>76</v>
      </c>
      <c r="N553">
        <v>0</v>
      </c>
      <c r="O553">
        <v>76</v>
      </c>
      <c r="P553">
        <v>0</v>
      </c>
    </row>
    <row r="554" spans="1:16" x14ac:dyDescent="0.25">
      <c r="A554">
        <v>22400000184101</v>
      </c>
      <c r="B554" t="str">
        <f>"2240000018"</f>
        <v>2240000018</v>
      </c>
      <c r="C554" t="s">
        <v>68</v>
      </c>
      <c r="D554" t="str">
        <f>"4101"</f>
        <v>4101</v>
      </c>
      <c r="E554" t="s">
        <v>43</v>
      </c>
      <c r="F554" t="s">
        <v>8</v>
      </c>
      <c r="G554" t="s">
        <v>47094</v>
      </c>
      <c r="H554" t="s">
        <v>47054</v>
      </c>
      <c r="I554" t="s">
        <v>47111</v>
      </c>
      <c r="J554" t="s">
        <v>47112</v>
      </c>
      <c r="K554" t="s">
        <v>47113</v>
      </c>
      <c r="L554">
        <v>34.06</v>
      </c>
      <c r="M554">
        <v>76</v>
      </c>
      <c r="N554">
        <v>0</v>
      </c>
      <c r="O554">
        <v>76</v>
      </c>
      <c r="P554">
        <v>0</v>
      </c>
    </row>
    <row r="555" spans="1:16" x14ac:dyDescent="0.25">
      <c r="A555">
        <v>22400000185202</v>
      </c>
      <c r="B555" t="str">
        <f>"2240000018"</f>
        <v>2240000018</v>
      </c>
      <c r="C555" t="s">
        <v>68</v>
      </c>
      <c r="D555" t="str">
        <f>"5202"</f>
        <v>5202</v>
      </c>
      <c r="E555" t="s">
        <v>44</v>
      </c>
      <c r="F555" t="s">
        <v>8</v>
      </c>
      <c r="G555" t="s">
        <v>47094</v>
      </c>
      <c r="H555" t="s">
        <v>47054</v>
      </c>
      <c r="I555" t="s">
        <v>47111</v>
      </c>
      <c r="J555" t="s">
        <v>47112</v>
      </c>
      <c r="K555" t="s">
        <v>47113</v>
      </c>
      <c r="L555">
        <v>34.92</v>
      </c>
      <c r="M555">
        <v>76</v>
      </c>
      <c r="N555">
        <v>0</v>
      </c>
      <c r="O555">
        <v>76</v>
      </c>
      <c r="P555">
        <v>0</v>
      </c>
    </row>
    <row r="556" spans="1:16" x14ac:dyDescent="0.25">
      <c r="A556">
        <v>22400000191003</v>
      </c>
      <c r="B556" t="str">
        <f>"2240000019"</f>
        <v>2240000019</v>
      </c>
      <c r="C556" t="s">
        <v>1994</v>
      </c>
      <c r="D556" t="str">
        <f>"1003"</f>
        <v>1003</v>
      </c>
      <c r="E556" t="s">
        <v>773</v>
      </c>
      <c r="F556" t="s">
        <v>52</v>
      </c>
      <c r="G556" t="s">
        <v>47094</v>
      </c>
      <c r="H556" t="s">
        <v>47054</v>
      </c>
      <c r="I556" t="s">
        <v>47114</v>
      </c>
      <c r="J556" t="s">
        <v>47115</v>
      </c>
      <c r="K556" t="s">
        <v>47113</v>
      </c>
      <c r="L556">
        <v>42.47</v>
      </c>
      <c r="M556">
        <v>94</v>
      </c>
      <c r="N556">
        <v>0</v>
      </c>
      <c r="O556">
        <v>94</v>
      </c>
      <c r="P556">
        <v>0</v>
      </c>
    </row>
    <row r="557" spans="1:16" x14ac:dyDescent="0.25">
      <c r="A557">
        <v>22400000201003</v>
      </c>
      <c r="B557" t="str">
        <f>"2240000020"</f>
        <v>2240000020</v>
      </c>
      <c r="C557" t="s">
        <v>1995</v>
      </c>
      <c r="D557" t="str">
        <f>"1003"</f>
        <v>1003</v>
      </c>
      <c r="E557" t="s">
        <v>773</v>
      </c>
      <c r="F557" t="s">
        <v>52</v>
      </c>
      <c r="G557" t="s">
        <v>47094</v>
      </c>
      <c r="H557" t="s">
        <v>47054</v>
      </c>
      <c r="I557" t="s">
        <v>47111</v>
      </c>
      <c r="J557" t="s">
        <v>47112</v>
      </c>
      <c r="K557" t="s">
        <v>47113</v>
      </c>
      <c r="L557">
        <v>42.47</v>
      </c>
      <c r="M557">
        <v>98</v>
      </c>
      <c r="N557">
        <v>0</v>
      </c>
      <c r="O557">
        <v>98</v>
      </c>
      <c r="P557">
        <v>0</v>
      </c>
    </row>
    <row r="558" spans="1:16" x14ac:dyDescent="0.25">
      <c r="A558">
        <v>22400000201306</v>
      </c>
      <c r="B558" t="str">
        <f>"2240000020"</f>
        <v>2240000020</v>
      </c>
      <c r="C558" t="s">
        <v>1995</v>
      </c>
      <c r="D558" t="str">
        <f>"1306"</f>
        <v>1306</v>
      </c>
      <c r="E558" t="s">
        <v>1937</v>
      </c>
      <c r="F558" t="s">
        <v>52</v>
      </c>
      <c r="G558" t="s">
        <v>47094</v>
      </c>
      <c r="H558" t="s">
        <v>47054</v>
      </c>
      <c r="I558" t="s">
        <v>47111</v>
      </c>
      <c r="J558" t="s">
        <v>47112</v>
      </c>
      <c r="K558" t="s">
        <v>47113</v>
      </c>
      <c r="L558">
        <v>42.47</v>
      </c>
      <c r="M558">
        <v>98</v>
      </c>
      <c r="N558">
        <v>0</v>
      </c>
      <c r="O558">
        <v>98</v>
      </c>
      <c r="P558">
        <v>0</v>
      </c>
    </row>
    <row r="559" spans="1:16" x14ac:dyDescent="0.25">
      <c r="A559">
        <v>22400000203190</v>
      </c>
      <c r="B559" t="str">
        <f>"2240000020"</f>
        <v>2240000020</v>
      </c>
      <c r="C559" t="s">
        <v>1995</v>
      </c>
      <c r="D559" t="str">
        <f>"3190"</f>
        <v>3190</v>
      </c>
      <c r="E559" t="s">
        <v>1748</v>
      </c>
      <c r="F559" t="s">
        <v>52</v>
      </c>
      <c r="G559" t="s">
        <v>47094</v>
      </c>
      <c r="H559" t="s">
        <v>47054</v>
      </c>
      <c r="I559" t="s">
        <v>47111</v>
      </c>
      <c r="J559" t="s">
        <v>47112</v>
      </c>
      <c r="K559" t="s">
        <v>47113</v>
      </c>
      <c r="L559">
        <v>42.47</v>
      </c>
      <c r="M559">
        <v>104</v>
      </c>
      <c r="N559">
        <v>0</v>
      </c>
      <c r="O559">
        <v>104</v>
      </c>
      <c r="P559">
        <v>0</v>
      </c>
    </row>
    <row r="560" spans="1:16" x14ac:dyDescent="0.25">
      <c r="A560">
        <v>22400000231700</v>
      </c>
      <c r="B560" t="str">
        <f>"2240000023"</f>
        <v>2240000023</v>
      </c>
      <c r="C560" t="s">
        <v>69</v>
      </c>
      <c r="D560" t="str">
        <f>"1700"</f>
        <v>1700</v>
      </c>
      <c r="E560" t="s">
        <v>60</v>
      </c>
      <c r="F560" t="s">
        <v>56</v>
      </c>
      <c r="G560" t="s">
        <v>47094</v>
      </c>
      <c r="H560" t="s">
        <v>47054</v>
      </c>
      <c r="I560" t="s">
        <v>47116</v>
      </c>
      <c r="J560" t="s">
        <v>47117</v>
      </c>
      <c r="K560" t="s">
        <v>47113</v>
      </c>
      <c r="L560">
        <v>31.21</v>
      </c>
      <c r="M560">
        <v>84</v>
      </c>
      <c r="N560">
        <v>0</v>
      </c>
      <c r="O560">
        <v>84</v>
      </c>
      <c r="P560">
        <v>0</v>
      </c>
    </row>
    <row r="561" spans="1:16" x14ac:dyDescent="0.25">
      <c r="A561">
        <v>22400000241202</v>
      </c>
      <c r="B561" t="str">
        <f>"2240000024"</f>
        <v>2240000024</v>
      </c>
      <c r="C561" t="s">
        <v>69</v>
      </c>
      <c r="D561" t="str">
        <f>"1202"</f>
        <v>1202</v>
      </c>
      <c r="E561" t="s">
        <v>1834</v>
      </c>
      <c r="F561" t="s">
        <v>56</v>
      </c>
      <c r="G561" t="s">
        <v>47094</v>
      </c>
      <c r="H561" t="s">
        <v>47054</v>
      </c>
      <c r="I561" t="s">
        <v>47111</v>
      </c>
      <c r="J561" t="s">
        <v>47112</v>
      </c>
      <c r="K561" t="s">
        <v>47113</v>
      </c>
      <c r="L561">
        <v>31.21</v>
      </c>
      <c r="M561">
        <v>94</v>
      </c>
      <c r="N561">
        <v>0</v>
      </c>
      <c r="O561">
        <v>94</v>
      </c>
      <c r="P561">
        <v>0</v>
      </c>
    </row>
    <row r="562" spans="1:16" x14ac:dyDescent="0.25">
      <c r="A562">
        <v>22400000244207</v>
      </c>
      <c r="B562" t="str">
        <f>"2240000024"</f>
        <v>2240000024</v>
      </c>
      <c r="C562" t="s">
        <v>69</v>
      </c>
      <c r="D562" t="str">
        <f>"4207"</f>
        <v>4207</v>
      </c>
      <c r="E562" t="s">
        <v>51</v>
      </c>
      <c r="F562" t="s">
        <v>56</v>
      </c>
      <c r="G562" t="s">
        <v>47094</v>
      </c>
      <c r="H562" t="s">
        <v>47054</v>
      </c>
      <c r="I562" t="s">
        <v>47111</v>
      </c>
      <c r="J562" t="s">
        <v>47112</v>
      </c>
      <c r="K562" t="s">
        <v>47113</v>
      </c>
      <c r="L562">
        <v>31.21</v>
      </c>
      <c r="M562">
        <v>94</v>
      </c>
      <c r="N562">
        <v>0</v>
      </c>
      <c r="O562">
        <v>94</v>
      </c>
      <c r="P562">
        <v>0</v>
      </c>
    </row>
    <row r="563" spans="1:16" x14ac:dyDescent="0.25">
      <c r="A563">
        <v>22400000245101</v>
      </c>
      <c r="B563" t="str">
        <f>"2240000024"</f>
        <v>2240000024</v>
      </c>
      <c r="C563" t="s">
        <v>69</v>
      </c>
      <c r="D563" t="str">
        <f>"5101"</f>
        <v>5101</v>
      </c>
      <c r="E563" t="s">
        <v>70</v>
      </c>
      <c r="F563" t="s">
        <v>56</v>
      </c>
      <c r="G563" t="s">
        <v>47094</v>
      </c>
      <c r="H563" t="s">
        <v>47054</v>
      </c>
      <c r="I563" t="s">
        <v>47111</v>
      </c>
      <c r="J563" t="s">
        <v>47112</v>
      </c>
      <c r="K563" t="s">
        <v>47113</v>
      </c>
      <c r="L563">
        <v>41.53</v>
      </c>
      <c r="M563">
        <v>94</v>
      </c>
      <c r="N563">
        <v>0</v>
      </c>
      <c r="O563">
        <v>94</v>
      </c>
      <c r="P563">
        <v>0</v>
      </c>
    </row>
    <row r="564" spans="1:16" x14ac:dyDescent="0.25">
      <c r="A564">
        <v>22400000245301</v>
      </c>
      <c r="B564" t="str">
        <f>"2240000024"</f>
        <v>2240000024</v>
      </c>
      <c r="C564" t="s">
        <v>69</v>
      </c>
      <c r="D564" t="str">
        <f>"5301"</f>
        <v>5301</v>
      </c>
      <c r="E564" t="s">
        <v>1940</v>
      </c>
      <c r="F564" t="s">
        <v>56</v>
      </c>
      <c r="G564" t="s">
        <v>47094</v>
      </c>
      <c r="H564" t="s">
        <v>47054</v>
      </c>
      <c r="I564" t="s">
        <v>47111</v>
      </c>
      <c r="J564" t="s">
        <v>47112</v>
      </c>
      <c r="K564" t="s">
        <v>47113</v>
      </c>
      <c r="L564">
        <v>31.21</v>
      </c>
      <c r="M564">
        <v>94</v>
      </c>
      <c r="N564">
        <v>0</v>
      </c>
      <c r="O564">
        <v>94</v>
      </c>
      <c r="P564">
        <v>0</v>
      </c>
    </row>
    <row r="565" spans="1:16" x14ac:dyDescent="0.25">
      <c r="A565">
        <v>22400000321501</v>
      </c>
      <c r="B565" t="str">
        <f>"2240000032"</f>
        <v>2240000032</v>
      </c>
      <c r="C565" t="s">
        <v>1996</v>
      </c>
      <c r="D565" t="str">
        <f>"1501"</f>
        <v>1501</v>
      </c>
      <c r="E565" t="s">
        <v>46</v>
      </c>
      <c r="F565" t="s">
        <v>8</v>
      </c>
      <c r="G565" t="s">
        <v>47094</v>
      </c>
      <c r="H565" t="s">
        <v>47054</v>
      </c>
      <c r="I565" t="s">
        <v>47111</v>
      </c>
      <c r="J565" t="s">
        <v>47112</v>
      </c>
      <c r="K565" t="s">
        <v>47113</v>
      </c>
      <c r="L565">
        <v>32.909999999999997</v>
      </c>
      <c r="M565">
        <v>76</v>
      </c>
      <c r="N565">
        <v>0</v>
      </c>
      <c r="O565">
        <v>76</v>
      </c>
      <c r="P565">
        <v>0</v>
      </c>
    </row>
    <row r="566" spans="1:16" x14ac:dyDescent="0.25">
      <c r="A566">
        <v>22400000331501</v>
      </c>
      <c r="B566" t="str">
        <f>"2240000033"</f>
        <v>2240000033</v>
      </c>
      <c r="C566" t="s">
        <v>1997</v>
      </c>
      <c r="D566" t="str">
        <f>"1501"</f>
        <v>1501</v>
      </c>
      <c r="E566" t="s">
        <v>46</v>
      </c>
      <c r="F566" t="s">
        <v>52</v>
      </c>
      <c r="G566" t="s">
        <v>47094</v>
      </c>
      <c r="H566" t="s">
        <v>47054</v>
      </c>
      <c r="I566" t="s">
        <v>47111</v>
      </c>
      <c r="J566" t="s">
        <v>47112</v>
      </c>
      <c r="K566" t="s">
        <v>47113</v>
      </c>
      <c r="L566">
        <v>41.04</v>
      </c>
      <c r="M566">
        <v>91</v>
      </c>
      <c r="N566">
        <v>0</v>
      </c>
      <c r="O566">
        <v>91</v>
      </c>
      <c r="P566">
        <v>0</v>
      </c>
    </row>
    <row r="567" spans="1:16" x14ac:dyDescent="0.25">
      <c r="A567">
        <v>22400000341501</v>
      </c>
      <c r="B567" t="str">
        <f>"2240000034"</f>
        <v>2240000034</v>
      </c>
      <c r="C567" t="s">
        <v>1995</v>
      </c>
      <c r="D567" t="str">
        <f>"1501"</f>
        <v>1501</v>
      </c>
      <c r="E567" t="s">
        <v>46</v>
      </c>
      <c r="F567" t="s">
        <v>52</v>
      </c>
      <c r="G567" t="s">
        <v>47094</v>
      </c>
      <c r="H567" t="s">
        <v>47054</v>
      </c>
      <c r="I567" t="s">
        <v>47111</v>
      </c>
      <c r="J567" t="s">
        <v>47112</v>
      </c>
      <c r="K567" t="s">
        <v>47113</v>
      </c>
      <c r="L567">
        <v>40.6</v>
      </c>
      <c r="M567">
        <v>98</v>
      </c>
      <c r="N567">
        <v>0</v>
      </c>
      <c r="O567">
        <v>98</v>
      </c>
      <c r="P567">
        <v>0</v>
      </c>
    </row>
    <row r="568" spans="1:16" x14ac:dyDescent="0.25">
      <c r="A568">
        <v>22500000041800</v>
      </c>
      <c r="B568" t="str">
        <f>"2250000004"</f>
        <v>2250000004</v>
      </c>
      <c r="C568" t="s">
        <v>1998</v>
      </c>
      <c r="D568" t="str">
        <f>"1800"</f>
        <v>1800</v>
      </c>
      <c r="E568" t="s">
        <v>1999</v>
      </c>
      <c r="F568" t="s">
        <v>56</v>
      </c>
      <c r="G568" t="s">
        <v>47092</v>
      </c>
      <c r="H568" t="s">
        <v>47054</v>
      </c>
      <c r="I568" t="s">
        <v>47114</v>
      </c>
      <c r="J568" t="s">
        <v>47115</v>
      </c>
      <c r="K568" t="s">
        <v>47113</v>
      </c>
      <c r="L568">
        <v>9.1300000000000008</v>
      </c>
      <c r="M568">
        <v>23</v>
      </c>
      <c r="N568">
        <v>0</v>
      </c>
      <c r="O568">
        <v>23</v>
      </c>
      <c r="P568">
        <v>0</v>
      </c>
    </row>
    <row r="569" spans="1:16" x14ac:dyDescent="0.25">
      <c r="A569">
        <v>22500000061700</v>
      </c>
      <c r="B569" t="str">
        <f>"2250000006"</f>
        <v>2250000006</v>
      </c>
      <c r="C569" t="s">
        <v>2000</v>
      </c>
      <c r="D569" t="str">
        <f>"1700"</f>
        <v>1700</v>
      </c>
      <c r="E569" t="s">
        <v>60</v>
      </c>
      <c r="F569" t="s">
        <v>56</v>
      </c>
      <c r="G569" t="s">
        <v>47092</v>
      </c>
      <c r="H569" t="s">
        <v>47054</v>
      </c>
      <c r="I569" t="s">
        <v>47114</v>
      </c>
      <c r="J569" t="s">
        <v>47115</v>
      </c>
      <c r="K569" t="s">
        <v>47113</v>
      </c>
      <c r="L569">
        <v>8.56</v>
      </c>
      <c r="M569">
        <v>22</v>
      </c>
      <c r="N569">
        <v>0</v>
      </c>
      <c r="O569">
        <v>22</v>
      </c>
      <c r="P569">
        <v>0</v>
      </c>
    </row>
    <row r="570" spans="1:16" x14ac:dyDescent="0.25">
      <c r="A570">
        <v>22500000111701</v>
      </c>
      <c r="B570" t="str">
        <f>"2250000011"</f>
        <v>2250000011</v>
      </c>
      <c r="C570" t="s">
        <v>2001</v>
      </c>
      <c r="D570" t="str">
        <f>"1701"</f>
        <v>1701</v>
      </c>
      <c r="E570" t="s">
        <v>55</v>
      </c>
      <c r="F570" t="s">
        <v>56</v>
      </c>
      <c r="G570" t="s">
        <v>47092</v>
      </c>
      <c r="H570" t="s">
        <v>47054</v>
      </c>
      <c r="I570" t="s">
        <v>47114</v>
      </c>
      <c r="J570" t="s">
        <v>47115</v>
      </c>
      <c r="K570" t="s">
        <v>47113</v>
      </c>
      <c r="L570">
        <v>9.52</v>
      </c>
      <c r="M570">
        <v>24</v>
      </c>
      <c r="N570">
        <v>0</v>
      </c>
      <c r="O570">
        <v>24</v>
      </c>
      <c r="P570">
        <v>0</v>
      </c>
    </row>
    <row r="571" spans="1:16" x14ac:dyDescent="0.25">
      <c r="A571">
        <v>22500000116807</v>
      </c>
      <c r="B571" t="str">
        <f>"2250000011"</f>
        <v>2250000011</v>
      </c>
      <c r="C571" t="s">
        <v>2001</v>
      </c>
      <c r="D571" t="str">
        <f>"6807"</f>
        <v>6807</v>
      </c>
      <c r="E571" t="s">
        <v>1958</v>
      </c>
      <c r="F571" t="s">
        <v>56</v>
      </c>
      <c r="G571" t="s">
        <v>47092</v>
      </c>
      <c r="H571" t="s">
        <v>47054</v>
      </c>
      <c r="I571" t="s">
        <v>47114</v>
      </c>
      <c r="J571" t="s">
        <v>47115</v>
      </c>
      <c r="K571" t="s">
        <v>47113</v>
      </c>
      <c r="L571">
        <v>9.52</v>
      </c>
      <c r="M571">
        <v>24</v>
      </c>
      <c r="N571">
        <v>0</v>
      </c>
      <c r="O571">
        <v>24</v>
      </c>
      <c r="P571">
        <v>0</v>
      </c>
    </row>
    <row r="572" spans="1:16" x14ac:dyDescent="0.25">
      <c r="A572">
        <v>22500000117405</v>
      </c>
      <c r="B572" t="str">
        <f>"2250000011"</f>
        <v>2250000011</v>
      </c>
      <c r="C572" t="s">
        <v>2001</v>
      </c>
      <c r="D572" t="str">
        <f>"7405"</f>
        <v>7405</v>
      </c>
      <c r="E572" t="s">
        <v>1946</v>
      </c>
      <c r="F572" t="s">
        <v>56</v>
      </c>
      <c r="G572" t="s">
        <v>47092</v>
      </c>
      <c r="H572" t="s">
        <v>47054</v>
      </c>
      <c r="I572" t="s">
        <v>47114</v>
      </c>
      <c r="J572" t="s">
        <v>47115</v>
      </c>
      <c r="K572" t="s">
        <v>47113</v>
      </c>
      <c r="L572">
        <v>9.52</v>
      </c>
      <c r="M572">
        <v>24</v>
      </c>
      <c r="N572">
        <v>0</v>
      </c>
      <c r="O572">
        <v>24</v>
      </c>
      <c r="P572">
        <v>0</v>
      </c>
    </row>
    <row r="573" spans="1:16" x14ac:dyDescent="0.25">
      <c r="A573">
        <v>22500000171001</v>
      </c>
      <c r="B573" t="str">
        <f>"2250000017"</f>
        <v>2250000017</v>
      </c>
      <c r="C573" t="s">
        <v>2002</v>
      </c>
      <c r="D573" t="str">
        <f>"1001"</f>
        <v>1001</v>
      </c>
      <c r="E573" t="s">
        <v>42</v>
      </c>
      <c r="F573" t="s">
        <v>58</v>
      </c>
      <c r="G573" t="s">
        <v>47092</v>
      </c>
      <c r="H573" t="s">
        <v>47054</v>
      </c>
      <c r="I573" t="s">
        <v>47124</v>
      </c>
      <c r="J573" t="s">
        <v>47125</v>
      </c>
      <c r="K573" t="s">
        <v>47113</v>
      </c>
      <c r="L573">
        <v>14.97</v>
      </c>
      <c r="M573">
        <v>30</v>
      </c>
      <c r="N573">
        <v>0</v>
      </c>
      <c r="O573">
        <v>30</v>
      </c>
      <c r="P573">
        <v>0</v>
      </c>
    </row>
    <row r="574" spans="1:16" x14ac:dyDescent="0.25">
      <c r="A574">
        <v>22500000171700</v>
      </c>
      <c r="B574" t="str">
        <f>"2250000017"</f>
        <v>2250000017</v>
      </c>
      <c r="C574" t="s">
        <v>2002</v>
      </c>
      <c r="D574" t="str">
        <f>"1700"</f>
        <v>1700</v>
      </c>
      <c r="E574" t="s">
        <v>60</v>
      </c>
      <c r="F574" t="s">
        <v>58</v>
      </c>
      <c r="G574" t="s">
        <v>47092</v>
      </c>
      <c r="H574" t="s">
        <v>47054</v>
      </c>
      <c r="I574" t="s">
        <v>47124</v>
      </c>
      <c r="J574" t="s">
        <v>47125</v>
      </c>
      <c r="K574" t="s">
        <v>47113</v>
      </c>
      <c r="L574">
        <v>14.21</v>
      </c>
      <c r="M574">
        <v>35</v>
      </c>
      <c r="N574">
        <v>0</v>
      </c>
      <c r="O574">
        <v>35</v>
      </c>
      <c r="P574">
        <v>0</v>
      </c>
    </row>
    <row r="575" spans="1:16" x14ac:dyDescent="0.25">
      <c r="A575">
        <v>22500000174201</v>
      </c>
      <c r="B575" t="str">
        <f>"2250000017"</f>
        <v>2250000017</v>
      </c>
      <c r="C575" t="s">
        <v>2002</v>
      </c>
      <c r="D575" t="str">
        <f>"4201"</f>
        <v>4201</v>
      </c>
      <c r="E575" t="s">
        <v>1855</v>
      </c>
      <c r="F575" t="s">
        <v>8</v>
      </c>
      <c r="G575" t="s">
        <v>47092</v>
      </c>
      <c r="H575" t="s">
        <v>47054</v>
      </c>
      <c r="I575" t="s">
        <v>47124</v>
      </c>
      <c r="J575" t="s">
        <v>47125</v>
      </c>
      <c r="K575" t="s">
        <v>47113</v>
      </c>
      <c r="L575">
        <v>14.97</v>
      </c>
      <c r="M575">
        <v>30</v>
      </c>
      <c r="N575">
        <v>0</v>
      </c>
      <c r="O575">
        <v>30</v>
      </c>
      <c r="P575">
        <v>0</v>
      </c>
    </row>
    <row r="576" spans="1:16" x14ac:dyDescent="0.25">
      <c r="A576">
        <v>22500000174542</v>
      </c>
      <c r="B576" t="str">
        <f>"2250000017"</f>
        <v>2250000017</v>
      </c>
      <c r="C576" t="s">
        <v>2002</v>
      </c>
      <c r="D576" t="str">
        <f>"4542"</f>
        <v>4542</v>
      </c>
      <c r="E576" t="s">
        <v>220</v>
      </c>
      <c r="F576" t="s">
        <v>56</v>
      </c>
      <c r="G576" t="s">
        <v>47092</v>
      </c>
      <c r="H576" t="s">
        <v>47054</v>
      </c>
      <c r="I576" t="s">
        <v>47124</v>
      </c>
      <c r="J576" t="s">
        <v>47125</v>
      </c>
      <c r="K576" t="s">
        <v>47113</v>
      </c>
      <c r="L576">
        <v>15.09</v>
      </c>
      <c r="M576">
        <v>38</v>
      </c>
      <c r="N576">
        <v>0</v>
      </c>
      <c r="O576">
        <v>38</v>
      </c>
      <c r="P576">
        <v>0</v>
      </c>
    </row>
    <row r="577" spans="1:16" x14ac:dyDescent="0.25">
      <c r="A577">
        <v>22500000175202</v>
      </c>
      <c r="B577" t="str">
        <f>"2250000017"</f>
        <v>2250000017</v>
      </c>
      <c r="C577" t="s">
        <v>2002</v>
      </c>
      <c r="D577" t="str">
        <f>"5202"</f>
        <v>5202</v>
      </c>
      <c r="E577" t="s">
        <v>44</v>
      </c>
      <c r="F577" t="s">
        <v>8</v>
      </c>
      <c r="G577" t="s">
        <v>47092</v>
      </c>
      <c r="H577" t="s">
        <v>47054</v>
      </c>
      <c r="I577" t="s">
        <v>47124</v>
      </c>
      <c r="J577" t="s">
        <v>47125</v>
      </c>
      <c r="K577" t="s">
        <v>47113</v>
      </c>
      <c r="L577">
        <v>14.97</v>
      </c>
      <c r="M577">
        <v>30</v>
      </c>
      <c r="N577">
        <v>0</v>
      </c>
      <c r="O577">
        <v>30</v>
      </c>
      <c r="P577">
        <v>0</v>
      </c>
    </row>
    <row r="578" spans="1:16" x14ac:dyDescent="0.25">
      <c r="A578">
        <v>22500000204542</v>
      </c>
      <c r="B578" t="str">
        <f>"2250000020"</f>
        <v>2250000020</v>
      </c>
      <c r="C578" t="s">
        <v>2003</v>
      </c>
      <c r="D578" t="str">
        <f>"4542"</f>
        <v>4542</v>
      </c>
      <c r="E578" t="s">
        <v>220</v>
      </c>
      <c r="F578" t="s">
        <v>56</v>
      </c>
      <c r="G578" t="s">
        <v>47092</v>
      </c>
      <c r="H578" t="s">
        <v>47054</v>
      </c>
      <c r="I578" t="s">
        <v>47114</v>
      </c>
      <c r="J578" t="s">
        <v>47115</v>
      </c>
      <c r="K578" t="s">
        <v>47113</v>
      </c>
      <c r="L578">
        <v>13.58</v>
      </c>
      <c r="M578">
        <v>33</v>
      </c>
      <c r="N578">
        <v>0</v>
      </c>
      <c r="O578">
        <v>33</v>
      </c>
      <c r="P578">
        <v>0</v>
      </c>
    </row>
    <row r="579" spans="1:16" x14ac:dyDescent="0.25">
      <c r="A579">
        <v>22500000205109</v>
      </c>
      <c r="B579" t="str">
        <f>"2250000020"</f>
        <v>2250000020</v>
      </c>
      <c r="C579" t="s">
        <v>2003</v>
      </c>
      <c r="D579" t="str">
        <f>"5109"</f>
        <v>5109</v>
      </c>
      <c r="E579" t="s">
        <v>769</v>
      </c>
      <c r="F579" t="s">
        <v>56</v>
      </c>
      <c r="G579" t="s">
        <v>47092</v>
      </c>
      <c r="H579" t="s">
        <v>47054</v>
      </c>
      <c r="I579" t="s">
        <v>47114</v>
      </c>
      <c r="J579" t="s">
        <v>47115</v>
      </c>
      <c r="K579" t="s">
        <v>47113</v>
      </c>
      <c r="L579">
        <v>13.58</v>
      </c>
      <c r="M579">
        <v>33</v>
      </c>
      <c r="N579">
        <v>0</v>
      </c>
      <c r="O579">
        <v>33</v>
      </c>
      <c r="P579">
        <v>0</v>
      </c>
    </row>
    <row r="580" spans="1:16" x14ac:dyDescent="0.25">
      <c r="A580">
        <v>22500000205301</v>
      </c>
      <c r="B580" t="str">
        <f>"2250000020"</f>
        <v>2250000020</v>
      </c>
      <c r="C580" t="s">
        <v>2003</v>
      </c>
      <c r="D580" t="str">
        <f>"5301"</f>
        <v>5301</v>
      </c>
      <c r="E580" t="s">
        <v>1940</v>
      </c>
      <c r="F580" t="s">
        <v>56</v>
      </c>
      <c r="G580" t="s">
        <v>47092</v>
      </c>
      <c r="H580" t="s">
        <v>47054</v>
      </c>
      <c r="I580" t="s">
        <v>47114</v>
      </c>
      <c r="J580" t="s">
        <v>47115</v>
      </c>
      <c r="K580" t="s">
        <v>47113</v>
      </c>
      <c r="L580">
        <v>13.58</v>
      </c>
      <c r="M580">
        <v>33</v>
      </c>
      <c r="N580">
        <v>0</v>
      </c>
      <c r="O580">
        <v>33</v>
      </c>
      <c r="P580">
        <v>0</v>
      </c>
    </row>
    <row r="581" spans="1:16" x14ac:dyDescent="0.25">
      <c r="A581">
        <v>22500000206807</v>
      </c>
      <c r="B581" t="str">
        <f>"2250000020"</f>
        <v>2250000020</v>
      </c>
      <c r="C581" t="s">
        <v>2003</v>
      </c>
      <c r="D581" t="str">
        <f>"6807"</f>
        <v>6807</v>
      </c>
      <c r="E581" t="s">
        <v>1958</v>
      </c>
      <c r="F581" t="s">
        <v>56</v>
      </c>
      <c r="G581" t="s">
        <v>47092</v>
      </c>
      <c r="H581" t="s">
        <v>47054</v>
      </c>
      <c r="I581" t="s">
        <v>47114</v>
      </c>
      <c r="J581" t="s">
        <v>47115</v>
      </c>
      <c r="K581" t="s">
        <v>47113</v>
      </c>
      <c r="L581">
        <v>13.58</v>
      </c>
      <c r="M581">
        <v>33</v>
      </c>
      <c r="N581">
        <v>0</v>
      </c>
      <c r="O581">
        <v>33</v>
      </c>
      <c r="P581">
        <v>0</v>
      </c>
    </row>
    <row r="582" spans="1:16" x14ac:dyDescent="0.25">
      <c r="A582" t="s">
        <v>23111</v>
      </c>
      <c r="B582" t="s">
        <v>2004</v>
      </c>
      <c r="C582" t="s">
        <v>2005</v>
      </c>
      <c r="D582" t="s">
        <v>2006</v>
      </c>
      <c r="E582" t="s">
        <v>2007</v>
      </c>
      <c r="F582" t="s">
        <v>687</v>
      </c>
      <c r="G582" t="s">
        <v>16231</v>
      </c>
      <c r="H582" t="s">
        <v>47054</v>
      </c>
      <c r="I582" t="s">
        <v>47111</v>
      </c>
      <c r="J582" t="s">
        <v>47112</v>
      </c>
      <c r="K582" t="s">
        <v>47113</v>
      </c>
      <c r="L582">
        <v>50.71</v>
      </c>
      <c r="M582">
        <v>113</v>
      </c>
      <c r="N582">
        <v>0</v>
      </c>
      <c r="O582">
        <v>113</v>
      </c>
      <c r="P582">
        <v>0</v>
      </c>
    </row>
    <row r="583" spans="1:16" x14ac:dyDescent="0.25">
      <c r="A583" t="s">
        <v>23112</v>
      </c>
      <c r="B583" t="s">
        <v>2008</v>
      </c>
      <c r="C583" t="s">
        <v>2009</v>
      </c>
      <c r="D583" t="s">
        <v>2010</v>
      </c>
      <c r="E583" t="s">
        <v>2011</v>
      </c>
      <c r="F583" t="s">
        <v>1401</v>
      </c>
      <c r="G583" t="s">
        <v>16231</v>
      </c>
      <c r="H583" t="s">
        <v>47054</v>
      </c>
      <c r="I583" t="s">
        <v>47111</v>
      </c>
      <c r="J583" t="s">
        <v>47112</v>
      </c>
      <c r="K583" t="s">
        <v>47113</v>
      </c>
      <c r="L583">
        <v>50.98</v>
      </c>
      <c r="M583">
        <v>114</v>
      </c>
      <c r="N583">
        <v>0</v>
      </c>
      <c r="O583">
        <v>114</v>
      </c>
      <c r="P583">
        <v>0</v>
      </c>
    </row>
    <row r="584" spans="1:16" x14ac:dyDescent="0.25">
      <c r="A584" t="s">
        <v>23113</v>
      </c>
      <c r="B584" t="s">
        <v>2012</v>
      </c>
      <c r="C584" t="s">
        <v>2005</v>
      </c>
      <c r="D584" t="str">
        <f>"1061"</f>
        <v>1061</v>
      </c>
      <c r="E584" t="s">
        <v>2013</v>
      </c>
      <c r="F584" t="s">
        <v>7</v>
      </c>
      <c r="G584" t="s">
        <v>16231</v>
      </c>
      <c r="H584" t="s">
        <v>47054</v>
      </c>
      <c r="I584" t="s">
        <v>47111</v>
      </c>
      <c r="J584" t="s">
        <v>47112</v>
      </c>
      <c r="K584" t="s">
        <v>47113</v>
      </c>
      <c r="L584">
        <v>63.28</v>
      </c>
      <c r="M584">
        <v>138</v>
      </c>
      <c r="N584">
        <v>0</v>
      </c>
      <c r="O584">
        <v>138</v>
      </c>
      <c r="P584">
        <v>0</v>
      </c>
    </row>
    <row r="585" spans="1:16" x14ac:dyDescent="0.25">
      <c r="A585" t="s">
        <v>23114</v>
      </c>
      <c r="B585" t="s">
        <v>2012</v>
      </c>
      <c r="C585" t="s">
        <v>2005</v>
      </c>
      <c r="D585" t="str">
        <f>"1129"</f>
        <v>1129</v>
      </c>
      <c r="E585" t="s">
        <v>2014</v>
      </c>
      <c r="F585" t="s">
        <v>7</v>
      </c>
      <c r="G585" t="s">
        <v>16231</v>
      </c>
      <c r="H585" t="s">
        <v>47054</v>
      </c>
      <c r="I585" t="s">
        <v>47111</v>
      </c>
      <c r="J585" t="s">
        <v>47112</v>
      </c>
      <c r="K585" t="s">
        <v>47113</v>
      </c>
      <c r="L585">
        <v>63.28</v>
      </c>
      <c r="M585">
        <v>154</v>
      </c>
      <c r="N585">
        <v>0</v>
      </c>
      <c r="O585">
        <v>154</v>
      </c>
      <c r="P585">
        <v>0</v>
      </c>
    </row>
    <row r="586" spans="1:16" x14ac:dyDescent="0.25">
      <c r="A586" t="s">
        <v>23115</v>
      </c>
      <c r="B586" t="s">
        <v>2012</v>
      </c>
      <c r="C586" t="s">
        <v>2005</v>
      </c>
      <c r="D586" t="str">
        <f>"2128"</f>
        <v>2128</v>
      </c>
      <c r="E586" t="s">
        <v>2015</v>
      </c>
      <c r="F586" t="s">
        <v>7</v>
      </c>
      <c r="G586" t="s">
        <v>16231</v>
      </c>
      <c r="H586" t="s">
        <v>47054</v>
      </c>
      <c r="I586" t="s">
        <v>47111</v>
      </c>
      <c r="J586" t="s">
        <v>47112</v>
      </c>
      <c r="K586" t="s">
        <v>47113</v>
      </c>
      <c r="L586">
        <v>63.28</v>
      </c>
      <c r="M586">
        <v>154</v>
      </c>
      <c r="N586">
        <v>0</v>
      </c>
      <c r="O586">
        <v>154</v>
      </c>
      <c r="P586">
        <v>0</v>
      </c>
    </row>
    <row r="587" spans="1:16" x14ac:dyDescent="0.25">
      <c r="A587" t="s">
        <v>23116</v>
      </c>
      <c r="B587" t="s">
        <v>2012</v>
      </c>
      <c r="C587" t="s">
        <v>2005</v>
      </c>
      <c r="D587" t="str">
        <f>"2518"</f>
        <v>2518</v>
      </c>
      <c r="E587" t="s">
        <v>2016</v>
      </c>
      <c r="F587" t="s">
        <v>7</v>
      </c>
      <c r="G587" t="s">
        <v>16231</v>
      </c>
      <c r="H587" t="s">
        <v>47054</v>
      </c>
      <c r="I587" t="s">
        <v>47111</v>
      </c>
      <c r="J587" t="s">
        <v>47112</v>
      </c>
      <c r="K587" t="s">
        <v>47113</v>
      </c>
      <c r="L587">
        <v>63.28</v>
      </c>
      <c r="M587">
        <v>154</v>
      </c>
      <c r="N587">
        <v>0</v>
      </c>
      <c r="O587">
        <v>154</v>
      </c>
      <c r="P587">
        <v>0</v>
      </c>
    </row>
    <row r="588" spans="1:16" x14ac:dyDescent="0.25">
      <c r="A588" t="s">
        <v>23117</v>
      </c>
      <c r="B588" t="s">
        <v>2012</v>
      </c>
      <c r="C588" t="s">
        <v>2005</v>
      </c>
      <c r="D588" t="s">
        <v>721</v>
      </c>
      <c r="E588" t="s">
        <v>722</v>
      </c>
      <c r="F588" t="s">
        <v>687</v>
      </c>
      <c r="G588" t="s">
        <v>16231</v>
      </c>
      <c r="H588" t="s">
        <v>47054</v>
      </c>
      <c r="I588" t="s">
        <v>47111</v>
      </c>
      <c r="J588" t="s">
        <v>47112</v>
      </c>
      <c r="K588" t="s">
        <v>47113</v>
      </c>
      <c r="L588">
        <v>45.36</v>
      </c>
      <c r="M588">
        <v>110</v>
      </c>
      <c r="N588">
        <v>0</v>
      </c>
      <c r="O588">
        <v>110</v>
      </c>
      <c r="P588">
        <v>0</v>
      </c>
    </row>
    <row r="589" spans="1:16" x14ac:dyDescent="0.25">
      <c r="A589" t="s">
        <v>23118</v>
      </c>
      <c r="B589" t="s">
        <v>2012</v>
      </c>
      <c r="C589" t="s">
        <v>2005</v>
      </c>
      <c r="D589" t="s">
        <v>27</v>
      </c>
      <c r="E589" t="s">
        <v>622</v>
      </c>
      <c r="F589" t="s">
        <v>1717</v>
      </c>
      <c r="G589" t="s">
        <v>16231</v>
      </c>
      <c r="H589" t="s">
        <v>47054</v>
      </c>
      <c r="I589" t="s">
        <v>47111</v>
      </c>
      <c r="J589" t="s">
        <v>47112</v>
      </c>
      <c r="K589" t="s">
        <v>47113</v>
      </c>
      <c r="L589">
        <v>53</v>
      </c>
      <c r="M589">
        <v>130</v>
      </c>
      <c r="N589">
        <v>0</v>
      </c>
      <c r="O589">
        <v>130</v>
      </c>
      <c r="P589">
        <v>0</v>
      </c>
    </row>
    <row r="590" spans="1:16" x14ac:dyDescent="0.25">
      <c r="A590" t="s">
        <v>23119</v>
      </c>
      <c r="B590" t="s">
        <v>2012</v>
      </c>
      <c r="C590" t="s">
        <v>2005</v>
      </c>
      <c r="D590" t="str">
        <f>"4178"</f>
        <v>4178</v>
      </c>
      <c r="E590" t="s">
        <v>2017</v>
      </c>
      <c r="F590" t="s">
        <v>7</v>
      </c>
      <c r="G590" t="s">
        <v>16231</v>
      </c>
      <c r="H590" t="s">
        <v>47054</v>
      </c>
      <c r="I590" t="s">
        <v>47111</v>
      </c>
      <c r="J590" t="s">
        <v>47112</v>
      </c>
      <c r="K590" t="s">
        <v>47113</v>
      </c>
      <c r="L590">
        <v>63.28</v>
      </c>
      <c r="M590">
        <v>154</v>
      </c>
      <c r="N590">
        <v>0</v>
      </c>
      <c r="O590">
        <v>154</v>
      </c>
      <c r="P590">
        <v>0</v>
      </c>
    </row>
    <row r="591" spans="1:16" x14ac:dyDescent="0.25">
      <c r="A591" t="s">
        <v>23120</v>
      </c>
      <c r="B591" t="s">
        <v>2012</v>
      </c>
      <c r="C591" t="s">
        <v>2005</v>
      </c>
      <c r="D591" t="str">
        <f>"89"</f>
        <v>89</v>
      </c>
      <c r="E591" t="s">
        <v>1732</v>
      </c>
      <c r="F591" t="s">
        <v>8</v>
      </c>
      <c r="G591" t="s">
        <v>16231</v>
      </c>
      <c r="H591" t="s">
        <v>47054</v>
      </c>
      <c r="I591" t="s">
        <v>47111</v>
      </c>
      <c r="J591" t="s">
        <v>47112</v>
      </c>
      <c r="K591" t="s">
        <v>47113</v>
      </c>
      <c r="L591">
        <v>47.36</v>
      </c>
      <c r="M591">
        <v>122</v>
      </c>
      <c r="N591">
        <v>0</v>
      </c>
      <c r="O591">
        <v>122</v>
      </c>
      <c r="P591">
        <v>0</v>
      </c>
    </row>
    <row r="592" spans="1:16" x14ac:dyDescent="0.25">
      <c r="A592" t="s">
        <v>23121</v>
      </c>
      <c r="B592" t="s">
        <v>2012</v>
      </c>
      <c r="C592" t="s">
        <v>2005</v>
      </c>
      <c r="D592" t="s">
        <v>1788</v>
      </c>
      <c r="E592" t="s">
        <v>1789</v>
      </c>
      <c r="F592" t="s">
        <v>36</v>
      </c>
      <c r="G592" t="s">
        <v>16231</v>
      </c>
      <c r="H592" t="s">
        <v>47054</v>
      </c>
      <c r="I592" t="s">
        <v>47111</v>
      </c>
      <c r="J592" t="s">
        <v>47112</v>
      </c>
      <c r="K592" t="s">
        <v>47113</v>
      </c>
      <c r="L592">
        <v>50.27</v>
      </c>
      <c r="M592">
        <v>112</v>
      </c>
      <c r="N592">
        <v>0</v>
      </c>
      <c r="O592">
        <v>112</v>
      </c>
      <c r="P592">
        <v>0</v>
      </c>
    </row>
    <row r="593" spans="1:16" x14ac:dyDescent="0.25">
      <c r="A593" t="s">
        <v>23122</v>
      </c>
      <c r="B593" t="s">
        <v>2012</v>
      </c>
      <c r="C593" t="s">
        <v>2005</v>
      </c>
      <c r="D593" t="s">
        <v>1706</v>
      </c>
      <c r="E593" t="s">
        <v>1707</v>
      </c>
      <c r="F593" t="s">
        <v>631</v>
      </c>
      <c r="G593" t="s">
        <v>16231</v>
      </c>
      <c r="H593" t="s">
        <v>47054</v>
      </c>
      <c r="I593" t="s">
        <v>47111</v>
      </c>
      <c r="J593" t="s">
        <v>47112</v>
      </c>
      <c r="K593" t="s">
        <v>47113</v>
      </c>
      <c r="L593">
        <v>56.44</v>
      </c>
      <c r="M593">
        <v>138</v>
      </c>
      <c r="N593">
        <v>0</v>
      </c>
      <c r="O593">
        <v>138</v>
      </c>
      <c r="P593">
        <v>0</v>
      </c>
    </row>
    <row r="594" spans="1:16" x14ac:dyDescent="0.25">
      <c r="A594" t="s">
        <v>23123</v>
      </c>
      <c r="B594" t="s">
        <v>2012</v>
      </c>
      <c r="C594" t="s">
        <v>2005</v>
      </c>
      <c r="D594" t="s">
        <v>2018</v>
      </c>
      <c r="E594" t="s">
        <v>2019</v>
      </c>
      <c r="F594" t="s">
        <v>8</v>
      </c>
      <c r="G594" t="s">
        <v>16231</v>
      </c>
      <c r="H594" t="s">
        <v>47054</v>
      </c>
      <c r="I594" t="s">
        <v>47111</v>
      </c>
      <c r="J594" t="s">
        <v>47112</v>
      </c>
      <c r="K594" t="s">
        <v>47113</v>
      </c>
      <c r="L594">
        <v>58.54</v>
      </c>
      <c r="M594">
        <v>144</v>
      </c>
      <c r="N594">
        <v>0</v>
      </c>
      <c r="O594">
        <v>144</v>
      </c>
      <c r="P594">
        <v>0</v>
      </c>
    </row>
    <row r="595" spans="1:16" x14ac:dyDescent="0.25">
      <c r="A595" t="s">
        <v>23124</v>
      </c>
      <c r="B595" t="s">
        <v>2012</v>
      </c>
      <c r="C595" t="s">
        <v>2005</v>
      </c>
      <c r="D595" t="s">
        <v>1703</v>
      </c>
      <c r="E595" t="s">
        <v>1704</v>
      </c>
      <c r="F595" t="s">
        <v>8</v>
      </c>
      <c r="G595" t="s">
        <v>16231</v>
      </c>
      <c r="H595" t="s">
        <v>47054</v>
      </c>
      <c r="I595" t="s">
        <v>47111</v>
      </c>
      <c r="J595" t="s">
        <v>47112</v>
      </c>
      <c r="K595" t="s">
        <v>47113</v>
      </c>
      <c r="L595">
        <v>53.38</v>
      </c>
      <c r="M595">
        <v>131</v>
      </c>
      <c r="N595">
        <v>0</v>
      </c>
      <c r="O595">
        <v>131</v>
      </c>
      <c r="P595">
        <v>0</v>
      </c>
    </row>
    <row r="596" spans="1:16" x14ac:dyDescent="0.25">
      <c r="A596" t="s">
        <v>23125</v>
      </c>
      <c r="B596" t="s">
        <v>2012</v>
      </c>
      <c r="C596" t="s">
        <v>2005</v>
      </c>
      <c r="D596" t="s">
        <v>2020</v>
      </c>
      <c r="E596" t="s">
        <v>2021</v>
      </c>
      <c r="F596" t="s">
        <v>8</v>
      </c>
      <c r="G596" t="s">
        <v>16231</v>
      </c>
      <c r="H596" t="s">
        <v>47054</v>
      </c>
      <c r="I596" t="s">
        <v>47111</v>
      </c>
      <c r="J596" t="s">
        <v>47112</v>
      </c>
      <c r="K596" t="s">
        <v>47113</v>
      </c>
      <c r="L596">
        <v>54.18</v>
      </c>
      <c r="M596">
        <v>133</v>
      </c>
      <c r="N596">
        <v>0</v>
      </c>
      <c r="O596">
        <v>133</v>
      </c>
      <c r="P596">
        <v>0</v>
      </c>
    </row>
    <row r="597" spans="1:16" x14ac:dyDescent="0.25">
      <c r="A597" t="s">
        <v>23126</v>
      </c>
      <c r="B597" t="s">
        <v>2012</v>
      </c>
      <c r="C597" t="s">
        <v>2005</v>
      </c>
      <c r="D597" t="s">
        <v>294</v>
      </c>
      <c r="E597" t="s">
        <v>295</v>
      </c>
      <c r="F597" t="s">
        <v>7</v>
      </c>
      <c r="G597" t="s">
        <v>16231</v>
      </c>
      <c r="H597" t="s">
        <v>47054</v>
      </c>
      <c r="I597" t="s">
        <v>47111</v>
      </c>
      <c r="J597" t="s">
        <v>47112</v>
      </c>
      <c r="K597" t="s">
        <v>47113</v>
      </c>
      <c r="L597">
        <v>58.19</v>
      </c>
      <c r="M597">
        <v>134</v>
      </c>
      <c r="N597">
        <v>0</v>
      </c>
      <c r="O597">
        <v>134</v>
      </c>
      <c r="P597">
        <v>0</v>
      </c>
    </row>
    <row r="598" spans="1:16" x14ac:dyDescent="0.25">
      <c r="A598" t="s">
        <v>23127</v>
      </c>
      <c r="B598" t="s">
        <v>2012</v>
      </c>
      <c r="C598" t="s">
        <v>2005</v>
      </c>
      <c r="D598" t="s">
        <v>1792</v>
      </c>
      <c r="E598" t="s">
        <v>1793</v>
      </c>
      <c r="F598" t="s">
        <v>52</v>
      </c>
      <c r="G598" t="s">
        <v>16231</v>
      </c>
      <c r="H598" t="s">
        <v>47054</v>
      </c>
      <c r="I598" t="s">
        <v>47111</v>
      </c>
      <c r="J598" t="s">
        <v>47112</v>
      </c>
      <c r="K598" t="s">
        <v>47113</v>
      </c>
      <c r="L598">
        <v>51.92</v>
      </c>
      <c r="M598">
        <v>125</v>
      </c>
      <c r="N598">
        <v>0</v>
      </c>
      <c r="O598">
        <v>125</v>
      </c>
      <c r="P598">
        <v>0</v>
      </c>
    </row>
    <row r="599" spans="1:16" x14ac:dyDescent="0.25">
      <c r="A599" t="s">
        <v>23128</v>
      </c>
      <c r="B599" t="s">
        <v>2012</v>
      </c>
      <c r="C599" t="s">
        <v>2005</v>
      </c>
      <c r="D599" t="s">
        <v>1734</v>
      </c>
      <c r="E599" t="s">
        <v>1735</v>
      </c>
      <c r="F599" t="s">
        <v>52</v>
      </c>
      <c r="G599" t="s">
        <v>16231</v>
      </c>
      <c r="H599" t="s">
        <v>47054</v>
      </c>
      <c r="I599" t="s">
        <v>47111</v>
      </c>
      <c r="J599" t="s">
        <v>47112</v>
      </c>
      <c r="K599" t="s">
        <v>47113</v>
      </c>
      <c r="L599">
        <v>55.65</v>
      </c>
      <c r="M599">
        <v>130</v>
      </c>
      <c r="N599">
        <v>0</v>
      </c>
      <c r="O599">
        <v>130</v>
      </c>
      <c r="P599">
        <v>0</v>
      </c>
    </row>
    <row r="600" spans="1:16" x14ac:dyDescent="0.25">
      <c r="A600" t="s">
        <v>23129</v>
      </c>
      <c r="B600" t="s">
        <v>2012</v>
      </c>
      <c r="C600" t="s">
        <v>2005</v>
      </c>
      <c r="D600" t="s">
        <v>1740</v>
      </c>
      <c r="E600" t="s">
        <v>1741</v>
      </c>
      <c r="F600" t="s">
        <v>7</v>
      </c>
      <c r="G600" t="s">
        <v>16231</v>
      </c>
      <c r="H600" t="s">
        <v>47054</v>
      </c>
      <c r="I600" t="s">
        <v>47111</v>
      </c>
      <c r="J600" t="s">
        <v>47112</v>
      </c>
      <c r="K600" t="s">
        <v>47113</v>
      </c>
      <c r="L600">
        <v>56.51</v>
      </c>
      <c r="M600">
        <v>139</v>
      </c>
      <c r="N600">
        <v>0</v>
      </c>
      <c r="O600">
        <v>139</v>
      </c>
      <c r="P600">
        <v>0</v>
      </c>
    </row>
    <row r="601" spans="1:16" x14ac:dyDescent="0.25">
      <c r="A601" t="s">
        <v>23130</v>
      </c>
      <c r="B601" t="s">
        <v>2012</v>
      </c>
      <c r="C601" t="s">
        <v>2005</v>
      </c>
      <c r="D601" t="s">
        <v>2022</v>
      </c>
      <c r="E601" t="s">
        <v>2023</v>
      </c>
      <c r="F601" t="s">
        <v>7</v>
      </c>
      <c r="G601" t="s">
        <v>16231</v>
      </c>
      <c r="H601" t="s">
        <v>47054</v>
      </c>
      <c r="I601" t="s">
        <v>47111</v>
      </c>
      <c r="J601" t="s">
        <v>47112</v>
      </c>
      <c r="K601" t="s">
        <v>47113</v>
      </c>
      <c r="L601">
        <v>56.51</v>
      </c>
      <c r="M601">
        <v>146</v>
      </c>
      <c r="N601">
        <v>0</v>
      </c>
      <c r="O601">
        <v>146</v>
      </c>
      <c r="P601">
        <v>0</v>
      </c>
    </row>
    <row r="602" spans="1:16" x14ac:dyDescent="0.25">
      <c r="A602" t="s">
        <v>23131</v>
      </c>
      <c r="B602" t="s">
        <v>2024</v>
      </c>
      <c r="C602" t="s">
        <v>2025</v>
      </c>
      <c r="D602" t="s">
        <v>721</v>
      </c>
      <c r="E602" t="s">
        <v>722</v>
      </c>
      <c r="F602" t="s">
        <v>631</v>
      </c>
      <c r="G602" t="s">
        <v>16231</v>
      </c>
      <c r="H602" t="s">
        <v>47054</v>
      </c>
      <c r="I602" t="s">
        <v>47111</v>
      </c>
      <c r="J602" t="s">
        <v>47112</v>
      </c>
      <c r="K602" t="s">
        <v>47113</v>
      </c>
      <c r="L602">
        <v>24.28</v>
      </c>
      <c r="M602">
        <v>72</v>
      </c>
      <c r="N602">
        <v>0</v>
      </c>
      <c r="O602">
        <v>72</v>
      </c>
      <c r="P602">
        <v>0</v>
      </c>
    </row>
    <row r="603" spans="1:16" x14ac:dyDescent="0.25">
      <c r="A603" t="s">
        <v>23132</v>
      </c>
      <c r="B603" t="s">
        <v>2024</v>
      </c>
      <c r="C603" t="s">
        <v>2025</v>
      </c>
      <c r="D603" t="str">
        <f>"89"</f>
        <v>89</v>
      </c>
      <c r="E603" t="s">
        <v>1732</v>
      </c>
      <c r="F603" t="s">
        <v>8</v>
      </c>
      <c r="G603" t="s">
        <v>16231</v>
      </c>
      <c r="H603" t="s">
        <v>47054</v>
      </c>
      <c r="I603" t="s">
        <v>47111</v>
      </c>
      <c r="J603" t="s">
        <v>47112</v>
      </c>
      <c r="K603" t="s">
        <v>47113</v>
      </c>
      <c r="L603">
        <v>30.79</v>
      </c>
      <c r="M603">
        <v>84</v>
      </c>
      <c r="N603">
        <v>0</v>
      </c>
      <c r="O603">
        <v>84</v>
      </c>
      <c r="P603">
        <v>0</v>
      </c>
    </row>
    <row r="604" spans="1:16" x14ac:dyDescent="0.25">
      <c r="A604" t="s">
        <v>23133</v>
      </c>
      <c r="B604" t="s">
        <v>2024</v>
      </c>
      <c r="C604" t="s">
        <v>2025</v>
      </c>
      <c r="D604" t="s">
        <v>2026</v>
      </c>
      <c r="E604" t="s">
        <v>2027</v>
      </c>
      <c r="F604" t="s">
        <v>631</v>
      </c>
      <c r="G604" t="s">
        <v>16231</v>
      </c>
      <c r="H604" t="s">
        <v>47054</v>
      </c>
      <c r="I604" t="s">
        <v>47111</v>
      </c>
      <c r="J604" t="s">
        <v>47112</v>
      </c>
      <c r="K604" t="s">
        <v>47113</v>
      </c>
      <c r="L604">
        <v>34.06</v>
      </c>
      <c r="M604">
        <v>98</v>
      </c>
      <c r="N604">
        <v>0</v>
      </c>
      <c r="O604">
        <v>98</v>
      </c>
      <c r="P604">
        <v>0</v>
      </c>
    </row>
    <row r="605" spans="1:16" x14ac:dyDescent="0.25">
      <c r="A605" t="s">
        <v>23134</v>
      </c>
      <c r="B605" t="s">
        <v>2024</v>
      </c>
      <c r="C605" t="s">
        <v>2025</v>
      </c>
      <c r="D605" t="s">
        <v>1703</v>
      </c>
      <c r="E605" t="s">
        <v>1704</v>
      </c>
      <c r="F605" t="s">
        <v>631</v>
      </c>
      <c r="G605" t="s">
        <v>16231</v>
      </c>
      <c r="H605" t="s">
        <v>47054</v>
      </c>
      <c r="I605" t="s">
        <v>47111</v>
      </c>
      <c r="J605" t="s">
        <v>47112</v>
      </c>
      <c r="K605" t="s">
        <v>47113</v>
      </c>
      <c r="L605">
        <v>31.78</v>
      </c>
      <c r="M605">
        <v>93</v>
      </c>
      <c r="N605">
        <v>0</v>
      </c>
      <c r="O605">
        <v>93</v>
      </c>
      <c r="P605">
        <v>0</v>
      </c>
    </row>
    <row r="606" spans="1:16" x14ac:dyDescent="0.25">
      <c r="A606" t="s">
        <v>23135</v>
      </c>
      <c r="B606" t="s">
        <v>2024</v>
      </c>
      <c r="C606" t="s">
        <v>2025</v>
      </c>
      <c r="D606" t="s">
        <v>2020</v>
      </c>
      <c r="E606" t="s">
        <v>2021</v>
      </c>
      <c r="F606" t="s">
        <v>8</v>
      </c>
      <c r="G606" t="s">
        <v>16231</v>
      </c>
      <c r="H606" t="s">
        <v>47054</v>
      </c>
      <c r="I606" t="s">
        <v>47111</v>
      </c>
      <c r="J606" t="s">
        <v>47112</v>
      </c>
      <c r="K606" t="s">
        <v>47113</v>
      </c>
      <c r="L606">
        <v>34.590000000000003</v>
      </c>
      <c r="M606">
        <v>87</v>
      </c>
      <c r="N606">
        <v>0</v>
      </c>
      <c r="O606">
        <v>87</v>
      </c>
      <c r="P606">
        <v>0</v>
      </c>
    </row>
    <row r="607" spans="1:16" x14ac:dyDescent="0.25">
      <c r="A607" t="s">
        <v>23136</v>
      </c>
      <c r="B607" t="s">
        <v>2024</v>
      </c>
      <c r="C607" t="s">
        <v>2025</v>
      </c>
      <c r="D607" t="s">
        <v>294</v>
      </c>
      <c r="E607" t="s">
        <v>295</v>
      </c>
      <c r="F607" t="s">
        <v>7</v>
      </c>
      <c r="G607" t="s">
        <v>16231</v>
      </c>
      <c r="H607" t="s">
        <v>47054</v>
      </c>
      <c r="I607" t="s">
        <v>47111</v>
      </c>
      <c r="J607" t="s">
        <v>47112</v>
      </c>
      <c r="K607" t="s">
        <v>47113</v>
      </c>
      <c r="L607">
        <v>36.799999999999997</v>
      </c>
      <c r="M607">
        <v>92</v>
      </c>
      <c r="N607">
        <v>0</v>
      </c>
      <c r="O607">
        <v>92</v>
      </c>
      <c r="P607">
        <v>0</v>
      </c>
    </row>
    <row r="608" spans="1:16" x14ac:dyDescent="0.25">
      <c r="A608" t="s">
        <v>23137</v>
      </c>
      <c r="B608" t="s">
        <v>2024</v>
      </c>
      <c r="C608" t="s">
        <v>2025</v>
      </c>
      <c r="D608" t="s">
        <v>2028</v>
      </c>
      <c r="E608" t="s">
        <v>2029</v>
      </c>
      <c r="F608" t="s">
        <v>7</v>
      </c>
      <c r="G608" t="s">
        <v>16231</v>
      </c>
      <c r="H608" t="s">
        <v>47054</v>
      </c>
      <c r="I608" t="s">
        <v>47111</v>
      </c>
      <c r="J608" t="s">
        <v>47112</v>
      </c>
      <c r="K608" t="s">
        <v>47113</v>
      </c>
      <c r="L608">
        <v>42.98</v>
      </c>
      <c r="M608">
        <v>112</v>
      </c>
      <c r="N608">
        <v>0</v>
      </c>
      <c r="O608">
        <v>112</v>
      </c>
      <c r="P608">
        <v>0</v>
      </c>
    </row>
    <row r="609" spans="1:16" x14ac:dyDescent="0.25">
      <c r="A609" t="s">
        <v>23138</v>
      </c>
      <c r="B609" t="s">
        <v>2024</v>
      </c>
      <c r="C609" t="s">
        <v>2025</v>
      </c>
      <c r="D609" t="s">
        <v>1737</v>
      </c>
      <c r="E609" t="s">
        <v>1738</v>
      </c>
      <c r="F609" t="s">
        <v>52</v>
      </c>
      <c r="G609" t="s">
        <v>16231</v>
      </c>
      <c r="H609" t="s">
        <v>47054</v>
      </c>
      <c r="I609" t="s">
        <v>47111</v>
      </c>
      <c r="J609" t="s">
        <v>47112</v>
      </c>
      <c r="K609" t="s">
        <v>47113</v>
      </c>
      <c r="L609">
        <v>33.049999999999997</v>
      </c>
      <c r="M609">
        <v>109</v>
      </c>
      <c r="N609">
        <v>0</v>
      </c>
      <c r="O609">
        <v>109</v>
      </c>
      <c r="P609">
        <v>0</v>
      </c>
    </row>
    <row r="610" spans="1:16" x14ac:dyDescent="0.25">
      <c r="A610" t="s">
        <v>23139</v>
      </c>
      <c r="B610" t="s">
        <v>2024</v>
      </c>
      <c r="C610" t="s">
        <v>2025</v>
      </c>
      <c r="D610" t="s">
        <v>1734</v>
      </c>
      <c r="E610" t="s">
        <v>1735</v>
      </c>
      <c r="F610" t="s">
        <v>52</v>
      </c>
      <c r="G610" t="s">
        <v>16231</v>
      </c>
      <c r="H610" t="s">
        <v>47054</v>
      </c>
      <c r="I610" t="s">
        <v>47111</v>
      </c>
      <c r="J610" t="s">
        <v>47112</v>
      </c>
      <c r="K610" t="s">
        <v>47113</v>
      </c>
      <c r="L610">
        <v>36.56</v>
      </c>
      <c r="M610">
        <v>90</v>
      </c>
      <c r="N610">
        <v>0</v>
      </c>
      <c r="O610">
        <v>90</v>
      </c>
      <c r="P610">
        <v>0</v>
      </c>
    </row>
    <row r="611" spans="1:16" x14ac:dyDescent="0.25">
      <c r="A611" t="s">
        <v>23140</v>
      </c>
      <c r="B611" t="s">
        <v>2024</v>
      </c>
      <c r="C611" t="s">
        <v>2025</v>
      </c>
      <c r="D611" t="s">
        <v>2030</v>
      </c>
      <c r="E611" t="s">
        <v>2031</v>
      </c>
      <c r="F611" t="s">
        <v>631</v>
      </c>
      <c r="G611" t="s">
        <v>16231</v>
      </c>
      <c r="H611" t="s">
        <v>47054</v>
      </c>
      <c r="I611" t="s">
        <v>47111</v>
      </c>
      <c r="J611" t="s">
        <v>47112</v>
      </c>
      <c r="K611" t="s">
        <v>47113</v>
      </c>
      <c r="L611">
        <v>35.21</v>
      </c>
      <c r="M611">
        <v>79</v>
      </c>
      <c r="N611">
        <v>0</v>
      </c>
      <c r="O611">
        <v>79</v>
      </c>
      <c r="P611">
        <v>0</v>
      </c>
    </row>
    <row r="612" spans="1:16" x14ac:dyDescent="0.25">
      <c r="A612" t="s">
        <v>23141</v>
      </c>
      <c r="B612" t="s">
        <v>2032</v>
      </c>
      <c r="C612" t="s">
        <v>2033</v>
      </c>
      <c r="D612" t="str">
        <f>"89"</f>
        <v>89</v>
      </c>
      <c r="E612" t="s">
        <v>1732</v>
      </c>
      <c r="F612" t="s">
        <v>8</v>
      </c>
      <c r="G612" t="s">
        <v>16231</v>
      </c>
      <c r="H612" t="s">
        <v>47054</v>
      </c>
      <c r="I612" t="s">
        <v>47111</v>
      </c>
      <c r="J612" t="s">
        <v>47112</v>
      </c>
      <c r="K612" t="s">
        <v>47113</v>
      </c>
      <c r="L612">
        <v>51.5</v>
      </c>
      <c r="M612">
        <v>122</v>
      </c>
      <c r="N612">
        <v>0</v>
      </c>
      <c r="O612">
        <v>122</v>
      </c>
      <c r="P612">
        <v>0</v>
      </c>
    </row>
    <row r="613" spans="1:16" x14ac:dyDescent="0.25">
      <c r="A613" t="s">
        <v>23142</v>
      </c>
      <c r="B613" t="s">
        <v>2032</v>
      </c>
      <c r="C613" t="s">
        <v>2033</v>
      </c>
      <c r="D613" t="s">
        <v>1706</v>
      </c>
      <c r="E613" t="s">
        <v>1707</v>
      </c>
      <c r="F613" t="s">
        <v>631</v>
      </c>
      <c r="G613" t="s">
        <v>16231</v>
      </c>
      <c r="H613" t="s">
        <v>47054</v>
      </c>
      <c r="I613" t="s">
        <v>47111</v>
      </c>
      <c r="J613" t="s">
        <v>47112</v>
      </c>
      <c r="K613" t="s">
        <v>47113</v>
      </c>
      <c r="L613">
        <v>56.92</v>
      </c>
      <c r="M613">
        <v>138</v>
      </c>
      <c r="N613">
        <v>0</v>
      </c>
      <c r="O613">
        <v>138</v>
      </c>
      <c r="P613">
        <v>0</v>
      </c>
    </row>
    <row r="614" spans="1:16" x14ac:dyDescent="0.25">
      <c r="A614" t="s">
        <v>23143</v>
      </c>
      <c r="B614" t="s">
        <v>2032</v>
      </c>
      <c r="C614" t="s">
        <v>2033</v>
      </c>
      <c r="D614" t="s">
        <v>2018</v>
      </c>
      <c r="E614" t="s">
        <v>2019</v>
      </c>
      <c r="F614" t="s">
        <v>8</v>
      </c>
      <c r="G614" t="s">
        <v>16231</v>
      </c>
      <c r="H614" t="s">
        <v>47054</v>
      </c>
      <c r="I614" t="s">
        <v>47111</v>
      </c>
      <c r="J614" t="s">
        <v>47112</v>
      </c>
      <c r="K614" t="s">
        <v>47113</v>
      </c>
      <c r="L614">
        <v>60.36</v>
      </c>
      <c r="M614">
        <v>144</v>
      </c>
      <c r="N614">
        <v>0</v>
      </c>
      <c r="O614">
        <v>144</v>
      </c>
      <c r="P614">
        <v>0</v>
      </c>
    </row>
    <row r="615" spans="1:16" x14ac:dyDescent="0.25">
      <c r="A615" t="s">
        <v>23144</v>
      </c>
      <c r="B615" t="s">
        <v>2032</v>
      </c>
      <c r="C615" t="s">
        <v>2033</v>
      </c>
      <c r="D615" t="s">
        <v>1703</v>
      </c>
      <c r="E615" t="s">
        <v>1704</v>
      </c>
      <c r="F615" t="s">
        <v>8</v>
      </c>
      <c r="G615" t="s">
        <v>16231</v>
      </c>
      <c r="H615" t="s">
        <v>47054</v>
      </c>
      <c r="I615" t="s">
        <v>47111</v>
      </c>
      <c r="J615" t="s">
        <v>47112</v>
      </c>
      <c r="K615" t="s">
        <v>47113</v>
      </c>
      <c r="L615">
        <v>54.84</v>
      </c>
      <c r="M615">
        <v>131</v>
      </c>
      <c r="N615">
        <v>0</v>
      </c>
      <c r="O615">
        <v>131</v>
      </c>
      <c r="P615">
        <v>0</v>
      </c>
    </row>
    <row r="616" spans="1:16" x14ac:dyDescent="0.25">
      <c r="A616" t="s">
        <v>23145</v>
      </c>
      <c r="B616" t="s">
        <v>2032</v>
      </c>
      <c r="C616" t="s">
        <v>2033</v>
      </c>
      <c r="D616" t="s">
        <v>2020</v>
      </c>
      <c r="E616" t="s">
        <v>2021</v>
      </c>
      <c r="F616" t="s">
        <v>8</v>
      </c>
      <c r="G616" t="s">
        <v>16231</v>
      </c>
      <c r="H616" t="s">
        <v>47054</v>
      </c>
      <c r="I616" t="s">
        <v>47111</v>
      </c>
      <c r="J616" t="s">
        <v>47112</v>
      </c>
      <c r="K616" t="s">
        <v>47113</v>
      </c>
      <c r="L616">
        <v>56.02</v>
      </c>
      <c r="M616">
        <v>133</v>
      </c>
      <c r="N616">
        <v>0</v>
      </c>
      <c r="O616">
        <v>133</v>
      </c>
      <c r="P616">
        <v>0</v>
      </c>
    </row>
    <row r="617" spans="1:16" x14ac:dyDescent="0.25">
      <c r="A617" t="s">
        <v>23146</v>
      </c>
      <c r="B617" t="s">
        <v>2032</v>
      </c>
      <c r="C617" t="s">
        <v>2033</v>
      </c>
      <c r="D617" t="s">
        <v>1792</v>
      </c>
      <c r="E617" t="s">
        <v>1793</v>
      </c>
      <c r="F617" t="s">
        <v>52</v>
      </c>
      <c r="G617" t="s">
        <v>16231</v>
      </c>
      <c r="H617" t="s">
        <v>47054</v>
      </c>
      <c r="I617" t="s">
        <v>47111</v>
      </c>
      <c r="J617" t="s">
        <v>47112</v>
      </c>
      <c r="K617" t="s">
        <v>47113</v>
      </c>
      <c r="L617">
        <v>55.55</v>
      </c>
      <c r="M617">
        <v>138</v>
      </c>
      <c r="N617">
        <v>0</v>
      </c>
      <c r="O617">
        <v>138</v>
      </c>
      <c r="P617">
        <v>0</v>
      </c>
    </row>
    <row r="618" spans="1:16" x14ac:dyDescent="0.25">
      <c r="A618" t="s">
        <v>23147</v>
      </c>
      <c r="B618" t="s">
        <v>2032</v>
      </c>
      <c r="C618" t="s">
        <v>2033</v>
      </c>
      <c r="D618" t="s">
        <v>1734</v>
      </c>
      <c r="E618" t="s">
        <v>1735</v>
      </c>
      <c r="F618" t="s">
        <v>52</v>
      </c>
      <c r="G618" t="s">
        <v>16231</v>
      </c>
      <c r="H618" t="s">
        <v>47054</v>
      </c>
      <c r="I618" t="s">
        <v>47111</v>
      </c>
      <c r="J618" t="s">
        <v>47112</v>
      </c>
      <c r="K618" t="s">
        <v>47113</v>
      </c>
      <c r="L618">
        <v>57.53</v>
      </c>
      <c r="M618">
        <v>143</v>
      </c>
      <c r="N618">
        <v>0</v>
      </c>
      <c r="O618">
        <v>143</v>
      </c>
      <c r="P618">
        <v>0</v>
      </c>
    </row>
    <row r="619" spans="1:16" x14ac:dyDescent="0.25">
      <c r="A619" t="s">
        <v>23148</v>
      </c>
      <c r="B619" t="s">
        <v>2034</v>
      </c>
      <c r="C619" t="s">
        <v>2035</v>
      </c>
      <c r="D619" t="s">
        <v>721</v>
      </c>
      <c r="E619" t="s">
        <v>722</v>
      </c>
      <c r="F619" t="s">
        <v>58</v>
      </c>
      <c r="G619" t="s">
        <v>16231</v>
      </c>
      <c r="H619" t="s">
        <v>47054</v>
      </c>
      <c r="I619" t="s">
        <v>47114</v>
      </c>
      <c r="J619" t="s">
        <v>47115</v>
      </c>
      <c r="K619" t="s">
        <v>47113</v>
      </c>
      <c r="L619">
        <v>30.56</v>
      </c>
      <c r="M619">
        <v>72</v>
      </c>
      <c r="N619">
        <v>0</v>
      </c>
      <c r="O619">
        <v>72</v>
      </c>
      <c r="P619">
        <v>0</v>
      </c>
    </row>
    <row r="620" spans="1:16" x14ac:dyDescent="0.25">
      <c r="A620" t="s">
        <v>23149</v>
      </c>
      <c r="B620" t="s">
        <v>2034</v>
      </c>
      <c r="C620" t="s">
        <v>2035</v>
      </c>
      <c r="D620" t="str">
        <f>"89"</f>
        <v>89</v>
      </c>
      <c r="E620" t="s">
        <v>1732</v>
      </c>
      <c r="F620" t="s">
        <v>8</v>
      </c>
      <c r="G620" t="s">
        <v>16231</v>
      </c>
      <c r="H620" t="s">
        <v>47054</v>
      </c>
      <c r="I620" t="s">
        <v>47114</v>
      </c>
      <c r="J620" t="s">
        <v>47115</v>
      </c>
      <c r="K620" t="s">
        <v>47113</v>
      </c>
      <c r="L620">
        <v>34.26</v>
      </c>
      <c r="M620">
        <v>84</v>
      </c>
      <c r="N620">
        <v>0</v>
      </c>
      <c r="O620">
        <v>84</v>
      </c>
      <c r="P620">
        <v>0</v>
      </c>
    </row>
    <row r="621" spans="1:16" x14ac:dyDescent="0.25">
      <c r="A621" t="s">
        <v>23150</v>
      </c>
      <c r="B621" t="s">
        <v>2034</v>
      </c>
      <c r="C621" t="s">
        <v>2035</v>
      </c>
      <c r="D621" t="s">
        <v>2026</v>
      </c>
      <c r="E621" t="s">
        <v>2027</v>
      </c>
      <c r="F621" t="s">
        <v>58</v>
      </c>
      <c r="G621" t="s">
        <v>16231</v>
      </c>
      <c r="H621" t="s">
        <v>47054</v>
      </c>
      <c r="I621" t="s">
        <v>47114</v>
      </c>
      <c r="J621" t="s">
        <v>47115</v>
      </c>
      <c r="K621" t="s">
        <v>47113</v>
      </c>
      <c r="L621">
        <v>40.880000000000003</v>
      </c>
      <c r="M621">
        <v>98</v>
      </c>
      <c r="N621">
        <v>0</v>
      </c>
      <c r="O621">
        <v>98</v>
      </c>
      <c r="P621">
        <v>0</v>
      </c>
    </row>
    <row r="622" spans="1:16" x14ac:dyDescent="0.25">
      <c r="A622" t="s">
        <v>23151</v>
      </c>
      <c r="B622" t="s">
        <v>2034</v>
      </c>
      <c r="C622" t="s">
        <v>2035</v>
      </c>
      <c r="D622" t="s">
        <v>1703</v>
      </c>
      <c r="E622" t="s">
        <v>1704</v>
      </c>
      <c r="F622" t="s">
        <v>58</v>
      </c>
      <c r="G622" t="s">
        <v>16231</v>
      </c>
      <c r="H622" t="s">
        <v>47054</v>
      </c>
      <c r="I622" t="s">
        <v>47114</v>
      </c>
      <c r="J622" t="s">
        <v>47115</v>
      </c>
      <c r="K622" t="s">
        <v>47113</v>
      </c>
      <c r="L622">
        <v>38.619999999999997</v>
      </c>
      <c r="M622">
        <v>93</v>
      </c>
      <c r="N622">
        <v>0</v>
      </c>
      <c r="O622">
        <v>93</v>
      </c>
      <c r="P622">
        <v>0</v>
      </c>
    </row>
    <row r="623" spans="1:16" x14ac:dyDescent="0.25">
      <c r="A623" t="s">
        <v>23152</v>
      </c>
      <c r="B623" t="s">
        <v>2034</v>
      </c>
      <c r="C623" t="s">
        <v>2035</v>
      </c>
      <c r="D623" t="s">
        <v>2020</v>
      </c>
      <c r="E623" t="s">
        <v>2021</v>
      </c>
      <c r="F623" t="s">
        <v>8</v>
      </c>
      <c r="G623" t="s">
        <v>16231</v>
      </c>
      <c r="H623" t="s">
        <v>47054</v>
      </c>
      <c r="I623" t="s">
        <v>47114</v>
      </c>
      <c r="J623" t="s">
        <v>47115</v>
      </c>
      <c r="K623" t="s">
        <v>47113</v>
      </c>
      <c r="L623">
        <v>39.799999999999997</v>
      </c>
      <c r="M623">
        <v>95</v>
      </c>
      <c r="N623">
        <v>0</v>
      </c>
      <c r="O623">
        <v>95</v>
      </c>
      <c r="P623">
        <v>0</v>
      </c>
    </row>
    <row r="624" spans="1:16" x14ac:dyDescent="0.25">
      <c r="A624" t="s">
        <v>23153</v>
      </c>
      <c r="B624" t="s">
        <v>2034</v>
      </c>
      <c r="C624" t="s">
        <v>2035</v>
      </c>
      <c r="D624" t="s">
        <v>1737</v>
      </c>
      <c r="E624" t="s">
        <v>1738</v>
      </c>
      <c r="F624" t="s">
        <v>52</v>
      </c>
      <c r="G624" t="s">
        <v>16231</v>
      </c>
      <c r="H624" t="s">
        <v>47054</v>
      </c>
      <c r="I624" t="s">
        <v>47114</v>
      </c>
      <c r="J624" t="s">
        <v>47115</v>
      </c>
      <c r="K624" t="s">
        <v>47113</v>
      </c>
      <c r="L624">
        <v>37.14</v>
      </c>
      <c r="M624">
        <v>93</v>
      </c>
      <c r="N624">
        <v>0</v>
      </c>
      <c r="O624">
        <v>93</v>
      </c>
      <c r="P624">
        <v>0</v>
      </c>
    </row>
    <row r="625" spans="1:16" x14ac:dyDescent="0.25">
      <c r="A625" t="s">
        <v>23154</v>
      </c>
      <c r="B625" t="s">
        <v>2034</v>
      </c>
      <c r="C625" t="s">
        <v>2035</v>
      </c>
      <c r="D625" t="s">
        <v>1734</v>
      </c>
      <c r="E625" t="s">
        <v>1735</v>
      </c>
      <c r="F625" t="s">
        <v>52</v>
      </c>
      <c r="G625" t="s">
        <v>16231</v>
      </c>
      <c r="H625" t="s">
        <v>47054</v>
      </c>
      <c r="I625" t="s">
        <v>47114</v>
      </c>
      <c r="J625" t="s">
        <v>47115</v>
      </c>
      <c r="K625" t="s">
        <v>47113</v>
      </c>
      <c r="L625">
        <v>40.03</v>
      </c>
      <c r="M625">
        <v>98</v>
      </c>
      <c r="N625">
        <v>0</v>
      </c>
      <c r="O625">
        <v>98</v>
      </c>
      <c r="P625">
        <v>0</v>
      </c>
    </row>
    <row r="626" spans="1:16" x14ac:dyDescent="0.25">
      <c r="A626" t="s">
        <v>23155</v>
      </c>
      <c r="B626" t="s">
        <v>2036</v>
      </c>
      <c r="C626" t="s">
        <v>2037</v>
      </c>
      <c r="D626" t="str">
        <f>"89"</f>
        <v>89</v>
      </c>
      <c r="E626" t="s">
        <v>1732</v>
      </c>
      <c r="F626" t="s">
        <v>8</v>
      </c>
      <c r="G626" t="s">
        <v>16231</v>
      </c>
      <c r="H626" t="s">
        <v>47054</v>
      </c>
      <c r="I626" t="s">
        <v>47111</v>
      </c>
      <c r="J626" t="s">
        <v>47112</v>
      </c>
      <c r="K626" t="s">
        <v>47113</v>
      </c>
      <c r="L626">
        <v>51.76</v>
      </c>
      <c r="M626">
        <v>122</v>
      </c>
      <c r="N626">
        <v>0</v>
      </c>
      <c r="O626">
        <v>122</v>
      </c>
      <c r="P626">
        <v>0</v>
      </c>
    </row>
    <row r="627" spans="1:16" x14ac:dyDescent="0.25">
      <c r="A627" t="s">
        <v>23156</v>
      </c>
      <c r="B627" t="s">
        <v>2036</v>
      </c>
      <c r="C627" t="s">
        <v>2037</v>
      </c>
      <c r="D627" t="s">
        <v>2038</v>
      </c>
      <c r="E627" t="s">
        <v>2039</v>
      </c>
      <c r="F627" t="s">
        <v>3</v>
      </c>
      <c r="G627" t="s">
        <v>16231</v>
      </c>
      <c r="H627" t="s">
        <v>47054</v>
      </c>
      <c r="I627" t="s">
        <v>47111</v>
      </c>
      <c r="J627" t="s">
        <v>47112</v>
      </c>
      <c r="K627" t="s">
        <v>47113</v>
      </c>
      <c r="L627">
        <v>60.01</v>
      </c>
      <c r="M627">
        <v>128</v>
      </c>
      <c r="N627">
        <v>0</v>
      </c>
      <c r="O627">
        <v>128</v>
      </c>
      <c r="P627">
        <v>0</v>
      </c>
    </row>
    <row r="628" spans="1:16" x14ac:dyDescent="0.25">
      <c r="A628" t="s">
        <v>23157</v>
      </c>
      <c r="B628" t="s">
        <v>2036</v>
      </c>
      <c r="C628" t="s">
        <v>2037</v>
      </c>
      <c r="D628" t="s">
        <v>2040</v>
      </c>
      <c r="E628" t="s">
        <v>2041</v>
      </c>
      <c r="F628" t="s">
        <v>3</v>
      </c>
      <c r="G628" t="s">
        <v>16231</v>
      </c>
      <c r="H628" t="s">
        <v>47054</v>
      </c>
      <c r="I628" t="s">
        <v>47111</v>
      </c>
      <c r="J628" t="s">
        <v>47112</v>
      </c>
      <c r="K628" t="s">
        <v>47113</v>
      </c>
      <c r="L628">
        <v>59.85</v>
      </c>
      <c r="M628">
        <v>134</v>
      </c>
      <c r="N628">
        <v>0</v>
      </c>
      <c r="O628">
        <v>134</v>
      </c>
      <c r="P628">
        <v>0</v>
      </c>
    </row>
    <row r="629" spans="1:16" x14ac:dyDescent="0.25">
      <c r="A629" t="s">
        <v>23158</v>
      </c>
      <c r="B629" t="s">
        <v>2036</v>
      </c>
      <c r="C629" t="s">
        <v>2037</v>
      </c>
      <c r="D629" t="s">
        <v>2042</v>
      </c>
      <c r="E629" t="s">
        <v>2043</v>
      </c>
      <c r="F629" t="s">
        <v>3</v>
      </c>
      <c r="G629" t="s">
        <v>16231</v>
      </c>
      <c r="H629" t="s">
        <v>47054</v>
      </c>
      <c r="I629" t="s">
        <v>47111</v>
      </c>
      <c r="J629" t="s">
        <v>47112</v>
      </c>
      <c r="K629" t="s">
        <v>47113</v>
      </c>
      <c r="L629">
        <v>54.8</v>
      </c>
      <c r="M629">
        <v>123</v>
      </c>
      <c r="N629">
        <v>0</v>
      </c>
      <c r="O629">
        <v>123</v>
      </c>
      <c r="P629">
        <v>0</v>
      </c>
    </row>
    <row r="630" spans="1:16" x14ac:dyDescent="0.25">
      <c r="A630" t="s">
        <v>23159</v>
      </c>
      <c r="B630" t="s">
        <v>2036</v>
      </c>
      <c r="C630" t="s">
        <v>2037</v>
      </c>
      <c r="D630" t="s">
        <v>2044</v>
      </c>
      <c r="E630" t="s">
        <v>2045</v>
      </c>
      <c r="F630" t="s">
        <v>3</v>
      </c>
      <c r="G630" t="s">
        <v>16231</v>
      </c>
      <c r="H630" t="s">
        <v>47054</v>
      </c>
      <c r="I630" t="s">
        <v>47111</v>
      </c>
      <c r="J630" t="s">
        <v>47112</v>
      </c>
      <c r="K630" t="s">
        <v>47113</v>
      </c>
      <c r="L630">
        <v>61.93</v>
      </c>
      <c r="M630">
        <v>138</v>
      </c>
      <c r="N630">
        <v>0</v>
      </c>
      <c r="O630">
        <v>138</v>
      </c>
      <c r="P630">
        <v>0</v>
      </c>
    </row>
    <row r="631" spans="1:16" x14ac:dyDescent="0.25">
      <c r="A631" t="s">
        <v>23160</v>
      </c>
      <c r="B631" t="s">
        <v>2036</v>
      </c>
      <c r="C631" t="s">
        <v>2037</v>
      </c>
      <c r="D631" t="s">
        <v>2046</v>
      </c>
      <c r="E631" t="s">
        <v>2047</v>
      </c>
      <c r="F631" t="s">
        <v>3</v>
      </c>
      <c r="G631" t="s">
        <v>16231</v>
      </c>
      <c r="H631" t="s">
        <v>47054</v>
      </c>
      <c r="I631" t="s">
        <v>47111</v>
      </c>
      <c r="J631" t="s">
        <v>47112</v>
      </c>
      <c r="K631" t="s">
        <v>47113</v>
      </c>
      <c r="L631">
        <v>64.53</v>
      </c>
      <c r="M631">
        <v>146</v>
      </c>
      <c r="N631">
        <v>0</v>
      </c>
      <c r="O631">
        <v>146</v>
      </c>
      <c r="P631">
        <v>0</v>
      </c>
    </row>
    <row r="632" spans="1:16" x14ac:dyDescent="0.25">
      <c r="A632" t="s">
        <v>23161</v>
      </c>
      <c r="B632" t="s">
        <v>2036</v>
      </c>
      <c r="C632" t="s">
        <v>2037</v>
      </c>
      <c r="D632" t="s">
        <v>2048</v>
      </c>
      <c r="E632" t="s">
        <v>2049</v>
      </c>
      <c r="F632" t="s">
        <v>5</v>
      </c>
      <c r="G632" t="s">
        <v>16231</v>
      </c>
      <c r="H632" t="s">
        <v>47054</v>
      </c>
      <c r="I632" t="s">
        <v>47111</v>
      </c>
      <c r="J632" t="s">
        <v>47112</v>
      </c>
      <c r="K632" t="s">
        <v>47113</v>
      </c>
      <c r="L632">
        <v>57.75</v>
      </c>
      <c r="M632">
        <v>128</v>
      </c>
      <c r="N632">
        <v>0</v>
      </c>
      <c r="O632">
        <v>128</v>
      </c>
      <c r="P632">
        <v>0</v>
      </c>
    </row>
    <row r="633" spans="1:16" x14ac:dyDescent="0.25">
      <c r="A633" t="s">
        <v>23162</v>
      </c>
      <c r="B633" t="s">
        <v>2036</v>
      </c>
      <c r="C633" t="s">
        <v>2037</v>
      </c>
      <c r="D633" t="s">
        <v>1706</v>
      </c>
      <c r="E633" t="s">
        <v>1707</v>
      </c>
      <c r="F633" t="s">
        <v>631</v>
      </c>
      <c r="G633" t="s">
        <v>16231</v>
      </c>
      <c r="H633" t="s">
        <v>47054</v>
      </c>
      <c r="I633" t="s">
        <v>47111</v>
      </c>
      <c r="J633" t="s">
        <v>47112</v>
      </c>
      <c r="K633" t="s">
        <v>47113</v>
      </c>
      <c r="L633">
        <v>57.1</v>
      </c>
      <c r="M633">
        <v>138</v>
      </c>
      <c r="N633">
        <v>0</v>
      </c>
      <c r="O633">
        <v>138</v>
      </c>
      <c r="P633">
        <v>0</v>
      </c>
    </row>
    <row r="634" spans="1:16" x14ac:dyDescent="0.25">
      <c r="A634" t="s">
        <v>23163</v>
      </c>
      <c r="B634" t="s">
        <v>2036</v>
      </c>
      <c r="C634" t="s">
        <v>2037</v>
      </c>
      <c r="D634" t="s">
        <v>2018</v>
      </c>
      <c r="E634" t="s">
        <v>2019</v>
      </c>
      <c r="F634" t="s">
        <v>8</v>
      </c>
      <c r="G634" t="s">
        <v>16231</v>
      </c>
      <c r="H634" t="s">
        <v>47054</v>
      </c>
      <c r="I634" t="s">
        <v>47111</v>
      </c>
      <c r="J634" t="s">
        <v>47112</v>
      </c>
      <c r="K634" t="s">
        <v>47113</v>
      </c>
      <c r="L634">
        <v>60.76</v>
      </c>
      <c r="M634">
        <v>144</v>
      </c>
      <c r="N634">
        <v>0</v>
      </c>
      <c r="O634">
        <v>144</v>
      </c>
      <c r="P634">
        <v>0</v>
      </c>
    </row>
    <row r="635" spans="1:16" x14ac:dyDescent="0.25">
      <c r="A635" t="s">
        <v>23164</v>
      </c>
      <c r="B635" t="s">
        <v>2036</v>
      </c>
      <c r="C635" t="s">
        <v>2037</v>
      </c>
      <c r="D635" t="s">
        <v>1703</v>
      </c>
      <c r="E635" t="s">
        <v>1704</v>
      </c>
      <c r="F635" t="s">
        <v>8</v>
      </c>
      <c r="G635" t="s">
        <v>16231</v>
      </c>
      <c r="H635" t="s">
        <v>47054</v>
      </c>
      <c r="I635" t="s">
        <v>47111</v>
      </c>
      <c r="J635" t="s">
        <v>47112</v>
      </c>
      <c r="K635" t="s">
        <v>47113</v>
      </c>
      <c r="L635">
        <v>55.22</v>
      </c>
      <c r="M635">
        <v>131</v>
      </c>
      <c r="N635">
        <v>0</v>
      </c>
      <c r="O635">
        <v>131</v>
      </c>
      <c r="P635">
        <v>0</v>
      </c>
    </row>
    <row r="636" spans="1:16" x14ac:dyDescent="0.25">
      <c r="A636" t="s">
        <v>23165</v>
      </c>
      <c r="B636" t="s">
        <v>2036</v>
      </c>
      <c r="C636" t="s">
        <v>2037</v>
      </c>
      <c r="D636" t="s">
        <v>2020</v>
      </c>
      <c r="E636" t="s">
        <v>2021</v>
      </c>
      <c r="F636" t="s">
        <v>8</v>
      </c>
      <c r="G636" t="s">
        <v>16231</v>
      </c>
      <c r="H636" t="s">
        <v>47054</v>
      </c>
      <c r="I636" t="s">
        <v>47111</v>
      </c>
      <c r="J636" t="s">
        <v>47112</v>
      </c>
      <c r="K636" t="s">
        <v>47113</v>
      </c>
      <c r="L636">
        <v>56.77</v>
      </c>
      <c r="M636">
        <v>133</v>
      </c>
      <c r="N636">
        <v>0</v>
      </c>
      <c r="O636">
        <v>133</v>
      </c>
      <c r="P636">
        <v>0</v>
      </c>
    </row>
    <row r="637" spans="1:16" x14ac:dyDescent="0.25">
      <c r="A637" t="s">
        <v>23166</v>
      </c>
      <c r="B637" t="s">
        <v>2036</v>
      </c>
      <c r="C637" t="s">
        <v>2037</v>
      </c>
      <c r="D637" t="s">
        <v>1792</v>
      </c>
      <c r="E637" t="s">
        <v>1793</v>
      </c>
      <c r="F637" t="s">
        <v>52</v>
      </c>
      <c r="G637" t="s">
        <v>16231</v>
      </c>
      <c r="H637" t="s">
        <v>47054</v>
      </c>
      <c r="I637" t="s">
        <v>47111</v>
      </c>
      <c r="J637" t="s">
        <v>47112</v>
      </c>
      <c r="K637" t="s">
        <v>47113</v>
      </c>
      <c r="L637">
        <v>55.69</v>
      </c>
      <c r="M637">
        <v>136</v>
      </c>
      <c r="N637">
        <v>0</v>
      </c>
      <c r="O637">
        <v>136</v>
      </c>
      <c r="P637">
        <v>0</v>
      </c>
    </row>
    <row r="638" spans="1:16" x14ac:dyDescent="0.25">
      <c r="A638" t="s">
        <v>23167</v>
      </c>
      <c r="B638" t="s">
        <v>2036</v>
      </c>
      <c r="C638" t="s">
        <v>2037</v>
      </c>
      <c r="D638" t="s">
        <v>1734</v>
      </c>
      <c r="E638" t="s">
        <v>1735</v>
      </c>
      <c r="F638" t="s">
        <v>52</v>
      </c>
      <c r="G638" t="s">
        <v>16231</v>
      </c>
      <c r="H638" t="s">
        <v>47054</v>
      </c>
      <c r="I638" t="s">
        <v>47111</v>
      </c>
      <c r="J638" t="s">
        <v>47112</v>
      </c>
      <c r="K638" t="s">
        <v>47113</v>
      </c>
      <c r="L638">
        <v>57.53</v>
      </c>
      <c r="M638">
        <v>141</v>
      </c>
      <c r="N638">
        <v>0</v>
      </c>
      <c r="O638">
        <v>141</v>
      </c>
      <c r="P638">
        <v>0</v>
      </c>
    </row>
    <row r="639" spans="1:16" x14ac:dyDescent="0.25">
      <c r="A639" t="s">
        <v>23168</v>
      </c>
      <c r="B639" t="s">
        <v>2036</v>
      </c>
      <c r="C639" t="s">
        <v>2037</v>
      </c>
      <c r="D639" t="s">
        <v>1740</v>
      </c>
      <c r="E639" t="s">
        <v>1741</v>
      </c>
      <c r="F639" t="s">
        <v>7</v>
      </c>
      <c r="G639" t="s">
        <v>16231</v>
      </c>
      <c r="H639" t="s">
        <v>47054</v>
      </c>
      <c r="I639" t="s">
        <v>47111</v>
      </c>
      <c r="J639" t="s">
        <v>47112</v>
      </c>
      <c r="K639" t="s">
        <v>47113</v>
      </c>
      <c r="L639">
        <v>56.35</v>
      </c>
      <c r="M639">
        <v>123</v>
      </c>
      <c r="N639">
        <v>0</v>
      </c>
      <c r="O639">
        <v>123</v>
      </c>
      <c r="P639">
        <v>0</v>
      </c>
    </row>
    <row r="640" spans="1:16" x14ac:dyDescent="0.25">
      <c r="A640" t="s">
        <v>23169</v>
      </c>
      <c r="B640" t="s">
        <v>2050</v>
      </c>
      <c r="C640" t="s">
        <v>2051</v>
      </c>
      <c r="D640" t="s">
        <v>721</v>
      </c>
      <c r="E640" t="s">
        <v>722</v>
      </c>
      <c r="F640" t="s">
        <v>631</v>
      </c>
      <c r="G640" t="s">
        <v>16231</v>
      </c>
      <c r="H640" t="s">
        <v>47054</v>
      </c>
      <c r="I640" t="s">
        <v>47111</v>
      </c>
      <c r="J640" t="s">
        <v>47112</v>
      </c>
      <c r="K640" t="s">
        <v>47113</v>
      </c>
      <c r="L640">
        <v>30.18</v>
      </c>
      <c r="M640">
        <v>72</v>
      </c>
      <c r="N640">
        <v>0</v>
      </c>
      <c r="O640">
        <v>72</v>
      </c>
      <c r="P640">
        <v>0</v>
      </c>
    </row>
    <row r="641" spans="1:16" x14ac:dyDescent="0.25">
      <c r="A641" t="s">
        <v>23170</v>
      </c>
      <c r="B641" t="s">
        <v>2050</v>
      </c>
      <c r="C641" t="s">
        <v>2051</v>
      </c>
      <c r="D641" t="str">
        <f>"89"</f>
        <v>89</v>
      </c>
      <c r="E641" t="s">
        <v>1732</v>
      </c>
      <c r="F641" t="s">
        <v>8</v>
      </c>
      <c r="G641" t="s">
        <v>16231</v>
      </c>
      <c r="H641" t="s">
        <v>47054</v>
      </c>
      <c r="I641" t="s">
        <v>47111</v>
      </c>
      <c r="J641" t="s">
        <v>47112</v>
      </c>
      <c r="K641" t="s">
        <v>47113</v>
      </c>
      <c r="L641">
        <v>34.26</v>
      </c>
      <c r="M641">
        <v>84</v>
      </c>
      <c r="N641">
        <v>0</v>
      </c>
      <c r="O641">
        <v>84</v>
      </c>
      <c r="P641">
        <v>0</v>
      </c>
    </row>
    <row r="642" spans="1:16" x14ac:dyDescent="0.25">
      <c r="A642" t="s">
        <v>23171</v>
      </c>
      <c r="B642" t="s">
        <v>2050</v>
      </c>
      <c r="C642" t="s">
        <v>2051</v>
      </c>
      <c r="D642" t="s">
        <v>2026</v>
      </c>
      <c r="E642" t="s">
        <v>2027</v>
      </c>
      <c r="F642" t="s">
        <v>631</v>
      </c>
      <c r="G642" t="s">
        <v>16231</v>
      </c>
      <c r="H642" t="s">
        <v>47054</v>
      </c>
      <c r="I642" t="s">
        <v>47111</v>
      </c>
      <c r="J642" t="s">
        <v>47112</v>
      </c>
      <c r="K642" t="s">
        <v>47113</v>
      </c>
      <c r="L642">
        <v>40.54</v>
      </c>
      <c r="M642">
        <v>92</v>
      </c>
      <c r="N642">
        <v>0</v>
      </c>
      <c r="O642">
        <v>92</v>
      </c>
      <c r="P642">
        <v>0</v>
      </c>
    </row>
    <row r="643" spans="1:16" x14ac:dyDescent="0.25">
      <c r="A643" t="s">
        <v>23172</v>
      </c>
      <c r="B643" t="s">
        <v>2050</v>
      </c>
      <c r="C643" t="s">
        <v>2051</v>
      </c>
      <c r="D643" t="s">
        <v>1703</v>
      </c>
      <c r="E643" t="s">
        <v>1704</v>
      </c>
      <c r="F643" t="s">
        <v>631</v>
      </c>
      <c r="G643" t="s">
        <v>16231</v>
      </c>
      <c r="H643" t="s">
        <v>47054</v>
      </c>
      <c r="I643" t="s">
        <v>47111</v>
      </c>
      <c r="J643" t="s">
        <v>47112</v>
      </c>
      <c r="K643" t="s">
        <v>47113</v>
      </c>
      <c r="L643">
        <v>38.24</v>
      </c>
      <c r="M643">
        <v>93</v>
      </c>
      <c r="N643">
        <v>0</v>
      </c>
      <c r="O643">
        <v>93</v>
      </c>
      <c r="P643">
        <v>0</v>
      </c>
    </row>
    <row r="644" spans="1:16" x14ac:dyDescent="0.25">
      <c r="A644" t="s">
        <v>23173</v>
      </c>
      <c r="B644" t="s">
        <v>2050</v>
      </c>
      <c r="C644" t="s">
        <v>2051</v>
      </c>
      <c r="D644" t="s">
        <v>2020</v>
      </c>
      <c r="E644" t="s">
        <v>2021</v>
      </c>
      <c r="F644" t="s">
        <v>8</v>
      </c>
      <c r="G644" t="s">
        <v>16231</v>
      </c>
      <c r="H644" t="s">
        <v>47054</v>
      </c>
      <c r="I644" t="s">
        <v>47111</v>
      </c>
      <c r="J644" t="s">
        <v>47112</v>
      </c>
      <c r="K644" t="s">
        <v>47113</v>
      </c>
      <c r="L644">
        <v>39.799999999999997</v>
      </c>
      <c r="M644">
        <v>95</v>
      </c>
      <c r="N644">
        <v>0</v>
      </c>
      <c r="O644">
        <v>95</v>
      </c>
      <c r="P644">
        <v>0</v>
      </c>
    </row>
    <row r="645" spans="1:16" x14ac:dyDescent="0.25">
      <c r="A645" t="s">
        <v>23174</v>
      </c>
      <c r="B645" t="s">
        <v>2050</v>
      </c>
      <c r="C645" t="s">
        <v>2051</v>
      </c>
      <c r="D645" t="s">
        <v>1722</v>
      </c>
      <c r="E645" t="s">
        <v>1723</v>
      </c>
      <c r="F645" t="s">
        <v>8</v>
      </c>
      <c r="G645" t="s">
        <v>16231</v>
      </c>
      <c r="H645" t="s">
        <v>47054</v>
      </c>
      <c r="I645" t="s">
        <v>47111</v>
      </c>
      <c r="J645" t="s">
        <v>47112</v>
      </c>
      <c r="K645" t="s">
        <v>47113</v>
      </c>
      <c r="L645">
        <v>42.2</v>
      </c>
      <c r="M645">
        <v>111</v>
      </c>
      <c r="N645">
        <v>0</v>
      </c>
      <c r="O645">
        <v>111</v>
      </c>
      <c r="P645">
        <v>0</v>
      </c>
    </row>
    <row r="646" spans="1:16" x14ac:dyDescent="0.25">
      <c r="A646" t="s">
        <v>23175</v>
      </c>
      <c r="B646" t="s">
        <v>2050</v>
      </c>
      <c r="C646" t="s">
        <v>2051</v>
      </c>
      <c r="D646" t="s">
        <v>1737</v>
      </c>
      <c r="E646" t="s">
        <v>1738</v>
      </c>
      <c r="F646" t="s">
        <v>52</v>
      </c>
      <c r="G646" t="s">
        <v>16231</v>
      </c>
      <c r="H646" t="s">
        <v>47054</v>
      </c>
      <c r="I646" t="s">
        <v>47111</v>
      </c>
      <c r="J646" t="s">
        <v>47112</v>
      </c>
      <c r="K646" t="s">
        <v>47113</v>
      </c>
      <c r="L646">
        <v>39.28</v>
      </c>
      <c r="M646">
        <v>92</v>
      </c>
      <c r="N646">
        <v>0</v>
      </c>
      <c r="O646">
        <v>92</v>
      </c>
      <c r="P646">
        <v>0</v>
      </c>
    </row>
    <row r="647" spans="1:16" x14ac:dyDescent="0.25">
      <c r="A647" t="s">
        <v>23176</v>
      </c>
      <c r="B647" t="s">
        <v>2050</v>
      </c>
      <c r="C647" t="s">
        <v>2051</v>
      </c>
      <c r="D647" t="s">
        <v>1734</v>
      </c>
      <c r="E647" t="s">
        <v>1735</v>
      </c>
      <c r="F647" t="s">
        <v>52</v>
      </c>
      <c r="G647" t="s">
        <v>16231</v>
      </c>
      <c r="H647" t="s">
        <v>47054</v>
      </c>
      <c r="I647" t="s">
        <v>47111</v>
      </c>
      <c r="J647" t="s">
        <v>47112</v>
      </c>
      <c r="K647" t="s">
        <v>47113</v>
      </c>
      <c r="L647">
        <v>41.5</v>
      </c>
      <c r="M647">
        <v>97</v>
      </c>
      <c r="N647">
        <v>0</v>
      </c>
      <c r="O647">
        <v>97</v>
      </c>
      <c r="P647">
        <v>0</v>
      </c>
    </row>
    <row r="648" spans="1:16" x14ac:dyDescent="0.25">
      <c r="A648" t="s">
        <v>23177</v>
      </c>
      <c r="B648" t="s">
        <v>2052</v>
      </c>
      <c r="C648" t="s">
        <v>2053</v>
      </c>
      <c r="D648" t="str">
        <f>"55"</f>
        <v>55</v>
      </c>
      <c r="E648" t="s">
        <v>7334</v>
      </c>
      <c r="F648" t="s">
        <v>1697</v>
      </c>
      <c r="G648" t="s">
        <v>16231</v>
      </c>
      <c r="H648" t="s">
        <v>47054</v>
      </c>
      <c r="I648" t="s">
        <v>47111</v>
      </c>
      <c r="J648" t="s">
        <v>47112</v>
      </c>
      <c r="K648" t="s">
        <v>47113</v>
      </c>
      <c r="L648">
        <v>55.73</v>
      </c>
      <c r="M648">
        <v>119</v>
      </c>
      <c r="N648">
        <v>0</v>
      </c>
      <c r="O648">
        <v>119</v>
      </c>
      <c r="P648">
        <v>0</v>
      </c>
    </row>
    <row r="649" spans="1:16" x14ac:dyDescent="0.25">
      <c r="A649" t="s">
        <v>23178</v>
      </c>
      <c r="B649" t="s">
        <v>2052</v>
      </c>
      <c r="C649" t="s">
        <v>2053</v>
      </c>
      <c r="D649" t="s">
        <v>2054</v>
      </c>
      <c r="E649" t="s">
        <v>2055</v>
      </c>
      <c r="F649" t="s">
        <v>36</v>
      </c>
      <c r="G649" t="s">
        <v>16231</v>
      </c>
      <c r="H649" t="s">
        <v>47054</v>
      </c>
      <c r="I649" t="s">
        <v>47111</v>
      </c>
      <c r="J649" t="s">
        <v>47112</v>
      </c>
      <c r="K649" t="s">
        <v>47113</v>
      </c>
      <c r="L649">
        <v>54.24</v>
      </c>
      <c r="M649">
        <v>136</v>
      </c>
      <c r="N649">
        <v>0</v>
      </c>
      <c r="O649">
        <v>136</v>
      </c>
      <c r="P649">
        <v>0</v>
      </c>
    </row>
    <row r="650" spans="1:16" x14ac:dyDescent="0.25">
      <c r="A650" t="s">
        <v>23179</v>
      </c>
      <c r="B650" t="s">
        <v>2056</v>
      </c>
      <c r="C650" t="s">
        <v>2057</v>
      </c>
      <c r="D650" t="s">
        <v>2058</v>
      </c>
      <c r="E650" t="s">
        <v>2059</v>
      </c>
      <c r="F650" t="s">
        <v>1401</v>
      </c>
      <c r="G650" t="s">
        <v>16231</v>
      </c>
      <c r="H650" t="s">
        <v>47054</v>
      </c>
      <c r="I650" t="s">
        <v>47111</v>
      </c>
      <c r="J650" t="s">
        <v>47112</v>
      </c>
      <c r="K650" t="s">
        <v>47113</v>
      </c>
      <c r="L650">
        <v>56.06</v>
      </c>
      <c r="M650">
        <v>125</v>
      </c>
      <c r="N650">
        <v>0</v>
      </c>
      <c r="O650">
        <v>125</v>
      </c>
      <c r="P650">
        <v>0</v>
      </c>
    </row>
    <row r="651" spans="1:16" x14ac:dyDescent="0.25">
      <c r="A651" t="s">
        <v>23180</v>
      </c>
      <c r="B651" t="s">
        <v>2060</v>
      </c>
      <c r="C651" t="s">
        <v>2061</v>
      </c>
      <c r="D651" t="str">
        <f>"37"</f>
        <v>37</v>
      </c>
      <c r="E651" t="s">
        <v>2062</v>
      </c>
      <c r="F651" t="s">
        <v>687</v>
      </c>
      <c r="G651" t="s">
        <v>16231</v>
      </c>
      <c r="H651" t="s">
        <v>47054</v>
      </c>
      <c r="I651" t="s">
        <v>47111</v>
      </c>
      <c r="J651" t="s">
        <v>47112</v>
      </c>
      <c r="K651" t="s">
        <v>47113</v>
      </c>
      <c r="L651">
        <v>42.01</v>
      </c>
      <c r="M651">
        <v>94</v>
      </c>
      <c r="N651">
        <v>0</v>
      </c>
      <c r="O651">
        <v>94</v>
      </c>
      <c r="P651">
        <v>0</v>
      </c>
    </row>
    <row r="652" spans="1:16" x14ac:dyDescent="0.25">
      <c r="A652" t="s">
        <v>23181</v>
      </c>
      <c r="B652" t="s">
        <v>2063</v>
      </c>
      <c r="C652" t="s">
        <v>2053</v>
      </c>
      <c r="D652" t="s">
        <v>2010</v>
      </c>
      <c r="E652" t="s">
        <v>2011</v>
      </c>
      <c r="F652" t="s">
        <v>1401</v>
      </c>
      <c r="G652" t="s">
        <v>16231</v>
      </c>
      <c r="H652" t="s">
        <v>47054</v>
      </c>
      <c r="I652" t="s">
        <v>47111</v>
      </c>
      <c r="J652" t="s">
        <v>47112</v>
      </c>
      <c r="K652" t="s">
        <v>47113</v>
      </c>
      <c r="L652">
        <v>53.33</v>
      </c>
      <c r="M652">
        <v>119</v>
      </c>
      <c r="N652">
        <v>0</v>
      </c>
      <c r="O652">
        <v>119</v>
      </c>
      <c r="P652">
        <v>0</v>
      </c>
    </row>
    <row r="653" spans="1:16" x14ac:dyDescent="0.25">
      <c r="A653" t="s">
        <v>23182</v>
      </c>
      <c r="B653" t="s">
        <v>2064</v>
      </c>
      <c r="C653" t="s">
        <v>2053</v>
      </c>
      <c r="D653" t="s">
        <v>721</v>
      </c>
      <c r="E653" t="s">
        <v>722</v>
      </c>
      <c r="F653" t="s">
        <v>2065</v>
      </c>
      <c r="G653" t="s">
        <v>16231</v>
      </c>
      <c r="H653" t="s">
        <v>47054</v>
      </c>
      <c r="I653" t="s">
        <v>47111</v>
      </c>
      <c r="J653" t="s">
        <v>47112</v>
      </c>
      <c r="K653" t="s">
        <v>47113</v>
      </c>
      <c r="L653">
        <v>47.27</v>
      </c>
      <c r="M653">
        <v>107</v>
      </c>
      <c r="N653">
        <v>0</v>
      </c>
      <c r="O653">
        <v>107</v>
      </c>
      <c r="P653">
        <v>0</v>
      </c>
    </row>
    <row r="654" spans="1:16" x14ac:dyDescent="0.25">
      <c r="A654" t="s">
        <v>23183</v>
      </c>
      <c r="B654" t="s">
        <v>2064</v>
      </c>
      <c r="C654" t="s">
        <v>2053</v>
      </c>
      <c r="D654" t="s">
        <v>27</v>
      </c>
      <c r="E654" t="s">
        <v>28</v>
      </c>
      <c r="F654" t="s">
        <v>1717</v>
      </c>
      <c r="G654" t="s">
        <v>16231</v>
      </c>
      <c r="H654" t="s">
        <v>47054</v>
      </c>
      <c r="I654" t="s">
        <v>47111</v>
      </c>
      <c r="J654" t="s">
        <v>47112</v>
      </c>
      <c r="K654" t="s">
        <v>47113</v>
      </c>
      <c r="L654">
        <v>54.54</v>
      </c>
      <c r="M654">
        <v>127</v>
      </c>
      <c r="N654">
        <v>0</v>
      </c>
      <c r="O654">
        <v>127</v>
      </c>
      <c r="P654">
        <v>0</v>
      </c>
    </row>
    <row r="655" spans="1:16" x14ac:dyDescent="0.25">
      <c r="A655" t="s">
        <v>23184</v>
      </c>
      <c r="B655" t="s">
        <v>2064</v>
      </c>
      <c r="C655" t="s">
        <v>2053</v>
      </c>
      <c r="D655" t="str">
        <f>"4178"</f>
        <v>4178</v>
      </c>
      <c r="E655" t="s">
        <v>2017</v>
      </c>
      <c r="F655" t="s">
        <v>7</v>
      </c>
      <c r="G655" t="s">
        <v>16231</v>
      </c>
      <c r="H655" t="s">
        <v>47054</v>
      </c>
      <c r="I655" t="s">
        <v>47111</v>
      </c>
      <c r="J655" t="s">
        <v>47112</v>
      </c>
      <c r="K655" t="s">
        <v>47113</v>
      </c>
      <c r="L655">
        <v>65.55</v>
      </c>
      <c r="M655">
        <v>165</v>
      </c>
      <c r="N655">
        <v>0</v>
      </c>
      <c r="O655">
        <v>165</v>
      </c>
      <c r="P655">
        <v>0</v>
      </c>
    </row>
    <row r="656" spans="1:16" x14ac:dyDescent="0.25">
      <c r="A656" t="s">
        <v>23185</v>
      </c>
      <c r="B656" t="s">
        <v>2064</v>
      </c>
      <c r="C656" t="s">
        <v>2053</v>
      </c>
      <c r="D656" t="str">
        <f>"89"</f>
        <v>89</v>
      </c>
      <c r="E656" t="s">
        <v>1732</v>
      </c>
      <c r="F656" t="s">
        <v>8</v>
      </c>
      <c r="G656" t="s">
        <v>16231</v>
      </c>
      <c r="H656" t="s">
        <v>47054</v>
      </c>
      <c r="I656" t="s">
        <v>47111</v>
      </c>
      <c r="J656" t="s">
        <v>47112</v>
      </c>
      <c r="K656" t="s">
        <v>47113</v>
      </c>
      <c r="L656">
        <v>51.76</v>
      </c>
      <c r="M656">
        <v>122</v>
      </c>
      <c r="N656">
        <v>0</v>
      </c>
      <c r="O656">
        <v>122</v>
      </c>
      <c r="P656">
        <v>0</v>
      </c>
    </row>
    <row r="657" spans="1:16" x14ac:dyDescent="0.25">
      <c r="A657" t="s">
        <v>23186</v>
      </c>
      <c r="B657" t="s">
        <v>2064</v>
      </c>
      <c r="C657" t="s">
        <v>2053</v>
      </c>
      <c r="D657" t="s">
        <v>2038</v>
      </c>
      <c r="E657" t="s">
        <v>2039</v>
      </c>
      <c r="F657" t="s">
        <v>3</v>
      </c>
      <c r="G657" t="s">
        <v>16231</v>
      </c>
      <c r="H657" t="s">
        <v>47054</v>
      </c>
      <c r="I657" t="s">
        <v>47111</v>
      </c>
      <c r="J657" t="s">
        <v>47112</v>
      </c>
      <c r="K657" t="s">
        <v>47113</v>
      </c>
      <c r="L657">
        <v>61.87</v>
      </c>
      <c r="M657">
        <v>128</v>
      </c>
      <c r="N657">
        <v>0</v>
      </c>
      <c r="O657">
        <v>128</v>
      </c>
      <c r="P657">
        <v>0</v>
      </c>
    </row>
    <row r="658" spans="1:16" x14ac:dyDescent="0.25">
      <c r="A658" t="s">
        <v>23187</v>
      </c>
      <c r="B658" t="s">
        <v>2064</v>
      </c>
      <c r="C658" t="s">
        <v>2053</v>
      </c>
      <c r="D658" t="s">
        <v>2040</v>
      </c>
      <c r="E658" t="s">
        <v>2041</v>
      </c>
      <c r="F658" t="s">
        <v>3</v>
      </c>
      <c r="G658" t="s">
        <v>16231</v>
      </c>
      <c r="H658" t="s">
        <v>47054</v>
      </c>
      <c r="I658" t="s">
        <v>47111</v>
      </c>
      <c r="J658" t="s">
        <v>47112</v>
      </c>
      <c r="K658" t="s">
        <v>47113</v>
      </c>
      <c r="L658">
        <v>59.85</v>
      </c>
      <c r="M658">
        <v>134</v>
      </c>
      <c r="N658">
        <v>0</v>
      </c>
      <c r="O658">
        <v>134</v>
      </c>
      <c r="P658">
        <v>0</v>
      </c>
    </row>
    <row r="659" spans="1:16" x14ac:dyDescent="0.25">
      <c r="A659" t="s">
        <v>23188</v>
      </c>
      <c r="B659" t="s">
        <v>2064</v>
      </c>
      <c r="C659" t="s">
        <v>2053</v>
      </c>
      <c r="D659" t="s">
        <v>2042</v>
      </c>
      <c r="E659" t="s">
        <v>2043</v>
      </c>
      <c r="F659" t="s">
        <v>3</v>
      </c>
      <c r="G659" t="s">
        <v>16231</v>
      </c>
      <c r="H659" t="s">
        <v>47054</v>
      </c>
      <c r="I659" t="s">
        <v>47111</v>
      </c>
      <c r="J659" t="s">
        <v>47112</v>
      </c>
      <c r="K659" t="s">
        <v>47113</v>
      </c>
      <c r="L659">
        <v>54.8</v>
      </c>
      <c r="M659">
        <v>123</v>
      </c>
      <c r="N659">
        <v>0</v>
      </c>
      <c r="O659">
        <v>123</v>
      </c>
      <c r="P659">
        <v>0</v>
      </c>
    </row>
    <row r="660" spans="1:16" x14ac:dyDescent="0.25">
      <c r="A660" t="s">
        <v>23189</v>
      </c>
      <c r="B660" t="s">
        <v>2064</v>
      </c>
      <c r="C660" t="s">
        <v>2053</v>
      </c>
      <c r="D660" t="s">
        <v>2044</v>
      </c>
      <c r="E660" t="s">
        <v>2045</v>
      </c>
      <c r="F660" t="s">
        <v>3</v>
      </c>
      <c r="G660" t="s">
        <v>16231</v>
      </c>
      <c r="H660" t="s">
        <v>47054</v>
      </c>
      <c r="I660" t="s">
        <v>47111</v>
      </c>
      <c r="J660" t="s">
        <v>47112</v>
      </c>
      <c r="K660" t="s">
        <v>47113</v>
      </c>
      <c r="L660">
        <v>59.87</v>
      </c>
      <c r="M660">
        <v>138</v>
      </c>
      <c r="N660">
        <v>0</v>
      </c>
      <c r="O660">
        <v>138</v>
      </c>
      <c r="P660">
        <v>0</v>
      </c>
    </row>
    <row r="661" spans="1:16" x14ac:dyDescent="0.25">
      <c r="A661" t="s">
        <v>23190</v>
      </c>
      <c r="B661" t="s">
        <v>2064</v>
      </c>
      <c r="C661" t="s">
        <v>2053</v>
      </c>
      <c r="D661" t="s">
        <v>2046</v>
      </c>
      <c r="E661" t="s">
        <v>2047</v>
      </c>
      <c r="F661" t="s">
        <v>3</v>
      </c>
      <c r="G661" t="s">
        <v>16231</v>
      </c>
      <c r="H661" t="s">
        <v>47054</v>
      </c>
      <c r="I661" t="s">
        <v>47111</v>
      </c>
      <c r="J661" t="s">
        <v>47112</v>
      </c>
      <c r="K661" t="s">
        <v>47113</v>
      </c>
      <c r="L661">
        <v>63.97</v>
      </c>
      <c r="M661">
        <v>146</v>
      </c>
      <c r="N661">
        <v>0</v>
      </c>
      <c r="O661">
        <v>146</v>
      </c>
      <c r="P661">
        <v>0</v>
      </c>
    </row>
    <row r="662" spans="1:16" x14ac:dyDescent="0.25">
      <c r="A662" t="s">
        <v>23191</v>
      </c>
      <c r="B662" t="s">
        <v>2064</v>
      </c>
      <c r="C662" t="s">
        <v>2053</v>
      </c>
      <c r="D662" t="s">
        <v>2048</v>
      </c>
      <c r="E662" t="s">
        <v>2049</v>
      </c>
      <c r="F662" t="s">
        <v>5</v>
      </c>
      <c r="G662" t="s">
        <v>16231</v>
      </c>
      <c r="H662" t="s">
        <v>47054</v>
      </c>
      <c r="I662" t="s">
        <v>47111</v>
      </c>
      <c r="J662" t="s">
        <v>47112</v>
      </c>
      <c r="K662" t="s">
        <v>47113</v>
      </c>
      <c r="L662">
        <v>57.25</v>
      </c>
      <c r="M662">
        <v>128</v>
      </c>
      <c r="N662">
        <v>0</v>
      </c>
      <c r="O662">
        <v>128</v>
      </c>
      <c r="P662">
        <v>0</v>
      </c>
    </row>
    <row r="663" spans="1:16" x14ac:dyDescent="0.25">
      <c r="A663" t="s">
        <v>23192</v>
      </c>
      <c r="B663" t="s">
        <v>2064</v>
      </c>
      <c r="C663" t="s">
        <v>2053</v>
      </c>
      <c r="D663" t="s">
        <v>1788</v>
      </c>
      <c r="E663" t="s">
        <v>1789</v>
      </c>
      <c r="F663" t="s">
        <v>36</v>
      </c>
      <c r="G663" t="s">
        <v>16231</v>
      </c>
      <c r="H663" t="s">
        <v>47054</v>
      </c>
      <c r="I663" t="s">
        <v>47111</v>
      </c>
      <c r="J663" t="s">
        <v>47112</v>
      </c>
      <c r="K663" t="s">
        <v>47113</v>
      </c>
      <c r="L663">
        <v>52.87</v>
      </c>
      <c r="M663">
        <v>118</v>
      </c>
      <c r="N663">
        <v>0</v>
      </c>
      <c r="O663">
        <v>118</v>
      </c>
      <c r="P663">
        <v>0</v>
      </c>
    </row>
    <row r="664" spans="1:16" x14ac:dyDescent="0.25">
      <c r="A664" t="s">
        <v>23193</v>
      </c>
      <c r="B664" t="s">
        <v>2064</v>
      </c>
      <c r="C664" t="s">
        <v>2053</v>
      </c>
      <c r="D664" t="s">
        <v>1706</v>
      </c>
      <c r="E664" t="s">
        <v>1707</v>
      </c>
      <c r="F664" t="s">
        <v>631</v>
      </c>
      <c r="G664" t="s">
        <v>16231</v>
      </c>
      <c r="H664" t="s">
        <v>47054</v>
      </c>
      <c r="I664" t="s">
        <v>47111</v>
      </c>
      <c r="J664" t="s">
        <v>47112</v>
      </c>
      <c r="K664" t="s">
        <v>47113</v>
      </c>
      <c r="L664">
        <v>58.57</v>
      </c>
      <c r="M664">
        <v>138</v>
      </c>
      <c r="N664">
        <v>0</v>
      </c>
      <c r="O664">
        <v>138</v>
      </c>
      <c r="P664">
        <v>0</v>
      </c>
    </row>
    <row r="665" spans="1:16" x14ac:dyDescent="0.25">
      <c r="A665" t="s">
        <v>23194</v>
      </c>
      <c r="B665" t="s">
        <v>2064</v>
      </c>
      <c r="C665" t="s">
        <v>2053</v>
      </c>
      <c r="D665" t="s">
        <v>2018</v>
      </c>
      <c r="E665" t="s">
        <v>2019</v>
      </c>
      <c r="F665" t="s">
        <v>8</v>
      </c>
      <c r="G665" t="s">
        <v>16231</v>
      </c>
      <c r="H665" t="s">
        <v>47054</v>
      </c>
      <c r="I665" t="s">
        <v>47111</v>
      </c>
      <c r="J665" t="s">
        <v>47112</v>
      </c>
      <c r="K665" t="s">
        <v>47113</v>
      </c>
      <c r="L665">
        <v>60.36</v>
      </c>
      <c r="M665">
        <v>144</v>
      </c>
      <c r="N665">
        <v>0</v>
      </c>
      <c r="O665">
        <v>144</v>
      </c>
      <c r="P665">
        <v>0</v>
      </c>
    </row>
    <row r="666" spans="1:16" x14ac:dyDescent="0.25">
      <c r="A666" t="s">
        <v>23195</v>
      </c>
      <c r="B666" t="s">
        <v>2064</v>
      </c>
      <c r="C666" t="s">
        <v>2053</v>
      </c>
      <c r="D666" t="s">
        <v>1703</v>
      </c>
      <c r="E666" t="s">
        <v>1704</v>
      </c>
      <c r="F666" t="s">
        <v>8</v>
      </c>
      <c r="G666" t="s">
        <v>16231</v>
      </c>
      <c r="H666" t="s">
        <v>47054</v>
      </c>
      <c r="I666" t="s">
        <v>47111</v>
      </c>
      <c r="J666" t="s">
        <v>47112</v>
      </c>
      <c r="K666" t="s">
        <v>47113</v>
      </c>
      <c r="L666">
        <v>55.22</v>
      </c>
      <c r="M666">
        <v>131</v>
      </c>
      <c r="N666">
        <v>0</v>
      </c>
      <c r="O666">
        <v>131</v>
      </c>
      <c r="P666">
        <v>0</v>
      </c>
    </row>
    <row r="667" spans="1:16" x14ac:dyDescent="0.25">
      <c r="A667" t="s">
        <v>23196</v>
      </c>
      <c r="B667" t="s">
        <v>2064</v>
      </c>
      <c r="C667" t="s">
        <v>2053</v>
      </c>
      <c r="D667" t="s">
        <v>2020</v>
      </c>
      <c r="E667" t="s">
        <v>2021</v>
      </c>
      <c r="F667" t="s">
        <v>8</v>
      </c>
      <c r="G667" t="s">
        <v>16231</v>
      </c>
      <c r="H667" t="s">
        <v>47054</v>
      </c>
      <c r="I667" t="s">
        <v>47111</v>
      </c>
      <c r="J667" t="s">
        <v>47112</v>
      </c>
      <c r="K667" t="s">
        <v>47113</v>
      </c>
      <c r="L667">
        <v>56.35</v>
      </c>
      <c r="M667">
        <v>133</v>
      </c>
      <c r="N667">
        <v>0</v>
      </c>
      <c r="O667">
        <v>133</v>
      </c>
      <c r="P667">
        <v>0</v>
      </c>
    </row>
    <row r="668" spans="1:16" x14ac:dyDescent="0.25">
      <c r="A668" t="s">
        <v>14709</v>
      </c>
      <c r="B668" t="s">
        <v>2064</v>
      </c>
      <c r="C668" t="s">
        <v>2053</v>
      </c>
      <c r="D668" t="s">
        <v>294</v>
      </c>
      <c r="E668" t="s">
        <v>295</v>
      </c>
      <c r="F668" t="s">
        <v>7</v>
      </c>
      <c r="G668" t="s">
        <v>16231</v>
      </c>
      <c r="H668" t="s">
        <v>47054</v>
      </c>
      <c r="I668" t="s">
        <v>47111</v>
      </c>
      <c r="J668" t="s">
        <v>47112</v>
      </c>
      <c r="K668" t="s">
        <v>47113</v>
      </c>
      <c r="L668">
        <v>60.7</v>
      </c>
      <c r="M668">
        <v>125</v>
      </c>
      <c r="N668">
        <v>0</v>
      </c>
      <c r="O668">
        <v>125</v>
      </c>
      <c r="P668">
        <v>0</v>
      </c>
    </row>
    <row r="669" spans="1:16" x14ac:dyDescent="0.25">
      <c r="A669" t="s">
        <v>23197</v>
      </c>
      <c r="B669" t="s">
        <v>2064</v>
      </c>
      <c r="C669" t="s">
        <v>2053</v>
      </c>
      <c r="D669" t="s">
        <v>2028</v>
      </c>
      <c r="E669" t="s">
        <v>2029</v>
      </c>
      <c r="F669" t="s">
        <v>56</v>
      </c>
      <c r="G669" t="s">
        <v>16231</v>
      </c>
      <c r="H669" t="s">
        <v>47054</v>
      </c>
      <c r="I669" t="s">
        <v>47111</v>
      </c>
      <c r="J669" t="s">
        <v>47112</v>
      </c>
      <c r="K669" t="s">
        <v>47113</v>
      </c>
      <c r="L669">
        <v>61.66</v>
      </c>
      <c r="M669">
        <v>129</v>
      </c>
      <c r="N669">
        <v>0</v>
      </c>
      <c r="O669">
        <v>129</v>
      </c>
      <c r="P669">
        <v>0</v>
      </c>
    </row>
    <row r="670" spans="1:16" x14ac:dyDescent="0.25">
      <c r="A670" t="s">
        <v>23198</v>
      </c>
      <c r="B670" t="s">
        <v>2064</v>
      </c>
      <c r="C670" t="s">
        <v>2053</v>
      </c>
      <c r="D670" t="s">
        <v>1792</v>
      </c>
      <c r="E670" t="s">
        <v>1793</v>
      </c>
      <c r="F670" t="s">
        <v>52</v>
      </c>
      <c r="G670" t="s">
        <v>16231</v>
      </c>
      <c r="H670" t="s">
        <v>47054</v>
      </c>
      <c r="I670" t="s">
        <v>47111</v>
      </c>
      <c r="J670" t="s">
        <v>47112</v>
      </c>
      <c r="K670" t="s">
        <v>47113</v>
      </c>
      <c r="L670">
        <v>54.64</v>
      </c>
      <c r="M670">
        <v>123</v>
      </c>
      <c r="N670">
        <v>0</v>
      </c>
      <c r="O670">
        <v>123</v>
      </c>
      <c r="P670">
        <v>0</v>
      </c>
    </row>
    <row r="671" spans="1:16" x14ac:dyDescent="0.25">
      <c r="A671" t="s">
        <v>23199</v>
      </c>
      <c r="B671" t="s">
        <v>2064</v>
      </c>
      <c r="C671" t="s">
        <v>2053</v>
      </c>
      <c r="D671" t="s">
        <v>1737</v>
      </c>
      <c r="E671" t="s">
        <v>1738</v>
      </c>
      <c r="F671" t="s">
        <v>56</v>
      </c>
      <c r="G671" t="s">
        <v>16231</v>
      </c>
      <c r="H671" t="s">
        <v>47054</v>
      </c>
      <c r="I671" t="s">
        <v>47111</v>
      </c>
      <c r="J671" t="s">
        <v>47112</v>
      </c>
      <c r="K671" t="s">
        <v>47113</v>
      </c>
      <c r="L671">
        <v>56.16</v>
      </c>
      <c r="M671">
        <v>123</v>
      </c>
      <c r="N671">
        <v>0</v>
      </c>
      <c r="O671">
        <v>123</v>
      </c>
      <c r="P671">
        <v>0</v>
      </c>
    </row>
    <row r="672" spans="1:16" x14ac:dyDescent="0.25">
      <c r="A672" t="s">
        <v>23200</v>
      </c>
      <c r="B672" t="s">
        <v>2064</v>
      </c>
      <c r="C672" t="s">
        <v>2053</v>
      </c>
      <c r="D672" t="s">
        <v>1734</v>
      </c>
      <c r="E672" t="s">
        <v>1735</v>
      </c>
      <c r="F672" t="s">
        <v>52</v>
      </c>
      <c r="G672" t="s">
        <v>16231</v>
      </c>
      <c r="H672" t="s">
        <v>47054</v>
      </c>
      <c r="I672" t="s">
        <v>47111</v>
      </c>
      <c r="J672" t="s">
        <v>47112</v>
      </c>
      <c r="K672" t="s">
        <v>47113</v>
      </c>
      <c r="L672">
        <v>57.95</v>
      </c>
      <c r="M672">
        <v>141</v>
      </c>
      <c r="N672">
        <v>0</v>
      </c>
      <c r="O672">
        <v>141</v>
      </c>
      <c r="P672">
        <v>0</v>
      </c>
    </row>
    <row r="673" spans="1:16" x14ac:dyDescent="0.25">
      <c r="A673" t="s">
        <v>23201</v>
      </c>
      <c r="B673" t="s">
        <v>2064</v>
      </c>
      <c r="C673" t="s">
        <v>2053</v>
      </c>
      <c r="D673" t="s">
        <v>1774</v>
      </c>
      <c r="E673" t="s">
        <v>1775</v>
      </c>
      <c r="F673" t="s">
        <v>56</v>
      </c>
      <c r="G673" t="s">
        <v>16231</v>
      </c>
      <c r="H673" t="s">
        <v>47054</v>
      </c>
      <c r="I673" t="s">
        <v>47111</v>
      </c>
      <c r="J673" t="s">
        <v>47112</v>
      </c>
      <c r="K673" t="s">
        <v>47113</v>
      </c>
      <c r="L673">
        <v>59.22</v>
      </c>
      <c r="M673">
        <v>130</v>
      </c>
      <c r="N673">
        <v>0</v>
      </c>
      <c r="O673">
        <v>130</v>
      </c>
      <c r="P673">
        <v>0</v>
      </c>
    </row>
    <row r="674" spans="1:16" x14ac:dyDescent="0.25">
      <c r="A674" t="s">
        <v>23202</v>
      </c>
      <c r="B674" t="s">
        <v>2064</v>
      </c>
      <c r="C674" t="s">
        <v>2053</v>
      </c>
      <c r="D674" t="s">
        <v>1740</v>
      </c>
      <c r="E674" t="s">
        <v>1741</v>
      </c>
      <c r="F674" t="s">
        <v>7</v>
      </c>
      <c r="G674" t="s">
        <v>16231</v>
      </c>
      <c r="H674" t="s">
        <v>47054</v>
      </c>
      <c r="I674" t="s">
        <v>47111</v>
      </c>
      <c r="J674" t="s">
        <v>47112</v>
      </c>
      <c r="K674" t="s">
        <v>47113</v>
      </c>
      <c r="L674">
        <v>57.91</v>
      </c>
      <c r="M674">
        <v>129</v>
      </c>
      <c r="N674">
        <v>0</v>
      </c>
      <c r="O674">
        <v>129</v>
      </c>
      <c r="P674">
        <v>0</v>
      </c>
    </row>
    <row r="675" spans="1:16" x14ac:dyDescent="0.25">
      <c r="A675" t="s">
        <v>23203</v>
      </c>
      <c r="B675" t="s">
        <v>2064</v>
      </c>
      <c r="C675" t="s">
        <v>2053</v>
      </c>
      <c r="D675" t="s">
        <v>2022</v>
      </c>
      <c r="E675" t="s">
        <v>2023</v>
      </c>
      <c r="F675" t="s">
        <v>7</v>
      </c>
      <c r="G675" t="s">
        <v>16231</v>
      </c>
      <c r="H675" t="s">
        <v>47054</v>
      </c>
      <c r="I675" t="s">
        <v>47111</v>
      </c>
      <c r="J675" t="s">
        <v>47112</v>
      </c>
      <c r="K675" t="s">
        <v>47113</v>
      </c>
      <c r="L675">
        <v>57.91</v>
      </c>
      <c r="M675">
        <v>146</v>
      </c>
      <c r="N675">
        <v>0</v>
      </c>
      <c r="O675">
        <v>146</v>
      </c>
      <c r="P675">
        <v>0</v>
      </c>
    </row>
    <row r="676" spans="1:16" x14ac:dyDescent="0.25">
      <c r="A676" t="s">
        <v>23204</v>
      </c>
      <c r="B676" t="s">
        <v>2066</v>
      </c>
      <c r="C676" t="s">
        <v>2067</v>
      </c>
      <c r="D676" t="s">
        <v>1792</v>
      </c>
      <c r="E676" t="s">
        <v>1793</v>
      </c>
      <c r="F676" t="s">
        <v>2068</v>
      </c>
      <c r="G676" t="s">
        <v>16231</v>
      </c>
      <c r="H676" t="s">
        <v>47054</v>
      </c>
      <c r="I676" t="s">
        <v>47111</v>
      </c>
      <c r="J676" t="s">
        <v>47112</v>
      </c>
      <c r="K676" t="s">
        <v>47113</v>
      </c>
      <c r="L676">
        <v>52.38</v>
      </c>
      <c r="M676">
        <v>124</v>
      </c>
      <c r="N676">
        <v>0</v>
      </c>
      <c r="O676">
        <v>124</v>
      </c>
      <c r="P676">
        <v>0</v>
      </c>
    </row>
    <row r="677" spans="1:16" x14ac:dyDescent="0.25">
      <c r="A677" t="s">
        <v>23205</v>
      </c>
      <c r="B677" t="s">
        <v>2069</v>
      </c>
      <c r="C677" t="s">
        <v>1696</v>
      </c>
      <c r="D677" t="str">
        <f>"01"</f>
        <v>01</v>
      </c>
      <c r="E677" t="s">
        <v>2070</v>
      </c>
      <c r="F677" t="s">
        <v>1685</v>
      </c>
      <c r="G677" t="s">
        <v>16231</v>
      </c>
      <c r="H677" t="s">
        <v>47054</v>
      </c>
      <c r="I677" t="s">
        <v>47111</v>
      </c>
      <c r="J677" t="s">
        <v>47112</v>
      </c>
      <c r="K677" t="s">
        <v>47113</v>
      </c>
      <c r="L677">
        <v>24.62</v>
      </c>
      <c r="M677">
        <v>61</v>
      </c>
      <c r="N677">
        <v>0</v>
      </c>
      <c r="O677">
        <v>61</v>
      </c>
      <c r="P677">
        <v>0</v>
      </c>
    </row>
    <row r="678" spans="1:16" x14ac:dyDescent="0.25">
      <c r="A678" t="s">
        <v>23206</v>
      </c>
      <c r="B678" t="s">
        <v>2069</v>
      </c>
      <c r="C678" t="s">
        <v>1696</v>
      </c>
      <c r="D678" t="s">
        <v>1718</v>
      </c>
      <c r="E678" t="s">
        <v>1719</v>
      </c>
      <c r="F678" t="s">
        <v>1401</v>
      </c>
      <c r="G678" t="s">
        <v>16231</v>
      </c>
      <c r="H678" t="s">
        <v>47054</v>
      </c>
      <c r="I678" t="s">
        <v>47111</v>
      </c>
      <c r="J678" t="s">
        <v>47112</v>
      </c>
      <c r="K678" t="s">
        <v>47113</v>
      </c>
      <c r="L678">
        <v>33.92</v>
      </c>
      <c r="M678">
        <v>77</v>
      </c>
      <c r="N678">
        <v>0</v>
      </c>
      <c r="O678">
        <v>77</v>
      </c>
      <c r="P678">
        <v>0</v>
      </c>
    </row>
    <row r="679" spans="1:16" x14ac:dyDescent="0.25">
      <c r="A679" t="s">
        <v>23207</v>
      </c>
      <c r="B679" t="s">
        <v>2071</v>
      </c>
      <c r="C679" t="s">
        <v>2072</v>
      </c>
      <c r="D679" t="s">
        <v>721</v>
      </c>
      <c r="E679" t="s">
        <v>722</v>
      </c>
      <c r="F679" t="s">
        <v>631</v>
      </c>
      <c r="G679" t="s">
        <v>16231</v>
      </c>
      <c r="H679" t="s">
        <v>47054</v>
      </c>
      <c r="I679" t="s">
        <v>47111</v>
      </c>
      <c r="J679" t="s">
        <v>47112</v>
      </c>
      <c r="K679" t="s">
        <v>47113</v>
      </c>
      <c r="L679">
        <v>30.18</v>
      </c>
      <c r="M679">
        <v>72</v>
      </c>
      <c r="N679">
        <v>0</v>
      </c>
      <c r="O679">
        <v>72</v>
      </c>
      <c r="P679">
        <v>0</v>
      </c>
    </row>
    <row r="680" spans="1:16" x14ac:dyDescent="0.25">
      <c r="A680" t="s">
        <v>23208</v>
      </c>
      <c r="B680" t="s">
        <v>2071</v>
      </c>
      <c r="C680" t="s">
        <v>2072</v>
      </c>
      <c r="D680" t="str">
        <f>"89"</f>
        <v>89</v>
      </c>
      <c r="E680" t="s">
        <v>1732</v>
      </c>
      <c r="F680" t="s">
        <v>8</v>
      </c>
      <c r="G680" t="s">
        <v>16231</v>
      </c>
      <c r="H680" t="s">
        <v>47054</v>
      </c>
      <c r="I680" t="s">
        <v>47111</v>
      </c>
      <c r="J680" t="s">
        <v>47112</v>
      </c>
      <c r="K680" t="s">
        <v>47113</v>
      </c>
      <c r="L680">
        <v>35.32</v>
      </c>
      <c r="M680">
        <v>84</v>
      </c>
      <c r="N680">
        <v>0</v>
      </c>
      <c r="O680">
        <v>84</v>
      </c>
      <c r="P680">
        <v>0</v>
      </c>
    </row>
    <row r="681" spans="1:16" x14ac:dyDescent="0.25">
      <c r="A681" t="s">
        <v>23209</v>
      </c>
      <c r="B681" t="s">
        <v>2071</v>
      </c>
      <c r="C681" t="s">
        <v>2072</v>
      </c>
      <c r="D681" t="s">
        <v>2026</v>
      </c>
      <c r="E681" t="s">
        <v>2027</v>
      </c>
      <c r="F681" t="s">
        <v>631</v>
      </c>
      <c r="G681" t="s">
        <v>16231</v>
      </c>
      <c r="H681" t="s">
        <v>47054</v>
      </c>
      <c r="I681" t="s">
        <v>47111</v>
      </c>
      <c r="J681" t="s">
        <v>47112</v>
      </c>
      <c r="K681" t="s">
        <v>47113</v>
      </c>
      <c r="L681">
        <v>40.71</v>
      </c>
      <c r="M681">
        <v>98</v>
      </c>
      <c r="N681">
        <v>0</v>
      </c>
      <c r="O681">
        <v>98</v>
      </c>
      <c r="P681">
        <v>0</v>
      </c>
    </row>
    <row r="682" spans="1:16" x14ac:dyDescent="0.25">
      <c r="A682" t="s">
        <v>23210</v>
      </c>
      <c r="B682" t="s">
        <v>2071</v>
      </c>
      <c r="C682" t="s">
        <v>2072</v>
      </c>
      <c r="D682" t="s">
        <v>2018</v>
      </c>
      <c r="E682" t="s">
        <v>2019</v>
      </c>
      <c r="F682" t="s">
        <v>8</v>
      </c>
      <c r="G682" t="s">
        <v>16231</v>
      </c>
      <c r="H682" t="s">
        <v>47054</v>
      </c>
      <c r="I682" t="s">
        <v>47111</v>
      </c>
      <c r="J682" t="s">
        <v>47112</v>
      </c>
      <c r="K682" t="s">
        <v>47113</v>
      </c>
      <c r="L682">
        <v>44</v>
      </c>
      <c r="M682">
        <v>97</v>
      </c>
      <c r="N682">
        <v>0</v>
      </c>
      <c r="O682">
        <v>97</v>
      </c>
      <c r="P682">
        <v>0</v>
      </c>
    </row>
    <row r="683" spans="1:16" x14ac:dyDescent="0.25">
      <c r="A683" t="s">
        <v>23211</v>
      </c>
      <c r="B683" t="s">
        <v>2071</v>
      </c>
      <c r="C683" t="s">
        <v>2072</v>
      </c>
      <c r="D683" t="s">
        <v>1703</v>
      </c>
      <c r="E683" t="s">
        <v>1704</v>
      </c>
      <c r="F683" t="s">
        <v>631</v>
      </c>
      <c r="G683" t="s">
        <v>16231</v>
      </c>
      <c r="H683" t="s">
        <v>47054</v>
      </c>
      <c r="I683" t="s">
        <v>47111</v>
      </c>
      <c r="J683" t="s">
        <v>47112</v>
      </c>
      <c r="K683" t="s">
        <v>47113</v>
      </c>
      <c r="L683">
        <v>37.81</v>
      </c>
      <c r="M683">
        <v>93</v>
      </c>
      <c r="N683">
        <v>0</v>
      </c>
      <c r="O683">
        <v>93</v>
      </c>
      <c r="P683">
        <v>0</v>
      </c>
    </row>
    <row r="684" spans="1:16" x14ac:dyDescent="0.25">
      <c r="A684" t="s">
        <v>23212</v>
      </c>
      <c r="B684" t="s">
        <v>2071</v>
      </c>
      <c r="C684" t="s">
        <v>2072</v>
      </c>
      <c r="D684" t="s">
        <v>2020</v>
      </c>
      <c r="E684" t="s">
        <v>2021</v>
      </c>
      <c r="F684" t="s">
        <v>8</v>
      </c>
      <c r="G684" t="s">
        <v>16231</v>
      </c>
      <c r="H684" t="s">
        <v>47054</v>
      </c>
      <c r="I684" t="s">
        <v>47111</v>
      </c>
      <c r="J684" t="s">
        <v>47112</v>
      </c>
      <c r="K684" t="s">
        <v>47113</v>
      </c>
      <c r="L684">
        <v>39.42</v>
      </c>
      <c r="M684">
        <v>95</v>
      </c>
      <c r="N684">
        <v>0</v>
      </c>
      <c r="O684">
        <v>95</v>
      </c>
      <c r="P684">
        <v>0</v>
      </c>
    </row>
    <row r="685" spans="1:16" x14ac:dyDescent="0.25">
      <c r="A685" t="s">
        <v>23213</v>
      </c>
      <c r="B685" t="s">
        <v>2071</v>
      </c>
      <c r="C685" t="s">
        <v>2072</v>
      </c>
      <c r="D685" t="s">
        <v>1363</v>
      </c>
      <c r="E685" t="s">
        <v>1364</v>
      </c>
      <c r="F685" t="s">
        <v>58</v>
      </c>
      <c r="G685" t="s">
        <v>16231</v>
      </c>
      <c r="H685" t="s">
        <v>47054</v>
      </c>
      <c r="I685" t="s">
        <v>47111</v>
      </c>
      <c r="J685" t="s">
        <v>47112</v>
      </c>
      <c r="K685" t="s">
        <v>47113</v>
      </c>
      <c r="L685">
        <v>43.19</v>
      </c>
      <c r="M685">
        <v>104</v>
      </c>
      <c r="N685">
        <v>0</v>
      </c>
      <c r="O685">
        <v>104</v>
      </c>
      <c r="P685">
        <v>0</v>
      </c>
    </row>
    <row r="686" spans="1:16" x14ac:dyDescent="0.25">
      <c r="A686" t="s">
        <v>23214</v>
      </c>
      <c r="B686" t="s">
        <v>2071</v>
      </c>
      <c r="C686" t="s">
        <v>2072</v>
      </c>
      <c r="D686" t="s">
        <v>1722</v>
      </c>
      <c r="E686" t="s">
        <v>1723</v>
      </c>
      <c r="F686" t="s">
        <v>8</v>
      </c>
      <c r="G686" t="s">
        <v>16231</v>
      </c>
      <c r="H686" t="s">
        <v>47054</v>
      </c>
      <c r="I686" t="s">
        <v>47111</v>
      </c>
      <c r="J686" t="s">
        <v>47112</v>
      </c>
      <c r="K686" t="s">
        <v>47113</v>
      </c>
      <c r="L686">
        <v>42.59</v>
      </c>
      <c r="M686">
        <v>95</v>
      </c>
      <c r="N686">
        <v>0</v>
      </c>
      <c r="O686">
        <v>95</v>
      </c>
      <c r="P686">
        <v>0</v>
      </c>
    </row>
    <row r="687" spans="1:16" x14ac:dyDescent="0.25">
      <c r="A687" t="s">
        <v>23215</v>
      </c>
      <c r="B687" t="s">
        <v>2071</v>
      </c>
      <c r="C687" t="s">
        <v>2072</v>
      </c>
      <c r="D687" t="s">
        <v>1737</v>
      </c>
      <c r="E687" t="s">
        <v>1738</v>
      </c>
      <c r="F687" t="s">
        <v>52</v>
      </c>
      <c r="G687" t="s">
        <v>16231</v>
      </c>
      <c r="H687" t="s">
        <v>47054</v>
      </c>
      <c r="I687" t="s">
        <v>47111</v>
      </c>
      <c r="J687" t="s">
        <v>47112</v>
      </c>
      <c r="K687" t="s">
        <v>47113</v>
      </c>
      <c r="L687">
        <v>39.520000000000003</v>
      </c>
      <c r="M687">
        <v>92</v>
      </c>
      <c r="N687">
        <v>0</v>
      </c>
      <c r="O687">
        <v>92</v>
      </c>
      <c r="P687">
        <v>0</v>
      </c>
    </row>
    <row r="688" spans="1:16" x14ac:dyDescent="0.25">
      <c r="A688" t="s">
        <v>23216</v>
      </c>
      <c r="B688" t="s">
        <v>2071</v>
      </c>
      <c r="C688" t="s">
        <v>2072</v>
      </c>
      <c r="D688" t="s">
        <v>1734</v>
      </c>
      <c r="E688" t="s">
        <v>1735</v>
      </c>
      <c r="F688" t="s">
        <v>52</v>
      </c>
      <c r="G688" t="s">
        <v>16231</v>
      </c>
      <c r="H688" t="s">
        <v>47054</v>
      </c>
      <c r="I688" t="s">
        <v>47111</v>
      </c>
      <c r="J688" t="s">
        <v>47112</v>
      </c>
      <c r="K688" t="s">
        <v>47113</v>
      </c>
      <c r="L688">
        <v>41.74</v>
      </c>
      <c r="M688">
        <v>97</v>
      </c>
      <c r="N688">
        <v>0</v>
      </c>
      <c r="O688">
        <v>97</v>
      </c>
      <c r="P688">
        <v>0</v>
      </c>
    </row>
    <row r="689" spans="1:16" x14ac:dyDescent="0.25">
      <c r="A689" t="s">
        <v>23217</v>
      </c>
      <c r="B689" t="s">
        <v>2073</v>
      </c>
      <c r="C689" t="s">
        <v>2074</v>
      </c>
      <c r="D689" t="s">
        <v>27</v>
      </c>
      <c r="E689" t="s">
        <v>622</v>
      </c>
      <c r="F689" t="s">
        <v>1717</v>
      </c>
      <c r="G689" t="s">
        <v>16231</v>
      </c>
      <c r="H689" t="s">
        <v>47054</v>
      </c>
      <c r="I689" t="s">
        <v>47111</v>
      </c>
      <c r="J689" t="s">
        <v>47112</v>
      </c>
      <c r="K689" t="s">
        <v>47113</v>
      </c>
      <c r="L689">
        <v>47.42</v>
      </c>
      <c r="M689">
        <v>124</v>
      </c>
      <c r="N689">
        <v>0</v>
      </c>
      <c r="O689">
        <v>124</v>
      </c>
      <c r="P689">
        <v>0</v>
      </c>
    </row>
    <row r="690" spans="1:16" x14ac:dyDescent="0.25">
      <c r="A690" t="s">
        <v>23218</v>
      </c>
      <c r="B690" t="s">
        <v>2073</v>
      </c>
      <c r="C690" t="s">
        <v>2074</v>
      </c>
      <c r="D690" t="s">
        <v>1737</v>
      </c>
      <c r="E690" t="s">
        <v>1738</v>
      </c>
      <c r="F690" t="s">
        <v>56</v>
      </c>
      <c r="G690" t="s">
        <v>16231</v>
      </c>
      <c r="H690" t="s">
        <v>47054</v>
      </c>
      <c r="I690" t="s">
        <v>47111</v>
      </c>
      <c r="J690" t="s">
        <v>47112</v>
      </c>
      <c r="K690" t="s">
        <v>47113</v>
      </c>
      <c r="L690">
        <v>53.52</v>
      </c>
      <c r="M690">
        <v>111</v>
      </c>
      <c r="N690">
        <v>0</v>
      </c>
      <c r="O690">
        <v>111</v>
      </c>
      <c r="P690">
        <v>0</v>
      </c>
    </row>
    <row r="691" spans="1:16" x14ac:dyDescent="0.25">
      <c r="A691" t="s">
        <v>23219</v>
      </c>
      <c r="B691" t="s">
        <v>2073</v>
      </c>
      <c r="C691" t="s">
        <v>2074</v>
      </c>
      <c r="D691" t="s">
        <v>1734</v>
      </c>
      <c r="E691" t="s">
        <v>1735</v>
      </c>
      <c r="F691" t="s">
        <v>52</v>
      </c>
      <c r="G691" t="s">
        <v>16231</v>
      </c>
      <c r="H691" t="s">
        <v>47054</v>
      </c>
      <c r="I691" t="s">
        <v>47111</v>
      </c>
      <c r="J691" t="s">
        <v>47112</v>
      </c>
      <c r="K691" t="s">
        <v>47113</v>
      </c>
      <c r="L691">
        <v>55.88</v>
      </c>
      <c r="M691">
        <v>117</v>
      </c>
      <c r="N691">
        <v>0</v>
      </c>
      <c r="O691">
        <v>117</v>
      </c>
      <c r="P691">
        <v>0</v>
      </c>
    </row>
    <row r="692" spans="1:16" x14ac:dyDescent="0.25">
      <c r="A692" t="s">
        <v>23220</v>
      </c>
      <c r="B692" t="s">
        <v>2073</v>
      </c>
      <c r="C692" t="s">
        <v>2074</v>
      </c>
      <c r="D692" t="s">
        <v>1774</v>
      </c>
      <c r="E692" t="s">
        <v>1775</v>
      </c>
      <c r="F692" t="s">
        <v>56</v>
      </c>
      <c r="G692" t="s">
        <v>16231</v>
      </c>
      <c r="H692" t="s">
        <v>47054</v>
      </c>
      <c r="I692" t="s">
        <v>47111</v>
      </c>
      <c r="J692" t="s">
        <v>47112</v>
      </c>
      <c r="K692" t="s">
        <v>47113</v>
      </c>
      <c r="L692">
        <v>57.1</v>
      </c>
      <c r="M692">
        <v>109</v>
      </c>
      <c r="N692">
        <v>0</v>
      </c>
      <c r="O692">
        <v>109</v>
      </c>
      <c r="P692">
        <v>0</v>
      </c>
    </row>
    <row r="693" spans="1:16" x14ac:dyDescent="0.25">
      <c r="A693" t="s">
        <v>23221</v>
      </c>
      <c r="B693" t="s">
        <v>2075</v>
      </c>
      <c r="C693" t="s">
        <v>2076</v>
      </c>
      <c r="D693" t="s">
        <v>1740</v>
      </c>
      <c r="E693" t="s">
        <v>1741</v>
      </c>
      <c r="F693" t="s">
        <v>4</v>
      </c>
      <c r="G693" t="s">
        <v>16231</v>
      </c>
      <c r="H693" t="s">
        <v>47054</v>
      </c>
      <c r="I693" t="s">
        <v>47111</v>
      </c>
      <c r="J693" t="s">
        <v>47112</v>
      </c>
      <c r="K693" t="s">
        <v>47113</v>
      </c>
      <c r="L693">
        <v>55.74</v>
      </c>
      <c r="M693">
        <v>137</v>
      </c>
      <c r="N693">
        <v>0</v>
      </c>
      <c r="O693">
        <v>137</v>
      </c>
      <c r="P693">
        <v>0</v>
      </c>
    </row>
    <row r="694" spans="1:16" x14ac:dyDescent="0.25">
      <c r="A694" t="s">
        <v>23222</v>
      </c>
      <c r="B694" t="s">
        <v>2077</v>
      </c>
      <c r="C694" t="s">
        <v>2078</v>
      </c>
      <c r="D694" t="s">
        <v>2079</v>
      </c>
      <c r="E694" t="s">
        <v>2080</v>
      </c>
      <c r="F694" t="s">
        <v>5</v>
      </c>
      <c r="G694" t="s">
        <v>16231</v>
      </c>
      <c r="H694" t="s">
        <v>47054</v>
      </c>
      <c r="I694" t="s">
        <v>47111</v>
      </c>
      <c r="J694" t="s">
        <v>47112</v>
      </c>
      <c r="K694" t="s">
        <v>47113</v>
      </c>
      <c r="L694">
        <v>34.4</v>
      </c>
      <c r="M694">
        <v>84</v>
      </c>
      <c r="N694">
        <v>0</v>
      </c>
      <c r="O694">
        <v>84</v>
      </c>
      <c r="P694">
        <v>0</v>
      </c>
    </row>
    <row r="695" spans="1:16" x14ac:dyDescent="0.25">
      <c r="A695" t="s">
        <v>23223</v>
      </c>
      <c r="B695" t="s">
        <v>2081</v>
      </c>
      <c r="C695" t="s">
        <v>2082</v>
      </c>
      <c r="D695" t="s">
        <v>1734</v>
      </c>
      <c r="E695" t="s">
        <v>1735</v>
      </c>
      <c r="F695" t="s">
        <v>52</v>
      </c>
      <c r="G695" t="s">
        <v>16231</v>
      </c>
      <c r="H695" t="s">
        <v>47054</v>
      </c>
      <c r="I695" t="s">
        <v>47111</v>
      </c>
      <c r="J695" t="s">
        <v>47112</v>
      </c>
      <c r="K695" t="s">
        <v>47113</v>
      </c>
      <c r="L695">
        <v>36.18</v>
      </c>
      <c r="M695">
        <v>104</v>
      </c>
      <c r="N695">
        <v>0</v>
      </c>
      <c r="O695">
        <v>104</v>
      </c>
      <c r="P695">
        <v>0</v>
      </c>
    </row>
    <row r="696" spans="1:16" x14ac:dyDescent="0.25">
      <c r="A696" t="s">
        <v>23224</v>
      </c>
      <c r="B696" t="s">
        <v>2083</v>
      </c>
      <c r="C696" t="s">
        <v>2084</v>
      </c>
      <c r="D696" t="s">
        <v>721</v>
      </c>
      <c r="E696" t="s">
        <v>722</v>
      </c>
      <c r="F696" t="s">
        <v>2085</v>
      </c>
      <c r="G696" t="s">
        <v>16224</v>
      </c>
      <c r="H696" t="s">
        <v>47054</v>
      </c>
      <c r="I696" t="s">
        <v>47116</v>
      </c>
      <c r="J696" t="s">
        <v>47117</v>
      </c>
      <c r="K696" t="s">
        <v>47113</v>
      </c>
      <c r="L696">
        <v>38.08</v>
      </c>
      <c r="M696">
        <v>92</v>
      </c>
      <c r="N696">
        <v>0</v>
      </c>
      <c r="O696">
        <v>92</v>
      </c>
      <c r="P696">
        <v>0</v>
      </c>
    </row>
    <row r="697" spans="1:16" x14ac:dyDescent="0.25">
      <c r="A697" t="s">
        <v>23225</v>
      </c>
      <c r="B697" t="s">
        <v>2083</v>
      </c>
      <c r="C697" t="s">
        <v>2084</v>
      </c>
      <c r="D697" t="s">
        <v>2048</v>
      </c>
      <c r="E697" t="s">
        <v>2049</v>
      </c>
      <c r="F697" t="s">
        <v>5</v>
      </c>
      <c r="G697" t="s">
        <v>16224</v>
      </c>
      <c r="H697" t="s">
        <v>47054</v>
      </c>
      <c r="I697" t="s">
        <v>47116</v>
      </c>
      <c r="J697" t="s">
        <v>47117</v>
      </c>
      <c r="K697" t="s">
        <v>47113</v>
      </c>
      <c r="L697">
        <v>41.99</v>
      </c>
      <c r="M697">
        <v>100</v>
      </c>
      <c r="N697">
        <v>0</v>
      </c>
      <c r="O697">
        <v>100</v>
      </c>
      <c r="P697">
        <v>0</v>
      </c>
    </row>
    <row r="698" spans="1:16" x14ac:dyDescent="0.25">
      <c r="A698" t="s">
        <v>23226</v>
      </c>
      <c r="B698" t="s">
        <v>2083</v>
      </c>
      <c r="C698" t="s">
        <v>2084</v>
      </c>
      <c r="D698" t="s">
        <v>2086</v>
      </c>
      <c r="E698" t="s">
        <v>2087</v>
      </c>
      <c r="F698" t="s">
        <v>1697</v>
      </c>
      <c r="G698" t="s">
        <v>16224</v>
      </c>
      <c r="H698" t="s">
        <v>47054</v>
      </c>
      <c r="I698" t="s">
        <v>47116</v>
      </c>
      <c r="J698" t="s">
        <v>47117</v>
      </c>
      <c r="K698" t="s">
        <v>47113</v>
      </c>
      <c r="L698">
        <v>47.3</v>
      </c>
      <c r="M698">
        <v>107</v>
      </c>
      <c r="N698">
        <v>0</v>
      </c>
      <c r="O698">
        <v>107</v>
      </c>
      <c r="P698">
        <v>0</v>
      </c>
    </row>
    <row r="699" spans="1:16" x14ac:dyDescent="0.25">
      <c r="A699" t="s">
        <v>23227</v>
      </c>
      <c r="B699" t="s">
        <v>2083</v>
      </c>
      <c r="C699" t="s">
        <v>2084</v>
      </c>
      <c r="D699" t="s">
        <v>294</v>
      </c>
      <c r="E699" t="s">
        <v>295</v>
      </c>
      <c r="F699" t="s">
        <v>7</v>
      </c>
      <c r="G699" t="s">
        <v>16224</v>
      </c>
      <c r="H699" t="s">
        <v>47054</v>
      </c>
      <c r="I699" t="s">
        <v>47116</v>
      </c>
      <c r="J699" t="s">
        <v>47117</v>
      </c>
      <c r="K699" t="s">
        <v>47113</v>
      </c>
      <c r="L699">
        <v>55.8</v>
      </c>
      <c r="M699">
        <v>107</v>
      </c>
      <c r="N699">
        <v>0</v>
      </c>
      <c r="O699">
        <v>107</v>
      </c>
      <c r="P699">
        <v>0</v>
      </c>
    </row>
    <row r="700" spans="1:16" x14ac:dyDescent="0.25">
      <c r="A700" t="s">
        <v>23228</v>
      </c>
      <c r="B700" t="s">
        <v>2083</v>
      </c>
      <c r="C700" t="s">
        <v>2084</v>
      </c>
      <c r="D700" t="s">
        <v>311</v>
      </c>
      <c r="E700" t="s">
        <v>312</v>
      </c>
      <c r="F700" t="s">
        <v>7</v>
      </c>
      <c r="G700" t="s">
        <v>16224</v>
      </c>
      <c r="H700" t="s">
        <v>47054</v>
      </c>
      <c r="I700" t="s">
        <v>47116</v>
      </c>
      <c r="J700" t="s">
        <v>47117</v>
      </c>
      <c r="K700" t="s">
        <v>47113</v>
      </c>
      <c r="L700">
        <v>45.28</v>
      </c>
      <c r="M700">
        <v>107</v>
      </c>
      <c r="N700">
        <v>0</v>
      </c>
      <c r="O700">
        <v>107</v>
      </c>
      <c r="P700">
        <v>0</v>
      </c>
    </row>
    <row r="701" spans="1:16" x14ac:dyDescent="0.25">
      <c r="A701" t="s">
        <v>23229</v>
      </c>
      <c r="B701" t="s">
        <v>2083</v>
      </c>
      <c r="C701" t="s">
        <v>2084</v>
      </c>
      <c r="D701" t="s">
        <v>1740</v>
      </c>
      <c r="E701" t="s">
        <v>1741</v>
      </c>
      <c r="F701" t="s">
        <v>7</v>
      </c>
      <c r="G701" t="s">
        <v>16224</v>
      </c>
      <c r="H701" t="s">
        <v>47054</v>
      </c>
      <c r="I701" t="s">
        <v>47116</v>
      </c>
      <c r="J701" t="s">
        <v>47117</v>
      </c>
      <c r="K701" t="s">
        <v>47113</v>
      </c>
      <c r="L701">
        <v>49.28</v>
      </c>
      <c r="M701">
        <v>115</v>
      </c>
      <c r="N701">
        <v>0</v>
      </c>
      <c r="O701">
        <v>115</v>
      </c>
      <c r="P701">
        <v>0</v>
      </c>
    </row>
    <row r="702" spans="1:16" x14ac:dyDescent="0.25">
      <c r="A702" t="s">
        <v>23230</v>
      </c>
      <c r="B702" t="s">
        <v>2083</v>
      </c>
      <c r="C702" t="s">
        <v>2084</v>
      </c>
      <c r="D702" t="s">
        <v>2022</v>
      </c>
      <c r="E702" t="s">
        <v>2023</v>
      </c>
      <c r="F702" t="s">
        <v>7</v>
      </c>
      <c r="G702" t="s">
        <v>16224</v>
      </c>
      <c r="H702" t="s">
        <v>47054</v>
      </c>
      <c r="I702" t="s">
        <v>47116</v>
      </c>
      <c r="J702" t="s">
        <v>47117</v>
      </c>
      <c r="K702" t="s">
        <v>47113</v>
      </c>
      <c r="L702">
        <v>47.74</v>
      </c>
      <c r="M702">
        <v>115</v>
      </c>
      <c r="N702">
        <v>0</v>
      </c>
      <c r="O702">
        <v>115</v>
      </c>
      <c r="P702">
        <v>0</v>
      </c>
    </row>
    <row r="703" spans="1:16" x14ac:dyDescent="0.25">
      <c r="A703" t="s">
        <v>23231</v>
      </c>
      <c r="B703" t="s">
        <v>2083</v>
      </c>
      <c r="C703" t="s">
        <v>2084</v>
      </c>
      <c r="D703" t="s">
        <v>1928</v>
      </c>
      <c r="E703" t="s">
        <v>1929</v>
      </c>
      <c r="F703" t="s">
        <v>8</v>
      </c>
      <c r="G703" t="s">
        <v>16224</v>
      </c>
      <c r="H703" t="s">
        <v>47054</v>
      </c>
      <c r="I703" t="s">
        <v>47116</v>
      </c>
      <c r="J703" t="s">
        <v>47117</v>
      </c>
      <c r="K703" t="s">
        <v>47113</v>
      </c>
      <c r="L703">
        <v>47.27</v>
      </c>
      <c r="M703">
        <v>120</v>
      </c>
      <c r="N703">
        <v>0</v>
      </c>
      <c r="O703">
        <v>120</v>
      </c>
      <c r="P703">
        <v>0</v>
      </c>
    </row>
    <row r="704" spans="1:16" x14ac:dyDescent="0.25">
      <c r="A704" t="s">
        <v>14710</v>
      </c>
      <c r="B704" t="s">
        <v>2088</v>
      </c>
      <c r="C704" t="s">
        <v>2089</v>
      </c>
      <c r="D704" t="s">
        <v>721</v>
      </c>
      <c r="E704" t="s">
        <v>722</v>
      </c>
      <c r="F704" t="s">
        <v>3</v>
      </c>
      <c r="G704" t="s">
        <v>16231</v>
      </c>
      <c r="H704" t="s">
        <v>47054</v>
      </c>
      <c r="I704" t="s">
        <v>47111</v>
      </c>
      <c r="J704" t="s">
        <v>47112</v>
      </c>
      <c r="K704" t="s">
        <v>47113</v>
      </c>
      <c r="L704">
        <v>46.18</v>
      </c>
      <c r="M704">
        <v>119</v>
      </c>
      <c r="N704">
        <v>0</v>
      </c>
      <c r="O704">
        <v>119</v>
      </c>
      <c r="P704">
        <v>0</v>
      </c>
    </row>
    <row r="705" spans="1:16" x14ac:dyDescent="0.25">
      <c r="A705" t="s">
        <v>23232</v>
      </c>
      <c r="B705" t="s">
        <v>2088</v>
      </c>
      <c r="C705" t="s">
        <v>2089</v>
      </c>
      <c r="D705" t="s">
        <v>27</v>
      </c>
      <c r="E705" t="s">
        <v>28</v>
      </c>
      <c r="F705" t="s">
        <v>3</v>
      </c>
      <c r="G705" t="s">
        <v>16231</v>
      </c>
      <c r="H705" t="s">
        <v>47054</v>
      </c>
      <c r="I705" t="s">
        <v>47111</v>
      </c>
      <c r="J705" t="s">
        <v>47112</v>
      </c>
      <c r="K705" t="s">
        <v>47113</v>
      </c>
      <c r="L705">
        <v>54.42</v>
      </c>
      <c r="M705">
        <v>139</v>
      </c>
      <c r="N705">
        <v>0</v>
      </c>
      <c r="O705">
        <v>139</v>
      </c>
      <c r="P705">
        <v>0</v>
      </c>
    </row>
    <row r="706" spans="1:16" x14ac:dyDescent="0.25">
      <c r="A706" t="s">
        <v>23233</v>
      </c>
      <c r="B706" t="s">
        <v>2090</v>
      </c>
      <c r="C706" t="s">
        <v>2091</v>
      </c>
      <c r="D706" t="s">
        <v>721</v>
      </c>
      <c r="E706" t="s">
        <v>722</v>
      </c>
      <c r="F706" t="s">
        <v>631</v>
      </c>
      <c r="G706" t="s">
        <v>16231</v>
      </c>
      <c r="H706" t="s">
        <v>47054</v>
      </c>
      <c r="I706" t="s">
        <v>47111</v>
      </c>
      <c r="J706" t="s">
        <v>47112</v>
      </c>
      <c r="K706" t="s">
        <v>47113</v>
      </c>
      <c r="L706">
        <v>27.93</v>
      </c>
      <c r="M706">
        <v>72</v>
      </c>
      <c r="N706">
        <v>0</v>
      </c>
      <c r="O706">
        <v>72</v>
      </c>
      <c r="P706">
        <v>0</v>
      </c>
    </row>
    <row r="707" spans="1:16" x14ac:dyDescent="0.25">
      <c r="A707" t="s">
        <v>23234</v>
      </c>
      <c r="B707" t="s">
        <v>2090</v>
      </c>
      <c r="C707" t="s">
        <v>2091</v>
      </c>
      <c r="D707" t="str">
        <f>"89"</f>
        <v>89</v>
      </c>
      <c r="E707" t="s">
        <v>1732</v>
      </c>
      <c r="F707" t="s">
        <v>8</v>
      </c>
      <c r="G707" t="s">
        <v>16231</v>
      </c>
      <c r="H707" t="s">
        <v>47054</v>
      </c>
      <c r="I707" t="s">
        <v>47111</v>
      </c>
      <c r="J707" t="s">
        <v>47112</v>
      </c>
      <c r="K707" t="s">
        <v>47113</v>
      </c>
      <c r="L707">
        <v>34.770000000000003</v>
      </c>
      <c r="M707">
        <v>84</v>
      </c>
      <c r="N707">
        <v>0</v>
      </c>
      <c r="O707">
        <v>84</v>
      </c>
      <c r="P707">
        <v>0</v>
      </c>
    </row>
    <row r="708" spans="1:16" x14ac:dyDescent="0.25">
      <c r="A708" t="s">
        <v>23235</v>
      </c>
      <c r="B708" t="s">
        <v>2090</v>
      </c>
      <c r="C708" t="s">
        <v>2091</v>
      </c>
      <c r="D708" t="s">
        <v>2026</v>
      </c>
      <c r="E708" t="s">
        <v>2027</v>
      </c>
      <c r="F708" t="s">
        <v>631</v>
      </c>
      <c r="G708" t="s">
        <v>16231</v>
      </c>
      <c r="H708" t="s">
        <v>47054</v>
      </c>
      <c r="I708" t="s">
        <v>47111</v>
      </c>
      <c r="J708" t="s">
        <v>47112</v>
      </c>
      <c r="K708" t="s">
        <v>47113</v>
      </c>
      <c r="L708">
        <v>36.78</v>
      </c>
      <c r="M708">
        <v>98</v>
      </c>
      <c r="N708">
        <v>0</v>
      </c>
      <c r="O708">
        <v>98</v>
      </c>
      <c r="P708">
        <v>0</v>
      </c>
    </row>
    <row r="709" spans="1:16" x14ac:dyDescent="0.25">
      <c r="A709" t="s">
        <v>23236</v>
      </c>
      <c r="B709" t="s">
        <v>2090</v>
      </c>
      <c r="C709" t="s">
        <v>2091</v>
      </c>
      <c r="D709" t="s">
        <v>2018</v>
      </c>
      <c r="E709" t="s">
        <v>2019</v>
      </c>
      <c r="F709" t="s">
        <v>8</v>
      </c>
      <c r="G709" t="s">
        <v>16231</v>
      </c>
      <c r="H709" t="s">
        <v>47054</v>
      </c>
      <c r="I709" t="s">
        <v>47111</v>
      </c>
      <c r="J709" t="s">
        <v>47112</v>
      </c>
      <c r="K709" t="s">
        <v>47113</v>
      </c>
      <c r="L709">
        <v>41.72</v>
      </c>
      <c r="M709">
        <v>114</v>
      </c>
      <c r="N709">
        <v>0</v>
      </c>
      <c r="O709">
        <v>114</v>
      </c>
      <c r="P709">
        <v>0</v>
      </c>
    </row>
    <row r="710" spans="1:16" x14ac:dyDescent="0.25">
      <c r="A710" t="s">
        <v>23237</v>
      </c>
      <c r="B710" t="s">
        <v>2090</v>
      </c>
      <c r="C710" t="s">
        <v>2091</v>
      </c>
      <c r="D710" t="s">
        <v>1703</v>
      </c>
      <c r="E710" t="s">
        <v>1704</v>
      </c>
      <c r="F710" t="s">
        <v>631</v>
      </c>
      <c r="G710" t="s">
        <v>16231</v>
      </c>
      <c r="H710" t="s">
        <v>47054</v>
      </c>
      <c r="I710" t="s">
        <v>47111</v>
      </c>
      <c r="J710" t="s">
        <v>47112</v>
      </c>
      <c r="K710" t="s">
        <v>47113</v>
      </c>
      <c r="L710">
        <v>36.18</v>
      </c>
      <c r="M710">
        <v>93</v>
      </c>
      <c r="N710">
        <v>0</v>
      </c>
      <c r="O710">
        <v>93</v>
      </c>
      <c r="P710">
        <v>0</v>
      </c>
    </row>
    <row r="711" spans="1:16" x14ac:dyDescent="0.25">
      <c r="A711" t="s">
        <v>23238</v>
      </c>
      <c r="B711" t="s">
        <v>2090</v>
      </c>
      <c r="C711" t="s">
        <v>2091</v>
      </c>
      <c r="D711" t="s">
        <v>2020</v>
      </c>
      <c r="E711" t="s">
        <v>2021</v>
      </c>
      <c r="F711" t="s">
        <v>8</v>
      </c>
      <c r="G711" t="s">
        <v>16231</v>
      </c>
      <c r="H711" t="s">
        <v>47054</v>
      </c>
      <c r="I711" t="s">
        <v>47111</v>
      </c>
      <c r="J711" t="s">
        <v>47112</v>
      </c>
      <c r="K711" t="s">
        <v>47113</v>
      </c>
      <c r="L711">
        <v>36.72</v>
      </c>
      <c r="M711">
        <v>95</v>
      </c>
      <c r="N711">
        <v>0</v>
      </c>
      <c r="O711">
        <v>95</v>
      </c>
      <c r="P711">
        <v>0</v>
      </c>
    </row>
    <row r="712" spans="1:16" x14ac:dyDescent="0.25">
      <c r="A712" t="s">
        <v>23239</v>
      </c>
      <c r="B712" t="s">
        <v>2090</v>
      </c>
      <c r="C712" t="s">
        <v>2091</v>
      </c>
      <c r="D712" t="s">
        <v>1737</v>
      </c>
      <c r="E712" t="s">
        <v>1738</v>
      </c>
      <c r="F712" t="s">
        <v>52</v>
      </c>
      <c r="G712" t="s">
        <v>16231</v>
      </c>
      <c r="H712" t="s">
        <v>47054</v>
      </c>
      <c r="I712" t="s">
        <v>47111</v>
      </c>
      <c r="J712" t="s">
        <v>47112</v>
      </c>
      <c r="K712" t="s">
        <v>47113</v>
      </c>
      <c r="L712">
        <v>33.94</v>
      </c>
      <c r="M712">
        <v>92</v>
      </c>
      <c r="N712">
        <v>0</v>
      </c>
      <c r="O712">
        <v>92</v>
      </c>
      <c r="P712">
        <v>0</v>
      </c>
    </row>
    <row r="713" spans="1:16" x14ac:dyDescent="0.25">
      <c r="A713" t="s">
        <v>23240</v>
      </c>
      <c r="B713" t="s">
        <v>2090</v>
      </c>
      <c r="C713" t="s">
        <v>2091</v>
      </c>
      <c r="D713" t="s">
        <v>1734</v>
      </c>
      <c r="E713" t="s">
        <v>1735</v>
      </c>
      <c r="F713" t="s">
        <v>52</v>
      </c>
      <c r="G713" t="s">
        <v>16231</v>
      </c>
      <c r="H713" t="s">
        <v>47054</v>
      </c>
      <c r="I713" t="s">
        <v>47111</v>
      </c>
      <c r="J713" t="s">
        <v>47112</v>
      </c>
      <c r="K713" t="s">
        <v>47113</v>
      </c>
      <c r="L713">
        <v>38.47</v>
      </c>
      <c r="M713">
        <v>98</v>
      </c>
      <c r="N713">
        <v>0</v>
      </c>
      <c r="O713">
        <v>98</v>
      </c>
      <c r="P713">
        <v>0</v>
      </c>
    </row>
    <row r="714" spans="1:16" x14ac:dyDescent="0.25">
      <c r="A714" t="s">
        <v>23241</v>
      </c>
      <c r="B714" t="s">
        <v>2092</v>
      </c>
      <c r="C714" t="s">
        <v>2093</v>
      </c>
      <c r="D714" t="s">
        <v>2094</v>
      </c>
      <c r="E714" t="s">
        <v>2095</v>
      </c>
      <c r="F714" t="s">
        <v>1717</v>
      </c>
      <c r="G714" t="s">
        <v>16231</v>
      </c>
      <c r="H714" t="s">
        <v>47054</v>
      </c>
      <c r="I714" t="s">
        <v>47111</v>
      </c>
      <c r="J714" t="s">
        <v>47112</v>
      </c>
      <c r="K714" t="s">
        <v>47113</v>
      </c>
      <c r="L714">
        <v>35</v>
      </c>
      <c r="M714">
        <v>87</v>
      </c>
      <c r="N714">
        <v>0</v>
      </c>
      <c r="O714">
        <v>87</v>
      </c>
      <c r="P714">
        <v>0</v>
      </c>
    </row>
    <row r="715" spans="1:16" x14ac:dyDescent="0.25">
      <c r="A715" t="s">
        <v>23242</v>
      </c>
      <c r="B715" t="s">
        <v>2096</v>
      </c>
      <c r="C715" t="s">
        <v>2097</v>
      </c>
      <c r="D715" t="s">
        <v>2038</v>
      </c>
      <c r="E715" t="s">
        <v>2039</v>
      </c>
      <c r="F715" t="s">
        <v>3</v>
      </c>
      <c r="G715" t="s">
        <v>16231</v>
      </c>
      <c r="H715" t="s">
        <v>47054</v>
      </c>
      <c r="I715" t="s">
        <v>47111</v>
      </c>
      <c r="J715" t="s">
        <v>47112</v>
      </c>
      <c r="K715" t="s">
        <v>47113</v>
      </c>
      <c r="L715">
        <v>60.13</v>
      </c>
      <c r="M715">
        <v>128</v>
      </c>
      <c r="N715">
        <v>0</v>
      </c>
      <c r="O715">
        <v>128</v>
      </c>
      <c r="P715">
        <v>0</v>
      </c>
    </row>
    <row r="716" spans="1:16" x14ac:dyDescent="0.25">
      <c r="A716" t="s">
        <v>23243</v>
      </c>
      <c r="B716" t="s">
        <v>2096</v>
      </c>
      <c r="C716" t="s">
        <v>2097</v>
      </c>
      <c r="D716" t="s">
        <v>2040</v>
      </c>
      <c r="E716" t="s">
        <v>2041</v>
      </c>
      <c r="F716" t="s">
        <v>3</v>
      </c>
      <c r="G716" t="s">
        <v>16231</v>
      </c>
      <c r="H716" t="s">
        <v>47054</v>
      </c>
      <c r="I716" t="s">
        <v>47111</v>
      </c>
      <c r="J716" t="s">
        <v>47112</v>
      </c>
      <c r="K716" t="s">
        <v>47113</v>
      </c>
      <c r="L716">
        <v>57.16</v>
      </c>
      <c r="M716">
        <v>134</v>
      </c>
      <c r="N716">
        <v>0</v>
      </c>
      <c r="O716">
        <v>134</v>
      </c>
      <c r="P716">
        <v>0</v>
      </c>
    </row>
    <row r="717" spans="1:16" x14ac:dyDescent="0.25">
      <c r="A717" t="s">
        <v>23244</v>
      </c>
      <c r="B717" t="s">
        <v>2096</v>
      </c>
      <c r="C717" t="s">
        <v>2097</v>
      </c>
      <c r="D717" t="s">
        <v>2042</v>
      </c>
      <c r="E717" t="s">
        <v>2043</v>
      </c>
      <c r="F717" t="s">
        <v>3</v>
      </c>
      <c r="G717" t="s">
        <v>16231</v>
      </c>
      <c r="H717" t="s">
        <v>47054</v>
      </c>
      <c r="I717" t="s">
        <v>47111</v>
      </c>
      <c r="J717" t="s">
        <v>47112</v>
      </c>
      <c r="K717" t="s">
        <v>47113</v>
      </c>
      <c r="L717">
        <v>52.59</v>
      </c>
      <c r="M717">
        <v>123</v>
      </c>
      <c r="N717">
        <v>0</v>
      </c>
      <c r="O717">
        <v>123</v>
      </c>
      <c r="P717">
        <v>0</v>
      </c>
    </row>
    <row r="718" spans="1:16" x14ac:dyDescent="0.25">
      <c r="A718" t="s">
        <v>23245</v>
      </c>
      <c r="B718" t="s">
        <v>2096</v>
      </c>
      <c r="C718" t="s">
        <v>2097</v>
      </c>
      <c r="D718" t="s">
        <v>2044</v>
      </c>
      <c r="E718" t="s">
        <v>2045</v>
      </c>
      <c r="F718" t="s">
        <v>3</v>
      </c>
      <c r="G718" t="s">
        <v>16231</v>
      </c>
      <c r="H718" t="s">
        <v>47054</v>
      </c>
      <c r="I718" t="s">
        <v>47111</v>
      </c>
      <c r="J718" t="s">
        <v>47112</v>
      </c>
      <c r="K718" t="s">
        <v>47113</v>
      </c>
      <c r="L718">
        <v>59.32</v>
      </c>
      <c r="M718">
        <v>138</v>
      </c>
      <c r="N718">
        <v>0</v>
      </c>
      <c r="O718">
        <v>138</v>
      </c>
      <c r="P718">
        <v>0</v>
      </c>
    </row>
    <row r="719" spans="1:16" x14ac:dyDescent="0.25">
      <c r="A719" t="s">
        <v>23246</v>
      </c>
      <c r="B719" t="s">
        <v>2096</v>
      </c>
      <c r="C719" t="s">
        <v>2097</v>
      </c>
      <c r="D719" t="s">
        <v>2046</v>
      </c>
      <c r="E719" t="s">
        <v>2047</v>
      </c>
      <c r="F719" t="s">
        <v>3</v>
      </c>
      <c r="G719" t="s">
        <v>16231</v>
      </c>
      <c r="H719" t="s">
        <v>47054</v>
      </c>
      <c r="I719" t="s">
        <v>47111</v>
      </c>
      <c r="J719" t="s">
        <v>47112</v>
      </c>
      <c r="K719" t="s">
        <v>47113</v>
      </c>
      <c r="L719">
        <v>61.8</v>
      </c>
      <c r="M719">
        <v>146</v>
      </c>
      <c r="N719">
        <v>0</v>
      </c>
      <c r="O719">
        <v>146</v>
      </c>
      <c r="P719">
        <v>0</v>
      </c>
    </row>
    <row r="720" spans="1:16" x14ac:dyDescent="0.25">
      <c r="A720" t="s">
        <v>23247</v>
      </c>
      <c r="B720" t="s">
        <v>2096</v>
      </c>
      <c r="C720" t="s">
        <v>2097</v>
      </c>
      <c r="D720" t="s">
        <v>2048</v>
      </c>
      <c r="E720" t="s">
        <v>2049</v>
      </c>
      <c r="F720" t="s">
        <v>5</v>
      </c>
      <c r="G720" t="s">
        <v>16231</v>
      </c>
      <c r="H720" t="s">
        <v>47054</v>
      </c>
      <c r="I720" t="s">
        <v>47111</v>
      </c>
      <c r="J720" t="s">
        <v>47112</v>
      </c>
      <c r="K720" t="s">
        <v>47113</v>
      </c>
      <c r="L720">
        <v>57.75</v>
      </c>
      <c r="M720">
        <v>128</v>
      </c>
      <c r="N720">
        <v>0</v>
      </c>
      <c r="O720">
        <v>128</v>
      </c>
      <c r="P720">
        <v>0</v>
      </c>
    </row>
    <row r="721" spans="1:16" x14ac:dyDescent="0.25">
      <c r="A721" t="s">
        <v>23248</v>
      </c>
      <c r="B721" t="s">
        <v>2096</v>
      </c>
      <c r="C721" t="s">
        <v>2097</v>
      </c>
      <c r="D721" t="s">
        <v>2028</v>
      </c>
      <c r="E721" t="s">
        <v>2029</v>
      </c>
      <c r="F721" t="s">
        <v>56</v>
      </c>
      <c r="G721" t="s">
        <v>16231</v>
      </c>
      <c r="H721" t="s">
        <v>47054</v>
      </c>
      <c r="I721" t="s">
        <v>47111</v>
      </c>
      <c r="J721" t="s">
        <v>47112</v>
      </c>
      <c r="K721" t="s">
        <v>47113</v>
      </c>
      <c r="L721">
        <v>60.95</v>
      </c>
      <c r="M721">
        <v>130</v>
      </c>
      <c r="N721">
        <v>0</v>
      </c>
      <c r="O721">
        <v>130</v>
      </c>
      <c r="P721">
        <v>0</v>
      </c>
    </row>
    <row r="722" spans="1:16" x14ac:dyDescent="0.25">
      <c r="A722" t="s">
        <v>23249</v>
      </c>
      <c r="B722" t="s">
        <v>2096</v>
      </c>
      <c r="C722" t="s">
        <v>2097</v>
      </c>
      <c r="D722" t="s">
        <v>1737</v>
      </c>
      <c r="E722" t="s">
        <v>1738</v>
      </c>
      <c r="F722" t="s">
        <v>56</v>
      </c>
      <c r="G722" t="s">
        <v>16231</v>
      </c>
      <c r="H722" t="s">
        <v>47054</v>
      </c>
      <c r="I722" t="s">
        <v>47111</v>
      </c>
      <c r="J722" t="s">
        <v>47112</v>
      </c>
      <c r="K722" t="s">
        <v>47113</v>
      </c>
      <c r="L722">
        <v>52.05</v>
      </c>
      <c r="M722">
        <v>109</v>
      </c>
      <c r="N722">
        <v>0</v>
      </c>
      <c r="O722">
        <v>109</v>
      </c>
      <c r="P722">
        <v>0</v>
      </c>
    </row>
    <row r="723" spans="1:16" x14ac:dyDescent="0.25">
      <c r="A723" t="s">
        <v>23250</v>
      </c>
      <c r="B723" t="s">
        <v>2096</v>
      </c>
      <c r="C723" t="s">
        <v>2097</v>
      </c>
      <c r="D723" t="s">
        <v>1774</v>
      </c>
      <c r="E723" t="s">
        <v>1775</v>
      </c>
      <c r="F723" t="s">
        <v>56</v>
      </c>
      <c r="G723" t="s">
        <v>16231</v>
      </c>
      <c r="H723" t="s">
        <v>47054</v>
      </c>
      <c r="I723" t="s">
        <v>47111</v>
      </c>
      <c r="J723" t="s">
        <v>47112</v>
      </c>
      <c r="K723" t="s">
        <v>47113</v>
      </c>
      <c r="L723">
        <v>54.87</v>
      </c>
      <c r="M723">
        <v>109</v>
      </c>
      <c r="N723">
        <v>0</v>
      </c>
      <c r="O723">
        <v>109</v>
      </c>
      <c r="P723">
        <v>0</v>
      </c>
    </row>
    <row r="724" spans="1:16" x14ac:dyDescent="0.25">
      <c r="A724" t="s">
        <v>23251</v>
      </c>
      <c r="B724" t="s">
        <v>2098</v>
      </c>
      <c r="C724" t="s">
        <v>2099</v>
      </c>
      <c r="D724" t="str">
        <f>"1061"</f>
        <v>1061</v>
      </c>
      <c r="E724" t="s">
        <v>2013</v>
      </c>
      <c r="F724" t="s">
        <v>7</v>
      </c>
      <c r="G724" t="s">
        <v>16231</v>
      </c>
      <c r="H724" t="s">
        <v>47054</v>
      </c>
      <c r="I724" t="s">
        <v>47111</v>
      </c>
      <c r="J724" t="s">
        <v>47112</v>
      </c>
      <c r="K724" t="s">
        <v>47113</v>
      </c>
      <c r="L724">
        <v>61.75</v>
      </c>
      <c r="M724">
        <v>154</v>
      </c>
      <c r="N724">
        <v>0</v>
      </c>
      <c r="O724">
        <v>154</v>
      </c>
      <c r="P724">
        <v>0</v>
      </c>
    </row>
    <row r="725" spans="1:16" x14ac:dyDescent="0.25">
      <c r="A725" t="s">
        <v>23252</v>
      </c>
      <c r="B725" t="s">
        <v>2098</v>
      </c>
      <c r="C725" t="s">
        <v>2099</v>
      </c>
      <c r="D725" t="str">
        <f>"2518"</f>
        <v>2518</v>
      </c>
      <c r="E725" t="s">
        <v>2016</v>
      </c>
      <c r="F725" t="s">
        <v>7</v>
      </c>
      <c r="G725" t="s">
        <v>16231</v>
      </c>
      <c r="H725" t="s">
        <v>47054</v>
      </c>
      <c r="I725" t="s">
        <v>47111</v>
      </c>
      <c r="J725" t="s">
        <v>47112</v>
      </c>
      <c r="K725" t="s">
        <v>47113</v>
      </c>
      <c r="L725">
        <v>61.75</v>
      </c>
      <c r="M725">
        <v>154</v>
      </c>
      <c r="N725">
        <v>0</v>
      </c>
      <c r="O725">
        <v>154</v>
      </c>
      <c r="P725">
        <v>0</v>
      </c>
    </row>
    <row r="726" spans="1:16" x14ac:dyDescent="0.25">
      <c r="A726" t="s">
        <v>23253</v>
      </c>
      <c r="B726" t="s">
        <v>2098</v>
      </c>
      <c r="C726" t="s">
        <v>2099</v>
      </c>
      <c r="D726" t="s">
        <v>2038</v>
      </c>
      <c r="E726" t="s">
        <v>2039</v>
      </c>
      <c r="F726" t="s">
        <v>3</v>
      </c>
      <c r="G726" t="s">
        <v>16231</v>
      </c>
      <c r="H726" t="s">
        <v>47054</v>
      </c>
      <c r="I726" t="s">
        <v>47111</v>
      </c>
      <c r="J726" t="s">
        <v>47112</v>
      </c>
      <c r="K726" t="s">
        <v>47113</v>
      </c>
      <c r="L726">
        <v>59.42</v>
      </c>
      <c r="M726">
        <v>128</v>
      </c>
      <c r="N726">
        <v>0</v>
      </c>
      <c r="O726">
        <v>128</v>
      </c>
      <c r="P726">
        <v>0</v>
      </c>
    </row>
    <row r="727" spans="1:16" x14ac:dyDescent="0.25">
      <c r="A727" t="s">
        <v>23254</v>
      </c>
      <c r="B727" t="s">
        <v>2098</v>
      </c>
      <c r="C727" t="s">
        <v>2099</v>
      </c>
      <c r="D727" t="s">
        <v>2040</v>
      </c>
      <c r="E727" t="s">
        <v>2041</v>
      </c>
      <c r="F727" t="s">
        <v>3</v>
      </c>
      <c r="G727" t="s">
        <v>16231</v>
      </c>
      <c r="H727" t="s">
        <v>47054</v>
      </c>
      <c r="I727" t="s">
        <v>47111</v>
      </c>
      <c r="J727" t="s">
        <v>47112</v>
      </c>
      <c r="K727" t="s">
        <v>47113</v>
      </c>
      <c r="L727">
        <v>57.66</v>
      </c>
      <c r="M727">
        <v>134</v>
      </c>
      <c r="N727">
        <v>0</v>
      </c>
      <c r="O727">
        <v>134</v>
      </c>
      <c r="P727">
        <v>0</v>
      </c>
    </row>
    <row r="728" spans="1:16" x14ac:dyDescent="0.25">
      <c r="A728" t="s">
        <v>23255</v>
      </c>
      <c r="B728" t="s">
        <v>2098</v>
      </c>
      <c r="C728" t="s">
        <v>2099</v>
      </c>
      <c r="D728" t="s">
        <v>2042</v>
      </c>
      <c r="E728" t="s">
        <v>2043</v>
      </c>
      <c r="F728" t="s">
        <v>3</v>
      </c>
      <c r="G728" t="s">
        <v>16231</v>
      </c>
      <c r="H728" t="s">
        <v>47054</v>
      </c>
      <c r="I728" t="s">
        <v>47111</v>
      </c>
      <c r="J728" t="s">
        <v>47112</v>
      </c>
      <c r="K728" t="s">
        <v>47113</v>
      </c>
      <c r="L728">
        <v>52.59</v>
      </c>
      <c r="M728">
        <v>123</v>
      </c>
      <c r="N728">
        <v>0</v>
      </c>
      <c r="O728">
        <v>123</v>
      </c>
      <c r="P728">
        <v>0</v>
      </c>
    </row>
    <row r="729" spans="1:16" x14ac:dyDescent="0.25">
      <c r="A729" t="s">
        <v>23256</v>
      </c>
      <c r="B729" t="s">
        <v>2098</v>
      </c>
      <c r="C729" t="s">
        <v>2099</v>
      </c>
      <c r="D729" t="s">
        <v>2044</v>
      </c>
      <c r="E729" t="s">
        <v>2045</v>
      </c>
      <c r="F729" t="s">
        <v>3</v>
      </c>
      <c r="G729" t="s">
        <v>16231</v>
      </c>
      <c r="H729" t="s">
        <v>47054</v>
      </c>
      <c r="I729" t="s">
        <v>47111</v>
      </c>
      <c r="J729" t="s">
        <v>47112</v>
      </c>
      <c r="K729" t="s">
        <v>47113</v>
      </c>
      <c r="L729">
        <v>57.71</v>
      </c>
      <c r="M729">
        <v>138</v>
      </c>
      <c r="N729">
        <v>0</v>
      </c>
      <c r="O729">
        <v>138</v>
      </c>
      <c r="P729">
        <v>0</v>
      </c>
    </row>
    <row r="730" spans="1:16" x14ac:dyDescent="0.25">
      <c r="A730" t="s">
        <v>23257</v>
      </c>
      <c r="B730" t="s">
        <v>2098</v>
      </c>
      <c r="C730" t="s">
        <v>2099</v>
      </c>
      <c r="D730" t="s">
        <v>2046</v>
      </c>
      <c r="E730" t="s">
        <v>2047</v>
      </c>
      <c r="F730" t="s">
        <v>3</v>
      </c>
      <c r="G730" t="s">
        <v>16231</v>
      </c>
      <c r="H730" t="s">
        <v>47054</v>
      </c>
      <c r="I730" t="s">
        <v>47111</v>
      </c>
      <c r="J730" t="s">
        <v>47112</v>
      </c>
      <c r="K730" t="s">
        <v>47113</v>
      </c>
      <c r="L730">
        <v>61.8</v>
      </c>
      <c r="M730">
        <v>146</v>
      </c>
      <c r="N730">
        <v>0</v>
      </c>
      <c r="O730">
        <v>146</v>
      </c>
      <c r="P730">
        <v>0</v>
      </c>
    </row>
    <row r="731" spans="1:16" x14ac:dyDescent="0.25">
      <c r="A731" t="s">
        <v>23258</v>
      </c>
      <c r="B731" t="s">
        <v>2098</v>
      </c>
      <c r="C731" t="s">
        <v>2099</v>
      </c>
      <c r="D731" t="s">
        <v>2048</v>
      </c>
      <c r="E731" t="s">
        <v>2049</v>
      </c>
      <c r="F731" t="s">
        <v>5</v>
      </c>
      <c r="G731" t="s">
        <v>16231</v>
      </c>
      <c r="H731" t="s">
        <v>47054</v>
      </c>
      <c r="I731" t="s">
        <v>47111</v>
      </c>
      <c r="J731" t="s">
        <v>47112</v>
      </c>
      <c r="K731" t="s">
        <v>47113</v>
      </c>
      <c r="L731">
        <v>57.75</v>
      </c>
      <c r="M731">
        <v>128</v>
      </c>
      <c r="N731">
        <v>0</v>
      </c>
      <c r="O731">
        <v>128</v>
      </c>
      <c r="P731">
        <v>0</v>
      </c>
    </row>
    <row r="732" spans="1:16" x14ac:dyDescent="0.25">
      <c r="A732" t="s">
        <v>23259</v>
      </c>
      <c r="B732" t="s">
        <v>2098</v>
      </c>
      <c r="C732" t="s">
        <v>2099</v>
      </c>
      <c r="D732" t="s">
        <v>2100</v>
      </c>
      <c r="E732" t="s">
        <v>2101</v>
      </c>
      <c r="F732" t="s">
        <v>1401</v>
      </c>
      <c r="G732" t="s">
        <v>16231</v>
      </c>
      <c r="H732" t="s">
        <v>47054</v>
      </c>
      <c r="I732" t="s">
        <v>47111</v>
      </c>
      <c r="J732" t="s">
        <v>47112</v>
      </c>
      <c r="K732" t="s">
        <v>47113</v>
      </c>
      <c r="L732">
        <v>49.06</v>
      </c>
      <c r="M732">
        <v>118</v>
      </c>
      <c r="N732">
        <v>0</v>
      </c>
      <c r="O732">
        <v>118</v>
      </c>
      <c r="P732">
        <v>0</v>
      </c>
    </row>
    <row r="733" spans="1:16" x14ac:dyDescent="0.25">
      <c r="A733" t="s">
        <v>23260</v>
      </c>
      <c r="B733" t="s">
        <v>2098</v>
      </c>
      <c r="C733" t="s">
        <v>2099</v>
      </c>
      <c r="D733" t="s">
        <v>1706</v>
      </c>
      <c r="E733" t="s">
        <v>1707</v>
      </c>
      <c r="F733" t="s">
        <v>52</v>
      </c>
      <c r="G733" t="s">
        <v>16231</v>
      </c>
      <c r="H733" t="s">
        <v>47054</v>
      </c>
      <c r="I733" t="s">
        <v>47111</v>
      </c>
      <c r="J733" t="s">
        <v>47112</v>
      </c>
      <c r="K733" t="s">
        <v>47113</v>
      </c>
      <c r="L733">
        <v>56.21</v>
      </c>
      <c r="M733">
        <v>138</v>
      </c>
      <c r="N733">
        <v>0</v>
      </c>
      <c r="O733">
        <v>138</v>
      </c>
      <c r="P733">
        <v>0</v>
      </c>
    </row>
    <row r="734" spans="1:16" x14ac:dyDescent="0.25">
      <c r="A734" t="s">
        <v>23261</v>
      </c>
      <c r="B734" t="s">
        <v>2102</v>
      </c>
      <c r="C734" t="s">
        <v>2103</v>
      </c>
      <c r="D734" t="s">
        <v>294</v>
      </c>
      <c r="E734" t="s">
        <v>295</v>
      </c>
      <c r="F734" t="s">
        <v>7</v>
      </c>
      <c r="G734" t="s">
        <v>16231</v>
      </c>
      <c r="H734" t="s">
        <v>47054</v>
      </c>
      <c r="I734" t="s">
        <v>47114</v>
      </c>
      <c r="J734" t="s">
        <v>47115</v>
      </c>
      <c r="K734" t="s">
        <v>47113</v>
      </c>
      <c r="L734">
        <v>36.89</v>
      </c>
      <c r="M734">
        <v>92</v>
      </c>
      <c r="N734">
        <v>0</v>
      </c>
      <c r="O734">
        <v>92</v>
      </c>
      <c r="P734">
        <v>0</v>
      </c>
    </row>
    <row r="735" spans="1:16" x14ac:dyDescent="0.25">
      <c r="A735" t="s">
        <v>23262</v>
      </c>
      <c r="B735" t="s">
        <v>2102</v>
      </c>
      <c r="C735" t="s">
        <v>2103</v>
      </c>
      <c r="D735" t="s">
        <v>2028</v>
      </c>
      <c r="E735" t="s">
        <v>2029</v>
      </c>
      <c r="F735" t="s">
        <v>7</v>
      </c>
      <c r="G735" t="s">
        <v>16231</v>
      </c>
      <c r="H735" t="s">
        <v>47054</v>
      </c>
      <c r="I735" t="s">
        <v>47111</v>
      </c>
      <c r="J735" t="s">
        <v>47112</v>
      </c>
      <c r="K735" t="s">
        <v>47113</v>
      </c>
      <c r="L735">
        <v>42.66</v>
      </c>
      <c r="M735">
        <v>112</v>
      </c>
      <c r="N735">
        <v>0</v>
      </c>
      <c r="O735">
        <v>112</v>
      </c>
      <c r="P735">
        <v>0</v>
      </c>
    </row>
    <row r="736" spans="1:16" x14ac:dyDescent="0.25">
      <c r="A736" t="s">
        <v>23263</v>
      </c>
      <c r="B736" t="s">
        <v>2104</v>
      </c>
      <c r="C736" t="s">
        <v>2105</v>
      </c>
      <c r="D736" t="s">
        <v>721</v>
      </c>
      <c r="E736" t="s">
        <v>722</v>
      </c>
      <c r="F736" t="s">
        <v>631</v>
      </c>
      <c r="G736" t="s">
        <v>16231</v>
      </c>
      <c r="H736" t="s">
        <v>47054</v>
      </c>
      <c r="I736" t="s">
        <v>47111</v>
      </c>
      <c r="J736" t="s">
        <v>47112</v>
      </c>
      <c r="K736" t="s">
        <v>47113</v>
      </c>
      <c r="L736">
        <v>26.22</v>
      </c>
      <c r="M736">
        <v>72</v>
      </c>
      <c r="N736">
        <v>0</v>
      </c>
      <c r="O736">
        <v>72</v>
      </c>
      <c r="P736">
        <v>0</v>
      </c>
    </row>
    <row r="737" spans="1:16" x14ac:dyDescent="0.25">
      <c r="A737" t="s">
        <v>23264</v>
      </c>
      <c r="B737" t="s">
        <v>2104</v>
      </c>
      <c r="C737" t="s">
        <v>2105</v>
      </c>
      <c r="D737" t="str">
        <f>"89"</f>
        <v>89</v>
      </c>
      <c r="E737" t="s">
        <v>1732</v>
      </c>
      <c r="F737" t="s">
        <v>8</v>
      </c>
      <c r="G737" t="s">
        <v>16231</v>
      </c>
      <c r="H737" t="s">
        <v>47054</v>
      </c>
      <c r="I737" t="s">
        <v>47111</v>
      </c>
      <c r="J737" t="s">
        <v>47112</v>
      </c>
      <c r="K737" t="s">
        <v>47113</v>
      </c>
      <c r="L737">
        <v>30.36</v>
      </c>
      <c r="M737">
        <v>77</v>
      </c>
      <c r="N737">
        <v>0</v>
      </c>
      <c r="O737">
        <v>77</v>
      </c>
      <c r="P737">
        <v>0</v>
      </c>
    </row>
    <row r="738" spans="1:16" x14ac:dyDescent="0.25">
      <c r="A738" t="s">
        <v>23265</v>
      </c>
      <c r="B738" t="s">
        <v>2104</v>
      </c>
      <c r="C738" t="s">
        <v>2105</v>
      </c>
      <c r="D738" t="s">
        <v>2026</v>
      </c>
      <c r="E738" t="s">
        <v>2027</v>
      </c>
      <c r="F738" t="s">
        <v>631</v>
      </c>
      <c r="G738" t="s">
        <v>16231</v>
      </c>
      <c r="H738" t="s">
        <v>47054</v>
      </c>
      <c r="I738" t="s">
        <v>47111</v>
      </c>
      <c r="J738" t="s">
        <v>47112</v>
      </c>
      <c r="K738" t="s">
        <v>47113</v>
      </c>
      <c r="L738">
        <v>36.770000000000003</v>
      </c>
      <c r="M738">
        <v>98</v>
      </c>
      <c r="N738">
        <v>0</v>
      </c>
      <c r="O738">
        <v>98</v>
      </c>
      <c r="P738">
        <v>0</v>
      </c>
    </row>
    <row r="739" spans="1:16" x14ac:dyDescent="0.25">
      <c r="A739" t="s">
        <v>23266</v>
      </c>
      <c r="B739" t="s">
        <v>2104</v>
      </c>
      <c r="C739" t="s">
        <v>2105</v>
      </c>
      <c r="D739" t="s">
        <v>1703</v>
      </c>
      <c r="E739" t="s">
        <v>1704</v>
      </c>
      <c r="F739" t="s">
        <v>631</v>
      </c>
      <c r="G739" t="s">
        <v>16231</v>
      </c>
      <c r="H739" t="s">
        <v>47054</v>
      </c>
      <c r="I739" t="s">
        <v>47111</v>
      </c>
      <c r="J739" t="s">
        <v>47112</v>
      </c>
      <c r="K739" t="s">
        <v>47113</v>
      </c>
      <c r="L739">
        <v>35.369999999999997</v>
      </c>
      <c r="M739">
        <v>93</v>
      </c>
      <c r="N739">
        <v>0</v>
      </c>
      <c r="O739">
        <v>93</v>
      </c>
      <c r="P739">
        <v>0</v>
      </c>
    </row>
    <row r="740" spans="1:16" x14ac:dyDescent="0.25">
      <c r="A740" t="s">
        <v>23267</v>
      </c>
      <c r="B740" t="s">
        <v>2104</v>
      </c>
      <c r="C740" t="s">
        <v>2105</v>
      </c>
      <c r="D740" t="s">
        <v>2020</v>
      </c>
      <c r="E740" t="s">
        <v>2021</v>
      </c>
      <c r="F740" t="s">
        <v>8</v>
      </c>
      <c r="G740" t="s">
        <v>16231</v>
      </c>
      <c r="H740" t="s">
        <v>47054</v>
      </c>
      <c r="I740" t="s">
        <v>47111</v>
      </c>
      <c r="J740" t="s">
        <v>47112</v>
      </c>
      <c r="K740" t="s">
        <v>47113</v>
      </c>
      <c r="L740">
        <v>39.07</v>
      </c>
      <c r="M740">
        <v>95</v>
      </c>
      <c r="N740">
        <v>0</v>
      </c>
      <c r="O740">
        <v>95</v>
      </c>
      <c r="P740">
        <v>0</v>
      </c>
    </row>
    <row r="741" spans="1:16" x14ac:dyDescent="0.25">
      <c r="A741" t="s">
        <v>23268</v>
      </c>
      <c r="B741" t="s">
        <v>2104</v>
      </c>
      <c r="C741" t="s">
        <v>2105</v>
      </c>
      <c r="D741" t="s">
        <v>2028</v>
      </c>
      <c r="E741" t="s">
        <v>2029</v>
      </c>
      <c r="F741" t="s">
        <v>7</v>
      </c>
      <c r="G741" t="s">
        <v>16231</v>
      </c>
      <c r="H741" t="s">
        <v>47054</v>
      </c>
      <c r="I741" t="s">
        <v>47111</v>
      </c>
      <c r="J741" t="s">
        <v>47112</v>
      </c>
      <c r="K741" t="s">
        <v>47113</v>
      </c>
      <c r="L741">
        <v>41.33</v>
      </c>
      <c r="M741">
        <v>92</v>
      </c>
      <c r="N741">
        <v>0</v>
      </c>
      <c r="O741">
        <v>92</v>
      </c>
      <c r="P741">
        <v>0</v>
      </c>
    </row>
    <row r="742" spans="1:16" x14ac:dyDescent="0.25">
      <c r="A742" t="s">
        <v>23269</v>
      </c>
      <c r="B742" t="s">
        <v>2104</v>
      </c>
      <c r="C742" t="s">
        <v>2105</v>
      </c>
      <c r="D742" t="s">
        <v>1737</v>
      </c>
      <c r="E742" t="s">
        <v>1738</v>
      </c>
      <c r="F742" t="s">
        <v>52</v>
      </c>
      <c r="G742" t="s">
        <v>16231</v>
      </c>
      <c r="H742" t="s">
        <v>47054</v>
      </c>
      <c r="I742" t="s">
        <v>47111</v>
      </c>
      <c r="J742" t="s">
        <v>47112</v>
      </c>
      <c r="K742" t="s">
        <v>47113</v>
      </c>
      <c r="L742">
        <v>37.020000000000003</v>
      </c>
      <c r="M742">
        <v>92</v>
      </c>
      <c r="N742">
        <v>0</v>
      </c>
      <c r="O742">
        <v>92</v>
      </c>
      <c r="P742">
        <v>0</v>
      </c>
    </row>
    <row r="743" spans="1:16" x14ac:dyDescent="0.25">
      <c r="A743" t="s">
        <v>23270</v>
      </c>
      <c r="B743" t="s">
        <v>2104</v>
      </c>
      <c r="C743" t="s">
        <v>2105</v>
      </c>
      <c r="D743" t="s">
        <v>1734</v>
      </c>
      <c r="E743" t="s">
        <v>1735</v>
      </c>
      <c r="F743" t="s">
        <v>52</v>
      </c>
      <c r="G743" t="s">
        <v>16231</v>
      </c>
      <c r="H743" t="s">
        <v>47054</v>
      </c>
      <c r="I743" t="s">
        <v>47111</v>
      </c>
      <c r="J743" t="s">
        <v>47112</v>
      </c>
      <c r="K743" t="s">
        <v>47113</v>
      </c>
      <c r="L743">
        <v>38.47</v>
      </c>
      <c r="M743">
        <v>98</v>
      </c>
      <c r="N743">
        <v>0</v>
      </c>
      <c r="O743">
        <v>98</v>
      </c>
      <c r="P743">
        <v>0</v>
      </c>
    </row>
    <row r="744" spans="1:16" x14ac:dyDescent="0.25">
      <c r="A744" t="s">
        <v>23271</v>
      </c>
      <c r="B744" t="s">
        <v>2106</v>
      </c>
      <c r="C744" t="s">
        <v>2107</v>
      </c>
      <c r="D744" t="s">
        <v>2026</v>
      </c>
      <c r="E744" t="s">
        <v>2027</v>
      </c>
      <c r="F744" t="s">
        <v>631</v>
      </c>
      <c r="G744" t="s">
        <v>16231</v>
      </c>
      <c r="H744" t="s">
        <v>47054</v>
      </c>
      <c r="I744" t="s">
        <v>47111</v>
      </c>
      <c r="J744" t="s">
        <v>47112</v>
      </c>
      <c r="K744" t="s">
        <v>47113</v>
      </c>
      <c r="L744">
        <v>38.4</v>
      </c>
      <c r="M744">
        <v>95</v>
      </c>
      <c r="N744">
        <v>0</v>
      </c>
      <c r="O744">
        <v>95</v>
      </c>
      <c r="P744">
        <v>0</v>
      </c>
    </row>
    <row r="745" spans="1:16" x14ac:dyDescent="0.25">
      <c r="A745" t="s">
        <v>23272</v>
      </c>
      <c r="B745" t="s">
        <v>2106</v>
      </c>
      <c r="C745" t="s">
        <v>2107</v>
      </c>
      <c r="D745" t="s">
        <v>2108</v>
      </c>
      <c r="E745" t="s">
        <v>2109</v>
      </c>
      <c r="F745" t="s">
        <v>56</v>
      </c>
      <c r="G745" t="s">
        <v>16231</v>
      </c>
      <c r="H745" t="s">
        <v>47054</v>
      </c>
      <c r="I745" t="s">
        <v>47111</v>
      </c>
      <c r="J745" t="s">
        <v>47112</v>
      </c>
      <c r="K745" t="s">
        <v>47113</v>
      </c>
      <c r="L745">
        <v>47.52</v>
      </c>
      <c r="M745">
        <v>91</v>
      </c>
      <c r="N745">
        <v>0</v>
      </c>
      <c r="O745">
        <v>91</v>
      </c>
      <c r="P745">
        <v>0</v>
      </c>
    </row>
    <row r="746" spans="1:16" x14ac:dyDescent="0.25">
      <c r="A746" t="s">
        <v>23273</v>
      </c>
      <c r="B746" t="s">
        <v>2106</v>
      </c>
      <c r="C746" t="s">
        <v>2107</v>
      </c>
      <c r="D746" t="s">
        <v>1737</v>
      </c>
      <c r="E746" t="s">
        <v>1738</v>
      </c>
      <c r="F746" t="s">
        <v>56</v>
      </c>
      <c r="G746" t="s">
        <v>16231</v>
      </c>
      <c r="H746" t="s">
        <v>47054</v>
      </c>
      <c r="I746" t="s">
        <v>47111</v>
      </c>
      <c r="J746" t="s">
        <v>47112</v>
      </c>
      <c r="K746" t="s">
        <v>47113</v>
      </c>
      <c r="L746">
        <v>37.409999999999997</v>
      </c>
      <c r="M746">
        <v>109</v>
      </c>
      <c r="N746">
        <v>0</v>
      </c>
      <c r="O746">
        <v>109</v>
      </c>
      <c r="P746">
        <v>0</v>
      </c>
    </row>
    <row r="747" spans="1:16" x14ac:dyDescent="0.25">
      <c r="A747" t="s">
        <v>23274</v>
      </c>
      <c r="B747" t="s">
        <v>2110</v>
      </c>
      <c r="C747" t="s">
        <v>2111</v>
      </c>
      <c r="D747" t="s">
        <v>721</v>
      </c>
      <c r="E747" t="s">
        <v>722</v>
      </c>
      <c r="F747" t="s">
        <v>631</v>
      </c>
      <c r="G747" t="s">
        <v>16231</v>
      </c>
      <c r="H747" t="s">
        <v>47054</v>
      </c>
      <c r="I747" t="s">
        <v>47111</v>
      </c>
      <c r="J747" t="s">
        <v>47112</v>
      </c>
      <c r="K747" t="s">
        <v>47113</v>
      </c>
      <c r="L747">
        <v>24.28</v>
      </c>
      <c r="M747">
        <v>72</v>
      </c>
      <c r="N747">
        <v>0</v>
      </c>
      <c r="O747">
        <v>72</v>
      </c>
      <c r="P747">
        <v>0</v>
      </c>
    </row>
    <row r="748" spans="1:16" x14ac:dyDescent="0.25">
      <c r="A748" t="s">
        <v>23275</v>
      </c>
      <c r="B748" t="s">
        <v>2110</v>
      </c>
      <c r="C748" t="s">
        <v>2111</v>
      </c>
      <c r="D748" t="str">
        <f>"89"</f>
        <v>89</v>
      </c>
      <c r="E748" t="s">
        <v>1732</v>
      </c>
      <c r="F748" t="s">
        <v>8</v>
      </c>
      <c r="G748" t="s">
        <v>16231</v>
      </c>
      <c r="H748" t="s">
        <v>47054</v>
      </c>
      <c r="I748" t="s">
        <v>47111</v>
      </c>
      <c r="J748" t="s">
        <v>47112</v>
      </c>
      <c r="K748" t="s">
        <v>47113</v>
      </c>
      <c r="L748">
        <v>33.6</v>
      </c>
      <c r="M748">
        <v>84</v>
      </c>
      <c r="N748">
        <v>0</v>
      </c>
      <c r="O748">
        <v>84</v>
      </c>
      <c r="P748">
        <v>0</v>
      </c>
    </row>
    <row r="749" spans="1:16" x14ac:dyDescent="0.25">
      <c r="A749" t="s">
        <v>23276</v>
      </c>
      <c r="B749" t="s">
        <v>2110</v>
      </c>
      <c r="C749" t="s">
        <v>2111</v>
      </c>
      <c r="D749" t="s">
        <v>2026</v>
      </c>
      <c r="E749" t="s">
        <v>2027</v>
      </c>
      <c r="F749" t="s">
        <v>631</v>
      </c>
      <c r="G749" t="s">
        <v>16231</v>
      </c>
      <c r="H749" t="s">
        <v>47054</v>
      </c>
      <c r="I749" t="s">
        <v>47111</v>
      </c>
      <c r="J749" t="s">
        <v>47112</v>
      </c>
      <c r="K749" t="s">
        <v>47113</v>
      </c>
      <c r="L749">
        <v>37.03</v>
      </c>
      <c r="M749">
        <v>98</v>
      </c>
      <c r="N749">
        <v>0</v>
      </c>
      <c r="O749">
        <v>98</v>
      </c>
      <c r="P749">
        <v>0</v>
      </c>
    </row>
    <row r="750" spans="1:16" x14ac:dyDescent="0.25">
      <c r="A750" t="s">
        <v>23277</v>
      </c>
      <c r="B750" t="s">
        <v>2110</v>
      </c>
      <c r="C750" t="s">
        <v>2111</v>
      </c>
      <c r="D750" t="s">
        <v>1703</v>
      </c>
      <c r="E750" t="s">
        <v>1704</v>
      </c>
      <c r="F750" t="s">
        <v>631</v>
      </c>
      <c r="G750" t="s">
        <v>16231</v>
      </c>
      <c r="H750" t="s">
        <v>47054</v>
      </c>
      <c r="I750" t="s">
        <v>47111</v>
      </c>
      <c r="J750" t="s">
        <v>47112</v>
      </c>
      <c r="K750" t="s">
        <v>47113</v>
      </c>
      <c r="L750">
        <v>34.72</v>
      </c>
      <c r="M750">
        <v>93</v>
      </c>
      <c r="N750">
        <v>0</v>
      </c>
      <c r="O750">
        <v>93</v>
      </c>
      <c r="P750">
        <v>0</v>
      </c>
    </row>
    <row r="751" spans="1:16" x14ac:dyDescent="0.25">
      <c r="A751" t="s">
        <v>23278</v>
      </c>
      <c r="B751" t="s">
        <v>2110</v>
      </c>
      <c r="C751" t="s">
        <v>2111</v>
      </c>
      <c r="D751" t="s">
        <v>2020</v>
      </c>
      <c r="E751" t="s">
        <v>2021</v>
      </c>
      <c r="F751" t="s">
        <v>8</v>
      </c>
      <c r="G751" t="s">
        <v>16231</v>
      </c>
      <c r="H751" t="s">
        <v>47054</v>
      </c>
      <c r="I751" t="s">
        <v>47111</v>
      </c>
      <c r="J751" t="s">
        <v>47112</v>
      </c>
      <c r="K751" t="s">
        <v>47113</v>
      </c>
      <c r="L751">
        <v>38.21</v>
      </c>
      <c r="M751">
        <v>95</v>
      </c>
      <c r="N751">
        <v>0</v>
      </c>
      <c r="O751">
        <v>95</v>
      </c>
      <c r="P751">
        <v>0</v>
      </c>
    </row>
    <row r="752" spans="1:16" x14ac:dyDescent="0.25">
      <c r="A752" t="s">
        <v>23279</v>
      </c>
      <c r="B752" t="s">
        <v>2110</v>
      </c>
      <c r="C752" t="s">
        <v>2111</v>
      </c>
      <c r="D752" t="s">
        <v>1737</v>
      </c>
      <c r="E752" t="s">
        <v>1738</v>
      </c>
      <c r="F752" t="s">
        <v>52</v>
      </c>
      <c r="G752" t="s">
        <v>16231</v>
      </c>
      <c r="H752" t="s">
        <v>47054</v>
      </c>
      <c r="I752" t="s">
        <v>47111</v>
      </c>
      <c r="J752" t="s">
        <v>47112</v>
      </c>
      <c r="K752" t="s">
        <v>47113</v>
      </c>
      <c r="L752">
        <v>36.049999999999997</v>
      </c>
      <c r="M752">
        <v>92</v>
      </c>
      <c r="N752">
        <v>0</v>
      </c>
      <c r="O752">
        <v>92</v>
      </c>
      <c r="P752">
        <v>0</v>
      </c>
    </row>
    <row r="753" spans="1:16" x14ac:dyDescent="0.25">
      <c r="A753" t="s">
        <v>23280</v>
      </c>
      <c r="B753" t="s">
        <v>2110</v>
      </c>
      <c r="C753" t="s">
        <v>2111</v>
      </c>
      <c r="D753" t="s">
        <v>1734</v>
      </c>
      <c r="E753" t="s">
        <v>1735</v>
      </c>
      <c r="F753" t="s">
        <v>52</v>
      </c>
      <c r="G753" t="s">
        <v>16231</v>
      </c>
      <c r="H753" t="s">
        <v>47054</v>
      </c>
      <c r="I753" t="s">
        <v>47111</v>
      </c>
      <c r="J753" t="s">
        <v>47112</v>
      </c>
      <c r="K753" t="s">
        <v>47113</v>
      </c>
      <c r="L753">
        <v>38.93</v>
      </c>
      <c r="M753">
        <v>97</v>
      </c>
      <c r="N753">
        <v>0</v>
      </c>
      <c r="O753">
        <v>97</v>
      </c>
      <c r="P753">
        <v>0</v>
      </c>
    </row>
    <row r="754" spans="1:16" x14ac:dyDescent="0.25">
      <c r="A754" t="s">
        <v>23281</v>
      </c>
      <c r="B754" t="s">
        <v>2112</v>
      </c>
      <c r="C754" t="s">
        <v>2113</v>
      </c>
      <c r="D754" t="s">
        <v>721</v>
      </c>
      <c r="E754" t="s">
        <v>722</v>
      </c>
      <c r="F754" t="s">
        <v>631</v>
      </c>
      <c r="G754" t="s">
        <v>16231</v>
      </c>
      <c r="H754" t="s">
        <v>47054</v>
      </c>
      <c r="I754" t="s">
        <v>47111</v>
      </c>
      <c r="J754" t="s">
        <v>47112</v>
      </c>
      <c r="K754" t="s">
        <v>47113</v>
      </c>
      <c r="L754">
        <v>24.28</v>
      </c>
      <c r="M754">
        <v>72</v>
      </c>
      <c r="N754">
        <v>0</v>
      </c>
      <c r="O754">
        <v>72</v>
      </c>
      <c r="P754">
        <v>0</v>
      </c>
    </row>
    <row r="755" spans="1:16" x14ac:dyDescent="0.25">
      <c r="A755" t="s">
        <v>23282</v>
      </c>
      <c r="B755" t="s">
        <v>2112</v>
      </c>
      <c r="C755" t="s">
        <v>2113</v>
      </c>
      <c r="D755" t="str">
        <f>"89"</f>
        <v>89</v>
      </c>
      <c r="E755" t="s">
        <v>1732</v>
      </c>
      <c r="F755" t="s">
        <v>8</v>
      </c>
      <c r="G755" t="s">
        <v>16231</v>
      </c>
      <c r="H755" t="s">
        <v>47054</v>
      </c>
      <c r="I755" t="s">
        <v>47111</v>
      </c>
      <c r="J755" t="s">
        <v>47112</v>
      </c>
      <c r="K755" t="s">
        <v>47113</v>
      </c>
      <c r="L755">
        <v>30.79</v>
      </c>
      <c r="M755">
        <v>84</v>
      </c>
      <c r="N755">
        <v>0</v>
      </c>
      <c r="O755">
        <v>84</v>
      </c>
      <c r="P755">
        <v>0</v>
      </c>
    </row>
    <row r="756" spans="1:16" x14ac:dyDescent="0.25">
      <c r="A756" t="s">
        <v>23283</v>
      </c>
      <c r="B756" t="s">
        <v>2112</v>
      </c>
      <c r="C756" t="s">
        <v>2113</v>
      </c>
      <c r="D756" t="s">
        <v>2026</v>
      </c>
      <c r="E756" t="s">
        <v>2027</v>
      </c>
      <c r="F756" t="s">
        <v>631</v>
      </c>
      <c r="G756" t="s">
        <v>16231</v>
      </c>
      <c r="H756" t="s">
        <v>47054</v>
      </c>
      <c r="I756" t="s">
        <v>47111</v>
      </c>
      <c r="J756" t="s">
        <v>47112</v>
      </c>
      <c r="K756" t="s">
        <v>47113</v>
      </c>
      <c r="L756">
        <v>34.85</v>
      </c>
      <c r="M756">
        <v>98</v>
      </c>
      <c r="N756">
        <v>0</v>
      </c>
      <c r="O756">
        <v>98</v>
      </c>
      <c r="P756">
        <v>0</v>
      </c>
    </row>
    <row r="757" spans="1:16" x14ac:dyDescent="0.25">
      <c r="A757" t="s">
        <v>23284</v>
      </c>
      <c r="B757" t="s">
        <v>2112</v>
      </c>
      <c r="C757" t="s">
        <v>2113</v>
      </c>
      <c r="D757" t="s">
        <v>1703</v>
      </c>
      <c r="E757" t="s">
        <v>1704</v>
      </c>
      <c r="F757" t="s">
        <v>631</v>
      </c>
      <c r="G757" t="s">
        <v>16231</v>
      </c>
      <c r="H757" t="s">
        <v>47054</v>
      </c>
      <c r="I757" t="s">
        <v>47111</v>
      </c>
      <c r="J757" t="s">
        <v>47112</v>
      </c>
      <c r="K757" t="s">
        <v>47113</v>
      </c>
      <c r="L757">
        <v>32.54</v>
      </c>
      <c r="M757">
        <v>93</v>
      </c>
      <c r="N757">
        <v>0</v>
      </c>
      <c r="O757">
        <v>93</v>
      </c>
      <c r="P757">
        <v>0</v>
      </c>
    </row>
    <row r="758" spans="1:16" x14ac:dyDescent="0.25">
      <c r="A758" t="s">
        <v>23285</v>
      </c>
      <c r="B758" t="s">
        <v>2112</v>
      </c>
      <c r="C758" t="s">
        <v>2113</v>
      </c>
      <c r="D758" t="s">
        <v>2020</v>
      </c>
      <c r="E758" t="s">
        <v>2021</v>
      </c>
      <c r="F758" t="s">
        <v>8</v>
      </c>
      <c r="G758" t="s">
        <v>16231</v>
      </c>
      <c r="H758" t="s">
        <v>47054</v>
      </c>
      <c r="I758" t="s">
        <v>47111</v>
      </c>
      <c r="J758" t="s">
        <v>47112</v>
      </c>
      <c r="K758" t="s">
        <v>47113</v>
      </c>
      <c r="L758">
        <v>35.4</v>
      </c>
      <c r="M758">
        <v>87</v>
      </c>
      <c r="N758">
        <v>0</v>
      </c>
      <c r="O758">
        <v>87</v>
      </c>
      <c r="P758">
        <v>0</v>
      </c>
    </row>
    <row r="759" spans="1:16" x14ac:dyDescent="0.25">
      <c r="A759" t="s">
        <v>23286</v>
      </c>
      <c r="B759" t="s">
        <v>2112</v>
      </c>
      <c r="C759" t="s">
        <v>2113</v>
      </c>
      <c r="D759" t="s">
        <v>1737</v>
      </c>
      <c r="E759" t="s">
        <v>1738</v>
      </c>
      <c r="F759" t="s">
        <v>52</v>
      </c>
      <c r="G759" t="s">
        <v>16231</v>
      </c>
      <c r="H759" t="s">
        <v>47054</v>
      </c>
      <c r="I759" t="s">
        <v>47111</v>
      </c>
      <c r="J759" t="s">
        <v>47112</v>
      </c>
      <c r="K759" t="s">
        <v>47113</v>
      </c>
      <c r="L759">
        <v>33.68</v>
      </c>
      <c r="M759">
        <v>84</v>
      </c>
      <c r="N759">
        <v>0</v>
      </c>
      <c r="O759">
        <v>84</v>
      </c>
      <c r="P759">
        <v>0</v>
      </c>
    </row>
    <row r="760" spans="1:16" x14ac:dyDescent="0.25">
      <c r="A760" t="s">
        <v>23287</v>
      </c>
      <c r="B760" t="s">
        <v>2112</v>
      </c>
      <c r="C760" t="s">
        <v>2113</v>
      </c>
      <c r="D760" t="s">
        <v>1734</v>
      </c>
      <c r="E760" t="s">
        <v>1735</v>
      </c>
      <c r="F760" t="s">
        <v>52</v>
      </c>
      <c r="G760" t="s">
        <v>16231</v>
      </c>
      <c r="H760" t="s">
        <v>47054</v>
      </c>
      <c r="I760" t="s">
        <v>47111</v>
      </c>
      <c r="J760" t="s">
        <v>47112</v>
      </c>
      <c r="K760" t="s">
        <v>47113</v>
      </c>
      <c r="L760">
        <v>36.56</v>
      </c>
      <c r="M760">
        <v>90</v>
      </c>
      <c r="N760">
        <v>0</v>
      </c>
      <c r="O760">
        <v>90</v>
      </c>
      <c r="P760">
        <v>0</v>
      </c>
    </row>
    <row r="761" spans="1:16" x14ac:dyDescent="0.25">
      <c r="A761" t="s">
        <v>23288</v>
      </c>
      <c r="B761" t="s">
        <v>2114</v>
      </c>
      <c r="C761" t="s">
        <v>2115</v>
      </c>
      <c r="D761" t="s">
        <v>721</v>
      </c>
      <c r="E761" t="s">
        <v>722</v>
      </c>
      <c r="F761" t="s">
        <v>8</v>
      </c>
      <c r="G761" t="s">
        <v>16231</v>
      </c>
      <c r="H761" t="s">
        <v>47054</v>
      </c>
      <c r="I761" t="s">
        <v>47111</v>
      </c>
      <c r="J761" t="s">
        <v>47112</v>
      </c>
      <c r="K761" t="s">
        <v>47113</v>
      </c>
      <c r="L761">
        <v>29.47</v>
      </c>
      <c r="M761">
        <v>72</v>
      </c>
      <c r="N761">
        <v>0</v>
      </c>
      <c r="O761">
        <v>72</v>
      </c>
      <c r="P761">
        <v>0</v>
      </c>
    </row>
    <row r="762" spans="1:16" x14ac:dyDescent="0.25">
      <c r="A762" t="s">
        <v>23289</v>
      </c>
      <c r="B762" t="s">
        <v>2114</v>
      </c>
      <c r="C762" t="s">
        <v>2115</v>
      </c>
      <c r="D762" t="str">
        <f>"89"</f>
        <v>89</v>
      </c>
      <c r="E762" t="s">
        <v>1732</v>
      </c>
      <c r="F762" t="s">
        <v>8</v>
      </c>
      <c r="G762" t="s">
        <v>16231</v>
      </c>
      <c r="H762" t="s">
        <v>47054</v>
      </c>
      <c r="I762" t="s">
        <v>47111</v>
      </c>
      <c r="J762" t="s">
        <v>47112</v>
      </c>
      <c r="K762" t="s">
        <v>47113</v>
      </c>
      <c r="L762">
        <v>34.94</v>
      </c>
      <c r="M762">
        <v>84</v>
      </c>
      <c r="N762">
        <v>0</v>
      </c>
      <c r="O762">
        <v>84</v>
      </c>
      <c r="P762">
        <v>0</v>
      </c>
    </row>
    <row r="763" spans="1:16" x14ac:dyDescent="0.25">
      <c r="A763" t="s">
        <v>23290</v>
      </c>
      <c r="B763" t="s">
        <v>2114</v>
      </c>
      <c r="C763" t="s">
        <v>2115</v>
      </c>
      <c r="D763" t="s">
        <v>2026</v>
      </c>
      <c r="E763" t="s">
        <v>2027</v>
      </c>
      <c r="F763" t="s">
        <v>8</v>
      </c>
      <c r="G763" t="s">
        <v>16231</v>
      </c>
      <c r="H763" t="s">
        <v>47054</v>
      </c>
      <c r="I763" t="s">
        <v>47111</v>
      </c>
      <c r="J763" t="s">
        <v>47112</v>
      </c>
      <c r="K763" t="s">
        <v>47113</v>
      </c>
      <c r="L763">
        <v>40.03</v>
      </c>
      <c r="M763">
        <v>98</v>
      </c>
      <c r="N763">
        <v>0</v>
      </c>
      <c r="O763">
        <v>98</v>
      </c>
      <c r="P763">
        <v>0</v>
      </c>
    </row>
    <row r="764" spans="1:16" x14ac:dyDescent="0.25">
      <c r="A764" t="s">
        <v>23291</v>
      </c>
      <c r="B764" t="s">
        <v>2114</v>
      </c>
      <c r="C764" t="s">
        <v>2115</v>
      </c>
      <c r="D764" t="s">
        <v>1703</v>
      </c>
      <c r="E764" t="s">
        <v>1704</v>
      </c>
      <c r="F764" t="s">
        <v>8</v>
      </c>
      <c r="G764" t="s">
        <v>16231</v>
      </c>
      <c r="H764" t="s">
        <v>47054</v>
      </c>
      <c r="I764" t="s">
        <v>47111</v>
      </c>
      <c r="J764" t="s">
        <v>47112</v>
      </c>
      <c r="K764" t="s">
        <v>47113</v>
      </c>
      <c r="L764">
        <v>38.619999999999997</v>
      </c>
      <c r="M764">
        <v>93</v>
      </c>
      <c r="N764">
        <v>0</v>
      </c>
      <c r="O764">
        <v>93</v>
      </c>
      <c r="P764">
        <v>0</v>
      </c>
    </row>
    <row r="765" spans="1:16" x14ac:dyDescent="0.25">
      <c r="A765" t="s">
        <v>23292</v>
      </c>
      <c r="B765" t="s">
        <v>2114</v>
      </c>
      <c r="C765" t="s">
        <v>2115</v>
      </c>
      <c r="D765" t="s">
        <v>2020</v>
      </c>
      <c r="E765" t="s">
        <v>2021</v>
      </c>
      <c r="F765" t="s">
        <v>8</v>
      </c>
      <c r="G765" t="s">
        <v>16231</v>
      </c>
      <c r="H765" t="s">
        <v>47054</v>
      </c>
      <c r="I765" t="s">
        <v>47111</v>
      </c>
      <c r="J765" t="s">
        <v>47112</v>
      </c>
      <c r="K765" t="s">
        <v>47113</v>
      </c>
      <c r="L765">
        <v>38.880000000000003</v>
      </c>
      <c r="M765">
        <v>94</v>
      </c>
      <c r="N765">
        <v>0</v>
      </c>
      <c r="O765">
        <v>94</v>
      </c>
      <c r="P765">
        <v>0</v>
      </c>
    </row>
    <row r="766" spans="1:16" x14ac:dyDescent="0.25">
      <c r="A766" t="s">
        <v>23293</v>
      </c>
      <c r="B766" t="s">
        <v>2114</v>
      </c>
      <c r="C766" t="s">
        <v>2115</v>
      </c>
      <c r="D766" t="s">
        <v>1737</v>
      </c>
      <c r="E766" t="s">
        <v>1738</v>
      </c>
      <c r="F766" t="s">
        <v>52</v>
      </c>
      <c r="G766" t="s">
        <v>16231</v>
      </c>
      <c r="H766" t="s">
        <v>47054</v>
      </c>
      <c r="I766" t="s">
        <v>47111</v>
      </c>
      <c r="J766" t="s">
        <v>47112</v>
      </c>
      <c r="K766" t="s">
        <v>47113</v>
      </c>
      <c r="L766">
        <v>36.479999999999997</v>
      </c>
      <c r="M766">
        <v>91</v>
      </c>
      <c r="N766">
        <v>0</v>
      </c>
      <c r="O766">
        <v>91</v>
      </c>
      <c r="P766">
        <v>0</v>
      </c>
    </row>
    <row r="767" spans="1:16" x14ac:dyDescent="0.25">
      <c r="A767" t="s">
        <v>23294</v>
      </c>
      <c r="B767" t="s">
        <v>2114</v>
      </c>
      <c r="C767" t="s">
        <v>2115</v>
      </c>
      <c r="D767" t="s">
        <v>1734</v>
      </c>
      <c r="E767" t="s">
        <v>1735</v>
      </c>
      <c r="F767" t="s">
        <v>52</v>
      </c>
      <c r="G767" t="s">
        <v>16231</v>
      </c>
      <c r="H767" t="s">
        <v>47054</v>
      </c>
      <c r="I767" t="s">
        <v>47111</v>
      </c>
      <c r="J767" t="s">
        <v>47112</v>
      </c>
      <c r="K767" t="s">
        <v>47113</v>
      </c>
      <c r="L767">
        <v>39.36</v>
      </c>
      <c r="M767">
        <v>97</v>
      </c>
      <c r="N767">
        <v>0</v>
      </c>
      <c r="O767">
        <v>97</v>
      </c>
      <c r="P767">
        <v>0</v>
      </c>
    </row>
    <row r="768" spans="1:16" x14ac:dyDescent="0.25">
      <c r="A768" t="s">
        <v>23295</v>
      </c>
      <c r="B768" t="str">
        <f>"3000000004"</f>
        <v>3000000004</v>
      </c>
      <c r="C768" t="s">
        <v>2116</v>
      </c>
      <c r="D768" t="s">
        <v>2117</v>
      </c>
      <c r="E768" t="s">
        <v>2118</v>
      </c>
      <c r="F768" t="s">
        <v>8</v>
      </c>
      <c r="G768" t="s">
        <v>47072</v>
      </c>
      <c r="H768" t="s">
        <v>47054</v>
      </c>
      <c r="I768" t="s">
        <v>47116</v>
      </c>
      <c r="J768" t="s">
        <v>47117</v>
      </c>
      <c r="K768" t="s">
        <v>47113</v>
      </c>
      <c r="L768">
        <v>23.29</v>
      </c>
      <c r="M768">
        <v>50</v>
      </c>
      <c r="N768">
        <v>0</v>
      </c>
      <c r="O768">
        <v>50</v>
      </c>
      <c r="P768">
        <v>0</v>
      </c>
    </row>
    <row r="769" spans="1:16" x14ac:dyDescent="0.25">
      <c r="A769">
        <v>32100000073190</v>
      </c>
      <c r="B769" t="str">
        <f>"3210000007"</f>
        <v>3210000007</v>
      </c>
      <c r="C769" t="s">
        <v>2119</v>
      </c>
      <c r="D769" t="str">
        <f>"3190"</f>
        <v>3190</v>
      </c>
      <c r="E769" t="s">
        <v>1748</v>
      </c>
      <c r="F769" t="s">
        <v>56</v>
      </c>
      <c r="G769" t="s">
        <v>47078</v>
      </c>
      <c r="H769" t="s">
        <v>47054</v>
      </c>
      <c r="I769" t="s">
        <v>47111</v>
      </c>
      <c r="J769" t="s">
        <v>47112</v>
      </c>
      <c r="K769" t="s">
        <v>47113</v>
      </c>
      <c r="L769">
        <v>11.96</v>
      </c>
      <c r="M769">
        <v>32</v>
      </c>
      <c r="N769">
        <v>0</v>
      </c>
      <c r="O769">
        <v>32</v>
      </c>
      <c r="P769">
        <v>0</v>
      </c>
    </row>
    <row r="770" spans="1:16" x14ac:dyDescent="0.25">
      <c r="A770" t="s">
        <v>14711</v>
      </c>
      <c r="B770" t="str">
        <f>"4000000004"</f>
        <v>4000000004</v>
      </c>
      <c r="C770" t="s">
        <v>2120</v>
      </c>
      <c r="D770" t="s">
        <v>2117</v>
      </c>
      <c r="E770" t="s">
        <v>2118</v>
      </c>
      <c r="F770" t="s">
        <v>8</v>
      </c>
      <c r="G770" t="s">
        <v>47081</v>
      </c>
      <c r="H770" t="s">
        <v>47054</v>
      </c>
      <c r="I770" t="s">
        <v>47116</v>
      </c>
      <c r="J770" t="s">
        <v>47117</v>
      </c>
      <c r="K770" t="s">
        <v>47113</v>
      </c>
      <c r="L770">
        <v>23.82</v>
      </c>
      <c r="M770">
        <v>57</v>
      </c>
      <c r="N770">
        <v>0</v>
      </c>
      <c r="O770">
        <v>57</v>
      </c>
      <c r="P770">
        <v>0</v>
      </c>
    </row>
    <row r="771" spans="1:16" x14ac:dyDescent="0.25">
      <c r="A771" t="s">
        <v>14712</v>
      </c>
      <c r="B771" t="s">
        <v>71</v>
      </c>
      <c r="C771" t="s">
        <v>72</v>
      </c>
      <c r="D771" t="str">
        <f>"1299"</f>
        <v>1299</v>
      </c>
      <c r="E771" t="s">
        <v>73</v>
      </c>
      <c r="F771" t="s">
        <v>5</v>
      </c>
      <c r="G771" t="s">
        <v>47091</v>
      </c>
      <c r="H771" t="s">
        <v>47126</v>
      </c>
      <c r="I771" t="s">
        <v>47127</v>
      </c>
      <c r="J771" t="s">
        <v>47128</v>
      </c>
      <c r="K771" t="s">
        <v>47113</v>
      </c>
      <c r="L771">
        <v>12.54</v>
      </c>
      <c r="M771">
        <v>29</v>
      </c>
      <c r="N771">
        <v>0</v>
      </c>
      <c r="O771">
        <v>29</v>
      </c>
      <c r="P771">
        <v>0</v>
      </c>
    </row>
    <row r="772" spans="1:16" x14ac:dyDescent="0.25">
      <c r="A772" t="s">
        <v>14713</v>
      </c>
      <c r="B772" t="s">
        <v>71</v>
      </c>
      <c r="C772" t="s">
        <v>72</v>
      </c>
      <c r="D772" t="str">
        <f>"1377"</f>
        <v>1377</v>
      </c>
      <c r="E772" t="s">
        <v>74</v>
      </c>
      <c r="F772" t="s">
        <v>5</v>
      </c>
      <c r="G772" t="s">
        <v>47091</v>
      </c>
      <c r="H772" t="s">
        <v>47126</v>
      </c>
      <c r="I772" t="s">
        <v>47127</v>
      </c>
      <c r="J772" t="s">
        <v>47128</v>
      </c>
      <c r="K772" t="s">
        <v>47113</v>
      </c>
      <c r="L772">
        <v>12.54</v>
      </c>
      <c r="M772">
        <v>29</v>
      </c>
      <c r="N772">
        <v>0</v>
      </c>
      <c r="O772">
        <v>29</v>
      </c>
      <c r="P772">
        <v>0</v>
      </c>
    </row>
    <row r="773" spans="1:16" x14ac:dyDescent="0.25">
      <c r="A773" t="s">
        <v>14714</v>
      </c>
      <c r="B773" t="s">
        <v>71</v>
      </c>
      <c r="C773" t="s">
        <v>72</v>
      </c>
      <c r="D773" t="str">
        <f>"1700"</f>
        <v>1700</v>
      </c>
      <c r="E773" t="s">
        <v>60</v>
      </c>
      <c r="F773" t="s">
        <v>5</v>
      </c>
      <c r="G773" t="s">
        <v>47091</v>
      </c>
      <c r="H773" t="s">
        <v>47126</v>
      </c>
      <c r="I773" t="s">
        <v>47127</v>
      </c>
      <c r="J773" t="s">
        <v>47128</v>
      </c>
      <c r="K773" t="s">
        <v>47113</v>
      </c>
      <c r="L773">
        <v>12.54</v>
      </c>
      <c r="M773">
        <v>29</v>
      </c>
      <c r="N773">
        <v>0</v>
      </c>
      <c r="O773">
        <v>29</v>
      </c>
      <c r="P773">
        <v>0</v>
      </c>
    </row>
    <row r="774" spans="1:16" x14ac:dyDescent="0.25">
      <c r="A774" t="s">
        <v>23296</v>
      </c>
      <c r="B774" t="s">
        <v>71</v>
      </c>
      <c r="C774" t="s">
        <v>72</v>
      </c>
      <c r="D774" t="str">
        <f>"2166"</f>
        <v>2166</v>
      </c>
      <c r="E774" t="s">
        <v>80</v>
      </c>
      <c r="F774" t="s">
        <v>5</v>
      </c>
      <c r="G774" t="s">
        <v>47091</v>
      </c>
      <c r="H774" t="s">
        <v>47126</v>
      </c>
      <c r="I774" t="s">
        <v>47127</v>
      </c>
      <c r="J774" t="s">
        <v>47128</v>
      </c>
      <c r="K774" t="s">
        <v>47113</v>
      </c>
      <c r="L774">
        <v>12.54</v>
      </c>
      <c r="M774">
        <v>29</v>
      </c>
      <c r="N774">
        <v>0</v>
      </c>
      <c r="O774">
        <v>29</v>
      </c>
      <c r="P774">
        <v>0</v>
      </c>
    </row>
    <row r="775" spans="1:16" x14ac:dyDescent="0.25">
      <c r="A775" t="s">
        <v>23297</v>
      </c>
      <c r="B775" t="s">
        <v>71</v>
      </c>
      <c r="C775" t="s">
        <v>72</v>
      </c>
      <c r="D775" t="str">
        <f>"3449"</f>
        <v>3449</v>
      </c>
      <c r="E775" t="s">
        <v>90</v>
      </c>
      <c r="F775" t="s">
        <v>5</v>
      </c>
      <c r="G775" t="s">
        <v>47091</v>
      </c>
      <c r="H775" t="s">
        <v>47126</v>
      </c>
      <c r="I775" t="s">
        <v>47127</v>
      </c>
      <c r="J775" t="s">
        <v>47128</v>
      </c>
      <c r="K775" t="s">
        <v>47113</v>
      </c>
      <c r="L775">
        <v>12.54</v>
      </c>
      <c r="M775">
        <v>29</v>
      </c>
      <c r="N775">
        <v>0</v>
      </c>
      <c r="O775">
        <v>29</v>
      </c>
      <c r="P775">
        <v>0</v>
      </c>
    </row>
    <row r="776" spans="1:16" x14ac:dyDescent="0.25">
      <c r="A776" t="s">
        <v>23298</v>
      </c>
      <c r="B776" t="s">
        <v>71</v>
      </c>
      <c r="C776" t="s">
        <v>72</v>
      </c>
      <c r="D776" t="str">
        <f>"4348"</f>
        <v>4348</v>
      </c>
      <c r="E776" t="s">
        <v>91</v>
      </c>
      <c r="F776" t="s">
        <v>5</v>
      </c>
      <c r="G776" t="s">
        <v>47091</v>
      </c>
      <c r="H776" t="s">
        <v>47126</v>
      </c>
      <c r="I776" t="s">
        <v>47127</v>
      </c>
      <c r="J776" t="s">
        <v>47128</v>
      </c>
      <c r="K776" t="s">
        <v>47113</v>
      </c>
      <c r="L776">
        <v>12.54</v>
      </c>
      <c r="M776">
        <v>29</v>
      </c>
      <c r="N776">
        <v>0</v>
      </c>
      <c r="O776">
        <v>29</v>
      </c>
      <c r="P776">
        <v>0</v>
      </c>
    </row>
    <row r="777" spans="1:16" x14ac:dyDescent="0.25">
      <c r="A777" t="s">
        <v>23299</v>
      </c>
      <c r="B777" t="s">
        <v>71</v>
      </c>
      <c r="C777" t="s">
        <v>72</v>
      </c>
      <c r="D777" t="str">
        <f>"5342"</f>
        <v>5342</v>
      </c>
      <c r="E777" t="s">
        <v>77</v>
      </c>
      <c r="F777" t="s">
        <v>5</v>
      </c>
      <c r="G777" t="s">
        <v>47091</v>
      </c>
      <c r="H777" t="s">
        <v>47126</v>
      </c>
      <c r="I777" t="s">
        <v>47127</v>
      </c>
      <c r="J777" t="s">
        <v>47128</v>
      </c>
      <c r="K777" t="s">
        <v>47113</v>
      </c>
      <c r="L777">
        <v>12.54</v>
      </c>
      <c r="M777">
        <v>29</v>
      </c>
      <c r="N777">
        <v>0</v>
      </c>
      <c r="O777">
        <v>29</v>
      </c>
      <c r="P777">
        <v>0</v>
      </c>
    </row>
    <row r="778" spans="1:16" x14ac:dyDescent="0.25">
      <c r="A778" t="s">
        <v>14715</v>
      </c>
      <c r="B778" t="s">
        <v>75</v>
      </c>
      <c r="C778" t="s">
        <v>76</v>
      </c>
      <c r="D778" t="str">
        <f>"1299"</f>
        <v>1299</v>
      </c>
      <c r="E778" t="s">
        <v>73</v>
      </c>
      <c r="F778" t="s">
        <v>5</v>
      </c>
      <c r="G778" t="s">
        <v>47091</v>
      </c>
      <c r="H778" t="s">
        <v>47126</v>
      </c>
      <c r="I778" t="s">
        <v>47127</v>
      </c>
      <c r="J778" t="s">
        <v>47128</v>
      </c>
      <c r="K778" t="s">
        <v>47113</v>
      </c>
      <c r="L778">
        <v>12.54</v>
      </c>
      <c r="M778">
        <v>29</v>
      </c>
      <c r="N778">
        <v>0</v>
      </c>
      <c r="O778">
        <v>29</v>
      </c>
      <c r="P778">
        <v>0</v>
      </c>
    </row>
    <row r="779" spans="1:16" x14ac:dyDescent="0.25">
      <c r="A779" t="s">
        <v>23300</v>
      </c>
      <c r="B779" t="s">
        <v>75</v>
      </c>
      <c r="C779" t="s">
        <v>76</v>
      </c>
      <c r="D779" t="str">
        <f>"1377"</f>
        <v>1377</v>
      </c>
      <c r="E779" t="s">
        <v>74</v>
      </c>
      <c r="F779" t="s">
        <v>5</v>
      </c>
      <c r="G779" t="s">
        <v>47091</v>
      </c>
      <c r="H779" t="s">
        <v>47126</v>
      </c>
      <c r="I779" t="s">
        <v>47127</v>
      </c>
      <c r="J779" t="s">
        <v>47128</v>
      </c>
      <c r="K779" t="s">
        <v>47113</v>
      </c>
      <c r="L779">
        <v>12.54</v>
      </c>
      <c r="M779">
        <v>29</v>
      </c>
      <c r="N779">
        <v>0</v>
      </c>
      <c r="O779">
        <v>29</v>
      </c>
      <c r="P779">
        <v>0</v>
      </c>
    </row>
    <row r="780" spans="1:16" x14ac:dyDescent="0.25">
      <c r="A780" t="s">
        <v>23301</v>
      </c>
      <c r="B780" t="s">
        <v>75</v>
      </c>
      <c r="C780" t="s">
        <v>76</v>
      </c>
      <c r="D780" t="str">
        <f>"1700"</f>
        <v>1700</v>
      </c>
      <c r="E780" t="s">
        <v>60</v>
      </c>
      <c r="F780" t="s">
        <v>5</v>
      </c>
      <c r="G780" t="s">
        <v>47091</v>
      </c>
      <c r="H780" t="s">
        <v>47126</v>
      </c>
      <c r="I780" t="s">
        <v>47127</v>
      </c>
      <c r="J780" t="s">
        <v>47128</v>
      </c>
      <c r="K780" t="s">
        <v>47113</v>
      </c>
      <c r="L780">
        <v>12.54</v>
      </c>
      <c r="M780">
        <v>29</v>
      </c>
      <c r="N780">
        <v>0</v>
      </c>
      <c r="O780">
        <v>29</v>
      </c>
      <c r="P780">
        <v>0</v>
      </c>
    </row>
    <row r="781" spans="1:16" x14ac:dyDescent="0.25">
      <c r="A781" t="s">
        <v>23302</v>
      </c>
      <c r="B781" t="s">
        <v>75</v>
      </c>
      <c r="C781" t="s">
        <v>76</v>
      </c>
      <c r="D781" t="str">
        <f>"2166"</f>
        <v>2166</v>
      </c>
      <c r="E781" t="s">
        <v>80</v>
      </c>
      <c r="F781" t="s">
        <v>5</v>
      </c>
      <c r="G781" t="s">
        <v>47091</v>
      </c>
      <c r="H781" t="s">
        <v>47126</v>
      </c>
      <c r="I781" t="s">
        <v>47127</v>
      </c>
      <c r="J781" t="s">
        <v>47128</v>
      </c>
      <c r="K781" t="s">
        <v>47113</v>
      </c>
      <c r="L781">
        <v>12.54</v>
      </c>
      <c r="M781">
        <v>29</v>
      </c>
      <c r="N781">
        <v>0</v>
      </c>
      <c r="O781">
        <v>29</v>
      </c>
      <c r="P781">
        <v>0</v>
      </c>
    </row>
    <row r="782" spans="1:16" x14ac:dyDescent="0.25">
      <c r="A782" t="s">
        <v>23303</v>
      </c>
      <c r="B782" t="s">
        <v>75</v>
      </c>
      <c r="C782" t="s">
        <v>76</v>
      </c>
      <c r="D782" t="str">
        <f>"3449"</f>
        <v>3449</v>
      </c>
      <c r="E782" t="s">
        <v>90</v>
      </c>
      <c r="F782" t="s">
        <v>5</v>
      </c>
      <c r="G782" t="s">
        <v>47091</v>
      </c>
      <c r="H782" t="s">
        <v>47126</v>
      </c>
      <c r="I782" t="s">
        <v>47127</v>
      </c>
      <c r="J782" t="s">
        <v>47128</v>
      </c>
      <c r="K782" t="s">
        <v>47113</v>
      </c>
      <c r="L782">
        <v>12.54</v>
      </c>
      <c r="M782">
        <v>29</v>
      </c>
      <c r="N782">
        <v>0</v>
      </c>
      <c r="O782">
        <v>29</v>
      </c>
      <c r="P782">
        <v>0</v>
      </c>
    </row>
    <row r="783" spans="1:16" x14ac:dyDescent="0.25">
      <c r="A783" t="s">
        <v>23304</v>
      </c>
      <c r="B783" t="s">
        <v>75</v>
      </c>
      <c r="C783" t="s">
        <v>76</v>
      </c>
      <c r="D783" t="str">
        <f>"4348"</f>
        <v>4348</v>
      </c>
      <c r="E783" t="s">
        <v>91</v>
      </c>
      <c r="F783" t="s">
        <v>5</v>
      </c>
      <c r="G783" t="s">
        <v>47091</v>
      </c>
      <c r="H783" t="s">
        <v>47126</v>
      </c>
      <c r="I783" t="s">
        <v>47127</v>
      </c>
      <c r="J783" t="s">
        <v>47128</v>
      </c>
      <c r="K783" t="s">
        <v>47113</v>
      </c>
      <c r="L783">
        <v>12.54</v>
      </c>
      <c r="M783">
        <v>29</v>
      </c>
      <c r="N783">
        <v>0</v>
      </c>
      <c r="O783">
        <v>29</v>
      </c>
      <c r="P783">
        <v>0</v>
      </c>
    </row>
    <row r="784" spans="1:16" x14ac:dyDescent="0.25">
      <c r="A784" t="s">
        <v>14716</v>
      </c>
      <c r="B784" t="s">
        <v>75</v>
      </c>
      <c r="C784" t="s">
        <v>76</v>
      </c>
      <c r="D784" t="str">
        <f>"5342"</f>
        <v>5342</v>
      </c>
      <c r="E784" t="s">
        <v>77</v>
      </c>
      <c r="F784" t="s">
        <v>5</v>
      </c>
      <c r="G784" t="s">
        <v>47091</v>
      </c>
      <c r="H784" t="s">
        <v>47126</v>
      </c>
      <c r="I784" t="s">
        <v>47127</v>
      </c>
      <c r="J784" t="s">
        <v>47128</v>
      </c>
      <c r="K784" t="s">
        <v>47113</v>
      </c>
      <c r="L784">
        <v>12.54</v>
      </c>
      <c r="M784">
        <v>29</v>
      </c>
      <c r="N784">
        <v>0</v>
      </c>
      <c r="O784">
        <v>29</v>
      </c>
      <c r="P784">
        <v>0</v>
      </c>
    </row>
    <row r="785" spans="1:16" x14ac:dyDescent="0.25">
      <c r="A785" t="s">
        <v>14717</v>
      </c>
      <c r="B785" t="s">
        <v>78</v>
      </c>
      <c r="C785" t="s">
        <v>79</v>
      </c>
      <c r="D785" t="str">
        <f>"1001"</f>
        <v>1001</v>
      </c>
      <c r="E785" t="s">
        <v>42</v>
      </c>
      <c r="F785" t="s">
        <v>5</v>
      </c>
      <c r="G785" t="s">
        <v>47091</v>
      </c>
      <c r="H785" t="s">
        <v>47126</v>
      </c>
      <c r="I785" t="s">
        <v>47127</v>
      </c>
      <c r="J785" t="s">
        <v>47128</v>
      </c>
      <c r="K785" t="s">
        <v>47113</v>
      </c>
      <c r="L785">
        <v>15.99</v>
      </c>
      <c r="M785">
        <v>37</v>
      </c>
      <c r="N785">
        <v>0</v>
      </c>
      <c r="O785">
        <v>37</v>
      </c>
      <c r="P785">
        <v>0</v>
      </c>
    </row>
    <row r="786" spans="1:16" x14ac:dyDescent="0.25">
      <c r="A786" t="s">
        <v>23305</v>
      </c>
      <c r="B786" t="s">
        <v>78</v>
      </c>
      <c r="C786" t="s">
        <v>79</v>
      </c>
      <c r="D786" t="str">
        <f>"1299"</f>
        <v>1299</v>
      </c>
      <c r="E786" t="s">
        <v>73</v>
      </c>
      <c r="F786" t="s">
        <v>5</v>
      </c>
      <c r="G786" t="s">
        <v>47091</v>
      </c>
      <c r="H786" t="s">
        <v>47126</v>
      </c>
      <c r="I786" t="s">
        <v>47127</v>
      </c>
      <c r="J786" t="s">
        <v>47128</v>
      </c>
      <c r="K786" t="s">
        <v>47113</v>
      </c>
      <c r="L786">
        <v>15.99</v>
      </c>
      <c r="M786">
        <v>37</v>
      </c>
      <c r="N786">
        <v>0</v>
      </c>
      <c r="O786">
        <v>37</v>
      </c>
      <c r="P786">
        <v>0</v>
      </c>
    </row>
    <row r="787" spans="1:16" x14ac:dyDescent="0.25">
      <c r="A787" t="s">
        <v>23306</v>
      </c>
      <c r="B787" t="s">
        <v>78</v>
      </c>
      <c r="C787" t="s">
        <v>79</v>
      </c>
      <c r="D787" t="str">
        <f>"1377"</f>
        <v>1377</v>
      </c>
      <c r="E787" t="s">
        <v>74</v>
      </c>
      <c r="F787" t="s">
        <v>5</v>
      </c>
      <c r="G787" t="s">
        <v>47091</v>
      </c>
      <c r="H787" t="s">
        <v>47126</v>
      </c>
      <c r="I787" t="s">
        <v>47127</v>
      </c>
      <c r="J787" t="s">
        <v>47128</v>
      </c>
      <c r="K787" t="s">
        <v>47113</v>
      </c>
      <c r="L787">
        <v>15.99</v>
      </c>
      <c r="M787">
        <v>37</v>
      </c>
      <c r="N787">
        <v>0</v>
      </c>
      <c r="O787">
        <v>37</v>
      </c>
      <c r="P787">
        <v>0</v>
      </c>
    </row>
    <row r="788" spans="1:16" x14ac:dyDescent="0.25">
      <c r="A788" t="s">
        <v>23307</v>
      </c>
      <c r="B788" t="s">
        <v>78</v>
      </c>
      <c r="C788" t="s">
        <v>79</v>
      </c>
      <c r="D788" t="str">
        <f>"1700"</f>
        <v>1700</v>
      </c>
      <c r="E788" t="s">
        <v>60</v>
      </c>
      <c r="F788" t="s">
        <v>5</v>
      </c>
      <c r="G788" t="s">
        <v>47091</v>
      </c>
      <c r="H788" t="s">
        <v>47126</v>
      </c>
      <c r="I788" t="s">
        <v>47127</v>
      </c>
      <c r="J788" t="s">
        <v>47128</v>
      </c>
      <c r="K788" t="s">
        <v>47113</v>
      </c>
      <c r="L788">
        <v>15.99</v>
      </c>
      <c r="M788">
        <v>37</v>
      </c>
      <c r="N788">
        <v>0</v>
      </c>
      <c r="O788">
        <v>37</v>
      </c>
      <c r="P788">
        <v>0</v>
      </c>
    </row>
    <row r="789" spans="1:16" x14ac:dyDescent="0.25">
      <c r="A789" t="s">
        <v>14718</v>
      </c>
      <c r="B789" t="s">
        <v>78</v>
      </c>
      <c r="C789" t="s">
        <v>79</v>
      </c>
      <c r="D789" t="str">
        <f>"2166"</f>
        <v>2166</v>
      </c>
      <c r="E789" t="s">
        <v>80</v>
      </c>
      <c r="F789" t="s">
        <v>5</v>
      </c>
      <c r="G789" t="s">
        <v>47091</v>
      </c>
      <c r="H789" t="s">
        <v>47126</v>
      </c>
      <c r="I789" t="s">
        <v>47127</v>
      </c>
      <c r="J789" t="s">
        <v>47128</v>
      </c>
      <c r="K789" t="s">
        <v>47113</v>
      </c>
      <c r="L789">
        <v>15.99</v>
      </c>
      <c r="M789">
        <v>37</v>
      </c>
      <c r="N789">
        <v>0</v>
      </c>
      <c r="O789">
        <v>37</v>
      </c>
      <c r="P789">
        <v>0</v>
      </c>
    </row>
    <row r="790" spans="1:16" x14ac:dyDescent="0.25">
      <c r="A790" t="s">
        <v>23308</v>
      </c>
      <c r="B790" t="s">
        <v>78</v>
      </c>
      <c r="C790" t="s">
        <v>79</v>
      </c>
      <c r="D790" t="str">
        <f>"3449"</f>
        <v>3449</v>
      </c>
      <c r="E790" t="s">
        <v>90</v>
      </c>
      <c r="F790" t="s">
        <v>5</v>
      </c>
      <c r="G790" t="s">
        <v>47091</v>
      </c>
      <c r="H790" t="s">
        <v>47126</v>
      </c>
      <c r="I790" t="s">
        <v>47127</v>
      </c>
      <c r="J790" t="s">
        <v>47128</v>
      </c>
      <c r="K790" t="s">
        <v>47113</v>
      </c>
      <c r="L790">
        <v>15.99</v>
      </c>
      <c r="M790">
        <v>37</v>
      </c>
      <c r="N790">
        <v>0</v>
      </c>
      <c r="O790">
        <v>37</v>
      </c>
      <c r="P790">
        <v>0</v>
      </c>
    </row>
    <row r="791" spans="1:16" x14ac:dyDescent="0.25">
      <c r="A791" t="s">
        <v>23309</v>
      </c>
      <c r="B791" t="s">
        <v>78</v>
      </c>
      <c r="C791" t="s">
        <v>79</v>
      </c>
      <c r="D791" t="str">
        <f>"4348"</f>
        <v>4348</v>
      </c>
      <c r="E791" t="s">
        <v>91</v>
      </c>
      <c r="F791" t="s">
        <v>5</v>
      </c>
      <c r="G791" t="s">
        <v>47091</v>
      </c>
      <c r="H791" t="s">
        <v>47126</v>
      </c>
      <c r="I791" t="s">
        <v>47127</v>
      </c>
      <c r="J791" t="s">
        <v>47128</v>
      </c>
      <c r="K791" t="s">
        <v>47113</v>
      </c>
      <c r="L791">
        <v>15.99</v>
      </c>
      <c r="M791">
        <v>37</v>
      </c>
      <c r="N791">
        <v>0</v>
      </c>
      <c r="O791">
        <v>37</v>
      </c>
      <c r="P791">
        <v>0</v>
      </c>
    </row>
    <row r="792" spans="1:16" x14ac:dyDescent="0.25">
      <c r="A792" t="s">
        <v>23310</v>
      </c>
      <c r="B792" t="s">
        <v>78</v>
      </c>
      <c r="C792" t="s">
        <v>79</v>
      </c>
      <c r="D792" t="str">
        <f>"4643"</f>
        <v>4643</v>
      </c>
      <c r="E792" t="s">
        <v>205</v>
      </c>
      <c r="F792" t="s">
        <v>5</v>
      </c>
      <c r="G792" t="s">
        <v>47091</v>
      </c>
      <c r="H792" t="s">
        <v>47126</v>
      </c>
      <c r="I792" t="s">
        <v>47127</v>
      </c>
      <c r="J792" t="s">
        <v>47128</v>
      </c>
      <c r="K792" t="s">
        <v>47113</v>
      </c>
      <c r="L792">
        <v>15.99</v>
      </c>
      <c r="M792">
        <v>37</v>
      </c>
      <c r="N792">
        <v>0</v>
      </c>
      <c r="O792">
        <v>37</v>
      </c>
      <c r="P792">
        <v>0</v>
      </c>
    </row>
    <row r="793" spans="1:16" x14ac:dyDescent="0.25">
      <c r="A793" t="s">
        <v>23311</v>
      </c>
      <c r="B793" t="s">
        <v>78</v>
      </c>
      <c r="C793" t="s">
        <v>79</v>
      </c>
      <c r="D793" t="str">
        <f>"5342"</f>
        <v>5342</v>
      </c>
      <c r="E793" t="s">
        <v>77</v>
      </c>
      <c r="F793" t="s">
        <v>5</v>
      </c>
      <c r="G793" t="s">
        <v>47091</v>
      </c>
      <c r="H793" t="s">
        <v>47126</v>
      </c>
      <c r="I793" t="s">
        <v>47127</v>
      </c>
      <c r="J793" t="s">
        <v>47128</v>
      </c>
      <c r="K793" t="s">
        <v>47113</v>
      </c>
      <c r="L793">
        <v>15.99</v>
      </c>
      <c r="M793">
        <v>37</v>
      </c>
      <c r="N793">
        <v>0</v>
      </c>
      <c r="O793">
        <v>37</v>
      </c>
      <c r="P793">
        <v>0</v>
      </c>
    </row>
    <row r="794" spans="1:16" x14ac:dyDescent="0.25">
      <c r="A794" t="s">
        <v>23312</v>
      </c>
      <c r="B794" t="s">
        <v>78</v>
      </c>
      <c r="C794" t="s">
        <v>79</v>
      </c>
      <c r="D794" t="str">
        <f>"6064"</f>
        <v>6064</v>
      </c>
      <c r="E794" t="s">
        <v>87</v>
      </c>
      <c r="F794" t="s">
        <v>5</v>
      </c>
      <c r="G794" t="s">
        <v>47091</v>
      </c>
      <c r="H794" t="s">
        <v>47126</v>
      </c>
      <c r="I794" t="s">
        <v>47127</v>
      </c>
      <c r="J794" t="s">
        <v>47128</v>
      </c>
      <c r="K794" t="s">
        <v>47113</v>
      </c>
      <c r="L794">
        <v>15.99</v>
      </c>
      <c r="M794">
        <v>37</v>
      </c>
      <c r="N794">
        <v>0</v>
      </c>
      <c r="O794">
        <v>37</v>
      </c>
      <c r="P794">
        <v>0</v>
      </c>
    </row>
    <row r="795" spans="1:16" x14ac:dyDescent="0.25">
      <c r="A795" t="s">
        <v>23313</v>
      </c>
      <c r="B795" t="s">
        <v>81</v>
      </c>
      <c r="C795" t="s">
        <v>82</v>
      </c>
      <c r="D795" t="str">
        <f>"1001"</f>
        <v>1001</v>
      </c>
      <c r="E795" t="s">
        <v>42</v>
      </c>
      <c r="F795" t="s">
        <v>5</v>
      </c>
      <c r="G795" t="s">
        <v>47091</v>
      </c>
      <c r="H795" t="s">
        <v>47126</v>
      </c>
      <c r="I795" t="s">
        <v>47127</v>
      </c>
      <c r="J795" t="s">
        <v>47128</v>
      </c>
      <c r="K795" t="s">
        <v>47113</v>
      </c>
      <c r="L795">
        <v>12.54</v>
      </c>
      <c r="M795">
        <v>29</v>
      </c>
      <c r="N795">
        <v>0</v>
      </c>
      <c r="O795">
        <v>29</v>
      </c>
      <c r="P795">
        <v>0</v>
      </c>
    </row>
    <row r="796" spans="1:16" x14ac:dyDescent="0.25">
      <c r="A796" t="s">
        <v>14719</v>
      </c>
      <c r="B796" t="s">
        <v>81</v>
      </c>
      <c r="C796" t="s">
        <v>82</v>
      </c>
      <c r="D796" t="str">
        <f>"1299"</f>
        <v>1299</v>
      </c>
      <c r="E796" t="s">
        <v>73</v>
      </c>
      <c r="F796" t="s">
        <v>5</v>
      </c>
      <c r="G796" t="s">
        <v>47091</v>
      </c>
      <c r="H796" t="s">
        <v>47126</v>
      </c>
      <c r="I796" t="s">
        <v>47127</v>
      </c>
      <c r="J796" t="s">
        <v>47128</v>
      </c>
      <c r="K796" t="s">
        <v>47113</v>
      </c>
      <c r="L796">
        <v>12.54</v>
      </c>
      <c r="M796">
        <v>29</v>
      </c>
      <c r="N796">
        <v>0</v>
      </c>
      <c r="O796">
        <v>29</v>
      </c>
      <c r="P796">
        <v>0</v>
      </c>
    </row>
    <row r="797" spans="1:16" x14ac:dyDescent="0.25">
      <c r="A797" t="s">
        <v>23314</v>
      </c>
      <c r="B797" t="s">
        <v>81</v>
      </c>
      <c r="C797" t="s">
        <v>82</v>
      </c>
      <c r="D797" t="str">
        <f>"1377"</f>
        <v>1377</v>
      </c>
      <c r="E797" t="s">
        <v>74</v>
      </c>
      <c r="F797" t="s">
        <v>5</v>
      </c>
      <c r="G797" t="s">
        <v>47091</v>
      </c>
      <c r="H797" t="s">
        <v>47126</v>
      </c>
      <c r="I797" t="s">
        <v>47127</v>
      </c>
      <c r="J797" t="s">
        <v>47128</v>
      </c>
      <c r="K797" t="s">
        <v>47113</v>
      </c>
      <c r="L797">
        <v>12.54</v>
      </c>
      <c r="M797">
        <v>29</v>
      </c>
      <c r="N797">
        <v>0</v>
      </c>
      <c r="O797">
        <v>29</v>
      </c>
      <c r="P797">
        <v>0</v>
      </c>
    </row>
    <row r="798" spans="1:16" x14ac:dyDescent="0.25">
      <c r="A798" t="s">
        <v>23315</v>
      </c>
      <c r="B798" t="s">
        <v>81</v>
      </c>
      <c r="C798" t="s">
        <v>82</v>
      </c>
      <c r="D798" t="str">
        <f>"1700"</f>
        <v>1700</v>
      </c>
      <c r="E798" t="s">
        <v>60</v>
      </c>
      <c r="F798" t="s">
        <v>5</v>
      </c>
      <c r="G798" t="s">
        <v>47091</v>
      </c>
      <c r="H798" t="s">
        <v>47126</v>
      </c>
      <c r="I798" t="s">
        <v>47127</v>
      </c>
      <c r="J798" t="s">
        <v>47128</v>
      </c>
      <c r="K798" t="s">
        <v>47113</v>
      </c>
      <c r="L798">
        <v>12.54</v>
      </c>
      <c r="M798">
        <v>29</v>
      </c>
      <c r="N798">
        <v>0</v>
      </c>
      <c r="O798">
        <v>29</v>
      </c>
      <c r="P798">
        <v>0</v>
      </c>
    </row>
    <row r="799" spans="1:16" x14ac:dyDescent="0.25">
      <c r="A799" t="s">
        <v>14720</v>
      </c>
      <c r="B799" t="s">
        <v>81</v>
      </c>
      <c r="C799" t="s">
        <v>82</v>
      </c>
      <c r="D799" t="str">
        <f>"2166"</f>
        <v>2166</v>
      </c>
      <c r="E799" t="s">
        <v>80</v>
      </c>
      <c r="F799" t="s">
        <v>5</v>
      </c>
      <c r="G799" t="s">
        <v>47091</v>
      </c>
      <c r="H799" t="s">
        <v>47126</v>
      </c>
      <c r="I799" t="s">
        <v>47127</v>
      </c>
      <c r="J799" t="s">
        <v>47128</v>
      </c>
      <c r="K799" t="s">
        <v>47113</v>
      </c>
      <c r="L799">
        <v>12.54</v>
      </c>
      <c r="M799">
        <v>29</v>
      </c>
      <c r="N799">
        <v>0</v>
      </c>
      <c r="O799">
        <v>29</v>
      </c>
      <c r="P799">
        <v>0</v>
      </c>
    </row>
    <row r="800" spans="1:16" x14ac:dyDescent="0.25">
      <c r="A800" t="s">
        <v>23316</v>
      </c>
      <c r="B800" t="s">
        <v>81</v>
      </c>
      <c r="C800" t="s">
        <v>82</v>
      </c>
      <c r="D800" t="str">
        <f>"3449"</f>
        <v>3449</v>
      </c>
      <c r="E800" t="s">
        <v>2121</v>
      </c>
      <c r="F800" t="s">
        <v>5</v>
      </c>
      <c r="G800" t="s">
        <v>47091</v>
      </c>
      <c r="H800" t="s">
        <v>47126</v>
      </c>
      <c r="I800" t="s">
        <v>47127</v>
      </c>
      <c r="J800" t="s">
        <v>47128</v>
      </c>
      <c r="K800" t="s">
        <v>47113</v>
      </c>
      <c r="L800">
        <v>12.54</v>
      </c>
      <c r="M800">
        <v>29</v>
      </c>
      <c r="N800">
        <v>0</v>
      </c>
      <c r="O800">
        <v>29</v>
      </c>
      <c r="P800">
        <v>0</v>
      </c>
    </row>
    <row r="801" spans="1:16" x14ac:dyDescent="0.25">
      <c r="A801" t="s">
        <v>23317</v>
      </c>
      <c r="B801" t="s">
        <v>81</v>
      </c>
      <c r="C801" t="s">
        <v>82</v>
      </c>
      <c r="D801" t="str">
        <f>"4348"</f>
        <v>4348</v>
      </c>
      <c r="E801" t="s">
        <v>91</v>
      </c>
      <c r="F801" t="s">
        <v>5</v>
      </c>
      <c r="G801" t="s">
        <v>47091</v>
      </c>
      <c r="H801" t="s">
        <v>47126</v>
      </c>
      <c r="I801" t="s">
        <v>47127</v>
      </c>
      <c r="J801" t="s">
        <v>47128</v>
      </c>
      <c r="K801" t="s">
        <v>47113</v>
      </c>
      <c r="L801">
        <v>12.54</v>
      </c>
      <c r="M801">
        <v>29</v>
      </c>
      <c r="N801">
        <v>0</v>
      </c>
      <c r="O801">
        <v>29</v>
      </c>
      <c r="P801">
        <v>0</v>
      </c>
    </row>
    <row r="802" spans="1:16" x14ac:dyDescent="0.25">
      <c r="A802" t="s">
        <v>23318</v>
      </c>
      <c r="B802" t="s">
        <v>81</v>
      </c>
      <c r="C802" t="s">
        <v>82</v>
      </c>
      <c r="D802" t="str">
        <f>"4643"</f>
        <v>4643</v>
      </c>
      <c r="E802" t="s">
        <v>205</v>
      </c>
      <c r="F802" t="s">
        <v>5</v>
      </c>
      <c r="G802" t="s">
        <v>47091</v>
      </c>
      <c r="H802" t="s">
        <v>47126</v>
      </c>
      <c r="I802" t="s">
        <v>47127</v>
      </c>
      <c r="J802" t="s">
        <v>47128</v>
      </c>
      <c r="K802" t="s">
        <v>47113</v>
      </c>
      <c r="L802">
        <v>12.54</v>
      </c>
      <c r="M802">
        <v>29</v>
      </c>
      <c r="N802">
        <v>0</v>
      </c>
      <c r="O802">
        <v>29</v>
      </c>
      <c r="P802">
        <v>0</v>
      </c>
    </row>
    <row r="803" spans="1:16" x14ac:dyDescent="0.25">
      <c r="A803" t="s">
        <v>23319</v>
      </c>
      <c r="B803" t="s">
        <v>81</v>
      </c>
      <c r="C803" t="s">
        <v>82</v>
      </c>
      <c r="D803" t="str">
        <f>"4730"</f>
        <v>4730</v>
      </c>
      <c r="E803" t="s">
        <v>461</v>
      </c>
      <c r="F803" t="s">
        <v>0</v>
      </c>
      <c r="G803" t="s">
        <v>47091</v>
      </c>
      <c r="H803" t="s">
        <v>47126</v>
      </c>
      <c r="I803" t="s">
        <v>47127</v>
      </c>
      <c r="J803" t="s">
        <v>47128</v>
      </c>
      <c r="K803" t="s">
        <v>47113</v>
      </c>
      <c r="L803">
        <v>12.54</v>
      </c>
      <c r="M803">
        <v>29</v>
      </c>
      <c r="N803">
        <v>0</v>
      </c>
      <c r="O803">
        <v>29</v>
      </c>
      <c r="P803">
        <v>0</v>
      </c>
    </row>
    <row r="804" spans="1:16" x14ac:dyDescent="0.25">
      <c r="A804" t="s">
        <v>23320</v>
      </c>
      <c r="B804" t="s">
        <v>81</v>
      </c>
      <c r="C804" t="s">
        <v>82</v>
      </c>
      <c r="D804" t="str">
        <f>"5342"</f>
        <v>5342</v>
      </c>
      <c r="E804" t="s">
        <v>77</v>
      </c>
      <c r="F804" t="s">
        <v>5</v>
      </c>
      <c r="G804" t="s">
        <v>47091</v>
      </c>
      <c r="H804" t="s">
        <v>47126</v>
      </c>
      <c r="I804" t="s">
        <v>47127</v>
      </c>
      <c r="J804" t="s">
        <v>47128</v>
      </c>
      <c r="K804" t="s">
        <v>47113</v>
      </c>
      <c r="L804">
        <v>12.54</v>
      </c>
      <c r="M804">
        <v>29</v>
      </c>
      <c r="N804">
        <v>0</v>
      </c>
      <c r="O804">
        <v>29</v>
      </c>
      <c r="P804">
        <v>0</v>
      </c>
    </row>
    <row r="805" spans="1:16" x14ac:dyDescent="0.25">
      <c r="A805" t="s">
        <v>23321</v>
      </c>
      <c r="B805" t="s">
        <v>81</v>
      </c>
      <c r="C805" t="s">
        <v>82</v>
      </c>
      <c r="D805" t="str">
        <f>"6000"</f>
        <v>6000</v>
      </c>
      <c r="E805" t="s">
        <v>390</v>
      </c>
      <c r="F805" t="s">
        <v>0</v>
      </c>
      <c r="G805" t="s">
        <v>47091</v>
      </c>
      <c r="H805" t="s">
        <v>47126</v>
      </c>
      <c r="I805" t="s">
        <v>47127</v>
      </c>
      <c r="J805" t="s">
        <v>47128</v>
      </c>
      <c r="K805" t="s">
        <v>47113</v>
      </c>
      <c r="L805">
        <v>12.54</v>
      </c>
      <c r="M805">
        <v>29</v>
      </c>
      <c r="N805">
        <v>0</v>
      </c>
      <c r="O805">
        <v>29</v>
      </c>
      <c r="P805">
        <v>0</v>
      </c>
    </row>
    <row r="806" spans="1:16" x14ac:dyDescent="0.25">
      <c r="A806" t="s">
        <v>23322</v>
      </c>
      <c r="B806" t="s">
        <v>81</v>
      </c>
      <c r="C806" t="s">
        <v>82</v>
      </c>
      <c r="D806" t="str">
        <f>"6064"</f>
        <v>6064</v>
      </c>
      <c r="E806" t="s">
        <v>87</v>
      </c>
      <c r="F806" t="s">
        <v>5</v>
      </c>
      <c r="G806" t="s">
        <v>47091</v>
      </c>
      <c r="H806" t="s">
        <v>47126</v>
      </c>
      <c r="I806" t="s">
        <v>47127</v>
      </c>
      <c r="J806" t="s">
        <v>47128</v>
      </c>
      <c r="K806" t="s">
        <v>47113</v>
      </c>
      <c r="L806">
        <v>12.54</v>
      </c>
      <c r="M806">
        <v>29</v>
      </c>
      <c r="N806">
        <v>0</v>
      </c>
      <c r="O806">
        <v>29</v>
      </c>
      <c r="P806">
        <v>0</v>
      </c>
    </row>
    <row r="807" spans="1:16" x14ac:dyDescent="0.25">
      <c r="A807" t="s">
        <v>23323</v>
      </c>
      <c r="B807" t="s">
        <v>83</v>
      </c>
      <c r="C807" t="s">
        <v>72</v>
      </c>
      <c r="D807" t="str">
        <f>"1001"</f>
        <v>1001</v>
      </c>
      <c r="E807" t="s">
        <v>42</v>
      </c>
      <c r="F807" t="s">
        <v>5</v>
      </c>
      <c r="G807" t="s">
        <v>47091</v>
      </c>
      <c r="H807" t="s">
        <v>47126</v>
      </c>
      <c r="I807" t="s">
        <v>47127</v>
      </c>
      <c r="J807" t="s">
        <v>47128</v>
      </c>
      <c r="K807" t="s">
        <v>47113</v>
      </c>
      <c r="L807">
        <v>12.54</v>
      </c>
      <c r="M807">
        <v>29</v>
      </c>
      <c r="N807">
        <v>0</v>
      </c>
      <c r="O807">
        <v>29</v>
      </c>
      <c r="P807">
        <v>0</v>
      </c>
    </row>
    <row r="808" spans="1:16" x14ac:dyDescent="0.25">
      <c r="A808" t="s">
        <v>23324</v>
      </c>
      <c r="B808" t="s">
        <v>83</v>
      </c>
      <c r="C808" t="s">
        <v>72</v>
      </c>
      <c r="D808" t="str">
        <f>"1379"</f>
        <v>1379</v>
      </c>
      <c r="E808" t="s">
        <v>84</v>
      </c>
      <c r="F808" t="s">
        <v>5</v>
      </c>
      <c r="G808" t="s">
        <v>47091</v>
      </c>
      <c r="H808" t="s">
        <v>47126</v>
      </c>
      <c r="I808" t="s">
        <v>47127</v>
      </c>
      <c r="J808" t="s">
        <v>47128</v>
      </c>
      <c r="K808" t="s">
        <v>47113</v>
      </c>
      <c r="L808">
        <v>12.54</v>
      </c>
      <c r="M808">
        <v>29</v>
      </c>
      <c r="N808">
        <v>0</v>
      </c>
      <c r="O808">
        <v>29</v>
      </c>
      <c r="P808">
        <v>0</v>
      </c>
    </row>
    <row r="809" spans="1:16" x14ac:dyDescent="0.25">
      <c r="A809" t="s">
        <v>23325</v>
      </c>
      <c r="B809" t="s">
        <v>83</v>
      </c>
      <c r="C809" t="s">
        <v>72</v>
      </c>
      <c r="D809" t="str">
        <f>"1700"</f>
        <v>1700</v>
      </c>
      <c r="E809" t="s">
        <v>60</v>
      </c>
      <c r="F809" t="s">
        <v>5</v>
      </c>
      <c r="G809" t="s">
        <v>47091</v>
      </c>
      <c r="H809" t="s">
        <v>47126</v>
      </c>
      <c r="I809" t="s">
        <v>47127</v>
      </c>
      <c r="J809" t="s">
        <v>47128</v>
      </c>
      <c r="K809" t="s">
        <v>47113</v>
      </c>
      <c r="L809">
        <v>12.54</v>
      </c>
      <c r="M809">
        <v>29</v>
      </c>
      <c r="N809">
        <v>0</v>
      </c>
      <c r="O809">
        <v>29</v>
      </c>
      <c r="P809">
        <v>0</v>
      </c>
    </row>
    <row r="810" spans="1:16" x14ac:dyDescent="0.25">
      <c r="A810" t="s">
        <v>23326</v>
      </c>
      <c r="B810" t="s">
        <v>83</v>
      </c>
      <c r="C810" t="s">
        <v>72</v>
      </c>
      <c r="D810" t="str">
        <f>"3449"</f>
        <v>3449</v>
      </c>
      <c r="E810" t="s">
        <v>90</v>
      </c>
      <c r="F810" t="s">
        <v>5</v>
      </c>
      <c r="G810" t="s">
        <v>47091</v>
      </c>
      <c r="H810" t="s">
        <v>47126</v>
      </c>
      <c r="I810" t="s">
        <v>47127</v>
      </c>
      <c r="J810" t="s">
        <v>47128</v>
      </c>
      <c r="K810" t="s">
        <v>47113</v>
      </c>
      <c r="L810">
        <v>12.54</v>
      </c>
      <c r="M810">
        <v>29</v>
      </c>
      <c r="N810">
        <v>0</v>
      </c>
      <c r="O810">
        <v>29</v>
      </c>
      <c r="P810">
        <v>0</v>
      </c>
    </row>
    <row r="811" spans="1:16" x14ac:dyDescent="0.25">
      <c r="A811" t="s">
        <v>23327</v>
      </c>
      <c r="B811" t="s">
        <v>83</v>
      </c>
      <c r="C811" t="s">
        <v>72</v>
      </c>
      <c r="D811" t="str">
        <f>"4348"</f>
        <v>4348</v>
      </c>
      <c r="E811" t="s">
        <v>91</v>
      </c>
      <c r="F811" t="s">
        <v>5</v>
      </c>
      <c r="G811" t="s">
        <v>47091</v>
      </c>
      <c r="H811" t="s">
        <v>47126</v>
      </c>
      <c r="I811" t="s">
        <v>47127</v>
      </c>
      <c r="J811" t="s">
        <v>47128</v>
      </c>
      <c r="K811" t="s">
        <v>47113</v>
      </c>
      <c r="L811">
        <v>12.54</v>
      </c>
      <c r="M811">
        <v>29</v>
      </c>
      <c r="N811">
        <v>0</v>
      </c>
      <c r="O811">
        <v>29</v>
      </c>
      <c r="P811">
        <v>0</v>
      </c>
    </row>
    <row r="812" spans="1:16" x14ac:dyDescent="0.25">
      <c r="A812" t="s">
        <v>23328</v>
      </c>
      <c r="B812" t="s">
        <v>83</v>
      </c>
      <c r="C812" t="s">
        <v>72</v>
      </c>
      <c r="D812" t="str">
        <f>"4643"</f>
        <v>4643</v>
      </c>
      <c r="E812" t="s">
        <v>205</v>
      </c>
      <c r="F812" t="s">
        <v>5</v>
      </c>
      <c r="G812" t="s">
        <v>47091</v>
      </c>
      <c r="H812" t="s">
        <v>47126</v>
      </c>
      <c r="I812" t="s">
        <v>47127</v>
      </c>
      <c r="J812" t="s">
        <v>47128</v>
      </c>
      <c r="K812" t="s">
        <v>47113</v>
      </c>
      <c r="L812">
        <v>12.54</v>
      </c>
      <c r="M812">
        <v>29</v>
      </c>
      <c r="N812">
        <v>0</v>
      </c>
      <c r="O812">
        <v>29</v>
      </c>
      <c r="P812">
        <v>0</v>
      </c>
    </row>
    <row r="813" spans="1:16" x14ac:dyDescent="0.25">
      <c r="A813" t="s">
        <v>14721</v>
      </c>
      <c r="B813" t="s">
        <v>83</v>
      </c>
      <c r="C813" t="s">
        <v>72</v>
      </c>
      <c r="D813" t="str">
        <f>"5342"</f>
        <v>5342</v>
      </c>
      <c r="E813" t="s">
        <v>77</v>
      </c>
      <c r="F813" t="s">
        <v>5</v>
      </c>
      <c r="G813" t="s">
        <v>47091</v>
      </c>
      <c r="H813" t="s">
        <v>47126</v>
      </c>
      <c r="I813" t="s">
        <v>47127</v>
      </c>
      <c r="J813" t="s">
        <v>47128</v>
      </c>
      <c r="K813" t="s">
        <v>47113</v>
      </c>
      <c r="L813">
        <v>12.54</v>
      </c>
      <c r="M813">
        <v>29</v>
      </c>
      <c r="N813">
        <v>0</v>
      </c>
      <c r="O813">
        <v>29</v>
      </c>
      <c r="P813">
        <v>0</v>
      </c>
    </row>
    <row r="814" spans="1:16" x14ac:dyDescent="0.25">
      <c r="A814" t="s">
        <v>23329</v>
      </c>
      <c r="B814" t="s">
        <v>83</v>
      </c>
      <c r="C814" t="s">
        <v>72</v>
      </c>
      <c r="D814" t="str">
        <f>"6064"</f>
        <v>6064</v>
      </c>
      <c r="E814" t="s">
        <v>87</v>
      </c>
      <c r="F814" t="s">
        <v>5</v>
      </c>
      <c r="G814" t="s">
        <v>47091</v>
      </c>
      <c r="H814" t="s">
        <v>47126</v>
      </c>
      <c r="I814" t="s">
        <v>47127</v>
      </c>
      <c r="J814" t="s">
        <v>47128</v>
      </c>
      <c r="K814" t="s">
        <v>47113</v>
      </c>
      <c r="L814">
        <v>12.54</v>
      </c>
      <c r="M814">
        <v>29</v>
      </c>
      <c r="N814">
        <v>0</v>
      </c>
      <c r="O814">
        <v>29</v>
      </c>
      <c r="P814">
        <v>0</v>
      </c>
    </row>
    <row r="815" spans="1:16" x14ac:dyDescent="0.25">
      <c r="A815" t="s">
        <v>23330</v>
      </c>
      <c r="B815" t="s">
        <v>85</v>
      </c>
      <c r="C815" t="s">
        <v>86</v>
      </c>
      <c r="D815" t="str">
        <f>"1001"</f>
        <v>1001</v>
      </c>
      <c r="E815" t="s">
        <v>42</v>
      </c>
      <c r="F815" t="s">
        <v>5</v>
      </c>
      <c r="G815" t="s">
        <v>47091</v>
      </c>
      <c r="H815" t="s">
        <v>47126</v>
      </c>
      <c r="I815" t="s">
        <v>47127</v>
      </c>
      <c r="J815" t="s">
        <v>47128</v>
      </c>
      <c r="K815" t="s">
        <v>47113</v>
      </c>
      <c r="L815">
        <v>12.54</v>
      </c>
      <c r="M815">
        <v>29</v>
      </c>
      <c r="N815">
        <v>0</v>
      </c>
      <c r="O815">
        <v>29</v>
      </c>
      <c r="P815">
        <v>0</v>
      </c>
    </row>
    <row r="816" spans="1:16" x14ac:dyDescent="0.25">
      <c r="A816" t="s">
        <v>14722</v>
      </c>
      <c r="B816" t="s">
        <v>85</v>
      </c>
      <c r="C816" t="s">
        <v>86</v>
      </c>
      <c r="D816" t="str">
        <f>"1299"</f>
        <v>1299</v>
      </c>
      <c r="E816" t="s">
        <v>73</v>
      </c>
      <c r="F816" t="s">
        <v>5</v>
      </c>
      <c r="G816" t="s">
        <v>47091</v>
      </c>
      <c r="H816" t="s">
        <v>47126</v>
      </c>
      <c r="I816" t="s">
        <v>47127</v>
      </c>
      <c r="J816" t="s">
        <v>47128</v>
      </c>
      <c r="K816" t="s">
        <v>47113</v>
      </c>
      <c r="L816">
        <v>12.54</v>
      </c>
      <c r="M816">
        <v>29</v>
      </c>
      <c r="N816">
        <v>0</v>
      </c>
      <c r="O816">
        <v>29</v>
      </c>
      <c r="P816">
        <v>0</v>
      </c>
    </row>
    <row r="817" spans="1:16" x14ac:dyDescent="0.25">
      <c r="A817" t="s">
        <v>14723</v>
      </c>
      <c r="B817" t="s">
        <v>85</v>
      </c>
      <c r="C817" t="s">
        <v>86</v>
      </c>
      <c r="D817" t="str">
        <f>"1377"</f>
        <v>1377</v>
      </c>
      <c r="E817" t="s">
        <v>74</v>
      </c>
      <c r="F817" t="s">
        <v>5</v>
      </c>
      <c r="G817" t="s">
        <v>47091</v>
      </c>
      <c r="H817" t="s">
        <v>47126</v>
      </c>
      <c r="I817" t="s">
        <v>47127</v>
      </c>
      <c r="J817" t="s">
        <v>47128</v>
      </c>
      <c r="K817" t="s">
        <v>47113</v>
      </c>
      <c r="L817">
        <v>12.54</v>
      </c>
      <c r="M817">
        <v>29</v>
      </c>
      <c r="N817">
        <v>0</v>
      </c>
      <c r="O817">
        <v>29</v>
      </c>
      <c r="P817">
        <v>0</v>
      </c>
    </row>
    <row r="818" spans="1:16" x14ac:dyDescent="0.25">
      <c r="A818" t="s">
        <v>23331</v>
      </c>
      <c r="B818" t="s">
        <v>85</v>
      </c>
      <c r="C818" t="s">
        <v>86</v>
      </c>
      <c r="D818" t="str">
        <f>"1700"</f>
        <v>1700</v>
      </c>
      <c r="E818" t="s">
        <v>60</v>
      </c>
      <c r="F818" t="s">
        <v>5</v>
      </c>
      <c r="G818" t="s">
        <v>47091</v>
      </c>
      <c r="H818" t="s">
        <v>47126</v>
      </c>
      <c r="I818" t="s">
        <v>47127</v>
      </c>
      <c r="J818" t="s">
        <v>47128</v>
      </c>
      <c r="K818" t="s">
        <v>47113</v>
      </c>
      <c r="L818">
        <v>12.54</v>
      </c>
      <c r="M818">
        <v>29</v>
      </c>
      <c r="N818">
        <v>0</v>
      </c>
      <c r="O818">
        <v>29</v>
      </c>
      <c r="P818">
        <v>0</v>
      </c>
    </row>
    <row r="819" spans="1:16" x14ac:dyDescent="0.25">
      <c r="A819" t="s">
        <v>23332</v>
      </c>
      <c r="B819" t="s">
        <v>85</v>
      </c>
      <c r="C819" t="s">
        <v>86</v>
      </c>
      <c r="D819" t="str">
        <f>"2166"</f>
        <v>2166</v>
      </c>
      <c r="E819" t="s">
        <v>80</v>
      </c>
      <c r="F819" t="s">
        <v>5</v>
      </c>
      <c r="G819" t="s">
        <v>47091</v>
      </c>
      <c r="H819" t="s">
        <v>47126</v>
      </c>
      <c r="I819" t="s">
        <v>47127</v>
      </c>
      <c r="J819" t="s">
        <v>47128</v>
      </c>
      <c r="K819" t="s">
        <v>47113</v>
      </c>
      <c r="L819">
        <v>12.54</v>
      </c>
      <c r="M819">
        <v>29</v>
      </c>
      <c r="N819">
        <v>0</v>
      </c>
      <c r="O819">
        <v>29</v>
      </c>
      <c r="P819">
        <v>0</v>
      </c>
    </row>
    <row r="820" spans="1:16" x14ac:dyDescent="0.25">
      <c r="A820" t="s">
        <v>23333</v>
      </c>
      <c r="B820" t="s">
        <v>85</v>
      </c>
      <c r="C820" t="s">
        <v>86</v>
      </c>
      <c r="D820" t="str">
        <f>"3449"</f>
        <v>3449</v>
      </c>
      <c r="E820" t="s">
        <v>2121</v>
      </c>
      <c r="F820" t="s">
        <v>5</v>
      </c>
      <c r="G820" t="s">
        <v>47091</v>
      </c>
      <c r="H820" t="s">
        <v>47126</v>
      </c>
      <c r="I820" t="s">
        <v>47127</v>
      </c>
      <c r="J820" t="s">
        <v>47128</v>
      </c>
      <c r="K820" t="s">
        <v>47113</v>
      </c>
      <c r="L820">
        <v>12.54</v>
      </c>
      <c r="M820">
        <v>29</v>
      </c>
      <c r="N820">
        <v>0</v>
      </c>
      <c r="O820">
        <v>29</v>
      </c>
      <c r="P820">
        <v>0</v>
      </c>
    </row>
    <row r="821" spans="1:16" x14ac:dyDescent="0.25">
      <c r="A821" t="s">
        <v>23334</v>
      </c>
      <c r="B821" t="s">
        <v>85</v>
      </c>
      <c r="C821" t="s">
        <v>86</v>
      </c>
      <c r="D821" t="str">
        <f>"4348"</f>
        <v>4348</v>
      </c>
      <c r="E821" t="s">
        <v>91</v>
      </c>
      <c r="F821" t="s">
        <v>5</v>
      </c>
      <c r="G821" t="s">
        <v>47091</v>
      </c>
      <c r="H821" t="s">
        <v>47126</v>
      </c>
      <c r="I821" t="s">
        <v>47127</v>
      </c>
      <c r="J821" t="s">
        <v>47128</v>
      </c>
      <c r="K821" t="s">
        <v>47113</v>
      </c>
      <c r="L821">
        <v>12.54</v>
      </c>
      <c r="M821">
        <v>29</v>
      </c>
      <c r="N821">
        <v>0</v>
      </c>
      <c r="O821">
        <v>29</v>
      </c>
      <c r="P821">
        <v>0</v>
      </c>
    </row>
    <row r="822" spans="1:16" x14ac:dyDescent="0.25">
      <c r="A822" t="s">
        <v>23335</v>
      </c>
      <c r="B822" t="s">
        <v>85</v>
      </c>
      <c r="C822" t="s">
        <v>86</v>
      </c>
      <c r="D822" t="str">
        <f>"4643"</f>
        <v>4643</v>
      </c>
      <c r="E822" t="s">
        <v>205</v>
      </c>
      <c r="F822" t="s">
        <v>5</v>
      </c>
      <c r="G822" t="s">
        <v>47091</v>
      </c>
      <c r="H822" t="s">
        <v>47126</v>
      </c>
      <c r="I822" t="s">
        <v>47127</v>
      </c>
      <c r="J822" t="s">
        <v>47128</v>
      </c>
      <c r="K822" t="s">
        <v>47113</v>
      </c>
      <c r="L822">
        <v>12.54</v>
      </c>
      <c r="M822">
        <v>29</v>
      </c>
      <c r="N822">
        <v>0</v>
      </c>
      <c r="O822">
        <v>29</v>
      </c>
      <c r="P822">
        <v>0</v>
      </c>
    </row>
    <row r="823" spans="1:16" x14ac:dyDescent="0.25">
      <c r="A823" t="s">
        <v>23336</v>
      </c>
      <c r="B823" t="s">
        <v>85</v>
      </c>
      <c r="C823" t="s">
        <v>86</v>
      </c>
      <c r="D823" t="str">
        <f>"5342"</f>
        <v>5342</v>
      </c>
      <c r="E823" t="s">
        <v>77</v>
      </c>
      <c r="F823" t="s">
        <v>5</v>
      </c>
      <c r="G823" t="s">
        <v>47091</v>
      </c>
      <c r="H823" t="s">
        <v>47126</v>
      </c>
      <c r="I823" t="s">
        <v>47127</v>
      </c>
      <c r="J823" t="s">
        <v>47128</v>
      </c>
      <c r="K823" t="s">
        <v>47113</v>
      </c>
      <c r="L823">
        <v>12.54</v>
      </c>
      <c r="M823">
        <v>29</v>
      </c>
      <c r="N823">
        <v>0</v>
      </c>
      <c r="O823">
        <v>29</v>
      </c>
      <c r="P823">
        <v>0</v>
      </c>
    </row>
    <row r="824" spans="1:16" x14ac:dyDescent="0.25">
      <c r="A824" t="s">
        <v>14724</v>
      </c>
      <c r="B824" t="s">
        <v>85</v>
      </c>
      <c r="C824" t="s">
        <v>86</v>
      </c>
      <c r="D824" t="str">
        <f>"6064"</f>
        <v>6064</v>
      </c>
      <c r="E824" t="s">
        <v>87</v>
      </c>
      <c r="F824" t="s">
        <v>5</v>
      </c>
      <c r="G824" t="s">
        <v>47091</v>
      </c>
      <c r="H824" t="s">
        <v>47126</v>
      </c>
      <c r="I824" t="s">
        <v>47127</v>
      </c>
      <c r="J824" t="s">
        <v>47128</v>
      </c>
      <c r="K824" t="s">
        <v>47113</v>
      </c>
      <c r="L824">
        <v>12.54</v>
      </c>
      <c r="M824">
        <v>29</v>
      </c>
      <c r="N824">
        <v>0</v>
      </c>
      <c r="O824">
        <v>29</v>
      </c>
      <c r="P824">
        <v>0</v>
      </c>
    </row>
    <row r="825" spans="1:16" x14ac:dyDescent="0.25">
      <c r="A825" t="s">
        <v>23337</v>
      </c>
      <c r="B825" t="s">
        <v>2122</v>
      </c>
      <c r="C825" t="s">
        <v>2123</v>
      </c>
      <c r="D825" t="str">
        <f>"1001"</f>
        <v>1001</v>
      </c>
      <c r="E825" t="s">
        <v>42</v>
      </c>
      <c r="F825" t="s">
        <v>5</v>
      </c>
      <c r="G825" t="s">
        <v>47091</v>
      </c>
      <c r="H825" t="s">
        <v>47126</v>
      </c>
      <c r="I825" t="s">
        <v>47127</v>
      </c>
      <c r="J825" t="s">
        <v>47128</v>
      </c>
      <c r="K825" t="s">
        <v>47113</v>
      </c>
      <c r="L825">
        <v>15.29</v>
      </c>
      <c r="M825">
        <v>36</v>
      </c>
      <c r="N825">
        <v>0</v>
      </c>
      <c r="O825">
        <v>36</v>
      </c>
      <c r="P825">
        <v>0</v>
      </c>
    </row>
    <row r="826" spans="1:16" x14ac:dyDescent="0.25">
      <c r="A826" t="s">
        <v>23338</v>
      </c>
      <c r="B826" t="s">
        <v>2122</v>
      </c>
      <c r="C826" t="s">
        <v>2123</v>
      </c>
      <c r="D826" t="str">
        <f>"1299"</f>
        <v>1299</v>
      </c>
      <c r="E826" t="s">
        <v>73</v>
      </c>
      <c r="F826" t="s">
        <v>5</v>
      </c>
      <c r="G826" t="s">
        <v>47091</v>
      </c>
      <c r="H826" t="s">
        <v>47126</v>
      </c>
      <c r="I826" t="s">
        <v>47127</v>
      </c>
      <c r="J826" t="s">
        <v>47128</v>
      </c>
      <c r="K826" t="s">
        <v>47113</v>
      </c>
      <c r="L826">
        <v>15.29</v>
      </c>
      <c r="M826">
        <v>36</v>
      </c>
      <c r="N826">
        <v>0</v>
      </c>
      <c r="O826">
        <v>36</v>
      </c>
      <c r="P826">
        <v>0</v>
      </c>
    </row>
    <row r="827" spans="1:16" x14ac:dyDescent="0.25">
      <c r="A827" t="s">
        <v>23339</v>
      </c>
      <c r="B827" t="s">
        <v>2122</v>
      </c>
      <c r="C827" t="s">
        <v>2123</v>
      </c>
      <c r="D827" t="str">
        <f>"1377"</f>
        <v>1377</v>
      </c>
      <c r="E827" t="s">
        <v>74</v>
      </c>
      <c r="F827" t="s">
        <v>5</v>
      </c>
      <c r="G827" t="s">
        <v>47091</v>
      </c>
      <c r="H827" t="s">
        <v>47126</v>
      </c>
      <c r="I827" t="s">
        <v>47127</v>
      </c>
      <c r="J827" t="s">
        <v>47128</v>
      </c>
      <c r="K827" t="s">
        <v>47113</v>
      </c>
      <c r="L827">
        <v>15.29</v>
      </c>
      <c r="M827">
        <v>36</v>
      </c>
      <c r="N827">
        <v>0</v>
      </c>
      <c r="O827">
        <v>36</v>
      </c>
      <c r="P827">
        <v>0</v>
      </c>
    </row>
    <row r="828" spans="1:16" x14ac:dyDescent="0.25">
      <c r="A828" t="s">
        <v>23340</v>
      </c>
      <c r="B828" t="s">
        <v>2122</v>
      </c>
      <c r="C828" t="s">
        <v>2123</v>
      </c>
      <c r="D828" t="str">
        <f>"2166"</f>
        <v>2166</v>
      </c>
      <c r="E828" t="s">
        <v>80</v>
      </c>
      <c r="F828" t="s">
        <v>5</v>
      </c>
      <c r="G828" t="s">
        <v>47091</v>
      </c>
      <c r="H828" t="s">
        <v>47126</v>
      </c>
      <c r="I828" t="s">
        <v>47127</v>
      </c>
      <c r="J828" t="s">
        <v>47128</v>
      </c>
      <c r="K828" t="s">
        <v>47113</v>
      </c>
      <c r="L828">
        <v>15.29</v>
      </c>
      <c r="M828">
        <v>36</v>
      </c>
      <c r="N828">
        <v>0</v>
      </c>
      <c r="O828">
        <v>36</v>
      </c>
      <c r="P828">
        <v>0</v>
      </c>
    </row>
    <row r="829" spans="1:16" x14ac:dyDescent="0.25">
      <c r="A829" t="s">
        <v>23341</v>
      </c>
      <c r="B829" t="s">
        <v>2122</v>
      </c>
      <c r="C829" t="s">
        <v>2123</v>
      </c>
      <c r="D829" t="str">
        <f>"4348"</f>
        <v>4348</v>
      </c>
      <c r="E829" t="s">
        <v>91</v>
      </c>
      <c r="F829" t="s">
        <v>5</v>
      </c>
      <c r="G829" t="s">
        <v>47091</v>
      </c>
      <c r="H829" t="s">
        <v>47126</v>
      </c>
      <c r="I829" t="s">
        <v>47127</v>
      </c>
      <c r="J829" t="s">
        <v>47128</v>
      </c>
      <c r="K829" t="s">
        <v>47113</v>
      </c>
      <c r="L829">
        <v>15.29</v>
      </c>
      <c r="M829">
        <v>36</v>
      </c>
      <c r="N829">
        <v>0</v>
      </c>
      <c r="O829">
        <v>36</v>
      </c>
      <c r="P829">
        <v>0</v>
      </c>
    </row>
    <row r="830" spans="1:16" x14ac:dyDescent="0.25">
      <c r="A830" t="s">
        <v>23342</v>
      </c>
      <c r="B830" t="s">
        <v>2122</v>
      </c>
      <c r="C830" t="s">
        <v>2123</v>
      </c>
      <c r="D830" t="str">
        <f>"5342"</f>
        <v>5342</v>
      </c>
      <c r="E830" t="s">
        <v>77</v>
      </c>
      <c r="F830" t="s">
        <v>5</v>
      </c>
      <c r="G830" t="s">
        <v>47091</v>
      </c>
      <c r="H830" t="s">
        <v>47126</v>
      </c>
      <c r="I830" t="s">
        <v>47127</v>
      </c>
      <c r="J830" t="s">
        <v>47128</v>
      </c>
      <c r="K830" t="s">
        <v>47113</v>
      </c>
      <c r="L830">
        <v>15.29</v>
      </c>
      <c r="M830">
        <v>36</v>
      </c>
      <c r="N830">
        <v>0</v>
      </c>
      <c r="O830">
        <v>36</v>
      </c>
      <c r="P830">
        <v>0</v>
      </c>
    </row>
    <row r="831" spans="1:16" x14ac:dyDescent="0.25">
      <c r="A831" t="s">
        <v>23343</v>
      </c>
      <c r="B831" t="s">
        <v>2124</v>
      </c>
      <c r="C831" t="s">
        <v>2125</v>
      </c>
      <c r="D831" t="str">
        <f>"1001"</f>
        <v>1001</v>
      </c>
      <c r="E831" t="s">
        <v>42</v>
      </c>
      <c r="F831" t="s">
        <v>5</v>
      </c>
      <c r="G831" t="s">
        <v>47097</v>
      </c>
      <c r="H831" t="s">
        <v>47126</v>
      </c>
      <c r="I831" t="s">
        <v>47127</v>
      </c>
      <c r="J831" t="s">
        <v>47128</v>
      </c>
      <c r="K831" t="s">
        <v>47113</v>
      </c>
      <c r="L831">
        <v>18.170000000000002</v>
      </c>
      <c r="M831">
        <v>40</v>
      </c>
      <c r="N831">
        <v>0</v>
      </c>
      <c r="O831">
        <v>40</v>
      </c>
      <c r="P831">
        <v>0</v>
      </c>
    </row>
    <row r="832" spans="1:16" x14ac:dyDescent="0.25">
      <c r="A832" t="s">
        <v>23344</v>
      </c>
      <c r="B832" t="s">
        <v>2124</v>
      </c>
      <c r="C832" t="s">
        <v>2125</v>
      </c>
      <c r="D832" t="str">
        <f>"1299"</f>
        <v>1299</v>
      </c>
      <c r="E832" t="s">
        <v>73</v>
      </c>
      <c r="F832" t="s">
        <v>5</v>
      </c>
      <c r="G832" t="s">
        <v>47097</v>
      </c>
      <c r="H832" t="s">
        <v>47126</v>
      </c>
      <c r="I832" t="s">
        <v>47127</v>
      </c>
      <c r="J832" t="s">
        <v>47128</v>
      </c>
      <c r="K832" t="s">
        <v>47113</v>
      </c>
      <c r="L832">
        <v>18.170000000000002</v>
      </c>
      <c r="M832">
        <v>40</v>
      </c>
      <c r="N832">
        <v>0</v>
      </c>
      <c r="O832">
        <v>40</v>
      </c>
      <c r="P832">
        <v>0</v>
      </c>
    </row>
    <row r="833" spans="1:16" x14ac:dyDescent="0.25">
      <c r="A833" t="s">
        <v>23345</v>
      </c>
      <c r="B833" t="s">
        <v>2124</v>
      </c>
      <c r="C833" t="s">
        <v>2125</v>
      </c>
      <c r="D833" t="str">
        <f>"1377"</f>
        <v>1377</v>
      </c>
      <c r="E833" t="s">
        <v>74</v>
      </c>
      <c r="F833" t="s">
        <v>5</v>
      </c>
      <c r="G833" t="s">
        <v>47097</v>
      </c>
      <c r="H833" t="s">
        <v>47126</v>
      </c>
      <c r="I833" t="s">
        <v>47127</v>
      </c>
      <c r="J833" t="s">
        <v>47128</v>
      </c>
      <c r="K833" t="s">
        <v>47113</v>
      </c>
      <c r="L833">
        <v>18.170000000000002</v>
      </c>
      <c r="M833">
        <v>40</v>
      </c>
      <c r="N833">
        <v>0</v>
      </c>
      <c r="O833">
        <v>40</v>
      </c>
      <c r="P833">
        <v>0</v>
      </c>
    </row>
    <row r="834" spans="1:16" x14ac:dyDescent="0.25">
      <c r="A834" t="s">
        <v>23346</v>
      </c>
      <c r="B834" t="s">
        <v>2124</v>
      </c>
      <c r="C834" t="s">
        <v>2125</v>
      </c>
      <c r="D834" t="str">
        <f>"1700"</f>
        <v>1700</v>
      </c>
      <c r="E834" t="s">
        <v>60</v>
      </c>
      <c r="F834" t="s">
        <v>5</v>
      </c>
      <c r="G834" t="s">
        <v>47097</v>
      </c>
      <c r="H834" t="s">
        <v>47126</v>
      </c>
      <c r="I834" t="s">
        <v>47127</v>
      </c>
      <c r="J834" t="s">
        <v>47128</v>
      </c>
      <c r="K834" t="s">
        <v>47113</v>
      </c>
      <c r="L834">
        <v>18.170000000000002</v>
      </c>
      <c r="M834">
        <v>40</v>
      </c>
      <c r="N834">
        <v>0</v>
      </c>
      <c r="O834">
        <v>40</v>
      </c>
      <c r="P834">
        <v>0</v>
      </c>
    </row>
    <row r="835" spans="1:16" x14ac:dyDescent="0.25">
      <c r="A835" t="s">
        <v>23347</v>
      </c>
      <c r="B835" t="s">
        <v>2124</v>
      </c>
      <c r="C835" t="s">
        <v>2125</v>
      </c>
      <c r="D835" t="str">
        <f>"2166"</f>
        <v>2166</v>
      </c>
      <c r="E835" t="s">
        <v>80</v>
      </c>
      <c r="F835" t="s">
        <v>5</v>
      </c>
      <c r="G835" t="s">
        <v>47097</v>
      </c>
      <c r="H835" t="s">
        <v>47126</v>
      </c>
      <c r="I835" t="s">
        <v>47127</v>
      </c>
      <c r="J835" t="s">
        <v>47128</v>
      </c>
      <c r="K835" t="s">
        <v>47113</v>
      </c>
      <c r="L835">
        <v>18.170000000000002</v>
      </c>
      <c r="M835">
        <v>40</v>
      </c>
      <c r="N835">
        <v>0</v>
      </c>
      <c r="O835">
        <v>40</v>
      </c>
      <c r="P835">
        <v>0</v>
      </c>
    </row>
    <row r="836" spans="1:16" x14ac:dyDescent="0.25">
      <c r="A836" t="s">
        <v>23348</v>
      </c>
      <c r="B836" t="s">
        <v>2124</v>
      </c>
      <c r="C836" t="s">
        <v>2125</v>
      </c>
      <c r="D836" t="str">
        <f>"3449"</f>
        <v>3449</v>
      </c>
      <c r="E836" t="s">
        <v>90</v>
      </c>
      <c r="F836" t="s">
        <v>5</v>
      </c>
      <c r="G836" t="s">
        <v>47097</v>
      </c>
      <c r="H836" t="s">
        <v>47126</v>
      </c>
      <c r="I836" t="s">
        <v>47127</v>
      </c>
      <c r="J836" t="s">
        <v>47128</v>
      </c>
      <c r="K836" t="s">
        <v>47113</v>
      </c>
      <c r="L836">
        <v>18.170000000000002</v>
      </c>
      <c r="M836">
        <v>40</v>
      </c>
      <c r="N836">
        <v>0</v>
      </c>
      <c r="O836">
        <v>40</v>
      </c>
      <c r="P836">
        <v>0</v>
      </c>
    </row>
    <row r="837" spans="1:16" x14ac:dyDescent="0.25">
      <c r="A837" t="s">
        <v>23349</v>
      </c>
      <c r="B837" t="s">
        <v>2124</v>
      </c>
      <c r="C837" t="s">
        <v>2125</v>
      </c>
      <c r="D837" t="str">
        <f>"4348"</f>
        <v>4348</v>
      </c>
      <c r="E837" t="s">
        <v>91</v>
      </c>
      <c r="F837" t="s">
        <v>5</v>
      </c>
      <c r="G837" t="s">
        <v>47097</v>
      </c>
      <c r="H837" t="s">
        <v>47126</v>
      </c>
      <c r="I837" t="s">
        <v>47127</v>
      </c>
      <c r="J837" t="s">
        <v>47128</v>
      </c>
      <c r="K837" t="s">
        <v>47113</v>
      </c>
      <c r="L837">
        <v>18.170000000000002</v>
      </c>
      <c r="M837">
        <v>40</v>
      </c>
      <c r="N837">
        <v>0</v>
      </c>
      <c r="O837">
        <v>40</v>
      </c>
      <c r="P837">
        <v>0</v>
      </c>
    </row>
    <row r="838" spans="1:16" x14ac:dyDescent="0.25">
      <c r="A838" t="s">
        <v>23350</v>
      </c>
      <c r="B838" t="s">
        <v>2124</v>
      </c>
      <c r="C838" t="s">
        <v>2125</v>
      </c>
      <c r="D838" t="str">
        <f>"5342"</f>
        <v>5342</v>
      </c>
      <c r="E838" t="s">
        <v>77</v>
      </c>
      <c r="F838" t="s">
        <v>5</v>
      </c>
      <c r="G838" t="s">
        <v>47097</v>
      </c>
      <c r="H838" t="s">
        <v>47126</v>
      </c>
      <c r="I838" t="s">
        <v>47127</v>
      </c>
      <c r="J838" t="s">
        <v>47128</v>
      </c>
      <c r="K838" t="s">
        <v>47113</v>
      </c>
      <c r="L838">
        <v>18.170000000000002</v>
      </c>
      <c r="M838">
        <v>40</v>
      </c>
      <c r="N838">
        <v>0</v>
      </c>
      <c r="O838">
        <v>40</v>
      </c>
      <c r="P838">
        <v>0</v>
      </c>
    </row>
    <row r="839" spans="1:16" x14ac:dyDescent="0.25">
      <c r="A839" t="s">
        <v>23351</v>
      </c>
      <c r="B839" t="s">
        <v>2124</v>
      </c>
      <c r="C839" t="s">
        <v>2125</v>
      </c>
      <c r="D839" t="str">
        <f>"6064"</f>
        <v>6064</v>
      </c>
      <c r="E839" t="s">
        <v>87</v>
      </c>
      <c r="F839" t="s">
        <v>5</v>
      </c>
      <c r="G839" t="s">
        <v>47097</v>
      </c>
      <c r="H839" t="s">
        <v>47126</v>
      </c>
      <c r="I839" t="s">
        <v>47127</v>
      </c>
      <c r="J839" t="s">
        <v>47128</v>
      </c>
      <c r="K839" t="s">
        <v>47113</v>
      </c>
      <c r="L839">
        <v>18.170000000000002</v>
      </c>
      <c r="M839">
        <v>40</v>
      </c>
      <c r="N839">
        <v>0</v>
      </c>
      <c r="O839">
        <v>40</v>
      </c>
      <c r="P839">
        <v>0</v>
      </c>
    </row>
    <row r="840" spans="1:16" x14ac:dyDescent="0.25">
      <c r="A840" t="s">
        <v>23352</v>
      </c>
      <c r="B840" t="s">
        <v>88</v>
      </c>
      <c r="C840" t="s">
        <v>89</v>
      </c>
      <c r="D840" t="str">
        <f>"1001"</f>
        <v>1001</v>
      </c>
      <c r="E840" t="s">
        <v>42</v>
      </c>
      <c r="F840" t="s">
        <v>5</v>
      </c>
      <c r="G840" t="s">
        <v>47091</v>
      </c>
      <c r="H840" t="s">
        <v>47126</v>
      </c>
      <c r="I840" t="s">
        <v>47127</v>
      </c>
      <c r="J840" t="s">
        <v>47128</v>
      </c>
      <c r="K840" t="s">
        <v>47113</v>
      </c>
      <c r="L840">
        <v>14.84</v>
      </c>
      <c r="M840">
        <v>35</v>
      </c>
      <c r="N840">
        <v>0</v>
      </c>
      <c r="O840">
        <v>35</v>
      </c>
      <c r="P840">
        <v>0</v>
      </c>
    </row>
    <row r="841" spans="1:16" x14ac:dyDescent="0.25">
      <c r="A841" t="s">
        <v>23353</v>
      </c>
      <c r="B841" t="s">
        <v>88</v>
      </c>
      <c r="C841" t="s">
        <v>89</v>
      </c>
      <c r="D841" t="str">
        <f>"1299"</f>
        <v>1299</v>
      </c>
      <c r="E841" t="s">
        <v>73</v>
      </c>
      <c r="F841" t="s">
        <v>5</v>
      </c>
      <c r="G841" t="s">
        <v>47091</v>
      </c>
      <c r="H841" t="s">
        <v>47126</v>
      </c>
      <c r="I841" t="s">
        <v>47127</v>
      </c>
      <c r="J841" t="s">
        <v>47128</v>
      </c>
      <c r="K841" t="s">
        <v>47113</v>
      </c>
      <c r="L841">
        <v>14.84</v>
      </c>
      <c r="M841">
        <v>35</v>
      </c>
      <c r="N841">
        <v>0</v>
      </c>
      <c r="O841">
        <v>35</v>
      </c>
      <c r="P841">
        <v>0</v>
      </c>
    </row>
    <row r="842" spans="1:16" x14ac:dyDescent="0.25">
      <c r="A842" t="s">
        <v>23354</v>
      </c>
      <c r="B842" t="s">
        <v>88</v>
      </c>
      <c r="C842" t="s">
        <v>89</v>
      </c>
      <c r="D842" t="str">
        <f>"1377"</f>
        <v>1377</v>
      </c>
      <c r="E842" t="s">
        <v>74</v>
      </c>
      <c r="F842" t="s">
        <v>5</v>
      </c>
      <c r="G842" t="s">
        <v>47091</v>
      </c>
      <c r="H842" t="s">
        <v>47126</v>
      </c>
      <c r="I842" t="s">
        <v>47127</v>
      </c>
      <c r="J842" t="s">
        <v>47128</v>
      </c>
      <c r="K842" t="s">
        <v>47113</v>
      </c>
      <c r="L842">
        <v>14.84</v>
      </c>
      <c r="M842">
        <v>35</v>
      </c>
      <c r="N842">
        <v>0</v>
      </c>
      <c r="O842">
        <v>35</v>
      </c>
      <c r="P842">
        <v>0</v>
      </c>
    </row>
    <row r="843" spans="1:16" x14ac:dyDescent="0.25">
      <c r="A843" t="s">
        <v>23355</v>
      </c>
      <c r="B843" t="s">
        <v>88</v>
      </c>
      <c r="C843" t="s">
        <v>89</v>
      </c>
      <c r="D843" t="str">
        <f>"1700"</f>
        <v>1700</v>
      </c>
      <c r="E843" t="s">
        <v>60</v>
      </c>
      <c r="F843" t="s">
        <v>5</v>
      </c>
      <c r="G843" t="s">
        <v>47091</v>
      </c>
      <c r="H843" t="s">
        <v>47126</v>
      </c>
      <c r="I843" t="s">
        <v>47127</v>
      </c>
      <c r="J843" t="s">
        <v>47128</v>
      </c>
      <c r="K843" t="s">
        <v>47113</v>
      </c>
      <c r="L843">
        <v>14.84</v>
      </c>
      <c r="M843">
        <v>35</v>
      </c>
      <c r="N843">
        <v>0</v>
      </c>
      <c r="O843">
        <v>35</v>
      </c>
      <c r="P843">
        <v>0</v>
      </c>
    </row>
    <row r="844" spans="1:16" x14ac:dyDescent="0.25">
      <c r="A844" t="s">
        <v>23356</v>
      </c>
      <c r="B844" t="s">
        <v>88</v>
      </c>
      <c r="C844" t="s">
        <v>89</v>
      </c>
      <c r="D844" t="str">
        <f>"2166"</f>
        <v>2166</v>
      </c>
      <c r="E844" t="s">
        <v>80</v>
      </c>
      <c r="F844" t="s">
        <v>5</v>
      </c>
      <c r="G844" t="s">
        <v>47091</v>
      </c>
      <c r="H844" t="s">
        <v>47126</v>
      </c>
      <c r="I844" t="s">
        <v>47127</v>
      </c>
      <c r="J844" t="s">
        <v>47128</v>
      </c>
      <c r="K844" t="s">
        <v>47113</v>
      </c>
      <c r="L844">
        <v>14.84</v>
      </c>
      <c r="M844">
        <v>35</v>
      </c>
      <c r="N844">
        <v>0</v>
      </c>
      <c r="O844">
        <v>35</v>
      </c>
      <c r="P844">
        <v>0</v>
      </c>
    </row>
    <row r="845" spans="1:16" x14ac:dyDescent="0.25">
      <c r="A845" t="s">
        <v>14725</v>
      </c>
      <c r="B845" t="s">
        <v>88</v>
      </c>
      <c r="C845" t="s">
        <v>89</v>
      </c>
      <c r="D845" t="str">
        <f>"3449"</f>
        <v>3449</v>
      </c>
      <c r="E845" t="s">
        <v>90</v>
      </c>
      <c r="F845" t="s">
        <v>5</v>
      </c>
      <c r="G845" t="s">
        <v>47091</v>
      </c>
      <c r="H845" t="s">
        <v>47126</v>
      </c>
      <c r="I845" t="s">
        <v>47127</v>
      </c>
      <c r="J845" t="s">
        <v>47128</v>
      </c>
      <c r="K845" t="s">
        <v>47113</v>
      </c>
      <c r="L845">
        <v>14.84</v>
      </c>
      <c r="M845">
        <v>35</v>
      </c>
      <c r="N845">
        <v>0</v>
      </c>
      <c r="O845">
        <v>35</v>
      </c>
      <c r="P845">
        <v>0</v>
      </c>
    </row>
    <row r="846" spans="1:16" x14ac:dyDescent="0.25">
      <c r="A846" t="s">
        <v>14726</v>
      </c>
      <c r="B846" t="s">
        <v>88</v>
      </c>
      <c r="C846" t="s">
        <v>89</v>
      </c>
      <c r="D846" t="str">
        <f>"4348"</f>
        <v>4348</v>
      </c>
      <c r="E846" t="s">
        <v>91</v>
      </c>
      <c r="F846" t="s">
        <v>5</v>
      </c>
      <c r="G846" t="s">
        <v>47091</v>
      </c>
      <c r="H846" t="s">
        <v>47126</v>
      </c>
      <c r="I846" t="s">
        <v>47127</v>
      </c>
      <c r="J846" t="s">
        <v>47128</v>
      </c>
      <c r="K846" t="s">
        <v>47113</v>
      </c>
      <c r="L846">
        <v>14.84</v>
      </c>
      <c r="M846">
        <v>35</v>
      </c>
      <c r="N846">
        <v>0</v>
      </c>
      <c r="O846">
        <v>35</v>
      </c>
      <c r="P846">
        <v>0</v>
      </c>
    </row>
    <row r="847" spans="1:16" x14ac:dyDescent="0.25">
      <c r="A847" t="s">
        <v>23357</v>
      </c>
      <c r="B847" t="s">
        <v>88</v>
      </c>
      <c r="C847" t="s">
        <v>89</v>
      </c>
      <c r="D847" t="str">
        <f>"5342"</f>
        <v>5342</v>
      </c>
      <c r="E847" t="s">
        <v>77</v>
      </c>
      <c r="F847" t="s">
        <v>5</v>
      </c>
      <c r="G847" t="s">
        <v>47091</v>
      </c>
      <c r="H847" t="s">
        <v>47126</v>
      </c>
      <c r="I847" t="s">
        <v>47127</v>
      </c>
      <c r="J847" t="s">
        <v>47128</v>
      </c>
      <c r="K847" t="s">
        <v>47113</v>
      </c>
      <c r="L847">
        <v>14.84</v>
      </c>
      <c r="M847">
        <v>35</v>
      </c>
      <c r="N847">
        <v>0</v>
      </c>
      <c r="O847">
        <v>35</v>
      </c>
      <c r="P847">
        <v>0</v>
      </c>
    </row>
    <row r="848" spans="1:16" x14ac:dyDescent="0.25">
      <c r="A848" t="s">
        <v>14727</v>
      </c>
      <c r="B848" t="s">
        <v>88</v>
      </c>
      <c r="C848" t="s">
        <v>89</v>
      </c>
      <c r="D848" t="str">
        <f>"6064"</f>
        <v>6064</v>
      </c>
      <c r="E848" t="s">
        <v>87</v>
      </c>
      <c r="F848" t="s">
        <v>5</v>
      </c>
      <c r="G848" t="s">
        <v>47091</v>
      </c>
      <c r="H848" t="s">
        <v>47126</v>
      </c>
      <c r="I848" t="s">
        <v>47127</v>
      </c>
      <c r="J848" t="s">
        <v>47128</v>
      </c>
      <c r="K848" t="s">
        <v>47113</v>
      </c>
      <c r="L848">
        <v>14.84</v>
      </c>
      <c r="M848">
        <v>35</v>
      </c>
      <c r="N848">
        <v>0</v>
      </c>
      <c r="O848">
        <v>35</v>
      </c>
      <c r="P848">
        <v>0</v>
      </c>
    </row>
    <row r="849" spans="1:16" x14ac:dyDescent="0.25">
      <c r="A849" t="s">
        <v>23358</v>
      </c>
      <c r="B849" t="s">
        <v>2126</v>
      </c>
      <c r="C849" t="s">
        <v>2127</v>
      </c>
      <c r="D849" t="str">
        <f>"1379"</f>
        <v>1379</v>
      </c>
      <c r="E849" t="s">
        <v>84</v>
      </c>
      <c r="F849" t="s">
        <v>5</v>
      </c>
      <c r="G849" t="s">
        <v>47091</v>
      </c>
      <c r="H849" t="s">
        <v>47126</v>
      </c>
      <c r="I849" t="s">
        <v>47127</v>
      </c>
      <c r="J849" t="s">
        <v>47128</v>
      </c>
      <c r="K849" t="s">
        <v>47113</v>
      </c>
      <c r="L849">
        <v>13.69</v>
      </c>
      <c r="M849">
        <v>32</v>
      </c>
      <c r="N849">
        <v>0</v>
      </c>
      <c r="O849">
        <v>32</v>
      </c>
      <c r="P849">
        <v>0</v>
      </c>
    </row>
    <row r="850" spans="1:16" x14ac:dyDescent="0.25">
      <c r="A850" t="s">
        <v>23359</v>
      </c>
      <c r="B850" t="s">
        <v>2126</v>
      </c>
      <c r="C850" t="s">
        <v>2127</v>
      </c>
      <c r="D850" t="str">
        <f>"5342"</f>
        <v>5342</v>
      </c>
      <c r="E850" t="s">
        <v>77</v>
      </c>
      <c r="F850" t="s">
        <v>5</v>
      </c>
      <c r="G850" t="s">
        <v>47091</v>
      </c>
      <c r="H850" t="s">
        <v>47126</v>
      </c>
      <c r="I850" t="s">
        <v>47127</v>
      </c>
      <c r="J850" t="s">
        <v>47128</v>
      </c>
      <c r="K850" t="s">
        <v>47113</v>
      </c>
      <c r="L850">
        <v>13.69</v>
      </c>
      <c r="M850">
        <v>32</v>
      </c>
      <c r="N850">
        <v>0</v>
      </c>
      <c r="O850">
        <v>32</v>
      </c>
      <c r="P850">
        <v>0</v>
      </c>
    </row>
    <row r="851" spans="1:16" x14ac:dyDescent="0.25">
      <c r="A851" t="s">
        <v>14728</v>
      </c>
      <c r="B851" t="s">
        <v>92</v>
      </c>
      <c r="C851" t="s">
        <v>93</v>
      </c>
      <c r="D851" t="str">
        <f>"1001"</f>
        <v>1001</v>
      </c>
      <c r="E851" t="s">
        <v>42</v>
      </c>
      <c r="F851" t="s">
        <v>5</v>
      </c>
      <c r="G851" t="s">
        <v>47091</v>
      </c>
      <c r="H851" t="s">
        <v>47126</v>
      </c>
      <c r="I851" t="s">
        <v>47127</v>
      </c>
      <c r="J851" t="s">
        <v>47128</v>
      </c>
      <c r="K851" t="s">
        <v>47113</v>
      </c>
      <c r="L851">
        <v>16.010000000000002</v>
      </c>
      <c r="M851">
        <v>39</v>
      </c>
      <c r="N851">
        <v>0</v>
      </c>
      <c r="O851">
        <v>39</v>
      </c>
      <c r="P851">
        <v>0</v>
      </c>
    </row>
    <row r="852" spans="1:16" x14ac:dyDescent="0.25">
      <c r="A852" t="s">
        <v>23360</v>
      </c>
      <c r="B852" t="s">
        <v>92</v>
      </c>
      <c r="C852" t="s">
        <v>93</v>
      </c>
      <c r="D852" t="str">
        <f>"1299"</f>
        <v>1299</v>
      </c>
      <c r="E852" t="s">
        <v>73</v>
      </c>
      <c r="F852" t="s">
        <v>5</v>
      </c>
      <c r="G852" t="s">
        <v>47091</v>
      </c>
      <c r="H852" t="s">
        <v>47126</v>
      </c>
      <c r="I852" t="s">
        <v>47127</v>
      </c>
      <c r="J852" t="s">
        <v>47128</v>
      </c>
      <c r="K852" t="s">
        <v>47113</v>
      </c>
      <c r="L852">
        <v>16.690000000000001</v>
      </c>
      <c r="M852">
        <v>39</v>
      </c>
      <c r="N852">
        <v>0</v>
      </c>
      <c r="O852">
        <v>39</v>
      </c>
      <c r="P852">
        <v>0</v>
      </c>
    </row>
    <row r="853" spans="1:16" x14ac:dyDescent="0.25">
      <c r="A853" t="s">
        <v>23361</v>
      </c>
      <c r="B853" t="s">
        <v>92</v>
      </c>
      <c r="C853" t="s">
        <v>93</v>
      </c>
      <c r="D853" t="str">
        <f>"1377"</f>
        <v>1377</v>
      </c>
      <c r="E853" t="s">
        <v>74</v>
      </c>
      <c r="F853" t="s">
        <v>5</v>
      </c>
      <c r="G853" t="s">
        <v>47091</v>
      </c>
      <c r="H853" t="s">
        <v>47126</v>
      </c>
      <c r="I853" t="s">
        <v>47127</v>
      </c>
      <c r="J853" t="s">
        <v>47128</v>
      </c>
      <c r="K853" t="s">
        <v>47113</v>
      </c>
      <c r="L853">
        <v>16.899999999999999</v>
      </c>
      <c r="M853">
        <v>39</v>
      </c>
      <c r="N853">
        <v>0</v>
      </c>
      <c r="O853">
        <v>39</v>
      </c>
      <c r="P853">
        <v>0</v>
      </c>
    </row>
    <row r="854" spans="1:16" x14ac:dyDescent="0.25">
      <c r="A854" t="s">
        <v>23362</v>
      </c>
      <c r="B854" t="s">
        <v>92</v>
      </c>
      <c r="C854" t="s">
        <v>93</v>
      </c>
      <c r="D854" t="str">
        <f>"1700"</f>
        <v>1700</v>
      </c>
      <c r="E854" t="s">
        <v>60</v>
      </c>
      <c r="F854" t="s">
        <v>5</v>
      </c>
      <c r="G854" t="s">
        <v>47091</v>
      </c>
      <c r="H854" t="s">
        <v>47126</v>
      </c>
      <c r="I854" t="s">
        <v>47127</v>
      </c>
      <c r="J854" t="s">
        <v>47128</v>
      </c>
      <c r="K854" t="s">
        <v>47113</v>
      </c>
      <c r="L854">
        <v>16.899999999999999</v>
      </c>
      <c r="M854">
        <v>39</v>
      </c>
      <c r="N854">
        <v>0</v>
      </c>
      <c r="O854">
        <v>39</v>
      </c>
      <c r="P854">
        <v>0</v>
      </c>
    </row>
    <row r="855" spans="1:16" x14ac:dyDescent="0.25">
      <c r="A855" t="s">
        <v>14729</v>
      </c>
      <c r="B855" t="s">
        <v>92</v>
      </c>
      <c r="C855" t="s">
        <v>93</v>
      </c>
      <c r="D855" t="str">
        <f>"2166"</f>
        <v>2166</v>
      </c>
      <c r="E855" t="s">
        <v>80</v>
      </c>
      <c r="F855" t="s">
        <v>5</v>
      </c>
      <c r="G855" t="s">
        <v>47091</v>
      </c>
      <c r="H855" t="s">
        <v>47126</v>
      </c>
      <c r="I855" t="s">
        <v>47127</v>
      </c>
      <c r="J855" t="s">
        <v>47128</v>
      </c>
      <c r="K855" t="s">
        <v>47113</v>
      </c>
      <c r="L855">
        <v>16.48</v>
      </c>
      <c r="M855">
        <v>39</v>
      </c>
      <c r="N855">
        <v>0</v>
      </c>
      <c r="O855">
        <v>39</v>
      </c>
      <c r="P855">
        <v>0</v>
      </c>
    </row>
    <row r="856" spans="1:16" x14ac:dyDescent="0.25">
      <c r="A856" t="s">
        <v>23363</v>
      </c>
      <c r="B856" t="s">
        <v>92</v>
      </c>
      <c r="C856" t="s">
        <v>93</v>
      </c>
      <c r="D856" t="str">
        <f>"3449"</f>
        <v>3449</v>
      </c>
      <c r="E856" t="s">
        <v>90</v>
      </c>
      <c r="F856" t="s">
        <v>5</v>
      </c>
      <c r="G856" t="s">
        <v>47091</v>
      </c>
      <c r="H856" t="s">
        <v>47126</v>
      </c>
      <c r="I856" t="s">
        <v>47127</v>
      </c>
      <c r="J856" t="s">
        <v>47128</v>
      </c>
      <c r="K856" t="s">
        <v>47113</v>
      </c>
      <c r="L856">
        <v>16.899999999999999</v>
      </c>
      <c r="M856">
        <v>39</v>
      </c>
      <c r="N856">
        <v>0</v>
      </c>
      <c r="O856">
        <v>39</v>
      </c>
      <c r="P856">
        <v>0</v>
      </c>
    </row>
    <row r="857" spans="1:16" x14ac:dyDescent="0.25">
      <c r="A857" t="s">
        <v>23364</v>
      </c>
      <c r="B857" t="s">
        <v>92</v>
      </c>
      <c r="C857" t="s">
        <v>93</v>
      </c>
      <c r="D857" t="str">
        <f>"4348"</f>
        <v>4348</v>
      </c>
      <c r="E857" t="s">
        <v>91</v>
      </c>
      <c r="F857" t="s">
        <v>5</v>
      </c>
      <c r="G857" t="s">
        <v>47091</v>
      </c>
      <c r="H857" t="s">
        <v>47126</v>
      </c>
      <c r="I857" t="s">
        <v>47127</v>
      </c>
      <c r="J857" t="s">
        <v>47128</v>
      </c>
      <c r="K857" t="s">
        <v>47113</v>
      </c>
      <c r="L857">
        <v>16.899999999999999</v>
      </c>
      <c r="M857">
        <v>39</v>
      </c>
      <c r="N857">
        <v>0</v>
      </c>
      <c r="O857">
        <v>39</v>
      </c>
      <c r="P857">
        <v>0</v>
      </c>
    </row>
    <row r="858" spans="1:16" x14ac:dyDescent="0.25">
      <c r="A858" t="s">
        <v>23365</v>
      </c>
      <c r="B858" t="s">
        <v>92</v>
      </c>
      <c r="C858" t="s">
        <v>93</v>
      </c>
      <c r="D858" t="str">
        <f>"4643"</f>
        <v>4643</v>
      </c>
      <c r="E858" t="s">
        <v>205</v>
      </c>
      <c r="F858" t="s">
        <v>5</v>
      </c>
      <c r="G858" t="s">
        <v>47091</v>
      </c>
      <c r="H858" t="s">
        <v>47126</v>
      </c>
      <c r="I858" t="s">
        <v>47127</v>
      </c>
      <c r="J858" t="s">
        <v>47128</v>
      </c>
      <c r="K858" t="s">
        <v>47113</v>
      </c>
      <c r="L858">
        <v>16.899999999999999</v>
      </c>
      <c r="M858">
        <v>39</v>
      </c>
      <c r="N858">
        <v>0</v>
      </c>
      <c r="O858">
        <v>39</v>
      </c>
      <c r="P858">
        <v>0</v>
      </c>
    </row>
    <row r="859" spans="1:16" x14ac:dyDescent="0.25">
      <c r="A859" t="s">
        <v>23366</v>
      </c>
      <c r="B859" t="s">
        <v>92</v>
      </c>
      <c r="C859" t="s">
        <v>93</v>
      </c>
      <c r="D859" t="str">
        <f>"5342"</f>
        <v>5342</v>
      </c>
      <c r="E859" t="s">
        <v>77</v>
      </c>
      <c r="F859" t="s">
        <v>5</v>
      </c>
      <c r="G859" t="s">
        <v>47091</v>
      </c>
      <c r="H859" t="s">
        <v>47126</v>
      </c>
      <c r="I859" t="s">
        <v>47127</v>
      </c>
      <c r="J859" t="s">
        <v>47128</v>
      </c>
      <c r="K859" t="s">
        <v>47113</v>
      </c>
      <c r="L859">
        <v>16.899999999999999</v>
      </c>
      <c r="M859">
        <v>39</v>
      </c>
      <c r="N859">
        <v>0</v>
      </c>
      <c r="O859">
        <v>39</v>
      </c>
      <c r="P859">
        <v>0</v>
      </c>
    </row>
    <row r="860" spans="1:16" x14ac:dyDescent="0.25">
      <c r="A860" t="s">
        <v>23367</v>
      </c>
      <c r="B860" t="s">
        <v>92</v>
      </c>
      <c r="C860" t="s">
        <v>93</v>
      </c>
      <c r="D860" t="str">
        <f>"6064"</f>
        <v>6064</v>
      </c>
      <c r="E860" t="s">
        <v>87</v>
      </c>
      <c r="F860" t="s">
        <v>5</v>
      </c>
      <c r="G860" t="s">
        <v>47091</v>
      </c>
      <c r="H860" t="s">
        <v>47126</v>
      </c>
      <c r="I860" t="s">
        <v>47127</v>
      </c>
      <c r="J860" t="s">
        <v>47128</v>
      </c>
      <c r="K860" t="s">
        <v>47113</v>
      </c>
      <c r="L860">
        <v>16.899999999999999</v>
      </c>
      <c r="M860">
        <v>39</v>
      </c>
      <c r="N860">
        <v>0</v>
      </c>
      <c r="O860">
        <v>39</v>
      </c>
      <c r="P860">
        <v>0</v>
      </c>
    </row>
    <row r="861" spans="1:16" x14ac:dyDescent="0.25">
      <c r="A861" t="s">
        <v>23368</v>
      </c>
      <c r="B861" t="s">
        <v>2128</v>
      </c>
      <c r="C861" t="s">
        <v>2129</v>
      </c>
      <c r="D861" t="str">
        <f>"1001"</f>
        <v>1001</v>
      </c>
      <c r="E861" t="s">
        <v>42</v>
      </c>
      <c r="F861" t="s">
        <v>5</v>
      </c>
      <c r="G861" t="s">
        <v>47091</v>
      </c>
      <c r="H861" t="s">
        <v>47126</v>
      </c>
      <c r="I861" t="s">
        <v>47127</v>
      </c>
      <c r="J861" t="s">
        <v>47128</v>
      </c>
      <c r="K861" t="s">
        <v>47113</v>
      </c>
      <c r="L861">
        <v>17.32</v>
      </c>
      <c r="M861">
        <v>38</v>
      </c>
      <c r="N861">
        <v>0</v>
      </c>
      <c r="O861">
        <v>38</v>
      </c>
      <c r="P861">
        <v>0</v>
      </c>
    </row>
    <row r="862" spans="1:16" x14ac:dyDescent="0.25">
      <c r="A862" t="s">
        <v>23369</v>
      </c>
      <c r="B862" t="s">
        <v>2128</v>
      </c>
      <c r="C862" t="s">
        <v>2129</v>
      </c>
      <c r="D862" t="str">
        <f>"1299"</f>
        <v>1299</v>
      </c>
      <c r="E862" t="s">
        <v>73</v>
      </c>
      <c r="F862" t="s">
        <v>5</v>
      </c>
      <c r="G862" t="s">
        <v>47091</v>
      </c>
      <c r="H862" t="s">
        <v>47126</v>
      </c>
      <c r="I862" t="s">
        <v>47127</v>
      </c>
      <c r="J862" t="s">
        <v>47128</v>
      </c>
      <c r="K862" t="s">
        <v>47113</v>
      </c>
      <c r="L862">
        <v>17.32</v>
      </c>
      <c r="M862">
        <v>38</v>
      </c>
      <c r="N862">
        <v>0</v>
      </c>
      <c r="O862">
        <v>38</v>
      </c>
      <c r="P862">
        <v>0</v>
      </c>
    </row>
    <row r="863" spans="1:16" x14ac:dyDescent="0.25">
      <c r="A863" t="s">
        <v>23370</v>
      </c>
      <c r="B863" t="s">
        <v>2128</v>
      </c>
      <c r="C863" t="s">
        <v>2129</v>
      </c>
      <c r="D863" t="str">
        <f>"1377"</f>
        <v>1377</v>
      </c>
      <c r="E863" t="s">
        <v>74</v>
      </c>
      <c r="F863" t="s">
        <v>5</v>
      </c>
      <c r="G863" t="s">
        <v>47091</v>
      </c>
      <c r="H863" t="s">
        <v>47126</v>
      </c>
      <c r="I863" t="s">
        <v>47127</v>
      </c>
      <c r="J863" t="s">
        <v>47128</v>
      </c>
      <c r="K863" t="s">
        <v>47113</v>
      </c>
      <c r="L863">
        <v>17.32</v>
      </c>
      <c r="M863">
        <v>38</v>
      </c>
      <c r="N863">
        <v>0</v>
      </c>
      <c r="O863">
        <v>38</v>
      </c>
      <c r="P863">
        <v>0</v>
      </c>
    </row>
    <row r="864" spans="1:16" x14ac:dyDescent="0.25">
      <c r="A864" t="s">
        <v>23371</v>
      </c>
      <c r="B864" t="s">
        <v>2128</v>
      </c>
      <c r="C864" t="s">
        <v>2129</v>
      </c>
      <c r="D864" t="str">
        <f>"1700"</f>
        <v>1700</v>
      </c>
      <c r="E864" t="s">
        <v>60</v>
      </c>
      <c r="F864" t="s">
        <v>5</v>
      </c>
      <c r="G864" t="s">
        <v>47091</v>
      </c>
      <c r="H864" t="s">
        <v>47126</v>
      </c>
      <c r="I864" t="s">
        <v>47127</v>
      </c>
      <c r="J864" t="s">
        <v>47128</v>
      </c>
      <c r="K864" t="s">
        <v>47113</v>
      </c>
      <c r="L864">
        <v>17.32</v>
      </c>
      <c r="M864">
        <v>38</v>
      </c>
      <c r="N864">
        <v>0</v>
      </c>
      <c r="O864">
        <v>38</v>
      </c>
      <c r="P864">
        <v>0</v>
      </c>
    </row>
    <row r="865" spans="1:16" x14ac:dyDescent="0.25">
      <c r="A865" t="s">
        <v>23372</v>
      </c>
      <c r="B865" t="s">
        <v>2128</v>
      </c>
      <c r="C865" t="s">
        <v>2129</v>
      </c>
      <c r="D865" t="str">
        <f>"2166"</f>
        <v>2166</v>
      </c>
      <c r="E865" t="s">
        <v>80</v>
      </c>
      <c r="F865" t="s">
        <v>5</v>
      </c>
      <c r="G865" t="s">
        <v>47091</v>
      </c>
      <c r="H865" t="s">
        <v>47126</v>
      </c>
      <c r="I865" t="s">
        <v>47127</v>
      </c>
      <c r="J865" t="s">
        <v>47128</v>
      </c>
      <c r="K865" t="s">
        <v>47113</v>
      </c>
      <c r="L865">
        <v>17.32</v>
      </c>
      <c r="M865">
        <v>38</v>
      </c>
      <c r="N865">
        <v>0</v>
      </c>
      <c r="O865">
        <v>38</v>
      </c>
      <c r="P865">
        <v>0</v>
      </c>
    </row>
    <row r="866" spans="1:16" x14ac:dyDescent="0.25">
      <c r="A866" t="s">
        <v>23373</v>
      </c>
      <c r="B866" t="s">
        <v>2128</v>
      </c>
      <c r="C866" t="s">
        <v>2129</v>
      </c>
      <c r="D866" t="str">
        <f>"3449"</f>
        <v>3449</v>
      </c>
      <c r="E866" t="s">
        <v>90</v>
      </c>
      <c r="F866" t="s">
        <v>5</v>
      </c>
      <c r="G866" t="s">
        <v>47091</v>
      </c>
      <c r="H866" t="s">
        <v>47126</v>
      </c>
      <c r="I866" t="s">
        <v>47127</v>
      </c>
      <c r="J866" t="s">
        <v>47128</v>
      </c>
      <c r="K866" t="s">
        <v>47113</v>
      </c>
      <c r="L866">
        <v>17.32</v>
      </c>
      <c r="M866">
        <v>38</v>
      </c>
      <c r="N866">
        <v>0</v>
      </c>
      <c r="O866">
        <v>38</v>
      </c>
      <c r="P866">
        <v>0</v>
      </c>
    </row>
    <row r="867" spans="1:16" x14ac:dyDescent="0.25">
      <c r="A867" t="s">
        <v>23374</v>
      </c>
      <c r="B867" t="s">
        <v>2128</v>
      </c>
      <c r="C867" t="s">
        <v>2129</v>
      </c>
      <c r="D867" t="str">
        <f>"4348"</f>
        <v>4348</v>
      </c>
      <c r="E867" t="s">
        <v>91</v>
      </c>
      <c r="F867" t="s">
        <v>5</v>
      </c>
      <c r="G867" t="s">
        <v>47091</v>
      </c>
      <c r="H867" t="s">
        <v>47126</v>
      </c>
      <c r="I867" t="s">
        <v>47127</v>
      </c>
      <c r="J867" t="s">
        <v>47128</v>
      </c>
      <c r="K867" t="s">
        <v>47113</v>
      </c>
      <c r="L867">
        <v>17.32</v>
      </c>
      <c r="M867">
        <v>38</v>
      </c>
      <c r="N867">
        <v>0</v>
      </c>
      <c r="O867">
        <v>38</v>
      </c>
      <c r="P867">
        <v>0</v>
      </c>
    </row>
    <row r="868" spans="1:16" x14ac:dyDescent="0.25">
      <c r="A868" t="s">
        <v>23375</v>
      </c>
      <c r="B868" t="s">
        <v>2128</v>
      </c>
      <c r="C868" t="s">
        <v>2129</v>
      </c>
      <c r="D868" t="str">
        <f>"5342"</f>
        <v>5342</v>
      </c>
      <c r="E868" t="s">
        <v>77</v>
      </c>
      <c r="F868" t="s">
        <v>5</v>
      </c>
      <c r="G868" t="s">
        <v>47091</v>
      </c>
      <c r="H868" t="s">
        <v>47126</v>
      </c>
      <c r="I868" t="s">
        <v>47127</v>
      </c>
      <c r="J868" t="s">
        <v>47128</v>
      </c>
      <c r="K868" t="s">
        <v>47113</v>
      </c>
      <c r="L868">
        <v>17.32</v>
      </c>
      <c r="M868">
        <v>38</v>
      </c>
      <c r="N868">
        <v>0</v>
      </c>
      <c r="O868">
        <v>38</v>
      </c>
      <c r="P868">
        <v>0</v>
      </c>
    </row>
    <row r="869" spans="1:16" x14ac:dyDescent="0.25">
      <c r="A869" t="s">
        <v>23376</v>
      </c>
      <c r="B869" t="s">
        <v>2128</v>
      </c>
      <c r="C869" t="s">
        <v>2129</v>
      </c>
      <c r="D869" t="str">
        <f>"6064"</f>
        <v>6064</v>
      </c>
      <c r="E869" t="s">
        <v>87</v>
      </c>
      <c r="F869" t="s">
        <v>5</v>
      </c>
      <c r="G869" t="s">
        <v>47091</v>
      </c>
      <c r="H869" t="s">
        <v>47126</v>
      </c>
      <c r="I869" t="s">
        <v>47127</v>
      </c>
      <c r="J869" t="s">
        <v>47128</v>
      </c>
      <c r="K869" t="s">
        <v>47113</v>
      </c>
      <c r="L869">
        <v>17.32</v>
      </c>
      <c r="M869">
        <v>38</v>
      </c>
      <c r="N869">
        <v>0</v>
      </c>
      <c r="O869">
        <v>38</v>
      </c>
      <c r="P869">
        <v>0</v>
      </c>
    </row>
    <row r="870" spans="1:16" x14ac:dyDescent="0.25">
      <c r="A870" t="s">
        <v>23377</v>
      </c>
      <c r="B870" t="s">
        <v>2130</v>
      </c>
      <c r="C870" t="s">
        <v>2131</v>
      </c>
      <c r="D870" t="str">
        <f>"1001"</f>
        <v>1001</v>
      </c>
      <c r="E870" t="s">
        <v>42</v>
      </c>
      <c r="F870" t="s">
        <v>5</v>
      </c>
      <c r="G870" t="s">
        <v>47091</v>
      </c>
      <c r="H870" t="s">
        <v>47126</v>
      </c>
      <c r="I870" t="s">
        <v>47127</v>
      </c>
      <c r="J870" t="s">
        <v>47128</v>
      </c>
      <c r="K870" t="s">
        <v>47113</v>
      </c>
      <c r="L870">
        <v>13.37</v>
      </c>
      <c r="M870">
        <v>32</v>
      </c>
      <c r="N870">
        <v>0</v>
      </c>
      <c r="O870">
        <v>32</v>
      </c>
      <c r="P870">
        <v>0</v>
      </c>
    </row>
    <row r="871" spans="1:16" x14ac:dyDescent="0.25">
      <c r="A871" t="s">
        <v>23378</v>
      </c>
      <c r="B871" t="s">
        <v>2130</v>
      </c>
      <c r="C871" t="s">
        <v>2131</v>
      </c>
      <c r="D871" t="str">
        <f>"1299"</f>
        <v>1299</v>
      </c>
      <c r="E871" t="s">
        <v>73</v>
      </c>
      <c r="F871" t="s">
        <v>5</v>
      </c>
      <c r="G871" t="s">
        <v>47091</v>
      </c>
      <c r="H871" t="s">
        <v>47126</v>
      </c>
      <c r="I871" t="s">
        <v>47127</v>
      </c>
      <c r="J871" t="s">
        <v>47128</v>
      </c>
      <c r="K871" t="s">
        <v>47113</v>
      </c>
      <c r="L871">
        <v>13.42</v>
      </c>
      <c r="M871">
        <v>32</v>
      </c>
      <c r="N871">
        <v>0</v>
      </c>
      <c r="O871">
        <v>32</v>
      </c>
      <c r="P871">
        <v>0</v>
      </c>
    </row>
    <row r="872" spans="1:16" x14ac:dyDescent="0.25">
      <c r="A872" t="s">
        <v>23379</v>
      </c>
      <c r="B872" t="s">
        <v>2130</v>
      </c>
      <c r="C872" t="s">
        <v>2131</v>
      </c>
      <c r="D872" t="str">
        <f>"1377"</f>
        <v>1377</v>
      </c>
      <c r="E872" t="s">
        <v>74</v>
      </c>
      <c r="F872" t="s">
        <v>5</v>
      </c>
      <c r="G872" t="s">
        <v>47091</v>
      </c>
      <c r="H872" t="s">
        <v>47126</v>
      </c>
      <c r="I872" t="s">
        <v>47127</v>
      </c>
      <c r="J872" t="s">
        <v>47128</v>
      </c>
      <c r="K872" t="s">
        <v>47113</v>
      </c>
      <c r="L872">
        <v>13.57</v>
      </c>
      <c r="M872">
        <v>32</v>
      </c>
      <c r="N872">
        <v>0</v>
      </c>
      <c r="O872">
        <v>32</v>
      </c>
      <c r="P872">
        <v>0</v>
      </c>
    </row>
    <row r="873" spans="1:16" x14ac:dyDescent="0.25">
      <c r="A873" t="s">
        <v>23380</v>
      </c>
      <c r="B873" t="s">
        <v>2130</v>
      </c>
      <c r="C873" t="s">
        <v>2131</v>
      </c>
      <c r="D873" t="str">
        <f>"1700"</f>
        <v>1700</v>
      </c>
      <c r="E873" t="s">
        <v>60</v>
      </c>
      <c r="F873" t="s">
        <v>5</v>
      </c>
      <c r="G873" t="s">
        <v>47091</v>
      </c>
      <c r="H873" t="s">
        <v>47126</v>
      </c>
      <c r="I873" t="s">
        <v>47127</v>
      </c>
      <c r="J873" t="s">
        <v>47128</v>
      </c>
      <c r="K873" t="s">
        <v>47113</v>
      </c>
      <c r="L873">
        <v>13.57</v>
      </c>
      <c r="M873">
        <v>32</v>
      </c>
      <c r="N873">
        <v>0</v>
      </c>
      <c r="O873">
        <v>32</v>
      </c>
      <c r="P873">
        <v>0</v>
      </c>
    </row>
    <row r="874" spans="1:16" x14ac:dyDescent="0.25">
      <c r="A874" t="s">
        <v>23381</v>
      </c>
      <c r="B874" t="s">
        <v>2130</v>
      </c>
      <c r="C874" t="s">
        <v>2131</v>
      </c>
      <c r="D874" t="str">
        <f>"2166"</f>
        <v>2166</v>
      </c>
      <c r="E874" t="s">
        <v>80</v>
      </c>
      <c r="F874" t="s">
        <v>5</v>
      </c>
      <c r="G874" t="s">
        <v>47091</v>
      </c>
      <c r="H874" t="s">
        <v>47126</v>
      </c>
      <c r="I874" t="s">
        <v>47127</v>
      </c>
      <c r="J874" t="s">
        <v>47128</v>
      </c>
      <c r="K874" t="s">
        <v>47113</v>
      </c>
      <c r="L874">
        <v>13.57</v>
      </c>
      <c r="M874">
        <v>32</v>
      </c>
      <c r="N874">
        <v>0</v>
      </c>
      <c r="O874">
        <v>32</v>
      </c>
      <c r="P874">
        <v>0</v>
      </c>
    </row>
    <row r="875" spans="1:16" x14ac:dyDescent="0.25">
      <c r="A875" t="s">
        <v>23382</v>
      </c>
      <c r="B875" t="s">
        <v>2130</v>
      </c>
      <c r="C875" t="s">
        <v>2131</v>
      </c>
      <c r="D875" t="str">
        <f>"3449"</f>
        <v>3449</v>
      </c>
      <c r="E875" t="s">
        <v>90</v>
      </c>
      <c r="F875" t="s">
        <v>5</v>
      </c>
      <c r="G875" t="s">
        <v>47091</v>
      </c>
      <c r="H875" t="s">
        <v>47126</v>
      </c>
      <c r="I875" t="s">
        <v>47127</v>
      </c>
      <c r="J875" t="s">
        <v>47128</v>
      </c>
      <c r="K875" t="s">
        <v>47113</v>
      </c>
      <c r="L875">
        <v>13.57</v>
      </c>
      <c r="M875">
        <v>32</v>
      </c>
      <c r="N875">
        <v>0</v>
      </c>
      <c r="O875">
        <v>32</v>
      </c>
      <c r="P875">
        <v>0</v>
      </c>
    </row>
    <row r="876" spans="1:16" x14ac:dyDescent="0.25">
      <c r="A876" t="s">
        <v>23383</v>
      </c>
      <c r="B876" t="s">
        <v>2130</v>
      </c>
      <c r="C876" t="s">
        <v>2131</v>
      </c>
      <c r="D876" t="str">
        <f>"4348"</f>
        <v>4348</v>
      </c>
      <c r="E876" t="s">
        <v>91</v>
      </c>
      <c r="F876" t="s">
        <v>5</v>
      </c>
      <c r="G876" t="s">
        <v>47091</v>
      </c>
      <c r="H876" t="s">
        <v>47126</v>
      </c>
      <c r="I876" t="s">
        <v>47127</v>
      </c>
      <c r="J876" t="s">
        <v>47128</v>
      </c>
      <c r="K876" t="s">
        <v>47113</v>
      </c>
      <c r="L876">
        <v>13.57</v>
      </c>
      <c r="M876">
        <v>32</v>
      </c>
      <c r="N876">
        <v>0</v>
      </c>
      <c r="O876">
        <v>32</v>
      </c>
      <c r="P876">
        <v>0</v>
      </c>
    </row>
    <row r="877" spans="1:16" x14ac:dyDescent="0.25">
      <c r="A877" t="s">
        <v>23384</v>
      </c>
      <c r="B877" t="s">
        <v>2130</v>
      </c>
      <c r="C877" t="s">
        <v>2131</v>
      </c>
      <c r="D877" t="str">
        <f>"5342"</f>
        <v>5342</v>
      </c>
      <c r="E877" t="s">
        <v>77</v>
      </c>
      <c r="F877" t="s">
        <v>5</v>
      </c>
      <c r="G877" t="s">
        <v>47091</v>
      </c>
      <c r="H877" t="s">
        <v>47126</v>
      </c>
      <c r="I877" t="s">
        <v>47127</v>
      </c>
      <c r="J877" t="s">
        <v>47128</v>
      </c>
      <c r="K877" t="s">
        <v>47113</v>
      </c>
      <c r="L877">
        <v>13.43</v>
      </c>
      <c r="M877">
        <v>32</v>
      </c>
      <c r="N877">
        <v>0</v>
      </c>
      <c r="O877">
        <v>32</v>
      </c>
      <c r="P877">
        <v>0</v>
      </c>
    </row>
    <row r="878" spans="1:16" x14ac:dyDescent="0.25">
      <c r="A878" t="s">
        <v>23385</v>
      </c>
      <c r="B878" t="s">
        <v>2130</v>
      </c>
      <c r="C878" t="s">
        <v>2131</v>
      </c>
      <c r="D878" t="str">
        <f>"6064"</f>
        <v>6064</v>
      </c>
      <c r="E878" t="s">
        <v>87</v>
      </c>
      <c r="F878" t="s">
        <v>5</v>
      </c>
      <c r="G878" t="s">
        <v>47091</v>
      </c>
      <c r="H878" t="s">
        <v>47126</v>
      </c>
      <c r="I878" t="s">
        <v>47127</v>
      </c>
      <c r="J878" t="s">
        <v>47128</v>
      </c>
      <c r="K878" t="s">
        <v>47113</v>
      </c>
      <c r="L878">
        <v>13.57</v>
      </c>
      <c r="M878">
        <v>32</v>
      </c>
      <c r="N878">
        <v>0</v>
      </c>
      <c r="O878">
        <v>32</v>
      </c>
      <c r="P878">
        <v>0</v>
      </c>
    </row>
    <row r="879" spans="1:16" x14ac:dyDescent="0.25">
      <c r="A879" t="s">
        <v>23386</v>
      </c>
      <c r="B879" t="s">
        <v>2132</v>
      </c>
      <c r="C879" t="s">
        <v>2133</v>
      </c>
      <c r="D879" t="str">
        <f>"1001"</f>
        <v>1001</v>
      </c>
      <c r="E879" t="s">
        <v>42</v>
      </c>
      <c r="F879" t="s">
        <v>5</v>
      </c>
      <c r="G879" t="s">
        <v>47096</v>
      </c>
      <c r="H879" t="s">
        <v>47126</v>
      </c>
      <c r="I879" t="s">
        <v>47127</v>
      </c>
      <c r="J879" t="s">
        <v>47128</v>
      </c>
      <c r="K879" t="s">
        <v>47113</v>
      </c>
      <c r="L879">
        <v>21.27</v>
      </c>
      <c r="M879">
        <v>49</v>
      </c>
      <c r="N879">
        <v>0</v>
      </c>
      <c r="O879">
        <v>49</v>
      </c>
      <c r="P879">
        <v>0</v>
      </c>
    </row>
    <row r="880" spans="1:16" x14ac:dyDescent="0.25">
      <c r="A880" t="s">
        <v>23387</v>
      </c>
      <c r="B880" t="s">
        <v>2132</v>
      </c>
      <c r="C880" t="s">
        <v>2133</v>
      </c>
      <c r="D880" t="str">
        <f>"1299"</f>
        <v>1299</v>
      </c>
      <c r="E880" t="s">
        <v>73</v>
      </c>
      <c r="F880" t="s">
        <v>5</v>
      </c>
      <c r="G880" t="s">
        <v>47096</v>
      </c>
      <c r="H880" t="s">
        <v>47126</v>
      </c>
      <c r="I880" t="s">
        <v>47127</v>
      </c>
      <c r="J880" t="s">
        <v>47128</v>
      </c>
      <c r="K880" t="s">
        <v>47113</v>
      </c>
      <c r="L880">
        <v>21.27</v>
      </c>
      <c r="M880">
        <v>49</v>
      </c>
      <c r="N880">
        <v>0</v>
      </c>
      <c r="O880">
        <v>49</v>
      </c>
      <c r="P880">
        <v>0</v>
      </c>
    </row>
    <row r="881" spans="1:16" x14ac:dyDescent="0.25">
      <c r="A881" t="s">
        <v>23388</v>
      </c>
      <c r="B881" t="s">
        <v>2132</v>
      </c>
      <c r="C881" t="s">
        <v>2133</v>
      </c>
      <c r="D881" t="str">
        <f>"1377"</f>
        <v>1377</v>
      </c>
      <c r="E881" t="s">
        <v>74</v>
      </c>
      <c r="F881" t="s">
        <v>5</v>
      </c>
      <c r="G881" t="s">
        <v>47096</v>
      </c>
      <c r="H881" t="s">
        <v>47126</v>
      </c>
      <c r="I881" t="s">
        <v>47127</v>
      </c>
      <c r="J881" t="s">
        <v>47128</v>
      </c>
      <c r="K881" t="s">
        <v>47113</v>
      </c>
      <c r="L881">
        <v>21.27</v>
      </c>
      <c r="M881">
        <v>49</v>
      </c>
      <c r="N881">
        <v>0</v>
      </c>
      <c r="O881">
        <v>49</v>
      </c>
      <c r="P881">
        <v>0</v>
      </c>
    </row>
    <row r="882" spans="1:16" x14ac:dyDescent="0.25">
      <c r="A882" t="s">
        <v>23389</v>
      </c>
      <c r="B882" t="s">
        <v>2132</v>
      </c>
      <c r="C882" t="s">
        <v>2133</v>
      </c>
      <c r="D882" t="str">
        <f>"2166"</f>
        <v>2166</v>
      </c>
      <c r="E882" t="s">
        <v>80</v>
      </c>
      <c r="F882" t="s">
        <v>5</v>
      </c>
      <c r="G882" t="s">
        <v>47096</v>
      </c>
      <c r="H882" t="s">
        <v>47126</v>
      </c>
      <c r="I882" t="s">
        <v>47127</v>
      </c>
      <c r="J882" t="s">
        <v>47128</v>
      </c>
      <c r="K882" t="s">
        <v>47113</v>
      </c>
      <c r="L882">
        <v>21.27</v>
      </c>
      <c r="M882">
        <v>49</v>
      </c>
      <c r="N882">
        <v>0</v>
      </c>
      <c r="O882">
        <v>49</v>
      </c>
      <c r="P882">
        <v>0</v>
      </c>
    </row>
    <row r="883" spans="1:16" x14ac:dyDescent="0.25">
      <c r="A883" t="s">
        <v>23390</v>
      </c>
      <c r="B883" t="s">
        <v>2132</v>
      </c>
      <c r="C883" t="s">
        <v>2133</v>
      </c>
      <c r="D883" t="str">
        <f>"4348"</f>
        <v>4348</v>
      </c>
      <c r="E883" t="s">
        <v>91</v>
      </c>
      <c r="F883" t="s">
        <v>5</v>
      </c>
      <c r="G883" t="s">
        <v>47096</v>
      </c>
      <c r="H883" t="s">
        <v>47126</v>
      </c>
      <c r="I883" t="s">
        <v>47127</v>
      </c>
      <c r="J883" t="s">
        <v>47128</v>
      </c>
      <c r="K883" t="s">
        <v>47113</v>
      </c>
      <c r="L883">
        <v>21.27</v>
      </c>
      <c r="M883">
        <v>49</v>
      </c>
      <c r="N883">
        <v>0</v>
      </c>
      <c r="O883">
        <v>49</v>
      </c>
      <c r="P883">
        <v>0</v>
      </c>
    </row>
    <row r="884" spans="1:16" x14ac:dyDescent="0.25">
      <c r="A884" t="s">
        <v>23391</v>
      </c>
      <c r="B884" t="s">
        <v>2132</v>
      </c>
      <c r="C884" t="s">
        <v>2133</v>
      </c>
      <c r="D884" t="str">
        <f>"5342"</f>
        <v>5342</v>
      </c>
      <c r="E884" t="s">
        <v>77</v>
      </c>
      <c r="F884" t="s">
        <v>5</v>
      </c>
      <c r="G884" t="s">
        <v>47096</v>
      </c>
      <c r="H884" t="s">
        <v>47126</v>
      </c>
      <c r="I884" t="s">
        <v>47127</v>
      </c>
      <c r="J884" t="s">
        <v>47128</v>
      </c>
      <c r="K884" t="s">
        <v>47113</v>
      </c>
      <c r="L884">
        <v>21.27</v>
      </c>
      <c r="M884">
        <v>49</v>
      </c>
      <c r="N884">
        <v>0</v>
      </c>
      <c r="O884">
        <v>49</v>
      </c>
      <c r="P884">
        <v>0</v>
      </c>
    </row>
    <row r="885" spans="1:16" x14ac:dyDescent="0.25">
      <c r="A885" t="s">
        <v>23392</v>
      </c>
      <c r="B885" t="s">
        <v>2132</v>
      </c>
      <c r="C885" t="s">
        <v>2133</v>
      </c>
      <c r="D885" t="str">
        <f>"6064"</f>
        <v>6064</v>
      </c>
      <c r="E885" t="s">
        <v>87</v>
      </c>
      <c r="F885" t="s">
        <v>5</v>
      </c>
      <c r="G885" t="s">
        <v>47096</v>
      </c>
      <c r="H885" t="s">
        <v>47126</v>
      </c>
      <c r="I885" t="s">
        <v>47127</v>
      </c>
      <c r="J885" t="s">
        <v>47128</v>
      </c>
      <c r="K885" t="s">
        <v>47113</v>
      </c>
      <c r="L885">
        <v>21.27</v>
      </c>
      <c r="M885">
        <v>49</v>
      </c>
      <c r="N885">
        <v>0</v>
      </c>
      <c r="O885">
        <v>49</v>
      </c>
      <c r="P885">
        <v>0</v>
      </c>
    </row>
    <row r="886" spans="1:16" x14ac:dyDescent="0.25">
      <c r="A886" t="s">
        <v>23393</v>
      </c>
      <c r="B886" t="s">
        <v>2134</v>
      </c>
      <c r="C886" t="s">
        <v>2135</v>
      </c>
      <c r="D886" t="str">
        <f>"1001"</f>
        <v>1001</v>
      </c>
      <c r="E886" t="s">
        <v>42</v>
      </c>
      <c r="F886" t="s">
        <v>5</v>
      </c>
      <c r="G886" t="s">
        <v>47094</v>
      </c>
      <c r="H886" t="s">
        <v>47126</v>
      </c>
      <c r="I886" t="s">
        <v>47127</v>
      </c>
      <c r="J886" t="s">
        <v>47128</v>
      </c>
      <c r="K886" t="s">
        <v>47113</v>
      </c>
      <c r="L886">
        <v>19.77</v>
      </c>
      <c r="M886">
        <v>46</v>
      </c>
      <c r="N886">
        <v>0</v>
      </c>
      <c r="O886">
        <v>46</v>
      </c>
      <c r="P886">
        <v>0</v>
      </c>
    </row>
    <row r="887" spans="1:16" x14ac:dyDescent="0.25">
      <c r="A887" t="s">
        <v>23394</v>
      </c>
      <c r="B887" t="s">
        <v>2134</v>
      </c>
      <c r="C887" t="s">
        <v>2135</v>
      </c>
      <c r="D887" t="str">
        <f>"2166"</f>
        <v>2166</v>
      </c>
      <c r="E887" t="s">
        <v>80</v>
      </c>
      <c r="F887" t="s">
        <v>5</v>
      </c>
      <c r="G887" t="s">
        <v>47094</v>
      </c>
      <c r="H887" t="s">
        <v>47126</v>
      </c>
      <c r="I887" t="s">
        <v>47127</v>
      </c>
      <c r="J887" t="s">
        <v>47128</v>
      </c>
      <c r="K887" t="s">
        <v>47113</v>
      </c>
      <c r="L887">
        <v>19.77</v>
      </c>
      <c r="M887">
        <v>46</v>
      </c>
      <c r="N887">
        <v>0</v>
      </c>
      <c r="O887">
        <v>46</v>
      </c>
      <c r="P887">
        <v>0</v>
      </c>
    </row>
    <row r="888" spans="1:16" x14ac:dyDescent="0.25">
      <c r="A888" t="s">
        <v>23395</v>
      </c>
      <c r="B888" t="s">
        <v>2134</v>
      </c>
      <c r="C888" t="s">
        <v>2135</v>
      </c>
      <c r="D888" t="str">
        <f>"3449"</f>
        <v>3449</v>
      </c>
      <c r="E888" t="s">
        <v>90</v>
      </c>
      <c r="F888" t="s">
        <v>5</v>
      </c>
      <c r="G888" t="s">
        <v>47094</v>
      </c>
      <c r="H888" t="s">
        <v>47126</v>
      </c>
      <c r="I888" t="s">
        <v>47127</v>
      </c>
      <c r="J888" t="s">
        <v>47128</v>
      </c>
      <c r="K888" t="s">
        <v>47113</v>
      </c>
      <c r="L888">
        <v>19.77</v>
      </c>
      <c r="M888">
        <v>46</v>
      </c>
      <c r="N888">
        <v>0</v>
      </c>
      <c r="O888">
        <v>46</v>
      </c>
      <c r="P888">
        <v>0</v>
      </c>
    </row>
    <row r="889" spans="1:16" x14ac:dyDescent="0.25">
      <c r="A889" t="s">
        <v>23396</v>
      </c>
      <c r="B889" t="s">
        <v>2134</v>
      </c>
      <c r="C889" t="s">
        <v>2135</v>
      </c>
      <c r="D889" t="str">
        <f>"4348"</f>
        <v>4348</v>
      </c>
      <c r="E889" t="s">
        <v>91</v>
      </c>
      <c r="F889" t="s">
        <v>5</v>
      </c>
      <c r="G889" t="s">
        <v>47094</v>
      </c>
      <c r="H889" t="s">
        <v>47126</v>
      </c>
      <c r="I889" t="s">
        <v>47127</v>
      </c>
      <c r="J889" t="s">
        <v>47128</v>
      </c>
      <c r="K889" t="s">
        <v>47113</v>
      </c>
      <c r="L889">
        <v>19.77</v>
      </c>
      <c r="M889">
        <v>46</v>
      </c>
      <c r="N889">
        <v>0</v>
      </c>
      <c r="O889">
        <v>46</v>
      </c>
      <c r="P889">
        <v>0</v>
      </c>
    </row>
    <row r="890" spans="1:16" x14ac:dyDescent="0.25">
      <c r="A890" t="s">
        <v>23397</v>
      </c>
      <c r="B890" t="s">
        <v>2134</v>
      </c>
      <c r="C890" t="s">
        <v>2135</v>
      </c>
      <c r="D890" t="str">
        <f>"4643"</f>
        <v>4643</v>
      </c>
      <c r="E890" t="s">
        <v>205</v>
      </c>
      <c r="F890" t="s">
        <v>5</v>
      </c>
      <c r="G890" t="s">
        <v>47094</v>
      </c>
      <c r="H890" t="s">
        <v>47126</v>
      </c>
      <c r="I890" t="s">
        <v>47127</v>
      </c>
      <c r="J890" t="s">
        <v>47128</v>
      </c>
      <c r="K890" t="s">
        <v>47113</v>
      </c>
      <c r="L890">
        <v>19.77</v>
      </c>
      <c r="M890">
        <v>46</v>
      </c>
      <c r="N890">
        <v>0</v>
      </c>
      <c r="O890">
        <v>46</v>
      </c>
      <c r="P890">
        <v>0</v>
      </c>
    </row>
    <row r="891" spans="1:16" x14ac:dyDescent="0.25">
      <c r="A891" t="s">
        <v>23398</v>
      </c>
      <c r="B891" t="s">
        <v>2134</v>
      </c>
      <c r="C891" t="s">
        <v>2135</v>
      </c>
      <c r="D891" t="str">
        <f>"5342"</f>
        <v>5342</v>
      </c>
      <c r="E891" t="s">
        <v>77</v>
      </c>
      <c r="F891" t="s">
        <v>5</v>
      </c>
      <c r="G891" t="s">
        <v>47094</v>
      </c>
      <c r="H891" t="s">
        <v>47126</v>
      </c>
      <c r="I891" t="s">
        <v>47127</v>
      </c>
      <c r="J891" t="s">
        <v>47128</v>
      </c>
      <c r="K891" t="s">
        <v>47113</v>
      </c>
      <c r="L891">
        <v>19.77</v>
      </c>
      <c r="M891">
        <v>46</v>
      </c>
      <c r="N891">
        <v>0</v>
      </c>
      <c r="O891">
        <v>46</v>
      </c>
      <c r="P891">
        <v>0</v>
      </c>
    </row>
    <row r="892" spans="1:16" x14ac:dyDescent="0.25">
      <c r="A892" t="s">
        <v>23399</v>
      </c>
      <c r="B892" t="s">
        <v>2136</v>
      </c>
      <c r="C892" t="s">
        <v>2137</v>
      </c>
      <c r="D892" t="str">
        <f>"1001"</f>
        <v>1001</v>
      </c>
      <c r="E892" t="s">
        <v>42</v>
      </c>
      <c r="F892" t="s">
        <v>5</v>
      </c>
      <c r="G892" t="s">
        <v>47096</v>
      </c>
      <c r="I892" t="s">
        <v>47127</v>
      </c>
      <c r="J892" t="s">
        <v>47128</v>
      </c>
      <c r="K892" t="s">
        <v>47113</v>
      </c>
      <c r="L892">
        <v>21.27</v>
      </c>
      <c r="M892">
        <v>49</v>
      </c>
      <c r="N892">
        <v>0</v>
      </c>
      <c r="O892">
        <v>49</v>
      </c>
      <c r="P892">
        <v>0</v>
      </c>
    </row>
    <row r="893" spans="1:16" x14ac:dyDescent="0.25">
      <c r="A893" t="s">
        <v>23400</v>
      </c>
      <c r="B893" t="s">
        <v>2136</v>
      </c>
      <c r="C893" t="s">
        <v>2137</v>
      </c>
      <c r="D893" t="str">
        <f>"2166"</f>
        <v>2166</v>
      </c>
      <c r="E893" t="s">
        <v>80</v>
      </c>
      <c r="F893" t="s">
        <v>5</v>
      </c>
      <c r="G893" t="s">
        <v>47096</v>
      </c>
      <c r="I893" t="s">
        <v>47127</v>
      </c>
      <c r="J893" t="s">
        <v>47128</v>
      </c>
      <c r="K893" t="s">
        <v>47113</v>
      </c>
      <c r="L893">
        <v>21.27</v>
      </c>
      <c r="M893">
        <v>49</v>
      </c>
      <c r="N893">
        <v>0</v>
      </c>
      <c r="O893">
        <v>49</v>
      </c>
      <c r="P893">
        <v>0</v>
      </c>
    </row>
    <row r="894" spans="1:16" x14ac:dyDescent="0.25">
      <c r="A894" t="s">
        <v>23401</v>
      </c>
      <c r="B894" t="s">
        <v>2136</v>
      </c>
      <c r="C894" t="s">
        <v>2137</v>
      </c>
      <c r="D894" t="str">
        <f>"3449"</f>
        <v>3449</v>
      </c>
      <c r="E894" t="s">
        <v>90</v>
      </c>
      <c r="F894" t="s">
        <v>5</v>
      </c>
      <c r="G894" t="s">
        <v>47096</v>
      </c>
      <c r="I894" t="s">
        <v>47127</v>
      </c>
      <c r="J894" t="s">
        <v>47128</v>
      </c>
      <c r="K894" t="s">
        <v>47113</v>
      </c>
      <c r="L894">
        <v>21.27</v>
      </c>
      <c r="M894">
        <v>49</v>
      </c>
      <c r="N894">
        <v>0</v>
      </c>
      <c r="O894">
        <v>49</v>
      </c>
      <c r="P894">
        <v>0</v>
      </c>
    </row>
    <row r="895" spans="1:16" x14ac:dyDescent="0.25">
      <c r="A895" t="s">
        <v>23402</v>
      </c>
      <c r="B895" t="s">
        <v>2136</v>
      </c>
      <c r="C895" t="s">
        <v>2137</v>
      </c>
      <c r="D895" t="str">
        <f>"4348"</f>
        <v>4348</v>
      </c>
      <c r="E895" t="s">
        <v>91</v>
      </c>
      <c r="F895" t="s">
        <v>5</v>
      </c>
      <c r="G895" t="s">
        <v>47096</v>
      </c>
      <c r="I895" t="s">
        <v>47127</v>
      </c>
      <c r="J895" t="s">
        <v>47128</v>
      </c>
      <c r="K895" t="s">
        <v>47113</v>
      </c>
      <c r="L895">
        <v>21.27</v>
      </c>
      <c r="M895">
        <v>49</v>
      </c>
      <c r="N895">
        <v>0</v>
      </c>
      <c r="O895">
        <v>49</v>
      </c>
      <c r="P895">
        <v>0</v>
      </c>
    </row>
    <row r="896" spans="1:16" x14ac:dyDescent="0.25">
      <c r="A896" t="s">
        <v>23403</v>
      </c>
      <c r="B896" t="s">
        <v>94</v>
      </c>
      <c r="C896" t="s">
        <v>95</v>
      </c>
      <c r="D896" t="str">
        <f>"1001"</f>
        <v>1001</v>
      </c>
      <c r="E896" t="s">
        <v>42</v>
      </c>
      <c r="F896" t="s">
        <v>5</v>
      </c>
      <c r="G896" t="s">
        <v>47095</v>
      </c>
      <c r="H896" t="s">
        <v>47126</v>
      </c>
      <c r="I896" t="s">
        <v>47127</v>
      </c>
      <c r="J896" t="s">
        <v>47128</v>
      </c>
      <c r="K896" t="s">
        <v>47113</v>
      </c>
      <c r="L896">
        <v>21.27</v>
      </c>
      <c r="M896">
        <v>49</v>
      </c>
      <c r="N896">
        <v>0</v>
      </c>
      <c r="O896">
        <v>49</v>
      </c>
      <c r="P896">
        <v>0</v>
      </c>
    </row>
    <row r="897" spans="1:16" x14ac:dyDescent="0.25">
      <c r="A897" t="s">
        <v>14730</v>
      </c>
      <c r="B897" t="s">
        <v>94</v>
      </c>
      <c r="C897" t="s">
        <v>95</v>
      </c>
      <c r="D897" t="str">
        <f>"1299"</f>
        <v>1299</v>
      </c>
      <c r="E897" t="s">
        <v>73</v>
      </c>
      <c r="F897" t="s">
        <v>5</v>
      </c>
      <c r="G897" t="s">
        <v>47095</v>
      </c>
      <c r="H897" t="s">
        <v>47126</v>
      </c>
      <c r="I897" t="s">
        <v>47127</v>
      </c>
      <c r="J897" t="s">
        <v>47128</v>
      </c>
      <c r="K897" t="s">
        <v>47113</v>
      </c>
      <c r="L897">
        <v>21.27</v>
      </c>
      <c r="M897">
        <v>49</v>
      </c>
      <c r="N897">
        <v>0</v>
      </c>
      <c r="O897">
        <v>49</v>
      </c>
      <c r="P897">
        <v>0</v>
      </c>
    </row>
    <row r="898" spans="1:16" x14ac:dyDescent="0.25">
      <c r="A898" t="s">
        <v>14731</v>
      </c>
      <c r="B898" t="s">
        <v>94</v>
      </c>
      <c r="C898" t="s">
        <v>95</v>
      </c>
      <c r="D898" t="str">
        <f>"1377"</f>
        <v>1377</v>
      </c>
      <c r="E898" t="s">
        <v>74</v>
      </c>
      <c r="F898" t="s">
        <v>5</v>
      </c>
      <c r="G898" t="s">
        <v>47095</v>
      </c>
      <c r="H898" t="s">
        <v>47126</v>
      </c>
      <c r="I898" t="s">
        <v>47127</v>
      </c>
      <c r="J898" t="s">
        <v>47128</v>
      </c>
      <c r="K898" t="s">
        <v>47113</v>
      </c>
      <c r="L898">
        <v>21.27</v>
      </c>
      <c r="M898">
        <v>49</v>
      </c>
      <c r="N898">
        <v>0</v>
      </c>
      <c r="O898">
        <v>49</v>
      </c>
      <c r="P898">
        <v>0</v>
      </c>
    </row>
    <row r="899" spans="1:16" x14ac:dyDescent="0.25">
      <c r="A899" t="s">
        <v>23404</v>
      </c>
      <c r="B899" t="s">
        <v>94</v>
      </c>
      <c r="C899" t="s">
        <v>95</v>
      </c>
      <c r="D899" t="str">
        <f>"2166"</f>
        <v>2166</v>
      </c>
      <c r="E899" t="s">
        <v>80</v>
      </c>
      <c r="F899" t="s">
        <v>5</v>
      </c>
      <c r="G899" t="s">
        <v>47095</v>
      </c>
      <c r="H899" t="s">
        <v>47126</v>
      </c>
      <c r="I899" t="s">
        <v>47127</v>
      </c>
      <c r="J899" t="s">
        <v>47128</v>
      </c>
      <c r="K899" t="s">
        <v>47113</v>
      </c>
      <c r="L899">
        <v>21.27</v>
      </c>
      <c r="M899">
        <v>49</v>
      </c>
      <c r="N899">
        <v>0</v>
      </c>
      <c r="O899">
        <v>49</v>
      </c>
      <c r="P899">
        <v>0</v>
      </c>
    </row>
    <row r="900" spans="1:16" x14ac:dyDescent="0.25">
      <c r="A900" t="s">
        <v>23405</v>
      </c>
      <c r="B900" t="s">
        <v>94</v>
      </c>
      <c r="C900" t="s">
        <v>95</v>
      </c>
      <c r="D900" t="str">
        <f>"3449"</f>
        <v>3449</v>
      </c>
      <c r="E900" t="s">
        <v>90</v>
      </c>
      <c r="F900" t="s">
        <v>5</v>
      </c>
      <c r="G900" t="s">
        <v>47095</v>
      </c>
      <c r="H900" t="s">
        <v>47126</v>
      </c>
      <c r="I900" t="s">
        <v>47127</v>
      </c>
      <c r="J900" t="s">
        <v>47128</v>
      </c>
      <c r="K900" t="s">
        <v>47113</v>
      </c>
      <c r="L900">
        <v>21.27</v>
      </c>
      <c r="M900">
        <v>49</v>
      </c>
      <c r="N900">
        <v>0</v>
      </c>
      <c r="O900">
        <v>49</v>
      </c>
      <c r="P900">
        <v>0</v>
      </c>
    </row>
    <row r="901" spans="1:16" x14ac:dyDescent="0.25">
      <c r="A901" t="s">
        <v>14732</v>
      </c>
      <c r="B901" t="s">
        <v>94</v>
      </c>
      <c r="C901" t="s">
        <v>95</v>
      </c>
      <c r="D901" t="str">
        <f>"4348"</f>
        <v>4348</v>
      </c>
      <c r="E901" t="s">
        <v>91</v>
      </c>
      <c r="F901" t="s">
        <v>5</v>
      </c>
      <c r="G901" t="s">
        <v>47095</v>
      </c>
      <c r="H901" t="s">
        <v>47126</v>
      </c>
      <c r="I901" t="s">
        <v>47127</v>
      </c>
      <c r="J901" t="s">
        <v>47128</v>
      </c>
      <c r="K901" t="s">
        <v>47113</v>
      </c>
      <c r="L901">
        <v>21.27</v>
      </c>
      <c r="M901">
        <v>49</v>
      </c>
      <c r="N901">
        <v>0</v>
      </c>
      <c r="O901">
        <v>49</v>
      </c>
      <c r="P901">
        <v>0</v>
      </c>
    </row>
    <row r="902" spans="1:16" x14ac:dyDescent="0.25">
      <c r="A902" t="s">
        <v>23406</v>
      </c>
      <c r="B902" t="s">
        <v>94</v>
      </c>
      <c r="C902" t="s">
        <v>95</v>
      </c>
      <c r="D902" t="str">
        <f>"4643"</f>
        <v>4643</v>
      </c>
      <c r="E902" t="s">
        <v>205</v>
      </c>
      <c r="F902" t="s">
        <v>5</v>
      </c>
      <c r="G902" t="s">
        <v>47095</v>
      </c>
      <c r="H902" t="s">
        <v>47126</v>
      </c>
      <c r="I902" t="s">
        <v>47127</v>
      </c>
      <c r="J902" t="s">
        <v>47128</v>
      </c>
      <c r="K902" t="s">
        <v>47113</v>
      </c>
      <c r="L902">
        <v>21.27</v>
      </c>
      <c r="M902">
        <v>49</v>
      </c>
      <c r="N902">
        <v>0</v>
      </c>
      <c r="O902">
        <v>49</v>
      </c>
      <c r="P902">
        <v>0</v>
      </c>
    </row>
    <row r="903" spans="1:16" x14ac:dyDescent="0.25">
      <c r="A903" t="s">
        <v>23407</v>
      </c>
      <c r="B903" t="s">
        <v>94</v>
      </c>
      <c r="C903" t="s">
        <v>95</v>
      </c>
      <c r="D903" t="str">
        <f>"5342"</f>
        <v>5342</v>
      </c>
      <c r="E903" t="s">
        <v>77</v>
      </c>
      <c r="F903" t="s">
        <v>5</v>
      </c>
      <c r="G903" t="s">
        <v>47095</v>
      </c>
      <c r="H903" t="s">
        <v>47126</v>
      </c>
      <c r="I903" t="s">
        <v>47127</v>
      </c>
      <c r="J903" t="s">
        <v>47128</v>
      </c>
      <c r="K903" t="s">
        <v>47113</v>
      </c>
      <c r="L903">
        <v>21.27</v>
      </c>
      <c r="M903">
        <v>49</v>
      </c>
      <c r="N903">
        <v>0</v>
      </c>
      <c r="O903">
        <v>49</v>
      </c>
      <c r="P903">
        <v>0</v>
      </c>
    </row>
    <row r="904" spans="1:16" x14ac:dyDescent="0.25">
      <c r="A904" t="s">
        <v>23408</v>
      </c>
      <c r="B904" t="s">
        <v>94</v>
      </c>
      <c r="C904" t="s">
        <v>95</v>
      </c>
      <c r="D904" t="str">
        <f>"6064"</f>
        <v>6064</v>
      </c>
      <c r="E904" t="s">
        <v>87</v>
      </c>
      <c r="F904" t="s">
        <v>5</v>
      </c>
      <c r="G904" t="s">
        <v>47095</v>
      </c>
      <c r="H904" t="s">
        <v>47126</v>
      </c>
      <c r="I904" t="s">
        <v>47127</v>
      </c>
      <c r="J904" t="s">
        <v>47128</v>
      </c>
      <c r="K904" t="s">
        <v>47113</v>
      </c>
      <c r="L904">
        <v>21.27</v>
      </c>
      <c r="M904">
        <v>49</v>
      </c>
      <c r="N904">
        <v>0</v>
      </c>
      <c r="O904">
        <v>49</v>
      </c>
      <c r="P904">
        <v>0</v>
      </c>
    </row>
    <row r="905" spans="1:16" x14ac:dyDescent="0.25">
      <c r="A905" t="s">
        <v>23409</v>
      </c>
      <c r="B905" t="s">
        <v>2138</v>
      </c>
      <c r="C905" t="s">
        <v>97</v>
      </c>
      <c r="D905" t="str">
        <f>"1001"</f>
        <v>1001</v>
      </c>
      <c r="E905" t="s">
        <v>42</v>
      </c>
      <c r="F905" t="s">
        <v>5</v>
      </c>
      <c r="G905" t="s">
        <v>47098</v>
      </c>
      <c r="H905" t="s">
        <v>47126</v>
      </c>
      <c r="I905" t="s">
        <v>47127</v>
      </c>
      <c r="J905" t="s">
        <v>47128</v>
      </c>
      <c r="K905" t="s">
        <v>47113</v>
      </c>
      <c r="L905">
        <v>34.380000000000003</v>
      </c>
      <c r="M905">
        <v>80</v>
      </c>
      <c r="N905">
        <v>0</v>
      </c>
      <c r="O905">
        <v>80</v>
      </c>
      <c r="P905">
        <v>0</v>
      </c>
    </row>
    <row r="906" spans="1:16" x14ac:dyDescent="0.25">
      <c r="A906" t="s">
        <v>23410</v>
      </c>
      <c r="B906" t="s">
        <v>2138</v>
      </c>
      <c r="C906" t="s">
        <v>97</v>
      </c>
      <c r="D906" t="str">
        <f>"2166"</f>
        <v>2166</v>
      </c>
      <c r="E906" t="s">
        <v>80</v>
      </c>
      <c r="F906" t="s">
        <v>5</v>
      </c>
      <c r="G906" t="s">
        <v>47098</v>
      </c>
      <c r="H906" t="s">
        <v>47126</v>
      </c>
      <c r="I906" t="s">
        <v>47127</v>
      </c>
      <c r="J906" t="s">
        <v>47128</v>
      </c>
      <c r="K906" t="s">
        <v>47113</v>
      </c>
      <c r="L906">
        <v>34.380000000000003</v>
      </c>
      <c r="M906">
        <v>80</v>
      </c>
      <c r="N906">
        <v>0</v>
      </c>
      <c r="O906">
        <v>80</v>
      </c>
      <c r="P906">
        <v>0</v>
      </c>
    </row>
    <row r="907" spans="1:16" x14ac:dyDescent="0.25">
      <c r="A907" t="s">
        <v>23411</v>
      </c>
      <c r="B907" t="s">
        <v>2138</v>
      </c>
      <c r="C907" t="s">
        <v>97</v>
      </c>
      <c r="D907" t="str">
        <f>"3449"</f>
        <v>3449</v>
      </c>
      <c r="E907" t="s">
        <v>90</v>
      </c>
      <c r="F907" t="s">
        <v>5</v>
      </c>
      <c r="G907" t="s">
        <v>47098</v>
      </c>
      <c r="H907" t="s">
        <v>47126</v>
      </c>
      <c r="I907" t="s">
        <v>47127</v>
      </c>
      <c r="J907" t="s">
        <v>47128</v>
      </c>
      <c r="K907" t="s">
        <v>47113</v>
      </c>
      <c r="L907">
        <v>34.380000000000003</v>
      </c>
      <c r="M907">
        <v>80</v>
      </c>
      <c r="N907">
        <v>0</v>
      </c>
      <c r="O907">
        <v>80</v>
      </c>
      <c r="P907">
        <v>0</v>
      </c>
    </row>
    <row r="908" spans="1:16" x14ac:dyDescent="0.25">
      <c r="A908" t="s">
        <v>23412</v>
      </c>
      <c r="B908" t="s">
        <v>2138</v>
      </c>
      <c r="C908" t="s">
        <v>97</v>
      </c>
      <c r="D908" t="str">
        <f>"4348"</f>
        <v>4348</v>
      </c>
      <c r="E908" t="s">
        <v>91</v>
      </c>
      <c r="F908" t="s">
        <v>5</v>
      </c>
      <c r="G908" t="s">
        <v>47098</v>
      </c>
      <c r="H908" t="s">
        <v>47126</v>
      </c>
      <c r="I908" t="s">
        <v>47127</v>
      </c>
      <c r="J908" t="s">
        <v>47128</v>
      </c>
      <c r="K908" t="s">
        <v>47113</v>
      </c>
      <c r="L908">
        <v>34.380000000000003</v>
      </c>
      <c r="M908">
        <v>80</v>
      </c>
      <c r="N908">
        <v>0</v>
      </c>
      <c r="O908">
        <v>80</v>
      </c>
      <c r="P908">
        <v>0</v>
      </c>
    </row>
    <row r="909" spans="1:16" x14ac:dyDescent="0.25">
      <c r="A909" t="s">
        <v>23413</v>
      </c>
      <c r="B909" t="s">
        <v>96</v>
      </c>
      <c r="C909" t="s">
        <v>97</v>
      </c>
      <c r="D909" t="str">
        <f>"1001"</f>
        <v>1001</v>
      </c>
      <c r="E909" t="s">
        <v>42</v>
      </c>
      <c r="F909" t="s">
        <v>5</v>
      </c>
      <c r="G909" t="s">
        <v>47098</v>
      </c>
      <c r="H909" t="s">
        <v>47126</v>
      </c>
      <c r="I909" t="s">
        <v>47127</v>
      </c>
      <c r="J909" t="s">
        <v>47128</v>
      </c>
      <c r="K909" t="s">
        <v>47113</v>
      </c>
      <c r="L909">
        <v>36.22</v>
      </c>
      <c r="M909">
        <v>84</v>
      </c>
      <c r="N909">
        <v>0</v>
      </c>
      <c r="O909">
        <v>84</v>
      </c>
      <c r="P909">
        <v>0</v>
      </c>
    </row>
    <row r="910" spans="1:16" x14ac:dyDescent="0.25">
      <c r="A910" t="s">
        <v>23414</v>
      </c>
      <c r="B910" t="s">
        <v>96</v>
      </c>
      <c r="C910" t="s">
        <v>97</v>
      </c>
      <c r="D910" t="str">
        <f>"1299"</f>
        <v>1299</v>
      </c>
      <c r="E910" t="s">
        <v>73</v>
      </c>
      <c r="F910" t="s">
        <v>5</v>
      </c>
      <c r="G910" t="s">
        <v>47098</v>
      </c>
      <c r="H910" t="s">
        <v>47126</v>
      </c>
      <c r="I910" t="s">
        <v>47127</v>
      </c>
      <c r="J910" t="s">
        <v>47128</v>
      </c>
      <c r="K910" t="s">
        <v>47113</v>
      </c>
      <c r="L910">
        <v>36.22</v>
      </c>
      <c r="M910">
        <v>84</v>
      </c>
      <c r="N910">
        <v>0</v>
      </c>
      <c r="O910">
        <v>84</v>
      </c>
      <c r="P910">
        <v>0</v>
      </c>
    </row>
    <row r="911" spans="1:16" x14ac:dyDescent="0.25">
      <c r="A911" t="s">
        <v>23415</v>
      </c>
      <c r="B911" t="s">
        <v>96</v>
      </c>
      <c r="C911" t="s">
        <v>97</v>
      </c>
      <c r="D911" t="str">
        <f>"1377"</f>
        <v>1377</v>
      </c>
      <c r="E911" t="s">
        <v>74</v>
      </c>
      <c r="F911" t="s">
        <v>5</v>
      </c>
      <c r="G911" t="s">
        <v>47098</v>
      </c>
      <c r="H911" t="s">
        <v>47126</v>
      </c>
      <c r="I911" t="s">
        <v>47127</v>
      </c>
      <c r="J911" t="s">
        <v>47128</v>
      </c>
      <c r="K911" t="s">
        <v>47113</v>
      </c>
      <c r="L911">
        <v>36.22</v>
      </c>
      <c r="M911">
        <v>84</v>
      </c>
      <c r="N911">
        <v>0</v>
      </c>
      <c r="O911">
        <v>84</v>
      </c>
      <c r="P911">
        <v>0</v>
      </c>
    </row>
    <row r="912" spans="1:16" x14ac:dyDescent="0.25">
      <c r="A912" t="s">
        <v>14733</v>
      </c>
      <c r="B912" t="s">
        <v>96</v>
      </c>
      <c r="C912" t="s">
        <v>97</v>
      </c>
      <c r="D912" t="str">
        <f>"2166"</f>
        <v>2166</v>
      </c>
      <c r="E912" t="s">
        <v>80</v>
      </c>
      <c r="F912" t="s">
        <v>5</v>
      </c>
      <c r="G912" t="s">
        <v>47098</v>
      </c>
      <c r="H912" t="s">
        <v>47126</v>
      </c>
      <c r="I912" t="s">
        <v>47127</v>
      </c>
      <c r="J912" t="s">
        <v>47128</v>
      </c>
      <c r="K912" t="s">
        <v>47113</v>
      </c>
      <c r="L912">
        <v>36.22</v>
      </c>
      <c r="M912">
        <v>84</v>
      </c>
      <c r="N912">
        <v>0</v>
      </c>
      <c r="O912">
        <v>84</v>
      </c>
      <c r="P912">
        <v>0</v>
      </c>
    </row>
    <row r="913" spans="1:16" x14ac:dyDescent="0.25">
      <c r="A913" t="s">
        <v>23416</v>
      </c>
      <c r="B913" t="s">
        <v>96</v>
      </c>
      <c r="C913" t="s">
        <v>97</v>
      </c>
      <c r="D913" t="str">
        <f>"3449"</f>
        <v>3449</v>
      </c>
      <c r="E913" t="s">
        <v>90</v>
      </c>
      <c r="F913" t="s">
        <v>5</v>
      </c>
      <c r="G913" t="s">
        <v>47098</v>
      </c>
      <c r="H913" t="s">
        <v>47126</v>
      </c>
      <c r="I913" t="s">
        <v>47127</v>
      </c>
      <c r="J913" t="s">
        <v>47128</v>
      </c>
      <c r="K913" t="s">
        <v>47113</v>
      </c>
      <c r="L913">
        <v>36.22</v>
      </c>
      <c r="M913">
        <v>84</v>
      </c>
      <c r="N913">
        <v>0</v>
      </c>
      <c r="O913">
        <v>84</v>
      </c>
      <c r="P913">
        <v>0</v>
      </c>
    </row>
    <row r="914" spans="1:16" x14ac:dyDescent="0.25">
      <c r="A914" t="s">
        <v>23417</v>
      </c>
      <c r="B914" t="s">
        <v>96</v>
      </c>
      <c r="C914" t="s">
        <v>97</v>
      </c>
      <c r="D914" t="str">
        <f>"4348"</f>
        <v>4348</v>
      </c>
      <c r="E914" t="s">
        <v>91</v>
      </c>
      <c r="F914" t="s">
        <v>5</v>
      </c>
      <c r="G914" t="s">
        <v>47098</v>
      </c>
      <c r="H914" t="s">
        <v>47126</v>
      </c>
      <c r="I914" t="s">
        <v>47127</v>
      </c>
      <c r="J914" t="s">
        <v>47128</v>
      </c>
      <c r="K914" t="s">
        <v>47113</v>
      </c>
      <c r="L914">
        <v>36.22</v>
      </c>
      <c r="M914">
        <v>84</v>
      </c>
      <c r="N914">
        <v>0</v>
      </c>
      <c r="O914">
        <v>84</v>
      </c>
      <c r="P914">
        <v>0</v>
      </c>
    </row>
    <row r="915" spans="1:16" x14ac:dyDescent="0.25">
      <c r="A915" t="s">
        <v>23418</v>
      </c>
      <c r="B915" t="s">
        <v>96</v>
      </c>
      <c r="C915" t="s">
        <v>97</v>
      </c>
      <c r="D915" t="str">
        <f>"5342"</f>
        <v>5342</v>
      </c>
      <c r="E915" t="s">
        <v>77</v>
      </c>
      <c r="F915" t="s">
        <v>5</v>
      </c>
      <c r="G915" t="s">
        <v>47098</v>
      </c>
      <c r="H915" t="s">
        <v>47126</v>
      </c>
      <c r="I915" t="s">
        <v>47127</v>
      </c>
      <c r="J915" t="s">
        <v>47128</v>
      </c>
      <c r="K915" t="s">
        <v>47113</v>
      </c>
      <c r="L915">
        <v>36.22</v>
      </c>
      <c r="M915">
        <v>84</v>
      </c>
      <c r="N915">
        <v>0</v>
      </c>
      <c r="O915">
        <v>84</v>
      </c>
      <c r="P915">
        <v>0</v>
      </c>
    </row>
    <row r="916" spans="1:16" x14ac:dyDescent="0.25">
      <c r="A916" t="s">
        <v>23419</v>
      </c>
      <c r="B916" t="s">
        <v>98</v>
      </c>
      <c r="C916" t="s">
        <v>99</v>
      </c>
      <c r="D916" t="str">
        <f>"1001"</f>
        <v>1001</v>
      </c>
      <c r="E916" t="s">
        <v>42</v>
      </c>
      <c r="F916" t="s">
        <v>5</v>
      </c>
      <c r="G916" t="s">
        <v>47094</v>
      </c>
      <c r="H916" t="s">
        <v>47126</v>
      </c>
      <c r="I916" t="s">
        <v>47127</v>
      </c>
      <c r="J916" t="s">
        <v>47128</v>
      </c>
      <c r="K916" t="s">
        <v>47113</v>
      </c>
      <c r="L916">
        <v>30.12</v>
      </c>
      <c r="M916">
        <v>71</v>
      </c>
      <c r="N916">
        <v>0</v>
      </c>
      <c r="O916">
        <v>71</v>
      </c>
      <c r="P916">
        <v>0</v>
      </c>
    </row>
    <row r="917" spans="1:16" x14ac:dyDescent="0.25">
      <c r="A917" t="s">
        <v>14734</v>
      </c>
      <c r="B917" t="s">
        <v>98</v>
      </c>
      <c r="C917" t="s">
        <v>99</v>
      </c>
      <c r="D917" t="str">
        <f>"1278"</f>
        <v>1278</v>
      </c>
      <c r="E917" t="s">
        <v>100</v>
      </c>
      <c r="F917" t="s">
        <v>5</v>
      </c>
      <c r="G917" t="s">
        <v>47094</v>
      </c>
      <c r="H917" t="s">
        <v>47126</v>
      </c>
      <c r="I917" t="s">
        <v>47127</v>
      </c>
      <c r="J917" t="s">
        <v>47128</v>
      </c>
      <c r="K917" t="s">
        <v>47113</v>
      </c>
      <c r="L917">
        <v>30.12</v>
      </c>
      <c r="M917">
        <v>71</v>
      </c>
      <c r="N917">
        <v>0</v>
      </c>
      <c r="O917">
        <v>71</v>
      </c>
      <c r="P917">
        <v>0</v>
      </c>
    </row>
    <row r="918" spans="1:16" x14ac:dyDescent="0.25">
      <c r="A918" t="s">
        <v>23420</v>
      </c>
      <c r="B918" t="s">
        <v>98</v>
      </c>
      <c r="C918" t="s">
        <v>99</v>
      </c>
      <c r="D918" t="str">
        <f>"3449"</f>
        <v>3449</v>
      </c>
      <c r="E918" t="s">
        <v>90</v>
      </c>
      <c r="F918" t="s">
        <v>5</v>
      </c>
      <c r="G918" t="s">
        <v>47094</v>
      </c>
      <c r="H918" t="s">
        <v>47126</v>
      </c>
      <c r="I918" t="s">
        <v>47127</v>
      </c>
      <c r="J918" t="s">
        <v>47128</v>
      </c>
      <c r="K918" t="s">
        <v>47113</v>
      </c>
      <c r="L918">
        <v>30.12</v>
      </c>
      <c r="M918">
        <v>71</v>
      </c>
      <c r="N918">
        <v>0</v>
      </c>
      <c r="O918">
        <v>71</v>
      </c>
      <c r="P918">
        <v>0</v>
      </c>
    </row>
    <row r="919" spans="1:16" x14ac:dyDescent="0.25">
      <c r="A919" t="s">
        <v>23421</v>
      </c>
      <c r="B919" t="s">
        <v>98</v>
      </c>
      <c r="C919" t="s">
        <v>99</v>
      </c>
      <c r="D919" t="str">
        <f>"4643"</f>
        <v>4643</v>
      </c>
      <c r="E919" t="s">
        <v>205</v>
      </c>
      <c r="F919" t="s">
        <v>5</v>
      </c>
      <c r="G919" t="s">
        <v>47094</v>
      </c>
      <c r="H919" t="s">
        <v>47126</v>
      </c>
      <c r="I919" t="s">
        <v>47127</v>
      </c>
      <c r="J919" t="s">
        <v>47128</v>
      </c>
      <c r="K919" t="s">
        <v>47113</v>
      </c>
      <c r="L919">
        <v>32.15</v>
      </c>
      <c r="M919">
        <v>71</v>
      </c>
      <c r="N919">
        <v>0</v>
      </c>
      <c r="O919">
        <v>71</v>
      </c>
      <c r="P919">
        <v>0</v>
      </c>
    </row>
    <row r="920" spans="1:16" x14ac:dyDescent="0.25">
      <c r="A920" t="s">
        <v>23422</v>
      </c>
      <c r="B920" t="s">
        <v>98</v>
      </c>
      <c r="C920" t="s">
        <v>99</v>
      </c>
      <c r="D920" t="str">
        <f>"5342"</f>
        <v>5342</v>
      </c>
      <c r="E920" t="s">
        <v>77</v>
      </c>
      <c r="F920" t="s">
        <v>5</v>
      </c>
      <c r="G920" t="s">
        <v>47094</v>
      </c>
      <c r="H920" t="s">
        <v>47126</v>
      </c>
      <c r="I920" t="s">
        <v>47127</v>
      </c>
      <c r="J920" t="s">
        <v>47128</v>
      </c>
      <c r="K920" t="s">
        <v>47113</v>
      </c>
      <c r="L920">
        <v>30.12</v>
      </c>
      <c r="M920">
        <v>70</v>
      </c>
      <c r="N920">
        <v>0</v>
      </c>
      <c r="O920">
        <v>70</v>
      </c>
      <c r="P920">
        <v>0</v>
      </c>
    </row>
    <row r="921" spans="1:16" x14ac:dyDescent="0.25">
      <c r="A921" t="s">
        <v>23423</v>
      </c>
      <c r="B921" t="s">
        <v>101</v>
      </c>
      <c r="C921" t="s">
        <v>102</v>
      </c>
      <c r="D921" t="str">
        <f>"1001"</f>
        <v>1001</v>
      </c>
      <c r="E921" t="s">
        <v>42</v>
      </c>
      <c r="F921" t="s">
        <v>5</v>
      </c>
      <c r="G921" t="s">
        <v>47094</v>
      </c>
      <c r="H921" t="s">
        <v>47126</v>
      </c>
      <c r="I921" t="s">
        <v>47127</v>
      </c>
      <c r="J921" t="s">
        <v>47128</v>
      </c>
      <c r="K921" t="s">
        <v>47113</v>
      </c>
      <c r="L921">
        <v>33.92</v>
      </c>
      <c r="M921">
        <v>79</v>
      </c>
      <c r="N921">
        <v>0</v>
      </c>
      <c r="O921">
        <v>79</v>
      </c>
      <c r="P921">
        <v>0</v>
      </c>
    </row>
    <row r="922" spans="1:16" x14ac:dyDescent="0.25">
      <c r="A922" t="s">
        <v>23424</v>
      </c>
      <c r="B922" t="s">
        <v>101</v>
      </c>
      <c r="C922" t="s">
        <v>102</v>
      </c>
      <c r="D922" t="str">
        <f>"1278"</f>
        <v>1278</v>
      </c>
      <c r="E922" t="s">
        <v>100</v>
      </c>
      <c r="F922" t="s">
        <v>5</v>
      </c>
      <c r="G922" t="s">
        <v>47094</v>
      </c>
      <c r="H922" t="s">
        <v>47126</v>
      </c>
      <c r="I922" t="s">
        <v>47127</v>
      </c>
      <c r="J922" t="s">
        <v>47128</v>
      </c>
      <c r="K922" t="s">
        <v>47113</v>
      </c>
      <c r="L922">
        <v>33.92</v>
      </c>
      <c r="M922">
        <v>79</v>
      </c>
      <c r="N922">
        <v>0</v>
      </c>
      <c r="O922">
        <v>79</v>
      </c>
      <c r="P922">
        <v>0</v>
      </c>
    </row>
    <row r="923" spans="1:16" x14ac:dyDescent="0.25">
      <c r="A923" t="s">
        <v>23425</v>
      </c>
      <c r="B923" t="s">
        <v>101</v>
      </c>
      <c r="C923" t="s">
        <v>102</v>
      </c>
      <c r="D923" t="str">
        <f>"1299"</f>
        <v>1299</v>
      </c>
      <c r="E923" t="s">
        <v>73</v>
      </c>
      <c r="F923" t="s">
        <v>5</v>
      </c>
      <c r="G923" t="s">
        <v>47094</v>
      </c>
      <c r="H923" t="s">
        <v>47126</v>
      </c>
      <c r="I923" t="s">
        <v>47127</v>
      </c>
      <c r="J923" t="s">
        <v>47128</v>
      </c>
      <c r="K923" t="s">
        <v>47113</v>
      </c>
      <c r="L923">
        <v>33.92</v>
      </c>
      <c r="M923">
        <v>79</v>
      </c>
      <c r="N923">
        <v>0</v>
      </c>
      <c r="O923">
        <v>79</v>
      </c>
      <c r="P923">
        <v>0</v>
      </c>
    </row>
    <row r="924" spans="1:16" x14ac:dyDescent="0.25">
      <c r="A924" t="s">
        <v>23426</v>
      </c>
      <c r="B924" t="s">
        <v>101</v>
      </c>
      <c r="C924" t="s">
        <v>102</v>
      </c>
      <c r="D924" t="str">
        <f>"3449"</f>
        <v>3449</v>
      </c>
      <c r="E924" t="s">
        <v>90</v>
      </c>
      <c r="F924" t="s">
        <v>5</v>
      </c>
      <c r="G924" t="s">
        <v>47094</v>
      </c>
      <c r="H924" t="s">
        <v>47126</v>
      </c>
      <c r="I924" t="s">
        <v>47127</v>
      </c>
      <c r="J924" t="s">
        <v>47128</v>
      </c>
      <c r="K924" t="s">
        <v>47113</v>
      </c>
      <c r="L924">
        <v>33.92</v>
      </c>
      <c r="M924">
        <v>79</v>
      </c>
      <c r="N924">
        <v>0</v>
      </c>
      <c r="O924">
        <v>79</v>
      </c>
      <c r="P924">
        <v>0</v>
      </c>
    </row>
    <row r="925" spans="1:16" x14ac:dyDescent="0.25">
      <c r="A925" t="s">
        <v>23427</v>
      </c>
      <c r="B925" t="s">
        <v>101</v>
      </c>
      <c r="C925" t="s">
        <v>102</v>
      </c>
      <c r="D925" t="str">
        <f>"4643"</f>
        <v>4643</v>
      </c>
      <c r="E925" t="s">
        <v>205</v>
      </c>
      <c r="F925" t="s">
        <v>5</v>
      </c>
      <c r="G925" t="s">
        <v>47094</v>
      </c>
      <c r="H925" t="s">
        <v>47126</v>
      </c>
      <c r="I925" t="s">
        <v>47127</v>
      </c>
      <c r="J925" t="s">
        <v>47128</v>
      </c>
      <c r="K925" t="s">
        <v>47113</v>
      </c>
      <c r="L925">
        <v>33.92</v>
      </c>
      <c r="M925">
        <v>79</v>
      </c>
      <c r="N925">
        <v>0</v>
      </c>
      <c r="O925">
        <v>79</v>
      </c>
      <c r="P925">
        <v>0</v>
      </c>
    </row>
    <row r="926" spans="1:16" x14ac:dyDescent="0.25">
      <c r="A926" t="s">
        <v>14735</v>
      </c>
      <c r="B926" t="s">
        <v>101</v>
      </c>
      <c r="C926" t="s">
        <v>102</v>
      </c>
      <c r="D926" t="str">
        <f>"5342"</f>
        <v>5342</v>
      </c>
      <c r="E926" t="s">
        <v>77</v>
      </c>
      <c r="F926" t="s">
        <v>5</v>
      </c>
      <c r="G926" t="s">
        <v>47094</v>
      </c>
      <c r="H926" t="s">
        <v>47126</v>
      </c>
      <c r="I926" t="s">
        <v>47127</v>
      </c>
      <c r="J926" t="s">
        <v>47128</v>
      </c>
      <c r="K926" t="s">
        <v>47113</v>
      </c>
      <c r="L926">
        <v>33.92</v>
      </c>
      <c r="M926">
        <v>79</v>
      </c>
      <c r="N926">
        <v>0</v>
      </c>
      <c r="O926">
        <v>79</v>
      </c>
      <c r="P926">
        <v>0</v>
      </c>
    </row>
    <row r="927" spans="1:16" x14ac:dyDescent="0.25">
      <c r="A927" t="s">
        <v>23428</v>
      </c>
      <c r="B927" t="s">
        <v>101</v>
      </c>
      <c r="C927" t="s">
        <v>102</v>
      </c>
      <c r="D927" t="str">
        <f>"6064"</f>
        <v>6064</v>
      </c>
      <c r="E927" t="s">
        <v>87</v>
      </c>
      <c r="F927" t="s">
        <v>5</v>
      </c>
      <c r="G927" t="s">
        <v>47094</v>
      </c>
      <c r="H927" t="s">
        <v>47126</v>
      </c>
      <c r="I927" t="s">
        <v>47127</v>
      </c>
      <c r="J927" t="s">
        <v>47128</v>
      </c>
      <c r="K927" t="s">
        <v>47113</v>
      </c>
      <c r="L927">
        <v>33.92</v>
      </c>
      <c r="M927">
        <v>79</v>
      </c>
      <c r="N927">
        <v>0</v>
      </c>
      <c r="O927">
        <v>79</v>
      </c>
      <c r="P927">
        <v>0</v>
      </c>
    </row>
    <row r="928" spans="1:16" x14ac:dyDescent="0.25">
      <c r="A928" t="s">
        <v>23429</v>
      </c>
      <c r="B928" t="s">
        <v>2139</v>
      </c>
      <c r="C928" t="s">
        <v>2140</v>
      </c>
      <c r="D928" t="str">
        <f>"1001"</f>
        <v>1001</v>
      </c>
      <c r="E928" t="s">
        <v>42</v>
      </c>
      <c r="F928" t="s">
        <v>5</v>
      </c>
      <c r="G928" t="s">
        <v>47094</v>
      </c>
      <c r="H928" t="s">
        <v>47126</v>
      </c>
      <c r="I928" t="s">
        <v>47127</v>
      </c>
      <c r="J928" t="s">
        <v>47128</v>
      </c>
      <c r="K928" t="s">
        <v>47113</v>
      </c>
      <c r="L928">
        <v>36.22</v>
      </c>
      <c r="M928">
        <v>84</v>
      </c>
      <c r="N928">
        <v>0</v>
      </c>
      <c r="O928">
        <v>84</v>
      </c>
      <c r="P928">
        <v>0</v>
      </c>
    </row>
    <row r="929" spans="1:16" x14ac:dyDescent="0.25">
      <c r="A929" t="s">
        <v>23430</v>
      </c>
      <c r="B929" t="s">
        <v>2139</v>
      </c>
      <c r="C929" t="s">
        <v>2140</v>
      </c>
      <c r="D929" t="str">
        <f>"1299"</f>
        <v>1299</v>
      </c>
      <c r="E929" t="s">
        <v>73</v>
      </c>
      <c r="F929" t="s">
        <v>5</v>
      </c>
      <c r="G929" t="s">
        <v>47094</v>
      </c>
      <c r="H929" t="s">
        <v>47126</v>
      </c>
      <c r="I929" t="s">
        <v>47127</v>
      </c>
      <c r="J929" t="s">
        <v>47128</v>
      </c>
      <c r="K929" t="s">
        <v>47113</v>
      </c>
      <c r="L929">
        <v>36.22</v>
      </c>
      <c r="M929">
        <v>84</v>
      </c>
      <c r="N929">
        <v>0</v>
      </c>
      <c r="O929">
        <v>84</v>
      </c>
      <c r="P929">
        <v>0</v>
      </c>
    </row>
    <row r="930" spans="1:16" x14ac:dyDescent="0.25">
      <c r="A930" t="s">
        <v>23431</v>
      </c>
      <c r="B930" t="s">
        <v>2139</v>
      </c>
      <c r="C930" t="s">
        <v>2140</v>
      </c>
      <c r="D930" t="str">
        <f>"1377"</f>
        <v>1377</v>
      </c>
      <c r="E930" t="s">
        <v>74</v>
      </c>
      <c r="F930" t="s">
        <v>5</v>
      </c>
      <c r="G930" t="s">
        <v>47094</v>
      </c>
      <c r="H930" t="s">
        <v>47126</v>
      </c>
      <c r="I930" t="s">
        <v>47127</v>
      </c>
      <c r="J930" t="s">
        <v>47128</v>
      </c>
      <c r="K930" t="s">
        <v>47113</v>
      </c>
      <c r="L930">
        <v>36.22</v>
      </c>
      <c r="M930">
        <v>84</v>
      </c>
      <c r="N930">
        <v>0</v>
      </c>
      <c r="O930">
        <v>84</v>
      </c>
      <c r="P930">
        <v>0</v>
      </c>
    </row>
    <row r="931" spans="1:16" x14ac:dyDescent="0.25">
      <c r="A931" t="s">
        <v>23432</v>
      </c>
      <c r="B931" t="s">
        <v>2139</v>
      </c>
      <c r="C931" t="s">
        <v>2140</v>
      </c>
      <c r="D931" t="str">
        <f>"2166"</f>
        <v>2166</v>
      </c>
      <c r="E931" t="s">
        <v>80</v>
      </c>
      <c r="F931" t="s">
        <v>5</v>
      </c>
      <c r="G931" t="s">
        <v>47094</v>
      </c>
      <c r="H931" t="s">
        <v>47126</v>
      </c>
      <c r="I931" t="s">
        <v>47127</v>
      </c>
      <c r="J931" t="s">
        <v>47128</v>
      </c>
      <c r="K931" t="s">
        <v>47113</v>
      </c>
      <c r="L931">
        <v>36.22</v>
      </c>
      <c r="M931">
        <v>84</v>
      </c>
      <c r="N931">
        <v>0</v>
      </c>
      <c r="O931">
        <v>84</v>
      </c>
      <c r="P931">
        <v>0</v>
      </c>
    </row>
    <row r="932" spans="1:16" x14ac:dyDescent="0.25">
      <c r="A932" t="s">
        <v>23433</v>
      </c>
      <c r="B932" t="s">
        <v>2139</v>
      </c>
      <c r="C932" t="s">
        <v>2140</v>
      </c>
      <c r="D932" t="str">
        <f>"3449"</f>
        <v>3449</v>
      </c>
      <c r="E932" t="s">
        <v>90</v>
      </c>
      <c r="F932" t="s">
        <v>5</v>
      </c>
      <c r="G932" t="s">
        <v>47094</v>
      </c>
      <c r="H932" t="s">
        <v>47126</v>
      </c>
      <c r="I932" t="s">
        <v>47127</v>
      </c>
      <c r="J932" t="s">
        <v>47128</v>
      </c>
      <c r="K932" t="s">
        <v>47113</v>
      </c>
      <c r="L932">
        <v>36.22</v>
      </c>
      <c r="M932">
        <v>84</v>
      </c>
      <c r="N932">
        <v>0</v>
      </c>
      <c r="O932">
        <v>84</v>
      </c>
      <c r="P932">
        <v>0</v>
      </c>
    </row>
    <row r="933" spans="1:16" x14ac:dyDescent="0.25">
      <c r="A933" t="s">
        <v>23434</v>
      </c>
      <c r="B933" t="s">
        <v>2139</v>
      </c>
      <c r="C933" t="s">
        <v>2140</v>
      </c>
      <c r="D933" t="str">
        <f>"4348"</f>
        <v>4348</v>
      </c>
      <c r="E933" t="s">
        <v>91</v>
      </c>
      <c r="F933" t="s">
        <v>5</v>
      </c>
      <c r="G933" t="s">
        <v>47094</v>
      </c>
      <c r="H933" t="s">
        <v>47126</v>
      </c>
      <c r="I933" t="s">
        <v>47127</v>
      </c>
      <c r="J933" t="s">
        <v>47128</v>
      </c>
      <c r="K933" t="s">
        <v>47113</v>
      </c>
      <c r="L933">
        <v>36.22</v>
      </c>
      <c r="M933">
        <v>84</v>
      </c>
      <c r="N933">
        <v>0</v>
      </c>
      <c r="O933">
        <v>84</v>
      </c>
      <c r="P933">
        <v>0</v>
      </c>
    </row>
    <row r="934" spans="1:16" x14ac:dyDescent="0.25">
      <c r="A934" t="s">
        <v>23435</v>
      </c>
      <c r="B934" t="s">
        <v>2139</v>
      </c>
      <c r="C934" t="s">
        <v>2140</v>
      </c>
      <c r="D934" t="str">
        <f>"4643"</f>
        <v>4643</v>
      </c>
      <c r="E934" t="s">
        <v>205</v>
      </c>
      <c r="F934" t="s">
        <v>5</v>
      </c>
      <c r="G934" t="s">
        <v>47094</v>
      </c>
      <c r="H934" t="s">
        <v>47126</v>
      </c>
      <c r="I934" t="s">
        <v>47127</v>
      </c>
      <c r="J934" t="s">
        <v>47128</v>
      </c>
      <c r="K934" t="s">
        <v>47113</v>
      </c>
      <c r="L934">
        <v>36.22</v>
      </c>
      <c r="M934">
        <v>84</v>
      </c>
      <c r="N934">
        <v>0</v>
      </c>
      <c r="O934">
        <v>84</v>
      </c>
      <c r="P934">
        <v>0</v>
      </c>
    </row>
    <row r="935" spans="1:16" x14ac:dyDescent="0.25">
      <c r="A935" t="s">
        <v>23436</v>
      </c>
      <c r="B935" t="s">
        <v>2139</v>
      </c>
      <c r="C935" t="s">
        <v>2140</v>
      </c>
      <c r="D935" t="str">
        <f>"5342"</f>
        <v>5342</v>
      </c>
      <c r="E935" t="s">
        <v>77</v>
      </c>
      <c r="F935" t="s">
        <v>5</v>
      </c>
      <c r="G935" t="s">
        <v>47094</v>
      </c>
      <c r="H935" t="s">
        <v>47126</v>
      </c>
      <c r="I935" t="s">
        <v>47127</v>
      </c>
      <c r="J935" t="s">
        <v>47128</v>
      </c>
      <c r="K935" t="s">
        <v>47113</v>
      </c>
      <c r="L935">
        <v>36.22</v>
      </c>
      <c r="M935">
        <v>84</v>
      </c>
      <c r="N935">
        <v>0</v>
      </c>
      <c r="O935">
        <v>84</v>
      </c>
      <c r="P935">
        <v>0</v>
      </c>
    </row>
    <row r="936" spans="1:16" x14ac:dyDescent="0.25">
      <c r="A936" t="s">
        <v>23437</v>
      </c>
      <c r="B936" t="s">
        <v>2139</v>
      </c>
      <c r="C936" t="s">
        <v>2140</v>
      </c>
      <c r="D936" t="str">
        <f>"6064"</f>
        <v>6064</v>
      </c>
      <c r="E936" t="s">
        <v>87</v>
      </c>
      <c r="F936" t="s">
        <v>5</v>
      </c>
      <c r="G936" t="s">
        <v>47094</v>
      </c>
      <c r="H936" t="s">
        <v>47126</v>
      </c>
      <c r="I936" t="s">
        <v>47127</v>
      </c>
      <c r="J936" t="s">
        <v>47128</v>
      </c>
      <c r="K936" t="s">
        <v>47113</v>
      </c>
      <c r="L936">
        <v>36.22</v>
      </c>
      <c r="M936">
        <v>84</v>
      </c>
      <c r="N936">
        <v>0</v>
      </c>
      <c r="O936">
        <v>84</v>
      </c>
      <c r="P936">
        <v>0</v>
      </c>
    </row>
    <row r="937" spans="1:16" x14ac:dyDescent="0.25">
      <c r="A937" t="s">
        <v>23438</v>
      </c>
      <c r="B937" t="s">
        <v>103</v>
      </c>
      <c r="C937" t="s">
        <v>104</v>
      </c>
      <c r="D937" t="str">
        <f>"1001"</f>
        <v>1001</v>
      </c>
      <c r="E937" t="s">
        <v>42</v>
      </c>
      <c r="F937" t="s">
        <v>5</v>
      </c>
      <c r="G937" t="s">
        <v>47094</v>
      </c>
      <c r="H937" t="s">
        <v>47126</v>
      </c>
      <c r="I937" t="s">
        <v>47127</v>
      </c>
      <c r="J937" t="s">
        <v>47128</v>
      </c>
      <c r="K937" t="s">
        <v>47113</v>
      </c>
      <c r="L937">
        <v>34.380000000000003</v>
      </c>
      <c r="M937">
        <v>80</v>
      </c>
      <c r="N937">
        <v>0</v>
      </c>
      <c r="O937">
        <v>80</v>
      </c>
      <c r="P937">
        <v>0</v>
      </c>
    </row>
    <row r="938" spans="1:16" x14ac:dyDescent="0.25">
      <c r="A938" t="s">
        <v>14736</v>
      </c>
      <c r="B938" t="s">
        <v>103</v>
      </c>
      <c r="C938" t="s">
        <v>104</v>
      </c>
      <c r="D938" t="str">
        <f>"1299"</f>
        <v>1299</v>
      </c>
      <c r="E938" t="s">
        <v>73</v>
      </c>
      <c r="F938" t="s">
        <v>5</v>
      </c>
      <c r="G938" t="s">
        <v>47094</v>
      </c>
      <c r="H938" t="s">
        <v>47126</v>
      </c>
      <c r="I938" t="s">
        <v>47127</v>
      </c>
      <c r="J938" t="s">
        <v>47128</v>
      </c>
      <c r="K938" t="s">
        <v>47113</v>
      </c>
      <c r="L938">
        <v>34.380000000000003</v>
      </c>
      <c r="M938">
        <v>80</v>
      </c>
      <c r="N938">
        <v>0</v>
      </c>
      <c r="O938">
        <v>80</v>
      </c>
      <c r="P938">
        <v>0</v>
      </c>
    </row>
    <row r="939" spans="1:16" x14ac:dyDescent="0.25">
      <c r="A939" t="s">
        <v>23439</v>
      </c>
      <c r="B939" t="s">
        <v>103</v>
      </c>
      <c r="C939" t="s">
        <v>104</v>
      </c>
      <c r="D939" t="str">
        <f>"1377"</f>
        <v>1377</v>
      </c>
      <c r="E939" t="s">
        <v>74</v>
      </c>
      <c r="F939" t="s">
        <v>5</v>
      </c>
      <c r="G939" t="s">
        <v>47094</v>
      </c>
      <c r="H939" t="s">
        <v>47126</v>
      </c>
      <c r="I939" t="s">
        <v>47127</v>
      </c>
      <c r="J939" t="s">
        <v>47128</v>
      </c>
      <c r="K939" t="s">
        <v>47113</v>
      </c>
      <c r="L939">
        <v>34.380000000000003</v>
      </c>
      <c r="M939">
        <v>80</v>
      </c>
      <c r="N939">
        <v>0</v>
      </c>
      <c r="O939">
        <v>80</v>
      </c>
      <c r="P939">
        <v>0</v>
      </c>
    </row>
    <row r="940" spans="1:16" x14ac:dyDescent="0.25">
      <c r="A940" t="s">
        <v>23440</v>
      </c>
      <c r="B940" t="s">
        <v>103</v>
      </c>
      <c r="C940" t="s">
        <v>104</v>
      </c>
      <c r="D940" t="str">
        <f>"2166"</f>
        <v>2166</v>
      </c>
      <c r="E940" t="s">
        <v>80</v>
      </c>
      <c r="F940" t="s">
        <v>5</v>
      </c>
      <c r="G940" t="s">
        <v>47094</v>
      </c>
      <c r="H940" t="s">
        <v>47126</v>
      </c>
      <c r="I940" t="s">
        <v>47127</v>
      </c>
      <c r="J940" t="s">
        <v>47128</v>
      </c>
      <c r="K940" t="s">
        <v>47113</v>
      </c>
      <c r="L940">
        <v>34.380000000000003</v>
      </c>
      <c r="M940">
        <v>80</v>
      </c>
      <c r="N940">
        <v>0</v>
      </c>
      <c r="O940">
        <v>80</v>
      </c>
      <c r="P940">
        <v>0</v>
      </c>
    </row>
    <row r="941" spans="1:16" x14ac:dyDescent="0.25">
      <c r="A941" t="s">
        <v>23441</v>
      </c>
      <c r="B941" t="s">
        <v>103</v>
      </c>
      <c r="C941" t="s">
        <v>104</v>
      </c>
      <c r="D941" t="str">
        <f>"3449"</f>
        <v>3449</v>
      </c>
      <c r="E941" t="s">
        <v>2121</v>
      </c>
      <c r="F941" t="s">
        <v>5</v>
      </c>
      <c r="G941" t="s">
        <v>47094</v>
      </c>
      <c r="H941" t="s">
        <v>47126</v>
      </c>
      <c r="I941" t="s">
        <v>47127</v>
      </c>
      <c r="J941" t="s">
        <v>47128</v>
      </c>
      <c r="K941" t="s">
        <v>47113</v>
      </c>
      <c r="L941">
        <v>34.380000000000003</v>
      </c>
      <c r="M941">
        <v>80</v>
      </c>
      <c r="N941">
        <v>0</v>
      </c>
      <c r="O941">
        <v>80</v>
      </c>
      <c r="P941">
        <v>0</v>
      </c>
    </row>
    <row r="942" spans="1:16" x14ac:dyDescent="0.25">
      <c r="A942" t="s">
        <v>14737</v>
      </c>
      <c r="B942" t="s">
        <v>103</v>
      </c>
      <c r="C942" t="s">
        <v>104</v>
      </c>
      <c r="D942" t="str">
        <f>"4348"</f>
        <v>4348</v>
      </c>
      <c r="E942" t="s">
        <v>91</v>
      </c>
      <c r="F942" t="s">
        <v>5</v>
      </c>
      <c r="G942" t="s">
        <v>47094</v>
      </c>
      <c r="H942" t="s">
        <v>47126</v>
      </c>
      <c r="I942" t="s">
        <v>47127</v>
      </c>
      <c r="J942" t="s">
        <v>47128</v>
      </c>
      <c r="K942" t="s">
        <v>47113</v>
      </c>
      <c r="L942">
        <v>34.380000000000003</v>
      </c>
      <c r="M942">
        <v>80</v>
      </c>
      <c r="N942">
        <v>0</v>
      </c>
      <c r="O942">
        <v>80</v>
      </c>
      <c r="P942">
        <v>0</v>
      </c>
    </row>
    <row r="943" spans="1:16" x14ac:dyDescent="0.25">
      <c r="A943" t="s">
        <v>14738</v>
      </c>
      <c r="B943" t="s">
        <v>103</v>
      </c>
      <c r="C943" t="s">
        <v>104</v>
      </c>
      <c r="D943" t="str">
        <f>"5342"</f>
        <v>5342</v>
      </c>
      <c r="E943" t="s">
        <v>77</v>
      </c>
      <c r="F943" t="s">
        <v>5</v>
      </c>
      <c r="G943" t="s">
        <v>47094</v>
      </c>
      <c r="H943" t="s">
        <v>47126</v>
      </c>
      <c r="I943" t="s">
        <v>47127</v>
      </c>
      <c r="J943" t="s">
        <v>47128</v>
      </c>
      <c r="K943" t="s">
        <v>47113</v>
      </c>
      <c r="L943">
        <v>34.380000000000003</v>
      </c>
      <c r="M943">
        <v>80</v>
      </c>
      <c r="N943">
        <v>0</v>
      </c>
      <c r="O943">
        <v>80</v>
      </c>
      <c r="P943">
        <v>0</v>
      </c>
    </row>
    <row r="944" spans="1:16" x14ac:dyDescent="0.25">
      <c r="A944" t="s">
        <v>23442</v>
      </c>
      <c r="B944" t="s">
        <v>103</v>
      </c>
      <c r="C944" t="s">
        <v>104</v>
      </c>
      <c r="D944" t="str">
        <f>"6064"</f>
        <v>6064</v>
      </c>
      <c r="E944" t="s">
        <v>87</v>
      </c>
      <c r="F944" t="s">
        <v>5</v>
      </c>
      <c r="G944" t="s">
        <v>47094</v>
      </c>
      <c r="H944" t="s">
        <v>47126</v>
      </c>
      <c r="I944" t="s">
        <v>47127</v>
      </c>
      <c r="J944" t="s">
        <v>47128</v>
      </c>
      <c r="K944" t="s">
        <v>47113</v>
      </c>
      <c r="L944">
        <v>34.380000000000003</v>
      </c>
      <c r="M944">
        <v>80</v>
      </c>
      <c r="N944">
        <v>0</v>
      </c>
      <c r="O944">
        <v>80</v>
      </c>
      <c r="P944">
        <v>0</v>
      </c>
    </row>
    <row r="945" spans="1:16" x14ac:dyDescent="0.25">
      <c r="A945" t="s">
        <v>23443</v>
      </c>
      <c r="B945" t="s">
        <v>2141</v>
      </c>
      <c r="C945" t="s">
        <v>319</v>
      </c>
      <c r="D945" t="str">
        <f>"1001"</f>
        <v>1001</v>
      </c>
      <c r="E945" t="s">
        <v>42</v>
      </c>
      <c r="F945" t="s">
        <v>5</v>
      </c>
      <c r="G945" t="s">
        <v>47094</v>
      </c>
      <c r="H945" t="s">
        <v>47126</v>
      </c>
      <c r="I945" t="s">
        <v>47127</v>
      </c>
      <c r="J945" t="s">
        <v>47128</v>
      </c>
      <c r="K945" t="s">
        <v>47113</v>
      </c>
      <c r="L945">
        <v>34.380000000000003</v>
      </c>
      <c r="M945">
        <v>80</v>
      </c>
      <c r="N945">
        <v>0</v>
      </c>
      <c r="O945">
        <v>80</v>
      </c>
      <c r="P945">
        <v>0</v>
      </c>
    </row>
    <row r="946" spans="1:16" x14ac:dyDescent="0.25">
      <c r="A946" t="s">
        <v>23444</v>
      </c>
      <c r="B946" t="s">
        <v>2141</v>
      </c>
      <c r="C946" t="s">
        <v>319</v>
      </c>
      <c r="D946" t="str">
        <f>"1299"</f>
        <v>1299</v>
      </c>
      <c r="E946" t="s">
        <v>73</v>
      </c>
      <c r="F946" t="s">
        <v>5</v>
      </c>
      <c r="G946" t="s">
        <v>47094</v>
      </c>
      <c r="H946" t="s">
        <v>47126</v>
      </c>
      <c r="I946" t="s">
        <v>47127</v>
      </c>
      <c r="J946" t="s">
        <v>47128</v>
      </c>
      <c r="K946" t="s">
        <v>47113</v>
      </c>
      <c r="L946">
        <v>34.380000000000003</v>
      </c>
      <c r="M946">
        <v>80</v>
      </c>
      <c r="N946">
        <v>0</v>
      </c>
      <c r="O946">
        <v>80</v>
      </c>
      <c r="P946">
        <v>0</v>
      </c>
    </row>
    <row r="947" spans="1:16" x14ac:dyDescent="0.25">
      <c r="A947" t="s">
        <v>23445</v>
      </c>
      <c r="B947" t="s">
        <v>2141</v>
      </c>
      <c r="C947" t="s">
        <v>319</v>
      </c>
      <c r="D947" t="str">
        <f>"1377"</f>
        <v>1377</v>
      </c>
      <c r="E947" t="s">
        <v>74</v>
      </c>
      <c r="F947" t="s">
        <v>5</v>
      </c>
      <c r="G947" t="s">
        <v>47094</v>
      </c>
      <c r="H947" t="s">
        <v>47126</v>
      </c>
      <c r="I947" t="s">
        <v>47127</v>
      </c>
      <c r="J947" t="s">
        <v>47128</v>
      </c>
      <c r="K947" t="s">
        <v>47113</v>
      </c>
      <c r="L947">
        <v>34.380000000000003</v>
      </c>
      <c r="M947">
        <v>80</v>
      </c>
      <c r="N947">
        <v>0</v>
      </c>
      <c r="O947">
        <v>80</v>
      </c>
      <c r="P947">
        <v>0</v>
      </c>
    </row>
    <row r="948" spans="1:16" x14ac:dyDescent="0.25">
      <c r="A948" t="s">
        <v>23446</v>
      </c>
      <c r="B948" t="s">
        <v>2141</v>
      </c>
      <c r="C948" t="s">
        <v>319</v>
      </c>
      <c r="D948" t="str">
        <f>"2166"</f>
        <v>2166</v>
      </c>
      <c r="E948" t="s">
        <v>80</v>
      </c>
      <c r="F948" t="s">
        <v>5</v>
      </c>
      <c r="G948" t="s">
        <v>47094</v>
      </c>
      <c r="H948" t="s">
        <v>47126</v>
      </c>
      <c r="I948" t="s">
        <v>47127</v>
      </c>
      <c r="J948" t="s">
        <v>47128</v>
      </c>
      <c r="K948" t="s">
        <v>47113</v>
      </c>
      <c r="L948">
        <v>34.380000000000003</v>
      </c>
      <c r="M948">
        <v>80</v>
      </c>
      <c r="N948">
        <v>0</v>
      </c>
      <c r="O948">
        <v>80</v>
      </c>
      <c r="P948">
        <v>0</v>
      </c>
    </row>
    <row r="949" spans="1:16" x14ac:dyDescent="0.25">
      <c r="A949" t="s">
        <v>23447</v>
      </c>
      <c r="B949" t="s">
        <v>2141</v>
      </c>
      <c r="C949" t="s">
        <v>319</v>
      </c>
      <c r="D949" t="str">
        <f>"3449"</f>
        <v>3449</v>
      </c>
      <c r="E949" t="s">
        <v>2121</v>
      </c>
      <c r="F949" t="s">
        <v>5</v>
      </c>
      <c r="G949" t="s">
        <v>47094</v>
      </c>
      <c r="H949" t="s">
        <v>47126</v>
      </c>
      <c r="I949" t="s">
        <v>47127</v>
      </c>
      <c r="J949" t="s">
        <v>47128</v>
      </c>
      <c r="K949" t="s">
        <v>47113</v>
      </c>
      <c r="L949">
        <v>34.380000000000003</v>
      </c>
      <c r="M949">
        <v>80</v>
      </c>
      <c r="N949">
        <v>0</v>
      </c>
      <c r="O949">
        <v>80</v>
      </c>
      <c r="P949">
        <v>0</v>
      </c>
    </row>
    <row r="950" spans="1:16" x14ac:dyDescent="0.25">
      <c r="A950" t="s">
        <v>23448</v>
      </c>
      <c r="B950" t="s">
        <v>2141</v>
      </c>
      <c r="C950" t="s">
        <v>319</v>
      </c>
      <c r="D950" t="str">
        <f>"4348"</f>
        <v>4348</v>
      </c>
      <c r="E950" t="s">
        <v>91</v>
      </c>
      <c r="F950" t="s">
        <v>5</v>
      </c>
      <c r="G950" t="s">
        <v>47094</v>
      </c>
      <c r="H950" t="s">
        <v>47126</v>
      </c>
      <c r="I950" t="s">
        <v>47127</v>
      </c>
      <c r="J950" t="s">
        <v>47128</v>
      </c>
      <c r="K950" t="s">
        <v>47113</v>
      </c>
      <c r="L950">
        <v>34.380000000000003</v>
      </c>
      <c r="M950">
        <v>80</v>
      </c>
      <c r="N950">
        <v>0</v>
      </c>
      <c r="O950">
        <v>80</v>
      </c>
      <c r="P950">
        <v>0</v>
      </c>
    </row>
    <row r="951" spans="1:16" x14ac:dyDescent="0.25">
      <c r="A951" t="s">
        <v>23449</v>
      </c>
      <c r="B951" t="s">
        <v>2141</v>
      </c>
      <c r="C951" t="s">
        <v>319</v>
      </c>
      <c r="D951" t="str">
        <f>"5342"</f>
        <v>5342</v>
      </c>
      <c r="E951" t="s">
        <v>77</v>
      </c>
      <c r="F951" t="s">
        <v>5</v>
      </c>
      <c r="G951" t="s">
        <v>47094</v>
      </c>
      <c r="H951" t="s">
        <v>47126</v>
      </c>
      <c r="I951" t="s">
        <v>47127</v>
      </c>
      <c r="J951" t="s">
        <v>47128</v>
      </c>
      <c r="K951" t="s">
        <v>47113</v>
      </c>
      <c r="L951">
        <v>34.380000000000003</v>
      </c>
      <c r="M951">
        <v>80</v>
      </c>
      <c r="N951">
        <v>0</v>
      </c>
      <c r="O951">
        <v>80</v>
      </c>
      <c r="P951">
        <v>0</v>
      </c>
    </row>
    <row r="952" spans="1:16" x14ac:dyDescent="0.25">
      <c r="A952" t="s">
        <v>23450</v>
      </c>
      <c r="B952" t="s">
        <v>2141</v>
      </c>
      <c r="C952" t="s">
        <v>319</v>
      </c>
      <c r="D952" t="str">
        <f>"6064"</f>
        <v>6064</v>
      </c>
      <c r="E952" t="s">
        <v>87</v>
      </c>
      <c r="F952" t="s">
        <v>5</v>
      </c>
      <c r="G952" t="s">
        <v>47094</v>
      </c>
      <c r="H952" t="s">
        <v>47126</v>
      </c>
      <c r="I952" t="s">
        <v>47127</v>
      </c>
      <c r="J952" t="s">
        <v>47128</v>
      </c>
      <c r="K952" t="s">
        <v>47113</v>
      </c>
      <c r="L952">
        <v>34.380000000000003</v>
      </c>
      <c r="M952">
        <v>80</v>
      </c>
      <c r="N952">
        <v>0</v>
      </c>
      <c r="O952">
        <v>80</v>
      </c>
      <c r="P952">
        <v>0</v>
      </c>
    </row>
    <row r="953" spans="1:16" x14ac:dyDescent="0.25">
      <c r="A953" t="s">
        <v>23451</v>
      </c>
      <c r="B953" t="s">
        <v>105</v>
      </c>
      <c r="C953" t="s">
        <v>106</v>
      </c>
      <c r="D953" t="str">
        <f>"1001"</f>
        <v>1001</v>
      </c>
      <c r="E953" t="s">
        <v>42</v>
      </c>
      <c r="F953" t="s">
        <v>5</v>
      </c>
      <c r="G953" t="s">
        <v>47094</v>
      </c>
      <c r="H953" t="s">
        <v>47126</v>
      </c>
      <c r="I953" t="s">
        <v>47127</v>
      </c>
      <c r="J953" t="s">
        <v>47128</v>
      </c>
      <c r="K953" t="s">
        <v>47113</v>
      </c>
      <c r="L953">
        <v>35.409999999999997</v>
      </c>
      <c r="M953">
        <v>80</v>
      </c>
      <c r="N953">
        <v>0</v>
      </c>
      <c r="O953">
        <v>80</v>
      </c>
      <c r="P953">
        <v>0</v>
      </c>
    </row>
    <row r="954" spans="1:16" x14ac:dyDescent="0.25">
      <c r="A954" t="s">
        <v>14739</v>
      </c>
      <c r="B954" t="s">
        <v>105</v>
      </c>
      <c r="C954" t="s">
        <v>106</v>
      </c>
      <c r="D954" t="str">
        <f>"1299"</f>
        <v>1299</v>
      </c>
      <c r="E954" t="s">
        <v>73</v>
      </c>
      <c r="F954" t="s">
        <v>5</v>
      </c>
      <c r="G954" t="s">
        <v>47094</v>
      </c>
      <c r="H954" t="s">
        <v>47126</v>
      </c>
      <c r="I954" t="s">
        <v>47127</v>
      </c>
      <c r="J954" t="s">
        <v>47128</v>
      </c>
      <c r="K954" t="s">
        <v>47113</v>
      </c>
      <c r="L954">
        <v>35.409999999999997</v>
      </c>
      <c r="M954">
        <v>80</v>
      </c>
      <c r="N954">
        <v>0</v>
      </c>
      <c r="O954">
        <v>80</v>
      </c>
      <c r="P954">
        <v>0</v>
      </c>
    </row>
    <row r="955" spans="1:16" x14ac:dyDescent="0.25">
      <c r="A955" t="s">
        <v>23452</v>
      </c>
      <c r="B955" t="s">
        <v>105</v>
      </c>
      <c r="C955" t="s">
        <v>106</v>
      </c>
      <c r="D955" t="str">
        <f>"1377"</f>
        <v>1377</v>
      </c>
      <c r="E955" t="s">
        <v>74</v>
      </c>
      <c r="F955" t="s">
        <v>5</v>
      </c>
      <c r="G955" t="s">
        <v>47094</v>
      </c>
      <c r="H955" t="s">
        <v>47126</v>
      </c>
      <c r="I955" t="s">
        <v>47127</v>
      </c>
      <c r="J955" t="s">
        <v>47128</v>
      </c>
      <c r="K955" t="s">
        <v>47113</v>
      </c>
      <c r="L955">
        <v>35.409999999999997</v>
      </c>
      <c r="M955">
        <v>80</v>
      </c>
      <c r="N955">
        <v>0</v>
      </c>
      <c r="O955">
        <v>80</v>
      </c>
      <c r="P955">
        <v>0</v>
      </c>
    </row>
    <row r="956" spans="1:16" x14ac:dyDescent="0.25">
      <c r="A956" t="s">
        <v>23453</v>
      </c>
      <c r="B956" t="s">
        <v>105</v>
      </c>
      <c r="C956" t="s">
        <v>106</v>
      </c>
      <c r="D956" t="str">
        <f>"2166"</f>
        <v>2166</v>
      </c>
      <c r="E956" t="s">
        <v>80</v>
      </c>
      <c r="F956" t="s">
        <v>5</v>
      </c>
      <c r="G956" t="s">
        <v>47094</v>
      </c>
      <c r="H956" t="s">
        <v>47126</v>
      </c>
      <c r="I956" t="s">
        <v>47127</v>
      </c>
      <c r="J956" t="s">
        <v>47128</v>
      </c>
      <c r="K956" t="s">
        <v>47113</v>
      </c>
      <c r="L956">
        <v>35.409999999999997</v>
      </c>
      <c r="M956">
        <v>80</v>
      </c>
      <c r="N956">
        <v>0</v>
      </c>
      <c r="O956">
        <v>80</v>
      </c>
      <c r="P956">
        <v>0</v>
      </c>
    </row>
    <row r="957" spans="1:16" x14ac:dyDescent="0.25">
      <c r="A957" t="s">
        <v>23454</v>
      </c>
      <c r="B957" t="s">
        <v>105</v>
      </c>
      <c r="C957" t="s">
        <v>106</v>
      </c>
      <c r="D957" t="str">
        <f>"3449"</f>
        <v>3449</v>
      </c>
      <c r="E957" t="s">
        <v>2121</v>
      </c>
      <c r="F957" t="s">
        <v>5</v>
      </c>
      <c r="G957" t="s">
        <v>47094</v>
      </c>
      <c r="H957" t="s">
        <v>47126</v>
      </c>
      <c r="I957" t="s">
        <v>47127</v>
      </c>
      <c r="J957" t="s">
        <v>47128</v>
      </c>
      <c r="K957" t="s">
        <v>47113</v>
      </c>
      <c r="L957">
        <v>34.380000000000003</v>
      </c>
      <c r="M957">
        <v>80</v>
      </c>
      <c r="N957">
        <v>0</v>
      </c>
      <c r="O957">
        <v>80</v>
      </c>
      <c r="P957">
        <v>0</v>
      </c>
    </row>
    <row r="958" spans="1:16" x14ac:dyDescent="0.25">
      <c r="A958" t="s">
        <v>23455</v>
      </c>
      <c r="B958" t="s">
        <v>105</v>
      </c>
      <c r="C958" t="s">
        <v>106</v>
      </c>
      <c r="D958" t="str">
        <f>"4348"</f>
        <v>4348</v>
      </c>
      <c r="E958" t="s">
        <v>91</v>
      </c>
      <c r="F958" t="s">
        <v>5</v>
      </c>
      <c r="G958" t="s">
        <v>47094</v>
      </c>
      <c r="H958" t="s">
        <v>47126</v>
      </c>
      <c r="I958" t="s">
        <v>47127</v>
      </c>
      <c r="J958" t="s">
        <v>47128</v>
      </c>
      <c r="K958" t="s">
        <v>47113</v>
      </c>
      <c r="L958">
        <v>35.409999999999997</v>
      </c>
      <c r="M958">
        <v>80</v>
      </c>
      <c r="N958">
        <v>0</v>
      </c>
      <c r="O958">
        <v>80</v>
      </c>
      <c r="P958">
        <v>0</v>
      </c>
    </row>
    <row r="959" spans="1:16" x14ac:dyDescent="0.25">
      <c r="A959" t="s">
        <v>23456</v>
      </c>
      <c r="B959" t="s">
        <v>105</v>
      </c>
      <c r="C959" t="s">
        <v>106</v>
      </c>
      <c r="D959" t="str">
        <f>"5342"</f>
        <v>5342</v>
      </c>
      <c r="E959" t="s">
        <v>77</v>
      </c>
      <c r="F959" t="s">
        <v>5</v>
      </c>
      <c r="G959" t="s">
        <v>47094</v>
      </c>
      <c r="H959" t="s">
        <v>47126</v>
      </c>
      <c r="I959" t="s">
        <v>47127</v>
      </c>
      <c r="J959" t="s">
        <v>47128</v>
      </c>
      <c r="K959" t="s">
        <v>47113</v>
      </c>
      <c r="L959">
        <v>35.409999999999997</v>
      </c>
      <c r="M959">
        <v>80</v>
      </c>
      <c r="N959">
        <v>0</v>
      </c>
      <c r="O959">
        <v>80</v>
      </c>
      <c r="P959">
        <v>0</v>
      </c>
    </row>
    <row r="960" spans="1:16" x14ac:dyDescent="0.25">
      <c r="A960" t="s">
        <v>23457</v>
      </c>
      <c r="B960" t="s">
        <v>105</v>
      </c>
      <c r="C960" t="s">
        <v>106</v>
      </c>
      <c r="D960" t="str">
        <f>"6064"</f>
        <v>6064</v>
      </c>
      <c r="E960" t="s">
        <v>87</v>
      </c>
      <c r="F960" t="s">
        <v>5</v>
      </c>
      <c r="G960" t="s">
        <v>47094</v>
      </c>
      <c r="H960" t="s">
        <v>47126</v>
      </c>
      <c r="I960" t="s">
        <v>47127</v>
      </c>
      <c r="J960" t="s">
        <v>47128</v>
      </c>
      <c r="K960" t="s">
        <v>47113</v>
      </c>
      <c r="L960">
        <v>35.409999999999997</v>
      </c>
      <c r="M960">
        <v>80</v>
      </c>
      <c r="N960">
        <v>0</v>
      </c>
      <c r="O960">
        <v>80</v>
      </c>
      <c r="P960">
        <v>0</v>
      </c>
    </row>
    <row r="961" spans="1:16" x14ac:dyDescent="0.25">
      <c r="A961" t="s">
        <v>23458</v>
      </c>
      <c r="B961" t="s">
        <v>2142</v>
      </c>
      <c r="C961" t="s">
        <v>108</v>
      </c>
      <c r="D961" t="str">
        <f>"1001"</f>
        <v>1001</v>
      </c>
      <c r="E961" t="s">
        <v>42</v>
      </c>
      <c r="F961" t="s">
        <v>5</v>
      </c>
      <c r="G961" t="s">
        <v>47094</v>
      </c>
      <c r="H961" t="s">
        <v>47126</v>
      </c>
      <c r="I961" t="s">
        <v>47127</v>
      </c>
      <c r="J961" t="s">
        <v>47128</v>
      </c>
      <c r="K961" t="s">
        <v>47113</v>
      </c>
      <c r="L961">
        <v>33.92</v>
      </c>
      <c r="M961">
        <v>80</v>
      </c>
      <c r="N961">
        <v>0</v>
      </c>
      <c r="O961">
        <v>80</v>
      </c>
      <c r="P961">
        <v>0</v>
      </c>
    </row>
    <row r="962" spans="1:16" x14ac:dyDescent="0.25">
      <c r="A962" t="s">
        <v>23459</v>
      </c>
      <c r="B962" t="s">
        <v>2142</v>
      </c>
      <c r="C962" t="s">
        <v>108</v>
      </c>
      <c r="D962" t="str">
        <f>"1377"</f>
        <v>1377</v>
      </c>
      <c r="E962" t="s">
        <v>74</v>
      </c>
      <c r="F962" t="s">
        <v>5</v>
      </c>
      <c r="G962" t="s">
        <v>47094</v>
      </c>
      <c r="H962" t="s">
        <v>47126</v>
      </c>
      <c r="I962" t="s">
        <v>47127</v>
      </c>
      <c r="J962" t="s">
        <v>47128</v>
      </c>
      <c r="K962" t="s">
        <v>47113</v>
      </c>
      <c r="L962">
        <v>34.380000000000003</v>
      </c>
      <c r="M962">
        <v>80</v>
      </c>
      <c r="N962">
        <v>0</v>
      </c>
      <c r="O962">
        <v>80</v>
      </c>
      <c r="P962">
        <v>0</v>
      </c>
    </row>
    <row r="963" spans="1:16" x14ac:dyDescent="0.25">
      <c r="A963" t="s">
        <v>23460</v>
      </c>
      <c r="B963" t="s">
        <v>2142</v>
      </c>
      <c r="C963" t="s">
        <v>108</v>
      </c>
      <c r="D963" t="str">
        <f>"1379"</f>
        <v>1379</v>
      </c>
      <c r="E963" t="s">
        <v>84</v>
      </c>
      <c r="F963" t="s">
        <v>5</v>
      </c>
      <c r="G963" t="s">
        <v>47094</v>
      </c>
      <c r="H963" t="s">
        <v>47126</v>
      </c>
      <c r="I963" t="s">
        <v>47127</v>
      </c>
      <c r="J963" t="s">
        <v>47128</v>
      </c>
      <c r="K963" t="s">
        <v>47113</v>
      </c>
      <c r="L963">
        <v>34.130000000000003</v>
      </c>
      <c r="M963">
        <v>80</v>
      </c>
      <c r="N963">
        <v>0</v>
      </c>
      <c r="O963">
        <v>80</v>
      </c>
      <c r="P963">
        <v>0</v>
      </c>
    </row>
    <row r="964" spans="1:16" x14ac:dyDescent="0.25">
      <c r="A964" t="s">
        <v>23461</v>
      </c>
      <c r="B964" t="s">
        <v>2142</v>
      </c>
      <c r="C964" t="s">
        <v>108</v>
      </c>
      <c r="D964" t="str">
        <f>"2166"</f>
        <v>2166</v>
      </c>
      <c r="E964" t="s">
        <v>80</v>
      </c>
      <c r="F964" t="s">
        <v>5</v>
      </c>
      <c r="G964" t="s">
        <v>47094</v>
      </c>
      <c r="H964" t="s">
        <v>47126</v>
      </c>
      <c r="I964" t="s">
        <v>47127</v>
      </c>
      <c r="J964" t="s">
        <v>47128</v>
      </c>
      <c r="K964" t="s">
        <v>47113</v>
      </c>
      <c r="L964">
        <v>34.380000000000003</v>
      </c>
      <c r="M964">
        <v>80</v>
      </c>
      <c r="N964">
        <v>0</v>
      </c>
      <c r="O964">
        <v>80</v>
      </c>
      <c r="P964">
        <v>0</v>
      </c>
    </row>
    <row r="965" spans="1:16" x14ac:dyDescent="0.25">
      <c r="A965" t="s">
        <v>23462</v>
      </c>
      <c r="B965" t="s">
        <v>2142</v>
      </c>
      <c r="C965" t="s">
        <v>108</v>
      </c>
      <c r="D965" t="str">
        <f>"3449"</f>
        <v>3449</v>
      </c>
      <c r="E965" t="s">
        <v>90</v>
      </c>
      <c r="F965" t="s">
        <v>5</v>
      </c>
      <c r="G965" t="s">
        <v>47094</v>
      </c>
      <c r="H965" t="s">
        <v>47126</v>
      </c>
      <c r="I965" t="s">
        <v>47127</v>
      </c>
      <c r="J965" t="s">
        <v>47128</v>
      </c>
      <c r="K965" t="s">
        <v>47113</v>
      </c>
      <c r="L965">
        <v>34.380000000000003</v>
      </c>
      <c r="M965">
        <v>80</v>
      </c>
      <c r="N965">
        <v>0</v>
      </c>
      <c r="O965">
        <v>80</v>
      </c>
      <c r="P965">
        <v>0</v>
      </c>
    </row>
    <row r="966" spans="1:16" x14ac:dyDescent="0.25">
      <c r="A966" t="s">
        <v>23463</v>
      </c>
      <c r="B966" t="s">
        <v>2142</v>
      </c>
      <c r="C966" t="s">
        <v>108</v>
      </c>
      <c r="D966" t="str">
        <f>"4643"</f>
        <v>4643</v>
      </c>
      <c r="E966" t="s">
        <v>205</v>
      </c>
      <c r="F966" t="s">
        <v>5</v>
      </c>
      <c r="G966" t="s">
        <v>47094</v>
      </c>
      <c r="H966" t="s">
        <v>47126</v>
      </c>
      <c r="I966" t="s">
        <v>47127</v>
      </c>
      <c r="J966" t="s">
        <v>47128</v>
      </c>
      <c r="K966" t="s">
        <v>47113</v>
      </c>
      <c r="L966">
        <v>33.92</v>
      </c>
      <c r="M966">
        <v>80</v>
      </c>
      <c r="N966">
        <v>0</v>
      </c>
      <c r="O966">
        <v>80</v>
      </c>
      <c r="P966">
        <v>0</v>
      </c>
    </row>
    <row r="967" spans="1:16" x14ac:dyDescent="0.25">
      <c r="A967" t="s">
        <v>23464</v>
      </c>
      <c r="B967" t="s">
        <v>2142</v>
      </c>
      <c r="C967" t="s">
        <v>108</v>
      </c>
      <c r="D967" t="str">
        <f>"5342"</f>
        <v>5342</v>
      </c>
      <c r="E967" t="s">
        <v>77</v>
      </c>
      <c r="F967" t="s">
        <v>5</v>
      </c>
      <c r="G967" t="s">
        <v>47094</v>
      </c>
      <c r="H967" t="s">
        <v>47126</v>
      </c>
      <c r="I967" t="s">
        <v>47127</v>
      </c>
      <c r="J967" t="s">
        <v>47128</v>
      </c>
      <c r="K967" t="s">
        <v>47113</v>
      </c>
      <c r="L967">
        <v>34.380000000000003</v>
      </c>
      <c r="M967">
        <v>80</v>
      </c>
      <c r="N967">
        <v>0</v>
      </c>
      <c r="O967">
        <v>80</v>
      </c>
      <c r="P967">
        <v>0</v>
      </c>
    </row>
    <row r="968" spans="1:16" x14ac:dyDescent="0.25">
      <c r="A968" t="s">
        <v>23465</v>
      </c>
      <c r="B968" t="s">
        <v>2142</v>
      </c>
      <c r="C968" t="s">
        <v>108</v>
      </c>
      <c r="D968" t="str">
        <f>"6064"</f>
        <v>6064</v>
      </c>
      <c r="E968" t="s">
        <v>87</v>
      </c>
      <c r="F968" t="s">
        <v>5</v>
      </c>
      <c r="G968" t="s">
        <v>47094</v>
      </c>
      <c r="H968" t="s">
        <v>47126</v>
      </c>
      <c r="I968" t="s">
        <v>47127</v>
      </c>
      <c r="J968" t="s">
        <v>47128</v>
      </c>
      <c r="K968" t="s">
        <v>47113</v>
      </c>
      <c r="L968">
        <v>34.380000000000003</v>
      </c>
      <c r="M968">
        <v>80</v>
      </c>
      <c r="N968">
        <v>0</v>
      </c>
      <c r="O968">
        <v>80</v>
      </c>
      <c r="P968">
        <v>0</v>
      </c>
    </row>
    <row r="969" spans="1:16" x14ac:dyDescent="0.25">
      <c r="A969" t="s">
        <v>23466</v>
      </c>
      <c r="B969" t="s">
        <v>2143</v>
      </c>
      <c r="C969" t="s">
        <v>108</v>
      </c>
      <c r="D969" t="str">
        <f>"1001"</f>
        <v>1001</v>
      </c>
      <c r="E969" t="s">
        <v>42</v>
      </c>
      <c r="F969" t="s">
        <v>5</v>
      </c>
      <c r="G969" t="s">
        <v>47098</v>
      </c>
      <c r="H969" t="s">
        <v>47126</v>
      </c>
      <c r="I969" t="s">
        <v>47127</v>
      </c>
      <c r="J969" t="s">
        <v>47128</v>
      </c>
      <c r="K969" t="s">
        <v>47113</v>
      </c>
      <c r="L969">
        <v>32.770000000000003</v>
      </c>
      <c r="M969">
        <v>76</v>
      </c>
      <c r="N969">
        <v>0</v>
      </c>
      <c r="O969">
        <v>76</v>
      </c>
      <c r="P969">
        <v>0</v>
      </c>
    </row>
    <row r="970" spans="1:16" x14ac:dyDescent="0.25">
      <c r="A970" t="s">
        <v>23467</v>
      </c>
      <c r="B970" t="s">
        <v>2143</v>
      </c>
      <c r="C970" t="s">
        <v>108</v>
      </c>
      <c r="D970" t="str">
        <f>"1299"</f>
        <v>1299</v>
      </c>
      <c r="E970" t="s">
        <v>73</v>
      </c>
      <c r="F970" t="s">
        <v>5</v>
      </c>
      <c r="G970" t="s">
        <v>47098</v>
      </c>
      <c r="H970" t="s">
        <v>47126</v>
      </c>
      <c r="I970" t="s">
        <v>47127</v>
      </c>
      <c r="J970" t="s">
        <v>47128</v>
      </c>
      <c r="K970" t="s">
        <v>47113</v>
      </c>
      <c r="L970">
        <v>32.770000000000003</v>
      </c>
      <c r="M970">
        <v>76</v>
      </c>
      <c r="N970">
        <v>0</v>
      </c>
      <c r="O970">
        <v>76</v>
      </c>
      <c r="P970">
        <v>0</v>
      </c>
    </row>
    <row r="971" spans="1:16" x14ac:dyDescent="0.25">
      <c r="A971" t="s">
        <v>23468</v>
      </c>
      <c r="B971" t="s">
        <v>2143</v>
      </c>
      <c r="C971" t="s">
        <v>108</v>
      </c>
      <c r="D971" t="str">
        <f>"1377"</f>
        <v>1377</v>
      </c>
      <c r="E971" t="s">
        <v>74</v>
      </c>
      <c r="F971" t="s">
        <v>5</v>
      </c>
      <c r="G971" t="s">
        <v>47098</v>
      </c>
      <c r="H971" t="s">
        <v>47126</v>
      </c>
      <c r="I971" t="s">
        <v>47127</v>
      </c>
      <c r="J971" t="s">
        <v>47128</v>
      </c>
      <c r="K971" t="s">
        <v>47113</v>
      </c>
      <c r="L971">
        <v>32.770000000000003</v>
      </c>
      <c r="M971">
        <v>76</v>
      </c>
      <c r="N971">
        <v>0</v>
      </c>
      <c r="O971">
        <v>76</v>
      </c>
      <c r="P971">
        <v>0</v>
      </c>
    </row>
    <row r="972" spans="1:16" x14ac:dyDescent="0.25">
      <c r="A972" t="s">
        <v>23469</v>
      </c>
      <c r="B972" t="s">
        <v>2143</v>
      </c>
      <c r="C972" t="s">
        <v>108</v>
      </c>
      <c r="D972" t="str">
        <f>"1379"</f>
        <v>1379</v>
      </c>
      <c r="E972" t="s">
        <v>84</v>
      </c>
      <c r="F972" t="s">
        <v>5</v>
      </c>
      <c r="G972" t="s">
        <v>47098</v>
      </c>
      <c r="H972" t="s">
        <v>47126</v>
      </c>
      <c r="I972" t="s">
        <v>47127</v>
      </c>
      <c r="J972" t="s">
        <v>47128</v>
      </c>
      <c r="K972" t="s">
        <v>47113</v>
      </c>
      <c r="L972">
        <v>32.770000000000003</v>
      </c>
      <c r="M972">
        <v>76</v>
      </c>
      <c r="N972">
        <v>0</v>
      </c>
      <c r="O972">
        <v>76</v>
      </c>
      <c r="P972">
        <v>0</v>
      </c>
    </row>
    <row r="973" spans="1:16" x14ac:dyDescent="0.25">
      <c r="A973" t="s">
        <v>23470</v>
      </c>
      <c r="B973" t="s">
        <v>2143</v>
      </c>
      <c r="C973" t="s">
        <v>108</v>
      </c>
      <c r="D973" t="str">
        <f>"2166"</f>
        <v>2166</v>
      </c>
      <c r="E973" t="s">
        <v>80</v>
      </c>
      <c r="F973" t="s">
        <v>5</v>
      </c>
      <c r="G973" t="s">
        <v>47098</v>
      </c>
      <c r="H973" t="s">
        <v>47126</v>
      </c>
      <c r="I973" t="s">
        <v>47127</v>
      </c>
      <c r="J973" t="s">
        <v>47128</v>
      </c>
      <c r="K973" t="s">
        <v>47113</v>
      </c>
      <c r="L973">
        <v>32.770000000000003</v>
      </c>
      <c r="M973">
        <v>76</v>
      </c>
      <c r="N973">
        <v>0</v>
      </c>
      <c r="O973">
        <v>76</v>
      </c>
      <c r="P973">
        <v>0</v>
      </c>
    </row>
    <row r="974" spans="1:16" x14ac:dyDescent="0.25">
      <c r="A974" t="s">
        <v>23471</v>
      </c>
      <c r="B974" t="s">
        <v>2143</v>
      </c>
      <c r="C974" t="s">
        <v>108</v>
      </c>
      <c r="D974" t="str">
        <f>"3449"</f>
        <v>3449</v>
      </c>
      <c r="E974" t="s">
        <v>2121</v>
      </c>
      <c r="F974" t="s">
        <v>5</v>
      </c>
      <c r="G974" t="s">
        <v>47098</v>
      </c>
      <c r="H974" t="s">
        <v>47126</v>
      </c>
      <c r="I974" t="s">
        <v>47127</v>
      </c>
      <c r="J974" t="s">
        <v>47128</v>
      </c>
      <c r="K974" t="s">
        <v>47113</v>
      </c>
      <c r="L974">
        <v>32.770000000000003</v>
      </c>
      <c r="M974">
        <v>76</v>
      </c>
      <c r="N974">
        <v>0</v>
      </c>
      <c r="O974">
        <v>76</v>
      </c>
      <c r="P974">
        <v>0</v>
      </c>
    </row>
    <row r="975" spans="1:16" x14ac:dyDescent="0.25">
      <c r="A975" t="s">
        <v>23472</v>
      </c>
      <c r="B975" t="s">
        <v>2143</v>
      </c>
      <c r="C975" t="s">
        <v>108</v>
      </c>
      <c r="D975" t="str">
        <f>"4348"</f>
        <v>4348</v>
      </c>
      <c r="E975" t="s">
        <v>91</v>
      </c>
      <c r="F975" t="s">
        <v>5</v>
      </c>
      <c r="G975" t="s">
        <v>47098</v>
      </c>
      <c r="H975" t="s">
        <v>47126</v>
      </c>
      <c r="I975" t="s">
        <v>47127</v>
      </c>
      <c r="J975" t="s">
        <v>47128</v>
      </c>
      <c r="K975" t="s">
        <v>47113</v>
      </c>
      <c r="L975">
        <v>32.770000000000003</v>
      </c>
      <c r="M975">
        <v>76</v>
      </c>
      <c r="N975">
        <v>0</v>
      </c>
      <c r="O975">
        <v>76</v>
      </c>
      <c r="P975">
        <v>0</v>
      </c>
    </row>
    <row r="976" spans="1:16" x14ac:dyDescent="0.25">
      <c r="A976" t="s">
        <v>23473</v>
      </c>
      <c r="B976" t="s">
        <v>2143</v>
      </c>
      <c r="C976" t="s">
        <v>108</v>
      </c>
      <c r="D976" t="str">
        <f>"5342"</f>
        <v>5342</v>
      </c>
      <c r="E976" t="s">
        <v>77</v>
      </c>
      <c r="F976" t="s">
        <v>5</v>
      </c>
      <c r="G976" t="s">
        <v>47098</v>
      </c>
      <c r="H976" t="s">
        <v>47126</v>
      </c>
      <c r="I976" t="s">
        <v>47127</v>
      </c>
      <c r="J976" t="s">
        <v>47128</v>
      </c>
      <c r="K976" t="s">
        <v>47113</v>
      </c>
      <c r="L976">
        <v>32.770000000000003</v>
      </c>
      <c r="M976">
        <v>76</v>
      </c>
      <c r="N976">
        <v>0</v>
      </c>
      <c r="O976">
        <v>76</v>
      </c>
      <c r="P976">
        <v>0</v>
      </c>
    </row>
    <row r="977" spans="1:16" x14ac:dyDescent="0.25">
      <c r="A977" t="s">
        <v>23474</v>
      </c>
      <c r="B977" t="s">
        <v>2143</v>
      </c>
      <c r="C977" t="s">
        <v>108</v>
      </c>
      <c r="D977" t="str">
        <f>"6064"</f>
        <v>6064</v>
      </c>
      <c r="E977" t="s">
        <v>87</v>
      </c>
      <c r="F977" t="s">
        <v>5</v>
      </c>
      <c r="G977" t="s">
        <v>47098</v>
      </c>
      <c r="H977" t="s">
        <v>47126</v>
      </c>
      <c r="I977" t="s">
        <v>47127</v>
      </c>
      <c r="J977" t="s">
        <v>47128</v>
      </c>
      <c r="K977" t="s">
        <v>47113</v>
      </c>
      <c r="L977">
        <v>32.770000000000003</v>
      </c>
      <c r="M977">
        <v>76</v>
      </c>
      <c r="N977">
        <v>0</v>
      </c>
      <c r="O977">
        <v>76</v>
      </c>
      <c r="P977">
        <v>0</v>
      </c>
    </row>
    <row r="978" spans="1:16" x14ac:dyDescent="0.25">
      <c r="A978" t="s">
        <v>23475</v>
      </c>
      <c r="B978" t="s">
        <v>107</v>
      </c>
      <c r="C978" t="s">
        <v>108</v>
      </c>
      <c r="D978" t="str">
        <f>"1001"</f>
        <v>1001</v>
      </c>
      <c r="E978" t="s">
        <v>42</v>
      </c>
      <c r="F978" t="s">
        <v>5</v>
      </c>
      <c r="G978" t="s">
        <v>47098</v>
      </c>
      <c r="H978" t="s">
        <v>47126</v>
      </c>
      <c r="I978" t="s">
        <v>47127</v>
      </c>
      <c r="J978" t="s">
        <v>47128</v>
      </c>
      <c r="K978" t="s">
        <v>47113</v>
      </c>
      <c r="L978">
        <v>32.770000000000003</v>
      </c>
      <c r="M978">
        <v>76</v>
      </c>
      <c r="N978">
        <v>0</v>
      </c>
      <c r="O978">
        <v>76</v>
      </c>
      <c r="P978">
        <v>0</v>
      </c>
    </row>
    <row r="979" spans="1:16" x14ac:dyDescent="0.25">
      <c r="A979" t="s">
        <v>14740</v>
      </c>
      <c r="B979" t="s">
        <v>107</v>
      </c>
      <c r="C979" t="s">
        <v>108</v>
      </c>
      <c r="D979" t="str">
        <f>"1299"</f>
        <v>1299</v>
      </c>
      <c r="E979" t="s">
        <v>73</v>
      </c>
      <c r="F979" t="s">
        <v>5</v>
      </c>
      <c r="G979" t="s">
        <v>47098</v>
      </c>
      <c r="H979" t="s">
        <v>47126</v>
      </c>
      <c r="I979" t="s">
        <v>47127</v>
      </c>
      <c r="J979" t="s">
        <v>47128</v>
      </c>
      <c r="K979" t="s">
        <v>47113</v>
      </c>
      <c r="L979">
        <v>32.770000000000003</v>
      </c>
      <c r="M979">
        <v>76</v>
      </c>
      <c r="N979">
        <v>0</v>
      </c>
      <c r="O979">
        <v>76</v>
      </c>
      <c r="P979">
        <v>0</v>
      </c>
    </row>
    <row r="980" spans="1:16" x14ac:dyDescent="0.25">
      <c r="A980" t="s">
        <v>23476</v>
      </c>
      <c r="B980" t="s">
        <v>107</v>
      </c>
      <c r="C980" t="s">
        <v>108</v>
      </c>
      <c r="D980" t="str">
        <f>"1377"</f>
        <v>1377</v>
      </c>
      <c r="E980" t="s">
        <v>74</v>
      </c>
      <c r="F980" t="s">
        <v>5</v>
      </c>
      <c r="G980" t="s">
        <v>47098</v>
      </c>
      <c r="H980" t="s">
        <v>47126</v>
      </c>
      <c r="I980" t="s">
        <v>47127</v>
      </c>
      <c r="J980" t="s">
        <v>47128</v>
      </c>
      <c r="K980" t="s">
        <v>47113</v>
      </c>
      <c r="L980">
        <v>32.770000000000003</v>
      </c>
      <c r="M980">
        <v>76</v>
      </c>
      <c r="N980">
        <v>0</v>
      </c>
      <c r="O980">
        <v>76</v>
      </c>
      <c r="P980">
        <v>0</v>
      </c>
    </row>
    <row r="981" spans="1:16" x14ac:dyDescent="0.25">
      <c r="A981" t="s">
        <v>23477</v>
      </c>
      <c r="B981" t="s">
        <v>107</v>
      </c>
      <c r="C981" t="s">
        <v>108</v>
      </c>
      <c r="D981" t="str">
        <f>"2166"</f>
        <v>2166</v>
      </c>
      <c r="E981" t="s">
        <v>80</v>
      </c>
      <c r="F981" t="s">
        <v>5</v>
      </c>
      <c r="G981" t="s">
        <v>47098</v>
      </c>
      <c r="H981" t="s">
        <v>47126</v>
      </c>
      <c r="I981" t="s">
        <v>47127</v>
      </c>
      <c r="J981" t="s">
        <v>47128</v>
      </c>
      <c r="K981" t="s">
        <v>47113</v>
      </c>
      <c r="L981">
        <v>32.770000000000003</v>
      </c>
      <c r="M981">
        <v>76</v>
      </c>
      <c r="N981">
        <v>0</v>
      </c>
      <c r="O981">
        <v>76</v>
      </c>
      <c r="P981">
        <v>0</v>
      </c>
    </row>
    <row r="982" spans="1:16" x14ac:dyDescent="0.25">
      <c r="A982" t="s">
        <v>23478</v>
      </c>
      <c r="B982" t="s">
        <v>107</v>
      </c>
      <c r="C982" t="s">
        <v>108</v>
      </c>
      <c r="D982" t="str">
        <f>"3449"</f>
        <v>3449</v>
      </c>
      <c r="E982" t="s">
        <v>2121</v>
      </c>
      <c r="F982" t="s">
        <v>5</v>
      </c>
      <c r="G982" t="s">
        <v>47098</v>
      </c>
      <c r="H982" t="s">
        <v>47126</v>
      </c>
      <c r="I982" t="s">
        <v>47127</v>
      </c>
      <c r="J982" t="s">
        <v>47128</v>
      </c>
      <c r="K982" t="s">
        <v>47113</v>
      </c>
      <c r="L982">
        <v>32.770000000000003</v>
      </c>
      <c r="M982">
        <v>76</v>
      </c>
      <c r="N982">
        <v>0</v>
      </c>
      <c r="O982">
        <v>76</v>
      </c>
      <c r="P982">
        <v>0</v>
      </c>
    </row>
    <row r="983" spans="1:16" x14ac:dyDescent="0.25">
      <c r="A983" t="s">
        <v>23479</v>
      </c>
      <c r="B983" t="s">
        <v>107</v>
      </c>
      <c r="C983" t="s">
        <v>108</v>
      </c>
      <c r="D983" t="str">
        <f>"4348"</f>
        <v>4348</v>
      </c>
      <c r="E983" t="s">
        <v>91</v>
      </c>
      <c r="F983" t="s">
        <v>5</v>
      </c>
      <c r="G983" t="s">
        <v>47098</v>
      </c>
      <c r="H983" t="s">
        <v>47126</v>
      </c>
      <c r="I983" t="s">
        <v>47127</v>
      </c>
      <c r="J983" t="s">
        <v>47128</v>
      </c>
      <c r="K983" t="s">
        <v>47113</v>
      </c>
      <c r="L983">
        <v>32.770000000000003</v>
      </c>
      <c r="M983">
        <v>76</v>
      </c>
      <c r="N983">
        <v>0</v>
      </c>
      <c r="O983">
        <v>76</v>
      </c>
      <c r="P983">
        <v>0</v>
      </c>
    </row>
    <row r="984" spans="1:16" x14ac:dyDescent="0.25">
      <c r="A984" t="s">
        <v>23480</v>
      </c>
      <c r="B984" t="s">
        <v>107</v>
      </c>
      <c r="C984" t="s">
        <v>108</v>
      </c>
      <c r="D984" t="str">
        <f>"5342"</f>
        <v>5342</v>
      </c>
      <c r="E984" t="s">
        <v>77</v>
      </c>
      <c r="F984" t="s">
        <v>5</v>
      </c>
      <c r="G984" t="s">
        <v>47098</v>
      </c>
      <c r="H984" t="s">
        <v>47126</v>
      </c>
      <c r="I984" t="s">
        <v>47127</v>
      </c>
      <c r="J984" t="s">
        <v>47128</v>
      </c>
      <c r="K984" t="s">
        <v>47113</v>
      </c>
      <c r="L984">
        <v>32.770000000000003</v>
      </c>
      <c r="M984">
        <v>76</v>
      </c>
      <c r="N984">
        <v>0</v>
      </c>
      <c r="O984">
        <v>76</v>
      </c>
      <c r="P984">
        <v>0</v>
      </c>
    </row>
    <row r="985" spans="1:16" x14ac:dyDescent="0.25">
      <c r="A985" t="s">
        <v>23481</v>
      </c>
      <c r="B985" t="s">
        <v>107</v>
      </c>
      <c r="C985" t="s">
        <v>108</v>
      </c>
      <c r="D985" t="str">
        <f>"6064"</f>
        <v>6064</v>
      </c>
      <c r="E985" t="s">
        <v>87</v>
      </c>
      <c r="F985" t="s">
        <v>5</v>
      </c>
      <c r="G985" t="s">
        <v>47098</v>
      </c>
      <c r="H985" t="s">
        <v>47126</v>
      </c>
      <c r="I985" t="s">
        <v>47127</v>
      </c>
      <c r="J985" t="s">
        <v>47128</v>
      </c>
      <c r="K985" t="s">
        <v>47113</v>
      </c>
      <c r="L985">
        <v>32.770000000000003</v>
      </c>
      <c r="M985">
        <v>76</v>
      </c>
      <c r="N985">
        <v>0</v>
      </c>
      <c r="O985">
        <v>76</v>
      </c>
      <c r="P985">
        <v>0</v>
      </c>
    </row>
    <row r="986" spans="1:16" x14ac:dyDescent="0.25">
      <c r="A986" t="s">
        <v>23482</v>
      </c>
      <c r="B986" t="s">
        <v>109</v>
      </c>
      <c r="C986" t="s">
        <v>110</v>
      </c>
      <c r="D986" t="str">
        <f>"1001"</f>
        <v>1001</v>
      </c>
      <c r="E986" t="s">
        <v>2144</v>
      </c>
      <c r="F986" t="s">
        <v>5</v>
      </c>
      <c r="G986" t="s">
        <v>47096</v>
      </c>
      <c r="H986" t="s">
        <v>47126</v>
      </c>
      <c r="I986" t="s">
        <v>47127</v>
      </c>
      <c r="J986" t="s">
        <v>47128</v>
      </c>
      <c r="K986" t="s">
        <v>47113</v>
      </c>
      <c r="L986">
        <v>57.38</v>
      </c>
      <c r="M986">
        <v>133</v>
      </c>
      <c r="N986">
        <v>0</v>
      </c>
      <c r="O986">
        <v>133</v>
      </c>
      <c r="P986">
        <v>0</v>
      </c>
    </row>
    <row r="987" spans="1:16" x14ac:dyDescent="0.25">
      <c r="A987" t="s">
        <v>23483</v>
      </c>
      <c r="B987" t="s">
        <v>109</v>
      </c>
      <c r="C987" t="s">
        <v>110</v>
      </c>
      <c r="D987" t="str">
        <f>"1238"</f>
        <v>1238</v>
      </c>
      <c r="E987" t="s">
        <v>2145</v>
      </c>
      <c r="F987" t="s">
        <v>5</v>
      </c>
      <c r="G987" t="s">
        <v>47096</v>
      </c>
      <c r="H987" t="s">
        <v>47126</v>
      </c>
      <c r="I987" t="s">
        <v>47127</v>
      </c>
      <c r="J987" t="s">
        <v>47128</v>
      </c>
      <c r="K987" t="s">
        <v>47113</v>
      </c>
      <c r="L987">
        <v>57.38</v>
      </c>
      <c r="M987">
        <v>133</v>
      </c>
      <c r="N987">
        <v>0</v>
      </c>
      <c r="O987">
        <v>133</v>
      </c>
      <c r="P987">
        <v>0</v>
      </c>
    </row>
    <row r="988" spans="1:16" x14ac:dyDescent="0.25">
      <c r="A988" t="s">
        <v>23484</v>
      </c>
      <c r="B988" t="s">
        <v>109</v>
      </c>
      <c r="C988" t="s">
        <v>110</v>
      </c>
      <c r="D988" t="str">
        <f>"3451"</f>
        <v>3451</v>
      </c>
      <c r="E988" t="s">
        <v>2146</v>
      </c>
      <c r="F988" t="s">
        <v>5</v>
      </c>
      <c r="G988" t="s">
        <v>47096</v>
      </c>
      <c r="H988" t="s">
        <v>47126</v>
      </c>
      <c r="I988" t="s">
        <v>47127</v>
      </c>
      <c r="J988" t="s">
        <v>47128</v>
      </c>
      <c r="K988" t="s">
        <v>47113</v>
      </c>
      <c r="L988">
        <v>57.38</v>
      </c>
      <c r="M988">
        <v>133</v>
      </c>
      <c r="N988">
        <v>0</v>
      </c>
      <c r="O988">
        <v>133</v>
      </c>
      <c r="P988">
        <v>0</v>
      </c>
    </row>
    <row r="989" spans="1:16" x14ac:dyDescent="0.25">
      <c r="A989" t="s">
        <v>14741</v>
      </c>
      <c r="B989" t="s">
        <v>109</v>
      </c>
      <c r="C989" t="s">
        <v>110</v>
      </c>
      <c r="D989" t="str">
        <f>"4350"</f>
        <v>4350</v>
      </c>
      <c r="E989" t="s">
        <v>111</v>
      </c>
      <c r="F989" t="s">
        <v>5</v>
      </c>
      <c r="G989" t="s">
        <v>47096</v>
      </c>
      <c r="H989" t="s">
        <v>47126</v>
      </c>
      <c r="I989" t="s">
        <v>47127</v>
      </c>
      <c r="J989" t="s">
        <v>47128</v>
      </c>
      <c r="K989" t="s">
        <v>47113</v>
      </c>
      <c r="L989">
        <v>57.38</v>
      </c>
      <c r="M989">
        <v>133</v>
      </c>
      <c r="N989">
        <v>0</v>
      </c>
      <c r="O989">
        <v>133</v>
      </c>
      <c r="P989">
        <v>0</v>
      </c>
    </row>
    <row r="990" spans="1:16" x14ac:dyDescent="0.25">
      <c r="A990" t="s">
        <v>23485</v>
      </c>
      <c r="B990" t="s">
        <v>109</v>
      </c>
      <c r="C990" t="s">
        <v>110</v>
      </c>
      <c r="D990" t="str">
        <f>"5343"</f>
        <v>5343</v>
      </c>
      <c r="E990" t="s">
        <v>2147</v>
      </c>
      <c r="F990" t="s">
        <v>5</v>
      </c>
      <c r="G990" t="s">
        <v>47096</v>
      </c>
      <c r="H990" t="s">
        <v>47126</v>
      </c>
      <c r="I990" t="s">
        <v>47127</v>
      </c>
      <c r="J990" t="s">
        <v>47128</v>
      </c>
      <c r="K990" t="s">
        <v>47113</v>
      </c>
      <c r="L990">
        <v>57.38</v>
      </c>
      <c r="M990">
        <v>133</v>
      </c>
      <c r="N990">
        <v>0</v>
      </c>
      <c r="O990">
        <v>133</v>
      </c>
      <c r="P990">
        <v>0</v>
      </c>
    </row>
    <row r="991" spans="1:16" x14ac:dyDescent="0.25">
      <c r="A991" t="s">
        <v>23486</v>
      </c>
      <c r="B991" t="s">
        <v>112</v>
      </c>
      <c r="C991" t="s">
        <v>113</v>
      </c>
      <c r="D991" t="str">
        <f>"1001"</f>
        <v>1001</v>
      </c>
      <c r="E991" t="s">
        <v>42</v>
      </c>
      <c r="F991" t="s">
        <v>5</v>
      </c>
      <c r="G991" t="s">
        <v>47096</v>
      </c>
      <c r="H991" t="s">
        <v>47126</v>
      </c>
      <c r="I991" t="s">
        <v>47127</v>
      </c>
      <c r="J991" t="s">
        <v>47128</v>
      </c>
      <c r="K991" t="s">
        <v>47113</v>
      </c>
      <c r="L991">
        <v>57.95</v>
      </c>
      <c r="M991">
        <v>135</v>
      </c>
      <c r="N991">
        <v>0</v>
      </c>
      <c r="O991">
        <v>135</v>
      </c>
      <c r="P991">
        <v>0</v>
      </c>
    </row>
    <row r="992" spans="1:16" x14ac:dyDescent="0.25">
      <c r="A992" t="s">
        <v>23487</v>
      </c>
      <c r="B992" t="s">
        <v>112</v>
      </c>
      <c r="C992" t="s">
        <v>113</v>
      </c>
      <c r="D992" t="str">
        <f>"1285"</f>
        <v>1285</v>
      </c>
      <c r="E992" t="s">
        <v>2148</v>
      </c>
      <c r="F992" t="s">
        <v>5</v>
      </c>
      <c r="G992" t="s">
        <v>47096</v>
      </c>
      <c r="H992" t="s">
        <v>47126</v>
      </c>
      <c r="I992" t="s">
        <v>47127</v>
      </c>
      <c r="J992" t="s">
        <v>47128</v>
      </c>
      <c r="K992" t="s">
        <v>47113</v>
      </c>
      <c r="L992">
        <v>57.95</v>
      </c>
      <c r="M992">
        <v>135</v>
      </c>
      <c r="N992">
        <v>0</v>
      </c>
      <c r="O992">
        <v>135</v>
      </c>
      <c r="P992">
        <v>0</v>
      </c>
    </row>
    <row r="993" spans="1:16" x14ac:dyDescent="0.25">
      <c r="A993" t="s">
        <v>23488</v>
      </c>
      <c r="B993" t="s">
        <v>112</v>
      </c>
      <c r="C993" t="s">
        <v>113</v>
      </c>
      <c r="D993" t="str">
        <f>"2701"</f>
        <v>2701</v>
      </c>
      <c r="E993" t="s">
        <v>2149</v>
      </c>
      <c r="F993" t="s">
        <v>5</v>
      </c>
      <c r="G993" t="s">
        <v>47096</v>
      </c>
      <c r="H993" t="s">
        <v>47126</v>
      </c>
      <c r="I993" t="s">
        <v>47127</v>
      </c>
      <c r="J993" t="s">
        <v>47128</v>
      </c>
      <c r="K993" t="s">
        <v>47113</v>
      </c>
      <c r="L993">
        <v>57.95</v>
      </c>
      <c r="M993">
        <v>135</v>
      </c>
      <c r="N993">
        <v>0</v>
      </c>
      <c r="O993">
        <v>135</v>
      </c>
      <c r="P993">
        <v>0</v>
      </c>
    </row>
    <row r="994" spans="1:16" x14ac:dyDescent="0.25">
      <c r="A994" t="s">
        <v>14742</v>
      </c>
      <c r="B994" t="s">
        <v>112</v>
      </c>
      <c r="C994" t="s">
        <v>113</v>
      </c>
      <c r="D994" t="str">
        <f>"5342"</f>
        <v>5342</v>
      </c>
      <c r="E994" t="s">
        <v>77</v>
      </c>
      <c r="F994" t="s">
        <v>5</v>
      </c>
      <c r="G994" t="s">
        <v>47096</v>
      </c>
      <c r="H994" t="s">
        <v>47126</v>
      </c>
      <c r="I994" t="s">
        <v>47127</v>
      </c>
      <c r="J994" t="s">
        <v>47128</v>
      </c>
      <c r="K994" t="s">
        <v>47113</v>
      </c>
      <c r="L994">
        <v>57.95</v>
      </c>
      <c r="M994">
        <v>135</v>
      </c>
      <c r="N994">
        <v>0</v>
      </c>
      <c r="O994">
        <v>135</v>
      </c>
      <c r="P994">
        <v>0</v>
      </c>
    </row>
    <row r="995" spans="1:16" x14ac:dyDescent="0.25">
      <c r="A995" t="s">
        <v>14743</v>
      </c>
      <c r="B995" t="s">
        <v>114</v>
      </c>
      <c r="C995" t="s">
        <v>115</v>
      </c>
      <c r="D995" t="str">
        <f>"1001"</f>
        <v>1001</v>
      </c>
      <c r="E995" t="s">
        <v>42</v>
      </c>
      <c r="F995" t="s">
        <v>5</v>
      </c>
      <c r="G995" t="s">
        <v>47096</v>
      </c>
      <c r="H995" t="s">
        <v>47126</v>
      </c>
      <c r="I995" t="s">
        <v>47127</v>
      </c>
      <c r="J995" t="s">
        <v>47128</v>
      </c>
      <c r="K995" t="s">
        <v>47113</v>
      </c>
      <c r="L995">
        <v>57.69</v>
      </c>
      <c r="M995">
        <v>133</v>
      </c>
      <c r="N995">
        <v>0</v>
      </c>
      <c r="O995">
        <v>133</v>
      </c>
      <c r="P995">
        <v>0</v>
      </c>
    </row>
    <row r="996" spans="1:16" x14ac:dyDescent="0.25">
      <c r="A996" t="s">
        <v>23489</v>
      </c>
      <c r="B996" t="s">
        <v>114</v>
      </c>
      <c r="C996" t="s">
        <v>115</v>
      </c>
      <c r="D996" t="str">
        <f>"1285"</f>
        <v>1285</v>
      </c>
      <c r="E996" t="s">
        <v>2148</v>
      </c>
      <c r="F996" t="s">
        <v>5</v>
      </c>
      <c r="G996" t="s">
        <v>47096</v>
      </c>
      <c r="H996" t="s">
        <v>47126</v>
      </c>
      <c r="I996" t="s">
        <v>47127</v>
      </c>
      <c r="J996" t="s">
        <v>47128</v>
      </c>
      <c r="K996" t="s">
        <v>47113</v>
      </c>
      <c r="L996">
        <v>57.95</v>
      </c>
      <c r="M996">
        <v>133</v>
      </c>
      <c r="N996">
        <v>0</v>
      </c>
      <c r="O996">
        <v>133</v>
      </c>
      <c r="P996">
        <v>0</v>
      </c>
    </row>
    <row r="997" spans="1:16" x14ac:dyDescent="0.25">
      <c r="A997" t="s">
        <v>23490</v>
      </c>
      <c r="B997" t="s">
        <v>114</v>
      </c>
      <c r="C997" t="s">
        <v>115</v>
      </c>
      <c r="D997" t="str">
        <f>"2701"</f>
        <v>2701</v>
      </c>
      <c r="E997" t="s">
        <v>2149</v>
      </c>
      <c r="F997" t="s">
        <v>5</v>
      </c>
      <c r="G997" t="s">
        <v>47096</v>
      </c>
      <c r="H997" t="s">
        <v>47126</v>
      </c>
      <c r="I997" t="s">
        <v>47127</v>
      </c>
      <c r="J997" t="s">
        <v>47128</v>
      </c>
      <c r="K997" t="s">
        <v>47113</v>
      </c>
      <c r="L997">
        <v>56.56</v>
      </c>
      <c r="M997">
        <v>133</v>
      </c>
      <c r="N997">
        <v>0</v>
      </c>
      <c r="O997">
        <v>133</v>
      </c>
      <c r="P997">
        <v>0</v>
      </c>
    </row>
    <row r="998" spans="1:16" x14ac:dyDescent="0.25">
      <c r="A998" t="s">
        <v>23491</v>
      </c>
      <c r="B998" t="s">
        <v>114</v>
      </c>
      <c r="C998" t="s">
        <v>115</v>
      </c>
      <c r="D998" t="str">
        <f>"5342"</f>
        <v>5342</v>
      </c>
      <c r="E998" t="s">
        <v>77</v>
      </c>
      <c r="F998" t="s">
        <v>5</v>
      </c>
      <c r="G998" t="s">
        <v>47096</v>
      </c>
      <c r="H998" t="s">
        <v>47126</v>
      </c>
      <c r="I998" t="s">
        <v>47127</v>
      </c>
      <c r="J998" t="s">
        <v>47128</v>
      </c>
      <c r="K998" t="s">
        <v>47113</v>
      </c>
      <c r="L998">
        <v>56.56</v>
      </c>
      <c r="M998">
        <v>133</v>
      </c>
      <c r="N998">
        <v>0</v>
      </c>
      <c r="O998">
        <v>133</v>
      </c>
      <c r="P998">
        <v>0</v>
      </c>
    </row>
    <row r="999" spans="1:16" x14ac:dyDescent="0.25">
      <c r="A999" t="s">
        <v>23492</v>
      </c>
      <c r="B999" t="s">
        <v>116</v>
      </c>
      <c r="C999" t="s">
        <v>117</v>
      </c>
      <c r="D999" t="str">
        <f>"2166"</f>
        <v>2166</v>
      </c>
      <c r="E999" t="s">
        <v>80</v>
      </c>
      <c r="F999" t="s">
        <v>5</v>
      </c>
      <c r="G999" t="s">
        <v>47096</v>
      </c>
      <c r="H999" t="s">
        <v>47126</v>
      </c>
      <c r="I999" t="s">
        <v>47127</v>
      </c>
      <c r="J999" t="s">
        <v>47128</v>
      </c>
      <c r="K999" t="s">
        <v>47113</v>
      </c>
      <c r="L999">
        <v>50.58</v>
      </c>
      <c r="M999">
        <v>118</v>
      </c>
      <c r="N999">
        <v>0</v>
      </c>
      <c r="O999">
        <v>118</v>
      </c>
      <c r="P999">
        <v>0</v>
      </c>
    </row>
    <row r="1000" spans="1:16" x14ac:dyDescent="0.25">
      <c r="A1000" t="s">
        <v>14744</v>
      </c>
      <c r="B1000" t="s">
        <v>116</v>
      </c>
      <c r="C1000" t="s">
        <v>117</v>
      </c>
      <c r="D1000" t="str">
        <f>"4348"</f>
        <v>4348</v>
      </c>
      <c r="E1000" t="s">
        <v>91</v>
      </c>
      <c r="F1000" t="s">
        <v>5</v>
      </c>
      <c r="G1000" t="s">
        <v>47096</v>
      </c>
      <c r="H1000" t="s">
        <v>47126</v>
      </c>
      <c r="I1000" t="s">
        <v>47127</v>
      </c>
      <c r="J1000" t="s">
        <v>47128</v>
      </c>
      <c r="K1000" t="s">
        <v>47113</v>
      </c>
      <c r="L1000">
        <v>50.58</v>
      </c>
      <c r="M1000">
        <v>118</v>
      </c>
      <c r="N1000">
        <v>0</v>
      </c>
      <c r="O1000">
        <v>118</v>
      </c>
      <c r="P1000">
        <v>0</v>
      </c>
    </row>
    <row r="1001" spans="1:16" x14ac:dyDescent="0.25">
      <c r="A1001" t="s">
        <v>23493</v>
      </c>
      <c r="B1001" t="s">
        <v>2150</v>
      </c>
      <c r="C1001" t="s">
        <v>2151</v>
      </c>
      <c r="D1001" t="str">
        <f>"1200"</f>
        <v>1200</v>
      </c>
      <c r="E1001" t="s">
        <v>241</v>
      </c>
      <c r="F1001" t="s">
        <v>5</v>
      </c>
      <c r="G1001" t="s">
        <v>47096</v>
      </c>
      <c r="H1001" t="s">
        <v>47126</v>
      </c>
      <c r="I1001" t="s">
        <v>47127</v>
      </c>
      <c r="J1001" t="s">
        <v>47128</v>
      </c>
      <c r="K1001" t="s">
        <v>47113</v>
      </c>
      <c r="L1001">
        <v>30.47</v>
      </c>
      <c r="M1001">
        <v>70</v>
      </c>
      <c r="N1001">
        <v>0</v>
      </c>
      <c r="O1001">
        <v>70</v>
      </c>
      <c r="P1001">
        <v>0</v>
      </c>
    </row>
    <row r="1002" spans="1:16" x14ac:dyDescent="0.25">
      <c r="A1002" t="s">
        <v>23494</v>
      </c>
      <c r="B1002" t="s">
        <v>2150</v>
      </c>
      <c r="C1002" t="s">
        <v>2151</v>
      </c>
      <c r="D1002" t="str">
        <f>"1258"</f>
        <v>1258</v>
      </c>
      <c r="E1002" t="s">
        <v>2152</v>
      </c>
      <c r="F1002" t="s">
        <v>5</v>
      </c>
      <c r="G1002" t="s">
        <v>47096</v>
      </c>
      <c r="H1002" t="s">
        <v>47126</v>
      </c>
      <c r="I1002" t="s">
        <v>47127</v>
      </c>
      <c r="J1002" t="s">
        <v>47128</v>
      </c>
      <c r="K1002" t="s">
        <v>47113</v>
      </c>
      <c r="L1002">
        <v>30.47</v>
      </c>
      <c r="M1002">
        <v>70</v>
      </c>
      <c r="N1002">
        <v>0</v>
      </c>
      <c r="O1002">
        <v>70</v>
      </c>
      <c r="P1002">
        <v>0</v>
      </c>
    </row>
    <row r="1003" spans="1:16" x14ac:dyDescent="0.25">
      <c r="A1003" t="s">
        <v>23495</v>
      </c>
      <c r="B1003" t="s">
        <v>2150</v>
      </c>
      <c r="C1003" t="s">
        <v>2151</v>
      </c>
      <c r="D1003" t="str">
        <f>"2166"</f>
        <v>2166</v>
      </c>
      <c r="E1003" t="s">
        <v>80</v>
      </c>
      <c r="F1003" t="s">
        <v>5</v>
      </c>
      <c r="G1003" t="s">
        <v>47096</v>
      </c>
      <c r="H1003" t="s">
        <v>47126</v>
      </c>
      <c r="I1003" t="s">
        <v>47127</v>
      </c>
      <c r="J1003" t="s">
        <v>47128</v>
      </c>
      <c r="K1003" t="s">
        <v>47113</v>
      </c>
      <c r="L1003">
        <v>30.47</v>
      </c>
      <c r="M1003">
        <v>70</v>
      </c>
      <c r="N1003">
        <v>0</v>
      </c>
      <c r="O1003">
        <v>70</v>
      </c>
      <c r="P1003">
        <v>0</v>
      </c>
    </row>
    <row r="1004" spans="1:16" x14ac:dyDescent="0.25">
      <c r="A1004" t="s">
        <v>23496</v>
      </c>
      <c r="B1004" t="s">
        <v>2153</v>
      </c>
      <c r="C1004" t="s">
        <v>113</v>
      </c>
      <c r="D1004" t="str">
        <f>"1001"</f>
        <v>1001</v>
      </c>
      <c r="E1004" t="s">
        <v>42</v>
      </c>
      <c r="F1004" t="s">
        <v>5</v>
      </c>
      <c r="G1004" t="s">
        <v>47096</v>
      </c>
      <c r="H1004" t="s">
        <v>47126</v>
      </c>
      <c r="I1004" t="s">
        <v>47127</v>
      </c>
      <c r="J1004" t="s">
        <v>47128</v>
      </c>
      <c r="K1004" t="s">
        <v>47113</v>
      </c>
      <c r="L1004">
        <v>29.76</v>
      </c>
      <c r="M1004">
        <v>65</v>
      </c>
      <c r="N1004">
        <v>0</v>
      </c>
      <c r="O1004">
        <v>65</v>
      </c>
      <c r="P1004">
        <v>0</v>
      </c>
    </row>
    <row r="1005" spans="1:16" x14ac:dyDescent="0.25">
      <c r="A1005" t="s">
        <v>23497</v>
      </c>
      <c r="B1005" t="s">
        <v>2153</v>
      </c>
      <c r="C1005" t="s">
        <v>113</v>
      </c>
      <c r="D1005" t="str">
        <f>"1377"</f>
        <v>1377</v>
      </c>
      <c r="E1005" t="s">
        <v>74</v>
      </c>
      <c r="F1005" t="s">
        <v>5</v>
      </c>
      <c r="G1005" t="s">
        <v>47096</v>
      </c>
      <c r="H1005" t="s">
        <v>47126</v>
      </c>
      <c r="I1005" t="s">
        <v>47127</v>
      </c>
      <c r="J1005" t="s">
        <v>47128</v>
      </c>
      <c r="K1005" t="s">
        <v>47113</v>
      </c>
      <c r="L1005">
        <v>29.76</v>
      </c>
      <c r="M1005">
        <v>65</v>
      </c>
      <c r="N1005">
        <v>0</v>
      </c>
      <c r="O1005">
        <v>65</v>
      </c>
      <c r="P1005">
        <v>0</v>
      </c>
    </row>
    <row r="1006" spans="1:16" x14ac:dyDescent="0.25">
      <c r="A1006" t="s">
        <v>23498</v>
      </c>
      <c r="B1006" t="s">
        <v>2153</v>
      </c>
      <c r="C1006" t="s">
        <v>113</v>
      </c>
      <c r="D1006" t="str">
        <f>"2166"</f>
        <v>2166</v>
      </c>
      <c r="E1006" t="s">
        <v>80</v>
      </c>
      <c r="F1006" t="s">
        <v>5</v>
      </c>
      <c r="G1006" t="s">
        <v>47096</v>
      </c>
      <c r="H1006" t="s">
        <v>47126</v>
      </c>
      <c r="I1006" t="s">
        <v>47127</v>
      </c>
      <c r="J1006" t="s">
        <v>47128</v>
      </c>
      <c r="K1006" t="s">
        <v>47113</v>
      </c>
      <c r="L1006">
        <v>29.76</v>
      </c>
      <c r="M1006">
        <v>65</v>
      </c>
      <c r="N1006">
        <v>0</v>
      </c>
      <c r="O1006">
        <v>65</v>
      </c>
      <c r="P1006">
        <v>0</v>
      </c>
    </row>
    <row r="1007" spans="1:16" x14ac:dyDescent="0.25">
      <c r="A1007" t="s">
        <v>23499</v>
      </c>
      <c r="B1007" t="s">
        <v>2153</v>
      </c>
      <c r="C1007" t="s">
        <v>113</v>
      </c>
      <c r="D1007" t="str">
        <f>"3449"</f>
        <v>3449</v>
      </c>
      <c r="E1007" t="s">
        <v>90</v>
      </c>
      <c r="F1007" t="s">
        <v>5</v>
      </c>
      <c r="G1007" t="s">
        <v>47096</v>
      </c>
      <c r="H1007" t="s">
        <v>47126</v>
      </c>
      <c r="I1007" t="s">
        <v>47127</v>
      </c>
      <c r="J1007" t="s">
        <v>47128</v>
      </c>
      <c r="K1007" t="s">
        <v>47113</v>
      </c>
      <c r="L1007">
        <v>29.76</v>
      </c>
      <c r="M1007">
        <v>65</v>
      </c>
      <c r="N1007">
        <v>0</v>
      </c>
      <c r="O1007">
        <v>65</v>
      </c>
      <c r="P1007">
        <v>0</v>
      </c>
    </row>
    <row r="1008" spans="1:16" x14ac:dyDescent="0.25">
      <c r="A1008" t="s">
        <v>23500</v>
      </c>
      <c r="B1008" t="s">
        <v>2153</v>
      </c>
      <c r="C1008" t="s">
        <v>113</v>
      </c>
      <c r="D1008" t="str">
        <f>"4643"</f>
        <v>4643</v>
      </c>
      <c r="E1008" t="s">
        <v>205</v>
      </c>
      <c r="F1008" t="s">
        <v>5</v>
      </c>
      <c r="G1008" t="s">
        <v>47096</v>
      </c>
      <c r="H1008" t="s">
        <v>47126</v>
      </c>
      <c r="I1008" t="s">
        <v>47127</v>
      </c>
      <c r="J1008" t="s">
        <v>47128</v>
      </c>
      <c r="K1008" t="s">
        <v>47113</v>
      </c>
      <c r="L1008">
        <v>29.76</v>
      </c>
      <c r="M1008">
        <v>65</v>
      </c>
      <c r="N1008">
        <v>0</v>
      </c>
      <c r="O1008">
        <v>65</v>
      </c>
      <c r="P1008">
        <v>0</v>
      </c>
    </row>
    <row r="1009" spans="1:16" x14ac:dyDescent="0.25">
      <c r="A1009" t="s">
        <v>23501</v>
      </c>
      <c r="B1009" t="s">
        <v>2153</v>
      </c>
      <c r="C1009" t="s">
        <v>113</v>
      </c>
      <c r="D1009" t="str">
        <f>"5342"</f>
        <v>5342</v>
      </c>
      <c r="E1009" t="s">
        <v>77</v>
      </c>
      <c r="F1009" t="s">
        <v>5</v>
      </c>
      <c r="G1009" t="s">
        <v>47096</v>
      </c>
      <c r="H1009" t="s">
        <v>47126</v>
      </c>
      <c r="I1009" t="s">
        <v>47127</v>
      </c>
      <c r="J1009" t="s">
        <v>47128</v>
      </c>
      <c r="K1009" t="s">
        <v>47113</v>
      </c>
      <c r="L1009">
        <v>29.76</v>
      </c>
      <c r="M1009">
        <v>65</v>
      </c>
      <c r="N1009">
        <v>0</v>
      </c>
      <c r="O1009">
        <v>65</v>
      </c>
      <c r="P1009">
        <v>0</v>
      </c>
    </row>
    <row r="1010" spans="1:16" x14ac:dyDescent="0.25">
      <c r="A1010" t="s">
        <v>23502</v>
      </c>
      <c r="B1010" t="s">
        <v>2153</v>
      </c>
      <c r="C1010" t="s">
        <v>113</v>
      </c>
      <c r="D1010" t="str">
        <f>"6082"</f>
        <v>6082</v>
      </c>
      <c r="E1010" t="s">
        <v>2154</v>
      </c>
      <c r="F1010" t="s">
        <v>5</v>
      </c>
      <c r="G1010" t="s">
        <v>47096</v>
      </c>
      <c r="H1010" t="s">
        <v>47126</v>
      </c>
      <c r="I1010" t="s">
        <v>47127</v>
      </c>
      <c r="J1010" t="s">
        <v>47128</v>
      </c>
      <c r="K1010" t="s">
        <v>47113</v>
      </c>
      <c r="L1010">
        <v>29.76</v>
      </c>
      <c r="M1010">
        <v>65</v>
      </c>
      <c r="N1010">
        <v>0</v>
      </c>
      <c r="O1010">
        <v>65</v>
      </c>
      <c r="P1010">
        <v>0</v>
      </c>
    </row>
    <row r="1011" spans="1:16" x14ac:dyDescent="0.25">
      <c r="A1011" t="s">
        <v>23503</v>
      </c>
      <c r="B1011" t="s">
        <v>2155</v>
      </c>
      <c r="C1011" t="s">
        <v>2156</v>
      </c>
      <c r="D1011" t="str">
        <f>"1001"</f>
        <v>1001</v>
      </c>
      <c r="E1011" t="s">
        <v>42</v>
      </c>
      <c r="F1011" t="s">
        <v>5</v>
      </c>
      <c r="G1011" t="s">
        <v>47096</v>
      </c>
      <c r="H1011" t="s">
        <v>47126</v>
      </c>
      <c r="I1011" t="s">
        <v>47127</v>
      </c>
      <c r="J1011" t="s">
        <v>47128</v>
      </c>
      <c r="K1011" t="s">
        <v>47113</v>
      </c>
      <c r="L1011">
        <v>29.02</v>
      </c>
      <c r="M1011">
        <v>65</v>
      </c>
      <c r="N1011">
        <v>0</v>
      </c>
      <c r="O1011">
        <v>65</v>
      </c>
      <c r="P1011">
        <v>0</v>
      </c>
    </row>
    <row r="1012" spans="1:16" x14ac:dyDescent="0.25">
      <c r="A1012" t="s">
        <v>23504</v>
      </c>
      <c r="B1012" t="s">
        <v>2155</v>
      </c>
      <c r="C1012" t="s">
        <v>2156</v>
      </c>
      <c r="D1012" t="str">
        <f>"1377"</f>
        <v>1377</v>
      </c>
      <c r="E1012" t="s">
        <v>74</v>
      </c>
      <c r="F1012" t="s">
        <v>5</v>
      </c>
      <c r="G1012" t="s">
        <v>47096</v>
      </c>
      <c r="H1012" t="s">
        <v>47126</v>
      </c>
      <c r="I1012" t="s">
        <v>47127</v>
      </c>
      <c r="J1012" t="s">
        <v>47128</v>
      </c>
      <c r="K1012" t="s">
        <v>47113</v>
      </c>
      <c r="L1012">
        <v>28.05</v>
      </c>
      <c r="M1012">
        <v>65</v>
      </c>
      <c r="N1012">
        <v>0</v>
      </c>
      <c r="O1012">
        <v>65</v>
      </c>
      <c r="P1012">
        <v>0</v>
      </c>
    </row>
    <row r="1013" spans="1:16" x14ac:dyDescent="0.25">
      <c r="A1013" t="s">
        <v>14745</v>
      </c>
      <c r="B1013" t="s">
        <v>2155</v>
      </c>
      <c r="C1013" t="s">
        <v>2156</v>
      </c>
      <c r="D1013" t="str">
        <f>"2166"</f>
        <v>2166</v>
      </c>
      <c r="E1013" t="s">
        <v>80</v>
      </c>
      <c r="F1013" t="s">
        <v>5</v>
      </c>
      <c r="G1013" t="s">
        <v>47096</v>
      </c>
      <c r="H1013" t="s">
        <v>47126</v>
      </c>
      <c r="I1013" t="s">
        <v>47127</v>
      </c>
      <c r="J1013" t="s">
        <v>47128</v>
      </c>
      <c r="K1013" t="s">
        <v>47113</v>
      </c>
      <c r="L1013">
        <v>28.86</v>
      </c>
      <c r="M1013">
        <v>65</v>
      </c>
      <c r="N1013">
        <v>0</v>
      </c>
      <c r="O1013">
        <v>65</v>
      </c>
      <c r="P1013">
        <v>0</v>
      </c>
    </row>
    <row r="1014" spans="1:16" x14ac:dyDescent="0.25">
      <c r="A1014" t="s">
        <v>23505</v>
      </c>
      <c r="B1014" t="s">
        <v>2155</v>
      </c>
      <c r="C1014" t="s">
        <v>2156</v>
      </c>
      <c r="D1014" t="str">
        <f>"3449"</f>
        <v>3449</v>
      </c>
      <c r="E1014" t="s">
        <v>90</v>
      </c>
      <c r="F1014" t="s">
        <v>5</v>
      </c>
      <c r="G1014" t="s">
        <v>47096</v>
      </c>
      <c r="H1014" t="s">
        <v>47126</v>
      </c>
      <c r="I1014" t="s">
        <v>47127</v>
      </c>
      <c r="J1014" t="s">
        <v>47128</v>
      </c>
      <c r="K1014" t="s">
        <v>47113</v>
      </c>
      <c r="L1014">
        <v>29.2</v>
      </c>
      <c r="M1014">
        <v>65</v>
      </c>
      <c r="N1014">
        <v>0</v>
      </c>
      <c r="O1014">
        <v>65</v>
      </c>
      <c r="P1014">
        <v>0</v>
      </c>
    </row>
    <row r="1015" spans="1:16" x14ac:dyDescent="0.25">
      <c r="A1015" t="s">
        <v>23506</v>
      </c>
      <c r="B1015" t="s">
        <v>2155</v>
      </c>
      <c r="C1015" t="s">
        <v>2156</v>
      </c>
      <c r="D1015" t="str">
        <f>"4643"</f>
        <v>4643</v>
      </c>
      <c r="E1015" t="s">
        <v>205</v>
      </c>
      <c r="F1015" t="s">
        <v>5</v>
      </c>
      <c r="G1015" t="s">
        <v>47096</v>
      </c>
      <c r="H1015" t="s">
        <v>47126</v>
      </c>
      <c r="I1015" t="s">
        <v>47127</v>
      </c>
      <c r="J1015" t="s">
        <v>47128</v>
      </c>
      <c r="K1015" t="s">
        <v>47113</v>
      </c>
      <c r="L1015">
        <v>29.2</v>
      </c>
      <c r="M1015">
        <v>65</v>
      </c>
      <c r="N1015">
        <v>0</v>
      </c>
      <c r="O1015">
        <v>65</v>
      </c>
      <c r="P1015">
        <v>0</v>
      </c>
    </row>
    <row r="1016" spans="1:16" x14ac:dyDescent="0.25">
      <c r="A1016" t="s">
        <v>23507</v>
      </c>
      <c r="B1016" t="s">
        <v>2155</v>
      </c>
      <c r="C1016" t="s">
        <v>2156</v>
      </c>
      <c r="D1016" t="str">
        <f>"5342"</f>
        <v>5342</v>
      </c>
      <c r="E1016" t="s">
        <v>77</v>
      </c>
      <c r="F1016" t="s">
        <v>5</v>
      </c>
      <c r="G1016" t="s">
        <v>47096</v>
      </c>
      <c r="H1016" t="s">
        <v>47126</v>
      </c>
      <c r="I1016" t="s">
        <v>47127</v>
      </c>
      <c r="J1016" t="s">
        <v>47128</v>
      </c>
      <c r="K1016" t="s">
        <v>47113</v>
      </c>
      <c r="L1016">
        <v>29.16</v>
      </c>
      <c r="M1016">
        <v>65</v>
      </c>
      <c r="N1016">
        <v>0</v>
      </c>
      <c r="O1016">
        <v>65</v>
      </c>
      <c r="P1016">
        <v>0</v>
      </c>
    </row>
    <row r="1017" spans="1:16" x14ac:dyDescent="0.25">
      <c r="A1017" t="s">
        <v>23508</v>
      </c>
      <c r="B1017" t="s">
        <v>2157</v>
      </c>
      <c r="C1017" t="s">
        <v>2158</v>
      </c>
      <c r="D1017" t="str">
        <f>"1001"</f>
        <v>1001</v>
      </c>
      <c r="E1017" t="s">
        <v>42</v>
      </c>
      <c r="F1017" t="s">
        <v>5</v>
      </c>
      <c r="G1017" t="s">
        <v>47096</v>
      </c>
      <c r="H1017" t="s">
        <v>47126</v>
      </c>
      <c r="I1017" t="s">
        <v>47127</v>
      </c>
      <c r="J1017" t="s">
        <v>47128</v>
      </c>
      <c r="K1017" t="s">
        <v>47113</v>
      </c>
      <c r="L1017">
        <v>29.2</v>
      </c>
      <c r="M1017">
        <v>68</v>
      </c>
      <c r="N1017">
        <v>0</v>
      </c>
      <c r="O1017">
        <v>68</v>
      </c>
      <c r="P1017">
        <v>0</v>
      </c>
    </row>
    <row r="1018" spans="1:16" x14ac:dyDescent="0.25">
      <c r="A1018" t="s">
        <v>23509</v>
      </c>
      <c r="B1018" t="s">
        <v>2157</v>
      </c>
      <c r="C1018" t="s">
        <v>2158</v>
      </c>
      <c r="D1018" t="str">
        <f>"1377"</f>
        <v>1377</v>
      </c>
      <c r="E1018" t="s">
        <v>74</v>
      </c>
      <c r="F1018" t="s">
        <v>5</v>
      </c>
      <c r="G1018" t="s">
        <v>47096</v>
      </c>
      <c r="H1018" t="s">
        <v>47126</v>
      </c>
      <c r="I1018" t="s">
        <v>47127</v>
      </c>
      <c r="J1018" t="s">
        <v>47128</v>
      </c>
      <c r="K1018" t="s">
        <v>47113</v>
      </c>
      <c r="L1018">
        <v>29.2</v>
      </c>
      <c r="M1018">
        <v>68</v>
      </c>
      <c r="N1018">
        <v>0</v>
      </c>
      <c r="O1018">
        <v>68</v>
      </c>
      <c r="P1018">
        <v>0</v>
      </c>
    </row>
    <row r="1019" spans="1:16" x14ac:dyDescent="0.25">
      <c r="A1019" t="s">
        <v>23510</v>
      </c>
      <c r="B1019" t="s">
        <v>2157</v>
      </c>
      <c r="C1019" t="s">
        <v>2158</v>
      </c>
      <c r="D1019" t="str">
        <f>"2166"</f>
        <v>2166</v>
      </c>
      <c r="E1019" t="s">
        <v>80</v>
      </c>
      <c r="F1019" t="s">
        <v>5</v>
      </c>
      <c r="G1019" t="s">
        <v>47096</v>
      </c>
      <c r="H1019" t="s">
        <v>47126</v>
      </c>
      <c r="I1019" t="s">
        <v>47127</v>
      </c>
      <c r="J1019" t="s">
        <v>47128</v>
      </c>
      <c r="K1019" t="s">
        <v>47113</v>
      </c>
      <c r="L1019">
        <v>29.2</v>
      </c>
      <c r="M1019">
        <v>68</v>
      </c>
      <c r="N1019">
        <v>0</v>
      </c>
      <c r="O1019">
        <v>68</v>
      </c>
      <c r="P1019">
        <v>0</v>
      </c>
    </row>
    <row r="1020" spans="1:16" x14ac:dyDescent="0.25">
      <c r="A1020" t="s">
        <v>23511</v>
      </c>
      <c r="B1020" t="s">
        <v>2157</v>
      </c>
      <c r="C1020" t="s">
        <v>2158</v>
      </c>
      <c r="D1020" t="str">
        <f>"3449"</f>
        <v>3449</v>
      </c>
      <c r="E1020" t="s">
        <v>90</v>
      </c>
      <c r="F1020" t="s">
        <v>5</v>
      </c>
      <c r="G1020" t="s">
        <v>47096</v>
      </c>
      <c r="H1020" t="s">
        <v>47126</v>
      </c>
      <c r="I1020" t="s">
        <v>47127</v>
      </c>
      <c r="J1020" t="s">
        <v>47128</v>
      </c>
      <c r="K1020" t="s">
        <v>47113</v>
      </c>
      <c r="L1020">
        <v>29.2</v>
      </c>
      <c r="M1020">
        <v>68</v>
      </c>
      <c r="N1020">
        <v>0</v>
      </c>
      <c r="O1020">
        <v>68</v>
      </c>
      <c r="P1020">
        <v>0</v>
      </c>
    </row>
    <row r="1021" spans="1:16" x14ac:dyDescent="0.25">
      <c r="A1021" t="s">
        <v>23512</v>
      </c>
      <c r="B1021" t="s">
        <v>2157</v>
      </c>
      <c r="C1021" t="s">
        <v>2158</v>
      </c>
      <c r="D1021" t="str">
        <f>"4643"</f>
        <v>4643</v>
      </c>
      <c r="E1021" t="s">
        <v>205</v>
      </c>
      <c r="F1021" t="s">
        <v>5</v>
      </c>
      <c r="G1021" t="s">
        <v>47096</v>
      </c>
      <c r="H1021" t="s">
        <v>47126</v>
      </c>
      <c r="I1021" t="s">
        <v>47127</v>
      </c>
      <c r="J1021" t="s">
        <v>47128</v>
      </c>
      <c r="K1021" t="s">
        <v>47113</v>
      </c>
      <c r="L1021">
        <v>29.2</v>
      </c>
      <c r="M1021">
        <v>68</v>
      </c>
      <c r="N1021">
        <v>0</v>
      </c>
      <c r="O1021">
        <v>68</v>
      </c>
      <c r="P1021">
        <v>0</v>
      </c>
    </row>
    <row r="1022" spans="1:16" x14ac:dyDescent="0.25">
      <c r="A1022" t="s">
        <v>23513</v>
      </c>
      <c r="B1022" t="s">
        <v>2157</v>
      </c>
      <c r="C1022" t="s">
        <v>2158</v>
      </c>
      <c r="D1022" t="str">
        <f>"5342"</f>
        <v>5342</v>
      </c>
      <c r="E1022" t="s">
        <v>77</v>
      </c>
      <c r="F1022" t="s">
        <v>5</v>
      </c>
      <c r="G1022" t="s">
        <v>47096</v>
      </c>
      <c r="H1022" t="s">
        <v>47126</v>
      </c>
      <c r="I1022" t="s">
        <v>47127</v>
      </c>
      <c r="J1022" t="s">
        <v>47128</v>
      </c>
      <c r="K1022" t="s">
        <v>47113</v>
      </c>
      <c r="L1022">
        <v>29.2</v>
      </c>
      <c r="M1022">
        <v>68</v>
      </c>
      <c r="N1022">
        <v>0</v>
      </c>
      <c r="O1022">
        <v>68</v>
      </c>
      <c r="P1022">
        <v>0</v>
      </c>
    </row>
    <row r="1023" spans="1:16" x14ac:dyDescent="0.25">
      <c r="A1023" t="s">
        <v>23514</v>
      </c>
      <c r="B1023" t="s">
        <v>2159</v>
      </c>
      <c r="C1023" t="s">
        <v>113</v>
      </c>
      <c r="D1023" t="str">
        <f>"1001"</f>
        <v>1001</v>
      </c>
      <c r="E1023" t="s">
        <v>42</v>
      </c>
      <c r="F1023" t="s">
        <v>5</v>
      </c>
      <c r="G1023" t="s">
        <v>47096</v>
      </c>
      <c r="H1023" t="s">
        <v>47126</v>
      </c>
      <c r="I1023" t="s">
        <v>47127</v>
      </c>
      <c r="J1023" t="s">
        <v>47128</v>
      </c>
      <c r="K1023" t="s">
        <v>47113</v>
      </c>
      <c r="L1023">
        <v>29.2</v>
      </c>
      <c r="M1023">
        <v>68</v>
      </c>
      <c r="N1023">
        <v>0</v>
      </c>
      <c r="O1023">
        <v>68</v>
      </c>
      <c r="P1023">
        <v>0</v>
      </c>
    </row>
    <row r="1024" spans="1:16" x14ac:dyDescent="0.25">
      <c r="A1024" t="s">
        <v>23515</v>
      </c>
      <c r="B1024" t="s">
        <v>2159</v>
      </c>
      <c r="C1024" t="s">
        <v>113</v>
      </c>
      <c r="D1024" t="str">
        <f>"1377"</f>
        <v>1377</v>
      </c>
      <c r="E1024" t="s">
        <v>74</v>
      </c>
      <c r="F1024" t="s">
        <v>5</v>
      </c>
      <c r="G1024" t="s">
        <v>47096</v>
      </c>
      <c r="H1024" t="s">
        <v>47126</v>
      </c>
      <c r="I1024" t="s">
        <v>47127</v>
      </c>
      <c r="J1024" t="s">
        <v>47128</v>
      </c>
      <c r="K1024" t="s">
        <v>47113</v>
      </c>
      <c r="L1024">
        <v>29.2</v>
      </c>
      <c r="M1024">
        <v>68</v>
      </c>
      <c r="N1024">
        <v>0</v>
      </c>
      <c r="O1024">
        <v>68</v>
      </c>
      <c r="P1024">
        <v>0</v>
      </c>
    </row>
    <row r="1025" spans="1:16" x14ac:dyDescent="0.25">
      <c r="A1025" t="s">
        <v>23516</v>
      </c>
      <c r="B1025" t="s">
        <v>2159</v>
      </c>
      <c r="C1025" t="s">
        <v>113</v>
      </c>
      <c r="D1025" t="str">
        <f>"2166"</f>
        <v>2166</v>
      </c>
      <c r="E1025" t="s">
        <v>80</v>
      </c>
      <c r="F1025" t="s">
        <v>5</v>
      </c>
      <c r="G1025" t="s">
        <v>47096</v>
      </c>
      <c r="H1025" t="s">
        <v>47126</v>
      </c>
      <c r="I1025" t="s">
        <v>47127</v>
      </c>
      <c r="J1025" t="s">
        <v>47128</v>
      </c>
      <c r="K1025" t="s">
        <v>47113</v>
      </c>
      <c r="L1025">
        <v>29.2</v>
      </c>
      <c r="M1025">
        <v>68</v>
      </c>
      <c r="N1025">
        <v>0</v>
      </c>
      <c r="O1025">
        <v>68</v>
      </c>
      <c r="P1025">
        <v>0</v>
      </c>
    </row>
    <row r="1026" spans="1:16" x14ac:dyDescent="0.25">
      <c r="A1026" t="s">
        <v>23517</v>
      </c>
      <c r="B1026" t="s">
        <v>2159</v>
      </c>
      <c r="C1026" t="s">
        <v>113</v>
      </c>
      <c r="D1026" t="str">
        <f>"3449"</f>
        <v>3449</v>
      </c>
      <c r="E1026" t="s">
        <v>90</v>
      </c>
      <c r="F1026" t="s">
        <v>5</v>
      </c>
      <c r="G1026" t="s">
        <v>47096</v>
      </c>
      <c r="H1026" t="s">
        <v>47126</v>
      </c>
      <c r="I1026" t="s">
        <v>47127</v>
      </c>
      <c r="J1026" t="s">
        <v>47128</v>
      </c>
      <c r="K1026" t="s">
        <v>47113</v>
      </c>
      <c r="L1026">
        <v>29.2</v>
      </c>
      <c r="M1026">
        <v>68</v>
      </c>
      <c r="N1026">
        <v>0</v>
      </c>
      <c r="O1026">
        <v>68</v>
      </c>
      <c r="P1026">
        <v>0</v>
      </c>
    </row>
    <row r="1027" spans="1:16" x14ac:dyDescent="0.25">
      <c r="A1027" t="s">
        <v>23518</v>
      </c>
      <c r="B1027" t="s">
        <v>2159</v>
      </c>
      <c r="C1027" t="s">
        <v>113</v>
      </c>
      <c r="D1027" t="str">
        <f>"4643"</f>
        <v>4643</v>
      </c>
      <c r="E1027" t="s">
        <v>205</v>
      </c>
      <c r="F1027" t="s">
        <v>5</v>
      </c>
      <c r="G1027" t="s">
        <v>47096</v>
      </c>
      <c r="H1027" t="s">
        <v>47126</v>
      </c>
      <c r="I1027" t="s">
        <v>47127</v>
      </c>
      <c r="J1027" t="s">
        <v>47128</v>
      </c>
      <c r="K1027" t="s">
        <v>47113</v>
      </c>
      <c r="L1027">
        <v>29.2</v>
      </c>
      <c r="M1027">
        <v>68</v>
      </c>
      <c r="N1027">
        <v>0</v>
      </c>
      <c r="O1027">
        <v>68</v>
      </c>
      <c r="P1027">
        <v>0</v>
      </c>
    </row>
    <row r="1028" spans="1:16" x14ac:dyDescent="0.25">
      <c r="A1028" t="s">
        <v>23519</v>
      </c>
      <c r="B1028" t="s">
        <v>2159</v>
      </c>
      <c r="C1028" t="s">
        <v>113</v>
      </c>
      <c r="D1028" t="str">
        <f>"5342"</f>
        <v>5342</v>
      </c>
      <c r="E1028" t="s">
        <v>77</v>
      </c>
      <c r="F1028" t="s">
        <v>5</v>
      </c>
      <c r="G1028" t="s">
        <v>47096</v>
      </c>
      <c r="H1028" t="s">
        <v>47126</v>
      </c>
      <c r="I1028" t="s">
        <v>47127</v>
      </c>
      <c r="J1028" t="s">
        <v>47128</v>
      </c>
      <c r="K1028" t="s">
        <v>47113</v>
      </c>
      <c r="L1028">
        <v>29.2</v>
      </c>
      <c r="M1028">
        <v>68</v>
      </c>
      <c r="N1028">
        <v>0</v>
      </c>
      <c r="O1028">
        <v>68</v>
      </c>
      <c r="P1028">
        <v>0</v>
      </c>
    </row>
    <row r="1029" spans="1:16" x14ac:dyDescent="0.25">
      <c r="A1029" t="s">
        <v>23520</v>
      </c>
      <c r="B1029" t="s">
        <v>2160</v>
      </c>
      <c r="C1029" t="s">
        <v>2161</v>
      </c>
      <c r="D1029" t="str">
        <f>"1370"</f>
        <v>1370</v>
      </c>
      <c r="E1029" t="s">
        <v>2162</v>
      </c>
      <c r="F1029" t="s">
        <v>5</v>
      </c>
      <c r="G1029" t="s">
        <v>47096</v>
      </c>
      <c r="H1029" t="s">
        <v>47126</v>
      </c>
      <c r="I1029" t="s">
        <v>47127</v>
      </c>
      <c r="J1029" t="s">
        <v>47128</v>
      </c>
      <c r="K1029" t="s">
        <v>47113</v>
      </c>
      <c r="L1029">
        <v>48.05</v>
      </c>
      <c r="M1029">
        <v>113</v>
      </c>
      <c r="N1029">
        <v>0</v>
      </c>
      <c r="O1029">
        <v>113</v>
      </c>
      <c r="P1029">
        <v>0</v>
      </c>
    </row>
    <row r="1030" spans="1:16" x14ac:dyDescent="0.25">
      <c r="A1030" t="s">
        <v>23521</v>
      </c>
      <c r="B1030" t="s">
        <v>2163</v>
      </c>
      <c r="C1030" t="s">
        <v>2164</v>
      </c>
      <c r="D1030" t="str">
        <f>"1001"</f>
        <v>1001</v>
      </c>
      <c r="E1030" t="s">
        <v>2144</v>
      </c>
      <c r="F1030" t="s">
        <v>5</v>
      </c>
      <c r="G1030" t="s">
        <v>47096</v>
      </c>
      <c r="H1030" t="s">
        <v>47126</v>
      </c>
      <c r="I1030" t="s">
        <v>47127</v>
      </c>
      <c r="J1030" t="s">
        <v>47128</v>
      </c>
      <c r="K1030" t="s">
        <v>47113</v>
      </c>
      <c r="L1030">
        <v>65.86</v>
      </c>
      <c r="M1030">
        <v>144</v>
      </c>
      <c r="N1030">
        <v>0</v>
      </c>
      <c r="O1030">
        <v>144</v>
      </c>
      <c r="P1030">
        <v>0</v>
      </c>
    </row>
    <row r="1031" spans="1:16" x14ac:dyDescent="0.25">
      <c r="A1031" t="s">
        <v>23522</v>
      </c>
      <c r="B1031" t="s">
        <v>2163</v>
      </c>
      <c r="C1031" t="s">
        <v>2164</v>
      </c>
      <c r="D1031" t="str">
        <f>"1238"</f>
        <v>1238</v>
      </c>
      <c r="E1031" t="s">
        <v>2145</v>
      </c>
      <c r="F1031" t="s">
        <v>5</v>
      </c>
      <c r="G1031" t="s">
        <v>47096</v>
      </c>
      <c r="H1031" t="s">
        <v>47126</v>
      </c>
      <c r="I1031" t="s">
        <v>47127</v>
      </c>
      <c r="J1031" t="s">
        <v>47128</v>
      </c>
      <c r="K1031" t="s">
        <v>47113</v>
      </c>
      <c r="L1031">
        <v>65.86</v>
      </c>
      <c r="M1031">
        <v>144</v>
      </c>
      <c r="N1031">
        <v>0</v>
      </c>
      <c r="O1031">
        <v>144</v>
      </c>
      <c r="P1031">
        <v>0</v>
      </c>
    </row>
    <row r="1032" spans="1:16" x14ac:dyDescent="0.25">
      <c r="A1032" t="s">
        <v>23523</v>
      </c>
      <c r="B1032" t="s">
        <v>2163</v>
      </c>
      <c r="C1032" t="s">
        <v>2164</v>
      </c>
      <c r="D1032" t="str">
        <f>"4350"</f>
        <v>4350</v>
      </c>
      <c r="E1032" t="s">
        <v>111</v>
      </c>
      <c r="F1032" t="s">
        <v>5</v>
      </c>
      <c r="G1032" t="s">
        <v>47096</v>
      </c>
      <c r="H1032" t="s">
        <v>47126</v>
      </c>
      <c r="I1032" t="s">
        <v>47127</v>
      </c>
      <c r="J1032" t="s">
        <v>47128</v>
      </c>
      <c r="K1032" t="s">
        <v>47113</v>
      </c>
      <c r="L1032">
        <v>65.86</v>
      </c>
      <c r="M1032">
        <v>144</v>
      </c>
      <c r="N1032">
        <v>0</v>
      </c>
      <c r="O1032">
        <v>144</v>
      </c>
      <c r="P1032">
        <v>0</v>
      </c>
    </row>
    <row r="1033" spans="1:16" x14ac:dyDescent="0.25">
      <c r="A1033" t="s">
        <v>23524</v>
      </c>
      <c r="B1033" t="s">
        <v>2163</v>
      </c>
      <c r="C1033" t="s">
        <v>2164</v>
      </c>
      <c r="D1033" t="str">
        <f>"5343"</f>
        <v>5343</v>
      </c>
      <c r="E1033" t="s">
        <v>2147</v>
      </c>
      <c r="F1033" t="s">
        <v>5</v>
      </c>
      <c r="G1033" t="s">
        <v>47096</v>
      </c>
      <c r="H1033" t="s">
        <v>47126</v>
      </c>
      <c r="I1033" t="s">
        <v>47127</v>
      </c>
      <c r="J1033" t="s">
        <v>47128</v>
      </c>
      <c r="K1033" t="s">
        <v>47113</v>
      </c>
      <c r="L1033">
        <v>65.86</v>
      </c>
      <c r="M1033">
        <v>144</v>
      </c>
      <c r="N1033">
        <v>0</v>
      </c>
      <c r="O1033">
        <v>144</v>
      </c>
      <c r="P1033">
        <v>0</v>
      </c>
    </row>
    <row r="1034" spans="1:16" x14ac:dyDescent="0.25">
      <c r="A1034" t="s">
        <v>23525</v>
      </c>
      <c r="B1034" t="s">
        <v>2165</v>
      </c>
      <c r="C1034" t="s">
        <v>2166</v>
      </c>
      <c r="D1034" t="str">
        <f>"1001"</f>
        <v>1001</v>
      </c>
      <c r="E1034" t="s">
        <v>42</v>
      </c>
      <c r="F1034" t="s">
        <v>5</v>
      </c>
      <c r="G1034" t="s">
        <v>16221</v>
      </c>
      <c r="H1034" t="s">
        <v>47126</v>
      </c>
      <c r="I1034" t="s">
        <v>47127</v>
      </c>
      <c r="J1034" t="s">
        <v>47128</v>
      </c>
      <c r="K1034" t="s">
        <v>47113</v>
      </c>
      <c r="L1034">
        <v>19.43</v>
      </c>
      <c r="M1034">
        <v>45</v>
      </c>
      <c r="N1034">
        <v>0</v>
      </c>
      <c r="O1034">
        <v>45</v>
      </c>
      <c r="P1034">
        <v>0</v>
      </c>
    </row>
    <row r="1035" spans="1:16" x14ac:dyDescent="0.25">
      <c r="A1035" t="s">
        <v>23526</v>
      </c>
      <c r="B1035" t="s">
        <v>2165</v>
      </c>
      <c r="C1035" t="s">
        <v>2166</v>
      </c>
      <c r="D1035" t="str">
        <f>"1299"</f>
        <v>1299</v>
      </c>
      <c r="E1035" t="s">
        <v>73</v>
      </c>
      <c r="F1035" t="s">
        <v>5</v>
      </c>
      <c r="G1035" t="s">
        <v>16221</v>
      </c>
      <c r="H1035" t="s">
        <v>47126</v>
      </c>
      <c r="I1035" t="s">
        <v>47127</v>
      </c>
      <c r="J1035" t="s">
        <v>47128</v>
      </c>
      <c r="K1035" t="s">
        <v>47113</v>
      </c>
      <c r="L1035">
        <v>19.43</v>
      </c>
      <c r="M1035">
        <v>45</v>
      </c>
      <c r="N1035">
        <v>0</v>
      </c>
      <c r="O1035">
        <v>45</v>
      </c>
      <c r="P1035">
        <v>0</v>
      </c>
    </row>
    <row r="1036" spans="1:16" x14ac:dyDescent="0.25">
      <c r="A1036" t="s">
        <v>23527</v>
      </c>
      <c r="B1036" t="s">
        <v>2165</v>
      </c>
      <c r="C1036" t="s">
        <v>2166</v>
      </c>
      <c r="D1036" t="str">
        <f>"1377"</f>
        <v>1377</v>
      </c>
      <c r="E1036" t="s">
        <v>74</v>
      </c>
      <c r="F1036" t="s">
        <v>5</v>
      </c>
      <c r="G1036" t="s">
        <v>16221</v>
      </c>
      <c r="H1036" t="s">
        <v>47126</v>
      </c>
      <c r="I1036" t="s">
        <v>47127</v>
      </c>
      <c r="J1036" t="s">
        <v>47128</v>
      </c>
      <c r="K1036" t="s">
        <v>47113</v>
      </c>
      <c r="L1036">
        <v>19.43</v>
      </c>
      <c r="M1036">
        <v>45</v>
      </c>
      <c r="N1036">
        <v>0</v>
      </c>
      <c r="O1036">
        <v>45</v>
      </c>
      <c r="P1036">
        <v>0</v>
      </c>
    </row>
    <row r="1037" spans="1:16" x14ac:dyDescent="0.25">
      <c r="A1037" t="s">
        <v>23528</v>
      </c>
      <c r="B1037" t="s">
        <v>2165</v>
      </c>
      <c r="C1037" t="s">
        <v>2166</v>
      </c>
      <c r="D1037" t="str">
        <f>"2166"</f>
        <v>2166</v>
      </c>
      <c r="E1037" t="s">
        <v>80</v>
      </c>
      <c r="F1037" t="s">
        <v>5</v>
      </c>
      <c r="G1037" t="s">
        <v>16221</v>
      </c>
      <c r="H1037" t="s">
        <v>47126</v>
      </c>
      <c r="I1037" t="s">
        <v>47127</v>
      </c>
      <c r="J1037" t="s">
        <v>47128</v>
      </c>
      <c r="K1037" t="s">
        <v>47113</v>
      </c>
      <c r="L1037">
        <v>19.43</v>
      </c>
      <c r="M1037">
        <v>45</v>
      </c>
      <c r="N1037">
        <v>0</v>
      </c>
      <c r="O1037">
        <v>45</v>
      </c>
      <c r="P1037">
        <v>0</v>
      </c>
    </row>
    <row r="1038" spans="1:16" x14ac:dyDescent="0.25">
      <c r="A1038" t="s">
        <v>23529</v>
      </c>
      <c r="B1038" t="s">
        <v>2165</v>
      </c>
      <c r="C1038" t="s">
        <v>2166</v>
      </c>
      <c r="D1038" t="str">
        <f>"3449"</f>
        <v>3449</v>
      </c>
      <c r="E1038" t="s">
        <v>90</v>
      </c>
      <c r="F1038" t="s">
        <v>5</v>
      </c>
      <c r="G1038" t="s">
        <v>16221</v>
      </c>
      <c r="H1038" t="s">
        <v>47126</v>
      </c>
      <c r="I1038" t="s">
        <v>47127</v>
      </c>
      <c r="J1038" t="s">
        <v>47128</v>
      </c>
      <c r="K1038" t="s">
        <v>47113</v>
      </c>
      <c r="L1038">
        <v>19.43</v>
      </c>
      <c r="M1038">
        <v>45</v>
      </c>
      <c r="N1038">
        <v>0</v>
      </c>
      <c r="O1038">
        <v>45</v>
      </c>
      <c r="P1038">
        <v>0</v>
      </c>
    </row>
    <row r="1039" spans="1:16" x14ac:dyDescent="0.25">
      <c r="A1039" t="s">
        <v>23530</v>
      </c>
      <c r="B1039" t="s">
        <v>2165</v>
      </c>
      <c r="C1039" t="s">
        <v>2166</v>
      </c>
      <c r="D1039" t="str">
        <f>"4348"</f>
        <v>4348</v>
      </c>
      <c r="E1039" t="s">
        <v>91</v>
      </c>
      <c r="F1039" t="s">
        <v>5</v>
      </c>
      <c r="G1039" t="s">
        <v>16221</v>
      </c>
      <c r="H1039" t="s">
        <v>47126</v>
      </c>
      <c r="I1039" t="s">
        <v>47127</v>
      </c>
      <c r="J1039" t="s">
        <v>47128</v>
      </c>
      <c r="K1039" t="s">
        <v>47113</v>
      </c>
      <c r="L1039">
        <v>19.43</v>
      </c>
      <c r="M1039">
        <v>45</v>
      </c>
      <c r="N1039">
        <v>0</v>
      </c>
      <c r="O1039">
        <v>45</v>
      </c>
      <c r="P1039">
        <v>0</v>
      </c>
    </row>
    <row r="1040" spans="1:16" x14ac:dyDescent="0.25">
      <c r="A1040" t="s">
        <v>23531</v>
      </c>
      <c r="B1040" t="s">
        <v>2165</v>
      </c>
      <c r="C1040" t="s">
        <v>2166</v>
      </c>
      <c r="D1040" t="str">
        <f>"4643"</f>
        <v>4643</v>
      </c>
      <c r="E1040" t="s">
        <v>205</v>
      </c>
      <c r="F1040" t="s">
        <v>5</v>
      </c>
      <c r="G1040" t="s">
        <v>16221</v>
      </c>
      <c r="H1040" t="s">
        <v>47126</v>
      </c>
      <c r="I1040" t="s">
        <v>47127</v>
      </c>
      <c r="J1040" t="s">
        <v>47128</v>
      </c>
      <c r="K1040" t="s">
        <v>47113</v>
      </c>
      <c r="L1040">
        <v>19.43</v>
      </c>
      <c r="M1040">
        <v>45</v>
      </c>
      <c r="N1040">
        <v>0</v>
      </c>
      <c r="O1040">
        <v>45</v>
      </c>
      <c r="P1040">
        <v>0</v>
      </c>
    </row>
    <row r="1041" spans="1:16" x14ac:dyDescent="0.25">
      <c r="A1041" t="s">
        <v>23532</v>
      </c>
      <c r="B1041" t="s">
        <v>2165</v>
      </c>
      <c r="C1041" t="s">
        <v>2166</v>
      </c>
      <c r="D1041" t="str">
        <f>"5342"</f>
        <v>5342</v>
      </c>
      <c r="E1041" t="s">
        <v>77</v>
      </c>
      <c r="F1041" t="s">
        <v>5</v>
      </c>
      <c r="G1041" t="s">
        <v>16221</v>
      </c>
      <c r="H1041" t="s">
        <v>47126</v>
      </c>
      <c r="I1041" t="s">
        <v>47127</v>
      </c>
      <c r="J1041" t="s">
        <v>47128</v>
      </c>
      <c r="K1041" t="s">
        <v>47113</v>
      </c>
      <c r="L1041">
        <v>19.43</v>
      </c>
      <c r="M1041">
        <v>45</v>
      </c>
      <c r="N1041">
        <v>0</v>
      </c>
      <c r="O1041">
        <v>45</v>
      </c>
      <c r="P1041">
        <v>0</v>
      </c>
    </row>
    <row r="1042" spans="1:16" x14ac:dyDescent="0.25">
      <c r="A1042" t="s">
        <v>23533</v>
      </c>
      <c r="B1042" t="s">
        <v>2165</v>
      </c>
      <c r="C1042" t="s">
        <v>2166</v>
      </c>
      <c r="D1042" t="str">
        <f>"6064"</f>
        <v>6064</v>
      </c>
      <c r="E1042" t="s">
        <v>87</v>
      </c>
      <c r="F1042" t="s">
        <v>5</v>
      </c>
      <c r="G1042" t="s">
        <v>16221</v>
      </c>
      <c r="H1042" t="s">
        <v>47126</v>
      </c>
      <c r="I1042" t="s">
        <v>47127</v>
      </c>
      <c r="J1042" t="s">
        <v>47128</v>
      </c>
      <c r="K1042" t="s">
        <v>47113</v>
      </c>
      <c r="L1042">
        <v>19.43</v>
      </c>
      <c r="M1042">
        <v>45</v>
      </c>
      <c r="N1042">
        <v>0</v>
      </c>
      <c r="O1042">
        <v>45</v>
      </c>
      <c r="P1042">
        <v>0</v>
      </c>
    </row>
    <row r="1043" spans="1:16" x14ac:dyDescent="0.25">
      <c r="A1043" t="s">
        <v>23534</v>
      </c>
      <c r="B1043" t="s">
        <v>2167</v>
      </c>
      <c r="C1043" t="s">
        <v>2166</v>
      </c>
      <c r="D1043" t="str">
        <f>"1001"</f>
        <v>1001</v>
      </c>
      <c r="E1043" t="s">
        <v>42</v>
      </c>
      <c r="F1043" t="s">
        <v>5</v>
      </c>
      <c r="G1043" t="s">
        <v>16221</v>
      </c>
      <c r="H1043" t="s">
        <v>47126</v>
      </c>
      <c r="I1043" t="s">
        <v>47127</v>
      </c>
      <c r="J1043" t="s">
        <v>47128</v>
      </c>
      <c r="K1043" t="s">
        <v>47113</v>
      </c>
      <c r="L1043">
        <v>17.47</v>
      </c>
      <c r="M1043">
        <v>41</v>
      </c>
      <c r="N1043">
        <v>0</v>
      </c>
      <c r="O1043">
        <v>41</v>
      </c>
      <c r="P1043">
        <v>0</v>
      </c>
    </row>
    <row r="1044" spans="1:16" x14ac:dyDescent="0.25">
      <c r="A1044" t="s">
        <v>23535</v>
      </c>
      <c r="B1044" t="s">
        <v>2167</v>
      </c>
      <c r="C1044" t="s">
        <v>2166</v>
      </c>
      <c r="D1044" t="str">
        <f>"1299"</f>
        <v>1299</v>
      </c>
      <c r="E1044" t="s">
        <v>73</v>
      </c>
      <c r="F1044" t="s">
        <v>5</v>
      </c>
      <c r="G1044" t="s">
        <v>16221</v>
      </c>
      <c r="H1044" t="s">
        <v>47126</v>
      </c>
      <c r="I1044" t="s">
        <v>47127</v>
      </c>
      <c r="J1044" t="s">
        <v>47128</v>
      </c>
      <c r="K1044" t="s">
        <v>47113</v>
      </c>
      <c r="L1044">
        <v>17.54</v>
      </c>
      <c r="M1044">
        <v>41</v>
      </c>
      <c r="N1044">
        <v>0</v>
      </c>
      <c r="O1044">
        <v>41</v>
      </c>
      <c r="P1044">
        <v>0</v>
      </c>
    </row>
    <row r="1045" spans="1:16" x14ac:dyDescent="0.25">
      <c r="A1045" t="s">
        <v>23536</v>
      </c>
      <c r="B1045" t="s">
        <v>2167</v>
      </c>
      <c r="C1045" t="s">
        <v>2166</v>
      </c>
      <c r="D1045" t="str">
        <f>"1377"</f>
        <v>1377</v>
      </c>
      <c r="E1045" t="s">
        <v>74</v>
      </c>
      <c r="F1045" t="s">
        <v>5</v>
      </c>
      <c r="G1045" t="s">
        <v>16221</v>
      </c>
      <c r="H1045" t="s">
        <v>47126</v>
      </c>
      <c r="I1045" t="s">
        <v>47127</v>
      </c>
      <c r="J1045" t="s">
        <v>47128</v>
      </c>
      <c r="K1045" t="s">
        <v>47113</v>
      </c>
      <c r="L1045">
        <v>17.47</v>
      </c>
      <c r="M1045">
        <v>41</v>
      </c>
      <c r="N1045">
        <v>0</v>
      </c>
      <c r="O1045">
        <v>41</v>
      </c>
      <c r="P1045">
        <v>0</v>
      </c>
    </row>
    <row r="1046" spans="1:16" x14ac:dyDescent="0.25">
      <c r="A1046" t="s">
        <v>23537</v>
      </c>
      <c r="B1046" t="s">
        <v>2167</v>
      </c>
      <c r="C1046" t="s">
        <v>2166</v>
      </c>
      <c r="D1046" t="str">
        <f>"2166"</f>
        <v>2166</v>
      </c>
      <c r="E1046" t="s">
        <v>80</v>
      </c>
      <c r="F1046" t="s">
        <v>5</v>
      </c>
      <c r="G1046" t="s">
        <v>16221</v>
      </c>
      <c r="H1046" t="s">
        <v>47126</v>
      </c>
      <c r="I1046" t="s">
        <v>47127</v>
      </c>
      <c r="J1046" t="s">
        <v>47128</v>
      </c>
      <c r="K1046" t="s">
        <v>47113</v>
      </c>
      <c r="L1046">
        <v>17.54</v>
      </c>
      <c r="M1046">
        <v>41</v>
      </c>
      <c r="N1046">
        <v>0</v>
      </c>
      <c r="O1046">
        <v>41</v>
      </c>
      <c r="P1046">
        <v>0</v>
      </c>
    </row>
    <row r="1047" spans="1:16" x14ac:dyDescent="0.25">
      <c r="A1047" t="s">
        <v>23538</v>
      </c>
      <c r="B1047" t="s">
        <v>2167</v>
      </c>
      <c r="C1047" t="s">
        <v>2166</v>
      </c>
      <c r="D1047" t="str">
        <f>"3449"</f>
        <v>3449</v>
      </c>
      <c r="E1047" t="s">
        <v>90</v>
      </c>
      <c r="F1047" t="s">
        <v>5</v>
      </c>
      <c r="G1047" t="s">
        <v>16221</v>
      </c>
      <c r="H1047" t="s">
        <v>47126</v>
      </c>
      <c r="I1047" t="s">
        <v>47127</v>
      </c>
      <c r="J1047" t="s">
        <v>47128</v>
      </c>
      <c r="K1047" t="s">
        <v>47113</v>
      </c>
      <c r="L1047">
        <v>17.54</v>
      </c>
      <c r="M1047">
        <v>41</v>
      </c>
      <c r="N1047">
        <v>0</v>
      </c>
      <c r="O1047">
        <v>41</v>
      </c>
      <c r="P1047">
        <v>0</v>
      </c>
    </row>
    <row r="1048" spans="1:16" x14ac:dyDescent="0.25">
      <c r="A1048" t="s">
        <v>23539</v>
      </c>
      <c r="B1048" t="s">
        <v>2167</v>
      </c>
      <c r="C1048" t="s">
        <v>2166</v>
      </c>
      <c r="D1048" t="str">
        <f>"4348"</f>
        <v>4348</v>
      </c>
      <c r="E1048" t="s">
        <v>91</v>
      </c>
      <c r="F1048" t="s">
        <v>5</v>
      </c>
      <c r="G1048" t="s">
        <v>16221</v>
      </c>
      <c r="H1048" t="s">
        <v>47126</v>
      </c>
      <c r="I1048" t="s">
        <v>47127</v>
      </c>
      <c r="J1048" t="s">
        <v>47128</v>
      </c>
      <c r="K1048" t="s">
        <v>47113</v>
      </c>
      <c r="L1048">
        <v>17.54</v>
      </c>
      <c r="M1048">
        <v>41</v>
      </c>
      <c r="N1048">
        <v>0</v>
      </c>
      <c r="O1048">
        <v>41</v>
      </c>
      <c r="P1048">
        <v>0</v>
      </c>
    </row>
    <row r="1049" spans="1:16" x14ac:dyDescent="0.25">
      <c r="A1049" t="s">
        <v>23540</v>
      </c>
      <c r="B1049" t="s">
        <v>2167</v>
      </c>
      <c r="C1049" t="s">
        <v>2166</v>
      </c>
      <c r="D1049" t="str">
        <f>"4643"</f>
        <v>4643</v>
      </c>
      <c r="E1049" t="s">
        <v>205</v>
      </c>
      <c r="F1049" t="s">
        <v>5</v>
      </c>
      <c r="G1049" t="s">
        <v>16221</v>
      </c>
      <c r="H1049" t="s">
        <v>47126</v>
      </c>
      <c r="I1049" t="s">
        <v>47127</v>
      </c>
      <c r="J1049" t="s">
        <v>47128</v>
      </c>
      <c r="K1049" t="s">
        <v>47113</v>
      </c>
      <c r="L1049">
        <v>17.54</v>
      </c>
      <c r="M1049">
        <v>41</v>
      </c>
      <c r="N1049">
        <v>0</v>
      </c>
      <c r="O1049">
        <v>41</v>
      </c>
      <c r="P1049">
        <v>0</v>
      </c>
    </row>
    <row r="1050" spans="1:16" x14ac:dyDescent="0.25">
      <c r="A1050" t="s">
        <v>23541</v>
      </c>
      <c r="B1050" t="s">
        <v>2167</v>
      </c>
      <c r="C1050" t="s">
        <v>2166</v>
      </c>
      <c r="D1050" t="str">
        <f>"5342"</f>
        <v>5342</v>
      </c>
      <c r="E1050" t="s">
        <v>77</v>
      </c>
      <c r="F1050" t="s">
        <v>5</v>
      </c>
      <c r="G1050" t="s">
        <v>16221</v>
      </c>
      <c r="H1050" t="s">
        <v>47126</v>
      </c>
      <c r="I1050" t="s">
        <v>47127</v>
      </c>
      <c r="J1050" t="s">
        <v>47128</v>
      </c>
      <c r="K1050" t="s">
        <v>47113</v>
      </c>
      <c r="L1050">
        <v>17.47</v>
      </c>
      <c r="M1050">
        <v>41</v>
      </c>
      <c r="N1050">
        <v>0</v>
      </c>
      <c r="O1050">
        <v>41</v>
      </c>
      <c r="P1050">
        <v>0</v>
      </c>
    </row>
    <row r="1051" spans="1:16" x14ac:dyDescent="0.25">
      <c r="A1051" t="s">
        <v>23542</v>
      </c>
      <c r="B1051" t="s">
        <v>2167</v>
      </c>
      <c r="C1051" t="s">
        <v>2166</v>
      </c>
      <c r="D1051" t="str">
        <f>"6064"</f>
        <v>6064</v>
      </c>
      <c r="E1051" t="s">
        <v>87</v>
      </c>
      <c r="F1051" t="s">
        <v>5</v>
      </c>
      <c r="G1051" t="s">
        <v>16221</v>
      </c>
      <c r="H1051" t="s">
        <v>47126</v>
      </c>
      <c r="I1051" t="s">
        <v>47127</v>
      </c>
      <c r="J1051" t="s">
        <v>47128</v>
      </c>
      <c r="K1051" t="s">
        <v>47113</v>
      </c>
      <c r="L1051">
        <v>17.47</v>
      </c>
      <c r="M1051">
        <v>41</v>
      </c>
      <c r="N1051">
        <v>0</v>
      </c>
      <c r="O1051">
        <v>41</v>
      </c>
      <c r="P1051">
        <v>0</v>
      </c>
    </row>
    <row r="1052" spans="1:16" x14ac:dyDescent="0.25">
      <c r="A1052" t="s">
        <v>23543</v>
      </c>
      <c r="B1052" t="s">
        <v>2168</v>
      </c>
      <c r="C1052" t="s">
        <v>2169</v>
      </c>
      <c r="D1052" t="str">
        <f>"1001"</f>
        <v>1001</v>
      </c>
      <c r="E1052" t="s">
        <v>42</v>
      </c>
      <c r="F1052" t="s">
        <v>5</v>
      </c>
      <c r="G1052" t="s">
        <v>16221</v>
      </c>
      <c r="H1052" t="s">
        <v>47126</v>
      </c>
      <c r="I1052" t="s">
        <v>47127</v>
      </c>
      <c r="J1052" t="s">
        <v>47128</v>
      </c>
      <c r="K1052" t="s">
        <v>47113</v>
      </c>
      <c r="L1052">
        <v>19.43</v>
      </c>
      <c r="M1052">
        <v>45</v>
      </c>
      <c r="N1052">
        <v>0</v>
      </c>
      <c r="O1052">
        <v>45</v>
      </c>
      <c r="P1052">
        <v>0</v>
      </c>
    </row>
    <row r="1053" spans="1:16" x14ac:dyDescent="0.25">
      <c r="A1053" t="s">
        <v>23544</v>
      </c>
      <c r="B1053" t="s">
        <v>2168</v>
      </c>
      <c r="C1053" t="s">
        <v>2169</v>
      </c>
      <c r="D1053" t="str">
        <f>"1299"</f>
        <v>1299</v>
      </c>
      <c r="E1053" t="s">
        <v>73</v>
      </c>
      <c r="F1053" t="s">
        <v>5</v>
      </c>
      <c r="G1053" t="s">
        <v>16221</v>
      </c>
      <c r="H1053" t="s">
        <v>47126</v>
      </c>
      <c r="I1053" t="s">
        <v>47127</v>
      </c>
      <c r="J1053" t="s">
        <v>47128</v>
      </c>
      <c r="K1053" t="s">
        <v>47113</v>
      </c>
      <c r="L1053">
        <v>19.43</v>
      </c>
      <c r="M1053">
        <v>45</v>
      </c>
      <c r="N1053">
        <v>0</v>
      </c>
      <c r="O1053">
        <v>45</v>
      </c>
      <c r="P1053">
        <v>0</v>
      </c>
    </row>
    <row r="1054" spans="1:16" x14ac:dyDescent="0.25">
      <c r="A1054" t="s">
        <v>23545</v>
      </c>
      <c r="B1054" t="s">
        <v>2168</v>
      </c>
      <c r="C1054" t="s">
        <v>2169</v>
      </c>
      <c r="D1054" t="str">
        <f>"1377"</f>
        <v>1377</v>
      </c>
      <c r="E1054" t="s">
        <v>74</v>
      </c>
      <c r="F1054" t="s">
        <v>5</v>
      </c>
      <c r="G1054" t="s">
        <v>16221</v>
      </c>
      <c r="H1054" t="s">
        <v>47126</v>
      </c>
      <c r="I1054" t="s">
        <v>47127</v>
      </c>
      <c r="J1054" t="s">
        <v>47128</v>
      </c>
      <c r="K1054" t="s">
        <v>47113</v>
      </c>
      <c r="L1054">
        <v>19.43</v>
      </c>
      <c r="M1054">
        <v>45</v>
      </c>
      <c r="N1054">
        <v>0</v>
      </c>
      <c r="O1054">
        <v>45</v>
      </c>
      <c r="P1054">
        <v>0</v>
      </c>
    </row>
    <row r="1055" spans="1:16" x14ac:dyDescent="0.25">
      <c r="A1055" t="s">
        <v>23546</v>
      </c>
      <c r="B1055" t="s">
        <v>2168</v>
      </c>
      <c r="C1055" t="s">
        <v>2169</v>
      </c>
      <c r="D1055" t="str">
        <f>"2166"</f>
        <v>2166</v>
      </c>
      <c r="E1055" t="s">
        <v>80</v>
      </c>
      <c r="F1055" t="s">
        <v>5</v>
      </c>
      <c r="G1055" t="s">
        <v>16221</v>
      </c>
      <c r="H1055" t="s">
        <v>47126</v>
      </c>
      <c r="I1055" t="s">
        <v>47127</v>
      </c>
      <c r="J1055" t="s">
        <v>47128</v>
      </c>
      <c r="K1055" t="s">
        <v>47113</v>
      </c>
      <c r="L1055">
        <v>19.43</v>
      </c>
      <c r="M1055">
        <v>45</v>
      </c>
      <c r="N1055">
        <v>0</v>
      </c>
      <c r="O1055">
        <v>45</v>
      </c>
      <c r="P1055">
        <v>0</v>
      </c>
    </row>
    <row r="1056" spans="1:16" x14ac:dyDescent="0.25">
      <c r="A1056" t="s">
        <v>23547</v>
      </c>
      <c r="B1056" t="s">
        <v>2168</v>
      </c>
      <c r="C1056" t="s">
        <v>2169</v>
      </c>
      <c r="D1056" t="str">
        <f>"3449"</f>
        <v>3449</v>
      </c>
      <c r="E1056" t="s">
        <v>90</v>
      </c>
      <c r="F1056" t="s">
        <v>5</v>
      </c>
      <c r="G1056" t="s">
        <v>16221</v>
      </c>
      <c r="H1056" t="s">
        <v>47126</v>
      </c>
      <c r="I1056" t="s">
        <v>47127</v>
      </c>
      <c r="J1056" t="s">
        <v>47128</v>
      </c>
      <c r="K1056" t="s">
        <v>47113</v>
      </c>
      <c r="L1056">
        <v>19.43</v>
      </c>
      <c r="M1056">
        <v>45</v>
      </c>
      <c r="N1056">
        <v>0</v>
      </c>
      <c r="O1056">
        <v>45</v>
      </c>
      <c r="P1056">
        <v>0</v>
      </c>
    </row>
    <row r="1057" spans="1:16" x14ac:dyDescent="0.25">
      <c r="A1057" t="s">
        <v>23548</v>
      </c>
      <c r="B1057" t="s">
        <v>2168</v>
      </c>
      <c r="C1057" t="s">
        <v>2169</v>
      </c>
      <c r="D1057" t="str">
        <f>"4348"</f>
        <v>4348</v>
      </c>
      <c r="E1057" t="s">
        <v>91</v>
      </c>
      <c r="F1057" t="s">
        <v>5</v>
      </c>
      <c r="G1057" t="s">
        <v>16221</v>
      </c>
      <c r="H1057" t="s">
        <v>47126</v>
      </c>
      <c r="I1057" t="s">
        <v>47127</v>
      </c>
      <c r="J1057" t="s">
        <v>47128</v>
      </c>
      <c r="K1057" t="s">
        <v>47113</v>
      </c>
      <c r="L1057">
        <v>19.43</v>
      </c>
      <c r="M1057">
        <v>45</v>
      </c>
      <c r="N1057">
        <v>0</v>
      </c>
      <c r="O1057">
        <v>45</v>
      </c>
      <c r="P1057">
        <v>0</v>
      </c>
    </row>
    <row r="1058" spans="1:16" x14ac:dyDescent="0.25">
      <c r="A1058" t="s">
        <v>23549</v>
      </c>
      <c r="B1058" t="s">
        <v>2168</v>
      </c>
      <c r="C1058" t="s">
        <v>2169</v>
      </c>
      <c r="D1058" t="str">
        <f>"5342"</f>
        <v>5342</v>
      </c>
      <c r="E1058" t="s">
        <v>77</v>
      </c>
      <c r="F1058" t="s">
        <v>5</v>
      </c>
      <c r="G1058" t="s">
        <v>16221</v>
      </c>
      <c r="H1058" t="s">
        <v>47126</v>
      </c>
      <c r="I1058" t="s">
        <v>47127</v>
      </c>
      <c r="J1058" t="s">
        <v>47128</v>
      </c>
      <c r="K1058" t="s">
        <v>47113</v>
      </c>
      <c r="L1058">
        <v>19.43</v>
      </c>
      <c r="M1058">
        <v>45</v>
      </c>
      <c r="N1058">
        <v>0</v>
      </c>
      <c r="O1058">
        <v>45</v>
      </c>
      <c r="P1058">
        <v>0</v>
      </c>
    </row>
    <row r="1059" spans="1:16" x14ac:dyDescent="0.25">
      <c r="A1059" t="s">
        <v>23550</v>
      </c>
      <c r="B1059" t="s">
        <v>2170</v>
      </c>
      <c r="C1059" t="s">
        <v>2171</v>
      </c>
      <c r="D1059" t="str">
        <f>"1001"</f>
        <v>1001</v>
      </c>
      <c r="E1059" t="s">
        <v>42</v>
      </c>
      <c r="F1059" t="s">
        <v>5</v>
      </c>
      <c r="G1059" t="s">
        <v>16232</v>
      </c>
      <c r="H1059" t="s">
        <v>47126</v>
      </c>
      <c r="I1059" t="s">
        <v>47127</v>
      </c>
      <c r="J1059" t="s">
        <v>47128</v>
      </c>
      <c r="K1059" t="s">
        <v>47113</v>
      </c>
      <c r="L1059">
        <v>17.47</v>
      </c>
      <c r="M1059">
        <v>41</v>
      </c>
      <c r="N1059">
        <v>0</v>
      </c>
      <c r="O1059">
        <v>41</v>
      </c>
      <c r="P1059">
        <v>0</v>
      </c>
    </row>
    <row r="1060" spans="1:16" x14ac:dyDescent="0.25">
      <c r="A1060" t="s">
        <v>23551</v>
      </c>
      <c r="B1060" t="s">
        <v>2170</v>
      </c>
      <c r="C1060" t="s">
        <v>2171</v>
      </c>
      <c r="D1060" t="str">
        <f>"1299"</f>
        <v>1299</v>
      </c>
      <c r="E1060" t="s">
        <v>73</v>
      </c>
      <c r="F1060" t="s">
        <v>5</v>
      </c>
      <c r="G1060" t="s">
        <v>16232</v>
      </c>
      <c r="H1060" t="s">
        <v>47126</v>
      </c>
      <c r="I1060" t="s">
        <v>47127</v>
      </c>
      <c r="J1060" t="s">
        <v>47128</v>
      </c>
      <c r="K1060" t="s">
        <v>47113</v>
      </c>
      <c r="L1060">
        <v>17.47</v>
      </c>
      <c r="M1060">
        <v>41</v>
      </c>
      <c r="N1060">
        <v>0</v>
      </c>
      <c r="O1060">
        <v>41</v>
      </c>
      <c r="P1060">
        <v>0</v>
      </c>
    </row>
    <row r="1061" spans="1:16" x14ac:dyDescent="0.25">
      <c r="A1061" t="s">
        <v>23552</v>
      </c>
      <c r="B1061" t="s">
        <v>2170</v>
      </c>
      <c r="C1061" t="s">
        <v>2171</v>
      </c>
      <c r="D1061" t="str">
        <f>"1377"</f>
        <v>1377</v>
      </c>
      <c r="E1061" t="s">
        <v>74</v>
      </c>
      <c r="F1061" t="s">
        <v>5</v>
      </c>
      <c r="G1061" t="s">
        <v>16232</v>
      </c>
      <c r="H1061" t="s">
        <v>47126</v>
      </c>
      <c r="I1061" t="s">
        <v>47127</v>
      </c>
      <c r="J1061" t="s">
        <v>47128</v>
      </c>
      <c r="K1061" t="s">
        <v>47113</v>
      </c>
      <c r="L1061">
        <v>17.47</v>
      </c>
      <c r="M1061">
        <v>41</v>
      </c>
      <c r="N1061">
        <v>0</v>
      </c>
      <c r="O1061">
        <v>41</v>
      </c>
      <c r="P1061">
        <v>0</v>
      </c>
    </row>
    <row r="1062" spans="1:16" x14ac:dyDescent="0.25">
      <c r="A1062" t="s">
        <v>23553</v>
      </c>
      <c r="B1062" t="s">
        <v>2170</v>
      </c>
      <c r="C1062" t="s">
        <v>2171</v>
      </c>
      <c r="D1062" t="str">
        <f>"1700"</f>
        <v>1700</v>
      </c>
      <c r="E1062" t="s">
        <v>60</v>
      </c>
      <c r="F1062" t="s">
        <v>5</v>
      </c>
      <c r="G1062" t="s">
        <v>16232</v>
      </c>
      <c r="H1062" t="s">
        <v>47126</v>
      </c>
      <c r="I1062" t="s">
        <v>47127</v>
      </c>
      <c r="J1062" t="s">
        <v>47128</v>
      </c>
      <c r="K1062" t="s">
        <v>47113</v>
      </c>
      <c r="L1062">
        <v>17.47</v>
      </c>
      <c r="M1062">
        <v>41</v>
      </c>
      <c r="N1062">
        <v>0</v>
      </c>
      <c r="O1062">
        <v>41</v>
      </c>
      <c r="P1062">
        <v>0</v>
      </c>
    </row>
    <row r="1063" spans="1:16" x14ac:dyDescent="0.25">
      <c r="A1063" t="s">
        <v>23554</v>
      </c>
      <c r="B1063" t="s">
        <v>2170</v>
      </c>
      <c r="C1063" t="s">
        <v>2171</v>
      </c>
      <c r="D1063" t="str">
        <f>"2166"</f>
        <v>2166</v>
      </c>
      <c r="E1063" t="s">
        <v>80</v>
      </c>
      <c r="F1063" t="s">
        <v>5</v>
      </c>
      <c r="G1063" t="s">
        <v>16232</v>
      </c>
      <c r="H1063" t="s">
        <v>47126</v>
      </c>
      <c r="I1063" t="s">
        <v>47127</v>
      </c>
      <c r="J1063" t="s">
        <v>47128</v>
      </c>
      <c r="K1063" t="s">
        <v>47113</v>
      </c>
      <c r="L1063">
        <v>17.47</v>
      </c>
      <c r="M1063">
        <v>41</v>
      </c>
      <c r="N1063">
        <v>0</v>
      </c>
      <c r="O1063">
        <v>41</v>
      </c>
      <c r="P1063">
        <v>0</v>
      </c>
    </row>
    <row r="1064" spans="1:16" x14ac:dyDescent="0.25">
      <c r="A1064" t="s">
        <v>23555</v>
      </c>
      <c r="B1064" t="s">
        <v>2170</v>
      </c>
      <c r="C1064" t="s">
        <v>2171</v>
      </c>
      <c r="D1064" t="str">
        <f>"3449"</f>
        <v>3449</v>
      </c>
      <c r="E1064" t="s">
        <v>90</v>
      </c>
      <c r="F1064" t="s">
        <v>5</v>
      </c>
      <c r="G1064" t="s">
        <v>16232</v>
      </c>
      <c r="H1064" t="s">
        <v>47126</v>
      </c>
      <c r="I1064" t="s">
        <v>47127</v>
      </c>
      <c r="J1064" t="s">
        <v>47128</v>
      </c>
      <c r="K1064" t="s">
        <v>47113</v>
      </c>
      <c r="L1064">
        <v>17.47</v>
      </c>
      <c r="M1064">
        <v>41</v>
      </c>
      <c r="N1064">
        <v>0</v>
      </c>
      <c r="O1064">
        <v>41</v>
      </c>
      <c r="P1064">
        <v>0</v>
      </c>
    </row>
    <row r="1065" spans="1:16" x14ac:dyDescent="0.25">
      <c r="A1065" t="s">
        <v>23556</v>
      </c>
      <c r="B1065" t="s">
        <v>2170</v>
      </c>
      <c r="C1065" t="s">
        <v>2171</v>
      </c>
      <c r="D1065" t="str">
        <f>"4348"</f>
        <v>4348</v>
      </c>
      <c r="E1065" t="s">
        <v>91</v>
      </c>
      <c r="F1065" t="s">
        <v>5</v>
      </c>
      <c r="G1065" t="s">
        <v>16232</v>
      </c>
      <c r="H1065" t="s">
        <v>47126</v>
      </c>
      <c r="I1065" t="s">
        <v>47127</v>
      </c>
      <c r="J1065" t="s">
        <v>47128</v>
      </c>
      <c r="K1065" t="s">
        <v>47113</v>
      </c>
      <c r="L1065">
        <v>17.47</v>
      </c>
      <c r="M1065">
        <v>41</v>
      </c>
      <c r="N1065">
        <v>0</v>
      </c>
      <c r="O1065">
        <v>41</v>
      </c>
      <c r="P1065">
        <v>0</v>
      </c>
    </row>
    <row r="1066" spans="1:16" x14ac:dyDescent="0.25">
      <c r="A1066" t="s">
        <v>23557</v>
      </c>
      <c r="B1066" t="s">
        <v>2170</v>
      </c>
      <c r="C1066" t="s">
        <v>2171</v>
      </c>
      <c r="D1066" t="str">
        <f>"4643"</f>
        <v>4643</v>
      </c>
      <c r="E1066" t="s">
        <v>205</v>
      </c>
      <c r="F1066" t="s">
        <v>5</v>
      </c>
      <c r="G1066" t="s">
        <v>16232</v>
      </c>
      <c r="H1066" t="s">
        <v>47126</v>
      </c>
      <c r="I1066" t="s">
        <v>47127</v>
      </c>
      <c r="J1066" t="s">
        <v>47128</v>
      </c>
      <c r="K1066" t="s">
        <v>47113</v>
      </c>
      <c r="L1066">
        <v>17.47</v>
      </c>
      <c r="M1066">
        <v>41</v>
      </c>
      <c r="N1066">
        <v>0</v>
      </c>
      <c r="O1066">
        <v>41</v>
      </c>
      <c r="P1066">
        <v>0</v>
      </c>
    </row>
    <row r="1067" spans="1:16" x14ac:dyDescent="0.25">
      <c r="A1067" t="s">
        <v>23558</v>
      </c>
      <c r="B1067" t="s">
        <v>2170</v>
      </c>
      <c r="C1067" t="s">
        <v>2171</v>
      </c>
      <c r="D1067" t="str">
        <f>"5342"</f>
        <v>5342</v>
      </c>
      <c r="E1067" t="s">
        <v>77</v>
      </c>
      <c r="F1067" t="s">
        <v>5</v>
      </c>
      <c r="G1067" t="s">
        <v>16232</v>
      </c>
      <c r="H1067" t="s">
        <v>47126</v>
      </c>
      <c r="I1067" t="s">
        <v>47127</v>
      </c>
      <c r="J1067" t="s">
        <v>47128</v>
      </c>
      <c r="K1067" t="s">
        <v>47113</v>
      </c>
      <c r="L1067">
        <v>17.47</v>
      </c>
      <c r="M1067">
        <v>41</v>
      </c>
      <c r="N1067">
        <v>0</v>
      </c>
      <c r="O1067">
        <v>41</v>
      </c>
      <c r="P1067">
        <v>0</v>
      </c>
    </row>
    <row r="1068" spans="1:16" x14ac:dyDescent="0.25">
      <c r="A1068" t="s">
        <v>23559</v>
      </c>
      <c r="B1068" t="s">
        <v>2170</v>
      </c>
      <c r="C1068" t="s">
        <v>2171</v>
      </c>
      <c r="D1068" t="str">
        <f>"6064"</f>
        <v>6064</v>
      </c>
      <c r="E1068" t="s">
        <v>87</v>
      </c>
      <c r="F1068" t="s">
        <v>5</v>
      </c>
      <c r="G1068" t="s">
        <v>16232</v>
      </c>
      <c r="H1068" t="s">
        <v>47126</v>
      </c>
      <c r="I1068" t="s">
        <v>47127</v>
      </c>
      <c r="J1068" t="s">
        <v>47128</v>
      </c>
      <c r="K1068" t="s">
        <v>47113</v>
      </c>
      <c r="L1068">
        <v>17.47</v>
      </c>
      <c r="M1068">
        <v>41</v>
      </c>
      <c r="N1068">
        <v>0</v>
      </c>
      <c r="O1068">
        <v>41</v>
      </c>
      <c r="P1068">
        <v>0</v>
      </c>
    </row>
    <row r="1069" spans="1:16" x14ac:dyDescent="0.25">
      <c r="A1069" t="s">
        <v>23560</v>
      </c>
      <c r="B1069" t="s">
        <v>2172</v>
      </c>
      <c r="C1069" t="s">
        <v>2173</v>
      </c>
      <c r="D1069" t="str">
        <f>"1001"</f>
        <v>1001</v>
      </c>
      <c r="E1069" t="s">
        <v>42</v>
      </c>
      <c r="F1069" t="s">
        <v>5</v>
      </c>
      <c r="G1069" t="s">
        <v>16222</v>
      </c>
      <c r="H1069" t="s">
        <v>47126</v>
      </c>
      <c r="I1069" t="s">
        <v>47127</v>
      </c>
      <c r="J1069" t="s">
        <v>47128</v>
      </c>
      <c r="K1069" t="s">
        <v>47113</v>
      </c>
      <c r="L1069">
        <v>24.03</v>
      </c>
      <c r="M1069">
        <v>56</v>
      </c>
      <c r="N1069">
        <v>0</v>
      </c>
      <c r="O1069">
        <v>56</v>
      </c>
      <c r="P1069">
        <v>0</v>
      </c>
    </row>
    <row r="1070" spans="1:16" x14ac:dyDescent="0.25">
      <c r="A1070" t="s">
        <v>23561</v>
      </c>
      <c r="B1070" t="s">
        <v>2172</v>
      </c>
      <c r="C1070" t="s">
        <v>2173</v>
      </c>
      <c r="D1070" t="str">
        <f>"1379"</f>
        <v>1379</v>
      </c>
      <c r="E1070" t="s">
        <v>84</v>
      </c>
      <c r="F1070" t="s">
        <v>5</v>
      </c>
      <c r="G1070" t="s">
        <v>16222</v>
      </c>
      <c r="H1070" t="s">
        <v>47126</v>
      </c>
      <c r="I1070" t="s">
        <v>47127</v>
      </c>
      <c r="J1070" t="s">
        <v>47128</v>
      </c>
      <c r="K1070" t="s">
        <v>47113</v>
      </c>
      <c r="L1070">
        <v>24.03</v>
      </c>
      <c r="M1070">
        <v>56</v>
      </c>
      <c r="N1070">
        <v>0</v>
      </c>
      <c r="O1070">
        <v>56</v>
      </c>
      <c r="P1070">
        <v>0</v>
      </c>
    </row>
    <row r="1071" spans="1:16" x14ac:dyDescent="0.25">
      <c r="A1071" t="s">
        <v>23562</v>
      </c>
      <c r="B1071" t="s">
        <v>2172</v>
      </c>
      <c r="C1071" t="s">
        <v>2173</v>
      </c>
      <c r="D1071" t="str">
        <f>"3449"</f>
        <v>3449</v>
      </c>
      <c r="E1071" t="s">
        <v>90</v>
      </c>
      <c r="F1071" t="s">
        <v>5</v>
      </c>
      <c r="G1071" t="s">
        <v>16222</v>
      </c>
      <c r="H1071" t="s">
        <v>47126</v>
      </c>
      <c r="I1071" t="s">
        <v>47127</v>
      </c>
      <c r="J1071" t="s">
        <v>47128</v>
      </c>
      <c r="K1071" t="s">
        <v>47113</v>
      </c>
      <c r="L1071">
        <v>24.03</v>
      </c>
      <c r="M1071">
        <v>56</v>
      </c>
      <c r="N1071">
        <v>0</v>
      </c>
      <c r="O1071">
        <v>56</v>
      </c>
      <c r="P1071">
        <v>0</v>
      </c>
    </row>
    <row r="1072" spans="1:16" x14ac:dyDescent="0.25">
      <c r="A1072" t="s">
        <v>14746</v>
      </c>
      <c r="B1072" t="s">
        <v>2172</v>
      </c>
      <c r="C1072" t="s">
        <v>2173</v>
      </c>
      <c r="D1072" t="str">
        <f>"4643"</f>
        <v>4643</v>
      </c>
      <c r="E1072" t="s">
        <v>205</v>
      </c>
      <c r="F1072" t="s">
        <v>5</v>
      </c>
      <c r="G1072" t="s">
        <v>16222</v>
      </c>
      <c r="H1072" t="s">
        <v>47126</v>
      </c>
      <c r="I1072" t="s">
        <v>47127</v>
      </c>
      <c r="J1072" t="s">
        <v>47128</v>
      </c>
      <c r="K1072" t="s">
        <v>47113</v>
      </c>
      <c r="L1072">
        <v>24.03</v>
      </c>
      <c r="M1072">
        <v>56</v>
      </c>
      <c r="N1072">
        <v>0</v>
      </c>
      <c r="O1072">
        <v>56</v>
      </c>
      <c r="P1072">
        <v>0</v>
      </c>
    </row>
    <row r="1073" spans="1:16" x14ac:dyDescent="0.25">
      <c r="A1073" t="s">
        <v>23563</v>
      </c>
      <c r="B1073" t="s">
        <v>2172</v>
      </c>
      <c r="C1073" t="s">
        <v>2173</v>
      </c>
      <c r="D1073" t="str">
        <f>"5342"</f>
        <v>5342</v>
      </c>
      <c r="E1073" t="s">
        <v>77</v>
      </c>
      <c r="F1073" t="s">
        <v>5</v>
      </c>
      <c r="G1073" t="s">
        <v>16222</v>
      </c>
      <c r="H1073" t="s">
        <v>47126</v>
      </c>
      <c r="I1073" t="s">
        <v>47127</v>
      </c>
      <c r="J1073" t="s">
        <v>47128</v>
      </c>
      <c r="K1073" t="s">
        <v>47113</v>
      </c>
      <c r="L1073">
        <v>24.03</v>
      </c>
      <c r="M1073">
        <v>56</v>
      </c>
      <c r="N1073">
        <v>0</v>
      </c>
      <c r="O1073">
        <v>56</v>
      </c>
      <c r="P1073">
        <v>0</v>
      </c>
    </row>
    <row r="1074" spans="1:16" x14ac:dyDescent="0.25">
      <c r="A1074" t="s">
        <v>23564</v>
      </c>
      <c r="B1074" t="s">
        <v>2174</v>
      </c>
      <c r="C1074" t="s">
        <v>2175</v>
      </c>
      <c r="D1074" t="str">
        <f>"2166"</f>
        <v>2166</v>
      </c>
      <c r="E1074" t="s">
        <v>80</v>
      </c>
      <c r="F1074" t="s">
        <v>5</v>
      </c>
      <c r="G1074" t="s">
        <v>16224</v>
      </c>
      <c r="H1074" t="s">
        <v>47126</v>
      </c>
      <c r="I1074" t="s">
        <v>47127</v>
      </c>
      <c r="J1074" t="s">
        <v>47128</v>
      </c>
      <c r="K1074" t="s">
        <v>47113</v>
      </c>
      <c r="L1074">
        <v>42.43</v>
      </c>
      <c r="M1074">
        <v>99</v>
      </c>
      <c r="N1074">
        <v>0</v>
      </c>
      <c r="O1074">
        <v>99</v>
      </c>
      <c r="P1074">
        <v>0</v>
      </c>
    </row>
    <row r="1075" spans="1:16" x14ac:dyDescent="0.25">
      <c r="A1075" t="s">
        <v>23565</v>
      </c>
      <c r="B1075" t="s">
        <v>2174</v>
      </c>
      <c r="C1075" t="s">
        <v>2175</v>
      </c>
      <c r="D1075" t="str">
        <f>"3449"</f>
        <v>3449</v>
      </c>
      <c r="E1075" t="s">
        <v>90</v>
      </c>
      <c r="F1075" t="s">
        <v>5</v>
      </c>
      <c r="G1075" t="s">
        <v>16224</v>
      </c>
      <c r="H1075" t="s">
        <v>47126</v>
      </c>
      <c r="I1075" t="s">
        <v>47127</v>
      </c>
      <c r="J1075" t="s">
        <v>47128</v>
      </c>
      <c r="K1075" t="s">
        <v>47113</v>
      </c>
      <c r="L1075">
        <v>42.43</v>
      </c>
      <c r="M1075">
        <v>99</v>
      </c>
      <c r="N1075">
        <v>0</v>
      </c>
      <c r="O1075">
        <v>99</v>
      </c>
      <c r="P1075">
        <v>0</v>
      </c>
    </row>
    <row r="1076" spans="1:16" x14ac:dyDescent="0.25">
      <c r="A1076" t="s">
        <v>23566</v>
      </c>
      <c r="B1076" t="s">
        <v>2174</v>
      </c>
      <c r="C1076" t="s">
        <v>2175</v>
      </c>
      <c r="D1076" t="str">
        <f>"4348"</f>
        <v>4348</v>
      </c>
      <c r="E1076" t="s">
        <v>91</v>
      </c>
      <c r="F1076" t="s">
        <v>5</v>
      </c>
      <c r="G1076" t="s">
        <v>16224</v>
      </c>
      <c r="H1076" t="s">
        <v>47126</v>
      </c>
      <c r="I1076" t="s">
        <v>47127</v>
      </c>
      <c r="J1076" t="s">
        <v>47128</v>
      </c>
      <c r="K1076" t="s">
        <v>47113</v>
      </c>
      <c r="L1076">
        <v>42.43</v>
      </c>
      <c r="M1076">
        <v>99</v>
      </c>
      <c r="N1076">
        <v>0</v>
      </c>
      <c r="O1076">
        <v>99</v>
      </c>
      <c r="P1076">
        <v>0</v>
      </c>
    </row>
    <row r="1077" spans="1:16" x14ac:dyDescent="0.25">
      <c r="A1077" t="s">
        <v>23567</v>
      </c>
      <c r="B1077" t="s">
        <v>2174</v>
      </c>
      <c r="C1077" t="s">
        <v>2175</v>
      </c>
      <c r="D1077" t="str">
        <f>"5342"</f>
        <v>5342</v>
      </c>
      <c r="E1077" t="s">
        <v>77</v>
      </c>
      <c r="F1077" t="s">
        <v>5</v>
      </c>
      <c r="G1077" t="s">
        <v>16224</v>
      </c>
      <c r="H1077" t="s">
        <v>47126</v>
      </c>
      <c r="I1077" t="s">
        <v>47127</v>
      </c>
      <c r="J1077" t="s">
        <v>47128</v>
      </c>
      <c r="K1077" t="s">
        <v>47113</v>
      </c>
      <c r="L1077">
        <v>42.43</v>
      </c>
      <c r="M1077">
        <v>99</v>
      </c>
      <c r="N1077">
        <v>0</v>
      </c>
      <c r="O1077">
        <v>99</v>
      </c>
      <c r="P1077">
        <v>0</v>
      </c>
    </row>
    <row r="1078" spans="1:16" x14ac:dyDescent="0.25">
      <c r="A1078" t="s">
        <v>23568</v>
      </c>
      <c r="B1078" t="s">
        <v>2176</v>
      </c>
      <c r="C1078" t="s">
        <v>2177</v>
      </c>
      <c r="D1078" t="str">
        <f>"1379"</f>
        <v>1379</v>
      </c>
      <c r="E1078" t="s">
        <v>84</v>
      </c>
      <c r="F1078" t="s">
        <v>5</v>
      </c>
      <c r="G1078" t="s">
        <v>16224</v>
      </c>
      <c r="H1078" t="s">
        <v>47126</v>
      </c>
      <c r="I1078" t="s">
        <v>47127</v>
      </c>
      <c r="J1078" t="s">
        <v>47128</v>
      </c>
      <c r="K1078" t="s">
        <v>47113</v>
      </c>
      <c r="L1078">
        <v>36.22</v>
      </c>
      <c r="M1078">
        <v>84</v>
      </c>
      <c r="N1078">
        <v>0</v>
      </c>
      <c r="O1078">
        <v>84</v>
      </c>
      <c r="P1078">
        <v>0</v>
      </c>
    </row>
    <row r="1079" spans="1:16" x14ac:dyDescent="0.25">
      <c r="A1079" t="s">
        <v>23569</v>
      </c>
      <c r="B1079" t="s">
        <v>2176</v>
      </c>
      <c r="C1079" t="s">
        <v>2177</v>
      </c>
      <c r="D1079" t="str">
        <f>"3449"</f>
        <v>3449</v>
      </c>
      <c r="E1079" t="s">
        <v>90</v>
      </c>
      <c r="F1079" t="s">
        <v>5</v>
      </c>
      <c r="G1079" t="s">
        <v>16224</v>
      </c>
      <c r="H1079" t="s">
        <v>47126</v>
      </c>
      <c r="I1079" t="s">
        <v>47127</v>
      </c>
      <c r="J1079" t="s">
        <v>47128</v>
      </c>
      <c r="K1079" t="s">
        <v>47113</v>
      </c>
      <c r="L1079">
        <v>36.22</v>
      </c>
      <c r="M1079">
        <v>84</v>
      </c>
      <c r="N1079">
        <v>0</v>
      </c>
      <c r="O1079">
        <v>84</v>
      </c>
      <c r="P1079">
        <v>0</v>
      </c>
    </row>
    <row r="1080" spans="1:16" x14ac:dyDescent="0.25">
      <c r="A1080" t="s">
        <v>23570</v>
      </c>
      <c r="B1080" t="s">
        <v>2176</v>
      </c>
      <c r="C1080" t="s">
        <v>2177</v>
      </c>
      <c r="D1080" t="str">
        <f>"4643"</f>
        <v>4643</v>
      </c>
      <c r="E1080" t="s">
        <v>205</v>
      </c>
      <c r="F1080" t="s">
        <v>5</v>
      </c>
      <c r="G1080" t="s">
        <v>16224</v>
      </c>
      <c r="H1080" t="s">
        <v>47126</v>
      </c>
      <c r="I1080" t="s">
        <v>47127</v>
      </c>
      <c r="J1080" t="s">
        <v>47128</v>
      </c>
      <c r="K1080" t="s">
        <v>47113</v>
      </c>
      <c r="L1080">
        <v>36.22</v>
      </c>
      <c r="M1080">
        <v>84</v>
      </c>
      <c r="N1080">
        <v>0</v>
      </c>
      <c r="O1080">
        <v>84</v>
      </c>
      <c r="P1080">
        <v>0</v>
      </c>
    </row>
    <row r="1081" spans="1:16" x14ac:dyDescent="0.25">
      <c r="A1081" t="s">
        <v>14747</v>
      </c>
      <c r="B1081" t="s">
        <v>2176</v>
      </c>
      <c r="C1081" t="s">
        <v>2177</v>
      </c>
      <c r="D1081" t="str">
        <f>"5342"</f>
        <v>5342</v>
      </c>
      <c r="E1081" t="s">
        <v>77</v>
      </c>
      <c r="F1081" t="s">
        <v>5</v>
      </c>
      <c r="G1081" t="s">
        <v>16224</v>
      </c>
      <c r="H1081" t="s">
        <v>47126</v>
      </c>
      <c r="I1081" t="s">
        <v>47127</v>
      </c>
      <c r="J1081" t="s">
        <v>47128</v>
      </c>
      <c r="K1081" t="s">
        <v>47113</v>
      </c>
      <c r="L1081">
        <v>36.22</v>
      </c>
      <c r="M1081">
        <v>84</v>
      </c>
      <c r="N1081">
        <v>0</v>
      </c>
      <c r="O1081">
        <v>84</v>
      </c>
      <c r="P1081">
        <v>0</v>
      </c>
    </row>
    <row r="1082" spans="1:16" x14ac:dyDescent="0.25">
      <c r="A1082" t="s">
        <v>23571</v>
      </c>
      <c r="B1082" t="s">
        <v>2176</v>
      </c>
      <c r="C1082" t="s">
        <v>2177</v>
      </c>
      <c r="D1082" t="str">
        <f>"6064"</f>
        <v>6064</v>
      </c>
      <c r="E1082" t="s">
        <v>87</v>
      </c>
      <c r="F1082" t="s">
        <v>5</v>
      </c>
      <c r="G1082" t="s">
        <v>16224</v>
      </c>
      <c r="H1082" t="s">
        <v>47126</v>
      </c>
      <c r="I1082" t="s">
        <v>47127</v>
      </c>
      <c r="J1082" t="s">
        <v>47128</v>
      </c>
      <c r="K1082" t="s">
        <v>47113</v>
      </c>
      <c r="L1082">
        <v>36.22</v>
      </c>
      <c r="M1082">
        <v>84</v>
      </c>
      <c r="N1082">
        <v>0</v>
      </c>
      <c r="O1082">
        <v>84</v>
      </c>
      <c r="P1082">
        <v>0</v>
      </c>
    </row>
    <row r="1083" spans="1:16" x14ac:dyDescent="0.25">
      <c r="A1083" t="s">
        <v>23572</v>
      </c>
      <c r="B1083" t="s">
        <v>2178</v>
      </c>
      <c r="C1083" t="s">
        <v>2179</v>
      </c>
      <c r="D1083" t="str">
        <f>"1379"</f>
        <v>1379</v>
      </c>
      <c r="E1083" t="s">
        <v>84</v>
      </c>
      <c r="F1083" t="s">
        <v>5</v>
      </c>
      <c r="G1083" t="s">
        <v>16224</v>
      </c>
      <c r="H1083" t="s">
        <v>47126</v>
      </c>
      <c r="I1083" t="s">
        <v>47127</v>
      </c>
      <c r="J1083" t="s">
        <v>47128</v>
      </c>
      <c r="K1083" t="s">
        <v>47113</v>
      </c>
      <c r="L1083">
        <v>36.450000000000003</v>
      </c>
      <c r="M1083">
        <v>85</v>
      </c>
      <c r="N1083">
        <v>0</v>
      </c>
      <c r="O1083">
        <v>85</v>
      </c>
      <c r="P1083">
        <v>0</v>
      </c>
    </row>
    <row r="1084" spans="1:16" x14ac:dyDescent="0.25">
      <c r="A1084" t="s">
        <v>23573</v>
      </c>
      <c r="B1084" t="s">
        <v>2178</v>
      </c>
      <c r="C1084" t="s">
        <v>2179</v>
      </c>
      <c r="D1084" t="str">
        <f>"3449"</f>
        <v>3449</v>
      </c>
      <c r="E1084" t="s">
        <v>90</v>
      </c>
      <c r="F1084" t="s">
        <v>5</v>
      </c>
      <c r="G1084" t="s">
        <v>16224</v>
      </c>
      <c r="H1084" t="s">
        <v>47126</v>
      </c>
      <c r="I1084" t="s">
        <v>47127</v>
      </c>
      <c r="J1084" t="s">
        <v>47128</v>
      </c>
      <c r="K1084" t="s">
        <v>47113</v>
      </c>
      <c r="L1084">
        <v>36.450000000000003</v>
      </c>
      <c r="M1084">
        <v>85</v>
      </c>
      <c r="N1084">
        <v>0</v>
      </c>
      <c r="O1084">
        <v>85</v>
      </c>
      <c r="P1084">
        <v>0</v>
      </c>
    </row>
    <row r="1085" spans="1:16" x14ac:dyDescent="0.25">
      <c r="A1085" t="s">
        <v>23574</v>
      </c>
      <c r="B1085" t="s">
        <v>2178</v>
      </c>
      <c r="C1085" t="s">
        <v>2179</v>
      </c>
      <c r="D1085" t="str">
        <f>"4643"</f>
        <v>4643</v>
      </c>
      <c r="E1085" t="s">
        <v>205</v>
      </c>
      <c r="F1085" t="s">
        <v>5</v>
      </c>
      <c r="G1085" t="s">
        <v>16224</v>
      </c>
      <c r="H1085" t="s">
        <v>47126</v>
      </c>
      <c r="I1085" t="s">
        <v>47127</v>
      </c>
      <c r="J1085" t="s">
        <v>47128</v>
      </c>
      <c r="K1085" t="s">
        <v>47113</v>
      </c>
      <c r="L1085">
        <v>36.450000000000003</v>
      </c>
      <c r="M1085">
        <v>85</v>
      </c>
      <c r="N1085">
        <v>0</v>
      </c>
      <c r="O1085">
        <v>85</v>
      </c>
      <c r="P1085">
        <v>0</v>
      </c>
    </row>
    <row r="1086" spans="1:16" x14ac:dyDescent="0.25">
      <c r="A1086" t="s">
        <v>23575</v>
      </c>
      <c r="B1086" t="s">
        <v>2178</v>
      </c>
      <c r="C1086" t="s">
        <v>2179</v>
      </c>
      <c r="D1086" t="str">
        <f>"5342"</f>
        <v>5342</v>
      </c>
      <c r="E1086" t="s">
        <v>77</v>
      </c>
      <c r="F1086" t="s">
        <v>5</v>
      </c>
      <c r="G1086" t="s">
        <v>16224</v>
      </c>
      <c r="H1086" t="s">
        <v>47126</v>
      </c>
      <c r="I1086" t="s">
        <v>47127</v>
      </c>
      <c r="J1086" t="s">
        <v>47128</v>
      </c>
      <c r="K1086" t="s">
        <v>47113</v>
      </c>
      <c r="L1086">
        <v>36.450000000000003</v>
      </c>
      <c r="M1086">
        <v>85</v>
      </c>
      <c r="N1086">
        <v>0</v>
      </c>
      <c r="O1086">
        <v>85</v>
      </c>
      <c r="P1086">
        <v>0</v>
      </c>
    </row>
    <row r="1087" spans="1:16" x14ac:dyDescent="0.25">
      <c r="A1087" t="s">
        <v>23576</v>
      </c>
      <c r="B1087" t="s">
        <v>2178</v>
      </c>
      <c r="C1087" t="s">
        <v>2179</v>
      </c>
      <c r="D1087" t="str">
        <f>"6064"</f>
        <v>6064</v>
      </c>
      <c r="E1087" t="s">
        <v>87</v>
      </c>
      <c r="F1087" t="s">
        <v>5</v>
      </c>
      <c r="G1087" t="s">
        <v>16224</v>
      </c>
      <c r="H1087" t="s">
        <v>47126</v>
      </c>
      <c r="I1087" t="s">
        <v>47127</v>
      </c>
      <c r="J1087" t="s">
        <v>47128</v>
      </c>
      <c r="K1087" t="s">
        <v>47113</v>
      </c>
      <c r="L1087">
        <v>36.450000000000003</v>
      </c>
      <c r="M1087">
        <v>85</v>
      </c>
      <c r="N1087">
        <v>0</v>
      </c>
      <c r="O1087">
        <v>85</v>
      </c>
      <c r="P1087">
        <v>0</v>
      </c>
    </row>
    <row r="1088" spans="1:16" x14ac:dyDescent="0.25">
      <c r="A1088" t="s">
        <v>23577</v>
      </c>
      <c r="B1088" t="s">
        <v>2180</v>
      </c>
      <c r="C1088" t="s">
        <v>2181</v>
      </c>
      <c r="D1088" t="str">
        <f>"1001"</f>
        <v>1001</v>
      </c>
      <c r="E1088" t="s">
        <v>42</v>
      </c>
      <c r="F1088" t="s">
        <v>5</v>
      </c>
      <c r="G1088" t="s">
        <v>16224</v>
      </c>
      <c r="H1088" t="s">
        <v>47126</v>
      </c>
      <c r="I1088" t="s">
        <v>47127</v>
      </c>
      <c r="J1088" t="s">
        <v>47128</v>
      </c>
      <c r="K1088" t="s">
        <v>47113</v>
      </c>
      <c r="L1088">
        <v>34.380000000000003</v>
      </c>
      <c r="M1088">
        <v>80</v>
      </c>
      <c r="N1088">
        <v>0</v>
      </c>
      <c r="O1088">
        <v>80</v>
      </c>
      <c r="P1088">
        <v>0</v>
      </c>
    </row>
    <row r="1089" spans="1:16" x14ac:dyDescent="0.25">
      <c r="A1089" t="s">
        <v>23578</v>
      </c>
      <c r="B1089" t="s">
        <v>2180</v>
      </c>
      <c r="C1089" t="s">
        <v>2181</v>
      </c>
      <c r="D1089" t="str">
        <f>"1379"</f>
        <v>1379</v>
      </c>
      <c r="E1089" t="s">
        <v>84</v>
      </c>
      <c r="F1089" t="s">
        <v>5</v>
      </c>
      <c r="G1089" t="s">
        <v>16224</v>
      </c>
      <c r="H1089" t="s">
        <v>47126</v>
      </c>
      <c r="I1089" t="s">
        <v>47127</v>
      </c>
      <c r="J1089" t="s">
        <v>47128</v>
      </c>
      <c r="K1089" t="s">
        <v>47113</v>
      </c>
      <c r="L1089">
        <v>34.380000000000003</v>
      </c>
      <c r="M1089">
        <v>80</v>
      </c>
      <c r="N1089">
        <v>0</v>
      </c>
      <c r="O1089">
        <v>80</v>
      </c>
      <c r="P1089">
        <v>0</v>
      </c>
    </row>
    <row r="1090" spans="1:16" x14ac:dyDescent="0.25">
      <c r="A1090" t="s">
        <v>23579</v>
      </c>
      <c r="B1090" t="s">
        <v>2180</v>
      </c>
      <c r="C1090" t="s">
        <v>2181</v>
      </c>
      <c r="D1090" t="str">
        <f>"3449"</f>
        <v>3449</v>
      </c>
      <c r="E1090" t="s">
        <v>90</v>
      </c>
      <c r="F1090" t="s">
        <v>5</v>
      </c>
      <c r="G1090" t="s">
        <v>16224</v>
      </c>
      <c r="H1090" t="s">
        <v>47126</v>
      </c>
      <c r="I1090" t="s">
        <v>47127</v>
      </c>
      <c r="J1090" t="s">
        <v>47128</v>
      </c>
      <c r="K1090" t="s">
        <v>47113</v>
      </c>
      <c r="L1090">
        <v>34.380000000000003</v>
      </c>
      <c r="M1090">
        <v>80</v>
      </c>
      <c r="N1090">
        <v>0</v>
      </c>
      <c r="O1090">
        <v>80</v>
      </c>
      <c r="P1090">
        <v>0</v>
      </c>
    </row>
    <row r="1091" spans="1:16" x14ac:dyDescent="0.25">
      <c r="A1091" t="s">
        <v>23580</v>
      </c>
      <c r="B1091" t="s">
        <v>2180</v>
      </c>
      <c r="C1091" t="s">
        <v>2181</v>
      </c>
      <c r="D1091" t="str">
        <f>"4643"</f>
        <v>4643</v>
      </c>
      <c r="E1091" t="s">
        <v>205</v>
      </c>
      <c r="F1091" t="s">
        <v>5</v>
      </c>
      <c r="G1091" t="s">
        <v>16224</v>
      </c>
      <c r="H1091" t="s">
        <v>47126</v>
      </c>
      <c r="I1091" t="s">
        <v>47127</v>
      </c>
      <c r="J1091" t="s">
        <v>47128</v>
      </c>
      <c r="K1091" t="s">
        <v>47113</v>
      </c>
      <c r="L1091">
        <v>34.380000000000003</v>
      </c>
      <c r="M1091">
        <v>80</v>
      </c>
      <c r="N1091">
        <v>0</v>
      </c>
      <c r="O1091">
        <v>80</v>
      </c>
      <c r="P1091">
        <v>0</v>
      </c>
    </row>
    <row r="1092" spans="1:16" x14ac:dyDescent="0.25">
      <c r="A1092" t="s">
        <v>23581</v>
      </c>
      <c r="B1092" t="s">
        <v>2180</v>
      </c>
      <c r="C1092" t="s">
        <v>2181</v>
      </c>
      <c r="D1092" t="str">
        <f>"5342"</f>
        <v>5342</v>
      </c>
      <c r="E1092" t="s">
        <v>77</v>
      </c>
      <c r="F1092" t="s">
        <v>5</v>
      </c>
      <c r="G1092" t="s">
        <v>16224</v>
      </c>
      <c r="H1092" t="s">
        <v>47126</v>
      </c>
      <c r="I1092" t="s">
        <v>47127</v>
      </c>
      <c r="J1092" t="s">
        <v>47128</v>
      </c>
      <c r="K1092" t="s">
        <v>47113</v>
      </c>
      <c r="L1092">
        <v>34.380000000000003</v>
      </c>
      <c r="M1092">
        <v>80</v>
      </c>
      <c r="N1092">
        <v>0</v>
      </c>
      <c r="O1092">
        <v>80</v>
      </c>
      <c r="P1092">
        <v>0</v>
      </c>
    </row>
    <row r="1093" spans="1:16" x14ac:dyDescent="0.25">
      <c r="A1093" t="s">
        <v>23582</v>
      </c>
      <c r="B1093" t="s">
        <v>2180</v>
      </c>
      <c r="C1093" t="s">
        <v>2181</v>
      </c>
      <c r="D1093" t="str">
        <f>"6064"</f>
        <v>6064</v>
      </c>
      <c r="E1093" t="s">
        <v>87</v>
      </c>
      <c r="F1093" t="s">
        <v>5</v>
      </c>
      <c r="G1093" t="s">
        <v>16224</v>
      </c>
      <c r="H1093" t="s">
        <v>47126</v>
      </c>
      <c r="I1093" t="s">
        <v>47127</v>
      </c>
      <c r="J1093" t="s">
        <v>47128</v>
      </c>
      <c r="K1093" t="s">
        <v>47113</v>
      </c>
      <c r="L1093">
        <v>40.46</v>
      </c>
      <c r="M1093">
        <v>94</v>
      </c>
      <c r="N1093">
        <v>0</v>
      </c>
      <c r="O1093">
        <v>94</v>
      </c>
      <c r="P1093">
        <v>0</v>
      </c>
    </row>
    <row r="1094" spans="1:16" x14ac:dyDescent="0.25">
      <c r="A1094" t="s">
        <v>23583</v>
      </c>
      <c r="B1094" t="s">
        <v>2182</v>
      </c>
      <c r="C1094" t="s">
        <v>2183</v>
      </c>
      <c r="D1094" t="str">
        <f>"2166"</f>
        <v>2166</v>
      </c>
      <c r="E1094" t="s">
        <v>80</v>
      </c>
      <c r="F1094" t="s">
        <v>5</v>
      </c>
      <c r="G1094" t="s">
        <v>16224</v>
      </c>
      <c r="H1094" t="s">
        <v>47126</v>
      </c>
      <c r="I1094" t="s">
        <v>47127</v>
      </c>
      <c r="J1094" t="s">
        <v>47128</v>
      </c>
      <c r="K1094" t="s">
        <v>47113</v>
      </c>
      <c r="L1094">
        <v>37.369999999999997</v>
      </c>
      <c r="M1094">
        <v>87</v>
      </c>
      <c r="N1094">
        <v>0</v>
      </c>
      <c r="O1094">
        <v>87</v>
      </c>
      <c r="P1094">
        <v>0</v>
      </c>
    </row>
    <row r="1095" spans="1:16" x14ac:dyDescent="0.25">
      <c r="A1095" t="s">
        <v>23584</v>
      </c>
      <c r="B1095" t="s">
        <v>2182</v>
      </c>
      <c r="C1095" t="s">
        <v>2183</v>
      </c>
      <c r="D1095" t="str">
        <f>"3449"</f>
        <v>3449</v>
      </c>
      <c r="E1095" t="s">
        <v>90</v>
      </c>
      <c r="F1095" t="s">
        <v>5</v>
      </c>
      <c r="G1095" t="s">
        <v>16224</v>
      </c>
      <c r="H1095" t="s">
        <v>47126</v>
      </c>
      <c r="I1095" t="s">
        <v>47127</v>
      </c>
      <c r="J1095" t="s">
        <v>47128</v>
      </c>
      <c r="K1095" t="s">
        <v>47113</v>
      </c>
      <c r="L1095">
        <v>37.369999999999997</v>
      </c>
      <c r="M1095">
        <v>87</v>
      </c>
      <c r="N1095">
        <v>0</v>
      </c>
      <c r="O1095">
        <v>87</v>
      </c>
      <c r="P1095">
        <v>0</v>
      </c>
    </row>
    <row r="1096" spans="1:16" x14ac:dyDescent="0.25">
      <c r="A1096" t="s">
        <v>23585</v>
      </c>
      <c r="B1096" t="s">
        <v>2182</v>
      </c>
      <c r="C1096" t="s">
        <v>2183</v>
      </c>
      <c r="D1096" t="str">
        <f>"4348"</f>
        <v>4348</v>
      </c>
      <c r="E1096" t="s">
        <v>91</v>
      </c>
      <c r="F1096" t="s">
        <v>5</v>
      </c>
      <c r="G1096" t="s">
        <v>16224</v>
      </c>
      <c r="H1096" t="s">
        <v>47126</v>
      </c>
      <c r="I1096" t="s">
        <v>47127</v>
      </c>
      <c r="J1096" t="s">
        <v>47128</v>
      </c>
      <c r="K1096" t="s">
        <v>47113</v>
      </c>
      <c r="L1096">
        <v>37.369999999999997</v>
      </c>
      <c r="M1096">
        <v>87</v>
      </c>
      <c r="N1096">
        <v>0</v>
      </c>
      <c r="O1096">
        <v>87</v>
      </c>
      <c r="P1096">
        <v>0</v>
      </c>
    </row>
    <row r="1097" spans="1:16" x14ac:dyDescent="0.25">
      <c r="A1097" t="s">
        <v>23586</v>
      </c>
      <c r="B1097" t="s">
        <v>2182</v>
      </c>
      <c r="C1097" t="s">
        <v>2183</v>
      </c>
      <c r="D1097" t="str">
        <f>"5342"</f>
        <v>5342</v>
      </c>
      <c r="E1097" t="s">
        <v>77</v>
      </c>
      <c r="F1097" t="s">
        <v>5</v>
      </c>
      <c r="G1097" t="s">
        <v>16224</v>
      </c>
      <c r="H1097" t="s">
        <v>47126</v>
      </c>
      <c r="I1097" t="s">
        <v>47127</v>
      </c>
      <c r="J1097" t="s">
        <v>47128</v>
      </c>
      <c r="K1097" t="s">
        <v>47113</v>
      </c>
      <c r="L1097">
        <v>37.369999999999997</v>
      </c>
      <c r="M1097">
        <v>87</v>
      </c>
      <c r="N1097">
        <v>0</v>
      </c>
      <c r="O1097">
        <v>87</v>
      </c>
      <c r="P1097">
        <v>0</v>
      </c>
    </row>
    <row r="1098" spans="1:16" x14ac:dyDescent="0.25">
      <c r="A1098" t="s">
        <v>23587</v>
      </c>
      <c r="B1098" t="s">
        <v>2182</v>
      </c>
      <c r="C1098" t="s">
        <v>2183</v>
      </c>
      <c r="D1098" t="str">
        <f>"6064"</f>
        <v>6064</v>
      </c>
      <c r="E1098" t="s">
        <v>87</v>
      </c>
      <c r="F1098" t="s">
        <v>5</v>
      </c>
      <c r="G1098" t="s">
        <v>16224</v>
      </c>
      <c r="H1098" t="s">
        <v>47126</v>
      </c>
      <c r="I1098" t="s">
        <v>47127</v>
      </c>
      <c r="J1098" t="s">
        <v>47128</v>
      </c>
      <c r="K1098" t="s">
        <v>47113</v>
      </c>
      <c r="L1098">
        <v>37.369999999999997</v>
      </c>
      <c r="M1098">
        <v>87</v>
      </c>
      <c r="N1098">
        <v>0</v>
      </c>
      <c r="O1098">
        <v>87</v>
      </c>
      <c r="P1098">
        <v>0</v>
      </c>
    </row>
    <row r="1099" spans="1:16" x14ac:dyDescent="0.25">
      <c r="A1099" t="s">
        <v>23588</v>
      </c>
      <c r="B1099" t="s">
        <v>2184</v>
      </c>
      <c r="C1099" t="s">
        <v>2185</v>
      </c>
      <c r="D1099" t="str">
        <f>"2166"</f>
        <v>2166</v>
      </c>
      <c r="E1099" t="s">
        <v>80</v>
      </c>
      <c r="F1099" t="s">
        <v>5</v>
      </c>
      <c r="G1099" t="s">
        <v>16230</v>
      </c>
      <c r="H1099" t="s">
        <v>47126</v>
      </c>
      <c r="I1099" t="s">
        <v>47127</v>
      </c>
      <c r="J1099" t="s">
        <v>47128</v>
      </c>
      <c r="K1099" t="s">
        <v>47113</v>
      </c>
      <c r="L1099">
        <v>40.46</v>
      </c>
      <c r="M1099">
        <v>94</v>
      </c>
      <c r="N1099">
        <v>0</v>
      </c>
      <c r="O1099">
        <v>94</v>
      </c>
      <c r="P1099">
        <v>0</v>
      </c>
    </row>
    <row r="1100" spans="1:16" x14ac:dyDescent="0.25">
      <c r="A1100" t="s">
        <v>23589</v>
      </c>
      <c r="B1100" t="s">
        <v>2184</v>
      </c>
      <c r="C1100" t="s">
        <v>2185</v>
      </c>
      <c r="D1100" t="str">
        <f>"3449"</f>
        <v>3449</v>
      </c>
      <c r="E1100" t="s">
        <v>2121</v>
      </c>
      <c r="F1100" t="s">
        <v>5</v>
      </c>
      <c r="G1100" t="s">
        <v>16230</v>
      </c>
      <c r="H1100" t="s">
        <v>47126</v>
      </c>
      <c r="I1100" t="s">
        <v>47127</v>
      </c>
      <c r="J1100" t="s">
        <v>47128</v>
      </c>
      <c r="K1100" t="s">
        <v>47113</v>
      </c>
      <c r="L1100">
        <v>40.46</v>
      </c>
      <c r="M1100">
        <v>94</v>
      </c>
      <c r="N1100">
        <v>0</v>
      </c>
      <c r="O1100">
        <v>94</v>
      </c>
      <c r="P1100">
        <v>0</v>
      </c>
    </row>
    <row r="1101" spans="1:16" x14ac:dyDescent="0.25">
      <c r="A1101" t="s">
        <v>23590</v>
      </c>
      <c r="B1101" t="s">
        <v>2184</v>
      </c>
      <c r="C1101" t="s">
        <v>2185</v>
      </c>
      <c r="D1101" t="str">
        <f>"4348"</f>
        <v>4348</v>
      </c>
      <c r="E1101" t="s">
        <v>91</v>
      </c>
      <c r="F1101" t="s">
        <v>5</v>
      </c>
      <c r="G1101" t="s">
        <v>16230</v>
      </c>
      <c r="H1101" t="s">
        <v>47126</v>
      </c>
      <c r="I1101" t="s">
        <v>47127</v>
      </c>
      <c r="J1101" t="s">
        <v>47128</v>
      </c>
      <c r="K1101" t="s">
        <v>47113</v>
      </c>
      <c r="L1101">
        <v>40.46</v>
      </c>
      <c r="M1101">
        <v>94</v>
      </c>
      <c r="N1101">
        <v>0</v>
      </c>
      <c r="O1101">
        <v>94</v>
      </c>
      <c r="P1101">
        <v>0</v>
      </c>
    </row>
    <row r="1102" spans="1:16" x14ac:dyDescent="0.25">
      <c r="A1102" t="s">
        <v>23591</v>
      </c>
      <c r="B1102" t="s">
        <v>2184</v>
      </c>
      <c r="C1102" t="s">
        <v>2185</v>
      </c>
      <c r="D1102" t="str">
        <f>"5342"</f>
        <v>5342</v>
      </c>
      <c r="E1102" t="s">
        <v>77</v>
      </c>
      <c r="F1102" t="s">
        <v>5</v>
      </c>
      <c r="G1102" t="s">
        <v>16230</v>
      </c>
      <c r="H1102" t="s">
        <v>47126</v>
      </c>
      <c r="I1102" t="s">
        <v>47127</v>
      </c>
      <c r="J1102" t="s">
        <v>47128</v>
      </c>
      <c r="K1102" t="s">
        <v>47113</v>
      </c>
      <c r="L1102">
        <v>40.46</v>
      </c>
      <c r="M1102">
        <v>94</v>
      </c>
      <c r="N1102">
        <v>0</v>
      </c>
      <c r="O1102">
        <v>94</v>
      </c>
      <c r="P1102">
        <v>0</v>
      </c>
    </row>
    <row r="1103" spans="1:16" x14ac:dyDescent="0.25">
      <c r="A1103" t="s">
        <v>23592</v>
      </c>
      <c r="B1103" t="s">
        <v>2186</v>
      </c>
      <c r="C1103" t="s">
        <v>2187</v>
      </c>
      <c r="D1103" t="str">
        <f>"4830"</f>
        <v>4830</v>
      </c>
      <c r="E1103" t="s">
        <v>2188</v>
      </c>
      <c r="F1103" t="s">
        <v>5</v>
      </c>
      <c r="G1103" t="s">
        <v>16221</v>
      </c>
      <c r="H1103" t="s">
        <v>47126</v>
      </c>
      <c r="I1103" t="s">
        <v>47127</v>
      </c>
      <c r="J1103" t="s">
        <v>47128</v>
      </c>
      <c r="K1103" t="s">
        <v>47113</v>
      </c>
      <c r="L1103">
        <v>19.43</v>
      </c>
      <c r="M1103">
        <v>45</v>
      </c>
      <c r="N1103">
        <v>0</v>
      </c>
      <c r="O1103">
        <v>45</v>
      </c>
      <c r="P1103">
        <v>0</v>
      </c>
    </row>
    <row r="1104" spans="1:16" x14ac:dyDescent="0.25">
      <c r="A1104" t="s">
        <v>23593</v>
      </c>
      <c r="B1104" t="s">
        <v>2189</v>
      </c>
      <c r="C1104" t="s">
        <v>2190</v>
      </c>
      <c r="D1104" t="str">
        <f>"1001"</f>
        <v>1001</v>
      </c>
      <c r="E1104" t="s">
        <v>42</v>
      </c>
      <c r="F1104" t="s">
        <v>5</v>
      </c>
      <c r="G1104" t="s">
        <v>16221</v>
      </c>
      <c r="H1104" t="s">
        <v>47126</v>
      </c>
      <c r="I1104" t="s">
        <v>47127</v>
      </c>
      <c r="J1104" t="s">
        <v>47128</v>
      </c>
      <c r="K1104" t="s">
        <v>47113</v>
      </c>
      <c r="L1104">
        <v>17.010000000000002</v>
      </c>
      <c r="M1104">
        <v>40</v>
      </c>
      <c r="N1104">
        <v>0</v>
      </c>
      <c r="O1104">
        <v>40</v>
      </c>
      <c r="P1104">
        <v>0</v>
      </c>
    </row>
    <row r="1105" spans="1:16" x14ac:dyDescent="0.25">
      <c r="A1105" t="s">
        <v>23594</v>
      </c>
      <c r="B1105" t="s">
        <v>2189</v>
      </c>
      <c r="C1105" t="s">
        <v>2190</v>
      </c>
      <c r="D1105" t="str">
        <f>"1299"</f>
        <v>1299</v>
      </c>
      <c r="E1105" t="s">
        <v>73</v>
      </c>
      <c r="F1105" t="s">
        <v>5</v>
      </c>
      <c r="G1105" t="s">
        <v>16221</v>
      </c>
      <c r="H1105" t="s">
        <v>47126</v>
      </c>
      <c r="I1105" t="s">
        <v>47127</v>
      </c>
      <c r="J1105" t="s">
        <v>47128</v>
      </c>
      <c r="K1105" t="s">
        <v>47113</v>
      </c>
      <c r="L1105">
        <v>17.010000000000002</v>
      </c>
      <c r="M1105">
        <v>40</v>
      </c>
      <c r="N1105">
        <v>0</v>
      </c>
      <c r="O1105">
        <v>40</v>
      </c>
      <c r="P1105">
        <v>0</v>
      </c>
    </row>
    <row r="1106" spans="1:16" x14ac:dyDescent="0.25">
      <c r="A1106" t="s">
        <v>23595</v>
      </c>
      <c r="B1106" t="s">
        <v>2189</v>
      </c>
      <c r="C1106" t="s">
        <v>2190</v>
      </c>
      <c r="D1106" t="str">
        <f>"1700"</f>
        <v>1700</v>
      </c>
      <c r="E1106" t="s">
        <v>60</v>
      </c>
      <c r="F1106" t="s">
        <v>5</v>
      </c>
      <c r="G1106" t="s">
        <v>16221</v>
      </c>
      <c r="H1106" t="s">
        <v>47126</v>
      </c>
      <c r="I1106" t="s">
        <v>47127</v>
      </c>
      <c r="J1106" t="s">
        <v>47128</v>
      </c>
      <c r="K1106" t="s">
        <v>47113</v>
      </c>
      <c r="L1106">
        <v>17.010000000000002</v>
      </c>
      <c r="M1106">
        <v>40</v>
      </c>
      <c r="N1106">
        <v>0</v>
      </c>
      <c r="O1106">
        <v>40</v>
      </c>
      <c r="P1106">
        <v>0</v>
      </c>
    </row>
    <row r="1107" spans="1:16" x14ac:dyDescent="0.25">
      <c r="A1107" t="s">
        <v>23596</v>
      </c>
      <c r="B1107" t="s">
        <v>2189</v>
      </c>
      <c r="C1107" t="s">
        <v>2190</v>
      </c>
      <c r="D1107" t="str">
        <f>"2166"</f>
        <v>2166</v>
      </c>
      <c r="E1107" t="s">
        <v>80</v>
      </c>
      <c r="F1107" t="s">
        <v>5</v>
      </c>
      <c r="G1107" t="s">
        <v>16221</v>
      </c>
      <c r="H1107" t="s">
        <v>47126</v>
      </c>
      <c r="I1107" t="s">
        <v>47127</v>
      </c>
      <c r="J1107" t="s">
        <v>47128</v>
      </c>
      <c r="K1107" t="s">
        <v>47113</v>
      </c>
      <c r="L1107">
        <v>17.010000000000002</v>
      </c>
      <c r="M1107">
        <v>40</v>
      </c>
      <c r="N1107">
        <v>0</v>
      </c>
      <c r="O1107">
        <v>40</v>
      </c>
      <c r="P1107">
        <v>0</v>
      </c>
    </row>
    <row r="1108" spans="1:16" x14ac:dyDescent="0.25">
      <c r="A1108" t="s">
        <v>23597</v>
      </c>
      <c r="B1108" t="s">
        <v>2189</v>
      </c>
      <c r="C1108" t="s">
        <v>2190</v>
      </c>
      <c r="D1108" t="str">
        <f>"3449"</f>
        <v>3449</v>
      </c>
      <c r="E1108" t="s">
        <v>90</v>
      </c>
      <c r="F1108" t="s">
        <v>5</v>
      </c>
      <c r="G1108" t="s">
        <v>16221</v>
      </c>
      <c r="H1108" t="s">
        <v>47126</v>
      </c>
      <c r="I1108" t="s">
        <v>47127</v>
      </c>
      <c r="J1108" t="s">
        <v>47128</v>
      </c>
      <c r="K1108" t="s">
        <v>47113</v>
      </c>
      <c r="L1108">
        <v>17.010000000000002</v>
      </c>
      <c r="M1108">
        <v>40</v>
      </c>
      <c r="N1108">
        <v>0</v>
      </c>
      <c r="O1108">
        <v>40</v>
      </c>
      <c r="P1108">
        <v>0</v>
      </c>
    </row>
    <row r="1109" spans="1:16" x14ac:dyDescent="0.25">
      <c r="A1109" t="s">
        <v>23598</v>
      </c>
      <c r="B1109" t="s">
        <v>2189</v>
      </c>
      <c r="C1109" t="s">
        <v>2190</v>
      </c>
      <c r="D1109" t="str">
        <f>"4348"</f>
        <v>4348</v>
      </c>
      <c r="E1109" t="s">
        <v>91</v>
      </c>
      <c r="F1109" t="s">
        <v>5</v>
      </c>
      <c r="G1109" t="s">
        <v>16221</v>
      </c>
      <c r="H1109" t="s">
        <v>47126</v>
      </c>
      <c r="I1109" t="s">
        <v>47127</v>
      </c>
      <c r="J1109" t="s">
        <v>47128</v>
      </c>
      <c r="K1109" t="s">
        <v>47113</v>
      </c>
      <c r="L1109">
        <v>17.010000000000002</v>
      </c>
      <c r="M1109">
        <v>40</v>
      </c>
      <c r="N1109">
        <v>0</v>
      </c>
      <c r="O1109">
        <v>40</v>
      </c>
      <c r="P1109">
        <v>0</v>
      </c>
    </row>
    <row r="1110" spans="1:16" x14ac:dyDescent="0.25">
      <c r="A1110" t="s">
        <v>23599</v>
      </c>
      <c r="B1110" t="s">
        <v>2189</v>
      </c>
      <c r="C1110" t="s">
        <v>2190</v>
      </c>
      <c r="D1110" t="str">
        <f>"5342"</f>
        <v>5342</v>
      </c>
      <c r="E1110" t="s">
        <v>77</v>
      </c>
      <c r="F1110" t="s">
        <v>5</v>
      </c>
      <c r="G1110" t="s">
        <v>16221</v>
      </c>
      <c r="H1110" t="s">
        <v>47126</v>
      </c>
      <c r="I1110" t="s">
        <v>47127</v>
      </c>
      <c r="J1110" t="s">
        <v>47128</v>
      </c>
      <c r="K1110" t="s">
        <v>47113</v>
      </c>
      <c r="L1110">
        <v>17.010000000000002</v>
      </c>
      <c r="M1110">
        <v>40</v>
      </c>
      <c r="N1110">
        <v>0</v>
      </c>
      <c r="O1110">
        <v>40</v>
      </c>
      <c r="P1110">
        <v>0</v>
      </c>
    </row>
    <row r="1111" spans="1:16" x14ac:dyDescent="0.25">
      <c r="A1111" t="s">
        <v>23600</v>
      </c>
      <c r="B1111" t="s">
        <v>2191</v>
      </c>
      <c r="C1111" t="s">
        <v>2192</v>
      </c>
      <c r="D1111" t="str">
        <f>"1001"</f>
        <v>1001</v>
      </c>
      <c r="E1111" t="s">
        <v>42</v>
      </c>
      <c r="F1111" t="s">
        <v>5</v>
      </c>
      <c r="G1111" t="s">
        <v>16221</v>
      </c>
      <c r="H1111" t="s">
        <v>47126</v>
      </c>
      <c r="I1111" t="s">
        <v>47127</v>
      </c>
      <c r="J1111" t="s">
        <v>47128</v>
      </c>
      <c r="K1111" t="s">
        <v>47113</v>
      </c>
      <c r="L1111">
        <v>17.47</v>
      </c>
      <c r="M1111">
        <v>43</v>
      </c>
      <c r="N1111">
        <v>0</v>
      </c>
      <c r="O1111">
        <v>43</v>
      </c>
      <c r="P1111">
        <v>0</v>
      </c>
    </row>
    <row r="1112" spans="1:16" x14ac:dyDescent="0.25">
      <c r="A1112" t="s">
        <v>23601</v>
      </c>
      <c r="B1112" t="s">
        <v>2191</v>
      </c>
      <c r="C1112" t="s">
        <v>2192</v>
      </c>
      <c r="D1112" t="str">
        <f>"1299"</f>
        <v>1299</v>
      </c>
      <c r="E1112" t="s">
        <v>73</v>
      </c>
      <c r="F1112" t="s">
        <v>5</v>
      </c>
      <c r="G1112" t="s">
        <v>16221</v>
      </c>
      <c r="H1112" t="s">
        <v>47126</v>
      </c>
      <c r="I1112" t="s">
        <v>47127</v>
      </c>
      <c r="J1112" t="s">
        <v>47128</v>
      </c>
      <c r="K1112" t="s">
        <v>47113</v>
      </c>
      <c r="L1112">
        <v>17.47</v>
      </c>
      <c r="M1112">
        <v>43</v>
      </c>
      <c r="N1112">
        <v>0</v>
      </c>
      <c r="O1112">
        <v>43</v>
      </c>
      <c r="P1112">
        <v>0</v>
      </c>
    </row>
    <row r="1113" spans="1:16" x14ac:dyDescent="0.25">
      <c r="A1113" t="s">
        <v>23602</v>
      </c>
      <c r="B1113" t="s">
        <v>2191</v>
      </c>
      <c r="C1113" t="s">
        <v>2192</v>
      </c>
      <c r="D1113" t="str">
        <f>"1700"</f>
        <v>1700</v>
      </c>
      <c r="E1113" t="s">
        <v>60</v>
      </c>
      <c r="F1113" t="s">
        <v>5</v>
      </c>
      <c r="G1113" t="s">
        <v>16221</v>
      </c>
      <c r="H1113" t="s">
        <v>47126</v>
      </c>
      <c r="I1113" t="s">
        <v>47127</v>
      </c>
      <c r="J1113" t="s">
        <v>47128</v>
      </c>
      <c r="K1113" t="s">
        <v>47113</v>
      </c>
      <c r="L1113">
        <v>17.47</v>
      </c>
      <c r="M1113">
        <v>52</v>
      </c>
      <c r="N1113">
        <v>0</v>
      </c>
      <c r="O1113">
        <v>52</v>
      </c>
      <c r="P1113">
        <v>0</v>
      </c>
    </row>
    <row r="1114" spans="1:16" x14ac:dyDescent="0.25">
      <c r="A1114" t="s">
        <v>23603</v>
      </c>
      <c r="B1114" t="s">
        <v>2191</v>
      </c>
      <c r="C1114" t="s">
        <v>2192</v>
      </c>
      <c r="D1114" t="str">
        <f>"2166"</f>
        <v>2166</v>
      </c>
      <c r="E1114" t="s">
        <v>80</v>
      </c>
      <c r="F1114" t="s">
        <v>5</v>
      </c>
      <c r="G1114" t="s">
        <v>16221</v>
      </c>
      <c r="H1114" t="s">
        <v>47126</v>
      </c>
      <c r="I1114" t="s">
        <v>47127</v>
      </c>
      <c r="J1114" t="s">
        <v>47128</v>
      </c>
      <c r="K1114" t="s">
        <v>47113</v>
      </c>
      <c r="L1114">
        <v>17.47</v>
      </c>
      <c r="M1114">
        <v>43</v>
      </c>
      <c r="N1114">
        <v>0</v>
      </c>
      <c r="O1114">
        <v>43</v>
      </c>
      <c r="P1114">
        <v>0</v>
      </c>
    </row>
    <row r="1115" spans="1:16" x14ac:dyDescent="0.25">
      <c r="A1115" t="s">
        <v>23604</v>
      </c>
      <c r="B1115" t="s">
        <v>2191</v>
      </c>
      <c r="C1115" t="s">
        <v>2192</v>
      </c>
      <c r="D1115" t="str">
        <f>"3449"</f>
        <v>3449</v>
      </c>
      <c r="E1115" t="s">
        <v>90</v>
      </c>
      <c r="F1115" t="s">
        <v>5</v>
      </c>
      <c r="G1115" t="s">
        <v>16221</v>
      </c>
      <c r="H1115" t="s">
        <v>47126</v>
      </c>
      <c r="I1115" t="s">
        <v>47127</v>
      </c>
      <c r="J1115" t="s">
        <v>47128</v>
      </c>
      <c r="K1115" t="s">
        <v>47113</v>
      </c>
      <c r="L1115">
        <v>17.47</v>
      </c>
      <c r="M1115">
        <v>52</v>
      </c>
      <c r="N1115">
        <v>0</v>
      </c>
      <c r="O1115">
        <v>52</v>
      </c>
      <c r="P1115">
        <v>0</v>
      </c>
    </row>
    <row r="1116" spans="1:16" x14ac:dyDescent="0.25">
      <c r="A1116" t="s">
        <v>23605</v>
      </c>
      <c r="B1116" t="s">
        <v>2191</v>
      </c>
      <c r="C1116" t="s">
        <v>2192</v>
      </c>
      <c r="D1116" t="str">
        <f>"4348"</f>
        <v>4348</v>
      </c>
      <c r="E1116" t="s">
        <v>91</v>
      </c>
      <c r="F1116" t="s">
        <v>5</v>
      </c>
      <c r="G1116" t="s">
        <v>16221</v>
      </c>
      <c r="H1116" t="s">
        <v>47126</v>
      </c>
      <c r="I1116" t="s">
        <v>47127</v>
      </c>
      <c r="J1116" t="s">
        <v>47128</v>
      </c>
      <c r="K1116" t="s">
        <v>47113</v>
      </c>
      <c r="L1116">
        <v>17.47</v>
      </c>
      <c r="M1116">
        <v>52</v>
      </c>
      <c r="N1116">
        <v>0</v>
      </c>
      <c r="O1116">
        <v>52</v>
      </c>
      <c r="P1116">
        <v>0</v>
      </c>
    </row>
    <row r="1117" spans="1:16" x14ac:dyDescent="0.25">
      <c r="A1117" t="s">
        <v>23606</v>
      </c>
      <c r="B1117" t="s">
        <v>2191</v>
      </c>
      <c r="C1117" t="s">
        <v>2192</v>
      </c>
      <c r="D1117" t="str">
        <f>"4643"</f>
        <v>4643</v>
      </c>
      <c r="E1117" t="s">
        <v>205</v>
      </c>
      <c r="F1117" t="s">
        <v>5</v>
      </c>
      <c r="G1117" t="s">
        <v>16221</v>
      </c>
      <c r="H1117" t="s">
        <v>47126</v>
      </c>
      <c r="I1117" t="s">
        <v>47127</v>
      </c>
      <c r="J1117" t="s">
        <v>47128</v>
      </c>
      <c r="K1117" t="s">
        <v>47113</v>
      </c>
      <c r="L1117">
        <v>17.47</v>
      </c>
      <c r="M1117">
        <v>52</v>
      </c>
      <c r="N1117">
        <v>0</v>
      </c>
      <c r="O1117">
        <v>52</v>
      </c>
      <c r="P1117">
        <v>0</v>
      </c>
    </row>
    <row r="1118" spans="1:16" x14ac:dyDescent="0.25">
      <c r="A1118" t="s">
        <v>23607</v>
      </c>
      <c r="B1118" t="s">
        <v>2191</v>
      </c>
      <c r="C1118" t="s">
        <v>2192</v>
      </c>
      <c r="D1118" t="str">
        <f>"5342"</f>
        <v>5342</v>
      </c>
      <c r="E1118" t="s">
        <v>77</v>
      </c>
      <c r="F1118" t="s">
        <v>5</v>
      </c>
      <c r="G1118" t="s">
        <v>16221</v>
      </c>
      <c r="H1118" t="s">
        <v>47126</v>
      </c>
      <c r="I1118" t="s">
        <v>47127</v>
      </c>
      <c r="J1118" t="s">
        <v>47128</v>
      </c>
      <c r="K1118" t="s">
        <v>47113</v>
      </c>
      <c r="L1118">
        <v>17.47</v>
      </c>
      <c r="M1118">
        <v>52</v>
      </c>
      <c r="N1118">
        <v>0</v>
      </c>
      <c r="O1118">
        <v>52</v>
      </c>
      <c r="P1118">
        <v>0</v>
      </c>
    </row>
    <row r="1119" spans="1:16" x14ac:dyDescent="0.25">
      <c r="A1119" t="s">
        <v>23608</v>
      </c>
      <c r="B1119" t="s">
        <v>2193</v>
      </c>
      <c r="C1119" t="s">
        <v>2194</v>
      </c>
      <c r="D1119" t="str">
        <f>"1001"</f>
        <v>1001</v>
      </c>
      <c r="E1119" t="s">
        <v>42</v>
      </c>
      <c r="F1119" t="s">
        <v>5</v>
      </c>
      <c r="G1119" t="s">
        <v>16221</v>
      </c>
      <c r="H1119" t="s">
        <v>47126</v>
      </c>
      <c r="I1119" t="s">
        <v>47127</v>
      </c>
      <c r="J1119" t="s">
        <v>47128</v>
      </c>
      <c r="K1119" t="s">
        <v>47113</v>
      </c>
      <c r="L1119">
        <v>17.62</v>
      </c>
      <c r="M1119">
        <v>40</v>
      </c>
      <c r="N1119">
        <v>0</v>
      </c>
      <c r="O1119">
        <v>40</v>
      </c>
      <c r="P1119">
        <v>0</v>
      </c>
    </row>
    <row r="1120" spans="1:16" x14ac:dyDescent="0.25">
      <c r="A1120" t="s">
        <v>23609</v>
      </c>
      <c r="B1120" t="s">
        <v>2193</v>
      </c>
      <c r="C1120" t="s">
        <v>2194</v>
      </c>
      <c r="D1120" t="str">
        <f>"5342"</f>
        <v>5342</v>
      </c>
      <c r="E1120" t="s">
        <v>77</v>
      </c>
      <c r="F1120" t="s">
        <v>5</v>
      </c>
      <c r="G1120" t="s">
        <v>16221</v>
      </c>
      <c r="H1120" t="s">
        <v>47126</v>
      </c>
      <c r="I1120" t="s">
        <v>47127</v>
      </c>
      <c r="J1120" t="s">
        <v>47128</v>
      </c>
      <c r="K1120" t="s">
        <v>47113</v>
      </c>
      <c r="L1120">
        <v>17.54</v>
      </c>
      <c r="M1120">
        <v>40</v>
      </c>
      <c r="N1120">
        <v>0</v>
      </c>
      <c r="O1120">
        <v>40</v>
      </c>
      <c r="P1120">
        <v>0</v>
      </c>
    </row>
    <row r="1121" spans="1:16" x14ac:dyDescent="0.25">
      <c r="A1121" t="s">
        <v>23610</v>
      </c>
      <c r="B1121" t="s">
        <v>2195</v>
      </c>
      <c r="C1121" t="s">
        <v>2196</v>
      </c>
      <c r="D1121" t="str">
        <f>"2166"</f>
        <v>2166</v>
      </c>
      <c r="E1121" t="s">
        <v>80</v>
      </c>
      <c r="F1121" t="s">
        <v>5</v>
      </c>
      <c r="G1121" t="s">
        <v>16221</v>
      </c>
      <c r="H1121" t="s">
        <v>47126</v>
      </c>
      <c r="I1121" t="s">
        <v>47127</v>
      </c>
      <c r="J1121" t="s">
        <v>47128</v>
      </c>
      <c r="K1121" t="s">
        <v>47113</v>
      </c>
      <c r="L1121">
        <v>23.57</v>
      </c>
      <c r="M1121">
        <v>55</v>
      </c>
      <c r="N1121">
        <v>0</v>
      </c>
      <c r="O1121">
        <v>55</v>
      </c>
      <c r="P1121">
        <v>0</v>
      </c>
    </row>
    <row r="1122" spans="1:16" x14ac:dyDescent="0.25">
      <c r="A1122" t="s">
        <v>23611</v>
      </c>
      <c r="B1122" t="s">
        <v>2195</v>
      </c>
      <c r="C1122" t="s">
        <v>2196</v>
      </c>
      <c r="D1122" t="str">
        <f>"4348"</f>
        <v>4348</v>
      </c>
      <c r="E1122" t="s">
        <v>91</v>
      </c>
      <c r="F1122" t="s">
        <v>5</v>
      </c>
      <c r="G1122" t="s">
        <v>16221</v>
      </c>
      <c r="H1122" t="s">
        <v>47126</v>
      </c>
      <c r="I1122" t="s">
        <v>47127</v>
      </c>
      <c r="J1122" t="s">
        <v>47128</v>
      </c>
      <c r="K1122" t="s">
        <v>47113</v>
      </c>
      <c r="L1122">
        <v>23.57</v>
      </c>
      <c r="M1122">
        <v>55</v>
      </c>
      <c r="N1122">
        <v>0</v>
      </c>
      <c r="O1122">
        <v>55</v>
      </c>
      <c r="P1122">
        <v>0</v>
      </c>
    </row>
    <row r="1123" spans="1:16" x14ac:dyDescent="0.25">
      <c r="A1123" t="s">
        <v>23612</v>
      </c>
      <c r="B1123" t="s">
        <v>2197</v>
      </c>
      <c r="C1123" t="s">
        <v>2198</v>
      </c>
      <c r="D1123" t="str">
        <f>"1001"</f>
        <v>1001</v>
      </c>
      <c r="E1123" t="s">
        <v>42</v>
      </c>
      <c r="F1123" t="s">
        <v>5</v>
      </c>
      <c r="G1123" t="s">
        <v>16232</v>
      </c>
      <c r="H1123" t="s">
        <v>47126</v>
      </c>
      <c r="I1123" t="s">
        <v>47127</v>
      </c>
      <c r="J1123" t="s">
        <v>47128</v>
      </c>
      <c r="K1123" t="s">
        <v>47113</v>
      </c>
      <c r="L1123">
        <v>16.899999999999999</v>
      </c>
      <c r="M1123">
        <v>39</v>
      </c>
      <c r="N1123">
        <v>0</v>
      </c>
      <c r="O1123">
        <v>39</v>
      </c>
      <c r="P1123">
        <v>0</v>
      </c>
    </row>
    <row r="1124" spans="1:16" x14ac:dyDescent="0.25">
      <c r="A1124" t="s">
        <v>23613</v>
      </c>
      <c r="B1124" t="s">
        <v>2197</v>
      </c>
      <c r="C1124" t="s">
        <v>2198</v>
      </c>
      <c r="D1124" t="str">
        <f>"1299"</f>
        <v>1299</v>
      </c>
      <c r="E1124" t="s">
        <v>73</v>
      </c>
      <c r="F1124" t="s">
        <v>5</v>
      </c>
      <c r="G1124" t="s">
        <v>16232</v>
      </c>
      <c r="H1124" t="s">
        <v>47126</v>
      </c>
      <c r="I1124" t="s">
        <v>47127</v>
      </c>
      <c r="J1124" t="s">
        <v>47128</v>
      </c>
      <c r="K1124" t="s">
        <v>47113</v>
      </c>
      <c r="L1124">
        <v>16.899999999999999</v>
      </c>
      <c r="M1124">
        <v>39</v>
      </c>
      <c r="N1124">
        <v>0</v>
      </c>
      <c r="O1124">
        <v>39</v>
      </c>
      <c r="P1124">
        <v>0</v>
      </c>
    </row>
    <row r="1125" spans="1:16" x14ac:dyDescent="0.25">
      <c r="A1125" t="s">
        <v>23614</v>
      </c>
      <c r="B1125" t="s">
        <v>2197</v>
      </c>
      <c r="C1125" t="s">
        <v>2198</v>
      </c>
      <c r="D1125" t="str">
        <f>"1377"</f>
        <v>1377</v>
      </c>
      <c r="E1125" t="s">
        <v>74</v>
      </c>
      <c r="F1125" t="s">
        <v>5</v>
      </c>
      <c r="G1125" t="s">
        <v>16232</v>
      </c>
      <c r="H1125" t="s">
        <v>47126</v>
      </c>
      <c r="I1125" t="s">
        <v>47127</v>
      </c>
      <c r="J1125" t="s">
        <v>47128</v>
      </c>
      <c r="K1125" t="s">
        <v>47113</v>
      </c>
      <c r="L1125">
        <v>16.899999999999999</v>
      </c>
      <c r="M1125">
        <v>39</v>
      </c>
      <c r="N1125">
        <v>0</v>
      </c>
      <c r="O1125">
        <v>39</v>
      </c>
      <c r="P1125">
        <v>0</v>
      </c>
    </row>
    <row r="1126" spans="1:16" x14ac:dyDescent="0.25">
      <c r="A1126" t="s">
        <v>23615</v>
      </c>
      <c r="B1126" t="s">
        <v>2197</v>
      </c>
      <c r="C1126" t="s">
        <v>2198</v>
      </c>
      <c r="D1126" t="str">
        <f>"1700"</f>
        <v>1700</v>
      </c>
      <c r="E1126" t="s">
        <v>60</v>
      </c>
      <c r="F1126" t="s">
        <v>5</v>
      </c>
      <c r="G1126" t="s">
        <v>16232</v>
      </c>
      <c r="H1126" t="s">
        <v>47126</v>
      </c>
      <c r="I1126" t="s">
        <v>47127</v>
      </c>
      <c r="J1126" t="s">
        <v>47128</v>
      </c>
      <c r="K1126" t="s">
        <v>47113</v>
      </c>
      <c r="L1126">
        <v>16.899999999999999</v>
      </c>
      <c r="M1126">
        <v>39</v>
      </c>
      <c r="N1126">
        <v>0</v>
      </c>
      <c r="O1126">
        <v>39</v>
      </c>
      <c r="P1126">
        <v>0</v>
      </c>
    </row>
    <row r="1127" spans="1:16" x14ac:dyDescent="0.25">
      <c r="A1127" t="s">
        <v>23616</v>
      </c>
      <c r="B1127" t="s">
        <v>2197</v>
      </c>
      <c r="C1127" t="s">
        <v>2198</v>
      </c>
      <c r="D1127" t="str">
        <f>"2166"</f>
        <v>2166</v>
      </c>
      <c r="E1127" t="s">
        <v>80</v>
      </c>
      <c r="F1127" t="s">
        <v>5</v>
      </c>
      <c r="G1127" t="s">
        <v>16232</v>
      </c>
      <c r="H1127" t="s">
        <v>47126</v>
      </c>
      <c r="I1127" t="s">
        <v>47127</v>
      </c>
      <c r="J1127" t="s">
        <v>47128</v>
      </c>
      <c r="K1127" t="s">
        <v>47113</v>
      </c>
      <c r="L1127">
        <v>16.899999999999999</v>
      </c>
      <c r="M1127">
        <v>39</v>
      </c>
      <c r="N1127">
        <v>0</v>
      </c>
      <c r="O1127">
        <v>39</v>
      </c>
      <c r="P1127">
        <v>0</v>
      </c>
    </row>
    <row r="1128" spans="1:16" x14ac:dyDescent="0.25">
      <c r="A1128" t="s">
        <v>23617</v>
      </c>
      <c r="B1128" t="s">
        <v>2197</v>
      </c>
      <c r="C1128" t="s">
        <v>2198</v>
      </c>
      <c r="D1128" t="str">
        <f>"3449"</f>
        <v>3449</v>
      </c>
      <c r="E1128" t="s">
        <v>90</v>
      </c>
      <c r="F1128" t="s">
        <v>5</v>
      </c>
      <c r="G1128" t="s">
        <v>16232</v>
      </c>
      <c r="H1128" t="s">
        <v>47126</v>
      </c>
      <c r="I1128" t="s">
        <v>47127</v>
      </c>
      <c r="J1128" t="s">
        <v>47128</v>
      </c>
      <c r="K1128" t="s">
        <v>47113</v>
      </c>
      <c r="L1128">
        <v>16.899999999999999</v>
      </c>
      <c r="M1128">
        <v>39</v>
      </c>
      <c r="N1128">
        <v>0</v>
      </c>
      <c r="O1128">
        <v>39</v>
      </c>
      <c r="P1128">
        <v>0</v>
      </c>
    </row>
    <row r="1129" spans="1:16" x14ac:dyDescent="0.25">
      <c r="A1129" t="s">
        <v>23618</v>
      </c>
      <c r="B1129" t="s">
        <v>2197</v>
      </c>
      <c r="C1129" t="s">
        <v>2198</v>
      </c>
      <c r="D1129" t="str">
        <f>"4348"</f>
        <v>4348</v>
      </c>
      <c r="E1129" t="s">
        <v>91</v>
      </c>
      <c r="F1129" t="s">
        <v>5</v>
      </c>
      <c r="G1129" t="s">
        <v>16232</v>
      </c>
      <c r="H1129" t="s">
        <v>47126</v>
      </c>
      <c r="I1129" t="s">
        <v>47127</v>
      </c>
      <c r="J1129" t="s">
        <v>47128</v>
      </c>
      <c r="K1129" t="s">
        <v>47113</v>
      </c>
      <c r="L1129">
        <v>16.899999999999999</v>
      </c>
      <c r="M1129">
        <v>39</v>
      </c>
      <c r="N1129">
        <v>0</v>
      </c>
      <c r="O1129">
        <v>39</v>
      </c>
      <c r="P1129">
        <v>0</v>
      </c>
    </row>
    <row r="1130" spans="1:16" x14ac:dyDescent="0.25">
      <c r="A1130" t="s">
        <v>23619</v>
      </c>
      <c r="B1130" t="s">
        <v>2197</v>
      </c>
      <c r="C1130" t="s">
        <v>2198</v>
      </c>
      <c r="D1130" t="str">
        <f>"4643"</f>
        <v>4643</v>
      </c>
      <c r="E1130" t="s">
        <v>205</v>
      </c>
      <c r="F1130" t="s">
        <v>5</v>
      </c>
      <c r="G1130" t="s">
        <v>16232</v>
      </c>
      <c r="H1130" t="s">
        <v>47126</v>
      </c>
      <c r="I1130" t="s">
        <v>47127</v>
      </c>
      <c r="J1130" t="s">
        <v>47128</v>
      </c>
      <c r="K1130" t="s">
        <v>47113</v>
      </c>
      <c r="L1130">
        <v>16.899999999999999</v>
      </c>
      <c r="M1130">
        <v>39</v>
      </c>
      <c r="N1130">
        <v>0</v>
      </c>
      <c r="O1130">
        <v>39</v>
      </c>
      <c r="P1130">
        <v>0</v>
      </c>
    </row>
    <row r="1131" spans="1:16" x14ac:dyDescent="0.25">
      <c r="A1131" t="s">
        <v>23620</v>
      </c>
      <c r="B1131" t="s">
        <v>2197</v>
      </c>
      <c r="C1131" t="s">
        <v>2198</v>
      </c>
      <c r="D1131" t="str">
        <f>"5342"</f>
        <v>5342</v>
      </c>
      <c r="E1131" t="s">
        <v>77</v>
      </c>
      <c r="F1131" t="s">
        <v>5</v>
      </c>
      <c r="G1131" t="s">
        <v>16232</v>
      </c>
      <c r="H1131" t="s">
        <v>47126</v>
      </c>
      <c r="I1131" t="s">
        <v>47127</v>
      </c>
      <c r="J1131" t="s">
        <v>47128</v>
      </c>
      <c r="K1131" t="s">
        <v>47113</v>
      </c>
      <c r="L1131">
        <v>16.899999999999999</v>
      </c>
      <c r="M1131">
        <v>39</v>
      </c>
      <c r="N1131">
        <v>0</v>
      </c>
      <c r="O1131">
        <v>39</v>
      </c>
      <c r="P1131">
        <v>0</v>
      </c>
    </row>
    <row r="1132" spans="1:16" x14ac:dyDescent="0.25">
      <c r="A1132" t="s">
        <v>23621</v>
      </c>
      <c r="B1132" t="s">
        <v>2197</v>
      </c>
      <c r="C1132" t="s">
        <v>2198</v>
      </c>
      <c r="D1132" t="str">
        <f>"6064"</f>
        <v>6064</v>
      </c>
      <c r="E1132" t="s">
        <v>87</v>
      </c>
      <c r="F1132" t="s">
        <v>5</v>
      </c>
      <c r="G1132" t="s">
        <v>16232</v>
      </c>
      <c r="H1132" t="s">
        <v>47126</v>
      </c>
      <c r="I1132" t="s">
        <v>47127</v>
      </c>
      <c r="J1132" t="s">
        <v>47128</v>
      </c>
      <c r="K1132" t="s">
        <v>47113</v>
      </c>
      <c r="L1132">
        <v>16.899999999999999</v>
      </c>
      <c r="M1132">
        <v>39</v>
      </c>
      <c r="N1132">
        <v>0</v>
      </c>
      <c r="O1132">
        <v>39</v>
      </c>
      <c r="P1132">
        <v>0</v>
      </c>
    </row>
    <row r="1133" spans="1:16" x14ac:dyDescent="0.25">
      <c r="A1133" t="s">
        <v>23622</v>
      </c>
      <c r="B1133" t="s">
        <v>2199</v>
      </c>
      <c r="C1133" t="s">
        <v>2200</v>
      </c>
      <c r="D1133" t="str">
        <f>"1001"</f>
        <v>1001</v>
      </c>
      <c r="E1133" t="s">
        <v>42</v>
      </c>
      <c r="F1133" t="s">
        <v>5</v>
      </c>
      <c r="G1133" t="s">
        <v>16221</v>
      </c>
      <c r="H1133" t="s">
        <v>47126</v>
      </c>
      <c r="I1133" t="s">
        <v>47127</v>
      </c>
      <c r="J1133" t="s">
        <v>47128</v>
      </c>
      <c r="K1133" t="s">
        <v>47113</v>
      </c>
      <c r="L1133">
        <v>17.010000000000002</v>
      </c>
      <c r="M1133">
        <v>40</v>
      </c>
      <c r="N1133">
        <v>0</v>
      </c>
      <c r="O1133">
        <v>40</v>
      </c>
      <c r="P1133">
        <v>0</v>
      </c>
    </row>
    <row r="1134" spans="1:16" x14ac:dyDescent="0.25">
      <c r="A1134" t="s">
        <v>23623</v>
      </c>
      <c r="B1134" t="s">
        <v>2199</v>
      </c>
      <c r="C1134" t="s">
        <v>2200</v>
      </c>
      <c r="D1134" t="str">
        <f>"1299"</f>
        <v>1299</v>
      </c>
      <c r="E1134" t="s">
        <v>73</v>
      </c>
      <c r="F1134" t="s">
        <v>5</v>
      </c>
      <c r="G1134" t="s">
        <v>16221</v>
      </c>
      <c r="H1134" t="s">
        <v>47126</v>
      </c>
      <c r="I1134" t="s">
        <v>47127</v>
      </c>
      <c r="J1134" t="s">
        <v>47128</v>
      </c>
      <c r="K1134" t="s">
        <v>47113</v>
      </c>
      <c r="L1134">
        <v>17.14</v>
      </c>
      <c r="M1134">
        <v>40</v>
      </c>
      <c r="N1134">
        <v>0</v>
      </c>
      <c r="O1134">
        <v>40</v>
      </c>
      <c r="P1134">
        <v>0</v>
      </c>
    </row>
    <row r="1135" spans="1:16" x14ac:dyDescent="0.25">
      <c r="A1135" t="s">
        <v>23624</v>
      </c>
      <c r="B1135" t="s">
        <v>2199</v>
      </c>
      <c r="C1135" t="s">
        <v>2200</v>
      </c>
      <c r="D1135" t="str">
        <f>"1377"</f>
        <v>1377</v>
      </c>
      <c r="E1135" t="s">
        <v>74</v>
      </c>
      <c r="F1135" t="s">
        <v>5</v>
      </c>
      <c r="G1135" t="s">
        <v>16221</v>
      </c>
      <c r="H1135" t="s">
        <v>47126</v>
      </c>
      <c r="I1135" t="s">
        <v>47127</v>
      </c>
      <c r="J1135" t="s">
        <v>47128</v>
      </c>
      <c r="K1135" t="s">
        <v>47113</v>
      </c>
      <c r="L1135">
        <v>17.14</v>
      </c>
      <c r="M1135">
        <v>40</v>
      </c>
      <c r="N1135">
        <v>0</v>
      </c>
      <c r="O1135">
        <v>40</v>
      </c>
      <c r="P1135">
        <v>0</v>
      </c>
    </row>
    <row r="1136" spans="1:16" x14ac:dyDescent="0.25">
      <c r="A1136" t="s">
        <v>23625</v>
      </c>
      <c r="B1136" t="s">
        <v>2199</v>
      </c>
      <c r="C1136" t="s">
        <v>2200</v>
      </c>
      <c r="D1136" t="str">
        <f>"1700"</f>
        <v>1700</v>
      </c>
      <c r="E1136" t="s">
        <v>60</v>
      </c>
      <c r="F1136" t="s">
        <v>5</v>
      </c>
      <c r="G1136" t="s">
        <v>16221</v>
      </c>
      <c r="H1136" t="s">
        <v>47126</v>
      </c>
      <c r="I1136" t="s">
        <v>47127</v>
      </c>
      <c r="J1136" t="s">
        <v>47128</v>
      </c>
      <c r="K1136" t="s">
        <v>47113</v>
      </c>
      <c r="L1136">
        <v>17.010000000000002</v>
      </c>
      <c r="M1136">
        <v>40</v>
      </c>
      <c r="N1136">
        <v>0</v>
      </c>
      <c r="O1136">
        <v>40</v>
      </c>
      <c r="P1136">
        <v>0</v>
      </c>
    </row>
    <row r="1137" spans="1:16" x14ac:dyDescent="0.25">
      <c r="A1137" t="s">
        <v>14748</v>
      </c>
      <c r="B1137" t="s">
        <v>2199</v>
      </c>
      <c r="C1137" t="s">
        <v>2200</v>
      </c>
      <c r="D1137" t="str">
        <f>"2166"</f>
        <v>2166</v>
      </c>
      <c r="E1137" t="s">
        <v>80</v>
      </c>
      <c r="F1137" t="s">
        <v>5</v>
      </c>
      <c r="G1137" t="s">
        <v>16221</v>
      </c>
      <c r="H1137" t="s">
        <v>47126</v>
      </c>
      <c r="I1137" t="s">
        <v>47127</v>
      </c>
      <c r="J1137" t="s">
        <v>47128</v>
      </c>
      <c r="K1137" t="s">
        <v>47113</v>
      </c>
      <c r="L1137">
        <v>17.010000000000002</v>
      </c>
      <c r="M1137">
        <v>40</v>
      </c>
      <c r="N1137">
        <v>0</v>
      </c>
      <c r="O1137">
        <v>40</v>
      </c>
      <c r="P1137">
        <v>0</v>
      </c>
    </row>
    <row r="1138" spans="1:16" x14ac:dyDescent="0.25">
      <c r="A1138" t="s">
        <v>23626</v>
      </c>
      <c r="B1138" t="s">
        <v>2199</v>
      </c>
      <c r="C1138" t="s">
        <v>2200</v>
      </c>
      <c r="D1138" t="str">
        <f>"3449"</f>
        <v>3449</v>
      </c>
      <c r="E1138" t="s">
        <v>90</v>
      </c>
      <c r="F1138" t="s">
        <v>5</v>
      </c>
      <c r="G1138" t="s">
        <v>16221</v>
      </c>
      <c r="H1138" t="s">
        <v>47126</v>
      </c>
      <c r="I1138" t="s">
        <v>47127</v>
      </c>
      <c r="J1138" t="s">
        <v>47128</v>
      </c>
      <c r="K1138" t="s">
        <v>47113</v>
      </c>
      <c r="L1138">
        <v>17.010000000000002</v>
      </c>
      <c r="M1138">
        <v>40</v>
      </c>
      <c r="N1138">
        <v>0</v>
      </c>
      <c r="O1138">
        <v>40</v>
      </c>
      <c r="P1138">
        <v>0</v>
      </c>
    </row>
    <row r="1139" spans="1:16" x14ac:dyDescent="0.25">
      <c r="A1139" t="s">
        <v>23627</v>
      </c>
      <c r="B1139" t="s">
        <v>2199</v>
      </c>
      <c r="C1139" t="s">
        <v>2200</v>
      </c>
      <c r="D1139" t="str">
        <f>"4348"</f>
        <v>4348</v>
      </c>
      <c r="E1139" t="s">
        <v>91</v>
      </c>
      <c r="F1139" t="s">
        <v>5</v>
      </c>
      <c r="G1139" t="s">
        <v>16221</v>
      </c>
      <c r="H1139" t="s">
        <v>47126</v>
      </c>
      <c r="I1139" t="s">
        <v>47127</v>
      </c>
      <c r="J1139" t="s">
        <v>47128</v>
      </c>
      <c r="K1139" t="s">
        <v>47113</v>
      </c>
      <c r="L1139">
        <v>17.010000000000002</v>
      </c>
      <c r="M1139">
        <v>40</v>
      </c>
      <c r="N1139">
        <v>0</v>
      </c>
      <c r="O1139">
        <v>40</v>
      </c>
      <c r="P1139">
        <v>0</v>
      </c>
    </row>
    <row r="1140" spans="1:16" x14ac:dyDescent="0.25">
      <c r="A1140" t="s">
        <v>23628</v>
      </c>
      <c r="B1140" t="s">
        <v>2199</v>
      </c>
      <c r="C1140" t="s">
        <v>2200</v>
      </c>
      <c r="D1140" t="str">
        <f>"4643"</f>
        <v>4643</v>
      </c>
      <c r="E1140" t="s">
        <v>205</v>
      </c>
      <c r="F1140" t="s">
        <v>5</v>
      </c>
      <c r="G1140" t="s">
        <v>16221</v>
      </c>
      <c r="H1140" t="s">
        <v>47126</v>
      </c>
      <c r="I1140" t="s">
        <v>47127</v>
      </c>
      <c r="J1140" t="s">
        <v>47128</v>
      </c>
      <c r="K1140" t="s">
        <v>47113</v>
      </c>
      <c r="L1140">
        <v>17.010000000000002</v>
      </c>
      <c r="M1140">
        <v>40</v>
      </c>
      <c r="N1140">
        <v>0</v>
      </c>
      <c r="O1140">
        <v>40</v>
      </c>
      <c r="P1140">
        <v>0</v>
      </c>
    </row>
    <row r="1141" spans="1:16" x14ac:dyDescent="0.25">
      <c r="A1141" t="s">
        <v>23629</v>
      </c>
      <c r="B1141" t="s">
        <v>2199</v>
      </c>
      <c r="C1141" t="s">
        <v>2200</v>
      </c>
      <c r="D1141" t="str">
        <f>"5342"</f>
        <v>5342</v>
      </c>
      <c r="E1141" t="s">
        <v>77</v>
      </c>
      <c r="F1141" t="s">
        <v>5</v>
      </c>
      <c r="G1141" t="s">
        <v>16221</v>
      </c>
      <c r="H1141" t="s">
        <v>47126</v>
      </c>
      <c r="I1141" t="s">
        <v>47127</v>
      </c>
      <c r="J1141" t="s">
        <v>47128</v>
      </c>
      <c r="K1141" t="s">
        <v>47113</v>
      </c>
      <c r="L1141">
        <v>17.010000000000002</v>
      </c>
      <c r="M1141">
        <v>40</v>
      </c>
      <c r="N1141">
        <v>0</v>
      </c>
      <c r="O1141">
        <v>40</v>
      </c>
      <c r="P1141">
        <v>0</v>
      </c>
    </row>
    <row r="1142" spans="1:16" x14ac:dyDescent="0.25">
      <c r="A1142" t="s">
        <v>23630</v>
      </c>
      <c r="B1142" t="s">
        <v>2201</v>
      </c>
      <c r="C1142" t="s">
        <v>2202</v>
      </c>
      <c r="D1142" t="str">
        <f>"1379"</f>
        <v>1379</v>
      </c>
      <c r="E1142" t="s">
        <v>84</v>
      </c>
      <c r="F1142" t="s">
        <v>5</v>
      </c>
      <c r="G1142" t="s">
        <v>16224</v>
      </c>
      <c r="H1142" t="s">
        <v>47126</v>
      </c>
      <c r="I1142" t="s">
        <v>47127</v>
      </c>
      <c r="J1142" t="s">
        <v>47128</v>
      </c>
      <c r="K1142" t="s">
        <v>47113</v>
      </c>
      <c r="L1142">
        <v>34.380000000000003</v>
      </c>
      <c r="M1142">
        <v>80</v>
      </c>
      <c r="N1142">
        <v>0</v>
      </c>
      <c r="O1142">
        <v>80</v>
      </c>
      <c r="P1142">
        <v>0</v>
      </c>
    </row>
    <row r="1143" spans="1:16" x14ac:dyDescent="0.25">
      <c r="A1143" t="s">
        <v>23631</v>
      </c>
      <c r="B1143" t="s">
        <v>2201</v>
      </c>
      <c r="C1143" t="s">
        <v>2202</v>
      </c>
      <c r="D1143" t="str">
        <f>"3449"</f>
        <v>3449</v>
      </c>
      <c r="E1143" t="s">
        <v>90</v>
      </c>
      <c r="F1143" t="s">
        <v>5</v>
      </c>
      <c r="G1143" t="s">
        <v>16224</v>
      </c>
      <c r="H1143" t="s">
        <v>47126</v>
      </c>
      <c r="I1143" t="s">
        <v>47127</v>
      </c>
      <c r="J1143" t="s">
        <v>47128</v>
      </c>
      <c r="K1143" t="s">
        <v>47113</v>
      </c>
      <c r="L1143">
        <v>34.380000000000003</v>
      </c>
      <c r="M1143">
        <v>80</v>
      </c>
      <c r="N1143">
        <v>0</v>
      </c>
      <c r="O1143">
        <v>80</v>
      </c>
      <c r="P1143">
        <v>0</v>
      </c>
    </row>
    <row r="1144" spans="1:16" x14ac:dyDescent="0.25">
      <c r="A1144" t="s">
        <v>23632</v>
      </c>
      <c r="B1144" t="s">
        <v>2201</v>
      </c>
      <c r="C1144" t="s">
        <v>2202</v>
      </c>
      <c r="D1144" t="str">
        <f>"4643"</f>
        <v>4643</v>
      </c>
      <c r="E1144" t="s">
        <v>205</v>
      </c>
      <c r="F1144" t="s">
        <v>5</v>
      </c>
      <c r="G1144" t="s">
        <v>16224</v>
      </c>
      <c r="H1144" t="s">
        <v>47126</v>
      </c>
      <c r="I1144" t="s">
        <v>47127</v>
      </c>
      <c r="J1144" t="s">
        <v>47128</v>
      </c>
      <c r="K1144" t="s">
        <v>47113</v>
      </c>
      <c r="L1144">
        <v>34.380000000000003</v>
      </c>
      <c r="M1144">
        <v>80</v>
      </c>
      <c r="N1144">
        <v>0</v>
      </c>
      <c r="O1144">
        <v>80</v>
      </c>
      <c r="P1144">
        <v>0</v>
      </c>
    </row>
    <row r="1145" spans="1:16" x14ac:dyDescent="0.25">
      <c r="A1145" t="s">
        <v>23633</v>
      </c>
      <c r="B1145" t="s">
        <v>2201</v>
      </c>
      <c r="C1145" t="s">
        <v>2202</v>
      </c>
      <c r="D1145" t="str">
        <f>"6064"</f>
        <v>6064</v>
      </c>
      <c r="E1145" t="s">
        <v>87</v>
      </c>
      <c r="F1145" t="s">
        <v>5</v>
      </c>
      <c r="G1145" t="s">
        <v>16224</v>
      </c>
      <c r="H1145" t="s">
        <v>47126</v>
      </c>
      <c r="I1145" t="s">
        <v>47127</v>
      </c>
      <c r="J1145" t="s">
        <v>47128</v>
      </c>
      <c r="K1145" t="s">
        <v>47113</v>
      </c>
      <c r="L1145">
        <v>34.380000000000003</v>
      </c>
      <c r="M1145">
        <v>80</v>
      </c>
      <c r="N1145">
        <v>0</v>
      </c>
      <c r="O1145">
        <v>80</v>
      </c>
      <c r="P1145">
        <v>0</v>
      </c>
    </row>
    <row r="1146" spans="1:16" x14ac:dyDescent="0.25">
      <c r="A1146" t="s">
        <v>23634</v>
      </c>
      <c r="B1146" t="s">
        <v>2203</v>
      </c>
      <c r="C1146" t="s">
        <v>2204</v>
      </c>
      <c r="D1146" t="str">
        <f>"1278"</f>
        <v>1278</v>
      </c>
      <c r="E1146" t="s">
        <v>100</v>
      </c>
      <c r="F1146" t="s">
        <v>5</v>
      </c>
      <c r="G1146" t="s">
        <v>16235</v>
      </c>
      <c r="H1146" t="s">
        <v>47126</v>
      </c>
      <c r="I1146" t="s">
        <v>47127</v>
      </c>
      <c r="J1146" t="s">
        <v>47128</v>
      </c>
      <c r="K1146" t="s">
        <v>47113</v>
      </c>
      <c r="L1146">
        <v>29.55</v>
      </c>
      <c r="M1146">
        <v>69</v>
      </c>
      <c r="N1146">
        <v>0</v>
      </c>
      <c r="O1146">
        <v>69</v>
      </c>
      <c r="P1146">
        <v>0</v>
      </c>
    </row>
    <row r="1147" spans="1:16" x14ac:dyDescent="0.25">
      <c r="A1147" t="s">
        <v>23635</v>
      </c>
      <c r="B1147" t="s">
        <v>2203</v>
      </c>
      <c r="C1147" t="s">
        <v>2204</v>
      </c>
      <c r="D1147" t="str">
        <f>"3449"</f>
        <v>3449</v>
      </c>
      <c r="E1147" t="s">
        <v>90</v>
      </c>
      <c r="F1147" t="s">
        <v>5</v>
      </c>
      <c r="G1147" t="s">
        <v>16235</v>
      </c>
      <c r="H1147" t="s">
        <v>47126</v>
      </c>
      <c r="I1147" t="s">
        <v>47127</v>
      </c>
      <c r="J1147" t="s">
        <v>47128</v>
      </c>
      <c r="K1147" t="s">
        <v>47113</v>
      </c>
      <c r="L1147">
        <v>29.55</v>
      </c>
      <c r="M1147">
        <v>69</v>
      </c>
      <c r="N1147">
        <v>0</v>
      </c>
      <c r="O1147">
        <v>69</v>
      </c>
      <c r="P1147">
        <v>0</v>
      </c>
    </row>
    <row r="1148" spans="1:16" x14ac:dyDescent="0.25">
      <c r="A1148" t="s">
        <v>23636</v>
      </c>
      <c r="B1148" t="s">
        <v>2203</v>
      </c>
      <c r="C1148" t="s">
        <v>2204</v>
      </c>
      <c r="D1148" t="str">
        <f>"4643"</f>
        <v>4643</v>
      </c>
      <c r="E1148" t="s">
        <v>205</v>
      </c>
      <c r="F1148" t="s">
        <v>5</v>
      </c>
      <c r="G1148" t="s">
        <v>16235</v>
      </c>
      <c r="H1148" t="s">
        <v>47126</v>
      </c>
      <c r="I1148" t="s">
        <v>47127</v>
      </c>
      <c r="J1148" t="s">
        <v>47128</v>
      </c>
      <c r="K1148" t="s">
        <v>47113</v>
      </c>
      <c r="L1148">
        <v>29.55</v>
      </c>
      <c r="M1148">
        <v>69</v>
      </c>
      <c r="N1148">
        <v>0</v>
      </c>
      <c r="O1148">
        <v>69</v>
      </c>
      <c r="P1148">
        <v>0</v>
      </c>
    </row>
    <row r="1149" spans="1:16" x14ac:dyDescent="0.25">
      <c r="A1149" t="s">
        <v>23637</v>
      </c>
      <c r="B1149" t="s">
        <v>2203</v>
      </c>
      <c r="C1149" t="s">
        <v>2204</v>
      </c>
      <c r="D1149" t="str">
        <f>"5342"</f>
        <v>5342</v>
      </c>
      <c r="E1149" t="s">
        <v>77</v>
      </c>
      <c r="F1149" t="s">
        <v>5</v>
      </c>
      <c r="G1149" t="s">
        <v>16235</v>
      </c>
      <c r="H1149" t="s">
        <v>47126</v>
      </c>
      <c r="I1149" t="s">
        <v>47127</v>
      </c>
      <c r="J1149" t="s">
        <v>47128</v>
      </c>
      <c r="K1149" t="s">
        <v>47113</v>
      </c>
      <c r="L1149">
        <v>29.55</v>
      </c>
      <c r="M1149">
        <v>69</v>
      </c>
      <c r="N1149">
        <v>0</v>
      </c>
      <c r="O1149">
        <v>69</v>
      </c>
      <c r="P1149">
        <v>0</v>
      </c>
    </row>
    <row r="1150" spans="1:16" x14ac:dyDescent="0.25">
      <c r="A1150" t="s">
        <v>23638</v>
      </c>
      <c r="B1150" t="s">
        <v>2203</v>
      </c>
      <c r="C1150" t="s">
        <v>2204</v>
      </c>
      <c r="D1150" t="str">
        <f>"6064"</f>
        <v>6064</v>
      </c>
      <c r="E1150" t="s">
        <v>87</v>
      </c>
      <c r="F1150" t="s">
        <v>5</v>
      </c>
      <c r="G1150" t="s">
        <v>16235</v>
      </c>
      <c r="H1150" t="s">
        <v>47126</v>
      </c>
      <c r="I1150" t="s">
        <v>47127</v>
      </c>
      <c r="J1150" t="s">
        <v>47128</v>
      </c>
      <c r="K1150" t="s">
        <v>47113</v>
      </c>
      <c r="L1150">
        <v>29.55</v>
      </c>
      <c r="M1150">
        <v>69</v>
      </c>
      <c r="N1150">
        <v>0</v>
      </c>
      <c r="O1150">
        <v>69</v>
      </c>
      <c r="P1150">
        <v>0</v>
      </c>
    </row>
    <row r="1151" spans="1:16" x14ac:dyDescent="0.25">
      <c r="A1151" t="s">
        <v>23639</v>
      </c>
      <c r="B1151" t="s">
        <v>2205</v>
      </c>
      <c r="C1151" t="s">
        <v>2206</v>
      </c>
      <c r="D1151" t="str">
        <f>"1001"</f>
        <v>1001</v>
      </c>
      <c r="E1151" t="s">
        <v>42</v>
      </c>
      <c r="F1151" t="s">
        <v>5</v>
      </c>
      <c r="G1151" t="s">
        <v>16235</v>
      </c>
      <c r="H1151" t="s">
        <v>47126</v>
      </c>
      <c r="I1151" t="s">
        <v>47127</v>
      </c>
      <c r="J1151" t="s">
        <v>47128</v>
      </c>
      <c r="K1151" t="s">
        <v>47113</v>
      </c>
      <c r="L1151">
        <v>35.53</v>
      </c>
      <c r="M1151">
        <v>83</v>
      </c>
      <c r="N1151">
        <v>0</v>
      </c>
      <c r="O1151">
        <v>83</v>
      </c>
      <c r="P1151">
        <v>0</v>
      </c>
    </row>
    <row r="1152" spans="1:16" x14ac:dyDescent="0.25">
      <c r="A1152" t="s">
        <v>23640</v>
      </c>
      <c r="B1152" t="s">
        <v>2205</v>
      </c>
      <c r="C1152" t="s">
        <v>2206</v>
      </c>
      <c r="D1152" t="str">
        <f>"1278"</f>
        <v>1278</v>
      </c>
      <c r="E1152" t="s">
        <v>100</v>
      </c>
      <c r="F1152" t="s">
        <v>5</v>
      </c>
      <c r="G1152" t="s">
        <v>16235</v>
      </c>
      <c r="H1152" t="s">
        <v>47126</v>
      </c>
      <c r="I1152" t="s">
        <v>47127</v>
      </c>
      <c r="J1152" t="s">
        <v>47128</v>
      </c>
      <c r="K1152" t="s">
        <v>47113</v>
      </c>
      <c r="L1152">
        <v>35.53</v>
      </c>
      <c r="M1152">
        <v>83</v>
      </c>
      <c r="N1152">
        <v>0</v>
      </c>
      <c r="O1152">
        <v>83</v>
      </c>
      <c r="P1152">
        <v>0</v>
      </c>
    </row>
    <row r="1153" spans="1:16" x14ac:dyDescent="0.25">
      <c r="A1153" t="s">
        <v>23641</v>
      </c>
      <c r="B1153" t="s">
        <v>2205</v>
      </c>
      <c r="C1153" t="s">
        <v>2206</v>
      </c>
      <c r="D1153" t="str">
        <f>"3449"</f>
        <v>3449</v>
      </c>
      <c r="E1153" t="s">
        <v>90</v>
      </c>
      <c r="F1153" t="s">
        <v>5</v>
      </c>
      <c r="G1153" t="s">
        <v>16235</v>
      </c>
      <c r="H1153" t="s">
        <v>47126</v>
      </c>
      <c r="I1153" t="s">
        <v>47127</v>
      </c>
      <c r="J1153" t="s">
        <v>47128</v>
      </c>
      <c r="K1153" t="s">
        <v>47113</v>
      </c>
      <c r="L1153">
        <v>35.53</v>
      </c>
      <c r="M1153">
        <v>83</v>
      </c>
      <c r="N1153">
        <v>0</v>
      </c>
      <c r="O1153">
        <v>83</v>
      </c>
      <c r="P1153">
        <v>0</v>
      </c>
    </row>
    <row r="1154" spans="1:16" x14ac:dyDescent="0.25">
      <c r="A1154" t="s">
        <v>23642</v>
      </c>
      <c r="B1154" t="s">
        <v>2205</v>
      </c>
      <c r="C1154" t="s">
        <v>2206</v>
      </c>
      <c r="D1154" t="str">
        <f>"5342"</f>
        <v>5342</v>
      </c>
      <c r="E1154" t="s">
        <v>77</v>
      </c>
      <c r="F1154" t="s">
        <v>5</v>
      </c>
      <c r="G1154" t="s">
        <v>16235</v>
      </c>
      <c r="H1154" t="s">
        <v>47126</v>
      </c>
      <c r="I1154" t="s">
        <v>47127</v>
      </c>
      <c r="J1154" t="s">
        <v>47128</v>
      </c>
      <c r="K1154" t="s">
        <v>47113</v>
      </c>
      <c r="L1154">
        <v>35.53</v>
      </c>
      <c r="M1154">
        <v>83</v>
      </c>
      <c r="N1154">
        <v>0</v>
      </c>
      <c r="O1154">
        <v>83</v>
      </c>
      <c r="P1154">
        <v>0</v>
      </c>
    </row>
    <row r="1155" spans="1:16" x14ac:dyDescent="0.25">
      <c r="A1155" t="s">
        <v>23643</v>
      </c>
      <c r="B1155" t="s">
        <v>2205</v>
      </c>
      <c r="C1155" t="s">
        <v>2206</v>
      </c>
      <c r="D1155" t="str">
        <f>"6064"</f>
        <v>6064</v>
      </c>
      <c r="E1155" t="s">
        <v>87</v>
      </c>
      <c r="F1155" t="s">
        <v>5</v>
      </c>
      <c r="G1155" t="s">
        <v>16235</v>
      </c>
      <c r="H1155" t="s">
        <v>47126</v>
      </c>
      <c r="I1155" t="s">
        <v>47127</v>
      </c>
      <c r="J1155" t="s">
        <v>47128</v>
      </c>
      <c r="K1155" t="s">
        <v>47113</v>
      </c>
      <c r="L1155">
        <v>35.53</v>
      </c>
      <c r="M1155">
        <v>83</v>
      </c>
      <c r="N1155">
        <v>0</v>
      </c>
      <c r="O1155">
        <v>83</v>
      </c>
      <c r="P1155">
        <v>0</v>
      </c>
    </row>
    <row r="1156" spans="1:16" x14ac:dyDescent="0.25">
      <c r="A1156" t="s">
        <v>23644</v>
      </c>
      <c r="B1156" t="s">
        <v>2207</v>
      </c>
      <c r="C1156" t="s">
        <v>2208</v>
      </c>
      <c r="D1156" t="str">
        <f>"2166"</f>
        <v>2166</v>
      </c>
      <c r="E1156" t="s">
        <v>80</v>
      </c>
      <c r="F1156" t="s">
        <v>5</v>
      </c>
      <c r="G1156" t="s">
        <v>16235</v>
      </c>
      <c r="H1156" t="s">
        <v>47126</v>
      </c>
      <c r="I1156" t="s">
        <v>47127</v>
      </c>
      <c r="J1156" t="s">
        <v>47128</v>
      </c>
      <c r="K1156" t="s">
        <v>47113</v>
      </c>
      <c r="L1156">
        <v>36.22</v>
      </c>
      <c r="M1156">
        <v>84</v>
      </c>
      <c r="N1156">
        <v>0</v>
      </c>
      <c r="O1156">
        <v>84</v>
      </c>
      <c r="P1156">
        <v>0</v>
      </c>
    </row>
    <row r="1157" spans="1:16" x14ac:dyDescent="0.25">
      <c r="A1157" t="s">
        <v>23645</v>
      </c>
      <c r="B1157" t="s">
        <v>2207</v>
      </c>
      <c r="C1157" t="s">
        <v>2208</v>
      </c>
      <c r="D1157" t="str">
        <f>"3449"</f>
        <v>3449</v>
      </c>
      <c r="E1157" t="s">
        <v>90</v>
      </c>
      <c r="F1157" t="s">
        <v>5</v>
      </c>
      <c r="G1157" t="s">
        <v>16235</v>
      </c>
      <c r="H1157" t="s">
        <v>47126</v>
      </c>
      <c r="I1157" t="s">
        <v>47127</v>
      </c>
      <c r="J1157" t="s">
        <v>47128</v>
      </c>
      <c r="K1157" t="s">
        <v>47113</v>
      </c>
      <c r="L1157">
        <v>36.22</v>
      </c>
      <c r="M1157">
        <v>84</v>
      </c>
      <c r="N1157">
        <v>0</v>
      </c>
      <c r="O1157">
        <v>84</v>
      </c>
      <c r="P1157">
        <v>0</v>
      </c>
    </row>
    <row r="1158" spans="1:16" x14ac:dyDescent="0.25">
      <c r="A1158" t="s">
        <v>23646</v>
      </c>
      <c r="B1158" t="s">
        <v>2207</v>
      </c>
      <c r="C1158" t="s">
        <v>2208</v>
      </c>
      <c r="D1158" t="str">
        <f>"4643"</f>
        <v>4643</v>
      </c>
      <c r="E1158" t="s">
        <v>205</v>
      </c>
      <c r="F1158" t="s">
        <v>5</v>
      </c>
      <c r="G1158" t="s">
        <v>16235</v>
      </c>
      <c r="H1158" t="s">
        <v>47126</v>
      </c>
      <c r="I1158" t="s">
        <v>47127</v>
      </c>
      <c r="J1158" t="s">
        <v>47128</v>
      </c>
      <c r="K1158" t="s">
        <v>47113</v>
      </c>
      <c r="L1158">
        <v>36.22</v>
      </c>
      <c r="M1158">
        <v>84</v>
      </c>
      <c r="N1158">
        <v>0</v>
      </c>
      <c r="O1158">
        <v>84</v>
      </c>
      <c r="P1158">
        <v>0</v>
      </c>
    </row>
    <row r="1159" spans="1:16" x14ac:dyDescent="0.25">
      <c r="A1159" t="s">
        <v>23647</v>
      </c>
      <c r="B1159" t="s">
        <v>2207</v>
      </c>
      <c r="C1159" t="s">
        <v>2208</v>
      </c>
      <c r="D1159" t="str">
        <f>"5342"</f>
        <v>5342</v>
      </c>
      <c r="E1159" t="s">
        <v>77</v>
      </c>
      <c r="F1159" t="s">
        <v>5</v>
      </c>
      <c r="G1159" t="s">
        <v>16235</v>
      </c>
      <c r="H1159" t="s">
        <v>47126</v>
      </c>
      <c r="I1159" t="s">
        <v>47127</v>
      </c>
      <c r="J1159" t="s">
        <v>47128</v>
      </c>
      <c r="K1159" t="s">
        <v>47113</v>
      </c>
      <c r="L1159">
        <v>36.22</v>
      </c>
      <c r="M1159">
        <v>84</v>
      </c>
      <c r="N1159">
        <v>0</v>
      </c>
      <c r="O1159">
        <v>84</v>
      </c>
      <c r="P1159">
        <v>0</v>
      </c>
    </row>
    <row r="1160" spans="1:16" x14ac:dyDescent="0.25">
      <c r="A1160" t="s">
        <v>23648</v>
      </c>
      <c r="B1160" t="s">
        <v>2207</v>
      </c>
      <c r="C1160" t="s">
        <v>2208</v>
      </c>
      <c r="D1160" t="str">
        <f>"6064"</f>
        <v>6064</v>
      </c>
      <c r="E1160" t="s">
        <v>87</v>
      </c>
      <c r="F1160" t="s">
        <v>5</v>
      </c>
      <c r="G1160" t="s">
        <v>16235</v>
      </c>
      <c r="H1160" t="s">
        <v>47126</v>
      </c>
      <c r="I1160" t="s">
        <v>47127</v>
      </c>
      <c r="J1160" t="s">
        <v>47128</v>
      </c>
      <c r="K1160" t="s">
        <v>47113</v>
      </c>
      <c r="L1160">
        <v>36.22</v>
      </c>
      <c r="M1160">
        <v>84</v>
      </c>
      <c r="N1160">
        <v>0</v>
      </c>
      <c r="O1160">
        <v>84</v>
      </c>
      <c r="P1160">
        <v>0</v>
      </c>
    </row>
    <row r="1161" spans="1:16" x14ac:dyDescent="0.25">
      <c r="A1161" t="s">
        <v>23649</v>
      </c>
      <c r="B1161" t="s">
        <v>2209</v>
      </c>
      <c r="C1161" t="s">
        <v>2210</v>
      </c>
      <c r="D1161" t="str">
        <f>"1299"</f>
        <v>1299</v>
      </c>
      <c r="E1161" t="s">
        <v>73</v>
      </c>
      <c r="F1161" t="s">
        <v>5</v>
      </c>
      <c r="G1161" t="s">
        <v>16235</v>
      </c>
      <c r="H1161" t="s">
        <v>47126</v>
      </c>
      <c r="I1161" t="s">
        <v>47127</v>
      </c>
      <c r="J1161" t="s">
        <v>47128</v>
      </c>
      <c r="K1161" t="s">
        <v>47113</v>
      </c>
      <c r="L1161">
        <v>39.64</v>
      </c>
      <c r="M1161">
        <v>87</v>
      </c>
      <c r="N1161">
        <v>0</v>
      </c>
      <c r="O1161">
        <v>87</v>
      </c>
      <c r="P1161">
        <v>0</v>
      </c>
    </row>
    <row r="1162" spans="1:16" x14ac:dyDescent="0.25">
      <c r="A1162" t="s">
        <v>23650</v>
      </c>
      <c r="B1162" t="s">
        <v>2209</v>
      </c>
      <c r="C1162" t="s">
        <v>2210</v>
      </c>
      <c r="D1162" t="str">
        <f>"2166"</f>
        <v>2166</v>
      </c>
      <c r="E1162" t="s">
        <v>80</v>
      </c>
      <c r="F1162" t="s">
        <v>5</v>
      </c>
      <c r="G1162" t="s">
        <v>16235</v>
      </c>
      <c r="H1162" t="s">
        <v>47126</v>
      </c>
      <c r="I1162" t="s">
        <v>47127</v>
      </c>
      <c r="J1162" t="s">
        <v>47128</v>
      </c>
      <c r="K1162" t="s">
        <v>47113</v>
      </c>
      <c r="L1162">
        <v>37.369999999999997</v>
      </c>
      <c r="M1162">
        <v>87</v>
      </c>
      <c r="N1162">
        <v>0</v>
      </c>
      <c r="O1162">
        <v>87</v>
      </c>
      <c r="P1162">
        <v>0</v>
      </c>
    </row>
    <row r="1163" spans="1:16" x14ac:dyDescent="0.25">
      <c r="A1163" t="s">
        <v>23651</v>
      </c>
      <c r="B1163" t="s">
        <v>2209</v>
      </c>
      <c r="C1163" t="s">
        <v>2210</v>
      </c>
      <c r="D1163" t="str">
        <f>"3449"</f>
        <v>3449</v>
      </c>
      <c r="E1163" t="s">
        <v>90</v>
      </c>
      <c r="F1163" t="s">
        <v>5</v>
      </c>
      <c r="G1163" t="s">
        <v>16235</v>
      </c>
      <c r="H1163" t="s">
        <v>47126</v>
      </c>
      <c r="I1163" t="s">
        <v>47127</v>
      </c>
      <c r="J1163" t="s">
        <v>47128</v>
      </c>
      <c r="K1163" t="s">
        <v>47113</v>
      </c>
      <c r="L1163">
        <v>37.369999999999997</v>
      </c>
      <c r="M1163">
        <v>87</v>
      </c>
      <c r="N1163">
        <v>0</v>
      </c>
      <c r="O1163">
        <v>87</v>
      </c>
      <c r="P1163">
        <v>0</v>
      </c>
    </row>
    <row r="1164" spans="1:16" x14ac:dyDescent="0.25">
      <c r="A1164" t="s">
        <v>23652</v>
      </c>
      <c r="B1164" t="s">
        <v>2209</v>
      </c>
      <c r="C1164" t="s">
        <v>2210</v>
      </c>
      <c r="D1164" t="str">
        <f>"4348"</f>
        <v>4348</v>
      </c>
      <c r="E1164" t="s">
        <v>91</v>
      </c>
      <c r="F1164" t="s">
        <v>5</v>
      </c>
      <c r="G1164" t="s">
        <v>16235</v>
      </c>
      <c r="H1164" t="s">
        <v>47126</v>
      </c>
      <c r="I1164" t="s">
        <v>47127</v>
      </c>
      <c r="J1164" t="s">
        <v>47128</v>
      </c>
      <c r="K1164" t="s">
        <v>47113</v>
      </c>
      <c r="L1164">
        <v>37.369999999999997</v>
      </c>
      <c r="M1164">
        <v>87</v>
      </c>
      <c r="N1164">
        <v>0</v>
      </c>
      <c r="O1164">
        <v>87</v>
      </c>
      <c r="P1164">
        <v>0</v>
      </c>
    </row>
    <row r="1165" spans="1:16" x14ac:dyDescent="0.25">
      <c r="A1165" t="s">
        <v>23653</v>
      </c>
      <c r="B1165" t="s">
        <v>2209</v>
      </c>
      <c r="C1165" t="s">
        <v>2210</v>
      </c>
      <c r="D1165" t="str">
        <f>"4643"</f>
        <v>4643</v>
      </c>
      <c r="E1165" t="s">
        <v>205</v>
      </c>
      <c r="F1165" t="s">
        <v>5</v>
      </c>
      <c r="G1165" t="s">
        <v>16235</v>
      </c>
      <c r="H1165" t="s">
        <v>47126</v>
      </c>
      <c r="I1165" t="s">
        <v>47127</v>
      </c>
      <c r="J1165" t="s">
        <v>47128</v>
      </c>
      <c r="K1165" t="s">
        <v>47113</v>
      </c>
      <c r="L1165">
        <v>37.369999999999997</v>
      </c>
      <c r="M1165">
        <v>87</v>
      </c>
      <c r="N1165">
        <v>0</v>
      </c>
      <c r="O1165">
        <v>87</v>
      </c>
      <c r="P1165">
        <v>0</v>
      </c>
    </row>
    <row r="1166" spans="1:16" x14ac:dyDescent="0.25">
      <c r="A1166" t="s">
        <v>23654</v>
      </c>
      <c r="B1166" t="s">
        <v>2209</v>
      </c>
      <c r="C1166" t="s">
        <v>2210</v>
      </c>
      <c r="D1166" t="str">
        <f>"5342"</f>
        <v>5342</v>
      </c>
      <c r="E1166" t="s">
        <v>77</v>
      </c>
      <c r="F1166" t="s">
        <v>5</v>
      </c>
      <c r="G1166" t="s">
        <v>16235</v>
      </c>
      <c r="H1166" t="s">
        <v>47126</v>
      </c>
      <c r="I1166" t="s">
        <v>47127</v>
      </c>
      <c r="J1166" t="s">
        <v>47128</v>
      </c>
      <c r="K1166" t="s">
        <v>47113</v>
      </c>
      <c r="L1166">
        <v>37.369999999999997</v>
      </c>
      <c r="M1166">
        <v>87</v>
      </c>
      <c r="N1166">
        <v>0</v>
      </c>
      <c r="O1166">
        <v>87</v>
      </c>
      <c r="P1166">
        <v>0</v>
      </c>
    </row>
    <row r="1167" spans="1:16" x14ac:dyDescent="0.25">
      <c r="A1167" t="s">
        <v>23655</v>
      </c>
      <c r="B1167" t="s">
        <v>2209</v>
      </c>
      <c r="C1167" t="s">
        <v>2210</v>
      </c>
      <c r="D1167" t="str">
        <f>"6064"</f>
        <v>6064</v>
      </c>
      <c r="E1167" t="s">
        <v>87</v>
      </c>
      <c r="F1167" t="s">
        <v>5</v>
      </c>
      <c r="G1167" t="s">
        <v>16235</v>
      </c>
      <c r="H1167" t="s">
        <v>47126</v>
      </c>
      <c r="I1167" t="s">
        <v>47127</v>
      </c>
      <c r="J1167" t="s">
        <v>47128</v>
      </c>
      <c r="K1167" t="s">
        <v>47113</v>
      </c>
      <c r="L1167">
        <v>37.369999999999997</v>
      </c>
      <c r="M1167">
        <v>87</v>
      </c>
      <c r="N1167">
        <v>0</v>
      </c>
      <c r="O1167">
        <v>87</v>
      </c>
      <c r="P1167">
        <v>0</v>
      </c>
    </row>
    <row r="1168" spans="1:16" x14ac:dyDescent="0.25">
      <c r="A1168" t="s">
        <v>23656</v>
      </c>
      <c r="B1168" t="s">
        <v>2211</v>
      </c>
      <c r="C1168" t="s">
        <v>2212</v>
      </c>
      <c r="D1168" t="str">
        <f>"1001"</f>
        <v>1001</v>
      </c>
      <c r="E1168" t="s">
        <v>42</v>
      </c>
      <c r="F1168" t="s">
        <v>5</v>
      </c>
      <c r="G1168" t="s">
        <v>16221</v>
      </c>
      <c r="H1168" t="s">
        <v>47126</v>
      </c>
      <c r="I1168" t="s">
        <v>47127</v>
      </c>
      <c r="J1168" t="s">
        <v>47128</v>
      </c>
      <c r="K1168" t="s">
        <v>47113</v>
      </c>
      <c r="L1168">
        <v>12.54</v>
      </c>
      <c r="M1168">
        <v>29</v>
      </c>
      <c r="N1168">
        <v>0</v>
      </c>
      <c r="O1168">
        <v>29</v>
      </c>
      <c r="P1168">
        <v>0</v>
      </c>
    </row>
    <row r="1169" spans="1:16" x14ac:dyDescent="0.25">
      <c r="A1169" t="s">
        <v>23657</v>
      </c>
      <c r="B1169" t="s">
        <v>2211</v>
      </c>
      <c r="C1169" t="s">
        <v>2212</v>
      </c>
      <c r="D1169" t="str">
        <f>"1299"</f>
        <v>1299</v>
      </c>
      <c r="E1169" t="s">
        <v>73</v>
      </c>
      <c r="F1169" t="s">
        <v>5</v>
      </c>
      <c r="G1169" t="s">
        <v>16221</v>
      </c>
      <c r="H1169" t="s">
        <v>47126</v>
      </c>
      <c r="I1169" t="s">
        <v>47127</v>
      </c>
      <c r="J1169" t="s">
        <v>47128</v>
      </c>
      <c r="K1169" t="s">
        <v>47113</v>
      </c>
      <c r="L1169">
        <v>12.54</v>
      </c>
      <c r="M1169">
        <v>29</v>
      </c>
      <c r="N1169">
        <v>0</v>
      </c>
      <c r="O1169">
        <v>29</v>
      </c>
      <c r="P1169">
        <v>0</v>
      </c>
    </row>
    <row r="1170" spans="1:16" x14ac:dyDescent="0.25">
      <c r="A1170" t="s">
        <v>23658</v>
      </c>
      <c r="B1170" t="s">
        <v>2211</v>
      </c>
      <c r="C1170" t="s">
        <v>2212</v>
      </c>
      <c r="D1170" t="str">
        <f>"1700"</f>
        <v>1700</v>
      </c>
      <c r="E1170" t="s">
        <v>60</v>
      </c>
      <c r="F1170" t="s">
        <v>5</v>
      </c>
      <c r="G1170" t="s">
        <v>16221</v>
      </c>
      <c r="H1170" t="s">
        <v>47126</v>
      </c>
      <c r="I1170" t="s">
        <v>47127</v>
      </c>
      <c r="J1170" t="s">
        <v>47128</v>
      </c>
      <c r="K1170" t="s">
        <v>47113</v>
      </c>
      <c r="L1170">
        <v>12.54</v>
      </c>
      <c r="M1170">
        <v>29</v>
      </c>
      <c r="N1170">
        <v>0</v>
      </c>
      <c r="O1170">
        <v>29</v>
      </c>
      <c r="P1170">
        <v>0</v>
      </c>
    </row>
    <row r="1171" spans="1:16" x14ac:dyDescent="0.25">
      <c r="A1171" t="s">
        <v>23659</v>
      </c>
      <c r="B1171" t="s">
        <v>2211</v>
      </c>
      <c r="C1171" t="s">
        <v>2212</v>
      </c>
      <c r="D1171" t="str">
        <f>"2166"</f>
        <v>2166</v>
      </c>
      <c r="E1171" t="s">
        <v>80</v>
      </c>
      <c r="F1171" t="s">
        <v>5</v>
      </c>
      <c r="G1171" t="s">
        <v>16221</v>
      </c>
      <c r="H1171" t="s">
        <v>47126</v>
      </c>
      <c r="I1171" t="s">
        <v>47127</v>
      </c>
      <c r="J1171" t="s">
        <v>47128</v>
      </c>
      <c r="K1171" t="s">
        <v>47113</v>
      </c>
      <c r="L1171">
        <v>12.54</v>
      </c>
      <c r="M1171">
        <v>29</v>
      </c>
      <c r="N1171">
        <v>0</v>
      </c>
      <c r="O1171">
        <v>29</v>
      </c>
      <c r="P1171">
        <v>0</v>
      </c>
    </row>
    <row r="1172" spans="1:16" x14ac:dyDescent="0.25">
      <c r="A1172" t="s">
        <v>23660</v>
      </c>
      <c r="B1172" t="s">
        <v>2211</v>
      </c>
      <c r="C1172" t="s">
        <v>2212</v>
      </c>
      <c r="D1172" t="str">
        <f>"3449"</f>
        <v>3449</v>
      </c>
      <c r="E1172" t="s">
        <v>90</v>
      </c>
      <c r="F1172" t="s">
        <v>5</v>
      </c>
      <c r="G1172" t="s">
        <v>16221</v>
      </c>
      <c r="H1172" t="s">
        <v>47126</v>
      </c>
      <c r="I1172" t="s">
        <v>47127</v>
      </c>
      <c r="J1172" t="s">
        <v>47128</v>
      </c>
      <c r="K1172" t="s">
        <v>47113</v>
      </c>
      <c r="L1172">
        <v>12.54</v>
      </c>
      <c r="M1172">
        <v>29</v>
      </c>
      <c r="N1172">
        <v>0</v>
      </c>
      <c r="O1172">
        <v>29</v>
      </c>
      <c r="P1172">
        <v>0</v>
      </c>
    </row>
    <row r="1173" spans="1:16" x14ac:dyDescent="0.25">
      <c r="A1173" t="s">
        <v>23661</v>
      </c>
      <c r="B1173" t="s">
        <v>2211</v>
      </c>
      <c r="C1173" t="s">
        <v>2212</v>
      </c>
      <c r="D1173" t="str">
        <f>"4348"</f>
        <v>4348</v>
      </c>
      <c r="E1173" t="s">
        <v>91</v>
      </c>
      <c r="F1173" t="s">
        <v>5</v>
      </c>
      <c r="G1173" t="s">
        <v>16221</v>
      </c>
      <c r="H1173" t="s">
        <v>47126</v>
      </c>
      <c r="I1173" t="s">
        <v>47127</v>
      </c>
      <c r="J1173" t="s">
        <v>47128</v>
      </c>
      <c r="K1173" t="s">
        <v>47113</v>
      </c>
      <c r="L1173">
        <v>12.54</v>
      </c>
      <c r="M1173">
        <v>29</v>
      </c>
      <c r="N1173">
        <v>0</v>
      </c>
      <c r="O1173">
        <v>29</v>
      </c>
      <c r="P1173">
        <v>0</v>
      </c>
    </row>
    <row r="1174" spans="1:16" x14ac:dyDescent="0.25">
      <c r="A1174" t="s">
        <v>23662</v>
      </c>
      <c r="B1174" t="s">
        <v>2211</v>
      </c>
      <c r="C1174" t="s">
        <v>2212</v>
      </c>
      <c r="D1174" t="str">
        <f>"5342"</f>
        <v>5342</v>
      </c>
      <c r="E1174" t="s">
        <v>77</v>
      </c>
      <c r="F1174" t="s">
        <v>5</v>
      </c>
      <c r="G1174" t="s">
        <v>16221</v>
      </c>
      <c r="H1174" t="s">
        <v>47126</v>
      </c>
      <c r="I1174" t="s">
        <v>47127</v>
      </c>
      <c r="J1174" t="s">
        <v>47128</v>
      </c>
      <c r="K1174" t="s">
        <v>47113</v>
      </c>
      <c r="L1174">
        <v>12.54</v>
      </c>
      <c r="M1174">
        <v>29</v>
      </c>
      <c r="N1174">
        <v>0</v>
      </c>
      <c r="O1174">
        <v>29</v>
      </c>
      <c r="P1174">
        <v>0</v>
      </c>
    </row>
    <row r="1175" spans="1:16" x14ac:dyDescent="0.25">
      <c r="A1175" t="s">
        <v>23663</v>
      </c>
      <c r="B1175" t="s">
        <v>2211</v>
      </c>
      <c r="C1175" t="s">
        <v>2212</v>
      </c>
      <c r="D1175" t="str">
        <f>"6064"</f>
        <v>6064</v>
      </c>
      <c r="E1175" t="s">
        <v>87</v>
      </c>
      <c r="F1175" t="s">
        <v>5</v>
      </c>
      <c r="G1175" t="s">
        <v>16221</v>
      </c>
      <c r="H1175" t="s">
        <v>47126</v>
      </c>
      <c r="I1175" t="s">
        <v>47127</v>
      </c>
      <c r="J1175" t="s">
        <v>47128</v>
      </c>
      <c r="K1175" t="s">
        <v>47113</v>
      </c>
      <c r="L1175">
        <v>12.54</v>
      </c>
      <c r="M1175">
        <v>29</v>
      </c>
      <c r="N1175">
        <v>0</v>
      </c>
      <c r="O1175">
        <v>29</v>
      </c>
      <c r="P1175">
        <v>0</v>
      </c>
    </row>
    <row r="1176" spans="1:16" x14ac:dyDescent="0.25">
      <c r="A1176" t="s">
        <v>23664</v>
      </c>
      <c r="B1176" t="s">
        <v>2213</v>
      </c>
      <c r="C1176" t="s">
        <v>2214</v>
      </c>
      <c r="D1176" t="str">
        <f>"1001"</f>
        <v>1001</v>
      </c>
      <c r="E1176" t="s">
        <v>42</v>
      </c>
      <c r="F1176" t="s">
        <v>5</v>
      </c>
      <c r="G1176" t="s">
        <v>16221</v>
      </c>
      <c r="H1176" t="s">
        <v>47126</v>
      </c>
      <c r="I1176" t="s">
        <v>47127</v>
      </c>
      <c r="J1176" t="s">
        <v>47128</v>
      </c>
      <c r="K1176" t="s">
        <v>47113</v>
      </c>
      <c r="L1176">
        <v>13.23</v>
      </c>
      <c r="M1176">
        <v>31</v>
      </c>
      <c r="N1176">
        <v>0</v>
      </c>
      <c r="O1176">
        <v>31</v>
      </c>
      <c r="P1176">
        <v>0</v>
      </c>
    </row>
    <row r="1177" spans="1:16" x14ac:dyDescent="0.25">
      <c r="A1177" t="s">
        <v>23665</v>
      </c>
      <c r="B1177" t="s">
        <v>2213</v>
      </c>
      <c r="C1177" t="s">
        <v>2214</v>
      </c>
      <c r="D1177" t="str">
        <f>"2166"</f>
        <v>2166</v>
      </c>
      <c r="E1177" t="s">
        <v>80</v>
      </c>
      <c r="F1177" t="s">
        <v>5</v>
      </c>
      <c r="G1177" t="s">
        <v>16221</v>
      </c>
      <c r="H1177" t="s">
        <v>47126</v>
      </c>
      <c r="I1177" t="s">
        <v>47127</v>
      </c>
      <c r="J1177" t="s">
        <v>47128</v>
      </c>
      <c r="K1177" t="s">
        <v>47113</v>
      </c>
      <c r="L1177">
        <v>13.23</v>
      </c>
      <c r="M1177">
        <v>31</v>
      </c>
      <c r="N1177">
        <v>0</v>
      </c>
      <c r="O1177">
        <v>31</v>
      </c>
      <c r="P1177">
        <v>0</v>
      </c>
    </row>
    <row r="1178" spans="1:16" x14ac:dyDescent="0.25">
      <c r="A1178" t="s">
        <v>23666</v>
      </c>
      <c r="B1178" t="s">
        <v>2213</v>
      </c>
      <c r="C1178" t="s">
        <v>2214</v>
      </c>
      <c r="D1178" t="str">
        <f>"3449"</f>
        <v>3449</v>
      </c>
      <c r="E1178" t="s">
        <v>90</v>
      </c>
      <c r="F1178" t="s">
        <v>5</v>
      </c>
      <c r="G1178" t="s">
        <v>16221</v>
      </c>
      <c r="H1178" t="s">
        <v>47126</v>
      </c>
      <c r="I1178" t="s">
        <v>47127</v>
      </c>
      <c r="J1178" t="s">
        <v>47128</v>
      </c>
      <c r="K1178" t="s">
        <v>47113</v>
      </c>
      <c r="L1178">
        <v>13.23</v>
      </c>
      <c r="M1178">
        <v>31</v>
      </c>
      <c r="N1178">
        <v>0</v>
      </c>
      <c r="O1178">
        <v>31</v>
      </c>
      <c r="P1178">
        <v>0</v>
      </c>
    </row>
    <row r="1179" spans="1:16" x14ac:dyDescent="0.25">
      <c r="A1179" t="s">
        <v>23667</v>
      </c>
      <c r="B1179" t="s">
        <v>2213</v>
      </c>
      <c r="C1179" t="s">
        <v>2214</v>
      </c>
      <c r="D1179" t="str">
        <f>"4348"</f>
        <v>4348</v>
      </c>
      <c r="E1179" t="s">
        <v>91</v>
      </c>
      <c r="F1179" t="s">
        <v>5</v>
      </c>
      <c r="G1179" t="s">
        <v>16221</v>
      </c>
      <c r="H1179" t="s">
        <v>47126</v>
      </c>
      <c r="I1179" t="s">
        <v>47127</v>
      </c>
      <c r="J1179" t="s">
        <v>47128</v>
      </c>
      <c r="K1179" t="s">
        <v>47113</v>
      </c>
      <c r="L1179">
        <v>13.23</v>
      </c>
      <c r="M1179">
        <v>31</v>
      </c>
      <c r="N1179">
        <v>0</v>
      </c>
      <c r="O1179">
        <v>31</v>
      </c>
      <c r="P1179">
        <v>0</v>
      </c>
    </row>
    <row r="1180" spans="1:16" x14ac:dyDescent="0.25">
      <c r="A1180" t="s">
        <v>23668</v>
      </c>
      <c r="B1180" t="s">
        <v>2213</v>
      </c>
      <c r="C1180" t="s">
        <v>2214</v>
      </c>
      <c r="D1180" t="str">
        <f>"5342"</f>
        <v>5342</v>
      </c>
      <c r="E1180" t="s">
        <v>77</v>
      </c>
      <c r="F1180" t="s">
        <v>5</v>
      </c>
      <c r="G1180" t="s">
        <v>16221</v>
      </c>
      <c r="H1180" t="s">
        <v>47126</v>
      </c>
      <c r="I1180" t="s">
        <v>47127</v>
      </c>
      <c r="J1180" t="s">
        <v>47128</v>
      </c>
      <c r="K1180" t="s">
        <v>47113</v>
      </c>
      <c r="L1180">
        <v>13.23</v>
      </c>
      <c r="M1180">
        <v>31</v>
      </c>
      <c r="N1180">
        <v>0</v>
      </c>
      <c r="O1180">
        <v>31</v>
      </c>
      <c r="P1180">
        <v>0</v>
      </c>
    </row>
    <row r="1181" spans="1:16" x14ac:dyDescent="0.25">
      <c r="A1181" t="s">
        <v>23669</v>
      </c>
      <c r="B1181" t="s">
        <v>2215</v>
      </c>
      <c r="C1181" t="s">
        <v>2216</v>
      </c>
      <c r="D1181" t="str">
        <f>"1379"</f>
        <v>1379</v>
      </c>
      <c r="E1181" t="s">
        <v>84</v>
      </c>
      <c r="F1181" t="s">
        <v>5</v>
      </c>
      <c r="G1181" t="s">
        <v>16221</v>
      </c>
      <c r="H1181" t="s">
        <v>47126</v>
      </c>
      <c r="I1181" t="s">
        <v>47127</v>
      </c>
      <c r="J1181" t="s">
        <v>47128</v>
      </c>
      <c r="K1181" t="s">
        <v>47113</v>
      </c>
      <c r="L1181">
        <v>12.76</v>
      </c>
      <c r="M1181">
        <v>30</v>
      </c>
      <c r="N1181">
        <v>0</v>
      </c>
      <c r="O1181">
        <v>30</v>
      </c>
      <c r="P1181">
        <v>0</v>
      </c>
    </row>
    <row r="1182" spans="1:16" x14ac:dyDescent="0.25">
      <c r="A1182" t="s">
        <v>23670</v>
      </c>
      <c r="B1182" t="s">
        <v>2215</v>
      </c>
      <c r="C1182" t="s">
        <v>2216</v>
      </c>
      <c r="D1182" t="str">
        <f>"1700"</f>
        <v>1700</v>
      </c>
      <c r="E1182" t="s">
        <v>60</v>
      </c>
      <c r="F1182" t="s">
        <v>5</v>
      </c>
      <c r="G1182" t="s">
        <v>16221</v>
      </c>
      <c r="H1182" t="s">
        <v>47126</v>
      </c>
      <c r="I1182" t="s">
        <v>47127</v>
      </c>
      <c r="J1182" t="s">
        <v>47128</v>
      </c>
      <c r="K1182" t="s">
        <v>47113</v>
      </c>
      <c r="L1182">
        <v>12.76</v>
      </c>
      <c r="M1182">
        <v>30</v>
      </c>
      <c r="N1182">
        <v>0</v>
      </c>
      <c r="O1182">
        <v>30</v>
      </c>
      <c r="P1182">
        <v>0</v>
      </c>
    </row>
    <row r="1183" spans="1:16" x14ac:dyDescent="0.25">
      <c r="A1183" t="s">
        <v>23671</v>
      </c>
      <c r="B1183" t="s">
        <v>2215</v>
      </c>
      <c r="C1183" t="s">
        <v>2216</v>
      </c>
      <c r="D1183" t="str">
        <f>"3449"</f>
        <v>3449</v>
      </c>
      <c r="E1183" t="s">
        <v>90</v>
      </c>
      <c r="F1183" t="s">
        <v>5</v>
      </c>
      <c r="G1183" t="s">
        <v>16221</v>
      </c>
      <c r="H1183" t="s">
        <v>47126</v>
      </c>
      <c r="I1183" t="s">
        <v>47127</v>
      </c>
      <c r="J1183" t="s">
        <v>47128</v>
      </c>
      <c r="K1183" t="s">
        <v>47113</v>
      </c>
      <c r="L1183">
        <v>12.76</v>
      </c>
      <c r="M1183">
        <v>30</v>
      </c>
      <c r="N1183">
        <v>0</v>
      </c>
      <c r="O1183">
        <v>30</v>
      </c>
      <c r="P1183">
        <v>0</v>
      </c>
    </row>
    <row r="1184" spans="1:16" x14ac:dyDescent="0.25">
      <c r="A1184" t="s">
        <v>23672</v>
      </c>
      <c r="B1184" t="s">
        <v>2215</v>
      </c>
      <c r="C1184" t="s">
        <v>2216</v>
      </c>
      <c r="D1184" t="str">
        <f>"4348"</f>
        <v>4348</v>
      </c>
      <c r="E1184" t="s">
        <v>91</v>
      </c>
      <c r="F1184" t="s">
        <v>5</v>
      </c>
      <c r="G1184" t="s">
        <v>16221</v>
      </c>
      <c r="H1184" t="s">
        <v>47126</v>
      </c>
      <c r="I1184" t="s">
        <v>47127</v>
      </c>
      <c r="J1184" t="s">
        <v>47128</v>
      </c>
      <c r="K1184" t="s">
        <v>47113</v>
      </c>
      <c r="L1184">
        <v>12.76</v>
      </c>
      <c r="M1184">
        <v>30</v>
      </c>
      <c r="N1184">
        <v>0</v>
      </c>
      <c r="O1184">
        <v>30</v>
      </c>
      <c r="P1184">
        <v>0</v>
      </c>
    </row>
    <row r="1185" spans="1:16" x14ac:dyDescent="0.25">
      <c r="A1185" t="s">
        <v>23673</v>
      </c>
      <c r="B1185" t="s">
        <v>2215</v>
      </c>
      <c r="C1185" t="s">
        <v>2216</v>
      </c>
      <c r="D1185" t="str">
        <f>"4643"</f>
        <v>4643</v>
      </c>
      <c r="E1185" t="s">
        <v>205</v>
      </c>
      <c r="F1185" t="s">
        <v>5</v>
      </c>
      <c r="G1185" t="s">
        <v>16221</v>
      </c>
      <c r="H1185" t="s">
        <v>47126</v>
      </c>
      <c r="I1185" t="s">
        <v>47127</v>
      </c>
      <c r="J1185" t="s">
        <v>47128</v>
      </c>
      <c r="K1185" t="s">
        <v>47113</v>
      </c>
      <c r="L1185">
        <v>12.76</v>
      </c>
      <c r="M1185">
        <v>30</v>
      </c>
      <c r="N1185">
        <v>0</v>
      </c>
      <c r="O1185">
        <v>30</v>
      </c>
      <c r="P1185">
        <v>0</v>
      </c>
    </row>
    <row r="1186" spans="1:16" x14ac:dyDescent="0.25">
      <c r="A1186" t="s">
        <v>23674</v>
      </c>
      <c r="B1186" t="s">
        <v>2215</v>
      </c>
      <c r="C1186" t="s">
        <v>2216</v>
      </c>
      <c r="D1186" t="str">
        <f>"5342"</f>
        <v>5342</v>
      </c>
      <c r="E1186" t="s">
        <v>77</v>
      </c>
      <c r="F1186" t="s">
        <v>5</v>
      </c>
      <c r="G1186" t="s">
        <v>16221</v>
      </c>
      <c r="H1186" t="s">
        <v>47126</v>
      </c>
      <c r="I1186" t="s">
        <v>47127</v>
      </c>
      <c r="J1186" t="s">
        <v>47128</v>
      </c>
      <c r="K1186" t="s">
        <v>47113</v>
      </c>
      <c r="L1186">
        <v>12.76</v>
      </c>
      <c r="M1186">
        <v>30</v>
      </c>
      <c r="N1186">
        <v>0</v>
      </c>
      <c r="O1186">
        <v>30</v>
      </c>
      <c r="P1186">
        <v>0</v>
      </c>
    </row>
    <row r="1187" spans="1:16" x14ac:dyDescent="0.25">
      <c r="A1187" t="s">
        <v>23675</v>
      </c>
      <c r="B1187" t="s">
        <v>2215</v>
      </c>
      <c r="C1187" t="s">
        <v>2216</v>
      </c>
      <c r="D1187" t="str">
        <f>"6064"</f>
        <v>6064</v>
      </c>
      <c r="E1187" t="s">
        <v>87</v>
      </c>
      <c r="F1187" t="s">
        <v>5</v>
      </c>
      <c r="G1187" t="s">
        <v>16221</v>
      </c>
      <c r="H1187" t="s">
        <v>47126</v>
      </c>
      <c r="I1187" t="s">
        <v>47127</v>
      </c>
      <c r="J1187" t="s">
        <v>47128</v>
      </c>
      <c r="K1187" t="s">
        <v>47113</v>
      </c>
      <c r="L1187">
        <v>12.76</v>
      </c>
      <c r="M1187">
        <v>30</v>
      </c>
      <c r="N1187">
        <v>0</v>
      </c>
      <c r="O1187">
        <v>30</v>
      </c>
      <c r="P1187">
        <v>0</v>
      </c>
    </row>
    <row r="1188" spans="1:16" x14ac:dyDescent="0.25">
      <c r="A1188" t="s">
        <v>23676</v>
      </c>
      <c r="B1188" t="s">
        <v>2217</v>
      </c>
      <c r="C1188" t="s">
        <v>2218</v>
      </c>
      <c r="D1188" t="str">
        <f>"1001"</f>
        <v>1001</v>
      </c>
      <c r="E1188" t="s">
        <v>42</v>
      </c>
      <c r="F1188" t="s">
        <v>5</v>
      </c>
      <c r="G1188" t="s">
        <v>16221</v>
      </c>
      <c r="H1188" t="s">
        <v>47126</v>
      </c>
      <c r="I1188" t="s">
        <v>47127</v>
      </c>
      <c r="J1188" t="s">
        <v>47128</v>
      </c>
      <c r="K1188" t="s">
        <v>47113</v>
      </c>
      <c r="L1188">
        <v>13.45</v>
      </c>
      <c r="M1188">
        <v>31</v>
      </c>
      <c r="N1188">
        <v>0</v>
      </c>
      <c r="O1188">
        <v>31</v>
      </c>
      <c r="P1188">
        <v>0</v>
      </c>
    </row>
    <row r="1189" spans="1:16" x14ac:dyDescent="0.25">
      <c r="A1189" t="s">
        <v>23677</v>
      </c>
      <c r="B1189" t="s">
        <v>2217</v>
      </c>
      <c r="C1189" t="s">
        <v>2218</v>
      </c>
      <c r="D1189" t="str">
        <f>"1299"</f>
        <v>1299</v>
      </c>
      <c r="E1189" t="s">
        <v>73</v>
      </c>
      <c r="F1189" t="s">
        <v>5</v>
      </c>
      <c r="G1189" t="s">
        <v>16221</v>
      </c>
      <c r="H1189" t="s">
        <v>47126</v>
      </c>
      <c r="I1189" t="s">
        <v>47127</v>
      </c>
      <c r="J1189" t="s">
        <v>47128</v>
      </c>
      <c r="K1189" t="s">
        <v>47113</v>
      </c>
      <c r="L1189">
        <v>13.45</v>
      </c>
      <c r="M1189">
        <v>31</v>
      </c>
      <c r="N1189">
        <v>0</v>
      </c>
      <c r="O1189">
        <v>31</v>
      </c>
      <c r="P1189">
        <v>0</v>
      </c>
    </row>
    <row r="1190" spans="1:16" x14ac:dyDescent="0.25">
      <c r="A1190" t="s">
        <v>23678</v>
      </c>
      <c r="B1190" t="s">
        <v>2217</v>
      </c>
      <c r="C1190" t="s">
        <v>2218</v>
      </c>
      <c r="D1190" t="str">
        <f>"2166"</f>
        <v>2166</v>
      </c>
      <c r="E1190" t="s">
        <v>80</v>
      </c>
      <c r="F1190" t="s">
        <v>5</v>
      </c>
      <c r="G1190" t="s">
        <v>16221</v>
      </c>
      <c r="H1190" t="s">
        <v>47126</v>
      </c>
      <c r="I1190" t="s">
        <v>47127</v>
      </c>
      <c r="J1190" t="s">
        <v>47128</v>
      </c>
      <c r="K1190" t="s">
        <v>47113</v>
      </c>
      <c r="L1190">
        <v>13.45</v>
      </c>
      <c r="M1190">
        <v>31</v>
      </c>
      <c r="N1190">
        <v>0</v>
      </c>
      <c r="O1190">
        <v>31</v>
      </c>
      <c r="P1190">
        <v>0</v>
      </c>
    </row>
    <row r="1191" spans="1:16" x14ac:dyDescent="0.25">
      <c r="A1191" t="s">
        <v>23679</v>
      </c>
      <c r="B1191" t="s">
        <v>2217</v>
      </c>
      <c r="C1191" t="s">
        <v>2218</v>
      </c>
      <c r="D1191" t="str">
        <f>"3449"</f>
        <v>3449</v>
      </c>
      <c r="E1191" t="s">
        <v>90</v>
      </c>
      <c r="F1191" t="s">
        <v>5</v>
      </c>
      <c r="G1191" t="s">
        <v>16221</v>
      </c>
      <c r="H1191" t="s">
        <v>47126</v>
      </c>
      <c r="I1191" t="s">
        <v>47127</v>
      </c>
      <c r="J1191" t="s">
        <v>47128</v>
      </c>
      <c r="K1191" t="s">
        <v>47113</v>
      </c>
      <c r="L1191">
        <v>13.45</v>
      </c>
      <c r="M1191">
        <v>31</v>
      </c>
      <c r="N1191">
        <v>0</v>
      </c>
      <c r="O1191">
        <v>31</v>
      </c>
      <c r="P1191">
        <v>0</v>
      </c>
    </row>
    <row r="1192" spans="1:16" x14ac:dyDescent="0.25">
      <c r="A1192" t="s">
        <v>23680</v>
      </c>
      <c r="B1192" t="s">
        <v>2217</v>
      </c>
      <c r="C1192" t="s">
        <v>2218</v>
      </c>
      <c r="D1192" t="str">
        <f>"4348"</f>
        <v>4348</v>
      </c>
      <c r="E1192" t="s">
        <v>91</v>
      </c>
      <c r="F1192" t="s">
        <v>5</v>
      </c>
      <c r="G1192" t="s">
        <v>16221</v>
      </c>
      <c r="H1192" t="s">
        <v>47126</v>
      </c>
      <c r="I1192" t="s">
        <v>47127</v>
      </c>
      <c r="J1192" t="s">
        <v>47128</v>
      </c>
      <c r="K1192" t="s">
        <v>47113</v>
      </c>
      <c r="L1192">
        <v>13.45</v>
      </c>
      <c r="M1192">
        <v>31</v>
      </c>
      <c r="N1192">
        <v>0</v>
      </c>
      <c r="O1192">
        <v>31</v>
      </c>
      <c r="P1192">
        <v>0</v>
      </c>
    </row>
    <row r="1193" spans="1:16" x14ac:dyDescent="0.25">
      <c r="A1193" t="s">
        <v>23681</v>
      </c>
      <c r="B1193" t="s">
        <v>2217</v>
      </c>
      <c r="C1193" t="s">
        <v>2218</v>
      </c>
      <c r="D1193" t="str">
        <f>"5342"</f>
        <v>5342</v>
      </c>
      <c r="E1193" t="s">
        <v>77</v>
      </c>
      <c r="F1193" t="s">
        <v>5</v>
      </c>
      <c r="G1193" t="s">
        <v>16221</v>
      </c>
      <c r="H1193" t="s">
        <v>47126</v>
      </c>
      <c r="I1193" t="s">
        <v>47127</v>
      </c>
      <c r="J1193" t="s">
        <v>47128</v>
      </c>
      <c r="K1193" t="s">
        <v>47113</v>
      </c>
      <c r="L1193">
        <v>13.45</v>
      </c>
      <c r="M1193">
        <v>31</v>
      </c>
      <c r="N1193">
        <v>0</v>
      </c>
      <c r="O1193">
        <v>31</v>
      </c>
      <c r="P1193">
        <v>0</v>
      </c>
    </row>
    <row r="1194" spans="1:16" x14ac:dyDescent="0.25">
      <c r="A1194" t="s">
        <v>23682</v>
      </c>
      <c r="B1194" t="s">
        <v>2219</v>
      </c>
      <c r="C1194" t="s">
        <v>82</v>
      </c>
      <c r="D1194" t="str">
        <f>"1001"</f>
        <v>1001</v>
      </c>
      <c r="E1194" t="s">
        <v>42</v>
      </c>
      <c r="F1194" t="s">
        <v>5</v>
      </c>
      <c r="G1194" t="s">
        <v>16221</v>
      </c>
      <c r="H1194" t="s">
        <v>47126</v>
      </c>
      <c r="I1194" t="s">
        <v>47127</v>
      </c>
      <c r="J1194" t="s">
        <v>47128</v>
      </c>
      <c r="K1194" t="s">
        <v>47113</v>
      </c>
      <c r="L1194">
        <v>13.87</v>
      </c>
      <c r="M1194">
        <v>30</v>
      </c>
      <c r="N1194">
        <v>0</v>
      </c>
      <c r="O1194">
        <v>30</v>
      </c>
      <c r="P1194">
        <v>0</v>
      </c>
    </row>
    <row r="1195" spans="1:16" x14ac:dyDescent="0.25">
      <c r="A1195" t="s">
        <v>23683</v>
      </c>
      <c r="B1195" t="s">
        <v>2219</v>
      </c>
      <c r="C1195" t="s">
        <v>82</v>
      </c>
      <c r="D1195" t="str">
        <f>"1299"</f>
        <v>1299</v>
      </c>
      <c r="E1195" t="s">
        <v>73</v>
      </c>
      <c r="F1195" t="s">
        <v>5</v>
      </c>
      <c r="G1195" t="s">
        <v>16221</v>
      </c>
      <c r="H1195" t="s">
        <v>47126</v>
      </c>
      <c r="I1195" t="s">
        <v>47127</v>
      </c>
      <c r="J1195" t="s">
        <v>47128</v>
      </c>
      <c r="K1195" t="s">
        <v>47113</v>
      </c>
      <c r="L1195">
        <v>13.87</v>
      </c>
      <c r="M1195">
        <v>30</v>
      </c>
      <c r="N1195">
        <v>0</v>
      </c>
      <c r="O1195">
        <v>30</v>
      </c>
      <c r="P1195">
        <v>0</v>
      </c>
    </row>
    <row r="1196" spans="1:16" x14ac:dyDescent="0.25">
      <c r="A1196" t="s">
        <v>23684</v>
      </c>
      <c r="B1196" t="s">
        <v>2219</v>
      </c>
      <c r="C1196" t="s">
        <v>82</v>
      </c>
      <c r="D1196" t="str">
        <f>"1377"</f>
        <v>1377</v>
      </c>
      <c r="E1196" t="s">
        <v>74</v>
      </c>
      <c r="F1196" t="s">
        <v>0</v>
      </c>
      <c r="G1196" t="s">
        <v>16221</v>
      </c>
      <c r="H1196" t="s">
        <v>47126</v>
      </c>
      <c r="I1196" t="s">
        <v>47127</v>
      </c>
      <c r="J1196" t="s">
        <v>47128</v>
      </c>
      <c r="K1196" t="s">
        <v>47113</v>
      </c>
      <c r="L1196">
        <v>13.87</v>
      </c>
      <c r="M1196">
        <v>30</v>
      </c>
      <c r="N1196">
        <v>0</v>
      </c>
      <c r="O1196">
        <v>30</v>
      </c>
      <c r="P1196">
        <v>0</v>
      </c>
    </row>
    <row r="1197" spans="1:16" x14ac:dyDescent="0.25">
      <c r="A1197" t="s">
        <v>23685</v>
      </c>
      <c r="B1197" t="s">
        <v>2219</v>
      </c>
      <c r="C1197" t="s">
        <v>82</v>
      </c>
      <c r="D1197" t="str">
        <f>"1378"</f>
        <v>1378</v>
      </c>
      <c r="E1197" t="s">
        <v>388</v>
      </c>
      <c r="F1197" t="s">
        <v>0</v>
      </c>
      <c r="G1197" t="s">
        <v>16221</v>
      </c>
      <c r="H1197" t="s">
        <v>47126</v>
      </c>
      <c r="I1197" t="s">
        <v>47127</v>
      </c>
      <c r="J1197" t="s">
        <v>47128</v>
      </c>
      <c r="K1197" t="s">
        <v>47113</v>
      </c>
      <c r="L1197">
        <v>13.87</v>
      </c>
      <c r="M1197">
        <v>30</v>
      </c>
      <c r="N1197">
        <v>0</v>
      </c>
      <c r="O1197">
        <v>30</v>
      </c>
      <c r="P1197">
        <v>0</v>
      </c>
    </row>
    <row r="1198" spans="1:16" x14ac:dyDescent="0.25">
      <c r="A1198" t="s">
        <v>23686</v>
      </c>
      <c r="B1198" t="s">
        <v>2219</v>
      </c>
      <c r="C1198" t="s">
        <v>82</v>
      </c>
      <c r="D1198" t="str">
        <f>"1700"</f>
        <v>1700</v>
      </c>
      <c r="E1198" t="s">
        <v>60</v>
      </c>
      <c r="F1198" t="s">
        <v>5</v>
      </c>
      <c r="G1198" t="s">
        <v>16221</v>
      </c>
      <c r="H1198" t="s">
        <v>47126</v>
      </c>
      <c r="I1198" t="s">
        <v>47127</v>
      </c>
      <c r="J1198" t="s">
        <v>47128</v>
      </c>
      <c r="K1198" t="s">
        <v>47113</v>
      </c>
      <c r="L1198">
        <v>13.87</v>
      </c>
      <c r="M1198">
        <v>30</v>
      </c>
      <c r="N1198">
        <v>0</v>
      </c>
      <c r="O1198">
        <v>30</v>
      </c>
      <c r="P1198">
        <v>0</v>
      </c>
    </row>
    <row r="1199" spans="1:16" x14ac:dyDescent="0.25">
      <c r="A1199" t="s">
        <v>23687</v>
      </c>
      <c r="B1199" t="s">
        <v>2219</v>
      </c>
      <c r="C1199" t="s">
        <v>82</v>
      </c>
      <c r="D1199" t="str">
        <f>"2166"</f>
        <v>2166</v>
      </c>
      <c r="E1199" t="s">
        <v>80</v>
      </c>
      <c r="F1199" t="s">
        <v>5</v>
      </c>
      <c r="G1199" t="s">
        <v>16221</v>
      </c>
      <c r="H1199" t="s">
        <v>47126</v>
      </c>
      <c r="I1199" t="s">
        <v>47127</v>
      </c>
      <c r="J1199" t="s">
        <v>47128</v>
      </c>
      <c r="K1199" t="s">
        <v>47113</v>
      </c>
      <c r="L1199">
        <v>13.87</v>
      </c>
      <c r="M1199">
        <v>30</v>
      </c>
      <c r="N1199">
        <v>0</v>
      </c>
      <c r="O1199">
        <v>30</v>
      </c>
      <c r="P1199">
        <v>0</v>
      </c>
    </row>
    <row r="1200" spans="1:16" x14ac:dyDescent="0.25">
      <c r="A1200" t="s">
        <v>23688</v>
      </c>
      <c r="B1200" t="s">
        <v>2219</v>
      </c>
      <c r="C1200" t="s">
        <v>82</v>
      </c>
      <c r="D1200" t="str">
        <f>"3000"</f>
        <v>3000</v>
      </c>
      <c r="E1200" t="s">
        <v>2220</v>
      </c>
      <c r="F1200" t="s">
        <v>0</v>
      </c>
      <c r="G1200" t="s">
        <v>16221</v>
      </c>
      <c r="H1200" t="s">
        <v>47126</v>
      </c>
      <c r="I1200" t="s">
        <v>47127</v>
      </c>
      <c r="J1200" t="s">
        <v>47128</v>
      </c>
      <c r="K1200" t="s">
        <v>47113</v>
      </c>
      <c r="L1200">
        <v>13.87</v>
      </c>
      <c r="M1200">
        <v>30</v>
      </c>
      <c r="N1200">
        <v>0</v>
      </c>
      <c r="O1200">
        <v>30</v>
      </c>
      <c r="P1200">
        <v>0</v>
      </c>
    </row>
    <row r="1201" spans="1:16" x14ac:dyDescent="0.25">
      <c r="A1201" t="s">
        <v>23689</v>
      </c>
      <c r="B1201" t="s">
        <v>2219</v>
      </c>
      <c r="C1201" t="s">
        <v>82</v>
      </c>
      <c r="D1201" t="str">
        <f>"3449"</f>
        <v>3449</v>
      </c>
      <c r="E1201" t="s">
        <v>90</v>
      </c>
      <c r="F1201" t="s">
        <v>5</v>
      </c>
      <c r="G1201" t="s">
        <v>16221</v>
      </c>
      <c r="H1201" t="s">
        <v>47126</v>
      </c>
      <c r="I1201" t="s">
        <v>47127</v>
      </c>
      <c r="J1201" t="s">
        <v>47128</v>
      </c>
      <c r="K1201" t="s">
        <v>47113</v>
      </c>
      <c r="L1201">
        <v>13.87</v>
      </c>
      <c r="M1201">
        <v>30</v>
      </c>
      <c r="N1201">
        <v>0</v>
      </c>
      <c r="O1201">
        <v>30</v>
      </c>
      <c r="P1201">
        <v>0</v>
      </c>
    </row>
    <row r="1202" spans="1:16" x14ac:dyDescent="0.25">
      <c r="A1202" t="s">
        <v>23690</v>
      </c>
      <c r="B1202" t="s">
        <v>2219</v>
      </c>
      <c r="C1202" t="s">
        <v>82</v>
      </c>
      <c r="D1202" t="str">
        <f>"3489"</f>
        <v>3489</v>
      </c>
      <c r="E1202" t="s">
        <v>2221</v>
      </c>
      <c r="F1202" t="s">
        <v>0</v>
      </c>
      <c r="G1202" t="s">
        <v>16221</v>
      </c>
      <c r="H1202" t="s">
        <v>47126</v>
      </c>
      <c r="I1202" t="s">
        <v>47127</v>
      </c>
      <c r="J1202" t="s">
        <v>47128</v>
      </c>
      <c r="K1202" t="s">
        <v>47113</v>
      </c>
      <c r="L1202">
        <v>13.87</v>
      </c>
      <c r="M1202">
        <v>30</v>
      </c>
      <c r="N1202">
        <v>0</v>
      </c>
      <c r="O1202">
        <v>30</v>
      </c>
      <c r="P1202">
        <v>0</v>
      </c>
    </row>
    <row r="1203" spans="1:16" x14ac:dyDescent="0.25">
      <c r="A1203" t="s">
        <v>23691</v>
      </c>
      <c r="B1203" t="s">
        <v>2219</v>
      </c>
      <c r="C1203" t="s">
        <v>82</v>
      </c>
      <c r="D1203" t="str">
        <f>"4348"</f>
        <v>4348</v>
      </c>
      <c r="E1203" t="s">
        <v>91</v>
      </c>
      <c r="F1203" t="s">
        <v>5</v>
      </c>
      <c r="G1203" t="s">
        <v>16221</v>
      </c>
      <c r="H1203" t="s">
        <v>47126</v>
      </c>
      <c r="I1203" t="s">
        <v>47127</v>
      </c>
      <c r="J1203" t="s">
        <v>47128</v>
      </c>
      <c r="K1203" t="s">
        <v>47113</v>
      </c>
      <c r="L1203">
        <v>13.87</v>
      </c>
      <c r="M1203">
        <v>30</v>
      </c>
      <c r="N1203">
        <v>0</v>
      </c>
      <c r="O1203">
        <v>30</v>
      </c>
      <c r="P1203">
        <v>0</v>
      </c>
    </row>
    <row r="1204" spans="1:16" x14ac:dyDescent="0.25">
      <c r="A1204" t="s">
        <v>23692</v>
      </c>
      <c r="B1204" t="s">
        <v>2219</v>
      </c>
      <c r="C1204" t="s">
        <v>82</v>
      </c>
      <c r="D1204" t="str">
        <f>"4643"</f>
        <v>4643</v>
      </c>
      <c r="E1204" t="s">
        <v>205</v>
      </c>
      <c r="F1204" t="s">
        <v>5</v>
      </c>
      <c r="G1204" t="s">
        <v>16221</v>
      </c>
      <c r="H1204" t="s">
        <v>47126</v>
      </c>
      <c r="I1204" t="s">
        <v>47127</v>
      </c>
      <c r="J1204" t="s">
        <v>47128</v>
      </c>
      <c r="K1204" t="s">
        <v>47113</v>
      </c>
      <c r="L1204">
        <v>13.87</v>
      </c>
      <c r="M1204">
        <v>30</v>
      </c>
      <c r="N1204">
        <v>0</v>
      </c>
      <c r="O1204">
        <v>30</v>
      </c>
      <c r="P1204">
        <v>0</v>
      </c>
    </row>
    <row r="1205" spans="1:16" x14ac:dyDescent="0.25">
      <c r="A1205" t="s">
        <v>23693</v>
      </c>
      <c r="B1205" t="s">
        <v>2219</v>
      </c>
      <c r="C1205" t="s">
        <v>82</v>
      </c>
      <c r="D1205" t="str">
        <f>"4729"</f>
        <v>4729</v>
      </c>
      <c r="E1205" t="s">
        <v>2222</v>
      </c>
      <c r="F1205" t="s">
        <v>0</v>
      </c>
      <c r="G1205" t="s">
        <v>16221</v>
      </c>
      <c r="H1205" t="s">
        <v>47126</v>
      </c>
      <c r="I1205" t="s">
        <v>47127</v>
      </c>
      <c r="J1205" t="s">
        <v>47128</v>
      </c>
      <c r="K1205" t="s">
        <v>47113</v>
      </c>
      <c r="L1205">
        <v>13.87</v>
      </c>
      <c r="M1205">
        <v>30</v>
      </c>
      <c r="N1205">
        <v>0</v>
      </c>
      <c r="O1205">
        <v>30</v>
      </c>
      <c r="P1205">
        <v>0</v>
      </c>
    </row>
    <row r="1206" spans="1:16" x14ac:dyDescent="0.25">
      <c r="A1206" t="s">
        <v>23694</v>
      </c>
      <c r="B1206" t="s">
        <v>2219</v>
      </c>
      <c r="C1206" t="s">
        <v>82</v>
      </c>
      <c r="D1206" t="str">
        <f>"4730"</f>
        <v>4730</v>
      </c>
      <c r="E1206" t="s">
        <v>461</v>
      </c>
      <c r="F1206" t="s">
        <v>0</v>
      </c>
      <c r="G1206" t="s">
        <v>16221</v>
      </c>
      <c r="H1206" t="s">
        <v>47126</v>
      </c>
      <c r="I1206" t="s">
        <v>47127</v>
      </c>
      <c r="J1206" t="s">
        <v>47128</v>
      </c>
      <c r="K1206" t="s">
        <v>47113</v>
      </c>
      <c r="L1206">
        <v>13.87</v>
      </c>
      <c r="M1206">
        <v>30</v>
      </c>
      <c r="N1206">
        <v>0</v>
      </c>
      <c r="O1206">
        <v>30</v>
      </c>
      <c r="P1206">
        <v>0</v>
      </c>
    </row>
    <row r="1207" spans="1:16" x14ac:dyDescent="0.25">
      <c r="A1207" t="s">
        <v>23695</v>
      </c>
      <c r="B1207" t="s">
        <v>2219</v>
      </c>
      <c r="C1207" t="s">
        <v>82</v>
      </c>
      <c r="D1207" t="str">
        <f>"5342"</f>
        <v>5342</v>
      </c>
      <c r="E1207" t="s">
        <v>77</v>
      </c>
      <c r="F1207" t="s">
        <v>5</v>
      </c>
      <c r="G1207" t="s">
        <v>16221</v>
      </c>
      <c r="H1207" t="s">
        <v>47126</v>
      </c>
      <c r="I1207" t="s">
        <v>47127</v>
      </c>
      <c r="J1207" t="s">
        <v>47128</v>
      </c>
      <c r="K1207" t="s">
        <v>47113</v>
      </c>
      <c r="L1207">
        <v>13.87</v>
      </c>
      <c r="M1207">
        <v>30</v>
      </c>
      <c r="N1207">
        <v>0</v>
      </c>
      <c r="O1207">
        <v>30</v>
      </c>
      <c r="P1207">
        <v>0</v>
      </c>
    </row>
    <row r="1208" spans="1:16" x14ac:dyDescent="0.25">
      <c r="A1208" t="s">
        <v>23696</v>
      </c>
      <c r="B1208" t="s">
        <v>2223</v>
      </c>
      <c r="C1208" t="s">
        <v>2224</v>
      </c>
      <c r="D1208" t="str">
        <f>"1001"</f>
        <v>1001</v>
      </c>
      <c r="E1208" t="s">
        <v>42</v>
      </c>
      <c r="F1208" t="s">
        <v>5</v>
      </c>
      <c r="G1208" t="s">
        <v>16221</v>
      </c>
      <c r="H1208" t="s">
        <v>47126</v>
      </c>
      <c r="I1208" t="s">
        <v>47127</v>
      </c>
      <c r="J1208" t="s">
        <v>47128</v>
      </c>
      <c r="K1208" t="s">
        <v>47113</v>
      </c>
      <c r="L1208">
        <v>13.23</v>
      </c>
      <c r="M1208">
        <v>31</v>
      </c>
      <c r="N1208">
        <v>0</v>
      </c>
      <c r="O1208">
        <v>31</v>
      </c>
      <c r="P1208">
        <v>0</v>
      </c>
    </row>
    <row r="1209" spans="1:16" x14ac:dyDescent="0.25">
      <c r="A1209" t="s">
        <v>23697</v>
      </c>
      <c r="B1209" t="s">
        <v>2223</v>
      </c>
      <c r="C1209" t="s">
        <v>2224</v>
      </c>
      <c r="D1209" t="str">
        <f>"1299"</f>
        <v>1299</v>
      </c>
      <c r="E1209" t="s">
        <v>73</v>
      </c>
      <c r="F1209" t="s">
        <v>5</v>
      </c>
      <c r="G1209" t="s">
        <v>16221</v>
      </c>
      <c r="H1209" t="s">
        <v>47126</v>
      </c>
      <c r="I1209" t="s">
        <v>47127</v>
      </c>
      <c r="J1209" t="s">
        <v>47128</v>
      </c>
      <c r="K1209" t="s">
        <v>47113</v>
      </c>
      <c r="L1209">
        <v>13.23</v>
      </c>
      <c r="M1209">
        <v>31</v>
      </c>
      <c r="N1209">
        <v>0</v>
      </c>
      <c r="O1209">
        <v>31</v>
      </c>
      <c r="P1209">
        <v>0</v>
      </c>
    </row>
    <row r="1210" spans="1:16" x14ac:dyDescent="0.25">
      <c r="A1210" t="s">
        <v>23698</v>
      </c>
      <c r="B1210" t="s">
        <v>2223</v>
      </c>
      <c r="C1210" t="s">
        <v>2224</v>
      </c>
      <c r="D1210" t="str">
        <f>"1700"</f>
        <v>1700</v>
      </c>
      <c r="E1210" t="s">
        <v>60</v>
      </c>
      <c r="F1210" t="s">
        <v>5</v>
      </c>
      <c r="G1210" t="s">
        <v>16221</v>
      </c>
      <c r="H1210" t="s">
        <v>47126</v>
      </c>
      <c r="I1210" t="s">
        <v>47127</v>
      </c>
      <c r="J1210" t="s">
        <v>47128</v>
      </c>
      <c r="K1210" t="s">
        <v>47113</v>
      </c>
      <c r="L1210">
        <v>13.23</v>
      </c>
      <c r="M1210">
        <v>31</v>
      </c>
      <c r="N1210">
        <v>0</v>
      </c>
      <c r="O1210">
        <v>31</v>
      </c>
      <c r="P1210">
        <v>0</v>
      </c>
    </row>
    <row r="1211" spans="1:16" x14ac:dyDescent="0.25">
      <c r="A1211" t="s">
        <v>23699</v>
      </c>
      <c r="B1211" t="s">
        <v>2223</v>
      </c>
      <c r="C1211" t="s">
        <v>2224</v>
      </c>
      <c r="D1211" t="str">
        <f>"2166"</f>
        <v>2166</v>
      </c>
      <c r="E1211" t="s">
        <v>80</v>
      </c>
      <c r="F1211" t="s">
        <v>5</v>
      </c>
      <c r="G1211" t="s">
        <v>16221</v>
      </c>
      <c r="H1211" t="s">
        <v>47126</v>
      </c>
      <c r="I1211" t="s">
        <v>47127</v>
      </c>
      <c r="J1211" t="s">
        <v>47128</v>
      </c>
      <c r="K1211" t="s">
        <v>47113</v>
      </c>
      <c r="L1211">
        <v>13.23</v>
      </c>
      <c r="M1211">
        <v>31</v>
      </c>
      <c r="N1211">
        <v>0</v>
      </c>
      <c r="O1211">
        <v>31</v>
      </c>
      <c r="P1211">
        <v>0</v>
      </c>
    </row>
    <row r="1212" spans="1:16" x14ac:dyDescent="0.25">
      <c r="A1212" t="s">
        <v>23700</v>
      </c>
      <c r="B1212" t="s">
        <v>2223</v>
      </c>
      <c r="C1212" t="s">
        <v>2224</v>
      </c>
      <c r="D1212" t="str">
        <f>"3449"</f>
        <v>3449</v>
      </c>
      <c r="E1212" t="s">
        <v>90</v>
      </c>
      <c r="F1212" t="s">
        <v>5</v>
      </c>
      <c r="G1212" t="s">
        <v>16221</v>
      </c>
      <c r="H1212" t="s">
        <v>47126</v>
      </c>
      <c r="I1212" t="s">
        <v>47127</v>
      </c>
      <c r="J1212" t="s">
        <v>47128</v>
      </c>
      <c r="K1212" t="s">
        <v>47113</v>
      </c>
      <c r="L1212">
        <v>13.23</v>
      </c>
      <c r="M1212">
        <v>31</v>
      </c>
      <c r="N1212">
        <v>0</v>
      </c>
      <c r="O1212">
        <v>31</v>
      </c>
      <c r="P1212">
        <v>0</v>
      </c>
    </row>
    <row r="1213" spans="1:16" x14ac:dyDescent="0.25">
      <c r="A1213" t="s">
        <v>23701</v>
      </c>
      <c r="B1213" t="s">
        <v>2223</v>
      </c>
      <c r="C1213" t="s">
        <v>2224</v>
      </c>
      <c r="D1213" t="str">
        <f>"4348"</f>
        <v>4348</v>
      </c>
      <c r="E1213" t="s">
        <v>91</v>
      </c>
      <c r="F1213" t="s">
        <v>5</v>
      </c>
      <c r="G1213" t="s">
        <v>16221</v>
      </c>
      <c r="H1213" t="s">
        <v>47126</v>
      </c>
      <c r="I1213" t="s">
        <v>47127</v>
      </c>
      <c r="J1213" t="s">
        <v>47128</v>
      </c>
      <c r="K1213" t="s">
        <v>47113</v>
      </c>
      <c r="L1213">
        <v>13.23</v>
      </c>
      <c r="M1213">
        <v>31</v>
      </c>
      <c r="N1213">
        <v>0</v>
      </c>
      <c r="O1213">
        <v>31</v>
      </c>
      <c r="P1213">
        <v>0</v>
      </c>
    </row>
    <row r="1214" spans="1:16" x14ac:dyDescent="0.25">
      <c r="A1214" t="s">
        <v>23702</v>
      </c>
      <c r="B1214" t="s">
        <v>2223</v>
      </c>
      <c r="C1214" t="s">
        <v>2224</v>
      </c>
      <c r="D1214" t="str">
        <f>"4643"</f>
        <v>4643</v>
      </c>
      <c r="E1214" t="s">
        <v>205</v>
      </c>
      <c r="F1214" t="s">
        <v>5</v>
      </c>
      <c r="G1214" t="s">
        <v>16221</v>
      </c>
      <c r="H1214" t="s">
        <v>47126</v>
      </c>
      <c r="I1214" t="s">
        <v>47127</v>
      </c>
      <c r="J1214" t="s">
        <v>47128</v>
      </c>
      <c r="K1214" t="s">
        <v>47113</v>
      </c>
      <c r="L1214">
        <v>13.23</v>
      </c>
      <c r="M1214">
        <v>31</v>
      </c>
      <c r="N1214">
        <v>0</v>
      </c>
      <c r="O1214">
        <v>31</v>
      </c>
      <c r="P1214">
        <v>0</v>
      </c>
    </row>
    <row r="1215" spans="1:16" x14ac:dyDescent="0.25">
      <c r="A1215" t="s">
        <v>23703</v>
      </c>
      <c r="B1215" t="s">
        <v>2223</v>
      </c>
      <c r="C1215" t="s">
        <v>2224</v>
      </c>
      <c r="D1215" t="str">
        <f>"5342"</f>
        <v>5342</v>
      </c>
      <c r="E1215" t="s">
        <v>77</v>
      </c>
      <c r="F1215" t="s">
        <v>5</v>
      </c>
      <c r="G1215" t="s">
        <v>16221</v>
      </c>
      <c r="H1215" t="s">
        <v>47126</v>
      </c>
      <c r="I1215" t="s">
        <v>47127</v>
      </c>
      <c r="J1215" t="s">
        <v>47128</v>
      </c>
      <c r="K1215" t="s">
        <v>47113</v>
      </c>
      <c r="L1215">
        <v>13.23</v>
      </c>
      <c r="M1215">
        <v>31</v>
      </c>
      <c r="N1215">
        <v>0</v>
      </c>
      <c r="O1215">
        <v>31</v>
      </c>
      <c r="P1215">
        <v>0</v>
      </c>
    </row>
    <row r="1216" spans="1:16" x14ac:dyDescent="0.25">
      <c r="A1216" t="s">
        <v>23704</v>
      </c>
      <c r="B1216" t="s">
        <v>2225</v>
      </c>
      <c r="C1216" t="s">
        <v>2216</v>
      </c>
      <c r="D1216" t="str">
        <f>"1001"</f>
        <v>1001</v>
      </c>
      <c r="E1216" t="s">
        <v>42</v>
      </c>
      <c r="F1216" t="s">
        <v>5</v>
      </c>
      <c r="G1216" t="s">
        <v>16221</v>
      </c>
      <c r="H1216" t="s">
        <v>47126</v>
      </c>
      <c r="I1216" t="s">
        <v>47127</v>
      </c>
      <c r="J1216" t="s">
        <v>47128</v>
      </c>
      <c r="K1216" t="s">
        <v>47113</v>
      </c>
      <c r="L1216">
        <v>12.76</v>
      </c>
      <c r="M1216">
        <v>30</v>
      </c>
      <c r="N1216">
        <v>0</v>
      </c>
      <c r="O1216">
        <v>30</v>
      </c>
      <c r="P1216">
        <v>0</v>
      </c>
    </row>
    <row r="1217" spans="1:16" x14ac:dyDescent="0.25">
      <c r="A1217" t="s">
        <v>23705</v>
      </c>
      <c r="B1217" t="s">
        <v>2225</v>
      </c>
      <c r="C1217" t="s">
        <v>2216</v>
      </c>
      <c r="D1217" t="str">
        <f>"1278"</f>
        <v>1278</v>
      </c>
      <c r="E1217" t="s">
        <v>100</v>
      </c>
      <c r="F1217" t="s">
        <v>5</v>
      </c>
      <c r="G1217" t="s">
        <v>16221</v>
      </c>
      <c r="H1217" t="s">
        <v>47126</v>
      </c>
      <c r="I1217" t="s">
        <v>47127</v>
      </c>
      <c r="J1217" t="s">
        <v>47128</v>
      </c>
      <c r="K1217" t="s">
        <v>47113</v>
      </c>
      <c r="L1217">
        <v>12.76</v>
      </c>
      <c r="M1217">
        <v>30</v>
      </c>
      <c r="N1217">
        <v>0</v>
      </c>
      <c r="O1217">
        <v>30</v>
      </c>
      <c r="P1217">
        <v>0</v>
      </c>
    </row>
    <row r="1218" spans="1:16" x14ac:dyDescent="0.25">
      <c r="A1218" t="s">
        <v>23706</v>
      </c>
      <c r="B1218" t="s">
        <v>2225</v>
      </c>
      <c r="C1218" t="s">
        <v>2216</v>
      </c>
      <c r="D1218" t="str">
        <f>"1379"</f>
        <v>1379</v>
      </c>
      <c r="E1218" t="s">
        <v>84</v>
      </c>
      <c r="F1218" t="s">
        <v>5</v>
      </c>
      <c r="G1218" t="s">
        <v>16221</v>
      </c>
      <c r="H1218" t="s">
        <v>47126</v>
      </c>
      <c r="I1218" t="s">
        <v>47127</v>
      </c>
      <c r="J1218" t="s">
        <v>47128</v>
      </c>
      <c r="K1218" t="s">
        <v>47113</v>
      </c>
      <c r="L1218">
        <v>12.76</v>
      </c>
      <c r="M1218">
        <v>30</v>
      </c>
      <c r="N1218">
        <v>0</v>
      </c>
      <c r="O1218">
        <v>30</v>
      </c>
      <c r="P1218">
        <v>0</v>
      </c>
    </row>
    <row r="1219" spans="1:16" x14ac:dyDescent="0.25">
      <c r="A1219" t="s">
        <v>23707</v>
      </c>
      <c r="B1219" t="s">
        <v>2225</v>
      </c>
      <c r="C1219" t="s">
        <v>2216</v>
      </c>
      <c r="D1219" t="str">
        <f>"1700"</f>
        <v>1700</v>
      </c>
      <c r="E1219" t="s">
        <v>60</v>
      </c>
      <c r="F1219" t="s">
        <v>5</v>
      </c>
      <c r="G1219" t="s">
        <v>16221</v>
      </c>
      <c r="H1219" t="s">
        <v>47126</v>
      </c>
      <c r="I1219" t="s">
        <v>47127</v>
      </c>
      <c r="J1219" t="s">
        <v>47128</v>
      </c>
      <c r="K1219" t="s">
        <v>47113</v>
      </c>
      <c r="L1219">
        <v>12.76</v>
      </c>
      <c r="M1219">
        <v>30</v>
      </c>
      <c r="N1219">
        <v>0</v>
      </c>
      <c r="O1219">
        <v>30</v>
      </c>
      <c r="P1219">
        <v>0</v>
      </c>
    </row>
    <row r="1220" spans="1:16" x14ac:dyDescent="0.25">
      <c r="A1220" t="s">
        <v>23708</v>
      </c>
      <c r="B1220" t="s">
        <v>2225</v>
      </c>
      <c r="C1220" t="s">
        <v>2216</v>
      </c>
      <c r="D1220" t="str">
        <f>"3449"</f>
        <v>3449</v>
      </c>
      <c r="E1220" t="s">
        <v>90</v>
      </c>
      <c r="F1220" t="s">
        <v>5</v>
      </c>
      <c r="G1220" t="s">
        <v>16221</v>
      </c>
      <c r="H1220" t="s">
        <v>47126</v>
      </c>
      <c r="I1220" t="s">
        <v>47127</v>
      </c>
      <c r="J1220" t="s">
        <v>47128</v>
      </c>
      <c r="K1220" t="s">
        <v>47113</v>
      </c>
      <c r="L1220">
        <v>12.76</v>
      </c>
      <c r="M1220">
        <v>30</v>
      </c>
      <c r="N1220">
        <v>0</v>
      </c>
      <c r="O1220">
        <v>30</v>
      </c>
      <c r="P1220">
        <v>0</v>
      </c>
    </row>
    <row r="1221" spans="1:16" x14ac:dyDescent="0.25">
      <c r="A1221" t="s">
        <v>14749</v>
      </c>
      <c r="B1221" t="s">
        <v>2225</v>
      </c>
      <c r="C1221" t="s">
        <v>2216</v>
      </c>
      <c r="D1221" t="str">
        <f>"4643"</f>
        <v>4643</v>
      </c>
      <c r="E1221" t="s">
        <v>205</v>
      </c>
      <c r="F1221" t="s">
        <v>5</v>
      </c>
      <c r="G1221" t="s">
        <v>16221</v>
      </c>
      <c r="H1221" t="s">
        <v>47126</v>
      </c>
      <c r="I1221" t="s">
        <v>47127</v>
      </c>
      <c r="J1221" t="s">
        <v>47128</v>
      </c>
      <c r="K1221" t="s">
        <v>47113</v>
      </c>
      <c r="L1221">
        <v>12.76</v>
      </c>
      <c r="M1221">
        <v>30</v>
      </c>
      <c r="N1221">
        <v>0</v>
      </c>
      <c r="O1221">
        <v>30</v>
      </c>
      <c r="P1221">
        <v>0</v>
      </c>
    </row>
    <row r="1222" spans="1:16" x14ac:dyDescent="0.25">
      <c r="A1222" t="s">
        <v>23709</v>
      </c>
      <c r="B1222" t="s">
        <v>2225</v>
      </c>
      <c r="C1222" t="s">
        <v>2216</v>
      </c>
      <c r="D1222" t="str">
        <f>"5342"</f>
        <v>5342</v>
      </c>
      <c r="E1222" t="s">
        <v>77</v>
      </c>
      <c r="F1222" t="s">
        <v>5</v>
      </c>
      <c r="G1222" t="s">
        <v>16221</v>
      </c>
      <c r="H1222" t="s">
        <v>47126</v>
      </c>
      <c r="I1222" t="s">
        <v>47127</v>
      </c>
      <c r="J1222" t="s">
        <v>47128</v>
      </c>
      <c r="K1222" t="s">
        <v>47113</v>
      </c>
      <c r="L1222">
        <v>12.76</v>
      </c>
      <c r="M1222">
        <v>30</v>
      </c>
      <c r="N1222">
        <v>0</v>
      </c>
      <c r="O1222">
        <v>30</v>
      </c>
      <c r="P1222">
        <v>0</v>
      </c>
    </row>
    <row r="1223" spans="1:16" x14ac:dyDescent="0.25">
      <c r="A1223" t="s">
        <v>23710</v>
      </c>
      <c r="B1223" t="s">
        <v>2225</v>
      </c>
      <c r="C1223" t="s">
        <v>2216</v>
      </c>
      <c r="D1223" t="str">
        <f>"6064"</f>
        <v>6064</v>
      </c>
      <c r="E1223" t="s">
        <v>87</v>
      </c>
      <c r="F1223" t="s">
        <v>5</v>
      </c>
      <c r="G1223" t="s">
        <v>16221</v>
      </c>
      <c r="H1223" t="s">
        <v>47126</v>
      </c>
      <c r="I1223" t="s">
        <v>47127</v>
      </c>
      <c r="J1223" t="s">
        <v>47128</v>
      </c>
      <c r="K1223" t="s">
        <v>47113</v>
      </c>
      <c r="L1223">
        <v>12.76</v>
      </c>
      <c r="M1223">
        <v>30</v>
      </c>
      <c r="N1223">
        <v>0</v>
      </c>
      <c r="O1223">
        <v>30</v>
      </c>
      <c r="P1223">
        <v>0</v>
      </c>
    </row>
    <row r="1224" spans="1:16" x14ac:dyDescent="0.25">
      <c r="A1224" t="s">
        <v>14750</v>
      </c>
      <c r="B1224" t="s">
        <v>2226</v>
      </c>
      <c r="C1224" t="s">
        <v>2227</v>
      </c>
      <c r="D1224" t="str">
        <f>"1001"</f>
        <v>1001</v>
      </c>
      <c r="E1224" t="s">
        <v>42</v>
      </c>
      <c r="F1224" t="s">
        <v>5</v>
      </c>
      <c r="G1224" t="s">
        <v>16221</v>
      </c>
      <c r="H1224" t="s">
        <v>47126</v>
      </c>
      <c r="I1224" t="s">
        <v>47127</v>
      </c>
      <c r="J1224" t="s">
        <v>47128</v>
      </c>
      <c r="K1224" t="s">
        <v>47113</v>
      </c>
      <c r="L1224">
        <v>15.28</v>
      </c>
      <c r="M1224">
        <v>32</v>
      </c>
      <c r="N1224">
        <v>0</v>
      </c>
      <c r="O1224">
        <v>32</v>
      </c>
      <c r="P1224">
        <v>0</v>
      </c>
    </row>
    <row r="1225" spans="1:16" x14ac:dyDescent="0.25">
      <c r="A1225" t="s">
        <v>23711</v>
      </c>
      <c r="B1225" t="s">
        <v>2226</v>
      </c>
      <c r="C1225" t="s">
        <v>2227</v>
      </c>
      <c r="D1225" t="str">
        <f>"1278"</f>
        <v>1278</v>
      </c>
      <c r="E1225" t="s">
        <v>100</v>
      </c>
      <c r="F1225" t="s">
        <v>5</v>
      </c>
      <c r="G1225" t="s">
        <v>16221</v>
      </c>
      <c r="H1225" t="s">
        <v>47126</v>
      </c>
      <c r="I1225" t="s">
        <v>47127</v>
      </c>
      <c r="J1225" t="s">
        <v>47128</v>
      </c>
      <c r="K1225" t="s">
        <v>47113</v>
      </c>
      <c r="L1225">
        <v>14.48</v>
      </c>
      <c r="M1225">
        <v>30</v>
      </c>
      <c r="N1225">
        <v>0</v>
      </c>
      <c r="O1225">
        <v>30</v>
      </c>
      <c r="P1225">
        <v>0</v>
      </c>
    </row>
    <row r="1226" spans="1:16" x14ac:dyDescent="0.25">
      <c r="A1226" t="s">
        <v>23712</v>
      </c>
      <c r="B1226" t="s">
        <v>2226</v>
      </c>
      <c r="C1226" t="s">
        <v>2227</v>
      </c>
      <c r="D1226" t="str">
        <f>"1299"</f>
        <v>1299</v>
      </c>
      <c r="E1226" t="s">
        <v>73</v>
      </c>
      <c r="F1226" t="s">
        <v>5</v>
      </c>
      <c r="G1226" t="s">
        <v>16221</v>
      </c>
      <c r="H1226" t="s">
        <v>47126</v>
      </c>
      <c r="I1226" t="s">
        <v>47127</v>
      </c>
      <c r="J1226" t="s">
        <v>47128</v>
      </c>
      <c r="K1226" t="s">
        <v>47113</v>
      </c>
      <c r="L1226">
        <v>14.48</v>
      </c>
      <c r="M1226">
        <v>30</v>
      </c>
      <c r="N1226">
        <v>0</v>
      </c>
      <c r="O1226">
        <v>30</v>
      </c>
      <c r="P1226">
        <v>0</v>
      </c>
    </row>
    <row r="1227" spans="1:16" x14ac:dyDescent="0.25">
      <c r="A1227" t="s">
        <v>23713</v>
      </c>
      <c r="B1227" t="s">
        <v>2226</v>
      </c>
      <c r="C1227" t="s">
        <v>2227</v>
      </c>
      <c r="D1227" t="str">
        <f>"1700"</f>
        <v>1700</v>
      </c>
      <c r="E1227" t="s">
        <v>60</v>
      </c>
      <c r="F1227" t="s">
        <v>5</v>
      </c>
      <c r="G1227" t="s">
        <v>16221</v>
      </c>
      <c r="H1227" t="s">
        <v>47126</v>
      </c>
      <c r="I1227" t="s">
        <v>47127</v>
      </c>
      <c r="J1227" t="s">
        <v>47128</v>
      </c>
      <c r="K1227" t="s">
        <v>47113</v>
      </c>
      <c r="L1227">
        <v>16.2</v>
      </c>
      <c r="M1227">
        <v>32</v>
      </c>
      <c r="N1227">
        <v>0</v>
      </c>
      <c r="O1227">
        <v>32</v>
      </c>
      <c r="P1227">
        <v>0</v>
      </c>
    </row>
    <row r="1228" spans="1:16" x14ac:dyDescent="0.25">
      <c r="A1228" t="s">
        <v>23714</v>
      </c>
      <c r="B1228" t="s">
        <v>2226</v>
      </c>
      <c r="C1228" t="s">
        <v>2227</v>
      </c>
      <c r="D1228" t="str">
        <f>"2166"</f>
        <v>2166</v>
      </c>
      <c r="E1228" t="s">
        <v>80</v>
      </c>
      <c r="F1228" t="s">
        <v>5</v>
      </c>
      <c r="G1228" t="s">
        <v>16221</v>
      </c>
      <c r="H1228" t="s">
        <v>47126</v>
      </c>
      <c r="I1228" t="s">
        <v>47127</v>
      </c>
      <c r="J1228" t="s">
        <v>47128</v>
      </c>
      <c r="K1228" t="s">
        <v>47113</v>
      </c>
      <c r="L1228">
        <v>14.48</v>
      </c>
      <c r="M1228">
        <v>30</v>
      </c>
      <c r="N1228">
        <v>0</v>
      </c>
      <c r="O1228">
        <v>30</v>
      </c>
      <c r="P1228">
        <v>0</v>
      </c>
    </row>
    <row r="1229" spans="1:16" x14ac:dyDescent="0.25">
      <c r="A1229" t="s">
        <v>23715</v>
      </c>
      <c r="B1229" t="s">
        <v>2226</v>
      </c>
      <c r="C1229" t="s">
        <v>2227</v>
      </c>
      <c r="D1229" t="str">
        <f>"3449"</f>
        <v>3449</v>
      </c>
      <c r="E1229" t="s">
        <v>90</v>
      </c>
      <c r="F1229" t="s">
        <v>5</v>
      </c>
      <c r="G1229" t="s">
        <v>16221</v>
      </c>
      <c r="H1229" t="s">
        <v>47126</v>
      </c>
      <c r="I1229" t="s">
        <v>47127</v>
      </c>
      <c r="J1229" t="s">
        <v>47128</v>
      </c>
      <c r="K1229" t="s">
        <v>47113</v>
      </c>
      <c r="L1229">
        <v>14.48</v>
      </c>
      <c r="M1229">
        <v>32</v>
      </c>
      <c r="N1229">
        <v>0</v>
      </c>
      <c r="O1229">
        <v>32</v>
      </c>
      <c r="P1229">
        <v>0</v>
      </c>
    </row>
    <row r="1230" spans="1:16" x14ac:dyDescent="0.25">
      <c r="A1230" t="s">
        <v>23716</v>
      </c>
      <c r="B1230" t="s">
        <v>2226</v>
      </c>
      <c r="C1230" t="s">
        <v>2227</v>
      </c>
      <c r="D1230" t="str">
        <f>"4348"</f>
        <v>4348</v>
      </c>
      <c r="E1230" t="s">
        <v>91</v>
      </c>
      <c r="F1230" t="s">
        <v>5</v>
      </c>
      <c r="G1230" t="s">
        <v>16221</v>
      </c>
      <c r="H1230" t="s">
        <v>47126</v>
      </c>
      <c r="I1230" t="s">
        <v>47127</v>
      </c>
      <c r="J1230" t="s">
        <v>47128</v>
      </c>
      <c r="K1230" t="s">
        <v>47113</v>
      </c>
      <c r="L1230">
        <v>14.48</v>
      </c>
      <c r="M1230">
        <v>32</v>
      </c>
      <c r="N1230">
        <v>0</v>
      </c>
      <c r="O1230">
        <v>32</v>
      </c>
      <c r="P1230">
        <v>0</v>
      </c>
    </row>
    <row r="1231" spans="1:16" x14ac:dyDescent="0.25">
      <c r="A1231" t="s">
        <v>23717</v>
      </c>
      <c r="B1231" t="s">
        <v>2226</v>
      </c>
      <c r="C1231" t="s">
        <v>2227</v>
      </c>
      <c r="D1231" t="str">
        <f>"5342"</f>
        <v>5342</v>
      </c>
      <c r="E1231" t="s">
        <v>77</v>
      </c>
      <c r="F1231" t="s">
        <v>5</v>
      </c>
      <c r="G1231" t="s">
        <v>16221</v>
      </c>
      <c r="H1231" t="s">
        <v>47126</v>
      </c>
      <c r="I1231" t="s">
        <v>47127</v>
      </c>
      <c r="J1231" t="s">
        <v>47128</v>
      </c>
      <c r="K1231" t="s">
        <v>47113</v>
      </c>
      <c r="L1231">
        <v>14.48</v>
      </c>
      <c r="M1231">
        <v>32</v>
      </c>
      <c r="N1231">
        <v>0</v>
      </c>
      <c r="O1231">
        <v>32</v>
      </c>
      <c r="P1231">
        <v>0</v>
      </c>
    </row>
    <row r="1232" spans="1:16" x14ac:dyDescent="0.25">
      <c r="A1232" t="s">
        <v>14751</v>
      </c>
      <c r="B1232" t="s">
        <v>2228</v>
      </c>
      <c r="C1232" t="s">
        <v>2216</v>
      </c>
      <c r="D1232" t="str">
        <f>"1001"</f>
        <v>1001</v>
      </c>
      <c r="E1232" t="s">
        <v>42</v>
      </c>
      <c r="F1232" t="s">
        <v>5</v>
      </c>
      <c r="G1232" t="s">
        <v>16221</v>
      </c>
      <c r="H1232" t="s">
        <v>47126</v>
      </c>
      <c r="I1232" t="s">
        <v>47127</v>
      </c>
      <c r="J1232" t="s">
        <v>47128</v>
      </c>
      <c r="K1232" t="s">
        <v>47113</v>
      </c>
      <c r="L1232">
        <v>12.54</v>
      </c>
      <c r="M1232">
        <v>32</v>
      </c>
      <c r="N1232">
        <v>0</v>
      </c>
      <c r="O1232">
        <v>32</v>
      </c>
      <c r="P1232">
        <v>0</v>
      </c>
    </row>
    <row r="1233" spans="1:16" x14ac:dyDescent="0.25">
      <c r="A1233" t="s">
        <v>14752</v>
      </c>
      <c r="B1233" t="s">
        <v>2228</v>
      </c>
      <c r="C1233" t="s">
        <v>2216</v>
      </c>
      <c r="D1233" t="str">
        <f>"1379"</f>
        <v>1379</v>
      </c>
      <c r="E1233" t="s">
        <v>84</v>
      </c>
      <c r="F1233" t="s">
        <v>5</v>
      </c>
      <c r="G1233" t="s">
        <v>16221</v>
      </c>
      <c r="H1233" t="s">
        <v>47126</v>
      </c>
      <c r="I1233" t="s">
        <v>47127</v>
      </c>
      <c r="J1233" t="s">
        <v>47128</v>
      </c>
      <c r="K1233" t="s">
        <v>47113</v>
      </c>
      <c r="L1233">
        <v>12.54</v>
      </c>
      <c r="M1233">
        <v>32</v>
      </c>
      <c r="N1233">
        <v>0</v>
      </c>
      <c r="O1233">
        <v>32</v>
      </c>
      <c r="P1233">
        <v>0</v>
      </c>
    </row>
    <row r="1234" spans="1:16" x14ac:dyDescent="0.25">
      <c r="A1234" t="s">
        <v>23718</v>
      </c>
      <c r="B1234" t="s">
        <v>2228</v>
      </c>
      <c r="C1234" t="s">
        <v>2216</v>
      </c>
      <c r="D1234" t="str">
        <f>"1700"</f>
        <v>1700</v>
      </c>
      <c r="E1234" t="s">
        <v>60</v>
      </c>
      <c r="F1234" t="s">
        <v>5</v>
      </c>
      <c r="G1234" t="s">
        <v>16221</v>
      </c>
      <c r="H1234" t="s">
        <v>47126</v>
      </c>
      <c r="I1234" t="s">
        <v>47127</v>
      </c>
      <c r="J1234" t="s">
        <v>47128</v>
      </c>
      <c r="K1234" t="s">
        <v>47113</v>
      </c>
      <c r="L1234">
        <v>12.54</v>
      </c>
      <c r="M1234">
        <v>32</v>
      </c>
      <c r="N1234">
        <v>0</v>
      </c>
      <c r="O1234">
        <v>32</v>
      </c>
      <c r="P1234">
        <v>0</v>
      </c>
    </row>
    <row r="1235" spans="1:16" x14ac:dyDescent="0.25">
      <c r="A1235" t="s">
        <v>23719</v>
      </c>
      <c r="B1235" t="s">
        <v>2228</v>
      </c>
      <c r="C1235" t="s">
        <v>2216</v>
      </c>
      <c r="D1235" t="str">
        <f>"3449"</f>
        <v>3449</v>
      </c>
      <c r="E1235" t="s">
        <v>90</v>
      </c>
      <c r="F1235" t="s">
        <v>5</v>
      </c>
      <c r="G1235" t="s">
        <v>16221</v>
      </c>
      <c r="H1235" t="s">
        <v>47126</v>
      </c>
      <c r="I1235" t="s">
        <v>47127</v>
      </c>
      <c r="J1235" t="s">
        <v>47128</v>
      </c>
      <c r="K1235" t="s">
        <v>47113</v>
      </c>
      <c r="L1235">
        <v>12.54</v>
      </c>
      <c r="M1235">
        <v>32</v>
      </c>
      <c r="N1235">
        <v>0</v>
      </c>
      <c r="O1235">
        <v>32</v>
      </c>
      <c r="P1235">
        <v>0</v>
      </c>
    </row>
    <row r="1236" spans="1:16" x14ac:dyDescent="0.25">
      <c r="A1236" t="s">
        <v>23720</v>
      </c>
      <c r="B1236" t="s">
        <v>2228</v>
      </c>
      <c r="C1236" t="s">
        <v>2216</v>
      </c>
      <c r="D1236" t="str">
        <f>"4643"</f>
        <v>4643</v>
      </c>
      <c r="E1236" t="s">
        <v>205</v>
      </c>
      <c r="F1236" t="s">
        <v>5</v>
      </c>
      <c r="G1236" t="s">
        <v>16221</v>
      </c>
      <c r="H1236" t="s">
        <v>47126</v>
      </c>
      <c r="I1236" t="s">
        <v>47127</v>
      </c>
      <c r="J1236" t="s">
        <v>47128</v>
      </c>
      <c r="K1236" t="s">
        <v>47113</v>
      </c>
      <c r="L1236">
        <v>12.54</v>
      </c>
      <c r="M1236">
        <v>32</v>
      </c>
      <c r="N1236">
        <v>0</v>
      </c>
      <c r="O1236">
        <v>32</v>
      </c>
      <c r="P1236">
        <v>0</v>
      </c>
    </row>
    <row r="1237" spans="1:16" x14ac:dyDescent="0.25">
      <c r="A1237" t="s">
        <v>23721</v>
      </c>
      <c r="B1237" t="s">
        <v>2228</v>
      </c>
      <c r="C1237" t="s">
        <v>2216</v>
      </c>
      <c r="D1237" t="str">
        <f>"5342"</f>
        <v>5342</v>
      </c>
      <c r="E1237" t="s">
        <v>77</v>
      </c>
      <c r="F1237" t="s">
        <v>5</v>
      </c>
      <c r="G1237" t="s">
        <v>16221</v>
      </c>
      <c r="H1237" t="s">
        <v>47126</v>
      </c>
      <c r="I1237" t="s">
        <v>47127</v>
      </c>
      <c r="J1237" t="s">
        <v>47128</v>
      </c>
      <c r="K1237" t="s">
        <v>47113</v>
      </c>
      <c r="L1237">
        <v>12.54</v>
      </c>
      <c r="M1237">
        <v>32</v>
      </c>
      <c r="N1237">
        <v>0</v>
      </c>
      <c r="O1237">
        <v>32</v>
      </c>
      <c r="P1237">
        <v>0</v>
      </c>
    </row>
    <row r="1238" spans="1:16" x14ac:dyDescent="0.25">
      <c r="A1238" t="s">
        <v>23722</v>
      </c>
      <c r="B1238" t="s">
        <v>2228</v>
      </c>
      <c r="C1238" t="s">
        <v>2216</v>
      </c>
      <c r="D1238" t="str">
        <f>"6064"</f>
        <v>6064</v>
      </c>
      <c r="E1238" t="s">
        <v>87</v>
      </c>
      <c r="F1238" t="s">
        <v>5</v>
      </c>
      <c r="G1238" t="s">
        <v>16221</v>
      </c>
      <c r="H1238" t="s">
        <v>47126</v>
      </c>
      <c r="I1238" t="s">
        <v>47127</v>
      </c>
      <c r="J1238" t="s">
        <v>47128</v>
      </c>
      <c r="K1238" t="s">
        <v>47113</v>
      </c>
      <c r="L1238">
        <v>12.54</v>
      </c>
      <c r="M1238">
        <v>32</v>
      </c>
      <c r="N1238">
        <v>0</v>
      </c>
      <c r="O1238">
        <v>32</v>
      </c>
      <c r="P1238">
        <v>0</v>
      </c>
    </row>
    <row r="1239" spans="1:16" x14ac:dyDescent="0.25">
      <c r="A1239" t="s">
        <v>23723</v>
      </c>
      <c r="B1239" t="s">
        <v>2229</v>
      </c>
      <c r="C1239" t="s">
        <v>2230</v>
      </c>
      <c r="D1239" t="str">
        <f>"1278"</f>
        <v>1278</v>
      </c>
      <c r="E1239" t="s">
        <v>100</v>
      </c>
      <c r="F1239" t="s">
        <v>5</v>
      </c>
      <c r="G1239" t="s">
        <v>16224</v>
      </c>
      <c r="H1239" t="s">
        <v>47126</v>
      </c>
      <c r="I1239" t="s">
        <v>47127</v>
      </c>
      <c r="J1239" t="s">
        <v>47128</v>
      </c>
      <c r="K1239" t="s">
        <v>47113</v>
      </c>
      <c r="L1239">
        <v>34.380000000000003</v>
      </c>
      <c r="M1239">
        <v>80</v>
      </c>
      <c r="N1239">
        <v>0</v>
      </c>
      <c r="O1239">
        <v>80</v>
      </c>
      <c r="P1239">
        <v>0</v>
      </c>
    </row>
    <row r="1240" spans="1:16" x14ac:dyDescent="0.25">
      <c r="A1240" t="s">
        <v>23724</v>
      </c>
      <c r="B1240" t="s">
        <v>2229</v>
      </c>
      <c r="C1240" t="s">
        <v>2230</v>
      </c>
      <c r="D1240" t="str">
        <f>"1379"</f>
        <v>1379</v>
      </c>
      <c r="E1240" t="s">
        <v>84</v>
      </c>
      <c r="F1240" t="s">
        <v>5</v>
      </c>
      <c r="G1240" t="s">
        <v>16224</v>
      </c>
      <c r="H1240" t="s">
        <v>47126</v>
      </c>
      <c r="I1240" t="s">
        <v>47127</v>
      </c>
      <c r="J1240" t="s">
        <v>47128</v>
      </c>
      <c r="K1240" t="s">
        <v>47113</v>
      </c>
      <c r="L1240">
        <v>34.380000000000003</v>
      </c>
      <c r="M1240">
        <v>80</v>
      </c>
      <c r="N1240">
        <v>0</v>
      </c>
      <c r="O1240">
        <v>80</v>
      </c>
      <c r="P1240">
        <v>0</v>
      </c>
    </row>
    <row r="1241" spans="1:16" x14ac:dyDescent="0.25">
      <c r="A1241" t="s">
        <v>23725</v>
      </c>
      <c r="B1241" t="s">
        <v>2229</v>
      </c>
      <c r="C1241" t="s">
        <v>2230</v>
      </c>
      <c r="D1241" t="str">
        <f>"2166"</f>
        <v>2166</v>
      </c>
      <c r="E1241" t="s">
        <v>80</v>
      </c>
      <c r="F1241" t="s">
        <v>5</v>
      </c>
      <c r="G1241" t="s">
        <v>16224</v>
      </c>
      <c r="H1241" t="s">
        <v>47126</v>
      </c>
      <c r="I1241" t="s">
        <v>47127</v>
      </c>
      <c r="J1241" t="s">
        <v>47128</v>
      </c>
      <c r="K1241" t="s">
        <v>47113</v>
      </c>
      <c r="L1241">
        <v>34.380000000000003</v>
      </c>
      <c r="M1241">
        <v>80</v>
      </c>
      <c r="N1241">
        <v>0</v>
      </c>
      <c r="O1241">
        <v>80</v>
      </c>
      <c r="P1241">
        <v>0</v>
      </c>
    </row>
    <row r="1242" spans="1:16" x14ac:dyDescent="0.25">
      <c r="A1242" t="s">
        <v>23726</v>
      </c>
      <c r="B1242" t="s">
        <v>2229</v>
      </c>
      <c r="C1242" t="s">
        <v>2230</v>
      </c>
      <c r="D1242" t="str">
        <f>"3449"</f>
        <v>3449</v>
      </c>
      <c r="E1242" t="s">
        <v>90</v>
      </c>
      <c r="F1242" t="s">
        <v>5</v>
      </c>
      <c r="G1242" t="s">
        <v>16224</v>
      </c>
      <c r="H1242" t="s">
        <v>47126</v>
      </c>
      <c r="I1242" t="s">
        <v>47127</v>
      </c>
      <c r="J1242" t="s">
        <v>47128</v>
      </c>
      <c r="K1242" t="s">
        <v>47113</v>
      </c>
      <c r="L1242">
        <v>34.380000000000003</v>
      </c>
      <c r="M1242">
        <v>80</v>
      </c>
      <c r="N1242">
        <v>0</v>
      </c>
      <c r="O1242">
        <v>80</v>
      </c>
      <c r="P1242">
        <v>0</v>
      </c>
    </row>
    <row r="1243" spans="1:16" x14ac:dyDescent="0.25">
      <c r="A1243" t="s">
        <v>23727</v>
      </c>
      <c r="B1243" t="s">
        <v>2229</v>
      </c>
      <c r="C1243" t="s">
        <v>2230</v>
      </c>
      <c r="D1243" t="str">
        <f>"4643"</f>
        <v>4643</v>
      </c>
      <c r="E1243" t="s">
        <v>205</v>
      </c>
      <c r="F1243" t="s">
        <v>5</v>
      </c>
      <c r="G1243" t="s">
        <v>16224</v>
      </c>
      <c r="H1243" t="s">
        <v>47126</v>
      </c>
      <c r="I1243" t="s">
        <v>47127</v>
      </c>
      <c r="J1243" t="s">
        <v>47128</v>
      </c>
      <c r="K1243" t="s">
        <v>47113</v>
      </c>
      <c r="L1243">
        <v>34.380000000000003</v>
      </c>
      <c r="M1243">
        <v>80</v>
      </c>
      <c r="N1243">
        <v>0</v>
      </c>
      <c r="O1243">
        <v>80</v>
      </c>
      <c r="P1243">
        <v>0</v>
      </c>
    </row>
    <row r="1244" spans="1:16" x14ac:dyDescent="0.25">
      <c r="A1244" t="s">
        <v>23728</v>
      </c>
      <c r="B1244" t="s">
        <v>2229</v>
      </c>
      <c r="C1244" t="s">
        <v>2230</v>
      </c>
      <c r="D1244" t="str">
        <f>"5342"</f>
        <v>5342</v>
      </c>
      <c r="E1244" t="s">
        <v>77</v>
      </c>
      <c r="F1244" t="s">
        <v>5</v>
      </c>
      <c r="G1244" t="s">
        <v>16224</v>
      </c>
      <c r="H1244" t="s">
        <v>47126</v>
      </c>
      <c r="I1244" t="s">
        <v>47127</v>
      </c>
      <c r="J1244" t="s">
        <v>47128</v>
      </c>
      <c r="K1244" t="s">
        <v>47113</v>
      </c>
      <c r="L1244">
        <v>34.380000000000003</v>
      </c>
      <c r="M1244">
        <v>80</v>
      </c>
      <c r="N1244">
        <v>0</v>
      </c>
      <c r="O1244">
        <v>80</v>
      </c>
      <c r="P1244">
        <v>0</v>
      </c>
    </row>
    <row r="1245" spans="1:16" x14ac:dyDescent="0.25">
      <c r="A1245" t="s">
        <v>23729</v>
      </c>
      <c r="B1245" t="s">
        <v>2231</v>
      </c>
      <c r="C1245" t="s">
        <v>2230</v>
      </c>
      <c r="D1245" t="str">
        <f>"2166"</f>
        <v>2166</v>
      </c>
      <c r="E1245" t="s">
        <v>80</v>
      </c>
      <c r="F1245" t="s">
        <v>5</v>
      </c>
      <c r="G1245" t="s">
        <v>16224</v>
      </c>
      <c r="H1245" t="s">
        <v>47126</v>
      </c>
      <c r="I1245" t="s">
        <v>47127</v>
      </c>
      <c r="J1245" t="s">
        <v>47128</v>
      </c>
      <c r="K1245" t="s">
        <v>47113</v>
      </c>
      <c r="L1245">
        <v>34.380000000000003</v>
      </c>
      <c r="M1245">
        <v>80</v>
      </c>
      <c r="N1245">
        <v>0</v>
      </c>
      <c r="O1245">
        <v>80</v>
      </c>
      <c r="P1245">
        <v>0</v>
      </c>
    </row>
    <row r="1246" spans="1:16" x14ac:dyDescent="0.25">
      <c r="A1246" t="s">
        <v>23730</v>
      </c>
      <c r="B1246" t="s">
        <v>2231</v>
      </c>
      <c r="C1246" t="s">
        <v>2230</v>
      </c>
      <c r="D1246" t="str">
        <f>"3449"</f>
        <v>3449</v>
      </c>
      <c r="E1246" t="s">
        <v>90</v>
      </c>
      <c r="F1246" t="s">
        <v>5</v>
      </c>
      <c r="G1246" t="s">
        <v>16224</v>
      </c>
      <c r="H1246" t="s">
        <v>47126</v>
      </c>
      <c r="I1246" t="s">
        <v>47127</v>
      </c>
      <c r="J1246" t="s">
        <v>47128</v>
      </c>
      <c r="K1246" t="s">
        <v>47113</v>
      </c>
      <c r="L1246">
        <v>34.380000000000003</v>
      </c>
      <c r="M1246">
        <v>80</v>
      </c>
      <c r="N1246">
        <v>0</v>
      </c>
      <c r="O1246">
        <v>80</v>
      </c>
      <c r="P1246">
        <v>0</v>
      </c>
    </row>
    <row r="1247" spans="1:16" x14ac:dyDescent="0.25">
      <c r="A1247" t="s">
        <v>23731</v>
      </c>
      <c r="B1247" t="s">
        <v>2231</v>
      </c>
      <c r="C1247" t="s">
        <v>2230</v>
      </c>
      <c r="D1247" t="str">
        <f>"4348"</f>
        <v>4348</v>
      </c>
      <c r="E1247" t="s">
        <v>91</v>
      </c>
      <c r="F1247" t="s">
        <v>5</v>
      </c>
      <c r="G1247" t="s">
        <v>16224</v>
      </c>
      <c r="H1247" t="s">
        <v>47126</v>
      </c>
      <c r="I1247" t="s">
        <v>47127</v>
      </c>
      <c r="J1247" t="s">
        <v>47128</v>
      </c>
      <c r="K1247" t="s">
        <v>47113</v>
      </c>
      <c r="L1247">
        <v>34.380000000000003</v>
      </c>
      <c r="M1247">
        <v>80</v>
      </c>
      <c r="N1247">
        <v>0</v>
      </c>
      <c r="O1247">
        <v>80</v>
      </c>
      <c r="P1247">
        <v>0</v>
      </c>
    </row>
    <row r="1248" spans="1:16" x14ac:dyDescent="0.25">
      <c r="A1248" t="s">
        <v>23732</v>
      </c>
      <c r="B1248" t="s">
        <v>2231</v>
      </c>
      <c r="C1248" t="s">
        <v>2230</v>
      </c>
      <c r="D1248" t="str">
        <f>"5342"</f>
        <v>5342</v>
      </c>
      <c r="E1248" t="s">
        <v>77</v>
      </c>
      <c r="F1248" t="s">
        <v>5</v>
      </c>
      <c r="G1248" t="s">
        <v>16224</v>
      </c>
      <c r="H1248" t="s">
        <v>47126</v>
      </c>
      <c r="I1248" t="s">
        <v>47127</v>
      </c>
      <c r="J1248" t="s">
        <v>47128</v>
      </c>
      <c r="K1248" t="s">
        <v>47113</v>
      </c>
      <c r="L1248">
        <v>34.380000000000003</v>
      </c>
      <c r="M1248">
        <v>80</v>
      </c>
      <c r="N1248">
        <v>0</v>
      </c>
      <c r="O1248">
        <v>80</v>
      </c>
      <c r="P1248">
        <v>0</v>
      </c>
    </row>
    <row r="1249" spans="1:16" x14ac:dyDescent="0.25">
      <c r="A1249" t="s">
        <v>23733</v>
      </c>
      <c r="B1249" t="s">
        <v>2232</v>
      </c>
      <c r="C1249" t="s">
        <v>2210</v>
      </c>
      <c r="D1249" t="str">
        <f>"1001"</f>
        <v>1001</v>
      </c>
      <c r="E1249" t="s">
        <v>42</v>
      </c>
      <c r="F1249" t="s">
        <v>5</v>
      </c>
      <c r="G1249" t="s">
        <v>16235</v>
      </c>
      <c r="H1249" t="s">
        <v>47126</v>
      </c>
      <c r="I1249" t="s">
        <v>47127</v>
      </c>
      <c r="J1249" t="s">
        <v>47128</v>
      </c>
      <c r="K1249" t="s">
        <v>47113</v>
      </c>
      <c r="L1249">
        <v>38.409999999999997</v>
      </c>
      <c r="M1249">
        <v>87</v>
      </c>
      <c r="N1249">
        <v>0</v>
      </c>
      <c r="O1249">
        <v>87</v>
      </c>
      <c r="P1249">
        <v>0</v>
      </c>
    </row>
    <row r="1250" spans="1:16" x14ac:dyDescent="0.25">
      <c r="A1250" t="s">
        <v>23734</v>
      </c>
      <c r="B1250" t="s">
        <v>2232</v>
      </c>
      <c r="C1250" t="s">
        <v>2210</v>
      </c>
      <c r="D1250" t="str">
        <f>"1299"</f>
        <v>1299</v>
      </c>
      <c r="E1250" t="s">
        <v>73</v>
      </c>
      <c r="F1250" t="s">
        <v>5</v>
      </c>
      <c r="G1250" t="s">
        <v>16235</v>
      </c>
      <c r="H1250" t="s">
        <v>47126</v>
      </c>
      <c r="I1250" t="s">
        <v>47127</v>
      </c>
      <c r="J1250" t="s">
        <v>47128</v>
      </c>
      <c r="K1250" t="s">
        <v>47113</v>
      </c>
      <c r="L1250">
        <v>37.369999999999997</v>
      </c>
      <c r="M1250">
        <v>87</v>
      </c>
      <c r="N1250">
        <v>0</v>
      </c>
      <c r="O1250">
        <v>87</v>
      </c>
      <c r="P1250">
        <v>0</v>
      </c>
    </row>
    <row r="1251" spans="1:16" x14ac:dyDescent="0.25">
      <c r="A1251" t="s">
        <v>23735</v>
      </c>
      <c r="B1251" t="s">
        <v>2232</v>
      </c>
      <c r="C1251" t="s">
        <v>2210</v>
      </c>
      <c r="D1251" t="str">
        <f>"2166"</f>
        <v>2166</v>
      </c>
      <c r="E1251" t="s">
        <v>80</v>
      </c>
      <c r="F1251" t="s">
        <v>5</v>
      </c>
      <c r="G1251" t="s">
        <v>16235</v>
      </c>
      <c r="H1251" t="s">
        <v>47126</v>
      </c>
      <c r="I1251" t="s">
        <v>47127</v>
      </c>
      <c r="J1251" t="s">
        <v>47128</v>
      </c>
      <c r="K1251" t="s">
        <v>47113</v>
      </c>
      <c r="L1251">
        <v>37.369999999999997</v>
      </c>
      <c r="M1251">
        <v>87</v>
      </c>
      <c r="N1251">
        <v>0</v>
      </c>
      <c r="O1251">
        <v>87</v>
      </c>
      <c r="P1251">
        <v>0</v>
      </c>
    </row>
    <row r="1252" spans="1:16" x14ac:dyDescent="0.25">
      <c r="A1252" t="s">
        <v>23736</v>
      </c>
      <c r="B1252" t="s">
        <v>2232</v>
      </c>
      <c r="C1252" t="s">
        <v>2210</v>
      </c>
      <c r="D1252" t="str">
        <f>"3449"</f>
        <v>3449</v>
      </c>
      <c r="E1252" t="s">
        <v>90</v>
      </c>
      <c r="F1252" t="s">
        <v>5</v>
      </c>
      <c r="G1252" t="s">
        <v>16235</v>
      </c>
      <c r="H1252" t="s">
        <v>47126</v>
      </c>
      <c r="I1252" t="s">
        <v>47127</v>
      </c>
      <c r="J1252" t="s">
        <v>47128</v>
      </c>
      <c r="K1252" t="s">
        <v>47113</v>
      </c>
      <c r="L1252">
        <v>37.49</v>
      </c>
      <c r="M1252">
        <v>87</v>
      </c>
      <c r="N1252">
        <v>0</v>
      </c>
      <c r="O1252">
        <v>87</v>
      </c>
      <c r="P1252">
        <v>0</v>
      </c>
    </row>
    <row r="1253" spans="1:16" x14ac:dyDescent="0.25">
      <c r="A1253" t="s">
        <v>23737</v>
      </c>
      <c r="B1253" t="s">
        <v>2232</v>
      </c>
      <c r="C1253" t="s">
        <v>2210</v>
      </c>
      <c r="D1253" t="str">
        <f>"4348"</f>
        <v>4348</v>
      </c>
      <c r="E1253" t="s">
        <v>91</v>
      </c>
      <c r="F1253" t="s">
        <v>5</v>
      </c>
      <c r="G1253" t="s">
        <v>16235</v>
      </c>
      <c r="H1253" t="s">
        <v>47126</v>
      </c>
      <c r="I1253" t="s">
        <v>47127</v>
      </c>
      <c r="J1253" t="s">
        <v>47128</v>
      </c>
      <c r="K1253" t="s">
        <v>47113</v>
      </c>
      <c r="L1253">
        <v>38.07</v>
      </c>
      <c r="M1253">
        <v>87</v>
      </c>
      <c r="N1253">
        <v>0</v>
      </c>
      <c r="O1253">
        <v>87</v>
      </c>
      <c r="P1253">
        <v>0</v>
      </c>
    </row>
    <row r="1254" spans="1:16" x14ac:dyDescent="0.25">
      <c r="A1254" t="s">
        <v>23738</v>
      </c>
      <c r="B1254" t="s">
        <v>2232</v>
      </c>
      <c r="C1254" t="s">
        <v>2210</v>
      </c>
      <c r="D1254" t="str">
        <f>"5342"</f>
        <v>5342</v>
      </c>
      <c r="E1254" t="s">
        <v>77</v>
      </c>
      <c r="F1254" t="s">
        <v>5</v>
      </c>
      <c r="G1254" t="s">
        <v>16235</v>
      </c>
      <c r="H1254" t="s">
        <v>47126</v>
      </c>
      <c r="I1254" t="s">
        <v>47127</v>
      </c>
      <c r="J1254" t="s">
        <v>47128</v>
      </c>
      <c r="K1254" t="s">
        <v>47113</v>
      </c>
      <c r="L1254">
        <v>37.369999999999997</v>
      </c>
      <c r="M1254">
        <v>87</v>
      </c>
      <c r="N1254">
        <v>0</v>
      </c>
      <c r="O1254">
        <v>87</v>
      </c>
      <c r="P1254">
        <v>0</v>
      </c>
    </row>
    <row r="1255" spans="1:16" x14ac:dyDescent="0.25">
      <c r="A1255" t="s">
        <v>23739</v>
      </c>
      <c r="B1255" t="s">
        <v>2232</v>
      </c>
      <c r="C1255" t="s">
        <v>2210</v>
      </c>
      <c r="D1255" t="str">
        <f>"6064"</f>
        <v>6064</v>
      </c>
      <c r="E1255" t="s">
        <v>87</v>
      </c>
      <c r="F1255" t="s">
        <v>5</v>
      </c>
      <c r="G1255" t="s">
        <v>16235</v>
      </c>
      <c r="H1255" t="s">
        <v>47126</v>
      </c>
      <c r="I1255" t="s">
        <v>47127</v>
      </c>
      <c r="J1255" t="s">
        <v>47128</v>
      </c>
      <c r="K1255" t="s">
        <v>47113</v>
      </c>
      <c r="L1255">
        <v>38.130000000000003</v>
      </c>
      <c r="M1255">
        <v>87</v>
      </c>
      <c r="N1255">
        <v>0</v>
      </c>
      <c r="O1255">
        <v>87</v>
      </c>
      <c r="P1255">
        <v>0</v>
      </c>
    </row>
    <row r="1256" spans="1:16" x14ac:dyDescent="0.25">
      <c r="A1256" t="s">
        <v>23740</v>
      </c>
      <c r="B1256" t="s">
        <v>2233</v>
      </c>
      <c r="C1256" t="s">
        <v>2234</v>
      </c>
      <c r="D1256" t="str">
        <f>"1001"</f>
        <v>1001</v>
      </c>
      <c r="E1256" t="s">
        <v>42</v>
      </c>
      <c r="F1256" t="s">
        <v>5</v>
      </c>
      <c r="G1256" t="s">
        <v>16222</v>
      </c>
      <c r="H1256" t="s">
        <v>47126</v>
      </c>
      <c r="I1256" t="s">
        <v>47127</v>
      </c>
      <c r="J1256" t="s">
        <v>47128</v>
      </c>
      <c r="K1256" t="s">
        <v>47113</v>
      </c>
      <c r="L1256">
        <v>22.56</v>
      </c>
      <c r="M1256">
        <v>49</v>
      </c>
      <c r="N1256">
        <v>0</v>
      </c>
      <c r="O1256">
        <v>49</v>
      </c>
      <c r="P1256">
        <v>0</v>
      </c>
    </row>
    <row r="1257" spans="1:16" x14ac:dyDescent="0.25">
      <c r="A1257" t="s">
        <v>23741</v>
      </c>
      <c r="B1257" t="s">
        <v>2233</v>
      </c>
      <c r="C1257" t="s">
        <v>2234</v>
      </c>
      <c r="D1257" t="str">
        <f>"1379"</f>
        <v>1379</v>
      </c>
      <c r="E1257" t="s">
        <v>84</v>
      </c>
      <c r="F1257" t="s">
        <v>5</v>
      </c>
      <c r="G1257" t="s">
        <v>16222</v>
      </c>
      <c r="H1257" t="s">
        <v>47126</v>
      </c>
      <c r="I1257" t="s">
        <v>47127</v>
      </c>
      <c r="J1257" t="s">
        <v>47128</v>
      </c>
      <c r="K1257" t="s">
        <v>47113</v>
      </c>
      <c r="L1257">
        <v>22.56</v>
      </c>
      <c r="M1257">
        <v>49</v>
      </c>
      <c r="N1257">
        <v>0</v>
      </c>
      <c r="O1257">
        <v>49</v>
      </c>
      <c r="P1257">
        <v>0</v>
      </c>
    </row>
    <row r="1258" spans="1:16" x14ac:dyDescent="0.25">
      <c r="A1258" t="s">
        <v>23742</v>
      </c>
      <c r="B1258" t="s">
        <v>2233</v>
      </c>
      <c r="C1258" t="s">
        <v>2234</v>
      </c>
      <c r="D1258" t="str">
        <f>"4643"</f>
        <v>4643</v>
      </c>
      <c r="E1258" t="s">
        <v>205</v>
      </c>
      <c r="F1258" t="s">
        <v>5</v>
      </c>
      <c r="G1258" t="s">
        <v>16222</v>
      </c>
      <c r="H1258" t="s">
        <v>47126</v>
      </c>
      <c r="I1258" t="s">
        <v>47127</v>
      </c>
      <c r="J1258" t="s">
        <v>47128</v>
      </c>
      <c r="K1258" t="s">
        <v>47113</v>
      </c>
      <c r="L1258">
        <v>22.56</v>
      </c>
      <c r="M1258">
        <v>49</v>
      </c>
      <c r="N1258">
        <v>0</v>
      </c>
      <c r="O1258">
        <v>49</v>
      </c>
      <c r="P1258">
        <v>0</v>
      </c>
    </row>
    <row r="1259" spans="1:16" x14ac:dyDescent="0.25">
      <c r="A1259" t="s">
        <v>23743</v>
      </c>
      <c r="B1259" t="s">
        <v>2233</v>
      </c>
      <c r="C1259" t="s">
        <v>2234</v>
      </c>
      <c r="D1259" t="str">
        <f>"5342"</f>
        <v>5342</v>
      </c>
      <c r="E1259" t="s">
        <v>77</v>
      </c>
      <c r="F1259" t="s">
        <v>5</v>
      </c>
      <c r="G1259" t="s">
        <v>16222</v>
      </c>
      <c r="H1259" t="s">
        <v>47126</v>
      </c>
      <c r="I1259" t="s">
        <v>47127</v>
      </c>
      <c r="J1259" t="s">
        <v>47128</v>
      </c>
      <c r="K1259" t="s">
        <v>47113</v>
      </c>
      <c r="L1259">
        <v>22.56</v>
      </c>
      <c r="M1259">
        <v>49</v>
      </c>
      <c r="N1259">
        <v>0</v>
      </c>
      <c r="O1259">
        <v>49</v>
      </c>
      <c r="P1259">
        <v>0</v>
      </c>
    </row>
    <row r="1260" spans="1:16" x14ac:dyDescent="0.25">
      <c r="A1260" t="s">
        <v>23744</v>
      </c>
      <c r="B1260" t="s">
        <v>2235</v>
      </c>
      <c r="C1260" t="s">
        <v>2177</v>
      </c>
      <c r="D1260" t="str">
        <f>"1001"</f>
        <v>1001</v>
      </c>
      <c r="E1260" t="s">
        <v>42</v>
      </c>
      <c r="F1260" t="s">
        <v>5</v>
      </c>
      <c r="G1260" t="s">
        <v>16224</v>
      </c>
      <c r="H1260" t="s">
        <v>47126</v>
      </c>
      <c r="I1260" t="s">
        <v>47127</v>
      </c>
      <c r="J1260" t="s">
        <v>47128</v>
      </c>
      <c r="K1260" t="s">
        <v>47113</v>
      </c>
      <c r="L1260">
        <v>17.47</v>
      </c>
      <c r="M1260">
        <v>74</v>
      </c>
      <c r="N1260">
        <v>0</v>
      </c>
      <c r="O1260">
        <v>74</v>
      </c>
      <c r="P1260">
        <v>0</v>
      </c>
    </row>
    <row r="1261" spans="1:16" x14ac:dyDescent="0.25">
      <c r="A1261" t="s">
        <v>23745</v>
      </c>
      <c r="B1261" t="s">
        <v>2235</v>
      </c>
      <c r="C1261" t="s">
        <v>2177</v>
      </c>
      <c r="D1261" t="str">
        <f>"1379"</f>
        <v>1379</v>
      </c>
      <c r="E1261" t="s">
        <v>84</v>
      </c>
      <c r="F1261" t="s">
        <v>5</v>
      </c>
      <c r="G1261" t="s">
        <v>16224</v>
      </c>
      <c r="H1261" t="s">
        <v>47126</v>
      </c>
      <c r="I1261" t="s">
        <v>47127</v>
      </c>
      <c r="J1261" t="s">
        <v>47128</v>
      </c>
      <c r="K1261" t="s">
        <v>47113</v>
      </c>
      <c r="L1261">
        <v>31.62</v>
      </c>
      <c r="M1261">
        <v>74</v>
      </c>
      <c r="N1261">
        <v>0</v>
      </c>
      <c r="O1261">
        <v>74</v>
      </c>
      <c r="P1261">
        <v>0</v>
      </c>
    </row>
    <row r="1262" spans="1:16" x14ac:dyDescent="0.25">
      <c r="A1262" t="s">
        <v>23746</v>
      </c>
      <c r="B1262" t="s">
        <v>2235</v>
      </c>
      <c r="C1262" t="s">
        <v>2177</v>
      </c>
      <c r="D1262" t="str">
        <f>"3449"</f>
        <v>3449</v>
      </c>
      <c r="E1262" t="s">
        <v>90</v>
      </c>
      <c r="F1262" t="s">
        <v>5</v>
      </c>
      <c r="G1262" t="s">
        <v>16224</v>
      </c>
      <c r="H1262" t="s">
        <v>47126</v>
      </c>
      <c r="I1262" t="s">
        <v>47127</v>
      </c>
      <c r="J1262" t="s">
        <v>47128</v>
      </c>
      <c r="K1262" t="s">
        <v>47113</v>
      </c>
      <c r="L1262">
        <v>31.62</v>
      </c>
      <c r="M1262">
        <v>74</v>
      </c>
      <c r="N1262">
        <v>0</v>
      </c>
      <c r="O1262">
        <v>74</v>
      </c>
      <c r="P1262">
        <v>0</v>
      </c>
    </row>
    <row r="1263" spans="1:16" x14ac:dyDescent="0.25">
      <c r="A1263" t="s">
        <v>14753</v>
      </c>
      <c r="B1263" t="s">
        <v>2235</v>
      </c>
      <c r="C1263" t="s">
        <v>2177</v>
      </c>
      <c r="D1263" t="str">
        <f>"4643"</f>
        <v>4643</v>
      </c>
      <c r="E1263" t="s">
        <v>205</v>
      </c>
      <c r="F1263" t="s">
        <v>5</v>
      </c>
      <c r="G1263" t="s">
        <v>16224</v>
      </c>
      <c r="H1263" t="s">
        <v>47126</v>
      </c>
      <c r="I1263" t="s">
        <v>47127</v>
      </c>
      <c r="J1263" t="s">
        <v>47128</v>
      </c>
      <c r="K1263" t="s">
        <v>47113</v>
      </c>
      <c r="L1263">
        <v>17.47</v>
      </c>
      <c r="M1263">
        <v>74</v>
      </c>
      <c r="N1263">
        <v>0</v>
      </c>
      <c r="O1263">
        <v>74</v>
      </c>
      <c r="P1263">
        <v>0</v>
      </c>
    </row>
    <row r="1264" spans="1:16" x14ac:dyDescent="0.25">
      <c r="A1264" t="s">
        <v>23747</v>
      </c>
      <c r="B1264" t="s">
        <v>2235</v>
      </c>
      <c r="C1264" t="s">
        <v>2177</v>
      </c>
      <c r="D1264" t="str">
        <f>"6064"</f>
        <v>6064</v>
      </c>
      <c r="E1264" t="s">
        <v>87</v>
      </c>
      <c r="F1264" t="s">
        <v>5</v>
      </c>
      <c r="G1264" t="s">
        <v>16224</v>
      </c>
      <c r="H1264" t="s">
        <v>47126</v>
      </c>
      <c r="I1264" t="s">
        <v>47127</v>
      </c>
      <c r="J1264" t="s">
        <v>47128</v>
      </c>
      <c r="K1264" t="s">
        <v>47113</v>
      </c>
      <c r="L1264">
        <v>31.62</v>
      </c>
      <c r="M1264">
        <v>74</v>
      </c>
      <c r="N1264">
        <v>0</v>
      </c>
      <c r="O1264">
        <v>74</v>
      </c>
      <c r="P1264">
        <v>0</v>
      </c>
    </row>
    <row r="1265" spans="1:16" x14ac:dyDescent="0.25">
      <c r="A1265" t="s">
        <v>23748</v>
      </c>
      <c r="B1265" t="s">
        <v>2236</v>
      </c>
      <c r="C1265" t="s">
        <v>2237</v>
      </c>
      <c r="D1265" t="str">
        <f>"1001"</f>
        <v>1001</v>
      </c>
      <c r="E1265" t="s">
        <v>42</v>
      </c>
      <c r="F1265" t="s">
        <v>5</v>
      </c>
      <c r="G1265" t="s">
        <v>16232</v>
      </c>
      <c r="H1265" t="s">
        <v>47126</v>
      </c>
      <c r="I1265" t="s">
        <v>47127</v>
      </c>
      <c r="J1265" t="s">
        <v>47128</v>
      </c>
      <c r="K1265" t="s">
        <v>47113</v>
      </c>
      <c r="L1265">
        <v>18.62</v>
      </c>
      <c r="M1265">
        <v>43</v>
      </c>
      <c r="N1265">
        <v>0</v>
      </c>
      <c r="O1265">
        <v>43</v>
      </c>
      <c r="P1265">
        <v>0</v>
      </c>
    </row>
    <row r="1266" spans="1:16" x14ac:dyDescent="0.25">
      <c r="A1266" t="s">
        <v>23749</v>
      </c>
      <c r="B1266" t="s">
        <v>2236</v>
      </c>
      <c r="C1266" t="s">
        <v>2237</v>
      </c>
      <c r="D1266" t="str">
        <f>"1299"</f>
        <v>1299</v>
      </c>
      <c r="E1266" t="s">
        <v>73</v>
      </c>
      <c r="F1266" t="s">
        <v>5</v>
      </c>
      <c r="G1266" t="s">
        <v>16232</v>
      </c>
      <c r="H1266" t="s">
        <v>47126</v>
      </c>
      <c r="I1266" t="s">
        <v>47127</v>
      </c>
      <c r="J1266" t="s">
        <v>47128</v>
      </c>
      <c r="K1266" t="s">
        <v>47113</v>
      </c>
      <c r="L1266">
        <v>18.62</v>
      </c>
      <c r="M1266">
        <v>43</v>
      </c>
      <c r="N1266">
        <v>0</v>
      </c>
      <c r="O1266">
        <v>43</v>
      </c>
      <c r="P1266">
        <v>0</v>
      </c>
    </row>
    <row r="1267" spans="1:16" x14ac:dyDescent="0.25">
      <c r="A1267" t="s">
        <v>23750</v>
      </c>
      <c r="B1267" t="s">
        <v>2236</v>
      </c>
      <c r="C1267" t="s">
        <v>2237</v>
      </c>
      <c r="D1267" t="str">
        <f>"1377"</f>
        <v>1377</v>
      </c>
      <c r="E1267" t="s">
        <v>74</v>
      </c>
      <c r="F1267" t="s">
        <v>5</v>
      </c>
      <c r="G1267" t="s">
        <v>16232</v>
      </c>
      <c r="H1267" t="s">
        <v>47126</v>
      </c>
      <c r="I1267" t="s">
        <v>47127</v>
      </c>
      <c r="J1267" t="s">
        <v>47128</v>
      </c>
      <c r="K1267" t="s">
        <v>47113</v>
      </c>
      <c r="L1267">
        <v>18.62</v>
      </c>
      <c r="M1267">
        <v>43</v>
      </c>
      <c r="N1267">
        <v>0</v>
      </c>
      <c r="O1267">
        <v>43</v>
      </c>
      <c r="P1267">
        <v>0</v>
      </c>
    </row>
    <row r="1268" spans="1:16" x14ac:dyDescent="0.25">
      <c r="A1268" t="s">
        <v>23751</v>
      </c>
      <c r="B1268" t="s">
        <v>2236</v>
      </c>
      <c r="C1268" t="s">
        <v>2237</v>
      </c>
      <c r="D1268" t="str">
        <f>"2166"</f>
        <v>2166</v>
      </c>
      <c r="E1268" t="s">
        <v>80</v>
      </c>
      <c r="F1268" t="s">
        <v>5</v>
      </c>
      <c r="G1268" t="s">
        <v>16232</v>
      </c>
      <c r="H1268" t="s">
        <v>47126</v>
      </c>
      <c r="I1268" t="s">
        <v>47127</v>
      </c>
      <c r="J1268" t="s">
        <v>47128</v>
      </c>
      <c r="K1268" t="s">
        <v>47113</v>
      </c>
      <c r="L1268">
        <v>18.62</v>
      </c>
      <c r="M1268">
        <v>43</v>
      </c>
      <c r="N1268">
        <v>0</v>
      </c>
      <c r="O1268">
        <v>43</v>
      </c>
      <c r="P1268">
        <v>0</v>
      </c>
    </row>
    <row r="1269" spans="1:16" x14ac:dyDescent="0.25">
      <c r="A1269" t="s">
        <v>23752</v>
      </c>
      <c r="B1269" t="s">
        <v>2236</v>
      </c>
      <c r="C1269" t="s">
        <v>2237</v>
      </c>
      <c r="D1269" t="str">
        <f>"3449"</f>
        <v>3449</v>
      </c>
      <c r="E1269" t="s">
        <v>90</v>
      </c>
      <c r="F1269" t="s">
        <v>5</v>
      </c>
      <c r="G1269" t="s">
        <v>16232</v>
      </c>
      <c r="H1269" t="s">
        <v>47126</v>
      </c>
      <c r="I1269" t="s">
        <v>47127</v>
      </c>
      <c r="J1269" t="s">
        <v>47128</v>
      </c>
      <c r="K1269" t="s">
        <v>47113</v>
      </c>
      <c r="L1269">
        <v>18.62</v>
      </c>
      <c r="M1269">
        <v>43</v>
      </c>
      <c r="N1269">
        <v>0</v>
      </c>
      <c r="O1269">
        <v>43</v>
      </c>
      <c r="P1269">
        <v>0</v>
      </c>
    </row>
    <row r="1270" spans="1:16" x14ac:dyDescent="0.25">
      <c r="A1270" t="s">
        <v>23753</v>
      </c>
      <c r="B1270" t="s">
        <v>2236</v>
      </c>
      <c r="C1270" t="s">
        <v>2237</v>
      </c>
      <c r="D1270" t="str">
        <f>"4348"</f>
        <v>4348</v>
      </c>
      <c r="E1270" t="s">
        <v>91</v>
      </c>
      <c r="F1270" t="s">
        <v>5</v>
      </c>
      <c r="G1270" t="s">
        <v>16232</v>
      </c>
      <c r="H1270" t="s">
        <v>47126</v>
      </c>
      <c r="I1270" t="s">
        <v>47127</v>
      </c>
      <c r="J1270" t="s">
        <v>47128</v>
      </c>
      <c r="K1270" t="s">
        <v>47113</v>
      </c>
      <c r="L1270">
        <v>18.62</v>
      </c>
      <c r="M1270">
        <v>43</v>
      </c>
      <c r="N1270">
        <v>0</v>
      </c>
      <c r="O1270">
        <v>43</v>
      </c>
      <c r="P1270">
        <v>0</v>
      </c>
    </row>
    <row r="1271" spans="1:16" x14ac:dyDescent="0.25">
      <c r="A1271" t="s">
        <v>23754</v>
      </c>
      <c r="B1271" t="s">
        <v>2236</v>
      </c>
      <c r="C1271" t="s">
        <v>2237</v>
      </c>
      <c r="D1271" t="str">
        <f>"4643"</f>
        <v>4643</v>
      </c>
      <c r="E1271" t="s">
        <v>205</v>
      </c>
      <c r="F1271" t="s">
        <v>5</v>
      </c>
      <c r="G1271" t="s">
        <v>16232</v>
      </c>
      <c r="H1271" t="s">
        <v>47126</v>
      </c>
      <c r="I1271" t="s">
        <v>47127</v>
      </c>
      <c r="J1271" t="s">
        <v>47128</v>
      </c>
      <c r="K1271" t="s">
        <v>47113</v>
      </c>
      <c r="L1271">
        <v>18.62</v>
      </c>
      <c r="M1271">
        <v>43</v>
      </c>
      <c r="N1271">
        <v>0</v>
      </c>
      <c r="O1271">
        <v>43</v>
      </c>
      <c r="P1271">
        <v>0</v>
      </c>
    </row>
    <row r="1272" spans="1:16" x14ac:dyDescent="0.25">
      <c r="A1272" t="s">
        <v>23755</v>
      </c>
      <c r="B1272" t="s">
        <v>2236</v>
      </c>
      <c r="C1272" t="s">
        <v>2237</v>
      </c>
      <c r="D1272" t="str">
        <f>"5342"</f>
        <v>5342</v>
      </c>
      <c r="E1272" t="s">
        <v>77</v>
      </c>
      <c r="F1272" t="s">
        <v>5</v>
      </c>
      <c r="G1272" t="s">
        <v>16232</v>
      </c>
      <c r="H1272" t="s">
        <v>47126</v>
      </c>
      <c r="I1272" t="s">
        <v>47127</v>
      </c>
      <c r="J1272" t="s">
        <v>47128</v>
      </c>
      <c r="K1272" t="s">
        <v>47113</v>
      </c>
      <c r="L1272">
        <v>18.62</v>
      </c>
      <c r="M1272">
        <v>43</v>
      </c>
      <c r="N1272">
        <v>0</v>
      </c>
      <c r="O1272">
        <v>43</v>
      </c>
      <c r="P1272">
        <v>0</v>
      </c>
    </row>
    <row r="1273" spans="1:16" x14ac:dyDescent="0.25">
      <c r="A1273" t="s">
        <v>23756</v>
      </c>
      <c r="B1273" t="s">
        <v>2238</v>
      </c>
      <c r="C1273" t="s">
        <v>2239</v>
      </c>
      <c r="D1273" t="str">
        <f>"1299"</f>
        <v>1299</v>
      </c>
      <c r="E1273" t="s">
        <v>73</v>
      </c>
      <c r="F1273" t="s">
        <v>5</v>
      </c>
      <c r="G1273" t="s">
        <v>16221</v>
      </c>
      <c r="H1273" t="s">
        <v>47126</v>
      </c>
      <c r="I1273" t="s">
        <v>47127</v>
      </c>
      <c r="J1273" t="s">
        <v>47128</v>
      </c>
      <c r="K1273" t="s">
        <v>47113</v>
      </c>
      <c r="L1273">
        <v>18.54</v>
      </c>
      <c r="M1273">
        <v>41</v>
      </c>
      <c r="N1273">
        <v>0</v>
      </c>
      <c r="O1273">
        <v>41</v>
      </c>
      <c r="P1273">
        <v>0</v>
      </c>
    </row>
    <row r="1274" spans="1:16" x14ac:dyDescent="0.25">
      <c r="A1274" t="s">
        <v>23757</v>
      </c>
      <c r="B1274" t="s">
        <v>2238</v>
      </c>
      <c r="C1274" t="s">
        <v>2239</v>
      </c>
      <c r="D1274" t="str">
        <f>"4643"</f>
        <v>4643</v>
      </c>
      <c r="E1274" t="s">
        <v>205</v>
      </c>
      <c r="F1274" t="s">
        <v>5</v>
      </c>
      <c r="G1274" t="s">
        <v>16221</v>
      </c>
      <c r="H1274" t="s">
        <v>47126</v>
      </c>
      <c r="I1274" t="s">
        <v>47127</v>
      </c>
      <c r="J1274" t="s">
        <v>47128</v>
      </c>
      <c r="K1274" t="s">
        <v>47113</v>
      </c>
      <c r="L1274">
        <v>18.54</v>
      </c>
      <c r="M1274">
        <v>41</v>
      </c>
      <c r="N1274">
        <v>0</v>
      </c>
      <c r="O1274">
        <v>41</v>
      </c>
      <c r="P1274">
        <v>0</v>
      </c>
    </row>
    <row r="1275" spans="1:16" x14ac:dyDescent="0.25">
      <c r="A1275" t="s">
        <v>23758</v>
      </c>
      <c r="B1275" t="s">
        <v>2240</v>
      </c>
      <c r="C1275" t="s">
        <v>2241</v>
      </c>
      <c r="D1275" t="str">
        <f>"1001"</f>
        <v>1001</v>
      </c>
      <c r="E1275" t="s">
        <v>42</v>
      </c>
      <c r="F1275" t="s">
        <v>5</v>
      </c>
      <c r="G1275" t="s">
        <v>46686</v>
      </c>
      <c r="H1275" t="s">
        <v>47126</v>
      </c>
      <c r="I1275" t="s">
        <v>47127</v>
      </c>
      <c r="J1275" t="s">
        <v>47128</v>
      </c>
      <c r="K1275" t="s">
        <v>47113</v>
      </c>
      <c r="L1275">
        <v>21.22</v>
      </c>
      <c r="M1275">
        <v>45</v>
      </c>
      <c r="N1275">
        <v>0</v>
      </c>
      <c r="O1275">
        <v>45</v>
      </c>
      <c r="P1275">
        <v>0</v>
      </c>
    </row>
    <row r="1276" spans="1:16" x14ac:dyDescent="0.25">
      <c r="A1276" t="s">
        <v>23759</v>
      </c>
      <c r="B1276" t="s">
        <v>2240</v>
      </c>
      <c r="C1276" t="s">
        <v>2241</v>
      </c>
      <c r="D1276" t="str">
        <f>"1379"</f>
        <v>1379</v>
      </c>
      <c r="E1276" t="s">
        <v>84</v>
      </c>
      <c r="F1276" t="s">
        <v>5</v>
      </c>
      <c r="G1276" t="s">
        <v>46686</v>
      </c>
      <c r="H1276" t="s">
        <v>47126</v>
      </c>
      <c r="I1276" t="s">
        <v>47127</v>
      </c>
      <c r="J1276" t="s">
        <v>47128</v>
      </c>
      <c r="K1276" t="s">
        <v>47113</v>
      </c>
      <c r="L1276">
        <v>21.22</v>
      </c>
      <c r="M1276">
        <v>45</v>
      </c>
      <c r="N1276">
        <v>0</v>
      </c>
      <c r="O1276">
        <v>45</v>
      </c>
      <c r="P1276">
        <v>0</v>
      </c>
    </row>
    <row r="1277" spans="1:16" x14ac:dyDescent="0.25">
      <c r="A1277" t="s">
        <v>23760</v>
      </c>
      <c r="B1277" t="s">
        <v>2240</v>
      </c>
      <c r="C1277" t="s">
        <v>2241</v>
      </c>
      <c r="D1277" t="str">
        <f>"3449"</f>
        <v>3449</v>
      </c>
      <c r="E1277" t="s">
        <v>90</v>
      </c>
      <c r="F1277" t="s">
        <v>5</v>
      </c>
      <c r="G1277" t="s">
        <v>46686</v>
      </c>
      <c r="H1277" t="s">
        <v>47126</v>
      </c>
      <c r="I1277" t="s">
        <v>47127</v>
      </c>
      <c r="J1277" t="s">
        <v>47128</v>
      </c>
      <c r="K1277" t="s">
        <v>47113</v>
      </c>
      <c r="L1277">
        <v>19.43</v>
      </c>
      <c r="M1277">
        <v>45</v>
      </c>
      <c r="N1277">
        <v>0</v>
      </c>
      <c r="O1277">
        <v>45</v>
      </c>
      <c r="P1277">
        <v>0</v>
      </c>
    </row>
    <row r="1278" spans="1:16" x14ac:dyDescent="0.25">
      <c r="A1278" t="s">
        <v>23761</v>
      </c>
      <c r="B1278" t="s">
        <v>2240</v>
      </c>
      <c r="C1278" t="s">
        <v>2241</v>
      </c>
      <c r="D1278" t="str">
        <f>"4000"</f>
        <v>4000</v>
      </c>
      <c r="E1278" t="s">
        <v>14638</v>
      </c>
      <c r="F1278" t="s">
        <v>5</v>
      </c>
      <c r="G1278" t="s">
        <v>46686</v>
      </c>
      <c r="H1278" t="s">
        <v>47126</v>
      </c>
      <c r="I1278" t="s">
        <v>47127</v>
      </c>
      <c r="J1278" t="s">
        <v>47128</v>
      </c>
      <c r="K1278" t="s">
        <v>47113</v>
      </c>
      <c r="L1278">
        <v>21.22</v>
      </c>
      <c r="M1278">
        <v>45</v>
      </c>
      <c r="N1278">
        <v>0</v>
      </c>
      <c r="O1278">
        <v>45</v>
      </c>
      <c r="P1278">
        <v>0</v>
      </c>
    </row>
    <row r="1279" spans="1:16" x14ac:dyDescent="0.25">
      <c r="A1279" t="s">
        <v>23762</v>
      </c>
      <c r="B1279" t="s">
        <v>2240</v>
      </c>
      <c r="C1279" t="s">
        <v>2241</v>
      </c>
      <c r="D1279" t="str">
        <f>"4643"</f>
        <v>4643</v>
      </c>
      <c r="E1279" t="s">
        <v>205</v>
      </c>
      <c r="F1279" t="s">
        <v>5</v>
      </c>
      <c r="G1279" t="s">
        <v>46686</v>
      </c>
      <c r="H1279" t="s">
        <v>47126</v>
      </c>
      <c r="I1279" t="s">
        <v>47127</v>
      </c>
      <c r="J1279" t="s">
        <v>47128</v>
      </c>
      <c r="K1279" t="s">
        <v>47113</v>
      </c>
      <c r="L1279">
        <v>21.22</v>
      </c>
      <c r="M1279">
        <v>45</v>
      </c>
      <c r="N1279">
        <v>0</v>
      </c>
      <c r="O1279">
        <v>45</v>
      </c>
      <c r="P1279">
        <v>0</v>
      </c>
    </row>
    <row r="1280" spans="1:16" x14ac:dyDescent="0.25">
      <c r="A1280" t="s">
        <v>23763</v>
      </c>
      <c r="B1280" t="s">
        <v>2240</v>
      </c>
      <c r="C1280" t="s">
        <v>2241</v>
      </c>
      <c r="D1280" t="str">
        <f>"5342"</f>
        <v>5342</v>
      </c>
      <c r="E1280" t="s">
        <v>77</v>
      </c>
      <c r="F1280" t="s">
        <v>5</v>
      </c>
      <c r="G1280" t="s">
        <v>46686</v>
      </c>
      <c r="H1280" t="s">
        <v>47126</v>
      </c>
      <c r="I1280" t="s">
        <v>47127</v>
      </c>
      <c r="J1280" t="s">
        <v>47128</v>
      </c>
      <c r="K1280" t="s">
        <v>47113</v>
      </c>
      <c r="L1280">
        <v>42.43</v>
      </c>
      <c r="M1280">
        <v>45</v>
      </c>
      <c r="N1280">
        <v>0</v>
      </c>
      <c r="O1280">
        <v>45</v>
      </c>
      <c r="P1280">
        <v>0</v>
      </c>
    </row>
    <row r="1281" spans="1:16" x14ac:dyDescent="0.25">
      <c r="A1281" t="s">
        <v>23764</v>
      </c>
      <c r="B1281" t="s">
        <v>2242</v>
      </c>
      <c r="C1281" t="s">
        <v>387</v>
      </c>
      <c r="D1281" t="str">
        <f>"1106"</f>
        <v>1106</v>
      </c>
      <c r="E1281" t="s">
        <v>460</v>
      </c>
      <c r="F1281" t="s">
        <v>2068</v>
      </c>
      <c r="G1281" t="s">
        <v>46686</v>
      </c>
      <c r="H1281" t="s">
        <v>47126</v>
      </c>
      <c r="I1281" t="s">
        <v>47127</v>
      </c>
      <c r="J1281" t="s">
        <v>47128</v>
      </c>
      <c r="K1281" t="s">
        <v>47113</v>
      </c>
      <c r="L1281">
        <v>27.17</v>
      </c>
      <c r="M1281">
        <v>66</v>
      </c>
      <c r="N1281">
        <v>0</v>
      </c>
      <c r="O1281">
        <v>66</v>
      </c>
      <c r="P1281">
        <v>0</v>
      </c>
    </row>
    <row r="1282" spans="1:16" x14ac:dyDescent="0.25">
      <c r="A1282" t="s">
        <v>23765</v>
      </c>
      <c r="B1282" t="s">
        <v>2242</v>
      </c>
      <c r="C1282" t="s">
        <v>387</v>
      </c>
      <c r="D1282" t="str">
        <f>"1379"</f>
        <v>1379</v>
      </c>
      <c r="E1282" t="s">
        <v>84</v>
      </c>
      <c r="F1282" t="s">
        <v>2068</v>
      </c>
      <c r="G1282" t="s">
        <v>46686</v>
      </c>
      <c r="H1282" t="s">
        <v>47126</v>
      </c>
      <c r="I1282" t="s">
        <v>47127</v>
      </c>
      <c r="J1282" t="s">
        <v>47128</v>
      </c>
      <c r="K1282" t="s">
        <v>47113</v>
      </c>
      <c r="L1282">
        <v>27.17</v>
      </c>
      <c r="M1282">
        <v>66</v>
      </c>
      <c r="N1282">
        <v>0</v>
      </c>
      <c r="O1282">
        <v>66</v>
      </c>
      <c r="P1282">
        <v>0</v>
      </c>
    </row>
    <row r="1283" spans="1:16" x14ac:dyDescent="0.25">
      <c r="A1283" t="s">
        <v>23766</v>
      </c>
      <c r="B1283" t="s">
        <v>2242</v>
      </c>
      <c r="C1283" t="s">
        <v>387</v>
      </c>
      <c r="D1283" t="str">
        <f>"4643"</f>
        <v>4643</v>
      </c>
      <c r="E1283" t="s">
        <v>205</v>
      </c>
      <c r="F1283" t="s">
        <v>2068</v>
      </c>
      <c r="G1283" t="s">
        <v>46686</v>
      </c>
      <c r="H1283" t="s">
        <v>47126</v>
      </c>
      <c r="I1283" t="s">
        <v>47127</v>
      </c>
      <c r="J1283" t="s">
        <v>47128</v>
      </c>
      <c r="K1283" t="s">
        <v>47113</v>
      </c>
      <c r="L1283">
        <v>27.17</v>
      </c>
      <c r="M1283">
        <v>66</v>
      </c>
      <c r="N1283">
        <v>0</v>
      </c>
      <c r="O1283">
        <v>66</v>
      </c>
      <c r="P1283">
        <v>0</v>
      </c>
    </row>
    <row r="1284" spans="1:16" x14ac:dyDescent="0.25">
      <c r="A1284" t="s">
        <v>23767</v>
      </c>
      <c r="B1284" t="s">
        <v>2243</v>
      </c>
      <c r="C1284" t="s">
        <v>2244</v>
      </c>
      <c r="D1284" t="str">
        <f>"1001"</f>
        <v>1001</v>
      </c>
      <c r="E1284" t="s">
        <v>42</v>
      </c>
      <c r="F1284" t="s">
        <v>5</v>
      </c>
      <c r="G1284" t="s">
        <v>46686</v>
      </c>
      <c r="H1284" t="s">
        <v>47126</v>
      </c>
      <c r="I1284" t="s">
        <v>47127</v>
      </c>
      <c r="J1284" t="s">
        <v>47128</v>
      </c>
      <c r="K1284" t="s">
        <v>47113</v>
      </c>
      <c r="L1284">
        <v>38.86</v>
      </c>
      <c r="M1284">
        <v>90</v>
      </c>
      <c r="N1284">
        <v>0</v>
      </c>
      <c r="O1284">
        <v>90</v>
      </c>
      <c r="P1284">
        <v>0</v>
      </c>
    </row>
    <row r="1285" spans="1:16" x14ac:dyDescent="0.25">
      <c r="A1285" t="s">
        <v>23768</v>
      </c>
      <c r="B1285" t="s">
        <v>2243</v>
      </c>
      <c r="C1285" t="s">
        <v>2244</v>
      </c>
      <c r="D1285" t="str">
        <f>"1299"</f>
        <v>1299</v>
      </c>
      <c r="E1285" t="s">
        <v>73</v>
      </c>
      <c r="F1285" t="s">
        <v>5</v>
      </c>
      <c r="G1285" t="s">
        <v>46686</v>
      </c>
      <c r="H1285" t="s">
        <v>47126</v>
      </c>
      <c r="I1285" t="s">
        <v>47127</v>
      </c>
      <c r="J1285" t="s">
        <v>47128</v>
      </c>
      <c r="K1285" t="s">
        <v>47113</v>
      </c>
      <c r="L1285">
        <v>38.86</v>
      </c>
      <c r="M1285">
        <v>90</v>
      </c>
      <c r="N1285">
        <v>0</v>
      </c>
      <c r="O1285">
        <v>90</v>
      </c>
      <c r="P1285">
        <v>0</v>
      </c>
    </row>
    <row r="1286" spans="1:16" x14ac:dyDescent="0.25">
      <c r="A1286" t="s">
        <v>23769</v>
      </c>
      <c r="B1286" t="s">
        <v>2243</v>
      </c>
      <c r="C1286" t="s">
        <v>2244</v>
      </c>
      <c r="D1286" t="str">
        <f>"2166"</f>
        <v>2166</v>
      </c>
      <c r="E1286" t="s">
        <v>80</v>
      </c>
      <c r="F1286" t="s">
        <v>5</v>
      </c>
      <c r="G1286" t="s">
        <v>46686</v>
      </c>
      <c r="H1286" t="s">
        <v>47126</v>
      </c>
      <c r="I1286" t="s">
        <v>47127</v>
      </c>
      <c r="J1286" t="s">
        <v>47128</v>
      </c>
      <c r="K1286" t="s">
        <v>47113</v>
      </c>
      <c r="L1286">
        <v>38.86</v>
      </c>
      <c r="M1286">
        <v>90</v>
      </c>
      <c r="N1286">
        <v>0</v>
      </c>
      <c r="O1286">
        <v>90</v>
      </c>
      <c r="P1286">
        <v>0</v>
      </c>
    </row>
    <row r="1287" spans="1:16" x14ac:dyDescent="0.25">
      <c r="A1287" t="s">
        <v>23770</v>
      </c>
      <c r="B1287" t="s">
        <v>2243</v>
      </c>
      <c r="C1287" t="s">
        <v>2244</v>
      </c>
      <c r="D1287" t="str">
        <f>"3449"</f>
        <v>3449</v>
      </c>
      <c r="E1287" t="s">
        <v>90</v>
      </c>
      <c r="F1287" t="s">
        <v>5</v>
      </c>
      <c r="G1287" t="s">
        <v>46686</v>
      </c>
      <c r="H1287" t="s">
        <v>47126</v>
      </c>
      <c r="I1287" t="s">
        <v>47127</v>
      </c>
      <c r="J1287" t="s">
        <v>47128</v>
      </c>
      <c r="K1287" t="s">
        <v>47113</v>
      </c>
      <c r="L1287">
        <v>38.86</v>
      </c>
      <c r="M1287">
        <v>90</v>
      </c>
      <c r="N1287">
        <v>0</v>
      </c>
      <c r="O1287">
        <v>90</v>
      </c>
      <c r="P1287">
        <v>0</v>
      </c>
    </row>
    <row r="1288" spans="1:16" x14ac:dyDescent="0.25">
      <c r="A1288" t="s">
        <v>23771</v>
      </c>
      <c r="B1288" t="s">
        <v>2243</v>
      </c>
      <c r="C1288" t="s">
        <v>2244</v>
      </c>
      <c r="D1288" t="str">
        <f>"4348"</f>
        <v>4348</v>
      </c>
      <c r="E1288" t="s">
        <v>91</v>
      </c>
      <c r="F1288" t="s">
        <v>5</v>
      </c>
      <c r="G1288" t="s">
        <v>46686</v>
      </c>
      <c r="H1288" t="s">
        <v>47126</v>
      </c>
      <c r="I1288" t="s">
        <v>47127</v>
      </c>
      <c r="J1288" t="s">
        <v>47128</v>
      </c>
      <c r="K1288" t="s">
        <v>47113</v>
      </c>
      <c r="L1288">
        <v>38.86</v>
      </c>
      <c r="M1288">
        <v>90</v>
      </c>
      <c r="N1288">
        <v>0</v>
      </c>
      <c r="O1288">
        <v>90</v>
      </c>
      <c r="P1288">
        <v>0</v>
      </c>
    </row>
    <row r="1289" spans="1:16" x14ac:dyDescent="0.25">
      <c r="A1289" t="s">
        <v>23772</v>
      </c>
      <c r="B1289" t="s">
        <v>2245</v>
      </c>
      <c r="C1289" t="s">
        <v>2246</v>
      </c>
      <c r="D1289" t="str">
        <f>"1553"</f>
        <v>1553</v>
      </c>
      <c r="E1289" t="s">
        <v>2247</v>
      </c>
      <c r="F1289" t="s">
        <v>5</v>
      </c>
      <c r="G1289" t="s">
        <v>46686</v>
      </c>
      <c r="H1289" t="s">
        <v>47126</v>
      </c>
      <c r="I1289" t="s">
        <v>47127</v>
      </c>
      <c r="J1289" t="s">
        <v>47128</v>
      </c>
      <c r="K1289" t="s">
        <v>47113</v>
      </c>
      <c r="L1289">
        <v>44.15</v>
      </c>
      <c r="M1289">
        <v>103</v>
      </c>
      <c r="N1289">
        <v>0</v>
      </c>
      <c r="O1289">
        <v>103</v>
      </c>
      <c r="P1289">
        <v>0</v>
      </c>
    </row>
    <row r="1290" spans="1:16" x14ac:dyDescent="0.25">
      <c r="A1290" t="s">
        <v>23773</v>
      </c>
      <c r="B1290" t="s">
        <v>2245</v>
      </c>
      <c r="C1290" t="s">
        <v>2246</v>
      </c>
      <c r="D1290" t="str">
        <f>"2000"</f>
        <v>2000</v>
      </c>
      <c r="E1290" t="s">
        <v>248</v>
      </c>
      <c r="F1290" t="s">
        <v>5</v>
      </c>
      <c r="G1290" t="s">
        <v>46686</v>
      </c>
      <c r="H1290" t="s">
        <v>47126</v>
      </c>
      <c r="I1290" t="s">
        <v>47127</v>
      </c>
      <c r="J1290" t="s">
        <v>47128</v>
      </c>
      <c r="K1290" t="s">
        <v>47113</v>
      </c>
      <c r="L1290">
        <v>44.15</v>
      </c>
      <c r="M1290">
        <v>103</v>
      </c>
      <c r="N1290">
        <v>0</v>
      </c>
      <c r="O1290">
        <v>103</v>
      </c>
      <c r="P1290">
        <v>0</v>
      </c>
    </row>
    <row r="1291" spans="1:16" x14ac:dyDescent="0.25">
      <c r="A1291" t="s">
        <v>23774</v>
      </c>
      <c r="B1291" t="s">
        <v>2245</v>
      </c>
      <c r="C1291" t="s">
        <v>2246</v>
      </c>
      <c r="D1291" t="str">
        <f>"2502"</f>
        <v>2502</v>
      </c>
      <c r="E1291" t="s">
        <v>260</v>
      </c>
      <c r="F1291" t="s">
        <v>5</v>
      </c>
      <c r="G1291" t="s">
        <v>46686</v>
      </c>
      <c r="H1291" t="s">
        <v>47126</v>
      </c>
      <c r="I1291" t="s">
        <v>47127</v>
      </c>
      <c r="J1291" t="s">
        <v>47128</v>
      </c>
      <c r="K1291" t="s">
        <v>47113</v>
      </c>
      <c r="L1291">
        <v>44.15</v>
      </c>
      <c r="M1291">
        <v>103</v>
      </c>
      <c r="N1291">
        <v>0</v>
      </c>
      <c r="O1291">
        <v>103</v>
      </c>
      <c r="P1291">
        <v>0</v>
      </c>
    </row>
    <row r="1292" spans="1:16" x14ac:dyDescent="0.25">
      <c r="A1292" t="s">
        <v>23775</v>
      </c>
      <c r="B1292" t="s">
        <v>2245</v>
      </c>
      <c r="C1292" t="s">
        <v>2246</v>
      </c>
      <c r="D1292" t="str">
        <f>"4000"</f>
        <v>4000</v>
      </c>
      <c r="E1292" t="s">
        <v>190</v>
      </c>
      <c r="F1292" t="s">
        <v>5</v>
      </c>
      <c r="G1292" t="s">
        <v>46686</v>
      </c>
      <c r="H1292" t="s">
        <v>47126</v>
      </c>
      <c r="I1292" t="s">
        <v>47127</v>
      </c>
      <c r="J1292" t="s">
        <v>47128</v>
      </c>
      <c r="K1292" t="s">
        <v>47113</v>
      </c>
      <c r="L1292">
        <v>44.15</v>
      </c>
      <c r="M1292">
        <v>103</v>
      </c>
      <c r="N1292">
        <v>0</v>
      </c>
      <c r="O1292">
        <v>103</v>
      </c>
      <c r="P1292">
        <v>0</v>
      </c>
    </row>
    <row r="1293" spans="1:16" x14ac:dyDescent="0.25">
      <c r="A1293" t="s">
        <v>23776</v>
      </c>
      <c r="B1293" t="s">
        <v>2248</v>
      </c>
      <c r="C1293" t="s">
        <v>2249</v>
      </c>
      <c r="D1293" t="str">
        <f>"1550"</f>
        <v>1550</v>
      </c>
      <c r="E1293" t="s">
        <v>2250</v>
      </c>
      <c r="F1293" t="s">
        <v>5</v>
      </c>
      <c r="G1293" t="s">
        <v>46686</v>
      </c>
      <c r="H1293" t="s">
        <v>47126</v>
      </c>
      <c r="I1293" t="s">
        <v>47127</v>
      </c>
      <c r="J1293" t="s">
        <v>47128</v>
      </c>
      <c r="K1293" t="s">
        <v>47113</v>
      </c>
      <c r="L1293">
        <v>52.88</v>
      </c>
      <c r="M1293">
        <v>123</v>
      </c>
      <c r="N1293">
        <v>0</v>
      </c>
      <c r="O1293">
        <v>123</v>
      </c>
      <c r="P1293">
        <v>0</v>
      </c>
    </row>
    <row r="1294" spans="1:16" x14ac:dyDescent="0.25">
      <c r="A1294" t="s">
        <v>23777</v>
      </c>
      <c r="B1294" t="s">
        <v>2248</v>
      </c>
      <c r="C1294" t="s">
        <v>2249</v>
      </c>
      <c r="D1294" t="str">
        <f>"2168"</f>
        <v>2168</v>
      </c>
      <c r="E1294" t="s">
        <v>2251</v>
      </c>
      <c r="F1294" t="s">
        <v>5</v>
      </c>
      <c r="G1294" t="s">
        <v>46686</v>
      </c>
      <c r="H1294" t="s">
        <v>47126</v>
      </c>
      <c r="I1294" t="s">
        <v>47127</v>
      </c>
      <c r="J1294" t="s">
        <v>47128</v>
      </c>
      <c r="K1294" t="s">
        <v>47113</v>
      </c>
      <c r="L1294">
        <v>52.88</v>
      </c>
      <c r="M1294">
        <v>123</v>
      </c>
      <c r="N1294">
        <v>0</v>
      </c>
      <c r="O1294">
        <v>123</v>
      </c>
      <c r="P1294">
        <v>0</v>
      </c>
    </row>
    <row r="1295" spans="1:16" x14ac:dyDescent="0.25">
      <c r="A1295" t="s">
        <v>23778</v>
      </c>
      <c r="B1295" t="s">
        <v>2248</v>
      </c>
      <c r="C1295" t="s">
        <v>2249</v>
      </c>
      <c r="D1295" t="str">
        <f>"3453"</f>
        <v>3453</v>
      </c>
      <c r="E1295" t="s">
        <v>2252</v>
      </c>
      <c r="F1295" t="s">
        <v>5</v>
      </c>
      <c r="G1295" t="s">
        <v>46686</v>
      </c>
      <c r="H1295" t="s">
        <v>47126</v>
      </c>
      <c r="I1295" t="s">
        <v>47127</v>
      </c>
      <c r="J1295" t="s">
        <v>47128</v>
      </c>
      <c r="K1295" t="s">
        <v>47113</v>
      </c>
      <c r="L1295">
        <v>52.88</v>
      </c>
      <c r="M1295">
        <v>123</v>
      </c>
      <c r="N1295">
        <v>0</v>
      </c>
      <c r="O1295">
        <v>123</v>
      </c>
      <c r="P1295">
        <v>0</v>
      </c>
    </row>
    <row r="1296" spans="1:16" x14ac:dyDescent="0.25">
      <c r="A1296" t="s">
        <v>23779</v>
      </c>
      <c r="B1296" t="s">
        <v>2248</v>
      </c>
      <c r="C1296" t="s">
        <v>2249</v>
      </c>
      <c r="D1296" t="str">
        <f>"4351"</f>
        <v>4351</v>
      </c>
      <c r="E1296" t="s">
        <v>2253</v>
      </c>
      <c r="F1296" t="s">
        <v>5</v>
      </c>
      <c r="G1296" t="s">
        <v>46686</v>
      </c>
      <c r="H1296" t="s">
        <v>47126</v>
      </c>
      <c r="I1296" t="s">
        <v>47127</v>
      </c>
      <c r="J1296" t="s">
        <v>47128</v>
      </c>
      <c r="K1296" t="s">
        <v>47113</v>
      </c>
      <c r="L1296">
        <v>52.88</v>
      </c>
      <c r="M1296">
        <v>123</v>
      </c>
      <c r="N1296">
        <v>0</v>
      </c>
      <c r="O1296">
        <v>123</v>
      </c>
      <c r="P1296">
        <v>0</v>
      </c>
    </row>
    <row r="1297" spans="1:16" x14ac:dyDescent="0.25">
      <c r="A1297" t="s">
        <v>23780</v>
      </c>
      <c r="B1297" t="s">
        <v>2254</v>
      </c>
      <c r="C1297" t="s">
        <v>2255</v>
      </c>
      <c r="D1297" t="str">
        <f>"2169"</f>
        <v>2169</v>
      </c>
      <c r="E1297" t="s">
        <v>2256</v>
      </c>
      <c r="F1297" t="s">
        <v>5</v>
      </c>
      <c r="G1297" t="s">
        <v>46686</v>
      </c>
      <c r="H1297" t="s">
        <v>47126</v>
      </c>
      <c r="I1297" t="s">
        <v>47127</v>
      </c>
      <c r="J1297" t="s">
        <v>47128</v>
      </c>
      <c r="K1297" t="s">
        <v>47113</v>
      </c>
      <c r="L1297">
        <v>46.33</v>
      </c>
      <c r="M1297">
        <v>108</v>
      </c>
      <c r="N1297">
        <v>0</v>
      </c>
      <c r="O1297">
        <v>108</v>
      </c>
      <c r="P1297">
        <v>0</v>
      </c>
    </row>
    <row r="1298" spans="1:16" x14ac:dyDescent="0.25">
      <c r="A1298" t="s">
        <v>23781</v>
      </c>
      <c r="B1298" t="s">
        <v>2254</v>
      </c>
      <c r="C1298" t="s">
        <v>2255</v>
      </c>
      <c r="D1298" t="str">
        <f>"3262"</f>
        <v>3262</v>
      </c>
      <c r="E1298" t="s">
        <v>2257</v>
      </c>
      <c r="F1298" t="s">
        <v>5</v>
      </c>
      <c r="G1298" t="s">
        <v>46686</v>
      </c>
      <c r="H1298" t="s">
        <v>47126</v>
      </c>
      <c r="I1298" t="s">
        <v>47127</v>
      </c>
      <c r="J1298" t="s">
        <v>47128</v>
      </c>
      <c r="K1298" t="s">
        <v>47113</v>
      </c>
      <c r="L1298">
        <v>46.33</v>
      </c>
      <c r="M1298">
        <v>108</v>
      </c>
      <c r="N1298">
        <v>0</v>
      </c>
      <c r="O1298">
        <v>108</v>
      </c>
      <c r="P1298">
        <v>0</v>
      </c>
    </row>
    <row r="1299" spans="1:16" x14ac:dyDescent="0.25">
      <c r="A1299" t="s">
        <v>23782</v>
      </c>
      <c r="B1299" t="s">
        <v>2254</v>
      </c>
      <c r="C1299" t="s">
        <v>2255</v>
      </c>
      <c r="D1299" t="str">
        <f>"4351"</f>
        <v>4351</v>
      </c>
      <c r="E1299" t="s">
        <v>2253</v>
      </c>
      <c r="F1299" t="s">
        <v>5</v>
      </c>
      <c r="G1299" t="s">
        <v>46686</v>
      </c>
      <c r="H1299" t="s">
        <v>47126</v>
      </c>
      <c r="I1299" t="s">
        <v>47127</v>
      </c>
      <c r="J1299" t="s">
        <v>47128</v>
      </c>
      <c r="K1299" t="s">
        <v>47113</v>
      </c>
      <c r="L1299">
        <v>46.33</v>
      </c>
      <c r="M1299">
        <v>108</v>
      </c>
      <c r="N1299">
        <v>0</v>
      </c>
      <c r="O1299">
        <v>108</v>
      </c>
      <c r="P1299">
        <v>0</v>
      </c>
    </row>
    <row r="1300" spans="1:16" x14ac:dyDescent="0.25">
      <c r="A1300" t="s">
        <v>23783</v>
      </c>
      <c r="B1300" t="s">
        <v>2258</v>
      </c>
      <c r="C1300" t="s">
        <v>2259</v>
      </c>
      <c r="D1300" t="str">
        <f>"1550"</f>
        <v>1550</v>
      </c>
      <c r="E1300" t="s">
        <v>2250</v>
      </c>
      <c r="F1300" t="s">
        <v>5</v>
      </c>
      <c r="G1300" t="s">
        <v>46686</v>
      </c>
      <c r="H1300" t="s">
        <v>47126</v>
      </c>
      <c r="I1300" t="s">
        <v>47127</v>
      </c>
      <c r="J1300" t="s">
        <v>47128</v>
      </c>
      <c r="K1300" t="s">
        <v>47113</v>
      </c>
      <c r="L1300">
        <v>53.46</v>
      </c>
      <c r="M1300">
        <v>125</v>
      </c>
      <c r="N1300">
        <v>0</v>
      </c>
      <c r="O1300">
        <v>125</v>
      </c>
      <c r="P1300">
        <v>0</v>
      </c>
    </row>
    <row r="1301" spans="1:16" x14ac:dyDescent="0.25">
      <c r="A1301" t="s">
        <v>23784</v>
      </c>
      <c r="B1301" t="s">
        <v>2258</v>
      </c>
      <c r="C1301" t="s">
        <v>2259</v>
      </c>
      <c r="D1301" t="str">
        <f>"2168"</f>
        <v>2168</v>
      </c>
      <c r="E1301" t="s">
        <v>2251</v>
      </c>
      <c r="F1301" t="s">
        <v>5</v>
      </c>
      <c r="G1301" t="s">
        <v>46686</v>
      </c>
      <c r="H1301" t="s">
        <v>47126</v>
      </c>
      <c r="I1301" t="s">
        <v>47127</v>
      </c>
      <c r="J1301" t="s">
        <v>47128</v>
      </c>
      <c r="K1301" t="s">
        <v>47113</v>
      </c>
      <c r="L1301">
        <v>53.46</v>
      </c>
      <c r="M1301">
        <v>125</v>
      </c>
      <c r="N1301">
        <v>0</v>
      </c>
      <c r="O1301">
        <v>125</v>
      </c>
      <c r="P1301">
        <v>0</v>
      </c>
    </row>
    <row r="1302" spans="1:16" x14ac:dyDescent="0.25">
      <c r="A1302" t="s">
        <v>23785</v>
      </c>
      <c r="B1302" t="s">
        <v>2258</v>
      </c>
      <c r="C1302" t="s">
        <v>2259</v>
      </c>
      <c r="D1302" t="str">
        <f>"3454"</f>
        <v>3454</v>
      </c>
      <c r="E1302" t="s">
        <v>2260</v>
      </c>
      <c r="F1302" t="s">
        <v>5</v>
      </c>
      <c r="G1302" t="s">
        <v>46686</v>
      </c>
      <c r="H1302" t="s">
        <v>47126</v>
      </c>
      <c r="I1302" t="s">
        <v>47127</v>
      </c>
      <c r="J1302" t="s">
        <v>47128</v>
      </c>
      <c r="K1302" t="s">
        <v>47113</v>
      </c>
      <c r="L1302">
        <v>53.46</v>
      </c>
      <c r="M1302">
        <v>125</v>
      </c>
      <c r="N1302">
        <v>0</v>
      </c>
      <c r="O1302">
        <v>125</v>
      </c>
      <c r="P1302">
        <v>0</v>
      </c>
    </row>
    <row r="1303" spans="1:16" x14ac:dyDescent="0.25">
      <c r="A1303" t="s">
        <v>23786</v>
      </c>
      <c r="B1303" t="s">
        <v>2261</v>
      </c>
      <c r="C1303" t="s">
        <v>2262</v>
      </c>
      <c r="D1303" t="str">
        <f>"1551"</f>
        <v>1551</v>
      </c>
      <c r="E1303" t="s">
        <v>2263</v>
      </c>
      <c r="F1303" t="s">
        <v>5</v>
      </c>
      <c r="G1303" t="s">
        <v>46686</v>
      </c>
      <c r="H1303" t="s">
        <v>47126</v>
      </c>
      <c r="I1303" t="s">
        <v>47127</v>
      </c>
      <c r="J1303" t="s">
        <v>47128</v>
      </c>
      <c r="K1303" t="s">
        <v>47113</v>
      </c>
      <c r="L1303">
        <v>46.33</v>
      </c>
      <c r="M1303">
        <v>106</v>
      </c>
      <c r="N1303">
        <v>0</v>
      </c>
      <c r="O1303">
        <v>106</v>
      </c>
      <c r="P1303">
        <v>0</v>
      </c>
    </row>
    <row r="1304" spans="1:16" x14ac:dyDescent="0.25">
      <c r="A1304" t="s">
        <v>23787</v>
      </c>
      <c r="B1304" t="s">
        <v>2261</v>
      </c>
      <c r="C1304" t="s">
        <v>2262</v>
      </c>
      <c r="D1304" t="str">
        <f>"4352"</f>
        <v>4352</v>
      </c>
      <c r="E1304" t="s">
        <v>2264</v>
      </c>
      <c r="F1304" t="s">
        <v>5</v>
      </c>
      <c r="G1304" t="s">
        <v>46686</v>
      </c>
      <c r="H1304" t="s">
        <v>47126</v>
      </c>
      <c r="I1304" t="s">
        <v>47127</v>
      </c>
      <c r="J1304" t="s">
        <v>47128</v>
      </c>
      <c r="K1304" t="s">
        <v>47113</v>
      </c>
      <c r="L1304">
        <v>46.33</v>
      </c>
      <c r="M1304">
        <v>106</v>
      </c>
      <c r="N1304">
        <v>0</v>
      </c>
      <c r="O1304">
        <v>106</v>
      </c>
      <c r="P1304">
        <v>0</v>
      </c>
    </row>
    <row r="1305" spans="1:16" x14ac:dyDescent="0.25">
      <c r="A1305" t="s">
        <v>23788</v>
      </c>
      <c r="B1305" t="s">
        <v>2265</v>
      </c>
      <c r="C1305" t="s">
        <v>2266</v>
      </c>
      <c r="D1305" t="str">
        <f>"2000"</f>
        <v>2000</v>
      </c>
      <c r="E1305" t="s">
        <v>248</v>
      </c>
      <c r="F1305" t="s">
        <v>5</v>
      </c>
      <c r="G1305" t="s">
        <v>46686</v>
      </c>
      <c r="H1305" t="s">
        <v>47126</v>
      </c>
      <c r="I1305" t="s">
        <v>47127</v>
      </c>
      <c r="J1305" t="s">
        <v>47128</v>
      </c>
      <c r="K1305" t="s">
        <v>47113</v>
      </c>
      <c r="L1305">
        <v>64.73</v>
      </c>
      <c r="M1305">
        <v>150</v>
      </c>
      <c r="N1305">
        <v>0</v>
      </c>
      <c r="O1305">
        <v>150</v>
      </c>
      <c r="P1305">
        <v>0</v>
      </c>
    </row>
    <row r="1306" spans="1:16" x14ac:dyDescent="0.25">
      <c r="A1306" t="s">
        <v>23789</v>
      </c>
      <c r="B1306" t="s">
        <v>2267</v>
      </c>
      <c r="C1306" t="s">
        <v>2268</v>
      </c>
      <c r="D1306" t="str">
        <f>"2000"</f>
        <v>2000</v>
      </c>
      <c r="E1306" t="s">
        <v>248</v>
      </c>
      <c r="F1306" t="s">
        <v>5</v>
      </c>
      <c r="G1306" t="s">
        <v>46686</v>
      </c>
      <c r="H1306" t="s">
        <v>47126</v>
      </c>
      <c r="I1306" t="s">
        <v>47127</v>
      </c>
      <c r="J1306" t="s">
        <v>47128</v>
      </c>
      <c r="K1306" t="s">
        <v>47113</v>
      </c>
      <c r="L1306">
        <v>67.37</v>
      </c>
      <c r="M1306">
        <v>158</v>
      </c>
      <c r="N1306">
        <v>0</v>
      </c>
      <c r="O1306">
        <v>158</v>
      </c>
      <c r="P1306">
        <v>0</v>
      </c>
    </row>
    <row r="1307" spans="1:16" x14ac:dyDescent="0.25">
      <c r="A1307" t="s">
        <v>23790</v>
      </c>
      <c r="B1307" t="s">
        <v>2269</v>
      </c>
      <c r="C1307" t="s">
        <v>2270</v>
      </c>
      <c r="D1307" t="str">
        <f>"1299"</f>
        <v>1299</v>
      </c>
      <c r="E1307" t="s">
        <v>73</v>
      </c>
      <c r="F1307" t="s">
        <v>5</v>
      </c>
      <c r="G1307" t="s">
        <v>46686</v>
      </c>
      <c r="H1307" t="s">
        <v>47126</v>
      </c>
      <c r="I1307" t="s">
        <v>47127</v>
      </c>
      <c r="J1307" t="s">
        <v>47128</v>
      </c>
      <c r="K1307" t="s">
        <v>47113</v>
      </c>
      <c r="L1307">
        <v>40.93</v>
      </c>
      <c r="M1307">
        <v>95</v>
      </c>
      <c r="N1307">
        <v>0</v>
      </c>
      <c r="O1307">
        <v>95</v>
      </c>
      <c r="P1307">
        <v>0</v>
      </c>
    </row>
    <row r="1308" spans="1:16" x14ac:dyDescent="0.25">
      <c r="A1308" t="s">
        <v>23791</v>
      </c>
      <c r="B1308" t="s">
        <v>2269</v>
      </c>
      <c r="C1308" t="s">
        <v>2270</v>
      </c>
      <c r="D1308" t="str">
        <f>"2166"</f>
        <v>2166</v>
      </c>
      <c r="E1308" t="s">
        <v>80</v>
      </c>
      <c r="F1308" t="s">
        <v>5</v>
      </c>
      <c r="G1308" t="s">
        <v>46686</v>
      </c>
      <c r="H1308" t="s">
        <v>47126</v>
      </c>
      <c r="I1308" t="s">
        <v>47127</v>
      </c>
      <c r="J1308" t="s">
        <v>47128</v>
      </c>
      <c r="K1308" t="s">
        <v>47113</v>
      </c>
      <c r="L1308">
        <v>40.93</v>
      </c>
      <c r="M1308">
        <v>95</v>
      </c>
      <c r="N1308">
        <v>0</v>
      </c>
      <c r="O1308">
        <v>95</v>
      </c>
      <c r="P1308">
        <v>0</v>
      </c>
    </row>
    <row r="1309" spans="1:16" x14ac:dyDescent="0.25">
      <c r="A1309" t="s">
        <v>23792</v>
      </c>
      <c r="B1309" t="s">
        <v>2269</v>
      </c>
      <c r="C1309" t="s">
        <v>2270</v>
      </c>
      <c r="D1309" t="str">
        <f>"3449"</f>
        <v>3449</v>
      </c>
      <c r="E1309" t="s">
        <v>90</v>
      </c>
      <c r="F1309" t="s">
        <v>5</v>
      </c>
      <c r="G1309" t="s">
        <v>46686</v>
      </c>
      <c r="H1309" t="s">
        <v>47126</v>
      </c>
      <c r="I1309" t="s">
        <v>47127</v>
      </c>
      <c r="J1309" t="s">
        <v>47128</v>
      </c>
      <c r="K1309" t="s">
        <v>47113</v>
      </c>
      <c r="L1309">
        <v>40.93</v>
      </c>
      <c r="M1309">
        <v>95</v>
      </c>
      <c r="N1309">
        <v>0</v>
      </c>
      <c r="O1309">
        <v>95</v>
      </c>
      <c r="P1309">
        <v>0</v>
      </c>
    </row>
    <row r="1310" spans="1:16" x14ac:dyDescent="0.25">
      <c r="A1310" t="s">
        <v>23793</v>
      </c>
      <c r="B1310" t="s">
        <v>2269</v>
      </c>
      <c r="C1310" t="s">
        <v>2270</v>
      </c>
      <c r="D1310" t="str">
        <f>"4348"</f>
        <v>4348</v>
      </c>
      <c r="E1310" t="s">
        <v>91</v>
      </c>
      <c r="F1310" t="s">
        <v>5</v>
      </c>
      <c r="G1310" t="s">
        <v>46686</v>
      </c>
      <c r="H1310" t="s">
        <v>47126</v>
      </c>
      <c r="I1310" t="s">
        <v>47127</v>
      </c>
      <c r="J1310" t="s">
        <v>47128</v>
      </c>
      <c r="K1310" t="s">
        <v>47113</v>
      </c>
      <c r="L1310">
        <v>40.93</v>
      </c>
      <c r="M1310">
        <v>95</v>
      </c>
      <c r="N1310">
        <v>0</v>
      </c>
      <c r="O1310">
        <v>95</v>
      </c>
      <c r="P1310">
        <v>0</v>
      </c>
    </row>
    <row r="1311" spans="1:16" x14ac:dyDescent="0.25">
      <c r="A1311" t="s">
        <v>23794</v>
      </c>
      <c r="B1311" t="s">
        <v>2269</v>
      </c>
      <c r="C1311" t="s">
        <v>2270</v>
      </c>
      <c r="D1311" t="str">
        <f>"4643"</f>
        <v>4643</v>
      </c>
      <c r="E1311" t="s">
        <v>205</v>
      </c>
      <c r="F1311" t="s">
        <v>5</v>
      </c>
      <c r="G1311" t="s">
        <v>46686</v>
      </c>
      <c r="H1311" t="s">
        <v>47126</v>
      </c>
      <c r="I1311" t="s">
        <v>47127</v>
      </c>
      <c r="J1311" t="s">
        <v>47128</v>
      </c>
      <c r="K1311" t="s">
        <v>47113</v>
      </c>
      <c r="L1311">
        <v>40.93</v>
      </c>
      <c r="M1311">
        <v>95</v>
      </c>
      <c r="N1311">
        <v>0</v>
      </c>
      <c r="O1311">
        <v>95</v>
      </c>
      <c r="P1311">
        <v>0</v>
      </c>
    </row>
    <row r="1312" spans="1:16" x14ac:dyDescent="0.25">
      <c r="A1312" t="s">
        <v>23795</v>
      </c>
      <c r="B1312" t="s">
        <v>2271</v>
      </c>
      <c r="C1312" t="s">
        <v>2272</v>
      </c>
      <c r="D1312" t="str">
        <f>"1383"</f>
        <v>1383</v>
      </c>
      <c r="E1312" t="s">
        <v>2273</v>
      </c>
      <c r="F1312" t="s">
        <v>5</v>
      </c>
      <c r="G1312" t="s">
        <v>46686</v>
      </c>
      <c r="H1312" t="s">
        <v>47126</v>
      </c>
      <c r="I1312" t="s">
        <v>47127</v>
      </c>
      <c r="J1312" t="s">
        <v>47128</v>
      </c>
      <c r="K1312" t="s">
        <v>47113</v>
      </c>
      <c r="L1312">
        <v>40.93</v>
      </c>
      <c r="M1312">
        <v>95</v>
      </c>
      <c r="N1312">
        <v>0</v>
      </c>
      <c r="O1312">
        <v>95</v>
      </c>
      <c r="P1312">
        <v>0</v>
      </c>
    </row>
    <row r="1313" spans="1:16" x14ac:dyDescent="0.25">
      <c r="A1313" t="s">
        <v>23796</v>
      </c>
      <c r="B1313" t="s">
        <v>2271</v>
      </c>
      <c r="C1313" t="s">
        <v>2272</v>
      </c>
      <c r="D1313" t="str">
        <f>"5344"</f>
        <v>5344</v>
      </c>
      <c r="E1313" t="s">
        <v>2274</v>
      </c>
      <c r="F1313" t="s">
        <v>5</v>
      </c>
      <c r="G1313" t="s">
        <v>46686</v>
      </c>
      <c r="H1313" t="s">
        <v>47126</v>
      </c>
      <c r="I1313" t="s">
        <v>47127</v>
      </c>
      <c r="J1313" t="s">
        <v>47128</v>
      </c>
      <c r="K1313" t="s">
        <v>47113</v>
      </c>
      <c r="L1313">
        <v>40.93</v>
      </c>
      <c r="M1313">
        <v>95</v>
      </c>
      <c r="N1313">
        <v>0</v>
      </c>
      <c r="O1313">
        <v>95</v>
      </c>
      <c r="P1313">
        <v>0</v>
      </c>
    </row>
    <row r="1314" spans="1:16" x14ac:dyDescent="0.25">
      <c r="A1314" t="s">
        <v>23797</v>
      </c>
      <c r="B1314" t="s">
        <v>2275</v>
      </c>
      <c r="C1314" t="s">
        <v>2276</v>
      </c>
      <c r="D1314" t="str">
        <f>"1299"</f>
        <v>1299</v>
      </c>
      <c r="E1314" t="s">
        <v>73</v>
      </c>
      <c r="F1314" t="s">
        <v>5</v>
      </c>
      <c r="G1314" t="s">
        <v>46686</v>
      </c>
      <c r="H1314" t="s">
        <v>47126</v>
      </c>
      <c r="I1314" t="s">
        <v>47127</v>
      </c>
      <c r="J1314" t="s">
        <v>47128</v>
      </c>
      <c r="K1314" t="s">
        <v>47113</v>
      </c>
      <c r="L1314">
        <v>39.21</v>
      </c>
      <c r="M1314">
        <v>90</v>
      </c>
      <c r="N1314">
        <v>0</v>
      </c>
      <c r="O1314">
        <v>90</v>
      </c>
      <c r="P1314">
        <v>0</v>
      </c>
    </row>
    <row r="1315" spans="1:16" x14ac:dyDescent="0.25">
      <c r="A1315" t="s">
        <v>23798</v>
      </c>
      <c r="B1315" t="s">
        <v>2275</v>
      </c>
      <c r="C1315" t="s">
        <v>2276</v>
      </c>
      <c r="D1315" t="str">
        <f>"2166"</f>
        <v>2166</v>
      </c>
      <c r="E1315" t="s">
        <v>80</v>
      </c>
      <c r="F1315" t="s">
        <v>5</v>
      </c>
      <c r="G1315" t="s">
        <v>46686</v>
      </c>
      <c r="H1315" t="s">
        <v>47126</v>
      </c>
      <c r="I1315" t="s">
        <v>47127</v>
      </c>
      <c r="J1315" t="s">
        <v>47128</v>
      </c>
      <c r="K1315" t="s">
        <v>47113</v>
      </c>
      <c r="L1315">
        <v>39.21</v>
      </c>
      <c r="M1315">
        <v>90</v>
      </c>
      <c r="N1315">
        <v>0</v>
      </c>
      <c r="O1315">
        <v>90</v>
      </c>
      <c r="P1315">
        <v>0</v>
      </c>
    </row>
    <row r="1316" spans="1:16" x14ac:dyDescent="0.25">
      <c r="A1316" t="s">
        <v>23799</v>
      </c>
      <c r="B1316" t="s">
        <v>2275</v>
      </c>
      <c r="C1316" t="s">
        <v>2276</v>
      </c>
      <c r="D1316" t="str">
        <f>"3449"</f>
        <v>3449</v>
      </c>
      <c r="E1316" t="s">
        <v>90</v>
      </c>
      <c r="F1316" t="s">
        <v>5</v>
      </c>
      <c r="G1316" t="s">
        <v>46686</v>
      </c>
      <c r="H1316" t="s">
        <v>47126</v>
      </c>
      <c r="I1316" t="s">
        <v>47127</v>
      </c>
      <c r="J1316" t="s">
        <v>47128</v>
      </c>
      <c r="K1316" t="s">
        <v>47113</v>
      </c>
      <c r="L1316">
        <v>39.21</v>
      </c>
      <c r="M1316">
        <v>90</v>
      </c>
      <c r="N1316">
        <v>0</v>
      </c>
      <c r="O1316">
        <v>90</v>
      </c>
      <c r="P1316">
        <v>0</v>
      </c>
    </row>
    <row r="1317" spans="1:16" x14ac:dyDescent="0.25">
      <c r="A1317" t="s">
        <v>23800</v>
      </c>
      <c r="B1317" t="s">
        <v>2275</v>
      </c>
      <c r="C1317" t="s">
        <v>2276</v>
      </c>
      <c r="D1317" t="str">
        <f>"4348"</f>
        <v>4348</v>
      </c>
      <c r="E1317" t="s">
        <v>91</v>
      </c>
      <c r="F1317" t="s">
        <v>5</v>
      </c>
      <c r="G1317" t="s">
        <v>46686</v>
      </c>
      <c r="H1317" t="s">
        <v>47126</v>
      </c>
      <c r="I1317" t="s">
        <v>47127</v>
      </c>
      <c r="J1317" t="s">
        <v>47128</v>
      </c>
      <c r="K1317" t="s">
        <v>47113</v>
      </c>
      <c r="L1317">
        <v>39.21</v>
      </c>
      <c r="M1317">
        <v>90</v>
      </c>
      <c r="N1317">
        <v>0</v>
      </c>
      <c r="O1317">
        <v>90</v>
      </c>
      <c r="P1317">
        <v>0</v>
      </c>
    </row>
    <row r="1318" spans="1:16" x14ac:dyDescent="0.25">
      <c r="A1318" t="s">
        <v>23801</v>
      </c>
      <c r="B1318" t="s">
        <v>2277</v>
      </c>
      <c r="C1318" t="s">
        <v>2278</v>
      </c>
      <c r="D1318" t="str">
        <f>"1001"</f>
        <v>1001</v>
      </c>
      <c r="E1318" t="s">
        <v>42</v>
      </c>
      <c r="F1318" t="s">
        <v>5</v>
      </c>
      <c r="G1318" t="s">
        <v>46686</v>
      </c>
      <c r="H1318" t="s">
        <v>47126</v>
      </c>
      <c r="I1318" t="s">
        <v>47127</v>
      </c>
      <c r="J1318" t="s">
        <v>47128</v>
      </c>
      <c r="K1318" t="s">
        <v>47113</v>
      </c>
      <c r="L1318">
        <v>28.4</v>
      </c>
      <c r="M1318">
        <v>65</v>
      </c>
      <c r="N1318">
        <v>0</v>
      </c>
      <c r="O1318">
        <v>65</v>
      </c>
      <c r="P1318">
        <v>0</v>
      </c>
    </row>
    <row r="1319" spans="1:16" x14ac:dyDescent="0.25">
      <c r="A1319" t="s">
        <v>23802</v>
      </c>
      <c r="B1319" t="s">
        <v>2277</v>
      </c>
      <c r="C1319" t="s">
        <v>2278</v>
      </c>
      <c r="D1319" t="str">
        <f>"1377"</f>
        <v>1377</v>
      </c>
      <c r="E1319" t="s">
        <v>74</v>
      </c>
      <c r="F1319" t="s">
        <v>5</v>
      </c>
      <c r="G1319" t="s">
        <v>46686</v>
      </c>
      <c r="H1319" t="s">
        <v>47126</v>
      </c>
      <c r="I1319" t="s">
        <v>47127</v>
      </c>
      <c r="J1319" t="s">
        <v>47128</v>
      </c>
      <c r="K1319" t="s">
        <v>47113</v>
      </c>
      <c r="L1319">
        <v>28.4</v>
      </c>
      <c r="M1319">
        <v>65</v>
      </c>
      <c r="N1319">
        <v>0</v>
      </c>
      <c r="O1319">
        <v>65</v>
      </c>
      <c r="P1319">
        <v>0</v>
      </c>
    </row>
    <row r="1320" spans="1:16" x14ac:dyDescent="0.25">
      <c r="A1320" t="s">
        <v>23803</v>
      </c>
      <c r="B1320" t="s">
        <v>2277</v>
      </c>
      <c r="C1320" t="s">
        <v>2278</v>
      </c>
      <c r="D1320" t="str">
        <f>"2166"</f>
        <v>2166</v>
      </c>
      <c r="E1320" t="s">
        <v>80</v>
      </c>
      <c r="F1320" t="s">
        <v>5</v>
      </c>
      <c r="G1320" t="s">
        <v>46686</v>
      </c>
      <c r="H1320" t="s">
        <v>47126</v>
      </c>
      <c r="I1320" t="s">
        <v>47127</v>
      </c>
      <c r="J1320" t="s">
        <v>47128</v>
      </c>
      <c r="K1320" t="s">
        <v>47113</v>
      </c>
      <c r="L1320">
        <v>28.4</v>
      </c>
      <c r="M1320">
        <v>65</v>
      </c>
      <c r="N1320">
        <v>0</v>
      </c>
      <c r="O1320">
        <v>65</v>
      </c>
      <c r="P1320">
        <v>0</v>
      </c>
    </row>
    <row r="1321" spans="1:16" x14ac:dyDescent="0.25">
      <c r="A1321" t="s">
        <v>23804</v>
      </c>
      <c r="B1321" t="s">
        <v>2277</v>
      </c>
      <c r="C1321" t="s">
        <v>2278</v>
      </c>
      <c r="D1321" t="str">
        <f>"3449"</f>
        <v>3449</v>
      </c>
      <c r="E1321" t="s">
        <v>90</v>
      </c>
      <c r="F1321" t="s">
        <v>5</v>
      </c>
      <c r="G1321" t="s">
        <v>46686</v>
      </c>
      <c r="H1321" t="s">
        <v>47126</v>
      </c>
      <c r="I1321" t="s">
        <v>47127</v>
      </c>
      <c r="J1321" t="s">
        <v>47128</v>
      </c>
      <c r="K1321" t="s">
        <v>47113</v>
      </c>
      <c r="L1321">
        <v>28.4</v>
      </c>
      <c r="M1321">
        <v>65</v>
      </c>
      <c r="N1321">
        <v>0</v>
      </c>
      <c r="O1321">
        <v>65</v>
      </c>
      <c r="P1321">
        <v>0</v>
      </c>
    </row>
    <row r="1322" spans="1:16" x14ac:dyDescent="0.25">
      <c r="A1322" t="s">
        <v>23805</v>
      </c>
      <c r="B1322" t="s">
        <v>2277</v>
      </c>
      <c r="C1322" t="s">
        <v>2278</v>
      </c>
      <c r="D1322" t="str">
        <f>"4643"</f>
        <v>4643</v>
      </c>
      <c r="E1322" t="s">
        <v>205</v>
      </c>
      <c r="F1322" t="s">
        <v>5</v>
      </c>
      <c r="G1322" t="s">
        <v>46686</v>
      </c>
      <c r="H1322" t="s">
        <v>47126</v>
      </c>
      <c r="I1322" t="s">
        <v>47127</v>
      </c>
      <c r="J1322" t="s">
        <v>47128</v>
      </c>
      <c r="K1322" t="s">
        <v>47113</v>
      </c>
      <c r="L1322">
        <v>28.4</v>
      </c>
      <c r="M1322">
        <v>65</v>
      </c>
      <c r="N1322">
        <v>0</v>
      </c>
      <c r="O1322">
        <v>65</v>
      </c>
      <c r="P1322">
        <v>0</v>
      </c>
    </row>
    <row r="1323" spans="1:16" x14ac:dyDescent="0.25">
      <c r="A1323" t="s">
        <v>23806</v>
      </c>
      <c r="B1323" t="s">
        <v>2277</v>
      </c>
      <c r="C1323" t="s">
        <v>2278</v>
      </c>
      <c r="D1323" t="str">
        <f>"5342"</f>
        <v>5342</v>
      </c>
      <c r="E1323" t="s">
        <v>77</v>
      </c>
      <c r="F1323" t="s">
        <v>5</v>
      </c>
      <c r="G1323" t="s">
        <v>46686</v>
      </c>
      <c r="H1323" t="s">
        <v>47126</v>
      </c>
      <c r="I1323" t="s">
        <v>47127</v>
      </c>
      <c r="J1323" t="s">
        <v>47128</v>
      </c>
      <c r="K1323" t="s">
        <v>47113</v>
      </c>
      <c r="L1323">
        <v>28.4</v>
      </c>
      <c r="M1323">
        <v>65</v>
      </c>
      <c r="N1323">
        <v>0</v>
      </c>
      <c r="O1323">
        <v>65</v>
      </c>
      <c r="P1323">
        <v>0</v>
      </c>
    </row>
    <row r="1324" spans="1:16" x14ac:dyDescent="0.25">
      <c r="A1324" t="s">
        <v>23807</v>
      </c>
      <c r="B1324" t="s">
        <v>2279</v>
      </c>
      <c r="C1324" t="s">
        <v>2280</v>
      </c>
      <c r="D1324" t="str">
        <f>"1001"</f>
        <v>1001</v>
      </c>
      <c r="E1324" t="s">
        <v>42</v>
      </c>
      <c r="F1324" t="s">
        <v>5</v>
      </c>
      <c r="G1324" t="s">
        <v>46686</v>
      </c>
      <c r="H1324" t="s">
        <v>47126</v>
      </c>
      <c r="I1324" t="s">
        <v>47127</v>
      </c>
      <c r="J1324" t="s">
        <v>47128</v>
      </c>
      <c r="K1324" t="s">
        <v>47113</v>
      </c>
      <c r="L1324">
        <v>28.97</v>
      </c>
      <c r="M1324">
        <v>68</v>
      </c>
      <c r="N1324">
        <v>0</v>
      </c>
      <c r="O1324">
        <v>68</v>
      </c>
      <c r="P1324">
        <v>0</v>
      </c>
    </row>
    <row r="1325" spans="1:16" x14ac:dyDescent="0.25">
      <c r="A1325" t="s">
        <v>23808</v>
      </c>
      <c r="B1325" t="s">
        <v>2279</v>
      </c>
      <c r="C1325" t="s">
        <v>2280</v>
      </c>
      <c r="D1325" t="str">
        <f>"1377"</f>
        <v>1377</v>
      </c>
      <c r="E1325" t="s">
        <v>74</v>
      </c>
      <c r="F1325" t="s">
        <v>5</v>
      </c>
      <c r="G1325" t="s">
        <v>46686</v>
      </c>
      <c r="H1325" t="s">
        <v>47126</v>
      </c>
      <c r="I1325" t="s">
        <v>47127</v>
      </c>
      <c r="J1325" t="s">
        <v>47128</v>
      </c>
      <c r="K1325" t="s">
        <v>47113</v>
      </c>
      <c r="L1325">
        <v>28.97</v>
      </c>
      <c r="M1325">
        <v>68</v>
      </c>
      <c r="N1325">
        <v>0</v>
      </c>
      <c r="O1325">
        <v>68</v>
      </c>
      <c r="P1325">
        <v>0</v>
      </c>
    </row>
    <row r="1326" spans="1:16" x14ac:dyDescent="0.25">
      <c r="A1326" t="s">
        <v>23809</v>
      </c>
      <c r="B1326" t="s">
        <v>2279</v>
      </c>
      <c r="C1326" t="s">
        <v>2280</v>
      </c>
      <c r="D1326" t="str">
        <f>"2166"</f>
        <v>2166</v>
      </c>
      <c r="E1326" t="s">
        <v>80</v>
      </c>
      <c r="F1326" t="s">
        <v>5</v>
      </c>
      <c r="G1326" t="s">
        <v>46686</v>
      </c>
      <c r="H1326" t="s">
        <v>47126</v>
      </c>
      <c r="I1326" t="s">
        <v>47127</v>
      </c>
      <c r="J1326" t="s">
        <v>47128</v>
      </c>
      <c r="K1326" t="s">
        <v>47113</v>
      </c>
      <c r="L1326">
        <v>28.97</v>
      </c>
      <c r="M1326">
        <v>68</v>
      </c>
      <c r="N1326">
        <v>0</v>
      </c>
      <c r="O1326">
        <v>68</v>
      </c>
      <c r="P1326">
        <v>0</v>
      </c>
    </row>
    <row r="1327" spans="1:16" x14ac:dyDescent="0.25">
      <c r="A1327" t="s">
        <v>23810</v>
      </c>
      <c r="B1327" t="s">
        <v>2279</v>
      </c>
      <c r="C1327" t="s">
        <v>2280</v>
      </c>
      <c r="D1327" t="str">
        <f>"3449"</f>
        <v>3449</v>
      </c>
      <c r="E1327" t="s">
        <v>90</v>
      </c>
      <c r="F1327" t="s">
        <v>5</v>
      </c>
      <c r="G1327" t="s">
        <v>46686</v>
      </c>
      <c r="H1327" t="s">
        <v>47126</v>
      </c>
      <c r="I1327" t="s">
        <v>47127</v>
      </c>
      <c r="J1327" t="s">
        <v>47128</v>
      </c>
      <c r="K1327" t="s">
        <v>47113</v>
      </c>
      <c r="L1327">
        <v>28.97</v>
      </c>
      <c r="M1327">
        <v>68</v>
      </c>
      <c r="N1327">
        <v>0</v>
      </c>
      <c r="O1327">
        <v>68</v>
      </c>
      <c r="P1327">
        <v>0</v>
      </c>
    </row>
    <row r="1328" spans="1:16" x14ac:dyDescent="0.25">
      <c r="A1328" t="s">
        <v>23811</v>
      </c>
      <c r="B1328" t="s">
        <v>2279</v>
      </c>
      <c r="C1328" t="s">
        <v>2280</v>
      </c>
      <c r="D1328" t="str">
        <f>"4643"</f>
        <v>4643</v>
      </c>
      <c r="E1328" t="s">
        <v>205</v>
      </c>
      <c r="F1328" t="s">
        <v>5</v>
      </c>
      <c r="G1328" t="s">
        <v>46686</v>
      </c>
      <c r="H1328" t="s">
        <v>47126</v>
      </c>
      <c r="I1328" t="s">
        <v>47127</v>
      </c>
      <c r="J1328" t="s">
        <v>47128</v>
      </c>
      <c r="K1328" t="s">
        <v>47113</v>
      </c>
      <c r="L1328">
        <v>28.97</v>
      </c>
      <c r="M1328">
        <v>68</v>
      </c>
      <c r="N1328">
        <v>0</v>
      </c>
      <c r="O1328">
        <v>68</v>
      </c>
      <c r="P1328">
        <v>0</v>
      </c>
    </row>
    <row r="1329" spans="1:16" x14ac:dyDescent="0.25">
      <c r="A1329" t="s">
        <v>23812</v>
      </c>
      <c r="B1329" t="s">
        <v>2279</v>
      </c>
      <c r="C1329" t="s">
        <v>2280</v>
      </c>
      <c r="D1329" t="str">
        <f>"5342"</f>
        <v>5342</v>
      </c>
      <c r="E1329" t="s">
        <v>77</v>
      </c>
      <c r="F1329" t="s">
        <v>5</v>
      </c>
      <c r="G1329" t="s">
        <v>46686</v>
      </c>
      <c r="H1329" t="s">
        <v>47126</v>
      </c>
      <c r="I1329" t="s">
        <v>47127</v>
      </c>
      <c r="J1329" t="s">
        <v>47128</v>
      </c>
      <c r="K1329" t="s">
        <v>47113</v>
      </c>
      <c r="L1329">
        <v>28.97</v>
      </c>
      <c r="M1329">
        <v>68</v>
      </c>
      <c r="N1329">
        <v>0</v>
      </c>
      <c r="O1329">
        <v>68</v>
      </c>
      <c r="P1329">
        <v>0</v>
      </c>
    </row>
    <row r="1330" spans="1:16" x14ac:dyDescent="0.25">
      <c r="A1330" t="s">
        <v>23813</v>
      </c>
      <c r="B1330" t="s">
        <v>2281</v>
      </c>
      <c r="C1330" t="s">
        <v>2282</v>
      </c>
      <c r="D1330" t="str">
        <f>"1001"</f>
        <v>1001</v>
      </c>
      <c r="E1330" t="s">
        <v>42</v>
      </c>
      <c r="F1330" t="s">
        <v>5</v>
      </c>
      <c r="G1330" t="s">
        <v>16235</v>
      </c>
      <c r="H1330" t="s">
        <v>47126</v>
      </c>
      <c r="I1330" t="s">
        <v>47127</v>
      </c>
      <c r="J1330" t="s">
        <v>47128</v>
      </c>
      <c r="K1330" t="s">
        <v>47113</v>
      </c>
      <c r="L1330">
        <v>29.32</v>
      </c>
      <c r="M1330">
        <v>68</v>
      </c>
      <c r="N1330">
        <v>0</v>
      </c>
      <c r="O1330">
        <v>68</v>
      </c>
      <c r="P1330">
        <v>0</v>
      </c>
    </row>
    <row r="1331" spans="1:16" x14ac:dyDescent="0.25">
      <c r="A1331" t="s">
        <v>23814</v>
      </c>
      <c r="B1331" t="s">
        <v>2281</v>
      </c>
      <c r="C1331" t="s">
        <v>2282</v>
      </c>
      <c r="D1331" t="str">
        <f>"1377"</f>
        <v>1377</v>
      </c>
      <c r="E1331" t="s">
        <v>74</v>
      </c>
      <c r="F1331" t="s">
        <v>5</v>
      </c>
      <c r="G1331" t="s">
        <v>16235</v>
      </c>
      <c r="H1331" t="s">
        <v>47126</v>
      </c>
      <c r="I1331" t="s">
        <v>47127</v>
      </c>
      <c r="J1331" t="s">
        <v>47128</v>
      </c>
      <c r="K1331" t="s">
        <v>47113</v>
      </c>
      <c r="L1331">
        <v>29.32</v>
      </c>
      <c r="M1331">
        <v>68</v>
      </c>
      <c r="N1331">
        <v>0</v>
      </c>
      <c r="O1331">
        <v>68</v>
      </c>
      <c r="P1331">
        <v>0</v>
      </c>
    </row>
    <row r="1332" spans="1:16" x14ac:dyDescent="0.25">
      <c r="A1332" t="s">
        <v>23815</v>
      </c>
      <c r="B1332" t="s">
        <v>2281</v>
      </c>
      <c r="C1332" t="s">
        <v>2282</v>
      </c>
      <c r="D1332" t="str">
        <f>"2166"</f>
        <v>2166</v>
      </c>
      <c r="E1332" t="s">
        <v>80</v>
      </c>
      <c r="F1332" t="s">
        <v>5</v>
      </c>
      <c r="G1332" t="s">
        <v>16235</v>
      </c>
      <c r="H1332" t="s">
        <v>47126</v>
      </c>
      <c r="I1332" t="s">
        <v>47127</v>
      </c>
      <c r="J1332" t="s">
        <v>47128</v>
      </c>
      <c r="K1332" t="s">
        <v>47113</v>
      </c>
      <c r="L1332">
        <v>29.32</v>
      </c>
      <c r="M1332">
        <v>68</v>
      </c>
      <c r="N1332">
        <v>0</v>
      </c>
      <c r="O1332">
        <v>68</v>
      </c>
      <c r="P1332">
        <v>0</v>
      </c>
    </row>
    <row r="1333" spans="1:16" x14ac:dyDescent="0.25">
      <c r="A1333" t="s">
        <v>23816</v>
      </c>
      <c r="B1333" t="s">
        <v>2281</v>
      </c>
      <c r="C1333" t="s">
        <v>2282</v>
      </c>
      <c r="D1333" t="str">
        <f>"3449"</f>
        <v>3449</v>
      </c>
      <c r="E1333" t="s">
        <v>90</v>
      </c>
      <c r="F1333" t="s">
        <v>5</v>
      </c>
      <c r="G1333" t="s">
        <v>16235</v>
      </c>
      <c r="H1333" t="s">
        <v>47126</v>
      </c>
      <c r="I1333" t="s">
        <v>47127</v>
      </c>
      <c r="J1333" t="s">
        <v>47128</v>
      </c>
      <c r="K1333" t="s">
        <v>47113</v>
      </c>
      <c r="L1333">
        <v>29.32</v>
      </c>
      <c r="M1333">
        <v>68</v>
      </c>
      <c r="N1333">
        <v>0</v>
      </c>
      <c r="O1333">
        <v>68</v>
      </c>
      <c r="P1333">
        <v>0</v>
      </c>
    </row>
    <row r="1334" spans="1:16" x14ac:dyDescent="0.25">
      <c r="A1334" t="s">
        <v>23817</v>
      </c>
      <c r="B1334" t="s">
        <v>2281</v>
      </c>
      <c r="C1334" t="s">
        <v>2282</v>
      </c>
      <c r="D1334" t="str">
        <f>"4643"</f>
        <v>4643</v>
      </c>
      <c r="E1334" t="s">
        <v>205</v>
      </c>
      <c r="F1334" t="s">
        <v>5</v>
      </c>
      <c r="G1334" t="s">
        <v>16235</v>
      </c>
      <c r="H1334" t="s">
        <v>47126</v>
      </c>
      <c r="I1334" t="s">
        <v>47127</v>
      </c>
      <c r="J1334" t="s">
        <v>47128</v>
      </c>
      <c r="K1334" t="s">
        <v>47113</v>
      </c>
      <c r="L1334">
        <v>29.32</v>
      </c>
      <c r="M1334">
        <v>68</v>
      </c>
      <c r="N1334">
        <v>0</v>
      </c>
      <c r="O1334">
        <v>68</v>
      </c>
      <c r="P1334">
        <v>0</v>
      </c>
    </row>
    <row r="1335" spans="1:16" x14ac:dyDescent="0.25">
      <c r="A1335" t="s">
        <v>23818</v>
      </c>
      <c r="B1335" t="s">
        <v>2281</v>
      </c>
      <c r="C1335" t="s">
        <v>2282</v>
      </c>
      <c r="D1335" t="str">
        <f>"5342"</f>
        <v>5342</v>
      </c>
      <c r="E1335" t="s">
        <v>77</v>
      </c>
      <c r="F1335" t="s">
        <v>5</v>
      </c>
      <c r="G1335" t="s">
        <v>16235</v>
      </c>
      <c r="H1335" t="s">
        <v>47126</v>
      </c>
      <c r="I1335" t="s">
        <v>47127</v>
      </c>
      <c r="J1335" t="s">
        <v>47128</v>
      </c>
      <c r="K1335" t="s">
        <v>47113</v>
      </c>
      <c r="L1335">
        <v>29.32</v>
      </c>
      <c r="M1335">
        <v>68</v>
      </c>
      <c r="N1335">
        <v>0</v>
      </c>
      <c r="O1335">
        <v>68</v>
      </c>
      <c r="P1335">
        <v>0</v>
      </c>
    </row>
    <row r="1336" spans="1:16" x14ac:dyDescent="0.25">
      <c r="A1336" t="s">
        <v>23819</v>
      </c>
      <c r="B1336" t="s">
        <v>2283</v>
      </c>
      <c r="C1336" t="s">
        <v>2270</v>
      </c>
      <c r="D1336" t="str">
        <f>"1552"</f>
        <v>1552</v>
      </c>
      <c r="E1336" t="s">
        <v>2284</v>
      </c>
      <c r="F1336" t="s">
        <v>5</v>
      </c>
      <c r="G1336" t="s">
        <v>46686</v>
      </c>
      <c r="H1336" t="s">
        <v>47126</v>
      </c>
      <c r="I1336" t="s">
        <v>47127</v>
      </c>
      <c r="J1336" t="s">
        <v>47128</v>
      </c>
      <c r="K1336" t="s">
        <v>47113</v>
      </c>
      <c r="L1336">
        <v>72.31</v>
      </c>
      <c r="M1336">
        <v>168</v>
      </c>
      <c r="N1336">
        <v>0</v>
      </c>
      <c r="O1336">
        <v>168</v>
      </c>
      <c r="P1336">
        <v>0</v>
      </c>
    </row>
    <row r="1337" spans="1:16" x14ac:dyDescent="0.25">
      <c r="A1337" t="s">
        <v>23820</v>
      </c>
      <c r="B1337" t="s">
        <v>2285</v>
      </c>
      <c r="C1337" t="s">
        <v>2286</v>
      </c>
      <c r="D1337" t="str">
        <f>"1001"</f>
        <v>1001</v>
      </c>
      <c r="E1337" t="s">
        <v>2144</v>
      </c>
      <c r="F1337" t="s">
        <v>5</v>
      </c>
      <c r="G1337" t="s">
        <v>46686</v>
      </c>
      <c r="H1337" t="s">
        <v>47126</v>
      </c>
      <c r="I1337" t="s">
        <v>47127</v>
      </c>
      <c r="J1337" t="s">
        <v>47128</v>
      </c>
      <c r="K1337" t="s">
        <v>47113</v>
      </c>
      <c r="L1337">
        <v>81.98</v>
      </c>
      <c r="M1337">
        <v>190</v>
      </c>
      <c r="N1337">
        <v>0</v>
      </c>
      <c r="O1337">
        <v>190</v>
      </c>
      <c r="P1337">
        <v>0</v>
      </c>
    </row>
    <row r="1338" spans="1:16" x14ac:dyDescent="0.25">
      <c r="A1338" t="s">
        <v>23821</v>
      </c>
      <c r="B1338" t="s">
        <v>2285</v>
      </c>
      <c r="C1338" t="s">
        <v>2286</v>
      </c>
      <c r="D1338" t="str">
        <f>"1286"</f>
        <v>1286</v>
      </c>
      <c r="E1338" t="s">
        <v>148</v>
      </c>
      <c r="F1338" t="s">
        <v>5</v>
      </c>
      <c r="G1338" t="s">
        <v>46686</v>
      </c>
      <c r="H1338" t="s">
        <v>47126</v>
      </c>
      <c r="I1338" t="s">
        <v>47127</v>
      </c>
      <c r="J1338" t="s">
        <v>47128</v>
      </c>
      <c r="K1338" t="s">
        <v>47113</v>
      </c>
      <c r="L1338">
        <v>81.98</v>
      </c>
      <c r="M1338">
        <v>190</v>
      </c>
      <c r="N1338">
        <v>0</v>
      </c>
      <c r="O1338">
        <v>190</v>
      </c>
      <c r="P1338">
        <v>0</v>
      </c>
    </row>
    <row r="1339" spans="1:16" x14ac:dyDescent="0.25">
      <c r="A1339" t="s">
        <v>23822</v>
      </c>
      <c r="B1339" t="s">
        <v>2285</v>
      </c>
      <c r="C1339" t="s">
        <v>2286</v>
      </c>
      <c r="D1339" t="str">
        <f>"3451"</f>
        <v>3451</v>
      </c>
      <c r="E1339" t="s">
        <v>2146</v>
      </c>
      <c r="F1339" t="s">
        <v>5</v>
      </c>
      <c r="G1339" t="s">
        <v>46686</v>
      </c>
      <c r="H1339" t="s">
        <v>47126</v>
      </c>
      <c r="I1339" t="s">
        <v>47127</v>
      </c>
      <c r="J1339" t="s">
        <v>47128</v>
      </c>
      <c r="K1339" t="s">
        <v>47113</v>
      </c>
      <c r="L1339">
        <v>81.98</v>
      </c>
      <c r="M1339">
        <v>190</v>
      </c>
      <c r="N1339">
        <v>0</v>
      </c>
      <c r="O1339">
        <v>190</v>
      </c>
      <c r="P1339">
        <v>0</v>
      </c>
    </row>
    <row r="1340" spans="1:16" x14ac:dyDescent="0.25">
      <c r="A1340" t="s">
        <v>23823</v>
      </c>
      <c r="B1340" t="s">
        <v>2285</v>
      </c>
      <c r="C1340" t="s">
        <v>2286</v>
      </c>
      <c r="D1340" t="str">
        <f>"4350"</f>
        <v>4350</v>
      </c>
      <c r="E1340" t="s">
        <v>111</v>
      </c>
      <c r="F1340" t="s">
        <v>5</v>
      </c>
      <c r="G1340" t="s">
        <v>46686</v>
      </c>
      <c r="H1340" t="s">
        <v>47126</v>
      </c>
      <c r="I1340" t="s">
        <v>47127</v>
      </c>
      <c r="J1340" t="s">
        <v>47128</v>
      </c>
      <c r="K1340" t="s">
        <v>47113</v>
      </c>
      <c r="L1340">
        <v>81.98</v>
      </c>
      <c r="M1340">
        <v>190</v>
      </c>
      <c r="N1340">
        <v>0</v>
      </c>
      <c r="O1340">
        <v>190</v>
      </c>
      <c r="P1340">
        <v>0</v>
      </c>
    </row>
    <row r="1341" spans="1:16" x14ac:dyDescent="0.25">
      <c r="A1341" t="s">
        <v>23824</v>
      </c>
      <c r="B1341" t="s">
        <v>2285</v>
      </c>
      <c r="C1341" t="s">
        <v>2286</v>
      </c>
      <c r="D1341" t="str">
        <f>"5342"</f>
        <v>5342</v>
      </c>
      <c r="E1341" t="s">
        <v>77</v>
      </c>
      <c r="F1341" t="s">
        <v>5</v>
      </c>
      <c r="G1341" t="s">
        <v>46686</v>
      </c>
      <c r="H1341" t="s">
        <v>47126</v>
      </c>
      <c r="I1341" t="s">
        <v>47127</v>
      </c>
      <c r="J1341" t="s">
        <v>47128</v>
      </c>
      <c r="K1341" t="s">
        <v>47113</v>
      </c>
      <c r="L1341">
        <v>81.98</v>
      </c>
      <c r="M1341">
        <v>190</v>
      </c>
      <c r="N1341">
        <v>0</v>
      </c>
      <c r="O1341">
        <v>190</v>
      </c>
      <c r="P1341">
        <v>0</v>
      </c>
    </row>
    <row r="1342" spans="1:16" x14ac:dyDescent="0.25">
      <c r="A1342" t="s">
        <v>23825</v>
      </c>
      <c r="B1342" t="s">
        <v>2285</v>
      </c>
      <c r="C1342" t="s">
        <v>2286</v>
      </c>
      <c r="D1342" t="str">
        <f>"5343"</f>
        <v>5343</v>
      </c>
      <c r="E1342" t="s">
        <v>2147</v>
      </c>
      <c r="F1342" t="s">
        <v>5</v>
      </c>
      <c r="G1342" t="s">
        <v>46686</v>
      </c>
      <c r="H1342" t="s">
        <v>47126</v>
      </c>
      <c r="I1342" t="s">
        <v>47127</v>
      </c>
      <c r="J1342" t="s">
        <v>47128</v>
      </c>
      <c r="K1342" t="s">
        <v>47113</v>
      </c>
      <c r="L1342">
        <v>81.98</v>
      </c>
      <c r="M1342">
        <v>190</v>
      </c>
      <c r="N1342">
        <v>0</v>
      </c>
      <c r="O1342">
        <v>190</v>
      </c>
      <c r="P1342">
        <v>0</v>
      </c>
    </row>
    <row r="1343" spans="1:16" x14ac:dyDescent="0.25">
      <c r="A1343" t="s">
        <v>23826</v>
      </c>
      <c r="B1343" t="s">
        <v>2287</v>
      </c>
      <c r="C1343" t="s">
        <v>2288</v>
      </c>
      <c r="D1343" t="str">
        <f>"2000"</f>
        <v>2000</v>
      </c>
      <c r="E1343" t="s">
        <v>248</v>
      </c>
      <c r="F1343" t="s">
        <v>5</v>
      </c>
      <c r="G1343" t="s">
        <v>46686</v>
      </c>
      <c r="H1343" t="s">
        <v>47126</v>
      </c>
      <c r="I1343" t="s">
        <v>47127</v>
      </c>
      <c r="J1343" t="s">
        <v>47128</v>
      </c>
      <c r="K1343" t="s">
        <v>47113</v>
      </c>
      <c r="L1343">
        <v>41.74</v>
      </c>
      <c r="M1343">
        <v>123</v>
      </c>
      <c r="N1343">
        <v>0</v>
      </c>
      <c r="O1343">
        <v>123</v>
      </c>
      <c r="P1343">
        <v>0</v>
      </c>
    </row>
    <row r="1344" spans="1:16" x14ac:dyDescent="0.25">
      <c r="A1344" t="s">
        <v>23827</v>
      </c>
      <c r="B1344" t="s">
        <v>2289</v>
      </c>
      <c r="C1344" t="s">
        <v>2290</v>
      </c>
      <c r="D1344" t="str">
        <f>"1001"</f>
        <v>1001</v>
      </c>
      <c r="E1344" t="s">
        <v>42</v>
      </c>
      <c r="F1344" t="s">
        <v>5</v>
      </c>
      <c r="G1344" t="s">
        <v>46686</v>
      </c>
      <c r="H1344" t="s">
        <v>47126</v>
      </c>
      <c r="I1344" t="s">
        <v>47127</v>
      </c>
      <c r="J1344" t="s">
        <v>47128</v>
      </c>
      <c r="K1344" t="s">
        <v>47113</v>
      </c>
      <c r="L1344">
        <v>40.01</v>
      </c>
      <c r="M1344">
        <v>93</v>
      </c>
      <c r="N1344">
        <v>0</v>
      </c>
      <c r="O1344">
        <v>93</v>
      </c>
      <c r="P1344">
        <v>0</v>
      </c>
    </row>
    <row r="1345" spans="1:16" x14ac:dyDescent="0.25">
      <c r="A1345" t="s">
        <v>23828</v>
      </c>
      <c r="B1345" t="s">
        <v>2289</v>
      </c>
      <c r="C1345" t="s">
        <v>2290</v>
      </c>
      <c r="D1345" t="str">
        <f>"1299"</f>
        <v>1299</v>
      </c>
      <c r="E1345" t="s">
        <v>73</v>
      </c>
      <c r="F1345" t="s">
        <v>5</v>
      </c>
      <c r="G1345" t="s">
        <v>46686</v>
      </c>
      <c r="H1345" t="s">
        <v>47126</v>
      </c>
      <c r="I1345" t="s">
        <v>47127</v>
      </c>
      <c r="J1345" t="s">
        <v>47128</v>
      </c>
      <c r="K1345" t="s">
        <v>47113</v>
      </c>
      <c r="L1345">
        <v>40.01</v>
      </c>
      <c r="M1345">
        <v>93</v>
      </c>
      <c r="N1345">
        <v>0</v>
      </c>
      <c r="O1345">
        <v>93</v>
      </c>
      <c r="P1345">
        <v>0</v>
      </c>
    </row>
    <row r="1346" spans="1:16" x14ac:dyDescent="0.25">
      <c r="A1346" t="s">
        <v>23829</v>
      </c>
      <c r="B1346" t="s">
        <v>2289</v>
      </c>
      <c r="C1346" t="s">
        <v>2290</v>
      </c>
      <c r="D1346" t="str">
        <f>"1377"</f>
        <v>1377</v>
      </c>
      <c r="E1346" t="s">
        <v>74</v>
      </c>
      <c r="F1346" t="s">
        <v>5</v>
      </c>
      <c r="G1346" t="s">
        <v>46686</v>
      </c>
      <c r="H1346" t="s">
        <v>47126</v>
      </c>
      <c r="I1346" t="s">
        <v>47127</v>
      </c>
      <c r="J1346" t="s">
        <v>47128</v>
      </c>
      <c r="K1346" t="s">
        <v>47113</v>
      </c>
      <c r="L1346">
        <v>40.01</v>
      </c>
      <c r="M1346">
        <v>93</v>
      </c>
      <c r="N1346">
        <v>0</v>
      </c>
      <c r="O1346">
        <v>93</v>
      </c>
      <c r="P1346">
        <v>0</v>
      </c>
    </row>
    <row r="1347" spans="1:16" x14ac:dyDescent="0.25">
      <c r="A1347" t="s">
        <v>23830</v>
      </c>
      <c r="B1347" t="s">
        <v>2289</v>
      </c>
      <c r="C1347" t="s">
        <v>2290</v>
      </c>
      <c r="D1347" t="str">
        <f>"1700"</f>
        <v>1700</v>
      </c>
      <c r="E1347" t="s">
        <v>60</v>
      </c>
      <c r="F1347" t="s">
        <v>5</v>
      </c>
      <c r="G1347" t="s">
        <v>46686</v>
      </c>
      <c r="H1347" t="s">
        <v>47126</v>
      </c>
      <c r="I1347" t="s">
        <v>47127</v>
      </c>
      <c r="J1347" t="s">
        <v>47128</v>
      </c>
      <c r="K1347" t="s">
        <v>47113</v>
      </c>
      <c r="L1347">
        <v>40.01</v>
      </c>
      <c r="M1347">
        <v>93</v>
      </c>
      <c r="N1347">
        <v>0</v>
      </c>
      <c r="O1347">
        <v>93</v>
      </c>
      <c r="P1347">
        <v>0</v>
      </c>
    </row>
    <row r="1348" spans="1:16" x14ac:dyDescent="0.25">
      <c r="A1348" t="s">
        <v>23831</v>
      </c>
      <c r="B1348" t="s">
        <v>2289</v>
      </c>
      <c r="C1348" t="s">
        <v>2290</v>
      </c>
      <c r="D1348" t="str">
        <f>"2166"</f>
        <v>2166</v>
      </c>
      <c r="E1348" t="s">
        <v>80</v>
      </c>
      <c r="F1348" t="s">
        <v>5</v>
      </c>
      <c r="G1348" t="s">
        <v>46686</v>
      </c>
      <c r="H1348" t="s">
        <v>47126</v>
      </c>
      <c r="I1348" t="s">
        <v>47127</v>
      </c>
      <c r="J1348" t="s">
        <v>47128</v>
      </c>
      <c r="K1348" t="s">
        <v>47113</v>
      </c>
      <c r="L1348">
        <v>40.01</v>
      </c>
      <c r="M1348">
        <v>93</v>
      </c>
      <c r="N1348">
        <v>0</v>
      </c>
      <c r="O1348">
        <v>93</v>
      </c>
      <c r="P1348">
        <v>0</v>
      </c>
    </row>
    <row r="1349" spans="1:16" x14ac:dyDescent="0.25">
      <c r="A1349" t="s">
        <v>23832</v>
      </c>
      <c r="B1349" t="s">
        <v>2289</v>
      </c>
      <c r="C1349" t="s">
        <v>2290</v>
      </c>
      <c r="D1349" t="str">
        <f>"3449"</f>
        <v>3449</v>
      </c>
      <c r="E1349" t="s">
        <v>90</v>
      </c>
      <c r="F1349" t="s">
        <v>5</v>
      </c>
      <c r="G1349" t="s">
        <v>46686</v>
      </c>
      <c r="H1349" t="s">
        <v>47126</v>
      </c>
      <c r="I1349" t="s">
        <v>47127</v>
      </c>
      <c r="J1349" t="s">
        <v>47128</v>
      </c>
      <c r="K1349" t="s">
        <v>47113</v>
      </c>
      <c r="L1349">
        <v>40.01</v>
      </c>
      <c r="M1349">
        <v>93</v>
      </c>
      <c r="N1349">
        <v>0</v>
      </c>
      <c r="O1349">
        <v>93</v>
      </c>
      <c r="P1349">
        <v>0</v>
      </c>
    </row>
    <row r="1350" spans="1:16" x14ac:dyDescent="0.25">
      <c r="A1350" t="s">
        <v>23833</v>
      </c>
      <c r="B1350" t="s">
        <v>2289</v>
      </c>
      <c r="C1350" t="s">
        <v>2290</v>
      </c>
      <c r="D1350" t="str">
        <f>"4348"</f>
        <v>4348</v>
      </c>
      <c r="E1350" t="s">
        <v>91</v>
      </c>
      <c r="F1350" t="s">
        <v>5</v>
      </c>
      <c r="G1350" t="s">
        <v>46686</v>
      </c>
      <c r="H1350" t="s">
        <v>47126</v>
      </c>
      <c r="I1350" t="s">
        <v>47127</v>
      </c>
      <c r="J1350" t="s">
        <v>47128</v>
      </c>
      <c r="K1350" t="s">
        <v>47113</v>
      </c>
      <c r="L1350">
        <v>40.01</v>
      </c>
      <c r="M1350">
        <v>93</v>
      </c>
      <c r="N1350">
        <v>0</v>
      </c>
      <c r="O1350">
        <v>93</v>
      </c>
      <c r="P1350">
        <v>0</v>
      </c>
    </row>
    <row r="1351" spans="1:16" x14ac:dyDescent="0.25">
      <c r="A1351" t="s">
        <v>23834</v>
      </c>
      <c r="B1351" t="s">
        <v>2289</v>
      </c>
      <c r="C1351" t="s">
        <v>2290</v>
      </c>
      <c r="D1351" t="str">
        <f>"6064"</f>
        <v>6064</v>
      </c>
      <c r="E1351" t="s">
        <v>87</v>
      </c>
      <c r="F1351" t="s">
        <v>5</v>
      </c>
      <c r="G1351" t="s">
        <v>46686</v>
      </c>
      <c r="H1351" t="s">
        <v>47126</v>
      </c>
      <c r="I1351" t="s">
        <v>47127</v>
      </c>
      <c r="J1351" t="s">
        <v>47128</v>
      </c>
      <c r="K1351" t="s">
        <v>47113</v>
      </c>
      <c r="L1351">
        <v>40.01</v>
      </c>
      <c r="M1351">
        <v>93</v>
      </c>
      <c r="N1351">
        <v>0</v>
      </c>
      <c r="O1351">
        <v>93</v>
      </c>
      <c r="P1351">
        <v>0</v>
      </c>
    </row>
    <row r="1352" spans="1:16" x14ac:dyDescent="0.25">
      <c r="A1352" t="s">
        <v>23835</v>
      </c>
      <c r="B1352" t="s">
        <v>2291</v>
      </c>
      <c r="C1352" t="s">
        <v>2292</v>
      </c>
      <c r="D1352" t="str">
        <f>"1549"</f>
        <v>1549</v>
      </c>
      <c r="E1352" t="s">
        <v>2293</v>
      </c>
      <c r="F1352" t="s">
        <v>5</v>
      </c>
      <c r="G1352" t="s">
        <v>46686</v>
      </c>
      <c r="H1352" t="s">
        <v>47126</v>
      </c>
      <c r="I1352" t="s">
        <v>47127</v>
      </c>
      <c r="J1352" t="s">
        <v>47128</v>
      </c>
      <c r="K1352" t="s">
        <v>47113</v>
      </c>
      <c r="L1352">
        <v>45.87</v>
      </c>
      <c r="M1352">
        <v>108</v>
      </c>
      <c r="N1352">
        <v>0</v>
      </c>
      <c r="O1352">
        <v>108</v>
      </c>
      <c r="P1352">
        <v>0</v>
      </c>
    </row>
    <row r="1353" spans="1:16" x14ac:dyDescent="0.25">
      <c r="A1353" t="s">
        <v>23836</v>
      </c>
      <c r="B1353" t="s">
        <v>2291</v>
      </c>
      <c r="C1353" t="s">
        <v>2292</v>
      </c>
      <c r="D1353" t="str">
        <f>"1550"</f>
        <v>1550</v>
      </c>
      <c r="E1353" t="s">
        <v>2250</v>
      </c>
      <c r="F1353" t="s">
        <v>5</v>
      </c>
      <c r="G1353" t="s">
        <v>46686</v>
      </c>
      <c r="H1353" t="s">
        <v>47126</v>
      </c>
      <c r="I1353" t="s">
        <v>47127</v>
      </c>
      <c r="J1353" t="s">
        <v>47128</v>
      </c>
      <c r="K1353" t="s">
        <v>47113</v>
      </c>
      <c r="L1353">
        <v>45.87</v>
      </c>
      <c r="M1353">
        <v>108</v>
      </c>
      <c r="N1353">
        <v>0</v>
      </c>
      <c r="O1353">
        <v>108</v>
      </c>
      <c r="P1353">
        <v>0</v>
      </c>
    </row>
    <row r="1354" spans="1:16" x14ac:dyDescent="0.25">
      <c r="A1354" t="s">
        <v>23837</v>
      </c>
      <c r="B1354" t="s">
        <v>2291</v>
      </c>
      <c r="C1354" t="s">
        <v>2292</v>
      </c>
      <c r="D1354" t="str">
        <f>"2000"</f>
        <v>2000</v>
      </c>
      <c r="E1354" t="s">
        <v>248</v>
      </c>
      <c r="F1354" t="s">
        <v>5</v>
      </c>
      <c r="G1354" t="s">
        <v>46686</v>
      </c>
      <c r="H1354" t="s">
        <v>47126</v>
      </c>
      <c r="I1354" t="s">
        <v>47127</v>
      </c>
      <c r="J1354" t="s">
        <v>47128</v>
      </c>
      <c r="K1354" t="s">
        <v>47113</v>
      </c>
      <c r="L1354">
        <v>45.87</v>
      </c>
      <c r="M1354">
        <v>108</v>
      </c>
      <c r="N1354">
        <v>0</v>
      </c>
      <c r="O1354">
        <v>108</v>
      </c>
      <c r="P1354">
        <v>0</v>
      </c>
    </row>
    <row r="1355" spans="1:16" x14ac:dyDescent="0.25">
      <c r="A1355" t="s">
        <v>23838</v>
      </c>
      <c r="B1355" t="s">
        <v>2291</v>
      </c>
      <c r="C1355" t="s">
        <v>2292</v>
      </c>
      <c r="D1355" t="str">
        <f>"2168"</f>
        <v>2168</v>
      </c>
      <c r="E1355" t="s">
        <v>2251</v>
      </c>
      <c r="F1355" t="s">
        <v>5</v>
      </c>
      <c r="G1355" t="s">
        <v>46686</v>
      </c>
      <c r="H1355" t="s">
        <v>47126</v>
      </c>
      <c r="I1355" t="s">
        <v>47127</v>
      </c>
      <c r="J1355" t="s">
        <v>47128</v>
      </c>
      <c r="K1355" t="s">
        <v>47113</v>
      </c>
      <c r="L1355">
        <v>45.87</v>
      </c>
      <c r="M1355">
        <v>108</v>
      </c>
      <c r="N1355">
        <v>0</v>
      </c>
      <c r="O1355">
        <v>108</v>
      </c>
      <c r="P1355">
        <v>0</v>
      </c>
    </row>
    <row r="1356" spans="1:16" x14ac:dyDescent="0.25">
      <c r="A1356" t="s">
        <v>23839</v>
      </c>
      <c r="B1356" t="s">
        <v>2291</v>
      </c>
      <c r="C1356" t="s">
        <v>2292</v>
      </c>
      <c r="D1356" t="str">
        <f>"3452"</f>
        <v>3452</v>
      </c>
      <c r="E1356" t="s">
        <v>2294</v>
      </c>
      <c r="F1356" t="s">
        <v>5</v>
      </c>
      <c r="G1356" t="s">
        <v>46686</v>
      </c>
      <c r="H1356" t="s">
        <v>47126</v>
      </c>
      <c r="I1356" t="s">
        <v>47127</v>
      </c>
      <c r="J1356" t="s">
        <v>47128</v>
      </c>
      <c r="K1356" t="s">
        <v>47113</v>
      </c>
      <c r="L1356">
        <v>45.87</v>
      </c>
      <c r="M1356">
        <v>108</v>
      </c>
      <c r="N1356">
        <v>0</v>
      </c>
      <c r="O1356">
        <v>108</v>
      </c>
      <c r="P1356">
        <v>0</v>
      </c>
    </row>
    <row r="1357" spans="1:16" x14ac:dyDescent="0.25">
      <c r="A1357" t="s">
        <v>23840</v>
      </c>
      <c r="B1357" t="s">
        <v>2291</v>
      </c>
      <c r="C1357" t="s">
        <v>2292</v>
      </c>
      <c r="D1357" t="str">
        <f>"4000"</f>
        <v>4000</v>
      </c>
      <c r="E1357" t="s">
        <v>190</v>
      </c>
      <c r="F1357" t="s">
        <v>5</v>
      </c>
      <c r="G1357" t="s">
        <v>46686</v>
      </c>
      <c r="H1357" t="s">
        <v>47126</v>
      </c>
      <c r="I1357" t="s">
        <v>47127</v>
      </c>
      <c r="J1357" t="s">
        <v>47128</v>
      </c>
      <c r="K1357" t="s">
        <v>47113</v>
      </c>
      <c r="L1357">
        <v>45.87</v>
      </c>
      <c r="M1357">
        <v>108</v>
      </c>
      <c r="N1357">
        <v>0</v>
      </c>
      <c r="O1357">
        <v>108</v>
      </c>
      <c r="P1357">
        <v>0</v>
      </c>
    </row>
    <row r="1358" spans="1:16" x14ac:dyDescent="0.25">
      <c r="A1358" t="s">
        <v>23841</v>
      </c>
      <c r="B1358" t="s">
        <v>2291</v>
      </c>
      <c r="C1358" t="s">
        <v>2292</v>
      </c>
      <c r="D1358" t="str">
        <f>"4351"</f>
        <v>4351</v>
      </c>
      <c r="E1358" t="s">
        <v>2253</v>
      </c>
      <c r="F1358" t="s">
        <v>5</v>
      </c>
      <c r="G1358" t="s">
        <v>46686</v>
      </c>
      <c r="H1358" t="s">
        <v>47126</v>
      </c>
      <c r="I1358" t="s">
        <v>47127</v>
      </c>
      <c r="J1358" t="s">
        <v>47128</v>
      </c>
      <c r="K1358" t="s">
        <v>47113</v>
      </c>
      <c r="L1358">
        <v>45.87</v>
      </c>
      <c r="M1358">
        <v>108</v>
      </c>
      <c r="N1358">
        <v>0</v>
      </c>
      <c r="O1358">
        <v>108</v>
      </c>
      <c r="P1358">
        <v>0</v>
      </c>
    </row>
    <row r="1359" spans="1:16" x14ac:dyDescent="0.25">
      <c r="A1359" t="s">
        <v>23842</v>
      </c>
      <c r="B1359" t="s">
        <v>2295</v>
      </c>
      <c r="C1359" t="s">
        <v>2296</v>
      </c>
      <c r="D1359" t="str">
        <f>"1549"</f>
        <v>1549</v>
      </c>
      <c r="E1359" t="s">
        <v>2293</v>
      </c>
      <c r="F1359" t="s">
        <v>5</v>
      </c>
      <c r="G1359" t="s">
        <v>46686</v>
      </c>
      <c r="H1359" t="s">
        <v>47126</v>
      </c>
      <c r="I1359" t="s">
        <v>47127</v>
      </c>
      <c r="J1359" t="s">
        <v>47128</v>
      </c>
      <c r="K1359" t="s">
        <v>47113</v>
      </c>
      <c r="L1359">
        <v>56.45</v>
      </c>
      <c r="M1359">
        <v>133</v>
      </c>
      <c r="N1359">
        <v>0</v>
      </c>
      <c r="O1359">
        <v>133</v>
      </c>
      <c r="P1359">
        <v>0</v>
      </c>
    </row>
    <row r="1360" spans="1:16" x14ac:dyDescent="0.25">
      <c r="A1360" t="s">
        <v>23843</v>
      </c>
      <c r="B1360" t="s">
        <v>2295</v>
      </c>
      <c r="C1360" t="s">
        <v>2296</v>
      </c>
      <c r="D1360" t="str">
        <f>"1550"</f>
        <v>1550</v>
      </c>
      <c r="E1360" t="s">
        <v>2250</v>
      </c>
      <c r="F1360" t="s">
        <v>5</v>
      </c>
      <c r="G1360" t="s">
        <v>46686</v>
      </c>
      <c r="H1360" t="s">
        <v>47126</v>
      </c>
      <c r="I1360" t="s">
        <v>47127</v>
      </c>
      <c r="J1360" t="s">
        <v>47128</v>
      </c>
      <c r="K1360" t="s">
        <v>47113</v>
      </c>
      <c r="L1360">
        <v>56.45</v>
      </c>
      <c r="M1360">
        <v>133</v>
      </c>
      <c r="N1360">
        <v>0</v>
      </c>
      <c r="O1360">
        <v>133</v>
      </c>
      <c r="P1360">
        <v>0</v>
      </c>
    </row>
    <row r="1361" spans="1:16" x14ac:dyDescent="0.25">
      <c r="A1361" t="s">
        <v>23844</v>
      </c>
      <c r="B1361" t="s">
        <v>2295</v>
      </c>
      <c r="C1361" t="s">
        <v>2296</v>
      </c>
      <c r="D1361" t="str">
        <f>"2000"</f>
        <v>2000</v>
      </c>
      <c r="E1361" t="s">
        <v>248</v>
      </c>
      <c r="F1361" t="s">
        <v>5</v>
      </c>
      <c r="G1361" t="s">
        <v>46686</v>
      </c>
      <c r="H1361" t="s">
        <v>47126</v>
      </c>
      <c r="I1361" t="s">
        <v>47127</v>
      </c>
      <c r="J1361" t="s">
        <v>47128</v>
      </c>
      <c r="K1361" t="s">
        <v>47113</v>
      </c>
      <c r="L1361">
        <v>56.45</v>
      </c>
      <c r="M1361">
        <v>133</v>
      </c>
      <c r="N1361">
        <v>0</v>
      </c>
      <c r="O1361">
        <v>133</v>
      </c>
      <c r="P1361">
        <v>0</v>
      </c>
    </row>
    <row r="1362" spans="1:16" x14ac:dyDescent="0.25">
      <c r="A1362" t="s">
        <v>23845</v>
      </c>
      <c r="B1362" t="s">
        <v>2295</v>
      </c>
      <c r="C1362" t="s">
        <v>2296</v>
      </c>
      <c r="D1362" t="str">
        <f>"2502"</f>
        <v>2502</v>
      </c>
      <c r="E1362" t="s">
        <v>260</v>
      </c>
      <c r="F1362" t="s">
        <v>5</v>
      </c>
      <c r="G1362" t="s">
        <v>46686</v>
      </c>
      <c r="H1362" t="s">
        <v>47126</v>
      </c>
      <c r="I1362" t="s">
        <v>47127</v>
      </c>
      <c r="J1362" t="s">
        <v>47128</v>
      </c>
      <c r="K1362" t="s">
        <v>47113</v>
      </c>
      <c r="L1362">
        <v>56.45</v>
      </c>
      <c r="M1362">
        <v>133</v>
      </c>
      <c r="N1362">
        <v>0</v>
      </c>
      <c r="O1362">
        <v>133</v>
      </c>
      <c r="P1362">
        <v>0</v>
      </c>
    </row>
    <row r="1363" spans="1:16" x14ac:dyDescent="0.25">
      <c r="A1363" t="s">
        <v>23846</v>
      </c>
      <c r="B1363" t="s">
        <v>2295</v>
      </c>
      <c r="C1363" t="s">
        <v>2296</v>
      </c>
      <c r="D1363" t="str">
        <f>"4000"</f>
        <v>4000</v>
      </c>
      <c r="E1363" t="s">
        <v>190</v>
      </c>
      <c r="F1363" t="s">
        <v>5</v>
      </c>
      <c r="G1363" t="s">
        <v>46686</v>
      </c>
      <c r="H1363" t="s">
        <v>47126</v>
      </c>
      <c r="I1363" t="s">
        <v>47127</v>
      </c>
      <c r="J1363" t="s">
        <v>47128</v>
      </c>
      <c r="K1363" t="s">
        <v>47113</v>
      </c>
      <c r="L1363">
        <v>56.45</v>
      </c>
      <c r="M1363">
        <v>133</v>
      </c>
      <c r="N1363">
        <v>0</v>
      </c>
      <c r="O1363">
        <v>133</v>
      </c>
      <c r="P1363">
        <v>0</v>
      </c>
    </row>
    <row r="1364" spans="1:16" x14ac:dyDescent="0.25">
      <c r="A1364" t="s">
        <v>23847</v>
      </c>
      <c r="B1364" t="s">
        <v>2295</v>
      </c>
      <c r="C1364" t="s">
        <v>2296</v>
      </c>
      <c r="D1364" t="str">
        <f>"4351"</f>
        <v>4351</v>
      </c>
      <c r="E1364" t="s">
        <v>2253</v>
      </c>
      <c r="F1364" t="s">
        <v>5</v>
      </c>
      <c r="G1364" t="s">
        <v>46686</v>
      </c>
      <c r="H1364" t="s">
        <v>47126</v>
      </c>
      <c r="I1364" t="s">
        <v>47127</v>
      </c>
      <c r="J1364" t="s">
        <v>47128</v>
      </c>
      <c r="K1364" t="s">
        <v>47113</v>
      </c>
      <c r="L1364">
        <v>56.45</v>
      </c>
      <c r="M1364">
        <v>133</v>
      </c>
      <c r="N1364">
        <v>0</v>
      </c>
      <c r="O1364">
        <v>133</v>
      </c>
      <c r="P1364">
        <v>0</v>
      </c>
    </row>
    <row r="1365" spans="1:16" x14ac:dyDescent="0.25">
      <c r="A1365" t="s">
        <v>23848</v>
      </c>
      <c r="B1365" t="s">
        <v>2297</v>
      </c>
      <c r="C1365" t="s">
        <v>2298</v>
      </c>
      <c r="D1365" t="str">
        <f>"1200"</f>
        <v>1200</v>
      </c>
      <c r="E1365" t="s">
        <v>241</v>
      </c>
      <c r="F1365" t="s">
        <v>5</v>
      </c>
      <c r="G1365" t="s">
        <v>46686</v>
      </c>
      <c r="H1365" t="s">
        <v>47126</v>
      </c>
      <c r="I1365" t="s">
        <v>47127</v>
      </c>
      <c r="J1365" t="s">
        <v>47128</v>
      </c>
      <c r="K1365" t="s">
        <v>47113</v>
      </c>
      <c r="L1365">
        <v>46.33</v>
      </c>
      <c r="M1365">
        <v>108</v>
      </c>
      <c r="N1365">
        <v>0</v>
      </c>
      <c r="O1365">
        <v>108</v>
      </c>
      <c r="P1365">
        <v>0</v>
      </c>
    </row>
    <row r="1366" spans="1:16" x14ac:dyDescent="0.25">
      <c r="A1366" t="s">
        <v>23849</v>
      </c>
      <c r="B1366" t="s">
        <v>2297</v>
      </c>
      <c r="C1366" t="s">
        <v>2298</v>
      </c>
      <c r="D1366" t="str">
        <f>"2000"</f>
        <v>2000</v>
      </c>
      <c r="E1366" t="s">
        <v>248</v>
      </c>
      <c r="F1366" t="s">
        <v>5</v>
      </c>
      <c r="G1366" t="s">
        <v>46686</v>
      </c>
      <c r="H1366" t="s">
        <v>47126</v>
      </c>
      <c r="I1366" t="s">
        <v>47127</v>
      </c>
      <c r="J1366" t="s">
        <v>47128</v>
      </c>
      <c r="K1366" t="s">
        <v>47113</v>
      </c>
      <c r="L1366">
        <v>46.33</v>
      </c>
      <c r="M1366">
        <v>108</v>
      </c>
      <c r="N1366">
        <v>0</v>
      </c>
      <c r="O1366">
        <v>108</v>
      </c>
      <c r="P1366">
        <v>0</v>
      </c>
    </row>
    <row r="1367" spans="1:16" x14ac:dyDescent="0.25">
      <c r="A1367" t="s">
        <v>23850</v>
      </c>
      <c r="B1367" t="s">
        <v>2297</v>
      </c>
      <c r="C1367" t="s">
        <v>2298</v>
      </c>
      <c r="D1367" t="str">
        <f>"4000"</f>
        <v>4000</v>
      </c>
      <c r="E1367" t="s">
        <v>190</v>
      </c>
      <c r="F1367" t="s">
        <v>5</v>
      </c>
      <c r="G1367" t="s">
        <v>46686</v>
      </c>
      <c r="H1367" t="s">
        <v>47126</v>
      </c>
      <c r="I1367" t="s">
        <v>47127</v>
      </c>
      <c r="J1367" t="s">
        <v>47128</v>
      </c>
      <c r="K1367" t="s">
        <v>47113</v>
      </c>
      <c r="L1367">
        <v>46.33</v>
      </c>
      <c r="M1367">
        <v>108</v>
      </c>
      <c r="N1367">
        <v>0</v>
      </c>
      <c r="O1367">
        <v>108</v>
      </c>
      <c r="P1367">
        <v>0</v>
      </c>
    </row>
    <row r="1368" spans="1:16" x14ac:dyDescent="0.25">
      <c r="A1368" t="s">
        <v>23851</v>
      </c>
      <c r="B1368" t="s">
        <v>16481</v>
      </c>
      <c r="C1368" t="s">
        <v>16482</v>
      </c>
      <c r="D1368" t="str">
        <f>"3071"</f>
        <v>3071</v>
      </c>
      <c r="E1368" t="s">
        <v>4767</v>
      </c>
      <c r="F1368" t="s">
        <v>3558</v>
      </c>
      <c r="G1368" t="s">
        <v>47129</v>
      </c>
      <c r="H1368" t="s">
        <v>47071</v>
      </c>
      <c r="I1368" t="s">
        <v>47111</v>
      </c>
      <c r="J1368" t="s">
        <v>47112</v>
      </c>
      <c r="K1368" t="s">
        <v>47113</v>
      </c>
      <c r="L1368">
        <v>17.059999999999999</v>
      </c>
      <c r="M1368">
        <v>55</v>
      </c>
      <c r="N1368">
        <v>0</v>
      </c>
      <c r="O1368">
        <v>55</v>
      </c>
      <c r="P1368">
        <v>0</v>
      </c>
    </row>
    <row r="1369" spans="1:16" x14ac:dyDescent="0.25">
      <c r="A1369" t="s">
        <v>23852</v>
      </c>
      <c r="B1369" t="s">
        <v>16483</v>
      </c>
      <c r="C1369" t="s">
        <v>16484</v>
      </c>
      <c r="D1369" t="str">
        <f>"7202"</f>
        <v>7202</v>
      </c>
      <c r="E1369" t="s">
        <v>16485</v>
      </c>
      <c r="F1369" t="s">
        <v>15183</v>
      </c>
      <c r="G1369" t="s">
        <v>47130</v>
      </c>
      <c r="H1369" t="s">
        <v>47071</v>
      </c>
      <c r="I1369" t="s">
        <v>47118</v>
      </c>
      <c r="J1369" t="s">
        <v>47119</v>
      </c>
      <c r="K1369" t="s">
        <v>47113</v>
      </c>
      <c r="L1369">
        <v>14.35</v>
      </c>
      <c r="M1369">
        <v>29</v>
      </c>
      <c r="N1369">
        <v>0</v>
      </c>
      <c r="O1369">
        <v>29</v>
      </c>
      <c r="P1369">
        <v>0</v>
      </c>
    </row>
    <row r="1370" spans="1:16" x14ac:dyDescent="0.25">
      <c r="A1370" t="s">
        <v>23853</v>
      </c>
      <c r="B1370" t="s">
        <v>16486</v>
      </c>
      <c r="C1370" t="s">
        <v>16487</v>
      </c>
      <c r="D1370" t="str">
        <f>"1495"</f>
        <v>1495</v>
      </c>
      <c r="E1370" t="s">
        <v>16488</v>
      </c>
      <c r="F1370" t="s">
        <v>15183</v>
      </c>
      <c r="G1370" t="s">
        <v>47130</v>
      </c>
      <c r="H1370" t="s">
        <v>47071</v>
      </c>
      <c r="I1370" t="s">
        <v>47118</v>
      </c>
      <c r="J1370" t="s">
        <v>47119</v>
      </c>
      <c r="K1370" t="s">
        <v>47113</v>
      </c>
      <c r="L1370">
        <v>14.35</v>
      </c>
      <c r="M1370">
        <v>29</v>
      </c>
      <c r="N1370">
        <v>0</v>
      </c>
      <c r="O1370">
        <v>29</v>
      </c>
      <c r="P1370">
        <v>0</v>
      </c>
    </row>
    <row r="1371" spans="1:16" x14ac:dyDescent="0.25">
      <c r="A1371" t="s">
        <v>23854</v>
      </c>
      <c r="B1371" t="s">
        <v>16489</v>
      </c>
      <c r="C1371" t="s">
        <v>16490</v>
      </c>
      <c r="D1371" t="str">
        <f>"1001"</f>
        <v>1001</v>
      </c>
      <c r="E1371" t="s">
        <v>8835</v>
      </c>
      <c r="F1371" t="s">
        <v>15183</v>
      </c>
      <c r="G1371" t="s">
        <v>47130</v>
      </c>
      <c r="H1371" t="s">
        <v>47071</v>
      </c>
      <c r="I1371" t="s">
        <v>47118</v>
      </c>
      <c r="J1371" t="s">
        <v>47119</v>
      </c>
      <c r="K1371" t="s">
        <v>47113</v>
      </c>
      <c r="L1371">
        <v>14.35</v>
      </c>
      <c r="M1371">
        <v>29</v>
      </c>
      <c r="N1371">
        <v>0</v>
      </c>
      <c r="O1371">
        <v>29</v>
      </c>
      <c r="P1371">
        <v>0</v>
      </c>
    </row>
    <row r="1372" spans="1:16" x14ac:dyDescent="0.25">
      <c r="A1372" t="s">
        <v>23855</v>
      </c>
      <c r="B1372" t="s">
        <v>16491</v>
      </c>
      <c r="C1372" t="s">
        <v>16492</v>
      </c>
      <c r="D1372" t="str">
        <f>"5000"</f>
        <v>5000</v>
      </c>
      <c r="E1372" t="s">
        <v>16493</v>
      </c>
      <c r="F1372" t="s">
        <v>15183</v>
      </c>
      <c r="G1372" t="s">
        <v>47131</v>
      </c>
      <c r="H1372" t="s">
        <v>47071</v>
      </c>
      <c r="I1372" t="s">
        <v>47118</v>
      </c>
      <c r="J1372" t="s">
        <v>47119</v>
      </c>
      <c r="K1372" t="s">
        <v>47113</v>
      </c>
      <c r="L1372">
        <v>14.35</v>
      </c>
      <c r="M1372">
        <v>29</v>
      </c>
      <c r="N1372">
        <v>0</v>
      </c>
      <c r="O1372">
        <v>29</v>
      </c>
      <c r="P1372">
        <v>0</v>
      </c>
    </row>
    <row r="1373" spans="1:16" x14ac:dyDescent="0.25">
      <c r="A1373" t="s">
        <v>23856</v>
      </c>
      <c r="B1373" t="s">
        <v>2299</v>
      </c>
      <c r="C1373" t="s">
        <v>2300</v>
      </c>
      <c r="D1373" t="str">
        <f>"1001"</f>
        <v>1001</v>
      </c>
      <c r="E1373" t="s">
        <v>42</v>
      </c>
      <c r="F1373" t="s">
        <v>0</v>
      </c>
      <c r="G1373" t="s">
        <v>16226</v>
      </c>
      <c r="H1373" t="s">
        <v>47071</v>
      </c>
      <c r="I1373" t="s">
        <v>47132</v>
      </c>
      <c r="J1373" t="s">
        <v>47133</v>
      </c>
      <c r="K1373" t="s">
        <v>47113</v>
      </c>
      <c r="L1373">
        <v>20.74</v>
      </c>
      <c r="M1373">
        <v>38</v>
      </c>
      <c r="N1373">
        <v>0</v>
      </c>
      <c r="O1373">
        <v>38</v>
      </c>
      <c r="P1373">
        <v>0</v>
      </c>
    </row>
    <row r="1374" spans="1:16" x14ac:dyDescent="0.25">
      <c r="A1374" t="s">
        <v>23857</v>
      </c>
      <c r="B1374" t="s">
        <v>2301</v>
      </c>
      <c r="C1374" t="s">
        <v>2302</v>
      </c>
      <c r="D1374" t="str">
        <f>"1001"</f>
        <v>1001</v>
      </c>
      <c r="E1374" t="s">
        <v>42</v>
      </c>
      <c r="F1374" t="s">
        <v>0</v>
      </c>
      <c r="G1374" t="s">
        <v>16226</v>
      </c>
      <c r="H1374" t="s">
        <v>47071</v>
      </c>
      <c r="I1374" t="s">
        <v>47132</v>
      </c>
      <c r="J1374" t="s">
        <v>47133</v>
      </c>
      <c r="K1374" t="s">
        <v>47113</v>
      </c>
      <c r="L1374">
        <v>30.63</v>
      </c>
      <c r="M1374">
        <v>57</v>
      </c>
      <c r="N1374">
        <v>0</v>
      </c>
      <c r="O1374">
        <v>57</v>
      </c>
      <c r="P1374">
        <v>0</v>
      </c>
    </row>
    <row r="1375" spans="1:16" x14ac:dyDescent="0.25">
      <c r="A1375" t="s">
        <v>23858</v>
      </c>
      <c r="B1375" t="s">
        <v>2303</v>
      </c>
      <c r="C1375" t="s">
        <v>2304</v>
      </c>
      <c r="D1375" t="str">
        <f>"2000"</f>
        <v>2000</v>
      </c>
      <c r="E1375" t="s">
        <v>248</v>
      </c>
      <c r="F1375" t="s">
        <v>0</v>
      </c>
      <c r="G1375" t="s">
        <v>16226</v>
      </c>
      <c r="H1375" t="s">
        <v>47071</v>
      </c>
      <c r="I1375" t="s">
        <v>47132</v>
      </c>
      <c r="J1375" t="s">
        <v>47133</v>
      </c>
      <c r="K1375" t="s">
        <v>47113</v>
      </c>
      <c r="L1375">
        <v>32.369999999999997</v>
      </c>
      <c r="M1375">
        <v>57</v>
      </c>
      <c r="N1375">
        <v>0</v>
      </c>
      <c r="O1375">
        <v>57</v>
      </c>
      <c r="P1375">
        <v>0</v>
      </c>
    </row>
    <row r="1376" spans="1:16" x14ac:dyDescent="0.25">
      <c r="A1376" t="s">
        <v>14754</v>
      </c>
      <c r="B1376" t="s">
        <v>2305</v>
      </c>
      <c r="C1376" t="s">
        <v>2306</v>
      </c>
      <c r="D1376" t="str">
        <f>"2602"</f>
        <v>2602</v>
      </c>
      <c r="E1376" t="s">
        <v>2307</v>
      </c>
      <c r="F1376" t="s">
        <v>0</v>
      </c>
      <c r="G1376" t="s">
        <v>16226</v>
      </c>
      <c r="H1376" t="s">
        <v>47071</v>
      </c>
      <c r="I1376" t="s">
        <v>47132</v>
      </c>
      <c r="J1376" t="s">
        <v>47133</v>
      </c>
      <c r="K1376" t="s">
        <v>47113</v>
      </c>
      <c r="L1376">
        <v>36.46</v>
      </c>
      <c r="M1376">
        <v>69</v>
      </c>
      <c r="N1376">
        <v>0</v>
      </c>
      <c r="O1376">
        <v>69</v>
      </c>
      <c r="P1376">
        <v>0</v>
      </c>
    </row>
    <row r="1377" spans="1:16" x14ac:dyDescent="0.25">
      <c r="A1377" t="s">
        <v>23859</v>
      </c>
      <c r="B1377" t="s">
        <v>2308</v>
      </c>
      <c r="C1377" t="s">
        <v>2309</v>
      </c>
      <c r="D1377" t="str">
        <f>"1001"</f>
        <v>1001</v>
      </c>
      <c r="E1377" t="s">
        <v>42</v>
      </c>
      <c r="F1377" t="s">
        <v>2068</v>
      </c>
      <c r="G1377" t="s">
        <v>16226</v>
      </c>
      <c r="H1377" t="s">
        <v>47071</v>
      </c>
      <c r="I1377" t="s">
        <v>47132</v>
      </c>
      <c r="J1377" t="s">
        <v>47133</v>
      </c>
      <c r="K1377" t="s">
        <v>47113</v>
      </c>
      <c r="L1377">
        <v>23.78</v>
      </c>
      <c r="M1377">
        <v>34</v>
      </c>
      <c r="N1377">
        <v>88</v>
      </c>
      <c r="O1377">
        <v>34</v>
      </c>
      <c r="P1377">
        <v>88</v>
      </c>
    </row>
    <row r="1378" spans="1:16" x14ac:dyDescent="0.25">
      <c r="A1378" t="s">
        <v>23860</v>
      </c>
      <c r="B1378" t="s">
        <v>2308</v>
      </c>
      <c r="C1378" t="s">
        <v>2309</v>
      </c>
      <c r="D1378" t="str">
        <f>"2000"</f>
        <v>2000</v>
      </c>
      <c r="E1378" t="s">
        <v>248</v>
      </c>
      <c r="F1378" t="s">
        <v>2068</v>
      </c>
      <c r="G1378" t="s">
        <v>16226</v>
      </c>
      <c r="H1378" t="s">
        <v>47071</v>
      </c>
      <c r="I1378" t="s">
        <v>47132</v>
      </c>
      <c r="J1378" t="s">
        <v>47133</v>
      </c>
      <c r="K1378" t="s">
        <v>47113</v>
      </c>
      <c r="L1378">
        <v>23.78</v>
      </c>
      <c r="M1378">
        <v>34</v>
      </c>
      <c r="N1378">
        <v>88</v>
      </c>
      <c r="O1378">
        <v>34</v>
      </c>
      <c r="P1378">
        <v>88</v>
      </c>
    </row>
    <row r="1379" spans="1:16" x14ac:dyDescent="0.25">
      <c r="A1379" t="s">
        <v>23861</v>
      </c>
      <c r="B1379" t="s">
        <v>2310</v>
      </c>
      <c r="C1379" t="s">
        <v>2311</v>
      </c>
      <c r="D1379" t="str">
        <f>"1001"</f>
        <v>1001</v>
      </c>
      <c r="E1379" t="s">
        <v>42</v>
      </c>
      <c r="F1379" t="s">
        <v>2068</v>
      </c>
      <c r="G1379" t="s">
        <v>16226</v>
      </c>
      <c r="H1379" t="s">
        <v>47071</v>
      </c>
      <c r="I1379" t="s">
        <v>47132</v>
      </c>
      <c r="J1379" t="s">
        <v>47133</v>
      </c>
      <c r="K1379" t="s">
        <v>47113</v>
      </c>
      <c r="L1379">
        <v>10.92</v>
      </c>
      <c r="M1379">
        <v>19</v>
      </c>
      <c r="N1379">
        <v>48</v>
      </c>
      <c r="O1379">
        <v>19</v>
      </c>
      <c r="P1379">
        <v>48</v>
      </c>
    </row>
    <row r="1380" spans="1:16" x14ac:dyDescent="0.25">
      <c r="A1380" t="s">
        <v>23862</v>
      </c>
      <c r="B1380" t="s">
        <v>2310</v>
      </c>
      <c r="C1380" t="s">
        <v>2311</v>
      </c>
      <c r="D1380" t="str">
        <f>"2602"</f>
        <v>2602</v>
      </c>
      <c r="E1380" t="s">
        <v>2307</v>
      </c>
      <c r="F1380" t="s">
        <v>2068</v>
      </c>
      <c r="G1380" t="s">
        <v>16226</v>
      </c>
      <c r="H1380" t="s">
        <v>47071</v>
      </c>
      <c r="I1380" t="s">
        <v>47132</v>
      </c>
      <c r="J1380" t="s">
        <v>47133</v>
      </c>
      <c r="K1380" t="s">
        <v>47113</v>
      </c>
      <c r="L1380">
        <v>10.92</v>
      </c>
      <c r="M1380">
        <v>19</v>
      </c>
      <c r="N1380">
        <v>48</v>
      </c>
      <c r="O1380">
        <v>19</v>
      </c>
      <c r="P1380">
        <v>48</v>
      </c>
    </row>
    <row r="1381" spans="1:16" x14ac:dyDescent="0.25">
      <c r="A1381" t="s">
        <v>23863</v>
      </c>
      <c r="B1381" t="s">
        <v>2310</v>
      </c>
      <c r="C1381" t="s">
        <v>2311</v>
      </c>
      <c r="D1381" t="str">
        <f>"3522"</f>
        <v>3522</v>
      </c>
      <c r="E1381" t="s">
        <v>2312</v>
      </c>
      <c r="F1381" t="s">
        <v>2068</v>
      </c>
      <c r="G1381" t="s">
        <v>16226</v>
      </c>
      <c r="H1381" t="s">
        <v>47071</v>
      </c>
      <c r="I1381" t="s">
        <v>47132</v>
      </c>
      <c r="J1381" t="s">
        <v>47133</v>
      </c>
      <c r="K1381" t="s">
        <v>47113</v>
      </c>
      <c r="L1381">
        <v>10.92</v>
      </c>
      <c r="M1381">
        <v>19</v>
      </c>
      <c r="N1381">
        <v>48</v>
      </c>
      <c r="O1381">
        <v>19</v>
      </c>
      <c r="P1381">
        <v>48</v>
      </c>
    </row>
    <row r="1382" spans="1:16" x14ac:dyDescent="0.25">
      <c r="A1382" t="s">
        <v>23864</v>
      </c>
      <c r="B1382" t="s">
        <v>2310</v>
      </c>
      <c r="C1382" t="s">
        <v>2311</v>
      </c>
      <c r="D1382" t="str">
        <f>"4143"</f>
        <v>4143</v>
      </c>
      <c r="E1382" t="s">
        <v>261</v>
      </c>
      <c r="F1382" t="s">
        <v>2068</v>
      </c>
      <c r="G1382" t="s">
        <v>16226</v>
      </c>
      <c r="H1382" t="s">
        <v>47071</v>
      </c>
      <c r="I1382" t="s">
        <v>47132</v>
      </c>
      <c r="J1382" t="s">
        <v>47133</v>
      </c>
      <c r="K1382" t="s">
        <v>47113</v>
      </c>
      <c r="L1382">
        <v>10.92</v>
      </c>
      <c r="M1382">
        <v>19</v>
      </c>
      <c r="N1382">
        <v>48</v>
      </c>
      <c r="O1382">
        <v>19</v>
      </c>
      <c r="P1382">
        <v>48</v>
      </c>
    </row>
    <row r="1383" spans="1:16" x14ac:dyDescent="0.25">
      <c r="A1383" t="s">
        <v>23865</v>
      </c>
      <c r="B1383" t="s">
        <v>2310</v>
      </c>
      <c r="C1383" t="s">
        <v>2311</v>
      </c>
      <c r="D1383" t="str">
        <f>"8413"</f>
        <v>8413</v>
      </c>
      <c r="E1383" t="s">
        <v>2313</v>
      </c>
      <c r="F1383" t="s">
        <v>2068</v>
      </c>
      <c r="G1383" t="s">
        <v>16226</v>
      </c>
      <c r="H1383" t="s">
        <v>47071</v>
      </c>
      <c r="I1383" t="s">
        <v>47132</v>
      </c>
      <c r="J1383" t="s">
        <v>47133</v>
      </c>
      <c r="K1383" t="s">
        <v>47113</v>
      </c>
      <c r="L1383">
        <v>10.92</v>
      </c>
      <c r="M1383">
        <v>19</v>
      </c>
      <c r="N1383">
        <v>48</v>
      </c>
      <c r="O1383">
        <v>19</v>
      </c>
      <c r="P1383">
        <v>48</v>
      </c>
    </row>
    <row r="1384" spans="1:16" x14ac:dyDescent="0.25">
      <c r="A1384" t="s">
        <v>23866</v>
      </c>
      <c r="B1384" t="s">
        <v>2310</v>
      </c>
      <c r="C1384" t="s">
        <v>2311</v>
      </c>
      <c r="D1384" t="str">
        <f>"9614"</f>
        <v>9614</v>
      </c>
      <c r="E1384" t="s">
        <v>2314</v>
      </c>
      <c r="F1384" t="s">
        <v>2068</v>
      </c>
      <c r="G1384" t="s">
        <v>16226</v>
      </c>
      <c r="H1384" t="s">
        <v>47071</v>
      </c>
      <c r="I1384" t="s">
        <v>47132</v>
      </c>
      <c r="J1384" t="s">
        <v>47133</v>
      </c>
      <c r="K1384" t="s">
        <v>47113</v>
      </c>
      <c r="L1384">
        <v>10.92</v>
      </c>
      <c r="M1384">
        <v>19</v>
      </c>
      <c r="N1384">
        <v>48</v>
      </c>
      <c r="O1384">
        <v>19</v>
      </c>
      <c r="P1384">
        <v>48</v>
      </c>
    </row>
    <row r="1385" spans="1:16" x14ac:dyDescent="0.25">
      <c r="A1385" t="s">
        <v>23867</v>
      </c>
      <c r="B1385" t="s">
        <v>2315</v>
      </c>
      <c r="C1385" t="s">
        <v>2316</v>
      </c>
      <c r="D1385" t="str">
        <f>"1001"</f>
        <v>1001</v>
      </c>
      <c r="E1385" t="s">
        <v>42</v>
      </c>
      <c r="F1385" t="s">
        <v>2068</v>
      </c>
      <c r="G1385" t="s">
        <v>16226</v>
      </c>
      <c r="H1385" t="s">
        <v>47071</v>
      </c>
      <c r="I1385" t="s">
        <v>47132</v>
      </c>
      <c r="J1385" t="s">
        <v>47133</v>
      </c>
      <c r="K1385" t="s">
        <v>47113</v>
      </c>
      <c r="L1385">
        <v>32.950000000000003</v>
      </c>
      <c r="M1385">
        <v>54</v>
      </c>
      <c r="N1385">
        <v>138</v>
      </c>
      <c r="O1385">
        <v>54</v>
      </c>
      <c r="P1385">
        <v>138</v>
      </c>
    </row>
    <row r="1386" spans="1:16" x14ac:dyDescent="0.25">
      <c r="A1386" t="s">
        <v>14755</v>
      </c>
      <c r="B1386" t="s">
        <v>2315</v>
      </c>
      <c r="C1386" t="s">
        <v>2316</v>
      </c>
      <c r="D1386" t="str">
        <f>"2000"</f>
        <v>2000</v>
      </c>
      <c r="E1386" t="s">
        <v>248</v>
      </c>
      <c r="F1386" t="s">
        <v>2068</v>
      </c>
      <c r="G1386" t="s">
        <v>16226</v>
      </c>
      <c r="H1386" t="s">
        <v>47071</v>
      </c>
      <c r="I1386" t="s">
        <v>47132</v>
      </c>
      <c r="J1386" t="s">
        <v>47133</v>
      </c>
      <c r="K1386" t="s">
        <v>47113</v>
      </c>
      <c r="L1386">
        <v>32.950000000000003</v>
      </c>
      <c r="M1386">
        <v>54</v>
      </c>
      <c r="N1386">
        <v>138</v>
      </c>
      <c r="O1386">
        <v>54</v>
      </c>
      <c r="P1386">
        <v>138</v>
      </c>
    </row>
    <row r="1387" spans="1:16" x14ac:dyDescent="0.25">
      <c r="A1387" t="s">
        <v>23868</v>
      </c>
      <c r="B1387" t="s">
        <v>2315</v>
      </c>
      <c r="C1387" t="s">
        <v>2316</v>
      </c>
      <c r="D1387" t="str">
        <f>"2602"</f>
        <v>2602</v>
      </c>
      <c r="E1387" t="s">
        <v>2307</v>
      </c>
      <c r="F1387" t="s">
        <v>2068</v>
      </c>
      <c r="G1387" t="s">
        <v>16226</v>
      </c>
      <c r="H1387" t="s">
        <v>47071</v>
      </c>
      <c r="I1387" t="s">
        <v>47132</v>
      </c>
      <c r="J1387" t="s">
        <v>47133</v>
      </c>
      <c r="K1387" t="s">
        <v>47113</v>
      </c>
      <c r="L1387">
        <v>32.950000000000003</v>
      </c>
      <c r="M1387">
        <v>54</v>
      </c>
      <c r="N1387">
        <v>138</v>
      </c>
      <c r="O1387">
        <v>54</v>
      </c>
      <c r="P1387">
        <v>138</v>
      </c>
    </row>
    <row r="1388" spans="1:16" x14ac:dyDescent="0.25">
      <c r="A1388" t="s">
        <v>23869</v>
      </c>
      <c r="B1388" t="s">
        <v>2317</v>
      </c>
      <c r="C1388" t="s">
        <v>2318</v>
      </c>
      <c r="D1388" t="str">
        <f>"2000"</f>
        <v>2000</v>
      </c>
      <c r="E1388" t="s">
        <v>248</v>
      </c>
      <c r="F1388" t="s">
        <v>2068</v>
      </c>
      <c r="G1388" t="s">
        <v>16226</v>
      </c>
      <c r="H1388" t="s">
        <v>47071</v>
      </c>
      <c r="I1388" t="s">
        <v>47132</v>
      </c>
      <c r="J1388" t="s">
        <v>47133</v>
      </c>
      <c r="K1388" t="s">
        <v>47113</v>
      </c>
      <c r="L1388">
        <v>32.950000000000003</v>
      </c>
      <c r="M1388">
        <v>54</v>
      </c>
      <c r="N1388">
        <v>88</v>
      </c>
      <c r="O1388">
        <v>54</v>
      </c>
      <c r="P1388">
        <v>88</v>
      </c>
    </row>
    <row r="1389" spans="1:16" x14ac:dyDescent="0.25">
      <c r="A1389" t="s">
        <v>23870</v>
      </c>
      <c r="B1389" t="s">
        <v>2319</v>
      </c>
      <c r="C1389" t="s">
        <v>2320</v>
      </c>
      <c r="D1389" t="str">
        <f>"1001"</f>
        <v>1001</v>
      </c>
      <c r="E1389" t="s">
        <v>42</v>
      </c>
      <c r="F1389" t="s">
        <v>2068</v>
      </c>
      <c r="G1389" t="s">
        <v>16226</v>
      </c>
      <c r="H1389" t="s">
        <v>47071</v>
      </c>
      <c r="I1389" t="s">
        <v>47132</v>
      </c>
      <c r="J1389" t="s">
        <v>47133</v>
      </c>
      <c r="K1389" t="s">
        <v>47113</v>
      </c>
      <c r="L1389">
        <v>18.920000000000002</v>
      </c>
      <c r="M1389">
        <v>34</v>
      </c>
      <c r="N1389">
        <v>118</v>
      </c>
      <c r="O1389">
        <v>34</v>
      </c>
      <c r="P1389">
        <v>118</v>
      </c>
    </row>
    <row r="1390" spans="1:16" x14ac:dyDescent="0.25">
      <c r="A1390" t="s">
        <v>23871</v>
      </c>
      <c r="B1390" t="s">
        <v>2319</v>
      </c>
      <c r="C1390" t="s">
        <v>2320</v>
      </c>
      <c r="D1390" t="str">
        <f>"4143"</f>
        <v>4143</v>
      </c>
      <c r="E1390" t="s">
        <v>261</v>
      </c>
      <c r="F1390" t="s">
        <v>2068</v>
      </c>
      <c r="G1390" t="s">
        <v>16226</v>
      </c>
      <c r="H1390" t="s">
        <v>47071</v>
      </c>
      <c r="I1390" t="s">
        <v>47132</v>
      </c>
      <c r="J1390" t="s">
        <v>47133</v>
      </c>
      <c r="K1390" t="s">
        <v>47113</v>
      </c>
      <c r="L1390">
        <v>18.920000000000002</v>
      </c>
      <c r="M1390">
        <v>34</v>
      </c>
      <c r="N1390">
        <v>118</v>
      </c>
      <c r="O1390">
        <v>34</v>
      </c>
      <c r="P1390">
        <v>118</v>
      </c>
    </row>
    <row r="1391" spans="1:16" x14ac:dyDescent="0.25">
      <c r="A1391" t="s">
        <v>23872</v>
      </c>
      <c r="B1391" t="s">
        <v>23873</v>
      </c>
      <c r="C1391" t="s">
        <v>23874</v>
      </c>
      <c r="D1391" t="str">
        <f>"2000"</f>
        <v>2000</v>
      </c>
      <c r="E1391" t="s">
        <v>248</v>
      </c>
      <c r="F1391" t="s">
        <v>2068</v>
      </c>
      <c r="G1391" t="s">
        <v>16226</v>
      </c>
      <c r="H1391" t="s">
        <v>47071</v>
      </c>
      <c r="I1391" t="s">
        <v>47132</v>
      </c>
      <c r="J1391" t="s">
        <v>47133</v>
      </c>
      <c r="K1391" t="s">
        <v>47113</v>
      </c>
      <c r="L1391">
        <v>22.01</v>
      </c>
      <c r="M1391">
        <v>68</v>
      </c>
      <c r="N1391">
        <v>0</v>
      </c>
      <c r="O1391">
        <v>68</v>
      </c>
      <c r="P1391">
        <v>0</v>
      </c>
    </row>
    <row r="1392" spans="1:16" x14ac:dyDescent="0.25">
      <c r="A1392" t="s">
        <v>23875</v>
      </c>
      <c r="B1392" t="s">
        <v>2321</v>
      </c>
      <c r="C1392" t="s">
        <v>2322</v>
      </c>
      <c r="D1392" t="str">
        <f>"2602"</f>
        <v>2602</v>
      </c>
      <c r="E1392" t="s">
        <v>2307</v>
      </c>
      <c r="F1392" t="s">
        <v>2068</v>
      </c>
      <c r="G1392" t="s">
        <v>16226</v>
      </c>
      <c r="H1392" t="s">
        <v>47071</v>
      </c>
      <c r="I1392" t="s">
        <v>47132</v>
      </c>
      <c r="J1392" t="s">
        <v>47133</v>
      </c>
      <c r="K1392" t="s">
        <v>47113</v>
      </c>
      <c r="L1392">
        <v>25.08</v>
      </c>
      <c r="M1392">
        <v>46</v>
      </c>
      <c r="N1392">
        <v>0</v>
      </c>
      <c r="O1392">
        <v>46</v>
      </c>
      <c r="P1392">
        <v>0</v>
      </c>
    </row>
    <row r="1393" spans="1:16" x14ac:dyDescent="0.25">
      <c r="A1393" t="s">
        <v>23876</v>
      </c>
      <c r="B1393" t="s">
        <v>2323</v>
      </c>
      <c r="C1393" t="s">
        <v>2324</v>
      </c>
      <c r="D1393" t="str">
        <f>"1001"</f>
        <v>1001</v>
      </c>
      <c r="E1393" t="s">
        <v>42</v>
      </c>
      <c r="F1393" t="s">
        <v>2068</v>
      </c>
      <c r="G1393" t="s">
        <v>16226</v>
      </c>
      <c r="H1393" t="s">
        <v>47071</v>
      </c>
      <c r="I1393" t="s">
        <v>47132</v>
      </c>
      <c r="J1393" t="s">
        <v>47133</v>
      </c>
      <c r="K1393" t="s">
        <v>47113</v>
      </c>
      <c r="L1393">
        <v>18.739999999999998</v>
      </c>
      <c r="M1393">
        <v>34</v>
      </c>
      <c r="N1393">
        <v>98</v>
      </c>
      <c r="O1393">
        <v>34</v>
      </c>
      <c r="P1393">
        <v>98</v>
      </c>
    </row>
    <row r="1394" spans="1:16" x14ac:dyDescent="0.25">
      <c r="A1394" t="s">
        <v>23877</v>
      </c>
      <c r="B1394" t="s">
        <v>2323</v>
      </c>
      <c r="C1394" t="s">
        <v>2324</v>
      </c>
      <c r="D1394" t="str">
        <f>"2000"</f>
        <v>2000</v>
      </c>
      <c r="E1394" t="s">
        <v>248</v>
      </c>
      <c r="F1394" t="s">
        <v>2068</v>
      </c>
      <c r="G1394" t="s">
        <v>16226</v>
      </c>
      <c r="H1394" t="s">
        <v>47071</v>
      </c>
      <c r="I1394" t="s">
        <v>47132</v>
      </c>
      <c r="J1394" t="s">
        <v>47133</v>
      </c>
      <c r="K1394" t="s">
        <v>47113</v>
      </c>
      <c r="L1394">
        <v>18.739999999999998</v>
      </c>
      <c r="M1394">
        <v>34</v>
      </c>
      <c r="N1394">
        <v>98</v>
      </c>
      <c r="O1394">
        <v>34</v>
      </c>
      <c r="P1394">
        <v>98</v>
      </c>
    </row>
    <row r="1395" spans="1:16" x14ac:dyDescent="0.25">
      <c r="A1395" t="s">
        <v>23878</v>
      </c>
      <c r="B1395" t="s">
        <v>2325</v>
      </c>
      <c r="C1395" t="s">
        <v>2326</v>
      </c>
      <c r="D1395" t="str">
        <f>"1001"</f>
        <v>1001</v>
      </c>
      <c r="E1395" t="s">
        <v>42</v>
      </c>
      <c r="F1395" t="s">
        <v>2068</v>
      </c>
      <c r="G1395" t="s">
        <v>16226</v>
      </c>
      <c r="H1395" t="s">
        <v>47071</v>
      </c>
      <c r="I1395" t="s">
        <v>47132</v>
      </c>
      <c r="J1395" t="s">
        <v>47133</v>
      </c>
      <c r="K1395" t="s">
        <v>47113</v>
      </c>
      <c r="L1395">
        <v>18.739999999999998</v>
      </c>
      <c r="M1395">
        <v>47</v>
      </c>
      <c r="N1395">
        <v>138</v>
      </c>
      <c r="O1395">
        <v>47</v>
      </c>
      <c r="P1395">
        <v>138</v>
      </c>
    </row>
    <row r="1396" spans="1:16" x14ac:dyDescent="0.25">
      <c r="A1396" t="s">
        <v>14756</v>
      </c>
      <c r="B1396" t="s">
        <v>2325</v>
      </c>
      <c r="C1396" t="s">
        <v>2326</v>
      </c>
      <c r="D1396" t="str">
        <f>"2000"</f>
        <v>2000</v>
      </c>
      <c r="E1396" t="s">
        <v>248</v>
      </c>
      <c r="F1396" t="s">
        <v>2068</v>
      </c>
      <c r="G1396" t="s">
        <v>16226</v>
      </c>
      <c r="H1396" t="s">
        <v>47071</v>
      </c>
      <c r="I1396" t="s">
        <v>47132</v>
      </c>
      <c r="J1396" t="s">
        <v>47133</v>
      </c>
      <c r="K1396" t="s">
        <v>47113</v>
      </c>
      <c r="L1396">
        <v>18.739999999999998</v>
      </c>
      <c r="M1396">
        <v>47</v>
      </c>
      <c r="N1396">
        <v>138</v>
      </c>
      <c r="O1396">
        <v>47</v>
      </c>
      <c r="P1396">
        <v>138</v>
      </c>
    </row>
    <row r="1397" spans="1:16" x14ac:dyDescent="0.25">
      <c r="A1397" t="s">
        <v>23879</v>
      </c>
      <c r="B1397" t="s">
        <v>2327</v>
      </c>
      <c r="C1397" t="s">
        <v>2328</v>
      </c>
      <c r="D1397" t="str">
        <f>"2000"</f>
        <v>2000</v>
      </c>
      <c r="E1397" t="s">
        <v>248</v>
      </c>
      <c r="F1397" t="s">
        <v>2068</v>
      </c>
      <c r="G1397" t="s">
        <v>16226</v>
      </c>
      <c r="H1397" t="s">
        <v>47071</v>
      </c>
      <c r="I1397" t="s">
        <v>47132</v>
      </c>
      <c r="J1397" t="s">
        <v>47133</v>
      </c>
      <c r="K1397" t="s">
        <v>47113</v>
      </c>
      <c r="L1397">
        <v>24.19</v>
      </c>
      <c r="M1397">
        <v>38</v>
      </c>
      <c r="N1397">
        <v>128</v>
      </c>
      <c r="O1397">
        <v>38</v>
      </c>
      <c r="P1397">
        <v>128</v>
      </c>
    </row>
    <row r="1398" spans="1:16" x14ac:dyDescent="0.25">
      <c r="A1398" t="s">
        <v>23880</v>
      </c>
      <c r="B1398" t="s">
        <v>2329</v>
      </c>
      <c r="C1398" t="s">
        <v>2330</v>
      </c>
      <c r="D1398" t="str">
        <f>"2000"</f>
        <v>2000</v>
      </c>
      <c r="E1398" t="s">
        <v>248</v>
      </c>
      <c r="F1398" t="s">
        <v>2068</v>
      </c>
      <c r="G1398" t="s">
        <v>16226</v>
      </c>
      <c r="H1398" t="s">
        <v>47071</v>
      </c>
      <c r="I1398" t="s">
        <v>47132</v>
      </c>
      <c r="J1398" t="s">
        <v>47133</v>
      </c>
      <c r="K1398" t="s">
        <v>47113</v>
      </c>
      <c r="L1398">
        <v>32.950000000000003</v>
      </c>
      <c r="M1398">
        <v>54</v>
      </c>
      <c r="N1398">
        <v>138</v>
      </c>
      <c r="O1398">
        <v>54</v>
      </c>
      <c r="P1398">
        <v>138</v>
      </c>
    </row>
    <row r="1399" spans="1:16" x14ac:dyDescent="0.25">
      <c r="A1399" t="s">
        <v>14757</v>
      </c>
      <c r="B1399" t="s">
        <v>2331</v>
      </c>
      <c r="C1399" t="s">
        <v>2332</v>
      </c>
      <c r="D1399" t="str">
        <f>"1001"</f>
        <v>1001</v>
      </c>
      <c r="E1399" t="s">
        <v>42</v>
      </c>
      <c r="F1399" t="s">
        <v>2068</v>
      </c>
      <c r="G1399" t="s">
        <v>16226</v>
      </c>
      <c r="H1399" t="s">
        <v>47071</v>
      </c>
      <c r="I1399" t="s">
        <v>47132</v>
      </c>
      <c r="J1399" t="s">
        <v>47133</v>
      </c>
      <c r="K1399" t="s">
        <v>47113</v>
      </c>
      <c r="L1399">
        <v>32.950000000000003</v>
      </c>
      <c r="M1399">
        <v>54</v>
      </c>
      <c r="N1399">
        <v>118</v>
      </c>
      <c r="O1399">
        <v>54</v>
      </c>
      <c r="P1399">
        <v>118</v>
      </c>
    </row>
    <row r="1400" spans="1:16" x14ac:dyDescent="0.25">
      <c r="A1400" t="s">
        <v>14758</v>
      </c>
      <c r="B1400" t="s">
        <v>2331</v>
      </c>
      <c r="C1400" t="s">
        <v>2332</v>
      </c>
      <c r="D1400" t="str">
        <f>"2000"</f>
        <v>2000</v>
      </c>
      <c r="E1400" t="s">
        <v>248</v>
      </c>
      <c r="F1400" t="s">
        <v>2068</v>
      </c>
      <c r="G1400" t="s">
        <v>16226</v>
      </c>
      <c r="H1400" t="s">
        <v>47071</v>
      </c>
      <c r="I1400" t="s">
        <v>47132</v>
      </c>
      <c r="J1400" t="s">
        <v>47133</v>
      </c>
      <c r="K1400" t="s">
        <v>47113</v>
      </c>
      <c r="L1400">
        <v>32.950000000000003</v>
      </c>
      <c r="M1400">
        <v>54</v>
      </c>
      <c r="N1400">
        <v>118</v>
      </c>
      <c r="O1400">
        <v>54</v>
      </c>
      <c r="P1400">
        <v>118</v>
      </c>
    </row>
    <row r="1401" spans="1:16" x14ac:dyDescent="0.25">
      <c r="A1401" t="s">
        <v>14759</v>
      </c>
      <c r="B1401" t="s">
        <v>2333</v>
      </c>
      <c r="C1401" t="s">
        <v>2334</v>
      </c>
      <c r="D1401" t="str">
        <f>"2000"</f>
        <v>2000</v>
      </c>
      <c r="E1401" t="s">
        <v>248</v>
      </c>
      <c r="F1401" t="s">
        <v>2068</v>
      </c>
      <c r="G1401" t="s">
        <v>16226</v>
      </c>
      <c r="H1401" t="s">
        <v>47071</v>
      </c>
      <c r="I1401" t="s">
        <v>47132</v>
      </c>
      <c r="J1401" t="s">
        <v>47133</v>
      </c>
      <c r="K1401" t="s">
        <v>47113</v>
      </c>
      <c r="L1401">
        <v>25.96</v>
      </c>
      <c r="M1401">
        <v>34</v>
      </c>
      <c r="N1401">
        <v>88</v>
      </c>
      <c r="O1401">
        <v>34</v>
      </c>
      <c r="P1401">
        <v>88</v>
      </c>
    </row>
    <row r="1402" spans="1:16" x14ac:dyDescent="0.25">
      <c r="A1402" t="s">
        <v>23881</v>
      </c>
      <c r="B1402" t="s">
        <v>2335</v>
      </c>
      <c r="C1402" t="s">
        <v>2334</v>
      </c>
      <c r="D1402" t="str">
        <f>"2000"</f>
        <v>2000</v>
      </c>
      <c r="E1402" t="s">
        <v>248</v>
      </c>
      <c r="F1402" t="s">
        <v>2068</v>
      </c>
      <c r="G1402" t="s">
        <v>16226</v>
      </c>
      <c r="H1402" t="s">
        <v>47071</v>
      </c>
      <c r="I1402" t="s">
        <v>47127</v>
      </c>
      <c r="J1402" t="s">
        <v>47128</v>
      </c>
      <c r="K1402" t="s">
        <v>47113</v>
      </c>
      <c r="L1402">
        <v>25.96</v>
      </c>
      <c r="M1402">
        <v>34</v>
      </c>
      <c r="N1402">
        <v>88</v>
      </c>
      <c r="O1402">
        <v>34</v>
      </c>
      <c r="P1402">
        <v>88</v>
      </c>
    </row>
    <row r="1403" spans="1:16" x14ac:dyDescent="0.25">
      <c r="A1403" t="s">
        <v>23882</v>
      </c>
      <c r="B1403" t="s">
        <v>2336</v>
      </c>
      <c r="C1403" t="s">
        <v>2334</v>
      </c>
      <c r="D1403" t="str">
        <f>"6000"</f>
        <v>6000</v>
      </c>
      <c r="E1403" t="s">
        <v>238</v>
      </c>
      <c r="F1403" t="s">
        <v>2068</v>
      </c>
      <c r="G1403" t="s">
        <v>16226</v>
      </c>
      <c r="H1403" t="s">
        <v>47071</v>
      </c>
      <c r="I1403" t="s">
        <v>47132</v>
      </c>
      <c r="J1403" t="s">
        <v>47133</v>
      </c>
      <c r="K1403" t="s">
        <v>47113</v>
      </c>
      <c r="L1403">
        <v>25.96</v>
      </c>
      <c r="M1403">
        <v>52</v>
      </c>
      <c r="N1403">
        <v>88</v>
      </c>
      <c r="O1403">
        <v>52</v>
      </c>
      <c r="P1403">
        <v>88</v>
      </c>
    </row>
    <row r="1404" spans="1:16" x14ac:dyDescent="0.25">
      <c r="A1404" t="s">
        <v>23883</v>
      </c>
      <c r="B1404" t="s">
        <v>2337</v>
      </c>
      <c r="C1404" t="s">
        <v>2320</v>
      </c>
      <c r="D1404" t="str">
        <f>"2602"</f>
        <v>2602</v>
      </c>
      <c r="E1404" t="s">
        <v>2307</v>
      </c>
      <c r="F1404" t="s">
        <v>4</v>
      </c>
      <c r="G1404" t="s">
        <v>47090</v>
      </c>
      <c r="H1404" t="s">
        <v>47071</v>
      </c>
      <c r="I1404" t="s">
        <v>47132</v>
      </c>
      <c r="J1404" t="s">
        <v>47133</v>
      </c>
      <c r="K1404" t="s">
        <v>47113</v>
      </c>
      <c r="L1404">
        <v>22</v>
      </c>
      <c r="M1404">
        <v>46</v>
      </c>
      <c r="N1404">
        <v>0</v>
      </c>
      <c r="O1404">
        <v>46</v>
      </c>
      <c r="P1404">
        <v>0</v>
      </c>
    </row>
    <row r="1405" spans="1:16" x14ac:dyDescent="0.25">
      <c r="A1405" t="s">
        <v>23884</v>
      </c>
      <c r="B1405" t="s">
        <v>2338</v>
      </c>
      <c r="C1405" t="s">
        <v>2320</v>
      </c>
      <c r="D1405" t="str">
        <f>"2602"</f>
        <v>2602</v>
      </c>
      <c r="E1405" t="s">
        <v>2307</v>
      </c>
      <c r="F1405" t="s">
        <v>0</v>
      </c>
      <c r="G1405" t="s">
        <v>16226</v>
      </c>
      <c r="H1405" t="s">
        <v>47071</v>
      </c>
      <c r="I1405" t="s">
        <v>47132</v>
      </c>
      <c r="J1405" t="s">
        <v>47133</v>
      </c>
      <c r="K1405" t="s">
        <v>47113</v>
      </c>
      <c r="L1405">
        <v>22.01</v>
      </c>
      <c r="M1405">
        <v>46</v>
      </c>
      <c r="N1405">
        <v>0</v>
      </c>
      <c r="O1405">
        <v>46</v>
      </c>
      <c r="P1405">
        <v>0</v>
      </c>
    </row>
    <row r="1406" spans="1:16" x14ac:dyDescent="0.25">
      <c r="A1406" t="s">
        <v>23885</v>
      </c>
      <c r="B1406" t="s">
        <v>2339</v>
      </c>
      <c r="C1406" t="s">
        <v>2340</v>
      </c>
      <c r="D1406" t="str">
        <f>"2602"</f>
        <v>2602</v>
      </c>
      <c r="E1406" t="s">
        <v>2307</v>
      </c>
      <c r="F1406" t="s">
        <v>4</v>
      </c>
      <c r="G1406" t="s">
        <v>47090</v>
      </c>
      <c r="H1406" t="s">
        <v>47071</v>
      </c>
      <c r="I1406" t="s">
        <v>47132</v>
      </c>
      <c r="J1406" t="s">
        <v>47133</v>
      </c>
      <c r="K1406" t="s">
        <v>47113</v>
      </c>
      <c r="L1406">
        <v>25.78</v>
      </c>
      <c r="M1406">
        <v>46</v>
      </c>
      <c r="N1406">
        <v>0</v>
      </c>
      <c r="O1406">
        <v>46</v>
      </c>
      <c r="P1406">
        <v>0</v>
      </c>
    </row>
    <row r="1407" spans="1:16" x14ac:dyDescent="0.25">
      <c r="A1407" t="s">
        <v>23886</v>
      </c>
      <c r="B1407" t="s">
        <v>2341</v>
      </c>
      <c r="C1407" t="s">
        <v>2340</v>
      </c>
      <c r="D1407" t="str">
        <f>"3268"</f>
        <v>3268</v>
      </c>
      <c r="E1407" t="s">
        <v>2342</v>
      </c>
      <c r="F1407" t="s">
        <v>0</v>
      </c>
      <c r="G1407" t="s">
        <v>16226</v>
      </c>
      <c r="H1407" t="s">
        <v>47071</v>
      </c>
      <c r="I1407" t="s">
        <v>47132</v>
      </c>
      <c r="J1407" t="s">
        <v>47133</v>
      </c>
      <c r="K1407" t="s">
        <v>47113</v>
      </c>
      <c r="L1407">
        <v>25.78</v>
      </c>
      <c r="M1407">
        <v>46</v>
      </c>
      <c r="N1407">
        <v>0</v>
      </c>
      <c r="O1407">
        <v>46</v>
      </c>
      <c r="P1407">
        <v>0</v>
      </c>
    </row>
    <row r="1408" spans="1:16" x14ac:dyDescent="0.25">
      <c r="A1408" t="s">
        <v>23887</v>
      </c>
      <c r="B1408" t="s">
        <v>2343</v>
      </c>
      <c r="C1408" t="s">
        <v>2344</v>
      </c>
      <c r="D1408" t="str">
        <f>"2141"</f>
        <v>2141</v>
      </c>
      <c r="E1408" t="s">
        <v>2345</v>
      </c>
      <c r="F1408" t="s">
        <v>4</v>
      </c>
      <c r="G1408" t="s">
        <v>47090</v>
      </c>
      <c r="H1408" t="s">
        <v>47071</v>
      </c>
      <c r="I1408" t="s">
        <v>47132</v>
      </c>
      <c r="J1408" t="s">
        <v>47133</v>
      </c>
      <c r="K1408" t="s">
        <v>47113</v>
      </c>
      <c r="L1408">
        <v>46.23</v>
      </c>
      <c r="M1408">
        <v>65</v>
      </c>
      <c r="N1408">
        <v>0</v>
      </c>
      <c r="O1408">
        <v>65</v>
      </c>
      <c r="P1408">
        <v>0</v>
      </c>
    </row>
    <row r="1409" spans="1:16" x14ac:dyDescent="0.25">
      <c r="A1409" t="s">
        <v>14760</v>
      </c>
      <c r="B1409" t="s">
        <v>2346</v>
      </c>
      <c r="C1409" t="s">
        <v>2344</v>
      </c>
      <c r="D1409" t="str">
        <f>"2141"</f>
        <v>2141</v>
      </c>
      <c r="E1409" t="s">
        <v>2345</v>
      </c>
      <c r="F1409" t="s">
        <v>0</v>
      </c>
      <c r="G1409" t="s">
        <v>16226</v>
      </c>
      <c r="H1409" t="s">
        <v>47071</v>
      </c>
      <c r="I1409" t="s">
        <v>47132</v>
      </c>
      <c r="J1409" t="s">
        <v>47133</v>
      </c>
      <c r="K1409" t="s">
        <v>47113</v>
      </c>
      <c r="L1409">
        <v>46.24</v>
      </c>
      <c r="M1409">
        <v>65</v>
      </c>
      <c r="N1409">
        <v>0</v>
      </c>
      <c r="O1409">
        <v>65</v>
      </c>
      <c r="P1409">
        <v>0</v>
      </c>
    </row>
    <row r="1410" spans="1:16" x14ac:dyDescent="0.25">
      <c r="A1410" t="s">
        <v>23888</v>
      </c>
      <c r="B1410" t="s">
        <v>2347</v>
      </c>
      <c r="C1410" t="s">
        <v>2348</v>
      </c>
      <c r="D1410" t="str">
        <f>"2000"</f>
        <v>2000</v>
      </c>
      <c r="E1410" t="s">
        <v>248</v>
      </c>
      <c r="F1410" t="s">
        <v>0</v>
      </c>
      <c r="G1410" t="s">
        <v>16226</v>
      </c>
      <c r="H1410" t="s">
        <v>47071</v>
      </c>
      <c r="I1410" t="s">
        <v>47132</v>
      </c>
      <c r="J1410" t="s">
        <v>47133</v>
      </c>
      <c r="K1410" t="s">
        <v>47113</v>
      </c>
      <c r="L1410">
        <v>33.840000000000003</v>
      </c>
      <c r="M1410">
        <v>65</v>
      </c>
      <c r="N1410">
        <v>0</v>
      </c>
      <c r="O1410">
        <v>65</v>
      </c>
      <c r="P1410">
        <v>0</v>
      </c>
    </row>
    <row r="1411" spans="1:16" x14ac:dyDescent="0.25">
      <c r="A1411" t="s">
        <v>23889</v>
      </c>
      <c r="B1411" t="s">
        <v>2349</v>
      </c>
      <c r="C1411" t="s">
        <v>2350</v>
      </c>
      <c r="D1411" t="str">
        <f>"2141"</f>
        <v>2141</v>
      </c>
      <c r="E1411" t="s">
        <v>2345</v>
      </c>
      <c r="F1411" t="s">
        <v>4</v>
      </c>
      <c r="G1411" t="s">
        <v>47090</v>
      </c>
      <c r="H1411" t="s">
        <v>47071</v>
      </c>
      <c r="I1411" t="s">
        <v>47132</v>
      </c>
      <c r="J1411" t="s">
        <v>47133</v>
      </c>
      <c r="K1411" t="s">
        <v>47113</v>
      </c>
      <c r="L1411">
        <v>38.380000000000003</v>
      </c>
      <c r="M1411">
        <v>65</v>
      </c>
      <c r="N1411">
        <v>0</v>
      </c>
      <c r="O1411">
        <v>65</v>
      </c>
      <c r="P1411">
        <v>0</v>
      </c>
    </row>
    <row r="1412" spans="1:16" x14ac:dyDescent="0.25">
      <c r="A1412" t="s">
        <v>14761</v>
      </c>
      <c r="B1412" t="s">
        <v>2351</v>
      </c>
      <c r="C1412" t="s">
        <v>2350</v>
      </c>
      <c r="D1412" t="str">
        <f>"2141"</f>
        <v>2141</v>
      </c>
      <c r="E1412" t="s">
        <v>2345</v>
      </c>
      <c r="F1412" t="s">
        <v>0</v>
      </c>
      <c r="G1412" t="s">
        <v>16226</v>
      </c>
      <c r="H1412" t="s">
        <v>47071</v>
      </c>
      <c r="I1412" t="s">
        <v>47132</v>
      </c>
      <c r="J1412" t="s">
        <v>47133</v>
      </c>
      <c r="K1412" t="s">
        <v>47113</v>
      </c>
      <c r="L1412">
        <v>38.4</v>
      </c>
      <c r="M1412">
        <v>65</v>
      </c>
      <c r="N1412">
        <v>0</v>
      </c>
      <c r="O1412">
        <v>65</v>
      </c>
      <c r="P1412">
        <v>0</v>
      </c>
    </row>
    <row r="1413" spans="1:16" x14ac:dyDescent="0.25">
      <c r="A1413" t="s">
        <v>23890</v>
      </c>
      <c r="B1413" t="s">
        <v>2352</v>
      </c>
      <c r="C1413" t="s">
        <v>2353</v>
      </c>
      <c r="D1413" t="str">
        <f>"1001"</f>
        <v>1001</v>
      </c>
      <c r="E1413" t="s">
        <v>42</v>
      </c>
      <c r="F1413" t="s">
        <v>0</v>
      </c>
      <c r="G1413" t="s">
        <v>47090</v>
      </c>
      <c r="H1413" t="s">
        <v>47071</v>
      </c>
      <c r="I1413" t="s">
        <v>47132</v>
      </c>
      <c r="J1413" t="s">
        <v>47133</v>
      </c>
      <c r="K1413" t="s">
        <v>47113</v>
      </c>
      <c r="L1413">
        <v>18.71</v>
      </c>
      <c r="M1413">
        <v>34</v>
      </c>
      <c r="N1413">
        <v>0</v>
      </c>
      <c r="O1413">
        <v>34</v>
      </c>
      <c r="P1413">
        <v>0</v>
      </c>
    </row>
    <row r="1414" spans="1:16" x14ac:dyDescent="0.25">
      <c r="A1414" t="s">
        <v>23891</v>
      </c>
      <c r="B1414" t="s">
        <v>2352</v>
      </c>
      <c r="C1414" t="s">
        <v>2353</v>
      </c>
      <c r="D1414" t="str">
        <f>"2001"</f>
        <v>2001</v>
      </c>
      <c r="E1414" t="s">
        <v>2354</v>
      </c>
      <c r="F1414" t="s">
        <v>4</v>
      </c>
      <c r="G1414" t="s">
        <v>47090</v>
      </c>
      <c r="H1414" t="s">
        <v>47071</v>
      </c>
      <c r="I1414" t="s">
        <v>47132</v>
      </c>
      <c r="J1414" t="s">
        <v>47133</v>
      </c>
      <c r="K1414" t="s">
        <v>47113</v>
      </c>
      <c r="L1414">
        <v>18.7</v>
      </c>
      <c r="M1414">
        <v>34</v>
      </c>
      <c r="N1414">
        <v>0</v>
      </c>
      <c r="O1414">
        <v>34</v>
      </c>
      <c r="P1414">
        <v>0</v>
      </c>
    </row>
    <row r="1415" spans="1:16" x14ac:dyDescent="0.25">
      <c r="A1415" t="s">
        <v>23892</v>
      </c>
      <c r="B1415" t="s">
        <v>2355</v>
      </c>
      <c r="C1415" t="s">
        <v>2356</v>
      </c>
      <c r="D1415" t="str">
        <f>"2000"</f>
        <v>2000</v>
      </c>
      <c r="E1415" t="s">
        <v>248</v>
      </c>
      <c r="F1415" t="s">
        <v>0</v>
      </c>
      <c r="G1415" t="s">
        <v>47090</v>
      </c>
      <c r="H1415" t="s">
        <v>47071</v>
      </c>
      <c r="I1415" t="s">
        <v>47132</v>
      </c>
      <c r="J1415" t="s">
        <v>47133</v>
      </c>
      <c r="K1415" t="s">
        <v>47113</v>
      </c>
      <c r="L1415">
        <v>17.940000000000001</v>
      </c>
      <c r="M1415">
        <v>34</v>
      </c>
      <c r="N1415">
        <v>0</v>
      </c>
      <c r="O1415">
        <v>34</v>
      </c>
      <c r="P1415">
        <v>0</v>
      </c>
    </row>
    <row r="1416" spans="1:16" x14ac:dyDescent="0.25">
      <c r="A1416" t="s">
        <v>23893</v>
      </c>
      <c r="B1416" t="s">
        <v>2357</v>
      </c>
      <c r="C1416" t="s">
        <v>2358</v>
      </c>
      <c r="D1416" t="str">
        <f>"6000"</f>
        <v>6000</v>
      </c>
      <c r="E1416" t="s">
        <v>238</v>
      </c>
      <c r="F1416" t="s">
        <v>0</v>
      </c>
      <c r="G1416" t="s">
        <v>47090</v>
      </c>
      <c r="H1416" t="s">
        <v>47071</v>
      </c>
      <c r="I1416" t="s">
        <v>47132</v>
      </c>
      <c r="J1416" t="s">
        <v>47133</v>
      </c>
      <c r="K1416" t="s">
        <v>47113</v>
      </c>
      <c r="L1416">
        <v>32.94</v>
      </c>
      <c r="M1416">
        <v>53</v>
      </c>
      <c r="N1416">
        <v>0</v>
      </c>
      <c r="O1416">
        <v>53</v>
      </c>
      <c r="P1416">
        <v>0</v>
      </c>
    </row>
    <row r="1417" spans="1:16" x14ac:dyDescent="0.25">
      <c r="A1417" t="s">
        <v>23894</v>
      </c>
      <c r="B1417" t="s">
        <v>2359</v>
      </c>
      <c r="C1417" t="s">
        <v>2360</v>
      </c>
      <c r="D1417" t="s">
        <v>22</v>
      </c>
      <c r="E1417" t="s">
        <v>23</v>
      </c>
      <c r="F1417" t="s">
        <v>7</v>
      </c>
      <c r="G1417" t="s">
        <v>47076</v>
      </c>
      <c r="H1417" t="s">
        <v>47054</v>
      </c>
      <c r="I1417" t="s">
        <v>47116</v>
      </c>
      <c r="J1417" t="s">
        <v>47117</v>
      </c>
      <c r="K1417" t="s">
        <v>47113</v>
      </c>
      <c r="L1417">
        <v>32.94</v>
      </c>
      <c r="M1417">
        <v>92</v>
      </c>
      <c r="N1417">
        <v>0</v>
      </c>
      <c r="O1417">
        <v>92</v>
      </c>
      <c r="P1417">
        <v>0</v>
      </c>
    </row>
    <row r="1418" spans="1:16" x14ac:dyDescent="0.25">
      <c r="A1418" t="s">
        <v>23895</v>
      </c>
      <c r="B1418" t="s">
        <v>2361</v>
      </c>
      <c r="C1418" t="s">
        <v>2362</v>
      </c>
      <c r="D1418" t="s">
        <v>22</v>
      </c>
      <c r="E1418" t="s">
        <v>23</v>
      </c>
      <c r="F1418" t="s">
        <v>7</v>
      </c>
      <c r="G1418" t="s">
        <v>47072</v>
      </c>
      <c r="H1418" t="s">
        <v>47054</v>
      </c>
      <c r="I1418" t="s">
        <v>47116</v>
      </c>
      <c r="J1418" t="s">
        <v>47117</v>
      </c>
      <c r="K1418" t="s">
        <v>47113</v>
      </c>
      <c r="L1418">
        <v>22.6</v>
      </c>
      <c r="M1418">
        <v>57</v>
      </c>
      <c r="N1418">
        <v>0</v>
      </c>
      <c r="O1418">
        <v>57</v>
      </c>
      <c r="P1418">
        <v>0</v>
      </c>
    </row>
    <row r="1419" spans="1:16" x14ac:dyDescent="0.25">
      <c r="A1419" t="s">
        <v>23896</v>
      </c>
      <c r="B1419" t="s">
        <v>2363</v>
      </c>
      <c r="C1419" t="s">
        <v>2364</v>
      </c>
      <c r="D1419" t="s">
        <v>2365</v>
      </c>
      <c r="E1419" t="s">
        <v>2366</v>
      </c>
      <c r="F1419" t="s">
        <v>5</v>
      </c>
      <c r="G1419" t="s">
        <v>47072</v>
      </c>
      <c r="H1419" t="s">
        <v>47054</v>
      </c>
      <c r="I1419" t="s">
        <v>47116</v>
      </c>
      <c r="J1419" t="s">
        <v>47117</v>
      </c>
      <c r="K1419" t="s">
        <v>47113</v>
      </c>
      <c r="L1419">
        <v>37.520000000000003</v>
      </c>
      <c r="M1419">
        <v>94</v>
      </c>
      <c r="N1419">
        <v>0</v>
      </c>
      <c r="O1419">
        <v>94</v>
      </c>
      <c r="P1419">
        <v>0</v>
      </c>
    </row>
    <row r="1420" spans="1:16" x14ac:dyDescent="0.25">
      <c r="A1420" t="s">
        <v>23897</v>
      </c>
      <c r="B1420" t="s">
        <v>2367</v>
      </c>
      <c r="C1420" t="s">
        <v>2368</v>
      </c>
      <c r="D1420" t="str">
        <f>"1035"</f>
        <v>1035</v>
      </c>
      <c r="E1420" t="s">
        <v>758</v>
      </c>
      <c r="F1420" t="s">
        <v>6</v>
      </c>
      <c r="G1420" t="s">
        <v>47080</v>
      </c>
      <c r="H1420" t="s">
        <v>47054</v>
      </c>
      <c r="I1420" t="s">
        <v>47116</v>
      </c>
      <c r="J1420" t="s">
        <v>47117</v>
      </c>
      <c r="K1420" t="s">
        <v>47113</v>
      </c>
      <c r="L1420">
        <v>21.99</v>
      </c>
      <c r="M1420">
        <v>62</v>
      </c>
      <c r="N1420">
        <v>0</v>
      </c>
      <c r="O1420">
        <v>62</v>
      </c>
      <c r="P1420">
        <v>0</v>
      </c>
    </row>
    <row r="1421" spans="1:16" x14ac:dyDescent="0.25">
      <c r="A1421" t="s">
        <v>23898</v>
      </c>
      <c r="B1421" t="s">
        <v>2369</v>
      </c>
      <c r="C1421" t="s">
        <v>2370</v>
      </c>
      <c r="D1421" t="str">
        <f>"3190"</f>
        <v>3190</v>
      </c>
      <c r="E1421" t="s">
        <v>1748</v>
      </c>
      <c r="F1421" t="s">
        <v>8</v>
      </c>
      <c r="G1421" t="s">
        <v>47075</v>
      </c>
      <c r="H1421" t="s">
        <v>47054</v>
      </c>
      <c r="I1421" t="s">
        <v>47116</v>
      </c>
      <c r="J1421" t="s">
        <v>47117</v>
      </c>
      <c r="K1421" t="s">
        <v>47113</v>
      </c>
      <c r="L1421">
        <v>21.35</v>
      </c>
      <c r="M1421">
        <v>52</v>
      </c>
      <c r="N1421">
        <v>0</v>
      </c>
      <c r="O1421">
        <v>52</v>
      </c>
      <c r="P1421">
        <v>0</v>
      </c>
    </row>
    <row r="1422" spans="1:16" x14ac:dyDescent="0.25">
      <c r="A1422" t="s">
        <v>23899</v>
      </c>
      <c r="B1422" t="s">
        <v>2371</v>
      </c>
      <c r="C1422" t="s">
        <v>2372</v>
      </c>
      <c r="D1422" t="str">
        <f>"1324"</f>
        <v>1324</v>
      </c>
      <c r="E1422" t="s">
        <v>2373</v>
      </c>
      <c r="F1422" t="s">
        <v>7</v>
      </c>
      <c r="G1422" t="s">
        <v>47134</v>
      </c>
      <c r="H1422" t="s">
        <v>47054</v>
      </c>
      <c r="I1422" t="s">
        <v>47116</v>
      </c>
      <c r="J1422" t="s">
        <v>47117</v>
      </c>
      <c r="K1422" t="s">
        <v>47113</v>
      </c>
      <c r="L1422">
        <v>28.38</v>
      </c>
      <c r="M1422">
        <v>53</v>
      </c>
      <c r="N1422">
        <v>0</v>
      </c>
      <c r="O1422">
        <v>53</v>
      </c>
      <c r="P1422">
        <v>0</v>
      </c>
    </row>
    <row r="1423" spans="1:16" x14ac:dyDescent="0.25">
      <c r="A1423" t="s">
        <v>23900</v>
      </c>
      <c r="B1423" t="s">
        <v>2371</v>
      </c>
      <c r="C1423" t="s">
        <v>2372</v>
      </c>
      <c r="D1423" t="str">
        <f>"4130"</f>
        <v>4130</v>
      </c>
      <c r="E1423" t="s">
        <v>2374</v>
      </c>
      <c r="F1423" t="s">
        <v>7</v>
      </c>
      <c r="G1423" t="s">
        <v>47134</v>
      </c>
      <c r="H1423" t="s">
        <v>47054</v>
      </c>
      <c r="I1423" t="s">
        <v>47116</v>
      </c>
      <c r="J1423" t="s">
        <v>47117</v>
      </c>
      <c r="K1423" t="s">
        <v>47113</v>
      </c>
      <c r="L1423">
        <v>28.81</v>
      </c>
      <c r="M1423">
        <v>53</v>
      </c>
      <c r="N1423">
        <v>0</v>
      </c>
      <c r="O1423">
        <v>53</v>
      </c>
      <c r="P1423">
        <v>0</v>
      </c>
    </row>
    <row r="1424" spans="1:16" x14ac:dyDescent="0.25">
      <c r="A1424" t="s">
        <v>23901</v>
      </c>
      <c r="B1424" t="s">
        <v>2375</v>
      </c>
      <c r="C1424" t="s">
        <v>2376</v>
      </c>
      <c r="D1424" t="str">
        <f>"4834"</f>
        <v>4834</v>
      </c>
      <c r="E1424" t="s">
        <v>2377</v>
      </c>
      <c r="F1424" t="s">
        <v>4</v>
      </c>
      <c r="G1424" t="s">
        <v>47075</v>
      </c>
      <c r="H1424" t="s">
        <v>47054</v>
      </c>
      <c r="I1424" t="s">
        <v>47116</v>
      </c>
      <c r="J1424" t="s">
        <v>47117</v>
      </c>
      <c r="K1424" t="s">
        <v>47113</v>
      </c>
      <c r="L1424">
        <v>20.73</v>
      </c>
      <c r="M1424">
        <v>51</v>
      </c>
      <c r="N1424">
        <v>0</v>
      </c>
      <c r="O1424">
        <v>51</v>
      </c>
      <c r="P1424">
        <v>0</v>
      </c>
    </row>
    <row r="1425" spans="1:16" x14ac:dyDescent="0.25">
      <c r="A1425" t="s">
        <v>23902</v>
      </c>
      <c r="B1425" t="s">
        <v>2378</v>
      </c>
      <c r="C1425" t="s">
        <v>2379</v>
      </c>
      <c r="D1425" t="str">
        <f>"1033"</f>
        <v>1033</v>
      </c>
      <c r="E1425" t="s">
        <v>1195</v>
      </c>
      <c r="F1425" t="s">
        <v>6</v>
      </c>
      <c r="G1425" t="s">
        <v>47075</v>
      </c>
      <c r="H1425" t="s">
        <v>47054</v>
      </c>
      <c r="I1425" t="s">
        <v>47116</v>
      </c>
      <c r="J1425" t="s">
        <v>47117</v>
      </c>
      <c r="K1425" t="s">
        <v>47113</v>
      </c>
      <c r="L1425">
        <v>29.13</v>
      </c>
      <c r="M1425">
        <v>79</v>
      </c>
      <c r="N1425">
        <v>0</v>
      </c>
      <c r="O1425">
        <v>79</v>
      </c>
      <c r="P1425">
        <v>0</v>
      </c>
    </row>
    <row r="1426" spans="1:16" x14ac:dyDescent="0.25">
      <c r="A1426" t="s">
        <v>23903</v>
      </c>
      <c r="B1426" t="s">
        <v>2380</v>
      </c>
      <c r="C1426" t="s">
        <v>2381</v>
      </c>
      <c r="D1426" t="str">
        <f>"4834"</f>
        <v>4834</v>
      </c>
      <c r="E1426" t="s">
        <v>2377</v>
      </c>
      <c r="F1426" t="s">
        <v>4</v>
      </c>
      <c r="G1426" t="s">
        <v>47076</v>
      </c>
      <c r="H1426" t="s">
        <v>47054</v>
      </c>
      <c r="I1426" t="s">
        <v>47116</v>
      </c>
      <c r="J1426" t="s">
        <v>47117</v>
      </c>
      <c r="K1426" t="s">
        <v>47113</v>
      </c>
      <c r="L1426">
        <v>49.52</v>
      </c>
      <c r="M1426">
        <v>121</v>
      </c>
      <c r="N1426">
        <v>0</v>
      </c>
      <c r="O1426">
        <v>121</v>
      </c>
      <c r="P1426">
        <v>0</v>
      </c>
    </row>
    <row r="1427" spans="1:16" x14ac:dyDescent="0.25">
      <c r="A1427" t="s">
        <v>14762</v>
      </c>
      <c r="B1427" t="s">
        <v>2382</v>
      </c>
      <c r="C1427" t="s">
        <v>2381</v>
      </c>
      <c r="D1427" t="str">
        <f>"1001"</f>
        <v>1001</v>
      </c>
      <c r="E1427" t="s">
        <v>42</v>
      </c>
      <c r="F1427" t="s">
        <v>7</v>
      </c>
      <c r="G1427" t="s">
        <v>47076</v>
      </c>
      <c r="H1427" t="s">
        <v>47054</v>
      </c>
      <c r="I1427" t="s">
        <v>47111</v>
      </c>
      <c r="J1427" t="s">
        <v>47112</v>
      </c>
      <c r="K1427" t="s">
        <v>47113</v>
      </c>
      <c r="L1427">
        <v>48.68</v>
      </c>
      <c r="M1427">
        <v>132</v>
      </c>
      <c r="N1427">
        <v>0</v>
      </c>
      <c r="O1427">
        <v>132</v>
      </c>
      <c r="P1427">
        <v>0</v>
      </c>
    </row>
    <row r="1428" spans="1:16" x14ac:dyDescent="0.25">
      <c r="A1428" t="s">
        <v>23904</v>
      </c>
      <c r="B1428" t="s">
        <v>2382</v>
      </c>
      <c r="C1428" t="s">
        <v>2381</v>
      </c>
      <c r="D1428" t="str">
        <f>"4100"</f>
        <v>4100</v>
      </c>
      <c r="E1428" t="s">
        <v>2383</v>
      </c>
      <c r="F1428" t="s">
        <v>7</v>
      </c>
      <c r="G1428" t="s">
        <v>47076</v>
      </c>
      <c r="H1428" t="s">
        <v>47054</v>
      </c>
      <c r="I1428" t="s">
        <v>47111</v>
      </c>
      <c r="J1428" t="s">
        <v>47112</v>
      </c>
      <c r="K1428" t="s">
        <v>47113</v>
      </c>
      <c r="L1428">
        <v>48.68</v>
      </c>
      <c r="M1428">
        <v>132</v>
      </c>
      <c r="N1428">
        <v>0</v>
      </c>
      <c r="O1428">
        <v>132</v>
      </c>
      <c r="P1428">
        <v>0</v>
      </c>
    </row>
    <row r="1429" spans="1:16" x14ac:dyDescent="0.25">
      <c r="A1429" t="s">
        <v>23905</v>
      </c>
      <c r="B1429" t="s">
        <v>2384</v>
      </c>
      <c r="C1429" t="s">
        <v>2385</v>
      </c>
      <c r="D1429" t="str">
        <f>"3265"</f>
        <v>3265</v>
      </c>
      <c r="E1429" t="s">
        <v>2386</v>
      </c>
      <c r="F1429" t="s">
        <v>4</v>
      </c>
      <c r="G1429" t="s">
        <v>47076</v>
      </c>
      <c r="H1429" t="s">
        <v>47054</v>
      </c>
      <c r="I1429" t="s">
        <v>47116</v>
      </c>
      <c r="J1429" t="s">
        <v>47117</v>
      </c>
      <c r="K1429" t="s">
        <v>47113</v>
      </c>
      <c r="L1429">
        <v>34.49</v>
      </c>
      <c r="M1429">
        <v>84</v>
      </c>
      <c r="N1429">
        <v>0</v>
      </c>
      <c r="O1429">
        <v>84</v>
      </c>
      <c r="P1429">
        <v>0</v>
      </c>
    </row>
    <row r="1430" spans="1:16" x14ac:dyDescent="0.25">
      <c r="A1430" t="s">
        <v>23906</v>
      </c>
      <c r="B1430" t="s">
        <v>2387</v>
      </c>
      <c r="C1430" t="s">
        <v>2388</v>
      </c>
      <c r="D1430" t="str">
        <f>"3265"</f>
        <v>3265</v>
      </c>
      <c r="E1430" t="s">
        <v>2386</v>
      </c>
      <c r="F1430" t="s">
        <v>4</v>
      </c>
      <c r="G1430" t="s">
        <v>47080</v>
      </c>
      <c r="H1430" t="s">
        <v>47054</v>
      </c>
      <c r="I1430" t="s">
        <v>47116</v>
      </c>
      <c r="J1430" t="s">
        <v>47117</v>
      </c>
      <c r="K1430" t="s">
        <v>47113</v>
      </c>
      <c r="L1430">
        <v>17.88</v>
      </c>
      <c r="M1430">
        <v>44</v>
      </c>
      <c r="N1430">
        <v>0</v>
      </c>
      <c r="O1430">
        <v>44</v>
      </c>
      <c r="P1430">
        <v>0</v>
      </c>
    </row>
    <row r="1431" spans="1:16" x14ac:dyDescent="0.25">
      <c r="A1431" t="s">
        <v>23907</v>
      </c>
      <c r="B1431" t="s">
        <v>2389</v>
      </c>
      <c r="C1431" t="s">
        <v>2390</v>
      </c>
      <c r="D1431" t="s">
        <v>2391</v>
      </c>
      <c r="E1431" t="s">
        <v>2392</v>
      </c>
      <c r="F1431" t="s">
        <v>1</v>
      </c>
      <c r="G1431" t="s">
        <v>47135</v>
      </c>
      <c r="H1431" t="s">
        <v>47054</v>
      </c>
      <c r="I1431" t="s">
        <v>47116</v>
      </c>
      <c r="J1431" t="s">
        <v>47117</v>
      </c>
      <c r="K1431" t="s">
        <v>47113</v>
      </c>
      <c r="L1431">
        <v>24.84</v>
      </c>
      <c r="M1431">
        <v>61</v>
      </c>
      <c r="N1431">
        <v>0</v>
      </c>
      <c r="O1431">
        <v>61</v>
      </c>
      <c r="P1431">
        <v>0</v>
      </c>
    </row>
    <row r="1432" spans="1:16" x14ac:dyDescent="0.25">
      <c r="A1432" t="s">
        <v>23908</v>
      </c>
      <c r="B1432" t="s">
        <v>2393</v>
      </c>
      <c r="C1432" t="s">
        <v>2394</v>
      </c>
      <c r="D1432" t="s">
        <v>2395</v>
      </c>
      <c r="E1432" t="s">
        <v>2396</v>
      </c>
      <c r="F1432" t="s">
        <v>1</v>
      </c>
      <c r="G1432" t="s">
        <v>47072</v>
      </c>
      <c r="H1432" t="s">
        <v>47054</v>
      </c>
      <c r="I1432" t="s">
        <v>47116</v>
      </c>
      <c r="J1432" t="s">
        <v>47117</v>
      </c>
      <c r="K1432" t="s">
        <v>47113</v>
      </c>
      <c r="L1432">
        <v>21</v>
      </c>
      <c r="M1432">
        <v>52</v>
      </c>
      <c r="N1432">
        <v>0</v>
      </c>
      <c r="O1432">
        <v>52</v>
      </c>
      <c r="P1432">
        <v>0</v>
      </c>
    </row>
    <row r="1433" spans="1:16" x14ac:dyDescent="0.25">
      <c r="A1433" t="s">
        <v>23909</v>
      </c>
      <c r="B1433" t="s">
        <v>2397</v>
      </c>
      <c r="C1433" t="s">
        <v>2398</v>
      </c>
      <c r="D1433" t="s">
        <v>721</v>
      </c>
      <c r="E1433" t="s">
        <v>722</v>
      </c>
      <c r="F1433" t="s">
        <v>0</v>
      </c>
      <c r="G1433" t="s">
        <v>47072</v>
      </c>
      <c r="H1433" t="s">
        <v>47054</v>
      </c>
      <c r="I1433" t="s">
        <v>47116</v>
      </c>
      <c r="J1433" t="s">
        <v>47117</v>
      </c>
      <c r="K1433" t="s">
        <v>47113</v>
      </c>
      <c r="L1433">
        <v>17.14</v>
      </c>
      <c r="M1433">
        <v>42</v>
      </c>
      <c r="N1433">
        <v>0</v>
      </c>
      <c r="O1433">
        <v>42</v>
      </c>
      <c r="P1433">
        <v>0</v>
      </c>
    </row>
    <row r="1434" spans="1:16" x14ac:dyDescent="0.25">
      <c r="A1434" t="s">
        <v>23910</v>
      </c>
      <c r="B1434" t="s">
        <v>2397</v>
      </c>
      <c r="C1434" t="s">
        <v>2398</v>
      </c>
      <c r="D1434" t="s">
        <v>2399</v>
      </c>
      <c r="E1434" t="s">
        <v>2400</v>
      </c>
      <c r="F1434" t="s">
        <v>5</v>
      </c>
      <c r="G1434" t="s">
        <v>47072</v>
      </c>
      <c r="H1434" t="s">
        <v>47054</v>
      </c>
      <c r="I1434" t="s">
        <v>47116</v>
      </c>
      <c r="J1434" t="s">
        <v>47117</v>
      </c>
      <c r="K1434" t="s">
        <v>47113</v>
      </c>
      <c r="L1434">
        <v>19.420000000000002</v>
      </c>
      <c r="M1434">
        <v>49</v>
      </c>
      <c r="N1434">
        <v>0</v>
      </c>
      <c r="O1434">
        <v>49</v>
      </c>
      <c r="P1434">
        <v>0</v>
      </c>
    </row>
    <row r="1435" spans="1:16" x14ac:dyDescent="0.25">
      <c r="A1435" t="s">
        <v>23911</v>
      </c>
      <c r="B1435" t="s">
        <v>2397</v>
      </c>
      <c r="C1435" t="s">
        <v>2398</v>
      </c>
      <c r="D1435" t="s">
        <v>2401</v>
      </c>
      <c r="E1435" t="s">
        <v>2402</v>
      </c>
      <c r="F1435" t="s">
        <v>4</v>
      </c>
      <c r="G1435" t="s">
        <v>47072</v>
      </c>
      <c r="H1435" t="s">
        <v>47054</v>
      </c>
      <c r="I1435" t="s">
        <v>47116</v>
      </c>
      <c r="J1435" t="s">
        <v>47117</v>
      </c>
      <c r="K1435" t="s">
        <v>47113</v>
      </c>
      <c r="L1435">
        <v>19.84</v>
      </c>
      <c r="M1435">
        <v>48</v>
      </c>
      <c r="N1435">
        <v>0</v>
      </c>
      <c r="O1435">
        <v>48</v>
      </c>
      <c r="P1435">
        <v>0</v>
      </c>
    </row>
    <row r="1436" spans="1:16" x14ac:dyDescent="0.25">
      <c r="A1436" t="s">
        <v>23912</v>
      </c>
      <c r="B1436" t="s">
        <v>2397</v>
      </c>
      <c r="C1436" t="s">
        <v>2398</v>
      </c>
      <c r="D1436" t="s">
        <v>2403</v>
      </c>
      <c r="E1436" t="s">
        <v>2404</v>
      </c>
      <c r="F1436" t="s">
        <v>0</v>
      </c>
      <c r="G1436" t="s">
        <v>47072</v>
      </c>
      <c r="H1436" t="s">
        <v>47054</v>
      </c>
      <c r="I1436" t="s">
        <v>47116</v>
      </c>
      <c r="J1436" t="s">
        <v>47117</v>
      </c>
      <c r="K1436" t="s">
        <v>47113</v>
      </c>
      <c r="L1436">
        <v>24.6</v>
      </c>
      <c r="M1436">
        <v>60</v>
      </c>
      <c r="N1436">
        <v>0</v>
      </c>
      <c r="O1436">
        <v>60</v>
      </c>
      <c r="P1436">
        <v>0</v>
      </c>
    </row>
    <row r="1437" spans="1:16" x14ac:dyDescent="0.25">
      <c r="A1437" t="s">
        <v>23913</v>
      </c>
      <c r="B1437" t="s">
        <v>2397</v>
      </c>
      <c r="C1437" t="s">
        <v>2398</v>
      </c>
      <c r="D1437" t="s">
        <v>2405</v>
      </c>
      <c r="E1437" t="s">
        <v>2406</v>
      </c>
      <c r="F1437" t="s">
        <v>0</v>
      </c>
      <c r="G1437" t="s">
        <v>47072</v>
      </c>
      <c r="H1437" t="s">
        <v>47054</v>
      </c>
      <c r="I1437" t="s">
        <v>47116</v>
      </c>
      <c r="J1437" t="s">
        <v>47117</v>
      </c>
      <c r="K1437" t="s">
        <v>47113</v>
      </c>
      <c r="L1437">
        <v>21.15</v>
      </c>
      <c r="M1437">
        <v>52</v>
      </c>
      <c r="N1437">
        <v>0</v>
      </c>
      <c r="O1437">
        <v>52</v>
      </c>
      <c r="P1437">
        <v>0</v>
      </c>
    </row>
    <row r="1438" spans="1:16" x14ac:dyDescent="0.25">
      <c r="A1438" t="s">
        <v>23914</v>
      </c>
      <c r="B1438" t="s">
        <v>2397</v>
      </c>
      <c r="C1438" t="s">
        <v>2398</v>
      </c>
      <c r="D1438" t="s">
        <v>2407</v>
      </c>
      <c r="E1438" t="s">
        <v>2408</v>
      </c>
      <c r="F1438" t="s">
        <v>3</v>
      </c>
      <c r="G1438" t="s">
        <v>47072</v>
      </c>
      <c r="H1438" t="s">
        <v>47054</v>
      </c>
      <c r="I1438" t="s">
        <v>47116</v>
      </c>
      <c r="J1438" t="s">
        <v>47117</v>
      </c>
      <c r="K1438" t="s">
        <v>47113</v>
      </c>
      <c r="L1438">
        <v>18.649999999999999</v>
      </c>
      <c r="M1438">
        <v>45</v>
      </c>
      <c r="N1438">
        <v>0</v>
      </c>
      <c r="O1438">
        <v>45</v>
      </c>
      <c r="P1438">
        <v>0</v>
      </c>
    </row>
    <row r="1439" spans="1:16" x14ac:dyDescent="0.25">
      <c r="A1439" t="s">
        <v>23915</v>
      </c>
      <c r="B1439" t="s">
        <v>2409</v>
      </c>
      <c r="C1439" t="s">
        <v>2410</v>
      </c>
      <c r="D1439" t="s">
        <v>2407</v>
      </c>
      <c r="E1439" t="s">
        <v>2408</v>
      </c>
      <c r="F1439" t="s">
        <v>2</v>
      </c>
      <c r="G1439" t="s">
        <v>47072</v>
      </c>
      <c r="H1439" t="s">
        <v>47054</v>
      </c>
      <c r="I1439" t="s">
        <v>47116</v>
      </c>
      <c r="J1439" t="s">
        <v>47117</v>
      </c>
      <c r="K1439" t="s">
        <v>47113</v>
      </c>
      <c r="L1439">
        <v>27.18</v>
      </c>
      <c r="M1439">
        <v>65</v>
      </c>
      <c r="N1439">
        <v>0</v>
      </c>
      <c r="O1439">
        <v>65</v>
      </c>
      <c r="P1439">
        <v>0</v>
      </c>
    </row>
    <row r="1440" spans="1:16" x14ac:dyDescent="0.25">
      <c r="A1440" t="s">
        <v>23916</v>
      </c>
      <c r="B1440" t="s">
        <v>2411</v>
      </c>
      <c r="C1440" t="s">
        <v>2412</v>
      </c>
      <c r="D1440" t="s">
        <v>2079</v>
      </c>
      <c r="E1440" t="s">
        <v>2080</v>
      </c>
      <c r="F1440" t="s">
        <v>5</v>
      </c>
      <c r="G1440" t="s">
        <v>47072</v>
      </c>
      <c r="H1440" t="s">
        <v>47054</v>
      </c>
      <c r="I1440" t="s">
        <v>47116</v>
      </c>
      <c r="J1440" t="s">
        <v>47117</v>
      </c>
      <c r="K1440" t="s">
        <v>47113</v>
      </c>
      <c r="L1440">
        <v>32.020000000000003</v>
      </c>
      <c r="M1440">
        <v>80</v>
      </c>
      <c r="N1440">
        <v>0</v>
      </c>
      <c r="O1440">
        <v>80</v>
      </c>
      <c r="P1440">
        <v>0</v>
      </c>
    </row>
    <row r="1441" spans="1:16" x14ac:dyDescent="0.25">
      <c r="A1441" t="s">
        <v>23917</v>
      </c>
      <c r="B1441" t="s">
        <v>2413</v>
      </c>
      <c r="C1441" t="s">
        <v>2414</v>
      </c>
      <c r="D1441" t="s">
        <v>2415</v>
      </c>
      <c r="E1441" t="s">
        <v>2416</v>
      </c>
      <c r="F1441" t="s">
        <v>58</v>
      </c>
      <c r="G1441" t="s">
        <v>47072</v>
      </c>
      <c r="H1441" t="s">
        <v>47054</v>
      </c>
      <c r="I1441" t="s">
        <v>47111</v>
      </c>
      <c r="J1441" t="s">
        <v>47112</v>
      </c>
      <c r="K1441" t="s">
        <v>47113</v>
      </c>
      <c r="L1441">
        <v>27.5</v>
      </c>
      <c r="M1441">
        <v>59</v>
      </c>
      <c r="N1441">
        <v>0</v>
      </c>
      <c r="O1441">
        <v>59</v>
      </c>
      <c r="P1441">
        <v>0</v>
      </c>
    </row>
    <row r="1442" spans="1:16" x14ac:dyDescent="0.25">
      <c r="A1442" t="s">
        <v>23918</v>
      </c>
      <c r="B1442" t="s">
        <v>2417</v>
      </c>
      <c r="C1442" t="s">
        <v>2418</v>
      </c>
      <c r="D1442" t="s">
        <v>2419</v>
      </c>
      <c r="E1442" t="s">
        <v>2420</v>
      </c>
      <c r="F1442" t="s">
        <v>8</v>
      </c>
      <c r="G1442" t="s">
        <v>47072</v>
      </c>
      <c r="H1442" t="s">
        <v>47054</v>
      </c>
      <c r="I1442" t="s">
        <v>47116</v>
      </c>
      <c r="J1442" t="s">
        <v>47117</v>
      </c>
      <c r="K1442" t="s">
        <v>47113</v>
      </c>
      <c r="L1442">
        <v>22.6</v>
      </c>
      <c r="M1442">
        <v>60</v>
      </c>
      <c r="N1442">
        <v>0</v>
      </c>
      <c r="O1442">
        <v>60</v>
      </c>
      <c r="P1442">
        <v>0</v>
      </c>
    </row>
    <row r="1443" spans="1:16" x14ac:dyDescent="0.25">
      <c r="A1443" t="s">
        <v>23919</v>
      </c>
      <c r="B1443" t="s">
        <v>2421</v>
      </c>
      <c r="C1443" t="s">
        <v>2422</v>
      </c>
      <c r="D1443" t="s">
        <v>2117</v>
      </c>
      <c r="E1443" t="s">
        <v>2118</v>
      </c>
      <c r="F1443" t="s">
        <v>52</v>
      </c>
      <c r="G1443" t="s">
        <v>47072</v>
      </c>
      <c r="H1443" t="s">
        <v>47054</v>
      </c>
      <c r="I1443" t="s">
        <v>47111</v>
      </c>
      <c r="J1443" t="s">
        <v>47112</v>
      </c>
      <c r="K1443" t="s">
        <v>47113</v>
      </c>
      <c r="L1443">
        <v>29.22</v>
      </c>
      <c r="M1443">
        <v>72</v>
      </c>
      <c r="N1443">
        <v>0</v>
      </c>
      <c r="O1443">
        <v>72</v>
      </c>
      <c r="P1443">
        <v>0</v>
      </c>
    </row>
    <row r="1444" spans="1:16" x14ac:dyDescent="0.25">
      <c r="A1444" t="s">
        <v>14763</v>
      </c>
      <c r="B1444" t="s">
        <v>2423</v>
      </c>
      <c r="C1444" t="s">
        <v>2422</v>
      </c>
      <c r="D1444" t="s">
        <v>2424</v>
      </c>
      <c r="E1444" t="s">
        <v>2425</v>
      </c>
      <c r="F1444" t="s">
        <v>8</v>
      </c>
      <c r="G1444" t="s">
        <v>47072</v>
      </c>
      <c r="H1444" t="s">
        <v>47054</v>
      </c>
      <c r="I1444" t="s">
        <v>47116</v>
      </c>
      <c r="J1444" t="s">
        <v>47117</v>
      </c>
      <c r="K1444" t="s">
        <v>47113</v>
      </c>
      <c r="L1444">
        <v>24.7</v>
      </c>
      <c r="M1444">
        <v>58</v>
      </c>
      <c r="N1444">
        <v>0</v>
      </c>
      <c r="O1444">
        <v>58</v>
      </c>
      <c r="P1444">
        <v>0</v>
      </c>
    </row>
    <row r="1445" spans="1:16" x14ac:dyDescent="0.25">
      <c r="A1445" t="s">
        <v>23920</v>
      </c>
      <c r="B1445" t="s">
        <v>2426</v>
      </c>
      <c r="C1445" t="s">
        <v>2427</v>
      </c>
      <c r="D1445" t="s">
        <v>2419</v>
      </c>
      <c r="E1445" t="s">
        <v>2420</v>
      </c>
      <c r="F1445" t="s">
        <v>52</v>
      </c>
      <c r="G1445" t="s">
        <v>47072</v>
      </c>
      <c r="H1445" t="s">
        <v>47054</v>
      </c>
      <c r="I1445" t="s">
        <v>47111</v>
      </c>
      <c r="J1445" t="s">
        <v>47112</v>
      </c>
      <c r="K1445" t="s">
        <v>47113</v>
      </c>
      <c r="L1445">
        <v>22.91</v>
      </c>
      <c r="M1445">
        <v>56</v>
      </c>
      <c r="N1445">
        <v>0</v>
      </c>
      <c r="O1445">
        <v>56</v>
      </c>
      <c r="P1445">
        <v>0</v>
      </c>
    </row>
    <row r="1446" spans="1:16" x14ac:dyDescent="0.25">
      <c r="A1446" t="s">
        <v>23921</v>
      </c>
      <c r="B1446" t="s">
        <v>2428</v>
      </c>
      <c r="C1446" t="s">
        <v>2429</v>
      </c>
      <c r="D1446" t="s">
        <v>2430</v>
      </c>
      <c r="E1446" t="s">
        <v>2431</v>
      </c>
      <c r="F1446" t="s">
        <v>52</v>
      </c>
      <c r="G1446" t="s">
        <v>47072</v>
      </c>
      <c r="H1446" t="s">
        <v>47054</v>
      </c>
      <c r="I1446" t="s">
        <v>47111</v>
      </c>
      <c r="J1446" t="s">
        <v>47112</v>
      </c>
      <c r="K1446" t="s">
        <v>47113</v>
      </c>
      <c r="L1446">
        <v>21.97</v>
      </c>
      <c r="M1446">
        <v>54</v>
      </c>
      <c r="N1446">
        <v>0</v>
      </c>
      <c r="O1446">
        <v>54</v>
      </c>
      <c r="P1446">
        <v>0</v>
      </c>
    </row>
    <row r="1447" spans="1:16" x14ac:dyDescent="0.25">
      <c r="A1447" t="s">
        <v>23922</v>
      </c>
      <c r="B1447" t="s">
        <v>2432</v>
      </c>
      <c r="C1447" t="s">
        <v>2433</v>
      </c>
      <c r="D1447" t="s">
        <v>2434</v>
      </c>
      <c r="E1447" t="s">
        <v>2435</v>
      </c>
      <c r="F1447" t="s">
        <v>4</v>
      </c>
      <c r="G1447" t="s">
        <v>47072</v>
      </c>
      <c r="H1447" t="s">
        <v>47054</v>
      </c>
      <c r="I1447" t="s">
        <v>47116</v>
      </c>
      <c r="J1447" t="s">
        <v>47117</v>
      </c>
      <c r="K1447" t="s">
        <v>47113</v>
      </c>
      <c r="L1447">
        <v>29.83</v>
      </c>
      <c r="M1447">
        <v>73</v>
      </c>
      <c r="N1447">
        <v>0</v>
      </c>
      <c r="O1447">
        <v>73</v>
      </c>
      <c r="P1447">
        <v>0</v>
      </c>
    </row>
    <row r="1448" spans="1:16" x14ac:dyDescent="0.25">
      <c r="A1448" t="s">
        <v>23923</v>
      </c>
      <c r="B1448" t="s">
        <v>2432</v>
      </c>
      <c r="C1448" t="s">
        <v>2433</v>
      </c>
      <c r="D1448" t="s">
        <v>2048</v>
      </c>
      <c r="E1448" t="s">
        <v>2049</v>
      </c>
      <c r="F1448" t="s">
        <v>4</v>
      </c>
      <c r="G1448" t="s">
        <v>47072</v>
      </c>
      <c r="H1448" t="s">
        <v>47054</v>
      </c>
      <c r="I1448" t="s">
        <v>47116</v>
      </c>
      <c r="J1448" t="s">
        <v>47117</v>
      </c>
      <c r="K1448" t="s">
        <v>47113</v>
      </c>
      <c r="L1448">
        <v>29.83</v>
      </c>
      <c r="M1448">
        <v>73</v>
      </c>
      <c r="N1448">
        <v>0</v>
      </c>
      <c r="O1448">
        <v>73</v>
      </c>
      <c r="P1448">
        <v>0</v>
      </c>
    </row>
    <row r="1449" spans="1:16" x14ac:dyDescent="0.25">
      <c r="A1449" t="s">
        <v>23924</v>
      </c>
      <c r="B1449" t="s">
        <v>2432</v>
      </c>
      <c r="C1449" t="s">
        <v>2433</v>
      </c>
      <c r="D1449" t="s">
        <v>2436</v>
      </c>
      <c r="E1449" t="s">
        <v>2437</v>
      </c>
      <c r="F1449" t="s">
        <v>0</v>
      </c>
      <c r="G1449" t="s">
        <v>47072</v>
      </c>
      <c r="H1449" t="s">
        <v>47054</v>
      </c>
      <c r="I1449" t="s">
        <v>47116</v>
      </c>
      <c r="J1449" t="s">
        <v>47117</v>
      </c>
      <c r="K1449" t="s">
        <v>47113</v>
      </c>
      <c r="L1449">
        <v>30.22</v>
      </c>
      <c r="M1449">
        <v>74</v>
      </c>
      <c r="N1449">
        <v>0</v>
      </c>
      <c r="O1449">
        <v>74</v>
      </c>
      <c r="P1449">
        <v>0</v>
      </c>
    </row>
    <row r="1450" spans="1:16" x14ac:dyDescent="0.25">
      <c r="A1450" t="s">
        <v>23925</v>
      </c>
      <c r="B1450" t="s">
        <v>2432</v>
      </c>
      <c r="C1450" t="s">
        <v>2433</v>
      </c>
      <c r="D1450" t="s">
        <v>2438</v>
      </c>
      <c r="E1450" t="s">
        <v>2439</v>
      </c>
      <c r="F1450" t="s">
        <v>1717</v>
      </c>
      <c r="G1450" t="s">
        <v>47072</v>
      </c>
      <c r="H1450" t="s">
        <v>47054</v>
      </c>
      <c r="I1450" t="s">
        <v>47116</v>
      </c>
      <c r="J1450" t="s">
        <v>47117</v>
      </c>
      <c r="K1450" t="s">
        <v>47113</v>
      </c>
      <c r="L1450">
        <v>25.63</v>
      </c>
      <c r="M1450">
        <v>64</v>
      </c>
      <c r="N1450">
        <v>0</v>
      </c>
      <c r="O1450">
        <v>64</v>
      </c>
      <c r="P1450">
        <v>0</v>
      </c>
    </row>
    <row r="1451" spans="1:16" x14ac:dyDescent="0.25">
      <c r="A1451" t="s">
        <v>23926</v>
      </c>
      <c r="B1451" t="s">
        <v>2432</v>
      </c>
      <c r="C1451" t="s">
        <v>2433</v>
      </c>
      <c r="D1451" t="s">
        <v>1792</v>
      </c>
      <c r="E1451" t="s">
        <v>1793</v>
      </c>
      <c r="F1451" t="s">
        <v>52</v>
      </c>
      <c r="G1451" t="s">
        <v>47072</v>
      </c>
      <c r="H1451" t="s">
        <v>47054</v>
      </c>
      <c r="I1451" t="s">
        <v>47116</v>
      </c>
      <c r="J1451" t="s">
        <v>47117</v>
      </c>
      <c r="K1451" t="s">
        <v>47113</v>
      </c>
      <c r="L1451">
        <v>27.86</v>
      </c>
      <c r="M1451">
        <v>68</v>
      </c>
      <c r="N1451">
        <v>0</v>
      </c>
      <c r="O1451">
        <v>68</v>
      </c>
      <c r="P1451">
        <v>0</v>
      </c>
    </row>
    <row r="1452" spans="1:16" x14ac:dyDescent="0.25">
      <c r="A1452" t="s">
        <v>14764</v>
      </c>
      <c r="B1452" t="s">
        <v>2440</v>
      </c>
      <c r="C1452" t="s">
        <v>2441</v>
      </c>
      <c r="D1452" t="s">
        <v>2401</v>
      </c>
      <c r="E1452" t="s">
        <v>2402</v>
      </c>
      <c r="F1452" t="s">
        <v>4</v>
      </c>
      <c r="G1452" t="s">
        <v>47072</v>
      </c>
      <c r="H1452" t="s">
        <v>47054</v>
      </c>
      <c r="I1452" t="s">
        <v>47116</v>
      </c>
      <c r="J1452" t="s">
        <v>47117</v>
      </c>
      <c r="K1452" t="s">
        <v>47113</v>
      </c>
      <c r="L1452">
        <v>20.69</v>
      </c>
      <c r="M1452">
        <v>50</v>
      </c>
      <c r="N1452">
        <v>0</v>
      </c>
      <c r="O1452">
        <v>50</v>
      </c>
      <c r="P1452">
        <v>0</v>
      </c>
    </row>
    <row r="1453" spans="1:16" x14ac:dyDescent="0.25">
      <c r="A1453" t="s">
        <v>23927</v>
      </c>
      <c r="B1453" t="s">
        <v>2440</v>
      </c>
      <c r="C1453" t="s">
        <v>2441</v>
      </c>
      <c r="D1453" t="s">
        <v>2407</v>
      </c>
      <c r="E1453" t="s">
        <v>2408</v>
      </c>
      <c r="F1453" t="s">
        <v>4</v>
      </c>
      <c r="G1453" t="s">
        <v>47072</v>
      </c>
      <c r="H1453" t="s">
        <v>47054</v>
      </c>
      <c r="I1453" t="s">
        <v>47116</v>
      </c>
      <c r="J1453" t="s">
        <v>47117</v>
      </c>
      <c r="K1453" t="s">
        <v>47113</v>
      </c>
      <c r="L1453">
        <v>21.11</v>
      </c>
      <c r="M1453">
        <v>51</v>
      </c>
      <c r="N1453">
        <v>0</v>
      </c>
      <c r="O1453">
        <v>51</v>
      </c>
      <c r="P1453">
        <v>0</v>
      </c>
    </row>
    <row r="1454" spans="1:16" x14ac:dyDescent="0.25">
      <c r="A1454" t="s">
        <v>23928</v>
      </c>
      <c r="B1454" t="s">
        <v>2442</v>
      </c>
      <c r="C1454" t="s">
        <v>2443</v>
      </c>
      <c r="D1454" t="s">
        <v>22</v>
      </c>
      <c r="E1454" t="s">
        <v>23</v>
      </c>
      <c r="F1454" t="s">
        <v>6</v>
      </c>
      <c r="G1454" t="s">
        <v>47072</v>
      </c>
      <c r="H1454" t="s">
        <v>47054</v>
      </c>
      <c r="I1454" t="s">
        <v>47116</v>
      </c>
      <c r="J1454" t="s">
        <v>47117</v>
      </c>
      <c r="K1454" t="s">
        <v>47113</v>
      </c>
      <c r="L1454">
        <v>24.53</v>
      </c>
      <c r="M1454">
        <v>68</v>
      </c>
      <c r="N1454">
        <v>0</v>
      </c>
      <c r="O1454">
        <v>68</v>
      </c>
      <c r="P1454">
        <v>0</v>
      </c>
    </row>
    <row r="1455" spans="1:16" x14ac:dyDescent="0.25">
      <c r="A1455" t="s">
        <v>23929</v>
      </c>
      <c r="B1455" t="s">
        <v>2444</v>
      </c>
      <c r="C1455" t="s">
        <v>2445</v>
      </c>
      <c r="D1455" t="s">
        <v>2405</v>
      </c>
      <c r="E1455" t="s">
        <v>2406</v>
      </c>
      <c r="F1455" t="s">
        <v>631</v>
      </c>
      <c r="G1455" t="s">
        <v>47072</v>
      </c>
      <c r="H1455" t="s">
        <v>47054</v>
      </c>
      <c r="I1455" t="s">
        <v>47116</v>
      </c>
      <c r="J1455" t="s">
        <v>47117</v>
      </c>
      <c r="K1455" t="s">
        <v>47113</v>
      </c>
      <c r="L1455">
        <v>16.34</v>
      </c>
      <c r="M1455">
        <v>46</v>
      </c>
      <c r="N1455">
        <v>0</v>
      </c>
      <c r="O1455">
        <v>46</v>
      </c>
      <c r="P1455">
        <v>0</v>
      </c>
    </row>
    <row r="1456" spans="1:16" x14ac:dyDescent="0.25">
      <c r="A1456" t="s">
        <v>14765</v>
      </c>
      <c r="B1456" t="s">
        <v>2444</v>
      </c>
      <c r="C1456" t="s">
        <v>2445</v>
      </c>
      <c r="D1456" t="s">
        <v>2446</v>
      </c>
      <c r="E1456" t="s">
        <v>2447</v>
      </c>
      <c r="F1456" t="s">
        <v>52</v>
      </c>
      <c r="G1456" t="s">
        <v>47072</v>
      </c>
      <c r="H1456" t="s">
        <v>47054</v>
      </c>
      <c r="I1456" t="s">
        <v>47116</v>
      </c>
      <c r="J1456" t="s">
        <v>47117</v>
      </c>
      <c r="K1456" t="s">
        <v>47113</v>
      </c>
      <c r="L1456">
        <v>21.33</v>
      </c>
      <c r="M1456">
        <v>56</v>
      </c>
      <c r="N1456">
        <v>0</v>
      </c>
      <c r="O1456">
        <v>56</v>
      </c>
      <c r="P1456">
        <v>0</v>
      </c>
    </row>
    <row r="1457" spans="1:16" x14ac:dyDescent="0.25">
      <c r="A1457" t="s">
        <v>23930</v>
      </c>
      <c r="B1457" t="s">
        <v>2448</v>
      </c>
      <c r="C1457" t="s">
        <v>2449</v>
      </c>
      <c r="D1457" t="s">
        <v>2450</v>
      </c>
      <c r="E1457" t="s">
        <v>2451</v>
      </c>
      <c r="F1457" t="s">
        <v>4</v>
      </c>
      <c r="G1457" t="s">
        <v>47072</v>
      </c>
      <c r="H1457" t="s">
        <v>47054</v>
      </c>
      <c r="I1457" t="s">
        <v>47116</v>
      </c>
      <c r="J1457" t="s">
        <v>47117</v>
      </c>
      <c r="K1457" t="s">
        <v>47113</v>
      </c>
      <c r="L1457">
        <v>35.049999999999997</v>
      </c>
      <c r="M1457">
        <v>86</v>
      </c>
      <c r="N1457">
        <v>0</v>
      </c>
      <c r="O1457">
        <v>86</v>
      </c>
      <c r="P1457">
        <v>0</v>
      </c>
    </row>
    <row r="1458" spans="1:16" x14ac:dyDescent="0.25">
      <c r="A1458" t="s">
        <v>23931</v>
      </c>
      <c r="B1458" t="s">
        <v>2452</v>
      </c>
      <c r="C1458" t="s">
        <v>2453</v>
      </c>
      <c r="D1458" t="s">
        <v>2454</v>
      </c>
      <c r="E1458" t="s">
        <v>2455</v>
      </c>
      <c r="F1458" t="s">
        <v>4</v>
      </c>
      <c r="G1458" t="s">
        <v>47072</v>
      </c>
      <c r="H1458" t="s">
        <v>47054</v>
      </c>
      <c r="I1458" t="s">
        <v>47116</v>
      </c>
      <c r="J1458" t="s">
        <v>47117</v>
      </c>
      <c r="K1458" t="s">
        <v>47113</v>
      </c>
      <c r="L1458">
        <v>34.56</v>
      </c>
      <c r="M1458">
        <v>84</v>
      </c>
      <c r="N1458">
        <v>0</v>
      </c>
      <c r="O1458">
        <v>84</v>
      </c>
      <c r="P1458">
        <v>0</v>
      </c>
    </row>
    <row r="1459" spans="1:16" x14ac:dyDescent="0.25">
      <c r="A1459" t="s">
        <v>23932</v>
      </c>
      <c r="B1459" t="s">
        <v>2456</v>
      </c>
      <c r="C1459" t="s">
        <v>2457</v>
      </c>
      <c r="D1459" t="s">
        <v>2434</v>
      </c>
      <c r="E1459" t="s">
        <v>2435</v>
      </c>
      <c r="F1459" t="s">
        <v>4</v>
      </c>
      <c r="G1459" t="s">
        <v>47072</v>
      </c>
      <c r="H1459" t="s">
        <v>47054</v>
      </c>
      <c r="I1459" t="s">
        <v>47116</v>
      </c>
      <c r="J1459" t="s">
        <v>47117</v>
      </c>
      <c r="K1459" t="s">
        <v>47113</v>
      </c>
      <c r="L1459">
        <v>33.06</v>
      </c>
      <c r="M1459">
        <v>81</v>
      </c>
      <c r="N1459">
        <v>0</v>
      </c>
      <c r="O1459">
        <v>81</v>
      </c>
      <c r="P1459">
        <v>0</v>
      </c>
    </row>
    <row r="1460" spans="1:16" x14ac:dyDescent="0.25">
      <c r="A1460" t="s">
        <v>14766</v>
      </c>
      <c r="B1460" t="s">
        <v>2458</v>
      </c>
      <c r="C1460" t="s">
        <v>2459</v>
      </c>
      <c r="D1460" t="s">
        <v>983</v>
      </c>
      <c r="E1460" t="s">
        <v>984</v>
      </c>
      <c r="F1460" t="s">
        <v>6</v>
      </c>
      <c r="G1460" t="s">
        <v>47072</v>
      </c>
      <c r="H1460" t="s">
        <v>47054</v>
      </c>
      <c r="I1460" t="s">
        <v>47116</v>
      </c>
      <c r="J1460" t="s">
        <v>47117</v>
      </c>
      <c r="K1460" t="s">
        <v>47113</v>
      </c>
      <c r="L1460">
        <v>26.93</v>
      </c>
      <c r="M1460">
        <v>60</v>
      </c>
      <c r="N1460">
        <v>0</v>
      </c>
      <c r="O1460">
        <v>60</v>
      </c>
      <c r="P1460">
        <v>0</v>
      </c>
    </row>
    <row r="1461" spans="1:16" x14ac:dyDescent="0.25">
      <c r="A1461" t="s">
        <v>23933</v>
      </c>
      <c r="B1461" t="s">
        <v>2460</v>
      </c>
      <c r="C1461" t="s">
        <v>2461</v>
      </c>
      <c r="D1461" t="s">
        <v>721</v>
      </c>
      <c r="E1461" t="s">
        <v>722</v>
      </c>
      <c r="F1461" t="s">
        <v>0</v>
      </c>
      <c r="G1461" t="s">
        <v>47076</v>
      </c>
      <c r="H1461" t="s">
        <v>47054</v>
      </c>
      <c r="I1461" t="s">
        <v>47116</v>
      </c>
      <c r="J1461" t="s">
        <v>47117</v>
      </c>
      <c r="K1461" t="s">
        <v>47113</v>
      </c>
      <c r="L1461">
        <v>22.12</v>
      </c>
      <c r="M1461">
        <v>54</v>
      </c>
      <c r="N1461">
        <v>0</v>
      </c>
      <c r="O1461">
        <v>54</v>
      </c>
      <c r="P1461">
        <v>0</v>
      </c>
    </row>
    <row r="1462" spans="1:16" x14ac:dyDescent="0.25">
      <c r="A1462" t="s">
        <v>23934</v>
      </c>
      <c r="B1462" t="s">
        <v>2460</v>
      </c>
      <c r="C1462" t="s">
        <v>2461</v>
      </c>
      <c r="D1462" t="s">
        <v>2403</v>
      </c>
      <c r="E1462" t="s">
        <v>2404</v>
      </c>
      <c r="F1462" t="s">
        <v>0</v>
      </c>
      <c r="G1462" t="s">
        <v>47076</v>
      </c>
      <c r="H1462" t="s">
        <v>47054</v>
      </c>
      <c r="I1462" t="s">
        <v>47116</v>
      </c>
      <c r="J1462" t="s">
        <v>47117</v>
      </c>
      <c r="K1462" t="s">
        <v>47113</v>
      </c>
      <c r="L1462">
        <v>29.59</v>
      </c>
      <c r="M1462">
        <v>72</v>
      </c>
      <c r="N1462">
        <v>0</v>
      </c>
      <c r="O1462">
        <v>72</v>
      </c>
      <c r="P1462">
        <v>0</v>
      </c>
    </row>
    <row r="1463" spans="1:16" x14ac:dyDescent="0.25">
      <c r="A1463" t="s">
        <v>23935</v>
      </c>
      <c r="B1463" t="s">
        <v>2460</v>
      </c>
      <c r="C1463" t="s">
        <v>2461</v>
      </c>
      <c r="D1463" t="s">
        <v>1740</v>
      </c>
      <c r="E1463" t="s">
        <v>1741</v>
      </c>
      <c r="F1463" t="s">
        <v>4</v>
      </c>
      <c r="G1463" t="s">
        <v>47076</v>
      </c>
      <c r="H1463" t="s">
        <v>47054</v>
      </c>
      <c r="I1463" t="s">
        <v>47116</v>
      </c>
      <c r="J1463" t="s">
        <v>47117</v>
      </c>
      <c r="K1463" t="s">
        <v>47113</v>
      </c>
      <c r="L1463">
        <v>28.23</v>
      </c>
      <c r="M1463">
        <v>69</v>
      </c>
      <c r="N1463">
        <v>0</v>
      </c>
      <c r="O1463">
        <v>69</v>
      </c>
      <c r="P1463">
        <v>0</v>
      </c>
    </row>
    <row r="1464" spans="1:16" x14ac:dyDescent="0.25">
      <c r="A1464" t="s">
        <v>23936</v>
      </c>
      <c r="B1464" t="s">
        <v>2462</v>
      </c>
      <c r="C1464" t="s">
        <v>2463</v>
      </c>
      <c r="D1464" t="s">
        <v>2464</v>
      </c>
      <c r="E1464" t="s">
        <v>2465</v>
      </c>
      <c r="F1464" t="s">
        <v>2</v>
      </c>
      <c r="G1464" t="s">
        <v>47072</v>
      </c>
      <c r="H1464" t="s">
        <v>47054</v>
      </c>
      <c r="I1464" t="s">
        <v>47116</v>
      </c>
      <c r="J1464" t="s">
        <v>47117</v>
      </c>
      <c r="K1464" t="s">
        <v>47113</v>
      </c>
      <c r="L1464">
        <v>26.5</v>
      </c>
      <c r="M1464">
        <v>67</v>
      </c>
      <c r="N1464">
        <v>0</v>
      </c>
      <c r="O1464">
        <v>67</v>
      </c>
      <c r="P1464">
        <v>0</v>
      </c>
    </row>
    <row r="1465" spans="1:16" x14ac:dyDescent="0.25">
      <c r="A1465" t="s">
        <v>23937</v>
      </c>
      <c r="B1465" t="s">
        <v>2466</v>
      </c>
      <c r="C1465" t="s">
        <v>2467</v>
      </c>
      <c r="D1465" t="s">
        <v>2468</v>
      </c>
      <c r="E1465" t="s">
        <v>2469</v>
      </c>
      <c r="F1465" t="s">
        <v>2</v>
      </c>
      <c r="G1465" t="s">
        <v>47072</v>
      </c>
      <c r="H1465" t="s">
        <v>47054</v>
      </c>
      <c r="I1465" t="s">
        <v>47116</v>
      </c>
      <c r="J1465" t="s">
        <v>47117</v>
      </c>
      <c r="K1465" t="s">
        <v>47113</v>
      </c>
      <c r="L1465">
        <v>31.48</v>
      </c>
      <c r="M1465">
        <v>73</v>
      </c>
      <c r="N1465">
        <v>0</v>
      </c>
      <c r="O1465">
        <v>73</v>
      </c>
      <c r="P1465">
        <v>0</v>
      </c>
    </row>
    <row r="1466" spans="1:16" x14ac:dyDescent="0.25">
      <c r="A1466" t="s">
        <v>23938</v>
      </c>
      <c r="B1466" t="s">
        <v>2466</v>
      </c>
      <c r="C1466" t="s">
        <v>2467</v>
      </c>
      <c r="D1466" t="s">
        <v>2407</v>
      </c>
      <c r="E1466" t="s">
        <v>2408</v>
      </c>
      <c r="F1466" t="s">
        <v>2</v>
      </c>
      <c r="G1466" t="s">
        <v>47072</v>
      </c>
      <c r="H1466" t="s">
        <v>47054</v>
      </c>
      <c r="I1466" t="s">
        <v>47116</v>
      </c>
      <c r="J1466" t="s">
        <v>47117</v>
      </c>
      <c r="K1466" t="s">
        <v>47113</v>
      </c>
      <c r="L1466">
        <v>28.32</v>
      </c>
      <c r="M1466">
        <v>73</v>
      </c>
      <c r="N1466">
        <v>0</v>
      </c>
      <c r="O1466">
        <v>73</v>
      </c>
      <c r="P1466">
        <v>0</v>
      </c>
    </row>
    <row r="1467" spans="1:16" x14ac:dyDescent="0.25">
      <c r="A1467" t="s">
        <v>23939</v>
      </c>
      <c r="B1467" t="s">
        <v>2470</v>
      </c>
      <c r="C1467" t="s">
        <v>2467</v>
      </c>
      <c r="D1467" t="s">
        <v>2407</v>
      </c>
      <c r="E1467" t="s">
        <v>2408</v>
      </c>
      <c r="F1467" t="s">
        <v>2</v>
      </c>
      <c r="G1467" t="s">
        <v>47072</v>
      </c>
      <c r="H1467" t="s">
        <v>47054</v>
      </c>
      <c r="I1467" t="s">
        <v>47116</v>
      </c>
      <c r="J1467" t="s">
        <v>47117</v>
      </c>
      <c r="K1467" t="s">
        <v>47113</v>
      </c>
      <c r="L1467">
        <v>28.32</v>
      </c>
      <c r="M1467">
        <v>66</v>
      </c>
      <c r="N1467">
        <v>0</v>
      </c>
      <c r="O1467">
        <v>66</v>
      </c>
      <c r="P1467">
        <v>0</v>
      </c>
    </row>
    <row r="1468" spans="1:16" x14ac:dyDescent="0.25">
      <c r="A1468" t="s">
        <v>23940</v>
      </c>
      <c r="B1468" t="s">
        <v>2471</v>
      </c>
      <c r="C1468" t="s">
        <v>2467</v>
      </c>
      <c r="D1468" t="s">
        <v>2468</v>
      </c>
      <c r="E1468" t="s">
        <v>2469</v>
      </c>
      <c r="F1468" t="s">
        <v>2</v>
      </c>
      <c r="G1468" t="s">
        <v>47072</v>
      </c>
      <c r="H1468" t="s">
        <v>47054</v>
      </c>
      <c r="I1468" t="s">
        <v>47116</v>
      </c>
      <c r="J1468" t="s">
        <v>47117</v>
      </c>
      <c r="K1468" t="s">
        <v>47113</v>
      </c>
      <c r="L1468">
        <v>31.48</v>
      </c>
      <c r="M1468">
        <v>73</v>
      </c>
      <c r="N1468">
        <v>0</v>
      </c>
      <c r="O1468">
        <v>73</v>
      </c>
      <c r="P1468">
        <v>0</v>
      </c>
    </row>
    <row r="1469" spans="1:16" x14ac:dyDescent="0.25">
      <c r="A1469" t="s">
        <v>23941</v>
      </c>
      <c r="B1469" t="s">
        <v>2471</v>
      </c>
      <c r="C1469" t="s">
        <v>2467</v>
      </c>
      <c r="D1469" t="s">
        <v>2407</v>
      </c>
      <c r="E1469" t="s">
        <v>2408</v>
      </c>
      <c r="F1469" t="s">
        <v>2</v>
      </c>
      <c r="G1469" t="s">
        <v>47072</v>
      </c>
      <c r="H1469" t="s">
        <v>47054</v>
      </c>
      <c r="I1469" t="s">
        <v>47116</v>
      </c>
      <c r="J1469" t="s">
        <v>47117</v>
      </c>
      <c r="K1469" t="s">
        <v>47113</v>
      </c>
      <c r="L1469">
        <v>28.3</v>
      </c>
      <c r="M1469">
        <v>66</v>
      </c>
      <c r="N1469">
        <v>0</v>
      </c>
      <c r="O1469">
        <v>66</v>
      </c>
      <c r="P1469">
        <v>0</v>
      </c>
    </row>
    <row r="1470" spans="1:16" x14ac:dyDescent="0.25">
      <c r="A1470" t="s">
        <v>23942</v>
      </c>
      <c r="B1470" t="s">
        <v>2472</v>
      </c>
      <c r="C1470" t="s">
        <v>2473</v>
      </c>
      <c r="D1470" t="s">
        <v>2040</v>
      </c>
      <c r="E1470" t="s">
        <v>2041</v>
      </c>
      <c r="F1470" t="s">
        <v>3</v>
      </c>
      <c r="G1470" t="s">
        <v>47072</v>
      </c>
      <c r="H1470" t="s">
        <v>47054</v>
      </c>
      <c r="I1470" t="s">
        <v>47116</v>
      </c>
      <c r="J1470" t="s">
        <v>47117</v>
      </c>
      <c r="K1470" t="s">
        <v>47113</v>
      </c>
      <c r="L1470">
        <v>27.59</v>
      </c>
      <c r="M1470">
        <v>73</v>
      </c>
      <c r="N1470">
        <v>0</v>
      </c>
      <c r="O1470">
        <v>73</v>
      </c>
      <c r="P1470">
        <v>0</v>
      </c>
    </row>
    <row r="1471" spans="1:16" x14ac:dyDescent="0.25">
      <c r="A1471" t="s">
        <v>23943</v>
      </c>
      <c r="B1471" t="s">
        <v>2474</v>
      </c>
      <c r="C1471" t="s">
        <v>2116</v>
      </c>
      <c r="D1471" t="s">
        <v>2475</v>
      </c>
      <c r="E1471" t="s">
        <v>2476</v>
      </c>
      <c r="F1471" t="s">
        <v>1401</v>
      </c>
      <c r="G1471" t="s">
        <v>47072</v>
      </c>
      <c r="H1471" t="s">
        <v>47054</v>
      </c>
      <c r="I1471" t="s">
        <v>47116</v>
      </c>
      <c r="J1471" t="s">
        <v>47117</v>
      </c>
      <c r="K1471" t="s">
        <v>47113</v>
      </c>
      <c r="L1471">
        <v>26.38</v>
      </c>
      <c r="M1471">
        <v>60</v>
      </c>
      <c r="N1471">
        <v>0</v>
      </c>
      <c r="O1471">
        <v>60</v>
      </c>
      <c r="P1471">
        <v>0</v>
      </c>
    </row>
    <row r="1472" spans="1:16" x14ac:dyDescent="0.25">
      <c r="A1472" t="s">
        <v>14767</v>
      </c>
      <c r="B1472" t="s">
        <v>2474</v>
      </c>
      <c r="C1472" t="s">
        <v>2116</v>
      </c>
      <c r="D1472" t="s">
        <v>2477</v>
      </c>
      <c r="E1472" t="s">
        <v>2478</v>
      </c>
      <c r="F1472" t="s">
        <v>1401</v>
      </c>
      <c r="G1472" t="s">
        <v>47072</v>
      </c>
      <c r="H1472" t="s">
        <v>47054</v>
      </c>
      <c r="I1472" t="s">
        <v>47116</v>
      </c>
      <c r="J1472" t="s">
        <v>47117</v>
      </c>
      <c r="K1472" t="s">
        <v>47113</v>
      </c>
      <c r="L1472">
        <v>26.26</v>
      </c>
      <c r="M1472">
        <v>60</v>
      </c>
      <c r="N1472">
        <v>0</v>
      </c>
      <c r="O1472">
        <v>60</v>
      </c>
      <c r="P1472">
        <v>0</v>
      </c>
    </row>
    <row r="1473" spans="1:16" x14ac:dyDescent="0.25">
      <c r="A1473" t="s">
        <v>23944</v>
      </c>
      <c r="B1473" t="s">
        <v>2474</v>
      </c>
      <c r="C1473" t="s">
        <v>2116</v>
      </c>
      <c r="D1473" t="s">
        <v>2479</v>
      </c>
      <c r="E1473" t="s">
        <v>2480</v>
      </c>
      <c r="F1473" t="s">
        <v>1717</v>
      </c>
      <c r="G1473" t="s">
        <v>47072</v>
      </c>
      <c r="H1473" t="s">
        <v>47054</v>
      </c>
      <c r="I1473" t="s">
        <v>47116</v>
      </c>
      <c r="J1473" t="s">
        <v>47117</v>
      </c>
      <c r="K1473" t="s">
        <v>47113</v>
      </c>
      <c r="L1473">
        <v>23.62</v>
      </c>
      <c r="M1473">
        <v>60</v>
      </c>
      <c r="N1473">
        <v>0</v>
      </c>
      <c r="O1473">
        <v>60</v>
      </c>
      <c r="P1473">
        <v>0</v>
      </c>
    </row>
    <row r="1474" spans="1:16" x14ac:dyDescent="0.25">
      <c r="A1474" t="s">
        <v>23945</v>
      </c>
      <c r="B1474" t="s">
        <v>2474</v>
      </c>
      <c r="C1474" t="s">
        <v>2116</v>
      </c>
      <c r="D1474" t="s">
        <v>2481</v>
      </c>
      <c r="E1474" t="s">
        <v>2482</v>
      </c>
      <c r="F1474" t="s">
        <v>1401</v>
      </c>
      <c r="G1474" t="s">
        <v>47072</v>
      </c>
      <c r="H1474" t="s">
        <v>47054</v>
      </c>
      <c r="I1474" t="s">
        <v>47116</v>
      </c>
      <c r="J1474" t="s">
        <v>47117</v>
      </c>
      <c r="K1474" t="s">
        <v>47113</v>
      </c>
      <c r="L1474">
        <v>26.38</v>
      </c>
      <c r="M1474">
        <v>60</v>
      </c>
      <c r="N1474">
        <v>0</v>
      </c>
      <c r="O1474">
        <v>60</v>
      </c>
      <c r="P1474">
        <v>0</v>
      </c>
    </row>
    <row r="1475" spans="1:16" x14ac:dyDescent="0.25">
      <c r="A1475" t="s">
        <v>23946</v>
      </c>
      <c r="B1475" t="s">
        <v>2483</v>
      </c>
      <c r="C1475" t="s">
        <v>2484</v>
      </c>
      <c r="D1475" t="s">
        <v>2485</v>
      </c>
      <c r="E1475" t="s">
        <v>2486</v>
      </c>
      <c r="F1475" t="s">
        <v>6</v>
      </c>
      <c r="G1475" t="s">
        <v>47072</v>
      </c>
      <c r="H1475" t="s">
        <v>47054</v>
      </c>
      <c r="I1475" t="s">
        <v>47116</v>
      </c>
      <c r="J1475" t="s">
        <v>47117</v>
      </c>
      <c r="K1475" t="s">
        <v>47113</v>
      </c>
      <c r="L1475">
        <v>23.15</v>
      </c>
      <c r="M1475">
        <v>63</v>
      </c>
      <c r="N1475">
        <v>0</v>
      </c>
      <c r="O1475">
        <v>63</v>
      </c>
      <c r="P1475">
        <v>0</v>
      </c>
    </row>
    <row r="1476" spans="1:16" x14ac:dyDescent="0.25">
      <c r="A1476" t="s">
        <v>14768</v>
      </c>
      <c r="B1476" t="s">
        <v>2487</v>
      </c>
      <c r="C1476" t="s">
        <v>2488</v>
      </c>
      <c r="D1476" t="str">
        <f>"7100"</f>
        <v>7100</v>
      </c>
      <c r="E1476" t="s">
        <v>2489</v>
      </c>
      <c r="F1476" t="s">
        <v>4</v>
      </c>
      <c r="G1476" t="s">
        <v>47072</v>
      </c>
      <c r="H1476" t="s">
        <v>47054</v>
      </c>
      <c r="I1476" t="s">
        <v>47116</v>
      </c>
      <c r="J1476" t="s">
        <v>47117</v>
      </c>
      <c r="K1476" t="s">
        <v>47113</v>
      </c>
      <c r="L1476">
        <v>32.159999999999997</v>
      </c>
      <c r="M1476">
        <v>78</v>
      </c>
      <c r="N1476">
        <v>0</v>
      </c>
      <c r="O1476">
        <v>78</v>
      </c>
      <c r="P1476">
        <v>0</v>
      </c>
    </row>
    <row r="1477" spans="1:16" x14ac:dyDescent="0.25">
      <c r="A1477" t="s">
        <v>14769</v>
      </c>
      <c r="B1477" t="s">
        <v>2490</v>
      </c>
      <c r="C1477" t="s">
        <v>2491</v>
      </c>
      <c r="D1477" t="str">
        <f>"6000"</f>
        <v>6000</v>
      </c>
      <c r="E1477" t="s">
        <v>2492</v>
      </c>
      <c r="F1477" t="s">
        <v>4</v>
      </c>
      <c r="G1477" t="s">
        <v>47072</v>
      </c>
      <c r="H1477" t="s">
        <v>47054</v>
      </c>
      <c r="I1477" t="s">
        <v>47116</v>
      </c>
      <c r="J1477" t="s">
        <v>47117</v>
      </c>
      <c r="K1477" t="s">
        <v>47113</v>
      </c>
      <c r="L1477">
        <v>32.159999999999997</v>
      </c>
      <c r="M1477">
        <v>78</v>
      </c>
      <c r="N1477">
        <v>0</v>
      </c>
      <c r="O1477">
        <v>78</v>
      </c>
      <c r="P1477">
        <v>0</v>
      </c>
    </row>
    <row r="1478" spans="1:16" x14ac:dyDescent="0.25">
      <c r="A1478" t="s">
        <v>23947</v>
      </c>
      <c r="B1478" t="s">
        <v>2493</v>
      </c>
      <c r="C1478" t="s">
        <v>2494</v>
      </c>
      <c r="D1478" t="s">
        <v>2395</v>
      </c>
      <c r="E1478" t="s">
        <v>2396</v>
      </c>
      <c r="F1478" t="s">
        <v>1</v>
      </c>
      <c r="G1478" t="s">
        <v>47072</v>
      </c>
      <c r="H1478" t="s">
        <v>47054</v>
      </c>
      <c r="I1478" t="s">
        <v>47116</v>
      </c>
      <c r="J1478" t="s">
        <v>47117</v>
      </c>
      <c r="K1478" t="s">
        <v>47113</v>
      </c>
      <c r="L1478">
        <v>22.09</v>
      </c>
      <c r="M1478">
        <v>54</v>
      </c>
      <c r="N1478">
        <v>0</v>
      </c>
      <c r="O1478">
        <v>54</v>
      </c>
      <c r="P1478">
        <v>0</v>
      </c>
    </row>
    <row r="1479" spans="1:16" x14ac:dyDescent="0.25">
      <c r="A1479" t="s">
        <v>14770</v>
      </c>
      <c r="B1479" t="s">
        <v>2495</v>
      </c>
      <c r="C1479" t="s">
        <v>2496</v>
      </c>
      <c r="D1479" t="s">
        <v>2497</v>
      </c>
      <c r="E1479" t="s">
        <v>2498</v>
      </c>
      <c r="F1479" t="s">
        <v>0</v>
      </c>
      <c r="G1479" t="s">
        <v>47072</v>
      </c>
      <c r="H1479" t="s">
        <v>47054</v>
      </c>
      <c r="I1479" t="s">
        <v>47116</v>
      </c>
      <c r="J1479" t="s">
        <v>47117</v>
      </c>
      <c r="K1479" t="s">
        <v>47113</v>
      </c>
      <c r="L1479">
        <v>27.59</v>
      </c>
      <c r="M1479">
        <v>67</v>
      </c>
      <c r="N1479">
        <v>0</v>
      </c>
      <c r="O1479">
        <v>67</v>
      </c>
      <c r="P1479">
        <v>0</v>
      </c>
    </row>
    <row r="1480" spans="1:16" x14ac:dyDescent="0.25">
      <c r="A1480" t="s">
        <v>23948</v>
      </c>
      <c r="B1480" t="s">
        <v>2495</v>
      </c>
      <c r="C1480" t="s">
        <v>2496</v>
      </c>
      <c r="D1480" t="s">
        <v>2499</v>
      </c>
      <c r="E1480" t="s">
        <v>2500</v>
      </c>
      <c r="F1480" t="s">
        <v>0</v>
      </c>
      <c r="G1480" t="s">
        <v>47072</v>
      </c>
      <c r="H1480" t="s">
        <v>47054</v>
      </c>
      <c r="I1480" t="s">
        <v>47116</v>
      </c>
      <c r="J1480" t="s">
        <v>47117</v>
      </c>
      <c r="K1480" t="s">
        <v>47113</v>
      </c>
      <c r="L1480">
        <v>30.32</v>
      </c>
      <c r="M1480">
        <v>74</v>
      </c>
      <c r="N1480">
        <v>0</v>
      </c>
      <c r="O1480">
        <v>74</v>
      </c>
      <c r="P1480">
        <v>0</v>
      </c>
    </row>
    <row r="1481" spans="1:16" x14ac:dyDescent="0.25">
      <c r="A1481" t="s">
        <v>23949</v>
      </c>
      <c r="B1481" t="s">
        <v>2501</v>
      </c>
      <c r="C1481" t="s">
        <v>2502</v>
      </c>
      <c r="D1481" t="s">
        <v>2503</v>
      </c>
      <c r="E1481" t="s">
        <v>2504</v>
      </c>
      <c r="F1481" t="s">
        <v>1</v>
      </c>
      <c r="G1481" t="s">
        <v>47072</v>
      </c>
      <c r="H1481" t="s">
        <v>47054</v>
      </c>
      <c r="I1481" t="s">
        <v>47116</v>
      </c>
      <c r="J1481" t="s">
        <v>47117</v>
      </c>
      <c r="K1481" t="s">
        <v>47113</v>
      </c>
      <c r="L1481">
        <v>24.16</v>
      </c>
      <c r="M1481">
        <v>59</v>
      </c>
      <c r="N1481">
        <v>0</v>
      </c>
      <c r="O1481">
        <v>59</v>
      </c>
      <c r="P1481">
        <v>0</v>
      </c>
    </row>
    <row r="1482" spans="1:16" x14ac:dyDescent="0.25">
      <c r="A1482" t="s">
        <v>23950</v>
      </c>
      <c r="B1482" t="s">
        <v>2505</v>
      </c>
      <c r="C1482" t="s">
        <v>2506</v>
      </c>
      <c r="D1482" t="s">
        <v>721</v>
      </c>
      <c r="E1482" t="s">
        <v>722</v>
      </c>
      <c r="F1482" t="s">
        <v>8</v>
      </c>
      <c r="G1482" t="s">
        <v>47072</v>
      </c>
      <c r="H1482" t="s">
        <v>47054</v>
      </c>
      <c r="I1482" t="s">
        <v>47116</v>
      </c>
      <c r="J1482" t="s">
        <v>47117</v>
      </c>
      <c r="K1482" t="s">
        <v>47113</v>
      </c>
      <c r="L1482">
        <v>20.83</v>
      </c>
      <c r="M1482">
        <v>57</v>
      </c>
      <c r="N1482">
        <v>0</v>
      </c>
      <c r="O1482">
        <v>57</v>
      </c>
      <c r="P1482">
        <v>0</v>
      </c>
    </row>
    <row r="1483" spans="1:16" x14ac:dyDescent="0.25">
      <c r="A1483" t="s">
        <v>23951</v>
      </c>
      <c r="B1483" t="s">
        <v>2507</v>
      </c>
      <c r="C1483" t="s">
        <v>2508</v>
      </c>
      <c r="D1483" t="s">
        <v>2446</v>
      </c>
      <c r="E1483" t="s">
        <v>2447</v>
      </c>
      <c r="F1483" t="s">
        <v>52</v>
      </c>
      <c r="G1483" t="s">
        <v>47072</v>
      </c>
      <c r="H1483" t="s">
        <v>47054</v>
      </c>
      <c r="I1483" t="s">
        <v>47111</v>
      </c>
      <c r="J1483" t="s">
        <v>47112</v>
      </c>
      <c r="K1483" t="s">
        <v>47113</v>
      </c>
      <c r="L1483">
        <v>24.53</v>
      </c>
      <c r="M1483">
        <v>63</v>
      </c>
      <c r="N1483">
        <v>0</v>
      </c>
      <c r="O1483">
        <v>63</v>
      </c>
      <c r="P1483">
        <v>0</v>
      </c>
    </row>
    <row r="1484" spans="1:16" x14ac:dyDescent="0.25">
      <c r="A1484" t="s">
        <v>14771</v>
      </c>
      <c r="B1484" t="s">
        <v>2509</v>
      </c>
      <c r="C1484" t="s">
        <v>2510</v>
      </c>
      <c r="D1484" t="s">
        <v>2042</v>
      </c>
      <c r="E1484" t="s">
        <v>2043</v>
      </c>
      <c r="F1484" t="s">
        <v>5</v>
      </c>
      <c r="G1484" t="s">
        <v>47072</v>
      </c>
      <c r="H1484" t="s">
        <v>47054</v>
      </c>
      <c r="I1484" t="s">
        <v>47116</v>
      </c>
      <c r="J1484" t="s">
        <v>47117</v>
      </c>
      <c r="K1484" t="s">
        <v>47113</v>
      </c>
      <c r="L1484">
        <v>27.81</v>
      </c>
      <c r="M1484">
        <v>70</v>
      </c>
      <c r="N1484">
        <v>0</v>
      </c>
      <c r="O1484">
        <v>70</v>
      </c>
      <c r="P1484">
        <v>0</v>
      </c>
    </row>
    <row r="1485" spans="1:16" x14ac:dyDescent="0.25">
      <c r="A1485" t="s">
        <v>14772</v>
      </c>
      <c r="B1485" t="s">
        <v>2509</v>
      </c>
      <c r="C1485" t="s">
        <v>2510</v>
      </c>
      <c r="D1485" t="s">
        <v>2434</v>
      </c>
      <c r="E1485" t="s">
        <v>2435</v>
      </c>
      <c r="F1485" t="s">
        <v>4</v>
      </c>
      <c r="G1485" t="s">
        <v>47072</v>
      </c>
      <c r="H1485" t="s">
        <v>47054</v>
      </c>
      <c r="I1485" t="s">
        <v>47116</v>
      </c>
      <c r="J1485" t="s">
        <v>47117</v>
      </c>
      <c r="K1485" t="s">
        <v>47113</v>
      </c>
      <c r="L1485">
        <v>29.83</v>
      </c>
      <c r="M1485">
        <v>73</v>
      </c>
      <c r="N1485">
        <v>0</v>
      </c>
      <c r="O1485">
        <v>73</v>
      </c>
      <c r="P1485">
        <v>0</v>
      </c>
    </row>
    <row r="1486" spans="1:16" x14ac:dyDescent="0.25">
      <c r="A1486" t="s">
        <v>23952</v>
      </c>
      <c r="B1486" t="s">
        <v>2509</v>
      </c>
      <c r="C1486" t="s">
        <v>2510</v>
      </c>
      <c r="D1486" t="s">
        <v>2048</v>
      </c>
      <c r="E1486" t="s">
        <v>2049</v>
      </c>
      <c r="F1486" t="s">
        <v>4</v>
      </c>
      <c r="G1486" t="s">
        <v>47072</v>
      </c>
      <c r="H1486" t="s">
        <v>47054</v>
      </c>
      <c r="I1486" t="s">
        <v>47116</v>
      </c>
      <c r="J1486" t="s">
        <v>47117</v>
      </c>
      <c r="K1486" t="s">
        <v>47113</v>
      </c>
      <c r="L1486">
        <v>27.99</v>
      </c>
      <c r="M1486">
        <v>68</v>
      </c>
      <c r="N1486">
        <v>0</v>
      </c>
      <c r="O1486">
        <v>68</v>
      </c>
      <c r="P1486">
        <v>0</v>
      </c>
    </row>
    <row r="1487" spans="1:16" x14ac:dyDescent="0.25">
      <c r="A1487" t="s">
        <v>23953</v>
      </c>
      <c r="B1487" t="s">
        <v>2509</v>
      </c>
      <c r="C1487" t="s">
        <v>2510</v>
      </c>
      <c r="D1487" t="s">
        <v>2436</v>
      </c>
      <c r="E1487" t="s">
        <v>2437</v>
      </c>
      <c r="F1487" t="s">
        <v>0</v>
      </c>
      <c r="G1487" t="s">
        <v>47072</v>
      </c>
      <c r="H1487" t="s">
        <v>47054</v>
      </c>
      <c r="I1487" t="s">
        <v>47116</v>
      </c>
      <c r="J1487" t="s">
        <v>47117</v>
      </c>
      <c r="K1487" t="s">
        <v>47113</v>
      </c>
      <c r="L1487">
        <v>30.22</v>
      </c>
      <c r="M1487">
        <v>74</v>
      </c>
      <c r="N1487">
        <v>0</v>
      </c>
      <c r="O1487">
        <v>74</v>
      </c>
      <c r="P1487">
        <v>0</v>
      </c>
    </row>
    <row r="1488" spans="1:16" x14ac:dyDescent="0.25">
      <c r="A1488" t="s">
        <v>23954</v>
      </c>
      <c r="B1488" t="s">
        <v>2509</v>
      </c>
      <c r="C1488" t="s">
        <v>2510</v>
      </c>
      <c r="D1488" t="s">
        <v>2511</v>
      </c>
      <c r="E1488" t="s">
        <v>2512</v>
      </c>
      <c r="F1488" t="s">
        <v>1</v>
      </c>
      <c r="G1488" t="s">
        <v>47072</v>
      </c>
      <c r="H1488" t="s">
        <v>47054</v>
      </c>
      <c r="I1488" t="s">
        <v>47116</v>
      </c>
      <c r="J1488" t="s">
        <v>47117</v>
      </c>
      <c r="K1488" t="s">
        <v>47113</v>
      </c>
      <c r="L1488">
        <v>27.94</v>
      </c>
      <c r="M1488">
        <v>69</v>
      </c>
      <c r="N1488">
        <v>0</v>
      </c>
      <c r="O1488">
        <v>69</v>
      </c>
      <c r="P1488">
        <v>0</v>
      </c>
    </row>
    <row r="1489" spans="1:16" x14ac:dyDescent="0.25">
      <c r="A1489" t="s">
        <v>23955</v>
      </c>
      <c r="B1489" t="s">
        <v>2513</v>
      </c>
      <c r="C1489" t="s">
        <v>2514</v>
      </c>
      <c r="D1489" t="s">
        <v>721</v>
      </c>
      <c r="E1489" t="s">
        <v>722</v>
      </c>
      <c r="F1489" t="s">
        <v>0</v>
      </c>
      <c r="G1489" t="s">
        <v>47072</v>
      </c>
      <c r="H1489" t="s">
        <v>47054</v>
      </c>
      <c r="I1489" t="s">
        <v>47116</v>
      </c>
      <c r="J1489" t="s">
        <v>47117</v>
      </c>
      <c r="K1489" t="s">
        <v>47113</v>
      </c>
      <c r="L1489">
        <v>17.14</v>
      </c>
      <c r="M1489">
        <v>42</v>
      </c>
      <c r="N1489">
        <v>0</v>
      </c>
      <c r="O1489">
        <v>42</v>
      </c>
      <c r="P1489">
        <v>0</v>
      </c>
    </row>
    <row r="1490" spans="1:16" x14ac:dyDescent="0.25">
      <c r="A1490" t="s">
        <v>23956</v>
      </c>
      <c r="B1490" t="s">
        <v>2513</v>
      </c>
      <c r="C1490" t="s">
        <v>2514</v>
      </c>
      <c r="D1490" t="s">
        <v>2403</v>
      </c>
      <c r="E1490" t="s">
        <v>2404</v>
      </c>
      <c r="F1490" t="s">
        <v>0</v>
      </c>
      <c r="G1490" t="s">
        <v>47072</v>
      </c>
      <c r="H1490" t="s">
        <v>47054</v>
      </c>
      <c r="I1490" t="s">
        <v>47116</v>
      </c>
      <c r="J1490" t="s">
        <v>47117</v>
      </c>
      <c r="K1490" t="s">
        <v>47113</v>
      </c>
      <c r="L1490">
        <v>24.6</v>
      </c>
      <c r="M1490">
        <v>60</v>
      </c>
      <c r="N1490">
        <v>0</v>
      </c>
      <c r="O1490">
        <v>60</v>
      </c>
      <c r="P1490">
        <v>0</v>
      </c>
    </row>
    <row r="1491" spans="1:16" x14ac:dyDescent="0.25">
      <c r="A1491" t="s">
        <v>23957</v>
      </c>
      <c r="B1491" t="s">
        <v>2513</v>
      </c>
      <c r="C1491" t="s">
        <v>2514</v>
      </c>
      <c r="D1491" t="s">
        <v>2515</v>
      </c>
      <c r="E1491" t="s">
        <v>2516</v>
      </c>
      <c r="F1491" t="s">
        <v>1</v>
      </c>
      <c r="G1491" t="s">
        <v>47072</v>
      </c>
      <c r="H1491" t="s">
        <v>47054</v>
      </c>
      <c r="I1491" t="s">
        <v>47116</v>
      </c>
      <c r="J1491" t="s">
        <v>47117</v>
      </c>
      <c r="K1491" t="s">
        <v>47113</v>
      </c>
      <c r="L1491">
        <v>25.18</v>
      </c>
      <c r="M1491">
        <v>62</v>
      </c>
      <c r="N1491">
        <v>0</v>
      </c>
      <c r="O1491">
        <v>62</v>
      </c>
      <c r="P1491">
        <v>0</v>
      </c>
    </row>
    <row r="1492" spans="1:16" x14ac:dyDescent="0.25">
      <c r="A1492" t="s">
        <v>23958</v>
      </c>
      <c r="B1492" t="s">
        <v>2513</v>
      </c>
      <c r="C1492" t="s">
        <v>2514</v>
      </c>
      <c r="D1492" t="s">
        <v>2405</v>
      </c>
      <c r="E1492" t="s">
        <v>2406</v>
      </c>
      <c r="F1492" t="s">
        <v>0</v>
      </c>
      <c r="G1492" t="s">
        <v>47072</v>
      </c>
      <c r="H1492" t="s">
        <v>47054</v>
      </c>
      <c r="I1492" t="s">
        <v>47116</v>
      </c>
      <c r="J1492" t="s">
        <v>47117</v>
      </c>
      <c r="K1492" t="s">
        <v>47113</v>
      </c>
      <c r="L1492">
        <v>21.15</v>
      </c>
      <c r="M1492">
        <v>52</v>
      </c>
      <c r="N1492">
        <v>0</v>
      </c>
      <c r="O1492">
        <v>52</v>
      </c>
      <c r="P1492">
        <v>0</v>
      </c>
    </row>
    <row r="1493" spans="1:16" x14ac:dyDescent="0.25">
      <c r="A1493" t="s">
        <v>14773</v>
      </c>
      <c r="B1493" t="s">
        <v>2513</v>
      </c>
      <c r="C1493" t="s">
        <v>2514</v>
      </c>
      <c r="D1493" t="s">
        <v>2517</v>
      </c>
      <c r="E1493" t="s">
        <v>2518</v>
      </c>
      <c r="F1493" t="s">
        <v>1</v>
      </c>
      <c r="G1493" t="s">
        <v>47072</v>
      </c>
      <c r="H1493" t="s">
        <v>47054</v>
      </c>
      <c r="I1493" t="s">
        <v>47116</v>
      </c>
      <c r="J1493" t="s">
        <v>47117</v>
      </c>
      <c r="K1493" t="s">
        <v>47113</v>
      </c>
      <c r="L1493">
        <v>35.06</v>
      </c>
      <c r="M1493">
        <v>70</v>
      </c>
      <c r="N1493">
        <v>0</v>
      </c>
      <c r="O1493">
        <v>70</v>
      </c>
      <c r="P1493">
        <v>0</v>
      </c>
    </row>
    <row r="1494" spans="1:16" x14ac:dyDescent="0.25">
      <c r="A1494" t="s">
        <v>14774</v>
      </c>
      <c r="B1494" t="s">
        <v>2519</v>
      </c>
      <c r="C1494" t="s">
        <v>2520</v>
      </c>
      <c r="D1494" t="str">
        <f>"11"</f>
        <v>11</v>
      </c>
      <c r="E1494" t="s">
        <v>288</v>
      </c>
      <c r="F1494" t="s">
        <v>687</v>
      </c>
      <c r="G1494" t="s">
        <v>47072</v>
      </c>
      <c r="H1494" t="s">
        <v>47054</v>
      </c>
      <c r="I1494" t="s">
        <v>47116</v>
      </c>
      <c r="J1494" t="s">
        <v>47117</v>
      </c>
      <c r="K1494" t="s">
        <v>47113</v>
      </c>
      <c r="L1494">
        <v>17.46</v>
      </c>
      <c r="M1494">
        <v>46</v>
      </c>
      <c r="N1494">
        <v>0</v>
      </c>
      <c r="O1494">
        <v>46</v>
      </c>
      <c r="P1494">
        <v>0</v>
      </c>
    </row>
    <row r="1495" spans="1:16" x14ac:dyDescent="0.25">
      <c r="A1495" t="s">
        <v>23959</v>
      </c>
      <c r="B1495" t="s">
        <v>2519</v>
      </c>
      <c r="C1495" t="s">
        <v>2520</v>
      </c>
      <c r="D1495" t="s">
        <v>2419</v>
      </c>
      <c r="E1495" t="s">
        <v>2420</v>
      </c>
      <c r="F1495" t="s">
        <v>8</v>
      </c>
      <c r="G1495" t="s">
        <v>47072</v>
      </c>
      <c r="H1495" t="s">
        <v>47054</v>
      </c>
      <c r="I1495" t="s">
        <v>47116</v>
      </c>
      <c r="J1495" t="s">
        <v>47117</v>
      </c>
      <c r="K1495" t="s">
        <v>47113</v>
      </c>
      <c r="L1495">
        <v>17.7</v>
      </c>
      <c r="M1495">
        <v>49</v>
      </c>
      <c r="N1495">
        <v>0</v>
      </c>
      <c r="O1495">
        <v>49</v>
      </c>
      <c r="P1495">
        <v>0</v>
      </c>
    </row>
    <row r="1496" spans="1:16" x14ac:dyDescent="0.25">
      <c r="A1496" t="s">
        <v>14775</v>
      </c>
      <c r="B1496" t="s">
        <v>2519</v>
      </c>
      <c r="C1496" t="s">
        <v>2520</v>
      </c>
      <c r="D1496" t="s">
        <v>2405</v>
      </c>
      <c r="E1496" t="s">
        <v>2406</v>
      </c>
      <c r="F1496" t="s">
        <v>631</v>
      </c>
      <c r="G1496" t="s">
        <v>47072</v>
      </c>
      <c r="H1496" t="s">
        <v>47054</v>
      </c>
      <c r="I1496" t="s">
        <v>47116</v>
      </c>
      <c r="J1496" t="s">
        <v>47117</v>
      </c>
      <c r="K1496" t="s">
        <v>47113</v>
      </c>
      <c r="L1496">
        <v>19.440000000000001</v>
      </c>
      <c r="M1496">
        <v>51</v>
      </c>
      <c r="N1496">
        <v>0</v>
      </c>
      <c r="O1496">
        <v>51</v>
      </c>
      <c r="P1496">
        <v>0</v>
      </c>
    </row>
    <row r="1497" spans="1:16" x14ac:dyDescent="0.25">
      <c r="A1497" t="s">
        <v>23960</v>
      </c>
      <c r="B1497" t="s">
        <v>2519</v>
      </c>
      <c r="C1497" t="s">
        <v>2520</v>
      </c>
      <c r="D1497" t="s">
        <v>2477</v>
      </c>
      <c r="E1497" t="s">
        <v>2478</v>
      </c>
      <c r="F1497" t="s">
        <v>687</v>
      </c>
      <c r="G1497" t="s">
        <v>47072</v>
      </c>
      <c r="H1497" t="s">
        <v>47054</v>
      </c>
      <c r="I1497" t="s">
        <v>47116</v>
      </c>
      <c r="J1497" t="s">
        <v>47117</v>
      </c>
      <c r="K1497" t="s">
        <v>47113</v>
      </c>
      <c r="L1497">
        <v>20.25</v>
      </c>
      <c r="M1497">
        <v>49</v>
      </c>
      <c r="N1497">
        <v>0</v>
      </c>
      <c r="O1497">
        <v>49</v>
      </c>
      <c r="P1497">
        <v>0</v>
      </c>
    </row>
    <row r="1498" spans="1:16" x14ac:dyDescent="0.25">
      <c r="A1498" t="s">
        <v>14776</v>
      </c>
      <c r="B1498" t="s">
        <v>2519</v>
      </c>
      <c r="C1498" t="s">
        <v>2520</v>
      </c>
      <c r="D1498" t="s">
        <v>2479</v>
      </c>
      <c r="E1498" t="s">
        <v>2480</v>
      </c>
      <c r="F1498" t="s">
        <v>1717</v>
      </c>
      <c r="G1498" t="s">
        <v>47072</v>
      </c>
      <c r="H1498" t="s">
        <v>47054</v>
      </c>
      <c r="I1498" t="s">
        <v>47116</v>
      </c>
      <c r="J1498" t="s">
        <v>47117</v>
      </c>
      <c r="K1498" t="s">
        <v>47113</v>
      </c>
      <c r="L1498">
        <v>19.93</v>
      </c>
      <c r="M1498">
        <v>48</v>
      </c>
      <c r="N1498">
        <v>0</v>
      </c>
      <c r="O1498">
        <v>48</v>
      </c>
      <c r="P1498">
        <v>0</v>
      </c>
    </row>
    <row r="1499" spans="1:16" x14ac:dyDescent="0.25">
      <c r="A1499" t="s">
        <v>14777</v>
      </c>
      <c r="B1499" t="s">
        <v>2521</v>
      </c>
      <c r="C1499" t="s">
        <v>2522</v>
      </c>
      <c r="D1499" t="s">
        <v>983</v>
      </c>
      <c r="E1499" t="s">
        <v>984</v>
      </c>
      <c r="F1499" t="s">
        <v>7</v>
      </c>
      <c r="G1499" t="s">
        <v>47072</v>
      </c>
      <c r="H1499" t="s">
        <v>47054</v>
      </c>
      <c r="I1499" t="s">
        <v>47116</v>
      </c>
      <c r="J1499" t="s">
        <v>47117</v>
      </c>
      <c r="K1499" t="s">
        <v>47113</v>
      </c>
      <c r="L1499">
        <v>30.44</v>
      </c>
      <c r="M1499">
        <v>73</v>
      </c>
      <c r="N1499">
        <v>0</v>
      </c>
      <c r="O1499">
        <v>73</v>
      </c>
      <c r="P1499">
        <v>0</v>
      </c>
    </row>
    <row r="1500" spans="1:16" x14ac:dyDescent="0.25">
      <c r="A1500" t="s">
        <v>23961</v>
      </c>
      <c r="B1500" t="s">
        <v>2523</v>
      </c>
      <c r="C1500" t="s">
        <v>2524</v>
      </c>
      <c r="D1500" t="s">
        <v>2525</v>
      </c>
      <c r="E1500" t="s">
        <v>2526</v>
      </c>
      <c r="F1500" t="s">
        <v>6</v>
      </c>
      <c r="G1500" t="s">
        <v>47072</v>
      </c>
      <c r="H1500" t="s">
        <v>47054</v>
      </c>
      <c r="I1500" t="s">
        <v>47116</v>
      </c>
      <c r="J1500" t="s">
        <v>47117</v>
      </c>
      <c r="K1500" t="s">
        <v>47113</v>
      </c>
      <c r="L1500">
        <v>29.74</v>
      </c>
      <c r="M1500">
        <v>69</v>
      </c>
      <c r="N1500">
        <v>0</v>
      </c>
      <c r="O1500">
        <v>69</v>
      </c>
      <c r="P1500">
        <v>0</v>
      </c>
    </row>
    <row r="1501" spans="1:16" x14ac:dyDescent="0.25">
      <c r="A1501" t="s">
        <v>14778</v>
      </c>
      <c r="B1501" t="s">
        <v>2527</v>
      </c>
      <c r="C1501" t="s">
        <v>2528</v>
      </c>
      <c r="D1501" t="s">
        <v>2529</v>
      </c>
      <c r="E1501" t="s">
        <v>2530</v>
      </c>
      <c r="F1501" t="s">
        <v>7</v>
      </c>
      <c r="G1501" t="s">
        <v>47072</v>
      </c>
      <c r="H1501" t="s">
        <v>47054</v>
      </c>
      <c r="I1501" t="s">
        <v>47116</v>
      </c>
      <c r="J1501" t="s">
        <v>47117</v>
      </c>
      <c r="K1501" t="s">
        <v>47113</v>
      </c>
      <c r="L1501">
        <v>30.25</v>
      </c>
      <c r="M1501">
        <v>72</v>
      </c>
      <c r="N1501">
        <v>0</v>
      </c>
      <c r="O1501">
        <v>72</v>
      </c>
      <c r="P1501">
        <v>0</v>
      </c>
    </row>
    <row r="1502" spans="1:16" x14ac:dyDescent="0.25">
      <c r="A1502" t="s">
        <v>14779</v>
      </c>
      <c r="B1502" t="s">
        <v>2527</v>
      </c>
      <c r="C1502" t="s">
        <v>2528</v>
      </c>
      <c r="D1502" t="s">
        <v>2407</v>
      </c>
      <c r="E1502" t="s">
        <v>2408</v>
      </c>
      <c r="F1502" t="s">
        <v>6</v>
      </c>
      <c r="G1502" t="s">
        <v>47072</v>
      </c>
      <c r="H1502" t="s">
        <v>47054</v>
      </c>
      <c r="I1502" t="s">
        <v>47116</v>
      </c>
      <c r="J1502" t="s">
        <v>47117</v>
      </c>
      <c r="K1502" t="s">
        <v>47113</v>
      </c>
      <c r="L1502">
        <v>28.29</v>
      </c>
      <c r="M1502">
        <v>65</v>
      </c>
      <c r="N1502">
        <v>0</v>
      </c>
      <c r="O1502">
        <v>65</v>
      </c>
      <c r="P1502">
        <v>0</v>
      </c>
    </row>
    <row r="1503" spans="1:16" x14ac:dyDescent="0.25">
      <c r="A1503" t="s">
        <v>23962</v>
      </c>
      <c r="B1503" t="s">
        <v>2531</v>
      </c>
      <c r="C1503" t="s">
        <v>2532</v>
      </c>
      <c r="D1503" t="s">
        <v>2419</v>
      </c>
      <c r="E1503" t="s">
        <v>2420</v>
      </c>
      <c r="F1503" t="s">
        <v>52</v>
      </c>
      <c r="G1503" t="s">
        <v>47072</v>
      </c>
      <c r="H1503" t="s">
        <v>47054</v>
      </c>
      <c r="I1503" t="s">
        <v>47111</v>
      </c>
      <c r="J1503" t="s">
        <v>47112</v>
      </c>
      <c r="K1503" t="s">
        <v>47113</v>
      </c>
      <c r="L1503">
        <v>19.09</v>
      </c>
      <c r="M1503">
        <v>47</v>
      </c>
      <c r="N1503">
        <v>0</v>
      </c>
      <c r="O1503">
        <v>47</v>
      </c>
      <c r="P1503">
        <v>0</v>
      </c>
    </row>
    <row r="1504" spans="1:16" x14ac:dyDescent="0.25">
      <c r="A1504" t="s">
        <v>23963</v>
      </c>
      <c r="B1504" t="s">
        <v>2533</v>
      </c>
      <c r="C1504" t="s">
        <v>2534</v>
      </c>
      <c r="D1504" t="s">
        <v>2468</v>
      </c>
      <c r="E1504" t="s">
        <v>2469</v>
      </c>
      <c r="F1504" t="s">
        <v>2</v>
      </c>
      <c r="G1504" t="s">
        <v>47072</v>
      </c>
      <c r="I1504" t="s">
        <v>47116</v>
      </c>
      <c r="J1504" t="s">
        <v>47117</v>
      </c>
      <c r="K1504" t="s">
        <v>47113</v>
      </c>
      <c r="L1504">
        <v>30.65</v>
      </c>
      <c r="M1504">
        <v>71</v>
      </c>
      <c r="N1504">
        <v>0</v>
      </c>
      <c r="O1504">
        <v>71</v>
      </c>
      <c r="P1504">
        <v>0</v>
      </c>
    </row>
    <row r="1505" spans="1:16" x14ac:dyDescent="0.25">
      <c r="A1505" t="s">
        <v>23964</v>
      </c>
      <c r="B1505" t="s">
        <v>2535</v>
      </c>
      <c r="C1505" t="s">
        <v>2536</v>
      </c>
      <c r="D1505" t="s">
        <v>2395</v>
      </c>
      <c r="E1505" t="s">
        <v>2396</v>
      </c>
      <c r="F1505" t="s">
        <v>0</v>
      </c>
      <c r="G1505" t="s">
        <v>47072</v>
      </c>
      <c r="H1505" t="s">
        <v>47054</v>
      </c>
      <c r="I1505" t="s">
        <v>47116</v>
      </c>
      <c r="J1505" t="s">
        <v>47117</v>
      </c>
      <c r="K1505" t="s">
        <v>47113</v>
      </c>
      <c r="L1505">
        <v>27.45</v>
      </c>
      <c r="M1505">
        <v>67</v>
      </c>
      <c r="N1505">
        <v>0</v>
      </c>
      <c r="O1505">
        <v>67</v>
      </c>
      <c r="P1505">
        <v>0</v>
      </c>
    </row>
    <row r="1506" spans="1:16" x14ac:dyDescent="0.25">
      <c r="A1506" t="s">
        <v>23965</v>
      </c>
      <c r="B1506" t="s">
        <v>2537</v>
      </c>
      <c r="C1506" t="s">
        <v>2538</v>
      </c>
      <c r="D1506" t="s">
        <v>2539</v>
      </c>
      <c r="E1506" t="s">
        <v>2540</v>
      </c>
      <c r="F1506" t="s">
        <v>0</v>
      </c>
      <c r="G1506" t="s">
        <v>47072</v>
      </c>
      <c r="H1506" t="s">
        <v>47054</v>
      </c>
      <c r="I1506" t="s">
        <v>47116</v>
      </c>
      <c r="J1506" t="s">
        <v>47117</v>
      </c>
      <c r="K1506" t="s">
        <v>47113</v>
      </c>
      <c r="L1506">
        <v>31.81</v>
      </c>
      <c r="M1506">
        <v>78</v>
      </c>
      <c r="N1506">
        <v>0</v>
      </c>
      <c r="O1506">
        <v>78</v>
      </c>
      <c r="P1506">
        <v>0</v>
      </c>
    </row>
    <row r="1507" spans="1:16" x14ac:dyDescent="0.25">
      <c r="A1507" t="s">
        <v>23966</v>
      </c>
      <c r="B1507" t="s">
        <v>2541</v>
      </c>
      <c r="C1507" t="s">
        <v>2542</v>
      </c>
      <c r="D1507" t="s">
        <v>2042</v>
      </c>
      <c r="E1507" t="s">
        <v>2043</v>
      </c>
      <c r="F1507" t="s">
        <v>4</v>
      </c>
      <c r="G1507" t="s">
        <v>47072</v>
      </c>
      <c r="H1507" t="s">
        <v>47054</v>
      </c>
      <c r="I1507" t="s">
        <v>47116</v>
      </c>
      <c r="J1507" t="s">
        <v>47117</v>
      </c>
      <c r="K1507" t="s">
        <v>47113</v>
      </c>
      <c r="L1507">
        <v>28.81</v>
      </c>
      <c r="M1507">
        <v>70</v>
      </c>
      <c r="N1507">
        <v>0</v>
      </c>
      <c r="O1507">
        <v>70</v>
      </c>
      <c r="P1507">
        <v>0</v>
      </c>
    </row>
    <row r="1508" spans="1:16" x14ac:dyDescent="0.25">
      <c r="A1508" t="s">
        <v>23967</v>
      </c>
      <c r="B1508" t="s">
        <v>2543</v>
      </c>
      <c r="C1508" t="s">
        <v>2544</v>
      </c>
      <c r="D1508" t="s">
        <v>2545</v>
      </c>
      <c r="E1508" t="s">
        <v>2546</v>
      </c>
      <c r="F1508" t="s">
        <v>1</v>
      </c>
      <c r="G1508" t="s">
        <v>47072</v>
      </c>
      <c r="H1508" t="s">
        <v>47054</v>
      </c>
      <c r="I1508" t="s">
        <v>47116</v>
      </c>
      <c r="J1508" t="s">
        <v>47117</v>
      </c>
      <c r="K1508" t="s">
        <v>47113</v>
      </c>
      <c r="L1508">
        <v>27.38</v>
      </c>
      <c r="M1508">
        <v>67</v>
      </c>
      <c r="N1508">
        <v>0</v>
      </c>
      <c r="O1508">
        <v>67</v>
      </c>
      <c r="P1508">
        <v>0</v>
      </c>
    </row>
    <row r="1509" spans="1:16" x14ac:dyDescent="0.25">
      <c r="A1509" t="s">
        <v>23968</v>
      </c>
      <c r="B1509" t="s">
        <v>2547</v>
      </c>
      <c r="C1509" t="s">
        <v>2548</v>
      </c>
      <c r="D1509" t="s">
        <v>739</v>
      </c>
      <c r="E1509" t="s">
        <v>740</v>
      </c>
      <c r="F1509" t="s">
        <v>7</v>
      </c>
      <c r="G1509" t="s">
        <v>47072</v>
      </c>
      <c r="H1509" t="s">
        <v>47054</v>
      </c>
      <c r="I1509" t="s">
        <v>47116</v>
      </c>
      <c r="J1509" t="s">
        <v>47117</v>
      </c>
      <c r="K1509" t="s">
        <v>47113</v>
      </c>
      <c r="L1509">
        <v>18.55</v>
      </c>
      <c r="M1509">
        <v>53</v>
      </c>
      <c r="N1509">
        <v>0</v>
      </c>
      <c r="O1509">
        <v>53</v>
      </c>
      <c r="P1509">
        <v>0</v>
      </c>
    </row>
    <row r="1510" spans="1:16" x14ac:dyDescent="0.25">
      <c r="A1510" t="s">
        <v>23969</v>
      </c>
      <c r="B1510" t="s">
        <v>2547</v>
      </c>
      <c r="C1510" t="s">
        <v>2548</v>
      </c>
      <c r="D1510" t="s">
        <v>983</v>
      </c>
      <c r="E1510" t="s">
        <v>984</v>
      </c>
      <c r="F1510" t="s">
        <v>7</v>
      </c>
      <c r="G1510" t="s">
        <v>47072</v>
      </c>
      <c r="H1510" t="s">
        <v>47054</v>
      </c>
      <c r="I1510" t="s">
        <v>47114</v>
      </c>
      <c r="J1510" t="s">
        <v>47115</v>
      </c>
      <c r="K1510" t="s">
        <v>47113</v>
      </c>
      <c r="L1510">
        <v>19.84</v>
      </c>
      <c r="M1510">
        <v>56</v>
      </c>
      <c r="N1510">
        <v>0</v>
      </c>
      <c r="O1510">
        <v>56</v>
      </c>
      <c r="P1510">
        <v>0</v>
      </c>
    </row>
    <row r="1511" spans="1:16" x14ac:dyDescent="0.25">
      <c r="A1511" t="s">
        <v>14780</v>
      </c>
      <c r="B1511" t="s">
        <v>2549</v>
      </c>
      <c r="C1511" t="s">
        <v>2550</v>
      </c>
      <c r="D1511" t="s">
        <v>2551</v>
      </c>
      <c r="E1511" t="s">
        <v>2552</v>
      </c>
      <c r="F1511" t="s">
        <v>56</v>
      </c>
      <c r="G1511" t="s">
        <v>47072</v>
      </c>
      <c r="H1511" t="s">
        <v>47054</v>
      </c>
      <c r="I1511" t="s">
        <v>47116</v>
      </c>
      <c r="J1511" t="s">
        <v>47117</v>
      </c>
      <c r="K1511" t="s">
        <v>47113</v>
      </c>
      <c r="L1511">
        <v>27.06</v>
      </c>
      <c r="M1511">
        <v>67</v>
      </c>
      <c r="N1511">
        <v>0</v>
      </c>
      <c r="O1511">
        <v>67</v>
      </c>
      <c r="P1511">
        <v>0</v>
      </c>
    </row>
    <row r="1512" spans="1:16" x14ac:dyDescent="0.25">
      <c r="A1512" t="s">
        <v>23970</v>
      </c>
      <c r="B1512" t="s">
        <v>2553</v>
      </c>
      <c r="C1512" t="s">
        <v>2554</v>
      </c>
      <c r="D1512" t="s">
        <v>2529</v>
      </c>
      <c r="E1512" t="s">
        <v>2530</v>
      </c>
      <c r="F1512" t="s">
        <v>7</v>
      </c>
      <c r="G1512" t="s">
        <v>47072</v>
      </c>
      <c r="H1512" t="s">
        <v>47054</v>
      </c>
      <c r="I1512" t="s">
        <v>47116</v>
      </c>
      <c r="J1512" t="s">
        <v>47117</v>
      </c>
      <c r="K1512" t="s">
        <v>47113</v>
      </c>
      <c r="L1512">
        <v>20.03</v>
      </c>
      <c r="M1512">
        <v>56</v>
      </c>
      <c r="N1512">
        <v>0</v>
      </c>
      <c r="O1512">
        <v>56</v>
      </c>
      <c r="P1512">
        <v>0</v>
      </c>
    </row>
    <row r="1513" spans="1:16" x14ac:dyDescent="0.25">
      <c r="A1513" t="s">
        <v>23971</v>
      </c>
      <c r="B1513" t="s">
        <v>2555</v>
      </c>
      <c r="C1513" t="s">
        <v>2556</v>
      </c>
      <c r="D1513" t="s">
        <v>721</v>
      </c>
      <c r="E1513" t="s">
        <v>722</v>
      </c>
      <c r="F1513" t="s">
        <v>56</v>
      </c>
      <c r="G1513" t="s">
        <v>47072</v>
      </c>
      <c r="H1513" t="s">
        <v>47054</v>
      </c>
      <c r="I1513" t="s">
        <v>47114</v>
      </c>
      <c r="J1513" t="s">
        <v>47115</v>
      </c>
      <c r="K1513" t="s">
        <v>47113</v>
      </c>
      <c r="L1513">
        <v>16.96</v>
      </c>
      <c r="M1513">
        <v>43</v>
      </c>
      <c r="N1513">
        <v>0</v>
      </c>
      <c r="O1513">
        <v>43</v>
      </c>
      <c r="P1513">
        <v>0</v>
      </c>
    </row>
    <row r="1514" spans="1:16" x14ac:dyDescent="0.25">
      <c r="A1514" t="s">
        <v>23972</v>
      </c>
      <c r="B1514" t="s">
        <v>2555</v>
      </c>
      <c r="C1514" t="s">
        <v>2556</v>
      </c>
      <c r="D1514" t="s">
        <v>2117</v>
      </c>
      <c r="E1514" t="s">
        <v>2118</v>
      </c>
      <c r="F1514" t="s">
        <v>56</v>
      </c>
      <c r="G1514" t="s">
        <v>47072</v>
      </c>
      <c r="H1514" t="s">
        <v>47054</v>
      </c>
      <c r="I1514" t="s">
        <v>47114</v>
      </c>
      <c r="J1514" t="s">
        <v>47115</v>
      </c>
      <c r="K1514" t="s">
        <v>47113</v>
      </c>
      <c r="L1514">
        <v>21.17</v>
      </c>
      <c r="M1514">
        <v>54</v>
      </c>
      <c r="N1514">
        <v>0</v>
      </c>
      <c r="O1514">
        <v>54</v>
      </c>
      <c r="P1514">
        <v>0</v>
      </c>
    </row>
    <row r="1515" spans="1:16" x14ac:dyDescent="0.25">
      <c r="A1515" t="s">
        <v>23973</v>
      </c>
      <c r="B1515" t="s">
        <v>2555</v>
      </c>
      <c r="C1515" t="s">
        <v>2556</v>
      </c>
      <c r="D1515" t="s">
        <v>2028</v>
      </c>
      <c r="E1515" t="s">
        <v>2029</v>
      </c>
      <c r="F1515" t="s">
        <v>56</v>
      </c>
      <c r="G1515" t="s">
        <v>47072</v>
      </c>
      <c r="H1515" t="s">
        <v>47054</v>
      </c>
      <c r="I1515" t="s">
        <v>47114</v>
      </c>
      <c r="J1515" t="s">
        <v>47115</v>
      </c>
      <c r="K1515" t="s">
        <v>47113</v>
      </c>
      <c r="L1515">
        <v>21.86</v>
      </c>
      <c r="M1515">
        <v>56</v>
      </c>
      <c r="N1515">
        <v>0</v>
      </c>
      <c r="O1515">
        <v>56</v>
      </c>
      <c r="P1515">
        <v>0</v>
      </c>
    </row>
    <row r="1516" spans="1:16" x14ac:dyDescent="0.25">
      <c r="A1516" t="s">
        <v>23974</v>
      </c>
      <c r="B1516" t="s">
        <v>2557</v>
      </c>
      <c r="C1516" t="s">
        <v>2558</v>
      </c>
      <c r="D1516" t="s">
        <v>629</v>
      </c>
      <c r="E1516" t="s">
        <v>630</v>
      </c>
      <c r="F1516" t="s">
        <v>7</v>
      </c>
      <c r="G1516" t="s">
        <v>47072</v>
      </c>
      <c r="H1516" t="s">
        <v>47054</v>
      </c>
      <c r="I1516" t="s">
        <v>47116</v>
      </c>
      <c r="J1516" t="s">
        <v>47117</v>
      </c>
      <c r="K1516" t="s">
        <v>47113</v>
      </c>
      <c r="L1516">
        <v>21.14</v>
      </c>
      <c r="M1516">
        <v>59</v>
      </c>
      <c r="N1516">
        <v>0</v>
      </c>
      <c r="O1516">
        <v>59</v>
      </c>
      <c r="P1516">
        <v>0</v>
      </c>
    </row>
    <row r="1517" spans="1:16" x14ac:dyDescent="0.25">
      <c r="A1517" t="s">
        <v>23975</v>
      </c>
      <c r="B1517" t="s">
        <v>2557</v>
      </c>
      <c r="C1517" t="s">
        <v>2558</v>
      </c>
      <c r="D1517" t="s">
        <v>22</v>
      </c>
      <c r="E1517" t="s">
        <v>23</v>
      </c>
      <c r="F1517" t="s">
        <v>7</v>
      </c>
      <c r="G1517" t="s">
        <v>47072</v>
      </c>
      <c r="H1517" t="s">
        <v>47054</v>
      </c>
      <c r="I1517" t="s">
        <v>47116</v>
      </c>
      <c r="J1517" t="s">
        <v>47117</v>
      </c>
      <c r="K1517" t="s">
        <v>47113</v>
      </c>
      <c r="L1517">
        <v>20.54</v>
      </c>
      <c r="M1517">
        <v>57</v>
      </c>
      <c r="N1517">
        <v>0</v>
      </c>
      <c r="O1517">
        <v>57</v>
      </c>
      <c r="P1517">
        <v>0</v>
      </c>
    </row>
    <row r="1518" spans="1:16" x14ac:dyDescent="0.25">
      <c r="A1518" t="s">
        <v>23976</v>
      </c>
      <c r="B1518" t="s">
        <v>2559</v>
      </c>
      <c r="C1518" t="s">
        <v>2560</v>
      </c>
      <c r="D1518" t="s">
        <v>629</v>
      </c>
      <c r="E1518" t="s">
        <v>630</v>
      </c>
      <c r="F1518" t="s">
        <v>7</v>
      </c>
      <c r="G1518" t="s">
        <v>47072</v>
      </c>
      <c r="H1518" t="s">
        <v>47054</v>
      </c>
      <c r="I1518" t="s">
        <v>47116</v>
      </c>
      <c r="J1518" t="s">
        <v>47117</v>
      </c>
      <c r="K1518" t="s">
        <v>47113</v>
      </c>
      <c r="L1518">
        <v>24.01</v>
      </c>
      <c r="M1518">
        <v>58</v>
      </c>
      <c r="N1518">
        <v>0</v>
      </c>
      <c r="O1518">
        <v>58</v>
      </c>
      <c r="P1518">
        <v>0</v>
      </c>
    </row>
    <row r="1519" spans="1:16" x14ac:dyDescent="0.25">
      <c r="A1519" t="s">
        <v>23977</v>
      </c>
      <c r="B1519" t="s">
        <v>2559</v>
      </c>
      <c r="C1519" t="s">
        <v>2560</v>
      </c>
      <c r="D1519" t="s">
        <v>22</v>
      </c>
      <c r="E1519" t="s">
        <v>23</v>
      </c>
      <c r="F1519" t="s">
        <v>7</v>
      </c>
      <c r="G1519" t="s">
        <v>47072</v>
      </c>
      <c r="H1519" t="s">
        <v>47054</v>
      </c>
      <c r="I1519" t="s">
        <v>47116</v>
      </c>
      <c r="J1519" t="s">
        <v>47117</v>
      </c>
      <c r="K1519" t="s">
        <v>47113</v>
      </c>
      <c r="L1519">
        <v>20.5</v>
      </c>
      <c r="M1519">
        <v>57</v>
      </c>
      <c r="N1519">
        <v>0</v>
      </c>
      <c r="O1519">
        <v>57</v>
      </c>
      <c r="P1519">
        <v>0</v>
      </c>
    </row>
    <row r="1520" spans="1:16" x14ac:dyDescent="0.25">
      <c r="A1520" t="s">
        <v>23978</v>
      </c>
      <c r="B1520" t="s">
        <v>2561</v>
      </c>
      <c r="C1520" t="s">
        <v>2562</v>
      </c>
      <c r="D1520" t="s">
        <v>2529</v>
      </c>
      <c r="E1520" t="s">
        <v>2530</v>
      </c>
      <c r="F1520" t="s">
        <v>7</v>
      </c>
      <c r="G1520" t="s">
        <v>47072</v>
      </c>
      <c r="H1520" t="s">
        <v>47054</v>
      </c>
      <c r="I1520" t="s">
        <v>47116</v>
      </c>
      <c r="J1520" t="s">
        <v>47117</v>
      </c>
      <c r="K1520" t="s">
        <v>47113</v>
      </c>
      <c r="L1520">
        <v>19.96</v>
      </c>
      <c r="M1520">
        <v>45</v>
      </c>
      <c r="N1520">
        <v>0</v>
      </c>
      <c r="O1520">
        <v>45</v>
      </c>
      <c r="P1520">
        <v>0</v>
      </c>
    </row>
    <row r="1521" spans="1:16" x14ac:dyDescent="0.25">
      <c r="A1521" t="s">
        <v>23979</v>
      </c>
      <c r="B1521" t="s">
        <v>2563</v>
      </c>
      <c r="C1521" t="s">
        <v>2564</v>
      </c>
      <c r="D1521" t="s">
        <v>983</v>
      </c>
      <c r="E1521" t="s">
        <v>984</v>
      </c>
      <c r="F1521" t="s">
        <v>7</v>
      </c>
      <c r="G1521" t="s">
        <v>47072</v>
      </c>
      <c r="H1521" t="s">
        <v>47054</v>
      </c>
      <c r="I1521" t="s">
        <v>47116</v>
      </c>
      <c r="J1521" t="s">
        <v>47117</v>
      </c>
      <c r="K1521" t="s">
        <v>47113</v>
      </c>
      <c r="L1521">
        <v>26.12</v>
      </c>
      <c r="M1521">
        <v>63</v>
      </c>
      <c r="N1521">
        <v>0</v>
      </c>
      <c r="O1521">
        <v>63</v>
      </c>
      <c r="P1521">
        <v>0</v>
      </c>
    </row>
    <row r="1522" spans="1:16" x14ac:dyDescent="0.25">
      <c r="A1522" t="s">
        <v>23980</v>
      </c>
      <c r="B1522" t="s">
        <v>2565</v>
      </c>
      <c r="C1522" t="s">
        <v>2566</v>
      </c>
      <c r="D1522" t="s">
        <v>2567</v>
      </c>
      <c r="E1522" t="s">
        <v>2568</v>
      </c>
      <c r="F1522" t="s">
        <v>7</v>
      </c>
      <c r="G1522" t="s">
        <v>47076</v>
      </c>
      <c r="H1522" t="s">
        <v>47054</v>
      </c>
      <c r="I1522" t="s">
        <v>47120</v>
      </c>
      <c r="J1522" t="s">
        <v>47121</v>
      </c>
      <c r="K1522" t="s">
        <v>47113</v>
      </c>
      <c r="L1522">
        <v>35.840000000000003</v>
      </c>
      <c r="M1522">
        <v>90</v>
      </c>
      <c r="N1522">
        <v>0</v>
      </c>
      <c r="O1522">
        <v>90</v>
      </c>
      <c r="P1522">
        <v>0</v>
      </c>
    </row>
    <row r="1523" spans="1:16" x14ac:dyDescent="0.25">
      <c r="A1523" t="s">
        <v>14781</v>
      </c>
      <c r="B1523" t="s">
        <v>2569</v>
      </c>
      <c r="C1523" t="s">
        <v>2570</v>
      </c>
      <c r="D1523" t="s">
        <v>721</v>
      </c>
      <c r="E1523" t="s">
        <v>722</v>
      </c>
      <c r="F1523" t="s">
        <v>0</v>
      </c>
      <c r="G1523" t="s">
        <v>47135</v>
      </c>
      <c r="H1523" t="s">
        <v>47054</v>
      </c>
      <c r="I1523" t="s">
        <v>47116</v>
      </c>
      <c r="J1523" t="s">
        <v>47117</v>
      </c>
      <c r="K1523" t="s">
        <v>47113</v>
      </c>
      <c r="L1523">
        <v>14.89</v>
      </c>
      <c r="M1523">
        <v>37</v>
      </c>
      <c r="N1523">
        <v>0</v>
      </c>
      <c r="O1523">
        <v>37</v>
      </c>
      <c r="P1523">
        <v>0</v>
      </c>
    </row>
    <row r="1524" spans="1:16" x14ac:dyDescent="0.25">
      <c r="A1524" t="s">
        <v>23981</v>
      </c>
      <c r="B1524" t="s">
        <v>2569</v>
      </c>
      <c r="C1524" t="s">
        <v>2570</v>
      </c>
      <c r="D1524" t="s">
        <v>2403</v>
      </c>
      <c r="E1524" t="s">
        <v>2404</v>
      </c>
      <c r="F1524" t="s">
        <v>0</v>
      </c>
      <c r="G1524" t="s">
        <v>47135</v>
      </c>
      <c r="H1524" t="s">
        <v>47054</v>
      </c>
      <c r="I1524" t="s">
        <v>47116</v>
      </c>
      <c r="J1524" t="s">
        <v>47117</v>
      </c>
      <c r="K1524" t="s">
        <v>47113</v>
      </c>
      <c r="L1524">
        <v>23.51</v>
      </c>
      <c r="M1524">
        <v>57</v>
      </c>
      <c r="N1524">
        <v>0</v>
      </c>
      <c r="O1524">
        <v>57</v>
      </c>
      <c r="P1524">
        <v>0</v>
      </c>
    </row>
    <row r="1525" spans="1:16" x14ac:dyDescent="0.25">
      <c r="A1525" t="s">
        <v>23982</v>
      </c>
      <c r="B1525" t="s">
        <v>2569</v>
      </c>
      <c r="C1525" t="s">
        <v>2570</v>
      </c>
      <c r="D1525" t="s">
        <v>2405</v>
      </c>
      <c r="E1525" t="s">
        <v>2406</v>
      </c>
      <c r="F1525" t="s">
        <v>0</v>
      </c>
      <c r="G1525" t="s">
        <v>47135</v>
      </c>
      <c r="H1525" t="s">
        <v>47054</v>
      </c>
      <c r="I1525" t="s">
        <v>47116</v>
      </c>
      <c r="J1525" t="s">
        <v>47117</v>
      </c>
      <c r="K1525" t="s">
        <v>47113</v>
      </c>
      <c r="L1525">
        <v>18.920000000000002</v>
      </c>
      <c r="M1525">
        <v>46</v>
      </c>
      <c r="N1525">
        <v>0</v>
      </c>
      <c r="O1525">
        <v>46</v>
      </c>
      <c r="P1525">
        <v>0</v>
      </c>
    </row>
    <row r="1526" spans="1:16" x14ac:dyDescent="0.25">
      <c r="A1526" t="s">
        <v>23983</v>
      </c>
      <c r="B1526" t="s">
        <v>14637</v>
      </c>
      <c r="C1526" t="s">
        <v>14636</v>
      </c>
      <c r="D1526" t="str">
        <f>"11"</f>
        <v>11</v>
      </c>
      <c r="E1526" t="s">
        <v>288</v>
      </c>
      <c r="F1526" t="s">
        <v>3750</v>
      </c>
      <c r="G1526" t="s">
        <v>47072</v>
      </c>
      <c r="H1526" t="s">
        <v>47054</v>
      </c>
      <c r="I1526" t="s">
        <v>47116</v>
      </c>
      <c r="J1526" t="s">
        <v>47117</v>
      </c>
      <c r="K1526" t="s">
        <v>47113</v>
      </c>
      <c r="L1526">
        <v>12.89</v>
      </c>
      <c r="M1526">
        <v>45</v>
      </c>
      <c r="N1526">
        <v>0</v>
      </c>
      <c r="O1526">
        <v>45</v>
      </c>
      <c r="P1526">
        <v>0</v>
      </c>
    </row>
    <row r="1527" spans="1:16" x14ac:dyDescent="0.25">
      <c r="A1527" t="s">
        <v>23984</v>
      </c>
      <c r="B1527" t="s">
        <v>14635</v>
      </c>
      <c r="C1527" t="s">
        <v>14634</v>
      </c>
      <c r="D1527" t="s">
        <v>14622</v>
      </c>
      <c r="E1527" t="s">
        <v>14621</v>
      </c>
      <c r="F1527" t="s">
        <v>3750</v>
      </c>
      <c r="G1527" t="s">
        <v>47072</v>
      </c>
      <c r="H1527" t="s">
        <v>47054</v>
      </c>
      <c r="I1527" t="s">
        <v>47116</v>
      </c>
      <c r="J1527" t="s">
        <v>47117</v>
      </c>
      <c r="K1527" t="s">
        <v>47113</v>
      </c>
      <c r="L1527">
        <v>21.4</v>
      </c>
      <c r="M1527">
        <v>57</v>
      </c>
      <c r="N1527">
        <v>0</v>
      </c>
      <c r="O1527">
        <v>57</v>
      </c>
      <c r="P1527">
        <v>0</v>
      </c>
    </row>
    <row r="1528" spans="1:16" x14ac:dyDescent="0.25">
      <c r="A1528" t="s">
        <v>23985</v>
      </c>
      <c r="B1528" t="s">
        <v>14155</v>
      </c>
      <c r="C1528" t="s">
        <v>14156</v>
      </c>
      <c r="D1528" t="str">
        <f>"11"</f>
        <v>11</v>
      </c>
      <c r="E1528" t="s">
        <v>288</v>
      </c>
      <c r="F1528" t="s">
        <v>3750</v>
      </c>
      <c r="G1528" t="s">
        <v>47072</v>
      </c>
      <c r="H1528" t="s">
        <v>47054</v>
      </c>
      <c r="I1528" t="s">
        <v>47116</v>
      </c>
      <c r="J1528" t="s">
        <v>47117</v>
      </c>
      <c r="K1528" t="s">
        <v>47113</v>
      </c>
      <c r="L1528">
        <v>12.98</v>
      </c>
      <c r="M1528">
        <v>45</v>
      </c>
      <c r="N1528">
        <v>0</v>
      </c>
      <c r="O1528">
        <v>45</v>
      </c>
      <c r="P1528">
        <v>0</v>
      </c>
    </row>
    <row r="1529" spans="1:16" x14ac:dyDescent="0.25">
      <c r="A1529" t="s">
        <v>23986</v>
      </c>
      <c r="B1529" t="s">
        <v>14633</v>
      </c>
      <c r="C1529" t="s">
        <v>14632</v>
      </c>
      <c r="D1529" t="s">
        <v>14165</v>
      </c>
      <c r="E1529" t="s">
        <v>14166</v>
      </c>
      <c r="F1529" t="s">
        <v>3750</v>
      </c>
      <c r="G1529" t="s">
        <v>47072</v>
      </c>
      <c r="H1529" t="s">
        <v>47054</v>
      </c>
      <c r="I1529" t="s">
        <v>47116</v>
      </c>
      <c r="J1529" t="s">
        <v>47117</v>
      </c>
      <c r="K1529" t="s">
        <v>47113</v>
      </c>
      <c r="L1529">
        <v>12.89</v>
      </c>
      <c r="M1529">
        <v>45</v>
      </c>
      <c r="N1529">
        <v>0</v>
      </c>
      <c r="O1529">
        <v>45</v>
      </c>
      <c r="P1529">
        <v>0</v>
      </c>
    </row>
    <row r="1530" spans="1:16" x14ac:dyDescent="0.25">
      <c r="A1530" t="s">
        <v>23987</v>
      </c>
      <c r="B1530" t="s">
        <v>14157</v>
      </c>
      <c r="C1530" t="s">
        <v>14158</v>
      </c>
      <c r="D1530" t="s">
        <v>14159</v>
      </c>
      <c r="E1530" t="s">
        <v>14160</v>
      </c>
      <c r="F1530" t="s">
        <v>3750</v>
      </c>
      <c r="G1530" t="s">
        <v>47072</v>
      </c>
      <c r="H1530" t="s">
        <v>47054</v>
      </c>
      <c r="I1530" t="s">
        <v>47116</v>
      </c>
      <c r="J1530" t="s">
        <v>47117</v>
      </c>
      <c r="K1530" t="s">
        <v>47113</v>
      </c>
      <c r="L1530">
        <v>12.98</v>
      </c>
      <c r="M1530">
        <v>45</v>
      </c>
      <c r="N1530">
        <v>0</v>
      </c>
      <c r="O1530">
        <v>45</v>
      </c>
      <c r="P1530">
        <v>0</v>
      </c>
    </row>
    <row r="1531" spans="1:16" x14ac:dyDescent="0.25">
      <c r="A1531" t="s">
        <v>23988</v>
      </c>
      <c r="B1531" t="s">
        <v>14157</v>
      </c>
      <c r="C1531" t="s">
        <v>14158</v>
      </c>
      <c r="D1531" t="s">
        <v>14161</v>
      </c>
      <c r="E1531" t="s">
        <v>14162</v>
      </c>
      <c r="F1531" t="s">
        <v>3750</v>
      </c>
      <c r="G1531" t="s">
        <v>47072</v>
      </c>
      <c r="H1531" t="s">
        <v>47054</v>
      </c>
      <c r="I1531" t="s">
        <v>47116</v>
      </c>
      <c r="J1531" t="s">
        <v>47117</v>
      </c>
      <c r="K1531" t="s">
        <v>47113</v>
      </c>
      <c r="L1531">
        <v>12.98</v>
      </c>
      <c r="M1531">
        <v>45</v>
      </c>
      <c r="N1531">
        <v>0</v>
      </c>
      <c r="O1531">
        <v>45</v>
      </c>
      <c r="P1531">
        <v>0</v>
      </c>
    </row>
    <row r="1532" spans="1:16" x14ac:dyDescent="0.25">
      <c r="A1532" t="s">
        <v>23989</v>
      </c>
      <c r="B1532" t="s">
        <v>14163</v>
      </c>
      <c r="C1532" t="s">
        <v>14164</v>
      </c>
      <c r="D1532" t="s">
        <v>14165</v>
      </c>
      <c r="E1532" t="s">
        <v>14166</v>
      </c>
      <c r="F1532" t="s">
        <v>3750</v>
      </c>
      <c r="G1532" t="s">
        <v>47072</v>
      </c>
      <c r="H1532" t="s">
        <v>47054</v>
      </c>
      <c r="I1532" t="s">
        <v>47116</v>
      </c>
      <c r="J1532" t="s">
        <v>47117</v>
      </c>
      <c r="K1532" t="s">
        <v>47113</v>
      </c>
      <c r="L1532">
        <v>11.17</v>
      </c>
      <c r="M1532">
        <v>39</v>
      </c>
      <c r="N1532">
        <v>0</v>
      </c>
      <c r="O1532">
        <v>39</v>
      </c>
      <c r="P1532">
        <v>0</v>
      </c>
    </row>
    <row r="1533" spans="1:16" x14ac:dyDescent="0.25">
      <c r="A1533" t="s">
        <v>23990</v>
      </c>
      <c r="B1533" t="s">
        <v>14167</v>
      </c>
      <c r="C1533" t="s">
        <v>14168</v>
      </c>
      <c r="D1533" t="s">
        <v>14169</v>
      </c>
      <c r="E1533" t="s">
        <v>14170</v>
      </c>
      <c r="F1533" t="s">
        <v>3750</v>
      </c>
      <c r="G1533" t="s">
        <v>47072</v>
      </c>
      <c r="H1533" t="s">
        <v>47054</v>
      </c>
      <c r="I1533" t="s">
        <v>47116</v>
      </c>
      <c r="J1533" t="s">
        <v>47117</v>
      </c>
      <c r="K1533" t="s">
        <v>47113</v>
      </c>
      <c r="L1533">
        <v>11.17</v>
      </c>
      <c r="M1533">
        <v>39</v>
      </c>
      <c r="N1533">
        <v>0</v>
      </c>
      <c r="O1533">
        <v>39</v>
      </c>
      <c r="P1533">
        <v>0</v>
      </c>
    </row>
    <row r="1534" spans="1:16" x14ac:dyDescent="0.25">
      <c r="A1534" t="s">
        <v>23991</v>
      </c>
      <c r="B1534" t="s">
        <v>2571</v>
      </c>
      <c r="C1534" t="s">
        <v>2572</v>
      </c>
      <c r="D1534" t="s">
        <v>721</v>
      </c>
      <c r="E1534" t="s">
        <v>722</v>
      </c>
      <c r="F1534" t="s">
        <v>0</v>
      </c>
      <c r="G1534" t="s">
        <v>47074</v>
      </c>
      <c r="H1534" t="s">
        <v>47054</v>
      </c>
      <c r="I1534" t="s">
        <v>47116</v>
      </c>
      <c r="J1534" t="s">
        <v>47117</v>
      </c>
      <c r="K1534" t="s">
        <v>47113</v>
      </c>
      <c r="L1534">
        <v>24.93</v>
      </c>
      <c r="M1534">
        <v>61</v>
      </c>
      <c r="N1534">
        <v>0</v>
      </c>
      <c r="O1534">
        <v>61</v>
      </c>
      <c r="P1534">
        <v>0</v>
      </c>
    </row>
    <row r="1535" spans="1:16" x14ac:dyDescent="0.25">
      <c r="A1535" t="s">
        <v>23992</v>
      </c>
      <c r="B1535" t="s">
        <v>2573</v>
      </c>
      <c r="C1535" t="s">
        <v>2574</v>
      </c>
      <c r="D1535" t="str">
        <f>"3535"</f>
        <v>3535</v>
      </c>
      <c r="E1535" t="s">
        <v>2575</v>
      </c>
      <c r="F1535" t="s">
        <v>2068</v>
      </c>
      <c r="G1535" t="s">
        <v>47074</v>
      </c>
      <c r="H1535" t="s">
        <v>47071</v>
      </c>
      <c r="I1535" t="s">
        <v>47118</v>
      </c>
      <c r="J1535" t="s">
        <v>47119</v>
      </c>
      <c r="K1535" t="s">
        <v>47113</v>
      </c>
      <c r="L1535">
        <v>24.56</v>
      </c>
      <c r="M1535">
        <v>57</v>
      </c>
      <c r="N1535">
        <v>0</v>
      </c>
      <c r="O1535">
        <v>57</v>
      </c>
      <c r="P1535">
        <v>0</v>
      </c>
    </row>
    <row r="1536" spans="1:16" x14ac:dyDescent="0.25">
      <c r="A1536" t="s">
        <v>23993</v>
      </c>
      <c r="B1536" t="s">
        <v>2576</v>
      </c>
      <c r="C1536" t="s">
        <v>2574</v>
      </c>
      <c r="D1536" t="str">
        <f>"3535"</f>
        <v>3535</v>
      </c>
      <c r="E1536" t="s">
        <v>2575</v>
      </c>
      <c r="F1536" t="s">
        <v>2068</v>
      </c>
      <c r="G1536" t="s">
        <v>47074</v>
      </c>
      <c r="H1536" t="s">
        <v>47071</v>
      </c>
      <c r="I1536" t="s">
        <v>47118</v>
      </c>
      <c r="J1536" t="s">
        <v>47119</v>
      </c>
      <c r="K1536" t="s">
        <v>47113</v>
      </c>
      <c r="L1536">
        <v>24.54</v>
      </c>
      <c r="M1536">
        <v>57</v>
      </c>
      <c r="N1536">
        <v>0</v>
      </c>
      <c r="O1536">
        <v>57</v>
      </c>
      <c r="P1536">
        <v>0</v>
      </c>
    </row>
    <row r="1537" spans="1:16" x14ac:dyDescent="0.25">
      <c r="A1537" t="s">
        <v>23994</v>
      </c>
      <c r="B1537" t="s">
        <v>14171</v>
      </c>
      <c r="C1537" t="s">
        <v>14172</v>
      </c>
      <c r="D1537" t="s">
        <v>721</v>
      </c>
      <c r="E1537" t="s">
        <v>722</v>
      </c>
      <c r="F1537" t="s">
        <v>3750</v>
      </c>
      <c r="G1537" t="s">
        <v>47072</v>
      </c>
      <c r="H1537" t="s">
        <v>47054</v>
      </c>
      <c r="I1537" t="s">
        <v>47116</v>
      </c>
      <c r="J1537" t="s">
        <v>47117</v>
      </c>
      <c r="K1537" t="s">
        <v>47113</v>
      </c>
      <c r="L1537">
        <v>11.17</v>
      </c>
      <c r="M1537">
        <v>39</v>
      </c>
      <c r="N1537">
        <v>0</v>
      </c>
      <c r="O1537">
        <v>39</v>
      </c>
      <c r="P1537">
        <v>0</v>
      </c>
    </row>
    <row r="1538" spans="1:16" x14ac:dyDescent="0.25">
      <c r="A1538" t="s">
        <v>23995</v>
      </c>
      <c r="B1538" t="s">
        <v>2577</v>
      </c>
      <c r="C1538" t="s">
        <v>2578</v>
      </c>
      <c r="D1538" t="str">
        <f>"4566"</f>
        <v>4566</v>
      </c>
      <c r="E1538" t="s">
        <v>2579</v>
      </c>
      <c r="F1538" t="s">
        <v>2</v>
      </c>
      <c r="G1538" t="s">
        <v>47074</v>
      </c>
      <c r="H1538" t="s">
        <v>47054</v>
      </c>
      <c r="I1538" t="s">
        <v>47116</v>
      </c>
      <c r="J1538" t="s">
        <v>47117</v>
      </c>
      <c r="K1538" t="s">
        <v>47113</v>
      </c>
      <c r="L1538">
        <v>44.17</v>
      </c>
      <c r="M1538">
        <v>116</v>
      </c>
      <c r="N1538">
        <v>0</v>
      </c>
      <c r="O1538">
        <v>116</v>
      </c>
      <c r="P1538">
        <v>0</v>
      </c>
    </row>
    <row r="1539" spans="1:16" x14ac:dyDescent="0.25">
      <c r="A1539" t="s">
        <v>23996</v>
      </c>
      <c r="B1539" t="s">
        <v>2580</v>
      </c>
      <c r="C1539" t="s">
        <v>2581</v>
      </c>
      <c r="D1539" t="str">
        <f>"1209"</f>
        <v>1209</v>
      </c>
      <c r="E1539" t="s">
        <v>2582</v>
      </c>
      <c r="F1539" t="s">
        <v>2</v>
      </c>
      <c r="G1539" t="s">
        <v>47074</v>
      </c>
      <c r="H1539" t="s">
        <v>47054</v>
      </c>
      <c r="I1539" t="s">
        <v>47116</v>
      </c>
      <c r="J1539" t="s">
        <v>47117</v>
      </c>
      <c r="K1539" t="s">
        <v>47113</v>
      </c>
      <c r="L1539">
        <v>31.74</v>
      </c>
      <c r="M1539">
        <v>73</v>
      </c>
      <c r="N1539">
        <v>0</v>
      </c>
      <c r="O1539">
        <v>73</v>
      </c>
      <c r="P1539">
        <v>0</v>
      </c>
    </row>
    <row r="1540" spans="1:16" x14ac:dyDescent="0.25">
      <c r="A1540" t="s">
        <v>23997</v>
      </c>
      <c r="B1540" t="s">
        <v>2583</v>
      </c>
      <c r="C1540" t="s">
        <v>2584</v>
      </c>
      <c r="D1540" t="str">
        <f>"3190"</f>
        <v>3190</v>
      </c>
      <c r="E1540" t="s">
        <v>1748</v>
      </c>
      <c r="F1540" t="s">
        <v>2068</v>
      </c>
      <c r="G1540" t="s">
        <v>47074</v>
      </c>
      <c r="H1540" t="s">
        <v>47071</v>
      </c>
      <c r="I1540" t="s">
        <v>47118</v>
      </c>
      <c r="J1540" t="s">
        <v>47119</v>
      </c>
      <c r="K1540" t="s">
        <v>47113</v>
      </c>
      <c r="L1540">
        <v>48.11</v>
      </c>
      <c r="M1540">
        <v>111</v>
      </c>
      <c r="N1540">
        <v>0</v>
      </c>
      <c r="O1540">
        <v>111</v>
      </c>
      <c r="P1540">
        <v>0</v>
      </c>
    </row>
    <row r="1541" spans="1:16" x14ac:dyDescent="0.25">
      <c r="A1541" t="s">
        <v>23998</v>
      </c>
      <c r="B1541" t="s">
        <v>2583</v>
      </c>
      <c r="C1541" t="s">
        <v>2584</v>
      </c>
      <c r="D1541" t="str">
        <f>"3538"</f>
        <v>3538</v>
      </c>
      <c r="E1541" t="s">
        <v>2585</v>
      </c>
      <c r="F1541" t="s">
        <v>2068</v>
      </c>
      <c r="G1541" t="s">
        <v>47074</v>
      </c>
      <c r="H1541" t="s">
        <v>47071</v>
      </c>
      <c r="I1541" t="s">
        <v>47118</v>
      </c>
      <c r="J1541" t="s">
        <v>47119</v>
      </c>
      <c r="K1541" t="s">
        <v>47113</v>
      </c>
      <c r="L1541">
        <v>30.07</v>
      </c>
      <c r="M1541">
        <v>70</v>
      </c>
      <c r="N1541">
        <v>0</v>
      </c>
      <c r="O1541">
        <v>70</v>
      </c>
      <c r="P1541">
        <v>0</v>
      </c>
    </row>
    <row r="1542" spans="1:16" x14ac:dyDescent="0.25">
      <c r="A1542" t="s">
        <v>23999</v>
      </c>
      <c r="B1542" t="s">
        <v>2586</v>
      </c>
      <c r="C1542" t="s">
        <v>2584</v>
      </c>
      <c r="D1542" t="str">
        <f>"1821"</f>
        <v>1821</v>
      </c>
      <c r="E1542" t="s">
        <v>590</v>
      </c>
      <c r="F1542" t="s">
        <v>6</v>
      </c>
      <c r="G1542" t="s">
        <v>47074</v>
      </c>
      <c r="H1542" t="s">
        <v>47054</v>
      </c>
      <c r="I1542" t="s">
        <v>47116</v>
      </c>
      <c r="J1542" t="s">
        <v>47117</v>
      </c>
      <c r="K1542" t="s">
        <v>47113</v>
      </c>
      <c r="L1542">
        <v>45.37</v>
      </c>
      <c r="M1542">
        <v>112</v>
      </c>
      <c r="N1542">
        <v>0</v>
      </c>
      <c r="O1542">
        <v>112</v>
      </c>
      <c r="P1542">
        <v>0</v>
      </c>
    </row>
    <row r="1543" spans="1:16" x14ac:dyDescent="0.25">
      <c r="A1543" t="s">
        <v>24000</v>
      </c>
      <c r="B1543" t="s">
        <v>2587</v>
      </c>
      <c r="C1543" t="s">
        <v>2584</v>
      </c>
      <c r="D1543" t="str">
        <f>"3538"</f>
        <v>3538</v>
      </c>
      <c r="E1543" t="s">
        <v>2585</v>
      </c>
      <c r="F1543" t="s">
        <v>2068</v>
      </c>
      <c r="G1543" t="s">
        <v>47074</v>
      </c>
      <c r="H1543" t="s">
        <v>47071</v>
      </c>
      <c r="I1543" t="s">
        <v>47118</v>
      </c>
      <c r="J1543" t="s">
        <v>47119</v>
      </c>
      <c r="K1543" t="s">
        <v>47113</v>
      </c>
      <c r="L1543">
        <v>30.07</v>
      </c>
      <c r="M1543">
        <v>70</v>
      </c>
      <c r="N1543">
        <v>0</v>
      </c>
      <c r="O1543">
        <v>70</v>
      </c>
      <c r="P1543">
        <v>0</v>
      </c>
    </row>
    <row r="1544" spans="1:16" x14ac:dyDescent="0.25">
      <c r="A1544" t="s">
        <v>24001</v>
      </c>
      <c r="B1544" t="s">
        <v>2588</v>
      </c>
      <c r="C1544" t="s">
        <v>2589</v>
      </c>
      <c r="D1544" t="str">
        <f>"2647"</f>
        <v>2647</v>
      </c>
      <c r="E1544" t="s">
        <v>2590</v>
      </c>
      <c r="F1544" t="s">
        <v>5</v>
      </c>
      <c r="G1544" t="s">
        <v>47072</v>
      </c>
      <c r="H1544" t="s">
        <v>47054</v>
      </c>
      <c r="I1544" t="s">
        <v>47116</v>
      </c>
      <c r="J1544" t="s">
        <v>47117</v>
      </c>
      <c r="K1544" t="s">
        <v>47113</v>
      </c>
      <c r="L1544">
        <v>25.17</v>
      </c>
      <c r="M1544">
        <v>63</v>
      </c>
      <c r="N1544">
        <v>0</v>
      </c>
      <c r="O1544">
        <v>63</v>
      </c>
      <c r="P1544">
        <v>0</v>
      </c>
    </row>
    <row r="1545" spans="1:16" x14ac:dyDescent="0.25">
      <c r="A1545" t="s">
        <v>24002</v>
      </c>
      <c r="B1545" t="s">
        <v>2588</v>
      </c>
      <c r="C1545" t="s">
        <v>2589</v>
      </c>
      <c r="D1545" t="str">
        <f>"3436"</f>
        <v>3436</v>
      </c>
      <c r="E1545" t="s">
        <v>2591</v>
      </c>
      <c r="F1545" t="s">
        <v>5</v>
      </c>
      <c r="G1545" t="s">
        <v>47072</v>
      </c>
      <c r="H1545" t="s">
        <v>47054</v>
      </c>
      <c r="I1545" t="s">
        <v>47116</v>
      </c>
      <c r="J1545" t="s">
        <v>47117</v>
      </c>
      <c r="K1545" t="s">
        <v>47113</v>
      </c>
      <c r="L1545">
        <v>25.17</v>
      </c>
      <c r="M1545">
        <v>63</v>
      </c>
      <c r="N1545">
        <v>0</v>
      </c>
      <c r="O1545">
        <v>63</v>
      </c>
      <c r="P1545">
        <v>0</v>
      </c>
    </row>
    <row r="1546" spans="1:16" x14ac:dyDescent="0.25">
      <c r="A1546" t="s">
        <v>14782</v>
      </c>
      <c r="B1546" t="s">
        <v>2592</v>
      </c>
      <c r="C1546" t="s">
        <v>2593</v>
      </c>
      <c r="D1546" t="str">
        <f>"1519"</f>
        <v>1519</v>
      </c>
      <c r="E1546" t="s">
        <v>2594</v>
      </c>
      <c r="F1546" t="s">
        <v>0</v>
      </c>
      <c r="G1546" t="s">
        <v>47072</v>
      </c>
      <c r="H1546" t="s">
        <v>47054</v>
      </c>
      <c r="I1546" t="s">
        <v>47116</v>
      </c>
      <c r="J1546" t="s">
        <v>47117</v>
      </c>
      <c r="K1546" t="s">
        <v>47113</v>
      </c>
      <c r="L1546">
        <v>23.73</v>
      </c>
      <c r="M1546">
        <v>58</v>
      </c>
      <c r="N1546">
        <v>0</v>
      </c>
      <c r="O1546">
        <v>58</v>
      </c>
      <c r="P1546">
        <v>0</v>
      </c>
    </row>
    <row r="1547" spans="1:16" x14ac:dyDescent="0.25">
      <c r="A1547" t="s">
        <v>24003</v>
      </c>
      <c r="B1547" t="s">
        <v>2592</v>
      </c>
      <c r="C1547" t="s">
        <v>2593</v>
      </c>
      <c r="D1547" t="str">
        <f>"3105"</f>
        <v>3105</v>
      </c>
      <c r="E1547" t="s">
        <v>2595</v>
      </c>
      <c r="F1547" t="s">
        <v>0</v>
      </c>
      <c r="G1547" t="s">
        <v>47072</v>
      </c>
      <c r="H1547" t="s">
        <v>47054</v>
      </c>
      <c r="I1547" t="s">
        <v>47116</v>
      </c>
      <c r="J1547" t="s">
        <v>47117</v>
      </c>
      <c r="K1547" t="s">
        <v>47113</v>
      </c>
      <c r="L1547">
        <v>23.73</v>
      </c>
      <c r="M1547">
        <v>58</v>
      </c>
      <c r="N1547">
        <v>0</v>
      </c>
      <c r="O1547">
        <v>58</v>
      </c>
      <c r="P1547">
        <v>0</v>
      </c>
    </row>
    <row r="1548" spans="1:16" x14ac:dyDescent="0.25">
      <c r="A1548" t="s">
        <v>24004</v>
      </c>
      <c r="B1548" t="s">
        <v>2596</v>
      </c>
      <c r="C1548" t="s">
        <v>2597</v>
      </c>
      <c r="D1548" t="str">
        <f>"6035"</f>
        <v>6035</v>
      </c>
      <c r="E1548" t="s">
        <v>2598</v>
      </c>
      <c r="F1548" t="s">
        <v>2</v>
      </c>
      <c r="G1548" t="s">
        <v>47072</v>
      </c>
      <c r="H1548" t="s">
        <v>47054</v>
      </c>
      <c r="I1548" t="s">
        <v>47116</v>
      </c>
      <c r="J1548" t="s">
        <v>47117</v>
      </c>
      <c r="K1548" t="s">
        <v>47113</v>
      </c>
      <c r="L1548">
        <v>17.989999999999998</v>
      </c>
      <c r="M1548">
        <v>43</v>
      </c>
      <c r="N1548">
        <v>0</v>
      </c>
      <c r="O1548">
        <v>43</v>
      </c>
      <c r="P1548">
        <v>0</v>
      </c>
    </row>
    <row r="1549" spans="1:16" x14ac:dyDescent="0.25">
      <c r="A1549" t="s">
        <v>24005</v>
      </c>
      <c r="B1549" t="s">
        <v>2599</v>
      </c>
      <c r="C1549" t="s">
        <v>2600</v>
      </c>
      <c r="D1549" t="str">
        <f>"6397"</f>
        <v>6397</v>
      </c>
      <c r="E1549" t="s">
        <v>2601</v>
      </c>
      <c r="F1549" t="s">
        <v>0</v>
      </c>
      <c r="G1549" t="s">
        <v>47072</v>
      </c>
      <c r="H1549" t="s">
        <v>47054</v>
      </c>
      <c r="I1549" t="s">
        <v>47116</v>
      </c>
      <c r="J1549" t="s">
        <v>47117</v>
      </c>
      <c r="K1549" t="s">
        <v>47113</v>
      </c>
      <c r="L1549">
        <v>28.45</v>
      </c>
      <c r="M1549">
        <v>70</v>
      </c>
      <c r="N1549">
        <v>0</v>
      </c>
      <c r="O1549">
        <v>70</v>
      </c>
      <c r="P1549">
        <v>0</v>
      </c>
    </row>
    <row r="1550" spans="1:16" x14ac:dyDescent="0.25">
      <c r="A1550" t="s">
        <v>24006</v>
      </c>
      <c r="B1550" t="s">
        <v>2602</v>
      </c>
      <c r="C1550" t="s">
        <v>2603</v>
      </c>
      <c r="D1550" t="str">
        <f>"1439"</f>
        <v>1439</v>
      </c>
      <c r="E1550" t="s">
        <v>2604</v>
      </c>
      <c r="F1550" t="s">
        <v>1</v>
      </c>
      <c r="G1550" t="s">
        <v>47073</v>
      </c>
      <c r="H1550" t="s">
        <v>47054</v>
      </c>
      <c r="I1550" t="s">
        <v>47118</v>
      </c>
      <c r="J1550" t="s">
        <v>47119</v>
      </c>
      <c r="K1550" t="s">
        <v>47113</v>
      </c>
      <c r="L1550">
        <v>18.059999999999999</v>
      </c>
      <c r="M1550">
        <v>38</v>
      </c>
      <c r="N1550">
        <v>0</v>
      </c>
      <c r="O1550">
        <v>38</v>
      </c>
      <c r="P1550">
        <v>0</v>
      </c>
    </row>
    <row r="1551" spans="1:16" x14ac:dyDescent="0.25">
      <c r="A1551" t="s">
        <v>24007</v>
      </c>
      <c r="B1551" t="s">
        <v>2605</v>
      </c>
      <c r="C1551" t="s">
        <v>2606</v>
      </c>
      <c r="D1551" t="str">
        <f>"1100"</f>
        <v>1100</v>
      </c>
      <c r="E1551" t="s">
        <v>54</v>
      </c>
      <c r="F1551" t="s">
        <v>8</v>
      </c>
      <c r="G1551" t="s">
        <v>47073</v>
      </c>
      <c r="H1551" t="s">
        <v>47054</v>
      </c>
      <c r="I1551" t="s">
        <v>47120</v>
      </c>
      <c r="J1551" t="s">
        <v>47121</v>
      </c>
      <c r="K1551" t="s">
        <v>47113</v>
      </c>
      <c r="L1551">
        <v>8.6999999999999993</v>
      </c>
      <c r="M1551">
        <v>25</v>
      </c>
      <c r="N1551">
        <v>0</v>
      </c>
      <c r="O1551">
        <v>25</v>
      </c>
      <c r="P1551">
        <v>0</v>
      </c>
    </row>
    <row r="1552" spans="1:16" x14ac:dyDescent="0.25">
      <c r="A1552" t="s">
        <v>14783</v>
      </c>
      <c r="B1552" t="s">
        <v>2605</v>
      </c>
      <c r="C1552" t="s">
        <v>2606</v>
      </c>
      <c r="D1552" t="str">
        <f>"3190"</f>
        <v>3190</v>
      </c>
      <c r="E1552" t="s">
        <v>1748</v>
      </c>
      <c r="F1552" t="s">
        <v>8</v>
      </c>
      <c r="G1552" t="s">
        <v>47073</v>
      </c>
      <c r="H1552" t="s">
        <v>47054</v>
      </c>
      <c r="I1552" t="s">
        <v>47120</v>
      </c>
      <c r="J1552" t="s">
        <v>47121</v>
      </c>
      <c r="K1552" t="s">
        <v>47113</v>
      </c>
      <c r="L1552">
        <v>8.4700000000000006</v>
      </c>
      <c r="M1552">
        <v>22</v>
      </c>
      <c r="N1552">
        <v>0</v>
      </c>
      <c r="O1552">
        <v>22</v>
      </c>
      <c r="P1552">
        <v>0</v>
      </c>
    </row>
    <row r="1553" spans="1:16" x14ac:dyDescent="0.25">
      <c r="A1553" t="s">
        <v>14784</v>
      </c>
      <c r="B1553" t="s">
        <v>2605</v>
      </c>
      <c r="C1553" t="s">
        <v>2606</v>
      </c>
      <c r="D1553" t="str">
        <f>"6010"</f>
        <v>6010</v>
      </c>
      <c r="E1553" t="s">
        <v>49</v>
      </c>
      <c r="F1553" t="s">
        <v>8</v>
      </c>
      <c r="G1553" t="s">
        <v>47073</v>
      </c>
      <c r="H1553" t="s">
        <v>47054</v>
      </c>
      <c r="I1553" t="s">
        <v>47120</v>
      </c>
      <c r="J1553" t="s">
        <v>47121</v>
      </c>
      <c r="K1553" t="s">
        <v>47113</v>
      </c>
      <c r="L1553">
        <v>8.4700000000000006</v>
      </c>
      <c r="M1553">
        <v>22</v>
      </c>
      <c r="N1553">
        <v>0</v>
      </c>
      <c r="O1553">
        <v>22</v>
      </c>
      <c r="P1553">
        <v>0</v>
      </c>
    </row>
    <row r="1554" spans="1:16" x14ac:dyDescent="0.25">
      <c r="A1554" t="s">
        <v>24008</v>
      </c>
      <c r="B1554" t="s">
        <v>2607</v>
      </c>
      <c r="C1554" t="s">
        <v>2608</v>
      </c>
      <c r="D1554" t="str">
        <f>"6228"</f>
        <v>6228</v>
      </c>
      <c r="E1554" t="s">
        <v>2609</v>
      </c>
      <c r="F1554" t="s">
        <v>7</v>
      </c>
      <c r="G1554" t="s">
        <v>47073</v>
      </c>
      <c r="H1554" t="s">
        <v>47054</v>
      </c>
      <c r="I1554" t="s">
        <v>47120</v>
      </c>
      <c r="J1554" t="s">
        <v>47121</v>
      </c>
      <c r="K1554" t="s">
        <v>47113</v>
      </c>
      <c r="L1554">
        <v>8.59</v>
      </c>
      <c r="M1554">
        <v>20</v>
      </c>
      <c r="N1554">
        <v>0</v>
      </c>
      <c r="O1554">
        <v>20</v>
      </c>
      <c r="P1554">
        <v>0</v>
      </c>
    </row>
    <row r="1555" spans="1:16" x14ac:dyDescent="0.25">
      <c r="A1555" t="s">
        <v>24009</v>
      </c>
      <c r="B1555" t="s">
        <v>2610</v>
      </c>
      <c r="C1555" t="s">
        <v>2611</v>
      </c>
      <c r="D1555" t="str">
        <f>"4147"</f>
        <v>4147</v>
      </c>
      <c r="E1555" t="s">
        <v>2612</v>
      </c>
      <c r="F1555" t="s">
        <v>7</v>
      </c>
      <c r="G1555" t="s">
        <v>47073</v>
      </c>
      <c r="H1555" t="s">
        <v>47054</v>
      </c>
      <c r="I1555" t="s">
        <v>47120</v>
      </c>
      <c r="J1555" t="s">
        <v>47121</v>
      </c>
      <c r="K1555" t="s">
        <v>47113</v>
      </c>
      <c r="L1555">
        <v>9.61</v>
      </c>
      <c r="M1555">
        <v>20</v>
      </c>
      <c r="N1555">
        <v>0</v>
      </c>
      <c r="O1555">
        <v>20</v>
      </c>
      <c r="P1555">
        <v>0</v>
      </c>
    </row>
    <row r="1556" spans="1:16" x14ac:dyDescent="0.25">
      <c r="A1556" t="s">
        <v>24010</v>
      </c>
      <c r="B1556" t="s">
        <v>2613</v>
      </c>
      <c r="C1556" t="s">
        <v>2611</v>
      </c>
      <c r="D1556" t="str">
        <f>"4147"</f>
        <v>4147</v>
      </c>
      <c r="E1556" t="s">
        <v>2612</v>
      </c>
      <c r="F1556" t="s">
        <v>7</v>
      </c>
      <c r="G1556" t="s">
        <v>47073</v>
      </c>
      <c r="H1556" t="s">
        <v>47054</v>
      </c>
      <c r="I1556" t="s">
        <v>47114</v>
      </c>
      <c r="J1556" t="s">
        <v>47115</v>
      </c>
      <c r="K1556" t="s">
        <v>47113</v>
      </c>
      <c r="L1556">
        <v>9.86</v>
      </c>
      <c r="M1556">
        <v>27</v>
      </c>
      <c r="N1556">
        <v>0</v>
      </c>
      <c r="O1556">
        <v>27</v>
      </c>
      <c r="P1556">
        <v>0</v>
      </c>
    </row>
    <row r="1557" spans="1:16" x14ac:dyDescent="0.25">
      <c r="A1557" t="s">
        <v>24011</v>
      </c>
      <c r="B1557" t="s">
        <v>14173</v>
      </c>
      <c r="C1557" t="s">
        <v>14174</v>
      </c>
      <c r="D1557" t="str">
        <f>"1700"</f>
        <v>1700</v>
      </c>
      <c r="E1557" t="s">
        <v>60</v>
      </c>
      <c r="F1557" t="s">
        <v>3750</v>
      </c>
      <c r="G1557" t="s">
        <v>47073</v>
      </c>
      <c r="H1557" t="s">
        <v>47054</v>
      </c>
      <c r="I1557" t="s">
        <v>47111</v>
      </c>
      <c r="J1557" t="s">
        <v>47112</v>
      </c>
      <c r="K1557" t="s">
        <v>47113</v>
      </c>
      <c r="L1557">
        <v>4.95</v>
      </c>
      <c r="M1557">
        <v>18</v>
      </c>
      <c r="N1557">
        <v>0</v>
      </c>
      <c r="O1557">
        <v>18</v>
      </c>
      <c r="P1557">
        <v>0</v>
      </c>
    </row>
    <row r="1558" spans="1:16" x14ac:dyDescent="0.25">
      <c r="A1558" t="s">
        <v>24012</v>
      </c>
      <c r="B1558" t="s">
        <v>14175</v>
      </c>
      <c r="C1558" t="s">
        <v>14176</v>
      </c>
      <c r="D1558" t="str">
        <f>"1001"</f>
        <v>1001</v>
      </c>
      <c r="E1558" t="s">
        <v>42</v>
      </c>
      <c r="F1558" t="s">
        <v>3750</v>
      </c>
      <c r="G1558" t="s">
        <v>47073</v>
      </c>
      <c r="H1558" t="s">
        <v>47054</v>
      </c>
      <c r="I1558" t="s">
        <v>47116</v>
      </c>
      <c r="J1558" t="s">
        <v>47117</v>
      </c>
      <c r="K1558" t="s">
        <v>47113</v>
      </c>
      <c r="L1558">
        <v>5.41</v>
      </c>
      <c r="M1558">
        <v>18</v>
      </c>
      <c r="N1558">
        <v>0</v>
      </c>
      <c r="O1558">
        <v>18</v>
      </c>
      <c r="P1558">
        <v>0</v>
      </c>
    </row>
    <row r="1559" spans="1:16" x14ac:dyDescent="0.25">
      <c r="A1559" t="s">
        <v>24013</v>
      </c>
      <c r="B1559" t="s">
        <v>14175</v>
      </c>
      <c r="C1559" t="s">
        <v>14176</v>
      </c>
      <c r="D1559" t="str">
        <f>"6064"</f>
        <v>6064</v>
      </c>
      <c r="E1559" t="s">
        <v>87</v>
      </c>
      <c r="F1559" t="s">
        <v>3750</v>
      </c>
      <c r="G1559" t="s">
        <v>47073</v>
      </c>
      <c r="H1559" t="s">
        <v>47054</v>
      </c>
      <c r="I1559" t="s">
        <v>47116</v>
      </c>
      <c r="J1559" t="s">
        <v>47117</v>
      </c>
      <c r="K1559" t="s">
        <v>47113</v>
      </c>
      <c r="L1559">
        <v>5.41</v>
      </c>
      <c r="M1559">
        <v>18</v>
      </c>
      <c r="N1559">
        <v>0</v>
      </c>
      <c r="O1559">
        <v>18</v>
      </c>
      <c r="P1559">
        <v>0</v>
      </c>
    </row>
    <row r="1560" spans="1:16" x14ac:dyDescent="0.25">
      <c r="A1560" t="s">
        <v>24014</v>
      </c>
      <c r="B1560" t="s">
        <v>14177</v>
      </c>
      <c r="C1560" t="s">
        <v>14178</v>
      </c>
      <c r="D1560" t="str">
        <f>"1700"</f>
        <v>1700</v>
      </c>
      <c r="E1560" t="s">
        <v>60</v>
      </c>
      <c r="F1560" t="s">
        <v>3750</v>
      </c>
      <c r="G1560" t="s">
        <v>47073</v>
      </c>
      <c r="H1560" t="s">
        <v>47054</v>
      </c>
      <c r="I1560" t="s">
        <v>47116</v>
      </c>
      <c r="J1560" t="s">
        <v>47117</v>
      </c>
      <c r="K1560" t="s">
        <v>47113</v>
      </c>
      <c r="L1560">
        <v>5.63</v>
      </c>
      <c r="M1560">
        <v>18</v>
      </c>
      <c r="N1560">
        <v>0</v>
      </c>
      <c r="O1560">
        <v>18</v>
      </c>
      <c r="P1560">
        <v>0</v>
      </c>
    </row>
    <row r="1561" spans="1:16" x14ac:dyDescent="0.25">
      <c r="A1561" t="s">
        <v>24015</v>
      </c>
      <c r="B1561" t="s">
        <v>24016</v>
      </c>
      <c r="C1561" t="s">
        <v>24017</v>
      </c>
      <c r="D1561" t="str">
        <f>"9602"</f>
        <v>9602</v>
      </c>
      <c r="E1561" t="s">
        <v>24018</v>
      </c>
      <c r="F1561" t="s">
        <v>24019</v>
      </c>
      <c r="G1561" t="s">
        <v>47053</v>
      </c>
      <c r="H1561" t="s">
        <v>47052</v>
      </c>
      <c r="I1561" t="s">
        <v>47120</v>
      </c>
      <c r="J1561" t="s">
        <v>47121</v>
      </c>
      <c r="K1561" t="s">
        <v>47113</v>
      </c>
      <c r="L1561">
        <v>14.01</v>
      </c>
      <c r="M1561">
        <v>24</v>
      </c>
      <c r="N1561">
        <v>59</v>
      </c>
      <c r="O1561">
        <v>24</v>
      </c>
      <c r="P1561">
        <v>59</v>
      </c>
    </row>
    <row r="1562" spans="1:16" x14ac:dyDescent="0.25">
      <c r="A1562" t="s">
        <v>24020</v>
      </c>
      <c r="B1562" t="s">
        <v>2614</v>
      </c>
      <c r="C1562" t="s">
        <v>2615</v>
      </c>
      <c r="D1562" t="str">
        <f>"3126"</f>
        <v>3126</v>
      </c>
      <c r="E1562" t="s">
        <v>2616</v>
      </c>
      <c r="F1562" t="s">
        <v>56</v>
      </c>
      <c r="G1562" t="s">
        <v>47077</v>
      </c>
      <c r="H1562" t="s">
        <v>47054</v>
      </c>
      <c r="I1562" t="s">
        <v>47136</v>
      </c>
      <c r="J1562" t="s">
        <v>47137</v>
      </c>
      <c r="K1562" t="s">
        <v>47113</v>
      </c>
      <c r="L1562">
        <v>22.89</v>
      </c>
      <c r="M1562">
        <v>63</v>
      </c>
      <c r="N1562">
        <v>0</v>
      </c>
      <c r="O1562">
        <v>63</v>
      </c>
      <c r="P1562">
        <v>0</v>
      </c>
    </row>
    <row r="1563" spans="1:16" x14ac:dyDescent="0.25">
      <c r="A1563" t="s">
        <v>24021</v>
      </c>
      <c r="B1563" t="s">
        <v>2617</v>
      </c>
      <c r="C1563" t="s">
        <v>2618</v>
      </c>
      <c r="D1563" t="str">
        <f>"1311"</f>
        <v>1311</v>
      </c>
      <c r="E1563" t="s">
        <v>2619</v>
      </c>
      <c r="F1563" t="s">
        <v>56</v>
      </c>
      <c r="G1563" t="s">
        <v>47135</v>
      </c>
      <c r="H1563" t="s">
        <v>47054</v>
      </c>
      <c r="I1563" t="s">
        <v>47114</v>
      </c>
      <c r="J1563" t="s">
        <v>47115</v>
      </c>
      <c r="K1563" t="s">
        <v>47113</v>
      </c>
      <c r="L1563">
        <v>20.27</v>
      </c>
      <c r="M1563">
        <v>58</v>
      </c>
      <c r="N1563">
        <v>0</v>
      </c>
      <c r="O1563">
        <v>58</v>
      </c>
      <c r="P1563">
        <v>0</v>
      </c>
    </row>
    <row r="1564" spans="1:16" x14ac:dyDescent="0.25">
      <c r="A1564" t="s">
        <v>24022</v>
      </c>
      <c r="B1564" t="s">
        <v>2617</v>
      </c>
      <c r="C1564" t="s">
        <v>2618</v>
      </c>
      <c r="D1564" t="str">
        <f>"2505"</f>
        <v>2505</v>
      </c>
      <c r="E1564" t="s">
        <v>2620</v>
      </c>
      <c r="F1564" t="s">
        <v>56</v>
      </c>
      <c r="G1564" t="s">
        <v>47135</v>
      </c>
      <c r="H1564" t="s">
        <v>47054</v>
      </c>
      <c r="I1564" t="s">
        <v>47114</v>
      </c>
      <c r="J1564" t="s">
        <v>47115</v>
      </c>
      <c r="K1564" t="s">
        <v>47113</v>
      </c>
      <c r="L1564">
        <v>16.850000000000001</v>
      </c>
      <c r="M1564">
        <v>52</v>
      </c>
      <c r="N1564">
        <v>0</v>
      </c>
      <c r="O1564">
        <v>52</v>
      </c>
      <c r="P1564">
        <v>0</v>
      </c>
    </row>
    <row r="1565" spans="1:16" x14ac:dyDescent="0.25">
      <c r="A1565" t="s">
        <v>24023</v>
      </c>
      <c r="B1565" t="s">
        <v>2617</v>
      </c>
      <c r="C1565" t="s">
        <v>2618</v>
      </c>
      <c r="D1565" t="str">
        <f>"7307"</f>
        <v>7307</v>
      </c>
      <c r="E1565" t="s">
        <v>2621</v>
      </c>
      <c r="F1565" t="s">
        <v>56</v>
      </c>
      <c r="G1565" t="s">
        <v>47135</v>
      </c>
      <c r="H1565" t="s">
        <v>47054</v>
      </c>
      <c r="I1565" t="s">
        <v>47136</v>
      </c>
      <c r="J1565" t="s">
        <v>47137</v>
      </c>
      <c r="K1565" t="s">
        <v>47113</v>
      </c>
      <c r="L1565">
        <v>20.27</v>
      </c>
      <c r="M1565">
        <v>52</v>
      </c>
      <c r="N1565">
        <v>0</v>
      </c>
      <c r="O1565">
        <v>52</v>
      </c>
      <c r="P1565">
        <v>0</v>
      </c>
    </row>
    <row r="1566" spans="1:16" x14ac:dyDescent="0.25">
      <c r="A1566" t="s">
        <v>24024</v>
      </c>
      <c r="B1566" t="s">
        <v>2622</v>
      </c>
      <c r="C1566" t="s">
        <v>2623</v>
      </c>
      <c r="D1566" t="s">
        <v>2624</v>
      </c>
      <c r="E1566" t="s">
        <v>2625</v>
      </c>
      <c r="F1566" t="s">
        <v>631</v>
      </c>
      <c r="G1566" t="s">
        <v>47072</v>
      </c>
      <c r="H1566" t="s">
        <v>47054</v>
      </c>
      <c r="I1566" t="s">
        <v>47116</v>
      </c>
      <c r="J1566" t="s">
        <v>47117</v>
      </c>
      <c r="K1566" t="s">
        <v>47113</v>
      </c>
      <c r="L1566">
        <v>17.829999999999998</v>
      </c>
      <c r="M1566">
        <v>43</v>
      </c>
      <c r="N1566">
        <v>0</v>
      </c>
      <c r="O1566">
        <v>43</v>
      </c>
      <c r="P1566">
        <v>0</v>
      </c>
    </row>
    <row r="1567" spans="1:16" x14ac:dyDescent="0.25">
      <c r="A1567" t="s">
        <v>14785</v>
      </c>
      <c r="B1567" t="s">
        <v>2622</v>
      </c>
      <c r="C1567" t="s">
        <v>2623</v>
      </c>
      <c r="D1567" t="s">
        <v>657</v>
      </c>
      <c r="E1567" t="s">
        <v>658</v>
      </c>
      <c r="F1567" t="s">
        <v>52</v>
      </c>
      <c r="G1567" t="s">
        <v>47072</v>
      </c>
      <c r="H1567" t="s">
        <v>47054</v>
      </c>
      <c r="I1567" t="s">
        <v>47116</v>
      </c>
      <c r="J1567" t="s">
        <v>47117</v>
      </c>
      <c r="K1567" t="s">
        <v>47113</v>
      </c>
      <c r="L1567">
        <v>16.059999999999999</v>
      </c>
      <c r="M1567">
        <v>39</v>
      </c>
      <c r="N1567">
        <v>0</v>
      </c>
      <c r="O1567">
        <v>39</v>
      </c>
      <c r="P1567">
        <v>0</v>
      </c>
    </row>
    <row r="1568" spans="1:16" x14ac:dyDescent="0.25">
      <c r="A1568" t="s">
        <v>24025</v>
      </c>
      <c r="B1568" t="s">
        <v>2626</v>
      </c>
      <c r="C1568" t="s">
        <v>2506</v>
      </c>
      <c r="D1568" t="s">
        <v>721</v>
      </c>
      <c r="E1568" t="s">
        <v>722</v>
      </c>
      <c r="F1568" t="s">
        <v>8</v>
      </c>
      <c r="G1568" t="s">
        <v>47072</v>
      </c>
      <c r="H1568" t="s">
        <v>47054</v>
      </c>
      <c r="I1568" t="s">
        <v>47111</v>
      </c>
      <c r="J1568" t="s">
        <v>47112</v>
      </c>
      <c r="K1568" t="s">
        <v>47113</v>
      </c>
      <c r="L1568">
        <v>22.4</v>
      </c>
      <c r="M1568">
        <v>55</v>
      </c>
      <c r="N1568">
        <v>0</v>
      </c>
      <c r="O1568">
        <v>55</v>
      </c>
      <c r="P1568">
        <v>0</v>
      </c>
    </row>
    <row r="1569" spans="1:16" x14ac:dyDescent="0.25">
      <c r="A1569" t="s">
        <v>24026</v>
      </c>
      <c r="B1569" t="s">
        <v>2627</v>
      </c>
      <c r="C1569" t="s">
        <v>2628</v>
      </c>
      <c r="D1569" t="str">
        <f>"1001"</f>
        <v>1001</v>
      </c>
      <c r="E1569" t="s">
        <v>2629</v>
      </c>
      <c r="F1569" t="s">
        <v>5</v>
      </c>
      <c r="G1569" t="s">
        <v>47077</v>
      </c>
      <c r="H1569" t="s">
        <v>47054</v>
      </c>
      <c r="I1569" t="s">
        <v>47120</v>
      </c>
      <c r="J1569" t="s">
        <v>47121</v>
      </c>
      <c r="K1569" t="s">
        <v>47113</v>
      </c>
      <c r="L1569">
        <v>19.940000000000001</v>
      </c>
      <c r="M1569">
        <v>49</v>
      </c>
      <c r="N1569">
        <v>0</v>
      </c>
      <c r="O1569">
        <v>49</v>
      </c>
      <c r="P1569">
        <v>0</v>
      </c>
    </row>
    <row r="1570" spans="1:16" x14ac:dyDescent="0.25">
      <c r="A1570" t="s">
        <v>24027</v>
      </c>
      <c r="B1570" t="s">
        <v>2627</v>
      </c>
      <c r="C1570" t="s">
        <v>2628</v>
      </c>
      <c r="D1570" t="str">
        <f>"1100"</f>
        <v>1100</v>
      </c>
      <c r="E1570" t="s">
        <v>2630</v>
      </c>
      <c r="F1570" t="s">
        <v>4</v>
      </c>
      <c r="G1570" t="s">
        <v>47077</v>
      </c>
      <c r="H1570" t="s">
        <v>47054</v>
      </c>
      <c r="I1570" t="s">
        <v>47120</v>
      </c>
      <c r="J1570" t="s">
        <v>47121</v>
      </c>
      <c r="K1570" t="s">
        <v>47113</v>
      </c>
      <c r="L1570">
        <v>19.940000000000001</v>
      </c>
      <c r="M1570">
        <v>48</v>
      </c>
      <c r="N1570">
        <v>0</v>
      </c>
      <c r="O1570">
        <v>48</v>
      </c>
      <c r="P1570">
        <v>0</v>
      </c>
    </row>
    <row r="1571" spans="1:16" x14ac:dyDescent="0.25">
      <c r="A1571" t="s">
        <v>24028</v>
      </c>
      <c r="B1571" t="s">
        <v>2627</v>
      </c>
      <c r="C1571" t="s">
        <v>2628</v>
      </c>
      <c r="D1571" t="str">
        <f>"1548"</f>
        <v>1548</v>
      </c>
      <c r="E1571" t="s">
        <v>2631</v>
      </c>
      <c r="F1571" t="s">
        <v>5</v>
      </c>
      <c r="G1571" t="s">
        <v>47077</v>
      </c>
      <c r="H1571" t="s">
        <v>47054</v>
      </c>
      <c r="I1571" t="s">
        <v>47120</v>
      </c>
      <c r="J1571" t="s">
        <v>47121</v>
      </c>
      <c r="K1571" t="s">
        <v>47113</v>
      </c>
      <c r="L1571">
        <v>19.940000000000001</v>
      </c>
      <c r="M1571">
        <v>49</v>
      </c>
      <c r="N1571">
        <v>0</v>
      </c>
      <c r="O1571">
        <v>49</v>
      </c>
      <c r="P1571">
        <v>0</v>
      </c>
    </row>
    <row r="1572" spans="1:16" x14ac:dyDescent="0.25">
      <c r="A1572" t="s">
        <v>24029</v>
      </c>
      <c r="B1572" t="s">
        <v>2627</v>
      </c>
      <c r="C1572" t="s">
        <v>2628</v>
      </c>
      <c r="D1572" t="str">
        <f>"1700"</f>
        <v>1700</v>
      </c>
      <c r="E1572" t="s">
        <v>2632</v>
      </c>
      <c r="F1572" t="s">
        <v>0</v>
      </c>
      <c r="G1572" t="s">
        <v>47077</v>
      </c>
      <c r="H1572" t="s">
        <v>47054</v>
      </c>
      <c r="I1572" t="s">
        <v>47120</v>
      </c>
      <c r="J1572" t="s">
        <v>47121</v>
      </c>
      <c r="K1572" t="s">
        <v>47113</v>
      </c>
      <c r="L1572">
        <v>19.920000000000002</v>
      </c>
      <c r="M1572">
        <v>48</v>
      </c>
      <c r="N1572">
        <v>0</v>
      </c>
      <c r="O1572">
        <v>48</v>
      </c>
      <c r="P1572">
        <v>0</v>
      </c>
    </row>
    <row r="1573" spans="1:16" x14ac:dyDescent="0.25">
      <c r="A1573" t="s">
        <v>24030</v>
      </c>
      <c r="B1573" t="s">
        <v>2627</v>
      </c>
      <c r="C1573" t="s">
        <v>2628</v>
      </c>
      <c r="D1573" t="str">
        <f>"2167"</f>
        <v>2167</v>
      </c>
      <c r="E1573" t="s">
        <v>2633</v>
      </c>
      <c r="F1573" t="s">
        <v>5</v>
      </c>
      <c r="G1573" t="s">
        <v>47077</v>
      </c>
      <c r="H1573" t="s">
        <v>47054</v>
      </c>
      <c r="I1573" t="s">
        <v>47120</v>
      </c>
      <c r="J1573" t="s">
        <v>47121</v>
      </c>
      <c r="K1573" t="s">
        <v>47113</v>
      </c>
      <c r="L1573">
        <v>19.940000000000001</v>
      </c>
      <c r="M1573">
        <v>49</v>
      </c>
      <c r="N1573">
        <v>0</v>
      </c>
      <c r="O1573">
        <v>49</v>
      </c>
      <c r="P1573">
        <v>0</v>
      </c>
    </row>
    <row r="1574" spans="1:16" x14ac:dyDescent="0.25">
      <c r="A1574" t="s">
        <v>24031</v>
      </c>
      <c r="B1574" t="s">
        <v>2627</v>
      </c>
      <c r="C1574" t="s">
        <v>2628</v>
      </c>
      <c r="D1574" t="str">
        <f>"2414"</f>
        <v>2414</v>
      </c>
      <c r="E1574" t="s">
        <v>2634</v>
      </c>
      <c r="F1574" t="s">
        <v>4</v>
      </c>
      <c r="G1574" t="s">
        <v>47077</v>
      </c>
      <c r="H1574" t="s">
        <v>47054</v>
      </c>
      <c r="I1574" t="s">
        <v>47120</v>
      </c>
      <c r="J1574" t="s">
        <v>47121</v>
      </c>
      <c r="K1574" t="s">
        <v>47113</v>
      </c>
      <c r="L1574">
        <v>19.940000000000001</v>
      </c>
      <c r="M1574">
        <v>49</v>
      </c>
      <c r="N1574">
        <v>0</v>
      </c>
      <c r="O1574">
        <v>49</v>
      </c>
      <c r="P1574">
        <v>0</v>
      </c>
    </row>
    <row r="1575" spans="1:16" x14ac:dyDescent="0.25">
      <c r="A1575" t="s">
        <v>24032</v>
      </c>
      <c r="B1575" t="s">
        <v>2627</v>
      </c>
      <c r="C1575" t="s">
        <v>2628</v>
      </c>
      <c r="D1575" t="str">
        <f>"3408"</f>
        <v>3408</v>
      </c>
      <c r="E1575" t="s">
        <v>2635</v>
      </c>
      <c r="F1575" t="s">
        <v>2</v>
      </c>
      <c r="G1575" t="s">
        <v>47077</v>
      </c>
      <c r="H1575" t="s">
        <v>47054</v>
      </c>
      <c r="I1575" t="s">
        <v>47120</v>
      </c>
      <c r="J1575" t="s">
        <v>47121</v>
      </c>
      <c r="K1575" t="s">
        <v>47113</v>
      </c>
      <c r="L1575">
        <v>19.41</v>
      </c>
      <c r="M1575">
        <v>46</v>
      </c>
      <c r="N1575">
        <v>0</v>
      </c>
      <c r="O1575">
        <v>46</v>
      </c>
      <c r="P1575">
        <v>0</v>
      </c>
    </row>
    <row r="1576" spans="1:16" x14ac:dyDescent="0.25">
      <c r="A1576" t="s">
        <v>24033</v>
      </c>
      <c r="B1576" t="s">
        <v>2627</v>
      </c>
      <c r="C1576" t="s">
        <v>2628</v>
      </c>
      <c r="D1576" t="str">
        <f>"3461"</f>
        <v>3461</v>
      </c>
      <c r="E1576" t="s">
        <v>2636</v>
      </c>
      <c r="F1576" t="s">
        <v>4</v>
      </c>
      <c r="G1576" t="s">
        <v>47077</v>
      </c>
      <c r="H1576" t="s">
        <v>47054</v>
      </c>
      <c r="I1576" t="s">
        <v>47120</v>
      </c>
      <c r="J1576" t="s">
        <v>47121</v>
      </c>
      <c r="K1576" t="s">
        <v>47113</v>
      </c>
      <c r="L1576">
        <v>20.03</v>
      </c>
      <c r="M1576">
        <v>49</v>
      </c>
      <c r="N1576">
        <v>0</v>
      </c>
      <c r="O1576">
        <v>49</v>
      </c>
      <c r="P1576">
        <v>0</v>
      </c>
    </row>
    <row r="1577" spans="1:16" x14ac:dyDescent="0.25">
      <c r="A1577" t="s">
        <v>24034</v>
      </c>
      <c r="B1577" t="s">
        <v>2627</v>
      </c>
      <c r="C1577" t="s">
        <v>2628</v>
      </c>
      <c r="D1577" t="str">
        <f>"3465"</f>
        <v>3465</v>
      </c>
      <c r="E1577" t="s">
        <v>2637</v>
      </c>
      <c r="F1577" t="s">
        <v>0</v>
      </c>
      <c r="G1577" t="s">
        <v>47077</v>
      </c>
      <c r="H1577" t="s">
        <v>47054</v>
      </c>
      <c r="I1577" t="s">
        <v>47120</v>
      </c>
      <c r="J1577" t="s">
        <v>47121</v>
      </c>
      <c r="K1577" t="s">
        <v>47113</v>
      </c>
      <c r="L1577">
        <v>19.920000000000002</v>
      </c>
      <c r="M1577">
        <v>48</v>
      </c>
      <c r="N1577">
        <v>0</v>
      </c>
      <c r="O1577">
        <v>48</v>
      </c>
      <c r="P1577">
        <v>0</v>
      </c>
    </row>
    <row r="1578" spans="1:16" x14ac:dyDescent="0.25">
      <c r="A1578" t="s">
        <v>24035</v>
      </c>
      <c r="B1578" t="s">
        <v>2627</v>
      </c>
      <c r="C1578" t="s">
        <v>2628</v>
      </c>
      <c r="D1578" t="str">
        <f>"4703"</f>
        <v>4703</v>
      </c>
      <c r="E1578" t="s">
        <v>2638</v>
      </c>
      <c r="F1578" t="s">
        <v>0</v>
      </c>
      <c r="G1578" t="s">
        <v>47077</v>
      </c>
      <c r="H1578" t="s">
        <v>47054</v>
      </c>
      <c r="I1578" t="s">
        <v>47120</v>
      </c>
      <c r="J1578" t="s">
        <v>47121</v>
      </c>
      <c r="K1578" t="s">
        <v>47113</v>
      </c>
      <c r="L1578">
        <v>19.920000000000002</v>
      </c>
      <c r="M1578">
        <v>48</v>
      </c>
      <c r="N1578">
        <v>0</v>
      </c>
      <c r="O1578">
        <v>48</v>
      </c>
      <c r="P1578">
        <v>0</v>
      </c>
    </row>
    <row r="1579" spans="1:16" x14ac:dyDescent="0.25">
      <c r="A1579" t="s">
        <v>24036</v>
      </c>
      <c r="B1579" t="s">
        <v>2627</v>
      </c>
      <c r="C1579" t="s">
        <v>2628</v>
      </c>
      <c r="D1579" t="str">
        <f>"4828"</f>
        <v>4828</v>
      </c>
      <c r="E1579" t="s">
        <v>2639</v>
      </c>
      <c r="F1579" t="s">
        <v>5</v>
      </c>
      <c r="G1579" t="s">
        <v>47077</v>
      </c>
      <c r="H1579" t="s">
        <v>47054</v>
      </c>
      <c r="I1579" t="s">
        <v>47120</v>
      </c>
      <c r="J1579" t="s">
        <v>47121</v>
      </c>
      <c r="K1579" t="s">
        <v>47113</v>
      </c>
      <c r="L1579">
        <v>19.940000000000001</v>
      </c>
      <c r="M1579">
        <v>49</v>
      </c>
      <c r="N1579">
        <v>0</v>
      </c>
      <c r="O1579">
        <v>49</v>
      </c>
      <c r="P1579">
        <v>0</v>
      </c>
    </row>
    <row r="1580" spans="1:16" x14ac:dyDescent="0.25">
      <c r="A1580" t="s">
        <v>24037</v>
      </c>
      <c r="B1580" t="s">
        <v>2627</v>
      </c>
      <c r="C1580" t="s">
        <v>2628</v>
      </c>
      <c r="D1580" t="str">
        <f>"4835"</f>
        <v>4835</v>
      </c>
      <c r="E1580" t="s">
        <v>2640</v>
      </c>
      <c r="F1580" t="s">
        <v>4</v>
      </c>
      <c r="G1580" t="s">
        <v>47077</v>
      </c>
      <c r="H1580" t="s">
        <v>47054</v>
      </c>
      <c r="I1580" t="s">
        <v>47120</v>
      </c>
      <c r="J1580" t="s">
        <v>47121</v>
      </c>
      <c r="K1580" t="s">
        <v>47113</v>
      </c>
      <c r="L1580">
        <v>19.940000000000001</v>
      </c>
      <c r="M1580">
        <v>49</v>
      </c>
      <c r="N1580">
        <v>0</v>
      </c>
      <c r="O1580">
        <v>49</v>
      </c>
      <c r="P1580">
        <v>0</v>
      </c>
    </row>
    <row r="1581" spans="1:16" x14ac:dyDescent="0.25">
      <c r="A1581" t="s">
        <v>24038</v>
      </c>
      <c r="B1581" t="s">
        <v>2627</v>
      </c>
      <c r="C1581" t="s">
        <v>2628</v>
      </c>
      <c r="D1581" t="str">
        <f>"6367"</f>
        <v>6367</v>
      </c>
      <c r="E1581" t="s">
        <v>2641</v>
      </c>
      <c r="F1581" t="s">
        <v>5</v>
      </c>
      <c r="G1581" t="s">
        <v>47077</v>
      </c>
      <c r="H1581" t="s">
        <v>47054</v>
      </c>
      <c r="I1581" t="s">
        <v>47120</v>
      </c>
      <c r="J1581" t="s">
        <v>47121</v>
      </c>
      <c r="K1581" t="s">
        <v>47113</v>
      </c>
      <c r="L1581">
        <v>19.940000000000001</v>
      </c>
      <c r="M1581">
        <v>49</v>
      </c>
      <c r="N1581">
        <v>0</v>
      </c>
      <c r="O1581">
        <v>49</v>
      </c>
      <c r="P1581">
        <v>0</v>
      </c>
    </row>
    <row r="1582" spans="1:16" x14ac:dyDescent="0.25">
      <c r="A1582" t="s">
        <v>24039</v>
      </c>
      <c r="B1582" t="s">
        <v>2627</v>
      </c>
      <c r="C1582" t="s">
        <v>2628</v>
      </c>
      <c r="D1582" t="str">
        <f>"7280"</f>
        <v>7280</v>
      </c>
      <c r="E1582" t="s">
        <v>2642</v>
      </c>
      <c r="F1582" t="s">
        <v>5</v>
      </c>
      <c r="G1582" t="s">
        <v>47077</v>
      </c>
      <c r="H1582" t="s">
        <v>47054</v>
      </c>
      <c r="I1582" t="s">
        <v>47120</v>
      </c>
      <c r="J1582" t="s">
        <v>47121</v>
      </c>
      <c r="K1582" t="s">
        <v>47113</v>
      </c>
      <c r="L1582">
        <v>19.940000000000001</v>
      </c>
      <c r="M1582">
        <v>49</v>
      </c>
      <c r="N1582">
        <v>0</v>
      </c>
      <c r="O1582">
        <v>49</v>
      </c>
      <c r="P1582">
        <v>0</v>
      </c>
    </row>
    <row r="1583" spans="1:16" x14ac:dyDescent="0.25">
      <c r="A1583" t="s">
        <v>24040</v>
      </c>
      <c r="B1583" t="s">
        <v>2627</v>
      </c>
      <c r="C1583" t="s">
        <v>2628</v>
      </c>
      <c r="D1583" t="str">
        <f>"8387"</f>
        <v>8387</v>
      </c>
      <c r="E1583" t="s">
        <v>2643</v>
      </c>
      <c r="F1583" t="s">
        <v>0</v>
      </c>
      <c r="G1583" t="s">
        <v>47077</v>
      </c>
      <c r="H1583" t="s">
        <v>47054</v>
      </c>
      <c r="I1583" t="s">
        <v>47120</v>
      </c>
      <c r="J1583" t="s">
        <v>47121</v>
      </c>
      <c r="K1583" t="s">
        <v>47113</v>
      </c>
      <c r="L1583">
        <v>19.920000000000002</v>
      </c>
      <c r="M1583">
        <v>48</v>
      </c>
      <c r="N1583">
        <v>0</v>
      </c>
      <c r="O1583">
        <v>48</v>
      </c>
      <c r="P1583">
        <v>0</v>
      </c>
    </row>
    <row r="1584" spans="1:16" x14ac:dyDescent="0.25">
      <c r="A1584" t="s">
        <v>14786</v>
      </c>
      <c r="B1584" t="s">
        <v>2644</v>
      </c>
      <c r="C1584" t="s">
        <v>2645</v>
      </c>
      <c r="D1584" t="str">
        <f>"3190"</f>
        <v>3190</v>
      </c>
      <c r="E1584" t="s">
        <v>1748</v>
      </c>
      <c r="F1584" t="s">
        <v>8</v>
      </c>
      <c r="G1584" t="s">
        <v>47077</v>
      </c>
      <c r="H1584" t="s">
        <v>47054</v>
      </c>
      <c r="I1584" t="s">
        <v>47120</v>
      </c>
      <c r="J1584" t="s">
        <v>47121</v>
      </c>
      <c r="K1584" t="s">
        <v>47113</v>
      </c>
      <c r="L1584">
        <v>19.95</v>
      </c>
      <c r="M1584">
        <v>54</v>
      </c>
      <c r="N1584">
        <v>0</v>
      </c>
      <c r="O1584">
        <v>54</v>
      </c>
      <c r="P1584">
        <v>0</v>
      </c>
    </row>
    <row r="1585" spans="1:16" x14ac:dyDescent="0.25">
      <c r="A1585" t="s">
        <v>24041</v>
      </c>
      <c r="B1585" t="s">
        <v>2646</v>
      </c>
      <c r="C1585" t="s">
        <v>2647</v>
      </c>
      <c r="D1585" t="str">
        <f>"1700"</f>
        <v>1700</v>
      </c>
      <c r="E1585" t="s">
        <v>2632</v>
      </c>
      <c r="F1585" t="s">
        <v>0</v>
      </c>
      <c r="G1585" t="s">
        <v>47135</v>
      </c>
      <c r="H1585" t="s">
        <v>47054</v>
      </c>
      <c r="I1585" t="s">
        <v>47120</v>
      </c>
      <c r="J1585" t="s">
        <v>47121</v>
      </c>
      <c r="K1585" t="s">
        <v>47113</v>
      </c>
      <c r="L1585">
        <v>17.46</v>
      </c>
      <c r="M1585">
        <v>43</v>
      </c>
      <c r="N1585">
        <v>0</v>
      </c>
      <c r="O1585">
        <v>43</v>
      </c>
      <c r="P1585">
        <v>0</v>
      </c>
    </row>
    <row r="1586" spans="1:16" x14ac:dyDescent="0.25">
      <c r="A1586" t="s">
        <v>24042</v>
      </c>
      <c r="B1586" t="s">
        <v>2646</v>
      </c>
      <c r="C1586" t="s">
        <v>2647</v>
      </c>
      <c r="D1586" t="str">
        <f>"3408"</f>
        <v>3408</v>
      </c>
      <c r="E1586" t="s">
        <v>2635</v>
      </c>
      <c r="F1586" t="s">
        <v>2</v>
      </c>
      <c r="G1586" t="s">
        <v>47135</v>
      </c>
      <c r="H1586" t="s">
        <v>47054</v>
      </c>
      <c r="I1586" t="s">
        <v>47120</v>
      </c>
      <c r="J1586" t="s">
        <v>47121</v>
      </c>
      <c r="K1586" t="s">
        <v>47113</v>
      </c>
      <c r="L1586">
        <v>17.47</v>
      </c>
      <c r="M1586">
        <v>41</v>
      </c>
      <c r="N1586">
        <v>0</v>
      </c>
      <c r="O1586">
        <v>41</v>
      </c>
      <c r="P1586">
        <v>0</v>
      </c>
    </row>
    <row r="1587" spans="1:16" x14ac:dyDescent="0.25">
      <c r="A1587" t="s">
        <v>24043</v>
      </c>
      <c r="B1587" t="s">
        <v>2646</v>
      </c>
      <c r="C1587" t="s">
        <v>2647</v>
      </c>
      <c r="D1587" t="str">
        <f>"3465"</f>
        <v>3465</v>
      </c>
      <c r="E1587" t="s">
        <v>2637</v>
      </c>
      <c r="F1587" t="s">
        <v>0</v>
      </c>
      <c r="G1587" t="s">
        <v>47135</v>
      </c>
      <c r="H1587" t="s">
        <v>47054</v>
      </c>
      <c r="I1587" t="s">
        <v>47120</v>
      </c>
      <c r="J1587" t="s">
        <v>47121</v>
      </c>
      <c r="K1587" t="s">
        <v>47113</v>
      </c>
      <c r="L1587">
        <v>17.46</v>
      </c>
      <c r="M1587">
        <v>43</v>
      </c>
      <c r="N1587">
        <v>0</v>
      </c>
      <c r="O1587">
        <v>43</v>
      </c>
      <c r="P1587">
        <v>0</v>
      </c>
    </row>
    <row r="1588" spans="1:16" x14ac:dyDescent="0.25">
      <c r="A1588" t="s">
        <v>24044</v>
      </c>
      <c r="B1588" t="s">
        <v>2646</v>
      </c>
      <c r="C1588" t="s">
        <v>2647</v>
      </c>
      <c r="D1588" t="str">
        <f>"4703"</f>
        <v>4703</v>
      </c>
      <c r="E1588" t="s">
        <v>2638</v>
      </c>
      <c r="F1588" t="s">
        <v>0</v>
      </c>
      <c r="G1588" t="s">
        <v>47135</v>
      </c>
      <c r="H1588" t="s">
        <v>47054</v>
      </c>
      <c r="I1588" t="s">
        <v>47120</v>
      </c>
      <c r="J1588" t="s">
        <v>47121</v>
      </c>
      <c r="K1588" t="s">
        <v>47113</v>
      </c>
      <c r="L1588">
        <v>17.46</v>
      </c>
      <c r="M1588">
        <v>43</v>
      </c>
      <c r="N1588">
        <v>0</v>
      </c>
      <c r="O1588">
        <v>43</v>
      </c>
      <c r="P1588">
        <v>0</v>
      </c>
    </row>
    <row r="1589" spans="1:16" x14ac:dyDescent="0.25">
      <c r="A1589" t="s">
        <v>24045</v>
      </c>
      <c r="B1589" t="s">
        <v>2646</v>
      </c>
      <c r="C1589" t="s">
        <v>2647</v>
      </c>
      <c r="D1589" t="str">
        <f>"7280"</f>
        <v>7280</v>
      </c>
      <c r="E1589" t="s">
        <v>2642</v>
      </c>
      <c r="F1589" t="s">
        <v>0</v>
      </c>
      <c r="G1589" t="s">
        <v>47135</v>
      </c>
      <c r="H1589" t="s">
        <v>47054</v>
      </c>
      <c r="I1589" t="s">
        <v>47120</v>
      </c>
      <c r="J1589" t="s">
        <v>47121</v>
      </c>
      <c r="K1589" t="s">
        <v>47113</v>
      </c>
      <c r="L1589">
        <v>17.46</v>
      </c>
      <c r="M1589">
        <v>43</v>
      </c>
      <c r="N1589">
        <v>0</v>
      </c>
      <c r="O1589">
        <v>43</v>
      </c>
      <c r="P1589">
        <v>0</v>
      </c>
    </row>
    <row r="1590" spans="1:16" x14ac:dyDescent="0.25">
      <c r="A1590" t="s">
        <v>24046</v>
      </c>
      <c r="B1590" t="s">
        <v>2646</v>
      </c>
      <c r="C1590" t="s">
        <v>2647</v>
      </c>
      <c r="D1590" t="str">
        <f>"8387"</f>
        <v>8387</v>
      </c>
      <c r="E1590" t="s">
        <v>2643</v>
      </c>
      <c r="F1590" t="s">
        <v>0</v>
      </c>
      <c r="G1590" t="s">
        <v>47135</v>
      </c>
      <c r="H1590" t="s">
        <v>47054</v>
      </c>
      <c r="I1590" t="s">
        <v>47120</v>
      </c>
      <c r="J1590" t="s">
        <v>47121</v>
      </c>
      <c r="K1590" t="s">
        <v>47113</v>
      </c>
      <c r="L1590">
        <v>17.46</v>
      </c>
      <c r="M1590">
        <v>43</v>
      </c>
      <c r="N1590">
        <v>0</v>
      </c>
      <c r="O1590">
        <v>43</v>
      </c>
      <c r="P1590">
        <v>0</v>
      </c>
    </row>
    <row r="1591" spans="1:16" x14ac:dyDescent="0.25">
      <c r="A1591" t="s">
        <v>24047</v>
      </c>
      <c r="B1591" t="s">
        <v>14630</v>
      </c>
      <c r="C1591" t="s">
        <v>14629</v>
      </c>
      <c r="D1591" t="str">
        <f>"4925"</f>
        <v>4925</v>
      </c>
      <c r="E1591" t="s">
        <v>14631</v>
      </c>
      <c r="F1591" t="s">
        <v>3750</v>
      </c>
      <c r="G1591" t="s">
        <v>47072</v>
      </c>
      <c r="H1591" t="s">
        <v>47054</v>
      </c>
      <c r="I1591" t="s">
        <v>47116</v>
      </c>
      <c r="J1591" t="s">
        <v>47117</v>
      </c>
      <c r="K1591" t="s">
        <v>47113</v>
      </c>
      <c r="L1591">
        <v>13.48</v>
      </c>
      <c r="M1591">
        <v>38</v>
      </c>
      <c r="N1591">
        <v>0</v>
      </c>
      <c r="O1591">
        <v>38</v>
      </c>
      <c r="P1591">
        <v>0</v>
      </c>
    </row>
    <row r="1592" spans="1:16" x14ac:dyDescent="0.25">
      <c r="A1592" t="s">
        <v>24048</v>
      </c>
      <c r="B1592" t="s">
        <v>14630</v>
      </c>
      <c r="C1592" t="s">
        <v>14629</v>
      </c>
      <c r="D1592" t="str">
        <f>"6095"</f>
        <v>6095</v>
      </c>
      <c r="E1592" t="s">
        <v>14628</v>
      </c>
      <c r="F1592" t="s">
        <v>3750</v>
      </c>
      <c r="G1592" t="s">
        <v>47072</v>
      </c>
      <c r="H1592" t="s">
        <v>47054</v>
      </c>
      <c r="I1592" t="s">
        <v>47116</v>
      </c>
      <c r="J1592" t="s">
        <v>47117</v>
      </c>
      <c r="K1592" t="s">
        <v>47113</v>
      </c>
      <c r="L1592">
        <v>13.48</v>
      </c>
      <c r="M1592">
        <v>38</v>
      </c>
      <c r="N1592">
        <v>0</v>
      </c>
      <c r="O1592">
        <v>38</v>
      </c>
      <c r="P1592">
        <v>0</v>
      </c>
    </row>
    <row r="1593" spans="1:16" x14ac:dyDescent="0.25">
      <c r="A1593" t="s">
        <v>24049</v>
      </c>
      <c r="B1593" t="s">
        <v>2648</v>
      </c>
      <c r="C1593" t="s">
        <v>2649</v>
      </c>
      <c r="D1593" t="s">
        <v>1718</v>
      </c>
      <c r="E1593" t="s">
        <v>1719</v>
      </c>
      <c r="F1593" t="s">
        <v>5</v>
      </c>
      <c r="G1593" t="s">
        <v>47076</v>
      </c>
      <c r="H1593" t="s">
        <v>47054</v>
      </c>
      <c r="I1593" t="s">
        <v>47116</v>
      </c>
      <c r="J1593" t="s">
        <v>47117</v>
      </c>
      <c r="K1593" t="s">
        <v>47113</v>
      </c>
      <c r="L1593">
        <v>33.479999999999997</v>
      </c>
      <c r="M1593">
        <v>84</v>
      </c>
      <c r="N1593">
        <v>0</v>
      </c>
      <c r="O1593">
        <v>84</v>
      </c>
      <c r="P1593">
        <v>0</v>
      </c>
    </row>
    <row r="1594" spans="1:16" x14ac:dyDescent="0.25">
      <c r="A1594" t="s">
        <v>14787</v>
      </c>
      <c r="B1594" t="s">
        <v>2650</v>
      </c>
      <c r="C1594" t="s">
        <v>2651</v>
      </c>
      <c r="D1594" t="s">
        <v>2652</v>
      </c>
      <c r="E1594" t="s">
        <v>2653</v>
      </c>
      <c r="F1594" t="s">
        <v>5</v>
      </c>
      <c r="G1594" t="s">
        <v>47072</v>
      </c>
      <c r="H1594" t="s">
        <v>47054</v>
      </c>
      <c r="I1594" t="s">
        <v>47116</v>
      </c>
      <c r="J1594" t="s">
        <v>47117</v>
      </c>
      <c r="K1594" t="s">
        <v>47113</v>
      </c>
      <c r="L1594">
        <v>28.97</v>
      </c>
      <c r="M1594">
        <v>73</v>
      </c>
      <c r="N1594">
        <v>0</v>
      </c>
      <c r="O1594">
        <v>73</v>
      </c>
      <c r="P1594">
        <v>0</v>
      </c>
    </row>
    <row r="1595" spans="1:16" x14ac:dyDescent="0.25">
      <c r="A1595" t="s">
        <v>14788</v>
      </c>
      <c r="B1595" t="s">
        <v>2654</v>
      </c>
      <c r="C1595" t="s">
        <v>2655</v>
      </c>
      <c r="D1595" t="str">
        <f>"1746"</f>
        <v>1746</v>
      </c>
      <c r="E1595" t="s">
        <v>807</v>
      </c>
      <c r="F1595" t="s">
        <v>4</v>
      </c>
      <c r="G1595" t="s">
        <v>47078</v>
      </c>
      <c r="H1595" t="s">
        <v>47054</v>
      </c>
      <c r="I1595" t="s">
        <v>47111</v>
      </c>
      <c r="J1595" t="s">
        <v>47112</v>
      </c>
      <c r="K1595" t="s">
        <v>47113</v>
      </c>
      <c r="L1595">
        <v>11.94</v>
      </c>
      <c r="M1595">
        <v>29</v>
      </c>
      <c r="N1595">
        <v>0</v>
      </c>
      <c r="O1595">
        <v>29</v>
      </c>
      <c r="P1595">
        <v>0</v>
      </c>
    </row>
    <row r="1596" spans="1:16" x14ac:dyDescent="0.25">
      <c r="A1596" t="s">
        <v>24050</v>
      </c>
      <c r="B1596" t="s">
        <v>2656</v>
      </c>
      <c r="C1596" t="s">
        <v>2657</v>
      </c>
      <c r="D1596" t="str">
        <f>"1746"</f>
        <v>1746</v>
      </c>
      <c r="E1596" t="s">
        <v>807</v>
      </c>
      <c r="F1596" t="s">
        <v>4</v>
      </c>
      <c r="G1596" t="s">
        <v>47078</v>
      </c>
      <c r="H1596" t="s">
        <v>47054</v>
      </c>
      <c r="I1596" t="s">
        <v>47111</v>
      </c>
      <c r="J1596" t="s">
        <v>47112</v>
      </c>
      <c r="K1596" t="s">
        <v>47113</v>
      </c>
      <c r="L1596">
        <v>12.41</v>
      </c>
      <c r="M1596">
        <v>30</v>
      </c>
      <c r="N1596">
        <v>0</v>
      </c>
      <c r="O1596">
        <v>30</v>
      </c>
      <c r="P1596">
        <v>0</v>
      </c>
    </row>
    <row r="1597" spans="1:16" x14ac:dyDescent="0.25">
      <c r="A1597" t="s">
        <v>14789</v>
      </c>
      <c r="B1597" t="s">
        <v>2656</v>
      </c>
      <c r="C1597" t="s">
        <v>2657</v>
      </c>
      <c r="D1597" t="str">
        <f>"6366"</f>
        <v>6366</v>
      </c>
      <c r="E1597" t="s">
        <v>2658</v>
      </c>
      <c r="F1597" t="s">
        <v>4</v>
      </c>
      <c r="G1597" t="s">
        <v>47078</v>
      </c>
      <c r="H1597" t="s">
        <v>47054</v>
      </c>
      <c r="I1597" t="s">
        <v>47111</v>
      </c>
      <c r="J1597" t="s">
        <v>47112</v>
      </c>
      <c r="K1597" t="s">
        <v>47113</v>
      </c>
      <c r="L1597">
        <v>12.72</v>
      </c>
      <c r="M1597">
        <v>31</v>
      </c>
      <c r="N1597">
        <v>0</v>
      </c>
      <c r="O1597">
        <v>31</v>
      </c>
      <c r="P1597">
        <v>0</v>
      </c>
    </row>
    <row r="1598" spans="1:16" x14ac:dyDescent="0.25">
      <c r="A1598" t="s">
        <v>24051</v>
      </c>
      <c r="B1598" t="s">
        <v>2659</v>
      </c>
      <c r="C1598" t="s">
        <v>2618</v>
      </c>
      <c r="D1598" t="str">
        <f>"6436"</f>
        <v>6436</v>
      </c>
      <c r="E1598" t="s">
        <v>2660</v>
      </c>
      <c r="F1598" t="s">
        <v>1</v>
      </c>
      <c r="G1598" t="s">
        <v>47135</v>
      </c>
      <c r="H1598" t="s">
        <v>47054</v>
      </c>
      <c r="I1598" t="s">
        <v>47120</v>
      </c>
      <c r="J1598" t="s">
        <v>47121</v>
      </c>
      <c r="K1598" t="s">
        <v>47113</v>
      </c>
      <c r="L1598">
        <v>23.11</v>
      </c>
      <c r="M1598">
        <v>57</v>
      </c>
      <c r="N1598">
        <v>0</v>
      </c>
      <c r="O1598">
        <v>57</v>
      </c>
      <c r="P1598">
        <v>0</v>
      </c>
    </row>
    <row r="1599" spans="1:16" x14ac:dyDescent="0.25">
      <c r="A1599" t="s">
        <v>24052</v>
      </c>
      <c r="B1599" t="s">
        <v>2661</v>
      </c>
      <c r="C1599" t="s">
        <v>2662</v>
      </c>
      <c r="D1599" t="str">
        <f>"1001"</f>
        <v>1001</v>
      </c>
      <c r="E1599" t="s">
        <v>2663</v>
      </c>
      <c r="F1599" t="s">
        <v>4</v>
      </c>
      <c r="G1599" t="s">
        <v>47077</v>
      </c>
      <c r="H1599" t="s">
        <v>47054</v>
      </c>
      <c r="I1599" t="s">
        <v>47120</v>
      </c>
      <c r="J1599" t="s">
        <v>47121</v>
      </c>
      <c r="K1599" t="s">
        <v>47113</v>
      </c>
      <c r="L1599">
        <v>26.83</v>
      </c>
      <c r="M1599">
        <v>65</v>
      </c>
      <c r="N1599">
        <v>0</v>
      </c>
      <c r="O1599">
        <v>65</v>
      </c>
      <c r="P1599">
        <v>0</v>
      </c>
    </row>
    <row r="1600" spans="1:16" x14ac:dyDescent="0.25">
      <c r="A1600" t="s">
        <v>24053</v>
      </c>
      <c r="B1600" t="s">
        <v>2661</v>
      </c>
      <c r="C1600" t="s">
        <v>2662</v>
      </c>
      <c r="D1600" t="str">
        <f>"1399"</f>
        <v>1399</v>
      </c>
      <c r="E1600" t="s">
        <v>2664</v>
      </c>
      <c r="F1600" t="s">
        <v>4</v>
      </c>
      <c r="G1600" t="s">
        <v>47077</v>
      </c>
      <c r="H1600" t="s">
        <v>47054</v>
      </c>
      <c r="I1600" t="s">
        <v>47120</v>
      </c>
      <c r="J1600" t="s">
        <v>47121</v>
      </c>
      <c r="K1600" t="s">
        <v>47113</v>
      </c>
      <c r="L1600">
        <v>26.83</v>
      </c>
      <c r="M1600">
        <v>65</v>
      </c>
      <c r="N1600">
        <v>0</v>
      </c>
      <c r="O1600">
        <v>65</v>
      </c>
      <c r="P1600">
        <v>0</v>
      </c>
    </row>
    <row r="1601" spans="1:16" x14ac:dyDescent="0.25">
      <c r="A1601" t="s">
        <v>24054</v>
      </c>
      <c r="B1601" t="s">
        <v>2661</v>
      </c>
      <c r="C1601" t="s">
        <v>2662</v>
      </c>
      <c r="D1601" t="str">
        <f>"2415"</f>
        <v>2415</v>
      </c>
      <c r="E1601" t="s">
        <v>2665</v>
      </c>
      <c r="F1601" t="s">
        <v>4</v>
      </c>
      <c r="G1601" t="s">
        <v>47077</v>
      </c>
      <c r="H1601" t="s">
        <v>47054</v>
      </c>
      <c r="I1601" t="s">
        <v>47120</v>
      </c>
      <c r="J1601" t="s">
        <v>47121</v>
      </c>
      <c r="K1601" t="s">
        <v>47113</v>
      </c>
      <c r="L1601">
        <v>26.83</v>
      </c>
      <c r="M1601">
        <v>65</v>
      </c>
      <c r="N1601">
        <v>0</v>
      </c>
      <c r="O1601">
        <v>65</v>
      </c>
      <c r="P1601">
        <v>0</v>
      </c>
    </row>
    <row r="1602" spans="1:16" x14ac:dyDescent="0.25">
      <c r="A1602" t="s">
        <v>24055</v>
      </c>
      <c r="B1602" t="s">
        <v>2666</v>
      </c>
      <c r="C1602" t="s">
        <v>2667</v>
      </c>
      <c r="D1602" t="s">
        <v>721</v>
      </c>
      <c r="E1602" t="s">
        <v>722</v>
      </c>
      <c r="F1602" t="s">
        <v>4</v>
      </c>
      <c r="G1602" t="s">
        <v>47072</v>
      </c>
      <c r="H1602" t="s">
        <v>47054</v>
      </c>
      <c r="I1602" t="s">
        <v>47116</v>
      </c>
      <c r="J1602" t="s">
        <v>47117</v>
      </c>
      <c r="K1602" t="s">
        <v>47113</v>
      </c>
      <c r="L1602">
        <v>13.63</v>
      </c>
      <c r="M1602">
        <v>33</v>
      </c>
      <c r="N1602">
        <v>0</v>
      </c>
      <c r="O1602">
        <v>33</v>
      </c>
      <c r="P1602">
        <v>0</v>
      </c>
    </row>
    <row r="1603" spans="1:16" x14ac:dyDescent="0.25">
      <c r="A1603" t="s">
        <v>14790</v>
      </c>
      <c r="B1603" t="s">
        <v>2668</v>
      </c>
      <c r="C1603" t="s">
        <v>2669</v>
      </c>
      <c r="D1603" t="s">
        <v>721</v>
      </c>
      <c r="E1603" t="s">
        <v>722</v>
      </c>
      <c r="F1603" t="s">
        <v>3</v>
      </c>
      <c r="G1603" t="s">
        <v>47072</v>
      </c>
      <c r="H1603" t="s">
        <v>47054</v>
      </c>
      <c r="I1603" t="s">
        <v>47116</v>
      </c>
      <c r="J1603" t="s">
        <v>47117</v>
      </c>
      <c r="K1603" t="s">
        <v>47113</v>
      </c>
      <c r="L1603">
        <v>20.77</v>
      </c>
      <c r="M1603">
        <v>51</v>
      </c>
      <c r="N1603">
        <v>0</v>
      </c>
      <c r="O1603">
        <v>51</v>
      </c>
      <c r="P1603">
        <v>0</v>
      </c>
    </row>
    <row r="1604" spans="1:16" x14ac:dyDescent="0.25">
      <c r="A1604" t="s">
        <v>24056</v>
      </c>
      <c r="B1604" t="s">
        <v>2670</v>
      </c>
      <c r="C1604" t="s">
        <v>2671</v>
      </c>
      <c r="D1604" t="str">
        <f>"1821"</f>
        <v>1821</v>
      </c>
      <c r="E1604" t="s">
        <v>590</v>
      </c>
      <c r="F1604" t="s">
        <v>4</v>
      </c>
      <c r="G1604" t="s">
        <v>47073</v>
      </c>
      <c r="H1604" t="s">
        <v>47054</v>
      </c>
      <c r="I1604" t="s">
        <v>47111</v>
      </c>
      <c r="J1604" t="s">
        <v>47112</v>
      </c>
      <c r="K1604" t="s">
        <v>47113</v>
      </c>
      <c r="L1604">
        <v>7.35</v>
      </c>
      <c r="M1604">
        <v>18</v>
      </c>
      <c r="N1604">
        <v>0</v>
      </c>
      <c r="O1604">
        <v>18</v>
      </c>
      <c r="P1604">
        <v>0</v>
      </c>
    </row>
    <row r="1605" spans="1:16" x14ac:dyDescent="0.25">
      <c r="A1605" t="s">
        <v>24057</v>
      </c>
      <c r="B1605" t="s">
        <v>2672</v>
      </c>
      <c r="C1605" t="s">
        <v>2673</v>
      </c>
      <c r="D1605" t="str">
        <f>"1821"</f>
        <v>1821</v>
      </c>
      <c r="E1605" t="s">
        <v>590</v>
      </c>
      <c r="F1605" t="s">
        <v>4</v>
      </c>
      <c r="G1605" t="s">
        <v>47073</v>
      </c>
      <c r="H1605" t="s">
        <v>47054</v>
      </c>
      <c r="I1605" t="s">
        <v>47111</v>
      </c>
      <c r="J1605" t="s">
        <v>47112</v>
      </c>
      <c r="K1605" t="s">
        <v>47113</v>
      </c>
      <c r="L1605">
        <v>8.1199999999999992</v>
      </c>
      <c r="M1605">
        <v>20</v>
      </c>
      <c r="N1605">
        <v>0</v>
      </c>
      <c r="O1605">
        <v>20</v>
      </c>
      <c r="P1605">
        <v>0</v>
      </c>
    </row>
    <row r="1606" spans="1:16" x14ac:dyDescent="0.25">
      <c r="A1606" t="s">
        <v>24058</v>
      </c>
      <c r="B1606" t="s">
        <v>2674</v>
      </c>
      <c r="C1606" t="s">
        <v>2675</v>
      </c>
      <c r="D1606" t="str">
        <f>"1821"</f>
        <v>1821</v>
      </c>
      <c r="E1606" t="s">
        <v>590</v>
      </c>
      <c r="F1606" t="s">
        <v>4</v>
      </c>
      <c r="G1606" t="s">
        <v>47073</v>
      </c>
      <c r="H1606" t="s">
        <v>47054</v>
      </c>
      <c r="I1606" t="s">
        <v>47111</v>
      </c>
      <c r="J1606" t="s">
        <v>47112</v>
      </c>
      <c r="K1606" t="s">
        <v>47113</v>
      </c>
      <c r="L1606">
        <v>8.08</v>
      </c>
      <c r="M1606">
        <v>20</v>
      </c>
      <c r="N1606">
        <v>0</v>
      </c>
      <c r="O1606">
        <v>20</v>
      </c>
      <c r="P1606">
        <v>0</v>
      </c>
    </row>
    <row r="1607" spans="1:16" x14ac:dyDescent="0.25">
      <c r="A1607" t="s">
        <v>24059</v>
      </c>
      <c r="B1607" t="s">
        <v>2676</v>
      </c>
      <c r="C1607" t="s">
        <v>2677</v>
      </c>
      <c r="D1607" t="str">
        <f>"1746"</f>
        <v>1746</v>
      </c>
      <c r="E1607" t="s">
        <v>807</v>
      </c>
      <c r="F1607" t="s">
        <v>1</v>
      </c>
      <c r="G1607" t="s">
        <v>47073</v>
      </c>
      <c r="H1607" t="s">
        <v>47054</v>
      </c>
      <c r="I1607" t="s">
        <v>47111</v>
      </c>
      <c r="J1607" t="s">
        <v>47112</v>
      </c>
      <c r="K1607" t="s">
        <v>47113</v>
      </c>
      <c r="L1607">
        <v>7.9</v>
      </c>
      <c r="M1607">
        <v>19</v>
      </c>
      <c r="N1607">
        <v>0</v>
      </c>
      <c r="O1607">
        <v>19</v>
      </c>
      <c r="P1607">
        <v>0</v>
      </c>
    </row>
    <row r="1608" spans="1:16" x14ac:dyDescent="0.25">
      <c r="A1608" t="s">
        <v>24060</v>
      </c>
      <c r="B1608" t="s">
        <v>2678</v>
      </c>
      <c r="C1608" t="s">
        <v>2679</v>
      </c>
      <c r="D1608" t="str">
        <f>"1746"</f>
        <v>1746</v>
      </c>
      <c r="E1608" t="s">
        <v>807</v>
      </c>
      <c r="F1608" t="s">
        <v>0</v>
      </c>
      <c r="G1608" t="s">
        <v>47078</v>
      </c>
      <c r="H1608" t="s">
        <v>47054</v>
      </c>
      <c r="I1608" t="s">
        <v>47111</v>
      </c>
      <c r="J1608" t="s">
        <v>47112</v>
      </c>
      <c r="K1608" t="s">
        <v>47113</v>
      </c>
      <c r="L1608">
        <v>11.95</v>
      </c>
      <c r="M1608">
        <v>29</v>
      </c>
      <c r="N1608">
        <v>0</v>
      </c>
      <c r="O1608">
        <v>29</v>
      </c>
      <c r="P1608">
        <v>0</v>
      </c>
    </row>
    <row r="1609" spans="1:16" x14ac:dyDescent="0.25">
      <c r="A1609" t="s">
        <v>24061</v>
      </c>
      <c r="B1609" t="s">
        <v>2680</v>
      </c>
      <c r="C1609" t="s">
        <v>2681</v>
      </c>
      <c r="D1609" t="str">
        <f>"1821"</f>
        <v>1821</v>
      </c>
      <c r="E1609" t="s">
        <v>590</v>
      </c>
      <c r="F1609" t="s">
        <v>1</v>
      </c>
      <c r="G1609" t="s">
        <v>47073</v>
      </c>
      <c r="H1609" t="s">
        <v>47054</v>
      </c>
      <c r="I1609" t="s">
        <v>47111</v>
      </c>
      <c r="J1609" t="s">
        <v>47112</v>
      </c>
      <c r="K1609" t="s">
        <v>47113</v>
      </c>
      <c r="L1609">
        <v>8.2200000000000006</v>
      </c>
      <c r="M1609">
        <v>20</v>
      </c>
      <c r="N1609">
        <v>0</v>
      </c>
      <c r="O1609">
        <v>20</v>
      </c>
      <c r="P1609">
        <v>0</v>
      </c>
    </row>
    <row r="1610" spans="1:16" x14ac:dyDescent="0.25">
      <c r="A1610" t="s">
        <v>24062</v>
      </c>
      <c r="B1610" t="s">
        <v>2682</v>
      </c>
      <c r="C1610" t="s">
        <v>2683</v>
      </c>
      <c r="D1610" t="str">
        <f>"1821"</f>
        <v>1821</v>
      </c>
      <c r="E1610" t="s">
        <v>590</v>
      </c>
      <c r="F1610" t="s">
        <v>1</v>
      </c>
      <c r="G1610" t="s">
        <v>47073</v>
      </c>
      <c r="H1610" t="s">
        <v>47054</v>
      </c>
      <c r="I1610" t="s">
        <v>47111</v>
      </c>
      <c r="J1610" t="s">
        <v>47112</v>
      </c>
      <c r="K1610" t="s">
        <v>47113</v>
      </c>
      <c r="L1610">
        <v>8.32</v>
      </c>
      <c r="M1610">
        <v>20</v>
      </c>
      <c r="N1610">
        <v>0</v>
      </c>
      <c r="O1610">
        <v>20</v>
      </c>
      <c r="P1610">
        <v>0</v>
      </c>
    </row>
    <row r="1611" spans="1:16" x14ac:dyDescent="0.25">
      <c r="A1611" t="s">
        <v>24063</v>
      </c>
      <c r="B1611" t="s">
        <v>2684</v>
      </c>
      <c r="C1611" t="s">
        <v>2685</v>
      </c>
      <c r="D1611" t="str">
        <f>"1035"</f>
        <v>1035</v>
      </c>
      <c r="E1611" t="s">
        <v>758</v>
      </c>
      <c r="F1611" t="s">
        <v>4</v>
      </c>
      <c r="G1611" t="s">
        <v>47073</v>
      </c>
      <c r="H1611" t="s">
        <v>47054</v>
      </c>
      <c r="I1611" t="s">
        <v>47111</v>
      </c>
      <c r="J1611" t="s">
        <v>47112</v>
      </c>
      <c r="K1611" t="s">
        <v>47113</v>
      </c>
      <c r="L1611">
        <v>11.76</v>
      </c>
      <c r="M1611">
        <v>29</v>
      </c>
      <c r="N1611">
        <v>0</v>
      </c>
      <c r="O1611">
        <v>29</v>
      </c>
      <c r="P1611">
        <v>0</v>
      </c>
    </row>
    <row r="1612" spans="1:16" x14ac:dyDescent="0.25">
      <c r="A1612" t="s">
        <v>24064</v>
      </c>
      <c r="B1612" t="s">
        <v>2684</v>
      </c>
      <c r="C1612" t="s">
        <v>2685</v>
      </c>
      <c r="D1612" t="str">
        <f>"1746"</f>
        <v>1746</v>
      </c>
      <c r="E1612" t="s">
        <v>807</v>
      </c>
      <c r="F1612" t="s">
        <v>4</v>
      </c>
      <c r="G1612" t="s">
        <v>47073</v>
      </c>
      <c r="H1612" t="s">
        <v>47054</v>
      </c>
      <c r="I1612" t="s">
        <v>47111</v>
      </c>
      <c r="J1612" t="s">
        <v>47112</v>
      </c>
      <c r="K1612" t="s">
        <v>47113</v>
      </c>
      <c r="L1612">
        <v>11.76</v>
      </c>
      <c r="M1612">
        <v>29</v>
      </c>
      <c r="N1612">
        <v>0</v>
      </c>
      <c r="O1612">
        <v>29</v>
      </c>
      <c r="P1612">
        <v>0</v>
      </c>
    </row>
    <row r="1613" spans="1:16" x14ac:dyDescent="0.25">
      <c r="A1613" t="s">
        <v>24065</v>
      </c>
      <c r="B1613" t="s">
        <v>2684</v>
      </c>
      <c r="C1613" t="s">
        <v>2685</v>
      </c>
      <c r="D1613" t="str">
        <f>"6366"</f>
        <v>6366</v>
      </c>
      <c r="E1613" t="s">
        <v>2658</v>
      </c>
      <c r="F1613" t="s">
        <v>4</v>
      </c>
      <c r="G1613" t="s">
        <v>47073</v>
      </c>
      <c r="H1613" t="s">
        <v>47054</v>
      </c>
      <c r="I1613" t="s">
        <v>47111</v>
      </c>
      <c r="J1613" t="s">
        <v>47112</v>
      </c>
      <c r="K1613" t="s">
        <v>47113</v>
      </c>
      <c r="L1613">
        <v>11.76</v>
      </c>
      <c r="M1613">
        <v>29</v>
      </c>
      <c r="N1613">
        <v>0</v>
      </c>
      <c r="O1613">
        <v>29</v>
      </c>
      <c r="P1613">
        <v>0</v>
      </c>
    </row>
    <row r="1614" spans="1:16" x14ac:dyDescent="0.25">
      <c r="A1614" t="s">
        <v>14791</v>
      </c>
      <c r="B1614" t="s">
        <v>2686</v>
      </c>
      <c r="C1614" t="s">
        <v>2687</v>
      </c>
      <c r="D1614" t="str">
        <f>"1746"</f>
        <v>1746</v>
      </c>
      <c r="E1614" t="s">
        <v>807</v>
      </c>
      <c r="F1614" t="s">
        <v>4</v>
      </c>
      <c r="G1614" t="s">
        <v>47073</v>
      </c>
      <c r="H1614" t="s">
        <v>47054</v>
      </c>
      <c r="I1614" t="s">
        <v>47111</v>
      </c>
      <c r="J1614" t="s">
        <v>47112</v>
      </c>
      <c r="K1614" t="s">
        <v>47113</v>
      </c>
      <c r="L1614">
        <v>10.98</v>
      </c>
      <c r="M1614">
        <v>23</v>
      </c>
      <c r="N1614">
        <v>0</v>
      </c>
      <c r="O1614">
        <v>23</v>
      </c>
      <c r="P1614">
        <v>0</v>
      </c>
    </row>
    <row r="1615" spans="1:16" x14ac:dyDescent="0.25">
      <c r="A1615" t="s">
        <v>24066</v>
      </c>
      <c r="B1615" t="s">
        <v>2688</v>
      </c>
      <c r="C1615" t="s">
        <v>2689</v>
      </c>
      <c r="D1615" t="str">
        <f>"3021"</f>
        <v>3021</v>
      </c>
      <c r="E1615" t="s">
        <v>2690</v>
      </c>
      <c r="F1615" t="s">
        <v>4</v>
      </c>
      <c r="G1615" t="s">
        <v>47073</v>
      </c>
      <c r="H1615" t="s">
        <v>47054</v>
      </c>
      <c r="I1615" t="s">
        <v>47111</v>
      </c>
      <c r="J1615" t="s">
        <v>47112</v>
      </c>
      <c r="K1615" t="s">
        <v>47113</v>
      </c>
      <c r="L1615">
        <v>9.43</v>
      </c>
      <c r="M1615">
        <v>23</v>
      </c>
      <c r="N1615">
        <v>0</v>
      </c>
      <c r="O1615">
        <v>23</v>
      </c>
      <c r="P1615">
        <v>0</v>
      </c>
    </row>
    <row r="1616" spans="1:16" x14ac:dyDescent="0.25">
      <c r="A1616" t="s">
        <v>24067</v>
      </c>
      <c r="B1616" t="s">
        <v>2691</v>
      </c>
      <c r="C1616" t="s">
        <v>2692</v>
      </c>
      <c r="D1616" t="str">
        <f>"1317"</f>
        <v>1317</v>
      </c>
      <c r="E1616" t="s">
        <v>2693</v>
      </c>
      <c r="F1616" t="s">
        <v>4</v>
      </c>
      <c r="G1616" t="s">
        <v>47073</v>
      </c>
      <c r="H1616" t="s">
        <v>47054</v>
      </c>
      <c r="I1616" t="s">
        <v>47111</v>
      </c>
      <c r="J1616" t="s">
        <v>47112</v>
      </c>
      <c r="K1616" t="s">
        <v>47113</v>
      </c>
      <c r="L1616">
        <v>9.0299999999999994</v>
      </c>
      <c r="M1616">
        <v>22</v>
      </c>
      <c r="N1616">
        <v>0</v>
      </c>
      <c r="O1616">
        <v>22</v>
      </c>
      <c r="P1616">
        <v>0</v>
      </c>
    </row>
    <row r="1617" spans="1:16" x14ac:dyDescent="0.25">
      <c r="A1617" t="s">
        <v>14792</v>
      </c>
      <c r="B1617" t="s">
        <v>2694</v>
      </c>
      <c r="C1617" t="s">
        <v>2695</v>
      </c>
      <c r="D1617" t="str">
        <f>"1035"</f>
        <v>1035</v>
      </c>
      <c r="E1617" t="s">
        <v>758</v>
      </c>
      <c r="F1617" t="s">
        <v>4</v>
      </c>
      <c r="G1617" t="s">
        <v>47073</v>
      </c>
      <c r="H1617" t="s">
        <v>47054</v>
      </c>
      <c r="I1617" t="s">
        <v>47111</v>
      </c>
      <c r="J1617" t="s">
        <v>47112</v>
      </c>
      <c r="K1617" t="s">
        <v>47113</v>
      </c>
      <c r="L1617">
        <v>9.43</v>
      </c>
      <c r="M1617">
        <v>23</v>
      </c>
      <c r="N1617">
        <v>0</v>
      </c>
      <c r="O1617">
        <v>23</v>
      </c>
      <c r="P1617">
        <v>0</v>
      </c>
    </row>
    <row r="1618" spans="1:16" x14ac:dyDescent="0.25">
      <c r="A1618" t="s">
        <v>24068</v>
      </c>
      <c r="B1618" t="s">
        <v>2694</v>
      </c>
      <c r="C1618" t="s">
        <v>2695</v>
      </c>
      <c r="D1618" t="str">
        <f>"1746"</f>
        <v>1746</v>
      </c>
      <c r="E1618" t="s">
        <v>807</v>
      </c>
      <c r="F1618" t="s">
        <v>4</v>
      </c>
      <c r="G1618" t="s">
        <v>47073</v>
      </c>
      <c r="H1618" t="s">
        <v>47054</v>
      </c>
      <c r="I1618" t="s">
        <v>47111</v>
      </c>
      <c r="J1618" t="s">
        <v>47112</v>
      </c>
      <c r="K1618" t="s">
        <v>47113</v>
      </c>
      <c r="L1618">
        <v>9.43</v>
      </c>
      <c r="M1618">
        <v>23</v>
      </c>
      <c r="N1618">
        <v>0</v>
      </c>
      <c r="O1618">
        <v>23</v>
      </c>
      <c r="P1618">
        <v>0</v>
      </c>
    </row>
    <row r="1619" spans="1:16" x14ac:dyDescent="0.25">
      <c r="A1619" t="s">
        <v>24069</v>
      </c>
      <c r="B1619" t="s">
        <v>2696</v>
      </c>
      <c r="C1619" t="s">
        <v>2697</v>
      </c>
      <c r="D1619" t="str">
        <f>"1739"</f>
        <v>1739</v>
      </c>
      <c r="E1619" t="s">
        <v>2698</v>
      </c>
      <c r="F1619" t="s">
        <v>0</v>
      </c>
      <c r="G1619" t="s">
        <v>47073</v>
      </c>
      <c r="H1619" t="s">
        <v>47054</v>
      </c>
      <c r="I1619" t="s">
        <v>47111</v>
      </c>
      <c r="J1619" t="s">
        <v>47112</v>
      </c>
      <c r="K1619" t="s">
        <v>47113</v>
      </c>
      <c r="L1619">
        <v>10.15</v>
      </c>
      <c r="M1619">
        <v>25</v>
      </c>
      <c r="N1619">
        <v>0</v>
      </c>
      <c r="O1619">
        <v>25</v>
      </c>
      <c r="P1619">
        <v>0</v>
      </c>
    </row>
    <row r="1620" spans="1:16" x14ac:dyDescent="0.25">
      <c r="A1620" t="s">
        <v>24070</v>
      </c>
      <c r="B1620" t="s">
        <v>2699</v>
      </c>
      <c r="C1620" t="s">
        <v>2700</v>
      </c>
      <c r="D1620" t="str">
        <f>"4135"</f>
        <v>4135</v>
      </c>
      <c r="E1620" t="s">
        <v>2701</v>
      </c>
      <c r="F1620" t="s">
        <v>0</v>
      </c>
      <c r="G1620" t="s">
        <v>47073</v>
      </c>
      <c r="H1620" t="s">
        <v>47054</v>
      </c>
      <c r="I1620" t="s">
        <v>47111</v>
      </c>
      <c r="J1620" t="s">
        <v>47112</v>
      </c>
      <c r="K1620" t="s">
        <v>47113</v>
      </c>
      <c r="L1620">
        <v>10.49</v>
      </c>
      <c r="M1620">
        <v>26</v>
      </c>
      <c r="N1620">
        <v>0</v>
      </c>
      <c r="O1620">
        <v>26</v>
      </c>
      <c r="P1620">
        <v>0</v>
      </c>
    </row>
    <row r="1621" spans="1:16" x14ac:dyDescent="0.25">
      <c r="A1621" t="s">
        <v>14793</v>
      </c>
      <c r="B1621" t="s">
        <v>2699</v>
      </c>
      <c r="C1621" t="s">
        <v>2700</v>
      </c>
      <c r="D1621" t="str">
        <f>"8030"</f>
        <v>8030</v>
      </c>
      <c r="E1621" t="s">
        <v>1150</v>
      </c>
      <c r="F1621" t="s">
        <v>0</v>
      </c>
      <c r="G1621" t="s">
        <v>47073</v>
      </c>
      <c r="H1621" t="s">
        <v>47054</v>
      </c>
      <c r="I1621" t="s">
        <v>47111</v>
      </c>
      <c r="J1621" t="s">
        <v>47112</v>
      </c>
      <c r="K1621" t="s">
        <v>47113</v>
      </c>
      <c r="L1621">
        <v>10.49</v>
      </c>
      <c r="M1621">
        <v>26</v>
      </c>
      <c r="N1621">
        <v>0</v>
      </c>
      <c r="O1621">
        <v>26</v>
      </c>
      <c r="P1621">
        <v>0</v>
      </c>
    </row>
    <row r="1622" spans="1:16" x14ac:dyDescent="0.25">
      <c r="A1622" t="s">
        <v>24071</v>
      </c>
      <c r="B1622" t="s">
        <v>2702</v>
      </c>
      <c r="C1622" t="s">
        <v>2703</v>
      </c>
      <c r="D1622" t="str">
        <f>"1821"</f>
        <v>1821</v>
      </c>
      <c r="E1622" t="s">
        <v>590</v>
      </c>
      <c r="F1622" t="s">
        <v>0</v>
      </c>
      <c r="G1622" t="s">
        <v>47073</v>
      </c>
      <c r="H1622" t="s">
        <v>47054</v>
      </c>
      <c r="I1622" t="s">
        <v>47111</v>
      </c>
      <c r="J1622" t="s">
        <v>47112</v>
      </c>
      <c r="K1622" t="s">
        <v>47113</v>
      </c>
      <c r="L1622">
        <v>10.32</v>
      </c>
      <c r="M1622">
        <v>25</v>
      </c>
      <c r="N1622">
        <v>0</v>
      </c>
      <c r="O1622">
        <v>25</v>
      </c>
      <c r="P1622">
        <v>0</v>
      </c>
    </row>
    <row r="1623" spans="1:16" x14ac:dyDescent="0.25">
      <c r="A1623" t="s">
        <v>24072</v>
      </c>
      <c r="B1623" t="s">
        <v>2704</v>
      </c>
      <c r="C1623" t="s">
        <v>2705</v>
      </c>
      <c r="D1623" t="str">
        <f>"6035"</f>
        <v>6035</v>
      </c>
      <c r="E1623" t="s">
        <v>2598</v>
      </c>
      <c r="F1623" t="s">
        <v>0</v>
      </c>
      <c r="G1623" t="s">
        <v>47073</v>
      </c>
      <c r="H1623" t="s">
        <v>47054</v>
      </c>
      <c r="I1623" t="s">
        <v>47111</v>
      </c>
      <c r="J1623" t="s">
        <v>47112</v>
      </c>
      <c r="K1623" t="s">
        <v>47113</v>
      </c>
      <c r="L1623">
        <v>10.68</v>
      </c>
      <c r="M1623">
        <v>26</v>
      </c>
      <c r="N1623">
        <v>0</v>
      </c>
      <c r="O1623">
        <v>26</v>
      </c>
      <c r="P1623">
        <v>0</v>
      </c>
    </row>
    <row r="1624" spans="1:16" x14ac:dyDescent="0.25">
      <c r="A1624" t="s">
        <v>24073</v>
      </c>
      <c r="B1624" t="s">
        <v>2706</v>
      </c>
      <c r="C1624" t="s">
        <v>2707</v>
      </c>
      <c r="D1624" t="str">
        <f>"1821"</f>
        <v>1821</v>
      </c>
      <c r="E1624" t="s">
        <v>590</v>
      </c>
      <c r="F1624" t="s">
        <v>0</v>
      </c>
      <c r="G1624" t="s">
        <v>47073</v>
      </c>
      <c r="H1624" t="s">
        <v>47054</v>
      </c>
      <c r="I1624" t="s">
        <v>47111</v>
      </c>
      <c r="J1624" t="s">
        <v>47112</v>
      </c>
      <c r="K1624" t="s">
        <v>47113</v>
      </c>
      <c r="L1624">
        <v>9.69</v>
      </c>
      <c r="M1624">
        <v>23</v>
      </c>
      <c r="N1624">
        <v>0</v>
      </c>
      <c r="O1624">
        <v>23</v>
      </c>
      <c r="P1624">
        <v>0</v>
      </c>
    </row>
    <row r="1625" spans="1:16" x14ac:dyDescent="0.25">
      <c r="A1625" t="s">
        <v>24074</v>
      </c>
      <c r="B1625" t="s">
        <v>2708</v>
      </c>
      <c r="C1625" t="s">
        <v>2709</v>
      </c>
      <c r="D1625" t="str">
        <f>"4704"</f>
        <v>4704</v>
      </c>
      <c r="E1625" t="s">
        <v>2710</v>
      </c>
      <c r="F1625" t="s">
        <v>0</v>
      </c>
      <c r="G1625" t="s">
        <v>47073</v>
      </c>
      <c r="H1625" t="s">
        <v>47054</v>
      </c>
      <c r="I1625" t="s">
        <v>47111</v>
      </c>
      <c r="J1625" t="s">
        <v>47112</v>
      </c>
      <c r="K1625" t="s">
        <v>47113</v>
      </c>
      <c r="L1625">
        <v>9.2200000000000006</v>
      </c>
      <c r="M1625">
        <v>23</v>
      </c>
      <c r="N1625">
        <v>0</v>
      </c>
      <c r="O1625">
        <v>23</v>
      </c>
      <c r="P1625">
        <v>0</v>
      </c>
    </row>
    <row r="1626" spans="1:16" x14ac:dyDescent="0.25">
      <c r="A1626" t="s">
        <v>24075</v>
      </c>
      <c r="B1626" t="s">
        <v>2711</v>
      </c>
      <c r="C1626" t="s">
        <v>2712</v>
      </c>
      <c r="D1626" t="str">
        <f>"3476"</f>
        <v>3476</v>
      </c>
      <c r="E1626" t="s">
        <v>2713</v>
      </c>
      <c r="F1626" t="s">
        <v>0</v>
      </c>
      <c r="G1626" t="s">
        <v>47073</v>
      </c>
      <c r="H1626" t="s">
        <v>47054</v>
      </c>
      <c r="I1626" t="s">
        <v>47111</v>
      </c>
      <c r="J1626" t="s">
        <v>47112</v>
      </c>
      <c r="K1626" t="s">
        <v>47113</v>
      </c>
      <c r="L1626">
        <v>10.97</v>
      </c>
      <c r="M1626">
        <v>27</v>
      </c>
      <c r="N1626">
        <v>0</v>
      </c>
      <c r="O1626">
        <v>27</v>
      </c>
      <c r="P1626">
        <v>0</v>
      </c>
    </row>
    <row r="1627" spans="1:16" x14ac:dyDescent="0.25">
      <c r="A1627" t="s">
        <v>24076</v>
      </c>
      <c r="B1627" t="s">
        <v>2714</v>
      </c>
      <c r="C1627" t="s">
        <v>2715</v>
      </c>
      <c r="D1627" t="str">
        <f>"6400"</f>
        <v>6400</v>
      </c>
      <c r="E1627" t="s">
        <v>2716</v>
      </c>
      <c r="F1627" t="s">
        <v>4</v>
      </c>
      <c r="G1627" t="s">
        <v>47073</v>
      </c>
      <c r="H1627" t="s">
        <v>47054</v>
      </c>
      <c r="I1627" t="s">
        <v>47111</v>
      </c>
      <c r="J1627" t="s">
        <v>47112</v>
      </c>
      <c r="K1627" t="s">
        <v>47113</v>
      </c>
      <c r="L1627">
        <v>9.51</v>
      </c>
      <c r="M1627">
        <v>23</v>
      </c>
      <c r="N1627">
        <v>0</v>
      </c>
      <c r="O1627">
        <v>23</v>
      </c>
      <c r="P1627">
        <v>0</v>
      </c>
    </row>
    <row r="1628" spans="1:16" x14ac:dyDescent="0.25">
      <c r="A1628" t="s">
        <v>24077</v>
      </c>
      <c r="B1628" t="s">
        <v>2717</v>
      </c>
      <c r="C1628" t="s">
        <v>2718</v>
      </c>
      <c r="D1628" t="str">
        <f>"4135"</f>
        <v>4135</v>
      </c>
      <c r="E1628" t="s">
        <v>2701</v>
      </c>
      <c r="F1628" t="s">
        <v>4</v>
      </c>
      <c r="G1628" t="s">
        <v>47073</v>
      </c>
      <c r="H1628" t="s">
        <v>47054</v>
      </c>
      <c r="I1628" t="s">
        <v>47111</v>
      </c>
      <c r="J1628" t="s">
        <v>47112</v>
      </c>
      <c r="K1628" t="s">
        <v>47113</v>
      </c>
      <c r="L1628">
        <v>8.81</v>
      </c>
      <c r="M1628">
        <v>22</v>
      </c>
      <c r="N1628">
        <v>0</v>
      </c>
      <c r="O1628">
        <v>22</v>
      </c>
      <c r="P1628">
        <v>0</v>
      </c>
    </row>
    <row r="1629" spans="1:16" x14ac:dyDescent="0.25">
      <c r="A1629" t="s">
        <v>24078</v>
      </c>
      <c r="B1629" t="s">
        <v>2719</v>
      </c>
      <c r="C1629" t="s">
        <v>2720</v>
      </c>
      <c r="D1629" t="str">
        <f>"8405"</f>
        <v>8405</v>
      </c>
      <c r="E1629" t="s">
        <v>2721</v>
      </c>
      <c r="F1629" t="s">
        <v>1</v>
      </c>
      <c r="G1629" t="s">
        <v>47073</v>
      </c>
      <c r="H1629" t="s">
        <v>47054</v>
      </c>
      <c r="I1629" t="s">
        <v>47111</v>
      </c>
      <c r="J1629" t="s">
        <v>47112</v>
      </c>
      <c r="K1629" t="s">
        <v>47113</v>
      </c>
      <c r="L1629">
        <v>8.17</v>
      </c>
      <c r="M1629">
        <v>20</v>
      </c>
      <c r="N1629">
        <v>0</v>
      </c>
      <c r="O1629">
        <v>20</v>
      </c>
      <c r="P1629">
        <v>0</v>
      </c>
    </row>
    <row r="1630" spans="1:16" x14ac:dyDescent="0.25">
      <c r="A1630" t="s">
        <v>24079</v>
      </c>
      <c r="B1630" t="s">
        <v>2722</v>
      </c>
      <c r="C1630" t="s">
        <v>19539</v>
      </c>
      <c r="D1630" t="str">
        <f>"4893"</f>
        <v>4893</v>
      </c>
      <c r="E1630" t="s">
        <v>2724</v>
      </c>
      <c r="F1630" t="s">
        <v>2068</v>
      </c>
      <c r="G1630" t="s">
        <v>47072</v>
      </c>
      <c r="H1630" t="s">
        <v>47071</v>
      </c>
      <c r="I1630" t="s">
        <v>47120</v>
      </c>
      <c r="J1630" t="s">
        <v>47121</v>
      </c>
      <c r="K1630" t="s">
        <v>47113</v>
      </c>
      <c r="L1630">
        <v>12.14</v>
      </c>
      <c r="M1630">
        <v>26</v>
      </c>
      <c r="N1630">
        <v>0</v>
      </c>
      <c r="O1630">
        <v>26</v>
      </c>
      <c r="P1630">
        <v>0</v>
      </c>
    </row>
    <row r="1631" spans="1:16" x14ac:dyDescent="0.25">
      <c r="A1631" t="s">
        <v>24080</v>
      </c>
      <c r="B1631" t="s">
        <v>2722</v>
      </c>
      <c r="C1631" t="s">
        <v>19539</v>
      </c>
      <c r="D1631" t="s">
        <v>18055</v>
      </c>
      <c r="E1631" t="s">
        <v>18056</v>
      </c>
      <c r="F1631" t="s">
        <v>2068</v>
      </c>
      <c r="G1631" t="s">
        <v>47072</v>
      </c>
      <c r="H1631" t="s">
        <v>47071</v>
      </c>
      <c r="I1631" t="s">
        <v>47120</v>
      </c>
      <c r="J1631" t="s">
        <v>47121</v>
      </c>
      <c r="K1631" t="s">
        <v>47113</v>
      </c>
      <c r="L1631">
        <v>12.14</v>
      </c>
      <c r="M1631">
        <v>26</v>
      </c>
      <c r="N1631">
        <v>0</v>
      </c>
      <c r="O1631">
        <v>26</v>
      </c>
      <c r="P1631">
        <v>0</v>
      </c>
    </row>
    <row r="1632" spans="1:16" x14ac:dyDescent="0.25">
      <c r="A1632" t="s">
        <v>24081</v>
      </c>
      <c r="B1632" t="s">
        <v>2725</v>
      </c>
      <c r="C1632" t="s">
        <v>2726</v>
      </c>
      <c r="D1632" t="s">
        <v>721</v>
      </c>
      <c r="E1632" t="s">
        <v>722</v>
      </c>
      <c r="F1632" t="s">
        <v>1</v>
      </c>
      <c r="G1632" t="s">
        <v>47072</v>
      </c>
      <c r="H1632" t="s">
        <v>47054</v>
      </c>
      <c r="I1632" t="s">
        <v>47116</v>
      </c>
      <c r="J1632" t="s">
        <v>47117</v>
      </c>
      <c r="K1632" t="s">
        <v>47113</v>
      </c>
      <c r="L1632">
        <v>10.44</v>
      </c>
      <c r="M1632">
        <v>26</v>
      </c>
      <c r="N1632">
        <v>0</v>
      </c>
      <c r="O1632">
        <v>26</v>
      </c>
      <c r="P1632">
        <v>0</v>
      </c>
    </row>
    <row r="1633" spans="1:16" x14ac:dyDescent="0.25">
      <c r="A1633" t="s">
        <v>24082</v>
      </c>
      <c r="B1633" t="s">
        <v>2727</v>
      </c>
      <c r="C1633" t="s">
        <v>2667</v>
      </c>
      <c r="D1633" t="str">
        <f>"6391"</f>
        <v>6391</v>
      </c>
      <c r="E1633" t="s">
        <v>2728</v>
      </c>
      <c r="F1633" t="s">
        <v>4</v>
      </c>
      <c r="G1633" t="s">
        <v>47072</v>
      </c>
      <c r="H1633" t="s">
        <v>47054</v>
      </c>
      <c r="I1633" t="s">
        <v>47116</v>
      </c>
      <c r="J1633" t="s">
        <v>47117</v>
      </c>
      <c r="K1633" t="s">
        <v>47113</v>
      </c>
      <c r="L1633">
        <v>17.52</v>
      </c>
      <c r="M1633">
        <v>43</v>
      </c>
      <c r="N1633">
        <v>0</v>
      </c>
      <c r="O1633">
        <v>43</v>
      </c>
      <c r="P1633">
        <v>0</v>
      </c>
    </row>
    <row r="1634" spans="1:16" x14ac:dyDescent="0.25">
      <c r="A1634" t="s">
        <v>24083</v>
      </c>
      <c r="B1634" t="s">
        <v>2729</v>
      </c>
      <c r="C1634" t="s">
        <v>2667</v>
      </c>
      <c r="D1634" t="str">
        <f>"3478"</f>
        <v>3478</v>
      </c>
      <c r="E1634" t="s">
        <v>2730</v>
      </c>
      <c r="F1634" t="s">
        <v>0</v>
      </c>
      <c r="G1634" t="s">
        <v>47072</v>
      </c>
      <c r="H1634" t="s">
        <v>47054</v>
      </c>
      <c r="I1634" t="s">
        <v>47116</v>
      </c>
      <c r="J1634" t="s">
        <v>47117</v>
      </c>
      <c r="K1634" t="s">
        <v>47113</v>
      </c>
      <c r="L1634">
        <v>18.98</v>
      </c>
      <c r="M1634">
        <v>46</v>
      </c>
      <c r="N1634">
        <v>0</v>
      </c>
      <c r="O1634">
        <v>46</v>
      </c>
      <c r="P1634">
        <v>0</v>
      </c>
    </row>
    <row r="1635" spans="1:16" x14ac:dyDescent="0.25">
      <c r="A1635" t="s">
        <v>24084</v>
      </c>
      <c r="B1635" t="s">
        <v>2731</v>
      </c>
      <c r="C1635" t="s">
        <v>2732</v>
      </c>
      <c r="D1635" t="s">
        <v>739</v>
      </c>
      <c r="E1635" t="s">
        <v>740</v>
      </c>
      <c r="F1635" t="s">
        <v>5</v>
      </c>
      <c r="G1635" t="s">
        <v>47072</v>
      </c>
      <c r="H1635" t="s">
        <v>47054</v>
      </c>
      <c r="I1635" t="s">
        <v>47116</v>
      </c>
      <c r="J1635" t="s">
        <v>47117</v>
      </c>
      <c r="K1635" t="s">
        <v>47113</v>
      </c>
      <c r="L1635">
        <v>27.51</v>
      </c>
      <c r="M1635">
        <v>69</v>
      </c>
      <c r="N1635">
        <v>0</v>
      </c>
      <c r="O1635">
        <v>69</v>
      </c>
      <c r="P1635">
        <v>0</v>
      </c>
    </row>
    <row r="1636" spans="1:16" x14ac:dyDescent="0.25">
      <c r="A1636" t="s">
        <v>24085</v>
      </c>
      <c r="B1636" t="s">
        <v>2733</v>
      </c>
      <c r="C1636" t="s">
        <v>2734</v>
      </c>
      <c r="D1636" t="str">
        <f>"1035"</f>
        <v>1035</v>
      </c>
      <c r="E1636" t="s">
        <v>758</v>
      </c>
      <c r="F1636" t="s">
        <v>6</v>
      </c>
      <c r="G1636" t="s">
        <v>47073</v>
      </c>
      <c r="H1636" t="s">
        <v>47054</v>
      </c>
      <c r="I1636" t="s">
        <v>47111</v>
      </c>
      <c r="J1636" t="s">
        <v>47112</v>
      </c>
      <c r="K1636" t="s">
        <v>47113</v>
      </c>
      <c r="L1636">
        <v>11.25</v>
      </c>
      <c r="M1636">
        <v>31</v>
      </c>
      <c r="N1636">
        <v>0</v>
      </c>
      <c r="O1636">
        <v>31</v>
      </c>
      <c r="P1636">
        <v>0</v>
      </c>
    </row>
    <row r="1637" spans="1:16" x14ac:dyDescent="0.25">
      <c r="A1637" t="s">
        <v>24086</v>
      </c>
      <c r="B1637" t="s">
        <v>2733</v>
      </c>
      <c r="C1637" t="s">
        <v>2734</v>
      </c>
      <c r="D1637" t="str">
        <f>"1746"</f>
        <v>1746</v>
      </c>
      <c r="E1637" t="s">
        <v>807</v>
      </c>
      <c r="F1637" t="s">
        <v>6</v>
      </c>
      <c r="G1637" t="s">
        <v>47073</v>
      </c>
      <c r="H1637" t="s">
        <v>47054</v>
      </c>
      <c r="I1637" t="s">
        <v>47111</v>
      </c>
      <c r="J1637" t="s">
        <v>47112</v>
      </c>
      <c r="K1637" t="s">
        <v>47113</v>
      </c>
      <c r="L1637">
        <v>10.8</v>
      </c>
      <c r="M1637">
        <v>31</v>
      </c>
      <c r="N1637">
        <v>0</v>
      </c>
      <c r="O1637">
        <v>31</v>
      </c>
      <c r="P1637">
        <v>0</v>
      </c>
    </row>
    <row r="1638" spans="1:16" x14ac:dyDescent="0.25">
      <c r="A1638" t="s">
        <v>14794</v>
      </c>
      <c r="B1638" t="s">
        <v>2735</v>
      </c>
      <c r="C1638" t="s">
        <v>2736</v>
      </c>
      <c r="D1638" t="str">
        <f>"2500"</f>
        <v>2500</v>
      </c>
      <c r="E1638" t="s">
        <v>1747</v>
      </c>
      <c r="F1638" t="s">
        <v>7</v>
      </c>
      <c r="G1638" t="s">
        <v>47138</v>
      </c>
      <c r="H1638" t="s">
        <v>47054</v>
      </c>
      <c r="I1638" t="s">
        <v>47120</v>
      </c>
      <c r="J1638" t="s">
        <v>47121</v>
      </c>
      <c r="K1638" t="s">
        <v>47113</v>
      </c>
      <c r="L1638">
        <v>40.01</v>
      </c>
      <c r="M1638">
        <v>132</v>
      </c>
      <c r="N1638">
        <v>0</v>
      </c>
      <c r="O1638">
        <v>132</v>
      </c>
      <c r="P1638">
        <v>0</v>
      </c>
    </row>
    <row r="1639" spans="1:16" x14ac:dyDescent="0.25">
      <c r="A1639" t="s">
        <v>24087</v>
      </c>
      <c r="B1639" t="s">
        <v>2737</v>
      </c>
      <c r="C1639" t="s">
        <v>2738</v>
      </c>
      <c r="D1639" t="str">
        <f>"1035"</f>
        <v>1035</v>
      </c>
      <c r="E1639" t="s">
        <v>758</v>
      </c>
      <c r="F1639" t="s">
        <v>4</v>
      </c>
      <c r="G1639" t="s">
        <v>47078</v>
      </c>
      <c r="H1639" t="s">
        <v>47054</v>
      </c>
      <c r="I1639" t="s">
        <v>47139</v>
      </c>
      <c r="J1639" t="s">
        <v>47140</v>
      </c>
      <c r="K1639" t="s">
        <v>47113</v>
      </c>
      <c r="L1639">
        <v>9.7799999999999994</v>
      </c>
      <c r="M1639">
        <v>24</v>
      </c>
      <c r="N1639">
        <v>0</v>
      </c>
      <c r="O1639">
        <v>24</v>
      </c>
      <c r="P1639">
        <v>0</v>
      </c>
    </row>
    <row r="1640" spans="1:16" x14ac:dyDescent="0.25">
      <c r="A1640" t="s">
        <v>14795</v>
      </c>
      <c r="B1640" t="s">
        <v>2739</v>
      </c>
      <c r="C1640" t="s">
        <v>2740</v>
      </c>
      <c r="D1640" t="str">
        <f>"4607"</f>
        <v>4607</v>
      </c>
      <c r="E1640" t="s">
        <v>2741</v>
      </c>
      <c r="F1640" t="s">
        <v>8</v>
      </c>
      <c r="G1640" t="s">
        <v>47079</v>
      </c>
      <c r="H1640" t="s">
        <v>47054</v>
      </c>
      <c r="I1640" t="s">
        <v>47118</v>
      </c>
      <c r="J1640" t="s">
        <v>47119</v>
      </c>
      <c r="K1640" t="s">
        <v>47113</v>
      </c>
      <c r="L1640">
        <v>16.559999999999999</v>
      </c>
      <c r="M1640">
        <v>40</v>
      </c>
      <c r="N1640">
        <v>0</v>
      </c>
      <c r="O1640">
        <v>40</v>
      </c>
      <c r="P1640">
        <v>0</v>
      </c>
    </row>
    <row r="1641" spans="1:16" x14ac:dyDescent="0.25">
      <c r="A1641" t="s">
        <v>24088</v>
      </c>
      <c r="B1641" t="s">
        <v>2742</v>
      </c>
      <c r="C1641" t="s">
        <v>2743</v>
      </c>
      <c r="D1641" t="str">
        <f>"4495"</f>
        <v>4495</v>
      </c>
      <c r="E1641" t="s">
        <v>2744</v>
      </c>
      <c r="F1641" t="s">
        <v>2</v>
      </c>
      <c r="G1641" t="s">
        <v>47079</v>
      </c>
      <c r="H1641" t="s">
        <v>47054</v>
      </c>
      <c r="I1641" t="s">
        <v>47118</v>
      </c>
      <c r="J1641" t="s">
        <v>47119</v>
      </c>
      <c r="K1641" t="s">
        <v>47113</v>
      </c>
      <c r="L1641">
        <v>17.7</v>
      </c>
      <c r="M1641">
        <v>42</v>
      </c>
      <c r="N1641">
        <v>0</v>
      </c>
      <c r="O1641">
        <v>42</v>
      </c>
      <c r="P1641">
        <v>0</v>
      </c>
    </row>
    <row r="1642" spans="1:16" x14ac:dyDescent="0.25">
      <c r="A1642" t="s">
        <v>47141</v>
      </c>
      <c r="B1642" t="s">
        <v>47142</v>
      </c>
      <c r="C1642" t="s">
        <v>47143</v>
      </c>
      <c r="D1642" t="str">
        <f>"4144"</f>
        <v>4144</v>
      </c>
      <c r="E1642" t="s">
        <v>21109</v>
      </c>
      <c r="F1642" t="s">
        <v>24019</v>
      </c>
      <c r="G1642" t="s">
        <v>47053</v>
      </c>
      <c r="H1642" t="s">
        <v>47052</v>
      </c>
      <c r="I1642" t="s">
        <v>47120</v>
      </c>
      <c r="J1642" t="s">
        <v>47121</v>
      </c>
      <c r="K1642" t="s">
        <v>47113</v>
      </c>
      <c r="L1642">
        <v>12.12</v>
      </c>
      <c r="M1642">
        <v>37</v>
      </c>
      <c r="N1642">
        <v>99</v>
      </c>
      <c r="O1642">
        <v>37</v>
      </c>
      <c r="P1642">
        <v>99</v>
      </c>
    </row>
    <row r="1643" spans="1:16" x14ac:dyDescent="0.25">
      <c r="A1643" t="s">
        <v>24089</v>
      </c>
      <c r="B1643" t="s">
        <v>2745</v>
      </c>
      <c r="C1643" t="s">
        <v>2746</v>
      </c>
      <c r="D1643" t="str">
        <f>"1740"</f>
        <v>1740</v>
      </c>
      <c r="E1643" t="s">
        <v>2747</v>
      </c>
      <c r="F1643" t="s">
        <v>2</v>
      </c>
      <c r="G1643" t="s">
        <v>47073</v>
      </c>
      <c r="H1643" t="s">
        <v>47054</v>
      </c>
      <c r="I1643" t="s">
        <v>47111</v>
      </c>
      <c r="J1643" t="s">
        <v>47112</v>
      </c>
      <c r="K1643" t="s">
        <v>47113</v>
      </c>
      <c r="L1643">
        <v>9.7200000000000006</v>
      </c>
      <c r="M1643">
        <v>24</v>
      </c>
      <c r="N1643">
        <v>0</v>
      </c>
      <c r="O1643">
        <v>24</v>
      </c>
      <c r="P1643">
        <v>0</v>
      </c>
    </row>
    <row r="1644" spans="1:16" x14ac:dyDescent="0.25">
      <c r="A1644" t="s">
        <v>24090</v>
      </c>
      <c r="B1644" t="s">
        <v>2748</v>
      </c>
      <c r="C1644" t="s">
        <v>2749</v>
      </c>
      <c r="D1644" t="str">
        <f>"8315"</f>
        <v>8315</v>
      </c>
      <c r="E1644" t="s">
        <v>2750</v>
      </c>
      <c r="F1644" t="s">
        <v>2</v>
      </c>
      <c r="G1644" t="s">
        <v>47073</v>
      </c>
      <c r="H1644" t="s">
        <v>47054</v>
      </c>
      <c r="I1644" t="s">
        <v>47111</v>
      </c>
      <c r="J1644" t="s">
        <v>47112</v>
      </c>
      <c r="K1644" t="s">
        <v>47113</v>
      </c>
      <c r="L1644">
        <v>9.86</v>
      </c>
      <c r="M1644">
        <v>24</v>
      </c>
      <c r="N1644">
        <v>0</v>
      </c>
      <c r="O1644">
        <v>24</v>
      </c>
      <c r="P1644">
        <v>0</v>
      </c>
    </row>
    <row r="1645" spans="1:16" x14ac:dyDescent="0.25">
      <c r="A1645" t="s">
        <v>24091</v>
      </c>
      <c r="B1645" t="s">
        <v>2751</v>
      </c>
      <c r="C1645" t="s">
        <v>2752</v>
      </c>
      <c r="D1645" t="str">
        <f>"1746"</f>
        <v>1746</v>
      </c>
      <c r="E1645" t="s">
        <v>807</v>
      </c>
      <c r="F1645" t="s">
        <v>2</v>
      </c>
      <c r="G1645" t="s">
        <v>47073</v>
      </c>
      <c r="H1645" t="s">
        <v>47054</v>
      </c>
      <c r="I1645" t="s">
        <v>47111</v>
      </c>
      <c r="J1645" t="s">
        <v>47112</v>
      </c>
      <c r="K1645" t="s">
        <v>47113</v>
      </c>
      <c r="L1645">
        <v>8.8000000000000007</v>
      </c>
      <c r="M1645">
        <v>22</v>
      </c>
      <c r="N1645">
        <v>0</v>
      </c>
      <c r="O1645">
        <v>22</v>
      </c>
      <c r="P1645">
        <v>0</v>
      </c>
    </row>
    <row r="1646" spans="1:16" x14ac:dyDescent="0.25">
      <c r="A1646" t="s">
        <v>24092</v>
      </c>
      <c r="B1646" t="s">
        <v>2751</v>
      </c>
      <c r="C1646" t="s">
        <v>2752</v>
      </c>
      <c r="D1646" t="str">
        <f>"6030"</f>
        <v>6030</v>
      </c>
      <c r="E1646" t="s">
        <v>2753</v>
      </c>
      <c r="F1646" t="s">
        <v>2</v>
      </c>
      <c r="G1646" t="s">
        <v>47073</v>
      </c>
      <c r="H1646" t="s">
        <v>47054</v>
      </c>
      <c r="I1646" t="s">
        <v>47111</v>
      </c>
      <c r="J1646" t="s">
        <v>47112</v>
      </c>
      <c r="K1646" t="s">
        <v>47113</v>
      </c>
      <c r="L1646">
        <v>9.5299999999999994</v>
      </c>
      <c r="M1646">
        <v>24</v>
      </c>
      <c r="N1646">
        <v>0</v>
      </c>
      <c r="O1646">
        <v>24</v>
      </c>
      <c r="P1646">
        <v>0</v>
      </c>
    </row>
    <row r="1647" spans="1:16" x14ac:dyDescent="0.25">
      <c r="A1647" t="s">
        <v>24093</v>
      </c>
      <c r="B1647" t="s">
        <v>2754</v>
      </c>
      <c r="C1647" t="s">
        <v>2755</v>
      </c>
      <c r="D1647" t="str">
        <f>"1746"</f>
        <v>1746</v>
      </c>
      <c r="E1647" t="s">
        <v>807</v>
      </c>
      <c r="F1647" t="s">
        <v>5</v>
      </c>
      <c r="G1647" t="s">
        <v>47073</v>
      </c>
      <c r="H1647" t="s">
        <v>47054</v>
      </c>
      <c r="I1647" t="s">
        <v>47111</v>
      </c>
      <c r="J1647" t="s">
        <v>47112</v>
      </c>
      <c r="K1647" t="s">
        <v>47113</v>
      </c>
      <c r="L1647">
        <v>11.02</v>
      </c>
      <c r="M1647">
        <v>27</v>
      </c>
      <c r="N1647">
        <v>0</v>
      </c>
      <c r="O1647">
        <v>27</v>
      </c>
      <c r="P1647">
        <v>0</v>
      </c>
    </row>
    <row r="1648" spans="1:16" x14ac:dyDescent="0.25">
      <c r="A1648" t="s">
        <v>24094</v>
      </c>
      <c r="B1648" t="s">
        <v>2754</v>
      </c>
      <c r="C1648" t="s">
        <v>2755</v>
      </c>
      <c r="D1648" t="str">
        <f>"4135"</f>
        <v>4135</v>
      </c>
      <c r="E1648" t="s">
        <v>2701</v>
      </c>
      <c r="F1648" t="s">
        <v>5</v>
      </c>
      <c r="G1648" t="s">
        <v>47073</v>
      </c>
      <c r="H1648" t="s">
        <v>47054</v>
      </c>
      <c r="I1648" t="s">
        <v>47111</v>
      </c>
      <c r="J1648" t="s">
        <v>47112</v>
      </c>
      <c r="K1648" t="s">
        <v>47113</v>
      </c>
      <c r="L1648">
        <v>11.25</v>
      </c>
      <c r="M1648">
        <v>27</v>
      </c>
      <c r="N1648">
        <v>0</v>
      </c>
      <c r="O1648">
        <v>27</v>
      </c>
      <c r="P1648">
        <v>0</v>
      </c>
    </row>
    <row r="1649" spans="1:16" x14ac:dyDescent="0.25">
      <c r="A1649" t="s">
        <v>24095</v>
      </c>
      <c r="B1649" t="s">
        <v>2756</v>
      </c>
      <c r="C1649" t="s">
        <v>2757</v>
      </c>
      <c r="D1649" t="str">
        <f>"6366"</f>
        <v>6366</v>
      </c>
      <c r="E1649" t="s">
        <v>2658</v>
      </c>
      <c r="F1649" t="s">
        <v>5</v>
      </c>
      <c r="G1649" t="s">
        <v>47073</v>
      </c>
      <c r="H1649" t="s">
        <v>47054</v>
      </c>
      <c r="I1649" t="s">
        <v>47111</v>
      </c>
      <c r="J1649" t="s">
        <v>47112</v>
      </c>
      <c r="K1649" t="s">
        <v>47113</v>
      </c>
      <c r="L1649">
        <v>11.39</v>
      </c>
      <c r="M1649">
        <v>28</v>
      </c>
      <c r="N1649">
        <v>0</v>
      </c>
      <c r="O1649">
        <v>28</v>
      </c>
      <c r="P1649">
        <v>0</v>
      </c>
    </row>
    <row r="1650" spans="1:16" x14ac:dyDescent="0.25">
      <c r="A1650" t="s">
        <v>24096</v>
      </c>
      <c r="B1650" t="s">
        <v>2758</v>
      </c>
      <c r="C1650" t="s">
        <v>2759</v>
      </c>
      <c r="D1650" t="str">
        <f>"1035"</f>
        <v>1035</v>
      </c>
      <c r="E1650" t="s">
        <v>758</v>
      </c>
      <c r="F1650" t="s">
        <v>5</v>
      </c>
      <c r="G1650" t="s">
        <v>47073</v>
      </c>
      <c r="H1650" t="s">
        <v>47054</v>
      </c>
      <c r="I1650" t="s">
        <v>47111</v>
      </c>
      <c r="J1650" t="s">
        <v>47112</v>
      </c>
      <c r="K1650" t="s">
        <v>47113</v>
      </c>
      <c r="L1650">
        <v>11.53</v>
      </c>
      <c r="M1650">
        <v>29</v>
      </c>
      <c r="N1650">
        <v>0</v>
      </c>
      <c r="O1650">
        <v>29</v>
      </c>
      <c r="P1650">
        <v>0</v>
      </c>
    </row>
    <row r="1651" spans="1:16" x14ac:dyDescent="0.25">
      <c r="A1651" t="s">
        <v>24097</v>
      </c>
      <c r="B1651" t="s">
        <v>2758</v>
      </c>
      <c r="C1651" t="s">
        <v>2759</v>
      </c>
      <c r="D1651" t="str">
        <f>"1746"</f>
        <v>1746</v>
      </c>
      <c r="E1651" t="s">
        <v>807</v>
      </c>
      <c r="F1651" t="s">
        <v>5</v>
      </c>
      <c r="G1651" t="s">
        <v>47073</v>
      </c>
      <c r="H1651" t="s">
        <v>47054</v>
      </c>
      <c r="I1651" t="s">
        <v>47111</v>
      </c>
      <c r="J1651" t="s">
        <v>47112</v>
      </c>
      <c r="K1651" t="s">
        <v>47113</v>
      </c>
      <c r="L1651">
        <v>11.42</v>
      </c>
      <c r="M1651">
        <v>29</v>
      </c>
      <c r="N1651">
        <v>0</v>
      </c>
      <c r="O1651">
        <v>29</v>
      </c>
      <c r="P1651">
        <v>0</v>
      </c>
    </row>
    <row r="1652" spans="1:16" x14ac:dyDescent="0.25">
      <c r="A1652" t="s">
        <v>24098</v>
      </c>
      <c r="B1652" t="s">
        <v>2758</v>
      </c>
      <c r="C1652" t="s">
        <v>2759</v>
      </c>
      <c r="D1652" t="str">
        <f>"6032"</f>
        <v>6032</v>
      </c>
      <c r="E1652" t="s">
        <v>2760</v>
      </c>
      <c r="F1652" t="s">
        <v>5</v>
      </c>
      <c r="G1652" t="s">
        <v>47073</v>
      </c>
      <c r="H1652" t="s">
        <v>47054</v>
      </c>
      <c r="I1652" t="s">
        <v>47111</v>
      </c>
      <c r="J1652" t="s">
        <v>47112</v>
      </c>
      <c r="K1652" t="s">
        <v>47113</v>
      </c>
      <c r="L1652">
        <v>11.53</v>
      </c>
      <c r="M1652">
        <v>29</v>
      </c>
      <c r="N1652">
        <v>0</v>
      </c>
      <c r="O1652">
        <v>29</v>
      </c>
      <c r="P1652">
        <v>0</v>
      </c>
    </row>
    <row r="1653" spans="1:16" x14ac:dyDescent="0.25">
      <c r="A1653" t="s">
        <v>24099</v>
      </c>
      <c r="B1653" t="s">
        <v>2761</v>
      </c>
      <c r="C1653" t="s">
        <v>2762</v>
      </c>
      <c r="D1653" t="str">
        <f>"1746"</f>
        <v>1746</v>
      </c>
      <c r="E1653" t="s">
        <v>807</v>
      </c>
      <c r="F1653" t="s">
        <v>5</v>
      </c>
      <c r="G1653" t="s">
        <v>47073</v>
      </c>
      <c r="H1653" t="s">
        <v>47054</v>
      </c>
      <c r="I1653" t="s">
        <v>47111</v>
      </c>
      <c r="J1653" t="s">
        <v>47112</v>
      </c>
      <c r="K1653" t="s">
        <v>47113</v>
      </c>
      <c r="L1653">
        <v>11.46</v>
      </c>
      <c r="M1653">
        <v>28</v>
      </c>
      <c r="N1653">
        <v>0</v>
      </c>
      <c r="O1653">
        <v>28</v>
      </c>
      <c r="P1653">
        <v>0</v>
      </c>
    </row>
    <row r="1654" spans="1:16" x14ac:dyDescent="0.25">
      <c r="A1654" t="s">
        <v>24100</v>
      </c>
      <c r="B1654" t="s">
        <v>2761</v>
      </c>
      <c r="C1654" t="s">
        <v>2762</v>
      </c>
      <c r="D1654" t="str">
        <f>"4135"</f>
        <v>4135</v>
      </c>
      <c r="E1654" t="s">
        <v>2701</v>
      </c>
      <c r="F1654" t="s">
        <v>5</v>
      </c>
      <c r="G1654" t="s">
        <v>47073</v>
      </c>
      <c r="H1654" t="s">
        <v>47054</v>
      </c>
      <c r="I1654" t="s">
        <v>47111</v>
      </c>
      <c r="J1654" t="s">
        <v>47112</v>
      </c>
      <c r="K1654" t="s">
        <v>47113</v>
      </c>
      <c r="L1654">
        <v>11.7</v>
      </c>
      <c r="M1654">
        <v>29</v>
      </c>
      <c r="N1654">
        <v>0</v>
      </c>
      <c r="O1654">
        <v>29</v>
      </c>
      <c r="P1654">
        <v>0</v>
      </c>
    </row>
    <row r="1655" spans="1:16" x14ac:dyDescent="0.25">
      <c r="A1655" t="s">
        <v>14796</v>
      </c>
      <c r="B1655" t="s">
        <v>2763</v>
      </c>
      <c r="C1655" t="s">
        <v>2764</v>
      </c>
      <c r="D1655" t="str">
        <f>"3166"</f>
        <v>3166</v>
      </c>
      <c r="E1655" t="s">
        <v>2765</v>
      </c>
      <c r="F1655" t="s">
        <v>6</v>
      </c>
      <c r="G1655" t="s">
        <v>47073</v>
      </c>
      <c r="H1655" t="s">
        <v>47054</v>
      </c>
      <c r="I1655" t="s">
        <v>47111</v>
      </c>
      <c r="J1655" t="s">
        <v>47112</v>
      </c>
      <c r="K1655" t="s">
        <v>47113</v>
      </c>
      <c r="L1655">
        <v>10.31</v>
      </c>
      <c r="M1655">
        <v>29</v>
      </c>
      <c r="N1655">
        <v>0</v>
      </c>
      <c r="O1655">
        <v>29</v>
      </c>
      <c r="P1655">
        <v>0</v>
      </c>
    </row>
    <row r="1656" spans="1:16" x14ac:dyDescent="0.25">
      <c r="A1656" t="s">
        <v>14797</v>
      </c>
      <c r="B1656" t="s">
        <v>2766</v>
      </c>
      <c r="C1656" t="s">
        <v>2767</v>
      </c>
      <c r="D1656" t="str">
        <f>"4130"</f>
        <v>4130</v>
      </c>
      <c r="E1656" t="s">
        <v>2374</v>
      </c>
      <c r="F1656" t="s">
        <v>6</v>
      </c>
      <c r="G1656" t="s">
        <v>47073</v>
      </c>
      <c r="H1656" t="s">
        <v>47054</v>
      </c>
      <c r="I1656" t="s">
        <v>47111</v>
      </c>
      <c r="J1656" t="s">
        <v>47112</v>
      </c>
      <c r="K1656" t="s">
        <v>47113</v>
      </c>
      <c r="L1656">
        <v>10.39</v>
      </c>
      <c r="M1656">
        <v>29</v>
      </c>
      <c r="N1656">
        <v>0</v>
      </c>
      <c r="O1656">
        <v>29</v>
      </c>
      <c r="P1656">
        <v>0</v>
      </c>
    </row>
    <row r="1657" spans="1:16" x14ac:dyDescent="0.25">
      <c r="A1657" t="s">
        <v>24101</v>
      </c>
      <c r="B1657" t="s">
        <v>2768</v>
      </c>
      <c r="C1657" t="s">
        <v>2769</v>
      </c>
      <c r="D1657" t="str">
        <f>"1528"</f>
        <v>1528</v>
      </c>
      <c r="E1657" t="s">
        <v>2770</v>
      </c>
      <c r="F1657" t="s">
        <v>6</v>
      </c>
      <c r="G1657" t="s">
        <v>47073</v>
      </c>
      <c r="H1657" t="s">
        <v>47054</v>
      </c>
      <c r="I1657" t="s">
        <v>47111</v>
      </c>
      <c r="J1657" t="s">
        <v>47112</v>
      </c>
      <c r="K1657" t="s">
        <v>47113</v>
      </c>
      <c r="L1657">
        <v>10.27</v>
      </c>
      <c r="M1657">
        <v>29</v>
      </c>
      <c r="N1657">
        <v>0</v>
      </c>
      <c r="O1657">
        <v>29</v>
      </c>
      <c r="P1657">
        <v>0</v>
      </c>
    </row>
    <row r="1658" spans="1:16" x14ac:dyDescent="0.25">
      <c r="A1658" t="s">
        <v>14798</v>
      </c>
      <c r="B1658" t="s">
        <v>2768</v>
      </c>
      <c r="C1658" t="s">
        <v>2769</v>
      </c>
      <c r="D1658" t="str">
        <f>"1740"</f>
        <v>1740</v>
      </c>
      <c r="E1658" t="s">
        <v>2747</v>
      </c>
      <c r="F1658" t="s">
        <v>6</v>
      </c>
      <c r="G1658" t="s">
        <v>47073</v>
      </c>
      <c r="H1658" t="s">
        <v>47054</v>
      </c>
      <c r="I1658" t="s">
        <v>47111</v>
      </c>
      <c r="J1658" t="s">
        <v>47112</v>
      </c>
      <c r="K1658" t="s">
        <v>47113</v>
      </c>
      <c r="L1658">
        <v>10.27</v>
      </c>
      <c r="M1658">
        <v>29</v>
      </c>
      <c r="N1658">
        <v>0</v>
      </c>
      <c r="O1658">
        <v>29</v>
      </c>
      <c r="P1658">
        <v>0</v>
      </c>
    </row>
    <row r="1659" spans="1:16" x14ac:dyDescent="0.25">
      <c r="A1659" t="s">
        <v>24102</v>
      </c>
      <c r="B1659" t="s">
        <v>2768</v>
      </c>
      <c r="C1659" t="s">
        <v>2769</v>
      </c>
      <c r="D1659" t="str">
        <f>"5031"</f>
        <v>5031</v>
      </c>
      <c r="E1659" t="s">
        <v>2771</v>
      </c>
      <c r="F1659" t="s">
        <v>6</v>
      </c>
      <c r="G1659" t="s">
        <v>47073</v>
      </c>
      <c r="H1659" t="s">
        <v>47054</v>
      </c>
      <c r="I1659" t="s">
        <v>47111</v>
      </c>
      <c r="J1659" t="s">
        <v>47112</v>
      </c>
      <c r="K1659" t="s">
        <v>47113</v>
      </c>
      <c r="L1659">
        <v>9.81</v>
      </c>
      <c r="M1659">
        <v>29</v>
      </c>
      <c r="N1659">
        <v>0</v>
      </c>
      <c r="O1659">
        <v>29</v>
      </c>
      <c r="P1659">
        <v>0</v>
      </c>
    </row>
    <row r="1660" spans="1:16" x14ac:dyDescent="0.25">
      <c r="A1660" t="s">
        <v>14799</v>
      </c>
      <c r="B1660" t="s">
        <v>2768</v>
      </c>
      <c r="C1660" t="s">
        <v>2769</v>
      </c>
      <c r="D1660" t="str">
        <f>"6122"</f>
        <v>6122</v>
      </c>
      <c r="E1660" t="s">
        <v>1197</v>
      </c>
      <c r="F1660" t="s">
        <v>6</v>
      </c>
      <c r="G1660" t="s">
        <v>47073</v>
      </c>
      <c r="H1660" t="s">
        <v>47054</v>
      </c>
      <c r="I1660" t="s">
        <v>47111</v>
      </c>
      <c r="J1660" t="s">
        <v>47112</v>
      </c>
      <c r="K1660" t="s">
        <v>47113</v>
      </c>
      <c r="L1660">
        <v>9.81</v>
      </c>
      <c r="M1660">
        <v>29</v>
      </c>
      <c r="N1660">
        <v>0</v>
      </c>
      <c r="O1660">
        <v>29</v>
      </c>
      <c r="P1660">
        <v>0</v>
      </c>
    </row>
    <row r="1661" spans="1:16" x14ac:dyDescent="0.25">
      <c r="A1661" t="s">
        <v>24103</v>
      </c>
      <c r="B1661" t="s">
        <v>2772</v>
      </c>
      <c r="C1661" t="s">
        <v>2773</v>
      </c>
      <c r="D1661" t="str">
        <f>"6122"</f>
        <v>6122</v>
      </c>
      <c r="E1661" t="s">
        <v>1197</v>
      </c>
      <c r="F1661" t="s">
        <v>6</v>
      </c>
      <c r="G1661" t="s">
        <v>47073</v>
      </c>
      <c r="H1661" t="s">
        <v>47054</v>
      </c>
      <c r="I1661" t="s">
        <v>47111</v>
      </c>
      <c r="J1661" t="s">
        <v>47112</v>
      </c>
      <c r="K1661" t="s">
        <v>47113</v>
      </c>
      <c r="L1661">
        <v>15.86</v>
      </c>
      <c r="M1661">
        <v>40</v>
      </c>
      <c r="N1661">
        <v>0</v>
      </c>
      <c r="O1661">
        <v>40</v>
      </c>
      <c r="P1661">
        <v>0</v>
      </c>
    </row>
    <row r="1662" spans="1:16" x14ac:dyDescent="0.25">
      <c r="A1662" t="s">
        <v>24104</v>
      </c>
      <c r="B1662" t="s">
        <v>2774</v>
      </c>
      <c r="C1662" t="s">
        <v>2775</v>
      </c>
      <c r="D1662" t="str">
        <f>"2633"</f>
        <v>2633</v>
      </c>
      <c r="E1662" t="s">
        <v>2776</v>
      </c>
      <c r="F1662" t="s">
        <v>2</v>
      </c>
      <c r="G1662" t="s">
        <v>47073</v>
      </c>
      <c r="H1662" t="s">
        <v>47054</v>
      </c>
      <c r="I1662" t="s">
        <v>47111</v>
      </c>
      <c r="J1662" t="s">
        <v>47112</v>
      </c>
      <c r="K1662" t="s">
        <v>47113</v>
      </c>
      <c r="L1662">
        <v>15.1</v>
      </c>
      <c r="M1662">
        <v>36</v>
      </c>
      <c r="N1662">
        <v>0</v>
      </c>
      <c r="O1662">
        <v>36</v>
      </c>
      <c r="P1662">
        <v>0</v>
      </c>
    </row>
    <row r="1663" spans="1:16" x14ac:dyDescent="0.25">
      <c r="A1663" t="s">
        <v>24105</v>
      </c>
      <c r="B1663" t="s">
        <v>2777</v>
      </c>
      <c r="C1663" t="s">
        <v>2778</v>
      </c>
      <c r="D1663" t="str">
        <f>"1904"</f>
        <v>1904</v>
      </c>
      <c r="E1663" t="s">
        <v>2779</v>
      </c>
      <c r="F1663" t="s">
        <v>2</v>
      </c>
      <c r="G1663" t="s">
        <v>47073</v>
      </c>
      <c r="H1663" t="s">
        <v>47054</v>
      </c>
      <c r="I1663" t="s">
        <v>47111</v>
      </c>
      <c r="J1663" t="s">
        <v>47112</v>
      </c>
      <c r="K1663" t="s">
        <v>47113</v>
      </c>
      <c r="L1663">
        <v>14.87</v>
      </c>
      <c r="M1663">
        <v>36</v>
      </c>
      <c r="N1663">
        <v>0</v>
      </c>
      <c r="O1663">
        <v>36</v>
      </c>
      <c r="P1663">
        <v>0</v>
      </c>
    </row>
    <row r="1664" spans="1:16" x14ac:dyDescent="0.25">
      <c r="A1664" t="s">
        <v>24106</v>
      </c>
      <c r="B1664" t="s">
        <v>2780</v>
      </c>
      <c r="C1664" t="s">
        <v>2781</v>
      </c>
      <c r="D1664" t="str">
        <f>"1898"</f>
        <v>1898</v>
      </c>
      <c r="E1664" t="s">
        <v>2782</v>
      </c>
      <c r="F1664" t="s">
        <v>2</v>
      </c>
      <c r="G1664" t="s">
        <v>47073</v>
      </c>
      <c r="H1664" t="s">
        <v>47054</v>
      </c>
      <c r="I1664" t="s">
        <v>47111</v>
      </c>
      <c r="J1664" t="s">
        <v>47112</v>
      </c>
      <c r="K1664" t="s">
        <v>47113</v>
      </c>
      <c r="L1664">
        <v>11.91</v>
      </c>
      <c r="M1664">
        <v>29</v>
      </c>
      <c r="N1664">
        <v>0</v>
      </c>
      <c r="O1664">
        <v>29</v>
      </c>
      <c r="P1664">
        <v>0</v>
      </c>
    </row>
    <row r="1665" spans="1:16" x14ac:dyDescent="0.25">
      <c r="A1665" t="s">
        <v>24107</v>
      </c>
      <c r="B1665" t="s">
        <v>2783</v>
      </c>
      <c r="C1665" t="s">
        <v>2784</v>
      </c>
      <c r="D1665" t="str">
        <f>"4810"</f>
        <v>4810</v>
      </c>
      <c r="E1665" t="s">
        <v>2785</v>
      </c>
      <c r="F1665" t="s">
        <v>2</v>
      </c>
      <c r="G1665" t="s">
        <v>47073</v>
      </c>
      <c r="H1665" t="s">
        <v>47054</v>
      </c>
      <c r="I1665" t="s">
        <v>47111</v>
      </c>
      <c r="J1665" t="s">
        <v>47112</v>
      </c>
      <c r="K1665" t="s">
        <v>47113</v>
      </c>
      <c r="L1665">
        <v>10.88</v>
      </c>
      <c r="M1665">
        <v>27</v>
      </c>
      <c r="N1665">
        <v>0</v>
      </c>
      <c r="O1665">
        <v>27</v>
      </c>
      <c r="P1665">
        <v>0</v>
      </c>
    </row>
    <row r="1666" spans="1:16" x14ac:dyDescent="0.25">
      <c r="A1666" t="s">
        <v>24108</v>
      </c>
      <c r="B1666" t="s">
        <v>2786</v>
      </c>
      <c r="C1666" t="s">
        <v>2787</v>
      </c>
      <c r="D1666" t="str">
        <f>"1900"</f>
        <v>1900</v>
      </c>
      <c r="E1666" t="s">
        <v>2788</v>
      </c>
      <c r="F1666" t="s">
        <v>2</v>
      </c>
      <c r="G1666" t="s">
        <v>47075</v>
      </c>
      <c r="H1666" t="s">
        <v>47054</v>
      </c>
      <c r="I1666" t="s">
        <v>47139</v>
      </c>
      <c r="J1666" t="s">
        <v>47140</v>
      </c>
      <c r="K1666" t="s">
        <v>47113</v>
      </c>
      <c r="L1666">
        <v>34.35</v>
      </c>
      <c r="M1666">
        <v>79</v>
      </c>
      <c r="N1666">
        <v>0</v>
      </c>
      <c r="O1666">
        <v>79</v>
      </c>
      <c r="P1666">
        <v>0</v>
      </c>
    </row>
    <row r="1667" spans="1:16" x14ac:dyDescent="0.25">
      <c r="A1667" t="s">
        <v>24109</v>
      </c>
      <c r="B1667" t="s">
        <v>2789</v>
      </c>
      <c r="C1667" t="s">
        <v>2790</v>
      </c>
      <c r="D1667" t="str">
        <f>"1505"</f>
        <v>1505</v>
      </c>
      <c r="E1667" t="s">
        <v>1667</v>
      </c>
      <c r="F1667" t="s">
        <v>2</v>
      </c>
      <c r="G1667" t="s">
        <v>47073</v>
      </c>
      <c r="H1667" t="s">
        <v>47054</v>
      </c>
      <c r="I1667" t="s">
        <v>47111</v>
      </c>
      <c r="J1667" t="s">
        <v>47112</v>
      </c>
      <c r="K1667" t="s">
        <v>47113</v>
      </c>
      <c r="L1667">
        <v>9.25</v>
      </c>
      <c r="M1667">
        <v>23</v>
      </c>
      <c r="N1667">
        <v>0</v>
      </c>
      <c r="O1667">
        <v>23</v>
      </c>
      <c r="P1667">
        <v>0</v>
      </c>
    </row>
    <row r="1668" spans="1:16" x14ac:dyDescent="0.25">
      <c r="A1668" t="s">
        <v>24110</v>
      </c>
      <c r="B1668" t="s">
        <v>2789</v>
      </c>
      <c r="C1668" t="s">
        <v>2790</v>
      </c>
      <c r="D1668" t="str">
        <f>"1746"</f>
        <v>1746</v>
      </c>
      <c r="E1668" t="s">
        <v>807</v>
      </c>
      <c r="F1668" t="s">
        <v>2</v>
      </c>
      <c r="G1668" t="s">
        <v>47073</v>
      </c>
      <c r="H1668" t="s">
        <v>47054</v>
      </c>
      <c r="I1668" t="s">
        <v>47111</v>
      </c>
      <c r="J1668" t="s">
        <v>47112</v>
      </c>
      <c r="K1668" t="s">
        <v>47113</v>
      </c>
      <c r="L1668">
        <v>9.06</v>
      </c>
      <c r="M1668">
        <v>23</v>
      </c>
      <c r="N1668">
        <v>0</v>
      </c>
      <c r="O1668">
        <v>23</v>
      </c>
      <c r="P1668">
        <v>0</v>
      </c>
    </row>
    <row r="1669" spans="1:16" x14ac:dyDescent="0.25">
      <c r="A1669" t="s">
        <v>14800</v>
      </c>
      <c r="B1669" t="s">
        <v>2791</v>
      </c>
      <c r="C1669" t="s">
        <v>2792</v>
      </c>
      <c r="D1669" t="str">
        <f>"1505"</f>
        <v>1505</v>
      </c>
      <c r="E1669" t="s">
        <v>1667</v>
      </c>
      <c r="F1669" t="s">
        <v>5</v>
      </c>
      <c r="G1669" t="s">
        <v>47073</v>
      </c>
      <c r="H1669" t="s">
        <v>47054</v>
      </c>
      <c r="I1669" t="s">
        <v>47111</v>
      </c>
      <c r="J1669" t="s">
        <v>47112</v>
      </c>
      <c r="K1669" t="s">
        <v>47113</v>
      </c>
      <c r="L1669">
        <v>10.81</v>
      </c>
      <c r="M1669">
        <v>27</v>
      </c>
      <c r="N1669">
        <v>0</v>
      </c>
      <c r="O1669">
        <v>27</v>
      </c>
      <c r="P1669">
        <v>0</v>
      </c>
    </row>
    <row r="1670" spans="1:16" x14ac:dyDescent="0.25">
      <c r="A1670" t="s">
        <v>24111</v>
      </c>
      <c r="B1670" t="s">
        <v>2793</v>
      </c>
      <c r="C1670" t="s">
        <v>2794</v>
      </c>
      <c r="D1670" t="str">
        <f>"6366"</f>
        <v>6366</v>
      </c>
      <c r="E1670" t="s">
        <v>2658</v>
      </c>
      <c r="F1670" t="s">
        <v>5</v>
      </c>
      <c r="G1670" t="s">
        <v>47075</v>
      </c>
      <c r="H1670" t="s">
        <v>47054</v>
      </c>
      <c r="I1670" t="s">
        <v>47111</v>
      </c>
      <c r="J1670" t="s">
        <v>47112</v>
      </c>
      <c r="K1670" t="s">
        <v>47113</v>
      </c>
      <c r="L1670">
        <v>28.94</v>
      </c>
      <c r="M1670">
        <v>73</v>
      </c>
      <c r="N1670">
        <v>0</v>
      </c>
      <c r="O1670">
        <v>73</v>
      </c>
      <c r="P1670">
        <v>0</v>
      </c>
    </row>
    <row r="1671" spans="1:16" x14ac:dyDescent="0.25">
      <c r="A1671" t="s">
        <v>24112</v>
      </c>
      <c r="B1671" t="s">
        <v>2795</v>
      </c>
      <c r="C1671" t="s">
        <v>2796</v>
      </c>
      <c r="D1671" t="str">
        <f>"4135"</f>
        <v>4135</v>
      </c>
      <c r="E1671" t="s">
        <v>2701</v>
      </c>
      <c r="F1671" t="s">
        <v>5</v>
      </c>
      <c r="G1671" t="s">
        <v>47073</v>
      </c>
      <c r="H1671" t="s">
        <v>47054</v>
      </c>
      <c r="I1671" t="s">
        <v>47111</v>
      </c>
      <c r="J1671" t="s">
        <v>47112</v>
      </c>
      <c r="K1671" t="s">
        <v>47113</v>
      </c>
      <c r="L1671">
        <v>10.58</v>
      </c>
      <c r="M1671">
        <v>27</v>
      </c>
      <c r="N1671">
        <v>0</v>
      </c>
      <c r="O1671">
        <v>27</v>
      </c>
      <c r="P1671">
        <v>0</v>
      </c>
    </row>
    <row r="1672" spans="1:16" x14ac:dyDescent="0.25">
      <c r="A1672" t="s">
        <v>24113</v>
      </c>
      <c r="B1672" t="s">
        <v>2797</v>
      </c>
      <c r="C1672" t="s">
        <v>2798</v>
      </c>
      <c r="D1672" t="str">
        <f>"1746"</f>
        <v>1746</v>
      </c>
      <c r="E1672" t="s">
        <v>807</v>
      </c>
      <c r="F1672" t="s">
        <v>6</v>
      </c>
      <c r="G1672" t="s">
        <v>47078</v>
      </c>
      <c r="H1672" t="s">
        <v>47054</v>
      </c>
      <c r="I1672" t="s">
        <v>47114</v>
      </c>
      <c r="J1672" t="s">
        <v>47115</v>
      </c>
      <c r="K1672" t="s">
        <v>47113</v>
      </c>
      <c r="L1672">
        <v>14.91</v>
      </c>
      <c r="M1672">
        <v>42</v>
      </c>
      <c r="N1672">
        <v>0</v>
      </c>
      <c r="O1672">
        <v>42</v>
      </c>
      <c r="P1672">
        <v>0</v>
      </c>
    </row>
    <row r="1673" spans="1:16" x14ac:dyDescent="0.25">
      <c r="A1673" t="s">
        <v>24114</v>
      </c>
      <c r="B1673" t="s">
        <v>2799</v>
      </c>
      <c r="C1673" t="s">
        <v>2800</v>
      </c>
      <c r="D1673" t="str">
        <f>"4313"</f>
        <v>4313</v>
      </c>
      <c r="E1673" t="s">
        <v>2801</v>
      </c>
      <c r="F1673" t="s">
        <v>2</v>
      </c>
      <c r="G1673" t="s">
        <v>47079</v>
      </c>
      <c r="H1673" t="s">
        <v>47054</v>
      </c>
      <c r="I1673" t="s">
        <v>47118</v>
      </c>
      <c r="J1673" t="s">
        <v>47119</v>
      </c>
      <c r="K1673" t="s">
        <v>47113</v>
      </c>
      <c r="L1673">
        <v>18.48</v>
      </c>
      <c r="M1673">
        <v>44</v>
      </c>
      <c r="N1673">
        <v>0</v>
      </c>
      <c r="O1673">
        <v>44</v>
      </c>
      <c r="P1673">
        <v>0</v>
      </c>
    </row>
    <row r="1674" spans="1:16" x14ac:dyDescent="0.25">
      <c r="A1674" t="s">
        <v>24115</v>
      </c>
      <c r="B1674" t="s">
        <v>2802</v>
      </c>
      <c r="C1674" t="s">
        <v>2803</v>
      </c>
      <c r="D1674" t="str">
        <f>"8397"</f>
        <v>8397</v>
      </c>
      <c r="E1674" t="s">
        <v>2804</v>
      </c>
      <c r="F1674" t="s">
        <v>0</v>
      </c>
      <c r="G1674" t="s">
        <v>47079</v>
      </c>
      <c r="H1674" t="s">
        <v>47054</v>
      </c>
      <c r="I1674" t="s">
        <v>47118</v>
      </c>
      <c r="J1674" t="s">
        <v>47119</v>
      </c>
      <c r="K1674" t="s">
        <v>47113</v>
      </c>
      <c r="L1674">
        <v>19.579999999999998</v>
      </c>
      <c r="M1674">
        <v>48</v>
      </c>
      <c r="N1674">
        <v>0</v>
      </c>
      <c r="O1674">
        <v>48</v>
      </c>
      <c r="P1674">
        <v>0</v>
      </c>
    </row>
    <row r="1675" spans="1:16" x14ac:dyDescent="0.25">
      <c r="A1675" t="s">
        <v>24116</v>
      </c>
      <c r="B1675" t="s">
        <v>2805</v>
      </c>
      <c r="C1675" t="s">
        <v>2806</v>
      </c>
      <c r="D1675" t="str">
        <f>"6030"</f>
        <v>6030</v>
      </c>
      <c r="E1675" t="s">
        <v>2753</v>
      </c>
      <c r="F1675" t="s">
        <v>3</v>
      </c>
      <c r="G1675" t="s">
        <v>47080</v>
      </c>
      <c r="H1675" t="s">
        <v>47054</v>
      </c>
      <c r="I1675" t="s">
        <v>47139</v>
      </c>
      <c r="J1675" t="s">
        <v>47140</v>
      </c>
      <c r="K1675" t="s">
        <v>47113</v>
      </c>
      <c r="L1675">
        <v>11.72</v>
      </c>
      <c r="M1675">
        <v>28</v>
      </c>
      <c r="N1675">
        <v>0</v>
      </c>
      <c r="O1675">
        <v>28</v>
      </c>
      <c r="P1675">
        <v>0</v>
      </c>
    </row>
    <row r="1676" spans="1:16" x14ac:dyDescent="0.25">
      <c r="A1676" t="s">
        <v>24117</v>
      </c>
      <c r="B1676" t="s">
        <v>2807</v>
      </c>
      <c r="C1676" t="s">
        <v>2808</v>
      </c>
      <c r="D1676" t="str">
        <f>"4061"</f>
        <v>4061</v>
      </c>
      <c r="E1676" t="s">
        <v>2809</v>
      </c>
      <c r="F1676" t="s">
        <v>3</v>
      </c>
      <c r="G1676" t="s">
        <v>47075</v>
      </c>
      <c r="H1676" t="s">
        <v>47054</v>
      </c>
      <c r="I1676" t="s">
        <v>47139</v>
      </c>
      <c r="J1676" t="s">
        <v>47140</v>
      </c>
      <c r="K1676" t="s">
        <v>47113</v>
      </c>
      <c r="L1676">
        <v>14.69</v>
      </c>
      <c r="M1676">
        <v>36</v>
      </c>
      <c r="N1676">
        <v>0</v>
      </c>
      <c r="O1676">
        <v>36</v>
      </c>
      <c r="P1676">
        <v>0</v>
      </c>
    </row>
    <row r="1677" spans="1:16" x14ac:dyDescent="0.25">
      <c r="A1677" t="s">
        <v>14801</v>
      </c>
      <c r="B1677" t="s">
        <v>2807</v>
      </c>
      <c r="C1677" t="s">
        <v>2808</v>
      </c>
      <c r="D1677" t="str">
        <f>"6030"</f>
        <v>6030</v>
      </c>
      <c r="E1677" t="s">
        <v>2753</v>
      </c>
      <c r="F1677" t="s">
        <v>3</v>
      </c>
      <c r="G1677" t="s">
        <v>47075</v>
      </c>
      <c r="H1677" t="s">
        <v>47054</v>
      </c>
      <c r="I1677" t="s">
        <v>47139</v>
      </c>
      <c r="J1677" t="s">
        <v>47140</v>
      </c>
      <c r="K1677" t="s">
        <v>47113</v>
      </c>
      <c r="L1677">
        <v>14.69</v>
      </c>
      <c r="M1677">
        <v>36</v>
      </c>
      <c r="N1677">
        <v>0</v>
      </c>
      <c r="O1677">
        <v>36</v>
      </c>
      <c r="P1677">
        <v>0</v>
      </c>
    </row>
    <row r="1678" spans="1:16" x14ac:dyDescent="0.25">
      <c r="A1678" t="s">
        <v>24118</v>
      </c>
      <c r="B1678" t="s">
        <v>2810</v>
      </c>
      <c r="C1678" t="s">
        <v>2811</v>
      </c>
      <c r="D1678" t="str">
        <f>"3243"</f>
        <v>3243</v>
      </c>
      <c r="E1678" t="s">
        <v>2812</v>
      </c>
      <c r="F1678" t="s">
        <v>2</v>
      </c>
      <c r="G1678" t="s">
        <v>47135</v>
      </c>
      <c r="H1678" t="s">
        <v>47054</v>
      </c>
      <c r="I1678" t="s">
        <v>47136</v>
      </c>
      <c r="J1678" t="s">
        <v>47137</v>
      </c>
      <c r="K1678" t="s">
        <v>47113</v>
      </c>
      <c r="L1678">
        <v>20.11</v>
      </c>
      <c r="M1678">
        <v>47</v>
      </c>
      <c r="N1678">
        <v>0</v>
      </c>
      <c r="O1678">
        <v>47</v>
      </c>
      <c r="P1678">
        <v>0</v>
      </c>
    </row>
    <row r="1679" spans="1:16" x14ac:dyDescent="0.25">
      <c r="A1679" t="s">
        <v>24119</v>
      </c>
      <c r="B1679" t="s">
        <v>2810</v>
      </c>
      <c r="C1679" t="s">
        <v>2811</v>
      </c>
      <c r="D1679" t="str">
        <f>"8048"</f>
        <v>8048</v>
      </c>
      <c r="E1679" t="s">
        <v>2813</v>
      </c>
      <c r="F1679" t="s">
        <v>2</v>
      </c>
      <c r="G1679" t="s">
        <v>47135</v>
      </c>
      <c r="H1679" t="s">
        <v>47054</v>
      </c>
      <c r="I1679" t="s">
        <v>47136</v>
      </c>
      <c r="J1679" t="s">
        <v>47137</v>
      </c>
      <c r="K1679" t="s">
        <v>47113</v>
      </c>
      <c r="L1679">
        <v>20.11</v>
      </c>
      <c r="M1679">
        <v>47</v>
      </c>
      <c r="N1679">
        <v>0</v>
      </c>
      <c r="O1679">
        <v>47</v>
      </c>
      <c r="P1679">
        <v>0</v>
      </c>
    </row>
    <row r="1680" spans="1:16" x14ac:dyDescent="0.25">
      <c r="A1680" t="s">
        <v>14802</v>
      </c>
      <c r="B1680" t="s">
        <v>2814</v>
      </c>
      <c r="C1680" t="s">
        <v>2815</v>
      </c>
      <c r="D1680" t="str">
        <f>"4237"</f>
        <v>4237</v>
      </c>
      <c r="E1680" t="s">
        <v>2816</v>
      </c>
      <c r="F1680" t="s">
        <v>7</v>
      </c>
      <c r="G1680" t="s">
        <v>47079</v>
      </c>
      <c r="H1680" t="s">
        <v>47054</v>
      </c>
      <c r="I1680" t="s">
        <v>47120</v>
      </c>
      <c r="J1680" t="s">
        <v>47121</v>
      </c>
      <c r="K1680" t="s">
        <v>47113</v>
      </c>
      <c r="L1680">
        <v>16.41</v>
      </c>
      <c r="M1680">
        <v>37</v>
      </c>
      <c r="N1680">
        <v>0</v>
      </c>
      <c r="O1680">
        <v>37</v>
      </c>
      <c r="P1680">
        <v>0</v>
      </c>
    </row>
    <row r="1681" spans="1:16" x14ac:dyDescent="0.25">
      <c r="A1681" t="s">
        <v>14803</v>
      </c>
      <c r="B1681" t="s">
        <v>2814</v>
      </c>
      <c r="C1681" t="s">
        <v>2815</v>
      </c>
      <c r="D1681" t="str">
        <f>"6226"</f>
        <v>6226</v>
      </c>
      <c r="E1681" t="s">
        <v>2817</v>
      </c>
      <c r="F1681" t="s">
        <v>7</v>
      </c>
      <c r="G1681" t="s">
        <v>47079</v>
      </c>
      <c r="H1681" t="s">
        <v>47054</v>
      </c>
      <c r="I1681" t="s">
        <v>47120</v>
      </c>
      <c r="J1681" t="s">
        <v>47121</v>
      </c>
      <c r="K1681" t="s">
        <v>47113</v>
      </c>
      <c r="L1681">
        <v>16.41</v>
      </c>
      <c r="M1681">
        <v>37</v>
      </c>
      <c r="N1681">
        <v>0</v>
      </c>
      <c r="O1681">
        <v>37</v>
      </c>
      <c r="P1681">
        <v>0</v>
      </c>
    </row>
    <row r="1682" spans="1:16" x14ac:dyDescent="0.25">
      <c r="A1682" t="s">
        <v>24120</v>
      </c>
      <c r="B1682" t="s">
        <v>2818</v>
      </c>
      <c r="C1682" t="s">
        <v>2819</v>
      </c>
      <c r="D1682" t="str">
        <f>"6377"</f>
        <v>6377</v>
      </c>
      <c r="E1682" t="s">
        <v>2820</v>
      </c>
      <c r="F1682" t="s">
        <v>4</v>
      </c>
      <c r="G1682" t="s">
        <v>47079</v>
      </c>
      <c r="H1682" t="s">
        <v>47054</v>
      </c>
      <c r="I1682" t="s">
        <v>47120</v>
      </c>
      <c r="J1682" t="s">
        <v>47121</v>
      </c>
      <c r="K1682" t="s">
        <v>47113</v>
      </c>
      <c r="L1682">
        <v>25.76</v>
      </c>
      <c r="M1682">
        <v>63</v>
      </c>
      <c r="N1682">
        <v>0</v>
      </c>
      <c r="O1682">
        <v>63</v>
      </c>
      <c r="P1682">
        <v>0</v>
      </c>
    </row>
    <row r="1683" spans="1:16" x14ac:dyDescent="0.25">
      <c r="A1683" t="s">
        <v>24121</v>
      </c>
      <c r="B1683" t="s">
        <v>2821</v>
      </c>
      <c r="C1683" t="s">
        <v>2822</v>
      </c>
      <c r="D1683" t="str">
        <f>"2354"</f>
        <v>2354</v>
      </c>
      <c r="E1683" t="s">
        <v>2823</v>
      </c>
      <c r="F1683" t="s">
        <v>5</v>
      </c>
      <c r="G1683" t="s">
        <v>47079</v>
      </c>
      <c r="H1683" t="s">
        <v>47054</v>
      </c>
      <c r="I1683" t="s">
        <v>47120</v>
      </c>
      <c r="J1683" t="s">
        <v>47121</v>
      </c>
      <c r="K1683" t="s">
        <v>47113</v>
      </c>
      <c r="L1683">
        <v>19.46</v>
      </c>
      <c r="M1683">
        <v>49</v>
      </c>
      <c r="N1683">
        <v>0</v>
      </c>
      <c r="O1683">
        <v>49</v>
      </c>
      <c r="P1683">
        <v>0</v>
      </c>
    </row>
    <row r="1684" spans="1:16" x14ac:dyDescent="0.25">
      <c r="A1684" t="s">
        <v>24122</v>
      </c>
      <c r="B1684" t="s">
        <v>2821</v>
      </c>
      <c r="C1684" t="s">
        <v>2822</v>
      </c>
      <c r="D1684" t="str">
        <f>"6343"</f>
        <v>6343</v>
      </c>
      <c r="E1684" t="s">
        <v>2824</v>
      </c>
      <c r="F1684" t="s">
        <v>5</v>
      </c>
      <c r="G1684" t="s">
        <v>47079</v>
      </c>
      <c r="H1684" t="s">
        <v>47054</v>
      </c>
      <c r="I1684" t="s">
        <v>47120</v>
      </c>
      <c r="J1684" t="s">
        <v>47121</v>
      </c>
      <c r="K1684" t="s">
        <v>47113</v>
      </c>
      <c r="L1684">
        <v>19.46</v>
      </c>
      <c r="M1684">
        <v>49</v>
      </c>
      <c r="N1684">
        <v>0</v>
      </c>
      <c r="O1684">
        <v>49</v>
      </c>
      <c r="P1684">
        <v>0</v>
      </c>
    </row>
    <row r="1685" spans="1:16" x14ac:dyDescent="0.25">
      <c r="A1685" t="s">
        <v>24123</v>
      </c>
      <c r="B1685" t="s">
        <v>2825</v>
      </c>
      <c r="C1685" t="s">
        <v>2826</v>
      </c>
      <c r="D1685" t="s">
        <v>2827</v>
      </c>
      <c r="E1685" t="s">
        <v>2828</v>
      </c>
      <c r="F1685" t="s">
        <v>2</v>
      </c>
      <c r="G1685" t="s">
        <v>47072</v>
      </c>
      <c r="H1685" t="s">
        <v>47054</v>
      </c>
      <c r="I1685" t="s">
        <v>47116</v>
      </c>
      <c r="J1685" t="s">
        <v>47117</v>
      </c>
      <c r="K1685" t="s">
        <v>47113</v>
      </c>
      <c r="L1685">
        <v>26.67</v>
      </c>
      <c r="M1685">
        <v>62</v>
      </c>
      <c r="N1685">
        <v>0</v>
      </c>
      <c r="O1685">
        <v>62</v>
      </c>
      <c r="P1685">
        <v>0</v>
      </c>
    </row>
    <row r="1686" spans="1:16" x14ac:dyDescent="0.25">
      <c r="A1686" t="s">
        <v>24124</v>
      </c>
      <c r="B1686" t="s">
        <v>2829</v>
      </c>
      <c r="C1686" t="s">
        <v>2830</v>
      </c>
      <c r="D1686" t="s">
        <v>2831</v>
      </c>
      <c r="E1686" t="s">
        <v>2832</v>
      </c>
      <c r="F1686" t="s">
        <v>0</v>
      </c>
      <c r="G1686" t="s">
        <v>47072</v>
      </c>
      <c r="H1686" t="s">
        <v>47054</v>
      </c>
      <c r="I1686" t="s">
        <v>47116</v>
      </c>
      <c r="J1686" t="s">
        <v>47117</v>
      </c>
      <c r="K1686" t="s">
        <v>47113</v>
      </c>
      <c r="L1686">
        <v>38.74</v>
      </c>
      <c r="M1686">
        <v>95</v>
      </c>
      <c r="N1686">
        <v>0</v>
      </c>
      <c r="O1686">
        <v>95</v>
      </c>
      <c r="P1686">
        <v>0</v>
      </c>
    </row>
    <row r="1687" spans="1:16" x14ac:dyDescent="0.25">
      <c r="A1687" t="s">
        <v>24125</v>
      </c>
      <c r="B1687" t="s">
        <v>2833</v>
      </c>
      <c r="C1687" t="s">
        <v>2834</v>
      </c>
      <c r="D1687" t="s">
        <v>2835</v>
      </c>
      <c r="E1687" t="s">
        <v>2836</v>
      </c>
      <c r="F1687" t="s">
        <v>52</v>
      </c>
      <c r="G1687" t="s">
        <v>47072</v>
      </c>
      <c r="H1687" t="s">
        <v>47054</v>
      </c>
      <c r="I1687" t="s">
        <v>47111</v>
      </c>
      <c r="J1687" t="s">
        <v>47112</v>
      </c>
      <c r="K1687" t="s">
        <v>47113</v>
      </c>
      <c r="L1687">
        <v>29.21</v>
      </c>
      <c r="M1687">
        <v>72</v>
      </c>
      <c r="N1687">
        <v>0</v>
      </c>
      <c r="O1687">
        <v>72</v>
      </c>
      <c r="P1687">
        <v>0</v>
      </c>
    </row>
    <row r="1688" spans="1:16" x14ac:dyDescent="0.25">
      <c r="A1688" t="s">
        <v>24126</v>
      </c>
      <c r="B1688" t="s">
        <v>2837</v>
      </c>
      <c r="C1688" t="s">
        <v>2838</v>
      </c>
      <c r="D1688" t="s">
        <v>2839</v>
      </c>
      <c r="E1688" t="s">
        <v>2840</v>
      </c>
      <c r="F1688" t="s">
        <v>2</v>
      </c>
      <c r="G1688" t="s">
        <v>47076</v>
      </c>
      <c r="H1688" t="s">
        <v>47054</v>
      </c>
      <c r="I1688" t="s">
        <v>47116</v>
      </c>
      <c r="J1688" t="s">
        <v>47117</v>
      </c>
      <c r="K1688" t="s">
        <v>47113</v>
      </c>
      <c r="L1688">
        <v>36.89</v>
      </c>
      <c r="M1688">
        <v>85</v>
      </c>
      <c r="N1688">
        <v>0</v>
      </c>
      <c r="O1688">
        <v>85</v>
      </c>
      <c r="P1688">
        <v>0</v>
      </c>
    </row>
    <row r="1689" spans="1:16" x14ac:dyDescent="0.25">
      <c r="A1689" t="s">
        <v>24127</v>
      </c>
      <c r="B1689" t="s">
        <v>2841</v>
      </c>
      <c r="C1689" t="s">
        <v>2842</v>
      </c>
      <c r="D1689" t="str">
        <f>"4484"</f>
        <v>4484</v>
      </c>
      <c r="E1689" t="s">
        <v>2843</v>
      </c>
      <c r="F1689" t="s">
        <v>2</v>
      </c>
      <c r="G1689" t="s">
        <v>47072</v>
      </c>
      <c r="H1689" t="s">
        <v>47054</v>
      </c>
      <c r="I1689" t="s">
        <v>47116</v>
      </c>
      <c r="J1689" t="s">
        <v>47117</v>
      </c>
      <c r="K1689" t="s">
        <v>47113</v>
      </c>
      <c r="L1689">
        <v>26.66</v>
      </c>
      <c r="M1689">
        <v>62</v>
      </c>
      <c r="N1689">
        <v>0</v>
      </c>
      <c r="O1689">
        <v>62</v>
      </c>
      <c r="P1689">
        <v>0</v>
      </c>
    </row>
    <row r="1690" spans="1:16" x14ac:dyDescent="0.25">
      <c r="A1690" t="s">
        <v>24128</v>
      </c>
      <c r="B1690" t="s">
        <v>2844</v>
      </c>
      <c r="C1690" t="s">
        <v>2845</v>
      </c>
      <c r="D1690" t="str">
        <f>"1959"</f>
        <v>1959</v>
      </c>
      <c r="E1690" t="s">
        <v>2846</v>
      </c>
      <c r="F1690" t="s">
        <v>5</v>
      </c>
      <c r="G1690" t="s">
        <v>47079</v>
      </c>
      <c r="H1690" t="s">
        <v>47054</v>
      </c>
      <c r="I1690" t="s">
        <v>47120</v>
      </c>
      <c r="J1690" t="s">
        <v>47121</v>
      </c>
      <c r="K1690" t="s">
        <v>47113</v>
      </c>
      <c r="L1690">
        <v>23.86</v>
      </c>
      <c r="M1690">
        <v>60</v>
      </c>
      <c r="N1690">
        <v>0</v>
      </c>
      <c r="O1690">
        <v>60</v>
      </c>
      <c r="P1690">
        <v>0</v>
      </c>
    </row>
    <row r="1691" spans="1:16" x14ac:dyDescent="0.25">
      <c r="A1691" t="s">
        <v>24129</v>
      </c>
      <c r="B1691" t="s">
        <v>2847</v>
      </c>
      <c r="C1691" t="s">
        <v>2848</v>
      </c>
      <c r="D1691" t="str">
        <f>"3450"</f>
        <v>3450</v>
      </c>
      <c r="E1691" t="s">
        <v>2849</v>
      </c>
      <c r="F1691" t="s">
        <v>5</v>
      </c>
      <c r="G1691" t="s">
        <v>47072</v>
      </c>
      <c r="H1691" t="s">
        <v>47054</v>
      </c>
      <c r="I1691" t="s">
        <v>47116</v>
      </c>
      <c r="J1691" t="s">
        <v>47117</v>
      </c>
      <c r="K1691" t="s">
        <v>47113</v>
      </c>
      <c r="L1691">
        <v>32.68</v>
      </c>
      <c r="M1691">
        <v>82</v>
      </c>
      <c r="N1691">
        <v>0</v>
      </c>
      <c r="O1691">
        <v>82</v>
      </c>
      <c r="P1691">
        <v>0</v>
      </c>
    </row>
    <row r="1692" spans="1:16" x14ac:dyDescent="0.25">
      <c r="A1692" t="s">
        <v>24130</v>
      </c>
      <c r="B1692" t="s">
        <v>2850</v>
      </c>
      <c r="C1692" t="s">
        <v>2851</v>
      </c>
      <c r="D1692" t="s">
        <v>721</v>
      </c>
      <c r="E1692" t="s">
        <v>722</v>
      </c>
      <c r="F1692" t="s">
        <v>4</v>
      </c>
      <c r="G1692" t="s">
        <v>47135</v>
      </c>
      <c r="H1692" t="s">
        <v>47054</v>
      </c>
      <c r="I1692" t="s">
        <v>47116</v>
      </c>
      <c r="J1692" t="s">
        <v>47117</v>
      </c>
      <c r="K1692" t="s">
        <v>47113</v>
      </c>
      <c r="L1692">
        <v>6.75</v>
      </c>
      <c r="M1692">
        <v>16</v>
      </c>
      <c r="N1692">
        <v>0</v>
      </c>
      <c r="O1692">
        <v>16</v>
      </c>
      <c r="P1692">
        <v>0</v>
      </c>
    </row>
    <row r="1693" spans="1:16" x14ac:dyDescent="0.25">
      <c r="A1693" t="s">
        <v>24131</v>
      </c>
      <c r="B1693" t="s">
        <v>2850</v>
      </c>
      <c r="C1693" t="s">
        <v>2851</v>
      </c>
      <c r="D1693" t="s">
        <v>2852</v>
      </c>
      <c r="E1693" t="s">
        <v>2853</v>
      </c>
      <c r="F1693" t="s">
        <v>4</v>
      </c>
      <c r="G1693" t="s">
        <v>47135</v>
      </c>
      <c r="H1693" t="s">
        <v>47054</v>
      </c>
      <c r="I1693" t="s">
        <v>47116</v>
      </c>
      <c r="J1693" t="s">
        <v>47117</v>
      </c>
      <c r="K1693" t="s">
        <v>47113</v>
      </c>
      <c r="L1693">
        <v>6.75</v>
      </c>
      <c r="M1693">
        <v>17</v>
      </c>
      <c r="N1693">
        <v>0</v>
      </c>
      <c r="O1693">
        <v>17</v>
      </c>
      <c r="P1693">
        <v>0</v>
      </c>
    </row>
    <row r="1694" spans="1:16" x14ac:dyDescent="0.25">
      <c r="A1694" t="s">
        <v>24132</v>
      </c>
      <c r="B1694" t="s">
        <v>2854</v>
      </c>
      <c r="C1694" t="s">
        <v>2855</v>
      </c>
      <c r="D1694" t="str">
        <f>"1951"</f>
        <v>1951</v>
      </c>
      <c r="E1694" t="s">
        <v>2856</v>
      </c>
      <c r="F1694" t="s">
        <v>5</v>
      </c>
      <c r="G1694" t="s">
        <v>47078</v>
      </c>
      <c r="H1694" t="s">
        <v>47054</v>
      </c>
      <c r="I1694" t="s">
        <v>47111</v>
      </c>
      <c r="J1694" t="s">
        <v>47112</v>
      </c>
      <c r="K1694" t="s">
        <v>47113</v>
      </c>
      <c r="L1694">
        <v>11.27</v>
      </c>
      <c r="M1694">
        <v>28</v>
      </c>
      <c r="N1694">
        <v>0</v>
      </c>
      <c r="O1694">
        <v>28</v>
      </c>
      <c r="P1694">
        <v>0</v>
      </c>
    </row>
    <row r="1695" spans="1:16" x14ac:dyDescent="0.25">
      <c r="A1695" t="s">
        <v>24133</v>
      </c>
      <c r="B1695" t="s">
        <v>24134</v>
      </c>
      <c r="C1695" t="s">
        <v>24135</v>
      </c>
      <c r="D1695" t="str">
        <f>"2368"</f>
        <v>2368</v>
      </c>
      <c r="E1695" t="s">
        <v>24136</v>
      </c>
      <c r="F1695" t="s">
        <v>16601</v>
      </c>
      <c r="G1695" t="s">
        <v>47130</v>
      </c>
      <c r="H1695" t="s">
        <v>47144</v>
      </c>
      <c r="I1695" t="s">
        <v>47120</v>
      </c>
      <c r="J1695" t="s">
        <v>47121</v>
      </c>
      <c r="K1695" t="s">
        <v>47113</v>
      </c>
      <c r="L1695">
        <v>59.79</v>
      </c>
      <c r="M1695">
        <v>80</v>
      </c>
      <c r="N1695">
        <v>0</v>
      </c>
      <c r="O1695">
        <v>80</v>
      </c>
      <c r="P1695">
        <v>0</v>
      </c>
    </row>
    <row r="1696" spans="1:16" x14ac:dyDescent="0.25">
      <c r="A1696" t="s">
        <v>24137</v>
      </c>
      <c r="B1696" t="s">
        <v>24134</v>
      </c>
      <c r="C1696" t="s">
        <v>24135</v>
      </c>
      <c r="D1696" t="str">
        <f>"4002"</f>
        <v>4002</v>
      </c>
      <c r="E1696" t="s">
        <v>24138</v>
      </c>
      <c r="F1696" t="s">
        <v>16601</v>
      </c>
      <c r="G1696" t="s">
        <v>47130</v>
      </c>
      <c r="H1696" t="s">
        <v>47144</v>
      </c>
      <c r="I1696" t="s">
        <v>47120</v>
      </c>
      <c r="J1696" t="s">
        <v>47121</v>
      </c>
      <c r="K1696" t="s">
        <v>47113</v>
      </c>
      <c r="L1696">
        <v>59.79</v>
      </c>
      <c r="M1696">
        <v>80</v>
      </c>
      <c r="N1696">
        <v>0</v>
      </c>
      <c r="O1696">
        <v>80</v>
      </c>
      <c r="P1696">
        <v>0</v>
      </c>
    </row>
    <row r="1697" spans="1:16" x14ac:dyDescent="0.25">
      <c r="A1697" t="s">
        <v>24139</v>
      </c>
      <c r="B1697" t="s">
        <v>2857</v>
      </c>
      <c r="C1697" t="s">
        <v>2858</v>
      </c>
      <c r="D1697" t="str">
        <f>"4135"</f>
        <v>4135</v>
      </c>
      <c r="E1697" t="s">
        <v>2701</v>
      </c>
      <c r="F1697" t="s">
        <v>4</v>
      </c>
      <c r="G1697" t="s">
        <v>47078</v>
      </c>
      <c r="H1697" t="s">
        <v>47054</v>
      </c>
      <c r="I1697" t="s">
        <v>47139</v>
      </c>
      <c r="J1697" t="s">
        <v>47140</v>
      </c>
      <c r="K1697" t="s">
        <v>47113</v>
      </c>
      <c r="L1697">
        <v>14.01</v>
      </c>
      <c r="M1697">
        <v>34</v>
      </c>
      <c r="N1697">
        <v>0</v>
      </c>
      <c r="O1697">
        <v>34</v>
      </c>
      <c r="P1697">
        <v>0</v>
      </c>
    </row>
    <row r="1698" spans="1:16" x14ac:dyDescent="0.25">
      <c r="A1698" t="s">
        <v>24140</v>
      </c>
      <c r="B1698" t="s">
        <v>2859</v>
      </c>
      <c r="C1698" t="s">
        <v>2860</v>
      </c>
      <c r="D1698" t="str">
        <f>"4135"</f>
        <v>4135</v>
      </c>
      <c r="E1698" t="s">
        <v>2701</v>
      </c>
      <c r="F1698" t="s">
        <v>4</v>
      </c>
      <c r="G1698" t="s">
        <v>47075</v>
      </c>
      <c r="H1698" t="s">
        <v>47054</v>
      </c>
      <c r="I1698" t="s">
        <v>47139</v>
      </c>
      <c r="J1698" t="s">
        <v>47140</v>
      </c>
      <c r="K1698" t="s">
        <v>47113</v>
      </c>
      <c r="L1698">
        <v>18.7</v>
      </c>
      <c r="M1698">
        <v>46</v>
      </c>
      <c r="N1698">
        <v>0</v>
      </c>
      <c r="O1698">
        <v>46</v>
      </c>
      <c r="P1698">
        <v>0</v>
      </c>
    </row>
    <row r="1699" spans="1:16" x14ac:dyDescent="0.25">
      <c r="A1699" t="s">
        <v>24141</v>
      </c>
      <c r="B1699" t="s">
        <v>2861</v>
      </c>
      <c r="C1699" t="s">
        <v>2862</v>
      </c>
      <c r="D1699" t="str">
        <f>"1505"</f>
        <v>1505</v>
      </c>
      <c r="E1699" t="s">
        <v>1667</v>
      </c>
      <c r="F1699" t="s">
        <v>4</v>
      </c>
      <c r="G1699" t="s">
        <v>47075</v>
      </c>
      <c r="H1699" t="s">
        <v>47054</v>
      </c>
      <c r="I1699" t="s">
        <v>47139</v>
      </c>
      <c r="J1699" t="s">
        <v>47140</v>
      </c>
      <c r="K1699" t="s">
        <v>47113</v>
      </c>
      <c r="L1699">
        <v>18.59</v>
      </c>
      <c r="M1699">
        <v>45</v>
      </c>
      <c r="N1699">
        <v>0</v>
      </c>
      <c r="O1699">
        <v>45</v>
      </c>
      <c r="P1699">
        <v>0</v>
      </c>
    </row>
    <row r="1700" spans="1:16" x14ac:dyDescent="0.25">
      <c r="A1700" t="s">
        <v>24142</v>
      </c>
      <c r="B1700" t="s">
        <v>2863</v>
      </c>
      <c r="C1700" t="s">
        <v>2864</v>
      </c>
      <c r="D1700" t="str">
        <f>"1100"</f>
        <v>1100</v>
      </c>
      <c r="E1700" t="s">
        <v>54</v>
      </c>
      <c r="F1700" t="s">
        <v>8</v>
      </c>
      <c r="G1700" t="s">
        <v>47073</v>
      </c>
      <c r="H1700" t="s">
        <v>47054</v>
      </c>
      <c r="I1700" t="s">
        <v>47114</v>
      </c>
      <c r="J1700" t="s">
        <v>47115</v>
      </c>
      <c r="K1700" t="s">
        <v>47113</v>
      </c>
      <c r="L1700">
        <v>12.01</v>
      </c>
      <c r="M1700">
        <v>27</v>
      </c>
      <c r="N1700">
        <v>0</v>
      </c>
      <c r="O1700">
        <v>27</v>
      </c>
      <c r="P1700">
        <v>0</v>
      </c>
    </row>
    <row r="1701" spans="1:16" x14ac:dyDescent="0.25">
      <c r="A1701" t="s">
        <v>24143</v>
      </c>
      <c r="B1701" t="s">
        <v>2865</v>
      </c>
      <c r="C1701" t="s">
        <v>2866</v>
      </c>
      <c r="D1701" t="str">
        <f>"9624"</f>
        <v>9624</v>
      </c>
      <c r="E1701" t="s">
        <v>2867</v>
      </c>
      <c r="F1701" t="s">
        <v>0</v>
      </c>
      <c r="G1701" t="s">
        <v>47135</v>
      </c>
      <c r="H1701" t="s">
        <v>47054</v>
      </c>
      <c r="I1701" t="s">
        <v>47136</v>
      </c>
      <c r="J1701" t="s">
        <v>47137</v>
      </c>
      <c r="K1701" t="s">
        <v>47113</v>
      </c>
      <c r="L1701">
        <v>17.190000000000001</v>
      </c>
      <c r="M1701">
        <v>42</v>
      </c>
      <c r="N1701">
        <v>0</v>
      </c>
      <c r="O1701">
        <v>42</v>
      </c>
      <c r="P1701">
        <v>0</v>
      </c>
    </row>
    <row r="1702" spans="1:16" x14ac:dyDescent="0.25">
      <c r="A1702" t="s">
        <v>24144</v>
      </c>
      <c r="B1702" t="s">
        <v>2868</v>
      </c>
      <c r="C1702" t="s">
        <v>2869</v>
      </c>
      <c r="D1702" t="str">
        <f>"1414"</f>
        <v>1414</v>
      </c>
      <c r="E1702" t="s">
        <v>2870</v>
      </c>
      <c r="F1702" t="s">
        <v>0</v>
      </c>
      <c r="G1702" t="s">
        <v>47073</v>
      </c>
      <c r="H1702" t="s">
        <v>47054</v>
      </c>
      <c r="I1702" t="s">
        <v>47111</v>
      </c>
      <c r="J1702" t="s">
        <v>47112</v>
      </c>
      <c r="K1702" t="s">
        <v>47113</v>
      </c>
      <c r="L1702">
        <v>5.52</v>
      </c>
      <c r="M1702">
        <v>13</v>
      </c>
      <c r="N1702">
        <v>0</v>
      </c>
      <c r="O1702">
        <v>13</v>
      </c>
      <c r="P1702">
        <v>0</v>
      </c>
    </row>
    <row r="1703" spans="1:16" x14ac:dyDescent="0.25">
      <c r="A1703" t="s">
        <v>24145</v>
      </c>
      <c r="B1703" t="s">
        <v>2871</v>
      </c>
      <c r="C1703" t="s">
        <v>2872</v>
      </c>
      <c r="D1703" t="str">
        <f>"3475"</f>
        <v>3475</v>
      </c>
      <c r="E1703" t="s">
        <v>2873</v>
      </c>
      <c r="F1703" t="s">
        <v>0</v>
      </c>
      <c r="G1703" t="s">
        <v>47073</v>
      </c>
      <c r="H1703" t="s">
        <v>47054</v>
      </c>
      <c r="I1703" t="s">
        <v>47111</v>
      </c>
      <c r="J1703" t="s">
        <v>47112</v>
      </c>
      <c r="K1703" t="s">
        <v>47113</v>
      </c>
      <c r="L1703">
        <v>5.52</v>
      </c>
      <c r="M1703">
        <v>13</v>
      </c>
      <c r="N1703">
        <v>0</v>
      </c>
      <c r="O1703">
        <v>13</v>
      </c>
      <c r="P1703">
        <v>0</v>
      </c>
    </row>
    <row r="1704" spans="1:16" x14ac:dyDescent="0.25">
      <c r="A1704" t="s">
        <v>24146</v>
      </c>
      <c r="B1704" t="s">
        <v>2874</v>
      </c>
      <c r="C1704" t="s">
        <v>2875</v>
      </c>
      <c r="D1704" t="str">
        <f>"1414"</f>
        <v>1414</v>
      </c>
      <c r="E1704" t="s">
        <v>2870</v>
      </c>
      <c r="F1704" t="s">
        <v>0</v>
      </c>
      <c r="G1704" t="s">
        <v>47078</v>
      </c>
      <c r="H1704" t="s">
        <v>47054</v>
      </c>
      <c r="I1704" t="s">
        <v>47111</v>
      </c>
      <c r="J1704" t="s">
        <v>47112</v>
      </c>
      <c r="K1704" t="s">
        <v>47113</v>
      </c>
      <c r="L1704">
        <v>7.69</v>
      </c>
      <c r="M1704">
        <v>19</v>
      </c>
      <c r="N1704">
        <v>0</v>
      </c>
      <c r="O1704">
        <v>19</v>
      </c>
      <c r="P1704">
        <v>0</v>
      </c>
    </row>
    <row r="1705" spans="1:16" x14ac:dyDescent="0.25">
      <c r="A1705" t="s">
        <v>24147</v>
      </c>
      <c r="B1705" t="s">
        <v>2876</v>
      </c>
      <c r="C1705" t="s">
        <v>2877</v>
      </c>
      <c r="D1705" t="str">
        <f>"1745"</f>
        <v>1745</v>
      </c>
      <c r="E1705" t="s">
        <v>1659</v>
      </c>
      <c r="F1705" t="s">
        <v>0</v>
      </c>
      <c r="G1705" t="s">
        <v>47078</v>
      </c>
      <c r="H1705" t="s">
        <v>47054</v>
      </c>
      <c r="I1705" t="s">
        <v>47111</v>
      </c>
      <c r="J1705" t="s">
        <v>47112</v>
      </c>
      <c r="K1705" t="s">
        <v>47113</v>
      </c>
      <c r="L1705">
        <v>7.18</v>
      </c>
      <c r="M1705">
        <v>18</v>
      </c>
      <c r="N1705">
        <v>0</v>
      </c>
      <c r="O1705">
        <v>18</v>
      </c>
      <c r="P1705">
        <v>0</v>
      </c>
    </row>
    <row r="1706" spans="1:16" x14ac:dyDescent="0.25">
      <c r="A1706" t="s">
        <v>24148</v>
      </c>
      <c r="B1706" t="s">
        <v>2878</v>
      </c>
      <c r="C1706" t="s">
        <v>2879</v>
      </c>
      <c r="D1706" t="str">
        <f>"6439"</f>
        <v>6439</v>
      </c>
      <c r="E1706" t="s">
        <v>2880</v>
      </c>
      <c r="F1706" t="s">
        <v>1</v>
      </c>
      <c r="G1706" t="s">
        <v>47078</v>
      </c>
      <c r="H1706" t="s">
        <v>47054</v>
      </c>
      <c r="I1706" t="s">
        <v>47118</v>
      </c>
      <c r="J1706" t="s">
        <v>47119</v>
      </c>
      <c r="K1706" t="s">
        <v>47113</v>
      </c>
      <c r="L1706">
        <v>15.33</v>
      </c>
      <c r="M1706">
        <v>38</v>
      </c>
      <c r="N1706">
        <v>0</v>
      </c>
      <c r="O1706">
        <v>38</v>
      </c>
      <c r="P1706">
        <v>0</v>
      </c>
    </row>
    <row r="1707" spans="1:16" x14ac:dyDescent="0.25">
      <c r="A1707" t="s">
        <v>14804</v>
      </c>
      <c r="B1707" t="s">
        <v>2881</v>
      </c>
      <c r="C1707" t="s">
        <v>2882</v>
      </c>
      <c r="D1707" t="str">
        <f>"1820"</f>
        <v>1820</v>
      </c>
      <c r="E1707" t="s">
        <v>1266</v>
      </c>
      <c r="F1707" t="s">
        <v>1</v>
      </c>
      <c r="G1707" t="s">
        <v>47078</v>
      </c>
      <c r="H1707" t="s">
        <v>47054</v>
      </c>
      <c r="I1707" t="s">
        <v>47118</v>
      </c>
      <c r="J1707" t="s">
        <v>47119</v>
      </c>
      <c r="K1707" t="s">
        <v>47113</v>
      </c>
      <c r="L1707">
        <v>14.27</v>
      </c>
      <c r="M1707">
        <v>35</v>
      </c>
      <c r="N1707">
        <v>0</v>
      </c>
      <c r="O1707">
        <v>35</v>
      </c>
      <c r="P1707">
        <v>0</v>
      </c>
    </row>
    <row r="1708" spans="1:16" x14ac:dyDescent="0.25">
      <c r="A1708" t="s">
        <v>24149</v>
      </c>
      <c r="B1708" t="s">
        <v>2883</v>
      </c>
      <c r="C1708" t="s">
        <v>2884</v>
      </c>
      <c r="D1708" t="str">
        <f>"4713"</f>
        <v>4713</v>
      </c>
      <c r="E1708" t="s">
        <v>2885</v>
      </c>
      <c r="F1708" t="s">
        <v>0</v>
      </c>
      <c r="G1708" t="s">
        <v>47078</v>
      </c>
      <c r="H1708" t="s">
        <v>47054</v>
      </c>
      <c r="I1708" t="s">
        <v>47118</v>
      </c>
      <c r="J1708" t="s">
        <v>47119</v>
      </c>
      <c r="K1708" t="s">
        <v>47113</v>
      </c>
      <c r="L1708">
        <v>14.58</v>
      </c>
      <c r="M1708">
        <v>36</v>
      </c>
      <c r="N1708">
        <v>0</v>
      </c>
      <c r="O1708">
        <v>36</v>
      </c>
      <c r="P1708">
        <v>0</v>
      </c>
    </row>
    <row r="1709" spans="1:16" x14ac:dyDescent="0.25">
      <c r="A1709" t="s">
        <v>24150</v>
      </c>
      <c r="B1709" t="s">
        <v>2886</v>
      </c>
      <c r="C1709" t="s">
        <v>2887</v>
      </c>
      <c r="D1709" t="str">
        <f>"4150"</f>
        <v>4150</v>
      </c>
      <c r="E1709" t="s">
        <v>2888</v>
      </c>
      <c r="F1709" t="s">
        <v>0</v>
      </c>
      <c r="G1709" t="s">
        <v>47075</v>
      </c>
      <c r="H1709" t="s">
        <v>47054</v>
      </c>
      <c r="I1709" t="s">
        <v>47118</v>
      </c>
      <c r="J1709" t="s">
        <v>47119</v>
      </c>
      <c r="K1709" t="s">
        <v>47113</v>
      </c>
      <c r="L1709">
        <v>17.68</v>
      </c>
      <c r="M1709">
        <v>43</v>
      </c>
      <c r="N1709">
        <v>0</v>
      </c>
      <c r="O1709">
        <v>43</v>
      </c>
      <c r="P1709">
        <v>0</v>
      </c>
    </row>
    <row r="1710" spans="1:16" x14ac:dyDescent="0.25">
      <c r="A1710" t="s">
        <v>24151</v>
      </c>
      <c r="B1710" t="s">
        <v>2889</v>
      </c>
      <c r="C1710" t="s">
        <v>2890</v>
      </c>
      <c r="D1710" t="str">
        <f>"1505"</f>
        <v>1505</v>
      </c>
      <c r="E1710" t="s">
        <v>1667</v>
      </c>
      <c r="F1710" t="s">
        <v>0</v>
      </c>
      <c r="G1710" t="s">
        <v>47078</v>
      </c>
      <c r="H1710" t="s">
        <v>47054</v>
      </c>
      <c r="I1710" t="s">
        <v>47111</v>
      </c>
      <c r="J1710" t="s">
        <v>47112</v>
      </c>
      <c r="K1710" t="s">
        <v>47113</v>
      </c>
      <c r="L1710">
        <v>13.67</v>
      </c>
      <c r="M1710">
        <v>33</v>
      </c>
      <c r="N1710">
        <v>0</v>
      </c>
      <c r="O1710">
        <v>33</v>
      </c>
      <c r="P1710">
        <v>0</v>
      </c>
    </row>
    <row r="1711" spans="1:16" x14ac:dyDescent="0.25">
      <c r="A1711" t="s">
        <v>24152</v>
      </c>
      <c r="B1711" t="s">
        <v>2891</v>
      </c>
      <c r="C1711" t="s">
        <v>2892</v>
      </c>
      <c r="D1711" t="str">
        <f>"4135"</f>
        <v>4135</v>
      </c>
      <c r="E1711" t="s">
        <v>2701</v>
      </c>
      <c r="F1711" t="s">
        <v>1</v>
      </c>
      <c r="G1711" t="s">
        <v>47073</v>
      </c>
      <c r="H1711" t="s">
        <v>47054</v>
      </c>
      <c r="I1711" t="s">
        <v>47111</v>
      </c>
      <c r="J1711" t="s">
        <v>47112</v>
      </c>
      <c r="K1711" t="s">
        <v>47113</v>
      </c>
      <c r="L1711">
        <v>13.45</v>
      </c>
      <c r="M1711">
        <v>33</v>
      </c>
      <c r="N1711">
        <v>0</v>
      </c>
      <c r="O1711">
        <v>33</v>
      </c>
      <c r="P1711">
        <v>0</v>
      </c>
    </row>
    <row r="1712" spans="1:16" x14ac:dyDescent="0.25">
      <c r="A1712" t="s">
        <v>24153</v>
      </c>
      <c r="B1712" t="s">
        <v>2893</v>
      </c>
      <c r="C1712" t="s">
        <v>2894</v>
      </c>
      <c r="D1712" t="str">
        <f>"1821"</f>
        <v>1821</v>
      </c>
      <c r="E1712" t="s">
        <v>590</v>
      </c>
      <c r="F1712" t="s">
        <v>1</v>
      </c>
      <c r="G1712" t="s">
        <v>47073</v>
      </c>
      <c r="H1712" t="s">
        <v>47054</v>
      </c>
      <c r="I1712" t="s">
        <v>47111</v>
      </c>
      <c r="J1712" t="s">
        <v>47112</v>
      </c>
      <c r="K1712" t="s">
        <v>47113</v>
      </c>
      <c r="L1712">
        <v>7.08</v>
      </c>
      <c r="M1712">
        <v>17</v>
      </c>
      <c r="N1712">
        <v>0</v>
      </c>
      <c r="O1712">
        <v>17</v>
      </c>
      <c r="P1712">
        <v>0</v>
      </c>
    </row>
    <row r="1713" spans="1:16" x14ac:dyDescent="0.25">
      <c r="A1713" t="s">
        <v>14805</v>
      </c>
      <c r="B1713" t="s">
        <v>2895</v>
      </c>
      <c r="C1713" t="s">
        <v>2896</v>
      </c>
      <c r="D1713" t="str">
        <f>"4135"</f>
        <v>4135</v>
      </c>
      <c r="E1713" t="s">
        <v>2701</v>
      </c>
      <c r="F1713" t="s">
        <v>1</v>
      </c>
      <c r="G1713" t="s">
        <v>47073</v>
      </c>
      <c r="H1713" t="s">
        <v>47054</v>
      </c>
      <c r="I1713" t="s">
        <v>47111</v>
      </c>
      <c r="J1713" t="s">
        <v>47112</v>
      </c>
      <c r="K1713" t="s">
        <v>47113</v>
      </c>
      <c r="L1713">
        <v>15.31</v>
      </c>
      <c r="M1713">
        <v>34</v>
      </c>
      <c r="N1713">
        <v>0</v>
      </c>
      <c r="O1713">
        <v>34</v>
      </c>
      <c r="P1713">
        <v>0</v>
      </c>
    </row>
    <row r="1714" spans="1:16" x14ac:dyDescent="0.25">
      <c r="A1714" t="s">
        <v>14806</v>
      </c>
      <c r="B1714" t="s">
        <v>2897</v>
      </c>
      <c r="C1714" t="s">
        <v>2898</v>
      </c>
      <c r="D1714" t="str">
        <f>"1419"</f>
        <v>1419</v>
      </c>
      <c r="E1714" t="s">
        <v>2899</v>
      </c>
      <c r="F1714" t="s">
        <v>0</v>
      </c>
      <c r="G1714" t="s">
        <v>47076</v>
      </c>
      <c r="H1714" t="s">
        <v>47054</v>
      </c>
      <c r="I1714" t="s">
        <v>47118</v>
      </c>
      <c r="J1714" t="s">
        <v>47119</v>
      </c>
      <c r="K1714" t="s">
        <v>47113</v>
      </c>
      <c r="L1714">
        <v>21.32</v>
      </c>
      <c r="M1714">
        <v>52</v>
      </c>
      <c r="N1714">
        <v>0</v>
      </c>
      <c r="O1714">
        <v>52</v>
      </c>
      <c r="P1714">
        <v>0</v>
      </c>
    </row>
    <row r="1715" spans="1:16" x14ac:dyDescent="0.25">
      <c r="A1715" t="s">
        <v>24154</v>
      </c>
      <c r="B1715" t="s">
        <v>24155</v>
      </c>
      <c r="C1715" t="s">
        <v>24156</v>
      </c>
      <c r="D1715" t="str">
        <f>"4144"</f>
        <v>4144</v>
      </c>
      <c r="E1715" t="s">
        <v>261</v>
      </c>
      <c r="F1715" t="s">
        <v>20053</v>
      </c>
      <c r="G1715" t="s">
        <v>47053</v>
      </c>
      <c r="H1715" t="s">
        <v>47052</v>
      </c>
      <c r="I1715" t="s">
        <v>47120</v>
      </c>
      <c r="J1715" t="s">
        <v>47121</v>
      </c>
      <c r="K1715" t="s">
        <v>47113</v>
      </c>
      <c r="L1715">
        <v>6.61</v>
      </c>
      <c r="M1715">
        <v>20</v>
      </c>
      <c r="N1715">
        <v>0</v>
      </c>
      <c r="O1715">
        <v>20</v>
      </c>
      <c r="P1715">
        <v>0</v>
      </c>
    </row>
    <row r="1716" spans="1:16" x14ac:dyDescent="0.25">
      <c r="A1716" t="s">
        <v>24157</v>
      </c>
      <c r="B1716" t="s">
        <v>24158</v>
      </c>
      <c r="C1716" t="s">
        <v>24159</v>
      </c>
      <c r="D1716" t="str">
        <f>"1001"</f>
        <v>1001</v>
      </c>
      <c r="E1716" t="s">
        <v>42</v>
      </c>
      <c r="F1716" t="s">
        <v>24019</v>
      </c>
      <c r="G1716" t="s">
        <v>47053</v>
      </c>
      <c r="H1716" t="s">
        <v>47052</v>
      </c>
      <c r="I1716" t="s">
        <v>47120</v>
      </c>
      <c r="J1716" t="s">
        <v>47121</v>
      </c>
      <c r="K1716" t="s">
        <v>47113</v>
      </c>
      <c r="L1716">
        <v>14.85</v>
      </c>
      <c r="M1716">
        <v>48</v>
      </c>
      <c r="N1716">
        <v>129</v>
      </c>
      <c r="O1716">
        <v>48</v>
      </c>
      <c r="P1716">
        <v>129</v>
      </c>
    </row>
    <row r="1717" spans="1:16" x14ac:dyDescent="0.25">
      <c r="A1717" t="s">
        <v>24160</v>
      </c>
      <c r="B1717" t="s">
        <v>24161</v>
      </c>
      <c r="C1717" t="s">
        <v>24162</v>
      </c>
      <c r="D1717" t="str">
        <f>"1701"</f>
        <v>1701</v>
      </c>
      <c r="E1717" t="s">
        <v>55</v>
      </c>
      <c r="F1717" t="s">
        <v>17351</v>
      </c>
      <c r="G1717" t="s">
        <v>47053</v>
      </c>
      <c r="H1717" t="s">
        <v>47052</v>
      </c>
      <c r="I1717" t="s">
        <v>47120</v>
      </c>
      <c r="J1717" t="s">
        <v>47121</v>
      </c>
      <c r="K1717" t="s">
        <v>47113</v>
      </c>
      <c r="L1717">
        <v>5.25</v>
      </c>
      <c r="M1717">
        <v>16</v>
      </c>
      <c r="N1717">
        <v>0</v>
      </c>
      <c r="O1717">
        <v>16</v>
      </c>
      <c r="P1717">
        <v>0</v>
      </c>
    </row>
    <row r="1718" spans="1:16" x14ac:dyDescent="0.25">
      <c r="A1718" t="s">
        <v>14807</v>
      </c>
      <c r="B1718" t="s">
        <v>2900</v>
      </c>
      <c r="C1718" t="s">
        <v>2901</v>
      </c>
      <c r="D1718" t="s">
        <v>1928</v>
      </c>
      <c r="E1718" t="s">
        <v>1929</v>
      </c>
      <c r="F1718" t="s">
        <v>8</v>
      </c>
      <c r="G1718" t="s">
        <v>47145</v>
      </c>
      <c r="H1718" t="s">
        <v>47054</v>
      </c>
      <c r="I1718" t="s">
        <v>47118</v>
      </c>
      <c r="J1718" t="s">
        <v>47119</v>
      </c>
      <c r="K1718" t="s">
        <v>47113</v>
      </c>
      <c r="L1718">
        <v>21</v>
      </c>
      <c r="M1718">
        <v>57</v>
      </c>
      <c r="N1718">
        <v>0</v>
      </c>
      <c r="O1718">
        <v>57</v>
      </c>
      <c r="P1718">
        <v>0</v>
      </c>
    </row>
    <row r="1719" spans="1:16" x14ac:dyDescent="0.25">
      <c r="A1719" t="s">
        <v>14808</v>
      </c>
      <c r="B1719" t="s">
        <v>2902</v>
      </c>
      <c r="C1719" t="s">
        <v>2903</v>
      </c>
      <c r="D1719" t="s">
        <v>753</v>
      </c>
      <c r="E1719" t="s">
        <v>754</v>
      </c>
      <c r="F1719" t="s">
        <v>6</v>
      </c>
      <c r="G1719" t="s">
        <v>47145</v>
      </c>
      <c r="H1719" t="s">
        <v>47054</v>
      </c>
      <c r="I1719" t="s">
        <v>47116</v>
      </c>
      <c r="J1719" t="s">
        <v>47117</v>
      </c>
      <c r="K1719" t="s">
        <v>47113</v>
      </c>
      <c r="L1719">
        <v>36.659999999999997</v>
      </c>
      <c r="M1719">
        <v>92</v>
      </c>
      <c r="N1719">
        <v>0</v>
      </c>
      <c r="O1719">
        <v>92</v>
      </c>
      <c r="P1719">
        <v>0</v>
      </c>
    </row>
    <row r="1720" spans="1:16" x14ac:dyDescent="0.25">
      <c r="A1720" t="s">
        <v>14809</v>
      </c>
      <c r="B1720" t="s">
        <v>2904</v>
      </c>
      <c r="C1720" t="s">
        <v>2905</v>
      </c>
      <c r="D1720" t="s">
        <v>2117</v>
      </c>
      <c r="E1720" t="s">
        <v>2118</v>
      </c>
      <c r="F1720" t="s">
        <v>8</v>
      </c>
      <c r="G1720" t="s">
        <v>47081</v>
      </c>
      <c r="H1720" t="s">
        <v>47054</v>
      </c>
      <c r="I1720" t="s">
        <v>47116</v>
      </c>
      <c r="J1720" t="s">
        <v>47117</v>
      </c>
      <c r="K1720" t="s">
        <v>47113</v>
      </c>
      <c r="L1720">
        <v>26.53</v>
      </c>
      <c r="M1720">
        <v>71</v>
      </c>
      <c r="N1720">
        <v>0</v>
      </c>
      <c r="O1720">
        <v>71</v>
      </c>
      <c r="P1720">
        <v>0</v>
      </c>
    </row>
    <row r="1721" spans="1:16" x14ac:dyDescent="0.25">
      <c r="A1721" t="s">
        <v>24163</v>
      </c>
      <c r="B1721" t="s">
        <v>2906</v>
      </c>
      <c r="C1721" t="s">
        <v>2907</v>
      </c>
      <c r="D1721" t="s">
        <v>2908</v>
      </c>
      <c r="E1721" t="s">
        <v>2909</v>
      </c>
      <c r="F1721" t="s">
        <v>5</v>
      </c>
      <c r="G1721" t="s">
        <v>47081</v>
      </c>
      <c r="H1721" t="s">
        <v>47054</v>
      </c>
      <c r="I1721" t="s">
        <v>47116</v>
      </c>
      <c r="J1721" t="s">
        <v>47117</v>
      </c>
      <c r="K1721" t="s">
        <v>47113</v>
      </c>
      <c r="L1721">
        <v>28.99</v>
      </c>
      <c r="M1721">
        <v>73</v>
      </c>
      <c r="N1721">
        <v>0</v>
      </c>
      <c r="O1721">
        <v>73</v>
      </c>
      <c r="P1721">
        <v>0</v>
      </c>
    </row>
    <row r="1722" spans="1:16" x14ac:dyDescent="0.25">
      <c r="A1722" t="s">
        <v>24164</v>
      </c>
      <c r="B1722" t="s">
        <v>2906</v>
      </c>
      <c r="C1722" t="s">
        <v>2907</v>
      </c>
      <c r="D1722" t="s">
        <v>2910</v>
      </c>
      <c r="E1722" t="s">
        <v>2911</v>
      </c>
      <c r="F1722" t="s">
        <v>4</v>
      </c>
      <c r="G1722" t="s">
        <v>47081</v>
      </c>
      <c r="H1722" t="s">
        <v>47054</v>
      </c>
      <c r="I1722" t="s">
        <v>47116</v>
      </c>
      <c r="J1722" t="s">
        <v>47117</v>
      </c>
      <c r="K1722" t="s">
        <v>47113</v>
      </c>
      <c r="L1722">
        <v>26.34</v>
      </c>
      <c r="M1722">
        <v>64</v>
      </c>
      <c r="N1722">
        <v>0</v>
      </c>
      <c r="O1722">
        <v>64</v>
      </c>
      <c r="P1722">
        <v>0</v>
      </c>
    </row>
    <row r="1723" spans="1:16" x14ac:dyDescent="0.25">
      <c r="A1723" t="s">
        <v>24165</v>
      </c>
      <c r="B1723" t="s">
        <v>2906</v>
      </c>
      <c r="C1723" t="s">
        <v>2907</v>
      </c>
      <c r="D1723" t="s">
        <v>2912</v>
      </c>
      <c r="E1723" t="s">
        <v>2913</v>
      </c>
      <c r="F1723" t="s">
        <v>4</v>
      </c>
      <c r="G1723" t="s">
        <v>47081</v>
      </c>
      <c r="H1723" t="s">
        <v>47054</v>
      </c>
      <c r="I1723" t="s">
        <v>47116</v>
      </c>
      <c r="J1723" t="s">
        <v>47117</v>
      </c>
      <c r="K1723" t="s">
        <v>47113</v>
      </c>
      <c r="L1723">
        <v>27.21</v>
      </c>
      <c r="M1723">
        <v>66</v>
      </c>
      <c r="N1723">
        <v>0</v>
      </c>
      <c r="O1723">
        <v>66</v>
      </c>
      <c r="P1723">
        <v>0</v>
      </c>
    </row>
    <row r="1724" spans="1:16" x14ac:dyDescent="0.25">
      <c r="A1724" t="s">
        <v>24166</v>
      </c>
      <c r="B1724" t="s">
        <v>2906</v>
      </c>
      <c r="C1724" t="s">
        <v>2907</v>
      </c>
      <c r="D1724" t="s">
        <v>2446</v>
      </c>
      <c r="E1724" t="s">
        <v>2447</v>
      </c>
      <c r="F1724" t="s">
        <v>52</v>
      </c>
      <c r="G1724" t="s">
        <v>47081</v>
      </c>
      <c r="H1724" t="s">
        <v>47054</v>
      </c>
      <c r="I1724" t="s">
        <v>47116</v>
      </c>
      <c r="J1724" t="s">
        <v>47117</v>
      </c>
      <c r="K1724" t="s">
        <v>47113</v>
      </c>
      <c r="L1724">
        <v>28.09</v>
      </c>
      <c r="M1724">
        <v>69</v>
      </c>
      <c r="N1724">
        <v>0</v>
      </c>
      <c r="O1724">
        <v>69</v>
      </c>
      <c r="P1724">
        <v>0</v>
      </c>
    </row>
    <row r="1725" spans="1:16" x14ac:dyDescent="0.25">
      <c r="A1725" t="s">
        <v>24167</v>
      </c>
      <c r="B1725" t="s">
        <v>2914</v>
      </c>
      <c r="C1725" t="s">
        <v>2907</v>
      </c>
      <c r="D1725" t="s">
        <v>2430</v>
      </c>
      <c r="E1725" t="s">
        <v>2431</v>
      </c>
      <c r="F1725" t="s">
        <v>52</v>
      </c>
      <c r="G1725" t="s">
        <v>47081</v>
      </c>
      <c r="H1725" t="s">
        <v>47054</v>
      </c>
      <c r="I1725" t="s">
        <v>47111</v>
      </c>
      <c r="J1725" t="s">
        <v>47112</v>
      </c>
      <c r="K1725" t="s">
        <v>47113</v>
      </c>
      <c r="L1725">
        <v>27.52</v>
      </c>
      <c r="M1725">
        <v>68</v>
      </c>
      <c r="N1725">
        <v>0</v>
      </c>
      <c r="O1725">
        <v>68</v>
      </c>
      <c r="P1725">
        <v>0</v>
      </c>
    </row>
    <row r="1726" spans="1:16" x14ac:dyDescent="0.25">
      <c r="A1726" t="s">
        <v>24168</v>
      </c>
      <c r="B1726" t="s">
        <v>2915</v>
      </c>
      <c r="C1726" t="s">
        <v>2916</v>
      </c>
      <c r="D1726" t="s">
        <v>22</v>
      </c>
      <c r="E1726" t="s">
        <v>23</v>
      </c>
      <c r="F1726" t="s">
        <v>6</v>
      </c>
      <c r="G1726" t="s">
        <v>47081</v>
      </c>
      <c r="H1726" t="s">
        <v>47054</v>
      </c>
      <c r="I1726" t="s">
        <v>47116</v>
      </c>
      <c r="J1726" t="s">
        <v>47117</v>
      </c>
      <c r="K1726" t="s">
        <v>47113</v>
      </c>
      <c r="L1726">
        <v>19.64</v>
      </c>
      <c r="M1726">
        <v>62</v>
      </c>
      <c r="N1726">
        <v>0</v>
      </c>
      <c r="O1726">
        <v>62</v>
      </c>
      <c r="P1726">
        <v>0</v>
      </c>
    </row>
    <row r="1727" spans="1:16" x14ac:dyDescent="0.25">
      <c r="A1727" t="s">
        <v>24169</v>
      </c>
      <c r="B1727" t="s">
        <v>2917</v>
      </c>
      <c r="C1727" t="s">
        <v>2918</v>
      </c>
      <c r="D1727" t="s">
        <v>629</v>
      </c>
      <c r="E1727" t="s">
        <v>630</v>
      </c>
      <c r="F1727" t="s">
        <v>7</v>
      </c>
      <c r="G1727" t="s">
        <v>47081</v>
      </c>
      <c r="H1727" t="s">
        <v>47054</v>
      </c>
      <c r="I1727" t="s">
        <v>47116</v>
      </c>
      <c r="J1727" t="s">
        <v>47117</v>
      </c>
      <c r="K1727" t="s">
        <v>47113</v>
      </c>
      <c r="L1727">
        <v>27.7</v>
      </c>
      <c r="M1727">
        <v>71</v>
      </c>
      <c r="N1727">
        <v>0</v>
      </c>
      <c r="O1727">
        <v>71</v>
      </c>
      <c r="P1727">
        <v>0</v>
      </c>
    </row>
    <row r="1728" spans="1:16" x14ac:dyDescent="0.25">
      <c r="A1728" t="s">
        <v>14810</v>
      </c>
      <c r="B1728" t="s">
        <v>2919</v>
      </c>
      <c r="C1728" t="s">
        <v>2920</v>
      </c>
      <c r="D1728" t="str">
        <f>"11"</f>
        <v>11</v>
      </c>
      <c r="E1728" t="s">
        <v>288</v>
      </c>
      <c r="F1728" t="s">
        <v>2</v>
      </c>
      <c r="G1728" t="s">
        <v>47081</v>
      </c>
      <c r="H1728" t="s">
        <v>47054</v>
      </c>
      <c r="I1728" t="s">
        <v>47116</v>
      </c>
      <c r="J1728" t="s">
        <v>47117</v>
      </c>
      <c r="K1728" t="s">
        <v>47113</v>
      </c>
      <c r="L1728">
        <v>23.66</v>
      </c>
      <c r="M1728">
        <v>47</v>
      </c>
      <c r="N1728">
        <v>0</v>
      </c>
      <c r="O1728">
        <v>47</v>
      </c>
      <c r="P1728">
        <v>0</v>
      </c>
    </row>
    <row r="1729" spans="1:16" x14ac:dyDescent="0.25">
      <c r="A1729" t="s">
        <v>14811</v>
      </c>
      <c r="B1729" t="s">
        <v>2919</v>
      </c>
      <c r="C1729" t="s">
        <v>2920</v>
      </c>
      <c r="D1729" t="s">
        <v>27</v>
      </c>
      <c r="E1729" t="s">
        <v>622</v>
      </c>
      <c r="F1729" t="s">
        <v>2</v>
      </c>
      <c r="G1729" t="s">
        <v>47081</v>
      </c>
      <c r="H1729" t="s">
        <v>47054</v>
      </c>
      <c r="I1729" t="s">
        <v>47116</v>
      </c>
      <c r="J1729" t="s">
        <v>47117</v>
      </c>
      <c r="K1729" t="s">
        <v>47113</v>
      </c>
      <c r="L1729">
        <v>21.1</v>
      </c>
      <c r="M1729">
        <v>53</v>
      </c>
      <c r="N1729">
        <v>0</v>
      </c>
      <c r="O1729">
        <v>53</v>
      </c>
      <c r="P1729">
        <v>0</v>
      </c>
    </row>
    <row r="1730" spans="1:16" x14ac:dyDescent="0.25">
      <c r="A1730" t="s">
        <v>24170</v>
      </c>
      <c r="B1730" t="s">
        <v>2921</v>
      </c>
      <c r="C1730" t="s">
        <v>2920</v>
      </c>
      <c r="D1730" t="str">
        <f>"11"</f>
        <v>11</v>
      </c>
      <c r="E1730" t="s">
        <v>288</v>
      </c>
      <c r="F1730" t="s">
        <v>2</v>
      </c>
      <c r="G1730" t="s">
        <v>47081</v>
      </c>
      <c r="I1730" t="s">
        <v>47116</v>
      </c>
      <c r="J1730" t="s">
        <v>47117</v>
      </c>
      <c r="K1730" t="s">
        <v>47113</v>
      </c>
      <c r="L1730">
        <v>24.46</v>
      </c>
      <c r="M1730">
        <v>57</v>
      </c>
      <c r="N1730">
        <v>0</v>
      </c>
      <c r="O1730">
        <v>57</v>
      </c>
      <c r="P1730">
        <v>0</v>
      </c>
    </row>
    <row r="1731" spans="1:16" x14ac:dyDescent="0.25">
      <c r="A1731" t="s">
        <v>24171</v>
      </c>
      <c r="B1731" t="s">
        <v>2922</v>
      </c>
      <c r="C1731" t="s">
        <v>2923</v>
      </c>
      <c r="D1731" t="str">
        <f>"11"</f>
        <v>11</v>
      </c>
      <c r="E1731" t="s">
        <v>288</v>
      </c>
      <c r="F1731" t="s">
        <v>4</v>
      </c>
      <c r="G1731" t="s">
        <v>47081</v>
      </c>
      <c r="H1731" t="s">
        <v>47054</v>
      </c>
      <c r="I1731" t="s">
        <v>47116</v>
      </c>
      <c r="J1731" t="s">
        <v>47117</v>
      </c>
      <c r="K1731" t="s">
        <v>47113</v>
      </c>
      <c r="L1731">
        <v>24.26</v>
      </c>
      <c r="M1731">
        <v>60</v>
      </c>
      <c r="N1731">
        <v>0</v>
      </c>
      <c r="O1731">
        <v>60</v>
      </c>
      <c r="P1731">
        <v>0</v>
      </c>
    </row>
    <row r="1732" spans="1:16" x14ac:dyDescent="0.25">
      <c r="A1732" t="s">
        <v>24172</v>
      </c>
      <c r="B1732" t="s">
        <v>2924</v>
      </c>
      <c r="C1732" t="s">
        <v>2925</v>
      </c>
      <c r="D1732" t="s">
        <v>2910</v>
      </c>
      <c r="E1732" t="s">
        <v>2911</v>
      </c>
      <c r="F1732" t="s">
        <v>4</v>
      </c>
      <c r="G1732" t="s">
        <v>47081</v>
      </c>
      <c r="H1732" t="s">
        <v>47054</v>
      </c>
      <c r="I1732" t="s">
        <v>47116</v>
      </c>
      <c r="J1732" t="s">
        <v>47117</v>
      </c>
      <c r="K1732" t="s">
        <v>47113</v>
      </c>
      <c r="L1732">
        <v>26.34</v>
      </c>
      <c r="M1732">
        <v>64</v>
      </c>
      <c r="N1732">
        <v>0</v>
      </c>
      <c r="O1732">
        <v>64</v>
      </c>
      <c r="P1732">
        <v>0</v>
      </c>
    </row>
    <row r="1733" spans="1:16" x14ac:dyDescent="0.25">
      <c r="A1733" t="s">
        <v>24173</v>
      </c>
      <c r="B1733" t="s">
        <v>2924</v>
      </c>
      <c r="C1733" t="s">
        <v>2925</v>
      </c>
      <c r="D1733" t="s">
        <v>2912</v>
      </c>
      <c r="E1733" t="s">
        <v>2913</v>
      </c>
      <c r="F1733" t="s">
        <v>4</v>
      </c>
      <c r="G1733" t="s">
        <v>47081</v>
      </c>
      <c r="H1733" t="s">
        <v>47054</v>
      </c>
      <c r="I1733" t="s">
        <v>47116</v>
      </c>
      <c r="J1733" t="s">
        <v>47117</v>
      </c>
      <c r="K1733" t="s">
        <v>47113</v>
      </c>
      <c r="L1733">
        <v>26.74</v>
      </c>
      <c r="M1733">
        <v>65</v>
      </c>
      <c r="N1733">
        <v>0</v>
      </c>
      <c r="O1733">
        <v>65</v>
      </c>
      <c r="P1733">
        <v>0</v>
      </c>
    </row>
    <row r="1734" spans="1:16" x14ac:dyDescent="0.25">
      <c r="A1734" t="s">
        <v>14812</v>
      </c>
      <c r="B1734" t="s">
        <v>2924</v>
      </c>
      <c r="C1734" t="s">
        <v>2925</v>
      </c>
      <c r="D1734" t="s">
        <v>268</v>
      </c>
      <c r="E1734" t="s">
        <v>269</v>
      </c>
      <c r="F1734" t="s">
        <v>5</v>
      </c>
      <c r="G1734" t="s">
        <v>47081</v>
      </c>
      <c r="H1734" t="s">
        <v>47054</v>
      </c>
      <c r="I1734" t="s">
        <v>47116</v>
      </c>
      <c r="J1734" t="s">
        <v>47117</v>
      </c>
      <c r="K1734" t="s">
        <v>47113</v>
      </c>
      <c r="L1734">
        <v>24.01</v>
      </c>
      <c r="M1734">
        <v>60</v>
      </c>
      <c r="N1734">
        <v>0</v>
      </c>
      <c r="O1734">
        <v>60</v>
      </c>
      <c r="P1734">
        <v>0</v>
      </c>
    </row>
    <row r="1735" spans="1:16" x14ac:dyDescent="0.25">
      <c r="A1735" t="s">
        <v>24174</v>
      </c>
      <c r="B1735" t="s">
        <v>2926</v>
      </c>
      <c r="C1735" t="s">
        <v>2927</v>
      </c>
      <c r="D1735" t="s">
        <v>2446</v>
      </c>
      <c r="E1735" t="s">
        <v>2447</v>
      </c>
      <c r="F1735" t="s">
        <v>52</v>
      </c>
      <c r="G1735" t="s">
        <v>47081</v>
      </c>
      <c r="H1735" t="s">
        <v>47054</v>
      </c>
      <c r="I1735" t="s">
        <v>47111</v>
      </c>
      <c r="J1735" t="s">
        <v>47112</v>
      </c>
      <c r="K1735" t="s">
        <v>47113</v>
      </c>
      <c r="L1735">
        <v>19.7</v>
      </c>
      <c r="M1735">
        <v>48</v>
      </c>
      <c r="N1735">
        <v>0</v>
      </c>
      <c r="O1735">
        <v>48</v>
      </c>
      <c r="P1735">
        <v>0</v>
      </c>
    </row>
    <row r="1736" spans="1:16" x14ac:dyDescent="0.25">
      <c r="A1736" t="s">
        <v>24175</v>
      </c>
      <c r="B1736" t="s">
        <v>2928</v>
      </c>
      <c r="C1736" t="s">
        <v>2929</v>
      </c>
      <c r="D1736" t="str">
        <f>"11"</f>
        <v>11</v>
      </c>
      <c r="E1736" t="s">
        <v>288</v>
      </c>
      <c r="F1736" t="s">
        <v>2</v>
      </c>
      <c r="G1736" t="s">
        <v>47081</v>
      </c>
      <c r="H1736" t="s">
        <v>47054</v>
      </c>
      <c r="I1736" t="s">
        <v>47116</v>
      </c>
      <c r="J1736" t="s">
        <v>47117</v>
      </c>
      <c r="K1736" t="s">
        <v>47113</v>
      </c>
      <c r="L1736">
        <v>24.53</v>
      </c>
      <c r="M1736">
        <v>59</v>
      </c>
      <c r="N1736">
        <v>0</v>
      </c>
      <c r="O1736">
        <v>59</v>
      </c>
      <c r="P1736">
        <v>0</v>
      </c>
    </row>
    <row r="1737" spans="1:16" x14ac:dyDescent="0.25">
      <c r="A1737" t="s">
        <v>24176</v>
      </c>
      <c r="B1737" t="s">
        <v>2928</v>
      </c>
      <c r="C1737" t="s">
        <v>2929</v>
      </c>
      <c r="D1737" t="s">
        <v>22</v>
      </c>
      <c r="E1737" t="s">
        <v>23</v>
      </c>
      <c r="F1737" t="s">
        <v>2</v>
      </c>
      <c r="G1737" t="s">
        <v>47081</v>
      </c>
      <c r="H1737" t="s">
        <v>47054</v>
      </c>
      <c r="I1737" t="s">
        <v>47116</v>
      </c>
      <c r="J1737" t="s">
        <v>47117</v>
      </c>
      <c r="K1737" t="s">
        <v>47113</v>
      </c>
      <c r="L1737">
        <v>25.1</v>
      </c>
      <c r="M1737">
        <v>60</v>
      </c>
      <c r="N1737">
        <v>0</v>
      </c>
      <c r="O1737">
        <v>60</v>
      </c>
      <c r="P1737">
        <v>0</v>
      </c>
    </row>
    <row r="1738" spans="1:16" x14ac:dyDescent="0.25">
      <c r="A1738" t="s">
        <v>24177</v>
      </c>
      <c r="B1738" t="s">
        <v>2930</v>
      </c>
      <c r="C1738" t="s">
        <v>2929</v>
      </c>
      <c r="D1738" t="s">
        <v>27</v>
      </c>
      <c r="E1738" t="s">
        <v>622</v>
      </c>
      <c r="F1738" t="s">
        <v>2</v>
      </c>
      <c r="G1738" t="s">
        <v>47081</v>
      </c>
      <c r="H1738" t="s">
        <v>47054</v>
      </c>
      <c r="I1738" t="s">
        <v>47116</v>
      </c>
      <c r="J1738" t="s">
        <v>47117</v>
      </c>
      <c r="K1738" t="s">
        <v>47113</v>
      </c>
      <c r="L1738">
        <v>27.29</v>
      </c>
      <c r="M1738">
        <v>64</v>
      </c>
      <c r="N1738">
        <v>0</v>
      </c>
      <c r="O1738">
        <v>64</v>
      </c>
      <c r="P1738">
        <v>0</v>
      </c>
    </row>
    <row r="1739" spans="1:16" x14ac:dyDescent="0.25">
      <c r="A1739" t="s">
        <v>24178</v>
      </c>
      <c r="B1739" t="s">
        <v>2931</v>
      </c>
      <c r="C1739" t="s">
        <v>2932</v>
      </c>
      <c r="D1739" t="s">
        <v>2933</v>
      </c>
      <c r="E1739" t="s">
        <v>2934</v>
      </c>
      <c r="F1739" t="s">
        <v>5</v>
      </c>
      <c r="G1739" t="s">
        <v>47081</v>
      </c>
      <c r="H1739" t="s">
        <v>47054</v>
      </c>
      <c r="I1739" t="s">
        <v>47116</v>
      </c>
      <c r="J1739" t="s">
        <v>47117</v>
      </c>
      <c r="K1739" t="s">
        <v>47113</v>
      </c>
      <c r="L1739">
        <v>29.26</v>
      </c>
      <c r="M1739">
        <v>73</v>
      </c>
      <c r="N1739">
        <v>0</v>
      </c>
      <c r="O1739">
        <v>73</v>
      </c>
      <c r="P1739">
        <v>0</v>
      </c>
    </row>
    <row r="1740" spans="1:16" x14ac:dyDescent="0.25">
      <c r="A1740" t="s">
        <v>14813</v>
      </c>
      <c r="B1740" t="s">
        <v>2935</v>
      </c>
      <c r="C1740" t="s">
        <v>2932</v>
      </c>
      <c r="D1740" t="s">
        <v>959</v>
      </c>
      <c r="E1740" t="s">
        <v>960</v>
      </c>
      <c r="F1740" t="s">
        <v>5</v>
      </c>
      <c r="G1740" t="s">
        <v>47081</v>
      </c>
      <c r="H1740" t="s">
        <v>47054</v>
      </c>
      <c r="I1740" t="s">
        <v>47116</v>
      </c>
      <c r="J1740" t="s">
        <v>47117</v>
      </c>
      <c r="K1740" t="s">
        <v>47113</v>
      </c>
      <c r="L1740">
        <v>26.22</v>
      </c>
      <c r="M1740">
        <v>66</v>
      </c>
      <c r="N1740">
        <v>0</v>
      </c>
      <c r="O1740">
        <v>66</v>
      </c>
      <c r="P1740">
        <v>0</v>
      </c>
    </row>
    <row r="1741" spans="1:16" x14ac:dyDescent="0.25">
      <c r="A1741" t="s">
        <v>14814</v>
      </c>
      <c r="B1741" t="s">
        <v>2936</v>
      </c>
      <c r="C1741" t="s">
        <v>2937</v>
      </c>
      <c r="D1741" t="s">
        <v>2938</v>
      </c>
      <c r="E1741" t="s">
        <v>2939</v>
      </c>
      <c r="F1741" t="s">
        <v>8</v>
      </c>
      <c r="G1741" t="s">
        <v>47081</v>
      </c>
      <c r="H1741" t="s">
        <v>47054</v>
      </c>
      <c r="I1741" t="s">
        <v>47116</v>
      </c>
      <c r="J1741" t="s">
        <v>47117</v>
      </c>
      <c r="K1741" t="s">
        <v>47113</v>
      </c>
      <c r="L1741">
        <v>25.91</v>
      </c>
      <c r="M1741">
        <v>71</v>
      </c>
      <c r="N1741">
        <v>0</v>
      </c>
      <c r="O1741">
        <v>71</v>
      </c>
      <c r="P1741">
        <v>0</v>
      </c>
    </row>
    <row r="1742" spans="1:16" x14ac:dyDescent="0.25">
      <c r="A1742" t="s">
        <v>24179</v>
      </c>
      <c r="B1742" t="s">
        <v>2940</v>
      </c>
      <c r="C1742" t="s">
        <v>2941</v>
      </c>
      <c r="D1742" t="s">
        <v>2910</v>
      </c>
      <c r="E1742" t="s">
        <v>2911</v>
      </c>
      <c r="F1742" t="s">
        <v>4</v>
      </c>
      <c r="G1742" t="s">
        <v>47081</v>
      </c>
      <c r="H1742" t="s">
        <v>47054</v>
      </c>
      <c r="I1742" t="s">
        <v>47116</v>
      </c>
      <c r="J1742" t="s">
        <v>47117</v>
      </c>
      <c r="K1742" t="s">
        <v>47113</v>
      </c>
      <c r="L1742">
        <v>27.16</v>
      </c>
      <c r="M1742">
        <v>66</v>
      </c>
      <c r="N1742">
        <v>0</v>
      </c>
      <c r="O1742">
        <v>66</v>
      </c>
      <c r="P1742">
        <v>0</v>
      </c>
    </row>
    <row r="1743" spans="1:16" x14ac:dyDescent="0.25">
      <c r="A1743" t="s">
        <v>24180</v>
      </c>
      <c r="B1743" t="s">
        <v>2940</v>
      </c>
      <c r="C1743" t="s">
        <v>2941</v>
      </c>
      <c r="D1743" t="s">
        <v>2912</v>
      </c>
      <c r="E1743" t="s">
        <v>2913</v>
      </c>
      <c r="F1743" t="s">
        <v>4</v>
      </c>
      <c r="G1743" t="s">
        <v>47081</v>
      </c>
      <c r="H1743" t="s">
        <v>47054</v>
      </c>
      <c r="I1743" t="s">
        <v>47116</v>
      </c>
      <c r="J1743" t="s">
        <v>47117</v>
      </c>
      <c r="K1743" t="s">
        <v>47113</v>
      </c>
      <c r="L1743">
        <v>28.18</v>
      </c>
      <c r="M1743">
        <v>69</v>
      </c>
      <c r="N1743">
        <v>0</v>
      </c>
      <c r="O1743">
        <v>69</v>
      </c>
      <c r="P1743">
        <v>0</v>
      </c>
    </row>
    <row r="1744" spans="1:16" x14ac:dyDescent="0.25">
      <c r="A1744" t="s">
        <v>24181</v>
      </c>
      <c r="B1744" t="s">
        <v>2942</v>
      </c>
      <c r="C1744" t="s">
        <v>2943</v>
      </c>
      <c r="D1744" t="s">
        <v>1792</v>
      </c>
      <c r="E1744" t="s">
        <v>1793</v>
      </c>
      <c r="F1744" t="s">
        <v>52</v>
      </c>
      <c r="G1744" t="s">
        <v>47081</v>
      </c>
      <c r="H1744" t="s">
        <v>47054</v>
      </c>
      <c r="I1744" t="s">
        <v>47111</v>
      </c>
      <c r="J1744" t="s">
        <v>47112</v>
      </c>
      <c r="K1744" t="s">
        <v>47113</v>
      </c>
      <c r="L1744">
        <v>22.35</v>
      </c>
      <c r="M1744">
        <v>55</v>
      </c>
      <c r="N1744">
        <v>0</v>
      </c>
      <c r="O1744">
        <v>55</v>
      </c>
      <c r="P1744">
        <v>0</v>
      </c>
    </row>
    <row r="1745" spans="1:16" x14ac:dyDescent="0.25">
      <c r="A1745" t="s">
        <v>24182</v>
      </c>
      <c r="B1745" t="s">
        <v>2944</v>
      </c>
      <c r="C1745" t="s">
        <v>2945</v>
      </c>
      <c r="D1745" t="str">
        <f>"11"</f>
        <v>11</v>
      </c>
      <c r="E1745" t="s">
        <v>288</v>
      </c>
      <c r="F1745" t="s">
        <v>0</v>
      </c>
      <c r="G1745" t="s">
        <v>47081</v>
      </c>
      <c r="H1745" t="s">
        <v>47054</v>
      </c>
      <c r="I1745" t="s">
        <v>47116</v>
      </c>
      <c r="J1745" t="s">
        <v>47117</v>
      </c>
      <c r="K1745" t="s">
        <v>47113</v>
      </c>
      <c r="L1745">
        <v>24.87</v>
      </c>
      <c r="M1745">
        <v>61</v>
      </c>
      <c r="N1745">
        <v>0</v>
      </c>
      <c r="O1745">
        <v>61</v>
      </c>
      <c r="P1745">
        <v>0</v>
      </c>
    </row>
    <row r="1746" spans="1:16" x14ac:dyDescent="0.25">
      <c r="A1746" t="s">
        <v>24183</v>
      </c>
      <c r="B1746" t="s">
        <v>2944</v>
      </c>
      <c r="C1746" t="s">
        <v>2945</v>
      </c>
      <c r="D1746" t="s">
        <v>2430</v>
      </c>
      <c r="E1746" t="s">
        <v>2431</v>
      </c>
      <c r="F1746" t="s">
        <v>52</v>
      </c>
      <c r="G1746" t="s">
        <v>47081</v>
      </c>
      <c r="H1746" t="s">
        <v>47054</v>
      </c>
      <c r="I1746" t="s">
        <v>47116</v>
      </c>
      <c r="J1746" t="s">
        <v>47117</v>
      </c>
      <c r="K1746" t="s">
        <v>47113</v>
      </c>
      <c r="L1746">
        <v>26.81</v>
      </c>
      <c r="M1746">
        <v>66</v>
      </c>
      <c r="N1746">
        <v>0</v>
      </c>
      <c r="O1746">
        <v>66</v>
      </c>
      <c r="P1746">
        <v>0</v>
      </c>
    </row>
    <row r="1747" spans="1:16" x14ac:dyDescent="0.25">
      <c r="A1747" t="s">
        <v>24184</v>
      </c>
      <c r="B1747" t="s">
        <v>2944</v>
      </c>
      <c r="C1747" t="s">
        <v>2945</v>
      </c>
      <c r="D1747" t="s">
        <v>2910</v>
      </c>
      <c r="E1747" t="s">
        <v>2911</v>
      </c>
      <c r="F1747" t="s">
        <v>4</v>
      </c>
      <c r="G1747" t="s">
        <v>47081</v>
      </c>
      <c r="H1747" t="s">
        <v>47054</v>
      </c>
      <c r="I1747" t="s">
        <v>47116</v>
      </c>
      <c r="J1747" t="s">
        <v>47117</v>
      </c>
      <c r="K1747" t="s">
        <v>47113</v>
      </c>
      <c r="L1747">
        <v>26.34</v>
      </c>
      <c r="M1747">
        <v>64</v>
      </c>
      <c r="N1747">
        <v>0</v>
      </c>
      <c r="O1747">
        <v>64</v>
      </c>
      <c r="P1747">
        <v>0</v>
      </c>
    </row>
    <row r="1748" spans="1:16" x14ac:dyDescent="0.25">
      <c r="A1748" t="s">
        <v>24185</v>
      </c>
      <c r="B1748" t="s">
        <v>2944</v>
      </c>
      <c r="C1748" t="s">
        <v>2945</v>
      </c>
      <c r="D1748" t="s">
        <v>2912</v>
      </c>
      <c r="E1748" t="s">
        <v>2913</v>
      </c>
      <c r="F1748" t="s">
        <v>4</v>
      </c>
      <c r="G1748" t="s">
        <v>47081</v>
      </c>
      <c r="H1748" t="s">
        <v>47054</v>
      </c>
      <c r="I1748" t="s">
        <v>47116</v>
      </c>
      <c r="J1748" t="s">
        <v>47117</v>
      </c>
      <c r="K1748" t="s">
        <v>47113</v>
      </c>
      <c r="L1748">
        <v>27.21</v>
      </c>
      <c r="M1748">
        <v>66</v>
      </c>
      <c r="N1748">
        <v>0</v>
      </c>
      <c r="O1748">
        <v>66</v>
      </c>
      <c r="P1748">
        <v>0</v>
      </c>
    </row>
    <row r="1749" spans="1:16" x14ac:dyDescent="0.25">
      <c r="A1749" t="s">
        <v>14815</v>
      </c>
      <c r="B1749" t="s">
        <v>2944</v>
      </c>
      <c r="C1749" t="s">
        <v>2945</v>
      </c>
      <c r="D1749" t="s">
        <v>22</v>
      </c>
      <c r="E1749" t="s">
        <v>23</v>
      </c>
      <c r="F1749" t="s">
        <v>7</v>
      </c>
      <c r="G1749" t="s">
        <v>47081</v>
      </c>
      <c r="H1749" t="s">
        <v>47054</v>
      </c>
      <c r="I1749" t="s">
        <v>47116</v>
      </c>
      <c r="J1749" t="s">
        <v>47117</v>
      </c>
      <c r="K1749" t="s">
        <v>47113</v>
      </c>
      <c r="L1749">
        <v>26.24</v>
      </c>
      <c r="M1749">
        <v>61</v>
      </c>
      <c r="N1749">
        <v>0</v>
      </c>
      <c r="O1749">
        <v>61</v>
      </c>
      <c r="P1749">
        <v>0</v>
      </c>
    </row>
    <row r="1750" spans="1:16" x14ac:dyDescent="0.25">
      <c r="A1750" t="s">
        <v>24186</v>
      </c>
      <c r="B1750" t="s">
        <v>2944</v>
      </c>
      <c r="C1750" t="s">
        <v>2945</v>
      </c>
      <c r="D1750" t="s">
        <v>854</v>
      </c>
      <c r="E1750" t="s">
        <v>855</v>
      </c>
      <c r="F1750" t="s">
        <v>0</v>
      </c>
      <c r="G1750" t="s">
        <v>47081</v>
      </c>
      <c r="H1750" t="s">
        <v>47054</v>
      </c>
      <c r="I1750" t="s">
        <v>47116</v>
      </c>
      <c r="J1750" t="s">
        <v>47117</v>
      </c>
      <c r="K1750" t="s">
        <v>47113</v>
      </c>
      <c r="L1750">
        <v>26.89</v>
      </c>
      <c r="M1750">
        <v>66</v>
      </c>
      <c r="N1750">
        <v>0</v>
      </c>
      <c r="O1750">
        <v>66</v>
      </c>
      <c r="P1750">
        <v>0</v>
      </c>
    </row>
    <row r="1751" spans="1:16" x14ac:dyDescent="0.25">
      <c r="A1751" t="s">
        <v>24187</v>
      </c>
      <c r="B1751" t="s">
        <v>2946</v>
      </c>
      <c r="C1751" t="s">
        <v>2947</v>
      </c>
      <c r="D1751" t="s">
        <v>2446</v>
      </c>
      <c r="E1751" t="s">
        <v>2447</v>
      </c>
      <c r="F1751" t="s">
        <v>52</v>
      </c>
      <c r="G1751" t="s">
        <v>47081</v>
      </c>
      <c r="H1751" t="s">
        <v>47054</v>
      </c>
      <c r="I1751" t="s">
        <v>47111</v>
      </c>
      <c r="J1751" t="s">
        <v>47112</v>
      </c>
      <c r="K1751" t="s">
        <v>47113</v>
      </c>
      <c r="L1751">
        <v>20.7</v>
      </c>
      <c r="M1751">
        <v>51</v>
      </c>
      <c r="N1751">
        <v>0</v>
      </c>
      <c r="O1751">
        <v>51</v>
      </c>
      <c r="P1751">
        <v>0</v>
      </c>
    </row>
    <row r="1752" spans="1:16" x14ac:dyDescent="0.25">
      <c r="A1752" t="s">
        <v>24188</v>
      </c>
      <c r="B1752" t="s">
        <v>2948</v>
      </c>
      <c r="C1752" t="s">
        <v>2949</v>
      </c>
      <c r="D1752" t="s">
        <v>2479</v>
      </c>
      <c r="E1752" t="s">
        <v>2480</v>
      </c>
      <c r="F1752" t="s">
        <v>631</v>
      </c>
      <c r="G1752" t="s">
        <v>47081</v>
      </c>
      <c r="H1752" t="s">
        <v>47054</v>
      </c>
      <c r="I1752" t="s">
        <v>47116</v>
      </c>
      <c r="J1752" t="s">
        <v>47117</v>
      </c>
      <c r="K1752" t="s">
        <v>47113</v>
      </c>
      <c r="L1752">
        <v>25.38</v>
      </c>
      <c r="M1752">
        <v>55</v>
      </c>
      <c r="N1752">
        <v>0</v>
      </c>
      <c r="O1752">
        <v>55</v>
      </c>
      <c r="P1752">
        <v>0</v>
      </c>
    </row>
    <row r="1753" spans="1:16" x14ac:dyDescent="0.25">
      <c r="A1753" t="s">
        <v>24189</v>
      </c>
      <c r="B1753" t="s">
        <v>2950</v>
      </c>
      <c r="C1753" t="s">
        <v>2951</v>
      </c>
      <c r="D1753" t="s">
        <v>2419</v>
      </c>
      <c r="E1753" t="s">
        <v>2420</v>
      </c>
      <c r="F1753" t="s">
        <v>52</v>
      </c>
      <c r="G1753" t="s">
        <v>47081</v>
      </c>
      <c r="H1753" t="s">
        <v>47054</v>
      </c>
      <c r="I1753" t="s">
        <v>47111</v>
      </c>
      <c r="J1753" t="s">
        <v>47112</v>
      </c>
      <c r="K1753" t="s">
        <v>47113</v>
      </c>
      <c r="L1753">
        <v>25.74</v>
      </c>
      <c r="M1753">
        <v>64</v>
      </c>
      <c r="N1753">
        <v>0</v>
      </c>
      <c r="O1753">
        <v>64</v>
      </c>
      <c r="P1753">
        <v>0</v>
      </c>
    </row>
    <row r="1754" spans="1:16" x14ac:dyDescent="0.25">
      <c r="A1754" t="s">
        <v>24190</v>
      </c>
      <c r="B1754" t="s">
        <v>2952</v>
      </c>
      <c r="C1754" t="s">
        <v>2953</v>
      </c>
      <c r="D1754" t="s">
        <v>2529</v>
      </c>
      <c r="E1754" t="s">
        <v>2530</v>
      </c>
      <c r="F1754" t="s">
        <v>7</v>
      </c>
      <c r="G1754" t="s">
        <v>47081</v>
      </c>
      <c r="H1754" t="s">
        <v>47054</v>
      </c>
      <c r="I1754" t="s">
        <v>47116</v>
      </c>
      <c r="J1754" t="s">
        <v>47117</v>
      </c>
      <c r="K1754" t="s">
        <v>47113</v>
      </c>
      <c r="L1754">
        <v>29.51</v>
      </c>
      <c r="M1754">
        <v>72</v>
      </c>
      <c r="N1754">
        <v>0</v>
      </c>
      <c r="O1754">
        <v>72</v>
      </c>
      <c r="P1754">
        <v>0</v>
      </c>
    </row>
    <row r="1755" spans="1:16" x14ac:dyDescent="0.25">
      <c r="A1755" t="s">
        <v>14816</v>
      </c>
      <c r="B1755" t="s">
        <v>2954</v>
      </c>
      <c r="C1755" t="s">
        <v>2955</v>
      </c>
      <c r="D1755" t="s">
        <v>983</v>
      </c>
      <c r="E1755" t="s">
        <v>984</v>
      </c>
      <c r="F1755" t="s">
        <v>6</v>
      </c>
      <c r="G1755" t="s">
        <v>47081</v>
      </c>
      <c r="H1755" t="s">
        <v>47054</v>
      </c>
      <c r="I1755" t="s">
        <v>47116</v>
      </c>
      <c r="J1755" t="s">
        <v>47117</v>
      </c>
      <c r="K1755" t="s">
        <v>47113</v>
      </c>
      <c r="L1755">
        <v>28.02</v>
      </c>
      <c r="M1755">
        <v>57</v>
      </c>
      <c r="N1755">
        <v>0</v>
      </c>
      <c r="O1755">
        <v>57</v>
      </c>
      <c r="P1755">
        <v>0</v>
      </c>
    </row>
    <row r="1756" spans="1:16" x14ac:dyDescent="0.25">
      <c r="A1756" t="s">
        <v>14817</v>
      </c>
      <c r="B1756" t="s">
        <v>2956</v>
      </c>
      <c r="C1756" t="s">
        <v>2957</v>
      </c>
      <c r="D1756" t="s">
        <v>2030</v>
      </c>
      <c r="E1756" t="s">
        <v>2958</v>
      </c>
      <c r="F1756" t="s">
        <v>0</v>
      </c>
      <c r="G1756" t="s">
        <v>47146</v>
      </c>
      <c r="H1756" t="s">
        <v>47054</v>
      </c>
      <c r="I1756" t="s">
        <v>47116</v>
      </c>
      <c r="J1756" t="s">
        <v>47117</v>
      </c>
      <c r="K1756" t="s">
        <v>47113</v>
      </c>
      <c r="L1756">
        <v>29.23</v>
      </c>
      <c r="M1756">
        <v>72</v>
      </c>
      <c r="N1756">
        <v>0</v>
      </c>
      <c r="O1756">
        <v>72</v>
      </c>
      <c r="P1756">
        <v>0</v>
      </c>
    </row>
    <row r="1757" spans="1:16" x14ac:dyDescent="0.25">
      <c r="A1757" t="s">
        <v>24191</v>
      </c>
      <c r="B1757" t="s">
        <v>2959</v>
      </c>
      <c r="C1757" t="s">
        <v>2960</v>
      </c>
      <c r="D1757" t="str">
        <f>"11"</f>
        <v>11</v>
      </c>
      <c r="E1757" t="s">
        <v>288</v>
      </c>
      <c r="F1757" t="s">
        <v>2</v>
      </c>
      <c r="G1757" t="s">
        <v>47147</v>
      </c>
      <c r="H1757" t="s">
        <v>47054</v>
      </c>
      <c r="I1757" t="s">
        <v>47116</v>
      </c>
      <c r="J1757" t="s">
        <v>47117</v>
      </c>
      <c r="K1757" t="s">
        <v>47113</v>
      </c>
      <c r="L1757">
        <v>12.79</v>
      </c>
      <c r="M1757">
        <v>31</v>
      </c>
      <c r="N1757">
        <v>0</v>
      </c>
      <c r="O1757">
        <v>31</v>
      </c>
      <c r="P1757">
        <v>0</v>
      </c>
    </row>
    <row r="1758" spans="1:16" x14ac:dyDescent="0.25">
      <c r="A1758" t="s">
        <v>14818</v>
      </c>
      <c r="B1758" t="s">
        <v>2959</v>
      </c>
      <c r="C1758" t="s">
        <v>2960</v>
      </c>
      <c r="D1758" t="s">
        <v>22</v>
      </c>
      <c r="E1758" t="s">
        <v>23</v>
      </c>
      <c r="F1758" t="s">
        <v>2</v>
      </c>
      <c r="G1758" t="s">
        <v>47147</v>
      </c>
      <c r="H1758" t="s">
        <v>47054</v>
      </c>
      <c r="I1758" t="s">
        <v>47116</v>
      </c>
      <c r="J1758" t="s">
        <v>47117</v>
      </c>
      <c r="K1758" t="s">
        <v>47113</v>
      </c>
      <c r="L1758">
        <v>12.41</v>
      </c>
      <c r="M1758">
        <v>35</v>
      </c>
      <c r="N1758">
        <v>0</v>
      </c>
      <c r="O1758">
        <v>35</v>
      </c>
      <c r="P1758">
        <v>0</v>
      </c>
    </row>
    <row r="1759" spans="1:16" x14ac:dyDescent="0.25">
      <c r="A1759" t="s">
        <v>24192</v>
      </c>
      <c r="B1759" t="s">
        <v>2961</v>
      </c>
      <c r="C1759" t="s">
        <v>2960</v>
      </c>
      <c r="D1759" t="s">
        <v>22</v>
      </c>
      <c r="E1759" t="s">
        <v>23</v>
      </c>
      <c r="F1759" t="s">
        <v>2</v>
      </c>
      <c r="G1759" t="s">
        <v>47147</v>
      </c>
      <c r="H1759" t="s">
        <v>47054</v>
      </c>
      <c r="I1759" t="s">
        <v>47116</v>
      </c>
      <c r="J1759" t="s">
        <v>47117</v>
      </c>
      <c r="K1759" t="s">
        <v>47113</v>
      </c>
      <c r="L1759">
        <v>14</v>
      </c>
      <c r="M1759">
        <v>34</v>
      </c>
      <c r="N1759">
        <v>0</v>
      </c>
      <c r="O1759">
        <v>34</v>
      </c>
      <c r="P1759">
        <v>0</v>
      </c>
    </row>
    <row r="1760" spans="1:16" x14ac:dyDescent="0.25">
      <c r="A1760" t="s">
        <v>24193</v>
      </c>
      <c r="B1760" t="s">
        <v>2962</v>
      </c>
      <c r="C1760" t="s">
        <v>2960</v>
      </c>
      <c r="D1760" t="str">
        <f>"11"</f>
        <v>11</v>
      </c>
      <c r="E1760" t="s">
        <v>288</v>
      </c>
      <c r="F1760" t="s">
        <v>2</v>
      </c>
      <c r="G1760" t="s">
        <v>47147</v>
      </c>
      <c r="H1760" t="s">
        <v>47054</v>
      </c>
      <c r="I1760" t="s">
        <v>47116</v>
      </c>
      <c r="J1760" t="s">
        <v>47117</v>
      </c>
      <c r="K1760" t="s">
        <v>47113</v>
      </c>
      <c r="L1760">
        <v>12.79</v>
      </c>
      <c r="M1760">
        <v>31</v>
      </c>
      <c r="N1760">
        <v>0</v>
      </c>
      <c r="O1760">
        <v>31</v>
      </c>
      <c r="P1760">
        <v>0</v>
      </c>
    </row>
    <row r="1761" spans="1:16" x14ac:dyDescent="0.25">
      <c r="A1761" t="s">
        <v>24194</v>
      </c>
      <c r="B1761" t="s">
        <v>2962</v>
      </c>
      <c r="C1761" t="s">
        <v>2960</v>
      </c>
      <c r="D1761" t="s">
        <v>22</v>
      </c>
      <c r="E1761" t="s">
        <v>23</v>
      </c>
      <c r="F1761" t="s">
        <v>2</v>
      </c>
      <c r="G1761" t="s">
        <v>47147</v>
      </c>
      <c r="H1761" t="s">
        <v>47054</v>
      </c>
      <c r="I1761" t="s">
        <v>47116</v>
      </c>
      <c r="J1761" t="s">
        <v>47117</v>
      </c>
      <c r="K1761" t="s">
        <v>47113</v>
      </c>
      <c r="L1761">
        <v>13.89</v>
      </c>
      <c r="M1761">
        <v>34</v>
      </c>
      <c r="N1761">
        <v>0</v>
      </c>
      <c r="O1761">
        <v>34</v>
      </c>
      <c r="P1761">
        <v>0</v>
      </c>
    </row>
    <row r="1762" spans="1:16" x14ac:dyDescent="0.25">
      <c r="A1762" t="s">
        <v>24195</v>
      </c>
      <c r="B1762" t="s">
        <v>2963</v>
      </c>
      <c r="C1762" t="s">
        <v>2964</v>
      </c>
      <c r="D1762" t="s">
        <v>2965</v>
      </c>
      <c r="E1762" t="s">
        <v>2966</v>
      </c>
      <c r="F1762" t="s">
        <v>1</v>
      </c>
      <c r="G1762" t="s">
        <v>47147</v>
      </c>
      <c r="H1762" t="s">
        <v>47054</v>
      </c>
      <c r="I1762" t="s">
        <v>47116</v>
      </c>
      <c r="J1762" t="s">
        <v>47117</v>
      </c>
      <c r="K1762" t="s">
        <v>47113</v>
      </c>
      <c r="L1762">
        <v>17.61</v>
      </c>
      <c r="M1762">
        <v>43</v>
      </c>
      <c r="N1762">
        <v>0</v>
      </c>
      <c r="O1762">
        <v>43</v>
      </c>
      <c r="P1762">
        <v>0</v>
      </c>
    </row>
    <row r="1763" spans="1:16" x14ac:dyDescent="0.25">
      <c r="A1763" t="s">
        <v>24196</v>
      </c>
      <c r="B1763" t="s">
        <v>2967</v>
      </c>
      <c r="C1763" t="s">
        <v>2968</v>
      </c>
      <c r="D1763" t="str">
        <f>"11"</f>
        <v>11</v>
      </c>
      <c r="E1763" t="s">
        <v>288</v>
      </c>
      <c r="F1763" t="s">
        <v>0</v>
      </c>
      <c r="G1763" t="s">
        <v>47147</v>
      </c>
      <c r="H1763" t="s">
        <v>47054</v>
      </c>
      <c r="I1763" t="s">
        <v>47116</v>
      </c>
      <c r="J1763" t="s">
        <v>47117</v>
      </c>
      <c r="K1763" t="s">
        <v>47113</v>
      </c>
      <c r="L1763">
        <v>18.73</v>
      </c>
      <c r="M1763">
        <v>46</v>
      </c>
      <c r="N1763">
        <v>0</v>
      </c>
      <c r="O1763">
        <v>46</v>
      </c>
      <c r="P1763">
        <v>0</v>
      </c>
    </row>
    <row r="1764" spans="1:16" x14ac:dyDescent="0.25">
      <c r="A1764" t="s">
        <v>14819</v>
      </c>
      <c r="B1764" t="s">
        <v>2967</v>
      </c>
      <c r="C1764" t="s">
        <v>2968</v>
      </c>
      <c r="D1764" t="s">
        <v>854</v>
      </c>
      <c r="E1764" t="s">
        <v>855</v>
      </c>
      <c r="F1764" t="s">
        <v>0</v>
      </c>
      <c r="G1764" t="s">
        <v>47147</v>
      </c>
      <c r="H1764" t="s">
        <v>47054</v>
      </c>
      <c r="I1764" t="s">
        <v>47116</v>
      </c>
      <c r="J1764" t="s">
        <v>47117</v>
      </c>
      <c r="K1764" t="s">
        <v>47113</v>
      </c>
      <c r="L1764">
        <v>20.77</v>
      </c>
      <c r="M1764">
        <v>51</v>
      </c>
      <c r="N1764">
        <v>0</v>
      </c>
      <c r="O1764">
        <v>51</v>
      </c>
      <c r="P1764">
        <v>0</v>
      </c>
    </row>
    <row r="1765" spans="1:16" x14ac:dyDescent="0.25">
      <c r="A1765" t="s">
        <v>24197</v>
      </c>
      <c r="B1765" t="s">
        <v>2969</v>
      </c>
      <c r="C1765" t="s">
        <v>2970</v>
      </c>
      <c r="D1765" t="str">
        <f>"11"</f>
        <v>11</v>
      </c>
      <c r="E1765" t="s">
        <v>288</v>
      </c>
      <c r="F1765" t="s">
        <v>2</v>
      </c>
      <c r="G1765" t="s">
        <v>47148</v>
      </c>
      <c r="H1765" t="s">
        <v>47054</v>
      </c>
      <c r="I1765" t="s">
        <v>47116</v>
      </c>
      <c r="J1765" t="s">
        <v>47117</v>
      </c>
      <c r="K1765" t="s">
        <v>47113</v>
      </c>
      <c r="L1765">
        <v>14.12</v>
      </c>
      <c r="M1765">
        <v>34</v>
      </c>
      <c r="N1765">
        <v>0</v>
      </c>
      <c r="O1765">
        <v>34</v>
      </c>
      <c r="P1765">
        <v>0</v>
      </c>
    </row>
    <row r="1766" spans="1:16" x14ac:dyDescent="0.25">
      <c r="A1766" t="s">
        <v>14820</v>
      </c>
      <c r="B1766" t="s">
        <v>2971</v>
      </c>
      <c r="C1766" t="s">
        <v>2972</v>
      </c>
      <c r="D1766" t="s">
        <v>2030</v>
      </c>
      <c r="E1766" t="s">
        <v>2958</v>
      </c>
      <c r="F1766" t="s">
        <v>0</v>
      </c>
      <c r="G1766" t="s">
        <v>47147</v>
      </c>
      <c r="H1766" t="s">
        <v>47054</v>
      </c>
      <c r="I1766" t="s">
        <v>47116</v>
      </c>
      <c r="J1766" t="s">
        <v>47117</v>
      </c>
      <c r="K1766" t="s">
        <v>47113</v>
      </c>
      <c r="L1766">
        <v>21.09</v>
      </c>
      <c r="M1766">
        <v>52</v>
      </c>
      <c r="N1766">
        <v>0</v>
      </c>
      <c r="O1766">
        <v>52</v>
      </c>
      <c r="P1766">
        <v>0</v>
      </c>
    </row>
    <row r="1767" spans="1:16" x14ac:dyDescent="0.25">
      <c r="A1767" t="s">
        <v>24198</v>
      </c>
      <c r="B1767" t="s">
        <v>2973</v>
      </c>
      <c r="C1767" t="s">
        <v>2974</v>
      </c>
      <c r="D1767" t="s">
        <v>2975</v>
      </c>
      <c r="E1767" t="s">
        <v>2976</v>
      </c>
      <c r="F1767" t="s">
        <v>0</v>
      </c>
      <c r="G1767" t="s">
        <v>47147</v>
      </c>
      <c r="H1767" t="s">
        <v>47054</v>
      </c>
      <c r="I1767" t="s">
        <v>47116</v>
      </c>
      <c r="J1767" t="s">
        <v>47117</v>
      </c>
      <c r="K1767" t="s">
        <v>47113</v>
      </c>
      <c r="L1767">
        <v>18.02</v>
      </c>
      <c r="M1767">
        <v>44</v>
      </c>
      <c r="N1767">
        <v>0</v>
      </c>
      <c r="O1767">
        <v>44</v>
      </c>
      <c r="P1767">
        <v>0</v>
      </c>
    </row>
    <row r="1768" spans="1:16" x14ac:dyDescent="0.25">
      <c r="A1768" t="s">
        <v>24199</v>
      </c>
      <c r="B1768" t="s">
        <v>2977</v>
      </c>
      <c r="C1768" t="s">
        <v>2978</v>
      </c>
      <c r="D1768" t="s">
        <v>22</v>
      </c>
      <c r="E1768" t="s">
        <v>23</v>
      </c>
      <c r="F1768" t="s">
        <v>7</v>
      </c>
      <c r="G1768" t="s">
        <v>47081</v>
      </c>
      <c r="H1768" t="s">
        <v>47054</v>
      </c>
      <c r="I1768" t="s">
        <v>47116</v>
      </c>
      <c r="J1768" t="s">
        <v>47117</v>
      </c>
      <c r="K1768" t="s">
        <v>47113</v>
      </c>
      <c r="L1768">
        <v>22.31</v>
      </c>
      <c r="M1768">
        <v>60</v>
      </c>
      <c r="N1768">
        <v>0</v>
      </c>
      <c r="O1768">
        <v>60</v>
      </c>
      <c r="P1768">
        <v>0</v>
      </c>
    </row>
    <row r="1769" spans="1:16" x14ac:dyDescent="0.25">
      <c r="A1769" t="s">
        <v>24200</v>
      </c>
      <c r="B1769" t="s">
        <v>2979</v>
      </c>
      <c r="C1769" t="s">
        <v>2980</v>
      </c>
      <c r="D1769" t="s">
        <v>2981</v>
      </c>
      <c r="E1769" t="s">
        <v>2982</v>
      </c>
      <c r="F1769" t="s">
        <v>7</v>
      </c>
      <c r="G1769" t="s">
        <v>47149</v>
      </c>
      <c r="H1769" t="s">
        <v>47054</v>
      </c>
      <c r="I1769" t="s">
        <v>47116</v>
      </c>
      <c r="J1769" t="s">
        <v>47117</v>
      </c>
      <c r="K1769" t="s">
        <v>47113</v>
      </c>
      <c r="L1769">
        <v>44.67</v>
      </c>
      <c r="M1769">
        <v>92</v>
      </c>
      <c r="N1769">
        <v>0</v>
      </c>
      <c r="O1769">
        <v>92</v>
      </c>
      <c r="P1769">
        <v>0</v>
      </c>
    </row>
    <row r="1770" spans="1:16" x14ac:dyDescent="0.25">
      <c r="A1770" t="s">
        <v>24201</v>
      </c>
      <c r="B1770" t="s">
        <v>2983</v>
      </c>
      <c r="C1770" t="s">
        <v>2984</v>
      </c>
      <c r="D1770" t="s">
        <v>2529</v>
      </c>
      <c r="E1770" t="s">
        <v>2530</v>
      </c>
      <c r="F1770" t="s">
        <v>7</v>
      </c>
      <c r="G1770" t="s">
        <v>47081</v>
      </c>
      <c r="H1770" t="s">
        <v>47054</v>
      </c>
      <c r="I1770" t="s">
        <v>47116</v>
      </c>
      <c r="J1770" t="s">
        <v>47117</v>
      </c>
      <c r="K1770" t="s">
        <v>47113</v>
      </c>
      <c r="L1770">
        <v>25.04</v>
      </c>
      <c r="M1770">
        <v>62</v>
      </c>
      <c r="N1770">
        <v>0</v>
      </c>
      <c r="O1770">
        <v>62</v>
      </c>
      <c r="P1770">
        <v>0</v>
      </c>
    </row>
    <row r="1771" spans="1:16" x14ac:dyDescent="0.25">
      <c r="A1771" t="s">
        <v>24202</v>
      </c>
      <c r="B1771" t="s">
        <v>2985</v>
      </c>
      <c r="C1771" t="s">
        <v>2920</v>
      </c>
      <c r="D1771" t="str">
        <f>"11"</f>
        <v>11</v>
      </c>
      <c r="E1771" t="s">
        <v>288</v>
      </c>
      <c r="F1771" t="s">
        <v>2</v>
      </c>
      <c r="G1771" t="s">
        <v>47081</v>
      </c>
      <c r="I1771" t="s">
        <v>47116</v>
      </c>
      <c r="J1771" t="s">
        <v>47117</v>
      </c>
      <c r="K1771" t="s">
        <v>47113</v>
      </c>
      <c r="L1771">
        <v>24.46</v>
      </c>
      <c r="M1771">
        <v>57</v>
      </c>
      <c r="N1771">
        <v>0</v>
      </c>
      <c r="O1771">
        <v>57</v>
      </c>
      <c r="P1771">
        <v>0</v>
      </c>
    </row>
    <row r="1772" spans="1:16" x14ac:dyDescent="0.25">
      <c r="A1772" t="s">
        <v>24203</v>
      </c>
      <c r="B1772" t="s">
        <v>2986</v>
      </c>
      <c r="C1772" t="s">
        <v>2920</v>
      </c>
      <c r="D1772" t="str">
        <f>"11"</f>
        <v>11</v>
      </c>
      <c r="E1772" t="s">
        <v>288</v>
      </c>
      <c r="F1772" t="s">
        <v>2</v>
      </c>
      <c r="G1772" t="s">
        <v>47081</v>
      </c>
      <c r="I1772" t="s">
        <v>47116</v>
      </c>
      <c r="J1772" t="s">
        <v>47117</v>
      </c>
      <c r="K1772" t="s">
        <v>47113</v>
      </c>
      <c r="L1772">
        <v>24.46</v>
      </c>
      <c r="M1772">
        <v>57</v>
      </c>
      <c r="N1772">
        <v>0</v>
      </c>
      <c r="O1772">
        <v>57</v>
      </c>
      <c r="P1772">
        <v>0</v>
      </c>
    </row>
    <row r="1773" spans="1:16" x14ac:dyDescent="0.25">
      <c r="A1773" t="s">
        <v>24204</v>
      </c>
      <c r="B1773" t="s">
        <v>2987</v>
      </c>
      <c r="C1773" t="s">
        <v>2929</v>
      </c>
      <c r="D1773" t="str">
        <f>"11"</f>
        <v>11</v>
      </c>
      <c r="E1773" t="s">
        <v>288</v>
      </c>
      <c r="F1773" t="s">
        <v>2</v>
      </c>
      <c r="G1773" t="s">
        <v>47081</v>
      </c>
      <c r="I1773" t="s">
        <v>47116</v>
      </c>
      <c r="J1773" t="s">
        <v>47117</v>
      </c>
      <c r="K1773" t="s">
        <v>47113</v>
      </c>
      <c r="L1773">
        <v>25.3</v>
      </c>
      <c r="M1773">
        <v>59</v>
      </c>
      <c r="N1773">
        <v>0</v>
      </c>
      <c r="O1773">
        <v>59</v>
      </c>
      <c r="P1773">
        <v>0</v>
      </c>
    </row>
    <row r="1774" spans="1:16" x14ac:dyDescent="0.25">
      <c r="A1774" t="s">
        <v>24205</v>
      </c>
      <c r="B1774" t="s">
        <v>2987</v>
      </c>
      <c r="C1774" t="s">
        <v>2929</v>
      </c>
      <c r="D1774" t="s">
        <v>22</v>
      </c>
      <c r="E1774" t="s">
        <v>23</v>
      </c>
      <c r="F1774" t="s">
        <v>2</v>
      </c>
      <c r="G1774" t="s">
        <v>47081</v>
      </c>
      <c r="I1774" t="s">
        <v>47116</v>
      </c>
      <c r="J1774" t="s">
        <v>47117</v>
      </c>
      <c r="K1774" t="s">
        <v>47113</v>
      </c>
      <c r="L1774">
        <v>25.93</v>
      </c>
      <c r="M1774">
        <v>60</v>
      </c>
      <c r="N1774">
        <v>0</v>
      </c>
      <c r="O1774">
        <v>60</v>
      </c>
      <c r="P1774">
        <v>0</v>
      </c>
    </row>
    <row r="1775" spans="1:16" x14ac:dyDescent="0.25">
      <c r="A1775" t="s">
        <v>24206</v>
      </c>
      <c r="B1775" t="s">
        <v>2988</v>
      </c>
      <c r="C1775" t="s">
        <v>2929</v>
      </c>
      <c r="D1775" t="s">
        <v>27</v>
      </c>
      <c r="E1775" t="s">
        <v>622</v>
      </c>
      <c r="F1775" t="s">
        <v>2</v>
      </c>
      <c r="G1775" t="s">
        <v>47081</v>
      </c>
      <c r="I1775" t="s">
        <v>47116</v>
      </c>
      <c r="J1775" t="s">
        <v>47117</v>
      </c>
      <c r="K1775" t="s">
        <v>47113</v>
      </c>
      <c r="L1775">
        <v>27.56</v>
      </c>
      <c r="M1775">
        <v>64</v>
      </c>
      <c r="N1775">
        <v>0</v>
      </c>
      <c r="O1775">
        <v>64</v>
      </c>
      <c r="P1775">
        <v>0</v>
      </c>
    </row>
    <row r="1776" spans="1:16" x14ac:dyDescent="0.25">
      <c r="A1776" t="s">
        <v>14821</v>
      </c>
      <c r="B1776" t="s">
        <v>2989</v>
      </c>
      <c r="C1776" t="s">
        <v>2990</v>
      </c>
      <c r="D1776" t="str">
        <f>"6275"</f>
        <v>6275</v>
      </c>
      <c r="E1776" t="s">
        <v>2991</v>
      </c>
      <c r="F1776" t="s">
        <v>2</v>
      </c>
      <c r="G1776" t="s">
        <v>47082</v>
      </c>
      <c r="H1776" t="s">
        <v>47054</v>
      </c>
      <c r="I1776" t="s">
        <v>47116</v>
      </c>
      <c r="J1776" t="s">
        <v>47117</v>
      </c>
      <c r="K1776" t="s">
        <v>47113</v>
      </c>
      <c r="L1776">
        <v>27.25</v>
      </c>
      <c r="M1776">
        <v>63</v>
      </c>
      <c r="N1776">
        <v>0</v>
      </c>
      <c r="O1776">
        <v>63</v>
      </c>
      <c r="P1776">
        <v>0</v>
      </c>
    </row>
    <row r="1777" spans="1:16" x14ac:dyDescent="0.25">
      <c r="A1777" t="s">
        <v>24207</v>
      </c>
      <c r="B1777" t="s">
        <v>2989</v>
      </c>
      <c r="C1777" t="s">
        <v>2990</v>
      </c>
      <c r="D1777" t="str">
        <f>"8348"</f>
        <v>8348</v>
      </c>
      <c r="E1777" t="s">
        <v>2992</v>
      </c>
      <c r="F1777" t="s">
        <v>2</v>
      </c>
      <c r="G1777" t="s">
        <v>47082</v>
      </c>
      <c r="H1777" t="s">
        <v>47054</v>
      </c>
      <c r="I1777" t="s">
        <v>47116</v>
      </c>
      <c r="J1777" t="s">
        <v>47117</v>
      </c>
      <c r="K1777" t="s">
        <v>47113</v>
      </c>
      <c r="L1777">
        <v>26.98</v>
      </c>
      <c r="M1777">
        <v>63</v>
      </c>
      <c r="N1777">
        <v>0</v>
      </c>
      <c r="O1777">
        <v>63</v>
      </c>
      <c r="P1777">
        <v>0</v>
      </c>
    </row>
    <row r="1778" spans="1:16" x14ac:dyDescent="0.25">
      <c r="A1778" t="s">
        <v>24208</v>
      </c>
      <c r="B1778" t="s">
        <v>2993</v>
      </c>
      <c r="C1778" t="s">
        <v>2994</v>
      </c>
      <c r="D1778" t="str">
        <f>"6245"</f>
        <v>6245</v>
      </c>
      <c r="E1778" t="s">
        <v>2995</v>
      </c>
      <c r="F1778" t="s">
        <v>6</v>
      </c>
      <c r="G1778" t="s">
        <v>47082</v>
      </c>
      <c r="H1778" t="s">
        <v>47054</v>
      </c>
      <c r="I1778" t="s">
        <v>47116</v>
      </c>
      <c r="J1778" t="s">
        <v>47117</v>
      </c>
      <c r="K1778" t="s">
        <v>47113</v>
      </c>
      <c r="L1778">
        <v>27.59</v>
      </c>
      <c r="M1778">
        <v>71</v>
      </c>
      <c r="N1778">
        <v>0</v>
      </c>
      <c r="O1778">
        <v>71</v>
      </c>
      <c r="P1778">
        <v>0</v>
      </c>
    </row>
    <row r="1779" spans="1:16" x14ac:dyDescent="0.25">
      <c r="A1779" t="s">
        <v>24209</v>
      </c>
      <c r="B1779" t="s">
        <v>2996</v>
      </c>
      <c r="C1779" t="s">
        <v>2997</v>
      </c>
      <c r="D1779" t="str">
        <f>"6390"</f>
        <v>6390</v>
      </c>
      <c r="E1779" t="s">
        <v>2998</v>
      </c>
      <c r="F1779" t="s">
        <v>4</v>
      </c>
      <c r="G1779" t="s">
        <v>47082</v>
      </c>
      <c r="H1779" t="s">
        <v>47054</v>
      </c>
      <c r="I1779" t="s">
        <v>47116</v>
      </c>
      <c r="J1779" t="s">
        <v>47117</v>
      </c>
      <c r="K1779" t="s">
        <v>47113</v>
      </c>
      <c r="L1779">
        <v>24.55</v>
      </c>
      <c r="M1779">
        <v>60</v>
      </c>
      <c r="N1779">
        <v>0</v>
      </c>
      <c r="O1779">
        <v>60</v>
      </c>
      <c r="P1779">
        <v>0</v>
      </c>
    </row>
    <row r="1780" spans="1:16" x14ac:dyDescent="0.25">
      <c r="A1780" t="s">
        <v>24210</v>
      </c>
      <c r="B1780" t="s">
        <v>2999</v>
      </c>
      <c r="C1780" t="s">
        <v>3000</v>
      </c>
      <c r="D1780" t="str">
        <f>"6390"</f>
        <v>6390</v>
      </c>
      <c r="E1780" t="s">
        <v>2998</v>
      </c>
      <c r="F1780" t="s">
        <v>4</v>
      </c>
      <c r="G1780" t="s">
        <v>47082</v>
      </c>
      <c r="H1780" t="s">
        <v>47054</v>
      </c>
      <c r="I1780" t="s">
        <v>47116</v>
      </c>
      <c r="J1780" t="s">
        <v>47117</v>
      </c>
      <c r="K1780" t="s">
        <v>47113</v>
      </c>
      <c r="L1780">
        <v>23.38</v>
      </c>
      <c r="M1780">
        <v>57</v>
      </c>
      <c r="N1780">
        <v>0</v>
      </c>
      <c r="O1780">
        <v>57</v>
      </c>
      <c r="P1780">
        <v>0</v>
      </c>
    </row>
    <row r="1781" spans="1:16" x14ac:dyDescent="0.25">
      <c r="A1781" t="s">
        <v>14822</v>
      </c>
      <c r="B1781" t="s">
        <v>3001</v>
      </c>
      <c r="C1781" t="s">
        <v>3002</v>
      </c>
      <c r="D1781" t="str">
        <f>"6863"</f>
        <v>6863</v>
      </c>
      <c r="E1781" t="s">
        <v>3003</v>
      </c>
      <c r="F1781" t="s">
        <v>4</v>
      </c>
      <c r="G1781" t="s">
        <v>47149</v>
      </c>
      <c r="H1781" t="s">
        <v>47054</v>
      </c>
      <c r="I1781" t="s">
        <v>47116</v>
      </c>
      <c r="J1781" t="s">
        <v>47117</v>
      </c>
      <c r="K1781" t="s">
        <v>47113</v>
      </c>
      <c r="L1781">
        <v>48.95</v>
      </c>
      <c r="M1781">
        <v>119</v>
      </c>
      <c r="N1781">
        <v>0</v>
      </c>
      <c r="O1781">
        <v>119</v>
      </c>
      <c r="P1781">
        <v>0</v>
      </c>
    </row>
    <row r="1782" spans="1:16" x14ac:dyDescent="0.25">
      <c r="A1782" t="s">
        <v>14823</v>
      </c>
      <c r="B1782" t="s">
        <v>3004</v>
      </c>
      <c r="C1782" t="s">
        <v>708</v>
      </c>
      <c r="D1782" t="str">
        <f>"6005"</f>
        <v>6005</v>
      </c>
      <c r="E1782" t="s">
        <v>1749</v>
      </c>
      <c r="F1782" t="s">
        <v>7</v>
      </c>
      <c r="G1782" t="s">
        <v>47149</v>
      </c>
      <c r="H1782" t="s">
        <v>47054</v>
      </c>
      <c r="I1782" t="s">
        <v>47111</v>
      </c>
      <c r="J1782" t="s">
        <v>47112</v>
      </c>
      <c r="K1782" t="s">
        <v>47113</v>
      </c>
      <c r="L1782">
        <v>47.41</v>
      </c>
      <c r="M1782">
        <v>132</v>
      </c>
      <c r="N1782">
        <v>0</v>
      </c>
      <c r="O1782">
        <v>132</v>
      </c>
      <c r="P1782">
        <v>0</v>
      </c>
    </row>
    <row r="1783" spans="1:16" x14ac:dyDescent="0.25">
      <c r="A1783" t="s">
        <v>24211</v>
      </c>
      <c r="B1783" t="s">
        <v>14627</v>
      </c>
      <c r="C1783" t="s">
        <v>14626</v>
      </c>
      <c r="D1783" t="str">
        <f>"5160"</f>
        <v>5160</v>
      </c>
      <c r="E1783" t="s">
        <v>14625</v>
      </c>
      <c r="F1783" t="s">
        <v>3750</v>
      </c>
      <c r="G1783" t="s">
        <v>47081</v>
      </c>
      <c r="H1783" t="s">
        <v>47054</v>
      </c>
      <c r="I1783" t="s">
        <v>47116</v>
      </c>
      <c r="J1783" t="s">
        <v>47117</v>
      </c>
      <c r="K1783" t="s">
        <v>47113</v>
      </c>
      <c r="L1783">
        <v>13.48</v>
      </c>
      <c r="M1783">
        <v>38</v>
      </c>
      <c r="N1783">
        <v>0</v>
      </c>
      <c r="O1783">
        <v>38</v>
      </c>
      <c r="P1783">
        <v>0</v>
      </c>
    </row>
    <row r="1784" spans="1:16" x14ac:dyDescent="0.25">
      <c r="A1784" t="s">
        <v>24212</v>
      </c>
      <c r="B1784" t="s">
        <v>14624</v>
      </c>
      <c r="C1784" t="s">
        <v>14623</v>
      </c>
      <c r="D1784" t="s">
        <v>14622</v>
      </c>
      <c r="E1784" t="s">
        <v>14621</v>
      </c>
      <c r="F1784" t="s">
        <v>3750</v>
      </c>
      <c r="G1784" t="s">
        <v>47081</v>
      </c>
      <c r="H1784" t="s">
        <v>47054</v>
      </c>
      <c r="I1784" t="s">
        <v>47116</v>
      </c>
      <c r="J1784" t="s">
        <v>47117</v>
      </c>
      <c r="K1784" t="s">
        <v>47113</v>
      </c>
      <c r="L1784">
        <v>12.89</v>
      </c>
      <c r="M1784">
        <v>45</v>
      </c>
      <c r="N1784">
        <v>0</v>
      </c>
      <c r="O1784">
        <v>45</v>
      </c>
      <c r="P1784">
        <v>0</v>
      </c>
    </row>
    <row r="1785" spans="1:16" x14ac:dyDescent="0.25">
      <c r="A1785" t="s">
        <v>24213</v>
      </c>
      <c r="B1785" t="s">
        <v>14179</v>
      </c>
      <c r="C1785" t="s">
        <v>14180</v>
      </c>
      <c r="D1785" t="str">
        <f>"11"</f>
        <v>11</v>
      </c>
      <c r="E1785" t="s">
        <v>288</v>
      </c>
      <c r="F1785" t="s">
        <v>3750</v>
      </c>
      <c r="G1785" t="s">
        <v>47081</v>
      </c>
      <c r="H1785" t="s">
        <v>47054</v>
      </c>
      <c r="I1785" t="s">
        <v>47116</v>
      </c>
      <c r="J1785" t="s">
        <v>47117</v>
      </c>
      <c r="K1785" t="s">
        <v>47113</v>
      </c>
      <c r="L1785">
        <v>11.17</v>
      </c>
      <c r="M1785">
        <v>39</v>
      </c>
      <c r="N1785">
        <v>0</v>
      </c>
      <c r="O1785">
        <v>39</v>
      </c>
      <c r="P1785">
        <v>0</v>
      </c>
    </row>
    <row r="1786" spans="1:16" x14ac:dyDescent="0.25">
      <c r="A1786" t="s">
        <v>24214</v>
      </c>
      <c r="B1786" t="s">
        <v>14620</v>
      </c>
      <c r="C1786" t="s">
        <v>14619</v>
      </c>
      <c r="D1786" t="s">
        <v>14165</v>
      </c>
      <c r="E1786" t="s">
        <v>14166</v>
      </c>
      <c r="F1786" t="s">
        <v>3750</v>
      </c>
      <c r="G1786" t="s">
        <v>47081</v>
      </c>
      <c r="H1786" t="s">
        <v>47054</v>
      </c>
      <c r="I1786" t="s">
        <v>47116</v>
      </c>
      <c r="J1786" t="s">
        <v>47117</v>
      </c>
      <c r="K1786" t="s">
        <v>47113</v>
      </c>
      <c r="L1786">
        <v>12.89</v>
      </c>
      <c r="M1786">
        <v>45</v>
      </c>
      <c r="N1786">
        <v>0</v>
      </c>
      <c r="O1786">
        <v>45</v>
      </c>
      <c r="P1786">
        <v>0</v>
      </c>
    </row>
    <row r="1787" spans="1:16" x14ac:dyDescent="0.25">
      <c r="A1787" t="s">
        <v>24215</v>
      </c>
      <c r="B1787" t="s">
        <v>14181</v>
      </c>
      <c r="C1787" t="s">
        <v>14182</v>
      </c>
      <c r="D1787" t="s">
        <v>14183</v>
      </c>
      <c r="E1787" t="s">
        <v>14184</v>
      </c>
      <c r="F1787" t="s">
        <v>3750</v>
      </c>
      <c r="G1787" t="s">
        <v>47081</v>
      </c>
      <c r="H1787" t="s">
        <v>47054</v>
      </c>
      <c r="I1787" t="s">
        <v>47116</v>
      </c>
      <c r="J1787" t="s">
        <v>47117</v>
      </c>
      <c r="K1787" t="s">
        <v>47113</v>
      </c>
      <c r="L1787">
        <v>12.98</v>
      </c>
      <c r="M1787">
        <v>45</v>
      </c>
      <c r="N1787">
        <v>0</v>
      </c>
      <c r="O1787">
        <v>45</v>
      </c>
      <c r="P1787">
        <v>0</v>
      </c>
    </row>
    <row r="1788" spans="1:16" x14ac:dyDescent="0.25">
      <c r="A1788" t="s">
        <v>24216</v>
      </c>
      <c r="B1788" t="s">
        <v>3005</v>
      </c>
      <c r="C1788" t="s">
        <v>2572</v>
      </c>
      <c r="D1788" t="s">
        <v>721</v>
      </c>
      <c r="E1788" t="s">
        <v>722</v>
      </c>
      <c r="F1788" t="s">
        <v>0</v>
      </c>
      <c r="G1788" t="s">
        <v>47086</v>
      </c>
      <c r="H1788" t="s">
        <v>47054</v>
      </c>
      <c r="I1788" t="s">
        <v>47116</v>
      </c>
      <c r="J1788" t="s">
        <v>47117</v>
      </c>
      <c r="K1788" t="s">
        <v>47113</v>
      </c>
      <c r="L1788">
        <v>24.72</v>
      </c>
      <c r="M1788">
        <v>60</v>
      </c>
      <c r="N1788">
        <v>0</v>
      </c>
      <c r="O1788">
        <v>60</v>
      </c>
      <c r="P1788">
        <v>0</v>
      </c>
    </row>
    <row r="1789" spans="1:16" x14ac:dyDescent="0.25">
      <c r="A1789" t="s">
        <v>24217</v>
      </c>
      <c r="B1789" t="s">
        <v>3006</v>
      </c>
      <c r="C1789" t="s">
        <v>2574</v>
      </c>
      <c r="D1789" t="str">
        <f>"6017"</f>
        <v>6017</v>
      </c>
      <c r="E1789" t="s">
        <v>3007</v>
      </c>
      <c r="F1789" t="s">
        <v>2068</v>
      </c>
      <c r="G1789" t="s">
        <v>47086</v>
      </c>
      <c r="H1789" t="s">
        <v>47071</v>
      </c>
      <c r="I1789" t="s">
        <v>47118</v>
      </c>
      <c r="J1789" t="s">
        <v>47119</v>
      </c>
      <c r="K1789" t="s">
        <v>47113</v>
      </c>
      <c r="L1789">
        <v>24.56</v>
      </c>
      <c r="M1789">
        <v>57</v>
      </c>
      <c r="N1789">
        <v>0</v>
      </c>
      <c r="O1789">
        <v>57</v>
      </c>
      <c r="P1789">
        <v>0</v>
      </c>
    </row>
    <row r="1790" spans="1:16" x14ac:dyDescent="0.25">
      <c r="A1790" t="s">
        <v>24218</v>
      </c>
      <c r="B1790" t="s">
        <v>3008</v>
      </c>
      <c r="C1790" t="s">
        <v>2574</v>
      </c>
      <c r="D1790" t="str">
        <f>"6017"</f>
        <v>6017</v>
      </c>
      <c r="E1790" t="s">
        <v>3007</v>
      </c>
      <c r="F1790" t="s">
        <v>2068</v>
      </c>
      <c r="G1790" t="s">
        <v>47086</v>
      </c>
      <c r="H1790" t="s">
        <v>47071</v>
      </c>
      <c r="I1790" t="s">
        <v>47118</v>
      </c>
      <c r="J1790" t="s">
        <v>47119</v>
      </c>
      <c r="K1790" t="s">
        <v>47113</v>
      </c>
      <c r="L1790">
        <v>24.54</v>
      </c>
      <c r="M1790">
        <v>57</v>
      </c>
      <c r="N1790">
        <v>0</v>
      </c>
      <c r="O1790">
        <v>57</v>
      </c>
      <c r="P1790">
        <v>0</v>
      </c>
    </row>
    <row r="1791" spans="1:16" x14ac:dyDescent="0.25">
      <c r="A1791" t="s">
        <v>24219</v>
      </c>
      <c r="B1791" t="s">
        <v>14185</v>
      </c>
      <c r="C1791" t="s">
        <v>14186</v>
      </c>
      <c r="D1791" t="s">
        <v>11353</v>
      </c>
      <c r="E1791" t="s">
        <v>11354</v>
      </c>
      <c r="F1791" t="s">
        <v>3750</v>
      </c>
      <c r="G1791" t="s">
        <v>47081</v>
      </c>
      <c r="H1791" t="s">
        <v>47054</v>
      </c>
      <c r="I1791" t="s">
        <v>47116</v>
      </c>
      <c r="J1791" t="s">
        <v>47117</v>
      </c>
      <c r="K1791" t="s">
        <v>47113</v>
      </c>
      <c r="L1791">
        <v>11.17</v>
      </c>
      <c r="M1791">
        <v>39</v>
      </c>
      <c r="N1791">
        <v>0</v>
      </c>
      <c r="O1791">
        <v>39</v>
      </c>
      <c r="P1791">
        <v>0</v>
      </c>
    </row>
    <row r="1792" spans="1:16" x14ac:dyDescent="0.25">
      <c r="A1792" t="s">
        <v>24220</v>
      </c>
      <c r="B1792" t="s">
        <v>3009</v>
      </c>
      <c r="C1792" t="s">
        <v>3010</v>
      </c>
      <c r="D1792" t="str">
        <f>"1700"</f>
        <v>1700</v>
      </c>
      <c r="E1792" t="s">
        <v>60</v>
      </c>
      <c r="F1792" t="s">
        <v>1</v>
      </c>
      <c r="G1792" t="s">
        <v>47150</v>
      </c>
      <c r="H1792" t="s">
        <v>47054</v>
      </c>
      <c r="I1792" t="s">
        <v>47118</v>
      </c>
      <c r="J1792" t="s">
        <v>47119</v>
      </c>
      <c r="K1792" t="s">
        <v>47113</v>
      </c>
      <c r="L1792">
        <v>15.35</v>
      </c>
      <c r="M1792">
        <v>38</v>
      </c>
      <c r="N1792">
        <v>0</v>
      </c>
      <c r="O1792">
        <v>38</v>
      </c>
      <c r="P1792">
        <v>0</v>
      </c>
    </row>
    <row r="1793" spans="1:16" x14ac:dyDescent="0.25">
      <c r="A1793" t="s">
        <v>24221</v>
      </c>
      <c r="B1793" t="s">
        <v>3011</v>
      </c>
      <c r="C1793" t="s">
        <v>3012</v>
      </c>
      <c r="D1793" t="str">
        <f>"6275"</f>
        <v>6275</v>
      </c>
      <c r="E1793" t="s">
        <v>2991</v>
      </c>
      <c r="F1793" t="s">
        <v>2</v>
      </c>
      <c r="G1793" t="s">
        <v>47086</v>
      </c>
      <c r="H1793" t="s">
        <v>47054</v>
      </c>
      <c r="I1793" t="s">
        <v>47116</v>
      </c>
      <c r="J1793" t="s">
        <v>47117</v>
      </c>
      <c r="K1793" t="s">
        <v>47113</v>
      </c>
      <c r="L1793">
        <v>43.92</v>
      </c>
      <c r="M1793">
        <v>115</v>
      </c>
      <c r="N1793">
        <v>0</v>
      </c>
      <c r="O1793">
        <v>115</v>
      </c>
      <c r="P1793">
        <v>0</v>
      </c>
    </row>
    <row r="1794" spans="1:16" x14ac:dyDescent="0.25">
      <c r="A1794" t="s">
        <v>24222</v>
      </c>
      <c r="B1794" t="s">
        <v>3013</v>
      </c>
      <c r="C1794" t="s">
        <v>2584</v>
      </c>
      <c r="D1794" t="str">
        <f>"4894"</f>
        <v>4894</v>
      </c>
      <c r="E1794" t="s">
        <v>3014</v>
      </c>
      <c r="F1794" t="s">
        <v>2068</v>
      </c>
      <c r="G1794" t="s">
        <v>47086</v>
      </c>
      <c r="H1794" t="s">
        <v>47071</v>
      </c>
      <c r="I1794" t="s">
        <v>47118</v>
      </c>
      <c r="J1794" t="s">
        <v>47119</v>
      </c>
      <c r="K1794" t="s">
        <v>47113</v>
      </c>
      <c r="L1794">
        <v>30.07</v>
      </c>
      <c r="M1794">
        <v>70</v>
      </c>
      <c r="N1794">
        <v>0</v>
      </c>
      <c r="O1794">
        <v>70</v>
      </c>
      <c r="P1794">
        <v>0</v>
      </c>
    </row>
    <row r="1795" spans="1:16" x14ac:dyDescent="0.25">
      <c r="A1795" t="s">
        <v>24223</v>
      </c>
      <c r="B1795" t="s">
        <v>3015</v>
      </c>
      <c r="C1795" t="s">
        <v>2584</v>
      </c>
      <c r="D1795" t="str">
        <f>"5031"</f>
        <v>5031</v>
      </c>
      <c r="E1795" t="s">
        <v>2771</v>
      </c>
      <c r="F1795" t="s">
        <v>6</v>
      </c>
      <c r="G1795" t="s">
        <v>47086</v>
      </c>
      <c r="H1795" t="s">
        <v>47054</v>
      </c>
      <c r="I1795" t="s">
        <v>47116</v>
      </c>
      <c r="J1795" t="s">
        <v>47117</v>
      </c>
      <c r="K1795" t="s">
        <v>47113</v>
      </c>
      <c r="L1795">
        <v>46.29</v>
      </c>
      <c r="M1795">
        <v>118</v>
      </c>
      <c r="N1795">
        <v>0</v>
      </c>
      <c r="O1795">
        <v>118</v>
      </c>
      <c r="P1795">
        <v>0</v>
      </c>
    </row>
    <row r="1796" spans="1:16" x14ac:dyDescent="0.25">
      <c r="A1796" t="s">
        <v>24224</v>
      </c>
      <c r="B1796" t="s">
        <v>3016</v>
      </c>
      <c r="C1796" t="s">
        <v>2584</v>
      </c>
      <c r="D1796" t="str">
        <f>"4894"</f>
        <v>4894</v>
      </c>
      <c r="E1796" t="s">
        <v>3014</v>
      </c>
      <c r="F1796" t="s">
        <v>2068</v>
      </c>
      <c r="G1796" t="s">
        <v>47086</v>
      </c>
      <c r="H1796" t="s">
        <v>47071</v>
      </c>
      <c r="I1796" t="s">
        <v>47118</v>
      </c>
      <c r="J1796" t="s">
        <v>47119</v>
      </c>
      <c r="K1796" t="s">
        <v>47113</v>
      </c>
      <c r="L1796">
        <v>30.07</v>
      </c>
      <c r="M1796">
        <v>70</v>
      </c>
      <c r="N1796">
        <v>0</v>
      </c>
      <c r="O1796">
        <v>70</v>
      </c>
      <c r="P1796">
        <v>0</v>
      </c>
    </row>
    <row r="1797" spans="1:16" x14ac:dyDescent="0.25">
      <c r="A1797" t="s">
        <v>24225</v>
      </c>
      <c r="B1797" t="s">
        <v>3017</v>
      </c>
      <c r="C1797" t="s">
        <v>3018</v>
      </c>
      <c r="D1797" t="str">
        <f>"2707"</f>
        <v>2707</v>
      </c>
      <c r="E1797" t="s">
        <v>3019</v>
      </c>
      <c r="F1797" t="s">
        <v>1</v>
      </c>
      <c r="G1797" t="s">
        <v>47087</v>
      </c>
      <c r="H1797" t="s">
        <v>47054</v>
      </c>
      <c r="I1797" t="s">
        <v>47111</v>
      </c>
      <c r="J1797" t="s">
        <v>47112</v>
      </c>
      <c r="K1797" t="s">
        <v>47113</v>
      </c>
      <c r="L1797">
        <v>8.75</v>
      </c>
      <c r="M1797">
        <v>22</v>
      </c>
      <c r="N1797">
        <v>0</v>
      </c>
      <c r="O1797">
        <v>22</v>
      </c>
      <c r="P1797">
        <v>0</v>
      </c>
    </row>
    <row r="1798" spans="1:16" x14ac:dyDescent="0.25">
      <c r="A1798" t="s">
        <v>24226</v>
      </c>
      <c r="B1798" t="s">
        <v>3020</v>
      </c>
      <c r="C1798" t="s">
        <v>3021</v>
      </c>
      <c r="D1798" t="str">
        <f>"6445"</f>
        <v>6445</v>
      </c>
      <c r="E1798" t="s">
        <v>3022</v>
      </c>
      <c r="F1798" t="s">
        <v>1</v>
      </c>
      <c r="G1798" t="s">
        <v>47087</v>
      </c>
      <c r="H1798" t="s">
        <v>47054</v>
      </c>
      <c r="I1798" t="s">
        <v>47111</v>
      </c>
      <c r="J1798" t="s">
        <v>47112</v>
      </c>
      <c r="K1798" t="s">
        <v>47113</v>
      </c>
      <c r="L1798">
        <v>7.72</v>
      </c>
      <c r="M1798">
        <v>19</v>
      </c>
      <c r="N1798">
        <v>0</v>
      </c>
      <c r="O1798">
        <v>19</v>
      </c>
      <c r="P1798">
        <v>0</v>
      </c>
    </row>
    <row r="1799" spans="1:16" x14ac:dyDescent="0.25">
      <c r="A1799" t="s">
        <v>24227</v>
      </c>
      <c r="B1799" t="s">
        <v>3023</v>
      </c>
      <c r="C1799" t="s">
        <v>3024</v>
      </c>
      <c r="D1799" t="str">
        <f>"1001"</f>
        <v>1001</v>
      </c>
      <c r="E1799" t="s">
        <v>42</v>
      </c>
      <c r="F1799" t="s">
        <v>8</v>
      </c>
      <c r="G1799" t="s">
        <v>47087</v>
      </c>
      <c r="H1799" t="s">
        <v>47054</v>
      </c>
      <c r="I1799" t="s">
        <v>47120</v>
      </c>
      <c r="J1799" t="s">
        <v>47121</v>
      </c>
      <c r="K1799" t="s">
        <v>47113</v>
      </c>
      <c r="L1799">
        <v>8.4700000000000006</v>
      </c>
      <c r="M1799">
        <v>23</v>
      </c>
      <c r="N1799">
        <v>0</v>
      </c>
      <c r="O1799">
        <v>23</v>
      </c>
      <c r="P1799">
        <v>0</v>
      </c>
    </row>
    <row r="1800" spans="1:16" x14ac:dyDescent="0.25">
      <c r="A1800" t="s">
        <v>14824</v>
      </c>
      <c r="B1800" t="s">
        <v>3025</v>
      </c>
      <c r="C1800" t="s">
        <v>3026</v>
      </c>
      <c r="D1800" t="str">
        <f>"6603"</f>
        <v>6603</v>
      </c>
      <c r="E1800" t="s">
        <v>1882</v>
      </c>
      <c r="F1800" t="s">
        <v>8</v>
      </c>
      <c r="G1800" t="s">
        <v>47087</v>
      </c>
      <c r="H1800" t="s">
        <v>47054</v>
      </c>
      <c r="I1800" t="s">
        <v>47120</v>
      </c>
      <c r="J1800" t="s">
        <v>47121</v>
      </c>
      <c r="K1800" t="s">
        <v>47113</v>
      </c>
      <c r="L1800">
        <v>8</v>
      </c>
      <c r="M1800">
        <v>23</v>
      </c>
      <c r="N1800">
        <v>0</v>
      </c>
      <c r="O1800">
        <v>23</v>
      </c>
      <c r="P1800">
        <v>0</v>
      </c>
    </row>
    <row r="1801" spans="1:16" x14ac:dyDescent="0.25">
      <c r="A1801" t="s">
        <v>24228</v>
      </c>
      <c r="B1801" t="s">
        <v>3027</v>
      </c>
      <c r="C1801" t="s">
        <v>3028</v>
      </c>
      <c r="D1801" t="str">
        <f>"8322"</f>
        <v>8322</v>
      </c>
      <c r="E1801" t="s">
        <v>3029</v>
      </c>
      <c r="F1801" t="s">
        <v>7</v>
      </c>
      <c r="G1801" t="s">
        <v>47087</v>
      </c>
      <c r="H1801" t="s">
        <v>47054</v>
      </c>
      <c r="I1801" t="s">
        <v>47120</v>
      </c>
      <c r="J1801" t="s">
        <v>47121</v>
      </c>
      <c r="K1801" t="s">
        <v>47113</v>
      </c>
      <c r="L1801">
        <v>8.93</v>
      </c>
      <c r="M1801">
        <v>24</v>
      </c>
      <c r="N1801">
        <v>0</v>
      </c>
      <c r="O1801">
        <v>24</v>
      </c>
      <c r="P1801">
        <v>0</v>
      </c>
    </row>
    <row r="1802" spans="1:16" x14ac:dyDescent="0.25">
      <c r="A1802" t="s">
        <v>24229</v>
      </c>
      <c r="B1802" t="s">
        <v>3030</v>
      </c>
      <c r="C1802" t="s">
        <v>3031</v>
      </c>
      <c r="D1802" t="str">
        <f>"1746"</f>
        <v>1746</v>
      </c>
      <c r="E1802" t="s">
        <v>807</v>
      </c>
      <c r="F1802" t="s">
        <v>7</v>
      </c>
      <c r="G1802" t="s">
        <v>47087</v>
      </c>
      <c r="H1802" t="s">
        <v>47054</v>
      </c>
      <c r="I1802" t="s">
        <v>47114</v>
      </c>
      <c r="J1802" t="s">
        <v>47115</v>
      </c>
      <c r="K1802" t="s">
        <v>47113</v>
      </c>
      <c r="L1802">
        <v>7.94</v>
      </c>
      <c r="M1802">
        <v>24</v>
      </c>
      <c r="N1802">
        <v>0</v>
      </c>
      <c r="O1802">
        <v>24</v>
      </c>
      <c r="P1802">
        <v>0</v>
      </c>
    </row>
    <row r="1803" spans="1:16" x14ac:dyDescent="0.25">
      <c r="A1803" t="s">
        <v>24230</v>
      </c>
      <c r="B1803" t="s">
        <v>3030</v>
      </c>
      <c r="C1803" t="s">
        <v>3031</v>
      </c>
      <c r="D1803" t="str">
        <f>"6052"</f>
        <v>6052</v>
      </c>
      <c r="E1803" t="s">
        <v>3032</v>
      </c>
      <c r="F1803" t="s">
        <v>7</v>
      </c>
      <c r="G1803" t="s">
        <v>47087</v>
      </c>
      <c r="H1803" t="s">
        <v>47054</v>
      </c>
      <c r="I1803" t="s">
        <v>47120</v>
      </c>
      <c r="J1803" t="s">
        <v>47121</v>
      </c>
      <c r="K1803" t="s">
        <v>47113</v>
      </c>
      <c r="L1803">
        <v>8.74</v>
      </c>
      <c r="M1803">
        <v>24</v>
      </c>
      <c r="N1803">
        <v>0</v>
      </c>
      <c r="O1803">
        <v>24</v>
      </c>
      <c r="P1803">
        <v>0</v>
      </c>
    </row>
    <row r="1804" spans="1:16" x14ac:dyDescent="0.25">
      <c r="A1804" t="s">
        <v>24231</v>
      </c>
      <c r="B1804" t="s">
        <v>3033</v>
      </c>
      <c r="C1804" t="s">
        <v>3034</v>
      </c>
      <c r="D1804" t="str">
        <f>"1332"</f>
        <v>1332</v>
      </c>
      <c r="E1804" t="s">
        <v>3035</v>
      </c>
      <c r="F1804" t="s">
        <v>7</v>
      </c>
      <c r="G1804" t="s">
        <v>47087</v>
      </c>
      <c r="H1804" t="s">
        <v>47054</v>
      </c>
      <c r="I1804" t="s">
        <v>47120</v>
      </c>
      <c r="J1804" t="s">
        <v>47121</v>
      </c>
      <c r="K1804" t="s">
        <v>47113</v>
      </c>
      <c r="L1804">
        <v>8.6300000000000008</v>
      </c>
      <c r="M1804">
        <v>24</v>
      </c>
      <c r="N1804">
        <v>0</v>
      </c>
      <c r="O1804">
        <v>24</v>
      </c>
      <c r="P1804">
        <v>0</v>
      </c>
    </row>
    <row r="1805" spans="1:16" x14ac:dyDescent="0.25">
      <c r="A1805" t="s">
        <v>24232</v>
      </c>
      <c r="B1805" t="s">
        <v>3036</v>
      </c>
      <c r="C1805" t="s">
        <v>3037</v>
      </c>
      <c r="D1805" t="str">
        <f>"6446"</f>
        <v>6446</v>
      </c>
      <c r="E1805" t="s">
        <v>3038</v>
      </c>
      <c r="F1805" t="s">
        <v>1</v>
      </c>
      <c r="G1805" t="s">
        <v>47145</v>
      </c>
      <c r="H1805" t="s">
        <v>47054</v>
      </c>
      <c r="I1805" t="s">
        <v>47111</v>
      </c>
      <c r="J1805" t="s">
        <v>47112</v>
      </c>
      <c r="K1805" t="s">
        <v>47113</v>
      </c>
      <c r="L1805">
        <v>13.27</v>
      </c>
      <c r="M1805">
        <v>33</v>
      </c>
      <c r="N1805">
        <v>0</v>
      </c>
      <c r="O1805">
        <v>33</v>
      </c>
      <c r="P1805">
        <v>0</v>
      </c>
    </row>
    <row r="1806" spans="1:16" x14ac:dyDescent="0.25">
      <c r="A1806" t="s">
        <v>24233</v>
      </c>
      <c r="B1806" t="s">
        <v>3039</v>
      </c>
      <c r="C1806" t="s">
        <v>3040</v>
      </c>
      <c r="D1806" t="str">
        <f>"1837"</f>
        <v>1837</v>
      </c>
      <c r="E1806" t="s">
        <v>3041</v>
      </c>
      <c r="F1806" t="s">
        <v>1</v>
      </c>
      <c r="G1806" t="s">
        <v>47081</v>
      </c>
      <c r="H1806" t="s">
        <v>47054</v>
      </c>
      <c r="I1806" t="s">
        <v>47116</v>
      </c>
      <c r="J1806" t="s">
        <v>47117</v>
      </c>
      <c r="K1806" t="s">
        <v>47113</v>
      </c>
      <c r="L1806">
        <v>16.940000000000001</v>
      </c>
      <c r="M1806">
        <v>42</v>
      </c>
      <c r="N1806">
        <v>0</v>
      </c>
      <c r="O1806">
        <v>42</v>
      </c>
      <c r="P1806">
        <v>0</v>
      </c>
    </row>
    <row r="1807" spans="1:16" x14ac:dyDescent="0.25">
      <c r="A1807" t="s">
        <v>24234</v>
      </c>
      <c r="B1807" t="s">
        <v>3042</v>
      </c>
      <c r="C1807" t="s">
        <v>3043</v>
      </c>
      <c r="D1807" t="str">
        <f>"1837"</f>
        <v>1837</v>
      </c>
      <c r="E1807" t="s">
        <v>3041</v>
      </c>
      <c r="F1807" t="s">
        <v>1</v>
      </c>
      <c r="G1807" t="s">
        <v>47147</v>
      </c>
      <c r="H1807" t="s">
        <v>47054</v>
      </c>
      <c r="I1807" t="s">
        <v>47116</v>
      </c>
      <c r="J1807" t="s">
        <v>47117</v>
      </c>
      <c r="K1807" t="s">
        <v>47113</v>
      </c>
      <c r="L1807">
        <v>12.3</v>
      </c>
      <c r="M1807">
        <v>30</v>
      </c>
      <c r="N1807">
        <v>0</v>
      </c>
      <c r="O1807">
        <v>30</v>
      </c>
      <c r="P1807">
        <v>0</v>
      </c>
    </row>
    <row r="1808" spans="1:16" x14ac:dyDescent="0.25">
      <c r="A1808" t="s">
        <v>14825</v>
      </c>
      <c r="B1808" t="s">
        <v>3044</v>
      </c>
      <c r="C1808" t="s">
        <v>3045</v>
      </c>
      <c r="D1808" t="str">
        <f>"4635"</f>
        <v>4635</v>
      </c>
      <c r="E1808" t="s">
        <v>1569</v>
      </c>
      <c r="F1808" t="s">
        <v>2</v>
      </c>
      <c r="G1808" t="s">
        <v>47081</v>
      </c>
      <c r="H1808" t="s">
        <v>47054</v>
      </c>
      <c r="I1808" t="s">
        <v>47116</v>
      </c>
      <c r="J1808" t="s">
        <v>47117</v>
      </c>
      <c r="K1808" t="s">
        <v>47113</v>
      </c>
      <c r="L1808">
        <v>23.89</v>
      </c>
      <c r="M1808">
        <v>52</v>
      </c>
      <c r="N1808">
        <v>0</v>
      </c>
      <c r="O1808">
        <v>52</v>
      </c>
      <c r="P1808">
        <v>0</v>
      </c>
    </row>
    <row r="1809" spans="1:16" x14ac:dyDescent="0.25">
      <c r="A1809" t="s">
        <v>24235</v>
      </c>
      <c r="B1809" t="s">
        <v>3044</v>
      </c>
      <c r="C1809" t="s">
        <v>3045</v>
      </c>
      <c r="D1809" t="str">
        <f>"5092"</f>
        <v>5092</v>
      </c>
      <c r="E1809" t="s">
        <v>3046</v>
      </c>
      <c r="F1809" t="s">
        <v>2</v>
      </c>
      <c r="G1809" t="s">
        <v>47081</v>
      </c>
      <c r="H1809" t="s">
        <v>47054</v>
      </c>
      <c r="I1809" t="s">
        <v>47116</v>
      </c>
      <c r="J1809" t="s">
        <v>47117</v>
      </c>
      <c r="K1809" t="s">
        <v>47113</v>
      </c>
      <c r="L1809">
        <v>24.5</v>
      </c>
      <c r="M1809">
        <v>57</v>
      </c>
      <c r="N1809">
        <v>0</v>
      </c>
      <c r="O1809">
        <v>57</v>
      </c>
      <c r="P1809">
        <v>0</v>
      </c>
    </row>
    <row r="1810" spans="1:16" x14ac:dyDescent="0.25">
      <c r="A1810" t="s">
        <v>24236</v>
      </c>
      <c r="B1810" t="s">
        <v>3044</v>
      </c>
      <c r="C1810" t="s">
        <v>3045</v>
      </c>
      <c r="D1810" t="str">
        <f>"6274"</f>
        <v>6274</v>
      </c>
      <c r="E1810" t="s">
        <v>3047</v>
      </c>
      <c r="F1810" t="s">
        <v>2</v>
      </c>
      <c r="G1810" t="s">
        <v>47081</v>
      </c>
      <c r="H1810" t="s">
        <v>47054</v>
      </c>
      <c r="I1810" t="s">
        <v>47116</v>
      </c>
      <c r="J1810" t="s">
        <v>47117</v>
      </c>
      <c r="K1810" t="s">
        <v>47113</v>
      </c>
      <c r="L1810">
        <v>23.89</v>
      </c>
      <c r="M1810">
        <v>52</v>
      </c>
      <c r="N1810">
        <v>0</v>
      </c>
      <c r="O1810">
        <v>52</v>
      </c>
      <c r="P1810">
        <v>0</v>
      </c>
    </row>
    <row r="1811" spans="1:16" x14ac:dyDescent="0.25">
      <c r="A1811" t="s">
        <v>24237</v>
      </c>
      <c r="B1811" t="s">
        <v>3048</v>
      </c>
      <c r="C1811" t="s">
        <v>3049</v>
      </c>
      <c r="D1811" t="str">
        <f>"8347"</f>
        <v>8347</v>
      </c>
      <c r="E1811" t="s">
        <v>3050</v>
      </c>
      <c r="F1811" t="s">
        <v>2</v>
      </c>
      <c r="G1811" t="s">
        <v>47081</v>
      </c>
      <c r="H1811" t="s">
        <v>47054</v>
      </c>
      <c r="I1811" t="s">
        <v>47116</v>
      </c>
      <c r="J1811" t="s">
        <v>47117</v>
      </c>
      <c r="K1811" t="s">
        <v>47113</v>
      </c>
      <c r="L1811">
        <v>25.6</v>
      </c>
      <c r="M1811">
        <v>60</v>
      </c>
      <c r="N1811">
        <v>0</v>
      </c>
      <c r="O1811">
        <v>60</v>
      </c>
      <c r="P1811">
        <v>0</v>
      </c>
    </row>
    <row r="1812" spans="1:16" x14ac:dyDescent="0.25">
      <c r="A1812" t="s">
        <v>24238</v>
      </c>
      <c r="B1812" t="s">
        <v>3051</v>
      </c>
      <c r="C1812" t="s">
        <v>3052</v>
      </c>
      <c r="D1812" t="str">
        <f>"1838"</f>
        <v>1838</v>
      </c>
      <c r="E1812" t="s">
        <v>3053</v>
      </c>
      <c r="F1812" t="s">
        <v>1</v>
      </c>
      <c r="G1812" t="s">
        <v>47147</v>
      </c>
      <c r="H1812" t="s">
        <v>47054</v>
      </c>
      <c r="I1812" t="s">
        <v>47116</v>
      </c>
      <c r="J1812" t="s">
        <v>47117</v>
      </c>
      <c r="K1812" t="s">
        <v>47113</v>
      </c>
      <c r="L1812">
        <v>12.3</v>
      </c>
      <c r="M1812">
        <v>30</v>
      </c>
      <c r="N1812">
        <v>0</v>
      </c>
      <c r="O1812">
        <v>30</v>
      </c>
      <c r="P1812">
        <v>0</v>
      </c>
    </row>
    <row r="1813" spans="1:16" x14ac:dyDescent="0.25">
      <c r="A1813" t="s">
        <v>14826</v>
      </c>
      <c r="B1813" t="s">
        <v>3054</v>
      </c>
      <c r="C1813" t="s">
        <v>3055</v>
      </c>
      <c r="D1813" t="str">
        <f>"11"</f>
        <v>11</v>
      </c>
      <c r="E1813" t="s">
        <v>288</v>
      </c>
      <c r="F1813" t="s">
        <v>1717</v>
      </c>
      <c r="G1813" t="s">
        <v>47081</v>
      </c>
      <c r="H1813" t="s">
        <v>47054</v>
      </c>
      <c r="I1813" t="s">
        <v>47116</v>
      </c>
      <c r="J1813" t="s">
        <v>47117</v>
      </c>
      <c r="K1813" t="s">
        <v>47113</v>
      </c>
      <c r="L1813">
        <v>14.72</v>
      </c>
      <c r="M1813">
        <v>38</v>
      </c>
      <c r="N1813">
        <v>0</v>
      </c>
      <c r="O1813">
        <v>38</v>
      </c>
      <c r="P1813">
        <v>0</v>
      </c>
    </row>
    <row r="1814" spans="1:16" x14ac:dyDescent="0.25">
      <c r="A1814" t="s">
        <v>14827</v>
      </c>
      <c r="B1814" t="s">
        <v>3054</v>
      </c>
      <c r="C1814" t="s">
        <v>3055</v>
      </c>
      <c r="D1814" t="s">
        <v>721</v>
      </c>
      <c r="E1814" t="s">
        <v>722</v>
      </c>
      <c r="F1814" t="s">
        <v>1717</v>
      </c>
      <c r="G1814" t="s">
        <v>47081</v>
      </c>
      <c r="H1814" t="s">
        <v>47054</v>
      </c>
      <c r="I1814" t="s">
        <v>47116</v>
      </c>
      <c r="J1814" t="s">
        <v>47117</v>
      </c>
      <c r="K1814" t="s">
        <v>47113</v>
      </c>
      <c r="L1814">
        <v>13.87</v>
      </c>
      <c r="M1814">
        <v>38</v>
      </c>
      <c r="N1814">
        <v>0</v>
      </c>
      <c r="O1814">
        <v>38</v>
      </c>
      <c r="P1814">
        <v>0</v>
      </c>
    </row>
    <row r="1815" spans="1:16" x14ac:dyDescent="0.25">
      <c r="A1815" t="s">
        <v>24239</v>
      </c>
      <c r="B1815" t="s">
        <v>3056</v>
      </c>
      <c r="C1815" t="s">
        <v>3057</v>
      </c>
      <c r="D1815" t="s">
        <v>721</v>
      </c>
      <c r="E1815" t="s">
        <v>722</v>
      </c>
      <c r="F1815" t="s">
        <v>296</v>
      </c>
      <c r="G1815" t="s">
        <v>47147</v>
      </c>
      <c r="H1815" t="s">
        <v>47054</v>
      </c>
      <c r="I1815" t="s">
        <v>47111</v>
      </c>
      <c r="J1815" t="s">
        <v>47112</v>
      </c>
      <c r="K1815" t="s">
        <v>47113</v>
      </c>
      <c r="L1815">
        <v>12.14</v>
      </c>
      <c r="M1815">
        <v>30</v>
      </c>
      <c r="N1815">
        <v>0</v>
      </c>
      <c r="O1815">
        <v>30</v>
      </c>
      <c r="P1815">
        <v>0</v>
      </c>
    </row>
    <row r="1816" spans="1:16" x14ac:dyDescent="0.25">
      <c r="A1816" t="s">
        <v>24240</v>
      </c>
      <c r="B1816" t="s">
        <v>3056</v>
      </c>
      <c r="C1816" t="s">
        <v>3057</v>
      </c>
      <c r="D1816" t="s">
        <v>629</v>
      </c>
      <c r="E1816" t="s">
        <v>630</v>
      </c>
      <c r="F1816" t="s">
        <v>56</v>
      </c>
      <c r="G1816" t="s">
        <v>47147</v>
      </c>
      <c r="H1816" t="s">
        <v>47054</v>
      </c>
      <c r="I1816" t="s">
        <v>47116</v>
      </c>
      <c r="J1816" t="s">
        <v>47117</v>
      </c>
      <c r="K1816" t="s">
        <v>47113</v>
      </c>
      <c r="L1816">
        <v>14.25</v>
      </c>
      <c r="M1816">
        <v>40</v>
      </c>
      <c r="N1816">
        <v>0</v>
      </c>
      <c r="O1816">
        <v>40</v>
      </c>
      <c r="P1816">
        <v>0</v>
      </c>
    </row>
    <row r="1817" spans="1:16" x14ac:dyDescent="0.25">
      <c r="A1817" t="s">
        <v>24241</v>
      </c>
      <c r="B1817" t="s">
        <v>3058</v>
      </c>
      <c r="C1817" t="s">
        <v>3059</v>
      </c>
      <c r="D1817" t="s">
        <v>3060</v>
      </c>
      <c r="E1817" t="s">
        <v>3061</v>
      </c>
      <c r="F1817" t="s">
        <v>1</v>
      </c>
      <c r="G1817" t="s">
        <v>47081</v>
      </c>
      <c r="H1817" t="s">
        <v>47054</v>
      </c>
      <c r="I1817" t="s">
        <v>47116</v>
      </c>
      <c r="J1817" t="s">
        <v>47117</v>
      </c>
      <c r="K1817" t="s">
        <v>47113</v>
      </c>
      <c r="L1817">
        <v>20.96</v>
      </c>
      <c r="M1817">
        <v>52</v>
      </c>
      <c r="N1817">
        <v>0</v>
      </c>
      <c r="O1817">
        <v>52</v>
      </c>
      <c r="P1817">
        <v>0</v>
      </c>
    </row>
    <row r="1818" spans="1:16" x14ac:dyDescent="0.25">
      <c r="A1818" t="s">
        <v>24242</v>
      </c>
      <c r="B1818" t="s">
        <v>3062</v>
      </c>
      <c r="C1818" t="s">
        <v>3063</v>
      </c>
      <c r="D1818" t="s">
        <v>3064</v>
      </c>
      <c r="E1818" t="s">
        <v>3065</v>
      </c>
      <c r="F1818" t="s">
        <v>631</v>
      </c>
      <c r="G1818" t="s">
        <v>47081</v>
      </c>
      <c r="H1818" t="s">
        <v>47054</v>
      </c>
      <c r="I1818" t="s">
        <v>47111</v>
      </c>
      <c r="J1818" t="s">
        <v>47112</v>
      </c>
      <c r="K1818" t="s">
        <v>47113</v>
      </c>
      <c r="L1818">
        <v>28.24</v>
      </c>
      <c r="M1818">
        <v>69</v>
      </c>
      <c r="N1818">
        <v>0</v>
      </c>
      <c r="O1818">
        <v>69</v>
      </c>
      <c r="P1818">
        <v>0</v>
      </c>
    </row>
    <row r="1819" spans="1:16" x14ac:dyDescent="0.25">
      <c r="A1819" t="s">
        <v>24243</v>
      </c>
      <c r="B1819" t="s">
        <v>3066</v>
      </c>
      <c r="C1819" t="s">
        <v>3067</v>
      </c>
      <c r="D1819" t="s">
        <v>3068</v>
      </c>
      <c r="E1819" t="s">
        <v>3069</v>
      </c>
      <c r="F1819" t="s">
        <v>1</v>
      </c>
      <c r="G1819" t="s">
        <v>47081</v>
      </c>
      <c r="H1819" t="s">
        <v>47054</v>
      </c>
      <c r="I1819" t="s">
        <v>47116</v>
      </c>
      <c r="J1819" t="s">
        <v>47117</v>
      </c>
      <c r="K1819" t="s">
        <v>47113</v>
      </c>
      <c r="L1819">
        <v>23.71</v>
      </c>
      <c r="M1819">
        <v>58</v>
      </c>
      <c r="N1819">
        <v>0</v>
      </c>
      <c r="O1819">
        <v>58</v>
      </c>
      <c r="P1819">
        <v>0</v>
      </c>
    </row>
    <row r="1820" spans="1:16" x14ac:dyDescent="0.25">
      <c r="A1820" t="s">
        <v>14828</v>
      </c>
      <c r="B1820" t="s">
        <v>3070</v>
      </c>
      <c r="C1820" t="s">
        <v>3071</v>
      </c>
      <c r="D1820" t="s">
        <v>685</v>
      </c>
      <c r="E1820" t="s">
        <v>686</v>
      </c>
      <c r="F1820" t="s">
        <v>631</v>
      </c>
      <c r="G1820" t="s">
        <v>47148</v>
      </c>
      <c r="H1820" t="s">
        <v>47054</v>
      </c>
      <c r="I1820" t="s">
        <v>47116</v>
      </c>
      <c r="J1820" t="s">
        <v>47117</v>
      </c>
      <c r="K1820" t="s">
        <v>47113</v>
      </c>
      <c r="L1820">
        <v>17.149999999999999</v>
      </c>
      <c r="M1820">
        <v>43</v>
      </c>
      <c r="N1820">
        <v>0</v>
      </c>
      <c r="O1820">
        <v>43</v>
      </c>
      <c r="P1820">
        <v>0</v>
      </c>
    </row>
    <row r="1821" spans="1:16" x14ac:dyDescent="0.25">
      <c r="A1821" t="s">
        <v>24244</v>
      </c>
      <c r="B1821" t="s">
        <v>3072</v>
      </c>
      <c r="C1821" t="s">
        <v>3073</v>
      </c>
      <c r="D1821" t="s">
        <v>3074</v>
      </c>
      <c r="E1821" t="s">
        <v>3075</v>
      </c>
      <c r="F1821" t="s">
        <v>1</v>
      </c>
      <c r="G1821" t="s">
        <v>47147</v>
      </c>
      <c r="H1821" t="s">
        <v>47054</v>
      </c>
      <c r="I1821" t="s">
        <v>47116</v>
      </c>
      <c r="J1821" t="s">
        <v>47117</v>
      </c>
      <c r="K1821" t="s">
        <v>47113</v>
      </c>
      <c r="L1821">
        <v>31.86</v>
      </c>
      <c r="M1821">
        <v>78</v>
      </c>
      <c r="N1821">
        <v>0</v>
      </c>
      <c r="O1821">
        <v>78</v>
      </c>
      <c r="P1821">
        <v>0</v>
      </c>
    </row>
    <row r="1822" spans="1:16" x14ac:dyDescent="0.25">
      <c r="A1822" t="s">
        <v>24245</v>
      </c>
      <c r="B1822" t="s">
        <v>3076</v>
      </c>
      <c r="C1822" t="s">
        <v>3077</v>
      </c>
      <c r="D1822" t="s">
        <v>685</v>
      </c>
      <c r="E1822" t="s">
        <v>686</v>
      </c>
      <c r="F1822" t="s">
        <v>0</v>
      </c>
      <c r="G1822" t="s">
        <v>47149</v>
      </c>
      <c r="H1822" t="s">
        <v>47054</v>
      </c>
      <c r="I1822" t="s">
        <v>47116</v>
      </c>
      <c r="J1822" t="s">
        <v>47117</v>
      </c>
      <c r="K1822" t="s">
        <v>47113</v>
      </c>
      <c r="L1822">
        <v>30.61</v>
      </c>
      <c r="M1822">
        <v>75</v>
      </c>
      <c r="N1822">
        <v>0</v>
      </c>
      <c r="O1822">
        <v>75</v>
      </c>
      <c r="P1822">
        <v>0</v>
      </c>
    </row>
    <row r="1823" spans="1:16" x14ac:dyDescent="0.25">
      <c r="A1823" t="s">
        <v>24246</v>
      </c>
      <c r="B1823" t="s">
        <v>3078</v>
      </c>
      <c r="C1823" t="s">
        <v>3079</v>
      </c>
      <c r="D1823" t="s">
        <v>739</v>
      </c>
      <c r="E1823" t="s">
        <v>740</v>
      </c>
      <c r="F1823" t="s">
        <v>7</v>
      </c>
      <c r="G1823" t="s">
        <v>47147</v>
      </c>
      <c r="H1823" t="s">
        <v>47054</v>
      </c>
      <c r="I1823" t="s">
        <v>47116</v>
      </c>
      <c r="J1823" t="s">
        <v>47117</v>
      </c>
      <c r="K1823" t="s">
        <v>47113</v>
      </c>
      <c r="L1823">
        <v>15.95</v>
      </c>
      <c r="M1823">
        <v>41</v>
      </c>
      <c r="N1823">
        <v>0</v>
      </c>
      <c r="O1823">
        <v>41</v>
      </c>
      <c r="P1823">
        <v>0</v>
      </c>
    </row>
    <row r="1824" spans="1:16" x14ac:dyDescent="0.25">
      <c r="A1824" t="s">
        <v>24247</v>
      </c>
      <c r="B1824" t="s">
        <v>3080</v>
      </c>
      <c r="C1824" t="s">
        <v>3081</v>
      </c>
      <c r="D1824" t="str">
        <f>"11"</f>
        <v>11</v>
      </c>
      <c r="E1824" t="s">
        <v>288</v>
      </c>
      <c r="F1824" t="s">
        <v>0</v>
      </c>
      <c r="G1824" t="s">
        <v>47147</v>
      </c>
      <c r="H1824" t="s">
        <v>47054</v>
      </c>
      <c r="I1824" t="s">
        <v>47116</v>
      </c>
      <c r="J1824" t="s">
        <v>47117</v>
      </c>
      <c r="K1824" t="s">
        <v>47113</v>
      </c>
      <c r="L1824">
        <v>15.94</v>
      </c>
      <c r="M1824">
        <v>39</v>
      </c>
      <c r="N1824">
        <v>0</v>
      </c>
      <c r="O1824">
        <v>39</v>
      </c>
      <c r="P1824">
        <v>0</v>
      </c>
    </row>
    <row r="1825" spans="1:16" x14ac:dyDescent="0.25">
      <c r="A1825" t="s">
        <v>24248</v>
      </c>
      <c r="B1825" t="s">
        <v>3080</v>
      </c>
      <c r="C1825" t="s">
        <v>3081</v>
      </c>
      <c r="D1825" t="s">
        <v>685</v>
      </c>
      <c r="E1825" t="s">
        <v>686</v>
      </c>
      <c r="F1825" t="s">
        <v>0</v>
      </c>
      <c r="G1825" t="s">
        <v>47147</v>
      </c>
      <c r="H1825" t="s">
        <v>47054</v>
      </c>
      <c r="I1825" t="s">
        <v>47116</v>
      </c>
      <c r="J1825" t="s">
        <v>47117</v>
      </c>
      <c r="K1825" t="s">
        <v>47113</v>
      </c>
      <c r="L1825">
        <v>18.71</v>
      </c>
      <c r="M1825">
        <v>46</v>
      </c>
      <c r="N1825">
        <v>0</v>
      </c>
      <c r="O1825">
        <v>46</v>
      </c>
      <c r="P1825">
        <v>0</v>
      </c>
    </row>
    <row r="1826" spans="1:16" x14ac:dyDescent="0.25">
      <c r="A1826" t="s">
        <v>24249</v>
      </c>
      <c r="B1826" t="s">
        <v>3080</v>
      </c>
      <c r="C1826" t="s">
        <v>3081</v>
      </c>
      <c r="D1826" t="s">
        <v>1349</v>
      </c>
      <c r="E1826" t="s">
        <v>1350</v>
      </c>
      <c r="F1826" t="s">
        <v>0</v>
      </c>
      <c r="G1826" t="s">
        <v>47147</v>
      </c>
      <c r="H1826" t="s">
        <v>47054</v>
      </c>
      <c r="I1826" t="s">
        <v>47116</v>
      </c>
      <c r="J1826" t="s">
        <v>47117</v>
      </c>
      <c r="K1826" t="s">
        <v>47113</v>
      </c>
      <c r="L1826">
        <v>16.86</v>
      </c>
      <c r="M1826">
        <v>41</v>
      </c>
      <c r="N1826">
        <v>0</v>
      </c>
      <c r="O1826">
        <v>41</v>
      </c>
      <c r="P1826">
        <v>0</v>
      </c>
    </row>
    <row r="1827" spans="1:16" x14ac:dyDescent="0.25">
      <c r="A1827" t="s">
        <v>24250</v>
      </c>
      <c r="B1827" t="s">
        <v>3080</v>
      </c>
      <c r="C1827" t="s">
        <v>3081</v>
      </c>
      <c r="D1827" t="s">
        <v>2030</v>
      </c>
      <c r="E1827" t="s">
        <v>2958</v>
      </c>
      <c r="F1827" t="s">
        <v>0</v>
      </c>
      <c r="G1827" t="s">
        <v>47147</v>
      </c>
      <c r="H1827" t="s">
        <v>47054</v>
      </c>
      <c r="I1827" t="s">
        <v>47116</v>
      </c>
      <c r="J1827" t="s">
        <v>47117</v>
      </c>
      <c r="K1827" t="s">
        <v>47113</v>
      </c>
      <c r="L1827">
        <v>17.850000000000001</v>
      </c>
      <c r="M1827">
        <v>43</v>
      </c>
      <c r="N1827">
        <v>0</v>
      </c>
      <c r="O1827">
        <v>43</v>
      </c>
      <c r="P1827">
        <v>0</v>
      </c>
    </row>
    <row r="1828" spans="1:16" x14ac:dyDescent="0.25">
      <c r="A1828" t="s">
        <v>24251</v>
      </c>
      <c r="B1828" t="s">
        <v>3082</v>
      </c>
      <c r="C1828" t="s">
        <v>3083</v>
      </c>
      <c r="D1828" t="s">
        <v>2567</v>
      </c>
      <c r="E1828" t="s">
        <v>2568</v>
      </c>
      <c r="F1828" t="s">
        <v>7</v>
      </c>
      <c r="G1828" t="s">
        <v>47149</v>
      </c>
      <c r="H1828" t="s">
        <v>47054</v>
      </c>
      <c r="I1828" t="s">
        <v>47116</v>
      </c>
      <c r="J1828" t="s">
        <v>47117</v>
      </c>
      <c r="K1828" t="s">
        <v>47113</v>
      </c>
      <c r="L1828">
        <v>38.85</v>
      </c>
      <c r="M1828">
        <v>85</v>
      </c>
      <c r="N1828">
        <v>0</v>
      </c>
      <c r="O1828">
        <v>85</v>
      </c>
      <c r="P1828">
        <v>0</v>
      </c>
    </row>
    <row r="1829" spans="1:16" x14ac:dyDescent="0.25">
      <c r="A1829" t="s">
        <v>14829</v>
      </c>
      <c r="B1829" t="s">
        <v>3084</v>
      </c>
      <c r="C1829" t="s">
        <v>3085</v>
      </c>
      <c r="D1829" t="s">
        <v>3086</v>
      </c>
      <c r="E1829" t="s">
        <v>3087</v>
      </c>
      <c r="F1829" t="s">
        <v>6</v>
      </c>
      <c r="G1829" t="s">
        <v>47149</v>
      </c>
      <c r="H1829" t="s">
        <v>47054</v>
      </c>
      <c r="I1829" t="s">
        <v>47116</v>
      </c>
      <c r="J1829" t="s">
        <v>47117</v>
      </c>
      <c r="K1829" t="s">
        <v>47113</v>
      </c>
      <c r="L1829">
        <v>42.65</v>
      </c>
      <c r="M1829">
        <v>104</v>
      </c>
      <c r="N1829">
        <v>0</v>
      </c>
      <c r="O1829">
        <v>104</v>
      </c>
      <c r="P1829">
        <v>0</v>
      </c>
    </row>
    <row r="1830" spans="1:16" x14ac:dyDescent="0.25">
      <c r="A1830" t="s">
        <v>24252</v>
      </c>
      <c r="B1830" t="s">
        <v>3088</v>
      </c>
      <c r="C1830" t="s">
        <v>3089</v>
      </c>
      <c r="D1830" t="s">
        <v>644</v>
      </c>
      <c r="E1830" t="s">
        <v>645</v>
      </c>
      <c r="F1830" t="s">
        <v>4</v>
      </c>
      <c r="G1830" t="s">
        <v>47081</v>
      </c>
      <c r="H1830" t="s">
        <v>47054</v>
      </c>
      <c r="I1830" t="s">
        <v>47116</v>
      </c>
      <c r="J1830" t="s">
        <v>47117</v>
      </c>
      <c r="K1830" t="s">
        <v>47113</v>
      </c>
      <c r="L1830">
        <v>30.65</v>
      </c>
      <c r="M1830">
        <v>75</v>
      </c>
      <c r="N1830">
        <v>0</v>
      </c>
      <c r="O1830">
        <v>75</v>
      </c>
      <c r="P1830">
        <v>0</v>
      </c>
    </row>
    <row r="1831" spans="1:16" x14ac:dyDescent="0.25">
      <c r="A1831" t="s">
        <v>24253</v>
      </c>
      <c r="B1831" t="s">
        <v>3090</v>
      </c>
      <c r="C1831" t="s">
        <v>3091</v>
      </c>
      <c r="D1831" t="s">
        <v>3092</v>
      </c>
      <c r="E1831" t="s">
        <v>3093</v>
      </c>
      <c r="F1831" t="s">
        <v>4</v>
      </c>
      <c r="G1831" t="s">
        <v>47081</v>
      </c>
      <c r="H1831" t="s">
        <v>47054</v>
      </c>
      <c r="I1831" t="s">
        <v>47116</v>
      </c>
      <c r="J1831" t="s">
        <v>47117</v>
      </c>
      <c r="K1831" t="s">
        <v>47113</v>
      </c>
      <c r="L1831">
        <v>30.33</v>
      </c>
      <c r="M1831">
        <v>74</v>
      </c>
      <c r="N1831">
        <v>0</v>
      </c>
      <c r="O1831">
        <v>74</v>
      </c>
      <c r="P1831">
        <v>0</v>
      </c>
    </row>
    <row r="1832" spans="1:16" x14ac:dyDescent="0.25">
      <c r="A1832" t="s">
        <v>24254</v>
      </c>
      <c r="B1832" t="s">
        <v>3094</v>
      </c>
      <c r="C1832" t="s">
        <v>3095</v>
      </c>
      <c r="D1832" t="s">
        <v>657</v>
      </c>
      <c r="E1832" t="s">
        <v>658</v>
      </c>
      <c r="F1832" t="s">
        <v>8</v>
      </c>
      <c r="G1832" t="s">
        <v>47081</v>
      </c>
      <c r="H1832" t="s">
        <v>47054</v>
      </c>
      <c r="I1832" t="s">
        <v>47111</v>
      </c>
      <c r="J1832" t="s">
        <v>47112</v>
      </c>
      <c r="K1832" t="s">
        <v>47113</v>
      </c>
      <c r="L1832">
        <v>16.420000000000002</v>
      </c>
      <c r="M1832">
        <v>40</v>
      </c>
      <c r="N1832">
        <v>0</v>
      </c>
      <c r="O1832">
        <v>40</v>
      </c>
      <c r="P1832">
        <v>0</v>
      </c>
    </row>
    <row r="1833" spans="1:16" x14ac:dyDescent="0.25">
      <c r="A1833" t="s">
        <v>24255</v>
      </c>
      <c r="B1833" t="s">
        <v>3094</v>
      </c>
      <c r="C1833" t="s">
        <v>3095</v>
      </c>
      <c r="D1833" t="s">
        <v>3096</v>
      </c>
      <c r="E1833" t="s">
        <v>3097</v>
      </c>
      <c r="F1833" t="s">
        <v>631</v>
      </c>
      <c r="G1833" t="s">
        <v>47081</v>
      </c>
      <c r="H1833" t="s">
        <v>47054</v>
      </c>
      <c r="I1833" t="s">
        <v>47111</v>
      </c>
      <c r="J1833" t="s">
        <v>47112</v>
      </c>
      <c r="K1833" t="s">
        <v>47113</v>
      </c>
      <c r="L1833">
        <v>17.850000000000001</v>
      </c>
      <c r="M1833">
        <v>44</v>
      </c>
      <c r="N1833">
        <v>0</v>
      </c>
      <c r="O1833">
        <v>44</v>
      </c>
      <c r="P1833">
        <v>0</v>
      </c>
    </row>
    <row r="1834" spans="1:16" x14ac:dyDescent="0.25">
      <c r="A1834" t="s">
        <v>14830</v>
      </c>
      <c r="B1834" t="s">
        <v>3098</v>
      </c>
      <c r="C1834" t="s">
        <v>3099</v>
      </c>
      <c r="D1834" t="str">
        <f>"6804"</f>
        <v>6804</v>
      </c>
      <c r="E1834" t="s">
        <v>3100</v>
      </c>
      <c r="F1834" t="s">
        <v>4</v>
      </c>
      <c r="G1834" t="s">
        <v>47081</v>
      </c>
      <c r="H1834" t="s">
        <v>47054</v>
      </c>
      <c r="I1834" t="s">
        <v>47116</v>
      </c>
      <c r="J1834" t="s">
        <v>47117</v>
      </c>
      <c r="K1834" t="s">
        <v>47113</v>
      </c>
      <c r="L1834">
        <v>28.03</v>
      </c>
      <c r="M1834">
        <v>68</v>
      </c>
      <c r="N1834">
        <v>0</v>
      </c>
      <c r="O1834">
        <v>68</v>
      </c>
      <c r="P1834">
        <v>0</v>
      </c>
    </row>
    <row r="1835" spans="1:16" x14ac:dyDescent="0.25">
      <c r="A1835" t="s">
        <v>24256</v>
      </c>
      <c r="B1835" t="s">
        <v>3101</v>
      </c>
      <c r="C1835" t="s">
        <v>3102</v>
      </c>
      <c r="D1835" t="s">
        <v>3103</v>
      </c>
      <c r="E1835" t="s">
        <v>3104</v>
      </c>
      <c r="F1835" t="s">
        <v>4</v>
      </c>
      <c r="G1835" t="s">
        <v>47081</v>
      </c>
      <c r="H1835" t="s">
        <v>47054</v>
      </c>
      <c r="I1835" t="s">
        <v>47116</v>
      </c>
      <c r="J1835" t="s">
        <v>47117</v>
      </c>
      <c r="K1835" t="s">
        <v>47113</v>
      </c>
      <c r="L1835">
        <v>19.41</v>
      </c>
      <c r="M1835">
        <v>47</v>
      </c>
      <c r="N1835">
        <v>0</v>
      </c>
      <c r="O1835">
        <v>47</v>
      </c>
      <c r="P1835">
        <v>0</v>
      </c>
    </row>
    <row r="1836" spans="1:16" x14ac:dyDescent="0.25">
      <c r="A1836" t="s">
        <v>14831</v>
      </c>
      <c r="B1836" t="s">
        <v>3105</v>
      </c>
      <c r="C1836" t="s">
        <v>3106</v>
      </c>
      <c r="D1836" t="str">
        <f>"1345"</f>
        <v>1345</v>
      </c>
      <c r="E1836" t="s">
        <v>3107</v>
      </c>
      <c r="F1836" t="s">
        <v>8</v>
      </c>
      <c r="G1836" t="s">
        <v>47083</v>
      </c>
      <c r="H1836" t="s">
        <v>47054</v>
      </c>
      <c r="I1836" t="s">
        <v>47120</v>
      </c>
      <c r="J1836" t="s">
        <v>47121</v>
      </c>
      <c r="K1836" t="s">
        <v>47113</v>
      </c>
      <c r="L1836">
        <v>22.85</v>
      </c>
      <c r="M1836">
        <v>60</v>
      </c>
      <c r="N1836">
        <v>0</v>
      </c>
      <c r="O1836">
        <v>60</v>
      </c>
      <c r="P1836">
        <v>0</v>
      </c>
    </row>
    <row r="1837" spans="1:16" x14ac:dyDescent="0.25">
      <c r="A1837" t="s">
        <v>24257</v>
      </c>
      <c r="B1837" t="s">
        <v>3108</v>
      </c>
      <c r="C1837" t="s">
        <v>3109</v>
      </c>
      <c r="D1837" t="str">
        <f>"4599"</f>
        <v>4599</v>
      </c>
      <c r="E1837" t="s">
        <v>3110</v>
      </c>
      <c r="F1837" t="s">
        <v>5</v>
      </c>
      <c r="G1837" t="s">
        <v>47081</v>
      </c>
      <c r="H1837" t="s">
        <v>47054</v>
      </c>
      <c r="I1837" t="s">
        <v>47120</v>
      </c>
      <c r="J1837" t="s">
        <v>47121</v>
      </c>
      <c r="K1837" t="s">
        <v>47113</v>
      </c>
      <c r="L1837">
        <v>21.15</v>
      </c>
      <c r="M1837">
        <v>53</v>
      </c>
      <c r="N1837">
        <v>0</v>
      </c>
      <c r="O1837">
        <v>53</v>
      </c>
      <c r="P1837">
        <v>0</v>
      </c>
    </row>
    <row r="1838" spans="1:16" x14ac:dyDescent="0.25">
      <c r="A1838" t="s">
        <v>24258</v>
      </c>
      <c r="B1838" t="s">
        <v>3111</v>
      </c>
      <c r="C1838" t="s">
        <v>3112</v>
      </c>
      <c r="D1838" t="str">
        <f>"4130"</f>
        <v>4130</v>
      </c>
      <c r="E1838" t="s">
        <v>2374</v>
      </c>
      <c r="F1838" t="s">
        <v>6</v>
      </c>
      <c r="G1838" t="s">
        <v>47084</v>
      </c>
      <c r="H1838" t="s">
        <v>47054</v>
      </c>
      <c r="I1838" t="s">
        <v>47114</v>
      </c>
      <c r="J1838" t="s">
        <v>47115</v>
      </c>
      <c r="K1838" t="s">
        <v>47113</v>
      </c>
      <c r="L1838">
        <v>20.97</v>
      </c>
      <c r="M1838">
        <v>52</v>
      </c>
      <c r="N1838">
        <v>0</v>
      </c>
      <c r="O1838">
        <v>52</v>
      </c>
      <c r="P1838">
        <v>0</v>
      </c>
    </row>
    <row r="1839" spans="1:16" x14ac:dyDescent="0.25">
      <c r="A1839" t="s">
        <v>24259</v>
      </c>
      <c r="B1839" t="s">
        <v>3113</v>
      </c>
      <c r="C1839" t="s">
        <v>3114</v>
      </c>
      <c r="D1839" t="s">
        <v>721</v>
      </c>
      <c r="E1839" t="s">
        <v>722</v>
      </c>
      <c r="F1839" t="s">
        <v>6</v>
      </c>
      <c r="G1839" t="s">
        <v>47081</v>
      </c>
      <c r="H1839" t="s">
        <v>47054</v>
      </c>
      <c r="I1839" t="s">
        <v>47116</v>
      </c>
      <c r="J1839" t="s">
        <v>47117</v>
      </c>
      <c r="K1839" t="s">
        <v>47113</v>
      </c>
      <c r="L1839">
        <v>12.05</v>
      </c>
      <c r="M1839">
        <v>30</v>
      </c>
      <c r="N1839">
        <v>0</v>
      </c>
      <c r="O1839">
        <v>30</v>
      </c>
      <c r="P1839">
        <v>0</v>
      </c>
    </row>
    <row r="1840" spans="1:16" x14ac:dyDescent="0.25">
      <c r="A1840" t="s">
        <v>24260</v>
      </c>
      <c r="B1840" t="s">
        <v>3115</v>
      </c>
      <c r="C1840" t="s">
        <v>3116</v>
      </c>
      <c r="D1840" t="s">
        <v>721</v>
      </c>
      <c r="E1840" t="s">
        <v>722</v>
      </c>
      <c r="F1840" t="s">
        <v>4</v>
      </c>
      <c r="G1840" t="s">
        <v>47081</v>
      </c>
      <c r="H1840" t="s">
        <v>47054</v>
      </c>
      <c r="I1840" t="s">
        <v>47116</v>
      </c>
      <c r="J1840" t="s">
        <v>47117</v>
      </c>
      <c r="K1840" t="s">
        <v>47113</v>
      </c>
      <c r="L1840">
        <v>13.63</v>
      </c>
      <c r="M1840">
        <v>33</v>
      </c>
      <c r="N1840">
        <v>0</v>
      </c>
      <c r="O1840">
        <v>33</v>
      </c>
      <c r="P1840">
        <v>0</v>
      </c>
    </row>
    <row r="1841" spans="1:16" x14ac:dyDescent="0.25">
      <c r="A1841" t="s">
        <v>14832</v>
      </c>
      <c r="B1841" t="s">
        <v>3117</v>
      </c>
      <c r="C1841" t="s">
        <v>3118</v>
      </c>
      <c r="D1841" t="str">
        <f>"23"</f>
        <v>23</v>
      </c>
      <c r="E1841" t="s">
        <v>3119</v>
      </c>
      <c r="F1841" t="s">
        <v>2</v>
      </c>
      <c r="G1841" t="s">
        <v>47081</v>
      </c>
      <c r="H1841" t="s">
        <v>47054</v>
      </c>
      <c r="I1841" t="s">
        <v>47116</v>
      </c>
      <c r="J1841" t="s">
        <v>47117</v>
      </c>
      <c r="K1841" t="s">
        <v>47113</v>
      </c>
      <c r="L1841">
        <v>12.31</v>
      </c>
      <c r="M1841">
        <v>31</v>
      </c>
      <c r="N1841">
        <v>0</v>
      </c>
      <c r="O1841">
        <v>31</v>
      </c>
      <c r="P1841">
        <v>0</v>
      </c>
    </row>
    <row r="1842" spans="1:16" x14ac:dyDescent="0.25">
      <c r="A1842" t="s">
        <v>24261</v>
      </c>
      <c r="B1842" t="s">
        <v>3120</v>
      </c>
      <c r="C1842" t="s">
        <v>3121</v>
      </c>
      <c r="D1842" t="s">
        <v>753</v>
      </c>
      <c r="E1842" t="s">
        <v>754</v>
      </c>
      <c r="F1842" t="s">
        <v>7</v>
      </c>
      <c r="G1842" t="s">
        <v>47145</v>
      </c>
      <c r="H1842" t="s">
        <v>47054</v>
      </c>
      <c r="I1842" t="s">
        <v>47116</v>
      </c>
      <c r="J1842" t="s">
        <v>47117</v>
      </c>
      <c r="K1842" t="s">
        <v>47113</v>
      </c>
      <c r="L1842">
        <v>28.84</v>
      </c>
      <c r="M1842">
        <v>73</v>
      </c>
      <c r="N1842">
        <v>0</v>
      </c>
      <c r="O1842">
        <v>73</v>
      </c>
      <c r="P1842">
        <v>0</v>
      </c>
    </row>
    <row r="1843" spans="1:16" x14ac:dyDescent="0.25">
      <c r="A1843" t="s">
        <v>24262</v>
      </c>
      <c r="B1843" t="s">
        <v>3122</v>
      </c>
      <c r="C1843" t="s">
        <v>3123</v>
      </c>
      <c r="D1843" t="str">
        <f>"1001"</f>
        <v>1001</v>
      </c>
      <c r="E1843" t="s">
        <v>42</v>
      </c>
      <c r="F1843" t="s">
        <v>1401</v>
      </c>
      <c r="G1843" t="s">
        <v>47083</v>
      </c>
      <c r="H1843" t="s">
        <v>47054</v>
      </c>
      <c r="I1843" t="s">
        <v>47116</v>
      </c>
      <c r="J1843" t="s">
        <v>47117</v>
      </c>
      <c r="K1843" t="s">
        <v>47113</v>
      </c>
      <c r="L1843">
        <v>26.56</v>
      </c>
      <c r="M1843">
        <v>54</v>
      </c>
      <c r="N1843">
        <v>0</v>
      </c>
      <c r="O1843">
        <v>54</v>
      </c>
      <c r="P1843">
        <v>0</v>
      </c>
    </row>
    <row r="1844" spans="1:16" x14ac:dyDescent="0.25">
      <c r="A1844" t="s">
        <v>24263</v>
      </c>
      <c r="B1844" t="s">
        <v>3124</v>
      </c>
      <c r="C1844" t="s">
        <v>3125</v>
      </c>
      <c r="D1844" t="str">
        <f>"1821"</f>
        <v>1821</v>
      </c>
      <c r="E1844" t="s">
        <v>590</v>
      </c>
      <c r="F1844" t="s">
        <v>4</v>
      </c>
      <c r="G1844" t="s">
        <v>47084</v>
      </c>
      <c r="H1844" t="s">
        <v>47054</v>
      </c>
      <c r="I1844" t="s">
        <v>47111</v>
      </c>
      <c r="J1844" t="s">
        <v>47112</v>
      </c>
      <c r="K1844" t="s">
        <v>47113</v>
      </c>
      <c r="L1844">
        <v>7.35</v>
      </c>
      <c r="M1844">
        <v>18</v>
      </c>
      <c r="N1844">
        <v>0</v>
      </c>
      <c r="O1844">
        <v>18</v>
      </c>
      <c r="P1844">
        <v>0</v>
      </c>
    </row>
    <row r="1845" spans="1:16" x14ac:dyDescent="0.25">
      <c r="A1845" t="s">
        <v>24264</v>
      </c>
      <c r="B1845" t="s">
        <v>3126</v>
      </c>
      <c r="C1845" t="s">
        <v>2673</v>
      </c>
      <c r="D1845" t="str">
        <f>"1821"</f>
        <v>1821</v>
      </c>
      <c r="E1845" t="s">
        <v>590</v>
      </c>
      <c r="F1845" t="s">
        <v>4</v>
      </c>
      <c r="G1845" t="s">
        <v>47087</v>
      </c>
      <c r="H1845" t="s">
        <v>47054</v>
      </c>
      <c r="I1845" t="s">
        <v>47111</v>
      </c>
      <c r="J1845" t="s">
        <v>47112</v>
      </c>
      <c r="K1845" t="s">
        <v>47113</v>
      </c>
      <c r="L1845">
        <v>8.1199999999999992</v>
      </c>
      <c r="M1845">
        <v>20</v>
      </c>
      <c r="N1845">
        <v>0</v>
      </c>
      <c r="O1845">
        <v>20</v>
      </c>
      <c r="P1845">
        <v>0</v>
      </c>
    </row>
    <row r="1846" spans="1:16" x14ac:dyDescent="0.25">
      <c r="A1846" t="s">
        <v>24265</v>
      </c>
      <c r="B1846" t="s">
        <v>3127</v>
      </c>
      <c r="C1846" t="s">
        <v>3128</v>
      </c>
      <c r="D1846" t="str">
        <f>"1821"</f>
        <v>1821</v>
      </c>
      <c r="E1846" t="s">
        <v>590</v>
      </c>
      <c r="F1846" t="s">
        <v>4</v>
      </c>
      <c r="G1846" t="s">
        <v>47087</v>
      </c>
      <c r="H1846" t="s">
        <v>47054</v>
      </c>
      <c r="I1846" t="s">
        <v>47111</v>
      </c>
      <c r="J1846" t="s">
        <v>47112</v>
      </c>
      <c r="K1846" t="s">
        <v>47113</v>
      </c>
      <c r="L1846">
        <v>8.08</v>
      </c>
      <c r="M1846">
        <v>20</v>
      </c>
      <c r="N1846">
        <v>0</v>
      </c>
      <c r="O1846">
        <v>20</v>
      </c>
      <c r="P1846">
        <v>0</v>
      </c>
    </row>
    <row r="1847" spans="1:16" x14ac:dyDescent="0.25">
      <c r="A1847" t="s">
        <v>24266</v>
      </c>
      <c r="B1847" t="s">
        <v>3129</v>
      </c>
      <c r="C1847" t="s">
        <v>2677</v>
      </c>
      <c r="D1847" t="str">
        <f>"1746"</f>
        <v>1746</v>
      </c>
      <c r="E1847" t="s">
        <v>807</v>
      </c>
      <c r="F1847" t="s">
        <v>1</v>
      </c>
      <c r="G1847" t="s">
        <v>47087</v>
      </c>
      <c r="H1847" t="s">
        <v>47054</v>
      </c>
      <c r="I1847" t="s">
        <v>47111</v>
      </c>
      <c r="J1847" t="s">
        <v>47112</v>
      </c>
      <c r="K1847" t="s">
        <v>47113</v>
      </c>
      <c r="L1847">
        <v>7.9</v>
      </c>
      <c r="M1847">
        <v>19</v>
      </c>
      <c r="N1847">
        <v>0</v>
      </c>
      <c r="O1847">
        <v>19</v>
      </c>
      <c r="P1847">
        <v>0</v>
      </c>
    </row>
    <row r="1848" spans="1:16" x14ac:dyDescent="0.25">
      <c r="A1848" t="s">
        <v>24267</v>
      </c>
      <c r="B1848" t="s">
        <v>3130</v>
      </c>
      <c r="C1848" t="s">
        <v>3131</v>
      </c>
      <c r="D1848" t="str">
        <f>"1746"</f>
        <v>1746</v>
      </c>
      <c r="E1848" t="s">
        <v>807</v>
      </c>
      <c r="F1848" t="s">
        <v>0</v>
      </c>
      <c r="G1848" t="s">
        <v>47084</v>
      </c>
      <c r="H1848" t="s">
        <v>47054</v>
      </c>
      <c r="I1848" t="s">
        <v>47111</v>
      </c>
      <c r="J1848" t="s">
        <v>47112</v>
      </c>
      <c r="K1848" t="s">
        <v>47113</v>
      </c>
      <c r="L1848">
        <v>8.84</v>
      </c>
      <c r="M1848">
        <v>22</v>
      </c>
      <c r="N1848">
        <v>0</v>
      </c>
      <c r="O1848">
        <v>22</v>
      </c>
      <c r="P1848">
        <v>0</v>
      </c>
    </row>
    <row r="1849" spans="1:16" x14ac:dyDescent="0.25">
      <c r="A1849" t="s">
        <v>24268</v>
      </c>
      <c r="B1849" t="s">
        <v>3132</v>
      </c>
      <c r="C1849" t="s">
        <v>3133</v>
      </c>
      <c r="D1849" t="str">
        <f>"1821"</f>
        <v>1821</v>
      </c>
      <c r="E1849" t="s">
        <v>590</v>
      </c>
      <c r="F1849" t="s">
        <v>1</v>
      </c>
      <c r="G1849" t="s">
        <v>47087</v>
      </c>
      <c r="H1849" t="s">
        <v>47054</v>
      </c>
      <c r="I1849" t="s">
        <v>47111</v>
      </c>
      <c r="J1849" t="s">
        <v>47112</v>
      </c>
      <c r="K1849" t="s">
        <v>47113</v>
      </c>
      <c r="L1849">
        <v>7.92</v>
      </c>
      <c r="M1849">
        <v>19</v>
      </c>
      <c r="N1849">
        <v>0</v>
      </c>
      <c r="O1849">
        <v>19</v>
      </c>
      <c r="P1849">
        <v>0</v>
      </c>
    </row>
    <row r="1850" spans="1:16" x14ac:dyDescent="0.25">
      <c r="A1850" t="s">
        <v>24269</v>
      </c>
      <c r="B1850" t="s">
        <v>3134</v>
      </c>
      <c r="C1850" t="s">
        <v>3135</v>
      </c>
      <c r="D1850" t="str">
        <f>"1746"</f>
        <v>1746</v>
      </c>
      <c r="E1850" t="s">
        <v>807</v>
      </c>
      <c r="F1850" t="s">
        <v>0</v>
      </c>
      <c r="G1850" t="s">
        <v>47084</v>
      </c>
      <c r="H1850" t="s">
        <v>47054</v>
      </c>
      <c r="I1850" t="s">
        <v>47111</v>
      </c>
      <c r="J1850" t="s">
        <v>47112</v>
      </c>
      <c r="K1850" t="s">
        <v>47113</v>
      </c>
      <c r="L1850">
        <v>9.68</v>
      </c>
      <c r="M1850">
        <v>23</v>
      </c>
      <c r="N1850">
        <v>0</v>
      </c>
      <c r="O1850">
        <v>23</v>
      </c>
      <c r="P1850">
        <v>0</v>
      </c>
    </row>
    <row r="1851" spans="1:16" x14ac:dyDescent="0.25">
      <c r="A1851" t="s">
        <v>24270</v>
      </c>
      <c r="B1851" t="s">
        <v>3136</v>
      </c>
      <c r="C1851" t="s">
        <v>3137</v>
      </c>
      <c r="D1851" t="str">
        <f>"1001"</f>
        <v>1001</v>
      </c>
      <c r="E1851" t="s">
        <v>3138</v>
      </c>
      <c r="F1851" t="s">
        <v>4</v>
      </c>
      <c r="G1851" t="s">
        <v>47087</v>
      </c>
      <c r="H1851" t="s">
        <v>47054</v>
      </c>
      <c r="I1851" t="s">
        <v>47111</v>
      </c>
      <c r="J1851" t="s">
        <v>47112</v>
      </c>
      <c r="K1851" t="s">
        <v>47113</v>
      </c>
      <c r="L1851">
        <v>9.11</v>
      </c>
      <c r="M1851">
        <v>22</v>
      </c>
      <c r="N1851">
        <v>0</v>
      </c>
      <c r="O1851">
        <v>22</v>
      </c>
      <c r="P1851">
        <v>0</v>
      </c>
    </row>
    <row r="1852" spans="1:16" x14ac:dyDescent="0.25">
      <c r="A1852" t="s">
        <v>24271</v>
      </c>
      <c r="B1852" t="s">
        <v>3136</v>
      </c>
      <c r="C1852" t="s">
        <v>3137</v>
      </c>
      <c r="D1852" t="str">
        <f>"1746"</f>
        <v>1746</v>
      </c>
      <c r="E1852" t="s">
        <v>807</v>
      </c>
      <c r="F1852" t="s">
        <v>4</v>
      </c>
      <c r="G1852" t="s">
        <v>47087</v>
      </c>
      <c r="H1852" t="s">
        <v>47054</v>
      </c>
      <c r="I1852" t="s">
        <v>47111</v>
      </c>
      <c r="J1852" t="s">
        <v>47112</v>
      </c>
      <c r="K1852" t="s">
        <v>47113</v>
      </c>
      <c r="L1852">
        <v>9.11</v>
      </c>
      <c r="M1852">
        <v>22</v>
      </c>
      <c r="N1852">
        <v>0</v>
      </c>
      <c r="O1852">
        <v>22</v>
      </c>
      <c r="P1852">
        <v>0</v>
      </c>
    </row>
    <row r="1853" spans="1:16" x14ac:dyDescent="0.25">
      <c r="A1853" t="s">
        <v>24272</v>
      </c>
      <c r="B1853" t="s">
        <v>3136</v>
      </c>
      <c r="C1853" t="s">
        <v>3137</v>
      </c>
      <c r="D1853" t="str">
        <f>"4701"</f>
        <v>4701</v>
      </c>
      <c r="E1853" t="s">
        <v>3139</v>
      </c>
      <c r="F1853" t="s">
        <v>4</v>
      </c>
      <c r="G1853" t="s">
        <v>47087</v>
      </c>
      <c r="H1853" t="s">
        <v>47054</v>
      </c>
      <c r="I1853" t="s">
        <v>47111</v>
      </c>
      <c r="J1853" t="s">
        <v>47112</v>
      </c>
      <c r="K1853" t="s">
        <v>47113</v>
      </c>
      <c r="L1853">
        <v>9.11</v>
      </c>
      <c r="M1853">
        <v>22</v>
      </c>
      <c r="N1853">
        <v>0</v>
      </c>
      <c r="O1853">
        <v>22</v>
      </c>
      <c r="P1853">
        <v>0</v>
      </c>
    </row>
    <row r="1854" spans="1:16" x14ac:dyDescent="0.25">
      <c r="A1854" t="s">
        <v>24273</v>
      </c>
      <c r="B1854" t="s">
        <v>3140</v>
      </c>
      <c r="C1854" t="s">
        <v>3141</v>
      </c>
      <c r="D1854" t="str">
        <f>"1746"</f>
        <v>1746</v>
      </c>
      <c r="E1854" t="s">
        <v>807</v>
      </c>
      <c r="F1854" t="s">
        <v>0</v>
      </c>
      <c r="G1854" t="s">
        <v>47087</v>
      </c>
      <c r="H1854" t="s">
        <v>47054</v>
      </c>
      <c r="I1854" t="s">
        <v>47111</v>
      </c>
      <c r="J1854" t="s">
        <v>47112</v>
      </c>
      <c r="K1854" t="s">
        <v>47113</v>
      </c>
      <c r="L1854">
        <v>8.8699999999999992</v>
      </c>
      <c r="M1854">
        <v>22</v>
      </c>
      <c r="N1854">
        <v>0</v>
      </c>
      <c r="O1854">
        <v>22</v>
      </c>
      <c r="P1854">
        <v>0</v>
      </c>
    </row>
    <row r="1855" spans="1:16" x14ac:dyDescent="0.25">
      <c r="A1855" t="s">
        <v>24274</v>
      </c>
      <c r="B1855" t="s">
        <v>3142</v>
      </c>
      <c r="C1855" t="s">
        <v>3143</v>
      </c>
      <c r="D1855" t="str">
        <f>"1001"</f>
        <v>1001</v>
      </c>
      <c r="E1855" t="s">
        <v>3138</v>
      </c>
      <c r="F1855" t="s">
        <v>4</v>
      </c>
      <c r="G1855" t="s">
        <v>47087</v>
      </c>
      <c r="H1855" t="s">
        <v>47054</v>
      </c>
      <c r="I1855" t="s">
        <v>47111</v>
      </c>
      <c r="J1855" t="s">
        <v>47112</v>
      </c>
      <c r="K1855" t="s">
        <v>47113</v>
      </c>
      <c r="L1855">
        <v>10.55</v>
      </c>
      <c r="M1855">
        <v>26</v>
      </c>
      <c r="N1855">
        <v>0</v>
      </c>
      <c r="O1855">
        <v>26</v>
      </c>
      <c r="P1855">
        <v>0</v>
      </c>
    </row>
    <row r="1856" spans="1:16" x14ac:dyDescent="0.25">
      <c r="A1856" t="s">
        <v>24275</v>
      </c>
      <c r="B1856" t="s">
        <v>3142</v>
      </c>
      <c r="C1856" t="s">
        <v>3143</v>
      </c>
      <c r="D1856" t="str">
        <f>"1746"</f>
        <v>1746</v>
      </c>
      <c r="E1856" t="s">
        <v>807</v>
      </c>
      <c r="F1856" t="s">
        <v>4</v>
      </c>
      <c r="G1856" t="s">
        <v>47087</v>
      </c>
      <c r="H1856" t="s">
        <v>47054</v>
      </c>
      <c r="I1856" t="s">
        <v>47111</v>
      </c>
      <c r="J1856" t="s">
        <v>47112</v>
      </c>
      <c r="K1856" t="s">
        <v>47113</v>
      </c>
      <c r="L1856">
        <v>10.55</v>
      </c>
      <c r="M1856">
        <v>26</v>
      </c>
      <c r="N1856">
        <v>0</v>
      </c>
      <c r="O1856">
        <v>26</v>
      </c>
      <c r="P1856">
        <v>0</v>
      </c>
    </row>
    <row r="1857" spans="1:16" x14ac:dyDescent="0.25">
      <c r="A1857" t="s">
        <v>24276</v>
      </c>
      <c r="B1857" t="s">
        <v>3142</v>
      </c>
      <c r="C1857" t="s">
        <v>3143</v>
      </c>
      <c r="D1857" t="str">
        <f>"6392"</f>
        <v>6392</v>
      </c>
      <c r="E1857" t="s">
        <v>3144</v>
      </c>
      <c r="F1857" t="s">
        <v>4</v>
      </c>
      <c r="G1857" t="s">
        <v>47087</v>
      </c>
      <c r="H1857" t="s">
        <v>47054</v>
      </c>
      <c r="I1857" t="s">
        <v>47111</v>
      </c>
      <c r="J1857" t="s">
        <v>47112</v>
      </c>
      <c r="K1857" t="s">
        <v>47113</v>
      </c>
      <c r="L1857">
        <v>10.55</v>
      </c>
      <c r="M1857">
        <v>26</v>
      </c>
      <c r="N1857">
        <v>0</v>
      </c>
      <c r="O1857">
        <v>26</v>
      </c>
      <c r="P1857">
        <v>0</v>
      </c>
    </row>
    <row r="1858" spans="1:16" x14ac:dyDescent="0.25">
      <c r="A1858" t="s">
        <v>24277</v>
      </c>
      <c r="B1858" t="s">
        <v>3145</v>
      </c>
      <c r="C1858" t="s">
        <v>3146</v>
      </c>
      <c r="D1858" t="str">
        <f>"1001"</f>
        <v>1001</v>
      </c>
      <c r="E1858" t="s">
        <v>3138</v>
      </c>
      <c r="F1858" t="s">
        <v>4</v>
      </c>
      <c r="G1858" t="s">
        <v>47087</v>
      </c>
      <c r="H1858" t="s">
        <v>47054</v>
      </c>
      <c r="I1858" t="s">
        <v>47111</v>
      </c>
      <c r="J1858" t="s">
        <v>47112</v>
      </c>
      <c r="K1858" t="s">
        <v>47113</v>
      </c>
      <c r="L1858">
        <v>9.68</v>
      </c>
      <c r="M1858">
        <v>24</v>
      </c>
      <c r="N1858">
        <v>0</v>
      </c>
      <c r="O1858">
        <v>24</v>
      </c>
      <c r="P1858">
        <v>0</v>
      </c>
    </row>
    <row r="1859" spans="1:16" x14ac:dyDescent="0.25">
      <c r="A1859" t="s">
        <v>24278</v>
      </c>
      <c r="B1859" t="s">
        <v>3145</v>
      </c>
      <c r="C1859" t="s">
        <v>3146</v>
      </c>
      <c r="D1859" t="str">
        <f>"1746"</f>
        <v>1746</v>
      </c>
      <c r="E1859" t="s">
        <v>807</v>
      </c>
      <c r="F1859" t="s">
        <v>4</v>
      </c>
      <c r="G1859" t="s">
        <v>47087</v>
      </c>
      <c r="H1859" t="s">
        <v>47054</v>
      </c>
      <c r="I1859" t="s">
        <v>47111</v>
      </c>
      <c r="J1859" t="s">
        <v>47112</v>
      </c>
      <c r="K1859" t="s">
        <v>47113</v>
      </c>
      <c r="L1859">
        <v>9.68</v>
      </c>
      <c r="M1859">
        <v>24</v>
      </c>
      <c r="N1859">
        <v>0</v>
      </c>
      <c r="O1859">
        <v>24</v>
      </c>
      <c r="P1859">
        <v>0</v>
      </c>
    </row>
    <row r="1860" spans="1:16" x14ac:dyDescent="0.25">
      <c r="A1860" t="s">
        <v>24279</v>
      </c>
      <c r="B1860" t="s">
        <v>3145</v>
      </c>
      <c r="C1860" t="s">
        <v>3146</v>
      </c>
      <c r="D1860" t="str">
        <f>"6635"</f>
        <v>6635</v>
      </c>
      <c r="E1860" t="s">
        <v>3147</v>
      </c>
      <c r="F1860" t="s">
        <v>4</v>
      </c>
      <c r="G1860" t="s">
        <v>47087</v>
      </c>
      <c r="H1860" t="s">
        <v>47054</v>
      </c>
      <c r="I1860" t="s">
        <v>47111</v>
      </c>
      <c r="J1860" t="s">
        <v>47112</v>
      </c>
      <c r="K1860" t="s">
        <v>47113</v>
      </c>
      <c r="L1860">
        <v>9.68</v>
      </c>
      <c r="M1860">
        <v>24</v>
      </c>
      <c r="N1860">
        <v>0</v>
      </c>
      <c r="O1860">
        <v>24</v>
      </c>
      <c r="P1860">
        <v>0</v>
      </c>
    </row>
    <row r="1861" spans="1:16" x14ac:dyDescent="0.25">
      <c r="A1861" t="s">
        <v>24280</v>
      </c>
      <c r="B1861" t="s">
        <v>3148</v>
      </c>
      <c r="C1861" t="s">
        <v>3149</v>
      </c>
      <c r="D1861" t="str">
        <f>"1001"</f>
        <v>1001</v>
      </c>
      <c r="E1861" t="s">
        <v>3138</v>
      </c>
      <c r="F1861" t="s">
        <v>4</v>
      </c>
      <c r="G1861" t="s">
        <v>47087</v>
      </c>
      <c r="H1861" t="s">
        <v>47054</v>
      </c>
      <c r="I1861" t="s">
        <v>47111</v>
      </c>
      <c r="J1861" t="s">
        <v>47112</v>
      </c>
      <c r="K1861" t="s">
        <v>47113</v>
      </c>
      <c r="L1861">
        <v>11.12</v>
      </c>
      <c r="M1861">
        <v>27</v>
      </c>
      <c r="N1861">
        <v>0</v>
      </c>
      <c r="O1861">
        <v>27</v>
      </c>
      <c r="P1861">
        <v>0</v>
      </c>
    </row>
    <row r="1862" spans="1:16" x14ac:dyDescent="0.25">
      <c r="A1862" t="s">
        <v>24281</v>
      </c>
      <c r="B1862" t="s">
        <v>3148</v>
      </c>
      <c r="C1862" t="s">
        <v>3149</v>
      </c>
      <c r="D1862" t="str">
        <f>"1298"</f>
        <v>1298</v>
      </c>
      <c r="E1862" t="s">
        <v>3150</v>
      </c>
      <c r="F1862" t="s">
        <v>4</v>
      </c>
      <c r="G1862" t="s">
        <v>47087</v>
      </c>
      <c r="H1862" t="s">
        <v>47054</v>
      </c>
      <c r="I1862" t="s">
        <v>47111</v>
      </c>
      <c r="J1862" t="s">
        <v>47112</v>
      </c>
      <c r="K1862" t="s">
        <v>47113</v>
      </c>
      <c r="L1862">
        <v>11.12</v>
      </c>
      <c r="M1862">
        <v>27</v>
      </c>
      <c r="N1862">
        <v>0</v>
      </c>
      <c r="O1862">
        <v>27</v>
      </c>
      <c r="P1862">
        <v>0</v>
      </c>
    </row>
    <row r="1863" spans="1:16" x14ac:dyDescent="0.25">
      <c r="A1863" t="s">
        <v>24282</v>
      </c>
      <c r="B1863" t="s">
        <v>3148</v>
      </c>
      <c r="C1863" t="s">
        <v>3149</v>
      </c>
      <c r="D1863" t="str">
        <f>"2546"</f>
        <v>2546</v>
      </c>
      <c r="E1863" t="s">
        <v>3151</v>
      </c>
      <c r="F1863" t="s">
        <v>4</v>
      </c>
      <c r="G1863" t="s">
        <v>47087</v>
      </c>
      <c r="H1863" t="s">
        <v>47054</v>
      </c>
      <c r="I1863" t="s">
        <v>47111</v>
      </c>
      <c r="J1863" t="s">
        <v>47112</v>
      </c>
      <c r="K1863" t="s">
        <v>47113</v>
      </c>
      <c r="L1863">
        <v>11.12</v>
      </c>
      <c r="M1863">
        <v>27</v>
      </c>
      <c r="N1863">
        <v>0</v>
      </c>
      <c r="O1863">
        <v>27</v>
      </c>
      <c r="P1863">
        <v>0</v>
      </c>
    </row>
    <row r="1864" spans="1:16" x14ac:dyDescent="0.25">
      <c r="A1864" t="s">
        <v>24283</v>
      </c>
      <c r="B1864" t="s">
        <v>3148</v>
      </c>
      <c r="C1864" t="s">
        <v>3149</v>
      </c>
      <c r="D1864" t="str">
        <f>"3459"</f>
        <v>3459</v>
      </c>
      <c r="E1864" t="s">
        <v>3152</v>
      </c>
      <c r="F1864" t="s">
        <v>4</v>
      </c>
      <c r="G1864" t="s">
        <v>47087</v>
      </c>
      <c r="H1864" t="s">
        <v>47054</v>
      </c>
      <c r="I1864" t="s">
        <v>47111</v>
      </c>
      <c r="J1864" t="s">
        <v>47112</v>
      </c>
      <c r="K1864" t="s">
        <v>47113</v>
      </c>
      <c r="L1864">
        <v>11.12</v>
      </c>
      <c r="M1864">
        <v>27</v>
      </c>
      <c r="N1864">
        <v>0</v>
      </c>
      <c r="O1864">
        <v>27</v>
      </c>
      <c r="P1864">
        <v>0</v>
      </c>
    </row>
    <row r="1865" spans="1:16" x14ac:dyDescent="0.25">
      <c r="A1865" t="s">
        <v>24284</v>
      </c>
      <c r="B1865" t="s">
        <v>3148</v>
      </c>
      <c r="C1865" t="s">
        <v>3149</v>
      </c>
      <c r="D1865" t="str">
        <f>"6635"</f>
        <v>6635</v>
      </c>
      <c r="E1865" t="s">
        <v>3147</v>
      </c>
      <c r="F1865" t="s">
        <v>4</v>
      </c>
      <c r="G1865" t="s">
        <v>47087</v>
      </c>
      <c r="H1865" t="s">
        <v>47054</v>
      </c>
      <c r="I1865" t="s">
        <v>47111</v>
      </c>
      <c r="J1865" t="s">
        <v>47112</v>
      </c>
      <c r="K1865" t="s">
        <v>47113</v>
      </c>
      <c r="L1865">
        <v>11.12</v>
      </c>
      <c r="M1865">
        <v>27</v>
      </c>
      <c r="N1865">
        <v>0</v>
      </c>
      <c r="O1865">
        <v>27</v>
      </c>
      <c r="P1865">
        <v>0</v>
      </c>
    </row>
    <row r="1866" spans="1:16" x14ac:dyDescent="0.25">
      <c r="A1866" t="s">
        <v>24285</v>
      </c>
      <c r="B1866" t="s">
        <v>3153</v>
      </c>
      <c r="C1866" t="s">
        <v>3154</v>
      </c>
      <c r="D1866" t="str">
        <f>"4705"</f>
        <v>4705</v>
      </c>
      <c r="E1866" t="s">
        <v>3155</v>
      </c>
      <c r="F1866" t="s">
        <v>0</v>
      </c>
      <c r="G1866" t="s">
        <v>47087</v>
      </c>
      <c r="H1866" t="s">
        <v>47054</v>
      </c>
      <c r="I1866" t="s">
        <v>47111</v>
      </c>
      <c r="J1866" t="s">
        <v>47112</v>
      </c>
      <c r="K1866" t="s">
        <v>47113</v>
      </c>
      <c r="L1866">
        <v>9.1</v>
      </c>
      <c r="M1866">
        <v>22</v>
      </c>
      <c r="N1866">
        <v>0</v>
      </c>
      <c r="O1866">
        <v>22</v>
      </c>
      <c r="P1866">
        <v>0</v>
      </c>
    </row>
    <row r="1867" spans="1:16" x14ac:dyDescent="0.25">
      <c r="A1867" t="s">
        <v>24286</v>
      </c>
      <c r="B1867" t="s">
        <v>3156</v>
      </c>
      <c r="C1867" t="s">
        <v>3157</v>
      </c>
      <c r="D1867" t="str">
        <f>"7284"</f>
        <v>7284</v>
      </c>
      <c r="E1867" t="s">
        <v>3158</v>
      </c>
      <c r="F1867" t="s">
        <v>0</v>
      </c>
      <c r="G1867" t="s">
        <v>47087</v>
      </c>
      <c r="H1867" t="s">
        <v>47054</v>
      </c>
      <c r="I1867" t="s">
        <v>47111</v>
      </c>
      <c r="J1867" t="s">
        <v>47112</v>
      </c>
      <c r="K1867" t="s">
        <v>47113</v>
      </c>
      <c r="L1867">
        <v>10.15</v>
      </c>
      <c r="M1867">
        <v>25</v>
      </c>
      <c r="N1867">
        <v>0</v>
      </c>
      <c r="O1867">
        <v>25</v>
      </c>
      <c r="P1867">
        <v>0</v>
      </c>
    </row>
    <row r="1868" spans="1:16" x14ac:dyDescent="0.25">
      <c r="A1868" t="s">
        <v>24287</v>
      </c>
      <c r="B1868" t="s">
        <v>3159</v>
      </c>
      <c r="C1868" t="s">
        <v>3160</v>
      </c>
      <c r="D1868" t="str">
        <f>"6399"</f>
        <v>6399</v>
      </c>
      <c r="E1868" t="s">
        <v>3161</v>
      </c>
      <c r="F1868" t="s">
        <v>0</v>
      </c>
      <c r="G1868" t="s">
        <v>47087</v>
      </c>
      <c r="H1868" t="s">
        <v>47054</v>
      </c>
      <c r="I1868" t="s">
        <v>47111</v>
      </c>
      <c r="J1868" t="s">
        <v>47112</v>
      </c>
      <c r="K1868" t="s">
        <v>47113</v>
      </c>
      <c r="L1868">
        <v>10.38</v>
      </c>
      <c r="M1868">
        <v>25</v>
      </c>
      <c r="N1868">
        <v>0</v>
      </c>
      <c r="O1868">
        <v>25</v>
      </c>
      <c r="P1868">
        <v>0</v>
      </c>
    </row>
    <row r="1869" spans="1:16" x14ac:dyDescent="0.25">
      <c r="A1869" t="s">
        <v>24288</v>
      </c>
      <c r="B1869" t="s">
        <v>3162</v>
      </c>
      <c r="C1869" t="s">
        <v>3163</v>
      </c>
      <c r="D1869" t="str">
        <f>"6622"</f>
        <v>6622</v>
      </c>
      <c r="E1869" t="s">
        <v>3164</v>
      </c>
      <c r="F1869" t="s">
        <v>7</v>
      </c>
      <c r="G1869" t="s">
        <v>47087</v>
      </c>
      <c r="H1869" t="s">
        <v>47054</v>
      </c>
      <c r="I1869" t="s">
        <v>47114</v>
      </c>
      <c r="J1869" t="s">
        <v>47115</v>
      </c>
      <c r="K1869" t="s">
        <v>47113</v>
      </c>
      <c r="L1869">
        <v>14.04</v>
      </c>
      <c r="M1869">
        <v>26</v>
      </c>
      <c r="N1869">
        <v>0</v>
      </c>
      <c r="O1869">
        <v>26</v>
      </c>
      <c r="P1869">
        <v>0</v>
      </c>
    </row>
    <row r="1870" spans="1:16" x14ac:dyDescent="0.25">
      <c r="A1870" t="s">
        <v>24289</v>
      </c>
      <c r="B1870" t="s">
        <v>3165</v>
      </c>
      <c r="C1870" t="s">
        <v>3166</v>
      </c>
      <c r="D1870" t="str">
        <f>"1746"</f>
        <v>1746</v>
      </c>
      <c r="E1870" t="s">
        <v>807</v>
      </c>
      <c r="F1870" t="s">
        <v>4</v>
      </c>
      <c r="G1870" t="s">
        <v>47084</v>
      </c>
      <c r="H1870" t="s">
        <v>47054</v>
      </c>
      <c r="I1870" t="s">
        <v>47111</v>
      </c>
      <c r="J1870" t="s">
        <v>47112</v>
      </c>
      <c r="K1870" t="s">
        <v>47113</v>
      </c>
      <c r="L1870">
        <v>13.39</v>
      </c>
      <c r="M1870">
        <v>33</v>
      </c>
      <c r="N1870">
        <v>0</v>
      </c>
      <c r="O1870">
        <v>33</v>
      </c>
      <c r="P1870">
        <v>0</v>
      </c>
    </row>
    <row r="1871" spans="1:16" x14ac:dyDescent="0.25">
      <c r="A1871" t="s">
        <v>24290</v>
      </c>
      <c r="B1871" t="s">
        <v>3165</v>
      </c>
      <c r="C1871" t="s">
        <v>3166</v>
      </c>
      <c r="D1871" t="str">
        <f>"3459"</f>
        <v>3459</v>
      </c>
      <c r="E1871" t="s">
        <v>3152</v>
      </c>
      <c r="F1871" t="s">
        <v>4</v>
      </c>
      <c r="G1871" t="s">
        <v>47084</v>
      </c>
      <c r="H1871" t="s">
        <v>47054</v>
      </c>
      <c r="I1871" t="s">
        <v>47111</v>
      </c>
      <c r="J1871" t="s">
        <v>47112</v>
      </c>
      <c r="K1871" t="s">
        <v>47113</v>
      </c>
      <c r="L1871">
        <v>13.39</v>
      </c>
      <c r="M1871">
        <v>33</v>
      </c>
      <c r="N1871">
        <v>0</v>
      </c>
      <c r="O1871">
        <v>33</v>
      </c>
      <c r="P1871">
        <v>0</v>
      </c>
    </row>
    <row r="1872" spans="1:16" x14ac:dyDescent="0.25">
      <c r="A1872" t="s">
        <v>24291</v>
      </c>
      <c r="B1872" t="s">
        <v>3165</v>
      </c>
      <c r="C1872" t="s">
        <v>3166</v>
      </c>
      <c r="D1872" t="str">
        <f>"6392"</f>
        <v>6392</v>
      </c>
      <c r="E1872" t="s">
        <v>3144</v>
      </c>
      <c r="F1872" t="s">
        <v>4</v>
      </c>
      <c r="G1872" t="s">
        <v>47084</v>
      </c>
      <c r="H1872" t="s">
        <v>47054</v>
      </c>
      <c r="I1872" t="s">
        <v>47111</v>
      </c>
      <c r="J1872" t="s">
        <v>47112</v>
      </c>
      <c r="K1872" t="s">
        <v>47113</v>
      </c>
      <c r="L1872">
        <v>13.39</v>
      </c>
      <c r="M1872">
        <v>33</v>
      </c>
      <c r="N1872">
        <v>0</v>
      </c>
      <c r="O1872">
        <v>33</v>
      </c>
      <c r="P1872">
        <v>0</v>
      </c>
    </row>
    <row r="1873" spans="1:16" x14ac:dyDescent="0.25">
      <c r="A1873" t="s">
        <v>24292</v>
      </c>
      <c r="B1873" t="s">
        <v>3165</v>
      </c>
      <c r="C1873" t="s">
        <v>3166</v>
      </c>
      <c r="D1873" t="str">
        <f>"6861"</f>
        <v>6861</v>
      </c>
      <c r="E1873" t="s">
        <v>3167</v>
      </c>
      <c r="F1873" t="s">
        <v>4</v>
      </c>
      <c r="G1873" t="s">
        <v>47084</v>
      </c>
      <c r="H1873" t="s">
        <v>47054</v>
      </c>
      <c r="I1873" t="s">
        <v>47111</v>
      </c>
      <c r="J1873" t="s">
        <v>47112</v>
      </c>
      <c r="K1873" t="s">
        <v>47113</v>
      </c>
      <c r="L1873">
        <v>13.39</v>
      </c>
      <c r="M1873">
        <v>33</v>
      </c>
      <c r="N1873">
        <v>0</v>
      </c>
      <c r="O1873">
        <v>33</v>
      </c>
      <c r="P1873">
        <v>0</v>
      </c>
    </row>
    <row r="1874" spans="1:16" x14ac:dyDescent="0.25">
      <c r="A1874" t="s">
        <v>24293</v>
      </c>
      <c r="B1874" t="s">
        <v>3168</v>
      </c>
      <c r="C1874" t="s">
        <v>3169</v>
      </c>
      <c r="D1874" t="str">
        <f>"8405"</f>
        <v>8405</v>
      </c>
      <c r="E1874" t="s">
        <v>2721</v>
      </c>
      <c r="F1874" t="s">
        <v>1</v>
      </c>
      <c r="G1874" t="s">
        <v>47087</v>
      </c>
      <c r="H1874" t="s">
        <v>47054</v>
      </c>
      <c r="I1874" t="s">
        <v>47111</v>
      </c>
      <c r="J1874" t="s">
        <v>47112</v>
      </c>
      <c r="K1874" t="s">
        <v>47113</v>
      </c>
      <c r="L1874">
        <v>8.17</v>
      </c>
      <c r="M1874">
        <v>20</v>
      </c>
      <c r="N1874">
        <v>0</v>
      </c>
      <c r="O1874">
        <v>20</v>
      </c>
      <c r="P1874">
        <v>0</v>
      </c>
    </row>
    <row r="1875" spans="1:16" x14ac:dyDescent="0.25">
      <c r="A1875" t="s">
        <v>24294</v>
      </c>
      <c r="B1875" t="s">
        <v>3170</v>
      </c>
      <c r="C1875" t="s">
        <v>3171</v>
      </c>
      <c r="D1875" t="str">
        <f>"1821"</f>
        <v>1821</v>
      </c>
      <c r="E1875" t="s">
        <v>590</v>
      </c>
      <c r="F1875" t="s">
        <v>1</v>
      </c>
      <c r="G1875" t="s">
        <v>47151</v>
      </c>
      <c r="H1875" t="s">
        <v>47054</v>
      </c>
      <c r="I1875" t="s">
        <v>47111</v>
      </c>
      <c r="J1875" t="s">
        <v>47112</v>
      </c>
      <c r="K1875" t="s">
        <v>47113</v>
      </c>
      <c r="L1875">
        <v>7.09</v>
      </c>
      <c r="M1875">
        <v>17</v>
      </c>
      <c r="N1875">
        <v>0</v>
      </c>
      <c r="O1875">
        <v>17</v>
      </c>
      <c r="P1875">
        <v>0</v>
      </c>
    </row>
    <row r="1876" spans="1:16" x14ac:dyDescent="0.25">
      <c r="A1876" t="s">
        <v>24295</v>
      </c>
      <c r="B1876" t="s">
        <v>3172</v>
      </c>
      <c r="C1876" t="s">
        <v>3173</v>
      </c>
      <c r="D1876" t="str">
        <f>"1821"</f>
        <v>1821</v>
      </c>
      <c r="E1876" t="s">
        <v>590</v>
      </c>
      <c r="F1876" t="s">
        <v>1</v>
      </c>
      <c r="G1876" t="s">
        <v>47087</v>
      </c>
      <c r="H1876" t="s">
        <v>47054</v>
      </c>
      <c r="I1876" t="s">
        <v>47111</v>
      </c>
      <c r="J1876" t="s">
        <v>47112</v>
      </c>
      <c r="K1876" t="s">
        <v>47113</v>
      </c>
      <c r="L1876">
        <v>7.76</v>
      </c>
      <c r="M1876">
        <v>19</v>
      </c>
      <c r="N1876">
        <v>0</v>
      </c>
      <c r="O1876">
        <v>19</v>
      </c>
      <c r="P1876">
        <v>0</v>
      </c>
    </row>
    <row r="1877" spans="1:16" x14ac:dyDescent="0.25">
      <c r="A1877" t="s">
        <v>24296</v>
      </c>
      <c r="B1877" t="s">
        <v>3174</v>
      </c>
      <c r="C1877" t="s">
        <v>3175</v>
      </c>
      <c r="D1877" t="s">
        <v>3176</v>
      </c>
      <c r="E1877" t="s">
        <v>3177</v>
      </c>
      <c r="F1877" t="s">
        <v>0</v>
      </c>
      <c r="G1877" t="s">
        <v>47147</v>
      </c>
      <c r="H1877" t="s">
        <v>47054</v>
      </c>
      <c r="I1877" t="s">
        <v>47116</v>
      </c>
      <c r="J1877" t="s">
        <v>47117</v>
      </c>
      <c r="K1877" t="s">
        <v>47113</v>
      </c>
      <c r="L1877">
        <v>22.67</v>
      </c>
      <c r="M1877">
        <v>55</v>
      </c>
      <c r="N1877">
        <v>0</v>
      </c>
      <c r="O1877">
        <v>55</v>
      </c>
      <c r="P1877">
        <v>0</v>
      </c>
    </row>
    <row r="1878" spans="1:16" x14ac:dyDescent="0.25">
      <c r="A1878" t="s">
        <v>24297</v>
      </c>
      <c r="B1878" t="s">
        <v>3178</v>
      </c>
      <c r="C1878" t="s">
        <v>3179</v>
      </c>
      <c r="D1878" t="s">
        <v>3180</v>
      </c>
      <c r="E1878" t="s">
        <v>3181</v>
      </c>
      <c r="F1878" t="s">
        <v>0</v>
      </c>
      <c r="G1878" t="s">
        <v>47081</v>
      </c>
      <c r="H1878" t="s">
        <v>47054</v>
      </c>
      <c r="I1878" t="s">
        <v>47116</v>
      </c>
      <c r="J1878" t="s">
        <v>47117</v>
      </c>
      <c r="K1878" t="s">
        <v>47113</v>
      </c>
      <c r="L1878">
        <v>21.84</v>
      </c>
      <c r="M1878">
        <v>53</v>
      </c>
      <c r="N1878">
        <v>0</v>
      </c>
      <c r="O1878">
        <v>53</v>
      </c>
      <c r="P1878">
        <v>0</v>
      </c>
    </row>
    <row r="1879" spans="1:16" x14ac:dyDescent="0.25">
      <c r="A1879" t="s">
        <v>24298</v>
      </c>
      <c r="B1879" t="s">
        <v>3182</v>
      </c>
      <c r="C1879" t="s">
        <v>3183</v>
      </c>
      <c r="D1879" t="str">
        <f>"11"</f>
        <v>11</v>
      </c>
      <c r="E1879" t="s">
        <v>288</v>
      </c>
      <c r="F1879" t="s">
        <v>4</v>
      </c>
      <c r="G1879" t="s">
        <v>47081</v>
      </c>
      <c r="H1879" t="s">
        <v>47054</v>
      </c>
      <c r="I1879" t="s">
        <v>47116</v>
      </c>
      <c r="J1879" t="s">
        <v>47117</v>
      </c>
      <c r="K1879" t="s">
        <v>47113</v>
      </c>
      <c r="L1879">
        <v>15.62</v>
      </c>
      <c r="M1879">
        <v>38</v>
      </c>
      <c r="N1879">
        <v>0</v>
      </c>
      <c r="O1879">
        <v>38</v>
      </c>
      <c r="P1879">
        <v>0</v>
      </c>
    </row>
    <row r="1880" spans="1:16" x14ac:dyDescent="0.25">
      <c r="A1880" t="s">
        <v>24299</v>
      </c>
      <c r="B1880" t="s">
        <v>3184</v>
      </c>
      <c r="C1880" t="s">
        <v>3185</v>
      </c>
      <c r="D1880" t="s">
        <v>3186</v>
      </c>
      <c r="E1880" t="s">
        <v>3187</v>
      </c>
      <c r="F1880" t="s">
        <v>1</v>
      </c>
      <c r="G1880" t="s">
        <v>47081</v>
      </c>
      <c r="H1880" t="s">
        <v>47054</v>
      </c>
      <c r="I1880" t="s">
        <v>47116</v>
      </c>
      <c r="J1880" t="s">
        <v>47117</v>
      </c>
      <c r="K1880" t="s">
        <v>47113</v>
      </c>
      <c r="L1880">
        <v>18.87</v>
      </c>
      <c r="M1880">
        <v>46</v>
      </c>
      <c r="N1880">
        <v>0</v>
      </c>
      <c r="O1880">
        <v>46</v>
      </c>
      <c r="P1880">
        <v>0</v>
      </c>
    </row>
    <row r="1881" spans="1:16" x14ac:dyDescent="0.25">
      <c r="A1881" t="s">
        <v>14833</v>
      </c>
      <c r="B1881" t="s">
        <v>3188</v>
      </c>
      <c r="C1881" t="s">
        <v>3189</v>
      </c>
      <c r="D1881" t="s">
        <v>721</v>
      </c>
      <c r="E1881" t="s">
        <v>722</v>
      </c>
      <c r="F1881" t="s">
        <v>7</v>
      </c>
      <c r="G1881" t="s">
        <v>47081</v>
      </c>
      <c r="H1881" t="s">
        <v>47054</v>
      </c>
      <c r="I1881" t="s">
        <v>47116</v>
      </c>
      <c r="J1881" t="s">
        <v>47117</v>
      </c>
      <c r="K1881" t="s">
        <v>47113</v>
      </c>
      <c r="L1881">
        <v>11.47</v>
      </c>
      <c r="M1881">
        <v>31</v>
      </c>
      <c r="N1881">
        <v>0</v>
      </c>
      <c r="O1881">
        <v>31</v>
      </c>
      <c r="P1881">
        <v>0</v>
      </c>
    </row>
    <row r="1882" spans="1:16" x14ac:dyDescent="0.25">
      <c r="A1882" t="s">
        <v>14834</v>
      </c>
      <c r="B1882" t="s">
        <v>3190</v>
      </c>
      <c r="C1882" t="s">
        <v>3191</v>
      </c>
      <c r="D1882" t="s">
        <v>721</v>
      </c>
      <c r="E1882" t="s">
        <v>722</v>
      </c>
      <c r="F1882" t="s">
        <v>7</v>
      </c>
      <c r="G1882" t="s">
        <v>47081</v>
      </c>
      <c r="H1882" t="s">
        <v>47054</v>
      </c>
      <c r="I1882" t="s">
        <v>47116</v>
      </c>
      <c r="J1882" t="s">
        <v>47117</v>
      </c>
      <c r="K1882" t="s">
        <v>47113</v>
      </c>
      <c r="L1882">
        <v>12.98</v>
      </c>
      <c r="M1882">
        <v>30</v>
      </c>
      <c r="N1882">
        <v>0</v>
      </c>
      <c r="O1882">
        <v>30</v>
      </c>
      <c r="P1882">
        <v>0</v>
      </c>
    </row>
    <row r="1883" spans="1:16" x14ac:dyDescent="0.25">
      <c r="A1883" t="s">
        <v>24300</v>
      </c>
      <c r="B1883" t="s">
        <v>3190</v>
      </c>
      <c r="C1883" t="s">
        <v>3191</v>
      </c>
      <c r="D1883" t="s">
        <v>27</v>
      </c>
      <c r="E1883" t="s">
        <v>28</v>
      </c>
      <c r="F1883" t="s">
        <v>0</v>
      </c>
      <c r="G1883" t="s">
        <v>47081</v>
      </c>
      <c r="H1883" t="s">
        <v>47054</v>
      </c>
      <c r="I1883" t="s">
        <v>47116</v>
      </c>
      <c r="J1883" t="s">
        <v>47117</v>
      </c>
      <c r="K1883" t="s">
        <v>47113</v>
      </c>
      <c r="L1883">
        <v>16.239999999999998</v>
      </c>
      <c r="M1883">
        <v>40</v>
      </c>
      <c r="N1883">
        <v>0</v>
      </c>
      <c r="O1883">
        <v>40</v>
      </c>
      <c r="P1883">
        <v>0</v>
      </c>
    </row>
    <row r="1884" spans="1:16" x14ac:dyDescent="0.25">
      <c r="A1884" t="s">
        <v>24301</v>
      </c>
      <c r="B1884" t="s">
        <v>3190</v>
      </c>
      <c r="C1884" t="s">
        <v>3191</v>
      </c>
      <c r="D1884" t="s">
        <v>748</v>
      </c>
      <c r="E1884" t="s">
        <v>749</v>
      </c>
      <c r="F1884" t="s">
        <v>0</v>
      </c>
      <c r="G1884" t="s">
        <v>47081</v>
      </c>
      <c r="H1884" t="s">
        <v>47054</v>
      </c>
      <c r="I1884" t="s">
        <v>47116</v>
      </c>
      <c r="J1884" t="s">
        <v>47117</v>
      </c>
      <c r="K1884" t="s">
        <v>47113</v>
      </c>
      <c r="L1884">
        <v>13.92</v>
      </c>
      <c r="M1884">
        <v>34</v>
      </c>
      <c r="N1884">
        <v>0</v>
      </c>
      <c r="O1884">
        <v>34</v>
      </c>
      <c r="P1884">
        <v>0</v>
      </c>
    </row>
    <row r="1885" spans="1:16" x14ac:dyDescent="0.25">
      <c r="A1885" t="s">
        <v>14835</v>
      </c>
      <c r="B1885" t="s">
        <v>3190</v>
      </c>
      <c r="C1885" t="s">
        <v>3191</v>
      </c>
      <c r="D1885" t="s">
        <v>3192</v>
      </c>
      <c r="E1885" t="s">
        <v>3193</v>
      </c>
      <c r="F1885" t="s">
        <v>0</v>
      </c>
      <c r="G1885" t="s">
        <v>47081</v>
      </c>
      <c r="H1885" t="s">
        <v>47054</v>
      </c>
      <c r="I1885" t="s">
        <v>47116</v>
      </c>
      <c r="J1885" t="s">
        <v>47117</v>
      </c>
      <c r="K1885" t="s">
        <v>47113</v>
      </c>
      <c r="L1885">
        <v>18.79</v>
      </c>
      <c r="M1885">
        <v>46</v>
      </c>
      <c r="N1885">
        <v>0</v>
      </c>
      <c r="O1885">
        <v>46</v>
      </c>
      <c r="P1885">
        <v>0</v>
      </c>
    </row>
    <row r="1886" spans="1:16" x14ac:dyDescent="0.25">
      <c r="A1886" t="s">
        <v>24302</v>
      </c>
      <c r="B1886" t="s">
        <v>14618</v>
      </c>
      <c r="C1886" t="s">
        <v>14617</v>
      </c>
      <c r="D1886" t="s">
        <v>12756</v>
      </c>
      <c r="E1886" t="s">
        <v>12757</v>
      </c>
      <c r="F1886" t="s">
        <v>3750</v>
      </c>
      <c r="G1886" t="s">
        <v>47081</v>
      </c>
      <c r="H1886" t="s">
        <v>47054</v>
      </c>
      <c r="I1886" t="s">
        <v>47116</v>
      </c>
      <c r="J1886" t="s">
        <v>47117</v>
      </c>
      <c r="K1886" t="s">
        <v>47113</v>
      </c>
      <c r="L1886">
        <v>11.11</v>
      </c>
      <c r="M1886">
        <v>38</v>
      </c>
      <c r="N1886">
        <v>0</v>
      </c>
      <c r="O1886">
        <v>38</v>
      </c>
      <c r="P1886">
        <v>0</v>
      </c>
    </row>
    <row r="1887" spans="1:16" x14ac:dyDescent="0.25">
      <c r="A1887" t="s">
        <v>14836</v>
      </c>
      <c r="B1887" t="s">
        <v>3194</v>
      </c>
      <c r="C1887" t="s">
        <v>3195</v>
      </c>
      <c r="D1887" t="s">
        <v>27</v>
      </c>
      <c r="E1887" t="s">
        <v>28</v>
      </c>
      <c r="F1887" t="s">
        <v>0</v>
      </c>
      <c r="G1887" t="s">
        <v>47081</v>
      </c>
      <c r="H1887" t="s">
        <v>47054</v>
      </c>
      <c r="I1887" t="s">
        <v>47116</v>
      </c>
      <c r="J1887" t="s">
        <v>47117</v>
      </c>
      <c r="K1887" t="s">
        <v>47113</v>
      </c>
      <c r="L1887">
        <v>17.329999999999998</v>
      </c>
      <c r="M1887">
        <v>42</v>
      </c>
      <c r="N1887">
        <v>0</v>
      </c>
      <c r="O1887">
        <v>42</v>
      </c>
      <c r="P1887">
        <v>0</v>
      </c>
    </row>
    <row r="1888" spans="1:16" x14ac:dyDescent="0.25">
      <c r="A1888" t="s">
        <v>24303</v>
      </c>
      <c r="B1888" t="s">
        <v>3194</v>
      </c>
      <c r="C1888" t="s">
        <v>3195</v>
      </c>
      <c r="D1888" t="s">
        <v>748</v>
      </c>
      <c r="E1888" t="s">
        <v>749</v>
      </c>
      <c r="F1888" t="s">
        <v>0</v>
      </c>
      <c r="G1888" t="s">
        <v>47081</v>
      </c>
      <c r="H1888" t="s">
        <v>47054</v>
      </c>
      <c r="I1888" t="s">
        <v>47116</v>
      </c>
      <c r="J1888" t="s">
        <v>47117</v>
      </c>
      <c r="K1888" t="s">
        <v>47113</v>
      </c>
      <c r="L1888">
        <v>14.92</v>
      </c>
      <c r="M1888">
        <v>37</v>
      </c>
      <c r="N1888">
        <v>0</v>
      </c>
      <c r="O1888">
        <v>37</v>
      </c>
      <c r="P1888">
        <v>0</v>
      </c>
    </row>
    <row r="1889" spans="1:16" x14ac:dyDescent="0.25">
      <c r="A1889" t="s">
        <v>24304</v>
      </c>
      <c r="B1889" t="s">
        <v>3194</v>
      </c>
      <c r="C1889" t="s">
        <v>3195</v>
      </c>
      <c r="D1889" t="s">
        <v>3192</v>
      </c>
      <c r="E1889" t="s">
        <v>3193</v>
      </c>
      <c r="F1889" t="s">
        <v>0</v>
      </c>
      <c r="G1889" t="s">
        <v>47081</v>
      </c>
      <c r="H1889" t="s">
        <v>47054</v>
      </c>
      <c r="I1889" t="s">
        <v>47116</v>
      </c>
      <c r="J1889" t="s">
        <v>47117</v>
      </c>
      <c r="K1889" t="s">
        <v>47113</v>
      </c>
      <c r="L1889">
        <v>18.79</v>
      </c>
      <c r="M1889">
        <v>46</v>
      </c>
      <c r="N1889">
        <v>0</v>
      </c>
      <c r="O1889">
        <v>46</v>
      </c>
      <c r="P1889">
        <v>0</v>
      </c>
    </row>
    <row r="1890" spans="1:16" x14ac:dyDescent="0.25">
      <c r="A1890" t="s">
        <v>24305</v>
      </c>
      <c r="B1890" t="s">
        <v>3196</v>
      </c>
      <c r="C1890" t="s">
        <v>3197</v>
      </c>
      <c r="D1890" t="s">
        <v>1792</v>
      </c>
      <c r="E1890" t="s">
        <v>1793</v>
      </c>
      <c r="F1890" t="s">
        <v>6</v>
      </c>
      <c r="G1890" t="s">
        <v>47081</v>
      </c>
      <c r="H1890" t="s">
        <v>47054</v>
      </c>
      <c r="I1890" t="s">
        <v>47116</v>
      </c>
      <c r="J1890" t="s">
        <v>47117</v>
      </c>
      <c r="K1890" t="s">
        <v>47113</v>
      </c>
      <c r="L1890">
        <v>23.11</v>
      </c>
      <c r="M1890">
        <v>63</v>
      </c>
      <c r="N1890">
        <v>0</v>
      </c>
      <c r="O1890">
        <v>63</v>
      </c>
      <c r="P1890">
        <v>0</v>
      </c>
    </row>
    <row r="1891" spans="1:16" x14ac:dyDescent="0.25">
      <c r="A1891" t="s">
        <v>24306</v>
      </c>
      <c r="B1891" t="s">
        <v>3198</v>
      </c>
      <c r="C1891" t="s">
        <v>24307</v>
      </c>
      <c r="D1891" t="str">
        <f>"4895"</f>
        <v>4895</v>
      </c>
      <c r="E1891" t="s">
        <v>3199</v>
      </c>
      <c r="F1891" t="s">
        <v>2068</v>
      </c>
      <c r="G1891" t="s">
        <v>47081</v>
      </c>
      <c r="H1891" t="s">
        <v>47071</v>
      </c>
      <c r="I1891" t="s">
        <v>47120</v>
      </c>
      <c r="J1891" t="s">
        <v>47121</v>
      </c>
      <c r="K1891" t="s">
        <v>47113</v>
      </c>
      <c r="L1891">
        <v>9.44</v>
      </c>
      <c r="M1891">
        <v>20</v>
      </c>
      <c r="N1891">
        <v>0</v>
      </c>
      <c r="O1891">
        <v>20</v>
      </c>
      <c r="P1891">
        <v>0</v>
      </c>
    </row>
    <row r="1892" spans="1:16" x14ac:dyDescent="0.25">
      <c r="A1892" t="s">
        <v>24308</v>
      </c>
      <c r="B1892" t="s">
        <v>3198</v>
      </c>
      <c r="C1892" t="s">
        <v>24307</v>
      </c>
      <c r="D1892" t="s">
        <v>18055</v>
      </c>
      <c r="E1892" t="s">
        <v>18056</v>
      </c>
      <c r="F1892" t="s">
        <v>2068</v>
      </c>
      <c r="G1892" t="s">
        <v>47081</v>
      </c>
      <c r="H1892" t="s">
        <v>47071</v>
      </c>
      <c r="I1892" t="s">
        <v>47120</v>
      </c>
      <c r="J1892" t="s">
        <v>47121</v>
      </c>
      <c r="K1892" t="s">
        <v>47113</v>
      </c>
      <c r="L1892">
        <v>9.44</v>
      </c>
      <c r="M1892">
        <v>20</v>
      </c>
      <c r="N1892">
        <v>0</v>
      </c>
      <c r="O1892">
        <v>20</v>
      </c>
      <c r="P1892">
        <v>0</v>
      </c>
    </row>
    <row r="1893" spans="1:16" x14ac:dyDescent="0.25">
      <c r="A1893" t="s">
        <v>24309</v>
      </c>
      <c r="B1893" t="s">
        <v>3200</v>
      </c>
      <c r="C1893" t="s">
        <v>3201</v>
      </c>
      <c r="D1893" t="s">
        <v>721</v>
      </c>
      <c r="E1893" t="s">
        <v>722</v>
      </c>
      <c r="F1893" t="s">
        <v>1</v>
      </c>
      <c r="G1893" t="s">
        <v>47081</v>
      </c>
      <c r="H1893" t="s">
        <v>47054</v>
      </c>
      <c r="I1893" t="s">
        <v>47116</v>
      </c>
      <c r="J1893" t="s">
        <v>47117</v>
      </c>
      <c r="K1893" t="s">
        <v>47113</v>
      </c>
      <c r="L1893">
        <v>10.44</v>
      </c>
      <c r="M1893">
        <v>26</v>
      </c>
      <c r="N1893">
        <v>0</v>
      </c>
      <c r="O1893">
        <v>26</v>
      </c>
      <c r="P1893">
        <v>0</v>
      </c>
    </row>
    <row r="1894" spans="1:16" x14ac:dyDescent="0.25">
      <c r="A1894" t="s">
        <v>24310</v>
      </c>
      <c r="B1894" t="s">
        <v>3202</v>
      </c>
      <c r="C1894" t="s">
        <v>3203</v>
      </c>
      <c r="D1894" t="str">
        <f>"11"</f>
        <v>11</v>
      </c>
      <c r="E1894" t="s">
        <v>288</v>
      </c>
      <c r="F1894" t="s">
        <v>0</v>
      </c>
      <c r="G1894" t="s">
        <v>47081</v>
      </c>
      <c r="H1894" t="s">
        <v>47054</v>
      </c>
      <c r="I1894" t="s">
        <v>47116</v>
      </c>
      <c r="J1894" t="s">
        <v>47117</v>
      </c>
      <c r="K1894" t="s">
        <v>47113</v>
      </c>
      <c r="L1894">
        <v>12.71</v>
      </c>
      <c r="M1894">
        <v>31</v>
      </c>
      <c r="N1894">
        <v>0</v>
      </c>
      <c r="O1894">
        <v>31</v>
      </c>
      <c r="P1894">
        <v>0</v>
      </c>
    </row>
    <row r="1895" spans="1:16" x14ac:dyDescent="0.25">
      <c r="A1895" t="s">
        <v>24311</v>
      </c>
      <c r="B1895" t="s">
        <v>3204</v>
      </c>
      <c r="C1895" t="s">
        <v>3205</v>
      </c>
      <c r="D1895" t="str">
        <f>"4704"</f>
        <v>4704</v>
      </c>
      <c r="E1895" t="s">
        <v>2710</v>
      </c>
      <c r="F1895" t="s">
        <v>0</v>
      </c>
      <c r="G1895" t="s">
        <v>47081</v>
      </c>
      <c r="H1895" t="s">
        <v>47054</v>
      </c>
      <c r="I1895" t="s">
        <v>47116</v>
      </c>
      <c r="J1895" t="s">
        <v>47117</v>
      </c>
      <c r="K1895" t="s">
        <v>47113</v>
      </c>
      <c r="L1895">
        <v>23.94</v>
      </c>
      <c r="M1895">
        <v>58</v>
      </c>
      <c r="N1895">
        <v>0</v>
      </c>
      <c r="O1895">
        <v>58</v>
      </c>
      <c r="P1895">
        <v>0</v>
      </c>
    </row>
    <row r="1896" spans="1:16" x14ac:dyDescent="0.25">
      <c r="A1896" t="s">
        <v>24312</v>
      </c>
      <c r="B1896" t="s">
        <v>3204</v>
      </c>
      <c r="C1896" t="s">
        <v>3205</v>
      </c>
      <c r="D1896" t="str">
        <f>"6398"</f>
        <v>6398</v>
      </c>
      <c r="E1896" t="s">
        <v>3206</v>
      </c>
      <c r="F1896" t="s">
        <v>0</v>
      </c>
      <c r="G1896" t="s">
        <v>47081</v>
      </c>
      <c r="H1896" t="s">
        <v>47054</v>
      </c>
      <c r="I1896" t="s">
        <v>47116</v>
      </c>
      <c r="J1896" t="s">
        <v>47117</v>
      </c>
      <c r="K1896" t="s">
        <v>47113</v>
      </c>
      <c r="L1896">
        <v>23.94</v>
      </c>
      <c r="M1896">
        <v>58</v>
      </c>
      <c r="N1896">
        <v>0</v>
      </c>
      <c r="O1896">
        <v>58</v>
      </c>
      <c r="P1896">
        <v>0</v>
      </c>
    </row>
    <row r="1897" spans="1:16" x14ac:dyDescent="0.25">
      <c r="A1897" t="s">
        <v>24313</v>
      </c>
      <c r="B1897" t="s">
        <v>3207</v>
      </c>
      <c r="C1897" t="s">
        <v>3208</v>
      </c>
      <c r="D1897" t="str">
        <f>"4704"</f>
        <v>4704</v>
      </c>
      <c r="E1897" t="s">
        <v>2710</v>
      </c>
      <c r="F1897" t="s">
        <v>0</v>
      </c>
      <c r="G1897" t="s">
        <v>47147</v>
      </c>
      <c r="H1897" t="s">
        <v>47054</v>
      </c>
      <c r="I1897" t="s">
        <v>47116</v>
      </c>
      <c r="J1897" t="s">
        <v>47117</v>
      </c>
      <c r="K1897" t="s">
        <v>47113</v>
      </c>
      <c r="L1897">
        <v>18.420000000000002</v>
      </c>
      <c r="M1897">
        <v>45</v>
      </c>
      <c r="N1897">
        <v>0</v>
      </c>
      <c r="O1897">
        <v>45</v>
      </c>
      <c r="P1897">
        <v>0</v>
      </c>
    </row>
    <row r="1898" spans="1:16" x14ac:dyDescent="0.25">
      <c r="A1898" t="s">
        <v>24314</v>
      </c>
      <c r="B1898" t="s">
        <v>3207</v>
      </c>
      <c r="C1898" t="s">
        <v>3208</v>
      </c>
      <c r="D1898" t="str">
        <f>"6398"</f>
        <v>6398</v>
      </c>
      <c r="E1898" t="s">
        <v>3206</v>
      </c>
      <c r="F1898" t="s">
        <v>0</v>
      </c>
      <c r="G1898" t="s">
        <v>47147</v>
      </c>
      <c r="H1898" t="s">
        <v>47054</v>
      </c>
      <c r="I1898" t="s">
        <v>47116</v>
      </c>
      <c r="J1898" t="s">
        <v>47117</v>
      </c>
      <c r="K1898" t="s">
        <v>47113</v>
      </c>
      <c r="L1898">
        <v>18.420000000000002</v>
      </c>
      <c r="M1898">
        <v>45</v>
      </c>
      <c r="N1898">
        <v>0</v>
      </c>
      <c r="O1898">
        <v>45</v>
      </c>
      <c r="P1898">
        <v>0</v>
      </c>
    </row>
    <row r="1899" spans="1:16" x14ac:dyDescent="0.25">
      <c r="A1899" t="s">
        <v>24315</v>
      </c>
      <c r="B1899" t="s">
        <v>3209</v>
      </c>
      <c r="C1899" t="s">
        <v>3210</v>
      </c>
      <c r="D1899" t="str">
        <f>"4525"</f>
        <v>4525</v>
      </c>
      <c r="E1899" t="s">
        <v>1144</v>
      </c>
      <c r="F1899" t="s">
        <v>2</v>
      </c>
      <c r="G1899" t="s">
        <v>47148</v>
      </c>
      <c r="H1899" t="s">
        <v>47054</v>
      </c>
      <c r="I1899" t="s">
        <v>47116</v>
      </c>
      <c r="J1899" t="s">
        <v>47117</v>
      </c>
      <c r="K1899" t="s">
        <v>47113</v>
      </c>
      <c r="L1899">
        <v>12.98</v>
      </c>
      <c r="M1899">
        <v>31</v>
      </c>
      <c r="N1899">
        <v>0</v>
      </c>
      <c r="O1899">
        <v>31</v>
      </c>
      <c r="P1899">
        <v>0</v>
      </c>
    </row>
    <row r="1900" spans="1:16" x14ac:dyDescent="0.25">
      <c r="A1900" t="s">
        <v>24316</v>
      </c>
      <c r="B1900" t="s">
        <v>3209</v>
      </c>
      <c r="C1900" t="s">
        <v>3210</v>
      </c>
      <c r="D1900" t="str">
        <f>"6814"</f>
        <v>6814</v>
      </c>
      <c r="E1900" t="s">
        <v>1146</v>
      </c>
      <c r="F1900" t="s">
        <v>2</v>
      </c>
      <c r="G1900" t="s">
        <v>47148</v>
      </c>
      <c r="H1900" t="s">
        <v>47054</v>
      </c>
      <c r="I1900" t="s">
        <v>47116</v>
      </c>
      <c r="J1900" t="s">
        <v>47117</v>
      </c>
      <c r="K1900" t="s">
        <v>47113</v>
      </c>
      <c r="L1900">
        <v>12.98</v>
      </c>
      <c r="M1900">
        <v>31</v>
      </c>
      <c r="N1900">
        <v>0</v>
      </c>
      <c r="O1900">
        <v>31</v>
      </c>
      <c r="P1900">
        <v>0</v>
      </c>
    </row>
    <row r="1901" spans="1:16" x14ac:dyDescent="0.25">
      <c r="A1901" t="s">
        <v>24317</v>
      </c>
      <c r="B1901" t="s">
        <v>3211</v>
      </c>
      <c r="C1901" t="s">
        <v>3212</v>
      </c>
      <c r="D1901" t="str">
        <f>"4525"</f>
        <v>4525</v>
      </c>
      <c r="E1901" t="s">
        <v>1144</v>
      </c>
      <c r="F1901" t="s">
        <v>2</v>
      </c>
      <c r="G1901" t="s">
        <v>47147</v>
      </c>
      <c r="H1901" t="s">
        <v>47054</v>
      </c>
      <c r="I1901" t="s">
        <v>47116</v>
      </c>
      <c r="J1901" t="s">
        <v>47117</v>
      </c>
      <c r="K1901" t="s">
        <v>47113</v>
      </c>
      <c r="L1901">
        <v>13.05</v>
      </c>
      <c r="M1901">
        <v>32</v>
      </c>
      <c r="N1901">
        <v>0</v>
      </c>
      <c r="O1901">
        <v>32</v>
      </c>
      <c r="P1901">
        <v>0</v>
      </c>
    </row>
    <row r="1902" spans="1:16" x14ac:dyDescent="0.25">
      <c r="A1902" t="s">
        <v>24318</v>
      </c>
      <c r="B1902" t="s">
        <v>3211</v>
      </c>
      <c r="C1902" t="s">
        <v>3212</v>
      </c>
      <c r="D1902" t="str">
        <f>"7435"</f>
        <v>7435</v>
      </c>
      <c r="E1902" t="s">
        <v>1148</v>
      </c>
      <c r="F1902" t="s">
        <v>2</v>
      </c>
      <c r="G1902" t="s">
        <v>47147</v>
      </c>
      <c r="H1902" t="s">
        <v>47054</v>
      </c>
      <c r="I1902" t="s">
        <v>47116</v>
      </c>
      <c r="J1902" t="s">
        <v>47117</v>
      </c>
      <c r="K1902" t="s">
        <v>47113</v>
      </c>
      <c r="L1902">
        <v>12.87</v>
      </c>
      <c r="M1902">
        <v>32</v>
      </c>
      <c r="N1902">
        <v>0</v>
      </c>
      <c r="O1902">
        <v>32</v>
      </c>
      <c r="P1902">
        <v>0</v>
      </c>
    </row>
    <row r="1903" spans="1:16" x14ac:dyDescent="0.25">
      <c r="A1903" t="s">
        <v>14837</v>
      </c>
      <c r="B1903" t="s">
        <v>3213</v>
      </c>
      <c r="C1903" t="s">
        <v>3214</v>
      </c>
      <c r="D1903" t="str">
        <f>"4117"</f>
        <v>4117</v>
      </c>
      <c r="E1903" t="s">
        <v>3215</v>
      </c>
      <c r="F1903" t="s">
        <v>2</v>
      </c>
      <c r="G1903" t="s">
        <v>47081</v>
      </c>
      <c r="H1903" t="s">
        <v>47054</v>
      </c>
      <c r="I1903" t="s">
        <v>47116</v>
      </c>
      <c r="J1903" t="s">
        <v>47117</v>
      </c>
      <c r="K1903" t="s">
        <v>47113</v>
      </c>
      <c r="L1903">
        <v>16.39</v>
      </c>
      <c r="M1903">
        <v>41</v>
      </c>
      <c r="N1903">
        <v>0</v>
      </c>
      <c r="O1903">
        <v>41</v>
      </c>
      <c r="P1903">
        <v>0</v>
      </c>
    </row>
    <row r="1904" spans="1:16" x14ac:dyDescent="0.25">
      <c r="A1904" t="s">
        <v>24319</v>
      </c>
      <c r="B1904" t="s">
        <v>3216</v>
      </c>
      <c r="C1904" t="s">
        <v>3217</v>
      </c>
      <c r="D1904" t="str">
        <f>"1001"</f>
        <v>1001</v>
      </c>
      <c r="E1904" t="s">
        <v>3138</v>
      </c>
      <c r="F1904" t="s">
        <v>4</v>
      </c>
      <c r="G1904" t="s">
        <v>47081</v>
      </c>
      <c r="H1904" t="s">
        <v>47054</v>
      </c>
      <c r="I1904" t="s">
        <v>47116</v>
      </c>
      <c r="J1904" t="s">
        <v>47117</v>
      </c>
      <c r="K1904" t="s">
        <v>47113</v>
      </c>
      <c r="L1904">
        <v>15.65</v>
      </c>
      <c r="M1904">
        <v>38</v>
      </c>
      <c r="N1904">
        <v>0</v>
      </c>
      <c r="O1904">
        <v>38</v>
      </c>
      <c r="P1904">
        <v>0</v>
      </c>
    </row>
    <row r="1905" spans="1:16" x14ac:dyDescent="0.25">
      <c r="A1905" t="s">
        <v>24320</v>
      </c>
      <c r="B1905" t="s">
        <v>3216</v>
      </c>
      <c r="C1905" t="s">
        <v>3217</v>
      </c>
      <c r="D1905" t="str">
        <f>"3459"</f>
        <v>3459</v>
      </c>
      <c r="E1905" t="s">
        <v>3152</v>
      </c>
      <c r="F1905" t="s">
        <v>4</v>
      </c>
      <c r="G1905" t="s">
        <v>47081</v>
      </c>
      <c r="H1905" t="s">
        <v>47054</v>
      </c>
      <c r="I1905" t="s">
        <v>47116</v>
      </c>
      <c r="J1905" t="s">
        <v>47117</v>
      </c>
      <c r="K1905" t="s">
        <v>47113</v>
      </c>
      <c r="L1905">
        <v>15.65</v>
      </c>
      <c r="M1905">
        <v>38</v>
      </c>
      <c r="N1905">
        <v>0</v>
      </c>
      <c r="O1905">
        <v>38</v>
      </c>
      <c r="P1905">
        <v>0</v>
      </c>
    </row>
    <row r="1906" spans="1:16" x14ac:dyDescent="0.25">
      <c r="A1906" t="s">
        <v>24321</v>
      </c>
      <c r="B1906" t="s">
        <v>3216</v>
      </c>
      <c r="C1906" t="s">
        <v>3217</v>
      </c>
      <c r="D1906" t="str">
        <f>"5145"</f>
        <v>5145</v>
      </c>
      <c r="E1906" t="s">
        <v>3218</v>
      </c>
      <c r="F1906" t="s">
        <v>5</v>
      </c>
      <c r="G1906" t="s">
        <v>47081</v>
      </c>
      <c r="H1906" t="s">
        <v>47054</v>
      </c>
      <c r="I1906" t="s">
        <v>47116</v>
      </c>
      <c r="J1906" t="s">
        <v>47117</v>
      </c>
      <c r="K1906" t="s">
        <v>47113</v>
      </c>
      <c r="L1906">
        <v>21.89</v>
      </c>
      <c r="M1906">
        <v>50</v>
      </c>
      <c r="N1906">
        <v>0</v>
      </c>
      <c r="O1906">
        <v>50</v>
      </c>
      <c r="P1906">
        <v>0</v>
      </c>
    </row>
    <row r="1907" spans="1:16" x14ac:dyDescent="0.25">
      <c r="A1907" t="s">
        <v>24322</v>
      </c>
      <c r="B1907" t="s">
        <v>3216</v>
      </c>
      <c r="C1907" t="s">
        <v>3217</v>
      </c>
      <c r="D1907" t="str">
        <f>"6383"</f>
        <v>6383</v>
      </c>
      <c r="E1907" t="s">
        <v>3219</v>
      </c>
      <c r="F1907" t="s">
        <v>4</v>
      </c>
      <c r="G1907" t="s">
        <v>47081</v>
      </c>
      <c r="H1907" t="s">
        <v>47054</v>
      </c>
      <c r="I1907" t="s">
        <v>47116</v>
      </c>
      <c r="J1907" t="s">
        <v>47117</v>
      </c>
      <c r="K1907" t="s">
        <v>47113</v>
      </c>
      <c r="L1907">
        <v>15.65</v>
      </c>
      <c r="M1907">
        <v>38</v>
      </c>
      <c r="N1907">
        <v>0</v>
      </c>
      <c r="O1907">
        <v>38</v>
      </c>
      <c r="P1907">
        <v>0</v>
      </c>
    </row>
    <row r="1908" spans="1:16" x14ac:dyDescent="0.25">
      <c r="A1908" t="s">
        <v>24323</v>
      </c>
      <c r="B1908" t="s">
        <v>3216</v>
      </c>
      <c r="C1908" t="s">
        <v>3217</v>
      </c>
      <c r="D1908" t="str">
        <f>"6635"</f>
        <v>6635</v>
      </c>
      <c r="E1908" t="s">
        <v>3147</v>
      </c>
      <c r="F1908" t="s">
        <v>4</v>
      </c>
      <c r="G1908" t="s">
        <v>47081</v>
      </c>
      <c r="H1908" t="s">
        <v>47054</v>
      </c>
      <c r="I1908" t="s">
        <v>47116</v>
      </c>
      <c r="J1908" t="s">
        <v>47117</v>
      </c>
      <c r="K1908" t="s">
        <v>47113</v>
      </c>
      <c r="L1908">
        <v>15.65</v>
      </c>
      <c r="M1908">
        <v>38</v>
      </c>
      <c r="N1908">
        <v>0</v>
      </c>
      <c r="O1908">
        <v>38</v>
      </c>
      <c r="P1908">
        <v>0</v>
      </c>
    </row>
    <row r="1909" spans="1:16" x14ac:dyDescent="0.25">
      <c r="A1909" t="s">
        <v>24324</v>
      </c>
      <c r="B1909" t="s">
        <v>3220</v>
      </c>
      <c r="C1909" t="s">
        <v>3221</v>
      </c>
      <c r="D1909" t="str">
        <f>"1202"</f>
        <v>1202</v>
      </c>
      <c r="E1909" t="s">
        <v>3222</v>
      </c>
      <c r="F1909" t="s">
        <v>4</v>
      </c>
      <c r="G1909" t="s">
        <v>47081</v>
      </c>
      <c r="H1909" t="s">
        <v>47054</v>
      </c>
      <c r="I1909" t="s">
        <v>47116</v>
      </c>
      <c r="J1909" t="s">
        <v>47117</v>
      </c>
      <c r="K1909" t="s">
        <v>47113</v>
      </c>
      <c r="L1909">
        <v>23.09</v>
      </c>
      <c r="M1909">
        <v>56</v>
      </c>
      <c r="N1909">
        <v>0</v>
      </c>
      <c r="O1909">
        <v>56</v>
      </c>
      <c r="P1909">
        <v>0</v>
      </c>
    </row>
    <row r="1910" spans="1:16" x14ac:dyDescent="0.25">
      <c r="A1910" t="s">
        <v>24325</v>
      </c>
      <c r="B1910" t="s">
        <v>3223</v>
      </c>
      <c r="C1910" t="s">
        <v>3221</v>
      </c>
      <c r="D1910" t="str">
        <f>"6604"</f>
        <v>6604</v>
      </c>
      <c r="E1910" t="s">
        <v>3224</v>
      </c>
      <c r="F1910" t="s">
        <v>4</v>
      </c>
      <c r="G1910" t="s">
        <v>47081</v>
      </c>
      <c r="H1910" t="s">
        <v>47054</v>
      </c>
      <c r="I1910" t="s">
        <v>47116</v>
      </c>
      <c r="J1910" t="s">
        <v>47117</v>
      </c>
      <c r="K1910" t="s">
        <v>47113</v>
      </c>
      <c r="L1910">
        <v>23.09</v>
      </c>
      <c r="M1910">
        <v>56</v>
      </c>
      <c r="N1910">
        <v>0</v>
      </c>
      <c r="O1910">
        <v>56</v>
      </c>
      <c r="P1910">
        <v>0</v>
      </c>
    </row>
    <row r="1911" spans="1:16" x14ac:dyDescent="0.25">
      <c r="A1911" t="s">
        <v>24326</v>
      </c>
      <c r="B1911" t="s">
        <v>3225</v>
      </c>
      <c r="C1911" t="s">
        <v>3226</v>
      </c>
      <c r="D1911" t="str">
        <f>"1800"</f>
        <v>1800</v>
      </c>
      <c r="E1911" t="s">
        <v>3227</v>
      </c>
      <c r="F1911" t="s">
        <v>4</v>
      </c>
      <c r="G1911" t="s">
        <v>47081</v>
      </c>
      <c r="H1911" t="s">
        <v>47054</v>
      </c>
      <c r="I1911" t="s">
        <v>47116</v>
      </c>
      <c r="J1911" t="s">
        <v>47117</v>
      </c>
      <c r="K1911" t="s">
        <v>47113</v>
      </c>
      <c r="L1911">
        <v>21.07</v>
      </c>
      <c r="M1911">
        <v>51</v>
      </c>
      <c r="N1911">
        <v>0</v>
      </c>
      <c r="O1911">
        <v>51</v>
      </c>
      <c r="P1911">
        <v>0</v>
      </c>
    </row>
    <row r="1912" spans="1:16" x14ac:dyDescent="0.25">
      <c r="A1912" t="s">
        <v>24327</v>
      </c>
      <c r="B1912" t="s">
        <v>3225</v>
      </c>
      <c r="C1912" t="s">
        <v>3226</v>
      </c>
      <c r="D1912" t="str">
        <f>"1977"</f>
        <v>1977</v>
      </c>
      <c r="E1912" t="s">
        <v>3228</v>
      </c>
      <c r="F1912" t="s">
        <v>4</v>
      </c>
      <c r="G1912" t="s">
        <v>47081</v>
      </c>
      <c r="H1912" t="s">
        <v>47054</v>
      </c>
      <c r="I1912" t="s">
        <v>47116</v>
      </c>
      <c r="J1912" t="s">
        <v>47117</v>
      </c>
      <c r="K1912" t="s">
        <v>47113</v>
      </c>
      <c r="L1912">
        <v>21.07</v>
      </c>
      <c r="M1912">
        <v>52</v>
      </c>
      <c r="N1912">
        <v>0</v>
      </c>
      <c r="O1912">
        <v>52</v>
      </c>
      <c r="P1912">
        <v>0</v>
      </c>
    </row>
    <row r="1913" spans="1:16" x14ac:dyDescent="0.25">
      <c r="A1913" t="s">
        <v>24328</v>
      </c>
      <c r="B1913" t="s">
        <v>3225</v>
      </c>
      <c r="C1913" t="s">
        <v>3226</v>
      </c>
      <c r="D1913" t="str">
        <f>"6862"</f>
        <v>6862</v>
      </c>
      <c r="E1913" t="s">
        <v>3229</v>
      </c>
      <c r="F1913" t="s">
        <v>4</v>
      </c>
      <c r="G1913" t="s">
        <v>47081</v>
      </c>
      <c r="H1913" t="s">
        <v>47054</v>
      </c>
      <c r="I1913" t="s">
        <v>47116</v>
      </c>
      <c r="J1913" t="s">
        <v>47117</v>
      </c>
      <c r="K1913" t="s">
        <v>47113</v>
      </c>
      <c r="L1913">
        <v>21.07</v>
      </c>
      <c r="M1913">
        <v>51</v>
      </c>
      <c r="N1913">
        <v>0</v>
      </c>
      <c r="O1913">
        <v>51</v>
      </c>
      <c r="P1913">
        <v>0</v>
      </c>
    </row>
    <row r="1914" spans="1:16" x14ac:dyDescent="0.25">
      <c r="A1914" t="s">
        <v>14838</v>
      </c>
      <c r="B1914" t="s">
        <v>3230</v>
      </c>
      <c r="C1914" t="s">
        <v>3231</v>
      </c>
      <c r="D1914" t="str">
        <f>"9622"</f>
        <v>9622</v>
      </c>
      <c r="E1914" t="s">
        <v>3232</v>
      </c>
      <c r="F1914" t="s">
        <v>0</v>
      </c>
      <c r="G1914" t="s">
        <v>47081</v>
      </c>
      <c r="H1914" t="s">
        <v>47054</v>
      </c>
      <c r="I1914" t="s">
        <v>47116</v>
      </c>
      <c r="J1914" t="s">
        <v>47117</v>
      </c>
      <c r="K1914" t="s">
        <v>47113</v>
      </c>
      <c r="L1914">
        <v>22.84</v>
      </c>
      <c r="M1914">
        <v>56</v>
      </c>
      <c r="N1914">
        <v>0</v>
      </c>
      <c r="O1914">
        <v>56</v>
      </c>
      <c r="P1914">
        <v>0</v>
      </c>
    </row>
    <row r="1915" spans="1:16" x14ac:dyDescent="0.25">
      <c r="A1915" t="s">
        <v>24329</v>
      </c>
      <c r="B1915" t="s">
        <v>3233</v>
      </c>
      <c r="C1915" t="s">
        <v>3226</v>
      </c>
      <c r="D1915" t="str">
        <f>"6604"</f>
        <v>6604</v>
      </c>
      <c r="E1915" t="s">
        <v>3234</v>
      </c>
      <c r="F1915" t="s">
        <v>4</v>
      </c>
      <c r="G1915" t="s">
        <v>47081</v>
      </c>
      <c r="I1915" t="s">
        <v>47116</v>
      </c>
      <c r="J1915" t="s">
        <v>47117</v>
      </c>
      <c r="K1915" t="s">
        <v>47113</v>
      </c>
      <c r="L1915">
        <v>24.25</v>
      </c>
      <c r="M1915">
        <v>59</v>
      </c>
      <c r="N1915">
        <v>0</v>
      </c>
      <c r="O1915">
        <v>59</v>
      </c>
      <c r="P1915">
        <v>0</v>
      </c>
    </row>
    <row r="1916" spans="1:16" x14ac:dyDescent="0.25">
      <c r="A1916" t="s">
        <v>14839</v>
      </c>
      <c r="B1916" t="s">
        <v>3235</v>
      </c>
      <c r="C1916" t="s">
        <v>3236</v>
      </c>
      <c r="D1916" t="str">
        <f>"1746"</f>
        <v>1746</v>
      </c>
      <c r="E1916" t="s">
        <v>807</v>
      </c>
      <c r="F1916" t="s">
        <v>0</v>
      </c>
      <c r="G1916" t="s">
        <v>47081</v>
      </c>
      <c r="H1916" t="s">
        <v>47054</v>
      </c>
      <c r="I1916" t="s">
        <v>47116</v>
      </c>
      <c r="J1916" t="s">
        <v>47117</v>
      </c>
      <c r="K1916" t="s">
        <v>47113</v>
      </c>
      <c r="L1916">
        <v>15.4</v>
      </c>
      <c r="M1916">
        <v>38</v>
      </c>
      <c r="N1916">
        <v>0</v>
      </c>
      <c r="O1916">
        <v>38</v>
      </c>
      <c r="P1916">
        <v>0</v>
      </c>
    </row>
    <row r="1917" spans="1:16" x14ac:dyDescent="0.25">
      <c r="A1917" t="s">
        <v>24330</v>
      </c>
      <c r="B1917" t="s">
        <v>3235</v>
      </c>
      <c r="C1917" t="s">
        <v>3236</v>
      </c>
      <c r="D1917" t="str">
        <f>"3466"</f>
        <v>3466</v>
      </c>
      <c r="E1917" t="s">
        <v>3237</v>
      </c>
      <c r="F1917" t="s">
        <v>0</v>
      </c>
      <c r="G1917" t="s">
        <v>47081</v>
      </c>
      <c r="H1917" t="s">
        <v>47054</v>
      </c>
      <c r="I1917" t="s">
        <v>47116</v>
      </c>
      <c r="J1917" t="s">
        <v>47117</v>
      </c>
      <c r="K1917" t="s">
        <v>47113</v>
      </c>
      <c r="L1917">
        <v>15.4</v>
      </c>
      <c r="M1917">
        <v>38</v>
      </c>
      <c r="N1917">
        <v>0</v>
      </c>
      <c r="O1917">
        <v>38</v>
      </c>
      <c r="P1917">
        <v>0</v>
      </c>
    </row>
    <row r="1918" spans="1:16" x14ac:dyDescent="0.25">
      <c r="A1918" t="s">
        <v>24331</v>
      </c>
      <c r="B1918" t="s">
        <v>3235</v>
      </c>
      <c r="C1918" t="s">
        <v>3236</v>
      </c>
      <c r="D1918" t="str">
        <f>"4705"</f>
        <v>4705</v>
      </c>
      <c r="E1918" t="s">
        <v>3155</v>
      </c>
      <c r="F1918" t="s">
        <v>0</v>
      </c>
      <c r="G1918" t="s">
        <v>47081</v>
      </c>
      <c r="H1918" t="s">
        <v>47054</v>
      </c>
      <c r="I1918" t="s">
        <v>47116</v>
      </c>
      <c r="J1918" t="s">
        <v>47117</v>
      </c>
      <c r="K1918" t="s">
        <v>47113</v>
      </c>
      <c r="L1918">
        <v>15.4</v>
      </c>
      <c r="M1918">
        <v>38</v>
      </c>
      <c r="N1918">
        <v>0</v>
      </c>
      <c r="O1918">
        <v>38</v>
      </c>
      <c r="P1918">
        <v>0</v>
      </c>
    </row>
    <row r="1919" spans="1:16" x14ac:dyDescent="0.25">
      <c r="A1919" t="s">
        <v>14840</v>
      </c>
      <c r="B1919" t="s">
        <v>3235</v>
      </c>
      <c r="C1919" t="s">
        <v>3236</v>
      </c>
      <c r="D1919" t="str">
        <f>"6399"</f>
        <v>6399</v>
      </c>
      <c r="E1919" t="s">
        <v>3161</v>
      </c>
      <c r="F1919" t="s">
        <v>0</v>
      </c>
      <c r="G1919" t="s">
        <v>47081</v>
      </c>
      <c r="H1919" t="s">
        <v>47054</v>
      </c>
      <c r="I1919" t="s">
        <v>47116</v>
      </c>
      <c r="J1919" t="s">
        <v>47117</v>
      </c>
      <c r="K1919" t="s">
        <v>47113</v>
      </c>
      <c r="L1919">
        <v>15.4</v>
      </c>
      <c r="M1919">
        <v>38</v>
      </c>
      <c r="N1919">
        <v>0</v>
      </c>
      <c r="O1919">
        <v>38</v>
      </c>
      <c r="P1919">
        <v>0</v>
      </c>
    </row>
    <row r="1920" spans="1:16" x14ac:dyDescent="0.25">
      <c r="A1920" t="s">
        <v>24332</v>
      </c>
      <c r="B1920" t="s">
        <v>3235</v>
      </c>
      <c r="C1920" t="s">
        <v>3236</v>
      </c>
      <c r="D1920" t="str">
        <f>"7284"</f>
        <v>7284</v>
      </c>
      <c r="E1920" t="s">
        <v>3158</v>
      </c>
      <c r="F1920" t="s">
        <v>0</v>
      </c>
      <c r="G1920" t="s">
        <v>47081</v>
      </c>
      <c r="H1920" t="s">
        <v>47054</v>
      </c>
      <c r="I1920" t="s">
        <v>47116</v>
      </c>
      <c r="J1920" t="s">
        <v>47117</v>
      </c>
      <c r="K1920" t="s">
        <v>47113</v>
      </c>
      <c r="L1920">
        <v>15.4</v>
      </c>
      <c r="M1920">
        <v>38</v>
      </c>
      <c r="N1920">
        <v>0</v>
      </c>
      <c r="O1920">
        <v>38</v>
      </c>
      <c r="P1920">
        <v>0</v>
      </c>
    </row>
    <row r="1921" spans="1:16" x14ac:dyDescent="0.25">
      <c r="A1921" t="s">
        <v>24333</v>
      </c>
      <c r="B1921" t="s">
        <v>3238</v>
      </c>
      <c r="C1921" t="s">
        <v>3191</v>
      </c>
      <c r="D1921" t="str">
        <f>"4577"</f>
        <v>4577</v>
      </c>
      <c r="E1921" t="s">
        <v>3239</v>
      </c>
      <c r="F1921" t="s">
        <v>7</v>
      </c>
      <c r="G1921" t="s">
        <v>47081</v>
      </c>
      <c r="H1921" t="s">
        <v>47054</v>
      </c>
      <c r="I1921" t="s">
        <v>47116</v>
      </c>
      <c r="J1921" t="s">
        <v>47117</v>
      </c>
      <c r="K1921" t="s">
        <v>47113</v>
      </c>
      <c r="L1921">
        <v>15.97</v>
      </c>
      <c r="M1921">
        <v>40</v>
      </c>
      <c r="N1921">
        <v>0</v>
      </c>
      <c r="O1921">
        <v>40</v>
      </c>
      <c r="P1921">
        <v>0</v>
      </c>
    </row>
    <row r="1922" spans="1:16" x14ac:dyDescent="0.25">
      <c r="A1922" t="s">
        <v>24334</v>
      </c>
      <c r="B1922" t="s">
        <v>3238</v>
      </c>
      <c r="C1922" t="s">
        <v>3191</v>
      </c>
      <c r="D1922" t="str">
        <f>"4695"</f>
        <v>4695</v>
      </c>
      <c r="E1922" t="s">
        <v>3240</v>
      </c>
      <c r="F1922" t="s">
        <v>5</v>
      </c>
      <c r="G1922" t="s">
        <v>47081</v>
      </c>
      <c r="H1922" t="s">
        <v>47054</v>
      </c>
      <c r="I1922" t="s">
        <v>47116</v>
      </c>
      <c r="J1922" t="s">
        <v>47117</v>
      </c>
      <c r="K1922" t="s">
        <v>47113</v>
      </c>
      <c r="L1922">
        <v>15.97</v>
      </c>
      <c r="M1922">
        <v>40</v>
      </c>
      <c r="N1922">
        <v>0</v>
      </c>
      <c r="O1922">
        <v>40</v>
      </c>
      <c r="P1922">
        <v>0</v>
      </c>
    </row>
    <row r="1923" spans="1:16" x14ac:dyDescent="0.25">
      <c r="A1923" t="s">
        <v>24335</v>
      </c>
      <c r="B1923" t="s">
        <v>3238</v>
      </c>
      <c r="C1923" t="s">
        <v>3191</v>
      </c>
      <c r="D1923" t="str">
        <f>"5012"</f>
        <v>5012</v>
      </c>
      <c r="E1923" t="s">
        <v>3241</v>
      </c>
      <c r="F1923" t="s">
        <v>5</v>
      </c>
      <c r="G1923" t="s">
        <v>47081</v>
      </c>
      <c r="H1923" t="s">
        <v>47054</v>
      </c>
      <c r="I1923" t="s">
        <v>47116</v>
      </c>
      <c r="J1923" t="s">
        <v>47117</v>
      </c>
      <c r="K1923" t="s">
        <v>47113</v>
      </c>
      <c r="L1923">
        <v>15.97</v>
      </c>
      <c r="M1923">
        <v>40</v>
      </c>
      <c r="N1923">
        <v>0</v>
      </c>
      <c r="O1923">
        <v>40</v>
      </c>
      <c r="P1923">
        <v>0</v>
      </c>
    </row>
    <row r="1924" spans="1:16" x14ac:dyDescent="0.25">
      <c r="A1924" t="s">
        <v>14841</v>
      </c>
      <c r="B1924" t="s">
        <v>3238</v>
      </c>
      <c r="C1924" t="s">
        <v>3191</v>
      </c>
      <c r="D1924" t="str">
        <f>"6616"</f>
        <v>6616</v>
      </c>
      <c r="E1924" t="s">
        <v>3242</v>
      </c>
      <c r="F1924" t="s">
        <v>6</v>
      </c>
      <c r="G1924" t="s">
        <v>47081</v>
      </c>
      <c r="H1924" t="s">
        <v>47054</v>
      </c>
      <c r="I1924" t="s">
        <v>47116</v>
      </c>
      <c r="J1924" t="s">
        <v>47117</v>
      </c>
      <c r="K1924" t="s">
        <v>47113</v>
      </c>
      <c r="L1924">
        <v>14.73</v>
      </c>
      <c r="M1924">
        <v>40</v>
      </c>
      <c r="N1924">
        <v>0</v>
      </c>
      <c r="O1924">
        <v>40</v>
      </c>
      <c r="P1924">
        <v>0</v>
      </c>
    </row>
    <row r="1925" spans="1:16" x14ac:dyDescent="0.25">
      <c r="A1925" t="s">
        <v>24336</v>
      </c>
      <c r="B1925" t="s">
        <v>3238</v>
      </c>
      <c r="C1925" t="s">
        <v>3191</v>
      </c>
      <c r="D1925" t="str">
        <f>"6632"</f>
        <v>6632</v>
      </c>
      <c r="E1925" t="s">
        <v>3243</v>
      </c>
      <c r="F1925" t="s">
        <v>5</v>
      </c>
      <c r="G1925" t="s">
        <v>47081</v>
      </c>
      <c r="H1925" t="s">
        <v>47054</v>
      </c>
      <c r="I1925" t="s">
        <v>47116</v>
      </c>
      <c r="J1925" t="s">
        <v>47117</v>
      </c>
      <c r="K1925" t="s">
        <v>47113</v>
      </c>
      <c r="L1925">
        <v>15.97</v>
      </c>
      <c r="M1925">
        <v>40</v>
      </c>
      <c r="N1925">
        <v>0</v>
      </c>
      <c r="O1925">
        <v>40</v>
      </c>
      <c r="P1925">
        <v>0</v>
      </c>
    </row>
    <row r="1926" spans="1:16" x14ac:dyDescent="0.25">
      <c r="A1926" t="s">
        <v>14842</v>
      </c>
      <c r="B1926" t="s">
        <v>3244</v>
      </c>
      <c r="C1926" t="s">
        <v>3245</v>
      </c>
      <c r="D1926" t="str">
        <f>"4525"</f>
        <v>4525</v>
      </c>
      <c r="E1926" t="s">
        <v>1144</v>
      </c>
      <c r="F1926" t="s">
        <v>2</v>
      </c>
      <c r="G1926" t="s">
        <v>47081</v>
      </c>
      <c r="H1926" t="s">
        <v>47054</v>
      </c>
      <c r="I1926" t="s">
        <v>47116</v>
      </c>
      <c r="J1926" t="s">
        <v>47117</v>
      </c>
      <c r="K1926" t="s">
        <v>47113</v>
      </c>
      <c r="L1926">
        <v>15.59</v>
      </c>
      <c r="M1926">
        <v>37</v>
      </c>
      <c r="N1926">
        <v>0</v>
      </c>
      <c r="O1926">
        <v>37</v>
      </c>
      <c r="P1926">
        <v>0</v>
      </c>
    </row>
    <row r="1927" spans="1:16" x14ac:dyDescent="0.25">
      <c r="A1927" t="s">
        <v>24337</v>
      </c>
      <c r="B1927" t="s">
        <v>3244</v>
      </c>
      <c r="C1927" t="s">
        <v>3245</v>
      </c>
      <c r="D1927" t="str">
        <f>"5062"</f>
        <v>5062</v>
      </c>
      <c r="E1927" t="s">
        <v>3246</v>
      </c>
      <c r="F1927" t="s">
        <v>6</v>
      </c>
      <c r="G1927" t="s">
        <v>47081</v>
      </c>
      <c r="H1927" t="s">
        <v>47054</v>
      </c>
      <c r="I1927" t="s">
        <v>47116</v>
      </c>
      <c r="J1927" t="s">
        <v>47117</v>
      </c>
      <c r="K1927" t="s">
        <v>47113</v>
      </c>
      <c r="L1927">
        <v>14.91</v>
      </c>
      <c r="M1927">
        <v>42</v>
      </c>
      <c r="N1927">
        <v>0</v>
      </c>
      <c r="O1927">
        <v>42</v>
      </c>
      <c r="P1927">
        <v>0</v>
      </c>
    </row>
    <row r="1928" spans="1:16" x14ac:dyDescent="0.25">
      <c r="A1928" t="s">
        <v>14843</v>
      </c>
      <c r="B1928" t="s">
        <v>3244</v>
      </c>
      <c r="C1928" t="s">
        <v>3245</v>
      </c>
      <c r="D1928" t="str">
        <f>"5334"</f>
        <v>5334</v>
      </c>
      <c r="E1928" t="s">
        <v>3247</v>
      </c>
      <c r="F1928" t="s">
        <v>2</v>
      </c>
      <c r="G1928" t="s">
        <v>47081</v>
      </c>
      <c r="H1928" t="s">
        <v>47054</v>
      </c>
      <c r="I1928" t="s">
        <v>47116</v>
      </c>
      <c r="J1928" t="s">
        <v>47117</v>
      </c>
      <c r="K1928" t="s">
        <v>47113</v>
      </c>
      <c r="L1928">
        <v>15.59</v>
      </c>
      <c r="M1928">
        <v>37</v>
      </c>
      <c r="N1928">
        <v>0</v>
      </c>
      <c r="O1928">
        <v>37</v>
      </c>
      <c r="P1928">
        <v>0</v>
      </c>
    </row>
    <row r="1929" spans="1:16" x14ac:dyDescent="0.25">
      <c r="A1929" t="s">
        <v>24338</v>
      </c>
      <c r="B1929" t="s">
        <v>3244</v>
      </c>
      <c r="C1929" t="s">
        <v>3245</v>
      </c>
      <c r="D1929" t="str">
        <f>"6616"</f>
        <v>6616</v>
      </c>
      <c r="E1929" t="s">
        <v>3242</v>
      </c>
      <c r="F1929" t="s">
        <v>6</v>
      </c>
      <c r="G1929" t="s">
        <v>47081</v>
      </c>
      <c r="H1929" t="s">
        <v>47054</v>
      </c>
      <c r="I1929" t="s">
        <v>47116</v>
      </c>
      <c r="J1929" t="s">
        <v>47117</v>
      </c>
      <c r="K1929" t="s">
        <v>47113</v>
      </c>
      <c r="L1929">
        <v>15.95</v>
      </c>
      <c r="M1929">
        <v>42</v>
      </c>
      <c r="N1929">
        <v>0</v>
      </c>
      <c r="O1929">
        <v>42</v>
      </c>
      <c r="P1929">
        <v>0</v>
      </c>
    </row>
    <row r="1930" spans="1:16" x14ac:dyDescent="0.25">
      <c r="A1930" t="s">
        <v>24339</v>
      </c>
      <c r="B1930" t="s">
        <v>3244</v>
      </c>
      <c r="C1930" t="s">
        <v>3245</v>
      </c>
      <c r="D1930" t="str">
        <f>"6814"</f>
        <v>6814</v>
      </c>
      <c r="E1930" t="s">
        <v>1146</v>
      </c>
      <c r="F1930" t="s">
        <v>2</v>
      </c>
      <c r="G1930" t="s">
        <v>47081</v>
      </c>
      <c r="H1930" t="s">
        <v>47054</v>
      </c>
      <c r="I1930" t="s">
        <v>47116</v>
      </c>
      <c r="J1930" t="s">
        <v>47117</v>
      </c>
      <c r="K1930" t="s">
        <v>47113</v>
      </c>
      <c r="L1930">
        <v>15.59</v>
      </c>
      <c r="M1930">
        <v>37</v>
      </c>
      <c r="N1930">
        <v>0</v>
      </c>
      <c r="O1930">
        <v>37</v>
      </c>
      <c r="P1930">
        <v>0</v>
      </c>
    </row>
    <row r="1931" spans="1:16" x14ac:dyDescent="0.25">
      <c r="A1931" t="s">
        <v>24340</v>
      </c>
      <c r="B1931" t="s">
        <v>3244</v>
      </c>
      <c r="C1931" t="s">
        <v>3245</v>
      </c>
      <c r="D1931" t="str">
        <f>"7435"</f>
        <v>7435</v>
      </c>
      <c r="E1931" t="s">
        <v>1148</v>
      </c>
      <c r="F1931" t="s">
        <v>2</v>
      </c>
      <c r="G1931" t="s">
        <v>47081</v>
      </c>
      <c r="H1931" t="s">
        <v>47054</v>
      </c>
      <c r="I1931" t="s">
        <v>47116</v>
      </c>
      <c r="J1931" t="s">
        <v>47117</v>
      </c>
      <c r="K1931" t="s">
        <v>47113</v>
      </c>
      <c r="L1931">
        <v>15.52</v>
      </c>
      <c r="M1931">
        <v>37</v>
      </c>
      <c r="N1931">
        <v>0</v>
      </c>
      <c r="O1931">
        <v>37</v>
      </c>
      <c r="P1931">
        <v>0</v>
      </c>
    </row>
    <row r="1932" spans="1:16" x14ac:dyDescent="0.25">
      <c r="A1932" t="s">
        <v>24341</v>
      </c>
      <c r="B1932" t="s">
        <v>14187</v>
      </c>
      <c r="C1932" t="s">
        <v>14188</v>
      </c>
      <c r="D1932" t="str">
        <f>"6484"</f>
        <v>6484</v>
      </c>
      <c r="E1932" t="s">
        <v>14189</v>
      </c>
      <c r="F1932" t="s">
        <v>3750</v>
      </c>
      <c r="G1932" t="s">
        <v>47081</v>
      </c>
      <c r="H1932" t="s">
        <v>47054</v>
      </c>
      <c r="I1932" t="s">
        <v>47116</v>
      </c>
      <c r="J1932" t="s">
        <v>47117</v>
      </c>
      <c r="K1932" t="s">
        <v>47113</v>
      </c>
      <c r="L1932">
        <v>11.17</v>
      </c>
      <c r="M1932">
        <v>39</v>
      </c>
      <c r="N1932">
        <v>0</v>
      </c>
      <c r="O1932">
        <v>39</v>
      </c>
      <c r="P1932">
        <v>0</v>
      </c>
    </row>
    <row r="1933" spans="1:16" x14ac:dyDescent="0.25">
      <c r="A1933" t="s">
        <v>24342</v>
      </c>
      <c r="B1933" t="s">
        <v>3248</v>
      </c>
      <c r="C1933" t="s">
        <v>3249</v>
      </c>
      <c r="D1933" t="str">
        <f>"1171"</f>
        <v>1171</v>
      </c>
      <c r="E1933" t="s">
        <v>3250</v>
      </c>
      <c r="F1933" t="s">
        <v>6</v>
      </c>
      <c r="G1933" t="s">
        <v>47081</v>
      </c>
      <c r="H1933" t="s">
        <v>47054</v>
      </c>
      <c r="I1933" t="s">
        <v>47111</v>
      </c>
      <c r="J1933" t="s">
        <v>47112</v>
      </c>
      <c r="K1933" t="s">
        <v>47113</v>
      </c>
      <c r="L1933">
        <v>25.37</v>
      </c>
      <c r="M1933">
        <v>69</v>
      </c>
      <c r="N1933">
        <v>0</v>
      </c>
      <c r="O1933">
        <v>69</v>
      </c>
      <c r="P1933">
        <v>0</v>
      </c>
    </row>
    <row r="1934" spans="1:16" x14ac:dyDescent="0.25">
      <c r="A1934" t="s">
        <v>24343</v>
      </c>
      <c r="B1934" t="s">
        <v>3248</v>
      </c>
      <c r="C1934" t="s">
        <v>3249</v>
      </c>
      <c r="D1934" t="str">
        <f>"2729"</f>
        <v>2729</v>
      </c>
      <c r="E1934" t="s">
        <v>3251</v>
      </c>
      <c r="F1934" t="s">
        <v>6</v>
      </c>
      <c r="G1934" t="s">
        <v>47081</v>
      </c>
      <c r="H1934" t="s">
        <v>47054</v>
      </c>
      <c r="I1934" t="s">
        <v>47111</v>
      </c>
      <c r="J1934" t="s">
        <v>47112</v>
      </c>
      <c r="K1934" t="s">
        <v>47113</v>
      </c>
      <c r="L1934">
        <v>25.37</v>
      </c>
      <c r="M1934">
        <v>69</v>
      </c>
      <c r="N1934">
        <v>0</v>
      </c>
      <c r="O1934">
        <v>69</v>
      </c>
      <c r="P1934">
        <v>0</v>
      </c>
    </row>
    <row r="1935" spans="1:16" x14ac:dyDescent="0.25">
      <c r="A1935" t="s">
        <v>24344</v>
      </c>
      <c r="B1935" t="s">
        <v>3248</v>
      </c>
      <c r="C1935" t="s">
        <v>3249</v>
      </c>
      <c r="D1935" t="str">
        <f>"4288"</f>
        <v>4288</v>
      </c>
      <c r="E1935" t="s">
        <v>1239</v>
      </c>
      <c r="F1935" t="s">
        <v>6</v>
      </c>
      <c r="G1935" t="s">
        <v>47081</v>
      </c>
      <c r="H1935" t="s">
        <v>47054</v>
      </c>
      <c r="I1935" t="s">
        <v>47111</v>
      </c>
      <c r="J1935" t="s">
        <v>47112</v>
      </c>
      <c r="K1935" t="s">
        <v>47113</v>
      </c>
      <c r="L1935">
        <v>25.37</v>
      </c>
      <c r="M1935">
        <v>69</v>
      </c>
      <c r="N1935">
        <v>0</v>
      </c>
      <c r="O1935">
        <v>69</v>
      </c>
      <c r="P1935">
        <v>0</v>
      </c>
    </row>
    <row r="1936" spans="1:16" x14ac:dyDescent="0.25">
      <c r="A1936" t="s">
        <v>24345</v>
      </c>
      <c r="B1936" t="s">
        <v>3248</v>
      </c>
      <c r="C1936" t="s">
        <v>3249</v>
      </c>
      <c r="D1936" t="str">
        <f>"6146"</f>
        <v>6146</v>
      </c>
      <c r="E1936" t="s">
        <v>1241</v>
      </c>
      <c r="F1936" t="s">
        <v>6</v>
      </c>
      <c r="G1936" t="s">
        <v>47081</v>
      </c>
      <c r="H1936" t="s">
        <v>47054</v>
      </c>
      <c r="I1936" t="s">
        <v>47111</v>
      </c>
      <c r="J1936" t="s">
        <v>47112</v>
      </c>
      <c r="K1936" t="s">
        <v>47113</v>
      </c>
      <c r="L1936">
        <v>24.48</v>
      </c>
      <c r="M1936">
        <v>69</v>
      </c>
      <c r="N1936">
        <v>0</v>
      </c>
      <c r="O1936">
        <v>69</v>
      </c>
      <c r="P1936">
        <v>0</v>
      </c>
    </row>
    <row r="1937" spans="1:16" x14ac:dyDescent="0.25">
      <c r="A1937" t="s">
        <v>24346</v>
      </c>
      <c r="B1937" t="s">
        <v>3252</v>
      </c>
      <c r="C1937" t="s">
        <v>3253</v>
      </c>
      <c r="D1937" t="str">
        <f>"1746"</f>
        <v>1746</v>
      </c>
      <c r="E1937" t="s">
        <v>807</v>
      </c>
      <c r="F1937" t="s">
        <v>0</v>
      </c>
      <c r="G1937" t="s">
        <v>47147</v>
      </c>
      <c r="H1937" t="s">
        <v>47054</v>
      </c>
      <c r="I1937" t="s">
        <v>47116</v>
      </c>
      <c r="J1937" t="s">
        <v>47117</v>
      </c>
      <c r="K1937" t="s">
        <v>47113</v>
      </c>
      <c r="L1937">
        <v>16.23</v>
      </c>
      <c r="M1937">
        <v>40</v>
      </c>
      <c r="N1937">
        <v>0</v>
      </c>
      <c r="O1937">
        <v>40</v>
      </c>
      <c r="P1937">
        <v>0</v>
      </c>
    </row>
    <row r="1938" spans="1:16" x14ac:dyDescent="0.25">
      <c r="A1938" t="s">
        <v>24347</v>
      </c>
      <c r="B1938" t="s">
        <v>3252</v>
      </c>
      <c r="C1938" t="s">
        <v>3253</v>
      </c>
      <c r="D1938" t="str">
        <f>"3466"</f>
        <v>3466</v>
      </c>
      <c r="E1938" t="s">
        <v>3237</v>
      </c>
      <c r="F1938" t="s">
        <v>0</v>
      </c>
      <c r="G1938" t="s">
        <v>47147</v>
      </c>
      <c r="H1938" t="s">
        <v>47054</v>
      </c>
      <c r="I1938" t="s">
        <v>47116</v>
      </c>
      <c r="J1938" t="s">
        <v>47117</v>
      </c>
      <c r="K1938" t="s">
        <v>47113</v>
      </c>
      <c r="L1938">
        <v>16.23</v>
      </c>
      <c r="M1938">
        <v>40</v>
      </c>
      <c r="N1938">
        <v>0</v>
      </c>
      <c r="O1938">
        <v>40</v>
      </c>
      <c r="P1938">
        <v>0</v>
      </c>
    </row>
    <row r="1939" spans="1:16" x14ac:dyDescent="0.25">
      <c r="A1939" t="s">
        <v>24348</v>
      </c>
      <c r="B1939" t="s">
        <v>3252</v>
      </c>
      <c r="C1939" t="s">
        <v>3253</v>
      </c>
      <c r="D1939" t="str">
        <f>"4705"</f>
        <v>4705</v>
      </c>
      <c r="E1939" t="s">
        <v>3155</v>
      </c>
      <c r="F1939" t="s">
        <v>0</v>
      </c>
      <c r="G1939" t="s">
        <v>47147</v>
      </c>
      <c r="H1939" t="s">
        <v>47054</v>
      </c>
      <c r="I1939" t="s">
        <v>47116</v>
      </c>
      <c r="J1939" t="s">
        <v>47117</v>
      </c>
      <c r="K1939" t="s">
        <v>47113</v>
      </c>
      <c r="L1939">
        <v>16.23</v>
      </c>
      <c r="M1939">
        <v>40</v>
      </c>
      <c r="N1939">
        <v>0</v>
      </c>
      <c r="O1939">
        <v>40</v>
      </c>
      <c r="P1939">
        <v>0</v>
      </c>
    </row>
    <row r="1940" spans="1:16" x14ac:dyDescent="0.25">
      <c r="A1940" t="s">
        <v>24349</v>
      </c>
      <c r="B1940" t="s">
        <v>3252</v>
      </c>
      <c r="C1940" t="s">
        <v>3253</v>
      </c>
      <c r="D1940" t="str">
        <f>"6399"</f>
        <v>6399</v>
      </c>
      <c r="E1940" t="s">
        <v>3161</v>
      </c>
      <c r="F1940" t="s">
        <v>0</v>
      </c>
      <c r="G1940" t="s">
        <v>47147</v>
      </c>
      <c r="H1940" t="s">
        <v>47054</v>
      </c>
      <c r="I1940" t="s">
        <v>47116</v>
      </c>
      <c r="J1940" t="s">
        <v>47117</v>
      </c>
      <c r="K1940" t="s">
        <v>47113</v>
      </c>
      <c r="L1940">
        <v>16.23</v>
      </c>
      <c r="M1940">
        <v>40</v>
      </c>
      <c r="N1940">
        <v>0</v>
      </c>
      <c r="O1940">
        <v>40</v>
      </c>
      <c r="P1940">
        <v>0</v>
      </c>
    </row>
    <row r="1941" spans="1:16" x14ac:dyDescent="0.25">
      <c r="A1941" t="s">
        <v>24350</v>
      </c>
      <c r="B1941" t="s">
        <v>3252</v>
      </c>
      <c r="C1941" t="s">
        <v>3253</v>
      </c>
      <c r="D1941" t="str">
        <f>"7284"</f>
        <v>7284</v>
      </c>
      <c r="E1941" t="s">
        <v>3158</v>
      </c>
      <c r="F1941" t="s">
        <v>0</v>
      </c>
      <c r="G1941" t="s">
        <v>47147</v>
      </c>
      <c r="H1941" t="s">
        <v>47054</v>
      </c>
      <c r="I1941" t="s">
        <v>47116</v>
      </c>
      <c r="J1941" t="s">
        <v>47117</v>
      </c>
      <c r="K1941" t="s">
        <v>47113</v>
      </c>
      <c r="L1941">
        <v>16.23</v>
      </c>
      <c r="M1941">
        <v>40</v>
      </c>
      <c r="N1941">
        <v>0</v>
      </c>
      <c r="O1941">
        <v>40</v>
      </c>
      <c r="P1941">
        <v>0</v>
      </c>
    </row>
    <row r="1942" spans="1:16" x14ac:dyDescent="0.25">
      <c r="A1942" t="s">
        <v>24351</v>
      </c>
      <c r="B1942" t="s">
        <v>3254</v>
      </c>
      <c r="C1942" t="s">
        <v>3255</v>
      </c>
      <c r="D1942" t="str">
        <f>"1835"</f>
        <v>1835</v>
      </c>
      <c r="E1942" t="s">
        <v>3256</v>
      </c>
      <c r="F1942" t="s">
        <v>1</v>
      </c>
      <c r="G1942" t="s">
        <v>47147</v>
      </c>
      <c r="H1942" t="s">
        <v>47054</v>
      </c>
      <c r="I1942" t="s">
        <v>47116</v>
      </c>
      <c r="J1942" t="s">
        <v>47117</v>
      </c>
      <c r="K1942" t="s">
        <v>47113</v>
      </c>
      <c r="L1942">
        <v>19.09</v>
      </c>
      <c r="M1942">
        <v>47</v>
      </c>
      <c r="N1942">
        <v>0</v>
      </c>
      <c r="O1942">
        <v>47</v>
      </c>
      <c r="P1942">
        <v>0</v>
      </c>
    </row>
    <row r="1943" spans="1:16" x14ac:dyDescent="0.25">
      <c r="A1943" t="s">
        <v>24352</v>
      </c>
      <c r="B1943" t="s">
        <v>3257</v>
      </c>
      <c r="C1943" t="s">
        <v>3258</v>
      </c>
      <c r="D1943" t="str">
        <f>"4117"</f>
        <v>4117</v>
      </c>
      <c r="E1943" t="s">
        <v>3215</v>
      </c>
      <c r="F1943" t="s">
        <v>2</v>
      </c>
      <c r="G1943" t="s">
        <v>47081</v>
      </c>
      <c r="H1943" t="s">
        <v>47054</v>
      </c>
      <c r="I1943" t="s">
        <v>47116</v>
      </c>
      <c r="J1943" t="s">
        <v>47117</v>
      </c>
      <c r="K1943" t="s">
        <v>47113</v>
      </c>
      <c r="L1943">
        <v>13.8</v>
      </c>
      <c r="M1943">
        <v>35</v>
      </c>
      <c r="N1943">
        <v>0</v>
      </c>
      <c r="O1943">
        <v>35</v>
      </c>
      <c r="P1943">
        <v>0</v>
      </c>
    </row>
    <row r="1944" spans="1:16" x14ac:dyDescent="0.25">
      <c r="A1944" t="s">
        <v>14844</v>
      </c>
      <c r="B1944" t="s">
        <v>3257</v>
      </c>
      <c r="C1944" t="s">
        <v>3258</v>
      </c>
      <c r="D1944" t="str">
        <f>"6206"</f>
        <v>6206</v>
      </c>
      <c r="E1944" t="s">
        <v>3259</v>
      </c>
      <c r="F1944" t="s">
        <v>2</v>
      </c>
      <c r="G1944" t="s">
        <v>47081</v>
      </c>
      <c r="H1944" t="s">
        <v>47054</v>
      </c>
      <c r="I1944" t="s">
        <v>47116</v>
      </c>
      <c r="J1944" t="s">
        <v>47117</v>
      </c>
      <c r="K1944" t="s">
        <v>47113</v>
      </c>
      <c r="L1944">
        <v>13.97</v>
      </c>
      <c r="M1944">
        <v>35</v>
      </c>
      <c r="N1944">
        <v>0</v>
      </c>
      <c r="O1944">
        <v>35</v>
      </c>
      <c r="P1944">
        <v>0</v>
      </c>
    </row>
    <row r="1945" spans="1:16" x14ac:dyDescent="0.25">
      <c r="A1945" t="s">
        <v>24353</v>
      </c>
      <c r="B1945" t="s">
        <v>3257</v>
      </c>
      <c r="C1945" t="s">
        <v>3258</v>
      </c>
      <c r="D1945" t="str">
        <f>"8316"</f>
        <v>8316</v>
      </c>
      <c r="E1945" t="s">
        <v>3260</v>
      </c>
      <c r="F1945" t="s">
        <v>2</v>
      </c>
      <c r="G1945" t="s">
        <v>47081</v>
      </c>
      <c r="H1945" t="s">
        <v>47054</v>
      </c>
      <c r="I1945" t="s">
        <v>47116</v>
      </c>
      <c r="J1945" t="s">
        <v>47117</v>
      </c>
      <c r="K1945" t="s">
        <v>47113</v>
      </c>
      <c r="L1945">
        <v>13.97</v>
      </c>
      <c r="M1945">
        <v>36</v>
      </c>
      <c r="N1945">
        <v>0</v>
      </c>
      <c r="O1945">
        <v>36</v>
      </c>
      <c r="P1945">
        <v>0</v>
      </c>
    </row>
    <row r="1946" spans="1:16" x14ac:dyDescent="0.25">
      <c r="A1946" t="s">
        <v>24354</v>
      </c>
      <c r="B1946" t="s">
        <v>3261</v>
      </c>
      <c r="C1946" t="s">
        <v>3203</v>
      </c>
      <c r="D1946" t="str">
        <f>"6635"</f>
        <v>6635</v>
      </c>
      <c r="E1946" t="s">
        <v>3147</v>
      </c>
      <c r="F1946" t="s">
        <v>4</v>
      </c>
      <c r="G1946" t="s">
        <v>47081</v>
      </c>
      <c r="H1946" t="s">
        <v>47054</v>
      </c>
      <c r="I1946" t="s">
        <v>47116</v>
      </c>
      <c r="J1946" t="s">
        <v>47117</v>
      </c>
      <c r="K1946" t="s">
        <v>47113</v>
      </c>
      <c r="L1946">
        <v>19.36</v>
      </c>
      <c r="M1946">
        <v>47</v>
      </c>
      <c r="N1946">
        <v>0</v>
      </c>
      <c r="O1946">
        <v>47</v>
      </c>
      <c r="P1946">
        <v>0</v>
      </c>
    </row>
    <row r="1947" spans="1:16" x14ac:dyDescent="0.25">
      <c r="A1947" t="s">
        <v>24355</v>
      </c>
      <c r="B1947" t="s">
        <v>3262</v>
      </c>
      <c r="C1947" t="s">
        <v>3263</v>
      </c>
      <c r="D1947" t="str">
        <f>"6031"</f>
        <v>6031</v>
      </c>
      <c r="E1947" t="s">
        <v>3264</v>
      </c>
      <c r="F1947" t="s">
        <v>6</v>
      </c>
      <c r="G1947" t="s">
        <v>47082</v>
      </c>
      <c r="H1947" t="s">
        <v>47054</v>
      </c>
      <c r="I1947" t="s">
        <v>47111</v>
      </c>
      <c r="J1947" t="s">
        <v>47112</v>
      </c>
      <c r="K1947" t="s">
        <v>47113</v>
      </c>
      <c r="L1947">
        <v>18.13</v>
      </c>
      <c r="M1947">
        <v>47</v>
      </c>
      <c r="N1947">
        <v>0</v>
      </c>
      <c r="O1947">
        <v>47</v>
      </c>
      <c r="P1947">
        <v>0</v>
      </c>
    </row>
    <row r="1948" spans="1:16" x14ac:dyDescent="0.25">
      <c r="A1948" t="s">
        <v>24356</v>
      </c>
      <c r="B1948" t="s">
        <v>3265</v>
      </c>
      <c r="C1948" t="s">
        <v>3266</v>
      </c>
      <c r="D1948" t="str">
        <f>"1746"</f>
        <v>1746</v>
      </c>
      <c r="E1948" t="s">
        <v>807</v>
      </c>
      <c r="F1948" t="s">
        <v>5</v>
      </c>
      <c r="G1948" t="s">
        <v>47087</v>
      </c>
      <c r="H1948" t="s">
        <v>47054</v>
      </c>
      <c r="I1948" t="s">
        <v>47111</v>
      </c>
      <c r="J1948" t="s">
        <v>47112</v>
      </c>
      <c r="K1948" t="s">
        <v>47113</v>
      </c>
      <c r="L1948">
        <v>12.23</v>
      </c>
      <c r="M1948">
        <v>31</v>
      </c>
      <c r="N1948">
        <v>0</v>
      </c>
      <c r="O1948">
        <v>31</v>
      </c>
      <c r="P1948">
        <v>0</v>
      </c>
    </row>
    <row r="1949" spans="1:16" x14ac:dyDescent="0.25">
      <c r="A1949" t="s">
        <v>24357</v>
      </c>
      <c r="B1949" t="s">
        <v>3267</v>
      </c>
      <c r="C1949" t="s">
        <v>3268</v>
      </c>
      <c r="D1949" t="str">
        <f>"1746"</f>
        <v>1746</v>
      </c>
      <c r="E1949" t="s">
        <v>807</v>
      </c>
      <c r="F1949" t="s">
        <v>6</v>
      </c>
      <c r="G1949" t="s">
        <v>47087</v>
      </c>
      <c r="H1949" t="s">
        <v>47054</v>
      </c>
      <c r="I1949" t="s">
        <v>47111</v>
      </c>
      <c r="J1949" t="s">
        <v>47112</v>
      </c>
      <c r="K1949" t="s">
        <v>47113</v>
      </c>
      <c r="L1949">
        <v>11.4</v>
      </c>
      <c r="M1949">
        <v>31</v>
      </c>
      <c r="N1949">
        <v>0</v>
      </c>
      <c r="O1949">
        <v>31</v>
      </c>
      <c r="P1949">
        <v>0</v>
      </c>
    </row>
    <row r="1950" spans="1:16" x14ac:dyDescent="0.25">
      <c r="A1950" t="s">
        <v>14845</v>
      </c>
      <c r="B1950" t="s">
        <v>3269</v>
      </c>
      <c r="C1950" t="s">
        <v>3270</v>
      </c>
      <c r="D1950" t="str">
        <f>"5402"</f>
        <v>5402</v>
      </c>
      <c r="E1950" t="s">
        <v>3271</v>
      </c>
      <c r="F1950" t="s">
        <v>8</v>
      </c>
      <c r="G1950" t="s">
        <v>47150</v>
      </c>
      <c r="H1950" t="s">
        <v>47054</v>
      </c>
      <c r="I1950" t="s">
        <v>47118</v>
      </c>
      <c r="J1950" t="s">
        <v>47119</v>
      </c>
      <c r="K1950" t="s">
        <v>47113</v>
      </c>
      <c r="L1950">
        <v>15.66</v>
      </c>
      <c r="M1950">
        <v>43</v>
      </c>
      <c r="N1950">
        <v>0</v>
      </c>
      <c r="O1950">
        <v>43</v>
      </c>
      <c r="P1950">
        <v>0</v>
      </c>
    </row>
    <row r="1951" spans="1:16" x14ac:dyDescent="0.25">
      <c r="A1951" t="s">
        <v>14846</v>
      </c>
      <c r="B1951" t="s">
        <v>3272</v>
      </c>
      <c r="C1951" t="s">
        <v>3273</v>
      </c>
      <c r="D1951" t="str">
        <f>"1923"</f>
        <v>1923</v>
      </c>
      <c r="E1951" t="s">
        <v>3274</v>
      </c>
      <c r="F1951" t="s">
        <v>2</v>
      </c>
      <c r="G1951" t="s">
        <v>47151</v>
      </c>
      <c r="H1951" t="s">
        <v>47054</v>
      </c>
      <c r="I1951" t="s">
        <v>47111</v>
      </c>
      <c r="J1951" t="s">
        <v>47112</v>
      </c>
      <c r="K1951" t="s">
        <v>47113</v>
      </c>
      <c r="L1951">
        <v>7.59</v>
      </c>
      <c r="M1951">
        <v>20</v>
      </c>
      <c r="N1951">
        <v>0</v>
      </c>
      <c r="O1951">
        <v>20</v>
      </c>
      <c r="P1951">
        <v>0</v>
      </c>
    </row>
    <row r="1952" spans="1:16" x14ac:dyDescent="0.25">
      <c r="A1952" t="s">
        <v>14847</v>
      </c>
      <c r="B1952" t="s">
        <v>3275</v>
      </c>
      <c r="C1952" t="s">
        <v>3273</v>
      </c>
      <c r="D1952" t="str">
        <f>"6254"</f>
        <v>6254</v>
      </c>
      <c r="E1952" t="s">
        <v>3276</v>
      </c>
      <c r="F1952" t="s">
        <v>2</v>
      </c>
      <c r="G1952" t="s">
        <v>47151</v>
      </c>
      <c r="H1952" t="s">
        <v>47054</v>
      </c>
      <c r="I1952" t="s">
        <v>47111</v>
      </c>
      <c r="J1952" t="s">
        <v>47112</v>
      </c>
      <c r="K1952" t="s">
        <v>47113</v>
      </c>
      <c r="L1952">
        <v>8.32</v>
      </c>
      <c r="M1952">
        <v>21</v>
      </c>
      <c r="N1952">
        <v>0</v>
      </c>
      <c r="O1952">
        <v>21</v>
      </c>
      <c r="P1952">
        <v>0</v>
      </c>
    </row>
    <row r="1953" spans="1:16" x14ac:dyDescent="0.25">
      <c r="A1953" t="s">
        <v>24358</v>
      </c>
      <c r="B1953" t="s">
        <v>3277</v>
      </c>
      <c r="C1953" t="s">
        <v>3278</v>
      </c>
      <c r="D1953" t="str">
        <f>"6399"</f>
        <v>6399</v>
      </c>
      <c r="E1953" t="s">
        <v>3161</v>
      </c>
      <c r="F1953" t="s">
        <v>0</v>
      </c>
      <c r="G1953" t="s">
        <v>47151</v>
      </c>
      <c r="H1953" t="s">
        <v>47054</v>
      </c>
      <c r="I1953" t="s">
        <v>47111</v>
      </c>
      <c r="J1953" t="s">
        <v>47112</v>
      </c>
      <c r="K1953" t="s">
        <v>47113</v>
      </c>
      <c r="L1953">
        <v>10.08</v>
      </c>
      <c r="M1953">
        <v>25</v>
      </c>
      <c r="N1953">
        <v>0</v>
      </c>
      <c r="O1953">
        <v>25</v>
      </c>
      <c r="P1953">
        <v>0</v>
      </c>
    </row>
    <row r="1954" spans="1:16" x14ac:dyDescent="0.25">
      <c r="A1954" t="s">
        <v>24359</v>
      </c>
      <c r="B1954" t="s">
        <v>3279</v>
      </c>
      <c r="C1954" t="s">
        <v>3280</v>
      </c>
      <c r="D1954" t="str">
        <f>"1821"</f>
        <v>1821</v>
      </c>
      <c r="E1954" t="s">
        <v>590</v>
      </c>
      <c r="F1954" t="s">
        <v>0</v>
      </c>
      <c r="G1954" t="s">
        <v>47151</v>
      </c>
      <c r="H1954" t="s">
        <v>47054</v>
      </c>
      <c r="I1954" t="s">
        <v>47111</v>
      </c>
      <c r="J1954" t="s">
        <v>47112</v>
      </c>
      <c r="K1954" t="s">
        <v>47113</v>
      </c>
      <c r="L1954">
        <v>8.57</v>
      </c>
      <c r="M1954">
        <v>21</v>
      </c>
      <c r="N1954">
        <v>0</v>
      </c>
      <c r="O1954">
        <v>21</v>
      </c>
      <c r="P1954">
        <v>0</v>
      </c>
    </row>
    <row r="1955" spans="1:16" x14ac:dyDescent="0.25">
      <c r="A1955" t="s">
        <v>24360</v>
      </c>
      <c r="B1955" t="s">
        <v>3281</v>
      </c>
      <c r="C1955" t="s">
        <v>3282</v>
      </c>
      <c r="D1955" t="str">
        <f>"5031"</f>
        <v>5031</v>
      </c>
      <c r="E1955" t="s">
        <v>2771</v>
      </c>
      <c r="F1955" t="s">
        <v>6</v>
      </c>
      <c r="G1955" t="s">
        <v>47082</v>
      </c>
      <c r="H1955" t="s">
        <v>47054</v>
      </c>
      <c r="I1955" t="s">
        <v>47111</v>
      </c>
      <c r="J1955" t="s">
        <v>47112</v>
      </c>
      <c r="K1955" t="s">
        <v>47113</v>
      </c>
      <c r="L1955">
        <v>24.25</v>
      </c>
      <c r="M1955">
        <v>58</v>
      </c>
      <c r="N1955">
        <v>0</v>
      </c>
      <c r="O1955">
        <v>58</v>
      </c>
      <c r="P1955">
        <v>0</v>
      </c>
    </row>
    <row r="1956" spans="1:16" x14ac:dyDescent="0.25">
      <c r="A1956" t="s">
        <v>24361</v>
      </c>
      <c r="B1956" t="s">
        <v>3283</v>
      </c>
      <c r="C1956" t="s">
        <v>3284</v>
      </c>
      <c r="D1956" t="s">
        <v>3285</v>
      </c>
      <c r="E1956" t="s">
        <v>3286</v>
      </c>
      <c r="F1956" t="s">
        <v>4</v>
      </c>
      <c r="G1956" t="s">
        <v>47081</v>
      </c>
      <c r="H1956" t="s">
        <v>47054</v>
      </c>
      <c r="I1956" t="s">
        <v>47116</v>
      </c>
      <c r="J1956" t="s">
        <v>47117</v>
      </c>
      <c r="K1956" t="s">
        <v>47113</v>
      </c>
      <c r="L1956">
        <v>18.38</v>
      </c>
      <c r="M1956">
        <v>45</v>
      </c>
      <c r="N1956">
        <v>0</v>
      </c>
      <c r="O1956">
        <v>45</v>
      </c>
      <c r="P1956">
        <v>0</v>
      </c>
    </row>
    <row r="1957" spans="1:16" x14ac:dyDescent="0.25">
      <c r="A1957" t="s">
        <v>24362</v>
      </c>
      <c r="B1957" t="s">
        <v>3283</v>
      </c>
      <c r="C1957" t="s">
        <v>3284</v>
      </c>
      <c r="D1957" t="s">
        <v>3287</v>
      </c>
      <c r="E1957" t="s">
        <v>3288</v>
      </c>
      <c r="F1957" t="s">
        <v>4</v>
      </c>
      <c r="G1957" t="s">
        <v>47081</v>
      </c>
      <c r="H1957" t="s">
        <v>47054</v>
      </c>
      <c r="I1957" t="s">
        <v>47116</v>
      </c>
      <c r="J1957" t="s">
        <v>47117</v>
      </c>
      <c r="K1957" t="s">
        <v>47113</v>
      </c>
      <c r="L1957">
        <v>20.23</v>
      </c>
      <c r="M1957">
        <v>49</v>
      </c>
      <c r="N1957">
        <v>0</v>
      </c>
      <c r="O1957">
        <v>49</v>
      </c>
      <c r="P1957">
        <v>0</v>
      </c>
    </row>
    <row r="1958" spans="1:16" x14ac:dyDescent="0.25">
      <c r="A1958" t="s">
        <v>24363</v>
      </c>
      <c r="B1958" t="s">
        <v>3289</v>
      </c>
      <c r="C1958" t="s">
        <v>3290</v>
      </c>
      <c r="D1958" t="s">
        <v>3291</v>
      </c>
      <c r="E1958" t="s">
        <v>3292</v>
      </c>
      <c r="F1958" t="s">
        <v>5</v>
      </c>
      <c r="G1958" t="s">
        <v>47081</v>
      </c>
      <c r="H1958" t="s">
        <v>47054</v>
      </c>
      <c r="I1958" t="s">
        <v>47116</v>
      </c>
      <c r="J1958" t="s">
        <v>47117</v>
      </c>
      <c r="K1958" t="s">
        <v>47113</v>
      </c>
      <c r="L1958">
        <v>19.97</v>
      </c>
      <c r="M1958">
        <v>50</v>
      </c>
      <c r="N1958">
        <v>0</v>
      </c>
      <c r="O1958">
        <v>50</v>
      </c>
      <c r="P1958">
        <v>0</v>
      </c>
    </row>
    <row r="1959" spans="1:16" x14ac:dyDescent="0.25">
      <c r="A1959" t="s">
        <v>24364</v>
      </c>
      <c r="B1959" t="s">
        <v>3289</v>
      </c>
      <c r="C1959" t="s">
        <v>3290</v>
      </c>
      <c r="D1959" t="s">
        <v>3285</v>
      </c>
      <c r="E1959" t="s">
        <v>3286</v>
      </c>
      <c r="F1959" t="s">
        <v>4</v>
      </c>
      <c r="G1959" t="s">
        <v>47081</v>
      </c>
      <c r="H1959" t="s">
        <v>47054</v>
      </c>
      <c r="I1959" t="s">
        <v>47116</v>
      </c>
      <c r="J1959" t="s">
        <v>47117</v>
      </c>
      <c r="K1959" t="s">
        <v>47113</v>
      </c>
      <c r="L1959">
        <v>18.38</v>
      </c>
      <c r="M1959">
        <v>45</v>
      </c>
      <c r="N1959">
        <v>0</v>
      </c>
      <c r="O1959">
        <v>45</v>
      </c>
      <c r="P1959">
        <v>0</v>
      </c>
    </row>
    <row r="1960" spans="1:16" x14ac:dyDescent="0.25">
      <c r="A1960" t="s">
        <v>24365</v>
      </c>
      <c r="B1960" t="s">
        <v>3289</v>
      </c>
      <c r="C1960" t="s">
        <v>3290</v>
      </c>
      <c r="D1960" t="s">
        <v>3287</v>
      </c>
      <c r="E1960" t="s">
        <v>3288</v>
      </c>
      <c r="F1960" t="s">
        <v>4</v>
      </c>
      <c r="G1960" t="s">
        <v>47081</v>
      </c>
      <c r="H1960" t="s">
        <v>47054</v>
      </c>
      <c r="I1960" t="s">
        <v>47116</v>
      </c>
      <c r="J1960" t="s">
        <v>47117</v>
      </c>
      <c r="K1960" t="s">
        <v>47113</v>
      </c>
      <c r="L1960">
        <v>20.23</v>
      </c>
      <c r="M1960">
        <v>49</v>
      </c>
      <c r="N1960">
        <v>0</v>
      </c>
      <c r="O1960">
        <v>49</v>
      </c>
      <c r="P1960">
        <v>0</v>
      </c>
    </row>
    <row r="1961" spans="1:16" x14ac:dyDescent="0.25">
      <c r="A1961" t="s">
        <v>24366</v>
      </c>
      <c r="B1961" t="s">
        <v>3293</v>
      </c>
      <c r="C1961" t="s">
        <v>3294</v>
      </c>
      <c r="D1961" t="str">
        <f>"1035"</f>
        <v>1035</v>
      </c>
      <c r="E1961" t="s">
        <v>758</v>
      </c>
      <c r="F1961" t="s">
        <v>5</v>
      </c>
      <c r="G1961" t="s">
        <v>47087</v>
      </c>
      <c r="H1961" t="s">
        <v>47054</v>
      </c>
      <c r="I1961" t="s">
        <v>47111</v>
      </c>
      <c r="J1961" t="s">
        <v>47112</v>
      </c>
      <c r="K1961" t="s">
        <v>47113</v>
      </c>
      <c r="L1961">
        <v>10.65</v>
      </c>
      <c r="M1961">
        <v>27</v>
      </c>
      <c r="N1961">
        <v>0</v>
      </c>
      <c r="O1961">
        <v>27</v>
      </c>
      <c r="P1961">
        <v>0</v>
      </c>
    </row>
    <row r="1962" spans="1:16" x14ac:dyDescent="0.25">
      <c r="A1962" t="s">
        <v>24367</v>
      </c>
      <c r="B1962" t="s">
        <v>3295</v>
      </c>
      <c r="C1962" t="s">
        <v>3296</v>
      </c>
      <c r="D1962" t="str">
        <f>"1528"</f>
        <v>1528</v>
      </c>
      <c r="E1962" t="s">
        <v>2770</v>
      </c>
      <c r="F1962" t="s">
        <v>6</v>
      </c>
      <c r="G1962" t="s">
        <v>47087</v>
      </c>
      <c r="H1962" t="s">
        <v>47054</v>
      </c>
      <c r="I1962" t="s">
        <v>47111</v>
      </c>
      <c r="J1962" t="s">
        <v>47112</v>
      </c>
      <c r="K1962" t="s">
        <v>47113</v>
      </c>
      <c r="L1962">
        <v>10.37</v>
      </c>
      <c r="M1962">
        <v>29</v>
      </c>
      <c r="N1962">
        <v>0</v>
      </c>
      <c r="O1962">
        <v>29</v>
      </c>
      <c r="P1962">
        <v>0</v>
      </c>
    </row>
    <row r="1963" spans="1:16" x14ac:dyDescent="0.25">
      <c r="A1963" t="s">
        <v>24368</v>
      </c>
      <c r="B1963" t="s">
        <v>3295</v>
      </c>
      <c r="C1963" t="s">
        <v>3296</v>
      </c>
      <c r="D1963" t="str">
        <f>"1740"</f>
        <v>1740</v>
      </c>
      <c r="E1963" t="s">
        <v>2747</v>
      </c>
      <c r="F1963" t="s">
        <v>6</v>
      </c>
      <c r="G1963" t="s">
        <v>47087</v>
      </c>
      <c r="H1963" t="s">
        <v>47054</v>
      </c>
      <c r="I1963" t="s">
        <v>47111</v>
      </c>
      <c r="J1963" t="s">
        <v>47112</v>
      </c>
      <c r="K1963" t="s">
        <v>47113</v>
      </c>
      <c r="L1963">
        <v>10.37</v>
      </c>
      <c r="M1963">
        <v>29</v>
      </c>
      <c r="N1963">
        <v>0</v>
      </c>
      <c r="O1963">
        <v>29</v>
      </c>
      <c r="P1963">
        <v>0</v>
      </c>
    </row>
    <row r="1964" spans="1:16" x14ac:dyDescent="0.25">
      <c r="A1964" t="s">
        <v>24369</v>
      </c>
      <c r="B1964" t="s">
        <v>3295</v>
      </c>
      <c r="C1964" t="s">
        <v>3296</v>
      </c>
      <c r="D1964" t="str">
        <f>"1746"</f>
        <v>1746</v>
      </c>
      <c r="E1964" t="s">
        <v>807</v>
      </c>
      <c r="F1964" t="s">
        <v>6</v>
      </c>
      <c r="G1964" t="s">
        <v>47087</v>
      </c>
      <c r="H1964" t="s">
        <v>47054</v>
      </c>
      <c r="I1964" t="s">
        <v>47111</v>
      </c>
      <c r="J1964" t="s">
        <v>47112</v>
      </c>
      <c r="K1964" t="s">
        <v>47113</v>
      </c>
      <c r="L1964">
        <v>10.37</v>
      </c>
      <c r="M1964">
        <v>29</v>
      </c>
      <c r="N1964">
        <v>0</v>
      </c>
      <c r="O1964">
        <v>29</v>
      </c>
      <c r="P1964">
        <v>0</v>
      </c>
    </row>
    <row r="1965" spans="1:16" x14ac:dyDescent="0.25">
      <c r="A1965" t="s">
        <v>24370</v>
      </c>
      <c r="B1965" t="s">
        <v>3295</v>
      </c>
      <c r="C1965" t="s">
        <v>3296</v>
      </c>
      <c r="D1965" t="str">
        <f>"5031"</f>
        <v>5031</v>
      </c>
      <c r="E1965" t="s">
        <v>2771</v>
      </c>
      <c r="F1965" t="s">
        <v>6</v>
      </c>
      <c r="G1965" t="s">
        <v>47087</v>
      </c>
      <c r="H1965" t="s">
        <v>47054</v>
      </c>
      <c r="I1965" t="s">
        <v>47111</v>
      </c>
      <c r="J1965" t="s">
        <v>47112</v>
      </c>
      <c r="K1965" t="s">
        <v>47113</v>
      </c>
      <c r="L1965">
        <v>10.37</v>
      </c>
      <c r="M1965">
        <v>29</v>
      </c>
      <c r="N1965">
        <v>0</v>
      </c>
      <c r="O1965">
        <v>29</v>
      </c>
      <c r="P1965">
        <v>0</v>
      </c>
    </row>
    <row r="1966" spans="1:16" x14ac:dyDescent="0.25">
      <c r="A1966" t="s">
        <v>24371</v>
      </c>
      <c r="B1966" t="s">
        <v>3295</v>
      </c>
      <c r="C1966" t="s">
        <v>3296</v>
      </c>
      <c r="D1966" t="str">
        <f>"6122"</f>
        <v>6122</v>
      </c>
      <c r="E1966" t="s">
        <v>1197</v>
      </c>
      <c r="F1966" t="s">
        <v>6</v>
      </c>
      <c r="G1966" t="s">
        <v>47087</v>
      </c>
      <c r="H1966" t="s">
        <v>47054</v>
      </c>
      <c r="I1966" t="s">
        <v>47111</v>
      </c>
      <c r="J1966" t="s">
        <v>47112</v>
      </c>
      <c r="K1966" t="s">
        <v>47113</v>
      </c>
      <c r="L1966">
        <v>10.37</v>
      </c>
      <c r="M1966">
        <v>29</v>
      </c>
      <c r="N1966">
        <v>0</v>
      </c>
      <c r="O1966">
        <v>29</v>
      </c>
      <c r="P1966">
        <v>0</v>
      </c>
    </row>
    <row r="1967" spans="1:16" x14ac:dyDescent="0.25">
      <c r="A1967" t="s">
        <v>14848</v>
      </c>
      <c r="B1967" t="s">
        <v>3297</v>
      </c>
      <c r="C1967" t="s">
        <v>3298</v>
      </c>
      <c r="D1967" t="str">
        <f>"1746"</f>
        <v>1746</v>
      </c>
      <c r="E1967" t="s">
        <v>807</v>
      </c>
      <c r="F1967" t="s">
        <v>2</v>
      </c>
      <c r="G1967" t="s">
        <v>47087</v>
      </c>
      <c r="H1967" t="s">
        <v>47054</v>
      </c>
      <c r="I1967" t="s">
        <v>47111</v>
      </c>
      <c r="J1967" t="s">
        <v>47112</v>
      </c>
      <c r="K1967" t="s">
        <v>47113</v>
      </c>
      <c r="L1967">
        <v>9.32</v>
      </c>
      <c r="M1967">
        <v>23</v>
      </c>
      <c r="N1967">
        <v>0</v>
      </c>
      <c r="O1967">
        <v>23</v>
      </c>
      <c r="P1967">
        <v>0</v>
      </c>
    </row>
    <row r="1968" spans="1:16" x14ac:dyDescent="0.25">
      <c r="A1968" t="s">
        <v>24372</v>
      </c>
      <c r="B1968" t="s">
        <v>3297</v>
      </c>
      <c r="C1968" t="s">
        <v>3298</v>
      </c>
      <c r="D1968" t="str">
        <f>"2627"</f>
        <v>2627</v>
      </c>
      <c r="E1968" t="s">
        <v>1209</v>
      </c>
      <c r="F1968" t="s">
        <v>2</v>
      </c>
      <c r="G1968" t="s">
        <v>47087</v>
      </c>
      <c r="H1968" t="s">
        <v>47054</v>
      </c>
      <c r="I1968" t="s">
        <v>47111</v>
      </c>
      <c r="J1968" t="s">
        <v>47112</v>
      </c>
      <c r="K1968" t="s">
        <v>47113</v>
      </c>
      <c r="L1968">
        <v>9.86</v>
      </c>
      <c r="M1968">
        <v>24</v>
      </c>
      <c r="N1968">
        <v>0</v>
      </c>
      <c r="O1968">
        <v>24</v>
      </c>
      <c r="P1968">
        <v>0</v>
      </c>
    </row>
    <row r="1969" spans="1:16" x14ac:dyDescent="0.25">
      <c r="A1969" t="s">
        <v>24373</v>
      </c>
      <c r="B1969" t="s">
        <v>3299</v>
      </c>
      <c r="C1969" t="s">
        <v>1204</v>
      </c>
      <c r="D1969" t="str">
        <f>"4483"</f>
        <v>4483</v>
      </c>
      <c r="E1969" t="s">
        <v>1205</v>
      </c>
      <c r="F1969" t="s">
        <v>2</v>
      </c>
      <c r="G1969" t="s">
        <v>47087</v>
      </c>
      <c r="H1969" t="s">
        <v>47054</v>
      </c>
      <c r="I1969" t="s">
        <v>47111</v>
      </c>
      <c r="J1969" t="s">
        <v>47112</v>
      </c>
      <c r="K1969" t="s">
        <v>47113</v>
      </c>
      <c r="L1969">
        <v>9.5299999999999994</v>
      </c>
      <c r="M1969">
        <v>24</v>
      </c>
      <c r="N1969">
        <v>0</v>
      </c>
      <c r="O1969">
        <v>24</v>
      </c>
      <c r="P1969">
        <v>0</v>
      </c>
    </row>
    <row r="1970" spans="1:16" x14ac:dyDescent="0.25">
      <c r="A1970" t="s">
        <v>24374</v>
      </c>
      <c r="B1970" t="s">
        <v>3300</v>
      </c>
      <c r="C1970" t="s">
        <v>3301</v>
      </c>
      <c r="D1970" t="str">
        <f>"1746"</f>
        <v>1746</v>
      </c>
      <c r="E1970" t="s">
        <v>807</v>
      </c>
      <c r="F1970" t="s">
        <v>2</v>
      </c>
      <c r="G1970" t="s">
        <v>47087</v>
      </c>
      <c r="H1970" t="s">
        <v>47054</v>
      </c>
      <c r="I1970" t="s">
        <v>47111</v>
      </c>
      <c r="J1970" t="s">
        <v>47112</v>
      </c>
      <c r="K1970" t="s">
        <v>47113</v>
      </c>
      <c r="L1970">
        <v>10.41</v>
      </c>
      <c r="M1970">
        <v>26</v>
      </c>
      <c r="N1970">
        <v>0</v>
      </c>
      <c r="O1970">
        <v>26</v>
      </c>
      <c r="P1970">
        <v>0</v>
      </c>
    </row>
    <row r="1971" spans="1:16" x14ac:dyDescent="0.25">
      <c r="A1971" t="s">
        <v>24375</v>
      </c>
      <c r="B1971" t="s">
        <v>3302</v>
      </c>
      <c r="C1971" t="s">
        <v>3303</v>
      </c>
      <c r="D1971" t="str">
        <f>"7439"</f>
        <v>7439</v>
      </c>
      <c r="E1971" t="s">
        <v>3304</v>
      </c>
      <c r="F1971" t="s">
        <v>2</v>
      </c>
      <c r="G1971" t="s">
        <v>47087</v>
      </c>
      <c r="H1971" t="s">
        <v>47054</v>
      </c>
      <c r="I1971" t="s">
        <v>47111</v>
      </c>
      <c r="J1971" t="s">
        <v>47112</v>
      </c>
      <c r="K1971" t="s">
        <v>47113</v>
      </c>
      <c r="L1971">
        <v>14.66</v>
      </c>
      <c r="M1971">
        <v>35</v>
      </c>
      <c r="N1971">
        <v>0</v>
      </c>
      <c r="O1971">
        <v>35</v>
      </c>
      <c r="P1971">
        <v>0</v>
      </c>
    </row>
    <row r="1972" spans="1:16" x14ac:dyDescent="0.25">
      <c r="A1972" t="s">
        <v>24376</v>
      </c>
      <c r="B1972" t="s">
        <v>3305</v>
      </c>
      <c r="C1972" t="s">
        <v>3306</v>
      </c>
      <c r="D1972" t="str">
        <f>"4599"</f>
        <v>4599</v>
      </c>
      <c r="E1972" t="s">
        <v>3110</v>
      </c>
      <c r="F1972" t="s">
        <v>5</v>
      </c>
      <c r="G1972" t="s">
        <v>47083</v>
      </c>
      <c r="H1972" t="s">
        <v>47054</v>
      </c>
      <c r="I1972" t="s">
        <v>47120</v>
      </c>
      <c r="J1972" t="s">
        <v>47121</v>
      </c>
      <c r="K1972" t="s">
        <v>47113</v>
      </c>
      <c r="L1972">
        <v>19.18</v>
      </c>
      <c r="M1972">
        <v>47</v>
      </c>
      <c r="N1972">
        <v>0</v>
      </c>
      <c r="O1972">
        <v>47</v>
      </c>
      <c r="P1972">
        <v>0</v>
      </c>
    </row>
    <row r="1973" spans="1:16" x14ac:dyDescent="0.25">
      <c r="A1973" t="s">
        <v>24377</v>
      </c>
      <c r="B1973" t="s">
        <v>3307</v>
      </c>
      <c r="C1973" t="s">
        <v>3301</v>
      </c>
      <c r="D1973" t="str">
        <f>"1505"</f>
        <v>1505</v>
      </c>
      <c r="E1973" t="s">
        <v>1667</v>
      </c>
      <c r="F1973" t="s">
        <v>2</v>
      </c>
      <c r="G1973" t="s">
        <v>47087</v>
      </c>
      <c r="H1973" t="s">
        <v>47054</v>
      </c>
      <c r="I1973" t="s">
        <v>47111</v>
      </c>
      <c r="J1973" t="s">
        <v>47112</v>
      </c>
      <c r="K1973" t="s">
        <v>47113</v>
      </c>
      <c r="L1973">
        <v>10.53</v>
      </c>
      <c r="M1973">
        <v>26</v>
      </c>
      <c r="N1973">
        <v>0</v>
      </c>
      <c r="O1973">
        <v>26</v>
      </c>
      <c r="P1973">
        <v>0</v>
      </c>
    </row>
    <row r="1974" spans="1:16" x14ac:dyDescent="0.25">
      <c r="A1974" t="s">
        <v>24378</v>
      </c>
      <c r="B1974" t="s">
        <v>3308</v>
      </c>
      <c r="C1974" t="s">
        <v>1316</v>
      </c>
      <c r="D1974" t="str">
        <f>"6174"</f>
        <v>6174</v>
      </c>
      <c r="E1974" t="s">
        <v>1319</v>
      </c>
      <c r="F1974" t="s">
        <v>2</v>
      </c>
      <c r="G1974" t="s">
        <v>47150</v>
      </c>
      <c r="H1974" t="s">
        <v>47054</v>
      </c>
      <c r="I1974" t="s">
        <v>47118</v>
      </c>
      <c r="J1974" t="s">
        <v>47119</v>
      </c>
      <c r="K1974" t="s">
        <v>47113</v>
      </c>
      <c r="L1974">
        <v>18.87</v>
      </c>
      <c r="M1974">
        <v>45</v>
      </c>
      <c r="N1974">
        <v>0</v>
      </c>
      <c r="O1974">
        <v>45</v>
      </c>
      <c r="P1974">
        <v>0</v>
      </c>
    </row>
    <row r="1975" spans="1:16" x14ac:dyDescent="0.25">
      <c r="A1975" t="s">
        <v>24379</v>
      </c>
      <c r="B1975" t="s">
        <v>3309</v>
      </c>
      <c r="C1975" t="s">
        <v>3310</v>
      </c>
      <c r="D1975" t="str">
        <f>"3265"</f>
        <v>3265</v>
      </c>
      <c r="E1975" t="s">
        <v>2386</v>
      </c>
      <c r="F1975" t="s">
        <v>4</v>
      </c>
      <c r="G1975" t="s">
        <v>47149</v>
      </c>
      <c r="H1975" t="s">
        <v>47054</v>
      </c>
      <c r="I1975" t="s">
        <v>47118</v>
      </c>
      <c r="J1975" t="s">
        <v>47119</v>
      </c>
      <c r="K1975" t="s">
        <v>47113</v>
      </c>
      <c r="L1975">
        <v>29.94</v>
      </c>
      <c r="M1975">
        <v>73</v>
      </c>
      <c r="N1975">
        <v>0</v>
      </c>
      <c r="O1975">
        <v>73</v>
      </c>
      <c r="P1975">
        <v>0</v>
      </c>
    </row>
    <row r="1976" spans="1:16" x14ac:dyDescent="0.25">
      <c r="A1976" t="s">
        <v>24380</v>
      </c>
      <c r="B1976" t="s">
        <v>3309</v>
      </c>
      <c r="C1976" t="s">
        <v>3310</v>
      </c>
      <c r="D1976" t="str">
        <f>"6395"</f>
        <v>6395</v>
      </c>
      <c r="E1976" t="s">
        <v>3311</v>
      </c>
      <c r="F1976" t="s">
        <v>4</v>
      </c>
      <c r="G1976" t="s">
        <v>47149</v>
      </c>
      <c r="H1976" t="s">
        <v>47054</v>
      </c>
      <c r="I1976" t="s">
        <v>47118</v>
      </c>
      <c r="J1976" t="s">
        <v>47119</v>
      </c>
      <c r="K1976" t="s">
        <v>47113</v>
      </c>
      <c r="L1976">
        <v>29.94</v>
      </c>
      <c r="M1976">
        <v>73</v>
      </c>
      <c r="N1976">
        <v>0</v>
      </c>
      <c r="O1976">
        <v>73</v>
      </c>
      <c r="P1976">
        <v>0</v>
      </c>
    </row>
    <row r="1977" spans="1:16" x14ac:dyDescent="0.25">
      <c r="A1977" t="s">
        <v>24381</v>
      </c>
      <c r="B1977" t="s">
        <v>3312</v>
      </c>
      <c r="C1977" t="s">
        <v>3313</v>
      </c>
      <c r="D1977" t="s">
        <v>721</v>
      </c>
      <c r="E1977" t="s">
        <v>722</v>
      </c>
      <c r="F1977" t="s">
        <v>52</v>
      </c>
      <c r="G1977" t="s">
        <v>47081</v>
      </c>
      <c r="H1977" t="s">
        <v>47054</v>
      </c>
      <c r="I1977" t="s">
        <v>47111</v>
      </c>
      <c r="J1977" t="s">
        <v>47112</v>
      </c>
      <c r="K1977" t="s">
        <v>47113</v>
      </c>
      <c r="L1977">
        <v>17.8</v>
      </c>
      <c r="M1977">
        <v>44</v>
      </c>
      <c r="N1977">
        <v>0</v>
      </c>
      <c r="O1977">
        <v>44</v>
      </c>
      <c r="P1977">
        <v>0</v>
      </c>
    </row>
    <row r="1978" spans="1:16" x14ac:dyDescent="0.25">
      <c r="A1978" t="s">
        <v>24382</v>
      </c>
      <c r="B1978" t="s">
        <v>3314</v>
      </c>
      <c r="C1978" t="s">
        <v>3315</v>
      </c>
      <c r="D1978" t="s">
        <v>2529</v>
      </c>
      <c r="E1978" t="s">
        <v>2530</v>
      </c>
      <c r="F1978" t="s">
        <v>7</v>
      </c>
      <c r="G1978" t="s">
        <v>47148</v>
      </c>
      <c r="H1978" t="s">
        <v>47054</v>
      </c>
      <c r="I1978" t="s">
        <v>47116</v>
      </c>
      <c r="J1978" t="s">
        <v>47117</v>
      </c>
      <c r="K1978" t="s">
        <v>47113</v>
      </c>
      <c r="L1978">
        <v>21.06</v>
      </c>
      <c r="M1978">
        <v>54</v>
      </c>
      <c r="N1978">
        <v>0</v>
      </c>
      <c r="O1978">
        <v>54</v>
      </c>
      <c r="P1978">
        <v>0</v>
      </c>
    </row>
    <row r="1979" spans="1:16" x14ac:dyDescent="0.25">
      <c r="A1979" t="s">
        <v>24383</v>
      </c>
      <c r="B1979" t="s">
        <v>3316</v>
      </c>
      <c r="C1979" t="s">
        <v>3317</v>
      </c>
      <c r="D1979" t="s">
        <v>1792</v>
      </c>
      <c r="E1979" t="s">
        <v>1793</v>
      </c>
      <c r="F1979" t="s">
        <v>52</v>
      </c>
      <c r="G1979" t="s">
        <v>47081</v>
      </c>
      <c r="H1979" t="s">
        <v>47054</v>
      </c>
      <c r="I1979" t="s">
        <v>47111</v>
      </c>
      <c r="J1979" t="s">
        <v>47112</v>
      </c>
      <c r="K1979" t="s">
        <v>47113</v>
      </c>
      <c r="L1979">
        <v>23.46</v>
      </c>
      <c r="M1979">
        <v>58</v>
      </c>
      <c r="N1979">
        <v>0</v>
      </c>
      <c r="O1979">
        <v>58</v>
      </c>
      <c r="P1979">
        <v>0</v>
      </c>
    </row>
    <row r="1980" spans="1:16" x14ac:dyDescent="0.25">
      <c r="A1980" t="s">
        <v>24384</v>
      </c>
      <c r="B1980" t="s">
        <v>3318</v>
      </c>
      <c r="C1980" t="s">
        <v>3319</v>
      </c>
      <c r="D1980" t="s">
        <v>2419</v>
      </c>
      <c r="E1980" t="s">
        <v>2420</v>
      </c>
      <c r="F1980" t="s">
        <v>8</v>
      </c>
      <c r="G1980" t="s">
        <v>47081</v>
      </c>
      <c r="H1980" t="s">
        <v>47054</v>
      </c>
      <c r="I1980" t="s">
        <v>47111</v>
      </c>
      <c r="J1980" t="s">
        <v>47112</v>
      </c>
      <c r="K1980" t="s">
        <v>47113</v>
      </c>
      <c r="L1980">
        <v>20.57</v>
      </c>
      <c r="M1980">
        <v>47</v>
      </c>
      <c r="N1980">
        <v>0</v>
      </c>
      <c r="O1980">
        <v>47</v>
      </c>
      <c r="P1980">
        <v>0</v>
      </c>
    </row>
    <row r="1981" spans="1:16" x14ac:dyDescent="0.25">
      <c r="A1981" t="s">
        <v>14849</v>
      </c>
      <c r="B1981" t="s">
        <v>3320</v>
      </c>
      <c r="C1981" t="s">
        <v>3321</v>
      </c>
      <c r="D1981" t="s">
        <v>2028</v>
      </c>
      <c r="E1981" t="s">
        <v>2029</v>
      </c>
      <c r="F1981" t="s">
        <v>56</v>
      </c>
      <c r="G1981" t="s">
        <v>47081</v>
      </c>
      <c r="H1981" t="s">
        <v>47054</v>
      </c>
      <c r="I1981" t="s">
        <v>47116</v>
      </c>
      <c r="J1981" t="s">
        <v>47117</v>
      </c>
      <c r="K1981" t="s">
        <v>47113</v>
      </c>
      <c r="L1981">
        <v>24.29</v>
      </c>
      <c r="M1981">
        <v>63</v>
      </c>
      <c r="N1981">
        <v>0</v>
      </c>
      <c r="O1981">
        <v>63</v>
      </c>
      <c r="P1981">
        <v>0</v>
      </c>
    </row>
    <row r="1982" spans="1:16" x14ac:dyDescent="0.25">
      <c r="A1982" t="s">
        <v>14850</v>
      </c>
      <c r="B1982" t="s">
        <v>3322</v>
      </c>
      <c r="C1982" t="s">
        <v>3323</v>
      </c>
      <c r="D1982" t="s">
        <v>739</v>
      </c>
      <c r="E1982" t="s">
        <v>740</v>
      </c>
      <c r="F1982" t="s">
        <v>7</v>
      </c>
      <c r="G1982" t="s">
        <v>47081</v>
      </c>
      <c r="H1982" t="s">
        <v>47054</v>
      </c>
      <c r="I1982" t="s">
        <v>47116</v>
      </c>
      <c r="J1982" t="s">
        <v>47117</v>
      </c>
      <c r="K1982" t="s">
        <v>47113</v>
      </c>
      <c r="L1982">
        <v>24.67</v>
      </c>
      <c r="M1982">
        <v>61</v>
      </c>
      <c r="N1982">
        <v>0</v>
      </c>
      <c r="O1982">
        <v>61</v>
      </c>
      <c r="P1982">
        <v>0</v>
      </c>
    </row>
    <row r="1983" spans="1:16" x14ac:dyDescent="0.25">
      <c r="A1983" t="s">
        <v>14851</v>
      </c>
      <c r="B1983" t="s">
        <v>3322</v>
      </c>
      <c r="C1983" t="s">
        <v>3323</v>
      </c>
      <c r="D1983" t="s">
        <v>2529</v>
      </c>
      <c r="E1983" t="s">
        <v>2530</v>
      </c>
      <c r="F1983" t="s">
        <v>7</v>
      </c>
      <c r="G1983" t="s">
        <v>47081</v>
      </c>
      <c r="H1983" t="s">
        <v>47054</v>
      </c>
      <c r="I1983" t="s">
        <v>47116</v>
      </c>
      <c r="J1983" t="s">
        <v>47117</v>
      </c>
      <c r="K1983" t="s">
        <v>47113</v>
      </c>
      <c r="L1983">
        <v>24.69</v>
      </c>
      <c r="M1983">
        <v>55</v>
      </c>
      <c r="N1983">
        <v>0</v>
      </c>
      <c r="O1983">
        <v>55</v>
      </c>
      <c r="P1983">
        <v>0</v>
      </c>
    </row>
    <row r="1984" spans="1:16" x14ac:dyDescent="0.25">
      <c r="A1984" t="s">
        <v>14852</v>
      </c>
      <c r="B1984" t="s">
        <v>3324</v>
      </c>
      <c r="C1984" t="s">
        <v>3325</v>
      </c>
      <c r="D1984" t="s">
        <v>2117</v>
      </c>
      <c r="E1984" t="s">
        <v>2118</v>
      </c>
      <c r="F1984" t="s">
        <v>56</v>
      </c>
      <c r="G1984" t="s">
        <v>47081</v>
      </c>
      <c r="H1984" t="s">
        <v>47054</v>
      </c>
      <c r="I1984" t="s">
        <v>47116</v>
      </c>
      <c r="J1984" t="s">
        <v>47117</v>
      </c>
      <c r="K1984" t="s">
        <v>47113</v>
      </c>
      <c r="L1984">
        <v>21.58</v>
      </c>
      <c r="M1984">
        <v>60</v>
      </c>
      <c r="N1984">
        <v>0</v>
      </c>
      <c r="O1984">
        <v>60</v>
      </c>
      <c r="P1984">
        <v>0</v>
      </c>
    </row>
    <row r="1985" spans="1:16" x14ac:dyDescent="0.25">
      <c r="A1985" t="s">
        <v>24385</v>
      </c>
      <c r="B1985" t="s">
        <v>3326</v>
      </c>
      <c r="C1985" t="s">
        <v>3327</v>
      </c>
      <c r="D1985" t="s">
        <v>3328</v>
      </c>
      <c r="E1985" t="s">
        <v>3329</v>
      </c>
      <c r="F1985" t="s">
        <v>2</v>
      </c>
      <c r="G1985" t="s">
        <v>47081</v>
      </c>
      <c r="H1985" t="s">
        <v>47054</v>
      </c>
      <c r="I1985" t="s">
        <v>47116</v>
      </c>
      <c r="J1985" t="s">
        <v>47117</v>
      </c>
      <c r="K1985" t="s">
        <v>47113</v>
      </c>
      <c r="L1985">
        <v>30.34</v>
      </c>
      <c r="M1985">
        <v>70</v>
      </c>
      <c r="N1985">
        <v>0</v>
      </c>
      <c r="O1985">
        <v>70</v>
      </c>
      <c r="P1985">
        <v>0</v>
      </c>
    </row>
    <row r="1986" spans="1:16" x14ac:dyDescent="0.25">
      <c r="A1986" t="s">
        <v>24386</v>
      </c>
      <c r="B1986" t="s">
        <v>3330</v>
      </c>
      <c r="C1986" t="s">
        <v>3331</v>
      </c>
      <c r="D1986" t="str">
        <f>"6859"</f>
        <v>6859</v>
      </c>
      <c r="E1986" t="s">
        <v>3332</v>
      </c>
      <c r="F1986" t="s">
        <v>5</v>
      </c>
      <c r="G1986" t="s">
        <v>47150</v>
      </c>
      <c r="H1986" t="s">
        <v>47054</v>
      </c>
      <c r="I1986" t="s">
        <v>47120</v>
      </c>
      <c r="J1986" t="s">
        <v>47121</v>
      </c>
      <c r="K1986" t="s">
        <v>47113</v>
      </c>
      <c r="L1986">
        <v>22.19</v>
      </c>
      <c r="M1986">
        <v>56</v>
      </c>
      <c r="N1986">
        <v>0</v>
      </c>
      <c r="O1986">
        <v>56</v>
      </c>
      <c r="P1986">
        <v>0</v>
      </c>
    </row>
    <row r="1987" spans="1:16" x14ac:dyDescent="0.25">
      <c r="A1987" t="s">
        <v>24387</v>
      </c>
      <c r="B1987" t="s">
        <v>3333</v>
      </c>
      <c r="C1987" t="s">
        <v>3334</v>
      </c>
      <c r="D1987" t="s">
        <v>721</v>
      </c>
      <c r="E1987" t="s">
        <v>722</v>
      </c>
      <c r="F1987" t="s">
        <v>4</v>
      </c>
      <c r="G1987" t="s">
        <v>47147</v>
      </c>
      <c r="H1987" t="s">
        <v>47054</v>
      </c>
      <c r="I1987" t="s">
        <v>47116</v>
      </c>
      <c r="J1987" t="s">
        <v>47117</v>
      </c>
      <c r="K1987" t="s">
        <v>47113</v>
      </c>
      <c r="L1987">
        <v>7.1</v>
      </c>
      <c r="M1987">
        <v>17</v>
      </c>
      <c r="N1987">
        <v>0</v>
      </c>
      <c r="O1987">
        <v>17</v>
      </c>
      <c r="P1987">
        <v>0</v>
      </c>
    </row>
    <row r="1988" spans="1:16" x14ac:dyDescent="0.25">
      <c r="A1988" t="s">
        <v>24388</v>
      </c>
      <c r="B1988" t="s">
        <v>3333</v>
      </c>
      <c r="C1988" t="s">
        <v>3334</v>
      </c>
      <c r="D1988" t="s">
        <v>2852</v>
      </c>
      <c r="E1988" t="s">
        <v>2853</v>
      </c>
      <c r="F1988" t="s">
        <v>4</v>
      </c>
      <c r="G1988" t="s">
        <v>47147</v>
      </c>
      <c r="H1988" t="s">
        <v>47054</v>
      </c>
      <c r="I1988" t="s">
        <v>47116</v>
      </c>
      <c r="J1988" t="s">
        <v>47117</v>
      </c>
      <c r="K1988" t="s">
        <v>47113</v>
      </c>
      <c r="L1988">
        <v>7.1</v>
      </c>
      <c r="M1988">
        <v>17</v>
      </c>
      <c r="N1988">
        <v>0</v>
      </c>
      <c r="O1988">
        <v>17</v>
      </c>
      <c r="P1988">
        <v>0</v>
      </c>
    </row>
    <row r="1989" spans="1:16" x14ac:dyDescent="0.25">
      <c r="A1989" t="s">
        <v>14853</v>
      </c>
      <c r="B1989" t="s">
        <v>3335</v>
      </c>
      <c r="C1989" t="s">
        <v>3336</v>
      </c>
      <c r="D1989" t="str">
        <f>"6636"</f>
        <v>6636</v>
      </c>
      <c r="E1989" t="s">
        <v>3337</v>
      </c>
      <c r="F1989" t="s">
        <v>4</v>
      </c>
      <c r="G1989" t="s">
        <v>47150</v>
      </c>
      <c r="H1989" t="s">
        <v>47054</v>
      </c>
      <c r="I1989" t="s">
        <v>47120</v>
      </c>
      <c r="J1989" t="s">
        <v>47121</v>
      </c>
      <c r="K1989" t="s">
        <v>47113</v>
      </c>
      <c r="L1989">
        <v>20.02</v>
      </c>
      <c r="M1989">
        <v>49</v>
      </c>
      <c r="N1989">
        <v>0</v>
      </c>
      <c r="O1989">
        <v>49</v>
      </c>
      <c r="P1989">
        <v>0</v>
      </c>
    </row>
    <row r="1990" spans="1:16" x14ac:dyDescent="0.25">
      <c r="A1990" t="s">
        <v>24389</v>
      </c>
      <c r="B1990" t="s">
        <v>3338</v>
      </c>
      <c r="C1990" t="s">
        <v>3339</v>
      </c>
      <c r="D1990" t="s">
        <v>721</v>
      </c>
      <c r="E1990" t="s">
        <v>722</v>
      </c>
      <c r="F1990" t="s">
        <v>4</v>
      </c>
      <c r="G1990" t="s">
        <v>47085</v>
      </c>
      <c r="H1990" t="s">
        <v>47054</v>
      </c>
      <c r="I1990" t="s">
        <v>47116</v>
      </c>
      <c r="J1990" t="s">
        <v>47117</v>
      </c>
      <c r="K1990" t="s">
        <v>47113</v>
      </c>
      <c r="L1990">
        <v>12.61</v>
      </c>
      <c r="M1990">
        <v>31</v>
      </c>
      <c r="N1990">
        <v>0</v>
      </c>
      <c r="O1990">
        <v>31</v>
      </c>
      <c r="P1990">
        <v>0</v>
      </c>
    </row>
    <row r="1991" spans="1:16" x14ac:dyDescent="0.25">
      <c r="A1991" t="s">
        <v>24390</v>
      </c>
      <c r="B1991" t="s">
        <v>3340</v>
      </c>
      <c r="C1991" t="s">
        <v>3341</v>
      </c>
      <c r="D1991" t="s">
        <v>721</v>
      </c>
      <c r="E1991" t="s">
        <v>722</v>
      </c>
      <c r="F1991" t="s">
        <v>4</v>
      </c>
      <c r="G1991" t="s">
        <v>47082</v>
      </c>
      <c r="H1991" t="s">
        <v>47054</v>
      </c>
      <c r="I1991" t="s">
        <v>47116</v>
      </c>
      <c r="J1991" t="s">
        <v>47117</v>
      </c>
      <c r="K1991" t="s">
        <v>47113</v>
      </c>
      <c r="L1991">
        <v>18.649999999999999</v>
      </c>
      <c r="M1991">
        <v>45</v>
      </c>
      <c r="N1991">
        <v>0</v>
      </c>
      <c r="O1991">
        <v>45</v>
      </c>
      <c r="P1991">
        <v>0</v>
      </c>
    </row>
    <row r="1992" spans="1:16" x14ac:dyDescent="0.25">
      <c r="A1992" t="s">
        <v>24391</v>
      </c>
      <c r="B1992" t="s">
        <v>3342</v>
      </c>
      <c r="C1992" t="s">
        <v>3343</v>
      </c>
      <c r="D1992" t="str">
        <f>"1746"</f>
        <v>1746</v>
      </c>
      <c r="E1992" t="s">
        <v>3344</v>
      </c>
      <c r="F1992" t="s">
        <v>0</v>
      </c>
      <c r="G1992" t="s">
        <v>47084</v>
      </c>
      <c r="H1992" t="s">
        <v>47054</v>
      </c>
      <c r="I1992" t="s">
        <v>47111</v>
      </c>
      <c r="J1992" t="s">
        <v>47112</v>
      </c>
      <c r="K1992" t="s">
        <v>47113</v>
      </c>
      <c r="L1992">
        <v>6.65</v>
      </c>
      <c r="M1992">
        <v>16</v>
      </c>
      <c r="N1992">
        <v>0</v>
      </c>
      <c r="O1992">
        <v>16</v>
      </c>
      <c r="P1992">
        <v>0</v>
      </c>
    </row>
    <row r="1993" spans="1:16" x14ac:dyDescent="0.25">
      <c r="A1993" t="s">
        <v>14854</v>
      </c>
      <c r="B1993" t="s">
        <v>3345</v>
      </c>
      <c r="C1993" t="s">
        <v>3346</v>
      </c>
      <c r="D1993" t="str">
        <f>"1739"</f>
        <v>1739</v>
      </c>
      <c r="E1993" t="s">
        <v>2698</v>
      </c>
      <c r="F1993" t="s">
        <v>4</v>
      </c>
      <c r="G1993" t="s">
        <v>47084</v>
      </c>
      <c r="H1993" t="s">
        <v>47054</v>
      </c>
      <c r="I1993" t="s">
        <v>47111</v>
      </c>
      <c r="J1993" t="s">
        <v>47112</v>
      </c>
      <c r="K1993" t="s">
        <v>47113</v>
      </c>
      <c r="L1993">
        <v>12.15</v>
      </c>
      <c r="M1993">
        <v>30</v>
      </c>
      <c r="N1993">
        <v>0</v>
      </c>
      <c r="O1993">
        <v>30</v>
      </c>
      <c r="P1993">
        <v>0</v>
      </c>
    </row>
    <row r="1994" spans="1:16" x14ac:dyDescent="0.25">
      <c r="A1994" t="s">
        <v>24392</v>
      </c>
      <c r="B1994" t="s">
        <v>3345</v>
      </c>
      <c r="C1994" t="s">
        <v>3346</v>
      </c>
      <c r="D1994" t="str">
        <f>"6861"</f>
        <v>6861</v>
      </c>
      <c r="E1994" t="s">
        <v>3167</v>
      </c>
      <c r="F1994" t="s">
        <v>4</v>
      </c>
      <c r="G1994" t="s">
        <v>47084</v>
      </c>
      <c r="H1994" t="s">
        <v>47054</v>
      </c>
      <c r="I1994" t="s">
        <v>47111</v>
      </c>
      <c r="J1994" t="s">
        <v>47112</v>
      </c>
      <c r="K1994" t="s">
        <v>47113</v>
      </c>
      <c r="L1994">
        <v>12.15</v>
      </c>
      <c r="M1994">
        <v>30</v>
      </c>
      <c r="N1994">
        <v>0</v>
      </c>
      <c r="O1994">
        <v>30</v>
      </c>
      <c r="P1994">
        <v>0</v>
      </c>
    </row>
    <row r="1995" spans="1:16" x14ac:dyDescent="0.25">
      <c r="A1995" t="s">
        <v>24393</v>
      </c>
      <c r="B1995" t="s">
        <v>3347</v>
      </c>
      <c r="C1995" t="s">
        <v>3348</v>
      </c>
      <c r="D1995" t="str">
        <f>"1821"</f>
        <v>1821</v>
      </c>
      <c r="E1995" t="s">
        <v>590</v>
      </c>
      <c r="F1995" t="s">
        <v>1</v>
      </c>
      <c r="G1995" t="s">
        <v>47087</v>
      </c>
      <c r="H1995" t="s">
        <v>47054</v>
      </c>
      <c r="I1995" t="s">
        <v>47111</v>
      </c>
      <c r="J1995" t="s">
        <v>47112</v>
      </c>
      <c r="K1995" t="s">
        <v>47113</v>
      </c>
      <c r="L1995">
        <v>9.39</v>
      </c>
      <c r="M1995">
        <v>23</v>
      </c>
      <c r="N1995">
        <v>0</v>
      </c>
      <c r="O1995">
        <v>23</v>
      </c>
      <c r="P1995">
        <v>0</v>
      </c>
    </row>
    <row r="1996" spans="1:16" x14ac:dyDescent="0.25">
      <c r="A1996" t="s">
        <v>24394</v>
      </c>
      <c r="B1996" t="s">
        <v>3349</v>
      </c>
      <c r="C1996" t="s">
        <v>3350</v>
      </c>
      <c r="D1996" t="str">
        <f>"1001"</f>
        <v>1001</v>
      </c>
      <c r="E1996" t="s">
        <v>3351</v>
      </c>
      <c r="F1996" t="s">
        <v>1</v>
      </c>
      <c r="G1996" t="s">
        <v>47087</v>
      </c>
      <c r="H1996" t="s">
        <v>47054</v>
      </c>
      <c r="I1996" t="s">
        <v>47118</v>
      </c>
      <c r="J1996" t="s">
        <v>47119</v>
      </c>
      <c r="K1996" t="s">
        <v>47113</v>
      </c>
      <c r="L1996">
        <v>11.22</v>
      </c>
      <c r="M1996">
        <v>28</v>
      </c>
      <c r="N1996">
        <v>0</v>
      </c>
      <c r="O1996">
        <v>28</v>
      </c>
      <c r="P1996">
        <v>0</v>
      </c>
    </row>
    <row r="1997" spans="1:16" x14ac:dyDescent="0.25">
      <c r="A1997" t="s">
        <v>24395</v>
      </c>
      <c r="B1997" t="s">
        <v>3352</v>
      </c>
      <c r="C1997" t="s">
        <v>3353</v>
      </c>
      <c r="D1997" t="str">
        <f>"1700"</f>
        <v>1700</v>
      </c>
      <c r="E1997" t="s">
        <v>60</v>
      </c>
      <c r="F1997" t="s">
        <v>0</v>
      </c>
      <c r="G1997" t="s">
        <v>47151</v>
      </c>
      <c r="H1997" t="s">
        <v>47054</v>
      </c>
      <c r="I1997" t="s">
        <v>47118</v>
      </c>
      <c r="J1997" t="s">
        <v>47119</v>
      </c>
      <c r="K1997" t="s">
        <v>47113</v>
      </c>
      <c r="L1997">
        <v>11.52</v>
      </c>
      <c r="M1997">
        <v>28</v>
      </c>
      <c r="N1997">
        <v>0</v>
      </c>
      <c r="O1997">
        <v>28</v>
      </c>
      <c r="P1997">
        <v>0</v>
      </c>
    </row>
    <row r="1998" spans="1:16" x14ac:dyDescent="0.25">
      <c r="A1998" t="s">
        <v>24396</v>
      </c>
      <c r="B1998" t="s">
        <v>3352</v>
      </c>
      <c r="C1998" t="s">
        <v>3353</v>
      </c>
      <c r="D1998" t="str">
        <f>"6415"</f>
        <v>6415</v>
      </c>
      <c r="E1998" t="s">
        <v>3354</v>
      </c>
      <c r="F1998" t="s">
        <v>0</v>
      </c>
      <c r="G1998" t="s">
        <v>47151</v>
      </c>
      <c r="H1998" t="s">
        <v>47054</v>
      </c>
      <c r="I1998" t="s">
        <v>47118</v>
      </c>
      <c r="J1998" t="s">
        <v>47119</v>
      </c>
      <c r="K1998" t="s">
        <v>47113</v>
      </c>
      <c r="L1998">
        <v>11.52</v>
      </c>
      <c r="M1998">
        <v>28</v>
      </c>
      <c r="N1998">
        <v>0</v>
      </c>
      <c r="O1998">
        <v>28</v>
      </c>
      <c r="P1998">
        <v>0</v>
      </c>
    </row>
    <row r="1999" spans="1:16" x14ac:dyDescent="0.25">
      <c r="A1999" t="s">
        <v>24397</v>
      </c>
      <c r="B1999" t="s">
        <v>3355</v>
      </c>
      <c r="C1999" t="s">
        <v>3356</v>
      </c>
      <c r="D1999" t="str">
        <f>"1701"</f>
        <v>1701</v>
      </c>
      <c r="E1999" t="s">
        <v>55</v>
      </c>
      <c r="F1999" t="s">
        <v>1</v>
      </c>
      <c r="G1999" t="s">
        <v>47145</v>
      </c>
      <c r="H1999" t="s">
        <v>47054</v>
      </c>
      <c r="I1999" t="s">
        <v>47118</v>
      </c>
      <c r="J1999" t="s">
        <v>47119</v>
      </c>
      <c r="K1999" t="s">
        <v>47113</v>
      </c>
      <c r="L1999">
        <v>21.74</v>
      </c>
      <c r="M1999">
        <v>53</v>
      </c>
      <c r="N1999">
        <v>0</v>
      </c>
      <c r="O1999">
        <v>53</v>
      </c>
      <c r="P1999">
        <v>0</v>
      </c>
    </row>
    <row r="2000" spans="1:16" x14ac:dyDescent="0.25">
      <c r="A2000" t="s">
        <v>24398</v>
      </c>
      <c r="B2000" t="s">
        <v>3357</v>
      </c>
      <c r="C2000" t="s">
        <v>3358</v>
      </c>
      <c r="D2000" t="str">
        <f>"2666"</f>
        <v>2666</v>
      </c>
      <c r="E2000" t="s">
        <v>3359</v>
      </c>
      <c r="F2000" t="s">
        <v>0</v>
      </c>
      <c r="G2000" t="s">
        <v>47082</v>
      </c>
      <c r="H2000" t="s">
        <v>47054</v>
      </c>
      <c r="I2000" t="s">
        <v>47118</v>
      </c>
      <c r="J2000" t="s">
        <v>47119</v>
      </c>
      <c r="K2000" t="s">
        <v>47113</v>
      </c>
      <c r="L2000">
        <v>18.440000000000001</v>
      </c>
      <c r="M2000">
        <v>45</v>
      </c>
      <c r="N2000">
        <v>0</v>
      </c>
      <c r="O2000">
        <v>45</v>
      </c>
      <c r="P2000">
        <v>0</v>
      </c>
    </row>
    <row r="2001" spans="1:16" x14ac:dyDescent="0.25">
      <c r="A2001" t="s">
        <v>24399</v>
      </c>
      <c r="B2001" t="s">
        <v>3360</v>
      </c>
      <c r="C2001" t="s">
        <v>3361</v>
      </c>
      <c r="D2001" t="str">
        <f>"2702"</f>
        <v>2702</v>
      </c>
      <c r="E2001" t="s">
        <v>3362</v>
      </c>
      <c r="F2001" t="s">
        <v>0</v>
      </c>
      <c r="G2001" t="s">
        <v>47150</v>
      </c>
      <c r="H2001" t="s">
        <v>47054</v>
      </c>
      <c r="I2001" t="s">
        <v>47118</v>
      </c>
      <c r="J2001" t="s">
        <v>47119</v>
      </c>
      <c r="K2001" t="s">
        <v>47113</v>
      </c>
      <c r="L2001">
        <v>14.26</v>
      </c>
      <c r="M2001">
        <v>35</v>
      </c>
      <c r="N2001">
        <v>0</v>
      </c>
      <c r="O2001">
        <v>35</v>
      </c>
      <c r="P2001">
        <v>0</v>
      </c>
    </row>
    <row r="2002" spans="1:16" x14ac:dyDescent="0.25">
      <c r="A2002" t="s">
        <v>24400</v>
      </c>
      <c r="B2002" t="s">
        <v>3363</v>
      </c>
      <c r="C2002" t="s">
        <v>3364</v>
      </c>
      <c r="D2002" t="str">
        <f>"1700"</f>
        <v>1700</v>
      </c>
      <c r="E2002" t="s">
        <v>3365</v>
      </c>
      <c r="F2002" t="s">
        <v>0</v>
      </c>
      <c r="G2002" t="s">
        <v>47150</v>
      </c>
      <c r="H2002" t="s">
        <v>47054</v>
      </c>
      <c r="I2002" t="s">
        <v>47118</v>
      </c>
      <c r="J2002" t="s">
        <v>47119</v>
      </c>
      <c r="K2002" t="s">
        <v>47113</v>
      </c>
      <c r="L2002">
        <v>18.14</v>
      </c>
      <c r="M2002">
        <v>44</v>
      </c>
      <c r="N2002">
        <v>0</v>
      </c>
      <c r="O2002">
        <v>44</v>
      </c>
      <c r="P2002">
        <v>0</v>
      </c>
    </row>
    <row r="2003" spans="1:16" x14ac:dyDescent="0.25">
      <c r="A2003" t="s">
        <v>24401</v>
      </c>
      <c r="B2003" t="s">
        <v>3366</v>
      </c>
      <c r="C2003" t="s">
        <v>3367</v>
      </c>
      <c r="D2003" t="str">
        <f>"1505"</f>
        <v>1505</v>
      </c>
      <c r="E2003" t="s">
        <v>1667</v>
      </c>
      <c r="F2003" t="s">
        <v>6</v>
      </c>
      <c r="G2003" t="s">
        <v>47085</v>
      </c>
      <c r="H2003" t="s">
        <v>47054</v>
      </c>
      <c r="I2003" t="s">
        <v>47116</v>
      </c>
      <c r="J2003" t="s">
        <v>47117</v>
      </c>
      <c r="K2003" t="s">
        <v>47113</v>
      </c>
      <c r="L2003">
        <v>21.14</v>
      </c>
      <c r="M2003">
        <v>55</v>
      </c>
      <c r="N2003">
        <v>0</v>
      </c>
      <c r="O2003">
        <v>55</v>
      </c>
      <c r="P2003">
        <v>0</v>
      </c>
    </row>
    <row r="2004" spans="1:16" x14ac:dyDescent="0.25">
      <c r="A2004" t="s">
        <v>24402</v>
      </c>
      <c r="B2004" t="s">
        <v>3368</v>
      </c>
      <c r="C2004" t="s">
        <v>3369</v>
      </c>
      <c r="D2004" t="str">
        <f>"1505"</f>
        <v>1505</v>
      </c>
      <c r="E2004" t="s">
        <v>1667</v>
      </c>
      <c r="F2004" t="s">
        <v>6</v>
      </c>
      <c r="G2004" t="s">
        <v>47152</v>
      </c>
      <c r="H2004" t="s">
        <v>47054</v>
      </c>
      <c r="I2004" t="s">
        <v>47116</v>
      </c>
      <c r="J2004" t="s">
        <v>47117</v>
      </c>
      <c r="K2004" t="s">
        <v>47113</v>
      </c>
      <c r="L2004">
        <v>25.66</v>
      </c>
      <c r="M2004">
        <v>66</v>
      </c>
      <c r="N2004">
        <v>0</v>
      </c>
      <c r="O2004">
        <v>66</v>
      </c>
      <c r="P2004">
        <v>0</v>
      </c>
    </row>
    <row r="2005" spans="1:16" x14ac:dyDescent="0.25">
      <c r="A2005" t="s">
        <v>24403</v>
      </c>
      <c r="B2005" t="s">
        <v>3370</v>
      </c>
      <c r="C2005" t="s">
        <v>3371</v>
      </c>
      <c r="D2005" t="str">
        <f>"1505"</f>
        <v>1505</v>
      </c>
      <c r="E2005" t="s">
        <v>1667</v>
      </c>
      <c r="F2005" t="s">
        <v>6</v>
      </c>
      <c r="G2005" t="s">
        <v>47082</v>
      </c>
      <c r="H2005" t="s">
        <v>47054</v>
      </c>
      <c r="I2005" t="s">
        <v>47116</v>
      </c>
      <c r="J2005" t="s">
        <v>47117</v>
      </c>
      <c r="K2005" t="s">
        <v>47113</v>
      </c>
      <c r="L2005">
        <v>25.98</v>
      </c>
      <c r="M2005">
        <v>66</v>
      </c>
      <c r="N2005">
        <v>0</v>
      </c>
      <c r="O2005">
        <v>66</v>
      </c>
      <c r="P2005">
        <v>0</v>
      </c>
    </row>
    <row r="2006" spans="1:16" x14ac:dyDescent="0.25">
      <c r="A2006" t="s">
        <v>24404</v>
      </c>
      <c r="B2006" t="s">
        <v>3372</v>
      </c>
      <c r="C2006" t="s">
        <v>3310</v>
      </c>
      <c r="D2006" t="str">
        <f>"3265"</f>
        <v>3265</v>
      </c>
      <c r="E2006" t="s">
        <v>2386</v>
      </c>
      <c r="F2006" t="s">
        <v>4</v>
      </c>
      <c r="G2006" t="s">
        <v>47149</v>
      </c>
      <c r="H2006" t="s">
        <v>47054</v>
      </c>
      <c r="I2006" t="s">
        <v>47118</v>
      </c>
      <c r="J2006" t="s">
        <v>47119</v>
      </c>
      <c r="K2006" t="s">
        <v>47113</v>
      </c>
      <c r="L2006">
        <v>35.31</v>
      </c>
      <c r="M2006">
        <v>86</v>
      </c>
      <c r="N2006">
        <v>0</v>
      </c>
      <c r="O2006">
        <v>86</v>
      </c>
      <c r="P2006">
        <v>0</v>
      </c>
    </row>
    <row r="2007" spans="1:16" x14ac:dyDescent="0.25">
      <c r="A2007" t="s">
        <v>24405</v>
      </c>
      <c r="B2007" t="s">
        <v>3372</v>
      </c>
      <c r="C2007" t="s">
        <v>3310</v>
      </c>
      <c r="D2007" t="str">
        <f>"6395"</f>
        <v>6395</v>
      </c>
      <c r="E2007" t="s">
        <v>3311</v>
      </c>
      <c r="F2007" t="s">
        <v>4</v>
      </c>
      <c r="G2007" t="s">
        <v>47149</v>
      </c>
      <c r="H2007" t="s">
        <v>47054</v>
      </c>
      <c r="I2007" t="s">
        <v>47118</v>
      </c>
      <c r="J2007" t="s">
        <v>47119</v>
      </c>
      <c r="K2007" t="s">
        <v>47113</v>
      </c>
      <c r="L2007">
        <v>35.31</v>
      </c>
      <c r="M2007">
        <v>86</v>
      </c>
      <c r="N2007">
        <v>0</v>
      </c>
      <c r="O2007">
        <v>86</v>
      </c>
      <c r="P2007">
        <v>0</v>
      </c>
    </row>
    <row r="2008" spans="1:16" x14ac:dyDescent="0.25">
      <c r="A2008" t="s">
        <v>24406</v>
      </c>
      <c r="B2008" t="s">
        <v>3373</v>
      </c>
      <c r="C2008" t="s">
        <v>3374</v>
      </c>
      <c r="D2008" t="str">
        <f>"1800"</f>
        <v>1800</v>
      </c>
      <c r="E2008" t="s">
        <v>1999</v>
      </c>
      <c r="F2008" t="s">
        <v>0</v>
      </c>
      <c r="G2008" t="s">
        <v>47084</v>
      </c>
      <c r="H2008" t="s">
        <v>47054</v>
      </c>
      <c r="I2008" t="s">
        <v>47118</v>
      </c>
      <c r="J2008" t="s">
        <v>47119</v>
      </c>
      <c r="K2008" t="s">
        <v>47113</v>
      </c>
      <c r="L2008">
        <v>17.350000000000001</v>
      </c>
      <c r="M2008">
        <v>42</v>
      </c>
      <c r="N2008">
        <v>0</v>
      </c>
      <c r="O2008">
        <v>42</v>
      </c>
      <c r="P2008">
        <v>0</v>
      </c>
    </row>
    <row r="2009" spans="1:16" x14ac:dyDescent="0.25">
      <c r="A2009" t="s">
        <v>24407</v>
      </c>
      <c r="B2009" t="s">
        <v>3375</v>
      </c>
      <c r="C2009" t="s">
        <v>3376</v>
      </c>
      <c r="D2009" t="str">
        <f>"1700"</f>
        <v>1700</v>
      </c>
      <c r="E2009" t="s">
        <v>3377</v>
      </c>
      <c r="F2009" t="s">
        <v>0</v>
      </c>
      <c r="G2009" t="s">
        <v>47084</v>
      </c>
      <c r="H2009" t="s">
        <v>47054</v>
      </c>
      <c r="I2009" t="s">
        <v>47118</v>
      </c>
      <c r="J2009" t="s">
        <v>47119</v>
      </c>
      <c r="K2009" t="s">
        <v>47113</v>
      </c>
      <c r="L2009">
        <v>12.62</v>
      </c>
      <c r="M2009">
        <v>31</v>
      </c>
      <c r="N2009">
        <v>0</v>
      </c>
      <c r="O2009">
        <v>31</v>
      </c>
      <c r="P2009">
        <v>0</v>
      </c>
    </row>
    <row r="2010" spans="1:16" x14ac:dyDescent="0.25">
      <c r="A2010" t="s">
        <v>24408</v>
      </c>
      <c r="B2010" t="s">
        <v>24409</v>
      </c>
      <c r="C2010" t="s">
        <v>24410</v>
      </c>
      <c r="D2010" t="str">
        <f>"1001"</f>
        <v>1001</v>
      </c>
      <c r="E2010" t="s">
        <v>42</v>
      </c>
      <c r="F2010" t="s">
        <v>17351</v>
      </c>
      <c r="G2010" t="s">
        <v>47053</v>
      </c>
      <c r="H2010" t="s">
        <v>47052</v>
      </c>
      <c r="I2010" t="s">
        <v>47120</v>
      </c>
      <c r="J2010" t="s">
        <v>47121</v>
      </c>
      <c r="K2010" t="s">
        <v>47113</v>
      </c>
      <c r="L2010">
        <v>36.44</v>
      </c>
      <c r="M2010">
        <v>68</v>
      </c>
      <c r="N2010">
        <v>169</v>
      </c>
      <c r="O2010">
        <v>68</v>
      </c>
      <c r="P2010">
        <v>169</v>
      </c>
    </row>
    <row r="2011" spans="1:16" x14ac:dyDescent="0.25">
      <c r="A2011" t="s">
        <v>24411</v>
      </c>
      <c r="B2011" t="s">
        <v>24409</v>
      </c>
      <c r="C2011" t="s">
        <v>24410</v>
      </c>
      <c r="D2011" t="str">
        <f>"1075"</f>
        <v>1075</v>
      </c>
      <c r="E2011" t="s">
        <v>24412</v>
      </c>
      <c r="F2011" t="s">
        <v>17351</v>
      </c>
      <c r="G2011" t="s">
        <v>47053</v>
      </c>
      <c r="H2011" t="s">
        <v>47052</v>
      </c>
      <c r="I2011" t="s">
        <v>47120</v>
      </c>
      <c r="J2011" t="s">
        <v>47121</v>
      </c>
      <c r="K2011" t="s">
        <v>47113</v>
      </c>
      <c r="L2011">
        <v>14.95</v>
      </c>
      <c r="M2011">
        <v>68</v>
      </c>
      <c r="N2011">
        <v>169</v>
      </c>
      <c r="O2011">
        <v>68</v>
      </c>
      <c r="P2011">
        <v>169</v>
      </c>
    </row>
    <row r="2012" spans="1:16" x14ac:dyDescent="0.25">
      <c r="A2012" t="s">
        <v>24413</v>
      </c>
      <c r="B2012" t="s">
        <v>118</v>
      </c>
      <c r="C2012" t="s">
        <v>119</v>
      </c>
      <c r="D2012" t="s">
        <v>120</v>
      </c>
      <c r="E2012" t="s">
        <v>121</v>
      </c>
      <c r="F2012" t="s">
        <v>4</v>
      </c>
      <c r="G2012" t="s">
        <v>47093</v>
      </c>
      <c r="H2012" t="s">
        <v>47153</v>
      </c>
      <c r="I2012" t="s">
        <v>47132</v>
      </c>
      <c r="J2012" t="s">
        <v>47133</v>
      </c>
      <c r="K2012" t="s">
        <v>47113</v>
      </c>
      <c r="L2012">
        <v>40.6</v>
      </c>
      <c r="M2012">
        <v>99</v>
      </c>
      <c r="N2012">
        <v>0</v>
      </c>
      <c r="O2012">
        <v>99</v>
      </c>
      <c r="P2012">
        <v>0</v>
      </c>
    </row>
    <row r="2013" spans="1:16" x14ac:dyDescent="0.25">
      <c r="A2013" t="s">
        <v>24414</v>
      </c>
      <c r="B2013" t="s">
        <v>122</v>
      </c>
      <c r="C2013" t="s">
        <v>123</v>
      </c>
      <c r="D2013" t="s">
        <v>120</v>
      </c>
      <c r="E2013" t="s">
        <v>121</v>
      </c>
      <c r="F2013" t="s">
        <v>4</v>
      </c>
      <c r="G2013" t="s">
        <v>47093</v>
      </c>
      <c r="H2013" t="s">
        <v>47153</v>
      </c>
      <c r="I2013" t="s">
        <v>47132</v>
      </c>
      <c r="J2013" t="s">
        <v>47133</v>
      </c>
      <c r="K2013" t="s">
        <v>47113</v>
      </c>
      <c r="L2013">
        <v>40.42</v>
      </c>
      <c r="M2013">
        <v>98</v>
      </c>
      <c r="N2013">
        <v>0</v>
      </c>
      <c r="O2013">
        <v>98</v>
      </c>
      <c r="P2013">
        <v>0</v>
      </c>
    </row>
    <row r="2014" spans="1:16" x14ac:dyDescent="0.25">
      <c r="A2014" t="s">
        <v>24415</v>
      </c>
      <c r="B2014" t="s">
        <v>124</v>
      </c>
      <c r="C2014" t="s">
        <v>125</v>
      </c>
      <c r="D2014" t="s">
        <v>126</v>
      </c>
      <c r="E2014" t="s">
        <v>127</v>
      </c>
      <c r="F2014" t="s">
        <v>4</v>
      </c>
      <c r="G2014" t="s">
        <v>47093</v>
      </c>
      <c r="H2014" t="s">
        <v>47153</v>
      </c>
      <c r="I2014" t="s">
        <v>47132</v>
      </c>
      <c r="J2014" t="s">
        <v>47133</v>
      </c>
      <c r="K2014" t="s">
        <v>47113</v>
      </c>
      <c r="L2014">
        <v>42.23</v>
      </c>
      <c r="M2014">
        <v>103</v>
      </c>
      <c r="N2014">
        <v>0</v>
      </c>
      <c r="O2014">
        <v>103</v>
      </c>
      <c r="P2014">
        <v>0</v>
      </c>
    </row>
    <row r="2015" spans="1:16" x14ac:dyDescent="0.25">
      <c r="A2015" t="s">
        <v>24416</v>
      </c>
      <c r="B2015" t="s">
        <v>3378</v>
      </c>
      <c r="C2015" t="s">
        <v>571</v>
      </c>
      <c r="D2015" t="s">
        <v>126</v>
      </c>
      <c r="E2015" t="s">
        <v>127</v>
      </c>
      <c r="F2015" t="s">
        <v>4</v>
      </c>
      <c r="G2015" t="s">
        <v>47093</v>
      </c>
      <c r="H2015" t="s">
        <v>47054</v>
      </c>
      <c r="I2015" t="s">
        <v>47132</v>
      </c>
      <c r="J2015" t="s">
        <v>47133</v>
      </c>
      <c r="K2015" t="s">
        <v>47113</v>
      </c>
      <c r="L2015">
        <v>79.209999999999994</v>
      </c>
      <c r="M2015">
        <v>193</v>
      </c>
      <c r="N2015">
        <v>0</v>
      </c>
      <c r="O2015">
        <v>193</v>
      </c>
      <c r="P2015">
        <v>0</v>
      </c>
    </row>
    <row r="2016" spans="1:16" x14ac:dyDescent="0.25">
      <c r="A2016" t="s">
        <v>24417</v>
      </c>
      <c r="B2016" t="s">
        <v>128</v>
      </c>
      <c r="C2016" t="s">
        <v>129</v>
      </c>
      <c r="D2016" t="s">
        <v>130</v>
      </c>
      <c r="E2016" t="s">
        <v>131</v>
      </c>
      <c r="F2016" t="s">
        <v>4</v>
      </c>
      <c r="G2016" t="s">
        <v>47093</v>
      </c>
      <c r="H2016" t="s">
        <v>47153</v>
      </c>
      <c r="I2016" t="s">
        <v>47132</v>
      </c>
      <c r="J2016" t="s">
        <v>47133</v>
      </c>
      <c r="K2016" t="s">
        <v>47113</v>
      </c>
      <c r="L2016">
        <v>45.79</v>
      </c>
      <c r="M2016">
        <v>112</v>
      </c>
      <c r="N2016">
        <v>0</v>
      </c>
      <c r="O2016">
        <v>112</v>
      </c>
      <c r="P2016">
        <v>0</v>
      </c>
    </row>
    <row r="2017" spans="1:16" x14ac:dyDescent="0.25">
      <c r="A2017" t="s">
        <v>24418</v>
      </c>
      <c r="B2017" t="s">
        <v>3379</v>
      </c>
      <c r="C2017" t="s">
        <v>3380</v>
      </c>
      <c r="D2017" t="s">
        <v>130</v>
      </c>
      <c r="E2017" t="s">
        <v>131</v>
      </c>
      <c r="F2017" t="s">
        <v>4</v>
      </c>
      <c r="G2017" t="s">
        <v>47093</v>
      </c>
      <c r="H2017" t="s">
        <v>47153</v>
      </c>
      <c r="I2017" t="s">
        <v>47132</v>
      </c>
      <c r="J2017" t="s">
        <v>47133</v>
      </c>
      <c r="K2017" t="s">
        <v>47113</v>
      </c>
      <c r="L2017">
        <v>49.3</v>
      </c>
      <c r="M2017">
        <v>120</v>
      </c>
      <c r="N2017">
        <v>0</v>
      </c>
      <c r="O2017">
        <v>120</v>
      </c>
      <c r="P2017">
        <v>0</v>
      </c>
    </row>
    <row r="2018" spans="1:16" x14ac:dyDescent="0.25">
      <c r="A2018" t="s">
        <v>24419</v>
      </c>
      <c r="B2018" t="s">
        <v>132</v>
      </c>
      <c r="C2018" t="s">
        <v>133</v>
      </c>
      <c r="D2018" t="s">
        <v>134</v>
      </c>
      <c r="E2018" t="s">
        <v>135</v>
      </c>
      <c r="F2018" t="s">
        <v>4</v>
      </c>
      <c r="G2018" t="s">
        <v>47093</v>
      </c>
      <c r="H2018" t="s">
        <v>47153</v>
      </c>
      <c r="I2018" t="s">
        <v>47132</v>
      </c>
      <c r="J2018" t="s">
        <v>47133</v>
      </c>
      <c r="K2018" t="s">
        <v>47113</v>
      </c>
      <c r="L2018">
        <v>48.56</v>
      </c>
      <c r="M2018">
        <v>118</v>
      </c>
      <c r="N2018">
        <v>0</v>
      </c>
      <c r="O2018">
        <v>118</v>
      </c>
      <c r="P2018">
        <v>0</v>
      </c>
    </row>
    <row r="2019" spans="1:16" x14ac:dyDescent="0.25">
      <c r="A2019" t="s">
        <v>24420</v>
      </c>
      <c r="B2019" t="s">
        <v>136</v>
      </c>
      <c r="C2019" t="s">
        <v>137</v>
      </c>
      <c r="D2019" t="s">
        <v>138</v>
      </c>
      <c r="E2019" t="s">
        <v>139</v>
      </c>
      <c r="F2019" t="s">
        <v>4</v>
      </c>
      <c r="G2019" t="s">
        <v>47093</v>
      </c>
      <c r="H2019" t="s">
        <v>47153</v>
      </c>
      <c r="I2019" t="s">
        <v>47132</v>
      </c>
      <c r="J2019" t="s">
        <v>47133</v>
      </c>
      <c r="K2019" t="s">
        <v>47113</v>
      </c>
      <c r="L2019">
        <v>41.19</v>
      </c>
      <c r="M2019">
        <v>100</v>
      </c>
      <c r="N2019">
        <v>0</v>
      </c>
      <c r="O2019">
        <v>100</v>
      </c>
      <c r="P2019">
        <v>0</v>
      </c>
    </row>
    <row r="2020" spans="1:16" x14ac:dyDescent="0.25">
      <c r="A2020" t="s">
        <v>24421</v>
      </c>
      <c r="B2020" t="s">
        <v>3381</v>
      </c>
      <c r="C2020" t="s">
        <v>3382</v>
      </c>
      <c r="D2020" t="s">
        <v>294</v>
      </c>
      <c r="E2020" t="s">
        <v>295</v>
      </c>
      <c r="F2020" t="s">
        <v>7</v>
      </c>
      <c r="G2020" t="s">
        <v>16231</v>
      </c>
      <c r="H2020" t="s">
        <v>47054</v>
      </c>
      <c r="I2020" t="s">
        <v>47111</v>
      </c>
      <c r="J2020" t="s">
        <v>47112</v>
      </c>
      <c r="K2020" t="s">
        <v>47113</v>
      </c>
      <c r="L2020">
        <v>42.45</v>
      </c>
      <c r="M2020">
        <v>100</v>
      </c>
      <c r="N2020">
        <v>0</v>
      </c>
      <c r="O2020">
        <v>100</v>
      </c>
      <c r="P2020">
        <v>0</v>
      </c>
    </row>
    <row r="2021" spans="1:16" x14ac:dyDescent="0.25">
      <c r="A2021" t="s">
        <v>24422</v>
      </c>
      <c r="B2021" t="s">
        <v>3383</v>
      </c>
      <c r="C2021" t="s">
        <v>3384</v>
      </c>
      <c r="D2021" t="s">
        <v>3385</v>
      </c>
      <c r="E2021" t="s">
        <v>3386</v>
      </c>
      <c r="F2021" t="s">
        <v>7</v>
      </c>
      <c r="G2021" t="s">
        <v>16224</v>
      </c>
      <c r="H2021" t="s">
        <v>47054</v>
      </c>
      <c r="I2021" t="s">
        <v>47116</v>
      </c>
      <c r="J2021" t="s">
        <v>47117</v>
      </c>
      <c r="K2021" t="s">
        <v>47113</v>
      </c>
      <c r="L2021">
        <v>41.73</v>
      </c>
      <c r="M2021">
        <v>103</v>
      </c>
      <c r="N2021">
        <v>0</v>
      </c>
      <c r="O2021">
        <v>103</v>
      </c>
      <c r="P2021">
        <v>0</v>
      </c>
    </row>
    <row r="2022" spans="1:16" x14ac:dyDescent="0.25">
      <c r="A2022" t="s">
        <v>24423</v>
      </c>
      <c r="B2022" t="s">
        <v>3387</v>
      </c>
      <c r="C2022" t="s">
        <v>3388</v>
      </c>
      <c r="D2022" t="s">
        <v>3389</v>
      </c>
      <c r="E2022" t="s">
        <v>3390</v>
      </c>
      <c r="F2022" t="s">
        <v>7</v>
      </c>
      <c r="G2022" t="s">
        <v>16231</v>
      </c>
      <c r="H2022" t="s">
        <v>47054</v>
      </c>
      <c r="I2022" t="s">
        <v>47111</v>
      </c>
      <c r="J2022" t="s">
        <v>47112</v>
      </c>
      <c r="K2022" t="s">
        <v>47113</v>
      </c>
      <c r="L2022">
        <v>40.67</v>
      </c>
      <c r="M2022">
        <v>111</v>
      </c>
      <c r="N2022">
        <v>0</v>
      </c>
      <c r="O2022">
        <v>111</v>
      </c>
      <c r="P2022">
        <v>0</v>
      </c>
    </row>
    <row r="2023" spans="1:16" x14ac:dyDescent="0.25">
      <c r="A2023" t="s">
        <v>24424</v>
      </c>
      <c r="B2023" t="s">
        <v>3391</v>
      </c>
      <c r="C2023" t="s">
        <v>3392</v>
      </c>
      <c r="D2023" t="s">
        <v>3389</v>
      </c>
      <c r="E2023" t="s">
        <v>3390</v>
      </c>
      <c r="F2023" t="s">
        <v>7</v>
      </c>
      <c r="G2023" t="s">
        <v>16231</v>
      </c>
      <c r="H2023" t="s">
        <v>47054</v>
      </c>
      <c r="I2023" t="s">
        <v>47111</v>
      </c>
      <c r="J2023" t="s">
        <v>47112</v>
      </c>
      <c r="K2023" t="s">
        <v>47113</v>
      </c>
      <c r="L2023">
        <v>39.549999999999997</v>
      </c>
      <c r="M2023">
        <v>111</v>
      </c>
      <c r="N2023">
        <v>0</v>
      </c>
      <c r="O2023">
        <v>111</v>
      </c>
      <c r="P2023">
        <v>0</v>
      </c>
    </row>
    <row r="2024" spans="1:16" x14ac:dyDescent="0.25">
      <c r="A2024" t="s">
        <v>24425</v>
      </c>
      <c r="B2024" t="s">
        <v>3393</v>
      </c>
      <c r="C2024" t="s">
        <v>3394</v>
      </c>
      <c r="D2024" t="s">
        <v>3395</v>
      </c>
      <c r="E2024" t="s">
        <v>3396</v>
      </c>
      <c r="F2024" t="s">
        <v>7</v>
      </c>
      <c r="G2024" t="s">
        <v>16231</v>
      </c>
      <c r="H2024" t="s">
        <v>47054</v>
      </c>
      <c r="I2024" t="s">
        <v>47111</v>
      </c>
      <c r="J2024" t="s">
        <v>47112</v>
      </c>
      <c r="K2024" t="s">
        <v>47113</v>
      </c>
      <c r="L2024">
        <v>58.38</v>
      </c>
      <c r="M2024">
        <v>144</v>
      </c>
      <c r="N2024">
        <v>0</v>
      </c>
      <c r="O2024">
        <v>144</v>
      </c>
      <c r="P2024">
        <v>0</v>
      </c>
    </row>
    <row r="2025" spans="1:16" x14ac:dyDescent="0.25">
      <c r="A2025" t="s">
        <v>24426</v>
      </c>
      <c r="B2025" t="s">
        <v>3393</v>
      </c>
      <c r="C2025" t="s">
        <v>3394</v>
      </c>
      <c r="D2025" t="s">
        <v>3397</v>
      </c>
      <c r="E2025" t="s">
        <v>3398</v>
      </c>
      <c r="F2025" t="s">
        <v>7</v>
      </c>
      <c r="G2025" t="s">
        <v>16231</v>
      </c>
      <c r="H2025" t="s">
        <v>47054</v>
      </c>
      <c r="I2025" t="s">
        <v>47111</v>
      </c>
      <c r="J2025" t="s">
        <v>47112</v>
      </c>
      <c r="K2025" t="s">
        <v>47113</v>
      </c>
      <c r="L2025">
        <v>64.37</v>
      </c>
      <c r="M2025">
        <v>152</v>
      </c>
      <c r="N2025">
        <v>0</v>
      </c>
      <c r="O2025">
        <v>152</v>
      </c>
      <c r="P2025">
        <v>0</v>
      </c>
    </row>
    <row r="2026" spans="1:16" x14ac:dyDescent="0.25">
      <c r="A2026" t="s">
        <v>24427</v>
      </c>
      <c r="B2026" t="s">
        <v>3399</v>
      </c>
      <c r="C2026" t="s">
        <v>3400</v>
      </c>
      <c r="D2026" t="s">
        <v>3401</v>
      </c>
      <c r="E2026" t="s">
        <v>3402</v>
      </c>
      <c r="F2026" t="s">
        <v>6</v>
      </c>
      <c r="G2026" t="s">
        <v>16231</v>
      </c>
      <c r="H2026" t="s">
        <v>47054</v>
      </c>
      <c r="I2026" t="s">
        <v>47111</v>
      </c>
      <c r="J2026" t="s">
        <v>47112</v>
      </c>
      <c r="K2026" t="s">
        <v>47113</v>
      </c>
      <c r="L2026">
        <v>59.71</v>
      </c>
      <c r="M2026">
        <v>149</v>
      </c>
      <c r="N2026">
        <v>0</v>
      </c>
      <c r="O2026">
        <v>149</v>
      </c>
      <c r="P2026">
        <v>0</v>
      </c>
    </row>
    <row r="2027" spans="1:16" x14ac:dyDescent="0.25">
      <c r="A2027" t="s">
        <v>24428</v>
      </c>
      <c r="B2027" t="s">
        <v>3403</v>
      </c>
      <c r="C2027" t="s">
        <v>3404</v>
      </c>
      <c r="D2027" t="s">
        <v>3405</v>
      </c>
      <c r="E2027" t="s">
        <v>3406</v>
      </c>
      <c r="F2027" t="s">
        <v>6</v>
      </c>
      <c r="G2027" t="s">
        <v>16231</v>
      </c>
      <c r="H2027" t="s">
        <v>47054</v>
      </c>
      <c r="I2027" t="s">
        <v>47111</v>
      </c>
      <c r="J2027" t="s">
        <v>47112</v>
      </c>
      <c r="K2027" t="s">
        <v>47113</v>
      </c>
      <c r="L2027">
        <v>28.33</v>
      </c>
      <c r="M2027">
        <v>74</v>
      </c>
      <c r="N2027">
        <v>0</v>
      </c>
      <c r="O2027">
        <v>74</v>
      </c>
      <c r="P2027">
        <v>0</v>
      </c>
    </row>
    <row r="2028" spans="1:16" x14ac:dyDescent="0.25">
      <c r="A2028" t="s">
        <v>24429</v>
      </c>
      <c r="B2028" t="s">
        <v>3403</v>
      </c>
      <c r="C2028" t="s">
        <v>3404</v>
      </c>
      <c r="D2028" t="s">
        <v>2054</v>
      </c>
      <c r="E2028" t="s">
        <v>2055</v>
      </c>
      <c r="F2028" t="s">
        <v>6</v>
      </c>
      <c r="G2028" t="s">
        <v>16231</v>
      </c>
      <c r="H2028" t="s">
        <v>47054</v>
      </c>
      <c r="I2028" t="s">
        <v>47111</v>
      </c>
      <c r="J2028" t="s">
        <v>47112</v>
      </c>
      <c r="K2028" t="s">
        <v>47113</v>
      </c>
      <c r="L2028">
        <v>32.369999999999997</v>
      </c>
      <c r="M2028">
        <v>85</v>
      </c>
      <c r="N2028">
        <v>0</v>
      </c>
      <c r="O2028">
        <v>85</v>
      </c>
      <c r="P2028">
        <v>0</v>
      </c>
    </row>
    <row r="2029" spans="1:16" x14ac:dyDescent="0.25">
      <c r="A2029" t="s">
        <v>24430</v>
      </c>
      <c r="B2029" t="s">
        <v>3407</v>
      </c>
      <c r="C2029" t="s">
        <v>3408</v>
      </c>
      <c r="D2029" t="s">
        <v>3395</v>
      </c>
      <c r="E2029" t="s">
        <v>3396</v>
      </c>
      <c r="F2029" t="s">
        <v>7</v>
      </c>
      <c r="G2029" t="s">
        <v>16231</v>
      </c>
      <c r="H2029" t="s">
        <v>47054</v>
      </c>
      <c r="I2029" t="s">
        <v>47111</v>
      </c>
      <c r="J2029" t="s">
        <v>47112</v>
      </c>
      <c r="K2029" t="s">
        <v>47113</v>
      </c>
      <c r="L2029">
        <v>57.66</v>
      </c>
      <c r="M2029">
        <v>144</v>
      </c>
      <c r="N2029">
        <v>0</v>
      </c>
      <c r="O2029">
        <v>144</v>
      </c>
      <c r="P2029">
        <v>0</v>
      </c>
    </row>
    <row r="2030" spans="1:16" x14ac:dyDescent="0.25">
      <c r="A2030" t="s">
        <v>24431</v>
      </c>
      <c r="B2030" t="s">
        <v>3407</v>
      </c>
      <c r="C2030" t="s">
        <v>3408</v>
      </c>
      <c r="D2030" t="s">
        <v>3397</v>
      </c>
      <c r="E2030" t="s">
        <v>3398</v>
      </c>
      <c r="F2030" t="s">
        <v>7</v>
      </c>
      <c r="G2030" t="s">
        <v>16231</v>
      </c>
      <c r="H2030" t="s">
        <v>47054</v>
      </c>
      <c r="I2030" t="s">
        <v>47111</v>
      </c>
      <c r="J2030" t="s">
        <v>47112</v>
      </c>
      <c r="K2030" t="s">
        <v>47113</v>
      </c>
      <c r="L2030">
        <v>59.13</v>
      </c>
      <c r="M2030">
        <v>152</v>
      </c>
      <c r="N2030">
        <v>0</v>
      </c>
      <c r="O2030">
        <v>152</v>
      </c>
      <c r="P2030">
        <v>0</v>
      </c>
    </row>
    <row r="2031" spans="1:16" x14ac:dyDescent="0.25">
      <c r="A2031" t="s">
        <v>24432</v>
      </c>
      <c r="B2031" t="s">
        <v>3409</v>
      </c>
      <c r="C2031" t="s">
        <v>3410</v>
      </c>
      <c r="D2031" t="s">
        <v>1688</v>
      </c>
      <c r="E2031" t="s">
        <v>1689</v>
      </c>
      <c r="F2031" t="s">
        <v>56</v>
      </c>
      <c r="G2031" t="s">
        <v>16231</v>
      </c>
      <c r="H2031" t="s">
        <v>47054</v>
      </c>
      <c r="I2031" t="s">
        <v>47114</v>
      </c>
      <c r="J2031" t="s">
        <v>47115</v>
      </c>
      <c r="K2031" t="s">
        <v>47113</v>
      </c>
      <c r="L2031">
        <v>31.64</v>
      </c>
      <c r="M2031">
        <v>69</v>
      </c>
      <c r="N2031">
        <v>0</v>
      </c>
      <c r="O2031">
        <v>69</v>
      </c>
      <c r="P2031">
        <v>0</v>
      </c>
    </row>
    <row r="2032" spans="1:16" x14ac:dyDescent="0.25">
      <c r="A2032" t="s">
        <v>24433</v>
      </c>
      <c r="B2032" t="s">
        <v>3409</v>
      </c>
      <c r="C2032" t="s">
        <v>3410</v>
      </c>
      <c r="D2032" t="s">
        <v>3411</v>
      </c>
      <c r="E2032" t="s">
        <v>3412</v>
      </c>
      <c r="F2032" t="s">
        <v>56</v>
      </c>
      <c r="G2032" t="s">
        <v>16231</v>
      </c>
      <c r="H2032" t="s">
        <v>47054</v>
      </c>
      <c r="I2032" t="s">
        <v>47111</v>
      </c>
      <c r="J2032" t="s">
        <v>47112</v>
      </c>
      <c r="K2032" t="s">
        <v>47113</v>
      </c>
      <c r="L2032">
        <v>43.76</v>
      </c>
      <c r="M2032">
        <v>100</v>
      </c>
      <c r="N2032">
        <v>0</v>
      </c>
      <c r="O2032">
        <v>100</v>
      </c>
      <c r="P2032">
        <v>0</v>
      </c>
    </row>
    <row r="2033" spans="1:16" x14ac:dyDescent="0.25">
      <c r="A2033" t="s">
        <v>24434</v>
      </c>
      <c r="B2033" t="s">
        <v>3413</v>
      </c>
      <c r="C2033" t="s">
        <v>3414</v>
      </c>
      <c r="D2033" t="s">
        <v>3096</v>
      </c>
      <c r="E2033" t="s">
        <v>3097</v>
      </c>
      <c r="F2033" t="s">
        <v>56</v>
      </c>
      <c r="G2033" t="s">
        <v>16231</v>
      </c>
      <c r="H2033" t="s">
        <v>47054</v>
      </c>
      <c r="I2033" t="s">
        <v>47111</v>
      </c>
      <c r="J2033" t="s">
        <v>47112</v>
      </c>
      <c r="K2033" t="s">
        <v>47113</v>
      </c>
      <c r="L2033">
        <v>31.26</v>
      </c>
      <c r="M2033">
        <v>69</v>
      </c>
      <c r="N2033">
        <v>0</v>
      </c>
      <c r="O2033">
        <v>69</v>
      </c>
      <c r="P2033">
        <v>0</v>
      </c>
    </row>
    <row r="2034" spans="1:16" x14ac:dyDescent="0.25">
      <c r="A2034" t="s">
        <v>24435</v>
      </c>
      <c r="B2034" t="s">
        <v>3413</v>
      </c>
      <c r="C2034" t="s">
        <v>3414</v>
      </c>
      <c r="D2034" t="s">
        <v>1688</v>
      </c>
      <c r="E2034" t="s">
        <v>1689</v>
      </c>
      <c r="F2034" t="s">
        <v>56</v>
      </c>
      <c r="G2034" t="s">
        <v>16231</v>
      </c>
      <c r="H2034" t="s">
        <v>47054</v>
      </c>
      <c r="I2034" t="s">
        <v>47111</v>
      </c>
      <c r="J2034" t="s">
        <v>47112</v>
      </c>
      <c r="K2034" t="s">
        <v>47113</v>
      </c>
      <c r="L2034">
        <v>31.51</v>
      </c>
      <c r="M2034">
        <v>69</v>
      </c>
      <c r="N2034">
        <v>0</v>
      </c>
      <c r="O2034">
        <v>69</v>
      </c>
      <c r="P2034">
        <v>0</v>
      </c>
    </row>
    <row r="2035" spans="1:16" x14ac:dyDescent="0.25">
      <c r="A2035" t="s">
        <v>24436</v>
      </c>
      <c r="B2035" t="s">
        <v>3413</v>
      </c>
      <c r="C2035" t="s">
        <v>3414</v>
      </c>
      <c r="D2035" t="s">
        <v>3411</v>
      </c>
      <c r="E2035" t="s">
        <v>3412</v>
      </c>
      <c r="F2035" t="s">
        <v>56</v>
      </c>
      <c r="G2035" t="s">
        <v>16231</v>
      </c>
      <c r="H2035" t="s">
        <v>47054</v>
      </c>
      <c r="I2035" t="s">
        <v>47111</v>
      </c>
      <c r="J2035" t="s">
        <v>47112</v>
      </c>
      <c r="K2035" t="s">
        <v>47113</v>
      </c>
      <c r="L2035">
        <v>44.1</v>
      </c>
      <c r="M2035">
        <v>100</v>
      </c>
      <c r="N2035">
        <v>0</v>
      </c>
      <c r="O2035">
        <v>100</v>
      </c>
      <c r="P2035">
        <v>0</v>
      </c>
    </row>
    <row r="2036" spans="1:16" x14ac:dyDescent="0.25">
      <c r="A2036" t="s">
        <v>24437</v>
      </c>
      <c r="B2036" t="s">
        <v>3415</v>
      </c>
      <c r="C2036" t="s">
        <v>3416</v>
      </c>
      <c r="D2036" t="s">
        <v>1688</v>
      </c>
      <c r="E2036" t="s">
        <v>1689</v>
      </c>
      <c r="F2036" t="s">
        <v>56</v>
      </c>
      <c r="G2036" t="s">
        <v>16224</v>
      </c>
      <c r="H2036" t="s">
        <v>47054</v>
      </c>
      <c r="I2036" t="s">
        <v>47116</v>
      </c>
      <c r="J2036" t="s">
        <v>47117</v>
      </c>
      <c r="K2036" t="s">
        <v>47113</v>
      </c>
      <c r="L2036">
        <v>35.75</v>
      </c>
      <c r="M2036">
        <v>75</v>
      </c>
      <c r="N2036">
        <v>0</v>
      </c>
      <c r="O2036">
        <v>75</v>
      </c>
      <c r="P2036">
        <v>0</v>
      </c>
    </row>
    <row r="2037" spans="1:16" x14ac:dyDescent="0.25">
      <c r="A2037" t="s">
        <v>24438</v>
      </c>
      <c r="B2037" t="s">
        <v>3415</v>
      </c>
      <c r="C2037" t="s">
        <v>3416</v>
      </c>
      <c r="D2037" t="s">
        <v>3411</v>
      </c>
      <c r="E2037" t="s">
        <v>3412</v>
      </c>
      <c r="F2037" t="s">
        <v>56</v>
      </c>
      <c r="G2037" t="s">
        <v>16224</v>
      </c>
      <c r="H2037" t="s">
        <v>47054</v>
      </c>
      <c r="I2037" t="s">
        <v>47116</v>
      </c>
      <c r="J2037" t="s">
        <v>47117</v>
      </c>
      <c r="K2037" t="s">
        <v>47113</v>
      </c>
      <c r="L2037">
        <v>39.5</v>
      </c>
      <c r="M2037">
        <v>100</v>
      </c>
      <c r="N2037">
        <v>0</v>
      </c>
      <c r="O2037">
        <v>100</v>
      </c>
      <c r="P2037">
        <v>0</v>
      </c>
    </row>
    <row r="2038" spans="1:16" x14ac:dyDescent="0.25">
      <c r="A2038" t="s">
        <v>24439</v>
      </c>
      <c r="B2038" t="s">
        <v>3417</v>
      </c>
      <c r="C2038" t="s">
        <v>3418</v>
      </c>
      <c r="D2038" t="s">
        <v>3395</v>
      </c>
      <c r="E2038" t="s">
        <v>3419</v>
      </c>
      <c r="F2038" t="s">
        <v>6</v>
      </c>
      <c r="G2038" t="s">
        <v>16231</v>
      </c>
      <c r="H2038" t="s">
        <v>47054</v>
      </c>
      <c r="I2038" t="s">
        <v>47111</v>
      </c>
      <c r="J2038" t="s">
        <v>47112</v>
      </c>
      <c r="K2038" t="s">
        <v>47113</v>
      </c>
      <c r="L2038">
        <v>48.96</v>
      </c>
      <c r="M2038">
        <v>111</v>
      </c>
      <c r="N2038">
        <v>0</v>
      </c>
      <c r="O2038">
        <v>111</v>
      </c>
      <c r="P2038">
        <v>0</v>
      </c>
    </row>
    <row r="2039" spans="1:16" x14ac:dyDescent="0.25">
      <c r="A2039" t="s">
        <v>24440</v>
      </c>
      <c r="B2039" t="s">
        <v>3417</v>
      </c>
      <c r="C2039" t="s">
        <v>3418</v>
      </c>
      <c r="D2039" t="s">
        <v>3401</v>
      </c>
      <c r="E2039" t="s">
        <v>3402</v>
      </c>
      <c r="F2039" t="s">
        <v>6</v>
      </c>
      <c r="G2039" t="s">
        <v>16231</v>
      </c>
      <c r="H2039" t="s">
        <v>47054</v>
      </c>
      <c r="I2039" t="s">
        <v>47111</v>
      </c>
      <c r="J2039" t="s">
        <v>47112</v>
      </c>
      <c r="K2039" t="s">
        <v>47113</v>
      </c>
      <c r="L2039">
        <v>52.42</v>
      </c>
      <c r="M2039">
        <v>119</v>
      </c>
      <c r="N2039">
        <v>0</v>
      </c>
      <c r="O2039">
        <v>119</v>
      </c>
      <c r="P2039">
        <v>0</v>
      </c>
    </row>
    <row r="2040" spans="1:16" x14ac:dyDescent="0.25">
      <c r="A2040" t="s">
        <v>24441</v>
      </c>
      <c r="B2040" t="s">
        <v>3420</v>
      </c>
      <c r="C2040" t="s">
        <v>3421</v>
      </c>
      <c r="D2040" t="s">
        <v>3422</v>
      </c>
      <c r="E2040" t="s">
        <v>3423</v>
      </c>
      <c r="F2040" t="s">
        <v>58</v>
      </c>
      <c r="G2040" t="s">
        <v>16231</v>
      </c>
      <c r="H2040" t="s">
        <v>47054</v>
      </c>
      <c r="I2040" t="s">
        <v>47111</v>
      </c>
      <c r="J2040" t="s">
        <v>47112</v>
      </c>
      <c r="K2040" t="s">
        <v>47113</v>
      </c>
      <c r="L2040">
        <v>44.96</v>
      </c>
      <c r="M2040">
        <v>84</v>
      </c>
      <c r="N2040">
        <v>0</v>
      </c>
      <c r="O2040">
        <v>84</v>
      </c>
      <c r="P2040">
        <v>0</v>
      </c>
    </row>
    <row r="2041" spans="1:16" x14ac:dyDescent="0.25">
      <c r="A2041" t="s">
        <v>24442</v>
      </c>
      <c r="B2041" t="s">
        <v>3424</v>
      </c>
      <c r="C2041" t="s">
        <v>3425</v>
      </c>
      <c r="D2041" t="s">
        <v>2020</v>
      </c>
      <c r="E2041" t="s">
        <v>2021</v>
      </c>
      <c r="F2041" t="s">
        <v>58</v>
      </c>
      <c r="G2041" t="s">
        <v>16231</v>
      </c>
      <c r="H2041" t="s">
        <v>47054</v>
      </c>
      <c r="I2041" t="s">
        <v>47116</v>
      </c>
      <c r="J2041" t="s">
        <v>47117</v>
      </c>
      <c r="K2041" t="s">
        <v>47113</v>
      </c>
      <c r="L2041">
        <v>44.15</v>
      </c>
      <c r="M2041">
        <v>108</v>
      </c>
      <c r="N2041">
        <v>0</v>
      </c>
      <c r="O2041">
        <v>108</v>
      </c>
      <c r="P2041">
        <v>0</v>
      </c>
    </row>
    <row r="2042" spans="1:16" x14ac:dyDescent="0.25">
      <c r="A2042" t="s">
        <v>24443</v>
      </c>
      <c r="B2042" t="s">
        <v>3426</v>
      </c>
      <c r="C2042" t="s">
        <v>3427</v>
      </c>
      <c r="D2042" t="s">
        <v>753</v>
      </c>
      <c r="E2042" t="s">
        <v>754</v>
      </c>
      <c r="F2042" t="s">
        <v>8</v>
      </c>
      <c r="G2042" t="s">
        <v>16230</v>
      </c>
      <c r="H2042" t="s">
        <v>47054</v>
      </c>
      <c r="I2042" t="s">
        <v>47116</v>
      </c>
      <c r="J2042" t="s">
        <v>47117</v>
      </c>
      <c r="K2042" t="s">
        <v>47113</v>
      </c>
      <c r="L2042">
        <v>44.87</v>
      </c>
      <c r="M2042">
        <v>116</v>
      </c>
      <c r="N2042">
        <v>0</v>
      </c>
      <c r="O2042">
        <v>116</v>
      </c>
      <c r="P2042">
        <v>0</v>
      </c>
    </row>
    <row r="2043" spans="1:16" x14ac:dyDescent="0.25">
      <c r="A2043" t="s">
        <v>24444</v>
      </c>
      <c r="B2043" t="s">
        <v>3426</v>
      </c>
      <c r="C2043" t="s">
        <v>3427</v>
      </c>
      <c r="D2043" t="s">
        <v>3428</v>
      </c>
      <c r="E2043" t="s">
        <v>3429</v>
      </c>
      <c r="F2043" t="s">
        <v>8</v>
      </c>
      <c r="G2043" t="s">
        <v>16230</v>
      </c>
      <c r="H2043" t="s">
        <v>47054</v>
      </c>
      <c r="I2043" t="s">
        <v>47116</v>
      </c>
      <c r="J2043" t="s">
        <v>47117</v>
      </c>
      <c r="K2043" t="s">
        <v>47113</v>
      </c>
      <c r="L2043">
        <v>37.729999999999997</v>
      </c>
      <c r="M2043">
        <v>103</v>
      </c>
      <c r="N2043">
        <v>0</v>
      </c>
      <c r="O2043">
        <v>103</v>
      </c>
      <c r="P2043">
        <v>0</v>
      </c>
    </row>
    <row r="2044" spans="1:16" x14ac:dyDescent="0.25">
      <c r="A2044" t="s">
        <v>24445</v>
      </c>
      <c r="B2044" t="s">
        <v>3426</v>
      </c>
      <c r="C2044" t="s">
        <v>3427</v>
      </c>
      <c r="D2044" t="s">
        <v>1928</v>
      </c>
      <c r="E2044" t="s">
        <v>1929</v>
      </c>
      <c r="F2044" t="s">
        <v>8</v>
      </c>
      <c r="G2044" t="s">
        <v>16230</v>
      </c>
      <c r="H2044" t="s">
        <v>47054</v>
      </c>
      <c r="I2044" t="s">
        <v>47116</v>
      </c>
      <c r="J2044" t="s">
        <v>47117</v>
      </c>
      <c r="K2044" t="s">
        <v>47113</v>
      </c>
      <c r="L2044">
        <v>41.35</v>
      </c>
      <c r="M2044">
        <v>103</v>
      </c>
      <c r="N2044">
        <v>0</v>
      </c>
      <c r="O2044">
        <v>103</v>
      </c>
      <c r="P2044">
        <v>0</v>
      </c>
    </row>
    <row r="2045" spans="1:16" x14ac:dyDescent="0.25">
      <c r="A2045" t="s">
        <v>24446</v>
      </c>
      <c r="B2045" t="s">
        <v>3430</v>
      </c>
      <c r="C2045" t="s">
        <v>3431</v>
      </c>
      <c r="D2045" t="s">
        <v>3432</v>
      </c>
      <c r="E2045" t="s">
        <v>3433</v>
      </c>
      <c r="F2045" t="s">
        <v>8</v>
      </c>
      <c r="G2045" t="s">
        <v>16230</v>
      </c>
      <c r="H2045" t="s">
        <v>47054</v>
      </c>
      <c r="I2045" t="s">
        <v>47118</v>
      </c>
      <c r="J2045" t="s">
        <v>47119</v>
      </c>
      <c r="K2045" t="s">
        <v>47113</v>
      </c>
      <c r="L2045">
        <v>54.22</v>
      </c>
      <c r="M2045">
        <v>129</v>
      </c>
      <c r="N2045">
        <v>0</v>
      </c>
      <c r="O2045">
        <v>129</v>
      </c>
      <c r="P2045">
        <v>0</v>
      </c>
    </row>
    <row r="2046" spans="1:16" x14ac:dyDescent="0.25">
      <c r="A2046" t="s">
        <v>24447</v>
      </c>
      <c r="B2046" t="s">
        <v>3434</v>
      </c>
      <c r="C2046" t="s">
        <v>3435</v>
      </c>
      <c r="D2046" t="s">
        <v>1926</v>
      </c>
      <c r="E2046" t="s">
        <v>1927</v>
      </c>
      <c r="F2046" t="s">
        <v>52</v>
      </c>
      <c r="G2046" t="s">
        <v>16230</v>
      </c>
      <c r="H2046" t="s">
        <v>47054</v>
      </c>
      <c r="I2046" t="s">
        <v>47116</v>
      </c>
      <c r="J2046" t="s">
        <v>47117</v>
      </c>
      <c r="K2046" t="s">
        <v>47113</v>
      </c>
      <c r="L2046">
        <v>49.34</v>
      </c>
      <c r="M2046">
        <v>108</v>
      </c>
      <c r="N2046">
        <v>0</v>
      </c>
      <c r="O2046">
        <v>108</v>
      </c>
      <c r="P2046">
        <v>0</v>
      </c>
    </row>
    <row r="2047" spans="1:16" x14ac:dyDescent="0.25">
      <c r="A2047" t="s">
        <v>24448</v>
      </c>
      <c r="B2047" t="s">
        <v>3434</v>
      </c>
      <c r="C2047" t="s">
        <v>3435</v>
      </c>
      <c r="D2047" t="s">
        <v>753</v>
      </c>
      <c r="E2047" t="s">
        <v>754</v>
      </c>
      <c r="F2047" t="s">
        <v>8</v>
      </c>
      <c r="G2047" t="s">
        <v>16230</v>
      </c>
      <c r="H2047" t="s">
        <v>47054</v>
      </c>
      <c r="I2047" t="s">
        <v>47116</v>
      </c>
      <c r="J2047" t="s">
        <v>47117</v>
      </c>
      <c r="K2047" t="s">
        <v>47113</v>
      </c>
      <c r="L2047">
        <v>49.34</v>
      </c>
      <c r="M2047">
        <v>116</v>
      </c>
      <c r="N2047">
        <v>0</v>
      </c>
      <c r="O2047">
        <v>116</v>
      </c>
      <c r="P2047">
        <v>0</v>
      </c>
    </row>
    <row r="2048" spans="1:16" x14ac:dyDescent="0.25">
      <c r="A2048" t="s">
        <v>24449</v>
      </c>
      <c r="B2048" t="s">
        <v>3436</v>
      </c>
      <c r="C2048" t="s">
        <v>3437</v>
      </c>
      <c r="D2048" t="s">
        <v>3432</v>
      </c>
      <c r="E2048" t="s">
        <v>3433</v>
      </c>
      <c r="F2048" t="s">
        <v>8</v>
      </c>
      <c r="G2048" t="s">
        <v>16230</v>
      </c>
      <c r="H2048" t="s">
        <v>47054</v>
      </c>
      <c r="I2048" t="s">
        <v>47114</v>
      </c>
      <c r="J2048" t="s">
        <v>47115</v>
      </c>
      <c r="K2048" t="s">
        <v>47113</v>
      </c>
      <c r="L2048">
        <v>56.43</v>
      </c>
      <c r="M2048">
        <v>139</v>
      </c>
      <c r="N2048">
        <v>0</v>
      </c>
      <c r="O2048">
        <v>139</v>
      </c>
      <c r="P2048">
        <v>0</v>
      </c>
    </row>
    <row r="2049" spans="1:16" x14ac:dyDescent="0.25">
      <c r="A2049" t="s">
        <v>24450</v>
      </c>
      <c r="B2049" t="s">
        <v>3438</v>
      </c>
      <c r="C2049" t="s">
        <v>3439</v>
      </c>
      <c r="D2049" t="s">
        <v>3428</v>
      </c>
      <c r="E2049" t="s">
        <v>3429</v>
      </c>
      <c r="F2049" t="s">
        <v>52</v>
      </c>
      <c r="G2049" t="s">
        <v>16230</v>
      </c>
      <c r="H2049" t="s">
        <v>47054</v>
      </c>
      <c r="I2049" t="s">
        <v>47114</v>
      </c>
      <c r="J2049" t="s">
        <v>47115</v>
      </c>
      <c r="K2049" t="s">
        <v>47113</v>
      </c>
      <c r="L2049">
        <v>44.44</v>
      </c>
      <c r="M2049">
        <v>98</v>
      </c>
      <c r="N2049">
        <v>0</v>
      </c>
      <c r="O2049">
        <v>98</v>
      </c>
      <c r="P2049">
        <v>0</v>
      </c>
    </row>
    <row r="2050" spans="1:16" x14ac:dyDescent="0.25">
      <c r="A2050" t="s">
        <v>24451</v>
      </c>
      <c r="B2050" t="s">
        <v>3440</v>
      </c>
      <c r="C2050" t="s">
        <v>3441</v>
      </c>
      <c r="D2050" t="s">
        <v>2981</v>
      </c>
      <c r="E2050" t="s">
        <v>2982</v>
      </c>
      <c r="F2050" t="s">
        <v>7</v>
      </c>
      <c r="G2050" t="s">
        <v>16230</v>
      </c>
      <c r="H2050" t="s">
        <v>47054</v>
      </c>
      <c r="I2050" t="s">
        <v>47116</v>
      </c>
      <c r="J2050" t="s">
        <v>47117</v>
      </c>
      <c r="K2050" t="s">
        <v>47113</v>
      </c>
      <c r="L2050">
        <v>45.8</v>
      </c>
      <c r="M2050">
        <v>93</v>
      </c>
      <c r="N2050">
        <v>0</v>
      </c>
      <c r="O2050">
        <v>93</v>
      </c>
      <c r="P2050">
        <v>0</v>
      </c>
    </row>
    <row r="2051" spans="1:16" x14ac:dyDescent="0.25">
      <c r="A2051" t="s">
        <v>24452</v>
      </c>
      <c r="B2051" t="s">
        <v>3440</v>
      </c>
      <c r="C2051" t="s">
        <v>3441</v>
      </c>
      <c r="D2051" t="s">
        <v>311</v>
      </c>
      <c r="E2051" t="s">
        <v>312</v>
      </c>
      <c r="F2051" t="s">
        <v>7</v>
      </c>
      <c r="G2051" t="s">
        <v>16230</v>
      </c>
      <c r="H2051" t="s">
        <v>47054</v>
      </c>
      <c r="I2051" t="s">
        <v>47116</v>
      </c>
      <c r="J2051" t="s">
        <v>47117</v>
      </c>
      <c r="K2051" t="s">
        <v>47113</v>
      </c>
      <c r="L2051">
        <v>38.5</v>
      </c>
      <c r="M2051">
        <v>90</v>
      </c>
      <c r="N2051">
        <v>0</v>
      </c>
      <c r="O2051">
        <v>90</v>
      </c>
      <c r="P2051">
        <v>0</v>
      </c>
    </row>
    <row r="2052" spans="1:16" x14ac:dyDescent="0.25">
      <c r="A2052" t="s">
        <v>24453</v>
      </c>
      <c r="B2052" t="s">
        <v>3442</v>
      </c>
      <c r="C2052" t="s">
        <v>3443</v>
      </c>
      <c r="D2052" t="s">
        <v>294</v>
      </c>
      <c r="E2052" t="s">
        <v>295</v>
      </c>
      <c r="F2052" t="s">
        <v>7</v>
      </c>
      <c r="G2052" t="s">
        <v>16230</v>
      </c>
      <c r="H2052" t="s">
        <v>47054</v>
      </c>
      <c r="I2052" t="s">
        <v>47116</v>
      </c>
      <c r="J2052" t="s">
        <v>47117</v>
      </c>
      <c r="K2052" t="s">
        <v>47113</v>
      </c>
      <c r="L2052">
        <v>43.06</v>
      </c>
      <c r="M2052">
        <v>112</v>
      </c>
      <c r="N2052">
        <v>0</v>
      </c>
      <c r="O2052">
        <v>112</v>
      </c>
      <c r="P2052">
        <v>0</v>
      </c>
    </row>
    <row r="2053" spans="1:16" x14ac:dyDescent="0.25">
      <c r="A2053" t="s">
        <v>24454</v>
      </c>
      <c r="B2053" t="s">
        <v>3444</v>
      </c>
      <c r="C2053" t="s">
        <v>3445</v>
      </c>
      <c r="D2053" t="s">
        <v>3446</v>
      </c>
      <c r="E2053" t="s">
        <v>3447</v>
      </c>
      <c r="F2053" t="s">
        <v>7</v>
      </c>
      <c r="G2053" t="s">
        <v>16230</v>
      </c>
      <c r="H2053" t="s">
        <v>47054</v>
      </c>
      <c r="I2053" t="s">
        <v>47116</v>
      </c>
      <c r="J2053" t="s">
        <v>47117</v>
      </c>
      <c r="K2053" t="s">
        <v>47113</v>
      </c>
      <c r="L2053">
        <v>44.75</v>
      </c>
      <c r="M2053">
        <v>109</v>
      </c>
      <c r="N2053">
        <v>0</v>
      </c>
      <c r="O2053">
        <v>109</v>
      </c>
      <c r="P2053">
        <v>0</v>
      </c>
    </row>
    <row r="2054" spans="1:16" x14ac:dyDescent="0.25">
      <c r="A2054" t="s">
        <v>24455</v>
      </c>
      <c r="B2054" t="s">
        <v>3448</v>
      </c>
      <c r="C2054" t="s">
        <v>3449</v>
      </c>
      <c r="D2054" t="s">
        <v>3450</v>
      </c>
      <c r="E2054" t="s">
        <v>3451</v>
      </c>
      <c r="F2054" t="s">
        <v>7</v>
      </c>
      <c r="G2054" t="s">
        <v>16230</v>
      </c>
      <c r="H2054" t="s">
        <v>47054</v>
      </c>
      <c r="I2054" t="s">
        <v>47116</v>
      </c>
      <c r="J2054" t="s">
        <v>47117</v>
      </c>
      <c r="K2054" t="s">
        <v>47113</v>
      </c>
      <c r="L2054">
        <v>52.13</v>
      </c>
      <c r="M2054">
        <v>117</v>
      </c>
      <c r="N2054">
        <v>0</v>
      </c>
      <c r="O2054">
        <v>117</v>
      </c>
      <c r="P2054">
        <v>0</v>
      </c>
    </row>
    <row r="2055" spans="1:16" x14ac:dyDescent="0.25">
      <c r="A2055" t="s">
        <v>24456</v>
      </c>
      <c r="B2055" t="s">
        <v>3452</v>
      </c>
      <c r="C2055" t="s">
        <v>3453</v>
      </c>
      <c r="D2055" t="s">
        <v>283</v>
      </c>
      <c r="E2055" t="s">
        <v>284</v>
      </c>
      <c r="F2055" t="s">
        <v>6</v>
      </c>
      <c r="G2055" t="s">
        <v>16230</v>
      </c>
      <c r="H2055" t="s">
        <v>47054</v>
      </c>
      <c r="I2055" t="s">
        <v>47116</v>
      </c>
      <c r="J2055" t="s">
        <v>47117</v>
      </c>
      <c r="K2055" t="s">
        <v>47113</v>
      </c>
      <c r="L2055">
        <v>55.11</v>
      </c>
      <c r="M2055">
        <v>138</v>
      </c>
      <c r="N2055">
        <v>0</v>
      </c>
      <c r="O2055">
        <v>138</v>
      </c>
      <c r="P2055">
        <v>0</v>
      </c>
    </row>
    <row r="2056" spans="1:16" x14ac:dyDescent="0.25">
      <c r="A2056" t="s">
        <v>24457</v>
      </c>
      <c r="B2056" t="s">
        <v>3454</v>
      </c>
      <c r="C2056" t="s">
        <v>3453</v>
      </c>
      <c r="D2056" t="s">
        <v>916</v>
      </c>
      <c r="E2056" t="s">
        <v>917</v>
      </c>
      <c r="F2056" t="s">
        <v>6</v>
      </c>
      <c r="G2056" t="s">
        <v>16230</v>
      </c>
      <c r="H2056" t="s">
        <v>47054</v>
      </c>
      <c r="I2056" t="s">
        <v>47116</v>
      </c>
      <c r="J2056" t="s">
        <v>47117</v>
      </c>
      <c r="K2056" t="s">
        <v>47113</v>
      </c>
      <c r="L2056">
        <v>58.07</v>
      </c>
      <c r="M2056">
        <v>138</v>
      </c>
      <c r="N2056">
        <v>0</v>
      </c>
      <c r="O2056">
        <v>138</v>
      </c>
      <c r="P2056">
        <v>0</v>
      </c>
    </row>
    <row r="2057" spans="1:16" x14ac:dyDescent="0.25">
      <c r="A2057" t="s">
        <v>24458</v>
      </c>
      <c r="B2057" t="s">
        <v>3455</v>
      </c>
      <c r="C2057" t="s">
        <v>3427</v>
      </c>
      <c r="D2057" t="s">
        <v>3456</v>
      </c>
      <c r="E2057" t="s">
        <v>3457</v>
      </c>
      <c r="F2057" t="s">
        <v>6</v>
      </c>
      <c r="G2057" t="s">
        <v>16230</v>
      </c>
      <c r="H2057" t="s">
        <v>47054</v>
      </c>
      <c r="I2057" t="s">
        <v>47116</v>
      </c>
      <c r="J2057" t="s">
        <v>47117</v>
      </c>
      <c r="K2057" t="s">
        <v>47113</v>
      </c>
      <c r="L2057">
        <v>47.21</v>
      </c>
      <c r="M2057">
        <v>110</v>
      </c>
      <c r="N2057">
        <v>0</v>
      </c>
      <c r="O2057">
        <v>110</v>
      </c>
      <c r="P2057">
        <v>0</v>
      </c>
    </row>
    <row r="2058" spans="1:16" x14ac:dyDescent="0.25">
      <c r="A2058" t="s">
        <v>24459</v>
      </c>
      <c r="B2058" t="s">
        <v>3458</v>
      </c>
      <c r="C2058" t="s">
        <v>3459</v>
      </c>
      <c r="D2058" t="s">
        <v>311</v>
      </c>
      <c r="E2058" t="s">
        <v>312</v>
      </c>
      <c r="F2058" t="s">
        <v>6</v>
      </c>
      <c r="G2058" t="s">
        <v>16230</v>
      </c>
      <c r="H2058" t="s">
        <v>47054</v>
      </c>
      <c r="I2058" t="s">
        <v>47116</v>
      </c>
      <c r="J2058" t="s">
        <v>47117</v>
      </c>
      <c r="K2058" t="s">
        <v>47113</v>
      </c>
      <c r="L2058">
        <v>40.83</v>
      </c>
      <c r="M2058">
        <v>97</v>
      </c>
      <c r="N2058">
        <v>0</v>
      </c>
      <c r="O2058">
        <v>97</v>
      </c>
      <c r="P2058">
        <v>0</v>
      </c>
    </row>
    <row r="2059" spans="1:16" x14ac:dyDescent="0.25">
      <c r="A2059" t="s">
        <v>24460</v>
      </c>
      <c r="B2059" t="s">
        <v>3460</v>
      </c>
      <c r="C2059" t="s">
        <v>3461</v>
      </c>
      <c r="D2059" t="s">
        <v>3462</v>
      </c>
      <c r="E2059" t="s">
        <v>3463</v>
      </c>
      <c r="F2059" t="s">
        <v>2</v>
      </c>
      <c r="G2059" t="s">
        <v>16230</v>
      </c>
      <c r="H2059" t="s">
        <v>47054</v>
      </c>
      <c r="I2059" t="s">
        <v>47116</v>
      </c>
      <c r="J2059" t="s">
        <v>47117</v>
      </c>
      <c r="K2059" t="s">
        <v>47113</v>
      </c>
      <c r="L2059">
        <v>44.02</v>
      </c>
      <c r="M2059">
        <v>90</v>
      </c>
      <c r="N2059">
        <v>0</v>
      </c>
      <c r="O2059">
        <v>90</v>
      </c>
      <c r="P2059">
        <v>0</v>
      </c>
    </row>
    <row r="2060" spans="1:16" x14ac:dyDescent="0.25">
      <c r="A2060" t="s">
        <v>24461</v>
      </c>
      <c r="B2060" t="s">
        <v>3464</v>
      </c>
      <c r="C2060" t="s">
        <v>3465</v>
      </c>
      <c r="D2060" t="s">
        <v>3466</v>
      </c>
      <c r="E2060" t="s">
        <v>3467</v>
      </c>
      <c r="F2060" t="s">
        <v>2</v>
      </c>
      <c r="G2060" t="s">
        <v>16230</v>
      </c>
      <c r="H2060" t="s">
        <v>47054</v>
      </c>
      <c r="I2060" t="s">
        <v>47116</v>
      </c>
      <c r="J2060" t="s">
        <v>47117</v>
      </c>
      <c r="K2060" t="s">
        <v>47113</v>
      </c>
      <c r="L2060">
        <v>44.1</v>
      </c>
      <c r="M2060">
        <v>104</v>
      </c>
      <c r="N2060">
        <v>0</v>
      </c>
      <c r="O2060">
        <v>104</v>
      </c>
      <c r="P2060">
        <v>0</v>
      </c>
    </row>
    <row r="2061" spans="1:16" x14ac:dyDescent="0.25">
      <c r="A2061" t="s">
        <v>24462</v>
      </c>
      <c r="B2061" t="s">
        <v>3468</v>
      </c>
      <c r="C2061" t="s">
        <v>3469</v>
      </c>
      <c r="D2061" t="s">
        <v>3470</v>
      </c>
      <c r="E2061" t="s">
        <v>3471</v>
      </c>
      <c r="F2061" t="s">
        <v>2</v>
      </c>
      <c r="G2061" t="s">
        <v>16230</v>
      </c>
      <c r="H2061" t="s">
        <v>47054</v>
      </c>
      <c r="I2061" t="s">
        <v>47116</v>
      </c>
      <c r="J2061" t="s">
        <v>47117</v>
      </c>
      <c r="K2061" t="s">
        <v>47113</v>
      </c>
      <c r="L2061">
        <v>52.17</v>
      </c>
      <c r="M2061">
        <v>110</v>
      </c>
      <c r="N2061">
        <v>0</v>
      </c>
      <c r="O2061">
        <v>110</v>
      </c>
      <c r="P2061">
        <v>0</v>
      </c>
    </row>
    <row r="2062" spans="1:16" x14ac:dyDescent="0.25">
      <c r="A2062" t="s">
        <v>24463</v>
      </c>
      <c r="B2062" t="s">
        <v>3472</v>
      </c>
      <c r="C2062" t="s">
        <v>3473</v>
      </c>
      <c r="D2062" t="s">
        <v>3474</v>
      </c>
      <c r="E2062" t="s">
        <v>3475</v>
      </c>
      <c r="F2062" t="s">
        <v>2</v>
      </c>
      <c r="G2062" t="s">
        <v>16230</v>
      </c>
      <c r="H2062" t="s">
        <v>47054</v>
      </c>
      <c r="I2062" t="s">
        <v>47116</v>
      </c>
      <c r="J2062" t="s">
        <v>47117</v>
      </c>
      <c r="K2062" t="s">
        <v>47113</v>
      </c>
      <c r="L2062">
        <v>64.09</v>
      </c>
      <c r="M2062">
        <v>100</v>
      </c>
      <c r="N2062">
        <v>0</v>
      </c>
      <c r="O2062">
        <v>100</v>
      </c>
      <c r="P2062">
        <v>0</v>
      </c>
    </row>
    <row r="2063" spans="1:16" x14ac:dyDescent="0.25">
      <c r="A2063" t="s">
        <v>14855</v>
      </c>
      <c r="B2063" t="s">
        <v>3476</v>
      </c>
      <c r="C2063" t="s">
        <v>3477</v>
      </c>
      <c r="D2063" t="s">
        <v>1483</v>
      </c>
      <c r="E2063" t="s">
        <v>3478</v>
      </c>
      <c r="F2063" t="s">
        <v>5</v>
      </c>
      <c r="G2063" t="s">
        <v>16230</v>
      </c>
      <c r="H2063" t="s">
        <v>47153</v>
      </c>
      <c r="I2063" t="s">
        <v>47132</v>
      </c>
      <c r="J2063" t="s">
        <v>47133</v>
      </c>
      <c r="K2063" t="s">
        <v>47113</v>
      </c>
      <c r="L2063">
        <v>36.700000000000003</v>
      </c>
      <c r="M2063">
        <v>77</v>
      </c>
      <c r="N2063">
        <v>0</v>
      </c>
      <c r="O2063">
        <v>77</v>
      </c>
      <c r="P2063">
        <v>0</v>
      </c>
    </row>
    <row r="2064" spans="1:16" x14ac:dyDescent="0.25">
      <c r="A2064" t="s">
        <v>24464</v>
      </c>
      <c r="B2064" t="s">
        <v>3476</v>
      </c>
      <c r="C2064" t="s">
        <v>3477</v>
      </c>
      <c r="D2064" t="s">
        <v>311</v>
      </c>
      <c r="E2064" t="s">
        <v>3479</v>
      </c>
      <c r="F2064" t="s">
        <v>5</v>
      </c>
      <c r="G2064" t="s">
        <v>16230</v>
      </c>
      <c r="H2064" t="s">
        <v>47153</v>
      </c>
      <c r="I2064" t="s">
        <v>47132</v>
      </c>
      <c r="J2064" t="s">
        <v>47133</v>
      </c>
      <c r="K2064" t="s">
        <v>47113</v>
      </c>
      <c r="L2064">
        <v>33.479999999999997</v>
      </c>
      <c r="M2064">
        <v>73</v>
      </c>
      <c r="N2064">
        <v>0</v>
      </c>
      <c r="O2064">
        <v>73</v>
      </c>
      <c r="P2064">
        <v>0</v>
      </c>
    </row>
    <row r="2065" spans="1:16" x14ac:dyDescent="0.25">
      <c r="A2065" t="s">
        <v>24465</v>
      </c>
      <c r="B2065" t="s">
        <v>3480</v>
      </c>
      <c r="C2065" t="s">
        <v>3481</v>
      </c>
      <c r="D2065" t="s">
        <v>3482</v>
      </c>
      <c r="E2065" t="s">
        <v>3483</v>
      </c>
      <c r="F2065" t="s">
        <v>5</v>
      </c>
      <c r="G2065" t="s">
        <v>16231</v>
      </c>
      <c r="H2065" t="s">
        <v>47054</v>
      </c>
      <c r="I2065" t="s">
        <v>47111</v>
      </c>
      <c r="J2065" t="s">
        <v>47112</v>
      </c>
      <c r="K2065" t="s">
        <v>47113</v>
      </c>
      <c r="L2065">
        <v>33.68</v>
      </c>
      <c r="M2065">
        <v>77</v>
      </c>
      <c r="N2065">
        <v>0</v>
      </c>
      <c r="O2065">
        <v>77</v>
      </c>
      <c r="P2065">
        <v>0</v>
      </c>
    </row>
    <row r="2066" spans="1:16" x14ac:dyDescent="0.25">
      <c r="A2066" t="s">
        <v>24466</v>
      </c>
      <c r="B2066" t="s">
        <v>3480</v>
      </c>
      <c r="C2066" t="s">
        <v>3481</v>
      </c>
      <c r="D2066" t="s">
        <v>311</v>
      </c>
      <c r="E2066" t="s">
        <v>3479</v>
      </c>
      <c r="F2066" t="s">
        <v>5</v>
      </c>
      <c r="G2066" t="s">
        <v>16231</v>
      </c>
      <c r="H2066" t="s">
        <v>47054</v>
      </c>
      <c r="I2066" t="s">
        <v>47111</v>
      </c>
      <c r="J2066" t="s">
        <v>47112</v>
      </c>
      <c r="K2066" t="s">
        <v>47113</v>
      </c>
      <c r="L2066">
        <v>29.18</v>
      </c>
      <c r="M2066">
        <v>69</v>
      </c>
      <c r="N2066">
        <v>0</v>
      </c>
      <c r="O2066">
        <v>69</v>
      </c>
      <c r="P2066">
        <v>0</v>
      </c>
    </row>
    <row r="2067" spans="1:16" x14ac:dyDescent="0.25">
      <c r="A2067" t="s">
        <v>24467</v>
      </c>
      <c r="B2067" t="s">
        <v>3484</v>
      </c>
      <c r="C2067" t="s">
        <v>3485</v>
      </c>
      <c r="D2067" t="s">
        <v>3486</v>
      </c>
      <c r="E2067" t="s">
        <v>3487</v>
      </c>
      <c r="F2067" t="s">
        <v>4</v>
      </c>
      <c r="G2067" t="s">
        <v>16231</v>
      </c>
      <c r="H2067" t="s">
        <v>47054</v>
      </c>
      <c r="I2067" t="s">
        <v>47111</v>
      </c>
      <c r="J2067" t="s">
        <v>47112</v>
      </c>
      <c r="K2067" t="s">
        <v>47113</v>
      </c>
      <c r="L2067">
        <v>59.11</v>
      </c>
      <c r="M2067">
        <v>144</v>
      </c>
      <c r="N2067">
        <v>0</v>
      </c>
      <c r="O2067">
        <v>144</v>
      </c>
      <c r="P2067">
        <v>0</v>
      </c>
    </row>
    <row r="2068" spans="1:16" x14ac:dyDescent="0.25">
      <c r="A2068" t="s">
        <v>24468</v>
      </c>
      <c r="B2068" t="s">
        <v>3488</v>
      </c>
      <c r="C2068" t="s">
        <v>3489</v>
      </c>
      <c r="D2068" t="s">
        <v>3490</v>
      </c>
      <c r="E2068" t="s">
        <v>3491</v>
      </c>
      <c r="F2068" t="s">
        <v>4</v>
      </c>
      <c r="G2068" t="s">
        <v>16231</v>
      </c>
      <c r="H2068" t="s">
        <v>47054</v>
      </c>
      <c r="I2068" t="s">
        <v>47111</v>
      </c>
      <c r="J2068" t="s">
        <v>47112</v>
      </c>
      <c r="K2068" t="s">
        <v>47113</v>
      </c>
      <c r="L2068">
        <v>49.63</v>
      </c>
      <c r="M2068">
        <v>121</v>
      </c>
      <c r="N2068">
        <v>0</v>
      </c>
      <c r="O2068">
        <v>121</v>
      </c>
      <c r="P2068">
        <v>0</v>
      </c>
    </row>
    <row r="2069" spans="1:16" x14ac:dyDescent="0.25">
      <c r="A2069" t="s">
        <v>24469</v>
      </c>
      <c r="B2069" t="s">
        <v>3488</v>
      </c>
      <c r="C2069" t="s">
        <v>3489</v>
      </c>
      <c r="D2069" t="s">
        <v>3492</v>
      </c>
      <c r="E2069" t="s">
        <v>3493</v>
      </c>
      <c r="F2069" t="s">
        <v>4</v>
      </c>
      <c r="G2069" t="s">
        <v>16231</v>
      </c>
      <c r="H2069" t="s">
        <v>47054</v>
      </c>
      <c r="I2069" t="s">
        <v>47111</v>
      </c>
      <c r="J2069" t="s">
        <v>47112</v>
      </c>
      <c r="K2069" t="s">
        <v>47113</v>
      </c>
      <c r="L2069">
        <v>44.14</v>
      </c>
      <c r="M2069">
        <v>108</v>
      </c>
      <c r="N2069">
        <v>0</v>
      </c>
      <c r="O2069">
        <v>108</v>
      </c>
      <c r="P2069">
        <v>0</v>
      </c>
    </row>
    <row r="2070" spans="1:16" x14ac:dyDescent="0.25">
      <c r="A2070" t="s">
        <v>24470</v>
      </c>
      <c r="B2070" t="s">
        <v>3488</v>
      </c>
      <c r="C2070" t="s">
        <v>3489</v>
      </c>
      <c r="D2070" t="s">
        <v>3494</v>
      </c>
      <c r="E2070" t="s">
        <v>3495</v>
      </c>
      <c r="F2070" t="s">
        <v>4</v>
      </c>
      <c r="G2070" t="s">
        <v>16231</v>
      </c>
      <c r="H2070" t="s">
        <v>47054</v>
      </c>
      <c r="I2070" t="s">
        <v>47111</v>
      </c>
      <c r="J2070" t="s">
        <v>47112</v>
      </c>
      <c r="K2070" t="s">
        <v>47113</v>
      </c>
      <c r="L2070">
        <v>39.57</v>
      </c>
      <c r="M2070">
        <v>97</v>
      </c>
      <c r="N2070">
        <v>0</v>
      </c>
      <c r="O2070">
        <v>97</v>
      </c>
      <c r="P2070">
        <v>0</v>
      </c>
    </row>
    <row r="2071" spans="1:16" x14ac:dyDescent="0.25">
      <c r="A2071" t="s">
        <v>24471</v>
      </c>
      <c r="B2071" t="s">
        <v>3496</v>
      </c>
      <c r="C2071" t="s">
        <v>3497</v>
      </c>
      <c r="D2071" t="s">
        <v>3482</v>
      </c>
      <c r="E2071" t="s">
        <v>3483</v>
      </c>
      <c r="F2071" t="s">
        <v>5</v>
      </c>
      <c r="G2071" t="s">
        <v>16231</v>
      </c>
      <c r="H2071" t="s">
        <v>47054</v>
      </c>
      <c r="I2071" t="s">
        <v>47111</v>
      </c>
      <c r="J2071" t="s">
        <v>47112</v>
      </c>
      <c r="K2071" t="s">
        <v>47113</v>
      </c>
      <c r="L2071">
        <v>33.68</v>
      </c>
      <c r="M2071">
        <v>77</v>
      </c>
      <c r="N2071">
        <v>0</v>
      </c>
      <c r="O2071">
        <v>77</v>
      </c>
      <c r="P2071">
        <v>0</v>
      </c>
    </row>
    <row r="2072" spans="1:16" x14ac:dyDescent="0.25">
      <c r="A2072" t="s">
        <v>24472</v>
      </c>
      <c r="B2072" t="s">
        <v>3496</v>
      </c>
      <c r="C2072" t="s">
        <v>3497</v>
      </c>
      <c r="D2072" t="s">
        <v>311</v>
      </c>
      <c r="E2072" t="s">
        <v>3479</v>
      </c>
      <c r="F2072" t="s">
        <v>5</v>
      </c>
      <c r="G2072" t="s">
        <v>16231</v>
      </c>
      <c r="H2072" t="s">
        <v>47054</v>
      </c>
      <c r="I2072" t="s">
        <v>47111</v>
      </c>
      <c r="J2072" t="s">
        <v>47112</v>
      </c>
      <c r="K2072" t="s">
        <v>47113</v>
      </c>
      <c r="L2072">
        <v>29.18</v>
      </c>
      <c r="M2072">
        <v>69</v>
      </c>
      <c r="N2072">
        <v>0</v>
      </c>
      <c r="O2072">
        <v>69</v>
      </c>
      <c r="P2072">
        <v>0</v>
      </c>
    </row>
    <row r="2073" spans="1:16" x14ac:dyDescent="0.25">
      <c r="A2073" t="s">
        <v>24473</v>
      </c>
      <c r="B2073" t="s">
        <v>3498</v>
      </c>
      <c r="C2073" t="s">
        <v>3499</v>
      </c>
      <c r="D2073" t="s">
        <v>3500</v>
      </c>
      <c r="E2073" t="s">
        <v>3501</v>
      </c>
      <c r="F2073" t="s">
        <v>5</v>
      </c>
      <c r="G2073" t="s">
        <v>16231</v>
      </c>
      <c r="H2073" t="s">
        <v>47054</v>
      </c>
      <c r="I2073" t="s">
        <v>47111</v>
      </c>
      <c r="J2073" t="s">
        <v>47112</v>
      </c>
      <c r="K2073" t="s">
        <v>47113</v>
      </c>
      <c r="L2073">
        <v>52.51</v>
      </c>
      <c r="M2073">
        <v>123</v>
      </c>
      <c r="N2073">
        <v>0</v>
      </c>
      <c r="O2073">
        <v>123</v>
      </c>
      <c r="P2073">
        <v>0</v>
      </c>
    </row>
    <row r="2074" spans="1:16" x14ac:dyDescent="0.25">
      <c r="A2074" t="s">
        <v>24474</v>
      </c>
      <c r="B2074" t="s">
        <v>3498</v>
      </c>
      <c r="C2074" t="s">
        <v>3499</v>
      </c>
      <c r="D2074" t="s">
        <v>2365</v>
      </c>
      <c r="E2074" t="s">
        <v>2366</v>
      </c>
      <c r="F2074" t="s">
        <v>5</v>
      </c>
      <c r="G2074" t="s">
        <v>16231</v>
      </c>
      <c r="H2074" t="s">
        <v>47054</v>
      </c>
      <c r="I2074" t="s">
        <v>47111</v>
      </c>
      <c r="J2074" t="s">
        <v>47112</v>
      </c>
      <c r="K2074" t="s">
        <v>47113</v>
      </c>
      <c r="L2074">
        <v>47.99</v>
      </c>
      <c r="M2074">
        <v>111</v>
      </c>
      <c r="N2074">
        <v>0</v>
      </c>
      <c r="O2074">
        <v>111</v>
      </c>
      <c r="P2074">
        <v>0</v>
      </c>
    </row>
    <row r="2075" spans="1:16" x14ac:dyDescent="0.25">
      <c r="A2075" t="s">
        <v>24475</v>
      </c>
      <c r="B2075" t="s">
        <v>3502</v>
      </c>
      <c r="C2075" t="s">
        <v>3503</v>
      </c>
      <c r="D2075" t="s">
        <v>3504</v>
      </c>
      <c r="E2075" t="s">
        <v>3505</v>
      </c>
      <c r="F2075" t="s">
        <v>4</v>
      </c>
      <c r="G2075" t="s">
        <v>16231</v>
      </c>
      <c r="H2075" t="s">
        <v>47054</v>
      </c>
      <c r="I2075" t="s">
        <v>47111</v>
      </c>
      <c r="J2075" t="s">
        <v>47112</v>
      </c>
      <c r="K2075" t="s">
        <v>47113</v>
      </c>
      <c r="L2075">
        <v>55.17</v>
      </c>
      <c r="M2075">
        <v>135</v>
      </c>
      <c r="N2075">
        <v>0</v>
      </c>
      <c r="O2075">
        <v>135</v>
      </c>
      <c r="P2075">
        <v>0</v>
      </c>
    </row>
    <row r="2076" spans="1:16" x14ac:dyDescent="0.25">
      <c r="A2076" t="s">
        <v>24476</v>
      </c>
      <c r="B2076" t="s">
        <v>3502</v>
      </c>
      <c r="C2076" t="s">
        <v>3503</v>
      </c>
      <c r="D2076" t="s">
        <v>2395</v>
      </c>
      <c r="E2076" t="s">
        <v>2396</v>
      </c>
      <c r="F2076" t="s">
        <v>4</v>
      </c>
      <c r="G2076" t="s">
        <v>16231</v>
      </c>
      <c r="H2076" t="s">
        <v>47054</v>
      </c>
      <c r="I2076" t="s">
        <v>47111</v>
      </c>
      <c r="J2076" t="s">
        <v>47112</v>
      </c>
      <c r="K2076" t="s">
        <v>47113</v>
      </c>
      <c r="L2076">
        <v>49.81</v>
      </c>
      <c r="M2076">
        <v>121</v>
      </c>
      <c r="N2076">
        <v>0</v>
      </c>
      <c r="O2076">
        <v>121</v>
      </c>
      <c r="P2076">
        <v>0</v>
      </c>
    </row>
    <row r="2077" spans="1:16" x14ac:dyDescent="0.25">
      <c r="A2077" t="s">
        <v>24477</v>
      </c>
      <c r="B2077" t="s">
        <v>3506</v>
      </c>
      <c r="C2077" t="s">
        <v>3507</v>
      </c>
      <c r="D2077" t="s">
        <v>3482</v>
      </c>
      <c r="E2077" t="s">
        <v>3483</v>
      </c>
      <c r="F2077" t="s">
        <v>5</v>
      </c>
      <c r="G2077" t="s">
        <v>16231</v>
      </c>
      <c r="H2077" t="s">
        <v>47054</v>
      </c>
      <c r="I2077" t="s">
        <v>47111</v>
      </c>
      <c r="J2077" t="s">
        <v>47112</v>
      </c>
      <c r="K2077" t="s">
        <v>47113</v>
      </c>
      <c r="L2077">
        <v>33.68</v>
      </c>
      <c r="M2077">
        <v>77</v>
      </c>
      <c r="N2077">
        <v>0</v>
      </c>
      <c r="O2077">
        <v>77</v>
      </c>
      <c r="P2077">
        <v>0</v>
      </c>
    </row>
    <row r="2078" spans="1:16" x14ac:dyDescent="0.25">
      <c r="A2078" t="s">
        <v>24478</v>
      </c>
      <c r="B2078" t="s">
        <v>3506</v>
      </c>
      <c r="C2078" t="s">
        <v>3507</v>
      </c>
      <c r="D2078" t="s">
        <v>311</v>
      </c>
      <c r="E2078" t="s">
        <v>3479</v>
      </c>
      <c r="F2078" t="s">
        <v>5</v>
      </c>
      <c r="G2078" t="s">
        <v>16231</v>
      </c>
      <c r="H2078" t="s">
        <v>47054</v>
      </c>
      <c r="I2078" t="s">
        <v>47111</v>
      </c>
      <c r="J2078" t="s">
        <v>47112</v>
      </c>
      <c r="K2078" t="s">
        <v>47113</v>
      </c>
      <c r="L2078">
        <v>29.18</v>
      </c>
      <c r="M2078">
        <v>69</v>
      </c>
      <c r="N2078">
        <v>0</v>
      </c>
      <c r="O2078">
        <v>69</v>
      </c>
      <c r="P2078">
        <v>0</v>
      </c>
    </row>
    <row r="2079" spans="1:16" x14ac:dyDescent="0.25">
      <c r="A2079" t="s">
        <v>24479</v>
      </c>
      <c r="B2079" t="s">
        <v>3508</v>
      </c>
      <c r="C2079" t="s">
        <v>3509</v>
      </c>
      <c r="D2079" t="s">
        <v>3500</v>
      </c>
      <c r="E2079" t="s">
        <v>3501</v>
      </c>
      <c r="F2079" t="s">
        <v>5</v>
      </c>
      <c r="G2079" t="s">
        <v>16231</v>
      </c>
      <c r="H2079" t="s">
        <v>47054</v>
      </c>
      <c r="I2079" t="s">
        <v>47111</v>
      </c>
      <c r="J2079" t="s">
        <v>47112</v>
      </c>
      <c r="K2079" t="s">
        <v>47113</v>
      </c>
      <c r="L2079">
        <v>52.4</v>
      </c>
      <c r="M2079">
        <v>123</v>
      </c>
      <c r="N2079">
        <v>0</v>
      </c>
      <c r="O2079">
        <v>123</v>
      </c>
      <c r="P2079">
        <v>0</v>
      </c>
    </row>
    <row r="2080" spans="1:16" x14ac:dyDescent="0.25">
      <c r="A2080" t="s">
        <v>24480</v>
      </c>
      <c r="B2080" t="s">
        <v>3508</v>
      </c>
      <c r="C2080" t="s">
        <v>3509</v>
      </c>
      <c r="D2080" t="s">
        <v>2365</v>
      </c>
      <c r="E2080" t="s">
        <v>2366</v>
      </c>
      <c r="F2080" t="s">
        <v>5</v>
      </c>
      <c r="G2080" t="s">
        <v>16231</v>
      </c>
      <c r="H2080" t="s">
        <v>47054</v>
      </c>
      <c r="I2080" t="s">
        <v>47111</v>
      </c>
      <c r="J2080" t="s">
        <v>47112</v>
      </c>
      <c r="K2080" t="s">
        <v>47113</v>
      </c>
      <c r="L2080">
        <v>47.99</v>
      </c>
      <c r="M2080">
        <v>111</v>
      </c>
      <c r="N2080">
        <v>0</v>
      </c>
      <c r="O2080">
        <v>111</v>
      </c>
      <c r="P2080">
        <v>0</v>
      </c>
    </row>
    <row r="2081" spans="1:16" x14ac:dyDescent="0.25">
      <c r="A2081" t="s">
        <v>24481</v>
      </c>
      <c r="B2081" t="s">
        <v>3510</v>
      </c>
      <c r="C2081" t="s">
        <v>3511</v>
      </c>
      <c r="D2081" t="s">
        <v>2365</v>
      </c>
      <c r="E2081" t="s">
        <v>2366</v>
      </c>
      <c r="F2081" t="s">
        <v>5</v>
      </c>
      <c r="G2081" t="s">
        <v>16231</v>
      </c>
      <c r="H2081" t="s">
        <v>47054</v>
      </c>
      <c r="I2081" t="s">
        <v>47111</v>
      </c>
      <c r="J2081" t="s">
        <v>47112</v>
      </c>
      <c r="K2081" t="s">
        <v>47113</v>
      </c>
      <c r="L2081">
        <v>59.24</v>
      </c>
      <c r="M2081">
        <v>130</v>
      </c>
      <c r="N2081">
        <v>0</v>
      </c>
      <c r="O2081">
        <v>130</v>
      </c>
      <c r="P2081">
        <v>0</v>
      </c>
    </row>
    <row r="2082" spans="1:16" x14ac:dyDescent="0.25">
      <c r="A2082" t="s">
        <v>24482</v>
      </c>
      <c r="B2082" t="s">
        <v>3510</v>
      </c>
      <c r="C2082" t="s">
        <v>3511</v>
      </c>
      <c r="D2082" t="s">
        <v>3512</v>
      </c>
      <c r="E2082" t="s">
        <v>3513</v>
      </c>
      <c r="F2082" t="s">
        <v>5</v>
      </c>
      <c r="G2082" t="s">
        <v>16231</v>
      </c>
      <c r="H2082" t="s">
        <v>47054</v>
      </c>
      <c r="I2082" t="s">
        <v>47111</v>
      </c>
      <c r="J2082" t="s">
        <v>47112</v>
      </c>
      <c r="K2082" t="s">
        <v>47113</v>
      </c>
      <c r="L2082">
        <v>60.29</v>
      </c>
      <c r="M2082">
        <v>130</v>
      </c>
      <c r="N2082">
        <v>0</v>
      </c>
      <c r="O2082">
        <v>130</v>
      </c>
      <c r="P2082">
        <v>0</v>
      </c>
    </row>
    <row r="2083" spans="1:16" x14ac:dyDescent="0.25">
      <c r="A2083" t="s">
        <v>24483</v>
      </c>
      <c r="B2083" t="s">
        <v>3510</v>
      </c>
      <c r="C2083" t="s">
        <v>3511</v>
      </c>
      <c r="D2083" t="s">
        <v>3514</v>
      </c>
      <c r="E2083" t="s">
        <v>3515</v>
      </c>
      <c r="F2083" t="s">
        <v>5</v>
      </c>
      <c r="G2083" t="s">
        <v>16231</v>
      </c>
      <c r="H2083" t="s">
        <v>47054</v>
      </c>
      <c r="I2083" t="s">
        <v>47111</v>
      </c>
      <c r="J2083" t="s">
        <v>47112</v>
      </c>
      <c r="K2083" t="s">
        <v>47113</v>
      </c>
      <c r="L2083">
        <v>59.24</v>
      </c>
      <c r="M2083">
        <v>138</v>
      </c>
      <c r="N2083">
        <v>0</v>
      </c>
      <c r="O2083">
        <v>138</v>
      </c>
      <c r="P2083">
        <v>0</v>
      </c>
    </row>
    <row r="2084" spans="1:16" x14ac:dyDescent="0.25">
      <c r="A2084" t="s">
        <v>24484</v>
      </c>
      <c r="B2084" t="s">
        <v>3516</v>
      </c>
      <c r="C2084" t="s">
        <v>3517</v>
      </c>
      <c r="D2084" t="s">
        <v>3518</v>
      </c>
      <c r="E2084" t="s">
        <v>3519</v>
      </c>
      <c r="F2084" t="s">
        <v>4</v>
      </c>
      <c r="G2084" t="s">
        <v>16231</v>
      </c>
      <c r="H2084" t="s">
        <v>47054</v>
      </c>
      <c r="I2084" t="s">
        <v>47111</v>
      </c>
      <c r="J2084" t="s">
        <v>47112</v>
      </c>
      <c r="K2084" t="s">
        <v>47113</v>
      </c>
      <c r="L2084">
        <v>63.84</v>
      </c>
      <c r="M2084">
        <v>138</v>
      </c>
      <c r="N2084">
        <v>0</v>
      </c>
      <c r="O2084">
        <v>138</v>
      </c>
      <c r="P2084">
        <v>0</v>
      </c>
    </row>
    <row r="2085" spans="1:16" x14ac:dyDescent="0.25">
      <c r="A2085" t="s">
        <v>24485</v>
      </c>
      <c r="B2085" t="s">
        <v>3520</v>
      </c>
      <c r="C2085" t="s">
        <v>3521</v>
      </c>
      <c r="D2085" t="s">
        <v>3504</v>
      </c>
      <c r="E2085" t="s">
        <v>3505</v>
      </c>
      <c r="F2085" t="s">
        <v>4</v>
      </c>
      <c r="G2085" t="s">
        <v>16231</v>
      </c>
      <c r="H2085" t="s">
        <v>47054</v>
      </c>
      <c r="I2085" t="s">
        <v>47111</v>
      </c>
      <c r="J2085" t="s">
        <v>47112</v>
      </c>
      <c r="K2085" t="s">
        <v>47113</v>
      </c>
      <c r="L2085">
        <v>55.17</v>
      </c>
      <c r="M2085">
        <v>126</v>
      </c>
      <c r="N2085">
        <v>0</v>
      </c>
      <c r="O2085">
        <v>126</v>
      </c>
      <c r="P2085">
        <v>0</v>
      </c>
    </row>
    <row r="2086" spans="1:16" x14ac:dyDescent="0.25">
      <c r="A2086" t="s">
        <v>24486</v>
      </c>
      <c r="B2086" t="s">
        <v>3520</v>
      </c>
      <c r="C2086" t="s">
        <v>3521</v>
      </c>
      <c r="D2086" t="s">
        <v>2395</v>
      </c>
      <c r="E2086" t="s">
        <v>2396</v>
      </c>
      <c r="F2086" t="s">
        <v>4</v>
      </c>
      <c r="G2086" t="s">
        <v>16231</v>
      </c>
      <c r="H2086" t="s">
        <v>47054</v>
      </c>
      <c r="I2086" t="s">
        <v>47111</v>
      </c>
      <c r="J2086" t="s">
        <v>47112</v>
      </c>
      <c r="K2086" t="s">
        <v>47113</v>
      </c>
      <c r="L2086">
        <v>49.81</v>
      </c>
      <c r="M2086">
        <v>126</v>
      </c>
      <c r="N2086">
        <v>0</v>
      </c>
      <c r="O2086">
        <v>126</v>
      </c>
      <c r="P2086">
        <v>0</v>
      </c>
    </row>
    <row r="2087" spans="1:16" x14ac:dyDescent="0.25">
      <c r="A2087" t="s">
        <v>24487</v>
      </c>
      <c r="B2087" t="s">
        <v>3522</v>
      </c>
      <c r="C2087" t="s">
        <v>3523</v>
      </c>
      <c r="D2087" t="s">
        <v>3524</v>
      </c>
      <c r="E2087" t="s">
        <v>3525</v>
      </c>
      <c r="F2087" t="s">
        <v>4</v>
      </c>
      <c r="G2087" t="s">
        <v>16231</v>
      </c>
      <c r="H2087" t="s">
        <v>47054</v>
      </c>
      <c r="I2087" t="s">
        <v>47111</v>
      </c>
      <c r="J2087" t="s">
        <v>47112</v>
      </c>
      <c r="K2087" t="s">
        <v>47113</v>
      </c>
      <c r="L2087">
        <v>55.45</v>
      </c>
      <c r="M2087">
        <v>135</v>
      </c>
      <c r="N2087">
        <v>0</v>
      </c>
      <c r="O2087">
        <v>135</v>
      </c>
      <c r="P2087">
        <v>0</v>
      </c>
    </row>
    <row r="2088" spans="1:16" x14ac:dyDescent="0.25">
      <c r="A2088" t="s">
        <v>24488</v>
      </c>
      <c r="B2088" t="s">
        <v>3526</v>
      </c>
      <c r="C2088" t="s">
        <v>3527</v>
      </c>
      <c r="D2088" t="s">
        <v>3486</v>
      </c>
      <c r="E2088" t="s">
        <v>3487</v>
      </c>
      <c r="F2088" t="s">
        <v>4</v>
      </c>
      <c r="G2088" t="s">
        <v>16231</v>
      </c>
      <c r="H2088" t="s">
        <v>47054</v>
      </c>
      <c r="I2088" t="s">
        <v>47111</v>
      </c>
      <c r="J2088" t="s">
        <v>47112</v>
      </c>
      <c r="K2088" t="s">
        <v>47113</v>
      </c>
      <c r="L2088">
        <v>58.57</v>
      </c>
      <c r="M2088">
        <v>143</v>
      </c>
      <c r="N2088">
        <v>0</v>
      </c>
      <c r="O2088">
        <v>143</v>
      </c>
      <c r="P2088">
        <v>0</v>
      </c>
    </row>
    <row r="2089" spans="1:16" x14ac:dyDescent="0.25">
      <c r="A2089" t="s">
        <v>24489</v>
      </c>
      <c r="B2089" t="s">
        <v>3528</v>
      </c>
      <c r="C2089" t="s">
        <v>3529</v>
      </c>
      <c r="D2089" t="s">
        <v>3490</v>
      </c>
      <c r="E2089" t="s">
        <v>3491</v>
      </c>
      <c r="F2089" t="s">
        <v>4</v>
      </c>
      <c r="G2089" t="s">
        <v>16231</v>
      </c>
      <c r="H2089" t="s">
        <v>47054</v>
      </c>
      <c r="I2089" t="s">
        <v>47111</v>
      </c>
      <c r="J2089" t="s">
        <v>47112</v>
      </c>
      <c r="K2089" t="s">
        <v>47113</v>
      </c>
      <c r="L2089">
        <v>52.69</v>
      </c>
      <c r="M2089">
        <v>129</v>
      </c>
      <c r="N2089">
        <v>0</v>
      </c>
      <c r="O2089">
        <v>129</v>
      </c>
      <c r="P2089">
        <v>0</v>
      </c>
    </row>
    <row r="2090" spans="1:16" x14ac:dyDescent="0.25">
      <c r="A2090" t="s">
        <v>24490</v>
      </c>
      <c r="B2090" t="s">
        <v>3528</v>
      </c>
      <c r="C2090" t="s">
        <v>3529</v>
      </c>
      <c r="D2090" t="s">
        <v>3492</v>
      </c>
      <c r="E2090" t="s">
        <v>3493</v>
      </c>
      <c r="F2090" t="s">
        <v>4</v>
      </c>
      <c r="G2090" t="s">
        <v>16231</v>
      </c>
      <c r="H2090" t="s">
        <v>47054</v>
      </c>
      <c r="I2090" t="s">
        <v>47111</v>
      </c>
      <c r="J2090" t="s">
        <v>47112</v>
      </c>
      <c r="K2090" t="s">
        <v>47113</v>
      </c>
      <c r="L2090">
        <v>46.4</v>
      </c>
      <c r="M2090">
        <v>113</v>
      </c>
      <c r="N2090">
        <v>0</v>
      </c>
      <c r="O2090">
        <v>113</v>
      </c>
      <c r="P2090">
        <v>0</v>
      </c>
    </row>
    <row r="2091" spans="1:16" x14ac:dyDescent="0.25">
      <c r="A2091" t="s">
        <v>24491</v>
      </c>
      <c r="B2091" t="s">
        <v>3528</v>
      </c>
      <c r="C2091" t="s">
        <v>3529</v>
      </c>
      <c r="D2091" t="s">
        <v>3494</v>
      </c>
      <c r="E2091" t="s">
        <v>3495</v>
      </c>
      <c r="F2091" t="s">
        <v>4</v>
      </c>
      <c r="G2091" t="s">
        <v>16231</v>
      </c>
      <c r="H2091" t="s">
        <v>47054</v>
      </c>
      <c r="I2091" t="s">
        <v>47111</v>
      </c>
      <c r="J2091" t="s">
        <v>47112</v>
      </c>
      <c r="K2091" t="s">
        <v>47113</v>
      </c>
      <c r="L2091">
        <v>42.63</v>
      </c>
      <c r="M2091">
        <v>92</v>
      </c>
      <c r="N2091">
        <v>0</v>
      </c>
      <c r="O2091">
        <v>92</v>
      </c>
      <c r="P2091">
        <v>0</v>
      </c>
    </row>
    <row r="2092" spans="1:16" x14ac:dyDescent="0.25">
      <c r="A2092" t="s">
        <v>24492</v>
      </c>
      <c r="B2092" t="s">
        <v>3530</v>
      </c>
      <c r="C2092" t="s">
        <v>3531</v>
      </c>
      <c r="D2092" t="s">
        <v>3532</v>
      </c>
      <c r="E2092" t="s">
        <v>3533</v>
      </c>
      <c r="F2092" t="s">
        <v>4</v>
      </c>
      <c r="G2092" t="s">
        <v>16231</v>
      </c>
      <c r="H2092" t="s">
        <v>47054</v>
      </c>
      <c r="I2092" t="s">
        <v>47111</v>
      </c>
      <c r="J2092" t="s">
        <v>47112</v>
      </c>
      <c r="K2092" t="s">
        <v>47113</v>
      </c>
      <c r="L2092">
        <v>46.28</v>
      </c>
      <c r="M2092">
        <v>113</v>
      </c>
      <c r="N2092">
        <v>0</v>
      </c>
      <c r="O2092">
        <v>113</v>
      </c>
      <c r="P2092">
        <v>0</v>
      </c>
    </row>
    <row r="2093" spans="1:16" x14ac:dyDescent="0.25">
      <c r="A2093" t="s">
        <v>24493</v>
      </c>
      <c r="B2093" t="s">
        <v>3534</v>
      </c>
      <c r="C2093" t="s">
        <v>3535</v>
      </c>
      <c r="D2093" t="s">
        <v>3536</v>
      </c>
      <c r="E2093" t="s">
        <v>3537</v>
      </c>
      <c r="F2093" t="s">
        <v>2068</v>
      </c>
      <c r="G2093" t="s">
        <v>16231</v>
      </c>
      <c r="H2093" t="s">
        <v>47054</v>
      </c>
      <c r="I2093" t="s">
        <v>47111</v>
      </c>
      <c r="J2093" t="s">
        <v>47112</v>
      </c>
      <c r="K2093" t="s">
        <v>47113</v>
      </c>
      <c r="L2093">
        <v>46.36</v>
      </c>
      <c r="M2093">
        <v>105</v>
      </c>
      <c r="N2093">
        <v>0</v>
      </c>
      <c r="O2093">
        <v>105</v>
      </c>
      <c r="P2093">
        <v>0</v>
      </c>
    </row>
    <row r="2094" spans="1:16" x14ac:dyDescent="0.25">
      <c r="A2094" t="s">
        <v>24494</v>
      </c>
      <c r="B2094" t="s">
        <v>3538</v>
      </c>
      <c r="C2094" t="s">
        <v>3539</v>
      </c>
      <c r="D2094" t="s">
        <v>3540</v>
      </c>
      <c r="E2094" t="s">
        <v>3541</v>
      </c>
      <c r="F2094" t="s">
        <v>2068</v>
      </c>
      <c r="G2094" t="s">
        <v>16231</v>
      </c>
      <c r="H2094" t="s">
        <v>47054</v>
      </c>
      <c r="I2094" t="s">
        <v>47111</v>
      </c>
      <c r="J2094" t="s">
        <v>47112</v>
      </c>
      <c r="K2094" t="s">
        <v>47113</v>
      </c>
      <c r="L2094">
        <v>46.72</v>
      </c>
      <c r="M2094">
        <v>87</v>
      </c>
      <c r="N2094">
        <v>0</v>
      </c>
      <c r="O2094">
        <v>87</v>
      </c>
      <c r="P2094">
        <v>0</v>
      </c>
    </row>
    <row r="2095" spans="1:16" x14ac:dyDescent="0.25">
      <c r="A2095" t="s">
        <v>24495</v>
      </c>
      <c r="B2095" t="s">
        <v>3538</v>
      </c>
      <c r="C2095" t="s">
        <v>3539</v>
      </c>
      <c r="D2095" t="s">
        <v>3542</v>
      </c>
      <c r="E2095" t="s">
        <v>3543</v>
      </c>
      <c r="F2095" t="s">
        <v>2068</v>
      </c>
      <c r="G2095" t="s">
        <v>16231</v>
      </c>
      <c r="H2095" t="s">
        <v>47054</v>
      </c>
      <c r="I2095" t="s">
        <v>47111</v>
      </c>
      <c r="J2095" t="s">
        <v>47112</v>
      </c>
      <c r="K2095" t="s">
        <v>47113</v>
      </c>
      <c r="L2095">
        <v>46.15</v>
      </c>
      <c r="M2095">
        <v>104</v>
      </c>
      <c r="N2095">
        <v>0</v>
      </c>
      <c r="O2095">
        <v>104</v>
      </c>
      <c r="P2095">
        <v>0</v>
      </c>
    </row>
    <row r="2096" spans="1:16" x14ac:dyDescent="0.25">
      <c r="A2096" t="s">
        <v>24496</v>
      </c>
      <c r="B2096" t="s">
        <v>3544</v>
      </c>
      <c r="C2096" t="s">
        <v>3545</v>
      </c>
      <c r="D2096" t="s">
        <v>3547</v>
      </c>
      <c r="E2096" t="s">
        <v>3548</v>
      </c>
      <c r="F2096" t="s">
        <v>3546</v>
      </c>
      <c r="G2096" t="s">
        <v>16231</v>
      </c>
      <c r="H2096" t="s">
        <v>47054</v>
      </c>
      <c r="I2096" t="s">
        <v>47111</v>
      </c>
      <c r="J2096" t="s">
        <v>47112</v>
      </c>
      <c r="K2096" t="s">
        <v>47113</v>
      </c>
      <c r="L2096">
        <v>61.43</v>
      </c>
      <c r="M2096">
        <v>125</v>
      </c>
      <c r="N2096">
        <v>0</v>
      </c>
      <c r="O2096">
        <v>125</v>
      </c>
      <c r="P2096">
        <v>0</v>
      </c>
    </row>
    <row r="2097" spans="1:16" x14ac:dyDescent="0.25">
      <c r="A2097" t="s">
        <v>24497</v>
      </c>
      <c r="B2097" t="s">
        <v>3549</v>
      </c>
      <c r="C2097" t="s">
        <v>3550</v>
      </c>
      <c r="D2097" t="s">
        <v>3551</v>
      </c>
      <c r="E2097" t="s">
        <v>3552</v>
      </c>
      <c r="F2097" t="s">
        <v>3546</v>
      </c>
      <c r="G2097" t="s">
        <v>16231</v>
      </c>
      <c r="H2097" t="s">
        <v>47054</v>
      </c>
      <c r="I2097" t="s">
        <v>47111</v>
      </c>
      <c r="J2097" t="s">
        <v>47112</v>
      </c>
      <c r="K2097" t="s">
        <v>47113</v>
      </c>
      <c r="L2097">
        <v>74.94</v>
      </c>
      <c r="M2097">
        <v>184</v>
      </c>
      <c r="N2097">
        <v>0</v>
      </c>
      <c r="O2097">
        <v>184</v>
      </c>
      <c r="P2097">
        <v>0</v>
      </c>
    </row>
    <row r="2098" spans="1:16" x14ac:dyDescent="0.25">
      <c r="A2098" t="s">
        <v>24498</v>
      </c>
      <c r="B2098" t="s">
        <v>3553</v>
      </c>
      <c r="C2098" t="s">
        <v>3554</v>
      </c>
      <c r="D2098" t="s">
        <v>3555</v>
      </c>
      <c r="E2098" t="s">
        <v>3556</v>
      </c>
      <c r="F2098" t="s">
        <v>3546</v>
      </c>
      <c r="G2098" t="s">
        <v>16231</v>
      </c>
      <c r="H2098" t="s">
        <v>47054</v>
      </c>
      <c r="I2098" t="s">
        <v>47111</v>
      </c>
      <c r="J2098" t="s">
        <v>47112</v>
      </c>
      <c r="K2098" t="s">
        <v>47113</v>
      </c>
      <c r="L2098">
        <v>54.72</v>
      </c>
      <c r="M2098">
        <v>129</v>
      </c>
      <c r="N2098">
        <v>0</v>
      </c>
      <c r="O2098">
        <v>129</v>
      </c>
      <c r="P2098">
        <v>0</v>
      </c>
    </row>
    <row r="2099" spans="1:16" x14ac:dyDescent="0.25">
      <c r="A2099" t="s">
        <v>24499</v>
      </c>
      <c r="B2099" t="s">
        <v>3557</v>
      </c>
      <c r="C2099" t="s">
        <v>16236</v>
      </c>
      <c r="D2099" t="s">
        <v>3559</v>
      </c>
      <c r="E2099" t="s">
        <v>3560</v>
      </c>
      <c r="F2099" t="s">
        <v>3558</v>
      </c>
      <c r="G2099" t="s">
        <v>16231</v>
      </c>
      <c r="H2099" t="s">
        <v>47054</v>
      </c>
      <c r="I2099" t="s">
        <v>47111</v>
      </c>
      <c r="J2099" t="s">
        <v>47112</v>
      </c>
      <c r="K2099" t="s">
        <v>47113</v>
      </c>
      <c r="L2099">
        <v>63.98</v>
      </c>
      <c r="M2099">
        <v>129</v>
      </c>
      <c r="N2099">
        <v>0</v>
      </c>
      <c r="O2099">
        <v>129</v>
      </c>
      <c r="P2099">
        <v>0</v>
      </c>
    </row>
    <row r="2100" spans="1:16" x14ac:dyDescent="0.25">
      <c r="A2100" t="s">
        <v>24500</v>
      </c>
      <c r="B2100" t="s">
        <v>16494</v>
      </c>
      <c r="C2100" t="s">
        <v>16495</v>
      </c>
      <c r="D2100" t="s">
        <v>16496</v>
      </c>
      <c r="E2100" t="s">
        <v>16497</v>
      </c>
      <c r="F2100" t="s">
        <v>3750</v>
      </c>
      <c r="G2100" t="s">
        <v>16231</v>
      </c>
      <c r="H2100" t="s">
        <v>47054</v>
      </c>
      <c r="I2100" t="s">
        <v>47116</v>
      </c>
      <c r="J2100" t="s">
        <v>47117</v>
      </c>
      <c r="K2100" t="s">
        <v>47113</v>
      </c>
      <c r="L2100">
        <v>39.46</v>
      </c>
      <c r="M2100">
        <v>146</v>
      </c>
      <c r="N2100">
        <v>0</v>
      </c>
      <c r="O2100">
        <v>146</v>
      </c>
      <c r="P2100">
        <v>0</v>
      </c>
    </row>
    <row r="2101" spans="1:16" x14ac:dyDescent="0.25">
      <c r="A2101" t="s">
        <v>24501</v>
      </c>
      <c r="B2101" t="s">
        <v>16498</v>
      </c>
      <c r="C2101" t="s">
        <v>16499</v>
      </c>
      <c r="D2101" t="s">
        <v>16500</v>
      </c>
      <c r="E2101" t="s">
        <v>16501</v>
      </c>
      <c r="F2101" t="s">
        <v>3750</v>
      </c>
      <c r="G2101" t="s">
        <v>16231</v>
      </c>
      <c r="H2101" t="s">
        <v>47054</v>
      </c>
      <c r="I2101" t="s">
        <v>47116</v>
      </c>
      <c r="J2101" t="s">
        <v>47117</v>
      </c>
      <c r="K2101" t="s">
        <v>47113</v>
      </c>
      <c r="L2101">
        <v>34.89</v>
      </c>
      <c r="M2101">
        <v>99</v>
      </c>
      <c r="N2101">
        <v>0</v>
      </c>
      <c r="O2101">
        <v>99</v>
      </c>
      <c r="P2101">
        <v>0</v>
      </c>
    </row>
    <row r="2102" spans="1:16" x14ac:dyDescent="0.25">
      <c r="A2102" t="s">
        <v>24502</v>
      </c>
      <c r="B2102" t="s">
        <v>16502</v>
      </c>
      <c r="C2102" t="s">
        <v>16495</v>
      </c>
      <c r="D2102" t="s">
        <v>16503</v>
      </c>
      <c r="E2102" t="s">
        <v>16504</v>
      </c>
      <c r="F2102" t="s">
        <v>3750</v>
      </c>
      <c r="G2102" t="s">
        <v>16231</v>
      </c>
      <c r="H2102" t="s">
        <v>47054</v>
      </c>
      <c r="I2102" t="s">
        <v>47116</v>
      </c>
      <c r="J2102" t="s">
        <v>47117</v>
      </c>
      <c r="K2102" t="s">
        <v>47113</v>
      </c>
      <c r="L2102">
        <v>39.46</v>
      </c>
      <c r="M2102">
        <v>146</v>
      </c>
      <c r="N2102">
        <v>0</v>
      </c>
      <c r="O2102">
        <v>146</v>
      </c>
      <c r="P2102">
        <v>0</v>
      </c>
    </row>
    <row r="2103" spans="1:16" x14ac:dyDescent="0.25">
      <c r="A2103" t="s">
        <v>24503</v>
      </c>
      <c r="B2103" t="s">
        <v>3561</v>
      </c>
      <c r="C2103" t="s">
        <v>3562</v>
      </c>
      <c r="D2103" t="s">
        <v>3563</v>
      </c>
      <c r="E2103" t="s">
        <v>3564</v>
      </c>
      <c r="F2103" t="s">
        <v>4</v>
      </c>
      <c r="G2103" t="s">
        <v>16224</v>
      </c>
      <c r="H2103" t="s">
        <v>47054</v>
      </c>
      <c r="I2103" t="s">
        <v>47116</v>
      </c>
      <c r="J2103" t="s">
        <v>47117</v>
      </c>
      <c r="K2103" t="s">
        <v>47113</v>
      </c>
      <c r="L2103">
        <v>64.88</v>
      </c>
      <c r="M2103">
        <v>153</v>
      </c>
      <c r="N2103">
        <v>0</v>
      </c>
      <c r="O2103">
        <v>153</v>
      </c>
      <c r="P2103">
        <v>0</v>
      </c>
    </row>
    <row r="2104" spans="1:16" x14ac:dyDescent="0.25">
      <c r="A2104" t="s">
        <v>24504</v>
      </c>
      <c r="B2104" t="s">
        <v>3565</v>
      </c>
      <c r="C2104" t="s">
        <v>3566</v>
      </c>
      <c r="D2104" t="s">
        <v>3567</v>
      </c>
      <c r="E2104" t="s">
        <v>3568</v>
      </c>
      <c r="F2104" t="s">
        <v>4</v>
      </c>
      <c r="G2104" t="s">
        <v>16231</v>
      </c>
      <c r="H2104" t="s">
        <v>47054</v>
      </c>
      <c r="I2104" t="s">
        <v>47111</v>
      </c>
      <c r="J2104" t="s">
        <v>47112</v>
      </c>
      <c r="K2104" t="s">
        <v>47113</v>
      </c>
      <c r="L2104">
        <v>46.87</v>
      </c>
      <c r="M2104">
        <v>114</v>
      </c>
      <c r="N2104">
        <v>0</v>
      </c>
      <c r="O2104">
        <v>114</v>
      </c>
      <c r="P2104">
        <v>0</v>
      </c>
    </row>
    <row r="2105" spans="1:16" x14ac:dyDescent="0.25">
      <c r="A2105" t="s">
        <v>24505</v>
      </c>
      <c r="B2105" t="s">
        <v>3565</v>
      </c>
      <c r="C2105" t="s">
        <v>3566</v>
      </c>
      <c r="D2105" t="s">
        <v>3569</v>
      </c>
      <c r="E2105" t="s">
        <v>3570</v>
      </c>
      <c r="F2105" t="s">
        <v>4</v>
      </c>
      <c r="G2105" t="s">
        <v>16231</v>
      </c>
      <c r="H2105" t="s">
        <v>47054</v>
      </c>
      <c r="I2105" t="s">
        <v>47111</v>
      </c>
      <c r="J2105" t="s">
        <v>47112</v>
      </c>
      <c r="K2105" t="s">
        <v>47113</v>
      </c>
      <c r="L2105">
        <v>50.92</v>
      </c>
      <c r="M2105">
        <v>115</v>
      </c>
      <c r="N2105">
        <v>0</v>
      </c>
      <c r="O2105">
        <v>115</v>
      </c>
      <c r="P2105">
        <v>0</v>
      </c>
    </row>
    <row r="2106" spans="1:16" x14ac:dyDescent="0.25">
      <c r="A2106" t="s">
        <v>24506</v>
      </c>
      <c r="B2106" t="s">
        <v>3571</v>
      </c>
      <c r="C2106" t="s">
        <v>3572</v>
      </c>
      <c r="D2106" t="s">
        <v>3573</v>
      </c>
      <c r="E2106" t="s">
        <v>3574</v>
      </c>
      <c r="F2106" t="s">
        <v>3546</v>
      </c>
      <c r="G2106" t="s">
        <v>16231</v>
      </c>
      <c r="H2106" t="s">
        <v>47054</v>
      </c>
      <c r="I2106" t="s">
        <v>47111</v>
      </c>
      <c r="J2106" t="s">
        <v>47112</v>
      </c>
      <c r="K2106" t="s">
        <v>47113</v>
      </c>
      <c r="L2106">
        <v>43.51</v>
      </c>
      <c r="M2106">
        <v>107</v>
      </c>
      <c r="N2106">
        <v>0</v>
      </c>
      <c r="O2106">
        <v>107</v>
      </c>
      <c r="P2106">
        <v>0</v>
      </c>
    </row>
    <row r="2107" spans="1:16" x14ac:dyDescent="0.25">
      <c r="A2107" t="s">
        <v>14856</v>
      </c>
      <c r="B2107" t="s">
        <v>3575</v>
      </c>
      <c r="C2107" t="s">
        <v>3576</v>
      </c>
      <c r="D2107" t="s">
        <v>3536</v>
      </c>
      <c r="E2107" t="s">
        <v>3537</v>
      </c>
      <c r="F2107" t="s">
        <v>2068</v>
      </c>
      <c r="G2107" t="s">
        <v>16231</v>
      </c>
      <c r="H2107" t="s">
        <v>47054</v>
      </c>
      <c r="I2107" t="s">
        <v>47111</v>
      </c>
      <c r="J2107" t="s">
        <v>47112</v>
      </c>
      <c r="K2107" t="s">
        <v>47113</v>
      </c>
      <c r="L2107">
        <v>42.23</v>
      </c>
      <c r="M2107">
        <v>96</v>
      </c>
      <c r="N2107">
        <v>0</v>
      </c>
      <c r="O2107">
        <v>96</v>
      </c>
      <c r="P2107">
        <v>0</v>
      </c>
    </row>
    <row r="2108" spans="1:16" x14ac:dyDescent="0.25">
      <c r="A2108" t="s">
        <v>24507</v>
      </c>
      <c r="B2108" t="s">
        <v>3577</v>
      </c>
      <c r="C2108" t="s">
        <v>3578</v>
      </c>
      <c r="D2108" t="s">
        <v>3579</v>
      </c>
      <c r="E2108" t="s">
        <v>3580</v>
      </c>
      <c r="F2108" t="s">
        <v>3546</v>
      </c>
      <c r="G2108" t="s">
        <v>16231</v>
      </c>
      <c r="H2108" t="s">
        <v>47054</v>
      </c>
      <c r="I2108" t="s">
        <v>47111</v>
      </c>
      <c r="J2108" t="s">
        <v>47112</v>
      </c>
      <c r="K2108" t="s">
        <v>47113</v>
      </c>
      <c r="L2108">
        <v>69.16</v>
      </c>
      <c r="M2108">
        <v>144</v>
      </c>
      <c r="N2108">
        <v>0</v>
      </c>
      <c r="O2108">
        <v>144</v>
      </c>
      <c r="P2108">
        <v>0</v>
      </c>
    </row>
    <row r="2109" spans="1:16" x14ac:dyDescent="0.25">
      <c r="A2109" t="s">
        <v>24508</v>
      </c>
      <c r="B2109" t="s">
        <v>3581</v>
      </c>
      <c r="C2109" t="s">
        <v>3582</v>
      </c>
      <c r="D2109" t="s">
        <v>3579</v>
      </c>
      <c r="E2109" t="s">
        <v>3580</v>
      </c>
      <c r="F2109" t="s">
        <v>3546</v>
      </c>
      <c r="G2109" t="s">
        <v>16231</v>
      </c>
      <c r="H2109" t="s">
        <v>47054</v>
      </c>
      <c r="I2109" t="s">
        <v>47111</v>
      </c>
      <c r="J2109" t="s">
        <v>47112</v>
      </c>
      <c r="K2109" t="s">
        <v>47113</v>
      </c>
      <c r="L2109">
        <v>66.599999999999994</v>
      </c>
      <c r="M2109">
        <v>144</v>
      </c>
      <c r="N2109">
        <v>0</v>
      </c>
      <c r="O2109">
        <v>144</v>
      </c>
      <c r="P2109">
        <v>0</v>
      </c>
    </row>
    <row r="2110" spans="1:16" x14ac:dyDescent="0.25">
      <c r="A2110" t="s">
        <v>24509</v>
      </c>
      <c r="B2110" t="s">
        <v>3583</v>
      </c>
      <c r="C2110" t="s">
        <v>3584</v>
      </c>
      <c r="D2110" t="s">
        <v>3482</v>
      </c>
      <c r="E2110" t="s">
        <v>3483</v>
      </c>
      <c r="F2110" t="s">
        <v>5</v>
      </c>
      <c r="G2110" t="s">
        <v>16231</v>
      </c>
      <c r="H2110" t="s">
        <v>47054</v>
      </c>
      <c r="I2110" t="s">
        <v>47111</v>
      </c>
      <c r="J2110" t="s">
        <v>47112</v>
      </c>
      <c r="K2110" t="s">
        <v>47113</v>
      </c>
      <c r="L2110">
        <v>33.68</v>
      </c>
      <c r="M2110">
        <v>77</v>
      </c>
      <c r="N2110">
        <v>0</v>
      </c>
      <c r="O2110">
        <v>77</v>
      </c>
      <c r="P2110">
        <v>0</v>
      </c>
    </row>
    <row r="2111" spans="1:16" x14ac:dyDescent="0.25">
      <c r="A2111" t="s">
        <v>24510</v>
      </c>
      <c r="B2111" t="s">
        <v>3583</v>
      </c>
      <c r="C2111" t="s">
        <v>3584</v>
      </c>
      <c r="D2111" t="s">
        <v>311</v>
      </c>
      <c r="E2111" t="s">
        <v>3479</v>
      </c>
      <c r="F2111" t="s">
        <v>5</v>
      </c>
      <c r="G2111" t="s">
        <v>16231</v>
      </c>
      <c r="H2111" t="s">
        <v>47054</v>
      </c>
      <c r="I2111" t="s">
        <v>47111</v>
      </c>
      <c r="J2111" t="s">
        <v>47112</v>
      </c>
      <c r="K2111" t="s">
        <v>47113</v>
      </c>
      <c r="L2111">
        <v>29.18</v>
      </c>
      <c r="M2111">
        <v>69</v>
      </c>
      <c r="N2111">
        <v>0</v>
      </c>
      <c r="O2111">
        <v>69</v>
      </c>
      <c r="P2111">
        <v>0</v>
      </c>
    </row>
    <row r="2112" spans="1:16" x14ac:dyDescent="0.25">
      <c r="A2112" t="s">
        <v>24511</v>
      </c>
      <c r="B2112" t="s">
        <v>3585</v>
      </c>
      <c r="C2112" t="s">
        <v>3586</v>
      </c>
      <c r="D2112" t="s">
        <v>3486</v>
      </c>
      <c r="E2112" t="s">
        <v>3487</v>
      </c>
      <c r="F2112" t="s">
        <v>4</v>
      </c>
      <c r="G2112" t="s">
        <v>16231</v>
      </c>
      <c r="H2112" t="s">
        <v>47054</v>
      </c>
      <c r="I2112" t="s">
        <v>47111</v>
      </c>
      <c r="J2112" t="s">
        <v>47112</v>
      </c>
      <c r="K2112" t="s">
        <v>47113</v>
      </c>
      <c r="L2112">
        <v>59.11</v>
      </c>
      <c r="M2112">
        <v>144</v>
      </c>
      <c r="N2112">
        <v>0</v>
      </c>
      <c r="O2112">
        <v>144</v>
      </c>
      <c r="P2112">
        <v>0</v>
      </c>
    </row>
    <row r="2113" spans="1:16" x14ac:dyDescent="0.25">
      <c r="A2113" t="s">
        <v>24512</v>
      </c>
      <c r="B2113" t="s">
        <v>3587</v>
      </c>
      <c r="C2113" t="s">
        <v>3588</v>
      </c>
      <c r="D2113" t="s">
        <v>3589</v>
      </c>
      <c r="E2113" t="s">
        <v>3590</v>
      </c>
      <c r="F2113" t="s">
        <v>2068</v>
      </c>
      <c r="G2113" t="s">
        <v>16231</v>
      </c>
      <c r="H2113" t="s">
        <v>47054</v>
      </c>
      <c r="I2113" t="s">
        <v>47111</v>
      </c>
      <c r="J2113" t="s">
        <v>47112</v>
      </c>
      <c r="K2113" t="s">
        <v>47113</v>
      </c>
      <c r="L2113">
        <v>48.26</v>
      </c>
      <c r="M2113">
        <v>109</v>
      </c>
      <c r="N2113">
        <v>0</v>
      </c>
      <c r="O2113">
        <v>109</v>
      </c>
      <c r="P2113">
        <v>0</v>
      </c>
    </row>
    <row r="2114" spans="1:16" x14ac:dyDescent="0.25">
      <c r="A2114" t="s">
        <v>24513</v>
      </c>
      <c r="B2114" t="s">
        <v>3591</v>
      </c>
      <c r="C2114" t="s">
        <v>3592</v>
      </c>
      <c r="D2114" t="s">
        <v>3559</v>
      </c>
      <c r="E2114" t="s">
        <v>3560</v>
      </c>
      <c r="F2114" t="s">
        <v>3558</v>
      </c>
      <c r="G2114" t="s">
        <v>16231</v>
      </c>
      <c r="H2114" t="s">
        <v>47054</v>
      </c>
      <c r="I2114" t="s">
        <v>47111</v>
      </c>
      <c r="J2114" t="s">
        <v>47112</v>
      </c>
      <c r="K2114" t="s">
        <v>47113</v>
      </c>
      <c r="L2114">
        <v>63.98</v>
      </c>
      <c r="M2114">
        <v>129</v>
      </c>
      <c r="N2114">
        <v>0</v>
      </c>
      <c r="O2114">
        <v>129</v>
      </c>
      <c r="P2114">
        <v>0</v>
      </c>
    </row>
    <row r="2115" spans="1:16" x14ac:dyDescent="0.25">
      <c r="A2115" t="s">
        <v>24514</v>
      </c>
      <c r="B2115" t="s">
        <v>3593</v>
      </c>
      <c r="C2115" t="s">
        <v>3594</v>
      </c>
      <c r="D2115" t="s">
        <v>3482</v>
      </c>
      <c r="E2115" t="s">
        <v>3483</v>
      </c>
      <c r="F2115" t="s">
        <v>5</v>
      </c>
      <c r="G2115" t="s">
        <v>16231</v>
      </c>
      <c r="H2115" t="s">
        <v>47054</v>
      </c>
      <c r="I2115" t="s">
        <v>47111</v>
      </c>
      <c r="J2115" t="s">
        <v>47112</v>
      </c>
      <c r="K2115" t="s">
        <v>47113</v>
      </c>
      <c r="L2115">
        <v>33.68</v>
      </c>
      <c r="M2115">
        <v>77</v>
      </c>
      <c r="N2115">
        <v>0</v>
      </c>
      <c r="O2115">
        <v>77</v>
      </c>
      <c r="P2115">
        <v>0</v>
      </c>
    </row>
    <row r="2116" spans="1:16" x14ac:dyDescent="0.25">
      <c r="A2116" t="s">
        <v>24515</v>
      </c>
      <c r="B2116" t="s">
        <v>3593</v>
      </c>
      <c r="C2116" t="s">
        <v>3594</v>
      </c>
      <c r="D2116" t="s">
        <v>311</v>
      </c>
      <c r="E2116" t="s">
        <v>3479</v>
      </c>
      <c r="F2116" t="s">
        <v>5</v>
      </c>
      <c r="G2116" t="s">
        <v>16231</v>
      </c>
      <c r="H2116" t="s">
        <v>47054</v>
      </c>
      <c r="I2116" t="s">
        <v>47111</v>
      </c>
      <c r="J2116" t="s">
        <v>47112</v>
      </c>
      <c r="K2116" t="s">
        <v>47113</v>
      </c>
      <c r="L2116">
        <v>29.18</v>
      </c>
      <c r="M2116">
        <v>69</v>
      </c>
      <c r="N2116">
        <v>0</v>
      </c>
      <c r="O2116">
        <v>69</v>
      </c>
      <c r="P2116">
        <v>0</v>
      </c>
    </row>
    <row r="2117" spans="1:16" x14ac:dyDescent="0.25">
      <c r="A2117" t="s">
        <v>24516</v>
      </c>
      <c r="B2117" t="s">
        <v>3595</v>
      </c>
      <c r="C2117" t="s">
        <v>3596</v>
      </c>
      <c r="D2117" t="s">
        <v>3500</v>
      </c>
      <c r="E2117" t="s">
        <v>3501</v>
      </c>
      <c r="F2117" t="s">
        <v>5</v>
      </c>
      <c r="G2117" t="s">
        <v>16231</v>
      </c>
      <c r="H2117" t="s">
        <v>47054</v>
      </c>
      <c r="I2117" t="s">
        <v>47111</v>
      </c>
      <c r="J2117" t="s">
        <v>47112</v>
      </c>
      <c r="K2117" t="s">
        <v>47113</v>
      </c>
      <c r="L2117">
        <v>47.89</v>
      </c>
      <c r="M2117">
        <v>123</v>
      </c>
      <c r="N2117">
        <v>0</v>
      </c>
      <c r="O2117">
        <v>123</v>
      </c>
      <c r="P2117">
        <v>0</v>
      </c>
    </row>
    <row r="2118" spans="1:16" x14ac:dyDescent="0.25">
      <c r="A2118" t="s">
        <v>24517</v>
      </c>
      <c r="B2118" t="s">
        <v>3595</v>
      </c>
      <c r="C2118" t="s">
        <v>3596</v>
      </c>
      <c r="D2118" t="s">
        <v>2365</v>
      </c>
      <c r="E2118" t="s">
        <v>2366</v>
      </c>
      <c r="F2118" t="s">
        <v>5</v>
      </c>
      <c r="G2118" t="s">
        <v>16231</v>
      </c>
      <c r="H2118" t="s">
        <v>47054</v>
      </c>
      <c r="I2118" t="s">
        <v>47111</v>
      </c>
      <c r="J2118" t="s">
        <v>47112</v>
      </c>
      <c r="K2118" t="s">
        <v>47113</v>
      </c>
      <c r="L2118">
        <v>43.21</v>
      </c>
      <c r="M2118">
        <v>111</v>
      </c>
      <c r="N2118">
        <v>0</v>
      </c>
      <c r="O2118">
        <v>111</v>
      </c>
      <c r="P2118">
        <v>0</v>
      </c>
    </row>
    <row r="2119" spans="1:16" x14ac:dyDescent="0.25">
      <c r="A2119" t="s">
        <v>24518</v>
      </c>
      <c r="B2119" t="s">
        <v>3597</v>
      </c>
      <c r="C2119" t="s">
        <v>3598</v>
      </c>
      <c r="D2119" t="s">
        <v>2365</v>
      </c>
      <c r="E2119" t="s">
        <v>2366</v>
      </c>
      <c r="F2119" t="s">
        <v>5</v>
      </c>
      <c r="G2119" t="s">
        <v>16231</v>
      </c>
      <c r="H2119" t="s">
        <v>47054</v>
      </c>
      <c r="I2119" t="s">
        <v>47111</v>
      </c>
      <c r="J2119" t="s">
        <v>47112</v>
      </c>
      <c r="K2119" t="s">
        <v>47113</v>
      </c>
      <c r="L2119">
        <v>59.24</v>
      </c>
      <c r="M2119">
        <v>130</v>
      </c>
      <c r="N2119">
        <v>0</v>
      </c>
      <c r="O2119">
        <v>130</v>
      </c>
      <c r="P2119">
        <v>0</v>
      </c>
    </row>
    <row r="2120" spans="1:16" x14ac:dyDescent="0.25">
      <c r="A2120" t="s">
        <v>24519</v>
      </c>
      <c r="B2120" t="s">
        <v>3597</v>
      </c>
      <c r="C2120" t="s">
        <v>3598</v>
      </c>
      <c r="D2120" t="s">
        <v>3512</v>
      </c>
      <c r="E2120" t="s">
        <v>3513</v>
      </c>
      <c r="F2120" t="s">
        <v>5</v>
      </c>
      <c r="G2120" t="s">
        <v>16231</v>
      </c>
      <c r="H2120" t="s">
        <v>47054</v>
      </c>
      <c r="I2120" t="s">
        <v>47111</v>
      </c>
      <c r="J2120" t="s">
        <v>47112</v>
      </c>
      <c r="K2120" t="s">
        <v>47113</v>
      </c>
      <c r="L2120">
        <v>59.24</v>
      </c>
      <c r="M2120">
        <v>130</v>
      </c>
      <c r="N2120">
        <v>0</v>
      </c>
      <c r="O2120">
        <v>130</v>
      </c>
      <c r="P2120">
        <v>0</v>
      </c>
    </row>
    <row r="2121" spans="1:16" x14ac:dyDescent="0.25">
      <c r="A2121" t="s">
        <v>24520</v>
      </c>
      <c r="B2121" t="s">
        <v>3597</v>
      </c>
      <c r="C2121" t="s">
        <v>3598</v>
      </c>
      <c r="D2121" t="s">
        <v>3514</v>
      </c>
      <c r="E2121" t="s">
        <v>3515</v>
      </c>
      <c r="F2121" t="s">
        <v>5</v>
      </c>
      <c r="G2121" t="s">
        <v>16231</v>
      </c>
      <c r="H2121" t="s">
        <v>47054</v>
      </c>
      <c r="I2121" t="s">
        <v>47111</v>
      </c>
      <c r="J2121" t="s">
        <v>47112</v>
      </c>
      <c r="K2121" t="s">
        <v>47113</v>
      </c>
      <c r="L2121">
        <v>59.24</v>
      </c>
      <c r="M2121">
        <v>138</v>
      </c>
      <c r="N2121">
        <v>0</v>
      </c>
      <c r="O2121">
        <v>138</v>
      </c>
      <c r="P2121">
        <v>0</v>
      </c>
    </row>
    <row r="2122" spans="1:16" x14ac:dyDescent="0.25">
      <c r="A2122" t="s">
        <v>24521</v>
      </c>
      <c r="B2122" t="s">
        <v>3599</v>
      </c>
      <c r="C2122" t="s">
        <v>3600</v>
      </c>
      <c r="D2122" t="s">
        <v>3518</v>
      </c>
      <c r="E2122" t="s">
        <v>3519</v>
      </c>
      <c r="F2122" t="s">
        <v>4</v>
      </c>
      <c r="G2122" t="s">
        <v>16231</v>
      </c>
      <c r="H2122" t="s">
        <v>47054</v>
      </c>
      <c r="I2122" t="s">
        <v>47111</v>
      </c>
      <c r="J2122" t="s">
        <v>47112</v>
      </c>
      <c r="K2122" t="s">
        <v>47113</v>
      </c>
      <c r="L2122">
        <v>61.45</v>
      </c>
      <c r="M2122">
        <v>138</v>
      </c>
      <c r="N2122">
        <v>0</v>
      </c>
      <c r="O2122">
        <v>138</v>
      </c>
      <c r="P2122">
        <v>0</v>
      </c>
    </row>
    <row r="2123" spans="1:16" x14ac:dyDescent="0.25">
      <c r="A2123" t="s">
        <v>24522</v>
      </c>
      <c r="B2123" t="s">
        <v>3601</v>
      </c>
      <c r="C2123" t="s">
        <v>3602</v>
      </c>
      <c r="D2123" t="s">
        <v>3504</v>
      </c>
      <c r="E2123" t="s">
        <v>3505</v>
      </c>
      <c r="F2123" t="s">
        <v>4</v>
      </c>
      <c r="G2123" t="s">
        <v>16231</v>
      </c>
      <c r="H2123" t="s">
        <v>47054</v>
      </c>
      <c r="I2123" t="s">
        <v>47111</v>
      </c>
      <c r="J2123" t="s">
        <v>47112</v>
      </c>
      <c r="K2123" t="s">
        <v>47113</v>
      </c>
      <c r="L2123">
        <v>52.69</v>
      </c>
      <c r="M2123">
        <v>126</v>
      </c>
      <c r="N2123">
        <v>0</v>
      </c>
      <c r="O2123">
        <v>126</v>
      </c>
      <c r="P2123">
        <v>0</v>
      </c>
    </row>
    <row r="2124" spans="1:16" x14ac:dyDescent="0.25">
      <c r="A2124" t="s">
        <v>24523</v>
      </c>
      <c r="B2124" t="s">
        <v>3601</v>
      </c>
      <c r="C2124" t="s">
        <v>3602</v>
      </c>
      <c r="D2124" t="s">
        <v>2395</v>
      </c>
      <c r="E2124" t="s">
        <v>2396</v>
      </c>
      <c r="F2124" t="s">
        <v>4</v>
      </c>
      <c r="G2124" t="s">
        <v>16231</v>
      </c>
      <c r="H2124" t="s">
        <v>47054</v>
      </c>
      <c r="I2124" t="s">
        <v>47111</v>
      </c>
      <c r="J2124" t="s">
        <v>47112</v>
      </c>
      <c r="K2124" t="s">
        <v>47113</v>
      </c>
      <c r="L2124">
        <v>47.33</v>
      </c>
      <c r="M2124">
        <v>126</v>
      </c>
      <c r="N2124">
        <v>0</v>
      </c>
      <c r="O2124">
        <v>126</v>
      </c>
      <c r="P2124">
        <v>0</v>
      </c>
    </row>
    <row r="2125" spans="1:16" x14ac:dyDescent="0.25">
      <c r="A2125" t="s">
        <v>24524</v>
      </c>
      <c r="B2125" t="s">
        <v>3603</v>
      </c>
      <c r="C2125" t="s">
        <v>3604</v>
      </c>
      <c r="D2125" t="s">
        <v>3486</v>
      </c>
      <c r="E2125" t="s">
        <v>3487</v>
      </c>
      <c r="F2125" t="s">
        <v>4</v>
      </c>
      <c r="G2125" t="s">
        <v>16231</v>
      </c>
      <c r="H2125" t="s">
        <v>47054</v>
      </c>
      <c r="I2125" t="s">
        <v>47111</v>
      </c>
      <c r="J2125" t="s">
        <v>47112</v>
      </c>
      <c r="K2125" t="s">
        <v>47113</v>
      </c>
      <c r="L2125">
        <v>58.57</v>
      </c>
      <c r="M2125">
        <v>143</v>
      </c>
      <c r="N2125">
        <v>0</v>
      </c>
      <c r="O2125">
        <v>143</v>
      </c>
      <c r="P2125">
        <v>0</v>
      </c>
    </row>
    <row r="2126" spans="1:16" x14ac:dyDescent="0.25">
      <c r="A2126" t="s">
        <v>24525</v>
      </c>
      <c r="B2126" t="s">
        <v>3605</v>
      </c>
      <c r="C2126" t="s">
        <v>3606</v>
      </c>
      <c r="D2126" t="s">
        <v>3490</v>
      </c>
      <c r="E2126" t="s">
        <v>3491</v>
      </c>
      <c r="F2126" t="s">
        <v>4</v>
      </c>
      <c r="G2126" t="s">
        <v>16231</v>
      </c>
      <c r="H2126" t="s">
        <v>47054</v>
      </c>
      <c r="I2126" t="s">
        <v>47111</v>
      </c>
      <c r="J2126" t="s">
        <v>47112</v>
      </c>
      <c r="K2126" t="s">
        <v>47113</v>
      </c>
      <c r="L2126">
        <v>49.63</v>
      </c>
      <c r="M2126">
        <v>95</v>
      </c>
      <c r="N2126">
        <v>0</v>
      </c>
      <c r="O2126">
        <v>95</v>
      </c>
      <c r="P2126">
        <v>0</v>
      </c>
    </row>
    <row r="2127" spans="1:16" x14ac:dyDescent="0.25">
      <c r="A2127" t="s">
        <v>24526</v>
      </c>
      <c r="B2127" t="s">
        <v>3605</v>
      </c>
      <c r="C2127" t="s">
        <v>3606</v>
      </c>
      <c r="D2127" t="s">
        <v>3492</v>
      </c>
      <c r="E2127" t="s">
        <v>3493</v>
      </c>
      <c r="F2127" t="s">
        <v>4</v>
      </c>
      <c r="G2127" t="s">
        <v>16231</v>
      </c>
      <c r="H2127" t="s">
        <v>47054</v>
      </c>
      <c r="I2127" t="s">
        <v>47111</v>
      </c>
      <c r="J2127" t="s">
        <v>47112</v>
      </c>
      <c r="K2127" t="s">
        <v>47113</v>
      </c>
      <c r="L2127">
        <v>43.32</v>
      </c>
      <c r="M2127">
        <v>85</v>
      </c>
      <c r="N2127">
        <v>0</v>
      </c>
      <c r="O2127">
        <v>85</v>
      </c>
      <c r="P2127">
        <v>0</v>
      </c>
    </row>
    <row r="2128" spans="1:16" x14ac:dyDescent="0.25">
      <c r="A2128" t="s">
        <v>24527</v>
      </c>
      <c r="B2128" t="s">
        <v>3605</v>
      </c>
      <c r="C2128" t="s">
        <v>3606</v>
      </c>
      <c r="D2128" t="s">
        <v>3494</v>
      </c>
      <c r="E2128" t="s">
        <v>3495</v>
      </c>
      <c r="F2128" t="s">
        <v>4</v>
      </c>
      <c r="G2128" t="s">
        <v>16231</v>
      </c>
      <c r="H2128" t="s">
        <v>47054</v>
      </c>
      <c r="I2128" t="s">
        <v>47111</v>
      </c>
      <c r="J2128" t="s">
        <v>47112</v>
      </c>
      <c r="K2128" t="s">
        <v>47113</v>
      </c>
      <c r="L2128">
        <v>39.57</v>
      </c>
      <c r="M2128">
        <v>97</v>
      </c>
      <c r="N2128">
        <v>0</v>
      </c>
      <c r="O2128">
        <v>97</v>
      </c>
      <c r="P2128">
        <v>0</v>
      </c>
    </row>
    <row r="2129" spans="1:16" x14ac:dyDescent="0.25">
      <c r="A2129" t="s">
        <v>24528</v>
      </c>
      <c r="B2129" t="s">
        <v>3607</v>
      </c>
      <c r="C2129" t="s">
        <v>3608</v>
      </c>
      <c r="D2129" t="s">
        <v>3532</v>
      </c>
      <c r="E2129" t="s">
        <v>3533</v>
      </c>
      <c r="F2129" t="s">
        <v>4</v>
      </c>
      <c r="G2129" t="s">
        <v>16231</v>
      </c>
      <c r="H2129" t="s">
        <v>47054</v>
      </c>
      <c r="I2129" t="s">
        <v>47111</v>
      </c>
      <c r="J2129" t="s">
        <v>47112</v>
      </c>
      <c r="K2129" t="s">
        <v>47113</v>
      </c>
      <c r="L2129">
        <v>43.3</v>
      </c>
      <c r="M2129">
        <v>106</v>
      </c>
      <c r="N2129">
        <v>0</v>
      </c>
      <c r="O2129">
        <v>106</v>
      </c>
      <c r="P2129">
        <v>0</v>
      </c>
    </row>
    <row r="2130" spans="1:16" x14ac:dyDescent="0.25">
      <c r="A2130" t="s">
        <v>24529</v>
      </c>
      <c r="B2130" t="s">
        <v>3609</v>
      </c>
      <c r="C2130" t="s">
        <v>3610</v>
      </c>
      <c r="D2130" t="s">
        <v>3540</v>
      </c>
      <c r="E2130" t="s">
        <v>3541</v>
      </c>
      <c r="F2130" t="s">
        <v>2068</v>
      </c>
      <c r="G2130" t="s">
        <v>16231</v>
      </c>
      <c r="H2130" t="s">
        <v>47054</v>
      </c>
      <c r="I2130" t="s">
        <v>47111</v>
      </c>
      <c r="J2130" t="s">
        <v>47112</v>
      </c>
      <c r="K2130" t="s">
        <v>47113</v>
      </c>
      <c r="L2130">
        <v>42.86</v>
      </c>
      <c r="M2130">
        <v>87</v>
      </c>
      <c r="N2130">
        <v>0</v>
      </c>
      <c r="O2130">
        <v>87</v>
      </c>
      <c r="P2130">
        <v>0</v>
      </c>
    </row>
    <row r="2131" spans="1:16" x14ac:dyDescent="0.25">
      <c r="A2131" t="s">
        <v>24530</v>
      </c>
      <c r="B2131" t="s">
        <v>3611</v>
      </c>
      <c r="C2131" t="s">
        <v>3612</v>
      </c>
      <c r="D2131" t="s">
        <v>3551</v>
      </c>
      <c r="E2131" t="s">
        <v>3552</v>
      </c>
      <c r="F2131" t="s">
        <v>3546</v>
      </c>
      <c r="G2131" t="s">
        <v>16231</v>
      </c>
      <c r="H2131" t="s">
        <v>47054</v>
      </c>
      <c r="I2131" t="s">
        <v>47111</v>
      </c>
      <c r="J2131" t="s">
        <v>47112</v>
      </c>
      <c r="K2131" t="s">
        <v>47113</v>
      </c>
      <c r="L2131">
        <v>60.21</v>
      </c>
      <c r="M2131">
        <v>148</v>
      </c>
      <c r="N2131">
        <v>0</v>
      </c>
      <c r="O2131">
        <v>148</v>
      </c>
      <c r="P2131">
        <v>0</v>
      </c>
    </row>
    <row r="2132" spans="1:16" x14ac:dyDescent="0.25">
      <c r="A2132" t="s">
        <v>24531</v>
      </c>
      <c r="B2132" t="s">
        <v>3613</v>
      </c>
      <c r="C2132" t="s">
        <v>3614</v>
      </c>
      <c r="D2132" t="s">
        <v>3573</v>
      </c>
      <c r="E2132" t="s">
        <v>3574</v>
      </c>
      <c r="F2132" t="s">
        <v>3546</v>
      </c>
      <c r="G2132" t="s">
        <v>16231</v>
      </c>
      <c r="H2132" t="s">
        <v>47054</v>
      </c>
      <c r="I2132" t="s">
        <v>47111</v>
      </c>
      <c r="J2132" t="s">
        <v>47112</v>
      </c>
      <c r="K2132" t="s">
        <v>47113</v>
      </c>
      <c r="L2132">
        <v>44</v>
      </c>
      <c r="M2132">
        <v>108</v>
      </c>
      <c r="N2132">
        <v>0</v>
      </c>
      <c r="O2132">
        <v>108</v>
      </c>
      <c r="P2132">
        <v>0</v>
      </c>
    </row>
    <row r="2133" spans="1:16" x14ac:dyDescent="0.25">
      <c r="A2133" t="s">
        <v>24532</v>
      </c>
      <c r="B2133" t="s">
        <v>3615</v>
      </c>
      <c r="C2133" t="s">
        <v>3616</v>
      </c>
      <c r="D2133" t="s">
        <v>3547</v>
      </c>
      <c r="E2133" t="s">
        <v>3548</v>
      </c>
      <c r="F2133" t="s">
        <v>3546</v>
      </c>
      <c r="G2133" t="s">
        <v>16231</v>
      </c>
      <c r="H2133" t="s">
        <v>47054</v>
      </c>
      <c r="I2133" t="s">
        <v>47111</v>
      </c>
      <c r="J2133" t="s">
        <v>47112</v>
      </c>
      <c r="K2133" t="s">
        <v>47113</v>
      </c>
      <c r="L2133">
        <v>58.25</v>
      </c>
      <c r="M2133">
        <v>125</v>
      </c>
      <c r="N2133">
        <v>0</v>
      </c>
      <c r="O2133">
        <v>125</v>
      </c>
      <c r="P2133">
        <v>0</v>
      </c>
    </row>
    <row r="2134" spans="1:16" x14ac:dyDescent="0.25">
      <c r="A2134" t="s">
        <v>24533</v>
      </c>
      <c r="B2134" t="s">
        <v>3617</v>
      </c>
      <c r="C2134" t="s">
        <v>3618</v>
      </c>
      <c r="D2134" t="s">
        <v>3524</v>
      </c>
      <c r="E2134" t="s">
        <v>3525</v>
      </c>
      <c r="F2134" t="s">
        <v>4</v>
      </c>
      <c r="G2134" t="s">
        <v>16231</v>
      </c>
      <c r="H2134" t="s">
        <v>47054</v>
      </c>
      <c r="I2134" t="s">
        <v>47111</v>
      </c>
      <c r="J2134" t="s">
        <v>47112</v>
      </c>
      <c r="K2134" t="s">
        <v>47113</v>
      </c>
      <c r="L2134">
        <v>52.4</v>
      </c>
      <c r="M2134">
        <v>128</v>
      </c>
      <c r="N2134">
        <v>0</v>
      </c>
      <c r="O2134">
        <v>128</v>
      </c>
      <c r="P2134">
        <v>0</v>
      </c>
    </row>
    <row r="2135" spans="1:16" x14ac:dyDescent="0.25">
      <c r="A2135" t="s">
        <v>24534</v>
      </c>
      <c r="B2135" t="s">
        <v>3619</v>
      </c>
      <c r="C2135" t="s">
        <v>3620</v>
      </c>
      <c r="D2135" t="s">
        <v>3542</v>
      </c>
      <c r="E2135" t="s">
        <v>3543</v>
      </c>
      <c r="F2135" t="s">
        <v>2068</v>
      </c>
      <c r="G2135" t="s">
        <v>16231</v>
      </c>
      <c r="H2135" t="s">
        <v>47054</v>
      </c>
      <c r="I2135" t="s">
        <v>47111</v>
      </c>
      <c r="J2135" t="s">
        <v>47112</v>
      </c>
      <c r="K2135" t="s">
        <v>47113</v>
      </c>
      <c r="L2135">
        <v>44.17</v>
      </c>
      <c r="M2135">
        <v>100</v>
      </c>
      <c r="N2135">
        <v>0</v>
      </c>
      <c r="O2135">
        <v>100</v>
      </c>
      <c r="P2135">
        <v>0</v>
      </c>
    </row>
    <row r="2136" spans="1:16" x14ac:dyDescent="0.25">
      <c r="A2136" t="s">
        <v>24535</v>
      </c>
      <c r="B2136" t="s">
        <v>3621</v>
      </c>
      <c r="C2136" t="s">
        <v>3622</v>
      </c>
      <c r="D2136" t="s">
        <v>3551</v>
      </c>
      <c r="E2136" t="s">
        <v>3552</v>
      </c>
      <c r="F2136" t="s">
        <v>3546</v>
      </c>
      <c r="G2136" t="s">
        <v>16231</v>
      </c>
      <c r="H2136" t="s">
        <v>47054</v>
      </c>
      <c r="I2136" t="s">
        <v>47111</v>
      </c>
      <c r="J2136" t="s">
        <v>47112</v>
      </c>
      <c r="K2136" t="s">
        <v>47113</v>
      </c>
      <c r="L2136">
        <v>71.62</v>
      </c>
      <c r="M2136">
        <v>176</v>
      </c>
      <c r="N2136">
        <v>0</v>
      </c>
      <c r="O2136">
        <v>176</v>
      </c>
      <c r="P2136">
        <v>0</v>
      </c>
    </row>
    <row r="2137" spans="1:16" x14ac:dyDescent="0.25">
      <c r="A2137" t="s">
        <v>24536</v>
      </c>
      <c r="B2137" t="s">
        <v>3623</v>
      </c>
      <c r="C2137" t="s">
        <v>3624</v>
      </c>
      <c r="D2137" t="s">
        <v>3567</v>
      </c>
      <c r="E2137" t="s">
        <v>3568</v>
      </c>
      <c r="F2137" t="s">
        <v>4</v>
      </c>
      <c r="G2137" t="s">
        <v>16231</v>
      </c>
      <c r="H2137" t="s">
        <v>47054</v>
      </c>
      <c r="I2137" t="s">
        <v>47111</v>
      </c>
      <c r="J2137" t="s">
        <v>47112</v>
      </c>
      <c r="K2137" t="s">
        <v>47113</v>
      </c>
      <c r="L2137">
        <v>50.29</v>
      </c>
      <c r="M2137">
        <v>115</v>
      </c>
      <c r="N2137">
        <v>0</v>
      </c>
      <c r="O2137">
        <v>115</v>
      </c>
      <c r="P2137">
        <v>0</v>
      </c>
    </row>
    <row r="2138" spans="1:16" x14ac:dyDescent="0.25">
      <c r="A2138" t="s">
        <v>24537</v>
      </c>
      <c r="B2138" t="s">
        <v>3623</v>
      </c>
      <c r="C2138" t="s">
        <v>3624</v>
      </c>
      <c r="D2138" t="s">
        <v>3569</v>
      </c>
      <c r="E2138" t="s">
        <v>3570</v>
      </c>
      <c r="F2138" t="s">
        <v>4</v>
      </c>
      <c r="G2138" t="s">
        <v>16231</v>
      </c>
      <c r="H2138" t="s">
        <v>47054</v>
      </c>
      <c r="I2138" t="s">
        <v>47111</v>
      </c>
      <c r="J2138" t="s">
        <v>47112</v>
      </c>
      <c r="K2138" t="s">
        <v>47113</v>
      </c>
      <c r="L2138">
        <v>54.34</v>
      </c>
      <c r="M2138">
        <v>115</v>
      </c>
      <c r="N2138">
        <v>0</v>
      </c>
      <c r="O2138">
        <v>115</v>
      </c>
      <c r="P2138">
        <v>0</v>
      </c>
    </row>
    <row r="2139" spans="1:16" x14ac:dyDescent="0.25">
      <c r="A2139" t="s">
        <v>24538</v>
      </c>
      <c r="B2139" t="s">
        <v>3625</v>
      </c>
      <c r="C2139" t="s">
        <v>3626</v>
      </c>
      <c r="D2139" t="s">
        <v>3627</v>
      </c>
      <c r="E2139" t="s">
        <v>3628</v>
      </c>
      <c r="F2139" t="s">
        <v>4</v>
      </c>
      <c r="G2139" t="s">
        <v>16224</v>
      </c>
      <c r="H2139" t="s">
        <v>47054</v>
      </c>
      <c r="I2139" t="s">
        <v>47116</v>
      </c>
      <c r="J2139" t="s">
        <v>47117</v>
      </c>
      <c r="K2139" t="s">
        <v>47113</v>
      </c>
      <c r="L2139">
        <v>45.54</v>
      </c>
      <c r="M2139">
        <v>115</v>
      </c>
      <c r="N2139">
        <v>0</v>
      </c>
      <c r="O2139">
        <v>115</v>
      </c>
      <c r="P2139">
        <v>0</v>
      </c>
    </row>
    <row r="2140" spans="1:16" x14ac:dyDescent="0.25">
      <c r="A2140" t="s">
        <v>24539</v>
      </c>
      <c r="B2140" t="s">
        <v>3629</v>
      </c>
      <c r="C2140" t="s">
        <v>3630</v>
      </c>
      <c r="D2140" t="str">
        <f>"2383"</f>
        <v>2383</v>
      </c>
      <c r="E2140" t="s">
        <v>3631</v>
      </c>
      <c r="F2140" t="s">
        <v>3546</v>
      </c>
      <c r="G2140" t="s">
        <v>16234</v>
      </c>
      <c r="H2140" t="s">
        <v>47054</v>
      </c>
      <c r="I2140" t="s">
        <v>47111</v>
      </c>
      <c r="J2140" t="s">
        <v>47112</v>
      </c>
      <c r="K2140" t="s">
        <v>47113</v>
      </c>
      <c r="L2140">
        <v>49.08</v>
      </c>
      <c r="M2140">
        <v>121</v>
      </c>
      <c r="N2140">
        <v>0</v>
      </c>
      <c r="O2140">
        <v>121</v>
      </c>
      <c r="P2140">
        <v>0</v>
      </c>
    </row>
    <row r="2141" spans="1:16" x14ac:dyDescent="0.25">
      <c r="A2141" t="s">
        <v>24540</v>
      </c>
      <c r="B2141" t="s">
        <v>3632</v>
      </c>
      <c r="C2141" t="s">
        <v>3633</v>
      </c>
      <c r="D2141" t="str">
        <f>"2383"</f>
        <v>2383</v>
      </c>
      <c r="E2141" t="s">
        <v>3631</v>
      </c>
      <c r="F2141" t="s">
        <v>3546</v>
      </c>
      <c r="G2141" t="s">
        <v>16234</v>
      </c>
      <c r="H2141" t="s">
        <v>47054</v>
      </c>
      <c r="I2141" t="s">
        <v>47111</v>
      </c>
      <c r="J2141" t="s">
        <v>47112</v>
      </c>
      <c r="K2141" t="s">
        <v>47113</v>
      </c>
      <c r="L2141">
        <v>48.5</v>
      </c>
      <c r="M2141">
        <v>119</v>
      </c>
      <c r="N2141">
        <v>0</v>
      </c>
      <c r="O2141">
        <v>119</v>
      </c>
      <c r="P2141">
        <v>0</v>
      </c>
    </row>
    <row r="2142" spans="1:16" x14ac:dyDescent="0.25">
      <c r="A2142" t="s">
        <v>14857</v>
      </c>
      <c r="B2142" t="s">
        <v>3634</v>
      </c>
      <c r="C2142" t="s">
        <v>3635</v>
      </c>
      <c r="D2142" t="str">
        <f>"1498"</f>
        <v>1498</v>
      </c>
      <c r="E2142" t="s">
        <v>3636</v>
      </c>
      <c r="F2142" t="s">
        <v>3546</v>
      </c>
      <c r="G2142" t="s">
        <v>16233</v>
      </c>
      <c r="H2142" t="s">
        <v>47054</v>
      </c>
      <c r="I2142" t="s">
        <v>47136</v>
      </c>
      <c r="J2142" t="s">
        <v>47137</v>
      </c>
      <c r="K2142" t="s">
        <v>47113</v>
      </c>
      <c r="L2142">
        <v>25.86</v>
      </c>
      <c r="M2142">
        <v>65</v>
      </c>
      <c r="N2142">
        <v>0</v>
      </c>
      <c r="O2142">
        <v>65</v>
      </c>
      <c r="P2142">
        <v>0</v>
      </c>
    </row>
    <row r="2143" spans="1:16" x14ac:dyDescent="0.25">
      <c r="A2143" t="s">
        <v>24541</v>
      </c>
      <c r="B2143" t="s">
        <v>3634</v>
      </c>
      <c r="C2143" t="s">
        <v>3635</v>
      </c>
      <c r="D2143" t="str">
        <f>"2708"</f>
        <v>2708</v>
      </c>
      <c r="E2143" t="s">
        <v>3637</v>
      </c>
      <c r="F2143" t="s">
        <v>3546</v>
      </c>
      <c r="G2143" t="s">
        <v>16233</v>
      </c>
      <c r="H2143" t="s">
        <v>47054</v>
      </c>
      <c r="I2143" t="s">
        <v>47136</v>
      </c>
      <c r="J2143" t="s">
        <v>47137</v>
      </c>
      <c r="K2143" t="s">
        <v>47113</v>
      </c>
      <c r="L2143">
        <v>25.86</v>
      </c>
      <c r="M2143">
        <v>65</v>
      </c>
      <c r="N2143">
        <v>0</v>
      </c>
      <c r="O2143">
        <v>65</v>
      </c>
      <c r="P2143">
        <v>0</v>
      </c>
    </row>
    <row r="2144" spans="1:16" x14ac:dyDescent="0.25">
      <c r="A2144" t="s">
        <v>24542</v>
      </c>
      <c r="B2144" t="s">
        <v>3634</v>
      </c>
      <c r="C2144" t="s">
        <v>3635</v>
      </c>
      <c r="D2144" t="str">
        <f>"6065"</f>
        <v>6065</v>
      </c>
      <c r="E2144" t="s">
        <v>3638</v>
      </c>
      <c r="F2144" t="s">
        <v>3546</v>
      </c>
      <c r="G2144" t="s">
        <v>16233</v>
      </c>
      <c r="H2144" t="s">
        <v>47054</v>
      </c>
      <c r="I2144" t="s">
        <v>47136</v>
      </c>
      <c r="J2144" t="s">
        <v>47137</v>
      </c>
      <c r="K2144" t="s">
        <v>47113</v>
      </c>
      <c r="L2144">
        <v>25.86</v>
      </c>
      <c r="M2144">
        <v>65</v>
      </c>
      <c r="N2144">
        <v>0</v>
      </c>
      <c r="O2144">
        <v>65</v>
      </c>
      <c r="P2144">
        <v>0</v>
      </c>
    </row>
    <row r="2145" spans="1:16" x14ac:dyDescent="0.25">
      <c r="A2145" t="s">
        <v>24543</v>
      </c>
      <c r="B2145" t="s">
        <v>3639</v>
      </c>
      <c r="C2145" t="s">
        <v>3640</v>
      </c>
      <c r="D2145" t="s">
        <v>3641</v>
      </c>
      <c r="E2145" t="s">
        <v>3642</v>
      </c>
      <c r="F2145" t="s">
        <v>3546</v>
      </c>
      <c r="G2145" t="s">
        <v>16231</v>
      </c>
      <c r="H2145" t="s">
        <v>47054</v>
      </c>
      <c r="I2145" t="s">
        <v>47111</v>
      </c>
      <c r="J2145" t="s">
        <v>47112</v>
      </c>
      <c r="K2145" t="s">
        <v>47113</v>
      </c>
      <c r="L2145">
        <v>62.05</v>
      </c>
      <c r="M2145">
        <v>134</v>
      </c>
      <c r="N2145">
        <v>0</v>
      </c>
      <c r="O2145">
        <v>134</v>
      </c>
      <c r="P2145">
        <v>0</v>
      </c>
    </row>
    <row r="2146" spans="1:16" x14ac:dyDescent="0.25">
      <c r="A2146" t="s">
        <v>14858</v>
      </c>
      <c r="B2146" t="s">
        <v>3643</v>
      </c>
      <c r="C2146" t="s">
        <v>3644</v>
      </c>
      <c r="D2146" t="s">
        <v>3641</v>
      </c>
      <c r="E2146" t="s">
        <v>3642</v>
      </c>
      <c r="F2146" t="s">
        <v>3546</v>
      </c>
      <c r="G2146" t="s">
        <v>16231</v>
      </c>
      <c r="H2146" t="s">
        <v>47054</v>
      </c>
      <c r="I2146" t="s">
        <v>47111</v>
      </c>
      <c r="J2146" t="s">
        <v>47112</v>
      </c>
      <c r="K2146" t="s">
        <v>47113</v>
      </c>
      <c r="L2146">
        <v>57.4</v>
      </c>
      <c r="M2146">
        <v>129</v>
      </c>
      <c r="N2146">
        <v>0</v>
      </c>
      <c r="O2146">
        <v>129</v>
      </c>
      <c r="P2146">
        <v>0</v>
      </c>
    </row>
    <row r="2147" spans="1:16" x14ac:dyDescent="0.25">
      <c r="A2147" t="s">
        <v>14859</v>
      </c>
      <c r="B2147" t="s">
        <v>3645</v>
      </c>
      <c r="C2147" t="s">
        <v>3646</v>
      </c>
      <c r="D2147" t="s">
        <v>3641</v>
      </c>
      <c r="E2147" t="s">
        <v>3642</v>
      </c>
      <c r="F2147" t="s">
        <v>3546</v>
      </c>
      <c r="G2147" t="s">
        <v>16231</v>
      </c>
      <c r="H2147" t="s">
        <v>47054</v>
      </c>
      <c r="I2147" t="s">
        <v>47111</v>
      </c>
      <c r="J2147" t="s">
        <v>47112</v>
      </c>
      <c r="K2147" t="s">
        <v>47113</v>
      </c>
      <c r="L2147">
        <v>62.05</v>
      </c>
      <c r="M2147">
        <v>134</v>
      </c>
      <c r="N2147">
        <v>0</v>
      </c>
      <c r="O2147">
        <v>134</v>
      </c>
      <c r="P2147">
        <v>0</v>
      </c>
    </row>
    <row r="2148" spans="1:16" x14ac:dyDescent="0.25">
      <c r="A2148" t="s">
        <v>24544</v>
      </c>
      <c r="B2148" t="s">
        <v>3647</v>
      </c>
      <c r="C2148" t="s">
        <v>3640</v>
      </c>
      <c r="D2148" t="s">
        <v>3641</v>
      </c>
      <c r="E2148" t="s">
        <v>3642</v>
      </c>
      <c r="F2148" t="s">
        <v>3546</v>
      </c>
      <c r="G2148" t="s">
        <v>16231</v>
      </c>
      <c r="H2148" t="s">
        <v>47054</v>
      </c>
      <c r="I2148" t="s">
        <v>47111</v>
      </c>
      <c r="J2148" t="s">
        <v>47112</v>
      </c>
      <c r="K2148" t="s">
        <v>47113</v>
      </c>
      <c r="L2148">
        <v>60.03</v>
      </c>
      <c r="M2148">
        <v>134</v>
      </c>
      <c r="N2148">
        <v>0</v>
      </c>
      <c r="O2148">
        <v>134</v>
      </c>
      <c r="P2148">
        <v>0</v>
      </c>
    </row>
    <row r="2149" spans="1:16" x14ac:dyDescent="0.25">
      <c r="A2149" t="s">
        <v>24545</v>
      </c>
      <c r="B2149" t="s">
        <v>3648</v>
      </c>
      <c r="C2149" t="s">
        <v>3649</v>
      </c>
      <c r="D2149" t="s">
        <v>3641</v>
      </c>
      <c r="E2149" t="s">
        <v>3642</v>
      </c>
      <c r="F2149" t="s">
        <v>3546</v>
      </c>
      <c r="G2149" t="s">
        <v>16231</v>
      </c>
      <c r="H2149" t="s">
        <v>47054</v>
      </c>
      <c r="I2149" t="s">
        <v>47111</v>
      </c>
      <c r="J2149" t="s">
        <v>47112</v>
      </c>
      <c r="K2149" t="s">
        <v>47113</v>
      </c>
      <c r="L2149">
        <v>60.03</v>
      </c>
      <c r="M2149">
        <v>134</v>
      </c>
      <c r="N2149">
        <v>0</v>
      </c>
      <c r="O2149">
        <v>134</v>
      </c>
      <c r="P2149">
        <v>0</v>
      </c>
    </row>
    <row r="2150" spans="1:16" x14ac:dyDescent="0.25">
      <c r="A2150" t="s">
        <v>24546</v>
      </c>
      <c r="B2150" t="s">
        <v>3650</v>
      </c>
      <c r="C2150" t="s">
        <v>3651</v>
      </c>
      <c r="D2150" t="s">
        <v>3652</v>
      </c>
      <c r="E2150" t="s">
        <v>3653</v>
      </c>
      <c r="F2150" t="s">
        <v>3546</v>
      </c>
      <c r="G2150" t="s">
        <v>16230</v>
      </c>
      <c r="H2150" t="s">
        <v>47054</v>
      </c>
      <c r="I2150" t="s">
        <v>47120</v>
      </c>
      <c r="J2150" t="s">
        <v>47121</v>
      </c>
      <c r="K2150" t="s">
        <v>47113</v>
      </c>
      <c r="L2150">
        <v>32.22</v>
      </c>
      <c r="M2150">
        <v>79</v>
      </c>
      <c r="N2150">
        <v>0</v>
      </c>
      <c r="O2150">
        <v>79</v>
      </c>
      <c r="P2150">
        <v>0</v>
      </c>
    </row>
    <row r="2151" spans="1:16" x14ac:dyDescent="0.25">
      <c r="A2151" t="s">
        <v>24547</v>
      </c>
      <c r="B2151" t="s">
        <v>3654</v>
      </c>
      <c r="C2151" t="s">
        <v>3655</v>
      </c>
      <c r="D2151" t="str">
        <f>"3272"</f>
        <v>3272</v>
      </c>
      <c r="E2151" t="s">
        <v>3656</v>
      </c>
      <c r="F2151" t="s">
        <v>3546</v>
      </c>
      <c r="G2151" t="s">
        <v>16234</v>
      </c>
      <c r="H2151" t="s">
        <v>47054</v>
      </c>
      <c r="I2151" t="s">
        <v>47120</v>
      </c>
      <c r="J2151" t="s">
        <v>47121</v>
      </c>
      <c r="K2151" t="s">
        <v>47113</v>
      </c>
      <c r="L2151">
        <v>38.479999999999997</v>
      </c>
      <c r="M2151">
        <v>76</v>
      </c>
      <c r="N2151">
        <v>0</v>
      </c>
      <c r="O2151">
        <v>76</v>
      </c>
      <c r="P2151">
        <v>0</v>
      </c>
    </row>
    <row r="2152" spans="1:16" x14ac:dyDescent="0.25">
      <c r="A2152" t="s">
        <v>24548</v>
      </c>
      <c r="B2152" t="s">
        <v>3654</v>
      </c>
      <c r="C2152" t="s">
        <v>3655</v>
      </c>
      <c r="D2152" t="str">
        <f>"4907"</f>
        <v>4907</v>
      </c>
      <c r="E2152" t="s">
        <v>3657</v>
      </c>
      <c r="F2152" t="s">
        <v>3546</v>
      </c>
      <c r="G2152" t="s">
        <v>16234</v>
      </c>
      <c r="H2152" t="s">
        <v>47054</v>
      </c>
      <c r="I2152" t="s">
        <v>47120</v>
      </c>
      <c r="J2152" t="s">
        <v>47121</v>
      </c>
      <c r="K2152" t="s">
        <v>47113</v>
      </c>
      <c r="L2152">
        <v>38.479999999999997</v>
      </c>
      <c r="M2152">
        <v>76</v>
      </c>
      <c r="N2152">
        <v>0</v>
      </c>
      <c r="O2152">
        <v>76</v>
      </c>
      <c r="P2152">
        <v>0</v>
      </c>
    </row>
    <row r="2153" spans="1:16" x14ac:dyDescent="0.25">
      <c r="A2153" t="s">
        <v>24549</v>
      </c>
      <c r="B2153" t="s">
        <v>3658</v>
      </c>
      <c r="C2153" t="s">
        <v>3659</v>
      </c>
      <c r="D2153" t="str">
        <f>"3272"</f>
        <v>3272</v>
      </c>
      <c r="E2153" t="s">
        <v>3656</v>
      </c>
      <c r="F2153" t="s">
        <v>3546</v>
      </c>
      <c r="G2153" t="s">
        <v>16233</v>
      </c>
      <c r="H2153" t="s">
        <v>47054</v>
      </c>
      <c r="I2153" t="s">
        <v>47120</v>
      </c>
      <c r="J2153" t="s">
        <v>47121</v>
      </c>
      <c r="K2153" t="s">
        <v>47113</v>
      </c>
      <c r="L2153">
        <v>31.6</v>
      </c>
      <c r="M2153">
        <v>69</v>
      </c>
      <c r="N2153">
        <v>0</v>
      </c>
      <c r="O2153">
        <v>69</v>
      </c>
      <c r="P2153">
        <v>0</v>
      </c>
    </row>
    <row r="2154" spans="1:16" x14ac:dyDescent="0.25">
      <c r="A2154" t="s">
        <v>24550</v>
      </c>
      <c r="B2154" t="s">
        <v>3658</v>
      </c>
      <c r="C2154" t="s">
        <v>3659</v>
      </c>
      <c r="D2154" t="str">
        <f>"4907"</f>
        <v>4907</v>
      </c>
      <c r="E2154" t="s">
        <v>3657</v>
      </c>
      <c r="F2154" t="s">
        <v>3546</v>
      </c>
      <c r="G2154" t="s">
        <v>16233</v>
      </c>
      <c r="H2154" t="s">
        <v>47054</v>
      </c>
      <c r="I2154" t="s">
        <v>47120</v>
      </c>
      <c r="J2154" t="s">
        <v>47121</v>
      </c>
      <c r="K2154" t="s">
        <v>47113</v>
      </c>
      <c r="L2154">
        <v>31.6</v>
      </c>
      <c r="M2154">
        <v>69</v>
      </c>
      <c r="N2154">
        <v>0</v>
      </c>
      <c r="O2154">
        <v>69</v>
      </c>
      <c r="P2154">
        <v>0</v>
      </c>
    </row>
    <row r="2155" spans="1:16" x14ac:dyDescent="0.25">
      <c r="A2155" t="s">
        <v>24551</v>
      </c>
      <c r="B2155" t="s">
        <v>3660</v>
      </c>
      <c r="C2155" t="s">
        <v>3661</v>
      </c>
      <c r="D2155" t="s">
        <v>3662</v>
      </c>
      <c r="E2155" t="s">
        <v>3663</v>
      </c>
      <c r="F2155" t="s">
        <v>2068</v>
      </c>
      <c r="G2155" t="s">
        <v>16231</v>
      </c>
      <c r="H2155" t="s">
        <v>47054</v>
      </c>
      <c r="I2155" t="s">
        <v>47111</v>
      </c>
      <c r="J2155" t="s">
        <v>47112</v>
      </c>
      <c r="K2155" t="s">
        <v>47113</v>
      </c>
      <c r="L2155">
        <v>37.9</v>
      </c>
      <c r="M2155">
        <v>91</v>
      </c>
      <c r="N2155">
        <v>0</v>
      </c>
      <c r="O2155">
        <v>91</v>
      </c>
      <c r="P2155">
        <v>0</v>
      </c>
    </row>
    <row r="2156" spans="1:16" x14ac:dyDescent="0.25">
      <c r="A2156" t="s">
        <v>24552</v>
      </c>
      <c r="B2156" t="s">
        <v>3660</v>
      </c>
      <c r="C2156" t="s">
        <v>3661</v>
      </c>
      <c r="D2156" t="s">
        <v>3664</v>
      </c>
      <c r="E2156" t="s">
        <v>3665</v>
      </c>
      <c r="F2156" t="s">
        <v>2068</v>
      </c>
      <c r="G2156" t="s">
        <v>16231</v>
      </c>
      <c r="H2156" t="s">
        <v>47054</v>
      </c>
      <c r="I2156" t="s">
        <v>47111</v>
      </c>
      <c r="J2156" t="s">
        <v>47112</v>
      </c>
      <c r="K2156" t="s">
        <v>47113</v>
      </c>
      <c r="L2156">
        <v>40.58</v>
      </c>
      <c r="M2156">
        <v>74</v>
      </c>
      <c r="N2156">
        <v>0</v>
      </c>
      <c r="O2156">
        <v>74</v>
      </c>
      <c r="P2156">
        <v>0</v>
      </c>
    </row>
    <row r="2157" spans="1:16" x14ac:dyDescent="0.25">
      <c r="A2157" t="s">
        <v>24553</v>
      </c>
      <c r="B2157" t="s">
        <v>3660</v>
      </c>
      <c r="C2157" t="s">
        <v>3661</v>
      </c>
      <c r="D2157" t="s">
        <v>3666</v>
      </c>
      <c r="E2157" t="s">
        <v>3667</v>
      </c>
      <c r="F2157" t="s">
        <v>2068</v>
      </c>
      <c r="G2157" t="s">
        <v>16231</v>
      </c>
      <c r="H2157" t="s">
        <v>47054</v>
      </c>
      <c r="I2157" t="s">
        <v>47111</v>
      </c>
      <c r="J2157" t="s">
        <v>47112</v>
      </c>
      <c r="K2157" t="s">
        <v>47113</v>
      </c>
      <c r="L2157">
        <v>39.86</v>
      </c>
      <c r="M2157">
        <v>74</v>
      </c>
      <c r="N2157">
        <v>0</v>
      </c>
      <c r="O2157">
        <v>74</v>
      </c>
      <c r="P2157">
        <v>0</v>
      </c>
    </row>
    <row r="2158" spans="1:16" x14ac:dyDescent="0.25">
      <c r="A2158" t="s">
        <v>24554</v>
      </c>
      <c r="B2158" t="s">
        <v>3668</v>
      </c>
      <c r="C2158" t="s">
        <v>3669</v>
      </c>
      <c r="D2158" t="s">
        <v>3671</v>
      </c>
      <c r="E2158" t="s">
        <v>3672</v>
      </c>
      <c r="F2158" t="s">
        <v>3670</v>
      </c>
      <c r="G2158" t="s">
        <v>16231</v>
      </c>
      <c r="H2158" t="s">
        <v>47054</v>
      </c>
      <c r="I2158" t="s">
        <v>47111</v>
      </c>
      <c r="J2158" t="s">
        <v>47112</v>
      </c>
      <c r="K2158" t="s">
        <v>47113</v>
      </c>
      <c r="L2158">
        <v>47.72</v>
      </c>
      <c r="M2158">
        <v>74</v>
      </c>
      <c r="N2158">
        <v>0</v>
      </c>
      <c r="O2158">
        <v>74</v>
      </c>
      <c r="P2158">
        <v>0</v>
      </c>
    </row>
    <row r="2159" spans="1:16" x14ac:dyDescent="0.25">
      <c r="A2159" t="s">
        <v>24555</v>
      </c>
      <c r="B2159" t="s">
        <v>3673</v>
      </c>
      <c r="C2159" t="s">
        <v>16450</v>
      </c>
      <c r="D2159" t="s">
        <v>3671</v>
      </c>
      <c r="E2159" t="s">
        <v>3672</v>
      </c>
      <c r="F2159" t="s">
        <v>2068</v>
      </c>
      <c r="G2159" t="s">
        <v>16231</v>
      </c>
      <c r="H2159" t="s">
        <v>47054</v>
      </c>
      <c r="I2159" t="s">
        <v>47111</v>
      </c>
      <c r="J2159" t="s">
        <v>47112</v>
      </c>
      <c r="K2159" t="s">
        <v>47113</v>
      </c>
      <c r="L2159">
        <v>45.75</v>
      </c>
      <c r="M2159">
        <v>92</v>
      </c>
      <c r="N2159">
        <v>0</v>
      </c>
      <c r="O2159">
        <v>92</v>
      </c>
      <c r="P2159">
        <v>0</v>
      </c>
    </row>
    <row r="2160" spans="1:16" x14ac:dyDescent="0.25">
      <c r="A2160" t="s">
        <v>24556</v>
      </c>
      <c r="B2160" t="s">
        <v>3673</v>
      </c>
      <c r="C2160" t="s">
        <v>16450</v>
      </c>
      <c r="D2160" t="s">
        <v>3664</v>
      </c>
      <c r="E2160" t="s">
        <v>3665</v>
      </c>
      <c r="F2160" t="s">
        <v>2068</v>
      </c>
      <c r="G2160" t="s">
        <v>16231</v>
      </c>
      <c r="H2160" t="s">
        <v>47054</v>
      </c>
      <c r="I2160" t="s">
        <v>47111</v>
      </c>
      <c r="J2160" t="s">
        <v>47112</v>
      </c>
      <c r="K2160" t="s">
        <v>47113</v>
      </c>
      <c r="L2160">
        <v>42.78</v>
      </c>
      <c r="M2160">
        <v>74</v>
      </c>
      <c r="N2160">
        <v>0</v>
      </c>
      <c r="O2160">
        <v>74</v>
      </c>
      <c r="P2160">
        <v>0</v>
      </c>
    </row>
    <row r="2161" spans="1:16" x14ac:dyDescent="0.25">
      <c r="A2161" t="s">
        <v>24557</v>
      </c>
      <c r="B2161" t="s">
        <v>3673</v>
      </c>
      <c r="C2161" t="s">
        <v>16450</v>
      </c>
      <c r="D2161" t="s">
        <v>3674</v>
      </c>
      <c r="E2161" t="s">
        <v>3675</v>
      </c>
      <c r="F2161" t="s">
        <v>2068</v>
      </c>
      <c r="G2161" t="s">
        <v>16231</v>
      </c>
      <c r="H2161" t="s">
        <v>47054</v>
      </c>
      <c r="I2161" t="s">
        <v>47111</v>
      </c>
      <c r="J2161" t="s">
        <v>47112</v>
      </c>
      <c r="K2161" t="s">
        <v>47113</v>
      </c>
      <c r="L2161">
        <v>42.78</v>
      </c>
      <c r="M2161">
        <v>74</v>
      </c>
      <c r="N2161">
        <v>0</v>
      </c>
      <c r="O2161">
        <v>74</v>
      </c>
      <c r="P2161">
        <v>0</v>
      </c>
    </row>
    <row r="2162" spans="1:16" x14ac:dyDescent="0.25">
      <c r="A2162" t="s">
        <v>24558</v>
      </c>
      <c r="B2162" t="s">
        <v>3673</v>
      </c>
      <c r="C2162" t="s">
        <v>16450</v>
      </c>
      <c r="D2162" t="s">
        <v>3666</v>
      </c>
      <c r="E2162" t="s">
        <v>3667</v>
      </c>
      <c r="F2162" t="s">
        <v>2068</v>
      </c>
      <c r="G2162" t="s">
        <v>16231</v>
      </c>
      <c r="H2162" t="s">
        <v>47054</v>
      </c>
      <c r="I2162" t="s">
        <v>47111</v>
      </c>
      <c r="J2162" t="s">
        <v>47112</v>
      </c>
      <c r="K2162" t="s">
        <v>47113</v>
      </c>
      <c r="L2162">
        <v>41.74</v>
      </c>
      <c r="M2162">
        <v>92</v>
      </c>
      <c r="N2162">
        <v>0</v>
      </c>
      <c r="O2162">
        <v>92</v>
      </c>
      <c r="P2162">
        <v>0</v>
      </c>
    </row>
    <row r="2163" spans="1:16" x14ac:dyDescent="0.25">
      <c r="A2163" t="s">
        <v>24559</v>
      </c>
      <c r="B2163" t="s">
        <v>3676</v>
      </c>
      <c r="C2163" t="s">
        <v>3661</v>
      </c>
      <c r="D2163" t="s">
        <v>3674</v>
      </c>
      <c r="E2163" t="s">
        <v>3675</v>
      </c>
      <c r="F2163" t="s">
        <v>2068</v>
      </c>
      <c r="G2163" t="s">
        <v>16231</v>
      </c>
      <c r="H2163" t="s">
        <v>47054</v>
      </c>
      <c r="I2163" t="s">
        <v>47111</v>
      </c>
      <c r="J2163" t="s">
        <v>47112</v>
      </c>
      <c r="K2163" t="s">
        <v>47113</v>
      </c>
      <c r="L2163">
        <v>42.46</v>
      </c>
      <c r="M2163">
        <v>74</v>
      </c>
      <c r="N2163">
        <v>0</v>
      </c>
      <c r="O2163">
        <v>74</v>
      </c>
      <c r="P2163">
        <v>0</v>
      </c>
    </row>
    <row r="2164" spans="1:16" x14ac:dyDescent="0.25">
      <c r="A2164" t="s">
        <v>24560</v>
      </c>
      <c r="B2164" t="s">
        <v>3676</v>
      </c>
      <c r="C2164" t="s">
        <v>3661</v>
      </c>
      <c r="D2164" t="s">
        <v>311</v>
      </c>
      <c r="E2164" t="s">
        <v>3479</v>
      </c>
      <c r="F2164" t="s">
        <v>2068</v>
      </c>
      <c r="G2164" t="s">
        <v>16231</v>
      </c>
      <c r="H2164" t="s">
        <v>47054</v>
      </c>
      <c r="I2164" t="s">
        <v>47111</v>
      </c>
      <c r="J2164" t="s">
        <v>47112</v>
      </c>
      <c r="K2164" t="s">
        <v>47113</v>
      </c>
      <c r="L2164">
        <v>37.61</v>
      </c>
      <c r="M2164">
        <v>66</v>
      </c>
      <c r="N2164">
        <v>0</v>
      </c>
      <c r="O2164">
        <v>66</v>
      </c>
      <c r="P2164">
        <v>0</v>
      </c>
    </row>
    <row r="2165" spans="1:16" x14ac:dyDescent="0.25">
      <c r="A2165" t="s">
        <v>24561</v>
      </c>
      <c r="B2165" t="s">
        <v>3677</v>
      </c>
      <c r="C2165" t="s">
        <v>3678</v>
      </c>
      <c r="D2165" t="s">
        <v>3674</v>
      </c>
      <c r="E2165" t="s">
        <v>3675</v>
      </c>
      <c r="F2165" t="s">
        <v>2068</v>
      </c>
      <c r="G2165" t="s">
        <v>16231</v>
      </c>
      <c r="H2165" t="s">
        <v>47054</v>
      </c>
      <c r="I2165" t="s">
        <v>47111</v>
      </c>
      <c r="J2165" t="s">
        <v>47112</v>
      </c>
      <c r="K2165" t="s">
        <v>47113</v>
      </c>
      <c r="L2165">
        <v>40.880000000000003</v>
      </c>
      <c r="M2165">
        <v>74</v>
      </c>
      <c r="N2165">
        <v>0</v>
      </c>
      <c r="O2165">
        <v>74</v>
      </c>
      <c r="P2165">
        <v>0</v>
      </c>
    </row>
    <row r="2166" spans="1:16" x14ac:dyDescent="0.25">
      <c r="A2166" t="s">
        <v>24562</v>
      </c>
      <c r="B2166" t="s">
        <v>3677</v>
      </c>
      <c r="C2166" t="s">
        <v>3678</v>
      </c>
      <c r="D2166" t="s">
        <v>3666</v>
      </c>
      <c r="E2166" t="s">
        <v>3667</v>
      </c>
      <c r="F2166" t="s">
        <v>2068</v>
      </c>
      <c r="G2166" t="s">
        <v>16231</v>
      </c>
      <c r="H2166" t="s">
        <v>47054</v>
      </c>
      <c r="I2166" t="s">
        <v>47111</v>
      </c>
      <c r="J2166" t="s">
        <v>47112</v>
      </c>
      <c r="K2166" t="s">
        <v>47113</v>
      </c>
      <c r="L2166">
        <v>39.85</v>
      </c>
      <c r="M2166">
        <v>74</v>
      </c>
      <c r="N2166">
        <v>0</v>
      </c>
      <c r="O2166">
        <v>74</v>
      </c>
      <c r="P2166">
        <v>0</v>
      </c>
    </row>
    <row r="2167" spans="1:16" x14ac:dyDescent="0.25">
      <c r="A2167" t="s">
        <v>24563</v>
      </c>
      <c r="B2167" t="s">
        <v>3679</v>
      </c>
      <c r="C2167" t="s">
        <v>16237</v>
      </c>
      <c r="D2167" t="s">
        <v>3680</v>
      </c>
      <c r="E2167" t="s">
        <v>3681</v>
      </c>
      <c r="F2167" t="s">
        <v>3558</v>
      </c>
      <c r="G2167" t="s">
        <v>16231</v>
      </c>
      <c r="H2167" t="s">
        <v>47054</v>
      </c>
      <c r="I2167" t="s">
        <v>47111</v>
      </c>
      <c r="J2167" t="s">
        <v>47112</v>
      </c>
      <c r="K2167" t="s">
        <v>47113</v>
      </c>
      <c r="L2167">
        <v>56.21</v>
      </c>
      <c r="M2167">
        <v>74</v>
      </c>
      <c r="N2167">
        <v>0</v>
      </c>
      <c r="O2167">
        <v>74</v>
      </c>
      <c r="P2167">
        <v>0</v>
      </c>
    </row>
    <row r="2168" spans="1:16" x14ac:dyDescent="0.25">
      <c r="A2168" t="s">
        <v>24564</v>
      </c>
      <c r="B2168" t="s">
        <v>3682</v>
      </c>
      <c r="C2168" t="s">
        <v>16451</v>
      </c>
      <c r="D2168" t="s">
        <v>3662</v>
      </c>
      <c r="E2168" t="s">
        <v>3663</v>
      </c>
      <c r="F2168" t="s">
        <v>2068</v>
      </c>
      <c r="G2168" t="s">
        <v>16231</v>
      </c>
      <c r="H2168" t="s">
        <v>47054</v>
      </c>
      <c r="I2168" t="s">
        <v>47111</v>
      </c>
      <c r="J2168" t="s">
        <v>47112</v>
      </c>
      <c r="K2168" t="s">
        <v>47113</v>
      </c>
      <c r="L2168">
        <v>39.79</v>
      </c>
      <c r="M2168">
        <v>95</v>
      </c>
      <c r="N2168">
        <v>0</v>
      </c>
      <c r="O2168">
        <v>95</v>
      </c>
      <c r="P2168">
        <v>0</v>
      </c>
    </row>
    <row r="2169" spans="1:16" x14ac:dyDescent="0.25">
      <c r="A2169" t="s">
        <v>24565</v>
      </c>
      <c r="B2169" t="s">
        <v>3682</v>
      </c>
      <c r="C2169" t="s">
        <v>16451</v>
      </c>
      <c r="D2169" t="s">
        <v>3664</v>
      </c>
      <c r="E2169" t="s">
        <v>3665</v>
      </c>
      <c r="F2169" t="s">
        <v>2068</v>
      </c>
      <c r="G2169" t="s">
        <v>16231</v>
      </c>
      <c r="H2169" t="s">
        <v>47054</v>
      </c>
      <c r="I2169" t="s">
        <v>47111</v>
      </c>
      <c r="J2169" t="s">
        <v>47112</v>
      </c>
      <c r="K2169" t="s">
        <v>47113</v>
      </c>
      <c r="L2169">
        <v>42.51</v>
      </c>
      <c r="M2169">
        <v>74</v>
      </c>
      <c r="N2169">
        <v>0</v>
      </c>
      <c r="O2169">
        <v>74</v>
      </c>
      <c r="P2169">
        <v>0</v>
      </c>
    </row>
    <row r="2170" spans="1:16" x14ac:dyDescent="0.25">
      <c r="A2170" t="s">
        <v>24566</v>
      </c>
      <c r="B2170" t="s">
        <v>3682</v>
      </c>
      <c r="C2170" t="s">
        <v>16451</v>
      </c>
      <c r="D2170" t="s">
        <v>3674</v>
      </c>
      <c r="E2170" t="s">
        <v>3675</v>
      </c>
      <c r="F2170" t="s">
        <v>2068</v>
      </c>
      <c r="G2170" t="s">
        <v>16231</v>
      </c>
      <c r="H2170" t="s">
        <v>47054</v>
      </c>
      <c r="I2170" t="s">
        <v>47111</v>
      </c>
      <c r="J2170" t="s">
        <v>47112</v>
      </c>
      <c r="K2170" t="s">
        <v>47113</v>
      </c>
      <c r="L2170">
        <v>42.51</v>
      </c>
      <c r="M2170">
        <v>92</v>
      </c>
      <c r="N2170">
        <v>0</v>
      </c>
      <c r="O2170">
        <v>92</v>
      </c>
      <c r="P2170">
        <v>0</v>
      </c>
    </row>
    <row r="2171" spans="1:16" x14ac:dyDescent="0.25">
      <c r="A2171" t="s">
        <v>24567</v>
      </c>
      <c r="B2171" t="s">
        <v>3682</v>
      </c>
      <c r="C2171" t="s">
        <v>16451</v>
      </c>
      <c r="D2171" t="s">
        <v>3666</v>
      </c>
      <c r="E2171" t="s">
        <v>3667</v>
      </c>
      <c r="F2171" t="s">
        <v>2068</v>
      </c>
      <c r="G2171" t="s">
        <v>16231</v>
      </c>
      <c r="H2171" t="s">
        <v>47054</v>
      </c>
      <c r="I2171" t="s">
        <v>47111</v>
      </c>
      <c r="J2171" t="s">
        <v>47112</v>
      </c>
      <c r="K2171" t="s">
        <v>47113</v>
      </c>
      <c r="L2171">
        <v>41.74</v>
      </c>
      <c r="M2171">
        <v>74</v>
      </c>
      <c r="N2171">
        <v>0</v>
      </c>
      <c r="O2171">
        <v>74</v>
      </c>
      <c r="P2171">
        <v>0</v>
      </c>
    </row>
    <row r="2172" spans="1:16" x14ac:dyDescent="0.25">
      <c r="A2172" t="s">
        <v>24568</v>
      </c>
      <c r="B2172" t="s">
        <v>3683</v>
      </c>
      <c r="C2172" t="s">
        <v>3610</v>
      </c>
      <c r="D2172" t="s">
        <v>3674</v>
      </c>
      <c r="E2172" t="s">
        <v>3675</v>
      </c>
      <c r="F2172" t="s">
        <v>2068</v>
      </c>
      <c r="G2172" t="s">
        <v>16231</v>
      </c>
      <c r="H2172" t="s">
        <v>47054</v>
      </c>
      <c r="I2172" t="s">
        <v>47111</v>
      </c>
      <c r="J2172" t="s">
        <v>47112</v>
      </c>
      <c r="K2172" t="s">
        <v>47113</v>
      </c>
      <c r="L2172">
        <v>42.83</v>
      </c>
      <c r="M2172">
        <v>74</v>
      </c>
      <c r="N2172">
        <v>0</v>
      </c>
      <c r="O2172">
        <v>74</v>
      </c>
      <c r="P2172">
        <v>0</v>
      </c>
    </row>
    <row r="2173" spans="1:16" x14ac:dyDescent="0.25">
      <c r="A2173" t="s">
        <v>24569</v>
      </c>
      <c r="B2173" t="s">
        <v>3683</v>
      </c>
      <c r="C2173" t="s">
        <v>3610</v>
      </c>
      <c r="D2173" t="s">
        <v>311</v>
      </c>
      <c r="E2173" t="s">
        <v>3479</v>
      </c>
      <c r="F2173" t="s">
        <v>2068</v>
      </c>
      <c r="G2173" t="s">
        <v>16231</v>
      </c>
      <c r="H2173" t="s">
        <v>47054</v>
      </c>
      <c r="I2173" t="s">
        <v>47111</v>
      </c>
      <c r="J2173" t="s">
        <v>47112</v>
      </c>
      <c r="K2173" t="s">
        <v>47113</v>
      </c>
      <c r="L2173">
        <v>37.61</v>
      </c>
      <c r="M2173">
        <v>66</v>
      </c>
      <c r="N2173">
        <v>0</v>
      </c>
      <c r="O2173">
        <v>66</v>
      </c>
      <c r="P2173">
        <v>0</v>
      </c>
    </row>
    <row r="2174" spans="1:16" x14ac:dyDescent="0.25">
      <c r="A2174" t="s">
        <v>24570</v>
      </c>
      <c r="B2174" t="s">
        <v>3684</v>
      </c>
      <c r="C2174" t="s">
        <v>14190</v>
      </c>
      <c r="D2174" t="s">
        <v>3662</v>
      </c>
      <c r="E2174" t="s">
        <v>3663</v>
      </c>
      <c r="F2174" t="s">
        <v>2068</v>
      </c>
      <c r="G2174" t="s">
        <v>16231</v>
      </c>
      <c r="H2174" t="s">
        <v>47054</v>
      </c>
      <c r="I2174" t="s">
        <v>47111</v>
      </c>
      <c r="J2174" t="s">
        <v>47112</v>
      </c>
      <c r="K2174" t="s">
        <v>47113</v>
      </c>
      <c r="L2174">
        <v>39.79</v>
      </c>
      <c r="M2174">
        <v>95</v>
      </c>
      <c r="N2174">
        <v>0</v>
      </c>
      <c r="O2174">
        <v>95</v>
      </c>
      <c r="P2174">
        <v>0</v>
      </c>
    </row>
    <row r="2175" spans="1:16" x14ac:dyDescent="0.25">
      <c r="A2175" t="s">
        <v>24571</v>
      </c>
      <c r="B2175" t="s">
        <v>3684</v>
      </c>
      <c r="C2175" t="s">
        <v>14190</v>
      </c>
      <c r="D2175" t="s">
        <v>3664</v>
      </c>
      <c r="E2175" t="s">
        <v>3665</v>
      </c>
      <c r="F2175" t="s">
        <v>2068</v>
      </c>
      <c r="G2175" t="s">
        <v>16231</v>
      </c>
      <c r="H2175" t="s">
        <v>47054</v>
      </c>
      <c r="I2175" t="s">
        <v>47111</v>
      </c>
      <c r="J2175" t="s">
        <v>47112</v>
      </c>
      <c r="K2175" t="s">
        <v>47113</v>
      </c>
      <c r="L2175">
        <v>43.73</v>
      </c>
      <c r="M2175">
        <v>74</v>
      </c>
      <c r="N2175">
        <v>0</v>
      </c>
      <c r="O2175">
        <v>74</v>
      </c>
      <c r="P2175">
        <v>0</v>
      </c>
    </row>
    <row r="2176" spans="1:16" x14ac:dyDescent="0.25">
      <c r="A2176" t="s">
        <v>24572</v>
      </c>
      <c r="B2176" t="s">
        <v>3684</v>
      </c>
      <c r="C2176" t="s">
        <v>14190</v>
      </c>
      <c r="D2176" t="s">
        <v>3666</v>
      </c>
      <c r="E2176" t="s">
        <v>3667</v>
      </c>
      <c r="F2176" t="s">
        <v>2068</v>
      </c>
      <c r="G2176" t="s">
        <v>16231</v>
      </c>
      <c r="H2176" t="s">
        <v>47054</v>
      </c>
      <c r="I2176" t="s">
        <v>47111</v>
      </c>
      <c r="J2176" t="s">
        <v>47112</v>
      </c>
      <c r="K2176" t="s">
        <v>47113</v>
      </c>
      <c r="L2176">
        <v>39.72</v>
      </c>
      <c r="M2176">
        <v>74</v>
      </c>
      <c r="N2176">
        <v>0</v>
      </c>
      <c r="O2176">
        <v>74</v>
      </c>
      <c r="P2176">
        <v>0</v>
      </c>
    </row>
    <row r="2177" spans="1:16" x14ac:dyDescent="0.25">
      <c r="A2177" t="s">
        <v>24573</v>
      </c>
      <c r="B2177" t="s">
        <v>3685</v>
      </c>
      <c r="C2177" t="s">
        <v>3610</v>
      </c>
      <c r="D2177" t="s">
        <v>3686</v>
      </c>
      <c r="E2177" t="s">
        <v>3687</v>
      </c>
      <c r="F2177" t="s">
        <v>2068</v>
      </c>
      <c r="G2177" t="s">
        <v>16231</v>
      </c>
      <c r="H2177" t="s">
        <v>47054</v>
      </c>
      <c r="I2177" t="s">
        <v>47111</v>
      </c>
      <c r="J2177" t="s">
        <v>47112</v>
      </c>
      <c r="K2177" t="s">
        <v>47113</v>
      </c>
      <c r="L2177">
        <v>45.16</v>
      </c>
      <c r="M2177">
        <v>90</v>
      </c>
      <c r="N2177">
        <v>0</v>
      </c>
      <c r="O2177">
        <v>90</v>
      </c>
      <c r="P2177">
        <v>0</v>
      </c>
    </row>
    <row r="2178" spans="1:16" x14ac:dyDescent="0.25">
      <c r="A2178" t="s">
        <v>24574</v>
      </c>
      <c r="B2178" t="s">
        <v>3685</v>
      </c>
      <c r="C2178" t="s">
        <v>3610</v>
      </c>
      <c r="D2178" t="s">
        <v>3664</v>
      </c>
      <c r="E2178" t="s">
        <v>3665</v>
      </c>
      <c r="F2178" t="s">
        <v>2068</v>
      </c>
      <c r="G2178" t="s">
        <v>16231</v>
      </c>
      <c r="H2178" t="s">
        <v>47054</v>
      </c>
      <c r="I2178" t="s">
        <v>47111</v>
      </c>
      <c r="J2178" t="s">
        <v>47112</v>
      </c>
      <c r="K2178" t="s">
        <v>47113</v>
      </c>
      <c r="L2178">
        <v>38.869999999999997</v>
      </c>
      <c r="M2178">
        <v>74</v>
      </c>
      <c r="N2178">
        <v>0</v>
      </c>
      <c r="O2178">
        <v>74</v>
      </c>
      <c r="P2178">
        <v>0</v>
      </c>
    </row>
    <row r="2179" spans="1:16" x14ac:dyDescent="0.25">
      <c r="A2179" t="s">
        <v>24575</v>
      </c>
      <c r="B2179" t="s">
        <v>3685</v>
      </c>
      <c r="C2179" t="s">
        <v>3610</v>
      </c>
      <c r="D2179" t="s">
        <v>3674</v>
      </c>
      <c r="E2179" t="s">
        <v>3675</v>
      </c>
      <c r="F2179" t="s">
        <v>2068</v>
      </c>
      <c r="G2179" t="s">
        <v>16231</v>
      </c>
      <c r="H2179" t="s">
        <v>47054</v>
      </c>
      <c r="I2179" t="s">
        <v>47111</v>
      </c>
      <c r="J2179" t="s">
        <v>47112</v>
      </c>
      <c r="K2179" t="s">
        <v>47113</v>
      </c>
      <c r="L2179">
        <v>38.869999999999997</v>
      </c>
      <c r="M2179">
        <v>74</v>
      </c>
      <c r="N2179">
        <v>0</v>
      </c>
      <c r="O2179">
        <v>74</v>
      </c>
      <c r="P2179">
        <v>0</v>
      </c>
    </row>
    <row r="2180" spans="1:16" x14ac:dyDescent="0.25">
      <c r="A2180" t="s">
        <v>24576</v>
      </c>
      <c r="B2180" t="s">
        <v>3685</v>
      </c>
      <c r="C2180" t="s">
        <v>3610</v>
      </c>
      <c r="D2180" t="s">
        <v>3666</v>
      </c>
      <c r="E2180" t="s">
        <v>3667</v>
      </c>
      <c r="F2180" t="s">
        <v>3670</v>
      </c>
      <c r="G2180" t="s">
        <v>16231</v>
      </c>
      <c r="H2180" t="s">
        <v>47054</v>
      </c>
      <c r="I2180" t="s">
        <v>47111</v>
      </c>
      <c r="J2180" t="s">
        <v>47112</v>
      </c>
      <c r="K2180" t="s">
        <v>47113</v>
      </c>
      <c r="L2180">
        <v>40.94</v>
      </c>
      <c r="M2180">
        <v>74</v>
      </c>
      <c r="N2180">
        <v>0</v>
      </c>
      <c r="O2180">
        <v>74</v>
      </c>
      <c r="P2180">
        <v>0</v>
      </c>
    </row>
    <row r="2181" spans="1:16" x14ac:dyDescent="0.25">
      <c r="A2181" t="s">
        <v>24577</v>
      </c>
      <c r="B2181" t="s">
        <v>3688</v>
      </c>
      <c r="C2181" t="s">
        <v>3610</v>
      </c>
      <c r="D2181" t="s">
        <v>3674</v>
      </c>
      <c r="E2181" t="s">
        <v>3675</v>
      </c>
      <c r="F2181" t="s">
        <v>2068</v>
      </c>
      <c r="G2181" t="s">
        <v>16231</v>
      </c>
      <c r="H2181" t="s">
        <v>47054</v>
      </c>
      <c r="I2181" t="s">
        <v>47111</v>
      </c>
      <c r="J2181" t="s">
        <v>47112</v>
      </c>
      <c r="K2181" t="s">
        <v>47113</v>
      </c>
      <c r="L2181">
        <v>40.880000000000003</v>
      </c>
      <c r="M2181">
        <v>85</v>
      </c>
      <c r="N2181">
        <v>0</v>
      </c>
      <c r="O2181">
        <v>85</v>
      </c>
      <c r="P2181">
        <v>0</v>
      </c>
    </row>
    <row r="2182" spans="1:16" x14ac:dyDescent="0.25">
      <c r="A2182" t="s">
        <v>24578</v>
      </c>
      <c r="B2182" t="s">
        <v>3688</v>
      </c>
      <c r="C2182" t="s">
        <v>3610</v>
      </c>
      <c r="D2182" t="s">
        <v>311</v>
      </c>
      <c r="E2182" t="s">
        <v>3479</v>
      </c>
      <c r="F2182" t="s">
        <v>2068</v>
      </c>
      <c r="G2182" t="s">
        <v>16231</v>
      </c>
      <c r="H2182" t="s">
        <v>47054</v>
      </c>
      <c r="I2182" t="s">
        <v>47111</v>
      </c>
      <c r="J2182" t="s">
        <v>47112</v>
      </c>
      <c r="K2182" t="s">
        <v>47113</v>
      </c>
      <c r="L2182">
        <v>34.450000000000003</v>
      </c>
      <c r="M2182">
        <v>66</v>
      </c>
      <c r="N2182">
        <v>0</v>
      </c>
      <c r="O2182">
        <v>66</v>
      </c>
      <c r="P2182">
        <v>0</v>
      </c>
    </row>
    <row r="2183" spans="1:16" x14ac:dyDescent="0.25">
      <c r="A2183" t="s">
        <v>24579</v>
      </c>
      <c r="B2183" t="s">
        <v>14616</v>
      </c>
      <c r="C2183" t="s">
        <v>16238</v>
      </c>
      <c r="D2183" t="s">
        <v>3680</v>
      </c>
      <c r="E2183" t="s">
        <v>3681</v>
      </c>
      <c r="F2183" t="s">
        <v>3558</v>
      </c>
      <c r="G2183" t="s">
        <v>16231</v>
      </c>
      <c r="H2183" t="s">
        <v>47054</v>
      </c>
      <c r="I2183" t="s">
        <v>47111</v>
      </c>
      <c r="J2183" t="s">
        <v>47112</v>
      </c>
      <c r="K2183" t="s">
        <v>47113</v>
      </c>
      <c r="L2183">
        <v>45.04</v>
      </c>
      <c r="M2183">
        <v>74</v>
      </c>
      <c r="N2183">
        <v>0</v>
      </c>
      <c r="O2183">
        <v>74</v>
      </c>
      <c r="P2183">
        <v>0</v>
      </c>
    </row>
    <row r="2184" spans="1:16" x14ac:dyDescent="0.25">
      <c r="A2184" t="s">
        <v>24580</v>
      </c>
      <c r="B2184" t="s">
        <v>3689</v>
      </c>
      <c r="C2184" t="s">
        <v>14191</v>
      </c>
      <c r="D2184" t="s">
        <v>3671</v>
      </c>
      <c r="E2184" t="s">
        <v>3672</v>
      </c>
      <c r="F2184" t="s">
        <v>2068</v>
      </c>
      <c r="G2184" t="s">
        <v>16231</v>
      </c>
      <c r="H2184" t="s">
        <v>47054</v>
      </c>
      <c r="I2184" t="s">
        <v>47111</v>
      </c>
      <c r="J2184" t="s">
        <v>47112</v>
      </c>
      <c r="K2184" t="s">
        <v>47113</v>
      </c>
      <c r="L2184">
        <v>41.84</v>
      </c>
      <c r="M2184">
        <v>74</v>
      </c>
      <c r="N2184">
        <v>0</v>
      </c>
      <c r="O2184">
        <v>74</v>
      </c>
      <c r="P2184">
        <v>0</v>
      </c>
    </row>
    <row r="2185" spans="1:16" x14ac:dyDescent="0.25">
      <c r="A2185" t="s">
        <v>24581</v>
      </c>
      <c r="B2185" t="s">
        <v>3689</v>
      </c>
      <c r="C2185" t="s">
        <v>14191</v>
      </c>
      <c r="D2185" t="s">
        <v>3664</v>
      </c>
      <c r="E2185" t="s">
        <v>3665</v>
      </c>
      <c r="F2185" t="s">
        <v>3670</v>
      </c>
      <c r="G2185" t="s">
        <v>16231</v>
      </c>
      <c r="H2185" t="s">
        <v>47054</v>
      </c>
      <c r="I2185" t="s">
        <v>47111</v>
      </c>
      <c r="J2185" t="s">
        <v>47112</v>
      </c>
      <c r="K2185" t="s">
        <v>47113</v>
      </c>
      <c r="L2185">
        <v>40.880000000000003</v>
      </c>
      <c r="M2185">
        <v>74</v>
      </c>
      <c r="N2185">
        <v>0</v>
      </c>
      <c r="O2185">
        <v>74</v>
      </c>
      <c r="P2185">
        <v>0</v>
      </c>
    </row>
    <row r="2186" spans="1:16" x14ac:dyDescent="0.25">
      <c r="A2186" t="s">
        <v>24582</v>
      </c>
      <c r="B2186" t="s">
        <v>3690</v>
      </c>
      <c r="C2186" t="s">
        <v>14192</v>
      </c>
      <c r="D2186" t="s">
        <v>311</v>
      </c>
      <c r="E2186" t="s">
        <v>3479</v>
      </c>
      <c r="F2186" t="s">
        <v>2068</v>
      </c>
      <c r="G2186" t="s">
        <v>16231</v>
      </c>
      <c r="H2186" t="s">
        <v>47054</v>
      </c>
      <c r="I2186" t="s">
        <v>47111</v>
      </c>
      <c r="J2186" t="s">
        <v>47112</v>
      </c>
      <c r="K2186" t="s">
        <v>47113</v>
      </c>
      <c r="L2186">
        <v>35.659999999999997</v>
      </c>
      <c r="M2186">
        <v>66</v>
      </c>
      <c r="N2186">
        <v>0</v>
      </c>
      <c r="O2186">
        <v>66</v>
      </c>
      <c r="P2186">
        <v>0</v>
      </c>
    </row>
    <row r="2187" spans="1:16" x14ac:dyDescent="0.25">
      <c r="A2187" t="s">
        <v>24583</v>
      </c>
      <c r="B2187" t="s">
        <v>3691</v>
      </c>
      <c r="C2187" t="s">
        <v>3692</v>
      </c>
      <c r="D2187" t="s">
        <v>3671</v>
      </c>
      <c r="E2187" t="s">
        <v>3672</v>
      </c>
      <c r="F2187" t="s">
        <v>3670</v>
      </c>
      <c r="G2187" t="s">
        <v>16224</v>
      </c>
      <c r="H2187" t="s">
        <v>47054</v>
      </c>
      <c r="I2187" t="s">
        <v>47116</v>
      </c>
      <c r="J2187" t="s">
        <v>47117</v>
      </c>
      <c r="K2187" t="s">
        <v>47113</v>
      </c>
      <c r="L2187">
        <v>48.71</v>
      </c>
      <c r="M2187">
        <v>92</v>
      </c>
      <c r="N2187">
        <v>0</v>
      </c>
      <c r="O2187">
        <v>92</v>
      </c>
      <c r="P2187">
        <v>0</v>
      </c>
    </row>
    <row r="2188" spans="1:16" x14ac:dyDescent="0.25">
      <c r="A2188" t="s">
        <v>14860</v>
      </c>
      <c r="B2188" t="s">
        <v>3693</v>
      </c>
      <c r="C2188" t="s">
        <v>3694</v>
      </c>
      <c r="D2188" t="s">
        <v>3695</v>
      </c>
      <c r="E2188" t="s">
        <v>3696</v>
      </c>
      <c r="F2188" t="s">
        <v>3546</v>
      </c>
      <c r="G2188" t="s">
        <v>16231</v>
      </c>
      <c r="H2188" t="s">
        <v>47054</v>
      </c>
      <c r="I2188" t="s">
        <v>47111</v>
      </c>
      <c r="J2188" t="s">
        <v>47112</v>
      </c>
      <c r="K2188" t="s">
        <v>47113</v>
      </c>
      <c r="L2188">
        <v>64.83</v>
      </c>
      <c r="M2188">
        <v>134</v>
      </c>
      <c r="N2188">
        <v>0</v>
      </c>
      <c r="O2188">
        <v>134</v>
      </c>
      <c r="P2188">
        <v>0</v>
      </c>
    </row>
    <row r="2189" spans="1:16" x14ac:dyDescent="0.25">
      <c r="A2189" t="s">
        <v>14861</v>
      </c>
      <c r="B2189" t="s">
        <v>3693</v>
      </c>
      <c r="C2189" t="s">
        <v>3694</v>
      </c>
      <c r="D2189" t="s">
        <v>3697</v>
      </c>
      <c r="E2189" t="s">
        <v>3698</v>
      </c>
      <c r="F2189" t="s">
        <v>3546</v>
      </c>
      <c r="G2189" t="s">
        <v>16231</v>
      </c>
      <c r="H2189" t="s">
        <v>47054</v>
      </c>
      <c r="I2189" t="s">
        <v>47111</v>
      </c>
      <c r="J2189" t="s">
        <v>47112</v>
      </c>
      <c r="K2189" t="s">
        <v>47113</v>
      </c>
      <c r="L2189">
        <v>64.83</v>
      </c>
      <c r="M2189">
        <v>134</v>
      </c>
      <c r="N2189">
        <v>0</v>
      </c>
      <c r="O2189">
        <v>134</v>
      </c>
      <c r="P2189">
        <v>0</v>
      </c>
    </row>
    <row r="2190" spans="1:16" x14ac:dyDescent="0.25">
      <c r="A2190" t="s">
        <v>24584</v>
      </c>
      <c r="B2190" t="s">
        <v>3699</v>
      </c>
      <c r="C2190" t="s">
        <v>3700</v>
      </c>
      <c r="D2190" t="s">
        <v>3701</v>
      </c>
      <c r="E2190" t="s">
        <v>3702</v>
      </c>
      <c r="F2190" t="s">
        <v>3546</v>
      </c>
      <c r="G2190" t="s">
        <v>16231</v>
      </c>
      <c r="H2190" t="s">
        <v>47054</v>
      </c>
      <c r="I2190" t="s">
        <v>47111</v>
      </c>
      <c r="J2190" t="s">
        <v>47112</v>
      </c>
      <c r="K2190" t="s">
        <v>47113</v>
      </c>
      <c r="L2190">
        <v>52.3</v>
      </c>
      <c r="M2190">
        <v>99</v>
      </c>
      <c r="N2190">
        <v>0</v>
      </c>
      <c r="O2190">
        <v>99</v>
      </c>
      <c r="P2190">
        <v>0</v>
      </c>
    </row>
    <row r="2191" spans="1:16" x14ac:dyDescent="0.25">
      <c r="A2191" t="s">
        <v>24585</v>
      </c>
      <c r="B2191" t="s">
        <v>3699</v>
      </c>
      <c r="C2191" t="s">
        <v>3700</v>
      </c>
      <c r="D2191" t="s">
        <v>3703</v>
      </c>
      <c r="E2191" t="s">
        <v>3704</v>
      </c>
      <c r="F2191" t="s">
        <v>3546</v>
      </c>
      <c r="G2191" t="s">
        <v>16231</v>
      </c>
      <c r="H2191" t="s">
        <v>47054</v>
      </c>
      <c r="I2191" t="s">
        <v>47111</v>
      </c>
      <c r="J2191" t="s">
        <v>47112</v>
      </c>
      <c r="K2191" t="s">
        <v>47113</v>
      </c>
      <c r="L2191">
        <v>52.04</v>
      </c>
      <c r="M2191">
        <v>99</v>
      </c>
      <c r="N2191">
        <v>0</v>
      </c>
      <c r="O2191">
        <v>99</v>
      </c>
      <c r="P2191">
        <v>0</v>
      </c>
    </row>
    <row r="2192" spans="1:16" x14ac:dyDescent="0.25">
      <c r="A2192" t="s">
        <v>14862</v>
      </c>
      <c r="B2192" t="s">
        <v>3705</v>
      </c>
      <c r="C2192" t="s">
        <v>3706</v>
      </c>
      <c r="D2192" t="s">
        <v>3695</v>
      </c>
      <c r="E2192" t="s">
        <v>3696</v>
      </c>
      <c r="F2192" t="s">
        <v>3546</v>
      </c>
      <c r="G2192" t="s">
        <v>16231</v>
      </c>
      <c r="H2192" t="s">
        <v>47054</v>
      </c>
      <c r="I2192" t="s">
        <v>47111</v>
      </c>
      <c r="J2192" t="s">
        <v>47112</v>
      </c>
      <c r="K2192" t="s">
        <v>47113</v>
      </c>
      <c r="L2192">
        <v>62.63</v>
      </c>
      <c r="M2192">
        <v>134</v>
      </c>
      <c r="N2192">
        <v>0</v>
      </c>
      <c r="O2192">
        <v>134</v>
      </c>
      <c r="P2192">
        <v>0</v>
      </c>
    </row>
    <row r="2193" spans="1:16" x14ac:dyDescent="0.25">
      <c r="A2193" t="s">
        <v>24586</v>
      </c>
      <c r="B2193" t="s">
        <v>3705</v>
      </c>
      <c r="C2193" t="s">
        <v>3706</v>
      </c>
      <c r="D2193" t="s">
        <v>3697</v>
      </c>
      <c r="E2193" t="s">
        <v>3698</v>
      </c>
      <c r="F2193" t="s">
        <v>3546</v>
      </c>
      <c r="G2193" t="s">
        <v>16231</v>
      </c>
      <c r="H2193" t="s">
        <v>47054</v>
      </c>
      <c r="I2193" t="s">
        <v>47111</v>
      </c>
      <c r="J2193" t="s">
        <v>47112</v>
      </c>
      <c r="K2193" t="s">
        <v>47113</v>
      </c>
      <c r="L2193">
        <v>62.63</v>
      </c>
      <c r="M2193">
        <v>134</v>
      </c>
      <c r="N2193">
        <v>0</v>
      </c>
      <c r="O2193">
        <v>134</v>
      </c>
      <c r="P2193">
        <v>0</v>
      </c>
    </row>
    <row r="2194" spans="1:16" x14ac:dyDescent="0.25">
      <c r="A2194" t="s">
        <v>24587</v>
      </c>
      <c r="B2194" t="s">
        <v>3707</v>
      </c>
      <c r="C2194" t="s">
        <v>3708</v>
      </c>
      <c r="D2194" t="s">
        <v>3701</v>
      </c>
      <c r="E2194" t="s">
        <v>3702</v>
      </c>
      <c r="F2194" t="s">
        <v>3546</v>
      </c>
      <c r="G2194" t="s">
        <v>16231</v>
      </c>
      <c r="H2194" t="s">
        <v>47054</v>
      </c>
      <c r="I2194" t="s">
        <v>47111</v>
      </c>
      <c r="J2194" t="s">
        <v>47112</v>
      </c>
      <c r="K2194" t="s">
        <v>47113</v>
      </c>
      <c r="L2194">
        <v>52.34</v>
      </c>
      <c r="M2194">
        <v>99</v>
      </c>
      <c r="N2194">
        <v>0</v>
      </c>
      <c r="O2194">
        <v>99</v>
      </c>
      <c r="P2194">
        <v>0</v>
      </c>
    </row>
    <row r="2195" spans="1:16" x14ac:dyDescent="0.25">
      <c r="A2195" t="s">
        <v>24588</v>
      </c>
      <c r="B2195" t="s">
        <v>3707</v>
      </c>
      <c r="C2195" t="s">
        <v>3708</v>
      </c>
      <c r="D2195" t="s">
        <v>3703</v>
      </c>
      <c r="E2195" t="s">
        <v>3704</v>
      </c>
      <c r="F2195" t="s">
        <v>3546</v>
      </c>
      <c r="G2195" t="s">
        <v>16231</v>
      </c>
      <c r="H2195" t="s">
        <v>47054</v>
      </c>
      <c r="I2195" t="s">
        <v>47111</v>
      </c>
      <c r="J2195" t="s">
        <v>47112</v>
      </c>
      <c r="K2195" t="s">
        <v>47113</v>
      </c>
      <c r="L2195">
        <v>52.08</v>
      </c>
      <c r="M2195">
        <v>99</v>
      </c>
      <c r="N2195">
        <v>0</v>
      </c>
      <c r="O2195">
        <v>99</v>
      </c>
      <c r="P2195">
        <v>0</v>
      </c>
    </row>
    <row r="2196" spans="1:16" x14ac:dyDescent="0.25">
      <c r="A2196" t="s">
        <v>24589</v>
      </c>
      <c r="B2196" t="s">
        <v>3709</v>
      </c>
      <c r="C2196" t="s">
        <v>3710</v>
      </c>
      <c r="D2196" t="s">
        <v>3695</v>
      </c>
      <c r="E2196" t="s">
        <v>3696</v>
      </c>
      <c r="F2196" t="s">
        <v>3546</v>
      </c>
      <c r="G2196" t="s">
        <v>16224</v>
      </c>
      <c r="H2196" t="s">
        <v>47054</v>
      </c>
      <c r="I2196" t="s">
        <v>47116</v>
      </c>
      <c r="J2196" t="s">
        <v>47117</v>
      </c>
      <c r="K2196" t="s">
        <v>47113</v>
      </c>
      <c r="L2196">
        <v>54.17</v>
      </c>
      <c r="M2196">
        <v>113</v>
      </c>
      <c r="N2196">
        <v>0</v>
      </c>
      <c r="O2196">
        <v>113</v>
      </c>
      <c r="P2196">
        <v>0</v>
      </c>
    </row>
    <row r="2197" spans="1:16" x14ac:dyDescent="0.25">
      <c r="A2197" t="s">
        <v>24590</v>
      </c>
      <c r="B2197" t="s">
        <v>3711</v>
      </c>
      <c r="C2197" t="s">
        <v>3712</v>
      </c>
      <c r="D2197" t="s">
        <v>3713</v>
      </c>
      <c r="E2197" t="s">
        <v>3714</v>
      </c>
      <c r="F2197" t="s">
        <v>3670</v>
      </c>
      <c r="G2197" t="s">
        <v>16231</v>
      </c>
      <c r="H2197" t="s">
        <v>47054</v>
      </c>
      <c r="I2197" t="s">
        <v>47111</v>
      </c>
      <c r="J2197" t="s">
        <v>47112</v>
      </c>
      <c r="K2197" t="s">
        <v>47113</v>
      </c>
      <c r="L2197">
        <v>94.11</v>
      </c>
      <c r="M2197">
        <v>137</v>
      </c>
      <c r="N2197">
        <v>0</v>
      </c>
      <c r="O2197">
        <v>137</v>
      </c>
      <c r="P2197">
        <v>0</v>
      </c>
    </row>
    <row r="2198" spans="1:16" x14ac:dyDescent="0.25">
      <c r="A2198" t="s">
        <v>24591</v>
      </c>
      <c r="B2198" t="s">
        <v>3715</v>
      </c>
      <c r="C2198" t="s">
        <v>3716</v>
      </c>
      <c r="D2198" t="s">
        <v>3717</v>
      </c>
      <c r="E2198" t="s">
        <v>3718</v>
      </c>
      <c r="F2198" t="s">
        <v>3546</v>
      </c>
      <c r="G2198" t="s">
        <v>16231</v>
      </c>
      <c r="H2198" t="s">
        <v>47054</v>
      </c>
      <c r="I2198" t="s">
        <v>47111</v>
      </c>
      <c r="J2198" t="s">
        <v>47112</v>
      </c>
      <c r="K2198" t="s">
        <v>47113</v>
      </c>
      <c r="L2198">
        <v>41.3</v>
      </c>
      <c r="M2198">
        <v>102</v>
      </c>
      <c r="N2198">
        <v>0</v>
      </c>
      <c r="O2198">
        <v>102</v>
      </c>
      <c r="P2198">
        <v>0</v>
      </c>
    </row>
    <row r="2199" spans="1:16" x14ac:dyDescent="0.25">
      <c r="A2199" t="s">
        <v>24592</v>
      </c>
      <c r="B2199" t="s">
        <v>3715</v>
      </c>
      <c r="C2199" t="s">
        <v>3716</v>
      </c>
      <c r="D2199" t="s">
        <v>3719</v>
      </c>
      <c r="E2199" t="s">
        <v>3720</v>
      </c>
      <c r="F2199" t="s">
        <v>3546</v>
      </c>
      <c r="G2199" t="s">
        <v>16231</v>
      </c>
      <c r="H2199" t="s">
        <v>47054</v>
      </c>
      <c r="I2199" t="s">
        <v>47111</v>
      </c>
      <c r="J2199" t="s">
        <v>47112</v>
      </c>
      <c r="K2199" t="s">
        <v>47113</v>
      </c>
      <c r="L2199">
        <v>47.08</v>
      </c>
      <c r="M2199">
        <v>116</v>
      </c>
      <c r="N2199">
        <v>0</v>
      </c>
      <c r="O2199">
        <v>116</v>
      </c>
      <c r="P2199">
        <v>0</v>
      </c>
    </row>
    <row r="2200" spans="1:16" x14ac:dyDescent="0.25">
      <c r="A2200" t="s">
        <v>24593</v>
      </c>
      <c r="B2200" t="s">
        <v>3715</v>
      </c>
      <c r="C2200" t="s">
        <v>3716</v>
      </c>
      <c r="D2200" t="s">
        <v>3721</v>
      </c>
      <c r="E2200" t="s">
        <v>3722</v>
      </c>
      <c r="F2200" t="s">
        <v>3546</v>
      </c>
      <c r="G2200" t="s">
        <v>16231</v>
      </c>
      <c r="H2200" t="s">
        <v>47054</v>
      </c>
      <c r="I2200" t="s">
        <v>47111</v>
      </c>
      <c r="J2200" t="s">
        <v>47112</v>
      </c>
      <c r="K2200" t="s">
        <v>47113</v>
      </c>
      <c r="L2200">
        <v>53.92</v>
      </c>
      <c r="M2200">
        <v>88</v>
      </c>
      <c r="N2200">
        <v>0</v>
      </c>
      <c r="O2200">
        <v>88</v>
      </c>
      <c r="P2200">
        <v>0</v>
      </c>
    </row>
    <row r="2201" spans="1:16" x14ac:dyDescent="0.25">
      <c r="A2201" t="s">
        <v>24594</v>
      </c>
      <c r="B2201" t="s">
        <v>3723</v>
      </c>
      <c r="C2201" t="s">
        <v>3724</v>
      </c>
      <c r="D2201" t="s">
        <v>3725</v>
      </c>
      <c r="E2201" t="s">
        <v>3726</v>
      </c>
      <c r="F2201" t="s">
        <v>3670</v>
      </c>
      <c r="G2201" t="s">
        <v>16231</v>
      </c>
      <c r="H2201" t="s">
        <v>47054</v>
      </c>
      <c r="I2201" t="s">
        <v>47111</v>
      </c>
      <c r="J2201" t="s">
        <v>47112</v>
      </c>
      <c r="K2201" t="s">
        <v>47113</v>
      </c>
      <c r="L2201">
        <v>70.75</v>
      </c>
      <c r="M2201">
        <v>111</v>
      </c>
      <c r="N2201">
        <v>0</v>
      </c>
      <c r="O2201">
        <v>111</v>
      </c>
      <c r="P2201">
        <v>0</v>
      </c>
    </row>
    <row r="2202" spans="1:16" x14ac:dyDescent="0.25">
      <c r="A2202" t="s">
        <v>24595</v>
      </c>
      <c r="B2202" t="s">
        <v>3727</v>
      </c>
      <c r="C2202" t="s">
        <v>3728</v>
      </c>
      <c r="D2202" t="s">
        <v>3717</v>
      </c>
      <c r="E2202" t="s">
        <v>3718</v>
      </c>
      <c r="F2202" t="s">
        <v>3546</v>
      </c>
      <c r="G2202" t="s">
        <v>16231</v>
      </c>
      <c r="H2202" t="s">
        <v>47054</v>
      </c>
      <c r="I2202" t="s">
        <v>47111</v>
      </c>
      <c r="J2202" t="s">
        <v>47112</v>
      </c>
      <c r="K2202" t="s">
        <v>47113</v>
      </c>
      <c r="L2202">
        <v>41.74</v>
      </c>
      <c r="M2202">
        <v>103</v>
      </c>
      <c r="N2202">
        <v>0</v>
      </c>
      <c r="O2202">
        <v>103</v>
      </c>
      <c r="P2202">
        <v>0</v>
      </c>
    </row>
    <row r="2203" spans="1:16" x14ac:dyDescent="0.25">
      <c r="A2203" t="s">
        <v>24596</v>
      </c>
      <c r="B2203" t="s">
        <v>3727</v>
      </c>
      <c r="C2203" t="s">
        <v>3728</v>
      </c>
      <c r="D2203" t="s">
        <v>3719</v>
      </c>
      <c r="E2203" t="s">
        <v>3720</v>
      </c>
      <c r="F2203" t="s">
        <v>3546</v>
      </c>
      <c r="G2203" t="s">
        <v>16231</v>
      </c>
      <c r="H2203" t="s">
        <v>47054</v>
      </c>
      <c r="I2203" t="s">
        <v>47111</v>
      </c>
      <c r="J2203" t="s">
        <v>47112</v>
      </c>
      <c r="K2203" t="s">
        <v>47113</v>
      </c>
      <c r="L2203">
        <v>47.53</v>
      </c>
      <c r="M2203">
        <v>117</v>
      </c>
      <c r="N2203">
        <v>0</v>
      </c>
      <c r="O2203">
        <v>117</v>
      </c>
      <c r="P2203">
        <v>0</v>
      </c>
    </row>
    <row r="2204" spans="1:16" x14ac:dyDescent="0.25">
      <c r="A2204" t="s">
        <v>24597</v>
      </c>
      <c r="B2204" t="s">
        <v>3727</v>
      </c>
      <c r="C2204" t="s">
        <v>3728</v>
      </c>
      <c r="D2204" t="s">
        <v>3721</v>
      </c>
      <c r="E2204" t="s">
        <v>3722</v>
      </c>
      <c r="F2204" t="s">
        <v>3546</v>
      </c>
      <c r="G2204" t="s">
        <v>16231</v>
      </c>
      <c r="H2204" t="s">
        <v>47054</v>
      </c>
      <c r="I2204" t="s">
        <v>47111</v>
      </c>
      <c r="J2204" t="s">
        <v>47112</v>
      </c>
      <c r="K2204" t="s">
        <v>47113</v>
      </c>
      <c r="L2204">
        <v>54.38</v>
      </c>
      <c r="M2204">
        <v>134</v>
      </c>
      <c r="N2204">
        <v>0</v>
      </c>
      <c r="O2204">
        <v>134</v>
      </c>
      <c r="P2204">
        <v>0</v>
      </c>
    </row>
    <row r="2205" spans="1:16" x14ac:dyDescent="0.25">
      <c r="A2205" t="s">
        <v>24598</v>
      </c>
      <c r="B2205" t="s">
        <v>3729</v>
      </c>
      <c r="C2205" t="s">
        <v>3730</v>
      </c>
      <c r="D2205" t="s">
        <v>3731</v>
      </c>
      <c r="E2205" t="s">
        <v>3732</v>
      </c>
      <c r="F2205" t="s">
        <v>3546</v>
      </c>
      <c r="G2205" t="s">
        <v>16231</v>
      </c>
      <c r="H2205" t="s">
        <v>47054</v>
      </c>
      <c r="I2205" t="s">
        <v>47111</v>
      </c>
      <c r="J2205" t="s">
        <v>47112</v>
      </c>
      <c r="K2205" t="s">
        <v>47113</v>
      </c>
      <c r="L2205">
        <v>41.84</v>
      </c>
      <c r="M2205">
        <v>88</v>
      </c>
      <c r="N2205">
        <v>0</v>
      </c>
      <c r="O2205">
        <v>88</v>
      </c>
      <c r="P2205">
        <v>0</v>
      </c>
    </row>
    <row r="2206" spans="1:16" x14ac:dyDescent="0.25">
      <c r="A2206" t="s">
        <v>24599</v>
      </c>
      <c r="B2206" t="s">
        <v>3733</v>
      </c>
      <c r="C2206" t="s">
        <v>3734</v>
      </c>
      <c r="D2206" t="s">
        <v>3731</v>
      </c>
      <c r="E2206" t="s">
        <v>3732</v>
      </c>
      <c r="F2206" t="s">
        <v>3546</v>
      </c>
      <c r="G2206" t="s">
        <v>16231</v>
      </c>
      <c r="H2206" t="s">
        <v>47054</v>
      </c>
      <c r="I2206" t="s">
        <v>47111</v>
      </c>
      <c r="J2206" t="s">
        <v>47112</v>
      </c>
      <c r="K2206" t="s">
        <v>47113</v>
      </c>
      <c r="L2206">
        <v>42.19</v>
      </c>
      <c r="M2206">
        <v>88</v>
      </c>
      <c r="N2206">
        <v>0</v>
      </c>
      <c r="O2206">
        <v>88</v>
      </c>
      <c r="P2206">
        <v>0</v>
      </c>
    </row>
    <row r="2207" spans="1:16" x14ac:dyDescent="0.25">
      <c r="A2207" t="s">
        <v>24600</v>
      </c>
      <c r="B2207" t="s">
        <v>3735</v>
      </c>
      <c r="C2207" t="s">
        <v>3736</v>
      </c>
      <c r="D2207" t="s">
        <v>3731</v>
      </c>
      <c r="E2207" t="s">
        <v>3732</v>
      </c>
      <c r="F2207" t="s">
        <v>3546</v>
      </c>
      <c r="G2207" t="s">
        <v>16224</v>
      </c>
      <c r="H2207" t="s">
        <v>47054</v>
      </c>
      <c r="I2207" t="s">
        <v>47116</v>
      </c>
      <c r="J2207" t="s">
        <v>47117</v>
      </c>
      <c r="K2207" t="s">
        <v>47113</v>
      </c>
      <c r="L2207">
        <v>43.8</v>
      </c>
      <c r="M2207">
        <v>84</v>
      </c>
      <c r="N2207">
        <v>0</v>
      </c>
      <c r="O2207">
        <v>84</v>
      </c>
      <c r="P2207">
        <v>0</v>
      </c>
    </row>
    <row r="2208" spans="1:16" x14ac:dyDescent="0.25">
      <c r="A2208" t="s">
        <v>24601</v>
      </c>
      <c r="B2208" t="s">
        <v>3737</v>
      </c>
      <c r="C2208" t="s">
        <v>3738</v>
      </c>
      <c r="D2208" t="s">
        <v>3731</v>
      </c>
      <c r="E2208" t="s">
        <v>3732</v>
      </c>
      <c r="F2208" t="s">
        <v>3546</v>
      </c>
      <c r="G2208" t="s">
        <v>16224</v>
      </c>
      <c r="H2208" t="s">
        <v>47054</v>
      </c>
      <c r="I2208" t="s">
        <v>47116</v>
      </c>
      <c r="J2208" t="s">
        <v>47117</v>
      </c>
      <c r="K2208" t="s">
        <v>47113</v>
      </c>
      <c r="L2208">
        <v>43.98</v>
      </c>
      <c r="M2208">
        <v>84</v>
      </c>
      <c r="N2208">
        <v>0</v>
      </c>
      <c r="O2208">
        <v>84</v>
      </c>
      <c r="P2208">
        <v>0</v>
      </c>
    </row>
    <row r="2209" spans="1:16" x14ac:dyDescent="0.25">
      <c r="A2209" t="s">
        <v>16452</v>
      </c>
      <c r="B2209" t="s">
        <v>3739</v>
      </c>
      <c r="C2209" t="s">
        <v>3740</v>
      </c>
      <c r="D2209" t="str">
        <f>"01"</f>
        <v>01</v>
      </c>
      <c r="E2209" t="s">
        <v>2070</v>
      </c>
      <c r="F2209" t="s">
        <v>3546</v>
      </c>
      <c r="G2209" t="s">
        <v>16234</v>
      </c>
      <c r="H2209" t="s">
        <v>47054</v>
      </c>
      <c r="I2209" t="s">
        <v>47118</v>
      </c>
      <c r="J2209" t="s">
        <v>47119</v>
      </c>
      <c r="K2209" t="s">
        <v>47113</v>
      </c>
      <c r="L2209">
        <v>208.48</v>
      </c>
      <c r="M2209">
        <v>513</v>
      </c>
      <c r="N2209">
        <v>0</v>
      </c>
      <c r="O2209">
        <v>513</v>
      </c>
      <c r="P2209">
        <v>0</v>
      </c>
    </row>
    <row r="2210" spans="1:16" x14ac:dyDescent="0.25">
      <c r="A2210" t="s">
        <v>24602</v>
      </c>
      <c r="B2210" t="s">
        <v>19540</v>
      </c>
      <c r="C2210" t="s">
        <v>19541</v>
      </c>
      <c r="D2210" t="str">
        <f>"1700"</f>
        <v>1700</v>
      </c>
      <c r="E2210" t="s">
        <v>60</v>
      </c>
      <c r="F2210" t="s">
        <v>3750</v>
      </c>
      <c r="G2210" t="s">
        <v>16221</v>
      </c>
      <c r="H2210" t="s">
        <v>47054</v>
      </c>
      <c r="I2210" t="s">
        <v>47154</v>
      </c>
      <c r="J2210" t="s">
        <v>47155</v>
      </c>
      <c r="K2210" t="s">
        <v>47113</v>
      </c>
      <c r="L2210">
        <v>6.14</v>
      </c>
      <c r="M2210">
        <v>26</v>
      </c>
      <c r="N2210">
        <v>0</v>
      </c>
      <c r="O2210">
        <v>26</v>
      </c>
      <c r="P2210">
        <v>0</v>
      </c>
    </row>
    <row r="2211" spans="1:16" x14ac:dyDescent="0.25">
      <c r="A2211" t="s">
        <v>24603</v>
      </c>
      <c r="B2211" t="s">
        <v>19540</v>
      </c>
      <c r="C2211" t="s">
        <v>19541</v>
      </c>
      <c r="D2211" t="str">
        <f>"4100"</f>
        <v>4100</v>
      </c>
      <c r="E2211" t="s">
        <v>17644</v>
      </c>
      <c r="F2211" t="s">
        <v>3750</v>
      </c>
      <c r="G2211" t="s">
        <v>16221</v>
      </c>
      <c r="H2211" t="s">
        <v>47054</v>
      </c>
      <c r="I2211" t="s">
        <v>47154</v>
      </c>
      <c r="J2211" t="s">
        <v>47155</v>
      </c>
      <c r="K2211" t="s">
        <v>47113</v>
      </c>
      <c r="L2211">
        <v>6.14</v>
      </c>
      <c r="M2211">
        <v>26</v>
      </c>
      <c r="N2211">
        <v>0</v>
      </c>
      <c r="O2211">
        <v>26</v>
      </c>
      <c r="P2211">
        <v>0</v>
      </c>
    </row>
    <row r="2212" spans="1:16" x14ac:dyDescent="0.25">
      <c r="A2212" t="s">
        <v>14863</v>
      </c>
      <c r="B2212" t="s">
        <v>3741</v>
      </c>
      <c r="C2212" t="s">
        <v>3742</v>
      </c>
      <c r="D2212" t="s">
        <v>3743</v>
      </c>
      <c r="E2212" t="s">
        <v>3744</v>
      </c>
      <c r="F2212" t="s">
        <v>3546</v>
      </c>
      <c r="G2212" t="s">
        <v>16224</v>
      </c>
      <c r="H2212" t="s">
        <v>47054</v>
      </c>
      <c r="I2212" t="s">
        <v>47120</v>
      </c>
      <c r="J2212" t="s">
        <v>47121</v>
      </c>
      <c r="K2212" t="s">
        <v>47113</v>
      </c>
      <c r="L2212">
        <v>44.75</v>
      </c>
      <c r="M2212">
        <v>110</v>
      </c>
      <c r="N2212">
        <v>0</v>
      </c>
      <c r="O2212">
        <v>110</v>
      </c>
      <c r="P2212">
        <v>0</v>
      </c>
    </row>
    <row r="2213" spans="1:16" x14ac:dyDescent="0.25">
      <c r="A2213" t="s">
        <v>24604</v>
      </c>
      <c r="B2213" t="s">
        <v>3745</v>
      </c>
      <c r="C2213" t="s">
        <v>3630</v>
      </c>
      <c r="D2213" t="str">
        <f>"6042"</f>
        <v>6042</v>
      </c>
      <c r="E2213" t="s">
        <v>3746</v>
      </c>
      <c r="F2213" t="s">
        <v>3546</v>
      </c>
      <c r="G2213" t="s">
        <v>16234</v>
      </c>
      <c r="H2213" t="s">
        <v>47054</v>
      </c>
      <c r="I2213" t="s">
        <v>47111</v>
      </c>
      <c r="J2213" t="s">
        <v>47112</v>
      </c>
      <c r="K2213" t="s">
        <v>47113</v>
      </c>
      <c r="L2213">
        <v>49.08</v>
      </c>
      <c r="M2213">
        <v>121</v>
      </c>
      <c r="N2213">
        <v>0</v>
      </c>
      <c r="O2213">
        <v>121</v>
      </c>
      <c r="P2213">
        <v>0</v>
      </c>
    </row>
    <row r="2214" spans="1:16" x14ac:dyDescent="0.25">
      <c r="A2214" t="s">
        <v>24605</v>
      </c>
      <c r="B2214" t="s">
        <v>3747</v>
      </c>
      <c r="C2214" t="s">
        <v>3633</v>
      </c>
      <c r="D2214" t="str">
        <f>"6042"</f>
        <v>6042</v>
      </c>
      <c r="E2214" t="s">
        <v>3746</v>
      </c>
      <c r="F2214" t="s">
        <v>3546</v>
      </c>
      <c r="G2214" t="s">
        <v>16234</v>
      </c>
      <c r="H2214" t="s">
        <v>47054</v>
      </c>
      <c r="I2214" t="s">
        <v>47111</v>
      </c>
      <c r="J2214" t="s">
        <v>47112</v>
      </c>
      <c r="K2214" t="s">
        <v>47113</v>
      </c>
      <c r="L2214">
        <v>48.5</v>
      </c>
      <c r="M2214">
        <v>119</v>
      </c>
      <c r="N2214">
        <v>0</v>
      </c>
      <c r="O2214">
        <v>119</v>
      </c>
      <c r="P2214">
        <v>0</v>
      </c>
    </row>
    <row r="2215" spans="1:16" x14ac:dyDescent="0.25">
      <c r="A2215" t="s">
        <v>22622</v>
      </c>
      <c r="B2215" t="s">
        <v>22623</v>
      </c>
      <c r="C2215" t="s">
        <v>22624</v>
      </c>
      <c r="D2215" t="str">
        <f>"4100"</f>
        <v>4100</v>
      </c>
      <c r="E2215" t="s">
        <v>17644</v>
      </c>
      <c r="F2215" t="s">
        <v>3750</v>
      </c>
      <c r="G2215" t="s">
        <v>16221</v>
      </c>
      <c r="H2215" t="s">
        <v>47054</v>
      </c>
      <c r="I2215" t="s">
        <v>47118</v>
      </c>
      <c r="J2215" t="s">
        <v>47119</v>
      </c>
      <c r="K2215" t="s">
        <v>47113</v>
      </c>
      <c r="L2215">
        <v>5.4</v>
      </c>
      <c r="M2215">
        <v>26</v>
      </c>
      <c r="N2215">
        <v>0</v>
      </c>
      <c r="O2215">
        <v>26</v>
      </c>
      <c r="P2215">
        <v>0</v>
      </c>
    </row>
    <row r="2216" spans="1:16" x14ac:dyDescent="0.25">
      <c r="A2216" t="s">
        <v>24606</v>
      </c>
      <c r="B2216" t="s">
        <v>24607</v>
      </c>
      <c r="C2216" t="s">
        <v>24608</v>
      </c>
      <c r="D2216" t="str">
        <f>"1001"</f>
        <v>1001</v>
      </c>
      <c r="E2216" t="s">
        <v>42</v>
      </c>
      <c r="F2216" t="s">
        <v>3750</v>
      </c>
      <c r="G2216" t="s">
        <v>16221</v>
      </c>
      <c r="H2216" t="s">
        <v>47054</v>
      </c>
      <c r="I2216" t="s">
        <v>47118</v>
      </c>
      <c r="J2216" t="s">
        <v>47119</v>
      </c>
      <c r="K2216" t="s">
        <v>47113</v>
      </c>
      <c r="L2216">
        <v>5.38</v>
      </c>
      <c r="M2216">
        <v>26</v>
      </c>
      <c r="N2216">
        <v>0</v>
      </c>
      <c r="O2216">
        <v>26</v>
      </c>
      <c r="P2216">
        <v>0</v>
      </c>
    </row>
    <row r="2217" spans="1:16" x14ac:dyDescent="0.25">
      <c r="A2217" t="s">
        <v>24609</v>
      </c>
      <c r="B2217" t="s">
        <v>24607</v>
      </c>
      <c r="C2217" t="s">
        <v>24608</v>
      </c>
      <c r="D2217" t="str">
        <f>"1700"</f>
        <v>1700</v>
      </c>
      <c r="E2217" t="s">
        <v>60</v>
      </c>
      <c r="F2217" t="s">
        <v>3750</v>
      </c>
      <c r="G2217" t="s">
        <v>16221</v>
      </c>
      <c r="H2217" t="s">
        <v>47054</v>
      </c>
      <c r="I2217" t="s">
        <v>47118</v>
      </c>
      <c r="J2217" t="s">
        <v>47119</v>
      </c>
      <c r="K2217" t="s">
        <v>47113</v>
      </c>
      <c r="L2217">
        <v>5.38</v>
      </c>
      <c r="M2217">
        <v>26</v>
      </c>
      <c r="N2217">
        <v>0</v>
      </c>
      <c r="O2217">
        <v>26</v>
      </c>
      <c r="P2217">
        <v>0</v>
      </c>
    </row>
    <row r="2218" spans="1:16" x14ac:dyDescent="0.25">
      <c r="A2218" t="s">
        <v>24610</v>
      </c>
      <c r="B2218" t="s">
        <v>24611</v>
      </c>
      <c r="C2218" t="s">
        <v>24612</v>
      </c>
      <c r="D2218" t="str">
        <f>"1700"</f>
        <v>1700</v>
      </c>
      <c r="E2218" t="s">
        <v>60</v>
      </c>
      <c r="F2218" t="s">
        <v>3750</v>
      </c>
      <c r="G2218" t="s">
        <v>16221</v>
      </c>
      <c r="H2218" t="s">
        <v>47054</v>
      </c>
      <c r="I2218" t="s">
        <v>47118</v>
      </c>
      <c r="J2218" t="s">
        <v>47119</v>
      </c>
      <c r="K2218" t="s">
        <v>47113</v>
      </c>
      <c r="L2218">
        <v>7.76</v>
      </c>
      <c r="M2218">
        <v>29</v>
      </c>
      <c r="N2218">
        <v>79</v>
      </c>
      <c r="O2218">
        <v>29</v>
      </c>
      <c r="P2218">
        <v>79</v>
      </c>
    </row>
    <row r="2219" spans="1:16" x14ac:dyDescent="0.25">
      <c r="A2219" t="s">
        <v>24613</v>
      </c>
      <c r="B2219" t="s">
        <v>24611</v>
      </c>
      <c r="C2219" t="s">
        <v>24612</v>
      </c>
      <c r="D2219" t="str">
        <f>"4100"</f>
        <v>4100</v>
      </c>
      <c r="E2219" t="s">
        <v>17644</v>
      </c>
      <c r="F2219" t="s">
        <v>3750</v>
      </c>
      <c r="G2219" t="s">
        <v>16221</v>
      </c>
      <c r="H2219" t="s">
        <v>47054</v>
      </c>
      <c r="I2219" t="s">
        <v>47118</v>
      </c>
      <c r="J2219" t="s">
        <v>47119</v>
      </c>
      <c r="K2219" t="s">
        <v>47113</v>
      </c>
      <c r="L2219">
        <v>7.76</v>
      </c>
      <c r="M2219">
        <v>29</v>
      </c>
      <c r="N2219">
        <v>79</v>
      </c>
      <c r="O2219">
        <v>29</v>
      </c>
      <c r="P2219">
        <v>79</v>
      </c>
    </row>
    <row r="2220" spans="1:16" x14ac:dyDescent="0.25">
      <c r="A2220" t="s">
        <v>24614</v>
      </c>
      <c r="B2220" t="s">
        <v>24615</v>
      </c>
      <c r="C2220" t="s">
        <v>24616</v>
      </c>
      <c r="D2220" t="str">
        <f>"1700"</f>
        <v>1700</v>
      </c>
      <c r="E2220" t="s">
        <v>60</v>
      </c>
      <c r="F2220" t="s">
        <v>24617</v>
      </c>
      <c r="G2220" t="s">
        <v>16221</v>
      </c>
      <c r="H2220" t="s">
        <v>47054</v>
      </c>
      <c r="I2220" t="s">
        <v>47118</v>
      </c>
      <c r="J2220" t="s">
        <v>47119</v>
      </c>
      <c r="K2220" t="s">
        <v>47113</v>
      </c>
      <c r="L2220">
        <v>6.99</v>
      </c>
      <c r="M2220">
        <v>29</v>
      </c>
      <c r="N2220">
        <v>79</v>
      </c>
      <c r="O2220">
        <v>29</v>
      </c>
      <c r="P2220">
        <v>79</v>
      </c>
    </row>
    <row r="2221" spans="1:16" x14ac:dyDescent="0.25">
      <c r="A2221" t="s">
        <v>24618</v>
      </c>
      <c r="B2221" t="s">
        <v>24615</v>
      </c>
      <c r="C2221" t="s">
        <v>24616</v>
      </c>
      <c r="D2221" t="str">
        <f>"6000"</f>
        <v>6000</v>
      </c>
      <c r="E2221" t="s">
        <v>6279</v>
      </c>
      <c r="F2221" t="s">
        <v>24617</v>
      </c>
      <c r="G2221" t="s">
        <v>16221</v>
      </c>
      <c r="H2221" t="s">
        <v>47054</v>
      </c>
      <c r="I2221" t="s">
        <v>47118</v>
      </c>
      <c r="J2221" t="s">
        <v>47119</v>
      </c>
      <c r="K2221" t="s">
        <v>47113</v>
      </c>
      <c r="L2221">
        <v>6.99</v>
      </c>
      <c r="M2221">
        <v>29</v>
      </c>
      <c r="N2221">
        <v>79</v>
      </c>
      <c r="O2221">
        <v>29</v>
      </c>
      <c r="P2221">
        <v>79</v>
      </c>
    </row>
    <row r="2222" spans="1:16" x14ac:dyDescent="0.25">
      <c r="A2222" t="s">
        <v>24619</v>
      </c>
      <c r="B2222" t="s">
        <v>24620</v>
      </c>
      <c r="C2222" t="s">
        <v>24621</v>
      </c>
      <c r="D2222" t="str">
        <f>"1001"</f>
        <v>1001</v>
      </c>
      <c r="E2222" t="s">
        <v>42</v>
      </c>
      <c r="F2222" t="s">
        <v>24622</v>
      </c>
      <c r="G2222" t="s">
        <v>16221</v>
      </c>
      <c r="H2222" t="s">
        <v>47054</v>
      </c>
      <c r="I2222" t="s">
        <v>47118</v>
      </c>
      <c r="J2222" t="s">
        <v>47119</v>
      </c>
      <c r="K2222" t="s">
        <v>47113</v>
      </c>
      <c r="L2222">
        <v>7.81</v>
      </c>
      <c r="M2222">
        <v>37</v>
      </c>
      <c r="N2222">
        <v>99</v>
      </c>
      <c r="O2222">
        <v>37</v>
      </c>
      <c r="P2222">
        <v>99</v>
      </c>
    </row>
    <row r="2223" spans="1:16" x14ac:dyDescent="0.25">
      <c r="A2223" t="s">
        <v>24623</v>
      </c>
      <c r="B2223" t="s">
        <v>24620</v>
      </c>
      <c r="C2223" t="s">
        <v>24621</v>
      </c>
      <c r="D2223" t="str">
        <f>"1700"</f>
        <v>1700</v>
      </c>
      <c r="E2223" t="s">
        <v>60</v>
      </c>
      <c r="F2223" t="s">
        <v>24622</v>
      </c>
      <c r="G2223" t="s">
        <v>16221</v>
      </c>
      <c r="H2223" t="s">
        <v>47054</v>
      </c>
      <c r="I2223" t="s">
        <v>47118</v>
      </c>
      <c r="J2223" t="s">
        <v>47119</v>
      </c>
      <c r="K2223" t="s">
        <v>47113</v>
      </c>
      <c r="L2223">
        <v>7.81</v>
      </c>
      <c r="M2223">
        <v>37</v>
      </c>
      <c r="N2223">
        <v>99</v>
      </c>
      <c r="O2223">
        <v>37</v>
      </c>
      <c r="P2223">
        <v>99</v>
      </c>
    </row>
    <row r="2224" spans="1:16" x14ac:dyDescent="0.25">
      <c r="A2224" t="s">
        <v>24624</v>
      </c>
      <c r="B2224" t="s">
        <v>24625</v>
      </c>
      <c r="C2224" t="s">
        <v>24626</v>
      </c>
      <c r="D2224" t="str">
        <f>"1001"</f>
        <v>1001</v>
      </c>
      <c r="E2224" t="s">
        <v>42</v>
      </c>
      <c r="F2224" t="s">
        <v>24627</v>
      </c>
      <c r="G2224" t="s">
        <v>16221</v>
      </c>
      <c r="H2224" t="s">
        <v>47054</v>
      </c>
      <c r="I2224" t="s">
        <v>47118</v>
      </c>
      <c r="J2224" t="s">
        <v>47119</v>
      </c>
      <c r="K2224" t="s">
        <v>47113</v>
      </c>
      <c r="L2224">
        <v>7.94</v>
      </c>
      <c r="M2224">
        <v>37</v>
      </c>
      <c r="N2224">
        <v>99</v>
      </c>
      <c r="O2224">
        <v>37</v>
      </c>
      <c r="P2224">
        <v>99</v>
      </c>
    </row>
    <row r="2225" spans="1:16" x14ac:dyDescent="0.25">
      <c r="A2225" t="s">
        <v>47156</v>
      </c>
      <c r="B2225" t="s">
        <v>47157</v>
      </c>
      <c r="C2225" t="s">
        <v>47158</v>
      </c>
      <c r="D2225" t="str">
        <f>"1700"</f>
        <v>1700</v>
      </c>
      <c r="E2225" t="s">
        <v>60</v>
      </c>
      <c r="F2225" t="s">
        <v>31484</v>
      </c>
      <c r="G2225" t="s">
        <v>16221</v>
      </c>
      <c r="H2225" t="s">
        <v>47054</v>
      </c>
      <c r="I2225" t="s">
        <v>47118</v>
      </c>
      <c r="J2225" t="s">
        <v>47119</v>
      </c>
      <c r="K2225" t="s">
        <v>47113</v>
      </c>
      <c r="L2225">
        <v>7.74</v>
      </c>
      <c r="M2225">
        <v>29</v>
      </c>
      <c r="N2225">
        <v>79</v>
      </c>
      <c r="O2225">
        <v>29</v>
      </c>
      <c r="P2225">
        <v>79</v>
      </c>
    </row>
    <row r="2226" spans="1:16" x14ac:dyDescent="0.25">
      <c r="A2226" t="s">
        <v>47159</v>
      </c>
      <c r="B2226" t="s">
        <v>47157</v>
      </c>
      <c r="C2226" t="s">
        <v>47158</v>
      </c>
      <c r="D2226" t="str">
        <f>"6000"</f>
        <v>6000</v>
      </c>
      <c r="E2226" t="s">
        <v>6279</v>
      </c>
      <c r="F2226" t="s">
        <v>31484</v>
      </c>
      <c r="G2226" t="s">
        <v>16221</v>
      </c>
      <c r="H2226" t="s">
        <v>47054</v>
      </c>
      <c r="I2226" t="s">
        <v>47118</v>
      </c>
      <c r="J2226" t="s">
        <v>47119</v>
      </c>
      <c r="K2226" t="s">
        <v>47113</v>
      </c>
      <c r="L2226">
        <v>7.74</v>
      </c>
      <c r="M2226">
        <v>29</v>
      </c>
      <c r="N2226">
        <v>79</v>
      </c>
      <c r="O2226">
        <v>29</v>
      </c>
      <c r="P2226">
        <v>79</v>
      </c>
    </row>
    <row r="2227" spans="1:16" x14ac:dyDescent="0.25">
      <c r="A2227" t="s">
        <v>47160</v>
      </c>
      <c r="B2227" t="s">
        <v>47161</v>
      </c>
      <c r="C2227" t="s">
        <v>47162</v>
      </c>
      <c r="D2227" t="str">
        <f>"1001"</f>
        <v>1001</v>
      </c>
      <c r="E2227" t="s">
        <v>42</v>
      </c>
      <c r="F2227" t="s">
        <v>47163</v>
      </c>
      <c r="G2227" t="s">
        <v>16221</v>
      </c>
      <c r="H2227" t="s">
        <v>47054</v>
      </c>
      <c r="I2227" t="s">
        <v>47118</v>
      </c>
      <c r="J2227" t="s">
        <v>47119</v>
      </c>
      <c r="K2227" t="s">
        <v>47113</v>
      </c>
      <c r="L2227">
        <v>7.99</v>
      </c>
      <c r="M2227">
        <v>29</v>
      </c>
      <c r="N2227">
        <v>79</v>
      </c>
      <c r="O2227">
        <v>29</v>
      </c>
      <c r="P2227">
        <v>79</v>
      </c>
    </row>
    <row r="2228" spans="1:16" x14ac:dyDescent="0.25">
      <c r="A2228" t="s">
        <v>47164</v>
      </c>
      <c r="B2228" t="s">
        <v>47161</v>
      </c>
      <c r="C2228" t="s">
        <v>47162</v>
      </c>
      <c r="D2228" t="str">
        <f>"6000"</f>
        <v>6000</v>
      </c>
      <c r="E2228" t="s">
        <v>6279</v>
      </c>
      <c r="F2228" t="s">
        <v>47163</v>
      </c>
      <c r="G2228" t="s">
        <v>16221</v>
      </c>
      <c r="H2228" t="s">
        <v>47054</v>
      </c>
      <c r="I2228" t="s">
        <v>47118</v>
      </c>
      <c r="J2228" t="s">
        <v>47119</v>
      </c>
      <c r="K2228" t="s">
        <v>47113</v>
      </c>
      <c r="L2228">
        <v>7.99</v>
      </c>
      <c r="M2228">
        <v>29</v>
      </c>
      <c r="N2228">
        <v>79</v>
      </c>
      <c r="O2228">
        <v>29</v>
      </c>
      <c r="P2228">
        <v>79</v>
      </c>
    </row>
    <row r="2229" spans="1:16" x14ac:dyDescent="0.25">
      <c r="A2229" t="s">
        <v>47165</v>
      </c>
      <c r="B2229" t="s">
        <v>47166</v>
      </c>
      <c r="C2229" t="s">
        <v>47167</v>
      </c>
      <c r="D2229" t="str">
        <f>"1700"</f>
        <v>1700</v>
      </c>
      <c r="E2229" t="s">
        <v>60</v>
      </c>
      <c r="F2229" t="s">
        <v>46687</v>
      </c>
      <c r="G2229" t="s">
        <v>16221</v>
      </c>
      <c r="H2229" t="s">
        <v>47054</v>
      </c>
      <c r="I2229" t="s">
        <v>47118</v>
      </c>
      <c r="J2229" t="s">
        <v>47119</v>
      </c>
      <c r="K2229" t="s">
        <v>47113</v>
      </c>
      <c r="L2229">
        <v>7.45</v>
      </c>
      <c r="M2229">
        <v>29</v>
      </c>
      <c r="N2229">
        <v>79</v>
      </c>
      <c r="O2229">
        <v>29</v>
      </c>
      <c r="P2229">
        <v>79</v>
      </c>
    </row>
    <row r="2230" spans="1:16" x14ac:dyDescent="0.25">
      <c r="A2230" t="s">
        <v>47168</v>
      </c>
      <c r="B2230" t="s">
        <v>47169</v>
      </c>
      <c r="C2230" t="s">
        <v>47170</v>
      </c>
      <c r="D2230" t="str">
        <f>"1700"</f>
        <v>1700</v>
      </c>
      <c r="E2230" t="s">
        <v>60</v>
      </c>
      <c r="F2230" t="s">
        <v>47171</v>
      </c>
      <c r="G2230" t="s">
        <v>16221</v>
      </c>
      <c r="H2230" t="s">
        <v>47054</v>
      </c>
      <c r="I2230" t="s">
        <v>47118</v>
      </c>
      <c r="J2230" t="s">
        <v>47119</v>
      </c>
      <c r="K2230" t="s">
        <v>47113</v>
      </c>
      <c r="L2230">
        <v>8.0399999999999991</v>
      </c>
      <c r="M2230">
        <v>29</v>
      </c>
      <c r="N2230">
        <v>79</v>
      </c>
      <c r="O2230">
        <v>29</v>
      </c>
      <c r="P2230">
        <v>79</v>
      </c>
    </row>
    <row r="2231" spans="1:16" x14ac:dyDescent="0.25">
      <c r="A2231" t="s">
        <v>24628</v>
      </c>
      <c r="B2231" t="s">
        <v>24629</v>
      </c>
      <c r="C2231" t="s">
        <v>24630</v>
      </c>
      <c r="D2231" t="str">
        <f>"1767"</f>
        <v>1767</v>
      </c>
      <c r="E2231" t="s">
        <v>24631</v>
      </c>
      <c r="F2231" t="s">
        <v>24622</v>
      </c>
      <c r="G2231" t="s">
        <v>16221</v>
      </c>
      <c r="H2231" t="s">
        <v>47054</v>
      </c>
      <c r="I2231" t="s">
        <v>47118</v>
      </c>
      <c r="J2231" t="s">
        <v>47119</v>
      </c>
      <c r="K2231" t="s">
        <v>47113</v>
      </c>
      <c r="L2231">
        <v>7.87</v>
      </c>
      <c r="M2231">
        <v>37</v>
      </c>
      <c r="N2231">
        <v>99</v>
      </c>
      <c r="O2231">
        <v>37</v>
      </c>
      <c r="P2231">
        <v>99</v>
      </c>
    </row>
    <row r="2232" spans="1:16" x14ac:dyDescent="0.25">
      <c r="A2232" t="s">
        <v>47172</v>
      </c>
      <c r="B2232" t="s">
        <v>47173</v>
      </c>
      <c r="C2232" t="s">
        <v>47174</v>
      </c>
      <c r="D2232" t="str">
        <f>"4861"</f>
        <v>4861</v>
      </c>
      <c r="E2232" t="s">
        <v>47175</v>
      </c>
      <c r="F2232" t="s">
        <v>47171</v>
      </c>
      <c r="G2232" t="s">
        <v>16221</v>
      </c>
      <c r="H2232" t="s">
        <v>47054</v>
      </c>
      <c r="I2232" t="s">
        <v>47118</v>
      </c>
      <c r="J2232" t="s">
        <v>47119</v>
      </c>
      <c r="K2232" t="s">
        <v>47113</v>
      </c>
      <c r="L2232">
        <v>9.1199999999999992</v>
      </c>
      <c r="M2232">
        <v>37</v>
      </c>
      <c r="N2232">
        <v>99</v>
      </c>
      <c r="O2232">
        <v>37</v>
      </c>
      <c r="P2232">
        <v>99</v>
      </c>
    </row>
    <row r="2233" spans="1:16" x14ac:dyDescent="0.25">
      <c r="A2233" t="s">
        <v>24632</v>
      </c>
      <c r="B2233" t="s">
        <v>19542</v>
      </c>
      <c r="C2233" t="s">
        <v>19543</v>
      </c>
      <c r="D2233" t="str">
        <f>"1096"</f>
        <v>1096</v>
      </c>
      <c r="E2233" t="s">
        <v>4744</v>
      </c>
      <c r="F2233" t="s">
        <v>3750</v>
      </c>
      <c r="G2233" t="s">
        <v>16221</v>
      </c>
      <c r="H2233" t="s">
        <v>47054</v>
      </c>
      <c r="I2233" t="s">
        <v>47118</v>
      </c>
      <c r="J2233" t="s">
        <v>47119</v>
      </c>
      <c r="K2233" t="s">
        <v>47113</v>
      </c>
      <c r="L2233">
        <v>9.69</v>
      </c>
      <c r="M2233">
        <v>33</v>
      </c>
      <c r="N2233">
        <v>0</v>
      </c>
      <c r="O2233">
        <v>33</v>
      </c>
      <c r="P2233">
        <v>0</v>
      </c>
    </row>
    <row r="2234" spans="1:16" x14ac:dyDescent="0.25">
      <c r="A2234" t="s">
        <v>24633</v>
      </c>
      <c r="B2234" t="s">
        <v>19542</v>
      </c>
      <c r="C2234" t="s">
        <v>19543</v>
      </c>
      <c r="D2234" t="str">
        <f>"1712"</f>
        <v>1712</v>
      </c>
      <c r="E2234" t="s">
        <v>17712</v>
      </c>
      <c r="F2234" t="s">
        <v>3750</v>
      </c>
      <c r="G2234" t="s">
        <v>16221</v>
      </c>
      <c r="H2234" t="s">
        <v>47054</v>
      </c>
      <c r="I2234" t="s">
        <v>47118</v>
      </c>
      <c r="J2234" t="s">
        <v>47119</v>
      </c>
      <c r="K2234" t="s">
        <v>47113</v>
      </c>
      <c r="L2234">
        <v>9.69</v>
      </c>
      <c r="M2234">
        <v>33</v>
      </c>
      <c r="N2234">
        <v>0</v>
      </c>
      <c r="O2234">
        <v>33</v>
      </c>
      <c r="P2234">
        <v>0</v>
      </c>
    </row>
    <row r="2235" spans="1:16" x14ac:dyDescent="0.25">
      <c r="A2235" t="s">
        <v>24634</v>
      </c>
      <c r="B2235" t="s">
        <v>19544</v>
      </c>
      <c r="C2235" t="s">
        <v>19545</v>
      </c>
      <c r="D2235" t="str">
        <f>"4000"</f>
        <v>4000</v>
      </c>
      <c r="E2235" t="s">
        <v>19546</v>
      </c>
      <c r="F2235" t="s">
        <v>3750</v>
      </c>
      <c r="G2235" t="s">
        <v>16230</v>
      </c>
      <c r="H2235" t="s">
        <v>47054</v>
      </c>
      <c r="I2235" t="s">
        <v>47118</v>
      </c>
      <c r="J2235" t="s">
        <v>47119</v>
      </c>
      <c r="K2235" t="s">
        <v>47113</v>
      </c>
      <c r="L2235">
        <v>19.88</v>
      </c>
      <c r="M2235">
        <v>59</v>
      </c>
      <c r="N2235">
        <v>0</v>
      </c>
      <c r="O2235">
        <v>59</v>
      </c>
      <c r="P2235">
        <v>0</v>
      </c>
    </row>
    <row r="2236" spans="1:16" x14ac:dyDescent="0.25">
      <c r="A2236" t="s">
        <v>24635</v>
      </c>
      <c r="B2236" t="s">
        <v>19544</v>
      </c>
      <c r="C2236" t="s">
        <v>19545</v>
      </c>
      <c r="D2236" t="str">
        <f>"4819"</f>
        <v>4819</v>
      </c>
      <c r="E2236" t="s">
        <v>19547</v>
      </c>
      <c r="F2236" t="s">
        <v>3750</v>
      </c>
      <c r="G2236" t="s">
        <v>16230</v>
      </c>
      <c r="H2236" t="s">
        <v>47054</v>
      </c>
      <c r="I2236" t="s">
        <v>47118</v>
      </c>
      <c r="J2236" t="s">
        <v>47119</v>
      </c>
      <c r="K2236" t="s">
        <v>47113</v>
      </c>
      <c r="L2236">
        <v>19.88</v>
      </c>
      <c r="M2236">
        <v>59</v>
      </c>
      <c r="N2236">
        <v>0</v>
      </c>
      <c r="O2236">
        <v>59</v>
      </c>
      <c r="P2236">
        <v>0</v>
      </c>
    </row>
    <row r="2237" spans="1:16" x14ac:dyDescent="0.25">
      <c r="A2237" t="s">
        <v>24636</v>
      </c>
      <c r="B2237" t="s">
        <v>24637</v>
      </c>
      <c r="C2237" t="s">
        <v>24638</v>
      </c>
      <c r="D2237" t="str">
        <f>"4000"</f>
        <v>4000</v>
      </c>
      <c r="E2237" t="s">
        <v>20169</v>
      </c>
      <c r="F2237" t="s">
        <v>24622</v>
      </c>
      <c r="G2237" t="s">
        <v>16230</v>
      </c>
      <c r="H2237" t="s">
        <v>47054</v>
      </c>
      <c r="I2237" t="s">
        <v>47118</v>
      </c>
      <c r="J2237" t="s">
        <v>47119</v>
      </c>
      <c r="K2237" t="s">
        <v>47113</v>
      </c>
      <c r="L2237">
        <v>24.35</v>
      </c>
      <c r="M2237">
        <v>55</v>
      </c>
      <c r="N2237">
        <v>149</v>
      </c>
      <c r="O2237">
        <v>55</v>
      </c>
      <c r="P2237">
        <v>149</v>
      </c>
    </row>
    <row r="2238" spans="1:16" x14ac:dyDescent="0.25">
      <c r="A2238" t="s">
        <v>24639</v>
      </c>
      <c r="B2238" t="s">
        <v>24640</v>
      </c>
      <c r="C2238" t="s">
        <v>18006</v>
      </c>
      <c r="D2238" t="str">
        <f>"1001"</f>
        <v>1001</v>
      </c>
      <c r="E2238" t="s">
        <v>42</v>
      </c>
      <c r="F2238" t="s">
        <v>24617</v>
      </c>
      <c r="G2238" t="s">
        <v>16230</v>
      </c>
      <c r="H2238" t="s">
        <v>47054</v>
      </c>
      <c r="I2238" t="s">
        <v>47118</v>
      </c>
      <c r="J2238" t="s">
        <v>47119</v>
      </c>
      <c r="K2238" t="s">
        <v>47113</v>
      </c>
      <c r="L2238">
        <v>23.18</v>
      </c>
      <c r="M2238">
        <v>48</v>
      </c>
      <c r="N2238">
        <v>129</v>
      </c>
      <c r="O2238">
        <v>48</v>
      </c>
      <c r="P2238">
        <v>129</v>
      </c>
    </row>
    <row r="2239" spans="1:16" x14ac:dyDescent="0.25">
      <c r="A2239" t="s">
        <v>24641</v>
      </c>
      <c r="B2239" t="s">
        <v>24640</v>
      </c>
      <c r="C2239" t="s">
        <v>18006</v>
      </c>
      <c r="D2239" t="str">
        <f>"1800"</f>
        <v>1800</v>
      </c>
      <c r="E2239" t="s">
        <v>60</v>
      </c>
      <c r="F2239" t="s">
        <v>24617</v>
      </c>
      <c r="G2239" t="s">
        <v>16230</v>
      </c>
      <c r="H2239" t="s">
        <v>47054</v>
      </c>
      <c r="I2239" t="s">
        <v>47118</v>
      </c>
      <c r="J2239" t="s">
        <v>47119</v>
      </c>
      <c r="K2239" t="s">
        <v>47113</v>
      </c>
      <c r="L2239">
        <v>23.18</v>
      </c>
      <c r="M2239">
        <v>48</v>
      </c>
      <c r="N2239">
        <v>129</v>
      </c>
      <c r="O2239">
        <v>48</v>
      </c>
      <c r="P2239">
        <v>129</v>
      </c>
    </row>
    <row r="2240" spans="1:16" x14ac:dyDescent="0.25">
      <c r="A2240" t="s">
        <v>24642</v>
      </c>
      <c r="B2240" t="s">
        <v>24640</v>
      </c>
      <c r="C2240" t="s">
        <v>18006</v>
      </c>
      <c r="D2240" t="str">
        <f>"4100"</f>
        <v>4100</v>
      </c>
      <c r="E2240" t="s">
        <v>15303</v>
      </c>
      <c r="F2240" t="s">
        <v>24617</v>
      </c>
      <c r="G2240" t="s">
        <v>16230</v>
      </c>
      <c r="H2240" t="s">
        <v>47054</v>
      </c>
      <c r="I2240" t="s">
        <v>47118</v>
      </c>
      <c r="J2240" t="s">
        <v>47119</v>
      </c>
      <c r="K2240" t="s">
        <v>47113</v>
      </c>
      <c r="L2240">
        <v>23.18</v>
      </c>
      <c r="M2240">
        <v>48</v>
      </c>
      <c r="N2240">
        <v>129</v>
      </c>
      <c r="O2240">
        <v>48</v>
      </c>
      <c r="P2240">
        <v>129</v>
      </c>
    </row>
    <row r="2241" spans="1:16" x14ac:dyDescent="0.25">
      <c r="A2241" t="s">
        <v>24643</v>
      </c>
      <c r="B2241" t="s">
        <v>24644</v>
      </c>
      <c r="C2241" t="s">
        <v>24645</v>
      </c>
      <c r="D2241" t="str">
        <f>"4143"</f>
        <v>4143</v>
      </c>
      <c r="E2241" t="s">
        <v>20169</v>
      </c>
      <c r="F2241" t="s">
        <v>24627</v>
      </c>
      <c r="G2241" t="s">
        <v>16230</v>
      </c>
      <c r="H2241" t="s">
        <v>47054</v>
      </c>
      <c r="I2241" t="s">
        <v>47120</v>
      </c>
      <c r="J2241" t="s">
        <v>47121</v>
      </c>
      <c r="K2241" t="s">
        <v>47113</v>
      </c>
      <c r="L2241">
        <v>25.95</v>
      </c>
      <c r="M2241">
        <v>55</v>
      </c>
      <c r="N2241">
        <v>149</v>
      </c>
      <c r="O2241">
        <v>55</v>
      </c>
      <c r="P2241">
        <v>149</v>
      </c>
    </row>
    <row r="2242" spans="1:16" x14ac:dyDescent="0.25">
      <c r="A2242" t="s">
        <v>24646</v>
      </c>
      <c r="B2242" t="s">
        <v>24647</v>
      </c>
      <c r="C2242" t="s">
        <v>24645</v>
      </c>
      <c r="D2242" t="str">
        <f>"4143"</f>
        <v>4143</v>
      </c>
      <c r="E2242" t="s">
        <v>24648</v>
      </c>
      <c r="F2242" t="s">
        <v>24622</v>
      </c>
      <c r="G2242" t="s">
        <v>16230</v>
      </c>
      <c r="H2242" t="s">
        <v>47054</v>
      </c>
      <c r="I2242" t="s">
        <v>47120</v>
      </c>
      <c r="J2242" t="s">
        <v>47121</v>
      </c>
      <c r="K2242" t="s">
        <v>47113</v>
      </c>
      <c r="L2242">
        <v>42.43</v>
      </c>
      <c r="M2242">
        <v>74</v>
      </c>
      <c r="N2242">
        <v>199</v>
      </c>
      <c r="O2242">
        <v>74</v>
      </c>
      <c r="P2242">
        <v>199</v>
      </c>
    </row>
    <row r="2243" spans="1:16" x14ac:dyDescent="0.25">
      <c r="A2243" t="s">
        <v>24649</v>
      </c>
      <c r="B2243" t="s">
        <v>24650</v>
      </c>
      <c r="C2243" t="s">
        <v>24651</v>
      </c>
      <c r="D2243" t="str">
        <f>"9603"</f>
        <v>9603</v>
      </c>
      <c r="E2243" t="s">
        <v>24652</v>
      </c>
      <c r="F2243" t="s">
        <v>24627</v>
      </c>
      <c r="G2243" t="s">
        <v>16230</v>
      </c>
      <c r="H2243" t="s">
        <v>47054</v>
      </c>
      <c r="I2243" t="s">
        <v>47118</v>
      </c>
      <c r="J2243" t="s">
        <v>47119</v>
      </c>
      <c r="K2243" t="s">
        <v>47113</v>
      </c>
      <c r="L2243">
        <v>27.37</v>
      </c>
      <c r="M2243">
        <v>63</v>
      </c>
      <c r="N2243">
        <v>169</v>
      </c>
      <c r="O2243">
        <v>63</v>
      </c>
      <c r="P2243">
        <v>169</v>
      </c>
    </row>
    <row r="2244" spans="1:16" x14ac:dyDescent="0.25">
      <c r="A2244" t="s">
        <v>24653</v>
      </c>
      <c r="B2244" t="s">
        <v>24654</v>
      </c>
      <c r="C2244" t="s">
        <v>24655</v>
      </c>
      <c r="D2244" t="str">
        <f>"1001"</f>
        <v>1001</v>
      </c>
      <c r="E2244" t="s">
        <v>42</v>
      </c>
      <c r="F2244" t="s">
        <v>24617</v>
      </c>
      <c r="G2244" t="s">
        <v>16221</v>
      </c>
      <c r="H2244" t="s">
        <v>47054</v>
      </c>
      <c r="I2244" t="s">
        <v>47154</v>
      </c>
      <c r="J2244" t="s">
        <v>47155</v>
      </c>
      <c r="K2244" t="s">
        <v>47113</v>
      </c>
      <c r="L2244">
        <v>8.67</v>
      </c>
      <c r="M2244">
        <v>22</v>
      </c>
      <c r="N2244">
        <v>59</v>
      </c>
      <c r="O2244">
        <v>22</v>
      </c>
      <c r="P2244">
        <v>59</v>
      </c>
    </row>
    <row r="2245" spans="1:16" x14ac:dyDescent="0.25">
      <c r="A2245" t="s">
        <v>24656</v>
      </c>
      <c r="B2245" t="s">
        <v>24654</v>
      </c>
      <c r="C2245" t="s">
        <v>24655</v>
      </c>
      <c r="D2245" t="str">
        <f>"1700"</f>
        <v>1700</v>
      </c>
      <c r="E2245" t="s">
        <v>60</v>
      </c>
      <c r="F2245" t="s">
        <v>24617</v>
      </c>
      <c r="G2245" t="s">
        <v>16221</v>
      </c>
      <c r="H2245" t="s">
        <v>47054</v>
      </c>
      <c r="I2245" t="s">
        <v>47154</v>
      </c>
      <c r="J2245" t="s">
        <v>47155</v>
      </c>
      <c r="K2245" t="s">
        <v>47113</v>
      </c>
      <c r="L2245">
        <v>8.67</v>
      </c>
      <c r="M2245">
        <v>22</v>
      </c>
      <c r="N2245">
        <v>59</v>
      </c>
      <c r="O2245">
        <v>22</v>
      </c>
      <c r="P2245">
        <v>59</v>
      </c>
    </row>
    <row r="2246" spans="1:16" x14ac:dyDescent="0.25">
      <c r="A2246" t="s">
        <v>24657</v>
      </c>
      <c r="B2246" t="s">
        <v>24654</v>
      </c>
      <c r="C2246" t="s">
        <v>24655</v>
      </c>
      <c r="D2246" t="str">
        <f>"6000"</f>
        <v>6000</v>
      </c>
      <c r="E2246" t="s">
        <v>6279</v>
      </c>
      <c r="F2246" t="s">
        <v>24617</v>
      </c>
      <c r="G2246" t="s">
        <v>16221</v>
      </c>
      <c r="H2246" t="s">
        <v>47054</v>
      </c>
      <c r="I2246" t="s">
        <v>47154</v>
      </c>
      <c r="J2246" t="s">
        <v>47155</v>
      </c>
      <c r="K2246" t="s">
        <v>47113</v>
      </c>
      <c r="L2246">
        <v>8.67</v>
      </c>
      <c r="M2246">
        <v>22</v>
      </c>
      <c r="N2246">
        <v>59</v>
      </c>
      <c r="O2246">
        <v>22</v>
      </c>
      <c r="P2246">
        <v>59</v>
      </c>
    </row>
    <row r="2247" spans="1:16" x14ac:dyDescent="0.25">
      <c r="A2247" t="s">
        <v>24658</v>
      </c>
      <c r="B2247" t="s">
        <v>24659</v>
      </c>
      <c r="C2247" t="s">
        <v>24660</v>
      </c>
      <c r="D2247" t="str">
        <f>"1501"</f>
        <v>1501</v>
      </c>
      <c r="E2247" t="s">
        <v>46</v>
      </c>
      <c r="F2247" t="s">
        <v>24622</v>
      </c>
      <c r="G2247" t="s">
        <v>16221</v>
      </c>
      <c r="H2247" t="s">
        <v>47054</v>
      </c>
      <c r="I2247" t="s">
        <v>47154</v>
      </c>
      <c r="J2247" t="s">
        <v>47155</v>
      </c>
      <c r="K2247" t="s">
        <v>47113</v>
      </c>
      <c r="L2247">
        <v>9.26</v>
      </c>
      <c r="M2247">
        <v>22</v>
      </c>
      <c r="N2247">
        <v>59</v>
      </c>
      <c r="O2247">
        <v>22</v>
      </c>
      <c r="P2247">
        <v>59</v>
      </c>
    </row>
    <row r="2248" spans="1:16" x14ac:dyDescent="0.25">
      <c r="A2248" t="s">
        <v>24661</v>
      </c>
      <c r="B2248" t="s">
        <v>24659</v>
      </c>
      <c r="C2248" t="s">
        <v>24660</v>
      </c>
      <c r="D2248" t="str">
        <f>"1700"</f>
        <v>1700</v>
      </c>
      <c r="E2248" t="s">
        <v>60</v>
      </c>
      <c r="F2248" t="s">
        <v>24622</v>
      </c>
      <c r="G2248" t="s">
        <v>16221</v>
      </c>
      <c r="H2248" t="s">
        <v>47054</v>
      </c>
      <c r="I2248" t="s">
        <v>47154</v>
      </c>
      <c r="J2248" t="s">
        <v>47155</v>
      </c>
      <c r="K2248" t="s">
        <v>47113</v>
      </c>
      <c r="L2248">
        <v>7.79</v>
      </c>
      <c r="M2248">
        <v>22</v>
      </c>
      <c r="N2248">
        <v>59</v>
      </c>
      <c r="O2248">
        <v>22</v>
      </c>
      <c r="P2248">
        <v>59</v>
      </c>
    </row>
    <row r="2249" spans="1:16" x14ac:dyDescent="0.25">
      <c r="A2249" t="s">
        <v>24662</v>
      </c>
      <c r="B2249" t="s">
        <v>24663</v>
      </c>
      <c r="C2249" t="s">
        <v>24664</v>
      </c>
      <c r="D2249" t="str">
        <f>"1001"</f>
        <v>1001</v>
      </c>
      <c r="E2249" t="s">
        <v>42</v>
      </c>
      <c r="F2249" t="s">
        <v>24622</v>
      </c>
      <c r="G2249" t="s">
        <v>16221</v>
      </c>
      <c r="H2249" t="s">
        <v>47054</v>
      </c>
      <c r="I2249" t="s">
        <v>47154</v>
      </c>
      <c r="J2249" t="s">
        <v>47155</v>
      </c>
      <c r="K2249" t="s">
        <v>47113</v>
      </c>
      <c r="L2249">
        <v>9.51</v>
      </c>
      <c r="M2249">
        <v>22</v>
      </c>
      <c r="N2249">
        <v>59</v>
      </c>
      <c r="O2249">
        <v>22</v>
      </c>
      <c r="P2249">
        <v>59</v>
      </c>
    </row>
    <row r="2250" spans="1:16" x14ac:dyDescent="0.25">
      <c r="A2250" t="s">
        <v>24665</v>
      </c>
      <c r="B2250" t="s">
        <v>24663</v>
      </c>
      <c r="C2250" t="s">
        <v>24664</v>
      </c>
      <c r="D2250" t="str">
        <f>"1700"</f>
        <v>1700</v>
      </c>
      <c r="E2250" t="s">
        <v>60</v>
      </c>
      <c r="F2250" t="s">
        <v>24622</v>
      </c>
      <c r="G2250" t="s">
        <v>16221</v>
      </c>
      <c r="H2250" t="s">
        <v>47054</v>
      </c>
      <c r="I2250" t="s">
        <v>47154</v>
      </c>
      <c r="J2250" t="s">
        <v>47155</v>
      </c>
      <c r="K2250" t="s">
        <v>47113</v>
      </c>
      <c r="L2250">
        <v>7.55</v>
      </c>
      <c r="M2250">
        <v>22</v>
      </c>
      <c r="N2250">
        <v>59</v>
      </c>
      <c r="O2250">
        <v>22</v>
      </c>
      <c r="P2250">
        <v>59</v>
      </c>
    </row>
    <row r="2251" spans="1:16" x14ac:dyDescent="0.25">
      <c r="A2251" t="s">
        <v>24666</v>
      </c>
      <c r="B2251" t="s">
        <v>24667</v>
      </c>
      <c r="C2251" t="s">
        <v>24668</v>
      </c>
      <c r="D2251" t="str">
        <f>"1001"</f>
        <v>1001</v>
      </c>
      <c r="E2251" t="s">
        <v>42</v>
      </c>
      <c r="F2251" t="s">
        <v>24617</v>
      </c>
      <c r="G2251" t="s">
        <v>16221</v>
      </c>
      <c r="I2251" t="s">
        <v>47120</v>
      </c>
      <c r="J2251" t="s">
        <v>47121</v>
      </c>
      <c r="K2251" t="s">
        <v>47113</v>
      </c>
      <c r="L2251">
        <v>15.04</v>
      </c>
      <c r="M2251">
        <v>37</v>
      </c>
      <c r="N2251">
        <v>99</v>
      </c>
      <c r="O2251">
        <v>37</v>
      </c>
      <c r="P2251">
        <v>99</v>
      </c>
    </row>
    <row r="2252" spans="1:16" x14ac:dyDescent="0.25">
      <c r="A2252" t="s">
        <v>24669</v>
      </c>
      <c r="B2252" t="s">
        <v>24670</v>
      </c>
      <c r="C2252" t="s">
        <v>24671</v>
      </c>
      <c r="D2252" t="str">
        <f>"1001"</f>
        <v>1001</v>
      </c>
      <c r="E2252" t="s">
        <v>42</v>
      </c>
      <c r="F2252" t="s">
        <v>24627</v>
      </c>
      <c r="G2252" t="s">
        <v>16221</v>
      </c>
      <c r="H2252" t="s">
        <v>47054</v>
      </c>
      <c r="I2252" t="s">
        <v>47154</v>
      </c>
      <c r="J2252" t="s">
        <v>47155</v>
      </c>
      <c r="K2252" t="s">
        <v>47113</v>
      </c>
      <c r="L2252">
        <v>10.39</v>
      </c>
      <c r="M2252">
        <v>26</v>
      </c>
      <c r="N2252">
        <v>69</v>
      </c>
      <c r="O2252">
        <v>26</v>
      </c>
      <c r="P2252">
        <v>69</v>
      </c>
    </row>
    <row r="2253" spans="1:16" x14ac:dyDescent="0.25">
      <c r="A2253" t="s">
        <v>24672</v>
      </c>
      <c r="B2253" t="s">
        <v>24670</v>
      </c>
      <c r="C2253" t="s">
        <v>24671</v>
      </c>
      <c r="D2253" t="str">
        <f>"1700"</f>
        <v>1700</v>
      </c>
      <c r="E2253" t="s">
        <v>60</v>
      </c>
      <c r="F2253" t="s">
        <v>24627</v>
      </c>
      <c r="G2253" t="s">
        <v>16221</v>
      </c>
      <c r="H2253" t="s">
        <v>47054</v>
      </c>
      <c r="I2253" t="s">
        <v>47154</v>
      </c>
      <c r="J2253" t="s">
        <v>47155</v>
      </c>
      <c r="K2253" t="s">
        <v>47113</v>
      </c>
      <c r="L2253">
        <v>8.14</v>
      </c>
      <c r="M2253">
        <v>26</v>
      </c>
      <c r="N2253">
        <v>69</v>
      </c>
      <c r="O2253">
        <v>26</v>
      </c>
      <c r="P2253">
        <v>69</v>
      </c>
    </row>
    <row r="2254" spans="1:16" x14ac:dyDescent="0.25">
      <c r="A2254" t="s">
        <v>24673</v>
      </c>
      <c r="B2254" t="s">
        <v>24674</v>
      </c>
      <c r="C2254" t="s">
        <v>24675</v>
      </c>
      <c r="D2254" t="str">
        <f>"1700"</f>
        <v>1700</v>
      </c>
      <c r="E2254" t="s">
        <v>60</v>
      </c>
      <c r="F2254" t="s">
        <v>24617</v>
      </c>
      <c r="G2254" t="s">
        <v>16221</v>
      </c>
      <c r="H2254" t="s">
        <v>47054</v>
      </c>
      <c r="I2254" t="s">
        <v>47154</v>
      </c>
      <c r="J2254" t="s">
        <v>47155</v>
      </c>
      <c r="K2254" t="s">
        <v>47113</v>
      </c>
      <c r="L2254">
        <v>7.75</v>
      </c>
      <c r="M2254">
        <v>22</v>
      </c>
      <c r="N2254">
        <v>59</v>
      </c>
      <c r="O2254">
        <v>22</v>
      </c>
      <c r="P2254">
        <v>59</v>
      </c>
    </row>
    <row r="2255" spans="1:16" x14ac:dyDescent="0.25">
      <c r="A2255" t="s">
        <v>24676</v>
      </c>
      <c r="B2255" t="s">
        <v>24674</v>
      </c>
      <c r="C2255" t="s">
        <v>24675</v>
      </c>
      <c r="D2255" t="str">
        <f>"4000"</f>
        <v>4000</v>
      </c>
      <c r="E2255" t="s">
        <v>24677</v>
      </c>
      <c r="F2255" t="s">
        <v>24617</v>
      </c>
      <c r="G2255" t="s">
        <v>16221</v>
      </c>
      <c r="H2255" t="s">
        <v>47054</v>
      </c>
      <c r="I2255" t="s">
        <v>47154</v>
      </c>
      <c r="J2255" t="s">
        <v>47155</v>
      </c>
      <c r="K2255" t="s">
        <v>47113</v>
      </c>
      <c r="L2255">
        <v>7.75</v>
      </c>
      <c r="M2255">
        <v>22</v>
      </c>
      <c r="N2255">
        <v>59</v>
      </c>
      <c r="O2255">
        <v>22</v>
      </c>
      <c r="P2255">
        <v>59</v>
      </c>
    </row>
    <row r="2256" spans="1:16" x14ac:dyDescent="0.25">
      <c r="A2256" t="s">
        <v>24678</v>
      </c>
      <c r="B2256" t="s">
        <v>24679</v>
      </c>
      <c r="C2256" t="s">
        <v>24680</v>
      </c>
      <c r="D2256" t="str">
        <f>"1006"</f>
        <v>1006</v>
      </c>
      <c r="E2256" t="s">
        <v>17350</v>
      </c>
      <c r="F2256" t="s">
        <v>24627</v>
      </c>
      <c r="G2256" t="s">
        <v>16221</v>
      </c>
      <c r="H2256" t="s">
        <v>47054</v>
      </c>
      <c r="I2256" t="s">
        <v>47154</v>
      </c>
      <c r="J2256" t="s">
        <v>47155</v>
      </c>
      <c r="K2256" t="s">
        <v>47113</v>
      </c>
      <c r="L2256">
        <v>9.67</v>
      </c>
      <c r="M2256">
        <v>22</v>
      </c>
      <c r="N2256">
        <v>59</v>
      </c>
      <c r="O2256">
        <v>22</v>
      </c>
      <c r="P2256">
        <v>59</v>
      </c>
    </row>
    <row r="2257" spans="1:16" x14ac:dyDescent="0.25">
      <c r="A2257" t="s">
        <v>24681</v>
      </c>
      <c r="B2257" t="s">
        <v>24679</v>
      </c>
      <c r="C2257" t="s">
        <v>24680</v>
      </c>
      <c r="D2257" t="str">
        <f>"1501"</f>
        <v>1501</v>
      </c>
      <c r="E2257" t="s">
        <v>46</v>
      </c>
      <c r="F2257" t="s">
        <v>24627</v>
      </c>
      <c r="G2257" t="s">
        <v>16221</v>
      </c>
      <c r="H2257" t="s">
        <v>47054</v>
      </c>
      <c r="I2257" t="s">
        <v>47154</v>
      </c>
      <c r="J2257" t="s">
        <v>47155</v>
      </c>
      <c r="K2257" t="s">
        <v>47113</v>
      </c>
      <c r="L2257">
        <v>9.31</v>
      </c>
      <c r="M2257">
        <v>22</v>
      </c>
      <c r="N2257">
        <v>59</v>
      </c>
      <c r="O2257">
        <v>22</v>
      </c>
      <c r="P2257">
        <v>59</v>
      </c>
    </row>
    <row r="2258" spans="1:16" x14ac:dyDescent="0.25">
      <c r="A2258" t="s">
        <v>24682</v>
      </c>
      <c r="B2258" t="s">
        <v>24683</v>
      </c>
      <c r="C2258" t="s">
        <v>24684</v>
      </c>
      <c r="D2258" t="str">
        <f>"1700"</f>
        <v>1700</v>
      </c>
      <c r="E2258" t="s">
        <v>60</v>
      </c>
      <c r="F2258" t="s">
        <v>24617</v>
      </c>
      <c r="G2258" t="s">
        <v>16221</v>
      </c>
      <c r="H2258" t="s">
        <v>47054</v>
      </c>
      <c r="I2258" t="s">
        <v>47118</v>
      </c>
      <c r="J2258" t="s">
        <v>47119</v>
      </c>
      <c r="K2258" t="s">
        <v>47113</v>
      </c>
      <c r="L2258">
        <v>14.15</v>
      </c>
      <c r="M2258">
        <v>33</v>
      </c>
      <c r="N2258">
        <v>89</v>
      </c>
      <c r="O2258">
        <v>33</v>
      </c>
      <c r="P2258">
        <v>89</v>
      </c>
    </row>
    <row r="2259" spans="1:16" x14ac:dyDescent="0.25">
      <c r="A2259" t="s">
        <v>24685</v>
      </c>
      <c r="B2259" t="s">
        <v>24683</v>
      </c>
      <c r="C2259" t="s">
        <v>24684</v>
      </c>
      <c r="D2259" t="str">
        <f>"4100"</f>
        <v>4100</v>
      </c>
      <c r="E2259" t="s">
        <v>15303</v>
      </c>
      <c r="F2259" t="s">
        <v>24617</v>
      </c>
      <c r="G2259" t="s">
        <v>16221</v>
      </c>
      <c r="H2259" t="s">
        <v>47054</v>
      </c>
      <c r="I2259" t="s">
        <v>47118</v>
      </c>
      <c r="J2259" t="s">
        <v>47119</v>
      </c>
      <c r="K2259" t="s">
        <v>47113</v>
      </c>
      <c r="L2259">
        <v>14.15</v>
      </c>
      <c r="M2259">
        <v>33</v>
      </c>
      <c r="N2259">
        <v>89</v>
      </c>
      <c r="O2259">
        <v>33</v>
      </c>
      <c r="P2259">
        <v>89</v>
      </c>
    </row>
    <row r="2260" spans="1:16" x14ac:dyDescent="0.25">
      <c r="A2260" t="s">
        <v>24686</v>
      </c>
      <c r="B2260" t="s">
        <v>24683</v>
      </c>
      <c r="C2260" t="s">
        <v>24684</v>
      </c>
      <c r="D2260" t="str">
        <f>"6000"</f>
        <v>6000</v>
      </c>
      <c r="E2260" t="s">
        <v>6279</v>
      </c>
      <c r="F2260" t="s">
        <v>24617</v>
      </c>
      <c r="G2260" t="s">
        <v>16221</v>
      </c>
      <c r="H2260" t="s">
        <v>47054</v>
      </c>
      <c r="I2260" t="s">
        <v>47118</v>
      </c>
      <c r="J2260" t="s">
        <v>47119</v>
      </c>
      <c r="K2260" t="s">
        <v>47113</v>
      </c>
      <c r="L2260">
        <v>14.15</v>
      </c>
      <c r="M2260">
        <v>33</v>
      </c>
      <c r="N2260">
        <v>89</v>
      </c>
      <c r="O2260">
        <v>33</v>
      </c>
      <c r="P2260">
        <v>89</v>
      </c>
    </row>
    <row r="2261" spans="1:16" x14ac:dyDescent="0.25">
      <c r="A2261" t="s">
        <v>24687</v>
      </c>
      <c r="B2261" t="s">
        <v>24688</v>
      </c>
      <c r="C2261" t="s">
        <v>24689</v>
      </c>
      <c r="D2261" t="str">
        <f>"1700"</f>
        <v>1700</v>
      </c>
      <c r="E2261" t="s">
        <v>60</v>
      </c>
      <c r="F2261" t="s">
        <v>24622</v>
      </c>
      <c r="G2261" t="s">
        <v>16221</v>
      </c>
      <c r="H2261" t="s">
        <v>47054</v>
      </c>
      <c r="I2261" t="s">
        <v>47154</v>
      </c>
      <c r="J2261" t="s">
        <v>47155</v>
      </c>
      <c r="K2261" t="s">
        <v>47113</v>
      </c>
      <c r="L2261">
        <v>8.23</v>
      </c>
      <c r="M2261">
        <v>22</v>
      </c>
      <c r="N2261">
        <v>59</v>
      </c>
      <c r="O2261">
        <v>22</v>
      </c>
      <c r="P2261">
        <v>59</v>
      </c>
    </row>
    <row r="2262" spans="1:16" x14ac:dyDescent="0.25">
      <c r="A2262" t="s">
        <v>24690</v>
      </c>
      <c r="B2262" t="s">
        <v>24688</v>
      </c>
      <c r="C2262" t="s">
        <v>24689</v>
      </c>
      <c r="D2262" t="str">
        <f>"3196"</f>
        <v>3196</v>
      </c>
      <c r="E2262" t="s">
        <v>24691</v>
      </c>
      <c r="F2262" t="s">
        <v>24622</v>
      </c>
      <c r="G2262" t="s">
        <v>16221</v>
      </c>
      <c r="H2262" t="s">
        <v>47054</v>
      </c>
      <c r="I2262" t="s">
        <v>47154</v>
      </c>
      <c r="J2262" t="s">
        <v>47155</v>
      </c>
      <c r="K2262" t="s">
        <v>47113</v>
      </c>
      <c r="L2262">
        <v>8.23</v>
      </c>
      <c r="M2262">
        <v>22</v>
      </c>
      <c r="N2262">
        <v>59</v>
      </c>
      <c r="O2262">
        <v>22</v>
      </c>
      <c r="P2262">
        <v>59</v>
      </c>
    </row>
    <row r="2263" spans="1:16" x14ac:dyDescent="0.25">
      <c r="A2263" t="s">
        <v>24692</v>
      </c>
      <c r="B2263" t="s">
        <v>24693</v>
      </c>
      <c r="C2263" t="s">
        <v>24655</v>
      </c>
      <c r="D2263" t="str">
        <f>"4143"</f>
        <v>4143</v>
      </c>
      <c r="E2263" t="s">
        <v>261</v>
      </c>
      <c r="F2263" t="s">
        <v>24617</v>
      </c>
      <c r="G2263" t="s">
        <v>16221</v>
      </c>
      <c r="H2263" t="s">
        <v>47054</v>
      </c>
      <c r="I2263" t="s">
        <v>47120</v>
      </c>
      <c r="J2263" t="s">
        <v>47121</v>
      </c>
      <c r="K2263" t="s">
        <v>47113</v>
      </c>
      <c r="L2263">
        <v>17.3</v>
      </c>
      <c r="M2263">
        <v>37</v>
      </c>
      <c r="N2263">
        <v>99</v>
      </c>
      <c r="O2263">
        <v>37</v>
      </c>
      <c r="P2263">
        <v>99</v>
      </c>
    </row>
    <row r="2264" spans="1:16" x14ac:dyDescent="0.25">
      <c r="A2264" t="s">
        <v>24694</v>
      </c>
      <c r="B2264" t="s">
        <v>24695</v>
      </c>
      <c r="C2264" t="s">
        <v>24696</v>
      </c>
      <c r="D2264" t="str">
        <f>"1700"</f>
        <v>1700</v>
      </c>
      <c r="E2264" t="s">
        <v>60</v>
      </c>
      <c r="F2264" t="s">
        <v>24622</v>
      </c>
      <c r="G2264" t="s">
        <v>16221</v>
      </c>
      <c r="H2264" t="s">
        <v>47054</v>
      </c>
      <c r="I2264" t="s">
        <v>47154</v>
      </c>
      <c r="J2264" t="s">
        <v>47155</v>
      </c>
      <c r="K2264" t="s">
        <v>47113</v>
      </c>
      <c r="L2264">
        <v>8.33</v>
      </c>
      <c r="M2264">
        <v>22</v>
      </c>
      <c r="N2264">
        <v>59</v>
      </c>
      <c r="O2264">
        <v>22</v>
      </c>
      <c r="P2264">
        <v>59</v>
      </c>
    </row>
    <row r="2265" spans="1:16" x14ac:dyDescent="0.25">
      <c r="A2265" t="s">
        <v>46689</v>
      </c>
      <c r="B2265" t="s">
        <v>46690</v>
      </c>
      <c r="C2265" t="s">
        <v>24696</v>
      </c>
      <c r="D2265" t="str">
        <f>"1700"</f>
        <v>1700</v>
      </c>
      <c r="E2265" t="s">
        <v>60</v>
      </c>
      <c r="F2265" t="s">
        <v>24622</v>
      </c>
      <c r="G2265" t="s">
        <v>16221</v>
      </c>
      <c r="I2265" t="s">
        <v>47154</v>
      </c>
      <c r="J2265" t="s">
        <v>47155</v>
      </c>
      <c r="K2265" t="s">
        <v>47113</v>
      </c>
      <c r="L2265">
        <v>8.33</v>
      </c>
      <c r="M2265">
        <v>22</v>
      </c>
      <c r="N2265">
        <v>59</v>
      </c>
      <c r="O2265">
        <v>22</v>
      </c>
      <c r="P2265">
        <v>59</v>
      </c>
    </row>
    <row r="2266" spans="1:16" x14ac:dyDescent="0.25">
      <c r="A2266" t="s">
        <v>24697</v>
      </c>
      <c r="B2266" t="s">
        <v>24698</v>
      </c>
      <c r="C2266" t="s">
        <v>24699</v>
      </c>
      <c r="D2266" t="str">
        <f>"1006"</f>
        <v>1006</v>
      </c>
      <c r="E2266" t="s">
        <v>17350</v>
      </c>
      <c r="F2266" t="s">
        <v>24622</v>
      </c>
      <c r="G2266" t="s">
        <v>16221</v>
      </c>
      <c r="H2266" t="s">
        <v>47054</v>
      </c>
      <c r="I2266" t="s">
        <v>47154</v>
      </c>
      <c r="J2266" t="s">
        <v>47155</v>
      </c>
      <c r="K2266" t="s">
        <v>47113</v>
      </c>
      <c r="L2266">
        <v>10.29</v>
      </c>
      <c r="M2266">
        <v>26</v>
      </c>
      <c r="N2266">
        <v>69</v>
      </c>
      <c r="O2266">
        <v>26</v>
      </c>
      <c r="P2266">
        <v>69</v>
      </c>
    </row>
    <row r="2267" spans="1:16" x14ac:dyDescent="0.25">
      <c r="A2267" t="s">
        <v>24700</v>
      </c>
      <c r="B2267" t="s">
        <v>24701</v>
      </c>
      <c r="C2267" t="s">
        <v>24702</v>
      </c>
      <c r="D2267" t="str">
        <f>"1006"</f>
        <v>1006</v>
      </c>
      <c r="E2267" t="s">
        <v>17350</v>
      </c>
      <c r="F2267" t="s">
        <v>24622</v>
      </c>
      <c r="G2267" t="s">
        <v>16221</v>
      </c>
      <c r="H2267" t="s">
        <v>47054</v>
      </c>
      <c r="I2267" t="s">
        <v>47154</v>
      </c>
      <c r="J2267" t="s">
        <v>47155</v>
      </c>
      <c r="K2267" t="s">
        <v>47113</v>
      </c>
      <c r="L2267">
        <v>9.41</v>
      </c>
      <c r="M2267">
        <v>22</v>
      </c>
      <c r="N2267">
        <v>59</v>
      </c>
      <c r="O2267">
        <v>22</v>
      </c>
      <c r="P2267">
        <v>59</v>
      </c>
    </row>
    <row r="2268" spans="1:16" x14ac:dyDescent="0.25">
      <c r="A2268" t="s">
        <v>24703</v>
      </c>
      <c r="B2268" t="s">
        <v>24701</v>
      </c>
      <c r="C2268" t="s">
        <v>24702</v>
      </c>
      <c r="D2268" t="str">
        <f>"1700"</f>
        <v>1700</v>
      </c>
      <c r="E2268" t="s">
        <v>60</v>
      </c>
      <c r="F2268" t="s">
        <v>24622</v>
      </c>
      <c r="G2268" t="s">
        <v>16221</v>
      </c>
      <c r="H2268" t="s">
        <v>47054</v>
      </c>
      <c r="I2268" t="s">
        <v>47154</v>
      </c>
      <c r="J2268" t="s">
        <v>47155</v>
      </c>
      <c r="K2268" t="s">
        <v>47113</v>
      </c>
      <c r="L2268">
        <v>7.55</v>
      </c>
      <c r="M2268">
        <v>22</v>
      </c>
      <c r="N2268">
        <v>59</v>
      </c>
      <c r="O2268">
        <v>22</v>
      </c>
      <c r="P2268">
        <v>59</v>
      </c>
    </row>
    <row r="2269" spans="1:16" x14ac:dyDescent="0.25">
      <c r="A2269" t="s">
        <v>24704</v>
      </c>
      <c r="B2269" t="s">
        <v>24705</v>
      </c>
      <c r="C2269" t="s">
        <v>24706</v>
      </c>
      <c r="D2269" t="str">
        <f>"1700"</f>
        <v>1700</v>
      </c>
      <c r="E2269" t="s">
        <v>60</v>
      </c>
      <c r="F2269" t="s">
        <v>24627</v>
      </c>
      <c r="G2269" t="s">
        <v>16221</v>
      </c>
      <c r="H2269" t="s">
        <v>47054</v>
      </c>
      <c r="I2269" t="s">
        <v>47118</v>
      </c>
      <c r="J2269" t="s">
        <v>47119</v>
      </c>
      <c r="K2269" t="s">
        <v>47113</v>
      </c>
      <c r="L2269">
        <v>14.08</v>
      </c>
      <c r="M2269">
        <v>37</v>
      </c>
      <c r="N2269">
        <v>99</v>
      </c>
      <c r="O2269">
        <v>37</v>
      </c>
      <c r="P2269">
        <v>99</v>
      </c>
    </row>
    <row r="2270" spans="1:16" x14ac:dyDescent="0.25">
      <c r="A2270" t="s">
        <v>24707</v>
      </c>
      <c r="B2270" t="s">
        <v>24708</v>
      </c>
      <c r="C2270" t="s">
        <v>24709</v>
      </c>
      <c r="D2270" t="str">
        <f>"1700"</f>
        <v>1700</v>
      </c>
      <c r="E2270" t="s">
        <v>60</v>
      </c>
      <c r="F2270" t="s">
        <v>24627</v>
      </c>
      <c r="G2270" t="s">
        <v>16221</v>
      </c>
      <c r="H2270" t="s">
        <v>47054</v>
      </c>
      <c r="I2270" t="s">
        <v>47154</v>
      </c>
      <c r="J2270" t="s">
        <v>47155</v>
      </c>
      <c r="K2270" t="s">
        <v>47113</v>
      </c>
      <c r="L2270">
        <v>7.25</v>
      </c>
      <c r="M2270">
        <v>22</v>
      </c>
      <c r="N2270">
        <v>59</v>
      </c>
      <c r="O2270">
        <v>22</v>
      </c>
      <c r="P2270">
        <v>59</v>
      </c>
    </row>
    <row r="2271" spans="1:16" x14ac:dyDescent="0.25">
      <c r="A2271" t="s">
        <v>24710</v>
      </c>
      <c r="B2271" t="s">
        <v>24711</v>
      </c>
      <c r="C2271" t="s">
        <v>24712</v>
      </c>
      <c r="D2271" t="str">
        <f>"1001"</f>
        <v>1001</v>
      </c>
      <c r="E2271" t="s">
        <v>42</v>
      </c>
      <c r="F2271" t="s">
        <v>24622</v>
      </c>
      <c r="G2271" t="s">
        <v>16221</v>
      </c>
      <c r="H2271" t="s">
        <v>47054</v>
      </c>
      <c r="I2271" t="s">
        <v>47154</v>
      </c>
      <c r="J2271" t="s">
        <v>47155</v>
      </c>
      <c r="K2271" t="s">
        <v>47113</v>
      </c>
      <c r="L2271">
        <v>7.55</v>
      </c>
      <c r="M2271">
        <v>22</v>
      </c>
      <c r="N2271">
        <v>59</v>
      </c>
      <c r="O2271">
        <v>22</v>
      </c>
      <c r="P2271">
        <v>59</v>
      </c>
    </row>
    <row r="2272" spans="1:16" x14ac:dyDescent="0.25">
      <c r="A2272" t="s">
        <v>24713</v>
      </c>
      <c r="B2272" t="s">
        <v>24711</v>
      </c>
      <c r="C2272" t="s">
        <v>24712</v>
      </c>
      <c r="D2272" t="str">
        <f>"1700"</f>
        <v>1700</v>
      </c>
      <c r="E2272" t="s">
        <v>60</v>
      </c>
      <c r="F2272" t="s">
        <v>24622</v>
      </c>
      <c r="G2272" t="s">
        <v>16221</v>
      </c>
      <c r="H2272" t="s">
        <v>47054</v>
      </c>
      <c r="I2272" t="s">
        <v>47154</v>
      </c>
      <c r="J2272" t="s">
        <v>47155</v>
      </c>
      <c r="K2272" t="s">
        <v>47113</v>
      </c>
      <c r="L2272">
        <v>7.55</v>
      </c>
      <c r="M2272">
        <v>22</v>
      </c>
      <c r="N2272">
        <v>59</v>
      </c>
      <c r="O2272">
        <v>22</v>
      </c>
      <c r="P2272">
        <v>59</v>
      </c>
    </row>
    <row r="2273" spans="1:16" x14ac:dyDescent="0.25">
      <c r="A2273" t="s">
        <v>24714</v>
      </c>
      <c r="B2273" t="s">
        <v>24715</v>
      </c>
      <c r="C2273" t="s">
        <v>24716</v>
      </c>
      <c r="D2273" t="str">
        <f>"1700"</f>
        <v>1700</v>
      </c>
      <c r="E2273" t="s">
        <v>60</v>
      </c>
      <c r="F2273" t="s">
        <v>24627</v>
      </c>
      <c r="G2273" t="s">
        <v>16232</v>
      </c>
      <c r="H2273" t="s">
        <v>47054</v>
      </c>
      <c r="I2273" t="s">
        <v>47118</v>
      </c>
      <c r="J2273" t="s">
        <v>47119</v>
      </c>
      <c r="K2273" t="s">
        <v>47113</v>
      </c>
      <c r="L2273">
        <v>19.37</v>
      </c>
      <c r="M2273">
        <v>37</v>
      </c>
      <c r="N2273">
        <v>99</v>
      </c>
      <c r="O2273">
        <v>37</v>
      </c>
      <c r="P2273">
        <v>99</v>
      </c>
    </row>
    <row r="2274" spans="1:16" x14ac:dyDescent="0.25">
      <c r="A2274" t="s">
        <v>24717</v>
      </c>
      <c r="B2274" t="s">
        <v>24718</v>
      </c>
      <c r="C2274" t="s">
        <v>24719</v>
      </c>
      <c r="D2274" t="str">
        <f>"1006"</f>
        <v>1006</v>
      </c>
      <c r="E2274" t="s">
        <v>17350</v>
      </c>
      <c r="F2274" t="s">
        <v>24617</v>
      </c>
      <c r="G2274" t="s">
        <v>16232</v>
      </c>
      <c r="H2274" t="s">
        <v>47054</v>
      </c>
      <c r="I2274" t="s">
        <v>47154</v>
      </c>
      <c r="J2274" t="s">
        <v>47155</v>
      </c>
      <c r="K2274" t="s">
        <v>47113</v>
      </c>
      <c r="L2274">
        <v>12.25</v>
      </c>
      <c r="M2274">
        <v>37</v>
      </c>
      <c r="N2274">
        <v>99</v>
      </c>
      <c r="O2274">
        <v>37</v>
      </c>
      <c r="P2274">
        <v>99</v>
      </c>
    </row>
    <row r="2275" spans="1:16" x14ac:dyDescent="0.25">
      <c r="A2275" t="s">
        <v>24720</v>
      </c>
      <c r="B2275" t="s">
        <v>24718</v>
      </c>
      <c r="C2275" t="s">
        <v>24719</v>
      </c>
      <c r="D2275" t="str">
        <f>"1700"</f>
        <v>1700</v>
      </c>
      <c r="E2275" t="s">
        <v>60</v>
      </c>
      <c r="F2275" t="s">
        <v>24617</v>
      </c>
      <c r="G2275" t="s">
        <v>16232</v>
      </c>
      <c r="H2275" t="s">
        <v>47054</v>
      </c>
      <c r="I2275" t="s">
        <v>47154</v>
      </c>
      <c r="J2275" t="s">
        <v>47155</v>
      </c>
      <c r="K2275" t="s">
        <v>47113</v>
      </c>
      <c r="L2275">
        <v>10.44</v>
      </c>
      <c r="M2275">
        <v>37</v>
      </c>
      <c r="N2275">
        <v>99</v>
      </c>
      <c r="O2275">
        <v>37</v>
      </c>
      <c r="P2275">
        <v>99</v>
      </c>
    </row>
    <row r="2276" spans="1:16" x14ac:dyDescent="0.25">
      <c r="A2276" t="s">
        <v>24721</v>
      </c>
      <c r="B2276" t="s">
        <v>24722</v>
      </c>
      <c r="C2276" t="s">
        <v>24723</v>
      </c>
      <c r="D2276" t="str">
        <f>"4000"</f>
        <v>4000</v>
      </c>
      <c r="E2276" t="s">
        <v>24724</v>
      </c>
      <c r="F2276" t="s">
        <v>24617</v>
      </c>
      <c r="G2276" t="s">
        <v>16221</v>
      </c>
      <c r="H2276" t="s">
        <v>47054</v>
      </c>
      <c r="I2276" t="s">
        <v>47118</v>
      </c>
      <c r="J2276" t="s">
        <v>47119</v>
      </c>
      <c r="K2276" t="s">
        <v>47113</v>
      </c>
      <c r="L2276">
        <v>14.74</v>
      </c>
      <c r="M2276">
        <v>33</v>
      </c>
      <c r="N2276">
        <v>89</v>
      </c>
      <c r="O2276">
        <v>33</v>
      </c>
      <c r="P2276">
        <v>89</v>
      </c>
    </row>
    <row r="2277" spans="1:16" x14ac:dyDescent="0.25">
      <c r="A2277" t="s">
        <v>24725</v>
      </c>
      <c r="B2277" t="s">
        <v>24722</v>
      </c>
      <c r="C2277" t="s">
        <v>24723</v>
      </c>
      <c r="D2277" t="str">
        <f>"6000"</f>
        <v>6000</v>
      </c>
      <c r="E2277" t="s">
        <v>6279</v>
      </c>
      <c r="F2277" t="s">
        <v>24617</v>
      </c>
      <c r="G2277" t="s">
        <v>16221</v>
      </c>
      <c r="H2277" t="s">
        <v>47054</v>
      </c>
      <c r="I2277" t="s">
        <v>47118</v>
      </c>
      <c r="J2277" t="s">
        <v>47119</v>
      </c>
      <c r="K2277" t="s">
        <v>47113</v>
      </c>
      <c r="L2277">
        <v>14.74</v>
      </c>
      <c r="M2277">
        <v>33</v>
      </c>
      <c r="N2277">
        <v>89</v>
      </c>
      <c r="O2277">
        <v>33</v>
      </c>
      <c r="P2277">
        <v>89</v>
      </c>
    </row>
    <row r="2278" spans="1:16" x14ac:dyDescent="0.25">
      <c r="A2278" t="s">
        <v>24726</v>
      </c>
      <c r="B2278" t="s">
        <v>24727</v>
      </c>
      <c r="C2278" t="s">
        <v>24728</v>
      </c>
      <c r="D2278" t="str">
        <f>"4143"</f>
        <v>4143</v>
      </c>
      <c r="E2278" t="s">
        <v>261</v>
      </c>
      <c r="F2278" t="s">
        <v>24627</v>
      </c>
      <c r="G2278" t="s">
        <v>16221</v>
      </c>
      <c r="H2278" t="s">
        <v>47054</v>
      </c>
      <c r="I2278" t="s">
        <v>47120</v>
      </c>
      <c r="J2278" t="s">
        <v>47121</v>
      </c>
      <c r="K2278" t="s">
        <v>47113</v>
      </c>
      <c r="L2278">
        <v>17.22</v>
      </c>
      <c r="M2278">
        <v>37</v>
      </c>
      <c r="N2278">
        <v>99</v>
      </c>
      <c r="O2278">
        <v>37</v>
      </c>
      <c r="P2278">
        <v>99</v>
      </c>
    </row>
    <row r="2279" spans="1:16" x14ac:dyDescent="0.25">
      <c r="A2279" t="s">
        <v>24729</v>
      </c>
      <c r="B2279" t="s">
        <v>24730</v>
      </c>
      <c r="C2279" t="s">
        <v>24731</v>
      </c>
      <c r="D2279" t="str">
        <f>"1700"</f>
        <v>1700</v>
      </c>
      <c r="E2279" t="s">
        <v>60</v>
      </c>
      <c r="F2279" t="s">
        <v>24617</v>
      </c>
      <c r="G2279" t="s">
        <v>16232</v>
      </c>
      <c r="H2279" t="s">
        <v>47054</v>
      </c>
      <c r="I2279" t="s">
        <v>47120</v>
      </c>
      <c r="J2279" t="s">
        <v>47121</v>
      </c>
      <c r="K2279" t="s">
        <v>47113</v>
      </c>
      <c r="L2279">
        <v>17.5</v>
      </c>
      <c r="M2279">
        <v>37</v>
      </c>
      <c r="N2279">
        <v>99</v>
      </c>
      <c r="O2279">
        <v>37</v>
      </c>
      <c r="P2279">
        <v>99</v>
      </c>
    </row>
    <row r="2280" spans="1:16" x14ac:dyDescent="0.25">
      <c r="A2280" t="s">
        <v>24732</v>
      </c>
      <c r="B2280" t="s">
        <v>24730</v>
      </c>
      <c r="C2280" t="s">
        <v>24731</v>
      </c>
      <c r="D2280" t="str">
        <f>"4100"</f>
        <v>4100</v>
      </c>
      <c r="E2280" t="s">
        <v>15303</v>
      </c>
      <c r="F2280" t="s">
        <v>24617</v>
      </c>
      <c r="G2280" t="s">
        <v>16232</v>
      </c>
      <c r="H2280" t="s">
        <v>47054</v>
      </c>
      <c r="I2280" t="s">
        <v>47120</v>
      </c>
      <c r="J2280" t="s">
        <v>47121</v>
      </c>
      <c r="K2280" t="s">
        <v>47113</v>
      </c>
      <c r="L2280">
        <v>17.5</v>
      </c>
      <c r="M2280">
        <v>37</v>
      </c>
      <c r="N2280">
        <v>99</v>
      </c>
      <c r="O2280">
        <v>37</v>
      </c>
      <c r="P2280">
        <v>99</v>
      </c>
    </row>
    <row r="2281" spans="1:16" x14ac:dyDescent="0.25">
      <c r="A2281" t="s">
        <v>24733</v>
      </c>
      <c r="B2281" t="s">
        <v>24734</v>
      </c>
      <c r="C2281" t="s">
        <v>24735</v>
      </c>
      <c r="D2281" t="str">
        <f>"1001"</f>
        <v>1001</v>
      </c>
      <c r="E2281" t="s">
        <v>42</v>
      </c>
      <c r="F2281" t="s">
        <v>24622</v>
      </c>
      <c r="G2281" t="s">
        <v>16232</v>
      </c>
      <c r="H2281" t="s">
        <v>47054</v>
      </c>
      <c r="I2281" t="s">
        <v>47118</v>
      </c>
      <c r="J2281" t="s">
        <v>47119</v>
      </c>
      <c r="K2281" t="s">
        <v>47113</v>
      </c>
      <c r="L2281">
        <v>17.62</v>
      </c>
      <c r="M2281">
        <v>37</v>
      </c>
      <c r="N2281">
        <v>99</v>
      </c>
      <c r="O2281">
        <v>37</v>
      </c>
      <c r="P2281">
        <v>99</v>
      </c>
    </row>
    <row r="2282" spans="1:16" x14ac:dyDescent="0.25">
      <c r="A2282" t="s">
        <v>24736</v>
      </c>
      <c r="B2282" t="s">
        <v>24737</v>
      </c>
      <c r="C2282" t="s">
        <v>24738</v>
      </c>
      <c r="D2282" t="str">
        <f>"1006"</f>
        <v>1006</v>
      </c>
      <c r="E2282" t="s">
        <v>17350</v>
      </c>
      <c r="F2282" t="s">
        <v>24617</v>
      </c>
      <c r="G2282" t="s">
        <v>16221</v>
      </c>
      <c r="H2282" t="s">
        <v>47054</v>
      </c>
      <c r="I2282" t="s">
        <v>47118</v>
      </c>
      <c r="J2282" t="s">
        <v>47119</v>
      </c>
      <c r="K2282" t="s">
        <v>47113</v>
      </c>
      <c r="L2282">
        <v>14.68</v>
      </c>
      <c r="M2282">
        <v>33</v>
      </c>
      <c r="N2282">
        <v>89</v>
      </c>
      <c r="O2282">
        <v>33</v>
      </c>
      <c r="P2282">
        <v>89</v>
      </c>
    </row>
    <row r="2283" spans="1:16" x14ac:dyDescent="0.25">
      <c r="A2283" t="s">
        <v>24739</v>
      </c>
      <c r="B2283" t="s">
        <v>24740</v>
      </c>
      <c r="C2283" t="s">
        <v>24741</v>
      </c>
      <c r="D2283" t="str">
        <f>"4143"</f>
        <v>4143</v>
      </c>
      <c r="E2283" t="s">
        <v>261</v>
      </c>
      <c r="F2283" t="s">
        <v>24622</v>
      </c>
      <c r="G2283" t="s">
        <v>16221</v>
      </c>
      <c r="H2283" t="s">
        <v>47054</v>
      </c>
      <c r="I2283" t="s">
        <v>47120</v>
      </c>
      <c r="J2283" t="s">
        <v>47121</v>
      </c>
      <c r="K2283" t="s">
        <v>47113</v>
      </c>
      <c r="L2283">
        <v>16.61</v>
      </c>
      <c r="M2283">
        <v>37</v>
      </c>
      <c r="N2283">
        <v>99</v>
      </c>
      <c r="O2283">
        <v>37</v>
      </c>
      <c r="P2283">
        <v>99</v>
      </c>
    </row>
    <row r="2284" spans="1:16" x14ac:dyDescent="0.25">
      <c r="A2284" t="s">
        <v>24742</v>
      </c>
      <c r="B2284" t="s">
        <v>24743</v>
      </c>
      <c r="C2284" t="s">
        <v>24744</v>
      </c>
      <c r="D2284" t="str">
        <f>"4143"</f>
        <v>4143</v>
      </c>
      <c r="E2284" t="s">
        <v>261</v>
      </c>
      <c r="F2284" t="s">
        <v>24622</v>
      </c>
      <c r="G2284" t="s">
        <v>16221</v>
      </c>
      <c r="H2284" t="s">
        <v>47054</v>
      </c>
      <c r="I2284" t="s">
        <v>47120</v>
      </c>
      <c r="J2284" t="s">
        <v>47121</v>
      </c>
      <c r="K2284" t="s">
        <v>47113</v>
      </c>
      <c r="L2284">
        <v>16.61</v>
      </c>
      <c r="M2284">
        <v>37</v>
      </c>
      <c r="N2284">
        <v>99</v>
      </c>
      <c r="O2284">
        <v>37</v>
      </c>
      <c r="P2284">
        <v>99</v>
      </c>
    </row>
    <row r="2285" spans="1:16" x14ac:dyDescent="0.25">
      <c r="A2285" t="s">
        <v>24745</v>
      </c>
      <c r="B2285" t="s">
        <v>24746</v>
      </c>
      <c r="C2285" t="s">
        <v>24747</v>
      </c>
      <c r="D2285" t="str">
        <f>"1700"</f>
        <v>1700</v>
      </c>
      <c r="E2285" t="s">
        <v>24748</v>
      </c>
      <c r="F2285" t="s">
        <v>24627</v>
      </c>
      <c r="G2285" t="s">
        <v>16232</v>
      </c>
      <c r="I2285" t="s">
        <v>47118</v>
      </c>
      <c r="J2285" t="s">
        <v>47119</v>
      </c>
      <c r="K2285" t="s">
        <v>47113</v>
      </c>
      <c r="L2285">
        <v>17.02</v>
      </c>
      <c r="M2285">
        <v>37</v>
      </c>
      <c r="N2285">
        <v>99</v>
      </c>
      <c r="O2285">
        <v>37</v>
      </c>
      <c r="P2285">
        <v>99</v>
      </c>
    </row>
    <row r="2286" spans="1:16" x14ac:dyDescent="0.25">
      <c r="A2286" t="s">
        <v>24749</v>
      </c>
      <c r="B2286" t="s">
        <v>24750</v>
      </c>
      <c r="C2286" t="s">
        <v>24751</v>
      </c>
      <c r="D2286" t="str">
        <f>"1518"</f>
        <v>1518</v>
      </c>
      <c r="E2286" t="s">
        <v>14461</v>
      </c>
      <c r="F2286" t="s">
        <v>24622</v>
      </c>
      <c r="G2286" t="s">
        <v>16232</v>
      </c>
      <c r="H2286" t="s">
        <v>47054</v>
      </c>
      <c r="I2286" t="s">
        <v>47118</v>
      </c>
      <c r="J2286" t="s">
        <v>47119</v>
      </c>
      <c r="K2286" t="s">
        <v>47113</v>
      </c>
      <c r="L2286">
        <v>17.739999999999998</v>
      </c>
      <c r="M2286">
        <v>37</v>
      </c>
      <c r="N2286">
        <v>99</v>
      </c>
      <c r="O2286">
        <v>37</v>
      </c>
      <c r="P2286">
        <v>99</v>
      </c>
    </row>
    <row r="2287" spans="1:16" x14ac:dyDescent="0.25">
      <c r="A2287" t="s">
        <v>24752</v>
      </c>
      <c r="B2287" t="s">
        <v>24753</v>
      </c>
      <c r="C2287" t="s">
        <v>10188</v>
      </c>
      <c r="D2287" t="str">
        <f>"4143"</f>
        <v>4143</v>
      </c>
      <c r="E2287" t="s">
        <v>261</v>
      </c>
      <c r="F2287" t="s">
        <v>24622</v>
      </c>
      <c r="G2287" t="s">
        <v>16235</v>
      </c>
      <c r="H2287" t="s">
        <v>47054</v>
      </c>
      <c r="I2287" t="s">
        <v>47120</v>
      </c>
      <c r="J2287" t="s">
        <v>47121</v>
      </c>
      <c r="K2287" t="s">
        <v>47113</v>
      </c>
      <c r="L2287">
        <v>26.64</v>
      </c>
      <c r="M2287">
        <v>55</v>
      </c>
      <c r="N2287">
        <v>149</v>
      </c>
      <c r="O2287">
        <v>55</v>
      </c>
      <c r="P2287">
        <v>149</v>
      </c>
    </row>
    <row r="2288" spans="1:16" x14ac:dyDescent="0.25">
      <c r="A2288" t="s">
        <v>24754</v>
      </c>
      <c r="B2288" t="s">
        <v>24755</v>
      </c>
      <c r="C2288" t="s">
        <v>10188</v>
      </c>
      <c r="D2288" t="str">
        <f>"6000"</f>
        <v>6000</v>
      </c>
      <c r="E2288" t="s">
        <v>6279</v>
      </c>
      <c r="F2288" t="s">
        <v>24622</v>
      </c>
      <c r="G2288" t="s">
        <v>16221</v>
      </c>
      <c r="H2288" t="s">
        <v>47054</v>
      </c>
      <c r="I2288" t="s">
        <v>47120</v>
      </c>
      <c r="J2288" t="s">
        <v>47121</v>
      </c>
      <c r="K2288" t="s">
        <v>47113</v>
      </c>
      <c r="L2288">
        <v>29.81</v>
      </c>
      <c r="M2288">
        <v>55</v>
      </c>
      <c r="N2288">
        <v>149</v>
      </c>
      <c r="O2288">
        <v>55</v>
      </c>
      <c r="P2288">
        <v>149</v>
      </c>
    </row>
    <row r="2289" spans="1:16" x14ac:dyDescent="0.25">
      <c r="A2289" t="s">
        <v>24756</v>
      </c>
      <c r="B2289" t="s">
        <v>24757</v>
      </c>
      <c r="C2289" t="s">
        <v>24758</v>
      </c>
      <c r="D2289" t="str">
        <f>"4143"</f>
        <v>4143</v>
      </c>
      <c r="E2289" t="s">
        <v>261</v>
      </c>
      <c r="F2289" t="s">
        <v>24627</v>
      </c>
      <c r="G2289" t="s">
        <v>16235</v>
      </c>
      <c r="H2289" t="s">
        <v>47054</v>
      </c>
      <c r="I2289" t="s">
        <v>47120</v>
      </c>
      <c r="J2289" t="s">
        <v>47121</v>
      </c>
      <c r="K2289" t="s">
        <v>47113</v>
      </c>
      <c r="L2289">
        <v>23.27</v>
      </c>
      <c r="M2289">
        <v>48</v>
      </c>
      <c r="N2289">
        <v>129</v>
      </c>
      <c r="O2289">
        <v>48</v>
      </c>
      <c r="P2289">
        <v>129</v>
      </c>
    </row>
    <row r="2290" spans="1:16" x14ac:dyDescent="0.25">
      <c r="A2290" t="s">
        <v>24759</v>
      </c>
      <c r="B2290" t="s">
        <v>24760</v>
      </c>
      <c r="C2290" t="s">
        <v>24761</v>
      </c>
      <c r="D2290" t="str">
        <f>"4000"</f>
        <v>4000</v>
      </c>
      <c r="E2290" t="s">
        <v>261</v>
      </c>
      <c r="F2290" t="s">
        <v>24627</v>
      </c>
      <c r="G2290" t="s">
        <v>16235</v>
      </c>
      <c r="H2290" t="s">
        <v>47054</v>
      </c>
      <c r="I2290" t="s">
        <v>47120</v>
      </c>
      <c r="J2290" t="s">
        <v>47121</v>
      </c>
      <c r="K2290" t="s">
        <v>47113</v>
      </c>
      <c r="L2290">
        <v>26.95</v>
      </c>
      <c r="M2290">
        <v>63</v>
      </c>
      <c r="N2290">
        <v>169</v>
      </c>
      <c r="O2290">
        <v>63</v>
      </c>
      <c r="P2290">
        <v>169</v>
      </c>
    </row>
    <row r="2291" spans="1:16" x14ac:dyDescent="0.25">
      <c r="A2291" t="s">
        <v>24762</v>
      </c>
      <c r="B2291" t="s">
        <v>24763</v>
      </c>
      <c r="C2291" t="s">
        <v>24764</v>
      </c>
      <c r="D2291" t="str">
        <f>"1001"</f>
        <v>1001</v>
      </c>
      <c r="E2291" t="s">
        <v>42</v>
      </c>
      <c r="F2291" t="s">
        <v>24617</v>
      </c>
      <c r="G2291" t="s">
        <v>16221</v>
      </c>
      <c r="H2291" t="s">
        <v>47054</v>
      </c>
      <c r="I2291" t="s">
        <v>47120</v>
      </c>
      <c r="J2291" t="s">
        <v>47121</v>
      </c>
      <c r="K2291" t="s">
        <v>47113</v>
      </c>
      <c r="L2291">
        <v>13.81</v>
      </c>
      <c r="M2291">
        <v>33</v>
      </c>
      <c r="N2291">
        <v>89</v>
      </c>
      <c r="O2291">
        <v>33</v>
      </c>
      <c r="P2291">
        <v>89</v>
      </c>
    </row>
    <row r="2292" spans="1:16" x14ac:dyDescent="0.25">
      <c r="A2292" t="s">
        <v>24765</v>
      </c>
      <c r="B2292" t="s">
        <v>24763</v>
      </c>
      <c r="C2292" t="s">
        <v>24764</v>
      </c>
      <c r="D2292" t="str">
        <f>"1700"</f>
        <v>1700</v>
      </c>
      <c r="E2292" t="s">
        <v>60</v>
      </c>
      <c r="F2292" t="s">
        <v>24617</v>
      </c>
      <c r="G2292" t="s">
        <v>16221</v>
      </c>
      <c r="H2292" t="s">
        <v>47054</v>
      </c>
      <c r="I2292" t="s">
        <v>47120</v>
      </c>
      <c r="J2292" t="s">
        <v>47121</v>
      </c>
      <c r="K2292" t="s">
        <v>47113</v>
      </c>
      <c r="L2292">
        <v>14.72</v>
      </c>
      <c r="M2292">
        <v>33</v>
      </c>
      <c r="N2292">
        <v>89</v>
      </c>
      <c r="O2292">
        <v>33</v>
      </c>
      <c r="P2292">
        <v>89</v>
      </c>
    </row>
    <row r="2293" spans="1:16" x14ac:dyDescent="0.25">
      <c r="A2293" t="s">
        <v>24766</v>
      </c>
      <c r="B2293" t="s">
        <v>24763</v>
      </c>
      <c r="C2293" t="s">
        <v>24764</v>
      </c>
      <c r="D2293" t="str">
        <f>"3106"</f>
        <v>3106</v>
      </c>
      <c r="E2293" t="s">
        <v>24691</v>
      </c>
      <c r="F2293" t="s">
        <v>24617</v>
      </c>
      <c r="G2293" t="s">
        <v>16221</v>
      </c>
      <c r="H2293" t="s">
        <v>47054</v>
      </c>
      <c r="I2293" t="s">
        <v>47120</v>
      </c>
      <c r="J2293" t="s">
        <v>47121</v>
      </c>
      <c r="K2293" t="s">
        <v>47113</v>
      </c>
      <c r="L2293">
        <v>13.81</v>
      </c>
      <c r="M2293">
        <v>33</v>
      </c>
      <c r="N2293">
        <v>89</v>
      </c>
      <c r="O2293">
        <v>33</v>
      </c>
      <c r="P2293">
        <v>89</v>
      </c>
    </row>
    <row r="2294" spans="1:16" x14ac:dyDescent="0.25">
      <c r="A2294" t="s">
        <v>24767</v>
      </c>
      <c r="B2294" t="s">
        <v>24768</v>
      </c>
      <c r="C2294" t="s">
        <v>150</v>
      </c>
      <c r="D2294" t="str">
        <f>"1006"</f>
        <v>1006</v>
      </c>
      <c r="E2294" t="s">
        <v>17350</v>
      </c>
      <c r="F2294" t="s">
        <v>24617</v>
      </c>
      <c r="G2294" t="s">
        <v>16222</v>
      </c>
      <c r="H2294" t="s">
        <v>47054</v>
      </c>
      <c r="I2294" t="s">
        <v>47120</v>
      </c>
      <c r="J2294" t="s">
        <v>47121</v>
      </c>
      <c r="K2294" t="s">
        <v>47113</v>
      </c>
      <c r="L2294">
        <v>28.68</v>
      </c>
      <c r="M2294">
        <v>63</v>
      </c>
      <c r="N2294">
        <v>169</v>
      </c>
      <c r="O2294">
        <v>63</v>
      </c>
      <c r="P2294">
        <v>169</v>
      </c>
    </row>
    <row r="2295" spans="1:16" x14ac:dyDescent="0.25">
      <c r="A2295" t="s">
        <v>24769</v>
      </c>
      <c r="B2295" t="s">
        <v>24770</v>
      </c>
      <c r="C2295" t="s">
        <v>150</v>
      </c>
      <c r="D2295" t="str">
        <f>"1501"</f>
        <v>1501</v>
      </c>
      <c r="E2295" t="s">
        <v>46</v>
      </c>
      <c r="F2295" t="s">
        <v>24622</v>
      </c>
      <c r="G2295" t="s">
        <v>16222</v>
      </c>
      <c r="H2295" t="s">
        <v>47054</v>
      </c>
      <c r="I2295" t="s">
        <v>47120</v>
      </c>
      <c r="J2295" t="s">
        <v>47121</v>
      </c>
      <c r="K2295" t="s">
        <v>47113</v>
      </c>
      <c r="L2295">
        <v>27.42</v>
      </c>
      <c r="M2295">
        <v>55</v>
      </c>
      <c r="N2295">
        <v>149</v>
      </c>
      <c r="O2295">
        <v>55</v>
      </c>
      <c r="P2295">
        <v>149</v>
      </c>
    </row>
    <row r="2296" spans="1:16" x14ac:dyDescent="0.25">
      <c r="A2296" t="s">
        <v>24771</v>
      </c>
      <c r="B2296" t="s">
        <v>24772</v>
      </c>
      <c r="C2296" t="s">
        <v>46691</v>
      </c>
      <c r="D2296" t="str">
        <f>"4143"</f>
        <v>4143</v>
      </c>
      <c r="E2296" t="s">
        <v>261</v>
      </c>
      <c r="F2296" t="s">
        <v>24622</v>
      </c>
      <c r="G2296" t="s">
        <v>16222</v>
      </c>
      <c r="H2296" t="s">
        <v>47054</v>
      </c>
      <c r="I2296" t="s">
        <v>47120</v>
      </c>
      <c r="J2296" t="s">
        <v>47121</v>
      </c>
      <c r="K2296" t="s">
        <v>47113</v>
      </c>
      <c r="L2296">
        <v>21.8</v>
      </c>
      <c r="M2296">
        <v>55</v>
      </c>
      <c r="N2296">
        <v>149</v>
      </c>
      <c r="O2296">
        <v>55</v>
      </c>
      <c r="P2296">
        <v>149</v>
      </c>
    </row>
    <row r="2297" spans="1:16" x14ac:dyDescent="0.25">
      <c r="A2297" t="s">
        <v>24773</v>
      </c>
      <c r="B2297" t="s">
        <v>24774</v>
      </c>
      <c r="C2297" t="s">
        <v>24775</v>
      </c>
      <c r="D2297" t="str">
        <f>"4143"</f>
        <v>4143</v>
      </c>
      <c r="E2297" t="s">
        <v>24776</v>
      </c>
      <c r="F2297" t="s">
        <v>24627</v>
      </c>
      <c r="G2297" t="s">
        <v>16222</v>
      </c>
      <c r="H2297" t="s">
        <v>47054</v>
      </c>
      <c r="I2297" t="s">
        <v>47120</v>
      </c>
      <c r="J2297" t="s">
        <v>47121</v>
      </c>
      <c r="K2297" t="s">
        <v>47113</v>
      </c>
      <c r="L2297">
        <v>25.49</v>
      </c>
      <c r="M2297">
        <v>48</v>
      </c>
      <c r="N2297">
        <v>129</v>
      </c>
      <c r="O2297">
        <v>48</v>
      </c>
      <c r="P2297">
        <v>129</v>
      </c>
    </row>
    <row r="2298" spans="1:16" x14ac:dyDescent="0.25">
      <c r="A2298" t="s">
        <v>24777</v>
      </c>
      <c r="B2298" t="s">
        <v>3748</v>
      </c>
      <c r="C2298" t="s">
        <v>3749</v>
      </c>
      <c r="D2298" t="str">
        <f>"1001"</f>
        <v>1001</v>
      </c>
      <c r="E2298" t="s">
        <v>42</v>
      </c>
      <c r="F2298" t="s">
        <v>3750</v>
      </c>
      <c r="G2298" t="s">
        <v>16226</v>
      </c>
      <c r="H2298" t="s">
        <v>47054</v>
      </c>
      <c r="I2298" t="s">
        <v>47120</v>
      </c>
      <c r="J2298" t="s">
        <v>47121</v>
      </c>
      <c r="K2298" t="s">
        <v>47113</v>
      </c>
      <c r="L2298">
        <v>13.8</v>
      </c>
      <c r="M2298">
        <v>34</v>
      </c>
      <c r="N2298">
        <v>0</v>
      </c>
      <c r="O2298">
        <v>34</v>
      </c>
      <c r="P2298">
        <v>0</v>
      </c>
    </row>
    <row r="2299" spans="1:16" x14ac:dyDescent="0.25">
      <c r="A2299" t="s">
        <v>24778</v>
      </c>
      <c r="B2299" t="s">
        <v>3751</v>
      </c>
      <c r="C2299" t="s">
        <v>3752</v>
      </c>
      <c r="D2299" t="str">
        <f>"1001"</f>
        <v>1001</v>
      </c>
      <c r="E2299" t="s">
        <v>42</v>
      </c>
      <c r="F2299" t="s">
        <v>3750</v>
      </c>
      <c r="G2299" t="s">
        <v>16226</v>
      </c>
      <c r="H2299" t="s">
        <v>47054</v>
      </c>
      <c r="I2299" t="s">
        <v>47120</v>
      </c>
      <c r="J2299" t="s">
        <v>47121</v>
      </c>
      <c r="K2299" t="s">
        <v>47113</v>
      </c>
      <c r="L2299">
        <v>13.8</v>
      </c>
      <c r="M2299">
        <v>34</v>
      </c>
      <c r="N2299">
        <v>0</v>
      </c>
      <c r="O2299">
        <v>34</v>
      </c>
      <c r="P2299">
        <v>0</v>
      </c>
    </row>
    <row r="2300" spans="1:16" x14ac:dyDescent="0.25">
      <c r="A2300" t="s">
        <v>24779</v>
      </c>
      <c r="B2300" t="s">
        <v>24780</v>
      </c>
      <c r="C2300" t="s">
        <v>18102</v>
      </c>
      <c r="D2300" t="str">
        <f>"4168"</f>
        <v>4168</v>
      </c>
      <c r="E2300" t="s">
        <v>261</v>
      </c>
      <c r="F2300" t="s">
        <v>24617</v>
      </c>
      <c r="G2300" t="s">
        <v>16448</v>
      </c>
      <c r="H2300" t="s">
        <v>47054</v>
      </c>
      <c r="I2300" t="s">
        <v>47120</v>
      </c>
      <c r="J2300" t="s">
        <v>47121</v>
      </c>
      <c r="K2300" t="s">
        <v>47113</v>
      </c>
      <c r="L2300">
        <v>151.46</v>
      </c>
      <c r="M2300">
        <v>296</v>
      </c>
      <c r="N2300">
        <v>799</v>
      </c>
      <c r="O2300">
        <v>296</v>
      </c>
      <c r="P2300">
        <v>799</v>
      </c>
    </row>
    <row r="2301" spans="1:16" x14ac:dyDescent="0.25">
      <c r="A2301" t="s">
        <v>24781</v>
      </c>
      <c r="B2301" t="s">
        <v>24782</v>
      </c>
      <c r="C2301" t="s">
        <v>24783</v>
      </c>
      <c r="D2301" t="str">
        <f>"4100"</f>
        <v>4100</v>
      </c>
      <c r="E2301" t="s">
        <v>24784</v>
      </c>
      <c r="F2301" t="s">
        <v>24617</v>
      </c>
      <c r="G2301" t="s">
        <v>16448</v>
      </c>
      <c r="H2301" t="s">
        <v>47054</v>
      </c>
      <c r="I2301" t="s">
        <v>47120</v>
      </c>
      <c r="J2301" t="s">
        <v>47121</v>
      </c>
      <c r="K2301" t="s">
        <v>47113</v>
      </c>
      <c r="L2301">
        <v>57.14</v>
      </c>
      <c r="M2301">
        <v>111</v>
      </c>
      <c r="N2301">
        <v>299</v>
      </c>
      <c r="O2301">
        <v>111</v>
      </c>
      <c r="P2301">
        <v>299</v>
      </c>
    </row>
    <row r="2302" spans="1:16" x14ac:dyDescent="0.25">
      <c r="A2302" t="s">
        <v>24785</v>
      </c>
      <c r="B2302" t="s">
        <v>16505</v>
      </c>
      <c r="C2302" t="s">
        <v>16506</v>
      </c>
      <c r="D2302" t="s">
        <v>16507</v>
      </c>
      <c r="E2302" t="s">
        <v>16508</v>
      </c>
      <c r="F2302" t="s">
        <v>3750</v>
      </c>
      <c r="G2302" t="s">
        <v>16231</v>
      </c>
      <c r="H2302" t="s">
        <v>47054</v>
      </c>
      <c r="I2302" t="s">
        <v>47116</v>
      </c>
      <c r="J2302" t="s">
        <v>47117</v>
      </c>
      <c r="K2302" t="s">
        <v>47113</v>
      </c>
      <c r="L2302">
        <v>35.049999999999997</v>
      </c>
      <c r="M2302">
        <v>135</v>
      </c>
      <c r="N2302">
        <v>0</v>
      </c>
      <c r="O2302">
        <v>135</v>
      </c>
      <c r="P2302">
        <v>0</v>
      </c>
    </row>
    <row r="2303" spans="1:16" x14ac:dyDescent="0.25">
      <c r="A2303" t="s">
        <v>24786</v>
      </c>
      <c r="B2303" t="s">
        <v>16509</v>
      </c>
      <c r="C2303" t="s">
        <v>16506</v>
      </c>
      <c r="D2303" t="s">
        <v>16510</v>
      </c>
      <c r="E2303" t="s">
        <v>16511</v>
      </c>
      <c r="F2303" t="s">
        <v>3750</v>
      </c>
      <c r="G2303" t="s">
        <v>16231</v>
      </c>
      <c r="H2303" t="s">
        <v>47054</v>
      </c>
      <c r="I2303" t="s">
        <v>47116</v>
      </c>
      <c r="J2303" t="s">
        <v>47117</v>
      </c>
      <c r="K2303" t="s">
        <v>47113</v>
      </c>
      <c r="L2303">
        <v>36.130000000000003</v>
      </c>
      <c r="M2303">
        <v>135</v>
      </c>
      <c r="N2303">
        <v>0</v>
      </c>
      <c r="O2303">
        <v>135</v>
      </c>
      <c r="P2303">
        <v>0</v>
      </c>
    </row>
    <row r="2304" spans="1:16" x14ac:dyDescent="0.25">
      <c r="A2304" t="s">
        <v>24787</v>
      </c>
      <c r="B2304" t="s">
        <v>3753</v>
      </c>
      <c r="C2304" t="s">
        <v>3754</v>
      </c>
      <c r="D2304" t="str">
        <f>"1106"</f>
        <v>1106</v>
      </c>
      <c r="E2304" t="s">
        <v>460</v>
      </c>
      <c r="F2304" t="s">
        <v>2068</v>
      </c>
      <c r="G2304" t="s">
        <v>16232</v>
      </c>
      <c r="H2304" t="s">
        <v>47126</v>
      </c>
      <c r="I2304" t="s">
        <v>47127</v>
      </c>
      <c r="J2304" t="s">
        <v>47128</v>
      </c>
      <c r="K2304" t="s">
        <v>47113</v>
      </c>
      <c r="L2304">
        <v>19.690000000000001</v>
      </c>
      <c r="M2304">
        <v>48</v>
      </c>
      <c r="N2304">
        <v>0</v>
      </c>
      <c r="O2304">
        <v>48</v>
      </c>
      <c r="P2304">
        <v>0</v>
      </c>
    </row>
    <row r="2305" spans="1:16" x14ac:dyDescent="0.25">
      <c r="A2305" t="s">
        <v>24788</v>
      </c>
      <c r="B2305" t="s">
        <v>3753</v>
      </c>
      <c r="C2305" t="s">
        <v>3754</v>
      </c>
      <c r="D2305" t="str">
        <f>"1377"</f>
        <v>1377</v>
      </c>
      <c r="E2305" t="s">
        <v>74</v>
      </c>
      <c r="F2305" t="s">
        <v>2068</v>
      </c>
      <c r="G2305" t="s">
        <v>16232</v>
      </c>
      <c r="H2305" t="s">
        <v>47126</v>
      </c>
      <c r="I2305" t="s">
        <v>47127</v>
      </c>
      <c r="J2305" t="s">
        <v>47128</v>
      </c>
      <c r="K2305" t="s">
        <v>47113</v>
      </c>
      <c r="L2305">
        <v>19.690000000000001</v>
      </c>
      <c r="M2305">
        <v>48</v>
      </c>
      <c r="N2305">
        <v>0</v>
      </c>
      <c r="O2305">
        <v>48</v>
      </c>
      <c r="P2305">
        <v>0</v>
      </c>
    </row>
    <row r="2306" spans="1:16" x14ac:dyDescent="0.25">
      <c r="A2306" t="s">
        <v>24789</v>
      </c>
      <c r="B2306" t="s">
        <v>3753</v>
      </c>
      <c r="C2306" t="s">
        <v>3754</v>
      </c>
      <c r="D2306" t="str">
        <f>"1378"</f>
        <v>1378</v>
      </c>
      <c r="E2306" t="s">
        <v>388</v>
      </c>
      <c r="F2306" t="s">
        <v>2068</v>
      </c>
      <c r="G2306" t="s">
        <v>16232</v>
      </c>
      <c r="H2306" t="s">
        <v>47126</v>
      </c>
      <c r="I2306" t="s">
        <v>47127</v>
      </c>
      <c r="J2306" t="s">
        <v>47128</v>
      </c>
      <c r="K2306" t="s">
        <v>47113</v>
      </c>
      <c r="L2306">
        <v>19.690000000000001</v>
      </c>
      <c r="M2306">
        <v>48</v>
      </c>
      <c r="N2306">
        <v>0</v>
      </c>
      <c r="O2306">
        <v>48</v>
      </c>
      <c r="P2306">
        <v>0</v>
      </c>
    </row>
    <row r="2307" spans="1:16" x14ac:dyDescent="0.25">
      <c r="A2307" t="s">
        <v>24790</v>
      </c>
      <c r="B2307" t="s">
        <v>3753</v>
      </c>
      <c r="C2307" t="s">
        <v>3754</v>
      </c>
      <c r="D2307" t="str">
        <f>"2166"</f>
        <v>2166</v>
      </c>
      <c r="E2307" t="s">
        <v>80</v>
      </c>
      <c r="F2307" t="s">
        <v>2068</v>
      </c>
      <c r="G2307" t="s">
        <v>16232</v>
      </c>
      <c r="H2307" t="s">
        <v>47126</v>
      </c>
      <c r="I2307" t="s">
        <v>47127</v>
      </c>
      <c r="J2307" t="s">
        <v>47128</v>
      </c>
      <c r="K2307" t="s">
        <v>47113</v>
      </c>
      <c r="L2307">
        <v>19.690000000000001</v>
      </c>
      <c r="M2307">
        <v>48</v>
      </c>
      <c r="N2307">
        <v>0</v>
      </c>
      <c r="O2307">
        <v>48</v>
      </c>
      <c r="P2307">
        <v>0</v>
      </c>
    </row>
    <row r="2308" spans="1:16" x14ac:dyDescent="0.25">
      <c r="A2308" t="s">
        <v>24791</v>
      </c>
      <c r="B2308" t="s">
        <v>3753</v>
      </c>
      <c r="C2308" t="s">
        <v>3754</v>
      </c>
      <c r="D2308" t="str">
        <f>"4201"</f>
        <v>4201</v>
      </c>
      <c r="E2308" t="s">
        <v>1855</v>
      </c>
      <c r="F2308" t="s">
        <v>2068</v>
      </c>
      <c r="G2308" t="s">
        <v>16232</v>
      </c>
      <c r="H2308" t="s">
        <v>47126</v>
      </c>
      <c r="I2308" t="s">
        <v>47127</v>
      </c>
      <c r="J2308" t="s">
        <v>47128</v>
      </c>
      <c r="K2308" t="s">
        <v>47113</v>
      </c>
      <c r="L2308">
        <v>19.690000000000001</v>
      </c>
      <c r="M2308">
        <v>48</v>
      </c>
      <c r="N2308">
        <v>0</v>
      </c>
      <c r="O2308">
        <v>48</v>
      </c>
      <c r="P2308">
        <v>0</v>
      </c>
    </row>
    <row r="2309" spans="1:16" x14ac:dyDescent="0.25">
      <c r="A2309" t="s">
        <v>24792</v>
      </c>
      <c r="B2309" t="s">
        <v>3753</v>
      </c>
      <c r="C2309" t="s">
        <v>3754</v>
      </c>
      <c r="D2309" t="str">
        <f>"4753"</f>
        <v>4753</v>
      </c>
      <c r="E2309" t="s">
        <v>3755</v>
      </c>
      <c r="F2309" t="s">
        <v>2068</v>
      </c>
      <c r="G2309" t="s">
        <v>16232</v>
      </c>
      <c r="H2309" t="s">
        <v>47126</v>
      </c>
      <c r="I2309" t="s">
        <v>47127</v>
      </c>
      <c r="J2309" t="s">
        <v>47128</v>
      </c>
      <c r="K2309" t="s">
        <v>47113</v>
      </c>
      <c r="L2309">
        <v>19.690000000000001</v>
      </c>
      <c r="M2309">
        <v>48</v>
      </c>
      <c r="N2309">
        <v>0</v>
      </c>
      <c r="O2309">
        <v>48</v>
      </c>
      <c r="P2309">
        <v>0</v>
      </c>
    </row>
    <row r="2310" spans="1:16" x14ac:dyDescent="0.25">
      <c r="A2310" t="s">
        <v>24793</v>
      </c>
      <c r="B2310" t="s">
        <v>3756</v>
      </c>
      <c r="C2310" t="s">
        <v>3757</v>
      </c>
      <c r="D2310" t="str">
        <f>"1106"</f>
        <v>1106</v>
      </c>
      <c r="E2310" t="s">
        <v>460</v>
      </c>
      <c r="F2310" t="s">
        <v>2068</v>
      </c>
      <c r="G2310" t="s">
        <v>16232</v>
      </c>
      <c r="H2310" t="s">
        <v>47126</v>
      </c>
      <c r="I2310" t="s">
        <v>47127</v>
      </c>
      <c r="J2310" t="s">
        <v>47128</v>
      </c>
      <c r="K2310" t="s">
        <v>47113</v>
      </c>
      <c r="L2310">
        <v>17.75</v>
      </c>
      <c r="M2310">
        <v>43</v>
      </c>
      <c r="N2310">
        <v>0</v>
      </c>
      <c r="O2310">
        <v>43</v>
      </c>
      <c r="P2310">
        <v>0</v>
      </c>
    </row>
    <row r="2311" spans="1:16" x14ac:dyDescent="0.25">
      <c r="A2311" t="s">
        <v>24794</v>
      </c>
      <c r="B2311" t="s">
        <v>3756</v>
      </c>
      <c r="C2311" t="s">
        <v>3757</v>
      </c>
      <c r="D2311" t="str">
        <f>"1377"</f>
        <v>1377</v>
      </c>
      <c r="E2311" t="s">
        <v>74</v>
      </c>
      <c r="F2311" t="s">
        <v>2068</v>
      </c>
      <c r="G2311" t="s">
        <v>16232</v>
      </c>
      <c r="H2311" t="s">
        <v>47126</v>
      </c>
      <c r="I2311" t="s">
        <v>47127</v>
      </c>
      <c r="J2311" t="s">
        <v>47128</v>
      </c>
      <c r="K2311" t="s">
        <v>47113</v>
      </c>
      <c r="L2311">
        <v>17.75</v>
      </c>
      <c r="M2311">
        <v>43</v>
      </c>
      <c r="N2311">
        <v>0</v>
      </c>
      <c r="O2311">
        <v>43</v>
      </c>
      <c r="P2311">
        <v>0</v>
      </c>
    </row>
    <row r="2312" spans="1:16" x14ac:dyDescent="0.25">
      <c r="A2312" t="s">
        <v>24795</v>
      </c>
      <c r="B2312" t="s">
        <v>3756</v>
      </c>
      <c r="C2312" t="s">
        <v>3757</v>
      </c>
      <c r="D2312" t="str">
        <f>"1403"</f>
        <v>1403</v>
      </c>
      <c r="E2312" t="s">
        <v>224</v>
      </c>
      <c r="F2312" t="s">
        <v>2068</v>
      </c>
      <c r="G2312" t="s">
        <v>16232</v>
      </c>
      <c r="H2312" t="s">
        <v>47126</v>
      </c>
      <c r="I2312" t="s">
        <v>47127</v>
      </c>
      <c r="J2312" t="s">
        <v>47128</v>
      </c>
      <c r="K2312" t="s">
        <v>47113</v>
      </c>
      <c r="L2312">
        <v>17.75</v>
      </c>
      <c r="M2312">
        <v>43</v>
      </c>
      <c r="N2312">
        <v>0</v>
      </c>
      <c r="O2312">
        <v>43</v>
      </c>
      <c r="P2312">
        <v>0</v>
      </c>
    </row>
    <row r="2313" spans="1:16" x14ac:dyDescent="0.25">
      <c r="A2313" t="s">
        <v>24796</v>
      </c>
      <c r="B2313" t="s">
        <v>3756</v>
      </c>
      <c r="C2313" t="s">
        <v>3757</v>
      </c>
      <c r="D2313" t="str">
        <f>"3501"</f>
        <v>3501</v>
      </c>
      <c r="E2313" t="s">
        <v>3758</v>
      </c>
      <c r="F2313" t="s">
        <v>2068</v>
      </c>
      <c r="G2313" t="s">
        <v>16232</v>
      </c>
      <c r="H2313" t="s">
        <v>47126</v>
      </c>
      <c r="I2313" t="s">
        <v>47127</v>
      </c>
      <c r="J2313" t="s">
        <v>47128</v>
      </c>
      <c r="K2313" t="s">
        <v>47113</v>
      </c>
      <c r="L2313">
        <v>17.75</v>
      </c>
      <c r="M2313">
        <v>43</v>
      </c>
      <c r="N2313">
        <v>0</v>
      </c>
      <c r="O2313">
        <v>43</v>
      </c>
      <c r="P2313">
        <v>0</v>
      </c>
    </row>
    <row r="2314" spans="1:16" x14ac:dyDescent="0.25">
      <c r="A2314" t="s">
        <v>24797</v>
      </c>
      <c r="B2314" t="s">
        <v>3756</v>
      </c>
      <c r="C2314" t="s">
        <v>3757</v>
      </c>
      <c r="D2314" t="str">
        <f>"4000"</f>
        <v>4000</v>
      </c>
      <c r="E2314" t="s">
        <v>190</v>
      </c>
      <c r="F2314" t="s">
        <v>2068</v>
      </c>
      <c r="G2314" t="s">
        <v>16232</v>
      </c>
      <c r="H2314" t="s">
        <v>47126</v>
      </c>
      <c r="I2314" t="s">
        <v>47127</v>
      </c>
      <c r="J2314" t="s">
        <v>47128</v>
      </c>
      <c r="K2314" t="s">
        <v>47113</v>
      </c>
      <c r="L2314">
        <v>17.75</v>
      </c>
      <c r="M2314">
        <v>43</v>
      </c>
      <c r="N2314">
        <v>0</v>
      </c>
      <c r="O2314">
        <v>43</v>
      </c>
      <c r="P2314">
        <v>0</v>
      </c>
    </row>
    <row r="2315" spans="1:16" x14ac:dyDescent="0.25">
      <c r="A2315" t="s">
        <v>24798</v>
      </c>
      <c r="B2315" t="s">
        <v>3756</v>
      </c>
      <c r="C2315" t="s">
        <v>3757</v>
      </c>
      <c r="D2315" t="str">
        <f>"4201"</f>
        <v>4201</v>
      </c>
      <c r="E2315" t="s">
        <v>1855</v>
      </c>
      <c r="F2315" t="s">
        <v>2068</v>
      </c>
      <c r="G2315" t="s">
        <v>16232</v>
      </c>
      <c r="H2315" t="s">
        <v>47126</v>
      </c>
      <c r="I2315" t="s">
        <v>47127</v>
      </c>
      <c r="J2315" t="s">
        <v>47128</v>
      </c>
      <c r="K2315" t="s">
        <v>47113</v>
      </c>
      <c r="L2315">
        <v>17.75</v>
      </c>
      <c r="M2315">
        <v>43</v>
      </c>
      <c r="N2315">
        <v>0</v>
      </c>
      <c r="O2315">
        <v>43</v>
      </c>
      <c r="P2315">
        <v>0</v>
      </c>
    </row>
    <row r="2316" spans="1:16" x14ac:dyDescent="0.25">
      <c r="A2316" t="s">
        <v>14864</v>
      </c>
      <c r="B2316" t="s">
        <v>3759</v>
      </c>
      <c r="C2316" t="s">
        <v>3760</v>
      </c>
      <c r="D2316" t="str">
        <f>"4882"</f>
        <v>4882</v>
      </c>
      <c r="E2316" t="s">
        <v>3761</v>
      </c>
      <c r="F2316" t="s">
        <v>2068</v>
      </c>
      <c r="G2316" t="s">
        <v>16224</v>
      </c>
      <c r="H2316" t="s">
        <v>47126</v>
      </c>
      <c r="I2316" t="s">
        <v>47120</v>
      </c>
      <c r="J2316" t="s">
        <v>47121</v>
      </c>
      <c r="K2316" t="s">
        <v>47113</v>
      </c>
      <c r="L2316">
        <v>54.69</v>
      </c>
      <c r="M2316">
        <v>131</v>
      </c>
      <c r="N2316">
        <v>0</v>
      </c>
      <c r="O2316">
        <v>131</v>
      </c>
      <c r="P2316">
        <v>0</v>
      </c>
    </row>
    <row r="2317" spans="1:16" x14ac:dyDescent="0.25">
      <c r="A2317" t="s">
        <v>24799</v>
      </c>
      <c r="B2317" t="s">
        <v>3762</v>
      </c>
      <c r="C2317" t="s">
        <v>3763</v>
      </c>
      <c r="D2317" t="str">
        <f>"1001"</f>
        <v>1001</v>
      </c>
      <c r="E2317" t="s">
        <v>42</v>
      </c>
      <c r="F2317" t="s">
        <v>2068</v>
      </c>
      <c r="G2317" t="s">
        <v>16224</v>
      </c>
      <c r="H2317" t="s">
        <v>47126</v>
      </c>
      <c r="I2317" t="s">
        <v>47139</v>
      </c>
      <c r="J2317" t="s">
        <v>47140</v>
      </c>
      <c r="K2317" t="s">
        <v>47113</v>
      </c>
      <c r="L2317">
        <v>138.65</v>
      </c>
      <c r="M2317">
        <v>307</v>
      </c>
      <c r="N2317">
        <v>0</v>
      </c>
      <c r="O2317">
        <v>307</v>
      </c>
      <c r="P2317">
        <v>0</v>
      </c>
    </row>
    <row r="2318" spans="1:16" x14ac:dyDescent="0.25">
      <c r="A2318" t="s">
        <v>24800</v>
      </c>
      <c r="B2318" t="s">
        <v>3762</v>
      </c>
      <c r="C2318" t="s">
        <v>3763</v>
      </c>
      <c r="D2318" t="str">
        <f>"2001"</f>
        <v>2001</v>
      </c>
      <c r="E2318" t="s">
        <v>2354</v>
      </c>
      <c r="F2318" t="s">
        <v>2068</v>
      </c>
      <c r="G2318" t="s">
        <v>16224</v>
      </c>
      <c r="H2318" t="s">
        <v>47126</v>
      </c>
      <c r="I2318" t="s">
        <v>47139</v>
      </c>
      <c r="J2318" t="s">
        <v>47140</v>
      </c>
      <c r="K2318" t="s">
        <v>47113</v>
      </c>
      <c r="L2318">
        <v>138.65</v>
      </c>
      <c r="M2318">
        <v>307</v>
      </c>
      <c r="N2318">
        <v>0</v>
      </c>
      <c r="O2318">
        <v>307</v>
      </c>
      <c r="P2318">
        <v>0</v>
      </c>
    </row>
    <row r="2319" spans="1:16" x14ac:dyDescent="0.25">
      <c r="A2319" t="s">
        <v>24801</v>
      </c>
      <c r="B2319" t="s">
        <v>3764</v>
      </c>
      <c r="C2319" t="s">
        <v>3765</v>
      </c>
      <c r="D2319" t="str">
        <f>"1001"</f>
        <v>1001</v>
      </c>
      <c r="E2319" t="s">
        <v>42</v>
      </c>
      <c r="F2319" t="s">
        <v>3750</v>
      </c>
      <c r="G2319" t="s">
        <v>16224</v>
      </c>
      <c r="H2319" t="s">
        <v>47126</v>
      </c>
      <c r="I2319" t="s">
        <v>47120</v>
      </c>
      <c r="J2319" t="s">
        <v>47121</v>
      </c>
      <c r="K2319" t="s">
        <v>47113</v>
      </c>
      <c r="L2319">
        <v>135.09</v>
      </c>
      <c r="M2319">
        <v>401</v>
      </c>
      <c r="N2319">
        <v>0</v>
      </c>
      <c r="O2319">
        <v>401</v>
      </c>
      <c r="P2319">
        <v>0</v>
      </c>
    </row>
    <row r="2320" spans="1:16" x14ac:dyDescent="0.25">
      <c r="A2320" t="s">
        <v>24802</v>
      </c>
      <c r="B2320" t="s">
        <v>3766</v>
      </c>
      <c r="C2320" t="s">
        <v>3767</v>
      </c>
      <c r="D2320" t="s">
        <v>3768</v>
      </c>
      <c r="E2320" t="s">
        <v>3769</v>
      </c>
      <c r="F2320" t="s">
        <v>2068</v>
      </c>
      <c r="G2320" t="s">
        <v>16231</v>
      </c>
      <c r="H2320" t="s">
        <v>47153</v>
      </c>
      <c r="I2320" t="s">
        <v>47132</v>
      </c>
      <c r="J2320" t="s">
        <v>47133</v>
      </c>
      <c r="K2320" t="s">
        <v>47113</v>
      </c>
      <c r="L2320">
        <v>56.15</v>
      </c>
      <c r="M2320">
        <v>105</v>
      </c>
      <c r="N2320">
        <v>0</v>
      </c>
      <c r="O2320">
        <v>105</v>
      </c>
      <c r="P2320">
        <v>0</v>
      </c>
    </row>
    <row r="2321" spans="1:16" x14ac:dyDescent="0.25">
      <c r="A2321" t="s">
        <v>24803</v>
      </c>
      <c r="B2321" t="s">
        <v>3766</v>
      </c>
      <c r="C2321" t="s">
        <v>3767</v>
      </c>
      <c r="D2321" t="s">
        <v>3770</v>
      </c>
      <c r="E2321" t="s">
        <v>3771</v>
      </c>
      <c r="F2321" t="s">
        <v>2068</v>
      </c>
      <c r="G2321" t="s">
        <v>16231</v>
      </c>
      <c r="H2321" t="s">
        <v>47153</v>
      </c>
      <c r="I2321" t="s">
        <v>47132</v>
      </c>
      <c r="J2321" t="s">
        <v>47133</v>
      </c>
      <c r="K2321" t="s">
        <v>47113</v>
      </c>
      <c r="L2321">
        <v>63.08</v>
      </c>
      <c r="M2321">
        <v>120</v>
      </c>
      <c r="N2321">
        <v>0</v>
      </c>
      <c r="O2321">
        <v>120</v>
      </c>
      <c r="P2321">
        <v>0</v>
      </c>
    </row>
    <row r="2322" spans="1:16" x14ac:dyDescent="0.25">
      <c r="A2322" t="s">
        <v>24804</v>
      </c>
      <c r="B2322" t="s">
        <v>3772</v>
      </c>
      <c r="C2322" t="s">
        <v>3773</v>
      </c>
      <c r="D2322" t="s">
        <v>3774</v>
      </c>
      <c r="E2322" t="s">
        <v>3775</v>
      </c>
      <c r="F2322" t="s">
        <v>2068</v>
      </c>
      <c r="G2322" t="s">
        <v>16231</v>
      </c>
      <c r="H2322" t="s">
        <v>47153</v>
      </c>
      <c r="I2322" t="s">
        <v>47132</v>
      </c>
      <c r="J2322" t="s">
        <v>47133</v>
      </c>
      <c r="K2322" t="s">
        <v>47113</v>
      </c>
      <c r="L2322">
        <v>50.64</v>
      </c>
      <c r="M2322">
        <v>90</v>
      </c>
      <c r="N2322">
        <v>0</v>
      </c>
      <c r="O2322">
        <v>90</v>
      </c>
      <c r="P2322">
        <v>0</v>
      </c>
    </row>
    <row r="2323" spans="1:16" x14ac:dyDescent="0.25">
      <c r="A2323" t="s">
        <v>24805</v>
      </c>
      <c r="B2323" t="s">
        <v>3772</v>
      </c>
      <c r="C2323" t="s">
        <v>3773</v>
      </c>
      <c r="D2323" t="s">
        <v>3776</v>
      </c>
      <c r="E2323" t="s">
        <v>3777</v>
      </c>
      <c r="F2323" t="s">
        <v>2068</v>
      </c>
      <c r="G2323" t="s">
        <v>16231</v>
      </c>
      <c r="H2323" t="s">
        <v>47153</v>
      </c>
      <c r="I2323" t="s">
        <v>47132</v>
      </c>
      <c r="J2323" t="s">
        <v>47133</v>
      </c>
      <c r="K2323" t="s">
        <v>47113</v>
      </c>
      <c r="L2323">
        <v>55.32</v>
      </c>
      <c r="M2323">
        <v>99</v>
      </c>
      <c r="N2323">
        <v>0</v>
      </c>
      <c r="O2323">
        <v>99</v>
      </c>
      <c r="P2323">
        <v>0</v>
      </c>
    </row>
    <row r="2324" spans="1:16" x14ac:dyDescent="0.25">
      <c r="A2324" t="s">
        <v>24806</v>
      </c>
      <c r="B2324" t="s">
        <v>3778</v>
      </c>
      <c r="C2324" t="s">
        <v>3773</v>
      </c>
      <c r="D2324" t="s">
        <v>3779</v>
      </c>
      <c r="E2324" t="s">
        <v>3780</v>
      </c>
      <c r="F2324" t="s">
        <v>2068</v>
      </c>
      <c r="G2324" t="s">
        <v>16231</v>
      </c>
      <c r="H2324" t="s">
        <v>47153</v>
      </c>
      <c r="I2324" t="s">
        <v>47132</v>
      </c>
      <c r="J2324" t="s">
        <v>47133</v>
      </c>
      <c r="K2324" t="s">
        <v>47113</v>
      </c>
      <c r="L2324">
        <v>52.83</v>
      </c>
      <c r="M2324">
        <v>94</v>
      </c>
      <c r="N2324">
        <v>0</v>
      </c>
      <c r="O2324">
        <v>94</v>
      </c>
      <c r="P2324">
        <v>0</v>
      </c>
    </row>
    <row r="2325" spans="1:16" x14ac:dyDescent="0.25">
      <c r="A2325" t="s">
        <v>24807</v>
      </c>
      <c r="B2325" t="s">
        <v>3778</v>
      </c>
      <c r="C2325" t="s">
        <v>3773</v>
      </c>
      <c r="D2325" t="s">
        <v>3781</v>
      </c>
      <c r="E2325" t="s">
        <v>3782</v>
      </c>
      <c r="F2325" t="s">
        <v>2068</v>
      </c>
      <c r="G2325" t="s">
        <v>16231</v>
      </c>
      <c r="H2325" t="s">
        <v>47153</v>
      </c>
      <c r="I2325" t="s">
        <v>47132</v>
      </c>
      <c r="J2325" t="s">
        <v>47133</v>
      </c>
      <c r="K2325" t="s">
        <v>47113</v>
      </c>
      <c r="L2325">
        <v>70.13</v>
      </c>
      <c r="M2325">
        <v>130</v>
      </c>
      <c r="N2325">
        <v>0</v>
      </c>
      <c r="O2325">
        <v>130</v>
      </c>
      <c r="P2325">
        <v>0</v>
      </c>
    </row>
    <row r="2326" spans="1:16" x14ac:dyDescent="0.25">
      <c r="A2326" t="s">
        <v>24808</v>
      </c>
      <c r="B2326" t="s">
        <v>3778</v>
      </c>
      <c r="C2326" t="s">
        <v>3773</v>
      </c>
      <c r="D2326" t="s">
        <v>3783</v>
      </c>
      <c r="E2326" t="s">
        <v>3784</v>
      </c>
      <c r="F2326" t="s">
        <v>2068</v>
      </c>
      <c r="G2326" t="s">
        <v>16231</v>
      </c>
      <c r="H2326" t="s">
        <v>47153</v>
      </c>
      <c r="I2326" t="s">
        <v>47132</v>
      </c>
      <c r="J2326" t="s">
        <v>47133</v>
      </c>
      <c r="K2326" t="s">
        <v>47113</v>
      </c>
      <c r="L2326">
        <v>49.87</v>
      </c>
      <c r="M2326">
        <v>90</v>
      </c>
      <c r="N2326">
        <v>0</v>
      </c>
      <c r="O2326">
        <v>90</v>
      </c>
      <c r="P2326">
        <v>0</v>
      </c>
    </row>
    <row r="2327" spans="1:16" x14ac:dyDescent="0.25">
      <c r="A2327" t="s">
        <v>14865</v>
      </c>
      <c r="B2327" t="s">
        <v>3785</v>
      </c>
      <c r="C2327" t="s">
        <v>3773</v>
      </c>
      <c r="D2327" t="s">
        <v>3786</v>
      </c>
      <c r="E2327" t="s">
        <v>3787</v>
      </c>
      <c r="F2327" t="s">
        <v>2068</v>
      </c>
      <c r="G2327" t="s">
        <v>16231</v>
      </c>
      <c r="H2327" t="s">
        <v>47153</v>
      </c>
      <c r="I2327" t="s">
        <v>47132</v>
      </c>
      <c r="J2327" t="s">
        <v>47133</v>
      </c>
      <c r="K2327" t="s">
        <v>47113</v>
      </c>
      <c r="L2327">
        <v>54.17</v>
      </c>
      <c r="M2327">
        <v>100</v>
      </c>
      <c r="N2327">
        <v>0</v>
      </c>
      <c r="O2327">
        <v>100</v>
      </c>
      <c r="P2327">
        <v>0</v>
      </c>
    </row>
    <row r="2328" spans="1:16" x14ac:dyDescent="0.25">
      <c r="A2328" t="s">
        <v>24809</v>
      </c>
      <c r="B2328" t="s">
        <v>3785</v>
      </c>
      <c r="C2328" t="s">
        <v>3773</v>
      </c>
      <c r="D2328" t="s">
        <v>3788</v>
      </c>
      <c r="E2328" t="s">
        <v>3789</v>
      </c>
      <c r="F2328" t="s">
        <v>2068</v>
      </c>
      <c r="G2328" t="s">
        <v>16231</v>
      </c>
      <c r="H2328" t="s">
        <v>47153</v>
      </c>
      <c r="I2328" t="s">
        <v>47132</v>
      </c>
      <c r="J2328" t="s">
        <v>47133</v>
      </c>
      <c r="K2328" t="s">
        <v>47113</v>
      </c>
      <c r="L2328">
        <v>42.19</v>
      </c>
      <c r="M2328">
        <v>79</v>
      </c>
      <c r="N2328">
        <v>0</v>
      </c>
      <c r="O2328">
        <v>79</v>
      </c>
      <c r="P2328">
        <v>0</v>
      </c>
    </row>
    <row r="2329" spans="1:16" x14ac:dyDescent="0.25">
      <c r="A2329" t="s">
        <v>24810</v>
      </c>
      <c r="B2329" t="s">
        <v>3785</v>
      </c>
      <c r="C2329" t="s">
        <v>3773</v>
      </c>
      <c r="D2329" t="s">
        <v>3790</v>
      </c>
      <c r="E2329" t="s">
        <v>3791</v>
      </c>
      <c r="F2329" t="s">
        <v>2068</v>
      </c>
      <c r="G2329" t="s">
        <v>16231</v>
      </c>
      <c r="H2329" t="s">
        <v>47153</v>
      </c>
      <c r="I2329" t="s">
        <v>47132</v>
      </c>
      <c r="J2329" t="s">
        <v>47133</v>
      </c>
      <c r="K2329" t="s">
        <v>47113</v>
      </c>
      <c r="L2329">
        <v>57</v>
      </c>
      <c r="M2329">
        <v>95</v>
      </c>
      <c r="N2329">
        <v>0</v>
      </c>
      <c r="O2329">
        <v>95</v>
      </c>
      <c r="P2329">
        <v>0</v>
      </c>
    </row>
    <row r="2330" spans="1:16" x14ac:dyDescent="0.25">
      <c r="A2330" t="s">
        <v>24811</v>
      </c>
      <c r="B2330" t="s">
        <v>3792</v>
      </c>
      <c r="C2330" t="s">
        <v>3773</v>
      </c>
      <c r="D2330" t="s">
        <v>3793</v>
      </c>
      <c r="E2330" t="s">
        <v>3794</v>
      </c>
      <c r="F2330" t="s">
        <v>2068</v>
      </c>
      <c r="G2330" t="s">
        <v>16231</v>
      </c>
      <c r="H2330" t="s">
        <v>47153</v>
      </c>
      <c r="I2330" t="s">
        <v>47132</v>
      </c>
      <c r="J2330" t="s">
        <v>47133</v>
      </c>
      <c r="K2330" t="s">
        <v>47113</v>
      </c>
      <c r="L2330">
        <v>45.72</v>
      </c>
      <c r="M2330">
        <v>85</v>
      </c>
      <c r="N2330">
        <v>0</v>
      </c>
      <c r="O2330">
        <v>85</v>
      </c>
      <c r="P2330">
        <v>0</v>
      </c>
    </row>
    <row r="2331" spans="1:16" x14ac:dyDescent="0.25">
      <c r="A2331" t="s">
        <v>24812</v>
      </c>
      <c r="B2331" t="s">
        <v>3792</v>
      </c>
      <c r="C2331" t="s">
        <v>3773</v>
      </c>
      <c r="D2331" t="s">
        <v>3795</v>
      </c>
      <c r="E2331" t="s">
        <v>3796</v>
      </c>
      <c r="F2331" t="s">
        <v>2068</v>
      </c>
      <c r="G2331" t="s">
        <v>16231</v>
      </c>
      <c r="H2331" t="s">
        <v>47153</v>
      </c>
      <c r="I2331" t="s">
        <v>47132</v>
      </c>
      <c r="J2331" t="s">
        <v>47133</v>
      </c>
      <c r="K2331" t="s">
        <v>47113</v>
      </c>
      <c r="L2331">
        <v>48.81</v>
      </c>
      <c r="M2331">
        <v>90</v>
      </c>
      <c r="N2331">
        <v>0</v>
      </c>
      <c r="O2331">
        <v>90</v>
      </c>
      <c r="P2331">
        <v>0</v>
      </c>
    </row>
    <row r="2332" spans="1:16" x14ac:dyDescent="0.25">
      <c r="A2332" t="s">
        <v>24813</v>
      </c>
      <c r="B2332" t="s">
        <v>3797</v>
      </c>
      <c r="C2332" t="s">
        <v>3773</v>
      </c>
      <c r="D2332" t="s">
        <v>3798</v>
      </c>
      <c r="E2332" t="s">
        <v>3799</v>
      </c>
      <c r="F2332" t="s">
        <v>2068</v>
      </c>
      <c r="G2332" t="s">
        <v>16231</v>
      </c>
      <c r="H2332" t="s">
        <v>47153</v>
      </c>
      <c r="I2332" t="s">
        <v>47132</v>
      </c>
      <c r="J2332" t="s">
        <v>47133</v>
      </c>
      <c r="K2332" t="s">
        <v>47113</v>
      </c>
      <c r="L2332">
        <v>36.729999999999997</v>
      </c>
      <c r="M2332">
        <v>78</v>
      </c>
      <c r="N2332">
        <v>0</v>
      </c>
      <c r="O2332">
        <v>78</v>
      </c>
      <c r="P2332">
        <v>0</v>
      </c>
    </row>
    <row r="2333" spans="1:16" x14ac:dyDescent="0.25">
      <c r="A2333" t="s">
        <v>24814</v>
      </c>
      <c r="B2333" t="s">
        <v>3797</v>
      </c>
      <c r="C2333" t="s">
        <v>3773</v>
      </c>
      <c r="D2333" t="s">
        <v>3800</v>
      </c>
      <c r="E2333" t="s">
        <v>3801</v>
      </c>
      <c r="F2333" t="s">
        <v>2068</v>
      </c>
      <c r="G2333" t="s">
        <v>16231</v>
      </c>
      <c r="H2333" t="s">
        <v>47153</v>
      </c>
      <c r="I2333" t="s">
        <v>47132</v>
      </c>
      <c r="J2333" t="s">
        <v>47133</v>
      </c>
      <c r="K2333" t="s">
        <v>47113</v>
      </c>
      <c r="L2333">
        <v>44.54</v>
      </c>
      <c r="M2333">
        <v>84</v>
      </c>
      <c r="N2333">
        <v>0</v>
      </c>
      <c r="O2333">
        <v>84</v>
      </c>
      <c r="P2333">
        <v>0</v>
      </c>
    </row>
    <row r="2334" spans="1:16" x14ac:dyDescent="0.25">
      <c r="A2334" t="s">
        <v>24815</v>
      </c>
      <c r="B2334" t="s">
        <v>3802</v>
      </c>
      <c r="C2334" t="s">
        <v>3773</v>
      </c>
      <c r="D2334" t="s">
        <v>3803</v>
      </c>
      <c r="E2334" t="s">
        <v>3804</v>
      </c>
      <c r="F2334" t="s">
        <v>2068</v>
      </c>
      <c r="G2334" t="s">
        <v>16231</v>
      </c>
      <c r="H2334" t="s">
        <v>47153</v>
      </c>
      <c r="I2334" t="s">
        <v>47132</v>
      </c>
      <c r="J2334" t="s">
        <v>47133</v>
      </c>
      <c r="K2334" t="s">
        <v>47113</v>
      </c>
      <c r="L2334">
        <v>43.55</v>
      </c>
      <c r="M2334">
        <v>80</v>
      </c>
      <c r="N2334">
        <v>0</v>
      </c>
      <c r="O2334">
        <v>80</v>
      </c>
      <c r="P2334">
        <v>0</v>
      </c>
    </row>
    <row r="2335" spans="1:16" x14ac:dyDescent="0.25">
      <c r="A2335" t="s">
        <v>24816</v>
      </c>
      <c r="B2335" t="s">
        <v>3802</v>
      </c>
      <c r="C2335" t="s">
        <v>3773</v>
      </c>
      <c r="D2335" t="s">
        <v>3805</v>
      </c>
      <c r="E2335" t="s">
        <v>3806</v>
      </c>
      <c r="F2335" t="s">
        <v>2068</v>
      </c>
      <c r="G2335" t="s">
        <v>16231</v>
      </c>
      <c r="H2335" t="s">
        <v>47153</v>
      </c>
      <c r="I2335" t="s">
        <v>47132</v>
      </c>
      <c r="J2335" t="s">
        <v>47133</v>
      </c>
      <c r="K2335" t="s">
        <v>47113</v>
      </c>
      <c r="L2335">
        <v>43.55</v>
      </c>
      <c r="M2335">
        <v>80</v>
      </c>
      <c r="N2335">
        <v>0</v>
      </c>
      <c r="O2335">
        <v>80</v>
      </c>
      <c r="P2335">
        <v>0</v>
      </c>
    </row>
    <row r="2336" spans="1:16" x14ac:dyDescent="0.25">
      <c r="A2336" t="s">
        <v>24817</v>
      </c>
      <c r="B2336" t="s">
        <v>3802</v>
      </c>
      <c r="C2336" t="s">
        <v>3773</v>
      </c>
      <c r="D2336" t="s">
        <v>434</v>
      </c>
      <c r="E2336" t="s">
        <v>435</v>
      </c>
      <c r="F2336" t="s">
        <v>2068</v>
      </c>
      <c r="G2336" t="s">
        <v>16231</v>
      </c>
      <c r="H2336" t="s">
        <v>47153</v>
      </c>
      <c r="I2336" t="s">
        <v>47132</v>
      </c>
      <c r="J2336" t="s">
        <v>47133</v>
      </c>
      <c r="K2336" t="s">
        <v>47113</v>
      </c>
      <c r="L2336">
        <v>43.55</v>
      </c>
      <c r="M2336">
        <v>80</v>
      </c>
      <c r="N2336">
        <v>0</v>
      </c>
      <c r="O2336">
        <v>80</v>
      </c>
      <c r="P2336">
        <v>0</v>
      </c>
    </row>
    <row r="2337" spans="1:16" x14ac:dyDescent="0.25">
      <c r="A2337" t="s">
        <v>14866</v>
      </c>
      <c r="B2337" t="s">
        <v>3807</v>
      </c>
      <c r="C2337" t="s">
        <v>3773</v>
      </c>
      <c r="D2337" t="s">
        <v>3808</v>
      </c>
      <c r="E2337" t="s">
        <v>3809</v>
      </c>
      <c r="F2337" t="s">
        <v>2068</v>
      </c>
      <c r="G2337" t="s">
        <v>16231</v>
      </c>
      <c r="H2337" t="s">
        <v>47153</v>
      </c>
      <c r="I2337" t="s">
        <v>47132</v>
      </c>
      <c r="J2337" t="s">
        <v>47133</v>
      </c>
      <c r="K2337" t="s">
        <v>47113</v>
      </c>
      <c r="L2337">
        <v>50.48</v>
      </c>
      <c r="M2337">
        <v>79</v>
      </c>
      <c r="N2337">
        <v>0</v>
      </c>
      <c r="O2337">
        <v>79</v>
      </c>
      <c r="P2337">
        <v>0</v>
      </c>
    </row>
    <row r="2338" spans="1:16" x14ac:dyDescent="0.25">
      <c r="A2338" t="s">
        <v>14867</v>
      </c>
      <c r="B2338" t="s">
        <v>3807</v>
      </c>
      <c r="C2338" t="s">
        <v>3773</v>
      </c>
      <c r="D2338" t="s">
        <v>3810</v>
      </c>
      <c r="E2338" t="s">
        <v>3811</v>
      </c>
      <c r="F2338" t="s">
        <v>2068</v>
      </c>
      <c r="G2338" t="s">
        <v>16231</v>
      </c>
      <c r="H2338" t="s">
        <v>47153</v>
      </c>
      <c r="I2338" t="s">
        <v>47132</v>
      </c>
      <c r="J2338" t="s">
        <v>47133</v>
      </c>
      <c r="K2338" t="s">
        <v>47113</v>
      </c>
      <c r="L2338">
        <v>50.24</v>
      </c>
      <c r="M2338">
        <v>90</v>
      </c>
      <c r="N2338">
        <v>0</v>
      </c>
      <c r="O2338">
        <v>90</v>
      </c>
      <c r="P2338">
        <v>0</v>
      </c>
    </row>
    <row r="2339" spans="1:16" x14ac:dyDescent="0.25">
      <c r="A2339" t="s">
        <v>24818</v>
      </c>
      <c r="B2339" t="s">
        <v>3812</v>
      </c>
      <c r="C2339" t="s">
        <v>3813</v>
      </c>
      <c r="D2339" t="s">
        <v>3768</v>
      </c>
      <c r="E2339" t="s">
        <v>3769</v>
      </c>
      <c r="F2339" t="s">
        <v>2068</v>
      </c>
      <c r="G2339" t="s">
        <v>16231</v>
      </c>
      <c r="H2339" t="s">
        <v>47153</v>
      </c>
      <c r="I2339" t="s">
        <v>47132</v>
      </c>
      <c r="J2339" t="s">
        <v>47133</v>
      </c>
      <c r="K2339" t="s">
        <v>47113</v>
      </c>
      <c r="L2339">
        <v>56.15</v>
      </c>
      <c r="M2339">
        <v>105</v>
      </c>
      <c r="N2339">
        <v>0</v>
      </c>
      <c r="O2339">
        <v>105</v>
      </c>
      <c r="P2339">
        <v>0</v>
      </c>
    </row>
    <row r="2340" spans="1:16" x14ac:dyDescent="0.25">
      <c r="A2340" t="s">
        <v>24819</v>
      </c>
      <c r="B2340" t="s">
        <v>3812</v>
      </c>
      <c r="C2340" t="s">
        <v>3813</v>
      </c>
      <c r="D2340" t="s">
        <v>3770</v>
      </c>
      <c r="E2340" t="s">
        <v>3771</v>
      </c>
      <c r="F2340" t="s">
        <v>2068</v>
      </c>
      <c r="G2340" t="s">
        <v>16231</v>
      </c>
      <c r="H2340" t="s">
        <v>47153</v>
      </c>
      <c r="I2340" t="s">
        <v>47132</v>
      </c>
      <c r="J2340" t="s">
        <v>47133</v>
      </c>
      <c r="K2340" t="s">
        <v>47113</v>
      </c>
      <c r="L2340">
        <v>63.85</v>
      </c>
      <c r="M2340">
        <v>120</v>
      </c>
      <c r="N2340">
        <v>0</v>
      </c>
      <c r="O2340">
        <v>120</v>
      </c>
      <c r="P2340">
        <v>0</v>
      </c>
    </row>
    <row r="2341" spans="1:16" x14ac:dyDescent="0.25">
      <c r="A2341" t="s">
        <v>24820</v>
      </c>
      <c r="B2341" t="s">
        <v>3814</v>
      </c>
      <c r="C2341" t="s">
        <v>3813</v>
      </c>
      <c r="D2341" t="s">
        <v>3779</v>
      </c>
      <c r="E2341" t="s">
        <v>3780</v>
      </c>
      <c r="F2341" t="s">
        <v>2068</v>
      </c>
      <c r="G2341" t="s">
        <v>16231</v>
      </c>
      <c r="H2341" t="s">
        <v>47153</v>
      </c>
      <c r="I2341" t="s">
        <v>47132</v>
      </c>
      <c r="J2341" t="s">
        <v>47133</v>
      </c>
      <c r="K2341" t="s">
        <v>47113</v>
      </c>
      <c r="L2341">
        <v>52.78</v>
      </c>
      <c r="M2341">
        <v>94</v>
      </c>
      <c r="N2341">
        <v>0</v>
      </c>
      <c r="O2341">
        <v>94</v>
      </c>
      <c r="P2341">
        <v>0</v>
      </c>
    </row>
    <row r="2342" spans="1:16" x14ac:dyDescent="0.25">
      <c r="A2342" t="s">
        <v>14868</v>
      </c>
      <c r="B2342" t="s">
        <v>3814</v>
      </c>
      <c r="C2342" t="s">
        <v>3813</v>
      </c>
      <c r="D2342" t="s">
        <v>3781</v>
      </c>
      <c r="E2342" t="s">
        <v>3782</v>
      </c>
      <c r="F2342" t="s">
        <v>2068</v>
      </c>
      <c r="G2342" t="s">
        <v>16231</v>
      </c>
      <c r="H2342" t="s">
        <v>47153</v>
      </c>
      <c r="I2342" t="s">
        <v>47132</v>
      </c>
      <c r="J2342" t="s">
        <v>47133</v>
      </c>
      <c r="K2342" t="s">
        <v>47113</v>
      </c>
      <c r="L2342">
        <v>70.31</v>
      </c>
      <c r="M2342">
        <v>130</v>
      </c>
      <c r="N2342">
        <v>0</v>
      </c>
      <c r="O2342">
        <v>130</v>
      </c>
      <c r="P2342">
        <v>0</v>
      </c>
    </row>
    <row r="2343" spans="1:16" x14ac:dyDescent="0.25">
      <c r="A2343" t="s">
        <v>24821</v>
      </c>
      <c r="B2343" t="s">
        <v>3814</v>
      </c>
      <c r="C2343" t="s">
        <v>3813</v>
      </c>
      <c r="D2343" t="s">
        <v>3783</v>
      </c>
      <c r="E2343" t="s">
        <v>3784</v>
      </c>
      <c r="F2343" t="s">
        <v>2068</v>
      </c>
      <c r="G2343" t="s">
        <v>16231</v>
      </c>
      <c r="H2343" t="s">
        <v>47153</v>
      </c>
      <c r="I2343" t="s">
        <v>47132</v>
      </c>
      <c r="J2343" t="s">
        <v>47133</v>
      </c>
      <c r="K2343" t="s">
        <v>47113</v>
      </c>
      <c r="L2343">
        <v>49.99</v>
      </c>
      <c r="M2343">
        <v>90</v>
      </c>
      <c r="N2343">
        <v>0</v>
      </c>
      <c r="O2343">
        <v>90</v>
      </c>
      <c r="P2343">
        <v>0</v>
      </c>
    </row>
    <row r="2344" spans="1:16" x14ac:dyDescent="0.25">
      <c r="A2344" t="s">
        <v>24822</v>
      </c>
      <c r="B2344" t="s">
        <v>3815</v>
      </c>
      <c r="C2344" t="s">
        <v>3813</v>
      </c>
      <c r="D2344" t="s">
        <v>3786</v>
      </c>
      <c r="E2344" t="s">
        <v>3787</v>
      </c>
      <c r="F2344" t="s">
        <v>2068</v>
      </c>
      <c r="G2344" t="s">
        <v>16231</v>
      </c>
      <c r="H2344" t="s">
        <v>47153</v>
      </c>
      <c r="I2344" t="s">
        <v>47132</v>
      </c>
      <c r="J2344" t="s">
        <v>47133</v>
      </c>
      <c r="K2344" t="s">
        <v>47113</v>
      </c>
      <c r="L2344">
        <v>54.17</v>
      </c>
      <c r="M2344">
        <v>100</v>
      </c>
      <c r="N2344">
        <v>0</v>
      </c>
      <c r="O2344">
        <v>100</v>
      </c>
      <c r="P2344">
        <v>0</v>
      </c>
    </row>
    <row r="2345" spans="1:16" x14ac:dyDescent="0.25">
      <c r="A2345" t="s">
        <v>14869</v>
      </c>
      <c r="B2345" t="s">
        <v>3815</v>
      </c>
      <c r="C2345" t="s">
        <v>3813</v>
      </c>
      <c r="D2345" t="s">
        <v>3788</v>
      </c>
      <c r="E2345" t="s">
        <v>3789</v>
      </c>
      <c r="F2345" t="s">
        <v>2068</v>
      </c>
      <c r="G2345" t="s">
        <v>16231</v>
      </c>
      <c r="H2345" t="s">
        <v>47153</v>
      </c>
      <c r="I2345" t="s">
        <v>47132</v>
      </c>
      <c r="J2345" t="s">
        <v>47133</v>
      </c>
      <c r="K2345" t="s">
        <v>47113</v>
      </c>
      <c r="L2345">
        <v>42.19</v>
      </c>
      <c r="M2345">
        <v>79</v>
      </c>
      <c r="N2345">
        <v>0</v>
      </c>
      <c r="O2345">
        <v>79</v>
      </c>
      <c r="P2345">
        <v>0</v>
      </c>
    </row>
    <row r="2346" spans="1:16" x14ac:dyDescent="0.25">
      <c r="A2346" t="s">
        <v>24823</v>
      </c>
      <c r="B2346" t="s">
        <v>3815</v>
      </c>
      <c r="C2346" t="s">
        <v>3813</v>
      </c>
      <c r="D2346" t="s">
        <v>3790</v>
      </c>
      <c r="E2346" t="s">
        <v>3791</v>
      </c>
      <c r="F2346" t="s">
        <v>2068</v>
      </c>
      <c r="G2346" t="s">
        <v>16231</v>
      </c>
      <c r="H2346" t="s">
        <v>47153</v>
      </c>
      <c r="I2346" t="s">
        <v>47132</v>
      </c>
      <c r="J2346" t="s">
        <v>47133</v>
      </c>
      <c r="K2346" t="s">
        <v>47113</v>
      </c>
      <c r="L2346">
        <v>57</v>
      </c>
      <c r="M2346">
        <v>95</v>
      </c>
      <c r="N2346">
        <v>0</v>
      </c>
      <c r="O2346">
        <v>95</v>
      </c>
      <c r="P2346">
        <v>0</v>
      </c>
    </row>
    <row r="2347" spans="1:16" x14ac:dyDescent="0.25">
      <c r="A2347" t="s">
        <v>14870</v>
      </c>
      <c r="B2347" t="s">
        <v>3816</v>
      </c>
      <c r="C2347" t="s">
        <v>3813</v>
      </c>
      <c r="D2347" t="s">
        <v>3793</v>
      </c>
      <c r="E2347" t="s">
        <v>3794</v>
      </c>
      <c r="F2347" t="s">
        <v>2068</v>
      </c>
      <c r="G2347" t="s">
        <v>16231</v>
      </c>
      <c r="H2347" t="s">
        <v>47153</v>
      </c>
      <c r="I2347" t="s">
        <v>47132</v>
      </c>
      <c r="J2347" t="s">
        <v>47133</v>
      </c>
      <c r="K2347" t="s">
        <v>47113</v>
      </c>
      <c r="L2347">
        <v>45.72</v>
      </c>
      <c r="M2347">
        <v>85</v>
      </c>
      <c r="N2347">
        <v>0</v>
      </c>
      <c r="O2347">
        <v>85</v>
      </c>
      <c r="P2347">
        <v>0</v>
      </c>
    </row>
    <row r="2348" spans="1:16" x14ac:dyDescent="0.25">
      <c r="A2348" t="s">
        <v>24824</v>
      </c>
      <c r="B2348" t="s">
        <v>3816</v>
      </c>
      <c r="C2348" t="s">
        <v>3813</v>
      </c>
      <c r="D2348" t="s">
        <v>3795</v>
      </c>
      <c r="E2348" t="s">
        <v>3796</v>
      </c>
      <c r="F2348" t="s">
        <v>2068</v>
      </c>
      <c r="G2348" t="s">
        <v>16231</v>
      </c>
      <c r="H2348" t="s">
        <v>47153</v>
      </c>
      <c r="I2348" t="s">
        <v>47132</v>
      </c>
      <c r="J2348" t="s">
        <v>47133</v>
      </c>
      <c r="K2348" t="s">
        <v>47113</v>
      </c>
      <c r="L2348">
        <v>48.81</v>
      </c>
      <c r="M2348">
        <v>90</v>
      </c>
      <c r="N2348">
        <v>0</v>
      </c>
      <c r="O2348">
        <v>90</v>
      </c>
      <c r="P2348">
        <v>0</v>
      </c>
    </row>
    <row r="2349" spans="1:16" x14ac:dyDescent="0.25">
      <c r="A2349" t="s">
        <v>24825</v>
      </c>
      <c r="B2349" t="s">
        <v>3817</v>
      </c>
      <c r="C2349" t="s">
        <v>3813</v>
      </c>
      <c r="D2349" t="s">
        <v>3798</v>
      </c>
      <c r="E2349" t="s">
        <v>3799</v>
      </c>
      <c r="F2349" t="s">
        <v>2068</v>
      </c>
      <c r="G2349" t="s">
        <v>16231</v>
      </c>
      <c r="H2349" t="s">
        <v>47153</v>
      </c>
      <c r="I2349" t="s">
        <v>47132</v>
      </c>
      <c r="J2349" t="s">
        <v>47133</v>
      </c>
      <c r="K2349" t="s">
        <v>47113</v>
      </c>
      <c r="L2349">
        <v>36.729999999999997</v>
      </c>
      <c r="M2349">
        <v>78</v>
      </c>
      <c r="N2349">
        <v>0</v>
      </c>
      <c r="O2349">
        <v>78</v>
      </c>
      <c r="P2349">
        <v>0</v>
      </c>
    </row>
    <row r="2350" spans="1:16" x14ac:dyDescent="0.25">
      <c r="A2350" t="s">
        <v>24826</v>
      </c>
      <c r="B2350" t="s">
        <v>3817</v>
      </c>
      <c r="C2350" t="s">
        <v>3813</v>
      </c>
      <c r="D2350" t="s">
        <v>3800</v>
      </c>
      <c r="E2350" t="s">
        <v>3801</v>
      </c>
      <c r="F2350" t="s">
        <v>2068</v>
      </c>
      <c r="G2350" t="s">
        <v>16231</v>
      </c>
      <c r="H2350" t="s">
        <v>47153</v>
      </c>
      <c r="I2350" t="s">
        <v>47132</v>
      </c>
      <c r="J2350" t="s">
        <v>47133</v>
      </c>
      <c r="K2350" t="s">
        <v>47113</v>
      </c>
      <c r="L2350">
        <v>36.61</v>
      </c>
      <c r="M2350">
        <v>84</v>
      </c>
      <c r="N2350">
        <v>0</v>
      </c>
      <c r="O2350">
        <v>84</v>
      </c>
      <c r="P2350">
        <v>0</v>
      </c>
    </row>
    <row r="2351" spans="1:16" x14ac:dyDescent="0.25">
      <c r="A2351" t="s">
        <v>24827</v>
      </c>
      <c r="B2351" t="s">
        <v>3818</v>
      </c>
      <c r="C2351" t="s">
        <v>3813</v>
      </c>
      <c r="D2351" t="s">
        <v>3803</v>
      </c>
      <c r="E2351" t="s">
        <v>3804</v>
      </c>
      <c r="F2351" t="s">
        <v>2068</v>
      </c>
      <c r="G2351" t="s">
        <v>16231</v>
      </c>
      <c r="H2351" t="s">
        <v>47153</v>
      </c>
      <c r="I2351" t="s">
        <v>47132</v>
      </c>
      <c r="J2351" t="s">
        <v>47133</v>
      </c>
      <c r="K2351" t="s">
        <v>47113</v>
      </c>
      <c r="L2351">
        <v>44.36</v>
      </c>
      <c r="M2351">
        <v>80</v>
      </c>
      <c r="N2351">
        <v>0</v>
      </c>
      <c r="O2351">
        <v>80</v>
      </c>
      <c r="P2351">
        <v>0</v>
      </c>
    </row>
    <row r="2352" spans="1:16" x14ac:dyDescent="0.25">
      <c r="A2352" t="s">
        <v>24828</v>
      </c>
      <c r="B2352" t="s">
        <v>3818</v>
      </c>
      <c r="C2352" t="s">
        <v>3813</v>
      </c>
      <c r="D2352" t="s">
        <v>3805</v>
      </c>
      <c r="E2352" t="s">
        <v>3806</v>
      </c>
      <c r="F2352" t="s">
        <v>2068</v>
      </c>
      <c r="G2352" t="s">
        <v>16231</v>
      </c>
      <c r="H2352" t="s">
        <v>47153</v>
      </c>
      <c r="I2352" t="s">
        <v>47132</v>
      </c>
      <c r="J2352" t="s">
        <v>47133</v>
      </c>
      <c r="K2352" t="s">
        <v>47113</v>
      </c>
      <c r="L2352">
        <v>44.36</v>
      </c>
      <c r="M2352">
        <v>80</v>
      </c>
      <c r="N2352">
        <v>0</v>
      </c>
      <c r="O2352">
        <v>80</v>
      </c>
      <c r="P2352">
        <v>0</v>
      </c>
    </row>
    <row r="2353" spans="1:16" x14ac:dyDescent="0.25">
      <c r="A2353" t="s">
        <v>24829</v>
      </c>
      <c r="B2353" t="s">
        <v>3818</v>
      </c>
      <c r="C2353" t="s">
        <v>3813</v>
      </c>
      <c r="D2353" t="s">
        <v>434</v>
      </c>
      <c r="E2353" t="s">
        <v>435</v>
      </c>
      <c r="F2353" t="s">
        <v>2068</v>
      </c>
      <c r="G2353" t="s">
        <v>16231</v>
      </c>
      <c r="H2353" t="s">
        <v>47153</v>
      </c>
      <c r="I2353" t="s">
        <v>47132</v>
      </c>
      <c r="J2353" t="s">
        <v>47133</v>
      </c>
      <c r="K2353" t="s">
        <v>47113</v>
      </c>
      <c r="L2353">
        <v>44.36</v>
      </c>
      <c r="M2353">
        <v>80</v>
      </c>
      <c r="N2353">
        <v>0</v>
      </c>
      <c r="O2353">
        <v>80</v>
      </c>
      <c r="P2353">
        <v>0</v>
      </c>
    </row>
    <row r="2354" spans="1:16" x14ac:dyDescent="0.25">
      <c r="A2354" t="s">
        <v>14871</v>
      </c>
      <c r="B2354" t="s">
        <v>3819</v>
      </c>
      <c r="C2354" t="s">
        <v>3813</v>
      </c>
      <c r="D2354" t="s">
        <v>3808</v>
      </c>
      <c r="E2354" t="s">
        <v>3809</v>
      </c>
      <c r="F2354" t="s">
        <v>2068</v>
      </c>
      <c r="G2354" t="s">
        <v>16231</v>
      </c>
      <c r="H2354" t="s">
        <v>47153</v>
      </c>
      <c r="I2354" t="s">
        <v>47132</v>
      </c>
      <c r="J2354" t="s">
        <v>47133</v>
      </c>
      <c r="K2354" t="s">
        <v>47113</v>
      </c>
      <c r="L2354">
        <v>50.48</v>
      </c>
      <c r="M2354">
        <v>79</v>
      </c>
      <c r="N2354">
        <v>0</v>
      </c>
      <c r="O2354">
        <v>79</v>
      </c>
      <c r="P2354">
        <v>0</v>
      </c>
    </row>
    <row r="2355" spans="1:16" x14ac:dyDescent="0.25">
      <c r="A2355" t="s">
        <v>24830</v>
      </c>
      <c r="B2355" t="s">
        <v>3820</v>
      </c>
      <c r="C2355" t="s">
        <v>3821</v>
      </c>
      <c r="D2355" t="s">
        <v>3774</v>
      </c>
      <c r="E2355" t="s">
        <v>3775</v>
      </c>
      <c r="F2355" t="s">
        <v>2068</v>
      </c>
      <c r="G2355" t="s">
        <v>16231</v>
      </c>
      <c r="H2355" t="s">
        <v>47153</v>
      </c>
      <c r="I2355" t="s">
        <v>47132</v>
      </c>
      <c r="J2355" t="s">
        <v>47133</v>
      </c>
      <c r="K2355" t="s">
        <v>47113</v>
      </c>
      <c r="L2355">
        <v>50.58</v>
      </c>
      <c r="M2355">
        <v>90</v>
      </c>
      <c r="N2355">
        <v>0</v>
      </c>
      <c r="O2355">
        <v>90</v>
      </c>
      <c r="P2355">
        <v>0</v>
      </c>
    </row>
    <row r="2356" spans="1:16" x14ac:dyDescent="0.25">
      <c r="A2356" t="s">
        <v>24831</v>
      </c>
      <c r="B2356" t="s">
        <v>3820</v>
      </c>
      <c r="C2356" t="s">
        <v>3821</v>
      </c>
      <c r="D2356" t="s">
        <v>3776</v>
      </c>
      <c r="E2356" t="s">
        <v>3777</v>
      </c>
      <c r="F2356" t="s">
        <v>2068</v>
      </c>
      <c r="G2356" t="s">
        <v>16231</v>
      </c>
      <c r="H2356" t="s">
        <v>47153</v>
      </c>
      <c r="I2356" t="s">
        <v>47132</v>
      </c>
      <c r="J2356" t="s">
        <v>47133</v>
      </c>
      <c r="K2356" t="s">
        <v>47113</v>
      </c>
      <c r="L2356">
        <v>55.32</v>
      </c>
      <c r="M2356">
        <v>99</v>
      </c>
      <c r="N2356">
        <v>0</v>
      </c>
      <c r="O2356">
        <v>99</v>
      </c>
      <c r="P2356">
        <v>0</v>
      </c>
    </row>
    <row r="2357" spans="1:16" x14ac:dyDescent="0.25">
      <c r="A2357" t="s">
        <v>24832</v>
      </c>
      <c r="B2357" t="s">
        <v>3822</v>
      </c>
      <c r="C2357" t="s">
        <v>3813</v>
      </c>
      <c r="D2357" t="s">
        <v>3786</v>
      </c>
      <c r="E2357" t="s">
        <v>3787</v>
      </c>
      <c r="F2357" t="s">
        <v>2068</v>
      </c>
      <c r="G2357" t="s">
        <v>16231</v>
      </c>
      <c r="H2357" t="s">
        <v>47153</v>
      </c>
      <c r="I2357" t="s">
        <v>47132</v>
      </c>
      <c r="J2357" t="s">
        <v>47133</v>
      </c>
      <c r="K2357" t="s">
        <v>47113</v>
      </c>
      <c r="L2357">
        <v>54.17</v>
      </c>
      <c r="M2357">
        <v>100</v>
      </c>
      <c r="N2357">
        <v>0</v>
      </c>
      <c r="O2357">
        <v>100</v>
      </c>
      <c r="P2357">
        <v>0</v>
      </c>
    </row>
    <row r="2358" spans="1:16" x14ac:dyDescent="0.25">
      <c r="A2358" t="s">
        <v>24833</v>
      </c>
      <c r="B2358" t="s">
        <v>3822</v>
      </c>
      <c r="C2358" t="s">
        <v>3813</v>
      </c>
      <c r="D2358" t="s">
        <v>3788</v>
      </c>
      <c r="E2358" t="s">
        <v>3789</v>
      </c>
      <c r="F2358" t="s">
        <v>2068</v>
      </c>
      <c r="G2358" t="s">
        <v>16231</v>
      </c>
      <c r="H2358" t="s">
        <v>47153</v>
      </c>
      <c r="I2358" t="s">
        <v>47132</v>
      </c>
      <c r="J2358" t="s">
        <v>47133</v>
      </c>
      <c r="K2358" t="s">
        <v>47113</v>
      </c>
      <c r="L2358">
        <v>42.19</v>
      </c>
      <c r="M2358">
        <v>79</v>
      </c>
      <c r="N2358">
        <v>0</v>
      </c>
      <c r="O2358">
        <v>79</v>
      </c>
      <c r="P2358">
        <v>0</v>
      </c>
    </row>
    <row r="2359" spans="1:16" x14ac:dyDescent="0.25">
      <c r="A2359" t="s">
        <v>24834</v>
      </c>
      <c r="B2359" t="s">
        <v>3822</v>
      </c>
      <c r="C2359" t="s">
        <v>3813</v>
      </c>
      <c r="D2359" t="s">
        <v>3790</v>
      </c>
      <c r="E2359" t="s">
        <v>3791</v>
      </c>
      <c r="F2359" t="s">
        <v>2068</v>
      </c>
      <c r="G2359" t="s">
        <v>16231</v>
      </c>
      <c r="H2359" t="s">
        <v>47153</v>
      </c>
      <c r="I2359" t="s">
        <v>47132</v>
      </c>
      <c r="J2359" t="s">
        <v>47133</v>
      </c>
      <c r="K2359" t="s">
        <v>47113</v>
      </c>
      <c r="L2359">
        <v>57</v>
      </c>
      <c r="M2359">
        <v>95</v>
      </c>
      <c r="N2359">
        <v>0</v>
      </c>
      <c r="O2359">
        <v>95</v>
      </c>
      <c r="P2359">
        <v>0</v>
      </c>
    </row>
    <row r="2360" spans="1:16" x14ac:dyDescent="0.25">
      <c r="A2360" t="s">
        <v>24835</v>
      </c>
      <c r="B2360" t="s">
        <v>3823</v>
      </c>
      <c r="C2360" t="s">
        <v>3821</v>
      </c>
      <c r="D2360" t="s">
        <v>3810</v>
      </c>
      <c r="E2360" t="s">
        <v>3811</v>
      </c>
      <c r="F2360" t="s">
        <v>2068</v>
      </c>
      <c r="G2360" t="s">
        <v>16231</v>
      </c>
      <c r="H2360" t="s">
        <v>47153</v>
      </c>
      <c r="I2360" t="s">
        <v>47132</v>
      </c>
      <c r="J2360" t="s">
        <v>47133</v>
      </c>
      <c r="K2360" t="s">
        <v>47113</v>
      </c>
      <c r="L2360">
        <v>50.48</v>
      </c>
      <c r="M2360">
        <v>90</v>
      </c>
      <c r="N2360">
        <v>0</v>
      </c>
      <c r="O2360">
        <v>90</v>
      </c>
      <c r="P2360">
        <v>0</v>
      </c>
    </row>
    <row r="2361" spans="1:16" x14ac:dyDescent="0.25">
      <c r="A2361" t="s">
        <v>24836</v>
      </c>
      <c r="B2361" t="s">
        <v>3824</v>
      </c>
      <c r="C2361" t="s">
        <v>3825</v>
      </c>
      <c r="D2361" t="s">
        <v>3774</v>
      </c>
      <c r="E2361" t="s">
        <v>3775</v>
      </c>
      <c r="F2361" t="s">
        <v>2068</v>
      </c>
      <c r="G2361" t="s">
        <v>16231</v>
      </c>
      <c r="H2361" t="s">
        <v>47153</v>
      </c>
      <c r="I2361" t="s">
        <v>47132</v>
      </c>
      <c r="J2361" t="s">
        <v>47133</v>
      </c>
      <c r="K2361" t="s">
        <v>47113</v>
      </c>
      <c r="L2361">
        <v>50.58</v>
      </c>
      <c r="M2361">
        <v>90</v>
      </c>
      <c r="N2361">
        <v>0</v>
      </c>
      <c r="O2361">
        <v>90</v>
      </c>
      <c r="P2361">
        <v>0</v>
      </c>
    </row>
    <row r="2362" spans="1:16" x14ac:dyDescent="0.25">
      <c r="A2362" t="s">
        <v>24837</v>
      </c>
      <c r="B2362" t="s">
        <v>3824</v>
      </c>
      <c r="C2362" t="s">
        <v>3825</v>
      </c>
      <c r="D2362" t="s">
        <v>3776</v>
      </c>
      <c r="E2362" t="s">
        <v>3777</v>
      </c>
      <c r="F2362" t="s">
        <v>2068</v>
      </c>
      <c r="G2362" t="s">
        <v>16231</v>
      </c>
      <c r="H2362" t="s">
        <v>47153</v>
      </c>
      <c r="I2362" t="s">
        <v>47132</v>
      </c>
      <c r="J2362" t="s">
        <v>47133</v>
      </c>
      <c r="K2362" t="s">
        <v>47113</v>
      </c>
      <c r="L2362">
        <v>55.56</v>
      </c>
      <c r="M2362">
        <v>99</v>
      </c>
      <c r="N2362">
        <v>0</v>
      </c>
      <c r="O2362">
        <v>99</v>
      </c>
      <c r="P2362">
        <v>0</v>
      </c>
    </row>
    <row r="2363" spans="1:16" x14ac:dyDescent="0.25">
      <c r="A2363" t="s">
        <v>14872</v>
      </c>
      <c r="B2363" t="s">
        <v>3826</v>
      </c>
      <c r="C2363" t="s">
        <v>3825</v>
      </c>
      <c r="D2363" t="s">
        <v>3779</v>
      </c>
      <c r="E2363" t="s">
        <v>3780</v>
      </c>
      <c r="F2363" t="s">
        <v>2068</v>
      </c>
      <c r="G2363" t="s">
        <v>16231</v>
      </c>
      <c r="H2363" t="s">
        <v>47153</v>
      </c>
      <c r="I2363" t="s">
        <v>47132</v>
      </c>
      <c r="J2363" t="s">
        <v>47133</v>
      </c>
      <c r="K2363" t="s">
        <v>47113</v>
      </c>
      <c r="L2363">
        <v>52.83</v>
      </c>
      <c r="M2363">
        <v>94</v>
      </c>
      <c r="N2363">
        <v>0</v>
      </c>
      <c r="O2363">
        <v>94</v>
      </c>
      <c r="P2363">
        <v>0</v>
      </c>
    </row>
    <row r="2364" spans="1:16" x14ac:dyDescent="0.25">
      <c r="A2364" t="s">
        <v>24838</v>
      </c>
      <c r="B2364" t="s">
        <v>3826</v>
      </c>
      <c r="C2364" t="s">
        <v>3825</v>
      </c>
      <c r="D2364" t="s">
        <v>3781</v>
      </c>
      <c r="E2364" t="s">
        <v>3782</v>
      </c>
      <c r="F2364" t="s">
        <v>2068</v>
      </c>
      <c r="G2364" t="s">
        <v>16231</v>
      </c>
      <c r="H2364" t="s">
        <v>47153</v>
      </c>
      <c r="I2364" t="s">
        <v>47132</v>
      </c>
      <c r="J2364" t="s">
        <v>47133</v>
      </c>
      <c r="K2364" t="s">
        <v>47113</v>
      </c>
      <c r="L2364">
        <v>70.73</v>
      </c>
      <c r="M2364">
        <v>130</v>
      </c>
      <c r="N2364">
        <v>0</v>
      </c>
      <c r="O2364">
        <v>130</v>
      </c>
      <c r="P2364">
        <v>0</v>
      </c>
    </row>
    <row r="2365" spans="1:16" x14ac:dyDescent="0.25">
      <c r="A2365" t="s">
        <v>24839</v>
      </c>
      <c r="B2365" t="s">
        <v>3826</v>
      </c>
      <c r="C2365" t="s">
        <v>3825</v>
      </c>
      <c r="D2365" t="s">
        <v>3783</v>
      </c>
      <c r="E2365" t="s">
        <v>3784</v>
      </c>
      <c r="F2365" t="s">
        <v>2068</v>
      </c>
      <c r="G2365" t="s">
        <v>16231</v>
      </c>
      <c r="H2365" t="s">
        <v>47153</v>
      </c>
      <c r="I2365" t="s">
        <v>47132</v>
      </c>
      <c r="J2365" t="s">
        <v>47133</v>
      </c>
      <c r="K2365" t="s">
        <v>47113</v>
      </c>
      <c r="L2365">
        <v>50.46</v>
      </c>
      <c r="M2365">
        <v>90</v>
      </c>
      <c r="N2365">
        <v>0</v>
      </c>
      <c r="O2365">
        <v>90</v>
      </c>
      <c r="P2365">
        <v>0</v>
      </c>
    </row>
    <row r="2366" spans="1:16" x14ac:dyDescent="0.25">
      <c r="A2366" t="s">
        <v>24840</v>
      </c>
      <c r="B2366" t="s">
        <v>3827</v>
      </c>
      <c r="C2366" t="s">
        <v>3825</v>
      </c>
      <c r="D2366" t="s">
        <v>3786</v>
      </c>
      <c r="E2366" t="s">
        <v>3787</v>
      </c>
      <c r="F2366" t="s">
        <v>2068</v>
      </c>
      <c r="G2366" t="s">
        <v>16231</v>
      </c>
      <c r="H2366" t="s">
        <v>47153</v>
      </c>
      <c r="I2366" t="s">
        <v>47132</v>
      </c>
      <c r="J2366" t="s">
        <v>47133</v>
      </c>
      <c r="K2366" t="s">
        <v>47113</v>
      </c>
      <c r="L2366">
        <v>54.17</v>
      </c>
      <c r="M2366">
        <v>100</v>
      </c>
      <c r="N2366">
        <v>0</v>
      </c>
      <c r="O2366">
        <v>100</v>
      </c>
      <c r="P2366">
        <v>0</v>
      </c>
    </row>
    <row r="2367" spans="1:16" x14ac:dyDescent="0.25">
      <c r="A2367" t="s">
        <v>24841</v>
      </c>
      <c r="B2367" t="s">
        <v>3827</v>
      </c>
      <c r="C2367" t="s">
        <v>3825</v>
      </c>
      <c r="D2367" t="s">
        <v>3788</v>
      </c>
      <c r="E2367" t="s">
        <v>3789</v>
      </c>
      <c r="F2367" t="s">
        <v>2068</v>
      </c>
      <c r="G2367" t="s">
        <v>16231</v>
      </c>
      <c r="H2367" t="s">
        <v>47153</v>
      </c>
      <c r="I2367" t="s">
        <v>47132</v>
      </c>
      <c r="J2367" t="s">
        <v>47133</v>
      </c>
      <c r="K2367" t="s">
        <v>47113</v>
      </c>
      <c r="L2367">
        <v>42.19</v>
      </c>
      <c r="M2367">
        <v>79</v>
      </c>
      <c r="N2367">
        <v>0</v>
      </c>
      <c r="O2367">
        <v>79</v>
      </c>
      <c r="P2367">
        <v>0</v>
      </c>
    </row>
    <row r="2368" spans="1:16" x14ac:dyDescent="0.25">
      <c r="A2368" t="s">
        <v>24842</v>
      </c>
      <c r="B2368" t="s">
        <v>3827</v>
      </c>
      <c r="C2368" t="s">
        <v>3825</v>
      </c>
      <c r="D2368" t="s">
        <v>3790</v>
      </c>
      <c r="E2368" t="s">
        <v>3791</v>
      </c>
      <c r="F2368" t="s">
        <v>2068</v>
      </c>
      <c r="G2368" t="s">
        <v>16231</v>
      </c>
      <c r="H2368" t="s">
        <v>47153</v>
      </c>
      <c r="I2368" t="s">
        <v>47132</v>
      </c>
      <c r="J2368" t="s">
        <v>47133</v>
      </c>
      <c r="K2368" t="s">
        <v>47113</v>
      </c>
      <c r="L2368">
        <v>57</v>
      </c>
      <c r="M2368">
        <v>95</v>
      </c>
      <c r="N2368">
        <v>0</v>
      </c>
      <c r="O2368">
        <v>95</v>
      </c>
      <c r="P2368">
        <v>0</v>
      </c>
    </row>
    <row r="2369" spans="1:16" x14ac:dyDescent="0.25">
      <c r="A2369" t="s">
        <v>24843</v>
      </c>
      <c r="B2369" t="s">
        <v>3828</v>
      </c>
      <c r="C2369" t="s">
        <v>3825</v>
      </c>
      <c r="D2369" t="s">
        <v>3793</v>
      </c>
      <c r="E2369" t="s">
        <v>3794</v>
      </c>
      <c r="F2369" t="s">
        <v>2068</v>
      </c>
      <c r="G2369" t="s">
        <v>16231</v>
      </c>
      <c r="H2369" t="s">
        <v>47153</v>
      </c>
      <c r="I2369" t="s">
        <v>47132</v>
      </c>
      <c r="J2369" t="s">
        <v>47133</v>
      </c>
      <c r="K2369" t="s">
        <v>47113</v>
      </c>
      <c r="L2369">
        <v>46.08</v>
      </c>
      <c r="M2369">
        <v>85</v>
      </c>
      <c r="N2369">
        <v>0</v>
      </c>
      <c r="O2369">
        <v>85</v>
      </c>
      <c r="P2369">
        <v>0</v>
      </c>
    </row>
    <row r="2370" spans="1:16" x14ac:dyDescent="0.25">
      <c r="A2370" t="s">
        <v>24844</v>
      </c>
      <c r="B2370" t="s">
        <v>3828</v>
      </c>
      <c r="C2370" t="s">
        <v>3825</v>
      </c>
      <c r="D2370" t="s">
        <v>3795</v>
      </c>
      <c r="E2370" t="s">
        <v>3796</v>
      </c>
      <c r="F2370" t="s">
        <v>2068</v>
      </c>
      <c r="G2370" t="s">
        <v>16231</v>
      </c>
      <c r="H2370" t="s">
        <v>47153</v>
      </c>
      <c r="I2370" t="s">
        <v>47132</v>
      </c>
      <c r="J2370" t="s">
        <v>47133</v>
      </c>
      <c r="K2370" t="s">
        <v>47113</v>
      </c>
      <c r="L2370">
        <v>49.16</v>
      </c>
      <c r="M2370">
        <v>90</v>
      </c>
      <c r="N2370">
        <v>0</v>
      </c>
      <c r="O2370">
        <v>90</v>
      </c>
      <c r="P2370">
        <v>0</v>
      </c>
    </row>
    <row r="2371" spans="1:16" x14ac:dyDescent="0.25">
      <c r="A2371" t="s">
        <v>14873</v>
      </c>
      <c r="B2371" t="s">
        <v>3829</v>
      </c>
      <c r="C2371" t="s">
        <v>3830</v>
      </c>
      <c r="D2371" t="s">
        <v>3798</v>
      </c>
      <c r="E2371" t="s">
        <v>3799</v>
      </c>
      <c r="F2371" t="s">
        <v>2068</v>
      </c>
      <c r="G2371" t="s">
        <v>16231</v>
      </c>
      <c r="H2371" t="s">
        <v>47153</v>
      </c>
      <c r="I2371" t="s">
        <v>47132</v>
      </c>
      <c r="J2371" t="s">
        <v>47133</v>
      </c>
      <c r="K2371" t="s">
        <v>47113</v>
      </c>
      <c r="L2371">
        <v>37.08</v>
      </c>
      <c r="M2371">
        <v>78</v>
      </c>
      <c r="N2371">
        <v>0</v>
      </c>
      <c r="O2371">
        <v>78</v>
      </c>
      <c r="P2371">
        <v>0</v>
      </c>
    </row>
    <row r="2372" spans="1:16" x14ac:dyDescent="0.25">
      <c r="A2372" t="s">
        <v>24845</v>
      </c>
      <c r="B2372" t="s">
        <v>3829</v>
      </c>
      <c r="C2372" t="s">
        <v>3830</v>
      </c>
      <c r="D2372" t="s">
        <v>3800</v>
      </c>
      <c r="E2372" t="s">
        <v>3801</v>
      </c>
      <c r="F2372" t="s">
        <v>2068</v>
      </c>
      <c r="G2372" t="s">
        <v>16231</v>
      </c>
      <c r="H2372" t="s">
        <v>47153</v>
      </c>
      <c r="I2372" t="s">
        <v>47132</v>
      </c>
      <c r="J2372" t="s">
        <v>47133</v>
      </c>
      <c r="K2372" t="s">
        <v>47113</v>
      </c>
      <c r="L2372">
        <v>44.54</v>
      </c>
      <c r="M2372">
        <v>84</v>
      </c>
      <c r="N2372">
        <v>0</v>
      </c>
      <c r="O2372">
        <v>84</v>
      </c>
      <c r="P2372">
        <v>0</v>
      </c>
    </row>
    <row r="2373" spans="1:16" x14ac:dyDescent="0.25">
      <c r="A2373" t="s">
        <v>24846</v>
      </c>
      <c r="B2373" t="s">
        <v>3831</v>
      </c>
      <c r="C2373" t="s">
        <v>3825</v>
      </c>
      <c r="D2373" t="s">
        <v>3803</v>
      </c>
      <c r="E2373" t="s">
        <v>3804</v>
      </c>
      <c r="F2373" t="s">
        <v>2068</v>
      </c>
      <c r="G2373" t="s">
        <v>16231</v>
      </c>
      <c r="H2373" t="s">
        <v>47153</v>
      </c>
      <c r="I2373" t="s">
        <v>47132</v>
      </c>
      <c r="J2373" t="s">
        <v>47133</v>
      </c>
      <c r="K2373" t="s">
        <v>47113</v>
      </c>
      <c r="L2373">
        <v>44.65</v>
      </c>
      <c r="M2373">
        <v>80</v>
      </c>
      <c r="N2373">
        <v>0</v>
      </c>
      <c r="O2373">
        <v>80</v>
      </c>
      <c r="P2373">
        <v>0</v>
      </c>
    </row>
    <row r="2374" spans="1:16" x14ac:dyDescent="0.25">
      <c r="A2374" t="s">
        <v>24847</v>
      </c>
      <c r="B2374" t="s">
        <v>3831</v>
      </c>
      <c r="C2374" t="s">
        <v>3825</v>
      </c>
      <c r="D2374" t="s">
        <v>3805</v>
      </c>
      <c r="E2374" t="s">
        <v>3806</v>
      </c>
      <c r="F2374" t="s">
        <v>2068</v>
      </c>
      <c r="G2374" t="s">
        <v>16231</v>
      </c>
      <c r="H2374" t="s">
        <v>47153</v>
      </c>
      <c r="I2374" t="s">
        <v>47132</v>
      </c>
      <c r="J2374" t="s">
        <v>47133</v>
      </c>
      <c r="K2374" t="s">
        <v>47113</v>
      </c>
      <c r="L2374">
        <v>44.65</v>
      </c>
      <c r="M2374">
        <v>80</v>
      </c>
      <c r="N2374">
        <v>0</v>
      </c>
      <c r="O2374">
        <v>80</v>
      </c>
      <c r="P2374">
        <v>0</v>
      </c>
    </row>
    <row r="2375" spans="1:16" x14ac:dyDescent="0.25">
      <c r="A2375" t="s">
        <v>24848</v>
      </c>
      <c r="B2375" t="s">
        <v>3831</v>
      </c>
      <c r="C2375" t="s">
        <v>3825</v>
      </c>
      <c r="D2375" t="s">
        <v>434</v>
      </c>
      <c r="E2375" t="s">
        <v>435</v>
      </c>
      <c r="F2375" t="s">
        <v>2068</v>
      </c>
      <c r="G2375" t="s">
        <v>16231</v>
      </c>
      <c r="H2375" t="s">
        <v>47153</v>
      </c>
      <c r="I2375" t="s">
        <v>47132</v>
      </c>
      <c r="J2375" t="s">
        <v>47133</v>
      </c>
      <c r="K2375" t="s">
        <v>47113</v>
      </c>
      <c r="L2375">
        <v>44.65</v>
      </c>
      <c r="M2375">
        <v>80</v>
      </c>
      <c r="N2375">
        <v>0</v>
      </c>
      <c r="O2375">
        <v>80</v>
      </c>
      <c r="P2375">
        <v>0</v>
      </c>
    </row>
    <row r="2376" spans="1:16" x14ac:dyDescent="0.25">
      <c r="A2376" t="s">
        <v>24849</v>
      </c>
      <c r="B2376" t="s">
        <v>3832</v>
      </c>
      <c r="C2376" t="s">
        <v>3833</v>
      </c>
      <c r="D2376" t="s">
        <v>3774</v>
      </c>
      <c r="E2376" t="s">
        <v>3775</v>
      </c>
      <c r="F2376" t="s">
        <v>2068</v>
      </c>
      <c r="G2376" t="s">
        <v>16231</v>
      </c>
      <c r="H2376" t="s">
        <v>47153</v>
      </c>
      <c r="I2376" t="s">
        <v>47132</v>
      </c>
      <c r="J2376" t="s">
        <v>47133</v>
      </c>
      <c r="K2376" t="s">
        <v>47113</v>
      </c>
      <c r="L2376">
        <v>50.88</v>
      </c>
      <c r="M2376">
        <v>90</v>
      </c>
      <c r="N2376">
        <v>0</v>
      </c>
      <c r="O2376">
        <v>90</v>
      </c>
      <c r="P2376">
        <v>0</v>
      </c>
    </row>
    <row r="2377" spans="1:16" x14ac:dyDescent="0.25">
      <c r="A2377" t="s">
        <v>24850</v>
      </c>
      <c r="B2377" t="s">
        <v>3832</v>
      </c>
      <c r="C2377" t="s">
        <v>3833</v>
      </c>
      <c r="D2377" t="s">
        <v>3776</v>
      </c>
      <c r="E2377" t="s">
        <v>3777</v>
      </c>
      <c r="F2377" t="s">
        <v>2068</v>
      </c>
      <c r="G2377" t="s">
        <v>16231</v>
      </c>
      <c r="H2377" t="s">
        <v>47153</v>
      </c>
      <c r="I2377" t="s">
        <v>47132</v>
      </c>
      <c r="J2377" t="s">
        <v>47133</v>
      </c>
      <c r="K2377" t="s">
        <v>47113</v>
      </c>
      <c r="L2377">
        <v>55.56</v>
      </c>
      <c r="M2377">
        <v>99</v>
      </c>
      <c r="N2377">
        <v>0</v>
      </c>
      <c r="O2377">
        <v>99</v>
      </c>
      <c r="P2377">
        <v>0</v>
      </c>
    </row>
    <row r="2378" spans="1:16" x14ac:dyDescent="0.25">
      <c r="A2378" t="s">
        <v>24851</v>
      </c>
      <c r="B2378" t="s">
        <v>3834</v>
      </c>
      <c r="C2378" t="s">
        <v>3833</v>
      </c>
      <c r="D2378" t="str">
        <f>"3251"</f>
        <v>3251</v>
      </c>
      <c r="E2378" t="s">
        <v>3835</v>
      </c>
      <c r="F2378" t="s">
        <v>2068</v>
      </c>
      <c r="G2378" t="s">
        <v>16231</v>
      </c>
      <c r="H2378" t="s">
        <v>47153</v>
      </c>
      <c r="I2378" t="s">
        <v>47132</v>
      </c>
      <c r="J2378" t="s">
        <v>47133</v>
      </c>
      <c r="K2378" t="s">
        <v>47113</v>
      </c>
      <c r="L2378">
        <v>52.96</v>
      </c>
      <c r="M2378">
        <v>98</v>
      </c>
      <c r="N2378">
        <v>0</v>
      </c>
      <c r="O2378">
        <v>98</v>
      </c>
      <c r="P2378">
        <v>0</v>
      </c>
    </row>
    <row r="2379" spans="1:16" x14ac:dyDescent="0.25">
      <c r="A2379" t="s">
        <v>24852</v>
      </c>
      <c r="B2379" t="s">
        <v>3834</v>
      </c>
      <c r="C2379" t="s">
        <v>3833</v>
      </c>
      <c r="D2379" t="s">
        <v>3779</v>
      </c>
      <c r="E2379" t="s">
        <v>3780</v>
      </c>
      <c r="F2379" t="s">
        <v>2068</v>
      </c>
      <c r="G2379" t="s">
        <v>16231</v>
      </c>
      <c r="H2379" t="s">
        <v>47153</v>
      </c>
      <c r="I2379" t="s">
        <v>47132</v>
      </c>
      <c r="J2379" t="s">
        <v>47133</v>
      </c>
      <c r="K2379" t="s">
        <v>47113</v>
      </c>
      <c r="L2379">
        <v>52.83</v>
      </c>
      <c r="M2379">
        <v>94</v>
      </c>
      <c r="N2379">
        <v>0</v>
      </c>
      <c r="O2379">
        <v>94</v>
      </c>
      <c r="P2379">
        <v>0</v>
      </c>
    </row>
    <row r="2380" spans="1:16" x14ac:dyDescent="0.25">
      <c r="A2380" t="s">
        <v>24853</v>
      </c>
      <c r="B2380" t="s">
        <v>3834</v>
      </c>
      <c r="C2380" t="s">
        <v>3833</v>
      </c>
      <c r="D2380" t="s">
        <v>3783</v>
      </c>
      <c r="E2380" t="s">
        <v>3784</v>
      </c>
      <c r="F2380" t="s">
        <v>2068</v>
      </c>
      <c r="G2380" t="s">
        <v>16231</v>
      </c>
      <c r="H2380" t="s">
        <v>47153</v>
      </c>
      <c r="I2380" t="s">
        <v>47132</v>
      </c>
      <c r="J2380" t="s">
        <v>47133</v>
      </c>
      <c r="K2380" t="s">
        <v>47113</v>
      </c>
      <c r="L2380">
        <v>50.46</v>
      </c>
      <c r="M2380">
        <v>90</v>
      </c>
      <c r="N2380">
        <v>0</v>
      </c>
      <c r="O2380">
        <v>90</v>
      </c>
      <c r="P2380">
        <v>0</v>
      </c>
    </row>
    <row r="2381" spans="1:16" x14ac:dyDescent="0.25">
      <c r="A2381" t="s">
        <v>24854</v>
      </c>
      <c r="B2381" t="s">
        <v>3836</v>
      </c>
      <c r="C2381" t="s">
        <v>3833</v>
      </c>
      <c r="D2381" t="s">
        <v>3793</v>
      </c>
      <c r="E2381" t="s">
        <v>3794</v>
      </c>
      <c r="F2381" t="s">
        <v>2068</v>
      </c>
      <c r="G2381" t="s">
        <v>16231</v>
      </c>
      <c r="H2381" t="s">
        <v>47153</v>
      </c>
      <c r="I2381" t="s">
        <v>47132</v>
      </c>
      <c r="J2381" t="s">
        <v>47133</v>
      </c>
      <c r="K2381" t="s">
        <v>47113</v>
      </c>
      <c r="L2381">
        <v>45.97</v>
      </c>
      <c r="M2381">
        <v>85</v>
      </c>
      <c r="N2381">
        <v>0</v>
      </c>
      <c r="O2381">
        <v>85</v>
      </c>
      <c r="P2381">
        <v>0</v>
      </c>
    </row>
    <row r="2382" spans="1:16" x14ac:dyDescent="0.25">
      <c r="A2382" t="s">
        <v>24855</v>
      </c>
      <c r="B2382" t="s">
        <v>3836</v>
      </c>
      <c r="C2382" t="s">
        <v>3833</v>
      </c>
      <c r="D2382" t="s">
        <v>3795</v>
      </c>
      <c r="E2382" t="s">
        <v>3796</v>
      </c>
      <c r="F2382" t="s">
        <v>2068</v>
      </c>
      <c r="G2382" t="s">
        <v>16231</v>
      </c>
      <c r="H2382" t="s">
        <v>47153</v>
      </c>
      <c r="I2382" t="s">
        <v>47132</v>
      </c>
      <c r="J2382" t="s">
        <v>47133</v>
      </c>
      <c r="K2382" t="s">
        <v>47113</v>
      </c>
      <c r="L2382">
        <v>49.16</v>
      </c>
      <c r="M2382">
        <v>90</v>
      </c>
      <c r="N2382">
        <v>0</v>
      </c>
      <c r="O2382">
        <v>90</v>
      </c>
      <c r="P2382">
        <v>0</v>
      </c>
    </row>
    <row r="2383" spans="1:16" x14ac:dyDescent="0.25">
      <c r="A2383" t="s">
        <v>24856</v>
      </c>
      <c r="B2383" t="s">
        <v>3837</v>
      </c>
      <c r="C2383" t="s">
        <v>3833</v>
      </c>
      <c r="D2383" t="s">
        <v>3810</v>
      </c>
      <c r="E2383" t="s">
        <v>3811</v>
      </c>
      <c r="F2383" t="s">
        <v>2068</v>
      </c>
      <c r="G2383" t="s">
        <v>16231</v>
      </c>
      <c r="H2383" t="s">
        <v>47153</v>
      </c>
      <c r="I2383" t="s">
        <v>47132</v>
      </c>
      <c r="J2383" t="s">
        <v>47133</v>
      </c>
      <c r="K2383" t="s">
        <v>47113</v>
      </c>
      <c r="L2383">
        <v>50.48</v>
      </c>
      <c r="M2383">
        <v>90</v>
      </c>
      <c r="N2383">
        <v>0</v>
      </c>
      <c r="O2383">
        <v>90</v>
      </c>
      <c r="P2383">
        <v>0</v>
      </c>
    </row>
    <row r="2384" spans="1:16" x14ac:dyDescent="0.25">
      <c r="A2384" t="s">
        <v>24857</v>
      </c>
      <c r="B2384" t="s">
        <v>3838</v>
      </c>
      <c r="C2384" t="s">
        <v>3833</v>
      </c>
      <c r="D2384" t="s">
        <v>3839</v>
      </c>
      <c r="E2384" t="s">
        <v>3840</v>
      </c>
      <c r="F2384" t="s">
        <v>2068</v>
      </c>
      <c r="G2384" t="s">
        <v>16231</v>
      </c>
      <c r="H2384" t="s">
        <v>47153</v>
      </c>
      <c r="I2384" t="s">
        <v>47132</v>
      </c>
      <c r="J2384" t="s">
        <v>47133</v>
      </c>
      <c r="K2384" t="s">
        <v>47113</v>
      </c>
      <c r="L2384">
        <v>53.6</v>
      </c>
      <c r="M2384">
        <v>98</v>
      </c>
      <c r="N2384">
        <v>0</v>
      </c>
      <c r="O2384">
        <v>98</v>
      </c>
      <c r="P2384">
        <v>0</v>
      </c>
    </row>
    <row r="2385" spans="1:16" x14ac:dyDescent="0.25">
      <c r="A2385" t="s">
        <v>24858</v>
      </c>
      <c r="B2385" t="s">
        <v>3838</v>
      </c>
      <c r="C2385" t="s">
        <v>3833</v>
      </c>
      <c r="D2385" t="s">
        <v>3841</v>
      </c>
      <c r="E2385" t="s">
        <v>3842</v>
      </c>
      <c r="F2385" t="s">
        <v>2068</v>
      </c>
      <c r="G2385" t="s">
        <v>16231</v>
      </c>
      <c r="H2385" t="s">
        <v>47153</v>
      </c>
      <c r="I2385" t="s">
        <v>47132</v>
      </c>
      <c r="J2385" t="s">
        <v>47133</v>
      </c>
      <c r="K2385" t="s">
        <v>47113</v>
      </c>
      <c r="L2385">
        <v>53.6</v>
      </c>
      <c r="M2385">
        <v>98</v>
      </c>
      <c r="N2385">
        <v>0</v>
      </c>
      <c r="O2385">
        <v>98</v>
      </c>
      <c r="P2385">
        <v>0</v>
      </c>
    </row>
    <row r="2386" spans="1:16" x14ac:dyDescent="0.25">
      <c r="A2386" t="s">
        <v>24859</v>
      </c>
      <c r="B2386" t="s">
        <v>3838</v>
      </c>
      <c r="C2386" t="s">
        <v>3833</v>
      </c>
      <c r="D2386" t="s">
        <v>3843</v>
      </c>
      <c r="E2386" t="s">
        <v>3844</v>
      </c>
      <c r="F2386" t="s">
        <v>2068</v>
      </c>
      <c r="G2386" t="s">
        <v>16231</v>
      </c>
      <c r="H2386" t="s">
        <v>47153</v>
      </c>
      <c r="I2386" t="s">
        <v>47132</v>
      </c>
      <c r="J2386" t="s">
        <v>47133</v>
      </c>
      <c r="K2386" t="s">
        <v>47113</v>
      </c>
      <c r="L2386">
        <v>53.6</v>
      </c>
      <c r="M2386">
        <v>98</v>
      </c>
      <c r="N2386">
        <v>0</v>
      </c>
      <c r="O2386">
        <v>98</v>
      </c>
      <c r="P2386">
        <v>0</v>
      </c>
    </row>
    <row r="2387" spans="1:16" x14ac:dyDescent="0.25">
      <c r="A2387" t="s">
        <v>24860</v>
      </c>
      <c r="B2387" t="s">
        <v>3845</v>
      </c>
      <c r="C2387" t="s">
        <v>3846</v>
      </c>
      <c r="D2387" t="s">
        <v>3768</v>
      </c>
      <c r="E2387" t="s">
        <v>3769</v>
      </c>
      <c r="F2387" t="s">
        <v>2068</v>
      </c>
      <c r="G2387" t="s">
        <v>16231</v>
      </c>
      <c r="H2387" t="s">
        <v>47153</v>
      </c>
      <c r="I2387" t="s">
        <v>47132</v>
      </c>
      <c r="J2387" t="s">
        <v>47133</v>
      </c>
      <c r="K2387" t="s">
        <v>47113</v>
      </c>
      <c r="L2387">
        <v>55.56</v>
      </c>
      <c r="M2387">
        <v>105</v>
      </c>
      <c r="N2387">
        <v>0</v>
      </c>
      <c r="O2387">
        <v>105</v>
      </c>
      <c r="P2387">
        <v>0</v>
      </c>
    </row>
    <row r="2388" spans="1:16" x14ac:dyDescent="0.25">
      <c r="A2388" t="s">
        <v>24861</v>
      </c>
      <c r="B2388" t="s">
        <v>3845</v>
      </c>
      <c r="C2388" t="s">
        <v>3846</v>
      </c>
      <c r="D2388" t="s">
        <v>3770</v>
      </c>
      <c r="E2388" t="s">
        <v>3771</v>
      </c>
      <c r="F2388" t="s">
        <v>2068</v>
      </c>
      <c r="G2388" t="s">
        <v>16231</v>
      </c>
      <c r="H2388" t="s">
        <v>47153</v>
      </c>
      <c r="I2388" t="s">
        <v>47132</v>
      </c>
      <c r="J2388" t="s">
        <v>47133</v>
      </c>
      <c r="K2388" t="s">
        <v>47113</v>
      </c>
      <c r="L2388">
        <v>63.08</v>
      </c>
      <c r="M2388">
        <v>120</v>
      </c>
      <c r="N2388">
        <v>0</v>
      </c>
      <c r="O2388">
        <v>120</v>
      </c>
      <c r="P2388">
        <v>0</v>
      </c>
    </row>
    <row r="2389" spans="1:16" x14ac:dyDescent="0.25">
      <c r="A2389" t="s">
        <v>24862</v>
      </c>
      <c r="B2389" t="s">
        <v>3847</v>
      </c>
      <c r="C2389" t="s">
        <v>3833</v>
      </c>
      <c r="D2389" t="s">
        <v>3839</v>
      </c>
      <c r="E2389" t="s">
        <v>3840</v>
      </c>
      <c r="F2389" t="s">
        <v>2068</v>
      </c>
      <c r="G2389" t="s">
        <v>16231</v>
      </c>
      <c r="H2389" t="s">
        <v>47153</v>
      </c>
      <c r="I2389" t="s">
        <v>47132</v>
      </c>
      <c r="J2389" t="s">
        <v>47133</v>
      </c>
      <c r="K2389" t="s">
        <v>47113</v>
      </c>
      <c r="L2389">
        <v>53.6</v>
      </c>
      <c r="M2389">
        <v>98</v>
      </c>
      <c r="N2389">
        <v>0</v>
      </c>
      <c r="O2389">
        <v>98</v>
      </c>
      <c r="P2389">
        <v>0</v>
      </c>
    </row>
    <row r="2390" spans="1:16" x14ac:dyDescent="0.25">
      <c r="A2390" t="s">
        <v>24863</v>
      </c>
      <c r="B2390" t="s">
        <v>3847</v>
      </c>
      <c r="C2390" t="s">
        <v>3833</v>
      </c>
      <c r="D2390" t="s">
        <v>3841</v>
      </c>
      <c r="E2390" t="s">
        <v>3842</v>
      </c>
      <c r="F2390" t="s">
        <v>2068</v>
      </c>
      <c r="G2390" t="s">
        <v>16231</v>
      </c>
      <c r="H2390" t="s">
        <v>47153</v>
      </c>
      <c r="I2390" t="s">
        <v>47132</v>
      </c>
      <c r="J2390" t="s">
        <v>47133</v>
      </c>
      <c r="K2390" t="s">
        <v>47113</v>
      </c>
      <c r="L2390">
        <v>53.6</v>
      </c>
      <c r="M2390">
        <v>98</v>
      </c>
      <c r="N2390">
        <v>0</v>
      </c>
      <c r="O2390">
        <v>98</v>
      </c>
      <c r="P2390">
        <v>0</v>
      </c>
    </row>
    <row r="2391" spans="1:16" x14ac:dyDescent="0.25">
      <c r="A2391" t="s">
        <v>24864</v>
      </c>
      <c r="B2391" t="s">
        <v>3847</v>
      </c>
      <c r="C2391" t="s">
        <v>3833</v>
      </c>
      <c r="D2391" t="s">
        <v>3843</v>
      </c>
      <c r="E2391" t="s">
        <v>3844</v>
      </c>
      <c r="F2391" t="s">
        <v>2068</v>
      </c>
      <c r="G2391" t="s">
        <v>16231</v>
      </c>
      <c r="H2391" t="s">
        <v>47153</v>
      </c>
      <c r="I2391" t="s">
        <v>47132</v>
      </c>
      <c r="J2391" t="s">
        <v>47133</v>
      </c>
      <c r="K2391" t="s">
        <v>47113</v>
      </c>
      <c r="L2391">
        <v>53.6</v>
      </c>
      <c r="M2391">
        <v>98</v>
      </c>
      <c r="N2391">
        <v>0</v>
      </c>
      <c r="O2391">
        <v>98</v>
      </c>
      <c r="P2391">
        <v>0</v>
      </c>
    </row>
    <row r="2392" spans="1:16" x14ac:dyDescent="0.25">
      <c r="A2392" t="s">
        <v>24865</v>
      </c>
      <c r="B2392" t="s">
        <v>3848</v>
      </c>
      <c r="C2392" t="s">
        <v>3849</v>
      </c>
      <c r="D2392" t="str">
        <f>"1001"</f>
        <v>1001</v>
      </c>
      <c r="E2392" t="s">
        <v>3850</v>
      </c>
      <c r="F2392" t="s">
        <v>2068</v>
      </c>
      <c r="G2392" t="s">
        <v>16232</v>
      </c>
      <c r="H2392" t="s">
        <v>47126</v>
      </c>
      <c r="I2392" t="s">
        <v>47120</v>
      </c>
      <c r="J2392" t="s">
        <v>47121</v>
      </c>
      <c r="K2392" t="s">
        <v>47113</v>
      </c>
      <c r="L2392">
        <v>111.21</v>
      </c>
      <c r="M2392">
        <v>269</v>
      </c>
      <c r="N2392">
        <v>0</v>
      </c>
      <c r="O2392">
        <v>269</v>
      </c>
      <c r="P2392">
        <v>0</v>
      </c>
    </row>
    <row r="2393" spans="1:16" x14ac:dyDescent="0.25">
      <c r="A2393" t="s">
        <v>24866</v>
      </c>
      <c r="B2393" t="s">
        <v>3848</v>
      </c>
      <c r="C2393" t="s">
        <v>3849</v>
      </c>
      <c r="D2393" t="str">
        <f>"3270"</f>
        <v>3270</v>
      </c>
      <c r="E2393" t="s">
        <v>3851</v>
      </c>
      <c r="F2393" t="s">
        <v>2068</v>
      </c>
      <c r="G2393" t="s">
        <v>16232</v>
      </c>
      <c r="H2393" t="s">
        <v>47126</v>
      </c>
      <c r="I2393" t="s">
        <v>47120</v>
      </c>
      <c r="J2393" t="s">
        <v>47121</v>
      </c>
      <c r="K2393" t="s">
        <v>47113</v>
      </c>
      <c r="L2393">
        <v>111.21</v>
      </c>
      <c r="M2393">
        <v>269</v>
      </c>
      <c r="N2393">
        <v>0</v>
      </c>
      <c r="O2393">
        <v>269</v>
      </c>
      <c r="P2393">
        <v>0</v>
      </c>
    </row>
    <row r="2394" spans="1:16" x14ac:dyDescent="0.25">
      <c r="A2394" t="s">
        <v>24867</v>
      </c>
      <c r="B2394" t="s">
        <v>3852</v>
      </c>
      <c r="C2394" t="s">
        <v>3853</v>
      </c>
      <c r="D2394" t="str">
        <f>"1200"</f>
        <v>1200</v>
      </c>
      <c r="E2394" t="s">
        <v>241</v>
      </c>
      <c r="F2394" t="s">
        <v>2068</v>
      </c>
      <c r="G2394" t="s">
        <v>16232</v>
      </c>
      <c r="H2394" t="s">
        <v>47126</v>
      </c>
      <c r="I2394" t="s">
        <v>47139</v>
      </c>
      <c r="J2394" t="s">
        <v>47140</v>
      </c>
      <c r="K2394" t="s">
        <v>47113</v>
      </c>
      <c r="L2394">
        <v>84.09</v>
      </c>
      <c r="M2394">
        <v>187</v>
      </c>
      <c r="N2394">
        <v>0</v>
      </c>
      <c r="O2394">
        <v>187</v>
      </c>
      <c r="P2394">
        <v>0</v>
      </c>
    </row>
    <row r="2395" spans="1:16" x14ac:dyDescent="0.25">
      <c r="A2395" t="s">
        <v>24868</v>
      </c>
      <c r="B2395" t="s">
        <v>3852</v>
      </c>
      <c r="C2395" t="s">
        <v>3853</v>
      </c>
      <c r="D2395" t="str">
        <f>"4000"</f>
        <v>4000</v>
      </c>
      <c r="E2395" t="s">
        <v>190</v>
      </c>
      <c r="F2395" t="s">
        <v>2068</v>
      </c>
      <c r="G2395" t="s">
        <v>16232</v>
      </c>
      <c r="H2395" t="s">
        <v>47126</v>
      </c>
      <c r="I2395" t="s">
        <v>47139</v>
      </c>
      <c r="J2395" t="s">
        <v>47140</v>
      </c>
      <c r="K2395" t="s">
        <v>47113</v>
      </c>
      <c r="L2395">
        <v>84.09</v>
      </c>
      <c r="M2395">
        <v>187</v>
      </c>
      <c r="N2395">
        <v>0</v>
      </c>
      <c r="O2395">
        <v>187</v>
      </c>
      <c r="P2395">
        <v>0</v>
      </c>
    </row>
    <row r="2396" spans="1:16" x14ac:dyDescent="0.25">
      <c r="A2396" t="s">
        <v>24869</v>
      </c>
      <c r="B2396" t="s">
        <v>3852</v>
      </c>
      <c r="C2396" t="s">
        <v>3853</v>
      </c>
      <c r="D2396" t="str">
        <f>"5105"</f>
        <v>5105</v>
      </c>
      <c r="E2396" t="s">
        <v>3854</v>
      </c>
      <c r="F2396" t="s">
        <v>2068</v>
      </c>
      <c r="G2396" t="s">
        <v>16232</v>
      </c>
      <c r="H2396" t="s">
        <v>47126</v>
      </c>
      <c r="I2396" t="s">
        <v>47139</v>
      </c>
      <c r="J2396" t="s">
        <v>47140</v>
      </c>
      <c r="K2396" t="s">
        <v>47113</v>
      </c>
      <c r="L2396">
        <v>84.09</v>
      </c>
      <c r="M2396">
        <v>187</v>
      </c>
      <c r="N2396">
        <v>0</v>
      </c>
      <c r="O2396">
        <v>187</v>
      </c>
      <c r="P2396">
        <v>0</v>
      </c>
    </row>
    <row r="2397" spans="1:16" x14ac:dyDescent="0.25">
      <c r="A2397" t="s">
        <v>24870</v>
      </c>
      <c r="B2397" t="s">
        <v>3855</v>
      </c>
      <c r="C2397" t="s">
        <v>3856</v>
      </c>
      <c r="D2397" t="str">
        <f>"1106"</f>
        <v>1106</v>
      </c>
      <c r="E2397" t="s">
        <v>460</v>
      </c>
      <c r="F2397" t="s">
        <v>2068</v>
      </c>
      <c r="G2397" t="s">
        <v>16222</v>
      </c>
      <c r="H2397" t="s">
        <v>47126</v>
      </c>
      <c r="I2397" t="s">
        <v>47127</v>
      </c>
      <c r="J2397" t="s">
        <v>47128</v>
      </c>
      <c r="K2397" t="s">
        <v>47113</v>
      </c>
      <c r="L2397">
        <v>22.34</v>
      </c>
      <c r="M2397">
        <v>55</v>
      </c>
      <c r="N2397">
        <v>0</v>
      </c>
      <c r="O2397">
        <v>55</v>
      </c>
      <c r="P2397">
        <v>0</v>
      </c>
    </row>
    <row r="2398" spans="1:16" x14ac:dyDescent="0.25">
      <c r="A2398" t="s">
        <v>24871</v>
      </c>
      <c r="B2398" t="s">
        <v>3855</v>
      </c>
      <c r="C2398" t="s">
        <v>3856</v>
      </c>
      <c r="D2398" t="str">
        <f>"1285"</f>
        <v>1285</v>
      </c>
      <c r="E2398" t="s">
        <v>2148</v>
      </c>
      <c r="F2398" t="s">
        <v>2068</v>
      </c>
      <c r="G2398" t="s">
        <v>16222</v>
      </c>
      <c r="H2398" t="s">
        <v>47126</v>
      </c>
      <c r="I2398" t="s">
        <v>47127</v>
      </c>
      <c r="J2398" t="s">
        <v>47128</v>
      </c>
      <c r="K2398" t="s">
        <v>47113</v>
      </c>
      <c r="L2398">
        <v>22.34</v>
      </c>
      <c r="M2398">
        <v>55</v>
      </c>
      <c r="N2398">
        <v>0</v>
      </c>
      <c r="O2398">
        <v>55</v>
      </c>
      <c r="P2398">
        <v>0</v>
      </c>
    </row>
    <row r="2399" spans="1:16" x14ac:dyDescent="0.25">
      <c r="A2399" t="s">
        <v>24872</v>
      </c>
      <c r="B2399" t="s">
        <v>3855</v>
      </c>
      <c r="C2399" t="s">
        <v>3856</v>
      </c>
      <c r="D2399" t="str">
        <f>"2166"</f>
        <v>2166</v>
      </c>
      <c r="E2399" t="s">
        <v>80</v>
      </c>
      <c r="F2399" t="s">
        <v>2068</v>
      </c>
      <c r="G2399" t="s">
        <v>16222</v>
      </c>
      <c r="H2399" t="s">
        <v>47126</v>
      </c>
      <c r="I2399" t="s">
        <v>47127</v>
      </c>
      <c r="J2399" t="s">
        <v>47128</v>
      </c>
      <c r="K2399" t="s">
        <v>47113</v>
      </c>
      <c r="L2399">
        <v>22.34</v>
      </c>
      <c r="M2399">
        <v>55</v>
      </c>
      <c r="N2399">
        <v>0</v>
      </c>
      <c r="O2399">
        <v>55</v>
      </c>
      <c r="P2399">
        <v>0</v>
      </c>
    </row>
    <row r="2400" spans="1:16" x14ac:dyDescent="0.25">
      <c r="A2400" t="s">
        <v>24873</v>
      </c>
      <c r="B2400" t="s">
        <v>3855</v>
      </c>
      <c r="C2400" t="s">
        <v>3856</v>
      </c>
      <c r="D2400" t="str">
        <f>"3501"</f>
        <v>3501</v>
      </c>
      <c r="E2400" t="s">
        <v>3758</v>
      </c>
      <c r="F2400" t="s">
        <v>2068</v>
      </c>
      <c r="G2400" t="s">
        <v>16222</v>
      </c>
      <c r="H2400" t="s">
        <v>47126</v>
      </c>
      <c r="I2400" t="s">
        <v>47127</v>
      </c>
      <c r="J2400" t="s">
        <v>47128</v>
      </c>
      <c r="K2400" t="s">
        <v>47113</v>
      </c>
      <c r="L2400">
        <v>22.34</v>
      </c>
      <c r="M2400">
        <v>55</v>
      </c>
      <c r="N2400">
        <v>0</v>
      </c>
      <c r="O2400">
        <v>55</v>
      </c>
      <c r="P2400">
        <v>0</v>
      </c>
    </row>
    <row r="2401" spans="1:16" x14ac:dyDescent="0.25">
      <c r="A2401" t="s">
        <v>24874</v>
      </c>
      <c r="B2401" t="s">
        <v>3855</v>
      </c>
      <c r="C2401" t="s">
        <v>3856</v>
      </c>
      <c r="D2401" t="str">
        <f>"4000"</f>
        <v>4000</v>
      </c>
      <c r="E2401" t="s">
        <v>190</v>
      </c>
      <c r="F2401" t="s">
        <v>2068</v>
      </c>
      <c r="G2401" t="s">
        <v>16222</v>
      </c>
      <c r="H2401" t="s">
        <v>47126</v>
      </c>
      <c r="I2401" t="s">
        <v>47127</v>
      </c>
      <c r="J2401" t="s">
        <v>47128</v>
      </c>
      <c r="K2401" t="s">
        <v>47113</v>
      </c>
      <c r="L2401">
        <v>22.34</v>
      </c>
      <c r="M2401">
        <v>55</v>
      </c>
      <c r="N2401">
        <v>0</v>
      </c>
      <c r="O2401">
        <v>55</v>
      </c>
      <c r="P2401">
        <v>0</v>
      </c>
    </row>
    <row r="2402" spans="1:16" x14ac:dyDescent="0.25">
      <c r="A2402" t="s">
        <v>24875</v>
      </c>
      <c r="B2402" t="s">
        <v>3855</v>
      </c>
      <c r="C2402" t="s">
        <v>3856</v>
      </c>
      <c r="D2402" t="str">
        <f>"4201"</f>
        <v>4201</v>
      </c>
      <c r="E2402" t="s">
        <v>1855</v>
      </c>
      <c r="F2402" t="s">
        <v>2068</v>
      </c>
      <c r="G2402" t="s">
        <v>16222</v>
      </c>
      <c r="H2402" t="s">
        <v>47126</v>
      </c>
      <c r="I2402" t="s">
        <v>47127</v>
      </c>
      <c r="J2402" t="s">
        <v>47128</v>
      </c>
      <c r="K2402" t="s">
        <v>47113</v>
      </c>
      <c r="L2402">
        <v>22.34</v>
      </c>
      <c r="M2402">
        <v>55</v>
      </c>
      <c r="N2402">
        <v>0</v>
      </c>
      <c r="O2402">
        <v>55</v>
      </c>
      <c r="P2402">
        <v>0</v>
      </c>
    </row>
    <row r="2403" spans="1:16" x14ac:dyDescent="0.25">
      <c r="A2403" t="s">
        <v>14874</v>
      </c>
      <c r="B2403" t="s">
        <v>3857</v>
      </c>
      <c r="C2403" t="s">
        <v>3858</v>
      </c>
      <c r="D2403" t="str">
        <f>"1106"</f>
        <v>1106</v>
      </c>
      <c r="E2403" t="s">
        <v>460</v>
      </c>
      <c r="F2403" t="s">
        <v>2068</v>
      </c>
      <c r="G2403" t="s">
        <v>16222</v>
      </c>
      <c r="H2403" t="s">
        <v>47126</v>
      </c>
      <c r="I2403" t="s">
        <v>47127</v>
      </c>
      <c r="J2403" t="s">
        <v>47128</v>
      </c>
      <c r="K2403" t="s">
        <v>47113</v>
      </c>
      <c r="L2403">
        <v>22.34</v>
      </c>
      <c r="M2403">
        <v>55</v>
      </c>
      <c r="N2403">
        <v>0</v>
      </c>
      <c r="O2403">
        <v>55</v>
      </c>
      <c r="P2403">
        <v>0</v>
      </c>
    </row>
    <row r="2404" spans="1:16" x14ac:dyDescent="0.25">
      <c r="A2404" t="s">
        <v>14875</v>
      </c>
      <c r="B2404" t="s">
        <v>3857</v>
      </c>
      <c r="C2404" t="s">
        <v>3858</v>
      </c>
      <c r="D2404" t="str">
        <f>"1377"</f>
        <v>1377</v>
      </c>
      <c r="E2404" t="s">
        <v>74</v>
      </c>
      <c r="F2404" t="s">
        <v>2068</v>
      </c>
      <c r="G2404" t="s">
        <v>16222</v>
      </c>
      <c r="H2404" t="s">
        <v>47126</v>
      </c>
      <c r="I2404" t="s">
        <v>47127</v>
      </c>
      <c r="J2404" t="s">
        <v>47128</v>
      </c>
      <c r="K2404" t="s">
        <v>47113</v>
      </c>
      <c r="L2404">
        <v>22.34</v>
      </c>
      <c r="M2404">
        <v>55</v>
      </c>
      <c r="N2404">
        <v>0</v>
      </c>
      <c r="O2404">
        <v>55</v>
      </c>
      <c r="P2404">
        <v>0</v>
      </c>
    </row>
    <row r="2405" spans="1:16" x14ac:dyDescent="0.25">
      <c r="A2405" t="s">
        <v>24876</v>
      </c>
      <c r="B2405" t="s">
        <v>3857</v>
      </c>
      <c r="C2405" t="s">
        <v>3858</v>
      </c>
      <c r="D2405" t="str">
        <f>"1476"</f>
        <v>1476</v>
      </c>
      <c r="E2405" t="s">
        <v>3859</v>
      </c>
      <c r="F2405" t="s">
        <v>2068</v>
      </c>
      <c r="G2405" t="s">
        <v>16222</v>
      </c>
      <c r="H2405" t="s">
        <v>47126</v>
      </c>
      <c r="I2405" t="s">
        <v>47127</v>
      </c>
      <c r="J2405" t="s">
        <v>47128</v>
      </c>
      <c r="K2405" t="s">
        <v>47113</v>
      </c>
      <c r="L2405">
        <v>22.34</v>
      </c>
      <c r="M2405">
        <v>55</v>
      </c>
      <c r="N2405">
        <v>0</v>
      </c>
      <c r="O2405">
        <v>55</v>
      </c>
      <c r="P2405">
        <v>0</v>
      </c>
    </row>
    <row r="2406" spans="1:16" x14ac:dyDescent="0.25">
      <c r="A2406" t="s">
        <v>24877</v>
      </c>
      <c r="B2406" t="s">
        <v>3857</v>
      </c>
      <c r="C2406" t="s">
        <v>3858</v>
      </c>
      <c r="D2406" t="str">
        <f>"4000"</f>
        <v>4000</v>
      </c>
      <c r="E2406" t="s">
        <v>190</v>
      </c>
      <c r="F2406" t="s">
        <v>2068</v>
      </c>
      <c r="G2406" t="s">
        <v>16222</v>
      </c>
      <c r="H2406" t="s">
        <v>47126</v>
      </c>
      <c r="I2406" t="s">
        <v>47127</v>
      </c>
      <c r="J2406" t="s">
        <v>47128</v>
      </c>
      <c r="K2406" t="s">
        <v>47113</v>
      </c>
      <c r="L2406">
        <v>22.34</v>
      </c>
      <c r="M2406">
        <v>55</v>
      </c>
      <c r="N2406">
        <v>0</v>
      </c>
      <c r="O2406">
        <v>55</v>
      </c>
      <c r="P2406">
        <v>0</v>
      </c>
    </row>
    <row r="2407" spans="1:16" x14ac:dyDescent="0.25">
      <c r="A2407" t="s">
        <v>24878</v>
      </c>
      <c r="B2407" t="s">
        <v>3857</v>
      </c>
      <c r="C2407" t="s">
        <v>3858</v>
      </c>
      <c r="D2407" t="str">
        <f>"4201"</f>
        <v>4201</v>
      </c>
      <c r="E2407" t="s">
        <v>1855</v>
      </c>
      <c r="F2407" t="s">
        <v>2068</v>
      </c>
      <c r="G2407" t="s">
        <v>16222</v>
      </c>
      <c r="H2407" t="s">
        <v>47126</v>
      </c>
      <c r="I2407" t="s">
        <v>47127</v>
      </c>
      <c r="J2407" t="s">
        <v>47128</v>
      </c>
      <c r="K2407" t="s">
        <v>47113</v>
      </c>
      <c r="L2407">
        <v>22.34</v>
      </c>
      <c r="M2407">
        <v>55</v>
      </c>
      <c r="N2407">
        <v>0</v>
      </c>
      <c r="O2407">
        <v>55</v>
      </c>
      <c r="P2407">
        <v>0</v>
      </c>
    </row>
    <row r="2408" spans="1:16" x14ac:dyDescent="0.25">
      <c r="A2408" t="s">
        <v>24879</v>
      </c>
      <c r="B2408" t="s">
        <v>3860</v>
      </c>
      <c r="C2408" t="s">
        <v>3861</v>
      </c>
      <c r="D2408" t="str">
        <f>"1106"</f>
        <v>1106</v>
      </c>
      <c r="E2408" t="s">
        <v>460</v>
      </c>
      <c r="F2408" t="s">
        <v>2068</v>
      </c>
      <c r="G2408" t="s">
        <v>46686</v>
      </c>
      <c r="H2408" t="s">
        <v>47126</v>
      </c>
      <c r="I2408" t="s">
        <v>47127</v>
      </c>
      <c r="J2408" t="s">
        <v>47128</v>
      </c>
      <c r="K2408" t="s">
        <v>47113</v>
      </c>
      <c r="L2408">
        <v>33.69</v>
      </c>
      <c r="M2408">
        <v>83</v>
      </c>
      <c r="N2408">
        <v>0</v>
      </c>
      <c r="O2408">
        <v>83</v>
      </c>
      <c r="P2408">
        <v>0</v>
      </c>
    </row>
    <row r="2409" spans="1:16" x14ac:dyDescent="0.25">
      <c r="A2409" t="s">
        <v>24880</v>
      </c>
      <c r="B2409" t="s">
        <v>3860</v>
      </c>
      <c r="C2409" t="s">
        <v>3861</v>
      </c>
      <c r="D2409" t="str">
        <f>"1285"</f>
        <v>1285</v>
      </c>
      <c r="E2409" t="s">
        <v>2148</v>
      </c>
      <c r="F2409" t="s">
        <v>2068</v>
      </c>
      <c r="G2409" t="s">
        <v>46686</v>
      </c>
      <c r="H2409" t="s">
        <v>47126</v>
      </c>
      <c r="I2409" t="s">
        <v>47127</v>
      </c>
      <c r="J2409" t="s">
        <v>47128</v>
      </c>
      <c r="K2409" t="s">
        <v>47113</v>
      </c>
      <c r="L2409">
        <v>33.69</v>
      </c>
      <c r="M2409">
        <v>83</v>
      </c>
      <c r="N2409">
        <v>0</v>
      </c>
      <c r="O2409">
        <v>83</v>
      </c>
      <c r="P2409">
        <v>0</v>
      </c>
    </row>
    <row r="2410" spans="1:16" x14ac:dyDescent="0.25">
      <c r="A2410" t="s">
        <v>24881</v>
      </c>
      <c r="B2410" t="s">
        <v>3860</v>
      </c>
      <c r="C2410" t="s">
        <v>3861</v>
      </c>
      <c r="D2410" t="str">
        <f>"2166"</f>
        <v>2166</v>
      </c>
      <c r="E2410" t="s">
        <v>80</v>
      </c>
      <c r="F2410" t="s">
        <v>2068</v>
      </c>
      <c r="G2410" t="s">
        <v>46686</v>
      </c>
      <c r="H2410" t="s">
        <v>47126</v>
      </c>
      <c r="I2410" t="s">
        <v>47127</v>
      </c>
      <c r="J2410" t="s">
        <v>47128</v>
      </c>
      <c r="K2410" t="s">
        <v>47113</v>
      </c>
      <c r="L2410">
        <v>33.69</v>
      </c>
      <c r="M2410">
        <v>83</v>
      </c>
      <c r="N2410">
        <v>0</v>
      </c>
      <c r="O2410">
        <v>83</v>
      </c>
      <c r="P2410">
        <v>0</v>
      </c>
    </row>
    <row r="2411" spans="1:16" x14ac:dyDescent="0.25">
      <c r="A2411" t="s">
        <v>24882</v>
      </c>
      <c r="B2411" t="s">
        <v>3860</v>
      </c>
      <c r="C2411" t="s">
        <v>3861</v>
      </c>
      <c r="D2411" t="str">
        <f>"3501"</f>
        <v>3501</v>
      </c>
      <c r="E2411" t="s">
        <v>3758</v>
      </c>
      <c r="F2411" t="s">
        <v>2068</v>
      </c>
      <c r="G2411" t="s">
        <v>46686</v>
      </c>
      <c r="H2411" t="s">
        <v>47126</v>
      </c>
      <c r="I2411" t="s">
        <v>47127</v>
      </c>
      <c r="J2411" t="s">
        <v>47128</v>
      </c>
      <c r="K2411" t="s">
        <v>47113</v>
      </c>
      <c r="L2411">
        <v>33.69</v>
      </c>
      <c r="M2411">
        <v>83</v>
      </c>
      <c r="N2411">
        <v>0</v>
      </c>
      <c r="O2411">
        <v>83</v>
      </c>
      <c r="P2411">
        <v>0</v>
      </c>
    </row>
    <row r="2412" spans="1:16" x14ac:dyDescent="0.25">
      <c r="A2412" t="s">
        <v>24883</v>
      </c>
      <c r="B2412" t="s">
        <v>3860</v>
      </c>
      <c r="C2412" t="s">
        <v>3861</v>
      </c>
      <c r="D2412" t="str">
        <f>"4000"</f>
        <v>4000</v>
      </c>
      <c r="E2412" t="s">
        <v>190</v>
      </c>
      <c r="F2412" t="s">
        <v>2068</v>
      </c>
      <c r="G2412" t="s">
        <v>46686</v>
      </c>
      <c r="H2412" t="s">
        <v>47126</v>
      </c>
      <c r="I2412" t="s">
        <v>47127</v>
      </c>
      <c r="J2412" t="s">
        <v>47128</v>
      </c>
      <c r="K2412" t="s">
        <v>47113</v>
      </c>
      <c r="L2412">
        <v>33.69</v>
      </c>
      <c r="M2412">
        <v>83</v>
      </c>
      <c r="N2412">
        <v>0</v>
      </c>
      <c r="O2412">
        <v>83</v>
      </c>
      <c r="P2412">
        <v>0</v>
      </c>
    </row>
    <row r="2413" spans="1:16" x14ac:dyDescent="0.25">
      <c r="A2413" t="s">
        <v>24884</v>
      </c>
      <c r="B2413" t="s">
        <v>3860</v>
      </c>
      <c r="C2413" t="s">
        <v>3861</v>
      </c>
      <c r="D2413" t="str">
        <f>"4201"</f>
        <v>4201</v>
      </c>
      <c r="E2413" t="s">
        <v>1855</v>
      </c>
      <c r="F2413" t="s">
        <v>2068</v>
      </c>
      <c r="G2413" t="s">
        <v>46686</v>
      </c>
      <c r="H2413" t="s">
        <v>47126</v>
      </c>
      <c r="I2413" t="s">
        <v>47127</v>
      </c>
      <c r="J2413" t="s">
        <v>47128</v>
      </c>
      <c r="K2413" t="s">
        <v>47113</v>
      </c>
      <c r="L2413">
        <v>33.69</v>
      </c>
      <c r="M2413">
        <v>83</v>
      </c>
      <c r="N2413">
        <v>0</v>
      </c>
      <c r="O2413">
        <v>83</v>
      </c>
      <c r="P2413">
        <v>0</v>
      </c>
    </row>
    <row r="2414" spans="1:16" x14ac:dyDescent="0.25">
      <c r="A2414" t="s">
        <v>24885</v>
      </c>
      <c r="B2414" t="s">
        <v>3862</v>
      </c>
      <c r="C2414" t="s">
        <v>3863</v>
      </c>
      <c r="D2414" t="str">
        <f>"1106"</f>
        <v>1106</v>
      </c>
      <c r="E2414" t="s">
        <v>460</v>
      </c>
      <c r="F2414" t="s">
        <v>2068</v>
      </c>
      <c r="G2414" t="s">
        <v>46686</v>
      </c>
      <c r="H2414" t="s">
        <v>47126</v>
      </c>
      <c r="I2414" t="s">
        <v>47127</v>
      </c>
      <c r="J2414" t="s">
        <v>47128</v>
      </c>
      <c r="K2414" t="s">
        <v>47113</v>
      </c>
      <c r="L2414">
        <v>33.69</v>
      </c>
      <c r="M2414">
        <v>83</v>
      </c>
      <c r="N2414">
        <v>0</v>
      </c>
      <c r="O2414">
        <v>83</v>
      </c>
      <c r="P2414">
        <v>0</v>
      </c>
    </row>
    <row r="2415" spans="1:16" x14ac:dyDescent="0.25">
      <c r="A2415" t="s">
        <v>24886</v>
      </c>
      <c r="B2415" t="s">
        <v>3862</v>
      </c>
      <c r="C2415" t="s">
        <v>3863</v>
      </c>
      <c r="D2415" t="str">
        <f>"1377"</f>
        <v>1377</v>
      </c>
      <c r="E2415" t="s">
        <v>74</v>
      </c>
      <c r="F2415" t="s">
        <v>2068</v>
      </c>
      <c r="G2415" t="s">
        <v>46686</v>
      </c>
      <c r="H2415" t="s">
        <v>47126</v>
      </c>
      <c r="I2415" t="s">
        <v>47127</v>
      </c>
      <c r="J2415" t="s">
        <v>47128</v>
      </c>
      <c r="K2415" t="s">
        <v>47113</v>
      </c>
      <c r="L2415">
        <v>33.69</v>
      </c>
      <c r="M2415">
        <v>83</v>
      </c>
      <c r="N2415">
        <v>0</v>
      </c>
      <c r="O2415">
        <v>83</v>
      </c>
      <c r="P2415">
        <v>0</v>
      </c>
    </row>
    <row r="2416" spans="1:16" x14ac:dyDescent="0.25">
      <c r="A2416" t="s">
        <v>24887</v>
      </c>
      <c r="B2416" t="s">
        <v>3862</v>
      </c>
      <c r="C2416" t="s">
        <v>3863</v>
      </c>
      <c r="D2416" t="str">
        <f>"1378"</f>
        <v>1378</v>
      </c>
      <c r="E2416" t="s">
        <v>388</v>
      </c>
      <c r="F2416" t="s">
        <v>2068</v>
      </c>
      <c r="G2416" t="s">
        <v>46686</v>
      </c>
      <c r="H2416" t="s">
        <v>47126</v>
      </c>
      <c r="I2416" t="s">
        <v>47127</v>
      </c>
      <c r="J2416" t="s">
        <v>47128</v>
      </c>
      <c r="K2416" t="s">
        <v>47113</v>
      </c>
      <c r="L2416">
        <v>33.69</v>
      </c>
      <c r="M2416">
        <v>83</v>
      </c>
      <c r="N2416">
        <v>0</v>
      </c>
      <c r="O2416">
        <v>83</v>
      </c>
      <c r="P2416">
        <v>0</v>
      </c>
    </row>
    <row r="2417" spans="1:16" x14ac:dyDescent="0.25">
      <c r="A2417" t="s">
        <v>24888</v>
      </c>
      <c r="B2417" t="s">
        <v>3862</v>
      </c>
      <c r="C2417" t="s">
        <v>3863</v>
      </c>
      <c r="D2417" t="str">
        <f>"1403"</f>
        <v>1403</v>
      </c>
      <c r="E2417" t="s">
        <v>224</v>
      </c>
      <c r="F2417" t="s">
        <v>2068</v>
      </c>
      <c r="G2417" t="s">
        <v>46686</v>
      </c>
      <c r="H2417" t="s">
        <v>47126</v>
      </c>
      <c r="I2417" t="s">
        <v>47127</v>
      </c>
      <c r="J2417" t="s">
        <v>47128</v>
      </c>
      <c r="K2417" t="s">
        <v>47113</v>
      </c>
      <c r="L2417">
        <v>33.69</v>
      </c>
      <c r="M2417">
        <v>83</v>
      </c>
      <c r="N2417">
        <v>0</v>
      </c>
      <c r="O2417">
        <v>83</v>
      </c>
      <c r="P2417">
        <v>0</v>
      </c>
    </row>
    <row r="2418" spans="1:16" x14ac:dyDescent="0.25">
      <c r="A2418" t="s">
        <v>24889</v>
      </c>
      <c r="B2418" t="s">
        <v>3862</v>
      </c>
      <c r="C2418" t="s">
        <v>3863</v>
      </c>
      <c r="D2418" t="str">
        <f>"2166"</f>
        <v>2166</v>
      </c>
      <c r="E2418" t="s">
        <v>80</v>
      </c>
      <c r="F2418" t="s">
        <v>2068</v>
      </c>
      <c r="G2418" t="s">
        <v>46686</v>
      </c>
      <c r="H2418" t="s">
        <v>47126</v>
      </c>
      <c r="I2418" t="s">
        <v>47127</v>
      </c>
      <c r="J2418" t="s">
        <v>47128</v>
      </c>
      <c r="K2418" t="s">
        <v>47113</v>
      </c>
      <c r="L2418">
        <v>33.69</v>
      </c>
      <c r="M2418">
        <v>83</v>
      </c>
      <c r="N2418">
        <v>0</v>
      </c>
      <c r="O2418">
        <v>83</v>
      </c>
      <c r="P2418">
        <v>0</v>
      </c>
    </row>
    <row r="2419" spans="1:16" x14ac:dyDescent="0.25">
      <c r="A2419" t="s">
        <v>24890</v>
      </c>
      <c r="B2419" t="s">
        <v>3862</v>
      </c>
      <c r="C2419" t="s">
        <v>3863</v>
      </c>
      <c r="D2419" t="str">
        <f>"3501"</f>
        <v>3501</v>
      </c>
      <c r="E2419" t="s">
        <v>3758</v>
      </c>
      <c r="F2419" t="s">
        <v>2068</v>
      </c>
      <c r="G2419" t="s">
        <v>46686</v>
      </c>
      <c r="H2419" t="s">
        <v>47126</v>
      </c>
      <c r="I2419" t="s">
        <v>47127</v>
      </c>
      <c r="J2419" t="s">
        <v>47128</v>
      </c>
      <c r="K2419" t="s">
        <v>47113</v>
      </c>
      <c r="L2419">
        <v>33.69</v>
      </c>
      <c r="M2419">
        <v>83</v>
      </c>
      <c r="N2419">
        <v>0</v>
      </c>
      <c r="O2419">
        <v>83</v>
      </c>
      <c r="P2419">
        <v>0</v>
      </c>
    </row>
    <row r="2420" spans="1:16" x14ac:dyDescent="0.25">
      <c r="A2420" t="s">
        <v>24891</v>
      </c>
      <c r="B2420" t="s">
        <v>3862</v>
      </c>
      <c r="C2420" t="s">
        <v>3863</v>
      </c>
      <c r="D2420" t="str">
        <f>"4753"</f>
        <v>4753</v>
      </c>
      <c r="E2420" t="s">
        <v>3755</v>
      </c>
      <c r="F2420" t="s">
        <v>2068</v>
      </c>
      <c r="G2420" t="s">
        <v>46686</v>
      </c>
      <c r="H2420" t="s">
        <v>47126</v>
      </c>
      <c r="I2420" t="s">
        <v>47127</v>
      </c>
      <c r="J2420" t="s">
        <v>47128</v>
      </c>
      <c r="K2420" t="s">
        <v>47113</v>
      </c>
      <c r="L2420">
        <v>33.69</v>
      </c>
      <c r="M2420">
        <v>83</v>
      </c>
      <c r="N2420">
        <v>0</v>
      </c>
      <c r="O2420">
        <v>83</v>
      </c>
      <c r="P2420">
        <v>0</v>
      </c>
    </row>
    <row r="2421" spans="1:16" x14ac:dyDescent="0.25">
      <c r="A2421" t="s">
        <v>14876</v>
      </c>
      <c r="B2421" t="s">
        <v>3864</v>
      </c>
      <c r="C2421" t="s">
        <v>3865</v>
      </c>
      <c r="D2421" t="str">
        <f>"1106"</f>
        <v>1106</v>
      </c>
      <c r="E2421" t="s">
        <v>460</v>
      </c>
      <c r="F2421" t="s">
        <v>2068</v>
      </c>
      <c r="G2421" t="s">
        <v>46686</v>
      </c>
      <c r="H2421" t="s">
        <v>47126</v>
      </c>
      <c r="I2421" t="s">
        <v>47127</v>
      </c>
      <c r="J2421" t="s">
        <v>47128</v>
      </c>
      <c r="K2421" t="s">
        <v>47113</v>
      </c>
      <c r="L2421">
        <v>42.02</v>
      </c>
      <c r="M2421">
        <v>103</v>
      </c>
      <c r="N2421">
        <v>0</v>
      </c>
      <c r="O2421">
        <v>103</v>
      </c>
      <c r="P2421">
        <v>0</v>
      </c>
    </row>
    <row r="2422" spans="1:16" x14ac:dyDescent="0.25">
      <c r="A2422" t="s">
        <v>24892</v>
      </c>
      <c r="B2422" t="s">
        <v>3864</v>
      </c>
      <c r="C2422" t="s">
        <v>3865</v>
      </c>
      <c r="D2422" t="str">
        <f>"1377"</f>
        <v>1377</v>
      </c>
      <c r="E2422" t="s">
        <v>74</v>
      </c>
      <c r="F2422" t="s">
        <v>2068</v>
      </c>
      <c r="G2422" t="s">
        <v>46686</v>
      </c>
      <c r="H2422" t="s">
        <v>47126</v>
      </c>
      <c r="I2422" t="s">
        <v>47127</v>
      </c>
      <c r="J2422" t="s">
        <v>47128</v>
      </c>
      <c r="K2422" t="s">
        <v>47113</v>
      </c>
      <c r="L2422">
        <v>42.02</v>
      </c>
      <c r="M2422">
        <v>103</v>
      </c>
      <c r="N2422">
        <v>0</v>
      </c>
      <c r="O2422">
        <v>103</v>
      </c>
      <c r="P2422">
        <v>0</v>
      </c>
    </row>
    <row r="2423" spans="1:16" x14ac:dyDescent="0.25">
      <c r="A2423" t="s">
        <v>24893</v>
      </c>
      <c r="B2423" t="s">
        <v>3864</v>
      </c>
      <c r="C2423" t="s">
        <v>3865</v>
      </c>
      <c r="D2423" t="str">
        <f>"2166"</f>
        <v>2166</v>
      </c>
      <c r="E2423" t="s">
        <v>80</v>
      </c>
      <c r="F2423" t="s">
        <v>2068</v>
      </c>
      <c r="G2423" t="s">
        <v>46686</v>
      </c>
      <c r="H2423" t="s">
        <v>47126</v>
      </c>
      <c r="I2423" t="s">
        <v>47127</v>
      </c>
      <c r="J2423" t="s">
        <v>47128</v>
      </c>
      <c r="K2423" t="s">
        <v>47113</v>
      </c>
      <c r="L2423">
        <v>42.02</v>
      </c>
      <c r="M2423">
        <v>103</v>
      </c>
      <c r="N2423">
        <v>0</v>
      </c>
      <c r="O2423">
        <v>103</v>
      </c>
      <c r="P2423">
        <v>0</v>
      </c>
    </row>
    <row r="2424" spans="1:16" x14ac:dyDescent="0.25">
      <c r="A2424" t="s">
        <v>24894</v>
      </c>
      <c r="B2424" t="s">
        <v>3864</v>
      </c>
      <c r="C2424" t="s">
        <v>3865</v>
      </c>
      <c r="D2424" t="str">
        <f>"4000"</f>
        <v>4000</v>
      </c>
      <c r="E2424" t="s">
        <v>190</v>
      </c>
      <c r="F2424" t="s">
        <v>2068</v>
      </c>
      <c r="G2424" t="s">
        <v>46686</v>
      </c>
      <c r="H2424" t="s">
        <v>47126</v>
      </c>
      <c r="I2424" t="s">
        <v>47127</v>
      </c>
      <c r="J2424" t="s">
        <v>47128</v>
      </c>
      <c r="K2424" t="s">
        <v>47113</v>
      </c>
      <c r="L2424">
        <v>42.02</v>
      </c>
      <c r="M2424">
        <v>103</v>
      </c>
      <c r="N2424">
        <v>0</v>
      </c>
      <c r="O2424">
        <v>103</v>
      </c>
      <c r="P2424">
        <v>0</v>
      </c>
    </row>
    <row r="2425" spans="1:16" x14ac:dyDescent="0.25">
      <c r="A2425" t="s">
        <v>24895</v>
      </c>
      <c r="B2425" t="s">
        <v>3864</v>
      </c>
      <c r="C2425" t="s">
        <v>3865</v>
      </c>
      <c r="D2425" t="str">
        <f>"4201"</f>
        <v>4201</v>
      </c>
      <c r="E2425" t="s">
        <v>1855</v>
      </c>
      <c r="F2425" t="s">
        <v>2068</v>
      </c>
      <c r="G2425" t="s">
        <v>46686</v>
      </c>
      <c r="H2425" t="s">
        <v>47126</v>
      </c>
      <c r="I2425" t="s">
        <v>47127</v>
      </c>
      <c r="J2425" t="s">
        <v>47128</v>
      </c>
      <c r="K2425" t="s">
        <v>47113</v>
      </c>
      <c r="L2425">
        <v>42.02</v>
      </c>
      <c r="M2425">
        <v>103</v>
      </c>
      <c r="N2425">
        <v>0</v>
      </c>
      <c r="O2425">
        <v>103</v>
      </c>
      <c r="P2425">
        <v>0</v>
      </c>
    </row>
    <row r="2426" spans="1:16" x14ac:dyDescent="0.25">
      <c r="A2426" t="s">
        <v>14877</v>
      </c>
      <c r="B2426" t="s">
        <v>3866</v>
      </c>
      <c r="C2426" t="s">
        <v>3861</v>
      </c>
      <c r="D2426" t="str">
        <f>"1106"</f>
        <v>1106</v>
      </c>
      <c r="E2426" t="s">
        <v>460</v>
      </c>
      <c r="F2426" t="s">
        <v>2068</v>
      </c>
      <c r="G2426" t="s">
        <v>46686</v>
      </c>
      <c r="H2426" t="s">
        <v>47126</v>
      </c>
      <c r="I2426" t="s">
        <v>47127</v>
      </c>
      <c r="J2426" t="s">
        <v>47128</v>
      </c>
      <c r="K2426" t="s">
        <v>47113</v>
      </c>
      <c r="L2426">
        <v>35.020000000000003</v>
      </c>
      <c r="M2426">
        <v>85</v>
      </c>
      <c r="N2426">
        <v>0</v>
      </c>
      <c r="O2426">
        <v>85</v>
      </c>
      <c r="P2426">
        <v>0</v>
      </c>
    </row>
    <row r="2427" spans="1:16" x14ac:dyDescent="0.25">
      <c r="A2427" t="s">
        <v>24896</v>
      </c>
      <c r="B2427" t="s">
        <v>3866</v>
      </c>
      <c r="C2427" t="s">
        <v>3861</v>
      </c>
      <c r="D2427" t="str">
        <f>"1285"</f>
        <v>1285</v>
      </c>
      <c r="E2427" t="s">
        <v>2148</v>
      </c>
      <c r="F2427" t="s">
        <v>2068</v>
      </c>
      <c r="G2427" t="s">
        <v>46686</v>
      </c>
      <c r="H2427" t="s">
        <v>47126</v>
      </c>
      <c r="I2427" t="s">
        <v>47127</v>
      </c>
      <c r="J2427" t="s">
        <v>47128</v>
      </c>
      <c r="K2427" t="s">
        <v>47113</v>
      </c>
      <c r="L2427">
        <v>35.020000000000003</v>
      </c>
      <c r="M2427">
        <v>85</v>
      </c>
      <c r="N2427">
        <v>0</v>
      </c>
      <c r="O2427">
        <v>85</v>
      </c>
      <c r="P2427">
        <v>0</v>
      </c>
    </row>
    <row r="2428" spans="1:16" x14ac:dyDescent="0.25">
      <c r="A2428" t="s">
        <v>24897</v>
      </c>
      <c r="B2428" t="s">
        <v>3866</v>
      </c>
      <c r="C2428" t="s">
        <v>3861</v>
      </c>
      <c r="D2428" t="str">
        <f>"1377"</f>
        <v>1377</v>
      </c>
      <c r="E2428" t="s">
        <v>74</v>
      </c>
      <c r="F2428" t="s">
        <v>2068</v>
      </c>
      <c r="G2428" t="s">
        <v>46686</v>
      </c>
      <c r="H2428" t="s">
        <v>47126</v>
      </c>
      <c r="I2428" t="s">
        <v>47127</v>
      </c>
      <c r="J2428" t="s">
        <v>47128</v>
      </c>
      <c r="K2428" t="s">
        <v>47113</v>
      </c>
      <c r="L2428">
        <v>35.020000000000003</v>
      </c>
      <c r="M2428">
        <v>85</v>
      </c>
      <c r="N2428">
        <v>0</v>
      </c>
      <c r="O2428">
        <v>85</v>
      </c>
      <c r="P2428">
        <v>0</v>
      </c>
    </row>
    <row r="2429" spans="1:16" x14ac:dyDescent="0.25">
      <c r="A2429" t="s">
        <v>24898</v>
      </c>
      <c r="B2429" t="s">
        <v>3866</v>
      </c>
      <c r="C2429" t="s">
        <v>3861</v>
      </c>
      <c r="D2429" t="str">
        <f>"1378"</f>
        <v>1378</v>
      </c>
      <c r="E2429" t="s">
        <v>388</v>
      </c>
      <c r="F2429" t="s">
        <v>2068</v>
      </c>
      <c r="G2429" t="s">
        <v>46686</v>
      </c>
      <c r="H2429" t="s">
        <v>47126</v>
      </c>
      <c r="I2429" t="s">
        <v>47127</v>
      </c>
      <c r="J2429" t="s">
        <v>47128</v>
      </c>
      <c r="K2429" t="s">
        <v>47113</v>
      </c>
      <c r="L2429">
        <v>35.020000000000003</v>
      </c>
      <c r="M2429">
        <v>85</v>
      </c>
      <c r="N2429">
        <v>0</v>
      </c>
      <c r="O2429">
        <v>85</v>
      </c>
      <c r="P2429">
        <v>0</v>
      </c>
    </row>
    <row r="2430" spans="1:16" x14ac:dyDescent="0.25">
      <c r="A2430" t="s">
        <v>24899</v>
      </c>
      <c r="B2430" t="s">
        <v>3866</v>
      </c>
      <c r="C2430" t="s">
        <v>3861</v>
      </c>
      <c r="D2430" t="str">
        <f>"1403"</f>
        <v>1403</v>
      </c>
      <c r="E2430" t="s">
        <v>224</v>
      </c>
      <c r="F2430" t="s">
        <v>2068</v>
      </c>
      <c r="G2430" t="s">
        <v>46686</v>
      </c>
      <c r="H2430" t="s">
        <v>47126</v>
      </c>
      <c r="I2430" t="s">
        <v>47127</v>
      </c>
      <c r="J2430" t="s">
        <v>47128</v>
      </c>
      <c r="K2430" t="s">
        <v>47113</v>
      </c>
      <c r="L2430">
        <v>35.020000000000003</v>
      </c>
      <c r="M2430">
        <v>85</v>
      </c>
      <c r="N2430">
        <v>0</v>
      </c>
      <c r="O2430">
        <v>85</v>
      </c>
      <c r="P2430">
        <v>0</v>
      </c>
    </row>
    <row r="2431" spans="1:16" x14ac:dyDescent="0.25">
      <c r="A2431" t="s">
        <v>24900</v>
      </c>
      <c r="B2431" t="s">
        <v>3866</v>
      </c>
      <c r="C2431" t="s">
        <v>3861</v>
      </c>
      <c r="D2431" t="str">
        <f>"2166"</f>
        <v>2166</v>
      </c>
      <c r="E2431" t="s">
        <v>80</v>
      </c>
      <c r="F2431" t="s">
        <v>2068</v>
      </c>
      <c r="G2431" t="s">
        <v>46686</v>
      </c>
      <c r="H2431" t="s">
        <v>47126</v>
      </c>
      <c r="I2431" t="s">
        <v>47127</v>
      </c>
      <c r="J2431" t="s">
        <v>47128</v>
      </c>
      <c r="K2431" t="s">
        <v>47113</v>
      </c>
      <c r="L2431">
        <v>35.020000000000003</v>
      </c>
      <c r="M2431">
        <v>85</v>
      </c>
      <c r="N2431">
        <v>0</v>
      </c>
      <c r="O2431">
        <v>85</v>
      </c>
      <c r="P2431">
        <v>0</v>
      </c>
    </row>
    <row r="2432" spans="1:16" x14ac:dyDescent="0.25">
      <c r="A2432" t="s">
        <v>24901</v>
      </c>
      <c r="B2432" t="s">
        <v>3866</v>
      </c>
      <c r="C2432" t="s">
        <v>3861</v>
      </c>
      <c r="D2432" t="str">
        <f>"3501"</f>
        <v>3501</v>
      </c>
      <c r="E2432" t="s">
        <v>3758</v>
      </c>
      <c r="F2432" t="s">
        <v>2068</v>
      </c>
      <c r="G2432" t="s">
        <v>46686</v>
      </c>
      <c r="H2432" t="s">
        <v>47126</v>
      </c>
      <c r="I2432" t="s">
        <v>47127</v>
      </c>
      <c r="J2432" t="s">
        <v>47128</v>
      </c>
      <c r="K2432" t="s">
        <v>47113</v>
      </c>
      <c r="L2432">
        <v>35.020000000000003</v>
      </c>
      <c r="M2432">
        <v>85</v>
      </c>
      <c r="N2432">
        <v>0</v>
      </c>
      <c r="O2432">
        <v>85</v>
      </c>
      <c r="P2432">
        <v>0</v>
      </c>
    </row>
    <row r="2433" spans="1:16" x14ac:dyDescent="0.25">
      <c r="A2433" t="s">
        <v>24902</v>
      </c>
      <c r="B2433" t="s">
        <v>3866</v>
      </c>
      <c r="C2433" t="s">
        <v>3861</v>
      </c>
      <c r="D2433" t="str">
        <f>"4000"</f>
        <v>4000</v>
      </c>
      <c r="E2433" t="s">
        <v>190</v>
      </c>
      <c r="F2433" t="s">
        <v>2068</v>
      </c>
      <c r="G2433" t="s">
        <v>46686</v>
      </c>
      <c r="H2433" t="s">
        <v>47126</v>
      </c>
      <c r="I2433" t="s">
        <v>47127</v>
      </c>
      <c r="J2433" t="s">
        <v>47128</v>
      </c>
      <c r="K2433" t="s">
        <v>47113</v>
      </c>
      <c r="L2433">
        <v>35.020000000000003</v>
      </c>
      <c r="M2433">
        <v>85</v>
      </c>
      <c r="N2433">
        <v>0</v>
      </c>
      <c r="O2433">
        <v>85</v>
      </c>
      <c r="P2433">
        <v>0</v>
      </c>
    </row>
    <row r="2434" spans="1:16" x14ac:dyDescent="0.25">
      <c r="A2434" t="s">
        <v>24903</v>
      </c>
      <c r="B2434" t="s">
        <v>3866</v>
      </c>
      <c r="C2434" t="s">
        <v>3861</v>
      </c>
      <c r="D2434" t="str">
        <f>"4201"</f>
        <v>4201</v>
      </c>
      <c r="E2434" t="s">
        <v>1855</v>
      </c>
      <c r="F2434" t="s">
        <v>2068</v>
      </c>
      <c r="G2434" t="s">
        <v>46686</v>
      </c>
      <c r="H2434" t="s">
        <v>47126</v>
      </c>
      <c r="I2434" t="s">
        <v>47127</v>
      </c>
      <c r="J2434" t="s">
        <v>47128</v>
      </c>
      <c r="K2434" t="s">
        <v>47113</v>
      </c>
      <c r="L2434">
        <v>35.020000000000003</v>
      </c>
      <c r="M2434">
        <v>85</v>
      </c>
      <c r="N2434">
        <v>0</v>
      </c>
      <c r="O2434">
        <v>85</v>
      </c>
      <c r="P2434">
        <v>0</v>
      </c>
    </row>
    <row r="2435" spans="1:16" x14ac:dyDescent="0.25">
      <c r="A2435" t="s">
        <v>24904</v>
      </c>
      <c r="B2435" t="s">
        <v>3866</v>
      </c>
      <c r="C2435" t="s">
        <v>3861</v>
      </c>
      <c r="D2435" t="str">
        <f>"4753"</f>
        <v>4753</v>
      </c>
      <c r="E2435" t="s">
        <v>3755</v>
      </c>
      <c r="F2435" t="s">
        <v>2068</v>
      </c>
      <c r="G2435" t="s">
        <v>46686</v>
      </c>
      <c r="H2435" t="s">
        <v>47126</v>
      </c>
      <c r="I2435" t="s">
        <v>47127</v>
      </c>
      <c r="J2435" t="s">
        <v>47128</v>
      </c>
      <c r="K2435" t="s">
        <v>47113</v>
      </c>
      <c r="L2435">
        <v>35.020000000000003</v>
      </c>
      <c r="M2435">
        <v>85</v>
      </c>
      <c r="N2435">
        <v>0</v>
      </c>
      <c r="O2435">
        <v>85</v>
      </c>
      <c r="P2435">
        <v>0</v>
      </c>
    </row>
    <row r="2436" spans="1:16" x14ac:dyDescent="0.25">
      <c r="A2436" t="s">
        <v>24905</v>
      </c>
      <c r="B2436" t="s">
        <v>3866</v>
      </c>
      <c r="C2436" t="s">
        <v>3861</v>
      </c>
      <c r="D2436" t="str">
        <f>"6276"</f>
        <v>6276</v>
      </c>
      <c r="E2436" t="s">
        <v>3867</v>
      </c>
      <c r="F2436" t="s">
        <v>2068</v>
      </c>
      <c r="G2436" t="s">
        <v>46686</v>
      </c>
      <c r="H2436" t="s">
        <v>47126</v>
      </c>
      <c r="I2436" t="s">
        <v>47127</v>
      </c>
      <c r="J2436" t="s">
        <v>47128</v>
      </c>
      <c r="K2436" t="s">
        <v>47113</v>
      </c>
      <c r="L2436">
        <v>35.020000000000003</v>
      </c>
      <c r="M2436">
        <v>85</v>
      </c>
      <c r="N2436">
        <v>0</v>
      </c>
      <c r="O2436">
        <v>85</v>
      </c>
      <c r="P2436">
        <v>0</v>
      </c>
    </row>
    <row r="2437" spans="1:16" x14ac:dyDescent="0.25">
      <c r="A2437" t="s">
        <v>24906</v>
      </c>
      <c r="B2437" t="s">
        <v>3868</v>
      </c>
      <c r="C2437" t="s">
        <v>3869</v>
      </c>
      <c r="D2437" t="str">
        <f>"1106"</f>
        <v>1106</v>
      </c>
      <c r="E2437" t="s">
        <v>460</v>
      </c>
      <c r="F2437" t="s">
        <v>2068</v>
      </c>
      <c r="G2437" t="s">
        <v>46686</v>
      </c>
      <c r="H2437" t="s">
        <v>47126</v>
      </c>
      <c r="I2437" t="s">
        <v>47127</v>
      </c>
      <c r="J2437" t="s">
        <v>47128</v>
      </c>
      <c r="K2437" t="s">
        <v>47113</v>
      </c>
      <c r="L2437">
        <v>32</v>
      </c>
      <c r="M2437">
        <v>78</v>
      </c>
      <c r="N2437">
        <v>0</v>
      </c>
      <c r="O2437">
        <v>78</v>
      </c>
      <c r="P2437">
        <v>0</v>
      </c>
    </row>
    <row r="2438" spans="1:16" x14ac:dyDescent="0.25">
      <c r="A2438" t="s">
        <v>24907</v>
      </c>
      <c r="B2438" t="s">
        <v>3868</v>
      </c>
      <c r="C2438" t="s">
        <v>3869</v>
      </c>
      <c r="D2438" t="str">
        <f>"1378"</f>
        <v>1378</v>
      </c>
      <c r="E2438" t="s">
        <v>388</v>
      </c>
      <c r="F2438" t="s">
        <v>2068</v>
      </c>
      <c r="G2438" t="s">
        <v>46686</v>
      </c>
      <c r="H2438" t="s">
        <v>47126</v>
      </c>
      <c r="I2438" t="s">
        <v>47127</v>
      </c>
      <c r="J2438" t="s">
        <v>47128</v>
      </c>
      <c r="K2438" t="s">
        <v>47113</v>
      </c>
      <c r="L2438">
        <v>32</v>
      </c>
      <c r="M2438">
        <v>78</v>
      </c>
      <c r="N2438">
        <v>0</v>
      </c>
      <c r="O2438">
        <v>78</v>
      </c>
      <c r="P2438">
        <v>0</v>
      </c>
    </row>
    <row r="2439" spans="1:16" x14ac:dyDescent="0.25">
      <c r="A2439" t="s">
        <v>24908</v>
      </c>
      <c r="B2439" t="s">
        <v>3868</v>
      </c>
      <c r="C2439" t="s">
        <v>3869</v>
      </c>
      <c r="D2439" t="str">
        <f>"1403"</f>
        <v>1403</v>
      </c>
      <c r="E2439" t="s">
        <v>224</v>
      </c>
      <c r="F2439" t="s">
        <v>2068</v>
      </c>
      <c r="G2439" t="s">
        <v>46686</v>
      </c>
      <c r="H2439" t="s">
        <v>47126</v>
      </c>
      <c r="I2439" t="s">
        <v>47127</v>
      </c>
      <c r="J2439" t="s">
        <v>47128</v>
      </c>
      <c r="K2439" t="s">
        <v>47113</v>
      </c>
      <c r="L2439">
        <v>32</v>
      </c>
      <c r="M2439">
        <v>78</v>
      </c>
      <c r="N2439">
        <v>0</v>
      </c>
      <c r="O2439">
        <v>78</v>
      </c>
      <c r="P2439">
        <v>0</v>
      </c>
    </row>
    <row r="2440" spans="1:16" x14ac:dyDescent="0.25">
      <c r="A2440" t="s">
        <v>24909</v>
      </c>
      <c r="B2440" t="s">
        <v>3868</v>
      </c>
      <c r="C2440" t="s">
        <v>3869</v>
      </c>
      <c r="D2440" t="str">
        <f>"2166"</f>
        <v>2166</v>
      </c>
      <c r="E2440" t="s">
        <v>80</v>
      </c>
      <c r="F2440" t="s">
        <v>2068</v>
      </c>
      <c r="G2440" t="s">
        <v>46686</v>
      </c>
      <c r="H2440" t="s">
        <v>47126</v>
      </c>
      <c r="I2440" t="s">
        <v>47127</v>
      </c>
      <c r="J2440" t="s">
        <v>47128</v>
      </c>
      <c r="K2440" t="s">
        <v>47113</v>
      </c>
      <c r="L2440">
        <v>32</v>
      </c>
      <c r="M2440">
        <v>78</v>
      </c>
      <c r="N2440">
        <v>0</v>
      </c>
      <c r="O2440">
        <v>78</v>
      </c>
      <c r="P2440">
        <v>0</v>
      </c>
    </row>
    <row r="2441" spans="1:16" x14ac:dyDescent="0.25">
      <c r="A2441" t="s">
        <v>24910</v>
      </c>
      <c r="B2441" t="s">
        <v>3868</v>
      </c>
      <c r="C2441" t="s">
        <v>3869</v>
      </c>
      <c r="D2441" t="str">
        <f>"3501"</f>
        <v>3501</v>
      </c>
      <c r="E2441" t="s">
        <v>3758</v>
      </c>
      <c r="F2441" t="s">
        <v>2068</v>
      </c>
      <c r="G2441" t="s">
        <v>46686</v>
      </c>
      <c r="H2441" t="s">
        <v>47126</v>
      </c>
      <c r="I2441" t="s">
        <v>47127</v>
      </c>
      <c r="J2441" t="s">
        <v>47128</v>
      </c>
      <c r="K2441" t="s">
        <v>47113</v>
      </c>
      <c r="L2441">
        <v>32</v>
      </c>
      <c r="M2441">
        <v>78</v>
      </c>
      <c r="N2441">
        <v>0</v>
      </c>
      <c r="O2441">
        <v>78</v>
      </c>
      <c r="P2441">
        <v>0</v>
      </c>
    </row>
    <row r="2442" spans="1:16" x14ac:dyDescent="0.25">
      <c r="A2442" t="s">
        <v>24911</v>
      </c>
      <c r="B2442" t="s">
        <v>3868</v>
      </c>
      <c r="C2442" t="s">
        <v>3869</v>
      </c>
      <c r="D2442" t="str">
        <f>"4753"</f>
        <v>4753</v>
      </c>
      <c r="E2442" t="s">
        <v>3755</v>
      </c>
      <c r="F2442" t="s">
        <v>2068</v>
      </c>
      <c r="G2442" t="s">
        <v>46686</v>
      </c>
      <c r="H2442" t="s">
        <v>47126</v>
      </c>
      <c r="I2442" t="s">
        <v>47127</v>
      </c>
      <c r="J2442" t="s">
        <v>47128</v>
      </c>
      <c r="K2442" t="s">
        <v>47113</v>
      </c>
      <c r="L2442">
        <v>32</v>
      </c>
      <c r="M2442">
        <v>78</v>
      </c>
      <c r="N2442">
        <v>0</v>
      </c>
      <c r="O2442">
        <v>78</v>
      </c>
      <c r="P2442">
        <v>0</v>
      </c>
    </row>
    <row r="2443" spans="1:16" x14ac:dyDescent="0.25">
      <c r="A2443" t="s">
        <v>24912</v>
      </c>
      <c r="B2443" t="s">
        <v>3870</v>
      </c>
      <c r="C2443" t="s">
        <v>3871</v>
      </c>
      <c r="D2443" t="str">
        <f>"1106"</f>
        <v>1106</v>
      </c>
      <c r="E2443" t="s">
        <v>460</v>
      </c>
      <c r="F2443" t="s">
        <v>2068</v>
      </c>
      <c r="G2443" t="s">
        <v>16235</v>
      </c>
      <c r="H2443" t="s">
        <v>47126</v>
      </c>
      <c r="I2443" t="s">
        <v>47127</v>
      </c>
      <c r="J2443" t="s">
        <v>47128</v>
      </c>
      <c r="K2443" t="s">
        <v>47113</v>
      </c>
      <c r="L2443">
        <v>35.75</v>
      </c>
      <c r="M2443">
        <v>88</v>
      </c>
      <c r="N2443">
        <v>0</v>
      </c>
      <c r="O2443">
        <v>88</v>
      </c>
      <c r="P2443">
        <v>0</v>
      </c>
    </row>
    <row r="2444" spans="1:16" x14ac:dyDescent="0.25">
      <c r="A2444" t="s">
        <v>24913</v>
      </c>
      <c r="B2444" t="s">
        <v>3872</v>
      </c>
      <c r="C2444" t="s">
        <v>3873</v>
      </c>
      <c r="D2444" t="str">
        <f>"1106"</f>
        <v>1106</v>
      </c>
      <c r="E2444" t="s">
        <v>460</v>
      </c>
      <c r="F2444" t="s">
        <v>2068</v>
      </c>
      <c r="G2444" t="s">
        <v>16222</v>
      </c>
      <c r="H2444" t="s">
        <v>47126</v>
      </c>
      <c r="I2444" t="s">
        <v>47127</v>
      </c>
      <c r="J2444" t="s">
        <v>47128</v>
      </c>
      <c r="K2444" t="s">
        <v>47113</v>
      </c>
      <c r="L2444">
        <v>26.57</v>
      </c>
      <c r="M2444">
        <v>65</v>
      </c>
      <c r="N2444">
        <v>0</v>
      </c>
      <c r="O2444">
        <v>65</v>
      </c>
      <c r="P2444">
        <v>0</v>
      </c>
    </row>
    <row r="2445" spans="1:16" x14ac:dyDescent="0.25">
      <c r="A2445" t="s">
        <v>24914</v>
      </c>
      <c r="B2445" t="s">
        <v>3874</v>
      </c>
      <c r="C2445" t="s">
        <v>3875</v>
      </c>
      <c r="D2445" t="str">
        <f>"1476"</f>
        <v>1476</v>
      </c>
      <c r="E2445" t="s">
        <v>3859</v>
      </c>
      <c r="F2445" t="s">
        <v>2068</v>
      </c>
      <c r="G2445" t="s">
        <v>46686</v>
      </c>
      <c r="H2445" t="s">
        <v>47126</v>
      </c>
      <c r="I2445" t="s">
        <v>47127</v>
      </c>
      <c r="J2445" t="s">
        <v>47128</v>
      </c>
      <c r="K2445" t="s">
        <v>47113</v>
      </c>
      <c r="L2445">
        <v>30.43</v>
      </c>
      <c r="M2445">
        <v>73</v>
      </c>
      <c r="N2445">
        <v>0</v>
      </c>
      <c r="O2445">
        <v>73</v>
      </c>
      <c r="P2445">
        <v>0</v>
      </c>
    </row>
    <row r="2446" spans="1:16" x14ac:dyDescent="0.25">
      <c r="A2446" t="s">
        <v>24915</v>
      </c>
      <c r="B2446" t="s">
        <v>3874</v>
      </c>
      <c r="C2446" t="s">
        <v>3875</v>
      </c>
      <c r="D2446" t="str">
        <f>"4000"</f>
        <v>4000</v>
      </c>
      <c r="E2446" t="s">
        <v>190</v>
      </c>
      <c r="F2446" t="s">
        <v>2068</v>
      </c>
      <c r="G2446" t="s">
        <v>46686</v>
      </c>
      <c r="H2446" t="s">
        <v>47126</v>
      </c>
      <c r="I2446" t="s">
        <v>47127</v>
      </c>
      <c r="J2446" t="s">
        <v>47128</v>
      </c>
      <c r="K2446" t="s">
        <v>47113</v>
      </c>
      <c r="L2446">
        <v>30.43</v>
      </c>
      <c r="M2446">
        <v>73</v>
      </c>
      <c r="N2446">
        <v>0</v>
      </c>
      <c r="O2446">
        <v>73</v>
      </c>
      <c r="P2446">
        <v>0</v>
      </c>
    </row>
    <row r="2447" spans="1:16" x14ac:dyDescent="0.25">
      <c r="A2447" t="s">
        <v>24916</v>
      </c>
      <c r="B2447" t="s">
        <v>3874</v>
      </c>
      <c r="C2447" t="s">
        <v>3875</v>
      </c>
      <c r="D2447" t="str">
        <f>"4201"</f>
        <v>4201</v>
      </c>
      <c r="E2447" t="s">
        <v>1855</v>
      </c>
      <c r="F2447" t="s">
        <v>2068</v>
      </c>
      <c r="G2447" t="s">
        <v>46686</v>
      </c>
      <c r="H2447" t="s">
        <v>47126</v>
      </c>
      <c r="I2447" t="s">
        <v>47127</v>
      </c>
      <c r="J2447" t="s">
        <v>47128</v>
      </c>
      <c r="K2447" t="s">
        <v>47113</v>
      </c>
      <c r="L2447">
        <v>30.43</v>
      </c>
      <c r="M2447">
        <v>73</v>
      </c>
      <c r="N2447">
        <v>0</v>
      </c>
      <c r="O2447">
        <v>73</v>
      </c>
      <c r="P2447">
        <v>0</v>
      </c>
    </row>
    <row r="2448" spans="1:16" x14ac:dyDescent="0.25">
      <c r="A2448" t="s">
        <v>24917</v>
      </c>
      <c r="B2448" t="s">
        <v>3876</v>
      </c>
      <c r="C2448" t="s">
        <v>3858</v>
      </c>
      <c r="D2448" t="str">
        <f>"1476"</f>
        <v>1476</v>
      </c>
      <c r="E2448" t="s">
        <v>3859</v>
      </c>
      <c r="F2448" t="s">
        <v>2068</v>
      </c>
      <c r="G2448" t="s">
        <v>16222</v>
      </c>
      <c r="H2448" t="s">
        <v>47126</v>
      </c>
      <c r="I2448" t="s">
        <v>47127</v>
      </c>
      <c r="J2448" t="s">
        <v>47128</v>
      </c>
      <c r="K2448" t="s">
        <v>47113</v>
      </c>
      <c r="L2448">
        <v>22.34</v>
      </c>
      <c r="M2448">
        <v>55</v>
      </c>
      <c r="N2448">
        <v>0</v>
      </c>
      <c r="O2448">
        <v>55</v>
      </c>
      <c r="P2448">
        <v>0</v>
      </c>
    </row>
    <row r="2449" spans="1:16" x14ac:dyDescent="0.25">
      <c r="A2449" t="s">
        <v>24918</v>
      </c>
      <c r="B2449" t="s">
        <v>3877</v>
      </c>
      <c r="C2449" t="s">
        <v>3878</v>
      </c>
      <c r="D2449" t="str">
        <f>"1476"</f>
        <v>1476</v>
      </c>
      <c r="E2449" t="s">
        <v>3859</v>
      </c>
      <c r="F2449" t="s">
        <v>2068</v>
      </c>
      <c r="G2449" t="s">
        <v>46686</v>
      </c>
      <c r="H2449" t="s">
        <v>47126</v>
      </c>
      <c r="I2449" t="s">
        <v>47127</v>
      </c>
      <c r="J2449" t="s">
        <v>47128</v>
      </c>
      <c r="K2449" t="s">
        <v>47113</v>
      </c>
      <c r="L2449">
        <v>33.69</v>
      </c>
      <c r="M2449">
        <v>83</v>
      </c>
      <c r="N2449">
        <v>0</v>
      </c>
      <c r="O2449">
        <v>83</v>
      </c>
      <c r="P2449">
        <v>0</v>
      </c>
    </row>
    <row r="2450" spans="1:16" x14ac:dyDescent="0.25">
      <c r="A2450" t="s">
        <v>24919</v>
      </c>
      <c r="B2450" t="s">
        <v>3879</v>
      </c>
      <c r="C2450" t="s">
        <v>3880</v>
      </c>
      <c r="D2450" t="str">
        <f>"1476"</f>
        <v>1476</v>
      </c>
      <c r="E2450" t="s">
        <v>3859</v>
      </c>
      <c r="F2450" t="s">
        <v>2068</v>
      </c>
      <c r="G2450" t="s">
        <v>46686</v>
      </c>
      <c r="H2450" t="s">
        <v>47126</v>
      </c>
      <c r="I2450" t="s">
        <v>47127</v>
      </c>
      <c r="J2450" t="s">
        <v>47128</v>
      </c>
      <c r="K2450" t="s">
        <v>47113</v>
      </c>
      <c r="L2450">
        <v>26.81</v>
      </c>
      <c r="M2450">
        <v>65</v>
      </c>
      <c r="N2450">
        <v>0</v>
      </c>
      <c r="O2450">
        <v>65</v>
      </c>
      <c r="P2450">
        <v>0</v>
      </c>
    </row>
    <row r="2451" spans="1:16" x14ac:dyDescent="0.25">
      <c r="A2451" t="s">
        <v>24920</v>
      </c>
      <c r="B2451" t="s">
        <v>3881</v>
      </c>
      <c r="C2451" t="s">
        <v>3882</v>
      </c>
      <c r="D2451" t="str">
        <f>"1106"</f>
        <v>1106</v>
      </c>
      <c r="E2451" t="s">
        <v>460</v>
      </c>
      <c r="F2451" t="s">
        <v>3750</v>
      </c>
      <c r="G2451" t="s">
        <v>16235</v>
      </c>
      <c r="H2451" t="s">
        <v>47126</v>
      </c>
      <c r="I2451" t="s">
        <v>47127</v>
      </c>
      <c r="J2451" t="s">
        <v>47128</v>
      </c>
      <c r="K2451" t="s">
        <v>47113</v>
      </c>
      <c r="L2451">
        <v>25</v>
      </c>
      <c r="M2451">
        <v>61</v>
      </c>
      <c r="N2451">
        <v>0</v>
      </c>
      <c r="O2451">
        <v>61</v>
      </c>
      <c r="P2451">
        <v>0</v>
      </c>
    </row>
    <row r="2452" spans="1:16" x14ac:dyDescent="0.25">
      <c r="A2452" t="s">
        <v>24921</v>
      </c>
      <c r="B2452" t="s">
        <v>3881</v>
      </c>
      <c r="C2452" t="s">
        <v>3882</v>
      </c>
      <c r="D2452" t="str">
        <f>"1278"</f>
        <v>1278</v>
      </c>
      <c r="E2452" t="s">
        <v>100</v>
      </c>
      <c r="F2452" t="s">
        <v>3750</v>
      </c>
      <c r="G2452" t="s">
        <v>16235</v>
      </c>
      <c r="H2452" t="s">
        <v>47126</v>
      </c>
      <c r="I2452" t="s">
        <v>47127</v>
      </c>
      <c r="J2452" t="s">
        <v>47128</v>
      </c>
      <c r="K2452" t="s">
        <v>47113</v>
      </c>
      <c r="L2452">
        <v>25</v>
      </c>
      <c r="M2452">
        <v>61</v>
      </c>
      <c r="N2452">
        <v>0</v>
      </c>
      <c r="O2452">
        <v>61</v>
      </c>
      <c r="P2452">
        <v>0</v>
      </c>
    </row>
    <row r="2453" spans="1:16" x14ac:dyDescent="0.25">
      <c r="A2453" t="s">
        <v>24922</v>
      </c>
      <c r="B2453" t="s">
        <v>3881</v>
      </c>
      <c r="C2453" t="s">
        <v>3882</v>
      </c>
      <c r="D2453" t="str">
        <f>"1285"</f>
        <v>1285</v>
      </c>
      <c r="E2453" t="s">
        <v>2148</v>
      </c>
      <c r="F2453" t="s">
        <v>3750</v>
      </c>
      <c r="G2453" t="s">
        <v>16235</v>
      </c>
      <c r="H2453" t="s">
        <v>47126</v>
      </c>
      <c r="I2453" t="s">
        <v>47127</v>
      </c>
      <c r="J2453" t="s">
        <v>47128</v>
      </c>
      <c r="K2453" t="s">
        <v>47113</v>
      </c>
      <c r="L2453">
        <v>25</v>
      </c>
      <c r="M2453">
        <v>61</v>
      </c>
      <c r="N2453">
        <v>0</v>
      </c>
      <c r="O2453">
        <v>61</v>
      </c>
      <c r="P2453">
        <v>0</v>
      </c>
    </row>
    <row r="2454" spans="1:16" x14ac:dyDescent="0.25">
      <c r="A2454" t="s">
        <v>24923</v>
      </c>
      <c r="B2454" t="s">
        <v>3881</v>
      </c>
      <c r="C2454" t="s">
        <v>3882</v>
      </c>
      <c r="D2454" t="str">
        <f>"1379"</f>
        <v>1379</v>
      </c>
      <c r="E2454" t="s">
        <v>84</v>
      </c>
      <c r="F2454" t="s">
        <v>3750</v>
      </c>
      <c r="G2454" t="s">
        <v>16235</v>
      </c>
      <c r="H2454" t="s">
        <v>47126</v>
      </c>
      <c r="I2454" t="s">
        <v>47127</v>
      </c>
      <c r="J2454" t="s">
        <v>47128</v>
      </c>
      <c r="K2454" t="s">
        <v>47113</v>
      </c>
      <c r="L2454">
        <v>25</v>
      </c>
      <c r="M2454">
        <v>61</v>
      </c>
      <c r="N2454">
        <v>0</v>
      </c>
      <c r="O2454">
        <v>61</v>
      </c>
      <c r="P2454">
        <v>0</v>
      </c>
    </row>
    <row r="2455" spans="1:16" x14ac:dyDescent="0.25">
      <c r="A2455" t="s">
        <v>24924</v>
      </c>
      <c r="B2455" t="s">
        <v>3881</v>
      </c>
      <c r="C2455" t="s">
        <v>3882</v>
      </c>
      <c r="D2455" t="str">
        <f>"1700"</f>
        <v>1700</v>
      </c>
      <c r="E2455" t="s">
        <v>60</v>
      </c>
      <c r="F2455" t="s">
        <v>3750</v>
      </c>
      <c r="G2455" t="s">
        <v>16235</v>
      </c>
      <c r="H2455" t="s">
        <v>47126</v>
      </c>
      <c r="I2455" t="s">
        <v>47127</v>
      </c>
      <c r="J2455" t="s">
        <v>47128</v>
      </c>
      <c r="K2455" t="s">
        <v>47113</v>
      </c>
      <c r="L2455">
        <v>25</v>
      </c>
      <c r="M2455">
        <v>61</v>
      </c>
      <c r="N2455">
        <v>0</v>
      </c>
      <c r="O2455">
        <v>61</v>
      </c>
      <c r="P2455">
        <v>0</v>
      </c>
    </row>
    <row r="2456" spans="1:16" x14ac:dyDescent="0.25">
      <c r="A2456" t="s">
        <v>24925</v>
      </c>
      <c r="B2456" t="s">
        <v>3881</v>
      </c>
      <c r="C2456" t="s">
        <v>3882</v>
      </c>
      <c r="D2456" t="str">
        <f>"3539"</f>
        <v>3539</v>
      </c>
      <c r="E2456" t="s">
        <v>3883</v>
      </c>
      <c r="F2456" t="s">
        <v>3750</v>
      </c>
      <c r="G2456" t="s">
        <v>16235</v>
      </c>
      <c r="H2456" t="s">
        <v>47126</v>
      </c>
      <c r="I2456" t="s">
        <v>47127</v>
      </c>
      <c r="J2456" t="s">
        <v>47128</v>
      </c>
      <c r="K2456" t="s">
        <v>47113</v>
      </c>
      <c r="L2456">
        <v>25</v>
      </c>
      <c r="M2456">
        <v>61</v>
      </c>
      <c r="N2456">
        <v>0</v>
      </c>
      <c r="O2456">
        <v>61</v>
      </c>
      <c r="P2456">
        <v>0</v>
      </c>
    </row>
    <row r="2457" spans="1:16" x14ac:dyDescent="0.25">
      <c r="A2457" t="s">
        <v>24926</v>
      </c>
      <c r="B2457" t="s">
        <v>3881</v>
      </c>
      <c r="C2457" t="s">
        <v>3882</v>
      </c>
      <c r="D2457" t="str">
        <f>"4643"</f>
        <v>4643</v>
      </c>
      <c r="E2457" t="s">
        <v>205</v>
      </c>
      <c r="F2457" t="s">
        <v>3750</v>
      </c>
      <c r="G2457" t="s">
        <v>16235</v>
      </c>
      <c r="H2457" t="s">
        <v>47126</v>
      </c>
      <c r="I2457" t="s">
        <v>47127</v>
      </c>
      <c r="J2457" t="s">
        <v>47128</v>
      </c>
      <c r="K2457" t="s">
        <v>47113</v>
      </c>
      <c r="L2457">
        <v>25</v>
      </c>
      <c r="M2457">
        <v>61</v>
      </c>
      <c r="N2457">
        <v>0</v>
      </c>
      <c r="O2457">
        <v>61</v>
      </c>
      <c r="P2457">
        <v>0</v>
      </c>
    </row>
    <row r="2458" spans="1:16" x14ac:dyDescent="0.25">
      <c r="A2458" t="s">
        <v>24927</v>
      </c>
      <c r="B2458" t="s">
        <v>3881</v>
      </c>
      <c r="C2458" t="s">
        <v>3882</v>
      </c>
      <c r="D2458" t="str">
        <f>"4896"</f>
        <v>4896</v>
      </c>
      <c r="E2458" t="s">
        <v>3884</v>
      </c>
      <c r="F2458" t="s">
        <v>3750</v>
      </c>
      <c r="G2458" t="s">
        <v>16235</v>
      </c>
      <c r="H2458" t="s">
        <v>47126</v>
      </c>
      <c r="I2458" t="s">
        <v>47127</v>
      </c>
      <c r="J2458" t="s">
        <v>47128</v>
      </c>
      <c r="K2458" t="s">
        <v>47113</v>
      </c>
      <c r="L2458">
        <v>25</v>
      </c>
      <c r="M2458">
        <v>61</v>
      </c>
      <c r="N2458">
        <v>0</v>
      </c>
      <c r="O2458">
        <v>61</v>
      </c>
      <c r="P2458">
        <v>0</v>
      </c>
    </row>
    <row r="2459" spans="1:16" x14ac:dyDescent="0.25">
      <c r="A2459" t="s">
        <v>24928</v>
      </c>
      <c r="B2459" t="s">
        <v>3881</v>
      </c>
      <c r="C2459" t="s">
        <v>3882</v>
      </c>
      <c r="D2459" t="str">
        <f>"4897"</f>
        <v>4897</v>
      </c>
      <c r="E2459" t="s">
        <v>3885</v>
      </c>
      <c r="F2459" t="s">
        <v>3750</v>
      </c>
      <c r="G2459" t="s">
        <v>16235</v>
      </c>
      <c r="H2459" t="s">
        <v>47126</v>
      </c>
      <c r="I2459" t="s">
        <v>47127</v>
      </c>
      <c r="J2459" t="s">
        <v>47128</v>
      </c>
      <c r="K2459" t="s">
        <v>47113</v>
      </c>
      <c r="L2459">
        <v>25</v>
      </c>
      <c r="M2459">
        <v>61</v>
      </c>
      <c r="N2459">
        <v>0</v>
      </c>
      <c r="O2459">
        <v>61</v>
      </c>
      <c r="P2459">
        <v>0</v>
      </c>
    </row>
    <row r="2460" spans="1:16" x14ac:dyDescent="0.25">
      <c r="A2460" t="s">
        <v>24929</v>
      </c>
      <c r="B2460" t="s">
        <v>3881</v>
      </c>
      <c r="C2460" t="s">
        <v>3882</v>
      </c>
      <c r="D2460" t="str">
        <f>"5157"</f>
        <v>5157</v>
      </c>
      <c r="E2460" t="s">
        <v>3886</v>
      </c>
      <c r="F2460" t="s">
        <v>3750</v>
      </c>
      <c r="G2460" t="s">
        <v>16235</v>
      </c>
      <c r="H2460" t="s">
        <v>47126</v>
      </c>
      <c r="I2460" t="s">
        <v>47127</v>
      </c>
      <c r="J2460" t="s">
        <v>47128</v>
      </c>
      <c r="K2460" t="s">
        <v>47113</v>
      </c>
      <c r="L2460">
        <v>25</v>
      </c>
      <c r="M2460">
        <v>61</v>
      </c>
      <c r="N2460">
        <v>0</v>
      </c>
      <c r="O2460">
        <v>61</v>
      </c>
      <c r="P2460">
        <v>0</v>
      </c>
    </row>
    <row r="2461" spans="1:16" x14ac:dyDescent="0.25">
      <c r="A2461" t="s">
        <v>24930</v>
      </c>
      <c r="B2461" t="s">
        <v>3881</v>
      </c>
      <c r="C2461" t="s">
        <v>3882</v>
      </c>
      <c r="D2461" t="str">
        <f>"6023"</f>
        <v>6023</v>
      </c>
      <c r="E2461" t="s">
        <v>3887</v>
      </c>
      <c r="F2461" t="s">
        <v>3750</v>
      </c>
      <c r="G2461" t="s">
        <v>16235</v>
      </c>
      <c r="H2461" t="s">
        <v>47126</v>
      </c>
      <c r="I2461" t="s">
        <v>47127</v>
      </c>
      <c r="J2461" t="s">
        <v>47128</v>
      </c>
      <c r="K2461" t="s">
        <v>47113</v>
      </c>
      <c r="L2461">
        <v>25</v>
      </c>
      <c r="M2461">
        <v>61</v>
      </c>
      <c r="N2461">
        <v>0</v>
      </c>
      <c r="O2461">
        <v>61</v>
      </c>
      <c r="P2461">
        <v>0</v>
      </c>
    </row>
    <row r="2462" spans="1:16" x14ac:dyDescent="0.25">
      <c r="A2462" t="s">
        <v>24931</v>
      </c>
      <c r="B2462" t="s">
        <v>3881</v>
      </c>
      <c r="C2462" t="s">
        <v>3882</v>
      </c>
      <c r="D2462" t="str">
        <f>"6878"</f>
        <v>6878</v>
      </c>
      <c r="E2462" t="s">
        <v>3888</v>
      </c>
      <c r="F2462" t="s">
        <v>3750</v>
      </c>
      <c r="G2462" t="s">
        <v>16235</v>
      </c>
      <c r="H2462" t="s">
        <v>47126</v>
      </c>
      <c r="I2462" t="s">
        <v>47127</v>
      </c>
      <c r="J2462" t="s">
        <v>47128</v>
      </c>
      <c r="K2462" t="s">
        <v>47113</v>
      </c>
      <c r="L2462">
        <v>25</v>
      </c>
      <c r="M2462">
        <v>61</v>
      </c>
      <c r="N2462">
        <v>0</v>
      </c>
      <c r="O2462">
        <v>61</v>
      </c>
      <c r="P2462">
        <v>0</v>
      </c>
    </row>
    <row r="2463" spans="1:16" x14ac:dyDescent="0.25">
      <c r="A2463" t="s">
        <v>24932</v>
      </c>
      <c r="B2463" t="s">
        <v>3889</v>
      </c>
      <c r="C2463" t="s">
        <v>3890</v>
      </c>
      <c r="D2463" t="str">
        <f>"1106"</f>
        <v>1106</v>
      </c>
      <c r="E2463" t="s">
        <v>460</v>
      </c>
      <c r="F2463" t="s">
        <v>3750</v>
      </c>
      <c r="G2463" t="s">
        <v>16235</v>
      </c>
      <c r="H2463" t="s">
        <v>47126</v>
      </c>
      <c r="I2463" t="s">
        <v>47127</v>
      </c>
      <c r="J2463" t="s">
        <v>47128</v>
      </c>
      <c r="K2463" t="s">
        <v>47113</v>
      </c>
      <c r="L2463">
        <v>28.5</v>
      </c>
      <c r="M2463">
        <v>69</v>
      </c>
      <c r="N2463">
        <v>0</v>
      </c>
      <c r="O2463">
        <v>69</v>
      </c>
      <c r="P2463">
        <v>0</v>
      </c>
    </row>
    <row r="2464" spans="1:16" x14ac:dyDescent="0.25">
      <c r="A2464" t="s">
        <v>24933</v>
      </c>
      <c r="B2464" t="s">
        <v>3889</v>
      </c>
      <c r="C2464" t="s">
        <v>3890</v>
      </c>
      <c r="D2464" t="str">
        <f>"1278"</f>
        <v>1278</v>
      </c>
      <c r="E2464" t="s">
        <v>100</v>
      </c>
      <c r="F2464" t="s">
        <v>3750</v>
      </c>
      <c r="G2464" t="s">
        <v>16235</v>
      </c>
      <c r="H2464" t="s">
        <v>47126</v>
      </c>
      <c r="I2464" t="s">
        <v>47127</v>
      </c>
      <c r="J2464" t="s">
        <v>47128</v>
      </c>
      <c r="K2464" t="s">
        <v>47113</v>
      </c>
      <c r="L2464">
        <v>28.5</v>
      </c>
      <c r="M2464">
        <v>69</v>
      </c>
      <c r="N2464">
        <v>0</v>
      </c>
      <c r="O2464">
        <v>69</v>
      </c>
      <c r="P2464">
        <v>0</v>
      </c>
    </row>
    <row r="2465" spans="1:16" x14ac:dyDescent="0.25">
      <c r="A2465" t="s">
        <v>24934</v>
      </c>
      <c r="B2465" t="s">
        <v>3889</v>
      </c>
      <c r="C2465" t="s">
        <v>3890</v>
      </c>
      <c r="D2465" t="str">
        <f>"1285"</f>
        <v>1285</v>
      </c>
      <c r="E2465" t="s">
        <v>2148</v>
      </c>
      <c r="F2465" t="s">
        <v>3750</v>
      </c>
      <c r="G2465" t="s">
        <v>16235</v>
      </c>
      <c r="H2465" t="s">
        <v>47126</v>
      </c>
      <c r="I2465" t="s">
        <v>47127</v>
      </c>
      <c r="J2465" t="s">
        <v>47128</v>
      </c>
      <c r="K2465" t="s">
        <v>47113</v>
      </c>
      <c r="L2465">
        <v>28.5</v>
      </c>
      <c r="M2465">
        <v>69</v>
      </c>
      <c r="N2465">
        <v>0</v>
      </c>
      <c r="O2465">
        <v>69</v>
      </c>
      <c r="P2465">
        <v>0</v>
      </c>
    </row>
    <row r="2466" spans="1:16" x14ac:dyDescent="0.25">
      <c r="A2466" t="s">
        <v>24935</v>
      </c>
      <c r="B2466" t="s">
        <v>3889</v>
      </c>
      <c r="C2466" t="s">
        <v>3890</v>
      </c>
      <c r="D2466" t="str">
        <f>"1379"</f>
        <v>1379</v>
      </c>
      <c r="E2466" t="s">
        <v>84</v>
      </c>
      <c r="F2466" t="s">
        <v>3750</v>
      </c>
      <c r="G2466" t="s">
        <v>16235</v>
      </c>
      <c r="H2466" t="s">
        <v>47126</v>
      </c>
      <c r="I2466" t="s">
        <v>47127</v>
      </c>
      <c r="J2466" t="s">
        <v>47128</v>
      </c>
      <c r="K2466" t="s">
        <v>47113</v>
      </c>
      <c r="L2466">
        <v>28.5</v>
      </c>
      <c r="M2466">
        <v>69</v>
      </c>
      <c r="N2466">
        <v>0</v>
      </c>
      <c r="O2466">
        <v>69</v>
      </c>
      <c r="P2466">
        <v>0</v>
      </c>
    </row>
    <row r="2467" spans="1:16" x14ac:dyDescent="0.25">
      <c r="A2467" t="s">
        <v>24936</v>
      </c>
      <c r="B2467" t="s">
        <v>3889</v>
      </c>
      <c r="C2467" t="s">
        <v>3890</v>
      </c>
      <c r="D2467" t="str">
        <f>"1700"</f>
        <v>1700</v>
      </c>
      <c r="E2467" t="s">
        <v>60</v>
      </c>
      <c r="F2467" t="s">
        <v>3750</v>
      </c>
      <c r="G2467" t="s">
        <v>16235</v>
      </c>
      <c r="H2467" t="s">
        <v>47126</v>
      </c>
      <c r="I2467" t="s">
        <v>47127</v>
      </c>
      <c r="J2467" t="s">
        <v>47128</v>
      </c>
      <c r="K2467" t="s">
        <v>47113</v>
      </c>
      <c r="L2467">
        <v>28.5</v>
      </c>
      <c r="M2467">
        <v>69</v>
      </c>
      <c r="N2467">
        <v>0</v>
      </c>
      <c r="O2467">
        <v>69</v>
      </c>
      <c r="P2467">
        <v>0</v>
      </c>
    </row>
    <row r="2468" spans="1:16" x14ac:dyDescent="0.25">
      <c r="A2468" t="s">
        <v>24937</v>
      </c>
      <c r="B2468" t="s">
        <v>3889</v>
      </c>
      <c r="C2468" t="s">
        <v>3890</v>
      </c>
      <c r="D2468" t="str">
        <f>"3539"</f>
        <v>3539</v>
      </c>
      <c r="E2468" t="s">
        <v>3883</v>
      </c>
      <c r="F2468" t="s">
        <v>3750</v>
      </c>
      <c r="G2468" t="s">
        <v>16235</v>
      </c>
      <c r="H2468" t="s">
        <v>47126</v>
      </c>
      <c r="I2468" t="s">
        <v>47127</v>
      </c>
      <c r="J2468" t="s">
        <v>47128</v>
      </c>
      <c r="K2468" t="s">
        <v>47113</v>
      </c>
      <c r="L2468">
        <v>28.5</v>
      </c>
      <c r="M2468">
        <v>69</v>
      </c>
      <c r="N2468">
        <v>0</v>
      </c>
      <c r="O2468">
        <v>69</v>
      </c>
      <c r="P2468">
        <v>0</v>
      </c>
    </row>
    <row r="2469" spans="1:16" x14ac:dyDescent="0.25">
      <c r="A2469" t="s">
        <v>24938</v>
      </c>
      <c r="B2469" t="s">
        <v>3889</v>
      </c>
      <c r="C2469" t="s">
        <v>3890</v>
      </c>
      <c r="D2469" t="str">
        <f>"4643"</f>
        <v>4643</v>
      </c>
      <c r="E2469" t="s">
        <v>205</v>
      </c>
      <c r="F2469" t="s">
        <v>3750</v>
      </c>
      <c r="G2469" t="s">
        <v>16235</v>
      </c>
      <c r="H2469" t="s">
        <v>47126</v>
      </c>
      <c r="I2469" t="s">
        <v>47127</v>
      </c>
      <c r="J2469" t="s">
        <v>47128</v>
      </c>
      <c r="K2469" t="s">
        <v>47113</v>
      </c>
      <c r="L2469">
        <v>28.5</v>
      </c>
      <c r="M2469">
        <v>69</v>
      </c>
      <c r="N2469">
        <v>0</v>
      </c>
      <c r="O2469">
        <v>69</v>
      </c>
      <c r="P2469">
        <v>0</v>
      </c>
    </row>
    <row r="2470" spans="1:16" x14ac:dyDescent="0.25">
      <c r="A2470" t="s">
        <v>24939</v>
      </c>
      <c r="B2470" t="s">
        <v>3889</v>
      </c>
      <c r="C2470" t="s">
        <v>3890</v>
      </c>
      <c r="D2470" t="str">
        <f>"4896"</f>
        <v>4896</v>
      </c>
      <c r="E2470" t="s">
        <v>3884</v>
      </c>
      <c r="F2470" t="s">
        <v>3750</v>
      </c>
      <c r="G2470" t="s">
        <v>16235</v>
      </c>
      <c r="H2470" t="s">
        <v>47126</v>
      </c>
      <c r="I2470" t="s">
        <v>47127</v>
      </c>
      <c r="J2470" t="s">
        <v>47128</v>
      </c>
      <c r="K2470" t="s">
        <v>47113</v>
      </c>
      <c r="L2470">
        <v>28.5</v>
      </c>
      <c r="M2470">
        <v>69</v>
      </c>
      <c r="N2470">
        <v>0</v>
      </c>
      <c r="O2470">
        <v>69</v>
      </c>
      <c r="P2470">
        <v>0</v>
      </c>
    </row>
    <row r="2471" spans="1:16" x14ac:dyDescent="0.25">
      <c r="A2471" t="s">
        <v>24940</v>
      </c>
      <c r="B2471" t="s">
        <v>3889</v>
      </c>
      <c r="C2471" t="s">
        <v>3890</v>
      </c>
      <c r="D2471" t="str">
        <f>"4897"</f>
        <v>4897</v>
      </c>
      <c r="E2471" t="s">
        <v>3885</v>
      </c>
      <c r="F2471" t="s">
        <v>3750</v>
      </c>
      <c r="G2471" t="s">
        <v>16235</v>
      </c>
      <c r="H2471" t="s">
        <v>47126</v>
      </c>
      <c r="I2471" t="s">
        <v>47127</v>
      </c>
      <c r="J2471" t="s">
        <v>47128</v>
      </c>
      <c r="K2471" t="s">
        <v>47113</v>
      </c>
      <c r="L2471">
        <v>28.5</v>
      </c>
      <c r="M2471">
        <v>69</v>
      </c>
      <c r="N2471">
        <v>0</v>
      </c>
      <c r="O2471">
        <v>69</v>
      </c>
      <c r="P2471">
        <v>0</v>
      </c>
    </row>
    <row r="2472" spans="1:16" x14ac:dyDescent="0.25">
      <c r="A2472" t="s">
        <v>24941</v>
      </c>
      <c r="B2472" t="s">
        <v>3889</v>
      </c>
      <c r="C2472" t="s">
        <v>3890</v>
      </c>
      <c r="D2472" t="str">
        <f>"5157"</f>
        <v>5157</v>
      </c>
      <c r="E2472" t="s">
        <v>3886</v>
      </c>
      <c r="F2472" t="s">
        <v>3750</v>
      </c>
      <c r="G2472" t="s">
        <v>16235</v>
      </c>
      <c r="H2472" t="s">
        <v>47126</v>
      </c>
      <c r="I2472" t="s">
        <v>47127</v>
      </c>
      <c r="J2472" t="s">
        <v>47128</v>
      </c>
      <c r="K2472" t="s">
        <v>47113</v>
      </c>
      <c r="L2472">
        <v>28.5</v>
      </c>
      <c r="M2472">
        <v>69</v>
      </c>
      <c r="N2472">
        <v>0</v>
      </c>
      <c r="O2472">
        <v>69</v>
      </c>
      <c r="P2472">
        <v>0</v>
      </c>
    </row>
    <row r="2473" spans="1:16" x14ac:dyDescent="0.25">
      <c r="A2473" t="s">
        <v>24942</v>
      </c>
      <c r="B2473" t="s">
        <v>3889</v>
      </c>
      <c r="C2473" t="s">
        <v>3890</v>
      </c>
      <c r="D2473" t="str">
        <f>"6023"</f>
        <v>6023</v>
      </c>
      <c r="E2473" t="s">
        <v>3887</v>
      </c>
      <c r="F2473" t="s">
        <v>3750</v>
      </c>
      <c r="G2473" t="s">
        <v>16235</v>
      </c>
      <c r="H2473" t="s">
        <v>47126</v>
      </c>
      <c r="I2473" t="s">
        <v>47127</v>
      </c>
      <c r="J2473" t="s">
        <v>47128</v>
      </c>
      <c r="K2473" t="s">
        <v>47113</v>
      </c>
      <c r="L2473">
        <v>28.5</v>
      </c>
      <c r="M2473">
        <v>69</v>
      </c>
      <c r="N2473">
        <v>0</v>
      </c>
      <c r="O2473">
        <v>69</v>
      </c>
      <c r="P2473">
        <v>0</v>
      </c>
    </row>
    <row r="2474" spans="1:16" x14ac:dyDescent="0.25">
      <c r="A2474" t="s">
        <v>24943</v>
      </c>
      <c r="B2474" t="s">
        <v>3889</v>
      </c>
      <c r="C2474" t="s">
        <v>3890</v>
      </c>
      <c r="D2474" t="str">
        <f>"6878"</f>
        <v>6878</v>
      </c>
      <c r="E2474" t="s">
        <v>3888</v>
      </c>
      <c r="F2474" t="s">
        <v>3750</v>
      </c>
      <c r="G2474" t="s">
        <v>16235</v>
      </c>
      <c r="H2474" t="s">
        <v>47126</v>
      </c>
      <c r="I2474" t="s">
        <v>47127</v>
      </c>
      <c r="J2474" t="s">
        <v>47128</v>
      </c>
      <c r="K2474" t="s">
        <v>47113</v>
      </c>
      <c r="L2474">
        <v>28.5</v>
      </c>
      <c r="M2474">
        <v>69</v>
      </c>
      <c r="N2474">
        <v>0</v>
      </c>
      <c r="O2474">
        <v>69</v>
      </c>
      <c r="P2474">
        <v>0</v>
      </c>
    </row>
    <row r="2475" spans="1:16" x14ac:dyDescent="0.25">
      <c r="A2475" t="s">
        <v>24944</v>
      </c>
      <c r="B2475" t="s">
        <v>3891</v>
      </c>
      <c r="C2475" t="s">
        <v>3892</v>
      </c>
      <c r="D2475" t="str">
        <f>"1106"</f>
        <v>1106</v>
      </c>
      <c r="E2475" t="s">
        <v>460</v>
      </c>
      <c r="F2475" t="s">
        <v>3750</v>
      </c>
      <c r="G2475" t="s">
        <v>16222</v>
      </c>
      <c r="H2475" t="s">
        <v>47126</v>
      </c>
      <c r="I2475" t="s">
        <v>47127</v>
      </c>
      <c r="J2475" t="s">
        <v>47128</v>
      </c>
      <c r="K2475" t="s">
        <v>47113</v>
      </c>
      <c r="L2475">
        <v>23.19</v>
      </c>
      <c r="M2475">
        <v>56</v>
      </c>
      <c r="N2475">
        <v>0</v>
      </c>
      <c r="O2475">
        <v>56</v>
      </c>
      <c r="P2475">
        <v>0</v>
      </c>
    </row>
    <row r="2476" spans="1:16" x14ac:dyDescent="0.25">
      <c r="A2476" t="s">
        <v>24945</v>
      </c>
      <c r="B2476" t="s">
        <v>3891</v>
      </c>
      <c r="C2476" t="s">
        <v>3892</v>
      </c>
      <c r="D2476" t="str">
        <f>"1278"</f>
        <v>1278</v>
      </c>
      <c r="E2476" t="s">
        <v>100</v>
      </c>
      <c r="F2476" t="s">
        <v>3750</v>
      </c>
      <c r="G2476" t="s">
        <v>16222</v>
      </c>
      <c r="H2476" t="s">
        <v>47126</v>
      </c>
      <c r="I2476" t="s">
        <v>47127</v>
      </c>
      <c r="J2476" t="s">
        <v>47128</v>
      </c>
      <c r="K2476" t="s">
        <v>47113</v>
      </c>
      <c r="L2476">
        <v>23.19</v>
      </c>
      <c r="M2476">
        <v>56</v>
      </c>
      <c r="N2476">
        <v>0</v>
      </c>
      <c r="O2476">
        <v>56</v>
      </c>
      <c r="P2476">
        <v>0</v>
      </c>
    </row>
    <row r="2477" spans="1:16" x14ac:dyDescent="0.25">
      <c r="A2477" t="s">
        <v>24946</v>
      </c>
      <c r="B2477" t="s">
        <v>3891</v>
      </c>
      <c r="C2477" t="s">
        <v>3892</v>
      </c>
      <c r="D2477" t="str">
        <f>"1285"</f>
        <v>1285</v>
      </c>
      <c r="E2477" t="s">
        <v>2148</v>
      </c>
      <c r="F2477" t="s">
        <v>3750</v>
      </c>
      <c r="G2477" t="s">
        <v>16222</v>
      </c>
      <c r="H2477" t="s">
        <v>47126</v>
      </c>
      <c r="I2477" t="s">
        <v>47127</v>
      </c>
      <c r="J2477" t="s">
        <v>47128</v>
      </c>
      <c r="K2477" t="s">
        <v>47113</v>
      </c>
      <c r="L2477">
        <v>23.19</v>
      </c>
      <c r="M2477">
        <v>56</v>
      </c>
      <c r="N2477">
        <v>0</v>
      </c>
      <c r="O2477">
        <v>56</v>
      </c>
      <c r="P2477">
        <v>0</v>
      </c>
    </row>
    <row r="2478" spans="1:16" x14ac:dyDescent="0.25">
      <c r="A2478" t="s">
        <v>24947</v>
      </c>
      <c r="B2478" t="s">
        <v>3891</v>
      </c>
      <c r="C2478" t="s">
        <v>3892</v>
      </c>
      <c r="D2478" t="str">
        <f>"1379"</f>
        <v>1379</v>
      </c>
      <c r="E2478" t="s">
        <v>84</v>
      </c>
      <c r="F2478" t="s">
        <v>3750</v>
      </c>
      <c r="G2478" t="s">
        <v>16222</v>
      </c>
      <c r="H2478" t="s">
        <v>47126</v>
      </c>
      <c r="I2478" t="s">
        <v>47127</v>
      </c>
      <c r="J2478" t="s">
        <v>47128</v>
      </c>
      <c r="K2478" t="s">
        <v>47113</v>
      </c>
      <c r="L2478">
        <v>23.19</v>
      </c>
      <c r="M2478">
        <v>56</v>
      </c>
      <c r="N2478">
        <v>0</v>
      </c>
      <c r="O2478">
        <v>56</v>
      </c>
      <c r="P2478">
        <v>0</v>
      </c>
    </row>
    <row r="2479" spans="1:16" x14ac:dyDescent="0.25">
      <c r="A2479" t="s">
        <v>24948</v>
      </c>
      <c r="B2479" t="s">
        <v>3891</v>
      </c>
      <c r="C2479" t="s">
        <v>3892</v>
      </c>
      <c r="D2479" t="str">
        <f>"1700"</f>
        <v>1700</v>
      </c>
      <c r="E2479" t="s">
        <v>60</v>
      </c>
      <c r="F2479" t="s">
        <v>3750</v>
      </c>
      <c r="G2479" t="s">
        <v>16222</v>
      </c>
      <c r="H2479" t="s">
        <v>47126</v>
      </c>
      <c r="I2479" t="s">
        <v>47127</v>
      </c>
      <c r="J2479" t="s">
        <v>47128</v>
      </c>
      <c r="K2479" t="s">
        <v>47113</v>
      </c>
      <c r="L2479">
        <v>23.19</v>
      </c>
      <c r="M2479">
        <v>56</v>
      </c>
      <c r="N2479">
        <v>0</v>
      </c>
      <c r="O2479">
        <v>56</v>
      </c>
      <c r="P2479">
        <v>0</v>
      </c>
    </row>
    <row r="2480" spans="1:16" x14ac:dyDescent="0.25">
      <c r="A2480" t="s">
        <v>24949</v>
      </c>
      <c r="B2480" t="s">
        <v>3891</v>
      </c>
      <c r="C2480" t="s">
        <v>3892</v>
      </c>
      <c r="D2480" t="str">
        <f>"3539"</f>
        <v>3539</v>
      </c>
      <c r="E2480" t="s">
        <v>3883</v>
      </c>
      <c r="F2480" t="s">
        <v>3750</v>
      </c>
      <c r="G2480" t="s">
        <v>16222</v>
      </c>
      <c r="H2480" t="s">
        <v>47126</v>
      </c>
      <c r="I2480" t="s">
        <v>47127</v>
      </c>
      <c r="J2480" t="s">
        <v>47128</v>
      </c>
      <c r="K2480" t="s">
        <v>47113</v>
      </c>
      <c r="L2480">
        <v>23.19</v>
      </c>
      <c r="M2480">
        <v>56</v>
      </c>
      <c r="N2480">
        <v>0</v>
      </c>
      <c r="O2480">
        <v>56</v>
      </c>
      <c r="P2480">
        <v>0</v>
      </c>
    </row>
    <row r="2481" spans="1:16" x14ac:dyDescent="0.25">
      <c r="A2481" t="s">
        <v>24950</v>
      </c>
      <c r="B2481" t="s">
        <v>3891</v>
      </c>
      <c r="C2481" t="s">
        <v>3892</v>
      </c>
      <c r="D2481" t="str">
        <f>"4643"</f>
        <v>4643</v>
      </c>
      <c r="E2481" t="s">
        <v>205</v>
      </c>
      <c r="F2481" t="s">
        <v>3750</v>
      </c>
      <c r="G2481" t="s">
        <v>16222</v>
      </c>
      <c r="H2481" t="s">
        <v>47126</v>
      </c>
      <c r="I2481" t="s">
        <v>47127</v>
      </c>
      <c r="J2481" t="s">
        <v>47128</v>
      </c>
      <c r="K2481" t="s">
        <v>47113</v>
      </c>
      <c r="L2481">
        <v>23.19</v>
      </c>
      <c r="M2481">
        <v>56</v>
      </c>
      <c r="N2481">
        <v>0</v>
      </c>
      <c r="O2481">
        <v>56</v>
      </c>
      <c r="P2481">
        <v>0</v>
      </c>
    </row>
    <row r="2482" spans="1:16" x14ac:dyDescent="0.25">
      <c r="A2482" t="s">
        <v>24951</v>
      </c>
      <c r="B2482" t="s">
        <v>3891</v>
      </c>
      <c r="C2482" t="s">
        <v>3892</v>
      </c>
      <c r="D2482" t="str">
        <f>"4896"</f>
        <v>4896</v>
      </c>
      <c r="E2482" t="s">
        <v>3884</v>
      </c>
      <c r="F2482" t="s">
        <v>3750</v>
      </c>
      <c r="G2482" t="s">
        <v>16222</v>
      </c>
      <c r="H2482" t="s">
        <v>47126</v>
      </c>
      <c r="I2482" t="s">
        <v>47127</v>
      </c>
      <c r="J2482" t="s">
        <v>47128</v>
      </c>
      <c r="K2482" t="s">
        <v>47113</v>
      </c>
      <c r="L2482">
        <v>23.19</v>
      </c>
      <c r="M2482">
        <v>56</v>
      </c>
      <c r="N2482">
        <v>0</v>
      </c>
      <c r="O2482">
        <v>56</v>
      </c>
      <c r="P2482">
        <v>0</v>
      </c>
    </row>
    <row r="2483" spans="1:16" x14ac:dyDescent="0.25">
      <c r="A2483" t="s">
        <v>24952</v>
      </c>
      <c r="B2483" t="s">
        <v>3891</v>
      </c>
      <c r="C2483" t="s">
        <v>3892</v>
      </c>
      <c r="D2483" t="str">
        <f>"4897"</f>
        <v>4897</v>
      </c>
      <c r="E2483" t="s">
        <v>3885</v>
      </c>
      <c r="F2483" t="s">
        <v>3750</v>
      </c>
      <c r="G2483" t="s">
        <v>16222</v>
      </c>
      <c r="H2483" t="s">
        <v>47126</v>
      </c>
      <c r="I2483" t="s">
        <v>47127</v>
      </c>
      <c r="J2483" t="s">
        <v>47128</v>
      </c>
      <c r="K2483" t="s">
        <v>47113</v>
      </c>
      <c r="L2483">
        <v>23.19</v>
      </c>
      <c r="M2483">
        <v>56</v>
      </c>
      <c r="N2483">
        <v>0</v>
      </c>
      <c r="O2483">
        <v>56</v>
      </c>
      <c r="P2483">
        <v>0</v>
      </c>
    </row>
    <row r="2484" spans="1:16" x14ac:dyDescent="0.25">
      <c r="A2484" t="s">
        <v>24953</v>
      </c>
      <c r="B2484" t="s">
        <v>3891</v>
      </c>
      <c r="C2484" t="s">
        <v>3892</v>
      </c>
      <c r="D2484" t="str">
        <f>"5157"</f>
        <v>5157</v>
      </c>
      <c r="E2484" t="s">
        <v>3886</v>
      </c>
      <c r="F2484" t="s">
        <v>3750</v>
      </c>
      <c r="G2484" t="s">
        <v>16222</v>
      </c>
      <c r="H2484" t="s">
        <v>47126</v>
      </c>
      <c r="I2484" t="s">
        <v>47127</v>
      </c>
      <c r="J2484" t="s">
        <v>47128</v>
      </c>
      <c r="K2484" t="s">
        <v>47113</v>
      </c>
      <c r="L2484">
        <v>23.19</v>
      </c>
      <c r="M2484">
        <v>56</v>
      </c>
      <c r="N2484">
        <v>0</v>
      </c>
      <c r="O2484">
        <v>56</v>
      </c>
      <c r="P2484">
        <v>0</v>
      </c>
    </row>
    <row r="2485" spans="1:16" x14ac:dyDescent="0.25">
      <c r="A2485" t="s">
        <v>24954</v>
      </c>
      <c r="B2485" t="s">
        <v>3891</v>
      </c>
      <c r="C2485" t="s">
        <v>3892</v>
      </c>
      <c r="D2485" t="str">
        <f>"6023"</f>
        <v>6023</v>
      </c>
      <c r="E2485" t="s">
        <v>3887</v>
      </c>
      <c r="F2485" t="s">
        <v>3750</v>
      </c>
      <c r="G2485" t="s">
        <v>16222</v>
      </c>
      <c r="H2485" t="s">
        <v>47126</v>
      </c>
      <c r="I2485" t="s">
        <v>47127</v>
      </c>
      <c r="J2485" t="s">
        <v>47128</v>
      </c>
      <c r="K2485" t="s">
        <v>47113</v>
      </c>
      <c r="L2485">
        <v>23.19</v>
      </c>
      <c r="M2485">
        <v>56</v>
      </c>
      <c r="N2485">
        <v>0</v>
      </c>
      <c r="O2485">
        <v>56</v>
      </c>
      <c r="P2485">
        <v>0</v>
      </c>
    </row>
    <row r="2486" spans="1:16" x14ac:dyDescent="0.25">
      <c r="A2486" t="s">
        <v>24955</v>
      </c>
      <c r="B2486" t="s">
        <v>3891</v>
      </c>
      <c r="C2486" t="s">
        <v>3892</v>
      </c>
      <c r="D2486" t="str">
        <f>"6878"</f>
        <v>6878</v>
      </c>
      <c r="E2486" t="s">
        <v>3888</v>
      </c>
      <c r="F2486" t="s">
        <v>3750</v>
      </c>
      <c r="G2486" t="s">
        <v>16222</v>
      </c>
      <c r="H2486" t="s">
        <v>47126</v>
      </c>
      <c r="I2486" t="s">
        <v>47127</v>
      </c>
      <c r="J2486" t="s">
        <v>47128</v>
      </c>
      <c r="K2486" t="s">
        <v>47113</v>
      </c>
      <c r="L2486">
        <v>23.19</v>
      </c>
      <c r="M2486">
        <v>56</v>
      </c>
      <c r="N2486">
        <v>0</v>
      </c>
      <c r="O2486">
        <v>56</v>
      </c>
      <c r="P2486">
        <v>0</v>
      </c>
    </row>
    <row r="2487" spans="1:16" x14ac:dyDescent="0.25">
      <c r="A2487" t="s">
        <v>24956</v>
      </c>
      <c r="B2487" t="s">
        <v>3893</v>
      </c>
      <c r="C2487" t="s">
        <v>3894</v>
      </c>
      <c r="D2487" t="str">
        <f>"1106"</f>
        <v>1106</v>
      </c>
      <c r="E2487" t="s">
        <v>460</v>
      </c>
      <c r="F2487" t="s">
        <v>3750</v>
      </c>
      <c r="G2487" t="s">
        <v>16235</v>
      </c>
      <c r="H2487" t="s">
        <v>47126</v>
      </c>
      <c r="I2487" t="s">
        <v>47127</v>
      </c>
      <c r="J2487" t="s">
        <v>47128</v>
      </c>
      <c r="K2487" t="s">
        <v>47113</v>
      </c>
      <c r="L2487">
        <v>28.5</v>
      </c>
      <c r="M2487">
        <v>69</v>
      </c>
      <c r="N2487">
        <v>0</v>
      </c>
      <c r="O2487">
        <v>69</v>
      </c>
      <c r="P2487">
        <v>0</v>
      </c>
    </row>
    <row r="2488" spans="1:16" x14ac:dyDescent="0.25">
      <c r="A2488" t="s">
        <v>24957</v>
      </c>
      <c r="B2488" t="s">
        <v>3893</v>
      </c>
      <c r="C2488" t="s">
        <v>3894</v>
      </c>
      <c r="D2488" t="str">
        <f>"1278"</f>
        <v>1278</v>
      </c>
      <c r="E2488" t="s">
        <v>100</v>
      </c>
      <c r="F2488" t="s">
        <v>3750</v>
      </c>
      <c r="G2488" t="s">
        <v>16235</v>
      </c>
      <c r="H2488" t="s">
        <v>47126</v>
      </c>
      <c r="I2488" t="s">
        <v>47127</v>
      </c>
      <c r="J2488" t="s">
        <v>47128</v>
      </c>
      <c r="K2488" t="s">
        <v>47113</v>
      </c>
      <c r="L2488">
        <v>28.5</v>
      </c>
      <c r="M2488">
        <v>69</v>
      </c>
      <c r="N2488">
        <v>0</v>
      </c>
      <c r="O2488">
        <v>69</v>
      </c>
      <c r="P2488">
        <v>0</v>
      </c>
    </row>
    <row r="2489" spans="1:16" x14ac:dyDescent="0.25">
      <c r="A2489" t="s">
        <v>24958</v>
      </c>
      <c r="B2489" t="s">
        <v>3893</v>
      </c>
      <c r="C2489" t="s">
        <v>3894</v>
      </c>
      <c r="D2489" t="str">
        <f>"1285"</f>
        <v>1285</v>
      </c>
      <c r="E2489" t="s">
        <v>2148</v>
      </c>
      <c r="F2489" t="s">
        <v>3750</v>
      </c>
      <c r="G2489" t="s">
        <v>16235</v>
      </c>
      <c r="H2489" t="s">
        <v>47126</v>
      </c>
      <c r="I2489" t="s">
        <v>47127</v>
      </c>
      <c r="J2489" t="s">
        <v>47128</v>
      </c>
      <c r="K2489" t="s">
        <v>47113</v>
      </c>
      <c r="L2489">
        <v>28.5</v>
      </c>
      <c r="M2489">
        <v>69</v>
      </c>
      <c r="N2489">
        <v>0</v>
      </c>
      <c r="O2489">
        <v>69</v>
      </c>
      <c r="P2489">
        <v>0</v>
      </c>
    </row>
    <row r="2490" spans="1:16" x14ac:dyDescent="0.25">
      <c r="A2490" t="s">
        <v>24959</v>
      </c>
      <c r="B2490" t="s">
        <v>3893</v>
      </c>
      <c r="C2490" t="s">
        <v>3894</v>
      </c>
      <c r="D2490" t="str">
        <f>"1379"</f>
        <v>1379</v>
      </c>
      <c r="E2490" t="s">
        <v>84</v>
      </c>
      <c r="F2490" t="s">
        <v>3750</v>
      </c>
      <c r="G2490" t="s">
        <v>16235</v>
      </c>
      <c r="H2490" t="s">
        <v>47126</v>
      </c>
      <c r="I2490" t="s">
        <v>47127</v>
      </c>
      <c r="J2490" t="s">
        <v>47128</v>
      </c>
      <c r="K2490" t="s">
        <v>47113</v>
      </c>
      <c r="L2490">
        <v>28.5</v>
      </c>
      <c r="M2490">
        <v>69</v>
      </c>
      <c r="N2490">
        <v>0</v>
      </c>
      <c r="O2490">
        <v>69</v>
      </c>
      <c r="P2490">
        <v>0</v>
      </c>
    </row>
    <row r="2491" spans="1:16" x14ac:dyDescent="0.25">
      <c r="A2491" t="s">
        <v>24960</v>
      </c>
      <c r="B2491" t="s">
        <v>3893</v>
      </c>
      <c r="C2491" t="s">
        <v>3894</v>
      </c>
      <c r="D2491" t="str">
        <f>"1700"</f>
        <v>1700</v>
      </c>
      <c r="E2491" t="s">
        <v>60</v>
      </c>
      <c r="F2491" t="s">
        <v>3750</v>
      </c>
      <c r="G2491" t="s">
        <v>16235</v>
      </c>
      <c r="H2491" t="s">
        <v>47126</v>
      </c>
      <c r="I2491" t="s">
        <v>47127</v>
      </c>
      <c r="J2491" t="s">
        <v>47128</v>
      </c>
      <c r="K2491" t="s">
        <v>47113</v>
      </c>
      <c r="L2491">
        <v>28.5</v>
      </c>
      <c r="M2491">
        <v>69</v>
      </c>
      <c r="N2491">
        <v>0</v>
      </c>
      <c r="O2491">
        <v>69</v>
      </c>
      <c r="P2491">
        <v>0</v>
      </c>
    </row>
    <row r="2492" spans="1:16" x14ac:dyDescent="0.25">
      <c r="A2492" t="s">
        <v>24961</v>
      </c>
      <c r="B2492" t="s">
        <v>3893</v>
      </c>
      <c r="C2492" t="s">
        <v>3894</v>
      </c>
      <c r="D2492" t="str">
        <f>"3539"</f>
        <v>3539</v>
      </c>
      <c r="E2492" t="s">
        <v>3883</v>
      </c>
      <c r="F2492" t="s">
        <v>3750</v>
      </c>
      <c r="G2492" t="s">
        <v>16235</v>
      </c>
      <c r="H2492" t="s">
        <v>47126</v>
      </c>
      <c r="I2492" t="s">
        <v>47127</v>
      </c>
      <c r="J2492" t="s">
        <v>47128</v>
      </c>
      <c r="K2492" t="s">
        <v>47113</v>
      </c>
      <c r="L2492">
        <v>28.5</v>
      </c>
      <c r="M2492">
        <v>69</v>
      </c>
      <c r="N2492">
        <v>0</v>
      </c>
      <c r="O2492">
        <v>69</v>
      </c>
      <c r="P2492">
        <v>0</v>
      </c>
    </row>
    <row r="2493" spans="1:16" x14ac:dyDescent="0.25">
      <c r="A2493" t="s">
        <v>24962</v>
      </c>
      <c r="B2493" t="s">
        <v>3893</v>
      </c>
      <c r="C2493" t="s">
        <v>3894</v>
      </c>
      <c r="D2493" t="str">
        <f>"4643"</f>
        <v>4643</v>
      </c>
      <c r="E2493" t="s">
        <v>205</v>
      </c>
      <c r="F2493" t="s">
        <v>3750</v>
      </c>
      <c r="G2493" t="s">
        <v>16235</v>
      </c>
      <c r="H2493" t="s">
        <v>47126</v>
      </c>
      <c r="I2493" t="s">
        <v>47127</v>
      </c>
      <c r="J2493" t="s">
        <v>47128</v>
      </c>
      <c r="K2493" t="s">
        <v>47113</v>
      </c>
      <c r="L2493">
        <v>28.5</v>
      </c>
      <c r="M2493">
        <v>69</v>
      </c>
      <c r="N2493">
        <v>0</v>
      </c>
      <c r="O2493">
        <v>69</v>
      </c>
      <c r="P2493">
        <v>0</v>
      </c>
    </row>
    <row r="2494" spans="1:16" x14ac:dyDescent="0.25">
      <c r="A2494" t="s">
        <v>24963</v>
      </c>
      <c r="B2494" t="s">
        <v>3893</v>
      </c>
      <c r="C2494" t="s">
        <v>3894</v>
      </c>
      <c r="D2494" t="str">
        <f>"4896"</f>
        <v>4896</v>
      </c>
      <c r="E2494" t="s">
        <v>3884</v>
      </c>
      <c r="F2494" t="s">
        <v>3750</v>
      </c>
      <c r="G2494" t="s">
        <v>16235</v>
      </c>
      <c r="H2494" t="s">
        <v>47126</v>
      </c>
      <c r="I2494" t="s">
        <v>47127</v>
      </c>
      <c r="J2494" t="s">
        <v>47128</v>
      </c>
      <c r="K2494" t="s">
        <v>47113</v>
      </c>
      <c r="L2494">
        <v>28.5</v>
      </c>
      <c r="M2494">
        <v>69</v>
      </c>
      <c r="N2494">
        <v>0</v>
      </c>
      <c r="O2494">
        <v>69</v>
      </c>
      <c r="P2494">
        <v>0</v>
      </c>
    </row>
    <row r="2495" spans="1:16" x14ac:dyDescent="0.25">
      <c r="A2495" t="s">
        <v>24964</v>
      </c>
      <c r="B2495" t="s">
        <v>3893</v>
      </c>
      <c r="C2495" t="s">
        <v>3894</v>
      </c>
      <c r="D2495" t="str">
        <f>"4897"</f>
        <v>4897</v>
      </c>
      <c r="E2495" t="s">
        <v>3885</v>
      </c>
      <c r="F2495" t="s">
        <v>3750</v>
      </c>
      <c r="G2495" t="s">
        <v>16235</v>
      </c>
      <c r="H2495" t="s">
        <v>47126</v>
      </c>
      <c r="I2495" t="s">
        <v>47127</v>
      </c>
      <c r="J2495" t="s">
        <v>47128</v>
      </c>
      <c r="K2495" t="s">
        <v>47113</v>
      </c>
      <c r="L2495">
        <v>28.5</v>
      </c>
      <c r="M2495">
        <v>69</v>
      </c>
      <c r="N2495">
        <v>0</v>
      </c>
      <c r="O2495">
        <v>69</v>
      </c>
      <c r="P2495">
        <v>0</v>
      </c>
    </row>
    <row r="2496" spans="1:16" x14ac:dyDescent="0.25">
      <c r="A2496" t="s">
        <v>24965</v>
      </c>
      <c r="B2496" t="s">
        <v>3893</v>
      </c>
      <c r="C2496" t="s">
        <v>3894</v>
      </c>
      <c r="D2496" t="str">
        <f>"5157"</f>
        <v>5157</v>
      </c>
      <c r="E2496" t="s">
        <v>3886</v>
      </c>
      <c r="F2496" t="s">
        <v>3750</v>
      </c>
      <c r="G2496" t="s">
        <v>16235</v>
      </c>
      <c r="H2496" t="s">
        <v>47126</v>
      </c>
      <c r="I2496" t="s">
        <v>47127</v>
      </c>
      <c r="J2496" t="s">
        <v>47128</v>
      </c>
      <c r="K2496" t="s">
        <v>47113</v>
      </c>
      <c r="L2496">
        <v>28.5</v>
      </c>
      <c r="M2496">
        <v>69</v>
      </c>
      <c r="N2496">
        <v>0</v>
      </c>
      <c r="O2496">
        <v>69</v>
      </c>
      <c r="P2496">
        <v>0</v>
      </c>
    </row>
    <row r="2497" spans="1:16" x14ac:dyDescent="0.25">
      <c r="A2497" t="s">
        <v>24966</v>
      </c>
      <c r="B2497" t="s">
        <v>3893</v>
      </c>
      <c r="C2497" t="s">
        <v>3894</v>
      </c>
      <c r="D2497" t="str">
        <f>"6023"</f>
        <v>6023</v>
      </c>
      <c r="E2497" t="s">
        <v>3887</v>
      </c>
      <c r="F2497" t="s">
        <v>3750</v>
      </c>
      <c r="G2497" t="s">
        <v>16235</v>
      </c>
      <c r="H2497" t="s">
        <v>47126</v>
      </c>
      <c r="I2497" t="s">
        <v>47127</v>
      </c>
      <c r="J2497" t="s">
        <v>47128</v>
      </c>
      <c r="K2497" t="s">
        <v>47113</v>
      </c>
      <c r="L2497">
        <v>28.5</v>
      </c>
      <c r="M2497">
        <v>69</v>
      </c>
      <c r="N2497">
        <v>0</v>
      </c>
      <c r="O2497">
        <v>69</v>
      </c>
      <c r="P2497">
        <v>0</v>
      </c>
    </row>
    <row r="2498" spans="1:16" x14ac:dyDescent="0.25">
      <c r="A2498" t="s">
        <v>24967</v>
      </c>
      <c r="B2498" t="s">
        <v>3893</v>
      </c>
      <c r="C2498" t="s">
        <v>3894</v>
      </c>
      <c r="D2498" t="str">
        <f>"6878"</f>
        <v>6878</v>
      </c>
      <c r="E2498" t="s">
        <v>3888</v>
      </c>
      <c r="F2498" t="s">
        <v>3750</v>
      </c>
      <c r="G2498" t="s">
        <v>16235</v>
      </c>
      <c r="H2498" t="s">
        <v>47126</v>
      </c>
      <c r="I2498" t="s">
        <v>47127</v>
      </c>
      <c r="J2498" t="s">
        <v>47128</v>
      </c>
      <c r="K2498" t="s">
        <v>47113</v>
      </c>
      <c r="L2498">
        <v>28.5</v>
      </c>
      <c r="M2498">
        <v>69</v>
      </c>
      <c r="N2498">
        <v>0</v>
      </c>
      <c r="O2498">
        <v>69</v>
      </c>
      <c r="P2498">
        <v>0</v>
      </c>
    </row>
    <row r="2499" spans="1:16" x14ac:dyDescent="0.25">
      <c r="A2499" t="s">
        <v>24968</v>
      </c>
      <c r="B2499" t="s">
        <v>3895</v>
      </c>
      <c r="C2499" t="s">
        <v>3896</v>
      </c>
      <c r="D2499" t="str">
        <f>"1106"</f>
        <v>1106</v>
      </c>
      <c r="E2499" t="s">
        <v>460</v>
      </c>
      <c r="F2499" t="s">
        <v>3750</v>
      </c>
      <c r="G2499" t="s">
        <v>16235</v>
      </c>
      <c r="H2499" t="s">
        <v>47126</v>
      </c>
      <c r="I2499" t="s">
        <v>47127</v>
      </c>
      <c r="J2499" t="s">
        <v>47128</v>
      </c>
      <c r="K2499" t="s">
        <v>47113</v>
      </c>
      <c r="L2499">
        <v>21.5</v>
      </c>
      <c r="M2499">
        <v>52</v>
      </c>
      <c r="N2499">
        <v>0</v>
      </c>
      <c r="O2499">
        <v>52</v>
      </c>
      <c r="P2499">
        <v>0</v>
      </c>
    </row>
    <row r="2500" spans="1:16" x14ac:dyDescent="0.25">
      <c r="A2500" t="s">
        <v>24969</v>
      </c>
      <c r="B2500" t="s">
        <v>3895</v>
      </c>
      <c r="C2500" t="s">
        <v>3896</v>
      </c>
      <c r="D2500" t="str">
        <f>"1278"</f>
        <v>1278</v>
      </c>
      <c r="E2500" t="s">
        <v>100</v>
      </c>
      <c r="F2500" t="s">
        <v>3750</v>
      </c>
      <c r="G2500" t="s">
        <v>16235</v>
      </c>
      <c r="H2500" t="s">
        <v>47126</v>
      </c>
      <c r="I2500" t="s">
        <v>47127</v>
      </c>
      <c r="J2500" t="s">
        <v>47128</v>
      </c>
      <c r="K2500" t="s">
        <v>47113</v>
      </c>
      <c r="L2500">
        <v>21.5</v>
      </c>
      <c r="M2500">
        <v>52</v>
      </c>
      <c r="N2500">
        <v>0</v>
      </c>
      <c r="O2500">
        <v>52</v>
      </c>
      <c r="P2500">
        <v>0</v>
      </c>
    </row>
    <row r="2501" spans="1:16" x14ac:dyDescent="0.25">
      <c r="A2501" t="s">
        <v>24970</v>
      </c>
      <c r="B2501" t="s">
        <v>3895</v>
      </c>
      <c r="C2501" t="s">
        <v>3896</v>
      </c>
      <c r="D2501" t="str">
        <f>"1285"</f>
        <v>1285</v>
      </c>
      <c r="E2501" t="s">
        <v>2148</v>
      </c>
      <c r="F2501" t="s">
        <v>3750</v>
      </c>
      <c r="G2501" t="s">
        <v>16235</v>
      </c>
      <c r="H2501" t="s">
        <v>47126</v>
      </c>
      <c r="I2501" t="s">
        <v>47127</v>
      </c>
      <c r="J2501" t="s">
        <v>47128</v>
      </c>
      <c r="K2501" t="s">
        <v>47113</v>
      </c>
      <c r="L2501">
        <v>21.5</v>
      </c>
      <c r="M2501">
        <v>52</v>
      </c>
      <c r="N2501">
        <v>0</v>
      </c>
      <c r="O2501">
        <v>52</v>
      </c>
      <c r="P2501">
        <v>0</v>
      </c>
    </row>
    <row r="2502" spans="1:16" x14ac:dyDescent="0.25">
      <c r="A2502" t="s">
        <v>24971</v>
      </c>
      <c r="B2502" t="s">
        <v>3895</v>
      </c>
      <c r="C2502" t="s">
        <v>3896</v>
      </c>
      <c r="D2502" t="str">
        <f>"1379"</f>
        <v>1379</v>
      </c>
      <c r="E2502" t="s">
        <v>84</v>
      </c>
      <c r="F2502" t="s">
        <v>3750</v>
      </c>
      <c r="G2502" t="s">
        <v>16235</v>
      </c>
      <c r="H2502" t="s">
        <v>47126</v>
      </c>
      <c r="I2502" t="s">
        <v>47127</v>
      </c>
      <c r="J2502" t="s">
        <v>47128</v>
      </c>
      <c r="K2502" t="s">
        <v>47113</v>
      </c>
      <c r="L2502">
        <v>21.5</v>
      </c>
      <c r="M2502">
        <v>52</v>
      </c>
      <c r="N2502">
        <v>0</v>
      </c>
      <c r="O2502">
        <v>52</v>
      </c>
      <c r="P2502">
        <v>0</v>
      </c>
    </row>
    <row r="2503" spans="1:16" x14ac:dyDescent="0.25">
      <c r="A2503" t="s">
        <v>24972</v>
      </c>
      <c r="B2503" t="s">
        <v>3895</v>
      </c>
      <c r="C2503" t="s">
        <v>3896</v>
      </c>
      <c r="D2503" t="str">
        <f>"1700"</f>
        <v>1700</v>
      </c>
      <c r="E2503" t="s">
        <v>60</v>
      </c>
      <c r="F2503" t="s">
        <v>3750</v>
      </c>
      <c r="G2503" t="s">
        <v>16235</v>
      </c>
      <c r="H2503" t="s">
        <v>47126</v>
      </c>
      <c r="I2503" t="s">
        <v>47127</v>
      </c>
      <c r="J2503" t="s">
        <v>47128</v>
      </c>
      <c r="K2503" t="s">
        <v>47113</v>
      </c>
      <c r="L2503">
        <v>21.5</v>
      </c>
      <c r="M2503">
        <v>52</v>
      </c>
      <c r="N2503">
        <v>0</v>
      </c>
      <c r="O2503">
        <v>52</v>
      </c>
      <c r="P2503">
        <v>0</v>
      </c>
    </row>
    <row r="2504" spans="1:16" x14ac:dyDescent="0.25">
      <c r="A2504" t="s">
        <v>24973</v>
      </c>
      <c r="B2504" t="s">
        <v>3895</v>
      </c>
      <c r="C2504" t="s">
        <v>3896</v>
      </c>
      <c r="D2504" t="str">
        <f>"3539"</f>
        <v>3539</v>
      </c>
      <c r="E2504" t="s">
        <v>3883</v>
      </c>
      <c r="F2504" t="s">
        <v>3750</v>
      </c>
      <c r="G2504" t="s">
        <v>16235</v>
      </c>
      <c r="H2504" t="s">
        <v>47126</v>
      </c>
      <c r="I2504" t="s">
        <v>47127</v>
      </c>
      <c r="J2504" t="s">
        <v>47128</v>
      </c>
      <c r="K2504" t="s">
        <v>47113</v>
      </c>
      <c r="L2504">
        <v>21.5</v>
      </c>
      <c r="M2504">
        <v>52</v>
      </c>
      <c r="N2504">
        <v>0</v>
      </c>
      <c r="O2504">
        <v>52</v>
      </c>
      <c r="P2504">
        <v>0</v>
      </c>
    </row>
    <row r="2505" spans="1:16" x14ac:dyDescent="0.25">
      <c r="A2505" t="s">
        <v>24974</v>
      </c>
      <c r="B2505" t="s">
        <v>3895</v>
      </c>
      <c r="C2505" t="s">
        <v>3896</v>
      </c>
      <c r="D2505" t="str">
        <f>"4643"</f>
        <v>4643</v>
      </c>
      <c r="E2505" t="s">
        <v>205</v>
      </c>
      <c r="F2505" t="s">
        <v>3750</v>
      </c>
      <c r="G2505" t="s">
        <v>16235</v>
      </c>
      <c r="H2505" t="s">
        <v>47126</v>
      </c>
      <c r="I2505" t="s">
        <v>47127</v>
      </c>
      <c r="J2505" t="s">
        <v>47128</v>
      </c>
      <c r="K2505" t="s">
        <v>47113</v>
      </c>
      <c r="L2505">
        <v>21.5</v>
      </c>
      <c r="M2505">
        <v>52</v>
      </c>
      <c r="N2505">
        <v>0</v>
      </c>
      <c r="O2505">
        <v>52</v>
      </c>
      <c r="P2505">
        <v>0</v>
      </c>
    </row>
    <row r="2506" spans="1:16" x14ac:dyDescent="0.25">
      <c r="A2506" t="s">
        <v>24975</v>
      </c>
      <c r="B2506" t="s">
        <v>3895</v>
      </c>
      <c r="C2506" t="s">
        <v>3896</v>
      </c>
      <c r="D2506" t="str">
        <f>"4896"</f>
        <v>4896</v>
      </c>
      <c r="E2506" t="s">
        <v>3884</v>
      </c>
      <c r="F2506" t="s">
        <v>3750</v>
      </c>
      <c r="G2506" t="s">
        <v>16235</v>
      </c>
      <c r="H2506" t="s">
        <v>47126</v>
      </c>
      <c r="I2506" t="s">
        <v>47127</v>
      </c>
      <c r="J2506" t="s">
        <v>47128</v>
      </c>
      <c r="K2506" t="s">
        <v>47113</v>
      </c>
      <c r="L2506">
        <v>21.5</v>
      </c>
      <c r="M2506">
        <v>52</v>
      </c>
      <c r="N2506">
        <v>0</v>
      </c>
      <c r="O2506">
        <v>52</v>
      </c>
      <c r="P2506">
        <v>0</v>
      </c>
    </row>
    <row r="2507" spans="1:16" x14ac:dyDescent="0.25">
      <c r="A2507" t="s">
        <v>24976</v>
      </c>
      <c r="B2507" t="s">
        <v>3895</v>
      </c>
      <c r="C2507" t="s">
        <v>3896</v>
      </c>
      <c r="D2507" t="str">
        <f>"4897"</f>
        <v>4897</v>
      </c>
      <c r="E2507" t="s">
        <v>3885</v>
      </c>
      <c r="F2507" t="s">
        <v>3750</v>
      </c>
      <c r="G2507" t="s">
        <v>16235</v>
      </c>
      <c r="H2507" t="s">
        <v>47126</v>
      </c>
      <c r="I2507" t="s">
        <v>47127</v>
      </c>
      <c r="J2507" t="s">
        <v>47128</v>
      </c>
      <c r="K2507" t="s">
        <v>47113</v>
      </c>
      <c r="L2507">
        <v>21.5</v>
      </c>
      <c r="M2507">
        <v>52</v>
      </c>
      <c r="N2507">
        <v>0</v>
      </c>
      <c r="O2507">
        <v>52</v>
      </c>
      <c r="P2507">
        <v>0</v>
      </c>
    </row>
    <row r="2508" spans="1:16" x14ac:dyDescent="0.25">
      <c r="A2508" t="s">
        <v>24977</v>
      </c>
      <c r="B2508" t="s">
        <v>3895</v>
      </c>
      <c r="C2508" t="s">
        <v>3896</v>
      </c>
      <c r="D2508" t="str">
        <f>"5157"</f>
        <v>5157</v>
      </c>
      <c r="E2508" t="s">
        <v>3886</v>
      </c>
      <c r="F2508" t="s">
        <v>3750</v>
      </c>
      <c r="G2508" t="s">
        <v>16235</v>
      </c>
      <c r="H2508" t="s">
        <v>47126</v>
      </c>
      <c r="I2508" t="s">
        <v>47127</v>
      </c>
      <c r="J2508" t="s">
        <v>47128</v>
      </c>
      <c r="K2508" t="s">
        <v>47113</v>
      </c>
      <c r="L2508">
        <v>21.5</v>
      </c>
      <c r="M2508">
        <v>52</v>
      </c>
      <c r="N2508">
        <v>0</v>
      </c>
      <c r="O2508">
        <v>52</v>
      </c>
      <c r="P2508">
        <v>0</v>
      </c>
    </row>
    <row r="2509" spans="1:16" x14ac:dyDescent="0.25">
      <c r="A2509" t="s">
        <v>24978</v>
      </c>
      <c r="B2509" t="s">
        <v>3895</v>
      </c>
      <c r="C2509" t="s">
        <v>3896</v>
      </c>
      <c r="D2509" t="str">
        <f>"6023"</f>
        <v>6023</v>
      </c>
      <c r="E2509" t="s">
        <v>3887</v>
      </c>
      <c r="F2509" t="s">
        <v>3750</v>
      </c>
      <c r="G2509" t="s">
        <v>16235</v>
      </c>
      <c r="H2509" t="s">
        <v>47126</v>
      </c>
      <c r="I2509" t="s">
        <v>47127</v>
      </c>
      <c r="J2509" t="s">
        <v>47128</v>
      </c>
      <c r="K2509" t="s">
        <v>47113</v>
      </c>
      <c r="L2509">
        <v>21.5</v>
      </c>
      <c r="M2509">
        <v>52</v>
      </c>
      <c r="N2509">
        <v>0</v>
      </c>
      <c r="O2509">
        <v>52</v>
      </c>
      <c r="P2509">
        <v>0</v>
      </c>
    </row>
    <row r="2510" spans="1:16" x14ac:dyDescent="0.25">
      <c r="A2510" t="s">
        <v>24979</v>
      </c>
      <c r="B2510" t="s">
        <v>3895</v>
      </c>
      <c r="C2510" t="s">
        <v>3896</v>
      </c>
      <c r="D2510" t="str">
        <f>"6878"</f>
        <v>6878</v>
      </c>
      <c r="E2510" t="s">
        <v>3888</v>
      </c>
      <c r="F2510" t="s">
        <v>3750</v>
      </c>
      <c r="G2510" t="s">
        <v>16235</v>
      </c>
      <c r="H2510" t="s">
        <v>47126</v>
      </c>
      <c r="I2510" t="s">
        <v>47127</v>
      </c>
      <c r="J2510" t="s">
        <v>47128</v>
      </c>
      <c r="K2510" t="s">
        <v>47113</v>
      </c>
      <c r="L2510">
        <v>21.5</v>
      </c>
      <c r="M2510">
        <v>52</v>
      </c>
      <c r="N2510">
        <v>0</v>
      </c>
      <c r="O2510">
        <v>52</v>
      </c>
      <c r="P2510">
        <v>0</v>
      </c>
    </row>
    <row r="2511" spans="1:16" x14ac:dyDescent="0.25">
      <c r="A2511" t="s">
        <v>24980</v>
      </c>
      <c r="B2511" t="s">
        <v>3897</v>
      </c>
      <c r="C2511" t="s">
        <v>3898</v>
      </c>
      <c r="D2511" t="str">
        <f>"1106"</f>
        <v>1106</v>
      </c>
      <c r="E2511" t="s">
        <v>460</v>
      </c>
      <c r="F2511" t="s">
        <v>3750</v>
      </c>
      <c r="G2511" t="s">
        <v>16222</v>
      </c>
      <c r="H2511" t="s">
        <v>47126</v>
      </c>
      <c r="I2511" t="s">
        <v>47127</v>
      </c>
      <c r="J2511" t="s">
        <v>47128</v>
      </c>
      <c r="K2511" t="s">
        <v>47113</v>
      </c>
      <c r="L2511">
        <v>19.690000000000001</v>
      </c>
      <c r="M2511">
        <v>48</v>
      </c>
      <c r="N2511">
        <v>0</v>
      </c>
      <c r="O2511">
        <v>48</v>
      </c>
      <c r="P2511">
        <v>0</v>
      </c>
    </row>
    <row r="2512" spans="1:16" x14ac:dyDescent="0.25">
      <c r="A2512" t="s">
        <v>24981</v>
      </c>
      <c r="B2512" t="s">
        <v>3897</v>
      </c>
      <c r="C2512" t="s">
        <v>3898</v>
      </c>
      <c r="D2512" t="str">
        <f>"1278"</f>
        <v>1278</v>
      </c>
      <c r="E2512" t="s">
        <v>100</v>
      </c>
      <c r="F2512" t="s">
        <v>3750</v>
      </c>
      <c r="G2512" t="s">
        <v>16222</v>
      </c>
      <c r="H2512" t="s">
        <v>47126</v>
      </c>
      <c r="I2512" t="s">
        <v>47127</v>
      </c>
      <c r="J2512" t="s">
        <v>47128</v>
      </c>
      <c r="K2512" t="s">
        <v>47113</v>
      </c>
      <c r="L2512">
        <v>19.690000000000001</v>
      </c>
      <c r="M2512">
        <v>48</v>
      </c>
      <c r="N2512">
        <v>0</v>
      </c>
      <c r="O2512">
        <v>48</v>
      </c>
      <c r="P2512">
        <v>0</v>
      </c>
    </row>
    <row r="2513" spans="1:16" x14ac:dyDescent="0.25">
      <c r="A2513" t="s">
        <v>24982</v>
      </c>
      <c r="B2513" t="s">
        <v>3897</v>
      </c>
      <c r="C2513" t="s">
        <v>3898</v>
      </c>
      <c r="D2513" t="str">
        <f>"1285"</f>
        <v>1285</v>
      </c>
      <c r="E2513" t="s">
        <v>2148</v>
      </c>
      <c r="F2513" t="s">
        <v>3750</v>
      </c>
      <c r="G2513" t="s">
        <v>16222</v>
      </c>
      <c r="H2513" t="s">
        <v>47126</v>
      </c>
      <c r="I2513" t="s">
        <v>47127</v>
      </c>
      <c r="J2513" t="s">
        <v>47128</v>
      </c>
      <c r="K2513" t="s">
        <v>47113</v>
      </c>
      <c r="L2513">
        <v>19.690000000000001</v>
      </c>
      <c r="M2513">
        <v>48</v>
      </c>
      <c r="N2513">
        <v>0</v>
      </c>
      <c r="O2513">
        <v>48</v>
      </c>
      <c r="P2513">
        <v>0</v>
      </c>
    </row>
    <row r="2514" spans="1:16" x14ac:dyDescent="0.25">
      <c r="A2514" t="s">
        <v>24983</v>
      </c>
      <c r="B2514" t="s">
        <v>3897</v>
      </c>
      <c r="C2514" t="s">
        <v>3898</v>
      </c>
      <c r="D2514" t="str">
        <f>"1379"</f>
        <v>1379</v>
      </c>
      <c r="E2514" t="s">
        <v>84</v>
      </c>
      <c r="F2514" t="s">
        <v>3750</v>
      </c>
      <c r="G2514" t="s">
        <v>16222</v>
      </c>
      <c r="H2514" t="s">
        <v>47126</v>
      </c>
      <c r="I2514" t="s">
        <v>47127</v>
      </c>
      <c r="J2514" t="s">
        <v>47128</v>
      </c>
      <c r="K2514" t="s">
        <v>47113</v>
      </c>
      <c r="L2514">
        <v>19.690000000000001</v>
      </c>
      <c r="M2514">
        <v>48</v>
      </c>
      <c r="N2514">
        <v>0</v>
      </c>
      <c r="O2514">
        <v>48</v>
      </c>
      <c r="P2514">
        <v>0</v>
      </c>
    </row>
    <row r="2515" spans="1:16" x14ac:dyDescent="0.25">
      <c r="A2515" t="s">
        <v>24984</v>
      </c>
      <c r="B2515" t="s">
        <v>3897</v>
      </c>
      <c r="C2515" t="s">
        <v>3898</v>
      </c>
      <c r="D2515" t="str">
        <f>"1700"</f>
        <v>1700</v>
      </c>
      <c r="E2515" t="s">
        <v>60</v>
      </c>
      <c r="F2515" t="s">
        <v>3750</v>
      </c>
      <c r="G2515" t="s">
        <v>16222</v>
      </c>
      <c r="H2515" t="s">
        <v>47126</v>
      </c>
      <c r="I2515" t="s">
        <v>47127</v>
      </c>
      <c r="J2515" t="s">
        <v>47128</v>
      </c>
      <c r="K2515" t="s">
        <v>47113</v>
      </c>
      <c r="L2515">
        <v>19.690000000000001</v>
      </c>
      <c r="M2515">
        <v>48</v>
      </c>
      <c r="N2515">
        <v>0</v>
      </c>
      <c r="O2515">
        <v>48</v>
      </c>
      <c r="P2515">
        <v>0</v>
      </c>
    </row>
    <row r="2516" spans="1:16" x14ac:dyDescent="0.25">
      <c r="A2516" t="s">
        <v>24985</v>
      </c>
      <c r="B2516" t="s">
        <v>3897</v>
      </c>
      <c r="C2516" t="s">
        <v>3898</v>
      </c>
      <c r="D2516" t="str">
        <f>"3539"</f>
        <v>3539</v>
      </c>
      <c r="E2516" t="s">
        <v>3883</v>
      </c>
      <c r="F2516" t="s">
        <v>3750</v>
      </c>
      <c r="G2516" t="s">
        <v>16222</v>
      </c>
      <c r="H2516" t="s">
        <v>47126</v>
      </c>
      <c r="I2516" t="s">
        <v>47127</v>
      </c>
      <c r="J2516" t="s">
        <v>47128</v>
      </c>
      <c r="K2516" t="s">
        <v>47113</v>
      </c>
      <c r="L2516">
        <v>19.690000000000001</v>
      </c>
      <c r="M2516">
        <v>48</v>
      </c>
      <c r="N2516">
        <v>0</v>
      </c>
      <c r="O2516">
        <v>48</v>
      </c>
      <c r="P2516">
        <v>0</v>
      </c>
    </row>
    <row r="2517" spans="1:16" x14ac:dyDescent="0.25">
      <c r="A2517" t="s">
        <v>24986</v>
      </c>
      <c r="B2517" t="s">
        <v>3897</v>
      </c>
      <c r="C2517" t="s">
        <v>3898</v>
      </c>
      <c r="D2517" t="str">
        <f>"4643"</f>
        <v>4643</v>
      </c>
      <c r="E2517" t="s">
        <v>205</v>
      </c>
      <c r="F2517" t="s">
        <v>3750</v>
      </c>
      <c r="G2517" t="s">
        <v>16222</v>
      </c>
      <c r="H2517" t="s">
        <v>47126</v>
      </c>
      <c r="I2517" t="s">
        <v>47127</v>
      </c>
      <c r="J2517" t="s">
        <v>47128</v>
      </c>
      <c r="K2517" t="s">
        <v>47113</v>
      </c>
      <c r="L2517">
        <v>19.690000000000001</v>
      </c>
      <c r="M2517">
        <v>48</v>
      </c>
      <c r="N2517">
        <v>0</v>
      </c>
      <c r="O2517">
        <v>48</v>
      </c>
      <c r="P2517">
        <v>0</v>
      </c>
    </row>
    <row r="2518" spans="1:16" x14ac:dyDescent="0.25">
      <c r="A2518" t="s">
        <v>24987</v>
      </c>
      <c r="B2518" t="s">
        <v>3897</v>
      </c>
      <c r="C2518" t="s">
        <v>3898</v>
      </c>
      <c r="D2518" t="str">
        <f>"4896"</f>
        <v>4896</v>
      </c>
      <c r="E2518" t="s">
        <v>3884</v>
      </c>
      <c r="F2518" t="s">
        <v>3750</v>
      </c>
      <c r="G2518" t="s">
        <v>16222</v>
      </c>
      <c r="H2518" t="s">
        <v>47126</v>
      </c>
      <c r="I2518" t="s">
        <v>47127</v>
      </c>
      <c r="J2518" t="s">
        <v>47128</v>
      </c>
      <c r="K2518" t="s">
        <v>47113</v>
      </c>
      <c r="L2518">
        <v>19.690000000000001</v>
      </c>
      <c r="M2518">
        <v>48</v>
      </c>
      <c r="N2518">
        <v>0</v>
      </c>
      <c r="O2518">
        <v>48</v>
      </c>
      <c r="P2518">
        <v>0</v>
      </c>
    </row>
    <row r="2519" spans="1:16" x14ac:dyDescent="0.25">
      <c r="A2519" t="s">
        <v>24988</v>
      </c>
      <c r="B2519" t="s">
        <v>3897</v>
      </c>
      <c r="C2519" t="s">
        <v>3898</v>
      </c>
      <c r="D2519" t="str">
        <f>"4897"</f>
        <v>4897</v>
      </c>
      <c r="E2519" t="s">
        <v>3885</v>
      </c>
      <c r="F2519" t="s">
        <v>3750</v>
      </c>
      <c r="G2519" t="s">
        <v>16222</v>
      </c>
      <c r="H2519" t="s">
        <v>47126</v>
      </c>
      <c r="I2519" t="s">
        <v>47127</v>
      </c>
      <c r="J2519" t="s">
        <v>47128</v>
      </c>
      <c r="K2519" t="s">
        <v>47113</v>
      </c>
      <c r="L2519">
        <v>19.690000000000001</v>
      </c>
      <c r="M2519">
        <v>48</v>
      </c>
      <c r="N2519">
        <v>0</v>
      </c>
      <c r="O2519">
        <v>48</v>
      </c>
      <c r="P2519">
        <v>0</v>
      </c>
    </row>
    <row r="2520" spans="1:16" x14ac:dyDescent="0.25">
      <c r="A2520" t="s">
        <v>24989</v>
      </c>
      <c r="B2520" t="s">
        <v>3897</v>
      </c>
      <c r="C2520" t="s">
        <v>3898</v>
      </c>
      <c r="D2520" t="str">
        <f>"5157"</f>
        <v>5157</v>
      </c>
      <c r="E2520" t="s">
        <v>3886</v>
      </c>
      <c r="F2520" t="s">
        <v>3750</v>
      </c>
      <c r="G2520" t="s">
        <v>16222</v>
      </c>
      <c r="H2520" t="s">
        <v>47126</v>
      </c>
      <c r="I2520" t="s">
        <v>47127</v>
      </c>
      <c r="J2520" t="s">
        <v>47128</v>
      </c>
      <c r="K2520" t="s">
        <v>47113</v>
      </c>
      <c r="L2520">
        <v>19.690000000000001</v>
      </c>
      <c r="M2520">
        <v>48</v>
      </c>
      <c r="N2520">
        <v>0</v>
      </c>
      <c r="O2520">
        <v>48</v>
      </c>
      <c r="P2520">
        <v>0</v>
      </c>
    </row>
    <row r="2521" spans="1:16" x14ac:dyDescent="0.25">
      <c r="A2521" t="s">
        <v>24990</v>
      </c>
      <c r="B2521" t="s">
        <v>3897</v>
      </c>
      <c r="C2521" t="s">
        <v>3898</v>
      </c>
      <c r="D2521" t="str">
        <f>"6023"</f>
        <v>6023</v>
      </c>
      <c r="E2521" t="s">
        <v>3887</v>
      </c>
      <c r="F2521" t="s">
        <v>3750</v>
      </c>
      <c r="G2521" t="s">
        <v>16222</v>
      </c>
      <c r="H2521" t="s">
        <v>47126</v>
      </c>
      <c r="I2521" t="s">
        <v>47127</v>
      </c>
      <c r="J2521" t="s">
        <v>47128</v>
      </c>
      <c r="K2521" t="s">
        <v>47113</v>
      </c>
      <c r="L2521">
        <v>19.690000000000001</v>
      </c>
      <c r="M2521">
        <v>48</v>
      </c>
      <c r="N2521">
        <v>0</v>
      </c>
      <c r="O2521">
        <v>48</v>
      </c>
      <c r="P2521">
        <v>0</v>
      </c>
    </row>
    <row r="2522" spans="1:16" x14ac:dyDescent="0.25">
      <c r="A2522" t="s">
        <v>24991</v>
      </c>
      <c r="B2522" t="s">
        <v>3897</v>
      </c>
      <c r="C2522" t="s">
        <v>3898</v>
      </c>
      <c r="D2522" t="str">
        <f>"6878"</f>
        <v>6878</v>
      </c>
      <c r="E2522" t="s">
        <v>3888</v>
      </c>
      <c r="F2522" t="s">
        <v>3750</v>
      </c>
      <c r="G2522" t="s">
        <v>16222</v>
      </c>
      <c r="H2522" t="s">
        <v>47126</v>
      </c>
      <c r="I2522" t="s">
        <v>47127</v>
      </c>
      <c r="J2522" t="s">
        <v>47128</v>
      </c>
      <c r="K2522" t="s">
        <v>47113</v>
      </c>
      <c r="L2522">
        <v>19.690000000000001</v>
      </c>
      <c r="M2522">
        <v>48</v>
      </c>
      <c r="N2522">
        <v>0</v>
      </c>
      <c r="O2522">
        <v>48</v>
      </c>
      <c r="P2522">
        <v>0</v>
      </c>
    </row>
    <row r="2523" spans="1:16" x14ac:dyDescent="0.25">
      <c r="A2523" t="s">
        <v>24992</v>
      </c>
      <c r="B2523" t="s">
        <v>3899</v>
      </c>
      <c r="C2523" t="s">
        <v>3900</v>
      </c>
      <c r="D2523" t="str">
        <f>"1106"</f>
        <v>1106</v>
      </c>
      <c r="E2523" t="s">
        <v>460</v>
      </c>
      <c r="F2523" t="s">
        <v>3750</v>
      </c>
      <c r="G2523" t="s">
        <v>16235</v>
      </c>
      <c r="H2523" t="s">
        <v>47126</v>
      </c>
      <c r="I2523" t="s">
        <v>47127</v>
      </c>
      <c r="J2523" t="s">
        <v>47128</v>
      </c>
      <c r="K2523" t="s">
        <v>47113</v>
      </c>
      <c r="L2523">
        <v>23.31</v>
      </c>
      <c r="M2523">
        <v>57</v>
      </c>
      <c r="N2523">
        <v>0</v>
      </c>
      <c r="O2523">
        <v>57</v>
      </c>
      <c r="P2523">
        <v>0</v>
      </c>
    </row>
    <row r="2524" spans="1:16" x14ac:dyDescent="0.25">
      <c r="A2524" t="s">
        <v>24993</v>
      </c>
      <c r="B2524" t="s">
        <v>3899</v>
      </c>
      <c r="C2524" t="s">
        <v>3900</v>
      </c>
      <c r="D2524" t="str">
        <f>"1278"</f>
        <v>1278</v>
      </c>
      <c r="E2524" t="s">
        <v>100</v>
      </c>
      <c r="F2524" t="s">
        <v>3750</v>
      </c>
      <c r="G2524" t="s">
        <v>16235</v>
      </c>
      <c r="H2524" t="s">
        <v>47126</v>
      </c>
      <c r="I2524" t="s">
        <v>47127</v>
      </c>
      <c r="J2524" t="s">
        <v>47128</v>
      </c>
      <c r="K2524" t="s">
        <v>47113</v>
      </c>
      <c r="L2524">
        <v>23.31</v>
      </c>
      <c r="M2524">
        <v>57</v>
      </c>
      <c r="N2524">
        <v>0</v>
      </c>
      <c r="O2524">
        <v>57</v>
      </c>
      <c r="P2524">
        <v>0</v>
      </c>
    </row>
    <row r="2525" spans="1:16" x14ac:dyDescent="0.25">
      <c r="A2525" t="s">
        <v>24994</v>
      </c>
      <c r="B2525" t="s">
        <v>3899</v>
      </c>
      <c r="C2525" t="s">
        <v>3900</v>
      </c>
      <c r="D2525" t="str">
        <f>"1285"</f>
        <v>1285</v>
      </c>
      <c r="E2525" t="s">
        <v>2148</v>
      </c>
      <c r="F2525" t="s">
        <v>3750</v>
      </c>
      <c r="G2525" t="s">
        <v>16235</v>
      </c>
      <c r="H2525" t="s">
        <v>47126</v>
      </c>
      <c r="I2525" t="s">
        <v>47127</v>
      </c>
      <c r="J2525" t="s">
        <v>47128</v>
      </c>
      <c r="K2525" t="s">
        <v>47113</v>
      </c>
      <c r="L2525">
        <v>23.31</v>
      </c>
      <c r="M2525">
        <v>57</v>
      </c>
      <c r="N2525">
        <v>0</v>
      </c>
      <c r="O2525">
        <v>57</v>
      </c>
      <c r="P2525">
        <v>0</v>
      </c>
    </row>
    <row r="2526" spans="1:16" x14ac:dyDescent="0.25">
      <c r="A2526" t="s">
        <v>24995</v>
      </c>
      <c r="B2526" t="s">
        <v>3899</v>
      </c>
      <c r="C2526" t="s">
        <v>3900</v>
      </c>
      <c r="D2526" t="str">
        <f>"1379"</f>
        <v>1379</v>
      </c>
      <c r="E2526" t="s">
        <v>84</v>
      </c>
      <c r="F2526" t="s">
        <v>3750</v>
      </c>
      <c r="G2526" t="s">
        <v>16235</v>
      </c>
      <c r="H2526" t="s">
        <v>47126</v>
      </c>
      <c r="I2526" t="s">
        <v>47127</v>
      </c>
      <c r="J2526" t="s">
        <v>47128</v>
      </c>
      <c r="K2526" t="s">
        <v>47113</v>
      </c>
      <c r="L2526">
        <v>23.31</v>
      </c>
      <c r="M2526">
        <v>57</v>
      </c>
      <c r="N2526">
        <v>0</v>
      </c>
      <c r="O2526">
        <v>57</v>
      </c>
      <c r="P2526">
        <v>0</v>
      </c>
    </row>
    <row r="2527" spans="1:16" x14ac:dyDescent="0.25">
      <c r="A2527" t="s">
        <v>24996</v>
      </c>
      <c r="B2527" t="s">
        <v>3899</v>
      </c>
      <c r="C2527" t="s">
        <v>3900</v>
      </c>
      <c r="D2527" t="str">
        <f>"1700"</f>
        <v>1700</v>
      </c>
      <c r="E2527" t="s">
        <v>60</v>
      </c>
      <c r="F2527" t="s">
        <v>3750</v>
      </c>
      <c r="G2527" t="s">
        <v>16235</v>
      </c>
      <c r="H2527" t="s">
        <v>47126</v>
      </c>
      <c r="I2527" t="s">
        <v>47127</v>
      </c>
      <c r="J2527" t="s">
        <v>47128</v>
      </c>
      <c r="K2527" t="s">
        <v>47113</v>
      </c>
      <c r="L2527">
        <v>23.31</v>
      </c>
      <c r="M2527">
        <v>57</v>
      </c>
      <c r="N2527">
        <v>0</v>
      </c>
      <c r="O2527">
        <v>57</v>
      </c>
      <c r="P2527">
        <v>0</v>
      </c>
    </row>
    <row r="2528" spans="1:16" x14ac:dyDescent="0.25">
      <c r="A2528" t="s">
        <v>24997</v>
      </c>
      <c r="B2528" t="s">
        <v>3899</v>
      </c>
      <c r="C2528" t="s">
        <v>3900</v>
      </c>
      <c r="D2528" t="str">
        <f>"3539"</f>
        <v>3539</v>
      </c>
      <c r="E2528" t="s">
        <v>3883</v>
      </c>
      <c r="F2528" t="s">
        <v>3750</v>
      </c>
      <c r="G2528" t="s">
        <v>16235</v>
      </c>
      <c r="H2528" t="s">
        <v>47126</v>
      </c>
      <c r="I2528" t="s">
        <v>47127</v>
      </c>
      <c r="J2528" t="s">
        <v>47128</v>
      </c>
      <c r="K2528" t="s">
        <v>47113</v>
      </c>
      <c r="L2528">
        <v>23.31</v>
      </c>
      <c r="M2528">
        <v>57</v>
      </c>
      <c r="N2528">
        <v>0</v>
      </c>
      <c r="O2528">
        <v>57</v>
      </c>
      <c r="P2528">
        <v>0</v>
      </c>
    </row>
    <row r="2529" spans="1:16" x14ac:dyDescent="0.25">
      <c r="A2529" t="s">
        <v>24998</v>
      </c>
      <c r="B2529" t="s">
        <v>3899</v>
      </c>
      <c r="C2529" t="s">
        <v>3900</v>
      </c>
      <c r="D2529" t="str">
        <f>"4643"</f>
        <v>4643</v>
      </c>
      <c r="E2529" t="s">
        <v>205</v>
      </c>
      <c r="F2529" t="s">
        <v>3750</v>
      </c>
      <c r="G2529" t="s">
        <v>16235</v>
      </c>
      <c r="H2529" t="s">
        <v>47126</v>
      </c>
      <c r="I2529" t="s">
        <v>47127</v>
      </c>
      <c r="J2529" t="s">
        <v>47128</v>
      </c>
      <c r="K2529" t="s">
        <v>47113</v>
      </c>
      <c r="L2529">
        <v>23.31</v>
      </c>
      <c r="M2529">
        <v>57</v>
      </c>
      <c r="N2529">
        <v>0</v>
      </c>
      <c r="O2529">
        <v>57</v>
      </c>
      <c r="P2529">
        <v>0</v>
      </c>
    </row>
    <row r="2530" spans="1:16" x14ac:dyDescent="0.25">
      <c r="A2530" t="s">
        <v>24999</v>
      </c>
      <c r="B2530" t="s">
        <v>3899</v>
      </c>
      <c r="C2530" t="s">
        <v>3900</v>
      </c>
      <c r="D2530" t="str">
        <f>"4896"</f>
        <v>4896</v>
      </c>
      <c r="E2530" t="s">
        <v>3884</v>
      </c>
      <c r="F2530" t="s">
        <v>3750</v>
      </c>
      <c r="G2530" t="s">
        <v>16235</v>
      </c>
      <c r="H2530" t="s">
        <v>47126</v>
      </c>
      <c r="I2530" t="s">
        <v>47127</v>
      </c>
      <c r="J2530" t="s">
        <v>47128</v>
      </c>
      <c r="K2530" t="s">
        <v>47113</v>
      </c>
      <c r="L2530">
        <v>23.31</v>
      </c>
      <c r="M2530">
        <v>57</v>
      </c>
      <c r="N2530">
        <v>0</v>
      </c>
      <c r="O2530">
        <v>57</v>
      </c>
      <c r="P2530">
        <v>0</v>
      </c>
    </row>
    <row r="2531" spans="1:16" x14ac:dyDescent="0.25">
      <c r="A2531" t="s">
        <v>25000</v>
      </c>
      <c r="B2531" t="s">
        <v>3899</v>
      </c>
      <c r="C2531" t="s">
        <v>3900</v>
      </c>
      <c r="D2531" t="str">
        <f>"4897"</f>
        <v>4897</v>
      </c>
      <c r="E2531" t="s">
        <v>3885</v>
      </c>
      <c r="F2531" t="s">
        <v>3750</v>
      </c>
      <c r="G2531" t="s">
        <v>16235</v>
      </c>
      <c r="H2531" t="s">
        <v>47126</v>
      </c>
      <c r="I2531" t="s">
        <v>47127</v>
      </c>
      <c r="J2531" t="s">
        <v>47128</v>
      </c>
      <c r="K2531" t="s">
        <v>47113</v>
      </c>
      <c r="L2531">
        <v>23.31</v>
      </c>
      <c r="M2531">
        <v>57</v>
      </c>
      <c r="N2531">
        <v>0</v>
      </c>
      <c r="O2531">
        <v>57</v>
      </c>
      <c r="P2531">
        <v>0</v>
      </c>
    </row>
    <row r="2532" spans="1:16" x14ac:dyDescent="0.25">
      <c r="A2532" t="s">
        <v>25001</v>
      </c>
      <c r="B2532" t="s">
        <v>3899</v>
      </c>
      <c r="C2532" t="s">
        <v>3900</v>
      </c>
      <c r="D2532" t="str">
        <f>"5157"</f>
        <v>5157</v>
      </c>
      <c r="E2532" t="s">
        <v>3886</v>
      </c>
      <c r="F2532" t="s">
        <v>3750</v>
      </c>
      <c r="G2532" t="s">
        <v>16235</v>
      </c>
      <c r="H2532" t="s">
        <v>47126</v>
      </c>
      <c r="I2532" t="s">
        <v>47127</v>
      </c>
      <c r="J2532" t="s">
        <v>47128</v>
      </c>
      <c r="K2532" t="s">
        <v>47113</v>
      </c>
      <c r="L2532">
        <v>23.31</v>
      </c>
      <c r="M2532">
        <v>57</v>
      </c>
      <c r="N2532">
        <v>0</v>
      </c>
      <c r="O2532">
        <v>57</v>
      </c>
      <c r="P2532">
        <v>0</v>
      </c>
    </row>
    <row r="2533" spans="1:16" x14ac:dyDescent="0.25">
      <c r="A2533" t="s">
        <v>25002</v>
      </c>
      <c r="B2533" t="s">
        <v>3899</v>
      </c>
      <c r="C2533" t="s">
        <v>3900</v>
      </c>
      <c r="D2533" t="str">
        <f>"6023"</f>
        <v>6023</v>
      </c>
      <c r="E2533" t="s">
        <v>3887</v>
      </c>
      <c r="F2533" t="s">
        <v>3750</v>
      </c>
      <c r="G2533" t="s">
        <v>16235</v>
      </c>
      <c r="H2533" t="s">
        <v>47126</v>
      </c>
      <c r="I2533" t="s">
        <v>47127</v>
      </c>
      <c r="J2533" t="s">
        <v>47128</v>
      </c>
      <c r="K2533" t="s">
        <v>47113</v>
      </c>
      <c r="L2533">
        <v>23.31</v>
      </c>
      <c r="M2533">
        <v>57</v>
      </c>
      <c r="N2533">
        <v>0</v>
      </c>
      <c r="O2533">
        <v>57</v>
      </c>
      <c r="P2533">
        <v>0</v>
      </c>
    </row>
    <row r="2534" spans="1:16" x14ac:dyDescent="0.25">
      <c r="A2534" t="s">
        <v>25003</v>
      </c>
      <c r="B2534" t="s">
        <v>3899</v>
      </c>
      <c r="C2534" t="s">
        <v>3900</v>
      </c>
      <c r="D2534" t="str">
        <f>"6878"</f>
        <v>6878</v>
      </c>
      <c r="E2534" t="s">
        <v>3888</v>
      </c>
      <c r="F2534" t="s">
        <v>3750</v>
      </c>
      <c r="G2534" t="s">
        <v>16235</v>
      </c>
      <c r="H2534" t="s">
        <v>47126</v>
      </c>
      <c r="I2534" t="s">
        <v>47127</v>
      </c>
      <c r="J2534" t="s">
        <v>47128</v>
      </c>
      <c r="K2534" t="s">
        <v>47113</v>
      </c>
      <c r="L2534">
        <v>23.31</v>
      </c>
      <c r="M2534">
        <v>57</v>
      </c>
      <c r="N2534">
        <v>0</v>
      </c>
      <c r="O2534">
        <v>57</v>
      </c>
      <c r="P2534">
        <v>0</v>
      </c>
    </row>
    <row r="2535" spans="1:16" x14ac:dyDescent="0.25">
      <c r="A2535" t="s">
        <v>25004</v>
      </c>
      <c r="B2535" t="s">
        <v>3901</v>
      </c>
      <c r="C2535" t="s">
        <v>3902</v>
      </c>
      <c r="D2535" t="str">
        <f>"1106"</f>
        <v>1106</v>
      </c>
      <c r="E2535" t="s">
        <v>460</v>
      </c>
      <c r="F2535" t="s">
        <v>3750</v>
      </c>
      <c r="G2535" t="s">
        <v>16235</v>
      </c>
      <c r="H2535" t="s">
        <v>47126</v>
      </c>
      <c r="I2535" t="s">
        <v>47127</v>
      </c>
      <c r="J2535" t="s">
        <v>47128</v>
      </c>
      <c r="K2535" t="s">
        <v>47113</v>
      </c>
      <c r="L2535">
        <v>21.5</v>
      </c>
      <c r="M2535">
        <v>52</v>
      </c>
      <c r="N2535">
        <v>0</v>
      </c>
      <c r="O2535">
        <v>52</v>
      </c>
      <c r="P2535">
        <v>0</v>
      </c>
    </row>
    <row r="2536" spans="1:16" x14ac:dyDescent="0.25">
      <c r="A2536" t="s">
        <v>25005</v>
      </c>
      <c r="B2536" t="s">
        <v>3901</v>
      </c>
      <c r="C2536" t="s">
        <v>3902</v>
      </c>
      <c r="D2536" t="str">
        <f>"1278"</f>
        <v>1278</v>
      </c>
      <c r="E2536" t="s">
        <v>100</v>
      </c>
      <c r="F2536" t="s">
        <v>3750</v>
      </c>
      <c r="G2536" t="s">
        <v>16235</v>
      </c>
      <c r="H2536" t="s">
        <v>47126</v>
      </c>
      <c r="I2536" t="s">
        <v>47127</v>
      </c>
      <c r="J2536" t="s">
        <v>47128</v>
      </c>
      <c r="K2536" t="s">
        <v>47113</v>
      </c>
      <c r="L2536">
        <v>21.5</v>
      </c>
      <c r="M2536">
        <v>52</v>
      </c>
      <c r="N2536">
        <v>0</v>
      </c>
      <c r="O2536">
        <v>52</v>
      </c>
      <c r="P2536">
        <v>0</v>
      </c>
    </row>
    <row r="2537" spans="1:16" x14ac:dyDescent="0.25">
      <c r="A2537" t="s">
        <v>25006</v>
      </c>
      <c r="B2537" t="s">
        <v>3901</v>
      </c>
      <c r="C2537" t="s">
        <v>3902</v>
      </c>
      <c r="D2537" t="str">
        <f>"1285"</f>
        <v>1285</v>
      </c>
      <c r="E2537" t="s">
        <v>2148</v>
      </c>
      <c r="F2537" t="s">
        <v>3750</v>
      </c>
      <c r="G2537" t="s">
        <v>16235</v>
      </c>
      <c r="H2537" t="s">
        <v>47126</v>
      </c>
      <c r="I2537" t="s">
        <v>47127</v>
      </c>
      <c r="J2537" t="s">
        <v>47128</v>
      </c>
      <c r="K2537" t="s">
        <v>47113</v>
      </c>
      <c r="L2537">
        <v>21.5</v>
      </c>
      <c r="M2537">
        <v>52</v>
      </c>
      <c r="N2537">
        <v>0</v>
      </c>
      <c r="O2537">
        <v>52</v>
      </c>
      <c r="P2537">
        <v>0</v>
      </c>
    </row>
    <row r="2538" spans="1:16" x14ac:dyDescent="0.25">
      <c r="A2538" t="s">
        <v>25007</v>
      </c>
      <c r="B2538" t="s">
        <v>3901</v>
      </c>
      <c r="C2538" t="s">
        <v>3902</v>
      </c>
      <c r="D2538" t="str">
        <f>"1379"</f>
        <v>1379</v>
      </c>
      <c r="E2538" t="s">
        <v>84</v>
      </c>
      <c r="F2538" t="s">
        <v>3750</v>
      </c>
      <c r="G2538" t="s">
        <v>16235</v>
      </c>
      <c r="H2538" t="s">
        <v>47126</v>
      </c>
      <c r="I2538" t="s">
        <v>47127</v>
      </c>
      <c r="J2538" t="s">
        <v>47128</v>
      </c>
      <c r="K2538" t="s">
        <v>47113</v>
      </c>
      <c r="L2538">
        <v>21.5</v>
      </c>
      <c r="M2538">
        <v>52</v>
      </c>
      <c r="N2538">
        <v>0</v>
      </c>
      <c r="O2538">
        <v>52</v>
      </c>
      <c r="P2538">
        <v>0</v>
      </c>
    </row>
    <row r="2539" spans="1:16" x14ac:dyDescent="0.25">
      <c r="A2539" t="s">
        <v>25008</v>
      </c>
      <c r="B2539" t="s">
        <v>3901</v>
      </c>
      <c r="C2539" t="s">
        <v>3902</v>
      </c>
      <c r="D2539" t="str">
        <f>"1700"</f>
        <v>1700</v>
      </c>
      <c r="E2539" t="s">
        <v>60</v>
      </c>
      <c r="F2539" t="s">
        <v>3750</v>
      </c>
      <c r="G2539" t="s">
        <v>16235</v>
      </c>
      <c r="H2539" t="s">
        <v>47126</v>
      </c>
      <c r="I2539" t="s">
        <v>47127</v>
      </c>
      <c r="J2539" t="s">
        <v>47128</v>
      </c>
      <c r="K2539" t="s">
        <v>47113</v>
      </c>
      <c r="L2539">
        <v>21.5</v>
      </c>
      <c r="M2539">
        <v>52</v>
      </c>
      <c r="N2539">
        <v>0</v>
      </c>
      <c r="O2539">
        <v>52</v>
      </c>
      <c r="P2539">
        <v>0</v>
      </c>
    </row>
    <row r="2540" spans="1:16" x14ac:dyDescent="0.25">
      <c r="A2540" t="s">
        <v>25009</v>
      </c>
      <c r="B2540" t="s">
        <v>3901</v>
      </c>
      <c r="C2540" t="s">
        <v>3902</v>
      </c>
      <c r="D2540" t="str">
        <f>"3539"</f>
        <v>3539</v>
      </c>
      <c r="E2540" t="s">
        <v>3883</v>
      </c>
      <c r="F2540" t="s">
        <v>3750</v>
      </c>
      <c r="G2540" t="s">
        <v>16235</v>
      </c>
      <c r="H2540" t="s">
        <v>47126</v>
      </c>
      <c r="I2540" t="s">
        <v>47127</v>
      </c>
      <c r="J2540" t="s">
        <v>47128</v>
      </c>
      <c r="K2540" t="s">
        <v>47113</v>
      </c>
      <c r="L2540">
        <v>21.5</v>
      </c>
      <c r="M2540">
        <v>52</v>
      </c>
      <c r="N2540">
        <v>0</v>
      </c>
      <c r="O2540">
        <v>52</v>
      </c>
      <c r="P2540">
        <v>0</v>
      </c>
    </row>
    <row r="2541" spans="1:16" x14ac:dyDescent="0.25">
      <c r="A2541" t="s">
        <v>25010</v>
      </c>
      <c r="B2541" t="s">
        <v>3901</v>
      </c>
      <c r="C2541" t="s">
        <v>3902</v>
      </c>
      <c r="D2541" t="str">
        <f>"4643"</f>
        <v>4643</v>
      </c>
      <c r="E2541" t="s">
        <v>205</v>
      </c>
      <c r="F2541" t="s">
        <v>3750</v>
      </c>
      <c r="G2541" t="s">
        <v>16235</v>
      </c>
      <c r="H2541" t="s">
        <v>47126</v>
      </c>
      <c r="I2541" t="s">
        <v>47127</v>
      </c>
      <c r="J2541" t="s">
        <v>47128</v>
      </c>
      <c r="K2541" t="s">
        <v>47113</v>
      </c>
      <c r="L2541">
        <v>21.5</v>
      </c>
      <c r="M2541">
        <v>52</v>
      </c>
      <c r="N2541">
        <v>0</v>
      </c>
      <c r="O2541">
        <v>52</v>
      </c>
      <c r="P2541">
        <v>0</v>
      </c>
    </row>
    <row r="2542" spans="1:16" x14ac:dyDescent="0.25">
      <c r="A2542" t="s">
        <v>25011</v>
      </c>
      <c r="B2542" t="s">
        <v>3901</v>
      </c>
      <c r="C2542" t="s">
        <v>3902</v>
      </c>
      <c r="D2542" t="str">
        <f>"4896"</f>
        <v>4896</v>
      </c>
      <c r="E2542" t="s">
        <v>3884</v>
      </c>
      <c r="F2542" t="s">
        <v>3750</v>
      </c>
      <c r="G2542" t="s">
        <v>16235</v>
      </c>
      <c r="H2542" t="s">
        <v>47126</v>
      </c>
      <c r="I2542" t="s">
        <v>47127</v>
      </c>
      <c r="J2542" t="s">
        <v>47128</v>
      </c>
      <c r="K2542" t="s">
        <v>47113</v>
      </c>
      <c r="L2542">
        <v>21.5</v>
      </c>
      <c r="M2542">
        <v>52</v>
      </c>
      <c r="N2542">
        <v>0</v>
      </c>
      <c r="O2542">
        <v>52</v>
      </c>
      <c r="P2542">
        <v>0</v>
      </c>
    </row>
    <row r="2543" spans="1:16" x14ac:dyDescent="0.25">
      <c r="A2543" t="s">
        <v>25012</v>
      </c>
      <c r="B2543" t="s">
        <v>3901</v>
      </c>
      <c r="C2543" t="s">
        <v>3902</v>
      </c>
      <c r="D2543" t="str">
        <f>"4897"</f>
        <v>4897</v>
      </c>
      <c r="E2543" t="s">
        <v>3885</v>
      </c>
      <c r="F2543" t="s">
        <v>3750</v>
      </c>
      <c r="G2543" t="s">
        <v>16235</v>
      </c>
      <c r="H2543" t="s">
        <v>47126</v>
      </c>
      <c r="I2543" t="s">
        <v>47127</v>
      </c>
      <c r="J2543" t="s">
        <v>47128</v>
      </c>
      <c r="K2543" t="s">
        <v>47113</v>
      </c>
      <c r="L2543">
        <v>21.5</v>
      </c>
      <c r="M2543">
        <v>52</v>
      </c>
      <c r="N2543">
        <v>0</v>
      </c>
      <c r="O2543">
        <v>52</v>
      </c>
      <c r="P2543">
        <v>0</v>
      </c>
    </row>
    <row r="2544" spans="1:16" x14ac:dyDescent="0.25">
      <c r="A2544" t="s">
        <v>25013</v>
      </c>
      <c r="B2544" t="s">
        <v>3901</v>
      </c>
      <c r="C2544" t="s">
        <v>3902</v>
      </c>
      <c r="D2544" t="str">
        <f>"5157"</f>
        <v>5157</v>
      </c>
      <c r="E2544" t="s">
        <v>3886</v>
      </c>
      <c r="F2544" t="s">
        <v>3750</v>
      </c>
      <c r="G2544" t="s">
        <v>16235</v>
      </c>
      <c r="H2544" t="s">
        <v>47126</v>
      </c>
      <c r="I2544" t="s">
        <v>47127</v>
      </c>
      <c r="J2544" t="s">
        <v>47128</v>
      </c>
      <c r="K2544" t="s">
        <v>47113</v>
      </c>
      <c r="L2544">
        <v>21.5</v>
      </c>
      <c r="M2544">
        <v>52</v>
      </c>
      <c r="N2544">
        <v>0</v>
      </c>
      <c r="O2544">
        <v>52</v>
      </c>
      <c r="P2544">
        <v>0</v>
      </c>
    </row>
    <row r="2545" spans="1:16" x14ac:dyDescent="0.25">
      <c r="A2545" t="s">
        <v>25014</v>
      </c>
      <c r="B2545" t="s">
        <v>3901</v>
      </c>
      <c r="C2545" t="s">
        <v>3902</v>
      </c>
      <c r="D2545" t="str">
        <f>"6023"</f>
        <v>6023</v>
      </c>
      <c r="E2545" t="s">
        <v>3887</v>
      </c>
      <c r="F2545" t="s">
        <v>3750</v>
      </c>
      <c r="G2545" t="s">
        <v>16235</v>
      </c>
      <c r="H2545" t="s">
        <v>47126</v>
      </c>
      <c r="I2545" t="s">
        <v>47127</v>
      </c>
      <c r="J2545" t="s">
        <v>47128</v>
      </c>
      <c r="K2545" t="s">
        <v>47113</v>
      </c>
      <c r="L2545">
        <v>21.5</v>
      </c>
      <c r="M2545">
        <v>52</v>
      </c>
      <c r="N2545">
        <v>0</v>
      </c>
      <c r="O2545">
        <v>52</v>
      </c>
      <c r="P2545">
        <v>0</v>
      </c>
    </row>
    <row r="2546" spans="1:16" x14ac:dyDescent="0.25">
      <c r="A2546" t="s">
        <v>25015</v>
      </c>
      <c r="B2546" t="s">
        <v>3901</v>
      </c>
      <c r="C2546" t="s">
        <v>3902</v>
      </c>
      <c r="D2546" t="str">
        <f>"6878"</f>
        <v>6878</v>
      </c>
      <c r="E2546" t="s">
        <v>3888</v>
      </c>
      <c r="F2546" t="s">
        <v>3750</v>
      </c>
      <c r="G2546" t="s">
        <v>16235</v>
      </c>
      <c r="H2546" t="s">
        <v>47126</v>
      </c>
      <c r="I2546" t="s">
        <v>47127</v>
      </c>
      <c r="J2546" t="s">
        <v>47128</v>
      </c>
      <c r="K2546" t="s">
        <v>47113</v>
      </c>
      <c r="L2546">
        <v>21.5</v>
      </c>
      <c r="M2546">
        <v>52</v>
      </c>
      <c r="N2546">
        <v>0</v>
      </c>
      <c r="O2546">
        <v>52</v>
      </c>
      <c r="P2546">
        <v>0</v>
      </c>
    </row>
    <row r="2547" spans="1:16" x14ac:dyDescent="0.25">
      <c r="A2547" t="s">
        <v>25016</v>
      </c>
      <c r="B2547" t="s">
        <v>3903</v>
      </c>
      <c r="C2547" t="s">
        <v>3904</v>
      </c>
      <c r="D2547" t="str">
        <f>"1106"</f>
        <v>1106</v>
      </c>
      <c r="E2547" t="s">
        <v>460</v>
      </c>
      <c r="F2547" t="s">
        <v>3750</v>
      </c>
      <c r="G2547" t="s">
        <v>16235</v>
      </c>
      <c r="H2547" t="s">
        <v>47126</v>
      </c>
      <c r="I2547" t="s">
        <v>47127</v>
      </c>
      <c r="J2547" t="s">
        <v>47128</v>
      </c>
      <c r="K2547" t="s">
        <v>47113</v>
      </c>
      <c r="L2547">
        <v>26.81</v>
      </c>
      <c r="M2547">
        <v>65</v>
      </c>
      <c r="N2547">
        <v>0</v>
      </c>
      <c r="O2547">
        <v>65</v>
      </c>
      <c r="P2547">
        <v>0</v>
      </c>
    </row>
    <row r="2548" spans="1:16" x14ac:dyDescent="0.25">
      <c r="A2548" t="s">
        <v>25017</v>
      </c>
      <c r="B2548" t="s">
        <v>3903</v>
      </c>
      <c r="C2548" t="s">
        <v>3904</v>
      </c>
      <c r="D2548" t="str">
        <f>"1278"</f>
        <v>1278</v>
      </c>
      <c r="E2548" t="s">
        <v>100</v>
      </c>
      <c r="F2548" t="s">
        <v>3750</v>
      </c>
      <c r="G2548" t="s">
        <v>16235</v>
      </c>
      <c r="H2548" t="s">
        <v>47126</v>
      </c>
      <c r="I2548" t="s">
        <v>47127</v>
      </c>
      <c r="J2548" t="s">
        <v>47128</v>
      </c>
      <c r="K2548" t="s">
        <v>47113</v>
      </c>
      <c r="L2548">
        <v>26.81</v>
      </c>
      <c r="M2548">
        <v>65</v>
      </c>
      <c r="N2548">
        <v>0</v>
      </c>
      <c r="O2548">
        <v>65</v>
      </c>
      <c r="P2548">
        <v>0</v>
      </c>
    </row>
    <row r="2549" spans="1:16" x14ac:dyDescent="0.25">
      <c r="A2549" t="s">
        <v>25018</v>
      </c>
      <c r="B2549" t="s">
        <v>3903</v>
      </c>
      <c r="C2549" t="s">
        <v>3904</v>
      </c>
      <c r="D2549" t="str">
        <f>"1285"</f>
        <v>1285</v>
      </c>
      <c r="E2549" t="s">
        <v>2148</v>
      </c>
      <c r="F2549" t="s">
        <v>3750</v>
      </c>
      <c r="G2549" t="s">
        <v>16235</v>
      </c>
      <c r="H2549" t="s">
        <v>47126</v>
      </c>
      <c r="I2549" t="s">
        <v>47127</v>
      </c>
      <c r="J2549" t="s">
        <v>47128</v>
      </c>
      <c r="K2549" t="s">
        <v>47113</v>
      </c>
      <c r="L2549">
        <v>26.81</v>
      </c>
      <c r="M2549">
        <v>65</v>
      </c>
      <c r="N2549">
        <v>0</v>
      </c>
      <c r="O2549">
        <v>65</v>
      </c>
      <c r="P2549">
        <v>0</v>
      </c>
    </row>
    <row r="2550" spans="1:16" x14ac:dyDescent="0.25">
      <c r="A2550" t="s">
        <v>25019</v>
      </c>
      <c r="B2550" t="s">
        <v>3903</v>
      </c>
      <c r="C2550" t="s">
        <v>3904</v>
      </c>
      <c r="D2550" t="str">
        <f>"1379"</f>
        <v>1379</v>
      </c>
      <c r="E2550" t="s">
        <v>84</v>
      </c>
      <c r="F2550" t="s">
        <v>3750</v>
      </c>
      <c r="G2550" t="s">
        <v>16235</v>
      </c>
      <c r="H2550" t="s">
        <v>47126</v>
      </c>
      <c r="I2550" t="s">
        <v>47127</v>
      </c>
      <c r="J2550" t="s">
        <v>47128</v>
      </c>
      <c r="K2550" t="s">
        <v>47113</v>
      </c>
      <c r="L2550">
        <v>26.81</v>
      </c>
      <c r="M2550">
        <v>65</v>
      </c>
      <c r="N2550">
        <v>0</v>
      </c>
      <c r="O2550">
        <v>65</v>
      </c>
      <c r="P2550">
        <v>0</v>
      </c>
    </row>
    <row r="2551" spans="1:16" x14ac:dyDescent="0.25">
      <c r="A2551" t="s">
        <v>25020</v>
      </c>
      <c r="B2551" t="s">
        <v>3903</v>
      </c>
      <c r="C2551" t="s">
        <v>3904</v>
      </c>
      <c r="D2551" t="str">
        <f>"1700"</f>
        <v>1700</v>
      </c>
      <c r="E2551" t="s">
        <v>60</v>
      </c>
      <c r="F2551" t="s">
        <v>3750</v>
      </c>
      <c r="G2551" t="s">
        <v>16235</v>
      </c>
      <c r="H2551" t="s">
        <v>47126</v>
      </c>
      <c r="I2551" t="s">
        <v>47127</v>
      </c>
      <c r="J2551" t="s">
        <v>47128</v>
      </c>
      <c r="K2551" t="s">
        <v>47113</v>
      </c>
      <c r="L2551">
        <v>26.81</v>
      </c>
      <c r="M2551">
        <v>65</v>
      </c>
      <c r="N2551">
        <v>0</v>
      </c>
      <c r="O2551">
        <v>65</v>
      </c>
      <c r="P2551">
        <v>0</v>
      </c>
    </row>
    <row r="2552" spans="1:16" x14ac:dyDescent="0.25">
      <c r="A2552" t="s">
        <v>25021</v>
      </c>
      <c r="B2552" t="s">
        <v>3903</v>
      </c>
      <c r="C2552" t="s">
        <v>3904</v>
      </c>
      <c r="D2552" t="str">
        <f>"3539"</f>
        <v>3539</v>
      </c>
      <c r="E2552" t="s">
        <v>3883</v>
      </c>
      <c r="F2552" t="s">
        <v>3750</v>
      </c>
      <c r="G2552" t="s">
        <v>16235</v>
      </c>
      <c r="H2552" t="s">
        <v>47126</v>
      </c>
      <c r="I2552" t="s">
        <v>47127</v>
      </c>
      <c r="J2552" t="s">
        <v>47128</v>
      </c>
      <c r="K2552" t="s">
        <v>47113</v>
      </c>
      <c r="L2552">
        <v>26.81</v>
      </c>
      <c r="M2552">
        <v>65</v>
      </c>
      <c r="N2552">
        <v>0</v>
      </c>
      <c r="O2552">
        <v>65</v>
      </c>
      <c r="P2552">
        <v>0</v>
      </c>
    </row>
    <row r="2553" spans="1:16" x14ac:dyDescent="0.25">
      <c r="A2553" t="s">
        <v>25022</v>
      </c>
      <c r="B2553" t="s">
        <v>3903</v>
      </c>
      <c r="C2553" t="s">
        <v>3904</v>
      </c>
      <c r="D2553" t="str">
        <f>"4643"</f>
        <v>4643</v>
      </c>
      <c r="E2553" t="s">
        <v>205</v>
      </c>
      <c r="F2553" t="s">
        <v>3750</v>
      </c>
      <c r="G2553" t="s">
        <v>16235</v>
      </c>
      <c r="H2553" t="s">
        <v>47126</v>
      </c>
      <c r="I2553" t="s">
        <v>47127</v>
      </c>
      <c r="J2553" t="s">
        <v>47128</v>
      </c>
      <c r="K2553" t="s">
        <v>47113</v>
      </c>
      <c r="L2553">
        <v>26.81</v>
      </c>
      <c r="M2553">
        <v>65</v>
      </c>
      <c r="N2553">
        <v>0</v>
      </c>
      <c r="O2553">
        <v>65</v>
      </c>
      <c r="P2553">
        <v>0</v>
      </c>
    </row>
    <row r="2554" spans="1:16" x14ac:dyDescent="0.25">
      <c r="A2554" t="s">
        <v>25023</v>
      </c>
      <c r="B2554" t="s">
        <v>3903</v>
      </c>
      <c r="C2554" t="s">
        <v>3904</v>
      </c>
      <c r="D2554" t="str">
        <f>"4896"</f>
        <v>4896</v>
      </c>
      <c r="E2554" t="s">
        <v>3884</v>
      </c>
      <c r="F2554" t="s">
        <v>3750</v>
      </c>
      <c r="G2554" t="s">
        <v>16235</v>
      </c>
      <c r="H2554" t="s">
        <v>47126</v>
      </c>
      <c r="I2554" t="s">
        <v>47127</v>
      </c>
      <c r="J2554" t="s">
        <v>47128</v>
      </c>
      <c r="K2554" t="s">
        <v>47113</v>
      </c>
      <c r="L2554">
        <v>26.81</v>
      </c>
      <c r="M2554">
        <v>65</v>
      </c>
      <c r="N2554">
        <v>0</v>
      </c>
      <c r="O2554">
        <v>65</v>
      </c>
      <c r="P2554">
        <v>0</v>
      </c>
    </row>
    <row r="2555" spans="1:16" x14ac:dyDescent="0.25">
      <c r="A2555" t="s">
        <v>25024</v>
      </c>
      <c r="B2555" t="s">
        <v>3903</v>
      </c>
      <c r="C2555" t="s">
        <v>3904</v>
      </c>
      <c r="D2555" t="str">
        <f>"4897"</f>
        <v>4897</v>
      </c>
      <c r="E2555" t="s">
        <v>3885</v>
      </c>
      <c r="F2555" t="s">
        <v>3750</v>
      </c>
      <c r="G2555" t="s">
        <v>16235</v>
      </c>
      <c r="H2555" t="s">
        <v>47126</v>
      </c>
      <c r="I2555" t="s">
        <v>47127</v>
      </c>
      <c r="J2555" t="s">
        <v>47128</v>
      </c>
      <c r="K2555" t="s">
        <v>47113</v>
      </c>
      <c r="L2555">
        <v>26.81</v>
      </c>
      <c r="M2555">
        <v>65</v>
      </c>
      <c r="N2555">
        <v>0</v>
      </c>
      <c r="O2555">
        <v>65</v>
      </c>
      <c r="P2555">
        <v>0</v>
      </c>
    </row>
    <row r="2556" spans="1:16" x14ac:dyDescent="0.25">
      <c r="A2556" t="s">
        <v>25025</v>
      </c>
      <c r="B2556" t="s">
        <v>3903</v>
      </c>
      <c r="C2556" t="s">
        <v>3904</v>
      </c>
      <c r="D2556" t="str">
        <f>"5157"</f>
        <v>5157</v>
      </c>
      <c r="E2556" t="s">
        <v>3886</v>
      </c>
      <c r="F2556" t="s">
        <v>3750</v>
      </c>
      <c r="G2556" t="s">
        <v>16235</v>
      </c>
      <c r="H2556" t="s">
        <v>47126</v>
      </c>
      <c r="I2556" t="s">
        <v>47127</v>
      </c>
      <c r="J2556" t="s">
        <v>47128</v>
      </c>
      <c r="K2556" t="s">
        <v>47113</v>
      </c>
      <c r="L2556">
        <v>26.81</v>
      </c>
      <c r="M2556">
        <v>65</v>
      </c>
      <c r="N2556">
        <v>0</v>
      </c>
      <c r="O2556">
        <v>65</v>
      </c>
      <c r="P2556">
        <v>0</v>
      </c>
    </row>
    <row r="2557" spans="1:16" x14ac:dyDescent="0.25">
      <c r="A2557" t="s">
        <v>25026</v>
      </c>
      <c r="B2557" t="s">
        <v>3903</v>
      </c>
      <c r="C2557" t="s">
        <v>3904</v>
      </c>
      <c r="D2557" t="str">
        <f>"6023"</f>
        <v>6023</v>
      </c>
      <c r="E2557" t="s">
        <v>3887</v>
      </c>
      <c r="F2557" t="s">
        <v>3750</v>
      </c>
      <c r="G2557" t="s">
        <v>16235</v>
      </c>
      <c r="H2557" t="s">
        <v>47126</v>
      </c>
      <c r="I2557" t="s">
        <v>47127</v>
      </c>
      <c r="J2557" t="s">
        <v>47128</v>
      </c>
      <c r="K2557" t="s">
        <v>47113</v>
      </c>
      <c r="L2557">
        <v>26.81</v>
      </c>
      <c r="M2557">
        <v>65</v>
      </c>
      <c r="N2557">
        <v>0</v>
      </c>
      <c r="O2557">
        <v>65</v>
      </c>
      <c r="P2557">
        <v>0</v>
      </c>
    </row>
    <row r="2558" spans="1:16" x14ac:dyDescent="0.25">
      <c r="A2558" t="s">
        <v>25027</v>
      </c>
      <c r="B2558" t="s">
        <v>3903</v>
      </c>
      <c r="C2558" t="s">
        <v>3904</v>
      </c>
      <c r="D2558" t="str">
        <f>"6878"</f>
        <v>6878</v>
      </c>
      <c r="E2558" t="s">
        <v>3888</v>
      </c>
      <c r="F2558" t="s">
        <v>3750</v>
      </c>
      <c r="G2558" t="s">
        <v>16235</v>
      </c>
      <c r="H2558" t="s">
        <v>47126</v>
      </c>
      <c r="I2558" t="s">
        <v>47127</v>
      </c>
      <c r="J2558" t="s">
        <v>47128</v>
      </c>
      <c r="K2558" t="s">
        <v>47113</v>
      </c>
      <c r="L2558">
        <v>26.81</v>
      </c>
      <c r="M2558">
        <v>65</v>
      </c>
      <c r="N2558">
        <v>0</v>
      </c>
      <c r="O2558">
        <v>65</v>
      </c>
      <c r="P2558">
        <v>0</v>
      </c>
    </row>
    <row r="2559" spans="1:16" x14ac:dyDescent="0.25">
      <c r="A2559" t="s">
        <v>25028</v>
      </c>
      <c r="B2559" t="s">
        <v>3905</v>
      </c>
      <c r="C2559" t="s">
        <v>3906</v>
      </c>
      <c r="D2559" t="s">
        <v>504</v>
      </c>
      <c r="E2559" t="s">
        <v>505</v>
      </c>
      <c r="F2559" t="s">
        <v>2068</v>
      </c>
      <c r="G2559" t="s">
        <v>16224</v>
      </c>
      <c r="H2559" t="s">
        <v>47153</v>
      </c>
      <c r="I2559" t="s">
        <v>47132</v>
      </c>
      <c r="J2559" t="s">
        <v>47133</v>
      </c>
      <c r="K2559" t="s">
        <v>47113</v>
      </c>
      <c r="L2559">
        <v>165.85</v>
      </c>
      <c r="M2559">
        <v>270</v>
      </c>
      <c r="N2559">
        <v>0</v>
      </c>
      <c r="O2559">
        <v>270</v>
      </c>
      <c r="P2559">
        <v>0</v>
      </c>
    </row>
    <row r="2560" spans="1:16" x14ac:dyDescent="0.25">
      <c r="A2560" t="s">
        <v>25029</v>
      </c>
      <c r="B2560" t="s">
        <v>3905</v>
      </c>
      <c r="C2560" t="s">
        <v>3906</v>
      </c>
      <c r="D2560" t="s">
        <v>3907</v>
      </c>
      <c r="E2560" t="s">
        <v>3908</v>
      </c>
      <c r="F2560" t="s">
        <v>2068</v>
      </c>
      <c r="G2560" t="s">
        <v>16224</v>
      </c>
      <c r="H2560" t="s">
        <v>47153</v>
      </c>
      <c r="I2560" t="s">
        <v>47132</v>
      </c>
      <c r="J2560" t="s">
        <v>47133</v>
      </c>
      <c r="K2560" t="s">
        <v>47113</v>
      </c>
      <c r="L2560">
        <v>165.85</v>
      </c>
      <c r="M2560">
        <v>270</v>
      </c>
      <c r="N2560">
        <v>0</v>
      </c>
      <c r="O2560">
        <v>270</v>
      </c>
      <c r="P2560">
        <v>0</v>
      </c>
    </row>
    <row r="2561" spans="1:16" x14ac:dyDescent="0.25">
      <c r="A2561" t="s">
        <v>25030</v>
      </c>
      <c r="B2561" t="s">
        <v>3909</v>
      </c>
      <c r="C2561" t="s">
        <v>3910</v>
      </c>
      <c r="D2561" t="s">
        <v>504</v>
      </c>
      <c r="E2561" t="s">
        <v>505</v>
      </c>
      <c r="F2561" t="s">
        <v>2068</v>
      </c>
      <c r="G2561" t="s">
        <v>16448</v>
      </c>
      <c r="H2561" t="s">
        <v>47153</v>
      </c>
      <c r="I2561" t="s">
        <v>47132</v>
      </c>
      <c r="J2561" t="s">
        <v>47133</v>
      </c>
      <c r="K2561" t="s">
        <v>47113</v>
      </c>
      <c r="L2561">
        <v>180.07</v>
      </c>
      <c r="M2561">
        <v>295</v>
      </c>
      <c r="N2561">
        <v>0</v>
      </c>
      <c r="O2561">
        <v>295</v>
      </c>
      <c r="P2561">
        <v>0</v>
      </c>
    </row>
    <row r="2562" spans="1:16" x14ac:dyDescent="0.25">
      <c r="A2562" t="s">
        <v>25031</v>
      </c>
      <c r="B2562" t="s">
        <v>3911</v>
      </c>
      <c r="C2562" t="s">
        <v>3912</v>
      </c>
      <c r="D2562" t="s">
        <v>418</v>
      </c>
      <c r="E2562" t="s">
        <v>419</v>
      </c>
      <c r="F2562" t="s">
        <v>2068</v>
      </c>
      <c r="G2562" t="s">
        <v>16448</v>
      </c>
      <c r="H2562" t="s">
        <v>47153</v>
      </c>
      <c r="I2562" t="s">
        <v>47132</v>
      </c>
      <c r="J2562" t="s">
        <v>47133</v>
      </c>
      <c r="K2562" t="s">
        <v>47113</v>
      </c>
      <c r="L2562">
        <v>171.77</v>
      </c>
      <c r="M2562">
        <v>285</v>
      </c>
      <c r="N2562">
        <v>0</v>
      </c>
      <c r="O2562">
        <v>285</v>
      </c>
      <c r="P2562">
        <v>0</v>
      </c>
    </row>
    <row r="2563" spans="1:16" x14ac:dyDescent="0.25">
      <c r="A2563" t="s">
        <v>25032</v>
      </c>
      <c r="B2563" t="s">
        <v>3913</v>
      </c>
      <c r="C2563" t="s">
        <v>3914</v>
      </c>
      <c r="D2563" t="s">
        <v>502</v>
      </c>
      <c r="E2563" t="s">
        <v>503</v>
      </c>
      <c r="F2563" t="s">
        <v>2068</v>
      </c>
      <c r="G2563" t="s">
        <v>16224</v>
      </c>
      <c r="H2563" t="s">
        <v>47153</v>
      </c>
      <c r="I2563" t="s">
        <v>47132</v>
      </c>
      <c r="J2563" t="s">
        <v>47133</v>
      </c>
      <c r="K2563" t="s">
        <v>47113</v>
      </c>
      <c r="L2563">
        <v>294.97000000000003</v>
      </c>
      <c r="M2563">
        <v>380</v>
      </c>
      <c r="N2563">
        <v>0</v>
      </c>
      <c r="O2563">
        <v>380</v>
      </c>
      <c r="P2563">
        <v>0</v>
      </c>
    </row>
    <row r="2564" spans="1:16" x14ac:dyDescent="0.25">
      <c r="A2564" t="s">
        <v>25033</v>
      </c>
      <c r="B2564" t="s">
        <v>3913</v>
      </c>
      <c r="C2564" t="s">
        <v>3914</v>
      </c>
      <c r="D2564" t="s">
        <v>3915</v>
      </c>
      <c r="E2564" t="s">
        <v>3916</v>
      </c>
      <c r="F2564" t="s">
        <v>2068</v>
      </c>
      <c r="G2564" t="s">
        <v>16224</v>
      </c>
      <c r="H2564" t="s">
        <v>47153</v>
      </c>
      <c r="I2564" t="s">
        <v>47132</v>
      </c>
      <c r="J2564" t="s">
        <v>47133</v>
      </c>
      <c r="K2564" t="s">
        <v>47113</v>
      </c>
      <c r="L2564">
        <v>294.97000000000003</v>
      </c>
      <c r="M2564">
        <v>380</v>
      </c>
      <c r="N2564">
        <v>0</v>
      </c>
      <c r="O2564">
        <v>380</v>
      </c>
      <c r="P2564">
        <v>0</v>
      </c>
    </row>
    <row r="2565" spans="1:16" x14ac:dyDescent="0.25">
      <c r="A2565" t="s">
        <v>25034</v>
      </c>
      <c r="B2565" t="s">
        <v>3917</v>
      </c>
      <c r="C2565" t="s">
        <v>3918</v>
      </c>
      <c r="D2565" t="s">
        <v>418</v>
      </c>
      <c r="E2565" t="s">
        <v>419</v>
      </c>
      <c r="F2565" t="s">
        <v>2068</v>
      </c>
      <c r="G2565" t="s">
        <v>16224</v>
      </c>
      <c r="H2565" t="s">
        <v>47153</v>
      </c>
      <c r="I2565" t="s">
        <v>47132</v>
      </c>
      <c r="J2565" t="s">
        <v>47133</v>
      </c>
      <c r="K2565" t="s">
        <v>47113</v>
      </c>
      <c r="L2565">
        <v>283.13</v>
      </c>
      <c r="M2565">
        <v>360</v>
      </c>
      <c r="N2565">
        <v>0</v>
      </c>
      <c r="O2565">
        <v>360</v>
      </c>
      <c r="P2565">
        <v>0</v>
      </c>
    </row>
    <row r="2566" spans="1:16" x14ac:dyDescent="0.25">
      <c r="A2566" t="s">
        <v>25035</v>
      </c>
      <c r="B2566" t="s">
        <v>3917</v>
      </c>
      <c r="C2566" t="s">
        <v>3918</v>
      </c>
      <c r="D2566" t="s">
        <v>3919</v>
      </c>
      <c r="E2566" t="s">
        <v>3920</v>
      </c>
      <c r="F2566" t="s">
        <v>2068</v>
      </c>
      <c r="G2566" t="s">
        <v>16224</v>
      </c>
      <c r="H2566" t="s">
        <v>47153</v>
      </c>
      <c r="I2566" t="s">
        <v>47132</v>
      </c>
      <c r="J2566" t="s">
        <v>47133</v>
      </c>
      <c r="K2566" t="s">
        <v>47113</v>
      </c>
      <c r="L2566">
        <v>283.13</v>
      </c>
      <c r="M2566">
        <v>360</v>
      </c>
      <c r="N2566">
        <v>0</v>
      </c>
      <c r="O2566">
        <v>360</v>
      </c>
      <c r="P2566">
        <v>0</v>
      </c>
    </row>
    <row r="2567" spans="1:16" x14ac:dyDescent="0.25">
      <c r="A2567" t="s">
        <v>25036</v>
      </c>
      <c r="B2567" t="s">
        <v>3921</v>
      </c>
      <c r="C2567" t="s">
        <v>3922</v>
      </c>
      <c r="D2567" t="str">
        <f>"2166"</f>
        <v>2166</v>
      </c>
      <c r="E2567" t="s">
        <v>80</v>
      </c>
      <c r="F2567" t="s">
        <v>2068</v>
      </c>
      <c r="G2567" t="s">
        <v>46686</v>
      </c>
      <c r="H2567" t="s">
        <v>47126</v>
      </c>
      <c r="I2567" t="s">
        <v>47127</v>
      </c>
      <c r="J2567" t="s">
        <v>47128</v>
      </c>
      <c r="K2567" t="s">
        <v>47113</v>
      </c>
      <c r="L2567">
        <v>61.59</v>
      </c>
      <c r="M2567">
        <v>150</v>
      </c>
      <c r="N2567">
        <v>0</v>
      </c>
      <c r="O2567">
        <v>150</v>
      </c>
      <c r="P2567">
        <v>0</v>
      </c>
    </row>
    <row r="2568" spans="1:16" x14ac:dyDescent="0.25">
      <c r="A2568" t="s">
        <v>14878</v>
      </c>
      <c r="B2568" t="s">
        <v>3921</v>
      </c>
      <c r="C2568" t="s">
        <v>3922</v>
      </c>
      <c r="D2568" t="str">
        <f>"4000"</f>
        <v>4000</v>
      </c>
      <c r="E2568" t="s">
        <v>190</v>
      </c>
      <c r="F2568" t="s">
        <v>2068</v>
      </c>
      <c r="G2568" t="s">
        <v>46686</v>
      </c>
      <c r="H2568" t="s">
        <v>47126</v>
      </c>
      <c r="I2568" t="s">
        <v>47127</v>
      </c>
      <c r="J2568" t="s">
        <v>47128</v>
      </c>
      <c r="K2568" t="s">
        <v>47113</v>
      </c>
      <c r="L2568">
        <v>61.59</v>
      </c>
      <c r="M2568">
        <v>150</v>
      </c>
      <c r="N2568">
        <v>0</v>
      </c>
      <c r="O2568">
        <v>150</v>
      </c>
      <c r="P2568">
        <v>0</v>
      </c>
    </row>
    <row r="2569" spans="1:16" x14ac:dyDescent="0.25">
      <c r="A2569" t="s">
        <v>25037</v>
      </c>
      <c r="B2569" t="s">
        <v>3923</v>
      </c>
      <c r="C2569" t="s">
        <v>3924</v>
      </c>
      <c r="D2569" t="str">
        <f>"1004"</f>
        <v>1004</v>
      </c>
      <c r="E2569" t="s">
        <v>200</v>
      </c>
      <c r="F2569" t="s">
        <v>2068</v>
      </c>
      <c r="G2569" t="s">
        <v>16232</v>
      </c>
      <c r="H2569" t="s">
        <v>47126</v>
      </c>
      <c r="I2569" t="s">
        <v>47127</v>
      </c>
      <c r="J2569" t="s">
        <v>47128</v>
      </c>
      <c r="K2569" t="s">
        <v>47113</v>
      </c>
      <c r="L2569">
        <v>26.57</v>
      </c>
      <c r="M2569">
        <v>65</v>
      </c>
      <c r="N2569">
        <v>0</v>
      </c>
      <c r="O2569">
        <v>65</v>
      </c>
      <c r="P2569">
        <v>0</v>
      </c>
    </row>
    <row r="2570" spans="1:16" x14ac:dyDescent="0.25">
      <c r="A2570" t="s">
        <v>25038</v>
      </c>
      <c r="B2570" t="s">
        <v>3923</v>
      </c>
      <c r="C2570" t="s">
        <v>3924</v>
      </c>
      <c r="D2570" t="str">
        <f>"1285"</f>
        <v>1285</v>
      </c>
      <c r="E2570" t="s">
        <v>2148</v>
      </c>
      <c r="F2570" t="s">
        <v>2068</v>
      </c>
      <c r="G2570" t="s">
        <v>16232</v>
      </c>
      <c r="H2570" t="s">
        <v>47126</v>
      </c>
      <c r="I2570" t="s">
        <v>47127</v>
      </c>
      <c r="J2570" t="s">
        <v>47128</v>
      </c>
      <c r="K2570" t="s">
        <v>47113</v>
      </c>
      <c r="L2570">
        <v>26.57</v>
      </c>
      <c r="M2570">
        <v>65</v>
      </c>
      <c r="N2570">
        <v>0</v>
      </c>
      <c r="O2570">
        <v>65</v>
      </c>
      <c r="P2570">
        <v>0</v>
      </c>
    </row>
    <row r="2571" spans="1:16" x14ac:dyDescent="0.25">
      <c r="A2571" t="s">
        <v>25039</v>
      </c>
      <c r="B2571" t="s">
        <v>3923</v>
      </c>
      <c r="C2571" t="s">
        <v>3924</v>
      </c>
      <c r="D2571" t="str">
        <f>"1378"</f>
        <v>1378</v>
      </c>
      <c r="E2571" t="s">
        <v>388</v>
      </c>
      <c r="F2571" t="s">
        <v>2068</v>
      </c>
      <c r="G2571" t="s">
        <v>16232</v>
      </c>
      <c r="H2571" t="s">
        <v>47126</v>
      </c>
      <c r="I2571" t="s">
        <v>47127</v>
      </c>
      <c r="J2571" t="s">
        <v>47128</v>
      </c>
      <c r="K2571" t="s">
        <v>47113</v>
      </c>
      <c r="L2571">
        <v>26.57</v>
      </c>
      <c r="M2571">
        <v>65</v>
      </c>
      <c r="N2571">
        <v>0</v>
      </c>
      <c r="O2571">
        <v>65</v>
      </c>
      <c r="P2571">
        <v>0</v>
      </c>
    </row>
    <row r="2572" spans="1:16" x14ac:dyDescent="0.25">
      <c r="A2572" t="s">
        <v>25040</v>
      </c>
      <c r="B2572" t="s">
        <v>3923</v>
      </c>
      <c r="C2572" t="s">
        <v>3924</v>
      </c>
      <c r="D2572" t="str">
        <f>"1403"</f>
        <v>1403</v>
      </c>
      <c r="E2572" t="s">
        <v>3925</v>
      </c>
      <c r="F2572" t="s">
        <v>2068</v>
      </c>
      <c r="G2572" t="s">
        <v>16232</v>
      </c>
      <c r="H2572" t="s">
        <v>47126</v>
      </c>
      <c r="I2572" t="s">
        <v>47127</v>
      </c>
      <c r="J2572" t="s">
        <v>47128</v>
      </c>
      <c r="K2572" t="s">
        <v>47113</v>
      </c>
      <c r="L2572">
        <v>26.57</v>
      </c>
      <c r="M2572">
        <v>65</v>
      </c>
      <c r="N2572">
        <v>0</v>
      </c>
      <c r="O2572">
        <v>65</v>
      </c>
      <c r="P2572">
        <v>0</v>
      </c>
    </row>
    <row r="2573" spans="1:16" x14ac:dyDescent="0.25">
      <c r="A2573" t="s">
        <v>25041</v>
      </c>
      <c r="B2573" t="s">
        <v>3923</v>
      </c>
      <c r="C2573" t="s">
        <v>3924</v>
      </c>
      <c r="D2573" t="str">
        <f>"2000"</f>
        <v>2000</v>
      </c>
      <c r="E2573" t="s">
        <v>248</v>
      </c>
      <c r="F2573" t="s">
        <v>2068</v>
      </c>
      <c r="G2573" t="s">
        <v>16232</v>
      </c>
      <c r="H2573" t="s">
        <v>47126</v>
      </c>
      <c r="I2573" t="s">
        <v>47127</v>
      </c>
      <c r="J2573" t="s">
        <v>47128</v>
      </c>
      <c r="K2573" t="s">
        <v>47113</v>
      </c>
      <c r="L2573">
        <v>26.57</v>
      </c>
      <c r="M2573">
        <v>65</v>
      </c>
      <c r="N2573">
        <v>0</v>
      </c>
      <c r="O2573">
        <v>65</v>
      </c>
      <c r="P2573">
        <v>0</v>
      </c>
    </row>
    <row r="2574" spans="1:16" x14ac:dyDescent="0.25">
      <c r="A2574" t="s">
        <v>25042</v>
      </c>
      <c r="B2574" t="s">
        <v>3923</v>
      </c>
      <c r="C2574" t="s">
        <v>3924</v>
      </c>
      <c r="D2574" t="str">
        <f>"4000"</f>
        <v>4000</v>
      </c>
      <c r="E2574" t="s">
        <v>190</v>
      </c>
      <c r="F2574" t="s">
        <v>2068</v>
      </c>
      <c r="G2574" t="s">
        <v>16232</v>
      </c>
      <c r="H2574" t="s">
        <v>47126</v>
      </c>
      <c r="I2574" t="s">
        <v>47127</v>
      </c>
      <c r="J2574" t="s">
        <v>47128</v>
      </c>
      <c r="K2574" t="s">
        <v>47113</v>
      </c>
      <c r="L2574">
        <v>26.57</v>
      </c>
      <c r="M2574">
        <v>65</v>
      </c>
      <c r="N2574">
        <v>0</v>
      </c>
      <c r="O2574">
        <v>65</v>
      </c>
      <c r="P2574">
        <v>0</v>
      </c>
    </row>
    <row r="2575" spans="1:16" x14ac:dyDescent="0.25">
      <c r="A2575" t="s">
        <v>25043</v>
      </c>
      <c r="B2575" t="s">
        <v>3923</v>
      </c>
      <c r="C2575" t="s">
        <v>3924</v>
      </c>
      <c r="D2575" t="str">
        <f>"4643"</f>
        <v>4643</v>
      </c>
      <c r="E2575" t="s">
        <v>205</v>
      </c>
      <c r="F2575" t="s">
        <v>2068</v>
      </c>
      <c r="G2575" t="s">
        <v>16232</v>
      </c>
      <c r="H2575" t="s">
        <v>47126</v>
      </c>
      <c r="I2575" t="s">
        <v>47127</v>
      </c>
      <c r="J2575" t="s">
        <v>47128</v>
      </c>
      <c r="K2575" t="s">
        <v>47113</v>
      </c>
      <c r="L2575">
        <v>26.57</v>
      </c>
      <c r="M2575">
        <v>65</v>
      </c>
      <c r="N2575">
        <v>0</v>
      </c>
      <c r="O2575">
        <v>65</v>
      </c>
      <c r="P2575">
        <v>0</v>
      </c>
    </row>
    <row r="2576" spans="1:16" x14ac:dyDescent="0.25">
      <c r="A2576" t="s">
        <v>25044</v>
      </c>
      <c r="B2576" t="s">
        <v>3926</v>
      </c>
      <c r="C2576" t="s">
        <v>3880</v>
      </c>
      <c r="D2576" t="str">
        <f>"1001"</f>
        <v>1001</v>
      </c>
      <c r="E2576" t="s">
        <v>42</v>
      </c>
      <c r="F2576" t="s">
        <v>2068</v>
      </c>
      <c r="G2576" t="s">
        <v>46686</v>
      </c>
      <c r="H2576" t="s">
        <v>47126</v>
      </c>
      <c r="I2576" t="s">
        <v>47127</v>
      </c>
      <c r="J2576" t="s">
        <v>47128</v>
      </c>
      <c r="K2576" t="s">
        <v>47113</v>
      </c>
      <c r="L2576">
        <v>30.19</v>
      </c>
      <c r="M2576">
        <v>73</v>
      </c>
      <c r="N2576">
        <v>0</v>
      </c>
      <c r="O2576">
        <v>73</v>
      </c>
      <c r="P2576">
        <v>0</v>
      </c>
    </row>
    <row r="2577" spans="1:16" x14ac:dyDescent="0.25">
      <c r="A2577" t="s">
        <v>25045</v>
      </c>
      <c r="B2577" t="s">
        <v>3926</v>
      </c>
      <c r="C2577" t="s">
        <v>3880</v>
      </c>
      <c r="D2577" t="str">
        <f>"1378"</f>
        <v>1378</v>
      </c>
      <c r="E2577" t="s">
        <v>388</v>
      </c>
      <c r="F2577" t="s">
        <v>2068</v>
      </c>
      <c r="G2577" t="s">
        <v>46686</v>
      </c>
      <c r="H2577" t="s">
        <v>47126</v>
      </c>
      <c r="I2577" t="s">
        <v>47127</v>
      </c>
      <c r="J2577" t="s">
        <v>47128</v>
      </c>
      <c r="K2577" t="s">
        <v>47113</v>
      </c>
      <c r="L2577">
        <v>30.19</v>
      </c>
      <c r="M2577">
        <v>73</v>
      </c>
      <c r="N2577">
        <v>0</v>
      </c>
      <c r="O2577">
        <v>73</v>
      </c>
      <c r="P2577">
        <v>0</v>
      </c>
    </row>
    <row r="2578" spans="1:16" x14ac:dyDescent="0.25">
      <c r="A2578" t="s">
        <v>25046</v>
      </c>
      <c r="B2578" t="s">
        <v>3926</v>
      </c>
      <c r="C2578" t="s">
        <v>3880</v>
      </c>
      <c r="D2578" t="str">
        <f>"4000"</f>
        <v>4000</v>
      </c>
      <c r="E2578" t="s">
        <v>190</v>
      </c>
      <c r="F2578" t="s">
        <v>2068</v>
      </c>
      <c r="G2578" t="s">
        <v>46686</v>
      </c>
      <c r="H2578" t="s">
        <v>47126</v>
      </c>
      <c r="I2578" t="s">
        <v>47127</v>
      </c>
      <c r="J2578" t="s">
        <v>47128</v>
      </c>
      <c r="K2578" t="s">
        <v>47113</v>
      </c>
      <c r="L2578">
        <v>30.19</v>
      </c>
      <c r="M2578">
        <v>73</v>
      </c>
      <c r="N2578">
        <v>0</v>
      </c>
      <c r="O2578">
        <v>73</v>
      </c>
      <c r="P2578">
        <v>0</v>
      </c>
    </row>
    <row r="2579" spans="1:16" x14ac:dyDescent="0.25">
      <c r="A2579" t="s">
        <v>25047</v>
      </c>
      <c r="B2579" t="s">
        <v>3927</v>
      </c>
      <c r="C2579" t="s">
        <v>3928</v>
      </c>
      <c r="D2579" t="str">
        <f>"1001"</f>
        <v>1001</v>
      </c>
      <c r="E2579" t="s">
        <v>42</v>
      </c>
      <c r="F2579" t="s">
        <v>2068</v>
      </c>
      <c r="G2579" t="s">
        <v>46686</v>
      </c>
      <c r="H2579" t="s">
        <v>47126</v>
      </c>
      <c r="I2579" t="s">
        <v>47127</v>
      </c>
      <c r="J2579" t="s">
        <v>47128</v>
      </c>
      <c r="K2579" t="s">
        <v>47113</v>
      </c>
      <c r="L2579">
        <v>32.24</v>
      </c>
      <c r="M2579">
        <v>78</v>
      </c>
      <c r="N2579">
        <v>0</v>
      </c>
      <c r="O2579">
        <v>78</v>
      </c>
      <c r="P2579">
        <v>0</v>
      </c>
    </row>
    <row r="2580" spans="1:16" x14ac:dyDescent="0.25">
      <c r="A2580" t="s">
        <v>25048</v>
      </c>
      <c r="B2580" t="s">
        <v>3927</v>
      </c>
      <c r="C2580" t="s">
        <v>3928</v>
      </c>
      <c r="D2580" t="str">
        <f>"1378"</f>
        <v>1378</v>
      </c>
      <c r="E2580" t="s">
        <v>388</v>
      </c>
      <c r="F2580" t="s">
        <v>2068</v>
      </c>
      <c r="G2580" t="s">
        <v>46686</v>
      </c>
      <c r="H2580" t="s">
        <v>47126</v>
      </c>
      <c r="I2580" t="s">
        <v>47127</v>
      </c>
      <c r="J2580" t="s">
        <v>47128</v>
      </c>
      <c r="K2580" t="s">
        <v>47113</v>
      </c>
      <c r="L2580">
        <v>32.24</v>
      </c>
      <c r="M2580">
        <v>78</v>
      </c>
      <c r="N2580">
        <v>0</v>
      </c>
      <c r="O2580">
        <v>78</v>
      </c>
      <c r="P2580">
        <v>0</v>
      </c>
    </row>
    <row r="2581" spans="1:16" x14ac:dyDescent="0.25">
      <c r="A2581" t="s">
        <v>25049</v>
      </c>
      <c r="B2581" t="s">
        <v>3927</v>
      </c>
      <c r="C2581" t="s">
        <v>3928</v>
      </c>
      <c r="D2581" t="str">
        <f>"4000"</f>
        <v>4000</v>
      </c>
      <c r="E2581" t="s">
        <v>190</v>
      </c>
      <c r="F2581" t="s">
        <v>2068</v>
      </c>
      <c r="G2581" t="s">
        <v>46686</v>
      </c>
      <c r="H2581" t="s">
        <v>47126</v>
      </c>
      <c r="I2581" t="s">
        <v>47127</v>
      </c>
      <c r="J2581" t="s">
        <v>47128</v>
      </c>
      <c r="K2581" t="s">
        <v>47113</v>
      </c>
      <c r="L2581">
        <v>32.24</v>
      </c>
      <c r="M2581">
        <v>78</v>
      </c>
      <c r="N2581">
        <v>0</v>
      </c>
      <c r="O2581">
        <v>78</v>
      </c>
      <c r="P2581">
        <v>0</v>
      </c>
    </row>
    <row r="2582" spans="1:16" x14ac:dyDescent="0.25">
      <c r="A2582" t="s">
        <v>25050</v>
      </c>
      <c r="B2582" t="s">
        <v>3929</v>
      </c>
      <c r="C2582" t="s">
        <v>3930</v>
      </c>
      <c r="D2582" t="s">
        <v>502</v>
      </c>
      <c r="E2582" t="s">
        <v>503</v>
      </c>
      <c r="F2582" t="s">
        <v>2068</v>
      </c>
      <c r="G2582" t="s">
        <v>46686</v>
      </c>
      <c r="H2582" t="s">
        <v>47153</v>
      </c>
      <c r="I2582" t="s">
        <v>47132</v>
      </c>
      <c r="J2582" t="s">
        <v>47133</v>
      </c>
      <c r="K2582" t="s">
        <v>47113</v>
      </c>
      <c r="L2582">
        <v>82.93</v>
      </c>
      <c r="M2582">
        <v>135</v>
      </c>
      <c r="N2582">
        <v>0</v>
      </c>
      <c r="O2582">
        <v>135</v>
      </c>
      <c r="P2582">
        <v>0</v>
      </c>
    </row>
    <row r="2583" spans="1:16" x14ac:dyDescent="0.25">
      <c r="A2583" t="s">
        <v>25051</v>
      </c>
      <c r="B2583" t="s">
        <v>3929</v>
      </c>
      <c r="C2583" t="s">
        <v>3930</v>
      </c>
      <c r="D2583" t="s">
        <v>504</v>
      </c>
      <c r="E2583" t="s">
        <v>505</v>
      </c>
      <c r="F2583" t="s">
        <v>2068</v>
      </c>
      <c r="G2583" t="s">
        <v>46686</v>
      </c>
      <c r="H2583" t="s">
        <v>47153</v>
      </c>
      <c r="I2583" t="s">
        <v>47132</v>
      </c>
      <c r="J2583" t="s">
        <v>47133</v>
      </c>
      <c r="K2583" t="s">
        <v>47113</v>
      </c>
      <c r="L2583">
        <v>82.93</v>
      </c>
      <c r="M2583">
        <v>135</v>
      </c>
      <c r="N2583">
        <v>0</v>
      </c>
      <c r="O2583">
        <v>135</v>
      </c>
      <c r="P2583">
        <v>0</v>
      </c>
    </row>
    <row r="2584" spans="1:16" x14ac:dyDescent="0.25">
      <c r="A2584" t="s">
        <v>25052</v>
      </c>
      <c r="B2584" t="s">
        <v>3929</v>
      </c>
      <c r="C2584" t="s">
        <v>3930</v>
      </c>
      <c r="D2584" t="s">
        <v>428</v>
      </c>
      <c r="E2584" t="s">
        <v>429</v>
      </c>
      <c r="F2584" t="s">
        <v>2068</v>
      </c>
      <c r="G2584" t="s">
        <v>46686</v>
      </c>
      <c r="H2584" t="s">
        <v>47153</v>
      </c>
      <c r="I2584" t="s">
        <v>47132</v>
      </c>
      <c r="J2584" t="s">
        <v>47133</v>
      </c>
      <c r="K2584" t="s">
        <v>47113</v>
      </c>
      <c r="L2584">
        <v>82.93</v>
      </c>
      <c r="M2584">
        <v>135</v>
      </c>
      <c r="N2584">
        <v>0</v>
      </c>
      <c r="O2584">
        <v>135</v>
      </c>
      <c r="P2584">
        <v>0</v>
      </c>
    </row>
    <row r="2585" spans="1:16" x14ac:dyDescent="0.25">
      <c r="A2585" t="s">
        <v>25053</v>
      </c>
      <c r="B2585" t="s">
        <v>3931</v>
      </c>
      <c r="C2585" t="s">
        <v>2151</v>
      </c>
      <c r="D2585" t="str">
        <f>"1001"</f>
        <v>1001</v>
      </c>
      <c r="E2585" t="s">
        <v>42</v>
      </c>
      <c r="F2585" t="s">
        <v>2068</v>
      </c>
      <c r="G2585" t="s">
        <v>46686</v>
      </c>
      <c r="H2585" t="s">
        <v>47126</v>
      </c>
      <c r="I2585" t="s">
        <v>47127</v>
      </c>
      <c r="J2585" t="s">
        <v>47128</v>
      </c>
      <c r="K2585" t="s">
        <v>47113</v>
      </c>
      <c r="L2585">
        <v>34.18</v>
      </c>
      <c r="M2585">
        <v>83</v>
      </c>
      <c r="N2585">
        <v>0</v>
      </c>
      <c r="O2585">
        <v>83</v>
      </c>
      <c r="P2585">
        <v>0</v>
      </c>
    </row>
    <row r="2586" spans="1:16" x14ac:dyDescent="0.25">
      <c r="A2586" t="s">
        <v>25054</v>
      </c>
      <c r="B2586" t="s">
        <v>3931</v>
      </c>
      <c r="C2586" t="s">
        <v>2151</v>
      </c>
      <c r="D2586" t="str">
        <f>"1378"</f>
        <v>1378</v>
      </c>
      <c r="E2586" t="s">
        <v>388</v>
      </c>
      <c r="F2586" t="s">
        <v>2068</v>
      </c>
      <c r="G2586" t="s">
        <v>46686</v>
      </c>
      <c r="H2586" t="s">
        <v>47126</v>
      </c>
      <c r="I2586" t="s">
        <v>47127</v>
      </c>
      <c r="J2586" t="s">
        <v>47128</v>
      </c>
      <c r="K2586" t="s">
        <v>47113</v>
      </c>
      <c r="L2586">
        <v>34.18</v>
      </c>
      <c r="M2586">
        <v>83</v>
      </c>
      <c r="N2586">
        <v>0</v>
      </c>
      <c r="O2586">
        <v>83</v>
      </c>
      <c r="P2586">
        <v>0</v>
      </c>
    </row>
    <row r="2587" spans="1:16" x14ac:dyDescent="0.25">
      <c r="A2587" t="s">
        <v>25055</v>
      </c>
      <c r="B2587" t="s">
        <v>3931</v>
      </c>
      <c r="C2587" t="s">
        <v>2151</v>
      </c>
      <c r="D2587" t="str">
        <f>"4000"</f>
        <v>4000</v>
      </c>
      <c r="E2587" t="s">
        <v>190</v>
      </c>
      <c r="F2587" t="s">
        <v>2068</v>
      </c>
      <c r="G2587" t="s">
        <v>46686</v>
      </c>
      <c r="H2587" t="s">
        <v>47126</v>
      </c>
      <c r="I2587" t="s">
        <v>47127</v>
      </c>
      <c r="J2587" t="s">
        <v>47128</v>
      </c>
      <c r="K2587" t="s">
        <v>47113</v>
      </c>
      <c r="L2587">
        <v>34.18</v>
      </c>
      <c r="M2587">
        <v>83</v>
      </c>
      <c r="N2587">
        <v>0</v>
      </c>
      <c r="O2587">
        <v>83</v>
      </c>
      <c r="P2587">
        <v>0</v>
      </c>
    </row>
    <row r="2588" spans="1:16" x14ac:dyDescent="0.25">
      <c r="A2588" t="s">
        <v>25056</v>
      </c>
      <c r="B2588" t="s">
        <v>3932</v>
      </c>
      <c r="C2588" t="s">
        <v>3933</v>
      </c>
      <c r="D2588" t="str">
        <f>"1001"</f>
        <v>1001</v>
      </c>
      <c r="E2588" t="s">
        <v>42</v>
      </c>
      <c r="F2588" t="s">
        <v>2068</v>
      </c>
      <c r="G2588" t="s">
        <v>46686</v>
      </c>
      <c r="H2588" t="s">
        <v>47126</v>
      </c>
      <c r="I2588" t="s">
        <v>47127</v>
      </c>
      <c r="J2588" t="s">
        <v>47128</v>
      </c>
      <c r="K2588" t="s">
        <v>47113</v>
      </c>
      <c r="L2588">
        <v>31.04</v>
      </c>
      <c r="M2588">
        <v>75</v>
      </c>
      <c r="N2588">
        <v>0</v>
      </c>
      <c r="O2588">
        <v>75</v>
      </c>
      <c r="P2588">
        <v>0</v>
      </c>
    </row>
    <row r="2589" spans="1:16" x14ac:dyDescent="0.25">
      <c r="A2589" t="s">
        <v>25057</v>
      </c>
      <c r="B2589" t="s">
        <v>3932</v>
      </c>
      <c r="C2589" t="s">
        <v>3933</v>
      </c>
      <c r="D2589" t="str">
        <f>"1378"</f>
        <v>1378</v>
      </c>
      <c r="E2589" t="s">
        <v>388</v>
      </c>
      <c r="F2589" t="s">
        <v>2068</v>
      </c>
      <c r="G2589" t="s">
        <v>46686</v>
      </c>
      <c r="H2589" t="s">
        <v>47126</v>
      </c>
      <c r="I2589" t="s">
        <v>47127</v>
      </c>
      <c r="J2589" t="s">
        <v>47128</v>
      </c>
      <c r="K2589" t="s">
        <v>47113</v>
      </c>
      <c r="L2589">
        <v>31.04</v>
      </c>
      <c r="M2589">
        <v>75</v>
      </c>
      <c r="N2589">
        <v>0</v>
      </c>
      <c r="O2589">
        <v>75</v>
      </c>
      <c r="P2589">
        <v>0</v>
      </c>
    </row>
    <row r="2590" spans="1:16" x14ac:dyDescent="0.25">
      <c r="A2590" t="s">
        <v>25058</v>
      </c>
      <c r="B2590" t="s">
        <v>3932</v>
      </c>
      <c r="C2590" t="s">
        <v>3933</v>
      </c>
      <c r="D2590" t="str">
        <f>"4000"</f>
        <v>4000</v>
      </c>
      <c r="E2590" t="s">
        <v>190</v>
      </c>
      <c r="F2590" t="s">
        <v>2068</v>
      </c>
      <c r="G2590" t="s">
        <v>46686</v>
      </c>
      <c r="H2590" t="s">
        <v>47126</v>
      </c>
      <c r="I2590" t="s">
        <v>47127</v>
      </c>
      <c r="J2590" t="s">
        <v>47128</v>
      </c>
      <c r="K2590" t="s">
        <v>47113</v>
      </c>
      <c r="L2590">
        <v>31.04</v>
      </c>
      <c r="M2590">
        <v>75</v>
      </c>
      <c r="N2590">
        <v>0</v>
      </c>
      <c r="O2590">
        <v>75</v>
      </c>
      <c r="P2590">
        <v>0</v>
      </c>
    </row>
    <row r="2591" spans="1:16" x14ac:dyDescent="0.25">
      <c r="A2591" t="s">
        <v>25059</v>
      </c>
      <c r="B2591" t="s">
        <v>3934</v>
      </c>
      <c r="C2591" t="s">
        <v>3935</v>
      </c>
      <c r="D2591" t="s">
        <v>502</v>
      </c>
      <c r="E2591" t="s">
        <v>503</v>
      </c>
      <c r="F2591" t="s">
        <v>2068</v>
      </c>
      <c r="G2591" t="s">
        <v>46686</v>
      </c>
      <c r="H2591" t="s">
        <v>47153</v>
      </c>
      <c r="I2591" t="s">
        <v>47132</v>
      </c>
      <c r="J2591" t="s">
        <v>47133</v>
      </c>
      <c r="K2591" t="s">
        <v>47113</v>
      </c>
      <c r="L2591">
        <v>73.45</v>
      </c>
      <c r="M2591">
        <v>118</v>
      </c>
      <c r="N2591">
        <v>0</v>
      </c>
      <c r="O2591">
        <v>118</v>
      </c>
      <c r="P2591">
        <v>0</v>
      </c>
    </row>
    <row r="2592" spans="1:16" x14ac:dyDescent="0.25">
      <c r="A2592" t="s">
        <v>25060</v>
      </c>
      <c r="B2592" t="s">
        <v>3934</v>
      </c>
      <c r="C2592" t="s">
        <v>3935</v>
      </c>
      <c r="D2592" t="s">
        <v>504</v>
      </c>
      <c r="E2592" t="s">
        <v>505</v>
      </c>
      <c r="F2592" t="s">
        <v>2068</v>
      </c>
      <c r="G2592" t="s">
        <v>46686</v>
      </c>
      <c r="H2592" t="s">
        <v>47153</v>
      </c>
      <c r="I2592" t="s">
        <v>47132</v>
      </c>
      <c r="J2592" t="s">
        <v>47133</v>
      </c>
      <c r="K2592" t="s">
        <v>47113</v>
      </c>
      <c r="L2592">
        <v>73.45</v>
      </c>
      <c r="M2592">
        <v>118</v>
      </c>
      <c r="N2592">
        <v>0</v>
      </c>
      <c r="O2592">
        <v>118</v>
      </c>
      <c r="P2592">
        <v>0</v>
      </c>
    </row>
    <row r="2593" spans="1:16" x14ac:dyDescent="0.25">
      <c r="A2593" t="s">
        <v>25061</v>
      </c>
      <c r="B2593" t="s">
        <v>3934</v>
      </c>
      <c r="C2593" t="s">
        <v>3935</v>
      </c>
      <c r="D2593" t="s">
        <v>428</v>
      </c>
      <c r="E2593" t="s">
        <v>429</v>
      </c>
      <c r="F2593" t="s">
        <v>2068</v>
      </c>
      <c r="G2593" t="s">
        <v>46686</v>
      </c>
      <c r="H2593" t="s">
        <v>47153</v>
      </c>
      <c r="I2593" t="s">
        <v>47132</v>
      </c>
      <c r="J2593" t="s">
        <v>47133</v>
      </c>
      <c r="K2593" t="s">
        <v>47113</v>
      </c>
      <c r="L2593">
        <v>73.45</v>
      </c>
      <c r="M2593">
        <v>118</v>
      </c>
      <c r="N2593">
        <v>0</v>
      </c>
      <c r="O2593">
        <v>118</v>
      </c>
      <c r="P2593">
        <v>0</v>
      </c>
    </row>
    <row r="2594" spans="1:16" x14ac:dyDescent="0.25">
      <c r="A2594" t="s">
        <v>25062</v>
      </c>
      <c r="B2594" t="s">
        <v>3936</v>
      </c>
      <c r="C2594" t="s">
        <v>3937</v>
      </c>
      <c r="D2594" t="str">
        <f>"1001"</f>
        <v>1001</v>
      </c>
      <c r="E2594" t="s">
        <v>42</v>
      </c>
      <c r="F2594" t="s">
        <v>2068</v>
      </c>
      <c r="G2594" t="s">
        <v>46686</v>
      </c>
      <c r="H2594" t="s">
        <v>47126</v>
      </c>
      <c r="I2594" t="s">
        <v>47127</v>
      </c>
      <c r="J2594" t="s">
        <v>47128</v>
      </c>
      <c r="K2594" t="s">
        <v>47113</v>
      </c>
      <c r="L2594">
        <v>45.77</v>
      </c>
      <c r="M2594">
        <v>110</v>
      </c>
      <c r="N2594">
        <v>0</v>
      </c>
      <c r="O2594">
        <v>110</v>
      </c>
      <c r="P2594">
        <v>0</v>
      </c>
    </row>
    <row r="2595" spans="1:16" x14ac:dyDescent="0.25">
      <c r="A2595" t="s">
        <v>25063</v>
      </c>
      <c r="B2595" t="s">
        <v>3936</v>
      </c>
      <c r="C2595" t="s">
        <v>3937</v>
      </c>
      <c r="D2595" t="str">
        <f>"1378"</f>
        <v>1378</v>
      </c>
      <c r="E2595" t="s">
        <v>388</v>
      </c>
      <c r="F2595" t="s">
        <v>2068</v>
      </c>
      <c r="G2595" t="s">
        <v>46686</v>
      </c>
      <c r="H2595" t="s">
        <v>47126</v>
      </c>
      <c r="I2595" t="s">
        <v>47127</v>
      </c>
      <c r="J2595" t="s">
        <v>47128</v>
      </c>
      <c r="K2595" t="s">
        <v>47113</v>
      </c>
      <c r="L2595">
        <v>45.77</v>
      </c>
      <c r="M2595">
        <v>110</v>
      </c>
      <c r="N2595">
        <v>0</v>
      </c>
      <c r="O2595">
        <v>110</v>
      </c>
      <c r="P2595">
        <v>0</v>
      </c>
    </row>
    <row r="2596" spans="1:16" x14ac:dyDescent="0.25">
      <c r="A2596" t="s">
        <v>25064</v>
      </c>
      <c r="B2596" t="s">
        <v>3936</v>
      </c>
      <c r="C2596" t="s">
        <v>3937</v>
      </c>
      <c r="D2596" t="str">
        <f>"2166"</f>
        <v>2166</v>
      </c>
      <c r="E2596" t="s">
        <v>80</v>
      </c>
      <c r="F2596" t="s">
        <v>2068</v>
      </c>
      <c r="G2596" t="s">
        <v>46686</v>
      </c>
      <c r="H2596" t="s">
        <v>47126</v>
      </c>
      <c r="I2596" t="s">
        <v>47127</v>
      </c>
      <c r="J2596" t="s">
        <v>47128</v>
      </c>
      <c r="K2596" t="s">
        <v>47113</v>
      </c>
      <c r="L2596">
        <v>45.77</v>
      </c>
      <c r="M2596">
        <v>110</v>
      </c>
      <c r="N2596">
        <v>0</v>
      </c>
      <c r="O2596">
        <v>110</v>
      </c>
      <c r="P2596">
        <v>0</v>
      </c>
    </row>
    <row r="2597" spans="1:16" x14ac:dyDescent="0.25">
      <c r="A2597" t="s">
        <v>25065</v>
      </c>
      <c r="B2597" t="s">
        <v>3936</v>
      </c>
      <c r="C2597" t="s">
        <v>3937</v>
      </c>
      <c r="D2597" t="str">
        <f>"4000"</f>
        <v>4000</v>
      </c>
      <c r="E2597" t="s">
        <v>190</v>
      </c>
      <c r="F2597" t="s">
        <v>2068</v>
      </c>
      <c r="G2597" t="s">
        <v>46686</v>
      </c>
      <c r="H2597" t="s">
        <v>47126</v>
      </c>
      <c r="I2597" t="s">
        <v>47127</v>
      </c>
      <c r="J2597" t="s">
        <v>47128</v>
      </c>
      <c r="K2597" t="s">
        <v>47113</v>
      </c>
      <c r="L2597">
        <v>45.77</v>
      </c>
      <c r="M2597">
        <v>110</v>
      </c>
      <c r="N2597">
        <v>0</v>
      </c>
      <c r="O2597">
        <v>110</v>
      </c>
      <c r="P2597">
        <v>0</v>
      </c>
    </row>
    <row r="2598" spans="1:16" x14ac:dyDescent="0.25">
      <c r="A2598" t="s">
        <v>25066</v>
      </c>
      <c r="B2598" t="s">
        <v>3938</v>
      </c>
      <c r="C2598" t="s">
        <v>3939</v>
      </c>
      <c r="D2598" t="s">
        <v>3940</v>
      </c>
      <c r="E2598" t="s">
        <v>3941</v>
      </c>
      <c r="F2598" t="s">
        <v>2068</v>
      </c>
      <c r="G2598" t="s">
        <v>16232</v>
      </c>
      <c r="H2598" t="s">
        <v>47153</v>
      </c>
      <c r="I2598" t="s">
        <v>47132</v>
      </c>
      <c r="J2598" t="s">
        <v>47133</v>
      </c>
      <c r="K2598" t="s">
        <v>47113</v>
      </c>
      <c r="L2598">
        <v>101.88</v>
      </c>
      <c r="M2598">
        <v>160</v>
      </c>
      <c r="N2598">
        <v>0</v>
      </c>
      <c r="O2598">
        <v>160</v>
      </c>
      <c r="P2598">
        <v>0</v>
      </c>
    </row>
    <row r="2599" spans="1:16" x14ac:dyDescent="0.25">
      <c r="A2599" t="s">
        <v>25067</v>
      </c>
      <c r="B2599" t="s">
        <v>3938</v>
      </c>
      <c r="C2599" t="s">
        <v>3939</v>
      </c>
      <c r="D2599" t="s">
        <v>428</v>
      </c>
      <c r="E2599" t="s">
        <v>429</v>
      </c>
      <c r="F2599" t="s">
        <v>2068</v>
      </c>
      <c r="G2599" t="s">
        <v>16232</v>
      </c>
      <c r="H2599" t="s">
        <v>47153</v>
      </c>
      <c r="I2599" t="s">
        <v>47132</v>
      </c>
      <c r="J2599" t="s">
        <v>47133</v>
      </c>
      <c r="K2599" t="s">
        <v>47113</v>
      </c>
      <c r="L2599">
        <v>101.88</v>
      </c>
      <c r="M2599">
        <v>160</v>
      </c>
      <c r="N2599">
        <v>0</v>
      </c>
      <c r="O2599">
        <v>160</v>
      </c>
      <c r="P2599">
        <v>0</v>
      </c>
    </row>
    <row r="2600" spans="1:16" x14ac:dyDescent="0.25">
      <c r="A2600" t="s">
        <v>25068</v>
      </c>
      <c r="B2600" t="s">
        <v>3942</v>
      </c>
      <c r="C2600" t="s">
        <v>3943</v>
      </c>
      <c r="D2600" t="s">
        <v>3944</v>
      </c>
      <c r="E2600" t="s">
        <v>3945</v>
      </c>
      <c r="F2600" t="s">
        <v>2068</v>
      </c>
      <c r="G2600" t="s">
        <v>46686</v>
      </c>
      <c r="H2600" t="s">
        <v>47153</v>
      </c>
      <c r="I2600" t="s">
        <v>47132</v>
      </c>
      <c r="J2600" t="s">
        <v>47133</v>
      </c>
      <c r="K2600" t="s">
        <v>47113</v>
      </c>
      <c r="L2600">
        <v>65.16</v>
      </c>
      <c r="M2600">
        <v>105</v>
      </c>
      <c r="N2600">
        <v>0</v>
      </c>
      <c r="O2600">
        <v>105</v>
      </c>
      <c r="P2600">
        <v>0</v>
      </c>
    </row>
    <row r="2601" spans="1:16" x14ac:dyDescent="0.25">
      <c r="A2601" t="s">
        <v>25069</v>
      </c>
      <c r="B2601" t="s">
        <v>3942</v>
      </c>
      <c r="C2601" t="s">
        <v>3943</v>
      </c>
      <c r="D2601" t="s">
        <v>3946</v>
      </c>
      <c r="E2601" t="s">
        <v>3947</v>
      </c>
      <c r="F2601" t="s">
        <v>2068</v>
      </c>
      <c r="G2601" t="s">
        <v>46686</v>
      </c>
      <c r="H2601" t="s">
        <v>47153</v>
      </c>
      <c r="I2601" t="s">
        <v>47132</v>
      </c>
      <c r="J2601" t="s">
        <v>47133</v>
      </c>
      <c r="K2601" t="s">
        <v>47113</v>
      </c>
      <c r="L2601">
        <v>65.16</v>
      </c>
      <c r="M2601">
        <v>105</v>
      </c>
      <c r="N2601">
        <v>0</v>
      </c>
      <c r="O2601">
        <v>105</v>
      </c>
      <c r="P2601">
        <v>0</v>
      </c>
    </row>
    <row r="2602" spans="1:16" x14ac:dyDescent="0.25">
      <c r="A2602" t="s">
        <v>25070</v>
      </c>
      <c r="B2602" t="s">
        <v>3942</v>
      </c>
      <c r="C2602" t="s">
        <v>3943</v>
      </c>
      <c r="D2602" t="s">
        <v>3948</v>
      </c>
      <c r="E2602" t="s">
        <v>3949</v>
      </c>
      <c r="F2602" t="s">
        <v>2068</v>
      </c>
      <c r="G2602" t="s">
        <v>46686</v>
      </c>
      <c r="H2602" t="s">
        <v>47153</v>
      </c>
      <c r="I2602" t="s">
        <v>47132</v>
      </c>
      <c r="J2602" t="s">
        <v>47133</v>
      </c>
      <c r="K2602" t="s">
        <v>47113</v>
      </c>
      <c r="L2602">
        <v>65.16</v>
      </c>
      <c r="M2602">
        <v>105</v>
      </c>
      <c r="N2602">
        <v>0</v>
      </c>
      <c r="O2602">
        <v>105</v>
      </c>
      <c r="P2602">
        <v>0</v>
      </c>
    </row>
    <row r="2603" spans="1:16" x14ac:dyDescent="0.25">
      <c r="A2603" t="s">
        <v>25071</v>
      </c>
      <c r="B2603" t="s">
        <v>3950</v>
      </c>
      <c r="C2603" t="s">
        <v>3951</v>
      </c>
      <c r="D2603" t="str">
        <f>"2000"</f>
        <v>2000</v>
      </c>
      <c r="E2603" t="s">
        <v>248</v>
      </c>
      <c r="F2603" t="s">
        <v>2068</v>
      </c>
      <c r="G2603" t="s">
        <v>46686</v>
      </c>
      <c r="H2603" t="s">
        <v>47126</v>
      </c>
      <c r="I2603" t="s">
        <v>47127</v>
      </c>
      <c r="J2603" t="s">
        <v>47128</v>
      </c>
      <c r="K2603" t="s">
        <v>47113</v>
      </c>
      <c r="L2603">
        <v>62.2</v>
      </c>
      <c r="M2603">
        <v>150</v>
      </c>
      <c r="N2603">
        <v>0</v>
      </c>
      <c r="O2603">
        <v>150</v>
      </c>
      <c r="P2603">
        <v>0</v>
      </c>
    </row>
    <row r="2604" spans="1:16" x14ac:dyDescent="0.25">
      <c r="A2604" t="s">
        <v>25072</v>
      </c>
      <c r="B2604" t="s">
        <v>3950</v>
      </c>
      <c r="C2604" t="s">
        <v>3951</v>
      </c>
      <c r="D2604" t="str">
        <f>"4000"</f>
        <v>4000</v>
      </c>
      <c r="E2604" t="s">
        <v>190</v>
      </c>
      <c r="F2604" t="s">
        <v>2068</v>
      </c>
      <c r="G2604" t="s">
        <v>46686</v>
      </c>
      <c r="H2604" t="s">
        <v>47126</v>
      </c>
      <c r="I2604" t="s">
        <v>47127</v>
      </c>
      <c r="J2604" t="s">
        <v>47128</v>
      </c>
      <c r="K2604" t="s">
        <v>47113</v>
      </c>
      <c r="L2604">
        <v>62.2</v>
      </c>
      <c r="M2604">
        <v>150</v>
      </c>
      <c r="N2604">
        <v>0</v>
      </c>
      <c r="O2604">
        <v>150</v>
      </c>
      <c r="P2604">
        <v>0</v>
      </c>
    </row>
    <row r="2605" spans="1:16" x14ac:dyDescent="0.25">
      <c r="A2605" t="s">
        <v>25073</v>
      </c>
      <c r="B2605" t="s">
        <v>3952</v>
      </c>
      <c r="C2605" t="s">
        <v>3953</v>
      </c>
      <c r="D2605" t="s">
        <v>3944</v>
      </c>
      <c r="E2605" t="s">
        <v>3945</v>
      </c>
      <c r="F2605" t="s">
        <v>2068</v>
      </c>
      <c r="G2605" t="s">
        <v>46686</v>
      </c>
      <c r="H2605" t="s">
        <v>47153</v>
      </c>
      <c r="I2605" t="s">
        <v>47132</v>
      </c>
      <c r="J2605" t="s">
        <v>47133</v>
      </c>
      <c r="K2605" t="s">
        <v>47113</v>
      </c>
      <c r="L2605">
        <v>62.78</v>
      </c>
      <c r="M2605">
        <v>105</v>
      </c>
      <c r="N2605">
        <v>0</v>
      </c>
      <c r="O2605">
        <v>105</v>
      </c>
      <c r="P2605">
        <v>0</v>
      </c>
    </row>
    <row r="2606" spans="1:16" x14ac:dyDescent="0.25">
      <c r="A2606" t="s">
        <v>25074</v>
      </c>
      <c r="B2606" t="s">
        <v>3952</v>
      </c>
      <c r="C2606" t="s">
        <v>3953</v>
      </c>
      <c r="D2606" t="s">
        <v>3946</v>
      </c>
      <c r="E2606" t="s">
        <v>3947</v>
      </c>
      <c r="F2606" t="s">
        <v>2068</v>
      </c>
      <c r="G2606" t="s">
        <v>46686</v>
      </c>
      <c r="H2606" t="s">
        <v>47153</v>
      </c>
      <c r="I2606" t="s">
        <v>47132</v>
      </c>
      <c r="J2606" t="s">
        <v>47133</v>
      </c>
      <c r="K2606" t="s">
        <v>47113</v>
      </c>
      <c r="L2606">
        <v>62.78</v>
      </c>
      <c r="M2606">
        <v>105</v>
      </c>
      <c r="N2606">
        <v>0</v>
      </c>
      <c r="O2606">
        <v>105</v>
      </c>
      <c r="P2606">
        <v>0</v>
      </c>
    </row>
    <row r="2607" spans="1:16" x14ac:dyDescent="0.25">
      <c r="A2607" t="s">
        <v>25075</v>
      </c>
      <c r="B2607" t="s">
        <v>3952</v>
      </c>
      <c r="C2607" t="s">
        <v>3953</v>
      </c>
      <c r="D2607" t="s">
        <v>3948</v>
      </c>
      <c r="E2607" t="s">
        <v>3949</v>
      </c>
      <c r="F2607" t="s">
        <v>2068</v>
      </c>
      <c r="G2607" t="s">
        <v>46686</v>
      </c>
      <c r="H2607" t="s">
        <v>47153</v>
      </c>
      <c r="I2607" t="s">
        <v>47132</v>
      </c>
      <c r="J2607" t="s">
        <v>47133</v>
      </c>
      <c r="K2607" t="s">
        <v>47113</v>
      </c>
      <c r="L2607">
        <v>62.78</v>
      </c>
      <c r="M2607">
        <v>105</v>
      </c>
      <c r="N2607">
        <v>0</v>
      </c>
      <c r="O2607">
        <v>105</v>
      </c>
      <c r="P2607">
        <v>0</v>
      </c>
    </row>
    <row r="2608" spans="1:16" x14ac:dyDescent="0.25">
      <c r="A2608" t="s">
        <v>25076</v>
      </c>
      <c r="B2608" t="s">
        <v>3954</v>
      </c>
      <c r="C2608" t="s">
        <v>2270</v>
      </c>
      <c r="D2608" t="str">
        <f>"2000"</f>
        <v>2000</v>
      </c>
      <c r="E2608" t="s">
        <v>248</v>
      </c>
      <c r="F2608" t="s">
        <v>2068</v>
      </c>
      <c r="G2608" t="s">
        <v>46686</v>
      </c>
      <c r="H2608" t="s">
        <v>47126</v>
      </c>
      <c r="I2608" t="s">
        <v>47127</v>
      </c>
      <c r="J2608" t="s">
        <v>47128</v>
      </c>
      <c r="K2608" t="s">
        <v>47113</v>
      </c>
      <c r="L2608">
        <v>43.84</v>
      </c>
      <c r="M2608">
        <v>105</v>
      </c>
      <c r="N2608">
        <v>0</v>
      </c>
      <c r="O2608">
        <v>105</v>
      </c>
      <c r="P2608">
        <v>0</v>
      </c>
    </row>
    <row r="2609" spans="1:16" x14ac:dyDescent="0.25">
      <c r="A2609" t="s">
        <v>25077</v>
      </c>
      <c r="B2609" t="s">
        <v>3954</v>
      </c>
      <c r="C2609" t="s">
        <v>2270</v>
      </c>
      <c r="D2609" t="str">
        <f>"4000"</f>
        <v>4000</v>
      </c>
      <c r="E2609" t="s">
        <v>190</v>
      </c>
      <c r="F2609" t="s">
        <v>2068</v>
      </c>
      <c r="G2609" t="s">
        <v>46686</v>
      </c>
      <c r="H2609" t="s">
        <v>47126</v>
      </c>
      <c r="I2609" t="s">
        <v>47127</v>
      </c>
      <c r="J2609" t="s">
        <v>47128</v>
      </c>
      <c r="K2609" t="s">
        <v>47113</v>
      </c>
      <c r="L2609">
        <v>43.84</v>
      </c>
      <c r="M2609">
        <v>105</v>
      </c>
      <c r="N2609">
        <v>0</v>
      </c>
      <c r="O2609">
        <v>105</v>
      </c>
      <c r="P2609">
        <v>0</v>
      </c>
    </row>
    <row r="2610" spans="1:16" x14ac:dyDescent="0.25">
      <c r="A2610" t="s">
        <v>25078</v>
      </c>
      <c r="B2610" t="s">
        <v>3955</v>
      </c>
      <c r="C2610" t="s">
        <v>3956</v>
      </c>
      <c r="D2610" t="s">
        <v>3944</v>
      </c>
      <c r="E2610" t="s">
        <v>3945</v>
      </c>
      <c r="F2610" t="s">
        <v>2068</v>
      </c>
      <c r="G2610" t="s">
        <v>46686</v>
      </c>
      <c r="H2610" t="s">
        <v>47153</v>
      </c>
      <c r="I2610" t="s">
        <v>47132</v>
      </c>
      <c r="J2610" t="s">
        <v>47133</v>
      </c>
      <c r="K2610" t="s">
        <v>47113</v>
      </c>
      <c r="L2610">
        <v>62.78</v>
      </c>
      <c r="M2610">
        <v>105</v>
      </c>
      <c r="N2610">
        <v>0</v>
      </c>
      <c r="O2610">
        <v>105</v>
      </c>
      <c r="P2610">
        <v>0</v>
      </c>
    </row>
    <row r="2611" spans="1:16" x14ac:dyDescent="0.25">
      <c r="A2611" t="s">
        <v>25079</v>
      </c>
      <c r="B2611" t="s">
        <v>3955</v>
      </c>
      <c r="C2611" t="s">
        <v>3956</v>
      </c>
      <c r="D2611" t="s">
        <v>3946</v>
      </c>
      <c r="E2611" t="s">
        <v>3947</v>
      </c>
      <c r="F2611" t="s">
        <v>2068</v>
      </c>
      <c r="G2611" t="s">
        <v>46686</v>
      </c>
      <c r="H2611" t="s">
        <v>47153</v>
      </c>
      <c r="I2611" t="s">
        <v>47132</v>
      </c>
      <c r="J2611" t="s">
        <v>47133</v>
      </c>
      <c r="K2611" t="s">
        <v>47113</v>
      </c>
      <c r="L2611">
        <v>62.78</v>
      </c>
      <c r="M2611">
        <v>105</v>
      </c>
      <c r="N2611">
        <v>0</v>
      </c>
      <c r="O2611">
        <v>105</v>
      </c>
      <c r="P2611">
        <v>0</v>
      </c>
    </row>
    <row r="2612" spans="1:16" x14ac:dyDescent="0.25">
      <c r="A2612" t="s">
        <v>25080</v>
      </c>
      <c r="B2612" t="s">
        <v>3955</v>
      </c>
      <c r="C2612" t="s">
        <v>3956</v>
      </c>
      <c r="D2612" t="s">
        <v>3948</v>
      </c>
      <c r="E2612" t="s">
        <v>3949</v>
      </c>
      <c r="F2612" t="s">
        <v>2068</v>
      </c>
      <c r="G2612" t="s">
        <v>46686</v>
      </c>
      <c r="H2612" t="s">
        <v>47153</v>
      </c>
      <c r="I2612" t="s">
        <v>47132</v>
      </c>
      <c r="J2612" t="s">
        <v>47133</v>
      </c>
      <c r="K2612" t="s">
        <v>47113</v>
      </c>
      <c r="L2612">
        <v>62.78</v>
      </c>
      <c r="M2612">
        <v>105</v>
      </c>
      <c r="N2612">
        <v>0</v>
      </c>
      <c r="O2612">
        <v>105</v>
      </c>
      <c r="P2612">
        <v>0</v>
      </c>
    </row>
    <row r="2613" spans="1:16" x14ac:dyDescent="0.25">
      <c r="A2613" t="s">
        <v>25081</v>
      </c>
      <c r="B2613" t="s">
        <v>3957</v>
      </c>
      <c r="C2613" t="s">
        <v>3958</v>
      </c>
      <c r="D2613" t="str">
        <f>"1106"</f>
        <v>1106</v>
      </c>
      <c r="E2613" t="s">
        <v>460</v>
      </c>
      <c r="F2613" t="s">
        <v>2068</v>
      </c>
      <c r="G2613" t="s">
        <v>16235</v>
      </c>
      <c r="H2613" t="s">
        <v>47126</v>
      </c>
      <c r="I2613" t="s">
        <v>47127</v>
      </c>
      <c r="J2613" t="s">
        <v>47128</v>
      </c>
      <c r="K2613" t="s">
        <v>47113</v>
      </c>
      <c r="L2613">
        <v>31.62</v>
      </c>
      <c r="M2613">
        <v>78</v>
      </c>
      <c r="N2613">
        <v>0</v>
      </c>
      <c r="O2613">
        <v>78</v>
      </c>
      <c r="P2613">
        <v>0</v>
      </c>
    </row>
    <row r="2614" spans="1:16" x14ac:dyDescent="0.25">
      <c r="A2614" t="s">
        <v>25082</v>
      </c>
      <c r="B2614" t="s">
        <v>3957</v>
      </c>
      <c r="C2614" t="s">
        <v>3958</v>
      </c>
      <c r="D2614" t="str">
        <f>"4000"</f>
        <v>4000</v>
      </c>
      <c r="E2614" t="s">
        <v>190</v>
      </c>
      <c r="F2614" t="s">
        <v>2068</v>
      </c>
      <c r="G2614" t="s">
        <v>16235</v>
      </c>
      <c r="H2614" t="s">
        <v>47126</v>
      </c>
      <c r="I2614" t="s">
        <v>47127</v>
      </c>
      <c r="J2614" t="s">
        <v>47128</v>
      </c>
      <c r="K2614" t="s">
        <v>47113</v>
      </c>
      <c r="L2614">
        <v>31.62</v>
      </c>
      <c r="M2614">
        <v>78</v>
      </c>
      <c r="N2614">
        <v>0</v>
      </c>
      <c r="O2614">
        <v>78</v>
      </c>
      <c r="P2614">
        <v>0</v>
      </c>
    </row>
    <row r="2615" spans="1:16" x14ac:dyDescent="0.25">
      <c r="A2615" t="s">
        <v>25083</v>
      </c>
      <c r="B2615" t="s">
        <v>3957</v>
      </c>
      <c r="C2615" t="s">
        <v>3958</v>
      </c>
      <c r="D2615" t="str">
        <f>"4201"</f>
        <v>4201</v>
      </c>
      <c r="E2615" t="s">
        <v>1855</v>
      </c>
      <c r="F2615" t="s">
        <v>2068</v>
      </c>
      <c r="G2615" t="s">
        <v>16235</v>
      </c>
      <c r="H2615" t="s">
        <v>47126</v>
      </c>
      <c r="I2615" t="s">
        <v>47127</v>
      </c>
      <c r="J2615" t="s">
        <v>47128</v>
      </c>
      <c r="K2615" t="s">
        <v>47113</v>
      </c>
      <c r="L2615">
        <v>31.62</v>
      </c>
      <c r="M2615">
        <v>78</v>
      </c>
      <c r="N2615">
        <v>0</v>
      </c>
      <c r="O2615">
        <v>78</v>
      </c>
      <c r="P2615">
        <v>0</v>
      </c>
    </row>
    <row r="2616" spans="1:16" x14ac:dyDescent="0.25">
      <c r="A2616" t="s">
        <v>25084</v>
      </c>
      <c r="B2616" t="s">
        <v>3957</v>
      </c>
      <c r="C2616" t="s">
        <v>3958</v>
      </c>
      <c r="D2616" t="str">
        <f>"4753"</f>
        <v>4753</v>
      </c>
      <c r="E2616" t="s">
        <v>3755</v>
      </c>
      <c r="F2616" t="s">
        <v>2068</v>
      </c>
      <c r="G2616" t="s">
        <v>16235</v>
      </c>
      <c r="H2616" t="s">
        <v>47126</v>
      </c>
      <c r="I2616" t="s">
        <v>47127</v>
      </c>
      <c r="J2616" t="s">
        <v>47128</v>
      </c>
      <c r="K2616" t="s">
        <v>47113</v>
      </c>
      <c r="L2616">
        <v>31.62</v>
      </c>
      <c r="M2616">
        <v>78</v>
      </c>
      <c r="N2616">
        <v>0</v>
      </c>
      <c r="O2616">
        <v>78</v>
      </c>
      <c r="P2616">
        <v>0</v>
      </c>
    </row>
    <row r="2617" spans="1:16" x14ac:dyDescent="0.25">
      <c r="A2617" t="s">
        <v>25085</v>
      </c>
      <c r="B2617" t="s">
        <v>3959</v>
      </c>
      <c r="C2617" t="s">
        <v>3958</v>
      </c>
      <c r="D2617" t="str">
        <f>"1106"</f>
        <v>1106</v>
      </c>
      <c r="E2617" t="s">
        <v>460</v>
      </c>
      <c r="F2617" t="s">
        <v>2068</v>
      </c>
      <c r="G2617" t="s">
        <v>46686</v>
      </c>
      <c r="H2617" t="s">
        <v>47126</v>
      </c>
      <c r="I2617" t="s">
        <v>47127</v>
      </c>
      <c r="J2617" t="s">
        <v>47128</v>
      </c>
      <c r="K2617" t="s">
        <v>47113</v>
      </c>
      <c r="L2617">
        <v>31.64</v>
      </c>
      <c r="M2617">
        <v>78</v>
      </c>
      <c r="N2617">
        <v>0</v>
      </c>
      <c r="O2617">
        <v>78</v>
      </c>
      <c r="P2617">
        <v>0</v>
      </c>
    </row>
    <row r="2618" spans="1:16" x14ac:dyDescent="0.25">
      <c r="A2618" t="s">
        <v>25086</v>
      </c>
      <c r="B2618" t="s">
        <v>3959</v>
      </c>
      <c r="C2618" t="s">
        <v>3958</v>
      </c>
      <c r="D2618" t="str">
        <f>"4000"</f>
        <v>4000</v>
      </c>
      <c r="E2618" t="s">
        <v>190</v>
      </c>
      <c r="F2618" t="s">
        <v>2068</v>
      </c>
      <c r="G2618" t="s">
        <v>46686</v>
      </c>
      <c r="H2618" t="s">
        <v>47126</v>
      </c>
      <c r="I2618" t="s">
        <v>47127</v>
      </c>
      <c r="J2618" t="s">
        <v>47128</v>
      </c>
      <c r="K2618" t="s">
        <v>47113</v>
      </c>
      <c r="L2618">
        <v>31.64</v>
      </c>
      <c r="M2618">
        <v>78</v>
      </c>
      <c r="N2618">
        <v>0</v>
      </c>
      <c r="O2618">
        <v>78</v>
      </c>
      <c r="P2618">
        <v>0</v>
      </c>
    </row>
    <row r="2619" spans="1:16" x14ac:dyDescent="0.25">
      <c r="A2619" t="s">
        <v>25087</v>
      </c>
      <c r="B2619" t="s">
        <v>3959</v>
      </c>
      <c r="C2619" t="s">
        <v>3958</v>
      </c>
      <c r="D2619" t="str">
        <f>"4201"</f>
        <v>4201</v>
      </c>
      <c r="E2619" t="s">
        <v>1855</v>
      </c>
      <c r="F2619" t="s">
        <v>2068</v>
      </c>
      <c r="G2619" t="s">
        <v>46686</v>
      </c>
      <c r="H2619" t="s">
        <v>47126</v>
      </c>
      <c r="I2619" t="s">
        <v>47127</v>
      </c>
      <c r="J2619" t="s">
        <v>47128</v>
      </c>
      <c r="K2619" t="s">
        <v>47113</v>
      </c>
      <c r="L2619">
        <v>31.64</v>
      </c>
      <c r="M2619">
        <v>78</v>
      </c>
      <c r="N2619">
        <v>0</v>
      </c>
      <c r="O2619">
        <v>78</v>
      </c>
      <c r="P2619">
        <v>0</v>
      </c>
    </row>
    <row r="2620" spans="1:16" x14ac:dyDescent="0.25">
      <c r="A2620" t="s">
        <v>25088</v>
      </c>
      <c r="B2620" t="s">
        <v>3959</v>
      </c>
      <c r="C2620" t="s">
        <v>3958</v>
      </c>
      <c r="D2620" t="str">
        <f>"4753"</f>
        <v>4753</v>
      </c>
      <c r="E2620" t="s">
        <v>3755</v>
      </c>
      <c r="F2620" t="s">
        <v>2068</v>
      </c>
      <c r="G2620" t="s">
        <v>46686</v>
      </c>
      <c r="H2620" t="s">
        <v>47126</v>
      </c>
      <c r="I2620" t="s">
        <v>47127</v>
      </c>
      <c r="J2620" t="s">
        <v>47128</v>
      </c>
      <c r="K2620" t="s">
        <v>47113</v>
      </c>
      <c r="L2620">
        <v>31.64</v>
      </c>
      <c r="M2620">
        <v>78</v>
      </c>
      <c r="N2620">
        <v>0</v>
      </c>
      <c r="O2620">
        <v>78</v>
      </c>
      <c r="P2620">
        <v>0</v>
      </c>
    </row>
    <row r="2621" spans="1:16" x14ac:dyDescent="0.25">
      <c r="A2621" t="s">
        <v>25089</v>
      </c>
      <c r="B2621" t="s">
        <v>3960</v>
      </c>
      <c r="C2621" t="s">
        <v>3961</v>
      </c>
      <c r="D2621" t="str">
        <f>"1001"</f>
        <v>1001</v>
      </c>
      <c r="E2621" t="s">
        <v>3850</v>
      </c>
      <c r="F2621" t="s">
        <v>2068</v>
      </c>
      <c r="G2621" t="s">
        <v>16224</v>
      </c>
      <c r="H2621" t="s">
        <v>47126</v>
      </c>
      <c r="I2621" t="s">
        <v>47120</v>
      </c>
      <c r="J2621" t="s">
        <v>47121</v>
      </c>
      <c r="K2621" t="s">
        <v>47113</v>
      </c>
      <c r="L2621">
        <v>155.88</v>
      </c>
      <c r="M2621">
        <v>376</v>
      </c>
      <c r="N2621">
        <v>0</v>
      </c>
      <c r="O2621">
        <v>376</v>
      </c>
      <c r="P2621">
        <v>0</v>
      </c>
    </row>
    <row r="2622" spans="1:16" x14ac:dyDescent="0.25">
      <c r="A2622" t="s">
        <v>25090</v>
      </c>
      <c r="B2622" t="s">
        <v>3960</v>
      </c>
      <c r="C2622" t="s">
        <v>3961</v>
      </c>
      <c r="D2622" t="str">
        <f>"3532"</f>
        <v>3532</v>
      </c>
      <c r="E2622" t="s">
        <v>3962</v>
      </c>
      <c r="F2622" t="s">
        <v>2068</v>
      </c>
      <c r="G2622" t="s">
        <v>16224</v>
      </c>
      <c r="H2622" t="s">
        <v>47126</v>
      </c>
      <c r="I2622" t="s">
        <v>47120</v>
      </c>
      <c r="J2622" t="s">
        <v>47121</v>
      </c>
      <c r="K2622" t="s">
        <v>47113</v>
      </c>
      <c r="L2622">
        <v>155.88</v>
      </c>
      <c r="M2622">
        <v>376</v>
      </c>
      <c r="N2622">
        <v>0</v>
      </c>
      <c r="O2622">
        <v>376</v>
      </c>
      <c r="P2622">
        <v>0</v>
      </c>
    </row>
    <row r="2623" spans="1:16" x14ac:dyDescent="0.25">
      <c r="A2623" t="s">
        <v>25091</v>
      </c>
      <c r="B2623" t="s">
        <v>3960</v>
      </c>
      <c r="C2623" t="s">
        <v>3961</v>
      </c>
      <c r="D2623" t="str">
        <f>"4884"</f>
        <v>4884</v>
      </c>
      <c r="E2623" t="s">
        <v>3963</v>
      </c>
      <c r="F2623" t="s">
        <v>2068</v>
      </c>
      <c r="G2623" t="s">
        <v>16224</v>
      </c>
      <c r="H2623" t="s">
        <v>47126</v>
      </c>
      <c r="I2623" t="s">
        <v>47120</v>
      </c>
      <c r="J2623" t="s">
        <v>47121</v>
      </c>
      <c r="K2623" t="s">
        <v>47113</v>
      </c>
      <c r="L2623">
        <v>155.88</v>
      </c>
      <c r="M2623">
        <v>376</v>
      </c>
      <c r="N2623">
        <v>0</v>
      </c>
      <c r="O2623">
        <v>376</v>
      </c>
      <c r="P2623">
        <v>0</v>
      </c>
    </row>
    <row r="2624" spans="1:16" x14ac:dyDescent="0.25">
      <c r="A2624" t="s">
        <v>25092</v>
      </c>
      <c r="B2624" t="s">
        <v>3964</v>
      </c>
      <c r="C2624" t="s">
        <v>3965</v>
      </c>
      <c r="D2624" t="str">
        <f>"1001"</f>
        <v>1001</v>
      </c>
      <c r="E2624" t="s">
        <v>3966</v>
      </c>
      <c r="F2624" t="s">
        <v>2068</v>
      </c>
      <c r="G2624" t="s">
        <v>16224</v>
      </c>
      <c r="H2624" t="s">
        <v>47126</v>
      </c>
      <c r="I2624" t="s">
        <v>47120</v>
      </c>
      <c r="J2624" t="s">
        <v>47121</v>
      </c>
      <c r="K2624" t="s">
        <v>47113</v>
      </c>
      <c r="L2624">
        <v>154.97</v>
      </c>
      <c r="M2624">
        <v>374</v>
      </c>
      <c r="N2624">
        <v>0</v>
      </c>
      <c r="O2624">
        <v>374</v>
      </c>
      <c r="P2624">
        <v>0</v>
      </c>
    </row>
    <row r="2625" spans="1:16" x14ac:dyDescent="0.25">
      <c r="A2625" t="s">
        <v>25093</v>
      </c>
      <c r="B2625" t="s">
        <v>3967</v>
      </c>
      <c r="C2625" t="s">
        <v>3968</v>
      </c>
      <c r="D2625" t="str">
        <f>"1001"</f>
        <v>1001</v>
      </c>
      <c r="E2625" t="s">
        <v>3966</v>
      </c>
      <c r="F2625" t="s">
        <v>2068</v>
      </c>
      <c r="G2625" t="s">
        <v>16224</v>
      </c>
      <c r="H2625" t="s">
        <v>47126</v>
      </c>
      <c r="I2625" t="s">
        <v>47120</v>
      </c>
      <c r="J2625" t="s">
        <v>47121</v>
      </c>
      <c r="K2625" t="s">
        <v>47113</v>
      </c>
      <c r="L2625">
        <v>152.22999999999999</v>
      </c>
      <c r="M2625">
        <v>369</v>
      </c>
      <c r="N2625">
        <v>0</v>
      </c>
      <c r="O2625">
        <v>369</v>
      </c>
      <c r="P2625">
        <v>0</v>
      </c>
    </row>
    <row r="2626" spans="1:16" x14ac:dyDescent="0.25">
      <c r="A2626" t="s">
        <v>25094</v>
      </c>
      <c r="B2626" t="s">
        <v>3969</v>
      </c>
      <c r="C2626" t="s">
        <v>3970</v>
      </c>
      <c r="D2626" t="str">
        <f>"1001"</f>
        <v>1001</v>
      </c>
      <c r="E2626" t="s">
        <v>3966</v>
      </c>
      <c r="F2626" t="s">
        <v>2068</v>
      </c>
      <c r="G2626" t="s">
        <v>16224</v>
      </c>
      <c r="H2626" t="s">
        <v>47126</v>
      </c>
      <c r="I2626" t="s">
        <v>47120</v>
      </c>
      <c r="J2626" t="s">
        <v>47121</v>
      </c>
      <c r="K2626" t="s">
        <v>47113</v>
      </c>
      <c r="L2626">
        <v>164.08</v>
      </c>
      <c r="M2626">
        <v>396</v>
      </c>
      <c r="N2626">
        <v>0</v>
      </c>
      <c r="O2626">
        <v>396</v>
      </c>
      <c r="P2626">
        <v>0</v>
      </c>
    </row>
    <row r="2627" spans="1:16" x14ac:dyDescent="0.25">
      <c r="A2627" t="s">
        <v>25095</v>
      </c>
      <c r="B2627" t="s">
        <v>3969</v>
      </c>
      <c r="C2627" t="s">
        <v>3970</v>
      </c>
      <c r="D2627" t="str">
        <f>"3270"</f>
        <v>3270</v>
      </c>
      <c r="E2627" t="s">
        <v>3851</v>
      </c>
      <c r="F2627" t="s">
        <v>2068</v>
      </c>
      <c r="G2627" t="s">
        <v>16224</v>
      </c>
      <c r="H2627" t="s">
        <v>47126</v>
      </c>
      <c r="I2627" t="s">
        <v>47120</v>
      </c>
      <c r="J2627" t="s">
        <v>47121</v>
      </c>
      <c r="K2627" t="s">
        <v>47113</v>
      </c>
      <c r="L2627">
        <v>164.08</v>
      </c>
      <c r="M2627">
        <v>396</v>
      </c>
      <c r="N2627">
        <v>0</v>
      </c>
      <c r="O2627">
        <v>396</v>
      </c>
      <c r="P2627">
        <v>0</v>
      </c>
    </row>
    <row r="2628" spans="1:16" x14ac:dyDescent="0.25">
      <c r="A2628" t="s">
        <v>14879</v>
      </c>
      <c r="B2628" t="s">
        <v>3971</v>
      </c>
      <c r="C2628" t="s">
        <v>3968</v>
      </c>
      <c r="D2628" t="str">
        <f>"1001"</f>
        <v>1001</v>
      </c>
      <c r="E2628" t="s">
        <v>3966</v>
      </c>
      <c r="F2628" t="s">
        <v>2068</v>
      </c>
      <c r="G2628" t="s">
        <v>16224</v>
      </c>
      <c r="H2628" t="s">
        <v>47126</v>
      </c>
      <c r="I2628" t="s">
        <v>47120</v>
      </c>
      <c r="J2628" t="s">
        <v>47121</v>
      </c>
      <c r="K2628" t="s">
        <v>47113</v>
      </c>
      <c r="L2628">
        <v>164.08</v>
      </c>
      <c r="M2628">
        <v>396</v>
      </c>
      <c r="N2628">
        <v>0</v>
      </c>
      <c r="O2628">
        <v>396</v>
      </c>
      <c r="P2628">
        <v>0</v>
      </c>
    </row>
    <row r="2629" spans="1:16" x14ac:dyDescent="0.25">
      <c r="A2629" t="s">
        <v>25096</v>
      </c>
      <c r="B2629" t="s">
        <v>3971</v>
      </c>
      <c r="C2629" t="s">
        <v>3968</v>
      </c>
      <c r="D2629" t="str">
        <f>"1118"</f>
        <v>1118</v>
      </c>
      <c r="E2629" t="s">
        <v>3972</v>
      </c>
      <c r="F2629" t="s">
        <v>2068</v>
      </c>
      <c r="G2629" t="s">
        <v>16224</v>
      </c>
      <c r="H2629" t="s">
        <v>47126</v>
      </c>
      <c r="I2629" t="s">
        <v>47120</v>
      </c>
      <c r="J2629" t="s">
        <v>47121</v>
      </c>
      <c r="K2629" t="s">
        <v>47113</v>
      </c>
      <c r="L2629">
        <v>164.08</v>
      </c>
      <c r="M2629">
        <v>396</v>
      </c>
      <c r="N2629">
        <v>0</v>
      </c>
      <c r="O2629">
        <v>396</v>
      </c>
      <c r="P2629">
        <v>0</v>
      </c>
    </row>
    <row r="2630" spans="1:16" x14ac:dyDescent="0.25">
      <c r="A2630" t="s">
        <v>25097</v>
      </c>
      <c r="B2630" t="s">
        <v>3971</v>
      </c>
      <c r="C2630" t="s">
        <v>3968</v>
      </c>
      <c r="D2630" t="str">
        <f>"3270"</f>
        <v>3270</v>
      </c>
      <c r="E2630" t="s">
        <v>3851</v>
      </c>
      <c r="F2630" t="s">
        <v>2068</v>
      </c>
      <c r="G2630" t="s">
        <v>16224</v>
      </c>
      <c r="H2630" t="s">
        <v>47126</v>
      </c>
      <c r="I2630" t="s">
        <v>47120</v>
      </c>
      <c r="J2630" t="s">
        <v>47121</v>
      </c>
      <c r="K2630" t="s">
        <v>47113</v>
      </c>
      <c r="L2630">
        <v>164.08</v>
      </c>
      <c r="M2630">
        <v>396</v>
      </c>
      <c r="N2630">
        <v>0</v>
      </c>
      <c r="O2630">
        <v>396</v>
      </c>
      <c r="P2630">
        <v>0</v>
      </c>
    </row>
    <row r="2631" spans="1:16" x14ac:dyDescent="0.25">
      <c r="A2631" t="s">
        <v>25098</v>
      </c>
      <c r="B2631" t="s">
        <v>3973</v>
      </c>
      <c r="C2631" t="s">
        <v>3974</v>
      </c>
      <c r="D2631" t="str">
        <f>"1200"</f>
        <v>1200</v>
      </c>
      <c r="E2631" t="s">
        <v>241</v>
      </c>
      <c r="F2631" t="s">
        <v>2068</v>
      </c>
      <c r="G2631" t="s">
        <v>16224</v>
      </c>
      <c r="H2631" t="s">
        <v>47126</v>
      </c>
      <c r="I2631" t="s">
        <v>47139</v>
      </c>
      <c r="J2631" t="s">
        <v>47140</v>
      </c>
      <c r="K2631" t="s">
        <v>47113</v>
      </c>
      <c r="L2631">
        <v>127.03</v>
      </c>
      <c r="M2631">
        <v>281</v>
      </c>
      <c r="N2631">
        <v>0</v>
      </c>
      <c r="O2631">
        <v>281</v>
      </c>
      <c r="P2631">
        <v>0</v>
      </c>
    </row>
    <row r="2632" spans="1:16" x14ac:dyDescent="0.25">
      <c r="A2632" t="s">
        <v>25099</v>
      </c>
      <c r="B2632" t="s">
        <v>3973</v>
      </c>
      <c r="C2632" t="s">
        <v>3974</v>
      </c>
      <c r="D2632" t="str">
        <f>"4000"</f>
        <v>4000</v>
      </c>
      <c r="E2632" t="s">
        <v>190</v>
      </c>
      <c r="F2632" t="s">
        <v>2068</v>
      </c>
      <c r="G2632" t="s">
        <v>16224</v>
      </c>
      <c r="H2632" t="s">
        <v>47126</v>
      </c>
      <c r="I2632" t="s">
        <v>47139</v>
      </c>
      <c r="J2632" t="s">
        <v>47140</v>
      </c>
      <c r="K2632" t="s">
        <v>47113</v>
      </c>
      <c r="L2632">
        <v>127.03</v>
      </c>
      <c r="M2632">
        <v>281</v>
      </c>
      <c r="N2632">
        <v>0</v>
      </c>
      <c r="O2632">
        <v>281</v>
      </c>
      <c r="P2632">
        <v>0</v>
      </c>
    </row>
    <row r="2633" spans="1:16" x14ac:dyDescent="0.25">
      <c r="A2633" t="s">
        <v>25100</v>
      </c>
      <c r="B2633" t="s">
        <v>3973</v>
      </c>
      <c r="C2633" t="s">
        <v>3974</v>
      </c>
      <c r="D2633" t="str">
        <f>"4883"</f>
        <v>4883</v>
      </c>
      <c r="E2633" t="s">
        <v>3975</v>
      </c>
      <c r="F2633" t="s">
        <v>2068</v>
      </c>
      <c r="G2633" t="s">
        <v>16224</v>
      </c>
      <c r="H2633" t="s">
        <v>47126</v>
      </c>
      <c r="I2633" t="s">
        <v>47139</v>
      </c>
      <c r="J2633" t="s">
        <v>47140</v>
      </c>
      <c r="K2633" t="s">
        <v>47113</v>
      </c>
      <c r="L2633">
        <v>127.03</v>
      </c>
      <c r="M2633">
        <v>281</v>
      </c>
      <c r="N2633">
        <v>0</v>
      </c>
      <c r="O2633">
        <v>281</v>
      </c>
      <c r="P2633">
        <v>0</v>
      </c>
    </row>
    <row r="2634" spans="1:16" x14ac:dyDescent="0.25">
      <c r="A2634" t="s">
        <v>25101</v>
      </c>
      <c r="B2634" t="s">
        <v>3976</v>
      </c>
      <c r="C2634" t="s">
        <v>3977</v>
      </c>
      <c r="D2634" t="str">
        <f>"1001"</f>
        <v>1001</v>
      </c>
      <c r="E2634" t="s">
        <v>42</v>
      </c>
      <c r="F2634" t="s">
        <v>3750</v>
      </c>
      <c r="G2634" t="s">
        <v>16224</v>
      </c>
      <c r="H2634" t="s">
        <v>47126</v>
      </c>
      <c r="I2634" t="s">
        <v>47120</v>
      </c>
      <c r="J2634" t="s">
        <v>47121</v>
      </c>
      <c r="K2634" t="s">
        <v>47113</v>
      </c>
      <c r="L2634">
        <v>135.09</v>
      </c>
      <c r="M2634">
        <v>401</v>
      </c>
      <c r="N2634">
        <v>0</v>
      </c>
      <c r="O2634">
        <v>401</v>
      </c>
      <c r="P2634">
        <v>0</v>
      </c>
    </row>
    <row r="2635" spans="1:16" x14ac:dyDescent="0.25">
      <c r="A2635" t="s">
        <v>25102</v>
      </c>
      <c r="B2635" t="s">
        <v>3978</v>
      </c>
      <c r="C2635" t="s">
        <v>3979</v>
      </c>
      <c r="D2635" t="str">
        <f>"1001"</f>
        <v>1001</v>
      </c>
      <c r="E2635" t="s">
        <v>3966</v>
      </c>
      <c r="F2635" t="s">
        <v>2068</v>
      </c>
      <c r="G2635" t="s">
        <v>16224</v>
      </c>
      <c r="H2635" t="s">
        <v>47126</v>
      </c>
      <c r="I2635" t="s">
        <v>47120</v>
      </c>
      <c r="J2635" t="s">
        <v>47121</v>
      </c>
      <c r="K2635" t="s">
        <v>47113</v>
      </c>
      <c r="L2635">
        <v>100.27</v>
      </c>
      <c r="M2635">
        <v>243</v>
      </c>
      <c r="N2635">
        <v>0</v>
      </c>
      <c r="O2635">
        <v>243</v>
      </c>
      <c r="P2635">
        <v>0</v>
      </c>
    </row>
    <row r="2636" spans="1:16" x14ac:dyDescent="0.25">
      <c r="A2636" t="s">
        <v>25103</v>
      </c>
      <c r="B2636" t="s">
        <v>3978</v>
      </c>
      <c r="C2636" t="s">
        <v>3979</v>
      </c>
      <c r="D2636" t="str">
        <f>"1478"</f>
        <v>1478</v>
      </c>
      <c r="E2636" t="s">
        <v>3980</v>
      </c>
      <c r="F2636" t="s">
        <v>2068</v>
      </c>
      <c r="G2636" t="s">
        <v>16224</v>
      </c>
      <c r="H2636" t="s">
        <v>47126</v>
      </c>
      <c r="I2636" t="s">
        <v>47120</v>
      </c>
      <c r="J2636" t="s">
        <v>47121</v>
      </c>
      <c r="K2636" t="s">
        <v>47113</v>
      </c>
      <c r="L2636">
        <v>100.27</v>
      </c>
      <c r="M2636">
        <v>243</v>
      </c>
      <c r="N2636">
        <v>0</v>
      </c>
      <c r="O2636">
        <v>243</v>
      </c>
      <c r="P2636">
        <v>0</v>
      </c>
    </row>
    <row r="2637" spans="1:16" x14ac:dyDescent="0.25">
      <c r="A2637" t="s">
        <v>25104</v>
      </c>
      <c r="B2637" t="s">
        <v>3978</v>
      </c>
      <c r="C2637" t="s">
        <v>3979</v>
      </c>
      <c r="D2637" t="str">
        <f>"4883"</f>
        <v>4883</v>
      </c>
      <c r="E2637" t="s">
        <v>3975</v>
      </c>
      <c r="F2637" t="s">
        <v>2068</v>
      </c>
      <c r="G2637" t="s">
        <v>16224</v>
      </c>
      <c r="H2637" t="s">
        <v>47126</v>
      </c>
      <c r="I2637" t="s">
        <v>47120</v>
      </c>
      <c r="J2637" t="s">
        <v>47121</v>
      </c>
      <c r="K2637" t="s">
        <v>47113</v>
      </c>
      <c r="L2637">
        <v>100.27</v>
      </c>
      <c r="M2637">
        <v>243</v>
      </c>
      <c r="N2637">
        <v>0</v>
      </c>
      <c r="O2637">
        <v>243</v>
      </c>
      <c r="P2637">
        <v>0</v>
      </c>
    </row>
    <row r="2638" spans="1:16" x14ac:dyDescent="0.25">
      <c r="A2638" t="s">
        <v>25105</v>
      </c>
      <c r="B2638" t="s">
        <v>3978</v>
      </c>
      <c r="C2638" t="s">
        <v>3979</v>
      </c>
      <c r="D2638" t="str">
        <f>"5155"</f>
        <v>5155</v>
      </c>
      <c r="E2638" t="s">
        <v>3981</v>
      </c>
      <c r="F2638" t="s">
        <v>2068</v>
      </c>
      <c r="G2638" t="s">
        <v>16224</v>
      </c>
      <c r="H2638" t="s">
        <v>47126</v>
      </c>
      <c r="I2638" t="s">
        <v>47120</v>
      </c>
      <c r="J2638" t="s">
        <v>47121</v>
      </c>
      <c r="K2638" t="s">
        <v>47113</v>
      </c>
      <c r="L2638">
        <v>100.27</v>
      </c>
      <c r="M2638">
        <v>243</v>
      </c>
      <c r="N2638">
        <v>0</v>
      </c>
      <c r="O2638">
        <v>243</v>
      </c>
      <c r="P2638">
        <v>0</v>
      </c>
    </row>
    <row r="2639" spans="1:16" x14ac:dyDescent="0.25">
      <c r="A2639" t="s">
        <v>14880</v>
      </c>
      <c r="B2639" t="s">
        <v>3982</v>
      </c>
      <c r="C2639" t="s">
        <v>3983</v>
      </c>
      <c r="D2639" t="str">
        <f>"1001"</f>
        <v>1001</v>
      </c>
      <c r="E2639" t="s">
        <v>3966</v>
      </c>
      <c r="F2639" t="s">
        <v>2068</v>
      </c>
      <c r="G2639" t="s">
        <v>16224</v>
      </c>
      <c r="H2639" t="s">
        <v>47126</v>
      </c>
      <c r="I2639" t="s">
        <v>47120</v>
      </c>
      <c r="J2639" t="s">
        <v>47121</v>
      </c>
      <c r="K2639" t="s">
        <v>47113</v>
      </c>
      <c r="L2639">
        <v>77.48</v>
      </c>
      <c r="M2639">
        <v>187</v>
      </c>
      <c r="N2639">
        <v>0</v>
      </c>
      <c r="O2639">
        <v>187</v>
      </c>
      <c r="P2639">
        <v>0</v>
      </c>
    </row>
    <row r="2640" spans="1:16" x14ac:dyDescent="0.25">
      <c r="A2640" t="s">
        <v>14881</v>
      </c>
      <c r="B2640" t="s">
        <v>3982</v>
      </c>
      <c r="C2640" t="s">
        <v>3983</v>
      </c>
      <c r="D2640" t="str">
        <f>"1478"</f>
        <v>1478</v>
      </c>
      <c r="E2640" t="s">
        <v>3980</v>
      </c>
      <c r="F2640" t="s">
        <v>2068</v>
      </c>
      <c r="G2640" t="s">
        <v>16224</v>
      </c>
      <c r="H2640" t="s">
        <v>47126</v>
      </c>
      <c r="I2640" t="s">
        <v>47120</v>
      </c>
      <c r="J2640" t="s">
        <v>47121</v>
      </c>
      <c r="K2640" t="s">
        <v>47113</v>
      </c>
      <c r="L2640">
        <v>77.48</v>
      </c>
      <c r="M2640">
        <v>187</v>
      </c>
      <c r="N2640">
        <v>0</v>
      </c>
      <c r="O2640">
        <v>187</v>
      </c>
      <c r="P2640">
        <v>0</v>
      </c>
    </row>
    <row r="2641" spans="1:16" x14ac:dyDescent="0.25">
      <c r="A2641" t="s">
        <v>14882</v>
      </c>
      <c r="B2641" t="s">
        <v>3982</v>
      </c>
      <c r="C2641" t="s">
        <v>3983</v>
      </c>
      <c r="D2641" t="str">
        <f>"4883"</f>
        <v>4883</v>
      </c>
      <c r="E2641" t="s">
        <v>3975</v>
      </c>
      <c r="F2641" t="s">
        <v>2068</v>
      </c>
      <c r="G2641" t="s">
        <v>16224</v>
      </c>
      <c r="H2641" t="s">
        <v>47126</v>
      </c>
      <c r="I2641" t="s">
        <v>47120</v>
      </c>
      <c r="J2641" t="s">
        <v>47121</v>
      </c>
      <c r="K2641" t="s">
        <v>47113</v>
      </c>
      <c r="L2641">
        <v>77.48</v>
      </c>
      <c r="M2641">
        <v>187</v>
      </c>
      <c r="N2641">
        <v>0</v>
      </c>
      <c r="O2641">
        <v>187</v>
      </c>
      <c r="P2641">
        <v>0</v>
      </c>
    </row>
    <row r="2642" spans="1:16" x14ac:dyDescent="0.25">
      <c r="A2642" t="s">
        <v>25106</v>
      </c>
      <c r="B2642" t="s">
        <v>3982</v>
      </c>
      <c r="C2642" t="s">
        <v>3983</v>
      </c>
      <c r="D2642" t="str">
        <f>"5155"</f>
        <v>5155</v>
      </c>
      <c r="E2642" t="s">
        <v>3981</v>
      </c>
      <c r="F2642" t="s">
        <v>2068</v>
      </c>
      <c r="G2642" t="s">
        <v>16224</v>
      </c>
      <c r="H2642" t="s">
        <v>47126</v>
      </c>
      <c r="I2642" t="s">
        <v>47120</v>
      </c>
      <c r="J2642" t="s">
        <v>47121</v>
      </c>
      <c r="K2642" t="s">
        <v>47113</v>
      </c>
      <c r="L2642">
        <v>77.48</v>
      </c>
      <c r="M2642">
        <v>187</v>
      </c>
      <c r="N2642">
        <v>0</v>
      </c>
      <c r="O2642">
        <v>187</v>
      </c>
      <c r="P2642">
        <v>0</v>
      </c>
    </row>
    <row r="2643" spans="1:16" x14ac:dyDescent="0.25">
      <c r="A2643" t="s">
        <v>25107</v>
      </c>
      <c r="B2643" t="s">
        <v>3984</v>
      </c>
      <c r="C2643" t="s">
        <v>3985</v>
      </c>
      <c r="D2643" t="str">
        <f>"1001"</f>
        <v>1001</v>
      </c>
      <c r="E2643" t="s">
        <v>42</v>
      </c>
      <c r="F2643" t="s">
        <v>3750</v>
      </c>
      <c r="G2643" t="s">
        <v>16224</v>
      </c>
      <c r="H2643" t="s">
        <v>47126</v>
      </c>
      <c r="I2643" t="s">
        <v>47127</v>
      </c>
      <c r="J2643" t="s">
        <v>47128</v>
      </c>
      <c r="K2643" t="s">
        <v>47113</v>
      </c>
      <c r="L2643">
        <v>116.99</v>
      </c>
      <c r="M2643">
        <v>207</v>
      </c>
      <c r="N2643">
        <v>0</v>
      </c>
      <c r="O2643">
        <v>207</v>
      </c>
      <c r="P2643">
        <v>0</v>
      </c>
    </row>
    <row r="2644" spans="1:16" x14ac:dyDescent="0.25">
      <c r="A2644" t="s">
        <v>25108</v>
      </c>
      <c r="B2644" t="s">
        <v>3984</v>
      </c>
      <c r="C2644" t="s">
        <v>3985</v>
      </c>
      <c r="D2644" t="str">
        <f>"4819"</f>
        <v>4819</v>
      </c>
      <c r="E2644" t="s">
        <v>221</v>
      </c>
      <c r="F2644" t="s">
        <v>3750</v>
      </c>
      <c r="G2644" t="s">
        <v>16224</v>
      </c>
      <c r="H2644" t="s">
        <v>47126</v>
      </c>
      <c r="I2644" t="s">
        <v>47127</v>
      </c>
      <c r="J2644" t="s">
        <v>47128</v>
      </c>
      <c r="K2644" t="s">
        <v>47113</v>
      </c>
      <c r="L2644">
        <v>116.99</v>
      </c>
      <c r="M2644">
        <v>207</v>
      </c>
      <c r="N2644">
        <v>0</v>
      </c>
      <c r="O2644">
        <v>207</v>
      </c>
      <c r="P2644">
        <v>0</v>
      </c>
    </row>
    <row r="2645" spans="1:16" x14ac:dyDescent="0.25">
      <c r="A2645" t="s">
        <v>14883</v>
      </c>
      <c r="B2645" t="s">
        <v>3986</v>
      </c>
      <c r="C2645" t="s">
        <v>3987</v>
      </c>
      <c r="D2645" t="str">
        <f>"1001"</f>
        <v>1001</v>
      </c>
      <c r="E2645" t="s">
        <v>42</v>
      </c>
      <c r="F2645" t="s">
        <v>2068</v>
      </c>
      <c r="G2645" t="s">
        <v>47122</v>
      </c>
      <c r="H2645" t="s">
        <v>47126</v>
      </c>
      <c r="I2645" t="s">
        <v>47120</v>
      </c>
      <c r="J2645" t="s">
        <v>47121</v>
      </c>
      <c r="K2645" t="s">
        <v>47113</v>
      </c>
      <c r="L2645">
        <v>59.25</v>
      </c>
      <c r="M2645">
        <v>143</v>
      </c>
      <c r="N2645">
        <v>0</v>
      </c>
      <c r="O2645">
        <v>143</v>
      </c>
      <c r="P2645">
        <v>0</v>
      </c>
    </row>
    <row r="2646" spans="1:16" x14ac:dyDescent="0.25">
      <c r="A2646" t="s">
        <v>25109</v>
      </c>
      <c r="B2646" t="s">
        <v>3986</v>
      </c>
      <c r="C2646" t="s">
        <v>3987</v>
      </c>
      <c r="D2646" t="str">
        <f>"1478"</f>
        <v>1478</v>
      </c>
      <c r="E2646" t="s">
        <v>3980</v>
      </c>
      <c r="F2646" t="s">
        <v>2068</v>
      </c>
      <c r="G2646" t="s">
        <v>47122</v>
      </c>
      <c r="H2646" t="s">
        <v>47126</v>
      </c>
      <c r="I2646" t="s">
        <v>47120</v>
      </c>
      <c r="J2646" t="s">
        <v>47121</v>
      </c>
      <c r="K2646" t="s">
        <v>47113</v>
      </c>
      <c r="L2646">
        <v>59.25</v>
      </c>
      <c r="M2646">
        <v>143</v>
      </c>
      <c r="N2646">
        <v>0</v>
      </c>
      <c r="O2646">
        <v>143</v>
      </c>
      <c r="P2646">
        <v>0</v>
      </c>
    </row>
    <row r="2647" spans="1:16" x14ac:dyDescent="0.25">
      <c r="A2647" t="s">
        <v>25110</v>
      </c>
      <c r="B2647" t="s">
        <v>3986</v>
      </c>
      <c r="C2647" t="s">
        <v>3987</v>
      </c>
      <c r="D2647" t="str">
        <f>"3529"</f>
        <v>3529</v>
      </c>
      <c r="E2647" t="s">
        <v>3988</v>
      </c>
      <c r="F2647" t="s">
        <v>2068</v>
      </c>
      <c r="G2647" t="s">
        <v>47122</v>
      </c>
      <c r="H2647" t="s">
        <v>47126</v>
      </c>
      <c r="I2647" t="s">
        <v>47120</v>
      </c>
      <c r="J2647" t="s">
        <v>47121</v>
      </c>
      <c r="K2647" t="s">
        <v>47113</v>
      </c>
      <c r="L2647">
        <v>59.25</v>
      </c>
      <c r="M2647">
        <v>143</v>
      </c>
      <c r="N2647">
        <v>0</v>
      </c>
      <c r="O2647">
        <v>143</v>
      </c>
      <c r="P2647">
        <v>0</v>
      </c>
    </row>
    <row r="2648" spans="1:16" x14ac:dyDescent="0.25">
      <c r="A2648" t="s">
        <v>25111</v>
      </c>
      <c r="B2648" t="s">
        <v>3989</v>
      </c>
      <c r="C2648" t="s">
        <v>3990</v>
      </c>
      <c r="D2648" t="s">
        <v>3803</v>
      </c>
      <c r="E2648" t="s">
        <v>3804</v>
      </c>
      <c r="F2648" t="s">
        <v>2068</v>
      </c>
      <c r="G2648" t="s">
        <v>16234</v>
      </c>
      <c r="H2648" t="s">
        <v>47153</v>
      </c>
      <c r="I2648" t="s">
        <v>47132</v>
      </c>
      <c r="J2648" t="s">
        <v>47133</v>
      </c>
      <c r="K2648" t="s">
        <v>47113</v>
      </c>
      <c r="L2648">
        <v>61.72</v>
      </c>
      <c r="M2648">
        <v>95</v>
      </c>
      <c r="N2648">
        <v>0</v>
      </c>
      <c r="O2648">
        <v>95</v>
      </c>
      <c r="P2648">
        <v>0</v>
      </c>
    </row>
    <row r="2649" spans="1:16" x14ac:dyDescent="0.25">
      <c r="A2649" t="s">
        <v>25112</v>
      </c>
      <c r="B2649" t="s">
        <v>3989</v>
      </c>
      <c r="C2649" t="s">
        <v>3990</v>
      </c>
      <c r="D2649" t="s">
        <v>504</v>
      </c>
      <c r="E2649" t="s">
        <v>505</v>
      </c>
      <c r="F2649" t="s">
        <v>2068</v>
      </c>
      <c r="G2649" t="s">
        <v>16234</v>
      </c>
      <c r="H2649" t="s">
        <v>47153</v>
      </c>
      <c r="I2649" t="s">
        <v>47132</v>
      </c>
      <c r="J2649" t="s">
        <v>47133</v>
      </c>
      <c r="K2649" t="s">
        <v>47113</v>
      </c>
      <c r="L2649">
        <v>61.72</v>
      </c>
      <c r="M2649">
        <v>95</v>
      </c>
      <c r="N2649">
        <v>0</v>
      </c>
      <c r="O2649">
        <v>95</v>
      </c>
      <c r="P2649">
        <v>0</v>
      </c>
    </row>
    <row r="2650" spans="1:16" x14ac:dyDescent="0.25">
      <c r="A2650" t="s">
        <v>25113</v>
      </c>
      <c r="B2650" t="s">
        <v>3989</v>
      </c>
      <c r="C2650" t="s">
        <v>3990</v>
      </c>
      <c r="D2650" t="s">
        <v>3991</v>
      </c>
      <c r="E2650" t="s">
        <v>3992</v>
      </c>
      <c r="F2650" t="s">
        <v>2068</v>
      </c>
      <c r="G2650" t="s">
        <v>16234</v>
      </c>
      <c r="H2650" t="s">
        <v>47153</v>
      </c>
      <c r="I2650" t="s">
        <v>47132</v>
      </c>
      <c r="J2650" t="s">
        <v>47133</v>
      </c>
      <c r="K2650" t="s">
        <v>47113</v>
      </c>
      <c r="L2650">
        <v>61.72</v>
      </c>
      <c r="M2650">
        <v>95</v>
      </c>
      <c r="N2650">
        <v>0</v>
      </c>
      <c r="O2650">
        <v>95</v>
      </c>
      <c r="P2650">
        <v>0</v>
      </c>
    </row>
    <row r="2651" spans="1:16" x14ac:dyDescent="0.25">
      <c r="A2651" t="s">
        <v>25114</v>
      </c>
      <c r="B2651" t="s">
        <v>3993</v>
      </c>
      <c r="C2651" t="s">
        <v>3994</v>
      </c>
      <c r="D2651" t="str">
        <f>"1285"</f>
        <v>1285</v>
      </c>
      <c r="E2651" t="s">
        <v>2148</v>
      </c>
      <c r="F2651" t="s">
        <v>2068</v>
      </c>
      <c r="G2651" t="s">
        <v>16221</v>
      </c>
      <c r="H2651" t="s">
        <v>47126</v>
      </c>
      <c r="I2651" t="s">
        <v>47127</v>
      </c>
      <c r="J2651" t="s">
        <v>47128</v>
      </c>
      <c r="K2651" t="s">
        <v>47113</v>
      </c>
      <c r="L2651">
        <v>13.16</v>
      </c>
      <c r="M2651">
        <v>33</v>
      </c>
      <c r="N2651">
        <v>0</v>
      </c>
      <c r="O2651">
        <v>33</v>
      </c>
      <c r="P2651">
        <v>0</v>
      </c>
    </row>
    <row r="2652" spans="1:16" x14ac:dyDescent="0.25">
      <c r="A2652" t="s">
        <v>25115</v>
      </c>
      <c r="B2652" t="s">
        <v>3993</v>
      </c>
      <c r="C2652" t="s">
        <v>3994</v>
      </c>
      <c r="D2652" t="str">
        <f>"1377"</f>
        <v>1377</v>
      </c>
      <c r="E2652" t="s">
        <v>74</v>
      </c>
      <c r="F2652" t="s">
        <v>2068</v>
      </c>
      <c r="G2652" t="s">
        <v>16221</v>
      </c>
      <c r="H2652" t="s">
        <v>47126</v>
      </c>
      <c r="I2652" t="s">
        <v>47127</v>
      </c>
      <c r="J2652" t="s">
        <v>47128</v>
      </c>
      <c r="K2652" t="s">
        <v>47113</v>
      </c>
      <c r="L2652">
        <v>13.16</v>
      </c>
      <c r="M2652">
        <v>33</v>
      </c>
      <c r="N2652">
        <v>0</v>
      </c>
      <c r="O2652">
        <v>33</v>
      </c>
      <c r="P2652">
        <v>0</v>
      </c>
    </row>
    <row r="2653" spans="1:16" x14ac:dyDescent="0.25">
      <c r="A2653" t="s">
        <v>25116</v>
      </c>
      <c r="B2653" t="s">
        <v>3993</v>
      </c>
      <c r="C2653" t="s">
        <v>3994</v>
      </c>
      <c r="D2653" t="str">
        <f>"1378"</f>
        <v>1378</v>
      </c>
      <c r="E2653" t="s">
        <v>388</v>
      </c>
      <c r="F2653" t="s">
        <v>2068</v>
      </c>
      <c r="G2653" t="s">
        <v>16221</v>
      </c>
      <c r="H2653" t="s">
        <v>47126</v>
      </c>
      <c r="I2653" t="s">
        <v>47127</v>
      </c>
      <c r="J2653" t="s">
        <v>47128</v>
      </c>
      <c r="K2653" t="s">
        <v>47113</v>
      </c>
      <c r="L2653">
        <v>13.16</v>
      </c>
      <c r="M2653">
        <v>33</v>
      </c>
      <c r="N2653">
        <v>0</v>
      </c>
      <c r="O2653">
        <v>33</v>
      </c>
      <c r="P2653">
        <v>0</v>
      </c>
    </row>
    <row r="2654" spans="1:16" x14ac:dyDescent="0.25">
      <c r="A2654" t="s">
        <v>25117</v>
      </c>
      <c r="B2654" t="s">
        <v>3993</v>
      </c>
      <c r="C2654" t="s">
        <v>3994</v>
      </c>
      <c r="D2654" t="str">
        <f>"1700"</f>
        <v>1700</v>
      </c>
      <c r="E2654" t="s">
        <v>60</v>
      </c>
      <c r="F2654" t="s">
        <v>2068</v>
      </c>
      <c r="G2654" t="s">
        <v>16221</v>
      </c>
      <c r="H2654" t="s">
        <v>47126</v>
      </c>
      <c r="I2654" t="s">
        <v>47127</v>
      </c>
      <c r="J2654" t="s">
        <v>47128</v>
      </c>
      <c r="K2654" t="s">
        <v>47113</v>
      </c>
      <c r="L2654">
        <v>13.16</v>
      </c>
      <c r="M2654">
        <v>33</v>
      </c>
      <c r="N2654">
        <v>0</v>
      </c>
      <c r="O2654">
        <v>33</v>
      </c>
      <c r="P2654">
        <v>0</v>
      </c>
    </row>
    <row r="2655" spans="1:16" x14ac:dyDescent="0.25">
      <c r="A2655" t="s">
        <v>25118</v>
      </c>
      <c r="B2655" t="s">
        <v>3993</v>
      </c>
      <c r="C2655" t="s">
        <v>3994</v>
      </c>
      <c r="D2655" t="str">
        <f>"2166"</f>
        <v>2166</v>
      </c>
      <c r="E2655" t="s">
        <v>80</v>
      </c>
      <c r="F2655" t="s">
        <v>2068</v>
      </c>
      <c r="G2655" t="s">
        <v>16221</v>
      </c>
      <c r="H2655" t="s">
        <v>47126</v>
      </c>
      <c r="I2655" t="s">
        <v>47127</v>
      </c>
      <c r="J2655" t="s">
        <v>47128</v>
      </c>
      <c r="K2655" t="s">
        <v>47113</v>
      </c>
      <c r="L2655">
        <v>13.16</v>
      </c>
      <c r="M2655">
        <v>33</v>
      </c>
      <c r="N2655">
        <v>0</v>
      </c>
      <c r="O2655">
        <v>33</v>
      </c>
      <c r="P2655">
        <v>0</v>
      </c>
    </row>
    <row r="2656" spans="1:16" x14ac:dyDescent="0.25">
      <c r="A2656" t="s">
        <v>25119</v>
      </c>
      <c r="B2656" t="s">
        <v>3993</v>
      </c>
      <c r="C2656" t="s">
        <v>3994</v>
      </c>
      <c r="D2656" t="str">
        <f>"3501"</f>
        <v>3501</v>
      </c>
      <c r="E2656" t="s">
        <v>3758</v>
      </c>
      <c r="F2656" t="s">
        <v>2068</v>
      </c>
      <c r="G2656" t="s">
        <v>16221</v>
      </c>
      <c r="H2656" t="s">
        <v>47126</v>
      </c>
      <c r="I2656" t="s">
        <v>47127</v>
      </c>
      <c r="J2656" t="s">
        <v>47128</v>
      </c>
      <c r="K2656" t="s">
        <v>47113</v>
      </c>
      <c r="L2656">
        <v>13.16</v>
      </c>
      <c r="M2656">
        <v>33</v>
      </c>
      <c r="N2656">
        <v>0</v>
      </c>
      <c r="O2656">
        <v>33</v>
      </c>
      <c r="P2656">
        <v>0</v>
      </c>
    </row>
    <row r="2657" spans="1:16" x14ac:dyDescent="0.25">
      <c r="A2657" t="s">
        <v>25120</v>
      </c>
      <c r="B2657" t="s">
        <v>3993</v>
      </c>
      <c r="C2657" t="s">
        <v>3994</v>
      </c>
      <c r="D2657" t="str">
        <f>"4000"</f>
        <v>4000</v>
      </c>
      <c r="E2657" t="s">
        <v>190</v>
      </c>
      <c r="F2657" t="s">
        <v>2068</v>
      </c>
      <c r="G2657" t="s">
        <v>16221</v>
      </c>
      <c r="H2657" t="s">
        <v>47126</v>
      </c>
      <c r="I2657" t="s">
        <v>47127</v>
      </c>
      <c r="J2657" t="s">
        <v>47128</v>
      </c>
      <c r="K2657" t="s">
        <v>47113</v>
      </c>
      <c r="L2657">
        <v>13.16</v>
      </c>
      <c r="M2657">
        <v>33</v>
      </c>
      <c r="N2657">
        <v>0</v>
      </c>
      <c r="O2657">
        <v>33</v>
      </c>
      <c r="P2657">
        <v>0</v>
      </c>
    </row>
    <row r="2658" spans="1:16" x14ac:dyDescent="0.25">
      <c r="A2658" t="s">
        <v>25121</v>
      </c>
      <c r="B2658" t="s">
        <v>3993</v>
      </c>
      <c r="C2658" t="s">
        <v>3994</v>
      </c>
      <c r="D2658" t="str">
        <f>"6276"</f>
        <v>6276</v>
      </c>
      <c r="E2658" t="s">
        <v>3867</v>
      </c>
      <c r="F2658" t="s">
        <v>2068</v>
      </c>
      <c r="G2658" t="s">
        <v>16221</v>
      </c>
      <c r="H2658" t="s">
        <v>47126</v>
      </c>
      <c r="I2658" t="s">
        <v>47127</v>
      </c>
      <c r="J2658" t="s">
        <v>47128</v>
      </c>
      <c r="K2658" t="s">
        <v>47113</v>
      </c>
      <c r="L2658">
        <v>13.16</v>
      </c>
      <c r="M2658">
        <v>33</v>
      </c>
      <c r="N2658">
        <v>0</v>
      </c>
      <c r="O2658">
        <v>33</v>
      </c>
      <c r="P2658">
        <v>0</v>
      </c>
    </row>
    <row r="2659" spans="1:16" x14ac:dyDescent="0.25">
      <c r="A2659" t="s">
        <v>25122</v>
      </c>
      <c r="B2659" t="s">
        <v>3995</v>
      </c>
      <c r="C2659" t="s">
        <v>3996</v>
      </c>
      <c r="D2659" t="str">
        <f>"1106"</f>
        <v>1106</v>
      </c>
      <c r="E2659" t="s">
        <v>460</v>
      </c>
      <c r="F2659" t="s">
        <v>2068</v>
      </c>
      <c r="G2659" t="s">
        <v>16221</v>
      </c>
      <c r="H2659" t="s">
        <v>47126</v>
      </c>
      <c r="I2659" t="s">
        <v>47127</v>
      </c>
      <c r="J2659" t="s">
        <v>47128</v>
      </c>
      <c r="K2659" t="s">
        <v>47113</v>
      </c>
      <c r="L2659">
        <v>13.16</v>
      </c>
      <c r="M2659">
        <v>33</v>
      </c>
      <c r="N2659">
        <v>0</v>
      </c>
      <c r="O2659">
        <v>33</v>
      </c>
      <c r="P2659">
        <v>0</v>
      </c>
    </row>
    <row r="2660" spans="1:16" x14ac:dyDescent="0.25">
      <c r="A2660" t="s">
        <v>25123</v>
      </c>
      <c r="B2660" t="s">
        <v>3995</v>
      </c>
      <c r="C2660" t="s">
        <v>3996</v>
      </c>
      <c r="D2660" t="str">
        <f>"1285"</f>
        <v>1285</v>
      </c>
      <c r="E2660" t="s">
        <v>2148</v>
      </c>
      <c r="F2660" t="s">
        <v>2068</v>
      </c>
      <c r="G2660" t="s">
        <v>16221</v>
      </c>
      <c r="H2660" t="s">
        <v>47126</v>
      </c>
      <c r="I2660" t="s">
        <v>47127</v>
      </c>
      <c r="J2660" t="s">
        <v>47128</v>
      </c>
      <c r="K2660" t="s">
        <v>47113</v>
      </c>
      <c r="L2660">
        <v>13.16</v>
      </c>
      <c r="M2660">
        <v>33</v>
      </c>
      <c r="N2660">
        <v>0</v>
      </c>
      <c r="O2660">
        <v>33</v>
      </c>
      <c r="P2660">
        <v>0</v>
      </c>
    </row>
    <row r="2661" spans="1:16" x14ac:dyDescent="0.25">
      <c r="A2661" t="s">
        <v>25124</v>
      </c>
      <c r="B2661" t="s">
        <v>3995</v>
      </c>
      <c r="C2661" t="s">
        <v>3996</v>
      </c>
      <c r="D2661" t="str">
        <f>"1377"</f>
        <v>1377</v>
      </c>
      <c r="E2661" t="s">
        <v>74</v>
      </c>
      <c r="F2661" t="s">
        <v>2068</v>
      </c>
      <c r="G2661" t="s">
        <v>16221</v>
      </c>
      <c r="H2661" t="s">
        <v>47126</v>
      </c>
      <c r="I2661" t="s">
        <v>47127</v>
      </c>
      <c r="J2661" t="s">
        <v>47128</v>
      </c>
      <c r="K2661" t="s">
        <v>47113</v>
      </c>
      <c r="L2661">
        <v>13.16</v>
      </c>
      <c r="M2661">
        <v>33</v>
      </c>
      <c r="N2661">
        <v>0</v>
      </c>
      <c r="O2661">
        <v>33</v>
      </c>
      <c r="P2661">
        <v>0</v>
      </c>
    </row>
    <row r="2662" spans="1:16" x14ac:dyDescent="0.25">
      <c r="A2662" t="s">
        <v>25125</v>
      </c>
      <c r="B2662" t="s">
        <v>3995</v>
      </c>
      <c r="C2662" t="s">
        <v>3996</v>
      </c>
      <c r="D2662" t="str">
        <f>"1700"</f>
        <v>1700</v>
      </c>
      <c r="E2662" t="s">
        <v>60</v>
      </c>
      <c r="F2662" t="s">
        <v>2068</v>
      </c>
      <c r="G2662" t="s">
        <v>16221</v>
      </c>
      <c r="H2662" t="s">
        <v>47126</v>
      </c>
      <c r="I2662" t="s">
        <v>47127</v>
      </c>
      <c r="J2662" t="s">
        <v>47128</v>
      </c>
      <c r="K2662" t="s">
        <v>47113</v>
      </c>
      <c r="L2662">
        <v>13.16</v>
      </c>
      <c r="M2662">
        <v>33</v>
      </c>
      <c r="N2662">
        <v>0</v>
      </c>
      <c r="O2662">
        <v>33</v>
      </c>
      <c r="P2662">
        <v>0</v>
      </c>
    </row>
    <row r="2663" spans="1:16" x14ac:dyDescent="0.25">
      <c r="A2663" t="s">
        <v>25126</v>
      </c>
      <c r="B2663" t="s">
        <v>3995</v>
      </c>
      <c r="C2663" t="s">
        <v>3996</v>
      </c>
      <c r="D2663" t="str">
        <f>"4000"</f>
        <v>4000</v>
      </c>
      <c r="E2663" t="s">
        <v>190</v>
      </c>
      <c r="F2663" t="s">
        <v>2068</v>
      </c>
      <c r="G2663" t="s">
        <v>16221</v>
      </c>
      <c r="H2663" t="s">
        <v>47126</v>
      </c>
      <c r="I2663" t="s">
        <v>47127</v>
      </c>
      <c r="J2663" t="s">
        <v>47128</v>
      </c>
      <c r="K2663" t="s">
        <v>47113</v>
      </c>
      <c r="L2663">
        <v>13.16</v>
      </c>
      <c r="M2663">
        <v>33</v>
      </c>
      <c r="N2663">
        <v>0</v>
      </c>
      <c r="O2663">
        <v>33</v>
      </c>
      <c r="P2663">
        <v>0</v>
      </c>
    </row>
    <row r="2664" spans="1:16" x14ac:dyDescent="0.25">
      <c r="A2664" t="s">
        <v>25127</v>
      </c>
      <c r="B2664" t="s">
        <v>3995</v>
      </c>
      <c r="C2664" t="s">
        <v>3996</v>
      </c>
      <c r="D2664" t="str">
        <f>"4201"</f>
        <v>4201</v>
      </c>
      <c r="E2664" t="s">
        <v>1855</v>
      </c>
      <c r="F2664" t="s">
        <v>2068</v>
      </c>
      <c r="G2664" t="s">
        <v>16221</v>
      </c>
      <c r="H2664" t="s">
        <v>47126</v>
      </c>
      <c r="I2664" t="s">
        <v>47127</v>
      </c>
      <c r="J2664" t="s">
        <v>47128</v>
      </c>
      <c r="K2664" t="s">
        <v>47113</v>
      </c>
      <c r="L2664">
        <v>13.16</v>
      </c>
      <c r="M2664">
        <v>33</v>
      </c>
      <c r="N2664">
        <v>0</v>
      </c>
      <c r="O2664">
        <v>33</v>
      </c>
      <c r="P2664">
        <v>0</v>
      </c>
    </row>
    <row r="2665" spans="1:16" x14ac:dyDescent="0.25">
      <c r="A2665" t="s">
        <v>25128</v>
      </c>
      <c r="B2665" t="s">
        <v>3997</v>
      </c>
      <c r="C2665" t="s">
        <v>3998</v>
      </c>
      <c r="D2665" t="str">
        <f>"1285"</f>
        <v>1285</v>
      </c>
      <c r="E2665" t="s">
        <v>2148</v>
      </c>
      <c r="F2665" t="s">
        <v>2068</v>
      </c>
      <c r="G2665" t="s">
        <v>16221</v>
      </c>
      <c r="H2665" t="s">
        <v>47126</v>
      </c>
      <c r="I2665" t="s">
        <v>47127</v>
      </c>
      <c r="J2665" t="s">
        <v>47128</v>
      </c>
      <c r="K2665" t="s">
        <v>47113</v>
      </c>
      <c r="L2665">
        <v>13.16</v>
      </c>
      <c r="M2665">
        <v>33</v>
      </c>
      <c r="N2665">
        <v>0</v>
      </c>
      <c r="O2665">
        <v>33</v>
      </c>
      <c r="P2665">
        <v>0</v>
      </c>
    </row>
    <row r="2666" spans="1:16" x14ac:dyDescent="0.25">
      <c r="A2666" t="s">
        <v>25129</v>
      </c>
      <c r="B2666" t="s">
        <v>3997</v>
      </c>
      <c r="C2666" t="s">
        <v>3998</v>
      </c>
      <c r="D2666" t="str">
        <f>"1378"</f>
        <v>1378</v>
      </c>
      <c r="E2666" t="s">
        <v>388</v>
      </c>
      <c r="F2666" t="s">
        <v>2068</v>
      </c>
      <c r="G2666" t="s">
        <v>16221</v>
      </c>
      <c r="H2666" t="s">
        <v>47126</v>
      </c>
      <c r="I2666" t="s">
        <v>47127</v>
      </c>
      <c r="J2666" t="s">
        <v>47128</v>
      </c>
      <c r="K2666" t="s">
        <v>47113</v>
      </c>
      <c r="L2666">
        <v>13.16</v>
      </c>
      <c r="M2666">
        <v>33</v>
      </c>
      <c r="N2666">
        <v>0</v>
      </c>
      <c r="O2666">
        <v>33</v>
      </c>
      <c r="P2666">
        <v>0</v>
      </c>
    </row>
    <row r="2667" spans="1:16" x14ac:dyDescent="0.25">
      <c r="A2667" t="s">
        <v>25130</v>
      </c>
      <c r="B2667" t="s">
        <v>3997</v>
      </c>
      <c r="C2667" t="s">
        <v>3998</v>
      </c>
      <c r="D2667" t="str">
        <f>"1700"</f>
        <v>1700</v>
      </c>
      <c r="E2667" t="s">
        <v>60</v>
      </c>
      <c r="F2667" t="s">
        <v>2068</v>
      </c>
      <c r="G2667" t="s">
        <v>16221</v>
      </c>
      <c r="H2667" t="s">
        <v>47126</v>
      </c>
      <c r="I2667" t="s">
        <v>47127</v>
      </c>
      <c r="J2667" t="s">
        <v>47128</v>
      </c>
      <c r="K2667" t="s">
        <v>47113</v>
      </c>
      <c r="L2667">
        <v>13.16</v>
      </c>
      <c r="M2667">
        <v>33</v>
      </c>
      <c r="N2667">
        <v>0</v>
      </c>
      <c r="O2667">
        <v>33</v>
      </c>
      <c r="P2667">
        <v>0</v>
      </c>
    </row>
    <row r="2668" spans="1:16" x14ac:dyDescent="0.25">
      <c r="A2668" t="s">
        <v>25131</v>
      </c>
      <c r="B2668" t="s">
        <v>3997</v>
      </c>
      <c r="C2668" t="s">
        <v>3998</v>
      </c>
      <c r="D2668" t="str">
        <f>"3501"</f>
        <v>3501</v>
      </c>
      <c r="E2668" t="s">
        <v>3758</v>
      </c>
      <c r="F2668" t="s">
        <v>2068</v>
      </c>
      <c r="G2668" t="s">
        <v>16221</v>
      </c>
      <c r="H2668" t="s">
        <v>47126</v>
      </c>
      <c r="I2668" t="s">
        <v>47127</v>
      </c>
      <c r="J2668" t="s">
        <v>47128</v>
      </c>
      <c r="K2668" t="s">
        <v>47113</v>
      </c>
      <c r="L2668">
        <v>13.16</v>
      </c>
      <c r="M2668">
        <v>33</v>
      </c>
      <c r="N2668">
        <v>0</v>
      </c>
      <c r="O2668">
        <v>33</v>
      </c>
      <c r="P2668">
        <v>0</v>
      </c>
    </row>
    <row r="2669" spans="1:16" x14ac:dyDescent="0.25">
      <c r="A2669" t="s">
        <v>14884</v>
      </c>
      <c r="B2669" t="s">
        <v>3997</v>
      </c>
      <c r="C2669" t="s">
        <v>3998</v>
      </c>
      <c r="D2669" t="str">
        <f>"4000"</f>
        <v>4000</v>
      </c>
      <c r="E2669" t="s">
        <v>190</v>
      </c>
      <c r="F2669" t="s">
        <v>2068</v>
      </c>
      <c r="G2669" t="s">
        <v>16221</v>
      </c>
      <c r="H2669" t="s">
        <v>47126</v>
      </c>
      <c r="I2669" t="s">
        <v>47127</v>
      </c>
      <c r="J2669" t="s">
        <v>47128</v>
      </c>
      <c r="K2669" t="s">
        <v>47113</v>
      </c>
      <c r="L2669">
        <v>13.16</v>
      </c>
      <c r="M2669">
        <v>33</v>
      </c>
      <c r="N2669">
        <v>0</v>
      </c>
      <c r="O2669">
        <v>33</v>
      </c>
      <c r="P2669">
        <v>0</v>
      </c>
    </row>
    <row r="2670" spans="1:16" x14ac:dyDescent="0.25">
      <c r="A2670" t="s">
        <v>25132</v>
      </c>
      <c r="B2670" t="s">
        <v>3997</v>
      </c>
      <c r="C2670" t="s">
        <v>3998</v>
      </c>
      <c r="D2670" t="str">
        <f>"6276"</f>
        <v>6276</v>
      </c>
      <c r="E2670" t="s">
        <v>3867</v>
      </c>
      <c r="F2670" t="s">
        <v>2068</v>
      </c>
      <c r="G2670" t="s">
        <v>16221</v>
      </c>
      <c r="H2670" t="s">
        <v>47126</v>
      </c>
      <c r="I2670" t="s">
        <v>47127</v>
      </c>
      <c r="J2670" t="s">
        <v>47128</v>
      </c>
      <c r="K2670" t="s">
        <v>47113</v>
      </c>
      <c r="L2670">
        <v>13.16</v>
      </c>
      <c r="M2670">
        <v>33</v>
      </c>
      <c r="N2670">
        <v>0</v>
      </c>
      <c r="O2670">
        <v>33</v>
      </c>
      <c r="P2670">
        <v>0</v>
      </c>
    </row>
    <row r="2671" spans="1:16" x14ac:dyDescent="0.25">
      <c r="A2671" t="s">
        <v>25133</v>
      </c>
      <c r="B2671" t="s">
        <v>3999</v>
      </c>
      <c r="C2671" t="s">
        <v>4000</v>
      </c>
      <c r="D2671" t="str">
        <f>"1106"</f>
        <v>1106</v>
      </c>
      <c r="E2671" t="s">
        <v>460</v>
      </c>
      <c r="F2671" t="s">
        <v>2068</v>
      </c>
      <c r="G2671" t="s">
        <v>16221</v>
      </c>
      <c r="H2671" t="s">
        <v>47126</v>
      </c>
      <c r="I2671" t="s">
        <v>47127</v>
      </c>
      <c r="J2671" t="s">
        <v>47128</v>
      </c>
      <c r="K2671" t="s">
        <v>47113</v>
      </c>
      <c r="L2671">
        <v>13.16</v>
      </c>
      <c r="M2671">
        <v>33</v>
      </c>
      <c r="N2671">
        <v>0</v>
      </c>
      <c r="O2671">
        <v>33</v>
      </c>
      <c r="P2671">
        <v>0</v>
      </c>
    </row>
    <row r="2672" spans="1:16" x14ac:dyDescent="0.25">
      <c r="A2672" t="s">
        <v>25134</v>
      </c>
      <c r="B2672" t="s">
        <v>3999</v>
      </c>
      <c r="C2672" t="s">
        <v>4000</v>
      </c>
      <c r="D2672" t="str">
        <f>"1378"</f>
        <v>1378</v>
      </c>
      <c r="E2672" t="s">
        <v>388</v>
      </c>
      <c r="F2672" t="s">
        <v>2068</v>
      </c>
      <c r="G2672" t="s">
        <v>16221</v>
      </c>
      <c r="H2672" t="s">
        <v>47126</v>
      </c>
      <c r="I2672" t="s">
        <v>47127</v>
      </c>
      <c r="J2672" t="s">
        <v>47128</v>
      </c>
      <c r="K2672" t="s">
        <v>47113</v>
      </c>
      <c r="L2672">
        <v>13.16</v>
      </c>
      <c r="M2672">
        <v>33</v>
      </c>
      <c r="N2672">
        <v>0</v>
      </c>
      <c r="O2672">
        <v>33</v>
      </c>
      <c r="P2672">
        <v>0</v>
      </c>
    </row>
    <row r="2673" spans="1:16" x14ac:dyDescent="0.25">
      <c r="A2673" t="s">
        <v>25135</v>
      </c>
      <c r="B2673" t="s">
        <v>3999</v>
      </c>
      <c r="C2673" t="s">
        <v>4000</v>
      </c>
      <c r="D2673" t="str">
        <f>"1403"</f>
        <v>1403</v>
      </c>
      <c r="E2673" t="s">
        <v>224</v>
      </c>
      <c r="F2673" t="s">
        <v>2068</v>
      </c>
      <c r="G2673" t="s">
        <v>16221</v>
      </c>
      <c r="H2673" t="s">
        <v>47126</v>
      </c>
      <c r="I2673" t="s">
        <v>47127</v>
      </c>
      <c r="J2673" t="s">
        <v>47128</v>
      </c>
      <c r="K2673" t="s">
        <v>47113</v>
      </c>
      <c r="L2673">
        <v>13.16</v>
      </c>
      <c r="M2673">
        <v>33</v>
      </c>
      <c r="N2673">
        <v>0</v>
      </c>
      <c r="O2673">
        <v>33</v>
      </c>
      <c r="P2673">
        <v>0</v>
      </c>
    </row>
    <row r="2674" spans="1:16" x14ac:dyDescent="0.25">
      <c r="A2674" t="s">
        <v>25136</v>
      </c>
      <c r="B2674" t="s">
        <v>3999</v>
      </c>
      <c r="C2674" t="s">
        <v>4000</v>
      </c>
      <c r="D2674" t="str">
        <f>"1700"</f>
        <v>1700</v>
      </c>
      <c r="E2674" t="s">
        <v>60</v>
      </c>
      <c r="F2674" t="s">
        <v>2068</v>
      </c>
      <c r="G2674" t="s">
        <v>16221</v>
      </c>
      <c r="H2674" t="s">
        <v>47126</v>
      </c>
      <c r="I2674" t="s">
        <v>47127</v>
      </c>
      <c r="J2674" t="s">
        <v>47128</v>
      </c>
      <c r="K2674" t="s">
        <v>47113</v>
      </c>
      <c r="L2674">
        <v>13.16</v>
      </c>
      <c r="M2674">
        <v>33</v>
      </c>
      <c r="N2674">
        <v>0</v>
      </c>
      <c r="O2674">
        <v>33</v>
      </c>
      <c r="P2674">
        <v>0</v>
      </c>
    </row>
    <row r="2675" spans="1:16" x14ac:dyDescent="0.25">
      <c r="A2675" t="s">
        <v>25137</v>
      </c>
      <c r="B2675" t="s">
        <v>3999</v>
      </c>
      <c r="C2675" t="s">
        <v>4000</v>
      </c>
      <c r="D2675" t="str">
        <f>"2166"</f>
        <v>2166</v>
      </c>
      <c r="E2675" t="s">
        <v>80</v>
      </c>
      <c r="F2675" t="s">
        <v>2068</v>
      </c>
      <c r="G2675" t="s">
        <v>16221</v>
      </c>
      <c r="H2675" t="s">
        <v>47126</v>
      </c>
      <c r="I2675" t="s">
        <v>47127</v>
      </c>
      <c r="J2675" t="s">
        <v>47128</v>
      </c>
      <c r="K2675" t="s">
        <v>47113</v>
      </c>
      <c r="L2675">
        <v>13.16</v>
      </c>
      <c r="M2675">
        <v>33</v>
      </c>
      <c r="N2675">
        <v>0</v>
      </c>
      <c r="O2675">
        <v>33</v>
      </c>
      <c r="P2675">
        <v>0</v>
      </c>
    </row>
    <row r="2676" spans="1:16" x14ac:dyDescent="0.25">
      <c r="A2676" t="s">
        <v>25138</v>
      </c>
      <c r="B2676" t="s">
        <v>3999</v>
      </c>
      <c r="C2676" t="s">
        <v>4000</v>
      </c>
      <c r="D2676" t="str">
        <f>"3501"</f>
        <v>3501</v>
      </c>
      <c r="E2676" t="s">
        <v>3758</v>
      </c>
      <c r="F2676" t="s">
        <v>2068</v>
      </c>
      <c r="G2676" t="s">
        <v>16221</v>
      </c>
      <c r="H2676" t="s">
        <v>47126</v>
      </c>
      <c r="I2676" t="s">
        <v>47127</v>
      </c>
      <c r="J2676" t="s">
        <v>47128</v>
      </c>
      <c r="K2676" t="s">
        <v>47113</v>
      </c>
      <c r="L2676">
        <v>13.16</v>
      </c>
      <c r="M2676">
        <v>33</v>
      </c>
      <c r="N2676">
        <v>0</v>
      </c>
      <c r="O2676">
        <v>33</v>
      </c>
      <c r="P2676">
        <v>0</v>
      </c>
    </row>
    <row r="2677" spans="1:16" x14ac:dyDescent="0.25">
      <c r="A2677" t="s">
        <v>25139</v>
      </c>
      <c r="B2677" t="s">
        <v>3999</v>
      </c>
      <c r="C2677" t="s">
        <v>4000</v>
      </c>
      <c r="D2677" t="str">
        <f>"4201"</f>
        <v>4201</v>
      </c>
      <c r="E2677" t="s">
        <v>1855</v>
      </c>
      <c r="F2677" t="s">
        <v>2068</v>
      </c>
      <c r="G2677" t="s">
        <v>16221</v>
      </c>
      <c r="H2677" t="s">
        <v>47126</v>
      </c>
      <c r="I2677" t="s">
        <v>47127</v>
      </c>
      <c r="J2677" t="s">
        <v>47128</v>
      </c>
      <c r="K2677" t="s">
        <v>47113</v>
      </c>
      <c r="L2677">
        <v>13.16</v>
      </c>
      <c r="M2677">
        <v>33</v>
      </c>
      <c r="N2677">
        <v>0</v>
      </c>
      <c r="O2677">
        <v>33</v>
      </c>
      <c r="P2677">
        <v>0</v>
      </c>
    </row>
    <row r="2678" spans="1:16" x14ac:dyDescent="0.25">
      <c r="A2678" t="s">
        <v>25140</v>
      </c>
      <c r="B2678" t="s">
        <v>3999</v>
      </c>
      <c r="C2678" t="s">
        <v>4000</v>
      </c>
      <c r="D2678" t="str">
        <f>"4753"</f>
        <v>4753</v>
      </c>
      <c r="E2678" t="s">
        <v>3755</v>
      </c>
      <c r="F2678" t="s">
        <v>2068</v>
      </c>
      <c r="G2678" t="s">
        <v>16221</v>
      </c>
      <c r="H2678" t="s">
        <v>47126</v>
      </c>
      <c r="I2678" t="s">
        <v>47127</v>
      </c>
      <c r="J2678" t="s">
        <v>47128</v>
      </c>
      <c r="K2678" t="s">
        <v>47113</v>
      </c>
      <c r="L2678">
        <v>13.16</v>
      </c>
      <c r="M2678">
        <v>33</v>
      </c>
      <c r="N2678">
        <v>0</v>
      </c>
      <c r="O2678">
        <v>33</v>
      </c>
      <c r="P2678">
        <v>0</v>
      </c>
    </row>
    <row r="2679" spans="1:16" x14ac:dyDescent="0.25">
      <c r="A2679" t="s">
        <v>25141</v>
      </c>
      <c r="B2679" t="s">
        <v>4001</v>
      </c>
      <c r="C2679" t="s">
        <v>4002</v>
      </c>
      <c r="D2679" t="str">
        <f>"1106"</f>
        <v>1106</v>
      </c>
      <c r="E2679" t="s">
        <v>460</v>
      </c>
      <c r="F2679" t="s">
        <v>2068</v>
      </c>
      <c r="G2679" t="s">
        <v>16221</v>
      </c>
      <c r="H2679" t="s">
        <v>47126</v>
      </c>
      <c r="I2679" t="s">
        <v>47127</v>
      </c>
      <c r="J2679" t="s">
        <v>47128</v>
      </c>
      <c r="K2679" t="s">
        <v>47113</v>
      </c>
      <c r="L2679">
        <v>13.16</v>
      </c>
      <c r="M2679">
        <v>33</v>
      </c>
      <c r="N2679">
        <v>0</v>
      </c>
      <c r="O2679">
        <v>33</v>
      </c>
      <c r="P2679">
        <v>0</v>
      </c>
    </row>
    <row r="2680" spans="1:16" x14ac:dyDescent="0.25">
      <c r="A2680" t="s">
        <v>25142</v>
      </c>
      <c r="B2680" t="s">
        <v>4001</v>
      </c>
      <c r="C2680" t="s">
        <v>4002</v>
      </c>
      <c r="D2680" t="str">
        <f>"1285"</f>
        <v>1285</v>
      </c>
      <c r="E2680" t="s">
        <v>2148</v>
      </c>
      <c r="F2680" t="s">
        <v>2068</v>
      </c>
      <c r="G2680" t="s">
        <v>16221</v>
      </c>
      <c r="H2680" t="s">
        <v>47126</v>
      </c>
      <c r="I2680" t="s">
        <v>47127</v>
      </c>
      <c r="J2680" t="s">
        <v>47128</v>
      </c>
      <c r="K2680" t="s">
        <v>47113</v>
      </c>
      <c r="L2680">
        <v>13.16</v>
      </c>
      <c r="M2680">
        <v>33</v>
      </c>
      <c r="N2680">
        <v>0</v>
      </c>
      <c r="O2680">
        <v>33</v>
      </c>
      <c r="P2680">
        <v>0</v>
      </c>
    </row>
    <row r="2681" spans="1:16" x14ac:dyDescent="0.25">
      <c r="A2681" t="s">
        <v>25143</v>
      </c>
      <c r="B2681" t="s">
        <v>4001</v>
      </c>
      <c r="C2681" t="s">
        <v>4002</v>
      </c>
      <c r="D2681" t="str">
        <f>"1378"</f>
        <v>1378</v>
      </c>
      <c r="E2681" t="s">
        <v>388</v>
      </c>
      <c r="F2681" t="s">
        <v>2068</v>
      </c>
      <c r="G2681" t="s">
        <v>16221</v>
      </c>
      <c r="H2681" t="s">
        <v>47126</v>
      </c>
      <c r="I2681" t="s">
        <v>47127</v>
      </c>
      <c r="J2681" t="s">
        <v>47128</v>
      </c>
      <c r="K2681" t="s">
        <v>47113</v>
      </c>
      <c r="L2681">
        <v>13.16</v>
      </c>
      <c r="M2681">
        <v>33</v>
      </c>
      <c r="N2681">
        <v>0</v>
      </c>
      <c r="O2681">
        <v>33</v>
      </c>
      <c r="P2681">
        <v>0</v>
      </c>
    </row>
    <row r="2682" spans="1:16" x14ac:dyDescent="0.25">
      <c r="A2682" t="s">
        <v>25144</v>
      </c>
      <c r="B2682" t="s">
        <v>4001</v>
      </c>
      <c r="C2682" t="s">
        <v>4002</v>
      </c>
      <c r="D2682" t="str">
        <f>"1700"</f>
        <v>1700</v>
      </c>
      <c r="E2682" t="s">
        <v>60</v>
      </c>
      <c r="F2682" t="s">
        <v>2068</v>
      </c>
      <c r="G2682" t="s">
        <v>16221</v>
      </c>
      <c r="H2682" t="s">
        <v>47126</v>
      </c>
      <c r="I2682" t="s">
        <v>47127</v>
      </c>
      <c r="J2682" t="s">
        <v>47128</v>
      </c>
      <c r="K2682" t="s">
        <v>47113</v>
      </c>
      <c r="L2682">
        <v>13.16</v>
      </c>
      <c r="M2682">
        <v>33</v>
      </c>
      <c r="N2682">
        <v>0</v>
      </c>
      <c r="O2682">
        <v>33</v>
      </c>
      <c r="P2682">
        <v>0</v>
      </c>
    </row>
    <row r="2683" spans="1:16" x14ac:dyDescent="0.25">
      <c r="A2683" t="s">
        <v>25145</v>
      </c>
      <c r="B2683" t="s">
        <v>4001</v>
      </c>
      <c r="C2683" t="s">
        <v>4002</v>
      </c>
      <c r="D2683" t="str">
        <f>"2166"</f>
        <v>2166</v>
      </c>
      <c r="E2683" t="s">
        <v>80</v>
      </c>
      <c r="F2683" t="s">
        <v>2068</v>
      </c>
      <c r="G2683" t="s">
        <v>16221</v>
      </c>
      <c r="H2683" t="s">
        <v>47126</v>
      </c>
      <c r="I2683" t="s">
        <v>47127</v>
      </c>
      <c r="J2683" t="s">
        <v>47128</v>
      </c>
      <c r="K2683" t="s">
        <v>47113</v>
      </c>
      <c r="L2683">
        <v>13.16</v>
      </c>
      <c r="M2683">
        <v>33</v>
      </c>
      <c r="N2683">
        <v>0</v>
      </c>
      <c r="O2683">
        <v>33</v>
      </c>
      <c r="P2683">
        <v>0</v>
      </c>
    </row>
    <row r="2684" spans="1:16" x14ac:dyDescent="0.25">
      <c r="A2684" t="s">
        <v>25146</v>
      </c>
      <c r="B2684" t="s">
        <v>4001</v>
      </c>
      <c r="C2684" t="s">
        <v>4002</v>
      </c>
      <c r="D2684" t="str">
        <f>"3501"</f>
        <v>3501</v>
      </c>
      <c r="E2684" t="s">
        <v>3758</v>
      </c>
      <c r="F2684" t="s">
        <v>2068</v>
      </c>
      <c r="G2684" t="s">
        <v>16221</v>
      </c>
      <c r="H2684" t="s">
        <v>47126</v>
      </c>
      <c r="I2684" t="s">
        <v>47127</v>
      </c>
      <c r="J2684" t="s">
        <v>47128</v>
      </c>
      <c r="K2684" t="s">
        <v>47113</v>
      </c>
      <c r="L2684">
        <v>13.16</v>
      </c>
      <c r="M2684">
        <v>33</v>
      </c>
      <c r="N2684">
        <v>0</v>
      </c>
      <c r="O2684">
        <v>33</v>
      </c>
      <c r="P2684">
        <v>0</v>
      </c>
    </row>
    <row r="2685" spans="1:16" x14ac:dyDescent="0.25">
      <c r="A2685" t="s">
        <v>25147</v>
      </c>
      <c r="B2685" t="s">
        <v>4001</v>
      </c>
      <c r="C2685" t="s">
        <v>4002</v>
      </c>
      <c r="D2685" t="str">
        <f>"4201"</f>
        <v>4201</v>
      </c>
      <c r="E2685" t="s">
        <v>1855</v>
      </c>
      <c r="F2685" t="s">
        <v>2068</v>
      </c>
      <c r="G2685" t="s">
        <v>16221</v>
      </c>
      <c r="H2685" t="s">
        <v>47126</v>
      </c>
      <c r="I2685" t="s">
        <v>47127</v>
      </c>
      <c r="J2685" t="s">
        <v>47128</v>
      </c>
      <c r="K2685" t="s">
        <v>47113</v>
      </c>
      <c r="L2685">
        <v>13.16</v>
      </c>
      <c r="M2685">
        <v>33</v>
      </c>
      <c r="N2685">
        <v>0</v>
      </c>
      <c r="O2685">
        <v>33</v>
      </c>
      <c r="P2685">
        <v>0</v>
      </c>
    </row>
    <row r="2686" spans="1:16" x14ac:dyDescent="0.25">
      <c r="A2686" t="s">
        <v>25148</v>
      </c>
      <c r="B2686" t="s">
        <v>4003</v>
      </c>
      <c r="C2686" t="s">
        <v>4004</v>
      </c>
      <c r="D2686" t="str">
        <f>"1106"</f>
        <v>1106</v>
      </c>
      <c r="E2686" t="s">
        <v>460</v>
      </c>
      <c r="F2686" t="s">
        <v>2068</v>
      </c>
      <c r="G2686" t="s">
        <v>16221</v>
      </c>
      <c r="H2686" t="s">
        <v>47126</v>
      </c>
      <c r="I2686" t="s">
        <v>47127</v>
      </c>
      <c r="J2686" t="s">
        <v>47128</v>
      </c>
      <c r="K2686" t="s">
        <v>47113</v>
      </c>
      <c r="L2686">
        <v>14.25</v>
      </c>
      <c r="M2686">
        <v>35</v>
      </c>
      <c r="N2686">
        <v>0</v>
      </c>
      <c r="O2686">
        <v>35</v>
      </c>
      <c r="P2686">
        <v>0</v>
      </c>
    </row>
    <row r="2687" spans="1:16" x14ac:dyDescent="0.25">
      <c r="A2687" t="s">
        <v>25149</v>
      </c>
      <c r="B2687" t="s">
        <v>4003</v>
      </c>
      <c r="C2687" t="s">
        <v>4004</v>
      </c>
      <c r="D2687" t="str">
        <f>"1285"</f>
        <v>1285</v>
      </c>
      <c r="E2687" t="s">
        <v>2148</v>
      </c>
      <c r="F2687" t="s">
        <v>2068</v>
      </c>
      <c r="G2687" t="s">
        <v>16221</v>
      </c>
      <c r="H2687" t="s">
        <v>47126</v>
      </c>
      <c r="I2687" t="s">
        <v>47127</v>
      </c>
      <c r="J2687" t="s">
        <v>47128</v>
      </c>
      <c r="K2687" t="s">
        <v>47113</v>
      </c>
      <c r="L2687">
        <v>14.25</v>
      </c>
      <c r="M2687">
        <v>35</v>
      </c>
      <c r="N2687">
        <v>0</v>
      </c>
      <c r="O2687">
        <v>35</v>
      </c>
      <c r="P2687">
        <v>0</v>
      </c>
    </row>
    <row r="2688" spans="1:16" x14ac:dyDescent="0.25">
      <c r="A2688" t="s">
        <v>25150</v>
      </c>
      <c r="B2688" t="s">
        <v>4003</v>
      </c>
      <c r="C2688" t="s">
        <v>4004</v>
      </c>
      <c r="D2688" t="str">
        <f>"1377"</f>
        <v>1377</v>
      </c>
      <c r="E2688" t="s">
        <v>74</v>
      </c>
      <c r="F2688" t="s">
        <v>2068</v>
      </c>
      <c r="G2688" t="s">
        <v>16221</v>
      </c>
      <c r="H2688" t="s">
        <v>47126</v>
      </c>
      <c r="I2688" t="s">
        <v>47127</v>
      </c>
      <c r="J2688" t="s">
        <v>47128</v>
      </c>
      <c r="K2688" t="s">
        <v>47113</v>
      </c>
      <c r="L2688">
        <v>14.25</v>
      </c>
      <c r="M2688">
        <v>35</v>
      </c>
      <c r="N2688">
        <v>0</v>
      </c>
      <c r="O2688">
        <v>35</v>
      </c>
      <c r="P2688">
        <v>0</v>
      </c>
    </row>
    <row r="2689" spans="1:16" x14ac:dyDescent="0.25">
      <c r="A2689" t="s">
        <v>25151</v>
      </c>
      <c r="B2689" t="s">
        <v>4003</v>
      </c>
      <c r="C2689" t="s">
        <v>4004</v>
      </c>
      <c r="D2689" t="str">
        <f>"1378"</f>
        <v>1378</v>
      </c>
      <c r="E2689" t="s">
        <v>388</v>
      </c>
      <c r="F2689" t="s">
        <v>2068</v>
      </c>
      <c r="G2689" t="s">
        <v>16221</v>
      </c>
      <c r="H2689" t="s">
        <v>47126</v>
      </c>
      <c r="I2689" t="s">
        <v>47127</v>
      </c>
      <c r="J2689" t="s">
        <v>47128</v>
      </c>
      <c r="K2689" t="s">
        <v>47113</v>
      </c>
      <c r="L2689">
        <v>14.25</v>
      </c>
      <c r="M2689">
        <v>35</v>
      </c>
      <c r="N2689">
        <v>0</v>
      </c>
      <c r="O2689">
        <v>35</v>
      </c>
      <c r="P2689">
        <v>0</v>
      </c>
    </row>
    <row r="2690" spans="1:16" x14ac:dyDescent="0.25">
      <c r="A2690" t="s">
        <v>14885</v>
      </c>
      <c r="B2690" t="s">
        <v>4003</v>
      </c>
      <c r="C2690" t="s">
        <v>4004</v>
      </c>
      <c r="D2690" t="str">
        <f>"1700"</f>
        <v>1700</v>
      </c>
      <c r="E2690" t="s">
        <v>60</v>
      </c>
      <c r="F2690" t="s">
        <v>2068</v>
      </c>
      <c r="G2690" t="s">
        <v>16221</v>
      </c>
      <c r="H2690" t="s">
        <v>47126</v>
      </c>
      <c r="I2690" t="s">
        <v>47127</v>
      </c>
      <c r="J2690" t="s">
        <v>47128</v>
      </c>
      <c r="K2690" t="s">
        <v>47113</v>
      </c>
      <c r="L2690">
        <v>14.25</v>
      </c>
      <c r="M2690">
        <v>35</v>
      </c>
      <c r="N2690">
        <v>0</v>
      </c>
      <c r="O2690">
        <v>35</v>
      </c>
      <c r="P2690">
        <v>0</v>
      </c>
    </row>
    <row r="2691" spans="1:16" x14ac:dyDescent="0.25">
      <c r="A2691" t="s">
        <v>25152</v>
      </c>
      <c r="B2691" t="s">
        <v>4003</v>
      </c>
      <c r="C2691" t="s">
        <v>4004</v>
      </c>
      <c r="D2691" t="str">
        <f>"2166"</f>
        <v>2166</v>
      </c>
      <c r="E2691" t="s">
        <v>80</v>
      </c>
      <c r="F2691" t="s">
        <v>2068</v>
      </c>
      <c r="G2691" t="s">
        <v>16221</v>
      </c>
      <c r="H2691" t="s">
        <v>47126</v>
      </c>
      <c r="I2691" t="s">
        <v>47127</v>
      </c>
      <c r="J2691" t="s">
        <v>47128</v>
      </c>
      <c r="K2691" t="s">
        <v>47113</v>
      </c>
      <c r="L2691">
        <v>14.25</v>
      </c>
      <c r="M2691">
        <v>35</v>
      </c>
      <c r="N2691">
        <v>0</v>
      </c>
      <c r="O2691">
        <v>35</v>
      </c>
      <c r="P2691">
        <v>0</v>
      </c>
    </row>
    <row r="2692" spans="1:16" x14ac:dyDescent="0.25">
      <c r="A2692" t="s">
        <v>25153</v>
      </c>
      <c r="B2692" t="s">
        <v>4003</v>
      </c>
      <c r="C2692" t="s">
        <v>4004</v>
      </c>
      <c r="D2692" t="str">
        <f>"4201"</f>
        <v>4201</v>
      </c>
      <c r="E2692" t="s">
        <v>1855</v>
      </c>
      <c r="F2692" t="s">
        <v>2068</v>
      </c>
      <c r="G2692" t="s">
        <v>16221</v>
      </c>
      <c r="H2692" t="s">
        <v>47126</v>
      </c>
      <c r="I2692" t="s">
        <v>47127</v>
      </c>
      <c r="J2692" t="s">
        <v>47128</v>
      </c>
      <c r="K2692" t="s">
        <v>47113</v>
      </c>
      <c r="L2692">
        <v>14.25</v>
      </c>
      <c r="M2692">
        <v>35</v>
      </c>
      <c r="N2692">
        <v>0</v>
      </c>
      <c r="O2692">
        <v>35</v>
      </c>
      <c r="P2692">
        <v>0</v>
      </c>
    </row>
    <row r="2693" spans="1:16" x14ac:dyDescent="0.25">
      <c r="A2693" t="s">
        <v>25154</v>
      </c>
      <c r="B2693" t="s">
        <v>4003</v>
      </c>
      <c r="C2693" t="s">
        <v>4004</v>
      </c>
      <c r="D2693" t="str">
        <f>"4753"</f>
        <v>4753</v>
      </c>
      <c r="E2693" t="s">
        <v>3755</v>
      </c>
      <c r="F2693" t="s">
        <v>2068</v>
      </c>
      <c r="G2693" t="s">
        <v>16221</v>
      </c>
      <c r="H2693" t="s">
        <v>47126</v>
      </c>
      <c r="I2693" t="s">
        <v>47127</v>
      </c>
      <c r="J2693" t="s">
        <v>47128</v>
      </c>
      <c r="K2693" t="s">
        <v>47113</v>
      </c>
      <c r="L2693">
        <v>14.25</v>
      </c>
      <c r="M2693">
        <v>35</v>
      </c>
      <c r="N2693">
        <v>0</v>
      </c>
      <c r="O2693">
        <v>35</v>
      </c>
      <c r="P2693">
        <v>0</v>
      </c>
    </row>
    <row r="2694" spans="1:16" x14ac:dyDescent="0.25">
      <c r="A2694" t="s">
        <v>25155</v>
      </c>
      <c r="B2694" t="s">
        <v>4005</v>
      </c>
      <c r="C2694" t="s">
        <v>4006</v>
      </c>
      <c r="D2694" t="str">
        <f>"1106"</f>
        <v>1106</v>
      </c>
      <c r="E2694" t="s">
        <v>460</v>
      </c>
      <c r="F2694" t="s">
        <v>2068</v>
      </c>
      <c r="G2694" t="s">
        <v>16221</v>
      </c>
      <c r="H2694" t="s">
        <v>47126</v>
      </c>
      <c r="I2694" t="s">
        <v>47127</v>
      </c>
      <c r="J2694" t="s">
        <v>47128</v>
      </c>
      <c r="K2694" t="s">
        <v>47113</v>
      </c>
      <c r="L2694">
        <v>13.16</v>
      </c>
      <c r="M2694">
        <v>33</v>
      </c>
      <c r="N2694">
        <v>0</v>
      </c>
      <c r="O2694">
        <v>33</v>
      </c>
      <c r="P2694">
        <v>0</v>
      </c>
    </row>
    <row r="2695" spans="1:16" x14ac:dyDescent="0.25">
      <c r="A2695" t="s">
        <v>25156</v>
      </c>
      <c r="B2695" t="s">
        <v>4005</v>
      </c>
      <c r="C2695" t="s">
        <v>4006</v>
      </c>
      <c r="D2695" t="str">
        <f>"1378"</f>
        <v>1378</v>
      </c>
      <c r="E2695" t="s">
        <v>388</v>
      </c>
      <c r="F2695" t="s">
        <v>2068</v>
      </c>
      <c r="G2695" t="s">
        <v>16221</v>
      </c>
      <c r="H2695" t="s">
        <v>47126</v>
      </c>
      <c r="I2695" t="s">
        <v>47127</v>
      </c>
      <c r="J2695" t="s">
        <v>47128</v>
      </c>
      <c r="K2695" t="s">
        <v>47113</v>
      </c>
      <c r="L2695">
        <v>13.16</v>
      </c>
      <c r="M2695">
        <v>33</v>
      </c>
      <c r="N2695">
        <v>0</v>
      </c>
      <c r="O2695">
        <v>33</v>
      </c>
      <c r="P2695">
        <v>0</v>
      </c>
    </row>
    <row r="2696" spans="1:16" x14ac:dyDescent="0.25">
      <c r="A2696" t="s">
        <v>25157</v>
      </c>
      <c r="B2696" t="s">
        <v>4005</v>
      </c>
      <c r="C2696" t="s">
        <v>4006</v>
      </c>
      <c r="D2696" t="str">
        <f>"1403"</f>
        <v>1403</v>
      </c>
      <c r="E2696" t="s">
        <v>224</v>
      </c>
      <c r="F2696" t="s">
        <v>2068</v>
      </c>
      <c r="G2696" t="s">
        <v>16221</v>
      </c>
      <c r="H2696" t="s">
        <v>47126</v>
      </c>
      <c r="I2696" t="s">
        <v>47127</v>
      </c>
      <c r="J2696" t="s">
        <v>47128</v>
      </c>
      <c r="K2696" t="s">
        <v>47113</v>
      </c>
      <c r="L2696">
        <v>13.16</v>
      </c>
      <c r="M2696">
        <v>33</v>
      </c>
      <c r="N2696">
        <v>0</v>
      </c>
      <c r="O2696">
        <v>33</v>
      </c>
      <c r="P2696">
        <v>0</v>
      </c>
    </row>
    <row r="2697" spans="1:16" x14ac:dyDescent="0.25">
      <c r="A2697" t="s">
        <v>25158</v>
      </c>
      <c r="B2697" t="s">
        <v>4005</v>
      </c>
      <c r="C2697" t="s">
        <v>4006</v>
      </c>
      <c r="D2697" t="str">
        <f>"1700"</f>
        <v>1700</v>
      </c>
      <c r="E2697" t="s">
        <v>60</v>
      </c>
      <c r="F2697" t="s">
        <v>2068</v>
      </c>
      <c r="G2697" t="s">
        <v>16221</v>
      </c>
      <c r="H2697" t="s">
        <v>47126</v>
      </c>
      <c r="I2697" t="s">
        <v>47127</v>
      </c>
      <c r="J2697" t="s">
        <v>47128</v>
      </c>
      <c r="K2697" t="s">
        <v>47113</v>
      </c>
      <c r="L2697">
        <v>13.16</v>
      </c>
      <c r="M2697">
        <v>33</v>
      </c>
      <c r="N2697">
        <v>0</v>
      </c>
      <c r="O2697">
        <v>33</v>
      </c>
      <c r="P2697">
        <v>0</v>
      </c>
    </row>
    <row r="2698" spans="1:16" x14ac:dyDescent="0.25">
      <c r="A2698" t="s">
        <v>25159</v>
      </c>
      <c r="B2698" t="s">
        <v>4005</v>
      </c>
      <c r="C2698" t="s">
        <v>4006</v>
      </c>
      <c r="D2698" t="str">
        <f>"3501"</f>
        <v>3501</v>
      </c>
      <c r="E2698" t="s">
        <v>3758</v>
      </c>
      <c r="F2698" t="s">
        <v>2068</v>
      </c>
      <c r="G2698" t="s">
        <v>16221</v>
      </c>
      <c r="H2698" t="s">
        <v>47126</v>
      </c>
      <c r="I2698" t="s">
        <v>47127</v>
      </c>
      <c r="J2698" t="s">
        <v>47128</v>
      </c>
      <c r="K2698" t="s">
        <v>47113</v>
      </c>
      <c r="L2698">
        <v>13.16</v>
      </c>
      <c r="M2698">
        <v>33</v>
      </c>
      <c r="N2698">
        <v>0</v>
      </c>
      <c r="O2698">
        <v>33</v>
      </c>
      <c r="P2698">
        <v>0</v>
      </c>
    </row>
    <row r="2699" spans="1:16" x14ac:dyDescent="0.25">
      <c r="A2699" t="s">
        <v>25160</v>
      </c>
      <c r="B2699" t="s">
        <v>4005</v>
      </c>
      <c r="C2699" t="s">
        <v>4006</v>
      </c>
      <c r="D2699" t="str">
        <f>"4000"</f>
        <v>4000</v>
      </c>
      <c r="E2699" t="s">
        <v>190</v>
      </c>
      <c r="F2699" t="s">
        <v>2068</v>
      </c>
      <c r="G2699" t="s">
        <v>16221</v>
      </c>
      <c r="H2699" t="s">
        <v>47126</v>
      </c>
      <c r="I2699" t="s">
        <v>47127</v>
      </c>
      <c r="J2699" t="s">
        <v>47128</v>
      </c>
      <c r="K2699" t="s">
        <v>47113</v>
      </c>
      <c r="L2699">
        <v>13.16</v>
      </c>
      <c r="M2699">
        <v>33</v>
      </c>
      <c r="N2699">
        <v>0</v>
      </c>
      <c r="O2699">
        <v>33</v>
      </c>
      <c r="P2699">
        <v>0</v>
      </c>
    </row>
    <row r="2700" spans="1:16" x14ac:dyDescent="0.25">
      <c r="A2700" t="s">
        <v>25161</v>
      </c>
      <c r="B2700" t="s">
        <v>4005</v>
      </c>
      <c r="C2700" t="s">
        <v>4006</v>
      </c>
      <c r="D2700" t="str">
        <f>"4201"</f>
        <v>4201</v>
      </c>
      <c r="E2700" t="s">
        <v>1855</v>
      </c>
      <c r="F2700" t="s">
        <v>2068</v>
      </c>
      <c r="G2700" t="s">
        <v>16221</v>
      </c>
      <c r="H2700" t="s">
        <v>47126</v>
      </c>
      <c r="I2700" t="s">
        <v>47127</v>
      </c>
      <c r="J2700" t="s">
        <v>47128</v>
      </c>
      <c r="K2700" t="s">
        <v>47113</v>
      </c>
      <c r="L2700">
        <v>13.16</v>
      </c>
      <c r="M2700">
        <v>33</v>
      </c>
      <c r="N2700">
        <v>0</v>
      </c>
      <c r="O2700">
        <v>33</v>
      </c>
      <c r="P2700">
        <v>0</v>
      </c>
    </row>
    <row r="2701" spans="1:16" x14ac:dyDescent="0.25">
      <c r="A2701" t="s">
        <v>25162</v>
      </c>
      <c r="B2701" t="s">
        <v>4007</v>
      </c>
      <c r="C2701" t="s">
        <v>4008</v>
      </c>
      <c r="D2701" t="str">
        <f>"1106"</f>
        <v>1106</v>
      </c>
      <c r="E2701" t="s">
        <v>460</v>
      </c>
      <c r="F2701" t="s">
        <v>2068</v>
      </c>
      <c r="G2701" t="s">
        <v>16221</v>
      </c>
      <c r="H2701" t="s">
        <v>47126</v>
      </c>
      <c r="I2701" t="s">
        <v>47127</v>
      </c>
      <c r="J2701" t="s">
        <v>47128</v>
      </c>
      <c r="K2701" t="s">
        <v>47113</v>
      </c>
      <c r="L2701">
        <v>14.25</v>
      </c>
      <c r="M2701">
        <v>35</v>
      </c>
      <c r="N2701">
        <v>0</v>
      </c>
      <c r="O2701">
        <v>35</v>
      </c>
      <c r="P2701">
        <v>0</v>
      </c>
    </row>
    <row r="2702" spans="1:16" x14ac:dyDescent="0.25">
      <c r="A2702" t="s">
        <v>25163</v>
      </c>
      <c r="B2702" t="s">
        <v>4007</v>
      </c>
      <c r="C2702" t="s">
        <v>4008</v>
      </c>
      <c r="D2702" t="str">
        <f>"1378"</f>
        <v>1378</v>
      </c>
      <c r="E2702" t="s">
        <v>388</v>
      </c>
      <c r="F2702" t="s">
        <v>2068</v>
      </c>
      <c r="G2702" t="s">
        <v>16221</v>
      </c>
      <c r="H2702" t="s">
        <v>47126</v>
      </c>
      <c r="I2702" t="s">
        <v>47127</v>
      </c>
      <c r="J2702" t="s">
        <v>47128</v>
      </c>
      <c r="K2702" t="s">
        <v>47113</v>
      </c>
      <c r="L2702">
        <v>14.25</v>
      </c>
      <c r="M2702">
        <v>35</v>
      </c>
      <c r="N2702">
        <v>0</v>
      </c>
      <c r="O2702">
        <v>35</v>
      </c>
      <c r="P2702">
        <v>0</v>
      </c>
    </row>
    <row r="2703" spans="1:16" x14ac:dyDescent="0.25">
      <c r="A2703" t="s">
        <v>25164</v>
      </c>
      <c r="B2703" t="s">
        <v>4007</v>
      </c>
      <c r="C2703" t="s">
        <v>4008</v>
      </c>
      <c r="D2703" t="str">
        <f>"1700"</f>
        <v>1700</v>
      </c>
      <c r="E2703" t="s">
        <v>60</v>
      </c>
      <c r="F2703" t="s">
        <v>2068</v>
      </c>
      <c r="G2703" t="s">
        <v>16221</v>
      </c>
      <c r="H2703" t="s">
        <v>47126</v>
      </c>
      <c r="I2703" t="s">
        <v>47127</v>
      </c>
      <c r="J2703" t="s">
        <v>47128</v>
      </c>
      <c r="K2703" t="s">
        <v>47113</v>
      </c>
      <c r="L2703">
        <v>14.25</v>
      </c>
      <c r="M2703">
        <v>35</v>
      </c>
      <c r="N2703">
        <v>0</v>
      </c>
      <c r="O2703">
        <v>35</v>
      </c>
      <c r="P2703">
        <v>0</v>
      </c>
    </row>
    <row r="2704" spans="1:16" x14ac:dyDescent="0.25">
      <c r="A2704" t="s">
        <v>25165</v>
      </c>
      <c r="B2704" t="s">
        <v>4007</v>
      </c>
      <c r="C2704" t="s">
        <v>4008</v>
      </c>
      <c r="D2704" t="str">
        <f>"2166"</f>
        <v>2166</v>
      </c>
      <c r="E2704" t="s">
        <v>80</v>
      </c>
      <c r="F2704" t="s">
        <v>2068</v>
      </c>
      <c r="G2704" t="s">
        <v>16221</v>
      </c>
      <c r="H2704" t="s">
        <v>47126</v>
      </c>
      <c r="I2704" t="s">
        <v>47127</v>
      </c>
      <c r="J2704" t="s">
        <v>47128</v>
      </c>
      <c r="K2704" t="s">
        <v>47113</v>
      </c>
      <c r="L2704">
        <v>14.25</v>
      </c>
      <c r="M2704">
        <v>35</v>
      </c>
      <c r="N2704">
        <v>0</v>
      </c>
      <c r="O2704">
        <v>35</v>
      </c>
      <c r="P2704">
        <v>0</v>
      </c>
    </row>
    <row r="2705" spans="1:16" x14ac:dyDescent="0.25">
      <c r="A2705" t="s">
        <v>25166</v>
      </c>
      <c r="B2705" t="s">
        <v>4007</v>
      </c>
      <c r="C2705" t="s">
        <v>4008</v>
      </c>
      <c r="D2705" t="str">
        <f>"4000"</f>
        <v>4000</v>
      </c>
      <c r="E2705" t="s">
        <v>190</v>
      </c>
      <c r="F2705" t="s">
        <v>2068</v>
      </c>
      <c r="G2705" t="s">
        <v>16221</v>
      </c>
      <c r="H2705" t="s">
        <v>47126</v>
      </c>
      <c r="I2705" t="s">
        <v>47127</v>
      </c>
      <c r="J2705" t="s">
        <v>47128</v>
      </c>
      <c r="K2705" t="s">
        <v>47113</v>
      </c>
      <c r="L2705">
        <v>14.25</v>
      </c>
      <c r="M2705">
        <v>35</v>
      </c>
      <c r="N2705">
        <v>0</v>
      </c>
      <c r="O2705">
        <v>35</v>
      </c>
      <c r="P2705">
        <v>0</v>
      </c>
    </row>
    <row r="2706" spans="1:16" x14ac:dyDescent="0.25">
      <c r="A2706" t="s">
        <v>25167</v>
      </c>
      <c r="B2706" t="s">
        <v>4007</v>
      </c>
      <c r="C2706" t="s">
        <v>4008</v>
      </c>
      <c r="D2706" t="str">
        <f>"4201"</f>
        <v>4201</v>
      </c>
      <c r="E2706" t="s">
        <v>1855</v>
      </c>
      <c r="F2706" t="s">
        <v>2068</v>
      </c>
      <c r="G2706" t="s">
        <v>16221</v>
      </c>
      <c r="H2706" t="s">
        <v>47126</v>
      </c>
      <c r="I2706" t="s">
        <v>47127</v>
      </c>
      <c r="J2706" t="s">
        <v>47128</v>
      </c>
      <c r="K2706" t="s">
        <v>47113</v>
      </c>
      <c r="L2706">
        <v>14.25</v>
      </c>
      <c r="M2706">
        <v>35</v>
      </c>
      <c r="N2706">
        <v>0</v>
      </c>
      <c r="O2706">
        <v>35</v>
      </c>
      <c r="P2706">
        <v>0</v>
      </c>
    </row>
    <row r="2707" spans="1:16" x14ac:dyDescent="0.25">
      <c r="A2707" t="s">
        <v>25168</v>
      </c>
      <c r="B2707" t="s">
        <v>4007</v>
      </c>
      <c r="C2707" t="s">
        <v>4008</v>
      </c>
      <c r="D2707" t="str">
        <f>"4753"</f>
        <v>4753</v>
      </c>
      <c r="E2707" t="s">
        <v>3755</v>
      </c>
      <c r="F2707" t="s">
        <v>2068</v>
      </c>
      <c r="G2707" t="s">
        <v>16221</v>
      </c>
      <c r="H2707" t="s">
        <v>47126</v>
      </c>
      <c r="I2707" t="s">
        <v>47127</v>
      </c>
      <c r="J2707" t="s">
        <v>47128</v>
      </c>
      <c r="K2707" t="s">
        <v>47113</v>
      </c>
      <c r="L2707">
        <v>14.25</v>
      </c>
      <c r="M2707">
        <v>35</v>
      </c>
      <c r="N2707">
        <v>0</v>
      </c>
      <c r="O2707">
        <v>35</v>
      </c>
      <c r="P2707">
        <v>0</v>
      </c>
    </row>
    <row r="2708" spans="1:16" x14ac:dyDescent="0.25">
      <c r="A2708" t="s">
        <v>25169</v>
      </c>
      <c r="B2708" t="s">
        <v>4009</v>
      </c>
      <c r="C2708" t="s">
        <v>4010</v>
      </c>
      <c r="D2708" t="str">
        <f>"1106"</f>
        <v>1106</v>
      </c>
      <c r="E2708" t="s">
        <v>460</v>
      </c>
      <c r="F2708" t="s">
        <v>2068</v>
      </c>
      <c r="G2708" t="s">
        <v>16221</v>
      </c>
      <c r="H2708" t="s">
        <v>47126</v>
      </c>
      <c r="I2708" t="s">
        <v>47127</v>
      </c>
      <c r="J2708" t="s">
        <v>47128</v>
      </c>
      <c r="K2708" t="s">
        <v>47113</v>
      </c>
      <c r="L2708">
        <v>13.16</v>
      </c>
      <c r="M2708">
        <v>33</v>
      </c>
      <c r="N2708">
        <v>0</v>
      </c>
      <c r="O2708">
        <v>33</v>
      </c>
      <c r="P2708">
        <v>0</v>
      </c>
    </row>
    <row r="2709" spans="1:16" x14ac:dyDescent="0.25">
      <c r="A2709" t="s">
        <v>25170</v>
      </c>
      <c r="B2709" t="s">
        <v>4009</v>
      </c>
      <c r="C2709" t="s">
        <v>4010</v>
      </c>
      <c r="D2709" t="str">
        <f>"1377"</f>
        <v>1377</v>
      </c>
      <c r="E2709" t="s">
        <v>74</v>
      </c>
      <c r="F2709" t="s">
        <v>2068</v>
      </c>
      <c r="G2709" t="s">
        <v>16221</v>
      </c>
      <c r="H2709" t="s">
        <v>47126</v>
      </c>
      <c r="I2709" t="s">
        <v>47127</v>
      </c>
      <c r="J2709" t="s">
        <v>47128</v>
      </c>
      <c r="K2709" t="s">
        <v>47113</v>
      </c>
      <c r="L2709">
        <v>13.16</v>
      </c>
      <c r="M2709">
        <v>33</v>
      </c>
      <c r="N2709">
        <v>0</v>
      </c>
      <c r="O2709">
        <v>33</v>
      </c>
      <c r="P2709">
        <v>0</v>
      </c>
    </row>
    <row r="2710" spans="1:16" x14ac:dyDescent="0.25">
      <c r="A2710" t="s">
        <v>25171</v>
      </c>
      <c r="B2710" t="s">
        <v>4009</v>
      </c>
      <c r="C2710" t="s">
        <v>4010</v>
      </c>
      <c r="D2710" t="str">
        <f>"1403"</f>
        <v>1403</v>
      </c>
      <c r="E2710" t="s">
        <v>224</v>
      </c>
      <c r="F2710" t="s">
        <v>2068</v>
      </c>
      <c r="G2710" t="s">
        <v>16221</v>
      </c>
      <c r="H2710" t="s">
        <v>47126</v>
      </c>
      <c r="I2710" t="s">
        <v>47127</v>
      </c>
      <c r="J2710" t="s">
        <v>47128</v>
      </c>
      <c r="K2710" t="s">
        <v>47113</v>
      </c>
      <c r="L2710">
        <v>13.16</v>
      </c>
      <c r="M2710">
        <v>33</v>
      </c>
      <c r="N2710">
        <v>0</v>
      </c>
      <c r="O2710">
        <v>33</v>
      </c>
      <c r="P2710">
        <v>0</v>
      </c>
    </row>
    <row r="2711" spans="1:16" x14ac:dyDescent="0.25">
      <c r="A2711" t="s">
        <v>25172</v>
      </c>
      <c r="B2711" t="s">
        <v>4009</v>
      </c>
      <c r="C2711" t="s">
        <v>4010</v>
      </c>
      <c r="D2711" t="str">
        <f>"1700"</f>
        <v>1700</v>
      </c>
      <c r="E2711" t="s">
        <v>60</v>
      </c>
      <c r="F2711" t="s">
        <v>2068</v>
      </c>
      <c r="G2711" t="s">
        <v>16221</v>
      </c>
      <c r="H2711" t="s">
        <v>47126</v>
      </c>
      <c r="I2711" t="s">
        <v>47127</v>
      </c>
      <c r="J2711" t="s">
        <v>47128</v>
      </c>
      <c r="K2711" t="s">
        <v>47113</v>
      </c>
      <c r="L2711">
        <v>13.16</v>
      </c>
      <c r="M2711">
        <v>33</v>
      </c>
      <c r="N2711">
        <v>0</v>
      </c>
      <c r="O2711">
        <v>33</v>
      </c>
      <c r="P2711">
        <v>0</v>
      </c>
    </row>
    <row r="2712" spans="1:16" x14ac:dyDescent="0.25">
      <c r="A2712" t="s">
        <v>14886</v>
      </c>
      <c r="B2712" t="s">
        <v>4009</v>
      </c>
      <c r="C2712" t="s">
        <v>4010</v>
      </c>
      <c r="D2712" t="str">
        <f>"4000"</f>
        <v>4000</v>
      </c>
      <c r="E2712" t="s">
        <v>190</v>
      </c>
      <c r="F2712" t="s">
        <v>2068</v>
      </c>
      <c r="G2712" t="s">
        <v>16221</v>
      </c>
      <c r="H2712" t="s">
        <v>47126</v>
      </c>
      <c r="I2712" t="s">
        <v>47127</v>
      </c>
      <c r="J2712" t="s">
        <v>47128</v>
      </c>
      <c r="K2712" t="s">
        <v>47113</v>
      </c>
      <c r="L2712">
        <v>13.16</v>
      </c>
      <c r="M2712">
        <v>33</v>
      </c>
      <c r="N2712">
        <v>0</v>
      </c>
      <c r="O2712">
        <v>33</v>
      </c>
      <c r="P2712">
        <v>0</v>
      </c>
    </row>
    <row r="2713" spans="1:16" x14ac:dyDescent="0.25">
      <c r="A2713" t="s">
        <v>25173</v>
      </c>
      <c r="B2713" t="s">
        <v>4009</v>
      </c>
      <c r="C2713" t="s">
        <v>4010</v>
      </c>
      <c r="D2713" t="str">
        <f>"4201"</f>
        <v>4201</v>
      </c>
      <c r="E2713" t="s">
        <v>1855</v>
      </c>
      <c r="F2713" t="s">
        <v>2068</v>
      </c>
      <c r="G2713" t="s">
        <v>16221</v>
      </c>
      <c r="H2713" t="s">
        <v>47126</v>
      </c>
      <c r="I2713" t="s">
        <v>47127</v>
      </c>
      <c r="J2713" t="s">
        <v>47128</v>
      </c>
      <c r="K2713" t="s">
        <v>47113</v>
      </c>
      <c r="L2713">
        <v>13.16</v>
      </c>
      <c r="M2713">
        <v>33</v>
      </c>
      <c r="N2713">
        <v>0</v>
      </c>
      <c r="O2713">
        <v>33</v>
      </c>
      <c r="P2713">
        <v>0</v>
      </c>
    </row>
    <row r="2714" spans="1:16" x14ac:dyDescent="0.25">
      <c r="A2714" t="s">
        <v>25174</v>
      </c>
      <c r="B2714" t="s">
        <v>4009</v>
      </c>
      <c r="C2714" t="s">
        <v>4010</v>
      </c>
      <c r="D2714" t="str">
        <f>"4753"</f>
        <v>4753</v>
      </c>
      <c r="E2714" t="s">
        <v>3755</v>
      </c>
      <c r="F2714" t="s">
        <v>2068</v>
      </c>
      <c r="G2714" t="s">
        <v>16221</v>
      </c>
      <c r="H2714" t="s">
        <v>47126</v>
      </c>
      <c r="I2714" t="s">
        <v>47127</v>
      </c>
      <c r="J2714" t="s">
        <v>47128</v>
      </c>
      <c r="K2714" t="s">
        <v>47113</v>
      </c>
      <c r="L2714">
        <v>13.16</v>
      </c>
      <c r="M2714">
        <v>33</v>
      </c>
      <c r="N2714">
        <v>0</v>
      </c>
      <c r="O2714">
        <v>33</v>
      </c>
      <c r="P2714">
        <v>0</v>
      </c>
    </row>
    <row r="2715" spans="1:16" x14ac:dyDescent="0.25">
      <c r="A2715" t="s">
        <v>25175</v>
      </c>
      <c r="B2715" t="s">
        <v>4009</v>
      </c>
      <c r="C2715" t="s">
        <v>4010</v>
      </c>
      <c r="D2715" t="str">
        <f>"6276"</f>
        <v>6276</v>
      </c>
      <c r="E2715" t="s">
        <v>3867</v>
      </c>
      <c r="F2715" t="s">
        <v>2068</v>
      </c>
      <c r="G2715" t="s">
        <v>16221</v>
      </c>
      <c r="H2715" t="s">
        <v>47126</v>
      </c>
      <c r="I2715" t="s">
        <v>47127</v>
      </c>
      <c r="J2715" t="s">
        <v>47128</v>
      </c>
      <c r="K2715" t="s">
        <v>47113</v>
      </c>
      <c r="L2715">
        <v>13.16</v>
      </c>
      <c r="M2715">
        <v>33</v>
      </c>
      <c r="N2715">
        <v>0</v>
      </c>
      <c r="O2715">
        <v>33</v>
      </c>
      <c r="P2715">
        <v>0</v>
      </c>
    </row>
    <row r="2716" spans="1:16" x14ac:dyDescent="0.25">
      <c r="A2716" t="s">
        <v>25176</v>
      </c>
      <c r="B2716" t="s">
        <v>4011</v>
      </c>
      <c r="C2716" t="s">
        <v>4012</v>
      </c>
      <c r="D2716" t="str">
        <f>"1106"</f>
        <v>1106</v>
      </c>
      <c r="E2716" t="s">
        <v>460</v>
      </c>
      <c r="F2716" t="s">
        <v>2068</v>
      </c>
      <c r="G2716" t="s">
        <v>16221</v>
      </c>
      <c r="H2716" t="s">
        <v>47126</v>
      </c>
      <c r="I2716" t="s">
        <v>47127</v>
      </c>
      <c r="J2716" t="s">
        <v>47128</v>
      </c>
      <c r="K2716" t="s">
        <v>47113</v>
      </c>
      <c r="L2716">
        <v>14.25</v>
      </c>
      <c r="M2716">
        <v>35</v>
      </c>
      <c r="N2716">
        <v>0</v>
      </c>
      <c r="O2716">
        <v>35</v>
      </c>
      <c r="P2716">
        <v>0</v>
      </c>
    </row>
    <row r="2717" spans="1:16" x14ac:dyDescent="0.25">
      <c r="A2717" t="s">
        <v>25177</v>
      </c>
      <c r="B2717" t="s">
        <v>4011</v>
      </c>
      <c r="C2717" t="s">
        <v>4012</v>
      </c>
      <c r="D2717" t="str">
        <f>"1378"</f>
        <v>1378</v>
      </c>
      <c r="E2717" t="s">
        <v>388</v>
      </c>
      <c r="F2717" t="s">
        <v>2068</v>
      </c>
      <c r="G2717" t="s">
        <v>16221</v>
      </c>
      <c r="H2717" t="s">
        <v>47126</v>
      </c>
      <c r="I2717" t="s">
        <v>47127</v>
      </c>
      <c r="J2717" t="s">
        <v>47128</v>
      </c>
      <c r="K2717" t="s">
        <v>47113</v>
      </c>
      <c r="L2717">
        <v>14.25</v>
      </c>
      <c r="M2717">
        <v>35</v>
      </c>
      <c r="N2717">
        <v>0</v>
      </c>
      <c r="O2717">
        <v>35</v>
      </c>
      <c r="P2717">
        <v>0</v>
      </c>
    </row>
    <row r="2718" spans="1:16" x14ac:dyDescent="0.25">
      <c r="A2718" t="s">
        <v>25178</v>
      </c>
      <c r="B2718" t="s">
        <v>4011</v>
      </c>
      <c r="C2718" t="s">
        <v>4012</v>
      </c>
      <c r="D2718" t="str">
        <f>"1700"</f>
        <v>1700</v>
      </c>
      <c r="E2718" t="s">
        <v>60</v>
      </c>
      <c r="F2718" t="s">
        <v>2068</v>
      </c>
      <c r="G2718" t="s">
        <v>16221</v>
      </c>
      <c r="H2718" t="s">
        <v>47126</v>
      </c>
      <c r="I2718" t="s">
        <v>47127</v>
      </c>
      <c r="J2718" t="s">
        <v>47128</v>
      </c>
      <c r="K2718" t="s">
        <v>47113</v>
      </c>
      <c r="L2718">
        <v>14.25</v>
      </c>
      <c r="M2718">
        <v>35</v>
      </c>
      <c r="N2718">
        <v>0</v>
      </c>
      <c r="O2718">
        <v>35</v>
      </c>
      <c r="P2718">
        <v>0</v>
      </c>
    </row>
    <row r="2719" spans="1:16" x14ac:dyDescent="0.25">
      <c r="A2719" t="s">
        <v>25179</v>
      </c>
      <c r="B2719" t="s">
        <v>4011</v>
      </c>
      <c r="C2719" t="s">
        <v>4012</v>
      </c>
      <c r="D2719" t="str">
        <f>"2160"</f>
        <v>2160</v>
      </c>
      <c r="E2719" t="s">
        <v>4013</v>
      </c>
      <c r="F2719" t="s">
        <v>2068</v>
      </c>
      <c r="G2719" t="s">
        <v>16221</v>
      </c>
      <c r="H2719" t="s">
        <v>47126</v>
      </c>
      <c r="I2719" t="s">
        <v>47127</v>
      </c>
      <c r="J2719" t="s">
        <v>47128</v>
      </c>
      <c r="K2719" t="s">
        <v>47113</v>
      </c>
      <c r="L2719">
        <v>14.25</v>
      </c>
      <c r="M2719">
        <v>35</v>
      </c>
      <c r="N2719">
        <v>0</v>
      </c>
      <c r="O2719">
        <v>35</v>
      </c>
      <c r="P2719">
        <v>0</v>
      </c>
    </row>
    <row r="2720" spans="1:16" x14ac:dyDescent="0.25">
      <c r="A2720" t="s">
        <v>25180</v>
      </c>
      <c r="B2720" t="s">
        <v>4011</v>
      </c>
      <c r="C2720" t="s">
        <v>4012</v>
      </c>
      <c r="D2720" t="str">
        <f>"2166"</f>
        <v>2166</v>
      </c>
      <c r="E2720" t="s">
        <v>80</v>
      </c>
      <c r="F2720" t="s">
        <v>2068</v>
      </c>
      <c r="G2720" t="s">
        <v>16221</v>
      </c>
      <c r="H2720" t="s">
        <v>47126</v>
      </c>
      <c r="I2720" t="s">
        <v>47127</v>
      </c>
      <c r="J2720" t="s">
        <v>47128</v>
      </c>
      <c r="K2720" t="s">
        <v>47113</v>
      </c>
      <c r="L2720">
        <v>14.25</v>
      </c>
      <c r="M2720">
        <v>35</v>
      </c>
      <c r="N2720">
        <v>0</v>
      </c>
      <c r="O2720">
        <v>35</v>
      </c>
      <c r="P2720">
        <v>0</v>
      </c>
    </row>
    <row r="2721" spans="1:16" x14ac:dyDescent="0.25">
      <c r="A2721" t="s">
        <v>25181</v>
      </c>
      <c r="B2721" t="s">
        <v>4011</v>
      </c>
      <c r="C2721" t="s">
        <v>4012</v>
      </c>
      <c r="D2721" t="str">
        <f>"4000"</f>
        <v>4000</v>
      </c>
      <c r="E2721" t="s">
        <v>190</v>
      </c>
      <c r="F2721" t="s">
        <v>2068</v>
      </c>
      <c r="G2721" t="s">
        <v>16221</v>
      </c>
      <c r="H2721" t="s">
        <v>47126</v>
      </c>
      <c r="I2721" t="s">
        <v>47127</v>
      </c>
      <c r="J2721" t="s">
        <v>47128</v>
      </c>
      <c r="K2721" t="s">
        <v>47113</v>
      </c>
      <c r="L2721">
        <v>14.25</v>
      </c>
      <c r="M2721">
        <v>35</v>
      </c>
      <c r="N2721">
        <v>0</v>
      </c>
      <c r="O2721">
        <v>35</v>
      </c>
      <c r="P2721">
        <v>0</v>
      </c>
    </row>
    <row r="2722" spans="1:16" x14ac:dyDescent="0.25">
      <c r="A2722" t="s">
        <v>25182</v>
      </c>
      <c r="B2722" t="s">
        <v>4011</v>
      </c>
      <c r="C2722" t="s">
        <v>4012</v>
      </c>
      <c r="D2722" t="str">
        <f>"4201"</f>
        <v>4201</v>
      </c>
      <c r="E2722" t="s">
        <v>1855</v>
      </c>
      <c r="F2722" t="s">
        <v>2068</v>
      </c>
      <c r="G2722" t="s">
        <v>16221</v>
      </c>
      <c r="H2722" t="s">
        <v>47126</v>
      </c>
      <c r="I2722" t="s">
        <v>47127</v>
      </c>
      <c r="J2722" t="s">
        <v>47128</v>
      </c>
      <c r="K2722" t="s">
        <v>47113</v>
      </c>
      <c r="L2722">
        <v>14.25</v>
      </c>
      <c r="M2722">
        <v>35</v>
      </c>
      <c r="N2722">
        <v>0</v>
      </c>
      <c r="O2722">
        <v>35</v>
      </c>
      <c r="P2722">
        <v>0</v>
      </c>
    </row>
    <row r="2723" spans="1:16" x14ac:dyDescent="0.25">
      <c r="A2723" t="s">
        <v>25183</v>
      </c>
      <c r="B2723" t="s">
        <v>4011</v>
      </c>
      <c r="C2723" t="s">
        <v>4012</v>
      </c>
      <c r="D2723" t="str">
        <f>"4753"</f>
        <v>4753</v>
      </c>
      <c r="E2723" t="s">
        <v>3755</v>
      </c>
      <c r="F2723" t="s">
        <v>2068</v>
      </c>
      <c r="G2723" t="s">
        <v>16221</v>
      </c>
      <c r="H2723" t="s">
        <v>47126</v>
      </c>
      <c r="I2723" t="s">
        <v>47127</v>
      </c>
      <c r="J2723" t="s">
        <v>47128</v>
      </c>
      <c r="K2723" t="s">
        <v>47113</v>
      </c>
      <c r="L2723">
        <v>14.25</v>
      </c>
      <c r="M2723">
        <v>35</v>
      </c>
      <c r="N2723">
        <v>0</v>
      </c>
      <c r="O2723">
        <v>35</v>
      </c>
      <c r="P2723">
        <v>0</v>
      </c>
    </row>
    <row r="2724" spans="1:16" x14ac:dyDescent="0.25">
      <c r="A2724" t="s">
        <v>25184</v>
      </c>
      <c r="B2724" t="s">
        <v>4014</v>
      </c>
      <c r="C2724" t="s">
        <v>4015</v>
      </c>
      <c r="D2724" t="str">
        <f>"1106"</f>
        <v>1106</v>
      </c>
      <c r="E2724" t="s">
        <v>460</v>
      </c>
      <c r="F2724" t="s">
        <v>2068</v>
      </c>
      <c r="G2724" t="s">
        <v>16221</v>
      </c>
      <c r="H2724" t="s">
        <v>47126</v>
      </c>
      <c r="I2724" t="s">
        <v>47127</v>
      </c>
      <c r="J2724" t="s">
        <v>47128</v>
      </c>
      <c r="K2724" t="s">
        <v>47113</v>
      </c>
      <c r="L2724">
        <v>13.16</v>
      </c>
      <c r="M2724">
        <v>33</v>
      </c>
      <c r="N2724">
        <v>0</v>
      </c>
      <c r="O2724">
        <v>33</v>
      </c>
      <c r="P2724">
        <v>0</v>
      </c>
    </row>
    <row r="2725" spans="1:16" x14ac:dyDescent="0.25">
      <c r="A2725" t="s">
        <v>25185</v>
      </c>
      <c r="B2725" t="s">
        <v>4014</v>
      </c>
      <c r="C2725" t="s">
        <v>4015</v>
      </c>
      <c r="D2725" t="str">
        <f>"1378"</f>
        <v>1378</v>
      </c>
      <c r="E2725" t="s">
        <v>388</v>
      </c>
      <c r="F2725" t="s">
        <v>2068</v>
      </c>
      <c r="G2725" t="s">
        <v>16221</v>
      </c>
      <c r="H2725" t="s">
        <v>47126</v>
      </c>
      <c r="I2725" t="s">
        <v>47127</v>
      </c>
      <c r="J2725" t="s">
        <v>47128</v>
      </c>
      <c r="K2725" t="s">
        <v>47113</v>
      </c>
      <c r="L2725">
        <v>13.16</v>
      </c>
      <c r="M2725">
        <v>33</v>
      </c>
      <c r="N2725">
        <v>0</v>
      </c>
      <c r="O2725">
        <v>33</v>
      </c>
      <c r="P2725">
        <v>0</v>
      </c>
    </row>
    <row r="2726" spans="1:16" x14ac:dyDescent="0.25">
      <c r="A2726" t="s">
        <v>25186</v>
      </c>
      <c r="B2726" t="s">
        <v>4014</v>
      </c>
      <c r="C2726" t="s">
        <v>4015</v>
      </c>
      <c r="D2726" t="str">
        <f>"1403"</f>
        <v>1403</v>
      </c>
      <c r="E2726" t="s">
        <v>224</v>
      </c>
      <c r="F2726" t="s">
        <v>2068</v>
      </c>
      <c r="G2726" t="s">
        <v>16221</v>
      </c>
      <c r="H2726" t="s">
        <v>47126</v>
      </c>
      <c r="I2726" t="s">
        <v>47127</v>
      </c>
      <c r="J2726" t="s">
        <v>47128</v>
      </c>
      <c r="K2726" t="s">
        <v>47113</v>
      </c>
      <c r="L2726">
        <v>13.16</v>
      </c>
      <c r="M2726">
        <v>33</v>
      </c>
      <c r="N2726">
        <v>0</v>
      </c>
      <c r="O2726">
        <v>33</v>
      </c>
      <c r="P2726">
        <v>0</v>
      </c>
    </row>
    <row r="2727" spans="1:16" x14ac:dyDescent="0.25">
      <c r="A2727" t="s">
        <v>25187</v>
      </c>
      <c r="B2727" t="s">
        <v>4014</v>
      </c>
      <c r="C2727" t="s">
        <v>4015</v>
      </c>
      <c r="D2727" t="str">
        <f>"1700"</f>
        <v>1700</v>
      </c>
      <c r="E2727" t="s">
        <v>60</v>
      </c>
      <c r="F2727" t="s">
        <v>2068</v>
      </c>
      <c r="G2727" t="s">
        <v>16221</v>
      </c>
      <c r="H2727" t="s">
        <v>47126</v>
      </c>
      <c r="I2727" t="s">
        <v>47127</v>
      </c>
      <c r="J2727" t="s">
        <v>47128</v>
      </c>
      <c r="K2727" t="s">
        <v>47113</v>
      </c>
      <c r="L2727">
        <v>13.16</v>
      </c>
      <c r="M2727">
        <v>33</v>
      </c>
      <c r="N2727">
        <v>0</v>
      </c>
      <c r="O2727">
        <v>33</v>
      </c>
      <c r="P2727">
        <v>0</v>
      </c>
    </row>
    <row r="2728" spans="1:16" x14ac:dyDescent="0.25">
      <c r="A2728" t="s">
        <v>25188</v>
      </c>
      <c r="B2728" t="s">
        <v>4014</v>
      </c>
      <c r="C2728" t="s">
        <v>4015</v>
      </c>
      <c r="D2728" t="str">
        <f>"3501"</f>
        <v>3501</v>
      </c>
      <c r="E2728" t="s">
        <v>3758</v>
      </c>
      <c r="F2728" t="s">
        <v>2068</v>
      </c>
      <c r="G2728" t="s">
        <v>16221</v>
      </c>
      <c r="H2728" t="s">
        <v>47126</v>
      </c>
      <c r="I2728" t="s">
        <v>47127</v>
      </c>
      <c r="J2728" t="s">
        <v>47128</v>
      </c>
      <c r="K2728" t="s">
        <v>47113</v>
      </c>
      <c r="L2728">
        <v>13.16</v>
      </c>
      <c r="M2728">
        <v>33</v>
      </c>
      <c r="N2728">
        <v>0</v>
      </c>
      <c r="O2728">
        <v>33</v>
      </c>
      <c r="P2728">
        <v>0</v>
      </c>
    </row>
    <row r="2729" spans="1:16" x14ac:dyDescent="0.25">
      <c r="A2729" t="s">
        <v>25189</v>
      </c>
      <c r="B2729" t="s">
        <v>4014</v>
      </c>
      <c r="C2729" t="s">
        <v>4015</v>
      </c>
      <c r="D2729" t="str">
        <f>"4000"</f>
        <v>4000</v>
      </c>
      <c r="E2729" t="s">
        <v>190</v>
      </c>
      <c r="F2729" t="s">
        <v>2068</v>
      </c>
      <c r="G2729" t="s">
        <v>16221</v>
      </c>
      <c r="H2729" t="s">
        <v>47126</v>
      </c>
      <c r="I2729" t="s">
        <v>47127</v>
      </c>
      <c r="J2729" t="s">
        <v>47128</v>
      </c>
      <c r="K2729" t="s">
        <v>47113</v>
      </c>
      <c r="L2729">
        <v>13.16</v>
      </c>
      <c r="M2729">
        <v>33</v>
      </c>
      <c r="N2729">
        <v>0</v>
      </c>
      <c r="O2729">
        <v>33</v>
      </c>
      <c r="P2729">
        <v>0</v>
      </c>
    </row>
    <row r="2730" spans="1:16" x14ac:dyDescent="0.25">
      <c r="A2730" t="s">
        <v>25190</v>
      </c>
      <c r="B2730" t="s">
        <v>4014</v>
      </c>
      <c r="C2730" t="s">
        <v>4015</v>
      </c>
      <c r="D2730" t="str">
        <f>"4201"</f>
        <v>4201</v>
      </c>
      <c r="E2730" t="s">
        <v>1855</v>
      </c>
      <c r="F2730" t="s">
        <v>2068</v>
      </c>
      <c r="G2730" t="s">
        <v>16221</v>
      </c>
      <c r="H2730" t="s">
        <v>47126</v>
      </c>
      <c r="I2730" t="s">
        <v>47127</v>
      </c>
      <c r="J2730" t="s">
        <v>47128</v>
      </c>
      <c r="K2730" t="s">
        <v>47113</v>
      </c>
      <c r="L2730">
        <v>13.16</v>
      </c>
      <c r="M2730">
        <v>33</v>
      </c>
      <c r="N2730">
        <v>0</v>
      </c>
      <c r="O2730">
        <v>33</v>
      </c>
      <c r="P2730">
        <v>0</v>
      </c>
    </row>
    <row r="2731" spans="1:16" x14ac:dyDescent="0.25">
      <c r="A2731" t="s">
        <v>25191</v>
      </c>
      <c r="B2731" t="s">
        <v>4014</v>
      </c>
      <c r="C2731" t="s">
        <v>4015</v>
      </c>
      <c r="D2731" t="str">
        <f>"4753"</f>
        <v>4753</v>
      </c>
      <c r="E2731" t="s">
        <v>3755</v>
      </c>
      <c r="F2731" t="s">
        <v>2068</v>
      </c>
      <c r="G2731" t="s">
        <v>16221</v>
      </c>
      <c r="H2731" t="s">
        <v>47126</v>
      </c>
      <c r="I2731" t="s">
        <v>47127</v>
      </c>
      <c r="J2731" t="s">
        <v>47128</v>
      </c>
      <c r="K2731" t="s">
        <v>47113</v>
      </c>
      <c r="L2731">
        <v>13.16</v>
      </c>
      <c r="M2731">
        <v>33</v>
      </c>
      <c r="N2731">
        <v>0</v>
      </c>
      <c r="O2731">
        <v>33</v>
      </c>
      <c r="P2731">
        <v>0</v>
      </c>
    </row>
    <row r="2732" spans="1:16" x14ac:dyDescent="0.25">
      <c r="A2732" t="s">
        <v>25192</v>
      </c>
      <c r="B2732" t="s">
        <v>4016</v>
      </c>
      <c r="C2732" t="s">
        <v>4017</v>
      </c>
      <c r="D2732" t="str">
        <f>"1106"</f>
        <v>1106</v>
      </c>
      <c r="E2732" t="s">
        <v>460</v>
      </c>
      <c r="F2732" t="s">
        <v>2068</v>
      </c>
      <c r="G2732" t="s">
        <v>16221</v>
      </c>
      <c r="H2732" t="s">
        <v>47126</v>
      </c>
      <c r="I2732" t="s">
        <v>47127</v>
      </c>
      <c r="J2732" t="s">
        <v>47128</v>
      </c>
      <c r="K2732" t="s">
        <v>47113</v>
      </c>
      <c r="L2732">
        <v>12.56</v>
      </c>
      <c r="M2732">
        <v>30</v>
      </c>
      <c r="N2732">
        <v>0</v>
      </c>
      <c r="O2732">
        <v>30</v>
      </c>
      <c r="P2732">
        <v>0</v>
      </c>
    </row>
    <row r="2733" spans="1:16" x14ac:dyDescent="0.25">
      <c r="A2733" t="s">
        <v>25193</v>
      </c>
      <c r="B2733" t="s">
        <v>4016</v>
      </c>
      <c r="C2733" t="s">
        <v>4017</v>
      </c>
      <c r="D2733" t="str">
        <f>"1377"</f>
        <v>1377</v>
      </c>
      <c r="E2733" t="s">
        <v>74</v>
      </c>
      <c r="F2733" t="s">
        <v>2068</v>
      </c>
      <c r="G2733" t="s">
        <v>16221</v>
      </c>
      <c r="H2733" t="s">
        <v>47126</v>
      </c>
      <c r="I2733" t="s">
        <v>47127</v>
      </c>
      <c r="J2733" t="s">
        <v>47128</v>
      </c>
      <c r="K2733" t="s">
        <v>47113</v>
      </c>
      <c r="L2733">
        <v>12.56</v>
      </c>
      <c r="M2733">
        <v>30</v>
      </c>
      <c r="N2733">
        <v>0</v>
      </c>
      <c r="O2733">
        <v>30</v>
      </c>
      <c r="P2733">
        <v>0</v>
      </c>
    </row>
    <row r="2734" spans="1:16" x14ac:dyDescent="0.25">
      <c r="A2734" t="s">
        <v>25194</v>
      </c>
      <c r="B2734" t="s">
        <v>4016</v>
      </c>
      <c r="C2734" t="s">
        <v>4017</v>
      </c>
      <c r="D2734" t="str">
        <f>"1378"</f>
        <v>1378</v>
      </c>
      <c r="E2734" t="s">
        <v>388</v>
      </c>
      <c r="F2734" t="s">
        <v>2068</v>
      </c>
      <c r="G2734" t="s">
        <v>16221</v>
      </c>
      <c r="H2734" t="s">
        <v>47126</v>
      </c>
      <c r="I2734" t="s">
        <v>47127</v>
      </c>
      <c r="J2734" t="s">
        <v>47128</v>
      </c>
      <c r="K2734" t="s">
        <v>47113</v>
      </c>
      <c r="L2734">
        <v>12.56</v>
      </c>
      <c r="M2734">
        <v>30</v>
      </c>
      <c r="N2734">
        <v>0</v>
      </c>
      <c r="O2734">
        <v>30</v>
      </c>
      <c r="P2734">
        <v>0</v>
      </c>
    </row>
    <row r="2735" spans="1:16" x14ac:dyDescent="0.25">
      <c r="A2735" t="s">
        <v>25195</v>
      </c>
      <c r="B2735" t="s">
        <v>4016</v>
      </c>
      <c r="C2735" t="s">
        <v>4017</v>
      </c>
      <c r="D2735" t="str">
        <f>"1403"</f>
        <v>1403</v>
      </c>
      <c r="E2735" t="s">
        <v>224</v>
      </c>
      <c r="F2735" t="s">
        <v>2068</v>
      </c>
      <c r="G2735" t="s">
        <v>16221</v>
      </c>
      <c r="H2735" t="s">
        <v>47126</v>
      </c>
      <c r="I2735" t="s">
        <v>47127</v>
      </c>
      <c r="J2735" t="s">
        <v>47128</v>
      </c>
      <c r="K2735" t="s">
        <v>47113</v>
      </c>
      <c r="L2735">
        <v>12.56</v>
      </c>
      <c r="M2735">
        <v>30</v>
      </c>
      <c r="N2735">
        <v>0</v>
      </c>
      <c r="O2735">
        <v>30</v>
      </c>
      <c r="P2735">
        <v>0</v>
      </c>
    </row>
    <row r="2736" spans="1:16" x14ac:dyDescent="0.25">
      <c r="A2736" t="s">
        <v>25196</v>
      </c>
      <c r="B2736" t="s">
        <v>4016</v>
      </c>
      <c r="C2736" t="s">
        <v>4017</v>
      </c>
      <c r="D2736" t="str">
        <f>"1700"</f>
        <v>1700</v>
      </c>
      <c r="E2736" t="s">
        <v>60</v>
      </c>
      <c r="F2736" t="s">
        <v>2068</v>
      </c>
      <c r="G2736" t="s">
        <v>16221</v>
      </c>
      <c r="H2736" t="s">
        <v>47126</v>
      </c>
      <c r="I2736" t="s">
        <v>47127</v>
      </c>
      <c r="J2736" t="s">
        <v>47128</v>
      </c>
      <c r="K2736" t="s">
        <v>47113</v>
      </c>
      <c r="L2736">
        <v>12.56</v>
      </c>
      <c r="M2736">
        <v>30</v>
      </c>
      <c r="N2736">
        <v>0</v>
      </c>
      <c r="O2736">
        <v>30</v>
      </c>
      <c r="P2736">
        <v>0</v>
      </c>
    </row>
    <row r="2737" spans="1:16" x14ac:dyDescent="0.25">
      <c r="A2737" t="s">
        <v>25197</v>
      </c>
      <c r="B2737" t="s">
        <v>4016</v>
      </c>
      <c r="C2737" t="s">
        <v>4017</v>
      </c>
      <c r="D2737" t="str">
        <f>"2166"</f>
        <v>2166</v>
      </c>
      <c r="E2737" t="s">
        <v>80</v>
      </c>
      <c r="F2737" t="s">
        <v>2068</v>
      </c>
      <c r="G2737" t="s">
        <v>16221</v>
      </c>
      <c r="H2737" t="s">
        <v>47126</v>
      </c>
      <c r="I2737" t="s">
        <v>47127</v>
      </c>
      <c r="J2737" t="s">
        <v>47128</v>
      </c>
      <c r="K2737" t="s">
        <v>47113</v>
      </c>
      <c r="L2737">
        <v>12.56</v>
      </c>
      <c r="M2737">
        <v>30</v>
      </c>
      <c r="N2737">
        <v>0</v>
      </c>
      <c r="O2737">
        <v>30</v>
      </c>
      <c r="P2737">
        <v>0</v>
      </c>
    </row>
    <row r="2738" spans="1:16" x14ac:dyDescent="0.25">
      <c r="A2738" t="s">
        <v>25198</v>
      </c>
      <c r="B2738" t="s">
        <v>4016</v>
      </c>
      <c r="C2738" t="s">
        <v>4017</v>
      </c>
      <c r="D2738" t="str">
        <f>"4000"</f>
        <v>4000</v>
      </c>
      <c r="E2738" t="s">
        <v>190</v>
      </c>
      <c r="F2738" t="s">
        <v>2068</v>
      </c>
      <c r="G2738" t="s">
        <v>16221</v>
      </c>
      <c r="H2738" t="s">
        <v>47126</v>
      </c>
      <c r="I2738" t="s">
        <v>47127</v>
      </c>
      <c r="J2738" t="s">
        <v>47128</v>
      </c>
      <c r="K2738" t="s">
        <v>47113</v>
      </c>
      <c r="L2738">
        <v>12.56</v>
      </c>
      <c r="M2738">
        <v>30</v>
      </c>
      <c r="N2738">
        <v>0</v>
      </c>
      <c r="O2738">
        <v>30</v>
      </c>
      <c r="P2738">
        <v>0</v>
      </c>
    </row>
    <row r="2739" spans="1:16" x14ac:dyDescent="0.25">
      <c r="A2739" t="s">
        <v>25199</v>
      </c>
      <c r="B2739" t="s">
        <v>4016</v>
      </c>
      <c r="C2739" t="s">
        <v>4017</v>
      </c>
      <c r="D2739" t="str">
        <f>"4201"</f>
        <v>4201</v>
      </c>
      <c r="E2739" t="s">
        <v>1855</v>
      </c>
      <c r="F2739" t="s">
        <v>2068</v>
      </c>
      <c r="G2739" t="s">
        <v>16221</v>
      </c>
      <c r="H2739" t="s">
        <v>47126</v>
      </c>
      <c r="I2739" t="s">
        <v>47127</v>
      </c>
      <c r="J2739" t="s">
        <v>47128</v>
      </c>
      <c r="K2739" t="s">
        <v>47113</v>
      </c>
      <c r="L2739">
        <v>12.56</v>
      </c>
      <c r="M2739">
        <v>30</v>
      </c>
      <c r="N2739">
        <v>0</v>
      </c>
      <c r="O2739">
        <v>30</v>
      </c>
      <c r="P2739">
        <v>0</v>
      </c>
    </row>
    <row r="2740" spans="1:16" x14ac:dyDescent="0.25">
      <c r="A2740" t="s">
        <v>25200</v>
      </c>
      <c r="B2740" t="s">
        <v>4016</v>
      </c>
      <c r="C2740" t="s">
        <v>4017</v>
      </c>
      <c r="D2740" t="str">
        <f>"4753"</f>
        <v>4753</v>
      </c>
      <c r="E2740" t="s">
        <v>3755</v>
      </c>
      <c r="F2740" t="s">
        <v>2068</v>
      </c>
      <c r="G2740" t="s">
        <v>16221</v>
      </c>
      <c r="H2740" t="s">
        <v>47126</v>
      </c>
      <c r="I2740" t="s">
        <v>47127</v>
      </c>
      <c r="J2740" t="s">
        <v>47128</v>
      </c>
      <c r="K2740" t="s">
        <v>47113</v>
      </c>
      <c r="L2740">
        <v>12.56</v>
      </c>
      <c r="M2740">
        <v>30</v>
      </c>
      <c r="N2740">
        <v>0</v>
      </c>
      <c r="O2740">
        <v>30</v>
      </c>
      <c r="P2740">
        <v>0</v>
      </c>
    </row>
    <row r="2741" spans="1:16" x14ac:dyDescent="0.25">
      <c r="A2741" t="s">
        <v>25201</v>
      </c>
      <c r="B2741" t="s">
        <v>4016</v>
      </c>
      <c r="C2741" t="s">
        <v>4017</v>
      </c>
      <c r="D2741" t="str">
        <f>"6276"</f>
        <v>6276</v>
      </c>
      <c r="E2741" t="s">
        <v>3867</v>
      </c>
      <c r="F2741" t="s">
        <v>2068</v>
      </c>
      <c r="G2741" t="s">
        <v>16221</v>
      </c>
      <c r="H2741" t="s">
        <v>47126</v>
      </c>
      <c r="I2741" t="s">
        <v>47127</v>
      </c>
      <c r="J2741" t="s">
        <v>47128</v>
      </c>
      <c r="K2741" t="s">
        <v>47113</v>
      </c>
      <c r="L2741">
        <v>12.56</v>
      </c>
      <c r="M2741">
        <v>30</v>
      </c>
      <c r="N2741">
        <v>0</v>
      </c>
      <c r="O2741">
        <v>30</v>
      </c>
      <c r="P2741">
        <v>0</v>
      </c>
    </row>
    <row r="2742" spans="1:16" x14ac:dyDescent="0.25">
      <c r="A2742" t="s">
        <v>25202</v>
      </c>
      <c r="B2742" t="s">
        <v>4018</v>
      </c>
      <c r="C2742" t="s">
        <v>4019</v>
      </c>
      <c r="D2742" t="str">
        <f>"1106"</f>
        <v>1106</v>
      </c>
      <c r="E2742" t="s">
        <v>460</v>
      </c>
      <c r="F2742" t="s">
        <v>2068</v>
      </c>
      <c r="G2742" t="s">
        <v>16221</v>
      </c>
      <c r="H2742" t="s">
        <v>47126</v>
      </c>
      <c r="I2742" t="s">
        <v>47127</v>
      </c>
      <c r="J2742" t="s">
        <v>47128</v>
      </c>
      <c r="K2742" t="s">
        <v>47113</v>
      </c>
      <c r="L2742">
        <v>15.57</v>
      </c>
      <c r="M2742">
        <v>38</v>
      </c>
      <c r="N2742">
        <v>0</v>
      </c>
      <c r="O2742">
        <v>38</v>
      </c>
      <c r="P2742">
        <v>0</v>
      </c>
    </row>
    <row r="2743" spans="1:16" x14ac:dyDescent="0.25">
      <c r="A2743" t="s">
        <v>25203</v>
      </c>
      <c r="B2743" t="s">
        <v>4018</v>
      </c>
      <c r="C2743" t="s">
        <v>4019</v>
      </c>
      <c r="D2743" t="str">
        <f>"1378"</f>
        <v>1378</v>
      </c>
      <c r="E2743" t="s">
        <v>388</v>
      </c>
      <c r="F2743" t="s">
        <v>2068</v>
      </c>
      <c r="G2743" t="s">
        <v>16221</v>
      </c>
      <c r="H2743" t="s">
        <v>47126</v>
      </c>
      <c r="I2743" t="s">
        <v>47127</v>
      </c>
      <c r="J2743" t="s">
        <v>47128</v>
      </c>
      <c r="K2743" t="s">
        <v>47113</v>
      </c>
      <c r="L2743">
        <v>15.57</v>
      </c>
      <c r="M2743">
        <v>38</v>
      </c>
      <c r="N2743">
        <v>0</v>
      </c>
      <c r="O2743">
        <v>38</v>
      </c>
      <c r="P2743">
        <v>0</v>
      </c>
    </row>
    <row r="2744" spans="1:16" x14ac:dyDescent="0.25">
      <c r="A2744" t="s">
        <v>25204</v>
      </c>
      <c r="B2744" t="s">
        <v>4018</v>
      </c>
      <c r="C2744" t="s">
        <v>4019</v>
      </c>
      <c r="D2744" t="str">
        <f>"1403"</f>
        <v>1403</v>
      </c>
      <c r="E2744" t="s">
        <v>224</v>
      </c>
      <c r="F2744" t="s">
        <v>2068</v>
      </c>
      <c r="G2744" t="s">
        <v>16221</v>
      </c>
      <c r="H2744" t="s">
        <v>47126</v>
      </c>
      <c r="I2744" t="s">
        <v>47127</v>
      </c>
      <c r="J2744" t="s">
        <v>47128</v>
      </c>
      <c r="K2744" t="s">
        <v>47113</v>
      </c>
      <c r="L2744">
        <v>15.57</v>
      </c>
      <c r="M2744">
        <v>38</v>
      </c>
      <c r="N2744">
        <v>0</v>
      </c>
      <c r="O2744">
        <v>38</v>
      </c>
      <c r="P2744">
        <v>0</v>
      </c>
    </row>
    <row r="2745" spans="1:16" x14ac:dyDescent="0.25">
      <c r="A2745" t="s">
        <v>25205</v>
      </c>
      <c r="B2745" t="s">
        <v>4018</v>
      </c>
      <c r="C2745" t="s">
        <v>4019</v>
      </c>
      <c r="D2745" t="str">
        <f>"1700"</f>
        <v>1700</v>
      </c>
      <c r="E2745" t="s">
        <v>60</v>
      </c>
      <c r="F2745" t="s">
        <v>2068</v>
      </c>
      <c r="G2745" t="s">
        <v>16221</v>
      </c>
      <c r="H2745" t="s">
        <v>47126</v>
      </c>
      <c r="I2745" t="s">
        <v>47127</v>
      </c>
      <c r="J2745" t="s">
        <v>47128</v>
      </c>
      <c r="K2745" t="s">
        <v>47113</v>
      </c>
      <c r="L2745">
        <v>15.57</v>
      </c>
      <c r="M2745">
        <v>38</v>
      </c>
      <c r="N2745">
        <v>0</v>
      </c>
      <c r="O2745">
        <v>38</v>
      </c>
      <c r="P2745">
        <v>0</v>
      </c>
    </row>
    <row r="2746" spans="1:16" x14ac:dyDescent="0.25">
      <c r="A2746" t="s">
        <v>25206</v>
      </c>
      <c r="B2746" t="s">
        <v>4018</v>
      </c>
      <c r="C2746" t="s">
        <v>4019</v>
      </c>
      <c r="D2746" t="str">
        <f>"2166"</f>
        <v>2166</v>
      </c>
      <c r="E2746" t="s">
        <v>80</v>
      </c>
      <c r="F2746" t="s">
        <v>2068</v>
      </c>
      <c r="G2746" t="s">
        <v>16221</v>
      </c>
      <c r="H2746" t="s">
        <v>47126</v>
      </c>
      <c r="I2746" t="s">
        <v>47127</v>
      </c>
      <c r="J2746" t="s">
        <v>47128</v>
      </c>
      <c r="K2746" t="s">
        <v>47113</v>
      </c>
      <c r="L2746">
        <v>15.57</v>
      </c>
      <c r="M2746">
        <v>38</v>
      </c>
      <c r="N2746">
        <v>0</v>
      </c>
      <c r="O2746">
        <v>38</v>
      </c>
      <c r="P2746">
        <v>0</v>
      </c>
    </row>
    <row r="2747" spans="1:16" x14ac:dyDescent="0.25">
      <c r="A2747" t="s">
        <v>25207</v>
      </c>
      <c r="B2747" t="s">
        <v>4018</v>
      </c>
      <c r="C2747" t="s">
        <v>4019</v>
      </c>
      <c r="D2747" t="str">
        <f>"3501"</f>
        <v>3501</v>
      </c>
      <c r="E2747" t="s">
        <v>3758</v>
      </c>
      <c r="F2747" t="s">
        <v>2068</v>
      </c>
      <c r="G2747" t="s">
        <v>16221</v>
      </c>
      <c r="H2747" t="s">
        <v>47126</v>
      </c>
      <c r="I2747" t="s">
        <v>47127</v>
      </c>
      <c r="J2747" t="s">
        <v>47128</v>
      </c>
      <c r="K2747" t="s">
        <v>47113</v>
      </c>
      <c r="L2747">
        <v>15.57</v>
      </c>
      <c r="M2747">
        <v>38</v>
      </c>
      <c r="N2747">
        <v>0</v>
      </c>
      <c r="O2747">
        <v>38</v>
      </c>
      <c r="P2747">
        <v>0</v>
      </c>
    </row>
    <row r="2748" spans="1:16" x14ac:dyDescent="0.25">
      <c r="A2748" t="s">
        <v>25208</v>
      </c>
      <c r="B2748" t="s">
        <v>4018</v>
      </c>
      <c r="C2748" t="s">
        <v>4019</v>
      </c>
      <c r="D2748" t="str">
        <f>"4201"</f>
        <v>4201</v>
      </c>
      <c r="E2748" t="s">
        <v>1855</v>
      </c>
      <c r="F2748" t="s">
        <v>2068</v>
      </c>
      <c r="G2748" t="s">
        <v>16221</v>
      </c>
      <c r="H2748" t="s">
        <v>47126</v>
      </c>
      <c r="I2748" t="s">
        <v>47127</v>
      </c>
      <c r="J2748" t="s">
        <v>47128</v>
      </c>
      <c r="K2748" t="s">
        <v>47113</v>
      </c>
      <c r="L2748">
        <v>15.57</v>
      </c>
      <c r="M2748">
        <v>38</v>
      </c>
      <c r="N2748">
        <v>0</v>
      </c>
      <c r="O2748">
        <v>38</v>
      </c>
      <c r="P2748">
        <v>0</v>
      </c>
    </row>
    <row r="2749" spans="1:16" x14ac:dyDescent="0.25">
      <c r="A2749" t="s">
        <v>25209</v>
      </c>
      <c r="B2749" t="s">
        <v>4018</v>
      </c>
      <c r="C2749" t="s">
        <v>4019</v>
      </c>
      <c r="D2749" t="str">
        <f>"4753"</f>
        <v>4753</v>
      </c>
      <c r="E2749" t="s">
        <v>3755</v>
      </c>
      <c r="F2749" t="s">
        <v>2068</v>
      </c>
      <c r="G2749" t="s">
        <v>16221</v>
      </c>
      <c r="H2749" t="s">
        <v>47126</v>
      </c>
      <c r="I2749" t="s">
        <v>47127</v>
      </c>
      <c r="J2749" t="s">
        <v>47128</v>
      </c>
      <c r="K2749" t="s">
        <v>47113</v>
      </c>
      <c r="L2749">
        <v>15.57</v>
      </c>
      <c r="M2749">
        <v>38</v>
      </c>
      <c r="N2749">
        <v>0</v>
      </c>
      <c r="O2749">
        <v>38</v>
      </c>
      <c r="P2749">
        <v>0</v>
      </c>
    </row>
    <row r="2750" spans="1:16" x14ac:dyDescent="0.25">
      <c r="A2750" t="s">
        <v>25210</v>
      </c>
      <c r="B2750" t="s">
        <v>4020</v>
      </c>
      <c r="C2750" t="s">
        <v>4021</v>
      </c>
      <c r="D2750" t="str">
        <f>"1106"</f>
        <v>1106</v>
      </c>
      <c r="E2750" t="s">
        <v>460</v>
      </c>
      <c r="F2750" t="s">
        <v>2068</v>
      </c>
      <c r="G2750" t="s">
        <v>16221</v>
      </c>
      <c r="H2750" t="s">
        <v>47126</v>
      </c>
      <c r="I2750" t="s">
        <v>47127</v>
      </c>
      <c r="J2750" t="s">
        <v>47128</v>
      </c>
      <c r="K2750" t="s">
        <v>47113</v>
      </c>
      <c r="L2750">
        <v>17.14</v>
      </c>
      <c r="M2750">
        <v>43</v>
      </c>
      <c r="N2750">
        <v>0</v>
      </c>
      <c r="O2750">
        <v>43</v>
      </c>
      <c r="P2750">
        <v>0</v>
      </c>
    </row>
    <row r="2751" spans="1:16" x14ac:dyDescent="0.25">
      <c r="A2751" t="s">
        <v>25211</v>
      </c>
      <c r="B2751" t="s">
        <v>4020</v>
      </c>
      <c r="C2751" t="s">
        <v>4021</v>
      </c>
      <c r="D2751" t="str">
        <f>"1285"</f>
        <v>1285</v>
      </c>
      <c r="E2751" t="s">
        <v>2148</v>
      </c>
      <c r="F2751" t="s">
        <v>2068</v>
      </c>
      <c r="G2751" t="s">
        <v>16221</v>
      </c>
      <c r="H2751" t="s">
        <v>47126</v>
      </c>
      <c r="I2751" t="s">
        <v>47127</v>
      </c>
      <c r="J2751" t="s">
        <v>47128</v>
      </c>
      <c r="K2751" t="s">
        <v>47113</v>
      </c>
      <c r="L2751">
        <v>17.14</v>
      </c>
      <c r="M2751">
        <v>43</v>
      </c>
      <c r="N2751">
        <v>0</v>
      </c>
      <c r="O2751">
        <v>43</v>
      </c>
      <c r="P2751">
        <v>0</v>
      </c>
    </row>
    <row r="2752" spans="1:16" x14ac:dyDescent="0.25">
      <c r="A2752" t="s">
        <v>25212</v>
      </c>
      <c r="B2752" t="s">
        <v>4020</v>
      </c>
      <c r="C2752" t="s">
        <v>4021</v>
      </c>
      <c r="D2752" t="str">
        <f>"1403"</f>
        <v>1403</v>
      </c>
      <c r="E2752" t="s">
        <v>224</v>
      </c>
      <c r="F2752" t="s">
        <v>2068</v>
      </c>
      <c r="G2752" t="s">
        <v>16221</v>
      </c>
      <c r="H2752" t="s">
        <v>47126</v>
      </c>
      <c r="I2752" t="s">
        <v>47127</v>
      </c>
      <c r="J2752" t="s">
        <v>47128</v>
      </c>
      <c r="K2752" t="s">
        <v>47113</v>
      </c>
      <c r="L2752">
        <v>17.14</v>
      </c>
      <c r="M2752">
        <v>43</v>
      </c>
      <c r="N2752">
        <v>0</v>
      </c>
      <c r="O2752">
        <v>43</v>
      </c>
      <c r="P2752">
        <v>0</v>
      </c>
    </row>
    <row r="2753" spans="1:16" x14ac:dyDescent="0.25">
      <c r="A2753" t="s">
        <v>25213</v>
      </c>
      <c r="B2753" t="s">
        <v>4020</v>
      </c>
      <c r="C2753" t="s">
        <v>4021</v>
      </c>
      <c r="D2753" t="str">
        <f>"1700"</f>
        <v>1700</v>
      </c>
      <c r="E2753" t="s">
        <v>60</v>
      </c>
      <c r="F2753" t="s">
        <v>2068</v>
      </c>
      <c r="G2753" t="s">
        <v>16221</v>
      </c>
      <c r="H2753" t="s">
        <v>47126</v>
      </c>
      <c r="I2753" t="s">
        <v>47127</v>
      </c>
      <c r="J2753" t="s">
        <v>47128</v>
      </c>
      <c r="K2753" t="s">
        <v>47113</v>
      </c>
      <c r="L2753">
        <v>17.14</v>
      </c>
      <c r="M2753">
        <v>43</v>
      </c>
      <c r="N2753">
        <v>0</v>
      </c>
      <c r="O2753">
        <v>43</v>
      </c>
      <c r="P2753">
        <v>0</v>
      </c>
    </row>
    <row r="2754" spans="1:16" x14ac:dyDescent="0.25">
      <c r="A2754" t="s">
        <v>25214</v>
      </c>
      <c r="B2754" t="s">
        <v>4020</v>
      </c>
      <c r="C2754" t="s">
        <v>4021</v>
      </c>
      <c r="D2754" t="str">
        <f>"2166"</f>
        <v>2166</v>
      </c>
      <c r="E2754" t="s">
        <v>80</v>
      </c>
      <c r="F2754" t="s">
        <v>2068</v>
      </c>
      <c r="G2754" t="s">
        <v>16221</v>
      </c>
      <c r="H2754" t="s">
        <v>47126</v>
      </c>
      <c r="I2754" t="s">
        <v>47127</v>
      </c>
      <c r="J2754" t="s">
        <v>47128</v>
      </c>
      <c r="K2754" t="s">
        <v>47113</v>
      </c>
      <c r="L2754">
        <v>17.14</v>
      </c>
      <c r="M2754">
        <v>43</v>
      </c>
      <c r="N2754">
        <v>0</v>
      </c>
      <c r="O2754">
        <v>43</v>
      </c>
      <c r="P2754">
        <v>0</v>
      </c>
    </row>
    <row r="2755" spans="1:16" x14ac:dyDescent="0.25">
      <c r="A2755" t="s">
        <v>25215</v>
      </c>
      <c r="B2755" t="s">
        <v>4020</v>
      </c>
      <c r="C2755" t="s">
        <v>4021</v>
      </c>
      <c r="D2755" t="str">
        <f>"4201"</f>
        <v>4201</v>
      </c>
      <c r="E2755" t="s">
        <v>1855</v>
      </c>
      <c r="F2755" t="s">
        <v>2068</v>
      </c>
      <c r="G2755" t="s">
        <v>16221</v>
      </c>
      <c r="H2755" t="s">
        <v>47126</v>
      </c>
      <c r="I2755" t="s">
        <v>47127</v>
      </c>
      <c r="J2755" t="s">
        <v>47128</v>
      </c>
      <c r="K2755" t="s">
        <v>47113</v>
      </c>
      <c r="L2755">
        <v>17.14</v>
      </c>
      <c r="M2755">
        <v>43</v>
      </c>
      <c r="N2755">
        <v>0</v>
      </c>
      <c r="O2755">
        <v>43</v>
      </c>
      <c r="P2755">
        <v>0</v>
      </c>
    </row>
    <row r="2756" spans="1:16" x14ac:dyDescent="0.25">
      <c r="A2756" t="s">
        <v>25216</v>
      </c>
      <c r="B2756" t="s">
        <v>4020</v>
      </c>
      <c r="C2756" t="s">
        <v>4021</v>
      </c>
      <c r="D2756" t="str">
        <f>"4753"</f>
        <v>4753</v>
      </c>
      <c r="E2756" t="s">
        <v>3755</v>
      </c>
      <c r="F2756" t="s">
        <v>2068</v>
      </c>
      <c r="G2756" t="s">
        <v>16221</v>
      </c>
      <c r="H2756" t="s">
        <v>47126</v>
      </c>
      <c r="I2756" t="s">
        <v>47127</v>
      </c>
      <c r="J2756" t="s">
        <v>47128</v>
      </c>
      <c r="K2756" t="s">
        <v>47113</v>
      </c>
      <c r="L2756">
        <v>17.14</v>
      </c>
      <c r="M2756">
        <v>43</v>
      </c>
      <c r="N2756">
        <v>0</v>
      </c>
      <c r="O2756">
        <v>43</v>
      </c>
      <c r="P2756">
        <v>0</v>
      </c>
    </row>
    <row r="2757" spans="1:16" x14ac:dyDescent="0.25">
      <c r="A2757" t="s">
        <v>25217</v>
      </c>
      <c r="B2757" t="s">
        <v>4022</v>
      </c>
      <c r="C2757" t="s">
        <v>4023</v>
      </c>
      <c r="D2757" t="str">
        <f>"1106"</f>
        <v>1106</v>
      </c>
      <c r="E2757" t="s">
        <v>460</v>
      </c>
      <c r="F2757" t="s">
        <v>2068</v>
      </c>
      <c r="G2757" t="s">
        <v>16221</v>
      </c>
      <c r="H2757" t="s">
        <v>47126</v>
      </c>
      <c r="I2757" t="s">
        <v>47127</v>
      </c>
      <c r="J2757" t="s">
        <v>47128</v>
      </c>
      <c r="K2757" t="s">
        <v>47113</v>
      </c>
      <c r="L2757">
        <v>17.510000000000002</v>
      </c>
      <c r="M2757">
        <v>43</v>
      </c>
      <c r="N2757">
        <v>0</v>
      </c>
      <c r="O2757">
        <v>43</v>
      </c>
      <c r="P2757">
        <v>0</v>
      </c>
    </row>
    <row r="2758" spans="1:16" x14ac:dyDescent="0.25">
      <c r="A2758" t="s">
        <v>25218</v>
      </c>
      <c r="B2758" t="s">
        <v>4022</v>
      </c>
      <c r="C2758" t="s">
        <v>4023</v>
      </c>
      <c r="D2758" t="str">
        <f>"1378"</f>
        <v>1378</v>
      </c>
      <c r="E2758" t="s">
        <v>388</v>
      </c>
      <c r="F2758" t="s">
        <v>2068</v>
      </c>
      <c r="G2758" t="s">
        <v>16221</v>
      </c>
      <c r="H2758" t="s">
        <v>47126</v>
      </c>
      <c r="I2758" t="s">
        <v>47127</v>
      </c>
      <c r="J2758" t="s">
        <v>47128</v>
      </c>
      <c r="K2758" t="s">
        <v>47113</v>
      </c>
      <c r="L2758">
        <v>17.510000000000002</v>
      </c>
      <c r="M2758">
        <v>43</v>
      </c>
      <c r="N2758">
        <v>0</v>
      </c>
      <c r="O2758">
        <v>43</v>
      </c>
      <c r="P2758">
        <v>0</v>
      </c>
    </row>
    <row r="2759" spans="1:16" x14ac:dyDescent="0.25">
      <c r="A2759" t="s">
        <v>25219</v>
      </c>
      <c r="B2759" t="s">
        <v>4022</v>
      </c>
      <c r="C2759" t="s">
        <v>4023</v>
      </c>
      <c r="D2759" t="str">
        <f>"1403"</f>
        <v>1403</v>
      </c>
      <c r="E2759" t="s">
        <v>224</v>
      </c>
      <c r="F2759" t="s">
        <v>2068</v>
      </c>
      <c r="G2759" t="s">
        <v>16221</v>
      </c>
      <c r="H2759" t="s">
        <v>47126</v>
      </c>
      <c r="I2759" t="s">
        <v>47127</v>
      </c>
      <c r="J2759" t="s">
        <v>47128</v>
      </c>
      <c r="K2759" t="s">
        <v>47113</v>
      </c>
      <c r="L2759">
        <v>17.510000000000002</v>
      </c>
      <c r="M2759">
        <v>43</v>
      </c>
      <c r="N2759">
        <v>0</v>
      </c>
      <c r="O2759">
        <v>43</v>
      </c>
      <c r="P2759">
        <v>0</v>
      </c>
    </row>
    <row r="2760" spans="1:16" x14ac:dyDescent="0.25">
      <c r="A2760" t="s">
        <v>25220</v>
      </c>
      <c r="B2760" t="s">
        <v>4022</v>
      </c>
      <c r="C2760" t="s">
        <v>4023</v>
      </c>
      <c r="D2760" t="str">
        <f>"1700"</f>
        <v>1700</v>
      </c>
      <c r="E2760" t="s">
        <v>60</v>
      </c>
      <c r="F2760" t="s">
        <v>2068</v>
      </c>
      <c r="G2760" t="s">
        <v>16221</v>
      </c>
      <c r="H2760" t="s">
        <v>47126</v>
      </c>
      <c r="I2760" t="s">
        <v>47127</v>
      </c>
      <c r="J2760" t="s">
        <v>47128</v>
      </c>
      <c r="K2760" t="s">
        <v>47113</v>
      </c>
      <c r="L2760">
        <v>17.510000000000002</v>
      </c>
      <c r="M2760">
        <v>43</v>
      </c>
      <c r="N2760">
        <v>0</v>
      </c>
      <c r="O2760">
        <v>43</v>
      </c>
      <c r="P2760">
        <v>0</v>
      </c>
    </row>
    <row r="2761" spans="1:16" x14ac:dyDescent="0.25">
      <c r="A2761" t="s">
        <v>25221</v>
      </c>
      <c r="B2761" t="s">
        <v>4022</v>
      </c>
      <c r="C2761" t="s">
        <v>4023</v>
      </c>
      <c r="D2761" t="str">
        <f>"3501"</f>
        <v>3501</v>
      </c>
      <c r="E2761" t="s">
        <v>3758</v>
      </c>
      <c r="F2761" t="s">
        <v>2068</v>
      </c>
      <c r="G2761" t="s">
        <v>16221</v>
      </c>
      <c r="H2761" t="s">
        <v>47126</v>
      </c>
      <c r="I2761" t="s">
        <v>47127</v>
      </c>
      <c r="J2761" t="s">
        <v>47128</v>
      </c>
      <c r="K2761" t="s">
        <v>47113</v>
      </c>
      <c r="L2761">
        <v>17.510000000000002</v>
      </c>
      <c r="M2761">
        <v>43</v>
      </c>
      <c r="N2761">
        <v>0</v>
      </c>
      <c r="O2761">
        <v>43</v>
      </c>
      <c r="P2761">
        <v>0</v>
      </c>
    </row>
    <row r="2762" spans="1:16" x14ac:dyDescent="0.25">
      <c r="A2762" t="s">
        <v>25222</v>
      </c>
      <c r="B2762" t="s">
        <v>4022</v>
      </c>
      <c r="C2762" t="s">
        <v>4023</v>
      </c>
      <c r="D2762" t="str">
        <f>"4000"</f>
        <v>4000</v>
      </c>
      <c r="E2762" t="s">
        <v>190</v>
      </c>
      <c r="F2762" t="s">
        <v>2068</v>
      </c>
      <c r="G2762" t="s">
        <v>16221</v>
      </c>
      <c r="H2762" t="s">
        <v>47126</v>
      </c>
      <c r="I2762" t="s">
        <v>47127</v>
      </c>
      <c r="J2762" t="s">
        <v>47128</v>
      </c>
      <c r="K2762" t="s">
        <v>47113</v>
      </c>
      <c r="L2762">
        <v>17.510000000000002</v>
      </c>
      <c r="M2762">
        <v>43</v>
      </c>
      <c r="N2762">
        <v>0</v>
      </c>
      <c r="O2762">
        <v>43</v>
      </c>
      <c r="P2762">
        <v>0</v>
      </c>
    </row>
    <row r="2763" spans="1:16" x14ac:dyDescent="0.25">
      <c r="A2763" t="s">
        <v>25223</v>
      </c>
      <c r="B2763" t="s">
        <v>4022</v>
      </c>
      <c r="C2763" t="s">
        <v>4023</v>
      </c>
      <c r="D2763" t="str">
        <f>"4201"</f>
        <v>4201</v>
      </c>
      <c r="E2763" t="s">
        <v>1855</v>
      </c>
      <c r="F2763" t="s">
        <v>2068</v>
      </c>
      <c r="G2763" t="s">
        <v>16221</v>
      </c>
      <c r="H2763" t="s">
        <v>47126</v>
      </c>
      <c r="I2763" t="s">
        <v>47127</v>
      </c>
      <c r="J2763" t="s">
        <v>47128</v>
      </c>
      <c r="K2763" t="s">
        <v>47113</v>
      </c>
      <c r="L2763">
        <v>17.510000000000002</v>
      </c>
      <c r="M2763">
        <v>43</v>
      </c>
      <c r="N2763">
        <v>0</v>
      </c>
      <c r="O2763">
        <v>43</v>
      </c>
      <c r="P2763">
        <v>0</v>
      </c>
    </row>
    <row r="2764" spans="1:16" x14ac:dyDescent="0.25">
      <c r="A2764" t="s">
        <v>25224</v>
      </c>
      <c r="B2764" t="s">
        <v>4024</v>
      </c>
      <c r="C2764" t="s">
        <v>4025</v>
      </c>
      <c r="D2764" t="str">
        <f>"1106"</f>
        <v>1106</v>
      </c>
      <c r="E2764" t="s">
        <v>460</v>
      </c>
      <c r="F2764" t="s">
        <v>2068</v>
      </c>
      <c r="G2764" t="s">
        <v>16221</v>
      </c>
      <c r="H2764" t="s">
        <v>47126</v>
      </c>
      <c r="I2764" t="s">
        <v>47127</v>
      </c>
      <c r="J2764" t="s">
        <v>47128</v>
      </c>
      <c r="K2764" t="s">
        <v>47113</v>
      </c>
      <c r="L2764">
        <v>18.71</v>
      </c>
      <c r="M2764">
        <v>45</v>
      </c>
      <c r="N2764">
        <v>0</v>
      </c>
      <c r="O2764">
        <v>45</v>
      </c>
      <c r="P2764">
        <v>0</v>
      </c>
    </row>
    <row r="2765" spans="1:16" x14ac:dyDescent="0.25">
      <c r="A2765" t="s">
        <v>25225</v>
      </c>
      <c r="B2765" t="s">
        <v>4024</v>
      </c>
      <c r="C2765" t="s">
        <v>4025</v>
      </c>
      <c r="D2765" t="str">
        <f>"1285"</f>
        <v>1285</v>
      </c>
      <c r="E2765" t="s">
        <v>2148</v>
      </c>
      <c r="F2765" t="s">
        <v>2068</v>
      </c>
      <c r="G2765" t="s">
        <v>16221</v>
      </c>
      <c r="H2765" t="s">
        <v>47126</v>
      </c>
      <c r="I2765" t="s">
        <v>47127</v>
      </c>
      <c r="J2765" t="s">
        <v>47128</v>
      </c>
      <c r="K2765" t="s">
        <v>47113</v>
      </c>
      <c r="L2765">
        <v>18.71</v>
      </c>
      <c r="M2765">
        <v>45</v>
      </c>
      <c r="N2765">
        <v>0</v>
      </c>
      <c r="O2765">
        <v>45</v>
      </c>
      <c r="P2765">
        <v>0</v>
      </c>
    </row>
    <row r="2766" spans="1:16" x14ac:dyDescent="0.25">
      <c r="A2766" t="s">
        <v>25226</v>
      </c>
      <c r="B2766" t="s">
        <v>4024</v>
      </c>
      <c r="C2766" t="s">
        <v>4025</v>
      </c>
      <c r="D2766" t="str">
        <f>"1377"</f>
        <v>1377</v>
      </c>
      <c r="E2766" t="s">
        <v>74</v>
      </c>
      <c r="F2766" t="s">
        <v>2068</v>
      </c>
      <c r="G2766" t="s">
        <v>16221</v>
      </c>
      <c r="H2766" t="s">
        <v>47126</v>
      </c>
      <c r="I2766" t="s">
        <v>47127</v>
      </c>
      <c r="J2766" t="s">
        <v>47128</v>
      </c>
      <c r="K2766" t="s">
        <v>47113</v>
      </c>
      <c r="L2766">
        <v>18.71</v>
      </c>
      <c r="M2766">
        <v>45</v>
      </c>
      <c r="N2766">
        <v>0</v>
      </c>
      <c r="O2766">
        <v>45</v>
      </c>
      <c r="P2766">
        <v>0</v>
      </c>
    </row>
    <row r="2767" spans="1:16" x14ac:dyDescent="0.25">
      <c r="A2767" t="s">
        <v>25227</v>
      </c>
      <c r="B2767" t="s">
        <v>4024</v>
      </c>
      <c r="C2767" t="s">
        <v>4025</v>
      </c>
      <c r="D2767" t="str">
        <f>"1378"</f>
        <v>1378</v>
      </c>
      <c r="E2767" t="s">
        <v>388</v>
      </c>
      <c r="F2767" t="s">
        <v>2068</v>
      </c>
      <c r="G2767" t="s">
        <v>16221</v>
      </c>
      <c r="H2767" t="s">
        <v>47126</v>
      </c>
      <c r="I2767" t="s">
        <v>47127</v>
      </c>
      <c r="J2767" t="s">
        <v>47128</v>
      </c>
      <c r="K2767" t="s">
        <v>47113</v>
      </c>
      <c r="L2767">
        <v>18.71</v>
      </c>
      <c r="M2767">
        <v>45</v>
      </c>
      <c r="N2767">
        <v>0</v>
      </c>
      <c r="O2767">
        <v>45</v>
      </c>
      <c r="P2767">
        <v>0</v>
      </c>
    </row>
    <row r="2768" spans="1:16" x14ac:dyDescent="0.25">
      <c r="A2768" t="s">
        <v>25228</v>
      </c>
      <c r="B2768" t="s">
        <v>4024</v>
      </c>
      <c r="C2768" t="s">
        <v>4025</v>
      </c>
      <c r="D2768" t="str">
        <f>"1700"</f>
        <v>1700</v>
      </c>
      <c r="E2768" t="s">
        <v>60</v>
      </c>
      <c r="F2768" t="s">
        <v>2068</v>
      </c>
      <c r="G2768" t="s">
        <v>16221</v>
      </c>
      <c r="H2768" t="s">
        <v>47126</v>
      </c>
      <c r="I2768" t="s">
        <v>47127</v>
      </c>
      <c r="J2768" t="s">
        <v>47128</v>
      </c>
      <c r="K2768" t="s">
        <v>47113</v>
      </c>
      <c r="L2768">
        <v>18.71</v>
      </c>
      <c r="M2768">
        <v>45</v>
      </c>
      <c r="N2768">
        <v>0</v>
      </c>
      <c r="O2768">
        <v>45</v>
      </c>
      <c r="P2768">
        <v>0</v>
      </c>
    </row>
    <row r="2769" spans="1:16" x14ac:dyDescent="0.25">
      <c r="A2769" t="s">
        <v>25229</v>
      </c>
      <c r="B2769" t="s">
        <v>4024</v>
      </c>
      <c r="C2769" t="s">
        <v>4025</v>
      </c>
      <c r="D2769" t="str">
        <f>"2166"</f>
        <v>2166</v>
      </c>
      <c r="E2769" t="s">
        <v>80</v>
      </c>
      <c r="F2769" t="s">
        <v>2068</v>
      </c>
      <c r="G2769" t="s">
        <v>16221</v>
      </c>
      <c r="H2769" t="s">
        <v>47126</v>
      </c>
      <c r="I2769" t="s">
        <v>47127</v>
      </c>
      <c r="J2769" t="s">
        <v>47128</v>
      </c>
      <c r="K2769" t="s">
        <v>47113</v>
      </c>
      <c r="L2769">
        <v>18.71</v>
      </c>
      <c r="M2769">
        <v>45</v>
      </c>
      <c r="N2769">
        <v>0</v>
      </c>
      <c r="O2769">
        <v>45</v>
      </c>
      <c r="P2769">
        <v>0</v>
      </c>
    </row>
    <row r="2770" spans="1:16" x14ac:dyDescent="0.25">
      <c r="A2770" t="s">
        <v>25230</v>
      </c>
      <c r="B2770" t="s">
        <v>4024</v>
      </c>
      <c r="C2770" t="s">
        <v>4025</v>
      </c>
      <c r="D2770" t="str">
        <f>"4201"</f>
        <v>4201</v>
      </c>
      <c r="E2770" t="s">
        <v>1855</v>
      </c>
      <c r="F2770" t="s">
        <v>2068</v>
      </c>
      <c r="G2770" t="s">
        <v>16221</v>
      </c>
      <c r="H2770" t="s">
        <v>47126</v>
      </c>
      <c r="I2770" t="s">
        <v>47127</v>
      </c>
      <c r="J2770" t="s">
        <v>47128</v>
      </c>
      <c r="K2770" t="s">
        <v>47113</v>
      </c>
      <c r="L2770">
        <v>18.71</v>
      </c>
      <c r="M2770">
        <v>45</v>
      </c>
      <c r="N2770">
        <v>0</v>
      </c>
      <c r="O2770">
        <v>45</v>
      </c>
      <c r="P2770">
        <v>0</v>
      </c>
    </row>
    <row r="2771" spans="1:16" x14ac:dyDescent="0.25">
      <c r="A2771" t="s">
        <v>25231</v>
      </c>
      <c r="B2771" t="s">
        <v>4024</v>
      </c>
      <c r="C2771" t="s">
        <v>4025</v>
      </c>
      <c r="D2771" t="str">
        <f>"4753"</f>
        <v>4753</v>
      </c>
      <c r="E2771" t="s">
        <v>3755</v>
      </c>
      <c r="F2771" t="s">
        <v>2068</v>
      </c>
      <c r="G2771" t="s">
        <v>16221</v>
      </c>
      <c r="H2771" t="s">
        <v>47126</v>
      </c>
      <c r="I2771" t="s">
        <v>47127</v>
      </c>
      <c r="J2771" t="s">
        <v>47128</v>
      </c>
      <c r="K2771" t="s">
        <v>47113</v>
      </c>
      <c r="L2771">
        <v>18.71</v>
      </c>
      <c r="M2771">
        <v>45</v>
      </c>
      <c r="N2771">
        <v>0</v>
      </c>
      <c r="O2771">
        <v>45</v>
      </c>
      <c r="P2771">
        <v>0</v>
      </c>
    </row>
    <row r="2772" spans="1:16" x14ac:dyDescent="0.25">
      <c r="A2772" t="s">
        <v>25232</v>
      </c>
      <c r="B2772" t="s">
        <v>4026</v>
      </c>
      <c r="C2772" t="s">
        <v>4027</v>
      </c>
      <c r="D2772" t="str">
        <f>"1106"</f>
        <v>1106</v>
      </c>
      <c r="E2772" t="s">
        <v>460</v>
      </c>
      <c r="F2772" t="s">
        <v>2068</v>
      </c>
      <c r="G2772" t="s">
        <v>16232</v>
      </c>
      <c r="H2772" t="s">
        <v>47126</v>
      </c>
      <c r="I2772" t="s">
        <v>47127</v>
      </c>
      <c r="J2772" t="s">
        <v>47128</v>
      </c>
      <c r="K2772" t="s">
        <v>47113</v>
      </c>
      <c r="L2772">
        <v>15.57</v>
      </c>
      <c r="M2772">
        <v>38</v>
      </c>
      <c r="N2772">
        <v>0</v>
      </c>
      <c r="O2772">
        <v>38</v>
      </c>
      <c r="P2772">
        <v>0</v>
      </c>
    </row>
    <row r="2773" spans="1:16" x14ac:dyDescent="0.25">
      <c r="A2773" t="s">
        <v>25233</v>
      </c>
      <c r="B2773" t="s">
        <v>4028</v>
      </c>
      <c r="C2773" t="s">
        <v>4029</v>
      </c>
      <c r="D2773" t="str">
        <f>"1106"</f>
        <v>1106</v>
      </c>
      <c r="E2773" t="s">
        <v>460</v>
      </c>
      <c r="F2773" t="s">
        <v>2068</v>
      </c>
      <c r="G2773" t="s">
        <v>16232</v>
      </c>
      <c r="H2773" t="s">
        <v>47126</v>
      </c>
      <c r="I2773" t="s">
        <v>47127</v>
      </c>
      <c r="J2773" t="s">
        <v>47128</v>
      </c>
      <c r="K2773" t="s">
        <v>47113</v>
      </c>
      <c r="L2773">
        <v>16.670000000000002</v>
      </c>
      <c r="M2773">
        <v>40</v>
      </c>
      <c r="N2773">
        <v>0</v>
      </c>
      <c r="O2773">
        <v>40</v>
      </c>
      <c r="P2773">
        <v>0</v>
      </c>
    </row>
    <row r="2774" spans="1:16" x14ac:dyDescent="0.25">
      <c r="A2774" t="s">
        <v>25234</v>
      </c>
      <c r="B2774" t="s">
        <v>4030</v>
      </c>
      <c r="C2774" t="s">
        <v>4031</v>
      </c>
      <c r="D2774" t="str">
        <f>"1001"</f>
        <v>1001</v>
      </c>
      <c r="E2774" t="s">
        <v>42</v>
      </c>
      <c r="F2774" t="s">
        <v>2068</v>
      </c>
      <c r="G2774" t="s">
        <v>16221</v>
      </c>
      <c r="H2774" t="s">
        <v>47126</v>
      </c>
      <c r="I2774" t="s">
        <v>47127</v>
      </c>
      <c r="J2774" t="s">
        <v>47128</v>
      </c>
      <c r="K2774" t="s">
        <v>47113</v>
      </c>
      <c r="L2774">
        <v>13.16</v>
      </c>
      <c r="M2774">
        <v>33</v>
      </c>
      <c r="N2774">
        <v>0</v>
      </c>
      <c r="O2774">
        <v>33</v>
      </c>
      <c r="P2774">
        <v>0</v>
      </c>
    </row>
    <row r="2775" spans="1:16" x14ac:dyDescent="0.25">
      <c r="A2775" t="s">
        <v>25235</v>
      </c>
      <c r="B2775" t="s">
        <v>4030</v>
      </c>
      <c r="C2775" t="s">
        <v>4031</v>
      </c>
      <c r="D2775" t="str">
        <f>"1377"</f>
        <v>1377</v>
      </c>
      <c r="E2775" t="s">
        <v>74</v>
      </c>
      <c r="F2775" t="s">
        <v>2068</v>
      </c>
      <c r="G2775" t="s">
        <v>16221</v>
      </c>
      <c r="H2775" t="s">
        <v>47126</v>
      </c>
      <c r="I2775" t="s">
        <v>47127</v>
      </c>
      <c r="J2775" t="s">
        <v>47128</v>
      </c>
      <c r="K2775" t="s">
        <v>47113</v>
      </c>
      <c r="L2775">
        <v>13.16</v>
      </c>
      <c r="M2775">
        <v>33</v>
      </c>
      <c r="N2775">
        <v>0</v>
      </c>
      <c r="O2775">
        <v>33</v>
      </c>
      <c r="P2775">
        <v>0</v>
      </c>
    </row>
    <row r="2776" spans="1:16" x14ac:dyDescent="0.25">
      <c r="A2776" t="s">
        <v>25236</v>
      </c>
      <c r="B2776" t="s">
        <v>4030</v>
      </c>
      <c r="C2776" t="s">
        <v>4031</v>
      </c>
      <c r="D2776" t="str">
        <f>"1378"</f>
        <v>1378</v>
      </c>
      <c r="E2776" t="s">
        <v>388</v>
      </c>
      <c r="F2776" t="s">
        <v>2068</v>
      </c>
      <c r="G2776" t="s">
        <v>16221</v>
      </c>
      <c r="H2776" t="s">
        <v>47126</v>
      </c>
      <c r="I2776" t="s">
        <v>47127</v>
      </c>
      <c r="J2776" t="s">
        <v>47128</v>
      </c>
      <c r="K2776" t="s">
        <v>47113</v>
      </c>
      <c r="L2776">
        <v>13.16</v>
      </c>
      <c r="M2776">
        <v>33</v>
      </c>
      <c r="N2776">
        <v>0</v>
      </c>
      <c r="O2776">
        <v>33</v>
      </c>
      <c r="P2776">
        <v>0</v>
      </c>
    </row>
    <row r="2777" spans="1:16" x14ac:dyDescent="0.25">
      <c r="A2777" t="s">
        <v>25237</v>
      </c>
      <c r="B2777" t="s">
        <v>4030</v>
      </c>
      <c r="C2777" t="s">
        <v>4031</v>
      </c>
      <c r="D2777" t="str">
        <f>"1403"</f>
        <v>1403</v>
      </c>
      <c r="E2777" t="s">
        <v>224</v>
      </c>
      <c r="F2777" t="s">
        <v>2068</v>
      </c>
      <c r="G2777" t="s">
        <v>16221</v>
      </c>
      <c r="H2777" t="s">
        <v>47126</v>
      </c>
      <c r="I2777" t="s">
        <v>47127</v>
      </c>
      <c r="J2777" t="s">
        <v>47128</v>
      </c>
      <c r="K2777" t="s">
        <v>47113</v>
      </c>
      <c r="L2777">
        <v>13.16</v>
      </c>
      <c r="M2777">
        <v>33</v>
      </c>
      <c r="N2777">
        <v>0</v>
      </c>
      <c r="O2777">
        <v>33</v>
      </c>
      <c r="P2777">
        <v>0</v>
      </c>
    </row>
    <row r="2778" spans="1:16" x14ac:dyDescent="0.25">
      <c r="A2778" t="s">
        <v>25238</v>
      </c>
      <c r="B2778" t="s">
        <v>4030</v>
      </c>
      <c r="C2778" t="s">
        <v>4031</v>
      </c>
      <c r="D2778" t="str">
        <f>"1700"</f>
        <v>1700</v>
      </c>
      <c r="E2778" t="s">
        <v>60</v>
      </c>
      <c r="F2778" t="s">
        <v>2068</v>
      </c>
      <c r="G2778" t="s">
        <v>16221</v>
      </c>
      <c r="H2778" t="s">
        <v>47126</v>
      </c>
      <c r="I2778" t="s">
        <v>47127</v>
      </c>
      <c r="J2778" t="s">
        <v>47128</v>
      </c>
      <c r="K2778" t="s">
        <v>47113</v>
      </c>
      <c r="L2778">
        <v>13.16</v>
      </c>
      <c r="M2778">
        <v>33</v>
      </c>
      <c r="N2778">
        <v>0</v>
      </c>
      <c r="O2778">
        <v>33</v>
      </c>
      <c r="P2778">
        <v>0</v>
      </c>
    </row>
    <row r="2779" spans="1:16" x14ac:dyDescent="0.25">
      <c r="A2779" t="s">
        <v>25239</v>
      </c>
      <c r="B2779" t="s">
        <v>4030</v>
      </c>
      <c r="C2779" t="s">
        <v>4031</v>
      </c>
      <c r="D2779" t="str">
        <f>"3501"</f>
        <v>3501</v>
      </c>
      <c r="E2779" t="s">
        <v>3758</v>
      </c>
      <c r="F2779" t="s">
        <v>2068</v>
      </c>
      <c r="G2779" t="s">
        <v>16221</v>
      </c>
      <c r="H2779" t="s">
        <v>47126</v>
      </c>
      <c r="I2779" t="s">
        <v>47127</v>
      </c>
      <c r="J2779" t="s">
        <v>47128</v>
      </c>
      <c r="K2779" t="s">
        <v>47113</v>
      </c>
      <c r="L2779">
        <v>13.16</v>
      </c>
      <c r="M2779">
        <v>33</v>
      </c>
      <c r="N2779">
        <v>0</v>
      </c>
      <c r="O2779">
        <v>33</v>
      </c>
      <c r="P2779">
        <v>0</v>
      </c>
    </row>
    <row r="2780" spans="1:16" x14ac:dyDescent="0.25">
      <c r="A2780" t="s">
        <v>25240</v>
      </c>
      <c r="B2780" t="s">
        <v>4030</v>
      </c>
      <c r="C2780" t="s">
        <v>4031</v>
      </c>
      <c r="D2780" t="str">
        <f>"4000"</f>
        <v>4000</v>
      </c>
      <c r="E2780" t="s">
        <v>190</v>
      </c>
      <c r="F2780" t="s">
        <v>2068</v>
      </c>
      <c r="G2780" t="s">
        <v>16221</v>
      </c>
      <c r="H2780" t="s">
        <v>47126</v>
      </c>
      <c r="I2780" t="s">
        <v>47127</v>
      </c>
      <c r="J2780" t="s">
        <v>47128</v>
      </c>
      <c r="K2780" t="s">
        <v>47113</v>
      </c>
      <c r="L2780">
        <v>13.16</v>
      </c>
      <c r="M2780">
        <v>33</v>
      </c>
      <c r="N2780">
        <v>0</v>
      </c>
      <c r="O2780">
        <v>33</v>
      </c>
      <c r="P2780">
        <v>0</v>
      </c>
    </row>
    <row r="2781" spans="1:16" x14ac:dyDescent="0.25">
      <c r="A2781" t="s">
        <v>25241</v>
      </c>
      <c r="B2781" t="s">
        <v>4030</v>
      </c>
      <c r="C2781" t="s">
        <v>4031</v>
      </c>
      <c r="D2781" t="str">
        <f>"4201"</f>
        <v>4201</v>
      </c>
      <c r="E2781" t="s">
        <v>1855</v>
      </c>
      <c r="F2781" t="s">
        <v>2068</v>
      </c>
      <c r="G2781" t="s">
        <v>16221</v>
      </c>
      <c r="H2781" t="s">
        <v>47126</v>
      </c>
      <c r="I2781" t="s">
        <v>47127</v>
      </c>
      <c r="J2781" t="s">
        <v>47128</v>
      </c>
      <c r="K2781" t="s">
        <v>47113</v>
      </c>
      <c r="L2781">
        <v>13.16</v>
      </c>
      <c r="M2781">
        <v>33</v>
      </c>
      <c r="N2781">
        <v>0</v>
      </c>
      <c r="O2781">
        <v>33</v>
      </c>
      <c r="P2781">
        <v>0</v>
      </c>
    </row>
    <row r="2782" spans="1:16" x14ac:dyDescent="0.25">
      <c r="A2782" t="s">
        <v>25242</v>
      </c>
      <c r="B2782" t="s">
        <v>4030</v>
      </c>
      <c r="C2782" t="s">
        <v>4031</v>
      </c>
      <c r="D2782" t="str">
        <f>"4753"</f>
        <v>4753</v>
      </c>
      <c r="E2782" t="s">
        <v>3755</v>
      </c>
      <c r="F2782" t="s">
        <v>2068</v>
      </c>
      <c r="G2782" t="s">
        <v>16221</v>
      </c>
      <c r="H2782" t="s">
        <v>47126</v>
      </c>
      <c r="I2782" t="s">
        <v>47127</v>
      </c>
      <c r="J2782" t="s">
        <v>47128</v>
      </c>
      <c r="K2782" t="s">
        <v>47113</v>
      </c>
      <c r="L2782">
        <v>13.16</v>
      </c>
      <c r="M2782">
        <v>33</v>
      </c>
      <c r="N2782">
        <v>0</v>
      </c>
      <c r="O2782">
        <v>33</v>
      </c>
      <c r="P2782">
        <v>0</v>
      </c>
    </row>
    <row r="2783" spans="1:16" x14ac:dyDescent="0.25">
      <c r="A2783" t="s">
        <v>25243</v>
      </c>
      <c r="B2783" t="s">
        <v>4030</v>
      </c>
      <c r="C2783" t="s">
        <v>4031</v>
      </c>
      <c r="D2783" t="str">
        <f>"6276"</f>
        <v>6276</v>
      </c>
      <c r="E2783" t="s">
        <v>3867</v>
      </c>
      <c r="F2783" t="s">
        <v>2068</v>
      </c>
      <c r="G2783" t="s">
        <v>16221</v>
      </c>
      <c r="H2783" t="s">
        <v>47126</v>
      </c>
      <c r="I2783" t="s">
        <v>47127</v>
      </c>
      <c r="J2783" t="s">
        <v>47128</v>
      </c>
      <c r="K2783" t="s">
        <v>47113</v>
      </c>
      <c r="L2783">
        <v>13.16</v>
      </c>
      <c r="M2783">
        <v>33</v>
      </c>
      <c r="N2783">
        <v>0</v>
      </c>
      <c r="O2783">
        <v>33</v>
      </c>
      <c r="P2783">
        <v>0</v>
      </c>
    </row>
    <row r="2784" spans="1:16" x14ac:dyDescent="0.25">
      <c r="A2784" t="s">
        <v>25244</v>
      </c>
      <c r="B2784" t="s">
        <v>4032</v>
      </c>
      <c r="C2784" t="s">
        <v>4033</v>
      </c>
      <c r="D2784" t="str">
        <f>"1106"</f>
        <v>1106</v>
      </c>
      <c r="E2784" t="s">
        <v>460</v>
      </c>
      <c r="F2784" t="s">
        <v>3750</v>
      </c>
      <c r="G2784" t="s">
        <v>16221</v>
      </c>
      <c r="H2784" t="s">
        <v>47126</v>
      </c>
      <c r="I2784" t="s">
        <v>47127</v>
      </c>
      <c r="J2784" t="s">
        <v>47128</v>
      </c>
      <c r="K2784" t="s">
        <v>47113</v>
      </c>
      <c r="L2784">
        <v>12.68</v>
      </c>
      <c r="M2784">
        <v>31</v>
      </c>
      <c r="N2784">
        <v>0</v>
      </c>
      <c r="O2784">
        <v>31</v>
      </c>
      <c r="P2784">
        <v>0</v>
      </c>
    </row>
    <row r="2785" spans="1:16" x14ac:dyDescent="0.25">
      <c r="A2785" t="s">
        <v>25245</v>
      </c>
      <c r="B2785" t="s">
        <v>4032</v>
      </c>
      <c r="C2785" t="s">
        <v>4033</v>
      </c>
      <c r="D2785" t="str">
        <f>"1278"</f>
        <v>1278</v>
      </c>
      <c r="E2785" t="s">
        <v>100</v>
      </c>
      <c r="F2785" t="s">
        <v>3750</v>
      </c>
      <c r="G2785" t="s">
        <v>16221</v>
      </c>
      <c r="H2785" t="s">
        <v>47126</v>
      </c>
      <c r="I2785" t="s">
        <v>47127</v>
      </c>
      <c r="J2785" t="s">
        <v>47128</v>
      </c>
      <c r="K2785" t="s">
        <v>47113</v>
      </c>
      <c r="L2785">
        <v>12.68</v>
      </c>
      <c r="M2785">
        <v>31</v>
      </c>
      <c r="N2785">
        <v>0</v>
      </c>
      <c r="O2785">
        <v>31</v>
      </c>
      <c r="P2785">
        <v>0</v>
      </c>
    </row>
    <row r="2786" spans="1:16" x14ac:dyDescent="0.25">
      <c r="A2786" t="s">
        <v>25246</v>
      </c>
      <c r="B2786" t="s">
        <v>4032</v>
      </c>
      <c r="C2786" t="s">
        <v>4033</v>
      </c>
      <c r="D2786" t="str">
        <f>"1285"</f>
        <v>1285</v>
      </c>
      <c r="E2786" t="s">
        <v>2148</v>
      </c>
      <c r="F2786" t="s">
        <v>3750</v>
      </c>
      <c r="G2786" t="s">
        <v>16221</v>
      </c>
      <c r="H2786" t="s">
        <v>47126</v>
      </c>
      <c r="I2786" t="s">
        <v>47127</v>
      </c>
      <c r="J2786" t="s">
        <v>47128</v>
      </c>
      <c r="K2786" t="s">
        <v>47113</v>
      </c>
      <c r="L2786">
        <v>12.68</v>
      </c>
      <c r="M2786">
        <v>31</v>
      </c>
      <c r="N2786">
        <v>0</v>
      </c>
      <c r="O2786">
        <v>31</v>
      </c>
      <c r="P2786">
        <v>0</v>
      </c>
    </row>
    <row r="2787" spans="1:16" x14ac:dyDescent="0.25">
      <c r="A2787" t="s">
        <v>25247</v>
      </c>
      <c r="B2787" t="s">
        <v>4032</v>
      </c>
      <c r="C2787" t="s">
        <v>4033</v>
      </c>
      <c r="D2787" t="str">
        <f>"1379"</f>
        <v>1379</v>
      </c>
      <c r="E2787" t="s">
        <v>84</v>
      </c>
      <c r="F2787" t="s">
        <v>3750</v>
      </c>
      <c r="G2787" t="s">
        <v>16221</v>
      </c>
      <c r="H2787" t="s">
        <v>47126</v>
      </c>
      <c r="I2787" t="s">
        <v>47127</v>
      </c>
      <c r="J2787" t="s">
        <v>47128</v>
      </c>
      <c r="K2787" t="s">
        <v>47113</v>
      </c>
      <c r="L2787">
        <v>12.68</v>
      </c>
      <c r="M2787">
        <v>31</v>
      </c>
      <c r="N2787">
        <v>0</v>
      </c>
      <c r="O2787">
        <v>31</v>
      </c>
      <c r="P2787">
        <v>0</v>
      </c>
    </row>
    <row r="2788" spans="1:16" x14ac:dyDescent="0.25">
      <c r="A2788" t="s">
        <v>25248</v>
      </c>
      <c r="B2788" t="s">
        <v>4032</v>
      </c>
      <c r="C2788" t="s">
        <v>4033</v>
      </c>
      <c r="D2788" t="str">
        <f>"1700"</f>
        <v>1700</v>
      </c>
      <c r="E2788" t="s">
        <v>60</v>
      </c>
      <c r="F2788" t="s">
        <v>3750</v>
      </c>
      <c r="G2788" t="s">
        <v>16221</v>
      </c>
      <c r="H2788" t="s">
        <v>47126</v>
      </c>
      <c r="I2788" t="s">
        <v>47127</v>
      </c>
      <c r="J2788" t="s">
        <v>47128</v>
      </c>
      <c r="K2788" t="s">
        <v>47113</v>
      </c>
      <c r="L2788">
        <v>12.68</v>
      </c>
      <c r="M2788">
        <v>31</v>
      </c>
      <c r="N2788">
        <v>0</v>
      </c>
      <c r="O2788">
        <v>31</v>
      </c>
      <c r="P2788">
        <v>0</v>
      </c>
    </row>
    <row r="2789" spans="1:16" x14ac:dyDescent="0.25">
      <c r="A2789" t="s">
        <v>25249</v>
      </c>
      <c r="B2789" t="s">
        <v>4032</v>
      </c>
      <c r="C2789" t="s">
        <v>4033</v>
      </c>
      <c r="D2789" t="str">
        <f>"3539"</f>
        <v>3539</v>
      </c>
      <c r="E2789" t="s">
        <v>3883</v>
      </c>
      <c r="F2789" t="s">
        <v>3750</v>
      </c>
      <c r="G2789" t="s">
        <v>16221</v>
      </c>
      <c r="H2789" t="s">
        <v>47126</v>
      </c>
      <c r="I2789" t="s">
        <v>47127</v>
      </c>
      <c r="J2789" t="s">
        <v>47128</v>
      </c>
      <c r="K2789" t="s">
        <v>47113</v>
      </c>
      <c r="L2789">
        <v>12.68</v>
      </c>
      <c r="M2789">
        <v>31</v>
      </c>
      <c r="N2789">
        <v>0</v>
      </c>
      <c r="O2789">
        <v>31</v>
      </c>
      <c r="P2789">
        <v>0</v>
      </c>
    </row>
    <row r="2790" spans="1:16" x14ac:dyDescent="0.25">
      <c r="A2790" t="s">
        <v>25250</v>
      </c>
      <c r="B2790" t="s">
        <v>4032</v>
      </c>
      <c r="C2790" t="s">
        <v>4033</v>
      </c>
      <c r="D2790" t="str">
        <f>"4643"</f>
        <v>4643</v>
      </c>
      <c r="E2790" t="s">
        <v>205</v>
      </c>
      <c r="F2790" t="s">
        <v>3750</v>
      </c>
      <c r="G2790" t="s">
        <v>16221</v>
      </c>
      <c r="H2790" t="s">
        <v>47126</v>
      </c>
      <c r="I2790" t="s">
        <v>47127</v>
      </c>
      <c r="J2790" t="s">
        <v>47128</v>
      </c>
      <c r="K2790" t="s">
        <v>47113</v>
      </c>
      <c r="L2790">
        <v>12.68</v>
      </c>
      <c r="M2790">
        <v>31</v>
      </c>
      <c r="N2790">
        <v>0</v>
      </c>
      <c r="O2790">
        <v>31</v>
      </c>
      <c r="P2790">
        <v>0</v>
      </c>
    </row>
    <row r="2791" spans="1:16" x14ac:dyDescent="0.25">
      <c r="A2791" t="s">
        <v>25251</v>
      </c>
      <c r="B2791" t="s">
        <v>4032</v>
      </c>
      <c r="C2791" t="s">
        <v>4033</v>
      </c>
      <c r="D2791" t="str">
        <f>"4896"</f>
        <v>4896</v>
      </c>
      <c r="E2791" t="s">
        <v>3884</v>
      </c>
      <c r="F2791" t="s">
        <v>3750</v>
      </c>
      <c r="G2791" t="s">
        <v>16221</v>
      </c>
      <c r="H2791" t="s">
        <v>47126</v>
      </c>
      <c r="I2791" t="s">
        <v>47127</v>
      </c>
      <c r="J2791" t="s">
        <v>47128</v>
      </c>
      <c r="K2791" t="s">
        <v>47113</v>
      </c>
      <c r="L2791">
        <v>12.68</v>
      </c>
      <c r="M2791">
        <v>31</v>
      </c>
      <c r="N2791">
        <v>0</v>
      </c>
      <c r="O2791">
        <v>31</v>
      </c>
      <c r="P2791">
        <v>0</v>
      </c>
    </row>
    <row r="2792" spans="1:16" x14ac:dyDescent="0.25">
      <c r="A2792" t="s">
        <v>25252</v>
      </c>
      <c r="B2792" t="s">
        <v>4032</v>
      </c>
      <c r="C2792" t="s">
        <v>4033</v>
      </c>
      <c r="D2792" t="str">
        <f>"4897"</f>
        <v>4897</v>
      </c>
      <c r="E2792" t="s">
        <v>3885</v>
      </c>
      <c r="F2792" t="s">
        <v>3750</v>
      </c>
      <c r="G2792" t="s">
        <v>16221</v>
      </c>
      <c r="H2792" t="s">
        <v>47126</v>
      </c>
      <c r="I2792" t="s">
        <v>47127</v>
      </c>
      <c r="J2792" t="s">
        <v>47128</v>
      </c>
      <c r="K2792" t="s">
        <v>47113</v>
      </c>
      <c r="L2792">
        <v>12.68</v>
      </c>
      <c r="M2792">
        <v>31</v>
      </c>
      <c r="N2792">
        <v>0</v>
      </c>
      <c r="O2792">
        <v>31</v>
      </c>
      <c r="P2792">
        <v>0</v>
      </c>
    </row>
    <row r="2793" spans="1:16" x14ac:dyDescent="0.25">
      <c r="A2793" t="s">
        <v>25253</v>
      </c>
      <c r="B2793" t="s">
        <v>4032</v>
      </c>
      <c r="C2793" t="s">
        <v>4033</v>
      </c>
      <c r="D2793" t="str">
        <f>"5157"</f>
        <v>5157</v>
      </c>
      <c r="E2793" t="s">
        <v>3886</v>
      </c>
      <c r="F2793" t="s">
        <v>3750</v>
      </c>
      <c r="G2793" t="s">
        <v>16221</v>
      </c>
      <c r="H2793" t="s">
        <v>47126</v>
      </c>
      <c r="I2793" t="s">
        <v>47127</v>
      </c>
      <c r="J2793" t="s">
        <v>47128</v>
      </c>
      <c r="K2793" t="s">
        <v>47113</v>
      </c>
      <c r="L2793">
        <v>12.68</v>
      </c>
      <c r="M2793">
        <v>31</v>
      </c>
      <c r="N2793">
        <v>0</v>
      </c>
      <c r="O2793">
        <v>31</v>
      </c>
      <c r="P2793">
        <v>0</v>
      </c>
    </row>
    <row r="2794" spans="1:16" x14ac:dyDescent="0.25">
      <c r="A2794" t="s">
        <v>25254</v>
      </c>
      <c r="B2794" t="s">
        <v>4032</v>
      </c>
      <c r="C2794" t="s">
        <v>4033</v>
      </c>
      <c r="D2794" t="str">
        <f>"6023"</f>
        <v>6023</v>
      </c>
      <c r="E2794" t="s">
        <v>3887</v>
      </c>
      <c r="F2794" t="s">
        <v>3750</v>
      </c>
      <c r="G2794" t="s">
        <v>16221</v>
      </c>
      <c r="H2794" t="s">
        <v>47126</v>
      </c>
      <c r="I2794" t="s">
        <v>47127</v>
      </c>
      <c r="J2794" t="s">
        <v>47128</v>
      </c>
      <c r="K2794" t="s">
        <v>47113</v>
      </c>
      <c r="L2794">
        <v>12.68</v>
      </c>
      <c r="M2794">
        <v>31</v>
      </c>
      <c r="N2794">
        <v>0</v>
      </c>
      <c r="O2794">
        <v>31</v>
      </c>
      <c r="P2794">
        <v>0</v>
      </c>
    </row>
    <row r="2795" spans="1:16" x14ac:dyDescent="0.25">
      <c r="A2795" t="s">
        <v>25255</v>
      </c>
      <c r="B2795" t="s">
        <v>4032</v>
      </c>
      <c r="C2795" t="s">
        <v>4033</v>
      </c>
      <c r="D2795" t="str">
        <f>"6878"</f>
        <v>6878</v>
      </c>
      <c r="E2795" t="s">
        <v>3888</v>
      </c>
      <c r="F2795" t="s">
        <v>3750</v>
      </c>
      <c r="G2795" t="s">
        <v>16221</v>
      </c>
      <c r="H2795" t="s">
        <v>47126</v>
      </c>
      <c r="I2795" t="s">
        <v>47127</v>
      </c>
      <c r="J2795" t="s">
        <v>47128</v>
      </c>
      <c r="K2795" t="s">
        <v>47113</v>
      </c>
      <c r="L2795">
        <v>12.68</v>
      </c>
      <c r="M2795">
        <v>31</v>
      </c>
      <c r="N2795">
        <v>0</v>
      </c>
      <c r="O2795">
        <v>31</v>
      </c>
      <c r="P2795">
        <v>0</v>
      </c>
    </row>
    <row r="2796" spans="1:16" x14ac:dyDescent="0.25">
      <c r="A2796" t="s">
        <v>25256</v>
      </c>
      <c r="B2796" t="s">
        <v>4034</v>
      </c>
      <c r="C2796" t="s">
        <v>4035</v>
      </c>
      <c r="D2796" t="str">
        <f>"1106"</f>
        <v>1106</v>
      </c>
      <c r="E2796" t="s">
        <v>460</v>
      </c>
      <c r="F2796" t="s">
        <v>3750</v>
      </c>
      <c r="G2796" t="s">
        <v>16221</v>
      </c>
      <c r="H2796" t="s">
        <v>47126</v>
      </c>
      <c r="I2796" t="s">
        <v>47127</v>
      </c>
      <c r="J2796" t="s">
        <v>47128</v>
      </c>
      <c r="K2796" t="s">
        <v>47113</v>
      </c>
      <c r="L2796">
        <v>10.74</v>
      </c>
      <c r="M2796">
        <v>26</v>
      </c>
      <c r="N2796">
        <v>0</v>
      </c>
      <c r="O2796">
        <v>26</v>
      </c>
      <c r="P2796">
        <v>0</v>
      </c>
    </row>
    <row r="2797" spans="1:16" x14ac:dyDescent="0.25">
      <c r="A2797" t="s">
        <v>25257</v>
      </c>
      <c r="B2797" t="s">
        <v>4034</v>
      </c>
      <c r="C2797" t="s">
        <v>4035</v>
      </c>
      <c r="D2797" t="str">
        <f>"1278"</f>
        <v>1278</v>
      </c>
      <c r="E2797" t="s">
        <v>100</v>
      </c>
      <c r="F2797" t="s">
        <v>3750</v>
      </c>
      <c r="G2797" t="s">
        <v>16221</v>
      </c>
      <c r="H2797" t="s">
        <v>47126</v>
      </c>
      <c r="I2797" t="s">
        <v>47127</v>
      </c>
      <c r="J2797" t="s">
        <v>47128</v>
      </c>
      <c r="K2797" t="s">
        <v>47113</v>
      </c>
      <c r="L2797">
        <v>10.74</v>
      </c>
      <c r="M2797">
        <v>26</v>
      </c>
      <c r="N2797">
        <v>0</v>
      </c>
      <c r="O2797">
        <v>26</v>
      </c>
      <c r="P2797">
        <v>0</v>
      </c>
    </row>
    <row r="2798" spans="1:16" x14ac:dyDescent="0.25">
      <c r="A2798" t="s">
        <v>25258</v>
      </c>
      <c r="B2798" t="s">
        <v>4034</v>
      </c>
      <c r="C2798" t="s">
        <v>4035</v>
      </c>
      <c r="D2798" t="str">
        <f>"1285"</f>
        <v>1285</v>
      </c>
      <c r="E2798" t="s">
        <v>2148</v>
      </c>
      <c r="F2798" t="s">
        <v>3750</v>
      </c>
      <c r="G2798" t="s">
        <v>16221</v>
      </c>
      <c r="H2798" t="s">
        <v>47126</v>
      </c>
      <c r="I2798" t="s">
        <v>47127</v>
      </c>
      <c r="J2798" t="s">
        <v>47128</v>
      </c>
      <c r="K2798" t="s">
        <v>47113</v>
      </c>
      <c r="L2798">
        <v>10.74</v>
      </c>
      <c r="M2798">
        <v>26</v>
      </c>
      <c r="N2798">
        <v>0</v>
      </c>
      <c r="O2798">
        <v>26</v>
      </c>
      <c r="P2798">
        <v>0</v>
      </c>
    </row>
    <row r="2799" spans="1:16" x14ac:dyDescent="0.25">
      <c r="A2799" t="s">
        <v>25259</v>
      </c>
      <c r="B2799" t="s">
        <v>4034</v>
      </c>
      <c r="C2799" t="s">
        <v>4035</v>
      </c>
      <c r="D2799" t="str">
        <f>"1379"</f>
        <v>1379</v>
      </c>
      <c r="E2799" t="s">
        <v>84</v>
      </c>
      <c r="F2799" t="s">
        <v>3750</v>
      </c>
      <c r="G2799" t="s">
        <v>16221</v>
      </c>
      <c r="H2799" t="s">
        <v>47126</v>
      </c>
      <c r="I2799" t="s">
        <v>47127</v>
      </c>
      <c r="J2799" t="s">
        <v>47128</v>
      </c>
      <c r="K2799" t="s">
        <v>47113</v>
      </c>
      <c r="L2799">
        <v>10.74</v>
      </c>
      <c r="M2799">
        <v>26</v>
      </c>
      <c r="N2799">
        <v>0</v>
      </c>
      <c r="O2799">
        <v>26</v>
      </c>
      <c r="P2799">
        <v>0</v>
      </c>
    </row>
    <row r="2800" spans="1:16" x14ac:dyDescent="0.25">
      <c r="A2800" t="s">
        <v>25260</v>
      </c>
      <c r="B2800" t="s">
        <v>4034</v>
      </c>
      <c r="C2800" t="s">
        <v>4035</v>
      </c>
      <c r="D2800" t="str">
        <f>"1700"</f>
        <v>1700</v>
      </c>
      <c r="E2800" t="s">
        <v>60</v>
      </c>
      <c r="F2800" t="s">
        <v>3750</v>
      </c>
      <c r="G2800" t="s">
        <v>16221</v>
      </c>
      <c r="H2800" t="s">
        <v>47126</v>
      </c>
      <c r="I2800" t="s">
        <v>47127</v>
      </c>
      <c r="J2800" t="s">
        <v>47128</v>
      </c>
      <c r="K2800" t="s">
        <v>47113</v>
      </c>
      <c r="L2800">
        <v>10.74</v>
      </c>
      <c r="M2800">
        <v>26</v>
      </c>
      <c r="N2800">
        <v>0</v>
      </c>
      <c r="O2800">
        <v>26</v>
      </c>
      <c r="P2800">
        <v>0</v>
      </c>
    </row>
    <row r="2801" spans="1:16" x14ac:dyDescent="0.25">
      <c r="A2801" t="s">
        <v>25261</v>
      </c>
      <c r="B2801" t="s">
        <v>4034</v>
      </c>
      <c r="C2801" t="s">
        <v>4035</v>
      </c>
      <c r="D2801" t="str">
        <f>"3539"</f>
        <v>3539</v>
      </c>
      <c r="E2801" t="s">
        <v>3883</v>
      </c>
      <c r="F2801" t="s">
        <v>3750</v>
      </c>
      <c r="G2801" t="s">
        <v>16221</v>
      </c>
      <c r="H2801" t="s">
        <v>47126</v>
      </c>
      <c r="I2801" t="s">
        <v>47127</v>
      </c>
      <c r="J2801" t="s">
        <v>47128</v>
      </c>
      <c r="K2801" t="s">
        <v>47113</v>
      </c>
      <c r="L2801">
        <v>10.74</v>
      </c>
      <c r="M2801">
        <v>26</v>
      </c>
      <c r="N2801">
        <v>0</v>
      </c>
      <c r="O2801">
        <v>26</v>
      </c>
      <c r="P2801">
        <v>0</v>
      </c>
    </row>
    <row r="2802" spans="1:16" x14ac:dyDescent="0.25">
      <c r="A2802" t="s">
        <v>25262</v>
      </c>
      <c r="B2802" t="s">
        <v>4034</v>
      </c>
      <c r="C2802" t="s">
        <v>4035</v>
      </c>
      <c r="D2802" t="str">
        <f>"4643"</f>
        <v>4643</v>
      </c>
      <c r="E2802" t="s">
        <v>205</v>
      </c>
      <c r="F2802" t="s">
        <v>3750</v>
      </c>
      <c r="G2802" t="s">
        <v>16221</v>
      </c>
      <c r="H2802" t="s">
        <v>47126</v>
      </c>
      <c r="I2802" t="s">
        <v>47127</v>
      </c>
      <c r="J2802" t="s">
        <v>47128</v>
      </c>
      <c r="K2802" t="s">
        <v>47113</v>
      </c>
      <c r="L2802">
        <v>10.74</v>
      </c>
      <c r="M2802">
        <v>26</v>
      </c>
      <c r="N2802">
        <v>0</v>
      </c>
      <c r="O2802">
        <v>26</v>
      </c>
      <c r="P2802">
        <v>0</v>
      </c>
    </row>
    <row r="2803" spans="1:16" x14ac:dyDescent="0.25">
      <c r="A2803" t="s">
        <v>25263</v>
      </c>
      <c r="B2803" t="s">
        <v>4034</v>
      </c>
      <c r="C2803" t="s">
        <v>4035</v>
      </c>
      <c r="D2803" t="str">
        <f>"4896"</f>
        <v>4896</v>
      </c>
      <c r="E2803" t="s">
        <v>3884</v>
      </c>
      <c r="F2803" t="s">
        <v>3750</v>
      </c>
      <c r="G2803" t="s">
        <v>16221</v>
      </c>
      <c r="H2803" t="s">
        <v>47126</v>
      </c>
      <c r="I2803" t="s">
        <v>47127</v>
      </c>
      <c r="J2803" t="s">
        <v>47128</v>
      </c>
      <c r="K2803" t="s">
        <v>47113</v>
      </c>
      <c r="L2803">
        <v>10.74</v>
      </c>
      <c r="M2803">
        <v>26</v>
      </c>
      <c r="N2803">
        <v>0</v>
      </c>
      <c r="O2803">
        <v>26</v>
      </c>
      <c r="P2803">
        <v>0</v>
      </c>
    </row>
    <row r="2804" spans="1:16" x14ac:dyDescent="0.25">
      <c r="A2804" t="s">
        <v>25264</v>
      </c>
      <c r="B2804" t="s">
        <v>4034</v>
      </c>
      <c r="C2804" t="s">
        <v>4035</v>
      </c>
      <c r="D2804" t="str">
        <f>"4897"</f>
        <v>4897</v>
      </c>
      <c r="E2804" t="s">
        <v>3885</v>
      </c>
      <c r="F2804" t="s">
        <v>3750</v>
      </c>
      <c r="G2804" t="s">
        <v>16221</v>
      </c>
      <c r="H2804" t="s">
        <v>47126</v>
      </c>
      <c r="I2804" t="s">
        <v>47127</v>
      </c>
      <c r="J2804" t="s">
        <v>47128</v>
      </c>
      <c r="K2804" t="s">
        <v>47113</v>
      </c>
      <c r="L2804">
        <v>10.74</v>
      </c>
      <c r="M2804">
        <v>26</v>
      </c>
      <c r="N2804">
        <v>0</v>
      </c>
      <c r="O2804">
        <v>26</v>
      </c>
      <c r="P2804">
        <v>0</v>
      </c>
    </row>
    <row r="2805" spans="1:16" x14ac:dyDescent="0.25">
      <c r="A2805" t="s">
        <v>25265</v>
      </c>
      <c r="B2805" t="s">
        <v>4034</v>
      </c>
      <c r="C2805" t="s">
        <v>4035</v>
      </c>
      <c r="D2805" t="str">
        <f>"5157"</f>
        <v>5157</v>
      </c>
      <c r="E2805" t="s">
        <v>3886</v>
      </c>
      <c r="F2805" t="s">
        <v>3750</v>
      </c>
      <c r="G2805" t="s">
        <v>16221</v>
      </c>
      <c r="H2805" t="s">
        <v>47126</v>
      </c>
      <c r="I2805" t="s">
        <v>47127</v>
      </c>
      <c r="J2805" t="s">
        <v>47128</v>
      </c>
      <c r="K2805" t="s">
        <v>47113</v>
      </c>
      <c r="L2805">
        <v>10.74</v>
      </c>
      <c r="M2805">
        <v>26</v>
      </c>
      <c r="N2805">
        <v>0</v>
      </c>
      <c r="O2805">
        <v>26</v>
      </c>
      <c r="P2805">
        <v>0</v>
      </c>
    </row>
    <row r="2806" spans="1:16" x14ac:dyDescent="0.25">
      <c r="A2806" t="s">
        <v>25266</v>
      </c>
      <c r="B2806" t="s">
        <v>4034</v>
      </c>
      <c r="C2806" t="s">
        <v>4035</v>
      </c>
      <c r="D2806" t="str">
        <f>"6023"</f>
        <v>6023</v>
      </c>
      <c r="E2806" t="s">
        <v>3887</v>
      </c>
      <c r="F2806" t="s">
        <v>3750</v>
      </c>
      <c r="G2806" t="s">
        <v>16221</v>
      </c>
      <c r="H2806" t="s">
        <v>47126</v>
      </c>
      <c r="I2806" t="s">
        <v>47127</v>
      </c>
      <c r="J2806" t="s">
        <v>47128</v>
      </c>
      <c r="K2806" t="s">
        <v>47113</v>
      </c>
      <c r="L2806">
        <v>10.74</v>
      </c>
      <c r="M2806">
        <v>26</v>
      </c>
      <c r="N2806">
        <v>0</v>
      </c>
      <c r="O2806">
        <v>26</v>
      </c>
      <c r="P2806">
        <v>0</v>
      </c>
    </row>
    <row r="2807" spans="1:16" x14ac:dyDescent="0.25">
      <c r="A2807" t="s">
        <v>25267</v>
      </c>
      <c r="B2807" t="s">
        <v>4034</v>
      </c>
      <c r="C2807" t="s">
        <v>4035</v>
      </c>
      <c r="D2807" t="str">
        <f>"6878"</f>
        <v>6878</v>
      </c>
      <c r="E2807" t="s">
        <v>3888</v>
      </c>
      <c r="F2807" t="s">
        <v>3750</v>
      </c>
      <c r="G2807" t="s">
        <v>16221</v>
      </c>
      <c r="H2807" t="s">
        <v>47126</v>
      </c>
      <c r="I2807" t="s">
        <v>47127</v>
      </c>
      <c r="J2807" t="s">
        <v>47128</v>
      </c>
      <c r="K2807" t="s">
        <v>47113</v>
      </c>
      <c r="L2807">
        <v>10.74</v>
      </c>
      <c r="M2807">
        <v>26</v>
      </c>
      <c r="N2807">
        <v>0</v>
      </c>
      <c r="O2807">
        <v>26</v>
      </c>
      <c r="P2807">
        <v>0</v>
      </c>
    </row>
    <row r="2808" spans="1:16" x14ac:dyDescent="0.25">
      <c r="A2808" t="s">
        <v>25268</v>
      </c>
      <c r="B2808" t="s">
        <v>4036</v>
      </c>
      <c r="C2808" t="s">
        <v>4037</v>
      </c>
      <c r="D2808" t="str">
        <f>"1106"</f>
        <v>1106</v>
      </c>
      <c r="E2808" t="s">
        <v>460</v>
      </c>
      <c r="F2808" t="s">
        <v>3750</v>
      </c>
      <c r="G2808" t="s">
        <v>16221</v>
      </c>
      <c r="H2808" t="s">
        <v>47126</v>
      </c>
      <c r="I2808" t="s">
        <v>47127</v>
      </c>
      <c r="J2808" t="s">
        <v>47128</v>
      </c>
      <c r="K2808" t="s">
        <v>47113</v>
      </c>
      <c r="L2808">
        <v>11.47</v>
      </c>
      <c r="M2808">
        <v>28</v>
      </c>
      <c r="N2808">
        <v>0</v>
      </c>
      <c r="O2808">
        <v>28</v>
      </c>
      <c r="P2808">
        <v>0</v>
      </c>
    </row>
    <row r="2809" spans="1:16" x14ac:dyDescent="0.25">
      <c r="A2809" t="s">
        <v>25269</v>
      </c>
      <c r="B2809" t="s">
        <v>4036</v>
      </c>
      <c r="C2809" t="s">
        <v>4037</v>
      </c>
      <c r="D2809" t="str">
        <f>"1278"</f>
        <v>1278</v>
      </c>
      <c r="E2809" t="s">
        <v>100</v>
      </c>
      <c r="F2809" t="s">
        <v>3750</v>
      </c>
      <c r="G2809" t="s">
        <v>16221</v>
      </c>
      <c r="H2809" t="s">
        <v>47126</v>
      </c>
      <c r="I2809" t="s">
        <v>47127</v>
      </c>
      <c r="J2809" t="s">
        <v>47128</v>
      </c>
      <c r="K2809" t="s">
        <v>47113</v>
      </c>
      <c r="L2809">
        <v>11.47</v>
      </c>
      <c r="M2809">
        <v>28</v>
      </c>
      <c r="N2809">
        <v>0</v>
      </c>
      <c r="O2809">
        <v>28</v>
      </c>
      <c r="P2809">
        <v>0</v>
      </c>
    </row>
    <row r="2810" spans="1:16" x14ac:dyDescent="0.25">
      <c r="A2810" t="s">
        <v>25270</v>
      </c>
      <c r="B2810" t="s">
        <v>4036</v>
      </c>
      <c r="C2810" t="s">
        <v>4037</v>
      </c>
      <c r="D2810" t="str">
        <f>"1285"</f>
        <v>1285</v>
      </c>
      <c r="E2810" t="s">
        <v>2148</v>
      </c>
      <c r="F2810" t="s">
        <v>3750</v>
      </c>
      <c r="G2810" t="s">
        <v>16221</v>
      </c>
      <c r="H2810" t="s">
        <v>47126</v>
      </c>
      <c r="I2810" t="s">
        <v>47127</v>
      </c>
      <c r="J2810" t="s">
        <v>47128</v>
      </c>
      <c r="K2810" t="s">
        <v>47113</v>
      </c>
      <c r="L2810">
        <v>11.47</v>
      </c>
      <c r="M2810">
        <v>28</v>
      </c>
      <c r="N2810">
        <v>0</v>
      </c>
      <c r="O2810">
        <v>28</v>
      </c>
      <c r="P2810">
        <v>0</v>
      </c>
    </row>
    <row r="2811" spans="1:16" x14ac:dyDescent="0.25">
      <c r="A2811" t="s">
        <v>25271</v>
      </c>
      <c r="B2811" t="s">
        <v>4036</v>
      </c>
      <c r="C2811" t="s">
        <v>4037</v>
      </c>
      <c r="D2811" t="str">
        <f>"1379"</f>
        <v>1379</v>
      </c>
      <c r="E2811" t="s">
        <v>84</v>
      </c>
      <c r="F2811" t="s">
        <v>3750</v>
      </c>
      <c r="G2811" t="s">
        <v>16221</v>
      </c>
      <c r="H2811" t="s">
        <v>47126</v>
      </c>
      <c r="I2811" t="s">
        <v>47127</v>
      </c>
      <c r="J2811" t="s">
        <v>47128</v>
      </c>
      <c r="K2811" t="s">
        <v>47113</v>
      </c>
      <c r="L2811">
        <v>11.47</v>
      </c>
      <c r="M2811">
        <v>28</v>
      </c>
      <c r="N2811">
        <v>0</v>
      </c>
      <c r="O2811">
        <v>28</v>
      </c>
      <c r="P2811">
        <v>0</v>
      </c>
    </row>
    <row r="2812" spans="1:16" x14ac:dyDescent="0.25">
      <c r="A2812" t="s">
        <v>25272</v>
      </c>
      <c r="B2812" t="s">
        <v>4036</v>
      </c>
      <c r="C2812" t="s">
        <v>4037</v>
      </c>
      <c r="D2812" t="str">
        <f>"1700"</f>
        <v>1700</v>
      </c>
      <c r="E2812" t="s">
        <v>60</v>
      </c>
      <c r="F2812" t="s">
        <v>3750</v>
      </c>
      <c r="G2812" t="s">
        <v>16221</v>
      </c>
      <c r="H2812" t="s">
        <v>47126</v>
      </c>
      <c r="I2812" t="s">
        <v>47127</v>
      </c>
      <c r="J2812" t="s">
        <v>47128</v>
      </c>
      <c r="K2812" t="s">
        <v>47113</v>
      </c>
      <c r="L2812">
        <v>11.47</v>
      </c>
      <c r="M2812">
        <v>28</v>
      </c>
      <c r="N2812">
        <v>0</v>
      </c>
      <c r="O2812">
        <v>28</v>
      </c>
      <c r="P2812">
        <v>0</v>
      </c>
    </row>
    <row r="2813" spans="1:16" x14ac:dyDescent="0.25">
      <c r="A2813" t="s">
        <v>25273</v>
      </c>
      <c r="B2813" t="s">
        <v>4036</v>
      </c>
      <c r="C2813" t="s">
        <v>4037</v>
      </c>
      <c r="D2813" t="str">
        <f>"3539"</f>
        <v>3539</v>
      </c>
      <c r="E2813" t="s">
        <v>3883</v>
      </c>
      <c r="F2813" t="s">
        <v>3750</v>
      </c>
      <c r="G2813" t="s">
        <v>16221</v>
      </c>
      <c r="H2813" t="s">
        <v>47126</v>
      </c>
      <c r="I2813" t="s">
        <v>47127</v>
      </c>
      <c r="J2813" t="s">
        <v>47128</v>
      </c>
      <c r="K2813" t="s">
        <v>47113</v>
      </c>
      <c r="L2813">
        <v>11.47</v>
      </c>
      <c r="M2813">
        <v>28</v>
      </c>
      <c r="N2813">
        <v>0</v>
      </c>
      <c r="O2813">
        <v>28</v>
      </c>
      <c r="P2813">
        <v>0</v>
      </c>
    </row>
    <row r="2814" spans="1:16" x14ac:dyDescent="0.25">
      <c r="A2814" t="s">
        <v>25274</v>
      </c>
      <c r="B2814" t="s">
        <v>4036</v>
      </c>
      <c r="C2814" t="s">
        <v>4037</v>
      </c>
      <c r="D2814" t="str">
        <f>"4643"</f>
        <v>4643</v>
      </c>
      <c r="E2814" t="s">
        <v>205</v>
      </c>
      <c r="F2814" t="s">
        <v>3750</v>
      </c>
      <c r="G2814" t="s">
        <v>16221</v>
      </c>
      <c r="H2814" t="s">
        <v>47126</v>
      </c>
      <c r="I2814" t="s">
        <v>47127</v>
      </c>
      <c r="J2814" t="s">
        <v>47128</v>
      </c>
      <c r="K2814" t="s">
        <v>47113</v>
      </c>
      <c r="L2814">
        <v>11.47</v>
      </c>
      <c r="M2814">
        <v>28</v>
      </c>
      <c r="N2814">
        <v>0</v>
      </c>
      <c r="O2814">
        <v>28</v>
      </c>
      <c r="P2814">
        <v>0</v>
      </c>
    </row>
    <row r="2815" spans="1:16" x14ac:dyDescent="0.25">
      <c r="A2815" t="s">
        <v>25275</v>
      </c>
      <c r="B2815" t="s">
        <v>4036</v>
      </c>
      <c r="C2815" t="s">
        <v>4037</v>
      </c>
      <c r="D2815" t="str">
        <f>"4896"</f>
        <v>4896</v>
      </c>
      <c r="E2815" t="s">
        <v>3884</v>
      </c>
      <c r="F2815" t="s">
        <v>3750</v>
      </c>
      <c r="G2815" t="s">
        <v>16221</v>
      </c>
      <c r="H2815" t="s">
        <v>47126</v>
      </c>
      <c r="I2815" t="s">
        <v>47127</v>
      </c>
      <c r="J2815" t="s">
        <v>47128</v>
      </c>
      <c r="K2815" t="s">
        <v>47113</v>
      </c>
      <c r="L2815">
        <v>11.47</v>
      </c>
      <c r="M2815">
        <v>28</v>
      </c>
      <c r="N2815">
        <v>0</v>
      </c>
      <c r="O2815">
        <v>28</v>
      </c>
      <c r="P2815">
        <v>0</v>
      </c>
    </row>
    <row r="2816" spans="1:16" x14ac:dyDescent="0.25">
      <c r="A2816" t="s">
        <v>25276</v>
      </c>
      <c r="B2816" t="s">
        <v>4036</v>
      </c>
      <c r="C2816" t="s">
        <v>4037</v>
      </c>
      <c r="D2816" t="str">
        <f>"4897"</f>
        <v>4897</v>
      </c>
      <c r="E2816" t="s">
        <v>3885</v>
      </c>
      <c r="F2816" t="s">
        <v>3750</v>
      </c>
      <c r="G2816" t="s">
        <v>16221</v>
      </c>
      <c r="H2816" t="s">
        <v>47126</v>
      </c>
      <c r="I2816" t="s">
        <v>47127</v>
      </c>
      <c r="J2816" t="s">
        <v>47128</v>
      </c>
      <c r="K2816" t="s">
        <v>47113</v>
      </c>
      <c r="L2816">
        <v>11.47</v>
      </c>
      <c r="M2816">
        <v>28</v>
      </c>
      <c r="N2816">
        <v>0</v>
      </c>
      <c r="O2816">
        <v>28</v>
      </c>
      <c r="P2816">
        <v>0</v>
      </c>
    </row>
    <row r="2817" spans="1:16" x14ac:dyDescent="0.25">
      <c r="A2817" t="s">
        <v>25277</v>
      </c>
      <c r="B2817" t="s">
        <v>4036</v>
      </c>
      <c r="C2817" t="s">
        <v>4037</v>
      </c>
      <c r="D2817" t="str">
        <f>"5157"</f>
        <v>5157</v>
      </c>
      <c r="E2817" t="s">
        <v>3886</v>
      </c>
      <c r="F2817" t="s">
        <v>3750</v>
      </c>
      <c r="G2817" t="s">
        <v>16221</v>
      </c>
      <c r="H2817" t="s">
        <v>47126</v>
      </c>
      <c r="I2817" t="s">
        <v>47127</v>
      </c>
      <c r="J2817" t="s">
        <v>47128</v>
      </c>
      <c r="K2817" t="s">
        <v>47113</v>
      </c>
      <c r="L2817">
        <v>11.47</v>
      </c>
      <c r="M2817">
        <v>28</v>
      </c>
      <c r="N2817">
        <v>0</v>
      </c>
      <c r="O2817">
        <v>28</v>
      </c>
      <c r="P2817">
        <v>0</v>
      </c>
    </row>
    <row r="2818" spans="1:16" x14ac:dyDescent="0.25">
      <c r="A2818" t="s">
        <v>25278</v>
      </c>
      <c r="B2818" t="s">
        <v>4036</v>
      </c>
      <c r="C2818" t="s">
        <v>4037</v>
      </c>
      <c r="D2818" t="str">
        <f>"6023"</f>
        <v>6023</v>
      </c>
      <c r="E2818" t="s">
        <v>3887</v>
      </c>
      <c r="F2818" t="s">
        <v>3750</v>
      </c>
      <c r="G2818" t="s">
        <v>16221</v>
      </c>
      <c r="H2818" t="s">
        <v>47126</v>
      </c>
      <c r="I2818" t="s">
        <v>47127</v>
      </c>
      <c r="J2818" t="s">
        <v>47128</v>
      </c>
      <c r="K2818" t="s">
        <v>47113</v>
      </c>
      <c r="L2818">
        <v>11.47</v>
      </c>
      <c r="M2818">
        <v>28</v>
      </c>
      <c r="N2818">
        <v>0</v>
      </c>
      <c r="O2818">
        <v>28</v>
      </c>
      <c r="P2818">
        <v>0</v>
      </c>
    </row>
    <row r="2819" spans="1:16" x14ac:dyDescent="0.25">
      <c r="A2819" t="s">
        <v>25279</v>
      </c>
      <c r="B2819" t="s">
        <v>4036</v>
      </c>
      <c r="C2819" t="s">
        <v>4037</v>
      </c>
      <c r="D2819" t="str">
        <f>"6878"</f>
        <v>6878</v>
      </c>
      <c r="E2819" t="s">
        <v>3888</v>
      </c>
      <c r="F2819" t="s">
        <v>3750</v>
      </c>
      <c r="G2819" t="s">
        <v>16221</v>
      </c>
      <c r="H2819" t="s">
        <v>47126</v>
      </c>
      <c r="I2819" t="s">
        <v>47127</v>
      </c>
      <c r="J2819" t="s">
        <v>47128</v>
      </c>
      <c r="K2819" t="s">
        <v>47113</v>
      </c>
      <c r="L2819">
        <v>11.47</v>
      </c>
      <c r="M2819">
        <v>28</v>
      </c>
      <c r="N2819">
        <v>0</v>
      </c>
      <c r="O2819">
        <v>28</v>
      </c>
      <c r="P2819">
        <v>0</v>
      </c>
    </row>
    <row r="2820" spans="1:16" x14ac:dyDescent="0.25">
      <c r="A2820" t="s">
        <v>25280</v>
      </c>
      <c r="B2820" t="s">
        <v>4038</v>
      </c>
      <c r="C2820" t="s">
        <v>4039</v>
      </c>
      <c r="D2820" t="str">
        <f>"1106"</f>
        <v>1106</v>
      </c>
      <c r="E2820" t="s">
        <v>460</v>
      </c>
      <c r="F2820" t="s">
        <v>3750</v>
      </c>
      <c r="G2820" t="s">
        <v>16221</v>
      </c>
      <c r="H2820" t="s">
        <v>47126</v>
      </c>
      <c r="I2820" t="s">
        <v>47127</v>
      </c>
      <c r="J2820" t="s">
        <v>47128</v>
      </c>
      <c r="K2820" t="s">
        <v>47113</v>
      </c>
      <c r="L2820">
        <v>11.47</v>
      </c>
      <c r="M2820">
        <v>28</v>
      </c>
      <c r="N2820">
        <v>0</v>
      </c>
      <c r="O2820">
        <v>28</v>
      </c>
      <c r="P2820">
        <v>0</v>
      </c>
    </row>
    <row r="2821" spans="1:16" x14ac:dyDescent="0.25">
      <c r="A2821" t="s">
        <v>25281</v>
      </c>
      <c r="B2821" t="s">
        <v>4038</v>
      </c>
      <c r="C2821" t="s">
        <v>4039</v>
      </c>
      <c r="D2821" t="str">
        <f>"1278"</f>
        <v>1278</v>
      </c>
      <c r="E2821" t="s">
        <v>100</v>
      </c>
      <c r="F2821" t="s">
        <v>3750</v>
      </c>
      <c r="G2821" t="s">
        <v>16221</v>
      </c>
      <c r="H2821" t="s">
        <v>47126</v>
      </c>
      <c r="I2821" t="s">
        <v>47127</v>
      </c>
      <c r="J2821" t="s">
        <v>47128</v>
      </c>
      <c r="K2821" t="s">
        <v>47113</v>
      </c>
      <c r="L2821">
        <v>11.47</v>
      </c>
      <c r="M2821">
        <v>28</v>
      </c>
      <c r="N2821">
        <v>0</v>
      </c>
      <c r="O2821">
        <v>28</v>
      </c>
      <c r="P2821">
        <v>0</v>
      </c>
    </row>
    <row r="2822" spans="1:16" x14ac:dyDescent="0.25">
      <c r="A2822" t="s">
        <v>25282</v>
      </c>
      <c r="B2822" t="s">
        <v>4038</v>
      </c>
      <c r="C2822" t="s">
        <v>4039</v>
      </c>
      <c r="D2822" t="str">
        <f>"1285"</f>
        <v>1285</v>
      </c>
      <c r="E2822" t="s">
        <v>2148</v>
      </c>
      <c r="F2822" t="s">
        <v>3750</v>
      </c>
      <c r="G2822" t="s">
        <v>16221</v>
      </c>
      <c r="H2822" t="s">
        <v>47126</v>
      </c>
      <c r="I2822" t="s">
        <v>47127</v>
      </c>
      <c r="J2822" t="s">
        <v>47128</v>
      </c>
      <c r="K2822" t="s">
        <v>47113</v>
      </c>
      <c r="L2822">
        <v>11.47</v>
      </c>
      <c r="M2822">
        <v>28</v>
      </c>
      <c r="N2822">
        <v>0</v>
      </c>
      <c r="O2822">
        <v>28</v>
      </c>
      <c r="P2822">
        <v>0</v>
      </c>
    </row>
    <row r="2823" spans="1:16" x14ac:dyDescent="0.25">
      <c r="A2823" t="s">
        <v>25283</v>
      </c>
      <c r="B2823" t="s">
        <v>4038</v>
      </c>
      <c r="C2823" t="s">
        <v>4039</v>
      </c>
      <c r="D2823" t="str">
        <f>"1379"</f>
        <v>1379</v>
      </c>
      <c r="E2823" t="s">
        <v>84</v>
      </c>
      <c r="F2823" t="s">
        <v>3750</v>
      </c>
      <c r="G2823" t="s">
        <v>16221</v>
      </c>
      <c r="H2823" t="s">
        <v>47126</v>
      </c>
      <c r="I2823" t="s">
        <v>47127</v>
      </c>
      <c r="J2823" t="s">
        <v>47128</v>
      </c>
      <c r="K2823" t="s">
        <v>47113</v>
      </c>
      <c r="L2823">
        <v>11.47</v>
      </c>
      <c r="M2823">
        <v>28</v>
      </c>
      <c r="N2823">
        <v>0</v>
      </c>
      <c r="O2823">
        <v>28</v>
      </c>
      <c r="P2823">
        <v>0</v>
      </c>
    </row>
    <row r="2824" spans="1:16" x14ac:dyDescent="0.25">
      <c r="A2824" t="s">
        <v>25284</v>
      </c>
      <c r="B2824" t="s">
        <v>4038</v>
      </c>
      <c r="C2824" t="s">
        <v>4039</v>
      </c>
      <c r="D2824" t="str">
        <f>"1700"</f>
        <v>1700</v>
      </c>
      <c r="E2824" t="s">
        <v>60</v>
      </c>
      <c r="F2824" t="s">
        <v>3750</v>
      </c>
      <c r="G2824" t="s">
        <v>16221</v>
      </c>
      <c r="H2824" t="s">
        <v>47126</v>
      </c>
      <c r="I2824" t="s">
        <v>47127</v>
      </c>
      <c r="J2824" t="s">
        <v>47128</v>
      </c>
      <c r="K2824" t="s">
        <v>47113</v>
      </c>
      <c r="L2824">
        <v>11.47</v>
      </c>
      <c r="M2824">
        <v>28</v>
      </c>
      <c r="N2824">
        <v>0</v>
      </c>
      <c r="O2824">
        <v>28</v>
      </c>
      <c r="P2824">
        <v>0</v>
      </c>
    </row>
    <row r="2825" spans="1:16" x14ac:dyDescent="0.25">
      <c r="A2825" t="s">
        <v>25285</v>
      </c>
      <c r="B2825" t="s">
        <v>4038</v>
      </c>
      <c r="C2825" t="s">
        <v>4039</v>
      </c>
      <c r="D2825" t="str">
        <f>"3539"</f>
        <v>3539</v>
      </c>
      <c r="E2825" t="s">
        <v>3883</v>
      </c>
      <c r="F2825" t="s">
        <v>3750</v>
      </c>
      <c r="G2825" t="s">
        <v>16221</v>
      </c>
      <c r="H2825" t="s">
        <v>47126</v>
      </c>
      <c r="I2825" t="s">
        <v>47127</v>
      </c>
      <c r="J2825" t="s">
        <v>47128</v>
      </c>
      <c r="K2825" t="s">
        <v>47113</v>
      </c>
      <c r="L2825">
        <v>11.47</v>
      </c>
      <c r="M2825">
        <v>28</v>
      </c>
      <c r="N2825">
        <v>0</v>
      </c>
      <c r="O2825">
        <v>28</v>
      </c>
      <c r="P2825">
        <v>0</v>
      </c>
    </row>
    <row r="2826" spans="1:16" x14ac:dyDescent="0.25">
      <c r="A2826" t="s">
        <v>25286</v>
      </c>
      <c r="B2826" t="s">
        <v>4038</v>
      </c>
      <c r="C2826" t="s">
        <v>4039</v>
      </c>
      <c r="D2826" t="str">
        <f>"4643"</f>
        <v>4643</v>
      </c>
      <c r="E2826" t="s">
        <v>205</v>
      </c>
      <c r="F2826" t="s">
        <v>3750</v>
      </c>
      <c r="G2826" t="s">
        <v>16221</v>
      </c>
      <c r="H2826" t="s">
        <v>47126</v>
      </c>
      <c r="I2826" t="s">
        <v>47127</v>
      </c>
      <c r="J2826" t="s">
        <v>47128</v>
      </c>
      <c r="K2826" t="s">
        <v>47113</v>
      </c>
      <c r="L2826">
        <v>11.47</v>
      </c>
      <c r="M2826">
        <v>28</v>
      </c>
      <c r="N2826">
        <v>0</v>
      </c>
      <c r="O2826">
        <v>28</v>
      </c>
      <c r="P2826">
        <v>0</v>
      </c>
    </row>
    <row r="2827" spans="1:16" x14ac:dyDescent="0.25">
      <c r="A2827" t="s">
        <v>25287</v>
      </c>
      <c r="B2827" t="s">
        <v>4038</v>
      </c>
      <c r="C2827" t="s">
        <v>4039</v>
      </c>
      <c r="D2827" t="str">
        <f>"4896"</f>
        <v>4896</v>
      </c>
      <c r="E2827" t="s">
        <v>3884</v>
      </c>
      <c r="F2827" t="s">
        <v>3750</v>
      </c>
      <c r="G2827" t="s">
        <v>16221</v>
      </c>
      <c r="H2827" t="s">
        <v>47126</v>
      </c>
      <c r="I2827" t="s">
        <v>47127</v>
      </c>
      <c r="J2827" t="s">
        <v>47128</v>
      </c>
      <c r="K2827" t="s">
        <v>47113</v>
      </c>
      <c r="L2827">
        <v>11.47</v>
      </c>
      <c r="M2827">
        <v>28</v>
      </c>
      <c r="N2827">
        <v>0</v>
      </c>
      <c r="O2827">
        <v>28</v>
      </c>
      <c r="P2827">
        <v>0</v>
      </c>
    </row>
    <row r="2828" spans="1:16" x14ac:dyDescent="0.25">
      <c r="A2828" t="s">
        <v>25288</v>
      </c>
      <c r="B2828" t="s">
        <v>4038</v>
      </c>
      <c r="C2828" t="s">
        <v>4039</v>
      </c>
      <c r="D2828" t="str">
        <f>"4897"</f>
        <v>4897</v>
      </c>
      <c r="E2828" t="s">
        <v>3885</v>
      </c>
      <c r="F2828" t="s">
        <v>3750</v>
      </c>
      <c r="G2828" t="s">
        <v>16221</v>
      </c>
      <c r="H2828" t="s">
        <v>47126</v>
      </c>
      <c r="I2828" t="s">
        <v>47127</v>
      </c>
      <c r="J2828" t="s">
        <v>47128</v>
      </c>
      <c r="K2828" t="s">
        <v>47113</v>
      </c>
      <c r="L2828">
        <v>11.47</v>
      </c>
      <c r="M2828">
        <v>28</v>
      </c>
      <c r="N2828">
        <v>0</v>
      </c>
      <c r="O2828">
        <v>28</v>
      </c>
      <c r="P2828">
        <v>0</v>
      </c>
    </row>
    <row r="2829" spans="1:16" x14ac:dyDescent="0.25">
      <c r="A2829" t="s">
        <v>25289</v>
      </c>
      <c r="B2829" t="s">
        <v>4038</v>
      </c>
      <c r="C2829" t="s">
        <v>4039</v>
      </c>
      <c r="D2829" t="str">
        <f>"5157"</f>
        <v>5157</v>
      </c>
      <c r="E2829" t="s">
        <v>3886</v>
      </c>
      <c r="F2829" t="s">
        <v>3750</v>
      </c>
      <c r="G2829" t="s">
        <v>16221</v>
      </c>
      <c r="H2829" t="s">
        <v>47126</v>
      </c>
      <c r="I2829" t="s">
        <v>47127</v>
      </c>
      <c r="J2829" t="s">
        <v>47128</v>
      </c>
      <c r="K2829" t="s">
        <v>47113</v>
      </c>
      <c r="L2829">
        <v>11.47</v>
      </c>
      <c r="M2829">
        <v>28</v>
      </c>
      <c r="N2829">
        <v>0</v>
      </c>
      <c r="O2829">
        <v>28</v>
      </c>
      <c r="P2829">
        <v>0</v>
      </c>
    </row>
    <row r="2830" spans="1:16" x14ac:dyDescent="0.25">
      <c r="A2830" t="s">
        <v>25290</v>
      </c>
      <c r="B2830" t="s">
        <v>4038</v>
      </c>
      <c r="C2830" t="s">
        <v>4039</v>
      </c>
      <c r="D2830" t="str">
        <f>"6023"</f>
        <v>6023</v>
      </c>
      <c r="E2830" t="s">
        <v>3887</v>
      </c>
      <c r="F2830" t="s">
        <v>3750</v>
      </c>
      <c r="G2830" t="s">
        <v>16221</v>
      </c>
      <c r="H2830" t="s">
        <v>47126</v>
      </c>
      <c r="I2830" t="s">
        <v>47127</v>
      </c>
      <c r="J2830" t="s">
        <v>47128</v>
      </c>
      <c r="K2830" t="s">
        <v>47113</v>
      </c>
      <c r="L2830">
        <v>11.47</v>
      </c>
      <c r="M2830">
        <v>28</v>
      </c>
      <c r="N2830">
        <v>0</v>
      </c>
      <c r="O2830">
        <v>28</v>
      </c>
      <c r="P2830">
        <v>0</v>
      </c>
    </row>
    <row r="2831" spans="1:16" x14ac:dyDescent="0.25">
      <c r="A2831" t="s">
        <v>25291</v>
      </c>
      <c r="B2831" t="s">
        <v>4038</v>
      </c>
      <c r="C2831" t="s">
        <v>4039</v>
      </c>
      <c r="D2831" t="str">
        <f>"6878"</f>
        <v>6878</v>
      </c>
      <c r="E2831" t="s">
        <v>3888</v>
      </c>
      <c r="F2831" t="s">
        <v>3750</v>
      </c>
      <c r="G2831" t="s">
        <v>16221</v>
      </c>
      <c r="H2831" t="s">
        <v>47126</v>
      </c>
      <c r="I2831" t="s">
        <v>47127</v>
      </c>
      <c r="J2831" t="s">
        <v>47128</v>
      </c>
      <c r="K2831" t="s">
        <v>47113</v>
      </c>
      <c r="L2831">
        <v>11.47</v>
      </c>
      <c r="M2831">
        <v>28</v>
      </c>
      <c r="N2831">
        <v>0</v>
      </c>
      <c r="O2831">
        <v>28</v>
      </c>
      <c r="P2831">
        <v>0</v>
      </c>
    </row>
    <row r="2832" spans="1:16" x14ac:dyDescent="0.25">
      <c r="A2832" t="s">
        <v>25292</v>
      </c>
      <c r="B2832" t="s">
        <v>4040</v>
      </c>
      <c r="C2832" t="s">
        <v>4041</v>
      </c>
      <c r="D2832" t="str">
        <f>"1106"</f>
        <v>1106</v>
      </c>
      <c r="E2832" t="s">
        <v>460</v>
      </c>
      <c r="F2832" t="s">
        <v>3750</v>
      </c>
      <c r="G2832" t="s">
        <v>16221</v>
      </c>
      <c r="H2832" t="s">
        <v>47126</v>
      </c>
      <c r="I2832" t="s">
        <v>47127</v>
      </c>
      <c r="J2832" t="s">
        <v>47128</v>
      </c>
      <c r="K2832" t="s">
        <v>47113</v>
      </c>
      <c r="L2832">
        <v>10.87</v>
      </c>
      <c r="M2832">
        <v>26</v>
      </c>
      <c r="N2832">
        <v>0</v>
      </c>
      <c r="O2832">
        <v>26</v>
      </c>
      <c r="P2832">
        <v>0</v>
      </c>
    </row>
    <row r="2833" spans="1:16" x14ac:dyDescent="0.25">
      <c r="A2833" t="s">
        <v>25293</v>
      </c>
      <c r="B2833" t="s">
        <v>4040</v>
      </c>
      <c r="C2833" t="s">
        <v>4041</v>
      </c>
      <c r="D2833" t="str">
        <f>"1278"</f>
        <v>1278</v>
      </c>
      <c r="E2833" t="s">
        <v>100</v>
      </c>
      <c r="F2833" t="s">
        <v>3750</v>
      </c>
      <c r="G2833" t="s">
        <v>16221</v>
      </c>
      <c r="H2833" t="s">
        <v>47126</v>
      </c>
      <c r="I2833" t="s">
        <v>47127</v>
      </c>
      <c r="J2833" t="s">
        <v>47128</v>
      </c>
      <c r="K2833" t="s">
        <v>47113</v>
      </c>
      <c r="L2833">
        <v>10.87</v>
      </c>
      <c r="M2833">
        <v>26</v>
      </c>
      <c r="N2833">
        <v>0</v>
      </c>
      <c r="O2833">
        <v>26</v>
      </c>
      <c r="P2833">
        <v>0</v>
      </c>
    </row>
    <row r="2834" spans="1:16" x14ac:dyDescent="0.25">
      <c r="A2834" t="s">
        <v>25294</v>
      </c>
      <c r="B2834" t="s">
        <v>4040</v>
      </c>
      <c r="C2834" t="s">
        <v>4041</v>
      </c>
      <c r="D2834" t="str">
        <f>"1285"</f>
        <v>1285</v>
      </c>
      <c r="E2834" t="s">
        <v>2148</v>
      </c>
      <c r="F2834" t="s">
        <v>3750</v>
      </c>
      <c r="G2834" t="s">
        <v>16221</v>
      </c>
      <c r="H2834" t="s">
        <v>47126</v>
      </c>
      <c r="I2834" t="s">
        <v>47127</v>
      </c>
      <c r="J2834" t="s">
        <v>47128</v>
      </c>
      <c r="K2834" t="s">
        <v>47113</v>
      </c>
      <c r="L2834">
        <v>10.87</v>
      </c>
      <c r="M2834">
        <v>26</v>
      </c>
      <c r="N2834">
        <v>0</v>
      </c>
      <c r="O2834">
        <v>26</v>
      </c>
      <c r="P2834">
        <v>0</v>
      </c>
    </row>
    <row r="2835" spans="1:16" x14ac:dyDescent="0.25">
      <c r="A2835" t="s">
        <v>25295</v>
      </c>
      <c r="B2835" t="s">
        <v>4040</v>
      </c>
      <c r="C2835" t="s">
        <v>4041</v>
      </c>
      <c r="D2835" t="str">
        <f>"1379"</f>
        <v>1379</v>
      </c>
      <c r="E2835" t="s">
        <v>84</v>
      </c>
      <c r="F2835" t="s">
        <v>3750</v>
      </c>
      <c r="G2835" t="s">
        <v>16221</v>
      </c>
      <c r="H2835" t="s">
        <v>47126</v>
      </c>
      <c r="I2835" t="s">
        <v>47127</v>
      </c>
      <c r="J2835" t="s">
        <v>47128</v>
      </c>
      <c r="K2835" t="s">
        <v>47113</v>
      </c>
      <c r="L2835">
        <v>10.87</v>
      </c>
      <c r="M2835">
        <v>26</v>
      </c>
      <c r="N2835">
        <v>0</v>
      </c>
      <c r="O2835">
        <v>26</v>
      </c>
      <c r="P2835">
        <v>0</v>
      </c>
    </row>
    <row r="2836" spans="1:16" x14ac:dyDescent="0.25">
      <c r="A2836" t="s">
        <v>25296</v>
      </c>
      <c r="B2836" t="s">
        <v>4040</v>
      </c>
      <c r="C2836" t="s">
        <v>4041</v>
      </c>
      <c r="D2836" t="str">
        <f>"1700"</f>
        <v>1700</v>
      </c>
      <c r="E2836" t="s">
        <v>60</v>
      </c>
      <c r="F2836" t="s">
        <v>3750</v>
      </c>
      <c r="G2836" t="s">
        <v>16221</v>
      </c>
      <c r="H2836" t="s">
        <v>47126</v>
      </c>
      <c r="I2836" t="s">
        <v>47127</v>
      </c>
      <c r="J2836" t="s">
        <v>47128</v>
      </c>
      <c r="K2836" t="s">
        <v>47113</v>
      </c>
      <c r="L2836">
        <v>10.87</v>
      </c>
      <c r="M2836">
        <v>26</v>
      </c>
      <c r="N2836">
        <v>0</v>
      </c>
      <c r="O2836">
        <v>26</v>
      </c>
      <c r="P2836">
        <v>0</v>
      </c>
    </row>
    <row r="2837" spans="1:16" x14ac:dyDescent="0.25">
      <c r="A2837" t="s">
        <v>25297</v>
      </c>
      <c r="B2837" t="s">
        <v>4040</v>
      </c>
      <c r="C2837" t="s">
        <v>4041</v>
      </c>
      <c r="D2837" t="str">
        <f>"3539"</f>
        <v>3539</v>
      </c>
      <c r="E2837" t="s">
        <v>3883</v>
      </c>
      <c r="F2837" t="s">
        <v>3750</v>
      </c>
      <c r="G2837" t="s">
        <v>16221</v>
      </c>
      <c r="H2837" t="s">
        <v>47126</v>
      </c>
      <c r="I2837" t="s">
        <v>47127</v>
      </c>
      <c r="J2837" t="s">
        <v>47128</v>
      </c>
      <c r="K2837" t="s">
        <v>47113</v>
      </c>
      <c r="L2837">
        <v>10.87</v>
      </c>
      <c r="M2837">
        <v>26</v>
      </c>
      <c r="N2837">
        <v>0</v>
      </c>
      <c r="O2837">
        <v>26</v>
      </c>
      <c r="P2837">
        <v>0</v>
      </c>
    </row>
    <row r="2838" spans="1:16" x14ac:dyDescent="0.25">
      <c r="A2838" t="s">
        <v>25298</v>
      </c>
      <c r="B2838" t="s">
        <v>4040</v>
      </c>
      <c r="C2838" t="s">
        <v>4041</v>
      </c>
      <c r="D2838" t="str">
        <f>"4643"</f>
        <v>4643</v>
      </c>
      <c r="E2838" t="s">
        <v>205</v>
      </c>
      <c r="F2838" t="s">
        <v>3750</v>
      </c>
      <c r="G2838" t="s">
        <v>16221</v>
      </c>
      <c r="H2838" t="s">
        <v>47126</v>
      </c>
      <c r="I2838" t="s">
        <v>47127</v>
      </c>
      <c r="J2838" t="s">
        <v>47128</v>
      </c>
      <c r="K2838" t="s">
        <v>47113</v>
      </c>
      <c r="L2838">
        <v>10.87</v>
      </c>
      <c r="M2838">
        <v>26</v>
      </c>
      <c r="N2838">
        <v>0</v>
      </c>
      <c r="O2838">
        <v>26</v>
      </c>
      <c r="P2838">
        <v>0</v>
      </c>
    </row>
    <row r="2839" spans="1:16" x14ac:dyDescent="0.25">
      <c r="A2839" t="s">
        <v>25299</v>
      </c>
      <c r="B2839" t="s">
        <v>4040</v>
      </c>
      <c r="C2839" t="s">
        <v>4041</v>
      </c>
      <c r="D2839" t="str">
        <f>"4896"</f>
        <v>4896</v>
      </c>
      <c r="E2839" t="s">
        <v>3884</v>
      </c>
      <c r="F2839" t="s">
        <v>3750</v>
      </c>
      <c r="G2839" t="s">
        <v>16221</v>
      </c>
      <c r="H2839" t="s">
        <v>47126</v>
      </c>
      <c r="I2839" t="s">
        <v>47127</v>
      </c>
      <c r="J2839" t="s">
        <v>47128</v>
      </c>
      <c r="K2839" t="s">
        <v>47113</v>
      </c>
      <c r="L2839">
        <v>10.87</v>
      </c>
      <c r="M2839">
        <v>26</v>
      </c>
      <c r="N2839">
        <v>0</v>
      </c>
      <c r="O2839">
        <v>26</v>
      </c>
      <c r="P2839">
        <v>0</v>
      </c>
    </row>
    <row r="2840" spans="1:16" x14ac:dyDescent="0.25">
      <c r="A2840" t="s">
        <v>25300</v>
      </c>
      <c r="B2840" t="s">
        <v>4040</v>
      </c>
      <c r="C2840" t="s">
        <v>4041</v>
      </c>
      <c r="D2840" t="str">
        <f>"4897"</f>
        <v>4897</v>
      </c>
      <c r="E2840" t="s">
        <v>3885</v>
      </c>
      <c r="F2840" t="s">
        <v>3750</v>
      </c>
      <c r="G2840" t="s">
        <v>16221</v>
      </c>
      <c r="H2840" t="s">
        <v>47126</v>
      </c>
      <c r="I2840" t="s">
        <v>47127</v>
      </c>
      <c r="J2840" t="s">
        <v>47128</v>
      </c>
      <c r="K2840" t="s">
        <v>47113</v>
      </c>
      <c r="L2840">
        <v>10.87</v>
      </c>
      <c r="M2840">
        <v>26</v>
      </c>
      <c r="N2840">
        <v>0</v>
      </c>
      <c r="O2840">
        <v>26</v>
      </c>
      <c r="P2840">
        <v>0</v>
      </c>
    </row>
    <row r="2841" spans="1:16" x14ac:dyDescent="0.25">
      <c r="A2841" t="s">
        <v>25301</v>
      </c>
      <c r="B2841" t="s">
        <v>4040</v>
      </c>
      <c r="C2841" t="s">
        <v>4041</v>
      </c>
      <c r="D2841" t="str">
        <f>"5157"</f>
        <v>5157</v>
      </c>
      <c r="E2841" t="s">
        <v>3886</v>
      </c>
      <c r="F2841" t="s">
        <v>3750</v>
      </c>
      <c r="G2841" t="s">
        <v>16221</v>
      </c>
      <c r="H2841" t="s">
        <v>47126</v>
      </c>
      <c r="I2841" t="s">
        <v>47127</v>
      </c>
      <c r="J2841" t="s">
        <v>47128</v>
      </c>
      <c r="K2841" t="s">
        <v>47113</v>
      </c>
      <c r="L2841">
        <v>10.87</v>
      </c>
      <c r="M2841">
        <v>26</v>
      </c>
      <c r="N2841">
        <v>0</v>
      </c>
      <c r="O2841">
        <v>26</v>
      </c>
      <c r="P2841">
        <v>0</v>
      </c>
    </row>
    <row r="2842" spans="1:16" x14ac:dyDescent="0.25">
      <c r="A2842" t="s">
        <v>25302</v>
      </c>
      <c r="B2842" t="s">
        <v>4040</v>
      </c>
      <c r="C2842" t="s">
        <v>4041</v>
      </c>
      <c r="D2842" t="str">
        <f>"6023"</f>
        <v>6023</v>
      </c>
      <c r="E2842" t="s">
        <v>3887</v>
      </c>
      <c r="F2842" t="s">
        <v>3750</v>
      </c>
      <c r="G2842" t="s">
        <v>16221</v>
      </c>
      <c r="H2842" t="s">
        <v>47126</v>
      </c>
      <c r="I2842" t="s">
        <v>47127</v>
      </c>
      <c r="J2842" t="s">
        <v>47128</v>
      </c>
      <c r="K2842" t="s">
        <v>47113</v>
      </c>
      <c r="L2842">
        <v>10.87</v>
      </c>
      <c r="M2842">
        <v>26</v>
      </c>
      <c r="N2842">
        <v>0</v>
      </c>
      <c r="O2842">
        <v>26</v>
      </c>
      <c r="P2842">
        <v>0</v>
      </c>
    </row>
    <row r="2843" spans="1:16" x14ac:dyDescent="0.25">
      <c r="A2843" t="s">
        <v>25303</v>
      </c>
      <c r="B2843" t="s">
        <v>4040</v>
      </c>
      <c r="C2843" t="s">
        <v>4041</v>
      </c>
      <c r="D2843" t="str">
        <f>"6878"</f>
        <v>6878</v>
      </c>
      <c r="E2843" t="s">
        <v>3888</v>
      </c>
      <c r="F2843" t="s">
        <v>3750</v>
      </c>
      <c r="G2843" t="s">
        <v>16221</v>
      </c>
      <c r="H2843" t="s">
        <v>47126</v>
      </c>
      <c r="I2843" t="s">
        <v>47127</v>
      </c>
      <c r="J2843" t="s">
        <v>47128</v>
      </c>
      <c r="K2843" t="s">
        <v>47113</v>
      </c>
      <c r="L2843">
        <v>10.87</v>
      </c>
      <c r="M2843">
        <v>26</v>
      </c>
      <c r="N2843">
        <v>0</v>
      </c>
      <c r="O2843">
        <v>26</v>
      </c>
      <c r="P2843">
        <v>0</v>
      </c>
    </row>
    <row r="2844" spans="1:16" x14ac:dyDescent="0.25">
      <c r="A2844" t="s">
        <v>25304</v>
      </c>
      <c r="B2844" t="s">
        <v>4042</v>
      </c>
      <c r="C2844" t="s">
        <v>4043</v>
      </c>
      <c r="D2844" t="str">
        <f>"1001"</f>
        <v>1001</v>
      </c>
      <c r="E2844" t="s">
        <v>3966</v>
      </c>
      <c r="F2844" t="s">
        <v>2068</v>
      </c>
      <c r="G2844" t="s">
        <v>47122</v>
      </c>
      <c r="H2844" t="s">
        <v>47126</v>
      </c>
      <c r="I2844" t="s">
        <v>47120</v>
      </c>
      <c r="J2844" t="s">
        <v>47121</v>
      </c>
      <c r="K2844" t="s">
        <v>47113</v>
      </c>
      <c r="L2844">
        <v>113.95</v>
      </c>
      <c r="M2844">
        <v>276</v>
      </c>
      <c r="N2844">
        <v>0</v>
      </c>
      <c r="O2844">
        <v>276</v>
      </c>
      <c r="P2844">
        <v>0</v>
      </c>
    </row>
    <row r="2845" spans="1:16" x14ac:dyDescent="0.25">
      <c r="A2845" t="s">
        <v>25305</v>
      </c>
      <c r="B2845" t="s">
        <v>4044</v>
      </c>
      <c r="C2845" t="s">
        <v>4045</v>
      </c>
      <c r="D2845" t="s">
        <v>4046</v>
      </c>
      <c r="E2845" t="s">
        <v>4047</v>
      </c>
      <c r="F2845" t="s">
        <v>2068</v>
      </c>
      <c r="G2845" t="s">
        <v>16230</v>
      </c>
      <c r="H2845" t="s">
        <v>47153</v>
      </c>
      <c r="I2845" t="s">
        <v>47132</v>
      </c>
      <c r="J2845" t="s">
        <v>47133</v>
      </c>
      <c r="K2845" t="s">
        <v>47113</v>
      </c>
      <c r="L2845">
        <v>46.56</v>
      </c>
      <c r="M2845">
        <v>80</v>
      </c>
      <c r="N2845">
        <v>0</v>
      </c>
      <c r="O2845">
        <v>80</v>
      </c>
      <c r="P2845">
        <v>0</v>
      </c>
    </row>
    <row r="2846" spans="1:16" x14ac:dyDescent="0.25">
      <c r="A2846" t="s">
        <v>25306</v>
      </c>
      <c r="B2846" t="s">
        <v>4044</v>
      </c>
      <c r="C2846" t="s">
        <v>4045</v>
      </c>
      <c r="D2846" t="s">
        <v>4048</v>
      </c>
      <c r="E2846" t="s">
        <v>4049</v>
      </c>
      <c r="F2846" t="s">
        <v>2068</v>
      </c>
      <c r="G2846" t="s">
        <v>16230</v>
      </c>
      <c r="H2846" t="s">
        <v>47153</v>
      </c>
      <c r="I2846" t="s">
        <v>47132</v>
      </c>
      <c r="J2846" t="s">
        <v>47133</v>
      </c>
      <c r="K2846" t="s">
        <v>47113</v>
      </c>
      <c r="L2846">
        <v>45.85</v>
      </c>
      <c r="M2846">
        <v>70</v>
      </c>
      <c r="N2846">
        <v>0</v>
      </c>
      <c r="O2846">
        <v>70</v>
      </c>
      <c r="P2846">
        <v>0</v>
      </c>
    </row>
    <row r="2847" spans="1:16" x14ac:dyDescent="0.25">
      <c r="A2847" t="s">
        <v>25307</v>
      </c>
      <c r="B2847" t="s">
        <v>4050</v>
      </c>
      <c r="C2847" t="s">
        <v>4045</v>
      </c>
      <c r="D2847" t="s">
        <v>4051</v>
      </c>
      <c r="E2847" t="s">
        <v>4052</v>
      </c>
      <c r="F2847" t="s">
        <v>2068</v>
      </c>
      <c r="G2847" t="s">
        <v>16230</v>
      </c>
      <c r="H2847" t="s">
        <v>47153</v>
      </c>
      <c r="I2847" t="s">
        <v>47132</v>
      </c>
      <c r="J2847" t="s">
        <v>47133</v>
      </c>
      <c r="K2847" t="s">
        <v>47113</v>
      </c>
      <c r="L2847">
        <v>54.73</v>
      </c>
      <c r="M2847">
        <v>75</v>
      </c>
      <c r="N2847">
        <v>0</v>
      </c>
      <c r="O2847">
        <v>75</v>
      </c>
      <c r="P2847">
        <v>0</v>
      </c>
    </row>
    <row r="2848" spans="1:16" x14ac:dyDescent="0.25">
      <c r="A2848" t="s">
        <v>25308</v>
      </c>
      <c r="B2848" t="s">
        <v>4053</v>
      </c>
      <c r="C2848" t="s">
        <v>4054</v>
      </c>
      <c r="D2848" t="s">
        <v>3919</v>
      </c>
      <c r="E2848" t="s">
        <v>3920</v>
      </c>
      <c r="F2848" t="s">
        <v>2068</v>
      </c>
      <c r="G2848" t="s">
        <v>16230</v>
      </c>
      <c r="H2848" t="s">
        <v>47153</v>
      </c>
      <c r="I2848" t="s">
        <v>47132</v>
      </c>
      <c r="J2848" t="s">
        <v>47133</v>
      </c>
      <c r="K2848" t="s">
        <v>47113</v>
      </c>
      <c r="L2848">
        <v>49.52</v>
      </c>
      <c r="M2848">
        <v>69</v>
      </c>
      <c r="N2848">
        <v>0</v>
      </c>
      <c r="O2848">
        <v>69</v>
      </c>
      <c r="P2848">
        <v>0</v>
      </c>
    </row>
    <row r="2849" spans="1:16" x14ac:dyDescent="0.25">
      <c r="A2849" t="s">
        <v>25309</v>
      </c>
      <c r="B2849" t="s">
        <v>4055</v>
      </c>
      <c r="C2849" t="s">
        <v>4054</v>
      </c>
      <c r="D2849" t="s">
        <v>4056</v>
      </c>
      <c r="E2849" t="s">
        <v>4057</v>
      </c>
      <c r="F2849" t="s">
        <v>2068</v>
      </c>
      <c r="G2849" t="s">
        <v>16230</v>
      </c>
      <c r="H2849" t="s">
        <v>47153</v>
      </c>
      <c r="I2849" t="s">
        <v>47132</v>
      </c>
      <c r="J2849" t="s">
        <v>47133</v>
      </c>
      <c r="K2849" t="s">
        <v>47113</v>
      </c>
      <c r="L2849">
        <v>56.86</v>
      </c>
      <c r="M2849">
        <v>70</v>
      </c>
      <c r="N2849">
        <v>0</v>
      </c>
      <c r="O2849">
        <v>70</v>
      </c>
      <c r="P2849">
        <v>0</v>
      </c>
    </row>
    <row r="2850" spans="1:16" x14ac:dyDescent="0.25">
      <c r="A2850" t="s">
        <v>14887</v>
      </c>
      <c r="B2850" t="s">
        <v>4055</v>
      </c>
      <c r="C2850" t="s">
        <v>4054</v>
      </c>
      <c r="D2850" t="s">
        <v>418</v>
      </c>
      <c r="E2850" t="s">
        <v>419</v>
      </c>
      <c r="F2850" t="s">
        <v>2068</v>
      </c>
      <c r="G2850" t="s">
        <v>16230</v>
      </c>
      <c r="H2850" t="s">
        <v>47153</v>
      </c>
      <c r="I2850" t="s">
        <v>47132</v>
      </c>
      <c r="J2850" t="s">
        <v>47133</v>
      </c>
      <c r="K2850" t="s">
        <v>47113</v>
      </c>
      <c r="L2850">
        <v>56.86</v>
      </c>
      <c r="M2850">
        <v>70</v>
      </c>
      <c r="N2850">
        <v>0</v>
      </c>
      <c r="O2850">
        <v>70</v>
      </c>
      <c r="P2850">
        <v>0</v>
      </c>
    </row>
    <row r="2851" spans="1:16" x14ac:dyDescent="0.25">
      <c r="A2851" t="s">
        <v>25310</v>
      </c>
      <c r="B2851" t="s">
        <v>4055</v>
      </c>
      <c r="C2851" t="s">
        <v>4054</v>
      </c>
      <c r="D2851" t="s">
        <v>3919</v>
      </c>
      <c r="E2851" t="s">
        <v>3920</v>
      </c>
      <c r="F2851" t="s">
        <v>2068</v>
      </c>
      <c r="G2851" t="s">
        <v>16230</v>
      </c>
      <c r="H2851" t="s">
        <v>47153</v>
      </c>
      <c r="I2851" t="s">
        <v>47132</v>
      </c>
      <c r="J2851" t="s">
        <v>47133</v>
      </c>
      <c r="K2851" t="s">
        <v>47113</v>
      </c>
      <c r="L2851">
        <v>56.86</v>
      </c>
      <c r="M2851">
        <v>70</v>
      </c>
      <c r="N2851">
        <v>0</v>
      </c>
      <c r="O2851">
        <v>70</v>
      </c>
      <c r="P2851">
        <v>0</v>
      </c>
    </row>
    <row r="2852" spans="1:16" x14ac:dyDescent="0.25">
      <c r="A2852" t="s">
        <v>25311</v>
      </c>
      <c r="B2852" t="s">
        <v>4058</v>
      </c>
      <c r="C2852" t="s">
        <v>4054</v>
      </c>
      <c r="D2852" t="s">
        <v>4059</v>
      </c>
      <c r="E2852" t="s">
        <v>4060</v>
      </c>
      <c r="F2852" t="s">
        <v>2068</v>
      </c>
      <c r="G2852" t="s">
        <v>16230</v>
      </c>
      <c r="H2852" t="s">
        <v>47153</v>
      </c>
      <c r="I2852" t="s">
        <v>47132</v>
      </c>
      <c r="J2852" t="s">
        <v>47133</v>
      </c>
      <c r="K2852" t="s">
        <v>47113</v>
      </c>
      <c r="L2852">
        <v>54.25</v>
      </c>
      <c r="M2852">
        <v>70</v>
      </c>
      <c r="N2852">
        <v>0</v>
      </c>
      <c r="O2852">
        <v>70</v>
      </c>
      <c r="P2852">
        <v>0</v>
      </c>
    </row>
    <row r="2853" spans="1:16" x14ac:dyDescent="0.25">
      <c r="A2853" t="s">
        <v>25312</v>
      </c>
      <c r="B2853" t="s">
        <v>4058</v>
      </c>
      <c r="C2853" t="s">
        <v>4054</v>
      </c>
      <c r="D2853" t="s">
        <v>4061</v>
      </c>
      <c r="E2853" t="s">
        <v>4062</v>
      </c>
      <c r="F2853" t="s">
        <v>2068</v>
      </c>
      <c r="G2853" t="s">
        <v>16230</v>
      </c>
      <c r="H2853" t="s">
        <v>47153</v>
      </c>
      <c r="I2853" t="s">
        <v>47132</v>
      </c>
      <c r="J2853" t="s">
        <v>47133</v>
      </c>
      <c r="K2853" t="s">
        <v>47113</v>
      </c>
      <c r="L2853">
        <v>54.25</v>
      </c>
      <c r="M2853">
        <v>70</v>
      </c>
      <c r="N2853">
        <v>0</v>
      </c>
      <c r="O2853">
        <v>70</v>
      </c>
      <c r="P2853">
        <v>0</v>
      </c>
    </row>
    <row r="2854" spans="1:16" x14ac:dyDescent="0.25">
      <c r="A2854" t="s">
        <v>25313</v>
      </c>
      <c r="B2854" t="s">
        <v>4058</v>
      </c>
      <c r="C2854" t="s">
        <v>4054</v>
      </c>
      <c r="D2854" t="s">
        <v>3919</v>
      </c>
      <c r="E2854" t="s">
        <v>3920</v>
      </c>
      <c r="F2854" t="s">
        <v>2068</v>
      </c>
      <c r="G2854" t="s">
        <v>16230</v>
      </c>
      <c r="H2854" t="s">
        <v>47153</v>
      </c>
      <c r="I2854" t="s">
        <v>47132</v>
      </c>
      <c r="J2854" t="s">
        <v>47133</v>
      </c>
      <c r="K2854" t="s">
        <v>47113</v>
      </c>
      <c r="L2854">
        <v>54.25</v>
      </c>
      <c r="M2854">
        <v>70</v>
      </c>
      <c r="N2854">
        <v>0</v>
      </c>
      <c r="O2854">
        <v>70</v>
      </c>
      <c r="P2854">
        <v>0</v>
      </c>
    </row>
    <row r="2855" spans="1:16" x14ac:dyDescent="0.25">
      <c r="A2855" t="s">
        <v>25314</v>
      </c>
      <c r="B2855" t="s">
        <v>4063</v>
      </c>
      <c r="C2855" t="s">
        <v>4054</v>
      </c>
      <c r="D2855" t="s">
        <v>4064</v>
      </c>
      <c r="E2855" t="s">
        <v>4065</v>
      </c>
      <c r="F2855" t="s">
        <v>2068</v>
      </c>
      <c r="G2855" t="s">
        <v>16230</v>
      </c>
      <c r="H2855" t="s">
        <v>47153</v>
      </c>
      <c r="I2855" t="s">
        <v>47132</v>
      </c>
      <c r="J2855" t="s">
        <v>47133</v>
      </c>
      <c r="K2855" t="s">
        <v>47113</v>
      </c>
      <c r="L2855">
        <v>55.92</v>
      </c>
      <c r="M2855">
        <v>72</v>
      </c>
      <c r="N2855">
        <v>0</v>
      </c>
      <c r="O2855">
        <v>72</v>
      </c>
      <c r="P2855">
        <v>0</v>
      </c>
    </row>
    <row r="2856" spans="1:16" x14ac:dyDescent="0.25">
      <c r="A2856" t="s">
        <v>25315</v>
      </c>
      <c r="B2856" t="s">
        <v>4063</v>
      </c>
      <c r="C2856" t="s">
        <v>4054</v>
      </c>
      <c r="D2856" t="s">
        <v>4066</v>
      </c>
      <c r="E2856" t="s">
        <v>4067</v>
      </c>
      <c r="F2856" t="s">
        <v>2068</v>
      </c>
      <c r="G2856" t="s">
        <v>16230</v>
      </c>
      <c r="H2856" t="s">
        <v>47153</v>
      </c>
      <c r="I2856" t="s">
        <v>47132</v>
      </c>
      <c r="J2856" t="s">
        <v>47133</v>
      </c>
      <c r="K2856" t="s">
        <v>47113</v>
      </c>
      <c r="L2856">
        <v>55.92</v>
      </c>
      <c r="M2856">
        <v>72</v>
      </c>
      <c r="N2856">
        <v>0</v>
      </c>
      <c r="O2856">
        <v>72</v>
      </c>
      <c r="P2856">
        <v>0</v>
      </c>
    </row>
    <row r="2857" spans="1:16" x14ac:dyDescent="0.25">
      <c r="A2857" t="s">
        <v>25316</v>
      </c>
      <c r="B2857" t="s">
        <v>4063</v>
      </c>
      <c r="C2857" t="s">
        <v>4054</v>
      </c>
      <c r="D2857" t="s">
        <v>3919</v>
      </c>
      <c r="E2857" t="s">
        <v>3920</v>
      </c>
      <c r="F2857" t="s">
        <v>2068</v>
      </c>
      <c r="G2857" t="s">
        <v>16230</v>
      </c>
      <c r="H2857" t="s">
        <v>47153</v>
      </c>
      <c r="I2857" t="s">
        <v>47132</v>
      </c>
      <c r="J2857" t="s">
        <v>47133</v>
      </c>
      <c r="K2857" t="s">
        <v>47113</v>
      </c>
      <c r="L2857">
        <v>55.92</v>
      </c>
      <c r="M2857">
        <v>72</v>
      </c>
      <c r="N2857">
        <v>0</v>
      </c>
      <c r="O2857">
        <v>72</v>
      </c>
      <c r="P2857">
        <v>0</v>
      </c>
    </row>
    <row r="2858" spans="1:16" x14ac:dyDescent="0.25">
      <c r="A2858" t="s">
        <v>14888</v>
      </c>
      <c r="B2858" t="s">
        <v>4068</v>
      </c>
      <c r="C2858" t="s">
        <v>4069</v>
      </c>
      <c r="D2858" t="s">
        <v>3919</v>
      </c>
      <c r="E2858" t="s">
        <v>3920</v>
      </c>
      <c r="F2858" t="s">
        <v>2068</v>
      </c>
      <c r="G2858" t="s">
        <v>16230</v>
      </c>
      <c r="H2858" t="s">
        <v>47153</v>
      </c>
      <c r="I2858" t="s">
        <v>47132</v>
      </c>
      <c r="J2858" t="s">
        <v>47133</v>
      </c>
      <c r="K2858" t="s">
        <v>47113</v>
      </c>
      <c r="L2858">
        <v>49.52</v>
      </c>
      <c r="M2858">
        <v>69</v>
      </c>
      <c r="N2858">
        <v>0</v>
      </c>
      <c r="O2858">
        <v>69</v>
      </c>
      <c r="P2858">
        <v>0</v>
      </c>
    </row>
    <row r="2859" spans="1:16" x14ac:dyDescent="0.25">
      <c r="A2859" t="s">
        <v>14889</v>
      </c>
      <c r="B2859" t="s">
        <v>4070</v>
      </c>
      <c r="C2859" t="s">
        <v>4069</v>
      </c>
      <c r="D2859" t="s">
        <v>4056</v>
      </c>
      <c r="E2859" t="s">
        <v>4057</v>
      </c>
      <c r="F2859" t="s">
        <v>2068</v>
      </c>
      <c r="G2859" t="s">
        <v>16230</v>
      </c>
      <c r="H2859" t="s">
        <v>47153</v>
      </c>
      <c r="I2859" t="s">
        <v>47132</v>
      </c>
      <c r="J2859" t="s">
        <v>47133</v>
      </c>
      <c r="K2859" t="s">
        <v>47113</v>
      </c>
      <c r="L2859">
        <v>56.86</v>
      </c>
      <c r="M2859">
        <v>70</v>
      </c>
      <c r="N2859">
        <v>0</v>
      </c>
      <c r="O2859">
        <v>70</v>
      </c>
      <c r="P2859">
        <v>0</v>
      </c>
    </row>
    <row r="2860" spans="1:16" x14ac:dyDescent="0.25">
      <c r="A2860" t="s">
        <v>25317</v>
      </c>
      <c r="B2860" t="s">
        <v>4070</v>
      </c>
      <c r="C2860" t="s">
        <v>4069</v>
      </c>
      <c r="D2860" t="s">
        <v>418</v>
      </c>
      <c r="E2860" t="s">
        <v>419</v>
      </c>
      <c r="F2860" t="s">
        <v>2068</v>
      </c>
      <c r="G2860" t="s">
        <v>16230</v>
      </c>
      <c r="H2860" t="s">
        <v>47153</v>
      </c>
      <c r="I2860" t="s">
        <v>47132</v>
      </c>
      <c r="J2860" t="s">
        <v>47133</v>
      </c>
      <c r="K2860" t="s">
        <v>47113</v>
      </c>
      <c r="L2860">
        <v>56.86</v>
      </c>
      <c r="M2860">
        <v>70</v>
      </c>
      <c r="N2860">
        <v>0</v>
      </c>
      <c r="O2860">
        <v>70</v>
      </c>
      <c r="P2860">
        <v>0</v>
      </c>
    </row>
    <row r="2861" spans="1:16" x14ac:dyDescent="0.25">
      <c r="A2861" t="s">
        <v>25318</v>
      </c>
      <c r="B2861" t="s">
        <v>4070</v>
      </c>
      <c r="C2861" t="s">
        <v>4069</v>
      </c>
      <c r="D2861" t="s">
        <v>3919</v>
      </c>
      <c r="E2861" t="s">
        <v>3920</v>
      </c>
      <c r="F2861" t="s">
        <v>2068</v>
      </c>
      <c r="G2861" t="s">
        <v>16230</v>
      </c>
      <c r="H2861" t="s">
        <v>47153</v>
      </c>
      <c r="I2861" t="s">
        <v>47132</v>
      </c>
      <c r="J2861" t="s">
        <v>47133</v>
      </c>
      <c r="K2861" t="s">
        <v>47113</v>
      </c>
      <c r="L2861">
        <v>56.86</v>
      </c>
      <c r="M2861">
        <v>70</v>
      </c>
      <c r="N2861">
        <v>0</v>
      </c>
      <c r="O2861">
        <v>70</v>
      </c>
      <c r="P2861">
        <v>0</v>
      </c>
    </row>
    <row r="2862" spans="1:16" x14ac:dyDescent="0.25">
      <c r="A2862" t="s">
        <v>25319</v>
      </c>
      <c r="B2862" t="s">
        <v>4071</v>
      </c>
      <c r="C2862" t="s">
        <v>4072</v>
      </c>
      <c r="D2862" t="s">
        <v>4048</v>
      </c>
      <c r="E2862" t="s">
        <v>4049</v>
      </c>
      <c r="F2862" t="s">
        <v>2068</v>
      </c>
      <c r="G2862" t="s">
        <v>16230</v>
      </c>
      <c r="H2862" t="s">
        <v>47153</v>
      </c>
      <c r="I2862" t="s">
        <v>47132</v>
      </c>
      <c r="J2862" t="s">
        <v>47133</v>
      </c>
      <c r="K2862" t="s">
        <v>47113</v>
      </c>
      <c r="L2862">
        <v>37.08</v>
      </c>
      <c r="M2862">
        <v>65</v>
      </c>
      <c r="N2862">
        <v>0</v>
      </c>
      <c r="O2862">
        <v>65</v>
      </c>
      <c r="P2862">
        <v>0</v>
      </c>
    </row>
    <row r="2863" spans="1:16" x14ac:dyDescent="0.25">
      <c r="A2863" t="s">
        <v>14890</v>
      </c>
      <c r="B2863" t="s">
        <v>4071</v>
      </c>
      <c r="C2863" t="s">
        <v>4072</v>
      </c>
      <c r="D2863" t="s">
        <v>4073</v>
      </c>
      <c r="E2863" t="s">
        <v>4074</v>
      </c>
      <c r="F2863" t="s">
        <v>2068</v>
      </c>
      <c r="G2863" t="s">
        <v>16230</v>
      </c>
      <c r="H2863" t="s">
        <v>47153</v>
      </c>
      <c r="I2863" t="s">
        <v>47132</v>
      </c>
      <c r="J2863" t="s">
        <v>47133</v>
      </c>
      <c r="K2863" t="s">
        <v>47113</v>
      </c>
      <c r="L2863">
        <v>34</v>
      </c>
      <c r="M2863">
        <v>58</v>
      </c>
      <c r="N2863">
        <v>0</v>
      </c>
      <c r="O2863">
        <v>58</v>
      </c>
      <c r="P2863">
        <v>0</v>
      </c>
    </row>
    <row r="2864" spans="1:16" x14ac:dyDescent="0.25">
      <c r="A2864" t="s">
        <v>25320</v>
      </c>
      <c r="B2864" t="s">
        <v>4075</v>
      </c>
      <c r="C2864" t="s">
        <v>4076</v>
      </c>
      <c r="D2864" t="str">
        <f>"1001"</f>
        <v>1001</v>
      </c>
      <c r="E2864" t="s">
        <v>3966</v>
      </c>
      <c r="F2864" t="s">
        <v>2068</v>
      </c>
      <c r="G2864" t="s">
        <v>16224</v>
      </c>
      <c r="H2864" t="s">
        <v>47126</v>
      </c>
      <c r="I2864" t="s">
        <v>47120</v>
      </c>
      <c r="J2864" t="s">
        <v>47121</v>
      </c>
      <c r="K2864" t="s">
        <v>47113</v>
      </c>
      <c r="L2864">
        <v>116.68</v>
      </c>
      <c r="M2864">
        <v>281</v>
      </c>
      <c r="N2864">
        <v>0</v>
      </c>
      <c r="O2864">
        <v>281</v>
      </c>
      <c r="P2864">
        <v>0</v>
      </c>
    </row>
    <row r="2865" spans="1:16" x14ac:dyDescent="0.25">
      <c r="A2865" t="s">
        <v>25321</v>
      </c>
      <c r="B2865" t="s">
        <v>4075</v>
      </c>
      <c r="C2865" t="s">
        <v>4076</v>
      </c>
      <c r="D2865" t="str">
        <f>"3529"</f>
        <v>3529</v>
      </c>
      <c r="E2865" t="s">
        <v>3988</v>
      </c>
      <c r="F2865" t="s">
        <v>2068</v>
      </c>
      <c r="G2865" t="s">
        <v>16224</v>
      </c>
      <c r="H2865" t="s">
        <v>47126</v>
      </c>
      <c r="I2865" t="s">
        <v>47120</v>
      </c>
      <c r="J2865" t="s">
        <v>47121</v>
      </c>
      <c r="K2865" t="s">
        <v>47113</v>
      </c>
      <c r="L2865">
        <v>116.68</v>
      </c>
      <c r="M2865">
        <v>281</v>
      </c>
      <c r="N2865">
        <v>0</v>
      </c>
      <c r="O2865">
        <v>281</v>
      </c>
      <c r="P2865">
        <v>0</v>
      </c>
    </row>
    <row r="2866" spans="1:16" x14ac:dyDescent="0.25">
      <c r="A2866" t="s">
        <v>25322</v>
      </c>
      <c r="B2866" t="s">
        <v>4075</v>
      </c>
      <c r="C2866" t="s">
        <v>4076</v>
      </c>
      <c r="D2866" t="str">
        <f>"4882"</f>
        <v>4882</v>
      </c>
      <c r="E2866" t="s">
        <v>3761</v>
      </c>
      <c r="F2866" t="s">
        <v>2068</v>
      </c>
      <c r="G2866" t="s">
        <v>16224</v>
      </c>
      <c r="H2866" t="s">
        <v>47126</v>
      </c>
      <c r="I2866" t="s">
        <v>47120</v>
      </c>
      <c r="J2866" t="s">
        <v>47121</v>
      </c>
      <c r="K2866" t="s">
        <v>47113</v>
      </c>
      <c r="L2866">
        <v>116.68</v>
      </c>
      <c r="M2866">
        <v>281</v>
      </c>
      <c r="N2866">
        <v>0</v>
      </c>
      <c r="O2866">
        <v>281</v>
      </c>
      <c r="P2866">
        <v>0</v>
      </c>
    </row>
    <row r="2867" spans="1:16" x14ac:dyDescent="0.25">
      <c r="A2867" t="s">
        <v>25323</v>
      </c>
      <c r="B2867" t="s">
        <v>4077</v>
      </c>
      <c r="C2867" t="s">
        <v>4078</v>
      </c>
      <c r="D2867" t="str">
        <f>"1001"</f>
        <v>1001</v>
      </c>
      <c r="E2867" t="s">
        <v>3966</v>
      </c>
      <c r="F2867" t="s">
        <v>2068</v>
      </c>
      <c r="G2867" t="s">
        <v>16224</v>
      </c>
      <c r="H2867" t="s">
        <v>47126</v>
      </c>
      <c r="I2867" t="s">
        <v>47120</v>
      </c>
      <c r="J2867" t="s">
        <v>47121</v>
      </c>
      <c r="K2867" t="s">
        <v>47113</v>
      </c>
      <c r="L2867">
        <v>100.27</v>
      </c>
      <c r="M2867">
        <v>243</v>
      </c>
      <c r="N2867">
        <v>0</v>
      </c>
      <c r="O2867">
        <v>243</v>
      </c>
      <c r="P2867">
        <v>0</v>
      </c>
    </row>
    <row r="2868" spans="1:16" x14ac:dyDescent="0.25">
      <c r="A2868" t="s">
        <v>25324</v>
      </c>
      <c r="B2868" t="s">
        <v>4077</v>
      </c>
      <c r="C2868" t="s">
        <v>4078</v>
      </c>
      <c r="D2868" t="str">
        <f>"3531"</f>
        <v>3531</v>
      </c>
      <c r="E2868" t="s">
        <v>4079</v>
      </c>
      <c r="F2868" t="s">
        <v>2068</v>
      </c>
      <c r="G2868" t="s">
        <v>16224</v>
      </c>
      <c r="H2868" t="s">
        <v>47126</v>
      </c>
      <c r="I2868" t="s">
        <v>47120</v>
      </c>
      <c r="J2868" t="s">
        <v>47121</v>
      </c>
      <c r="K2868" t="s">
        <v>47113</v>
      </c>
      <c r="L2868">
        <v>100.27</v>
      </c>
      <c r="M2868">
        <v>243</v>
      </c>
      <c r="N2868">
        <v>0</v>
      </c>
      <c r="O2868">
        <v>243</v>
      </c>
      <c r="P2868">
        <v>0</v>
      </c>
    </row>
    <row r="2869" spans="1:16" x14ac:dyDescent="0.25">
      <c r="A2869" t="s">
        <v>14891</v>
      </c>
      <c r="B2869" t="s">
        <v>4080</v>
      </c>
      <c r="C2869" t="s">
        <v>4081</v>
      </c>
      <c r="D2869" t="str">
        <f>"1001"</f>
        <v>1001</v>
      </c>
      <c r="E2869" t="s">
        <v>3966</v>
      </c>
      <c r="F2869" t="s">
        <v>2068</v>
      </c>
      <c r="G2869" t="s">
        <v>16224</v>
      </c>
      <c r="H2869" t="s">
        <v>47126</v>
      </c>
      <c r="I2869" t="s">
        <v>47120</v>
      </c>
      <c r="J2869" t="s">
        <v>47121</v>
      </c>
      <c r="K2869" t="s">
        <v>47113</v>
      </c>
      <c r="L2869">
        <v>93.9</v>
      </c>
      <c r="M2869">
        <v>228</v>
      </c>
      <c r="N2869">
        <v>0</v>
      </c>
      <c r="O2869">
        <v>228</v>
      </c>
      <c r="P2869">
        <v>0</v>
      </c>
    </row>
    <row r="2870" spans="1:16" x14ac:dyDescent="0.25">
      <c r="A2870" t="s">
        <v>14892</v>
      </c>
      <c r="B2870" t="s">
        <v>4080</v>
      </c>
      <c r="C2870" t="s">
        <v>4081</v>
      </c>
      <c r="D2870" t="str">
        <f>"3529"</f>
        <v>3529</v>
      </c>
      <c r="E2870" t="s">
        <v>3988</v>
      </c>
      <c r="F2870" t="s">
        <v>2068</v>
      </c>
      <c r="G2870" t="s">
        <v>16224</v>
      </c>
      <c r="H2870" t="s">
        <v>47126</v>
      </c>
      <c r="I2870" t="s">
        <v>47120</v>
      </c>
      <c r="J2870" t="s">
        <v>47121</v>
      </c>
      <c r="K2870" t="s">
        <v>47113</v>
      </c>
      <c r="L2870">
        <v>93.9</v>
      </c>
      <c r="M2870">
        <v>228</v>
      </c>
      <c r="N2870">
        <v>0</v>
      </c>
      <c r="O2870">
        <v>228</v>
      </c>
      <c r="P2870">
        <v>0</v>
      </c>
    </row>
    <row r="2871" spans="1:16" x14ac:dyDescent="0.25">
      <c r="A2871" t="s">
        <v>25325</v>
      </c>
      <c r="B2871" t="s">
        <v>4080</v>
      </c>
      <c r="C2871" t="s">
        <v>4081</v>
      </c>
      <c r="D2871" t="str">
        <f>"4882"</f>
        <v>4882</v>
      </c>
      <c r="E2871" t="s">
        <v>3761</v>
      </c>
      <c r="F2871" t="s">
        <v>2068</v>
      </c>
      <c r="G2871" t="s">
        <v>16224</v>
      </c>
      <c r="H2871" t="s">
        <v>47126</v>
      </c>
      <c r="I2871" t="s">
        <v>47120</v>
      </c>
      <c r="J2871" t="s">
        <v>47121</v>
      </c>
      <c r="K2871" t="s">
        <v>47113</v>
      </c>
      <c r="L2871">
        <v>93.9</v>
      </c>
      <c r="M2871">
        <v>228</v>
      </c>
      <c r="N2871">
        <v>0</v>
      </c>
      <c r="O2871">
        <v>228</v>
      </c>
      <c r="P2871">
        <v>0</v>
      </c>
    </row>
    <row r="2872" spans="1:16" x14ac:dyDescent="0.25">
      <c r="A2872" t="s">
        <v>25326</v>
      </c>
      <c r="B2872" t="s">
        <v>4082</v>
      </c>
      <c r="C2872" t="s">
        <v>4083</v>
      </c>
      <c r="D2872" t="str">
        <f>"1001"</f>
        <v>1001</v>
      </c>
      <c r="E2872" t="s">
        <v>3966</v>
      </c>
      <c r="F2872" t="s">
        <v>2068</v>
      </c>
      <c r="G2872" t="s">
        <v>16224</v>
      </c>
      <c r="H2872" t="s">
        <v>47126</v>
      </c>
      <c r="I2872" t="s">
        <v>47120</v>
      </c>
      <c r="J2872" t="s">
        <v>47121</v>
      </c>
      <c r="K2872" t="s">
        <v>47113</v>
      </c>
      <c r="L2872">
        <v>77.48</v>
      </c>
      <c r="M2872">
        <v>187</v>
      </c>
      <c r="N2872">
        <v>0</v>
      </c>
      <c r="O2872">
        <v>187</v>
      </c>
      <c r="P2872">
        <v>0</v>
      </c>
    </row>
    <row r="2873" spans="1:16" x14ac:dyDescent="0.25">
      <c r="A2873" t="s">
        <v>25327</v>
      </c>
      <c r="B2873" t="s">
        <v>4082</v>
      </c>
      <c r="C2873" t="s">
        <v>4083</v>
      </c>
      <c r="D2873" t="str">
        <f>"3531"</f>
        <v>3531</v>
      </c>
      <c r="E2873" t="s">
        <v>4079</v>
      </c>
      <c r="F2873" t="s">
        <v>2068</v>
      </c>
      <c r="G2873" t="s">
        <v>16224</v>
      </c>
      <c r="H2873" t="s">
        <v>47126</v>
      </c>
      <c r="I2873" t="s">
        <v>47120</v>
      </c>
      <c r="J2873" t="s">
        <v>47121</v>
      </c>
      <c r="K2873" t="s">
        <v>47113</v>
      </c>
      <c r="L2873">
        <v>77.48</v>
      </c>
      <c r="M2873">
        <v>187</v>
      </c>
      <c r="N2873">
        <v>0</v>
      </c>
      <c r="O2873">
        <v>187</v>
      </c>
      <c r="P2873">
        <v>0</v>
      </c>
    </row>
    <row r="2874" spans="1:16" x14ac:dyDescent="0.25">
      <c r="A2874" t="s">
        <v>25328</v>
      </c>
      <c r="B2874" t="s">
        <v>4084</v>
      </c>
      <c r="C2874" t="s">
        <v>4085</v>
      </c>
      <c r="D2874" t="str">
        <f>"1004"</f>
        <v>1004</v>
      </c>
      <c r="E2874" t="s">
        <v>4086</v>
      </c>
      <c r="F2874" t="s">
        <v>3750</v>
      </c>
      <c r="G2874" t="s">
        <v>16224</v>
      </c>
      <c r="H2874" t="s">
        <v>47126</v>
      </c>
      <c r="I2874" t="s">
        <v>47127</v>
      </c>
      <c r="J2874" t="s">
        <v>47128</v>
      </c>
      <c r="K2874" t="s">
        <v>47113</v>
      </c>
      <c r="L2874">
        <v>116.99</v>
      </c>
      <c r="M2874">
        <v>207</v>
      </c>
      <c r="N2874">
        <v>0</v>
      </c>
      <c r="O2874">
        <v>207</v>
      </c>
      <c r="P2874">
        <v>0</v>
      </c>
    </row>
    <row r="2875" spans="1:16" x14ac:dyDescent="0.25">
      <c r="A2875" t="s">
        <v>25329</v>
      </c>
      <c r="B2875" t="s">
        <v>4084</v>
      </c>
      <c r="C2875" t="s">
        <v>4085</v>
      </c>
      <c r="D2875" t="str">
        <f>"3106"</f>
        <v>3106</v>
      </c>
      <c r="E2875" t="s">
        <v>230</v>
      </c>
      <c r="F2875" t="s">
        <v>3750</v>
      </c>
      <c r="G2875" t="s">
        <v>16224</v>
      </c>
      <c r="H2875" t="s">
        <v>47126</v>
      </c>
      <c r="I2875" t="s">
        <v>47127</v>
      </c>
      <c r="J2875" t="s">
        <v>47128</v>
      </c>
      <c r="K2875" t="s">
        <v>47113</v>
      </c>
      <c r="L2875">
        <v>116.99</v>
      </c>
      <c r="M2875">
        <v>207</v>
      </c>
      <c r="N2875">
        <v>0</v>
      </c>
      <c r="O2875">
        <v>207</v>
      </c>
      <c r="P2875">
        <v>0</v>
      </c>
    </row>
    <row r="2876" spans="1:16" x14ac:dyDescent="0.25">
      <c r="A2876" t="s">
        <v>25330</v>
      </c>
      <c r="B2876" t="s">
        <v>4087</v>
      </c>
      <c r="C2876" t="s">
        <v>3763</v>
      </c>
      <c r="D2876" t="str">
        <f>"1001"</f>
        <v>1001</v>
      </c>
      <c r="E2876" t="s">
        <v>42</v>
      </c>
      <c r="F2876" t="s">
        <v>3546</v>
      </c>
      <c r="G2876" t="s">
        <v>16224</v>
      </c>
      <c r="H2876" t="s">
        <v>47126</v>
      </c>
      <c r="I2876" t="s">
        <v>47120</v>
      </c>
      <c r="J2876" t="s">
        <v>47121</v>
      </c>
      <c r="K2876" t="s">
        <v>47113</v>
      </c>
      <c r="L2876">
        <v>179.14</v>
      </c>
      <c r="M2876">
        <v>317</v>
      </c>
      <c r="N2876">
        <v>0</v>
      </c>
      <c r="O2876">
        <v>317</v>
      </c>
      <c r="P2876">
        <v>0</v>
      </c>
    </row>
    <row r="2877" spans="1:16" x14ac:dyDescent="0.25">
      <c r="A2877" t="s">
        <v>25331</v>
      </c>
      <c r="B2877" t="s">
        <v>4087</v>
      </c>
      <c r="C2877" t="s">
        <v>3763</v>
      </c>
      <c r="D2877" t="str">
        <f>"1004"</f>
        <v>1004</v>
      </c>
      <c r="E2877" t="s">
        <v>200</v>
      </c>
      <c r="F2877" t="s">
        <v>3546</v>
      </c>
      <c r="G2877" t="s">
        <v>16224</v>
      </c>
      <c r="H2877" t="s">
        <v>47126</v>
      </c>
      <c r="I2877" t="s">
        <v>47120</v>
      </c>
      <c r="J2877" t="s">
        <v>47121</v>
      </c>
      <c r="K2877" t="s">
        <v>47113</v>
      </c>
      <c r="L2877">
        <v>179.14</v>
      </c>
      <c r="M2877">
        <v>317</v>
      </c>
      <c r="N2877">
        <v>0</v>
      </c>
      <c r="O2877">
        <v>317</v>
      </c>
      <c r="P2877">
        <v>0</v>
      </c>
    </row>
    <row r="2878" spans="1:16" x14ac:dyDescent="0.25">
      <c r="A2878" t="s">
        <v>25332</v>
      </c>
      <c r="B2878" t="s">
        <v>4087</v>
      </c>
      <c r="C2878" t="s">
        <v>3763</v>
      </c>
      <c r="D2878" t="str">
        <f>"4926"</f>
        <v>4926</v>
      </c>
      <c r="E2878" t="s">
        <v>4088</v>
      </c>
      <c r="F2878" t="s">
        <v>3546</v>
      </c>
      <c r="G2878" t="s">
        <v>16224</v>
      </c>
      <c r="H2878" t="s">
        <v>47126</v>
      </c>
      <c r="I2878" t="s">
        <v>47120</v>
      </c>
      <c r="J2878" t="s">
        <v>47121</v>
      </c>
      <c r="K2878" t="s">
        <v>47113</v>
      </c>
      <c r="L2878">
        <v>179.14</v>
      </c>
      <c r="M2878">
        <v>317</v>
      </c>
      <c r="N2878">
        <v>0</v>
      </c>
      <c r="O2878">
        <v>317</v>
      </c>
      <c r="P2878">
        <v>0</v>
      </c>
    </row>
    <row r="2879" spans="1:16" x14ac:dyDescent="0.25">
      <c r="A2879" t="s">
        <v>14893</v>
      </c>
      <c r="B2879" t="s">
        <v>4089</v>
      </c>
      <c r="C2879" t="s">
        <v>4090</v>
      </c>
      <c r="D2879" t="s">
        <v>4091</v>
      </c>
      <c r="E2879" t="s">
        <v>4092</v>
      </c>
      <c r="F2879" t="s">
        <v>3546</v>
      </c>
      <c r="G2879" t="s">
        <v>16231</v>
      </c>
      <c r="H2879" t="s">
        <v>47153</v>
      </c>
      <c r="I2879" t="s">
        <v>47132</v>
      </c>
      <c r="J2879" t="s">
        <v>47133</v>
      </c>
      <c r="K2879" t="s">
        <v>47113</v>
      </c>
      <c r="L2879">
        <v>46.34</v>
      </c>
      <c r="M2879">
        <v>85</v>
      </c>
      <c r="N2879">
        <v>0</v>
      </c>
      <c r="O2879">
        <v>85</v>
      </c>
      <c r="P2879">
        <v>0</v>
      </c>
    </row>
    <row r="2880" spans="1:16" x14ac:dyDescent="0.25">
      <c r="A2880" t="s">
        <v>14894</v>
      </c>
      <c r="B2880" t="s">
        <v>4089</v>
      </c>
      <c r="C2880" t="s">
        <v>4090</v>
      </c>
      <c r="D2880" t="s">
        <v>4093</v>
      </c>
      <c r="E2880" t="s">
        <v>4094</v>
      </c>
      <c r="F2880" t="s">
        <v>3546</v>
      </c>
      <c r="G2880" t="s">
        <v>16231</v>
      </c>
      <c r="H2880" t="s">
        <v>47153</v>
      </c>
      <c r="I2880" t="s">
        <v>47132</v>
      </c>
      <c r="J2880" t="s">
        <v>47133</v>
      </c>
      <c r="K2880" t="s">
        <v>47113</v>
      </c>
      <c r="L2880">
        <v>43.41</v>
      </c>
      <c r="M2880">
        <v>82</v>
      </c>
      <c r="N2880">
        <v>0</v>
      </c>
      <c r="O2880">
        <v>82</v>
      </c>
      <c r="P2880">
        <v>0</v>
      </c>
    </row>
    <row r="2881" spans="1:16" x14ac:dyDescent="0.25">
      <c r="A2881" t="s">
        <v>25333</v>
      </c>
      <c r="B2881" t="s">
        <v>4095</v>
      </c>
      <c r="C2881" t="s">
        <v>4090</v>
      </c>
      <c r="D2881" t="s">
        <v>4096</v>
      </c>
      <c r="E2881" t="s">
        <v>4097</v>
      </c>
      <c r="F2881" t="s">
        <v>3546</v>
      </c>
      <c r="G2881" t="s">
        <v>16231</v>
      </c>
      <c r="H2881" t="s">
        <v>47153</v>
      </c>
      <c r="I2881" t="s">
        <v>47132</v>
      </c>
      <c r="J2881" t="s">
        <v>47133</v>
      </c>
      <c r="K2881" t="s">
        <v>47113</v>
      </c>
      <c r="L2881">
        <v>44.58</v>
      </c>
      <c r="M2881">
        <v>84</v>
      </c>
      <c r="N2881">
        <v>0</v>
      </c>
      <c r="O2881">
        <v>84</v>
      </c>
      <c r="P2881">
        <v>0</v>
      </c>
    </row>
    <row r="2882" spans="1:16" x14ac:dyDescent="0.25">
      <c r="A2882" t="s">
        <v>25334</v>
      </c>
      <c r="B2882" t="s">
        <v>4098</v>
      </c>
      <c r="C2882" t="s">
        <v>4090</v>
      </c>
      <c r="D2882" t="s">
        <v>4099</v>
      </c>
      <c r="E2882" t="s">
        <v>4100</v>
      </c>
      <c r="F2882" t="s">
        <v>3546</v>
      </c>
      <c r="G2882" t="s">
        <v>16231</v>
      </c>
      <c r="H2882" t="s">
        <v>47153</v>
      </c>
      <c r="I2882" t="s">
        <v>47132</v>
      </c>
      <c r="J2882" t="s">
        <v>47133</v>
      </c>
      <c r="K2882" t="s">
        <v>47113</v>
      </c>
      <c r="L2882">
        <v>43.41</v>
      </c>
      <c r="M2882">
        <v>84</v>
      </c>
      <c r="N2882">
        <v>0</v>
      </c>
      <c r="O2882">
        <v>84</v>
      </c>
      <c r="P2882">
        <v>0</v>
      </c>
    </row>
    <row r="2883" spans="1:16" x14ac:dyDescent="0.25">
      <c r="A2883" t="s">
        <v>25335</v>
      </c>
      <c r="B2883" t="s">
        <v>4101</v>
      </c>
      <c r="C2883" t="s">
        <v>4102</v>
      </c>
      <c r="D2883" t="s">
        <v>4103</v>
      </c>
      <c r="E2883" t="s">
        <v>4104</v>
      </c>
      <c r="F2883" t="s">
        <v>3546</v>
      </c>
      <c r="G2883" t="s">
        <v>16231</v>
      </c>
      <c r="H2883" t="s">
        <v>47153</v>
      </c>
      <c r="I2883" t="s">
        <v>47132</v>
      </c>
      <c r="J2883" t="s">
        <v>47133</v>
      </c>
      <c r="K2883" t="s">
        <v>47113</v>
      </c>
      <c r="L2883">
        <v>41.3</v>
      </c>
      <c r="M2883">
        <v>79</v>
      </c>
      <c r="N2883">
        <v>0</v>
      </c>
      <c r="O2883">
        <v>79</v>
      </c>
      <c r="P2883">
        <v>0</v>
      </c>
    </row>
    <row r="2884" spans="1:16" x14ac:dyDescent="0.25">
      <c r="A2884" t="s">
        <v>14895</v>
      </c>
      <c r="B2884" t="s">
        <v>4105</v>
      </c>
      <c r="C2884" t="s">
        <v>4090</v>
      </c>
      <c r="D2884" t="s">
        <v>4106</v>
      </c>
      <c r="E2884" t="s">
        <v>4107</v>
      </c>
      <c r="F2884" t="s">
        <v>3546</v>
      </c>
      <c r="G2884" t="s">
        <v>16231</v>
      </c>
      <c r="H2884" t="s">
        <v>47153</v>
      </c>
      <c r="I2884" t="s">
        <v>47132</v>
      </c>
      <c r="J2884" t="s">
        <v>47133</v>
      </c>
      <c r="K2884" t="s">
        <v>47113</v>
      </c>
      <c r="L2884">
        <v>39.299999999999997</v>
      </c>
      <c r="M2884">
        <v>75</v>
      </c>
      <c r="N2884">
        <v>0</v>
      </c>
      <c r="O2884">
        <v>75</v>
      </c>
      <c r="P2884">
        <v>0</v>
      </c>
    </row>
    <row r="2885" spans="1:16" x14ac:dyDescent="0.25">
      <c r="A2885" t="s">
        <v>14896</v>
      </c>
      <c r="B2885" t="s">
        <v>4105</v>
      </c>
      <c r="C2885" t="s">
        <v>4090</v>
      </c>
      <c r="D2885" t="s">
        <v>4108</v>
      </c>
      <c r="E2885" t="s">
        <v>4109</v>
      </c>
      <c r="F2885" t="s">
        <v>3546</v>
      </c>
      <c r="G2885" t="s">
        <v>16231</v>
      </c>
      <c r="H2885" t="s">
        <v>47153</v>
      </c>
      <c r="I2885" t="s">
        <v>47132</v>
      </c>
      <c r="J2885" t="s">
        <v>47133</v>
      </c>
      <c r="K2885" t="s">
        <v>47113</v>
      </c>
      <c r="L2885">
        <v>41.76</v>
      </c>
      <c r="M2885">
        <v>79</v>
      </c>
      <c r="N2885">
        <v>0</v>
      </c>
      <c r="O2885">
        <v>79</v>
      </c>
      <c r="P2885">
        <v>0</v>
      </c>
    </row>
    <row r="2886" spans="1:16" x14ac:dyDescent="0.25">
      <c r="A2886" t="s">
        <v>25336</v>
      </c>
      <c r="B2886" t="s">
        <v>4110</v>
      </c>
      <c r="C2886" t="s">
        <v>4090</v>
      </c>
      <c r="D2886" t="s">
        <v>4111</v>
      </c>
      <c r="E2886" t="s">
        <v>4112</v>
      </c>
      <c r="F2886" t="s">
        <v>3546</v>
      </c>
      <c r="G2886" t="s">
        <v>16231</v>
      </c>
      <c r="H2886" t="s">
        <v>47153</v>
      </c>
      <c r="I2886" t="s">
        <v>47132</v>
      </c>
      <c r="J2886" t="s">
        <v>47133</v>
      </c>
      <c r="K2886" t="s">
        <v>47113</v>
      </c>
      <c r="L2886">
        <v>55.02</v>
      </c>
      <c r="M2886">
        <v>95</v>
      </c>
      <c r="N2886">
        <v>0</v>
      </c>
      <c r="O2886">
        <v>95</v>
      </c>
      <c r="P2886">
        <v>0</v>
      </c>
    </row>
    <row r="2887" spans="1:16" x14ac:dyDescent="0.25">
      <c r="A2887" t="s">
        <v>25337</v>
      </c>
      <c r="B2887" t="s">
        <v>4110</v>
      </c>
      <c r="C2887" t="s">
        <v>4090</v>
      </c>
      <c r="D2887" t="s">
        <v>4113</v>
      </c>
      <c r="E2887" t="s">
        <v>4114</v>
      </c>
      <c r="F2887" t="s">
        <v>3546</v>
      </c>
      <c r="G2887" t="s">
        <v>16231</v>
      </c>
      <c r="H2887" t="s">
        <v>47153</v>
      </c>
      <c r="I2887" t="s">
        <v>47132</v>
      </c>
      <c r="J2887" t="s">
        <v>47133</v>
      </c>
      <c r="K2887" t="s">
        <v>47113</v>
      </c>
      <c r="L2887">
        <v>65.58</v>
      </c>
      <c r="M2887">
        <v>105</v>
      </c>
      <c r="N2887">
        <v>0</v>
      </c>
      <c r="O2887">
        <v>105</v>
      </c>
      <c r="P2887">
        <v>0</v>
      </c>
    </row>
    <row r="2888" spans="1:16" x14ac:dyDescent="0.25">
      <c r="A2888" t="s">
        <v>14897</v>
      </c>
      <c r="B2888" t="s">
        <v>4115</v>
      </c>
      <c r="C2888" t="s">
        <v>4090</v>
      </c>
      <c r="D2888" t="s">
        <v>4116</v>
      </c>
      <c r="E2888" t="s">
        <v>4117</v>
      </c>
      <c r="F2888" t="s">
        <v>3546</v>
      </c>
      <c r="G2888" t="s">
        <v>16231</v>
      </c>
      <c r="H2888" t="s">
        <v>47153</v>
      </c>
      <c r="I2888" t="s">
        <v>47132</v>
      </c>
      <c r="J2888" t="s">
        <v>47133</v>
      </c>
      <c r="K2888" t="s">
        <v>47113</v>
      </c>
      <c r="L2888">
        <v>41.05</v>
      </c>
      <c r="M2888">
        <v>80</v>
      </c>
      <c r="N2888">
        <v>0</v>
      </c>
      <c r="O2888">
        <v>80</v>
      </c>
      <c r="P2888">
        <v>0</v>
      </c>
    </row>
    <row r="2889" spans="1:16" x14ac:dyDescent="0.25">
      <c r="A2889" t="s">
        <v>14898</v>
      </c>
      <c r="B2889" t="s">
        <v>4118</v>
      </c>
      <c r="C2889" t="s">
        <v>4090</v>
      </c>
      <c r="D2889" t="s">
        <v>4119</v>
      </c>
      <c r="E2889" t="s">
        <v>4120</v>
      </c>
      <c r="F2889" t="s">
        <v>3546</v>
      </c>
      <c r="G2889" t="s">
        <v>16231</v>
      </c>
      <c r="H2889" t="s">
        <v>47153</v>
      </c>
      <c r="I2889" t="s">
        <v>47132</v>
      </c>
      <c r="J2889" t="s">
        <v>47133</v>
      </c>
      <c r="K2889" t="s">
        <v>47113</v>
      </c>
      <c r="L2889">
        <v>46.34</v>
      </c>
      <c r="M2889">
        <v>86</v>
      </c>
      <c r="N2889">
        <v>0</v>
      </c>
      <c r="O2889">
        <v>86</v>
      </c>
      <c r="P2889">
        <v>0</v>
      </c>
    </row>
    <row r="2890" spans="1:16" x14ac:dyDescent="0.25">
      <c r="A2890" t="s">
        <v>25338</v>
      </c>
      <c r="B2890" t="s">
        <v>4121</v>
      </c>
      <c r="C2890" t="s">
        <v>4122</v>
      </c>
      <c r="D2890" t="s">
        <v>4123</v>
      </c>
      <c r="E2890" t="s">
        <v>4124</v>
      </c>
      <c r="F2890" t="s">
        <v>3546</v>
      </c>
      <c r="G2890" t="s">
        <v>16231</v>
      </c>
      <c r="H2890" t="s">
        <v>47153</v>
      </c>
      <c r="I2890" t="s">
        <v>47132</v>
      </c>
      <c r="J2890" t="s">
        <v>47133</v>
      </c>
      <c r="K2890" t="s">
        <v>47113</v>
      </c>
      <c r="L2890">
        <v>46.34</v>
      </c>
      <c r="M2890">
        <v>94</v>
      </c>
      <c r="N2890">
        <v>0</v>
      </c>
      <c r="O2890">
        <v>94</v>
      </c>
      <c r="P2890">
        <v>0</v>
      </c>
    </row>
    <row r="2891" spans="1:16" x14ac:dyDescent="0.25">
      <c r="A2891" t="s">
        <v>14899</v>
      </c>
      <c r="B2891" t="s">
        <v>4125</v>
      </c>
      <c r="C2891" t="s">
        <v>4122</v>
      </c>
      <c r="D2891" t="s">
        <v>4091</v>
      </c>
      <c r="E2891" t="s">
        <v>4092</v>
      </c>
      <c r="F2891" t="s">
        <v>3546</v>
      </c>
      <c r="G2891" t="s">
        <v>16231</v>
      </c>
      <c r="H2891" t="s">
        <v>47153</v>
      </c>
      <c r="I2891" t="s">
        <v>47132</v>
      </c>
      <c r="J2891" t="s">
        <v>47133</v>
      </c>
      <c r="K2891" t="s">
        <v>47113</v>
      </c>
      <c r="L2891">
        <v>46.34</v>
      </c>
      <c r="M2891">
        <v>85</v>
      </c>
      <c r="N2891">
        <v>0</v>
      </c>
      <c r="O2891">
        <v>85</v>
      </c>
      <c r="P2891">
        <v>0</v>
      </c>
    </row>
    <row r="2892" spans="1:16" x14ac:dyDescent="0.25">
      <c r="A2892" t="s">
        <v>14900</v>
      </c>
      <c r="B2892" t="s">
        <v>4125</v>
      </c>
      <c r="C2892" t="s">
        <v>4122</v>
      </c>
      <c r="D2892" t="s">
        <v>4093</v>
      </c>
      <c r="E2892" t="s">
        <v>4094</v>
      </c>
      <c r="F2892" t="s">
        <v>3546</v>
      </c>
      <c r="G2892" t="s">
        <v>16231</v>
      </c>
      <c r="H2892" t="s">
        <v>47153</v>
      </c>
      <c r="I2892" t="s">
        <v>47132</v>
      </c>
      <c r="J2892" t="s">
        <v>47133</v>
      </c>
      <c r="K2892" t="s">
        <v>47113</v>
      </c>
      <c r="L2892">
        <v>43.41</v>
      </c>
      <c r="M2892">
        <v>82</v>
      </c>
      <c r="N2892">
        <v>0</v>
      </c>
      <c r="O2892">
        <v>82</v>
      </c>
      <c r="P2892">
        <v>0</v>
      </c>
    </row>
    <row r="2893" spans="1:16" x14ac:dyDescent="0.25">
      <c r="A2893" t="s">
        <v>25339</v>
      </c>
      <c r="B2893" t="s">
        <v>4126</v>
      </c>
      <c r="C2893" t="s">
        <v>4122</v>
      </c>
      <c r="D2893" t="s">
        <v>4096</v>
      </c>
      <c r="E2893" t="s">
        <v>4097</v>
      </c>
      <c r="F2893" t="s">
        <v>3546</v>
      </c>
      <c r="G2893" t="s">
        <v>16231</v>
      </c>
      <c r="H2893" t="s">
        <v>47153</v>
      </c>
      <c r="I2893" t="s">
        <v>47132</v>
      </c>
      <c r="J2893" t="s">
        <v>47133</v>
      </c>
      <c r="K2893" t="s">
        <v>47113</v>
      </c>
      <c r="L2893">
        <v>44.58</v>
      </c>
      <c r="M2893">
        <v>84</v>
      </c>
      <c r="N2893">
        <v>0</v>
      </c>
      <c r="O2893">
        <v>84</v>
      </c>
      <c r="P2893">
        <v>0</v>
      </c>
    </row>
    <row r="2894" spans="1:16" x14ac:dyDescent="0.25">
      <c r="A2894" t="s">
        <v>25340</v>
      </c>
      <c r="B2894" t="s">
        <v>4127</v>
      </c>
      <c r="C2894" t="s">
        <v>4122</v>
      </c>
      <c r="D2894" t="s">
        <v>4099</v>
      </c>
      <c r="E2894" t="s">
        <v>4100</v>
      </c>
      <c r="F2894" t="s">
        <v>3546</v>
      </c>
      <c r="G2894" t="s">
        <v>16231</v>
      </c>
      <c r="H2894" t="s">
        <v>47153</v>
      </c>
      <c r="I2894" t="s">
        <v>47132</v>
      </c>
      <c r="J2894" t="s">
        <v>47133</v>
      </c>
      <c r="K2894" t="s">
        <v>47113</v>
      </c>
      <c r="L2894">
        <v>43.41</v>
      </c>
      <c r="M2894">
        <v>84</v>
      </c>
      <c r="N2894">
        <v>0</v>
      </c>
      <c r="O2894">
        <v>84</v>
      </c>
      <c r="P2894">
        <v>0</v>
      </c>
    </row>
    <row r="2895" spans="1:16" x14ac:dyDescent="0.25">
      <c r="A2895" t="s">
        <v>25341</v>
      </c>
      <c r="B2895" t="s">
        <v>4128</v>
      </c>
      <c r="C2895" t="s">
        <v>4122</v>
      </c>
      <c r="D2895" t="s">
        <v>4103</v>
      </c>
      <c r="E2895" t="s">
        <v>4104</v>
      </c>
      <c r="F2895" t="s">
        <v>3546</v>
      </c>
      <c r="G2895" t="s">
        <v>16231</v>
      </c>
      <c r="H2895" t="s">
        <v>47153</v>
      </c>
      <c r="I2895" t="s">
        <v>47132</v>
      </c>
      <c r="J2895" t="s">
        <v>47133</v>
      </c>
      <c r="K2895" t="s">
        <v>47113</v>
      </c>
      <c r="L2895">
        <v>41.3</v>
      </c>
      <c r="M2895">
        <v>79</v>
      </c>
      <c r="N2895">
        <v>0</v>
      </c>
      <c r="O2895">
        <v>79</v>
      </c>
      <c r="P2895">
        <v>0</v>
      </c>
    </row>
    <row r="2896" spans="1:16" x14ac:dyDescent="0.25">
      <c r="A2896" t="s">
        <v>25342</v>
      </c>
      <c r="B2896" t="s">
        <v>4129</v>
      </c>
      <c r="C2896" t="s">
        <v>4122</v>
      </c>
      <c r="D2896" t="s">
        <v>4106</v>
      </c>
      <c r="E2896" t="s">
        <v>4107</v>
      </c>
      <c r="F2896" t="s">
        <v>3546</v>
      </c>
      <c r="G2896" t="s">
        <v>16231</v>
      </c>
      <c r="H2896" t="s">
        <v>47153</v>
      </c>
      <c r="I2896" t="s">
        <v>47132</v>
      </c>
      <c r="J2896" t="s">
        <v>47133</v>
      </c>
      <c r="K2896" t="s">
        <v>47113</v>
      </c>
      <c r="L2896">
        <v>39.299999999999997</v>
      </c>
      <c r="M2896">
        <v>75</v>
      </c>
      <c r="N2896">
        <v>0</v>
      </c>
      <c r="O2896">
        <v>75</v>
      </c>
      <c r="P2896">
        <v>0</v>
      </c>
    </row>
    <row r="2897" spans="1:16" x14ac:dyDescent="0.25">
      <c r="A2897" t="s">
        <v>16453</v>
      </c>
      <c r="B2897" t="s">
        <v>4129</v>
      </c>
      <c r="C2897" t="s">
        <v>4122</v>
      </c>
      <c r="D2897" t="s">
        <v>4108</v>
      </c>
      <c r="E2897" t="s">
        <v>4109</v>
      </c>
      <c r="F2897" t="s">
        <v>3546</v>
      </c>
      <c r="G2897" t="s">
        <v>16231</v>
      </c>
      <c r="H2897" t="s">
        <v>47153</v>
      </c>
      <c r="I2897" t="s">
        <v>47132</v>
      </c>
      <c r="J2897" t="s">
        <v>47133</v>
      </c>
      <c r="K2897" t="s">
        <v>47113</v>
      </c>
      <c r="L2897">
        <v>41.76</v>
      </c>
      <c r="M2897">
        <v>79</v>
      </c>
      <c r="N2897">
        <v>0</v>
      </c>
      <c r="O2897">
        <v>79</v>
      </c>
      <c r="P2897">
        <v>0</v>
      </c>
    </row>
    <row r="2898" spans="1:16" x14ac:dyDescent="0.25">
      <c r="A2898" t="s">
        <v>14901</v>
      </c>
      <c r="B2898" t="s">
        <v>4129</v>
      </c>
      <c r="C2898" t="s">
        <v>4122</v>
      </c>
      <c r="D2898" t="s">
        <v>4130</v>
      </c>
      <c r="E2898" t="s">
        <v>4131</v>
      </c>
      <c r="F2898" t="s">
        <v>3546</v>
      </c>
      <c r="G2898" t="s">
        <v>16231</v>
      </c>
      <c r="H2898" t="s">
        <v>47153</v>
      </c>
      <c r="I2898" t="s">
        <v>47132</v>
      </c>
      <c r="J2898" t="s">
        <v>47133</v>
      </c>
      <c r="K2898" t="s">
        <v>47113</v>
      </c>
      <c r="L2898">
        <v>54.54</v>
      </c>
      <c r="M2898">
        <v>100</v>
      </c>
      <c r="N2898">
        <v>0</v>
      </c>
      <c r="O2898">
        <v>100</v>
      </c>
      <c r="P2898">
        <v>0</v>
      </c>
    </row>
    <row r="2899" spans="1:16" x14ac:dyDescent="0.25">
      <c r="A2899" t="s">
        <v>25343</v>
      </c>
      <c r="B2899" t="s">
        <v>4132</v>
      </c>
      <c r="C2899" t="s">
        <v>4122</v>
      </c>
      <c r="D2899" t="s">
        <v>4111</v>
      </c>
      <c r="E2899" t="s">
        <v>4112</v>
      </c>
      <c r="F2899" t="s">
        <v>3546</v>
      </c>
      <c r="G2899" t="s">
        <v>16231</v>
      </c>
      <c r="H2899" t="s">
        <v>47153</v>
      </c>
      <c r="I2899" t="s">
        <v>47132</v>
      </c>
      <c r="J2899" t="s">
        <v>47133</v>
      </c>
      <c r="K2899" t="s">
        <v>47113</v>
      </c>
      <c r="L2899">
        <v>55.02</v>
      </c>
      <c r="M2899">
        <v>95</v>
      </c>
      <c r="N2899">
        <v>0</v>
      </c>
      <c r="O2899">
        <v>95</v>
      </c>
      <c r="P2899">
        <v>0</v>
      </c>
    </row>
    <row r="2900" spans="1:16" x14ac:dyDescent="0.25">
      <c r="A2900" t="s">
        <v>14902</v>
      </c>
      <c r="B2900" t="s">
        <v>4132</v>
      </c>
      <c r="C2900" t="s">
        <v>4122</v>
      </c>
      <c r="D2900" t="s">
        <v>4113</v>
      </c>
      <c r="E2900" t="s">
        <v>4114</v>
      </c>
      <c r="F2900" t="s">
        <v>3546</v>
      </c>
      <c r="G2900" t="s">
        <v>16231</v>
      </c>
      <c r="H2900" t="s">
        <v>47153</v>
      </c>
      <c r="I2900" t="s">
        <v>47132</v>
      </c>
      <c r="J2900" t="s">
        <v>47133</v>
      </c>
      <c r="K2900" t="s">
        <v>47113</v>
      </c>
      <c r="L2900">
        <v>65.58</v>
      </c>
      <c r="M2900">
        <v>105</v>
      </c>
      <c r="N2900">
        <v>0</v>
      </c>
      <c r="O2900">
        <v>105</v>
      </c>
      <c r="P2900">
        <v>0</v>
      </c>
    </row>
    <row r="2901" spans="1:16" x14ac:dyDescent="0.25">
      <c r="A2901" t="s">
        <v>14903</v>
      </c>
      <c r="B2901" t="s">
        <v>4133</v>
      </c>
      <c r="C2901" t="s">
        <v>4122</v>
      </c>
      <c r="D2901" t="s">
        <v>4116</v>
      </c>
      <c r="E2901" t="s">
        <v>4117</v>
      </c>
      <c r="F2901" t="s">
        <v>3546</v>
      </c>
      <c r="G2901" t="s">
        <v>16231</v>
      </c>
      <c r="H2901" t="s">
        <v>47153</v>
      </c>
      <c r="I2901" t="s">
        <v>47132</v>
      </c>
      <c r="J2901" t="s">
        <v>47133</v>
      </c>
      <c r="K2901" t="s">
        <v>47113</v>
      </c>
      <c r="L2901">
        <v>41.05</v>
      </c>
      <c r="M2901">
        <v>80</v>
      </c>
      <c r="N2901">
        <v>0</v>
      </c>
      <c r="O2901">
        <v>80</v>
      </c>
      <c r="P2901">
        <v>0</v>
      </c>
    </row>
    <row r="2902" spans="1:16" x14ac:dyDescent="0.25">
      <c r="A2902" t="s">
        <v>14904</v>
      </c>
      <c r="B2902" t="s">
        <v>4134</v>
      </c>
      <c r="C2902" t="s">
        <v>4122</v>
      </c>
      <c r="D2902" t="s">
        <v>4135</v>
      </c>
      <c r="E2902" t="s">
        <v>4136</v>
      </c>
      <c r="F2902" t="s">
        <v>3546</v>
      </c>
      <c r="G2902" t="s">
        <v>16231</v>
      </c>
      <c r="H2902" t="s">
        <v>47153</v>
      </c>
      <c r="I2902" t="s">
        <v>47132</v>
      </c>
      <c r="J2902" t="s">
        <v>47133</v>
      </c>
      <c r="K2902" t="s">
        <v>47113</v>
      </c>
      <c r="L2902">
        <v>52.79</v>
      </c>
      <c r="M2902">
        <v>98</v>
      </c>
      <c r="N2902">
        <v>0</v>
      </c>
      <c r="O2902">
        <v>98</v>
      </c>
      <c r="P2902">
        <v>0</v>
      </c>
    </row>
    <row r="2903" spans="1:16" x14ac:dyDescent="0.25">
      <c r="A2903" t="s">
        <v>25344</v>
      </c>
      <c r="B2903" t="s">
        <v>4137</v>
      </c>
      <c r="C2903" t="s">
        <v>4122</v>
      </c>
      <c r="D2903" t="s">
        <v>4119</v>
      </c>
      <c r="E2903" t="s">
        <v>4120</v>
      </c>
      <c r="F2903" t="s">
        <v>3546</v>
      </c>
      <c r="G2903" t="s">
        <v>16231</v>
      </c>
      <c r="H2903" t="s">
        <v>47153</v>
      </c>
      <c r="I2903" t="s">
        <v>47132</v>
      </c>
      <c r="J2903" t="s">
        <v>47133</v>
      </c>
      <c r="K2903" t="s">
        <v>47113</v>
      </c>
      <c r="L2903">
        <v>46.34</v>
      </c>
      <c r="M2903">
        <v>86</v>
      </c>
      <c r="N2903">
        <v>0</v>
      </c>
      <c r="O2903">
        <v>86</v>
      </c>
      <c r="P2903">
        <v>0</v>
      </c>
    </row>
    <row r="2904" spans="1:16" x14ac:dyDescent="0.25">
      <c r="A2904" t="s">
        <v>25345</v>
      </c>
      <c r="B2904" t="s">
        <v>4138</v>
      </c>
      <c r="C2904" t="s">
        <v>4139</v>
      </c>
      <c r="D2904" t="s">
        <v>4099</v>
      </c>
      <c r="E2904" t="s">
        <v>4100</v>
      </c>
      <c r="F2904" t="s">
        <v>3546</v>
      </c>
      <c r="G2904" t="s">
        <v>16231</v>
      </c>
      <c r="H2904" t="s">
        <v>47153</v>
      </c>
      <c r="I2904" t="s">
        <v>47132</v>
      </c>
      <c r="J2904" t="s">
        <v>47133</v>
      </c>
      <c r="K2904" t="s">
        <v>47113</v>
      </c>
      <c r="L2904">
        <v>43.41</v>
      </c>
      <c r="M2904">
        <v>84</v>
      </c>
      <c r="N2904">
        <v>0</v>
      </c>
      <c r="O2904">
        <v>84</v>
      </c>
      <c r="P2904">
        <v>0</v>
      </c>
    </row>
    <row r="2905" spans="1:16" x14ac:dyDescent="0.25">
      <c r="A2905" t="s">
        <v>14905</v>
      </c>
      <c r="B2905" t="s">
        <v>4140</v>
      </c>
      <c r="C2905" t="s">
        <v>16474</v>
      </c>
      <c r="D2905" t="s">
        <v>4106</v>
      </c>
      <c r="E2905" t="s">
        <v>4107</v>
      </c>
      <c r="F2905" t="s">
        <v>3546</v>
      </c>
      <c r="G2905" t="s">
        <v>16231</v>
      </c>
      <c r="H2905" t="s">
        <v>47153</v>
      </c>
      <c r="I2905" t="s">
        <v>47132</v>
      </c>
      <c r="J2905" t="s">
        <v>47133</v>
      </c>
      <c r="K2905" t="s">
        <v>47113</v>
      </c>
      <c r="L2905">
        <v>39.299999999999997</v>
      </c>
      <c r="M2905">
        <v>75</v>
      </c>
      <c r="N2905">
        <v>0</v>
      </c>
      <c r="O2905">
        <v>75</v>
      </c>
      <c r="P2905">
        <v>0</v>
      </c>
    </row>
    <row r="2906" spans="1:16" x14ac:dyDescent="0.25">
      <c r="A2906" t="s">
        <v>25346</v>
      </c>
      <c r="B2906" t="s">
        <v>4141</v>
      </c>
      <c r="C2906" t="s">
        <v>4142</v>
      </c>
      <c r="D2906" t="s">
        <v>4119</v>
      </c>
      <c r="E2906" t="s">
        <v>4120</v>
      </c>
      <c r="F2906" t="s">
        <v>3546</v>
      </c>
      <c r="G2906" t="s">
        <v>16231</v>
      </c>
      <c r="H2906" t="s">
        <v>47153</v>
      </c>
      <c r="I2906" t="s">
        <v>47132</v>
      </c>
      <c r="J2906" t="s">
        <v>47133</v>
      </c>
      <c r="K2906" t="s">
        <v>47113</v>
      </c>
      <c r="L2906">
        <v>46.34</v>
      </c>
      <c r="M2906">
        <v>86</v>
      </c>
      <c r="N2906">
        <v>0</v>
      </c>
      <c r="O2906">
        <v>86</v>
      </c>
      <c r="P2906">
        <v>0</v>
      </c>
    </row>
    <row r="2907" spans="1:16" x14ac:dyDescent="0.25">
      <c r="A2907" t="s">
        <v>14906</v>
      </c>
      <c r="B2907" t="s">
        <v>4143</v>
      </c>
      <c r="C2907" t="s">
        <v>4144</v>
      </c>
      <c r="D2907" t="s">
        <v>4123</v>
      </c>
      <c r="E2907" t="s">
        <v>4124</v>
      </c>
      <c r="F2907" t="s">
        <v>3546</v>
      </c>
      <c r="G2907" t="s">
        <v>16231</v>
      </c>
      <c r="H2907" t="s">
        <v>47153</v>
      </c>
      <c r="I2907" t="s">
        <v>47132</v>
      </c>
      <c r="J2907" t="s">
        <v>47133</v>
      </c>
      <c r="K2907" t="s">
        <v>47113</v>
      </c>
      <c r="L2907">
        <v>49.27</v>
      </c>
      <c r="M2907">
        <v>96</v>
      </c>
      <c r="N2907">
        <v>0</v>
      </c>
      <c r="O2907">
        <v>96</v>
      </c>
      <c r="P2907">
        <v>0</v>
      </c>
    </row>
    <row r="2908" spans="1:16" x14ac:dyDescent="0.25">
      <c r="A2908" t="s">
        <v>25347</v>
      </c>
      <c r="B2908" t="s">
        <v>4145</v>
      </c>
      <c r="C2908" t="s">
        <v>4144</v>
      </c>
      <c r="D2908" t="s">
        <v>4108</v>
      </c>
      <c r="E2908" t="s">
        <v>4109</v>
      </c>
      <c r="F2908" t="s">
        <v>3546</v>
      </c>
      <c r="G2908" t="s">
        <v>16231</v>
      </c>
      <c r="H2908" t="s">
        <v>47153</v>
      </c>
      <c r="I2908" t="s">
        <v>47132</v>
      </c>
      <c r="J2908" t="s">
        <v>47133</v>
      </c>
      <c r="K2908" t="s">
        <v>47113</v>
      </c>
      <c r="L2908">
        <v>44.7</v>
      </c>
      <c r="M2908">
        <v>81</v>
      </c>
      <c r="N2908">
        <v>0</v>
      </c>
      <c r="O2908">
        <v>81</v>
      </c>
      <c r="P2908">
        <v>0</v>
      </c>
    </row>
    <row r="2909" spans="1:16" x14ac:dyDescent="0.25">
      <c r="A2909" t="s">
        <v>25348</v>
      </c>
      <c r="B2909" t="s">
        <v>4145</v>
      </c>
      <c r="C2909" t="s">
        <v>4144</v>
      </c>
      <c r="D2909" t="s">
        <v>4130</v>
      </c>
      <c r="E2909" t="s">
        <v>4131</v>
      </c>
      <c r="F2909" t="s">
        <v>3546</v>
      </c>
      <c r="G2909" t="s">
        <v>16231</v>
      </c>
      <c r="H2909" t="s">
        <v>47153</v>
      </c>
      <c r="I2909" t="s">
        <v>47132</v>
      </c>
      <c r="J2909" t="s">
        <v>47133</v>
      </c>
      <c r="K2909" t="s">
        <v>47113</v>
      </c>
      <c r="L2909">
        <v>57.37</v>
      </c>
      <c r="M2909">
        <v>102</v>
      </c>
      <c r="N2909">
        <v>0</v>
      </c>
      <c r="O2909">
        <v>102</v>
      </c>
      <c r="P2909">
        <v>0</v>
      </c>
    </row>
    <row r="2910" spans="1:16" x14ac:dyDescent="0.25">
      <c r="A2910" t="s">
        <v>14907</v>
      </c>
      <c r="B2910" t="s">
        <v>4146</v>
      </c>
      <c r="C2910" t="s">
        <v>4144</v>
      </c>
      <c r="D2910" t="s">
        <v>4116</v>
      </c>
      <c r="E2910" t="s">
        <v>4117</v>
      </c>
      <c r="F2910" t="s">
        <v>3546</v>
      </c>
      <c r="G2910" t="s">
        <v>16231</v>
      </c>
      <c r="H2910" t="s">
        <v>47153</v>
      </c>
      <c r="I2910" t="s">
        <v>47132</v>
      </c>
      <c r="J2910" t="s">
        <v>47133</v>
      </c>
      <c r="K2910" t="s">
        <v>47113</v>
      </c>
      <c r="L2910">
        <v>44.46</v>
      </c>
      <c r="M2910">
        <v>84</v>
      </c>
      <c r="N2910">
        <v>0</v>
      </c>
      <c r="O2910">
        <v>84</v>
      </c>
      <c r="P2910">
        <v>0</v>
      </c>
    </row>
    <row r="2911" spans="1:16" x14ac:dyDescent="0.25">
      <c r="A2911" t="s">
        <v>25349</v>
      </c>
      <c r="B2911" t="s">
        <v>4147</v>
      </c>
      <c r="C2911" t="s">
        <v>4144</v>
      </c>
      <c r="D2911" t="s">
        <v>4135</v>
      </c>
      <c r="E2911" t="s">
        <v>4136</v>
      </c>
      <c r="F2911" t="s">
        <v>3546</v>
      </c>
      <c r="G2911" t="s">
        <v>16231</v>
      </c>
      <c r="H2911" t="s">
        <v>47153</v>
      </c>
      <c r="I2911" t="s">
        <v>47132</v>
      </c>
      <c r="J2911" t="s">
        <v>47133</v>
      </c>
      <c r="K2911" t="s">
        <v>47113</v>
      </c>
      <c r="L2911">
        <v>52.79</v>
      </c>
      <c r="M2911">
        <v>98</v>
      </c>
      <c r="N2911">
        <v>0</v>
      </c>
      <c r="O2911">
        <v>98</v>
      </c>
      <c r="P2911">
        <v>0</v>
      </c>
    </row>
    <row r="2912" spans="1:16" x14ac:dyDescent="0.25">
      <c r="A2912" t="s">
        <v>25350</v>
      </c>
      <c r="B2912" t="s">
        <v>4148</v>
      </c>
      <c r="C2912" t="s">
        <v>4149</v>
      </c>
      <c r="D2912" t="s">
        <v>4091</v>
      </c>
      <c r="E2912" t="s">
        <v>4092</v>
      </c>
      <c r="F2912" t="s">
        <v>3546</v>
      </c>
      <c r="G2912" t="s">
        <v>16231</v>
      </c>
      <c r="H2912" t="s">
        <v>47153</v>
      </c>
      <c r="I2912" t="s">
        <v>47132</v>
      </c>
      <c r="J2912" t="s">
        <v>47133</v>
      </c>
      <c r="K2912" t="s">
        <v>47113</v>
      </c>
      <c r="L2912">
        <v>49.27</v>
      </c>
      <c r="M2912">
        <v>87</v>
      </c>
      <c r="N2912">
        <v>0</v>
      </c>
      <c r="O2912">
        <v>87</v>
      </c>
      <c r="P2912">
        <v>0</v>
      </c>
    </row>
    <row r="2913" spans="1:16" x14ac:dyDescent="0.25">
      <c r="A2913" t="s">
        <v>25351</v>
      </c>
      <c r="B2913" t="s">
        <v>4148</v>
      </c>
      <c r="C2913" t="s">
        <v>4149</v>
      </c>
      <c r="D2913" t="s">
        <v>4093</v>
      </c>
      <c r="E2913" t="s">
        <v>4094</v>
      </c>
      <c r="F2913" t="s">
        <v>3546</v>
      </c>
      <c r="G2913" t="s">
        <v>16231</v>
      </c>
      <c r="H2913" t="s">
        <v>47153</v>
      </c>
      <c r="I2913" t="s">
        <v>47132</v>
      </c>
      <c r="J2913" t="s">
        <v>47133</v>
      </c>
      <c r="K2913" t="s">
        <v>47113</v>
      </c>
      <c r="L2913">
        <v>46.34</v>
      </c>
      <c r="M2913">
        <v>84</v>
      </c>
      <c r="N2913">
        <v>0</v>
      </c>
      <c r="O2913">
        <v>84</v>
      </c>
      <c r="P2913">
        <v>0</v>
      </c>
    </row>
    <row r="2914" spans="1:16" x14ac:dyDescent="0.25">
      <c r="A2914" t="s">
        <v>25352</v>
      </c>
      <c r="B2914" t="s">
        <v>4150</v>
      </c>
      <c r="C2914" t="s">
        <v>4149</v>
      </c>
      <c r="D2914" t="s">
        <v>4106</v>
      </c>
      <c r="E2914" t="s">
        <v>4107</v>
      </c>
      <c r="F2914" t="s">
        <v>3546</v>
      </c>
      <c r="G2914" t="s">
        <v>16231</v>
      </c>
      <c r="H2914" t="s">
        <v>47153</v>
      </c>
      <c r="I2914" t="s">
        <v>47132</v>
      </c>
      <c r="J2914" t="s">
        <v>47133</v>
      </c>
      <c r="K2914" t="s">
        <v>47113</v>
      </c>
      <c r="L2914">
        <v>42.23</v>
      </c>
      <c r="M2914">
        <v>77</v>
      </c>
      <c r="N2914">
        <v>0</v>
      </c>
      <c r="O2914">
        <v>77</v>
      </c>
      <c r="P2914">
        <v>0</v>
      </c>
    </row>
    <row r="2915" spans="1:16" x14ac:dyDescent="0.25">
      <c r="A2915" t="s">
        <v>25353</v>
      </c>
      <c r="B2915" t="s">
        <v>4151</v>
      </c>
      <c r="C2915" t="s">
        <v>4149</v>
      </c>
      <c r="D2915" t="s">
        <v>4119</v>
      </c>
      <c r="E2915" t="s">
        <v>4120</v>
      </c>
      <c r="F2915" t="s">
        <v>3546</v>
      </c>
      <c r="G2915" t="s">
        <v>16231</v>
      </c>
      <c r="H2915" t="s">
        <v>47153</v>
      </c>
      <c r="I2915" t="s">
        <v>47132</v>
      </c>
      <c r="J2915" t="s">
        <v>47133</v>
      </c>
      <c r="K2915" t="s">
        <v>47113</v>
      </c>
      <c r="L2915">
        <v>49.27</v>
      </c>
      <c r="M2915">
        <v>88</v>
      </c>
      <c r="N2915">
        <v>0</v>
      </c>
      <c r="O2915">
        <v>88</v>
      </c>
      <c r="P2915">
        <v>0</v>
      </c>
    </row>
    <row r="2916" spans="1:16" x14ac:dyDescent="0.25">
      <c r="A2916" t="s">
        <v>25354</v>
      </c>
      <c r="B2916" t="s">
        <v>4152</v>
      </c>
      <c r="C2916" t="s">
        <v>4153</v>
      </c>
      <c r="D2916" t="str">
        <f>"1106"</f>
        <v>1106</v>
      </c>
      <c r="E2916" t="s">
        <v>460</v>
      </c>
      <c r="F2916" t="s">
        <v>3546</v>
      </c>
      <c r="G2916" t="s">
        <v>46686</v>
      </c>
      <c r="H2916" t="s">
        <v>47126</v>
      </c>
      <c r="I2916" t="s">
        <v>47127</v>
      </c>
      <c r="J2916" t="s">
        <v>47128</v>
      </c>
      <c r="K2916" t="s">
        <v>47113</v>
      </c>
      <c r="L2916">
        <v>22.6</v>
      </c>
      <c r="M2916">
        <v>50</v>
      </c>
      <c r="N2916">
        <v>0</v>
      </c>
      <c r="O2916">
        <v>50</v>
      </c>
      <c r="P2916">
        <v>0</v>
      </c>
    </row>
    <row r="2917" spans="1:16" x14ac:dyDescent="0.25">
      <c r="A2917" t="s">
        <v>25355</v>
      </c>
      <c r="B2917" t="s">
        <v>4152</v>
      </c>
      <c r="C2917" t="s">
        <v>4153</v>
      </c>
      <c r="D2917" t="str">
        <f>"1369"</f>
        <v>1369</v>
      </c>
      <c r="E2917" t="s">
        <v>4154</v>
      </c>
      <c r="F2917" t="s">
        <v>3546</v>
      </c>
      <c r="G2917" t="s">
        <v>46686</v>
      </c>
      <c r="H2917" t="s">
        <v>47126</v>
      </c>
      <c r="I2917" t="s">
        <v>47127</v>
      </c>
      <c r="J2917" t="s">
        <v>47128</v>
      </c>
      <c r="K2917" t="s">
        <v>47113</v>
      </c>
      <c r="L2917">
        <v>22.6</v>
      </c>
      <c r="M2917">
        <v>50</v>
      </c>
      <c r="N2917">
        <v>0</v>
      </c>
      <c r="O2917">
        <v>50</v>
      </c>
      <c r="P2917">
        <v>0</v>
      </c>
    </row>
    <row r="2918" spans="1:16" x14ac:dyDescent="0.25">
      <c r="A2918" t="s">
        <v>25356</v>
      </c>
      <c r="B2918" t="s">
        <v>4152</v>
      </c>
      <c r="C2918" t="s">
        <v>4153</v>
      </c>
      <c r="D2918" t="str">
        <f>"1500"</f>
        <v>1500</v>
      </c>
      <c r="E2918" t="s">
        <v>4155</v>
      </c>
      <c r="F2918" t="s">
        <v>3546</v>
      </c>
      <c r="G2918" t="s">
        <v>46686</v>
      </c>
      <c r="H2918" t="s">
        <v>47126</v>
      </c>
      <c r="I2918" t="s">
        <v>47127</v>
      </c>
      <c r="J2918" t="s">
        <v>47128</v>
      </c>
      <c r="K2918" t="s">
        <v>47113</v>
      </c>
      <c r="L2918">
        <v>22.6</v>
      </c>
      <c r="M2918">
        <v>50</v>
      </c>
      <c r="N2918">
        <v>0</v>
      </c>
      <c r="O2918">
        <v>50</v>
      </c>
      <c r="P2918">
        <v>0</v>
      </c>
    </row>
    <row r="2919" spans="1:16" x14ac:dyDescent="0.25">
      <c r="A2919" t="s">
        <v>25357</v>
      </c>
      <c r="B2919" t="s">
        <v>4152</v>
      </c>
      <c r="C2919" t="s">
        <v>4153</v>
      </c>
      <c r="D2919" t="str">
        <f>"4921"</f>
        <v>4921</v>
      </c>
      <c r="E2919" t="s">
        <v>4156</v>
      </c>
      <c r="F2919" t="s">
        <v>3546</v>
      </c>
      <c r="G2919" t="s">
        <v>46686</v>
      </c>
      <c r="H2919" t="s">
        <v>47126</v>
      </c>
      <c r="I2919" t="s">
        <v>47127</v>
      </c>
      <c r="J2919" t="s">
        <v>47128</v>
      </c>
      <c r="K2919" t="s">
        <v>47113</v>
      </c>
      <c r="L2919">
        <v>22.6</v>
      </c>
      <c r="M2919">
        <v>50</v>
      </c>
      <c r="N2919">
        <v>0</v>
      </c>
      <c r="O2919">
        <v>50</v>
      </c>
      <c r="P2919">
        <v>0</v>
      </c>
    </row>
    <row r="2920" spans="1:16" x14ac:dyDescent="0.25">
      <c r="A2920" t="s">
        <v>25358</v>
      </c>
      <c r="B2920" t="s">
        <v>4152</v>
      </c>
      <c r="C2920" t="s">
        <v>4153</v>
      </c>
      <c r="D2920" t="str">
        <f>"6064"</f>
        <v>6064</v>
      </c>
      <c r="E2920" t="s">
        <v>87</v>
      </c>
      <c r="F2920" t="s">
        <v>3546</v>
      </c>
      <c r="G2920" t="s">
        <v>46686</v>
      </c>
      <c r="H2920" t="s">
        <v>47126</v>
      </c>
      <c r="I2920" t="s">
        <v>47127</v>
      </c>
      <c r="J2920" t="s">
        <v>47128</v>
      </c>
      <c r="K2920" t="s">
        <v>47113</v>
      </c>
      <c r="L2920">
        <v>22.6</v>
      </c>
      <c r="M2920">
        <v>50</v>
      </c>
      <c r="N2920">
        <v>0</v>
      </c>
      <c r="O2920">
        <v>50</v>
      </c>
      <c r="P2920">
        <v>0</v>
      </c>
    </row>
    <row r="2921" spans="1:16" x14ac:dyDescent="0.25">
      <c r="A2921" t="s">
        <v>25359</v>
      </c>
      <c r="B2921" t="s">
        <v>4157</v>
      </c>
      <c r="C2921" t="s">
        <v>4158</v>
      </c>
      <c r="D2921" t="str">
        <f>"1106"</f>
        <v>1106</v>
      </c>
      <c r="E2921" t="s">
        <v>460</v>
      </c>
      <c r="F2921" t="s">
        <v>3546</v>
      </c>
      <c r="G2921" t="s">
        <v>16222</v>
      </c>
      <c r="H2921" t="s">
        <v>47126</v>
      </c>
      <c r="I2921" t="s">
        <v>47127</v>
      </c>
      <c r="J2921" t="s">
        <v>47128</v>
      </c>
      <c r="K2921" t="s">
        <v>47113</v>
      </c>
      <c r="L2921">
        <v>22.12</v>
      </c>
      <c r="M2921">
        <v>50</v>
      </c>
      <c r="N2921">
        <v>0</v>
      </c>
      <c r="O2921">
        <v>50</v>
      </c>
      <c r="P2921">
        <v>0</v>
      </c>
    </row>
    <row r="2922" spans="1:16" x14ac:dyDescent="0.25">
      <c r="A2922" t="s">
        <v>25360</v>
      </c>
      <c r="B2922" t="s">
        <v>4157</v>
      </c>
      <c r="C2922" t="s">
        <v>4158</v>
      </c>
      <c r="D2922" t="str">
        <f>"1369"</f>
        <v>1369</v>
      </c>
      <c r="E2922" t="s">
        <v>4159</v>
      </c>
      <c r="F2922" t="s">
        <v>3546</v>
      </c>
      <c r="G2922" t="s">
        <v>16222</v>
      </c>
      <c r="H2922" t="s">
        <v>47126</v>
      </c>
      <c r="I2922" t="s">
        <v>47127</v>
      </c>
      <c r="J2922" t="s">
        <v>47128</v>
      </c>
      <c r="K2922" t="s">
        <v>47113</v>
      </c>
      <c r="L2922">
        <v>22.12</v>
      </c>
      <c r="M2922">
        <v>50</v>
      </c>
      <c r="N2922">
        <v>0</v>
      </c>
      <c r="O2922">
        <v>50</v>
      </c>
      <c r="P2922">
        <v>0</v>
      </c>
    </row>
    <row r="2923" spans="1:16" x14ac:dyDescent="0.25">
      <c r="A2923" t="s">
        <v>25361</v>
      </c>
      <c r="B2923" t="s">
        <v>4157</v>
      </c>
      <c r="C2923" t="s">
        <v>4158</v>
      </c>
      <c r="D2923" t="str">
        <f>"1500"</f>
        <v>1500</v>
      </c>
      <c r="E2923" t="s">
        <v>4160</v>
      </c>
      <c r="F2923" t="s">
        <v>3546</v>
      </c>
      <c r="G2923" t="s">
        <v>16222</v>
      </c>
      <c r="H2923" t="s">
        <v>47126</v>
      </c>
      <c r="I2923" t="s">
        <v>47127</v>
      </c>
      <c r="J2923" t="s">
        <v>47128</v>
      </c>
      <c r="K2923" t="s">
        <v>47113</v>
      </c>
      <c r="L2923">
        <v>22.12</v>
      </c>
      <c r="M2923">
        <v>50</v>
      </c>
      <c r="N2923">
        <v>0</v>
      </c>
      <c r="O2923">
        <v>50</v>
      </c>
      <c r="P2923">
        <v>0</v>
      </c>
    </row>
    <row r="2924" spans="1:16" x14ac:dyDescent="0.25">
      <c r="A2924" t="s">
        <v>25362</v>
      </c>
      <c r="B2924" t="s">
        <v>4157</v>
      </c>
      <c r="C2924" t="s">
        <v>4158</v>
      </c>
      <c r="D2924" t="str">
        <f>"4921"</f>
        <v>4921</v>
      </c>
      <c r="E2924" t="s">
        <v>4156</v>
      </c>
      <c r="F2924" t="s">
        <v>3546</v>
      </c>
      <c r="G2924" t="s">
        <v>16222</v>
      </c>
      <c r="H2924" t="s">
        <v>47126</v>
      </c>
      <c r="I2924" t="s">
        <v>47127</v>
      </c>
      <c r="J2924" t="s">
        <v>47128</v>
      </c>
      <c r="K2924" t="s">
        <v>47113</v>
      </c>
      <c r="L2924">
        <v>22.12</v>
      </c>
      <c r="M2924">
        <v>50</v>
      </c>
      <c r="N2924">
        <v>0</v>
      </c>
      <c r="O2924">
        <v>50</v>
      </c>
      <c r="P2924">
        <v>0</v>
      </c>
    </row>
    <row r="2925" spans="1:16" x14ac:dyDescent="0.25">
      <c r="A2925" t="s">
        <v>25363</v>
      </c>
      <c r="B2925" t="s">
        <v>4157</v>
      </c>
      <c r="C2925" t="s">
        <v>4158</v>
      </c>
      <c r="D2925" t="str">
        <f>"6064"</f>
        <v>6064</v>
      </c>
      <c r="E2925" t="s">
        <v>87</v>
      </c>
      <c r="F2925" t="s">
        <v>3546</v>
      </c>
      <c r="G2925" t="s">
        <v>16222</v>
      </c>
      <c r="H2925" t="s">
        <v>47126</v>
      </c>
      <c r="I2925" t="s">
        <v>47127</v>
      </c>
      <c r="J2925" t="s">
        <v>47128</v>
      </c>
      <c r="K2925" t="s">
        <v>47113</v>
      </c>
      <c r="L2925">
        <v>22.12</v>
      </c>
      <c r="M2925">
        <v>50</v>
      </c>
      <c r="N2925">
        <v>0</v>
      </c>
      <c r="O2925">
        <v>50</v>
      </c>
      <c r="P2925">
        <v>0</v>
      </c>
    </row>
    <row r="2926" spans="1:16" x14ac:dyDescent="0.25">
      <c r="A2926" t="s">
        <v>25364</v>
      </c>
      <c r="B2926" t="s">
        <v>4161</v>
      </c>
      <c r="C2926" t="s">
        <v>4162</v>
      </c>
      <c r="D2926" t="str">
        <f>"1106"</f>
        <v>1106</v>
      </c>
      <c r="E2926" t="s">
        <v>460</v>
      </c>
      <c r="F2926" t="s">
        <v>3546</v>
      </c>
      <c r="G2926" t="s">
        <v>46686</v>
      </c>
      <c r="H2926" t="s">
        <v>47126</v>
      </c>
      <c r="I2926" t="s">
        <v>47127</v>
      </c>
      <c r="J2926" t="s">
        <v>47128</v>
      </c>
      <c r="K2926" t="s">
        <v>47113</v>
      </c>
      <c r="L2926">
        <v>28.58</v>
      </c>
      <c r="M2926">
        <v>70</v>
      </c>
      <c r="N2926">
        <v>0</v>
      </c>
      <c r="O2926">
        <v>70</v>
      </c>
      <c r="P2926">
        <v>0</v>
      </c>
    </row>
    <row r="2927" spans="1:16" x14ac:dyDescent="0.25">
      <c r="A2927" t="s">
        <v>25365</v>
      </c>
      <c r="B2927" t="s">
        <v>4161</v>
      </c>
      <c r="C2927" t="s">
        <v>4162</v>
      </c>
      <c r="D2927" t="str">
        <f>"1369"</f>
        <v>1369</v>
      </c>
      <c r="E2927" t="s">
        <v>4163</v>
      </c>
      <c r="F2927" t="s">
        <v>3546</v>
      </c>
      <c r="G2927" t="s">
        <v>46686</v>
      </c>
      <c r="H2927" t="s">
        <v>47126</v>
      </c>
      <c r="I2927" t="s">
        <v>47127</v>
      </c>
      <c r="J2927" t="s">
        <v>47128</v>
      </c>
      <c r="K2927" t="s">
        <v>47113</v>
      </c>
      <c r="L2927">
        <v>28.58</v>
      </c>
      <c r="M2927">
        <v>70</v>
      </c>
      <c r="N2927">
        <v>0</v>
      </c>
      <c r="O2927">
        <v>70</v>
      </c>
      <c r="P2927">
        <v>0</v>
      </c>
    </row>
    <row r="2928" spans="1:16" x14ac:dyDescent="0.25">
      <c r="A2928" t="s">
        <v>25366</v>
      </c>
      <c r="B2928" t="s">
        <v>4161</v>
      </c>
      <c r="C2928" t="s">
        <v>4162</v>
      </c>
      <c r="D2928" t="str">
        <f>"1500"</f>
        <v>1500</v>
      </c>
      <c r="E2928" t="s">
        <v>4160</v>
      </c>
      <c r="F2928" t="s">
        <v>3546</v>
      </c>
      <c r="G2928" t="s">
        <v>46686</v>
      </c>
      <c r="H2928" t="s">
        <v>47126</v>
      </c>
      <c r="I2928" t="s">
        <v>47127</v>
      </c>
      <c r="J2928" t="s">
        <v>47128</v>
      </c>
      <c r="K2928" t="s">
        <v>47113</v>
      </c>
      <c r="L2928">
        <v>28.58</v>
      </c>
      <c r="M2928">
        <v>70</v>
      </c>
      <c r="N2928">
        <v>0</v>
      </c>
      <c r="O2928">
        <v>70</v>
      </c>
      <c r="P2928">
        <v>0</v>
      </c>
    </row>
    <row r="2929" spans="1:16" x14ac:dyDescent="0.25">
      <c r="A2929" t="s">
        <v>25367</v>
      </c>
      <c r="B2929" t="s">
        <v>4161</v>
      </c>
      <c r="C2929" t="s">
        <v>4162</v>
      </c>
      <c r="D2929" t="str">
        <f>"4921"</f>
        <v>4921</v>
      </c>
      <c r="E2929" t="s">
        <v>4156</v>
      </c>
      <c r="F2929" t="s">
        <v>3546</v>
      </c>
      <c r="G2929" t="s">
        <v>46686</v>
      </c>
      <c r="H2929" t="s">
        <v>47126</v>
      </c>
      <c r="I2929" t="s">
        <v>47127</v>
      </c>
      <c r="J2929" t="s">
        <v>47128</v>
      </c>
      <c r="K2929" t="s">
        <v>47113</v>
      </c>
      <c r="L2929">
        <v>28.58</v>
      </c>
      <c r="M2929">
        <v>70</v>
      </c>
      <c r="N2929">
        <v>0</v>
      </c>
      <c r="O2929">
        <v>70</v>
      </c>
      <c r="P2929">
        <v>0</v>
      </c>
    </row>
    <row r="2930" spans="1:16" x14ac:dyDescent="0.25">
      <c r="A2930" t="s">
        <v>25368</v>
      </c>
      <c r="B2930" t="s">
        <v>4161</v>
      </c>
      <c r="C2930" t="s">
        <v>4162</v>
      </c>
      <c r="D2930" t="str">
        <f>"6064"</f>
        <v>6064</v>
      </c>
      <c r="E2930" t="s">
        <v>87</v>
      </c>
      <c r="F2930" t="s">
        <v>3546</v>
      </c>
      <c r="G2930" t="s">
        <v>46686</v>
      </c>
      <c r="H2930" t="s">
        <v>47126</v>
      </c>
      <c r="I2930" t="s">
        <v>47127</v>
      </c>
      <c r="J2930" t="s">
        <v>47128</v>
      </c>
      <c r="K2930" t="s">
        <v>47113</v>
      </c>
      <c r="L2930">
        <v>28.58</v>
      </c>
      <c r="M2930">
        <v>70</v>
      </c>
      <c r="N2930">
        <v>0</v>
      </c>
      <c r="O2930">
        <v>70</v>
      </c>
      <c r="P2930">
        <v>0</v>
      </c>
    </row>
    <row r="2931" spans="1:16" x14ac:dyDescent="0.25">
      <c r="A2931" t="s">
        <v>14908</v>
      </c>
      <c r="B2931" t="s">
        <v>4164</v>
      </c>
      <c r="C2931" t="s">
        <v>4165</v>
      </c>
      <c r="D2931" t="str">
        <f>"1106"</f>
        <v>1106</v>
      </c>
      <c r="E2931" t="s">
        <v>460</v>
      </c>
      <c r="F2931" t="s">
        <v>3546</v>
      </c>
      <c r="G2931" t="s">
        <v>46686</v>
      </c>
      <c r="H2931" t="s">
        <v>47126</v>
      </c>
      <c r="I2931" t="s">
        <v>47127</v>
      </c>
      <c r="J2931" t="s">
        <v>47128</v>
      </c>
      <c r="K2931" t="s">
        <v>47113</v>
      </c>
      <c r="L2931">
        <v>26.91</v>
      </c>
      <c r="M2931">
        <v>59</v>
      </c>
      <c r="N2931">
        <v>0</v>
      </c>
      <c r="O2931">
        <v>59</v>
      </c>
      <c r="P2931">
        <v>0</v>
      </c>
    </row>
    <row r="2932" spans="1:16" x14ac:dyDescent="0.25">
      <c r="A2932" t="s">
        <v>25369</v>
      </c>
      <c r="B2932" t="s">
        <v>4164</v>
      </c>
      <c r="C2932" t="s">
        <v>4165</v>
      </c>
      <c r="D2932" t="str">
        <f>"1369"</f>
        <v>1369</v>
      </c>
      <c r="E2932" t="s">
        <v>4159</v>
      </c>
      <c r="F2932" t="s">
        <v>3546</v>
      </c>
      <c r="G2932" t="s">
        <v>46686</v>
      </c>
      <c r="H2932" t="s">
        <v>47126</v>
      </c>
      <c r="I2932" t="s">
        <v>47127</v>
      </c>
      <c r="J2932" t="s">
        <v>47128</v>
      </c>
      <c r="K2932" t="s">
        <v>47113</v>
      </c>
      <c r="L2932">
        <v>26.91</v>
      </c>
      <c r="M2932">
        <v>59</v>
      </c>
      <c r="N2932">
        <v>0</v>
      </c>
      <c r="O2932">
        <v>59</v>
      </c>
      <c r="P2932">
        <v>0</v>
      </c>
    </row>
    <row r="2933" spans="1:16" x14ac:dyDescent="0.25">
      <c r="A2933" t="s">
        <v>25370</v>
      </c>
      <c r="B2933" t="s">
        <v>4164</v>
      </c>
      <c r="C2933" t="s">
        <v>4165</v>
      </c>
      <c r="D2933" t="str">
        <f>"1500"</f>
        <v>1500</v>
      </c>
      <c r="E2933" t="s">
        <v>4160</v>
      </c>
      <c r="F2933" t="s">
        <v>3546</v>
      </c>
      <c r="G2933" t="s">
        <v>46686</v>
      </c>
      <c r="H2933" t="s">
        <v>47126</v>
      </c>
      <c r="I2933" t="s">
        <v>47127</v>
      </c>
      <c r="J2933" t="s">
        <v>47128</v>
      </c>
      <c r="K2933" t="s">
        <v>47113</v>
      </c>
      <c r="L2933">
        <v>26.91</v>
      </c>
      <c r="M2933">
        <v>59</v>
      </c>
      <c r="N2933">
        <v>0</v>
      </c>
      <c r="O2933">
        <v>59</v>
      </c>
      <c r="P2933">
        <v>0</v>
      </c>
    </row>
    <row r="2934" spans="1:16" x14ac:dyDescent="0.25">
      <c r="A2934" t="s">
        <v>25371</v>
      </c>
      <c r="B2934" t="s">
        <v>4164</v>
      </c>
      <c r="C2934" t="s">
        <v>4165</v>
      </c>
      <c r="D2934" t="str">
        <f>"4921"</f>
        <v>4921</v>
      </c>
      <c r="E2934" t="s">
        <v>4156</v>
      </c>
      <c r="F2934" t="s">
        <v>3546</v>
      </c>
      <c r="G2934" t="s">
        <v>46686</v>
      </c>
      <c r="H2934" t="s">
        <v>47126</v>
      </c>
      <c r="I2934" t="s">
        <v>47127</v>
      </c>
      <c r="J2934" t="s">
        <v>47128</v>
      </c>
      <c r="K2934" t="s">
        <v>47113</v>
      </c>
      <c r="L2934">
        <v>26.91</v>
      </c>
      <c r="M2934">
        <v>59</v>
      </c>
      <c r="N2934">
        <v>0</v>
      </c>
      <c r="O2934">
        <v>59</v>
      </c>
      <c r="P2934">
        <v>0</v>
      </c>
    </row>
    <row r="2935" spans="1:16" x14ac:dyDescent="0.25">
      <c r="A2935" t="s">
        <v>25372</v>
      </c>
      <c r="B2935" t="s">
        <v>4164</v>
      </c>
      <c r="C2935" t="s">
        <v>4165</v>
      </c>
      <c r="D2935" t="str">
        <f>"6064"</f>
        <v>6064</v>
      </c>
      <c r="E2935" t="s">
        <v>87</v>
      </c>
      <c r="F2935" t="s">
        <v>3546</v>
      </c>
      <c r="G2935" t="s">
        <v>46686</v>
      </c>
      <c r="H2935" t="s">
        <v>47126</v>
      </c>
      <c r="I2935" t="s">
        <v>47127</v>
      </c>
      <c r="J2935" t="s">
        <v>47128</v>
      </c>
      <c r="K2935" t="s">
        <v>47113</v>
      </c>
      <c r="L2935">
        <v>26.91</v>
      </c>
      <c r="M2935">
        <v>59</v>
      </c>
      <c r="N2935">
        <v>0</v>
      </c>
      <c r="O2935">
        <v>59</v>
      </c>
      <c r="P2935">
        <v>0</v>
      </c>
    </row>
    <row r="2936" spans="1:16" x14ac:dyDescent="0.25">
      <c r="A2936" t="s">
        <v>25373</v>
      </c>
      <c r="B2936" t="s">
        <v>4166</v>
      </c>
      <c r="C2936" t="s">
        <v>4167</v>
      </c>
      <c r="D2936" t="str">
        <f>"1106"</f>
        <v>1106</v>
      </c>
      <c r="E2936" t="s">
        <v>460</v>
      </c>
      <c r="F2936" t="s">
        <v>3546</v>
      </c>
      <c r="G2936" t="s">
        <v>16222</v>
      </c>
      <c r="H2936" t="s">
        <v>47126</v>
      </c>
      <c r="I2936" t="s">
        <v>47127</v>
      </c>
      <c r="J2936" t="s">
        <v>47128</v>
      </c>
      <c r="K2936" t="s">
        <v>47113</v>
      </c>
      <c r="L2936">
        <v>29.3</v>
      </c>
      <c r="M2936">
        <v>62</v>
      </c>
      <c r="N2936">
        <v>0</v>
      </c>
      <c r="O2936">
        <v>62</v>
      </c>
      <c r="P2936">
        <v>0</v>
      </c>
    </row>
    <row r="2937" spans="1:16" x14ac:dyDescent="0.25">
      <c r="A2937" t="s">
        <v>25374</v>
      </c>
      <c r="B2937" t="s">
        <v>4166</v>
      </c>
      <c r="C2937" t="s">
        <v>4167</v>
      </c>
      <c r="D2937" t="str">
        <f>"1369"</f>
        <v>1369</v>
      </c>
      <c r="E2937" t="s">
        <v>4163</v>
      </c>
      <c r="F2937" t="s">
        <v>3546</v>
      </c>
      <c r="G2937" t="s">
        <v>16222</v>
      </c>
      <c r="H2937" t="s">
        <v>47126</v>
      </c>
      <c r="I2937" t="s">
        <v>47127</v>
      </c>
      <c r="J2937" t="s">
        <v>47128</v>
      </c>
      <c r="K2937" t="s">
        <v>47113</v>
      </c>
      <c r="L2937">
        <v>29.3</v>
      </c>
      <c r="M2937">
        <v>62</v>
      </c>
      <c r="N2937">
        <v>0</v>
      </c>
      <c r="O2937">
        <v>62</v>
      </c>
      <c r="P2937">
        <v>0</v>
      </c>
    </row>
    <row r="2938" spans="1:16" x14ac:dyDescent="0.25">
      <c r="A2938" t="s">
        <v>25375</v>
      </c>
      <c r="B2938" t="s">
        <v>4166</v>
      </c>
      <c r="C2938" t="s">
        <v>4167</v>
      </c>
      <c r="D2938" t="str">
        <f>"1500"</f>
        <v>1500</v>
      </c>
      <c r="E2938" t="s">
        <v>4155</v>
      </c>
      <c r="F2938" t="s">
        <v>3546</v>
      </c>
      <c r="G2938" t="s">
        <v>16222</v>
      </c>
      <c r="H2938" t="s">
        <v>47126</v>
      </c>
      <c r="I2938" t="s">
        <v>47127</v>
      </c>
      <c r="J2938" t="s">
        <v>47128</v>
      </c>
      <c r="K2938" t="s">
        <v>47113</v>
      </c>
      <c r="L2938">
        <v>29.3</v>
      </c>
      <c r="M2938">
        <v>62</v>
      </c>
      <c r="N2938">
        <v>0</v>
      </c>
      <c r="O2938">
        <v>62</v>
      </c>
      <c r="P2938">
        <v>0</v>
      </c>
    </row>
    <row r="2939" spans="1:16" x14ac:dyDescent="0.25">
      <c r="A2939" t="s">
        <v>25376</v>
      </c>
      <c r="B2939" t="s">
        <v>4166</v>
      </c>
      <c r="C2939" t="s">
        <v>4167</v>
      </c>
      <c r="D2939" t="str">
        <f>"4921"</f>
        <v>4921</v>
      </c>
      <c r="E2939" t="s">
        <v>4156</v>
      </c>
      <c r="F2939" t="s">
        <v>3546</v>
      </c>
      <c r="G2939" t="s">
        <v>16222</v>
      </c>
      <c r="H2939" t="s">
        <v>47126</v>
      </c>
      <c r="I2939" t="s">
        <v>47127</v>
      </c>
      <c r="J2939" t="s">
        <v>47128</v>
      </c>
      <c r="K2939" t="s">
        <v>47113</v>
      </c>
      <c r="L2939">
        <v>29.3</v>
      </c>
      <c r="M2939">
        <v>62</v>
      </c>
      <c r="N2939">
        <v>0</v>
      </c>
      <c r="O2939">
        <v>62</v>
      </c>
      <c r="P2939">
        <v>0</v>
      </c>
    </row>
    <row r="2940" spans="1:16" x14ac:dyDescent="0.25">
      <c r="A2940" t="s">
        <v>25377</v>
      </c>
      <c r="B2940" t="s">
        <v>4166</v>
      </c>
      <c r="C2940" t="s">
        <v>4167</v>
      </c>
      <c r="D2940" t="str">
        <f>"6064"</f>
        <v>6064</v>
      </c>
      <c r="E2940" t="s">
        <v>87</v>
      </c>
      <c r="F2940" t="s">
        <v>3546</v>
      </c>
      <c r="G2940" t="s">
        <v>16222</v>
      </c>
      <c r="H2940" t="s">
        <v>47126</v>
      </c>
      <c r="I2940" t="s">
        <v>47127</v>
      </c>
      <c r="J2940" t="s">
        <v>47128</v>
      </c>
      <c r="K2940" t="s">
        <v>47113</v>
      </c>
      <c r="L2940">
        <v>29.3</v>
      </c>
      <c r="M2940">
        <v>62</v>
      </c>
      <c r="N2940">
        <v>0</v>
      </c>
      <c r="O2940">
        <v>62</v>
      </c>
      <c r="P2940">
        <v>0</v>
      </c>
    </row>
    <row r="2941" spans="1:16" x14ac:dyDescent="0.25">
      <c r="A2941" t="s">
        <v>25378</v>
      </c>
      <c r="B2941" t="s">
        <v>4168</v>
      </c>
      <c r="C2941" t="s">
        <v>4169</v>
      </c>
      <c r="D2941" t="str">
        <f>"4143"</f>
        <v>4143</v>
      </c>
      <c r="E2941" t="s">
        <v>261</v>
      </c>
      <c r="F2941" t="s">
        <v>3546</v>
      </c>
      <c r="G2941" t="s">
        <v>46686</v>
      </c>
      <c r="H2941" t="s">
        <v>47126</v>
      </c>
      <c r="I2941" t="s">
        <v>47127</v>
      </c>
      <c r="J2941" t="s">
        <v>47128</v>
      </c>
      <c r="K2941" t="s">
        <v>47113</v>
      </c>
      <c r="L2941">
        <v>22.12</v>
      </c>
      <c r="M2941">
        <v>50</v>
      </c>
      <c r="N2941">
        <v>0</v>
      </c>
      <c r="O2941">
        <v>50</v>
      </c>
      <c r="P2941">
        <v>0</v>
      </c>
    </row>
    <row r="2942" spans="1:16" x14ac:dyDescent="0.25">
      <c r="A2942" t="s">
        <v>25379</v>
      </c>
      <c r="B2942" t="s">
        <v>4170</v>
      </c>
      <c r="C2942" t="s">
        <v>4171</v>
      </c>
      <c r="D2942" t="str">
        <f>"4143"</f>
        <v>4143</v>
      </c>
      <c r="E2942" t="s">
        <v>261</v>
      </c>
      <c r="F2942" t="s">
        <v>3546</v>
      </c>
      <c r="G2942" t="s">
        <v>16222</v>
      </c>
      <c r="H2942" t="s">
        <v>47126</v>
      </c>
      <c r="I2942" t="s">
        <v>47127</v>
      </c>
      <c r="J2942" t="s">
        <v>47128</v>
      </c>
      <c r="K2942" t="s">
        <v>47113</v>
      </c>
      <c r="L2942">
        <v>24.99</v>
      </c>
      <c r="M2942">
        <v>61</v>
      </c>
      <c r="N2942">
        <v>0</v>
      </c>
      <c r="O2942">
        <v>61</v>
      </c>
      <c r="P2942">
        <v>0</v>
      </c>
    </row>
    <row r="2943" spans="1:16" x14ac:dyDescent="0.25">
      <c r="A2943" t="s">
        <v>25380</v>
      </c>
      <c r="B2943" t="s">
        <v>4172</v>
      </c>
      <c r="C2943" t="s">
        <v>4173</v>
      </c>
      <c r="D2943" t="str">
        <f>"1106"</f>
        <v>1106</v>
      </c>
      <c r="E2943" t="s">
        <v>460</v>
      </c>
      <c r="F2943" t="s">
        <v>3546</v>
      </c>
      <c r="G2943" t="s">
        <v>46686</v>
      </c>
      <c r="H2943" t="s">
        <v>47126</v>
      </c>
      <c r="I2943" t="s">
        <v>47127</v>
      </c>
      <c r="J2943" t="s">
        <v>47128</v>
      </c>
      <c r="K2943" t="s">
        <v>47113</v>
      </c>
      <c r="L2943">
        <v>35.28</v>
      </c>
      <c r="M2943">
        <v>89</v>
      </c>
      <c r="N2943">
        <v>0</v>
      </c>
      <c r="O2943">
        <v>89</v>
      </c>
      <c r="P2943">
        <v>0</v>
      </c>
    </row>
    <row r="2944" spans="1:16" x14ac:dyDescent="0.25">
      <c r="A2944" t="s">
        <v>25381</v>
      </c>
      <c r="B2944" t="s">
        <v>4172</v>
      </c>
      <c r="C2944" t="s">
        <v>4173</v>
      </c>
      <c r="D2944" t="str">
        <f>"1378"</f>
        <v>1378</v>
      </c>
      <c r="E2944" t="s">
        <v>388</v>
      </c>
      <c r="F2944" t="s">
        <v>3546</v>
      </c>
      <c r="G2944" t="s">
        <v>46686</v>
      </c>
      <c r="H2944" t="s">
        <v>47126</v>
      </c>
      <c r="I2944" t="s">
        <v>47127</v>
      </c>
      <c r="J2944" t="s">
        <v>47128</v>
      </c>
      <c r="K2944" t="s">
        <v>47113</v>
      </c>
      <c r="L2944">
        <v>35.28</v>
      </c>
      <c r="M2944">
        <v>73</v>
      </c>
      <c r="N2944">
        <v>0</v>
      </c>
      <c r="O2944">
        <v>73</v>
      </c>
      <c r="P2944">
        <v>0</v>
      </c>
    </row>
    <row r="2945" spans="1:16" x14ac:dyDescent="0.25">
      <c r="A2945" t="s">
        <v>25382</v>
      </c>
      <c r="B2945" t="s">
        <v>4172</v>
      </c>
      <c r="C2945" t="s">
        <v>4173</v>
      </c>
      <c r="D2945" t="str">
        <f>"1403"</f>
        <v>1403</v>
      </c>
      <c r="E2945" t="s">
        <v>224</v>
      </c>
      <c r="F2945" t="s">
        <v>3546</v>
      </c>
      <c r="G2945" t="s">
        <v>46686</v>
      </c>
      <c r="H2945" t="s">
        <v>47126</v>
      </c>
      <c r="I2945" t="s">
        <v>47127</v>
      </c>
      <c r="J2945" t="s">
        <v>47128</v>
      </c>
      <c r="K2945" t="s">
        <v>47113</v>
      </c>
      <c r="L2945">
        <v>35.28</v>
      </c>
      <c r="M2945">
        <v>73</v>
      </c>
      <c r="N2945">
        <v>0</v>
      </c>
      <c r="O2945">
        <v>73</v>
      </c>
      <c r="P2945">
        <v>0</v>
      </c>
    </row>
    <row r="2946" spans="1:16" x14ac:dyDescent="0.25">
      <c r="A2946" t="s">
        <v>25383</v>
      </c>
      <c r="B2946" t="s">
        <v>4172</v>
      </c>
      <c r="C2946" t="s">
        <v>4173</v>
      </c>
      <c r="D2946" t="str">
        <f>"3544"</f>
        <v>3544</v>
      </c>
      <c r="E2946" t="s">
        <v>4174</v>
      </c>
      <c r="F2946" t="s">
        <v>3546</v>
      </c>
      <c r="G2946" t="s">
        <v>46686</v>
      </c>
      <c r="H2946" t="s">
        <v>47126</v>
      </c>
      <c r="I2946" t="s">
        <v>47127</v>
      </c>
      <c r="J2946" t="s">
        <v>47128</v>
      </c>
      <c r="K2946" t="s">
        <v>47113</v>
      </c>
      <c r="L2946">
        <v>35.28</v>
      </c>
      <c r="M2946">
        <v>73</v>
      </c>
      <c r="N2946">
        <v>0</v>
      </c>
      <c r="O2946">
        <v>73</v>
      </c>
      <c r="P2946">
        <v>0</v>
      </c>
    </row>
    <row r="2947" spans="1:16" x14ac:dyDescent="0.25">
      <c r="A2947" t="s">
        <v>25384</v>
      </c>
      <c r="B2947" t="s">
        <v>4172</v>
      </c>
      <c r="C2947" t="s">
        <v>4173</v>
      </c>
      <c r="D2947" t="str">
        <f>"4921"</f>
        <v>4921</v>
      </c>
      <c r="E2947" t="s">
        <v>4156</v>
      </c>
      <c r="F2947" t="s">
        <v>3546</v>
      </c>
      <c r="G2947" t="s">
        <v>46686</v>
      </c>
      <c r="H2947" t="s">
        <v>47126</v>
      </c>
      <c r="I2947" t="s">
        <v>47127</v>
      </c>
      <c r="J2947" t="s">
        <v>47128</v>
      </c>
      <c r="K2947" t="s">
        <v>47113</v>
      </c>
      <c r="L2947">
        <v>35.28</v>
      </c>
      <c r="M2947">
        <v>73</v>
      </c>
      <c r="N2947">
        <v>0</v>
      </c>
      <c r="O2947">
        <v>73</v>
      </c>
      <c r="P2947">
        <v>0</v>
      </c>
    </row>
    <row r="2948" spans="1:16" x14ac:dyDescent="0.25">
      <c r="A2948" t="s">
        <v>25385</v>
      </c>
      <c r="B2948" t="s">
        <v>4172</v>
      </c>
      <c r="C2948" t="s">
        <v>4173</v>
      </c>
      <c r="D2948" t="str">
        <f>"4922"</f>
        <v>4922</v>
      </c>
      <c r="E2948" t="s">
        <v>4175</v>
      </c>
      <c r="F2948" t="s">
        <v>3546</v>
      </c>
      <c r="G2948" t="s">
        <v>46686</v>
      </c>
      <c r="H2948" t="s">
        <v>47126</v>
      </c>
      <c r="I2948" t="s">
        <v>47127</v>
      </c>
      <c r="J2948" t="s">
        <v>47128</v>
      </c>
      <c r="K2948" t="s">
        <v>47113</v>
      </c>
      <c r="L2948">
        <v>35.28</v>
      </c>
      <c r="M2948">
        <v>73</v>
      </c>
      <c r="N2948">
        <v>0</v>
      </c>
      <c r="O2948">
        <v>73</v>
      </c>
      <c r="P2948">
        <v>0</v>
      </c>
    </row>
    <row r="2949" spans="1:16" x14ac:dyDescent="0.25">
      <c r="A2949" t="s">
        <v>25386</v>
      </c>
      <c r="B2949" t="s">
        <v>4172</v>
      </c>
      <c r="C2949" t="s">
        <v>4173</v>
      </c>
      <c r="D2949" t="str">
        <f>"6064"</f>
        <v>6064</v>
      </c>
      <c r="E2949" t="s">
        <v>87</v>
      </c>
      <c r="F2949" t="s">
        <v>3546</v>
      </c>
      <c r="G2949" t="s">
        <v>46686</v>
      </c>
      <c r="H2949" t="s">
        <v>47126</v>
      </c>
      <c r="I2949" t="s">
        <v>47127</v>
      </c>
      <c r="J2949" t="s">
        <v>47128</v>
      </c>
      <c r="K2949" t="s">
        <v>47113</v>
      </c>
      <c r="L2949">
        <v>35.28</v>
      </c>
      <c r="M2949">
        <v>73</v>
      </c>
      <c r="N2949">
        <v>0</v>
      </c>
      <c r="O2949">
        <v>73</v>
      </c>
      <c r="P2949">
        <v>0</v>
      </c>
    </row>
    <row r="2950" spans="1:16" x14ac:dyDescent="0.25">
      <c r="A2950" t="s">
        <v>25387</v>
      </c>
      <c r="B2950" t="s">
        <v>4176</v>
      </c>
      <c r="C2950" t="s">
        <v>4177</v>
      </c>
      <c r="D2950" t="str">
        <f>"1106"</f>
        <v>1106</v>
      </c>
      <c r="E2950" t="s">
        <v>460</v>
      </c>
      <c r="F2950" t="s">
        <v>3546</v>
      </c>
      <c r="G2950" t="s">
        <v>46686</v>
      </c>
      <c r="H2950" t="s">
        <v>47126</v>
      </c>
      <c r="I2950" t="s">
        <v>47127</v>
      </c>
      <c r="J2950" t="s">
        <v>47128</v>
      </c>
      <c r="K2950" t="s">
        <v>47113</v>
      </c>
      <c r="L2950">
        <v>30.13</v>
      </c>
      <c r="M2950">
        <v>74</v>
      </c>
      <c r="N2950">
        <v>0</v>
      </c>
      <c r="O2950">
        <v>74</v>
      </c>
      <c r="P2950">
        <v>0</v>
      </c>
    </row>
    <row r="2951" spans="1:16" x14ac:dyDescent="0.25">
      <c r="A2951" t="s">
        <v>25388</v>
      </c>
      <c r="B2951" t="s">
        <v>4176</v>
      </c>
      <c r="C2951" t="s">
        <v>4177</v>
      </c>
      <c r="D2951" t="str">
        <f>"1378"</f>
        <v>1378</v>
      </c>
      <c r="E2951" t="s">
        <v>388</v>
      </c>
      <c r="F2951" t="s">
        <v>3546</v>
      </c>
      <c r="G2951" t="s">
        <v>46686</v>
      </c>
      <c r="H2951" t="s">
        <v>47126</v>
      </c>
      <c r="I2951" t="s">
        <v>47127</v>
      </c>
      <c r="J2951" t="s">
        <v>47128</v>
      </c>
      <c r="K2951" t="s">
        <v>47113</v>
      </c>
      <c r="L2951">
        <v>30.13</v>
      </c>
      <c r="M2951">
        <v>74</v>
      </c>
      <c r="N2951">
        <v>0</v>
      </c>
      <c r="O2951">
        <v>74</v>
      </c>
      <c r="P2951">
        <v>0</v>
      </c>
    </row>
    <row r="2952" spans="1:16" x14ac:dyDescent="0.25">
      <c r="A2952" t="s">
        <v>25389</v>
      </c>
      <c r="B2952" t="s">
        <v>4176</v>
      </c>
      <c r="C2952" t="s">
        <v>4177</v>
      </c>
      <c r="D2952" t="str">
        <f>"1403"</f>
        <v>1403</v>
      </c>
      <c r="E2952" t="s">
        <v>224</v>
      </c>
      <c r="F2952" t="s">
        <v>3546</v>
      </c>
      <c r="G2952" t="s">
        <v>46686</v>
      </c>
      <c r="H2952" t="s">
        <v>47126</v>
      </c>
      <c r="I2952" t="s">
        <v>47127</v>
      </c>
      <c r="J2952" t="s">
        <v>47128</v>
      </c>
      <c r="K2952" t="s">
        <v>47113</v>
      </c>
      <c r="L2952">
        <v>30.13</v>
      </c>
      <c r="M2952">
        <v>74</v>
      </c>
      <c r="N2952">
        <v>0</v>
      </c>
      <c r="O2952">
        <v>74</v>
      </c>
      <c r="P2952">
        <v>0</v>
      </c>
    </row>
    <row r="2953" spans="1:16" x14ac:dyDescent="0.25">
      <c r="A2953" t="s">
        <v>25390</v>
      </c>
      <c r="B2953" t="s">
        <v>4176</v>
      </c>
      <c r="C2953" t="s">
        <v>4177</v>
      </c>
      <c r="D2953" t="str">
        <f>"3544"</f>
        <v>3544</v>
      </c>
      <c r="E2953" t="s">
        <v>4174</v>
      </c>
      <c r="F2953" t="s">
        <v>3546</v>
      </c>
      <c r="G2953" t="s">
        <v>46686</v>
      </c>
      <c r="H2953" t="s">
        <v>47126</v>
      </c>
      <c r="I2953" t="s">
        <v>47127</v>
      </c>
      <c r="J2953" t="s">
        <v>47128</v>
      </c>
      <c r="K2953" t="s">
        <v>47113</v>
      </c>
      <c r="L2953">
        <v>30.13</v>
      </c>
      <c r="M2953">
        <v>74</v>
      </c>
      <c r="N2953">
        <v>0</v>
      </c>
      <c r="O2953">
        <v>74</v>
      </c>
      <c r="P2953">
        <v>0</v>
      </c>
    </row>
    <row r="2954" spans="1:16" x14ac:dyDescent="0.25">
      <c r="A2954" t="s">
        <v>25391</v>
      </c>
      <c r="B2954" t="s">
        <v>4176</v>
      </c>
      <c r="C2954" t="s">
        <v>4177</v>
      </c>
      <c r="D2954" t="str">
        <f>"4921"</f>
        <v>4921</v>
      </c>
      <c r="E2954" t="s">
        <v>4156</v>
      </c>
      <c r="F2954" t="s">
        <v>3546</v>
      </c>
      <c r="G2954" t="s">
        <v>46686</v>
      </c>
      <c r="H2954" t="s">
        <v>47126</v>
      </c>
      <c r="I2954" t="s">
        <v>47127</v>
      </c>
      <c r="J2954" t="s">
        <v>47128</v>
      </c>
      <c r="K2954" t="s">
        <v>47113</v>
      </c>
      <c r="L2954">
        <v>30.13</v>
      </c>
      <c r="M2954">
        <v>74</v>
      </c>
      <c r="N2954">
        <v>0</v>
      </c>
      <c r="O2954">
        <v>74</v>
      </c>
      <c r="P2954">
        <v>0</v>
      </c>
    </row>
    <row r="2955" spans="1:16" x14ac:dyDescent="0.25">
      <c r="A2955" t="s">
        <v>25392</v>
      </c>
      <c r="B2955" t="s">
        <v>4176</v>
      </c>
      <c r="C2955" t="s">
        <v>4177</v>
      </c>
      <c r="D2955" t="str">
        <f>"4922"</f>
        <v>4922</v>
      </c>
      <c r="E2955" t="s">
        <v>4175</v>
      </c>
      <c r="F2955" t="s">
        <v>3546</v>
      </c>
      <c r="G2955" t="s">
        <v>46686</v>
      </c>
      <c r="H2955" t="s">
        <v>47126</v>
      </c>
      <c r="I2955" t="s">
        <v>47127</v>
      </c>
      <c r="J2955" t="s">
        <v>47128</v>
      </c>
      <c r="K2955" t="s">
        <v>47113</v>
      </c>
      <c r="L2955">
        <v>30.13</v>
      </c>
      <c r="M2955">
        <v>74</v>
      </c>
      <c r="N2955">
        <v>0</v>
      </c>
      <c r="O2955">
        <v>74</v>
      </c>
      <c r="P2955">
        <v>0</v>
      </c>
    </row>
    <row r="2956" spans="1:16" x14ac:dyDescent="0.25">
      <c r="A2956" t="s">
        <v>25393</v>
      </c>
      <c r="B2956" t="s">
        <v>4176</v>
      </c>
      <c r="C2956" t="s">
        <v>4177</v>
      </c>
      <c r="D2956" t="str">
        <f>"6064"</f>
        <v>6064</v>
      </c>
      <c r="E2956" t="s">
        <v>87</v>
      </c>
      <c r="F2956" t="s">
        <v>3546</v>
      </c>
      <c r="G2956" t="s">
        <v>46686</v>
      </c>
      <c r="H2956" t="s">
        <v>47126</v>
      </c>
      <c r="I2956" t="s">
        <v>47127</v>
      </c>
      <c r="J2956" t="s">
        <v>47128</v>
      </c>
      <c r="K2956" t="s">
        <v>47113</v>
      </c>
      <c r="L2956">
        <v>30.13</v>
      </c>
      <c r="M2956">
        <v>74</v>
      </c>
      <c r="N2956">
        <v>0</v>
      </c>
      <c r="O2956">
        <v>74</v>
      </c>
      <c r="P2956">
        <v>0</v>
      </c>
    </row>
    <row r="2957" spans="1:16" x14ac:dyDescent="0.25">
      <c r="A2957" t="s">
        <v>25394</v>
      </c>
      <c r="B2957" t="s">
        <v>4178</v>
      </c>
      <c r="C2957" t="s">
        <v>4179</v>
      </c>
      <c r="D2957" t="str">
        <f>"1106"</f>
        <v>1106</v>
      </c>
      <c r="E2957" t="s">
        <v>460</v>
      </c>
      <c r="F2957" t="s">
        <v>3546</v>
      </c>
      <c r="G2957" t="s">
        <v>46686</v>
      </c>
      <c r="H2957" t="s">
        <v>47126</v>
      </c>
      <c r="I2957" t="s">
        <v>47127</v>
      </c>
      <c r="J2957" t="s">
        <v>47128</v>
      </c>
      <c r="K2957" t="s">
        <v>47113</v>
      </c>
      <c r="L2957">
        <v>30.13</v>
      </c>
      <c r="M2957">
        <v>62</v>
      </c>
      <c r="N2957">
        <v>0</v>
      </c>
      <c r="O2957">
        <v>62</v>
      </c>
      <c r="P2957">
        <v>0</v>
      </c>
    </row>
    <row r="2958" spans="1:16" x14ac:dyDescent="0.25">
      <c r="A2958" t="s">
        <v>25395</v>
      </c>
      <c r="B2958" t="s">
        <v>4178</v>
      </c>
      <c r="C2958" t="s">
        <v>4179</v>
      </c>
      <c r="D2958" t="str">
        <f>"1378"</f>
        <v>1378</v>
      </c>
      <c r="E2958" t="s">
        <v>388</v>
      </c>
      <c r="F2958" t="s">
        <v>3546</v>
      </c>
      <c r="G2958" t="s">
        <v>46686</v>
      </c>
      <c r="H2958" t="s">
        <v>47126</v>
      </c>
      <c r="I2958" t="s">
        <v>47127</v>
      </c>
      <c r="J2958" t="s">
        <v>47128</v>
      </c>
      <c r="K2958" t="s">
        <v>47113</v>
      </c>
      <c r="L2958">
        <v>30.13</v>
      </c>
      <c r="M2958">
        <v>62</v>
      </c>
      <c r="N2958">
        <v>0</v>
      </c>
      <c r="O2958">
        <v>62</v>
      </c>
      <c r="P2958">
        <v>0</v>
      </c>
    </row>
    <row r="2959" spans="1:16" x14ac:dyDescent="0.25">
      <c r="A2959" t="s">
        <v>25396</v>
      </c>
      <c r="B2959" t="s">
        <v>4178</v>
      </c>
      <c r="C2959" t="s">
        <v>4179</v>
      </c>
      <c r="D2959" t="str">
        <f>"3544"</f>
        <v>3544</v>
      </c>
      <c r="E2959" t="s">
        <v>4174</v>
      </c>
      <c r="F2959" t="s">
        <v>3546</v>
      </c>
      <c r="G2959" t="s">
        <v>46686</v>
      </c>
      <c r="H2959" t="s">
        <v>47126</v>
      </c>
      <c r="I2959" t="s">
        <v>47127</v>
      </c>
      <c r="J2959" t="s">
        <v>47128</v>
      </c>
      <c r="K2959" t="s">
        <v>47113</v>
      </c>
      <c r="L2959">
        <v>30.13</v>
      </c>
      <c r="M2959">
        <v>62</v>
      </c>
      <c r="N2959">
        <v>0</v>
      </c>
      <c r="O2959">
        <v>62</v>
      </c>
      <c r="P2959">
        <v>0</v>
      </c>
    </row>
    <row r="2960" spans="1:16" x14ac:dyDescent="0.25">
      <c r="A2960" t="s">
        <v>25397</v>
      </c>
      <c r="B2960" t="s">
        <v>4178</v>
      </c>
      <c r="C2960" t="s">
        <v>4179</v>
      </c>
      <c r="D2960" t="str">
        <f>"4921"</f>
        <v>4921</v>
      </c>
      <c r="E2960" t="s">
        <v>4156</v>
      </c>
      <c r="F2960" t="s">
        <v>3546</v>
      </c>
      <c r="G2960" t="s">
        <v>46686</v>
      </c>
      <c r="H2960" t="s">
        <v>47126</v>
      </c>
      <c r="I2960" t="s">
        <v>47127</v>
      </c>
      <c r="J2960" t="s">
        <v>47128</v>
      </c>
      <c r="K2960" t="s">
        <v>47113</v>
      </c>
      <c r="L2960">
        <v>30.13</v>
      </c>
      <c r="M2960">
        <v>62</v>
      </c>
      <c r="N2960">
        <v>0</v>
      </c>
      <c r="O2960">
        <v>62</v>
      </c>
      <c r="P2960">
        <v>0</v>
      </c>
    </row>
    <row r="2961" spans="1:16" x14ac:dyDescent="0.25">
      <c r="A2961" t="s">
        <v>25398</v>
      </c>
      <c r="B2961" t="s">
        <v>4178</v>
      </c>
      <c r="C2961" t="s">
        <v>4179</v>
      </c>
      <c r="D2961" t="str">
        <f>"4922"</f>
        <v>4922</v>
      </c>
      <c r="E2961" t="s">
        <v>4175</v>
      </c>
      <c r="F2961" t="s">
        <v>3546</v>
      </c>
      <c r="G2961" t="s">
        <v>46686</v>
      </c>
      <c r="H2961" t="s">
        <v>47126</v>
      </c>
      <c r="I2961" t="s">
        <v>47127</v>
      </c>
      <c r="J2961" t="s">
        <v>47128</v>
      </c>
      <c r="K2961" t="s">
        <v>47113</v>
      </c>
      <c r="L2961">
        <v>30.13</v>
      </c>
      <c r="M2961">
        <v>62</v>
      </c>
      <c r="N2961">
        <v>0</v>
      </c>
      <c r="O2961">
        <v>62</v>
      </c>
      <c r="P2961">
        <v>0</v>
      </c>
    </row>
    <row r="2962" spans="1:16" x14ac:dyDescent="0.25">
      <c r="A2962" t="s">
        <v>25399</v>
      </c>
      <c r="B2962" t="s">
        <v>4178</v>
      </c>
      <c r="C2962" t="s">
        <v>4179</v>
      </c>
      <c r="D2962" t="str">
        <f>"6064"</f>
        <v>6064</v>
      </c>
      <c r="E2962" t="s">
        <v>87</v>
      </c>
      <c r="F2962" t="s">
        <v>3546</v>
      </c>
      <c r="G2962" t="s">
        <v>46686</v>
      </c>
      <c r="H2962" t="s">
        <v>47126</v>
      </c>
      <c r="I2962" t="s">
        <v>47127</v>
      </c>
      <c r="J2962" t="s">
        <v>47128</v>
      </c>
      <c r="K2962" t="s">
        <v>47113</v>
      </c>
      <c r="L2962">
        <v>30.13</v>
      </c>
      <c r="M2962">
        <v>62</v>
      </c>
      <c r="N2962">
        <v>0</v>
      </c>
      <c r="O2962">
        <v>62</v>
      </c>
      <c r="P2962">
        <v>0</v>
      </c>
    </row>
    <row r="2963" spans="1:16" x14ac:dyDescent="0.25">
      <c r="A2963" t="s">
        <v>25400</v>
      </c>
      <c r="B2963" t="s">
        <v>4180</v>
      </c>
      <c r="C2963" t="s">
        <v>4181</v>
      </c>
      <c r="D2963" t="str">
        <f>"1106"</f>
        <v>1106</v>
      </c>
      <c r="E2963" t="s">
        <v>460</v>
      </c>
      <c r="F2963" t="s">
        <v>3546</v>
      </c>
      <c r="G2963" t="s">
        <v>46686</v>
      </c>
      <c r="H2963" t="s">
        <v>47126</v>
      </c>
      <c r="I2963" t="s">
        <v>47127</v>
      </c>
      <c r="J2963" t="s">
        <v>47128</v>
      </c>
      <c r="K2963" t="s">
        <v>47113</v>
      </c>
      <c r="L2963">
        <v>34.32</v>
      </c>
      <c r="M2963">
        <v>65</v>
      </c>
      <c r="N2963">
        <v>0</v>
      </c>
      <c r="O2963">
        <v>65</v>
      </c>
      <c r="P2963">
        <v>0</v>
      </c>
    </row>
    <row r="2964" spans="1:16" x14ac:dyDescent="0.25">
      <c r="A2964" t="s">
        <v>25401</v>
      </c>
      <c r="B2964" t="s">
        <v>4180</v>
      </c>
      <c r="C2964" t="s">
        <v>4181</v>
      </c>
      <c r="D2964" t="str">
        <f>"1378"</f>
        <v>1378</v>
      </c>
      <c r="E2964" t="s">
        <v>388</v>
      </c>
      <c r="F2964" t="s">
        <v>3546</v>
      </c>
      <c r="G2964" t="s">
        <v>46686</v>
      </c>
      <c r="H2964" t="s">
        <v>47126</v>
      </c>
      <c r="I2964" t="s">
        <v>47127</v>
      </c>
      <c r="J2964" t="s">
        <v>47128</v>
      </c>
      <c r="K2964" t="s">
        <v>47113</v>
      </c>
      <c r="L2964">
        <v>34.32</v>
      </c>
      <c r="M2964">
        <v>65</v>
      </c>
      <c r="N2964">
        <v>0</v>
      </c>
      <c r="O2964">
        <v>65</v>
      </c>
      <c r="P2964">
        <v>0</v>
      </c>
    </row>
    <row r="2965" spans="1:16" x14ac:dyDescent="0.25">
      <c r="A2965" t="s">
        <v>25402</v>
      </c>
      <c r="B2965" t="s">
        <v>4180</v>
      </c>
      <c r="C2965" t="s">
        <v>4181</v>
      </c>
      <c r="D2965" t="str">
        <f>"1403"</f>
        <v>1403</v>
      </c>
      <c r="E2965" t="s">
        <v>224</v>
      </c>
      <c r="F2965" t="s">
        <v>3546</v>
      </c>
      <c r="G2965" t="s">
        <v>46686</v>
      </c>
      <c r="H2965" t="s">
        <v>47126</v>
      </c>
      <c r="I2965" t="s">
        <v>47127</v>
      </c>
      <c r="J2965" t="s">
        <v>47128</v>
      </c>
      <c r="K2965" t="s">
        <v>47113</v>
      </c>
      <c r="L2965">
        <v>34.32</v>
      </c>
      <c r="M2965">
        <v>65</v>
      </c>
      <c r="N2965">
        <v>0</v>
      </c>
      <c r="O2965">
        <v>65</v>
      </c>
      <c r="P2965">
        <v>0</v>
      </c>
    </row>
    <row r="2966" spans="1:16" x14ac:dyDescent="0.25">
      <c r="A2966" t="s">
        <v>25403</v>
      </c>
      <c r="B2966" t="s">
        <v>4180</v>
      </c>
      <c r="C2966" t="s">
        <v>4181</v>
      </c>
      <c r="D2966" t="str">
        <f>"3544"</f>
        <v>3544</v>
      </c>
      <c r="E2966" t="s">
        <v>4174</v>
      </c>
      <c r="F2966" t="s">
        <v>3546</v>
      </c>
      <c r="G2966" t="s">
        <v>46686</v>
      </c>
      <c r="H2966" t="s">
        <v>47126</v>
      </c>
      <c r="I2966" t="s">
        <v>47127</v>
      </c>
      <c r="J2966" t="s">
        <v>47128</v>
      </c>
      <c r="K2966" t="s">
        <v>47113</v>
      </c>
      <c r="L2966">
        <v>34.32</v>
      </c>
      <c r="M2966">
        <v>65</v>
      </c>
      <c r="N2966">
        <v>0</v>
      </c>
      <c r="O2966">
        <v>65</v>
      </c>
      <c r="P2966">
        <v>0</v>
      </c>
    </row>
    <row r="2967" spans="1:16" x14ac:dyDescent="0.25">
      <c r="A2967" t="s">
        <v>25404</v>
      </c>
      <c r="B2967" t="s">
        <v>4180</v>
      </c>
      <c r="C2967" t="s">
        <v>4181</v>
      </c>
      <c r="D2967" t="str">
        <f>"4921"</f>
        <v>4921</v>
      </c>
      <c r="E2967" t="s">
        <v>4156</v>
      </c>
      <c r="F2967" t="s">
        <v>3546</v>
      </c>
      <c r="G2967" t="s">
        <v>46686</v>
      </c>
      <c r="H2967" t="s">
        <v>47126</v>
      </c>
      <c r="I2967" t="s">
        <v>47127</v>
      </c>
      <c r="J2967" t="s">
        <v>47128</v>
      </c>
      <c r="K2967" t="s">
        <v>47113</v>
      </c>
      <c r="L2967">
        <v>34.32</v>
      </c>
      <c r="M2967">
        <v>65</v>
      </c>
      <c r="N2967">
        <v>0</v>
      </c>
      <c r="O2967">
        <v>65</v>
      </c>
      <c r="P2967">
        <v>0</v>
      </c>
    </row>
    <row r="2968" spans="1:16" x14ac:dyDescent="0.25">
      <c r="A2968" t="s">
        <v>25405</v>
      </c>
      <c r="B2968" t="s">
        <v>4180</v>
      </c>
      <c r="C2968" t="s">
        <v>4181</v>
      </c>
      <c r="D2968" t="str">
        <f>"4922"</f>
        <v>4922</v>
      </c>
      <c r="E2968" t="s">
        <v>4175</v>
      </c>
      <c r="F2968" t="s">
        <v>3546</v>
      </c>
      <c r="G2968" t="s">
        <v>46686</v>
      </c>
      <c r="H2968" t="s">
        <v>47126</v>
      </c>
      <c r="I2968" t="s">
        <v>47127</v>
      </c>
      <c r="J2968" t="s">
        <v>47128</v>
      </c>
      <c r="K2968" t="s">
        <v>47113</v>
      </c>
      <c r="L2968">
        <v>34.32</v>
      </c>
      <c r="M2968">
        <v>65</v>
      </c>
      <c r="N2968">
        <v>0</v>
      </c>
      <c r="O2968">
        <v>65</v>
      </c>
      <c r="P2968">
        <v>0</v>
      </c>
    </row>
    <row r="2969" spans="1:16" x14ac:dyDescent="0.25">
      <c r="A2969" t="s">
        <v>25406</v>
      </c>
      <c r="B2969" t="s">
        <v>4180</v>
      </c>
      <c r="C2969" t="s">
        <v>4181</v>
      </c>
      <c r="D2969" t="str">
        <f>"6064"</f>
        <v>6064</v>
      </c>
      <c r="E2969" t="s">
        <v>87</v>
      </c>
      <c r="F2969" t="s">
        <v>3546</v>
      </c>
      <c r="G2969" t="s">
        <v>46686</v>
      </c>
      <c r="H2969" t="s">
        <v>47126</v>
      </c>
      <c r="I2969" t="s">
        <v>47127</v>
      </c>
      <c r="J2969" t="s">
        <v>47128</v>
      </c>
      <c r="K2969" t="s">
        <v>47113</v>
      </c>
      <c r="L2969">
        <v>34.32</v>
      </c>
      <c r="M2969">
        <v>65</v>
      </c>
      <c r="N2969">
        <v>0</v>
      </c>
      <c r="O2969">
        <v>65</v>
      </c>
      <c r="P2969">
        <v>0</v>
      </c>
    </row>
    <row r="2970" spans="1:16" x14ac:dyDescent="0.25">
      <c r="A2970" t="s">
        <v>25407</v>
      </c>
      <c r="B2970" t="s">
        <v>4182</v>
      </c>
      <c r="C2970" t="s">
        <v>4183</v>
      </c>
      <c r="D2970" t="str">
        <f>"1106"</f>
        <v>1106</v>
      </c>
      <c r="E2970" t="s">
        <v>460</v>
      </c>
      <c r="F2970" t="s">
        <v>3546</v>
      </c>
      <c r="G2970" t="s">
        <v>46686</v>
      </c>
      <c r="H2970" t="s">
        <v>47126</v>
      </c>
      <c r="I2970" t="s">
        <v>47127</v>
      </c>
      <c r="J2970" t="s">
        <v>47128</v>
      </c>
      <c r="K2970" t="s">
        <v>47113</v>
      </c>
      <c r="L2970">
        <v>29.3</v>
      </c>
      <c r="M2970">
        <v>72</v>
      </c>
      <c r="N2970">
        <v>0</v>
      </c>
      <c r="O2970">
        <v>72</v>
      </c>
      <c r="P2970">
        <v>0</v>
      </c>
    </row>
    <row r="2971" spans="1:16" x14ac:dyDescent="0.25">
      <c r="A2971" t="s">
        <v>25408</v>
      </c>
      <c r="B2971" t="s">
        <v>4182</v>
      </c>
      <c r="C2971" t="s">
        <v>4183</v>
      </c>
      <c r="D2971" t="str">
        <f>"1378"</f>
        <v>1378</v>
      </c>
      <c r="E2971" t="s">
        <v>388</v>
      </c>
      <c r="F2971" t="s">
        <v>3546</v>
      </c>
      <c r="G2971" t="s">
        <v>46686</v>
      </c>
      <c r="H2971" t="s">
        <v>47126</v>
      </c>
      <c r="I2971" t="s">
        <v>47127</v>
      </c>
      <c r="J2971" t="s">
        <v>47128</v>
      </c>
      <c r="K2971" t="s">
        <v>47113</v>
      </c>
      <c r="L2971">
        <v>29.3</v>
      </c>
      <c r="M2971">
        <v>72</v>
      </c>
      <c r="N2971">
        <v>0</v>
      </c>
      <c r="O2971">
        <v>72</v>
      </c>
      <c r="P2971">
        <v>0</v>
      </c>
    </row>
    <row r="2972" spans="1:16" x14ac:dyDescent="0.25">
      <c r="A2972" t="s">
        <v>25409</v>
      </c>
      <c r="B2972" t="s">
        <v>4182</v>
      </c>
      <c r="C2972" t="s">
        <v>4183</v>
      </c>
      <c r="D2972" t="str">
        <f>"1403"</f>
        <v>1403</v>
      </c>
      <c r="E2972" t="s">
        <v>224</v>
      </c>
      <c r="F2972" t="s">
        <v>3546</v>
      </c>
      <c r="G2972" t="s">
        <v>46686</v>
      </c>
      <c r="H2972" t="s">
        <v>47126</v>
      </c>
      <c r="I2972" t="s">
        <v>47127</v>
      </c>
      <c r="J2972" t="s">
        <v>47128</v>
      </c>
      <c r="K2972" t="s">
        <v>47113</v>
      </c>
      <c r="L2972">
        <v>29.3</v>
      </c>
      <c r="M2972">
        <v>72</v>
      </c>
      <c r="N2972">
        <v>0</v>
      </c>
      <c r="O2972">
        <v>72</v>
      </c>
      <c r="P2972">
        <v>0</v>
      </c>
    </row>
    <row r="2973" spans="1:16" x14ac:dyDescent="0.25">
      <c r="A2973" t="s">
        <v>25410</v>
      </c>
      <c r="B2973" t="s">
        <v>4182</v>
      </c>
      <c r="C2973" t="s">
        <v>4183</v>
      </c>
      <c r="D2973" t="str">
        <f>"3544"</f>
        <v>3544</v>
      </c>
      <c r="E2973" t="s">
        <v>4174</v>
      </c>
      <c r="F2973" t="s">
        <v>3546</v>
      </c>
      <c r="G2973" t="s">
        <v>46686</v>
      </c>
      <c r="H2973" t="s">
        <v>47126</v>
      </c>
      <c r="I2973" t="s">
        <v>47127</v>
      </c>
      <c r="J2973" t="s">
        <v>47128</v>
      </c>
      <c r="K2973" t="s">
        <v>47113</v>
      </c>
      <c r="L2973">
        <v>29.3</v>
      </c>
      <c r="M2973">
        <v>72</v>
      </c>
      <c r="N2973">
        <v>0</v>
      </c>
      <c r="O2973">
        <v>72</v>
      </c>
      <c r="P2973">
        <v>0</v>
      </c>
    </row>
    <row r="2974" spans="1:16" x14ac:dyDescent="0.25">
      <c r="A2974" t="s">
        <v>25411</v>
      </c>
      <c r="B2974" t="s">
        <v>4182</v>
      </c>
      <c r="C2974" t="s">
        <v>4183</v>
      </c>
      <c r="D2974" t="str">
        <f>"4921"</f>
        <v>4921</v>
      </c>
      <c r="E2974" t="s">
        <v>4156</v>
      </c>
      <c r="F2974" t="s">
        <v>3546</v>
      </c>
      <c r="G2974" t="s">
        <v>46686</v>
      </c>
      <c r="H2974" t="s">
        <v>47126</v>
      </c>
      <c r="I2974" t="s">
        <v>47127</v>
      </c>
      <c r="J2974" t="s">
        <v>47128</v>
      </c>
      <c r="K2974" t="s">
        <v>47113</v>
      </c>
      <c r="L2974">
        <v>29.3</v>
      </c>
      <c r="M2974">
        <v>72</v>
      </c>
      <c r="N2974">
        <v>0</v>
      </c>
      <c r="O2974">
        <v>72</v>
      </c>
      <c r="P2974">
        <v>0</v>
      </c>
    </row>
    <row r="2975" spans="1:16" x14ac:dyDescent="0.25">
      <c r="A2975" t="s">
        <v>25412</v>
      </c>
      <c r="B2975" t="s">
        <v>4182</v>
      </c>
      <c r="C2975" t="s">
        <v>4183</v>
      </c>
      <c r="D2975" t="str">
        <f>"4922"</f>
        <v>4922</v>
      </c>
      <c r="E2975" t="s">
        <v>4175</v>
      </c>
      <c r="F2975" t="s">
        <v>3546</v>
      </c>
      <c r="G2975" t="s">
        <v>46686</v>
      </c>
      <c r="H2975" t="s">
        <v>47126</v>
      </c>
      <c r="I2975" t="s">
        <v>47127</v>
      </c>
      <c r="J2975" t="s">
        <v>47128</v>
      </c>
      <c r="K2975" t="s">
        <v>47113</v>
      </c>
      <c r="L2975">
        <v>29.3</v>
      </c>
      <c r="M2975">
        <v>72</v>
      </c>
      <c r="N2975">
        <v>0</v>
      </c>
      <c r="O2975">
        <v>72</v>
      </c>
      <c r="P2975">
        <v>0</v>
      </c>
    </row>
    <row r="2976" spans="1:16" x14ac:dyDescent="0.25">
      <c r="A2976" t="s">
        <v>25413</v>
      </c>
      <c r="B2976" t="s">
        <v>4182</v>
      </c>
      <c r="C2976" t="s">
        <v>4183</v>
      </c>
      <c r="D2976" t="str">
        <f>"6064"</f>
        <v>6064</v>
      </c>
      <c r="E2976" t="s">
        <v>87</v>
      </c>
      <c r="F2976" t="s">
        <v>3546</v>
      </c>
      <c r="G2976" t="s">
        <v>46686</v>
      </c>
      <c r="H2976" t="s">
        <v>47126</v>
      </c>
      <c r="I2976" t="s">
        <v>47127</v>
      </c>
      <c r="J2976" t="s">
        <v>47128</v>
      </c>
      <c r="K2976" t="s">
        <v>47113</v>
      </c>
      <c r="L2976">
        <v>29.3</v>
      </c>
      <c r="M2976">
        <v>72</v>
      </c>
      <c r="N2976">
        <v>0</v>
      </c>
      <c r="O2976">
        <v>72</v>
      </c>
      <c r="P2976">
        <v>0</v>
      </c>
    </row>
    <row r="2977" spans="1:16" x14ac:dyDescent="0.25">
      <c r="A2977" t="s">
        <v>25414</v>
      </c>
      <c r="B2977" t="s">
        <v>4184</v>
      </c>
      <c r="C2977" t="s">
        <v>387</v>
      </c>
      <c r="D2977" t="str">
        <f>"1106"</f>
        <v>1106</v>
      </c>
      <c r="E2977" t="s">
        <v>460</v>
      </c>
      <c r="F2977" t="s">
        <v>3546</v>
      </c>
      <c r="G2977" t="s">
        <v>16235</v>
      </c>
      <c r="H2977" t="s">
        <v>47126</v>
      </c>
      <c r="I2977" t="s">
        <v>47127</v>
      </c>
      <c r="J2977" t="s">
        <v>47128</v>
      </c>
      <c r="K2977" t="s">
        <v>47113</v>
      </c>
      <c r="L2977">
        <v>33.49</v>
      </c>
      <c r="M2977">
        <v>82</v>
      </c>
      <c r="N2977">
        <v>0</v>
      </c>
      <c r="O2977">
        <v>82</v>
      </c>
      <c r="P2977">
        <v>0</v>
      </c>
    </row>
    <row r="2978" spans="1:16" x14ac:dyDescent="0.25">
      <c r="A2978" t="s">
        <v>25415</v>
      </c>
      <c r="B2978" t="s">
        <v>4184</v>
      </c>
      <c r="C2978" t="s">
        <v>387</v>
      </c>
      <c r="D2978" t="str">
        <f>"1378"</f>
        <v>1378</v>
      </c>
      <c r="E2978" t="s">
        <v>388</v>
      </c>
      <c r="F2978" t="s">
        <v>3546</v>
      </c>
      <c r="G2978" t="s">
        <v>16235</v>
      </c>
      <c r="H2978" t="s">
        <v>47126</v>
      </c>
      <c r="I2978" t="s">
        <v>47127</v>
      </c>
      <c r="J2978" t="s">
        <v>47128</v>
      </c>
      <c r="K2978" t="s">
        <v>47113</v>
      </c>
      <c r="L2978">
        <v>33.49</v>
      </c>
      <c r="M2978">
        <v>82</v>
      </c>
      <c r="N2978">
        <v>0</v>
      </c>
      <c r="O2978">
        <v>82</v>
      </c>
      <c r="P2978">
        <v>0</v>
      </c>
    </row>
    <row r="2979" spans="1:16" x14ac:dyDescent="0.25">
      <c r="A2979" t="s">
        <v>25416</v>
      </c>
      <c r="B2979" t="s">
        <v>4184</v>
      </c>
      <c r="C2979" t="s">
        <v>387</v>
      </c>
      <c r="D2979" t="str">
        <f>"1403"</f>
        <v>1403</v>
      </c>
      <c r="E2979" t="s">
        <v>224</v>
      </c>
      <c r="F2979" t="s">
        <v>3546</v>
      </c>
      <c r="G2979" t="s">
        <v>16235</v>
      </c>
      <c r="H2979" t="s">
        <v>47126</v>
      </c>
      <c r="I2979" t="s">
        <v>47127</v>
      </c>
      <c r="J2979" t="s">
        <v>47128</v>
      </c>
      <c r="K2979" t="s">
        <v>47113</v>
      </c>
      <c r="L2979">
        <v>33.49</v>
      </c>
      <c r="M2979">
        <v>82</v>
      </c>
      <c r="N2979">
        <v>0</v>
      </c>
      <c r="O2979">
        <v>82</v>
      </c>
      <c r="P2979">
        <v>0</v>
      </c>
    </row>
    <row r="2980" spans="1:16" x14ac:dyDescent="0.25">
      <c r="A2980" t="s">
        <v>25417</v>
      </c>
      <c r="B2980" t="s">
        <v>4184</v>
      </c>
      <c r="C2980" t="s">
        <v>387</v>
      </c>
      <c r="D2980" t="str">
        <f>"3544"</f>
        <v>3544</v>
      </c>
      <c r="E2980" t="s">
        <v>4174</v>
      </c>
      <c r="F2980" t="s">
        <v>3546</v>
      </c>
      <c r="G2980" t="s">
        <v>16235</v>
      </c>
      <c r="H2980" t="s">
        <v>47126</v>
      </c>
      <c r="I2980" t="s">
        <v>47127</v>
      </c>
      <c r="J2980" t="s">
        <v>47128</v>
      </c>
      <c r="K2980" t="s">
        <v>47113</v>
      </c>
      <c r="L2980">
        <v>33.49</v>
      </c>
      <c r="M2980">
        <v>82</v>
      </c>
      <c r="N2980">
        <v>0</v>
      </c>
      <c r="O2980">
        <v>82</v>
      </c>
      <c r="P2980">
        <v>0</v>
      </c>
    </row>
    <row r="2981" spans="1:16" x14ac:dyDescent="0.25">
      <c r="A2981" t="s">
        <v>25418</v>
      </c>
      <c r="B2981" t="s">
        <v>4184</v>
      </c>
      <c r="C2981" t="s">
        <v>387</v>
      </c>
      <c r="D2981" t="str">
        <f>"4921"</f>
        <v>4921</v>
      </c>
      <c r="E2981" t="s">
        <v>4156</v>
      </c>
      <c r="F2981" t="s">
        <v>3546</v>
      </c>
      <c r="G2981" t="s">
        <v>16235</v>
      </c>
      <c r="H2981" t="s">
        <v>47126</v>
      </c>
      <c r="I2981" t="s">
        <v>47127</v>
      </c>
      <c r="J2981" t="s">
        <v>47128</v>
      </c>
      <c r="K2981" t="s">
        <v>47113</v>
      </c>
      <c r="L2981">
        <v>33.49</v>
      </c>
      <c r="M2981">
        <v>82</v>
      </c>
      <c r="N2981">
        <v>0</v>
      </c>
      <c r="O2981">
        <v>82</v>
      </c>
      <c r="P2981">
        <v>0</v>
      </c>
    </row>
    <row r="2982" spans="1:16" x14ac:dyDescent="0.25">
      <c r="A2982" t="s">
        <v>25419</v>
      </c>
      <c r="B2982" t="s">
        <v>4184</v>
      </c>
      <c r="C2982" t="s">
        <v>387</v>
      </c>
      <c r="D2982" t="str">
        <f>"4922"</f>
        <v>4922</v>
      </c>
      <c r="E2982" t="s">
        <v>4175</v>
      </c>
      <c r="F2982" t="s">
        <v>3546</v>
      </c>
      <c r="G2982" t="s">
        <v>16235</v>
      </c>
      <c r="H2982" t="s">
        <v>47126</v>
      </c>
      <c r="I2982" t="s">
        <v>47127</v>
      </c>
      <c r="J2982" t="s">
        <v>47128</v>
      </c>
      <c r="K2982" t="s">
        <v>47113</v>
      </c>
      <c r="L2982">
        <v>33.49</v>
      </c>
      <c r="M2982">
        <v>82</v>
      </c>
      <c r="N2982">
        <v>0</v>
      </c>
      <c r="O2982">
        <v>82</v>
      </c>
      <c r="P2982">
        <v>0</v>
      </c>
    </row>
    <row r="2983" spans="1:16" x14ac:dyDescent="0.25">
      <c r="A2983" t="s">
        <v>25420</v>
      </c>
      <c r="B2983" t="s">
        <v>4184</v>
      </c>
      <c r="C2983" t="s">
        <v>387</v>
      </c>
      <c r="D2983" t="str">
        <f>"6064"</f>
        <v>6064</v>
      </c>
      <c r="E2983" t="s">
        <v>87</v>
      </c>
      <c r="F2983" t="s">
        <v>3546</v>
      </c>
      <c r="G2983" t="s">
        <v>16235</v>
      </c>
      <c r="H2983" t="s">
        <v>47126</v>
      </c>
      <c r="I2983" t="s">
        <v>47127</v>
      </c>
      <c r="J2983" t="s">
        <v>47128</v>
      </c>
      <c r="K2983" t="s">
        <v>47113</v>
      </c>
      <c r="L2983">
        <v>33.49</v>
      </c>
      <c r="M2983">
        <v>82</v>
      </c>
      <c r="N2983">
        <v>0</v>
      </c>
      <c r="O2983">
        <v>82</v>
      </c>
      <c r="P2983">
        <v>0</v>
      </c>
    </row>
    <row r="2984" spans="1:16" x14ac:dyDescent="0.25">
      <c r="A2984" t="s">
        <v>25421</v>
      </c>
      <c r="B2984" t="s">
        <v>4185</v>
      </c>
      <c r="C2984" t="s">
        <v>4186</v>
      </c>
      <c r="D2984" t="str">
        <f>"1106"</f>
        <v>1106</v>
      </c>
      <c r="E2984" t="s">
        <v>460</v>
      </c>
      <c r="F2984" t="s">
        <v>3750</v>
      </c>
      <c r="G2984" t="s">
        <v>16222</v>
      </c>
      <c r="H2984" t="s">
        <v>47126</v>
      </c>
      <c r="I2984" t="s">
        <v>47127</v>
      </c>
      <c r="J2984" t="s">
        <v>47128</v>
      </c>
      <c r="K2984" t="s">
        <v>47113</v>
      </c>
      <c r="L2984">
        <v>22.09</v>
      </c>
      <c r="M2984">
        <v>49</v>
      </c>
      <c r="N2984">
        <v>0</v>
      </c>
      <c r="O2984">
        <v>49</v>
      </c>
      <c r="P2984">
        <v>0</v>
      </c>
    </row>
    <row r="2985" spans="1:16" x14ac:dyDescent="0.25">
      <c r="A2985" t="s">
        <v>25422</v>
      </c>
      <c r="B2985" t="s">
        <v>4185</v>
      </c>
      <c r="C2985" t="s">
        <v>4186</v>
      </c>
      <c r="D2985" t="str">
        <f>"1378"</f>
        <v>1378</v>
      </c>
      <c r="E2985" t="s">
        <v>388</v>
      </c>
      <c r="F2985" t="s">
        <v>3750</v>
      </c>
      <c r="G2985" t="s">
        <v>16222</v>
      </c>
      <c r="H2985" t="s">
        <v>47126</v>
      </c>
      <c r="I2985" t="s">
        <v>47127</v>
      </c>
      <c r="J2985" t="s">
        <v>47128</v>
      </c>
      <c r="K2985" t="s">
        <v>47113</v>
      </c>
      <c r="L2985">
        <v>22.09</v>
      </c>
      <c r="M2985">
        <v>49</v>
      </c>
      <c r="N2985">
        <v>0</v>
      </c>
      <c r="O2985">
        <v>49</v>
      </c>
      <c r="P2985">
        <v>0</v>
      </c>
    </row>
    <row r="2986" spans="1:16" x14ac:dyDescent="0.25">
      <c r="A2986" t="s">
        <v>25423</v>
      </c>
      <c r="B2986" t="s">
        <v>4185</v>
      </c>
      <c r="C2986" t="s">
        <v>4186</v>
      </c>
      <c r="D2986" t="str">
        <f>"4922"</f>
        <v>4922</v>
      </c>
      <c r="E2986" t="s">
        <v>4175</v>
      </c>
      <c r="F2986" t="s">
        <v>3750</v>
      </c>
      <c r="G2986" t="s">
        <v>16222</v>
      </c>
      <c r="H2986" t="s">
        <v>47126</v>
      </c>
      <c r="I2986" t="s">
        <v>47127</v>
      </c>
      <c r="J2986" t="s">
        <v>47128</v>
      </c>
      <c r="K2986" t="s">
        <v>47113</v>
      </c>
      <c r="L2986">
        <v>22.09</v>
      </c>
      <c r="M2986">
        <v>49</v>
      </c>
      <c r="N2986">
        <v>0</v>
      </c>
      <c r="O2986">
        <v>49</v>
      </c>
      <c r="P2986">
        <v>0</v>
      </c>
    </row>
    <row r="2987" spans="1:16" x14ac:dyDescent="0.25">
      <c r="A2987" t="s">
        <v>25424</v>
      </c>
      <c r="B2987" t="s">
        <v>4187</v>
      </c>
      <c r="C2987" t="s">
        <v>4188</v>
      </c>
      <c r="D2987" t="s">
        <v>504</v>
      </c>
      <c r="E2987" t="s">
        <v>505</v>
      </c>
      <c r="F2987" t="s">
        <v>3546</v>
      </c>
      <c r="G2987" t="s">
        <v>46686</v>
      </c>
      <c r="H2987" t="s">
        <v>47153</v>
      </c>
      <c r="I2987" t="s">
        <v>47132</v>
      </c>
      <c r="J2987" t="s">
        <v>47133</v>
      </c>
      <c r="K2987" t="s">
        <v>47113</v>
      </c>
      <c r="L2987">
        <v>33.78</v>
      </c>
      <c r="M2987">
        <v>66</v>
      </c>
      <c r="N2987">
        <v>0</v>
      </c>
      <c r="O2987">
        <v>66</v>
      </c>
      <c r="P2987">
        <v>0</v>
      </c>
    </row>
    <row r="2988" spans="1:16" x14ac:dyDescent="0.25">
      <c r="A2988" t="s">
        <v>25425</v>
      </c>
      <c r="B2988" t="s">
        <v>4187</v>
      </c>
      <c r="C2988" t="s">
        <v>4188</v>
      </c>
      <c r="D2988" t="s">
        <v>418</v>
      </c>
      <c r="E2988" t="s">
        <v>419</v>
      </c>
      <c r="F2988" t="s">
        <v>3546</v>
      </c>
      <c r="G2988" t="s">
        <v>46686</v>
      </c>
      <c r="H2988" t="s">
        <v>47153</v>
      </c>
      <c r="I2988" t="s">
        <v>47132</v>
      </c>
      <c r="J2988" t="s">
        <v>47133</v>
      </c>
      <c r="K2988" t="s">
        <v>47113</v>
      </c>
      <c r="L2988">
        <v>33.78</v>
      </c>
      <c r="M2988">
        <v>66</v>
      </c>
      <c r="N2988">
        <v>0</v>
      </c>
      <c r="O2988">
        <v>66</v>
      </c>
      <c r="P2988">
        <v>0</v>
      </c>
    </row>
    <row r="2989" spans="1:16" x14ac:dyDescent="0.25">
      <c r="A2989" t="s">
        <v>25426</v>
      </c>
      <c r="B2989" t="s">
        <v>4189</v>
      </c>
      <c r="C2989" t="s">
        <v>4190</v>
      </c>
      <c r="D2989" t="s">
        <v>418</v>
      </c>
      <c r="E2989" t="s">
        <v>419</v>
      </c>
      <c r="F2989" t="s">
        <v>3546</v>
      </c>
      <c r="G2989" t="s">
        <v>46686</v>
      </c>
      <c r="H2989" t="s">
        <v>47153</v>
      </c>
      <c r="I2989" t="s">
        <v>47132</v>
      </c>
      <c r="J2989" t="s">
        <v>47133</v>
      </c>
      <c r="K2989" t="s">
        <v>47113</v>
      </c>
      <c r="L2989">
        <v>32.14</v>
      </c>
      <c r="M2989">
        <v>60</v>
      </c>
      <c r="N2989">
        <v>0</v>
      </c>
      <c r="O2989">
        <v>60</v>
      </c>
      <c r="P2989">
        <v>0</v>
      </c>
    </row>
    <row r="2990" spans="1:16" x14ac:dyDescent="0.25">
      <c r="A2990" t="s">
        <v>25427</v>
      </c>
      <c r="B2990" t="s">
        <v>4191</v>
      </c>
      <c r="C2990" t="s">
        <v>4192</v>
      </c>
      <c r="D2990" t="s">
        <v>504</v>
      </c>
      <c r="E2990" t="s">
        <v>505</v>
      </c>
      <c r="F2990" t="s">
        <v>3546</v>
      </c>
      <c r="G2990" t="s">
        <v>46686</v>
      </c>
      <c r="H2990" t="s">
        <v>47153</v>
      </c>
      <c r="I2990" t="s">
        <v>47132</v>
      </c>
      <c r="J2990" t="s">
        <v>47133</v>
      </c>
      <c r="K2990" t="s">
        <v>47113</v>
      </c>
      <c r="L2990">
        <v>31.67</v>
      </c>
      <c r="M2990">
        <v>60</v>
      </c>
      <c r="N2990">
        <v>0</v>
      </c>
      <c r="O2990">
        <v>60</v>
      </c>
      <c r="P2990">
        <v>0</v>
      </c>
    </row>
    <row r="2991" spans="1:16" x14ac:dyDescent="0.25">
      <c r="A2991" t="s">
        <v>25428</v>
      </c>
      <c r="B2991" t="s">
        <v>4193</v>
      </c>
      <c r="C2991" t="s">
        <v>4194</v>
      </c>
      <c r="D2991" t="s">
        <v>3944</v>
      </c>
      <c r="E2991" t="s">
        <v>3945</v>
      </c>
      <c r="F2991" t="s">
        <v>3546</v>
      </c>
      <c r="G2991" t="s">
        <v>46686</v>
      </c>
      <c r="H2991" t="s">
        <v>47153</v>
      </c>
      <c r="I2991" t="s">
        <v>47132</v>
      </c>
      <c r="J2991" t="s">
        <v>47133</v>
      </c>
      <c r="K2991" t="s">
        <v>47113</v>
      </c>
      <c r="L2991">
        <v>31.21</v>
      </c>
      <c r="M2991">
        <v>60</v>
      </c>
      <c r="N2991">
        <v>0</v>
      </c>
      <c r="O2991">
        <v>60</v>
      </c>
      <c r="P2991">
        <v>0</v>
      </c>
    </row>
    <row r="2992" spans="1:16" x14ac:dyDescent="0.25">
      <c r="A2992" t="s">
        <v>25429</v>
      </c>
      <c r="B2992" t="s">
        <v>4195</v>
      </c>
      <c r="C2992" t="s">
        <v>4196</v>
      </c>
      <c r="D2992" t="s">
        <v>504</v>
      </c>
      <c r="E2992" t="s">
        <v>505</v>
      </c>
      <c r="F2992" t="s">
        <v>3546</v>
      </c>
      <c r="G2992" t="s">
        <v>16234</v>
      </c>
      <c r="H2992" t="s">
        <v>47153</v>
      </c>
      <c r="I2992" t="s">
        <v>47132</v>
      </c>
      <c r="J2992" t="s">
        <v>47133</v>
      </c>
      <c r="K2992" t="s">
        <v>47113</v>
      </c>
      <c r="L2992">
        <v>57.48</v>
      </c>
      <c r="M2992">
        <v>100</v>
      </c>
      <c r="N2992">
        <v>0</v>
      </c>
      <c r="O2992">
        <v>100</v>
      </c>
      <c r="P2992">
        <v>0</v>
      </c>
    </row>
    <row r="2993" spans="1:16" x14ac:dyDescent="0.25">
      <c r="A2993" t="s">
        <v>14909</v>
      </c>
      <c r="B2993" t="s">
        <v>4195</v>
      </c>
      <c r="C2993" t="s">
        <v>4196</v>
      </c>
      <c r="D2993" t="s">
        <v>434</v>
      </c>
      <c r="E2993" t="s">
        <v>435</v>
      </c>
      <c r="F2993" t="s">
        <v>3546</v>
      </c>
      <c r="G2993" t="s">
        <v>16234</v>
      </c>
      <c r="H2993" t="s">
        <v>47153</v>
      </c>
      <c r="I2993" t="s">
        <v>47132</v>
      </c>
      <c r="J2993" t="s">
        <v>47133</v>
      </c>
      <c r="K2993" t="s">
        <v>47113</v>
      </c>
      <c r="L2993">
        <v>57.48</v>
      </c>
      <c r="M2993">
        <v>100</v>
      </c>
      <c r="N2993">
        <v>0</v>
      </c>
      <c r="O2993">
        <v>100</v>
      </c>
      <c r="P2993">
        <v>0</v>
      </c>
    </row>
    <row r="2994" spans="1:16" x14ac:dyDescent="0.25">
      <c r="A2994" t="s">
        <v>25430</v>
      </c>
      <c r="B2994" t="s">
        <v>4197</v>
      </c>
      <c r="C2994" t="s">
        <v>4198</v>
      </c>
      <c r="D2994" t="str">
        <f>"1106"</f>
        <v>1106</v>
      </c>
      <c r="E2994" t="s">
        <v>460</v>
      </c>
      <c r="F2994" t="s">
        <v>3546</v>
      </c>
      <c r="G2994" t="s">
        <v>16221</v>
      </c>
      <c r="H2994" t="s">
        <v>47126</v>
      </c>
      <c r="I2994" t="s">
        <v>47127</v>
      </c>
      <c r="J2994" t="s">
        <v>47128</v>
      </c>
      <c r="K2994" t="s">
        <v>47113</v>
      </c>
      <c r="L2994">
        <v>11.6</v>
      </c>
      <c r="M2994">
        <v>25</v>
      </c>
      <c r="N2994">
        <v>0</v>
      </c>
      <c r="O2994">
        <v>25</v>
      </c>
      <c r="P2994">
        <v>0</v>
      </c>
    </row>
    <row r="2995" spans="1:16" x14ac:dyDescent="0.25">
      <c r="A2995" t="s">
        <v>25431</v>
      </c>
      <c r="B2995" t="s">
        <v>4197</v>
      </c>
      <c r="C2995" t="s">
        <v>4198</v>
      </c>
      <c r="D2995" t="str">
        <f>"1378"</f>
        <v>1378</v>
      </c>
      <c r="E2995" t="s">
        <v>388</v>
      </c>
      <c r="F2995" t="s">
        <v>3546</v>
      </c>
      <c r="G2995" t="s">
        <v>16221</v>
      </c>
      <c r="H2995" t="s">
        <v>47126</v>
      </c>
      <c r="I2995" t="s">
        <v>47127</v>
      </c>
      <c r="J2995" t="s">
        <v>47128</v>
      </c>
      <c r="K2995" t="s">
        <v>47113</v>
      </c>
      <c r="L2995">
        <v>11.6</v>
      </c>
      <c r="M2995">
        <v>25</v>
      </c>
      <c r="N2995">
        <v>0</v>
      </c>
      <c r="O2995">
        <v>25</v>
      </c>
      <c r="P2995">
        <v>0</v>
      </c>
    </row>
    <row r="2996" spans="1:16" x14ac:dyDescent="0.25">
      <c r="A2996" t="s">
        <v>25432</v>
      </c>
      <c r="B2996" t="s">
        <v>4197</v>
      </c>
      <c r="C2996" t="s">
        <v>4198</v>
      </c>
      <c r="D2996" t="str">
        <f>"1500"</f>
        <v>1500</v>
      </c>
      <c r="E2996" t="s">
        <v>4155</v>
      </c>
      <c r="F2996" t="s">
        <v>3546</v>
      </c>
      <c r="G2996" t="s">
        <v>16221</v>
      </c>
      <c r="H2996" t="s">
        <v>47126</v>
      </c>
      <c r="I2996" t="s">
        <v>47127</v>
      </c>
      <c r="J2996" t="s">
        <v>47128</v>
      </c>
      <c r="K2996" t="s">
        <v>47113</v>
      </c>
      <c r="L2996">
        <v>11.6</v>
      </c>
      <c r="M2996">
        <v>25</v>
      </c>
      <c r="N2996">
        <v>0</v>
      </c>
      <c r="O2996">
        <v>25</v>
      </c>
      <c r="P2996">
        <v>0</v>
      </c>
    </row>
    <row r="2997" spans="1:16" x14ac:dyDescent="0.25">
      <c r="A2997" t="s">
        <v>25433</v>
      </c>
      <c r="B2997" t="s">
        <v>4197</v>
      </c>
      <c r="C2997" t="s">
        <v>4198</v>
      </c>
      <c r="D2997" t="str">
        <f>"1700"</f>
        <v>1700</v>
      </c>
      <c r="E2997" t="s">
        <v>60</v>
      </c>
      <c r="F2997" t="s">
        <v>3546</v>
      </c>
      <c r="G2997" t="s">
        <v>16221</v>
      </c>
      <c r="H2997" t="s">
        <v>47126</v>
      </c>
      <c r="I2997" t="s">
        <v>47127</v>
      </c>
      <c r="J2997" t="s">
        <v>47128</v>
      </c>
      <c r="K2997" t="s">
        <v>47113</v>
      </c>
      <c r="L2997">
        <v>11.6</v>
      </c>
      <c r="M2997">
        <v>25</v>
      </c>
      <c r="N2997">
        <v>0</v>
      </c>
      <c r="O2997">
        <v>25</v>
      </c>
      <c r="P2997">
        <v>0</v>
      </c>
    </row>
    <row r="2998" spans="1:16" x14ac:dyDescent="0.25">
      <c r="A2998" t="s">
        <v>25434</v>
      </c>
      <c r="B2998" t="s">
        <v>4197</v>
      </c>
      <c r="C2998" t="s">
        <v>4198</v>
      </c>
      <c r="D2998" t="str">
        <f>"4921"</f>
        <v>4921</v>
      </c>
      <c r="E2998" t="s">
        <v>4156</v>
      </c>
      <c r="F2998" t="s">
        <v>3546</v>
      </c>
      <c r="G2998" t="s">
        <v>16221</v>
      </c>
      <c r="H2998" t="s">
        <v>47126</v>
      </c>
      <c r="I2998" t="s">
        <v>47127</v>
      </c>
      <c r="J2998" t="s">
        <v>47128</v>
      </c>
      <c r="K2998" t="s">
        <v>47113</v>
      </c>
      <c r="L2998">
        <v>11.6</v>
      </c>
      <c r="M2998">
        <v>25</v>
      </c>
      <c r="N2998">
        <v>0</v>
      </c>
      <c r="O2998">
        <v>25</v>
      </c>
      <c r="P2998">
        <v>0</v>
      </c>
    </row>
    <row r="2999" spans="1:16" x14ac:dyDescent="0.25">
      <c r="A2999" t="s">
        <v>25435</v>
      </c>
      <c r="B2999" t="s">
        <v>4197</v>
      </c>
      <c r="C2999" t="s">
        <v>4198</v>
      </c>
      <c r="D2999" t="str">
        <f>"4922"</f>
        <v>4922</v>
      </c>
      <c r="E2999" t="s">
        <v>4175</v>
      </c>
      <c r="F2999" t="s">
        <v>3546</v>
      </c>
      <c r="G2999" t="s">
        <v>16221</v>
      </c>
      <c r="H2999" t="s">
        <v>47126</v>
      </c>
      <c r="I2999" t="s">
        <v>47127</v>
      </c>
      <c r="J2999" t="s">
        <v>47128</v>
      </c>
      <c r="K2999" t="s">
        <v>47113</v>
      </c>
      <c r="L2999">
        <v>11.6</v>
      </c>
      <c r="M2999">
        <v>25</v>
      </c>
      <c r="N2999">
        <v>0</v>
      </c>
      <c r="O2999">
        <v>25</v>
      </c>
      <c r="P2999">
        <v>0</v>
      </c>
    </row>
    <row r="3000" spans="1:16" x14ac:dyDescent="0.25">
      <c r="A3000" t="s">
        <v>25436</v>
      </c>
      <c r="B3000" t="s">
        <v>4197</v>
      </c>
      <c r="C3000" t="s">
        <v>4198</v>
      </c>
      <c r="D3000" t="str">
        <f>"6064"</f>
        <v>6064</v>
      </c>
      <c r="E3000" t="s">
        <v>87</v>
      </c>
      <c r="F3000" t="s">
        <v>3546</v>
      </c>
      <c r="G3000" t="s">
        <v>16221</v>
      </c>
      <c r="H3000" t="s">
        <v>47126</v>
      </c>
      <c r="I3000" t="s">
        <v>47127</v>
      </c>
      <c r="J3000" t="s">
        <v>47128</v>
      </c>
      <c r="K3000" t="s">
        <v>47113</v>
      </c>
      <c r="L3000">
        <v>11.6</v>
      </c>
      <c r="M3000">
        <v>25</v>
      </c>
      <c r="N3000">
        <v>0</v>
      </c>
      <c r="O3000">
        <v>25</v>
      </c>
      <c r="P3000">
        <v>0</v>
      </c>
    </row>
    <row r="3001" spans="1:16" x14ac:dyDescent="0.25">
      <c r="A3001" t="s">
        <v>25437</v>
      </c>
      <c r="B3001" t="s">
        <v>4199</v>
      </c>
      <c r="C3001" t="s">
        <v>4200</v>
      </c>
      <c r="D3001" t="str">
        <f>"1106"</f>
        <v>1106</v>
      </c>
      <c r="E3001" t="s">
        <v>460</v>
      </c>
      <c r="F3001" t="s">
        <v>3546</v>
      </c>
      <c r="G3001" t="s">
        <v>16221</v>
      </c>
      <c r="H3001" t="s">
        <v>47126</v>
      </c>
      <c r="I3001" t="s">
        <v>47127</v>
      </c>
      <c r="J3001" t="s">
        <v>47128</v>
      </c>
      <c r="K3001" t="s">
        <v>47113</v>
      </c>
      <c r="L3001">
        <v>14</v>
      </c>
      <c r="M3001">
        <v>34</v>
      </c>
      <c r="N3001">
        <v>0</v>
      </c>
      <c r="O3001">
        <v>34</v>
      </c>
      <c r="P3001">
        <v>0</v>
      </c>
    </row>
    <row r="3002" spans="1:16" x14ac:dyDescent="0.25">
      <c r="A3002" t="s">
        <v>25438</v>
      </c>
      <c r="B3002" t="s">
        <v>4199</v>
      </c>
      <c r="C3002" t="s">
        <v>4200</v>
      </c>
      <c r="D3002" t="str">
        <f>"1378"</f>
        <v>1378</v>
      </c>
      <c r="E3002" t="s">
        <v>388</v>
      </c>
      <c r="F3002" t="s">
        <v>3546</v>
      </c>
      <c r="G3002" t="s">
        <v>16221</v>
      </c>
      <c r="H3002" t="s">
        <v>47126</v>
      </c>
      <c r="I3002" t="s">
        <v>47127</v>
      </c>
      <c r="J3002" t="s">
        <v>47128</v>
      </c>
      <c r="K3002" t="s">
        <v>47113</v>
      </c>
      <c r="L3002">
        <v>14</v>
      </c>
      <c r="M3002">
        <v>34</v>
      </c>
      <c r="N3002">
        <v>0</v>
      </c>
      <c r="O3002">
        <v>34</v>
      </c>
      <c r="P3002">
        <v>0</v>
      </c>
    </row>
    <row r="3003" spans="1:16" x14ac:dyDescent="0.25">
      <c r="A3003" t="s">
        <v>25439</v>
      </c>
      <c r="B3003" t="s">
        <v>4199</v>
      </c>
      <c r="C3003" t="s">
        <v>4200</v>
      </c>
      <c r="D3003" t="str">
        <f>"1403"</f>
        <v>1403</v>
      </c>
      <c r="E3003" t="s">
        <v>224</v>
      </c>
      <c r="F3003" t="s">
        <v>3546</v>
      </c>
      <c r="G3003" t="s">
        <v>16221</v>
      </c>
      <c r="H3003" t="s">
        <v>47126</v>
      </c>
      <c r="I3003" t="s">
        <v>47127</v>
      </c>
      <c r="J3003" t="s">
        <v>47128</v>
      </c>
      <c r="K3003" t="s">
        <v>47113</v>
      </c>
      <c r="L3003">
        <v>14</v>
      </c>
      <c r="M3003">
        <v>34</v>
      </c>
      <c r="N3003">
        <v>0</v>
      </c>
      <c r="O3003">
        <v>34</v>
      </c>
      <c r="P3003">
        <v>0</v>
      </c>
    </row>
    <row r="3004" spans="1:16" x14ac:dyDescent="0.25">
      <c r="A3004" t="s">
        <v>25440</v>
      </c>
      <c r="B3004" t="s">
        <v>4199</v>
      </c>
      <c r="C3004" t="s">
        <v>4200</v>
      </c>
      <c r="D3004" t="str">
        <f>"1700"</f>
        <v>1700</v>
      </c>
      <c r="E3004" t="s">
        <v>60</v>
      </c>
      <c r="F3004" t="s">
        <v>3546</v>
      </c>
      <c r="G3004" t="s">
        <v>16221</v>
      </c>
      <c r="H3004" t="s">
        <v>47126</v>
      </c>
      <c r="I3004" t="s">
        <v>47127</v>
      </c>
      <c r="J3004" t="s">
        <v>47128</v>
      </c>
      <c r="K3004" t="s">
        <v>47113</v>
      </c>
      <c r="L3004">
        <v>14</v>
      </c>
      <c r="M3004">
        <v>34</v>
      </c>
      <c r="N3004">
        <v>0</v>
      </c>
      <c r="O3004">
        <v>34</v>
      </c>
      <c r="P3004">
        <v>0</v>
      </c>
    </row>
    <row r="3005" spans="1:16" x14ac:dyDescent="0.25">
      <c r="A3005" t="s">
        <v>25441</v>
      </c>
      <c r="B3005" t="s">
        <v>4199</v>
      </c>
      <c r="C3005" t="s">
        <v>4200</v>
      </c>
      <c r="D3005" t="str">
        <f>"3544"</f>
        <v>3544</v>
      </c>
      <c r="E3005" t="s">
        <v>4174</v>
      </c>
      <c r="F3005" t="s">
        <v>3546</v>
      </c>
      <c r="G3005" t="s">
        <v>16221</v>
      </c>
      <c r="H3005" t="s">
        <v>47126</v>
      </c>
      <c r="I3005" t="s">
        <v>47127</v>
      </c>
      <c r="J3005" t="s">
        <v>47128</v>
      </c>
      <c r="K3005" t="s">
        <v>47113</v>
      </c>
      <c r="L3005">
        <v>14</v>
      </c>
      <c r="M3005">
        <v>34</v>
      </c>
      <c r="N3005">
        <v>0</v>
      </c>
      <c r="O3005">
        <v>34</v>
      </c>
      <c r="P3005">
        <v>0</v>
      </c>
    </row>
    <row r="3006" spans="1:16" x14ac:dyDescent="0.25">
      <c r="A3006" t="s">
        <v>25442</v>
      </c>
      <c r="B3006" t="s">
        <v>4199</v>
      </c>
      <c r="C3006" t="s">
        <v>4200</v>
      </c>
      <c r="D3006" t="str">
        <f>"4921"</f>
        <v>4921</v>
      </c>
      <c r="E3006" t="s">
        <v>4156</v>
      </c>
      <c r="F3006" t="s">
        <v>3546</v>
      </c>
      <c r="G3006" t="s">
        <v>16221</v>
      </c>
      <c r="H3006" t="s">
        <v>47126</v>
      </c>
      <c r="I3006" t="s">
        <v>47127</v>
      </c>
      <c r="J3006" t="s">
        <v>47128</v>
      </c>
      <c r="K3006" t="s">
        <v>47113</v>
      </c>
      <c r="L3006">
        <v>14</v>
      </c>
      <c r="M3006">
        <v>34</v>
      </c>
      <c r="N3006">
        <v>0</v>
      </c>
      <c r="O3006">
        <v>34</v>
      </c>
      <c r="P3006">
        <v>0</v>
      </c>
    </row>
    <row r="3007" spans="1:16" x14ac:dyDescent="0.25">
      <c r="A3007" t="s">
        <v>25443</v>
      </c>
      <c r="B3007" t="s">
        <v>4199</v>
      </c>
      <c r="C3007" t="s">
        <v>4200</v>
      </c>
      <c r="D3007" t="str">
        <f>"4922"</f>
        <v>4922</v>
      </c>
      <c r="E3007" t="s">
        <v>4175</v>
      </c>
      <c r="F3007" t="s">
        <v>3546</v>
      </c>
      <c r="G3007" t="s">
        <v>16221</v>
      </c>
      <c r="H3007" t="s">
        <v>47126</v>
      </c>
      <c r="I3007" t="s">
        <v>47127</v>
      </c>
      <c r="J3007" t="s">
        <v>47128</v>
      </c>
      <c r="K3007" t="s">
        <v>47113</v>
      </c>
      <c r="L3007">
        <v>14</v>
      </c>
      <c r="M3007">
        <v>34</v>
      </c>
      <c r="N3007">
        <v>0</v>
      </c>
      <c r="O3007">
        <v>34</v>
      </c>
      <c r="P3007">
        <v>0</v>
      </c>
    </row>
    <row r="3008" spans="1:16" x14ac:dyDescent="0.25">
      <c r="A3008" t="s">
        <v>25444</v>
      </c>
      <c r="B3008" t="s">
        <v>4199</v>
      </c>
      <c r="C3008" t="s">
        <v>4200</v>
      </c>
      <c r="D3008" t="str">
        <f>"6064"</f>
        <v>6064</v>
      </c>
      <c r="E3008" t="s">
        <v>87</v>
      </c>
      <c r="F3008" t="s">
        <v>3546</v>
      </c>
      <c r="G3008" t="s">
        <v>16221</v>
      </c>
      <c r="H3008" t="s">
        <v>47126</v>
      </c>
      <c r="I3008" t="s">
        <v>47127</v>
      </c>
      <c r="J3008" t="s">
        <v>47128</v>
      </c>
      <c r="K3008" t="s">
        <v>47113</v>
      </c>
      <c r="L3008">
        <v>14</v>
      </c>
      <c r="M3008">
        <v>34</v>
      </c>
      <c r="N3008">
        <v>0</v>
      </c>
      <c r="O3008">
        <v>34</v>
      </c>
      <c r="P3008">
        <v>0</v>
      </c>
    </row>
    <row r="3009" spans="1:16" x14ac:dyDescent="0.25">
      <c r="A3009" t="s">
        <v>25445</v>
      </c>
      <c r="B3009" t="s">
        <v>4201</v>
      </c>
      <c r="C3009" t="s">
        <v>4202</v>
      </c>
      <c r="D3009" t="str">
        <f>"1106"</f>
        <v>1106</v>
      </c>
      <c r="E3009" t="s">
        <v>460</v>
      </c>
      <c r="F3009" t="s">
        <v>3546</v>
      </c>
      <c r="G3009" t="s">
        <v>16221</v>
      </c>
      <c r="H3009" t="s">
        <v>47126</v>
      </c>
      <c r="I3009" t="s">
        <v>47127</v>
      </c>
      <c r="J3009" t="s">
        <v>47128</v>
      </c>
      <c r="K3009" t="s">
        <v>47113</v>
      </c>
      <c r="L3009">
        <v>15.43</v>
      </c>
      <c r="M3009">
        <v>38</v>
      </c>
      <c r="N3009">
        <v>0</v>
      </c>
      <c r="O3009">
        <v>38</v>
      </c>
      <c r="P3009">
        <v>0</v>
      </c>
    </row>
    <row r="3010" spans="1:16" x14ac:dyDescent="0.25">
      <c r="A3010" t="s">
        <v>25446</v>
      </c>
      <c r="B3010" t="s">
        <v>4201</v>
      </c>
      <c r="C3010" t="s">
        <v>4202</v>
      </c>
      <c r="D3010" t="str">
        <f>"3544"</f>
        <v>3544</v>
      </c>
      <c r="E3010" t="s">
        <v>4174</v>
      </c>
      <c r="F3010" t="s">
        <v>3546</v>
      </c>
      <c r="G3010" t="s">
        <v>16221</v>
      </c>
      <c r="H3010" t="s">
        <v>47126</v>
      </c>
      <c r="I3010" t="s">
        <v>47127</v>
      </c>
      <c r="J3010" t="s">
        <v>47128</v>
      </c>
      <c r="K3010" t="s">
        <v>47113</v>
      </c>
      <c r="L3010">
        <v>15.43</v>
      </c>
      <c r="M3010">
        <v>38</v>
      </c>
      <c r="N3010">
        <v>0</v>
      </c>
      <c r="O3010">
        <v>38</v>
      </c>
      <c r="P3010">
        <v>0</v>
      </c>
    </row>
    <row r="3011" spans="1:16" x14ac:dyDescent="0.25">
      <c r="A3011" t="s">
        <v>25447</v>
      </c>
      <c r="B3011" t="s">
        <v>4201</v>
      </c>
      <c r="C3011" t="s">
        <v>4202</v>
      </c>
      <c r="D3011" t="str">
        <f>"4921"</f>
        <v>4921</v>
      </c>
      <c r="E3011" t="s">
        <v>4156</v>
      </c>
      <c r="F3011" t="s">
        <v>3546</v>
      </c>
      <c r="G3011" t="s">
        <v>16221</v>
      </c>
      <c r="H3011" t="s">
        <v>47126</v>
      </c>
      <c r="I3011" t="s">
        <v>47127</v>
      </c>
      <c r="J3011" t="s">
        <v>47128</v>
      </c>
      <c r="K3011" t="s">
        <v>47113</v>
      </c>
      <c r="L3011">
        <v>15.43</v>
      </c>
      <c r="M3011">
        <v>38</v>
      </c>
      <c r="N3011">
        <v>0</v>
      </c>
      <c r="O3011">
        <v>38</v>
      </c>
      <c r="P3011">
        <v>0</v>
      </c>
    </row>
    <row r="3012" spans="1:16" x14ac:dyDescent="0.25">
      <c r="A3012" t="s">
        <v>25448</v>
      </c>
      <c r="B3012" t="s">
        <v>4201</v>
      </c>
      <c r="C3012" t="s">
        <v>4202</v>
      </c>
      <c r="D3012" t="str">
        <f>"6064"</f>
        <v>6064</v>
      </c>
      <c r="E3012" t="s">
        <v>87</v>
      </c>
      <c r="F3012" t="s">
        <v>3546</v>
      </c>
      <c r="G3012" t="s">
        <v>16221</v>
      </c>
      <c r="H3012" t="s">
        <v>47126</v>
      </c>
      <c r="I3012" t="s">
        <v>47127</v>
      </c>
      <c r="J3012" t="s">
        <v>47128</v>
      </c>
      <c r="K3012" t="s">
        <v>47113</v>
      </c>
      <c r="L3012">
        <v>15.43</v>
      </c>
      <c r="M3012">
        <v>38</v>
      </c>
      <c r="N3012">
        <v>0</v>
      </c>
      <c r="O3012">
        <v>38</v>
      </c>
      <c r="P3012">
        <v>0</v>
      </c>
    </row>
    <row r="3013" spans="1:16" x14ac:dyDescent="0.25">
      <c r="A3013" t="s">
        <v>25449</v>
      </c>
      <c r="B3013" t="s">
        <v>4203</v>
      </c>
      <c r="C3013" t="s">
        <v>4204</v>
      </c>
      <c r="D3013" t="str">
        <f>"4143"</f>
        <v>4143</v>
      </c>
      <c r="E3013" t="s">
        <v>261</v>
      </c>
      <c r="F3013" t="s">
        <v>3546</v>
      </c>
      <c r="G3013" t="s">
        <v>16221</v>
      </c>
      <c r="H3013" t="s">
        <v>47126</v>
      </c>
      <c r="I3013" t="s">
        <v>47127</v>
      </c>
      <c r="J3013" t="s">
        <v>47128</v>
      </c>
      <c r="K3013" t="s">
        <v>47113</v>
      </c>
      <c r="L3013">
        <v>18.18</v>
      </c>
      <c r="M3013">
        <v>45</v>
      </c>
      <c r="N3013">
        <v>0</v>
      </c>
      <c r="O3013">
        <v>45</v>
      </c>
      <c r="P3013">
        <v>0</v>
      </c>
    </row>
    <row r="3014" spans="1:16" x14ac:dyDescent="0.25">
      <c r="A3014" t="s">
        <v>25450</v>
      </c>
      <c r="B3014" t="s">
        <v>4205</v>
      </c>
      <c r="C3014" t="s">
        <v>4206</v>
      </c>
      <c r="D3014" t="str">
        <f>"1106"</f>
        <v>1106</v>
      </c>
      <c r="E3014" t="s">
        <v>460</v>
      </c>
      <c r="F3014" t="s">
        <v>3546</v>
      </c>
      <c r="G3014" t="s">
        <v>16221</v>
      </c>
      <c r="H3014" t="s">
        <v>47126</v>
      </c>
      <c r="I3014" t="s">
        <v>47127</v>
      </c>
      <c r="J3014" t="s">
        <v>47128</v>
      </c>
      <c r="K3014" t="s">
        <v>47113</v>
      </c>
      <c r="L3014">
        <v>16.989999999999998</v>
      </c>
      <c r="M3014">
        <v>32</v>
      </c>
      <c r="N3014">
        <v>0</v>
      </c>
      <c r="O3014">
        <v>32</v>
      </c>
      <c r="P3014">
        <v>0</v>
      </c>
    </row>
    <row r="3015" spans="1:16" x14ac:dyDescent="0.25">
      <c r="A3015" t="s">
        <v>25451</v>
      </c>
      <c r="B3015" t="s">
        <v>4205</v>
      </c>
      <c r="C3015" t="s">
        <v>4206</v>
      </c>
      <c r="D3015" t="str">
        <f>"1403"</f>
        <v>1403</v>
      </c>
      <c r="E3015" t="s">
        <v>224</v>
      </c>
      <c r="F3015" t="s">
        <v>3546</v>
      </c>
      <c r="G3015" t="s">
        <v>16221</v>
      </c>
      <c r="H3015" t="s">
        <v>47126</v>
      </c>
      <c r="I3015" t="s">
        <v>47127</v>
      </c>
      <c r="J3015" t="s">
        <v>47128</v>
      </c>
      <c r="K3015" t="s">
        <v>47113</v>
      </c>
      <c r="L3015">
        <v>16.989999999999998</v>
      </c>
      <c r="M3015">
        <v>32</v>
      </c>
      <c r="N3015">
        <v>0</v>
      </c>
      <c r="O3015">
        <v>32</v>
      </c>
      <c r="P3015">
        <v>0</v>
      </c>
    </row>
    <row r="3016" spans="1:16" x14ac:dyDescent="0.25">
      <c r="A3016" t="s">
        <v>25452</v>
      </c>
      <c r="B3016" t="s">
        <v>4205</v>
      </c>
      <c r="C3016" t="s">
        <v>4206</v>
      </c>
      <c r="D3016" t="str">
        <f>"1500"</f>
        <v>1500</v>
      </c>
      <c r="E3016" t="s">
        <v>4160</v>
      </c>
      <c r="F3016" t="s">
        <v>3546</v>
      </c>
      <c r="G3016" t="s">
        <v>16221</v>
      </c>
      <c r="H3016" t="s">
        <v>47126</v>
      </c>
      <c r="I3016" t="s">
        <v>47127</v>
      </c>
      <c r="J3016" t="s">
        <v>47128</v>
      </c>
      <c r="K3016" t="s">
        <v>47113</v>
      </c>
      <c r="L3016">
        <v>16.989999999999998</v>
      </c>
      <c r="M3016">
        <v>32</v>
      </c>
      <c r="N3016">
        <v>0</v>
      </c>
      <c r="O3016">
        <v>32</v>
      </c>
      <c r="P3016">
        <v>0</v>
      </c>
    </row>
    <row r="3017" spans="1:16" x14ac:dyDescent="0.25">
      <c r="A3017" t="s">
        <v>25453</v>
      </c>
      <c r="B3017" t="s">
        <v>4205</v>
      </c>
      <c r="C3017" t="s">
        <v>4206</v>
      </c>
      <c r="D3017" t="str">
        <f>"1700"</f>
        <v>1700</v>
      </c>
      <c r="E3017" t="s">
        <v>60</v>
      </c>
      <c r="F3017" t="s">
        <v>3546</v>
      </c>
      <c r="G3017" t="s">
        <v>16221</v>
      </c>
      <c r="H3017" t="s">
        <v>47126</v>
      </c>
      <c r="I3017" t="s">
        <v>47127</v>
      </c>
      <c r="J3017" t="s">
        <v>47128</v>
      </c>
      <c r="K3017" t="s">
        <v>47113</v>
      </c>
      <c r="L3017">
        <v>16.989999999999998</v>
      </c>
      <c r="M3017">
        <v>32</v>
      </c>
      <c r="N3017">
        <v>0</v>
      </c>
      <c r="O3017">
        <v>32</v>
      </c>
      <c r="P3017">
        <v>0</v>
      </c>
    </row>
    <row r="3018" spans="1:16" x14ac:dyDescent="0.25">
      <c r="A3018" t="s">
        <v>25454</v>
      </c>
      <c r="B3018" t="s">
        <v>4205</v>
      </c>
      <c r="C3018" t="s">
        <v>4206</v>
      </c>
      <c r="D3018" t="str">
        <f>"3544"</f>
        <v>3544</v>
      </c>
      <c r="E3018" t="s">
        <v>4174</v>
      </c>
      <c r="F3018" t="s">
        <v>3546</v>
      </c>
      <c r="G3018" t="s">
        <v>16221</v>
      </c>
      <c r="H3018" t="s">
        <v>47126</v>
      </c>
      <c r="I3018" t="s">
        <v>47127</v>
      </c>
      <c r="J3018" t="s">
        <v>47128</v>
      </c>
      <c r="K3018" t="s">
        <v>47113</v>
      </c>
      <c r="L3018">
        <v>16.989999999999998</v>
      </c>
      <c r="M3018">
        <v>32</v>
      </c>
      <c r="N3018">
        <v>0</v>
      </c>
      <c r="O3018">
        <v>32</v>
      </c>
      <c r="P3018">
        <v>0</v>
      </c>
    </row>
    <row r="3019" spans="1:16" x14ac:dyDescent="0.25">
      <c r="A3019" t="s">
        <v>25455</v>
      </c>
      <c r="B3019" t="s">
        <v>4205</v>
      </c>
      <c r="C3019" t="s">
        <v>4206</v>
      </c>
      <c r="D3019" t="str">
        <f>"4921"</f>
        <v>4921</v>
      </c>
      <c r="E3019" t="s">
        <v>4156</v>
      </c>
      <c r="F3019" t="s">
        <v>3546</v>
      </c>
      <c r="G3019" t="s">
        <v>16221</v>
      </c>
      <c r="H3019" t="s">
        <v>47126</v>
      </c>
      <c r="I3019" t="s">
        <v>47127</v>
      </c>
      <c r="J3019" t="s">
        <v>47128</v>
      </c>
      <c r="K3019" t="s">
        <v>47113</v>
      </c>
      <c r="L3019">
        <v>16.989999999999998</v>
      </c>
      <c r="M3019">
        <v>32</v>
      </c>
      <c r="N3019">
        <v>0</v>
      </c>
      <c r="O3019">
        <v>32</v>
      </c>
      <c r="P3019">
        <v>0</v>
      </c>
    </row>
    <row r="3020" spans="1:16" x14ac:dyDescent="0.25">
      <c r="A3020" t="s">
        <v>25456</v>
      </c>
      <c r="B3020" t="s">
        <v>4205</v>
      </c>
      <c r="C3020" t="s">
        <v>4206</v>
      </c>
      <c r="D3020" t="str">
        <f>"4922"</f>
        <v>4922</v>
      </c>
      <c r="E3020" t="s">
        <v>4175</v>
      </c>
      <c r="F3020" t="s">
        <v>3546</v>
      </c>
      <c r="G3020" t="s">
        <v>16221</v>
      </c>
      <c r="H3020" t="s">
        <v>47126</v>
      </c>
      <c r="I3020" t="s">
        <v>47127</v>
      </c>
      <c r="J3020" t="s">
        <v>47128</v>
      </c>
      <c r="K3020" t="s">
        <v>47113</v>
      </c>
      <c r="L3020">
        <v>16.989999999999998</v>
      </c>
      <c r="M3020">
        <v>32</v>
      </c>
      <c r="N3020">
        <v>0</v>
      </c>
      <c r="O3020">
        <v>32</v>
      </c>
      <c r="P3020">
        <v>0</v>
      </c>
    </row>
    <row r="3021" spans="1:16" x14ac:dyDescent="0.25">
      <c r="A3021" t="s">
        <v>25457</v>
      </c>
      <c r="B3021" t="s">
        <v>4205</v>
      </c>
      <c r="C3021" t="s">
        <v>4206</v>
      </c>
      <c r="D3021" t="str">
        <f>"6064"</f>
        <v>6064</v>
      </c>
      <c r="E3021" t="s">
        <v>87</v>
      </c>
      <c r="F3021" t="s">
        <v>3546</v>
      </c>
      <c r="G3021" t="s">
        <v>16221</v>
      </c>
      <c r="H3021" t="s">
        <v>47126</v>
      </c>
      <c r="I3021" t="s">
        <v>47127</v>
      </c>
      <c r="J3021" t="s">
        <v>47128</v>
      </c>
      <c r="K3021" t="s">
        <v>47113</v>
      </c>
      <c r="L3021">
        <v>16.989999999999998</v>
      </c>
      <c r="M3021">
        <v>32</v>
      </c>
      <c r="N3021">
        <v>0</v>
      </c>
      <c r="O3021">
        <v>32</v>
      </c>
      <c r="P3021">
        <v>0</v>
      </c>
    </row>
    <row r="3022" spans="1:16" x14ac:dyDescent="0.25">
      <c r="A3022" t="s">
        <v>25458</v>
      </c>
      <c r="B3022" t="s">
        <v>4207</v>
      </c>
      <c r="C3022" t="s">
        <v>4208</v>
      </c>
      <c r="D3022" t="str">
        <f>"1106"</f>
        <v>1106</v>
      </c>
      <c r="E3022" t="s">
        <v>460</v>
      </c>
      <c r="F3022" t="s">
        <v>3546</v>
      </c>
      <c r="G3022" t="s">
        <v>16221</v>
      </c>
      <c r="H3022" t="s">
        <v>47126</v>
      </c>
      <c r="I3022" t="s">
        <v>47127</v>
      </c>
      <c r="J3022" t="s">
        <v>47128</v>
      </c>
      <c r="K3022" t="s">
        <v>47113</v>
      </c>
      <c r="L3022">
        <v>15.43</v>
      </c>
      <c r="M3022">
        <v>32</v>
      </c>
      <c r="N3022">
        <v>0</v>
      </c>
      <c r="O3022">
        <v>32</v>
      </c>
      <c r="P3022">
        <v>0</v>
      </c>
    </row>
    <row r="3023" spans="1:16" x14ac:dyDescent="0.25">
      <c r="A3023" t="s">
        <v>25459</v>
      </c>
      <c r="B3023" t="s">
        <v>4207</v>
      </c>
      <c r="C3023" t="s">
        <v>4208</v>
      </c>
      <c r="D3023" t="str">
        <f>"1378"</f>
        <v>1378</v>
      </c>
      <c r="E3023" t="s">
        <v>388</v>
      </c>
      <c r="F3023" t="s">
        <v>3546</v>
      </c>
      <c r="G3023" t="s">
        <v>16221</v>
      </c>
      <c r="H3023" t="s">
        <v>47126</v>
      </c>
      <c r="I3023" t="s">
        <v>47127</v>
      </c>
      <c r="J3023" t="s">
        <v>47128</v>
      </c>
      <c r="K3023" t="s">
        <v>47113</v>
      </c>
      <c r="L3023">
        <v>15.43</v>
      </c>
      <c r="M3023">
        <v>32</v>
      </c>
      <c r="N3023">
        <v>0</v>
      </c>
      <c r="O3023">
        <v>32</v>
      </c>
      <c r="P3023">
        <v>0</v>
      </c>
    </row>
    <row r="3024" spans="1:16" x14ac:dyDescent="0.25">
      <c r="A3024" t="s">
        <v>25460</v>
      </c>
      <c r="B3024" t="s">
        <v>4207</v>
      </c>
      <c r="C3024" t="s">
        <v>4208</v>
      </c>
      <c r="D3024" t="str">
        <f>"1403"</f>
        <v>1403</v>
      </c>
      <c r="E3024" t="s">
        <v>224</v>
      </c>
      <c r="F3024" t="s">
        <v>3546</v>
      </c>
      <c r="G3024" t="s">
        <v>16221</v>
      </c>
      <c r="H3024" t="s">
        <v>47126</v>
      </c>
      <c r="I3024" t="s">
        <v>47127</v>
      </c>
      <c r="J3024" t="s">
        <v>47128</v>
      </c>
      <c r="K3024" t="s">
        <v>47113</v>
      </c>
      <c r="L3024">
        <v>15.43</v>
      </c>
      <c r="M3024">
        <v>32</v>
      </c>
      <c r="N3024">
        <v>0</v>
      </c>
      <c r="O3024">
        <v>32</v>
      </c>
      <c r="P3024">
        <v>0</v>
      </c>
    </row>
    <row r="3025" spans="1:16" x14ac:dyDescent="0.25">
      <c r="A3025" t="s">
        <v>25461</v>
      </c>
      <c r="B3025" t="s">
        <v>4207</v>
      </c>
      <c r="C3025" t="s">
        <v>4208</v>
      </c>
      <c r="D3025" t="str">
        <f>"1500"</f>
        <v>1500</v>
      </c>
      <c r="E3025" t="s">
        <v>4160</v>
      </c>
      <c r="F3025" t="s">
        <v>3546</v>
      </c>
      <c r="G3025" t="s">
        <v>16221</v>
      </c>
      <c r="H3025" t="s">
        <v>47126</v>
      </c>
      <c r="I3025" t="s">
        <v>47127</v>
      </c>
      <c r="J3025" t="s">
        <v>47128</v>
      </c>
      <c r="K3025" t="s">
        <v>47113</v>
      </c>
      <c r="L3025">
        <v>15.43</v>
      </c>
      <c r="M3025">
        <v>32</v>
      </c>
      <c r="N3025">
        <v>0</v>
      </c>
      <c r="O3025">
        <v>32</v>
      </c>
      <c r="P3025">
        <v>0</v>
      </c>
    </row>
    <row r="3026" spans="1:16" x14ac:dyDescent="0.25">
      <c r="A3026" t="s">
        <v>25462</v>
      </c>
      <c r="B3026" t="s">
        <v>4207</v>
      </c>
      <c r="C3026" t="s">
        <v>4208</v>
      </c>
      <c r="D3026" t="str">
        <f>"1700"</f>
        <v>1700</v>
      </c>
      <c r="E3026" t="s">
        <v>60</v>
      </c>
      <c r="F3026" t="s">
        <v>3546</v>
      </c>
      <c r="G3026" t="s">
        <v>16221</v>
      </c>
      <c r="H3026" t="s">
        <v>47126</v>
      </c>
      <c r="I3026" t="s">
        <v>47127</v>
      </c>
      <c r="J3026" t="s">
        <v>47128</v>
      </c>
      <c r="K3026" t="s">
        <v>47113</v>
      </c>
      <c r="L3026">
        <v>15.43</v>
      </c>
      <c r="M3026">
        <v>32</v>
      </c>
      <c r="N3026">
        <v>0</v>
      </c>
      <c r="O3026">
        <v>32</v>
      </c>
      <c r="P3026">
        <v>0</v>
      </c>
    </row>
    <row r="3027" spans="1:16" x14ac:dyDescent="0.25">
      <c r="A3027" t="s">
        <v>25463</v>
      </c>
      <c r="B3027" t="s">
        <v>4207</v>
      </c>
      <c r="C3027" t="s">
        <v>4208</v>
      </c>
      <c r="D3027" t="str">
        <f>"3544"</f>
        <v>3544</v>
      </c>
      <c r="E3027" t="s">
        <v>4174</v>
      </c>
      <c r="F3027" t="s">
        <v>3546</v>
      </c>
      <c r="G3027" t="s">
        <v>16221</v>
      </c>
      <c r="H3027" t="s">
        <v>47126</v>
      </c>
      <c r="I3027" t="s">
        <v>47127</v>
      </c>
      <c r="J3027" t="s">
        <v>47128</v>
      </c>
      <c r="K3027" t="s">
        <v>47113</v>
      </c>
      <c r="L3027">
        <v>15.43</v>
      </c>
      <c r="M3027">
        <v>32</v>
      </c>
      <c r="N3027">
        <v>0</v>
      </c>
      <c r="O3027">
        <v>32</v>
      </c>
      <c r="P3027">
        <v>0</v>
      </c>
    </row>
    <row r="3028" spans="1:16" x14ac:dyDescent="0.25">
      <c r="A3028" t="s">
        <v>25464</v>
      </c>
      <c r="B3028" t="s">
        <v>4207</v>
      </c>
      <c r="C3028" t="s">
        <v>4208</v>
      </c>
      <c r="D3028" t="str">
        <f>"4921"</f>
        <v>4921</v>
      </c>
      <c r="E3028" t="s">
        <v>4156</v>
      </c>
      <c r="F3028" t="s">
        <v>3546</v>
      </c>
      <c r="G3028" t="s">
        <v>16221</v>
      </c>
      <c r="H3028" t="s">
        <v>47126</v>
      </c>
      <c r="I3028" t="s">
        <v>47127</v>
      </c>
      <c r="J3028" t="s">
        <v>47128</v>
      </c>
      <c r="K3028" t="s">
        <v>47113</v>
      </c>
      <c r="L3028">
        <v>15.43</v>
      </c>
      <c r="M3028">
        <v>32</v>
      </c>
      <c r="N3028">
        <v>0</v>
      </c>
      <c r="O3028">
        <v>32</v>
      </c>
      <c r="P3028">
        <v>0</v>
      </c>
    </row>
    <row r="3029" spans="1:16" x14ac:dyDescent="0.25">
      <c r="A3029" t="s">
        <v>14910</v>
      </c>
      <c r="B3029" t="s">
        <v>4207</v>
      </c>
      <c r="C3029" t="s">
        <v>4208</v>
      </c>
      <c r="D3029" t="str">
        <f>"4922"</f>
        <v>4922</v>
      </c>
      <c r="E3029" t="s">
        <v>4175</v>
      </c>
      <c r="F3029" t="s">
        <v>3546</v>
      </c>
      <c r="G3029" t="s">
        <v>16221</v>
      </c>
      <c r="H3029" t="s">
        <v>47126</v>
      </c>
      <c r="I3029" t="s">
        <v>47127</v>
      </c>
      <c r="J3029" t="s">
        <v>47128</v>
      </c>
      <c r="K3029" t="s">
        <v>47113</v>
      </c>
      <c r="L3029">
        <v>15.43</v>
      </c>
      <c r="M3029">
        <v>32</v>
      </c>
      <c r="N3029">
        <v>0</v>
      </c>
      <c r="O3029">
        <v>32</v>
      </c>
      <c r="P3029">
        <v>0</v>
      </c>
    </row>
    <row r="3030" spans="1:16" x14ac:dyDescent="0.25">
      <c r="A3030" t="s">
        <v>25465</v>
      </c>
      <c r="B3030" t="s">
        <v>4207</v>
      </c>
      <c r="C3030" t="s">
        <v>4208</v>
      </c>
      <c r="D3030" t="str">
        <f>"6064"</f>
        <v>6064</v>
      </c>
      <c r="E3030" t="s">
        <v>87</v>
      </c>
      <c r="F3030" t="s">
        <v>3546</v>
      </c>
      <c r="G3030" t="s">
        <v>16221</v>
      </c>
      <c r="H3030" t="s">
        <v>47126</v>
      </c>
      <c r="I3030" t="s">
        <v>47127</v>
      </c>
      <c r="J3030" t="s">
        <v>47128</v>
      </c>
      <c r="K3030" t="s">
        <v>47113</v>
      </c>
      <c r="L3030">
        <v>15.43</v>
      </c>
      <c r="M3030">
        <v>32</v>
      </c>
      <c r="N3030">
        <v>0</v>
      </c>
      <c r="O3030">
        <v>32</v>
      </c>
      <c r="P3030">
        <v>0</v>
      </c>
    </row>
    <row r="3031" spans="1:16" x14ac:dyDescent="0.25">
      <c r="A3031" t="s">
        <v>25466</v>
      </c>
      <c r="B3031" t="s">
        <v>4209</v>
      </c>
      <c r="C3031" t="s">
        <v>4210</v>
      </c>
      <c r="D3031" t="str">
        <f>"1106"</f>
        <v>1106</v>
      </c>
      <c r="E3031" t="s">
        <v>460</v>
      </c>
      <c r="F3031" t="s">
        <v>3546</v>
      </c>
      <c r="G3031" t="s">
        <v>16221</v>
      </c>
      <c r="H3031" t="s">
        <v>47126</v>
      </c>
      <c r="I3031" t="s">
        <v>47127</v>
      </c>
      <c r="J3031" t="s">
        <v>47128</v>
      </c>
      <c r="K3031" t="s">
        <v>47113</v>
      </c>
      <c r="L3031">
        <v>15.43</v>
      </c>
      <c r="M3031">
        <v>38</v>
      </c>
      <c r="N3031">
        <v>0</v>
      </c>
      <c r="O3031">
        <v>38</v>
      </c>
      <c r="P3031">
        <v>0</v>
      </c>
    </row>
    <row r="3032" spans="1:16" x14ac:dyDescent="0.25">
      <c r="A3032" t="s">
        <v>25467</v>
      </c>
      <c r="B3032" t="s">
        <v>4209</v>
      </c>
      <c r="C3032" t="s">
        <v>4210</v>
      </c>
      <c r="D3032" t="str">
        <f>"1378"</f>
        <v>1378</v>
      </c>
      <c r="E3032" t="s">
        <v>388</v>
      </c>
      <c r="F3032" t="s">
        <v>3546</v>
      </c>
      <c r="G3032" t="s">
        <v>16221</v>
      </c>
      <c r="H3032" t="s">
        <v>47126</v>
      </c>
      <c r="I3032" t="s">
        <v>47127</v>
      </c>
      <c r="J3032" t="s">
        <v>47128</v>
      </c>
      <c r="K3032" t="s">
        <v>47113</v>
      </c>
      <c r="L3032">
        <v>15.43</v>
      </c>
      <c r="M3032">
        <v>38</v>
      </c>
      <c r="N3032">
        <v>0</v>
      </c>
      <c r="O3032">
        <v>38</v>
      </c>
      <c r="P3032">
        <v>0</v>
      </c>
    </row>
    <row r="3033" spans="1:16" x14ac:dyDescent="0.25">
      <c r="A3033" t="s">
        <v>25468</v>
      </c>
      <c r="B3033" t="s">
        <v>4209</v>
      </c>
      <c r="C3033" t="s">
        <v>4210</v>
      </c>
      <c r="D3033" t="str">
        <f>"1403"</f>
        <v>1403</v>
      </c>
      <c r="E3033" t="s">
        <v>224</v>
      </c>
      <c r="F3033" t="s">
        <v>3546</v>
      </c>
      <c r="G3033" t="s">
        <v>16221</v>
      </c>
      <c r="H3033" t="s">
        <v>47126</v>
      </c>
      <c r="I3033" t="s">
        <v>47127</v>
      </c>
      <c r="J3033" t="s">
        <v>47128</v>
      </c>
      <c r="K3033" t="s">
        <v>47113</v>
      </c>
      <c r="L3033">
        <v>15.43</v>
      </c>
      <c r="M3033">
        <v>38</v>
      </c>
      <c r="N3033">
        <v>0</v>
      </c>
      <c r="O3033">
        <v>38</v>
      </c>
      <c r="P3033">
        <v>0</v>
      </c>
    </row>
    <row r="3034" spans="1:16" x14ac:dyDescent="0.25">
      <c r="A3034" t="s">
        <v>25469</v>
      </c>
      <c r="B3034" t="s">
        <v>4209</v>
      </c>
      <c r="C3034" t="s">
        <v>4210</v>
      </c>
      <c r="D3034" t="str">
        <f>"1500"</f>
        <v>1500</v>
      </c>
      <c r="E3034" t="s">
        <v>4160</v>
      </c>
      <c r="F3034" t="s">
        <v>3546</v>
      </c>
      <c r="G3034" t="s">
        <v>16221</v>
      </c>
      <c r="H3034" t="s">
        <v>47126</v>
      </c>
      <c r="I3034" t="s">
        <v>47127</v>
      </c>
      <c r="J3034" t="s">
        <v>47128</v>
      </c>
      <c r="K3034" t="s">
        <v>47113</v>
      </c>
      <c r="L3034">
        <v>15.43</v>
      </c>
      <c r="M3034">
        <v>38</v>
      </c>
      <c r="N3034">
        <v>0</v>
      </c>
      <c r="O3034">
        <v>38</v>
      </c>
      <c r="P3034">
        <v>0</v>
      </c>
    </row>
    <row r="3035" spans="1:16" x14ac:dyDescent="0.25">
      <c r="A3035" t="s">
        <v>25470</v>
      </c>
      <c r="B3035" t="s">
        <v>4209</v>
      </c>
      <c r="C3035" t="s">
        <v>4210</v>
      </c>
      <c r="D3035" t="str">
        <f>"1700"</f>
        <v>1700</v>
      </c>
      <c r="E3035" t="s">
        <v>60</v>
      </c>
      <c r="F3035" t="s">
        <v>3546</v>
      </c>
      <c r="G3035" t="s">
        <v>16221</v>
      </c>
      <c r="H3035" t="s">
        <v>47126</v>
      </c>
      <c r="I3035" t="s">
        <v>47127</v>
      </c>
      <c r="J3035" t="s">
        <v>47128</v>
      </c>
      <c r="K3035" t="s">
        <v>47113</v>
      </c>
      <c r="L3035">
        <v>15.43</v>
      </c>
      <c r="M3035">
        <v>38</v>
      </c>
      <c r="N3035">
        <v>0</v>
      </c>
      <c r="O3035">
        <v>38</v>
      </c>
      <c r="P3035">
        <v>0</v>
      </c>
    </row>
    <row r="3036" spans="1:16" x14ac:dyDescent="0.25">
      <c r="A3036" t="s">
        <v>25471</v>
      </c>
      <c r="B3036" t="s">
        <v>4209</v>
      </c>
      <c r="C3036" t="s">
        <v>4210</v>
      </c>
      <c r="D3036" t="str">
        <f>"3544"</f>
        <v>3544</v>
      </c>
      <c r="E3036" t="s">
        <v>4174</v>
      </c>
      <c r="F3036" t="s">
        <v>3546</v>
      </c>
      <c r="G3036" t="s">
        <v>16221</v>
      </c>
      <c r="H3036" t="s">
        <v>47126</v>
      </c>
      <c r="I3036" t="s">
        <v>47127</v>
      </c>
      <c r="J3036" t="s">
        <v>47128</v>
      </c>
      <c r="K3036" t="s">
        <v>47113</v>
      </c>
      <c r="L3036">
        <v>15.43</v>
      </c>
      <c r="M3036">
        <v>38</v>
      </c>
      <c r="N3036">
        <v>0</v>
      </c>
      <c r="O3036">
        <v>38</v>
      </c>
      <c r="P3036">
        <v>0</v>
      </c>
    </row>
    <row r="3037" spans="1:16" x14ac:dyDescent="0.25">
      <c r="A3037" t="s">
        <v>25472</v>
      </c>
      <c r="B3037" t="s">
        <v>4209</v>
      </c>
      <c r="C3037" t="s">
        <v>4210</v>
      </c>
      <c r="D3037" t="str">
        <f>"4921"</f>
        <v>4921</v>
      </c>
      <c r="E3037" t="s">
        <v>4156</v>
      </c>
      <c r="F3037" t="s">
        <v>3546</v>
      </c>
      <c r="G3037" t="s">
        <v>16221</v>
      </c>
      <c r="H3037" t="s">
        <v>47126</v>
      </c>
      <c r="I3037" t="s">
        <v>47127</v>
      </c>
      <c r="J3037" t="s">
        <v>47128</v>
      </c>
      <c r="K3037" t="s">
        <v>47113</v>
      </c>
      <c r="L3037">
        <v>15.43</v>
      </c>
      <c r="M3037">
        <v>38</v>
      </c>
      <c r="N3037">
        <v>0</v>
      </c>
      <c r="O3037">
        <v>38</v>
      </c>
      <c r="P3037">
        <v>0</v>
      </c>
    </row>
    <row r="3038" spans="1:16" x14ac:dyDescent="0.25">
      <c r="A3038" t="s">
        <v>25473</v>
      </c>
      <c r="B3038" t="s">
        <v>4209</v>
      </c>
      <c r="C3038" t="s">
        <v>4210</v>
      </c>
      <c r="D3038" t="str">
        <f>"4922"</f>
        <v>4922</v>
      </c>
      <c r="E3038" t="s">
        <v>4175</v>
      </c>
      <c r="F3038" t="s">
        <v>3546</v>
      </c>
      <c r="G3038" t="s">
        <v>16221</v>
      </c>
      <c r="H3038" t="s">
        <v>47126</v>
      </c>
      <c r="I3038" t="s">
        <v>47127</v>
      </c>
      <c r="J3038" t="s">
        <v>47128</v>
      </c>
      <c r="K3038" t="s">
        <v>47113</v>
      </c>
      <c r="L3038">
        <v>15.43</v>
      </c>
      <c r="M3038">
        <v>38</v>
      </c>
      <c r="N3038">
        <v>0</v>
      </c>
      <c r="O3038">
        <v>38</v>
      </c>
      <c r="P3038">
        <v>0</v>
      </c>
    </row>
    <row r="3039" spans="1:16" x14ac:dyDescent="0.25">
      <c r="A3039" t="s">
        <v>25474</v>
      </c>
      <c r="B3039" t="s">
        <v>4209</v>
      </c>
      <c r="C3039" t="s">
        <v>4210</v>
      </c>
      <c r="D3039" t="str">
        <f>"6064"</f>
        <v>6064</v>
      </c>
      <c r="E3039" t="s">
        <v>87</v>
      </c>
      <c r="F3039" t="s">
        <v>3546</v>
      </c>
      <c r="G3039" t="s">
        <v>16221</v>
      </c>
      <c r="H3039" t="s">
        <v>47126</v>
      </c>
      <c r="I3039" t="s">
        <v>47127</v>
      </c>
      <c r="J3039" t="s">
        <v>47128</v>
      </c>
      <c r="K3039" t="s">
        <v>47113</v>
      </c>
      <c r="L3039">
        <v>15.43</v>
      </c>
      <c r="M3039">
        <v>38</v>
      </c>
      <c r="N3039">
        <v>0</v>
      </c>
      <c r="O3039">
        <v>38</v>
      </c>
      <c r="P3039">
        <v>0</v>
      </c>
    </row>
    <row r="3040" spans="1:16" x14ac:dyDescent="0.25">
      <c r="A3040" t="s">
        <v>25475</v>
      </c>
      <c r="B3040" t="s">
        <v>4211</v>
      </c>
      <c r="C3040" t="s">
        <v>4212</v>
      </c>
      <c r="D3040" t="s">
        <v>4056</v>
      </c>
      <c r="E3040" t="s">
        <v>4057</v>
      </c>
      <c r="F3040" t="s">
        <v>3546</v>
      </c>
      <c r="G3040" t="s">
        <v>16221</v>
      </c>
      <c r="H3040" t="s">
        <v>47153</v>
      </c>
      <c r="I3040" t="s">
        <v>47176</v>
      </c>
      <c r="J3040" t="s">
        <v>47177</v>
      </c>
      <c r="K3040" t="s">
        <v>47113</v>
      </c>
      <c r="L3040">
        <v>11.79</v>
      </c>
      <c r="M3040">
        <v>26</v>
      </c>
      <c r="N3040">
        <v>0</v>
      </c>
      <c r="O3040">
        <v>26</v>
      </c>
      <c r="P3040">
        <v>0</v>
      </c>
    </row>
    <row r="3041" spans="1:16" x14ac:dyDescent="0.25">
      <c r="A3041" t="s">
        <v>25476</v>
      </c>
      <c r="B3041" t="s">
        <v>4213</v>
      </c>
      <c r="C3041" t="s">
        <v>4214</v>
      </c>
      <c r="D3041" t="str">
        <f>"1106"</f>
        <v>1106</v>
      </c>
      <c r="E3041" t="s">
        <v>460</v>
      </c>
      <c r="F3041" t="s">
        <v>3546</v>
      </c>
      <c r="G3041" t="s">
        <v>16221</v>
      </c>
      <c r="H3041" t="s">
        <v>47126</v>
      </c>
      <c r="I3041" t="s">
        <v>47127</v>
      </c>
      <c r="J3041" t="s">
        <v>47128</v>
      </c>
      <c r="K3041" t="s">
        <v>47113</v>
      </c>
      <c r="L3041">
        <v>14.23</v>
      </c>
      <c r="M3041">
        <v>27</v>
      </c>
      <c r="N3041">
        <v>0</v>
      </c>
      <c r="O3041">
        <v>27</v>
      </c>
      <c r="P3041">
        <v>0</v>
      </c>
    </row>
    <row r="3042" spans="1:16" x14ac:dyDescent="0.25">
      <c r="A3042" t="s">
        <v>25477</v>
      </c>
      <c r="B3042" t="s">
        <v>4213</v>
      </c>
      <c r="C3042" t="s">
        <v>4214</v>
      </c>
      <c r="D3042" t="str">
        <f>"1378"</f>
        <v>1378</v>
      </c>
      <c r="E3042" t="s">
        <v>388</v>
      </c>
      <c r="F3042" t="s">
        <v>3546</v>
      </c>
      <c r="G3042" t="s">
        <v>16221</v>
      </c>
      <c r="H3042" t="s">
        <v>47126</v>
      </c>
      <c r="I3042" t="s">
        <v>47127</v>
      </c>
      <c r="J3042" t="s">
        <v>47128</v>
      </c>
      <c r="K3042" t="s">
        <v>47113</v>
      </c>
      <c r="L3042">
        <v>14.23</v>
      </c>
      <c r="M3042">
        <v>27</v>
      </c>
      <c r="N3042">
        <v>0</v>
      </c>
      <c r="O3042">
        <v>27</v>
      </c>
      <c r="P3042">
        <v>0</v>
      </c>
    </row>
    <row r="3043" spans="1:16" x14ac:dyDescent="0.25">
      <c r="A3043" t="s">
        <v>25478</v>
      </c>
      <c r="B3043" t="s">
        <v>4213</v>
      </c>
      <c r="C3043" t="s">
        <v>4214</v>
      </c>
      <c r="D3043" t="str">
        <f>"1403"</f>
        <v>1403</v>
      </c>
      <c r="E3043" t="s">
        <v>224</v>
      </c>
      <c r="F3043" t="s">
        <v>3546</v>
      </c>
      <c r="G3043" t="s">
        <v>16221</v>
      </c>
      <c r="H3043" t="s">
        <v>47126</v>
      </c>
      <c r="I3043" t="s">
        <v>47127</v>
      </c>
      <c r="J3043" t="s">
        <v>47128</v>
      </c>
      <c r="K3043" t="s">
        <v>47113</v>
      </c>
      <c r="L3043">
        <v>14.23</v>
      </c>
      <c r="M3043">
        <v>27</v>
      </c>
      <c r="N3043">
        <v>0</v>
      </c>
      <c r="O3043">
        <v>27</v>
      </c>
      <c r="P3043">
        <v>0</v>
      </c>
    </row>
    <row r="3044" spans="1:16" x14ac:dyDescent="0.25">
      <c r="A3044" t="s">
        <v>25479</v>
      </c>
      <c r="B3044" t="s">
        <v>4213</v>
      </c>
      <c r="C3044" t="s">
        <v>4214</v>
      </c>
      <c r="D3044" t="str">
        <f>"1500"</f>
        <v>1500</v>
      </c>
      <c r="E3044" t="s">
        <v>4160</v>
      </c>
      <c r="F3044" t="s">
        <v>3546</v>
      </c>
      <c r="G3044" t="s">
        <v>16221</v>
      </c>
      <c r="H3044" t="s">
        <v>47126</v>
      </c>
      <c r="I3044" t="s">
        <v>47127</v>
      </c>
      <c r="J3044" t="s">
        <v>47128</v>
      </c>
      <c r="K3044" t="s">
        <v>47113</v>
      </c>
      <c r="L3044">
        <v>14.23</v>
      </c>
      <c r="M3044">
        <v>27</v>
      </c>
      <c r="N3044">
        <v>0</v>
      </c>
      <c r="O3044">
        <v>27</v>
      </c>
      <c r="P3044">
        <v>0</v>
      </c>
    </row>
    <row r="3045" spans="1:16" x14ac:dyDescent="0.25">
      <c r="A3045" t="s">
        <v>25480</v>
      </c>
      <c r="B3045" t="s">
        <v>4213</v>
      </c>
      <c r="C3045" t="s">
        <v>4214</v>
      </c>
      <c r="D3045" t="str">
        <f>"1700"</f>
        <v>1700</v>
      </c>
      <c r="E3045" t="s">
        <v>60</v>
      </c>
      <c r="F3045" t="s">
        <v>3546</v>
      </c>
      <c r="G3045" t="s">
        <v>16221</v>
      </c>
      <c r="H3045" t="s">
        <v>47126</v>
      </c>
      <c r="I3045" t="s">
        <v>47127</v>
      </c>
      <c r="J3045" t="s">
        <v>47128</v>
      </c>
      <c r="K3045" t="s">
        <v>47113</v>
      </c>
      <c r="L3045">
        <v>14.23</v>
      </c>
      <c r="M3045">
        <v>27</v>
      </c>
      <c r="N3045">
        <v>0</v>
      </c>
      <c r="O3045">
        <v>27</v>
      </c>
      <c r="P3045">
        <v>0</v>
      </c>
    </row>
    <row r="3046" spans="1:16" x14ac:dyDescent="0.25">
      <c r="A3046" t="s">
        <v>25481</v>
      </c>
      <c r="B3046" t="s">
        <v>4213</v>
      </c>
      <c r="C3046" t="s">
        <v>4214</v>
      </c>
      <c r="D3046" t="str">
        <f>"3544"</f>
        <v>3544</v>
      </c>
      <c r="E3046" t="s">
        <v>4174</v>
      </c>
      <c r="F3046" t="s">
        <v>3546</v>
      </c>
      <c r="G3046" t="s">
        <v>16221</v>
      </c>
      <c r="H3046" t="s">
        <v>47126</v>
      </c>
      <c r="I3046" t="s">
        <v>47127</v>
      </c>
      <c r="J3046" t="s">
        <v>47128</v>
      </c>
      <c r="K3046" t="s">
        <v>47113</v>
      </c>
      <c r="L3046">
        <v>14.23</v>
      </c>
      <c r="M3046">
        <v>27</v>
      </c>
      <c r="N3046">
        <v>0</v>
      </c>
      <c r="O3046">
        <v>27</v>
      </c>
      <c r="P3046">
        <v>0</v>
      </c>
    </row>
    <row r="3047" spans="1:16" x14ac:dyDescent="0.25">
      <c r="A3047" t="s">
        <v>25482</v>
      </c>
      <c r="B3047" t="s">
        <v>4213</v>
      </c>
      <c r="C3047" t="s">
        <v>4214</v>
      </c>
      <c r="D3047" t="str">
        <f>"4921"</f>
        <v>4921</v>
      </c>
      <c r="E3047" t="s">
        <v>4156</v>
      </c>
      <c r="F3047" t="s">
        <v>3546</v>
      </c>
      <c r="G3047" t="s">
        <v>16221</v>
      </c>
      <c r="H3047" t="s">
        <v>47126</v>
      </c>
      <c r="I3047" t="s">
        <v>47127</v>
      </c>
      <c r="J3047" t="s">
        <v>47128</v>
      </c>
      <c r="K3047" t="s">
        <v>47113</v>
      </c>
      <c r="L3047">
        <v>14.23</v>
      </c>
      <c r="M3047">
        <v>27</v>
      </c>
      <c r="N3047">
        <v>0</v>
      </c>
      <c r="O3047">
        <v>27</v>
      </c>
      <c r="P3047">
        <v>0</v>
      </c>
    </row>
    <row r="3048" spans="1:16" x14ac:dyDescent="0.25">
      <c r="A3048" t="s">
        <v>25483</v>
      </c>
      <c r="B3048" t="s">
        <v>4213</v>
      </c>
      <c r="C3048" t="s">
        <v>4214</v>
      </c>
      <c r="D3048" t="str">
        <f>"4922"</f>
        <v>4922</v>
      </c>
      <c r="E3048" t="s">
        <v>4175</v>
      </c>
      <c r="F3048" t="s">
        <v>3546</v>
      </c>
      <c r="G3048" t="s">
        <v>16221</v>
      </c>
      <c r="H3048" t="s">
        <v>47126</v>
      </c>
      <c r="I3048" t="s">
        <v>47127</v>
      </c>
      <c r="J3048" t="s">
        <v>47128</v>
      </c>
      <c r="K3048" t="s">
        <v>47113</v>
      </c>
      <c r="L3048">
        <v>14.23</v>
      </c>
      <c r="M3048">
        <v>27</v>
      </c>
      <c r="N3048">
        <v>0</v>
      </c>
      <c r="O3048">
        <v>27</v>
      </c>
      <c r="P3048">
        <v>0</v>
      </c>
    </row>
    <row r="3049" spans="1:16" x14ac:dyDescent="0.25">
      <c r="A3049" t="s">
        <v>25484</v>
      </c>
      <c r="B3049" t="s">
        <v>4213</v>
      </c>
      <c r="C3049" t="s">
        <v>4214</v>
      </c>
      <c r="D3049" t="str">
        <f>"6064"</f>
        <v>6064</v>
      </c>
      <c r="E3049" t="s">
        <v>87</v>
      </c>
      <c r="F3049" t="s">
        <v>3546</v>
      </c>
      <c r="G3049" t="s">
        <v>16221</v>
      </c>
      <c r="H3049" t="s">
        <v>47126</v>
      </c>
      <c r="I3049" t="s">
        <v>47127</v>
      </c>
      <c r="J3049" t="s">
        <v>47128</v>
      </c>
      <c r="K3049" t="s">
        <v>47113</v>
      </c>
      <c r="L3049">
        <v>14.23</v>
      </c>
      <c r="M3049">
        <v>27</v>
      </c>
      <c r="N3049">
        <v>0</v>
      </c>
      <c r="O3049">
        <v>27</v>
      </c>
      <c r="P3049">
        <v>0</v>
      </c>
    </row>
    <row r="3050" spans="1:16" x14ac:dyDescent="0.25">
      <c r="A3050" t="s">
        <v>25485</v>
      </c>
      <c r="B3050" t="s">
        <v>4215</v>
      </c>
      <c r="C3050" t="s">
        <v>4216</v>
      </c>
      <c r="D3050" t="str">
        <f>"1106"</f>
        <v>1106</v>
      </c>
      <c r="E3050" t="s">
        <v>460</v>
      </c>
      <c r="F3050" t="s">
        <v>3546</v>
      </c>
      <c r="G3050" t="s">
        <v>16221</v>
      </c>
      <c r="H3050" t="s">
        <v>47126</v>
      </c>
      <c r="I3050" t="s">
        <v>47127</v>
      </c>
      <c r="J3050" t="s">
        <v>47128</v>
      </c>
      <c r="K3050" t="s">
        <v>47113</v>
      </c>
      <c r="L3050">
        <v>13.03</v>
      </c>
      <c r="M3050">
        <v>25</v>
      </c>
      <c r="N3050">
        <v>0</v>
      </c>
      <c r="O3050">
        <v>25</v>
      </c>
      <c r="P3050">
        <v>0</v>
      </c>
    </row>
    <row r="3051" spans="1:16" x14ac:dyDescent="0.25">
      <c r="A3051" t="s">
        <v>25486</v>
      </c>
      <c r="B3051" t="s">
        <v>4215</v>
      </c>
      <c r="C3051" t="s">
        <v>4216</v>
      </c>
      <c r="D3051" t="str">
        <f>"1378"</f>
        <v>1378</v>
      </c>
      <c r="E3051" t="s">
        <v>388</v>
      </c>
      <c r="F3051" t="s">
        <v>3546</v>
      </c>
      <c r="G3051" t="s">
        <v>16221</v>
      </c>
      <c r="H3051" t="s">
        <v>47126</v>
      </c>
      <c r="I3051" t="s">
        <v>47127</v>
      </c>
      <c r="J3051" t="s">
        <v>47128</v>
      </c>
      <c r="K3051" t="s">
        <v>47113</v>
      </c>
      <c r="L3051">
        <v>13.03</v>
      </c>
      <c r="M3051">
        <v>25</v>
      </c>
      <c r="N3051">
        <v>0</v>
      </c>
      <c r="O3051">
        <v>25</v>
      </c>
      <c r="P3051">
        <v>0</v>
      </c>
    </row>
    <row r="3052" spans="1:16" x14ac:dyDescent="0.25">
      <c r="A3052" t="s">
        <v>14911</v>
      </c>
      <c r="B3052" t="s">
        <v>4215</v>
      </c>
      <c r="C3052" t="s">
        <v>4216</v>
      </c>
      <c r="D3052" t="str">
        <f>"1403"</f>
        <v>1403</v>
      </c>
      <c r="E3052" t="s">
        <v>224</v>
      </c>
      <c r="F3052" t="s">
        <v>3546</v>
      </c>
      <c r="G3052" t="s">
        <v>16221</v>
      </c>
      <c r="H3052" t="s">
        <v>47126</v>
      </c>
      <c r="I3052" t="s">
        <v>47127</v>
      </c>
      <c r="J3052" t="s">
        <v>47128</v>
      </c>
      <c r="K3052" t="s">
        <v>47113</v>
      </c>
      <c r="L3052">
        <v>13.03</v>
      </c>
      <c r="M3052">
        <v>25</v>
      </c>
      <c r="N3052">
        <v>0</v>
      </c>
      <c r="O3052">
        <v>25</v>
      </c>
      <c r="P3052">
        <v>0</v>
      </c>
    </row>
    <row r="3053" spans="1:16" x14ac:dyDescent="0.25">
      <c r="A3053" t="s">
        <v>25487</v>
      </c>
      <c r="B3053" t="s">
        <v>4215</v>
      </c>
      <c r="C3053" t="s">
        <v>4216</v>
      </c>
      <c r="D3053" t="str">
        <f>"1700"</f>
        <v>1700</v>
      </c>
      <c r="E3053" t="s">
        <v>60</v>
      </c>
      <c r="F3053" t="s">
        <v>3546</v>
      </c>
      <c r="G3053" t="s">
        <v>16221</v>
      </c>
      <c r="H3053" t="s">
        <v>47126</v>
      </c>
      <c r="I3053" t="s">
        <v>47127</v>
      </c>
      <c r="J3053" t="s">
        <v>47128</v>
      </c>
      <c r="K3053" t="s">
        <v>47113</v>
      </c>
      <c r="L3053">
        <v>13.03</v>
      </c>
      <c r="M3053">
        <v>25</v>
      </c>
      <c r="N3053">
        <v>0</v>
      </c>
      <c r="O3053">
        <v>25</v>
      </c>
      <c r="P3053">
        <v>0</v>
      </c>
    </row>
    <row r="3054" spans="1:16" x14ac:dyDescent="0.25">
      <c r="A3054" t="s">
        <v>25488</v>
      </c>
      <c r="B3054" t="s">
        <v>4215</v>
      </c>
      <c r="C3054" t="s">
        <v>4216</v>
      </c>
      <c r="D3054" t="str">
        <f>"3544"</f>
        <v>3544</v>
      </c>
      <c r="E3054" t="s">
        <v>4174</v>
      </c>
      <c r="F3054" t="s">
        <v>3546</v>
      </c>
      <c r="G3054" t="s">
        <v>16221</v>
      </c>
      <c r="H3054" t="s">
        <v>47126</v>
      </c>
      <c r="I3054" t="s">
        <v>47127</v>
      </c>
      <c r="J3054" t="s">
        <v>47128</v>
      </c>
      <c r="K3054" t="s">
        <v>47113</v>
      </c>
      <c r="L3054">
        <v>13.03</v>
      </c>
      <c r="M3054">
        <v>25</v>
      </c>
      <c r="N3054">
        <v>0</v>
      </c>
      <c r="O3054">
        <v>25</v>
      </c>
      <c r="P3054">
        <v>0</v>
      </c>
    </row>
    <row r="3055" spans="1:16" x14ac:dyDescent="0.25">
      <c r="A3055" t="s">
        <v>25489</v>
      </c>
      <c r="B3055" t="s">
        <v>4215</v>
      </c>
      <c r="C3055" t="s">
        <v>4216</v>
      </c>
      <c r="D3055" t="str">
        <f>"4921"</f>
        <v>4921</v>
      </c>
      <c r="E3055" t="s">
        <v>4156</v>
      </c>
      <c r="F3055" t="s">
        <v>3546</v>
      </c>
      <c r="G3055" t="s">
        <v>16221</v>
      </c>
      <c r="H3055" t="s">
        <v>47126</v>
      </c>
      <c r="I3055" t="s">
        <v>47127</v>
      </c>
      <c r="J3055" t="s">
        <v>47128</v>
      </c>
      <c r="K3055" t="s">
        <v>47113</v>
      </c>
      <c r="L3055">
        <v>13.03</v>
      </c>
      <c r="M3055">
        <v>25</v>
      </c>
      <c r="N3055">
        <v>0</v>
      </c>
      <c r="O3055">
        <v>25</v>
      </c>
      <c r="P3055">
        <v>0</v>
      </c>
    </row>
    <row r="3056" spans="1:16" x14ac:dyDescent="0.25">
      <c r="A3056" t="s">
        <v>25490</v>
      </c>
      <c r="B3056" t="s">
        <v>4215</v>
      </c>
      <c r="C3056" t="s">
        <v>4216</v>
      </c>
      <c r="D3056" t="str">
        <f>"4922"</f>
        <v>4922</v>
      </c>
      <c r="E3056" t="s">
        <v>4175</v>
      </c>
      <c r="F3056" t="s">
        <v>3546</v>
      </c>
      <c r="G3056" t="s">
        <v>16221</v>
      </c>
      <c r="H3056" t="s">
        <v>47126</v>
      </c>
      <c r="I3056" t="s">
        <v>47127</v>
      </c>
      <c r="J3056" t="s">
        <v>47128</v>
      </c>
      <c r="K3056" t="s">
        <v>47113</v>
      </c>
      <c r="L3056">
        <v>13.03</v>
      </c>
      <c r="M3056">
        <v>25</v>
      </c>
      <c r="N3056">
        <v>0</v>
      </c>
      <c r="O3056">
        <v>25</v>
      </c>
      <c r="P3056">
        <v>0</v>
      </c>
    </row>
    <row r="3057" spans="1:16" x14ac:dyDescent="0.25">
      <c r="A3057" t="s">
        <v>25491</v>
      </c>
      <c r="B3057" t="s">
        <v>4215</v>
      </c>
      <c r="C3057" t="s">
        <v>4216</v>
      </c>
      <c r="D3057" t="str">
        <f>"6064"</f>
        <v>6064</v>
      </c>
      <c r="E3057" t="s">
        <v>87</v>
      </c>
      <c r="F3057" t="s">
        <v>3546</v>
      </c>
      <c r="G3057" t="s">
        <v>16221</v>
      </c>
      <c r="H3057" t="s">
        <v>47126</v>
      </c>
      <c r="I3057" t="s">
        <v>47127</v>
      </c>
      <c r="J3057" t="s">
        <v>47128</v>
      </c>
      <c r="K3057" t="s">
        <v>47113</v>
      </c>
      <c r="L3057">
        <v>13.03</v>
      </c>
      <c r="M3057">
        <v>25</v>
      </c>
      <c r="N3057">
        <v>0</v>
      </c>
      <c r="O3057">
        <v>25</v>
      </c>
      <c r="P3057">
        <v>0</v>
      </c>
    </row>
    <row r="3058" spans="1:16" x14ac:dyDescent="0.25">
      <c r="A3058" t="s">
        <v>14912</v>
      </c>
      <c r="B3058" t="s">
        <v>4217</v>
      </c>
      <c r="C3058" t="s">
        <v>4218</v>
      </c>
      <c r="D3058" t="str">
        <f>"1106"</f>
        <v>1106</v>
      </c>
      <c r="E3058" t="s">
        <v>460</v>
      </c>
      <c r="F3058" t="s">
        <v>3546</v>
      </c>
      <c r="G3058" t="s">
        <v>16221</v>
      </c>
      <c r="H3058" t="s">
        <v>47126</v>
      </c>
      <c r="I3058" t="s">
        <v>47127</v>
      </c>
      <c r="J3058" t="s">
        <v>47128</v>
      </c>
      <c r="K3058" t="s">
        <v>47113</v>
      </c>
      <c r="L3058">
        <v>13.03</v>
      </c>
      <c r="M3058">
        <v>25</v>
      </c>
      <c r="N3058">
        <v>0</v>
      </c>
      <c r="O3058">
        <v>25</v>
      </c>
      <c r="P3058">
        <v>0</v>
      </c>
    </row>
    <row r="3059" spans="1:16" x14ac:dyDescent="0.25">
      <c r="A3059" t="s">
        <v>25492</v>
      </c>
      <c r="B3059" t="s">
        <v>4217</v>
      </c>
      <c r="C3059" t="s">
        <v>4218</v>
      </c>
      <c r="D3059" t="str">
        <f>"1378"</f>
        <v>1378</v>
      </c>
      <c r="E3059" t="s">
        <v>388</v>
      </c>
      <c r="F3059" t="s">
        <v>3546</v>
      </c>
      <c r="G3059" t="s">
        <v>16221</v>
      </c>
      <c r="H3059" t="s">
        <v>47126</v>
      </c>
      <c r="I3059" t="s">
        <v>47127</v>
      </c>
      <c r="J3059" t="s">
        <v>47128</v>
      </c>
      <c r="K3059" t="s">
        <v>47113</v>
      </c>
      <c r="L3059">
        <v>13.03</v>
      </c>
      <c r="M3059">
        <v>25</v>
      </c>
      <c r="N3059">
        <v>0</v>
      </c>
      <c r="O3059">
        <v>25</v>
      </c>
      <c r="P3059">
        <v>0</v>
      </c>
    </row>
    <row r="3060" spans="1:16" x14ac:dyDescent="0.25">
      <c r="A3060" t="s">
        <v>25493</v>
      </c>
      <c r="B3060" t="s">
        <v>4217</v>
      </c>
      <c r="C3060" t="s">
        <v>4218</v>
      </c>
      <c r="D3060" t="str">
        <f>"1403"</f>
        <v>1403</v>
      </c>
      <c r="E3060" t="s">
        <v>224</v>
      </c>
      <c r="F3060" t="s">
        <v>3546</v>
      </c>
      <c r="G3060" t="s">
        <v>16221</v>
      </c>
      <c r="H3060" t="s">
        <v>47126</v>
      </c>
      <c r="I3060" t="s">
        <v>47127</v>
      </c>
      <c r="J3060" t="s">
        <v>47128</v>
      </c>
      <c r="K3060" t="s">
        <v>47113</v>
      </c>
      <c r="L3060">
        <v>13.03</v>
      </c>
      <c r="M3060">
        <v>25</v>
      </c>
      <c r="N3060">
        <v>0</v>
      </c>
      <c r="O3060">
        <v>25</v>
      </c>
      <c r="P3060">
        <v>0</v>
      </c>
    </row>
    <row r="3061" spans="1:16" x14ac:dyDescent="0.25">
      <c r="A3061" t="s">
        <v>14913</v>
      </c>
      <c r="B3061" t="s">
        <v>4217</v>
      </c>
      <c r="C3061" t="s">
        <v>4218</v>
      </c>
      <c r="D3061" t="str">
        <f>"1700"</f>
        <v>1700</v>
      </c>
      <c r="E3061" t="s">
        <v>60</v>
      </c>
      <c r="F3061" t="s">
        <v>3546</v>
      </c>
      <c r="G3061" t="s">
        <v>16221</v>
      </c>
      <c r="H3061" t="s">
        <v>47126</v>
      </c>
      <c r="I3061" t="s">
        <v>47127</v>
      </c>
      <c r="J3061" t="s">
        <v>47128</v>
      </c>
      <c r="K3061" t="s">
        <v>47113</v>
      </c>
      <c r="L3061">
        <v>13.03</v>
      </c>
      <c r="M3061">
        <v>25</v>
      </c>
      <c r="N3061">
        <v>0</v>
      </c>
      <c r="O3061">
        <v>25</v>
      </c>
      <c r="P3061">
        <v>0</v>
      </c>
    </row>
    <row r="3062" spans="1:16" x14ac:dyDescent="0.25">
      <c r="A3062" t="s">
        <v>14914</v>
      </c>
      <c r="B3062" t="s">
        <v>4217</v>
      </c>
      <c r="C3062" t="s">
        <v>4218</v>
      </c>
      <c r="D3062" t="str">
        <f>"3544"</f>
        <v>3544</v>
      </c>
      <c r="E3062" t="s">
        <v>4174</v>
      </c>
      <c r="F3062" t="s">
        <v>3546</v>
      </c>
      <c r="G3062" t="s">
        <v>16221</v>
      </c>
      <c r="H3062" t="s">
        <v>47126</v>
      </c>
      <c r="I3062" t="s">
        <v>47127</v>
      </c>
      <c r="J3062" t="s">
        <v>47128</v>
      </c>
      <c r="K3062" t="s">
        <v>47113</v>
      </c>
      <c r="L3062">
        <v>13.03</v>
      </c>
      <c r="M3062">
        <v>25</v>
      </c>
      <c r="N3062">
        <v>0</v>
      </c>
      <c r="O3062">
        <v>25</v>
      </c>
      <c r="P3062">
        <v>0</v>
      </c>
    </row>
    <row r="3063" spans="1:16" x14ac:dyDescent="0.25">
      <c r="A3063" t="s">
        <v>25494</v>
      </c>
      <c r="B3063" t="s">
        <v>4217</v>
      </c>
      <c r="C3063" t="s">
        <v>4218</v>
      </c>
      <c r="D3063" t="str">
        <f>"4921"</f>
        <v>4921</v>
      </c>
      <c r="E3063" t="s">
        <v>4156</v>
      </c>
      <c r="F3063" t="s">
        <v>3546</v>
      </c>
      <c r="G3063" t="s">
        <v>16221</v>
      </c>
      <c r="H3063" t="s">
        <v>47126</v>
      </c>
      <c r="I3063" t="s">
        <v>47127</v>
      </c>
      <c r="J3063" t="s">
        <v>47128</v>
      </c>
      <c r="K3063" t="s">
        <v>47113</v>
      </c>
      <c r="L3063">
        <v>13.03</v>
      </c>
      <c r="M3063">
        <v>25</v>
      </c>
      <c r="N3063">
        <v>0</v>
      </c>
      <c r="O3063">
        <v>25</v>
      </c>
      <c r="P3063">
        <v>0</v>
      </c>
    </row>
    <row r="3064" spans="1:16" x14ac:dyDescent="0.25">
      <c r="A3064" t="s">
        <v>25495</v>
      </c>
      <c r="B3064" t="s">
        <v>4217</v>
      </c>
      <c r="C3064" t="s">
        <v>4218</v>
      </c>
      <c r="D3064" t="str">
        <f>"4922"</f>
        <v>4922</v>
      </c>
      <c r="E3064" t="s">
        <v>4175</v>
      </c>
      <c r="F3064" t="s">
        <v>3546</v>
      </c>
      <c r="G3064" t="s">
        <v>16221</v>
      </c>
      <c r="H3064" t="s">
        <v>47126</v>
      </c>
      <c r="I3064" t="s">
        <v>47127</v>
      </c>
      <c r="J3064" t="s">
        <v>47128</v>
      </c>
      <c r="K3064" t="s">
        <v>47113</v>
      </c>
      <c r="L3064">
        <v>13.03</v>
      </c>
      <c r="M3064">
        <v>25</v>
      </c>
      <c r="N3064">
        <v>0</v>
      </c>
      <c r="O3064">
        <v>25</v>
      </c>
      <c r="P3064">
        <v>0</v>
      </c>
    </row>
    <row r="3065" spans="1:16" x14ac:dyDescent="0.25">
      <c r="A3065" t="s">
        <v>25496</v>
      </c>
      <c r="B3065" t="s">
        <v>4217</v>
      </c>
      <c r="C3065" t="s">
        <v>4218</v>
      </c>
      <c r="D3065" t="str">
        <f>"6064"</f>
        <v>6064</v>
      </c>
      <c r="E3065" t="s">
        <v>87</v>
      </c>
      <c r="F3065" t="s">
        <v>3546</v>
      </c>
      <c r="G3065" t="s">
        <v>16221</v>
      </c>
      <c r="H3065" t="s">
        <v>47126</v>
      </c>
      <c r="I3065" t="s">
        <v>47127</v>
      </c>
      <c r="J3065" t="s">
        <v>47128</v>
      </c>
      <c r="K3065" t="s">
        <v>47113</v>
      </c>
      <c r="L3065">
        <v>13.03</v>
      </c>
      <c r="M3065">
        <v>25</v>
      </c>
      <c r="N3065">
        <v>0</v>
      </c>
      <c r="O3065">
        <v>25</v>
      </c>
      <c r="P3065">
        <v>0</v>
      </c>
    </row>
    <row r="3066" spans="1:16" x14ac:dyDescent="0.25">
      <c r="A3066" t="s">
        <v>25497</v>
      </c>
      <c r="B3066" t="s">
        <v>4219</v>
      </c>
      <c r="C3066" t="s">
        <v>4220</v>
      </c>
      <c r="D3066" t="str">
        <f>"1106"</f>
        <v>1106</v>
      </c>
      <c r="E3066" t="s">
        <v>460</v>
      </c>
      <c r="F3066" t="s">
        <v>3546</v>
      </c>
      <c r="G3066" t="s">
        <v>16221</v>
      </c>
      <c r="H3066" t="s">
        <v>47126</v>
      </c>
      <c r="I3066" t="s">
        <v>47127</v>
      </c>
      <c r="J3066" t="s">
        <v>47128</v>
      </c>
      <c r="K3066" t="s">
        <v>47113</v>
      </c>
      <c r="L3066">
        <v>15.43</v>
      </c>
      <c r="M3066">
        <v>34</v>
      </c>
      <c r="N3066">
        <v>0</v>
      </c>
      <c r="O3066">
        <v>34</v>
      </c>
      <c r="P3066">
        <v>0</v>
      </c>
    </row>
    <row r="3067" spans="1:16" x14ac:dyDescent="0.25">
      <c r="A3067" t="s">
        <v>25498</v>
      </c>
      <c r="B3067" t="s">
        <v>4219</v>
      </c>
      <c r="C3067" t="s">
        <v>4220</v>
      </c>
      <c r="D3067" t="str">
        <f>"1378"</f>
        <v>1378</v>
      </c>
      <c r="E3067" t="s">
        <v>388</v>
      </c>
      <c r="F3067" t="s">
        <v>3546</v>
      </c>
      <c r="G3067" t="s">
        <v>16221</v>
      </c>
      <c r="H3067" t="s">
        <v>47126</v>
      </c>
      <c r="I3067" t="s">
        <v>47127</v>
      </c>
      <c r="J3067" t="s">
        <v>47128</v>
      </c>
      <c r="K3067" t="s">
        <v>47113</v>
      </c>
      <c r="L3067">
        <v>15.43</v>
      </c>
      <c r="M3067">
        <v>34</v>
      </c>
      <c r="N3067">
        <v>0</v>
      </c>
      <c r="O3067">
        <v>34</v>
      </c>
      <c r="P3067">
        <v>0</v>
      </c>
    </row>
    <row r="3068" spans="1:16" x14ac:dyDescent="0.25">
      <c r="A3068" t="s">
        <v>25499</v>
      </c>
      <c r="B3068" t="s">
        <v>4219</v>
      </c>
      <c r="C3068" t="s">
        <v>4220</v>
      </c>
      <c r="D3068" t="str">
        <f>"1403"</f>
        <v>1403</v>
      </c>
      <c r="E3068" t="s">
        <v>224</v>
      </c>
      <c r="F3068" t="s">
        <v>3546</v>
      </c>
      <c r="G3068" t="s">
        <v>16221</v>
      </c>
      <c r="H3068" t="s">
        <v>47126</v>
      </c>
      <c r="I3068" t="s">
        <v>47127</v>
      </c>
      <c r="J3068" t="s">
        <v>47128</v>
      </c>
      <c r="K3068" t="s">
        <v>47113</v>
      </c>
      <c r="L3068">
        <v>15.43</v>
      </c>
      <c r="M3068">
        <v>34</v>
      </c>
      <c r="N3068">
        <v>0</v>
      </c>
      <c r="O3068">
        <v>34</v>
      </c>
      <c r="P3068">
        <v>0</v>
      </c>
    </row>
    <row r="3069" spans="1:16" x14ac:dyDescent="0.25">
      <c r="A3069" t="s">
        <v>25500</v>
      </c>
      <c r="B3069" t="s">
        <v>4219</v>
      </c>
      <c r="C3069" t="s">
        <v>4220</v>
      </c>
      <c r="D3069" t="str">
        <f>"1700"</f>
        <v>1700</v>
      </c>
      <c r="E3069" t="s">
        <v>60</v>
      </c>
      <c r="F3069" t="s">
        <v>3546</v>
      </c>
      <c r="G3069" t="s">
        <v>16221</v>
      </c>
      <c r="H3069" t="s">
        <v>47126</v>
      </c>
      <c r="I3069" t="s">
        <v>47127</v>
      </c>
      <c r="J3069" t="s">
        <v>47128</v>
      </c>
      <c r="K3069" t="s">
        <v>47113</v>
      </c>
      <c r="L3069">
        <v>15.43</v>
      </c>
      <c r="M3069">
        <v>34</v>
      </c>
      <c r="N3069">
        <v>0</v>
      </c>
      <c r="O3069">
        <v>34</v>
      </c>
      <c r="P3069">
        <v>0</v>
      </c>
    </row>
    <row r="3070" spans="1:16" x14ac:dyDescent="0.25">
      <c r="A3070" t="s">
        <v>25501</v>
      </c>
      <c r="B3070" t="s">
        <v>4219</v>
      </c>
      <c r="C3070" t="s">
        <v>4220</v>
      </c>
      <c r="D3070" t="str">
        <f>"3544"</f>
        <v>3544</v>
      </c>
      <c r="E3070" t="s">
        <v>4174</v>
      </c>
      <c r="F3070" t="s">
        <v>3546</v>
      </c>
      <c r="G3070" t="s">
        <v>16221</v>
      </c>
      <c r="H3070" t="s">
        <v>47126</v>
      </c>
      <c r="I3070" t="s">
        <v>47127</v>
      </c>
      <c r="J3070" t="s">
        <v>47128</v>
      </c>
      <c r="K3070" t="s">
        <v>47113</v>
      </c>
      <c r="L3070">
        <v>15.43</v>
      </c>
      <c r="M3070">
        <v>34</v>
      </c>
      <c r="N3070">
        <v>0</v>
      </c>
      <c r="O3070">
        <v>34</v>
      </c>
      <c r="P3070">
        <v>0</v>
      </c>
    </row>
    <row r="3071" spans="1:16" x14ac:dyDescent="0.25">
      <c r="A3071" t="s">
        <v>25502</v>
      </c>
      <c r="B3071" t="s">
        <v>4219</v>
      </c>
      <c r="C3071" t="s">
        <v>4220</v>
      </c>
      <c r="D3071" t="str">
        <f>"4921"</f>
        <v>4921</v>
      </c>
      <c r="E3071" t="s">
        <v>4156</v>
      </c>
      <c r="F3071" t="s">
        <v>3546</v>
      </c>
      <c r="G3071" t="s">
        <v>16221</v>
      </c>
      <c r="H3071" t="s">
        <v>47126</v>
      </c>
      <c r="I3071" t="s">
        <v>47127</v>
      </c>
      <c r="J3071" t="s">
        <v>47128</v>
      </c>
      <c r="K3071" t="s">
        <v>47113</v>
      </c>
      <c r="L3071">
        <v>15.43</v>
      </c>
      <c r="M3071">
        <v>34</v>
      </c>
      <c r="N3071">
        <v>0</v>
      </c>
      <c r="O3071">
        <v>34</v>
      </c>
      <c r="P3071">
        <v>0</v>
      </c>
    </row>
    <row r="3072" spans="1:16" x14ac:dyDescent="0.25">
      <c r="A3072" t="s">
        <v>25503</v>
      </c>
      <c r="B3072" t="s">
        <v>4219</v>
      </c>
      <c r="C3072" t="s">
        <v>4220</v>
      </c>
      <c r="D3072" t="str">
        <f>"4922"</f>
        <v>4922</v>
      </c>
      <c r="E3072" t="s">
        <v>4175</v>
      </c>
      <c r="F3072" t="s">
        <v>3546</v>
      </c>
      <c r="G3072" t="s">
        <v>16221</v>
      </c>
      <c r="H3072" t="s">
        <v>47126</v>
      </c>
      <c r="I3072" t="s">
        <v>47127</v>
      </c>
      <c r="J3072" t="s">
        <v>47128</v>
      </c>
      <c r="K3072" t="s">
        <v>47113</v>
      </c>
      <c r="L3072">
        <v>15.43</v>
      </c>
      <c r="M3072">
        <v>34</v>
      </c>
      <c r="N3072">
        <v>0</v>
      </c>
      <c r="O3072">
        <v>34</v>
      </c>
      <c r="P3072">
        <v>0</v>
      </c>
    </row>
    <row r="3073" spans="1:16" x14ac:dyDescent="0.25">
      <c r="A3073" t="s">
        <v>25504</v>
      </c>
      <c r="B3073" t="s">
        <v>4219</v>
      </c>
      <c r="C3073" t="s">
        <v>4220</v>
      </c>
      <c r="D3073" t="str">
        <f>"6064"</f>
        <v>6064</v>
      </c>
      <c r="E3073" t="s">
        <v>87</v>
      </c>
      <c r="F3073" t="s">
        <v>3546</v>
      </c>
      <c r="G3073" t="s">
        <v>16221</v>
      </c>
      <c r="H3073" t="s">
        <v>47126</v>
      </c>
      <c r="I3073" t="s">
        <v>47127</v>
      </c>
      <c r="J3073" t="s">
        <v>47128</v>
      </c>
      <c r="K3073" t="s">
        <v>47113</v>
      </c>
      <c r="L3073">
        <v>15.43</v>
      </c>
      <c r="M3073">
        <v>34</v>
      </c>
      <c r="N3073">
        <v>0</v>
      </c>
      <c r="O3073">
        <v>34</v>
      </c>
      <c r="P3073">
        <v>0</v>
      </c>
    </row>
    <row r="3074" spans="1:16" x14ac:dyDescent="0.25">
      <c r="A3074" t="s">
        <v>25505</v>
      </c>
      <c r="B3074" t="s">
        <v>4221</v>
      </c>
      <c r="C3074" t="s">
        <v>4222</v>
      </c>
      <c r="D3074" t="str">
        <f>"1106"</f>
        <v>1106</v>
      </c>
      <c r="E3074" t="s">
        <v>460</v>
      </c>
      <c r="F3074" t="s">
        <v>3546</v>
      </c>
      <c r="G3074" t="s">
        <v>16221</v>
      </c>
      <c r="H3074" t="s">
        <v>47126</v>
      </c>
      <c r="I3074" t="s">
        <v>47127</v>
      </c>
      <c r="J3074" t="s">
        <v>47128</v>
      </c>
      <c r="K3074" t="s">
        <v>47113</v>
      </c>
      <c r="L3074">
        <v>14.23</v>
      </c>
      <c r="M3074">
        <v>35</v>
      </c>
      <c r="N3074">
        <v>0</v>
      </c>
      <c r="O3074">
        <v>35</v>
      </c>
      <c r="P3074">
        <v>0</v>
      </c>
    </row>
    <row r="3075" spans="1:16" x14ac:dyDescent="0.25">
      <c r="A3075" t="s">
        <v>25506</v>
      </c>
      <c r="B3075" t="s">
        <v>4221</v>
      </c>
      <c r="C3075" t="s">
        <v>4222</v>
      </c>
      <c r="D3075" t="str">
        <f>"1378"</f>
        <v>1378</v>
      </c>
      <c r="E3075" t="s">
        <v>388</v>
      </c>
      <c r="F3075" t="s">
        <v>3546</v>
      </c>
      <c r="G3075" t="s">
        <v>16221</v>
      </c>
      <c r="H3075" t="s">
        <v>47126</v>
      </c>
      <c r="I3075" t="s">
        <v>47127</v>
      </c>
      <c r="J3075" t="s">
        <v>47128</v>
      </c>
      <c r="K3075" t="s">
        <v>47113</v>
      </c>
      <c r="L3075">
        <v>14.23</v>
      </c>
      <c r="M3075">
        <v>35</v>
      </c>
      <c r="N3075">
        <v>0</v>
      </c>
      <c r="O3075">
        <v>35</v>
      </c>
      <c r="P3075">
        <v>0</v>
      </c>
    </row>
    <row r="3076" spans="1:16" x14ac:dyDescent="0.25">
      <c r="A3076" t="s">
        <v>25507</v>
      </c>
      <c r="B3076" t="s">
        <v>4223</v>
      </c>
      <c r="C3076" t="s">
        <v>4224</v>
      </c>
      <c r="D3076" t="str">
        <f>"1106"</f>
        <v>1106</v>
      </c>
      <c r="E3076" t="s">
        <v>460</v>
      </c>
      <c r="F3076" t="s">
        <v>3546</v>
      </c>
      <c r="G3076" t="s">
        <v>16221</v>
      </c>
      <c r="H3076" t="s">
        <v>47126</v>
      </c>
      <c r="I3076" t="s">
        <v>47127</v>
      </c>
      <c r="J3076" t="s">
        <v>47128</v>
      </c>
      <c r="K3076" t="s">
        <v>47113</v>
      </c>
      <c r="L3076">
        <v>11.84</v>
      </c>
      <c r="M3076">
        <v>29</v>
      </c>
      <c r="N3076">
        <v>0</v>
      </c>
      <c r="O3076">
        <v>29</v>
      </c>
      <c r="P3076">
        <v>0</v>
      </c>
    </row>
    <row r="3077" spans="1:16" x14ac:dyDescent="0.25">
      <c r="A3077" t="s">
        <v>25508</v>
      </c>
      <c r="B3077" t="s">
        <v>4223</v>
      </c>
      <c r="C3077" t="s">
        <v>4224</v>
      </c>
      <c r="D3077" t="str">
        <f>"1378"</f>
        <v>1378</v>
      </c>
      <c r="E3077" t="s">
        <v>388</v>
      </c>
      <c r="F3077" t="s">
        <v>3546</v>
      </c>
      <c r="G3077" t="s">
        <v>16221</v>
      </c>
      <c r="H3077" t="s">
        <v>47126</v>
      </c>
      <c r="I3077" t="s">
        <v>47127</v>
      </c>
      <c r="J3077" t="s">
        <v>47128</v>
      </c>
      <c r="K3077" t="s">
        <v>47113</v>
      </c>
      <c r="L3077">
        <v>11.84</v>
      </c>
      <c r="M3077">
        <v>29</v>
      </c>
      <c r="N3077">
        <v>0</v>
      </c>
      <c r="O3077">
        <v>29</v>
      </c>
      <c r="P3077">
        <v>0</v>
      </c>
    </row>
    <row r="3078" spans="1:16" x14ac:dyDescent="0.25">
      <c r="A3078" t="s">
        <v>25509</v>
      </c>
      <c r="B3078" t="s">
        <v>4223</v>
      </c>
      <c r="C3078" t="s">
        <v>4224</v>
      </c>
      <c r="D3078" t="str">
        <f>"1500"</f>
        <v>1500</v>
      </c>
      <c r="E3078" t="s">
        <v>4160</v>
      </c>
      <c r="F3078" t="s">
        <v>3546</v>
      </c>
      <c r="G3078" t="s">
        <v>16221</v>
      </c>
      <c r="H3078" t="s">
        <v>47126</v>
      </c>
      <c r="I3078" t="s">
        <v>47127</v>
      </c>
      <c r="J3078" t="s">
        <v>47128</v>
      </c>
      <c r="K3078" t="s">
        <v>47113</v>
      </c>
      <c r="L3078">
        <v>11.84</v>
      </c>
      <c r="M3078">
        <v>29</v>
      </c>
      <c r="N3078">
        <v>0</v>
      </c>
      <c r="O3078">
        <v>29</v>
      </c>
      <c r="P3078">
        <v>0</v>
      </c>
    </row>
    <row r="3079" spans="1:16" x14ac:dyDescent="0.25">
      <c r="A3079" t="s">
        <v>25510</v>
      </c>
      <c r="B3079" t="s">
        <v>4223</v>
      </c>
      <c r="C3079" t="s">
        <v>4224</v>
      </c>
      <c r="D3079" t="str">
        <f>"1700"</f>
        <v>1700</v>
      </c>
      <c r="E3079" t="s">
        <v>60</v>
      </c>
      <c r="F3079" t="s">
        <v>3546</v>
      </c>
      <c r="G3079" t="s">
        <v>16221</v>
      </c>
      <c r="H3079" t="s">
        <v>47126</v>
      </c>
      <c r="I3079" t="s">
        <v>47127</v>
      </c>
      <c r="J3079" t="s">
        <v>47128</v>
      </c>
      <c r="K3079" t="s">
        <v>47113</v>
      </c>
      <c r="L3079">
        <v>11.84</v>
      </c>
      <c r="M3079">
        <v>29</v>
      </c>
      <c r="N3079">
        <v>0</v>
      </c>
      <c r="O3079">
        <v>29</v>
      </c>
      <c r="P3079">
        <v>0</v>
      </c>
    </row>
    <row r="3080" spans="1:16" x14ac:dyDescent="0.25">
      <c r="A3080" t="s">
        <v>25511</v>
      </c>
      <c r="B3080" t="s">
        <v>4223</v>
      </c>
      <c r="C3080" t="s">
        <v>4224</v>
      </c>
      <c r="D3080" t="str">
        <f>"3544"</f>
        <v>3544</v>
      </c>
      <c r="E3080" t="s">
        <v>4174</v>
      </c>
      <c r="F3080" t="s">
        <v>3546</v>
      </c>
      <c r="G3080" t="s">
        <v>16221</v>
      </c>
      <c r="H3080" t="s">
        <v>47126</v>
      </c>
      <c r="I3080" t="s">
        <v>47127</v>
      </c>
      <c r="J3080" t="s">
        <v>47128</v>
      </c>
      <c r="K3080" t="s">
        <v>47113</v>
      </c>
      <c r="L3080">
        <v>11.84</v>
      </c>
      <c r="M3080">
        <v>29</v>
      </c>
      <c r="N3080">
        <v>0</v>
      </c>
      <c r="O3080">
        <v>29</v>
      </c>
      <c r="P3080">
        <v>0</v>
      </c>
    </row>
    <row r="3081" spans="1:16" x14ac:dyDescent="0.25">
      <c r="A3081" t="s">
        <v>25512</v>
      </c>
      <c r="B3081" t="s">
        <v>4223</v>
      </c>
      <c r="C3081" t="s">
        <v>4224</v>
      </c>
      <c r="D3081" t="str">
        <f>"4921"</f>
        <v>4921</v>
      </c>
      <c r="E3081" t="s">
        <v>4156</v>
      </c>
      <c r="F3081" t="s">
        <v>3546</v>
      </c>
      <c r="G3081" t="s">
        <v>16221</v>
      </c>
      <c r="H3081" t="s">
        <v>47126</v>
      </c>
      <c r="I3081" t="s">
        <v>47127</v>
      </c>
      <c r="J3081" t="s">
        <v>47128</v>
      </c>
      <c r="K3081" t="s">
        <v>47113</v>
      </c>
      <c r="L3081">
        <v>11.84</v>
      </c>
      <c r="M3081">
        <v>29</v>
      </c>
      <c r="N3081">
        <v>0</v>
      </c>
      <c r="O3081">
        <v>29</v>
      </c>
      <c r="P3081">
        <v>0</v>
      </c>
    </row>
    <row r="3082" spans="1:16" x14ac:dyDescent="0.25">
      <c r="A3082" t="s">
        <v>25513</v>
      </c>
      <c r="B3082" t="s">
        <v>4223</v>
      </c>
      <c r="C3082" t="s">
        <v>4224</v>
      </c>
      <c r="D3082" t="str">
        <f>"4922"</f>
        <v>4922</v>
      </c>
      <c r="E3082" t="s">
        <v>4175</v>
      </c>
      <c r="F3082" t="s">
        <v>3546</v>
      </c>
      <c r="G3082" t="s">
        <v>16221</v>
      </c>
      <c r="H3082" t="s">
        <v>47126</v>
      </c>
      <c r="I3082" t="s">
        <v>47127</v>
      </c>
      <c r="J3082" t="s">
        <v>47128</v>
      </c>
      <c r="K3082" t="s">
        <v>47113</v>
      </c>
      <c r="L3082">
        <v>11.84</v>
      </c>
      <c r="M3082">
        <v>29</v>
      </c>
      <c r="N3082">
        <v>0</v>
      </c>
      <c r="O3082">
        <v>29</v>
      </c>
      <c r="P3082">
        <v>0</v>
      </c>
    </row>
    <row r="3083" spans="1:16" x14ac:dyDescent="0.25">
      <c r="A3083" t="s">
        <v>25514</v>
      </c>
      <c r="B3083" t="s">
        <v>4223</v>
      </c>
      <c r="C3083" t="s">
        <v>4224</v>
      </c>
      <c r="D3083" t="str">
        <f>"6064"</f>
        <v>6064</v>
      </c>
      <c r="E3083" t="s">
        <v>87</v>
      </c>
      <c r="F3083" t="s">
        <v>3546</v>
      </c>
      <c r="G3083" t="s">
        <v>16221</v>
      </c>
      <c r="H3083" t="s">
        <v>47126</v>
      </c>
      <c r="I3083" t="s">
        <v>47127</v>
      </c>
      <c r="J3083" t="s">
        <v>47128</v>
      </c>
      <c r="K3083" t="s">
        <v>47113</v>
      </c>
      <c r="L3083">
        <v>11.84</v>
      </c>
      <c r="M3083">
        <v>29</v>
      </c>
      <c r="N3083">
        <v>0</v>
      </c>
      <c r="O3083">
        <v>29</v>
      </c>
      <c r="P3083">
        <v>0</v>
      </c>
    </row>
    <row r="3084" spans="1:16" x14ac:dyDescent="0.25">
      <c r="A3084" t="s">
        <v>25515</v>
      </c>
      <c r="B3084" t="s">
        <v>4225</v>
      </c>
      <c r="C3084" t="s">
        <v>4226</v>
      </c>
      <c r="D3084" t="str">
        <f>"1106"</f>
        <v>1106</v>
      </c>
      <c r="E3084" t="s">
        <v>460</v>
      </c>
      <c r="F3084" t="s">
        <v>3546</v>
      </c>
      <c r="G3084" t="s">
        <v>16221</v>
      </c>
      <c r="H3084" t="s">
        <v>47126</v>
      </c>
      <c r="I3084" t="s">
        <v>47127</v>
      </c>
      <c r="J3084" t="s">
        <v>47128</v>
      </c>
      <c r="K3084" t="s">
        <v>47113</v>
      </c>
      <c r="L3084">
        <v>11.84</v>
      </c>
      <c r="M3084">
        <v>29</v>
      </c>
      <c r="N3084">
        <v>0</v>
      </c>
      <c r="O3084">
        <v>29</v>
      </c>
      <c r="P3084">
        <v>0</v>
      </c>
    </row>
    <row r="3085" spans="1:16" x14ac:dyDescent="0.25">
      <c r="A3085" t="s">
        <v>25516</v>
      </c>
      <c r="B3085" t="s">
        <v>4225</v>
      </c>
      <c r="C3085" t="s">
        <v>4226</v>
      </c>
      <c r="D3085" t="str">
        <f>"1378"</f>
        <v>1378</v>
      </c>
      <c r="E3085" t="s">
        <v>388</v>
      </c>
      <c r="F3085" t="s">
        <v>3546</v>
      </c>
      <c r="G3085" t="s">
        <v>16221</v>
      </c>
      <c r="H3085" t="s">
        <v>47126</v>
      </c>
      <c r="I3085" t="s">
        <v>47127</v>
      </c>
      <c r="J3085" t="s">
        <v>47128</v>
      </c>
      <c r="K3085" t="s">
        <v>47113</v>
      </c>
      <c r="L3085">
        <v>11.84</v>
      </c>
      <c r="M3085">
        <v>29</v>
      </c>
      <c r="N3085">
        <v>0</v>
      </c>
      <c r="O3085">
        <v>29</v>
      </c>
      <c r="P3085">
        <v>0</v>
      </c>
    </row>
    <row r="3086" spans="1:16" x14ac:dyDescent="0.25">
      <c r="A3086" t="s">
        <v>25517</v>
      </c>
      <c r="B3086" t="s">
        <v>4225</v>
      </c>
      <c r="C3086" t="s">
        <v>4226</v>
      </c>
      <c r="D3086" t="str">
        <f>"1500"</f>
        <v>1500</v>
      </c>
      <c r="E3086" t="s">
        <v>4160</v>
      </c>
      <c r="F3086" t="s">
        <v>3546</v>
      </c>
      <c r="G3086" t="s">
        <v>16221</v>
      </c>
      <c r="H3086" t="s">
        <v>47126</v>
      </c>
      <c r="I3086" t="s">
        <v>47127</v>
      </c>
      <c r="J3086" t="s">
        <v>47128</v>
      </c>
      <c r="K3086" t="s">
        <v>47113</v>
      </c>
      <c r="L3086">
        <v>11.84</v>
      </c>
      <c r="M3086">
        <v>29</v>
      </c>
      <c r="N3086">
        <v>0</v>
      </c>
      <c r="O3086">
        <v>29</v>
      </c>
      <c r="P3086">
        <v>0</v>
      </c>
    </row>
    <row r="3087" spans="1:16" x14ac:dyDescent="0.25">
      <c r="A3087" t="s">
        <v>25518</v>
      </c>
      <c r="B3087" t="s">
        <v>4225</v>
      </c>
      <c r="C3087" t="s">
        <v>4226</v>
      </c>
      <c r="D3087" t="str">
        <f>"1700"</f>
        <v>1700</v>
      </c>
      <c r="E3087" t="s">
        <v>60</v>
      </c>
      <c r="F3087" t="s">
        <v>3546</v>
      </c>
      <c r="G3087" t="s">
        <v>16221</v>
      </c>
      <c r="H3087" t="s">
        <v>47126</v>
      </c>
      <c r="I3087" t="s">
        <v>47127</v>
      </c>
      <c r="J3087" t="s">
        <v>47128</v>
      </c>
      <c r="K3087" t="s">
        <v>47113</v>
      </c>
      <c r="L3087">
        <v>11.84</v>
      </c>
      <c r="M3087">
        <v>29</v>
      </c>
      <c r="N3087">
        <v>0</v>
      </c>
      <c r="O3087">
        <v>29</v>
      </c>
      <c r="P3087">
        <v>0</v>
      </c>
    </row>
    <row r="3088" spans="1:16" x14ac:dyDescent="0.25">
      <c r="A3088" t="s">
        <v>25519</v>
      </c>
      <c r="B3088" t="s">
        <v>4225</v>
      </c>
      <c r="C3088" t="s">
        <v>4226</v>
      </c>
      <c r="D3088" t="str">
        <f>"3544"</f>
        <v>3544</v>
      </c>
      <c r="E3088" t="s">
        <v>4174</v>
      </c>
      <c r="F3088" t="s">
        <v>3546</v>
      </c>
      <c r="G3088" t="s">
        <v>16221</v>
      </c>
      <c r="H3088" t="s">
        <v>47126</v>
      </c>
      <c r="I3088" t="s">
        <v>47127</v>
      </c>
      <c r="J3088" t="s">
        <v>47128</v>
      </c>
      <c r="K3088" t="s">
        <v>47113</v>
      </c>
      <c r="L3088">
        <v>11.84</v>
      </c>
      <c r="M3088">
        <v>29</v>
      </c>
      <c r="N3088">
        <v>0</v>
      </c>
      <c r="O3088">
        <v>29</v>
      </c>
      <c r="P3088">
        <v>0</v>
      </c>
    </row>
    <row r="3089" spans="1:16" x14ac:dyDescent="0.25">
      <c r="A3089" t="s">
        <v>25520</v>
      </c>
      <c r="B3089" t="s">
        <v>4225</v>
      </c>
      <c r="C3089" t="s">
        <v>4226</v>
      </c>
      <c r="D3089" t="str">
        <f>"4921"</f>
        <v>4921</v>
      </c>
      <c r="E3089" t="s">
        <v>4156</v>
      </c>
      <c r="F3089" t="s">
        <v>3546</v>
      </c>
      <c r="G3089" t="s">
        <v>16221</v>
      </c>
      <c r="H3089" t="s">
        <v>47126</v>
      </c>
      <c r="I3089" t="s">
        <v>47127</v>
      </c>
      <c r="J3089" t="s">
        <v>47128</v>
      </c>
      <c r="K3089" t="s">
        <v>47113</v>
      </c>
      <c r="L3089">
        <v>11.84</v>
      </c>
      <c r="M3089">
        <v>29</v>
      </c>
      <c r="N3089">
        <v>0</v>
      </c>
      <c r="O3089">
        <v>29</v>
      </c>
      <c r="P3089">
        <v>0</v>
      </c>
    </row>
    <row r="3090" spans="1:16" x14ac:dyDescent="0.25">
      <c r="A3090" t="s">
        <v>25521</v>
      </c>
      <c r="B3090" t="s">
        <v>4225</v>
      </c>
      <c r="C3090" t="s">
        <v>4226</v>
      </c>
      <c r="D3090" t="str">
        <f>"4922"</f>
        <v>4922</v>
      </c>
      <c r="E3090" t="s">
        <v>4175</v>
      </c>
      <c r="F3090" t="s">
        <v>3546</v>
      </c>
      <c r="G3090" t="s">
        <v>16221</v>
      </c>
      <c r="H3090" t="s">
        <v>47126</v>
      </c>
      <c r="I3090" t="s">
        <v>47127</v>
      </c>
      <c r="J3090" t="s">
        <v>47128</v>
      </c>
      <c r="K3090" t="s">
        <v>47113</v>
      </c>
      <c r="L3090">
        <v>11.84</v>
      </c>
      <c r="M3090">
        <v>29</v>
      </c>
      <c r="N3090">
        <v>0</v>
      </c>
      <c r="O3090">
        <v>29</v>
      </c>
      <c r="P3090">
        <v>0</v>
      </c>
    </row>
    <row r="3091" spans="1:16" x14ac:dyDescent="0.25">
      <c r="A3091" t="s">
        <v>25522</v>
      </c>
      <c r="B3091" t="s">
        <v>4227</v>
      </c>
      <c r="C3091" t="s">
        <v>4228</v>
      </c>
      <c r="D3091" t="str">
        <f>"1106"</f>
        <v>1106</v>
      </c>
      <c r="E3091" t="s">
        <v>460</v>
      </c>
      <c r="F3091" t="s">
        <v>3546</v>
      </c>
      <c r="G3091" t="s">
        <v>16221</v>
      </c>
      <c r="H3091" t="s">
        <v>47126</v>
      </c>
      <c r="I3091" t="s">
        <v>47127</v>
      </c>
      <c r="J3091" t="s">
        <v>47128</v>
      </c>
      <c r="K3091" t="s">
        <v>47113</v>
      </c>
      <c r="L3091">
        <v>14.23</v>
      </c>
      <c r="M3091">
        <v>27</v>
      </c>
      <c r="N3091">
        <v>0</v>
      </c>
      <c r="O3091">
        <v>27</v>
      </c>
      <c r="P3091">
        <v>0</v>
      </c>
    </row>
    <row r="3092" spans="1:16" x14ac:dyDescent="0.25">
      <c r="A3092" t="s">
        <v>25523</v>
      </c>
      <c r="B3092" t="s">
        <v>4227</v>
      </c>
      <c r="C3092" t="s">
        <v>4228</v>
      </c>
      <c r="D3092" t="str">
        <f>"1378"</f>
        <v>1378</v>
      </c>
      <c r="E3092" t="s">
        <v>388</v>
      </c>
      <c r="F3092" t="s">
        <v>3546</v>
      </c>
      <c r="G3092" t="s">
        <v>16221</v>
      </c>
      <c r="H3092" t="s">
        <v>47126</v>
      </c>
      <c r="I3092" t="s">
        <v>47127</v>
      </c>
      <c r="J3092" t="s">
        <v>47128</v>
      </c>
      <c r="K3092" t="s">
        <v>47113</v>
      </c>
      <c r="L3092">
        <v>14.23</v>
      </c>
      <c r="M3092">
        <v>27</v>
      </c>
      <c r="N3092">
        <v>0</v>
      </c>
      <c r="O3092">
        <v>27</v>
      </c>
      <c r="P3092">
        <v>0</v>
      </c>
    </row>
    <row r="3093" spans="1:16" x14ac:dyDescent="0.25">
      <c r="A3093" t="s">
        <v>25524</v>
      </c>
      <c r="B3093" t="s">
        <v>4227</v>
      </c>
      <c r="C3093" t="s">
        <v>4228</v>
      </c>
      <c r="D3093" t="str">
        <f>"1403"</f>
        <v>1403</v>
      </c>
      <c r="E3093" t="s">
        <v>224</v>
      </c>
      <c r="F3093" t="s">
        <v>3546</v>
      </c>
      <c r="G3093" t="s">
        <v>16221</v>
      </c>
      <c r="H3093" t="s">
        <v>47126</v>
      </c>
      <c r="I3093" t="s">
        <v>47127</v>
      </c>
      <c r="J3093" t="s">
        <v>47128</v>
      </c>
      <c r="K3093" t="s">
        <v>47113</v>
      </c>
      <c r="L3093">
        <v>14.23</v>
      </c>
      <c r="M3093">
        <v>27</v>
      </c>
      <c r="N3093">
        <v>0</v>
      </c>
      <c r="O3093">
        <v>27</v>
      </c>
      <c r="P3093">
        <v>0</v>
      </c>
    </row>
    <row r="3094" spans="1:16" x14ac:dyDescent="0.25">
      <c r="A3094" t="s">
        <v>25525</v>
      </c>
      <c r="B3094" t="s">
        <v>4227</v>
      </c>
      <c r="C3094" t="s">
        <v>4228</v>
      </c>
      <c r="D3094" t="str">
        <f>"1500"</f>
        <v>1500</v>
      </c>
      <c r="E3094" t="s">
        <v>4160</v>
      </c>
      <c r="F3094" t="s">
        <v>3546</v>
      </c>
      <c r="G3094" t="s">
        <v>16221</v>
      </c>
      <c r="H3094" t="s">
        <v>47126</v>
      </c>
      <c r="I3094" t="s">
        <v>47127</v>
      </c>
      <c r="J3094" t="s">
        <v>47128</v>
      </c>
      <c r="K3094" t="s">
        <v>47113</v>
      </c>
      <c r="L3094">
        <v>14.23</v>
      </c>
      <c r="M3094">
        <v>27</v>
      </c>
      <c r="N3094">
        <v>0</v>
      </c>
      <c r="O3094">
        <v>27</v>
      </c>
      <c r="P3094">
        <v>0</v>
      </c>
    </row>
    <row r="3095" spans="1:16" x14ac:dyDescent="0.25">
      <c r="A3095" t="s">
        <v>25526</v>
      </c>
      <c r="B3095" t="s">
        <v>4227</v>
      </c>
      <c r="C3095" t="s">
        <v>4228</v>
      </c>
      <c r="D3095" t="str">
        <f>"1700"</f>
        <v>1700</v>
      </c>
      <c r="E3095" t="s">
        <v>60</v>
      </c>
      <c r="F3095" t="s">
        <v>3546</v>
      </c>
      <c r="G3095" t="s">
        <v>16221</v>
      </c>
      <c r="H3095" t="s">
        <v>47126</v>
      </c>
      <c r="I3095" t="s">
        <v>47127</v>
      </c>
      <c r="J3095" t="s">
        <v>47128</v>
      </c>
      <c r="K3095" t="s">
        <v>47113</v>
      </c>
      <c r="L3095">
        <v>14.23</v>
      </c>
      <c r="M3095">
        <v>27</v>
      </c>
      <c r="N3095">
        <v>0</v>
      </c>
      <c r="O3095">
        <v>27</v>
      </c>
      <c r="P3095">
        <v>0</v>
      </c>
    </row>
    <row r="3096" spans="1:16" x14ac:dyDescent="0.25">
      <c r="A3096" t="s">
        <v>25527</v>
      </c>
      <c r="B3096" t="s">
        <v>4227</v>
      </c>
      <c r="C3096" t="s">
        <v>4228</v>
      </c>
      <c r="D3096" t="str">
        <f>"3544"</f>
        <v>3544</v>
      </c>
      <c r="E3096" t="s">
        <v>4174</v>
      </c>
      <c r="F3096" t="s">
        <v>3546</v>
      </c>
      <c r="G3096" t="s">
        <v>16221</v>
      </c>
      <c r="H3096" t="s">
        <v>47126</v>
      </c>
      <c r="I3096" t="s">
        <v>47127</v>
      </c>
      <c r="J3096" t="s">
        <v>47128</v>
      </c>
      <c r="K3096" t="s">
        <v>47113</v>
      </c>
      <c r="L3096">
        <v>14.23</v>
      </c>
      <c r="M3096">
        <v>27</v>
      </c>
      <c r="N3096">
        <v>0</v>
      </c>
      <c r="O3096">
        <v>27</v>
      </c>
      <c r="P3096">
        <v>0</v>
      </c>
    </row>
    <row r="3097" spans="1:16" x14ac:dyDescent="0.25">
      <c r="A3097" t="s">
        <v>25528</v>
      </c>
      <c r="B3097" t="s">
        <v>4227</v>
      </c>
      <c r="C3097" t="s">
        <v>4228</v>
      </c>
      <c r="D3097" t="str">
        <f>"4921"</f>
        <v>4921</v>
      </c>
      <c r="E3097" t="s">
        <v>4156</v>
      </c>
      <c r="F3097" t="s">
        <v>3546</v>
      </c>
      <c r="G3097" t="s">
        <v>16221</v>
      </c>
      <c r="H3097" t="s">
        <v>47126</v>
      </c>
      <c r="I3097" t="s">
        <v>47127</v>
      </c>
      <c r="J3097" t="s">
        <v>47128</v>
      </c>
      <c r="K3097" t="s">
        <v>47113</v>
      </c>
      <c r="L3097">
        <v>14.23</v>
      </c>
      <c r="M3097">
        <v>27</v>
      </c>
      <c r="N3097">
        <v>0</v>
      </c>
      <c r="O3097">
        <v>27</v>
      </c>
      <c r="P3097">
        <v>0</v>
      </c>
    </row>
    <row r="3098" spans="1:16" x14ac:dyDescent="0.25">
      <c r="A3098" t="s">
        <v>25529</v>
      </c>
      <c r="B3098" t="s">
        <v>4227</v>
      </c>
      <c r="C3098" t="s">
        <v>4228</v>
      </c>
      <c r="D3098" t="str">
        <f>"4922"</f>
        <v>4922</v>
      </c>
      <c r="E3098" t="s">
        <v>4175</v>
      </c>
      <c r="F3098" t="s">
        <v>3546</v>
      </c>
      <c r="G3098" t="s">
        <v>16221</v>
      </c>
      <c r="H3098" t="s">
        <v>47126</v>
      </c>
      <c r="I3098" t="s">
        <v>47127</v>
      </c>
      <c r="J3098" t="s">
        <v>47128</v>
      </c>
      <c r="K3098" t="s">
        <v>47113</v>
      </c>
      <c r="L3098">
        <v>14.23</v>
      </c>
      <c r="M3098">
        <v>27</v>
      </c>
      <c r="N3098">
        <v>0</v>
      </c>
      <c r="O3098">
        <v>27</v>
      </c>
      <c r="P3098">
        <v>0</v>
      </c>
    </row>
    <row r="3099" spans="1:16" x14ac:dyDescent="0.25">
      <c r="A3099" t="s">
        <v>25530</v>
      </c>
      <c r="B3099" t="s">
        <v>4227</v>
      </c>
      <c r="C3099" t="s">
        <v>4228</v>
      </c>
      <c r="D3099" t="str">
        <f>"6064"</f>
        <v>6064</v>
      </c>
      <c r="E3099" t="s">
        <v>87</v>
      </c>
      <c r="F3099" t="s">
        <v>3546</v>
      </c>
      <c r="G3099" t="s">
        <v>16221</v>
      </c>
      <c r="H3099" t="s">
        <v>47126</v>
      </c>
      <c r="I3099" t="s">
        <v>47127</v>
      </c>
      <c r="J3099" t="s">
        <v>47128</v>
      </c>
      <c r="K3099" t="s">
        <v>47113</v>
      </c>
      <c r="L3099">
        <v>14.23</v>
      </c>
      <c r="M3099">
        <v>27</v>
      </c>
      <c r="N3099">
        <v>0</v>
      </c>
      <c r="O3099">
        <v>27</v>
      </c>
      <c r="P3099">
        <v>0</v>
      </c>
    </row>
    <row r="3100" spans="1:16" x14ac:dyDescent="0.25">
      <c r="A3100" t="s">
        <v>25531</v>
      </c>
      <c r="B3100" t="s">
        <v>4229</v>
      </c>
      <c r="C3100" t="s">
        <v>4230</v>
      </c>
      <c r="D3100" t="str">
        <f>"1106"</f>
        <v>1106</v>
      </c>
      <c r="E3100" t="s">
        <v>460</v>
      </c>
      <c r="F3100" t="s">
        <v>3750</v>
      </c>
      <c r="G3100" t="s">
        <v>16221</v>
      </c>
      <c r="H3100" t="s">
        <v>47126</v>
      </c>
      <c r="I3100" t="s">
        <v>47127</v>
      </c>
      <c r="J3100" t="s">
        <v>47128</v>
      </c>
      <c r="K3100" t="s">
        <v>47113</v>
      </c>
      <c r="L3100">
        <v>13.01</v>
      </c>
      <c r="M3100">
        <v>29</v>
      </c>
      <c r="N3100">
        <v>0</v>
      </c>
      <c r="O3100">
        <v>29</v>
      </c>
      <c r="P3100">
        <v>0</v>
      </c>
    </row>
    <row r="3101" spans="1:16" x14ac:dyDescent="0.25">
      <c r="A3101" t="s">
        <v>25532</v>
      </c>
      <c r="B3101" t="s">
        <v>4229</v>
      </c>
      <c r="C3101" t="s">
        <v>4230</v>
      </c>
      <c r="D3101" t="str">
        <f>"1378"</f>
        <v>1378</v>
      </c>
      <c r="E3101" t="s">
        <v>388</v>
      </c>
      <c r="F3101" t="s">
        <v>3750</v>
      </c>
      <c r="G3101" t="s">
        <v>16221</v>
      </c>
      <c r="H3101" t="s">
        <v>47126</v>
      </c>
      <c r="I3101" t="s">
        <v>47127</v>
      </c>
      <c r="J3101" t="s">
        <v>47128</v>
      </c>
      <c r="K3101" t="s">
        <v>47113</v>
      </c>
      <c r="L3101">
        <v>13.01</v>
      </c>
      <c r="M3101">
        <v>29</v>
      </c>
      <c r="N3101">
        <v>0</v>
      </c>
      <c r="O3101">
        <v>29</v>
      </c>
      <c r="P3101">
        <v>0</v>
      </c>
    </row>
    <row r="3102" spans="1:16" x14ac:dyDescent="0.25">
      <c r="A3102" t="s">
        <v>25533</v>
      </c>
      <c r="B3102" t="s">
        <v>4229</v>
      </c>
      <c r="C3102" t="s">
        <v>4230</v>
      </c>
      <c r="D3102" t="str">
        <f>"1700"</f>
        <v>1700</v>
      </c>
      <c r="E3102" t="s">
        <v>60</v>
      </c>
      <c r="F3102" t="s">
        <v>3750</v>
      </c>
      <c r="G3102" t="s">
        <v>16221</v>
      </c>
      <c r="H3102" t="s">
        <v>47126</v>
      </c>
      <c r="I3102" t="s">
        <v>47127</v>
      </c>
      <c r="J3102" t="s">
        <v>47128</v>
      </c>
      <c r="K3102" t="s">
        <v>47113</v>
      </c>
      <c r="L3102">
        <v>13.01</v>
      </c>
      <c r="M3102">
        <v>29</v>
      </c>
      <c r="N3102">
        <v>0</v>
      </c>
      <c r="O3102">
        <v>29</v>
      </c>
      <c r="P3102">
        <v>0</v>
      </c>
    </row>
    <row r="3103" spans="1:16" x14ac:dyDescent="0.25">
      <c r="A3103" t="s">
        <v>25534</v>
      </c>
      <c r="B3103" t="s">
        <v>4229</v>
      </c>
      <c r="C3103" t="s">
        <v>4230</v>
      </c>
      <c r="D3103" t="str">
        <f>"4922"</f>
        <v>4922</v>
      </c>
      <c r="E3103" t="s">
        <v>4175</v>
      </c>
      <c r="F3103" t="s">
        <v>3750</v>
      </c>
      <c r="G3103" t="s">
        <v>16221</v>
      </c>
      <c r="H3103" t="s">
        <v>47126</v>
      </c>
      <c r="I3103" t="s">
        <v>47127</v>
      </c>
      <c r="J3103" t="s">
        <v>47128</v>
      </c>
      <c r="K3103" t="s">
        <v>47113</v>
      </c>
      <c r="L3103">
        <v>13.01</v>
      </c>
      <c r="M3103">
        <v>29</v>
      </c>
      <c r="N3103">
        <v>0</v>
      </c>
      <c r="O3103">
        <v>29</v>
      </c>
      <c r="P3103">
        <v>0</v>
      </c>
    </row>
    <row r="3104" spans="1:16" x14ac:dyDescent="0.25">
      <c r="A3104" t="s">
        <v>25535</v>
      </c>
      <c r="B3104" t="s">
        <v>4229</v>
      </c>
      <c r="C3104" t="s">
        <v>4230</v>
      </c>
      <c r="D3104" t="str">
        <f>"6064"</f>
        <v>6064</v>
      </c>
      <c r="E3104" t="s">
        <v>87</v>
      </c>
      <c r="F3104" t="s">
        <v>3750</v>
      </c>
      <c r="G3104" t="s">
        <v>16221</v>
      </c>
      <c r="H3104" t="s">
        <v>47126</v>
      </c>
      <c r="I3104" t="s">
        <v>47127</v>
      </c>
      <c r="J3104" t="s">
        <v>47128</v>
      </c>
      <c r="K3104" t="s">
        <v>47113</v>
      </c>
      <c r="L3104">
        <v>13.01</v>
      </c>
      <c r="M3104">
        <v>29</v>
      </c>
      <c r="N3104">
        <v>0</v>
      </c>
      <c r="O3104">
        <v>29</v>
      </c>
      <c r="P3104">
        <v>0</v>
      </c>
    </row>
    <row r="3105" spans="1:16" x14ac:dyDescent="0.25">
      <c r="A3105" t="s">
        <v>25536</v>
      </c>
      <c r="B3105" t="s">
        <v>4231</v>
      </c>
      <c r="C3105" t="s">
        <v>4232</v>
      </c>
      <c r="D3105" t="str">
        <f>"1106"</f>
        <v>1106</v>
      </c>
      <c r="E3105" t="s">
        <v>460</v>
      </c>
      <c r="F3105" t="s">
        <v>3546</v>
      </c>
      <c r="G3105" t="s">
        <v>16221</v>
      </c>
      <c r="H3105" t="s">
        <v>47126</v>
      </c>
      <c r="I3105" t="s">
        <v>47127</v>
      </c>
      <c r="J3105" t="s">
        <v>47128</v>
      </c>
      <c r="K3105" t="s">
        <v>47113</v>
      </c>
      <c r="L3105">
        <v>17.82</v>
      </c>
      <c r="M3105">
        <v>44</v>
      </c>
      <c r="N3105">
        <v>0</v>
      </c>
      <c r="O3105">
        <v>44</v>
      </c>
      <c r="P3105">
        <v>0</v>
      </c>
    </row>
    <row r="3106" spans="1:16" x14ac:dyDescent="0.25">
      <c r="A3106" t="s">
        <v>25537</v>
      </c>
      <c r="B3106" t="s">
        <v>4231</v>
      </c>
      <c r="C3106" t="s">
        <v>4232</v>
      </c>
      <c r="D3106" t="str">
        <f>"1378"</f>
        <v>1378</v>
      </c>
      <c r="E3106" t="s">
        <v>388</v>
      </c>
      <c r="F3106" t="s">
        <v>3546</v>
      </c>
      <c r="G3106" t="s">
        <v>16221</v>
      </c>
      <c r="H3106" t="s">
        <v>47126</v>
      </c>
      <c r="I3106" t="s">
        <v>47127</v>
      </c>
      <c r="J3106" t="s">
        <v>47128</v>
      </c>
      <c r="K3106" t="s">
        <v>47113</v>
      </c>
      <c r="L3106">
        <v>17.82</v>
      </c>
      <c r="M3106">
        <v>44</v>
      </c>
      <c r="N3106">
        <v>0</v>
      </c>
      <c r="O3106">
        <v>44</v>
      </c>
      <c r="P3106">
        <v>0</v>
      </c>
    </row>
    <row r="3107" spans="1:16" x14ac:dyDescent="0.25">
      <c r="A3107" t="s">
        <v>25538</v>
      </c>
      <c r="B3107" t="s">
        <v>4231</v>
      </c>
      <c r="C3107" t="s">
        <v>4232</v>
      </c>
      <c r="D3107" t="str">
        <f>"1403"</f>
        <v>1403</v>
      </c>
      <c r="E3107" t="s">
        <v>224</v>
      </c>
      <c r="F3107" t="s">
        <v>3546</v>
      </c>
      <c r="G3107" t="s">
        <v>16221</v>
      </c>
      <c r="H3107" t="s">
        <v>47126</v>
      </c>
      <c r="I3107" t="s">
        <v>47127</v>
      </c>
      <c r="J3107" t="s">
        <v>47128</v>
      </c>
      <c r="K3107" t="s">
        <v>47113</v>
      </c>
      <c r="L3107">
        <v>17.82</v>
      </c>
      <c r="M3107">
        <v>44</v>
      </c>
      <c r="N3107">
        <v>0</v>
      </c>
      <c r="O3107">
        <v>44</v>
      </c>
      <c r="P3107">
        <v>0</v>
      </c>
    </row>
    <row r="3108" spans="1:16" x14ac:dyDescent="0.25">
      <c r="A3108" t="s">
        <v>25539</v>
      </c>
      <c r="B3108" t="s">
        <v>4231</v>
      </c>
      <c r="C3108" t="s">
        <v>4232</v>
      </c>
      <c r="D3108" t="str">
        <f>"1700"</f>
        <v>1700</v>
      </c>
      <c r="E3108" t="s">
        <v>60</v>
      </c>
      <c r="F3108" t="s">
        <v>3546</v>
      </c>
      <c r="G3108" t="s">
        <v>16221</v>
      </c>
      <c r="H3108" t="s">
        <v>47126</v>
      </c>
      <c r="I3108" t="s">
        <v>47127</v>
      </c>
      <c r="J3108" t="s">
        <v>47128</v>
      </c>
      <c r="K3108" t="s">
        <v>47113</v>
      </c>
      <c r="L3108">
        <v>17.82</v>
      </c>
      <c r="M3108">
        <v>44</v>
      </c>
      <c r="N3108">
        <v>0</v>
      </c>
      <c r="O3108">
        <v>44</v>
      </c>
      <c r="P3108">
        <v>0</v>
      </c>
    </row>
    <row r="3109" spans="1:16" x14ac:dyDescent="0.25">
      <c r="A3109" t="s">
        <v>25540</v>
      </c>
      <c r="B3109" t="s">
        <v>4231</v>
      </c>
      <c r="C3109" t="s">
        <v>4232</v>
      </c>
      <c r="D3109" t="str">
        <f>"3544"</f>
        <v>3544</v>
      </c>
      <c r="E3109" t="s">
        <v>4174</v>
      </c>
      <c r="F3109" t="s">
        <v>3546</v>
      </c>
      <c r="G3109" t="s">
        <v>16221</v>
      </c>
      <c r="H3109" t="s">
        <v>47126</v>
      </c>
      <c r="I3109" t="s">
        <v>47127</v>
      </c>
      <c r="J3109" t="s">
        <v>47128</v>
      </c>
      <c r="K3109" t="s">
        <v>47113</v>
      </c>
      <c r="L3109">
        <v>17.82</v>
      </c>
      <c r="M3109">
        <v>44</v>
      </c>
      <c r="N3109">
        <v>0</v>
      </c>
      <c r="O3109">
        <v>44</v>
      </c>
      <c r="P3109">
        <v>0</v>
      </c>
    </row>
    <row r="3110" spans="1:16" x14ac:dyDescent="0.25">
      <c r="A3110" t="s">
        <v>25541</v>
      </c>
      <c r="B3110" t="s">
        <v>4231</v>
      </c>
      <c r="C3110" t="s">
        <v>4232</v>
      </c>
      <c r="D3110" t="str">
        <f>"4921"</f>
        <v>4921</v>
      </c>
      <c r="E3110" t="s">
        <v>4156</v>
      </c>
      <c r="F3110" t="s">
        <v>3546</v>
      </c>
      <c r="G3110" t="s">
        <v>16221</v>
      </c>
      <c r="H3110" t="s">
        <v>47126</v>
      </c>
      <c r="I3110" t="s">
        <v>47127</v>
      </c>
      <c r="J3110" t="s">
        <v>47128</v>
      </c>
      <c r="K3110" t="s">
        <v>47113</v>
      </c>
      <c r="L3110">
        <v>17.82</v>
      </c>
      <c r="M3110">
        <v>44</v>
      </c>
      <c r="N3110">
        <v>0</v>
      </c>
      <c r="O3110">
        <v>44</v>
      </c>
      <c r="P3110">
        <v>0</v>
      </c>
    </row>
    <row r="3111" spans="1:16" x14ac:dyDescent="0.25">
      <c r="A3111" t="s">
        <v>25542</v>
      </c>
      <c r="B3111" t="s">
        <v>4231</v>
      </c>
      <c r="C3111" t="s">
        <v>4232</v>
      </c>
      <c r="D3111" t="str">
        <f>"4922"</f>
        <v>4922</v>
      </c>
      <c r="E3111" t="s">
        <v>4175</v>
      </c>
      <c r="F3111" t="s">
        <v>3546</v>
      </c>
      <c r="G3111" t="s">
        <v>16221</v>
      </c>
      <c r="H3111" t="s">
        <v>47126</v>
      </c>
      <c r="I3111" t="s">
        <v>47127</v>
      </c>
      <c r="J3111" t="s">
        <v>47128</v>
      </c>
      <c r="K3111" t="s">
        <v>47113</v>
      </c>
      <c r="L3111">
        <v>17.82</v>
      </c>
      <c r="M3111">
        <v>44</v>
      </c>
      <c r="N3111">
        <v>0</v>
      </c>
      <c r="O3111">
        <v>44</v>
      </c>
      <c r="P3111">
        <v>0</v>
      </c>
    </row>
    <row r="3112" spans="1:16" x14ac:dyDescent="0.25">
      <c r="A3112" t="s">
        <v>25543</v>
      </c>
      <c r="B3112" t="s">
        <v>4231</v>
      </c>
      <c r="C3112" t="s">
        <v>4232</v>
      </c>
      <c r="D3112" t="str">
        <f>"6064"</f>
        <v>6064</v>
      </c>
      <c r="E3112" t="s">
        <v>87</v>
      </c>
      <c r="F3112" t="s">
        <v>3546</v>
      </c>
      <c r="G3112" t="s">
        <v>16221</v>
      </c>
      <c r="H3112" t="s">
        <v>47126</v>
      </c>
      <c r="I3112" t="s">
        <v>47127</v>
      </c>
      <c r="J3112" t="s">
        <v>47128</v>
      </c>
      <c r="K3112" t="s">
        <v>47113</v>
      </c>
      <c r="L3112">
        <v>17.82</v>
      </c>
      <c r="M3112">
        <v>44</v>
      </c>
      <c r="N3112">
        <v>0</v>
      </c>
      <c r="O3112">
        <v>44</v>
      </c>
      <c r="P3112">
        <v>0</v>
      </c>
    </row>
    <row r="3113" spans="1:16" x14ac:dyDescent="0.25">
      <c r="A3113" t="s">
        <v>25544</v>
      </c>
      <c r="B3113" t="s">
        <v>4233</v>
      </c>
      <c r="C3113" t="s">
        <v>4234</v>
      </c>
      <c r="D3113" t="str">
        <f>"1106"</f>
        <v>1106</v>
      </c>
      <c r="E3113" t="s">
        <v>460</v>
      </c>
      <c r="F3113" t="s">
        <v>3546</v>
      </c>
      <c r="G3113" t="s">
        <v>16221</v>
      </c>
      <c r="H3113" t="s">
        <v>47126</v>
      </c>
      <c r="I3113" t="s">
        <v>47127</v>
      </c>
      <c r="J3113" t="s">
        <v>47128</v>
      </c>
      <c r="K3113" t="s">
        <v>47113</v>
      </c>
      <c r="L3113">
        <v>15.43</v>
      </c>
      <c r="M3113">
        <v>38</v>
      </c>
      <c r="N3113">
        <v>0</v>
      </c>
      <c r="O3113">
        <v>38</v>
      </c>
      <c r="P3113">
        <v>0</v>
      </c>
    </row>
    <row r="3114" spans="1:16" x14ac:dyDescent="0.25">
      <c r="A3114" t="s">
        <v>25545</v>
      </c>
      <c r="B3114" t="s">
        <v>4233</v>
      </c>
      <c r="C3114" t="s">
        <v>4234</v>
      </c>
      <c r="D3114" t="str">
        <f>"1378"</f>
        <v>1378</v>
      </c>
      <c r="E3114" t="s">
        <v>388</v>
      </c>
      <c r="F3114" t="s">
        <v>3546</v>
      </c>
      <c r="G3114" t="s">
        <v>16221</v>
      </c>
      <c r="H3114" t="s">
        <v>47126</v>
      </c>
      <c r="I3114" t="s">
        <v>47127</v>
      </c>
      <c r="J3114" t="s">
        <v>47128</v>
      </c>
      <c r="K3114" t="s">
        <v>47113</v>
      </c>
      <c r="L3114">
        <v>15.43</v>
      </c>
      <c r="M3114">
        <v>38</v>
      </c>
      <c r="N3114">
        <v>0</v>
      </c>
      <c r="O3114">
        <v>38</v>
      </c>
      <c r="P3114">
        <v>0</v>
      </c>
    </row>
    <row r="3115" spans="1:16" x14ac:dyDescent="0.25">
      <c r="A3115" t="s">
        <v>25546</v>
      </c>
      <c r="B3115" t="s">
        <v>4233</v>
      </c>
      <c r="C3115" t="s">
        <v>4234</v>
      </c>
      <c r="D3115" t="str">
        <f>"1403"</f>
        <v>1403</v>
      </c>
      <c r="E3115" t="s">
        <v>224</v>
      </c>
      <c r="F3115" t="s">
        <v>3546</v>
      </c>
      <c r="G3115" t="s">
        <v>16221</v>
      </c>
      <c r="H3115" t="s">
        <v>47126</v>
      </c>
      <c r="I3115" t="s">
        <v>47127</v>
      </c>
      <c r="J3115" t="s">
        <v>47128</v>
      </c>
      <c r="K3115" t="s">
        <v>47113</v>
      </c>
      <c r="L3115">
        <v>15.43</v>
      </c>
      <c r="M3115">
        <v>38</v>
      </c>
      <c r="N3115">
        <v>0</v>
      </c>
      <c r="O3115">
        <v>38</v>
      </c>
      <c r="P3115">
        <v>0</v>
      </c>
    </row>
    <row r="3116" spans="1:16" x14ac:dyDescent="0.25">
      <c r="A3116" t="s">
        <v>25547</v>
      </c>
      <c r="B3116" t="s">
        <v>4233</v>
      </c>
      <c r="C3116" t="s">
        <v>4234</v>
      </c>
      <c r="D3116" t="str">
        <f>"1700"</f>
        <v>1700</v>
      </c>
      <c r="E3116" t="s">
        <v>60</v>
      </c>
      <c r="F3116" t="s">
        <v>3546</v>
      </c>
      <c r="G3116" t="s">
        <v>16221</v>
      </c>
      <c r="H3116" t="s">
        <v>47126</v>
      </c>
      <c r="I3116" t="s">
        <v>47127</v>
      </c>
      <c r="J3116" t="s">
        <v>47128</v>
      </c>
      <c r="K3116" t="s">
        <v>47113</v>
      </c>
      <c r="L3116">
        <v>15.43</v>
      </c>
      <c r="M3116">
        <v>38</v>
      </c>
      <c r="N3116">
        <v>0</v>
      </c>
      <c r="O3116">
        <v>38</v>
      </c>
      <c r="P3116">
        <v>0</v>
      </c>
    </row>
    <row r="3117" spans="1:16" x14ac:dyDescent="0.25">
      <c r="A3117" t="s">
        <v>25548</v>
      </c>
      <c r="B3117" t="s">
        <v>4233</v>
      </c>
      <c r="C3117" t="s">
        <v>4234</v>
      </c>
      <c r="D3117" t="str">
        <f>"3544"</f>
        <v>3544</v>
      </c>
      <c r="E3117" t="s">
        <v>4174</v>
      </c>
      <c r="F3117" t="s">
        <v>3546</v>
      </c>
      <c r="G3117" t="s">
        <v>16221</v>
      </c>
      <c r="H3117" t="s">
        <v>47126</v>
      </c>
      <c r="I3117" t="s">
        <v>47127</v>
      </c>
      <c r="J3117" t="s">
        <v>47128</v>
      </c>
      <c r="K3117" t="s">
        <v>47113</v>
      </c>
      <c r="L3117">
        <v>15.43</v>
      </c>
      <c r="M3117">
        <v>38</v>
      </c>
      <c r="N3117">
        <v>0</v>
      </c>
      <c r="O3117">
        <v>38</v>
      </c>
      <c r="P3117">
        <v>0</v>
      </c>
    </row>
    <row r="3118" spans="1:16" x14ac:dyDescent="0.25">
      <c r="A3118" t="s">
        <v>25549</v>
      </c>
      <c r="B3118" t="s">
        <v>4233</v>
      </c>
      <c r="C3118" t="s">
        <v>4234</v>
      </c>
      <c r="D3118" t="str">
        <f>"4921"</f>
        <v>4921</v>
      </c>
      <c r="E3118" t="s">
        <v>4156</v>
      </c>
      <c r="F3118" t="s">
        <v>3546</v>
      </c>
      <c r="G3118" t="s">
        <v>16221</v>
      </c>
      <c r="H3118" t="s">
        <v>47126</v>
      </c>
      <c r="I3118" t="s">
        <v>47127</v>
      </c>
      <c r="J3118" t="s">
        <v>47128</v>
      </c>
      <c r="K3118" t="s">
        <v>47113</v>
      </c>
      <c r="L3118">
        <v>15.43</v>
      </c>
      <c r="M3118">
        <v>38</v>
      </c>
      <c r="N3118">
        <v>0</v>
      </c>
      <c r="O3118">
        <v>38</v>
      </c>
      <c r="P3118">
        <v>0</v>
      </c>
    </row>
    <row r="3119" spans="1:16" x14ac:dyDescent="0.25">
      <c r="A3119" t="s">
        <v>14915</v>
      </c>
      <c r="B3119" t="s">
        <v>4233</v>
      </c>
      <c r="C3119" t="s">
        <v>4234</v>
      </c>
      <c r="D3119" t="str">
        <f>"4922"</f>
        <v>4922</v>
      </c>
      <c r="E3119" t="s">
        <v>4175</v>
      </c>
      <c r="F3119" t="s">
        <v>3546</v>
      </c>
      <c r="G3119" t="s">
        <v>16221</v>
      </c>
      <c r="H3119" t="s">
        <v>47126</v>
      </c>
      <c r="I3119" t="s">
        <v>47127</v>
      </c>
      <c r="J3119" t="s">
        <v>47128</v>
      </c>
      <c r="K3119" t="s">
        <v>47113</v>
      </c>
      <c r="L3119">
        <v>15.43</v>
      </c>
      <c r="M3119">
        <v>38</v>
      </c>
      <c r="N3119">
        <v>0</v>
      </c>
      <c r="O3119">
        <v>38</v>
      </c>
      <c r="P3119">
        <v>0</v>
      </c>
    </row>
    <row r="3120" spans="1:16" x14ac:dyDescent="0.25">
      <c r="A3120" t="s">
        <v>25550</v>
      </c>
      <c r="B3120" t="s">
        <v>4233</v>
      </c>
      <c r="C3120" t="s">
        <v>4234</v>
      </c>
      <c r="D3120" t="str">
        <f>"6064"</f>
        <v>6064</v>
      </c>
      <c r="E3120" t="s">
        <v>87</v>
      </c>
      <c r="F3120" t="s">
        <v>3546</v>
      </c>
      <c r="G3120" t="s">
        <v>16221</v>
      </c>
      <c r="H3120" t="s">
        <v>47126</v>
      </c>
      <c r="I3120" t="s">
        <v>47127</v>
      </c>
      <c r="J3120" t="s">
        <v>47128</v>
      </c>
      <c r="K3120" t="s">
        <v>47113</v>
      </c>
      <c r="L3120">
        <v>15.43</v>
      </c>
      <c r="M3120">
        <v>38</v>
      </c>
      <c r="N3120">
        <v>0</v>
      </c>
      <c r="O3120">
        <v>38</v>
      </c>
      <c r="P3120">
        <v>0</v>
      </c>
    </row>
    <row r="3121" spans="1:16" x14ac:dyDescent="0.25">
      <c r="A3121" t="s">
        <v>14916</v>
      </c>
      <c r="B3121" t="s">
        <v>4235</v>
      </c>
      <c r="C3121" t="s">
        <v>4037</v>
      </c>
      <c r="D3121" t="str">
        <f>"1106"</f>
        <v>1106</v>
      </c>
      <c r="E3121" t="s">
        <v>460</v>
      </c>
      <c r="F3121" t="s">
        <v>3546</v>
      </c>
      <c r="G3121" t="s">
        <v>16221</v>
      </c>
      <c r="H3121" t="s">
        <v>47126</v>
      </c>
      <c r="I3121" t="s">
        <v>47127</v>
      </c>
      <c r="J3121" t="s">
        <v>47128</v>
      </c>
      <c r="K3121" t="s">
        <v>47113</v>
      </c>
      <c r="L3121">
        <v>13.03</v>
      </c>
      <c r="M3121">
        <v>32</v>
      </c>
      <c r="N3121">
        <v>0</v>
      </c>
      <c r="O3121">
        <v>32</v>
      </c>
      <c r="P3121">
        <v>0</v>
      </c>
    </row>
    <row r="3122" spans="1:16" x14ac:dyDescent="0.25">
      <c r="A3122" t="s">
        <v>25551</v>
      </c>
      <c r="B3122" t="s">
        <v>4235</v>
      </c>
      <c r="C3122" t="s">
        <v>4037</v>
      </c>
      <c r="D3122" t="str">
        <f>"1378"</f>
        <v>1378</v>
      </c>
      <c r="E3122" t="s">
        <v>388</v>
      </c>
      <c r="F3122" t="s">
        <v>3546</v>
      </c>
      <c r="G3122" t="s">
        <v>16221</v>
      </c>
      <c r="H3122" t="s">
        <v>47126</v>
      </c>
      <c r="I3122" t="s">
        <v>47127</v>
      </c>
      <c r="J3122" t="s">
        <v>47128</v>
      </c>
      <c r="K3122" t="s">
        <v>47113</v>
      </c>
      <c r="L3122">
        <v>13.03</v>
      </c>
      <c r="M3122">
        <v>32</v>
      </c>
      <c r="N3122">
        <v>0</v>
      </c>
      <c r="O3122">
        <v>32</v>
      </c>
      <c r="P3122">
        <v>0</v>
      </c>
    </row>
    <row r="3123" spans="1:16" x14ac:dyDescent="0.25">
      <c r="A3123" t="s">
        <v>25552</v>
      </c>
      <c r="B3123" t="s">
        <v>4235</v>
      </c>
      <c r="C3123" t="s">
        <v>4037</v>
      </c>
      <c r="D3123" t="str">
        <f>"1403"</f>
        <v>1403</v>
      </c>
      <c r="E3123" t="s">
        <v>224</v>
      </c>
      <c r="F3123" t="s">
        <v>3546</v>
      </c>
      <c r="G3123" t="s">
        <v>16221</v>
      </c>
      <c r="H3123" t="s">
        <v>47126</v>
      </c>
      <c r="I3123" t="s">
        <v>47127</v>
      </c>
      <c r="J3123" t="s">
        <v>47128</v>
      </c>
      <c r="K3123" t="s">
        <v>47113</v>
      </c>
      <c r="L3123">
        <v>13.03</v>
      </c>
      <c r="M3123">
        <v>32</v>
      </c>
      <c r="N3123">
        <v>0</v>
      </c>
      <c r="O3123">
        <v>32</v>
      </c>
      <c r="P3123">
        <v>0</v>
      </c>
    </row>
    <row r="3124" spans="1:16" x14ac:dyDescent="0.25">
      <c r="A3124" t="s">
        <v>14917</v>
      </c>
      <c r="B3124" t="s">
        <v>4235</v>
      </c>
      <c r="C3124" t="s">
        <v>4037</v>
      </c>
      <c r="D3124" t="str">
        <f>"1700"</f>
        <v>1700</v>
      </c>
      <c r="E3124" t="s">
        <v>60</v>
      </c>
      <c r="F3124" t="s">
        <v>3546</v>
      </c>
      <c r="G3124" t="s">
        <v>16221</v>
      </c>
      <c r="H3124" t="s">
        <v>47126</v>
      </c>
      <c r="I3124" t="s">
        <v>47127</v>
      </c>
      <c r="J3124" t="s">
        <v>47128</v>
      </c>
      <c r="K3124" t="s">
        <v>47113</v>
      </c>
      <c r="L3124">
        <v>13.03</v>
      </c>
      <c r="M3124">
        <v>32</v>
      </c>
      <c r="N3124">
        <v>0</v>
      </c>
      <c r="O3124">
        <v>32</v>
      </c>
      <c r="P3124">
        <v>0</v>
      </c>
    </row>
    <row r="3125" spans="1:16" x14ac:dyDescent="0.25">
      <c r="A3125" t="s">
        <v>25553</v>
      </c>
      <c r="B3125" t="s">
        <v>4235</v>
      </c>
      <c r="C3125" t="s">
        <v>4037</v>
      </c>
      <c r="D3125" t="str">
        <f>"3544"</f>
        <v>3544</v>
      </c>
      <c r="E3125" t="s">
        <v>4174</v>
      </c>
      <c r="F3125" t="s">
        <v>3546</v>
      </c>
      <c r="G3125" t="s">
        <v>16221</v>
      </c>
      <c r="H3125" t="s">
        <v>47126</v>
      </c>
      <c r="I3125" t="s">
        <v>47127</v>
      </c>
      <c r="J3125" t="s">
        <v>47128</v>
      </c>
      <c r="K3125" t="s">
        <v>47113</v>
      </c>
      <c r="L3125">
        <v>13.03</v>
      </c>
      <c r="M3125">
        <v>32</v>
      </c>
      <c r="N3125">
        <v>0</v>
      </c>
      <c r="O3125">
        <v>32</v>
      </c>
      <c r="P3125">
        <v>0</v>
      </c>
    </row>
    <row r="3126" spans="1:16" x14ac:dyDescent="0.25">
      <c r="A3126" t="s">
        <v>25554</v>
      </c>
      <c r="B3126" t="s">
        <v>4235</v>
      </c>
      <c r="C3126" t="s">
        <v>4037</v>
      </c>
      <c r="D3126" t="str">
        <f>"4921"</f>
        <v>4921</v>
      </c>
      <c r="E3126" t="s">
        <v>4156</v>
      </c>
      <c r="F3126" t="s">
        <v>3546</v>
      </c>
      <c r="G3126" t="s">
        <v>16221</v>
      </c>
      <c r="H3126" t="s">
        <v>47126</v>
      </c>
      <c r="I3126" t="s">
        <v>47127</v>
      </c>
      <c r="J3126" t="s">
        <v>47128</v>
      </c>
      <c r="K3126" t="s">
        <v>47113</v>
      </c>
      <c r="L3126">
        <v>13.03</v>
      </c>
      <c r="M3126">
        <v>32</v>
      </c>
      <c r="N3126">
        <v>0</v>
      </c>
      <c r="O3126">
        <v>32</v>
      </c>
      <c r="P3126">
        <v>0</v>
      </c>
    </row>
    <row r="3127" spans="1:16" x14ac:dyDescent="0.25">
      <c r="A3127" t="s">
        <v>25555</v>
      </c>
      <c r="B3127" t="s">
        <v>4235</v>
      </c>
      <c r="C3127" t="s">
        <v>4037</v>
      </c>
      <c r="D3127" t="str">
        <f>"4922"</f>
        <v>4922</v>
      </c>
      <c r="E3127" t="s">
        <v>4175</v>
      </c>
      <c r="F3127" t="s">
        <v>3546</v>
      </c>
      <c r="G3127" t="s">
        <v>16221</v>
      </c>
      <c r="H3127" t="s">
        <v>47126</v>
      </c>
      <c r="I3127" t="s">
        <v>47127</v>
      </c>
      <c r="J3127" t="s">
        <v>47128</v>
      </c>
      <c r="K3127" t="s">
        <v>47113</v>
      </c>
      <c r="L3127">
        <v>13.03</v>
      </c>
      <c r="M3127">
        <v>32</v>
      </c>
      <c r="N3127">
        <v>0</v>
      </c>
      <c r="O3127">
        <v>32</v>
      </c>
      <c r="P3127">
        <v>0</v>
      </c>
    </row>
    <row r="3128" spans="1:16" x14ac:dyDescent="0.25">
      <c r="A3128" t="s">
        <v>25556</v>
      </c>
      <c r="B3128" t="s">
        <v>4235</v>
      </c>
      <c r="C3128" t="s">
        <v>4037</v>
      </c>
      <c r="D3128" t="str">
        <f>"6064"</f>
        <v>6064</v>
      </c>
      <c r="E3128" t="s">
        <v>87</v>
      </c>
      <c r="F3128" t="s">
        <v>3546</v>
      </c>
      <c r="G3128" t="s">
        <v>16221</v>
      </c>
      <c r="H3128" t="s">
        <v>47126</v>
      </c>
      <c r="I3128" t="s">
        <v>47127</v>
      </c>
      <c r="J3128" t="s">
        <v>47128</v>
      </c>
      <c r="K3128" t="s">
        <v>47113</v>
      </c>
      <c r="L3128">
        <v>13.03</v>
      </c>
      <c r="M3128">
        <v>32</v>
      </c>
      <c r="N3128">
        <v>0</v>
      </c>
      <c r="O3128">
        <v>32</v>
      </c>
      <c r="P3128">
        <v>0</v>
      </c>
    </row>
    <row r="3129" spans="1:16" x14ac:dyDescent="0.25">
      <c r="A3129" t="s">
        <v>25557</v>
      </c>
      <c r="B3129" t="s">
        <v>4236</v>
      </c>
      <c r="C3129" t="s">
        <v>4237</v>
      </c>
      <c r="D3129" t="str">
        <f>"1106"</f>
        <v>1106</v>
      </c>
      <c r="E3129" t="s">
        <v>460</v>
      </c>
      <c r="F3129" t="s">
        <v>3750</v>
      </c>
      <c r="G3129" t="s">
        <v>16221</v>
      </c>
      <c r="H3129" t="s">
        <v>47126</v>
      </c>
      <c r="I3129" t="s">
        <v>47127</v>
      </c>
      <c r="J3129" t="s">
        <v>47128</v>
      </c>
      <c r="K3129" t="s">
        <v>47113</v>
      </c>
      <c r="L3129">
        <v>12.52</v>
      </c>
      <c r="M3129">
        <v>37</v>
      </c>
      <c r="N3129">
        <v>0</v>
      </c>
      <c r="O3129">
        <v>37</v>
      </c>
      <c r="P3129">
        <v>0</v>
      </c>
    </row>
    <row r="3130" spans="1:16" x14ac:dyDescent="0.25">
      <c r="A3130" t="s">
        <v>25558</v>
      </c>
      <c r="B3130" t="s">
        <v>4236</v>
      </c>
      <c r="C3130" t="s">
        <v>4237</v>
      </c>
      <c r="D3130" t="str">
        <f>"1378"</f>
        <v>1378</v>
      </c>
      <c r="E3130" t="s">
        <v>388</v>
      </c>
      <c r="F3130" t="s">
        <v>3750</v>
      </c>
      <c r="G3130" t="s">
        <v>16221</v>
      </c>
      <c r="H3130" t="s">
        <v>47126</v>
      </c>
      <c r="I3130" t="s">
        <v>47127</v>
      </c>
      <c r="J3130" t="s">
        <v>47128</v>
      </c>
      <c r="K3130" t="s">
        <v>47113</v>
      </c>
      <c r="L3130">
        <v>12.52</v>
      </c>
      <c r="M3130">
        <v>37</v>
      </c>
      <c r="N3130">
        <v>0</v>
      </c>
      <c r="O3130">
        <v>37</v>
      </c>
      <c r="P3130">
        <v>0</v>
      </c>
    </row>
    <row r="3131" spans="1:16" x14ac:dyDescent="0.25">
      <c r="A3131" t="s">
        <v>25559</v>
      </c>
      <c r="B3131" t="s">
        <v>4236</v>
      </c>
      <c r="C3131" t="s">
        <v>4237</v>
      </c>
      <c r="D3131" t="str">
        <f>"1700"</f>
        <v>1700</v>
      </c>
      <c r="E3131" t="s">
        <v>60</v>
      </c>
      <c r="F3131" t="s">
        <v>3750</v>
      </c>
      <c r="G3131" t="s">
        <v>16221</v>
      </c>
      <c r="H3131" t="s">
        <v>47126</v>
      </c>
      <c r="I3131" t="s">
        <v>47127</v>
      </c>
      <c r="J3131" t="s">
        <v>47128</v>
      </c>
      <c r="K3131" t="s">
        <v>47113</v>
      </c>
      <c r="L3131">
        <v>12.52</v>
      </c>
      <c r="M3131">
        <v>37</v>
      </c>
      <c r="N3131">
        <v>0</v>
      </c>
      <c r="O3131">
        <v>37</v>
      </c>
      <c r="P3131">
        <v>0</v>
      </c>
    </row>
    <row r="3132" spans="1:16" x14ac:dyDescent="0.25">
      <c r="A3132" t="s">
        <v>25560</v>
      </c>
      <c r="B3132" t="s">
        <v>4236</v>
      </c>
      <c r="C3132" t="s">
        <v>4237</v>
      </c>
      <c r="D3132" t="str">
        <f>"4922"</f>
        <v>4922</v>
      </c>
      <c r="E3132" t="s">
        <v>4175</v>
      </c>
      <c r="F3132" t="s">
        <v>3750</v>
      </c>
      <c r="G3132" t="s">
        <v>16221</v>
      </c>
      <c r="H3132" t="s">
        <v>47126</v>
      </c>
      <c r="I3132" t="s">
        <v>47127</v>
      </c>
      <c r="J3132" t="s">
        <v>47128</v>
      </c>
      <c r="K3132" t="s">
        <v>47113</v>
      </c>
      <c r="L3132">
        <v>12.52</v>
      </c>
      <c r="M3132">
        <v>37</v>
      </c>
      <c r="N3132">
        <v>0</v>
      </c>
      <c r="O3132">
        <v>37</v>
      </c>
      <c r="P3132">
        <v>0</v>
      </c>
    </row>
    <row r="3133" spans="1:16" x14ac:dyDescent="0.25">
      <c r="A3133" t="s">
        <v>25561</v>
      </c>
      <c r="B3133" t="s">
        <v>4238</v>
      </c>
      <c r="C3133" t="s">
        <v>4239</v>
      </c>
      <c r="D3133" t="str">
        <f>"1106"</f>
        <v>1106</v>
      </c>
      <c r="E3133" t="s">
        <v>460</v>
      </c>
      <c r="F3133" t="s">
        <v>3750</v>
      </c>
      <c r="G3133" t="s">
        <v>16232</v>
      </c>
      <c r="H3133" t="s">
        <v>47126</v>
      </c>
      <c r="I3133" t="s">
        <v>47127</v>
      </c>
      <c r="J3133" t="s">
        <v>47128</v>
      </c>
      <c r="K3133" t="s">
        <v>47113</v>
      </c>
      <c r="L3133">
        <v>19.34</v>
      </c>
      <c r="M3133">
        <v>43</v>
      </c>
      <c r="N3133">
        <v>0</v>
      </c>
      <c r="O3133">
        <v>43</v>
      </c>
      <c r="P3133">
        <v>0</v>
      </c>
    </row>
    <row r="3134" spans="1:16" x14ac:dyDescent="0.25">
      <c r="A3134" t="s">
        <v>25562</v>
      </c>
      <c r="B3134" t="s">
        <v>4238</v>
      </c>
      <c r="C3134" t="s">
        <v>4239</v>
      </c>
      <c r="D3134" t="str">
        <f>"1378"</f>
        <v>1378</v>
      </c>
      <c r="E3134" t="s">
        <v>388</v>
      </c>
      <c r="F3134" t="s">
        <v>3750</v>
      </c>
      <c r="G3134" t="s">
        <v>16232</v>
      </c>
      <c r="H3134" t="s">
        <v>47126</v>
      </c>
      <c r="I3134" t="s">
        <v>47127</v>
      </c>
      <c r="J3134" t="s">
        <v>47128</v>
      </c>
      <c r="K3134" t="s">
        <v>47113</v>
      </c>
      <c r="L3134">
        <v>19.34</v>
      </c>
      <c r="M3134">
        <v>43</v>
      </c>
      <c r="N3134">
        <v>0</v>
      </c>
      <c r="O3134">
        <v>43</v>
      </c>
      <c r="P3134">
        <v>0</v>
      </c>
    </row>
    <row r="3135" spans="1:16" x14ac:dyDescent="0.25">
      <c r="A3135" t="s">
        <v>25563</v>
      </c>
      <c r="B3135" t="s">
        <v>4238</v>
      </c>
      <c r="C3135" t="s">
        <v>4239</v>
      </c>
      <c r="D3135" t="str">
        <f>"1700"</f>
        <v>1700</v>
      </c>
      <c r="E3135" t="s">
        <v>60</v>
      </c>
      <c r="F3135" t="s">
        <v>3750</v>
      </c>
      <c r="G3135" t="s">
        <v>16232</v>
      </c>
      <c r="H3135" t="s">
        <v>47126</v>
      </c>
      <c r="I3135" t="s">
        <v>47127</v>
      </c>
      <c r="J3135" t="s">
        <v>47128</v>
      </c>
      <c r="K3135" t="s">
        <v>47113</v>
      </c>
      <c r="L3135">
        <v>19.34</v>
      </c>
      <c r="M3135">
        <v>43</v>
      </c>
      <c r="N3135">
        <v>0</v>
      </c>
      <c r="O3135">
        <v>43</v>
      </c>
      <c r="P3135">
        <v>0</v>
      </c>
    </row>
    <row r="3136" spans="1:16" x14ac:dyDescent="0.25">
      <c r="A3136" t="s">
        <v>25564</v>
      </c>
      <c r="B3136" t="s">
        <v>4238</v>
      </c>
      <c r="C3136" t="s">
        <v>4239</v>
      </c>
      <c r="D3136" t="str">
        <f>"4922"</f>
        <v>4922</v>
      </c>
      <c r="E3136" t="s">
        <v>4175</v>
      </c>
      <c r="F3136" t="s">
        <v>3750</v>
      </c>
      <c r="G3136" t="s">
        <v>16232</v>
      </c>
      <c r="H3136" t="s">
        <v>47126</v>
      </c>
      <c r="I3136" t="s">
        <v>47127</v>
      </c>
      <c r="J3136" t="s">
        <v>47128</v>
      </c>
      <c r="K3136" t="s">
        <v>47113</v>
      </c>
      <c r="L3136">
        <v>19.34</v>
      </c>
      <c r="M3136">
        <v>43</v>
      </c>
      <c r="N3136">
        <v>0</v>
      </c>
      <c r="O3136">
        <v>43</v>
      </c>
      <c r="P3136">
        <v>0</v>
      </c>
    </row>
    <row r="3137" spans="1:16" x14ac:dyDescent="0.25">
      <c r="A3137" t="s">
        <v>25565</v>
      </c>
      <c r="B3137" t="s">
        <v>4238</v>
      </c>
      <c r="C3137" t="s">
        <v>4239</v>
      </c>
      <c r="D3137" t="str">
        <f>"6064"</f>
        <v>6064</v>
      </c>
      <c r="E3137" t="s">
        <v>87</v>
      </c>
      <c r="F3137" t="s">
        <v>3750</v>
      </c>
      <c r="G3137" t="s">
        <v>16232</v>
      </c>
      <c r="H3137" t="s">
        <v>47126</v>
      </c>
      <c r="I3137" t="s">
        <v>47127</v>
      </c>
      <c r="J3137" t="s">
        <v>47128</v>
      </c>
      <c r="K3137" t="s">
        <v>47113</v>
      </c>
      <c r="L3137">
        <v>19.34</v>
      </c>
      <c r="M3137">
        <v>43</v>
      </c>
      <c r="N3137">
        <v>0</v>
      </c>
      <c r="O3137">
        <v>43</v>
      </c>
      <c r="P3137">
        <v>0</v>
      </c>
    </row>
    <row r="3138" spans="1:16" x14ac:dyDescent="0.25">
      <c r="A3138" t="s">
        <v>25566</v>
      </c>
      <c r="B3138" t="s">
        <v>4240</v>
      </c>
      <c r="C3138" t="s">
        <v>4045</v>
      </c>
      <c r="D3138" t="s">
        <v>4241</v>
      </c>
      <c r="E3138" t="s">
        <v>4242</v>
      </c>
      <c r="F3138" t="s">
        <v>3546</v>
      </c>
      <c r="G3138" t="s">
        <v>16230</v>
      </c>
      <c r="H3138" t="s">
        <v>47153</v>
      </c>
      <c r="I3138" t="s">
        <v>47132</v>
      </c>
      <c r="J3138" t="s">
        <v>47133</v>
      </c>
      <c r="K3138" t="s">
        <v>47113</v>
      </c>
      <c r="L3138">
        <v>50.56</v>
      </c>
      <c r="M3138">
        <v>77</v>
      </c>
      <c r="N3138">
        <v>0</v>
      </c>
      <c r="O3138">
        <v>77</v>
      </c>
      <c r="P3138">
        <v>0</v>
      </c>
    </row>
    <row r="3139" spans="1:16" x14ac:dyDescent="0.25">
      <c r="A3139" t="s">
        <v>25567</v>
      </c>
      <c r="B3139" t="s">
        <v>4240</v>
      </c>
      <c r="C3139" t="s">
        <v>4045</v>
      </c>
      <c r="D3139" t="s">
        <v>4243</v>
      </c>
      <c r="E3139" t="s">
        <v>4244</v>
      </c>
      <c r="F3139" t="s">
        <v>3546</v>
      </c>
      <c r="G3139" t="s">
        <v>16230</v>
      </c>
      <c r="H3139" t="s">
        <v>47153</v>
      </c>
      <c r="I3139" t="s">
        <v>47132</v>
      </c>
      <c r="J3139" t="s">
        <v>47133</v>
      </c>
      <c r="K3139" t="s">
        <v>47113</v>
      </c>
      <c r="L3139">
        <v>47.15</v>
      </c>
      <c r="M3139">
        <v>77</v>
      </c>
      <c r="N3139">
        <v>0</v>
      </c>
      <c r="O3139">
        <v>77</v>
      </c>
      <c r="P3139">
        <v>0</v>
      </c>
    </row>
    <row r="3140" spans="1:16" x14ac:dyDescent="0.25">
      <c r="A3140" t="s">
        <v>25568</v>
      </c>
      <c r="B3140" t="s">
        <v>4245</v>
      </c>
      <c r="C3140" t="s">
        <v>4045</v>
      </c>
      <c r="D3140" t="s">
        <v>4246</v>
      </c>
      <c r="E3140" t="s">
        <v>4247</v>
      </c>
      <c r="F3140" t="s">
        <v>3546</v>
      </c>
      <c r="G3140" t="s">
        <v>16230</v>
      </c>
      <c r="H3140" t="s">
        <v>47153</v>
      </c>
      <c r="I3140" t="s">
        <v>47132</v>
      </c>
      <c r="J3140" t="s">
        <v>47133</v>
      </c>
      <c r="K3140" t="s">
        <v>47113</v>
      </c>
      <c r="L3140">
        <v>48.33</v>
      </c>
      <c r="M3140">
        <v>77</v>
      </c>
      <c r="N3140">
        <v>0</v>
      </c>
      <c r="O3140">
        <v>77</v>
      </c>
      <c r="P3140">
        <v>0</v>
      </c>
    </row>
    <row r="3141" spans="1:16" x14ac:dyDescent="0.25">
      <c r="A3141" t="s">
        <v>25569</v>
      </c>
      <c r="B3141" t="s">
        <v>4248</v>
      </c>
      <c r="C3141" t="s">
        <v>4249</v>
      </c>
      <c r="D3141" t="s">
        <v>3768</v>
      </c>
      <c r="E3141" t="s">
        <v>3769</v>
      </c>
      <c r="F3141" t="s">
        <v>0</v>
      </c>
      <c r="G3141" t="s">
        <v>16231</v>
      </c>
      <c r="H3141" t="s">
        <v>47153</v>
      </c>
      <c r="I3141" t="s">
        <v>47132</v>
      </c>
      <c r="J3141" t="s">
        <v>47133</v>
      </c>
      <c r="K3141" t="s">
        <v>47113</v>
      </c>
      <c r="L3141">
        <v>55.98</v>
      </c>
      <c r="M3141">
        <v>107</v>
      </c>
      <c r="N3141">
        <v>0</v>
      </c>
      <c r="O3141">
        <v>107</v>
      </c>
      <c r="P3141">
        <v>0</v>
      </c>
    </row>
    <row r="3142" spans="1:16" x14ac:dyDescent="0.25">
      <c r="A3142" t="s">
        <v>25570</v>
      </c>
      <c r="B3142" t="s">
        <v>4248</v>
      </c>
      <c r="C3142" t="s">
        <v>4249</v>
      </c>
      <c r="D3142" t="s">
        <v>4250</v>
      </c>
      <c r="E3142" t="s">
        <v>4251</v>
      </c>
      <c r="F3142" t="s">
        <v>0</v>
      </c>
      <c r="G3142" t="s">
        <v>16231</v>
      </c>
      <c r="H3142" t="s">
        <v>47153</v>
      </c>
      <c r="I3142" t="s">
        <v>47132</v>
      </c>
      <c r="J3142" t="s">
        <v>47133</v>
      </c>
      <c r="K3142" t="s">
        <v>47113</v>
      </c>
      <c r="L3142">
        <v>63.33</v>
      </c>
      <c r="M3142">
        <v>115</v>
      </c>
      <c r="N3142">
        <v>0</v>
      </c>
      <c r="O3142">
        <v>115</v>
      </c>
      <c r="P3142">
        <v>0</v>
      </c>
    </row>
    <row r="3143" spans="1:16" x14ac:dyDescent="0.25">
      <c r="A3143" t="s">
        <v>25571</v>
      </c>
      <c r="B3143" t="s">
        <v>4252</v>
      </c>
      <c r="C3143" t="s">
        <v>4249</v>
      </c>
      <c r="D3143" t="s">
        <v>341</v>
      </c>
      <c r="E3143" t="s">
        <v>342</v>
      </c>
      <c r="F3143" t="s">
        <v>0</v>
      </c>
      <c r="G3143" t="s">
        <v>16231</v>
      </c>
      <c r="H3143" t="s">
        <v>47153</v>
      </c>
      <c r="I3143" t="s">
        <v>47132</v>
      </c>
      <c r="J3143" t="s">
        <v>47133</v>
      </c>
      <c r="K3143" t="s">
        <v>47113</v>
      </c>
      <c r="L3143">
        <v>34.909999999999997</v>
      </c>
      <c r="M3143">
        <v>72</v>
      </c>
      <c r="N3143">
        <v>0</v>
      </c>
      <c r="O3143">
        <v>72</v>
      </c>
      <c r="P3143">
        <v>0</v>
      </c>
    </row>
    <row r="3144" spans="1:16" x14ac:dyDescent="0.25">
      <c r="A3144" t="s">
        <v>25572</v>
      </c>
      <c r="B3144" t="s">
        <v>4252</v>
      </c>
      <c r="C3144" t="s">
        <v>4249</v>
      </c>
      <c r="D3144" t="s">
        <v>4253</v>
      </c>
      <c r="E3144" t="s">
        <v>4254</v>
      </c>
      <c r="F3144" t="s">
        <v>0</v>
      </c>
      <c r="G3144" t="s">
        <v>16231</v>
      </c>
      <c r="H3144" t="s">
        <v>47153</v>
      </c>
      <c r="I3144" t="s">
        <v>47132</v>
      </c>
      <c r="J3144" t="s">
        <v>47133</v>
      </c>
      <c r="K3144" t="s">
        <v>47113</v>
      </c>
      <c r="L3144">
        <v>42.61</v>
      </c>
      <c r="M3144">
        <v>77</v>
      </c>
      <c r="N3144">
        <v>0</v>
      </c>
      <c r="O3144">
        <v>77</v>
      </c>
      <c r="P3144">
        <v>0</v>
      </c>
    </row>
    <row r="3145" spans="1:16" x14ac:dyDescent="0.25">
      <c r="A3145" t="s">
        <v>25573</v>
      </c>
      <c r="B3145" t="s">
        <v>4252</v>
      </c>
      <c r="C3145" t="s">
        <v>4249</v>
      </c>
      <c r="D3145" t="s">
        <v>4255</v>
      </c>
      <c r="E3145" t="s">
        <v>4256</v>
      </c>
      <c r="F3145" t="s">
        <v>0</v>
      </c>
      <c r="G3145" t="s">
        <v>16231</v>
      </c>
      <c r="H3145" t="s">
        <v>47153</v>
      </c>
      <c r="I3145" t="s">
        <v>47132</v>
      </c>
      <c r="J3145" t="s">
        <v>47133</v>
      </c>
      <c r="K3145" t="s">
        <v>47113</v>
      </c>
      <c r="L3145">
        <v>44.39</v>
      </c>
      <c r="M3145">
        <v>84</v>
      </c>
      <c r="N3145">
        <v>0</v>
      </c>
      <c r="O3145">
        <v>84</v>
      </c>
      <c r="P3145">
        <v>0</v>
      </c>
    </row>
    <row r="3146" spans="1:16" x14ac:dyDescent="0.25">
      <c r="A3146" t="s">
        <v>25574</v>
      </c>
      <c r="B3146" t="s">
        <v>4252</v>
      </c>
      <c r="C3146" t="s">
        <v>4249</v>
      </c>
      <c r="D3146" t="s">
        <v>4257</v>
      </c>
      <c r="E3146" t="s">
        <v>4258</v>
      </c>
      <c r="F3146" t="s">
        <v>0</v>
      </c>
      <c r="G3146" t="s">
        <v>16231</v>
      </c>
      <c r="H3146" t="s">
        <v>47153</v>
      </c>
      <c r="I3146" t="s">
        <v>47132</v>
      </c>
      <c r="J3146" t="s">
        <v>47133</v>
      </c>
      <c r="K3146" t="s">
        <v>47113</v>
      </c>
      <c r="L3146">
        <v>47.94</v>
      </c>
      <c r="M3146">
        <v>80</v>
      </c>
      <c r="N3146">
        <v>0</v>
      </c>
      <c r="O3146">
        <v>80</v>
      </c>
      <c r="P3146">
        <v>0</v>
      </c>
    </row>
    <row r="3147" spans="1:16" x14ac:dyDescent="0.25">
      <c r="A3147" t="s">
        <v>25575</v>
      </c>
      <c r="B3147" t="s">
        <v>4252</v>
      </c>
      <c r="C3147" t="s">
        <v>4249</v>
      </c>
      <c r="D3147" t="s">
        <v>4259</v>
      </c>
      <c r="E3147" t="s">
        <v>4260</v>
      </c>
      <c r="F3147" t="s">
        <v>0</v>
      </c>
      <c r="G3147" t="s">
        <v>16231</v>
      </c>
      <c r="H3147" t="s">
        <v>47153</v>
      </c>
      <c r="I3147" t="s">
        <v>47132</v>
      </c>
      <c r="J3147" t="s">
        <v>47133</v>
      </c>
      <c r="K3147" t="s">
        <v>47113</v>
      </c>
      <c r="L3147">
        <v>49.13</v>
      </c>
      <c r="M3147">
        <v>94</v>
      </c>
      <c r="N3147">
        <v>0</v>
      </c>
      <c r="O3147">
        <v>94</v>
      </c>
      <c r="P3147">
        <v>0</v>
      </c>
    </row>
    <row r="3148" spans="1:16" x14ac:dyDescent="0.25">
      <c r="A3148" t="s">
        <v>25576</v>
      </c>
      <c r="B3148" t="s">
        <v>4252</v>
      </c>
      <c r="C3148" t="s">
        <v>4249</v>
      </c>
      <c r="D3148" t="s">
        <v>4261</v>
      </c>
      <c r="E3148" t="s">
        <v>4262</v>
      </c>
      <c r="F3148" t="s">
        <v>0</v>
      </c>
      <c r="G3148" t="s">
        <v>16231</v>
      </c>
      <c r="H3148" t="s">
        <v>47153</v>
      </c>
      <c r="I3148" t="s">
        <v>47132</v>
      </c>
      <c r="J3148" t="s">
        <v>47133</v>
      </c>
      <c r="K3148" t="s">
        <v>47113</v>
      </c>
      <c r="L3148">
        <v>46.16</v>
      </c>
      <c r="M3148">
        <v>88</v>
      </c>
      <c r="N3148">
        <v>0</v>
      </c>
      <c r="O3148">
        <v>88</v>
      </c>
      <c r="P3148">
        <v>0</v>
      </c>
    </row>
    <row r="3149" spans="1:16" x14ac:dyDescent="0.25">
      <c r="A3149" t="s">
        <v>25577</v>
      </c>
      <c r="B3149" t="s">
        <v>4252</v>
      </c>
      <c r="C3149" t="s">
        <v>4249</v>
      </c>
      <c r="D3149" t="s">
        <v>335</v>
      </c>
      <c r="E3149" t="s">
        <v>336</v>
      </c>
      <c r="F3149" t="s">
        <v>0</v>
      </c>
      <c r="G3149" t="s">
        <v>16231</v>
      </c>
      <c r="H3149" t="s">
        <v>47153</v>
      </c>
      <c r="I3149" t="s">
        <v>47132</v>
      </c>
      <c r="J3149" t="s">
        <v>47133</v>
      </c>
      <c r="K3149" t="s">
        <v>47113</v>
      </c>
      <c r="L3149">
        <v>45.93</v>
      </c>
      <c r="M3149">
        <v>88</v>
      </c>
      <c r="N3149">
        <v>0</v>
      </c>
      <c r="O3149">
        <v>88</v>
      </c>
      <c r="P3149">
        <v>0</v>
      </c>
    </row>
    <row r="3150" spans="1:16" x14ac:dyDescent="0.25">
      <c r="A3150" t="s">
        <v>25578</v>
      </c>
      <c r="B3150" t="s">
        <v>4252</v>
      </c>
      <c r="C3150" t="s">
        <v>4249</v>
      </c>
      <c r="D3150" t="s">
        <v>364</v>
      </c>
      <c r="E3150" t="s">
        <v>365</v>
      </c>
      <c r="F3150" t="s">
        <v>0</v>
      </c>
      <c r="G3150" t="s">
        <v>16231</v>
      </c>
      <c r="H3150" t="s">
        <v>47153</v>
      </c>
      <c r="I3150" t="s">
        <v>47132</v>
      </c>
      <c r="J3150" t="s">
        <v>47133</v>
      </c>
      <c r="K3150" t="s">
        <v>47113</v>
      </c>
      <c r="L3150">
        <v>47.94</v>
      </c>
      <c r="M3150">
        <v>88</v>
      </c>
      <c r="N3150">
        <v>0</v>
      </c>
      <c r="O3150">
        <v>88</v>
      </c>
      <c r="P3150">
        <v>0</v>
      </c>
    </row>
    <row r="3151" spans="1:16" x14ac:dyDescent="0.25">
      <c r="A3151" t="s">
        <v>25579</v>
      </c>
      <c r="B3151" t="s">
        <v>4263</v>
      </c>
      <c r="C3151" t="s">
        <v>4249</v>
      </c>
      <c r="D3151" t="s">
        <v>4264</v>
      </c>
      <c r="E3151" t="s">
        <v>4265</v>
      </c>
      <c r="F3151" t="s">
        <v>0</v>
      </c>
      <c r="G3151" t="s">
        <v>16231</v>
      </c>
      <c r="H3151" t="s">
        <v>47153</v>
      </c>
      <c r="I3151" t="s">
        <v>47132</v>
      </c>
      <c r="J3151" t="s">
        <v>47133</v>
      </c>
      <c r="K3151" t="s">
        <v>47113</v>
      </c>
      <c r="L3151">
        <v>49.48</v>
      </c>
      <c r="M3151">
        <v>84</v>
      </c>
      <c r="N3151">
        <v>0</v>
      </c>
      <c r="O3151">
        <v>84</v>
      </c>
      <c r="P3151">
        <v>0</v>
      </c>
    </row>
    <row r="3152" spans="1:16" x14ac:dyDescent="0.25">
      <c r="A3152" t="s">
        <v>25580</v>
      </c>
      <c r="B3152" t="s">
        <v>4263</v>
      </c>
      <c r="C3152" t="s">
        <v>4249</v>
      </c>
      <c r="D3152" t="s">
        <v>4266</v>
      </c>
      <c r="E3152" t="s">
        <v>4267</v>
      </c>
      <c r="F3152" t="s">
        <v>0</v>
      </c>
      <c r="G3152" t="s">
        <v>16231</v>
      </c>
      <c r="H3152" t="s">
        <v>47153</v>
      </c>
      <c r="I3152" t="s">
        <v>47132</v>
      </c>
      <c r="J3152" t="s">
        <v>47133</v>
      </c>
      <c r="K3152" t="s">
        <v>47113</v>
      </c>
      <c r="L3152">
        <v>44.87</v>
      </c>
      <c r="M3152">
        <v>77</v>
      </c>
      <c r="N3152">
        <v>0</v>
      </c>
      <c r="O3152">
        <v>77</v>
      </c>
      <c r="P3152">
        <v>0</v>
      </c>
    </row>
    <row r="3153" spans="1:16" x14ac:dyDescent="0.25">
      <c r="A3153" t="s">
        <v>25581</v>
      </c>
      <c r="B3153" t="s">
        <v>4268</v>
      </c>
      <c r="C3153" t="s">
        <v>4249</v>
      </c>
      <c r="D3153" t="s">
        <v>4269</v>
      </c>
      <c r="E3153" t="s">
        <v>4270</v>
      </c>
      <c r="F3153" t="s">
        <v>0</v>
      </c>
      <c r="G3153" t="s">
        <v>16231</v>
      </c>
      <c r="H3153" t="s">
        <v>47153</v>
      </c>
      <c r="I3153" t="s">
        <v>47132</v>
      </c>
      <c r="J3153" t="s">
        <v>47133</v>
      </c>
      <c r="K3153" t="s">
        <v>47113</v>
      </c>
      <c r="L3153">
        <v>43.8</v>
      </c>
      <c r="M3153">
        <v>77</v>
      </c>
      <c r="N3153">
        <v>0</v>
      </c>
      <c r="O3153">
        <v>77</v>
      </c>
      <c r="P3153">
        <v>0</v>
      </c>
    </row>
    <row r="3154" spans="1:16" x14ac:dyDescent="0.25">
      <c r="A3154" t="s">
        <v>25582</v>
      </c>
      <c r="B3154" t="s">
        <v>4268</v>
      </c>
      <c r="C3154" t="s">
        <v>4249</v>
      </c>
      <c r="D3154" t="s">
        <v>4271</v>
      </c>
      <c r="E3154" t="s">
        <v>4272</v>
      </c>
      <c r="F3154" t="s">
        <v>0</v>
      </c>
      <c r="G3154" t="s">
        <v>16231</v>
      </c>
      <c r="H3154" t="s">
        <v>47153</v>
      </c>
      <c r="I3154" t="s">
        <v>47132</v>
      </c>
      <c r="J3154" t="s">
        <v>47133</v>
      </c>
      <c r="K3154" t="s">
        <v>47113</v>
      </c>
      <c r="L3154">
        <v>43.8</v>
      </c>
      <c r="M3154">
        <v>84</v>
      </c>
      <c r="N3154">
        <v>0</v>
      </c>
      <c r="O3154">
        <v>84</v>
      </c>
      <c r="P3154">
        <v>0</v>
      </c>
    </row>
    <row r="3155" spans="1:16" x14ac:dyDescent="0.25">
      <c r="A3155" t="s">
        <v>25583</v>
      </c>
      <c r="B3155" t="s">
        <v>4268</v>
      </c>
      <c r="C3155" t="s">
        <v>4249</v>
      </c>
      <c r="D3155" t="s">
        <v>4273</v>
      </c>
      <c r="E3155" t="s">
        <v>4274</v>
      </c>
      <c r="F3155" t="s">
        <v>0</v>
      </c>
      <c r="G3155" t="s">
        <v>16231</v>
      </c>
      <c r="H3155" t="s">
        <v>47153</v>
      </c>
      <c r="I3155" t="s">
        <v>47132</v>
      </c>
      <c r="J3155" t="s">
        <v>47133</v>
      </c>
      <c r="K3155" t="s">
        <v>47113</v>
      </c>
      <c r="L3155">
        <v>46.16</v>
      </c>
      <c r="M3155">
        <v>88</v>
      </c>
      <c r="N3155">
        <v>0</v>
      </c>
      <c r="O3155">
        <v>88</v>
      </c>
      <c r="P3155">
        <v>0</v>
      </c>
    </row>
    <row r="3156" spans="1:16" x14ac:dyDescent="0.25">
      <c r="A3156" t="s">
        <v>25584</v>
      </c>
      <c r="B3156" t="s">
        <v>4275</v>
      </c>
      <c r="C3156" t="s">
        <v>3813</v>
      </c>
      <c r="D3156" t="s">
        <v>3768</v>
      </c>
      <c r="E3156" t="s">
        <v>3769</v>
      </c>
      <c r="F3156" t="s">
        <v>0</v>
      </c>
      <c r="G3156" t="s">
        <v>16231</v>
      </c>
      <c r="H3156" t="s">
        <v>47153</v>
      </c>
      <c r="I3156" t="s">
        <v>47132</v>
      </c>
      <c r="J3156" t="s">
        <v>47133</v>
      </c>
      <c r="K3156" t="s">
        <v>47113</v>
      </c>
      <c r="L3156">
        <v>55.98</v>
      </c>
      <c r="M3156">
        <v>107</v>
      </c>
      <c r="N3156">
        <v>0</v>
      </c>
      <c r="O3156">
        <v>107</v>
      </c>
      <c r="P3156">
        <v>0</v>
      </c>
    </row>
    <row r="3157" spans="1:16" x14ac:dyDescent="0.25">
      <c r="A3157" t="s">
        <v>25585</v>
      </c>
      <c r="B3157" t="s">
        <v>4275</v>
      </c>
      <c r="C3157" t="s">
        <v>3813</v>
      </c>
      <c r="D3157" t="s">
        <v>4250</v>
      </c>
      <c r="E3157" t="s">
        <v>4251</v>
      </c>
      <c r="F3157" t="s">
        <v>0</v>
      </c>
      <c r="G3157" t="s">
        <v>16231</v>
      </c>
      <c r="H3157" t="s">
        <v>47153</v>
      </c>
      <c r="I3157" t="s">
        <v>47132</v>
      </c>
      <c r="J3157" t="s">
        <v>47133</v>
      </c>
      <c r="K3157" t="s">
        <v>47113</v>
      </c>
      <c r="L3157">
        <v>63.33</v>
      </c>
      <c r="M3157">
        <v>115</v>
      </c>
      <c r="N3157">
        <v>0</v>
      </c>
      <c r="O3157">
        <v>115</v>
      </c>
      <c r="P3157">
        <v>0</v>
      </c>
    </row>
    <row r="3158" spans="1:16" x14ac:dyDescent="0.25">
      <c r="A3158" t="s">
        <v>25586</v>
      </c>
      <c r="B3158" t="s">
        <v>4276</v>
      </c>
      <c r="C3158" t="s">
        <v>3813</v>
      </c>
      <c r="D3158" t="s">
        <v>339</v>
      </c>
      <c r="E3158" t="s">
        <v>340</v>
      </c>
      <c r="F3158" t="s">
        <v>0</v>
      </c>
      <c r="G3158" t="s">
        <v>16231</v>
      </c>
      <c r="H3158" t="s">
        <v>47153</v>
      </c>
      <c r="I3158" t="s">
        <v>47132</v>
      </c>
      <c r="J3158" t="s">
        <v>47133</v>
      </c>
      <c r="K3158" t="s">
        <v>47113</v>
      </c>
      <c r="L3158">
        <v>48.53</v>
      </c>
      <c r="M3158">
        <v>88</v>
      </c>
      <c r="N3158">
        <v>0</v>
      </c>
      <c r="O3158">
        <v>88</v>
      </c>
      <c r="P3158">
        <v>0</v>
      </c>
    </row>
    <row r="3159" spans="1:16" x14ac:dyDescent="0.25">
      <c r="A3159" t="s">
        <v>25587</v>
      </c>
      <c r="B3159" t="s">
        <v>4276</v>
      </c>
      <c r="C3159" t="s">
        <v>3813</v>
      </c>
      <c r="D3159" t="s">
        <v>341</v>
      </c>
      <c r="E3159" t="s">
        <v>342</v>
      </c>
      <c r="F3159" t="s">
        <v>0</v>
      </c>
      <c r="G3159" t="s">
        <v>16231</v>
      </c>
      <c r="H3159" t="s">
        <v>47153</v>
      </c>
      <c r="I3159" t="s">
        <v>47132</v>
      </c>
      <c r="J3159" t="s">
        <v>47133</v>
      </c>
      <c r="K3159" t="s">
        <v>47113</v>
      </c>
      <c r="L3159">
        <v>42.61</v>
      </c>
      <c r="M3159">
        <v>72</v>
      </c>
      <c r="N3159">
        <v>0</v>
      </c>
      <c r="O3159">
        <v>72</v>
      </c>
      <c r="P3159">
        <v>0</v>
      </c>
    </row>
    <row r="3160" spans="1:16" x14ac:dyDescent="0.25">
      <c r="A3160" t="s">
        <v>25588</v>
      </c>
      <c r="B3160" t="s">
        <v>4276</v>
      </c>
      <c r="C3160" t="s">
        <v>3813</v>
      </c>
      <c r="D3160" t="s">
        <v>4253</v>
      </c>
      <c r="E3160" t="s">
        <v>4254</v>
      </c>
      <c r="F3160" t="s">
        <v>0</v>
      </c>
      <c r="G3160" t="s">
        <v>16231</v>
      </c>
      <c r="H3160" t="s">
        <v>47153</v>
      </c>
      <c r="I3160" t="s">
        <v>47132</v>
      </c>
      <c r="J3160" t="s">
        <v>47133</v>
      </c>
      <c r="K3160" t="s">
        <v>47113</v>
      </c>
      <c r="L3160">
        <v>42.61</v>
      </c>
      <c r="M3160">
        <v>77</v>
      </c>
      <c r="N3160">
        <v>0</v>
      </c>
      <c r="O3160">
        <v>77</v>
      </c>
      <c r="P3160">
        <v>0</v>
      </c>
    </row>
    <row r="3161" spans="1:16" x14ac:dyDescent="0.25">
      <c r="A3161" t="s">
        <v>25589</v>
      </c>
      <c r="B3161" t="s">
        <v>4276</v>
      </c>
      <c r="C3161" t="s">
        <v>3813</v>
      </c>
      <c r="D3161" t="s">
        <v>4255</v>
      </c>
      <c r="E3161" t="s">
        <v>4256</v>
      </c>
      <c r="F3161" t="s">
        <v>0</v>
      </c>
      <c r="G3161" t="s">
        <v>16231</v>
      </c>
      <c r="H3161" t="s">
        <v>47153</v>
      </c>
      <c r="I3161" t="s">
        <v>47132</v>
      </c>
      <c r="J3161" t="s">
        <v>47133</v>
      </c>
      <c r="K3161" t="s">
        <v>47113</v>
      </c>
      <c r="L3161">
        <v>44.39</v>
      </c>
      <c r="M3161">
        <v>84</v>
      </c>
      <c r="N3161">
        <v>0</v>
      </c>
      <c r="O3161">
        <v>84</v>
      </c>
      <c r="P3161">
        <v>0</v>
      </c>
    </row>
    <row r="3162" spans="1:16" x14ac:dyDescent="0.25">
      <c r="A3162" t="s">
        <v>25590</v>
      </c>
      <c r="B3162" t="s">
        <v>4276</v>
      </c>
      <c r="C3162" t="s">
        <v>3813</v>
      </c>
      <c r="D3162" t="s">
        <v>4257</v>
      </c>
      <c r="E3162" t="s">
        <v>4258</v>
      </c>
      <c r="F3162" t="s">
        <v>0</v>
      </c>
      <c r="G3162" t="s">
        <v>16231</v>
      </c>
      <c r="H3162" t="s">
        <v>47153</v>
      </c>
      <c r="I3162" t="s">
        <v>47132</v>
      </c>
      <c r="J3162" t="s">
        <v>47133</v>
      </c>
      <c r="K3162" t="s">
        <v>47113</v>
      </c>
      <c r="L3162">
        <v>44.39</v>
      </c>
      <c r="M3162">
        <v>80</v>
      </c>
      <c r="N3162">
        <v>0</v>
      </c>
      <c r="O3162">
        <v>80</v>
      </c>
      <c r="P3162">
        <v>0</v>
      </c>
    </row>
    <row r="3163" spans="1:16" x14ac:dyDescent="0.25">
      <c r="A3163" t="s">
        <v>25591</v>
      </c>
      <c r="B3163" t="s">
        <v>4276</v>
      </c>
      <c r="C3163" t="s">
        <v>3813</v>
      </c>
      <c r="D3163" t="s">
        <v>4259</v>
      </c>
      <c r="E3163" t="s">
        <v>4260</v>
      </c>
      <c r="F3163" t="s">
        <v>0</v>
      </c>
      <c r="G3163" t="s">
        <v>16231</v>
      </c>
      <c r="H3163" t="s">
        <v>47153</v>
      </c>
      <c r="I3163" t="s">
        <v>47132</v>
      </c>
      <c r="J3163" t="s">
        <v>47133</v>
      </c>
      <c r="K3163" t="s">
        <v>47113</v>
      </c>
      <c r="L3163">
        <v>49.59</v>
      </c>
      <c r="M3163">
        <v>94</v>
      </c>
      <c r="N3163">
        <v>0</v>
      </c>
      <c r="O3163">
        <v>94</v>
      </c>
      <c r="P3163">
        <v>0</v>
      </c>
    </row>
    <row r="3164" spans="1:16" x14ac:dyDescent="0.25">
      <c r="A3164" t="s">
        <v>25592</v>
      </c>
      <c r="B3164" t="s">
        <v>4276</v>
      </c>
      <c r="C3164" t="s">
        <v>3813</v>
      </c>
      <c r="D3164" t="s">
        <v>4261</v>
      </c>
      <c r="E3164" t="s">
        <v>4262</v>
      </c>
      <c r="F3164" t="s">
        <v>0</v>
      </c>
      <c r="G3164" t="s">
        <v>16231</v>
      </c>
      <c r="H3164" t="s">
        <v>47153</v>
      </c>
      <c r="I3164" t="s">
        <v>47132</v>
      </c>
      <c r="J3164" t="s">
        <v>47133</v>
      </c>
      <c r="K3164" t="s">
        <v>47113</v>
      </c>
      <c r="L3164">
        <v>42.61</v>
      </c>
      <c r="M3164">
        <v>88</v>
      </c>
      <c r="N3164">
        <v>0</v>
      </c>
      <c r="O3164">
        <v>88</v>
      </c>
      <c r="P3164">
        <v>0</v>
      </c>
    </row>
    <row r="3165" spans="1:16" x14ac:dyDescent="0.25">
      <c r="A3165" t="s">
        <v>25593</v>
      </c>
      <c r="B3165" t="s">
        <v>4276</v>
      </c>
      <c r="C3165" t="s">
        <v>3813</v>
      </c>
      <c r="D3165" t="s">
        <v>335</v>
      </c>
      <c r="E3165" t="s">
        <v>336</v>
      </c>
      <c r="F3165" t="s">
        <v>0</v>
      </c>
      <c r="G3165" t="s">
        <v>16231</v>
      </c>
      <c r="H3165" t="s">
        <v>47153</v>
      </c>
      <c r="I3165" t="s">
        <v>47132</v>
      </c>
      <c r="J3165" t="s">
        <v>47133</v>
      </c>
      <c r="K3165" t="s">
        <v>47113</v>
      </c>
      <c r="L3165">
        <v>45.93</v>
      </c>
      <c r="M3165">
        <v>88</v>
      </c>
      <c r="N3165">
        <v>0</v>
      </c>
      <c r="O3165">
        <v>88</v>
      </c>
      <c r="P3165">
        <v>0</v>
      </c>
    </row>
    <row r="3166" spans="1:16" x14ac:dyDescent="0.25">
      <c r="A3166" t="s">
        <v>25594</v>
      </c>
      <c r="B3166" t="s">
        <v>4276</v>
      </c>
      <c r="C3166" t="s">
        <v>3813</v>
      </c>
      <c r="D3166" t="s">
        <v>364</v>
      </c>
      <c r="E3166" t="s">
        <v>365</v>
      </c>
      <c r="F3166" t="s">
        <v>0</v>
      </c>
      <c r="G3166" t="s">
        <v>16231</v>
      </c>
      <c r="H3166" t="s">
        <v>47153</v>
      </c>
      <c r="I3166" t="s">
        <v>47132</v>
      </c>
      <c r="J3166" t="s">
        <v>47133</v>
      </c>
      <c r="K3166" t="s">
        <v>47113</v>
      </c>
      <c r="L3166">
        <v>42.61</v>
      </c>
      <c r="M3166">
        <v>88</v>
      </c>
      <c r="N3166">
        <v>0</v>
      </c>
      <c r="O3166">
        <v>88</v>
      </c>
      <c r="P3166">
        <v>0</v>
      </c>
    </row>
    <row r="3167" spans="1:16" x14ac:dyDescent="0.25">
      <c r="A3167" t="s">
        <v>25595</v>
      </c>
      <c r="B3167" t="s">
        <v>4277</v>
      </c>
      <c r="C3167" t="s">
        <v>3813</v>
      </c>
      <c r="D3167" t="s">
        <v>4264</v>
      </c>
      <c r="E3167" t="s">
        <v>4265</v>
      </c>
      <c r="F3167" t="s">
        <v>0</v>
      </c>
      <c r="G3167" t="s">
        <v>16231</v>
      </c>
      <c r="H3167" t="s">
        <v>47153</v>
      </c>
      <c r="I3167" t="s">
        <v>47132</v>
      </c>
      <c r="J3167" t="s">
        <v>47133</v>
      </c>
      <c r="K3167" t="s">
        <v>47113</v>
      </c>
      <c r="L3167">
        <v>49.48</v>
      </c>
      <c r="M3167">
        <v>84</v>
      </c>
      <c r="N3167">
        <v>0</v>
      </c>
      <c r="O3167">
        <v>84</v>
      </c>
      <c r="P3167">
        <v>0</v>
      </c>
    </row>
    <row r="3168" spans="1:16" x14ac:dyDescent="0.25">
      <c r="A3168" t="s">
        <v>25596</v>
      </c>
      <c r="B3168" t="s">
        <v>4277</v>
      </c>
      <c r="C3168" t="s">
        <v>3813</v>
      </c>
      <c r="D3168" t="s">
        <v>4266</v>
      </c>
      <c r="E3168" t="s">
        <v>4267</v>
      </c>
      <c r="F3168" t="s">
        <v>0</v>
      </c>
      <c r="G3168" t="s">
        <v>16231</v>
      </c>
      <c r="H3168" t="s">
        <v>47153</v>
      </c>
      <c r="I3168" t="s">
        <v>47132</v>
      </c>
      <c r="J3168" t="s">
        <v>47133</v>
      </c>
      <c r="K3168" t="s">
        <v>47113</v>
      </c>
      <c r="L3168">
        <v>44.87</v>
      </c>
      <c r="M3168">
        <v>77</v>
      </c>
      <c r="N3168">
        <v>0</v>
      </c>
      <c r="O3168">
        <v>77</v>
      </c>
      <c r="P3168">
        <v>0</v>
      </c>
    </row>
    <row r="3169" spans="1:16" x14ac:dyDescent="0.25">
      <c r="A3169" t="s">
        <v>25597</v>
      </c>
      <c r="B3169" t="s">
        <v>4278</v>
      </c>
      <c r="C3169" t="s">
        <v>3813</v>
      </c>
      <c r="D3169" t="s">
        <v>4269</v>
      </c>
      <c r="E3169" t="s">
        <v>4270</v>
      </c>
      <c r="F3169" t="s">
        <v>0</v>
      </c>
      <c r="G3169" t="s">
        <v>16231</v>
      </c>
      <c r="H3169" t="s">
        <v>47153</v>
      </c>
      <c r="I3169" t="s">
        <v>47132</v>
      </c>
      <c r="J3169" t="s">
        <v>47133</v>
      </c>
      <c r="K3169" t="s">
        <v>47113</v>
      </c>
      <c r="L3169">
        <v>43.8</v>
      </c>
      <c r="M3169">
        <v>77</v>
      </c>
      <c r="N3169">
        <v>0</v>
      </c>
      <c r="O3169">
        <v>77</v>
      </c>
      <c r="P3169">
        <v>0</v>
      </c>
    </row>
    <row r="3170" spans="1:16" x14ac:dyDescent="0.25">
      <c r="A3170" t="s">
        <v>25598</v>
      </c>
      <c r="B3170" t="s">
        <v>4278</v>
      </c>
      <c r="C3170" t="s">
        <v>3813</v>
      </c>
      <c r="D3170" t="s">
        <v>4271</v>
      </c>
      <c r="E3170" t="s">
        <v>4272</v>
      </c>
      <c r="F3170" t="s">
        <v>0</v>
      </c>
      <c r="G3170" t="s">
        <v>16231</v>
      </c>
      <c r="H3170" t="s">
        <v>47153</v>
      </c>
      <c r="I3170" t="s">
        <v>47132</v>
      </c>
      <c r="J3170" t="s">
        <v>47133</v>
      </c>
      <c r="K3170" t="s">
        <v>47113</v>
      </c>
      <c r="L3170">
        <v>43.8</v>
      </c>
      <c r="M3170">
        <v>84</v>
      </c>
      <c r="N3170">
        <v>0</v>
      </c>
      <c r="O3170">
        <v>84</v>
      </c>
      <c r="P3170">
        <v>0</v>
      </c>
    </row>
    <row r="3171" spans="1:16" x14ac:dyDescent="0.25">
      <c r="A3171" t="s">
        <v>25599</v>
      </c>
      <c r="B3171" t="s">
        <v>4278</v>
      </c>
      <c r="C3171" t="s">
        <v>3813</v>
      </c>
      <c r="D3171" t="s">
        <v>4273</v>
      </c>
      <c r="E3171" t="s">
        <v>4274</v>
      </c>
      <c r="F3171" t="s">
        <v>0</v>
      </c>
      <c r="G3171" t="s">
        <v>16231</v>
      </c>
      <c r="H3171" t="s">
        <v>47153</v>
      </c>
      <c r="I3171" t="s">
        <v>47132</v>
      </c>
      <c r="J3171" t="s">
        <v>47133</v>
      </c>
      <c r="K3171" t="s">
        <v>47113</v>
      </c>
      <c r="L3171">
        <v>46.16</v>
      </c>
      <c r="M3171">
        <v>88</v>
      </c>
      <c r="N3171">
        <v>0</v>
      </c>
      <c r="O3171">
        <v>88</v>
      </c>
      <c r="P3171">
        <v>0</v>
      </c>
    </row>
    <row r="3172" spans="1:16" x14ac:dyDescent="0.25">
      <c r="A3172" t="s">
        <v>25600</v>
      </c>
      <c r="B3172" t="s">
        <v>4279</v>
      </c>
      <c r="C3172" t="s">
        <v>4280</v>
      </c>
      <c r="D3172" t="s">
        <v>3768</v>
      </c>
      <c r="E3172" t="s">
        <v>3769</v>
      </c>
      <c r="F3172" t="s">
        <v>0</v>
      </c>
      <c r="G3172" t="s">
        <v>16231</v>
      </c>
      <c r="H3172" t="s">
        <v>47153</v>
      </c>
      <c r="I3172" t="s">
        <v>47132</v>
      </c>
      <c r="J3172" t="s">
        <v>47133</v>
      </c>
      <c r="K3172" t="s">
        <v>47113</v>
      </c>
      <c r="L3172">
        <v>60.25</v>
      </c>
      <c r="M3172">
        <v>107</v>
      </c>
      <c r="N3172">
        <v>0</v>
      </c>
      <c r="O3172">
        <v>107</v>
      </c>
      <c r="P3172">
        <v>0</v>
      </c>
    </row>
    <row r="3173" spans="1:16" x14ac:dyDescent="0.25">
      <c r="A3173" t="s">
        <v>25601</v>
      </c>
      <c r="B3173" t="s">
        <v>4279</v>
      </c>
      <c r="C3173" t="s">
        <v>4280</v>
      </c>
      <c r="D3173" t="s">
        <v>4250</v>
      </c>
      <c r="E3173" t="s">
        <v>4251</v>
      </c>
      <c r="F3173" t="s">
        <v>0</v>
      </c>
      <c r="G3173" t="s">
        <v>16231</v>
      </c>
      <c r="H3173" t="s">
        <v>47153</v>
      </c>
      <c r="I3173" t="s">
        <v>47132</v>
      </c>
      <c r="J3173" t="s">
        <v>47133</v>
      </c>
      <c r="K3173" t="s">
        <v>47113</v>
      </c>
      <c r="L3173">
        <v>66.17</v>
      </c>
      <c r="M3173">
        <v>115</v>
      </c>
      <c r="N3173">
        <v>0</v>
      </c>
      <c r="O3173">
        <v>115</v>
      </c>
      <c r="P3173">
        <v>0</v>
      </c>
    </row>
    <row r="3174" spans="1:16" x14ac:dyDescent="0.25">
      <c r="A3174" t="s">
        <v>25602</v>
      </c>
      <c r="B3174" t="s">
        <v>4281</v>
      </c>
      <c r="C3174" t="s">
        <v>3821</v>
      </c>
      <c r="D3174" t="s">
        <v>335</v>
      </c>
      <c r="E3174" t="s">
        <v>336</v>
      </c>
      <c r="F3174" t="s">
        <v>0</v>
      </c>
      <c r="G3174" t="s">
        <v>16231</v>
      </c>
      <c r="H3174" t="s">
        <v>47153</v>
      </c>
      <c r="I3174" t="s">
        <v>47132</v>
      </c>
      <c r="J3174" t="s">
        <v>47133</v>
      </c>
      <c r="K3174" t="s">
        <v>47113</v>
      </c>
      <c r="L3174">
        <v>47.11</v>
      </c>
      <c r="M3174">
        <v>88</v>
      </c>
      <c r="N3174">
        <v>0</v>
      </c>
      <c r="O3174">
        <v>88</v>
      </c>
      <c r="P3174">
        <v>0</v>
      </c>
    </row>
    <row r="3175" spans="1:16" x14ac:dyDescent="0.25">
      <c r="A3175" t="s">
        <v>25603</v>
      </c>
      <c r="B3175" t="s">
        <v>4282</v>
      </c>
      <c r="C3175" t="s">
        <v>4283</v>
      </c>
      <c r="D3175" t="s">
        <v>339</v>
      </c>
      <c r="E3175" t="s">
        <v>340</v>
      </c>
      <c r="F3175" t="s">
        <v>0</v>
      </c>
      <c r="G3175" t="s">
        <v>16231</v>
      </c>
      <c r="H3175" t="s">
        <v>47153</v>
      </c>
      <c r="I3175" t="s">
        <v>47132</v>
      </c>
      <c r="J3175" t="s">
        <v>47133</v>
      </c>
      <c r="K3175" t="s">
        <v>47113</v>
      </c>
      <c r="L3175">
        <v>48.53</v>
      </c>
      <c r="M3175">
        <v>88</v>
      </c>
      <c r="N3175">
        <v>0</v>
      </c>
      <c r="O3175">
        <v>88</v>
      </c>
      <c r="P3175">
        <v>0</v>
      </c>
    </row>
    <row r="3176" spans="1:16" x14ac:dyDescent="0.25">
      <c r="A3176" t="s">
        <v>25604</v>
      </c>
      <c r="B3176" t="s">
        <v>4282</v>
      </c>
      <c r="C3176" t="s">
        <v>4283</v>
      </c>
      <c r="D3176" t="s">
        <v>341</v>
      </c>
      <c r="E3176" t="s">
        <v>342</v>
      </c>
      <c r="F3176" t="s">
        <v>0</v>
      </c>
      <c r="G3176" t="s">
        <v>16231</v>
      </c>
      <c r="H3176" t="s">
        <v>47153</v>
      </c>
      <c r="I3176" t="s">
        <v>47132</v>
      </c>
      <c r="J3176" t="s">
        <v>47133</v>
      </c>
      <c r="K3176" t="s">
        <v>47113</v>
      </c>
      <c r="L3176">
        <v>37.880000000000003</v>
      </c>
      <c r="M3176">
        <v>72</v>
      </c>
      <c r="N3176">
        <v>0</v>
      </c>
      <c r="O3176">
        <v>72</v>
      </c>
      <c r="P3176">
        <v>0</v>
      </c>
    </row>
    <row r="3177" spans="1:16" x14ac:dyDescent="0.25">
      <c r="A3177" t="s">
        <v>25605</v>
      </c>
      <c r="B3177" t="s">
        <v>4282</v>
      </c>
      <c r="C3177" t="s">
        <v>4283</v>
      </c>
      <c r="D3177" t="s">
        <v>4261</v>
      </c>
      <c r="E3177" t="s">
        <v>4262</v>
      </c>
      <c r="F3177" t="s">
        <v>0</v>
      </c>
      <c r="G3177" t="s">
        <v>16231</v>
      </c>
      <c r="H3177" t="s">
        <v>47153</v>
      </c>
      <c r="I3177" t="s">
        <v>47132</v>
      </c>
      <c r="J3177" t="s">
        <v>47133</v>
      </c>
      <c r="K3177" t="s">
        <v>47113</v>
      </c>
      <c r="L3177">
        <v>49.48</v>
      </c>
      <c r="M3177">
        <v>88</v>
      </c>
      <c r="N3177">
        <v>0</v>
      </c>
      <c r="O3177">
        <v>88</v>
      </c>
      <c r="P3177">
        <v>0</v>
      </c>
    </row>
    <row r="3178" spans="1:16" x14ac:dyDescent="0.25">
      <c r="A3178" t="s">
        <v>25606</v>
      </c>
      <c r="B3178" t="s">
        <v>4284</v>
      </c>
      <c r="C3178" t="s">
        <v>3825</v>
      </c>
      <c r="D3178" t="s">
        <v>341</v>
      </c>
      <c r="E3178" t="s">
        <v>342</v>
      </c>
      <c r="F3178" t="s">
        <v>0</v>
      </c>
      <c r="G3178" t="s">
        <v>16231</v>
      </c>
      <c r="H3178" t="s">
        <v>47153</v>
      </c>
      <c r="I3178" t="s">
        <v>47132</v>
      </c>
      <c r="J3178" t="s">
        <v>47133</v>
      </c>
      <c r="K3178" t="s">
        <v>47113</v>
      </c>
      <c r="L3178">
        <v>35.979999999999997</v>
      </c>
      <c r="M3178">
        <v>72</v>
      </c>
      <c r="N3178">
        <v>0</v>
      </c>
      <c r="O3178">
        <v>72</v>
      </c>
      <c r="P3178">
        <v>0</v>
      </c>
    </row>
    <row r="3179" spans="1:16" x14ac:dyDescent="0.25">
      <c r="A3179" t="s">
        <v>25607</v>
      </c>
      <c r="B3179" t="s">
        <v>4284</v>
      </c>
      <c r="C3179" t="s">
        <v>3825</v>
      </c>
      <c r="D3179" t="s">
        <v>4253</v>
      </c>
      <c r="E3179" t="s">
        <v>4254</v>
      </c>
      <c r="F3179" t="s">
        <v>0</v>
      </c>
      <c r="G3179" t="s">
        <v>16231</v>
      </c>
      <c r="H3179" t="s">
        <v>47153</v>
      </c>
      <c r="I3179" t="s">
        <v>47132</v>
      </c>
      <c r="J3179" t="s">
        <v>47133</v>
      </c>
      <c r="K3179" t="s">
        <v>47113</v>
      </c>
      <c r="L3179">
        <v>43.44</v>
      </c>
      <c r="M3179">
        <v>77</v>
      </c>
      <c r="N3179">
        <v>0</v>
      </c>
      <c r="O3179">
        <v>77</v>
      </c>
      <c r="P3179">
        <v>0</v>
      </c>
    </row>
    <row r="3180" spans="1:16" x14ac:dyDescent="0.25">
      <c r="A3180" t="s">
        <v>25608</v>
      </c>
      <c r="B3180" t="s">
        <v>4284</v>
      </c>
      <c r="C3180" t="s">
        <v>3825</v>
      </c>
      <c r="D3180" t="s">
        <v>4255</v>
      </c>
      <c r="E3180" t="s">
        <v>4256</v>
      </c>
      <c r="F3180" t="s">
        <v>0</v>
      </c>
      <c r="G3180" t="s">
        <v>16231</v>
      </c>
      <c r="H3180" t="s">
        <v>47153</v>
      </c>
      <c r="I3180" t="s">
        <v>47132</v>
      </c>
      <c r="J3180" t="s">
        <v>47133</v>
      </c>
      <c r="K3180" t="s">
        <v>47113</v>
      </c>
      <c r="L3180">
        <v>44.87</v>
      </c>
      <c r="M3180">
        <v>84</v>
      </c>
      <c r="N3180">
        <v>0</v>
      </c>
      <c r="O3180">
        <v>84</v>
      </c>
      <c r="P3180">
        <v>0</v>
      </c>
    </row>
    <row r="3181" spans="1:16" x14ac:dyDescent="0.25">
      <c r="A3181" t="s">
        <v>25609</v>
      </c>
      <c r="B3181" t="s">
        <v>4284</v>
      </c>
      <c r="C3181" t="s">
        <v>3825</v>
      </c>
      <c r="D3181" t="s">
        <v>4261</v>
      </c>
      <c r="E3181" t="s">
        <v>4262</v>
      </c>
      <c r="F3181" t="s">
        <v>0</v>
      </c>
      <c r="G3181" t="s">
        <v>16231</v>
      </c>
      <c r="H3181" t="s">
        <v>47153</v>
      </c>
      <c r="I3181" t="s">
        <v>47132</v>
      </c>
      <c r="J3181" t="s">
        <v>47133</v>
      </c>
      <c r="K3181" t="s">
        <v>47113</v>
      </c>
      <c r="L3181">
        <v>48.88</v>
      </c>
      <c r="M3181">
        <v>88</v>
      </c>
      <c r="N3181">
        <v>0</v>
      </c>
      <c r="O3181">
        <v>88</v>
      </c>
      <c r="P3181">
        <v>0</v>
      </c>
    </row>
    <row r="3182" spans="1:16" x14ac:dyDescent="0.25">
      <c r="A3182" t="s">
        <v>25610</v>
      </c>
      <c r="B3182" t="s">
        <v>4284</v>
      </c>
      <c r="C3182" t="s">
        <v>3825</v>
      </c>
      <c r="D3182" t="s">
        <v>335</v>
      </c>
      <c r="E3182" t="s">
        <v>336</v>
      </c>
      <c r="F3182" t="s">
        <v>0</v>
      </c>
      <c r="G3182" t="s">
        <v>16231</v>
      </c>
      <c r="H3182" t="s">
        <v>47153</v>
      </c>
      <c r="I3182" t="s">
        <v>47132</v>
      </c>
      <c r="J3182" t="s">
        <v>47133</v>
      </c>
      <c r="K3182" t="s">
        <v>47113</v>
      </c>
      <c r="L3182">
        <v>46.64</v>
      </c>
      <c r="M3182">
        <v>88</v>
      </c>
      <c r="N3182">
        <v>0</v>
      </c>
      <c r="O3182">
        <v>88</v>
      </c>
      <c r="P3182">
        <v>0</v>
      </c>
    </row>
    <row r="3183" spans="1:16" x14ac:dyDescent="0.25">
      <c r="A3183" t="s">
        <v>25611</v>
      </c>
      <c r="B3183" t="s">
        <v>4284</v>
      </c>
      <c r="C3183" t="s">
        <v>3825</v>
      </c>
      <c r="D3183" t="s">
        <v>364</v>
      </c>
      <c r="E3183" t="s">
        <v>365</v>
      </c>
      <c r="F3183" t="s">
        <v>0</v>
      </c>
      <c r="G3183" t="s">
        <v>16231</v>
      </c>
      <c r="H3183" t="s">
        <v>47153</v>
      </c>
      <c r="I3183" t="s">
        <v>47132</v>
      </c>
      <c r="J3183" t="s">
        <v>47133</v>
      </c>
      <c r="K3183" t="s">
        <v>47113</v>
      </c>
      <c r="L3183">
        <v>47.35</v>
      </c>
      <c r="M3183">
        <v>88</v>
      </c>
      <c r="N3183">
        <v>0</v>
      </c>
      <c r="O3183">
        <v>88</v>
      </c>
      <c r="P3183">
        <v>0</v>
      </c>
    </row>
    <row r="3184" spans="1:16" x14ac:dyDescent="0.25">
      <c r="A3184" t="s">
        <v>25612</v>
      </c>
      <c r="B3184" t="s">
        <v>4285</v>
      </c>
      <c r="C3184" t="s">
        <v>3825</v>
      </c>
      <c r="D3184" t="s">
        <v>4264</v>
      </c>
      <c r="E3184" t="s">
        <v>4265</v>
      </c>
      <c r="F3184" t="s">
        <v>0</v>
      </c>
      <c r="G3184" t="s">
        <v>16231</v>
      </c>
      <c r="H3184" t="s">
        <v>47153</v>
      </c>
      <c r="I3184" t="s">
        <v>47132</v>
      </c>
      <c r="J3184" t="s">
        <v>47133</v>
      </c>
      <c r="K3184" t="s">
        <v>47113</v>
      </c>
      <c r="L3184">
        <v>49.71</v>
      </c>
      <c r="M3184">
        <v>84</v>
      </c>
      <c r="N3184">
        <v>0</v>
      </c>
      <c r="O3184">
        <v>84</v>
      </c>
      <c r="P3184">
        <v>0</v>
      </c>
    </row>
    <row r="3185" spans="1:16" x14ac:dyDescent="0.25">
      <c r="A3185" t="s">
        <v>25613</v>
      </c>
      <c r="B3185" t="s">
        <v>4285</v>
      </c>
      <c r="C3185" t="s">
        <v>3825</v>
      </c>
      <c r="D3185" t="s">
        <v>4266</v>
      </c>
      <c r="E3185" t="s">
        <v>4267</v>
      </c>
      <c r="F3185" t="s">
        <v>0</v>
      </c>
      <c r="G3185" t="s">
        <v>16231</v>
      </c>
      <c r="H3185" t="s">
        <v>47153</v>
      </c>
      <c r="I3185" t="s">
        <v>47132</v>
      </c>
      <c r="J3185" t="s">
        <v>47133</v>
      </c>
      <c r="K3185" t="s">
        <v>47113</v>
      </c>
      <c r="L3185">
        <v>45.58</v>
      </c>
      <c r="M3185">
        <v>77</v>
      </c>
      <c r="N3185">
        <v>0</v>
      </c>
      <c r="O3185">
        <v>77</v>
      </c>
      <c r="P3185">
        <v>0</v>
      </c>
    </row>
    <row r="3186" spans="1:16" x14ac:dyDescent="0.25">
      <c r="A3186" t="s">
        <v>25614</v>
      </c>
      <c r="B3186" t="s">
        <v>4286</v>
      </c>
      <c r="C3186" t="s">
        <v>3825</v>
      </c>
      <c r="D3186" t="s">
        <v>4269</v>
      </c>
      <c r="E3186" t="s">
        <v>4270</v>
      </c>
      <c r="F3186" t="s">
        <v>0</v>
      </c>
      <c r="G3186" t="s">
        <v>16231</v>
      </c>
      <c r="H3186" t="s">
        <v>47153</v>
      </c>
      <c r="I3186" t="s">
        <v>47132</v>
      </c>
      <c r="J3186" t="s">
        <v>47133</v>
      </c>
      <c r="K3186" t="s">
        <v>47113</v>
      </c>
      <c r="L3186">
        <v>44.27</v>
      </c>
      <c r="M3186">
        <v>77</v>
      </c>
      <c r="N3186">
        <v>0</v>
      </c>
      <c r="O3186">
        <v>77</v>
      </c>
      <c r="P3186">
        <v>0</v>
      </c>
    </row>
    <row r="3187" spans="1:16" x14ac:dyDescent="0.25">
      <c r="A3187" t="s">
        <v>25615</v>
      </c>
      <c r="B3187" t="s">
        <v>4286</v>
      </c>
      <c r="C3187" t="s">
        <v>3825</v>
      </c>
      <c r="D3187" t="s">
        <v>4271</v>
      </c>
      <c r="E3187" t="s">
        <v>4272</v>
      </c>
      <c r="F3187" t="s">
        <v>0</v>
      </c>
      <c r="G3187" t="s">
        <v>16231</v>
      </c>
      <c r="H3187" t="s">
        <v>47153</v>
      </c>
      <c r="I3187" t="s">
        <v>47132</v>
      </c>
      <c r="J3187" t="s">
        <v>47133</v>
      </c>
      <c r="K3187" t="s">
        <v>47113</v>
      </c>
      <c r="L3187">
        <v>44.27</v>
      </c>
      <c r="M3187">
        <v>84</v>
      </c>
      <c r="N3187">
        <v>0</v>
      </c>
      <c r="O3187">
        <v>84</v>
      </c>
      <c r="P3187">
        <v>0</v>
      </c>
    </row>
    <row r="3188" spans="1:16" x14ac:dyDescent="0.25">
      <c r="A3188" t="s">
        <v>25616</v>
      </c>
      <c r="B3188" t="s">
        <v>4286</v>
      </c>
      <c r="C3188" t="s">
        <v>3825</v>
      </c>
      <c r="D3188" t="s">
        <v>4273</v>
      </c>
      <c r="E3188" t="s">
        <v>4274</v>
      </c>
      <c r="F3188" t="s">
        <v>0</v>
      </c>
      <c r="G3188" t="s">
        <v>16231</v>
      </c>
      <c r="H3188" t="s">
        <v>47153</v>
      </c>
      <c r="I3188" t="s">
        <v>47132</v>
      </c>
      <c r="J3188" t="s">
        <v>47133</v>
      </c>
      <c r="K3188" t="s">
        <v>47113</v>
      </c>
      <c r="L3188">
        <v>46.52</v>
      </c>
      <c r="M3188">
        <v>88</v>
      </c>
      <c r="N3188">
        <v>0</v>
      </c>
      <c r="O3188">
        <v>88</v>
      </c>
      <c r="P3188">
        <v>0</v>
      </c>
    </row>
    <row r="3189" spans="1:16" x14ac:dyDescent="0.25">
      <c r="A3189" t="s">
        <v>25617</v>
      </c>
      <c r="B3189" t="s">
        <v>4287</v>
      </c>
      <c r="C3189" t="s">
        <v>4288</v>
      </c>
      <c r="D3189" t="s">
        <v>4269</v>
      </c>
      <c r="E3189" t="s">
        <v>4270</v>
      </c>
      <c r="F3189" t="s">
        <v>0</v>
      </c>
      <c r="G3189" t="s">
        <v>16231</v>
      </c>
      <c r="H3189" t="s">
        <v>47153</v>
      </c>
      <c r="I3189" t="s">
        <v>47132</v>
      </c>
      <c r="J3189" t="s">
        <v>47133</v>
      </c>
      <c r="K3189" t="s">
        <v>47113</v>
      </c>
      <c r="L3189">
        <v>43.8</v>
      </c>
      <c r="M3189">
        <v>77</v>
      </c>
      <c r="N3189">
        <v>0</v>
      </c>
      <c r="O3189">
        <v>77</v>
      </c>
      <c r="P3189">
        <v>0</v>
      </c>
    </row>
    <row r="3190" spans="1:16" x14ac:dyDescent="0.25">
      <c r="A3190" t="s">
        <v>25618</v>
      </c>
      <c r="B3190" t="s">
        <v>4287</v>
      </c>
      <c r="C3190" t="s">
        <v>4288</v>
      </c>
      <c r="D3190" t="s">
        <v>4271</v>
      </c>
      <c r="E3190" t="s">
        <v>4272</v>
      </c>
      <c r="F3190" t="s">
        <v>0</v>
      </c>
      <c r="G3190" t="s">
        <v>16231</v>
      </c>
      <c r="H3190" t="s">
        <v>47153</v>
      </c>
      <c r="I3190" t="s">
        <v>47132</v>
      </c>
      <c r="J3190" t="s">
        <v>47133</v>
      </c>
      <c r="K3190" t="s">
        <v>47113</v>
      </c>
      <c r="L3190">
        <v>43.8</v>
      </c>
      <c r="M3190">
        <v>84</v>
      </c>
      <c r="N3190">
        <v>0</v>
      </c>
      <c r="O3190">
        <v>84</v>
      </c>
      <c r="P3190">
        <v>0</v>
      </c>
    </row>
    <row r="3191" spans="1:16" x14ac:dyDescent="0.25">
      <c r="A3191" t="s">
        <v>25619</v>
      </c>
      <c r="B3191" t="s">
        <v>4289</v>
      </c>
      <c r="C3191" t="s">
        <v>4290</v>
      </c>
      <c r="D3191" t="s">
        <v>4271</v>
      </c>
      <c r="E3191" t="s">
        <v>4272</v>
      </c>
      <c r="F3191" t="s">
        <v>0</v>
      </c>
      <c r="G3191" t="s">
        <v>16231</v>
      </c>
      <c r="H3191" t="s">
        <v>47153</v>
      </c>
      <c r="I3191" t="s">
        <v>47132</v>
      </c>
      <c r="J3191" t="s">
        <v>47133</v>
      </c>
      <c r="K3191" t="s">
        <v>47113</v>
      </c>
      <c r="L3191">
        <v>53.14</v>
      </c>
      <c r="M3191">
        <v>84</v>
      </c>
      <c r="N3191">
        <v>0</v>
      </c>
      <c r="O3191">
        <v>84</v>
      </c>
      <c r="P3191">
        <v>0</v>
      </c>
    </row>
    <row r="3192" spans="1:16" x14ac:dyDescent="0.25">
      <c r="A3192" t="s">
        <v>25620</v>
      </c>
      <c r="B3192" t="s">
        <v>4289</v>
      </c>
      <c r="C3192" t="s">
        <v>4290</v>
      </c>
      <c r="D3192" t="s">
        <v>4273</v>
      </c>
      <c r="E3192" t="s">
        <v>4274</v>
      </c>
      <c r="F3192" t="s">
        <v>0</v>
      </c>
      <c r="G3192" t="s">
        <v>16231</v>
      </c>
      <c r="H3192" t="s">
        <v>47153</v>
      </c>
      <c r="I3192" t="s">
        <v>47132</v>
      </c>
      <c r="J3192" t="s">
        <v>47133</v>
      </c>
      <c r="K3192" t="s">
        <v>47113</v>
      </c>
      <c r="L3192">
        <v>46.16</v>
      </c>
      <c r="M3192">
        <v>88</v>
      </c>
      <c r="N3192">
        <v>0</v>
      </c>
      <c r="O3192">
        <v>88</v>
      </c>
      <c r="P3192">
        <v>0</v>
      </c>
    </row>
    <row r="3193" spans="1:16" x14ac:dyDescent="0.25">
      <c r="A3193" t="s">
        <v>25621</v>
      </c>
      <c r="B3193" t="s">
        <v>4291</v>
      </c>
      <c r="C3193" t="s">
        <v>4292</v>
      </c>
      <c r="D3193" t="str">
        <f>"1004"</f>
        <v>1004</v>
      </c>
      <c r="E3193" t="s">
        <v>200</v>
      </c>
      <c r="F3193" t="s">
        <v>0</v>
      </c>
      <c r="G3193" t="s">
        <v>16224</v>
      </c>
      <c r="H3193" t="s">
        <v>47126</v>
      </c>
      <c r="I3193" t="s">
        <v>47139</v>
      </c>
      <c r="J3193" t="s">
        <v>47140</v>
      </c>
      <c r="K3193" t="s">
        <v>47113</v>
      </c>
      <c r="L3193">
        <v>96.34</v>
      </c>
      <c r="M3193">
        <v>210</v>
      </c>
      <c r="N3193">
        <v>0</v>
      </c>
      <c r="O3193">
        <v>210</v>
      </c>
      <c r="P3193">
        <v>0</v>
      </c>
    </row>
    <row r="3194" spans="1:16" x14ac:dyDescent="0.25">
      <c r="A3194" t="s">
        <v>25622</v>
      </c>
      <c r="B3194" t="s">
        <v>4291</v>
      </c>
      <c r="C3194" t="s">
        <v>4292</v>
      </c>
      <c r="D3194" t="str">
        <f>"2500"</f>
        <v>2500</v>
      </c>
      <c r="E3194" t="s">
        <v>1747</v>
      </c>
      <c r="F3194" t="s">
        <v>0</v>
      </c>
      <c r="G3194" t="s">
        <v>16224</v>
      </c>
      <c r="H3194" t="s">
        <v>47126</v>
      </c>
      <c r="I3194" t="s">
        <v>47139</v>
      </c>
      <c r="J3194" t="s">
        <v>47140</v>
      </c>
      <c r="K3194" t="s">
        <v>47113</v>
      </c>
      <c r="L3194">
        <v>96.34</v>
      </c>
      <c r="M3194">
        <v>210</v>
      </c>
      <c r="N3194">
        <v>0</v>
      </c>
      <c r="O3194">
        <v>210</v>
      </c>
      <c r="P3194">
        <v>0</v>
      </c>
    </row>
    <row r="3195" spans="1:16" x14ac:dyDescent="0.25">
      <c r="A3195" t="s">
        <v>25623</v>
      </c>
      <c r="B3195" t="s">
        <v>4293</v>
      </c>
      <c r="C3195" t="s">
        <v>4294</v>
      </c>
      <c r="D3195" t="str">
        <f>"4000"</f>
        <v>4000</v>
      </c>
      <c r="E3195" t="s">
        <v>4295</v>
      </c>
      <c r="F3195" t="s">
        <v>0</v>
      </c>
      <c r="G3195" t="s">
        <v>16224</v>
      </c>
      <c r="H3195" t="s">
        <v>47126</v>
      </c>
      <c r="I3195" t="s">
        <v>47139</v>
      </c>
      <c r="J3195" t="s">
        <v>47140</v>
      </c>
      <c r="K3195" t="s">
        <v>47113</v>
      </c>
      <c r="L3195">
        <v>81.510000000000005</v>
      </c>
      <c r="M3195">
        <v>178</v>
      </c>
      <c r="N3195">
        <v>0</v>
      </c>
      <c r="O3195">
        <v>178</v>
      </c>
      <c r="P3195">
        <v>0</v>
      </c>
    </row>
    <row r="3196" spans="1:16" x14ac:dyDescent="0.25">
      <c r="A3196" t="s">
        <v>25624</v>
      </c>
      <c r="B3196" t="s">
        <v>4293</v>
      </c>
      <c r="C3196" t="s">
        <v>4294</v>
      </c>
      <c r="D3196" t="str">
        <f>"6000"</f>
        <v>6000</v>
      </c>
      <c r="E3196" t="s">
        <v>4296</v>
      </c>
      <c r="F3196" t="s">
        <v>0</v>
      </c>
      <c r="G3196" t="s">
        <v>16224</v>
      </c>
      <c r="H3196" t="s">
        <v>47126</v>
      </c>
      <c r="I3196" t="s">
        <v>47139</v>
      </c>
      <c r="J3196" t="s">
        <v>47140</v>
      </c>
      <c r="K3196" t="s">
        <v>47113</v>
      </c>
      <c r="L3196">
        <v>81.510000000000005</v>
      </c>
      <c r="M3196">
        <v>178</v>
      </c>
      <c r="N3196">
        <v>0</v>
      </c>
      <c r="O3196">
        <v>178</v>
      </c>
      <c r="P3196">
        <v>0</v>
      </c>
    </row>
    <row r="3197" spans="1:16" x14ac:dyDescent="0.25">
      <c r="A3197" t="s">
        <v>25625</v>
      </c>
      <c r="B3197" t="s">
        <v>4297</v>
      </c>
      <c r="C3197" t="s">
        <v>4298</v>
      </c>
      <c r="D3197" t="str">
        <f>"1553"</f>
        <v>1553</v>
      </c>
      <c r="E3197" t="s">
        <v>2247</v>
      </c>
      <c r="F3197" t="s">
        <v>0</v>
      </c>
      <c r="G3197" t="s">
        <v>16224</v>
      </c>
      <c r="H3197" t="s">
        <v>47126</v>
      </c>
      <c r="I3197" t="s">
        <v>47120</v>
      </c>
      <c r="J3197" t="s">
        <v>47121</v>
      </c>
      <c r="K3197" t="s">
        <v>47113</v>
      </c>
      <c r="L3197">
        <v>113</v>
      </c>
      <c r="M3197">
        <v>246</v>
      </c>
      <c r="N3197">
        <v>0</v>
      </c>
      <c r="O3197">
        <v>246</v>
      </c>
      <c r="P3197">
        <v>0</v>
      </c>
    </row>
    <row r="3198" spans="1:16" x14ac:dyDescent="0.25">
      <c r="A3198" t="s">
        <v>25626</v>
      </c>
      <c r="B3198" t="s">
        <v>4297</v>
      </c>
      <c r="C3198" t="s">
        <v>4298</v>
      </c>
      <c r="D3198" t="str">
        <f>"2000"</f>
        <v>2000</v>
      </c>
      <c r="E3198" t="s">
        <v>4299</v>
      </c>
      <c r="F3198" t="s">
        <v>0</v>
      </c>
      <c r="G3198" t="s">
        <v>16224</v>
      </c>
      <c r="H3198" t="s">
        <v>47126</v>
      </c>
      <c r="I3198" t="s">
        <v>47120</v>
      </c>
      <c r="J3198" t="s">
        <v>47121</v>
      </c>
      <c r="K3198" t="s">
        <v>47113</v>
      </c>
      <c r="L3198">
        <v>113</v>
      </c>
      <c r="M3198">
        <v>246</v>
      </c>
      <c r="N3198">
        <v>0</v>
      </c>
      <c r="O3198">
        <v>246</v>
      </c>
      <c r="P3198">
        <v>0</v>
      </c>
    </row>
    <row r="3199" spans="1:16" x14ac:dyDescent="0.25">
      <c r="A3199" t="s">
        <v>25627</v>
      </c>
      <c r="B3199" t="s">
        <v>4297</v>
      </c>
      <c r="C3199" t="s">
        <v>4298</v>
      </c>
      <c r="D3199" t="str">
        <f>"4000"</f>
        <v>4000</v>
      </c>
      <c r="E3199" t="s">
        <v>4300</v>
      </c>
      <c r="F3199" t="s">
        <v>0</v>
      </c>
      <c r="G3199" t="s">
        <v>16224</v>
      </c>
      <c r="H3199" t="s">
        <v>47126</v>
      </c>
      <c r="I3199" t="s">
        <v>47120</v>
      </c>
      <c r="J3199" t="s">
        <v>47121</v>
      </c>
      <c r="K3199" t="s">
        <v>47113</v>
      </c>
      <c r="L3199">
        <v>113</v>
      </c>
      <c r="M3199">
        <v>246</v>
      </c>
      <c r="N3199">
        <v>0</v>
      </c>
      <c r="O3199">
        <v>246</v>
      </c>
      <c r="P3199">
        <v>0</v>
      </c>
    </row>
    <row r="3200" spans="1:16" x14ac:dyDescent="0.25">
      <c r="A3200" t="s">
        <v>25628</v>
      </c>
      <c r="B3200" t="s">
        <v>4301</v>
      </c>
      <c r="C3200" t="s">
        <v>4302</v>
      </c>
      <c r="D3200" t="s">
        <v>4303</v>
      </c>
      <c r="E3200" t="s">
        <v>4304</v>
      </c>
      <c r="F3200" t="s">
        <v>0</v>
      </c>
      <c r="G3200" t="s">
        <v>46686</v>
      </c>
      <c r="H3200" t="s">
        <v>47153</v>
      </c>
      <c r="I3200" t="s">
        <v>47132</v>
      </c>
      <c r="J3200" t="s">
        <v>47133</v>
      </c>
      <c r="K3200" t="s">
        <v>47113</v>
      </c>
      <c r="L3200">
        <v>28.41</v>
      </c>
      <c r="M3200">
        <v>57</v>
      </c>
      <c r="N3200">
        <v>0</v>
      </c>
      <c r="O3200">
        <v>57</v>
      </c>
      <c r="P3200">
        <v>0</v>
      </c>
    </row>
    <row r="3201" spans="1:16" x14ac:dyDescent="0.25">
      <c r="A3201" t="s">
        <v>25629</v>
      </c>
      <c r="B3201" t="s">
        <v>4301</v>
      </c>
      <c r="C3201" t="s">
        <v>4302</v>
      </c>
      <c r="D3201" t="s">
        <v>4059</v>
      </c>
      <c r="E3201" t="s">
        <v>4060</v>
      </c>
      <c r="F3201" t="s">
        <v>0</v>
      </c>
      <c r="G3201" t="s">
        <v>46686</v>
      </c>
      <c r="H3201" t="s">
        <v>47153</v>
      </c>
      <c r="I3201" t="s">
        <v>47132</v>
      </c>
      <c r="J3201" t="s">
        <v>47133</v>
      </c>
      <c r="K3201" t="s">
        <v>47113</v>
      </c>
      <c r="L3201">
        <v>28.41</v>
      </c>
      <c r="M3201">
        <v>57</v>
      </c>
      <c r="N3201">
        <v>0</v>
      </c>
      <c r="O3201">
        <v>57</v>
      </c>
      <c r="P3201">
        <v>0</v>
      </c>
    </row>
    <row r="3202" spans="1:16" x14ac:dyDescent="0.25">
      <c r="A3202" t="s">
        <v>25630</v>
      </c>
      <c r="B3202" t="s">
        <v>4301</v>
      </c>
      <c r="C3202" t="s">
        <v>4302</v>
      </c>
      <c r="D3202" t="s">
        <v>4305</v>
      </c>
      <c r="E3202" t="s">
        <v>4306</v>
      </c>
      <c r="F3202" t="s">
        <v>0</v>
      </c>
      <c r="G3202" t="s">
        <v>46686</v>
      </c>
      <c r="H3202" t="s">
        <v>47153</v>
      </c>
      <c r="I3202" t="s">
        <v>47132</v>
      </c>
      <c r="J3202" t="s">
        <v>47133</v>
      </c>
      <c r="K3202" t="s">
        <v>47113</v>
      </c>
      <c r="L3202">
        <v>28.41</v>
      </c>
      <c r="M3202">
        <v>57</v>
      </c>
      <c r="N3202">
        <v>0</v>
      </c>
      <c r="O3202">
        <v>57</v>
      </c>
      <c r="P3202">
        <v>0</v>
      </c>
    </row>
    <row r="3203" spans="1:16" x14ac:dyDescent="0.25">
      <c r="A3203" t="s">
        <v>25631</v>
      </c>
      <c r="B3203" t="s">
        <v>4301</v>
      </c>
      <c r="C3203" t="s">
        <v>4302</v>
      </c>
      <c r="D3203" t="s">
        <v>406</v>
      </c>
      <c r="E3203" t="s">
        <v>407</v>
      </c>
      <c r="F3203" t="s">
        <v>0</v>
      </c>
      <c r="G3203" t="s">
        <v>46686</v>
      </c>
      <c r="H3203" t="s">
        <v>47153</v>
      </c>
      <c r="I3203" t="s">
        <v>47132</v>
      </c>
      <c r="J3203" t="s">
        <v>47133</v>
      </c>
      <c r="K3203" t="s">
        <v>47113</v>
      </c>
      <c r="L3203">
        <v>28.41</v>
      </c>
      <c r="M3203">
        <v>57</v>
      </c>
      <c r="N3203">
        <v>0</v>
      </c>
      <c r="O3203">
        <v>57</v>
      </c>
      <c r="P3203">
        <v>0</v>
      </c>
    </row>
    <row r="3204" spans="1:16" x14ac:dyDescent="0.25">
      <c r="A3204" t="s">
        <v>25632</v>
      </c>
      <c r="B3204" t="s">
        <v>4301</v>
      </c>
      <c r="C3204" t="s">
        <v>4302</v>
      </c>
      <c r="D3204" t="s">
        <v>4307</v>
      </c>
      <c r="E3204" t="s">
        <v>4308</v>
      </c>
      <c r="F3204" t="s">
        <v>0</v>
      </c>
      <c r="G3204" t="s">
        <v>46686</v>
      </c>
      <c r="H3204" t="s">
        <v>47153</v>
      </c>
      <c r="I3204" t="s">
        <v>47132</v>
      </c>
      <c r="J3204" t="s">
        <v>47133</v>
      </c>
      <c r="K3204" t="s">
        <v>47113</v>
      </c>
      <c r="L3204">
        <v>28.41</v>
      </c>
      <c r="M3204">
        <v>57</v>
      </c>
      <c r="N3204">
        <v>0</v>
      </c>
      <c r="O3204">
        <v>57</v>
      </c>
      <c r="P3204">
        <v>0</v>
      </c>
    </row>
    <row r="3205" spans="1:16" x14ac:dyDescent="0.25">
      <c r="A3205" t="s">
        <v>25633</v>
      </c>
      <c r="B3205" t="s">
        <v>4309</v>
      </c>
      <c r="C3205" t="s">
        <v>4302</v>
      </c>
      <c r="D3205" t="s">
        <v>4303</v>
      </c>
      <c r="E3205" t="s">
        <v>4304</v>
      </c>
      <c r="F3205" t="s">
        <v>0</v>
      </c>
      <c r="G3205" t="s">
        <v>46686</v>
      </c>
      <c r="H3205" t="s">
        <v>47153</v>
      </c>
      <c r="I3205" t="s">
        <v>47132</v>
      </c>
      <c r="J3205" t="s">
        <v>47133</v>
      </c>
      <c r="K3205" t="s">
        <v>47113</v>
      </c>
      <c r="L3205">
        <v>34.909999999999997</v>
      </c>
      <c r="M3205">
        <v>48</v>
      </c>
      <c r="N3205">
        <v>0</v>
      </c>
      <c r="O3205">
        <v>48</v>
      </c>
      <c r="P3205">
        <v>0</v>
      </c>
    </row>
    <row r="3206" spans="1:16" x14ac:dyDescent="0.25">
      <c r="A3206" t="s">
        <v>25634</v>
      </c>
      <c r="B3206" t="s">
        <v>4309</v>
      </c>
      <c r="C3206" t="s">
        <v>4302</v>
      </c>
      <c r="D3206" t="s">
        <v>4059</v>
      </c>
      <c r="E3206" t="s">
        <v>4060</v>
      </c>
      <c r="F3206" t="s">
        <v>0</v>
      </c>
      <c r="G3206" t="s">
        <v>46686</v>
      </c>
      <c r="H3206" t="s">
        <v>47153</v>
      </c>
      <c r="I3206" t="s">
        <v>47132</v>
      </c>
      <c r="J3206" t="s">
        <v>47133</v>
      </c>
      <c r="K3206" t="s">
        <v>47113</v>
      </c>
      <c r="L3206">
        <v>34.909999999999997</v>
      </c>
      <c r="M3206">
        <v>48</v>
      </c>
      <c r="N3206">
        <v>0</v>
      </c>
      <c r="O3206">
        <v>48</v>
      </c>
      <c r="P3206">
        <v>0</v>
      </c>
    </row>
    <row r="3207" spans="1:16" x14ac:dyDescent="0.25">
      <c r="A3207" t="s">
        <v>25635</v>
      </c>
      <c r="B3207" t="s">
        <v>4309</v>
      </c>
      <c r="C3207" t="s">
        <v>4302</v>
      </c>
      <c r="D3207" t="s">
        <v>4305</v>
      </c>
      <c r="E3207" t="s">
        <v>4306</v>
      </c>
      <c r="F3207" t="s">
        <v>0</v>
      </c>
      <c r="G3207" t="s">
        <v>46686</v>
      </c>
      <c r="H3207" t="s">
        <v>47153</v>
      </c>
      <c r="I3207" t="s">
        <v>47132</v>
      </c>
      <c r="J3207" t="s">
        <v>47133</v>
      </c>
      <c r="K3207" t="s">
        <v>47113</v>
      </c>
      <c r="L3207">
        <v>34.909999999999997</v>
      </c>
      <c r="M3207">
        <v>48</v>
      </c>
      <c r="N3207">
        <v>0</v>
      </c>
      <c r="O3207">
        <v>48</v>
      </c>
      <c r="P3207">
        <v>0</v>
      </c>
    </row>
    <row r="3208" spans="1:16" x14ac:dyDescent="0.25">
      <c r="A3208" t="s">
        <v>25636</v>
      </c>
      <c r="B3208" t="s">
        <v>4309</v>
      </c>
      <c r="C3208" t="s">
        <v>4302</v>
      </c>
      <c r="D3208" t="s">
        <v>406</v>
      </c>
      <c r="E3208" t="s">
        <v>407</v>
      </c>
      <c r="F3208" t="s">
        <v>0</v>
      </c>
      <c r="G3208" t="s">
        <v>46686</v>
      </c>
      <c r="H3208" t="s">
        <v>47153</v>
      </c>
      <c r="I3208" t="s">
        <v>47132</v>
      </c>
      <c r="J3208" t="s">
        <v>47133</v>
      </c>
      <c r="K3208" t="s">
        <v>47113</v>
      </c>
      <c r="L3208">
        <v>34.909999999999997</v>
      </c>
      <c r="M3208">
        <v>48</v>
      </c>
      <c r="N3208">
        <v>0</v>
      </c>
      <c r="O3208">
        <v>48</v>
      </c>
      <c r="P3208">
        <v>0</v>
      </c>
    </row>
    <row r="3209" spans="1:16" x14ac:dyDescent="0.25">
      <c r="A3209" t="s">
        <v>25637</v>
      </c>
      <c r="B3209" t="s">
        <v>4309</v>
      </c>
      <c r="C3209" t="s">
        <v>4302</v>
      </c>
      <c r="D3209" t="s">
        <v>4307</v>
      </c>
      <c r="E3209" t="s">
        <v>4308</v>
      </c>
      <c r="F3209" t="s">
        <v>0</v>
      </c>
      <c r="G3209" t="s">
        <v>46686</v>
      </c>
      <c r="H3209" t="s">
        <v>47153</v>
      </c>
      <c r="I3209" t="s">
        <v>47132</v>
      </c>
      <c r="J3209" t="s">
        <v>47133</v>
      </c>
      <c r="K3209" t="s">
        <v>47113</v>
      </c>
      <c r="L3209">
        <v>34.909999999999997</v>
      </c>
      <c r="M3209">
        <v>48</v>
      </c>
      <c r="N3209">
        <v>0</v>
      </c>
      <c r="O3209">
        <v>48</v>
      </c>
      <c r="P3209">
        <v>0</v>
      </c>
    </row>
    <row r="3210" spans="1:16" x14ac:dyDescent="0.25">
      <c r="A3210" t="s">
        <v>25638</v>
      </c>
      <c r="B3210" t="s">
        <v>4310</v>
      </c>
      <c r="C3210" t="s">
        <v>4311</v>
      </c>
      <c r="D3210" t="str">
        <f>"1285"</f>
        <v>1285</v>
      </c>
      <c r="E3210" t="s">
        <v>4312</v>
      </c>
      <c r="F3210" t="s">
        <v>0</v>
      </c>
      <c r="G3210" t="s">
        <v>16221</v>
      </c>
      <c r="H3210" t="s">
        <v>47126</v>
      </c>
      <c r="I3210" t="s">
        <v>47127</v>
      </c>
      <c r="J3210" t="s">
        <v>47128</v>
      </c>
      <c r="K3210" t="s">
        <v>47113</v>
      </c>
      <c r="L3210">
        <v>24.01</v>
      </c>
      <c r="M3210">
        <v>52</v>
      </c>
      <c r="N3210">
        <v>0</v>
      </c>
      <c r="O3210">
        <v>52</v>
      </c>
      <c r="P3210">
        <v>0</v>
      </c>
    </row>
    <row r="3211" spans="1:16" x14ac:dyDescent="0.25">
      <c r="A3211" t="s">
        <v>25639</v>
      </c>
      <c r="B3211" t="s">
        <v>4310</v>
      </c>
      <c r="C3211" t="s">
        <v>4311</v>
      </c>
      <c r="D3211" t="str">
        <f>"1700"</f>
        <v>1700</v>
      </c>
      <c r="E3211" t="s">
        <v>60</v>
      </c>
      <c r="F3211" t="s">
        <v>0</v>
      </c>
      <c r="G3211" t="s">
        <v>16221</v>
      </c>
      <c r="H3211" t="s">
        <v>47126</v>
      </c>
      <c r="I3211" t="s">
        <v>47127</v>
      </c>
      <c r="J3211" t="s">
        <v>47128</v>
      </c>
      <c r="K3211" t="s">
        <v>47113</v>
      </c>
      <c r="L3211">
        <v>24.01</v>
      </c>
      <c r="M3211">
        <v>52</v>
      </c>
      <c r="N3211">
        <v>0</v>
      </c>
      <c r="O3211">
        <v>52</v>
      </c>
      <c r="P3211">
        <v>0</v>
      </c>
    </row>
    <row r="3212" spans="1:16" x14ac:dyDescent="0.25">
      <c r="A3212" t="s">
        <v>25640</v>
      </c>
      <c r="B3212" t="s">
        <v>4310</v>
      </c>
      <c r="C3212" t="s">
        <v>4311</v>
      </c>
      <c r="D3212" t="str">
        <f>"4000"</f>
        <v>4000</v>
      </c>
      <c r="E3212" t="s">
        <v>461</v>
      </c>
      <c r="F3212" t="s">
        <v>0</v>
      </c>
      <c r="G3212" t="s">
        <v>16221</v>
      </c>
      <c r="H3212" t="s">
        <v>47126</v>
      </c>
      <c r="I3212" t="s">
        <v>47127</v>
      </c>
      <c r="J3212" t="s">
        <v>47128</v>
      </c>
      <c r="K3212" t="s">
        <v>47113</v>
      </c>
      <c r="L3212">
        <v>24.01</v>
      </c>
      <c r="M3212">
        <v>52</v>
      </c>
      <c r="N3212">
        <v>0</v>
      </c>
      <c r="O3212">
        <v>52</v>
      </c>
      <c r="P3212">
        <v>0</v>
      </c>
    </row>
    <row r="3213" spans="1:16" x14ac:dyDescent="0.25">
      <c r="A3213" t="s">
        <v>25641</v>
      </c>
      <c r="B3213" t="s">
        <v>4310</v>
      </c>
      <c r="C3213" t="s">
        <v>4311</v>
      </c>
      <c r="D3213" t="str">
        <f>"4643"</f>
        <v>4643</v>
      </c>
      <c r="E3213" t="s">
        <v>205</v>
      </c>
      <c r="F3213" t="s">
        <v>0</v>
      </c>
      <c r="G3213" t="s">
        <v>16221</v>
      </c>
      <c r="H3213" t="s">
        <v>47126</v>
      </c>
      <c r="I3213" t="s">
        <v>47127</v>
      </c>
      <c r="J3213" t="s">
        <v>47128</v>
      </c>
      <c r="K3213" t="s">
        <v>47113</v>
      </c>
      <c r="L3213">
        <v>24.01</v>
      </c>
      <c r="M3213">
        <v>52</v>
      </c>
      <c r="N3213">
        <v>0</v>
      </c>
      <c r="O3213">
        <v>52</v>
      </c>
      <c r="P3213">
        <v>0</v>
      </c>
    </row>
    <row r="3214" spans="1:16" x14ac:dyDescent="0.25">
      <c r="A3214" t="s">
        <v>25642</v>
      </c>
      <c r="B3214" t="s">
        <v>4310</v>
      </c>
      <c r="C3214" t="s">
        <v>4311</v>
      </c>
      <c r="D3214" t="str">
        <f>"6064"</f>
        <v>6064</v>
      </c>
      <c r="E3214" t="s">
        <v>87</v>
      </c>
      <c r="F3214" t="s">
        <v>0</v>
      </c>
      <c r="G3214" t="s">
        <v>16221</v>
      </c>
      <c r="H3214" t="s">
        <v>47126</v>
      </c>
      <c r="I3214" t="s">
        <v>47127</v>
      </c>
      <c r="J3214" t="s">
        <v>47128</v>
      </c>
      <c r="K3214" t="s">
        <v>47113</v>
      </c>
      <c r="L3214">
        <v>24.01</v>
      </c>
      <c r="M3214">
        <v>52</v>
      </c>
      <c r="N3214">
        <v>0</v>
      </c>
      <c r="O3214">
        <v>52</v>
      </c>
      <c r="P3214">
        <v>0</v>
      </c>
    </row>
    <row r="3215" spans="1:16" x14ac:dyDescent="0.25">
      <c r="A3215" t="s">
        <v>25643</v>
      </c>
      <c r="B3215" t="s">
        <v>4313</v>
      </c>
      <c r="C3215" t="s">
        <v>4314</v>
      </c>
      <c r="D3215" t="str">
        <f>"1377"</f>
        <v>1377</v>
      </c>
      <c r="E3215" t="s">
        <v>74</v>
      </c>
      <c r="F3215" t="s">
        <v>0</v>
      </c>
      <c r="G3215" t="s">
        <v>16224</v>
      </c>
      <c r="H3215" t="s">
        <v>47126</v>
      </c>
      <c r="I3215" t="s">
        <v>47127</v>
      </c>
      <c r="J3215" t="s">
        <v>47128</v>
      </c>
      <c r="K3215" t="s">
        <v>47113</v>
      </c>
      <c r="L3215">
        <v>36.08</v>
      </c>
      <c r="M3215">
        <v>74</v>
      </c>
      <c r="N3215">
        <v>0</v>
      </c>
      <c r="O3215">
        <v>74</v>
      </c>
      <c r="P3215">
        <v>0</v>
      </c>
    </row>
    <row r="3216" spans="1:16" x14ac:dyDescent="0.25">
      <c r="A3216" t="s">
        <v>25644</v>
      </c>
      <c r="B3216" t="s">
        <v>4313</v>
      </c>
      <c r="C3216" t="s">
        <v>4314</v>
      </c>
      <c r="D3216" t="str">
        <f>"1378"</f>
        <v>1378</v>
      </c>
      <c r="E3216" t="s">
        <v>388</v>
      </c>
      <c r="F3216" t="s">
        <v>0</v>
      </c>
      <c r="G3216" t="s">
        <v>16224</v>
      </c>
      <c r="H3216" t="s">
        <v>47126</v>
      </c>
      <c r="I3216" t="s">
        <v>47127</v>
      </c>
      <c r="J3216" t="s">
        <v>47128</v>
      </c>
      <c r="K3216" t="s">
        <v>47113</v>
      </c>
      <c r="L3216">
        <v>36.08</v>
      </c>
      <c r="M3216">
        <v>74</v>
      </c>
      <c r="N3216">
        <v>0</v>
      </c>
      <c r="O3216">
        <v>74</v>
      </c>
      <c r="P3216">
        <v>0</v>
      </c>
    </row>
    <row r="3217" spans="1:16" x14ac:dyDescent="0.25">
      <c r="A3217" t="s">
        <v>25645</v>
      </c>
      <c r="B3217" t="s">
        <v>4313</v>
      </c>
      <c r="C3217" t="s">
        <v>4314</v>
      </c>
      <c r="D3217" t="str">
        <f>"4643"</f>
        <v>4643</v>
      </c>
      <c r="E3217" t="s">
        <v>205</v>
      </c>
      <c r="F3217" t="s">
        <v>0</v>
      </c>
      <c r="G3217" t="s">
        <v>16224</v>
      </c>
      <c r="H3217" t="s">
        <v>47126</v>
      </c>
      <c r="I3217" t="s">
        <v>47127</v>
      </c>
      <c r="J3217" t="s">
        <v>47128</v>
      </c>
      <c r="K3217" t="s">
        <v>47113</v>
      </c>
      <c r="L3217">
        <v>36.08</v>
      </c>
      <c r="M3217">
        <v>74</v>
      </c>
      <c r="N3217">
        <v>0</v>
      </c>
      <c r="O3217">
        <v>74</v>
      </c>
      <c r="P3217">
        <v>0</v>
      </c>
    </row>
    <row r="3218" spans="1:16" x14ac:dyDescent="0.25">
      <c r="A3218" t="s">
        <v>25646</v>
      </c>
      <c r="B3218" t="s">
        <v>4313</v>
      </c>
      <c r="C3218" t="s">
        <v>4314</v>
      </c>
      <c r="D3218" t="str">
        <f>"6064"</f>
        <v>6064</v>
      </c>
      <c r="E3218" t="s">
        <v>87</v>
      </c>
      <c r="F3218" t="s">
        <v>0</v>
      </c>
      <c r="G3218" t="s">
        <v>16224</v>
      </c>
      <c r="H3218" t="s">
        <v>47126</v>
      </c>
      <c r="I3218" t="s">
        <v>47127</v>
      </c>
      <c r="J3218" t="s">
        <v>47128</v>
      </c>
      <c r="K3218" t="s">
        <v>47113</v>
      </c>
      <c r="L3218">
        <v>36.08</v>
      </c>
      <c r="M3218">
        <v>74</v>
      </c>
      <c r="N3218">
        <v>0</v>
      </c>
      <c r="O3218">
        <v>74</v>
      </c>
      <c r="P3218">
        <v>0</v>
      </c>
    </row>
    <row r="3219" spans="1:16" x14ac:dyDescent="0.25">
      <c r="A3219" t="s">
        <v>25647</v>
      </c>
      <c r="B3219" t="s">
        <v>4315</v>
      </c>
      <c r="C3219" t="s">
        <v>4314</v>
      </c>
      <c r="D3219" t="str">
        <f>"4643"</f>
        <v>4643</v>
      </c>
      <c r="E3219" t="s">
        <v>205</v>
      </c>
      <c r="F3219" t="s">
        <v>0</v>
      </c>
      <c r="G3219" t="s">
        <v>16224</v>
      </c>
      <c r="H3219" t="s">
        <v>47126</v>
      </c>
      <c r="I3219" t="s">
        <v>47127</v>
      </c>
      <c r="J3219" t="s">
        <v>47128</v>
      </c>
      <c r="K3219" t="s">
        <v>47113</v>
      </c>
      <c r="L3219">
        <v>31.25</v>
      </c>
      <c r="M3219">
        <v>67</v>
      </c>
      <c r="N3219">
        <v>0</v>
      </c>
      <c r="O3219">
        <v>67</v>
      </c>
      <c r="P3219">
        <v>0</v>
      </c>
    </row>
    <row r="3220" spans="1:16" x14ac:dyDescent="0.25">
      <c r="A3220" t="s">
        <v>25648</v>
      </c>
      <c r="B3220" t="s">
        <v>4316</v>
      </c>
      <c r="C3220" t="s">
        <v>4317</v>
      </c>
      <c r="D3220" t="str">
        <f>"1001"</f>
        <v>1001</v>
      </c>
      <c r="E3220" t="s">
        <v>4318</v>
      </c>
      <c r="F3220" t="s">
        <v>0</v>
      </c>
      <c r="G3220" t="s">
        <v>16235</v>
      </c>
      <c r="H3220" t="s">
        <v>47126</v>
      </c>
      <c r="I3220" t="s">
        <v>47127</v>
      </c>
      <c r="J3220" t="s">
        <v>47128</v>
      </c>
      <c r="K3220" t="s">
        <v>47113</v>
      </c>
      <c r="L3220">
        <v>33.659999999999997</v>
      </c>
      <c r="M3220">
        <v>70</v>
      </c>
      <c r="N3220">
        <v>0</v>
      </c>
      <c r="O3220">
        <v>70</v>
      </c>
      <c r="P3220">
        <v>0</v>
      </c>
    </row>
    <row r="3221" spans="1:16" x14ac:dyDescent="0.25">
      <c r="A3221" t="s">
        <v>25649</v>
      </c>
      <c r="B3221" t="s">
        <v>4316</v>
      </c>
      <c r="C3221" t="s">
        <v>4317</v>
      </c>
      <c r="D3221" t="str">
        <f>"1377"</f>
        <v>1377</v>
      </c>
      <c r="E3221" t="s">
        <v>74</v>
      </c>
      <c r="F3221" t="s">
        <v>0</v>
      </c>
      <c r="G3221" t="s">
        <v>16235</v>
      </c>
      <c r="H3221" t="s">
        <v>47126</v>
      </c>
      <c r="I3221" t="s">
        <v>47127</v>
      </c>
      <c r="J3221" t="s">
        <v>47128</v>
      </c>
      <c r="K3221" t="s">
        <v>47113</v>
      </c>
      <c r="L3221">
        <v>33.659999999999997</v>
      </c>
      <c r="M3221">
        <v>70</v>
      </c>
      <c r="N3221">
        <v>0</v>
      </c>
      <c r="O3221">
        <v>70</v>
      </c>
      <c r="P3221">
        <v>0</v>
      </c>
    </row>
    <row r="3222" spans="1:16" x14ac:dyDescent="0.25">
      <c r="A3222" t="s">
        <v>25650</v>
      </c>
      <c r="B3222" t="s">
        <v>4316</v>
      </c>
      <c r="C3222" t="s">
        <v>4317</v>
      </c>
      <c r="D3222" t="str">
        <f>"1378"</f>
        <v>1378</v>
      </c>
      <c r="E3222" t="s">
        <v>388</v>
      </c>
      <c r="F3222" t="s">
        <v>0</v>
      </c>
      <c r="G3222" t="s">
        <v>16235</v>
      </c>
      <c r="H3222" t="s">
        <v>47126</v>
      </c>
      <c r="I3222" t="s">
        <v>47127</v>
      </c>
      <c r="J3222" t="s">
        <v>47128</v>
      </c>
      <c r="K3222" t="s">
        <v>47113</v>
      </c>
      <c r="L3222">
        <v>33.659999999999997</v>
      </c>
      <c r="M3222">
        <v>70</v>
      </c>
      <c r="N3222">
        <v>0</v>
      </c>
      <c r="O3222">
        <v>70</v>
      </c>
      <c r="P3222">
        <v>0</v>
      </c>
    </row>
    <row r="3223" spans="1:16" x14ac:dyDescent="0.25">
      <c r="A3223" t="s">
        <v>25651</v>
      </c>
      <c r="B3223" t="s">
        <v>4316</v>
      </c>
      <c r="C3223" t="s">
        <v>4317</v>
      </c>
      <c r="D3223" t="str">
        <f>"3000"</f>
        <v>3000</v>
      </c>
      <c r="E3223" t="s">
        <v>4319</v>
      </c>
      <c r="F3223" t="s">
        <v>0</v>
      </c>
      <c r="G3223" t="s">
        <v>16235</v>
      </c>
      <c r="H3223" t="s">
        <v>47126</v>
      </c>
      <c r="I3223" t="s">
        <v>47127</v>
      </c>
      <c r="J3223" t="s">
        <v>47128</v>
      </c>
      <c r="K3223" t="s">
        <v>47113</v>
      </c>
      <c r="L3223">
        <v>33.659999999999997</v>
      </c>
      <c r="M3223">
        <v>70</v>
      </c>
      <c r="N3223">
        <v>0</v>
      </c>
      <c r="O3223">
        <v>70</v>
      </c>
      <c r="P3223">
        <v>0</v>
      </c>
    </row>
    <row r="3224" spans="1:16" x14ac:dyDescent="0.25">
      <c r="A3224" t="s">
        <v>25652</v>
      </c>
      <c r="B3224" t="s">
        <v>4316</v>
      </c>
      <c r="C3224" t="s">
        <v>4317</v>
      </c>
      <c r="D3224" t="str">
        <f>"3489"</f>
        <v>3489</v>
      </c>
      <c r="E3224" t="s">
        <v>2221</v>
      </c>
      <c r="F3224" t="s">
        <v>0</v>
      </c>
      <c r="G3224" t="s">
        <v>16235</v>
      </c>
      <c r="H3224" t="s">
        <v>47126</v>
      </c>
      <c r="I3224" t="s">
        <v>47127</v>
      </c>
      <c r="J3224" t="s">
        <v>47128</v>
      </c>
      <c r="K3224" t="s">
        <v>47113</v>
      </c>
      <c r="L3224">
        <v>33.659999999999997</v>
      </c>
      <c r="M3224">
        <v>70</v>
      </c>
      <c r="N3224">
        <v>0</v>
      </c>
      <c r="O3224">
        <v>70</v>
      </c>
      <c r="P3224">
        <v>0</v>
      </c>
    </row>
    <row r="3225" spans="1:16" x14ac:dyDescent="0.25">
      <c r="A3225" t="s">
        <v>25653</v>
      </c>
      <c r="B3225" t="s">
        <v>4316</v>
      </c>
      <c r="C3225" t="s">
        <v>4317</v>
      </c>
      <c r="D3225" t="str">
        <f>"4000"</f>
        <v>4000</v>
      </c>
      <c r="E3225" t="s">
        <v>2222</v>
      </c>
      <c r="F3225" t="s">
        <v>0</v>
      </c>
      <c r="G3225" t="s">
        <v>16235</v>
      </c>
      <c r="H3225" t="s">
        <v>47126</v>
      </c>
      <c r="I3225" t="s">
        <v>47127</v>
      </c>
      <c r="J3225" t="s">
        <v>47128</v>
      </c>
      <c r="K3225" t="s">
        <v>47113</v>
      </c>
      <c r="L3225">
        <v>33.659999999999997</v>
      </c>
      <c r="M3225">
        <v>70</v>
      </c>
      <c r="N3225">
        <v>0</v>
      </c>
      <c r="O3225">
        <v>70</v>
      </c>
      <c r="P3225">
        <v>0</v>
      </c>
    </row>
    <row r="3226" spans="1:16" x14ac:dyDescent="0.25">
      <c r="A3226" t="s">
        <v>25654</v>
      </c>
      <c r="B3226" t="s">
        <v>4316</v>
      </c>
      <c r="C3226" t="s">
        <v>4317</v>
      </c>
      <c r="D3226" t="str">
        <f>"4643"</f>
        <v>4643</v>
      </c>
      <c r="E3226" t="s">
        <v>205</v>
      </c>
      <c r="F3226" t="s">
        <v>0</v>
      </c>
      <c r="G3226" t="s">
        <v>16235</v>
      </c>
      <c r="H3226" t="s">
        <v>47126</v>
      </c>
      <c r="I3226" t="s">
        <v>47127</v>
      </c>
      <c r="J3226" t="s">
        <v>47128</v>
      </c>
      <c r="K3226" t="s">
        <v>47113</v>
      </c>
      <c r="L3226">
        <v>33.659999999999997</v>
      </c>
      <c r="M3226">
        <v>70</v>
      </c>
      <c r="N3226">
        <v>0</v>
      </c>
      <c r="O3226">
        <v>70</v>
      </c>
      <c r="P3226">
        <v>0</v>
      </c>
    </row>
    <row r="3227" spans="1:16" x14ac:dyDescent="0.25">
      <c r="A3227" t="s">
        <v>25655</v>
      </c>
      <c r="B3227" t="s">
        <v>4316</v>
      </c>
      <c r="C3227" t="s">
        <v>4317</v>
      </c>
      <c r="D3227" t="str">
        <f>"4729"</f>
        <v>4729</v>
      </c>
      <c r="E3227" t="s">
        <v>2222</v>
      </c>
      <c r="F3227" t="s">
        <v>0</v>
      </c>
      <c r="G3227" t="s">
        <v>16235</v>
      </c>
      <c r="H3227" t="s">
        <v>47126</v>
      </c>
      <c r="I3227" t="s">
        <v>47127</v>
      </c>
      <c r="J3227" t="s">
        <v>47128</v>
      </c>
      <c r="K3227" t="s">
        <v>47113</v>
      </c>
      <c r="L3227">
        <v>33.659999999999997</v>
      </c>
      <c r="M3227">
        <v>70</v>
      </c>
      <c r="N3227">
        <v>0</v>
      </c>
      <c r="O3227">
        <v>70</v>
      </c>
      <c r="P3227">
        <v>0</v>
      </c>
    </row>
    <row r="3228" spans="1:16" x14ac:dyDescent="0.25">
      <c r="A3228" t="s">
        <v>25656</v>
      </c>
      <c r="B3228" t="s">
        <v>4316</v>
      </c>
      <c r="C3228" t="s">
        <v>4317</v>
      </c>
      <c r="D3228" t="str">
        <f>"6064"</f>
        <v>6064</v>
      </c>
      <c r="E3228" t="s">
        <v>87</v>
      </c>
      <c r="F3228" t="s">
        <v>0</v>
      </c>
      <c r="G3228" t="s">
        <v>16235</v>
      </c>
      <c r="H3228" t="s">
        <v>47126</v>
      </c>
      <c r="I3228" t="s">
        <v>47127</v>
      </c>
      <c r="J3228" t="s">
        <v>47128</v>
      </c>
      <c r="K3228" t="s">
        <v>47113</v>
      </c>
      <c r="L3228">
        <v>33.659999999999997</v>
      </c>
      <c r="M3228">
        <v>70</v>
      </c>
      <c r="N3228">
        <v>0</v>
      </c>
      <c r="O3228">
        <v>70</v>
      </c>
      <c r="P3228">
        <v>0</v>
      </c>
    </row>
    <row r="3229" spans="1:16" x14ac:dyDescent="0.25">
      <c r="A3229" t="s">
        <v>25657</v>
      </c>
      <c r="B3229" t="s">
        <v>4320</v>
      </c>
      <c r="C3229" t="s">
        <v>387</v>
      </c>
      <c r="D3229" t="str">
        <f>"1377"</f>
        <v>1377</v>
      </c>
      <c r="E3229" t="s">
        <v>74</v>
      </c>
      <c r="F3229" t="s">
        <v>0</v>
      </c>
      <c r="G3229" t="s">
        <v>16235</v>
      </c>
      <c r="H3229" t="s">
        <v>47126</v>
      </c>
      <c r="I3229" t="s">
        <v>47127</v>
      </c>
      <c r="J3229" t="s">
        <v>47128</v>
      </c>
      <c r="K3229" t="s">
        <v>47113</v>
      </c>
      <c r="L3229">
        <v>36.08</v>
      </c>
      <c r="M3229">
        <v>74</v>
      </c>
      <c r="N3229">
        <v>0</v>
      </c>
      <c r="O3229">
        <v>74</v>
      </c>
      <c r="P3229">
        <v>0</v>
      </c>
    </row>
    <row r="3230" spans="1:16" x14ac:dyDescent="0.25">
      <c r="A3230" t="s">
        <v>25658</v>
      </c>
      <c r="B3230" t="s">
        <v>4320</v>
      </c>
      <c r="C3230" t="s">
        <v>387</v>
      </c>
      <c r="D3230" t="str">
        <f>"1378"</f>
        <v>1378</v>
      </c>
      <c r="E3230" t="s">
        <v>388</v>
      </c>
      <c r="F3230" t="s">
        <v>0</v>
      </c>
      <c r="G3230" t="s">
        <v>16235</v>
      </c>
      <c r="H3230" t="s">
        <v>47126</v>
      </c>
      <c r="I3230" t="s">
        <v>47127</v>
      </c>
      <c r="J3230" t="s">
        <v>47128</v>
      </c>
      <c r="K3230" t="s">
        <v>47113</v>
      </c>
      <c r="L3230">
        <v>36.08</v>
      </c>
      <c r="M3230">
        <v>74</v>
      </c>
      <c r="N3230">
        <v>0</v>
      </c>
      <c r="O3230">
        <v>74</v>
      </c>
      <c r="P3230">
        <v>0</v>
      </c>
    </row>
    <row r="3231" spans="1:16" x14ac:dyDescent="0.25">
      <c r="A3231" t="s">
        <v>25659</v>
      </c>
      <c r="B3231" t="s">
        <v>4320</v>
      </c>
      <c r="C3231" t="s">
        <v>387</v>
      </c>
      <c r="D3231" t="str">
        <f>"3000"</f>
        <v>3000</v>
      </c>
      <c r="E3231" t="s">
        <v>4319</v>
      </c>
      <c r="F3231" t="s">
        <v>0</v>
      </c>
      <c r="G3231" t="s">
        <v>16235</v>
      </c>
      <c r="H3231" t="s">
        <v>47126</v>
      </c>
      <c r="I3231" t="s">
        <v>47127</v>
      </c>
      <c r="J3231" t="s">
        <v>47128</v>
      </c>
      <c r="K3231" t="s">
        <v>47113</v>
      </c>
      <c r="L3231">
        <v>36.08</v>
      </c>
      <c r="M3231">
        <v>74</v>
      </c>
      <c r="N3231">
        <v>0</v>
      </c>
      <c r="O3231">
        <v>74</v>
      </c>
      <c r="P3231">
        <v>0</v>
      </c>
    </row>
    <row r="3232" spans="1:16" x14ac:dyDescent="0.25">
      <c r="A3232" t="s">
        <v>25660</v>
      </c>
      <c r="B3232" t="s">
        <v>4320</v>
      </c>
      <c r="C3232" t="s">
        <v>387</v>
      </c>
      <c r="D3232" t="str">
        <f>"4000"</f>
        <v>4000</v>
      </c>
      <c r="E3232" t="s">
        <v>2222</v>
      </c>
      <c r="F3232" t="s">
        <v>0</v>
      </c>
      <c r="G3232" t="s">
        <v>16235</v>
      </c>
      <c r="H3232" t="s">
        <v>47126</v>
      </c>
      <c r="I3232" t="s">
        <v>47127</v>
      </c>
      <c r="J3232" t="s">
        <v>47128</v>
      </c>
      <c r="K3232" t="s">
        <v>47113</v>
      </c>
      <c r="L3232">
        <v>36.08</v>
      </c>
      <c r="M3232">
        <v>74</v>
      </c>
      <c r="N3232">
        <v>0</v>
      </c>
      <c r="O3232">
        <v>74</v>
      </c>
      <c r="P3232">
        <v>0</v>
      </c>
    </row>
    <row r="3233" spans="1:16" x14ac:dyDescent="0.25">
      <c r="A3233" t="s">
        <v>25661</v>
      </c>
      <c r="B3233" t="s">
        <v>4320</v>
      </c>
      <c r="C3233" t="s">
        <v>387</v>
      </c>
      <c r="D3233" t="str">
        <f>"4643"</f>
        <v>4643</v>
      </c>
      <c r="E3233" t="s">
        <v>205</v>
      </c>
      <c r="F3233" t="s">
        <v>0</v>
      </c>
      <c r="G3233" t="s">
        <v>16235</v>
      </c>
      <c r="H3233" t="s">
        <v>47126</v>
      </c>
      <c r="I3233" t="s">
        <v>47127</v>
      </c>
      <c r="J3233" t="s">
        <v>47128</v>
      </c>
      <c r="K3233" t="s">
        <v>47113</v>
      </c>
      <c r="L3233">
        <v>36.08</v>
      </c>
      <c r="M3233">
        <v>74</v>
      </c>
      <c r="N3233">
        <v>0</v>
      </c>
      <c r="O3233">
        <v>74</v>
      </c>
      <c r="P3233">
        <v>0</v>
      </c>
    </row>
    <row r="3234" spans="1:16" x14ac:dyDescent="0.25">
      <c r="A3234" t="s">
        <v>25662</v>
      </c>
      <c r="B3234" t="s">
        <v>4321</v>
      </c>
      <c r="C3234" t="s">
        <v>387</v>
      </c>
      <c r="D3234" t="str">
        <f>"1370"</f>
        <v>1370</v>
      </c>
      <c r="E3234" t="s">
        <v>2162</v>
      </c>
      <c r="F3234" t="s">
        <v>0</v>
      </c>
      <c r="G3234" t="s">
        <v>16235</v>
      </c>
      <c r="H3234" t="s">
        <v>47126</v>
      </c>
      <c r="I3234" t="s">
        <v>47127</v>
      </c>
      <c r="J3234" t="s">
        <v>47128</v>
      </c>
      <c r="K3234" t="s">
        <v>47113</v>
      </c>
      <c r="L3234">
        <v>33.19</v>
      </c>
      <c r="M3234">
        <v>67</v>
      </c>
      <c r="N3234">
        <v>0</v>
      </c>
      <c r="O3234">
        <v>67</v>
      </c>
      <c r="P3234">
        <v>0</v>
      </c>
    </row>
    <row r="3235" spans="1:16" x14ac:dyDescent="0.25">
      <c r="A3235" t="s">
        <v>25663</v>
      </c>
      <c r="B3235" t="s">
        <v>4321</v>
      </c>
      <c r="C3235" t="s">
        <v>387</v>
      </c>
      <c r="D3235" t="str">
        <f>"4730"</f>
        <v>4730</v>
      </c>
      <c r="E3235" t="s">
        <v>461</v>
      </c>
      <c r="F3235" t="s">
        <v>0</v>
      </c>
      <c r="G3235" t="s">
        <v>16235</v>
      </c>
      <c r="H3235" t="s">
        <v>47126</v>
      </c>
      <c r="I3235" t="s">
        <v>47127</v>
      </c>
      <c r="J3235" t="s">
        <v>47128</v>
      </c>
      <c r="K3235" t="s">
        <v>47113</v>
      </c>
      <c r="L3235">
        <v>33.19</v>
      </c>
      <c r="M3235">
        <v>67</v>
      </c>
      <c r="N3235">
        <v>0</v>
      </c>
      <c r="O3235">
        <v>67</v>
      </c>
      <c r="P3235">
        <v>0</v>
      </c>
    </row>
    <row r="3236" spans="1:16" x14ac:dyDescent="0.25">
      <c r="A3236" t="s">
        <v>25664</v>
      </c>
      <c r="B3236" t="s">
        <v>4322</v>
      </c>
      <c r="C3236" t="s">
        <v>387</v>
      </c>
      <c r="D3236" t="str">
        <f>"1001"</f>
        <v>1001</v>
      </c>
      <c r="E3236" t="s">
        <v>4318</v>
      </c>
      <c r="F3236" t="s">
        <v>0</v>
      </c>
      <c r="G3236" t="s">
        <v>16235</v>
      </c>
      <c r="H3236" t="s">
        <v>47126</v>
      </c>
      <c r="I3236" t="s">
        <v>47127</v>
      </c>
      <c r="J3236" t="s">
        <v>47128</v>
      </c>
      <c r="K3236" t="s">
        <v>47113</v>
      </c>
      <c r="L3236">
        <v>36.08</v>
      </c>
      <c r="M3236">
        <v>74</v>
      </c>
      <c r="N3236">
        <v>0</v>
      </c>
      <c r="O3236">
        <v>74</v>
      </c>
      <c r="P3236">
        <v>0</v>
      </c>
    </row>
    <row r="3237" spans="1:16" x14ac:dyDescent="0.25">
      <c r="A3237" t="s">
        <v>25665</v>
      </c>
      <c r="B3237" t="s">
        <v>4322</v>
      </c>
      <c r="C3237" t="s">
        <v>387</v>
      </c>
      <c r="D3237" t="str">
        <f>"1285"</f>
        <v>1285</v>
      </c>
      <c r="E3237" t="s">
        <v>4312</v>
      </c>
      <c r="F3237" t="s">
        <v>0</v>
      </c>
      <c r="G3237" t="s">
        <v>16235</v>
      </c>
      <c r="H3237" t="s">
        <v>47126</v>
      </c>
      <c r="I3237" t="s">
        <v>47127</v>
      </c>
      <c r="J3237" t="s">
        <v>47128</v>
      </c>
      <c r="K3237" t="s">
        <v>47113</v>
      </c>
      <c r="L3237">
        <v>36.08</v>
      </c>
      <c r="M3237">
        <v>74</v>
      </c>
      <c r="N3237">
        <v>0</v>
      </c>
      <c r="O3237">
        <v>74</v>
      </c>
      <c r="P3237">
        <v>0</v>
      </c>
    </row>
    <row r="3238" spans="1:16" x14ac:dyDescent="0.25">
      <c r="A3238" t="s">
        <v>25666</v>
      </c>
      <c r="B3238" t="s">
        <v>4322</v>
      </c>
      <c r="C3238" t="s">
        <v>387</v>
      </c>
      <c r="D3238" t="str">
        <f>"1377"</f>
        <v>1377</v>
      </c>
      <c r="E3238" t="s">
        <v>74</v>
      </c>
      <c r="F3238" t="s">
        <v>0</v>
      </c>
      <c r="G3238" t="s">
        <v>16235</v>
      </c>
      <c r="H3238" t="s">
        <v>47126</v>
      </c>
      <c r="I3238" t="s">
        <v>47127</v>
      </c>
      <c r="J3238" t="s">
        <v>47128</v>
      </c>
      <c r="K3238" t="s">
        <v>47113</v>
      </c>
      <c r="L3238">
        <v>36.08</v>
      </c>
      <c r="M3238">
        <v>74</v>
      </c>
      <c r="N3238">
        <v>0</v>
      </c>
      <c r="O3238">
        <v>74</v>
      </c>
      <c r="P3238">
        <v>0</v>
      </c>
    </row>
    <row r="3239" spans="1:16" x14ac:dyDescent="0.25">
      <c r="A3239" t="s">
        <v>25667</v>
      </c>
      <c r="B3239" t="s">
        <v>4322</v>
      </c>
      <c r="C3239" t="s">
        <v>387</v>
      </c>
      <c r="D3239" t="str">
        <f>"3000"</f>
        <v>3000</v>
      </c>
      <c r="E3239" t="s">
        <v>4319</v>
      </c>
      <c r="F3239" t="s">
        <v>0</v>
      </c>
      <c r="G3239" t="s">
        <v>16235</v>
      </c>
      <c r="H3239" t="s">
        <v>47126</v>
      </c>
      <c r="I3239" t="s">
        <v>47127</v>
      </c>
      <c r="J3239" t="s">
        <v>47128</v>
      </c>
      <c r="K3239" t="s">
        <v>47113</v>
      </c>
      <c r="L3239">
        <v>36.08</v>
      </c>
      <c r="M3239">
        <v>74</v>
      </c>
      <c r="N3239">
        <v>0</v>
      </c>
      <c r="O3239">
        <v>74</v>
      </c>
      <c r="P3239">
        <v>0</v>
      </c>
    </row>
    <row r="3240" spans="1:16" x14ac:dyDescent="0.25">
      <c r="A3240" t="s">
        <v>25668</v>
      </c>
      <c r="B3240" t="s">
        <v>4322</v>
      </c>
      <c r="C3240" t="s">
        <v>387</v>
      </c>
      <c r="D3240" t="str">
        <f>"4000"</f>
        <v>4000</v>
      </c>
      <c r="E3240" t="s">
        <v>2222</v>
      </c>
      <c r="F3240" t="s">
        <v>0</v>
      </c>
      <c r="G3240" t="s">
        <v>16235</v>
      </c>
      <c r="H3240" t="s">
        <v>47126</v>
      </c>
      <c r="I3240" t="s">
        <v>47127</v>
      </c>
      <c r="J3240" t="s">
        <v>47128</v>
      </c>
      <c r="K3240" t="s">
        <v>47113</v>
      </c>
      <c r="L3240">
        <v>36.08</v>
      </c>
      <c r="M3240">
        <v>74</v>
      </c>
      <c r="N3240">
        <v>0</v>
      </c>
      <c r="O3240">
        <v>74</v>
      </c>
      <c r="P3240">
        <v>0</v>
      </c>
    </row>
    <row r="3241" spans="1:16" x14ac:dyDescent="0.25">
      <c r="A3241" t="s">
        <v>25669</v>
      </c>
      <c r="B3241" t="s">
        <v>4322</v>
      </c>
      <c r="C3241" t="s">
        <v>387</v>
      </c>
      <c r="D3241" t="str">
        <f>"4643"</f>
        <v>4643</v>
      </c>
      <c r="E3241" t="s">
        <v>205</v>
      </c>
      <c r="F3241" t="s">
        <v>0</v>
      </c>
      <c r="G3241" t="s">
        <v>16235</v>
      </c>
      <c r="H3241" t="s">
        <v>47126</v>
      </c>
      <c r="I3241" t="s">
        <v>47127</v>
      </c>
      <c r="J3241" t="s">
        <v>47128</v>
      </c>
      <c r="K3241" t="s">
        <v>47113</v>
      </c>
      <c r="L3241">
        <v>36.08</v>
      </c>
      <c r="M3241">
        <v>74</v>
      </c>
      <c r="N3241">
        <v>0</v>
      </c>
      <c r="O3241">
        <v>74</v>
      </c>
      <c r="P3241">
        <v>0</v>
      </c>
    </row>
    <row r="3242" spans="1:16" x14ac:dyDescent="0.25">
      <c r="A3242" t="s">
        <v>25670</v>
      </c>
      <c r="B3242" t="s">
        <v>4322</v>
      </c>
      <c r="C3242" t="s">
        <v>387</v>
      </c>
      <c r="D3242" t="str">
        <f>"6064"</f>
        <v>6064</v>
      </c>
      <c r="E3242" t="s">
        <v>87</v>
      </c>
      <c r="F3242" t="s">
        <v>0</v>
      </c>
      <c r="G3242" t="s">
        <v>16235</v>
      </c>
      <c r="H3242" t="s">
        <v>47126</v>
      </c>
      <c r="I3242" t="s">
        <v>47127</v>
      </c>
      <c r="J3242" t="s">
        <v>47128</v>
      </c>
      <c r="K3242" t="s">
        <v>47113</v>
      </c>
      <c r="L3242">
        <v>36.08</v>
      </c>
      <c r="M3242">
        <v>74</v>
      </c>
      <c r="N3242">
        <v>0</v>
      </c>
      <c r="O3242">
        <v>74</v>
      </c>
      <c r="P3242">
        <v>0</v>
      </c>
    </row>
    <row r="3243" spans="1:16" x14ac:dyDescent="0.25">
      <c r="A3243" t="s">
        <v>25671</v>
      </c>
      <c r="B3243" t="s">
        <v>4323</v>
      </c>
      <c r="C3243" t="s">
        <v>4324</v>
      </c>
      <c r="D3243" t="str">
        <f>"1370"</f>
        <v>1370</v>
      </c>
      <c r="E3243" t="s">
        <v>2162</v>
      </c>
      <c r="F3243" t="s">
        <v>0</v>
      </c>
      <c r="G3243" t="s">
        <v>16235</v>
      </c>
      <c r="H3243" t="s">
        <v>47126</v>
      </c>
      <c r="I3243" t="s">
        <v>47127</v>
      </c>
      <c r="J3243" t="s">
        <v>47128</v>
      </c>
      <c r="K3243" t="s">
        <v>47113</v>
      </c>
      <c r="L3243">
        <v>31.25</v>
      </c>
      <c r="M3243">
        <v>63</v>
      </c>
      <c r="N3243">
        <v>0</v>
      </c>
      <c r="O3243">
        <v>63</v>
      </c>
      <c r="P3243">
        <v>0</v>
      </c>
    </row>
    <row r="3244" spans="1:16" x14ac:dyDescent="0.25">
      <c r="A3244" t="s">
        <v>25672</v>
      </c>
      <c r="B3244" t="s">
        <v>4323</v>
      </c>
      <c r="C3244" t="s">
        <v>4324</v>
      </c>
      <c r="D3244" t="str">
        <f>"6064"</f>
        <v>6064</v>
      </c>
      <c r="E3244" t="s">
        <v>87</v>
      </c>
      <c r="F3244" t="s">
        <v>0</v>
      </c>
      <c r="G3244" t="s">
        <v>16235</v>
      </c>
      <c r="H3244" t="s">
        <v>47126</v>
      </c>
      <c r="I3244" t="s">
        <v>47127</v>
      </c>
      <c r="J3244" t="s">
        <v>47128</v>
      </c>
      <c r="K3244" t="s">
        <v>47113</v>
      </c>
      <c r="L3244">
        <v>31.25</v>
      </c>
      <c r="M3244">
        <v>63</v>
      </c>
      <c r="N3244">
        <v>0</v>
      </c>
      <c r="O3244">
        <v>63</v>
      </c>
      <c r="P3244">
        <v>0</v>
      </c>
    </row>
    <row r="3245" spans="1:16" x14ac:dyDescent="0.25">
      <c r="A3245" t="s">
        <v>25673</v>
      </c>
      <c r="B3245" t="s">
        <v>4325</v>
      </c>
      <c r="C3245" t="s">
        <v>4324</v>
      </c>
      <c r="D3245" t="str">
        <f>"1377"</f>
        <v>1377</v>
      </c>
      <c r="E3245" t="s">
        <v>74</v>
      </c>
      <c r="F3245" t="s">
        <v>0</v>
      </c>
      <c r="G3245" t="s">
        <v>16235</v>
      </c>
      <c r="H3245" t="s">
        <v>47126</v>
      </c>
      <c r="I3245" t="s">
        <v>47127</v>
      </c>
      <c r="J3245" t="s">
        <v>47128</v>
      </c>
      <c r="K3245" t="s">
        <v>47113</v>
      </c>
      <c r="L3245">
        <v>31.97</v>
      </c>
      <c r="M3245">
        <v>67</v>
      </c>
      <c r="N3245">
        <v>0</v>
      </c>
      <c r="O3245">
        <v>67</v>
      </c>
      <c r="P3245">
        <v>0</v>
      </c>
    </row>
    <row r="3246" spans="1:16" x14ac:dyDescent="0.25">
      <c r="A3246" t="s">
        <v>25674</v>
      </c>
      <c r="B3246" t="s">
        <v>4325</v>
      </c>
      <c r="C3246" t="s">
        <v>4324</v>
      </c>
      <c r="D3246" t="str">
        <f>"1378"</f>
        <v>1378</v>
      </c>
      <c r="E3246" t="s">
        <v>388</v>
      </c>
      <c r="F3246" t="s">
        <v>0</v>
      </c>
      <c r="G3246" t="s">
        <v>16235</v>
      </c>
      <c r="H3246" t="s">
        <v>47126</v>
      </c>
      <c r="I3246" t="s">
        <v>47127</v>
      </c>
      <c r="J3246" t="s">
        <v>47128</v>
      </c>
      <c r="K3246" t="s">
        <v>47113</v>
      </c>
      <c r="L3246">
        <v>31.97</v>
      </c>
      <c r="M3246">
        <v>67</v>
      </c>
      <c r="N3246">
        <v>0</v>
      </c>
      <c r="O3246">
        <v>67</v>
      </c>
      <c r="P3246">
        <v>0</v>
      </c>
    </row>
    <row r="3247" spans="1:16" x14ac:dyDescent="0.25">
      <c r="A3247" t="s">
        <v>25675</v>
      </c>
      <c r="B3247" t="s">
        <v>4325</v>
      </c>
      <c r="C3247" t="s">
        <v>4324</v>
      </c>
      <c r="D3247" t="str">
        <f>"3000"</f>
        <v>3000</v>
      </c>
      <c r="E3247" t="s">
        <v>4319</v>
      </c>
      <c r="F3247" t="s">
        <v>0</v>
      </c>
      <c r="G3247" t="s">
        <v>16235</v>
      </c>
      <c r="H3247" t="s">
        <v>47126</v>
      </c>
      <c r="I3247" t="s">
        <v>47127</v>
      </c>
      <c r="J3247" t="s">
        <v>47128</v>
      </c>
      <c r="K3247" t="s">
        <v>47113</v>
      </c>
      <c r="L3247">
        <v>31.97</v>
      </c>
      <c r="M3247">
        <v>67</v>
      </c>
      <c r="N3247">
        <v>0</v>
      </c>
      <c r="O3247">
        <v>67</v>
      </c>
      <c r="P3247">
        <v>0</v>
      </c>
    </row>
    <row r="3248" spans="1:16" x14ac:dyDescent="0.25">
      <c r="A3248" t="s">
        <v>25676</v>
      </c>
      <c r="B3248" t="s">
        <v>4325</v>
      </c>
      <c r="C3248" t="s">
        <v>4324</v>
      </c>
      <c r="D3248" t="str">
        <f>"4000"</f>
        <v>4000</v>
      </c>
      <c r="E3248" t="s">
        <v>2222</v>
      </c>
      <c r="F3248" t="s">
        <v>0</v>
      </c>
      <c r="G3248" t="s">
        <v>16235</v>
      </c>
      <c r="H3248" t="s">
        <v>47126</v>
      </c>
      <c r="I3248" t="s">
        <v>47127</v>
      </c>
      <c r="J3248" t="s">
        <v>47128</v>
      </c>
      <c r="K3248" t="s">
        <v>47113</v>
      </c>
      <c r="L3248">
        <v>31.97</v>
      </c>
      <c r="M3248">
        <v>67</v>
      </c>
      <c r="N3248">
        <v>0</v>
      </c>
      <c r="O3248">
        <v>67</v>
      </c>
      <c r="P3248">
        <v>0</v>
      </c>
    </row>
    <row r="3249" spans="1:16" x14ac:dyDescent="0.25">
      <c r="A3249" t="s">
        <v>25677</v>
      </c>
      <c r="B3249" t="s">
        <v>4325</v>
      </c>
      <c r="C3249" t="s">
        <v>4324</v>
      </c>
      <c r="D3249" t="str">
        <f>"4643"</f>
        <v>4643</v>
      </c>
      <c r="E3249" t="s">
        <v>205</v>
      </c>
      <c r="F3249" t="s">
        <v>0</v>
      </c>
      <c r="G3249" t="s">
        <v>16235</v>
      </c>
      <c r="H3249" t="s">
        <v>47126</v>
      </c>
      <c r="I3249" t="s">
        <v>47127</v>
      </c>
      <c r="J3249" t="s">
        <v>47128</v>
      </c>
      <c r="K3249" t="s">
        <v>47113</v>
      </c>
      <c r="L3249">
        <v>31.97</v>
      </c>
      <c r="M3249">
        <v>67</v>
      </c>
      <c r="N3249">
        <v>0</v>
      </c>
      <c r="O3249">
        <v>67</v>
      </c>
      <c r="P3249">
        <v>0</v>
      </c>
    </row>
    <row r="3250" spans="1:16" x14ac:dyDescent="0.25">
      <c r="A3250" t="s">
        <v>25678</v>
      </c>
      <c r="B3250" t="s">
        <v>4325</v>
      </c>
      <c r="C3250" t="s">
        <v>4324</v>
      </c>
      <c r="D3250" t="str">
        <f>"4729"</f>
        <v>4729</v>
      </c>
      <c r="E3250" t="s">
        <v>2222</v>
      </c>
      <c r="F3250" t="s">
        <v>0</v>
      </c>
      <c r="G3250" t="s">
        <v>16235</v>
      </c>
      <c r="H3250" t="s">
        <v>47126</v>
      </c>
      <c r="I3250" t="s">
        <v>47127</v>
      </c>
      <c r="J3250" t="s">
        <v>47128</v>
      </c>
      <c r="K3250" t="s">
        <v>47113</v>
      </c>
      <c r="L3250">
        <v>31.97</v>
      </c>
      <c r="M3250">
        <v>67</v>
      </c>
      <c r="N3250">
        <v>0</v>
      </c>
      <c r="O3250">
        <v>67</v>
      </c>
      <c r="P3250">
        <v>0</v>
      </c>
    </row>
    <row r="3251" spans="1:16" x14ac:dyDescent="0.25">
      <c r="A3251" t="s">
        <v>25679</v>
      </c>
      <c r="B3251" t="s">
        <v>4325</v>
      </c>
      <c r="C3251" t="s">
        <v>4324</v>
      </c>
      <c r="D3251" t="str">
        <f>"4730"</f>
        <v>4730</v>
      </c>
      <c r="E3251" t="s">
        <v>461</v>
      </c>
      <c r="F3251" t="s">
        <v>0</v>
      </c>
      <c r="G3251" t="s">
        <v>16235</v>
      </c>
      <c r="H3251" t="s">
        <v>47126</v>
      </c>
      <c r="I3251" t="s">
        <v>47127</v>
      </c>
      <c r="J3251" t="s">
        <v>47128</v>
      </c>
      <c r="K3251" t="s">
        <v>47113</v>
      </c>
      <c r="L3251">
        <v>31.97</v>
      </c>
      <c r="M3251">
        <v>67</v>
      </c>
      <c r="N3251">
        <v>0</v>
      </c>
      <c r="O3251">
        <v>67</v>
      </c>
      <c r="P3251">
        <v>0</v>
      </c>
    </row>
    <row r="3252" spans="1:16" x14ac:dyDescent="0.25">
      <c r="A3252" t="s">
        <v>25680</v>
      </c>
      <c r="B3252" t="s">
        <v>4325</v>
      </c>
      <c r="C3252" t="s">
        <v>4324</v>
      </c>
      <c r="D3252" t="str">
        <f>"6064"</f>
        <v>6064</v>
      </c>
      <c r="E3252" t="s">
        <v>87</v>
      </c>
      <c r="F3252" t="s">
        <v>0</v>
      </c>
      <c r="G3252" t="s">
        <v>16235</v>
      </c>
      <c r="H3252" t="s">
        <v>47126</v>
      </c>
      <c r="I3252" t="s">
        <v>47127</v>
      </c>
      <c r="J3252" t="s">
        <v>47128</v>
      </c>
      <c r="K3252" t="s">
        <v>47113</v>
      </c>
      <c r="L3252">
        <v>31.97</v>
      </c>
      <c r="M3252">
        <v>67</v>
      </c>
      <c r="N3252">
        <v>0</v>
      </c>
      <c r="O3252">
        <v>67</v>
      </c>
      <c r="P3252">
        <v>0</v>
      </c>
    </row>
    <row r="3253" spans="1:16" x14ac:dyDescent="0.25">
      <c r="A3253" t="s">
        <v>25681</v>
      </c>
      <c r="B3253" t="s">
        <v>4326</v>
      </c>
      <c r="C3253" t="s">
        <v>4324</v>
      </c>
      <c r="D3253" t="str">
        <f>"1285"</f>
        <v>1285</v>
      </c>
      <c r="E3253" t="s">
        <v>4312</v>
      </c>
      <c r="F3253" t="s">
        <v>0</v>
      </c>
      <c r="G3253" t="s">
        <v>16235</v>
      </c>
      <c r="H3253" t="s">
        <v>47126</v>
      </c>
      <c r="I3253" t="s">
        <v>47127</v>
      </c>
      <c r="J3253" t="s">
        <v>47128</v>
      </c>
      <c r="K3253" t="s">
        <v>47113</v>
      </c>
      <c r="L3253">
        <v>28.84</v>
      </c>
      <c r="M3253">
        <v>59</v>
      </c>
      <c r="N3253">
        <v>0</v>
      </c>
      <c r="O3253">
        <v>59</v>
      </c>
      <c r="P3253">
        <v>0</v>
      </c>
    </row>
    <row r="3254" spans="1:16" x14ac:dyDescent="0.25">
      <c r="A3254" t="s">
        <v>25682</v>
      </c>
      <c r="B3254" t="s">
        <v>4326</v>
      </c>
      <c r="C3254" t="s">
        <v>4324</v>
      </c>
      <c r="D3254" t="str">
        <f>"1700"</f>
        <v>1700</v>
      </c>
      <c r="E3254" t="s">
        <v>60</v>
      </c>
      <c r="F3254" t="s">
        <v>0</v>
      </c>
      <c r="G3254" t="s">
        <v>16235</v>
      </c>
      <c r="H3254" t="s">
        <v>47126</v>
      </c>
      <c r="I3254" t="s">
        <v>47127</v>
      </c>
      <c r="J3254" t="s">
        <v>47128</v>
      </c>
      <c r="K3254" t="s">
        <v>47113</v>
      </c>
      <c r="L3254">
        <v>28.84</v>
      </c>
      <c r="M3254">
        <v>59</v>
      </c>
      <c r="N3254">
        <v>0</v>
      </c>
      <c r="O3254">
        <v>59</v>
      </c>
      <c r="P3254">
        <v>0</v>
      </c>
    </row>
    <row r="3255" spans="1:16" x14ac:dyDescent="0.25">
      <c r="A3255" t="s">
        <v>25683</v>
      </c>
      <c r="B3255" t="s">
        <v>4326</v>
      </c>
      <c r="C3255" t="s">
        <v>4324</v>
      </c>
      <c r="D3255" t="str">
        <f>"3000"</f>
        <v>3000</v>
      </c>
      <c r="E3255" t="s">
        <v>4319</v>
      </c>
      <c r="F3255" t="s">
        <v>0</v>
      </c>
      <c r="G3255" t="s">
        <v>16235</v>
      </c>
      <c r="H3255" t="s">
        <v>47126</v>
      </c>
      <c r="I3255" t="s">
        <v>47127</v>
      </c>
      <c r="J3255" t="s">
        <v>47128</v>
      </c>
      <c r="K3255" t="s">
        <v>47113</v>
      </c>
      <c r="L3255">
        <v>28.84</v>
      </c>
      <c r="M3255">
        <v>59</v>
      </c>
      <c r="N3255">
        <v>0</v>
      </c>
      <c r="O3255">
        <v>59</v>
      </c>
      <c r="P3255">
        <v>0</v>
      </c>
    </row>
    <row r="3256" spans="1:16" x14ac:dyDescent="0.25">
      <c r="A3256" t="s">
        <v>25684</v>
      </c>
      <c r="B3256" t="s">
        <v>4326</v>
      </c>
      <c r="C3256" t="s">
        <v>4324</v>
      </c>
      <c r="D3256" t="str">
        <f>"4000"</f>
        <v>4000</v>
      </c>
      <c r="E3256" t="s">
        <v>461</v>
      </c>
      <c r="F3256" t="s">
        <v>0</v>
      </c>
      <c r="G3256" t="s">
        <v>16235</v>
      </c>
      <c r="H3256" t="s">
        <v>47126</v>
      </c>
      <c r="I3256" t="s">
        <v>47127</v>
      </c>
      <c r="J3256" t="s">
        <v>47128</v>
      </c>
      <c r="K3256" t="s">
        <v>47113</v>
      </c>
      <c r="L3256">
        <v>28.84</v>
      </c>
      <c r="M3256">
        <v>59</v>
      </c>
      <c r="N3256">
        <v>0</v>
      </c>
      <c r="O3256">
        <v>59</v>
      </c>
      <c r="P3256">
        <v>0</v>
      </c>
    </row>
    <row r="3257" spans="1:16" x14ac:dyDescent="0.25">
      <c r="A3257" t="s">
        <v>25685</v>
      </c>
      <c r="B3257" t="s">
        <v>4326</v>
      </c>
      <c r="C3257" t="s">
        <v>4324</v>
      </c>
      <c r="D3257" t="str">
        <f>"4643"</f>
        <v>4643</v>
      </c>
      <c r="E3257" t="s">
        <v>205</v>
      </c>
      <c r="F3257" t="s">
        <v>0</v>
      </c>
      <c r="G3257" t="s">
        <v>16235</v>
      </c>
      <c r="H3257" t="s">
        <v>47126</v>
      </c>
      <c r="I3257" t="s">
        <v>47127</v>
      </c>
      <c r="J3257" t="s">
        <v>47128</v>
      </c>
      <c r="K3257" t="s">
        <v>47113</v>
      </c>
      <c r="L3257">
        <v>28.84</v>
      </c>
      <c r="M3257">
        <v>59</v>
      </c>
      <c r="N3257">
        <v>0</v>
      </c>
      <c r="O3257">
        <v>59</v>
      </c>
      <c r="P3257">
        <v>0</v>
      </c>
    </row>
    <row r="3258" spans="1:16" x14ac:dyDescent="0.25">
      <c r="A3258" t="s">
        <v>25686</v>
      </c>
      <c r="B3258" t="s">
        <v>4326</v>
      </c>
      <c r="C3258" t="s">
        <v>4324</v>
      </c>
      <c r="D3258" t="str">
        <f>"4730"</f>
        <v>4730</v>
      </c>
      <c r="E3258" t="s">
        <v>461</v>
      </c>
      <c r="F3258" t="s">
        <v>0</v>
      </c>
      <c r="G3258" t="s">
        <v>16235</v>
      </c>
      <c r="H3258" t="s">
        <v>47126</v>
      </c>
      <c r="I3258" t="s">
        <v>47127</v>
      </c>
      <c r="J3258" t="s">
        <v>47128</v>
      </c>
      <c r="K3258" t="s">
        <v>47113</v>
      </c>
      <c r="L3258">
        <v>28.84</v>
      </c>
      <c r="M3258">
        <v>59</v>
      </c>
      <c r="N3258">
        <v>0</v>
      </c>
      <c r="O3258">
        <v>59</v>
      </c>
      <c r="P3258">
        <v>0</v>
      </c>
    </row>
    <row r="3259" spans="1:16" x14ac:dyDescent="0.25">
      <c r="A3259" t="s">
        <v>25687</v>
      </c>
      <c r="B3259" t="s">
        <v>4326</v>
      </c>
      <c r="C3259" t="s">
        <v>4324</v>
      </c>
      <c r="D3259" t="str">
        <f>"6064"</f>
        <v>6064</v>
      </c>
      <c r="E3259" t="s">
        <v>87</v>
      </c>
      <c r="F3259" t="s">
        <v>0</v>
      </c>
      <c r="G3259" t="s">
        <v>16235</v>
      </c>
      <c r="H3259" t="s">
        <v>47126</v>
      </c>
      <c r="I3259" t="s">
        <v>47127</v>
      </c>
      <c r="J3259" t="s">
        <v>47128</v>
      </c>
      <c r="K3259" t="s">
        <v>47113</v>
      </c>
      <c r="L3259">
        <v>28.84</v>
      </c>
      <c r="M3259">
        <v>59</v>
      </c>
      <c r="N3259">
        <v>0</v>
      </c>
      <c r="O3259">
        <v>59</v>
      </c>
      <c r="P3259">
        <v>0</v>
      </c>
    </row>
    <row r="3260" spans="1:16" x14ac:dyDescent="0.25">
      <c r="A3260" t="s">
        <v>25688</v>
      </c>
      <c r="B3260" t="s">
        <v>4327</v>
      </c>
      <c r="C3260" t="s">
        <v>4328</v>
      </c>
      <c r="D3260" t="str">
        <f>"1001"</f>
        <v>1001</v>
      </c>
      <c r="E3260" t="s">
        <v>4318</v>
      </c>
      <c r="F3260" t="s">
        <v>0</v>
      </c>
      <c r="G3260" t="s">
        <v>16235</v>
      </c>
      <c r="H3260" t="s">
        <v>47126</v>
      </c>
      <c r="I3260" t="s">
        <v>47127</v>
      </c>
      <c r="J3260" t="s">
        <v>47128</v>
      </c>
      <c r="K3260" t="s">
        <v>47113</v>
      </c>
      <c r="L3260">
        <v>27.64</v>
      </c>
      <c r="M3260">
        <v>59</v>
      </c>
      <c r="N3260">
        <v>0</v>
      </c>
      <c r="O3260">
        <v>59</v>
      </c>
      <c r="P3260">
        <v>0</v>
      </c>
    </row>
    <row r="3261" spans="1:16" x14ac:dyDescent="0.25">
      <c r="A3261" t="s">
        <v>25689</v>
      </c>
      <c r="B3261" t="s">
        <v>4327</v>
      </c>
      <c r="C3261" t="s">
        <v>4328</v>
      </c>
      <c r="D3261" t="str">
        <f>"1377"</f>
        <v>1377</v>
      </c>
      <c r="E3261" t="s">
        <v>74</v>
      </c>
      <c r="F3261" t="s">
        <v>0</v>
      </c>
      <c r="G3261" t="s">
        <v>16235</v>
      </c>
      <c r="H3261" t="s">
        <v>47126</v>
      </c>
      <c r="I3261" t="s">
        <v>47127</v>
      </c>
      <c r="J3261" t="s">
        <v>47128</v>
      </c>
      <c r="K3261" t="s">
        <v>47113</v>
      </c>
      <c r="L3261">
        <v>27.64</v>
      </c>
      <c r="M3261">
        <v>59</v>
      </c>
      <c r="N3261">
        <v>0</v>
      </c>
      <c r="O3261">
        <v>59</v>
      </c>
      <c r="P3261">
        <v>0</v>
      </c>
    </row>
    <row r="3262" spans="1:16" x14ac:dyDescent="0.25">
      <c r="A3262" t="s">
        <v>25690</v>
      </c>
      <c r="B3262" t="s">
        <v>4327</v>
      </c>
      <c r="C3262" t="s">
        <v>4328</v>
      </c>
      <c r="D3262" t="str">
        <f>"4000"</f>
        <v>4000</v>
      </c>
      <c r="E3262" t="s">
        <v>461</v>
      </c>
      <c r="F3262" t="s">
        <v>0</v>
      </c>
      <c r="G3262" t="s">
        <v>16235</v>
      </c>
      <c r="H3262" t="s">
        <v>47126</v>
      </c>
      <c r="I3262" t="s">
        <v>47127</v>
      </c>
      <c r="J3262" t="s">
        <v>47128</v>
      </c>
      <c r="K3262" t="s">
        <v>47113</v>
      </c>
      <c r="L3262">
        <v>27.64</v>
      </c>
      <c r="M3262">
        <v>59</v>
      </c>
      <c r="N3262">
        <v>0</v>
      </c>
      <c r="O3262">
        <v>59</v>
      </c>
      <c r="P3262">
        <v>0</v>
      </c>
    </row>
    <row r="3263" spans="1:16" x14ac:dyDescent="0.25">
      <c r="A3263" t="s">
        <v>25691</v>
      </c>
      <c r="B3263" t="s">
        <v>4327</v>
      </c>
      <c r="C3263" t="s">
        <v>4328</v>
      </c>
      <c r="D3263" t="str">
        <f>"4643"</f>
        <v>4643</v>
      </c>
      <c r="E3263" t="s">
        <v>205</v>
      </c>
      <c r="F3263" t="s">
        <v>0</v>
      </c>
      <c r="G3263" t="s">
        <v>16235</v>
      </c>
      <c r="H3263" t="s">
        <v>47126</v>
      </c>
      <c r="I3263" t="s">
        <v>47127</v>
      </c>
      <c r="J3263" t="s">
        <v>47128</v>
      </c>
      <c r="K3263" t="s">
        <v>47113</v>
      </c>
      <c r="L3263">
        <v>27.64</v>
      </c>
      <c r="M3263">
        <v>59</v>
      </c>
      <c r="N3263">
        <v>0</v>
      </c>
      <c r="O3263">
        <v>59</v>
      </c>
      <c r="P3263">
        <v>0</v>
      </c>
    </row>
    <row r="3264" spans="1:16" x14ac:dyDescent="0.25">
      <c r="A3264" t="s">
        <v>25692</v>
      </c>
      <c r="B3264" t="s">
        <v>4327</v>
      </c>
      <c r="C3264" t="s">
        <v>4328</v>
      </c>
      <c r="D3264" t="str">
        <f>"6064"</f>
        <v>6064</v>
      </c>
      <c r="E3264" t="s">
        <v>87</v>
      </c>
      <c r="F3264" t="s">
        <v>0</v>
      </c>
      <c r="G3264" t="s">
        <v>16235</v>
      </c>
      <c r="H3264" t="s">
        <v>47126</v>
      </c>
      <c r="I3264" t="s">
        <v>47127</v>
      </c>
      <c r="J3264" t="s">
        <v>47128</v>
      </c>
      <c r="K3264" t="s">
        <v>47113</v>
      </c>
      <c r="L3264">
        <v>27.64</v>
      </c>
      <c r="M3264">
        <v>59</v>
      </c>
      <c r="N3264">
        <v>0</v>
      </c>
      <c r="O3264">
        <v>59</v>
      </c>
      <c r="P3264">
        <v>0</v>
      </c>
    </row>
    <row r="3265" spans="1:16" x14ac:dyDescent="0.25">
      <c r="A3265" t="s">
        <v>25693</v>
      </c>
      <c r="B3265" t="s">
        <v>4329</v>
      </c>
      <c r="C3265" t="s">
        <v>4330</v>
      </c>
      <c r="D3265" t="str">
        <f>"1001"</f>
        <v>1001</v>
      </c>
      <c r="E3265" t="s">
        <v>4318</v>
      </c>
      <c r="F3265" t="s">
        <v>0</v>
      </c>
      <c r="G3265" t="s">
        <v>16222</v>
      </c>
      <c r="H3265" t="s">
        <v>47126</v>
      </c>
      <c r="I3265" t="s">
        <v>47127</v>
      </c>
      <c r="J3265" t="s">
        <v>47128</v>
      </c>
      <c r="K3265" t="s">
        <v>47113</v>
      </c>
      <c r="L3265">
        <v>22.32</v>
      </c>
      <c r="M3265">
        <v>48</v>
      </c>
      <c r="N3265">
        <v>0</v>
      </c>
      <c r="O3265">
        <v>48</v>
      </c>
      <c r="P3265">
        <v>0</v>
      </c>
    </row>
    <row r="3266" spans="1:16" x14ac:dyDescent="0.25">
      <c r="A3266" t="s">
        <v>25694</v>
      </c>
      <c r="B3266" t="s">
        <v>4329</v>
      </c>
      <c r="C3266" t="s">
        <v>4330</v>
      </c>
      <c r="D3266" t="str">
        <f>"1285"</f>
        <v>1285</v>
      </c>
      <c r="E3266" t="s">
        <v>4312</v>
      </c>
      <c r="F3266" t="s">
        <v>0</v>
      </c>
      <c r="G3266" t="s">
        <v>16222</v>
      </c>
      <c r="H3266" t="s">
        <v>47126</v>
      </c>
      <c r="I3266" t="s">
        <v>47127</v>
      </c>
      <c r="J3266" t="s">
        <v>47128</v>
      </c>
      <c r="K3266" t="s">
        <v>47113</v>
      </c>
      <c r="L3266">
        <v>22.32</v>
      </c>
      <c r="M3266">
        <v>48</v>
      </c>
      <c r="N3266">
        <v>0</v>
      </c>
      <c r="O3266">
        <v>48</v>
      </c>
      <c r="P3266">
        <v>0</v>
      </c>
    </row>
    <row r="3267" spans="1:16" x14ac:dyDescent="0.25">
      <c r="A3267" t="s">
        <v>25695</v>
      </c>
      <c r="B3267" t="s">
        <v>4329</v>
      </c>
      <c r="C3267" t="s">
        <v>4330</v>
      </c>
      <c r="D3267" t="str">
        <f>"1700"</f>
        <v>1700</v>
      </c>
      <c r="E3267" t="s">
        <v>60</v>
      </c>
      <c r="F3267" t="s">
        <v>0</v>
      </c>
      <c r="G3267" t="s">
        <v>16222</v>
      </c>
      <c r="H3267" t="s">
        <v>47126</v>
      </c>
      <c r="I3267" t="s">
        <v>47127</v>
      </c>
      <c r="J3267" t="s">
        <v>47128</v>
      </c>
      <c r="K3267" t="s">
        <v>47113</v>
      </c>
      <c r="L3267">
        <v>22.32</v>
      </c>
      <c r="M3267">
        <v>48</v>
      </c>
      <c r="N3267">
        <v>0</v>
      </c>
      <c r="O3267">
        <v>48</v>
      </c>
      <c r="P3267">
        <v>0</v>
      </c>
    </row>
    <row r="3268" spans="1:16" x14ac:dyDescent="0.25">
      <c r="A3268" t="s">
        <v>25696</v>
      </c>
      <c r="B3268" t="s">
        <v>4329</v>
      </c>
      <c r="C3268" t="s">
        <v>4330</v>
      </c>
      <c r="D3268" t="str">
        <f>"3000"</f>
        <v>3000</v>
      </c>
      <c r="E3268" t="s">
        <v>4319</v>
      </c>
      <c r="F3268" t="s">
        <v>0</v>
      </c>
      <c r="G3268" t="s">
        <v>16222</v>
      </c>
      <c r="H3268" t="s">
        <v>47126</v>
      </c>
      <c r="I3268" t="s">
        <v>47127</v>
      </c>
      <c r="J3268" t="s">
        <v>47128</v>
      </c>
      <c r="K3268" t="s">
        <v>47113</v>
      </c>
      <c r="L3268">
        <v>22.32</v>
      </c>
      <c r="M3268">
        <v>48</v>
      </c>
      <c r="N3268">
        <v>0</v>
      </c>
      <c r="O3268">
        <v>48</v>
      </c>
      <c r="P3268">
        <v>0</v>
      </c>
    </row>
    <row r="3269" spans="1:16" x14ac:dyDescent="0.25">
      <c r="A3269" t="s">
        <v>25697</v>
      </c>
      <c r="B3269" t="s">
        <v>4329</v>
      </c>
      <c r="C3269" t="s">
        <v>4330</v>
      </c>
      <c r="D3269" t="str">
        <f>"4000"</f>
        <v>4000</v>
      </c>
      <c r="E3269" t="s">
        <v>2222</v>
      </c>
      <c r="F3269" t="s">
        <v>0</v>
      </c>
      <c r="G3269" t="s">
        <v>16222</v>
      </c>
      <c r="H3269" t="s">
        <v>47126</v>
      </c>
      <c r="I3269" t="s">
        <v>47127</v>
      </c>
      <c r="J3269" t="s">
        <v>47128</v>
      </c>
      <c r="K3269" t="s">
        <v>47113</v>
      </c>
      <c r="L3269">
        <v>22.32</v>
      </c>
      <c r="M3269">
        <v>48</v>
      </c>
      <c r="N3269">
        <v>0</v>
      </c>
      <c r="O3269">
        <v>48</v>
      </c>
      <c r="P3269">
        <v>0</v>
      </c>
    </row>
    <row r="3270" spans="1:16" x14ac:dyDescent="0.25">
      <c r="A3270" t="s">
        <v>25698</v>
      </c>
      <c r="B3270" t="s">
        <v>4329</v>
      </c>
      <c r="C3270" t="s">
        <v>4330</v>
      </c>
      <c r="D3270" t="str">
        <f>"4643"</f>
        <v>4643</v>
      </c>
      <c r="E3270" t="s">
        <v>205</v>
      </c>
      <c r="F3270" t="s">
        <v>0</v>
      </c>
      <c r="G3270" t="s">
        <v>16222</v>
      </c>
      <c r="H3270" t="s">
        <v>47126</v>
      </c>
      <c r="I3270" t="s">
        <v>47127</v>
      </c>
      <c r="J3270" t="s">
        <v>47128</v>
      </c>
      <c r="K3270" t="s">
        <v>47113</v>
      </c>
      <c r="L3270">
        <v>22.32</v>
      </c>
      <c r="M3270">
        <v>48</v>
      </c>
      <c r="N3270">
        <v>0</v>
      </c>
      <c r="O3270">
        <v>48</v>
      </c>
      <c r="P3270">
        <v>0</v>
      </c>
    </row>
    <row r="3271" spans="1:16" x14ac:dyDescent="0.25">
      <c r="A3271" t="s">
        <v>25699</v>
      </c>
      <c r="B3271" t="s">
        <v>4329</v>
      </c>
      <c r="C3271" t="s">
        <v>4330</v>
      </c>
      <c r="D3271" t="str">
        <f>"6064"</f>
        <v>6064</v>
      </c>
      <c r="E3271" t="s">
        <v>87</v>
      </c>
      <c r="F3271" t="s">
        <v>0</v>
      </c>
      <c r="G3271" t="s">
        <v>16222</v>
      </c>
      <c r="H3271" t="s">
        <v>47126</v>
      </c>
      <c r="I3271" t="s">
        <v>47127</v>
      </c>
      <c r="J3271" t="s">
        <v>47128</v>
      </c>
      <c r="K3271" t="s">
        <v>47113</v>
      </c>
      <c r="L3271">
        <v>22.32</v>
      </c>
      <c r="M3271">
        <v>48</v>
      </c>
      <c r="N3271">
        <v>0</v>
      </c>
      <c r="O3271">
        <v>48</v>
      </c>
      <c r="P3271">
        <v>0</v>
      </c>
    </row>
    <row r="3272" spans="1:16" x14ac:dyDescent="0.25">
      <c r="A3272" t="s">
        <v>25700</v>
      </c>
      <c r="B3272" t="s">
        <v>4331</v>
      </c>
      <c r="C3272" t="s">
        <v>2173</v>
      </c>
      <c r="D3272" t="str">
        <f>"1001"</f>
        <v>1001</v>
      </c>
      <c r="E3272" t="s">
        <v>4318</v>
      </c>
      <c r="F3272" t="s">
        <v>0</v>
      </c>
      <c r="G3272" t="s">
        <v>16222</v>
      </c>
      <c r="H3272" t="s">
        <v>47126</v>
      </c>
      <c r="I3272" t="s">
        <v>47127</v>
      </c>
      <c r="J3272" t="s">
        <v>47128</v>
      </c>
      <c r="K3272" t="s">
        <v>47113</v>
      </c>
      <c r="L3272">
        <v>22.32</v>
      </c>
      <c r="M3272">
        <v>48</v>
      </c>
      <c r="N3272">
        <v>0</v>
      </c>
      <c r="O3272">
        <v>48</v>
      </c>
      <c r="P3272">
        <v>0</v>
      </c>
    </row>
    <row r="3273" spans="1:16" x14ac:dyDescent="0.25">
      <c r="A3273" t="s">
        <v>25701</v>
      </c>
      <c r="B3273" t="s">
        <v>4331</v>
      </c>
      <c r="C3273" t="s">
        <v>2173</v>
      </c>
      <c r="D3273" t="str">
        <f>"1377"</f>
        <v>1377</v>
      </c>
      <c r="E3273" t="s">
        <v>74</v>
      </c>
      <c r="F3273" t="s">
        <v>0</v>
      </c>
      <c r="G3273" t="s">
        <v>16222</v>
      </c>
      <c r="H3273" t="s">
        <v>47126</v>
      </c>
      <c r="I3273" t="s">
        <v>47127</v>
      </c>
      <c r="J3273" t="s">
        <v>47128</v>
      </c>
      <c r="K3273" t="s">
        <v>47113</v>
      </c>
      <c r="L3273">
        <v>22.32</v>
      </c>
      <c r="M3273">
        <v>48</v>
      </c>
      <c r="N3273">
        <v>0</v>
      </c>
      <c r="O3273">
        <v>48</v>
      </c>
      <c r="P3273">
        <v>0</v>
      </c>
    </row>
    <row r="3274" spans="1:16" x14ac:dyDescent="0.25">
      <c r="A3274" t="s">
        <v>25702</v>
      </c>
      <c r="B3274" t="s">
        <v>4331</v>
      </c>
      <c r="C3274" t="s">
        <v>2173</v>
      </c>
      <c r="D3274" t="str">
        <f>"1700"</f>
        <v>1700</v>
      </c>
      <c r="E3274" t="s">
        <v>60</v>
      </c>
      <c r="F3274" t="s">
        <v>0</v>
      </c>
      <c r="G3274" t="s">
        <v>16222</v>
      </c>
      <c r="H3274" t="s">
        <v>47126</v>
      </c>
      <c r="I3274" t="s">
        <v>47127</v>
      </c>
      <c r="J3274" t="s">
        <v>47128</v>
      </c>
      <c r="K3274" t="s">
        <v>47113</v>
      </c>
      <c r="L3274">
        <v>22.32</v>
      </c>
      <c r="M3274">
        <v>48</v>
      </c>
      <c r="N3274">
        <v>0</v>
      </c>
      <c r="O3274">
        <v>48</v>
      </c>
      <c r="P3274">
        <v>0</v>
      </c>
    </row>
    <row r="3275" spans="1:16" x14ac:dyDescent="0.25">
      <c r="A3275" t="s">
        <v>25703</v>
      </c>
      <c r="B3275" t="s">
        <v>4331</v>
      </c>
      <c r="C3275" t="s">
        <v>2173</v>
      </c>
      <c r="D3275" t="str">
        <f>"3000"</f>
        <v>3000</v>
      </c>
      <c r="E3275" t="s">
        <v>4319</v>
      </c>
      <c r="F3275" t="s">
        <v>0</v>
      </c>
      <c r="G3275" t="s">
        <v>16222</v>
      </c>
      <c r="H3275" t="s">
        <v>47126</v>
      </c>
      <c r="I3275" t="s">
        <v>47127</v>
      </c>
      <c r="J3275" t="s">
        <v>47128</v>
      </c>
      <c r="K3275" t="s">
        <v>47113</v>
      </c>
      <c r="L3275">
        <v>22.32</v>
      </c>
      <c r="M3275">
        <v>48</v>
      </c>
      <c r="N3275">
        <v>0</v>
      </c>
      <c r="O3275">
        <v>48</v>
      </c>
      <c r="P3275">
        <v>0</v>
      </c>
    </row>
    <row r="3276" spans="1:16" x14ac:dyDescent="0.25">
      <c r="A3276" t="s">
        <v>25704</v>
      </c>
      <c r="B3276" t="s">
        <v>4331</v>
      </c>
      <c r="C3276" t="s">
        <v>2173</v>
      </c>
      <c r="D3276" t="str">
        <f>"4000"</f>
        <v>4000</v>
      </c>
      <c r="E3276" t="s">
        <v>2222</v>
      </c>
      <c r="F3276" t="s">
        <v>0</v>
      </c>
      <c r="G3276" t="s">
        <v>16222</v>
      </c>
      <c r="H3276" t="s">
        <v>47126</v>
      </c>
      <c r="I3276" t="s">
        <v>47127</v>
      </c>
      <c r="J3276" t="s">
        <v>47128</v>
      </c>
      <c r="K3276" t="s">
        <v>47113</v>
      </c>
      <c r="L3276">
        <v>22.32</v>
      </c>
      <c r="M3276">
        <v>48</v>
      </c>
      <c r="N3276">
        <v>0</v>
      </c>
      <c r="O3276">
        <v>48</v>
      </c>
      <c r="P3276">
        <v>0</v>
      </c>
    </row>
    <row r="3277" spans="1:16" x14ac:dyDescent="0.25">
      <c r="A3277" t="s">
        <v>25705</v>
      </c>
      <c r="B3277" t="s">
        <v>4331</v>
      </c>
      <c r="C3277" t="s">
        <v>2173</v>
      </c>
      <c r="D3277" t="str">
        <f>"4643"</f>
        <v>4643</v>
      </c>
      <c r="E3277" t="s">
        <v>205</v>
      </c>
      <c r="F3277" t="s">
        <v>0</v>
      </c>
      <c r="G3277" t="s">
        <v>16222</v>
      </c>
      <c r="H3277" t="s">
        <v>47126</v>
      </c>
      <c r="I3277" t="s">
        <v>47127</v>
      </c>
      <c r="J3277" t="s">
        <v>47128</v>
      </c>
      <c r="K3277" t="s">
        <v>47113</v>
      </c>
      <c r="L3277">
        <v>22.32</v>
      </c>
      <c r="M3277">
        <v>48</v>
      </c>
      <c r="N3277">
        <v>0</v>
      </c>
      <c r="O3277">
        <v>48</v>
      </c>
      <c r="P3277">
        <v>0</v>
      </c>
    </row>
    <row r="3278" spans="1:16" x14ac:dyDescent="0.25">
      <c r="A3278" t="s">
        <v>25706</v>
      </c>
      <c r="B3278" t="s">
        <v>4331</v>
      </c>
      <c r="C3278" t="s">
        <v>2173</v>
      </c>
      <c r="D3278" t="str">
        <f>"4729"</f>
        <v>4729</v>
      </c>
      <c r="E3278" t="s">
        <v>2222</v>
      </c>
      <c r="F3278" t="s">
        <v>0</v>
      </c>
      <c r="G3278" t="s">
        <v>16222</v>
      </c>
      <c r="H3278" t="s">
        <v>47126</v>
      </c>
      <c r="I3278" t="s">
        <v>47127</v>
      </c>
      <c r="J3278" t="s">
        <v>47128</v>
      </c>
      <c r="K3278" t="s">
        <v>47113</v>
      </c>
      <c r="L3278">
        <v>22.32</v>
      </c>
      <c r="M3278">
        <v>48</v>
      </c>
      <c r="N3278">
        <v>0</v>
      </c>
      <c r="O3278">
        <v>48</v>
      </c>
      <c r="P3278">
        <v>0</v>
      </c>
    </row>
    <row r="3279" spans="1:16" x14ac:dyDescent="0.25">
      <c r="A3279" t="s">
        <v>25707</v>
      </c>
      <c r="B3279" t="s">
        <v>4331</v>
      </c>
      <c r="C3279" t="s">
        <v>2173</v>
      </c>
      <c r="D3279" t="str">
        <f>"6064"</f>
        <v>6064</v>
      </c>
      <c r="E3279" t="s">
        <v>87</v>
      </c>
      <c r="F3279" t="s">
        <v>0</v>
      </c>
      <c r="G3279" t="s">
        <v>16222</v>
      </c>
      <c r="H3279" t="s">
        <v>47126</v>
      </c>
      <c r="I3279" t="s">
        <v>47127</v>
      </c>
      <c r="J3279" t="s">
        <v>47128</v>
      </c>
      <c r="K3279" t="s">
        <v>47113</v>
      </c>
      <c r="L3279">
        <v>22.32</v>
      </c>
      <c r="M3279">
        <v>48</v>
      </c>
      <c r="N3279">
        <v>0</v>
      </c>
      <c r="O3279">
        <v>48</v>
      </c>
      <c r="P3279">
        <v>0</v>
      </c>
    </row>
    <row r="3280" spans="1:16" x14ac:dyDescent="0.25">
      <c r="A3280" t="s">
        <v>14918</v>
      </c>
      <c r="B3280" t="s">
        <v>4332</v>
      </c>
      <c r="C3280" t="s">
        <v>4333</v>
      </c>
      <c r="D3280" t="s">
        <v>4257</v>
      </c>
      <c r="E3280" t="s">
        <v>4258</v>
      </c>
      <c r="F3280" t="s">
        <v>0</v>
      </c>
      <c r="G3280" t="s">
        <v>16233</v>
      </c>
      <c r="H3280" t="s">
        <v>47153</v>
      </c>
      <c r="I3280" t="s">
        <v>47132</v>
      </c>
      <c r="J3280" t="s">
        <v>47133</v>
      </c>
      <c r="K3280" t="s">
        <v>47113</v>
      </c>
      <c r="L3280">
        <v>35.51</v>
      </c>
      <c r="M3280">
        <v>65</v>
      </c>
      <c r="N3280">
        <v>0</v>
      </c>
      <c r="O3280">
        <v>65</v>
      </c>
      <c r="P3280">
        <v>0</v>
      </c>
    </row>
    <row r="3281" spans="1:16" x14ac:dyDescent="0.25">
      <c r="A3281" t="s">
        <v>25708</v>
      </c>
      <c r="B3281" t="s">
        <v>4332</v>
      </c>
      <c r="C3281" t="s">
        <v>4333</v>
      </c>
      <c r="D3281" t="s">
        <v>4259</v>
      </c>
      <c r="E3281" t="s">
        <v>4260</v>
      </c>
      <c r="F3281" t="s">
        <v>0</v>
      </c>
      <c r="G3281" t="s">
        <v>16233</v>
      </c>
      <c r="H3281" t="s">
        <v>47153</v>
      </c>
      <c r="I3281" t="s">
        <v>47132</v>
      </c>
      <c r="J3281" t="s">
        <v>47133</v>
      </c>
      <c r="K3281" t="s">
        <v>47113</v>
      </c>
      <c r="L3281">
        <v>39.65</v>
      </c>
      <c r="M3281">
        <v>72</v>
      </c>
      <c r="N3281">
        <v>0</v>
      </c>
      <c r="O3281">
        <v>72</v>
      </c>
      <c r="P3281">
        <v>0</v>
      </c>
    </row>
    <row r="3282" spans="1:16" x14ac:dyDescent="0.25">
      <c r="A3282" t="s">
        <v>25709</v>
      </c>
      <c r="B3282" t="s">
        <v>4332</v>
      </c>
      <c r="C3282" t="s">
        <v>4333</v>
      </c>
      <c r="D3282" t="s">
        <v>335</v>
      </c>
      <c r="E3282" t="s">
        <v>336</v>
      </c>
      <c r="F3282" t="s">
        <v>0</v>
      </c>
      <c r="G3282" t="s">
        <v>16233</v>
      </c>
      <c r="H3282" t="s">
        <v>47153</v>
      </c>
      <c r="I3282" t="s">
        <v>47132</v>
      </c>
      <c r="J3282" t="s">
        <v>47133</v>
      </c>
      <c r="K3282" t="s">
        <v>47113</v>
      </c>
      <c r="L3282">
        <v>43.44</v>
      </c>
      <c r="M3282">
        <v>72</v>
      </c>
      <c r="N3282">
        <v>0</v>
      </c>
      <c r="O3282">
        <v>72</v>
      </c>
      <c r="P3282">
        <v>0</v>
      </c>
    </row>
    <row r="3283" spans="1:16" x14ac:dyDescent="0.25">
      <c r="A3283" t="s">
        <v>25710</v>
      </c>
      <c r="B3283" t="s">
        <v>4334</v>
      </c>
      <c r="C3283" t="s">
        <v>4333</v>
      </c>
      <c r="D3283" t="s">
        <v>4056</v>
      </c>
      <c r="E3283" t="s">
        <v>4057</v>
      </c>
      <c r="F3283" t="s">
        <v>0</v>
      </c>
      <c r="G3283" t="s">
        <v>16233</v>
      </c>
      <c r="H3283" t="s">
        <v>47153</v>
      </c>
      <c r="I3283" t="s">
        <v>47132</v>
      </c>
      <c r="J3283" t="s">
        <v>47133</v>
      </c>
      <c r="K3283" t="s">
        <v>47113</v>
      </c>
      <c r="L3283">
        <v>39.06</v>
      </c>
      <c r="M3283">
        <v>73</v>
      </c>
      <c r="N3283">
        <v>0</v>
      </c>
      <c r="O3283">
        <v>73</v>
      </c>
      <c r="P3283">
        <v>0</v>
      </c>
    </row>
    <row r="3284" spans="1:16" x14ac:dyDescent="0.25">
      <c r="A3284" t="s">
        <v>25711</v>
      </c>
      <c r="B3284" t="s">
        <v>4334</v>
      </c>
      <c r="C3284" t="s">
        <v>4333</v>
      </c>
      <c r="D3284" t="s">
        <v>4335</v>
      </c>
      <c r="E3284" t="s">
        <v>4336</v>
      </c>
      <c r="F3284" t="s">
        <v>0</v>
      </c>
      <c r="G3284" t="s">
        <v>16233</v>
      </c>
      <c r="H3284" t="s">
        <v>47153</v>
      </c>
      <c r="I3284" t="s">
        <v>47132</v>
      </c>
      <c r="J3284" t="s">
        <v>47133</v>
      </c>
      <c r="K3284" t="s">
        <v>47113</v>
      </c>
      <c r="L3284">
        <v>39.06</v>
      </c>
      <c r="M3284">
        <v>73</v>
      </c>
      <c r="N3284">
        <v>0</v>
      </c>
      <c r="O3284">
        <v>73</v>
      </c>
      <c r="P3284">
        <v>0</v>
      </c>
    </row>
    <row r="3285" spans="1:16" x14ac:dyDescent="0.25">
      <c r="A3285" t="s">
        <v>25712</v>
      </c>
      <c r="B3285" t="s">
        <v>4334</v>
      </c>
      <c r="C3285" t="s">
        <v>4333</v>
      </c>
      <c r="D3285" t="s">
        <v>4337</v>
      </c>
      <c r="E3285" t="s">
        <v>4338</v>
      </c>
      <c r="F3285" t="s">
        <v>0</v>
      </c>
      <c r="G3285" t="s">
        <v>16233</v>
      </c>
      <c r="H3285" t="s">
        <v>47153</v>
      </c>
      <c r="I3285" t="s">
        <v>47132</v>
      </c>
      <c r="J3285" t="s">
        <v>47133</v>
      </c>
      <c r="K3285" t="s">
        <v>47113</v>
      </c>
      <c r="L3285">
        <v>39.06</v>
      </c>
      <c r="M3285">
        <v>73</v>
      </c>
      <c r="N3285">
        <v>0</v>
      </c>
      <c r="O3285">
        <v>73</v>
      </c>
      <c r="P3285">
        <v>0</v>
      </c>
    </row>
    <row r="3286" spans="1:16" x14ac:dyDescent="0.25">
      <c r="A3286" t="s">
        <v>25713</v>
      </c>
      <c r="B3286" t="s">
        <v>4334</v>
      </c>
      <c r="C3286" t="s">
        <v>4333</v>
      </c>
      <c r="D3286" t="s">
        <v>4059</v>
      </c>
      <c r="E3286" t="s">
        <v>4060</v>
      </c>
      <c r="F3286" t="s">
        <v>0</v>
      </c>
      <c r="G3286" t="s">
        <v>16233</v>
      </c>
      <c r="H3286" t="s">
        <v>47153</v>
      </c>
      <c r="I3286" t="s">
        <v>47132</v>
      </c>
      <c r="J3286" t="s">
        <v>47133</v>
      </c>
      <c r="K3286" t="s">
        <v>47113</v>
      </c>
      <c r="L3286">
        <v>39.06</v>
      </c>
      <c r="M3286">
        <v>73</v>
      </c>
      <c r="N3286">
        <v>0</v>
      </c>
      <c r="O3286">
        <v>73</v>
      </c>
      <c r="P3286">
        <v>0</v>
      </c>
    </row>
    <row r="3287" spans="1:16" x14ac:dyDescent="0.25">
      <c r="A3287" t="s">
        <v>25714</v>
      </c>
      <c r="B3287" t="s">
        <v>4334</v>
      </c>
      <c r="C3287" t="s">
        <v>4333</v>
      </c>
      <c r="D3287" t="s">
        <v>406</v>
      </c>
      <c r="E3287" t="s">
        <v>407</v>
      </c>
      <c r="F3287" t="s">
        <v>0</v>
      </c>
      <c r="G3287" t="s">
        <v>16233</v>
      </c>
      <c r="H3287" t="s">
        <v>47153</v>
      </c>
      <c r="I3287" t="s">
        <v>47132</v>
      </c>
      <c r="J3287" t="s">
        <v>47133</v>
      </c>
      <c r="K3287" t="s">
        <v>47113</v>
      </c>
      <c r="L3287">
        <v>39.06</v>
      </c>
      <c r="M3287">
        <v>73</v>
      </c>
      <c r="N3287">
        <v>0</v>
      </c>
      <c r="O3287">
        <v>73</v>
      </c>
      <c r="P3287">
        <v>0</v>
      </c>
    </row>
    <row r="3288" spans="1:16" x14ac:dyDescent="0.25">
      <c r="A3288" t="s">
        <v>25715</v>
      </c>
      <c r="B3288" t="s">
        <v>4334</v>
      </c>
      <c r="C3288" t="s">
        <v>4333</v>
      </c>
      <c r="D3288" t="s">
        <v>434</v>
      </c>
      <c r="E3288" t="s">
        <v>435</v>
      </c>
      <c r="F3288" t="s">
        <v>0</v>
      </c>
      <c r="G3288" t="s">
        <v>16233</v>
      </c>
      <c r="H3288" t="s">
        <v>47153</v>
      </c>
      <c r="I3288" t="s">
        <v>47132</v>
      </c>
      <c r="J3288" t="s">
        <v>47133</v>
      </c>
      <c r="K3288" t="s">
        <v>47113</v>
      </c>
      <c r="L3288">
        <v>39.06</v>
      </c>
      <c r="M3288">
        <v>73</v>
      </c>
      <c r="N3288">
        <v>0</v>
      </c>
      <c r="O3288">
        <v>73</v>
      </c>
      <c r="P3288">
        <v>0</v>
      </c>
    </row>
    <row r="3289" spans="1:16" x14ac:dyDescent="0.25">
      <c r="A3289" t="s">
        <v>25716</v>
      </c>
      <c r="B3289" t="s">
        <v>4334</v>
      </c>
      <c r="C3289" t="s">
        <v>4333</v>
      </c>
      <c r="D3289" t="s">
        <v>418</v>
      </c>
      <c r="E3289" t="s">
        <v>419</v>
      </c>
      <c r="F3289" t="s">
        <v>0</v>
      </c>
      <c r="G3289" t="s">
        <v>16233</v>
      </c>
      <c r="H3289" t="s">
        <v>47153</v>
      </c>
      <c r="I3289" t="s">
        <v>47132</v>
      </c>
      <c r="J3289" t="s">
        <v>47133</v>
      </c>
      <c r="K3289" t="s">
        <v>47113</v>
      </c>
      <c r="L3289">
        <v>39.06</v>
      </c>
      <c r="M3289">
        <v>73</v>
      </c>
      <c r="N3289">
        <v>0</v>
      </c>
      <c r="O3289">
        <v>73</v>
      </c>
      <c r="P3289">
        <v>0</v>
      </c>
    </row>
    <row r="3290" spans="1:16" x14ac:dyDescent="0.25">
      <c r="A3290" t="s">
        <v>25717</v>
      </c>
      <c r="B3290" t="s">
        <v>4339</v>
      </c>
      <c r="C3290" t="s">
        <v>4340</v>
      </c>
      <c r="D3290" t="s">
        <v>4303</v>
      </c>
      <c r="E3290" t="s">
        <v>4304</v>
      </c>
      <c r="F3290" t="s">
        <v>0</v>
      </c>
      <c r="G3290" t="s">
        <v>16222</v>
      </c>
      <c r="H3290" t="s">
        <v>47153</v>
      </c>
      <c r="I3290" t="s">
        <v>47132</v>
      </c>
      <c r="J3290" t="s">
        <v>47133</v>
      </c>
      <c r="K3290" t="s">
        <v>47113</v>
      </c>
      <c r="L3290">
        <v>34.909999999999997</v>
      </c>
      <c r="M3290">
        <v>46</v>
      </c>
      <c r="N3290">
        <v>0</v>
      </c>
      <c r="O3290">
        <v>46</v>
      </c>
      <c r="P3290">
        <v>0</v>
      </c>
    </row>
    <row r="3291" spans="1:16" x14ac:dyDescent="0.25">
      <c r="A3291" t="s">
        <v>25718</v>
      </c>
      <c r="B3291" t="s">
        <v>4339</v>
      </c>
      <c r="C3291" t="s">
        <v>4340</v>
      </c>
      <c r="D3291" t="s">
        <v>4059</v>
      </c>
      <c r="E3291" t="s">
        <v>4060</v>
      </c>
      <c r="F3291" t="s">
        <v>0</v>
      </c>
      <c r="G3291" t="s">
        <v>16222</v>
      </c>
      <c r="H3291" t="s">
        <v>47153</v>
      </c>
      <c r="I3291" t="s">
        <v>47132</v>
      </c>
      <c r="J3291" t="s">
        <v>47133</v>
      </c>
      <c r="K3291" t="s">
        <v>47113</v>
      </c>
      <c r="L3291">
        <v>34.909999999999997</v>
      </c>
      <c r="M3291">
        <v>46</v>
      </c>
      <c r="N3291">
        <v>0</v>
      </c>
      <c r="O3291">
        <v>46</v>
      </c>
      <c r="P3291">
        <v>0</v>
      </c>
    </row>
    <row r="3292" spans="1:16" x14ac:dyDescent="0.25">
      <c r="A3292" t="s">
        <v>25719</v>
      </c>
      <c r="B3292" t="s">
        <v>4339</v>
      </c>
      <c r="C3292" t="s">
        <v>4340</v>
      </c>
      <c r="D3292" t="s">
        <v>4305</v>
      </c>
      <c r="E3292" t="s">
        <v>4306</v>
      </c>
      <c r="F3292" t="s">
        <v>0</v>
      </c>
      <c r="G3292" t="s">
        <v>16222</v>
      </c>
      <c r="H3292" t="s">
        <v>47153</v>
      </c>
      <c r="I3292" t="s">
        <v>47132</v>
      </c>
      <c r="J3292" t="s">
        <v>47133</v>
      </c>
      <c r="K3292" t="s">
        <v>47113</v>
      </c>
      <c r="L3292">
        <v>34.909999999999997</v>
      </c>
      <c r="M3292">
        <v>46</v>
      </c>
      <c r="N3292">
        <v>0</v>
      </c>
      <c r="O3292">
        <v>46</v>
      </c>
      <c r="P3292">
        <v>0</v>
      </c>
    </row>
    <row r="3293" spans="1:16" x14ac:dyDescent="0.25">
      <c r="A3293" t="s">
        <v>25720</v>
      </c>
      <c r="B3293" t="s">
        <v>4339</v>
      </c>
      <c r="C3293" t="s">
        <v>4340</v>
      </c>
      <c r="D3293" t="s">
        <v>406</v>
      </c>
      <c r="E3293" t="s">
        <v>407</v>
      </c>
      <c r="F3293" t="s">
        <v>0</v>
      </c>
      <c r="G3293" t="s">
        <v>16222</v>
      </c>
      <c r="H3293" t="s">
        <v>47153</v>
      </c>
      <c r="I3293" t="s">
        <v>47132</v>
      </c>
      <c r="J3293" t="s">
        <v>47133</v>
      </c>
      <c r="K3293" t="s">
        <v>47113</v>
      </c>
      <c r="L3293">
        <v>34.909999999999997</v>
      </c>
      <c r="M3293">
        <v>46</v>
      </c>
      <c r="N3293">
        <v>0</v>
      </c>
      <c r="O3293">
        <v>46</v>
      </c>
      <c r="P3293">
        <v>0</v>
      </c>
    </row>
    <row r="3294" spans="1:16" x14ac:dyDescent="0.25">
      <c r="A3294" t="s">
        <v>25721</v>
      </c>
      <c r="B3294" t="s">
        <v>4339</v>
      </c>
      <c r="C3294" t="s">
        <v>4340</v>
      </c>
      <c r="D3294" t="s">
        <v>4307</v>
      </c>
      <c r="E3294" t="s">
        <v>4308</v>
      </c>
      <c r="F3294" t="s">
        <v>0</v>
      </c>
      <c r="G3294" t="s">
        <v>16222</v>
      </c>
      <c r="H3294" t="s">
        <v>47153</v>
      </c>
      <c r="I3294" t="s">
        <v>47132</v>
      </c>
      <c r="J3294" t="s">
        <v>47133</v>
      </c>
      <c r="K3294" t="s">
        <v>47113</v>
      </c>
      <c r="L3294">
        <v>34.909999999999997</v>
      </c>
      <c r="M3294">
        <v>46</v>
      </c>
      <c r="N3294">
        <v>0</v>
      </c>
      <c r="O3294">
        <v>46</v>
      </c>
      <c r="P3294">
        <v>0</v>
      </c>
    </row>
    <row r="3295" spans="1:16" x14ac:dyDescent="0.25">
      <c r="A3295" t="s">
        <v>14919</v>
      </c>
      <c r="B3295" t="s">
        <v>4341</v>
      </c>
      <c r="C3295" t="s">
        <v>4340</v>
      </c>
      <c r="D3295" t="s">
        <v>4303</v>
      </c>
      <c r="E3295" t="s">
        <v>4304</v>
      </c>
      <c r="F3295" t="s">
        <v>0</v>
      </c>
      <c r="G3295" t="s">
        <v>16222</v>
      </c>
      <c r="H3295" t="s">
        <v>47153</v>
      </c>
      <c r="I3295" t="s">
        <v>47132</v>
      </c>
      <c r="J3295" t="s">
        <v>47133</v>
      </c>
      <c r="K3295" t="s">
        <v>47113</v>
      </c>
      <c r="L3295">
        <v>27.23</v>
      </c>
      <c r="M3295">
        <v>46</v>
      </c>
      <c r="N3295">
        <v>0</v>
      </c>
      <c r="O3295">
        <v>46</v>
      </c>
      <c r="P3295">
        <v>0</v>
      </c>
    </row>
    <row r="3296" spans="1:16" x14ac:dyDescent="0.25">
      <c r="A3296" t="s">
        <v>14920</v>
      </c>
      <c r="B3296" t="s">
        <v>4341</v>
      </c>
      <c r="C3296" t="s">
        <v>4340</v>
      </c>
      <c r="D3296" t="s">
        <v>4059</v>
      </c>
      <c r="E3296" t="s">
        <v>4060</v>
      </c>
      <c r="F3296" t="s">
        <v>0</v>
      </c>
      <c r="G3296" t="s">
        <v>16222</v>
      </c>
      <c r="H3296" t="s">
        <v>47153</v>
      </c>
      <c r="I3296" t="s">
        <v>47132</v>
      </c>
      <c r="J3296" t="s">
        <v>47133</v>
      </c>
      <c r="K3296" t="s">
        <v>47113</v>
      </c>
      <c r="L3296">
        <v>27.23</v>
      </c>
      <c r="M3296">
        <v>46</v>
      </c>
      <c r="N3296">
        <v>0</v>
      </c>
      <c r="O3296">
        <v>46</v>
      </c>
      <c r="P3296">
        <v>0</v>
      </c>
    </row>
    <row r="3297" spans="1:16" x14ac:dyDescent="0.25">
      <c r="A3297" t="s">
        <v>25722</v>
      </c>
      <c r="B3297" t="s">
        <v>4341</v>
      </c>
      <c r="C3297" t="s">
        <v>4340</v>
      </c>
      <c r="D3297" t="s">
        <v>4305</v>
      </c>
      <c r="E3297" t="s">
        <v>4306</v>
      </c>
      <c r="F3297" t="s">
        <v>0</v>
      </c>
      <c r="G3297" t="s">
        <v>16222</v>
      </c>
      <c r="H3297" t="s">
        <v>47153</v>
      </c>
      <c r="I3297" t="s">
        <v>47132</v>
      </c>
      <c r="J3297" t="s">
        <v>47133</v>
      </c>
      <c r="K3297" t="s">
        <v>47113</v>
      </c>
      <c r="L3297">
        <v>27.23</v>
      </c>
      <c r="M3297">
        <v>46</v>
      </c>
      <c r="N3297">
        <v>0</v>
      </c>
      <c r="O3297">
        <v>46</v>
      </c>
      <c r="P3297">
        <v>0</v>
      </c>
    </row>
    <row r="3298" spans="1:16" x14ac:dyDescent="0.25">
      <c r="A3298" t="s">
        <v>25723</v>
      </c>
      <c r="B3298" t="s">
        <v>4341</v>
      </c>
      <c r="C3298" t="s">
        <v>4340</v>
      </c>
      <c r="D3298" t="s">
        <v>406</v>
      </c>
      <c r="E3298" t="s">
        <v>407</v>
      </c>
      <c r="F3298" t="s">
        <v>0</v>
      </c>
      <c r="G3298" t="s">
        <v>16222</v>
      </c>
      <c r="H3298" t="s">
        <v>47153</v>
      </c>
      <c r="I3298" t="s">
        <v>47132</v>
      </c>
      <c r="J3298" t="s">
        <v>47133</v>
      </c>
      <c r="K3298" t="s">
        <v>47113</v>
      </c>
      <c r="L3298">
        <v>27.23</v>
      </c>
      <c r="M3298">
        <v>46</v>
      </c>
      <c r="N3298">
        <v>0</v>
      </c>
      <c r="O3298">
        <v>46</v>
      </c>
      <c r="P3298">
        <v>0</v>
      </c>
    </row>
    <row r="3299" spans="1:16" x14ac:dyDescent="0.25">
      <c r="A3299" t="s">
        <v>25724</v>
      </c>
      <c r="B3299" t="s">
        <v>4341</v>
      </c>
      <c r="C3299" t="s">
        <v>4340</v>
      </c>
      <c r="D3299" t="s">
        <v>4307</v>
      </c>
      <c r="E3299" t="s">
        <v>4308</v>
      </c>
      <c r="F3299" t="s">
        <v>0</v>
      </c>
      <c r="G3299" t="s">
        <v>16222</v>
      </c>
      <c r="H3299" t="s">
        <v>47153</v>
      </c>
      <c r="I3299" t="s">
        <v>47132</v>
      </c>
      <c r="J3299" t="s">
        <v>47133</v>
      </c>
      <c r="K3299" t="s">
        <v>47113</v>
      </c>
      <c r="L3299">
        <v>27.23</v>
      </c>
      <c r="M3299">
        <v>46</v>
      </c>
      <c r="N3299">
        <v>0</v>
      </c>
      <c r="O3299">
        <v>46</v>
      </c>
      <c r="P3299">
        <v>0</v>
      </c>
    </row>
    <row r="3300" spans="1:16" x14ac:dyDescent="0.25">
      <c r="A3300" t="s">
        <v>25725</v>
      </c>
      <c r="B3300" t="s">
        <v>4342</v>
      </c>
      <c r="C3300" t="s">
        <v>4343</v>
      </c>
      <c r="D3300" t="s">
        <v>335</v>
      </c>
      <c r="E3300" t="s">
        <v>336</v>
      </c>
      <c r="F3300" t="s">
        <v>0</v>
      </c>
      <c r="G3300" t="s">
        <v>16224</v>
      </c>
      <c r="H3300" t="s">
        <v>47153</v>
      </c>
      <c r="I3300" t="s">
        <v>47132</v>
      </c>
      <c r="J3300" t="s">
        <v>47133</v>
      </c>
      <c r="K3300" t="s">
        <v>47113</v>
      </c>
      <c r="L3300">
        <v>56.81</v>
      </c>
      <c r="M3300">
        <v>99</v>
      </c>
      <c r="N3300">
        <v>0</v>
      </c>
      <c r="O3300">
        <v>99</v>
      </c>
      <c r="P3300">
        <v>0</v>
      </c>
    </row>
    <row r="3301" spans="1:16" x14ac:dyDescent="0.25">
      <c r="A3301" t="s">
        <v>25726</v>
      </c>
      <c r="B3301" t="s">
        <v>4344</v>
      </c>
      <c r="C3301" t="s">
        <v>4345</v>
      </c>
      <c r="D3301" t="str">
        <f>"1001"</f>
        <v>1001</v>
      </c>
      <c r="E3301" t="s">
        <v>42</v>
      </c>
      <c r="F3301" t="s">
        <v>0</v>
      </c>
      <c r="G3301" t="s">
        <v>16224</v>
      </c>
      <c r="H3301" t="s">
        <v>47126</v>
      </c>
      <c r="I3301" t="s">
        <v>47178</v>
      </c>
      <c r="J3301" t="s">
        <v>47179</v>
      </c>
      <c r="K3301" t="s">
        <v>47113</v>
      </c>
      <c r="L3301">
        <v>47.05</v>
      </c>
      <c r="M3301">
        <v>115</v>
      </c>
      <c r="N3301">
        <v>0</v>
      </c>
      <c r="O3301">
        <v>115</v>
      </c>
      <c r="P3301">
        <v>0</v>
      </c>
    </row>
    <row r="3302" spans="1:16" x14ac:dyDescent="0.25">
      <c r="A3302" t="s">
        <v>25727</v>
      </c>
      <c r="B3302" t="s">
        <v>4344</v>
      </c>
      <c r="C3302" t="s">
        <v>4345</v>
      </c>
      <c r="D3302" t="str">
        <f>"3106"</f>
        <v>3106</v>
      </c>
      <c r="E3302" t="s">
        <v>230</v>
      </c>
      <c r="F3302" t="s">
        <v>0</v>
      </c>
      <c r="G3302" t="s">
        <v>16224</v>
      </c>
      <c r="H3302" t="s">
        <v>47126</v>
      </c>
      <c r="I3302" t="s">
        <v>47178</v>
      </c>
      <c r="J3302" t="s">
        <v>47179</v>
      </c>
      <c r="K3302" t="s">
        <v>47113</v>
      </c>
      <c r="L3302">
        <v>47.05</v>
      </c>
      <c r="M3302">
        <v>115</v>
      </c>
      <c r="N3302">
        <v>0</v>
      </c>
      <c r="O3302">
        <v>115</v>
      </c>
      <c r="P3302">
        <v>0</v>
      </c>
    </row>
    <row r="3303" spans="1:16" x14ac:dyDescent="0.25">
      <c r="A3303" t="s">
        <v>25728</v>
      </c>
      <c r="B3303" t="s">
        <v>4344</v>
      </c>
      <c r="C3303" t="s">
        <v>4345</v>
      </c>
      <c r="D3303" t="str">
        <f>"6000"</f>
        <v>6000</v>
      </c>
      <c r="E3303" t="s">
        <v>238</v>
      </c>
      <c r="F3303" t="s">
        <v>0</v>
      </c>
      <c r="G3303" t="s">
        <v>16224</v>
      </c>
      <c r="H3303" t="s">
        <v>47126</v>
      </c>
      <c r="I3303" t="s">
        <v>47178</v>
      </c>
      <c r="J3303" t="s">
        <v>47179</v>
      </c>
      <c r="K3303" t="s">
        <v>47113</v>
      </c>
      <c r="L3303">
        <v>47.05</v>
      </c>
      <c r="M3303">
        <v>115</v>
      </c>
      <c r="N3303">
        <v>0</v>
      </c>
      <c r="O3303">
        <v>115</v>
      </c>
      <c r="P3303">
        <v>0</v>
      </c>
    </row>
    <row r="3304" spans="1:16" x14ac:dyDescent="0.25">
      <c r="A3304" t="s">
        <v>25729</v>
      </c>
      <c r="B3304" t="s">
        <v>4346</v>
      </c>
      <c r="C3304" t="s">
        <v>4345</v>
      </c>
      <c r="D3304" t="str">
        <f>"1001"</f>
        <v>1001</v>
      </c>
      <c r="E3304" t="s">
        <v>42</v>
      </c>
      <c r="F3304" t="s">
        <v>0</v>
      </c>
      <c r="G3304" t="s">
        <v>16224</v>
      </c>
      <c r="H3304" t="s">
        <v>47126</v>
      </c>
      <c r="I3304" t="s">
        <v>47178</v>
      </c>
      <c r="J3304" t="s">
        <v>47179</v>
      </c>
      <c r="K3304" t="s">
        <v>47113</v>
      </c>
      <c r="L3304">
        <v>45.2</v>
      </c>
      <c r="M3304">
        <v>110</v>
      </c>
      <c r="N3304">
        <v>0</v>
      </c>
      <c r="O3304">
        <v>110</v>
      </c>
      <c r="P3304">
        <v>0</v>
      </c>
    </row>
    <row r="3305" spans="1:16" x14ac:dyDescent="0.25">
      <c r="A3305" t="s">
        <v>25730</v>
      </c>
      <c r="B3305" t="s">
        <v>4347</v>
      </c>
      <c r="C3305" t="s">
        <v>4348</v>
      </c>
      <c r="D3305" t="s">
        <v>4349</v>
      </c>
      <c r="E3305" t="s">
        <v>4350</v>
      </c>
      <c r="F3305" t="s">
        <v>0</v>
      </c>
      <c r="G3305" t="s">
        <v>16224</v>
      </c>
      <c r="H3305" t="s">
        <v>47153</v>
      </c>
      <c r="I3305" t="s">
        <v>47132</v>
      </c>
      <c r="J3305" t="s">
        <v>47133</v>
      </c>
      <c r="K3305" t="s">
        <v>47113</v>
      </c>
      <c r="L3305">
        <v>260.41000000000003</v>
      </c>
      <c r="M3305">
        <v>350</v>
      </c>
      <c r="N3305">
        <v>0</v>
      </c>
      <c r="O3305">
        <v>350</v>
      </c>
      <c r="P3305">
        <v>0</v>
      </c>
    </row>
    <row r="3306" spans="1:16" x14ac:dyDescent="0.25">
      <c r="A3306" t="s">
        <v>25731</v>
      </c>
      <c r="B3306" t="s">
        <v>4351</v>
      </c>
      <c r="C3306" t="s">
        <v>4352</v>
      </c>
      <c r="D3306" t="s">
        <v>4353</v>
      </c>
      <c r="E3306" t="s">
        <v>4354</v>
      </c>
      <c r="F3306" t="s">
        <v>0</v>
      </c>
      <c r="G3306" t="s">
        <v>16224</v>
      </c>
      <c r="H3306" t="s">
        <v>47153</v>
      </c>
      <c r="I3306" t="s">
        <v>47132</v>
      </c>
      <c r="J3306" t="s">
        <v>47133</v>
      </c>
      <c r="K3306" t="s">
        <v>47113</v>
      </c>
      <c r="L3306">
        <v>260.41000000000003</v>
      </c>
      <c r="M3306">
        <v>350</v>
      </c>
      <c r="N3306">
        <v>0</v>
      </c>
      <c r="O3306">
        <v>350</v>
      </c>
      <c r="P3306">
        <v>0</v>
      </c>
    </row>
    <row r="3307" spans="1:16" x14ac:dyDescent="0.25">
      <c r="A3307" t="s">
        <v>25732</v>
      </c>
      <c r="B3307" t="s">
        <v>4355</v>
      </c>
      <c r="C3307" t="s">
        <v>4356</v>
      </c>
      <c r="D3307" t="str">
        <f>"1001"</f>
        <v>1001</v>
      </c>
      <c r="E3307" t="s">
        <v>42</v>
      </c>
      <c r="F3307" t="s">
        <v>0</v>
      </c>
      <c r="G3307" t="s">
        <v>16224</v>
      </c>
      <c r="H3307" t="s">
        <v>47126</v>
      </c>
      <c r="I3307" t="s">
        <v>47178</v>
      </c>
      <c r="J3307" t="s">
        <v>47179</v>
      </c>
      <c r="K3307" t="s">
        <v>47113</v>
      </c>
      <c r="L3307">
        <v>175.07</v>
      </c>
      <c r="M3307">
        <v>496</v>
      </c>
      <c r="N3307">
        <v>0</v>
      </c>
      <c r="O3307">
        <v>496</v>
      </c>
      <c r="P3307">
        <v>0</v>
      </c>
    </row>
    <row r="3308" spans="1:16" x14ac:dyDescent="0.25">
      <c r="A3308" t="s">
        <v>25733</v>
      </c>
      <c r="B3308" t="s">
        <v>4357</v>
      </c>
      <c r="C3308" t="s">
        <v>4358</v>
      </c>
      <c r="D3308" t="str">
        <f>"1004"</f>
        <v>1004</v>
      </c>
      <c r="E3308" t="s">
        <v>200</v>
      </c>
      <c r="F3308" t="s">
        <v>0</v>
      </c>
      <c r="G3308" t="s">
        <v>16224</v>
      </c>
      <c r="H3308" t="s">
        <v>47126</v>
      </c>
      <c r="I3308" t="s">
        <v>47139</v>
      </c>
      <c r="J3308" t="s">
        <v>47140</v>
      </c>
      <c r="K3308" t="s">
        <v>47113</v>
      </c>
      <c r="L3308">
        <v>171.36</v>
      </c>
      <c r="M3308">
        <v>374</v>
      </c>
      <c r="N3308">
        <v>0</v>
      </c>
      <c r="O3308">
        <v>374</v>
      </c>
      <c r="P3308">
        <v>0</v>
      </c>
    </row>
    <row r="3309" spans="1:16" x14ac:dyDescent="0.25">
      <c r="A3309" t="s">
        <v>25734</v>
      </c>
      <c r="B3309" t="s">
        <v>4357</v>
      </c>
      <c r="C3309" t="s">
        <v>4358</v>
      </c>
      <c r="D3309" t="str">
        <f>"4000"</f>
        <v>4000</v>
      </c>
      <c r="E3309" t="s">
        <v>190</v>
      </c>
      <c r="F3309" t="s">
        <v>0</v>
      </c>
      <c r="G3309" t="s">
        <v>16224</v>
      </c>
      <c r="H3309" t="s">
        <v>47126</v>
      </c>
      <c r="I3309" t="s">
        <v>47139</v>
      </c>
      <c r="J3309" t="s">
        <v>47140</v>
      </c>
      <c r="K3309" t="s">
        <v>47113</v>
      </c>
      <c r="L3309">
        <v>171.36</v>
      </c>
      <c r="M3309">
        <v>374</v>
      </c>
      <c r="N3309">
        <v>0</v>
      </c>
      <c r="O3309">
        <v>374</v>
      </c>
      <c r="P3309">
        <v>0</v>
      </c>
    </row>
    <row r="3310" spans="1:16" x14ac:dyDescent="0.25">
      <c r="A3310" t="s">
        <v>25735</v>
      </c>
      <c r="B3310" t="s">
        <v>4357</v>
      </c>
      <c r="C3310" t="s">
        <v>4358</v>
      </c>
      <c r="D3310" t="str">
        <f>"6000"</f>
        <v>6000</v>
      </c>
      <c r="E3310" t="s">
        <v>4296</v>
      </c>
      <c r="F3310" t="s">
        <v>0</v>
      </c>
      <c r="G3310" t="s">
        <v>16224</v>
      </c>
      <c r="H3310" t="s">
        <v>47126</v>
      </c>
      <c r="I3310" t="s">
        <v>47139</v>
      </c>
      <c r="J3310" t="s">
        <v>47140</v>
      </c>
      <c r="K3310" t="s">
        <v>47113</v>
      </c>
      <c r="L3310">
        <v>171.36</v>
      </c>
      <c r="M3310">
        <v>374</v>
      </c>
      <c r="N3310">
        <v>0</v>
      </c>
      <c r="O3310">
        <v>374</v>
      </c>
      <c r="P3310">
        <v>0</v>
      </c>
    </row>
    <row r="3311" spans="1:16" x14ac:dyDescent="0.25">
      <c r="A3311" t="s">
        <v>25736</v>
      </c>
      <c r="B3311" t="s">
        <v>4359</v>
      </c>
      <c r="C3311" t="s">
        <v>4360</v>
      </c>
      <c r="D3311" t="str">
        <f>"1004"</f>
        <v>1004</v>
      </c>
      <c r="E3311" t="s">
        <v>200</v>
      </c>
      <c r="F3311" t="s">
        <v>0</v>
      </c>
      <c r="G3311" t="s">
        <v>16224</v>
      </c>
      <c r="H3311" t="s">
        <v>47126</v>
      </c>
      <c r="I3311" t="s">
        <v>47120</v>
      </c>
      <c r="J3311" t="s">
        <v>47121</v>
      </c>
      <c r="K3311" t="s">
        <v>47113</v>
      </c>
      <c r="L3311">
        <v>192.21</v>
      </c>
      <c r="M3311">
        <v>374</v>
      </c>
      <c r="N3311">
        <v>0</v>
      </c>
      <c r="O3311">
        <v>374</v>
      </c>
      <c r="P3311">
        <v>0</v>
      </c>
    </row>
    <row r="3312" spans="1:16" x14ac:dyDescent="0.25">
      <c r="A3312" t="s">
        <v>25737</v>
      </c>
      <c r="B3312" t="s">
        <v>4359</v>
      </c>
      <c r="C3312" t="s">
        <v>4360</v>
      </c>
      <c r="D3312" t="str">
        <f>"4000"</f>
        <v>4000</v>
      </c>
      <c r="E3312" t="s">
        <v>190</v>
      </c>
      <c r="F3312" t="s">
        <v>0</v>
      </c>
      <c r="G3312" t="s">
        <v>16224</v>
      </c>
      <c r="H3312" t="s">
        <v>47126</v>
      </c>
      <c r="I3312" t="s">
        <v>47120</v>
      </c>
      <c r="J3312" t="s">
        <v>47121</v>
      </c>
      <c r="K3312" t="s">
        <v>47113</v>
      </c>
      <c r="L3312">
        <v>192.21</v>
      </c>
      <c r="M3312">
        <v>374</v>
      </c>
      <c r="N3312">
        <v>0</v>
      </c>
      <c r="O3312">
        <v>374</v>
      </c>
      <c r="P3312">
        <v>0</v>
      </c>
    </row>
    <row r="3313" spans="1:16" x14ac:dyDescent="0.25">
      <c r="A3313" t="s">
        <v>25738</v>
      </c>
      <c r="B3313" t="s">
        <v>4361</v>
      </c>
      <c r="C3313" t="s">
        <v>4362</v>
      </c>
      <c r="D3313" t="str">
        <f>"1001"</f>
        <v>1001</v>
      </c>
      <c r="E3313" t="s">
        <v>42</v>
      </c>
      <c r="F3313" t="s">
        <v>0</v>
      </c>
      <c r="G3313" t="s">
        <v>16224</v>
      </c>
      <c r="H3313" t="s">
        <v>47126</v>
      </c>
      <c r="I3313" t="s">
        <v>47139</v>
      </c>
      <c r="J3313" t="s">
        <v>47140</v>
      </c>
      <c r="K3313" t="s">
        <v>47113</v>
      </c>
      <c r="L3313">
        <v>134.31</v>
      </c>
      <c r="M3313">
        <v>293</v>
      </c>
      <c r="N3313">
        <v>0</v>
      </c>
      <c r="O3313">
        <v>293</v>
      </c>
      <c r="P3313">
        <v>0</v>
      </c>
    </row>
    <row r="3314" spans="1:16" x14ac:dyDescent="0.25">
      <c r="A3314" t="s">
        <v>25739</v>
      </c>
      <c r="B3314" t="s">
        <v>4361</v>
      </c>
      <c r="C3314" t="s">
        <v>4362</v>
      </c>
      <c r="D3314" t="str">
        <f>"2500"</f>
        <v>2500</v>
      </c>
      <c r="E3314" t="s">
        <v>1747</v>
      </c>
      <c r="F3314" t="s">
        <v>0</v>
      </c>
      <c r="G3314" t="s">
        <v>16224</v>
      </c>
      <c r="H3314" t="s">
        <v>47126</v>
      </c>
      <c r="I3314" t="s">
        <v>47139</v>
      </c>
      <c r="J3314" t="s">
        <v>47140</v>
      </c>
      <c r="K3314" t="s">
        <v>47113</v>
      </c>
      <c r="L3314">
        <v>134.31</v>
      </c>
      <c r="M3314">
        <v>293</v>
      </c>
      <c r="N3314">
        <v>0</v>
      </c>
      <c r="O3314">
        <v>293</v>
      </c>
      <c r="P3314">
        <v>0</v>
      </c>
    </row>
    <row r="3315" spans="1:16" x14ac:dyDescent="0.25">
      <c r="A3315" t="s">
        <v>25740</v>
      </c>
      <c r="B3315" t="s">
        <v>4361</v>
      </c>
      <c r="C3315" t="s">
        <v>4362</v>
      </c>
      <c r="D3315" t="str">
        <f>"6000"</f>
        <v>6000</v>
      </c>
      <c r="E3315" t="s">
        <v>4296</v>
      </c>
      <c r="F3315" t="s">
        <v>0</v>
      </c>
      <c r="G3315" t="s">
        <v>16224</v>
      </c>
      <c r="H3315" t="s">
        <v>47126</v>
      </c>
      <c r="I3315" t="s">
        <v>47139</v>
      </c>
      <c r="J3315" t="s">
        <v>47140</v>
      </c>
      <c r="K3315" t="s">
        <v>47113</v>
      </c>
      <c r="L3315">
        <v>134.31</v>
      </c>
      <c r="M3315">
        <v>293</v>
      </c>
      <c r="N3315">
        <v>0</v>
      </c>
      <c r="O3315">
        <v>293</v>
      </c>
      <c r="P3315">
        <v>0</v>
      </c>
    </row>
    <row r="3316" spans="1:16" x14ac:dyDescent="0.25">
      <c r="A3316" t="s">
        <v>25741</v>
      </c>
      <c r="B3316" t="s">
        <v>4363</v>
      </c>
      <c r="C3316" t="s">
        <v>4364</v>
      </c>
      <c r="D3316" t="str">
        <f>"1001"</f>
        <v>1001</v>
      </c>
      <c r="E3316" t="s">
        <v>42</v>
      </c>
      <c r="F3316" t="s">
        <v>0</v>
      </c>
      <c r="G3316" t="s">
        <v>16224</v>
      </c>
      <c r="H3316" t="s">
        <v>47126</v>
      </c>
      <c r="I3316" t="s">
        <v>47139</v>
      </c>
      <c r="J3316" t="s">
        <v>47140</v>
      </c>
      <c r="K3316" t="s">
        <v>47113</v>
      </c>
      <c r="L3316">
        <v>165.8</v>
      </c>
      <c r="M3316">
        <v>362</v>
      </c>
      <c r="N3316">
        <v>0</v>
      </c>
      <c r="O3316">
        <v>362</v>
      </c>
      <c r="P3316">
        <v>0</v>
      </c>
    </row>
    <row r="3317" spans="1:16" x14ac:dyDescent="0.25">
      <c r="A3317" t="s">
        <v>25742</v>
      </c>
      <c r="B3317" t="s">
        <v>4365</v>
      </c>
      <c r="C3317" t="s">
        <v>4366</v>
      </c>
      <c r="D3317" t="str">
        <f>"1001"</f>
        <v>1001</v>
      </c>
      <c r="E3317" t="s">
        <v>42</v>
      </c>
      <c r="F3317" t="s">
        <v>0</v>
      </c>
      <c r="G3317" t="s">
        <v>16224</v>
      </c>
      <c r="H3317" t="s">
        <v>47126</v>
      </c>
      <c r="I3317" t="s">
        <v>47120</v>
      </c>
      <c r="J3317" t="s">
        <v>47121</v>
      </c>
      <c r="K3317" t="s">
        <v>47113</v>
      </c>
      <c r="L3317">
        <v>185.98</v>
      </c>
      <c r="M3317">
        <v>362</v>
      </c>
      <c r="N3317">
        <v>0</v>
      </c>
      <c r="O3317">
        <v>362</v>
      </c>
      <c r="P3317">
        <v>0</v>
      </c>
    </row>
    <row r="3318" spans="1:16" x14ac:dyDescent="0.25">
      <c r="A3318" t="s">
        <v>25743</v>
      </c>
      <c r="B3318" t="s">
        <v>4367</v>
      </c>
      <c r="C3318" t="s">
        <v>4368</v>
      </c>
      <c r="D3318" t="str">
        <f>"4765"</f>
        <v>4765</v>
      </c>
      <c r="E3318" t="s">
        <v>4369</v>
      </c>
      <c r="F3318" t="s">
        <v>0</v>
      </c>
      <c r="G3318" t="s">
        <v>16224</v>
      </c>
      <c r="H3318" t="s">
        <v>47126</v>
      </c>
      <c r="I3318" t="s">
        <v>47120</v>
      </c>
      <c r="J3318" t="s">
        <v>47121</v>
      </c>
      <c r="K3318" t="s">
        <v>47113</v>
      </c>
      <c r="L3318">
        <v>154.81</v>
      </c>
      <c r="M3318">
        <v>301</v>
      </c>
      <c r="N3318">
        <v>0</v>
      </c>
      <c r="O3318">
        <v>301</v>
      </c>
      <c r="P3318">
        <v>0</v>
      </c>
    </row>
    <row r="3319" spans="1:16" x14ac:dyDescent="0.25">
      <c r="A3319" t="s">
        <v>25744</v>
      </c>
      <c r="B3319" t="s">
        <v>4370</v>
      </c>
      <c r="C3319" t="s">
        <v>4371</v>
      </c>
      <c r="D3319" t="str">
        <f>"1377"</f>
        <v>1377</v>
      </c>
      <c r="E3319" t="s">
        <v>74</v>
      </c>
      <c r="F3319" t="s">
        <v>0</v>
      </c>
      <c r="G3319" t="s">
        <v>16232</v>
      </c>
      <c r="H3319" t="s">
        <v>47126</v>
      </c>
      <c r="I3319" t="s">
        <v>47127</v>
      </c>
      <c r="J3319" t="s">
        <v>47128</v>
      </c>
      <c r="K3319" t="s">
        <v>47113</v>
      </c>
      <c r="L3319">
        <v>15.93</v>
      </c>
      <c r="M3319">
        <v>33</v>
      </c>
      <c r="N3319">
        <v>0</v>
      </c>
      <c r="O3319">
        <v>33</v>
      </c>
      <c r="P3319">
        <v>0</v>
      </c>
    </row>
    <row r="3320" spans="1:16" x14ac:dyDescent="0.25">
      <c r="A3320" t="s">
        <v>25745</v>
      </c>
      <c r="B3320" t="s">
        <v>4370</v>
      </c>
      <c r="C3320" t="s">
        <v>4371</v>
      </c>
      <c r="D3320" t="str">
        <f>"1378"</f>
        <v>1378</v>
      </c>
      <c r="E3320" t="s">
        <v>388</v>
      </c>
      <c r="F3320" t="s">
        <v>0</v>
      </c>
      <c r="G3320" t="s">
        <v>16232</v>
      </c>
      <c r="H3320" t="s">
        <v>47126</v>
      </c>
      <c r="I3320" t="s">
        <v>47127</v>
      </c>
      <c r="J3320" t="s">
        <v>47128</v>
      </c>
      <c r="K3320" t="s">
        <v>47113</v>
      </c>
      <c r="L3320">
        <v>15.93</v>
      </c>
      <c r="M3320">
        <v>33</v>
      </c>
      <c r="N3320">
        <v>0</v>
      </c>
      <c r="O3320">
        <v>33</v>
      </c>
      <c r="P3320">
        <v>0</v>
      </c>
    </row>
    <row r="3321" spans="1:16" x14ac:dyDescent="0.25">
      <c r="A3321" t="s">
        <v>25746</v>
      </c>
      <c r="B3321" t="s">
        <v>4370</v>
      </c>
      <c r="C3321" t="s">
        <v>4371</v>
      </c>
      <c r="D3321" t="str">
        <f>"1700"</f>
        <v>1700</v>
      </c>
      <c r="E3321" t="s">
        <v>60</v>
      </c>
      <c r="F3321" t="s">
        <v>0</v>
      </c>
      <c r="G3321" t="s">
        <v>16232</v>
      </c>
      <c r="H3321" t="s">
        <v>47126</v>
      </c>
      <c r="I3321" t="s">
        <v>47127</v>
      </c>
      <c r="J3321" t="s">
        <v>47128</v>
      </c>
      <c r="K3321" t="s">
        <v>47113</v>
      </c>
      <c r="L3321">
        <v>15.93</v>
      </c>
      <c r="M3321">
        <v>33</v>
      </c>
      <c r="N3321">
        <v>0</v>
      </c>
      <c r="O3321">
        <v>33</v>
      </c>
      <c r="P3321">
        <v>0</v>
      </c>
    </row>
    <row r="3322" spans="1:16" x14ac:dyDescent="0.25">
      <c r="A3322" t="s">
        <v>25747</v>
      </c>
      <c r="B3322" t="s">
        <v>4370</v>
      </c>
      <c r="C3322" t="s">
        <v>4371</v>
      </c>
      <c r="D3322" t="str">
        <f>"3000"</f>
        <v>3000</v>
      </c>
      <c r="E3322" t="s">
        <v>4319</v>
      </c>
      <c r="F3322" t="s">
        <v>0</v>
      </c>
      <c r="G3322" t="s">
        <v>16232</v>
      </c>
      <c r="H3322" t="s">
        <v>47126</v>
      </c>
      <c r="I3322" t="s">
        <v>47127</v>
      </c>
      <c r="J3322" t="s">
        <v>47128</v>
      </c>
      <c r="K3322" t="s">
        <v>47113</v>
      </c>
      <c r="L3322">
        <v>15.93</v>
      </c>
      <c r="M3322">
        <v>33</v>
      </c>
      <c r="N3322">
        <v>0</v>
      </c>
      <c r="O3322">
        <v>33</v>
      </c>
      <c r="P3322">
        <v>0</v>
      </c>
    </row>
    <row r="3323" spans="1:16" x14ac:dyDescent="0.25">
      <c r="A3323" t="s">
        <v>25748</v>
      </c>
      <c r="B3323" t="s">
        <v>4370</v>
      </c>
      <c r="C3323" t="s">
        <v>4371</v>
      </c>
      <c r="D3323" t="str">
        <f>"4000"</f>
        <v>4000</v>
      </c>
      <c r="E3323" t="s">
        <v>461</v>
      </c>
      <c r="F3323" t="s">
        <v>0</v>
      </c>
      <c r="G3323" t="s">
        <v>16232</v>
      </c>
      <c r="H3323" t="s">
        <v>47126</v>
      </c>
      <c r="I3323" t="s">
        <v>47127</v>
      </c>
      <c r="J3323" t="s">
        <v>47128</v>
      </c>
      <c r="K3323" t="s">
        <v>47113</v>
      </c>
      <c r="L3323">
        <v>15.93</v>
      </c>
      <c r="M3323">
        <v>33</v>
      </c>
      <c r="N3323">
        <v>0</v>
      </c>
      <c r="O3323">
        <v>33</v>
      </c>
      <c r="P3323">
        <v>0</v>
      </c>
    </row>
    <row r="3324" spans="1:16" x14ac:dyDescent="0.25">
      <c r="A3324" t="s">
        <v>25749</v>
      </c>
      <c r="B3324" t="s">
        <v>4370</v>
      </c>
      <c r="C3324" t="s">
        <v>4371</v>
      </c>
      <c r="D3324" t="str">
        <f>"4643"</f>
        <v>4643</v>
      </c>
      <c r="E3324" t="s">
        <v>205</v>
      </c>
      <c r="F3324" t="s">
        <v>0</v>
      </c>
      <c r="G3324" t="s">
        <v>16232</v>
      </c>
      <c r="H3324" t="s">
        <v>47126</v>
      </c>
      <c r="I3324" t="s">
        <v>47127</v>
      </c>
      <c r="J3324" t="s">
        <v>47128</v>
      </c>
      <c r="K3324" t="s">
        <v>47113</v>
      </c>
      <c r="L3324">
        <v>15.93</v>
      </c>
      <c r="M3324">
        <v>33</v>
      </c>
      <c r="N3324">
        <v>0</v>
      </c>
      <c r="O3324">
        <v>33</v>
      </c>
      <c r="P3324">
        <v>0</v>
      </c>
    </row>
    <row r="3325" spans="1:16" x14ac:dyDescent="0.25">
      <c r="A3325" t="s">
        <v>25750</v>
      </c>
      <c r="B3325" t="s">
        <v>4370</v>
      </c>
      <c r="C3325" t="s">
        <v>4371</v>
      </c>
      <c r="D3325" t="str">
        <f>"6064"</f>
        <v>6064</v>
      </c>
      <c r="E3325" t="s">
        <v>87</v>
      </c>
      <c r="F3325" t="s">
        <v>0</v>
      </c>
      <c r="G3325" t="s">
        <v>16232</v>
      </c>
      <c r="H3325" t="s">
        <v>47126</v>
      </c>
      <c r="I3325" t="s">
        <v>47127</v>
      </c>
      <c r="J3325" t="s">
        <v>47128</v>
      </c>
      <c r="K3325" t="s">
        <v>47113</v>
      </c>
      <c r="L3325">
        <v>15.93</v>
      </c>
      <c r="M3325">
        <v>33</v>
      </c>
      <c r="N3325">
        <v>0</v>
      </c>
      <c r="O3325">
        <v>33</v>
      </c>
      <c r="P3325">
        <v>0</v>
      </c>
    </row>
    <row r="3326" spans="1:16" x14ac:dyDescent="0.25">
      <c r="A3326" t="s">
        <v>25751</v>
      </c>
      <c r="B3326" t="s">
        <v>4372</v>
      </c>
      <c r="C3326" t="s">
        <v>4371</v>
      </c>
      <c r="D3326" t="str">
        <f>"1377"</f>
        <v>1377</v>
      </c>
      <c r="E3326" t="s">
        <v>74</v>
      </c>
      <c r="F3326" t="s">
        <v>0</v>
      </c>
      <c r="G3326" t="s">
        <v>16232</v>
      </c>
      <c r="H3326" t="s">
        <v>47126</v>
      </c>
      <c r="I3326" t="s">
        <v>47127</v>
      </c>
      <c r="J3326" t="s">
        <v>47128</v>
      </c>
      <c r="K3326" t="s">
        <v>47113</v>
      </c>
      <c r="L3326">
        <v>17.98</v>
      </c>
      <c r="M3326">
        <v>37</v>
      </c>
      <c r="N3326">
        <v>0</v>
      </c>
      <c r="O3326">
        <v>37</v>
      </c>
      <c r="P3326">
        <v>0</v>
      </c>
    </row>
    <row r="3327" spans="1:16" x14ac:dyDescent="0.25">
      <c r="A3327" t="s">
        <v>25752</v>
      </c>
      <c r="B3327" t="s">
        <v>4372</v>
      </c>
      <c r="C3327" t="s">
        <v>4371</v>
      </c>
      <c r="D3327" t="str">
        <f>"1378"</f>
        <v>1378</v>
      </c>
      <c r="E3327" t="s">
        <v>388</v>
      </c>
      <c r="F3327" t="s">
        <v>0</v>
      </c>
      <c r="G3327" t="s">
        <v>16232</v>
      </c>
      <c r="H3327" t="s">
        <v>47126</v>
      </c>
      <c r="I3327" t="s">
        <v>47127</v>
      </c>
      <c r="J3327" t="s">
        <v>47128</v>
      </c>
      <c r="K3327" t="s">
        <v>47113</v>
      </c>
      <c r="L3327">
        <v>17.98</v>
      </c>
      <c r="M3327">
        <v>37</v>
      </c>
      <c r="N3327">
        <v>0</v>
      </c>
      <c r="O3327">
        <v>37</v>
      </c>
      <c r="P3327">
        <v>0</v>
      </c>
    </row>
    <row r="3328" spans="1:16" x14ac:dyDescent="0.25">
      <c r="A3328" t="s">
        <v>25753</v>
      </c>
      <c r="B3328" t="s">
        <v>4372</v>
      </c>
      <c r="C3328" t="s">
        <v>4371</v>
      </c>
      <c r="D3328" t="str">
        <f>"4000"</f>
        <v>4000</v>
      </c>
      <c r="E3328" t="s">
        <v>2222</v>
      </c>
      <c r="F3328" t="s">
        <v>0</v>
      </c>
      <c r="G3328" t="s">
        <v>16232</v>
      </c>
      <c r="H3328" t="s">
        <v>47126</v>
      </c>
      <c r="I3328" t="s">
        <v>47127</v>
      </c>
      <c r="J3328" t="s">
        <v>47128</v>
      </c>
      <c r="K3328" t="s">
        <v>47113</v>
      </c>
      <c r="L3328">
        <v>17.98</v>
      </c>
      <c r="M3328">
        <v>37</v>
      </c>
      <c r="N3328">
        <v>0</v>
      </c>
      <c r="O3328">
        <v>37</v>
      </c>
      <c r="P3328">
        <v>0</v>
      </c>
    </row>
    <row r="3329" spans="1:16" x14ac:dyDescent="0.25">
      <c r="A3329" t="s">
        <v>25754</v>
      </c>
      <c r="B3329" t="s">
        <v>4372</v>
      </c>
      <c r="C3329" t="s">
        <v>4371</v>
      </c>
      <c r="D3329" t="str">
        <f>"4643"</f>
        <v>4643</v>
      </c>
      <c r="E3329" t="s">
        <v>205</v>
      </c>
      <c r="F3329" t="s">
        <v>0</v>
      </c>
      <c r="G3329" t="s">
        <v>16232</v>
      </c>
      <c r="H3329" t="s">
        <v>47126</v>
      </c>
      <c r="I3329" t="s">
        <v>47127</v>
      </c>
      <c r="J3329" t="s">
        <v>47128</v>
      </c>
      <c r="K3329" t="s">
        <v>47113</v>
      </c>
      <c r="L3329">
        <v>17.98</v>
      </c>
      <c r="M3329">
        <v>37</v>
      </c>
      <c r="N3329">
        <v>0</v>
      </c>
      <c r="O3329">
        <v>37</v>
      </c>
      <c r="P3329">
        <v>0</v>
      </c>
    </row>
    <row r="3330" spans="1:16" x14ac:dyDescent="0.25">
      <c r="A3330" t="s">
        <v>25755</v>
      </c>
      <c r="B3330" t="s">
        <v>4372</v>
      </c>
      <c r="C3330" t="s">
        <v>4371</v>
      </c>
      <c r="D3330" t="str">
        <f>"4729"</f>
        <v>4729</v>
      </c>
      <c r="E3330" t="s">
        <v>2222</v>
      </c>
      <c r="F3330" t="s">
        <v>0</v>
      </c>
      <c r="G3330" t="s">
        <v>16232</v>
      </c>
      <c r="H3330" t="s">
        <v>47126</v>
      </c>
      <c r="I3330" t="s">
        <v>47127</v>
      </c>
      <c r="J3330" t="s">
        <v>47128</v>
      </c>
      <c r="K3330" t="s">
        <v>47113</v>
      </c>
      <c r="L3330">
        <v>17.98</v>
      </c>
      <c r="M3330">
        <v>37</v>
      </c>
      <c r="N3330">
        <v>0</v>
      </c>
      <c r="O3330">
        <v>37</v>
      </c>
      <c r="P3330">
        <v>0</v>
      </c>
    </row>
    <row r="3331" spans="1:16" x14ac:dyDescent="0.25">
      <c r="A3331" t="s">
        <v>25756</v>
      </c>
      <c r="B3331" t="s">
        <v>4372</v>
      </c>
      <c r="C3331" t="s">
        <v>4371</v>
      </c>
      <c r="D3331" t="str">
        <f>"6064"</f>
        <v>6064</v>
      </c>
      <c r="E3331" t="s">
        <v>87</v>
      </c>
      <c r="F3331" t="s">
        <v>0</v>
      </c>
      <c r="G3331" t="s">
        <v>16232</v>
      </c>
      <c r="H3331" t="s">
        <v>47126</v>
      </c>
      <c r="I3331" t="s">
        <v>47127</v>
      </c>
      <c r="J3331" t="s">
        <v>47128</v>
      </c>
      <c r="K3331" t="s">
        <v>47113</v>
      </c>
      <c r="L3331">
        <v>17.98</v>
      </c>
      <c r="M3331">
        <v>37</v>
      </c>
      <c r="N3331">
        <v>0</v>
      </c>
      <c r="O3331">
        <v>37</v>
      </c>
      <c r="P3331">
        <v>0</v>
      </c>
    </row>
    <row r="3332" spans="1:16" x14ac:dyDescent="0.25">
      <c r="A3332" t="s">
        <v>25757</v>
      </c>
      <c r="B3332" t="s">
        <v>4373</v>
      </c>
      <c r="C3332" t="s">
        <v>4249</v>
      </c>
      <c r="D3332" t="s">
        <v>4056</v>
      </c>
      <c r="E3332" t="s">
        <v>4057</v>
      </c>
      <c r="F3332" t="s">
        <v>0</v>
      </c>
      <c r="G3332" t="s">
        <v>16231</v>
      </c>
      <c r="H3332" t="s">
        <v>47153</v>
      </c>
      <c r="I3332" t="s">
        <v>47132</v>
      </c>
      <c r="J3332" t="s">
        <v>47133</v>
      </c>
      <c r="K3332" t="s">
        <v>47113</v>
      </c>
      <c r="L3332">
        <v>56.46</v>
      </c>
      <c r="M3332">
        <v>107</v>
      </c>
      <c r="N3332">
        <v>0</v>
      </c>
      <c r="O3332">
        <v>107</v>
      </c>
      <c r="P3332">
        <v>0</v>
      </c>
    </row>
    <row r="3333" spans="1:16" x14ac:dyDescent="0.25">
      <c r="A3333" t="s">
        <v>25758</v>
      </c>
      <c r="B3333" t="s">
        <v>4373</v>
      </c>
      <c r="C3333" t="s">
        <v>4249</v>
      </c>
      <c r="D3333" t="s">
        <v>4337</v>
      </c>
      <c r="E3333" t="s">
        <v>4338</v>
      </c>
      <c r="F3333" t="s">
        <v>0</v>
      </c>
      <c r="G3333" t="s">
        <v>16231</v>
      </c>
      <c r="H3333" t="s">
        <v>47153</v>
      </c>
      <c r="I3333" t="s">
        <v>47132</v>
      </c>
      <c r="J3333" t="s">
        <v>47133</v>
      </c>
      <c r="K3333" t="s">
        <v>47113</v>
      </c>
      <c r="L3333">
        <v>56.46</v>
      </c>
      <c r="M3333">
        <v>107</v>
      </c>
      <c r="N3333">
        <v>0</v>
      </c>
      <c r="O3333">
        <v>107</v>
      </c>
      <c r="P3333">
        <v>0</v>
      </c>
    </row>
    <row r="3334" spans="1:16" x14ac:dyDescent="0.25">
      <c r="A3334" t="s">
        <v>25759</v>
      </c>
      <c r="B3334" t="s">
        <v>4373</v>
      </c>
      <c r="C3334" t="s">
        <v>4249</v>
      </c>
      <c r="D3334" t="s">
        <v>406</v>
      </c>
      <c r="E3334" t="s">
        <v>407</v>
      </c>
      <c r="F3334" t="s">
        <v>0</v>
      </c>
      <c r="G3334" t="s">
        <v>16231</v>
      </c>
      <c r="H3334" t="s">
        <v>47153</v>
      </c>
      <c r="I3334" t="s">
        <v>47132</v>
      </c>
      <c r="J3334" t="s">
        <v>47133</v>
      </c>
      <c r="K3334" t="s">
        <v>47113</v>
      </c>
      <c r="L3334">
        <v>56.46</v>
      </c>
      <c r="M3334">
        <v>107</v>
      </c>
      <c r="N3334">
        <v>0</v>
      </c>
      <c r="O3334">
        <v>107</v>
      </c>
      <c r="P3334">
        <v>0</v>
      </c>
    </row>
    <row r="3335" spans="1:16" x14ac:dyDescent="0.25">
      <c r="A3335" t="s">
        <v>25760</v>
      </c>
      <c r="B3335" t="s">
        <v>4373</v>
      </c>
      <c r="C3335" t="s">
        <v>4249</v>
      </c>
      <c r="D3335" t="s">
        <v>434</v>
      </c>
      <c r="E3335" t="s">
        <v>435</v>
      </c>
      <c r="F3335" t="s">
        <v>0</v>
      </c>
      <c r="G3335" t="s">
        <v>16231</v>
      </c>
      <c r="H3335" t="s">
        <v>47153</v>
      </c>
      <c r="I3335" t="s">
        <v>47132</v>
      </c>
      <c r="J3335" t="s">
        <v>47133</v>
      </c>
      <c r="K3335" t="s">
        <v>47113</v>
      </c>
      <c r="L3335">
        <v>56.46</v>
      </c>
      <c r="M3335">
        <v>107</v>
      </c>
      <c r="N3335">
        <v>0</v>
      </c>
      <c r="O3335">
        <v>107</v>
      </c>
      <c r="P3335">
        <v>0</v>
      </c>
    </row>
    <row r="3336" spans="1:16" x14ac:dyDescent="0.25">
      <c r="A3336" t="s">
        <v>25761</v>
      </c>
      <c r="B3336" t="s">
        <v>4374</v>
      </c>
      <c r="C3336" t="s">
        <v>4249</v>
      </c>
      <c r="D3336" t="s">
        <v>4056</v>
      </c>
      <c r="E3336" t="s">
        <v>4057</v>
      </c>
      <c r="F3336" t="s">
        <v>0</v>
      </c>
      <c r="G3336" t="s">
        <v>16231</v>
      </c>
      <c r="H3336" t="s">
        <v>47153</v>
      </c>
      <c r="I3336" t="s">
        <v>47132</v>
      </c>
      <c r="J3336" t="s">
        <v>47133</v>
      </c>
      <c r="K3336" t="s">
        <v>47113</v>
      </c>
      <c r="L3336">
        <v>42.61</v>
      </c>
      <c r="M3336">
        <v>73</v>
      </c>
      <c r="N3336">
        <v>0</v>
      </c>
      <c r="O3336">
        <v>73</v>
      </c>
      <c r="P3336">
        <v>0</v>
      </c>
    </row>
    <row r="3337" spans="1:16" x14ac:dyDescent="0.25">
      <c r="A3337" t="s">
        <v>25762</v>
      </c>
      <c r="B3337" t="s">
        <v>4374</v>
      </c>
      <c r="C3337" t="s">
        <v>4249</v>
      </c>
      <c r="D3337" t="s">
        <v>4335</v>
      </c>
      <c r="E3337" t="s">
        <v>4336</v>
      </c>
      <c r="F3337" t="s">
        <v>0</v>
      </c>
      <c r="G3337" t="s">
        <v>16231</v>
      </c>
      <c r="H3337" t="s">
        <v>47153</v>
      </c>
      <c r="I3337" t="s">
        <v>47132</v>
      </c>
      <c r="J3337" t="s">
        <v>47133</v>
      </c>
      <c r="K3337" t="s">
        <v>47113</v>
      </c>
      <c r="L3337">
        <v>42.61</v>
      </c>
      <c r="M3337">
        <v>73</v>
      </c>
      <c r="N3337">
        <v>0</v>
      </c>
      <c r="O3337">
        <v>73</v>
      </c>
      <c r="P3337">
        <v>0</v>
      </c>
    </row>
    <row r="3338" spans="1:16" x14ac:dyDescent="0.25">
      <c r="A3338" t="s">
        <v>25763</v>
      </c>
      <c r="B3338" t="s">
        <v>4374</v>
      </c>
      <c r="C3338" t="s">
        <v>4249</v>
      </c>
      <c r="D3338" t="s">
        <v>4337</v>
      </c>
      <c r="E3338" t="s">
        <v>4338</v>
      </c>
      <c r="F3338" t="s">
        <v>0</v>
      </c>
      <c r="G3338" t="s">
        <v>16231</v>
      </c>
      <c r="H3338" t="s">
        <v>47153</v>
      </c>
      <c r="I3338" t="s">
        <v>47132</v>
      </c>
      <c r="J3338" t="s">
        <v>47133</v>
      </c>
      <c r="K3338" t="s">
        <v>47113</v>
      </c>
      <c r="L3338">
        <v>42.61</v>
      </c>
      <c r="M3338">
        <v>73</v>
      </c>
      <c r="N3338">
        <v>0</v>
      </c>
      <c r="O3338">
        <v>73</v>
      </c>
      <c r="P3338">
        <v>0</v>
      </c>
    </row>
    <row r="3339" spans="1:16" x14ac:dyDescent="0.25">
      <c r="A3339" t="s">
        <v>25764</v>
      </c>
      <c r="B3339" t="s">
        <v>4374</v>
      </c>
      <c r="C3339" t="s">
        <v>4249</v>
      </c>
      <c r="D3339" t="s">
        <v>4059</v>
      </c>
      <c r="E3339" t="s">
        <v>4060</v>
      </c>
      <c r="F3339" t="s">
        <v>0</v>
      </c>
      <c r="G3339" t="s">
        <v>16231</v>
      </c>
      <c r="H3339" t="s">
        <v>47153</v>
      </c>
      <c r="I3339" t="s">
        <v>47132</v>
      </c>
      <c r="J3339" t="s">
        <v>47133</v>
      </c>
      <c r="K3339" t="s">
        <v>47113</v>
      </c>
      <c r="L3339">
        <v>42.61</v>
      </c>
      <c r="M3339">
        <v>73</v>
      </c>
      <c r="N3339">
        <v>0</v>
      </c>
      <c r="O3339">
        <v>73</v>
      </c>
      <c r="P3339">
        <v>0</v>
      </c>
    </row>
    <row r="3340" spans="1:16" x14ac:dyDescent="0.25">
      <c r="A3340" t="s">
        <v>25765</v>
      </c>
      <c r="B3340" t="s">
        <v>4374</v>
      </c>
      <c r="C3340" t="s">
        <v>4249</v>
      </c>
      <c r="D3340" t="s">
        <v>406</v>
      </c>
      <c r="E3340" t="s">
        <v>407</v>
      </c>
      <c r="F3340" t="s">
        <v>0</v>
      </c>
      <c r="G3340" t="s">
        <v>16231</v>
      </c>
      <c r="H3340" t="s">
        <v>47153</v>
      </c>
      <c r="I3340" t="s">
        <v>47132</v>
      </c>
      <c r="J3340" t="s">
        <v>47133</v>
      </c>
      <c r="K3340" t="s">
        <v>47113</v>
      </c>
      <c r="L3340">
        <v>42.61</v>
      </c>
      <c r="M3340">
        <v>73</v>
      </c>
      <c r="N3340">
        <v>0</v>
      </c>
      <c r="O3340">
        <v>73</v>
      </c>
      <c r="P3340">
        <v>0</v>
      </c>
    </row>
    <row r="3341" spans="1:16" x14ac:dyDescent="0.25">
      <c r="A3341" t="s">
        <v>25766</v>
      </c>
      <c r="B3341" t="s">
        <v>4374</v>
      </c>
      <c r="C3341" t="s">
        <v>4249</v>
      </c>
      <c r="D3341" t="s">
        <v>434</v>
      </c>
      <c r="E3341" t="s">
        <v>435</v>
      </c>
      <c r="F3341" t="s">
        <v>0</v>
      </c>
      <c r="G3341" t="s">
        <v>16231</v>
      </c>
      <c r="H3341" t="s">
        <v>47153</v>
      </c>
      <c r="I3341" t="s">
        <v>47132</v>
      </c>
      <c r="J3341" t="s">
        <v>47133</v>
      </c>
      <c r="K3341" t="s">
        <v>47113</v>
      </c>
      <c r="L3341">
        <v>42.61</v>
      </c>
      <c r="M3341">
        <v>73</v>
      </c>
      <c r="N3341">
        <v>0</v>
      </c>
      <c r="O3341">
        <v>73</v>
      </c>
      <c r="P3341">
        <v>0</v>
      </c>
    </row>
    <row r="3342" spans="1:16" x14ac:dyDescent="0.25">
      <c r="A3342" t="s">
        <v>25767</v>
      </c>
      <c r="B3342" t="s">
        <v>4374</v>
      </c>
      <c r="C3342" t="s">
        <v>4249</v>
      </c>
      <c r="D3342" t="s">
        <v>418</v>
      </c>
      <c r="E3342" t="s">
        <v>419</v>
      </c>
      <c r="F3342" t="s">
        <v>0</v>
      </c>
      <c r="G3342" t="s">
        <v>16231</v>
      </c>
      <c r="H3342" t="s">
        <v>47153</v>
      </c>
      <c r="I3342" t="s">
        <v>47132</v>
      </c>
      <c r="J3342" t="s">
        <v>47133</v>
      </c>
      <c r="K3342" t="s">
        <v>47113</v>
      </c>
      <c r="L3342">
        <v>42.61</v>
      </c>
      <c r="M3342">
        <v>73</v>
      </c>
      <c r="N3342">
        <v>0</v>
      </c>
      <c r="O3342">
        <v>73</v>
      </c>
      <c r="P3342">
        <v>0</v>
      </c>
    </row>
    <row r="3343" spans="1:16" x14ac:dyDescent="0.25">
      <c r="A3343" t="s">
        <v>25768</v>
      </c>
      <c r="B3343" t="s">
        <v>4375</v>
      </c>
      <c r="C3343" t="s">
        <v>3813</v>
      </c>
      <c r="D3343" t="s">
        <v>4056</v>
      </c>
      <c r="E3343" t="s">
        <v>4057</v>
      </c>
      <c r="F3343" t="s">
        <v>0</v>
      </c>
      <c r="G3343" t="s">
        <v>16231</v>
      </c>
      <c r="H3343" t="s">
        <v>47153</v>
      </c>
      <c r="I3343" t="s">
        <v>47132</v>
      </c>
      <c r="J3343" t="s">
        <v>47133</v>
      </c>
      <c r="K3343" t="s">
        <v>47113</v>
      </c>
      <c r="L3343">
        <v>56.46</v>
      </c>
      <c r="M3343">
        <v>107</v>
      </c>
      <c r="N3343">
        <v>0</v>
      </c>
      <c r="O3343">
        <v>107</v>
      </c>
      <c r="P3343">
        <v>0</v>
      </c>
    </row>
    <row r="3344" spans="1:16" x14ac:dyDescent="0.25">
      <c r="A3344" t="s">
        <v>25769</v>
      </c>
      <c r="B3344" t="s">
        <v>4375</v>
      </c>
      <c r="C3344" t="s">
        <v>3813</v>
      </c>
      <c r="D3344" t="s">
        <v>4337</v>
      </c>
      <c r="E3344" t="s">
        <v>4338</v>
      </c>
      <c r="F3344" t="s">
        <v>0</v>
      </c>
      <c r="G3344" t="s">
        <v>16231</v>
      </c>
      <c r="H3344" t="s">
        <v>47153</v>
      </c>
      <c r="I3344" t="s">
        <v>47132</v>
      </c>
      <c r="J3344" t="s">
        <v>47133</v>
      </c>
      <c r="K3344" t="s">
        <v>47113</v>
      </c>
      <c r="L3344">
        <v>56.46</v>
      </c>
      <c r="M3344">
        <v>107</v>
      </c>
      <c r="N3344">
        <v>0</v>
      </c>
      <c r="O3344">
        <v>107</v>
      </c>
      <c r="P3344">
        <v>0</v>
      </c>
    </row>
    <row r="3345" spans="1:16" x14ac:dyDescent="0.25">
      <c r="A3345" t="s">
        <v>25770</v>
      </c>
      <c r="B3345" t="s">
        <v>4375</v>
      </c>
      <c r="C3345" t="s">
        <v>3813</v>
      </c>
      <c r="D3345" t="s">
        <v>406</v>
      </c>
      <c r="E3345" t="s">
        <v>407</v>
      </c>
      <c r="F3345" t="s">
        <v>0</v>
      </c>
      <c r="G3345" t="s">
        <v>16231</v>
      </c>
      <c r="H3345" t="s">
        <v>47153</v>
      </c>
      <c r="I3345" t="s">
        <v>47132</v>
      </c>
      <c r="J3345" t="s">
        <v>47133</v>
      </c>
      <c r="K3345" t="s">
        <v>47113</v>
      </c>
      <c r="L3345">
        <v>56.46</v>
      </c>
      <c r="M3345">
        <v>107</v>
      </c>
      <c r="N3345">
        <v>0</v>
      </c>
      <c r="O3345">
        <v>107</v>
      </c>
      <c r="P3345">
        <v>0</v>
      </c>
    </row>
    <row r="3346" spans="1:16" x14ac:dyDescent="0.25">
      <c r="A3346" t="s">
        <v>25771</v>
      </c>
      <c r="B3346" t="s">
        <v>4375</v>
      </c>
      <c r="C3346" t="s">
        <v>3813</v>
      </c>
      <c r="D3346" t="s">
        <v>434</v>
      </c>
      <c r="E3346" t="s">
        <v>435</v>
      </c>
      <c r="F3346" t="s">
        <v>0</v>
      </c>
      <c r="G3346" t="s">
        <v>16231</v>
      </c>
      <c r="H3346" t="s">
        <v>47153</v>
      </c>
      <c r="I3346" t="s">
        <v>47132</v>
      </c>
      <c r="J3346" t="s">
        <v>47133</v>
      </c>
      <c r="K3346" t="s">
        <v>47113</v>
      </c>
      <c r="L3346">
        <v>56.46</v>
      </c>
      <c r="M3346">
        <v>107</v>
      </c>
      <c r="N3346">
        <v>0</v>
      </c>
      <c r="O3346">
        <v>107</v>
      </c>
      <c r="P3346">
        <v>0</v>
      </c>
    </row>
    <row r="3347" spans="1:16" x14ac:dyDescent="0.25">
      <c r="A3347" t="s">
        <v>25772</v>
      </c>
      <c r="B3347" t="s">
        <v>4376</v>
      </c>
      <c r="C3347" t="s">
        <v>3813</v>
      </c>
      <c r="D3347" t="s">
        <v>4056</v>
      </c>
      <c r="E3347" t="s">
        <v>4057</v>
      </c>
      <c r="F3347" t="s">
        <v>0</v>
      </c>
      <c r="G3347" t="s">
        <v>16231</v>
      </c>
      <c r="H3347" t="s">
        <v>47153</v>
      </c>
      <c r="I3347" t="s">
        <v>47132</v>
      </c>
      <c r="J3347" t="s">
        <v>47133</v>
      </c>
      <c r="K3347" t="s">
        <v>47113</v>
      </c>
      <c r="L3347">
        <v>42.61</v>
      </c>
      <c r="M3347">
        <v>73</v>
      </c>
      <c r="N3347">
        <v>0</v>
      </c>
      <c r="O3347">
        <v>73</v>
      </c>
      <c r="P3347">
        <v>0</v>
      </c>
    </row>
    <row r="3348" spans="1:16" x14ac:dyDescent="0.25">
      <c r="A3348" t="s">
        <v>25773</v>
      </c>
      <c r="B3348" t="s">
        <v>4376</v>
      </c>
      <c r="C3348" t="s">
        <v>3813</v>
      </c>
      <c r="D3348" t="s">
        <v>4335</v>
      </c>
      <c r="E3348" t="s">
        <v>4336</v>
      </c>
      <c r="F3348" t="s">
        <v>0</v>
      </c>
      <c r="G3348" t="s">
        <v>16231</v>
      </c>
      <c r="H3348" t="s">
        <v>47153</v>
      </c>
      <c r="I3348" t="s">
        <v>47132</v>
      </c>
      <c r="J3348" t="s">
        <v>47133</v>
      </c>
      <c r="K3348" t="s">
        <v>47113</v>
      </c>
      <c r="L3348">
        <v>42.61</v>
      </c>
      <c r="M3348">
        <v>73</v>
      </c>
      <c r="N3348">
        <v>0</v>
      </c>
      <c r="O3348">
        <v>73</v>
      </c>
      <c r="P3348">
        <v>0</v>
      </c>
    </row>
    <row r="3349" spans="1:16" x14ac:dyDescent="0.25">
      <c r="A3349" t="s">
        <v>25774</v>
      </c>
      <c r="B3349" t="s">
        <v>4376</v>
      </c>
      <c r="C3349" t="s">
        <v>3813</v>
      </c>
      <c r="D3349" t="s">
        <v>4337</v>
      </c>
      <c r="E3349" t="s">
        <v>4338</v>
      </c>
      <c r="F3349" t="s">
        <v>0</v>
      </c>
      <c r="G3349" t="s">
        <v>16231</v>
      </c>
      <c r="H3349" t="s">
        <v>47153</v>
      </c>
      <c r="I3349" t="s">
        <v>47132</v>
      </c>
      <c r="J3349" t="s">
        <v>47133</v>
      </c>
      <c r="K3349" t="s">
        <v>47113</v>
      </c>
      <c r="L3349">
        <v>42.61</v>
      </c>
      <c r="M3349">
        <v>73</v>
      </c>
      <c r="N3349">
        <v>0</v>
      </c>
      <c r="O3349">
        <v>73</v>
      </c>
      <c r="P3349">
        <v>0</v>
      </c>
    </row>
    <row r="3350" spans="1:16" x14ac:dyDescent="0.25">
      <c r="A3350" t="s">
        <v>25775</v>
      </c>
      <c r="B3350" t="s">
        <v>4376</v>
      </c>
      <c r="C3350" t="s">
        <v>3813</v>
      </c>
      <c r="D3350" t="s">
        <v>4059</v>
      </c>
      <c r="E3350" t="s">
        <v>4060</v>
      </c>
      <c r="F3350" t="s">
        <v>0</v>
      </c>
      <c r="G3350" t="s">
        <v>16231</v>
      </c>
      <c r="H3350" t="s">
        <v>47153</v>
      </c>
      <c r="I3350" t="s">
        <v>47132</v>
      </c>
      <c r="J3350" t="s">
        <v>47133</v>
      </c>
      <c r="K3350" t="s">
        <v>47113</v>
      </c>
      <c r="L3350">
        <v>42.61</v>
      </c>
      <c r="M3350">
        <v>73</v>
      </c>
      <c r="N3350">
        <v>0</v>
      </c>
      <c r="O3350">
        <v>73</v>
      </c>
      <c r="P3350">
        <v>0</v>
      </c>
    </row>
    <row r="3351" spans="1:16" x14ac:dyDescent="0.25">
      <c r="A3351" t="s">
        <v>25776</v>
      </c>
      <c r="B3351" t="s">
        <v>4376</v>
      </c>
      <c r="C3351" t="s">
        <v>3813</v>
      </c>
      <c r="D3351" t="s">
        <v>406</v>
      </c>
      <c r="E3351" t="s">
        <v>407</v>
      </c>
      <c r="F3351" t="s">
        <v>0</v>
      </c>
      <c r="G3351" t="s">
        <v>16231</v>
      </c>
      <c r="H3351" t="s">
        <v>47153</v>
      </c>
      <c r="I3351" t="s">
        <v>47132</v>
      </c>
      <c r="J3351" t="s">
        <v>47133</v>
      </c>
      <c r="K3351" t="s">
        <v>47113</v>
      </c>
      <c r="L3351">
        <v>42.61</v>
      </c>
      <c r="M3351">
        <v>73</v>
      </c>
      <c r="N3351">
        <v>0</v>
      </c>
      <c r="O3351">
        <v>73</v>
      </c>
      <c r="P3351">
        <v>0</v>
      </c>
    </row>
    <row r="3352" spans="1:16" x14ac:dyDescent="0.25">
      <c r="A3352" t="s">
        <v>25777</v>
      </c>
      <c r="B3352" t="s">
        <v>4376</v>
      </c>
      <c r="C3352" t="s">
        <v>3813</v>
      </c>
      <c r="D3352" t="s">
        <v>434</v>
      </c>
      <c r="E3352" t="s">
        <v>435</v>
      </c>
      <c r="F3352" t="s">
        <v>0</v>
      </c>
      <c r="G3352" t="s">
        <v>16231</v>
      </c>
      <c r="H3352" t="s">
        <v>47153</v>
      </c>
      <c r="I3352" t="s">
        <v>47132</v>
      </c>
      <c r="J3352" t="s">
        <v>47133</v>
      </c>
      <c r="K3352" t="s">
        <v>47113</v>
      </c>
      <c r="L3352">
        <v>42.61</v>
      </c>
      <c r="M3352">
        <v>73</v>
      </c>
      <c r="N3352">
        <v>0</v>
      </c>
      <c r="O3352">
        <v>73</v>
      </c>
      <c r="P3352">
        <v>0</v>
      </c>
    </row>
    <row r="3353" spans="1:16" x14ac:dyDescent="0.25">
      <c r="A3353" t="s">
        <v>25778</v>
      </c>
      <c r="B3353" t="s">
        <v>4376</v>
      </c>
      <c r="C3353" t="s">
        <v>3813</v>
      </c>
      <c r="D3353" t="s">
        <v>418</v>
      </c>
      <c r="E3353" t="s">
        <v>419</v>
      </c>
      <c r="F3353" t="s">
        <v>0</v>
      </c>
      <c r="G3353" t="s">
        <v>16231</v>
      </c>
      <c r="H3353" t="s">
        <v>47153</v>
      </c>
      <c r="I3353" t="s">
        <v>47132</v>
      </c>
      <c r="J3353" t="s">
        <v>47133</v>
      </c>
      <c r="K3353" t="s">
        <v>47113</v>
      </c>
      <c r="L3353">
        <v>42.61</v>
      </c>
      <c r="M3353">
        <v>73</v>
      </c>
      <c r="N3353">
        <v>0</v>
      </c>
      <c r="O3353">
        <v>73</v>
      </c>
      <c r="P3353">
        <v>0</v>
      </c>
    </row>
    <row r="3354" spans="1:16" x14ac:dyDescent="0.25">
      <c r="A3354" t="s">
        <v>25779</v>
      </c>
      <c r="B3354" t="s">
        <v>4377</v>
      </c>
      <c r="C3354" t="s">
        <v>3821</v>
      </c>
      <c r="D3354" t="s">
        <v>4056</v>
      </c>
      <c r="E3354" t="s">
        <v>4057</v>
      </c>
      <c r="F3354" t="s">
        <v>0</v>
      </c>
      <c r="G3354" t="s">
        <v>16231</v>
      </c>
      <c r="H3354" t="s">
        <v>47153</v>
      </c>
      <c r="I3354" t="s">
        <v>47132</v>
      </c>
      <c r="J3354" t="s">
        <v>47133</v>
      </c>
      <c r="K3354" t="s">
        <v>47113</v>
      </c>
      <c r="L3354">
        <v>42.61</v>
      </c>
      <c r="M3354">
        <v>73</v>
      </c>
      <c r="N3354">
        <v>0</v>
      </c>
      <c r="O3354">
        <v>73</v>
      </c>
      <c r="P3354">
        <v>0</v>
      </c>
    </row>
    <row r="3355" spans="1:16" x14ac:dyDescent="0.25">
      <c r="A3355" t="s">
        <v>25780</v>
      </c>
      <c r="B3355" t="s">
        <v>4377</v>
      </c>
      <c r="C3355" t="s">
        <v>3821</v>
      </c>
      <c r="D3355" t="s">
        <v>4335</v>
      </c>
      <c r="E3355" t="s">
        <v>4336</v>
      </c>
      <c r="F3355" t="s">
        <v>0</v>
      </c>
      <c r="G3355" t="s">
        <v>16231</v>
      </c>
      <c r="H3355" t="s">
        <v>47153</v>
      </c>
      <c r="I3355" t="s">
        <v>47132</v>
      </c>
      <c r="J3355" t="s">
        <v>47133</v>
      </c>
      <c r="K3355" t="s">
        <v>47113</v>
      </c>
      <c r="L3355">
        <v>42.61</v>
      </c>
      <c r="M3355">
        <v>73</v>
      </c>
      <c r="N3355">
        <v>0</v>
      </c>
      <c r="O3355">
        <v>73</v>
      </c>
      <c r="P3355">
        <v>0</v>
      </c>
    </row>
    <row r="3356" spans="1:16" x14ac:dyDescent="0.25">
      <c r="A3356" t="s">
        <v>25781</v>
      </c>
      <c r="B3356" t="s">
        <v>4377</v>
      </c>
      <c r="C3356" t="s">
        <v>3821</v>
      </c>
      <c r="D3356" t="s">
        <v>4337</v>
      </c>
      <c r="E3356" t="s">
        <v>4338</v>
      </c>
      <c r="F3356" t="s">
        <v>0</v>
      </c>
      <c r="G3356" t="s">
        <v>16231</v>
      </c>
      <c r="H3356" t="s">
        <v>47153</v>
      </c>
      <c r="I3356" t="s">
        <v>47132</v>
      </c>
      <c r="J3356" t="s">
        <v>47133</v>
      </c>
      <c r="K3356" t="s">
        <v>47113</v>
      </c>
      <c r="L3356">
        <v>42.61</v>
      </c>
      <c r="M3356">
        <v>73</v>
      </c>
      <c r="N3356">
        <v>0</v>
      </c>
      <c r="O3356">
        <v>73</v>
      </c>
      <c r="P3356">
        <v>0</v>
      </c>
    </row>
    <row r="3357" spans="1:16" x14ac:dyDescent="0.25">
      <c r="A3357" t="s">
        <v>25782</v>
      </c>
      <c r="B3357" t="s">
        <v>4377</v>
      </c>
      <c r="C3357" t="s">
        <v>3821</v>
      </c>
      <c r="D3357" t="s">
        <v>4059</v>
      </c>
      <c r="E3357" t="s">
        <v>4060</v>
      </c>
      <c r="F3357" t="s">
        <v>0</v>
      </c>
      <c r="G3357" t="s">
        <v>16231</v>
      </c>
      <c r="H3357" t="s">
        <v>47153</v>
      </c>
      <c r="I3357" t="s">
        <v>47132</v>
      </c>
      <c r="J3357" t="s">
        <v>47133</v>
      </c>
      <c r="K3357" t="s">
        <v>47113</v>
      </c>
      <c r="L3357">
        <v>42.61</v>
      </c>
      <c r="M3357">
        <v>73</v>
      </c>
      <c r="N3357">
        <v>0</v>
      </c>
      <c r="O3357">
        <v>73</v>
      </c>
      <c r="P3357">
        <v>0</v>
      </c>
    </row>
    <row r="3358" spans="1:16" x14ac:dyDescent="0.25">
      <c r="A3358" t="s">
        <v>25783</v>
      </c>
      <c r="B3358" t="s">
        <v>4377</v>
      </c>
      <c r="C3358" t="s">
        <v>3821</v>
      </c>
      <c r="D3358" t="s">
        <v>406</v>
      </c>
      <c r="E3358" t="s">
        <v>407</v>
      </c>
      <c r="F3358" t="s">
        <v>0</v>
      </c>
      <c r="G3358" t="s">
        <v>16231</v>
      </c>
      <c r="H3358" t="s">
        <v>47153</v>
      </c>
      <c r="I3358" t="s">
        <v>47132</v>
      </c>
      <c r="J3358" t="s">
        <v>47133</v>
      </c>
      <c r="K3358" t="s">
        <v>47113</v>
      </c>
      <c r="L3358">
        <v>42.61</v>
      </c>
      <c r="M3358">
        <v>73</v>
      </c>
      <c r="N3358">
        <v>0</v>
      </c>
      <c r="O3358">
        <v>73</v>
      </c>
      <c r="P3358">
        <v>0</v>
      </c>
    </row>
    <row r="3359" spans="1:16" x14ac:dyDescent="0.25">
      <c r="A3359" t="s">
        <v>25784</v>
      </c>
      <c r="B3359" t="s">
        <v>4377</v>
      </c>
      <c r="C3359" t="s">
        <v>3821</v>
      </c>
      <c r="D3359" t="s">
        <v>434</v>
      </c>
      <c r="E3359" t="s">
        <v>435</v>
      </c>
      <c r="F3359" t="s">
        <v>0</v>
      </c>
      <c r="G3359" t="s">
        <v>16231</v>
      </c>
      <c r="H3359" t="s">
        <v>47153</v>
      </c>
      <c r="I3359" t="s">
        <v>47132</v>
      </c>
      <c r="J3359" t="s">
        <v>47133</v>
      </c>
      <c r="K3359" t="s">
        <v>47113</v>
      </c>
      <c r="L3359">
        <v>42.61</v>
      </c>
      <c r="M3359">
        <v>73</v>
      </c>
      <c r="N3359">
        <v>0</v>
      </c>
      <c r="O3359">
        <v>73</v>
      </c>
      <c r="P3359">
        <v>0</v>
      </c>
    </row>
    <row r="3360" spans="1:16" x14ac:dyDescent="0.25">
      <c r="A3360" t="s">
        <v>25785</v>
      </c>
      <c r="B3360" t="s">
        <v>4377</v>
      </c>
      <c r="C3360" t="s">
        <v>3821</v>
      </c>
      <c r="D3360" t="s">
        <v>418</v>
      </c>
      <c r="E3360" t="s">
        <v>419</v>
      </c>
      <c r="F3360" t="s">
        <v>0</v>
      </c>
      <c r="G3360" t="s">
        <v>16231</v>
      </c>
      <c r="H3360" t="s">
        <v>47153</v>
      </c>
      <c r="I3360" t="s">
        <v>47132</v>
      </c>
      <c r="J3360" t="s">
        <v>47133</v>
      </c>
      <c r="K3360" t="s">
        <v>47113</v>
      </c>
      <c r="L3360">
        <v>42.61</v>
      </c>
      <c r="M3360">
        <v>73</v>
      </c>
      <c r="N3360">
        <v>0</v>
      </c>
      <c r="O3360">
        <v>73</v>
      </c>
      <c r="P3360">
        <v>0</v>
      </c>
    </row>
    <row r="3361" spans="1:16" x14ac:dyDescent="0.25">
      <c r="A3361" t="s">
        <v>14921</v>
      </c>
      <c r="B3361" t="s">
        <v>4378</v>
      </c>
      <c r="C3361" t="s">
        <v>4379</v>
      </c>
      <c r="D3361" t="s">
        <v>3803</v>
      </c>
      <c r="E3361" t="s">
        <v>3804</v>
      </c>
      <c r="F3361" t="s">
        <v>0</v>
      </c>
      <c r="G3361" t="s">
        <v>16234</v>
      </c>
      <c r="H3361" t="s">
        <v>47153</v>
      </c>
      <c r="I3361" t="s">
        <v>47132</v>
      </c>
      <c r="J3361" t="s">
        <v>47133</v>
      </c>
      <c r="K3361" t="s">
        <v>47113</v>
      </c>
      <c r="L3361">
        <v>51.26</v>
      </c>
      <c r="M3361">
        <v>92</v>
      </c>
      <c r="N3361">
        <v>0</v>
      </c>
      <c r="O3361">
        <v>92</v>
      </c>
      <c r="P3361">
        <v>0</v>
      </c>
    </row>
    <row r="3362" spans="1:16" x14ac:dyDescent="0.25">
      <c r="A3362" t="s">
        <v>25786</v>
      </c>
      <c r="B3362" t="s">
        <v>4378</v>
      </c>
      <c r="C3362" t="s">
        <v>4379</v>
      </c>
      <c r="D3362" t="s">
        <v>4380</v>
      </c>
      <c r="E3362" t="s">
        <v>4381</v>
      </c>
      <c r="F3362" t="s">
        <v>0</v>
      </c>
      <c r="G3362" t="s">
        <v>16234</v>
      </c>
      <c r="H3362" t="s">
        <v>47153</v>
      </c>
      <c r="I3362" t="s">
        <v>47132</v>
      </c>
      <c r="J3362" t="s">
        <v>47133</v>
      </c>
      <c r="K3362" t="s">
        <v>47113</v>
      </c>
      <c r="L3362">
        <v>51.26</v>
      </c>
      <c r="M3362">
        <v>92</v>
      </c>
      <c r="N3362">
        <v>0</v>
      </c>
      <c r="O3362">
        <v>92</v>
      </c>
      <c r="P3362">
        <v>0</v>
      </c>
    </row>
    <row r="3363" spans="1:16" x14ac:dyDescent="0.25">
      <c r="A3363" t="s">
        <v>25787</v>
      </c>
      <c r="B3363" t="s">
        <v>4378</v>
      </c>
      <c r="C3363" t="s">
        <v>4379</v>
      </c>
      <c r="D3363" t="s">
        <v>504</v>
      </c>
      <c r="E3363" t="s">
        <v>505</v>
      </c>
      <c r="F3363" t="s">
        <v>0</v>
      </c>
      <c r="G3363" t="s">
        <v>16234</v>
      </c>
      <c r="H3363" t="s">
        <v>47153</v>
      </c>
      <c r="I3363" t="s">
        <v>47132</v>
      </c>
      <c r="J3363" t="s">
        <v>47133</v>
      </c>
      <c r="K3363" t="s">
        <v>47113</v>
      </c>
      <c r="L3363">
        <v>51.26</v>
      </c>
      <c r="M3363">
        <v>92</v>
      </c>
      <c r="N3363">
        <v>0</v>
      </c>
      <c r="O3363">
        <v>92</v>
      </c>
      <c r="P3363">
        <v>0</v>
      </c>
    </row>
    <row r="3364" spans="1:16" x14ac:dyDescent="0.25">
      <c r="A3364" t="s">
        <v>25788</v>
      </c>
      <c r="B3364" t="s">
        <v>4382</v>
      </c>
      <c r="C3364" t="s">
        <v>4379</v>
      </c>
      <c r="D3364" t="s">
        <v>4383</v>
      </c>
      <c r="E3364" t="s">
        <v>4384</v>
      </c>
      <c r="F3364" t="s">
        <v>0</v>
      </c>
      <c r="G3364" t="s">
        <v>16234</v>
      </c>
      <c r="H3364" t="s">
        <v>47153</v>
      </c>
      <c r="I3364" t="s">
        <v>47132</v>
      </c>
      <c r="J3364" t="s">
        <v>47133</v>
      </c>
      <c r="K3364" t="s">
        <v>47113</v>
      </c>
      <c r="L3364">
        <v>62.26</v>
      </c>
      <c r="M3364">
        <v>107</v>
      </c>
      <c r="N3364">
        <v>0</v>
      </c>
      <c r="O3364">
        <v>107</v>
      </c>
      <c r="P3364">
        <v>0</v>
      </c>
    </row>
    <row r="3365" spans="1:16" x14ac:dyDescent="0.25">
      <c r="A3365" t="s">
        <v>25789</v>
      </c>
      <c r="B3365" t="s">
        <v>4385</v>
      </c>
      <c r="C3365" t="s">
        <v>4386</v>
      </c>
      <c r="D3365" t="s">
        <v>4303</v>
      </c>
      <c r="E3365" t="s">
        <v>4304</v>
      </c>
      <c r="F3365" t="s">
        <v>0</v>
      </c>
      <c r="G3365" t="s">
        <v>16222</v>
      </c>
      <c r="H3365" t="s">
        <v>47153</v>
      </c>
      <c r="I3365" t="s">
        <v>47132</v>
      </c>
      <c r="J3365" t="s">
        <v>47133</v>
      </c>
      <c r="K3365" t="s">
        <v>47113</v>
      </c>
      <c r="L3365">
        <v>43.8</v>
      </c>
      <c r="M3365">
        <v>62</v>
      </c>
      <c r="N3365">
        <v>0</v>
      </c>
      <c r="O3365">
        <v>62</v>
      </c>
      <c r="P3365">
        <v>0</v>
      </c>
    </row>
    <row r="3366" spans="1:16" x14ac:dyDescent="0.25">
      <c r="A3366" t="s">
        <v>25790</v>
      </c>
      <c r="B3366" t="s">
        <v>4385</v>
      </c>
      <c r="C3366" t="s">
        <v>4386</v>
      </c>
      <c r="D3366" t="s">
        <v>4059</v>
      </c>
      <c r="E3366" t="s">
        <v>4060</v>
      </c>
      <c r="F3366" t="s">
        <v>0</v>
      </c>
      <c r="G3366" t="s">
        <v>16222</v>
      </c>
      <c r="H3366" t="s">
        <v>47153</v>
      </c>
      <c r="I3366" t="s">
        <v>47132</v>
      </c>
      <c r="J3366" t="s">
        <v>47133</v>
      </c>
      <c r="K3366" t="s">
        <v>47113</v>
      </c>
      <c r="L3366">
        <v>43.8</v>
      </c>
      <c r="M3366">
        <v>62</v>
      </c>
      <c r="N3366">
        <v>0</v>
      </c>
      <c r="O3366">
        <v>62</v>
      </c>
      <c r="P3366">
        <v>0</v>
      </c>
    </row>
    <row r="3367" spans="1:16" x14ac:dyDescent="0.25">
      <c r="A3367" t="s">
        <v>25791</v>
      </c>
      <c r="B3367" t="s">
        <v>4385</v>
      </c>
      <c r="C3367" t="s">
        <v>4386</v>
      </c>
      <c r="D3367" t="s">
        <v>4305</v>
      </c>
      <c r="E3367" t="s">
        <v>4306</v>
      </c>
      <c r="F3367" t="s">
        <v>0</v>
      </c>
      <c r="G3367" t="s">
        <v>16222</v>
      </c>
      <c r="H3367" t="s">
        <v>47153</v>
      </c>
      <c r="I3367" t="s">
        <v>47132</v>
      </c>
      <c r="J3367" t="s">
        <v>47133</v>
      </c>
      <c r="K3367" t="s">
        <v>47113</v>
      </c>
      <c r="L3367">
        <v>43.8</v>
      </c>
      <c r="M3367">
        <v>62</v>
      </c>
      <c r="N3367">
        <v>0</v>
      </c>
      <c r="O3367">
        <v>62</v>
      </c>
      <c r="P3367">
        <v>0</v>
      </c>
    </row>
    <row r="3368" spans="1:16" x14ac:dyDescent="0.25">
      <c r="A3368" t="s">
        <v>25792</v>
      </c>
      <c r="B3368" t="s">
        <v>4385</v>
      </c>
      <c r="C3368" t="s">
        <v>4386</v>
      </c>
      <c r="D3368" t="s">
        <v>406</v>
      </c>
      <c r="E3368" t="s">
        <v>407</v>
      </c>
      <c r="F3368" t="s">
        <v>0</v>
      </c>
      <c r="G3368" t="s">
        <v>16222</v>
      </c>
      <c r="H3368" t="s">
        <v>47153</v>
      </c>
      <c r="I3368" t="s">
        <v>47132</v>
      </c>
      <c r="J3368" t="s">
        <v>47133</v>
      </c>
      <c r="K3368" t="s">
        <v>47113</v>
      </c>
      <c r="L3368">
        <v>43.8</v>
      </c>
      <c r="M3368">
        <v>62</v>
      </c>
      <c r="N3368">
        <v>0</v>
      </c>
      <c r="O3368">
        <v>62</v>
      </c>
      <c r="P3368">
        <v>0</v>
      </c>
    </row>
    <row r="3369" spans="1:16" x14ac:dyDescent="0.25">
      <c r="A3369" t="s">
        <v>25793</v>
      </c>
      <c r="B3369" t="s">
        <v>4385</v>
      </c>
      <c r="C3369" t="s">
        <v>4386</v>
      </c>
      <c r="D3369" t="s">
        <v>4307</v>
      </c>
      <c r="E3369" t="s">
        <v>4308</v>
      </c>
      <c r="F3369" t="s">
        <v>0</v>
      </c>
      <c r="G3369" t="s">
        <v>16222</v>
      </c>
      <c r="H3369" t="s">
        <v>47153</v>
      </c>
      <c r="I3369" t="s">
        <v>47132</v>
      </c>
      <c r="J3369" t="s">
        <v>47133</v>
      </c>
      <c r="K3369" t="s">
        <v>47113</v>
      </c>
      <c r="L3369">
        <v>43.8</v>
      </c>
      <c r="M3369">
        <v>62</v>
      </c>
      <c r="N3369">
        <v>0</v>
      </c>
      <c r="O3369">
        <v>62</v>
      </c>
      <c r="P3369">
        <v>0</v>
      </c>
    </row>
    <row r="3370" spans="1:16" x14ac:dyDescent="0.25">
      <c r="A3370" t="s">
        <v>25794</v>
      </c>
      <c r="B3370" t="s">
        <v>4387</v>
      </c>
      <c r="C3370" t="s">
        <v>4386</v>
      </c>
      <c r="D3370" t="s">
        <v>4303</v>
      </c>
      <c r="E3370" t="s">
        <v>4304</v>
      </c>
      <c r="F3370" t="s">
        <v>0</v>
      </c>
      <c r="G3370" t="s">
        <v>16222</v>
      </c>
      <c r="H3370" t="s">
        <v>47153</v>
      </c>
      <c r="I3370" t="s">
        <v>47132</v>
      </c>
      <c r="J3370" t="s">
        <v>47133</v>
      </c>
      <c r="K3370" t="s">
        <v>47113</v>
      </c>
      <c r="L3370">
        <v>27.23</v>
      </c>
      <c r="M3370">
        <v>62</v>
      </c>
      <c r="N3370">
        <v>0</v>
      </c>
      <c r="O3370">
        <v>62</v>
      </c>
      <c r="P3370">
        <v>0</v>
      </c>
    </row>
    <row r="3371" spans="1:16" x14ac:dyDescent="0.25">
      <c r="A3371" t="s">
        <v>14922</v>
      </c>
      <c r="B3371" t="s">
        <v>4387</v>
      </c>
      <c r="C3371" t="s">
        <v>4386</v>
      </c>
      <c r="D3371" t="s">
        <v>4059</v>
      </c>
      <c r="E3371" t="s">
        <v>4060</v>
      </c>
      <c r="F3371" t="s">
        <v>0</v>
      </c>
      <c r="G3371" t="s">
        <v>16222</v>
      </c>
      <c r="H3371" t="s">
        <v>47153</v>
      </c>
      <c r="I3371" t="s">
        <v>47132</v>
      </c>
      <c r="J3371" t="s">
        <v>47133</v>
      </c>
      <c r="K3371" t="s">
        <v>47113</v>
      </c>
      <c r="L3371">
        <v>27.23</v>
      </c>
      <c r="M3371">
        <v>62</v>
      </c>
      <c r="N3371">
        <v>0</v>
      </c>
      <c r="O3371">
        <v>62</v>
      </c>
      <c r="P3371">
        <v>0</v>
      </c>
    </row>
    <row r="3372" spans="1:16" x14ac:dyDescent="0.25">
      <c r="A3372" t="s">
        <v>25795</v>
      </c>
      <c r="B3372" t="s">
        <v>4387</v>
      </c>
      <c r="C3372" t="s">
        <v>4386</v>
      </c>
      <c r="D3372" t="s">
        <v>4305</v>
      </c>
      <c r="E3372" t="s">
        <v>4306</v>
      </c>
      <c r="F3372" t="s">
        <v>0</v>
      </c>
      <c r="G3372" t="s">
        <v>16222</v>
      </c>
      <c r="H3372" t="s">
        <v>47153</v>
      </c>
      <c r="I3372" t="s">
        <v>47132</v>
      </c>
      <c r="J3372" t="s">
        <v>47133</v>
      </c>
      <c r="K3372" t="s">
        <v>47113</v>
      </c>
      <c r="L3372">
        <v>27.23</v>
      </c>
      <c r="M3372">
        <v>62</v>
      </c>
      <c r="N3372">
        <v>0</v>
      </c>
      <c r="O3372">
        <v>62</v>
      </c>
      <c r="P3372">
        <v>0</v>
      </c>
    </row>
    <row r="3373" spans="1:16" x14ac:dyDescent="0.25">
      <c r="A3373" t="s">
        <v>25796</v>
      </c>
      <c r="B3373" t="s">
        <v>4387</v>
      </c>
      <c r="C3373" t="s">
        <v>4386</v>
      </c>
      <c r="D3373" t="s">
        <v>406</v>
      </c>
      <c r="E3373" t="s">
        <v>407</v>
      </c>
      <c r="F3373" t="s">
        <v>0</v>
      </c>
      <c r="G3373" t="s">
        <v>16222</v>
      </c>
      <c r="H3373" t="s">
        <v>47153</v>
      </c>
      <c r="I3373" t="s">
        <v>47132</v>
      </c>
      <c r="J3373" t="s">
        <v>47133</v>
      </c>
      <c r="K3373" t="s">
        <v>47113</v>
      </c>
      <c r="L3373">
        <v>27.23</v>
      </c>
      <c r="M3373">
        <v>62</v>
      </c>
      <c r="N3373">
        <v>0</v>
      </c>
      <c r="O3373">
        <v>62</v>
      </c>
      <c r="P3373">
        <v>0</v>
      </c>
    </row>
    <row r="3374" spans="1:16" x14ac:dyDescent="0.25">
      <c r="A3374" t="s">
        <v>25797</v>
      </c>
      <c r="B3374" t="s">
        <v>4387</v>
      </c>
      <c r="C3374" t="s">
        <v>4386</v>
      </c>
      <c r="D3374" t="s">
        <v>4307</v>
      </c>
      <c r="E3374" t="s">
        <v>4308</v>
      </c>
      <c r="F3374" t="s">
        <v>0</v>
      </c>
      <c r="G3374" t="s">
        <v>16222</v>
      </c>
      <c r="H3374" t="s">
        <v>47153</v>
      </c>
      <c r="I3374" t="s">
        <v>47132</v>
      </c>
      <c r="J3374" t="s">
        <v>47133</v>
      </c>
      <c r="K3374" t="s">
        <v>47113</v>
      </c>
      <c r="L3374">
        <v>43.8</v>
      </c>
      <c r="M3374">
        <v>62</v>
      </c>
      <c r="N3374">
        <v>0</v>
      </c>
      <c r="O3374">
        <v>62</v>
      </c>
      <c r="P3374">
        <v>0</v>
      </c>
    </row>
    <row r="3375" spans="1:16" x14ac:dyDescent="0.25">
      <c r="A3375" t="s">
        <v>25798</v>
      </c>
      <c r="B3375" t="s">
        <v>4388</v>
      </c>
      <c r="C3375" t="s">
        <v>4389</v>
      </c>
      <c r="D3375" t="str">
        <f>"1001"</f>
        <v>1001</v>
      </c>
      <c r="E3375" t="s">
        <v>42</v>
      </c>
      <c r="F3375" t="s">
        <v>0</v>
      </c>
      <c r="G3375" t="s">
        <v>16224</v>
      </c>
      <c r="H3375" t="s">
        <v>47126</v>
      </c>
      <c r="I3375" t="s">
        <v>47120</v>
      </c>
      <c r="J3375" t="s">
        <v>47121</v>
      </c>
      <c r="K3375" t="s">
        <v>47113</v>
      </c>
      <c r="L3375">
        <v>54.38</v>
      </c>
      <c r="M3375">
        <v>132</v>
      </c>
      <c r="N3375">
        <v>0</v>
      </c>
      <c r="O3375">
        <v>132</v>
      </c>
      <c r="P3375">
        <v>0</v>
      </c>
    </row>
    <row r="3376" spans="1:16" x14ac:dyDescent="0.25">
      <c r="A3376" t="s">
        <v>25799</v>
      </c>
      <c r="B3376" t="s">
        <v>4388</v>
      </c>
      <c r="C3376" t="s">
        <v>4389</v>
      </c>
      <c r="D3376" t="str">
        <f>"4000"</f>
        <v>4000</v>
      </c>
      <c r="E3376" t="s">
        <v>4390</v>
      </c>
      <c r="F3376" t="s">
        <v>0</v>
      </c>
      <c r="G3376" t="s">
        <v>16224</v>
      </c>
      <c r="H3376" t="s">
        <v>47126</v>
      </c>
      <c r="I3376" t="s">
        <v>47120</v>
      </c>
      <c r="J3376" t="s">
        <v>47121</v>
      </c>
      <c r="K3376" t="s">
        <v>47113</v>
      </c>
      <c r="L3376">
        <v>54.38</v>
      </c>
      <c r="M3376">
        <v>132</v>
      </c>
      <c r="N3376">
        <v>0</v>
      </c>
      <c r="O3376">
        <v>132</v>
      </c>
      <c r="P3376">
        <v>0</v>
      </c>
    </row>
    <row r="3377" spans="1:16" x14ac:dyDescent="0.25">
      <c r="A3377" t="s">
        <v>25800</v>
      </c>
      <c r="B3377" t="s">
        <v>4388</v>
      </c>
      <c r="C3377" t="s">
        <v>4389</v>
      </c>
      <c r="D3377" t="str">
        <f>"7000"</f>
        <v>7000</v>
      </c>
      <c r="E3377" t="s">
        <v>185</v>
      </c>
      <c r="F3377" t="s">
        <v>0</v>
      </c>
      <c r="G3377" t="s">
        <v>16224</v>
      </c>
      <c r="H3377" t="s">
        <v>47126</v>
      </c>
      <c r="I3377" t="s">
        <v>47120</v>
      </c>
      <c r="J3377" t="s">
        <v>47121</v>
      </c>
      <c r="K3377" t="s">
        <v>47113</v>
      </c>
      <c r="L3377">
        <v>54.38</v>
      </c>
      <c r="M3377">
        <v>132</v>
      </c>
      <c r="N3377">
        <v>0</v>
      </c>
      <c r="O3377">
        <v>132</v>
      </c>
      <c r="P3377">
        <v>0</v>
      </c>
    </row>
    <row r="3378" spans="1:16" x14ac:dyDescent="0.25">
      <c r="A3378" t="s">
        <v>25801</v>
      </c>
      <c r="B3378" t="s">
        <v>4391</v>
      </c>
      <c r="C3378" t="s">
        <v>4392</v>
      </c>
      <c r="D3378" t="str">
        <f>"1001"</f>
        <v>1001</v>
      </c>
      <c r="E3378" t="s">
        <v>42</v>
      </c>
      <c r="F3378" t="s">
        <v>0</v>
      </c>
      <c r="G3378" t="s">
        <v>16224</v>
      </c>
      <c r="H3378" t="s">
        <v>47126</v>
      </c>
      <c r="I3378" t="s">
        <v>47120</v>
      </c>
      <c r="J3378" t="s">
        <v>47121</v>
      </c>
      <c r="K3378" t="s">
        <v>47113</v>
      </c>
      <c r="L3378">
        <v>53.23</v>
      </c>
      <c r="M3378">
        <v>129</v>
      </c>
      <c r="N3378">
        <v>0</v>
      </c>
      <c r="O3378">
        <v>129</v>
      </c>
      <c r="P3378">
        <v>0</v>
      </c>
    </row>
    <row r="3379" spans="1:16" x14ac:dyDescent="0.25">
      <c r="A3379" t="s">
        <v>25802</v>
      </c>
      <c r="B3379" t="s">
        <v>4391</v>
      </c>
      <c r="C3379" t="s">
        <v>4392</v>
      </c>
      <c r="D3379" t="str">
        <f>"4000"</f>
        <v>4000</v>
      </c>
      <c r="E3379" t="s">
        <v>4390</v>
      </c>
      <c r="F3379" t="s">
        <v>0</v>
      </c>
      <c r="G3379" t="s">
        <v>16224</v>
      </c>
      <c r="H3379" t="s">
        <v>47126</v>
      </c>
      <c r="I3379" t="s">
        <v>47120</v>
      </c>
      <c r="J3379" t="s">
        <v>47121</v>
      </c>
      <c r="K3379" t="s">
        <v>47113</v>
      </c>
      <c r="L3379">
        <v>53.23</v>
      </c>
      <c r="M3379">
        <v>129</v>
      </c>
      <c r="N3379">
        <v>0</v>
      </c>
      <c r="O3379">
        <v>129</v>
      </c>
      <c r="P3379">
        <v>0</v>
      </c>
    </row>
    <row r="3380" spans="1:16" x14ac:dyDescent="0.25">
      <c r="A3380" t="s">
        <v>25803</v>
      </c>
      <c r="B3380" t="s">
        <v>4391</v>
      </c>
      <c r="C3380" t="s">
        <v>4392</v>
      </c>
      <c r="D3380" t="str">
        <f>"7000"</f>
        <v>7000</v>
      </c>
      <c r="E3380" t="s">
        <v>185</v>
      </c>
      <c r="F3380" t="s">
        <v>0</v>
      </c>
      <c r="G3380" t="s">
        <v>16224</v>
      </c>
      <c r="H3380" t="s">
        <v>47126</v>
      </c>
      <c r="I3380" t="s">
        <v>47120</v>
      </c>
      <c r="J3380" t="s">
        <v>47121</v>
      </c>
      <c r="K3380" t="s">
        <v>47113</v>
      </c>
      <c r="L3380">
        <v>53.23</v>
      </c>
      <c r="M3380">
        <v>129</v>
      </c>
      <c r="N3380">
        <v>0</v>
      </c>
      <c r="O3380">
        <v>129</v>
      </c>
      <c r="P3380">
        <v>0</v>
      </c>
    </row>
    <row r="3381" spans="1:16" x14ac:dyDescent="0.25">
      <c r="A3381" t="s">
        <v>14923</v>
      </c>
      <c r="B3381" t="s">
        <v>4393</v>
      </c>
      <c r="C3381" t="s">
        <v>4394</v>
      </c>
      <c r="D3381" t="s">
        <v>4303</v>
      </c>
      <c r="E3381" t="s">
        <v>4304</v>
      </c>
      <c r="F3381" t="s">
        <v>0</v>
      </c>
      <c r="G3381" t="s">
        <v>16221</v>
      </c>
      <c r="H3381" t="s">
        <v>47153</v>
      </c>
      <c r="I3381" t="s">
        <v>47132</v>
      </c>
      <c r="J3381" t="s">
        <v>47133</v>
      </c>
      <c r="K3381" t="s">
        <v>47113</v>
      </c>
      <c r="L3381">
        <v>22.49</v>
      </c>
      <c r="M3381">
        <v>32</v>
      </c>
      <c r="N3381">
        <v>0</v>
      </c>
      <c r="O3381">
        <v>32</v>
      </c>
      <c r="P3381">
        <v>0</v>
      </c>
    </row>
    <row r="3382" spans="1:16" x14ac:dyDescent="0.25">
      <c r="A3382" t="s">
        <v>25804</v>
      </c>
      <c r="B3382" t="s">
        <v>4393</v>
      </c>
      <c r="C3382" t="s">
        <v>4394</v>
      </c>
      <c r="D3382" t="s">
        <v>4305</v>
      </c>
      <c r="E3382" t="s">
        <v>4306</v>
      </c>
      <c r="F3382" t="s">
        <v>0</v>
      </c>
      <c r="G3382" t="s">
        <v>16221</v>
      </c>
      <c r="H3382" t="s">
        <v>47153</v>
      </c>
      <c r="I3382" t="s">
        <v>47132</v>
      </c>
      <c r="J3382" t="s">
        <v>47133</v>
      </c>
      <c r="K3382" t="s">
        <v>47113</v>
      </c>
      <c r="L3382">
        <v>18.350000000000001</v>
      </c>
      <c r="M3382">
        <v>32</v>
      </c>
      <c r="N3382">
        <v>0</v>
      </c>
      <c r="O3382">
        <v>32</v>
      </c>
      <c r="P3382">
        <v>0</v>
      </c>
    </row>
    <row r="3383" spans="1:16" x14ac:dyDescent="0.25">
      <c r="A3383" t="s">
        <v>25805</v>
      </c>
      <c r="B3383" t="s">
        <v>4393</v>
      </c>
      <c r="C3383" t="s">
        <v>4394</v>
      </c>
      <c r="D3383" t="s">
        <v>406</v>
      </c>
      <c r="E3383" t="s">
        <v>407</v>
      </c>
      <c r="F3383" t="s">
        <v>0</v>
      </c>
      <c r="G3383" t="s">
        <v>16221</v>
      </c>
      <c r="H3383" t="s">
        <v>47153</v>
      </c>
      <c r="I3383" t="s">
        <v>47132</v>
      </c>
      <c r="J3383" t="s">
        <v>47133</v>
      </c>
      <c r="K3383" t="s">
        <v>47113</v>
      </c>
      <c r="L3383">
        <v>18.350000000000001</v>
      </c>
      <c r="M3383">
        <v>32</v>
      </c>
      <c r="N3383">
        <v>0</v>
      </c>
      <c r="O3383">
        <v>32</v>
      </c>
      <c r="P3383">
        <v>0</v>
      </c>
    </row>
    <row r="3384" spans="1:16" x14ac:dyDescent="0.25">
      <c r="A3384" t="s">
        <v>25806</v>
      </c>
      <c r="B3384" t="s">
        <v>4393</v>
      </c>
      <c r="C3384" t="s">
        <v>4394</v>
      </c>
      <c r="D3384" t="s">
        <v>4307</v>
      </c>
      <c r="E3384" t="s">
        <v>4308</v>
      </c>
      <c r="F3384" t="s">
        <v>0</v>
      </c>
      <c r="G3384" t="s">
        <v>16221</v>
      </c>
      <c r="H3384" t="s">
        <v>47153</v>
      </c>
      <c r="I3384" t="s">
        <v>47132</v>
      </c>
      <c r="J3384" t="s">
        <v>47133</v>
      </c>
      <c r="K3384" t="s">
        <v>47113</v>
      </c>
      <c r="L3384">
        <v>18.350000000000001</v>
      </c>
      <c r="M3384">
        <v>32</v>
      </c>
      <c r="N3384">
        <v>0</v>
      </c>
      <c r="O3384">
        <v>32</v>
      </c>
      <c r="P3384">
        <v>0</v>
      </c>
    </row>
    <row r="3385" spans="1:16" x14ac:dyDescent="0.25">
      <c r="A3385" t="s">
        <v>14924</v>
      </c>
      <c r="B3385" t="s">
        <v>4395</v>
      </c>
      <c r="C3385" t="s">
        <v>4396</v>
      </c>
      <c r="D3385" t="s">
        <v>4303</v>
      </c>
      <c r="E3385" t="s">
        <v>4304</v>
      </c>
      <c r="F3385" t="s">
        <v>0</v>
      </c>
      <c r="G3385" t="s">
        <v>16221</v>
      </c>
      <c r="H3385" t="s">
        <v>47153</v>
      </c>
      <c r="I3385" t="s">
        <v>47132</v>
      </c>
      <c r="J3385" t="s">
        <v>47133</v>
      </c>
      <c r="K3385" t="s">
        <v>47113</v>
      </c>
      <c r="L3385">
        <v>18.350000000000001</v>
      </c>
      <c r="M3385">
        <v>32</v>
      </c>
      <c r="N3385">
        <v>0</v>
      </c>
      <c r="O3385">
        <v>32</v>
      </c>
      <c r="P3385">
        <v>0</v>
      </c>
    </row>
    <row r="3386" spans="1:16" x14ac:dyDescent="0.25">
      <c r="A3386" t="s">
        <v>14925</v>
      </c>
      <c r="B3386" t="s">
        <v>4395</v>
      </c>
      <c r="C3386" t="s">
        <v>4396</v>
      </c>
      <c r="D3386" t="s">
        <v>4059</v>
      </c>
      <c r="E3386" t="s">
        <v>4060</v>
      </c>
      <c r="F3386" t="s">
        <v>0</v>
      </c>
      <c r="G3386" t="s">
        <v>16221</v>
      </c>
      <c r="H3386" t="s">
        <v>47153</v>
      </c>
      <c r="I3386" t="s">
        <v>47132</v>
      </c>
      <c r="J3386" t="s">
        <v>47133</v>
      </c>
      <c r="K3386" t="s">
        <v>47113</v>
      </c>
      <c r="L3386">
        <v>18.350000000000001</v>
      </c>
      <c r="M3386">
        <v>32</v>
      </c>
      <c r="N3386">
        <v>0</v>
      </c>
      <c r="O3386">
        <v>32</v>
      </c>
      <c r="P3386">
        <v>0</v>
      </c>
    </row>
    <row r="3387" spans="1:16" x14ac:dyDescent="0.25">
      <c r="A3387" t="s">
        <v>25807</v>
      </c>
      <c r="B3387" t="s">
        <v>4395</v>
      </c>
      <c r="C3387" t="s">
        <v>4396</v>
      </c>
      <c r="D3387" t="s">
        <v>406</v>
      </c>
      <c r="E3387" t="s">
        <v>4397</v>
      </c>
      <c r="F3387" t="s">
        <v>0</v>
      </c>
      <c r="G3387" t="s">
        <v>16221</v>
      </c>
      <c r="H3387" t="s">
        <v>47153</v>
      </c>
      <c r="I3387" t="s">
        <v>47132</v>
      </c>
      <c r="J3387" t="s">
        <v>47133</v>
      </c>
      <c r="K3387" t="s">
        <v>47113</v>
      </c>
      <c r="L3387">
        <v>18.350000000000001</v>
      </c>
      <c r="M3387">
        <v>32</v>
      </c>
      <c r="N3387">
        <v>0</v>
      </c>
      <c r="O3387">
        <v>32</v>
      </c>
      <c r="P3387">
        <v>0</v>
      </c>
    </row>
    <row r="3388" spans="1:16" x14ac:dyDescent="0.25">
      <c r="A3388" t="s">
        <v>14926</v>
      </c>
      <c r="B3388" t="s">
        <v>4395</v>
      </c>
      <c r="C3388" t="s">
        <v>4396</v>
      </c>
      <c r="D3388" t="s">
        <v>4307</v>
      </c>
      <c r="E3388" t="s">
        <v>4308</v>
      </c>
      <c r="F3388" t="s">
        <v>0</v>
      </c>
      <c r="G3388" t="s">
        <v>16221</v>
      </c>
      <c r="H3388" t="s">
        <v>47153</v>
      </c>
      <c r="I3388" t="s">
        <v>47132</v>
      </c>
      <c r="J3388" t="s">
        <v>47133</v>
      </c>
      <c r="K3388" t="s">
        <v>47113</v>
      </c>
      <c r="L3388">
        <v>18.350000000000001</v>
      </c>
      <c r="M3388">
        <v>32</v>
      </c>
      <c r="N3388">
        <v>0</v>
      </c>
      <c r="O3388">
        <v>32</v>
      </c>
      <c r="P3388">
        <v>0</v>
      </c>
    </row>
    <row r="3389" spans="1:16" x14ac:dyDescent="0.25">
      <c r="A3389" t="s">
        <v>25808</v>
      </c>
      <c r="B3389" t="s">
        <v>4398</v>
      </c>
      <c r="C3389" t="s">
        <v>454</v>
      </c>
      <c r="D3389" t="str">
        <f>"1377"</f>
        <v>1377</v>
      </c>
      <c r="E3389" t="s">
        <v>74</v>
      </c>
      <c r="F3389" t="s">
        <v>0</v>
      </c>
      <c r="G3389" t="s">
        <v>16235</v>
      </c>
      <c r="H3389" t="s">
        <v>47126</v>
      </c>
      <c r="I3389" t="s">
        <v>47127</v>
      </c>
      <c r="J3389" t="s">
        <v>47128</v>
      </c>
      <c r="K3389" t="s">
        <v>47113</v>
      </c>
      <c r="L3389">
        <v>12.67</v>
      </c>
      <c r="M3389">
        <v>26</v>
      </c>
      <c r="N3389">
        <v>0</v>
      </c>
      <c r="O3389">
        <v>26</v>
      </c>
      <c r="P3389">
        <v>0</v>
      </c>
    </row>
    <row r="3390" spans="1:16" x14ac:dyDescent="0.25">
      <c r="A3390" t="s">
        <v>25809</v>
      </c>
      <c r="B3390" t="s">
        <v>4398</v>
      </c>
      <c r="C3390" t="s">
        <v>454</v>
      </c>
      <c r="D3390" t="str">
        <f>"1378"</f>
        <v>1378</v>
      </c>
      <c r="E3390" t="s">
        <v>388</v>
      </c>
      <c r="F3390" t="s">
        <v>0</v>
      </c>
      <c r="G3390" t="s">
        <v>16235</v>
      </c>
      <c r="H3390" t="s">
        <v>47126</v>
      </c>
      <c r="I3390" t="s">
        <v>47127</v>
      </c>
      <c r="J3390" t="s">
        <v>47128</v>
      </c>
      <c r="K3390" t="s">
        <v>47113</v>
      </c>
      <c r="L3390">
        <v>12.67</v>
      </c>
      <c r="M3390">
        <v>26</v>
      </c>
      <c r="N3390">
        <v>0</v>
      </c>
      <c r="O3390">
        <v>26</v>
      </c>
      <c r="P3390">
        <v>0</v>
      </c>
    </row>
    <row r="3391" spans="1:16" x14ac:dyDescent="0.25">
      <c r="A3391" t="s">
        <v>25810</v>
      </c>
      <c r="B3391" t="s">
        <v>4398</v>
      </c>
      <c r="C3391" t="s">
        <v>454</v>
      </c>
      <c r="D3391" t="str">
        <f>"1700"</f>
        <v>1700</v>
      </c>
      <c r="E3391" t="s">
        <v>60</v>
      </c>
      <c r="F3391" t="s">
        <v>0</v>
      </c>
      <c r="G3391" t="s">
        <v>16235</v>
      </c>
      <c r="H3391" t="s">
        <v>47126</v>
      </c>
      <c r="I3391" t="s">
        <v>47127</v>
      </c>
      <c r="J3391" t="s">
        <v>47128</v>
      </c>
      <c r="K3391" t="s">
        <v>47113</v>
      </c>
      <c r="L3391">
        <v>12.67</v>
      </c>
      <c r="M3391">
        <v>26</v>
      </c>
      <c r="N3391">
        <v>0</v>
      </c>
      <c r="O3391">
        <v>26</v>
      </c>
      <c r="P3391">
        <v>0</v>
      </c>
    </row>
    <row r="3392" spans="1:16" x14ac:dyDescent="0.25">
      <c r="A3392" t="s">
        <v>25811</v>
      </c>
      <c r="B3392" t="s">
        <v>4398</v>
      </c>
      <c r="C3392" t="s">
        <v>454</v>
      </c>
      <c r="D3392" t="str">
        <f>"3000"</f>
        <v>3000</v>
      </c>
      <c r="E3392" t="s">
        <v>4319</v>
      </c>
      <c r="F3392" t="s">
        <v>0</v>
      </c>
      <c r="G3392" t="s">
        <v>16235</v>
      </c>
      <c r="H3392" t="s">
        <v>47126</v>
      </c>
      <c r="I3392" t="s">
        <v>47127</v>
      </c>
      <c r="J3392" t="s">
        <v>47128</v>
      </c>
      <c r="K3392" t="s">
        <v>47113</v>
      </c>
      <c r="L3392">
        <v>12.67</v>
      </c>
      <c r="M3392">
        <v>26</v>
      </c>
      <c r="N3392">
        <v>0</v>
      </c>
      <c r="O3392">
        <v>26</v>
      </c>
      <c r="P3392">
        <v>0</v>
      </c>
    </row>
    <row r="3393" spans="1:16" x14ac:dyDescent="0.25">
      <c r="A3393" t="s">
        <v>25812</v>
      </c>
      <c r="B3393" t="s">
        <v>4398</v>
      </c>
      <c r="C3393" t="s">
        <v>454</v>
      </c>
      <c r="D3393" t="str">
        <f>"4000"</f>
        <v>4000</v>
      </c>
      <c r="E3393" t="s">
        <v>2222</v>
      </c>
      <c r="F3393" t="s">
        <v>0</v>
      </c>
      <c r="G3393" t="s">
        <v>16235</v>
      </c>
      <c r="H3393" t="s">
        <v>47126</v>
      </c>
      <c r="I3393" t="s">
        <v>47127</v>
      </c>
      <c r="J3393" t="s">
        <v>47128</v>
      </c>
      <c r="K3393" t="s">
        <v>47113</v>
      </c>
      <c r="L3393">
        <v>12.67</v>
      </c>
      <c r="M3393">
        <v>26</v>
      </c>
      <c r="N3393">
        <v>0</v>
      </c>
      <c r="O3393">
        <v>26</v>
      </c>
      <c r="P3393">
        <v>0</v>
      </c>
    </row>
    <row r="3394" spans="1:16" x14ac:dyDescent="0.25">
      <c r="A3394" t="s">
        <v>25813</v>
      </c>
      <c r="B3394" t="s">
        <v>4398</v>
      </c>
      <c r="C3394" t="s">
        <v>454</v>
      </c>
      <c r="D3394" t="str">
        <f>"4643"</f>
        <v>4643</v>
      </c>
      <c r="E3394" t="s">
        <v>205</v>
      </c>
      <c r="F3394" t="s">
        <v>0</v>
      </c>
      <c r="G3394" t="s">
        <v>16235</v>
      </c>
      <c r="H3394" t="s">
        <v>47126</v>
      </c>
      <c r="I3394" t="s">
        <v>47127</v>
      </c>
      <c r="J3394" t="s">
        <v>47128</v>
      </c>
      <c r="K3394" t="s">
        <v>47113</v>
      </c>
      <c r="L3394">
        <v>12.67</v>
      </c>
      <c r="M3394">
        <v>26</v>
      </c>
      <c r="N3394">
        <v>0</v>
      </c>
      <c r="O3394">
        <v>26</v>
      </c>
      <c r="P3394">
        <v>0</v>
      </c>
    </row>
    <row r="3395" spans="1:16" x14ac:dyDescent="0.25">
      <c r="A3395" t="s">
        <v>25814</v>
      </c>
      <c r="B3395" t="s">
        <v>4398</v>
      </c>
      <c r="C3395" t="s">
        <v>454</v>
      </c>
      <c r="D3395" t="str">
        <f>"4730"</f>
        <v>4730</v>
      </c>
      <c r="E3395" t="s">
        <v>461</v>
      </c>
      <c r="F3395" t="s">
        <v>0</v>
      </c>
      <c r="G3395" t="s">
        <v>16235</v>
      </c>
      <c r="H3395" t="s">
        <v>47126</v>
      </c>
      <c r="I3395" t="s">
        <v>47127</v>
      </c>
      <c r="J3395" t="s">
        <v>47128</v>
      </c>
      <c r="K3395" t="s">
        <v>47113</v>
      </c>
      <c r="L3395">
        <v>12.67</v>
      </c>
      <c r="M3395">
        <v>26</v>
      </c>
      <c r="N3395">
        <v>0</v>
      </c>
      <c r="O3395">
        <v>26</v>
      </c>
      <c r="P3395">
        <v>0</v>
      </c>
    </row>
    <row r="3396" spans="1:16" x14ac:dyDescent="0.25">
      <c r="A3396" t="s">
        <v>25815</v>
      </c>
      <c r="B3396" t="s">
        <v>4398</v>
      </c>
      <c r="C3396" t="s">
        <v>454</v>
      </c>
      <c r="D3396" t="str">
        <f>"6064"</f>
        <v>6064</v>
      </c>
      <c r="E3396" t="s">
        <v>87</v>
      </c>
      <c r="F3396" t="s">
        <v>0</v>
      </c>
      <c r="G3396" t="s">
        <v>16235</v>
      </c>
      <c r="H3396" t="s">
        <v>47126</v>
      </c>
      <c r="I3396" t="s">
        <v>47127</v>
      </c>
      <c r="J3396" t="s">
        <v>47128</v>
      </c>
      <c r="K3396" t="s">
        <v>47113</v>
      </c>
      <c r="L3396">
        <v>12.67</v>
      </c>
      <c r="M3396">
        <v>26</v>
      </c>
      <c r="N3396">
        <v>0</v>
      </c>
      <c r="O3396">
        <v>26</v>
      </c>
      <c r="P3396">
        <v>0</v>
      </c>
    </row>
    <row r="3397" spans="1:16" x14ac:dyDescent="0.25">
      <c r="A3397" t="s">
        <v>25816</v>
      </c>
      <c r="B3397" t="s">
        <v>4399</v>
      </c>
      <c r="C3397" t="s">
        <v>4400</v>
      </c>
      <c r="D3397" t="s">
        <v>4303</v>
      </c>
      <c r="E3397" t="s">
        <v>4304</v>
      </c>
      <c r="F3397" t="s">
        <v>0</v>
      </c>
      <c r="G3397" t="s">
        <v>16221</v>
      </c>
      <c r="H3397" t="s">
        <v>47153</v>
      </c>
      <c r="I3397" t="s">
        <v>47132</v>
      </c>
      <c r="J3397" t="s">
        <v>47133</v>
      </c>
      <c r="K3397" t="s">
        <v>47113</v>
      </c>
      <c r="L3397">
        <v>23.68</v>
      </c>
      <c r="M3397">
        <v>38</v>
      </c>
      <c r="N3397">
        <v>0</v>
      </c>
      <c r="O3397">
        <v>38</v>
      </c>
      <c r="P3397">
        <v>0</v>
      </c>
    </row>
    <row r="3398" spans="1:16" x14ac:dyDescent="0.25">
      <c r="A3398" t="s">
        <v>25817</v>
      </c>
      <c r="B3398" t="s">
        <v>4399</v>
      </c>
      <c r="C3398" t="s">
        <v>4400</v>
      </c>
      <c r="D3398" t="s">
        <v>4059</v>
      </c>
      <c r="E3398" t="s">
        <v>4060</v>
      </c>
      <c r="F3398" t="s">
        <v>0</v>
      </c>
      <c r="G3398" t="s">
        <v>16221</v>
      </c>
      <c r="H3398" t="s">
        <v>47153</v>
      </c>
      <c r="I3398" t="s">
        <v>47132</v>
      </c>
      <c r="J3398" t="s">
        <v>47133</v>
      </c>
      <c r="K3398" t="s">
        <v>47113</v>
      </c>
      <c r="L3398">
        <v>23.68</v>
      </c>
      <c r="M3398">
        <v>38</v>
      </c>
      <c r="N3398">
        <v>0</v>
      </c>
      <c r="O3398">
        <v>38</v>
      </c>
      <c r="P3398">
        <v>0</v>
      </c>
    </row>
    <row r="3399" spans="1:16" x14ac:dyDescent="0.25">
      <c r="A3399" t="s">
        <v>25818</v>
      </c>
      <c r="B3399" t="s">
        <v>4399</v>
      </c>
      <c r="C3399" t="s">
        <v>4400</v>
      </c>
      <c r="D3399" t="s">
        <v>406</v>
      </c>
      <c r="E3399" t="s">
        <v>407</v>
      </c>
      <c r="F3399" t="s">
        <v>0</v>
      </c>
      <c r="G3399" t="s">
        <v>16221</v>
      </c>
      <c r="H3399" t="s">
        <v>47153</v>
      </c>
      <c r="I3399" t="s">
        <v>47132</v>
      </c>
      <c r="J3399" t="s">
        <v>47133</v>
      </c>
      <c r="K3399" t="s">
        <v>47113</v>
      </c>
      <c r="L3399">
        <v>23.68</v>
      </c>
      <c r="M3399">
        <v>38</v>
      </c>
      <c r="N3399">
        <v>0</v>
      </c>
      <c r="O3399">
        <v>38</v>
      </c>
      <c r="P3399">
        <v>0</v>
      </c>
    </row>
    <row r="3400" spans="1:16" x14ac:dyDescent="0.25">
      <c r="A3400" t="s">
        <v>25819</v>
      </c>
      <c r="B3400" t="s">
        <v>4399</v>
      </c>
      <c r="C3400" t="s">
        <v>4400</v>
      </c>
      <c r="D3400" t="s">
        <v>4307</v>
      </c>
      <c r="E3400" t="s">
        <v>4308</v>
      </c>
      <c r="F3400" t="s">
        <v>0</v>
      </c>
      <c r="G3400" t="s">
        <v>16221</v>
      </c>
      <c r="H3400" t="s">
        <v>47153</v>
      </c>
      <c r="I3400" t="s">
        <v>47132</v>
      </c>
      <c r="J3400" t="s">
        <v>47133</v>
      </c>
      <c r="K3400" t="s">
        <v>47113</v>
      </c>
      <c r="L3400">
        <v>23.68</v>
      </c>
      <c r="M3400">
        <v>38</v>
      </c>
      <c r="N3400">
        <v>0</v>
      </c>
      <c r="O3400">
        <v>38</v>
      </c>
      <c r="P3400">
        <v>0</v>
      </c>
    </row>
    <row r="3401" spans="1:16" x14ac:dyDescent="0.25">
      <c r="A3401" t="s">
        <v>25820</v>
      </c>
      <c r="B3401" t="s">
        <v>4401</v>
      </c>
      <c r="C3401" t="s">
        <v>454</v>
      </c>
      <c r="D3401" t="str">
        <f>"1377"</f>
        <v>1377</v>
      </c>
      <c r="E3401" t="s">
        <v>74</v>
      </c>
      <c r="F3401" t="s">
        <v>0</v>
      </c>
      <c r="G3401" t="s">
        <v>16221</v>
      </c>
      <c r="H3401" t="s">
        <v>47126</v>
      </c>
      <c r="I3401" t="s">
        <v>47127</v>
      </c>
      <c r="J3401" t="s">
        <v>47128</v>
      </c>
      <c r="K3401" t="s">
        <v>47113</v>
      </c>
      <c r="L3401">
        <v>13.15</v>
      </c>
      <c r="M3401">
        <v>30</v>
      </c>
      <c r="N3401">
        <v>0</v>
      </c>
      <c r="O3401">
        <v>30</v>
      </c>
      <c r="P3401">
        <v>0</v>
      </c>
    </row>
    <row r="3402" spans="1:16" x14ac:dyDescent="0.25">
      <c r="A3402" t="s">
        <v>25821</v>
      </c>
      <c r="B3402" t="s">
        <v>4401</v>
      </c>
      <c r="C3402" t="s">
        <v>454</v>
      </c>
      <c r="D3402" t="str">
        <f>"1378"</f>
        <v>1378</v>
      </c>
      <c r="E3402" t="s">
        <v>388</v>
      </c>
      <c r="F3402" t="s">
        <v>0</v>
      </c>
      <c r="G3402" t="s">
        <v>16221</v>
      </c>
      <c r="H3402" t="s">
        <v>47126</v>
      </c>
      <c r="I3402" t="s">
        <v>47127</v>
      </c>
      <c r="J3402" t="s">
        <v>47128</v>
      </c>
      <c r="K3402" t="s">
        <v>47113</v>
      </c>
      <c r="L3402">
        <v>13.15</v>
      </c>
      <c r="M3402">
        <v>30</v>
      </c>
      <c r="N3402">
        <v>0</v>
      </c>
      <c r="O3402">
        <v>30</v>
      </c>
      <c r="P3402">
        <v>0</v>
      </c>
    </row>
    <row r="3403" spans="1:16" x14ac:dyDescent="0.25">
      <c r="A3403" t="s">
        <v>25822</v>
      </c>
      <c r="B3403" t="s">
        <v>4401</v>
      </c>
      <c r="C3403" t="s">
        <v>454</v>
      </c>
      <c r="D3403" t="str">
        <f>"1700"</f>
        <v>1700</v>
      </c>
      <c r="E3403" t="s">
        <v>60</v>
      </c>
      <c r="F3403" t="s">
        <v>0</v>
      </c>
      <c r="G3403" t="s">
        <v>16221</v>
      </c>
      <c r="H3403" t="s">
        <v>47126</v>
      </c>
      <c r="I3403" t="s">
        <v>47127</v>
      </c>
      <c r="J3403" t="s">
        <v>47128</v>
      </c>
      <c r="K3403" t="s">
        <v>47113</v>
      </c>
      <c r="L3403">
        <v>13.15</v>
      </c>
      <c r="M3403">
        <v>30</v>
      </c>
      <c r="N3403">
        <v>0</v>
      </c>
      <c r="O3403">
        <v>30</v>
      </c>
      <c r="P3403">
        <v>0</v>
      </c>
    </row>
    <row r="3404" spans="1:16" x14ac:dyDescent="0.25">
      <c r="A3404" t="s">
        <v>25823</v>
      </c>
      <c r="B3404" t="s">
        <v>4401</v>
      </c>
      <c r="C3404" t="s">
        <v>454</v>
      </c>
      <c r="D3404" t="str">
        <f>"4000"</f>
        <v>4000</v>
      </c>
      <c r="E3404" t="s">
        <v>2222</v>
      </c>
      <c r="F3404" t="s">
        <v>0</v>
      </c>
      <c r="G3404" t="s">
        <v>16221</v>
      </c>
      <c r="H3404" t="s">
        <v>47126</v>
      </c>
      <c r="I3404" t="s">
        <v>47127</v>
      </c>
      <c r="J3404" t="s">
        <v>47128</v>
      </c>
      <c r="K3404" t="s">
        <v>47113</v>
      </c>
      <c r="L3404">
        <v>13.15</v>
      </c>
      <c r="M3404">
        <v>30</v>
      </c>
      <c r="N3404">
        <v>0</v>
      </c>
      <c r="O3404">
        <v>30</v>
      </c>
      <c r="P3404">
        <v>0</v>
      </c>
    </row>
    <row r="3405" spans="1:16" x14ac:dyDescent="0.25">
      <c r="A3405" t="s">
        <v>25824</v>
      </c>
      <c r="B3405" t="s">
        <v>4401</v>
      </c>
      <c r="C3405" t="s">
        <v>454</v>
      </c>
      <c r="D3405" t="str">
        <f>"4729"</f>
        <v>4729</v>
      </c>
      <c r="E3405" t="s">
        <v>2222</v>
      </c>
      <c r="F3405" t="s">
        <v>0</v>
      </c>
      <c r="G3405" t="s">
        <v>16221</v>
      </c>
      <c r="H3405" t="s">
        <v>47126</v>
      </c>
      <c r="I3405" t="s">
        <v>47127</v>
      </c>
      <c r="J3405" t="s">
        <v>47128</v>
      </c>
      <c r="K3405" t="s">
        <v>47113</v>
      </c>
      <c r="L3405">
        <v>13.15</v>
      </c>
      <c r="M3405">
        <v>30</v>
      </c>
      <c r="N3405">
        <v>0</v>
      </c>
      <c r="O3405">
        <v>30</v>
      </c>
      <c r="P3405">
        <v>0</v>
      </c>
    </row>
    <row r="3406" spans="1:16" x14ac:dyDescent="0.25">
      <c r="A3406" t="s">
        <v>25825</v>
      </c>
      <c r="B3406" t="s">
        <v>4402</v>
      </c>
      <c r="C3406" t="s">
        <v>4403</v>
      </c>
      <c r="D3406" t="s">
        <v>4404</v>
      </c>
      <c r="E3406" t="s">
        <v>4405</v>
      </c>
      <c r="F3406" t="s">
        <v>0</v>
      </c>
      <c r="G3406" t="s">
        <v>16221</v>
      </c>
      <c r="H3406" t="s">
        <v>47153</v>
      </c>
      <c r="I3406" t="s">
        <v>47132</v>
      </c>
      <c r="J3406" t="s">
        <v>47133</v>
      </c>
      <c r="K3406" t="s">
        <v>47113</v>
      </c>
      <c r="L3406">
        <v>20.71</v>
      </c>
      <c r="M3406">
        <v>35</v>
      </c>
      <c r="N3406">
        <v>0</v>
      </c>
      <c r="O3406">
        <v>35</v>
      </c>
      <c r="P3406">
        <v>0</v>
      </c>
    </row>
    <row r="3407" spans="1:16" x14ac:dyDescent="0.25">
      <c r="A3407" t="s">
        <v>25826</v>
      </c>
      <c r="B3407" t="s">
        <v>4406</v>
      </c>
      <c r="C3407" t="s">
        <v>454</v>
      </c>
      <c r="D3407" t="str">
        <f>"1285"</f>
        <v>1285</v>
      </c>
      <c r="E3407" t="s">
        <v>4312</v>
      </c>
      <c r="F3407" t="s">
        <v>0</v>
      </c>
      <c r="G3407" t="s">
        <v>16221</v>
      </c>
      <c r="H3407" t="s">
        <v>47126</v>
      </c>
      <c r="I3407" t="s">
        <v>47127</v>
      </c>
      <c r="J3407" t="s">
        <v>47128</v>
      </c>
      <c r="K3407" t="s">
        <v>47113</v>
      </c>
      <c r="L3407">
        <v>12.18</v>
      </c>
      <c r="M3407">
        <v>26</v>
      </c>
      <c r="N3407">
        <v>0</v>
      </c>
      <c r="O3407">
        <v>26</v>
      </c>
      <c r="P3407">
        <v>0</v>
      </c>
    </row>
    <row r="3408" spans="1:16" x14ac:dyDescent="0.25">
      <c r="A3408" t="s">
        <v>25827</v>
      </c>
      <c r="B3408" t="s">
        <v>4406</v>
      </c>
      <c r="C3408" t="s">
        <v>454</v>
      </c>
      <c r="D3408" t="str">
        <f>"1377"</f>
        <v>1377</v>
      </c>
      <c r="E3408" t="s">
        <v>74</v>
      </c>
      <c r="F3408" t="s">
        <v>0</v>
      </c>
      <c r="G3408" t="s">
        <v>16221</v>
      </c>
      <c r="H3408" t="s">
        <v>47126</v>
      </c>
      <c r="I3408" t="s">
        <v>47127</v>
      </c>
      <c r="J3408" t="s">
        <v>47128</v>
      </c>
      <c r="K3408" t="s">
        <v>47113</v>
      </c>
      <c r="L3408">
        <v>12.18</v>
      </c>
      <c r="M3408">
        <v>26</v>
      </c>
      <c r="N3408">
        <v>0</v>
      </c>
      <c r="O3408">
        <v>26</v>
      </c>
      <c r="P3408">
        <v>0</v>
      </c>
    </row>
    <row r="3409" spans="1:16" x14ac:dyDescent="0.25">
      <c r="A3409" t="s">
        <v>25828</v>
      </c>
      <c r="B3409" t="s">
        <v>4406</v>
      </c>
      <c r="C3409" t="s">
        <v>454</v>
      </c>
      <c r="D3409" t="str">
        <f>"1378"</f>
        <v>1378</v>
      </c>
      <c r="E3409" t="s">
        <v>388</v>
      </c>
      <c r="F3409" t="s">
        <v>0</v>
      </c>
      <c r="G3409" t="s">
        <v>16221</v>
      </c>
      <c r="H3409" t="s">
        <v>47126</v>
      </c>
      <c r="I3409" t="s">
        <v>47127</v>
      </c>
      <c r="J3409" t="s">
        <v>47128</v>
      </c>
      <c r="K3409" t="s">
        <v>47113</v>
      </c>
      <c r="L3409">
        <v>12.18</v>
      </c>
      <c r="M3409">
        <v>26</v>
      </c>
      <c r="N3409">
        <v>0</v>
      </c>
      <c r="O3409">
        <v>26</v>
      </c>
      <c r="P3409">
        <v>0</v>
      </c>
    </row>
    <row r="3410" spans="1:16" x14ac:dyDescent="0.25">
      <c r="A3410" t="s">
        <v>25829</v>
      </c>
      <c r="B3410" t="s">
        <v>4406</v>
      </c>
      <c r="C3410" t="s">
        <v>454</v>
      </c>
      <c r="D3410" t="str">
        <f>"1700"</f>
        <v>1700</v>
      </c>
      <c r="E3410" t="s">
        <v>60</v>
      </c>
      <c r="F3410" t="s">
        <v>0</v>
      </c>
      <c r="G3410" t="s">
        <v>16221</v>
      </c>
      <c r="H3410" t="s">
        <v>47126</v>
      </c>
      <c r="I3410" t="s">
        <v>47127</v>
      </c>
      <c r="J3410" t="s">
        <v>47128</v>
      </c>
      <c r="K3410" t="s">
        <v>47113</v>
      </c>
      <c r="L3410">
        <v>12.18</v>
      </c>
      <c r="M3410">
        <v>26</v>
      </c>
      <c r="N3410">
        <v>0</v>
      </c>
      <c r="O3410">
        <v>26</v>
      </c>
      <c r="P3410">
        <v>0</v>
      </c>
    </row>
    <row r="3411" spans="1:16" x14ac:dyDescent="0.25">
      <c r="A3411" t="s">
        <v>25830</v>
      </c>
      <c r="B3411" t="s">
        <v>4406</v>
      </c>
      <c r="C3411" t="s">
        <v>454</v>
      </c>
      <c r="D3411" t="str">
        <f>"3000"</f>
        <v>3000</v>
      </c>
      <c r="E3411" t="s">
        <v>4319</v>
      </c>
      <c r="F3411" t="s">
        <v>0</v>
      </c>
      <c r="G3411" t="s">
        <v>16221</v>
      </c>
      <c r="H3411" t="s">
        <v>47126</v>
      </c>
      <c r="I3411" t="s">
        <v>47127</v>
      </c>
      <c r="J3411" t="s">
        <v>47128</v>
      </c>
      <c r="K3411" t="s">
        <v>47113</v>
      </c>
      <c r="L3411">
        <v>12.18</v>
      </c>
      <c r="M3411">
        <v>26</v>
      </c>
      <c r="N3411">
        <v>0</v>
      </c>
      <c r="O3411">
        <v>26</v>
      </c>
      <c r="P3411">
        <v>0</v>
      </c>
    </row>
    <row r="3412" spans="1:16" x14ac:dyDescent="0.25">
      <c r="A3412" t="s">
        <v>25831</v>
      </c>
      <c r="B3412" t="s">
        <v>4406</v>
      </c>
      <c r="C3412" t="s">
        <v>454</v>
      </c>
      <c r="D3412" t="str">
        <f>"4000"</f>
        <v>4000</v>
      </c>
      <c r="E3412" t="s">
        <v>2222</v>
      </c>
      <c r="F3412" t="s">
        <v>0</v>
      </c>
      <c r="G3412" t="s">
        <v>16221</v>
      </c>
      <c r="H3412" t="s">
        <v>47126</v>
      </c>
      <c r="I3412" t="s">
        <v>47127</v>
      </c>
      <c r="J3412" t="s">
        <v>47128</v>
      </c>
      <c r="K3412" t="s">
        <v>47113</v>
      </c>
      <c r="L3412">
        <v>12.18</v>
      </c>
      <c r="M3412">
        <v>26</v>
      </c>
      <c r="N3412">
        <v>0</v>
      </c>
      <c r="O3412">
        <v>26</v>
      </c>
      <c r="P3412">
        <v>0</v>
      </c>
    </row>
    <row r="3413" spans="1:16" x14ac:dyDescent="0.25">
      <c r="A3413" t="s">
        <v>25832</v>
      </c>
      <c r="B3413" t="s">
        <v>4406</v>
      </c>
      <c r="C3413" t="s">
        <v>454</v>
      </c>
      <c r="D3413" t="str">
        <f>"4643"</f>
        <v>4643</v>
      </c>
      <c r="E3413" t="s">
        <v>205</v>
      </c>
      <c r="F3413" t="s">
        <v>0</v>
      </c>
      <c r="G3413" t="s">
        <v>16221</v>
      </c>
      <c r="H3413" t="s">
        <v>47126</v>
      </c>
      <c r="I3413" t="s">
        <v>47127</v>
      </c>
      <c r="J3413" t="s">
        <v>47128</v>
      </c>
      <c r="K3413" t="s">
        <v>47113</v>
      </c>
      <c r="L3413">
        <v>12.18</v>
      </c>
      <c r="M3413">
        <v>26</v>
      </c>
      <c r="N3413">
        <v>0</v>
      </c>
      <c r="O3413">
        <v>26</v>
      </c>
      <c r="P3413">
        <v>0</v>
      </c>
    </row>
    <row r="3414" spans="1:16" x14ac:dyDescent="0.25">
      <c r="A3414" t="s">
        <v>14927</v>
      </c>
      <c r="B3414" t="s">
        <v>4407</v>
      </c>
      <c r="C3414" t="s">
        <v>4408</v>
      </c>
      <c r="D3414" t="s">
        <v>4409</v>
      </c>
      <c r="E3414" t="s">
        <v>4410</v>
      </c>
      <c r="F3414" t="s">
        <v>0</v>
      </c>
      <c r="G3414" t="s">
        <v>16221</v>
      </c>
      <c r="H3414" t="s">
        <v>47153</v>
      </c>
      <c r="I3414" t="s">
        <v>47132</v>
      </c>
      <c r="J3414" t="s">
        <v>47133</v>
      </c>
      <c r="K3414" t="s">
        <v>47113</v>
      </c>
      <c r="L3414">
        <v>21.3</v>
      </c>
      <c r="M3414">
        <v>35</v>
      </c>
      <c r="N3414">
        <v>0</v>
      </c>
      <c r="O3414">
        <v>35</v>
      </c>
      <c r="P3414">
        <v>0</v>
      </c>
    </row>
    <row r="3415" spans="1:16" x14ac:dyDescent="0.25">
      <c r="A3415" t="s">
        <v>14928</v>
      </c>
      <c r="B3415" t="s">
        <v>4407</v>
      </c>
      <c r="C3415" t="s">
        <v>4408</v>
      </c>
      <c r="D3415" t="s">
        <v>504</v>
      </c>
      <c r="E3415" t="s">
        <v>505</v>
      </c>
      <c r="F3415" t="s">
        <v>0</v>
      </c>
      <c r="G3415" t="s">
        <v>16221</v>
      </c>
      <c r="H3415" t="s">
        <v>47153</v>
      </c>
      <c r="I3415" t="s">
        <v>47132</v>
      </c>
      <c r="J3415" t="s">
        <v>47133</v>
      </c>
      <c r="K3415" t="s">
        <v>47113</v>
      </c>
      <c r="L3415">
        <v>21.3</v>
      </c>
      <c r="M3415">
        <v>35</v>
      </c>
      <c r="N3415">
        <v>0</v>
      </c>
      <c r="O3415">
        <v>35</v>
      </c>
      <c r="P3415">
        <v>0</v>
      </c>
    </row>
    <row r="3416" spans="1:16" x14ac:dyDescent="0.25">
      <c r="A3416" t="s">
        <v>25833</v>
      </c>
      <c r="B3416" t="s">
        <v>4411</v>
      </c>
      <c r="C3416" t="s">
        <v>454</v>
      </c>
      <c r="D3416" t="str">
        <f>"1377"</f>
        <v>1377</v>
      </c>
      <c r="E3416" t="s">
        <v>74</v>
      </c>
      <c r="F3416" t="s">
        <v>0</v>
      </c>
      <c r="G3416" t="s">
        <v>16221</v>
      </c>
      <c r="H3416" t="s">
        <v>47126</v>
      </c>
      <c r="I3416" t="s">
        <v>47127</v>
      </c>
      <c r="J3416" t="s">
        <v>47128</v>
      </c>
      <c r="K3416" t="s">
        <v>47113</v>
      </c>
      <c r="L3416">
        <v>13.51</v>
      </c>
      <c r="M3416">
        <v>30</v>
      </c>
      <c r="N3416">
        <v>0</v>
      </c>
      <c r="O3416">
        <v>30</v>
      </c>
      <c r="P3416">
        <v>0</v>
      </c>
    </row>
    <row r="3417" spans="1:16" x14ac:dyDescent="0.25">
      <c r="A3417" t="s">
        <v>25834</v>
      </c>
      <c r="B3417" t="s">
        <v>4411</v>
      </c>
      <c r="C3417" t="s">
        <v>454</v>
      </c>
      <c r="D3417" t="str">
        <f>"1378"</f>
        <v>1378</v>
      </c>
      <c r="E3417" t="s">
        <v>388</v>
      </c>
      <c r="F3417" t="s">
        <v>0</v>
      </c>
      <c r="G3417" t="s">
        <v>16221</v>
      </c>
      <c r="H3417" t="s">
        <v>47126</v>
      </c>
      <c r="I3417" t="s">
        <v>47127</v>
      </c>
      <c r="J3417" t="s">
        <v>47128</v>
      </c>
      <c r="K3417" t="s">
        <v>47113</v>
      </c>
      <c r="L3417">
        <v>13.51</v>
      </c>
      <c r="M3417">
        <v>30</v>
      </c>
      <c r="N3417">
        <v>0</v>
      </c>
      <c r="O3417">
        <v>30</v>
      </c>
      <c r="P3417">
        <v>0</v>
      </c>
    </row>
    <row r="3418" spans="1:16" x14ac:dyDescent="0.25">
      <c r="A3418" t="s">
        <v>25835</v>
      </c>
      <c r="B3418" t="s">
        <v>4411</v>
      </c>
      <c r="C3418" t="s">
        <v>454</v>
      </c>
      <c r="D3418" t="str">
        <f>"1700"</f>
        <v>1700</v>
      </c>
      <c r="E3418" t="s">
        <v>60</v>
      </c>
      <c r="F3418" t="s">
        <v>0</v>
      </c>
      <c r="G3418" t="s">
        <v>16221</v>
      </c>
      <c r="H3418" t="s">
        <v>47126</v>
      </c>
      <c r="I3418" t="s">
        <v>47127</v>
      </c>
      <c r="J3418" t="s">
        <v>47128</v>
      </c>
      <c r="K3418" t="s">
        <v>47113</v>
      </c>
      <c r="L3418">
        <v>13.51</v>
      </c>
      <c r="M3418">
        <v>30</v>
      </c>
      <c r="N3418">
        <v>0</v>
      </c>
      <c r="O3418">
        <v>30</v>
      </c>
      <c r="P3418">
        <v>0</v>
      </c>
    </row>
    <row r="3419" spans="1:16" x14ac:dyDescent="0.25">
      <c r="A3419" t="s">
        <v>25836</v>
      </c>
      <c r="B3419" t="s">
        <v>4411</v>
      </c>
      <c r="C3419" t="s">
        <v>454</v>
      </c>
      <c r="D3419" t="str">
        <f>"3000"</f>
        <v>3000</v>
      </c>
      <c r="E3419" t="s">
        <v>4319</v>
      </c>
      <c r="F3419" t="s">
        <v>0</v>
      </c>
      <c r="G3419" t="s">
        <v>16221</v>
      </c>
      <c r="H3419" t="s">
        <v>47126</v>
      </c>
      <c r="I3419" t="s">
        <v>47127</v>
      </c>
      <c r="J3419" t="s">
        <v>47128</v>
      </c>
      <c r="K3419" t="s">
        <v>47113</v>
      </c>
      <c r="L3419">
        <v>13.51</v>
      </c>
      <c r="M3419">
        <v>30</v>
      </c>
      <c r="N3419">
        <v>0</v>
      </c>
      <c r="O3419">
        <v>30</v>
      </c>
      <c r="P3419">
        <v>0</v>
      </c>
    </row>
    <row r="3420" spans="1:16" x14ac:dyDescent="0.25">
      <c r="A3420" t="s">
        <v>25837</v>
      </c>
      <c r="B3420" t="s">
        <v>4411</v>
      </c>
      <c r="C3420" t="s">
        <v>454</v>
      </c>
      <c r="D3420" t="str">
        <f>"4000"</f>
        <v>4000</v>
      </c>
      <c r="E3420" t="s">
        <v>2222</v>
      </c>
      <c r="F3420" t="s">
        <v>0</v>
      </c>
      <c r="G3420" t="s">
        <v>16221</v>
      </c>
      <c r="H3420" t="s">
        <v>47126</v>
      </c>
      <c r="I3420" t="s">
        <v>47127</v>
      </c>
      <c r="J3420" t="s">
        <v>47128</v>
      </c>
      <c r="K3420" t="s">
        <v>47113</v>
      </c>
      <c r="L3420">
        <v>13.51</v>
      </c>
      <c r="M3420">
        <v>30</v>
      </c>
      <c r="N3420">
        <v>0</v>
      </c>
      <c r="O3420">
        <v>30</v>
      </c>
      <c r="P3420">
        <v>0</v>
      </c>
    </row>
    <row r="3421" spans="1:16" x14ac:dyDescent="0.25">
      <c r="A3421" t="s">
        <v>25838</v>
      </c>
      <c r="B3421" t="s">
        <v>4411</v>
      </c>
      <c r="C3421" t="s">
        <v>454</v>
      </c>
      <c r="D3421" t="str">
        <f>"4643"</f>
        <v>4643</v>
      </c>
      <c r="E3421" t="s">
        <v>205</v>
      </c>
      <c r="F3421" t="s">
        <v>0</v>
      </c>
      <c r="G3421" t="s">
        <v>16221</v>
      </c>
      <c r="H3421" t="s">
        <v>47126</v>
      </c>
      <c r="I3421" t="s">
        <v>47127</v>
      </c>
      <c r="J3421" t="s">
        <v>47128</v>
      </c>
      <c r="K3421" t="s">
        <v>47113</v>
      </c>
      <c r="L3421">
        <v>13.51</v>
      </c>
      <c r="M3421">
        <v>30</v>
      </c>
      <c r="N3421">
        <v>0</v>
      </c>
      <c r="O3421">
        <v>30</v>
      </c>
      <c r="P3421">
        <v>0</v>
      </c>
    </row>
    <row r="3422" spans="1:16" x14ac:dyDescent="0.25">
      <c r="A3422" t="s">
        <v>25839</v>
      </c>
      <c r="B3422" t="s">
        <v>4411</v>
      </c>
      <c r="C3422" t="s">
        <v>454</v>
      </c>
      <c r="D3422" t="str">
        <f>"4729"</f>
        <v>4729</v>
      </c>
      <c r="E3422" t="s">
        <v>2222</v>
      </c>
      <c r="F3422" t="s">
        <v>0</v>
      </c>
      <c r="G3422" t="s">
        <v>16221</v>
      </c>
      <c r="H3422" t="s">
        <v>47126</v>
      </c>
      <c r="I3422" t="s">
        <v>47127</v>
      </c>
      <c r="J3422" t="s">
        <v>47128</v>
      </c>
      <c r="K3422" t="s">
        <v>47113</v>
      </c>
      <c r="L3422">
        <v>13.51</v>
      </c>
      <c r="M3422">
        <v>30</v>
      </c>
      <c r="N3422">
        <v>0</v>
      </c>
      <c r="O3422">
        <v>30</v>
      </c>
      <c r="P3422">
        <v>0</v>
      </c>
    </row>
    <row r="3423" spans="1:16" x14ac:dyDescent="0.25">
      <c r="A3423" t="s">
        <v>25840</v>
      </c>
      <c r="B3423" t="s">
        <v>4412</v>
      </c>
      <c r="C3423" t="s">
        <v>4413</v>
      </c>
      <c r="D3423" t="s">
        <v>4303</v>
      </c>
      <c r="E3423" t="s">
        <v>4304</v>
      </c>
      <c r="F3423" t="s">
        <v>0</v>
      </c>
      <c r="G3423" t="s">
        <v>16221</v>
      </c>
      <c r="H3423" t="s">
        <v>47153</v>
      </c>
      <c r="I3423" t="s">
        <v>47132</v>
      </c>
      <c r="J3423" t="s">
        <v>47133</v>
      </c>
      <c r="K3423" t="s">
        <v>47113</v>
      </c>
      <c r="L3423">
        <v>22.49</v>
      </c>
      <c r="M3423">
        <v>32</v>
      </c>
      <c r="N3423">
        <v>0</v>
      </c>
      <c r="O3423">
        <v>32</v>
      </c>
      <c r="P3423">
        <v>0</v>
      </c>
    </row>
    <row r="3424" spans="1:16" x14ac:dyDescent="0.25">
      <c r="A3424" t="s">
        <v>25841</v>
      </c>
      <c r="B3424" t="s">
        <v>4412</v>
      </c>
      <c r="C3424" t="s">
        <v>4413</v>
      </c>
      <c r="D3424" t="s">
        <v>4059</v>
      </c>
      <c r="E3424" t="s">
        <v>4060</v>
      </c>
      <c r="F3424" t="s">
        <v>0</v>
      </c>
      <c r="G3424" t="s">
        <v>16221</v>
      </c>
      <c r="H3424" t="s">
        <v>47153</v>
      </c>
      <c r="I3424" t="s">
        <v>47132</v>
      </c>
      <c r="J3424" t="s">
        <v>47133</v>
      </c>
      <c r="K3424" t="s">
        <v>47113</v>
      </c>
      <c r="L3424">
        <v>22.49</v>
      </c>
      <c r="M3424">
        <v>32</v>
      </c>
      <c r="N3424">
        <v>0</v>
      </c>
      <c r="O3424">
        <v>32</v>
      </c>
      <c r="P3424">
        <v>0</v>
      </c>
    </row>
    <row r="3425" spans="1:16" x14ac:dyDescent="0.25">
      <c r="A3425" t="s">
        <v>14929</v>
      </c>
      <c r="B3425" t="s">
        <v>4412</v>
      </c>
      <c r="C3425" t="s">
        <v>4413</v>
      </c>
      <c r="D3425" t="s">
        <v>406</v>
      </c>
      <c r="E3425" t="s">
        <v>407</v>
      </c>
      <c r="F3425" t="s">
        <v>0</v>
      </c>
      <c r="G3425" t="s">
        <v>16221</v>
      </c>
      <c r="H3425" t="s">
        <v>47153</v>
      </c>
      <c r="I3425" t="s">
        <v>47132</v>
      </c>
      <c r="J3425" t="s">
        <v>47133</v>
      </c>
      <c r="K3425" t="s">
        <v>47113</v>
      </c>
      <c r="L3425">
        <v>22.49</v>
      </c>
      <c r="M3425">
        <v>32</v>
      </c>
      <c r="N3425">
        <v>0</v>
      </c>
      <c r="O3425">
        <v>32</v>
      </c>
      <c r="P3425">
        <v>0</v>
      </c>
    </row>
    <row r="3426" spans="1:16" x14ac:dyDescent="0.25">
      <c r="A3426" t="s">
        <v>14930</v>
      </c>
      <c r="B3426" t="s">
        <v>4412</v>
      </c>
      <c r="C3426" t="s">
        <v>4413</v>
      </c>
      <c r="D3426" t="s">
        <v>4307</v>
      </c>
      <c r="E3426" t="s">
        <v>4308</v>
      </c>
      <c r="F3426" t="s">
        <v>0</v>
      </c>
      <c r="G3426" t="s">
        <v>16221</v>
      </c>
      <c r="H3426" t="s">
        <v>47153</v>
      </c>
      <c r="I3426" t="s">
        <v>47132</v>
      </c>
      <c r="J3426" t="s">
        <v>47133</v>
      </c>
      <c r="K3426" t="s">
        <v>47113</v>
      </c>
      <c r="L3426">
        <v>22.49</v>
      </c>
      <c r="M3426">
        <v>32</v>
      </c>
      <c r="N3426">
        <v>0</v>
      </c>
      <c r="O3426">
        <v>32</v>
      </c>
      <c r="P3426">
        <v>0</v>
      </c>
    </row>
    <row r="3427" spans="1:16" x14ac:dyDescent="0.25">
      <c r="A3427" t="s">
        <v>25842</v>
      </c>
      <c r="B3427" t="s">
        <v>4414</v>
      </c>
      <c r="C3427" t="s">
        <v>454</v>
      </c>
      <c r="D3427" t="str">
        <f>"1001"</f>
        <v>1001</v>
      </c>
      <c r="E3427" t="s">
        <v>4318</v>
      </c>
      <c r="F3427" t="s">
        <v>0</v>
      </c>
      <c r="G3427" t="s">
        <v>16221</v>
      </c>
      <c r="H3427" t="s">
        <v>47126</v>
      </c>
      <c r="I3427" t="s">
        <v>47127</v>
      </c>
      <c r="J3427" t="s">
        <v>47128</v>
      </c>
      <c r="K3427" t="s">
        <v>47113</v>
      </c>
      <c r="L3427">
        <v>13.15</v>
      </c>
      <c r="M3427">
        <v>30</v>
      </c>
      <c r="N3427">
        <v>0</v>
      </c>
      <c r="O3427">
        <v>30</v>
      </c>
      <c r="P3427">
        <v>0</v>
      </c>
    </row>
    <row r="3428" spans="1:16" x14ac:dyDescent="0.25">
      <c r="A3428" t="s">
        <v>25843</v>
      </c>
      <c r="B3428" t="s">
        <v>4414</v>
      </c>
      <c r="C3428" t="s">
        <v>454</v>
      </c>
      <c r="D3428" t="str">
        <f>"1378"</f>
        <v>1378</v>
      </c>
      <c r="E3428" t="s">
        <v>388</v>
      </c>
      <c r="F3428" t="s">
        <v>0</v>
      </c>
      <c r="G3428" t="s">
        <v>16221</v>
      </c>
      <c r="H3428" t="s">
        <v>47126</v>
      </c>
      <c r="I3428" t="s">
        <v>47127</v>
      </c>
      <c r="J3428" t="s">
        <v>47128</v>
      </c>
      <c r="K3428" t="s">
        <v>47113</v>
      </c>
      <c r="L3428">
        <v>13.15</v>
      </c>
      <c r="M3428">
        <v>30</v>
      </c>
      <c r="N3428">
        <v>0</v>
      </c>
      <c r="O3428">
        <v>30</v>
      </c>
      <c r="P3428">
        <v>0</v>
      </c>
    </row>
    <row r="3429" spans="1:16" x14ac:dyDescent="0.25">
      <c r="A3429" t="s">
        <v>25844</v>
      </c>
      <c r="B3429" t="s">
        <v>4414</v>
      </c>
      <c r="C3429" t="s">
        <v>454</v>
      </c>
      <c r="D3429" t="str">
        <f>"3000"</f>
        <v>3000</v>
      </c>
      <c r="E3429" t="s">
        <v>4319</v>
      </c>
      <c r="F3429" t="s">
        <v>0</v>
      </c>
      <c r="G3429" t="s">
        <v>16221</v>
      </c>
      <c r="H3429" t="s">
        <v>47126</v>
      </c>
      <c r="I3429" t="s">
        <v>47127</v>
      </c>
      <c r="J3429" t="s">
        <v>47128</v>
      </c>
      <c r="K3429" t="s">
        <v>47113</v>
      </c>
      <c r="L3429">
        <v>13.15</v>
      </c>
      <c r="M3429">
        <v>30</v>
      </c>
      <c r="N3429">
        <v>0</v>
      </c>
      <c r="O3429">
        <v>30</v>
      </c>
      <c r="P3429">
        <v>0</v>
      </c>
    </row>
    <row r="3430" spans="1:16" x14ac:dyDescent="0.25">
      <c r="A3430" t="s">
        <v>25845</v>
      </c>
      <c r="B3430" t="s">
        <v>4414</v>
      </c>
      <c r="C3430" t="s">
        <v>454</v>
      </c>
      <c r="D3430" t="str">
        <f>"4000"</f>
        <v>4000</v>
      </c>
      <c r="E3430" t="s">
        <v>2222</v>
      </c>
      <c r="F3430" t="s">
        <v>0</v>
      </c>
      <c r="G3430" t="s">
        <v>16221</v>
      </c>
      <c r="H3430" t="s">
        <v>47126</v>
      </c>
      <c r="I3430" t="s">
        <v>47127</v>
      </c>
      <c r="J3430" t="s">
        <v>47128</v>
      </c>
      <c r="K3430" t="s">
        <v>47113</v>
      </c>
      <c r="L3430">
        <v>13.15</v>
      </c>
      <c r="M3430">
        <v>30</v>
      </c>
      <c r="N3430">
        <v>0</v>
      </c>
      <c r="O3430">
        <v>30</v>
      </c>
      <c r="P3430">
        <v>0</v>
      </c>
    </row>
    <row r="3431" spans="1:16" x14ac:dyDescent="0.25">
      <c r="A3431" t="s">
        <v>25846</v>
      </c>
      <c r="B3431" t="s">
        <v>4414</v>
      </c>
      <c r="C3431" t="s">
        <v>454</v>
      </c>
      <c r="D3431" t="str">
        <f>"4643"</f>
        <v>4643</v>
      </c>
      <c r="E3431" t="s">
        <v>205</v>
      </c>
      <c r="F3431" t="s">
        <v>0</v>
      </c>
      <c r="G3431" t="s">
        <v>16221</v>
      </c>
      <c r="H3431" t="s">
        <v>47126</v>
      </c>
      <c r="I3431" t="s">
        <v>47127</v>
      </c>
      <c r="J3431" t="s">
        <v>47128</v>
      </c>
      <c r="K3431" t="s">
        <v>47113</v>
      </c>
      <c r="L3431">
        <v>13.15</v>
      </c>
      <c r="M3431">
        <v>30</v>
      </c>
      <c r="N3431">
        <v>0</v>
      </c>
      <c r="O3431">
        <v>30</v>
      </c>
      <c r="P3431">
        <v>0</v>
      </c>
    </row>
    <row r="3432" spans="1:16" x14ac:dyDescent="0.25">
      <c r="A3432" t="s">
        <v>25847</v>
      </c>
      <c r="B3432" t="s">
        <v>4415</v>
      </c>
      <c r="C3432" t="s">
        <v>4416</v>
      </c>
      <c r="D3432" t="s">
        <v>4305</v>
      </c>
      <c r="E3432" t="s">
        <v>4306</v>
      </c>
      <c r="F3432" t="s">
        <v>0</v>
      </c>
      <c r="G3432" t="s">
        <v>16221</v>
      </c>
      <c r="H3432" t="s">
        <v>47153</v>
      </c>
      <c r="I3432" t="s">
        <v>47132</v>
      </c>
      <c r="J3432" t="s">
        <v>47133</v>
      </c>
      <c r="K3432" t="s">
        <v>47113</v>
      </c>
      <c r="L3432">
        <v>27.23</v>
      </c>
      <c r="M3432">
        <v>46</v>
      </c>
      <c r="N3432">
        <v>0</v>
      </c>
      <c r="O3432">
        <v>46</v>
      </c>
      <c r="P3432">
        <v>0</v>
      </c>
    </row>
    <row r="3433" spans="1:16" x14ac:dyDescent="0.25">
      <c r="A3433" t="s">
        <v>25848</v>
      </c>
      <c r="B3433" t="s">
        <v>4415</v>
      </c>
      <c r="C3433" t="s">
        <v>4416</v>
      </c>
      <c r="D3433" t="s">
        <v>4307</v>
      </c>
      <c r="E3433" t="s">
        <v>4308</v>
      </c>
      <c r="F3433" t="s">
        <v>0</v>
      </c>
      <c r="G3433" t="s">
        <v>16221</v>
      </c>
      <c r="H3433" t="s">
        <v>47153</v>
      </c>
      <c r="I3433" t="s">
        <v>47132</v>
      </c>
      <c r="J3433" t="s">
        <v>47133</v>
      </c>
      <c r="K3433" t="s">
        <v>47113</v>
      </c>
      <c r="L3433">
        <v>27.23</v>
      </c>
      <c r="M3433">
        <v>46</v>
      </c>
      <c r="N3433">
        <v>0</v>
      </c>
      <c r="O3433">
        <v>46</v>
      </c>
      <c r="P3433">
        <v>0</v>
      </c>
    </row>
    <row r="3434" spans="1:16" x14ac:dyDescent="0.25">
      <c r="A3434" t="s">
        <v>25849</v>
      </c>
      <c r="B3434" t="s">
        <v>4417</v>
      </c>
      <c r="C3434" t="s">
        <v>4418</v>
      </c>
      <c r="D3434" t="str">
        <f>"1377"</f>
        <v>1377</v>
      </c>
      <c r="E3434" t="s">
        <v>74</v>
      </c>
      <c r="F3434" t="s">
        <v>0</v>
      </c>
      <c r="G3434" t="s">
        <v>16221</v>
      </c>
      <c r="H3434" t="s">
        <v>47126</v>
      </c>
      <c r="I3434" t="s">
        <v>47127</v>
      </c>
      <c r="J3434" t="s">
        <v>47128</v>
      </c>
      <c r="K3434" t="s">
        <v>47113</v>
      </c>
      <c r="L3434">
        <v>13.15</v>
      </c>
      <c r="M3434">
        <v>30</v>
      </c>
      <c r="N3434">
        <v>0</v>
      </c>
      <c r="O3434">
        <v>30</v>
      </c>
      <c r="P3434">
        <v>0</v>
      </c>
    </row>
    <row r="3435" spans="1:16" x14ac:dyDescent="0.25">
      <c r="A3435" t="s">
        <v>25850</v>
      </c>
      <c r="B3435" t="s">
        <v>4417</v>
      </c>
      <c r="C3435" t="s">
        <v>4418</v>
      </c>
      <c r="D3435" t="str">
        <f>"1378"</f>
        <v>1378</v>
      </c>
      <c r="E3435" t="s">
        <v>388</v>
      </c>
      <c r="F3435" t="s">
        <v>0</v>
      </c>
      <c r="G3435" t="s">
        <v>16221</v>
      </c>
      <c r="H3435" t="s">
        <v>47126</v>
      </c>
      <c r="I3435" t="s">
        <v>47127</v>
      </c>
      <c r="J3435" t="s">
        <v>47128</v>
      </c>
      <c r="K3435" t="s">
        <v>47113</v>
      </c>
      <c r="L3435">
        <v>13.15</v>
      </c>
      <c r="M3435">
        <v>30</v>
      </c>
      <c r="N3435">
        <v>0</v>
      </c>
      <c r="O3435">
        <v>30</v>
      </c>
      <c r="P3435">
        <v>0</v>
      </c>
    </row>
    <row r="3436" spans="1:16" x14ac:dyDescent="0.25">
      <c r="A3436" t="s">
        <v>25851</v>
      </c>
      <c r="B3436" t="s">
        <v>4417</v>
      </c>
      <c r="C3436" t="s">
        <v>4418</v>
      </c>
      <c r="D3436" t="str">
        <f>"1700"</f>
        <v>1700</v>
      </c>
      <c r="E3436" t="s">
        <v>60</v>
      </c>
      <c r="F3436" t="s">
        <v>0</v>
      </c>
      <c r="G3436" t="s">
        <v>16221</v>
      </c>
      <c r="H3436" t="s">
        <v>47126</v>
      </c>
      <c r="I3436" t="s">
        <v>47127</v>
      </c>
      <c r="J3436" t="s">
        <v>47128</v>
      </c>
      <c r="K3436" t="s">
        <v>47113</v>
      </c>
      <c r="L3436">
        <v>13.15</v>
      </c>
      <c r="M3436">
        <v>30</v>
      </c>
      <c r="N3436">
        <v>0</v>
      </c>
      <c r="O3436">
        <v>30</v>
      </c>
      <c r="P3436">
        <v>0</v>
      </c>
    </row>
    <row r="3437" spans="1:16" x14ac:dyDescent="0.25">
      <c r="A3437" t="s">
        <v>25852</v>
      </c>
      <c r="B3437" t="s">
        <v>4417</v>
      </c>
      <c r="C3437" t="s">
        <v>4418</v>
      </c>
      <c r="D3437" t="str">
        <f>"3000"</f>
        <v>3000</v>
      </c>
      <c r="E3437" t="s">
        <v>4319</v>
      </c>
      <c r="F3437" t="s">
        <v>0</v>
      </c>
      <c r="G3437" t="s">
        <v>16221</v>
      </c>
      <c r="H3437" t="s">
        <v>47126</v>
      </c>
      <c r="I3437" t="s">
        <v>47127</v>
      </c>
      <c r="J3437" t="s">
        <v>47128</v>
      </c>
      <c r="K3437" t="s">
        <v>47113</v>
      </c>
      <c r="L3437">
        <v>13.15</v>
      </c>
      <c r="M3437">
        <v>30</v>
      </c>
      <c r="N3437">
        <v>0</v>
      </c>
      <c r="O3437">
        <v>30</v>
      </c>
      <c r="P3437">
        <v>0</v>
      </c>
    </row>
    <row r="3438" spans="1:16" x14ac:dyDescent="0.25">
      <c r="A3438" t="s">
        <v>25853</v>
      </c>
      <c r="B3438" t="s">
        <v>4417</v>
      </c>
      <c r="C3438" t="s">
        <v>4418</v>
      </c>
      <c r="D3438" t="str">
        <f>"3489"</f>
        <v>3489</v>
      </c>
      <c r="E3438" t="s">
        <v>2221</v>
      </c>
      <c r="F3438" t="s">
        <v>0</v>
      </c>
      <c r="G3438" t="s">
        <v>16221</v>
      </c>
      <c r="H3438" t="s">
        <v>47126</v>
      </c>
      <c r="I3438" t="s">
        <v>47127</v>
      </c>
      <c r="J3438" t="s">
        <v>47128</v>
      </c>
      <c r="K3438" t="s">
        <v>47113</v>
      </c>
      <c r="L3438">
        <v>13.15</v>
      </c>
      <c r="M3438">
        <v>30</v>
      </c>
      <c r="N3438">
        <v>0</v>
      </c>
      <c r="O3438">
        <v>30</v>
      </c>
      <c r="P3438">
        <v>0</v>
      </c>
    </row>
    <row r="3439" spans="1:16" x14ac:dyDescent="0.25">
      <c r="A3439" t="s">
        <v>25854</v>
      </c>
      <c r="B3439" t="s">
        <v>4417</v>
      </c>
      <c r="C3439" t="s">
        <v>4418</v>
      </c>
      <c r="D3439" t="str">
        <f>"4000"</f>
        <v>4000</v>
      </c>
      <c r="E3439" t="s">
        <v>2222</v>
      </c>
      <c r="F3439" t="s">
        <v>0</v>
      </c>
      <c r="G3439" t="s">
        <v>16221</v>
      </c>
      <c r="H3439" t="s">
        <v>47126</v>
      </c>
      <c r="I3439" t="s">
        <v>47127</v>
      </c>
      <c r="J3439" t="s">
        <v>47128</v>
      </c>
      <c r="K3439" t="s">
        <v>47113</v>
      </c>
      <c r="L3439">
        <v>13.15</v>
      </c>
      <c r="M3439">
        <v>30</v>
      </c>
      <c r="N3439">
        <v>0</v>
      </c>
      <c r="O3439">
        <v>30</v>
      </c>
      <c r="P3439">
        <v>0</v>
      </c>
    </row>
    <row r="3440" spans="1:16" x14ac:dyDescent="0.25">
      <c r="A3440" t="s">
        <v>25855</v>
      </c>
      <c r="B3440" t="s">
        <v>4417</v>
      </c>
      <c r="C3440" t="s">
        <v>4418</v>
      </c>
      <c r="D3440" t="str">
        <f>"4643"</f>
        <v>4643</v>
      </c>
      <c r="E3440" t="s">
        <v>205</v>
      </c>
      <c r="F3440" t="s">
        <v>0</v>
      </c>
      <c r="G3440" t="s">
        <v>16221</v>
      </c>
      <c r="H3440" t="s">
        <v>47126</v>
      </c>
      <c r="I3440" t="s">
        <v>47127</v>
      </c>
      <c r="J3440" t="s">
        <v>47128</v>
      </c>
      <c r="K3440" t="s">
        <v>47113</v>
      </c>
      <c r="L3440">
        <v>13.15</v>
      </c>
      <c r="M3440">
        <v>30</v>
      </c>
      <c r="N3440">
        <v>0</v>
      </c>
      <c r="O3440">
        <v>30</v>
      </c>
      <c r="P3440">
        <v>0</v>
      </c>
    </row>
    <row r="3441" spans="1:16" x14ac:dyDescent="0.25">
      <c r="A3441" t="s">
        <v>25856</v>
      </c>
      <c r="B3441" t="s">
        <v>4417</v>
      </c>
      <c r="C3441" t="s">
        <v>4418</v>
      </c>
      <c r="D3441" t="str">
        <f>"4729"</f>
        <v>4729</v>
      </c>
      <c r="E3441" t="s">
        <v>2222</v>
      </c>
      <c r="F3441" t="s">
        <v>0</v>
      </c>
      <c r="G3441" t="s">
        <v>16221</v>
      </c>
      <c r="H3441" t="s">
        <v>47126</v>
      </c>
      <c r="I3441" t="s">
        <v>47127</v>
      </c>
      <c r="J3441" t="s">
        <v>47128</v>
      </c>
      <c r="K3441" t="s">
        <v>47113</v>
      </c>
      <c r="L3441">
        <v>13.15</v>
      </c>
      <c r="M3441">
        <v>30</v>
      </c>
      <c r="N3441">
        <v>0</v>
      </c>
      <c r="O3441">
        <v>30</v>
      </c>
      <c r="P3441">
        <v>0</v>
      </c>
    </row>
    <row r="3442" spans="1:16" x14ac:dyDescent="0.25">
      <c r="A3442" t="s">
        <v>25857</v>
      </c>
      <c r="B3442" t="s">
        <v>4419</v>
      </c>
      <c r="C3442" t="s">
        <v>4420</v>
      </c>
      <c r="D3442" t="s">
        <v>4303</v>
      </c>
      <c r="E3442" t="s">
        <v>4304</v>
      </c>
      <c r="F3442" t="s">
        <v>0</v>
      </c>
      <c r="G3442" t="s">
        <v>16232</v>
      </c>
      <c r="H3442" t="s">
        <v>47153</v>
      </c>
      <c r="I3442" t="s">
        <v>47132</v>
      </c>
      <c r="J3442" t="s">
        <v>47133</v>
      </c>
      <c r="K3442" t="s">
        <v>47113</v>
      </c>
      <c r="L3442">
        <v>26.04</v>
      </c>
      <c r="M3442">
        <v>45</v>
      </c>
      <c r="N3442">
        <v>0</v>
      </c>
      <c r="O3442">
        <v>45</v>
      </c>
      <c r="P3442">
        <v>0</v>
      </c>
    </row>
    <row r="3443" spans="1:16" x14ac:dyDescent="0.25">
      <c r="A3443" t="s">
        <v>25858</v>
      </c>
      <c r="B3443" t="s">
        <v>4419</v>
      </c>
      <c r="C3443" t="s">
        <v>4420</v>
      </c>
      <c r="D3443" t="s">
        <v>4059</v>
      </c>
      <c r="E3443" t="s">
        <v>4060</v>
      </c>
      <c r="F3443" t="s">
        <v>0</v>
      </c>
      <c r="G3443" t="s">
        <v>16232</v>
      </c>
      <c r="H3443" t="s">
        <v>47153</v>
      </c>
      <c r="I3443" t="s">
        <v>47132</v>
      </c>
      <c r="J3443" t="s">
        <v>47133</v>
      </c>
      <c r="K3443" t="s">
        <v>47113</v>
      </c>
      <c r="L3443">
        <v>26.04</v>
      </c>
      <c r="M3443">
        <v>45</v>
      </c>
      <c r="N3443">
        <v>0</v>
      </c>
      <c r="O3443">
        <v>45</v>
      </c>
      <c r="P3443">
        <v>0</v>
      </c>
    </row>
    <row r="3444" spans="1:16" x14ac:dyDescent="0.25">
      <c r="A3444" t="s">
        <v>25859</v>
      </c>
      <c r="B3444" t="s">
        <v>4419</v>
      </c>
      <c r="C3444" t="s">
        <v>4420</v>
      </c>
      <c r="D3444" t="s">
        <v>406</v>
      </c>
      <c r="E3444" t="s">
        <v>407</v>
      </c>
      <c r="F3444" t="s">
        <v>0</v>
      </c>
      <c r="G3444" t="s">
        <v>16232</v>
      </c>
      <c r="H3444" t="s">
        <v>47153</v>
      </c>
      <c r="I3444" t="s">
        <v>47132</v>
      </c>
      <c r="J3444" t="s">
        <v>47133</v>
      </c>
      <c r="K3444" t="s">
        <v>47113</v>
      </c>
      <c r="L3444">
        <v>26.04</v>
      </c>
      <c r="M3444">
        <v>45</v>
      </c>
      <c r="N3444">
        <v>0</v>
      </c>
      <c r="O3444">
        <v>45</v>
      </c>
      <c r="P3444">
        <v>0</v>
      </c>
    </row>
    <row r="3445" spans="1:16" x14ac:dyDescent="0.25">
      <c r="A3445" t="s">
        <v>25860</v>
      </c>
      <c r="B3445" t="s">
        <v>4419</v>
      </c>
      <c r="C3445" t="s">
        <v>4420</v>
      </c>
      <c r="D3445" t="s">
        <v>4307</v>
      </c>
      <c r="E3445" t="s">
        <v>4308</v>
      </c>
      <c r="F3445" t="s">
        <v>0</v>
      </c>
      <c r="G3445" t="s">
        <v>16232</v>
      </c>
      <c r="H3445" t="s">
        <v>47153</v>
      </c>
      <c r="I3445" t="s">
        <v>47132</v>
      </c>
      <c r="J3445" t="s">
        <v>47133</v>
      </c>
      <c r="K3445" t="s">
        <v>47113</v>
      </c>
      <c r="L3445">
        <v>26.04</v>
      </c>
      <c r="M3445">
        <v>45</v>
      </c>
      <c r="N3445">
        <v>0</v>
      </c>
      <c r="O3445">
        <v>45</v>
      </c>
      <c r="P3445">
        <v>0</v>
      </c>
    </row>
    <row r="3446" spans="1:16" x14ac:dyDescent="0.25">
      <c r="A3446" t="s">
        <v>25861</v>
      </c>
      <c r="B3446" t="s">
        <v>4421</v>
      </c>
      <c r="C3446" t="s">
        <v>454</v>
      </c>
      <c r="D3446" t="str">
        <f>"1001"</f>
        <v>1001</v>
      </c>
      <c r="E3446" t="s">
        <v>4318</v>
      </c>
      <c r="F3446" t="s">
        <v>0</v>
      </c>
      <c r="G3446" t="s">
        <v>16221</v>
      </c>
      <c r="H3446" t="s">
        <v>47126</v>
      </c>
      <c r="I3446" t="s">
        <v>47127</v>
      </c>
      <c r="J3446" t="s">
        <v>47128</v>
      </c>
      <c r="K3446" t="s">
        <v>47113</v>
      </c>
      <c r="L3446">
        <v>14.36</v>
      </c>
      <c r="M3446">
        <v>30</v>
      </c>
      <c r="N3446">
        <v>0</v>
      </c>
      <c r="O3446">
        <v>30</v>
      </c>
      <c r="P3446">
        <v>0</v>
      </c>
    </row>
    <row r="3447" spans="1:16" x14ac:dyDescent="0.25">
      <c r="A3447" t="s">
        <v>25862</v>
      </c>
      <c r="B3447" t="s">
        <v>4421</v>
      </c>
      <c r="C3447" t="s">
        <v>454</v>
      </c>
      <c r="D3447" t="str">
        <f>"1377"</f>
        <v>1377</v>
      </c>
      <c r="E3447" t="s">
        <v>74</v>
      </c>
      <c r="F3447" t="s">
        <v>0</v>
      </c>
      <c r="G3447" t="s">
        <v>16221</v>
      </c>
      <c r="H3447" t="s">
        <v>47126</v>
      </c>
      <c r="I3447" t="s">
        <v>47127</v>
      </c>
      <c r="J3447" t="s">
        <v>47128</v>
      </c>
      <c r="K3447" t="s">
        <v>47113</v>
      </c>
      <c r="L3447">
        <v>14.36</v>
      </c>
      <c r="M3447">
        <v>30</v>
      </c>
      <c r="N3447">
        <v>0</v>
      </c>
      <c r="O3447">
        <v>30</v>
      </c>
      <c r="P3447">
        <v>0</v>
      </c>
    </row>
    <row r="3448" spans="1:16" x14ac:dyDescent="0.25">
      <c r="A3448" t="s">
        <v>25863</v>
      </c>
      <c r="B3448" t="s">
        <v>4421</v>
      </c>
      <c r="C3448" t="s">
        <v>454</v>
      </c>
      <c r="D3448" t="str">
        <f>"1700"</f>
        <v>1700</v>
      </c>
      <c r="E3448" t="s">
        <v>60</v>
      </c>
      <c r="F3448" t="s">
        <v>0</v>
      </c>
      <c r="G3448" t="s">
        <v>16221</v>
      </c>
      <c r="H3448" t="s">
        <v>47126</v>
      </c>
      <c r="I3448" t="s">
        <v>47127</v>
      </c>
      <c r="J3448" t="s">
        <v>47128</v>
      </c>
      <c r="K3448" t="s">
        <v>47113</v>
      </c>
      <c r="L3448">
        <v>14.36</v>
      </c>
      <c r="M3448">
        <v>30</v>
      </c>
      <c r="N3448">
        <v>0</v>
      </c>
      <c r="O3448">
        <v>30</v>
      </c>
      <c r="P3448">
        <v>0</v>
      </c>
    </row>
    <row r="3449" spans="1:16" x14ac:dyDescent="0.25">
      <c r="A3449" t="s">
        <v>25864</v>
      </c>
      <c r="B3449" t="s">
        <v>4421</v>
      </c>
      <c r="C3449" t="s">
        <v>454</v>
      </c>
      <c r="D3449" t="str">
        <f>"4000"</f>
        <v>4000</v>
      </c>
      <c r="E3449" t="s">
        <v>2222</v>
      </c>
      <c r="F3449" t="s">
        <v>0</v>
      </c>
      <c r="G3449" t="s">
        <v>16221</v>
      </c>
      <c r="H3449" t="s">
        <v>47126</v>
      </c>
      <c r="I3449" t="s">
        <v>47127</v>
      </c>
      <c r="J3449" t="s">
        <v>47128</v>
      </c>
      <c r="K3449" t="s">
        <v>47113</v>
      </c>
      <c r="L3449">
        <v>14.36</v>
      </c>
      <c r="M3449">
        <v>30</v>
      </c>
      <c r="N3449">
        <v>0</v>
      </c>
      <c r="O3449">
        <v>30</v>
      </c>
      <c r="P3449">
        <v>0</v>
      </c>
    </row>
    <row r="3450" spans="1:16" x14ac:dyDescent="0.25">
      <c r="A3450" t="s">
        <v>25865</v>
      </c>
      <c r="B3450" t="s">
        <v>4421</v>
      </c>
      <c r="C3450" t="s">
        <v>454</v>
      </c>
      <c r="D3450" t="str">
        <f>"4643"</f>
        <v>4643</v>
      </c>
      <c r="E3450" t="s">
        <v>205</v>
      </c>
      <c r="F3450" t="s">
        <v>0</v>
      </c>
      <c r="G3450" t="s">
        <v>16221</v>
      </c>
      <c r="H3450" t="s">
        <v>47126</v>
      </c>
      <c r="I3450" t="s">
        <v>47127</v>
      </c>
      <c r="J3450" t="s">
        <v>47128</v>
      </c>
      <c r="K3450" t="s">
        <v>47113</v>
      </c>
      <c r="L3450">
        <v>14.36</v>
      </c>
      <c r="M3450">
        <v>30</v>
      </c>
      <c r="N3450">
        <v>0</v>
      </c>
      <c r="O3450">
        <v>30</v>
      </c>
      <c r="P3450">
        <v>0</v>
      </c>
    </row>
    <row r="3451" spans="1:16" x14ac:dyDescent="0.25">
      <c r="A3451" t="s">
        <v>25866</v>
      </c>
      <c r="B3451" t="s">
        <v>4421</v>
      </c>
      <c r="C3451" t="s">
        <v>454</v>
      </c>
      <c r="D3451" t="str">
        <f>"4729"</f>
        <v>4729</v>
      </c>
      <c r="E3451" t="s">
        <v>2222</v>
      </c>
      <c r="F3451" t="s">
        <v>0</v>
      </c>
      <c r="G3451" t="s">
        <v>16221</v>
      </c>
      <c r="H3451" t="s">
        <v>47126</v>
      </c>
      <c r="I3451" t="s">
        <v>47127</v>
      </c>
      <c r="J3451" t="s">
        <v>47128</v>
      </c>
      <c r="K3451" t="s">
        <v>47113</v>
      </c>
      <c r="L3451">
        <v>14.36</v>
      </c>
      <c r="M3451">
        <v>30</v>
      </c>
      <c r="N3451">
        <v>0</v>
      </c>
      <c r="O3451">
        <v>30</v>
      </c>
      <c r="P3451">
        <v>0</v>
      </c>
    </row>
    <row r="3452" spans="1:16" x14ac:dyDescent="0.25">
      <c r="A3452" t="s">
        <v>25867</v>
      </c>
      <c r="B3452" t="s">
        <v>4422</v>
      </c>
      <c r="C3452" t="s">
        <v>454</v>
      </c>
      <c r="D3452" t="str">
        <f>"1377"</f>
        <v>1377</v>
      </c>
      <c r="E3452" t="s">
        <v>74</v>
      </c>
      <c r="F3452" t="s">
        <v>0</v>
      </c>
      <c r="G3452" t="s">
        <v>16221</v>
      </c>
      <c r="H3452" t="s">
        <v>47126</v>
      </c>
      <c r="I3452" t="s">
        <v>47127</v>
      </c>
      <c r="J3452" t="s">
        <v>47128</v>
      </c>
      <c r="K3452" t="s">
        <v>47113</v>
      </c>
      <c r="L3452">
        <v>12.55</v>
      </c>
      <c r="M3452">
        <v>26</v>
      </c>
      <c r="N3452">
        <v>0</v>
      </c>
      <c r="O3452">
        <v>26</v>
      </c>
      <c r="P3452">
        <v>0</v>
      </c>
    </row>
    <row r="3453" spans="1:16" x14ac:dyDescent="0.25">
      <c r="A3453" t="s">
        <v>25868</v>
      </c>
      <c r="B3453" t="s">
        <v>4422</v>
      </c>
      <c r="C3453" t="s">
        <v>454</v>
      </c>
      <c r="D3453" t="str">
        <f>"1378"</f>
        <v>1378</v>
      </c>
      <c r="E3453" t="s">
        <v>388</v>
      </c>
      <c r="F3453" t="s">
        <v>0</v>
      </c>
      <c r="G3453" t="s">
        <v>16221</v>
      </c>
      <c r="H3453" t="s">
        <v>47126</v>
      </c>
      <c r="I3453" t="s">
        <v>47127</v>
      </c>
      <c r="J3453" t="s">
        <v>47128</v>
      </c>
      <c r="K3453" t="s">
        <v>47113</v>
      </c>
      <c r="L3453">
        <v>12.55</v>
      </c>
      <c r="M3453">
        <v>26</v>
      </c>
      <c r="N3453">
        <v>0</v>
      </c>
      <c r="O3453">
        <v>26</v>
      </c>
      <c r="P3453">
        <v>0</v>
      </c>
    </row>
    <row r="3454" spans="1:16" x14ac:dyDescent="0.25">
      <c r="A3454" t="s">
        <v>25869</v>
      </c>
      <c r="B3454" t="s">
        <v>4422</v>
      </c>
      <c r="C3454" t="s">
        <v>454</v>
      </c>
      <c r="D3454" t="str">
        <f>"1700"</f>
        <v>1700</v>
      </c>
      <c r="E3454" t="s">
        <v>60</v>
      </c>
      <c r="F3454" t="s">
        <v>0</v>
      </c>
      <c r="G3454" t="s">
        <v>16221</v>
      </c>
      <c r="H3454" t="s">
        <v>47126</v>
      </c>
      <c r="I3454" t="s">
        <v>47127</v>
      </c>
      <c r="J3454" t="s">
        <v>47128</v>
      </c>
      <c r="K3454" t="s">
        <v>47113</v>
      </c>
      <c r="L3454">
        <v>12.55</v>
      </c>
      <c r="M3454">
        <v>26</v>
      </c>
      <c r="N3454">
        <v>0</v>
      </c>
      <c r="O3454">
        <v>26</v>
      </c>
      <c r="P3454">
        <v>0</v>
      </c>
    </row>
    <row r="3455" spans="1:16" x14ac:dyDescent="0.25">
      <c r="A3455" t="s">
        <v>25870</v>
      </c>
      <c r="B3455" t="s">
        <v>4422</v>
      </c>
      <c r="C3455" t="s">
        <v>454</v>
      </c>
      <c r="D3455" t="str">
        <f>"3000"</f>
        <v>3000</v>
      </c>
      <c r="E3455" t="s">
        <v>4319</v>
      </c>
      <c r="F3455" t="s">
        <v>0</v>
      </c>
      <c r="G3455" t="s">
        <v>16221</v>
      </c>
      <c r="H3455" t="s">
        <v>47126</v>
      </c>
      <c r="I3455" t="s">
        <v>47127</v>
      </c>
      <c r="J3455" t="s">
        <v>47128</v>
      </c>
      <c r="K3455" t="s">
        <v>47113</v>
      </c>
      <c r="L3455">
        <v>12.55</v>
      </c>
      <c r="M3455">
        <v>26</v>
      </c>
      <c r="N3455">
        <v>0</v>
      </c>
      <c r="O3455">
        <v>26</v>
      </c>
      <c r="P3455">
        <v>0</v>
      </c>
    </row>
    <row r="3456" spans="1:16" x14ac:dyDescent="0.25">
      <c r="A3456" t="s">
        <v>25871</v>
      </c>
      <c r="B3456" t="s">
        <v>4422</v>
      </c>
      <c r="C3456" t="s">
        <v>454</v>
      </c>
      <c r="D3456" t="str">
        <f>"4000"</f>
        <v>4000</v>
      </c>
      <c r="E3456" t="s">
        <v>2222</v>
      </c>
      <c r="F3456" t="s">
        <v>0</v>
      </c>
      <c r="G3456" t="s">
        <v>16221</v>
      </c>
      <c r="H3456" t="s">
        <v>47126</v>
      </c>
      <c r="I3456" t="s">
        <v>47127</v>
      </c>
      <c r="J3456" t="s">
        <v>47128</v>
      </c>
      <c r="K3456" t="s">
        <v>47113</v>
      </c>
      <c r="L3456">
        <v>12.55</v>
      </c>
      <c r="M3456">
        <v>26</v>
      </c>
      <c r="N3456">
        <v>0</v>
      </c>
      <c r="O3456">
        <v>26</v>
      </c>
      <c r="P3456">
        <v>0</v>
      </c>
    </row>
    <row r="3457" spans="1:16" x14ac:dyDescent="0.25">
      <c r="A3457" t="s">
        <v>25872</v>
      </c>
      <c r="B3457" t="s">
        <v>4423</v>
      </c>
      <c r="C3457" t="s">
        <v>454</v>
      </c>
      <c r="D3457" t="str">
        <f>"1001"</f>
        <v>1001</v>
      </c>
      <c r="E3457" t="s">
        <v>4318</v>
      </c>
      <c r="F3457" t="s">
        <v>0</v>
      </c>
      <c r="G3457" t="s">
        <v>16221</v>
      </c>
      <c r="H3457" t="s">
        <v>47126</v>
      </c>
      <c r="I3457" t="s">
        <v>47127</v>
      </c>
      <c r="J3457" t="s">
        <v>47128</v>
      </c>
      <c r="K3457" t="s">
        <v>47113</v>
      </c>
      <c r="L3457">
        <v>13.15</v>
      </c>
      <c r="M3457">
        <v>30</v>
      </c>
      <c r="N3457">
        <v>0</v>
      </c>
      <c r="O3457">
        <v>30</v>
      </c>
      <c r="P3457">
        <v>0</v>
      </c>
    </row>
    <row r="3458" spans="1:16" x14ac:dyDescent="0.25">
      <c r="A3458" t="s">
        <v>25873</v>
      </c>
      <c r="B3458" t="s">
        <v>4423</v>
      </c>
      <c r="C3458" t="s">
        <v>454</v>
      </c>
      <c r="D3458" t="str">
        <f>"1285"</f>
        <v>1285</v>
      </c>
      <c r="E3458" t="s">
        <v>4312</v>
      </c>
      <c r="F3458" t="s">
        <v>0</v>
      </c>
      <c r="G3458" t="s">
        <v>16221</v>
      </c>
      <c r="H3458" t="s">
        <v>47126</v>
      </c>
      <c r="I3458" t="s">
        <v>47127</v>
      </c>
      <c r="J3458" t="s">
        <v>47128</v>
      </c>
      <c r="K3458" t="s">
        <v>47113</v>
      </c>
      <c r="L3458">
        <v>13.15</v>
      </c>
      <c r="M3458">
        <v>30</v>
      </c>
      <c r="N3458">
        <v>0</v>
      </c>
      <c r="O3458">
        <v>30</v>
      </c>
      <c r="P3458">
        <v>0</v>
      </c>
    </row>
    <row r="3459" spans="1:16" x14ac:dyDescent="0.25">
      <c r="A3459" t="s">
        <v>25874</v>
      </c>
      <c r="B3459" t="s">
        <v>4423</v>
      </c>
      <c r="C3459" t="s">
        <v>454</v>
      </c>
      <c r="D3459" t="str">
        <f>"1377"</f>
        <v>1377</v>
      </c>
      <c r="E3459" t="s">
        <v>74</v>
      </c>
      <c r="F3459" t="s">
        <v>0</v>
      </c>
      <c r="G3459" t="s">
        <v>16221</v>
      </c>
      <c r="H3459" t="s">
        <v>47126</v>
      </c>
      <c r="I3459" t="s">
        <v>47127</v>
      </c>
      <c r="J3459" t="s">
        <v>47128</v>
      </c>
      <c r="K3459" t="s">
        <v>47113</v>
      </c>
      <c r="L3459">
        <v>13.15</v>
      </c>
      <c r="M3459">
        <v>30</v>
      </c>
      <c r="N3459">
        <v>0</v>
      </c>
      <c r="O3459">
        <v>30</v>
      </c>
      <c r="P3459">
        <v>0</v>
      </c>
    </row>
    <row r="3460" spans="1:16" x14ac:dyDescent="0.25">
      <c r="A3460" t="s">
        <v>25875</v>
      </c>
      <c r="B3460" t="s">
        <v>4423</v>
      </c>
      <c r="C3460" t="s">
        <v>454</v>
      </c>
      <c r="D3460" t="str">
        <f>"1700"</f>
        <v>1700</v>
      </c>
      <c r="E3460" t="s">
        <v>60</v>
      </c>
      <c r="F3460" t="s">
        <v>0</v>
      </c>
      <c r="G3460" t="s">
        <v>16221</v>
      </c>
      <c r="H3460" t="s">
        <v>47126</v>
      </c>
      <c r="I3460" t="s">
        <v>47127</v>
      </c>
      <c r="J3460" t="s">
        <v>47128</v>
      </c>
      <c r="K3460" t="s">
        <v>47113</v>
      </c>
      <c r="L3460">
        <v>13.15</v>
      </c>
      <c r="M3460">
        <v>30</v>
      </c>
      <c r="N3460">
        <v>0</v>
      </c>
      <c r="O3460">
        <v>30</v>
      </c>
      <c r="P3460">
        <v>0</v>
      </c>
    </row>
    <row r="3461" spans="1:16" x14ac:dyDescent="0.25">
      <c r="A3461" t="s">
        <v>25876</v>
      </c>
      <c r="B3461" t="s">
        <v>4423</v>
      </c>
      <c r="C3461" t="s">
        <v>454</v>
      </c>
      <c r="D3461" t="str">
        <f>"3000"</f>
        <v>3000</v>
      </c>
      <c r="E3461" t="s">
        <v>4319</v>
      </c>
      <c r="F3461" t="s">
        <v>0</v>
      </c>
      <c r="G3461" t="s">
        <v>16221</v>
      </c>
      <c r="H3461" t="s">
        <v>47126</v>
      </c>
      <c r="I3461" t="s">
        <v>47127</v>
      </c>
      <c r="J3461" t="s">
        <v>47128</v>
      </c>
      <c r="K3461" t="s">
        <v>47113</v>
      </c>
      <c r="L3461">
        <v>13.15</v>
      </c>
      <c r="M3461">
        <v>30</v>
      </c>
      <c r="N3461">
        <v>0</v>
      </c>
      <c r="O3461">
        <v>30</v>
      </c>
      <c r="P3461">
        <v>0</v>
      </c>
    </row>
    <row r="3462" spans="1:16" x14ac:dyDescent="0.25">
      <c r="A3462" t="s">
        <v>25877</v>
      </c>
      <c r="B3462" t="s">
        <v>4423</v>
      </c>
      <c r="C3462" t="s">
        <v>454</v>
      </c>
      <c r="D3462" t="str">
        <f>"4000"</f>
        <v>4000</v>
      </c>
      <c r="E3462" t="s">
        <v>461</v>
      </c>
      <c r="F3462" t="s">
        <v>0</v>
      </c>
      <c r="G3462" t="s">
        <v>16221</v>
      </c>
      <c r="H3462" t="s">
        <v>47126</v>
      </c>
      <c r="I3462" t="s">
        <v>47127</v>
      </c>
      <c r="J3462" t="s">
        <v>47128</v>
      </c>
      <c r="K3462" t="s">
        <v>47113</v>
      </c>
      <c r="L3462">
        <v>13.15</v>
      </c>
      <c r="M3462">
        <v>30</v>
      </c>
      <c r="N3462">
        <v>0</v>
      </c>
      <c r="O3462">
        <v>30</v>
      </c>
      <c r="P3462">
        <v>0</v>
      </c>
    </row>
    <row r="3463" spans="1:16" x14ac:dyDescent="0.25">
      <c r="A3463" t="s">
        <v>25878</v>
      </c>
      <c r="B3463" t="s">
        <v>4423</v>
      </c>
      <c r="C3463" t="s">
        <v>454</v>
      </c>
      <c r="D3463" t="str">
        <f>"4643"</f>
        <v>4643</v>
      </c>
      <c r="E3463" t="s">
        <v>205</v>
      </c>
      <c r="F3463" t="s">
        <v>0</v>
      </c>
      <c r="G3463" t="s">
        <v>16221</v>
      </c>
      <c r="H3463" t="s">
        <v>47126</v>
      </c>
      <c r="I3463" t="s">
        <v>47127</v>
      </c>
      <c r="J3463" t="s">
        <v>47128</v>
      </c>
      <c r="K3463" t="s">
        <v>47113</v>
      </c>
      <c r="L3463">
        <v>13.15</v>
      </c>
      <c r="M3463">
        <v>30</v>
      </c>
      <c r="N3463">
        <v>0</v>
      </c>
      <c r="O3463">
        <v>30</v>
      </c>
      <c r="P3463">
        <v>0</v>
      </c>
    </row>
    <row r="3464" spans="1:16" x14ac:dyDescent="0.25">
      <c r="A3464" t="s">
        <v>25879</v>
      </c>
      <c r="B3464" t="s">
        <v>4423</v>
      </c>
      <c r="C3464" t="s">
        <v>454</v>
      </c>
      <c r="D3464" t="str">
        <f>"4730"</f>
        <v>4730</v>
      </c>
      <c r="E3464" t="s">
        <v>461</v>
      </c>
      <c r="F3464" t="s">
        <v>0</v>
      </c>
      <c r="G3464" t="s">
        <v>16221</v>
      </c>
      <c r="H3464" t="s">
        <v>47126</v>
      </c>
      <c r="I3464" t="s">
        <v>47127</v>
      </c>
      <c r="J3464" t="s">
        <v>47128</v>
      </c>
      <c r="K3464" t="s">
        <v>47113</v>
      </c>
      <c r="L3464">
        <v>13.15</v>
      </c>
      <c r="M3464">
        <v>30</v>
      </c>
      <c r="N3464">
        <v>0</v>
      </c>
      <c r="O3464">
        <v>30</v>
      </c>
      <c r="P3464">
        <v>0</v>
      </c>
    </row>
    <row r="3465" spans="1:16" x14ac:dyDescent="0.25">
      <c r="A3465" t="s">
        <v>25880</v>
      </c>
      <c r="B3465" t="s">
        <v>4423</v>
      </c>
      <c r="C3465" t="s">
        <v>454</v>
      </c>
      <c r="D3465" t="str">
        <f>"6064"</f>
        <v>6064</v>
      </c>
      <c r="E3465" t="s">
        <v>87</v>
      </c>
      <c r="F3465" t="s">
        <v>0</v>
      </c>
      <c r="G3465" t="s">
        <v>16221</v>
      </c>
      <c r="H3465" t="s">
        <v>47126</v>
      </c>
      <c r="I3465" t="s">
        <v>47127</v>
      </c>
      <c r="J3465" t="s">
        <v>47128</v>
      </c>
      <c r="K3465" t="s">
        <v>47113</v>
      </c>
      <c r="L3465">
        <v>13.15</v>
      </c>
      <c r="M3465">
        <v>30</v>
      </c>
      <c r="N3465">
        <v>0</v>
      </c>
      <c r="O3465">
        <v>30</v>
      </c>
      <c r="P3465">
        <v>0</v>
      </c>
    </row>
    <row r="3466" spans="1:16" x14ac:dyDescent="0.25">
      <c r="A3466" t="s">
        <v>25881</v>
      </c>
      <c r="B3466" t="s">
        <v>4424</v>
      </c>
      <c r="C3466" t="s">
        <v>4425</v>
      </c>
      <c r="D3466" t="str">
        <f>"1377"</f>
        <v>1377</v>
      </c>
      <c r="E3466" t="s">
        <v>74</v>
      </c>
      <c r="F3466" t="s">
        <v>0</v>
      </c>
      <c r="G3466" t="s">
        <v>16221</v>
      </c>
      <c r="H3466" t="s">
        <v>47126</v>
      </c>
      <c r="I3466" t="s">
        <v>47127</v>
      </c>
      <c r="J3466" t="s">
        <v>47128</v>
      </c>
      <c r="K3466" t="s">
        <v>47113</v>
      </c>
      <c r="L3466">
        <v>12.18</v>
      </c>
      <c r="M3466">
        <v>26</v>
      </c>
      <c r="N3466">
        <v>0</v>
      </c>
      <c r="O3466">
        <v>26</v>
      </c>
      <c r="P3466">
        <v>0</v>
      </c>
    </row>
    <row r="3467" spans="1:16" x14ac:dyDescent="0.25">
      <c r="A3467" t="s">
        <v>25882</v>
      </c>
      <c r="B3467" t="s">
        <v>4424</v>
      </c>
      <c r="C3467" t="s">
        <v>4425</v>
      </c>
      <c r="D3467" t="str">
        <f>"1378"</f>
        <v>1378</v>
      </c>
      <c r="E3467" t="s">
        <v>388</v>
      </c>
      <c r="F3467" t="s">
        <v>0</v>
      </c>
      <c r="G3467" t="s">
        <v>16221</v>
      </c>
      <c r="H3467" t="s">
        <v>47126</v>
      </c>
      <c r="I3467" t="s">
        <v>47127</v>
      </c>
      <c r="J3467" t="s">
        <v>47128</v>
      </c>
      <c r="K3467" t="s">
        <v>47113</v>
      </c>
      <c r="L3467">
        <v>12.18</v>
      </c>
      <c r="M3467">
        <v>26</v>
      </c>
      <c r="N3467">
        <v>0</v>
      </c>
      <c r="O3467">
        <v>26</v>
      </c>
      <c r="P3467">
        <v>0</v>
      </c>
    </row>
    <row r="3468" spans="1:16" x14ac:dyDescent="0.25">
      <c r="A3468" t="s">
        <v>25883</v>
      </c>
      <c r="B3468" t="s">
        <v>4424</v>
      </c>
      <c r="C3468" t="s">
        <v>4425</v>
      </c>
      <c r="D3468" t="str">
        <f>"1700"</f>
        <v>1700</v>
      </c>
      <c r="E3468" t="s">
        <v>60</v>
      </c>
      <c r="F3468" t="s">
        <v>0</v>
      </c>
      <c r="G3468" t="s">
        <v>16221</v>
      </c>
      <c r="H3468" t="s">
        <v>47126</v>
      </c>
      <c r="I3468" t="s">
        <v>47127</v>
      </c>
      <c r="J3468" t="s">
        <v>47128</v>
      </c>
      <c r="K3468" t="s">
        <v>47113</v>
      </c>
      <c r="L3468">
        <v>12.18</v>
      </c>
      <c r="M3468">
        <v>26</v>
      </c>
      <c r="N3468">
        <v>0</v>
      </c>
      <c r="O3468">
        <v>26</v>
      </c>
      <c r="P3468">
        <v>0</v>
      </c>
    </row>
    <row r="3469" spans="1:16" x14ac:dyDescent="0.25">
      <c r="A3469" t="s">
        <v>25884</v>
      </c>
      <c r="B3469" t="s">
        <v>4424</v>
      </c>
      <c r="C3469" t="s">
        <v>4425</v>
      </c>
      <c r="D3469" t="str">
        <f>"3000"</f>
        <v>3000</v>
      </c>
      <c r="E3469" t="s">
        <v>4319</v>
      </c>
      <c r="F3469" t="s">
        <v>0</v>
      </c>
      <c r="G3469" t="s">
        <v>16221</v>
      </c>
      <c r="H3469" t="s">
        <v>47126</v>
      </c>
      <c r="I3469" t="s">
        <v>47127</v>
      </c>
      <c r="J3469" t="s">
        <v>47128</v>
      </c>
      <c r="K3469" t="s">
        <v>47113</v>
      </c>
      <c r="L3469">
        <v>12.18</v>
      </c>
      <c r="M3469">
        <v>26</v>
      </c>
      <c r="N3469">
        <v>0</v>
      </c>
      <c r="O3469">
        <v>26</v>
      </c>
      <c r="P3469">
        <v>0</v>
      </c>
    </row>
    <row r="3470" spans="1:16" x14ac:dyDescent="0.25">
      <c r="A3470" t="s">
        <v>25885</v>
      </c>
      <c r="B3470" t="s">
        <v>4424</v>
      </c>
      <c r="C3470" t="s">
        <v>4425</v>
      </c>
      <c r="D3470" t="str">
        <f>"4000"</f>
        <v>4000</v>
      </c>
      <c r="E3470" t="s">
        <v>2222</v>
      </c>
      <c r="F3470" t="s">
        <v>0</v>
      </c>
      <c r="G3470" t="s">
        <v>16221</v>
      </c>
      <c r="H3470" t="s">
        <v>47126</v>
      </c>
      <c r="I3470" t="s">
        <v>47127</v>
      </c>
      <c r="J3470" t="s">
        <v>47128</v>
      </c>
      <c r="K3470" t="s">
        <v>47113</v>
      </c>
      <c r="L3470">
        <v>12.18</v>
      </c>
      <c r="M3470">
        <v>26</v>
      </c>
      <c r="N3470">
        <v>0</v>
      </c>
      <c r="O3470">
        <v>26</v>
      </c>
      <c r="P3470">
        <v>0</v>
      </c>
    </row>
    <row r="3471" spans="1:16" x14ac:dyDescent="0.25">
      <c r="A3471" t="s">
        <v>25886</v>
      </c>
      <c r="B3471" t="s">
        <v>4424</v>
      </c>
      <c r="C3471" t="s">
        <v>4425</v>
      </c>
      <c r="D3471" t="str">
        <f>"4643"</f>
        <v>4643</v>
      </c>
      <c r="E3471" t="s">
        <v>205</v>
      </c>
      <c r="F3471" t="s">
        <v>0</v>
      </c>
      <c r="G3471" t="s">
        <v>16221</v>
      </c>
      <c r="H3471" t="s">
        <v>47126</v>
      </c>
      <c r="I3471" t="s">
        <v>47127</v>
      </c>
      <c r="J3471" t="s">
        <v>47128</v>
      </c>
      <c r="K3471" t="s">
        <v>47113</v>
      </c>
      <c r="L3471">
        <v>12.18</v>
      </c>
      <c r="M3471">
        <v>26</v>
      </c>
      <c r="N3471">
        <v>0</v>
      </c>
      <c r="O3471">
        <v>26</v>
      </c>
      <c r="P3471">
        <v>0</v>
      </c>
    </row>
    <row r="3472" spans="1:16" x14ac:dyDescent="0.25">
      <c r="A3472" t="s">
        <v>25887</v>
      </c>
      <c r="B3472" t="s">
        <v>4424</v>
      </c>
      <c r="C3472" t="s">
        <v>4425</v>
      </c>
      <c r="D3472" t="str">
        <f>"6064"</f>
        <v>6064</v>
      </c>
      <c r="E3472" t="s">
        <v>87</v>
      </c>
      <c r="F3472" t="s">
        <v>0</v>
      </c>
      <c r="G3472" t="s">
        <v>16221</v>
      </c>
      <c r="H3472" t="s">
        <v>47126</v>
      </c>
      <c r="I3472" t="s">
        <v>47127</v>
      </c>
      <c r="J3472" t="s">
        <v>47128</v>
      </c>
      <c r="K3472" t="s">
        <v>47113</v>
      </c>
      <c r="L3472">
        <v>12.18</v>
      </c>
      <c r="M3472">
        <v>26</v>
      </c>
      <c r="N3472">
        <v>0</v>
      </c>
      <c r="O3472">
        <v>26</v>
      </c>
      <c r="P3472">
        <v>0</v>
      </c>
    </row>
    <row r="3473" spans="1:16" x14ac:dyDescent="0.25">
      <c r="A3473" t="s">
        <v>25888</v>
      </c>
      <c r="B3473" t="s">
        <v>4426</v>
      </c>
      <c r="C3473" t="s">
        <v>4427</v>
      </c>
      <c r="D3473" t="str">
        <f>"1377"</f>
        <v>1377</v>
      </c>
      <c r="E3473" t="s">
        <v>74</v>
      </c>
      <c r="F3473" t="s">
        <v>0</v>
      </c>
      <c r="G3473" t="s">
        <v>16235</v>
      </c>
      <c r="H3473" t="s">
        <v>47126</v>
      </c>
      <c r="I3473" t="s">
        <v>47127</v>
      </c>
      <c r="J3473" t="s">
        <v>47128</v>
      </c>
      <c r="K3473" t="s">
        <v>47113</v>
      </c>
      <c r="L3473">
        <v>13.15</v>
      </c>
      <c r="M3473">
        <v>30</v>
      </c>
      <c r="N3473">
        <v>0</v>
      </c>
      <c r="O3473">
        <v>30</v>
      </c>
      <c r="P3473">
        <v>0</v>
      </c>
    </row>
    <row r="3474" spans="1:16" x14ac:dyDescent="0.25">
      <c r="A3474" t="s">
        <v>25889</v>
      </c>
      <c r="B3474" t="s">
        <v>4426</v>
      </c>
      <c r="C3474" t="s">
        <v>4427</v>
      </c>
      <c r="D3474" t="str">
        <f>"4730"</f>
        <v>4730</v>
      </c>
      <c r="E3474" t="s">
        <v>461</v>
      </c>
      <c r="F3474" t="s">
        <v>0</v>
      </c>
      <c r="G3474" t="s">
        <v>16235</v>
      </c>
      <c r="H3474" t="s">
        <v>47126</v>
      </c>
      <c r="I3474" t="s">
        <v>47127</v>
      </c>
      <c r="J3474" t="s">
        <v>47128</v>
      </c>
      <c r="K3474" t="s">
        <v>47113</v>
      </c>
      <c r="L3474">
        <v>13.15</v>
      </c>
      <c r="M3474">
        <v>30</v>
      </c>
      <c r="N3474">
        <v>0</v>
      </c>
      <c r="O3474">
        <v>30</v>
      </c>
      <c r="P3474">
        <v>0</v>
      </c>
    </row>
    <row r="3475" spans="1:16" x14ac:dyDescent="0.25">
      <c r="A3475" t="s">
        <v>25890</v>
      </c>
      <c r="B3475" t="s">
        <v>4428</v>
      </c>
      <c r="C3475" t="s">
        <v>4429</v>
      </c>
      <c r="D3475" t="str">
        <f>"1285"</f>
        <v>1285</v>
      </c>
      <c r="E3475" t="s">
        <v>4312</v>
      </c>
      <c r="F3475" t="s">
        <v>0</v>
      </c>
      <c r="G3475" t="s">
        <v>16221</v>
      </c>
      <c r="H3475" t="s">
        <v>47126</v>
      </c>
      <c r="I3475" t="s">
        <v>47127</v>
      </c>
      <c r="J3475" t="s">
        <v>47128</v>
      </c>
      <c r="K3475" t="s">
        <v>47113</v>
      </c>
      <c r="L3475">
        <v>12.67</v>
      </c>
      <c r="M3475">
        <v>26</v>
      </c>
      <c r="N3475">
        <v>0</v>
      </c>
      <c r="O3475">
        <v>26</v>
      </c>
      <c r="P3475">
        <v>0</v>
      </c>
    </row>
    <row r="3476" spans="1:16" x14ac:dyDescent="0.25">
      <c r="A3476" t="s">
        <v>25891</v>
      </c>
      <c r="B3476" t="s">
        <v>4428</v>
      </c>
      <c r="C3476" t="s">
        <v>4429</v>
      </c>
      <c r="D3476" t="str">
        <f>"1700"</f>
        <v>1700</v>
      </c>
      <c r="E3476" t="s">
        <v>60</v>
      </c>
      <c r="F3476" t="s">
        <v>0</v>
      </c>
      <c r="G3476" t="s">
        <v>16221</v>
      </c>
      <c r="H3476" t="s">
        <v>47126</v>
      </c>
      <c r="I3476" t="s">
        <v>47127</v>
      </c>
      <c r="J3476" t="s">
        <v>47128</v>
      </c>
      <c r="K3476" t="s">
        <v>47113</v>
      </c>
      <c r="L3476">
        <v>12.67</v>
      </c>
      <c r="M3476">
        <v>26</v>
      </c>
      <c r="N3476">
        <v>0</v>
      </c>
      <c r="O3476">
        <v>26</v>
      </c>
      <c r="P3476">
        <v>0</v>
      </c>
    </row>
    <row r="3477" spans="1:16" x14ac:dyDescent="0.25">
      <c r="A3477" t="s">
        <v>25892</v>
      </c>
      <c r="B3477" t="s">
        <v>4428</v>
      </c>
      <c r="C3477" t="s">
        <v>4429</v>
      </c>
      <c r="D3477" t="str">
        <f>"3489"</f>
        <v>3489</v>
      </c>
      <c r="E3477" t="s">
        <v>2221</v>
      </c>
      <c r="F3477" t="s">
        <v>0</v>
      </c>
      <c r="G3477" t="s">
        <v>16221</v>
      </c>
      <c r="H3477" t="s">
        <v>47126</v>
      </c>
      <c r="I3477" t="s">
        <v>47127</v>
      </c>
      <c r="J3477" t="s">
        <v>47128</v>
      </c>
      <c r="K3477" t="s">
        <v>47113</v>
      </c>
      <c r="L3477">
        <v>12.67</v>
      </c>
      <c r="M3477">
        <v>26</v>
      </c>
      <c r="N3477">
        <v>0</v>
      </c>
      <c r="O3477">
        <v>26</v>
      </c>
      <c r="P3477">
        <v>0</v>
      </c>
    </row>
    <row r="3478" spans="1:16" x14ac:dyDescent="0.25">
      <c r="A3478" t="s">
        <v>25893</v>
      </c>
      <c r="B3478" t="s">
        <v>4428</v>
      </c>
      <c r="C3478" t="s">
        <v>4429</v>
      </c>
      <c r="D3478" t="str">
        <f>"4000"</f>
        <v>4000</v>
      </c>
      <c r="E3478" t="s">
        <v>2222</v>
      </c>
      <c r="F3478" t="s">
        <v>0</v>
      </c>
      <c r="G3478" t="s">
        <v>16221</v>
      </c>
      <c r="H3478" t="s">
        <v>47126</v>
      </c>
      <c r="I3478" t="s">
        <v>47127</v>
      </c>
      <c r="J3478" t="s">
        <v>47128</v>
      </c>
      <c r="K3478" t="s">
        <v>47113</v>
      </c>
      <c r="L3478">
        <v>12.67</v>
      </c>
      <c r="M3478">
        <v>26</v>
      </c>
      <c r="N3478">
        <v>0</v>
      </c>
      <c r="O3478">
        <v>26</v>
      </c>
      <c r="P3478">
        <v>0</v>
      </c>
    </row>
    <row r="3479" spans="1:16" x14ac:dyDescent="0.25">
      <c r="A3479" t="s">
        <v>25894</v>
      </c>
      <c r="B3479" t="s">
        <v>4428</v>
      </c>
      <c r="C3479" t="s">
        <v>4429</v>
      </c>
      <c r="D3479" t="str">
        <f>"4729"</f>
        <v>4729</v>
      </c>
      <c r="E3479" t="s">
        <v>2222</v>
      </c>
      <c r="F3479" t="s">
        <v>0</v>
      </c>
      <c r="G3479" t="s">
        <v>16221</v>
      </c>
      <c r="H3479" t="s">
        <v>47126</v>
      </c>
      <c r="I3479" t="s">
        <v>47127</v>
      </c>
      <c r="J3479" t="s">
        <v>47128</v>
      </c>
      <c r="K3479" t="s">
        <v>47113</v>
      </c>
      <c r="L3479">
        <v>12.67</v>
      </c>
      <c r="M3479">
        <v>26</v>
      </c>
      <c r="N3479">
        <v>0</v>
      </c>
      <c r="O3479">
        <v>26</v>
      </c>
      <c r="P3479">
        <v>0</v>
      </c>
    </row>
    <row r="3480" spans="1:16" x14ac:dyDescent="0.25">
      <c r="A3480" t="s">
        <v>25895</v>
      </c>
      <c r="B3480" t="s">
        <v>4428</v>
      </c>
      <c r="C3480" t="s">
        <v>4429</v>
      </c>
      <c r="D3480" t="str">
        <f>"6064"</f>
        <v>6064</v>
      </c>
      <c r="E3480" t="s">
        <v>87</v>
      </c>
      <c r="F3480" t="s">
        <v>0</v>
      </c>
      <c r="G3480" t="s">
        <v>16221</v>
      </c>
      <c r="H3480" t="s">
        <v>47126</v>
      </c>
      <c r="I3480" t="s">
        <v>47127</v>
      </c>
      <c r="J3480" t="s">
        <v>47128</v>
      </c>
      <c r="K3480" t="s">
        <v>47113</v>
      </c>
      <c r="L3480">
        <v>12.67</v>
      </c>
      <c r="M3480">
        <v>26</v>
      </c>
      <c r="N3480">
        <v>0</v>
      </c>
      <c r="O3480">
        <v>26</v>
      </c>
      <c r="P3480">
        <v>0</v>
      </c>
    </row>
    <row r="3481" spans="1:16" x14ac:dyDescent="0.25">
      <c r="A3481" t="s">
        <v>25896</v>
      </c>
      <c r="B3481" t="s">
        <v>4430</v>
      </c>
      <c r="C3481" t="s">
        <v>4429</v>
      </c>
      <c r="D3481" t="str">
        <f>"1285"</f>
        <v>1285</v>
      </c>
      <c r="E3481" t="s">
        <v>4312</v>
      </c>
      <c r="F3481" t="s">
        <v>0</v>
      </c>
      <c r="G3481" t="s">
        <v>16221</v>
      </c>
      <c r="H3481" t="s">
        <v>47126</v>
      </c>
      <c r="I3481" t="s">
        <v>47127</v>
      </c>
      <c r="J3481" t="s">
        <v>47128</v>
      </c>
      <c r="K3481" t="s">
        <v>47113</v>
      </c>
      <c r="L3481">
        <v>12.18</v>
      </c>
      <c r="M3481">
        <v>26</v>
      </c>
      <c r="N3481">
        <v>0</v>
      </c>
      <c r="O3481">
        <v>26</v>
      </c>
      <c r="P3481">
        <v>0</v>
      </c>
    </row>
    <row r="3482" spans="1:16" x14ac:dyDescent="0.25">
      <c r="A3482" t="s">
        <v>25897</v>
      </c>
      <c r="B3482" t="s">
        <v>4430</v>
      </c>
      <c r="C3482" t="s">
        <v>4429</v>
      </c>
      <c r="D3482" t="str">
        <f>"4000"</f>
        <v>4000</v>
      </c>
      <c r="E3482" t="s">
        <v>2222</v>
      </c>
      <c r="F3482" t="s">
        <v>0</v>
      </c>
      <c r="G3482" t="s">
        <v>16221</v>
      </c>
      <c r="H3482" t="s">
        <v>47126</v>
      </c>
      <c r="I3482" t="s">
        <v>47127</v>
      </c>
      <c r="J3482" t="s">
        <v>47128</v>
      </c>
      <c r="K3482" t="s">
        <v>47113</v>
      </c>
      <c r="L3482">
        <v>12.18</v>
      </c>
      <c r="M3482">
        <v>26</v>
      </c>
      <c r="N3482">
        <v>0</v>
      </c>
      <c r="O3482">
        <v>26</v>
      </c>
      <c r="P3482">
        <v>0</v>
      </c>
    </row>
    <row r="3483" spans="1:16" x14ac:dyDescent="0.25">
      <c r="A3483" t="s">
        <v>25898</v>
      </c>
      <c r="B3483" t="s">
        <v>4430</v>
      </c>
      <c r="C3483" t="s">
        <v>4429</v>
      </c>
      <c r="D3483" t="str">
        <f>"6064"</f>
        <v>6064</v>
      </c>
      <c r="E3483" t="s">
        <v>87</v>
      </c>
      <c r="F3483" t="s">
        <v>0</v>
      </c>
      <c r="G3483" t="s">
        <v>16221</v>
      </c>
      <c r="H3483" t="s">
        <v>47126</v>
      </c>
      <c r="I3483" t="s">
        <v>47127</v>
      </c>
      <c r="J3483" t="s">
        <v>47128</v>
      </c>
      <c r="K3483" t="s">
        <v>47113</v>
      </c>
      <c r="L3483">
        <v>12.18</v>
      </c>
      <c r="M3483">
        <v>26</v>
      </c>
      <c r="N3483">
        <v>0</v>
      </c>
      <c r="O3483">
        <v>26</v>
      </c>
      <c r="P3483">
        <v>0</v>
      </c>
    </row>
    <row r="3484" spans="1:16" x14ac:dyDescent="0.25">
      <c r="A3484" t="s">
        <v>25899</v>
      </c>
      <c r="B3484" t="s">
        <v>4431</v>
      </c>
      <c r="C3484" t="s">
        <v>2212</v>
      </c>
      <c r="D3484" t="str">
        <f>"1001"</f>
        <v>1001</v>
      </c>
      <c r="E3484" t="s">
        <v>4318</v>
      </c>
      <c r="F3484" t="s">
        <v>0</v>
      </c>
      <c r="G3484" t="s">
        <v>16221</v>
      </c>
      <c r="H3484" t="s">
        <v>47126</v>
      </c>
      <c r="I3484" t="s">
        <v>47127</v>
      </c>
      <c r="J3484" t="s">
        <v>47128</v>
      </c>
      <c r="K3484" t="s">
        <v>47113</v>
      </c>
      <c r="L3484">
        <v>11.95</v>
      </c>
      <c r="M3484">
        <v>26</v>
      </c>
      <c r="N3484">
        <v>0</v>
      </c>
      <c r="O3484">
        <v>26</v>
      </c>
      <c r="P3484">
        <v>0</v>
      </c>
    </row>
    <row r="3485" spans="1:16" x14ac:dyDescent="0.25">
      <c r="A3485" t="s">
        <v>25900</v>
      </c>
      <c r="B3485" t="s">
        <v>4431</v>
      </c>
      <c r="C3485" t="s">
        <v>2212</v>
      </c>
      <c r="D3485" t="str">
        <f>"1377"</f>
        <v>1377</v>
      </c>
      <c r="E3485" t="s">
        <v>74</v>
      </c>
      <c r="F3485" t="s">
        <v>0</v>
      </c>
      <c r="G3485" t="s">
        <v>16221</v>
      </c>
      <c r="H3485" t="s">
        <v>47126</v>
      </c>
      <c r="I3485" t="s">
        <v>47127</v>
      </c>
      <c r="J3485" t="s">
        <v>47128</v>
      </c>
      <c r="K3485" t="s">
        <v>47113</v>
      </c>
      <c r="L3485">
        <v>11.95</v>
      </c>
      <c r="M3485">
        <v>26</v>
      </c>
      <c r="N3485">
        <v>0</v>
      </c>
      <c r="O3485">
        <v>26</v>
      </c>
      <c r="P3485">
        <v>0</v>
      </c>
    </row>
    <row r="3486" spans="1:16" x14ac:dyDescent="0.25">
      <c r="A3486" t="s">
        <v>25901</v>
      </c>
      <c r="B3486" t="s">
        <v>4431</v>
      </c>
      <c r="C3486" t="s">
        <v>2212</v>
      </c>
      <c r="D3486" t="str">
        <f>"1378"</f>
        <v>1378</v>
      </c>
      <c r="E3486" t="s">
        <v>388</v>
      </c>
      <c r="F3486" t="s">
        <v>0</v>
      </c>
      <c r="G3486" t="s">
        <v>16221</v>
      </c>
      <c r="H3486" t="s">
        <v>47126</v>
      </c>
      <c r="I3486" t="s">
        <v>47127</v>
      </c>
      <c r="J3486" t="s">
        <v>47128</v>
      </c>
      <c r="K3486" t="s">
        <v>47113</v>
      </c>
      <c r="L3486">
        <v>11.95</v>
      </c>
      <c r="M3486">
        <v>26</v>
      </c>
      <c r="N3486">
        <v>0</v>
      </c>
      <c r="O3486">
        <v>26</v>
      </c>
      <c r="P3486">
        <v>0</v>
      </c>
    </row>
    <row r="3487" spans="1:16" x14ac:dyDescent="0.25">
      <c r="A3487" t="s">
        <v>25902</v>
      </c>
      <c r="B3487" t="s">
        <v>4431</v>
      </c>
      <c r="C3487" t="s">
        <v>2212</v>
      </c>
      <c r="D3487" t="str">
        <f>"1700"</f>
        <v>1700</v>
      </c>
      <c r="E3487" t="s">
        <v>60</v>
      </c>
      <c r="F3487" t="s">
        <v>0</v>
      </c>
      <c r="G3487" t="s">
        <v>16221</v>
      </c>
      <c r="H3487" t="s">
        <v>47126</v>
      </c>
      <c r="I3487" t="s">
        <v>47127</v>
      </c>
      <c r="J3487" t="s">
        <v>47128</v>
      </c>
      <c r="K3487" t="s">
        <v>47113</v>
      </c>
      <c r="L3487">
        <v>11.95</v>
      </c>
      <c r="M3487">
        <v>26</v>
      </c>
      <c r="N3487">
        <v>0</v>
      </c>
      <c r="O3487">
        <v>26</v>
      </c>
      <c r="P3487">
        <v>0</v>
      </c>
    </row>
    <row r="3488" spans="1:16" x14ac:dyDescent="0.25">
      <c r="A3488" t="s">
        <v>25903</v>
      </c>
      <c r="B3488" t="s">
        <v>4431</v>
      </c>
      <c r="C3488" t="s">
        <v>2212</v>
      </c>
      <c r="D3488" t="str">
        <f>"4000"</f>
        <v>4000</v>
      </c>
      <c r="E3488" t="s">
        <v>2222</v>
      </c>
      <c r="F3488" t="s">
        <v>0</v>
      </c>
      <c r="G3488" t="s">
        <v>16221</v>
      </c>
      <c r="H3488" t="s">
        <v>47126</v>
      </c>
      <c r="I3488" t="s">
        <v>47127</v>
      </c>
      <c r="J3488" t="s">
        <v>47128</v>
      </c>
      <c r="K3488" t="s">
        <v>47113</v>
      </c>
      <c r="L3488">
        <v>11.95</v>
      </c>
      <c r="M3488">
        <v>26</v>
      </c>
      <c r="N3488">
        <v>0</v>
      </c>
      <c r="O3488">
        <v>26</v>
      </c>
      <c r="P3488">
        <v>0</v>
      </c>
    </row>
    <row r="3489" spans="1:16" x14ac:dyDescent="0.25">
      <c r="A3489" t="s">
        <v>25904</v>
      </c>
      <c r="B3489" t="s">
        <v>4431</v>
      </c>
      <c r="C3489" t="s">
        <v>2212</v>
      </c>
      <c r="D3489" t="str">
        <f>"4643"</f>
        <v>4643</v>
      </c>
      <c r="E3489" t="s">
        <v>205</v>
      </c>
      <c r="F3489" t="s">
        <v>0</v>
      </c>
      <c r="G3489" t="s">
        <v>16221</v>
      </c>
      <c r="H3489" t="s">
        <v>47126</v>
      </c>
      <c r="I3489" t="s">
        <v>47127</v>
      </c>
      <c r="J3489" t="s">
        <v>47128</v>
      </c>
      <c r="K3489" t="s">
        <v>47113</v>
      </c>
      <c r="L3489">
        <v>11.95</v>
      </c>
      <c r="M3489">
        <v>26</v>
      </c>
      <c r="N3489">
        <v>0</v>
      </c>
      <c r="O3489">
        <v>26</v>
      </c>
      <c r="P3489">
        <v>0</v>
      </c>
    </row>
    <row r="3490" spans="1:16" x14ac:dyDescent="0.25">
      <c r="A3490" t="s">
        <v>25905</v>
      </c>
      <c r="B3490" t="s">
        <v>4431</v>
      </c>
      <c r="C3490" t="s">
        <v>2212</v>
      </c>
      <c r="D3490" t="str">
        <f>"4730"</f>
        <v>4730</v>
      </c>
      <c r="E3490" t="s">
        <v>461</v>
      </c>
      <c r="F3490" t="s">
        <v>0</v>
      </c>
      <c r="G3490" t="s">
        <v>16221</v>
      </c>
      <c r="H3490" t="s">
        <v>47126</v>
      </c>
      <c r="I3490" t="s">
        <v>47127</v>
      </c>
      <c r="J3490" t="s">
        <v>47128</v>
      </c>
      <c r="K3490" t="s">
        <v>47113</v>
      </c>
      <c r="L3490">
        <v>11.95</v>
      </c>
      <c r="M3490">
        <v>26</v>
      </c>
      <c r="N3490">
        <v>0</v>
      </c>
      <c r="O3490">
        <v>26</v>
      </c>
      <c r="P3490">
        <v>0</v>
      </c>
    </row>
    <row r="3491" spans="1:16" x14ac:dyDescent="0.25">
      <c r="A3491" t="s">
        <v>25906</v>
      </c>
      <c r="B3491" t="s">
        <v>4432</v>
      </c>
      <c r="C3491" t="s">
        <v>4433</v>
      </c>
      <c r="D3491" t="str">
        <f>"1285"</f>
        <v>1285</v>
      </c>
      <c r="E3491" t="s">
        <v>4312</v>
      </c>
      <c r="F3491" t="s">
        <v>0</v>
      </c>
      <c r="G3491" t="s">
        <v>16221</v>
      </c>
      <c r="H3491" t="s">
        <v>47126</v>
      </c>
      <c r="I3491" t="s">
        <v>47127</v>
      </c>
      <c r="J3491" t="s">
        <v>47128</v>
      </c>
      <c r="K3491" t="s">
        <v>47113</v>
      </c>
      <c r="L3491">
        <v>13.15</v>
      </c>
      <c r="M3491">
        <v>30</v>
      </c>
      <c r="N3491">
        <v>0</v>
      </c>
      <c r="O3491">
        <v>30</v>
      </c>
      <c r="P3491">
        <v>0</v>
      </c>
    </row>
    <row r="3492" spans="1:16" x14ac:dyDescent="0.25">
      <c r="A3492" t="s">
        <v>25907</v>
      </c>
      <c r="B3492" t="s">
        <v>4432</v>
      </c>
      <c r="C3492" t="s">
        <v>4433</v>
      </c>
      <c r="D3492" t="str">
        <f>"1378"</f>
        <v>1378</v>
      </c>
      <c r="E3492" t="s">
        <v>388</v>
      </c>
      <c r="F3492" t="s">
        <v>0</v>
      </c>
      <c r="G3492" t="s">
        <v>16221</v>
      </c>
      <c r="H3492" t="s">
        <v>47126</v>
      </c>
      <c r="I3492" t="s">
        <v>47127</v>
      </c>
      <c r="J3492" t="s">
        <v>47128</v>
      </c>
      <c r="K3492" t="s">
        <v>47113</v>
      </c>
      <c r="L3492">
        <v>13.15</v>
      </c>
      <c r="M3492">
        <v>30</v>
      </c>
      <c r="N3492">
        <v>0</v>
      </c>
      <c r="O3492">
        <v>30</v>
      </c>
      <c r="P3492">
        <v>0</v>
      </c>
    </row>
    <row r="3493" spans="1:16" x14ac:dyDescent="0.25">
      <c r="A3493" t="s">
        <v>25908</v>
      </c>
      <c r="B3493" t="s">
        <v>4432</v>
      </c>
      <c r="C3493" t="s">
        <v>4433</v>
      </c>
      <c r="D3493" t="str">
        <f>"3489"</f>
        <v>3489</v>
      </c>
      <c r="E3493" t="s">
        <v>2221</v>
      </c>
      <c r="F3493" t="s">
        <v>0</v>
      </c>
      <c r="G3493" t="s">
        <v>16221</v>
      </c>
      <c r="H3493" t="s">
        <v>47126</v>
      </c>
      <c r="I3493" t="s">
        <v>47127</v>
      </c>
      <c r="J3493" t="s">
        <v>47128</v>
      </c>
      <c r="K3493" t="s">
        <v>47113</v>
      </c>
      <c r="L3493">
        <v>13.15</v>
      </c>
      <c r="M3493">
        <v>30</v>
      </c>
      <c r="N3493">
        <v>0</v>
      </c>
      <c r="O3493">
        <v>30</v>
      </c>
      <c r="P3493">
        <v>0</v>
      </c>
    </row>
    <row r="3494" spans="1:16" x14ac:dyDescent="0.25">
      <c r="A3494" t="s">
        <v>25909</v>
      </c>
      <c r="B3494" t="s">
        <v>4432</v>
      </c>
      <c r="C3494" t="s">
        <v>4433</v>
      </c>
      <c r="D3494" t="str">
        <f>"4000"</f>
        <v>4000</v>
      </c>
      <c r="E3494" t="s">
        <v>2222</v>
      </c>
      <c r="F3494" t="s">
        <v>0</v>
      </c>
      <c r="G3494" t="s">
        <v>16221</v>
      </c>
      <c r="H3494" t="s">
        <v>47126</v>
      </c>
      <c r="I3494" t="s">
        <v>47127</v>
      </c>
      <c r="J3494" t="s">
        <v>47128</v>
      </c>
      <c r="K3494" t="s">
        <v>47113</v>
      </c>
      <c r="L3494">
        <v>13.15</v>
      </c>
      <c r="M3494">
        <v>30</v>
      </c>
      <c r="N3494">
        <v>0</v>
      </c>
      <c r="O3494">
        <v>30</v>
      </c>
      <c r="P3494">
        <v>0</v>
      </c>
    </row>
    <row r="3495" spans="1:16" x14ac:dyDescent="0.25">
      <c r="A3495" t="s">
        <v>25910</v>
      </c>
      <c r="B3495" t="s">
        <v>4432</v>
      </c>
      <c r="C3495" t="s">
        <v>4433</v>
      </c>
      <c r="D3495" t="str">
        <f>"4729"</f>
        <v>4729</v>
      </c>
      <c r="E3495" t="s">
        <v>2222</v>
      </c>
      <c r="F3495" t="s">
        <v>0</v>
      </c>
      <c r="G3495" t="s">
        <v>16221</v>
      </c>
      <c r="H3495" t="s">
        <v>47126</v>
      </c>
      <c r="I3495" t="s">
        <v>47127</v>
      </c>
      <c r="J3495" t="s">
        <v>47128</v>
      </c>
      <c r="K3495" t="s">
        <v>47113</v>
      </c>
      <c r="L3495">
        <v>13.15</v>
      </c>
      <c r="M3495">
        <v>30</v>
      </c>
      <c r="N3495">
        <v>0</v>
      </c>
      <c r="O3495">
        <v>30</v>
      </c>
      <c r="P3495">
        <v>0</v>
      </c>
    </row>
    <row r="3496" spans="1:16" x14ac:dyDescent="0.25">
      <c r="A3496" t="s">
        <v>25911</v>
      </c>
      <c r="B3496" t="s">
        <v>4432</v>
      </c>
      <c r="C3496" t="s">
        <v>4433</v>
      </c>
      <c r="D3496" t="str">
        <f>"6064"</f>
        <v>6064</v>
      </c>
      <c r="E3496" t="s">
        <v>87</v>
      </c>
      <c r="F3496" t="s">
        <v>0</v>
      </c>
      <c r="G3496" t="s">
        <v>16221</v>
      </c>
      <c r="H3496" t="s">
        <v>47126</v>
      </c>
      <c r="I3496" t="s">
        <v>47127</v>
      </c>
      <c r="J3496" t="s">
        <v>47128</v>
      </c>
      <c r="K3496" t="s">
        <v>47113</v>
      </c>
      <c r="L3496">
        <v>13.15</v>
      </c>
      <c r="M3496">
        <v>30</v>
      </c>
      <c r="N3496">
        <v>0</v>
      </c>
      <c r="O3496">
        <v>30</v>
      </c>
      <c r="P3496">
        <v>0</v>
      </c>
    </row>
    <row r="3497" spans="1:16" x14ac:dyDescent="0.25">
      <c r="A3497" t="s">
        <v>25912</v>
      </c>
      <c r="B3497" t="s">
        <v>4434</v>
      </c>
      <c r="C3497" t="s">
        <v>4433</v>
      </c>
      <c r="D3497" t="str">
        <f>"1378"</f>
        <v>1378</v>
      </c>
      <c r="E3497" t="s">
        <v>388</v>
      </c>
      <c r="F3497" t="s">
        <v>0</v>
      </c>
      <c r="G3497" t="s">
        <v>16221</v>
      </c>
      <c r="H3497" t="s">
        <v>47126</v>
      </c>
      <c r="I3497" t="s">
        <v>47127</v>
      </c>
      <c r="J3497" t="s">
        <v>47128</v>
      </c>
      <c r="K3497" t="s">
        <v>47113</v>
      </c>
      <c r="L3497">
        <v>14.36</v>
      </c>
      <c r="M3497">
        <v>30</v>
      </c>
      <c r="N3497">
        <v>0</v>
      </c>
      <c r="O3497">
        <v>30</v>
      </c>
      <c r="P3497">
        <v>0</v>
      </c>
    </row>
    <row r="3498" spans="1:16" x14ac:dyDescent="0.25">
      <c r="A3498" t="s">
        <v>25913</v>
      </c>
      <c r="B3498" t="s">
        <v>4434</v>
      </c>
      <c r="C3498" t="s">
        <v>4433</v>
      </c>
      <c r="D3498" t="str">
        <f>"3000"</f>
        <v>3000</v>
      </c>
      <c r="E3498" t="s">
        <v>4319</v>
      </c>
      <c r="F3498" t="s">
        <v>0</v>
      </c>
      <c r="G3498" t="s">
        <v>16221</v>
      </c>
      <c r="H3498" t="s">
        <v>47126</v>
      </c>
      <c r="I3498" t="s">
        <v>47127</v>
      </c>
      <c r="J3498" t="s">
        <v>47128</v>
      </c>
      <c r="K3498" t="s">
        <v>47113</v>
      </c>
      <c r="L3498">
        <v>14.36</v>
      </c>
      <c r="M3498">
        <v>30</v>
      </c>
      <c r="N3498">
        <v>0</v>
      </c>
      <c r="O3498">
        <v>30</v>
      </c>
      <c r="P3498">
        <v>0</v>
      </c>
    </row>
    <row r="3499" spans="1:16" x14ac:dyDescent="0.25">
      <c r="A3499" t="s">
        <v>25914</v>
      </c>
      <c r="B3499" t="s">
        <v>4434</v>
      </c>
      <c r="C3499" t="s">
        <v>4433</v>
      </c>
      <c r="D3499" t="str">
        <f>"4000"</f>
        <v>4000</v>
      </c>
      <c r="E3499" t="s">
        <v>2222</v>
      </c>
      <c r="F3499" t="s">
        <v>0</v>
      </c>
      <c r="G3499" t="s">
        <v>16221</v>
      </c>
      <c r="H3499" t="s">
        <v>47126</v>
      </c>
      <c r="I3499" t="s">
        <v>47127</v>
      </c>
      <c r="J3499" t="s">
        <v>47128</v>
      </c>
      <c r="K3499" t="s">
        <v>47113</v>
      </c>
      <c r="L3499">
        <v>14.36</v>
      </c>
      <c r="M3499">
        <v>30</v>
      </c>
      <c r="N3499">
        <v>0</v>
      </c>
      <c r="O3499">
        <v>30</v>
      </c>
      <c r="P3499">
        <v>0</v>
      </c>
    </row>
    <row r="3500" spans="1:16" x14ac:dyDescent="0.25">
      <c r="A3500" t="s">
        <v>25915</v>
      </c>
      <c r="B3500" t="s">
        <v>4434</v>
      </c>
      <c r="C3500" t="s">
        <v>4433</v>
      </c>
      <c r="D3500" t="str">
        <f>"4643"</f>
        <v>4643</v>
      </c>
      <c r="E3500" t="s">
        <v>205</v>
      </c>
      <c r="F3500" t="s">
        <v>0</v>
      </c>
      <c r="G3500" t="s">
        <v>16221</v>
      </c>
      <c r="H3500" t="s">
        <v>47126</v>
      </c>
      <c r="I3500" t="s">
        <v>47127</v>
      </c>
      <c r="J3500" t="s">
        <v>47128</v>
      </c>
      <c r="K3500" t="s">
        <v>47113</v>
      </c>
      <c r="L3500">
        <v>14.36</v>
      </c>
      <c r="M3500">
        <v>30</v>
      </c>
      <c r="N3500">
        <v>0</v>
      </c>
      <c r="O3500">
        <v>30</v>
      </c>
      <c r="P3500">
        <v>0</v>
      </c>
    </row>
    <row r="3501" spans="1:16" x14ac:dyDescent="0.25">
      <c r="A3501" t="s">
        <v>25916</v>
      </c>
      <c r="B3501" t="s">
        <v>4434</v>
      </c>
      <c r="C3501" t="s">
        <v>4433</v>
      </c>
      <c r="D3501" t="str">
        <f>"4729"</f>
        <v>4729</v>
      </c>
      <c r="E3501" t="s">
        <v>2222</v>
      </c>
      <c r="F3501" t="s">
        <v>0</v>
      </c>
      <c r="G3501" t="s">
        <v>16221</v>
      </c>
      <c r="H3501" t="s">
        <v>47126</v>
      </c>
      <c r="I3501" t="s">
        <v>47127</v>
      </c>
      <c r="J3501" t="s">
        <v>47128</v>
      </c>
      <c r="K3501" t="s">
        <v>47113</v>
      </c>
      <c r="L3501">
        <v>13.15</v>
      </c>
      <c r="M3501">
        <v>30</v>
      </c>
      <c r="N3501">
        <v>0</v>
      </c>
      <c r="O3501">
        <v>30</v>
      </c>
      <c r="P3501">
        <v>0</v>
      </c>
    </row>
    <row r="3502" spans="1:16" x14ac:dyDescent="0.25">
      <c r="A3502" t="s">
        <v>25917</v>
      </c>
      <c r="B3502" t="s">
        <v>4435</v>
      </c>
      <c r="C3502" t="s">
        <v>4436</v>
      </c>
      <c r="D3502" t="str">
        <f>"1377"</f>
        <v>1377</v>
      </c>
      <c r="E3502" t="s">
        <v>74</v>
      </c>
      <c r="F3502" t="s">
        <v>0</v>
      </c>
      <c r="G3502" t="s">
        <v>16221</v>
      </c>
      <c r="H3502" t="s">
        <v>47126</v>
      </c>
      <c r="I3502" t="s">
        <v>47127</v>
      </c>
      <c r="J3502" t="s">
        <v>47128</v>
      </c>
      <c r="K3502" t="s">
        <v>47113</v>
      </c>
      <c r="L3502">
        <v>17.850000000000001</v>
      </c>
      <c r="M3502">
        <v>37</v>
      </c>
      <c r="N3502">
        <v>0</v>
      </c>
      <c r="O3502">
        <v>37</v>
      </c>
      <c r="P3502">
        <v>0</v>
      </c>
    </row>
    <row r="3503" spans="1:16" x14ac:dyDescent="0.25">
      <c r="A3503" t="s">
        <v>25918</v>
      </c>
      <c r="B3503" t="s">
        <v>4435</v>
      </c>
      <c r="C3503" t="s">
        <v>4436</v>
      </c>
      <c r="D3503" t="str">
        <f>"1378"</f>
        <v>1378</v>
      </c>
      <c r="E3503" t="s">
        <v>388</v>
      </c>
      <c r="F3503" t="s">
        <v>0</v>
      </c>
      <c r="G3503" t="s">
        <v>16221</v>
      </c>
      <c r="H3503" t="s">
        <v>47126</v>
      </c>
      <c r="I3503" t="s">
        <v>47127</v>
      </c>
      <c r="J3503" t="s">
        <v>47128</v>
      </c>
      <c r="K3503" t="s">
        <v>47113</v>
      </c>
      <c r="L3503">
        <v>17.850000000000001</v>
      </c>
      <c r="M3503">
        <v>37</v>
      </c>
      <c r="N3503">
        <v>0</v>
      </c>
      <c r="O3503">
        <v>37</v>
      </c>
      <c r="P3503">
        <v>0</v>
      </c>
    </row>
    <row r="3504" spans="1:16" x14ac:dyDescent="0.25">
      <c r="A3504" t="s">
        <v>25919</v>
      </c>
      <c r="B3504" t="s">
        <v>4435</v>
      </c>
      <c r="C3504" t="s">
        <v>4436</v>
      </c>
      <c r="D3504" t="str">
        <f>"1700"</f>
        <v>1700</v>
      </c>
      <c r="E3504" t="s">
        <v>60</v>
      </c>
      <c r="F3504" t="s">
        <v>0</v>
      </c>
      <c r="G3504" t="s">
        <v>16221</v>
      </c>
      <c r="H3504" t="s">
        <v>47126</v>
      </c>
      <c r="I3504" t="s">
        <v>47127</v>
      </c>
      <c r="J3504" t="s">
        <v>47128</v>
      </c>
      <c r="K3504" t="s">
        <v>47113</v>
      </c>
      <c r="L3504">
        <v>17.850000000000001</v>
      </c>
      <c r="M3504">
        <v>37</v>
      </c>
      <c r="N3504">
        <v>0</v>
      </c>
      <c r="O3504">
        <v>37</v>
      </c>
      <c r="P3504">
        <v>0</v>
      </c>
    </row>
    <row r="3505" spans="1:16" x14ac:dyDescent="0.25">
      <c r="A3505" t="s">
        <v>25920</v>
      </c>
      <c r="B3505" t="s">
        <v>4435</v>
      </c>
      <c r="C3505" t="s">
        <v>4436</v>
      </c>
      <c r="D3505" t="str">
        <f>"4000"</f>
        <v>4000</v>
      </c>
      <c r="E3505" t="s">
        <v>2222</v>
      </c>
      <c r="F3505" t="s">
        <v>0</v>
      </c>
      <c r="G3505" t="s">
        <v>16221</v>
      </c>
      <c r="H3505" t="s">
        <v>47126</v>
      </c>
      <c r="I3505" t="s">
        <v>47127</v>
      </c>
      <c r="J3505" t="s">
        <v>47128</v>
      </c>
      <c r="K3505" t="s">
        <v>47113</v>
      </c>
      <c r="L3505">
        <v>17.850000000000001</v>
      </c>
      <c r="M3505">
        <v>37</v>
      </c>
      <c r="N3505">
        <v>0</v>
      </c>
      <c r="O3505">
        <v>37</v>
      </c>
      <c r="P3505">
        <v>0</v>
      </c>
    </row>
    <row r="3506" spans="1:16" x14ac:dyDescent="0.25">
      <c r="A3506" t="s">
        <v>25921</v>
      </c>
      <c r="B3506" t="s">
        <v>4435</v>
      </c>
      <c r="C3506" t="s">
        <v>4436</v>
      </c>
      <c r="D3506" t="str">
        <f>"4643"</f>
        <v>4643</v>
      </c>
      <c r="E3506" t="s">
        <v>205</v>
      </c>
      <c r="F3506" t="s">
        <v>0</v>
      </c>
      <c r="G3506" t="s">
        <v>16221</v>
      </c>
      <c r="H3506" t="s">
        <v>47126</v>
      </c>
      <c r="I3506" t="s">
        <v>47127</v>
      </c>
      <c r="J3506" t="s">
        <v>47128</v>
      </c>
      <c r="K3506" t="s">
        <v>47113</v>
      </c>
      <c r="L3506">
        <v>17.850000000000001</v>
      </c>
      <c r="M3506">
        <v>37</v>
      </c>
      <c r="N3506">
        <v>0</v>
      </c>
      <c r="O3506">
        <v>37</v>
      </c>
      <c r="P3506">
        <v>0</v>
      </c>
    </row>
    <row r="3507" spans="1:16" x14ac:dyDescent="0.25">
      <c r="A3507" t="s">
        <v>25922</v>
      </c>
      <c r="B3507" t="s">
        <v>4435</v>
      </c>
      <c r="C3507" t="s">
        <v>4436</v>
      </c>
      <c r="D3507" t="str">
        <f>"4729"</f>
        <v>4729</v>
      </c>
      <c r="E3507" t="s">
        <v>2222</v>
      </c>
      <c r="F3507" t="s">
        <v>0</v>
      </c>
      <c r="G3507" t="s">
        <v>16221</v>
      </c>
      <c r="H3507" t="s">
        <v>47126</v>
      </c>
      <c r="I3507" t="s">
        <v>47127</v>
      </c>
      <c r="J3507" t="s">
        <v>47128</v>
      </c>
      <c r="K3507" t="s">
        <v>47113</v>
      </c>
      <c r="L3507">
        <v>17.850000000000001</v>
      </c>
      <c r="M3507">
        <v>37</v>
      </c>
      <c r="N3507">
        <v>0</v>
      </c>
      <c r="O3507">
        <v>37</v>
      </c>
      <c r="P3507">
        <v>0</v>
      </c>
    </row>
    <row r="3508" spans="1:16" x14ac:dyDescent="0.25">
      <c r="A3508" t="s">
        <v>25923</v>
      </c>
      <c r="B3508" t="s">
        <v>4437</v>
      </c>
      <c r="C3508" t="s">
        <v>4438</v>
      </c>
      <c r="D3508" t="str">
        <f>"1378"</f>
        <v>1378</v>
      </c>
      <c r="E3508" t="s">
        <v>388</v>
      </c>
      <c r="F3508" t="s">
        <v>0</v>
      </c>
      <c r="G3508" t="s">
        <v>16221</v>
      </c>
      <c r="H3508" t="s">
        <v>47126</v>
      </c>
      <c r="I3508" t="s">
        <v>47127</v>
      </c>
      <c r="J3508" t="s">
        <v>47128</v>
      </c>
      <c r="K3508" t="s">
        <v>47113</v>
      </c>
      <c r="L3508">
        <v>15.57</v>
      </c>
      <c r="M3508">
        <v>33</v>
      </c>
      <c r="N3508">
        <v>0</v>
      </c>
      <c r="O3508">
        <v>33</v>
      </c>
      <c r="P3508">
        <v>0</v>
      </c>
    </row>
    <row r="3509" spans="1:16" x14ac:dyDescent="0.25">
      <c r="A3509" t="s">
        <v>25924</v>
      </c>
      <c r="B3509" t="s">
        <v>4437</v>
      </c>
      <c r="C3509" t="s">
        <v>4438</v>
      </c>
      <c r="D3509" t="str">
        <f>"3000"</f>
        <v>3000</v>
      </c>
      <c r="E3509" t="s">
        <v>4319</v>
      </c>
      <c r="F3509" t="s">
        <v>0</v>
      </c>
      <c r="G3509" t="s">
        <v>16221</v>
      </c>
      <c r="H3509" t="s">
        <v>47126</v>
      </c>
      <c r="I3509" t="s">
        <v>47127</v>
      </c>
      <c r="J3509" t="s">
        <v>47128</v>
      </c>
      <c r="K3509" t="s">
        <v>47113</v>
      </c>
      <c r="L3509">
        <v>15.57</v>
      </c>
      <c r="M3509">
        <v>33</v>
      </c>
      <c r="N3509">
        <v>0</v>
      </c>
      <c r="O3509">
        <v>33</v>
      </c>
      <c r="P3509">
        <v>0</v>
      </c>
    </row>
    <row r="3510" spans="1:16" x14ac:dyDescent="0.25">
      <c r="A3510" t="s">
        <v>25925</v>
      </c>
      <c r="B3510" t="s">
        <v>4437</v>
      </c>
      <c r="C3510" t="s">
        <v>4438</v>
      </c>
      <c r="D3510" t="str">
        <f>"4000"</f>
        <v>4000</v>
      </c>
      <c r="E3510" t="s">
        <v>461</v>
      </c>
      <c r="F3510" t="s">
        <v>0</v>
      </c>
      <c r="G3510" t="s">
        <v>16221</v>
      </c>
      <c r="H3510" t="s">
        <v>47126</v>
      </c>
      <c r="I3510" t="s">
        <v>47127</v>
      </c>
      <c r="J3510" t="s">
        <v>47128</v>
      </c>
      <c r="K3510" t="s">
        <v>47113</v>
      </c>
      <c r="L3510">
        <v>15.57</v>
      </c>
      <c r="M3510">
        <v>33</v>
      </c>
      <c r="N3510">
        <v>0</v>
      </c>
      <c r="O3510">
        <v>33</v>
      </c>
      <c r="P3510">
        <v>0</v>
      </c>
    </row>
    <row r="3511" spans="1:16" x14ac:dyDescent="0.25">
      <c r="A3511" t="s">
        <v>25926</v>
      </c>
      <c r="B3511" t="s">
        <v>4437</v>
      </c>
      <c r="C3511" t="s">
        <v>4438</v>
      </c>
      <c r="D3511" t="str">
        <f>"4643"</f>
        <v>4643</v>
      </c>
      <c r="E3511" t="s">
        <v>205</v>
      </c>
      <c r="F3511" t="s">
        <v>0</v>
      </c>
      <c r="G3511" t="s">
        <v>16221</v>
      </c>
      <c r="H3511" t="s">
        <v>47126</v>
      </c>
      <c r="I3511" t="s">
        <v>47127</v>
      </c>
      <c r="J3511" t="s">
        <v>47128</v>
      </c>
      <c r="K3511" t="s">
        <v>47113</v>
      </c>
      <c r="L3511">
        <v>15.57</v>
      </c>
      <c r="M3511">
        <v>33</v>
      </c>
      <c r="N3511">
        <v>0</v>
      </c>
      <c r="O3511">
        <v>33</v>
      </c>
      <c r="P3511">
        <v>0</v>
      </c>
    </row>
    <row r="3512" spans="1:16" x14ac:dyDescent="0.25">
      <c r="A3512" t="s">
        <v>25927</v>
      </c>
      <c r="B3512" t="s">
        <v>4437</v>
      </c>
      <c r="C3512" t="s">
        <v>4438</v>
      </c>
      <c r="D3512" t="str">
        <f>"4730"</f>
        <v>4730</v>
      </c>
      <c r="E3512" t="s">
        <v>461</v>
      </c>
      <c r="F3512" t="s">
        <v>0</v>
      </c>
      <c r="G3512" t="s">
        <v>16221</v>
      </c>
      <c r="H3512" t="s">
        <v>47126</v>
      </c>
      <c r="I3512" t="s">
        <v>47127</v>
      </c>
      <c r="J3512" t="s">
        <v>47128</v>
      </c>
      <c r="K3512" t="s">
        <v>47113</v>
      </c>
      <c r="L3512">
        <v>15.57</v>
      </c>
      <c r="M3512">
        <v>33</v>
      </c>
      <c r="N3512">
        <v>0</v>
      </c>
      <c r="O3512">
        <v>33</v>
      </c>
      <c r="P3512">
        <v>0</v>
      </c>
    </row>
    <row r="3513" spans="1:16" x14ac:dyDescent="0.25">
      <c r="A3513" t="s">
        <v>25928</v>
      </c>
      <c r="B3513" t="s">
        <v>4439</v>
      </c>
      <c r="C3513" t="s">
        <v>4438</v>
      </c>
      <c r="D3513" t="str">
        <f>"1377"</f>
        <v>1377</v>
      </c>
      <c r="E3513" t="s">
        <v>74</v>
      </c>
      <c r="F3513" t="s">
        <v>0</v>
      </c>
      <c r="G3513" t="s">
        <v>16221</v>
      </c>
      <c r="H3513" t="s">
        <v>47126</v>
      </c>
      <c r="I3513" t="s">
        <v>47127</v>
      </c>
      <c r="J3513" t="s">
        <v>47128</v>
      </c>
      <c r="K3513" t="s">
        <v>47113</v>
      </c>
      <c r="L3513">
        <v>17.5</v>
      </c>
      <c r="M3513">
        <v>37</v>
      </c>
      <c r="N3513">
        <v>0</v>
      </c>
      <c r="O3513">
        <v>37</v>
      </c>
      <c r="P3513">
        <v>0</v>
      </c>
    </row>
    <row r="3514" spans="1:16" x14ac:dyDescent="0.25">
      <c r="A3514" t="s">
        <v>25929</v>
      </c>
      <c r="B3514" t="s">
        <v>4439</v>
      </c>
      <c r="C3514" t="s">
        <v>4438</v>
      </c>
      <c r="D3514" t="str">
        <f>"1378"</f>
        <v>1378</v>
      </c>
      <c r="E3514" t="s">
        <v>388</v>
      </c>
      <c r="F3514" t="s">
        <v>0</v>
      </c>
      <c r="G3514" t="s">
        <v>16221</v>
      </c>
      <c r="H3514" t="s">
        <v>47126</v>
      </c>
      <c r="I3514" t="s">
        <v>47127</v>
      </c>
      <c r="J3514" t="s">
        <v>47128</v>
      </c>
      <c r="K3514" t="s">
        <v>47113</v>
      </c>
      <c r="L3514">
        <v>17.5</v>
      </c>
      <c r="M3514">
        <v>37</v>
      </c>
      <c r="N3514">
        <v>0</v>
      </c>
      <c r="O3514">
        <v>37</v>
      </c>
      <c r="P3514">
        <v>0</v>
      </c>
    </row>
    <row r="3515" spans="1:16" x14ac:dyDescent="0.25">
      <c r="A3515" t="s">
        <v>25930</v>
      </c>
      <c r="B3515" t="s">
        <v>4439</v>
      </c>
      <c r="C3515" t="s">
        <v>4438</v>
      </c>
      <c r="D3515" t="str">
        <f>"3000"</f>
        <v>3000</v>
      </c>
      <c r="E3515" t="s">
        <v>2220</v>
      </c>
      <c r="F3515" t="s">
        <v>0</v>
      </c>
      <c r="G3515" t="s">
        <v>16221</v>
      </c>
      <c r="H3515" t="s">
        <v>47126</v>
      </c>
      <c r="I3515" t="s">
        <v>47127</v>
      </c>
      <c r="J3515" t="s">
        <v>47128</v>
      </c>
      <c r="K3515" t="s">
        <v>47113</v>
      </c>
      <c r="L3515">
        <v>17.5</v>
      </c>
      <c r="M3515">
        <v>37</v>
      </c>
      <c r="N3515">
        <v>0</v>
      </c>
      <c r="O3515">
        <v>37</v>
      </c>
      <c r="P3515">
        <v>0</v>
      </c>
    </row>
    <row r="3516" spans="1:16" x14ac:dyDescent="0.25">
      <c r="A3516" t="s">
        <v>25931</v>
      </c>
      <c r="B3516" t="s">
        <v>4439</v>
      </c>
      <c r="C3516" t="s">
        <v>4438</v>
      </c>
      <c r="D3516" t="str">
        <f>"4643"</f>
        <v>4643</v>
      </c>
      <c r="E3516" t="s">
        <v>205</v>
      </c>
      <c r="F3516" t="s">
        <v>0</v>
      </c>
      <c r="G3516" t="s">
        <v>16221</v>
      </c>
      <c r="H3516" t="s">
        <v>47126</v>
      </c>
      <c r="I3516" t="s">
        <v>47127</v>
      </c>
      <c r="J3516" t="s">
        <v>47128</v>
      </c>
      <c r="K3516" t="s">
        <v>47113</v>
      </c>
      <c r="L3516">
        <v>17.5</v>
      </c>
      <c r="M3516">
        <v>37</v>
      </c>
      <c r="N3516">
        <v>0</v>
      </c>
      <c r="O3516">
        <v>37</v>
      </c>
      <c r="P3516">
        <v>0</v>
      </c>
    </row>
    <row r="3517" spans="1:16" x14ac:dyDescent="0.25">
      <c r="A3517" t="s">
        <v>25932</v>
      </c>
      <c r="B3517" t="s">
        <v>4439</v>
      </c>
      <c r="C3517" t="s">
        <v>4438</v>
      </c>
      <c r="D3517" t="str">
        <f>"4729"</f>
        <v>4729</v>
      </c>
      <c r="E3517" t="s">
        <v>2222</v>
      </c>
      <c r="F3517" t="s">
        <v>0</v>
      </c>
      <c r="G3517" t="s">
        <v>16221</v>
      </c>
      <c r="H3517" t="s">
        <v>47126</v>
      </c>
      <c r="I3517" t="s">
        <v>47127</v>
      </c>
      <c r="J3517" t="s">
        <v>47128</v>
      </c>
      <c r="K3517" t="s">
        <v>47113</v>
      </c>
      <c r="L3517">
        <v>17.5</v>
      </c>
      <c r="M3517">
        <v>37</v>
      </c>
      <c r="N3517">
        <v>0</v>
      </c>
      <c r="O3517">
        <v>37</v>
      </c>
      <c r="P3517">
        <v>0</v>
      </c>
    </row>
    <row r="3518" spans="1:16" x14ac:dyDescent="0.25">
      <c r="A3518" t="s">
        <v>25933</v>
      </c>
      <c r="B3518" t="s">
        <v>4439</v>
      </c>
      <c r="C3518" t="s">
        <v>4438</v>
      </c>
      <c r="D3518" t="str">
        <f>"4730"</f>
        <v>4730</v>
      </c>
      <c r="E3518" t="s">
        <v>461</v>
      </c>
      <c r="F3518" t="s">
        <v>0</v>
      </c>
      <c r="G3518" t="s">
        <v>16221</v>
      </c>
      <c r="H3518" t="s">
        <v>47126</v>
      </c>
      <c r="I3518" t="s">
        <v>47127</v>
      </c>
      <c r="J3518" t="s">
        <v>47128</v>
      </c>
      <c r="K3518" t="s">
        <v>47113</v>
      </c>
      <c r="L3518">
        <v>17.5</v>
      </c>
      <c r="M3518">
        <v>37</v>
      </c>
      <c r="N3518">
        <v>0</v>
      </c>
      <c r="O3518">
        <v>37</v>
      </c>
      <c r="P3518">
        <v>0</v>
      </c>
    </row>
    <row r="3519" spans="1:16" x14ac:dyDescent="0.25">
      <c r="A3519" t="s">
        <v>25934</v>
      </c>
      <c r="B3519" t="s">
        <v>4440</v>
      </c>
      <c r="C3519" t="s">
        <v>4441</v>
      </c>
      <c r="D3519" t="str">
        <f>"1377"</f>
        <v>1377</v>
      </c>
      <c r="E3519" t="s">
        <v>74</v>
      </c>
      <c r="F3519" t="s">
        <v>0</v>
      </c>
      <c r="G3519" t="s">
        <v>16221</v>
      </c>
      <c r="H3519" t="s">
        <v>47126</v>
      </c>
      <c r="I3519" t="s">
        <v>47127</v>
      </c>
      <c r="J3519" t="s">
        <v>47128</v>
      </c>
      <c r="K3519" t="s">
        <v>47113</v>
      </c>
      <c r="L3519">
        <v>15.44</v>
      </c>
      <c r="M3519">
        <v>33</v>
      </c>
      <c r="N3519">
        <v>0</v>
      </c>
      <c r="O3519">
        <v>33</v>
      </c>
      <c r="P3519">
        <v>0</v>
      </c>
    </row>
    <row r="3520" spans="1:16" x14ac:dyDescent="0.25">
      <c r="A3520" t="s">
        <v>25935</v>
      </c>
      <c r="B3520" t="s">
        <v>4440</v>
      </c>
      <c r="C3520" t="s">
        <v>4441</v>
      </c>
      <c r="D3520" t="str">
        <f>"1378"</f>
        <v>1378</v>
      </c>
      <c r="E3520" t="s">
        <v>388</v>
      </c>
      <c r="F3520" t="s">
        <v>0</v>
      </c>
      <c r="G3520" t="s">
        <v>16221</v>
      </c>
      <c r="H3520" t="s">
        <v>47126</v>
      </c>
      <c r="I3520" t="s">
        <v>47127</v>
      </c>
      <c r="J3520" t="s">
        <v>47128</v>
      </c>
      <c r="K3520" t="s">
        <v>47113</v>
      </c>
      <c r="L3520">
        <v>15.44</v>
      </c>
      <c r="M3520">
        <v>33</v>
      </c>
      <c r="N3520">
        <v>0</v>
      </c>
      <c r="O3520">
        <v>33</v>
      </c>
      <c r="P3520">
        <v>0</v>
      </c>
    </row>
    <row r="3521" spans="1:16" x14ac:dyDescent="0.25">
      <c r="A3521" t="s">
        <v>25936</v>
      </c>
      <c r="B3521" t="s">
        <v>4440</v>
      </c>
      <c r="C3521" t="s">
        <v>4441</v>
      </c>
      <c r="D3521" t="str">
        <f>"1700"</f>
        <v>1700</v>
      </c>
      <c r="E3521" t="s">
        <v>60</v>
      </c>
      <c r="F3521" t="s">
        <v>0</v>
      </c>
      <c r="G3521" t="s">
        <v>16221</v>
      </c>
      <c r="H3521" t="s">
        <v>47126</v>
      </c>
      <c r="I3521" t="s">
        <v>47127</v>
      </c>
      <c r="J3521" t="s">
        <v>47128</v>
      </c>
      <c r="K3521" t="s">
        <v>47113</v>
      </c>
      <c r="L3521">
        <v>15.44</v>
      </c>
      <c r="M3521">
        <v>33</v>
      </c>
      <c r="N3521">
        <v>0</v>
      </c>
      <c r="O3521">
        <v>33</v>
      </c>
      <c r="P3521">
        <v>0</v>
      </c>
    </row>
    <row r="3522" spans="1:16" x14ac:dyDescent="0.25">
      <c r="A3522" t="s">
        <v>25937</v>
      </c>
      <c r="B3522" t="s">
        <v>4440</v>
      </c>
      <c r="C3522" t="s">
        <v>4441</v>
      </c>
      <c r="D3522" t="str">
        <f>"4000"</f>
        <v>4000</v>
      </c>
      <c r="E3522" t="s">
        <v>2222</v>
      </c>
      <c r="F3522" t="s">
        <v>0</v>
      </c>
      <c r="G3522" t="s">
        <v>16221</v>
      </c>
      <c r="H3522" t="s">
        <v>47126</v>
      </c>
      <c r="I3522" t="s">
        <v>47127</v>
      </c>
      <c r="J3522" t="s">
        <v>47128</v>
      </c>
      <c r="K3522" t="s">
        <v>47113</v>
      </c>
      <c r="L3522">
        <v>15.44</v>
      </c>
      <c r="M3522">
        <v>33</v>
      </c>
      <c r="N3522">
        <v>0</v>
      </c>
      <c r="O3522">
        <v>33</v>
      </c>
      <c r="P3522">
        <v>0</v>
      </c>
    </row>
    <row r="3523" spans="1:16" x14ac:dyDescent="0.25">
      <c r="A3523" t="s">
        <v>25938</v>
      </c>
      <c r="B3523" t="s">
        <v>4440</v>
      </c>
      <c r="C3523" t="s">
        <v>4441</v>
      </c>
      <c r="D3523" t="str">
        <f>"4643"</f>
        <v>4643</v>
      </c>
      <c r="E3523" t="s">
        <v>205</v>
      </c>
      <c r="F3523" t="s">
        <v>0</v>
      </c>
      <c r="G3523" t="s">
        <v>16221</v>
      </c>
      <c r="H3523" t="s">
        <v>47126</v>
      </c>
      <c r="I3523" t="s">
        <v>47127</v>
      </c>
      <c r="J3523" t="s">
        <v>47128</v>
      </c>
      <c r="K3523" t="s">
        <v>47113</v>
      </c>
      <c r="L3523">
        <v>15.44</v>
      </c>
      <c r="M3523">
        <v>33</v>
      </c>
      <c r="N3523">
        <v>0</v>
      </c>
      <c r="O3523">
        <v>33</v>
      </c>
      <c r="P3523">
        <v>0</v>
      </c>
    </row>
    <row r="3524" spans="1:16" x14ac:dyDescent="0.25">
      <c r="A3524" t="s">
        <v>25939</v>
      </c>
      <c r="B3524" t="s">
        <v>4442</v>
      </c>
      <c r="C3524" t="s">
        <v>4443</v>
      </c>
      <c r="D3524" t="str">
        <f>"1378"</f>
        <v>1378</v>
      </c>
      <c r="E3524" t="s">
        <v>388</v>
      </c>
      <c r="F3524" t="s">
        <v>0</v>
      </c>
      <c r="G3524" t="s">
        <v>16221</v>
      </c>
      <c r="H3524" t="s">
        <v>47126</v>
      </c>
      <c r="I3524" t="s">
        <v>47127</v>
      </c>
      <c r="J3524" t="s">
        <v>47128</v>
      </c>
      <c r="K3524" t="s">
        <v>47113</v>
      </c>
      <c r="L3524">
        <v>14.96</v>
      </c>
      <c r="M3524">
        <v>33</v>
      </c>
      <c r="N3524">
        <v>0</v>
      </c>
      <c r="O3524">
        <v>33</v>
      </c>
      <c r="P3524">
        <v>0</v>
      </c>
    </row>
    <row r="3525" spans="1:16" x14ac:dyDescent="0.25">
      <c r="A3525" t="s">
        <v>25940</v>
      </c>
      <c r="B3525" t="s">
        <v>4442</v>
      </c>
      <c r="C3525" t="s">
        <v>4443</v>
      </c>
      <c r="D3525" t="str">
        <f>"3000"</f>
        <v>3000</v>
      </c>
      <c r="E3525" t="s">
        <v>4319</v>
      </c>
      <c r="F3525" t="s">
        <v>0</v>
      </c>
      <c r="G3525" t="s">
        <v>16221</v>
      </c>
      <c r="H3525" t="s">
        <v>47126</v>
      </c>
      <c r="I3525" t="s">
        <v>47127</v>
      </c>
      <c r="J3525" t="s">
        <v>47128</v>
      </c>
      <c r="K3525" t="s">
        <v>47113</v>
      </c>
      <c r="L3525">
        <v>14.96</v>
      </c>
      <c r="M3525">
        <v>33</v>
      </c>
      <c r="N3525">
        <v>0</v>
      </c>
      <c r="O3525">
        <v>33</v>
      </c>
      <c r="P3525">
        <v>0</v>
      </c>
    </row>
    <row r="3526" spans="1:16" x14ac:dyDescent="0.25">
      <c r="A3526" t="s">
        <v>25941</v>
      </c>
      <c r="B3526" t="s">
        <v>4442</v>
      </c>
      <c r="C3526" t="s">
        <v>4443</v>
      </c>
      <c r="D3526" t="str">
        <f>"4000"</f>
        <v>4000</v>
      </c>
      <c r="E3526" t="s">
        <v>2222</v>
      </c>
      <c r="F3526" t="s">
        <v>0</v>
      </c>
      <c r="G3526" t="s">
        <v>16221</v>
      </c>
      <c r="H3526" t="s">
        <v>47126</v>
      </c>
      <c r="I3526" t="s">
        <v>47127</v>
      </c>
      <c r="J3526" t="s">
        <v>47128</v>
      </c>
      <c r="K3526" t="s">
        <v>47113</v>
      </c>
      <c r="L3526">
        <v>14.96</v>
      </c>
      <c r="M3526">
        <v>33</v>
      </c>
      <c r="N3526">
        <v>0</v>
      </c>
      <c r="O3526">
        <v>33</v>
      </c>
      <c r="P3526">
        <v>0</v>
      </c>
    </row>
    <row r="3527" spans="1:16" x14ac:dyDescent="0.25">
      <c r="A3527" t="s">
        <v>25942</v>
      </c>
      <c r="B3527" t="s">
        <v>4442</v>
      </c>
      <c r="C3527" t="s">
        <v>4443</v>
      </c>
      <c r="D3527" t="str">
        <f>"4643"</f>
        <v>4643</v>
      </c>
      <c r="E3527" t="s">
        <v>205</v>
      </c>
      <c r="F3527" t="s">
        <v>0</v>
      </c>
      <c r="G3527" t="s">
        <v>16221</v>
      </c>
      <c r="H3527" t="s">
        <v>47126</v>
      </c>
      <c r="I3527" t="s">
        <v>47127</v>
      </c>
      <c r="J3527" t="s">
        <v>47128</v>
      </c>
      <c r="K3527" t="s">
        <v>47113</v>
      </c>
      <c r="L3527">
        <v>14.96</v>
      </c>
      <c r="M3527">
        <v>33</v>
      </c>
      <c r="N3527">
        <v>0</v>
      </c>
      <c r="O3527">
        <v>33</v>
      </c>
      <c r="P3527">
        <v>0</v>
      </c>
    </row>
    <row r="3528" spans="1:16" x14ac:dyDescent="0.25">
      <c r="A3528" t="s">
        <v>25943</v>
      </c>
      <c r="B3528" t="s">
        <v>4442</v>
      </c>
      <c r="C3528" t="s">
        <v>4443</v>
      </c>
      <c r="D3528" t="str">
        <f>"4730"</f>
        <v>4730</v>
      </c>
      <c r="E3528" t="s">
        <v>461</v>
      </c>
      <c r="F3528" t="s">
        <v>0</v>
      </c>
      <c r="G3528" t="s">
        <v>16221</v>
      </c>
      <c r="H3528" t="s">
        <v>47126</v>
      </c>
      <c r="I3528" t="s">
        <v>47127</v>
      </c>
      <c r="J3528" t="s">
        <v>47128</v>
      </c>
      <c r="K3528" t="s">
        <v>47113</v>
      </c>
      <c r="L3528">
        <v>14.96</v>
      </c>
      <c r="M3528">
        <v>33</v>
      </c>
      <c r="N3528">
        <v>0</v>
      </c>
      <c r="O3528">
        <v>33</v>
      </c>
      <c r="P3528">
        <v>0</v>
      </c>
    </row>
    <row r="3529" spans="1:16" x14ac:dyDescent="0.25">
      <c r="A3529" t="s">
        <v>25944</v>
      </c>
      <c r="B3529" t="s">
        <v>4444</v>
      </c>
      <c r="C3529" t="s">
        <v>4443</v>
      </c>
      <c r="D3529" t="str">
        <f>"1377"</f>
        <v>1377</v>
      </c>
      <c r="E3529" t="s">
        <v>74</v>
      </c>
      <c r="F3529" t="s">
        <v>0</v>
      </c>
      <c r="G3529" t="s">
        <v>16221</v>
      </c>
      <c r="H3529" t="s">
        <v>47126</v>
      </c>
      <c r="I3529" t="s">
        <v>47127</v>
      </c>
      <c r="J3529" t="s">
        <v>47128</v>
      </c>
      <c r="K3529" t="s">
        <v>47113</v>
      </c>
      <c r="L3529">
        <v>13.15</v>
      </c>
      <c r="M3529">
        <v>30</v>
      </c>
      <c r="N3529">
        <v>0</v>
      </c>
      <c r="O3529">
        <v>30</v>
      </c>
      <c r="P3529">
        <v>0</v>
      </c>
    </row>
    <row r="3530" spans="1:16" x14ac:dyDescent="0.25">
      <c r="A3530" t="s">
        <v>25945</v>
      </c>
      <c r="B3530" t="s">
        <v>4444</v>
      </c>
      <c r="C3530" t="s">
        <v>4443</v>
      </c>
      <c r="D3530" t="str">
        <f>"1378"</f>
        <v>1378</v>
      </c>
      <c r="E3530" t="s">
        <v>388</v>
      </c>
      <c r="F3530" t="s">
        <v>0</v>
      </c>
      <c r="G3530" t="s">
        <v>16221</v>
      </c>
      <c r="H3530" t="s">
        <v>47126</v>
      </c>
      <c r="I3530" t="s">
        <v>47127</v>
      </c>
      <c r="J3530" t="s">
        <v>47128</v>
      </c>
      <c r="K3530" t="s">
        <v>47113</v>
      </c>
      <c r="L3530">
        <v>13.15</v>
      </c>
      <c r="M3530">
        <v>30</v>
      </c>
      <c r="N3530">
        <v>0</v>
      </c>
      <c r="O3530">
        <v>30</v>
      </c>
      <c r="P3530">
        <v>0</v>
      </c>
    </row>
    <row r="3531" spans="1:16" x14ac:dyDescent="0.25">
      <c r="A3531" t="s">
        <v>25946</v>
      </c>
      <c r="B3531" t="s">
        <v>4444</v>
      </c>
      <c r="C3531" t="s">
        <v>4443</v>
      </c>
      <c r="D3531" t="str">
        <f>"1700"</f>
        <v>1700</v>
      </c>
      <c r="E3531" t="s">
        <v>60</v>
      </c>
      <c r="F3531" t="s">
        <v>0</v>
      </c>
      <c r="G3531" t="s">
        <v>16221</v>
      </c>
      <c r="H3531" t="s">
        <v>47126</v>
      </c>
      <c r="I3531" t="s">
        <v>47127</v>
      </c>
      <c r="J3531" t="s">
        <v>47128</v>
      </c>
      <c r="K3531" t="s">
        <v>47113</v>
      </c>
      <c r="L3531">
        <v>13.15</v>
      </c>
      <c r="M3531">
        <v>30</v>
      </c>
      <c r="N3531">
        <v>0</v>
      </c>
      <c r="O3531">
        <v>30</v>
      </c>
      <c r="P3531">
        <v>0</v>
      </c>
    </row>
    <row r="3532" spans="1:16" x14ac:dyDescent="0.25">
      <c r="A3532" t="s">
        <v>25947</v>
      </c>
      <c r="B3532" t="s">
        <v>4444</v>
      </c>
      <c r="C3532" t="s">
        <v>4443</v>
      </c>
      <c r="D3532" t="str">
        <f>"3000"</f>
        <v>3000</v>
      </c>
      <c r="E3532" t="s">
        <v>4319</v>
      </c>
      <c r="F3532" t="s">
        <v>0</v>
      </c>
      <c r="G3532" t="s">
        <v>16221</v>
      </c>
      <c r="H3532" t="s">
        <v>47126</v>
      </c>
      <c r="I3532" t="s">
        <v>47127</v>
      </c>
      <c r="J3532" t="s">
        <v>47128</v>
      </c>
      <c r="K3532" t="s">
        <v>47113</v>
      </c>
      <c r="L3532">
        <v>13.15</v>
      </c>
      <c r="M3532">
        <v>30</v>
      </c>
      <c r="N3532">
        <v>0</v>
      </c>
      <c r="O3532">
        <v>30</v>
      </c>
      <c r="P3532">
        <v>0</v>
      </c>
    </row>
    <row r="3533" spans="1:16" x14ac:dyDescent="0.25">
      <c r="A3533" t="s">
        <v>25948</v>
      </c>
      <c r="B3533" t="s">
        <v>4444</v>
      </c>
      <c r="C3533" t="s">
        <v>4443</v>
      </c>
      <c r="D3533" t="str">
        <f>"3489"</f>
        <v>3489</v>
      </c>
      <c r="E3533" t="s">
        <v>2221</v>
      </c>
      <c r="F3533" t="s">
        <v>0</v>
      </c>
      <c r="G3533" t="s">
        <v>16221</v>
      </c>
      <c r="H3533" t="s">
        <v>47126</v>
      </c>
      <c r="I3533" t="s">
        <v>47127</v>
      </c>
      <c r="J3533" t="s">
        <v>47128</v>
      </c>
      <c r="K3533" t="s">
        <v>47113</v>
      </c>
      <c r="L3533">
        <v>13.15</v>
      </c>
      <c r="M3533">
        <v>30</v>
      </c>
      <c r="N3533">
        <v>0</v>
      </c>
      <c r="O3533">
        <v>30</v>
      </c>
      <c r="P3533">
        <v>0</v>
      </c>
    </row>
    <row r="3534" spans="1:16" x14ac:dyDescent="0.25">
      <c r="A3534" t="s">
        <v>25949</v>
      </c>
      <c r="B3534" t="s">
        <v>4444</v>
      </c>
      <c r="C3534" t="s">
        <v>4443</v>
      </c>
      <c r="D3534" t="str">
        <f>"4000"</f>
        <v>4000</v>
      </c>
      <c r="E3534" t="s">
        <v>2222</v>
      </c>
      <c r="F3534" t="s">
        <v>0</v>
      </c>
      <c r="G3534" t="s">
        <v>16221</v>
      </c>
      <c r="H3534" t="s">
        <v>47126</v>
      </c>
      <c r="I3534" t="s">
        <v>47127</v>
      </c>
      <c r="J3534" t="s">
        <v>47128</v>
      </c>
      <c r="K3534" t="s">
        <v>47113</v>
      </c>
      <c r="L3534">
        <v>13.15</v>
      </c>
      <c r="M3534">
        <v>30</v>
      </c>
      <c r="N3534">
        <v>0</v>
      </c>
      <c r="O3534">
        <v>30</v>
      </c>
      <c r="P3534">
        <v>0</v>
      </c>
    </row>
    <row r="3535" spans="1:16" x14ac:dyDescent="0.25">
      <c r="A3535" t="s">
        <v>25950</v>
      </c>
      <c r="B3535" t="s">
        <v>4444</v>
      </c>
      <c r="C3535" t="s">
        <v>4443</v>
      </c>
      <c r="D3535" t="str">
        <f>"4643"</f>
        <v>4643</v>
      </c>
      <c r="E3535" t="s">
        <v>205</v>
      </c>
      <c r="F3535" t="s">
        <v>0</v>
      </c>
      <c r="G3535" t="s">
        <v>16221</v>
      </c>
      <c r="H3535" t="s">
        <v>47126</v>
      </c>
      <c r="I3535" t="s">
        <v>47127</v>
      </c>
      <c r="J3535" t="s">
        <v>47128</v>
      </c>
      <c r="K3535" t="s">
        <v>47113</v>
      </c>
      <c r="L3535">
        <v>13.15</v>
      </c>
      <c r="M3535">
        <v>30</v>
      </c>
      <c r="N3535">
        <v>0</v>
      </c>
      <c r="O3535">
        <v>30</v>
      </c>
      <c r="P3535">
        <v>0</v>
      </c>
    </row>
    <row r="3536" spans="1:16" x14ac:dyDescent="0.25">
      <c r="A3536" t="s">
        <v>25951</v>
      </c>
      <c r="B3536" t="s">
        <v>4444</v>
      </c>
      <c r="C3536" t="s">
        <v>4443</v>
      </c>
      <c r="D3536" t="str">
        <f>"4730"</f>
        <v>4730</v>
      </c>
      <c r="E3536" t="s">
        <v>461</v>
      </c>
      <c r="F3536" t="s">
        <v>0</v>
      </c>
      <c r="G3536" t="s">
        <v>16221</v>
      </c>
      <c r="H3536" t="s">
        <v>47126</v>
      </c>
      <c r="I3536" t="s">
        <v>47127</v>
      </c>
      <c r="J3536" t="s">
        <v>47128</v>
      </c>
      <c r="K3536" t="s">
        <v>47113</v>
      </c>
      <c r="L3536">
        <v>13.15</v>
      </c>
      <c r="M3536">
        <v>30</v>
      </c>
      <c r="N3536">
        <v>0</v>
      </c>
      <c r="O3536">
        <v>30</v>
      </c>
      <c r="P3536">
        <v>0</v>
      </c>
    </row>
    <row r="3537" spans="1:16" x14ac:dyDescent="0.25">
      <c r="A3537" t="s">
        <v>25952</v>
      </c>
      <c r="B3537" t="s">
        <v>4445</v>
      </c>
      <c r="C3537" t="s">
        <v>4446</v>
      </c>
      <c r="D3537" t="str">
        <f>"1377"</f>
        <v>1377</v>
      </c>
      <c r="E3537" t="s">
        <v>74</v>
      </c>
      <c r="F3537" t="s">
        <v>0</v>
      </c>
      <c r="G3537" t="s">
        <v>16221</v>
      </c>
      <c r="H3537" t="s">
        <v>47126</v>
      </c>
      <c r="I3537" t="s">
        <v>47127</v>
      </c>
      <c r="J3537" t="s">
        <v>47128</v>
      </c>
      <c r="K3537" t="s">
        <v>47113</v>
      </c>
      <c r="L3537">
        <v>14.36</v>
      </c>
      <c r="M3537">
        <v>31</v>
      </c>
      <c r="N3537">
        <v>0</v>
      </c>
      <c r="O3537">
        <v>31</v>
      </c>
      <c r="P3537">
        <v>0</v>
      </c>
    </row>
    <row r="3538" spans="1:16" x14ac:dyDescent="0.25">
      <c r="A3538" t="s">
        <v>25953</v>
      </c>
      <c r="B3538" t="s">
        <v>4445</v>
      </c>
      <c r="C3538" t="s">
        <v>4446</v>
      </c>
      <c r="D3538" t="str">
        <f>"1378"</f>
        <v>1378</v>
      </c>
      <c r="E3538" t="s">
        <v>388</v>
      </c>
      <c r="F3538" t="s">
        <v>0</v>
      </c>
      <c r="G3538" t="s">
        <v>16221</v>
      </c>
      <c r="H3538" t="s">
        <v>47126</v>
      </c>
      <c r="I3538" t="s">
        <v>47127</v>
      </c>
      <c r="J3538" t="s">
        <v>47128</v>
      </c>
      <c r="K3538" t="s">
        <v>47113</v>
      </c>
      <c r="L3538">
        <v>14.36</v>
      </c>
      <c r="M3538">
        <v>31</v>
      </c>
      <c r="N3538">
        <v>0</v>
      </c>
      <c r="O3538">
        <v>31</v>
      </c>
      <c r="P3538">
        <v>0</v>
      </c>
    </row>
    <row r="3539" spans="1:16" x14ac:dyDescent="0.25">
      <c r="A3539" t="s">
        <v>25954</v>
      </c>
      <c r="B3539" t="s">
        <v>4445</v>
      </c>
      <c r="C3539" t="s">
        <v>4446</v>
      </c>
      <c r="D3539" t="str">
        <f>"1700"</f>
        <v>1700</v>
      </c>
      <c r="E3539" t="s">
        <v>60</v>
      </c>
      <c r="F3539" t="s">
        <v>0</v>
      </c>
      <c r="G3539" t="s">
        <v>16221</v>
      </c>
      <c r="H3539" t="s">
        <v>47126</v>
      </c>
      <c r="I3539" t="s">
        <v>47127</v>
      </c>
      <c r="J3539" t="s">
        <v>47128</v>
      </c>
      <c r="K3539" t="s">
        <v>47113</v>
      </c>
      <c r="L3539">
        <v>14.36</v>
      </c>
      <c r="M3539">
        <v>31</v>
      </c>
      <c r="N3539">
        <v>0</v>
      </c>
      <c r="O3539">
        <v>31</v>
      </c>
      <c r="P3539">
        <v>0</v>
      </c>
    </row>
    <row r="3540" spans="1:16" x14ac:dyDescent="0.25">
      <c r="A3540" t="s">
        <v>25955</v>
      </c>
      <c r="B3540" t="s">
        <v>4445</v>
      </c>
      <c r="C3540" t="s">
        <v>4446</v>
      </c>
      <c r="D3540" t="str">
        <f>"3489"</f>
        <v>3489</v>
      </c>
      <c r="E3540" t="s">
        <v>2221</v>
      </c>
      <c r="F3540" t="s">
        <v>0</v>
      </c>
      <c r="G3540" t="s">
        <v>16221</v>
      </c>
      <c r="H3540" t="s">
        <v>47126</v>
      </c>
      <c r="I3540" t="s">
        <v>47127</v>
      </c>
      <c r="J3540" t="s">
        <v>47128</v>
      </c>
      <c r="K3540" t="s">
        <v>47113</v>
      </c>
      <c r="L3540">
        <v>14.36</v>
      </c>
      <c r="M3540">
        <v>31</v>
      </c>
      <c r="N3540">
        <v>0</v>
      </c>
      <c r="O3540">
        <v>31</v>
      </c>
      <c r="P3540">
        <v>0</v>
      </c>
    </row>
    <row r="3541" spans="1:16" x14ac:dyDescent="0.25">
      <c r="A3541" t="s">
        <v>25956</v>
      </c>
      <c r="B3541" t="s">
        <v>4445</v>
      </c>
      <c r="C3541" t="s">
        <v>4446</v>
      </c>
      <c r="D3541" t="str">
        <f>"4643"</f>
        <v>4643</v>
      </c>
      <c r="E3541" t="s">
        <v>205</v>
      </c>
      <c r="F3541" t="s">
        <v>0</v>
      </c>
      <c r="G3541" t="s">
        <v>16221</v>
      </c>
      <c r="H3541" t="s">
        <v>47126</v>
      </c>
      <c r="I3541" t="s">
        <v>47127</v>
      </c>
      <c r="J3541" t="s">
        <v>47128</v>
      </c>
      <c r="K3541" t="s">
        <v>47113</v>
      </c>
      <c r="L3541">
        <v>14.36</v>
      </c>
      <c r="M3541">
        <v>31</v>
      </c>
      <c r="N3541">
        <v>0</v>
      </c>
      <c r="O3541">
        <v>31</v>
      </c>
      <c r="P3541">
        <v>0</v>
      </c>
    </row>
    <row r="3542" spans="1:16" x14ac:dyDescent="0.25">
      <c r="A3542" t="s">
        <v>25957</v>
      </c>
      <c r="B3542" t="s">
        <v>4445</v>
      </c>
      <c r="C3542" t="s">
        <v>4446</v>
      </c>
      <c r="D3542" t="str">
        <f>"4729"</f>
        <v>4729</v>
      </c>
      <c r="E3542" t="s">
        <v>2222</v>
      </c>
      <c r="F3542" t="s">
        <v>0</v>
      </c>
      <c r="G3542" t="s">
        <v>16221</v>
      </c>
      <c r="H3542" t="s">
        <v>47126</v>
      </c>
      <c r="I3542" t="s">
        <v>47127</v>
      </c>
      <c r="J3542" t="s">
        <v>47128</v>
      </c>
      <c r="K3542" t="s">
        <v>47113</v>
      </c>
      <c r="L3542">
        <v>14.36</v>
      </c>
      <c r="M3542">
        <v>31</v>
      </c>
      <c r="N3542">
        <v>0</v>
      </c>
      <c r="O3542">
        <v>31</v>
      </c>
      <c r="P3542">
        <v>0</v>
      </c>
    </row>
    <row r="3543" spans="1:16" x14ac:dyDescent="0.25">
      <c r="A3543" t="s">
        <v>25958</v>
      </c>
      <c r="B3543" t="s">
        <v>4447</v>
      </c>
      <c r="C3543" t="s">
        <v>4446</v>
      </c>
      <c r="D3543" t="str">
        <f>"1377"</f>
        <v>1377</v>
      </c>
      <c r="E3543" t="s">
        <v>74</v>
      </c>
      <c r="F3543" t="s">
        <v>0</v>
      </c>
      <c r="G3543" t="s">
        <v>16221</v>
      </c>
      <c r="H3543" t="s">
        <v>47126</v>
      </c>
      <c r="I3543" t="s">
        <v>47127</v>
      </c>
      <c r="J3543" t="s">
        <v>47128</v>
      </c>
      <c r="K3543" t="s">
        <v>47113</v>
      </c>
      <c r="L3543">
        <v>13.15</v>
      </c>
      <c r="M3543">
        <v>29</v>
      </c>
      <c r="N3543">
        <v>0</v>
      </c>
      <c r="O3543">
        <v>29</v>
      </c>
      <c r="P3543">
        <v>0</v>
      </c>
    </row>
    <row r="3544" spans="1:16" x14ac:dyDescent="0.25">
      <c r="A3544" t="s">
        <v>25959</v>
      </c>
      <c r="B3544" t="s">
        <v>4447</v>
      </c>
      <c r="C3544" t="s">
        <v>4446</v>
      </c>
      <c r="D3544" t="str">
        <f>"1378"</f>
        <v>1378</v>
      </c>
      <c r="E3544" t="s">
        <v>388</v>
      </c>
      <c r="F3544" t="s">
        <v>0</v>
      </c>
      <c r="G3544" t="s">
        <v>16221</v>
      </c>
      <c r="H3544" t="s">
        <v>47126</v>
      </c>
      <c r="I3544" t="s">
        <v>47127</v>
      </c>
      <c r="J3544" t="s">
        <v>47128</v>
      </c>
      <c r="K3544" t="s">
        <v>47113</v>
      </c>
      <c r="L3544">
        <v>13.15</v>
      </c>
      <c r="M3544">
        <v>29</v>
      </c>
      <c r="N3544">
        <v>0</v>
      </c>
      <c r="O3544">
        <v>29</v>
      </c>
      <c r="P3544">
        <v>0</v>
      </c>
    </row>
    <row r="3545" spans="1:16" x14ac:dyDescent="0.25">
      <c r="A3545" t="s">
        <v>25960</v>
      </c>
      <c r="B3545" t="s">
        <v>4447</v>
      </c>
      <c r="C3545" t="s">
        <v>4446</v>
      </c>
      <c r="D3545" t="str">
        <f>"1700"</f>
        <v>1700</v>
      </c>
      <c r="E3545" t="s">
        <v>60</v>
      </c>
      <c r="F3545" t="s">
        <v>0</v>
      </c>
      <c r="G3545" t="s">
        <v>16221</v>
      </c>
      <c r="H3545" t="s">
        <v>47126</v>
      </c>
      <c r="I3545" t="s">
        <v>47127</v>
      </c>
      <c r="J3545" t="s">
        <v>47128</v>
      </c>
      <c r="K3545" t="s">
        <v>47113</v>
      </c>
      <c r="L3545">
        <v>13.15</v>
      </c>
      <c r="M3545">
        <v>29</v>
      </c>
      <c r="N3545">
        <v>0</v>
      </c>
      <c r="O3545">
        <v>29</v>
      </c>
      <c r="P3545">
        <v>0</v>
      </c>
    </row>
    <row r="3546" spans="1:16" x14ac:dyDescent="0.25">
      <c r="A3546" t="s">
        <v>25961</v>
      </c>
      <c r="B3546" t="s">
        <v>4447</v>
      </c>
      <c r="C3546" t="s">
        <v>4446</v>
      </c>
      <c r="D3546" t="str">
        <f>"3000"</f>
        <v>3000</v>
      </c>
      <c r="E3546" t="s">
        <v>4319</v>
      </c>
      <c r="F3546" t="s">
        <v>0</v>
      </c>
      <c r="G3546" t="s">
        <v>16221</v>
      </c>
      <c r="H3546" t="s">
        <v>47126</v>
      </c>
      <c r="I3546" t="s">
        <v>47127</v>
      </c>
      <c r="J3546" t="s">
        <v>47128</v>
      </c>
      <c r="K3546" t="s">
        <v>47113</v>
      </c>
      <c r="L3546">
        <v>13.15</v>
      </c>
      <c r="M3546">
        <v>29</v>
      </c>
      <c r="N3546">
        <v>0</v>
      </c>
      <c r="O3546">
        <v>29</v>
      </c>
      <c r="P3546">
        <v>0</v>
      </c>
    </row>
    <row r="3547" spans="1:16" x14ac:dyDescent="0.25">
      <c r="A3547" t="s">
        <v>25962</v>
      </c>
      <c r="B3547" t="s">
        <v>4447</v>
      </c>
      <c r="C3547" t="s">
        <v>4446</v>
      </c>
      <c r="D3547" t="str">
        <f>"3489"</f>
        <v>3489</v>
      </c>
      <c r="E3547" t="s">
        <v>2221</v>
      </c>
      <c r="F3547" t="s">
        <v>0</v>
      </c>
      <c r="G3547" t="s">
        <v>16221</v>
      </c>
      <c r="H3547" t="s">
        <v>47126</v>
      </c>
      <c r="I3547" t="s">
        <v>47127</v>
      </c>
      <c r="J3547" t="s">
        <v>47128</v>
      </c>
      <c r="K3547" t="s">
        <v>47113</v>
      </c>
      <c r="L3547">
        <v>13.15</v>
      </c>
      <c r="M3547">
        <v>29</v>
      </c>
      <c r="N3547">
        <v>0</v>
      </c>
      <c r="O3547">
        <v>29</v>
      </c>
      <c r="P3547">
        <v>0</v>
      </c>
    </row>
    <row r="3548" spans="1:16" x14ac:dyDescent="0.25">
      <c r="A3548" t="s">
        <v>25963</v>
      </c>
      <c r="B3548" t="s">
        <v>4447</v>
      </c>
      <c r="C3548" t="s">
        <v>4446</v>
      </c>
      <c r="D3548" t="str">
        <f>"4643"</f>
        <v>4643</v>
      </c>
      <c r="E3548" t="s">
        <v>205</v>
      </c>
      <c r="F3548" t="s">
        <v>0</v>
      </c>
      <c r="G3548" t="s">
        <v>16221</v>
      </c>
      <c r="H3548" t="s">
        <v>47126</v>
      </c>
      <c r="I3548" t="s">
        <v>47127</v>
      </c>
      <c r="J3548" t="s">
        <v>47128</v>
      </c>
      <c r="K3548" t="s">
        <v>47113</v>
      </c>
      <c r="L3548">
        <v>13.15</v>
      </c>
      <c r="M3548">
        <v>29</v>
      </c>
      <c r="N3548">
        <v>0</v>
      </c>
      <c r="O3548">
        <v>29</v>
      </c>
      <c r="P3548">
        <v>0</v>
      </c>
    </row>
    <row r="3549" spans="1:16" x14ac:dyDescent="0.25">
      <c r="A3549" t="s">
        <v>25964</v>
      </c>
      <c r="B3549" t="s">
        <v>4447</v>
      </c>
      <c r="C3549" t="s">
        <v>4446</v>
      </c>
      <c r="D3549" t="str">
        <f>"4729"</f>
        <v>4729</v>
      </c>
      <c r="E3549" t="s">
        <v>2222</v>
      </c>
      <c r="F3549" t="s">
        <v>0</v>
      </c>
      <c r="G3549" t="s">
        <v>16221</v>
      </c>
      <c r="H3549" t="s">
        <v>47126</v>
      </c>
      <c r="I3549" t="s">
        <v>47127</v>
      </c>
      <c r="J3549" t="s">
        <v>47128</v>
      </c>
      <c r="K3549" t="s">
        <v>47113</v>
      </c>
      <c r="L3549">
        <v>13.15</v>
      </c>
      <c r="M3549">
        <v>29</v>
      </c>
      <c r="N3549">
        <v>0</v>
      </c>
      <c r="O3549">
        <v>29</v>
      </c>
      <c r="P3549">
        <v>0</v>
      </c>
    </row>
    <row r="3550" spans="1:16" x14ac:dyDescent="0.25">
      <c r="A3550" t="s">
        <v>25965</v>
      </c>
      <c r="B3550" t="s">
        <v>4448</v>
      </c>
      <c r="C3550" t="s">
        <v>4045</v>
      </c>
      <c r="D3550" t="s">
        <v>471</v>
      </c>
      <c r="E3550" t="s">
        <v>472</v>
      </c>
      <c r="F3550" t="s">
        <v>0</v>
      </c>
      <c r="G3550" t="s">
        <v>16230</v>
      </c>
      <c r="H3550" t="s">
        <v>47153</v>
      </c>
      <c r="I3550" t="s">
        <v>47132</v>
      </c>
      <c r="J3550" t="s">
        <v>47133</v>
      </c>
      <c r="K3550" t="s">
        <v>47113</v>
      </c>
      <c r="L3550">
        <v>61.55</v>
      </c>
      <c r="M3550">
        <v>77</v>
      </c>
      <c r="N3550">
        <v>0</v>
      </c>
      <c r="O3550">
        <v>77</v>
      </c>
      <c r="P3550">
        <v>0</v>
      </c>
    </row>
    <row r="3551" spans="1:16" x14ac:dyDescent="0.25">
      <c r="A3551" t="s">
        <v>25966</v>
      </c>
      <c r="B3551" t="s">
        <v>4449</v>
      </c>
      <c r="C3551" t="s">
        <v>4450</v>
      </c>
      <c r="D3551" t="s">
        <v>471</v>
      </c>
      <c r="E3551" t="s">
        <v>472</v>
      </c>
      <c r="F3551" t="s">
        <v>0</v>
      </c>
      <c r="G3551" t="s">
        <v>16230</v>
      </c>
      <c r="H3551" t="s">
        <v>47153</v>
      </c>
      <c r="I3551" t="s">
        <v>47132</v>
      </c>
      <c r="J3551" t="s">
        <v>47133</v>
      </c>
      <c r="K3551" t="s">
        <v>47113</v>
      </c>
      <c r="L3551">
        <v>61.55</v>
      </c>
      <c r="M3551">
        <v>82</v>
      </c>
      <c r="N3551">
        <v>0</v>
      </c>
      <c r="O3551">
        <v>82</v>
      </c>
      <c r="P3551">
        <v>0</v>
      </c>
    </row>
    <row r="3552" spans="1:16" x14ac:dyDescent="0.25">
      <c r="A3552" t="s">
        <v>25967</v>
      </c>
      <c r="B3552" t="s">
        <v>4451</v>
      </c>
      <c r="C3552" t="s">
        <v>4452</v>
      </c>
      <c r="D3552" t="s">
        <v>4453</v>
      </c>
      <c r="E3552" t="s">
        <v>4454</v>
      </c>
      <c r="F3552" t="s">
        <v>0</v>
      </c>
      <c r="G3552" t="s">
        <v>16230</v>
      </c>
      <c r="H3552" t="s">
        <v>47153</v>
      </c>
      <c r="I3552" t="s">
        <v>47132</v>
      </c>
      <c r="J3552" t="s">
        <v>47133</v>
      </c>
      <c r="K3552" t="s">
        <v>47113</v>
      </c>
      <c r="L3552">
        <v>55.63</v>
      </c>
      <c r="M3552">
        <v>84</v>
      </c>
      <c r="N3552">
        <v>0</v>
      </c>
      <c r="O3552">
        <v>84</v>
      </c>
      <c r="P3552">
        <v>0</v>
      </c>
    </row>
    <row r="3553" spans="1:16" x14ac:dyDescent="0.25">
      <c r="A3553" t="s">
        <v>25968</v>
      </c>
      <c r="B3553" t="s">
        <v>4455</v>
      </c>
      <c r="C3553" t="s">
        <v>4456</v>
      </c>
      <c r="D3553" t="s">
        <v>4457</v>
      </c>
      <c r="E3553" t="s">
        <v>4458</v>
      </c>
      <c r="F3553" t="s">
        <v>0</v>
      </c>
      <c r="G3553" t="s">
        <v>16230</v>
      </c>
      <c r="H3553" t="s">
        <v>47153</v>
      </c>
      <c r="I3553" t="s">
        <v>47132</v>
      </c>
      <c r="J3553" t="s">
        <v>47133</v>
      </c>
      <c r="K3553" t="s">
        <v>47113</v>
      </c>
      <c r="L3553">
        <v>52.08</v>
      </c>
      <c r="M3553">
        <v>69</v>
      </c>
      <c r="N3553">
        <v>0</v>
      </c>
      <c r="O3553">
        <v>69</v>
      </c>
      <c r="P3553">
        <v>0</v>
      </c>
    </row>
    <row r="3554" spans="1:16" x14ac:dyDescent="0.25">
      <c r="A3554" t="s">
        <v>14931</v>
      </c>
      <c r="B3554" t="s">
        <v>4455</v>
      </c>
      <c r="C3554" t="s">
        <v>4456</v>
      </c>
      <c r="D3554" t="s">
        <v>4459</v>
      </c>
      <c r="E3554" t="s">
        <v>4460</v>
      </c>
      <c r="F3554" t="s">
        <v>0</v>
      </c>
      <c r="G3554" t="s">
        <v>16230</v>
      </c>
      <c r="H3554" t="s">
        <v>47153</v>
      </c>
      <c r="I3554" t="s">
        <v>47132</v>
      </c>
      <c r="J3554" t="s">
        <v>47133</v>
      </c>
      <c r="K3554" t="s">
        <v>47113</v>
      </c>
      <c r="L3554">
        <v>52.08</v>
      </c>
      <c r="M3554">
        <v>69</v>
      </c>
      <c r="N3554">
        <v>0</v>
      </c>
      <c r="O3554">
        <v>69</v>
      </c>
      <c r="P3554">
        <v>0</v>
      </c>
    </row>
    <row r="3555" spans="1:16" x14ac:dyDescent="0.25">
      <c r="A3555" t="s">
        <v>25969</v>
      </c>
      <c r="B3555" t="s">
        <v>4455</v>
      </c>
      <c r="C3555" t="s">
        <v>4456</v>
      </c>
      <c r="D3555" t="s">
        <v>504</v>
      </c>
      <c r="E3555" t="s">
        <v>505</v>
      </c>
      <c r="F3555" t="s">
        <v>0</v>
      </c>
      <c r="G3555" t="s">
        <v>16230</v>
      </c>
      <c r="H3555" t="s">
        <v>47153</v>
      </c>
      <c r="I3555" t="s">
        <v>47132</v>
      </c>
      <c r="J3555" t="s">
        <v>47133</v>
      </c>
      <c r="K3555" t="s">
        <v>47113</v>
      </c>
      <c r="L3555">
        <v>52.08</v>
      </c>
      <c r="M3555">
        <v>69</v>
      </c>
      <c r="N3555">
        <v>0</v>
      </c>
      <c r="O3555">
        <v>69</v>
      </c>
      <c r="P3555">
        <v>0</v>
      </c>
    </row>
    <row r="3556" spans="1:16" x14ac:dyDescent="0.25">
      <c r="A3556" t="s">
        <v>25970</v>
      </c>
      <c r="B3556" t="s">
        <v>4461</v>
      </c>
      <c r="C3556" t="s">
        <v>4456</v>
      </c>
      <c r="D3556" t="s">
        <v>437</v>
      </c>
      <c r="E3556" t="s">
        <v>438</v>
      </c>
      <c r="F3556" t="s">
        <v>0</v>
      </c>
      <c r="G3556" t="s">
        <v>16230</v>
      </c>
      <c r="H3556" t="s">
        <v>47153</v>
      </c>
      <c r="I3556" t="s">
        <v>47132</v>
      </c>
      <c r="J3556" t="s">
        <v>47133</v>
      </c>
      <c r="K3556" t="s">
        <v>47113</v>
      </c>
      <c r="L3556">
        <v>56.81</v>
      </c>
      <c r="M3556">
        <v>69</v>
      </c>
      <c r="N3556">
        <v>0</v>
      </c>
      <c r="O3556">
        <v>69</v>
      </c>
      <c r="P3556">
        <v>0</v>
      </c>
    </row>
    <row r="3557" spans="1:16" x14ac:dyDescent="0.25">
      <c r="A3557" t="s">
        <v>25971</v>
      </c>
      <c r="B3557" t="s">
        <v>4461</v>
      </c>
      <c r="C3557" t="s">
        <v>4456</v>
      </c>
      <c r="D3557" t="s">
        <v>4335</v>
      </c>
      <c r="E3557" t="s">
        <v>4336</v>
      </c>
      <c r="F3557" t="s">
        <v>0</v>
      </c>
      <c r="G3557" t="s">
        <v>16230</v>
      </c>
      <c r="H3557" t="s">
        <v>47153</v>
      </c>
      <c r="I3557" t="s">
        <v>47132</v>
      </c>
      <c r="J3557" t="s">
        <v>47133</v>
      </c>
      <c r="K3557" t="s">
        <v>47113</v>
      </c>
      <c r="L3557">
        <v>56.81</v>
      </c>
      <c r="M3557">
        <v>69</v>
      </c>
      <c r="N3557">
        <v>0</v>
      </c>
      <c r="O3557">
        <v>69</v>
      </c>
      <c r="P3557">
        <v>0</v>
      </c>
    </row>
    <row r="3558" spans="1:16" x14ac:dyDescent="0.25">
      <c r="A3558" t="s">
        <v>25972</v>
      </c>
      <c r="B3558" t="s">
        <v>4461</v>
      </c>
      <c r="C3558" t="s">
        <v>4456</v>
      </c>
      <c r="D3558" t="s">
        <v>4380</v>
      </c>
      <c r="E3558" t="s">
        <v>4381</v>
      </c>
      <c r="F3558" t="s">
        <v>0</v>
      </c>
      <c r="G3558" t="s">
        <v>16230</v>
      </c>
      <c r="H3558" t="s">
        <v>47153</v>
      </c>
      <c r="I3558" t="s">
        <v>47132</v>
      </c>
      <c r="J3558" t="s">
        <v>47133</v>
      </c>
      <c r="K3558" t="s">
        <v>47113</v>
      </c>
      <c r="L3558">
        <v>56.81</v>
      </c>
      <c r="M3558">
        <v>69</v>
      </c>
      <c r="N3558">
        <v>0</v>
      </c>
      <c r="O3558">
        <v>69</v>
      </c>
      <c r="P3558">
        <v>0</v>
      </c>
    </row>
    <row r="3559" spans="1:16" x14ac:dyDescent="0.25">
      <c r="A3559" t="s">
        <v>25973</v>
      </c>
      <c r="B3559" t="s">
        <v>4461</v>
      </c>
      <c r="C3559" t="s">
        <v>4456</v>
      </c>
      <c r="D3559" t="s">
        <v>504</v>
      </c>
      <c r="E3559" t="s">
        <v>505</v>
      </c>
      <c r="F3559" t="s">
        <v>0</v>
      </c>
      <c r="G3559" t="s">
        <v>16230</v>
      </c>
      <c r="H3559" t="s">
        <v>47153</v>
      </c>
      <c r="I3559" t="s">
        <v>47132</v>
      </c>
      <c r="J3559" t="s">
        <v>47133</v>
      </c>
      <c r="K3559" t="s">
        <v>47113</v>
      </c>
      <c r="L3559">
        <v>56.81</v>
      </c>
      <c r="M3559">
        <v>69</v>
      </c>
      <c r="N3559">
        <v>0</v>
      </c>
      <c r="O3559">
        <v>69</v>
      </c>
      <c r="P3559">
        <v>0</v>
      </c>
    </row>
    <row r="3560" spans="1:16" x14ac:dyDescent="0.25">
      <c r="A3560" t="s">
        <v>25974</v>
      </c>
      <c r="B3560" t="s">
        <v>4462</v>
      </c>
      <c r="C3560" t="s">
        <v>4463</v>
      </c>
      <c r="D3560" t="s">
        <v>4464</v>
      </c>
      <c r="E3560" t="s">
        <v>4465</v>
      </c>
      <c r="F3560" t="s">
        <v>0</v>
      </c>
      <c r="G3560" t="s">
        <v>16230</v>
      </c>
      <c r="H3560" t="s">
        <v>47153</v>
      </c>
      <c r="I3560" t="s">
        <v>47132</v>
      </c>
      <c r="J3560" t="s">
        <v>47133</v>
      </c>
      <c r="K3560" t="s">
        <v>47113</v>
      </c>
      <c r="L3560">
        <v>66.290000000000006</v>
      </c>
      <c r="M3560">
        <v>73</v>
      </c>
      <c r="N3560">
        <v>0</v>
      </c>
      <c r="O3560">
        <v>73</v>
      </c>
      <c r="P3560">
        <v>0</v>
      </c>
    </row>
    <row r="3561" spans="1:16" x14ac:dyDescent="0.25">
      <c r="A3561" t="s">
        <v>25975</v>
      </c>
      <c r="B3561" t="s">
        <v>4466</v>
      </c>
      <c r="C3561" t="s">
        <v>4467</v>
      </c>
      <c r="D3561" t="str">
        <f>"1001"</f>
        <v>1001</v>
      </c>
      <c r="E3561" t="s">
        <v>42</v>
      </c>
      <c r="F3561" t="s">
        <v>1</v>
      </c>
      <c r="G3561" t="s">
        <v>16221</v>
      </c>
      <c r="H3561" t="s">
        <v>47126</v>
      </c>
      <c r="I3561" t="s">
        <v>47127</v>
      </c>
      <c r="J3561" t="s">
        <v>47128</v>
      </c>
      <c r="K3561" t="s">
        <v>47113</v>
      </c>
      <c r="L3561">
        <v>19.7</v>
      </c>
      <c r="M3561">
        <v>48</v>
      </c>
      <c r="N3561">
        <v>0</v>
      </c>
      <c r="O3561">
        <v>48</v>
      </c>
      <c r="P3561">
        <v>0</v>
      </c>
    </row>
    <row r="3562" spans="1:16" x14ac:dyDescent="0.25">
      <c r="A3562" t="s">
        <v>25976</v>
      </c>
      <c r="B3562" t="s">
        <v>4466</v>
      </c>
      <c r="C3562" t="s">
        <v>4467</v>
      </c>
      <c r="D3562" t="str">
        <f>"1377"</f>
        <v>1377</v>
      </c>
      <c r="E3562" t="s">
        <v>74</v>
      </c>
      <c r="F3562" t="s">
        <v>1</v>
      </c>
      <c r="G3562" t="s">
        <v>16221</v>
      </c>
      <c r="H3562" t="s">
        <v>47126</v>
      </c>
      <c r="I3562" t="s">
        <v>47127</v>
      </c>
      <c r="J3562" t="s">
        <v>47128</v>
      </c>
      <c r="K3562" t="s">
        <v>47113</v>
      </c>
      <c r="L3562">
        <v>19.7</v>
      </c>
      <c r="M3562">
        <v>48</v>
      </c>
      <c r="N3562">
        <v>0</v>
      </c>
      <c r="O3562">
        <v>48</v>
      </c>
      <c r="P3562">
        <v>0</v>
      </c>
    </row>
    <row r="3563" spans="1:16" x14ac:dyDescent="0.25">
      <c r="A3563" t="s">
        <v>25977</v>
      </c>
      <c r="B3563" t="s">
        <v>4466</v>
      </c>
      <c r="C3563" t="s">
        <v>4467</v>
      </c>
      <c r="D3563" t="str">
        <f>"1378"</f>
        <v>1378</v>
      </c>
      <c r="E3563" t="s">
        <v>388</v>
      </c>
      <c r="F3563" t="s">
        <v>1</v>
      </c>
      <c r="G3563" t="s">
        <v>16221</v>
      </c>
      <c r="H3563" t="s">
        <v>47126</v>
      </c>
      <c r="I3563" t="s">
        <v>47127</v>
      </c>
      <c r="J3563" t="s">
        <v>47128</v>
      </c>
      <c r="K3563" t="s">
        <v>47113</v>
      </c>
      <c r="L3563">
        <v>19.7</v>
      </c>
      <c r="M3563">
        <v>48</v>
      </c>
      <c r="N3563">
        <v>0</v>
      </c>
      <c r="O3563">
        <v>48</v>
      </c>
      <c r="P3563">
        <v>0</v>
      </c>
    </row>
    <row r="3564" spans="1:16" x14ac:dyDescent="0.25">
      <c r="A3564" t="s">
        <v>25978</v>
      </c>
      <c r="B3564" t="s">
        <v>4466</v>
      </c>
      <c r="C3564" t="s">
        <v>4467</v>
      </c>
      <c r="D3564" t="str">
        <f>"1700"</f>
        <v>1700</v>
      </c>
      <c r="E3564" t="s">
        <v>60</v>
      </c>
      <c r="F3564" t="s">
        <v>1</v>
      </c>
      <c r="G3564" t="s">
        <v>16221</v>
      </c>
      <c r="H3564" t="s">
        <v>47126</v>
      </c>
      <c r="I3564" t="s">
        <v>47127</v>
      </c>
      <c r="J3564" t="s">
        <v>47128</v>
      </c>
      <c r="K3564" t="s">
        <v>47113</v>
      </c>
      <c r="L3564">
        <v>19.7</v>
      </c>
      <c r="M3564">
        <v>48</v>
      </c>
      <c r="N3564">
        <v>0</v>
      </c>
      <c r="O3564">
        <v>48</v>
      </c>
      <c r="P3564">
        <v>0</v>
      </c>
    </row>
    <row r="3565" spans="1:16" x14ac:dyDescent="0.25">
      <c r="A3565" t="s">
        <v>25979</v>
      </c>
      <c r="B3565" t="s">
        <v>4466</v>
      </c>
      <c r="C3565" t="s">
        <v>4467</v>
      </c>
      <c r="D3565" t="str">
        <f>"3489"</f>
        <v>3489</v>
      </c>
      <c r="E3565" t="s">
        <v>2221</v>
      </c>
      <c r="F3565" t="s">
        <v>1</v>
      </c>
      <c r="G3565" t="s">
        <v>16221</v>
      </c>
      <c r="H3565" t="s">
        <v>47126</v>
      </c>
      <c r="I3565" t="s">
        <v>47127</v>
      </c>
      <c r="J3565" t="s">
        <v>47128</v>
      </c>
      <c r="K3565" t="s">
        <v>47113</v>
      </c>
      <c r="L3565">
        <v>19.7</v>
      </c>
      <c r="M3565">
        <v>48</v>
      </c>
      <c r="N3565">
        <v>0</v>
      </c>
      <c r="O3565">
        <v>48</v>
      </c>
      <c r="P3565">
        <v>0</v>
      </c>
    </row>
    <row r="3566" spans="1:16" x14ac:dyDescent="0.25">
      <c r="A3566" t="s">
        <v>25980</v>
      </c>
      <c r="B3566" t="s">
        <v>4466</v>
      </c>
      <c r="C3566" t="s">
        <v>4467</v>
      </c>
      <c r="D3566" t="str">
        <f>"4643"</f>
        <v>4643</v>
      </c>
      <c r="E3566" t="s">
        <v>205</v>
      </c>
      <c r="F3566" t="s">
        <v>1</v>
      </c>
      <c r="G3566" t="s">
        <v>16221</v>
      </c>
      <c r="H3566" t="s">
        <v>47126</v>
      </c>
      <c r="I3566" t="s">
        <v>47127</v>
      </c>
      <c r="J3566" t="s">
        <v>47128</v>
      </c>
      <c r="K3566" t="s">
        <v>47113</v>
      </c>
      <c r="L3566">
        <v>19.7</v>
      </c>
      <c r="M3566">
        <v>48</v>
      </c>
      <c r="N3566">
        <v>0</v>
      </c>
      <c r="O3566">
        <v>48</v>
      </c>
      <c r="P3566">
        <v>0</v>
      </c>
    </row>
    <row r="3567" spans="1:16" x14ac:dyDescent="0.25">
      <c r="A3567" t="s">
        <v>25981</v>
      </c>
      <c r="B3567" t="s">
        <v>4466</v>
      </c>
      <c r="C3567" t="s">
        <v>4467</v>
      </c>
      <c r="D3567" t="str">
        <f>"4729"</f>
        <v>4729</v>
      </c>
      <c r="E3567" t="s">
        <v>2222</v>
      </c>
      <c r="F3567" t="s">
        <v>1</v>
      </c>
      <c r="G3567" t="s">
        <v>16221</v>
      </c>
      <c r="H3567" t="s">
        <v>47126</v>
      </c>
      <c r="I3567" t="s">
        <v>47127</v>
      </c>
      <c r="J3567" t="s">
        <v>47128</v>
      </c>
      <c r="K3567" t="s">
        <v>47113</v>
      </c>
      <c r="L3567">
        <v>19.7</v>
      </c>
      <c r="M3567">
        <v>48</v>
      </c>
      <c r="N3567">
        <v>0</v>
      </c>
      <c r="O3567">
        <v>48</v>
      </c>
      <c r="P3567">
        <v>0</v>
      </c>
    </row>
    <row r="3568" spans="1:16" x14ac:dyDescent="0.25">
      <c r="A3568" t="s">
        <v>25982</v>
      </c>
      <c r="B3568" t="s">
        <v>4466</v>
      </c>
      <c r="C3568" t="s">
        <v>4467</v>
      </c>
      <c r="D3568" t="str">
        <f>"6276"</f>
        <v>6276</v>
      </c>
      <c r="E3568" t="s">
        <v>3867</v>
      </c>
      <c r="F3568" t="s">
        <v>1</v>
      </c>
      <c r="G3568" t="s">
        <v>16221</v>
      </c>
      <c r="H3568" t="s">
        <v>47126</v>
      </c>
      <c r="I3568" t="s">
        <v>47127</v>
      </c>
      <c r="J3568" t="s">
        <v>47128</v>
      </c>
      <c r="K3568" t="s">
        <v>47113</v>
      </c>
      <c r="L3568">
        <v>19.7</v>
      </c>
      <c r="M3568">
        <v>48</v>
      </c>
      <c r="N3568">
        <v>0</v>
      </c>
      <c r="O3568">
        <v>48</v>
      </c>
      <c r="P3568">
        <v>0</v>
      </c>
    </row>
    <row r="3569" spans="1:16" x14ac:dyDescent="0.25">
      <c r="A3569" t="s">
        <v>25983</v>
      </c>
      <c r="B3569" t="s">
        <v>4468</v>
      </c>
      <c r="C3569" t="s">
        <v>4469</v>
      </c>
      <c r="D3569" t="str">
        <f>"1001"</f>
        <v>1001</v>
      </c>
      <c r="E3569" t="s">
        <v>42</v>
      </c>
      <c r="F3569" t="s">
        <v>1</v>
      </c>
      <c r="G3569" t="s">
        <v>16221</v>
      </c>
      <c r="H3569" t="s">
        <v>47126</v>
      </c>
      <c r="I3569" t="s">
        <v>47127</v>
      </c>
      <c r="J3569" t="s">
        <v>47128</v>
      </c>
      <c r="K3569" t="s">
        <v>47113</v>
      </c>
      <c r="L3569">
        <v>17.760000000000002</v>
      </c>
      <c r="M3569">
        <v>43</v>
      </c>
      <c r="N3569">
        <v>0</v>
      </c>
      <c r="O3569">
        <v>43</v>
      </c>
      <c r="P3569">
        <v>0</v>
      </c>
    </row>
    <row r="3570" spans="1:16" x14ac:dyDescent="0.25">
      <c r="A3570" t="s">
        <v>25984</v>
      </c>
      <c r="B3570" t="s">
        <v>4468</v>
      </c>
      <c r="C3570" t="s">
        <v>4469</v>
      </c>
      <c r="D3570" t="str">
        <f>"1377"</f>
        <v>1377</v>
      </c>
      <c r="E3570" t="s">
        <v>74</v>
      </c>
      <c r="F3570" t="s">
        <v>1</v>
      </c>
      <c r="G3570" t="s">
        <v>16221</v>
      </c>
      <c r="H3570" t="s">
        <v>47126</v>
      </c>
      <c r="I3570" t="s">
        <v>47127</v>
      </c>
      <c r="J3570" t="s">
        <v>47128</v>
      </c>
      <c r="K3570" t="s">
        <v>47113</v>
      </c>
      <c r="L3570">
        <v>17.760000000000002</v>
      </c>
      <c r="M3570">
        <v>43</v>
      </c>
      <c r="N3570">
        <v>0</v>
      </c>
      <c r="O3570">
        <v>43</v>
      </c>
      <c r="P3570">
        <v>0</v>
      </c>
    </row>
    <row r="3571" spans="1:16" x14ac:dyDescent="0.25">
      <c r="A3571" t="s">
        <v>25985</v>
      </c>
      <c r="B3571" t="s">
        <v>4468</v>
      </c>
      <c r="C3571" t="s">
        <v>4469</v>
      </c>
      <c r="D3571" t="str">
        <f>"1378"</f>
        <v>1378</v>
      </c>
      <c r="E3571" t="s">
        <v>388</v>
      </c>
      <c r="F3571" t="s">
        <v>1</v>
      </c>
      <c r="G3571" t="s">
        <v>16221</v>
      </c>
      <c r="H3571" t="s">
        <v>47126</v>
      </c>
      <c r="I3571" t="s">
        <v>47127</v>
      </c>
      <c r="J3571" t="s">
        <v>47128</v>
      </c>
      <c r="K3571" t="s">
        <v>47113</v>
      </c>
      <c r="L3571">
        <v>17.760000000000002</v>
      </c>
      <c r="M3571">
        <v>43</v>
      </c>
      <c r="N3571">
        <v>0</v>
      </c>
      <c r="O3571">
        <v>43</v>
      </c>
      <c r="P3571">
        <v>0</v>
      </c>
    </row>
    <row r="3572" spans="1:16" x14ac:dyDescent="0.25">
      <c r="A3572" t="s">
        <v>25986</v>
      </c>
      <c r="B3572" t="s">
        <v>4468</v>
      </c>
      <c r="C3572" t="s">
        <v>4469</v>
      </c>
      <c r="D3572" t="str">
        <f>"1700"</f>
        <v>1700</v>
      </c>
      <c r="E3572" t="s">
        <v>60</v>
      </c>
      <c r="F3572" t="s">
        <v>1</v>
      </c>
      <c r="G3572" t="s">
        <v>16221</v>
      </c>
      <c r="H3572" t="s">
        <v>47126</v>
      </c>
      <c r="I3572" t="s">
        <v>47127</v>
      </c>
      <c r="J3572" t="s">
        <v>47128</v>
      </c>
      <c r="K3572" t="s">
        <v>47113</v>
      </c>
      <c r="L3572">
        <v>17.760000000000002</v>
      </c>
      <c r="M3572">
        <v>43</v>
      </c>
      <c r="N3572">
        <v>0</v>
      </c>
      <c r="O3572">
        <v>43</v>
      </c>
      <c r="P3572">
        <v>0</v>
      </c>
    </row>
    <row r="3573" spans="1:16" x14ac:dyDescent="0.25">
      <c r="A3573" t="s">
        <v>25987</v>
      </c>
      <c r="B3573" t="s">
        <v>4468</v>
      </c>
      <c r="C3573" t="s">
        <v>4469</v>
      </c>
      <c r="D3573" t="str">
        <f>"3489"</f>
        <v>3489</v>
      </c>
      <c r="E3573" t="s">
        <v>2221</v>
      </c>
      <c r="F3573" t="s">
        <v>1</v>
      </c>
      <c r="G3573" t="s">
        <v>16221</v>
      </c>
      <c r="H3573" t="s">
        <v>47126</v>
      </c>
      <c r="I3573" t="s">
        <v>47127</v>
      </c>
      <c r="J3573" t="s">
        <v>47128</v>
      </c>
      <c r="K3573" t="s">
        <v>47113</v>
      </c>
      <c r="L3573">
        <v>17.760000000000002</v>
      </c>
      <c r="M3573">
        <v>43</v>
      </c>
      <c r="N3573">
        <v>0</v>
      </c>
      <c r="O3573">
        <v>43</v>
      </c>
      <c r="P3573">
        <v>0</v>
      </c>
    </row>
    <row r="3574" spans="1:16" x14ac:dyDescent="0.25">
      <c r="A3574" t="s">
        <v>25988</v>
      </c>
      <c r="B3574" t="s">
        <v>4468</v>
      </c>
      <c r="C3574" t="s">
        <v>4469</v>
      </c>
      <c r="D3574" t="str">
        <f>"4643"</f>
        <v>4643</v>
      </c>
      <c r="E3574" t="s">
        <v>205</v>
      </c>
      <c r="F3574" t="s">
        <v>1</v>
      </c>
      <c r="G3574" t="s">
        <v>16221</v>
      </c>
      <c r="H3574" t="s">
        <v>47126</v>
      </c>
      <c r="I3574" t="s">
        <v>47127</v>
      </c>
      <c r="J3574" t="s">
        <v>47128</v>
      </c>
      <c r="K3574" t="s">
        <v>47113</v>
      </c>
      <c r="L3574">
        <v>17.760000000000002</v>
      </c>
      <c r="M3574">
        <v>43</v>
      </c>
      <c r="N3574">
        <v>0</v>
      </c>
      <c r="O3574">
        <v>43</v>
      </c>
      <c r="P3574">
        <v>0</v>
      </c>
    </row>
    <row r="3575" spans="1:16" x14ac:dyDescent="0.25">
      <c r="A3575" t="s">
        <v>25989</v>
      </c>
      <c r="B3575" t="s">
        <v>4468</v>
      </c>
      <c r="C3575" t="s">
        <v>4469</v>
      </c>
      <c r="D3575" t="str">
        <f>"4729"</f>
        <v>4729</v>
      </c>
      <c r="E3575" t="s">
        <v>2222</v>
      </c>
      <c r="F3575" t="s">
        <v>1</v>
      </c>
      <c r="G3575" t="s">
        <v>16221</v>
      </c>
      <c r="H3575" t="s">
        <v>47126</v>
      </c>
      <c r="I3575" t="s">
        <v>47127</v>
      </c>
      <c r="J3575" t="s">
        <v>47128</v>
      </c>
      <c r="K3575" t="s">
        <v>47113</v>
      </c>
      <c r="L3575">
        <v>17.760000000000002</v>
      </c>
      <c r="M3575">
        <v>43</v>
      </c>
      <c r="N3575">
        <v>0</v>
      </c>
      <c r="O3575">
        <v>43</v>
      </c>
      <c r="P3575">
        <v>0</v>
      </c>
    </row>
    <row r="3576" spans="1:16" x14ac:dyDescent="0.25">
      <c r="A3576" t="s">
        <v>25990</v>
      </c>
      <c r="B3576" t="s">
        <v>4468</v>
      </c>
      <c r="C3576" t="s">
        <v>4469</v>
      </c>
      <c r="D3576" t="str">
        <f>"6276"</f>
        <v>6276</v>
      </c>
      <c r="E3576" t="s">
        <v>3867</v>
      </c>
      <c r="F3576" t="s">
        <v>1</v>
      </c>
      <c r="G3576" t="s">
        <v>16221</v>
      </c>
      <c r="H3576" t="s">
        <v>47126</v>
      </c>
      <c r="I3576" t="s">
        <v>47127</v>
      </c>
      <c r="J3576" t="s">
        <v>47128</v>
      </c>
      <c r="K3576" t="s">
        <v>47113</v>
      </c>
      <c r="L3576">
        <v>17.760000000000002</v>
      </c>
      <c r="M3576">
        <v>43</v>
      </c>
      <c r="N3576">
        <v>0</v>
      </c>
      <c r="O3576">
        <v>43</v>
      </c>
      <c r="P3576">
        <v>0</v>
      </c>
    </row>
    <row r="3577" spans="1:16" x14ac:dyDescent="0.25">
      <c r="A3577" t="s">
        <v>25991</v>
      </c>
      <c r="B3577" t="s">
        <v>4470</v>
      </c>
      <c r="C3577" t="s">
        <v>3773</v>
      </c>
      <c r="D3577" t="s">
        <v>3768</v>
      </c>
      <c r="E3577" t="s">
        <v>3769</v>
      </c>
      <c r="F3577" t="s">
        <v>1</v>
      </c>
      <c r="G3577" t="s">
        <v>16231</v>
      </c>
      <c r="H3577" t="s">
        <v>47153</v>
      </c>
      <c r="I3577" t="s">
        <v>47132</v>
      </c>
      <c r="J3577" t="s">
        <v>47133</v>
      </c>
      <c r="K3577" t="s">
        <v>47113</v>
      </c>
      <c r="L3577">
        <v>42.08</v>
      </c>
      <c r="M3577">
        <v>80</v>
      </c>
      <c r="N3577">
        <v>0</v>
      </c>
      <c r="O3577">
        <v>80</v>
      </c>
      <c r="P3577">
        <v>0</v>
      </c>
    </row>
    <row r="3578" spans="1:16" x14ac:dyDescent="0.25">
      <c r="A3578" t="s">
        <v>25992</v>
      </c>
      <c r="B3578" t="s">
        <v>4470</v>
      </c>
      <c r="C3578" t="s">
        <v>3773</v>
      </c>
      <c r="D3578" t="s">
        <v>4471</v>
      </c>
      <c r="E3578" t="s">
        <v>4472</v>
      </c>
      <c r="F3578" t="s">
        <v>1</v>
      </c>
      <c r="G3578" t="s">
        <v>16231</v>
      </c>
      <c r="H3578" t="s">
        <v>47153</v>
      </c>
      <c r="I3578" t="s">
        <v>47132</v>
      </c>
      <c r="J3578" t="s">
        <v>47133</v>
      </c>
      <c r="K3578" t="s">
        <v>47113</v>
      </c>
      <c r="L3578">
        <v>45.51</v>
      </c>
      <c r="M3578">
        <v>87</v>
      </c>
      <c r="N3578">
        <v>0</v>
      </c>
      <c r="O3578">
        <v>87</v>
      </c>
      <c r="P3578">
        <v>0</v>
      </c>
    </row>
    <row r="3579" spans="1:16" x14ac:dyDescent="0.25">
      <c r="A3579" t="s">
        <v>25993</v>
      </c>
      <c r="B3579" t="s">
        <v>4473</v>
      </c>
      <c r="C3579" t="s">
        <v>3773</v>
      </c>
      <c r="D3579" t="s">
        <v>4474</v>
      </c>
      <c r="E3579" t="s">
        <v>4475</v>
      </c>
      <c r="F3579" t="s">
        <v>1</v>
      </c>
      <c r="G3579" t="s">
        <v>16231</v>
      </c>
      <c r="H3579" t="s">
        <v>47153</v>
      </c>
      <c r="I3579" t="s">
        <v>47132</v>
      </c>
      <c r="J3579" t="s">
        <v>47133</v>
      </c>
      <c r="K3579" t="s">
        <v>47113</v>
      </c>
      <c r="L3579">
        <v>38.520000000000003</v>
      </c>
      <c r="M3579">
        <v>74</v>
      </c>
      <c r="N3579">
        <v>0</v>
      </c>
      <c r="O3579">
        <v>74</v>
      </c>
      <c r="P3579">
        <v>0</v>
      </c>
    </row>
    <row r="3580" spans="1:16" x14ac:dyDescent="0.25">
      <c r="A3580" t="s">
        <v>25994</v>
      </c>
      <c r="B3580" t="s">
        <v>4476</v>
      </c>
      <c r="C3580" t="s">
        <v>3773</v>
      </c>
      <c r="D3580" t="s">
        <v>4477</v>
      </c>
      <c r="E3580" t="s">
        <v>4478</v>
      </c>
      <c r="F3580" t="s">
        <v>1</v>
      </c>
      <c r="G3580" t="s">
        <v>16231</v>
      </c>
      <c r="H3580" t="s">
        <v>47153</v>
      </c>
      <c r="I3580" t="s">
        <v>47132</v>
      </c>
      <c r="J3580" t="s">
        <v>47133</v>
      </c>
      <c r="K3580" t="s">
        <v>47113</v>
      </c>
      <c r="L3580">
        <v>44.8</v>
      </c>
      <c r="M3580">
        <v>88</v>
      </c>
      <c r="N3580">
        <v>0</v>
      </c>
      <c r="O3580">
        <v>88</v>
      </c>
      <c r="P3580">
        <v>0</v>
      </c>
    </row>
    <row r="3581" spans="1:16" x14ac:dyDescent="0.25">
      <c r="A3581" t="s">
        <v>25995</v>
      </c>
      <c r="B3581" t="s">
        <v>4476</v>
      </c>
      <c r="C3581" t="s">
        <v>3773</v>
      </c>
      <c r="D3581" t="s">
        <v>4479</v>
      </c>
      <c r="E3581" t="s">
        <v>4480</v>
      </c>
      <c r="F3581" t="s">
        <v>1</v>
      </c>
      <c r="G3581" t="s">
        <v>16231</v>
      </c>
      <c r="H3581" t="s">
        <v>47153</v>
      </c>
      <c r="I3581" t="s">
        <v>47132</v>
      </c>
      <c r="J3581" t="s">
        <v>47133</v>
      </c>
      <c r="K3581" t="s">
        <v>47113</v>
      </c>
      <c r="L3581">
        <v>46.78</v>
      </c>
      <c r="M3581">
        <v>92</v>
      </c>
      <c r="N3581">
        <v>0</v>
      </c>
      <c r="O3581">
        <v>92</v>
      </c>
      <c r="P3581">
        <v>0</v>
      </c>
    </row>
    <row r="3582" spans="1:16" x14ac:dyDescent="0.25">
      <c r="A3582" t="s">
        <v>25996</v>
      </c>
      <c r="B3582" t="s">
        <v>4481</v>
      </c>
      <c r="C3582" t="s">
        <v>3773</v>
      </c>
      <c r="D3582" t="s">
        <v>4482</v>
      </c>
      <c r="E3582" t="s">
        <v>4483</v>
      </c>
      <c r="F3582" t="s">
        <v>1</v>
      </c>
      <c r="G3582" t="s">
        <v>16231</v>
      </c>
      <c r="H3582" t="s">
        <v>47153</v>
      </c>
      <c r="I3582" t="s">
        <v>47132</v>
      </c>
      <c r="J3582" t="s">
        <v>47133</v>
      </c>
      <c r="K3582" t="s">
        <v>47113</v>
      </c>
      <c r="L3582">
        <v>44.92</v>
      </c>
      <c r="M3582">
        <v>86</v>
      </c>
      <c r="N3582">
        <v>0</v>
      </c>
      <c r="O3582">
        <v>86</v>
      </c>
      <c r="P3582">
        <v>0</v>
      </c>
    </row>
    <row r="3583" spans="1:16" x14ac:dyDescent="0.25">
      <c r="A3583" t="s">
        <v>25997</v>
      </c>
      <c r="B3583" t="s">
        <v>4481</v>
      </c>
      <c r="C3583" t="s">
        <v>3773</v>
      </c>
      <c r="D3583" t="s">
        <v>4484</v>
      </c>
      <c r="E3583" t="s">
        <v>4485</v>
      </c>
      <c r="F3583" t="s">
        <v>1</v>
      </c>
      <c r="G3583" t="s">
        <v>16231</v>
      </c>
      <c r="H3583" t="s">
        <v>47153</v>
      </c>
      <c r="I3583" t="s">
        <v>47132</v>
      </c>
      <c r="J3583" t="s">
        <v>47133</v>
      </c>
      <c r="K3583" t="s">
        <v>47113</v>
      </c>
      <c r="L3583">
        <v>46.82</v>
      </c>
      <c r="M3583">
        <v>90</v>
      </c>
      <c r="N3583">
        <v>0</v>
      </c>
      <c r="O3583">
        <v>90</v>
      </c>
      <c r="P3583">
        <v>0</v>
      </c>
    </row>
    <row r="3584" spans="1:16" x14ac:dyDescent="0.25">
      <c r="A3584" t="s">
        <v>25998</v>
      </c>
      <c r="B3584" t="s">
        <v>4486</v>
      </c>
      <c r="C3584" t="s">
        <v>3813</v>
      </c>
      <c r="D3584" t="s">
        <v>3768</v>
      </c>
      <c r="E3584" t="s">
        <v>3769</v>
      </c>
      <c r="F3584" t="s">
        <v>1</v>
      </c>
      <c r="G3584" t="s">
        <v>16231</v>
      </c>
      <c r="H3584" t="s">
        <v>47153</v>
      </c>
      <c r="I3584" t="s">
        <v>47132</v>
      </c>
      <c r="J3584" t="s">
        <v>47133</v>
      </c>
      <c r="K3584" t="s">
        <v>47113</v>
      </c>
      <c r="L3584">
        <v>42.08</v>
      </c>
      <c r="M3584">
        <v>80</v>
      </c>
      <c r="N3584">
        <v>0</v>
      </c>
      <c r="O3584">
        <v>80</v>
      </c>
      <c r="P3584">
        <v>0</v>
      </c>
    </row>
    <row r="3585" spans="1:16" x14ac:dyDescent="0.25">
      <c r="A3585" t="s">
        <v>25999</v>
      </c>
      <c r="B3585" t="s">
        <v>4486</v>
      </c>
      <c r="C3585" t="s">
        <v>3813</v>
      </c>
      <c r="D3585" t="s">
        <v>4487</v>
      </c>
      <c r="E3585" t="s">
        <v>4488</v>
      </c>
      <c r="F3585" t="s">
        <v>1</v>
      </c>
      <c r="G3585" t="s">
        <v>16231</v>
      </c>
      <c r="H3585" t="s">
        <v>47153</v>
      </c>
      <c r="I3585" t="s">
        <v>47132</v>
      </c>
      <c r="J3585" t="s">
        <v>47133</v>
      </c>
      <c r="K3585" t="s">
        <v>47113</v>
      </c>
      <c r="L3585">
        <v>41.25</v>
      </c>
      <c r="M3585">
        <v>79</v>
      </c>
      <c r="N3585">
        <v>0</v>
      </c>
      <c r="O3585">
        <v>79</v>
      </c>
      <c r="P3585">
        <v>0</v>
      </c>
    </row>
    <row r="3586" spans="1:16" x14ac:dyDescent="0.25">
      <c r="A3586" t="s">
        <v>26000</v>
      </c>
      <c r="B3586" t="s">
        <v>4486</v>
      </c>
      <c r="C3586" t="s">
        <v>3813</v>
      </c>
      <c r="D3586" t="s">
        <v>4471</v>
      </c>
      <c r="E3586" t="s">
        <v>4472</v>
      </c>
      <c r="F3586" t="s">
        <v>1</v>
      </c>
      <c r="G3586" t="s">
        <v>16231</v>
      </c>
      <c r="H3586" t="s">
        <v>47153</v>
      </c>
      <c r="I3586" t="s">
        <v>47132</v>
      </c>
      <c r="J3586" t="s">
        <v>47133</v>
      </c>
      <c r="K3586" t="s">
        <v>47113</v>
      </c>
      <c r="L3586">
        <v>45.51</v>
      </c>
      <c r="M3586">
        <v>87</v>
      </c>
      <c r="N3586">
        <v>0</v>
      </c>
      <c r="O3586">
        <v>87</v>
      </c>
      <c r="P3586">
        <v>0</v>
      </c>
    </row>
    <row r="3587" spans="1:16" x14ac:dyDescent="0.25">
      <c r="A3587" t="s">
        <v>26001</v>
      </c>
      <c r="B3587" t="s">
        <v>4489</v>
      </c>
      <c r="C3587" t="s">
        <v>3813</v>
      </c>
      <c r="D3587" t="s">
        <v>4474</v>
      </c>
      <c r="E3587" t="s">
        <v>4475</v>
      </c>
      <c r="F3587" t="s">
        <v>1</v>
      </c>
      <c r="G3587" t="s">
        <v>16231</v>
      </c>
      <c r="H3587" t="s">
        <v>47153</v>
      </c>
      <c r="I3587" t="s">
        <v>47132</v>
      </c>
      <c r="J3587" t="s">
        <v>47133</v>
      </c>
      <c r="K3587" t="s">
        <v>47113</v>
      </c>
      <c r="L3587">
        <v>38.520000000000003</v>
      </c>
      <c r="M3587">
        <v>74</v>
      </c>
      <c r="N3587">
        <v>0</v>
      </c>
      <c r="O3587">
        <v>74</v>
      </c>
      <c r="P3587">
        <v>0</v>
      </c>
    </row>
    <row r="3588" spans="1:16" x14ac:dyDescent="0.25">
      <c r="A3588" t="s">
        <v>26002</v>
      </c>
      <c r="B3588" t="s">
        <v>4490</v>
      </c>
      <c r="C3588" t="s">
        <v>3813</v>
      </c>
      <c r="D3588" t="s">
        <v>4477</v>
      </c>
      <c r="E3588" t="s">
        <v>4478</v>
      </c>
      <c r="F3588" t="s">
        <v>1</v>
      </c>
      <c r="G3588" t="s">
        <v>16231</v>
      </c>
      <c r="H3588" t="s">
        <v>47153</v>
      </c>
      <c r="I3588" t="s">
        <v>47132</v>
      </c>
      <c r="J3588" t="s">
        <v>47133</v>
      </c>
      <c r="K3588" t="s">
        <v>47113</v>
      </c>
      <c r="L3588">
        <v>43.98</v>
      </c>
      <c r="M3588">
        <v>88</v>
      </c>
      <c r="N3588">
        <v>0</v>
      </c>
      <c r="O3588">
        <v>88</v>
      </c>
      <c r="P3588">
        <v>0</v>
      </c>
    </row>
    <row r="3589" spans="1:16" x14ac:dyDescent="0.25">
      <c r="A3589" t="s">
        <v>26003</v>
      </c>
      <c r="B3589" t="s">
        <v>4490</v>
      </c>
      <c r="C3589" t="s">
        <v>3813</v>
      </c>
      <c r="D3589" t="s">
        <v>4479</v>
      </c>
      <c r="E3589" t="s">
        <v>4480</v>
      </c>
      <c r="F3589" t="s">
        <v>1</v>
      </c>
      <c r="G3589" t="s">
        <v>16231</v>
      </c>
      <c r="H3589" t="s">
        <v>47153</v>
      </c>
      <c r="I3589" t="s">
        <v>47132</v>
      </c>
      <c r="J3589" t="s">
        <v>47133</v>
      </c>
      <c r="K3589" t="s">
        <v>47113</v>
      </c>
      <c r="L3589">
        <v>47.17</v>
      </c>
      <c r="M3589">
        <v>92</v>
      </c>
      <c r="N3589">
        <v>0</v>
      </c>
      <c r="O3589">
        <v>92</v>
      </c>
      <c r="P3589">
        <v>0</v>
      </c>
    </row>
    <row r="3590" spans="1:16" x14ac:dyDescent="0.25">
      <c r="A3590" t="s">
        <v>26004</v>
      </c>
      <c r="B3590" t="s">
        <v>4491</v>
      </c>
      <c r="C3590" t="s">
        <v>3813</v>
      </c>
      <c r="D3590" t="s">
        <v>4482</v>
      </c>
      <c r="E3590" t="s">
        <v>4483</v>
      </c>
      <c r="F3590" t="s">
        <v>1</v>
      </c>
      <c r="G3590" t="s">
        <v>16231</v>
      </c>
      <c r="H3590" t="s">
        <v>47153</v>
      </c>
      <c r="I3590" t="s">
        <v>47132</v>
      </c>
      <c r="J3590" t="s">
        <v>47133</v>
      </c>
      <c r="K3590" t="s">
        <v>47113</v>
      </c>
      <c r="L3590">
        <v>44.92</v>
      </c>
      <c r="M3590">
        <v>86</v>
      </c>
      <c r="N3590">
        <v>0</v>
      </c>
      <c r="O3590">
        <v>86</v>
      </c>
      <c r="P3590">
        <v>0</v>
      </c>
    </row>
    <row r="3591" spans="1:16" x14ac:dyDescent="0.25">
      <c r="A3591" t="s">
        <v>26005</v>
      </c>
      <c r="B3591" t="s">
        <v>4491</v>
      </c>
      <c r="C3591" t="s">
        <v>3813</v>
      </c>
      <c r="D3591" t="s">
        <v>4484</v>
      </c>
      <c r="E3591" t="s">
        <v>4485</v>
      </c>
      <c r="F3591" t="s">
        <v>1</v>
      </c>
      <c r="G3591" t="s">
        <v>16231</v>
      </c>
      <c r="H3591" t="s">
        <v>47153</v>
      </c>
      <c r="I3591" t="s">
        <v>47132</v>
      </c>
      <c r="J3591" t="s">
        <v>47133</v>
      </c>
      <c r="K3591" t="s">
        <v>47113</v>
      </c>
      <c r="L3591">
        <v>46.82</v>
      </c>
      <c r="M3591">
        <v>90</v>
      </c>
      <c r="N3591">
        <v>0</v>
      </c>
      <c r="O3591">
        <v>90</v>
      </c>
      <c r="P3591">
        <v>0</v>
      </c>
    </row>
    <row r="3592" spans="1:16" x14ac:dyDescent="0.25">
      <c r="A3592" t="s">
        <v>26006</v>
      </c>
      <c r="B3592" t="s">
        <v>4492</v>
      </c>
      <c r="C3592" t="s">
        <v>3825</v>
      </c>
      <c r="D3592" t="s">
        <v>3768</v>
      </c>
      <c r="E3592" t="s">
        <v>3769</v>
      </c>
      <c r="F3592" t="s">
        <v>1</v>
      </c>
      <c r="G3592" t="s">
        <v>16231</v>
      </c>
      <c r="H3592" t="s">
        <v>47153</v>
      </c>
      <c r="I3592" t="s">
        <v>47132</v>
      </c>
      <c r="J3592" t="s">
        <v>47133</v>
      </c>
      <c r="K3592" t="s">
        <v>47113</v>
      </c>
      <c r="L3592">
        <v>42.08</v>
      </c>
      <c r="M3592">
        <v>80</v>
      </c>
      <c r="N3592">
        <v>0</v>
      </c>
      <c r="O3592">
        <v>80</v>
      </c>
      <c r="P3592">
        <v>0</v>
      </c>
    </row>
    <row r="3593" spans="1:16" x14ac:dyDescent="0.25">
      <c r="A3593" t="s">
        <v>26007</v>
      </c>
      <c r="B3593" t="s">
        <v>4492</v>
      </c>
      <c r="C3593" t="s">
        <v>3825</v>
      </c>
      <c r="D3593" t="s">
        <v>4487</v>
      </c>
      <c r="E3593" t="s">
        <v>4488</v>
      </c>
      <c r="F3593" t="s">
        <v>1</v>
      </c>
      <c r="G3593" t="s">
        <v>16231</v>
      </c>
      <c r="H3593" t="s">
        <v>47153</v>
      </c>
      <c r="I3593" t="s">
        <v>47132</v>
      </c>
      <c r="J3593" t="s">
        <v>47133</v>
      </c>
      <c r="K3593" t="s">
        <v>47113</v>
      </c>
      <c r="L3593">
        <v>41.25</v>
      </c>
      <c r="M3593">
        <v>79</v>
      </c>
      <c r="N3593">
        <v>0</v>
      </c>
      <c r="O3593">
        <v>79</v>
      </c>
      <c r="P3593">
        <v>0</v>
      </c>
    </row>
    <row r="3594" spans="1:16" x14ac:dyDescent="0.25">
      <c r="A3594" t="s">
        <v>26008</v>
      </c>
      <c r="B3594" t="s">
        <v>4493</v>
      </c>
      <c r="C3594" t="s">
        <v>3825</v>
      </c>
      <c r="D3594" t="s">
        <v>4477</v>
      </c>
      <c r="E3594" t="s">
        <v>4478</v>
      </c>
      <c r="F3594" t="s">
        <v>1</v>
      </c>
      <c r="G3594" t="s">
        <v>16231</v>
      </c>
      <c r="H3594" t="s">
        <v>47153</v>
      </c>
      <c r="I3594" t="s">
        <v>47132</v>
      </c>
      <c r="J3594" t="s">
        <v>47133</v>
      </c>
      <c r="K3594" t="s">
        <v>47113</v>
      </c>
      <c r="L3594">
        <v>44.33</v>
      </c>
      <c r="M3594">
        <v>88</v>
      </c>
      <c r="N3594">
        <v>0</v>
      </c>
      <c r="O3594">
        <v>88</v>
      </c>
      <c r="P3594">
        <v>0</v>
      </c>
    </row>
    <row r="3595" spans="1:16" x14ac:dyDescent="0.25">
      <c r="A3595" t="s">
        <v>26009</v>
      </c>
      <c r="B3595" t="s">
        <v>4493</v>
      </c>
      <c r="C3595" t="s">
        <v>3825</v>
      </c>
      <c r="D3595" t="s">
        <v>4479</v>
      </c>
      <c r="E3595" t="s">
        <v>4480</v>
      </c>
      <c r="F3595" t="s">
        <v>1</v>
      </c>
      <c r="G3595" t="s">
        <v>16231</v>
      </c>
      <c r="H3595" t="s">
        <v>47153</v>
      </c>
      <c r="I3595" t="s">
        <v>47132</v>
      </c>
      <c r="J3595" t="s">
        <v>47133</v>
      </c>
      <c r="K3595" t="s">
        <v>47113</v>
      </c>
      <c r="L3595">
        <v>46.94</v>
      </c>
      <c r="M3595">
        <v>92</v>
      </c>
      <c r="N3595">
        <v>0</v>
      </c>
      <c r="O3595">
        <v>92</v>
      </c>
      <c r="P3595">
        <v>0</v>
      </c>
    </row>
    <row r="3596" spans="1:16" x14ac:dyDescent="0.25">
      <c r="A3596" t="s">
        <v>26010</v>
      </c>
      <c r="B3596" t="s">
        <v>4494</v>
      </c>
      <c r="C3596" t="s">
        <v>3825</v>
      </c>
      <c r="D3596" t="s">
        <v>4484</v>
      </c>
      <c r="E3596" t="s">
        <v>4485</v>
      </c>
      <c r="F3596" t="s">
        <v>1</v>
      </c>
      <c r="G3596" t="s">
        <v>16231</v>
      </c>
      <c r="H3596" t="s">
        <v>47153</v>
      </c>
      <c r="I3596" t="s">
        <v>47132</v>
      </c>
      <c r="J3596" t="s">
        <v>47133</v>
      </c>
      <c r="K3596" t="s">
        <v>47113</v>
      </c>
      <c r="L3596">
        <v>46.82</v>
      </c>
      <c r="M3596">
        <v>90</v>
      </c>
      <c r="N3596">
        <v>0</v>
      </c>
      <c r="O3596">
        <v>90</v>
      </c>
      <c r="P3596">
        <v>0</v>
      </c>
    </row>
    <row r="3597" spans="1:16" x14ac:dyDescent="0.25">
      <c r="A3597" t="s">
        <v>26011</v>
      </c>
      <c r="B3597" t="s">
        <v>4495</v>
      </c>
      <c r="C3597" t="s">
        <v>4496</v>
      </c>
      <c r="D3597" t="s">
        <v>341</v>
      </c>
      <c r="E3597" t="s">
        <v>342</v>
      </c>
      <c r="F3597" t="s">
        <v>1</v>
      </c>
      <c r="G3597" t="s">
        <v>16231</v>
      </c>
      <c r="H3597" t="s">
        <v>47153</v>
      </c>
      <c r="I3597" t="s">
        <v>47132</v>
      </c>
      <c r="J3597" t="s">
        <v>47133</v>
      </c>
      <c r="K3597" t="s">
        <v>47113</v>
      </c>
      <c r="L3597">
        <v>38.79</v>
      </c>
      <c r="M3597">
        <v>77</v>
      </c>
      <c r="N3597">
        <v>0</v>
      </c>
      <c r="O3597">
        <v>77</v>
      </c>
      <c r="P3597">
        <v>0</v>
      </c>
    </row>
    <row r="3598" spans="1:16" x14ac:dyDescent="0.25">
      <c r="A3598" t="s">
        <v>26012</v>
      </c>
      <c r="B3598" t="s">
        <v>4495</v>
      </c>
      <c r="C3598" t="s">
        <v>4496</v>
      </c>
      <c r="D3598" t="s">
        <v>4479</v>
      </c>
      <c r="E3598" t="s">
        <v>4480</v>
      </c>
      <c r="F3598" t="s">
        <v>1</v>
      </c>
      <c r="G3598" t="s">
        <v>16231</v>
      </c>
      <c r="H3598" t="s">
        <v>47153</v>
      </c>
      <c r="I3598" t="s">
        <v>47132</v>
      </c>
      <c r="J3598" t="s">
        <v>47133</v>
      </c>
      <c r="K3598" t="s">
        <v>47113</v>
      </c>
      <c r="L3598">
        <v>47.88</v>
      </c>
      <c r="M3598">
        <v>90</v>
      </c>
      <c r="N3598">
        <v>0</v>
      </c>
      <c r="O3598">
        <v>90</v>
      </c>
      <c r="P3598">
        <v>0</v>
      </c>
    </row>
    <row r="3599" spans="1:16" x14ac:dyDescent="0.25">
      <c r="A3599" t="s">
        <v>26013</v>
      </c>
      <c r="B3599" t="s">
        <v>4497</v>
      </c>
      <c r="C3599" t="s">
        <v>95</v>
      </c>
      <c r="D3599" t="str">
        <f>"1001"</f>
        <v>1001</v>
      </c>
      <c r="E3599" t="s">
        <v>42</v>
      </c>
      <c r="F3599" t="s">
        <v>1</v>
      </c>
      <c r="G3599" t="s">
        <v>16222</v>
      </c>
      <c r="H3599" t="s">
        <v>47126</v>
      </c>
      <c r="I3599" t="s">
        <v>47127</v>
      </c>
      <c r="J3599" t="s">
        <v>47128</v>
      </c>
      <c r="K3599" t="s">
        <v>47113</v>
      </c>
      <c r="L3599">
        <v>21.26</v>
      </c>
      <c r="M3599">
        <v>52</v>
      </c>
      <c r="N3599">
        <v>0</v>
      </c>
      <c r="O3599">
        <v>52</v>
      </c>
      <c r="P3599">
        <v>0</v>
      </c>
    </row>
    <row r="3600" spans="1:16" x14ac:dyDescent="0.25">
      <c r="A3600" t="s">
        <v>26014</v>
      </c>
      <c r="B3600" t="s">
        <v>4497</v>
      </c>
      <c r="C3600" t="s">
        <v>95</v>
      </c>
      <c r="D3600" t="str">
        <f>"1285"</f>
        <v>1285</v>
      </c>
      <c r="E3600" t="s">
        <v>2148</v>
      </c>
      <c r="F3600" t="s">
        <v>1</v>
      </c>
      <c r="G3600" t="s">
        <v>16222</v>
      </c>
      <c r="H3600" t="s">
        <v>47126</v>
      </c>
      <c r="I3600" t="s">
        <v>47127</v>
      </c>
      <c r="J3600" t="s">
        <v>47128</v>
      </c>
      <c r="K3600" t="s">
        <v>47113</v>
      </c>
      <c r="L3600">
        <v>21.26</v>
      </c>
      <c r="M3600">
        <v>52</v>
      </c>
      <c r="N3600">
        <v>0</v>
      </c>
      <c r="O3600">
        <v>52</v>
      </c>
      <c r="P3600">
        <v>0</v>
      </c>
    </row>
    <row r="3601" spans="1:16" x14ac:dyDescent="0.25">
      <c r="A3601" t="s">
        <v>26015</v>
      </c>
      <c r="B3601" t="s">
        <v>4497</v>
      </c>
      <c r="C3601" t="s">
        <v>95</v>
      </c>
      <c r="D3601" t="str">
        <f>"4729"</f>
        <v>4729</v>
      </c>
      <c r="E3601" t="s">
        <v>2222</v>
      </c>
      <c r="F3601" t="s">
        <v>1</v>
      </c>
      <c r="G3601" t="s">
        <v>16222</v>
      </c>
      <c r="H3601" t="s">
        <v>47126</v>
      </c>
      <c r="I3601" t="s">
        <v>47127</v>
      </c>
      <c r="J3601" t="s">
        <v>47128</v>
      </c>
      <c r="K3601" t="s">
        <v>47113</v>
      </c>
      <c r="L3601">
        <v>21.26</v>
      </c>
      <c r="M3601">
        <v>52</v>
      </c>
      <c r="N3601">
        <v>0</v>
      </c>
      <c r="O3601">
        <v>52</v>
      </c>
      <c r="P3601">
        <v>0</v>
      </c>
    </row>
    <row r="3602" spans="1:16" x14ac:dyDescent="0.25">
      <c r="A3602" t="s">
        <v>26016</v>
      </c>
      <c r="B3602" t="s">
        <v>4497</v>
      </c>
      <c r="C3602" t="s">
        <v>95</v>
      </c>
      <c r="D3602" t="str">
        <f>"6276"</f>
        <v>6276</v>
      </c>
      <c r="E3602" t="s">
        <v>3867</v>
      </c>
      <c r="F3602" t="s">
        <v>1</v>
      </c>
      <c r="G3602" t="s">
        <v>16222</v>
      </c>
      <c r="H3602" t="s">
        <v>47126</v>
      </c>
      <c r="I3602" t="s">
        <v>47127</v>
      </c>
      <c r="J3602" t="s">
        <v>47128</v>
      </c>
      <c r="K3602" t="s">
        <v>47113</v>
      </c>
      <c r="L3602">
        <v>21.26</v>
      </c>
      <c r="M3602">
        <v>52</v>
      </c>
      <c r="N3602">
        <v>0</v>
      </c>
      <c r="O3602">
        <v>52</v>
      </c>
      <c r="P3602">
        <v>0</v>
      </c>
    </row>
    <row r="3603" spans="1:16" x14ac:dyDescent="0.25">
      <c r="A3603" t="s">
        <v>26017</v>
      </c>
      <c r="B3603" t="s">
        <v>4498</v>
      </c>
      <c r="C3603" t="s">
        <v>4499</v>
      </c>
      <c r="D3603" t="str">
        <f>"1001"</f>
        <v>1001</v>
      </c>
      <c r="E3603" t="s">
        <v>42</v>
      </c>
      <c r="F3603" t="s">
        <v>1</v>
      </c>
      <c r="G3603" t="s">
        <v>16221</v>
      </c>
      <c r="H3603" t="s">
        <v>47126</v>
      </c>
      <c r="I3603" t="s">
        <v>47127</v>
      </c>
      <c r="J3603" t="s">
        <v>47128</v>
      </c>
      <c r="K3603" t="s">
        <v>47113</v>
      </c>
      <c r="L3603">
        <v>22.35</v>
      </c>
      <c r="M3603">
        <v>54</v>
      </c>
      <c r="N3603">
        <v>0</v>
      </c>
      <c r="O3603">
        <v>54</v>
      </c>
      <c r="P3603">
        <v>0</v>
      </c>
    </row>
    <row r="3604" spans="1:16" x14ac:dyDescent="0.25">
      <c r="A3604" t="s">
        <v>26018</v>
      </c>
      <c r="B3604" t="s">
        <v>4498</v>
      </c>
      <c r="C3604" t="s">
        <v>4499</v>
      </c>
      <c r="D3604" t="str">
        <f>"1285"</f>
        <v>1285</v>
      </c>
      <c r="E3604" t="s">
        <v>2148</v>
      </c>
      <c r="F3604" t="s">
        <v>1</v>
      </c>
      <c r="G3604" t="s">
        <v>16221</v>
      </c>
      <c r="H3604" t="s">
        <v>47126</v>
      </c>
      <c r="I3604" t="s">
        <v>47127</v>
      </c>
      <c r="J3604" t="s">
        <v>47128</v>
      </c>
      <c r="K3604" t="s">
        <v>47113</v>
      </c>
      <c r="L3604">
        <v>22.35</v>
      </c>
      <c r="M3604">
        <v>54</v>
      </c>
      <c r="N3604">
        <v>0</v>
      </c>
      <c r="O3604">
        <v>54</v>
      </c>
      <c r="P3604">
        <v>0</v>
      </c>
    </row>
    <row r="3605" spans="1:16" x14ac:dyDescent="0.25">
      <c r="A3605" t="s">
        <v>26019</v>
      </c>
      <c r="B3605" t="s">
        <v>4498</v>
      </c>
      <c r="C3605" t="s">
        <v>4499</v>
      </c>
      <c r="D3605" t="str">
        <f>"4729"</f>
        <v>4729</v>
      </c>
      <c r="E3605" t="s">
        <v>2222</v>
      </c>
      <c r="F3605" t="s">
        <v>1</v>
      </c>
      <c r="G3605" t="s">
        <v>16221</v>
      </c>
      <c r="H3605" t="s">
        <v>47126</v>
      </c>
      <c r="I3605" t="s">
        <v>47127</v>
      </c>
      <c r="J3605" t="s">
        <v>47128</v>
      </c>
      <c r="K3605" t="s">
        <v>47113</v>
      </c>
      <c r="L3605">
        <v>22.35</v>
      </c>
      <c r="M3605">
        <v>54</v>
      </c>
      <c r="N3605">
        <v>0</v>
      </c>
      <c r="O3605">
        <v>54</v>
      </c>
      <c r="P3605">
        <v>0</v>
      </c>
    </row>
    <row r="3606" spans="1:16" x14ac:dyDescent="0.25">
      <c r="A3606" t="s">
        <v>26020</v>
      </c>
      <c r="B3606" t="s">
        <v>4498</v>
      </c>
      <c r="C3606" t="s">
        <v>4499</v>
      </c>
      <c r="D3606" t="str">
        <f>"6276"</f>
        <v>6276</v>
      </c>
      <c r="E3606" t="s">
        <v>3867</v>
      </c>
      <c r="F3606" t="s">
        <v>1</v>
      </c>
      <c r="G3606" t="s">
        <v>16221</v>
      </c>
      <c r="H3606" t="s">
        <v>47126</v>
      </c>
      <c r="I3606" t="s">
        <v>47127</v>
      </c>
      <c r="J3606" t="s">
        <v>47128</v>
      </c>
      <c r="K3606" t="s">
        <v>47113</v>
      </c>
      <c r="L3606">
        <v>22.35</v>
      </c>
      <c r="M3606">
        <v>54</v>
      </c>
      <c r="N3606">
        <v>0</v>
      </c>
      <c r="O3606">
        <v>54</v>
      </c>
      <c r="P3606">
        <v>0</v>
      </c>
    </row>
    <row r="3607" spans="1:16" x14ac:dyDescent="0.25">
      <c r="A3607" t="s">
        <v>26021</v>
      </c>
      <c r="B3607" t="s">
        <v>4500</v>
      </c>
      <c r="C3607" t="s">
        <v>4501</v>
      </c>
      <c r="D3607" t="str">
        <f>"1378"</f>
        <v>1378</v>
      </c>
      <c r="E3607" t="s">
        <v>388</v>
      </c>
      <c r="F3607" t="s">
        <v>1</v>
      </c>
      <c r="G3607" t="s">
        <v>16222</v>
      </c>
      <c r="H3607" t="s">
        <v>47126</v>
      </c>
      <c r="I3607" t="s">
        <v>47127</v>
      </c>
      <c r="J3607" t="s">
        <v>47128</v>
      </c>
      <c r="K3607" t="s">
        <v>47113</v>
      </c>
      <c r="L3607">
        <v>26.58</v>
      </c>
      <c r="M3607">
        <v>65</v>
      </c>
      <c r="N3607">
        <v>0</v>
      </c>
      <c r="O3607">
        <v>65</v>
      </c>
      <c r="P3607">
        <v>0</v>
      </c>
    </row>
    <row r="3608" spans="1:16" x14ac:dyDescent="0.25">
      <c r="A3608" t="s">
        <v>26022</v>
      </c>
      <c r="B3608" t="s">
        <v>4500</v>
      </c>
      <c r="C3608" t="s">
        <v>4501</v>
      </c>
      <c r="D3608" t="str">
        <f>"3489"</f>
        <v>3489</v>
      </c>
      <c r="E3608" t="s">
        <v>2221</v>
      </c>
      <c r="F3608" t="s">
        <v>1</v>
      </c>
      <c r="G3608" t="s">
        <v>16222</v>
      </c>
      <c r="H3608" t="s">
        <v>47126</v>
      </c>
      <c r="I3608" t="s">
        <v>47127</v>
      </c>
      <c r="J3608" t="s">
        <v>47128</v>
      </c>
      <c r="K3608" t="s">
        <v>47113</v>
      </c>
      <c r="L3608">
        <v>26.58</v>
      </c>
      <c r="M3608">
        <v>65</v>
      </c>
      <c r="N3608">
        <v>0</v>
      </c>
      <c r="O3608">
        <v>65</v>
      </c>
      <c r="P3608">
        <v>0</v>
      </c>
    </row>
    <row r="3609" spans="1:16" x14ac:dyDescent="0.25">
      <c r="A3609" t="s">
        <v>26023</v>
      </c>
      <c r="B3609" t="s">
        <v>4500</v>
      </c>
      <c r="C3609" t="s">
        <v>4501</v>
      </c>
      <c r="D3609" t="str">
        <f>"4643"</f>
        <v>4643</v>
      </c>
      <c r="E3609" t="s">
        <v>205</v>
      </c>
      <c r="F3609" t="s">
        <v>1</v>
      </c>
      <c r="G3609" t="s">
        <v>16222</v>
      </c>
      <c r="H3609" t="s">
        <v>47126</v>
      </c>
      <c r="I3609" t="s">
        <v>47127</v>
      </c>
      <c r="J3609" t="s">
        <v>47128</v>
      </c>
      <c r="K3609" t="s">
        <v>47113</v>
      </c>
      <c r="L3609">
        <v>26.58</v>
      </c>
      <c r="M3609">
        <v>65</v>
      </c>
      <c r="N3609">
        <v>0</v>
      </c>
      <c r="O3609">
        <v>65</v>
      </c>
      <c r="P3609">
        <v>0</v>
      </c>
    </row>
    <row r="3610" spans="1:16" x14ac:dyDescent="0.25">
      <c r="A3610" t="s">
        <v>26024</v>
      </c>
      <c r="B3610" t="s">
        <v>4500</v>
      </c>
      <c r="C3610" t="s">
        <v>4501</v>
      </c>
      <c r="D3610" t="str">
        <f>"4729"</f>
        <v>4729</v>
      </c>
      <c r="E3610" t="s">
        <v>2222</v>
      </c>
      <c r="F3610" t="s">
        <v>1</v>
      </c>
      <c r="G3610" t="s">
        <v>16222</v>
      </c>
      <c r="H3610" t="s">
        <v>47126</v>
      </c>
      <c r="I3610" t="s">
        <v>47127</v>
      </c>
      <c r="J3610" t="s">
        <v>47128</v>
      </c>
      <c r="K3610" t="s">
        <v>47113</v>
      </c>
      <c r="L3610">
        <v>26.58</v>
      </c>
      <c r="M3610">
        <v>65</v>
      </c>
      <c r="N3610">
        <v>0</v>
      </c>
      <c r="O3610">
        <v>65</v>
      </c>
      <c r="P3610">
        <v>0</v>
      </c>
    </row>
    <row r="3611" spans="1:16" x14ac:dyDescent="0.25">
      <c r="A3611" t="s">
        <v>26025</v>
      </c>
      <c r="B3611" t="s">
        <v>4500</v>
      </c>
      <c r="C3611" t="s">
        <v>4501</v>
      </c>
      <c r="D3611" t="str">
        <f>"6276"</f>
        <v>6276</v>
      </c>
      <c r="E3611" t="s">
        <v>3867</v>
      </c>
      <c r="F3611" t="s">
        <v>1</v>
      </c>
      <c r="G3611" t="s">
        <v>16222</v>
      </c>
      <c r="H3611" t="s">
        <v>47126</v>
      </c>
      <c r="I3611" t="s">
        <v>47127</v>
      </c>
      <c r="J3611" t="s">
        <v>47128</v>
      </c>
      <c r="K3611" t="s">
        <v>47113</v>
      </c>
      <c r="L3611">
        <v>26.58</v>
      </c>
      <c r="M3611">
        <v>65</v>
      </c>
      <c r="N3611">
        <v>0</v>
      </c>
      <c r="O3611">
        <v>65</v>
      </c>
      <c r="P3611">
        <v>0</v>
      </c>
    </row>
    <row r="3612" spans="1:16" x14ac:dyDescent="0.25">
      <c r="A3612" t="s">
        <v>26026</v>
      </c>
      <c r="B3612" t="s">
        <v>4502</v>
      </c>
      <c r="C3612" t="s">
        <v>4503</v>
      </c>
      <c r="D3612" t="str">
        <f>"1001"</f>
        <v>1001</v>
      </c>
      <c r="E3612" t="s">
        <v>42</v>
      </c>
      <c r="F3612" t="s">
        <v>1</v>
      </c>
      <c r="G3612" t="s">
        <v>16222</v>
      </c>
      <c r="H3612" t="s">
        <v>47126</v>
      </c>
      <c r="I3612" t="s">
        <v>47127</v>
      </c>
      <c r="J3612" t="s">
        <v>47128</v>
      </c>
      <c r="K3612" t="s">
        <v>47113</v>
      </c>
      <c r="L3612">
        <v>22.35</v>
      </c>
      <c r="M3612">
        <v>54</v>
      </c>
      <c r="N3612">
        <v>0</v>
      </c>
      <c r="O3612">
        <v>54</v>
      </c>
      <c r="P3612">
        <v>0</v>
      </c>
    </row>
    <row r="3613" spans="1:16" x14ac:dyDescent="0.25">
      <c r="A3613" t="s">
        <v>26027</v>
      </c>
      <c r="B3613" t="s">
        <v>4502</v>
      </c>
      <c r="C3613" t="s">
        <v>4503</v>
      </c>
      <c r="D3613" t="str">
        <f>"1377"</f>
        <v>1377</v>
      </c>
      <c r="E3613" t="s">
        <v>74</v>
      </c>
      <c r="F3613" t="s">
        <v>1</v>
      </c>
      <c r="G3613" t="s">
        <v>16222</v>
      </c>
      <c r="H3613" t="s">
        <v>47126</v>
      </c>
      <c r="I3613" t="s">
        <v>47127</v>
      </c>
      <c r="J3613" t="s">
        <v>47128</v>
      </c>
      <c r="K3613" t="s">
        <v>47113</v>
      </c>
      <c r="L3613">
        <v>22.35</v>
      </c>
      <c r="M3613">
        <v>54</v>
      </c>
      <c r="N3613">
        <v>0</v>
      </c>
      <c r="O3613">
        <v>54</v>
      </c>
      <c r="P3613">
        <v>0</v>
      </c>
    </row>
    <row r="3614" spans="1:16" x14ac:dyDescent="0.25">
      <c r="A3614" t="s">
        <v>26028</v>
      </c>
      <c r="B3614" t="s">
        <v>4502</v>
      </c>
      <c r="C3614" t="s">
        <v>4503</v>
      </c>
      <c r="D3614" t="str">
        <f>"1378"</f>
        <v>1378</v>
      </c>
      <c r="E3614" t="s">
        <v>388</v>
      </c>
      <c r="F3614" t="s">
        <v>1</v>
      </c>
      <c r="G3614" t="s">
        <v>16222</v>
      </c>
      <c r="H3614" t="s">
        <v>47126</v>
      </c>
      <c r="I3614" t="s">
        <v>47127</v>
      </c>
      <c r="J3614" t="s">
        <v>47128</v>
      </c>
      <c r="K3614" t="s">
        <v>47113</v>
      </c>
      <c r="L3614">
        <v>22.35</v>
      </c>
      <c r="M3614">
        <v>54</v>
      </c>
      <c r="N3614">
        <v>0</v>
      </c>
      <c r="O3614">
        <v>54</v>
      </c>
      <c r="P3614">
        <v>0</v>
      </c>
    </row>
    <row r="3615" spans="1:16" x14ac:dyDescent="0.25">
      <c r="A3615" t="s">
        <v>26029</v>
      </c>
      <c r="B3615" t="s">
        <v>4502</v>
      </c>
      <c r="C3615" t="s">
        <v>4503</v>
      </c>
      <c r="D3615" t="str">
        <f>"1700"</f>
        <v>1700</v>
      </c>
      <c r="E3615" t="s">
        <v>60</v>
      </c>
      <c r="F3615" t="s">
        <v>1</v>
      </c>
      <c r="G3615" t="s">
        <v>16222</v>
      </c>
      <c r="H3615" t="s">
        <v>47126</v>
      </c>
      <c r="I3615" t="s">
        <v>47127</v>
      </c>
      <c r="J3615" t="s">
        <v>47128</v>
      </c>
      <c r="K3615" t="s">
        <v>47113</v>
      </c>
      <c r="L3615">
        <v>22.35</v>
      </c>
      <c r="M3615">
        <v>54</v>
      </c>
      <c r="N3615">
        <v>0</v>
      </c>
      <c r="O3615">
        <v>54</v>
      </c>
      <c r="P3615">
        <v>0</v>
      </c>
    </row>
    <row r="3616" spans="1:16" x14ac:dyDescent="0.25">
      <c r="A3616" t="s">
        <v>26030</v>
      </c>
      <c r="B3616" t="s">
        <v>4502</v>
      </c>
      <c r="C3616" t="s">
        <v>4503</v>
      </c>
      <c r="D3616" t="str">
        <f>"3489"</f>
        <v>3489</v>
      </c>
      <c r="E3616" t="s">
        <v>2221</v>
      </c>
      <c r="F3616" t="s">
        <v>1</v>
      </c>
      <c r="G3616" t="s">
        <v>16222</v>
      </c>
      <c r="H3616" t="s">
        <v>47126</v>
      </c>
      <c r="I3616" t="s">
        <v>47127</v>
      </c>
      <c r="J3616" t="s">
        <v>47128</v>
      </c>
      <c r="K3616" t="s">
        <v>47113</v>
      </c>
      <c r="L3616">
        <v>22.35</v>
      </c>
      <c r="M3616">
        <v>54</v>
      </c>
      <c r="N3616">
        <v>0</v>
      </c>
      <c r="O3616">
        <v>54</v>
      </c>
      <c r="P3616">
        <v>0</v>
      </c>
    </row>
    <row r="3617" spans="1:16" x14ac:dyDescent="0.25">
      <c r="A3617" t="s">
        <v>26031</v>
      </c>
      <c r="B3617" t="s">
        <v>4502</v>
      </c>
      <c r="C3617" t="s">
        <v>4503</v>
      </c>
      <c r="D3617" t="str">
        <f>"4643"</f>
        <v>4643</v>
      </c>
      <c r="E3617" t="s">
        <v>205</v>
      </c>
      <c r="F3617" t="s">
        <v>1</v>
      </c>
      <c r="G3617" t="s">
        <v>16222</v>
      </c>
      <c r="H3617" t="s">
        <v>47126</v>
      </c>
      <c r="I3617" t="s">
        <v>47127</v>
      </c>
      <c r="J3617" t="s">
        <v>47128</v>
      </c>
      <c r="K3617" t="s">
        <v>47113</v>
      </c>
      <c r="L3617">
        <v>22.35</v>
      </c>
      <c r="M3617">
        <v>54</v>
      </c>
      <c r="N3617">
        <v>0</v>
      </c>
      <c r="O3617">
        <v>54</v>
      </c>
      <c r="P3617">
        <v>0</v>
      </c>
    </row>
    <row r="3618" spans="1:16" x14ac:dyDescent="0.25">
      <c r="A3618" t="s">
        <v>26032</v>
      </c>
      <c r="B3618" t="s">
        <v>4502</v>
      </c>
      <c r="C3618" t="s">
        <v>4503</v>
      </c>
      <c r="D3618" t="str">
        <f>"4729"</f>
        <v>4729</v>
      </c>
      <c r="E3618" t="s">
        <v>2222</v>
      </c>
      <c r="F3618" t="s">
        <v>1</v>
      </c>
      <c r="G3618" t="s">
        <v>16222</v>
      </c>
      <c r="H3618" t="s">
        <v>47126</v>
      </c>
      <c r="I3618" t="s">
        <v>47127</v>
      </c>
      <c r="J3618" t="s">
        <v>47128</v>
      </c>
      <c r="K3618" t="s">
        <v>47113</v>
      </c>
      <c r="L3618">
        <v>22.35</v>
      </c>
      <c r="M3618">
        <v>54</v>
      </c>
      <c r="N3618">
        <v>0</v>
      </c>
      <c r="O3618">
        <v>54</v>
      </c>
      <c r="P3618">
        <v>0</v>
      </c>
    </row>
    <row r="3619" spans="1:16" x14ac:dyDescent="0.25">
      <c r="A3619" t="s">
        <v>26033</v>
      </c>
      <c r="B3619" t="s">
        <v>4502</v>
      </c>
      <c r="C3619" t="s">
        <v>4503</v>
      </c>
      <c r="D3619" t="str">
        <f>"6276"</f>
        <v>6276</v>
      </c>
      <c r="E3619" t="s">
        <v>3867</v>
      </c>
      <c r="F3619" t="s">
        <v>1</v>
      </c>
      <c r="G3619" t="s">
        <v>16222</v>
      </c>
      <c r="H3619" t="s">
        <v>47126</v>
      </c>
      <c r="I3619" t="s">
        <v>47127</v>
      </c>
      <c r="J3619" t="s">
        <v>47128</v>
      </c>
      <c r="K3619" t="s">
        <v>47113</v>
      </c>
      <c r="L3619">
        <v>22.35</v>
      </c>
      <c r="M3619">
        <v>54</v>
      </c>
      <c r="N3619">
        <v>0</v>
      </c>
      <c r="O3619">
        <v>54</v>
      </c>
      <c r="P3619">
        <v>0</v>
      </c>
    </row>
    <row r="3620" spans="1:16" x14ac:dyDescent="0.25">
      <c r="A3620" t="s">
        <v>26034</v>
      </c>
      <c r="B3620" t="s">
        <v>4504</v>
      </c>
      <c r="C3620" t="s">
        <v>387</v>
      </c>
      <c r="D3620" t="str">
        <f>"1001"</f>
        <v>1001</v>
      </c>
      <c r="E3620" t="s">
        <v>42</v>
      </c>
      <c r="F3620" t="s">
        <v>1</v>
      </c>
      <c r="G3620" t="s">
        <v>46686</v>
      </c>
      <c r="H3620" t="s">
        <v>47126</v>
      </c>
      <c r="I3620" t="s">
        <v>47127</v>
      </c>
      <c r="J3620" t="s">
        <v>47128</v>
      </c>
      <c r="K3620" t="s">
        <v>47113</v>
      </c>
      <c r="L3620">
        <v>35.770000000000003</v>
      </c>
      <c r="M3620">
        <v>87</v>
      </c>
      <c r="N3620">
        <v>0</v>
      </c>
      <c r="O3620">
        <v>87</v>
      </c>
      <c r="P3620">
        <v>0</v>
      </c>
    </row>
    <row r="3621" spans="1:16" x14ac:dyDescent="0.25">
      <c r="A3621" t="s">
        <v>26035</v>
      </c>
      <c r="B3621" t="s">
        <v>4504</v>
      </c>
      <c r="C3621" t="s">
        <v>387</v>
      </c>
      <c r="D3621" t="str">
        <f>"1377"</f>
        <v>1377</v>
      </c>
      <c r="E3621" t="s">
        <v>74</v>
      </c>
      <c r="F3621" t="s">
        <v>1</v>
      </c>
      <c r="G3621" t="s">
        <v>46686</v>
      </c>
      <c r="H3621" t="s">
        <v>47126</v>
      </c>
      <c r="I3621" t="s">
        <v>47127</v>
      </c>
      <c r="J3621" t="s">
        <v>47128</v>
      </c>
      <c r="K3621" t="s">
        <v>47113</v>
      </c>
      <c r="L3621">
        <v>35.770000000000003</v>
      </c>
      <c r="M3621">
        <v>87</v>
      </c>
      <c r="N3621">
        <v>0</v>
      </c>
      <c r="O3621">
        <v>87</v>
      </c>
      <c r="P3621">
        <v>0</v>
      </c>
    </row>
    <row r="3622" spans="1:16" x14ac:dyDescent="0.25">
      <c r="A3622" t="s">
        <v>26036</v>
      </c>
      <c r="B3622" t="s">
        <v>4504</v>
      </c>
      <c r="C3622" t="s">
        <v>387</v>
      </c>
      <c r="D3622" t="str">
        <f>"1378"</f>
        <v>1378</v>
      </c>
      <c r="E3622" t="s">
        <v>388</v>
      </c>
      <c r="F3622" t="s">
        <v>1</v>
      </c>
      <c r="G3622" t="s">
        <v>46686</v>
      </c>
      <c r="H3622" t="s">
        <v>47126</v>
      </c>
      <c r="I3622" t="s">
        <v>47127</v>
      </c>
      <c r="J3622" t="s">
        <v>47128</v>
      </c>
      <c r="K3622" t="s">
        <v>47113</v>
      </c>
      <c r="L3622">
        <v>35.770000000000003</v>
      </c>
      <c r="M3622">
        <v>87</v>
      </c>
      <c r="N3622">
        <v>0</v>
      </c>
      <c r="O3622">
        <v>87</v>
      </c>
      <c r="P3622">
        <v>0</v>
      </c>
    </row>
    <row r="3623" spans="1:16" x14ac:dyDescent="0.25">
      <c r="A3623" t="s">
        <v>26037</v>
      </c>
      <c r="B3623" t="s">
        <v>4504</v>
      </c>
      <c r="C3623" t="s">
        <v>387</v>
      </c>
      <c r="D3623" t="str">
        <f>"1700"</f>
        <v>1700</v>
      </c>
      <c r="E3623" t="s">
        <v>60</v>
      </c>
      <c r="F3623" t="s">
        <v>1</v>
      </c>
      <c r="G3623" t="s">
        <v>46686</v>
      </c>
      <c r="H3623" t="s">
        <v>47126</v>
      </c>
      <c r="I3623" t="s">
        <v>47127</v>
      </c>
      <c r="J3623" t="s">
        <v>47128</v>
      </c>
      <c r="K3623" t="s">
        <v>47113</v>
      </c>
      <c r="L3623">
        <v>35.770000000000003</v>
      </c>
      <c r="M3623">
        <v>87</v>
      </c>
      <c r="N3623">
        <v>0</v>
      </c>
      <c r="O3623">
        <v>87</v>
      </c>
      <c r="P3623">
        <v>0</v>
      </c>
    </row>
    <row r="3624" spans="1:16" x14ac:dyDescent="0.25">
      <c r="A3624" t="s">
        <v>26038</v>
      </c>
      <c r="B3624" t="s">
        <v>4504</v>
      </c>
      <c r="C3624" t="s">
        <v>387</v>
      </c>
      <c r="D3624" t="str">
        <f>"3489"</f>
        <v>3489</v>
      </c>
      <c r="E3624" t="s">
        <v>2221</v>
      </c>
      <c r="F3624" t="s">
        <v>1</v>
      </c>
      <c r="G3624" t="s">
        <v>46686</v>
      </c>
      <c r="H3624" t="s">
        <v>47126</v>
      </c>
      <c r="I3624" t="s">
        <v>47127</v>
      </c>
      <c r="J3624" t="s">
        <v>47128</v>
      </c>
      <c r="K3624" t="s">
        <v>47113</v>
      </c>
      <c r="L3624">
        <v>35.770000000000003</v>
      </c>
      <c r="M3624">
        <v>87</v>
      </c>
      <c r="N3624">
        <v>0</v>
      </c>
      <c r="O3624">
        <v>87</v>
      </c>
      <c r="P3624">
        <v>0</v>
      </c>
    </row>
    <row r="3625" spans="1:16" x14ac:dyDescent="0.25">
      <c r="A3625" t="s">
        <v>26039</v>
      </c>
      <c r="B3625" t="s">
        <v>4504</v>
      </c>
      <c r="C3625" t="s">
        <v>387</v>
      </c>
      <c r="D3625" t="str">
        <f>"4643"</f>
        <v>4643</v>
      </c>
      <c r="E3625" t="s">
        <v>205</v>
      </c>
      <c r="F3625" t="s">
        <v>1</v>
      </c>
      <c r="G3625" t="s">
        <v>46686</v>
      </c>
      <c r="H3625" t="s">
        <v>47126</v>
      </c>
      <c r="I3625" t="s">
        <v>47127</v>
      </c>
      <c r="J3625" t="s">
        <v>47128</v>
      </c>
      <c r="K3625" t="s">
        <v>47113</v>
      </c>
      <c r="L3625">
        <v>35.770000000000003</v>
      </c>
      <c r="M3625">
        <v>87</v>
      </c>
      <c r="N3625">
        <v>0</v>
      </c>
      <c r="O3625">
        <v>87</v>
      </c>
      <c r="P3625">
        <v>0</v>
      </c>
    </row>
    <row r="3626" spans="1:16" x14ac:dyDescent="0.25">
      <c r="A3626" t="s">
        <v>26040</v>
      </c>
      <c r="B3626" t="s">
        <v>4504</v>
      </c>
      <c r="C3626" t="s">
        <v>387</v>
      </c>
      <c r="D3626" t="str">
        <f>"4729"</f>
        <v>4729</v>
      </c>
      <c r="E3626" t="s">
        <v>2222</v>
      </c>
      <c r="F3626" t="s">
        <v>1</v>
      </c>
      <c r="G3626" t="s">
        <v>46686</v>
      </c>
      <c r="H3626" t="s">
        <v>47126</v>
      </c>
      <c r="I3626" t="s">
        <v>47127</v>
      </c>
      <c r="J3626" t="s">
        <v>47128</v>
      </c>
      <c r="K3626" t="s">
        <v>47113</v>
      </c>
      <c r="L3626">
        <v>35.770000000000003</v>
      </c>
      <c r="M3626">
        <v>87</v>
      </c>
      <c r="N3626">
        <v>0</v>
      </c>
      <c r="O3626">
        <v>87</v>
      </c>
      <c r="P3626">
        <v>0</v>
      </c>
    </row>
    <row r="3627" spans="1:16" x14ac:dyDescent="0.25">
      <c r="A3627" t="s">
        <v>26041</v>
      </c>
      <c r="B3627" t="s">
        <v>4504</v>
      </c>
      <c r="C3627" t="s">
        <v>387</v>
      </c>
      <c r="D3627" t="str">
        <f>"6276"</f>
        <v>6276</v>
      </c>
      <c r="E3627" t="s">
        <v>3867</v>
      </c>
      <c r="F3627" t="s">
        <v>1</v>
      </c>
      <c r="G3627" t="s">
        <v>46686</v>
      </c>
      <c r="H3627" t="s">
        <v>47126</v>
      </c>
      <c r="I3627" t="s">
        <v>47127</v>
      </c>
      <c r="J3627" t="s">
        <v>47128</v>
      </c>
      <c r="K3627" t="s">
        <v>47113</v>
      </c>
      <c r="L3627">
        <v>35.770000000000003</v>
      </c>
      <c r="M3627">
        <v>87</v>
      </c>
      <c r="N3627">
        <v>0</v>
      </c>
      <c r="O3627">
        <v>87</v>
      </c>
      <c r="P3627">
        <v>0</v>
      </c>
    </row>
    <row r="3628" spans="1:16" x14ac:dyDescent="0.25">
      <c r="A3628" t="s">
        <v>26042</v>
      </c>
      <c r="B3628" t="s">
        <v>4505</v>
      </c>
      <c r="C3628" t="s">
        <v>387</v>
      </c>
      <c r="D3628" t="str">
        <f>"1001"</f>
        <v>1001</v>
      </c>
      <c r="E3628" t="s">
        <v>42</v>
      </c>
      <c r="F3628" t="s">
        <v>1</v>
      </c>
      <c r="G3628" t="s">
        <v>46686</v>
      </c>
      <c r="H3628" t="s">
        <v>47126</v>
      </c>
      <c r="I3628" t="s">
        <v>47127</v>
      </c>
      <c r="J3628" t="s">
        <v>47128</v>
      </c>
      <c r="K3628" t="s">
        <v>47113</v>
      </c>
      <c r="L3628">
        <v>35.770000000000003</v>
      </c>
      <c r="M3628">
        <v>87</v>
      </c>
      <c r="N3628">
        <v>0</v>
      </c>
      <c r="O3628">
        <v>87</v>
      </c>
      <c r="P3628">
        <v>0</v>
      </c>
    </row>
    <row r="3629" spans="1:16" x14ac:dyDescent="0.25">
      <c r="A3629" t="s">
        <v>14932</v>
      </c>
      <c r="B3629" t="s">
        <v>4505</v>
      </c>
      <c r="C3629" t="s">
        <v>387</v>
      </c>
      <c r="D3629" t="str">
        <f>"1377"</f>
        <v>1377</v>
      </c>
      <c r="E3629" t="s">
        <v>74</v>
      </c>
      <c r="F3629" t="s">
        <v>1</v>
      </c>
      <c r="G3629" t="s">
        <v>46686</v>
      </c>
      <c r="H3629" t="s">
        <v>47126</v>
      </c>
      <c r="I3629" t="s">
        <v>47127</v>
      </c>
      <c r="J3629" t="s">
        <v>47128</v>
      </c>
      <c r="K3629" t="s">
        <v>47113</v>
      </c>
      <c r="L3629">
        <v>35.770000000000003</v>
      </c>
      <c r="M3629">
        <v>87</v>
      </c>
      <c r="N3629">
        <v>0</v>
      </c>
      <c r="O3629">
        <v>87</v>
      </c>
      <c r="P3629">
        <v>0</v>
      </c>
    </row>
    <row r="3630" spans="1:16" x14ac:dyDescent="0.25">
      <c r="A3630" t="s">
        <v>26043</v>
      </c>
      <c r="B3630" t="s">
        <v>4505</v>
      </c>
      <c r="C3630" t="s">
        <v>387</v>
      </c>
      <c r="D3630" t="str">
        <f>"1378"</f>
        <v>1378</v>
      </c>
      <c r="E3630" t="s">
        <v>388</v>
      </c>
      <c r="F3630" t="s">
        <v>1</v>
      </c>
      <c r="G3630" t="s">
        <v>46686</v>
      </c>
      <c r="H3630" t="s">
        <v>47126</v>
      </c>
      <c r="I3630" t="s">
        <v>47127</v>
      </c>
      <c r="J3630" t="s">
        <v>47128</v>
      </c>
      <c r="K3630" t="s">
        <v>47113</v>
      </c>
      <c r="L3630">
        <v>35.770000000000003</v>
      </c>
      <c r="M3630">
        <v>87</v>
      </c>
      <c r="N3630">
        <v>0</v>
      </c>
      <c r="O3630">
        <v>87</v>
      </c>
      <c r="P3630">
        <v>0</v>
      </c>
    </row>
    <row r="3631" spans="1:16" x14ac:dyDescent="0.25">
      <c r="A3631" t="s">
        <v>26044</v>
      </c>
      <c r="B3631" t="s">
        <v>4505</v>
      </c>
      <c r="C3631" t="s">
        <v>387</v>
      </c>
      <c r="D3631" t="str">
        <f>"3489"</f>
        <v>3489</v>
      </c>
      <c r="E3631" t="s">
        <v>2221</v>
      </c>
      <c r="F3631" t="s">
        <v>1</v>
      </c>
      <c r="G3631" t="s">
        <v>46686</v>
      </c>
      <c r="H3631" t="s">
        <v>47126</v>
      </c>
      <c r="I3631" t="s">
        <v>47127</v>
      </c>
      <c r="J3631" t="s">
        <v>47128</v>
      </c>
      <c r="K3631" t="s">
        <v>47113</v>
      </c>
      <c r="L3631">
        <v>35.770000000000003</v>
      </c>
      <c r="M3631">
        <v>87</v>
      </c>
      <c r="N3631">
        <v>0</v>
      </c>
      <c r="O3631">
        <v>87</v>
      </c>
      <c r="P3631">
        <v>0</v>
      </c>
    </row>
    <row r="3632" spans="1:16" x14ac:dyDescent="0.25">
      <c r="A3632" t="s">
        <v>26045</v>
      </c>
      <c r="B3632" t="s">
        <v>4505</v>
      </c>
      <c r="C3632" t="s">
        <v>387</v>
      </c>
      <c r="D3632" t="str">
        <f>"4643"</f>
        <v>4643</v>
      </c>
      <c r="E3632" t="s">
        <v>205</v>
      </c>
      <c r="F3632" t="s">
        <v>1</v>
      </c>
      <c r="G3632" t="s">
        <v>46686</v>
      </c>
      <c r="H3632" t="s">
        <v>47126</v>
      </c>
      <c r="I3632" t="s">
        <v>47127</v>
      </c>
      <c r="J3632" t="s">
        <v>47128</v>
      </c>
      <c r="K3632" t="s">
        <v>47113</v>
      </c>
      <c r="L3632">
        <v>35.770000000000003</v>
      </c>
      <c r="M3632">
        <v>87</v>
      </c>
      <c r="N3632">
        <v>0</v>
      </c>
      <c r="O3632">
        <v>87</v>
      </c>
      <c r="P3632">
        <v>0</v>
      </c>
    </row>
    <row r="3633" spans="1:16" x14ac:dyDescent="0.25">
      <c r="A3633" t="s">
        <v>26046</v>
      </c>
      <c r="B3633" t="s">
        <v>4505</v>
      </c>
      <c r="C3633" t="s">
        <v>387</v>
      </c>
      <c r="D3633" t="str">
        <f>"4729"</f>
        <v>4729</v>
      </c>
      <c r="E3633" t="s">
        <v>2222</v>
      </c>
      <c r="F3633" t="s">
        <v>1</v>
      </c>
      <c r="G3633" t="s">
        <v>46686</v>
      </c>
      <c r="H3633" t="s">
        <v>47126</v>
      </c>
      <c r="I3633" t="s">
        <v>47127</v>
      </c>
      <c r="J3633" t="s">
        <v>47128</v>
      </c>
      <c r="K3633" t="s">
        <v>47113</v>
      </c>
      <c r="L3633">
        <v>35.770000000000003</v>
      </c>
      <c r="M3633">
        <v>87</v>
      </c>
      <c r="N3633">
        <v>0</v>
      </c>
      <c r="O3633">
        <v>87</v>
      </c>
      <c r="P3633">
        <v>0</v>
      </c>
    </row>
    <row r="3634" spans="1:16" x14ac:dyDescent="0.25">
      <c r="A3634" t="s">
        <v>26047</v>
      </c>
      <c r="B3634" t="s">
        <v>4505</v>
      </c>
      <c r="C3634" t="s">
        <v>387</v>
      </c>
      <c r="D3634" t="str">
        <f>"6276"</f>
        <v>6276</v>
      </c>
      <c r="E3634" t="s">
        <v>3867</v>
      </c>
      <c r="F3634" t="s">
        <v>1</v>
      </c>
      <c r="G3634" t="s">
        <v>46686</v>
      </c>
      <c r="H3634" t="s">
        <v>47126</v>
      </c>
      <c r="I3634" t="s">
        <v>47127</v>
      </c>
      <c r="J3634" t="s">
        <v>47128</v>
      </c>
      <c r="K3634" t="s">
        <v>47113</v>
      </c>
      <c r="L3634">
        <v>35.770000000000003</v>
      </c>
      <c r="M3634">
        <v>87</v>
      </c>
      <c r="N3634">
        <v>0</v>
      </c>
      <c r="O3634">
        <v>87</v>
      </c>
      <c r="P3634">
        <v>0</v>
      </c>
    </row>
    <row r="3635" spans="1:16" x14ac:dyDescent="0.25">
      <c r="A3635" t="s">
        <v>26048</v>
      </c>
      <c r="B3635" t="s">
        <v>4506</v>
      </c>
      <c r="C3635" t="s">
        <v>4507</v>
      </c>
      <c r="D3635" t="str">
        <f>"1001"</f>
        <v>1001</v>
      </c>
      <c r="E3635" t="s">
        <v>42</v>
      </c>
      <c r="F3635" t="s">
        <v>1</v>
      </c>
      <c r="G3635" t="s">
        <v>46686</v>
      </c>
      <c r="H3635" t="s">
        <v>47126</v>
      </c>
      <c r="I3635" t="s">
        <v>47127</v>
      </c>
      <c r="J3635" t="s">
        <v>47128</v>
      </c>
      <c r="K3635" t="s">
        <v>47113</v>
      </c>
      <c r="L3635">
        <v>33.22</v>
      </c>
      <c r="M3635">
        <v>81</v>
      </c>
      <c r="N3635">
        <v>0</v>
      </c>
      <c r="O3635">
        <v>81</v>
      </c>
      <c r="P3635">
        <v>0</v>
      </c>
    </row>
    <row r="3636" spans="1:16" x14ac:dyDescent="0.25">
      <c r="A3636" t="s">
        <v>26049</v>
      </c>
      <c r="B3636" t="s">
        <v>4506</v>
      </c>
      <c r="C3636" t="s">
        <v>4507</v>
      </c>
      <c r="D3636" t="str">
        <f>"1377"</f>
        <v>1377</v>
      </c>
      <c r="E3636" t="s">
        <v>74</v>
      </c>
      <c r="F3636" t="s">
        <v>1</v>
      </c>
      <c r="G3636" t="s">
        <v>46686</v>
      </c>
      <c r="H3636" t="s">
        <v>47126</v>
      </c>
      <c r="I3636" t="s">
        <v>47127</v>
      </c>
      <c r="J3636" t="s">
        <v>47128</v>
      </c>
      <c r="K3636" t="s">
        <v>47113</v>
      </c>
      <c r="L3636">
        <v>33.22</v>
      </c>
      <c r="M3636">
        <v>81</v>
      </c>
      <c r="N3636">
        <v>0</v>
      </c>
      <c r="O3636">
        <v>81</v>
      </c>
      <c r="P3636">
        <v>0</v>
      </c>
    </row>
    <row r="3637" spans="1:16" x14ac:dyDescent="0.25">
      <c r="A3637" t="s">
        <v>26050</v>
      </c>
      <c r="B3637" t="s">
        <v>4506</v>
      </c>
      <c r="C3637" t="s">
        <v>4507</v>
      </c>
      <c r="D3637" t="str">
        <f>"1378"</f>
        <v>1378</v>
      </c>
      <c r="E3637" t="s">
        <v>388</v>
      </c>
      <c r="F3637" t="s">
        <v>1</v>
      </c>
      <c r="G3637" t="s">
        <v>46686</v>
      </c>
      <c r="H3637" t="s">
        <v>47126</v>
      </c>
      <c r="I3637" t="s">
        <v>47127</v>
      </c>
      <c r="J3637" t="s">
        <v>47128</v>
      </c>
      <c r="K3637" t="s">
        <v>47113</v>
      </c>
      <c r="L3637">
        <v>33.22</v>
      </c>
      <c r="M3637">
        <v>81</v>
      </c>
      <c r="N3637">
        <v>0</v>
      </c>
      <c r="O3637">
        <v>81</v>
      </c>
      <c r="P3637">
        <v>0</v>
      </c>
    </row>
    <row r="3638" spans="1:16" x14ac:dyDescent="0.25">
      <c r="A3638" t="s">
        <v>26051</v>
      </c>
      <c r="B3638" t="s">
        <v>4506</v>
      </c>
      <c r="C3638" t="s">
        <v>4507</v>
      </c>
      <c r="D3638" t="str">
        <f>"1700"</f>
        <v>1700</v>
      </c>
      <c r="E3638" t="s">
        <v>60</v>
      </c>
      <c r="F3638" t="s">
        <v>1</v>
      </c>
      <c r="G3638" t="s">
        <v>46686</v>
      </c>
      <c r="H3638" t="s">
        <v>47126</v>
      </c>
      <c r="I3638" t="s">
        <v>47127</v>
      </c>
      <c r="J3638" t="s">
        <v>47128</v>
      </c>
      <c r="K3638" t="s">
        <v>47113</v>
      </c>
      <c r="L3638">
        <v>33.22</v>
      </c>
      <c r="M3638">
        <v>81</v>
      </c>
      <c r="N3638">
        <v>0</v>
      </c>
      <c r="O3638">
        <v>81</v>
      </c>
      <c r="P3638">
        <v>0</v>
      </c>
    </row>
    <row r="3639" spans="1:16" x14ac:dyDescent="0.25">
      <c r="A3639" t="s">
        <v>26052</v>
      </c>
      <c r="B3639" t="s">
        <v>4506</v>
      </c>
      <c r="C3639" t="s">
        <v>4507</v>
      </c>
      <c r="D3639" t="str">
        <f>"3489"</f>
        <v>3489</v>
      </c>
      <c r="E3639" t="s">
        <v>2221</v>
      </c>
      <c r="F3639" t="s">
        <v>1</v>
      </c>
      <c r="G3639" t="s">
        <v>46686</v>
      </c>
      <c r="H3639" t="s">
        <v>47126</v>
      </c>
      <c r="I3639" t="s">
        <v>47127</v>
      </c>
      <c r="J3639" t="s">
        <v>47128</v>
      </c>
      <c r="K3639" t="s">
        <v>47113</v>
      </c>
      <c r="L3639">
        <v>33.22</v>
      </c>
      <c r="M3639">
        <v>81</v>
      </c>
      <c r="N3639">
        <v>0</v>
      </c>
      <c r="O3639">
        <v>81</v>
      </c>
      <c r="P3639">
        <v>0</v>
      </c>
    </row>
    <row r="3640" spans="1:16" x14ac:dyDescent="0.25">
      <c r="A3640" t="s">
        <v>26053</v>
      </c>
      <c r="B3640" t="s">
        <v>4506</v>
      </c>
      <c r="C3640" t="s">
        <v>4507</v>
      </c>
      <c r="D3640" t="str">
        <f>"4643"</f>
        <v>4643</v>
      </c>
      <c r="E3640" t="s">
        <v>205</v>
      </c>
      <c r="F3640" t="s">
        <v>1</v>
      </c>
      <c r="G3640" t="s">
        <v>46686</v>
      </c>
      <c r="H3640" t="s">
        <v>47126</v>
      </c>
      <c r="I3640" t="s">
        <v>47127</v>
      </c>
      <c r="J3640" t="s">
        <v>47128</v>
      </c>
      <c r="K3640" t="s">
        <v>47113</v>
      </c>
      <c r="L3640">
        <v>33.22</v>
      </c>
      <c r="M3640">
        <v>81</v>
      </c>
      <c r="N3640">
        <v>0</v>
      </c>
      <c r="O3640">
        <v>81</v>
      </c>
      <c r="P3640">
        <v>0</v>
      </c>
    </row>
    <row r="3641" spans="1:16" x14ac:dyDescent="0.25">
      <c r="A3641" t="s">
        <v>26054</v>
      </c>
      <c r="B3641" t="s">
        <v>4506</v>
      </c>
      <c r="C3641" t="s">
        <v>4507</v>
      </c>
      <c r="D3641" t="str">
        <f>"4729"</f>
        <v>4729</v>
      </c>
      <c r="E3641" t="s">
        <v>2222</v>
      </c>
      <c r="F3641" t="s">
        <v>1</v>
      </c>
      <c r="G3641" t="s">
        <v>46686</v>
      </c>
      <c r="H3641" t="s">
        <v>47126</v>
      </c>
      <c r="I3641" t="s">
        <v>47127</v>
      </c>
      <c r="J3641" t="s">
        <v>47128</v>
      </c>
      <c r="K3641" t="s">
        <v>47113</v>
      </c>
      <c r="L3641">
        <v>33.22</v>
      </c>
      <c r="M3641">
        <v>81</v>
      </c>
      <c r="N3641">
        <v>0</v>
      </c>
      <c r="O3641">
        <v>81</v>
      </c>
      <c r="P3641">
        <v>0</v>
      </c>
    </row>
    <row r="3642" spans="1:16" x14ac:dyDescent="0.25">
      <c r="A3642" t="s">
        <v>26055</v>
      </c>
      <c r="B3642" t="s">
        <v>4506</v>
      </c>
      <c r="C3642" t="s">
        <v>4507</v>
      </c>
      <c r="D3642" t="str">
        <f>"6276"</f>
        <v>6276</v>
      </c>
      <c r="E3642" t="s">
        <v>3867</v>
      </c>
      <c r="F3642" t="s">
        <v>1</v>
      </c>
      <c r="G3642" t="s">
        <v>46686</v>
      </c>
      <c r="H3642" t="s">
        <v>47126</v>
      </c>
      <c r="I3642" t="s">
        <v>47127</v>
      </c>
      <c r="J3642" t="s">
        <v>47128</v>
      </c>
      <c r="K3642" t="s">
        <v>47113</v>
      </c>
      <c r="L3642">
        <v>33.22</v>
      </c>
      <c r="M3642">
        <v>81</v>
      </c>
      <c r="N3642">
        <v>0</v>
      </c>
      <c r="O3642">
        <v>81</v>
      </c>
      <c r="P3642">
        <v>0</v>
      </c>
    </row>
    <row r="3643" spans="1:16" x14ac:dyDescent="0.25">
      <c r="A3643" t="s">
        <v>26056</v>
      </c>
      <c r="B3643" t="s">
        <v>4508</v>
      </c>
      <c r="C3643" t="s">
        <v>4509</v>
      </c>
      <c r="D3643" t="str">
        <f>"1285"</f>
        <v>1285</v>
      </c>
      <c r="E3643" t="s">
        <v>2148</v>
      </c>
      <c r="F3643" t="s">
        <v>1</v>
      </c>
      <c r="G3643" t="s">
        <v>16221</v>
      </c>
      <c r="H3643" t="s">
        <v>47126</v>
      </c>
      <c r="I3643" t="s">
        <v>47127</v>
      </c>
      <c r="J3643" t="s">
        <v>47128</v>
      </c>
      <c r="K3643" t="s">
        <v>47113</v>
      </c>
      <c r="L3643">
        <v>32.020000000000003</v>
      </c>
      <c r="M3643">
        <v>78</v>
      </c>
      <c r="N3643">
        <v>0</v>
      </c>
      <c r="O3643">
        <v>78</v>
      </c>
      <c r="P3643">
        <v>0</v>
      </c>
    </row>
    <row r="3644" spans="1:16" x14ac:dyDescent="0.25">
      <c r="A3644" t="s">
        <v>26057</v>
      </c>
      <c r="B3644" t="s">
        <v>4508</v>
      </c>
      <c r="C3644" t="s">
        <v>4509</v>
      </c>
      <c r="D3644" t="str">
        <f>"1377"</f>
        <v>1377</v>
      </c>
      <c r="E3644" t="s">
        <v>74</v>
      </c>
      <c r="F3644" t="s">
        <v>1</v>
      </c>
      <c r="G3644" t="s">
        <v>16221</v>
      </c>
      <c r="H3644" t="s">
        <v>47126</v>
      </c>
      <c r="I3644" t="s">
        <v>47127</v>
      </c>
      <c r="J3644" t="s">
        <v>47128</v>
      </c>
      <c r="K3644" t="s">
        <v>47113</v>
      </c>
      <c r="L3644">
        <v>32.020000000000003</v>
      </c>
      <c r="M3644">
        <v>78</v>
      </c>
      <c r="N3644">
        <v>0</v>
      </c>
      <c r="O3644">
        <v>78</v>
      </c>
      <c r="P3644">
        <v>0</v>
      </c>
    </row>
    <row r="3645" spans="1:16" x14ac:dyDescent="0.25">
      <c r="A3645" t="s">
        <v>26058</v>
      </c>
      <c r="B3645" t="s">
        <v>4508</v>
      </c>
      <c r="C3645" t="s">
        <v>4509</v>
      </c>
      <c r="D3645" t="str">
        <f>"1378"</f>
        <v>1378</v>
      </c>
      <c r="E3645" t="s">
        <v>388</v>
      </c>
      <c r="F3645" t="s">
        <v>1</v>
      </c>
      <c r="G3645" t="s">
        <v>16221</v>
      </c>
      <c r="H3645" t="s">
        <v>47126</v>
      </c>
      <c r="I3645" t="s">
        <v>47127</v>
      </c>
      <c r="J3645" t="s">
        <v>47128</v>
      </c>
      <c r="K3645" t="s">
        <v>47113</v>
      </c>
      <c r="L3645">
        <v>32.020000000000003</v>
      </c>
      <c r="M3645">
        <v>78</v>
      </c>
      <c r="N3645">
        <v>0</v>
      </c>
      <c r="O3645">
        <v>78</v>
      </c>
      <c r="P3645">
        <v>0</v>
      </c>
    </row>
    <row r="3646" spans="1:16" x14ac:dyDescent="0.25">
      <c r="A3646" t="s">
        <v>26059</v>
      </c>
      <c r="B3646" t="s">
        <v>4508</v>
      </c>
      <c r="C3646" t="s">
        <v>4509</v>
      </c>
      <c r="D3646" t="str">
        <f>"3489"</f>
        <v>3489</v>
      </c>
      <c r="E3646" t="s">
        <v>2221</v>
      </c>
      <c r="F3646" t="s">
        <v>1</v>
      </c>
      <c r="G3646" t="s">
        <v>16221</v>
      </c>
      <c r="H3646" t="s">
        <v>47126</v>
      </c>
      <c r="I3646" t="s">
        <v>47127</v>
      </c>
      <c r="J3646" t="s">
        <v>47128</v>
      </c>
      <c r="K3646" t="s">
        <v>47113</v>
      </c>
      <c r="L3646">
        <v>32.020000000000003</v>
      </c>
      <c r="M3646">
        <v>78</v>
      </c>
      <c r="N3646">
        <v>0</v>
      </c>
      <c r="O3646">
        <v>78</v>
      </c>
      <c r="P3646">
        <v>0</v>
      </c>
    </row>
    <row r="3647" spans="1:16" x14ac:dyDescent="0.25">
      <c r="A3647" t="s">
        <v>26060</v>
      </c>
      <c r="B3647" t="s">
        <v>4508</v>
      </c>
      <c r="C3647" t="s">
        <v>4509</v>
      </c>
      <c r="D3647" t="str">
        <f>"4643"</f>
        <v>4643</v>
      </c>
      <c r="E3647" t="s">
        <v>205</v>
      </c>
      <c r="F3647" t="s">
        <v>1</v>
      </c>
      <c r="G3647" t="s">
        <v>16221</v>
      </c>
      <c r="H3647" t="s">
        <v>47126</v>
      </c>
      <c r="I3647" t="s">
        <v>47127</v>
      </c>
      <c r="J3647" t="s">
        <v>47128</v>
      </c>
      <c r="K3647" t="s">
        <v>47113</v>
      </c>
      <c r="L3647">
        <v>32.020000000000003</v>
      </c>
      <c r="M3647">
        <v>78</v>
      </c>
      <c r="N3647">
        <v>0</v>
      </c>
      <c r="O3647">
        <v>78</v>
      </c>
      <c r="P3647">
        <v>0</v>
      </c>
    </row>
    <row r="3648" spans="1:16" x14ac:dyDescent="0.25">
      <c r="A3648" t="s">
        <v>26061</v>
      </c>
      <c r="B3648" t="s">
        <v>4508</v>
      </c>
      <c r="C3648" t="s">
        <v>4509</v>
      </c>
      <c r="D3648" t="str">
        <f>"4729"</f>
        <v>4729</v>
      </c>
      <c r="E3648" t="s">
        <v>2222</v>
      </c>
      <c r="F3648" t="s">
        <v>1</v>
      </c>
      <c r="G3648" t="s">
        <v>16221</v>
      </c>
      <c r="H3648" t="s">
        <v>47126</v>
      </c>
      <c r="I3648" t="s">
        <v>47127</v>
      </c>
      <c r="J3648" t="s">
        <v>47128</v>
      </c>
      <c r="K3648" t="s">
        <v>47113</v>
      </c>
      <c r="L3648">
        <v>32.020000000000003</v>
      </c>
      <c r="M3648">
        <v>78</v>
      </c>
      <c r="N3648">
        <v>0</v>
      </c>
      <c r="O3648">
        <v>78</v>
      </c>
      <c r="P3648">
        <v>0</v>
      </c>
    </row>
    <row r="3649" spans="1:16" x14ac:dyDescent="0.25">
      <c r="A3649" t="s">
        <v>26062</v>
      </c>
      <c r="B3649" t="s">
        <v>4508</v>
      </c>
      <c r="C3649" t="s">
        <v>4509</v>
      </c>
      <c r="D3649" t="str">
        <f>"6276"</f>
        <v>6276</v>
      </c>
      <c r="E3649" t="s">
        <v>3867</v>
      </c>
      <c r="F3649" t="s">
        <v>1</v>
      </c>
      <c r="G3649" t="s">
        <v>16221</v>
      </c>
      <c r="H3649" t="s">
        <v>47126</v>
      </c>
      <c r="I3649" t="s">
        <v>47127</v>
      </c>
      <c r="J3649" t="s">
        <v>47128</v>
      </c>
      <c r="K3649" t="s">
        <v>47113</v>
      </c>
      <c r="L3649">
        <v>32.020000000000003</v>
      </c>
      <c r="M3649">
        <v>78</v>
      </c>
      <c r="N3649">
        <v>0</v>
      </c>
      <c r="O3649">
        <v>78</v>
      </c>
      <c r="P3649">
        <v>0</v>
      </c>
    </row>
    <row r="3650" spans="1:16" x14ac:dyDescent="0.25">
      <c r="A3650" t="s">
        <v>26063</v>
      </c>
      <c r="B3650" t="s">
        <v>4510</v>
      </c>
      <c r="C3650" t="s">
        <v>4511</v>
      </c>
      <c r="D3650" t="str">
        <f>"1377"</f>
        <v>1377</v>
      </c>
      <c r="E3650" t="s">
        <v>74</v>
      </c>
      <c r="F3650" t="s">
        <v>1</v>
      </c>
      <c r="G3650" t="s">
        <v>16222</v>
      </c>
      <c r="H3650" t="s">
        <v>47126</v>
      </c>
      <c r="I3650" t="s">
        <v>47127</v>
      </c>
      <c r="J3650" t="s">
        <v>47128</v>
      </c>
      <c r="K3650" t="s">
        <v>47113</v>
      </c>
      <c r="L3650">
        <v>26.58</v>
      </c>
      <c r="M3650">
        <v>65</v>
      </c>
      <c r="N3650">
        <v>0</v>
      </c>
      <c r="O3650">
        <v>65</v>
      </c>
      <c r="P3650">
        <v>0</v>
      </c>
    </row>
    <row r="3651" spans="1:16" x14ac:dyDescent="0.25">
      <c r="A3651" t="s">
        <v>26064</v>
      </c>
      <c r="B3651" t="s">
        <v>4510</v>
      </c>
      <c r="C3651" t="s">
        <v>4511</v>
      </c>
      <c r="D3651" t="str">
        <f>"1378"</f>
        <v>1378</v>
      </c>
      <c r="E3651" t="s">
        <v>388</v>
      </c>
      <c r="F3651" t="s">
        <v>1</v>
      </c>
      <c r="G3651" t="s">
        <v>16222</v>
      </c>
      <c r="H3651" t="s">
        <v>47126</v>
      </c>
      <c r="I3651" t="s">
        <v>47127</v>
      </c>
      <c r="J3651" t="s">
        <v>47128</v>
      </c>
      <c r="K3651" t="s">
        <v>47113</v>
      </c>
      <c r="L3651">
        <v>26.58</v>
      </c>
      <c r="M3651">
        <v>65</v>
      </c>
      <c r="N3651">
        <v>0</v>
      </c>
      <c r="O3651">
        <v>65</v>
      </c>
      <c r="P3651">
        <v>0</v>
      </c>
    </row>
    <row r="3652" spans="1:16" x14ac:dyDescent="0.25">
      <c r="A3652" t="s">
        <v>26065</v>
      </c>
      <c r="B3652" t="s">
        <v>4510</v>
      </c>
      <c r="C3652" t="s">
        <v>4511</v>
      </c>
      <c r="D3652" t="str">
        <f>"3489"</f>
        <v>3489</v>
      </c>
      <c r="E3652" t="s">
        <v>2221</v>
      </c>
      <c r="F3652" t="s">
        <v>1</v>
      </c>
      <c r="G3652" t="s">
        <v>16222</v>
      </c>
      <c r="H3652" t="s">
        <v>47126</v>
      </c>
      <c r="I3652" t="s">
        <v>47127</v>
      </c>
      <c r="J3652" t="s">
        <v>47128</v>
      </c>
      <c r="K3652" t="s">
        <v>47113</v>
      </c>
      <c r="L3652">
        <v>26.58</v>
      </c>
      <c r="M3652">
        <v>65</v>
      </c>
      <c r="N3652">
        <v>0</v>
      </c>
      <c r="O3652">
        <v>65</v>
      </c>
      <c r="P3652">
        <v>0</v>
      </c>
    </row>
    <row r="3653" spans="1:16" x14ac:dyDescent="0.25">
      <c r="A3653" t="s">
        <v>26066</v>
      </c>
      <c r="B3653" t="s">
        <v>4510</v>
      </c>
      <c r="C3653" t="s">
        <v>4511</v>
      </c>
      <c r="D3653" t="str">
        <f>"4643"</f>
        <v>4643</v>
      </c>
      <c r="E3653" t="s">
        <v>205</v>
      </c>
      <c r="F3653" t="s">
        <v>1</v>
      </c>
      <c r="G3653" t="s">
        <v>16222</v>
      </c>
      <c r="H3653" t="s">
        <v>47126</v>
      </c>
      <c r="I3653" t="s">
        <v>47127</v>
      </c>
      <c r="J3653" t="s">
        <v>47128</v>
      </c>
      <c r="K3653" t="s">
        <v>47113</v>
      </c>
      <c r="L3653">
        <v>26.58</v>
      </c>
      <c r="M3653">
        <v>65</v>
      </c>
      <c r="N3653">
        <v>0</v>
      </c>
      <c r="O3653">
        <v>65</v>
      </c>
      <c r="P3653">
        <v>0</v>
      </c>
    </row>
    <row r="3654" spans="1:16" x14ac:dyDescent="0.25">
      <c r="A3654" t="s">
        <v>26067</v>
      </c>
      <c r="B3654" t="s">
        <v>4510</v>
      </c>
      <c r="C3654" t="s">
        <v>4511</v>
      </c>
      <c r="D3654" t="str">
        <f>"4729"</f>
        <v>4729</v>
      </c>
      <c r="E3654" t="s">
        <v>2222</v>
      </c>
      <c r="F3654" t="s">
        <v>1</v>
      </c>
      <c r="G3654" t="s">
        <v>16222</v>
      </c>
      <c r="H3654" t="s">
        <v>47126</v>
      </c>
      <c r="I3654" t="s">
        <v>47127</v>
      </c>
      <c r="J3654" t="s">
        <v>47128</v>
      </c>
      <c r="K3654" t="s">
        <v>47113</v>
      </c>
      <c r="L3654">
        <v>26.58</v>
      </c>
      <c r="M3654">
        <v>65</v>
      </c>
      <c r="N3654">
        <v>0</v>
      </c>
      <c r="O3654">
        <v>65</v>
      </c>
      <c r="P3654">
        <v>0</v>
      </c>
    </row>
    <row r="3655" spans="1:16" x14ac:dyDescent="0.25">
      <c r="A3655" t="s">
        <v>26068</v>
      </c>
      <c r="B3655" t="s">
        <v>4510</v>
      </c>
      <c r="C3655" t="s">
        <v>4511</v>
      </c>
      <c r="D3655" t="str">
        <f>"6276"</f>
        <v>6276</v>
      </c>
      <c r="E3655" t="s">
        <v>3867</v>
      </c>
      <c r="F3655" t="s">
        <v>1</v>
      </c>
      <c r="G3655" t="s">
        <v>16222</v>
      </c>
      <c r="H3655" t="s">
        <v>47126</v>
      </c>
      <c r="I3655" t="s">
        <v>47127</v>
      </c>
      <c r="J3655" t="s">
        <v>47128</v>
      </c>
      <c r="K3655" t="s">
        <v>47113</v>
      </c>
      <c r="L3655">
        <v>26.58</v>
      </c>
      <c r="M3655">
        <v>65</v>
      </c>
      <c r="N3655">
        <v>0</v>
      </c>
      <c r="O3655">
        <v>65</v>
      </c>
      <c r="P3655">
        <v>0</v>
      </c>
    </row>
    <row r="3656" spans="1:16" x14ac:dyDescent="0.25">
      <c r="A3656" t="s">
        <v>26069</v>
      </c>
      <c r="B3656" t="s">
        <v>4512</v>
      </c>
      <c r="C3656" t="s">
        <v>4513</v>
      </c>
      <c r="D3656" t="str">
        <f>"1001"</f>
        <v>1001</v>
      </c>
      <c r="E3656" t="s">
        <v>42</v>
      </c>
      <c r="F3656" t="s">
        <v>1</v>
      </c>
      <c r="G3656" t="s">
        <v>16235</v>
      </c>
      <c r="H3656" t="s">
        <v>47126</v>
      </c>
      <c r="I3656" t="s">
        <v>47127</v>
      </c>
      <c r="J3656" t="s">
        <v>47128</v>
      </c>
      <c r="K3656" t="s">
        <v>47113</v>
      </c>
      <c r="L3656">
        <v>33.22</v>
      </c>
      <c r="M3656">
        <v>81</v>
      </c>
      <c r="N3656">
        <v>0</v>
      </c>
      <c r="O3656">
        <v>81</v>
      </c>
      <c r="P3656">
        <v>0</v>
      </c>
    </row>
    <row r="3657" spans="1:16" x14ac:dyDescent="0.25">
      <c r="A3657" t="s">
        <v>26070</v>
      </c>
      <c r="B3657" t="s">
        <v>4512</v>
      </c>
      <c r="C3657" t="s">
        <v>4513</v>
      </c>
      <c r="D3657" t="str">
        <f>"1285"</f>
        <v>1285</v>
      </c>
      <c r="E3657" t="s">
        <v>2148</v>
      </c>
      <c r="F3657" t="s">
        <v>1</v>
      </c>
      <c r="G3657" t="s">
        <v>16235</v>
      </c>
      <c r="H3657" t="s">
        <v>47126</v>
      </c>
      <c r="I3657" t="s">
        <v>47127</v>
      </c>
      <c r="J3657" t="s">
        <v>47128</v>
      </c>
      <c r="K3657" t="s">
        <v>47113</v>
      </c>
      <c r="L3657">
        <v>33.22</v>
      </c>
      <c r="M3657">
        <v>81</v>
      </c>
      <c r="N3657">
        <v>0</v>
      </c>
      <c r="O3657">
        <v>81</v>
      </c>
      <c r="P3657">
        <v>0</v>
      </c>
    </row>
    <row r="3658" spans="1:16" x14ac:dyDescent="0.25">
      <c r="A3658" t="s">
        <v>26071</v>
      </c>
      <c r="B3658" t="s">
        <v>4512</v>
      </c>
      <c r="C3658" t="s">
        <v>4513</v>
      </c>
      <c r="D3658" t="str">
        <f>"4729"</f>
        <v>4729</v>
      </c>
      <c r="E3658" t="s">
        <v>2222</v>
      </c>
      <c r="F3658" t="s">
        <v>1</v>
      </c>
      <c r="G3658" t="s">
        <v>16235</v>
      </c>
      <c r="H3658" t="s">
        <v>47126</v>
      </c>
      <c r="I3658" t="s">
        <v>47127</v>
      </c>
      <c r="J3658" t="s">
        <v>47128</v>
      </c>
      <c r="K3658" t="s">
        <v>47113</v>
      </c>
      <c r="L3658">
        <v>33.22</v>
      </c>
      <c r="M3658">
        <v>81</v>
      </c>
      <c r="N3658">
        <v>0</v>
      </c>
      <c r="O3658">
        <v>81</v>
      </c>
      <c r="P3658">
        <v>0</v>
      </c>
    </row>
    <row r="3659" spans="1:16" x14ac:dyDescent="0.25">
      <c r="A3659" t="s">
        <v>26072</v>
      </c>
      <c r="B3659" t="s">
        <v>4512</v>
      </c>
      <c r="C3659" t="s">
        <v>4513</v>
      </c>
      <c r="D3659" t="str">
        <f>"6276"</f>
        <v>6276</v>
      </c>
      <c r="E3659" t="s">
        <v>3867</v>
      </c>
      <c r="F3659" t="s">
        <v>1</v>
      </c>
      <c r="G3659" t="s">
        <v>16235</v>
      </c>
      <c r="H3659" t="s">
        <v>47126</v>
      </c>
      <c r="I3659" t="s">
        <v>47127</v>
      </c>
      <c r="J3659" t="s">
        <v>47128</v>
      </c>
      <c r="K3659" t="s">
        <v>47113</v>
      </c>
      <c r="L3659">
        <v>33.22</v>
      </c>
      <c r="M3659">
        <v>81</v>
      </c>
      <c r="N3659">
        <v>0</v>
      </c>
      <c r="O3659">
        <v>81</v>
      </c>
      <c r="P3659">
        <v>0</v>
      </c>
    </row>
    <row r="3660" spans="1:16" x14ac:dyDescent="0.25">
      <c r="A3660" t="s">
        <v>26073</v>
      </c>
      <c r="B3660" t="s">
        <v>4514</v>
      </c>
      <c r="C3660" t="s">
        <v>4515</v>
      </c>
      <c r="D3660" t="str">
        <f>"1378"</f>
        <v>1378</v>
      </c>
      <c r="E3660" t="s">
        <v>388</v>
      </c>
      <c r="F3660" t="s">
        <v>1</v>
      </c>
      <c r="G3660" t="s">
        <v>16224</v>
      </c>
      <c r="H3660" t="s">
        <v>47126</v>
      </c>
      <c r="I3660" t="s">
        <v>47127</v>
      </c>
      <c r="J3660" t="s">
        <v>47128</v>
      </c>
      <c r="K3660" t="s">
        <v>47113</v>
      </c>
      <c r="L3660">
        <v>33.22</v>
      </c>
      <c r="M3660">
        <v>81</v>
      </c>
      <c r="N3660">
        <v>0</v>
      </c>
      <c r="O3660">
        <v>81</v>
      </c>
      <c r="P3660">
        <v>0</v>
      </c>
    </row>
    <row r="3661" spans="1:16" x14ac:dyDescent="0.25">
      <c r="A3661" t="s">
        <v>26074</v>
      </c>
      <c r="B3661" t="s">
        <v>4514</v>
      </c>
      <c r="C3661" t="s">
        <v>4515</v>
      </c>
      <c r="D3661" t="str">
        <f>"3489"</f>
        <v>3489</v>
      </c>
      <c r="E3661" t="s">
        <v>2221</v>
      </c>
      <c r="F3661" t="s">
        <v>1</v>
      </c>
      <c r="G3661" t="s">
        <v>16224</v>
      </c>
      <c r="H3661" t="s">
        <v>47126</v>
      </c>
      <c r="I3661" t="s">
        <v>47127</v>
      </c>
      <c r="J3661" t="s">
        <v>47128</v>
      </c>
      <c r="K3661" t="s">
        <v>47113</v>
      </c>
      <c r="L3661">
        <v>33.22</v>
      </c>
      <c r="M3661">
        <v>81</v>
      </c>
      <c r="N3661">
        <v>0</v>
      </c>
      <c r="O3661">
        <v>81</v>
      </c>
      <c r="P3661">
        <v>0</v>
      </c>
    </row>
    <row r="3662" spans="1:16" x14ac:dyDescent="0.25">
      <c r="A3662" t="s">
        <v>26075</v>
      </c>
      <c r="B3662" t="s">
        <v>4514</v>
      </c>
      <c r="C3662" t="s">
        <v>4515</v>
      </c>
      <c r="D3662" t="str">
        <f>"4643"</f>
        <v>4643</v>
      </c>
      <c r="E3662" t="s">
        <v>205</v>
      </c>
      <c r="F3662" t="s">
        <v>1</v>
      </c>
      <c r="G3662" t="s">
        <v>16224</v>
      </c>
      <c r="H3662" t="s">
        <v>47126</v>
      </c>
      <c r="I3662" t="s">
        <v>47127</v>
      </c>
      <c r="J3662" t="s">
        <v>47128</v>
      </c>
      <c r="K3662" t="s">
        <v>47113</v>
      </c>
      <c r="L3662">
        <v>33.22</v>
      </c>
      <c r="M3662">
        <v>81</v>
      </c>
      <c r="N3662">
        <v>0</v>
      </c>
      <c r="O3662">
        <v>81</v>
      </c>
      <c r="P3662">
        <v>0</v>
      </c>
    </row>
    <row r="3663" spans="1:16" x14ac:dyDescent="0.25">
      <c r="A3663" t="s">
        <v>26076</v>
      </c>
      <c r="B3663" t="s">
        <v>4514</v>
      </c>
      <c r="C3663" t="s">
        <v>4515</v>
      </c>
      <c r="D3663" t="str">
        <f>"4729"</f>
        <v>4729</v>
      </c>
      <c r="E3663" t="s">
        <v>2222</v>
      </c>
      <c r="F3663" t="s">
        <v>1</v>
      </c>
      <c r="G3663" t="s">
        <v>16224</v>
      </c>
      <c r="H3663" t="s">
        <v>47126</v>
      </c>
      <c r="I3663" t="s">
        <v>47127</v>
      </c>
      <c r="J3663" t="s">
        <v>47128</v>
      </c>
      <c r="K3663" t="s">
        <v>47113</v>
      </c>
      <c r="L3663">
        <v>33.22</v>
      </c>
      <c r="M3663">
        <v>81</v>
      </c>
      <c r="N3663">
        <v>0</v>
      </c>
      <c r="O3663">
        <v>81</v>
      </c>
      <c r="P3663">
        <v>0</v>
      </c>
    </row>
    <row r="3664" spans="1:16" x14ac:dyDescent="0.25">
      <c r="A3664" t="s">
        <v>26077</v>
      </c>
      <c r="B3664" t="s">
        <v>4514</v>
      </c>
      <c r="C3664" t="s">
        <v>4515</v>
      </c>
      <c r="D3664" t="str">
        <f>"6276"</f>
        <v>6276</v>
      </c>
      <c r="E3664" t="s">
        <v>3867</v>
      </c>
      <c r="F3664" t="s">
        <v>1</v>
      </c>
      <c r="G3664" t="s">
        <v>16224</v>
      </c>
      <c r="H3664" t="s">
        <v>47126</v>
      </c>
      <c r="I3664" t="s">
        <v>47127</v>
      </c>
      <c r="J3664" t="s">
        <v>47128</v>
      </c>
      <c r="K3664" t="s">
        <v>47113</v>
      </c>
      <c r="L3664">
        <v>33.22</v>
      </c>
      <c r="M3664">
        <v>81</v>
      </c>
      <c r="N3664">
        <v>0</v>
      </c>
      <c r="O3664">
        <v>81</v>
      </c>
      <c r="P3664">
        <v>0</v>
      </c>
    </row>
    <row r="3665" spans="1:16" x14ac:dyDescent="0.25">
      <c r="A3665" t="s">
        <v>26078</v>
      </c>
      <c r="B3665" t="s">
        <v>4516</v>
      </c>
      <c r="C3665" t="s">
        <v>4343</v>
      </c>
      <c r="D3665" t="s">
        <v>3768</v>
      </c>
      <c r="E3665" t="s">
        <v>3769</v>
      </c>
      <c r="F3665" t="s">
        <v>1</v>
      </c>
      <c r="G3665" t="s">
        <v>16224</v>
      </c>
      <c r="H3665" t="s">
        <v>47153</v>
      </c>
      <c r="I3665" t="s">
        <v>47132</v>
      </c>
      <c r="J3665" t="s">
        <v>47133</v>
      </c>
      <c r="K3665" t="s">
        <v>47113</v>
      </c>
      <c r="L3665">
        <v>54.88</v>
      </c>
      <c r="M3665">
        <v>105</v>
      </c>
      <c r="N3665">
        <v>0</v>
      </c>
      <c r="O3665">
        <v>105</v>
      </c>
      <c r="P3665">
        <v>0</v>
      </c>
    </row>
    <row r="3666" spans="1:16" x14ac:dyDescent="0.25">
      <c r="A3666" t="s">
        <v>14933</v>
      </c>
      <c r="B3666" t="s">
        <v>4516</v>
      </c>
      <c r="C3666" t="s">
        <v>4343</v>
      </c>
      <c r="D3666" t="s">
        <v>4471</v>
      </c>
      <c r="E3666" t="s">
        <v>4472</v>
      </c>
      <c r="F3666" t="s">
        <v>1</v>
      </c>
      <c r="G3666" t="s">
        <v>16224</v>
      </c>
      <c r="H3666" t="s">
        <v>47153</v>
      </c>
      <c r="I3666" t="s">
        <v>47132</v>
      </c>
      <c r="J3666" t="s">
        <v>47133</v>
      </c>
      <c r="K3666" t="s">
        <v>47113</v>
      </c>
      <c r="L3666">
        <v>59.14</v>
      </c>
      <c r="M3666">
        <v>113</v>
      </c>
      <c r="N3666">
        <v>0</v>
      </c>
      <c r="O3666">
        <v>113</v>
      </c>
      <c r="P3666">
        <v>0</v>
      </c>
    </row>
    <row r="3667" spans="1:16" x14ac:dyDescent="0.25">
      <c r="A3667" t="s">
        <v>26079</v>
      </c>
      <c r="B3667" t="s">
        <v>4517</v>
      </c>
      <c r="C3667" t="s">
        <v>3773</v>
      </c>
      <c r="D3667" t="s">
        <v>4380</v>
      </c>
      <c r="E3667" t="s">
        <v>4381</v>
      </c>
      <c r="F3667" t="s">
        <v>1</v>
      </c>
      <c r="G3667" t="s">
        <v>16231</v>
      </c>
      <c r="H3667" t="s">
        <v>47153</v>
      </c>
      <c r="I3667" t="s">
        <v>47132</v>
      </c>
      <c r="J3667" t="s">
        <v>47133</v>
      </c>
      <c r="K3667" t="s">
        <v>47113</v>
      </c>
      <c r="L3667">
        <v>46.11</v>
      </c>
      <c r="M3667">
        <v>88</v>
      </c>
      <c r="N3667">
        <v>0</v>
      </c>
      <c r="O3667">
        <v>88</v>
      </c>
      <c r="P3667">
        <v>0</v>
      </c>
    </row>
    <row r="3668" spans="1:16" x14ac:dyDescent="0.25">
      <c r="A3668" t="s">
        <v>26080</v>
      </c>
      <c r="B3668" t="s">
        <v>4517</v>
      </c>
      <c r="C3668" t="s">
        <v>3773</v>
      </c>
      <c r="D3668" t="s">
        <v>504</v>
      </c>
      <c r="E3668" t="s">
        <v>505</v>
      </c>
      <c r="F3668" t="s">
        <v>1</v>
      </c>
      <c r="G3668" t="s">
        <v>16231</v>
      </c>
      <c r="H3668" t="s">
        <v>47153</v>
      </c>
      <c r="I3668" t="s">
        <v>47132</v>
      </c>
      <c r="J3668" t="s">
        <v>47133</v>
      </c>
      <c r="K3668" t="s">
        <v>47113</v>
      </c>
      <c r="L3668">
        <v>46.11</v>
      </c>
      <c r="M3668">
        <v>88</v>
      </c>
      <c r="N3668">
        <v>0</v>
      </c>
      <c r="O3668">
        <v>88</v>
      </c>
      <c r="P3668">
        <v>0</v>
      </c>
    </row>
    <row r="3669" spans="1:16" x14ac:dyDescent="0.25">
      <c r="A3669" t="s">
        <v>26081</v>
      </c>
      <c r="B3669" t="s">
        <v>4517</v>
      </c>
      <c r="C3669" t="s">
        <v>3773</v>
      </c>
      <c r="D3669" t="s">
        <v>428</v>
      </c>
      <c r="E3669" t="s">
        <v>429</v>
      </c>
      <c r="F3669" t="s">
        <v>1</v>
      </c>
      <c r="G3669" t="s">
        <v>16231</v>
      </c>
      <c r="H3669" t="s">
        <v>47153</v>
      </c>
      <c r="I3669" t="s">
        <v>47132</v>
      </c>
      <c r="J3669" t="s">
        <v>47133</v>
      </c>
      <c r="K3669" t="s">
        <v>47113</v>
      </c>
      <c r="L3669">
        <v>46.11</v>
      </c>
      <c r="M3669">
        <v>88</v>
      </c>
      <c r="N3669">
        <v>0</v>
      </c>
      <c r="O3669">
        <v>88</v>
      </c>
      <c r="P3669">
        <v>0</v>
      </c>
    </row>
    <row r="3670" spans="1:16" x14ac:dyDescent="0.25">
      <c r="A3670" t="s">
        <v>26082</v>
      </c>
      <c r="B3670" t="s">
        <v>4518</v>
      </c>
      <c r="C3670" t="s">
        <v>3813</v>
      </c>
      <c r="D3670" t="s">
        <v>428</v>
      </c>
      <c r="E3670" t="s">
        <v>429</v>
      </c>
      <c r="F3670" t="s">
        <v>1</v>
      </c>
      <c r="G3670" t="s">
        <v>16231</v>
      </c>
      <c r="H3670" t="s">
        <v>47153</v>
      </c>
      <c r="I3670" t="s">
        <v>47132</v>
      </c>
      <c r="J3670" t="s">
        <v>47133</v>
      </c>
      <c r="K3670" t="s">
        <v>47113</v>
      </c>
      <c r="L3670">
        <v>46.34</v>
      </c>
      <c r="M3670">
        <v>89</v>
      </c>
      <c r="N3670">
        <v>0</v>
      </c>
      <c r="O3670">
        <v>89</v>
      </c>
      <c r="P3670">
        <v>0</v>
      </c>
    </row>
    <row r="3671" spans="1:16" x14ac:dyDescent="0.25">
      <c r="A3671" t="s">
        <v>26083</v>
      </c>
      <c r="B3671" t="s">
        <v>4519</v>
      </c>
      <c r="C3671" t="s">
        <v>4496</v>
      </c>
      <c r="D3671" t="s">
        <v>4380</v>
      </c>
      <c r="E3671" t="s">
        <v>4381</v>
      </c>
      <c r="F3671" t="s">
        <v>1</v>
      </c>
      <c r="G3671" t="s">
        <v>16231</v>
      </c>
      <c r="H3671" t="s">
        <v>47153</v>
      </c>
      <c r="I3671" t="s">
        <v>47132</v>
      </c>
      <c r="J3671" t="s">
        <v>47133</v>
      </c>
      <c r="K3671" t="s">
        <v>47113</v>
      </c>
      <c r="L3671">
        <v>44.69</v>
      </c>
      <c r="M3671">
        <v>85</v>
      </c>
      <c r="N3671">
        <v>0</v>
      </c>
      <c r="O3671">
        <v>85</v>
      </c>
      <c r="P3671">
        <v>0</v>
      </c>
    </row>
    <row r="3672" spans="1:16" x14ac:dyDescent="0.25">
      <c r="A3672" t="s">
        <v>26084</v>
      </c>
      <c r="B3672" t="s">
        <v>4519</v>
      </c>
      <c r="C3672" t="s">
        <v>4496</v>
      </c>
      <c r="D3672" t="s">
        <v>504</v>
      </c>
      <c r="E3672" t="s">
        <v>505</v>
      </c>
      <c r="F3672" t="s">
        <v>1</v>
      </c>
      <c r="G3672" t="s">
        <v>16231</v>
      </c>
      <c r="H3672" t="s">
        <v>47153</v>
      </c>
      <c r="I3672" t="s">
        <v>47132</v>
      </c>
      <c r="J3672" t="s">
        <v>47133</v>
      </c>
      <c r="K3672" t="s">
        <v>47113</v>
      </c>
      <c r="L3672">
        <v>44.69</v>
      </c>
      <c r="M3672">
        <v>85</v>
      </c>
      <c r="N3672">
        <v>0</v>
      </c>
      <c r="O3672">
        <v>85</v>
      </c>
      <c r="P3672">
        <v>0</v>
      </c>
    </row>
    <row r="3673" spans="1:16" x14ac:dyDescent="0.25">
      <c r="A3673" t="s">
        <v>26085</v>
      </c>
      <c r="B3673" t="s">
        <v>4519</v>
      </c>
      <c r="C3673" t="s">
        <v>4496</v>
      </c>
      <c r="D3673" t="s">
        <v>428</v>
      </c>
      <c r="E3673" t="s">
        <v>429</v>
      </c>
      <c r="F3673" t="s">
        <v>1</v>
      </c>
      <c r="G3673" t="s">
        <v>16231</v>
      </c>
      <c r="H3673" t="s">
        <v>47153</v>
      </c>
      <c r="I3673" t="s">
        <v>47132</v>
      </c>
      <c r="J3673" t="s">
        <v>47133</v>
      </c>
      <c r="K3673" t="s">
        <v>47113</v>
      </c>
      <c r="L3673">
        <v>44.69</v>
      </c>
      <c r="M3673">
        <v>85</v>
      </c>
      <c r="N3673">
        <v>0</v>
      </c>
      <c r="O3673">
        <v>85</v>
      </c>
      <c r="P3673">
        <v>0</v>
      </c>
    </row>
    <row r="3674" spans="1:16" x14ac:dyDescent="0.25">
      <c r="A3674" t="s">
        <v>26086</v>
      </c>
      <c r="B3674" t="s">
        <v>4520</v>
      </c>
      <c r="C3674" t="s">
        <v>4521</v>
      </c>
      <c r="D3674" t="str">
        <f>"1001"</f>
        <v>1001</v>
      </c>
      <c r="E3674" t="s">
        <v>42</v>
      </c>
      <c r="F3674" t="s">
        <v>1</v>
      </c>
      <c r="G3674" t="s">
        <v>16221</v>
      </c>
      <c r="H3674" t="s">
        <v>47126</v>
      </c>
      <c r="I3674" t="s">
        <v>47127</v>
      </c>
      <c r="J3674" t="s">
        <v>47128</v>
      </c>
      <c r="K3674" t="s">
        <v>47113</v>
      </c>
      <c r="L3674">
        <v>17.760000000000002</v>
      </c>
      <c r="M3674">
        <v>43</v>
      </c>
      <c r="N3674">
        <v>0</v>
      </c>
      <c r="O3674">
        <v>43</v>
      </c>
      <c r="P3674">
        <v>0</v>
      </c>
    </row>
    <row r="3675" spans="1:16" x14ac:dyDescent="0.25">
      <c r="A3675" t="s">
        <v>26087</v>
      </c>
      <c r="B3675" t="s">
        <v>4520</v>
      </c>
      <c r="C3675" t="s">
        <v>4521</v>
      </c>
      <c r="D3675" t="str">
        <f>"1377"</f>
        <v>1377</v>
      </c>
      <c r="E3675" t="s">
        <v>74</v>
      </c>
      <c r="F3675" t="s">
        <v>1</v>
      </c>
      <c r="G3675" t="s">
        <v>16221</v>
      </c>
      <c r="H3675" t="s">
        <v>47126</v>
      </c>
      <c r="I3675" t="s">
        <v>47127</v>
      </c>
      <c r="J3675" t="s">
        <v>47128</v>
      </c>
      <c r="K3675" t="s">
        <v>47113</v>
      </c>
      <c r="L3675">
        <v>17.760000000000002</v>
      </c>
      <c r="M3675">
        <v>43</v>
      </c>
      <c r="N3675">
        <v>0</v>
      </c>
      <c r="O3675">
        <v>43</v>
      </c>
      <c r="P3675">
        <v>0</v>
      </c>
    </row>
    <row r="3676" spans="1:16" x14ac:dyDescent="0.25">
      <c r="A3676" t="s">
        <v>26088</v>
      </c>
      <c r="B3676" t="s">
        <v>4520</v>
      </c>
      <c r="C3676" t="s">
        <v>4521</v>
      </c>
      <c r="D3676" t="str">
        <f>"1378"</f>
        <v>1378</v>
      </c>
      <c r="E3676" t="s">
        <v>388</v>
      </c>
      <c r="F3676" t="s">
        <v>1</v>
      </c>
      <c r="G3676" t="s">
        <v>16221</v>
      </c>
      <c r="H3676" t="s">
        <v>47126</v>
      </c>
      <c r="I3676" t="s">
        <v>47127</v>
      </c>
      <c r="J3676" t="s">
        <v>47128</v>
      </c>
      <c r="K3676" t="s">
        <v>47113</v>
      </c>
      <c r="L3676">
        <v>17.760000000000002</v>
      </c>
      <c r="M3676">
        <v>43</v>
      </c>
      <c r="N3676">
        <v>0</v>
      </c>
      <c r="O3676">
        <v>43</v>
      </c>
      <c r="P3676">
        <v>0</v>
      </c>
    </row>
    <row r="3677" spans="1:16" x14ac:dyDescent="0.25">
      <c r="A3677" t="s">
        <v>26089</v>
      </c>
      <c r="B3677" t="s">
        <v>4520</v>
      </c>
      <c r="C3677" t="s">
        <v>4521</v>
      </c>
      <c r="D3677" t="str">
        <f>"1700"</f>
        <v>1700</v>
      </c>
      <c r="E3677" t="s">
        <v>60</v>
      </c>
      <c r="F3677" t="s">
        <v>1</v>
      </c>
      <c r="G3677" t="s">
        <v>16221</v>
      </c>
      <c r="H3677" t="s">
        <v>47126</v>
      </c>
      <c r="I3677" t="s">
        <v>47127</v>
      </c>
      <c r="J3677" t="s">
        <v>47128</v>
      </c>
      <c r="K3677" t="s">
        <v>47113</v>
      </c>
      <c r="L3677">
        <v>17.760000000000002</v>
      </c>
      <c r="M3677">
        <v>43</v>
      </c>
      <c r="N3677">
        <v>0</v>
      </c>
      <c r="O3677">
        <v>43</v>
      </c>
      <c r="P3677">
        <v>0</v>
      </c>
    </row>
    <row r="3678" spans="1:16" x14ac:dyDescent="0.25">
      <c r="A3678" t="s">
        <v>26090</v>
      </c>
      <c r="B3678" t="s">
        <v>4520</v>
      </c>
      <c r="C3678" t="s">
        <v>4521</v>
      </c>
      <c r="D3678" t="str">
        <f>"3489"</f>
        <v>3489</v>
      </c>
      <c r="E3678" t="s">
        <v>2221</v>
      </c>
      <c r="F3678" t="s">
        <v>1</v>
      </c>
      <c r="G3678" t="s">
        <v>16221</v>
      </c>
      <c r="H3678" t="s">
        <v>47126</v>
      </c>
      <c r="I3678" t="s">
        <v>47127</v>
      </c>
      <c r="J3678" t="s">
        <v>47128</v>
      </c>
      <c r="K3678" t="s">
        <v>47113</v>
      </c>
      <c r="L3678">
        <v>17.760000000000002</v>
      </c>
      <c r="M3678">
        <v>43</v>
      </c>
      <c r="N3678">
        <v>0</v>
      </c>
      <c r="O3678">
        <v>43</v>
      </c>
      <c r="P3678">
        <v>0</v>
      </c>
    </row>
    <row r="3679" spans="1:16" x14ac:dyDescent="0.25">
      <c r="A3679" t="s">
        <v>26091</v>
      </c>
      <c r="B3679" t="s">
        <v>4520</v>
      </c>
      <c r="C3679" t="s">
        <v>4521</v>
      </c>
      <c r="D3679" t="str">
        <f>"4643"</f>
        <v>4643</v>
      </c>
      <c r="E3679" t="s">
        <v>205</v>
      </c>
      <c r="F3679" t="s">
        <v>1</v>
      </c>
      <c r="G3679" t="s">
        <v>16221</v>
      </c>
      <c r="H3679" t="s">
        <v>47126</v>
      </c>
      <c r="I3679" t="s">
        <v>47127</v>
      </c>
      <c r="J3679" t="s">
        <v>47128</v>
      </c>
      <c r="K3679" t="s">
        <v>47113</v>
      </c>
      <c r="L3679">
        <v>17.760000000000002</v>
      </c>
      <c r="M3679">
        <v>43</v>
      </c>
      <c r="N3679">
        <v>0</v>
      </c>
      <c r="O3679">
        <v>43</v>
      </c>
      <c r="P3679">
        <v>0</v>
      </c>
    </row>
    <row r="3680" spans="1:16" x14ac:dyDescent="0.25">
      <c r="A3680" t="s">
        <v>26092</v>
      </c>
      <c r="B3680" t="s">
        <v>4520</v>
      </c>
      <c r="C3680" t="s">
        <v>4521</v>
      </c>
      <c r="D3680" t="str">
        <f>"4729"</f>
        <v>4729</v>
      </c>
      <c r="E3680" t="s">
        <v>2222</v>
      </c>
      <c r="F3680" t="s">
        <v>1</v>
      </c>
      <c r="G3680" t="s">
        <v>16221</v>
      </c>
      <c r="H3680" t="s">
        <v>47126</v>
      </c>
      <c r="I3680" t="s">
        <v>47127</v>
      </c>
      <c r="J3680" t="s">
        <v>47128</v>
      </c>
      <c r="K3680" t="s">
        <v>47113</v>
      </c>
      <c r="L3680">
        <v>17.760000000000002</v>
      </c>
      <c r="M3680">
        <v>43</v>
      </c>
      <c r="N3680">
        <v>0</v>
      </c>
      <c r="O3680">
        <v>43</v>
      </c>
      <c r="P3680">
        <v>0</v>
      </c>
    </row>
    <row r="3681" spans="1:16" x14ac:dyDescent="0.25">
      <c r="A3681" t="s">
        <v>26093</v>
      </c>
      <c r="B3681" t="s">
        <v>4520</v>
      </c>
      <c r="C3681" t="s">
        <v>4521</v>
      </c>
      <c r="D3681" t="str">
        <f>"6276"</f>
        <v>6276</v>
      </c>
      <c r="E3681" t="s">
        <v>3867</v>
      </c>
      <c r="F3681" t="s">
        <v>1</v>
      </c>
      <c r="G3681" t="s">
        <v>16221</v>
      </c>
      <c r="H3681" t="s">
        <v>47126</v>
      </c>
      <c r="I3681" t="s">
        <v>47127</v>
      </c>
      <c r="J3681" t="s">
        <v>47128</v>
      </c>
      <c r="K3681" t="s">
        <v>47113</v>
      </c>
      <c r="L3681">
        <v>17.760000000000002</v>
      </c>
      <c r="M3681">
        <v>43</v>
      </c>
      <c r="N3681">
        <v>0</v>
      </c>
      <c r="O3681">
        <v>43</v>
      </c>
      <c r="P3681">
        <v>0</v>
      </c>
    </row>
    <row r="3682" spans="1:16" x14ac:dyDescent="0.25">
      <c r="A3682" t="s">
        <v>26094</v>
      </c>
      <c r="B3682" t="s">
        <v>4522</v>
      </c>
      <c r="C3682" t="s">
        <v>4523</v>
      </c>
      <c r="D3682" t="str">
        <f>"1001"</f>
        <v>1001</v>
      </c>
      <c r="E3682" t="s">
        <v>42</v>
      </c>
      <c r="F3682" t="s">
        <v>1</v>
      </c>
      <c r="G3682" t="s">
        <v>16221</v>
      </c>
      <c r="H3682" t="s">
        <v>47126</v>
      </c>
      <c r="I3682" t="s">
        <v>47127</v>
      </c>
      <c r="J3682" t="s">
        <v>47128</v>
      </c>
      <c r="K3682" t="s">
        <v>47113</v>
      </c>
      <c r="L3682">
        <v>12.69</v>
      </c>
      <c r="M3682">
        <v>31</v>
      </c>
      <c r="N3682">
        <v>0</v>
      </c>
      <c r="O3682">
        <v>31</v>
      </c>
      <c r="P3682">
        <v>0</v>
      </c>
    </row>
    <row r="3683" spans="1:16" x14ac:dyDescent="0.25">
      <c r="A3683" t="s">
        <v>26095</v>
      </c>
      <c r="B3683" t="s">
        <v>4522</v>
      </c>
      <c r="C3683" t="s">
        <v>4523</v>
      </c>
      <c r="D3683" t="str">
        <f>"1377"</f>
        <v>1377</v>
      </c>
      <c r="E3683" t="s">
        <v>74</v>
      </c>
      <c r="F3683" t="s">
        <v>1</v>
      </c>
      <c r="G3683" t="s">
        <v>16221</v>
      </c>
      <c r="H3683" t="s">
        <v>47126</v>
      </c>
      <c r="I3683" t="s">
        <v>47127</v>
      </c>
      <c r="J3683" t="s">
        <v>47128</v>
      </c>
      <c r="K3683" t="s">
        <v>47113</v>
      </c>
      <c r="L3683">
        <v>12.69</v>
      </c>
      <c r="M3683">
        <v>31</v>
      </c>
      <c r="N3683">
        <v>0</v>
      </c>
      <c r="O3683">
        <v>31</v>
      </c>
      <c r="P3683">
        <v>0</v>
      </c>
    </row>
    <row r="3684" spans="1:16" x14ac:dyDescent="0.25">
      <c r="A3684" t="s">
        <v>26096</v>
      </c>
      <c r="B3684" t="s">
        <v>4522</v>
      </c>
      <c r="C3684" t="s">
        <v>4523</v>
      </c>
      <c r="D3684" t="str">
        <f>"1378"</f>
        <v>1378</v>
      </c>
      <c r="E3684" t="s">
        <v>388</v>
      </c>
      <c r="F3684" t="s">
        <v>1</v>
      </c>
      <c r="G3684" t="s">
        <v>16221</v>
      </c>
      <c r="H3684" t="s">
        <v>47126</v>
      </c>
      <c r="I3684" t="s">
        <v>47127</v>
      </c>
      <c r="J3684" t="s">
        <v>47128</v>
      </c>
      <c r="K3684" t="s">
        <v>47113</v>
      </c>
      <c r="L3684">
        <v>12.69</v>
      </c>
      <c r="M3684">
        <v>31</v>
      </c>
      <c r="N3684">
        <v>0</v>
      </c>
      <c r="O3684">
        <v>31</v>
      </c>
      <c r="P3684">
        <v>0</v>
      </c>
    </row>
    <row r="3685" spans="1:16" x14ac:dyDescent="0.25">
      <c r="A3685" t="s">
        <v>26097</v>
      </c>
      <c r="B3685" t="s">
        <v>4522</v>
      </c>
      <c r="C3685" t="s">
        <v>4523</v>
      </c>
      <c r="D3685" t="str">
        <f>"1700"</f>
        <v>1700</v>
      </c>
      <c r="E3685" t="s">
        <v>60</v>
      </c>
      <c r="F3685" t="s">
        <v>1</v>
      </c>
      <c r="G3685" t="s">
        <v>16221</v>
      </c>
      <c r="H3685" t="s">
        <v>47126</v>
      </c>
      <c r="I3685" t="s">
        <v>47127</v>
      </c>
      <c r="J3685" t="s">
        <v>47128</v>
      </c>
      <c r="K3685" t="s">
        <v>47113</v>
      </c>
      <c r="L3685">
        <v>12.69</v>
      </c>
      <c r="M3685">
        <v>31</v>
      </c>
      <c r="N3685">
        <v>0</v>
      </c>
      <c r="O3685">
        <v>31</v>
      </c>
      <c r="P3685">
        <v>0</v>
      </c>
    </row>
    <row r="3686" spans="1:16" x14ac:dyDescent="0.25">
      <c r="A3686" t="s">
        <v>26098</v>
      </c>
      <c r="B3686" t="s">
        <v>4522</v>
      </c>
      <c r="C3686" t="s">
        <v>4523</v>
      </c>
      <c r="D3686" t="str">
        <f>"3489"</f>
        <v>3489</v>
      </c>
      <c r="E3686" t="s">
        <v>2221</v>
      </c>
      <c r="F3686" t="s">
        <v>1</v>
      </c>
      <c r="G3686" t="s">
        <v>16221</v>
      </c>
      <c r="H3686" t="s">
        <v>47126</v>
      </c>
      <c r="I3686" t="s">
        <v>47127</v>
      </c>
      <c r="J3686" t="s">
        <v>47128</v>
      </c>
      <c r="K3686" t="s">
        <v>47113</v>
      </c>
      <c r="L3686">
        <v>12.69</v>
      </c>
      <c r="M3686">
        <v>31</v>
      </c>
      <c r="N3686">
        <v>0</v>
      </c>
      <c r="O3686">
        <v>31</v>
      </c>
      <c r="P3686">
        <v>0</v>
      </c>
    </row>
    <row r="3687" spans="1:16" x14ac:dyDescent="0.25">
      <c r="A3687" t="s">
        <v>26099</v>
      </c>
      <c r="B3687" t="s">
        <v>4522</v>
      </c>
      <c r="C3687" t="s">
        <v>4523</v>
      </c>
      <c r="D3687" t="str">
        <f>"4643"</f>
        <v>4643</v>
      </c>
      <c r="E3687" t="s">
        <v>205</v>
      </c>
      <c r="F3687" t="s">
        <v>1</v>
      </c>
      <c r="G3687" t="s">
        <v>16221</v>
      </c>
      <c r="H3687" t="s">
        <v>47126</v>
      </c>
      <c r="I3687" t="s">
        <v>47127</v>
      </c>
      <c r="J3687" t="s">
        <v>47128</v>
      </c>
      <c r="K3687" t="s">
        <v>47113</v>
      </c>
      <c r="L3687">
        <v>12.69</v>
      </c>
      <c r="M3687">
        <v>31</v>
      </c>
      <c r="N3687">
        <v>0</v>
      </c>
      <c r="O3687">
        <v>31</v>
      </c>
      <c r="P3687">
        <v>0</v>
      </c>
    </row>
    <row r="3688" spans="1:16" x14ac:dyDescent="0.25">
      <c r="A3688" t="s">
        <v>26100</v>
      </c>
      <c r="B3688" t="s">
        <v>4522</v>
      </c>
      <c r="C3688" t="s">
        <v>4523</v>
      </c>
      <c r="D3688" t="str">
        <f>"4729"</f>
        <v>4729</v>
      </c>
      <c r="E3688" t="s">
        <v>2222</v>
      </c>
      <c r="F3688" t="s">
        <v>1</v>
      </c>
      <c r="G3688" t="s">
        <v>16221</v>
      </c>
      <c r="H3688" t="s">
        <v>47126</v>
      </c>
      <c r="I3688" t="s">
        <v>47127</v>
      </c>
      <c r="J3688" t="s">
        <v>47128</v>
      </c>
      <c r="K3688" t="s">
        <v>47113</v>
      </c>
      <c r="L3688">
        <v>12.69</v>
      </c>
      <c r="M3688">
        <v>31</v>
      </c>
      <c r="N3688">
        <v>0</v>
      </c>
      <c r="O3688">
        <v>31</v>
      </c>
      <c r="P3688">
        <v>0</v>
      </c>
    </row>
    <row r="3689" spans="1:16" x14ac:dyDescent="0.25">
      <c r="A3689" t="s">
        <v>26101</v>
      </c>
      <c r="B3689" t="s">
        <v>4522</v>
      </c>
      <c r="C3689" t="s">
        <v>4523</v>
      </c>
      <c r="D3689" t="str">
        <f>"6276"</f>
        <v>6276</v>
      </c>
      <c r="E3689" t="s">
        <v>3867</v>
      </c>
      <c r="F3689" t="s">
        <v>1</v>
      </c>
      <c r="G3689" t="s">
        <v>16221</v>
      </c>
      <c r="H3689" t="s">
        <v>47126</v>
      </c>
      <c r="I3689" t="s">
        <v>47127</v>
      </c>
      <c r="J3689" t="s">
        <v>47128</v>
      </c>
      <c r="K3689" t="s">
        <v>47113</v>
      </c>
      <c r="L3689">
        <v>12.69</v>
      </c>
      <c r="M3689">
        <v>31</v>
      </c>
      <c r="N3689">
        <v>0</v>
      </c>
      <c r="O3689">
        <v>31</v>
      </c>
      <c r="P3689">
        <v>0</v>
      </c>
    </row>
    <row r="3690" spans="1:16" x14ac:dyDescent="0.25">
      <c r="A3690" t="s">
        <v>26102</v>
      </c>
      <c r="B3690" t="s">
        <v>4524</v>
      </c>
      <c r="C3690" t="s">
        <v>1232</v>
      </c>
      <c r="D3690" t="str">
        <f>"1001"</f>
        <v>1001</v>
      </c>
      <c r="E3690" t="s">
        <v>42</v>
      </c>
      <c r="F3690" t="s">
        <v>1</v>
      </c>
      <c r="G3690" t="s">
        <v>16221</v>
      </c>
      <c r="H3690" t="s">
        <v>47126</v>
      </c>
      <c r="I3690" t="s">
        <v>47127</v>
      </c>
      <c r="J3690" t="s">
        <v>47128</v>
      </c>
      <c r="K3690" t="s">
        <v>47113</v>
      </c>
      <c r="L3690">
        <v>13.17</v>
      </c>
      <c r="M3690">
        <v>32</v>
      </c>
      <c r="N3690">
        <v>0</v>
      </c>
      <c r="O3690">
        <v>32</v>
      </c>
      <c r="P3690">
        <v>0</v>
      </c>
    </row>
    <row r="3691" spans="1:16" x14ac:dyDescent="0.25">
      <c r="A3691" t="s">
        <v>26103</v>
      </c>
      <c r="B3691" t="s">
        <v>4524</v>
      </c>
      <c r="C3691" t="s">
        <v>1232</v>
      </c>
      <c r="D3691" t="str">
        <f>"1377"</f>
        <v>1377</v>
      </c>
      <c r="E3691" t="s">
        <v>74</v>
      </c>
      <c r="F3691" t="s">
        <v>1</v>
      </c>
      <c r="G3691" t="s">
        <v>16221</v>
      </c>
      <c r="H3691" t="s">
        <v>47126</v>
      </c>
      <c r="I3691" t="s">
        <v>47127</v>
      </c>
      <c r="J3691" t="s">
        <v>47128</v>
      </c>
      <c r="K3691" t="s">
        <v>47113</v>
      </c>
      <c r="L3691">
        <v>13.17</v>
      </c>
      <c r="M3691">
        <v>32</v>
      </c>
      <c r="N3691">
        <v>0</v>
      </c>
      <c r="O3691">
        <v>32</v>
      </c>
      <c r="P3691">
        <v>0</v>
      </c>
    </row>
    <row r="3692" spans="1:16" x14ac:dyDescent="0.25">
      <c r="A3692" t="s">
        <v>26104</v>
      </c>
      <c r="B3692" t="s">
        <v>4524</v>
      </c>
      <c r="C3692" t="s">
        <v>1232</v>
      </c>
      <c r="D3692" t="str">
        <f>"1378"</f>
        <v>1378</v>
      </c>
      <c r="E3692" t="s">
        <v>388</v>
      </c>
      <c r="F3692" t="s">
        <v>1</v>
      </c>
      <c r="G3692" t="s">
        <v>16221</v>
      </c>
      <c r="H3692" t="s">
        <v>47126</v>
      </c>
      <c r="I3692" t="s">
        <v>47127</v>
      </c>
      <c r="J3692" t="s">
        <v>47128</v>
      </c>
      <c r="K3692" t="s">
        <v>47113</v>
      </c>
      <c r="L3692">
        <v>13.17</v>
      </c>
      <c r="M3692">
        <v>32</v>
      </c>
      <c r="N3692">
        <v>0</v>
      </c>
      <c r="O3692">
        <v>32</v>
      </c>
      <c r="P3692">
        <v>0</v>
      </c>
    </row>
    <row r="3693" spans="1:16" x14ac:dyDescent="0.25">
      <c r="A3693" t="s">
        <v>26105</v>
      </c>
      <c r="B3693" t="s">
        <v>4524</v>
      </c>
      <c r="C3693" t="s">
        <v>1232</v>
      </c>
      <c r="D3693" t="str">
        <f>"1700"</f>
        <v>1700</v>
      </c>
      <c r="E3693" t="s">
        <v>60</v>
      </c>
      <c r="F3693" t="s">
        <v>1</v>
      </c>
      <c r="G3693" t="s">
        <v>16221</v>
      </c>
      <c r="H3693" t="s">
        <v>47126</v>
      </c>
      <c r="I3693" t="s">
        <v>47127</v>
      </c>
      <c r="J3693" t="s">
        <v>47128</v>
      </c>
      <c r="K3693" t="s">
        <v>47113</v>
      </c>
      <c r="L3693">
        <v>13.17</v>
      </c>
      <c r="M3693">
        <v>32</v>
      </c>
      <c r="N3693">
        <v>0</v>
      </c>
      <c r="O3693">
        <v>32</v>
      </c>
      <c r="P3693">
        <v>0</v>
      </c>
    </row>
    <row r="3694" spans="1:16" x14ac:dyDescent="0.25">
      <c r="A3694" t="s">
        <v>26106</v>
      </c>
      <c r="B3694" t="s">
        <v>4524</v>
      </c>
      <c r="C3694" t="s">
        <v>1232</v>
      </c>
      <c r="D3694" t="str">
        <f>"3489"</f>
        <v>3489</v>
      </c>
      <c r="E3694" t="s">
        <v>2221</v>
      </c>
      <c r="F3694" t="s">
        <v>1</v>
      </c>
      <c r="G3694" t="s">
        <v>16221</v>
      </c>
      <c r="H3694" t="s">
        <v>47126</v>
      </c>
      <c r="I3694" t="s">
        <v>47127</v>
      </c>
      <c r="J3694" t="s">
        <v>47128</v>
      </c>
      <c r="K3694" t="s">
        <v>47113</v>
      </c>
      <c r="L3694">
        <v>13.17</v>
      </c>
      <c r="M3694">
        <v>32</v>
      </c>
      <c r="N3694">
        <v>0</v>
      </c>
      <c r="O3694">
        <v>32</v>
      </c>
      <c r="P3694">
        <v>0</v>
      </c>
    </row>
    <row r="3695" spans="1:16" x14ac:dyDescent="0.25">
      <c r="A3695" t="s">
        <v>26107</v>
      </c>
      <c r="B3695" t="s">
        <v>4524</v>
      </c>
      <c r="C3695" t="s">
        <v>1232</v>
      </c>
      <c r="D3695" t="str">
        <f>"4643"</f>
        <v>4643</v>
      </c>
      <c r="E3695" t="s">
        <v>205</v>
      </c>
      <c r="F3695" t="s">
        <v>1</v>
      </c>
      <c r="G3695" t="s">
        <v>16221</v>
      </c>
      <c r="H3695" t="s">
        <v>47126</v>
      </c>
      <c r="I3695" t="s">
        <v>47127</v>
      </c>
      <c r="J3695" t="s">
        <v>47128</v>
      </c>
      <c r="K3695" t="s">
        <v>47113</v>
      </c>
      <c r="L3695">
        <v>13.17</v>
      </c>
      <c r="M3695">
        <v>32</v>
      </c>
      <c r="N3695">
        <v>0</v>
      </c>
      <c r="O3695">
        <v>32</v>
      </c>
      <c r="P3695">
        <v>0</v>
      </c>
    </row>
    <row r="3696" spans="1:16" x14ac:dyDescent="0.25">
      <c r="A3696" t="s">
        <v>26108</v>
      </c>
      <c r="B3696" t="s">
        <v>4524</v>
      </c>
      <c r="C3696" t="s">
        <v>1232</v>
      </c>
      <c r="D3696" t="str">
        <f>"4729"</f>
        <v>4729</v>
      </c>
      <c r="E3696" t="s">
        <v>2222</v>
      </c>
      <c r="F3696" t="s">
        <v>1</v>
      </c>
      <c r="G3696" t="s">
        <v>16221</v>
      </c>
      <c r="H3696" t="s">
        <v>47126</v>
      </c>
      <c r="I3696" t="s">
        <v>47127</v>
      </c>
      <c r="J3696" t="s">
        <v>47128</v>
      </c>
      <c r="K3696" t="s">
        <v>47113</v>
      </c>
      <c r="L3696">
        <v>13.17</v>
      </c>
      <c r="M3696">
        <v>32</v>
      </c>
      <c r="N3696">
        <v>0</v>
      </c>
      <c r="O3696">
        <v>32</v>
      </c>
      <c r="P3696">
        <v>0</v>
      </c>
    </row>
    <row r="3697" spans="1:16" x14ac:dyDescent="0.25">
      <c r="A3697" t="s">
        <v>26109</v>
      </c>
      <c r="B3697" t="s">
        <v>4524</v>
      </c>
      <c r="C3697" t="s">
        <v>1232</v>
      </c>
      <c r="D3697" t="str">
        <f>"6276"</f>
        <v>6276</v>
      </c>
      <c r="E3697" t="s">
        <v>3867</v>
      </c>
      <c r="F3697" t="s">
        <v>1</v>
      </c>
      <c r="G3697" t="s">
        <v>16221</v>
      </c>
      <c r="H3697" t="s">
        <v>47126</v>
      </c>
      <c r="I3697" t="s">
        <v>47127</v>
      </c>
      <c r="J3697" t="s">
        <v>47128</v>
      </c>
      <c r="K3697" t="s">
        <v>47113</v>
      </c>
      <c r="L3697">
        <v>13.17</v>
      </c>
      <c r="M3697">
        <v>32</v>
      </c>
      <c r="N3697">
        <v>0</v>
      </c>
      <c r="O3697">
        <v>32</v>
      </c>
      <c r="P3697">
        <v>0</v>
      </c>
    </row>
    <row r="3698" spans="1:16" x14ac:dyDescent="0.25">
      <c r="A3698" t="s">
        <v>26110</v>
      </c>
      <c r="B3698" t="s">
        <v>4525</v>
      </c>
      <c r="C3698" t="s">
        <v>4526</v>
      </c>
      <c r="D3698" t="str">
        <f>"1001"</f>
        <v>1001</v>
      </c>
      <c r="E3698" t="s">
        <v>42</v>
      </c>
      <c r="F3698" t="s">
        <v>1</v>
      </c>
      <c r="G3698" t="s">
        <v>16221</v>
      </c>
      <c r="H3698" t="s">
        <v>47126</v>
      </c>
      <c r="I3698" t="s">
        <v>47127</v>
      </c>
      <c r="J3698" t="s">
        <v>47128</v>
      </c>
      <c r="K3698" t="s">
        <v>47113</v>
      </c>
      <c r="L3698">
        <v>13.17</v>
      </c>
      <c r="M3698">
        <v>32</v>
      </c>
      <c r="N3698">
        <v>0</v>
      </c>
      <c r="O3698">
        <v>32</v>
      </c>
      <c r="P3698">
        <v>0</v>
      </c>
    </row>
    <row r="3699" spans="1:16" x14ac:dyDescent="0.25">
      <c r="A3699" t="s">
        <v>26111</v>
      </c>
      <c r="B3699" t="s">
        <v>4525</v>
      </c>
      <c r="C3699" t="s">
        <v>4526</v>
      </c>
      <c r="D3699" t="str">
        <f>"1377"</f>
        <v>1377</v>
      </c>
      <c r="E3699" t="s">
        <v>74</v>
      </c>
      <c r="F3699" t="s">
        <v>1</v>
      </c>
      <c r="G3699" t="s">
        <v>16221</v>
      </c>
      <c r="H3699" t="s">
        <v>47126</v>
      </c>
      <c r="I3699" t="s">
        <v>47127</v>
      </c>
      <c r="J3699" t="s">
        <v>47128</v>
      </c>
      <c r="K3699" t="s">
        <v>47113</v>
      </c>
      <c r="L3699">
        <v>13.17</v>
      </c>
      <c r="M3699">
        <v>32</v>
      </c>
      <c r="N3699">
        <v>0</v>
      </c>
      <c r="O3699">
        <v>32</v>
      </c>
      <c r="P3699">
        <v>0</v>
      </c>
    </row>
    <row r="3700" spans="1:16" x14ac:dyDescent="0.25">
      <c r="A3700" t="s">
        <v>26112</v>
      </c>
      <c r="B3700" t="s">
        <v>4525</v>
      </c>
      <c r="C3700" t="s">
        <v>4526</v>
      </c>
      <c r="D3700" t="str">
        <f>"1378"</f>
        <v>1378</v>
      </c>
      <c r="E3700" t="s">
        <v>388</v>
      </c>
      <c r="F3700" t="s">
        <v>1</v>
      </c>
      <c r="G3700" t="s">
        <v>16221</v>
      </c>
      <c r="H3700" t="s">
        <v>47126</v>
      </c>
      <c r="I3700" t="s">
        <v>47127</v>
      </c>
      <c r="J3700" t="s">
        <v>47128</v>
      </c>
      <c r="K3700" t="s">
        <v>47113</v>
      </c>
      <c r="L3700">
        <v>13.17</v>
      </c>
      <c r="M3700">
        <v>32</v>
      </c>
      <c r="N3700">
        <v>0</v>
      </c>
      <c r="O3700">
        <v>32</v>
      </c>
      <c r="P3700">
        <v>0</v>
      </c>
    </row>
    <row r="3701" spans="1:16" x14ac:dyDescent="0.25">
      <c r="A3701" t="s">
        <v>26113</v>
      </c>
      <c r="B3701" t="s">
        <v>4525</v>
      </c>
      <c r="C3701" t="s">
        <v>4526</v>
      </c>
      <c r="D3701" t="str">
        <f>"1700"</f>
        <v>1700</v>
      </c>
      <c r="E3701" t="s">
        <v>60</v>
      </c>
      <c r="F3701" t="s">
        <v>1</v>
      </c>
      <c r="G3701" t="s">
        <v>16221</v>
      </c>
      <c r="H3701" t="s">
        <v>47126</v>
      </c>
      <c r="I3701" t="s">
        <v>47127</v>
      </c>
      <c r="J3701" t="s">
        <v>47128</v>
      </c>
      <c r="K3701" t="s">
        <v>47113</v>
      </c>
      <c r="L3701">
        <v>13.17</v>
      </c>
      <c r="M3701">
        <v>32</v>
      </c>
      <c r="N3701">
        <v>0</v>
      </c>
      <c r="O3701">
        <v>32</v>
      </c>
      <c r="P3701">
        <v>0</v>
      </c>
    </row>
    <row r="3702" spans="1:16" x14ac:dyDescent="0.25">
      <c r="A3702" t="s">
        <v>26114</v>
      </c>
      <c r="B3702" t="s">
        <v>4525</v>
      </c>
      <c r="C3702" t="s">
        <v>4526</v>
      </c>
      <c r="D3702" t="str">
        <f>"3489"</f>
        <v>3489</v>
      </c>
      <c r="E3702" t="s">
        <v>2221</v>
      </c>
      <c r="F3702" t="s">
        <v>1</v>
      </c>
      <c r="G3702" t="s">
        <v>16221</v>
      </c>
      <c r="H3702" t="s">
        <v>47126</v>
      </c>
      <c r="I3702" t="s">
        <v>47127</v>
      </c>
      <c r="J3702" t="s">
        <v>47128</v>
      </c>
      <c r="K3702" t="s">
        <v>47113</v>
      </c>
      <c r="L3702">
        <v>13.17</v>
      </c>
      <c r="M3702">
        <v>32</v>
      </c>
      <c r="N3702">
        <v>0</v>
      </c>
      <c r="O3702">
        <v>32</v>
      </c>
      <c r="P3702">
        <v>0</v>
      </c>
    </row>
    <row r="3703" spans="1:16" x14ac:dyDescent="0.25">
      <c r="A3703" t="s">
        <v>26115</v>
      </c>
      <c r="B3703" t="s">
        <v>4525</v>
      </c>
      <c r="C3703" t="s">
        <v>4526</v>
      </c>
      <c r="D3703" t="str">
        <f>"4643"</f>
        <v>4643</v>
      </c>
      <c r="E3703" t="s">
        <v>205</v>
      </c>
      <c r="F3703" t="s">
        <v>1</v>
      </c>
      <c r="G3703" t="s">
        <v>16221</v>
      </c>
      <c r="H3703" t="s">
        <v>47126</v>
      </c>
      <c r="I3703" t="s">
        <v>47127</v>
      </c>
      <c r="J3703" t="s">
        <v>47128</v>
      </c>
      <c r="K3703" t="s">
        <v>47113</v>
      </c>
      <c r="L3703">
        <v>13.17</v>
      </c>
      <c r="M3703">
        <v>32</v>
      </c>
      <c r="N3703">
        <v>0</v>
      </c>
      <c r="O3703">
        <v>32</v>
      </c>
      <c r="P3703">
        <v>0</v>
      </c>
    </row>
    <row r="3704" spans="1:16" x14ac:dyDescent="0.25">
      <c r="A3704" t="s">
        <v>26116</v>
      </c>
      <c r="B3704" t="s">
        <v>4525</v>
      </c>
      <c r="C3704" t="s">
        <v>4526</v>
      </c>
      <c r="D3704" t="str">
        <f>"4729"</f>
        <v>4729</v>
      </c>
      <c r="E3704" t="s">
        <v>2222</v>
      </c>
      <c r="F3704" t="s">
        <v>1</v>
      </c>
      <c r="G3704" t="s">
        <v>16221</v>
      </c>
      <c r="H3704" t="s">
        <v>47126</v>
      </c>
      <c r="I3704" t="s">
        <v>47127</v>
      </c>
      <c r="J3704" t="s">
        <v>47128</v>
      </c>
      <c r="K3704" t="s">
        <v>47113</v>
      </c>
      <c r="L3704">
        <v>13.17</v>
      </c>
      <c r="M3704">
        <v>32</v>
      </c>
      <c r="N3704">
        <v>0</v>
      </c>
      <c r="O3704">
        <v>32</v>
      </c>
      <c r="P3704">
        <v>0</v>
      </c>
    </row>
    <row r="3705" spans="1:16" x14ac:dyDescent="0.25">
      <c r="A3705" t="s">
        <v>26117</v>
      </c>
      <c r="B3705" t="s">
        <v>4525</v>
      </c>
      <c r="C3705" t="s">
        <v>4526</v>
      </c>
      <c r="D3705" t="str">
        <f>"6276"</f>
        <v>6276</v>
      </c>
      <c r="E3705" t="s">
        <v>3867</v>
      </c>
      <c r="F3705" t="s">
        <v>1</v>
      </c>
      <c r="G3705" t="s">
        <v>16221</v>
      </c>
      <c r="H3705" t="s">
        <v>47126</v>
      </c>
      <c r="I3705" t="s">
        <v>47127</v>
      </c>
      <c r="J3705" t="s">
        <v>47128</v>
      </c>
      <c r="K3705" t="s">
        <v>47113</v>
      </c>
      <c r="L3705">
        <v>13.17</v>
      </c>
      <c r="M3705">
        <v>32</v>
      </c>
      <c r="N3705">
        <v>0</v>
      </c>
      <c r="O3705">
        <v>32</v>
      </c>
      <c r="P3705">
        <v>0</v>
      </c>
    </row>
    <row r="3706" spans="1:16" x14ac:dyDescent="0.25">
      <c r="A3706" t="s">
        <v>26118</v>
      </c>
      <c r="B3706" t="s">
        <v>4527</v>
      </c>
      <c r="C3706" t="s">
        <v>4528</v>
      </c>
      <c r="D3706" t="str">
        <f>"1001"</f>
        <v>1001</v>
      </c>
      <c r="E3706" t="s">
        <v>42</v>
      </c>
      <c r="F3706" t="s">
        <v>1</v>
      </c>
      <c r="G3706" t="s">
        <v>16221</v>
      </c>
      <c r="H3706" t="s">
        <v>47126</v>
      </c>
      <c r="I3706" t="s">
        <v>47127</v>
      </c>
      <c r="J3706" t="s">
        <v>47128</v>
      </c>
      <c r="K3706" t="s">
        <v>47113</v>
      </c>
      <c r="L3706">
        <v>13.17</v>
      </c>
      <c r="M3706">
        <v>32</v>
      </c>
      <c r="N3706">
        <v>0</v>
      </c>
      <c r="O3706">
        <v>32</v>
      </c>
      <c r="P3706">
        <v>0</v>
      </c>
    </row>
    <row r="3707" spans="1:16" x14ac:dyDescent="0.25">
      <c r="A3707" t="s">
        <v>26119</v>
      </c>
      <c r="B3707" t="s">
        <v>4527</v>
      </c>
      <c r="C3707" t="s">
        <v>4528</v>
      </c>
      <c r="D3707" t="str">
        <f>"1377"</f>
        <v>1377</v>
      </c>
      <c r="E3707" t="s">
        <v>74</v>
      </c>
      <c r="F3707" t="s">
        <v>1</v>
      </c>
      <c r="G3707" t="s">
        <v>16221</v>
      </c>
      <c r="H3707" t="s">
        <v>47126</v>
      </c>
      <c r="I3707" t="s">
        <v>47127</v>
      </c>
      <c r="J3707" t="s">
        <v>47128</v>
      </c>
      <c r="K3707" t="s">
        <v>47113</v>
      </c>
      <c r="L3707">
        <v>13.17</v>
      </c>
      <c r="M3707">
        <v>32</v>
      </c>
      <c r="N3707">
        <v>0</v>
      </c>
      <c r="O3707">
        <v>32</v>
      </c>
      <c r="P3707">
        <v>0</v>
      </c>
    </row>
    <row r="3708" spans="1:16" x14ac:dyDescent="0.25">
      <c r="A3708" t="s">
        <v>26120</v>
      </c>
      <c r="B3708" t="s">
        <v>4527</v>
      </c>
      <c r="C3708" t="s">
        <v>4528</v>
      </c>
      <c r="D3708" t="str">
        <f>"1378"</f>
        <v>1378</v>
      </c>
      <c r="E3708" t="s">
        <v>388</v>
      </c>
      <c r="F3708" t="s">
        <v>1</v>
      </c>
      <c r="G3708" t="s">
        <v>16221</v>
      </c>
      <c r="H3708" t="s">
        <v>47126</v>
      </c>
      <c r="I3708" t="s">
        <v>47127</v>
      </c>
      <c r="J3708" t="s">
        <v>47128</v>
      </c>
      <c r="K3708" t="s">
        <v>47113</v>
      </c>
      <c r="L3708">
        <v>13.17</v>
      </c>
      <c r="M3708">
        <v>32</v>
      </c>
      <c r="N3708">
        <v>0</v>
      </c>
      <c r="O3708">
        <v>32</v>
      </c>
      <c r="P3708">
        <v>0</v>
      </c>
    </row>
    <row r="3709" spans="1:16" x14ac:dyDescent="0.25">
      <c r="A3709" t="s">
        <v>26121</v>
      </c>
      <c r="B3709" t="s">
        <v>4527</v>
      </c>
      <c r="C3709" t="s">
        <v>4528</v>
      </c>
      <c r="D3709" t="str">
        <f>"1700"</f>
        <v>1700</v>
      </c>
      <c r="E3709" t="s">
        <v>60</v>
      </c>
      <c r="F3709" t="s">
        <v>1</v>
      </c>
      <c r="G3709" t="s">
        <v>16221</v>
      </c>
      <c r="H3709" t="s">
        <v>47126</v>
      </c>
      <c r="I3709" t="s">
        <v>47127</v>
      </c>
      <c r="J3709" t="s">
        <v>47128</v>
      </c>
      <c r="K3709" t="s">
        <v>47113</v>
      </c>
      <c r="L3709">
        <v>13.17</v>
      </c>
      <c r="M3709">
        <v>32</v>
      </c>
      <c r="N3709">
        <v>0</v>
      </c>
      <c r="O3709">
        <v>32</v>
      </c>
      <c r="P3709">
        <v>0</v>
      </c>
    </row>
    <row r="3710" spans="1:16" x14ac:dyDescent="0.25">
      <c r="A3710" t="s">
        <v>26122</v>
      </c>
      <c r="B3710" t="s">
        <v>4527</v>
      </c>
      <c r="C3710" t="s">
        <v>4528</v>
      </c>
      <c r="D3710" t="str">
        <f>"1991"</f>
        <v>1991</v>
      </c>
      <c r="E3710" t="s">
        <v>4529</v>
      </c>
      <c r="F3710" t="s">
        <v>1</v>
      </c>
      <c r="G3710" t="s">
        <v>16221</v>
      </c>
      <c r="H3710" t="s">
        <v>47126</v>
      </c>
      <c r="I3710" t="s">
        <v>47127</v>
      </c>
      <c r="J3710" t="s">
        <v>47128</v>
      </c>
      <c r="K3710" t="s">
        <v>47113</v>
      </c>
      <c r="L3710">
        <v>13.17</v>
      </c>
      <c r="M3710">
        <v>32</v>
      </c>
      <c r="N3710">
        <v>0</v>
      </c>
      <c r="O3710">
        <v>32</v>
      </c>
      <c r="P3710">
        <v>0</v>
      </c>
    </row>
    <row r="3711" spans="1:16" x14ac:dyDescent="0.25">
      <c r="A3711" t="s">
        <v>26123</v>
      </c>
      <c r="B3711" t="s">
        <v>4527</v>
      </c>
      <c r="C3711" t="s">
        <v>4528</v>
      </c>
      <c r="D3711" t="str">
        <f>"3489"</f>
        <v>3489</v>
      </c>
      <c r="E3711" t="s">
        <v>2221</v>
      </c>
      <c r="F3711" t="s">
        <v>1</v>
      </c>
      <c r="G3711" t="s">
        <v>16221</v>
      </c>
      <c r="H3711" t="s">
        <v>47126</v>
      </c>
      <c r="I3711" t="s">
        <v>47127</v>
      </c>
      <c r="J3711" t="s">
        <v>47128</v>
      </c>
      <c r="K3711" t="s">
        <v>47113</v>
      </c>
      <c r="L3711">
        <v>13.17</v>
      </c>
      <c r="M3711">
        <v>32</v>
      </c>
      <c r="N3711">
        <v>0</v>
      </c>
      <c r="O3711">
        <v>32</v>
      </c>
      <c r="P3711">
        <v>0</v>
      </c>
    </row>
    <row r="3712" spans="1:16" x14ac:dyDescent="0.25">
      <c r="A3712" t="s">
        <v>26124</v>
      </c>
      <c r="B3712" t="s">
        <v>4527</v>
      </c>
      <c r="C3712" t="s">
        <v>4528</v>
      </c>
      <c r="D3712" t="str">
        <f>"4643"</f>
        <v>4643</v>
      </c>
      <c r="E3712" t="s">
        <v>205</v>
      </c>
      <c r="F3712" t="s">
        <v>1</v>
      </c>
      <c r="G3712" t="s">
        <v>16221</v>
      </c>
      <c r="H3712" t="s">
        <v>47126</v>
      </c>
      <c r="I3712" t="s">
        <v>47127</v>
      </c>
      <c r="J3712" t="s">
        <v>47128</v>
      </c>
      <c r="K3712" t="s">
        <v>47113</v>
      </c>
      <c r="L3712">
        <v>13.17</v>
      </c>
      <c r="M3712">
        <v>32</v>
      </c>
      <c r="N3712">
        <v>0</v>
      </c>
      <c r="O3712">
        <v>32</v>
      </c>
      <c r="P3712">
        <v>0</v>
      </c>
    </row>
    <row r="3713" spans="1:16" x14ac:dyDescent="0.25">
      <c r="A3713" t="s">
        <v>26125</v>
      </c>
      <c r="B3713" t="s">
        <v>4527</v>
      </c>
      <c r="C3713" t="s">
        <v>4528</v>
      </c>
      <c r="D3713" t="str">
        <f>"4729"</f>
        <v>4729</v>
      </c>
      <c r="E3713" t="s">
        <v>2222</v>
      </c>
      <c r="F3713" t="s">
        <v>1</v>
      </c>
      <c r="G3713" t="s">
        <v>16221</v>
      </c>
      <c r="H3713" t="s">
        <v>47126</v>
      </c>
      <c r="I3713" t="s">
        <v>47127</v>
      </c>
      <c r="J3713" t="s">
        <v>47128</v>
      </c>
      <c r="K3713" t="s">
        <v>47113</v>
      </c>
      <c r="L3713">
        <v>13.17</v>
      </c>
      <c r="M3713">
        <v>32</v>
      </c>
      <c r="N3713">
        <v>0</v>
      </c>
      <c r="O3713">
        <v>32</v>
      </c>
      <c r="P3713">
        <v>0</v>
      </c>
    </row>
    <row r="3714" spans="1:16" x14ac:dyDescent="0.25">
      <c r="A3714" t="s">
        <v>26126</v>
      </c>
      <c r="B3714" t="s">
        <v>4527</v>
      </c>
      <c r="C3714" t="s">
        <v>4528</v>
      </c>
      <c r="D3714" t="str">
        <f>"6276"</f>
        <v>6276</v>
      </c>
      <c r="E3714" t="s">
        <v>3867</v>
      </c>
      <c r="F3714" t="s">
        <v>1</v>
      </c>
      <c r="G3714" t="s">
        <v>16221</v>
      </c>
      <c r="H3714" t="s">
        <v>47126</v>
      </c>
      <c r="I3714" t="s">
        <v>47127</v>
      </c>
      <c r="J3714" t="s">
        <v>47128</v>
      </c>
      <c r="K3714" t="s">
        <v>47113</v>
      </c>
      <c r="L3714">
        <v>13.17</v>
      </c>
      <c r="M3714">
        <v>32</v>
      </c>
      <c r="N3714">
        <v>0</v>
      </c>
      <c r="O3714">
        <v>32</v>
      </c>
      <c r="P3714">
        <v>0</v>
      </c>
    </row>
    <row r="3715" spans="1:16" x14ac:dyDescent="0.25">
      <c r="A3715" t="s">
        <v>26127</v>
      </c>
      <c r="B3715" t="s">
        <v>4530</v>
      </c>
      <c r="C3715" t="s">
        <v>4531</v>
      </c>
      <c r="D3715" t="str">
        <f>"1001"</f>
        <v>1001</v>
      </c>
      <c r="E3715" t="s">
        <v>42</v>
      </c>
      <c r="F3715" t="s">
        <v>1</v>
      </c>
      <c r="G3715" t="s">
        <v>16221</v>
      </c>
      <c r="H3715" t="s">
        <v>47126</v>
      </c>
      <c r="I3715" t="s">
        <v>47127</v>
      </c>
      <c r="J3715" t="s">
        <v>47128</v>
      </c>
      <c r="K3715" t="s">
        <v>47113</v>
      </c>
      <c r="L3715">
        <v>13.17</v>
      </c>
      <c r="M3715">
        <v>32</v>
      </c>
      <c r="N3715">
        <v>0</v>
      </c>
      <c r="O3715">
        <v>32</v>
      </c>
      <c r="P3715">
        <v>0</v>
      </c>
    </row>
    <row r="3716" spans="1:16" x14ac:dyDescent="0.25">
      <c r="A3716" t="s">
        <v>26128</v>
      </c>
      <c r="B3716" t="s">
        <v>4530</v>
      </c>
      <c r="C3716" t="s">
        <v>4531</v>
      </c>
      <c r="D3716" t="str">
        <f>"1377"</f>
        <v>1377</v>
      </c>
      <c r="E3716" t="s">
        <v>74</v>
      </c>
      <c r="F3716" t="s">
        <v>1</v>
      </c>
      <c r="G3716" t="s">
        <v>16221</v>
      </c>
      <c r="H3716" t="s">
        <v>47126</v>
      </c>
      <c r="I3716" t="s">
        <v>47127</v>
      </c>
      <c r="J3716" t="s">
        <v>47128</v>
      </c>
      <c r="K3716" t="s">
        <v>47113</v>
      </c>
      <c r="L3716">
        <v>13.17</v>
      </c>
      <c r="M3716">
        <v>32</v>
      </c>
      <c r="N3716">
        <v>0</v>
      </c>
      <c r="O3716">
        <v>32</v>
      </c>
      <c r="P3716">
        <v>0</v>
      </c>
    </row>
    <row r="3717" spans="1:16" x14ac:dyDescent="0.25">
      <c r="A3717" t="s">
        <v>26129</v>
      </c>
      <c r="B3717" t="s">
        <v>4530</v>
      </c>
      <c r="C3717" t="s">
        <v>4531</v>
      </c>
      <c r="D3717" t="str">
        <f>"1378"</f>
        <v>1378</v>
      </c>
      <c r="E3717" t="s">
        <v>388</v>
      </c>
      <c r="F3717" t="s">
        <v>1</v>
      </c>
      <c r="G3717" t="s">
        <v>16221</v>
      </c>
      <c r="H3717" t="s">
        <v>47126</v>
      </c>
      <c r="I3717" t="s">
        <v>47127</v>
      </c>
      <c r="J3717" t="s">
        <v>47128</v>
      </c>
      <c r="K3717" t="s">
        <v>47113</v>
      </c>
      <c r="L3717">
        <v>13.17</v>
      </c>
      <c r="M3717">
        <v>32</v>
      </c>
      <c r="N3717">
        <v>0</v>
      </c>
      <c r="O3717">
        <v>32</v>
      </c>
      <c r="P3717">
        <v>0</v>
      </c>
    </row>
    <row r="3718" spans="1:16" x14ac:dyDescent="0.25">
      <c r="A3718" t="s">
        <v>26130</v>
      </c>
      <c r="B3718" t="s">
        <v>4530</v>
      </c>
      <c r="C3718" t="s">
        <v>4531</v>
      </c>
      <c r="D3718" t="str">
        <f>"1700"</f>
        <v>1700</v>
      </c>
      <c r="E3718" t="s">
        <v>60</v>
      </c>
      <c r="F3718" t="s">
        <v>1</v>
      </c>
      <c r="G3718" t="s">
        <v>16221</v>
      </c>
      <c r="H3718" t="s">
        <v>47126</v>
      </c>
      <c r="I3718" t="s">
        <v>47127</v>
      </c>
      <c r="J3718" t="s">
        <v>47128</v>
      </c>
      <c r="K3718" t="s">
        <v>47113</v>
      </c>
      <c r="L3718">
        <v>13.17</v>
      </c>
      <c r="M3718">
        <v>32</v>
      </c>
      <c r="N3718">
        <v>0</v>
      </c>
      <c r="O3718">
        <v>32</v>
      </c>
      <c r="P3718">
        <v>0</v>
      </c>
    </row>
    <row r="3719" spans="1:16" x14ac:dyDescent="0.25">
      <c r="A3719" t="s">
        <v>26131</v>
      </c>
      <c r="B3719" t="s">
        <v>4530</v>
      </c>
      <c r="C3719" t="s">
        <v>4531</v>
      </c>
      <c r="D3719" t="str">
        <f>"3489"</f>
        <v>3489</v>
      </c>
      <c r="E3719" t="s">
        <v>2221</v>
      </c>
      <c r="F3719" t="s">
        <v>1</v>
      </c>
      <c r="G3719" t="s">
        <v>16221</v>
      </c>
      <c r="H3719" t="s">
        <v>47126</v>
      </c>
      <c r="I3719" t="s">
        <v>47127</v>
      </c>
      <c r="J3719" t="s">
        <v>47128</v>
      </c>
      <c r="K3719" t="s">
        <v>47113</v>
      </c>
      <c r="L3719">
        <v>13.17</v>
      </c>
      <c r="M3719">
        <v>32</v>
      </c>
      <c r="N3719">
        <v>0</v>
      </c>
      <c r="O3719">
        <v>32</v>
      </c>
      <c r="P3719">
        <v>0</v>
      </c>
    </row>
    <row r="3720" spans="1:16" x14ac:dyDescent="0.25">
      <c r="A3720" t="s">
        <v>26132</v>
      </c>
      <c r="B3720" t="s">
        <v>4530</v>
      </c>
      <c r="C3720" t="s">
        <v>4531</v>
      </c>
      <c r="D3720" t="str">
        <f>"4643"</f>
        <v>4643</v>
      </c>
      <c r="E3720" t="s">
        <v>205</v>
      </c>
      <c r="F3720" t="s">
        <v>1</v>
      </c>
      <c r="G3720" t="s">
        <v>16221</v>
      </c>
      <c r="H3720" t="s">
        <v>47126</v>
      </c>
      <c r="I3720" t="s">
        <v>47127</v>
      </c>
      <c r="J3720" t="s">
        <v>47128</v>
      </c>
      <c r="K3720" t="s">
        <v>47113</v>
      </c>
      <c r="L3720">
        <v>13.17</v>
      </c>
      <c r="M3720">
        <v>32</v>
      </c>
      <c r="N3720">
        <v>0</v>
      </c>
      <c r="O3720">
        <v>32</v>
      </c>
      <c r="P3720">
        <v>0</v>
      </c>
    </row>
    <row r="3721" spans="1:16" x14ac:dyDescent="0.25">
      <c r="A3721" t="s">
        <v>26133</v>
      </c>
      <c r="B3721" t="s">
        <v>4530</v>
      </c>
      <c r="C3721" t="s">
        <v>4531</v>
      </c>
      <c r="D3721" t="str">
        <f>"4729"</f>
        <v>4729</v>
      </c>
      <c r="E3721" t="s">
        <v>2222</v>
      </c>
      <c r="F3721" t="s">
        <v>1</v>
      </c>
      <c r="G3721" t="s">
        <v>16221</v>
      </c>
      <c r="H3721" t="s">
        <v>47126</v>
      </c>
      <c r="I3721" t="s">
        <v>47127</v>
      </c>
      <c r="J3721" t="s">
        <v>47128</v>
      </c>
      <c r="K3721" t="s">
        <v>47113</v>
      </c>
      <c r="L3721">
        <v>13.17</v>
      </c>
      <c r="M3721">
        <v>32</v>
      </c>
      <c r="N3721">
        <v>0</v>
      </c>
      <c r="O3721">
        <v>32</v>
      </c>
      <c r="P3721">
        <v>0</v>
      </c>
    </row>
    <row r="3722" spans="1:16" x14ac:dyDescent="0.25">
      <c r="A3722" t="s">
        <v>26134</v>
      </c>
      <c r="B3722" t="s">
        <v>4530</v>
      </c>
      <c r="C3722" t="s">
        <v>4531</v>
      </c>
      <c r="D3722" t="str">
        <f>"6276"</f>
        <v>6276</v>
      </c>
      <c r="E3722" t="s">
        <v>3867</v>
      </c>
      <c r="F3722" t="s">
        <v>1</v>
      </c>
      <c r="G3722" t="s">
        <v>16221</v>
      </c>
      <c r="H3722" t="s">
        <v>47126</v>
      </c>
      <c r="I3722" t="s">
        <v>47127</v>
      </c>
      <c r="J3722" t="s">
        <v>47128</v>
      </c>
      <c r="K3722" t="s">
        <v>47113</v>
      </c>
      <c r="L3722">
        <v>13.17</v>
      </c>
      <c r="M3722">
        <v>32</v>
      </c>
      <c r="N3722">
        <v>0</v>
      </c>
      <c r="O3722">
        <v>32</v>
      </c>
      <c r="P3722">
        <v>0</v>
      </c>
    </row>
    <row r="3723" spans="1:16" x14ac:dyDescent="0.25">
      <c r="A3723" t="s">
        <v>26135</v>
      </c>
      <c r="B3723" t="s">
        <v>4532</v>
      </c>
      <c r="C3723" t="s">
        <v>4533</v>
      </c>
      <c r="D3723" t="s">
        <v>437</v>
      </c>
      <c r="E3723" t="s">
        <v>438</v>
      </c>
      <c r="F3723" t="s">
        <v>1</v>
      </c>
      <c r="G3723" t="s">
        <v>16221</v>
      </c>
      <c r="H3723" t="s">
        <v>47153</v>
      </c>
      <c r="I3723" t="s">
        <v>47132</v>
      </c>
      <c r="J3723" t="s">
        <v>47133</v>
      </c>
      <c r="K3723" t="s">
        <v>47113</v>
      </c>
      <c r="L3723">
        <v>20.74</v>
      </c>
      <c r="M3723">
        <v>36</v>
      </c>
      <c r="N3723">
        <v>0</v>
      </c>
      <c r="O3723">
        <v>36</v>
      </c>
      <c r="P3723">
        <v>0</v>
      </c>
    </row>
    <row r="3724" spans="1:16" x14ac:dyDescent="0.25">
      <c r="A3724" t="s">
        <v>26136</v>
      </c>
      <c r="B3724" t="s">
        <v>4532</v>
      </c>
      <c r="C3724" t="s">
        <v>4533</v>
      </c>
      <c r="D3724" t="s">
        <v>504</v>
      </c>
      <c r="E3724" t="s">
        <v>505</v>
      </c>
      <c r="F3724" t="s">
        <v>1</v>
      </c>
      <c r="G3724" t="s">
        <v>16221</v>
      </c>
      <c r="H3724" t="s">
        <v>47153</v>
      </c>
      <c r="I3724" t="s">
        <v>47132</v>
      </c>
      <c r="J3724" t="s">
        <v>47133</v>
      </c>
      <c r="K3724" t="s">
        <v>47113</v>
      </c>
      <c r="L3724">
        <v>20.74</v>
      </c>
      <c r="M3724">
        <v>36</v>
      </c>
      <c r="N3724">
        <v>0</v>
      </c>
      <c r="O3724">
        <v>36</v>
      </c>
      <c r="P3724">
        <v>0</v>
      </c>
    </row>
    <row r="3725" spans="1:16" x14ac:dyDescent="0.25">
      <c r="A3725" t="s">
        <v>14934</v>
      </c>
      <c r="B3725" t="s">
        <v>4532</v>
      </c>
      <c r="C3725" t="s">
        <v>4533</v>
      </c>
      <c r="D3725" t="s">
        <v>434</v>
      </c>
      <c r="E3725" t="s">
        <v>435</v>
      </c>
      <c r="F3725" t="s">
        <v>1</v>
      </c>
      <c r="G3725" t="s">
        <v>16221</v>
      </c>
      <c r="H3725" t="s">
        <v>47153</v>
      </c>
      <c r="I3725" t="s">
        <v>47132</v>
      </c>
      <c r="J3725" t="s">
        <v>47133</v>
      </c>
      <c r="K3725" t="s">
        <v>47113</v>
      </c>
      <c r="L3725">
        <v>20.74</v>
      </c>
      <c r="M3725">
        <v>36</v>
      </c>
      <c r="N3725">
        <v>0</v>
      </c>
      <c r="O3725">
        <v>36</v>
      </c>
      <c r="P3725">
        <v>0</v>
      </c>
    </row>
    <row r="3726" spans="1:16" x14ac:dyDescent="0.25">
      <c r="A3726" t="s">
        <v>26137</v>
      </c>
      <c r="B3726" t="s">
        <v>4534</v>
      </c>
      <c r="C3726" t="s">
        <v>2212</v>
      </c>
      <c r="D3726" t="str">
        <f>"1001"</f>
        <v>1001</v>
      </c>
      <c r="E3726" t="s">
        <v>42</v>
      </c>
      <c r="F3726" t="s">
        <v>1</v>
      </c>
      <c r="G3726" t="s">
        <v>16221</v>
      </c>
      <c r="H3726" t="s">
        <v>47126</v>
      </c>
      <c r="I3726" t="s">
        <v>47127</v>
      </c>
      <c r="J3726" t="s">
        <v>47128</v>
      </c>
      <c r="K3726" t="s">
        <v>47113</v>
      </c>
      <c r="L3726">
        <v>13.17</v>
      </c>
      <c r="M3726">
        <v>32</v>
      </c>
      <c r="N3726">
        <v>0</v>
      </c>
      <c r="O3726">
        <v>32</v>
      </c>
      <c r="P3726">
        <v>0</v>
      </c>
    </row>
    <row r="3727" spans="1:16" x14ac:dyDescent="0.25">
      <c r="A3727" t="s">
        <v>26138</v>
      </c>
      <c r="B3727" t="s">
        <v>4534</v>
      </c>
      <c r="C3727" t="s">
        <v>2212</v>
      </c>
      <c r="D3727" t="str">
        <f>"1377"</f>
        <v>1377</v>
      </c>
      <c r="E3727" t="s">
        <v>74</v>
      </c>
      <c r="F3727" t="s">
        <v>1</v>
      </c>
      <c r="G3727" t="s">
        <v>16221</v>
      </c>
      <c r="H3727" t="s">
        <v>47126</v>
      </c>
      <c r="I3727" t="s">
        <v>47127</v>
      </c>
      <c r="J3727" t="s">
        <v>47128</v>
      </c>
      <c r="K3727" t="s">
        <v>47113</v>
      </c>
      <c r="L3727">
        <v>13.17</v>
      </c>
      <c r="M3727">
        <v>32</v>
      </c>
      <c r="N3727">
        <v>0</v>
      </c>
      <c r="O3727">
        <v>32</v>
      </c>
      <c r="P3727">
        <v>0</v>
      </c>
    </row>
    <row r="3728" spans="1:16" x14ac:dyDescent="0.25">
      <c r="A3728" t="s">
        <v>26139</v>
      </c>
      <c r="B3728" t="s">
        <v>4534</v>
      </c>
      <c r="C3728" t="s">
        <v>2212</v>
      </c>
      <c r="D3728" t="str">
        <f>"1378"</f>
        <v>1378</v>
      </c>
      <c r="E3728" t="s">
        <v>388</v>
      </c>
      <c r="F3728" t="s">
        <v>1</v>
      </c>
      <c r="G3728" t="s">
        <v>16221</v>
      </c>
      <c r="H3728" t="s">
        <v>47126</v>
      </c>
      <c r="I3728" t="s">
        <v>47127</v>
      </c>
      <c r="J3728" t="s">
        <v>47128</v>
      </c>
      <c r="K3728" t="s">
        <v>47113</v>
      </c>
      <c r="L3728">
        <v>13.17</v>
      </c>
      <c r="M3728">
        <v>32</v>
      </c>
      <c r="N3728">
        <v>0</v>
      </c>
      <c r="O3728">
        <v>32</v>
      </c>
      <c r="P3728">
        <v>0</v>
      </c>
    </row>
    <row r="3729" spans="1:16" x14ac:dyDescent="0.25">
      <c r="A3729" t="s">
        <v>26140</v>
      </c>
      <c r="B3729" t="s">
        <v>4534</v>
      </c>
      <c r="C3729" t="s">
        <v>2212</v>
      </c>
      <c r="D3729" t="str">
        <f>"1700"</f>
        <v>1700</v>
      </c>
      <c r="E3729" t="s">
        <v>60</v>
      </c>
      <c r="F3729" t="s">
        <v>1</v>
      </c>
      <c r="G3729" t="s">
        <v>16221</v>
      </c>
      <c r="H3729" t="s">
        <v>47126</v>
      </c>
      <c r="I3729" t="s">
        <v>47127</v>
      </c>
      <c r="J3729" t="s">
        <v>47128</v>
      </c>
      <c r="K3729" t="s">
        <v>47113</v>
      </c>
      <c r="L3729">
        <v>13.17</v>
      </c>
      <c r="M3729">
        <v>32</v>
      </c>
      <c r="N3729">
        <v>0</v>
      </c>
      <c r="O3729">
        <v>32</v>
      </c>
      <c r="P3729">
        <v>0</v>
      </c>
    </row>
    <row r="3730" spans="1:16" x14ac:dyDescent="0.25">
      <c r="A3730" t="s">
        <v>26141</v>
      </c>
      <c r="B3730" t="s">
        <v>4534</v>
      </c>
      <c r="C3730" t="s">
        <v>2212</v>
      </c>
      <c r="D3730" t="str">
        <f>"3489"</f>
        <v>3489</v>
      </c>
      <c r="E3730" t="s">
        <v>2221</v>
      </c>
      <c r="F3730" t="s">
        <v>1</v>
      </c>
      <c r="G3730" t="s">
        <v>16221</v>
      </c>
      <c r="H3730" t="s">
        <v>47126</v>
      </c>
      <c r="I3730" t="s">
        <v>47127</v>
      </c>
      <c r="J3730" t="s">
        <v>47128</v>
      </c>
      <c r="K3730" t="s">
        <v>47113</v>
      </c>
      <c r="L3730">
        <v>13.17</v>
      </c>
      <c r="M3730">
        <v>32</v>
      </c>
      <c r="N3730">
        <v>0</v>
      </c>
      <c r="O3730">
        <v>32</v>
      </c>
      <c r="P3730">
        <v>0</v>
      </c>
    </row>
    <row r="3731" spans="1:16" x14ac:dyDescent="0.25">
      <c r="A3731" t="s">
        <v>26142</v>
      </c>
      <c r="B3731" t="s">
        <v>4534</v>
      </c>
      <c r="C3731" t="s">
        <v>2212</v>
      </c>
      <c r="D3731" t="str">
        <f>"4643"</f>
        <v>4643</v>
      </c>
      <c r="E3731" t="s">
        <v>205</v>
      </c>
      <c r="F3731" t="s">
        <v>1</v>
      </c>
      <c r="G3731" t="s">
        <v>16221</v>
      </c>
      <c r="H3731" t="s">
        <v>47126</v>
      </c>
      <c r="I3731" t="s">
        <v>47127</v>
      </c>
      <c r="J3731" t="s">
        <v>47128</v>
      </c>
      <c r="K3731" t="s">
        <v>47113</v>
      </c>
      <c r="L3731">
        <v>13.17</v>
      </c>
      <c r="M3731">
        <v>32</v>
      </c>
      <c r="N3731">
        <v>0</v>
      </c>
      <c r="O3731">
        <v>32</v>
      </c>
      <c r="P3731">
        <v>0</v>
      </c>
    </row>
    <row r="3732" spans="1:16" x14ac:dyDescent="0.25">
      <c r="A3732" t="s">
        <v>26143</v>
      </c>
      <c r="B3732" t="s">
        <v>4534</v>
      </c>
      <c r="C3732" t="s">
        <v>2212</v>
      </c>
      <c r="D3732" t="str">
        <f>"4729"</f>
        <v>4729</v>
      </c>
      <c r="E3732" t="s">
        <v>2222</v>
      </c>
      <c r="F3732" t="s">
        <v>1</v>
      </c>
      <c r="G3732" t="s">
        <v>16221</v>
      </c>
      <c r="H3732" t="s">
        <v>47126</v>
      </c>
      <c r="I3732" t="s">
        <v>47127</v>
      </c>
      <c r="J3732" t="s">
        <v>47128</v>
      </c>
      <c r="K3732" t="s">
        <v>47113</v>
      </c>
      <c r="L3732">
        <v>13.17</v>
      </c>
      <c r="M3732">
        <v>32</v>
      </c>
      <c r="N3732">
        <v>0</v>
      </c>
      <c r="O3732">
        <v>32</v>
      </c>
      <c r="P3732">
        <v>0</v>
      </c>
    </row>
    <row r="3733" spans="1:16" x14ac:dyDescent="0.25">
      <c r="A3733" t="s">
        <v>26144</v>
      </c>
      <c r="B3733" t="s">
        <v>4534</v>
      </c>
      <c r="C3733" t="s">
        <v>2212</v>
      </c>
      <c r="D3733" t="str">
        <f>"6276"</f>
        <v>6276</v>
      </c>
      <c r="E3733" t="s">
        <v>3867</v>
      </c>
      <c r="F3733" t="s">
        <v>1</v>
      </c>
      <c r="G3733" t="s">
        <v>16221</v>
      </c>
      <c r="H3733" t="s">
        <v>47126</v>
      </c>
      <c r="I3733" t="s">
        <v>47127</v>
      </c>
      <c r="J3733" t="s">
        <v>47128</v>
      </c>
      <c r="K3733" t="s">
        <v>47113</v>
      </c>
      <c r="L3733">
        <v>13.17</v>
      </c>
      <c r="M3733">
        <v>32</v>
      </c>
      <c r="N3733">
        <v>0</v>
      </c>
      <c r="O3733">
        <v>32</v>
      </c>
      <c r="P3733">
        <v>0</v>
      </c>
    </row>
    <row r="3734" spans="1:16" x14ac:dyDescent="0.25">
      <c r="A3734" t="s">
        <v>26145</v>
      </c>
      <c r="B3734" t="s">
        <v>4535</v>
      </c>
      <c r="C3734" t="s">
        <v>4536</v>
      </c>
      <c r="D3734" t="s">
        <v>437</v>
      </c>
      <c r="E3734" t="s">
        <v>438</v>
      </c>
      <c r="F3734" t="s">
        <v>1</v>
      </c>
      <c r="G3734" t="s">
        <v>16221</v>
      </c>
      <c r="H3734" t="s">
        <v>47153</v>
      </c>
      <c r="I3734" t="s">
        <v>47132</v>
      </c>
      <c r="J3734" t="s">
        <v>47133</v>
      </c>
      <c r="K3734" t="s">
        <v>47113</v>
      </c>
      <c r="L3734">
        <v>22.52</v>
      </c>
      <c r="M3734">
        <v>38</v>
      </c>
      <c r="N3734">
        <v>0</v>
      </c>
      <c r="O3734">
        <v>38</v>
      </c>
      <c r="P3734">
        <v>0</v>
      </c>
    </row>
    <row r="3735" spans="1:16" x14ac:dyDescent="0.25">
      <c r="A3735" t="s">
        <v>26146</v>
      </c>
      <c r="B3735" t="s">
        <v>4535</v>
      </c>
      <c r="C3735" t="s">
        <v>4536</v>
      </c>
      <c r="D3735" t="s">
        <v>504</v>
      </c>
      <c r="E3735" t="s">
        <v>505</v>
      </c>
      <c r="F3735" t="s">
        <v>1</v>
      </c>
      <c r="G3735" t="s">
        <v>16221</v>
      </c>
      <c r="H3735" t="s">
        <v>47153</v>
      </c>
      <c r="I3735" t="s">
        <v>47132</v>
      </c>
      <c r="J3735" t="s">
        <v>47133</v>
      </c>
      <c r="K3735" t="s">
        <v>47113</v>
      </c>
      <c r="L3735">
        <v>22.52</v>
      </c>
      <c r="M3735">
        <v>38</v>
      </c>
      <c r="N3735">
        <v>0</v>
      </c>
      <c r="O3735">
        <v>38</v>
      </c>
      <c r="P3735">
        <v>0</v>
      </c>
    </row>
    <row r="3736" spans="1:16" x14ac:dyDescent="0.25">
      <c r="A3736" t="s">
        <v>26147</v>
      </c>
      <c r="B3736" t="s">
        <v>4535</v>
      </c>
      <c r="C3736" t="s">
        <v>4536</v>
      </c>
      <c r="D3736" t="s">
        <v>434</v>
      </c>
      <c r="E3736" t="s">
        <v>435</v>
      </c>
      <c r="F3736" t="s">
        <v>1</v>
      </c>
      <c r="G3736" t="s">
        <v>16221</v>
      </c>
      <c r="H3736" t="s">
        <v>47153</v>
      </c>
      <c r="I3736" t="s">
        <v>47132</v>
      </c>
      <c r="J3736" t="s">
        <v>47133</v>
      </c>
      <c r="K3736" t="s">
        <v>47113</v>
      </c>
      <c r="L3736">
        <v>22.52</v>
      </c>
      <c r="M3736">
        <v>38</v>
      </c>
      <c r="N3736">
        <v>0</v>
      </c>
      <c r="O3736">
        <v>38</v>
      </c>
      <c r="P3736">
        <v>0</v>
      </c>
    </row>
    <row r="3737" spans="1:16" x14ac:dyDescent="0.25">
      <c r="A3737" t="s">
        <v>26148</v>
      </c>
      <c r="B3737" t="s">
        <v>4537</v>
      </c>
      <c r="C3737" t="s">
        <v>4538</v>
      </c>
      <c r="D3737" t="s">
        <v>437</v>
      </c>
      <c r="E3737" t="s">
        <v>438</v>
      </c>
      <c r="F3737" t="s">
        <v>1</v>
      </c>
      <c r="G3737" t="s">
        <v>16221</v>
      </c>
      <c r="H3737" t="s">
        <v>47153</v>
      </c>
      <c r="I3737" t="s">
        <v>47132</v>
      </c>
      <c r="J3737" t="s">
        <v>47133</v>
      </c>
      <c r="K3737" t="s">
        <v>47113</v>
      </c>
      <c r="L3737">
        <v>20.74</v>
      </c>
      <c r="M3737">
        <v>36</v>
      </c>
      <c r="N3737">
        <v>0</v>
      </c>
      <c r="O3737">
        <v>36</v>
      </c>
      <c r="P3737">
        <v>0</v>
      </c>
    </row>
    <row r="3738" spans="1:16" x14ac:dyDescent="0.25">
      <c r="A3738" t="s">
        <v>26149</v>
      </c>
      <c r="B3738" t="s">
        <v>4537</v>
      </c>
      <c r="C3738" t="s">
        <v>4538</v>
      </c>
      <c r="D3738" t="s">
        <v>504</v>
      </c>
      <c r="E3738" t="s">
        <v>505</v>
      </c>
      <c r="F3738" t="s">
        <v>1</v>
      </c>
      <c r="G3738" t="s">
        <v>16221</v>
      </c>
      <c r="H3738" t="s">
        <v>47153</v>
      </c>
      <c r="I3738" t="s">
        <v>47132</v>
      </c>
      <c r="J3738" t="s">
        <v>47133</v>
      </c>
      <c r="K3738" t="s">
        <v>47113</v>
      </c>
      <c r="L3738">
        <v>20.74</v>
      </c>
      <c r="M3738">
        <v>36</v>
      </c>
      <c r="N3738">
        <v>0</v>
      </c>
      <c r="O3738">
        <v>36</v>
      </c>
      <c r="P3738">
        <v>0</v>
      </c>
    </row>
    <row r="3739" spans="1:16" x14ac:dyDescent="0.25">
      <c r="A3739" t="s">
        <v>26150</v>
      </c>
      <c r="B3739" t="s">
        <v>4537</v>
      </c>
      <c r="C3739" t="s">
        <v>4538</v>
      </c>
      <c r="D3739" t="s">
        <v>434</v>
      </c>
      <c r="E3739" t="s">
        <v>435</v>
      </c>
      <c r="F3739" t="s">
        <v>1</v>
      </c>
      <c r="G3739" t="s">
        <v>16221</v>
      </c>
      <c r="H3739" t="s">
        <v>47153</v>
      </c>
      <c r="I3739" t="s">
        <v>47132</v>
      </c>
      <c r="J3739" t="s">
        <v>47133</v>
      </c>
      <c r="K3739" t="s">
        <v>47113</v>
      </c>
      <c r="L3739">
        <v>20.74</v>
      </c>
      <c r="M3739">
        <v>36</v>
      </c>
      <c r="N3739">
        <v>0</v>
      </c>
      <c r="O3739">
        <v>36</v>
      </c>
      <c r="P3739">
        <v>0</v>
      </c>
    </row>
    <row r="3740" spans="1:16" x14ac:dyDescent="0.25">
      <c r="A3740" t="s">
        <v>26151</v>
      </c>
      <c r="B3740" t="s">
        <v>4539</v>
      </c>
      <c r="C3740" t="s">
        <v>4540</v>
      </c>
      <c r="D3740" t="str">
        <f>"1377"</f>
        <v>1377</v>
      </c>
      <c r="E3740" t="s">
        <v>74</v>
      </c>
      <c r="F3740" t="s">
        <v>1</v>
      </c>
      <c r="G3740" t="s">
        <v>16221</v>
      </c>
      <c r="H3740" t="s">
        <v>47126</v>
      </c>
      <c r="I3740" t="s">
        <v>47127</v>
      </c>
      <c r="J3740" t="s">
        <v>47128</v>
      </c>
      <c r="K3740" t="s">
        <v>47113</v>
      </c>
      <c r="L3740">
        <v>15.58</v>
      </c>
      <c r="M3740">
        <v>38</v>
      </c>
      <c r="N3740">
        <v>0</v>
      </c>
      <c r="O3740">
        <v>38</v>
      </c>
      <c r="P3740">
        <v>0</v>
      </c>
    </row>
    <row r="3741" spans="1:16" x14ac:dyDescent="0.25">
      <c r="A3741" t="s">
        <v>26152</v>
      </c>
      <c r="B3741" t="s">
        <v>4539</v>
      </c>
      <c r="C3741" t="s">
        <v>4540</v>
      </c>
      <c r="D3741" t="str">
        <f>"1378"</f>
        <v>1378</v>
      </c>
      <c r="E3741" t="s">
        <v>388</v>
      </c>
      <c r="F3741" t="s">
        <v>1</v>
      </c>
      <c r="G3741" t="s">
        <v>16221</v>
      </c>
      <c r="H3741" t="s">
        <v>47126</v>
      </c>
      <c r="I3741" t="s">
        <v>47127</v>
      </c>
      <c r="J3741" t="s">
        <v>47128</v>
      </c>
      <c r="K3741" t="s">
        <v>47113</v>
      </c>
      <c r="L3741">
        <v>15.58</v>
      </c>
      <c r="M3741">
        <v>38</v>
      </c>
      <c r="N3741">
        <v>0</v>
      </c>
      <c r="O3741">
        <v>38</v>
      </c>
      <c r="P3741">
        <v>0</v>
      </c>
    </row>
    <row r="3742" spans="1:16" x14ac:dyDescent="0.25">
      <c r="A3742" t="s">
        <v>26153</v>
      </c>
      <c r="B3742" t="s">
        <v>4539</v>
      </c>
      <c r="C3742" t="s">
        <v>4540</v>
      </c>
      <c r="D3742" t="str">
        <f>"3489"</f>
        <v>3489</v>
      </c>
      <c r="E3742" t="s">
        <v>2221</v>
      </c>
      <c r="F3742" t="s">
        <v>1</v>
      </c>
      <c r="G3742" t="s">
        <v>16221</v>
      </c>
      <c r="H3742" t="s">
        <v>47126</v>
      </c>
      <c r="I3742" t="s">
        <v>47127</v>
      </c>
      <c r="J3742" t="s">
        <v>47128</v>
      </c>
      <c r="K3742" t="s">
        <v>47113</v>
      </c>
      <c r="L3742">
        <v>15.58</v>
      </c>
      <c r="M3742">
        <v>38</v>
      </c>
      <c r="N3742">
        <v>0</v>
      </c>
      <c r="O3742">
        <v>38</v>
      </c>
      <c r="P3742">
        <v>0</v>
      </c>
    </row>
    <row r="3743" spans="1:16" x14ac:dyDescent="0.25">
      <c r="A3743" t="s">
        <v>26154</v>
      </c>
      <c r="B3743" t="s">
        <v>4539</v>
      </c>
      <c r="C3743" t="s">
        <v>4540</v>
      </c>
      <c r="D3743" t="str">
        <f>"4643"</f>
        <v>4643</v>
      </c>
      <c r="E3743" t="s">
        <v>205</v>
      </c>
      <c r="F3743" t="s">
        <v>1</v>
      </c>
      <c r="G3743" t="s">
        <v>16221</v>
      </c>
      <c r="H3743" t="s">
        <v>47126</v>
      </c>
      <c r="I3743" t="s">
        <v>47127</v>
      </c>
      <c r="J3743" t="s">
        <v>47128</v>
      </c>
      <c r="K3743" t="s">
        <v>47113</v>
      </c>
      <c r="L3743">
        <v>15.58</v>
      </c>
      <c r="M3743">
        <v>38</v>
      </c>
      <c r="N3743">
        <v>0</v>
      </c>
      <c r="O3743">
        <v>38</v>
      </c>
      <c r="P3743">
        <v>0</v>
      </c>
    </row>
    <row r="3744" spans="1:16" x14ac:dyDescent="0.25">
      <c r="A3744" t="s">
        <v>26155</v>
      </c>
      <c r="B3744" t="s">
        <v>4539</v>
      </c>
      <c r="C3744" t="s">
        <v>4540</v>
      </c>
      <c r="D3744" t="str">
        <f>"4729"</f>
        <v>4729</v>
      </c>
      <c r="E3744" t="s">
        <v>2222</v>
      </c>
      <c r="F3744" t="s">
        <v>1</v>
      </c>
      <c r="G3744" t="s">
        <v>16221</v>
      </c>
      <c r="H3744" t="s">
        <v>47126</v>
      </c>
      <c r="I3744" t="s">
        <v>47127</v>
      </c>
      <c r="J3744" t="s">
        <v>47128</v>
      </c>
      <c r="K3744" t="s">
        <v>47113</v>
      </c>
      <c r="L3744">
        <v>15.58</v>
      </c>
      <c r="M3744">
        <v>38</v>
      </c>
      <c r="N3744">
        <v>0</v>
      </c>
      <c r="O3744">
        <v>38</v>
      </c>
      <c r="P3744">
        <v>0</v>
      </c>
    </row>
    <row r="3745" spans="1:16" x14ac:dyDescent="0.25">
      <c r="A3745" t="s">
        <v>26156</v>
      </c>
      <c r="B3745" t="s">
        <v>4539</v>
      </c>
      <c r="C3745" t="s">
        <v>4540</v>
      </c>
      <c r="D3745" t="str">
        <f>"6276"</f>
        <v>6276</v>
      </c>
      <c r="E3745" t="s">
        <v>3867</v>
      </c>
      <c r="F3745" t="s">
        <v>1</v>
      </c>
      <c r="G3745" t="s">
        <v>16221</v>
      </c>
      <c r="H3745" t="s">
        <v>47126</v>
      </c>
      <c r="I3745" t="s">
        <v>47127</v>
      </c>
      <c r="J3745" t="s">
        <v>47128</v>
      </c>
      <c r="K3745" t="s">
        <v>47113</v>
      </c>
      <c r="L3745">
        <v>15.58</v>
      </c>
      <c r="M3745">
        <v>38</v>
      </c>
      <c r="N3745">
        <v>0</v>
      </c>
      <c r="O3745">
        <v>38</v>
      </c>
      <c r="P3745">
        <v>0</v>
      </c>
    </row>
    <row r="3746" spans="1:16" x14ac:dyDescent="0.25">
      <c r="A3746" t="s">
        <v>26157</v>
      </c>
      <c r="B3746" t="s">
        <v>4541</v>
      </c>
      <c r="C3746" t="s">
        <v>4045</v>
      </c>
      <c r="D3746" t="s">
        <v>3768</v>
      </c>
      <c r="E3746" t="s">
        <v>3769</v>
      </c>
      <c r="F3746" t="s">
        <v>1</v>
      </c>
      <c r="G3746" t="s">
        <v>16232</v>
      </c>
      <c r="H3746" t="s">
        <v>47153</v>
      </c>
      <c r="I3746" t="s">
        <v>47132</v>
      </c>
      <c r="J3746" t="s">
        <v>47133</v>
      </c>
      <c r="K3746" t="s">
        <v>47113</v>
      </c>
      <c r="L3746">
        <v>49.78</v>
      </c>
      <c r="M3746">
        <v>95</v>
      </c>
      <c r="N3746">
        <v>0</v>
      </c>
      <c r="O3746">
        <v>95</v>
      </c>
      <c r="P3746">
        <v>0</v>
      </c>
    </row>
    <row r="3747" spans="1:16" x14ac:dyDescent="0.25">
      <c r="A3747" t="s">
        <v>26158</v>
      </c>
      <c r="B3747" t="s">
        <v>4541</v>
      </c>
      <c r="C3747" t="s">
        <v>4045</v>
      </c>
      <c r="D3747" t="s">
        <v>4250</v>
      </c>
      <c r="E3747" t="s">
        <v>4251</v>
      </c>
      <c r="F3747" t="s">
        <v>1</v>
      </c>
      <c r="G3747" t="s">
        <v>16232</v>
      </c>
      <c r="H3747" t="s">
        <v>47153</v>
      </c>
      <c r="I3747" t="s">
        <v>47132</v>
      </c>
      <c r="J3747" t="s">
        <v>47133</v>
      </c>
      <c r="K3747" t="s">
        <v>47113</v>
      </c>
      <c r="L3747">
        <v>52.39</v>
      </c>
      <c r="M3747">
        <v>100</v>
      </c>
      <c r="N3747">
        <v>0</v>
      </c>
      <c r="O3747">
        <v>100</v>
      </c>
      <c r="P3747">
        <v>0</v>
      </c>
    </row>
    <row r="3748" spans="1:16" x14ac:dyDescent="0.25">
      <c r="A3748" t="s">
        <v>26159</v>
      </c>
      <c r="B3748" t="s">
        <v>26160</v>
      </c>
      <c r="C3748" t="s">
        <v>26161</v>
      </c>
      <c r="D3748" t="str">
        <f>"1006"</f>
        <v>1006</v>
      </c>
      <c r="E3748" t="s">
        <v>17350</v>
      </c>
      <c r="F3748" t="s">
        <v>24622</v>
      </c>
      <c r="G3748" t="s">
        <v>16448</v>
      </c>
      <c r="H3748" t="s">
        <v>47054</v>
      </c>
      <c r="I3748" t="s">
        <v>47120</v>
      </c>
      <c r="J3748" t="s">
        <v>47121</v>
      </c>
      <c r="K3748" t="s">
        <v>47113</v>
      </c>
      <c r="L3748">
        <v>41.56</v>
      </c>
      <c r="M3748">
        <v>92</v>
      </c>
      <c r="N3748">
        <v>249</v>
      </c>
      <c r="O3748">
        <v>92</v>
      </c>
      <c r="P3748">
        <v>249</v>
      </c>
    </row>
    <row r="3749" spans="1:16" x14ac:dyDescent="0.25">
      <c r="A3749" t="s">
        <v>26162</v>
      </c>
      <c r="B3749" t="s">
        <v>26163</v>
      </c>
      <c r="C3749" t="s">
        <v>26164</v>
      </c>
      <c r="D3749" t="str">
        <f>"1006"</f>
        <v>1006</v>
      </c>
      <c r="E3749" t="s">
        <v>17350</v>
      </c>
      <c r="F3749" t="s">
        <v>24617</v>
      </c>
      <c r="G3749" t="s">
        <v>16235</v>
      </c>
      <c r="H3749" t="s">
        <v>47054</v>
      </c>
      <c r="I3749" t="s">
        <v>47120</v>
      </c>
      <c r="J3749" t="s">
        <v>47121</v>
      </c>
      <c r="K3749" t="s">
        <v>47113</v>
      </c>
      <c r="L3749">
        <v>38.549999999999997</v>
      </c>
      <c r="M3749">
        <v>85</v>
      </c>
      <c r="N3749">
        <v>229</v>
      </c>
      <c r="O3749">
        <v>85</v>
      </c>
      <c r="P3749">
        <v>229</v>
      </c>
    </row>
    <row r="3750" spans="1:16" x14ac:dyDescent="0.25">
      <c r="A3750" t="s">
        <v>26165</v>
      </c>
      <c r="B3750" t="s">
        <v>26166</v>
      </c>
      <c r="C3750" t="s">
        <v>26164</v>
      </c>
      <c r="D3750" t="str">
        <f>"4143"</f>
        <v>4143</v>
      </c>
      <c r="E3750" t="s">
        <v>261</v>
      </c>
      <c r="F3750" t="s">
        <v>24617</v>
      </c>
      <c r="G3750" t="s">
        <v>16235</v>
      </c>
      <c r="H3750" t="s">
        <v>47054</v>
      </c>
      <c r="I3750" t="s">
        <v>47120</v>
      </c>
      <c r="J3750" t="s">
        <v>47121</v>
      </c>
      <c r="K3750" t="s">
        <v>47113</v>
      </c>
      <c r="L3750">
        <v>39.869999999999997</v>
      </c>
      <c r="M3750">
        <v>85</v>
      </c>
      <c r="N3750">
        <v>229</v>
      </c>
      <c r="O3750">
        <v>85</v>
      </c>
      <c r="P3750">
        <v>229</v>
      </c>
    </row>
    <row r="3751" spans="1:16" x14ac:dyDescent="0.25">
      <c r="A3751" t="s">
        <v>26167</v>
      </c>
      <c r="B3751" t="s">
        <v>26168</v>
      </c>
      <c r="C3751" t="s">
        <v>26169</v>
      </c>
      <c r="D3751" t="str">
        <f>"1001"</f>
        <v>1001</v>
      </c>
      <c r="E3751" t="s">
        <v>42</v>
      </c>
      <c r="F3751" t="s">
        <v>24617</v>
      </c>
      <c r="G3751" t="s">
        <v>16235</v>
      </c>
      <c r="H3751" t="s">
        <v>47054</v>
      </c>
      <c r="I3751" t="s">
        <v>47118</v>
      </c>
      <c r="J3751" t="s">
        <v>47119</v>
      </c>
      <c r="K3751" t="s">
        <v>47113</v>
      </c>
      <c r="L3751">
        <v>34.93</v>
      </c>
      <c r="M3751">
        <v>63</v>
      </c>
      <c r="N3751">
        <v>169</v>
      </c>
      <c r="O3751">
        <v>63</v>
      </c>
      <c r="P3751">
        <v>169</v>
      </c>
    </row>
    <row r="3752" spans="1:16" x14ac:dyDescent="0.25">
      <c r="A3752" t="s">
        <v>26170</v>
      </c>
      <c r="B3752" t="s">
        <v>26168</v>
      </c>
      <c r="C3752" t="s">
        <v>26169</v>
      </c>
      <c r="D3752" t="str">
        <f>"1700"</f>
        <v>1700</v>
      </c>
      <c r="E3752" t="s">
        <v>60</v>
      </c>
      <c r="F3752" t="s">
        <v>24617</v>
      </c>
      <c r="G3752" t="s">
        <v>16235</v>
      </c>
      <c r="H3752" t="s">
        <v>47054</v>
      </c>
      <c r="I3752" t="s">
        <v>47118</v>
      </c>
      <c r="J3752" t="s">
        <v>47119</v>
      </c>
      <c r="K3752" t="s">
        <v>47113</v>
      </c>
      <c r="L3752">
        <v>26.1</v>
      </c>
      <c r="M3752">
        <v>63</v>
      </c>
      <c r="N3752">
        <v>169</v>
      </c>
      <c r="O3752">
        <v>63</v>
      </c>
      <c r="P3752">
        <v>169</v>
      </c>
    </row>
    <row r="3753" spans="1:16" x14ac:dyDescent="0.25">
      <c r="A3753" t="s">
        <v>26171</v>
      </c>
      <c r="B3753" t="s">
        <v>26172</v>
      </c>
      <c r="C3753" t="s">
        <v>26173</v>
      </c>
      <c r="D3753" t="str">
        <f>"4143"</f>
        <v>4143</v>
      </c>
      <c r="E3753" t="s">
        <v>261</v>
      </c>
      <c r="F3753" t="s">
        <v>24627</v>
      </c>
      <c r="G3753" t="s">
        <v>16235</v>
      </c>
      <c r="H3753" t="s">
        <v>47054</v>
      </c>
      <c r="I3753" t="s">
        <v>47120</v>
      </c>
      <c r="J3753" t="s">
        <v>47121</v>
      </c>
      <c r="K3753" t="s">
        <v>47113</v>
      </c>
      <c r="L3753">
        <v>22.68</v>
      </c>
      <c r="M3753">
        <v>48</v>
      </c>
      <c r="N3753">
        <v>129</v>
      </c>
      <c r="O3753">
        <v>48</v>
      </c>
      <c r="P3753">
        <v>129</v>
      </c>
    </row>
    <row r="3754" spans="1:16" x14ac:dyDescent="0.25">
      <c r="A3754" t="s">
        <v>26174</v>
      </c>
      <c r="B3754" t="s">
        <v>26175</v>
      </c>
      <c r="C3754" t="s">
        <v>26176</v>
      </c>
      <c r="D3754" t="str">
        <f>"1006"</f>
        <v>1006</v>
      </c>
      <c r="E3754" t="s">
        <v>17350</v>
      </c>
      <c r="F3754" t="s">
        <v>24617</v>
      </c>
      <c r="G3754" t="s">
        <v>16235</v>
      </c>
      <c r="H3754" t="s">
        <v>47054</v>
      </c>
      <c r="I3754" t="s">
        <v>47120</v>
      </c>
      <c r="J3754" t="s">
        <v>47121</v>
      </c>
      <c r="K3754" t="s">
        <v>47113</v>
      </c>
      <c r="L3754">
        <v>35.090000000000003</v>
      </c>
      <c r="M3754">
        <v>92</v>
      </c>
      <c r="N3754">
        <v>249</v>
      </c>
      <c r="O3754">
        <v>92</v>
      </c>
      <c r="P3754">
        <v>249</v>
      </c>
    </row>
    <row r="3755" spans="1:16" x14ac:dyDescent="0.25">
      <c r="A3755" t="s">
        <v>26177</v>
      </c>
      <c r="B3755" t="s">
        <v>26175</v>
      </c>
      <c r="C3755" t="s">
        <v>26176</v>
      </c>
      <c r="D3755" t="str">
        <f>"6000"</f>
        <v>6000</v>
      </c>
      <c r="E3755" t="s">
        <v>6279</v>
      </c>
      <c r="F3755" t="s">
        <v>24617</v>
      </c>
      <c r="G3755" t="s">
        <v>16235</v>
      </c>
      <c r="H3755" t="s">
        <v>47054</v>
      </c>
      <c r="I3755" t="s">
        <v>47120</v>
      </c>
      <c r="J3755" t="s">
        <v>47121</v>
      </c>
      <c r="K3755" t="s">
        <v>47113</v>
      </c>
      <c r="L3755">
        <v>35.090000000000003</v>
      </c>
      <c r="M3755">
        <v>92</v>
      </c>
      <c r="N3755">
        <v>249</v>
      </c>
      <c r="O3755">
        <v>92</v>
      </c>
      <c r="P3755">
        <v>249</v>
      </c>
    </row>
    <row r="3756" spans="1:16" x14ac:dyDescent="0.25">
      <c r="A3756" t="s">
        <v>26178</v>
      </c>
      <c r="B3756" t="s">
        <v>26179</v>
      </c>
      <c r="C3756" t="s">
        <v>46692</v>
      </c>
      <c r="D3756" t="str">
        <f>"1501"</f>
        <v>1501</v>
      </c>
      <c r="E3756" t="s">
        <v>46</v>
      </c>
      <c r="F3756" t="s">
        <v>24622</v>
      </c>
      <c r="G3756" t="s">
        <v>16235</v>
      </c>
      <c r="H3756" t="s">
        <v>47054</v>
      </c>
      <c r="I3756" t="s">
        <v>47120</v>
      </c>
      <c r="J3756" t="s">
        <v>47121</v>
      </c>
      <c r="K3756" t="s">
        <v>47113</v>
      </c>
      <c r="L3756">
        <v>25.17</v>
      </c>
      <c r="M3756">
        <v>63</v>
      </c>
      <c r="N3756">
        <v>169</v>
      </c>
      <c r="O3756">
        <v>63</v>
      </c>
      <c r="P3756">
        <v>169</v>
      </c>
    </row>
    <row r="3757" spans="1:16" x14ac:dyDescent="0.25">
      <c r="A3757" t="s">
        <v>26180</v>
      </c>
      <c r="B3757" t="s">
        <v>16512</v>
      </c>
      <c r="C3757" t="s">
        <v>16513</v>
      </c>
      <c r="D3757" t="str">
        <f>"1001"</f>
        <v>1001</v>
      </c>
      <c r="E3757" t="s">
        <v>42</v>
      </c>
      <c r="F3757" t="s">
        <v>15183</v>
      </c>
      <c r="G3757" t="s">
        <v>16448</v>
      </c>
      <c r="H3757" t="s">
        <v>47055</v>
      </c>
      <c r="I3757" t="s">
        <v>47120</v>
      </c>
      <c r="J3757" t="s">
        <v>47121</v>
      </c>
      <c r="K3757" t="s">
        <v>47113</v>
      </c>
      <c r="L3757">
        <v>208.59</v>
      </c>
      <c r="M3757">
        <v>423</v>
      </c>
      <c r="N3757">
        <v>0</v>
      </c>
      <c r="O3757">
        <v>423</v>
      </c>
      <c r="P3757">
        <v>0</v>
      </c>
    </row>
    <row r="3758" spans="1:16" x14ac:dyDescent="0.25">
      <c r="A3758" t="s">
        <v>26181</v>
      </c>
      <c r="B3758" t="s">
        <v>16512</v>
      </c>
      <c r="C3758" t="s">
        <v>16513</v>
      </c>
      <c r="D3758" t="str">
        <f>"1106"</f>
        <v>1106</v>
      </c>
      <c r="E3758" t="s">
        <v>460</v>
      </c>
      <c r="F3758" t="s">
        <v>15183</v>
      </c>
      <c r="G3758" t="s">
        <v>16448</v>
      </c>
      <c r="H3758" t="s">
        <v>47055</v>
      </c>
      <c r="I3758" t="s">
        <v>47120</v>
      </c>
      <c r="J3758" t="s">
        <v>47121</v>
      </c>
      <c r="K3758" t="s">
        <v>47113</v>
      </c>
      <c r="L3758">
        <v>208.59</v>
      </c>
      <c r="M3758">
        <v>423</v>
      </c>
      <c r="N3758">
        <v>0</v>
      </c>
      <c r="O3758">
        <v>423</v>
      </c>
      <c r="P3758">
        <v>0</v>
      </c>
    </row>
    <row r="3759" spans="1:16" x14ac:dyDescent="0.25">
      <c r="A3759" t="s">
        <v>26182</v>
      </c>
      <c r="B3759" t="s">
        <v>16512</v>
      </c>
      <c r="C3759" t="s">
        <v>16513</v>
      </c>
      <c r="D3759" t="str">
        <f>"1200"</f>
        <v>1200</v>
      </c>
      <c r="E3759" t="s">
        <v>16514</v>
      </c>
      <c r="F3759" t="s">
        <v>15183</v>
      </c>
      <c r="G3759" t="s">
        <v>16448</v>
      </c>
      <c r="H3759" t="s">
        <v>47055</v>
      </c>
      <c r="I3759" t="s">
        <v>47120</v>
      </c>
      <c r="J3759" t="s">
        <v>47121</v>
      </c>
      <c r="K3759" t="s">
        <v>47113</v>
      </c>
      <c r="L3759">
        <v>208.59</v>
      </c>
      <c r="M3759">
        <v>423</v>
      </c>
      <c r="N3759">
        <v>0</v>
      </c>
      <c r="O3759">
        <v>423</v>
      </c>
      <c r="P3759">
        <v>0</v>
      </c>
    </row>
    <row r="3760" spans="1:16" x14ac:dyDescent="0.25">
      <c r="A3760" t="s">
        <v>26183</v>
      </c>
      <c r="B3760" t="s">
        <v>16512</v>
      </c>
      <c r="C3760" t="s">
        <v>16513</v>
      </c>
      <c r="D3760" t="str">
        <f>"2707"</f>
        <v>2707</v>
      </c>
      <c r="E3760" t="s">
        <v>3019</v>
      </c>
      <c r="F3760" t="s">
        <v>15183</v>
      </c>
      <c r="G3760" t="s">
        <v>16448</v>
      </c>
      <c r="H3760" t="s">
        <v>47055</v>
      </c>
      <c r="I3760" t="s">
        <v>47120</v>
      </c>
      <c r="J3760" t="s">
        <v>47121</v>
      </c>
      <c r="K3760" t="s">
        <v>47113</v>
      </c>
      <c r="L3760">
        <v>208.59</v>
      </c>
      <c r="M3760">
        <v>423</v>
      </c>
      <c r="N3760">
        <v>0</v>
      </c>
      <c r="O3760">
        <v>423</v>
      </c>
      <c r="P3760">
        <v>0</v>
      </c>
    </row>
    <row r="3761" spans="1:16" x14ac:dyDescent="0.25">
      <c r="A3761" t="s">
        <v>26184</v>
      </c>
      <c r="B3761" t="s">
        <v>16512</v>
      </c>
      <c r="C3761" t="s">
        <v>16513</v>
      </c>
      <c r="D3761" t="str">
        <f>"4739"</f>
        <v>4739</v>
      </c>
      <c r="E3761" t="s">
        <v>16515</v>
      </c>
      <c r="F3761" t="s">
        <v>15183</v>
      </c>
      <c r="G3761" t="s">
        <v>16448</v>
      </c>
      <c r="H3761" t="s">
        <v>47055</v>
      </c>
      <c r="I3761" t="s">
        <v>47120</v>
      </c>
      <c r="J3761" t="s">
        <v>47121</v>
      </c>
      <c r="K3761" t="s">
        <v>47113</v>
      </c>
      <c r="L3761">
        <v>208.59</v>
      </c>
      <c r="M3761">
        <v>423</v>
      </c>
      <c r="N3761">
        <v>0</v>
      </c>
      <c r="O3761">
        <v>423</v>
      </c>
      <c r="P3761">
        <v>0</v>
      </c>
    </row>
    <row r="3762" spans="1:16" x14ac:dyDescent="0.25">
      <c r="A3762" t="s">
        <v>26185</v>
      </c>
      <c r="B3762" t="s">
        <v>16512</v>
      </c>
      <c r="C3762" t="s">
        <v>16513</v>
      </c>
      <c r="D3762" t="s">
        <v>15692</v>
      </c>
      <c r="E3762" t="s">
        <v>46</v>
      </c>
      <c r="F3762" t="s">
        <v>15183</v>
      </c>
      <c r="G3762" t="s">
        <v>16448</v>
      </c>
      <c r="H3762" t="s">
        <v>47055</v>
      </c>
      <c r="I3762" t="s">
        <v>47120</v>
      </c>
      <c r="J3762" t="s">
        <v>47121</v>
      </c>
      <c r="K3762" t="s">
        <v>47113</v>
      </c>
      <c r="L3762">
        <v>208.59</v>
      </c>
      <c r="M3762">
        <v>423</v>
      </c>
      <c r="N3762">
        <v>0</v>
      </c>
      <c r="O3762">
        <v>423</v>
      </c>
      <c r="P3762">
        <v>0</v>
      </c>
    </row>
    <row r="3763" spans="1:16" x14ac:dyDescent="0.25">
      <c r="A3763" t="s">
        <v>26186</v>
      </c>
      <c r="B3763" t="s">
        <v>16512</v>
      </c>
      <c r="C3763" t="s">
        <v>16513</v>
      </c>
      <c r="D3763" t="s">
        <v>8967</v>
      </c>
      <c r="E3763" t="s">
        <v>6279</v>
      </c>
      <c r="F3763" t="s">
        <v>15183</v>
      </c>
      <c r="G3763" t="s">
        <v>16448</v>
      </c>
      <c r="H3763" t="s">
        <v>47055</v>
      </c>
      <c r="I3763" t="s">
        <v>47120</v>
      </c>
      <c r="J3763" t="s">
        <v>47121</v>
      </c>
      <c r="K3763" t="s">
        <v>47113</v>
      </c>
      <c r="L3763">
        <v>208.59</v>
      </c>
      <c r="M3763">
        <v>423</v>
      </c>
      <c r="N3763">
        <v>0</v>
      </c>
      <c r="O3763">
        <v>423</v>
      </c>
      <c r="P3763">
        <v>0</v>
      </c>
    </row>
    <row r="3764" spans="1:16" x14ac:dyDescent="0.25">
      <c r="A3764" t="s">
        <v>26187</v>
      </c>
      <c r="B3764" t="s">
        <v>16516</v>
      </c>
      <c r="C3764" t="s">
        <v>14608</v>
      </c>
      <c r="D3764" t="s">
        <v>4064</v>
      </c>
      <c r="E3764" t="s">
        <v>16517</v>
      </c>
      <c r="F3764" t="s">
        <v>15183</v>
      </c>
      <c r="G3764" t="s">
        <v>16231</v>
      </c>
      <c r="H3764" t="s">
        <v>47153</v>
      </c>
      <c r="I3764" t="s">
        <v>47132</v>
      </c>
      <c r="J3764" t="s">
        <v>47133</v>
      </c>
      <c r="K3764" t="s">
        <v>47113</v>
      </c>
      <c r="L3764">
        <v>34.450000000000003</v>
      </c>
      <c r="M3764">
        <v>93</v>
      </c>
      <c r="N3764">
        <v>0</v>
      </c>
      <c r="O3764">
        <v>93</v>
      </c>
      <c r="P3764">
        <v>0</v>
      </c>
    </row>
    <row r="3765" spans="1:16" x14ac:dyDescent="0.25">
      <c r="A3765" t="s">
        <v>16518</v>
      </c>
      <c r="B3765" t="s">
        <v>16519</v>
      </c>
      <c r="C3765" t="s">
        <v>14608</v>
      </c>
      <c r="D3765" t="s">
        <v>16520</v>
      </c>
      <c r="E3765" t="s">
        <v>16521</v>
      </c>
      <c r="F3765" t="s">
        <v>15183</v>
      </c>
      <c r="G3765" t="s">
        <v>16231</v>
      </c>
      <c r="H3765" t="s">
        <v>47153</v>
      </c>
      <c r="I3765" t="s">
        <v>47132</v>
      </c>
      <c r="J3765" t="s">
        <v>47133</v>
      </c>
      <c r="K3765" t="s">
        <v>47113</v>
      </c>
      <c r="L3765">
        <v>34.64</v>
      </c>
      <c r="M3765">
        <v>93</v>
      </c>
      <c r="N3765">
        <v>0</v>
      </c>
      <c r="O3765">
        <v>93</v>
      </c>
      <c r="P3765">
        <v>0</v>
      </c>
    </row>
    <row r="3766" spans="1:16" x14ac:dyDescent="0.25">
      <c r="A3766" t="s">
        <v>16522</v>
      </c>
      <c r="B3766" t="s">
        <v>16523</v>
      </c>
      <c r="C3766" t="s">
        <v>14608</v>
      </c>
      <c r="D3766" t="s">
        <v>4066</v>
      </c>
      <c r="E3766" t="s">
        <v>16524</v>
      </c>
      <c r="F3766" t="s">
        <v>15183</v>
      </c>
      <c r="G3766" t="s">
        <v>16231</v>
      </c>
      <c r="H3766" t="s">
        <v>47153</v>
      </c>
      <c r="I3766" t="s">
        <v>47132</v>
      </c>
      <c r="J3766" t="s">
        <v>47133</v>
      </c>
      <c r="K3766" t="s">
        <v>47113</v>
      </c>
      <c r="L3766">
        <v>31.66</v>
      </c>
      <c r="M3766">
        <v>85</v>
      </c>
      <c r="N3766">
        <v>0</v>
      </c>
      <c r="O3766">
        <v>85</v>
      </c>
      <c r="P3766">
        <v>0</v>
      </c>
    </row>
    <row r="3767" spans="1:16" x14ac:dyDescent="0.25">
      <c r="A3767" t="s">
        <v>16525</v>
      </c>
      <c r="B3767" t="s">
        <v>16526</v>
      </c>
      <c r="C3767" t="s">
        <v>14608</v>
      </c>
      <c r="D3767" t="s">
        <v>16527</v>
      </c>
      <c r="E3767" t="s">
        <v>16528</v>
      </c>
      <c r="F3767" t="s">
        <v>15183</v>
      </c>
      <c r="G3767" t="s">
        <v>16231</v>
      </c>
      <c r="H3767" t="s">
        <v>47153</v>
      </c>
      <c r="I3767" t="s">
        <v>47132</v>
      </c>
      <c r="J3767" t="s">
        <v>47133</v>
      </c>
      <c r="K3767" t="s">
        <v>47113</v>
      </c>
      <c r="L3767">
        <v>42.45</v>
      </c>
      <c r="M3767">
        <v>93</v>
      </c>
      <c r="N3767">
        <v>0</v>
      </c>
      <c r="O3767">
        <v>93</v>
      </c>
      <c r="P3767">
        <v>0</v>
      </c>
    </row>
    <row r="3768" spans="1:16" x14ac:dyDescent="0.25">
      <c r="A3768" t="s">
        <v>26188</v>
      </c>
      <c r="B3768" t="s">
        <v>16529</v>
      </c>
      <c r="C3768" t="s">
        <v>16530</v>
      </c>
      <c r="D3768" t="s">
        <v>16531</v>
      </c>
      <c r="E3768" t="s">
        <v>16532</v>
      </c>
      <c r="F3768" t="s">
        <v>15183</v>
      </c>
      <c r="G3768" t="s">
        <v>16231</v>
      </c>
      <c r="H3768" t="s">
        <v>47153</v>
      </c>
      <c r="I3768" t="s">
        <v>47132</v>
      </c>
      <c r="J3768" t="s">
        <v>47133</v>
      </c>
      <c r="K3768" t="s">
        <v>47113</v>
      </c>
      <c r="L3768">
        <v>46.68</v>
      </c>
      <c r="M3768">
        <v>125</v>
      </c>
      <c r="N3768">
        <v>0</v>
      </c>
      <c r="O3768">
        <v>125</v>
      </c>
      <c r="P3768">
        <v>0</v>
      </c>
    </row>
    <row r="3769" spans="1:16" x14ac:dyDescent="0.25">
      <c r="A3769" t="s">
        <v>26189</v>
      </c>
      <c r="B3769" t="s">
        <v>16533</v>
      </c>
      <c r="C3769" t="s">
        <v>387</v>
      </c>
      <c r="D3769" t="str">
        <f>"1001"</f>
        <v>1001</v>
      </c>
      <c r="E3769" t="s">
        <v>42</v>
      </c>
      <c r="F3769" t="s">
        <v>15183</v>
      </c>
      <c r="G3769" t="s">
        <v>16235</v>
      </c>
      <c r="H3769" t="s">
        <v>47055</v>
      </c>
      <c r="I3769" t="s">
        <v>47127</v>
      </c>
      <c r="J3769" t="s">
        <v>47128</v>
      </c>
      <c r="K3769" t="s">
        <v>47113</v>
      </c>
      <c r="L3769">
        <v>42.76</v>
      </c>
      <c r="M3769">
        <v>71</v>
      </c>
      <c r="N3769">
        <v>0</v>
      </c>
      <c r="O3769">
        <v>71</v>
      </c>
      <c r="P3769">
        <v>0</v>
      </c>
    </row>
    <row r="3770" spans="1:16" x14ac:dyDescent="0.25">
      <c r="A3770" t="s">
        <v>26190</v>
      </c>
      <c r="B3770" t="s">
        <v>16533</v>
      </c>
      <c r="C3770" t="s">
        <v>387</v>
      </c>
      <c r="D3770" t="str">
        <f>"1200"</f>
        <v>1200</v>
      </c>
      <c r="E3770" t="s">
        <v>16534</v>
      </c>
      <c r="F3770" t="s">
        <v>15183</v>
      </c>
      <c r="G3770" t="s">
        <v>16235</v>
      </c>
      <c r="H3770" t="s">
        <v>47055</v>
      </c>
      <c r="I3770" t="s">
        <v>47127</v>
      </c>
      <c r="J3770" t="s">
        <v>47128</v>
      </c>
      <c r="K3770" t="s">
        <v>47113</v>
      </c>
      <c r="L3770">
        <v>42.76</v>
      </c>
      <c r="M3770">
        <v>71</v>
      </c>
      <c r="N3770">
        <v>0</v>
      </c>
      <c r="O3770">
        <v>71</v>
      </c>
      <c r="P3770">
        <v>0</v>
      </c>
    </row>
    <row r="3771" spans="1:16" x14ac:dyDescent="0.25">
      <c r="A3771" t="s">
        <v>26191</v>
      </c>
      <c r="B3771" t="s">
        <v>16533</v>
      </c>
      <c r="C3771" t="s">
        <v>387</v>
      </c>
      <c r="D3771" t="str">
        <f>"1285"</f>
        <v>1285</v>
      </c>
      <c r="E3771" t="s">
        <v>2148</v>
      </c>
      <c r="F3771" t="s">
        <v>15183</v>
      </c>
      <c r="G3771" t="s">
        <v>16235</v>
      </c>
      <c r="H3771" t="s">
        <v>47055</v>
      </c>
      <c r="I3771" t="s">
        <v>47127</v>
      </c>
      <c r="J3771" t="s">
        <v>47128</v>
      </c>
      <c r="K3771" t="s">
        <v>47113</v>
      </c>
      <c r="L3771">
        <v>42.76</v>
      </c>
      <c r="M3771">
        <v>71</v>
      </c>
      <c r="N3771">
        <v>0</v>
      </c>
      <c r="O3771">
        <v>71</v>
      </c>
      <c r="P3771">
        <v>0</v>
      </c>
    </row>
    <row r="3772" spans="1:16" x14ac:dyDescent="0.25">
      <c r="A3772" t="s">
        <v>26192</v>
      </c>
      <c r="B3772" t="s">
        <v>16533</v>
      </c>
      <c r="C3772" t="s">
        <v>387</v>
      </c>
      <c r="D3772" t="str">
        <f>"1370"</f>
        <v>1370</v>
      </c>
      <c r="E3772" t="s">
        <v>2162</v>
      </c>
      <c r="F3772" t="s">
        <v>15183</v>
      </c>
      <c r="G3772" t="s">
        <v>16235</v>
      </c>
      <c r="H3772" t="s">
        <v>47055</v>
      </c>
      <c r="I3772" t="s">
        <v>47127</v>
      </c>
      <c r="J3772" t="s">
        <v>47128</v>
      </c>
      <c r="K3772" t="s">
        <v>47113</v>
      </c>
      <c r="L3772">
        <v>42.76</v>
      </c>
      <c r="M3772">
        <v>71</v>
      </c>
      <c r="N3772">
        <v>0</v>
      </c>
      <c r="O3772">
        <v>71</v>
      </c>
      <c r="P3772">
        <v>0</v>
      </c>
    </row>
    <row r="3773" spans="1:16" x14ac:dyDescent="0.25">
      <c r="A3773" t="s">
        <v>26193</v>
      </c>
      <c r="B3773" t="s">
        <v>16533</v>
      </c>
      <c r="C3773" t="s">
        <v>387</v>
      </c>
      <c r="D3773" t="str">
        <f>"1377"</f>
        <v>1377</v>
      </c>
      <c r="E3773" t="s">
        <v>74</v>
      </c>
      <c r="F3773" t="s">
        <v>15183</v>
      </c>
      <c r="G3773" t="s">
        <v>16235</v>
      </c>
      <c r="H3773" t="s">
        <v>47055</v>
      </c>
      <c r="I3773" t="s">
        <v>47127</v>
      </c>
      <c r="J3773" t="s">
        <v>47128</v>
      </c>
      <c r="K3773" t="s">
        <v>47113</v>
      </c>
      <c r="L3773">
        <v>42.76</v>
      </c>
      <c r="M3773">
        <v>71</v>
      </c>
      <c r="N3773">
        <v>0</v>
      </c>
      <c r="O3773">
        <v>71</v>
      </c>
      <c r="P3773">
        <v>0</v>
      </c>
    </row>
    <row r="3774" spans="1:16" x14ac:dyDescent="0.25">
      <c r="A3774" t="s">
        <v>26194</v>
      </c>
      <c r="B3774" t="s">
        <v>16533</v>
      </c>
      <c r="C3774" t="s">
        <v>387</v>
      </c>
      <c r="D3774" t="str">
        <f>"1378"</f>
        <v>1378</v>
      </c>
      <c r="E3774" t="s">
        <v>388</v>
      </c>
      <c r="F3774" t="s">
        <v>15183</v>
      </c>
      <c r="G3774" t="s">
        <v>16235</v>
      </c>
      <c r="H3774" t="s">
        <v>47055</v>
      </c>
      <c r="I3774" t="s">
        <v>47127</v>
      </c>
      <c r="J3774" t="s">
        <v>47128</v>
      </c>
      <c r="K3774" t="s">
        <v>47113</v>
      </c>
      <c r="L3774">
        <v>42.76</v>
      </c>
      <c r="M3774">
        <v>71</v>
      </c>
      <c r="N3774">
        <v>0</v>
      </c>
      <c r="O3774">
        <v>71</v>
      </c>
      <c r="P3774">
        <v>0</v>
      </c>
    </row>
    <row r="3775" spans="1:16" x14ac:dyDescent="0.25">
      <c r="A3775" t="s">
        <v>26195</v>
      </c>
      <c r="B3775" t="s">
        <v>16533</v>
      </c>
      <c r="C3775" t="s">
        <v>387</v>
      </c>
      <c r="D3775" t="str">
        <f>"1537"</f>
        <v>1537</v>
      </c>
      <c r="E3775" t="s">
        <v>16535</v>
      </c>
      <c r="F3775" t="s">
        <v>15183</v>
      </c>
      <c r="G3775" t="s">
        <v>16235</v>
      </c>
      <c r="H3775" t="s">
        <v>47055</v>
      </c>
      <c r="I3775" t="s">
        <v>47127</v>
      </c>
      <c r="J3775" t="s">
        <v>47128</v>
      </c>
      <c r="K3775" t="s">
        <v>47113</v>
      </c>
      <c r="L3775">
        <v>42.76</v>
      </c>
      <c r="M3775">
        <v>71</v>
      </c>
      <c r="N3775">
        <v>0</v>
      </c>
      <c r="O3775">
        <v>71</v>
      </c>
      <c r="P3775">
        <v>0</v>
      </c>
    </row>
    <row r="3776" spans="1:16" x14ac:dyDescent="0.25">
      <c r="A3776" t="s">
        <v>26196</v>
      </c>
      <c r="B3776" t="s">
        <v>16533</v>
      </c>
      <c r="C3776" t="s">
        <v>387</v>
      </c>
      <c r="D3776" t="str">
        <f>"1700"</f>
        <v>1700</v>
      </c>
      <c r="E3776" t="s">
        <v>60</v>
      </c>
      <c r="F3776" t="s">
        <v>15183</v>
      </c>
      <c r="G3776" t="s">
        <v>16235</v>
      </c>
      <c r="H3776" t="s">
        <v>47055</v>
      </c>
      <c r="I3776" t="s">
        <v>47127</v>
      </c>
      <c r="J3776" t="s">
        <v>47128</v>
      </c>
      <c r="K3776" t="s">
        <v>47113</v>
      </c>
      <c r="L3776">
        <v>42.76</v>
      </c>
      <c r="M3776">
        <v>71</v>
      </c>
      <c r="N3776">
        <v>0</v>
      </c>
      <c r="O3776">
        <v>71</v>
      </c>
      <c r="P3776">
        <v>0</v>
      </c>
    </row>
    <row r="3777" spans="1:16" x14ac:dyDescent="0.25">
      <c r="A3777" t="s">
        <v>26197</v>
      </c>
      <c r="B3777" t="s">
        <v>16533</v>
      </c>
      <c r="C3777" t="s">
        <v>387</v>
      </c>
      <c r="D3777" t="str">
        <f>"1704"</f>
        <v>1704</v>
      </c>
      <c r="E3777" t="s">
        <v>7181</v>
      </c>
      <c r="F3777" t="s">
        <v>15183</v>
      </c>
      <c r="G3777" t="s">
        <v>16235</v>
      </c>
      <c r="H3777" t="s">
        <v>47055</v>
      </c>
      <c r="I3777" t="s">
        <v>47127</v>
      </c>
      <c r="J3777" t="s">
        <v>47128</v>
      </c>
      <c r="K3777" t="s">
        <v>47113</v>
      </c>
      <c r="L3777">
        <v>42.76</v>
      </c>
      <c r="M3777">
        <v>71</v>
      </c>
      <c r="N3777">
        <v>0</v>
      </c>
      <c r="O3777">
        <v>71</v>
      </c>
      <c r="P3777">
        <v>0</v>
      </c>
    </row>
    <row r="3778" spans="1:16" x14ac:dyDescent="0.25">
      <c r="A3778" t="s">
        <v>26198</v>
      </c>
      <c r="B3778" t="s">
        <v>16533</v>
      </c>
      <c r="C3778" t="s">
        <v>387</v>
      </c>
      <c r="D3778" t="str">
        <f>"3304"</f>
        <v>3304</v>
      </c>
      <c r="E3778" t="s">
        <v>16536</v>
      </c>
      <c r="F3778" t="s">
        <v>15183</v>
      </c>
      <c r="G3778" t="s">
        <v>16235</v>
      </c>
      <c r="H3778" t="s">
        <v>47055</v>
      </c>
      <c r="I3778" t="s">
        <v>47127</v>
      </c>
      <c r="J3778" t="s">
        <v>47128</v>
      </c>
      <c r="K3778" t="s">
        <v>47113</v>
      </c>
      <c r="L3778">
        <v>42.76</v>
      </c>
      <c r="M3778">
        <v>71</v>
      </c>
      <c r="N3778">
        <v>0</v>
      </c>
      <c r="O3778">
        <v>71</v>
      </c>
      <c r="P3778">
        <v>0</v>
      </c>
    </row>
    <row r="3779" spans="1:16" x14ac:dyDescent="0.25">
      <c r="A3779" t="s">
        <v>26199</v>
      </c>
      <c r="B3779" t="s">
        <v>16533</v>
      </c>
      <c r="C3779" t="s">
        <v>387</v>
      </c>
      <c r="D3779" t="str">
        <f>"4000"</f>
        <v>4000</v>
      </c>
      <c r="E3779" t="s">
        <v>16537</v>
      </c>
      <c r="F3779" t="s">
        <v>15183</v>
      </c>
      <c r="G3779" t="s">
        <v>16235</v>
      </c>
      <c r="H3779" t="s">
        <v>47055</v>
      </c>
      <c r="I3779" t="s">
        <v>47127</v>
      </c>
      <c r="J3779" t="s">
        <v>47128</v>
      </c>
      <c r="K3779" t="s">
        <v>47113</v>
      </c>
      <c r="L3779">
        <v>42.76</v>
      </c>
      <c r="M3779">
        <v>71</v>
      </c>
      <c r="N3779">
        <v>0</v>
      </c>
      <c r="O3779">
        <v>71</v>
      </c>
      <c r="P3779">
        <v>0</v>
      </c>
    </row>
    <row r="3780" spans="1:16" x14ac:dyDescent="0.25">
      <c r="A3780" t="s">
        <v>26200</v>
      </c>
      <c r="B3780" t="s">
        <v>16533</v>
      </c>
      <c r="C3780" t="s">
        <v>387</v>
      </c>
      <c r="D3780" t="str">
        <f>"4643"</f>
        <v>4643</v>
      </c>
      <c r="E3780" t="s">
        <v>205</v>
      </c>
      <c r="F3780" t="s">
        <v>15183</v>
      </c>
      <c r="G3780" t="s">
        <v>16235</v>
      </c>
      <c r="H3780" t="s">
        <v>47055</v>
      </c>
      <c r="I3780" t="s">
        <v>47127</v>
      </c>
      <c r="J3780" t="s">
        <v>47128</v>
      </c>
      <c r="K3780" t="s">
        <v>47113</v>
      </c>
      <c r="L3780">
        <v>42.76</v>
      </c>
      <c r="M3780">
        <v>71</v>
      </c>
      <c r="N3780">
        <v>0</v>
      </c>
      <c r="O3780">
        <v>71</v>
      </c>
      <c r="P3780">
        <v>0</v>
      </c>
    </row>
    <row r="3781" spans="1:16" x14ac:dyDescent="0.25">
      <c r="A3781" t="s">
        <v>26201</v>
      </c>
      <c r="B3781" t="s">
        <v>16533</v>
      </c>
      <c r="C3781" t="s">
        <v>387</v>
      </c>
      <c r="D3781" t="str">
        <f>"4921"</f>
        <v>4921</v>
      </c>
      <c r="E3781" t="s">
        <v>4156</v>
      </c>
      <c r="F3781" t="s">
        <v>15183</v>
      </c>
      <c r="G3781" t="s">
        <v>16235</v>
      </c>
      <c r="H3781" t="s">
        <v>47055</v>
      </c>
      <c r="I3781" t="s">
        <v>47127</v>
      </c>
      <c r="J3781" t="s">
        <v>47128</v>
      </c>
      <c r="K3781" t="s">
        <v>47113</v>
      </c>
      <c r="L3781">
        <v>42.76</v>
      </c>
      <c r="M3781">
        <v>71</v>
      </c>
      <c r="N3781">
        <v>0</v>
      </c>
      <c r="O3781">
        <v>71</v>
      </c>
      <c r="P3781">
        <v>0</v>
      </c>
    </row>
    <row r="3782" spans="1:16" x14ac:dyDescent="0.25">
      <c r="A3782" t="s">
        <v>26202</v>
      </c>
      <c r="B3782" t="s">
        <v>16538</v>
      </c>
      <c r="C3782" t="s">
        <v>2173</v>
      </c>
      <c r="D3782" t="str">
        <f>"1001"</f>
        <v>1001</v>
      </c>
      <c r="E3782" t="s">
        <v>42</v>
      </c>
      <c r="F3782" t="s">
        <v>15183</v>
      </c>
      <c r="G3782" t="s">
        <v>16222</v>
      </c>
      <c r="H3782" t="s">
        <v>47055</v>
      </c>
      <c r="I3782" t="s">
        <v>47127</v>
      </c>
      <c r="J3782" t="s">
        <v>47128</v>
      </c>
      <c r="K3782" t="s">
        <v>47113</v>
      </c>
      <c r="L3782">
        <v>29.25</v>
      </c>
      <c r="M3782">
        <v>48</v>
      </c>
      <c r="N3782">
        <v>0</v>
      </c>
      <c r="O3782">
        <v>48</v>
      </c>
      <c r="P3782">
        <v>0</v>
      </c>
    </row>
    <row r="3783" spans="1:16" x14ac:dyDescent="0.25">
      <c r="A3783" t="s">
        <v>26203</v>
      </c>
      <c r="B3783" t="s">
        <v>16538</v>
      </c>
      <c r="C3783" t="s">
        <v>2173</v>
      </c>
      <c r="D3783" t="str">
        <f>"1200"</f>
        <v>1200</v>
      </c>
      <c r="E3783" t="s">
        <v>16534</v>
      </c>
      <c r="F3783" t="s">
        <v>15183</v>
      </c>
      <c r="G3783" t="s">
        <v>16222</v>
      </c>
      <c r="H3783" t="s">
        <v>47055</v>
      </c>
      <c r="I3783" t="s">
        <v>47127</v>
      </c>
      <c r="J3783" t="s">
        <v>47128</v>
      </c>
      <c r="K3783" t="s">
        <v>47113</v>
      </c>
      <c r="L3783">
        <v>29.25</v>
      </c>
      <c r="M3783">
        <v>48</v>
      </c>
      <c r="N3783">
        <v>0</v>
      </c>
      <c r="O3783">
        <v>48</v>
      </c>
      <c r="P3783">
        <v>0</v>
      </c>
    </row>
    <row r="3784" spans="1:16" x14ac:dyDescent="0.25">
      <c r="A3784" t="s">
        <v>26204</v>
      </c>
      <c r="B3784" t="s">
        <v>16538</v>
      </c>
      <c r="C3784" t="s">
        <v>2173</v>
      </c>
      <c r="D3784" t="str">
        <f>"1285"</f>
        <v>1285</v>
      </c>
      <c r="E3784" t="s">
        <v>2148</v>
      </c>
      <c r="F3784" t="s">
        <v>15183</v>
      </c>
      <c r="G3784" t="s">
        <v>16222</v>
      </c>
      <c r="H3784" t="s">
        <v>47055</v>
      </c>
      <c r="I3784" t="s">
        <v>47127</v>
      </c>
      <c r="J3784" t="s">
        <v>47128</v>
      </c>
      <c r="K3784" t="s">
        <v>47113</v>
      </c>
      <c r="L3784">
        <v>29.25</v>
      </c>
      <c r="M3784">
        <v>48</v>
      </c>
      <c r="N3784">
        <v>0</v>
      </c>
      <c r="O3784">
        <v>48</v>
      </c>
      <c r="P3784">
        <v>0</v>
      </c>
    </row>
    <row r="3785" spans="1:16" x14ac:dyDescent="0.25">
      <c r="A3785" t="s">
        <v>26205</v>
      </c>
      <c r="B3785" t="s">
        <v>16538</v>
      </c>
      <c r="C3785" t="s">
        <v>2173</v>
      </c>
      <c r="D3785" t="str">
        <f>"1370"</f>
        <v>1370</v>
      </c>
      <c r="E3785" t="s">
        <v>2162</v>
      </c>
      <c r="F3785" t="s">
        <v>15183</v>
      </c>
      <c r="G3785" t="s">
        <v>16222</v>
      </c>
      <c r="H3785" t="s">
        <v>47055</v>
      </c>
      <c r="I3785" t="s">
        <v>47127</v>
      </c>
      <c r="J3785" t="s">
        <v>47128</v>
      </c>
      <c r="K3785" t="s">
        <v>47113</v>
      </c>
      <c r="L3785">
        <v>29.25</v>
      </c>
      <c r="M3785">
        <v>48</v>
      </c>
      <c r="N3785">
        <v>0</v>
      </c>
      <c r="O3785">
        <v>48</v>
      </c>
      <c r="P3785">
        <v>0</v>
      </c>
    </row>
    <row r="3786" spans="1:16" x14ac:dyDescent="0.25">
      <c r="A3786" t="s">
        <v>26206</v>
      </c>
      <c r="B3786" t="s">
        <v>16538</v>
      </c>
      <c r="C3786" t="s">
        <v>2173</v>
      </c>
      <c r="D3786" t="str">
        <f>"1377"</f>
        <v>1377</v>
      </c>
      <c r="E3786" t="s">
        <v>74</v>
      </c>
      <c r="F3786" t="s">
        <v>15183</v>
      </c>
      <c r="G3786" t="s">
        <v>16222</v>
      </c>
      <c r="H3786" t="s">
        <v>47055</v>
      </c>
      <c r="I3786" t="s">
        <v>47127</v>
      </c>
      <c r="J3786" t="s">
        <v>47128</v>
      </c>
      <c r="K3786" t="s">
        <v>47113</v>
      </c>
      <c r="L3786">
        <v>29.25</v>
      </c>
      <c r="M3786">
        <v>48</v>
      </c>
      <c r="N3786">
        <v>0</v>
      </c>
      <c r="O3786">
        <v>48</v>
      </c>
      <c r="P3786">
        <v>0</v>
      </c>
    </row>
    <row r="3787" spans="1:16" x14ac:dyDescent="0.25">
      <c r="A3787" t="s">
        <v>26207</v>
      </c>
      <c r="B3787" t="s">
        <v>16538</v>
      </c>
      <c r="C3787" t="s">
        <v>2173</v>
      </c>
      <c r="D3787" t="str">
        <f>"1378"</f>
        <v>1378</v>
      </c>
      <c r="E3787" t="s">
        <v>388</v>
      </c>
      <c r="F3787" t="s">
        <v>15183</v>
      </c>
      <c r="G3787" t="s">
        <v>16222</v>
      </c>
      <c r="H3787" t="s">
        <v>47055</v>
      </c>
      <c r="I3787" t="s">
        <v>47127</v>
      </c>
      <c r="J3787" t="s">
        <v>47128</v>
      </c>
      <c r="K3787" t="s">
        <v>47113</v>
      </c>
      <c r="L3787">
        <v>29.25</v>
      </c>
      <c r="M3787">
        <v>48</v>
      </c>
      <c r="N3787">
        <v>0</v>
      </c>
      <c r="O3787">
        <v>48</v>
      </c>
      <c r="P3787">
        <v>0</v>
      </c>
    </row>
    <row r="3788" spans="1:16" x14ac:dyDescent="0.25">
      <c r="A3788" t="s">
        <v>26208</v>
      </c>
      <c r="B3788" t="s">
        <v>16538</v>
      </c>
      <c r="C3788" t="s">
        <v>2173</v>
      </c>
      <c r="D3788" t="str">
        <f>"1537"</f>
        <v>1537</v>
      </c>
      <c r="E3788" t="s">
        <v>16535</v>
      </c>
      <c r="F3788" t="s">
        <v>15183</v>
      </c>
      <c r="G3788" t="s">
        <v>16222</v>
      </c>
      <c r="H3788" t="s">
        <v>47055</v>
      </c>
      <c r="I3788" t="s">
        <v>47127</v>
      </c>
      <c r="J3788" t="s">
        <v>47128</v>
      </c>
      <c r="K3788" t="s">
        <v>47113</v>
      </c>
      <c r="L3788">
        <v>29.25</v>
      </c>
      <c r="M3788">
        <v>48</v>
      </c>
      <c r="N3788">
        <v>0</v>
      </c>
      <c r="O3788">
        <v>48</v>
      </c>
      <c r="P3788">
        <v>0</v>
      </c>
    </row>
    <row r="3789" spans="1:16" x14ac:dyDescent="0.25">
      <c r="A3789" t="s">
        <v>26209</v>
      </c>
      <c r="B3789" t="s">
        <v>16538</v>
      </c>
      <c r="C3789" t="s">
        <v>2173</v>
      </c>
      <c r="D3789" t="str">
        <f>"1700"</f>
        <v>1700</v>
      </c>
      <c r="E3789" t="s">
        <v>60</v>
      </c>
      <c r="F3789" t="s">
        <v>15183</v>
      </c>
      <c r="G3789" t="s">
        <v>16222</v>
      </c>
      <c r="H3789" t="s">
        <v>47055</v>
      </c>
      <c r="I3789" t="s">
        <v>47127</v>
      </c>
      <c r="J3789" t="s">
        <v>47128</v>
      </c>
      <c r="K3789" t="s">
        <v>47113</v>
      </c>
      <c r="L3789">
        <v>29.25</v>
      </c>
      <c r="M3789">
        <v>48</v>
      </c>
      <c r="N3789">
        <v>0</v>
      </c>
      <c r="O3789">
        <v>48</v>
      </c>
      <c r="P3789">
        <v>0</v>
      </c>
    </row>
    <row r="3790" spans="1:16" x14ac:dyDescent="0.25">
      <c r="A3790" t="s">
        <v>26210</v>
      </c>
      <c r="B3790" t="s">
        <v>16538</v>
      </c>
      <c r="C3790" t="s">
        <v>2173</v>
      </c>
      <c r="D3790" t="str">
        <f>"1704"</f>
        <v>1704</v>
      </c>
      <c r="E3790" t="s">
        <v>7181</v>
      </c>
      <c r="F3790" t="s">
        <v>15183</v>
      </c>
      <c r="G3790" t="s">
        <v>16222</v>
      </c>
      <c r="H3790" t="s">
        <v>47055</v>
      </c>
      <c r="I3790" t="s">
        <v>47127</v>
      </c>
      <c r="J3790" t="s">
        <v>47128</v>
      </c>
      <c r="K3790" t="s">
        <v>47113</v>
      </c>
      <c r="L3790">
        <v>29.25</v>
      </c>
      <c r="M3790">
        <v>48</v>
      </c>
      <c r="N3790">
        <v>0</v>
      </c>
      <c r="O3790">
        <v>48</v>
      </c>
      <c r="P3790">
        <v>0</v>
      </c>
    </row>
    <row r="3791" spans="1:16" x14ac:dyDescent="0.25">
      <c r="A3791" t="s">
        <v>26211</v>
      </c>
      <c r="B3791" t="s">
        <v>16538</v>
      </c>
      <c r="C3791" t="s">
        <v>2173</v>
      </c>
      <c r="D3791" t="str">
        <f>"3304"</f>
        <v>3304</v>
      </c>
      <c r="E3791" t="s">
        <v>16536</v>
      </c>
      <c r="F3791" t="s">
        <v>15183</v>
      </c>
      <c r="G3791" t="s">
        <v>16222</v>
      </c>
      <c r="H3791" t="s">
        <v>47055</v>
      </c>
      <c r="I3791" t="s">
        <v>47127</v>
      </c>
      <c r="J3791" t="s">
        <v>47128</v>
      </c>
      <c r="K3791" t="s">
        <v>47113</v>
      </c>
      <c r="L3791">
        <v>29.25</v>
      </c>
      <c r="M3791">
        <v>48</v>
      </c>
      <c r="N3791">
        <v>0</v>
      </c>
      <c r="O3791">
        <v>48</v>
      </c>
      <c r="P3791">
        <v>0</v>
      </c>
    </row>
    <row r="3792" spans="1:16" x14ac:dyDescent="0.25">
      <c r="A3792" t="s">
        <v>26212</v>
      </c>
      <c r="B3792" t="s">
        <v>16538</v>
      </c>
      <c r="C3792" t="s">
        <v>2173</v>
      </c>
      <c r="D3792" t="str">
        <f>"4000"</f>
        <v>4000</v>
      </c>
      <c r="E3792" t="s">
        <v>16537</v>
      </c>
      <c r="F3792" t="s">
        <v>15183</v>
      </c>
      <c r="G3792" t="s">
        <v>16222</v>
      </c>
      <c r="H3792" t="s">
        <v>47055</v>
      </c>
      <c r="I3792" t="s">
        <v>47127</v>
      </c>
      <c r="J3792" t="s">
        <v>47128</v>
      </c>
      <c r="K3792" t="s">
        <v>47113</v>
      </c>
      <c r="L3792">
        <v>29.25</v>
      </c>
      <c r="M3792">
        <v>48</v>
      </c>
      <c r="N3792">
        <v>0</v>
      </c>
      <c r="O3792">
        <v>48</v>
      </c>
      <c r="P3792">
        <v>0</v>
      </c>
    </row>
    <row r="3793" spans="1:16" x14ac:dyDescent="0.25">
      <c r="A3793" t="s">
        <v>26213</v>
      </c>
      <c r="B3793" t="s">
        <v>16538</v>
      </c>
      <c r="C3793" t="s">
        <v>2173</v>
      </c>
      <c r="D3793" t="str">
        <f>"4643"</f>
        <v>4643</v>
      </c>
      <c r="E3793" t="s">
        <v>205</v>
      </c>
      <c r="F3793" t="s">
        <v>15183</v>
      </c>
      <c r="G3793" t="s">
        <v>16222</v>
      </c>
      <c r="H3793" t="s">
        <v>47055</v>
      </c>
      <c r="I3793" t="s">
        <v>47127</v>
      </c>
      <c r="J3793" t="s">
        <v>47128</v>
      </c>
      <c r="K3793" t="s">
        <v>47113</v>
      </c>
      <c r="L3793">
        <v>29.25</v>
      </c>
      <c r="M3793">
        <v>48</v>
      </c>
      <c r="N3793">
        <v>0</v>
      </c>
      <c r="O3793">
        <v>48</v>
      </c>
      <c r="P3793">
        <v>0</v>
      </c>
    </row>
    <row r="3794" spans="1:16" x14ac:dyDescent="0.25">
      <c r="A3794" t="s">
        <v>26214</v>
      </c>
      <c r="B3794" t="s">
        <v>16538</v>
      </c>
      <c r="C3794" t="s">
        <v>2173</v>
      </c>
      <c r="D3794" t="str">
        <f>"4921"</f>
        <v>4921</v>
      </c>
      <c r="E3794" t="s">
        <v>4156</v>
      </c>
      <c r="F3794" t="s">
        <v>15183</v>
      </c>
      <c r="G3794" t="s">
        <v>16222</v>
      </c>
      <c r="H3794" t="s">
        <v>47055</v>
      </c>
      <c r="I3794" t="s">
        <v>47127</v>
      </c>
      <c r="J3794" t="s">
        <v>47128</v>
      </c>
      <c r="K3794" t="s">
        <v>47113</v>
      </c>
      <c r="L3794">
        <v>29.25</v>
      </c>
      <c r="M3794">
        <v>48</v>
      </c>
      <c r="N3794">
        <v>0</v>
      </c>
      <c r="O3794">
        <v>48</v>
      </c>
      <c r="P3794">
        <v>0</v>
      </c>
    </row>
    <row r="3795" spans="1:16" x14ac:dyDescent="0.25">
      <c r="A3795" t="s">
        <v>26215</v>
      </c>
      <c r="B3795" t="s">
        <v>16539</v>
      </c>
      <c r="C3795" t="s">
        <v>10760</v>
      </c>
      <c r="D3795" t="str">
        <f>"1001"</f>
        <v>1001</v>
      </c>
      <c r="E3795" t="s">
        <v>42</v>
      </c>
      <c r="F3795" t="s">
        <v>15183</v>
      </c>
      <c r="G3795" t="s">
        <v>16222</v>
      </c>
      <c r="H3795" t="s">
        <v>47055</v>
      </c>
      <c r="I3795" t="s">
        <v>47127</v>
      </c>
      <c r="J3795" t="s">
        <v>47128</v>
      </c>
      <c r="K3795" t="s">
        <v>47113</v>
      </c>
      <c r="L3795">
        <v>27</v>
      </c>
      <c r="M3795">
        <v>45</v>
      </c>
      <c r="N3795">
        <v>0</v>
      </c>
      <c r="O3795">
        <v>45</v>
      </c>
      <c r="P3795">
        <v>0</v>
      </c>
    </row>
    <row r="3796" spans="1:16" x14ac:dyDescent="0.25">
      <c r="A3796" t="s">
        <v>26216</v>
      </c>
      <c r="B3796" t="s">
        <v>16539</v>
      </c>
      <c r="C3796" t="s">
        <v>10760</v>
      </c>
      <c r="D3796" t="str">
        <f>"1200"</f>
        <v>1200</v>
      </c>
      <c r="E3796" t="s">
        <v>16534</v>
      </c>
      <c r="F3796" t="s">
        <v>15183</v>
      </c>
      <c r="G3796" t="s">
        <v>16222</v>
      </c>
      <c r="H3796" t="s">
        <v>47055</v>
      </c>
      <c r="I3796" t="s">
        <v>47127</v>
      </c>
      <c r="J3796" t="s">
        <v>47128</v>
      </c>
      <c r="K3796" t="s">
        <v>47113</v>
      </c>
      <c r="L3796">
        <v>27</v>
      </c>
      <c r="M3796">
        <v>45</v>
      </c>
      <c r="N3796">
        <v>0</v>
      </c>
      <c r="O3796">
        <v>45</v>
      </c>
      <c r="P3796">
        <v>0</v>
      </c>
    </row>
    <row r="3797" spans="1:16" x14ac:dyDescent="0.25">
      <c r="A3797" t="s">
        <v>26217</v>
      </c>
      <c r="B3797" t="s">
        <v>16539</v>
      </c>
      <c r="C3797" t="s">
        <v>10760</v>
      </c>
      <c r="D3797" t="str">
        <f>"1285"</f>
        <v>1285</v>
      </c>
      <c r="E3797" t="s">
        <v>2148</v>
      </c>
      <c r="F3797" t="s">
        <v>15183</v>
      </c>
      <c r="G3797" t="s">
        <v>16222</v>
      </c>
      <c r="H3797" t="s">
        <v>47055</v>
      </c>
      <c r="I3797" t="s">
        <v>47127</v>
      </c>
      <c r="J3797" t="s">
        <v>47128</v>
      </c>
      <c r="K3797" t="s">
        <v>47113</v>
      </c>
      <c r="L3797">
        <v>27</v>
      </c>
      <c r="M3797">
        <v>45</v>
      </c>
      <c r="N3797">
        <v>0</v>
      </c>
      <c r="O3797">
        <v>45</v>
      </c>
      <c r="P3797">
        <v>0</v>
      </c>
    </row>
    <row r="3798" spans="1:16" x14ac:dyDescent="0.25">
      <c r="A3798" t="s">
        <v>26218</v>
      </c>
      <c r="B3798" t="s">
        <v>16539</v>
      </c>
      <c r="C3798" t="s">
        <v>10760</v>
      </c>
      <c r="D3798" t="str">
        <f>"1370"</f>
        <v>1370</v>
      </c>
      <c r="E3798" t="s">
        <v>2162</v>
      </c>
      <c r="F3798" t="s">
        <v>15183</v>
      </c>
      <c r="G3798" t="s">
        <v>16222</v>
      </c>
      <c r="H3798" t="s">
        <v>47055</v>
      </c>
      <c r="I3798" t="s">
        <v>47127</v>
      </c>
      <c r="J3798" t="s">
        <v>47128</v>
      </c>
      <c r="K3798" t="s">
        <v>47113</v>
      </c>
      <c r="L3798">
        <v>27</v>
      </c>
      <c r="M3798">
        <v>45</v>
      </c>
      <c r="N3798">
        <v>0</v>
      </c>
      <c r="O3798">
        <v>45</v>
      </c>
      <c r="P3798">
        <v>0</v>
      </c>
    </row>
    <row r="3799" spans="1:16" x14ac:dyDescent="0.25">
      <c r="A3799" t="s">
        <v>26219</v>
      </c>
      <c r="B3799" t="s">
        <v>16539</v>
      </c>
      <c r="C3799" t="s">
        <v>10760</v>
      </c>
      <c r="D3799" t="str">
        <f>"1377"</f>
        <v>1377</v>
      </c>
      <c r="E3799" t="s">
        <v>74</v>
      </c>
      <c r="F3799" t="s">
        <v>15183</v>
      </c>
      <c r="G3799" t="s">
        <v>16222</v>
      </c>
      <c r="H3799" t="s">
        <v>47055</v>
      </c>
      <c r="I3799" t="s">
        <v>47127</v>
      </c>
      <c r="J3799" t="s">
        <v>47128</v>
      </c>
      <c r="K3799" t="s">
        <v>47113</v>
      </c>
      <c r="L3799">
        <v>27</v>
      </c>
      <c r="M3799">
        <v>45</v>
      </c>
      <c r="N3799">
        <v>0</v>
      </c>
      <c r="O3799">
        <v>45</v>
      </c>
      <c r="P3799">
        <v>0</v>
      </c>
    </row>
    <row r="3800" spans="1:16" x14ac:dyDescent="0.25">
      <c r="A3800" t="s">
        <v>26220</v>
      </c>
      <c r="B3800" t="s">
        <v>16539</v>
      </c>
      <c r="C3800" t="s">
        <v>10760</v>
      </c>
      <c r="D3800" t="str">
        <f>"1378"</f>
        <v>1378</v>
      </c>
      <c r="E3800" t="s">
        <v>388</v>
      </c>
      <c r="F3800" t="s">
        <v>15183</v>
      </c>
      <c r="G3800" t="s">
        <v>16222</v>
      </c>
      <c r="H3800" t="s">
        <v>47055</v>
      </c>
      <c r="I3800" t="s">
        <v>47127</v>
      </c>
      <c r="J3800" t="s">
        <v>47128</v>
      </c>
      <c r="K3800" t="s">
        <v>47113</v>
      </c>
      <c r="L3800">
        <v>27</v>
      </c>
      <c r="M3800">
        <v>45</v>
      </c>
      <c r="N3800">
        <v>0</v>
      </c>
      <c r="O3800">
        <v>45</v>
      </c>
      <c r="P3800">
        <v>0</v>
      </c>
    </row>
    <row r="3801" spans="1:16" x14ac:dyDescent="0.25">
      <c r="A3801" t="s">
        <v>26221</v>
      </c>
      <c r="B3801" t="s">
        <v>16539</v>
      </c>
      <c r="C3801" t="s">
        <v>10760</v>
      </c>
      <c r="D3801" t="str">
        <f>"1537"</f>
        <v>1537</v>
      </c>
      <c r="E3801" t="s">
        <v>16535</v>
      </c>
      <c r="F3801" t="s">
        <v>15183</v>
      </c>
      <c r="G3801" t="s">
        <v>16222</v>
      </c>
      <c r="H3801" t="s">
        <v>47055</v>
      </c>
      <c r="I3801" t="s">
        <v>47127</v>
      </c>
      <c r="J3801" t="s">
        <v>47128</v>
      </c>
      <c r="K3801" t="s">
        <v>47113</v>
      </c>
      <c r="L3801">
        <v>27</v>
      </c>
      <c r="M3801">
        <v>45</v>
      </c>
      <c r="N3801">
        <v>0</v>
      </c>
      <c r="O3801">
        <v>45</v>
      </c>
      <c r="P3801">
        <v>0</v>
      </c>
    </row>
    <row r="3802" spans="1:16" x14ac:dyDescent="0.25">
      <c r="A3802" t="s">
        <v>26222</v>
      </c>
      <c r="B3802" t="s">
        <v>16539</v>
      </c>
      <c r="C3802" t="s">
        <v>10760</v>
      </c>
      <c r="D3802" t="str">
        <f>"1700"</f>
        <v>1700</v>
      </c>
      <c r="E3802" t="s">
        <v>60</v>
      </c>
      <c r="F3802" t="s">
        <v>15183</v>
      </c>
      <c r="G3802" t="s">
        <v>16222</v>
      </c>
      <c r="H3802" t="s">
        <v>47055</v>
      </c>
      <c r="I3802" t="s">
        <v>47127</v>
      </c>
      <c r="J3802" t="s">
        <v>47128</v>
      </c>
      <c r="K3802" t="s">
        <v>47113</v>
      </c>
      <c r="L3802">
        <v>27</v>
      </c>
      <c r="M3802">
        <v>45</v>
      </c>
      <c r="N3802">
        <v>0</v>
      </c>
      <c r="O3802">
        <v>45</v>
      </c>
      <c r="P3802">
        <v>0</v>
      </c>
    </row>
    <row r="3803" spans="1:16" x14ac:dyDescent="0.25">
      <c r="A3803" t="s">
        <v>26223</v>
      </c>
      <c r="B3803" t="s">
        <v>16539</v>
      </c>
      <c r="C3803" t="s">
        <v>10760</v>
      </c>
      <c r="D3803" t="str">
        <f>"1704"</f>
        <v>1704</v>
      </c>
      <c r="E3803" t="s">
        <v>7181</v>
      </c>
      <c r="F3803" t="s">
        <v>15183</v>
      </c>
      <c r="G3803" t="s">
        <v>16222</v>
      </c>
      <c r="H3803" t="s">
        <v>47055</v>
      </c>
      <c r="I3803" t="s">
        <v>47127</v>
      </c>
      <c r="J3803" t="s">
        <v>47128</v>
      </c>
      <c r="K3803" t="s">
        <v>47113</v>
      </c>
      <c r="L3803">
        <v>27</v>
      </c>
      <c r="M3803">
        <v>45</v>
      </c>
      <c r="N3803">
        <v>0</v>
      </c>
      <c r="O3803">
        <v>45</v>
      </c>
      <c r="P3803">
        <v>0</v>
      </c>
    </row>
    <row r="3804" spans="1:16" x14ac:dyDescent="0.25">
      <c r="A3804" t="s">
        <v>26224</v>
      </c>
      <c r="B3804" t="s">
        <v>16539</v>
      </c>
      <c r="C3804" t="s">
        <v>10760</v>
      </c>
      <c r="D3804" t="str">
        <f>"3304"</f>
        <v>3304</v>
      </c>
      <c r="E3804" t="s">
        <v>16536</v>
      </c>
      <c r="F3804" t="s">
        <v>15183</v>
      </c>
      <c r="G3804" t="s">
        <v>16222</v>
      </c>
      <c r="H3804" t="s">
        <v>47055</v>
      </c>
      <c r="I3804" t="s">
        <v>47127</v>
      </c>
      <c r="J3804" t="s">
        <v>47128</v>
      </c>
      <c r="K3804" t="s">
        <v>47113</v>
      </c>
      <c r="L3804">
        <v>27</v>
      </c>
      <c r="M3804">
        <v>45</v>
      </c>
      <c r="N3804">
        <v>0</v>
      </c>
      <c r="O3804">
        <v>45</v>
      </c>
      <c r="P3804">
        <v>0</v>
      </c>
    </row>
    <row r="3805" spans="1:16" x14ac:dyDescent="0.25">
      <c r="A3805" t="s">
        <v>26225</v>
      </c>
      <c r="B3805" t="s">
        <v>16539</v>
      </c>
      <c r="C3805" t="s">
        <v>10760</v>
      </c>
      <c r="D3805" t="str">
        <f>"4000"</f>
        <v>4000</v>
      </c>
      <c r="E3805" t="s">
        <v>16537</v>
      </c>
      <c r="F3805" t="s">
        <v>15183</v>
      </c>
      <c r="G3805" t="s">
        <v>16222</v>
      </c>
      <c r="H3805" t="s">
        <v>47055</v>
      </c>
      <c r="I3805" t="s">
        <v>47127</v>
      </c>
      <c r="J3805" t="s">
        <v>47128</v>
      </c>
      <c r="K3805" t="s">
        <v>47113</v>
      </c>
      <c r="L3805">
        <v>27</v>
      </c>
      <c r="M3805">
        <v>45</v>
      </c>
      <c r="N3805">
        <v>0</v>
      </c>
      <c r="O3805">
        <v>45</v>
      </c>
      <c r="P3805">
        <v>0</v>
      </c>
    </row>
    <row r="3806" spans="1:16" x14ac:dyDescent="0.25">
      <c r="A3806" t="s">
        <v>26226</v>
      </c>
      <c r="B3806" t="s">
        <v>16539</v>
      </c>
      <c r="C3806" t="s">
        <v>10760</v>
      </c>
      <c r="D3806" t="str">
        <f>"4643"</f>
        <v>4643</v>
      </c>
      <c r="E3806" t="s">
        <v>205</v>
      </c>
      <c r="F3806" t="s">
        <v>15183</v>
      </c>
      <c r="G3806" t="s">
        <v>16222</v>
      </c>
      <c r="H3806" t="s">
        <v>47055</v>
      </c>
      <c r="I3806" t="s">
        <v>47127</v>
      </c>
      <c r="J3806" t="s">
        <v>47128</v>
      </c>
      <c r="K3806" t="s">
        <v>47113</v>
      </c>
      <c r="L3806">
        <v>27</v>
      </c>
      <c r="M3806">
        <v>45</v>
      </c>
      <c r="N3806">
        <v>0</v>
      </c>
      <c r="O3806">
        <v>45</v>
      </c>
      <c r="P3806">
        <v>0</v>
      </c>
    </row>
    <row r="3807" spans="1:16" x14ac:dyDescent="0.25">
      <c r="A3807" t="s">
        <v>26227</v>
      </c>
      <c r="B3807" t="s">
        <v>16539</v>
      </c>
      <c r="C3807" t="s">
        <v>10760</v>
      </c>
      <c r="D3807" t="str">
        <f>"4921"</f>
        <v>4921</v>
      </c>
      <c r="E3807" t="s">
        <v>4156</v>
      </c>
      <c r="F3807" t="s">
        <v>15183</v>
      </c>
      <c r="G3807" t="s">
        <v>16222</v>
      </c>
      <c r="H3807" t="s">
        <v>47055</v>
      </c>
      <c r="I3807" t="s">
        <v>47127</v>
      </c>
      <c r="J3807" t="s">
        <v>47128</v>
      </c>
      <c r="K3807" t="s">
        <v>47113</v>
      </c>
      <c r="L3807">
        <v>27</v>
      </c>
      <c r="M3807">
        <v>45</v>
      </c>
      <c r="N3807">
        <v>0</v>
      </c>
      <c r="O3807">
        <v>45</v>
      </c>
      <c r="P3807">
        <v>0</v>
      </c>
    </row>
    <row r="3808" spans="1:16" x14ac:dyDescent="0.25">
      <c r="A3808" t="s">
        <v>26228</v>
      </c>
      <c r="B3808" t="s">
        <v>16540</v>
      </c>
      <c r="C3808" t="s">
        <v>16541</v>
      </c>
      <c r="D3808" t="str">
        <f>"1001"</f>
        <v>1001</v>
      </c>
      <c r="E3808" t="s">
        <v>42</v>
      </c>
      <c r="F3808" t="s">
        <v>15183</v>
      </c>
      <c r="G3808" t="s">
        <v>16235</v>
      </c>
      <c r="H3808" t="s">
        <v>47055</v>
      </c>
      <c r="I3808" t="s">
        <v>47127</v>
      </c>
      <c r="J3808" t="s">
        <v>47128</v>
      </c>
      <c r="K3808" t="s">
        <v>47113</v>
      </c>
      <c r="L3808">
        <v>40.51</v>
      </c>
      <c r="M3808">
        <v>108</v>
      </c>
      <c r="N3808">
        <v>0</v>
      </c>
      <c r="O3808">
        <v>108</v>
      </c>
      <c r="P3808">
        <v>0</v>
      </c>
    </row>
    <row r="3809" spans="1:16" x14ac:dyDescent="0.25">
      <c r="A3809" t="s">
        <v>26229</v>
      </c>
      <c r="B3809" t="s">
        <v>16540</v>
      </c>
      <c r="C3809" t="s">
        <v>16541</v>
      </c>
      <c r="D3809" t="str">
        <f>"1200"</f>
        <v>1200</v>
      </c>
      <c r="E3809" t="s">
        <v>16534</v>
      </c>
      <c r="F3809" t="s">
        <v>15183</v>
      </c>
      <c r="G3809" t="s">
        <v>16235</v>
      </c>
      <c r="H3809" t="s">
        <v>47055</v>
      </c>
      <c r="I3809" t="s">
        <v>47127</v>
      </c>
      <c r="J3809" t="s">
        <v>47128</v>
      </c>
      <c r="K3809" t="s">
        <v>47113</v>
      </c>
      <c r="L3809">
        <v>40.51</v>
      </c>
      <c r="M3809">
        <v>108</v>
      </c>
      <c r="N3809">
        <v>0</v>
      </c>
      <c r="O3809">
        <v>108</v>
      </c>
      <c r="P3809">
        <v>0</v>
      </c>
    </row>
    <row r="3810" spans="1:16" x14ac:dyDescent="0.25">
      <c r="A3810" t="s">
        <v>26230</v>
      </c>
      <c r="B3810" t="s">
        <v>16540</v>
      </c>
      <c r="C3810" t="s">
        <v>16541</v>
      </c>
      <c r="D3810" t="str">
        <f>"1285"</f>
        <v>1285</v>
      </c>
      <c r="E3810" t="s">
        <v>2148</v>
      </c>
      <c r="F3810" t="s">
        <v>15183</v>
      </c>
      <c r="G3810" t="s">
        <v>16235</v>
      </c>
      <c r="H3810" t="s">
        <v>47055</v>
      </c>
      <c r="I3810" t="s">
        <v>47127</v>
      </c>
      <c r="J3810" t="s">
        <v>47128</v>
      </c>
      <c r="K3810" t="s">
        <v>47113</v>
      </c>
      <c r="L3810">
        <v>40.51</v>
      </c>
      <c r="M3810">
        <v>108</v>
      </c>
      <c r="N3810">
        <v>0</v>
      </c>
      <c r="O3810">
        <v>108</v>
      </c>
      <c r="P3810">
        <v>0</v>
      </c>
    </row>
    <row r="3811" spans="1:16" x14ac:dyDescent="0.25">
      <c r="A3811" t="s">
        <v>26231</v>
      </c>
      <c r="B3811" t="s">
        <v>16540</v>
      </c>
      <c r="C3811" t="s">
        <v>16541</v>
      </c>
      <c r="D3811" t="str">
        <f>"1370"</f>
        <v>1370</v>
      </c>
      <c r="E3811" t="s">
        <v>2162</v>
      </c>
      <c r="F3811" t="s">
        <v>15183</v>
      </c>
      <c r="G3811" t="s">
        <v>16235</v>
      </c>
      <c r="H3811" t="s">
        <v>47055</v>
      </c>
      <c r="I3811" t="s">
        <v>47127</v>
      </c>
      <c r="J3811" t="s">
        <v>47128</v>
      </c>
      <c r="K3811" t="s">
        <v>47113</v>
      </c>
      <c r="L3811">
        <v>40.51</v>
      </c>
      <c r="M3811">
        <v>108</v>
      </c>
      <c r="N3811">
        <v>0</v>
      </c>
      <c r="O3811">
        <v>108</v>
      </c>
      <c r="P3811">
        <v>0</v>
      </c>
    </row>
    <row r="3812" spans="1:16" x14ac:dyDescent="0.25">
      <c r="A3812" t="s">
        <v>26232</v>
      </c>
      <c r="B3812" t="s">
        <v>16540</v>
      </c>
      <c r="C3812" t="s">
        <v>16541</v>
      </c>
      <c r="D3812" t="str">
        <f>"1377"</f>
        <v>1377</v>
      </c>
      <c r="E3812" t="s">
        <v>74</v>
      </c>
      <c r="F3812" t="s">
        <v>15183</v>
      </c>
      <c r="G3812" t="s">
        <v>16235</v>
      </c>
      <c r="H3812" t="s">
        <v>47055</v>
      </c>
      <c r="I3812" t="s">
        <v>47127</v>
      </c>
      <c r="J3812" t="s">
        <v>47128</v>
      </c>
      <c r="K3812" t="s">
        <v>47113</v>
      </c>
      <c r="L3812">
        <v>40.51</v>
      </c>
      <c r="M3812">
        <v>108</v>
      </c>
      <c r="N3812">
        <v>0</v>
      </c>
      <c r="O3812">
        <v>108</v>
      </c>
      <c r="P3812">
        <v>0</v>
      </c>
    </row>
    <row r="3813" spans="1:16" x14ac:dyDescent="0.25">
      <c r="A3813" t="s">
        <v>26233</v>
      </c>
      <c r="B3813" t="s">
        <v>16540</v>
      </c>
      <c r="C3813" t="s">
        <v>16541</v>
      </c>
      <c r="D3813" t="str">
        <f>"1378"</f>
        <v>1378</v>
      </c>
      <c r="E3813" t="s">
        <v>388</v>
      </c>
      <c r="F3813" t="s">
        <v>15183</v>
      </c>
      <c r="G3813" t="s">
        <v>16235</v>
      </c>
      <c r="H3813" t="s">
        <v>47055</v>
      </c>
      <c r="I3813" t="s">
        <v>47127</v>
      </c>
      <c r="J3813" t="s">
        <v>47128</v>
      </c>
      <c r="K3813" t="s">
        <v>47113</v>
      </c>
      <c r="L3813">
        <v>40.51</v>
      </c>
      <c r="M3813">
        <v>108</v>
      </c>
      <c r="N3813">
        <v>0</v>
      </c>
      <c r="O3813">
        <v>108</v>
      </c>
      <c r="P3813">
        <v>0</v>
      </c>
    </row>
    <row r="3814" spans="1:16" x14ac:dyDescent="0.25">
      <c r="A3814" t="s">
        <v>26234</v>
      </c>
      <c r="B3814" t="s">
        <v>16540</v>
      </c>
      <c r="C3814" t="s">
        <v>16541</v>
      </c>
      <c r="D3814" t="str">
        <f>"1537"</f>
        <v>1537</v>
      </c>
      <c r="E3814" t="s">
        <v>16535</v>
      </c>
      <c r="F3814" t="s">
        <v>15183</v>
      </c>
      <c r="G3814" t="s">
        <v>16235</v>
      </c>
      <c r="H3814" t="s">
        <v>47055</v>
      </c>
      <c r="I3814" t="s">
        <v>47127</v>
      </c>
      <c r="J3814" t="s">
        <v>47128</v>
      </c>
      <c r="K3814" t="s">
        <v>47113</v>
      </c>
      <c r="L3814">
        <v>40.51</v>
      </c>
      <c r="M3814">
        <v>108</v>
      </c>
      <c r="N3814">
        <v>0</v>
      </c>
      <c r="O3814">
        <v>108</v>
      </c>
      <c r="P3814">
        <v>0</v>
      </c>
    </row>
    <row r="3815" spans="1:16" x14ac:dyDescent="0.25">
      <c r="A3815" t="s">
        <v>26235</v>
      </c>
      <c r="B3815" t="s">
        <v>16540</v>
      </c>
      <c r="C3815" t="s">
        <v>16541</v>
      </c>
      <c r="D3815" t="str">
        <f>"1700"</f>
        <v>1700</v>
      </c>
      <c r="E3815" t="s">
        <v>60</v>
      </c>
      <c r="F3815" t="s">
        <v>15183</v>
      </c>
      <c r="G3815" t="s">
        <v>16235</v>
      </c>
      <c r="H3815" t="s">
        <v>47055</v>
      </c>
      <c r="I3815" t="s">
        <v>47127</v>
      </c>
      <c r="J3815" t="s">
        <v>47128</v>
      </c>
      <c r="K3815" t="s">
        <v>47113</v>
      </c>
      <c r="L3815">
        <v>40.51</v>
      </c>
      <c r="M3815">
        <v>108</v>
      </c>
      <c r="N3815">
        <v>0</v>
      </c>
      <c r="O3815">
        <v>108</v>
      </c>
      <c r="P3815">
        <v>0</v>
      </c>
    </row>
    <row r="3816" spans="1:16" x14ac:dyDescent="0.25">
      <c r="A3816" t="s">
        <v>26236</v>
      </c>
      <c r="B3816" t="s">
        <v>16540</v>
      </c>
      <c r="C3816" t="s">
        <v>16541</v>
      </c>
      <c r="D3816" t="str">
        <f>"1704"</f>
        <v>1704</v>
      </c>
      <c r="E3816" t="s">
        <v>7181</v>
      </c>
      <c r="F3816" t="s">
        <v>15183</v>
      </c>
      <c r="G3816" t="s">
        <v>16235</v>
      </c>
      <c r="H3816" t="s">
        <v>47055</v>
      </c>
      <c r="I3816" t="s">
        <v>47127</v>
      </c>
      <c r="J3816" t="s">
        <v>47128</v>
      </c>
      <c r="K3816" t="s">
        <v>47113</v>
      </c>
      <c r="L3816">
        <v>40.51</v>
      </c>
      <c r="M3816">
        <v>108</v>
      </c>
      <c r="N3816">
        <v>0</v>
      </c>
      <c r="O3816">
        <v>108</v>
      </c>
      <c r="P3816">
        <v>0</v>
      </c>
    </row>
    <row r="3817" spans="1:16" x14ac:dyDescent="0.25">
      <c r="A3817" t="s">
        <v>26237</v>
      </c>
      <c r="B3817" t="s">
        <v>16540</v>
      </c>
      <c r="C3817" t="s">
        <v>16541</v>
      </c>
      <c r="D3817" t="str">
        <f>"3304"</f>
        <v>3304</v>
      </c>
      <c r="E3817" t="s">
        <v>16536</v>
      </c>
      <c r="F3817" t="s">
        <v>15183</v>
      </c>
      <c r="G3817" t="s">
        <v>16235</v>
      </c>
      <c r="H3817" t="s">
        <v>47055</v>
      </c>
      <c r="I3817" t="s">
        <v>47127</v>
      </c>
      <c r="J3817" t="s">
        <v>47128</v>
      </c>
      <c r="K3817" t="s">
        <v>47113</v>
      </c>
      <c r="L3817">
        <v>40.51</v>
      </c>
      <c r="M3817">
        <v>108</v>
      </c>
      <c r="N3817">
        <v>0</v>
      </c>
      <c r="O3817">
        <v>108</v>
      </c>
      <c r="P3817">
        <v>0</v>
      </c>
    </row>
    <row r="3818" spans="1:16" x14ac:dyDescent="0.25">
      <c r="A3818" t="s">
        <v>26238</v>
      </c>
      <c r="B3818" t="s">
        <v>16540</v>
      </c>
      <c r="C3818" t="s">
        <v>16541</v>
      </c>
      <c r="D3818" t="str">
        <f>"4000"</f>
        <v>4000</v>
      </c>
      <c r="E3818" t="s">
        <v>16537</v>
      </c>
      <c r="F3818" t="s">
        <v>15183</v>
      </c>
      <c r="G3818" t="s">
        <v>16235</v>
      </c>
      <c r="H3818" t="s">
        <v>47055</v>
      </c>
      <c r="I3818" t="s">
        <v>47127</v>
      </c>
      <c r="J3818" t="s">
        <v>47128</v>
      </c>
      <c r="K3818" t="s">
        <v>47113</v>
      </c>
      <c r="L3818">
        <v>40.51</v>
      </c>
      <c r="M3818">
        <v>108</v>
      </c>
      <c r="N3818">
        <v>0</v>
      </c>
      <c r="O3818">
        <v>108</v>
      </c>
      <c r="P3818">
        <v>0</v>
      </c>
    </row>
    <row r="3819" spans="1:16" x14ac:dyDescent="0.25">
      <c r="A3819" t="s">
        <v>26239</v>
      </c>
      <c r="B3819" t="s">
        <v>16540</v>
      </c>
      <c r="C3819" t="s">
        <v>16541</v>
      </c>
      <c r="D3819" t="str">
        <f>"4643"</f>
        <v>4643</v>
      </c>
      <c r="E3819" t="s">
        <v>205</v>
      </c>
      <c r="F3819" t="s">
        <v>15183</v>
      </c>
      <c r="G3819" t="s">
        <v>16235</v>
      </c>
      <c r="H3819" t="s">
        <v>47055</v>
      </c>
      <c r="I3819" t="s">
        <v>47127</v>
      </c>
      <c r="J3819" t="s">
        <v>47128</v>
      </c>
      <c r="K3819" t="s">
        <v>47113</v>
      </c>
      <c r="L3819">
        <v>40.51</v>
      </c>
      <c r="M3819">
        <v>108</v>
      </c>
      <c r="N3819">
        <v>0</v>
      </c>
      <c r="O3819">
        <v>108</v>
      </c>
      <c r="P3819">
        <v>0</v>
      </c>
    </row>
    <row r="3820" spans="1:16" x14ac:dyDescent="0.25">
      <c r="A3820" t="s">
        <v>26240</v>
      </c>
      <c r="B3820" t="s">
        <v>16540</v>
      </c>
      <c r="C3820" t="s">
        <v>16541</v>
      </c>
      <c r="D3820" t="str">
        <f>"4921"</f>
        <v>4921</v>
      </c>
      <c r="E3820" t="s">
        <v>4156</v>
      </c>
      <c r="F3820" t="s">
        <v>15183</v>
      </c>
      <c r="G3820" t="s">
        <v>16235</v>
      </c>
      <c r="H3820" t="s">
        <v>47055</v>
      </c>
      <c r="I3820" t="s">
        <v>47127</v>
      </c>
      <c r="J3820" t="s">
        <v>47128</v>
      </c>
      <c r="K3820" t="s">
        <v>47113</v>
      </c>
      <c r="L3820">
        <v>40.51</v>
      </c>
      <c r="M3820">
        <v>108</v>
      </c>
      <c r="N3820">
        <v>0</v>
      </c>
      <c r="O3820">
        <v>108</v>
      </c>
      <c r="P3820">
        <v>0</v>
      </c>
    </row>
    <row r="3821" spans="1:16" x14ac:dyDescent="0.25">
      <c r="A3821" t="s">
        <v>26241</v>
      </c>
      <c r="B3821" t="s">
        <v>16542</v>
      </c>
      <c r="C3821" t="s">
        <v>2173</v>
      </c>
      <c r="D3821" t="str">
        <f>"1001"</f>
        <v>1001</v>
      </c>
      <c r="E3821" t="s">
        <v>42</v>
      </c>
      <c r="F3821" t="s">
        <v>15183</v>
      </c>
      <c r="G3821" t="s">
        <v>16222</v>
      </c>
      <c r="H3821" t="s">
        <v>47055</v>
      </c>
      <c r="I3821" t="s">
        <v>47127</v>
      </c>
      <c r="J3821" t="s">
        <v>47128</v>
      </c>
      <c r="K3821" t="s">
        <v>47113</v>
      </c>
      <c r="L3821">
        <v>36.01</v>
      </c>
      <c r="M3821">
        <v>96</v>
      </c>
      <c r="N3821">
        <v>0</v>
      </c>
      <c r="O3821">
        <v>96</v>
      </c>
      <c r="P3821">
        <v>0</v>
      </c>
    </row>
    <row r="3822" spans="1:16" x14ac:dyDescent="0.25">
      <c r="A3822" t="s">
        <v>26242</v>
      </c>
      <c r="B3822" t="s">
        <v>16542</v>
      </c>
      <c r="C3822" t="s">
        <v>2173</v>
      </c>
      <c r="D3822" t="str">
        <f>"1200"</f>
        <v>1200</v>
      </c>
      <c r="E3822" t="s">
        <v>16534</v>
      </c>
      <c r="F3822" t="s">
        <v>15183</v>
      </c>
      <c r="G3822" t="s">
        <v>16222</v>
      </c>
      <c r="H3822" t="s">
        <v>47055</v>
      </c>
      <c r="I3822" t="s">
        <v>47127</v>
      </c>
      <c r="J3822" t="s">
        <v>47128</v>
      </c>
      <c r="K3822" t="s">
        <v>47113</v>
      </c>
      <c r="L3822">
        <v>36.01</v>
      </c>
      <c r="M3822">
        <v>96</v>
      </c>
      <c r="N3822">
        <v>0</v>
      </c>
      <c r="O3822">
        <v>96</v>
      </c>
      <c r="P3822">
        <v>0</v>
      </c>
    </row>
    <row r="3823" spans="1:16" x14ac:dyDescent="0.25">
      <c r="A3823" t="s">
        <v>26243</v>
      </c>
      <c r="B3823" t="s">
        <v>16542</v>
      </c>
      <c r="C3823" t="s">
        <v>2173</v>
      </c>
      <c r="D3823" t="str">
        <f>"1285"</f>
        <v>1285</v>
      </c>
      <c r="E3823" t="s">
        <v>2148</v>
      </c>
      <c r="F3823" t="s">
        <v>15183</v>
      </c>
      <c r="G3823" t="s">
        <v>16222</v>
      </c>
      <c r="H3823" t="s">
        <v>47055</v>
      </c>
      <c r="I3823" t="s">
        <v>47127</v>
      </c>
      <c r="J3823" t="s">
        <v>47128</v>
      </c>
      <c r="K3823" t="s">
        <v>47113</v>
      </c>
      <c r="L3823">
        <v>36.01</v>
      </c>
      <c r="M3823">
        <v>96</v>
      </c>
      <c r="N3823">
        <v>0</v>
      </c>
      <c r="O3823">
        <v>96</v>
      </c>
      <c r="P3823">
        <v>0</v>
      </c>
    </row>
    <row r="3824" spans="1:16" x14ac:dyDescent="0.25">
      <c r="A3824" t="s">
        <v>26244</v>
      </c>
      <c r="B3824" t="s">
        <v>16542</v>
      </c>
      <c r="C3824" t="s">
        <v>2173</v>
      </c>
      <c r="D3824" t="str">
        <f>"1370"</f>
        <v>1370</v>
      </c>
      <c r="E3824" t="s">
        <v>2162</v>
      </c>
      <c r="F3824" t="s">
        <v>15183</v>
      </c>
      <c r="G3824" t="s">
        <v>16222</v>
      </c>
      <c r="H3824" t="s">
        <v>47055</v>
      </c>
      <c r="I3824" t="s">
        <v>47127</v>
      </c>
      <c r="J3824" t="s">
        <v>47128</v>
      </c>
      <c r="K3824" t="s">
        <v>47113</v>
      </c>
      <c r="L3824">
        <v>36.01</v>
      </c>
      <c r="M3824">
        <v>96</v>
      </c>
      <c r="N3824">
        <v>0</v>
      </c>
      <c r="O3824">
        <v>96</v>
      </c>
      <c r="P3824">
        <v>0</v>
      </c>
    </row>
    <row r="3825" spans="1:16" x14ac:dyDescent="0.25">
      <c r="A3825" t="s">
        <v>26245</v>
      </c>
      <c r="B3825" t="s">
        <v>16542</v>
      </c>
      <c r="C3825" t="s">
        <v>2173</v>
      </c>
      <c r="D3825" t="str">
        <f>"1377"</f>
        <v>1377</v>
      </c>
      <c r="E3825" t="s">
        <v>74</v>
      </c>
      <c r="F3825" t="s">
        <v>15183</v>
      </c>
      <c r="G3825" t="s">
        <v>16222</v>
      </c>
      <c r="H3825" t="s">
        <v>47055</v>
      </c>
      <c r="I3825" t="s">
        <v>47127</v>
      </c>
      <c r="J3825" t="s">
        <v>47128</v>
      </c>
      <c r="K3825" t="s">
        <v>47113</v>
      </c>
      <c r="L3825">
        <v>36.01</v>
      </c>
      <c r="M3825">
        <v>96</v>
      </c>
      <c r="N3825">
        <v>0</v>
      </c>
      <c r="O3825">
        <v>96</v>
      </c>
      <c r="P3825">
        <v>0</v>
      </c>
    </row>
    <row r="3826" spans="1:16" x14ac:dyDescent="0.25">
      <c r="A3826" t="s">
        <v>26246</v>
      </c>
      <c r="B3826" t="s">
        <v>16542</v>
      </c>
      <c r="C3826" t="s">
        <v>2173</v>
      </c>
      <c r="D3826" t="str">
        <f>"1378"</f>
        <v>1378</v>
      </c>
      <c r="E3826" t="s">
        <v>388</v>
      </c>
      <c r="F3826" t="s">
        <v>15183</v>
      </c>
      <c r="G3826" t="s">
        <v>16222</v>
      </c>
      <c r="H3826" t="s">
        <v>47055</v>
      </c>
      <c r="I3826" t="s">
        <v>47127</v>
      </c>
      <c r="J3826" t="s">
        <v>47128</v>
      </c>
      <c r="K3826" t="s">
        <v>47113</v>
      </c>
      <c r="L3826">
        <v>36.01</v>
      </c>
      <c r="M3826">
        <v>96</v>
      </c>
      <c r="N3826">
        <v>0</v>
      </c>
      <c r="O3826">
        <v>96</v>
      </c>
      <c r="P3826">
        <v>0</v>
      </c>
    </row>
    <row r="3827" spans="1:16" x14ac:dyDescent="0.25">
      <c r="A3827" t="s">
        <v>26247</v>
      </c>
      <c r="B3827" t="s">
        <v>16542</v>
      </c>
      <c r="C3827" t="s">
        <v>2173</v>
      </c>
      <c r="D3827" t="str">
        <f>"1537"</f>
        <v>1537</v>
      </c>
      <c r="E3827" t="s">
        <v>16535</v>
      </c>
      <c r="F3827" t="s">
        <v>15183</v>
      </c>
      <c r="G3827" t="s">
        <v>16222</v>
      </c>
      <c r="H3827" t="s">
        <v>47055</v>
      </c>
      <c r="I3827" t="s">
        <v>47127</v>
      </c>
      <c r="J3827" t="s">
        <v>47128</v>
      </c>
      <c r="K3827" t="s">
        <v>47113</v>
      </c>
      <c r="L3827">
        <v>36.01</v>
      </c>
      <c r="M3827">
        <v>96</v>
      </c>
      <c r="N3827">
        <v>0</v>
      </c>
      <c r="O3827">
        <v>96</v>
      </c>
      <c r="P3827">
        <v>0</v>
      </c>
    </row>
    <row r="3828" spans="1:16" x14ac:dyDescent="0.25">
      <c r="A3828" t="s">
        <v>26248</v>
      </c>
      <c r="B3828" t="s">
        <v>16542</v>
      </c>
      <c r="C3828" t="s">
        <v>2173</v>
      </c>
      <c r="D3828" t="str">
        <f>"1700"</f>
        <v>1700</v>
      </c>
      <c r="E3828" t="s">
        <v>60</v>
      </c>
      <c r="F3828" t="s">
        <v>15183</v>
      </c>
      <c r="G3828" t="s">
        <v>16222</v>
      </c>
      <c r="H3828" t="s">
        <v>47055</v>
      </c>
      <c r="I3828" t="s">
        <v>47127</v>
      </c>
      <c r="J3828" t="s">
        <v>47128</v>
      </c>
      <c r="K3828" t="s">
        <v>47113</v>
      </c>
      <c r="L3828">
        <v>36.01</v>
      </c>
      <c r="M3828">
        <v>96</v>
      </c>
      <c r="N3828">
        <v>0</v>
      </c>
      <c r="O3828">
        <v>96</v>
      </c>
      <c r="P3828">
        <v>0</v>
      </c>
    </row>
    <row r="3829" spans="1:16" x14ac:dyDescent="0.25">
      <c r="A3829" t="s">
        <v>26249</v>
      </c>
      <c r="B3829" t="s">
        <v>16542</v>
      </c>
      <c r="C3829" t="s">
        <v>2173</v>
      </c>
      <c r="D3829" t="str">
        <f>"1704"</f>
        <v>1704</v>
      </c>
      <c r="E3829" t="s">
        <v>7181</v>
      </c>
      <c r="F3829" t="s">
        <v>15183</v>
      </c>
      <c r="G3829" t="s">
        <v>16222</v>
      </c>
      <c r="H3829" t="s">
        <v>47055</v>
      </c>
      <c r="I3829" t="s">
        <v>47127</v>
      </c>
      <c r="J3829" t="s">
        <v>47128</v>
      </c>
      <c r="K3829" t="s">
        <v>47113</v>
      </c>
      <c r="L3829">
        <v>36.01</v>
      </c>
      <c r="M3829">
        <v>96</v>
      </c>
      <c r="N3829">
        <v>0</v>
      </c>
      <c r="O3829">
        <v>96</v>
      </c>
      <c r="P3829">
        <v>0</v>
      </c>
    </row>
    <row r="3830" spans="1:16" x14ac:dyDescent="0.25">
      <c r="A3830" t="s">
        <v>26250</v>
      </c>
      <c r="B3830" t="s">
        <v>16542</v>
      </c>
      <c r="C3830" t="s">
        <v>2173</v>
      </c>
      <c r="D3830" t="str">
        <f>"3304"</f>
        <v>3304</v>
      </c>
      <c r="E3830" t="s">
        <v>16536</v>
      </c>
      <c r="F3830" t="s">
        <v>15183</v>
      </c>
      <c r="G3830" t="s">
        <v>16222</v>
      </c>
      <c r="H3830" t="s">
        <v>47055</v>
      </c>
      <c r="I3830" t="s">
        <v>47127</v>
      </c>
      <c r="J3830" t="s">
        <v>47128</v>
      </c>
      <c r="K3830" t="s">
        <v>47113</v>
      </c>
      <c r="L3830">
        <v>36.01</v>
      </c>
      <c r="M3830">
        <v>96</v>
      </c>
      <c r="N3830">
        <v>0</v>
      </c>
      <c r="O3830">
        <v>96</v>
      </c>
      <c r="P3830">
        <v>0</v>
      </c>
    </row>
    <row r="3831" spans="1:16" x14ac:dyDescent="0.25">
      <c r="A3831" t="s">
        <v>26251</v>
      </c>
      <c r="B3831" t="s">
        <v>16542</v>
      </c>
      <c r="C3831" t="s">
        <v>2173</v>
      </c>
      <c r="D3831" t="str">
        <f>"4000"</f>
        <v>4000</v>
      </c>
      <c r="E3831" t="s">
        <v>16537</v>
      </c>
      <c r="F3831" t="s">
        <v>15183</v>
      </c>
      <c r="G3831" t="s">
        <v>16222</v>
      </c>
      <c r="H3831" t="s">
        <v>47055</v>
      </c>
      <c r="I3831" t="s">
        <v>47127</v>
      </c>
      <c r="J3831" t="s">
        <v>47128</v>
      </c>
      <c r="K3831" t="s">
        <v>47113</v>
      </c>
      <c r="L3831">
        <v>36.01</v>
      </c>
      <c r="M3831">
        <v>96</v>
      </c>
      <c r="N3831">
        <v>0</v>
      </c>
      <c r="O3831">
        <v>96</v>
      </c>
      <c r="P3831">
        <v>0</v>
      </c>
    </row>
    <row r="3832" spans="1:16" x14ac:dyDescent="0.25">
      <c r="A3832" t="s">
        <v>26252</v>
      </c>
      <c r="B3832" t="s">
        <v>16542</v>
      </c>
      <c r="C3832" t="s">
        <v>2173</v>
      </c>
      <c r="D3832" t="str">
        <f>"4643"</f>
        <v>4643</v>
      </c>
      <c r="E3832" t="s">
        <v>205</v>
      </c>
      <c r="F3832" t="s">
        <v>15183</v>
      </c>
      <c r="G3832" t="s">
        <v>16222</v>
      </c>
      <c r="H3832" t="s">
        <v>47055</v>
      </c>
      <c r="I3832" t="s">
        <v>47127</v>
      </c>
      <c r="J3832" t="s">
        <v>47128</v>
      </c>
      <c r="K3832" t="s">
        <v>47113</v>
      </c>
      <c r="L3832">
        <v>36.01</v>
      </c>
      <c r="M3832">
        <v>96</v>
      </c>
      <c r="N3832">
        <v>0</v>
      </c>
      <c r="O3832">
        <v>96</v>
      </c>
      <c r="P3832">
        <v>0</v>
      </c>
    </row>
    <row r="3833" spans="1:16" x14ac:dyDescent="0.25">
      <c r="A3833" t="s">
        <v>26253</v>
      </c>
      <c r="B3833" t="s">
        <v>16542</v>
      </c>
      <c r="C3833" t="s">
        <v>2173</v>
      </c>
      <c r="D3833" t="str">
        <f>"4921"</f>
        <v>4921</v>
      </c>
      <c r="E3833" t="s">
        <v>4156</v>
      </c>
      <c r="F3833" t="s">
        <v>15183</v>
      </c>
      <c r="G3833" t="s">
        <v>16222</v>
      </c>
      <c r="H3833" t="s">
        <v>47055</v>
      </c>
      <c r="I3833" t="s">
        <v>47127</v>
      </c>
      <c r="J3833" t="s">
        <v>47128</v>
      </c>
      <c r="K3833" t="s">
        <v>47113</v>
      </c>
      <c r="L3833">
        <v>36.01</v>
      </c>
      <c r="M3833">
        <v>96</v>
      </c>
      <c r="N3833">
        <v>0</v>
      </c>
      <c r="O3833">
        <v>96</v>
      </c>
      <c r="P3833">
        <v>0</v>
      </c>
    </row>
    <row r="3834" spans="1:16" x14ac:dyDescent="0.25">
      <c r="A3834" t="s">
        <v>26254</v>
      </c>
      <c r="B3834" t="s">
        <v>16543</v>
      </c>
      <c r="C3834" t="s">
        <v>16544</v>
      </c>
      <c r="D3834" t="str">
        <f>"1001"</f>
        <v>1001</v>
      </c>
      <c r="E3834" t="s">
        <v>42</v>
      </c>
      <c r="F3834" t="s">
        <v>15183</v>
      </c>
      <c r="G3834" t="s">
        <v>16235</v>
      </c>
      <c r="H3834" t="s">
        <v>47055</v>
      </c>
      <c r="I3834" t="s">
        <v>47127</v>
      </c>
      <c r="J3834" t="s">
        <v>47128</v>
      </c>
      <c r="K3834" t="s">
        <v>47113</v>
      </c>
      <c r="L3834">
        <v>40.51</v>
      </c>
      <c r="M3834">
        <v>67</v>
      </c>
      <c r="N3834">
        <v>0</v>
      </c>
      <c r="O3834">
        <v>67</v>
      </c>
      <c r="P3834">
        <v>0</v>
      </c>
    </row>
    <row r="3835" spans="1:16" x14ac:dyDescent="0.25">
      <c r="A3835" t="s">
        <v>26255</v>
      </c>
      <c r="B3835" t="s">
        <v>16543</v>
      </c>
      <c r="C3835" t="s">
        <v>16544</v>
      </c>
      <c r="D3835" t="str">
        <f>"1200"</f>
        <v>1200</v>
      </c>
      <c r="E3835" t="s">
        <v>16534</v>
      </c>
      <c r="F3835" t="s">
        <v>15183</v>
      </c>
      <c r="G3835" t="s">
        <v>16235</v>
      </c>
      <c r="H3835" t="s">
        <v>47055</v>
      </c>
      <c r="I3835" t="s">
        <v>47127</v>
      </c>
      <c r="J3835" t="s">
        <v>47128</v>
      </c>
      <c r="K3835" t="s">
        <v>47113</v>
      </c>
      <c r="L3835">
        <v>40.51</v>
      </c>
      <c r="M3835">
        <v>67</v>
      </c>
      <c r="N3835">
        <v>0</v>
      </c>
      <c r="O3835">
        <v>67</v>
      </c>
      <c r="P3835">
        <v>0</v>
      </c>
    </row>
    <row r="3836" spans="1:16" x14ac:dyDescent="0.25">
      <c r="A3836" t="s">
        <v>26256</v>
      </c>
      <c r="B3836" t="s">
        <v>16543</v>
      </c>
      <c r="C3836" t="s">
        <v>16544</v>
      </c>
      <c r="D3836" t="str">
        <f>"1285"</f>
        <v>1285</v>
      </c>
      <c r="E3836" t="s">
        <v>2148</v>
      </c>
      <c r="F3836" t="s">
        <v>15183</v>
      </c>
      <c r="G3836" t="s">
        <v>16235</v>
      </c>
      <c r="H3836" t="s">
        <v>47055</v>
      </c>
      <c r="I3836" t="s">
        <v>47127</v>
      </c>
      <c r="J3836" t="s">
        <v>47128</v>
      </c>
      <c r="K3836" t="s">
        <v>47113</v>
      </c>
      <c r="L3836">
        <v>40.51</v>
      </c>
      <c r="M3836">
        <v>67</v>
      </c>
      <c r="N3836">
        <v>0</v>
      </c>
      <c r="O3836">
        <v>67</v>
      </c>
      <c r="P3836">
        <v>0</v>
      </c>
    </row>
    <row r="3837" spans="1:16" x14ac:dyDescent="0.25">
      <c r="A3837" t="s">
        <v>26257</v>
      </c>
      <c r="B3837" t="s">
        <v>16543</v>
      </c>
      <c r="C3837" t="s">
        <v>16544</v>
      </c>
      <c r="D3837" t="str">
        <f>"1370"</f>
        <v>1370</v>
      </c>
      <c r="E3837" t="s">
        <v>3859</v>
      </c>
      <c r="F3837" t="s">
        <v>15183</v>
      </c>
      <c r="G3837" t="s">
        <v>16235</v>
      </c>
      <c r="H3837" t="s">
        <v>47055</v>
      </c>
      <c r="I3837" t="s">
        <v>47127</v>
      </c>
      <c r="J3837" t="s">
        <v>47128</v>
      </c>
      <c r="K3837" t="s">
        <v>47113</v>
      </c>
      <c r="L3837">
        <v>40.51</v>
      </c>
      <c r="M3837">
        <v>67</v>
      </c>
      <c r="N3837">
        <v>0</v>
      </c>
      <c r="O3837">
        <v>67</v>
      </c>
      <c r="P3837">
        <v>0</v>
      </c>
    </row>
    <row r="3838" spans="1:16" x14ac:dyDescent="0.25">
      <c r="A3838" t="s">
        <v>26258</v>
      </c>
      <c r="B3838" t="s">
        <v>16543</v>
      </c>
      <c r="C3838" t="s">
        <v>16544</v>
      </c>
      <c r="D3838" t="str">
        <f>"1377"</f>
        <v>1377</v>
      </c>
      <c r="E3838" t="s">
        <v>74</v>
      </c>
      <c r="F3838" t="s">
        <v>15183</v>
      </c>
      <c r="G3838" t="s">
        <v>16235</v>
      </c>
      <c r="H3838" t="s">
        <v>47055</v>
      </c>
      <c r="I3838" t="s">
        <v>47127</v>
      </c>
      <c r="J3838" t="s">
        <v>47128</v>
      </c>
      <c r="K3838" t="s">
        <v>47113</v>
      </c>
      <c r="L3838">
        <v>40.51</v>
      </c>
      <c r="M3838">
        <v>67</v>
      </c>
      <c r="N3838">
        <v>0</v>
      </c>
      <c r="O3838">
        <v>67</v>
      </c>
      <c r="P3838">
        <v>0</v>
      </c>
    </row>
    <row r="3839" spans="1:16" x14ac:dyDescent="0.25">
      <c r="A3839" t="s">
        <v>26259</v>
      </c>
      <c r="B3839" t="s">
        <v>16543</v>
      </c>
      <c r="C3839" t="s">
        <v>16544</v>
      </c>
      <c r="D3839" t="str">
        <f>"1378"</f>
        <v>1378</v>
      </c>
      <c r="E3839" t="s">
        <v>388</v>
      </c>
      <c r="F3839" t="s">
        <v>15183</v>
      </c>
      <c r="G3839" t="s">
        <v>16235</v>
      </c>
      <c r="H3839" t="s">
        <v>47055</v>
      </c>
      <c r="I3839" t="s">
        <v>47127</v>
      </c>
      <c r="J3839" t="s">
        <v>47128</v>
      </c>
      <c r="K3839" t="s">
        <v>47113</v>
      </c>
      <c r="L3839">
        <v>40.51</v>
      </c>
      <c r="M3839">
        <v>67</v>
      </c>
      <c r="N3839">
        <v>0</v>
      </c>
      <c r="O3839">
        <v>67</v>
      </c>
      <c r="P3839">
        <v>0</v>
      </c>
    </row>
    <row r="3840" spans="1:16" x14ac:dyDescent="0.25">
      <c r="A3840" t="s">
        <v>26260</v>
      </c>
      <c r="B3840" t="s">
        <v>16543</v>
      </c>
      <c r="C3840" t="s">
        <v>16544</v>
      </c>
      <c r="D3840" t="str">
        <f>"1537"</f>
        <v>1537</v>
      </c>
      <c r="E3840" t="s">
        <v>16535</v>
      </c>
      <c r="F3840" t="s">
        <v>15183</v>
      </c>
      <c r="G3840" t="s">
        <v>16235</v>
      </c>
      <c r="H3840" t="s">
        <v>47055</v>
      </c>
      <c r="I3840" t="s">
        <v>47127</v>
      </c>
      <c r="J3840" t="s">
        <v>47128</v>
      </c>
      <c r="K3840" t="s">
        <v>47113</v>
      </c>
      <c r="L3840">
        <v>40.51</v>
      </c>
      <c r="M3840">
        <v>67</v>
      </c>
      <c r="N3840">
        <v>0</v>
      </c>
      <c r="O3840">
        <v>67</v>
      </c>
      <c r="P3840">
        <v>0</v>
      </c>
    </row>
    <row r="3841" spans="1:16" x14ac:dyDescent="0.25">
      <c r="A3841" t="s">
        <v>26261</v>
      </c>
      <c r="B3841" t="s">
        <v>16543</v>
      </c>
      <c r="C3841" t="s">
        <v>16544</v>
      </c>
      <c r="D3841" t="str">
        <f>"1700"</f>
        <v>1700</v>
      </c>
      <c r="E3841" t="s">
        <v>60</v>
      </c>
      <c r="F3841" t="s">
        <v>15183</v>
      </c>
      <c r="G3841" t="s">
        <v>16235</v>
      </c>
      <c r="H3841" t="s">
        <v>47055</v>
      </c>
      <c r="I3841" t="s">
        <v>47127</v>
      </c>
      <c r="J3841" t="s">
        <v>47128</v>
      </c>
      <c r="K3841" t="s">
        <v>47113</v>
      </c>
      <c r="L3841">
        <v>40.51</v>
      </c>
      <c r="M3841">
        <v>67</v>
      </c>
      <c r="N3841">
        <v>0</v>
      </c>
      <c r="O3841">
        <v>67</v>
      </c>
      <c r="P3841">
        <v>0</v>
      </c>
    </row>
    <row r="3842" spans="1:16" x14ac:dyDescent="0.25">
      <c r="A3842" t="s">
        <v>26262</v>
      </c>
      <c r="B3842" t="s">
        <v>16543</v>
      </c>
      <c r="C3842" t="s">
        <v>16544</v>
      </c>
      <c r="D3842" t="str">
        <f>"1704"</f>
        <v>1704</v>
      </c>
      <c r="E3842" t="s">
        <v>7181</v>
      </c>
      <c r="F3842" t="s">
        <v>15183</v>
      </c>
      <c r="G3842" t="s">
        <v>16235</v>
      </c>
      <c r="H3842" t="s">
        <v>47055</v>
      </c>
      <c r="I3842" t="s">
        <v>47127</v>
      </c>
      <c r="J3842" t="s">
        <v>47128</v>
      </c>
      <c r="K3842" t="s">
        <v>47113</v>
      </c>
      <c r="L3842">
        <v>40.51</v>
      </c>
      <c r="M3842">
        <v>67</v>
      </c>
      <c r="N3842">
        <v>0</v>
      </c>
      <c r="O3842">
        <v>67</v>
      </c>
      <c r="P3842">
        <v>0</v>
      </c>
    </row>
    <row r="3843" spans="1:16" x14ac:dyDescent="0.25">
      <c r="A3843" t="s">
        <v>26263</v>
      </c>
      <c r="B3843" t="s">
        <v>16543</v>
      </c>
      <c r="C3843" t="s">
        <v>16544</v>
      </c>
      <c r="D3843" t="str">
        <f>"3304"</f>
        <v>3304</v>
      </c>
      <c r="E3843" t="s">
        <v>16536</v>
      </c>
      <c r="F3843" t="s">
        <v>15183</v>
      </c>
      <c r="G3843" t="s">
        <v>16235</v>
      </c>
      <c r="H3843" t="s">
        <v>47055</v>
      </c>
      <c r="I3843" t="s">
        <v>47127</v>
      </c>
      <c r="J3843" t="s">
        <v>47128</v>
      </c>
      <c r="K3843" t="s">
        <v>47113</v>
      </c>
      <c r="L3843">
        <v>40.51</v>
      </c>
      <c r="M3843">
        <v>67</v>
      </c>
      <c r="N3843">
        <v>0</v>
      </c>
      <c r="O3843">
        <v>67</v>
      </c>
      <c r="P3843">
        <v>0</v>
      </c>
    </row>
    <row r="3844" spans="1:16" x14ac:dyDescent="0.25">
      <c r="A3844" t="s">
        <v>26264</v>
      </c>
      <c r="B3844" t="s">
        <v>16543</v>
      </c>
      <c r="C3844" t="s">
        <v>16544</v>
      </c>
      <c r="D3844" t="str">
        <f>"4000"</f>
        <v>4000</v>
      </c>
      <c r="E3844" t="s">
        <v>16537</v>
      </c>
      <c r="F3844" t="s">
        <v>15183</v>
      </c>
      <c r="G3844" t="s">
        <v>16235</v>
      </c>
      <c r="H3844" t="s">
        <v>47055</v>
      </c>
      <c r="I3844" t="s">
        <v>47127</v>
      </c>
      <c r="J3844" t="s">
        <v>47128</v>
      </c>
      <c r="K3844" t="s">
        <v>47113</v>
      </c>
      <c r="L3844">
        <v>40.51</v>
      </c>
      <c r="M3844">
        <v>67</v>
      </c>
      <c r="N3844">
        <v>0</v>
      </c>
      <c r="O3844">
        <v>67</v>
      </c>
      <c r="P3844">
        <v>0</v>
      </c>
    </row>
    <row r="3845" spans="1:16" x14ac:dyDescent="0.25">
      <c r="A3845" t="s">
        <v>26265</v>
      </c>
      <c r="B3845" t="s">
        <v>16543</v>
      </c>
      <c r="C3845" t="s">
        <v>16544</v>
      </c>
      <c r="D3845" t="str">
        <f>"4643"</f>
        <v>4643</v>
      </c>
      <c r="E3845" t="s">
        <v>205</v>
      </c>
      <c r="F3845" t="s">
        <v>15183</v>
      </c>
      <c r="G3845" t="s">
        <v>16235</v>
      </c>
      <c r="H3845" t="s">
        <v>47055</v>
      </c>
      <c r="I3845" t="s">
        <v>47127</v>
      </c>
      <c r="J3845" t="s">
        <v>47128</v>
      </c>
      <c r="K3845" t="s">
        <v>47113</v>
      </c>
      <c r="L3845">
        <v>40.51</v>
      </c>
      <c r="M3845">
        <v>67</v>
      </c>
      <c r="N3845">
        <v>0</v>
      </c>
      <c r="O3845">
        <v>67</v>
      </c>
      <c r="P3845">
        <v>0</v>
      </c>
    </row>
    <row r="3846" spans="1:16" x14ac:dyDescent="0.25">
      <c r="A3846" t="s">
        <v>26266</v>
      </c>
      <c r="B3846" t="s">
        <v>16543</v>
      </c>
      <c r="C3846" t="s">
        <v>16544</v>
      </c>
      <c r="D3846" t="str">
        <f>"4921"</f>
        <v>4921</v>
      </c>
      <c r="E3846" t="s">
        <v>4156</v>
      </c>
      <c r="F3846" t="s">
        <v>15183</v>
      </c>
      <c r="G3846" t="s">
        <v>16235</v>
      </c>
      <c r="H3846" t="s">
        <v>47055</v>
      </c>
      <c r="I3846" t="s">
        <v>47127</v>
      </c>
      <c r="J3846" t="s">
        <v>47128</v>
      </c>
      <c r="K3846" t="s">
        <v>47113</v>
      </c>
      <c r="L3846">
        <v>40.51</v>
      </c>
      <c r="M3846">
        <v>67</v>
      </c>
      <c r="N3846">
        <v>0</v>
      </c>
      <c r="O3846">
        <v>67</v>
      </c>
      <c r="P3846">
        <v>0</v>
      </c>
    </row>
    <row r="3847" spans="1:16" x14ac:dyDescent="0.25">
      <c r="A3847" t="s">
        <v>26267</v>
      </c>
      <c r="B3847" t="s">
        <v>16545</v>
      </c>
      <c r="C3847" t="s">
        <v>16546</v>
      </c>
      <c r="D3847" t="str">
        <f>"1001"</f>
        <v>1001</v>
      </c>
      <c r="E3847" t="s">
        <v>42</v>
      </c>
      <c r="F3847" t="s">
        <v>15183</v>
      </c>
      <c r="G3847" t="s">
        <v>16235</v>
      </c>
      <c r="H3847" t="s">
        <v>47055</v>
      </c>
      <c r="I3847" t="s">
        <v>47127</v>
      </c>
      <c r="J3847" t="s">
        <v>47128</v>
      </c>
      <c r="K3847" t="s">
        <v>47113</v>
      </c>
      <c r="L3847">
        <v>38.26</v>
      </c>
      <c r="M3847">
        <v>63</v>
      </c>
      <c r="N3847">
        <v>0</v>
      </c>
      <c r="O3847">
        <v>63</v>
      </c>
      <c r="P3847">
        <v>0</v>
      </c>
    </row>
    <row r="3848" spans="1:16" x14ac:dyDescent="0.25">
      <c r="A3848" t="s">
        <v>26268</v>
      </c>
      <c r="B3848" t="s">
        <v>16545</v>
      </c>
      <c r="C3848" t="s">
        <v>16546</v>
      </c>
      <c r="D3848" t="str">
        <f>"1200"</f>
        <v>1200</v>
      </c>
      <c r="E3848" t="s">
        <v>16534</v>
      </c>
      <c r="F3848" t="s">
        <v>15183</v>
      </c>
      <c r="G3848" t="s">
        <v>16235</v>
      </c>
      <c r="H3848" t="s">
        <v>47055</v>
      </c>
      <c r="I3848" t="s">
        <v>47127</v>
      </c>
      <c r="J3848" t="s">
        <v>47128</v>
      </c>
      <c r="K3848" t="s">
        <v>47113</v>
      </c>
      <c r="L3848">
        <v>38.26</v>
      </c>
      <c r="M3848">
        <v>63</v>
      </c>
      <c r="N3848">
        <v>0</v>
      </c>
      <c r="O3848">
        <v>63</v>
      </c>
      <c r="P3848">
        <v>0</v>
      </c>
    </row>
    <row r="3849" spans="1:16" x14ac:dyDescent="0.25">
      <c r="A3849" t="s">
        <v>26269</v>
      </c>
      <c r="B3849" t="s">
        <v>16545</v>
      </c>
      <c r="C3849" t="s">
        <v>16546</v>
      </c>
      <c r="D3849" t="str">
        <f>"1285"</f>
        <v>1285</v>
      </c>
      <c r="E3849" t="s">
        <v>2148</v>
      </c>
      <c r="F3849" t="s">
        <v>15183</v>
      </c>
      <c r="G3849" t="s">
        <v>16235</v>
      </c>
      <c r="H3849" t="s">
        <v>47055</v>
      </c>
      <c r="I3849" t="s">
        <v>47127</v>
      </c>
      <c r="J3849" t="s">
        <v>47128</v>
      </c>
      <c r="K3849" t="s">
        <v>47113</v>
      </c>
      <c r="L3849">
        <v>38.26</v>
      </c>
      <c r="M3849">
        <v>63</v>
      </c>
      <c r="N3849">
        <v>0</v>
      </c>
      <c r="O3849">
        <v>63</v>
      </c>
      <c r="P3849">
        <v>0</v>
      </c>
    </row>
    <row r="3850" spans="1:16" x14ac:dyDescent="0.25">
      <c r="A3850" t="s">
        <v>16547</v>
      </c>
      <c r="B3850" t="s">
        <v>16545</v>
      </c>
      <c r="C3850" t="s">
        <v>16546</v>
      </c>
      <c r="D3850" t="str">
        <f>"1370"</f>
        <v>1370</v>
      </c>
      <c r="E3850" t="s">
        <v>3859</v>
      </c>
      <c r="F3850" t="s">
        <v>15183</v>
      </c>
      <c r="G3850" t="s">
        <v>16235</v>
      </c>
      <c r="H3850" t="s">
        <v>47055</v>
      </c>
      <c r="I3850" t="s">
        <v>47127</v>
      </c>
      <c r="J3850" t="s">
        <v>47128</v>
      </c>
      <c r="K3850" t="s">
        <v>47113</v>
      </c>
      <c r="L3850">
        <v>38.26</v>
      </c>
      <c r="M3850">
        <v>63</v>
      </c>
      <c r="N3850">
        <v>0</v>
      </c>
      <c r="O3850">
        <v>63</v>
      </c>
      <c r="P3850">
        <v>0</v>
      </c>
    </row>
    <row r="3851" spans="1:16" x14ac:dyDescent="0.25">
      <c r="A3851" t="s">
        <v>26270</v>
      </c>
      <c r="B3851" t="s">
        <v>16545</v>
      </c>
      <c r="C3851" t="s">
        <v>16546</v>
      </c>
      <c r="D3851" t="str">
        <f>"1377"</f>
        <v>1377</v>
      </c>
      <c r="E3851" t="s">
        <v>74</v>
      </c>
      <c r="F3851" t="s">
        <v>15183</v>
      </c>
      <c r="G3851" t="s">
        <v>16235</v>
      </c>
      <c r="H3851" t="s">
        <v>47055</v>
      </c>
      <c r="I3851" t="s">
        <v>47127</v>
      </c>
      <c r="J3851" t="s">
        <v>47128</v>
      </c>
      <c r="K3851" t="s">
        <v>47113</v>
      </c>
      <c r="L3851">
        <v>38.26</v>
      </c>
      <c r="M3851">
        <v>63</v>
      </c>
      <c r="N3851">
        <v>0</v>
      </c>
      <c r="O3851">
        <v>63</v>
      </c>
      <c r="P3851">
        <v>0</v>
      </c>
    </row>
    <row r="3852" spans="1:16" x14ac:dyDescent="0.25">
      <c r="A3852" t="s">
        <v>26271</v>
      </c>
      <c r="B3852" t="s">
        <v>16545</v>
      </c>
      <c r="C3852" t="s">
        <v>16546</v>
      </c>
      <c r="D3852" t="str">
        <f>"1378"</f>
        <v>1378</v>
      </c>
      <c r="E3852" t="s">
        <v>388</v>
      </c>
      <c r="F3852" t="s">
        <v>15183</v>
      </c>
      <c r="G3852" t="s">
        <v>16235</v>
      </c>
      <c r="H3852" t="s">
        <v>47055</v>
      </c>
      <c r="I3852" t="s">
        <v>47127</v>
      </c>
      <c r="J3852" t="s">
        <v>47128</v>
      </c>
      <c r="K3852" t="s">
        <v>47113</v>
      </c>
      <c r="L3852">
        <v>38.26</v>
      </c>
      <c r="M3852">
        <v>63</v>
      </c>
      <c r="N3852">
        <v>0</v>
      </c>
      <c r="O3852">
        <v>63</v>
      </c>
      <c r="P3852">
        <v>0</v>
      </c>
    </row>
    <row r="3853" spans="1:16" x14ac:dyDescent="0.25">
      <c r="A3853" t="s">
        <v>26272</v>
      </c>
      <c r="B3853" t="s">
        <v>16545</v>
      </c>
      <c r="C3853" t="s">
        <v>16546</v>
      </c>
      <c r="D3853" t="str">
        <f>"1537"</f>
        <v>1537</v>
      </c>
      <c r="E3853" t="s">
        <v>16535</v>
      </c>
      <c r="F3853" t="s">
        <v>15183</v>
      </c>
      <c r="G3853" t="s">
        <v>16235</v>
      </c>
      <c r="H3853" t="s">
        <v>47055</v>
      </c>
      <c r="I3853" t="s">
        <v>47127</v>
      </c>
      <c r="J3853" t="s">
        <v>47128</v>
      </c>
      <c r="K3853" t="s">
        <v>47113</v>
      </c>
      <c r="L3853">
        <v>38.26</v>
      </c>
      <c r="M3853">
        <v>63</v>
      </c>
      <c r="N3853">
        <v>0</v>
      </c>
      <c r="O3853">
        <v>63</v>
      </c>
      <c r="P3853">
        <v>0</v>
      </c>
    </row>
    <row r="3854" spans="1:16" x14ac:dyDescent="0.25">
      <c r="A3854" t="s">
        <v>26273</v>
      </c>
      <c r="B3854" t="s">
        <v>16545</v>
      </c>
      <c r="C3854" t="s">
        <v>16546</v>
      </c>
      <c r="D3854" t="str">
        <f>"1700"</f>
        <v>1700</v>
      </c>
      <c r="E3854" t="s">
        <v>60</v>
      </c>
      <c r="F3854" t="s">
        <v>15183</v>
      </c>
      <c r="G3854" t="s">
        <v>16235</v>
      </c>
      <c r="H3854" t="s">
        <v>47055</v>
      </c>
      <c r="I3854" t="s">
        <v>47127</v>
      </c>
      <c r="J3854" t="s">
        <v>47128</v>
      </c>
      <c r="K3854" t="s">
        <v>47113</v>
      </c>
      <c r="L3854">
        <v>38.26</v>
      </c>
      <c r="M3854">
        <v>63</v>
      </c>
      <c r="N3854">
        <v>0</v>
      </c>
      <c r="O3854">
        <v>63</v>
      </c>
      <c r="P3854">
        <v>0</v>
      </c>
    </row>
    <row r="3855" spans="1:16" x14ac:dyDescent="0.25">
      <c r="A3855" t="s">
        <v>26274</v>
      </c>
      <c r="B3855" t="s">
        <v>16545</v>
      </c>
      <c r="C3855" t="s">
        <v>16546</v>
      </c>
      <c r="D3855" t="str">
        <f>"1704"</f>
        <v>1704</v>
      </c>
      <c r="E3855" t="s">
        <v>7181</v>
      </c>
      <c r="F3855" t="s">
        <v>15183</v>
      </c>
      <c r="G3855" t="s">
        <v>16235</v>
      </c>
      <c r="H3855" t="s">
        <v>47055</v>
      </c>
      <c r="I3855" t="s">
        <v>47127</v>
      </c>
      <c r="J3855" t="s">
        <v>47128</v>
      </c>
      <c r="K3855" t="s">
        <v>47113</v>
      </c>
      <c r="L3855">
        <v>38.26</v>
      </c>
      <c r="M3855">
        <v>63</v>
      </c>
      <c r="N3855">
        <v>0</v>
      </c>
      <c r="O3855">
        <v>63</v>
      </c>
      <c r="P3855">
        <v>0</v>
      </c>
    </row>
    <row r="3856" spans="1:16" x14ac:dyDescent="0.25">
      <c r="A3856" t="s">
        <v>26275</v>
      </c>
      <c r="B3856" t="s">
        <v>16545</v>
      </c>
      <c r="C3856" t="s">
        <v>16546</v>
      </c>
      <c r="D3856" t="str">
        <f>"3304"</f>
        <v>3304</v>
      </c>
      <c r="E3856" t="s">
        <v>16536</v>
      </c>
      <c r="F3856" t="s">
        <v>15183</v>
      </c>
      <c r="G3856" t="s">
        <v>16235</v>
      </c>
      <c r="H3856" t="s">
        <v>47055</v>
      </c>
      <c r="I3856" t="s">
        <v>47127</v>
      </c>
      <c r="J3856" t="s">
        <v>47128</v>
      </c>
      <c r="K3856" t="s">
        <v>47113</v>
      </c>
      <c r="L3856">
        <v>38.26</v>
      </c>
      <c r="M3856">
        <v>63</v>
      </c>
      <c r="N3856">
        <v>0</v>
      </c>
      <c r="O3856">
        <v>63</v>
      </c>
      <c r="P3856">
        <v>0</v>
      </c>
    </row>
    <row r="3857" spans="1:16" x14ac:dyDescent="0.25">
      <c r="A3857" t="s">
        <v>26276</v>
      </c>
      <c r="B3857" t="s">
        <v>16545</v>
      </c>
      <c r="C3857" t="s">
        <v>16546</v>
      </c>
      <c r="D3857" t="str">
        <f>"4000"</f>
        <v>4000</v>
      </c>
      <c r="E3857" t="s">
        <v>16537</v>
      </c>
      <c r="F3857" t="s">
        <v>15183</v>
      </c>
      <c r="G3857" t="s">
        <v>16235</v>
      </c>
      <c r="H3857" t="s">
        <v>47055</v>
      </c>
      <c r="I3857" t="s">
        <v>47127</v>
      </c>
      <c r="J3857" t="s">
        <v>47128</v>
      </c>
      <c r="K3857" t="s">
        <v>47113</v>
      </c>
      <c r="L3857">
        <v>38.26</v>
      </c>
      <c r="M3857">
        <v>63</v>
      </c>
      <c r="N3857">
        <v>0</v>
      </c>
      <c r="O3857">
        <v>63</v>
      </c>
      <c r="P3857">
        <v>0</v>
      </c>
    </row>
    <row r="3858" spans="1:16" x14ac:dyDescent="0.25">
      <c r="A3858" t="s">
        <v>26277</v>
      </c>
      <c r="B3858" t="s">
        <v>16545</v>
      </c>
      <c r="C3858" t="s">
        <v>16546</v>
      </c>
      <c r="D3858" t="str">
        <f>"4643"</f>
        <v>4643</v>
      </c>
      <c r="E3858" t="s">
        <v>205</v>
      </c>
      <c r="F3858" t="s">
        <v>15183</v>
      </c>
      <c r="G3858" t="s">
        <v>16235</v>
      </c>
      <c r="H3858" t="s">
        <v>47055</v>
      </c>
      <c r="I3858" t="s">
        <v>47127</v>
      </c>
      <c r="J3858" t="s">
        <v>47128</v>
      </c>
      <c r="K3858" t="s">
        <v>47113</v>
      </c>
      <c r="L3858">
        <v>38.26</v>
      </c>
      <c r="M3858">
        <v>63</v>
      </c>
      <c r="N3858">
        <v>0</v>
      </c>
      <c r="O3858">
        <v>63</v>
      </c>
      <c r="P3858">
        <v>0</v>
      </c>
    </row>
    <row r="3859" spans="1:16" x14ac:dyDescent="0.25">
      <c r="A3859" t="s">
        <v>26278</v>
      </c>
      <c r="B3859" t="s">
        <v>16545</v>
      </c>
      <c r="C3859" t="s">
        <v>16546</v>
      </c>
      <c r="D3859" t="str">
        <f>"4921"</f>
        <v>4921</v>
      </c>
      <c r="E3859" t="s">
        <v>4156</v>
      </c>
      <c r="F3859" t="s">
        <v>15183</v>
      </c>
      <c r="G3859" t="s">
        <v>16235</v>
      </c>
      <c r="H3859" t="s">
        <v>47055</v>
      </c>
      <c r="I3859" t="s">
        <v>47127</v>
      </c>
      <c r="J3859" t="s">
        <v>47128</v>
      </c>
      <c r="K3859" t="s">
        <v>47113</v>
      </c>
      <c r="L3859">
        <v>38.26</v>
      </c>
      <c r="M3859">
        <v>63</v>
      </c>
      <c r="N3859">
        <v>0</v>
      </c>
      <c r="O3859">
        <v>63</v>
      </c>
      <c r="P3859">
        <v>0</v>
      </c>
    </row>
    <row r="3860" spans="1:16" x14ac:dyDescent="0.25">
      <c r="A3860" t="s">
        <v>26279</v>
      </c>
      <c r="B3860" t="s">
        <v>16548</v>
      </c>
      <c r="C3860" t="s">
        <v>2173</v>
      </c>
      <c r="D3860" t="str">
        <f>"1001"</f>
        <v>1001</v>
      </c>
      <c r="E3860" t="s">
        <v>42</v>
      </c>
      <c r="F3860" t="s">
        <v>15183</v>
      </c>
      <c r="G3860" t="s">
        <v>16234</v>
      </c>
      <c r="H3860" t="s">
        <v>47055</v>
      </c>
      <c r="I3860" t="s">
        <v>47127</v>
      </c>
      <c r="J3860" t="s">
        <v>47128</v>
      </c>
      <c r="K3860" t="s">
        <v>47113</v>
      </c>
      <c r="L3860">
        <v>2.7</v>
      </c>
      <c r="M3860">
        <v>52</v>
      </c>
      <c r="N3860">
        <v>0</v>
      </c>
      <c r="O3860">
        <v>52</v>
      </c>
      <c r="P3860">
        <v>0</v>
      </c>
    </row>
    <row r="3861" spans="1:16" x14ac:dyDescent="0.25">
      <c r="A3861" t="s">
        <v>26280</v>
      </c>
      <c r="B3861" t="s">
        <v>16548</v>
      </c>
      <c r="C3861" t="s">
        <v>2173</v>
      </c>
      <c r="D3861" t="str">
        <f>"1200"</f>
        <v>1200</v>
      </c>
      <c r="E3861" t="s">
        <v>16534</v>
      </c>
      <c r="F3861" t="s">
        <v>15183</v>
      </c>
      <c r="G3861" t="s">
        <v>16234</v>
      </c>
      <c r="H3861" t="s">
        <v>47055</v>
      </c>
      <c r="I3861" t="s">
        <v>47127</v>
      </c>
      <c r="J3861" t="s">
        <v>47128</v>
      </c>
      <c r="K3861" t="s">
        <v>47113</v>
      </c>
      <c r="L3861">
        <v>2.7</v>
      </c>
      <c r="M3861">
        <v>52</v>
      </c>
      <c r="N3861">
        <v>0</v>
      </c>
      <c r="O3861">
        <v>52</v>
      </c>
      <c r="P3861">
        <v>0</v>
      </c>
    </row>
    <row r="3862" spans="1:16" x14ac:dyDescent="0.25">
      <c r="A3862" t="s">
        <v>26281</v>
      </c>
      <c r="B3862" t="s">
        <v>16548</v>
      </c>
      <c r="C3862" t="s">
        <v>2173</v>
      </c>
      <c r="D3862" t="str">
        <f>"1285"</f>
        <v>1285</v>
      </c>
      <c r="E3862" t="s">
        <v>2148</v>
      </c>
      <c r="F3862" t="s">
        <v>15183</v>
      </c>
      <c r="G3862" t="s">
        <v>16234</v>
      </c>
      <c r="H3862" t="s">
        <v>47055</v>
      </c>
      <c r="I3862" t="s">
        <v>47127</v>
      </c>
      <c r="J3862" t="s">
        <v>47128</v>
      </c>
      <c r="K3862" t="s">
        <v>47113</v>
      </c>
      <c r="L3862">
        <v>2.7</v>
      </c>
      <c r="M3862">
        <v>52</v>
      </c>
      <c r="N3862">
        <v>0</v>
      </c>
      <c r="O3862">
        <v>52</v>
      </c>
      <c r="P3862">
        <v>0</v>
      </c>
    </row>
    <row r="3863" spans="1:16" x14ac:dyDescent="0.25">
      <c r="A3863" t="s">
        <v>16549</v>
      </c>
      <c r="B3863" t="s">
        <v>16548</v>
      </c>
      <c r="C3863" t="s">
        <v>2173</v>
      </c>
      <c r="D3863" t="str">
        <f>"1370"</f>
        <v>1370</v>
      </c>
      <c r="E3863" t="s">
        <v>3859</v>
      </c>
      <c r="F3863" t="s">
        <v>15183</v>
      </c>
      <c r="G3863" t="s">
        <v>16234</v>
      </c>
      <c r="H3863" t="s">
        <v>47055</v>
      </c>
      <c r="I3863" t="s">
        <v>47127</v>
      </c>
      <c r="J3863" t="s">
        <v>47128</v>
      </c>
      <c r="K3863" t="s">
        <v>47113</v>
      </c>
      <c r="L3863">
        <v>2.7</v>
      </c>
      <c r="M3863">
        <v>52</v>
      </c>
      <c r="N3863">
        <v>0</v>
      </c>
      <c r="O3863">
        <v>52</v>
      </c>
      <c r="P3863">
        <v>0</v>
      </c>
    </row>
    <row r="3864" spans="1:16" x14ac:dyDescent="0.25">
      <c r="A3864" t="s">
        <v>26282</v>
      </c>
      <c r="B3864" t="s">
        <v>16548</v>
      </c>
      <c r="C3864" t="s">
        <v>2173</v>
      </c>
      <c r="D3864" t="str">
        <f>"1377"</f>
        <v>1377</v>
      </c>
      <c r="E3864" t="s">
        <v>74</v>
      </c>
      <c r="F3864" t="s">
        <v>15183</v>
      </c>
      <c r="G3864" t="s">
        <v>16234</v>
      </c>
      <c r="H3864" t="s">
        <v>47055</v>
      </c>
      <c r="I3864" t="s">
        <v>47127</v>
      </c>
      <c r="J3864" t="s">
        <v>47128</v>
      </c>
      <c r="K3864" t="s">
        <v>47113</v>
      </c>
      <c r="L3864">
        <v>2.7</v>
      </c>
      <c r="M3864">
        <v>52</v>
      </c>
      <c r="N3864">
        <v>0</v>
      </c>
      <c r="O3864">
        <v>52</v>
      </c>
      <c r="P3864">
        <v>0</v>
      </c>
    </row>
    <row r="3865" spans="1:16" x14ac:dyDescent="0.25">
      <c r="A3865" t="s">
        <v>26283</v>
      </c>
      <c r="B3865" t="s">
        <v>16548</v>
      </c>
      <c r="C3865" t="s">
        <v>2173</v>
      </c>
      <c r="D3865" t="str">
        <f>"1378"</f>
        <v>1378</v>
      </c>
      <c r="E3865" t="s">
        <v>388</v>
      </c>
      <c r="F3865" t="s">
        <v>15183</v>
      </c>
      <c r="G3865" t="s">
        <v>16234</v>
      </c>
      <c r="H3865" t="s">
        <v>47055</v>
      </c>
      <c r="I3865" t="s">
        <v>47127</v>
      </c>
      <c r="J3865" t="s">
        <v>47128</v>
      </c>
      <c r="K3865" t="s">
        <v>47113</v>
      </c>
      <c r="L3865">
        <v>2.7</v>
      </c>
      <c r="M3865">
        <v>52</v>
      </c>
      <c r="N3865">
        <v>0</v>
      </c>
      <c r="O3865">
        <v>52</v>
      </c>
      <c r="P3865">
        <v>0</v>
      </c>
    </row>
    <row r="3866" spans="1:16" x14ac:dyDescent="0.25">
      <c r="A3866" t="s">
        <v>26284</v>
      </c>
      <c r="B3866" t="s">
        <v>16548</v>
      </c>
      <c r="C3866" t="s">
        <v>2173</v>
      </c>
      <c r="D3866" t="str">
        <f>"1537"</f>
        <v>1537</v>
      </c>
      <c r="E3866" t="s">
        <v>16535</v>
      </c>
      <c r="F3866" t="s">
        <v>15183</v>
      </c>
      <c r="G3866" t="s">
        <v>16234</v>
      </c>
      <c r="H3866" t="s">
        <v>47055</v>
      </c>
      <c r="I3866" t="s">
        <v>47127</v>
      </c>
      <c r="J3866" t="s">
        <v>47128</v>
      </c>
      <c r="K3866" t="s">
        <v>47113</v>
      </c>
      <c r="L3866">
        <v>2.7</v>
      </c>
      <c r="M3866">
        <v>52</v>
      </c>
      <c r="N3866">
        <v>0</v>
      </c>
      <c r="O3866">
        <v>52</v>
      </c>
      <c r="P3866">
        <v>0</v>
      </c>
    </row>
    <row r="3867" spans="1:16" x14ac:dyDescent="0.25">
      <c r="A3867" t="s">
        <v>26285</v>
      </c>
      <c r="B3867" t="s">
        <v>16548</v>
      </c>
      <c r="C3867" t="s">
        <v>2173</v>
      </c>
      <c r="D3867" t="str">
        <f>"1700"</f>
        <v>1700</v>
      </c>
      <c r="E3867" t="s">
        <v>60</v>
      </c>
      <c r="F3867" t="s">
        <v>15183</v>
      </c>
      <c r="G3867" t="s">
        <v>16234</v>
      </c>
      <c r="H3867" t="s">
        <v>47055</v>
      </c>
      <c r="I3867" t="s">
        <v>47127</v>
      </c>
      <c r="J3867" t="s">
        <v>47128</v>
      </c>
      <c r="K3867" t="s">
        <v>47113</v>
      </c>
      <c r="L3867">
        <v>2.7</v>
      </c>
      <c r="M3867">
        <v>52</v>
      </c>
      <c r="N3867">
        <v>0</v>
      </c>
      <c r="O3867">
        <v>52</v>
      </c>
      <c r="P3867">
        <v>0</v>
      </c>
    </row>
    <row r="3868" spans="1:16" x14ac:dyDescent="0.25">
      <c r="A3868" t="s">
        <v>26286</v>
      </c>
      <c r="B3868" t="s">
        <v>16548</v>
      </c>
      <c r="C3868" t="s">
        <v>2173</v>
      </c>
      <c r="D3868" t="str">
        <f>"1704"</f>
        <v>1704</v>
      </c>
      <c r="E3868" t="s">
        <v>7181</v>
      </c>
      <c r="F3868" t="s">
        <v>15183</v>
      </c>
      <c r="G3868" t="s">
        <v>16234</v>
      </c>
      <c r="H3868" t="s">
        <v>47055</v>
      </c>
      <c r="I3868" t="s">
        <v>47127</v>
      </c>
      <c r="J3868" t="s">
        <v>47128</v>
      </c>
      <c r="K3868" t="s">
        <v>47113</v>
      </c>
      <c r="L3868">
        <v>2.7</v>
      </c>
      <c r="M3868">
        <v>52</v>
      </c>
      <c r="N3868">
        <v>0</v>
      </c>
      <c r="O3868">
        <v>52</v>
      </c>
      <c r="P3868">
        <v>0</v>
      </c>
    </row>
    <row r="3869" spans="1:16" x14ac:dyDescent="0.25">
      <c r="A3869" t="s">
        <v>26287</v>
      </c>
      <c r="B3869" t="s">
        <v>16548</v>
      </c>
      <c r="C3869" t="s">
        <v>2173</v>
      </c>
      <c r="D3869" t="str">
        <f>"2000"</f>
        <v>2000</v>
      </c>
      <c r="E3869" t="s">
        <v>248</v>
      </c>
      <c r="F3869" t="s">
        <v>15183</v>
      </c>
      <c r="G3869" t="s">
        <v>16234</v>
      </c>
      <c r="H3869" t="s">
        <v>47055</v>
      </c>
      <c r="I3869" t="s">
        <v>47127</v>
      </c>
      <c r="J3869" t="s">
        <v>47128</v>
      </c>
      <c r="K3869" t="s">
        <v>47113</v>
      </c>
      <c r="L3869">
        <v>2.7</v>
      </c>
      <c r="M3869">
        <v>52</v>
      </c>
      <c r="N3869">
        <v>0</v>
      </c>
      <c r="O3869">
        <v>52</v>
      </c>
      <c r="P3869">
        <v>0</v>
      </c>
    </row>
    <row r="3870" spans="1:16" x14ac:dyDescent="0.25">
      <c r="A3870" t="s">
        <v>26288</v>
      </c>
      <c r="B3870" t="s">
        <v>16548</v>
      </c>
      <c r="C3870" t="s">
        <v>2173</v>
      </c>
      <c r="D3870" t="str">
        <f>"3304"</f>
        <v>3304</v>
      </c>
      <c r="E3870" t="s">
        <v>16536</v>
      </c>
      <c r="F3870" t="s">
        <v>15183</v>
      </c>
      <c r="G3870" t="s">
        <v>16234</v>
      </c>
      <c r="H3870" t="s">
        <v>47055</v>
      </c>
      <c r="I3870" t="s">
        <v>47127</v>
      </c>
      <c r="J3870" t="s">
        <v>47128</v>
      </c>
      <c r="K3870" t="s">
        <v>47113</v>
      </c>
      <c r="L3870">
        <v>2.7</v>
      </c>
      <c r="M3870">
        <v>52</v>
      </c>
      <c r="N3870">
        <v>0</v>
      </c>
      <c r="O3870">
        <v>52</v>
      </c>
      <c r="P3870">
        <v>0</v>
      </c>
    </row>
    <row r="3871" spans="1:16" x14ac:dyDescent="0.25">
      <c r="A3871" t="s">
        <v>26289</v>
      </c>
      <c r="B3871" t="s">
        <v>16548</v>
      </c>
      <c r="C3871" t="s">
        <v>2173</v>
      </c>
      <c r="D3871" t="str">
        <f>"4000"</f>
        <v>4000</v>
      </c>
      <c r="E3871" t="s">
        <v>16537</v>
      </c>
      <c r="F3871" t="s">
        <v>15183</v>
      </c>
      <c r="G3871" t="s">
        <v>16234</v>
      </c>
      <c r="H3871" t="s">
        <v>47055</v>
      </c>
      <c r="I3871" t="s">
        <v>47127</v>
      </c>
      <c r="J3871" t="s">
        <v>47128</v>
      </c>
      <c r="K3871" t="s">
        <v>47113</v>
      </c>
      <c r="L3871">
        <v>2.7</v>
      </c>
      <c r="M3871">
        <v>52</v>
      </c>
      <c r="N3871">
        <v>0</v>
      </c>
      <c r="O3871">
        <v>52</v>
      </c>
      <c r="P3871">
        <v>0</v>
      </c>
    </row>
    <row r="3872" spans="1:16" x14ac:dyDescent="0.25">
      <c r="A3872" t="s">
        <v>26290</v>
      </c>
      <c r="B3872" t="s">
        <v>16548</v>
      </c>
      <c r="C3872" t="s">
        <v>2173</v>
      </c>
      <c r="D3872" t="str">
        <f>"4643"</f>
        <v>4643</v>
      </c>
      <c r="E3872" t="s">
        <v>205</v>
      </c>
      <c r="F3872" t="s">
        <v>15183</v>
      </c>
      <c r="G3872" t="s">
        <v>16234</v>
      </c>
      <c r="H3872" t="s">
        <v>47055</v>
      </c>
      <c r="I3872" t="s">
        <v>47127</v>
      </c>
      <c r="J3872" t="s">
        <v>47128</v>
      </c>
      <c r="K3872" t="s">
        <v>47113</v>
      </c>
      <c r="L3872">
        <v>2.7</v>
      </c>
      <c r="M3872">
        <v>52</v>
      </c>
      <c r="N3872">
        <v>0</v>
      </c>
      <c r="O3872">
        <v>52</v>
      </c>
      <c r="P3872">
        <v>0</v>
      </c>
    </row>
    <row r="3873" spans="1:16" x14ac:dyDescent="0.25">
      <c r="A3873" t="s">
        <v>26291</v>
      </c>
      <c r="B3873" t="s">
        <v>16548</v>
      </c>
      <c r="C3873" t="s">
        <v>2173</v>
      </c>
      <c r="D3873" t="str">
        <f>"4921"</f>
        <v>4921</v>
      </c>
      <c r="E3873" t="s">
        <v>4156</v>
      </c>
      <c r="F3873" t="s">
        <v>15183</v>
      </c>
      <c r="G3873" t="s">
        <v>16234</v>
      </c>
      <c r="H3873" t="s">
        <v>47055</v>
      </c>
      <c r="I3873" t="s">
        <v>47127</v>
      </c>
      <c r="J3873" t="s">
        <v>47128</v>
      </c>
      <c r="K3873" t="s">
        <v>47113</v>
      </c>
      <c r="L3873">
        <v>2.7</v>
      </c>
      <c r="M3873">
        <v>52</v>
      </c>
      <c r="N3873">
        <v>0</v>
      </c>
      <c r="O3873">
        <v>52</v>
      </c>
      <c r="P3873">
        <v>0</v>
      </c>
    </row>
    <row r="3874" spans="1:16" x14ac:dyDescent="0.25">
      <c r="A3874" t="s">
        <v>26292</v>
      </c>
      <c r="B3874" t="s">
        <v>16550</v>
      </c>
      <c r="C3874" t="s">
        <v>16546</v>
      </c>
      <c r="D3874" t="str">
        <f>"1001"</f>
        <v>1001</v>
      </c>
      <c r="E3874" t="s">
        <v>42</v>
      </c>
      <c r="F3874" t="s">
        <v>15183</v>
      </c>
      <c r="G3874" t="s">
        <v>16235</v>
      </c>
      <c r="H3874" t="s">
        <v>47055</v>
      </c>
      <c r="I3874" t="s">
        <v>47127</v>
      </c>
      <c r="J3874" t="s">
        <v>47128</v>
      </c>
      <c r="K3874" t="s">
        <v>47113</v>
      </c>
      <c r="L3874">
        <v>49.51</v>
      </c>
      <c r="M3874">
        <v>77</v>
      </c>
      <c r="N3874">
        <v>0</v>
      </c>
      <c r="O3874">
        <v>77</v>
      </c>
      <c r="P3874">
        <v>0</v>
      </c>
    </row>
    <row r="3875" spans="1:16" x14ac:dyDescent="0.25">
      <c r="A3875" t="s">
        <v>26293</v>
      </c>
      <c r="B3875" t="s">
        <v>16550</v>
      </c>
      <c r="C3875" t="s">
        <v>16546</v>
      </c>
      <c r="D3875" t="str">
        <f>"1200"</f>
        <v>1200</v>
      </c>
      <c r="E3875" t="s">
        <v>16534</v>
      </c>
      <c r="F3875" t="s">
        <v>15183</v>
      </c>
      <c r="G3875" t="s">
        <v>16235</v>
      </c>
      <c r="H3875" t="s">
        <v>47055</v>
      </c>
      <c r="I3875" t="s">
        <v>47127</v>
      </c>
      <c r="J3875" t="s">
        <v>47128</v>
      </c>
      <c r="K3875" t="s">
        <v>47113</v>
      </c>
      <c r="L3875">
        <v>49.51</v>
      </c>
      <c r="M3875">
        <v>77</v>
      </c>
      <c r="N3875">
        <v>0</v>
      </c>
      <c r="O3875">
        <v>77</v>
      </c>
      <c r="P3875">
        <v>0</v>
      </c>
    </row>
    <row r="3876" spans="1:16" x14ac:dyDescent="0.25">
      <c r="A3876" t="s">
        <v>26294</v>
      </c>
      <c r="B3876" t="s">
        <v>16550</v>
      </c>
      <c r="C3876" t="s">
        <v>16546</v>
      </c>
      <c r="D3876" t="str">
        <f>"1285"</f>
        <v>1285</v>
      </c>
      <c r="E3876" t="s">
        <v>2148</v>
      </c>
      <c r="F3876" t="s">
        <v>15183</v>
      </c>
      <c r="G3876" t="s">
        <v>16235</v>
      </c>
      <c r="H3876" t="s">
        <v>47055</v>
      </c>
      <c r="I3876" t="s">
        <v>47127</v>
      </c>
      <c r="J3876" t="s">
        <v>47128</v>
      </c>
      <c r="K3876" t="s">
        <v>47113</v>
      </c>
      <c r="L3876">
        <v>49.51</v>
      </c>
      <c r="M3876">
        <v>77</v>
      </c>
      <c r="N3876">
        <v>0</v>
      </c>
      <c r="O3876">
        <v>77</v>
      </c>
      <c r="P3876">
        <v>0</v>
      </c>
    </row>
    <row r="3877" spans="1:16" x14ac:dyDescent="0.25">
      <c r="A3877" t="s">
        <v>16551</v>
      </c>
      <c r="B3877" t="s">
        <v>16550</v>
      </c>
      <c r="C3877" t="s">
        <v>16546</v>
      </c>
      <c r="D3877" t="str">
        <f>"1370"</f>
        <v>1370</v>
      </c>
      <c r="E3877" t="s">
        <v>3859</v>
      </c>
      <c r="F3877" t="s">
        <v>15183</v>
      </c>
      <c r="G3877" t="s">
        <v>16235</v>
      </c>
      <c r="H3877" t="s">
        <v>47055</v>
      </c>
      <c r="I3877" t="s">
        <v>47127</v>
      </c>
      <c r="J3877" t="s">
        <v>47128</v>
      </c>
      <c r="K3877" t="s">
        <v>47113</v>
      </c>
      <c r="L3877">
        <v>49.51</v>
      </c>
      <c r="M3877">
        <v>77</v>
      </c>
      <c r="N3877">
        <v>0</v>
      </c>
      <c r="O3877">
        <v>77</v>
      </c>
      <c r="P3877">
        <v>0</v>
      </c>
    </row>
    <row r="3878" spans="1:16" x14ac:dyDescent="0.25">
      <c r="A3878" t="s">
        <v>26295</v>
      </c>
      <c r="B3878" t="s">
        <v>16550</v>
      </c>
      <c r="C3878" t="s">
        <v>16546</v>
      </c>
      <c r="D3878" t="str">
        <f>"1377"</f>
        <v>1377</v>
      </c>
      <c r="E3878" t="s">
        <v>74</v>
      </c>
      <c r="F3878" t="s">
        <v>15183</v>
      </c>
      <c r="G3878" t="s">
        <v>16235</v>
      </c>
      <c r="H3878" t="s">
        <v>47055</v>
      </c>
      <c r="I3878" t="s">
        <v>47127</v>
      </c>
      <c r="J3878" t="s">
        <v>47128</v>
      </c>
      <c r="K3878" t="s">
        <v>47113</v>
      </c>
      <c r="L3878">
        <v>49.51</v>
      </c>
      <c r="M3878">
        <v>77</v>
      </c>
      <c r="N3878">
        <v>0</v>
      </c>
      <c r="O3878">
        <v>77</v>
      </c>
      <c r="P3878">
        <v>0</v>
      </c>
    </row>
    <row r="3879" spans="1:16" x14ac:dyDescent="0.25">
      <c r="A3879" t="s">
        <v>26296</v>
      </c>
      <c r="B3879" t="s">
        <v>16550</v>
      </c>
      <c r="C3879" t="s">
        <v>16546</v>
      </c>
      <c r="D3879" t="str">
        <f>"1378"</f>
        <v>1378</v>
      </c>
      <c r="E3879" t="s">
        <v>388</v>
      </c>
      <c r="F3879" t="s">
        <v>15183</v>
      </c>
      <c r="G3879" t="s">
        <v>16235</v>
      </c>
      <c r="H3879" t="s">
        <v>47055</v>
      </c>
      <c r="I3879" t="s">
        <v>47127</v>
      </c>
      <c r="J3879" t="s">
        <v>47128</v>
      </c>
      <c r="K3879" t="s">
        <v>47113</v>
      </c>
      <c r="L3879">
        <v>49.51</v>
      </c>
      <c r="M3879">
        <v>77</v>
      </c>
      <c r="N3879">
        <v>0</v>
      </c>
      <c r="O3879">
        <v>77</v>
      </c>
      <c r="P3879">
        <v>0</v>
      </c>
    </row>
    <row r="3880" spans="1:16" x14ac:dyDescent="0.25">
      <c r="A3880" t="s">
        <v>26297</v>
      </c>
      <c r="B3880" t="s">
        <v>16550</v>
      </c>
      <c r="C3880" t="s">
        <v>16546</v>
      </c>
      <c r="D3880" t="str">
        <f>"1537"</f>
        <v>1537</v>
      </c>
      <c r="E3880" t="s">
        <v>16535</v>
      </c>
      <c r="F3880" t="s">
        <v>15183</v>
      </c>
      <c r="G3880" t="s">
        <v>16235</v>
      </c>
      <c r="H3880" t="s">
        <v>47055</v>
      </c>
      <c r="I3880" t="s">
        <v>47127</v>
      </c>
      <c r="J3880" t="s">
        <v>47128</v>
      </c>
      <c r="K3880" t="s">
        <v>47113</v>
      </c>
      <c r="L3880">
        <v>49.51</v>
      </c>
      <c r="M3880">
        <v>77</v>
      </c>
      <c r="N3880">
        <v>0</v>
      </c>
      <c r="O3880">
        <v>77</v>
      </c>
      <c r="P3880">
        <v>0</v>
      </c>
    </row>
    <row r="3881" spans="1:16" x14ac:dyDescent="0.25">
      <c r="A3881" t="s">
        <v>26298</v>
      </c>
      <c r="B3881" t="s">
        <v>16550</v>
      </c>
      <c r="C3881" t="s">
        <v>16546</v>
      </c>
      <c r="D3881" t="str">
        <f>"1700"</f>
        <v>1700</v>
      </c>
      <c r="E3881" t="s">
        <v>60</v>
      </c>
      <c r="F3881" t="s">
        <v>15183</v>
      </c>
      <c r="G3881" t="s">
        <v>16235</v>
      </c>
      <c r="H3881" t="s">
        <v>47055</v>
      </c>
      <c r="I3881" t="s">
        <v>47127</v>
      </c>
      <c r="J3881" t="s">
        <v>47128</v>
      </c>
      <c r="K3881" t="s">
        <v>47113</v>
      </c>
      <c r="L3881">
        <v>49.51</v>
      </c>
      <c r="M3881">
        <v>77</v>
      </c>
      <c r="N3881">
        <v>0</v>
      </c>
      <c r="O3881">
        <v>77</v>
      </c>
      <c r="P3881">
        <v>0</v>
      </c>
    </row>
    <row r="3882" spans="1:16" x14ac:dyDescent="0.25">
      <c r="A3882" t="s">
        <v>26299</v>
      </c>
      <c r="B3882" t="s">
        <v>16550</v>
      </c>
      <c r="C3882" t="s">
        <v>16546</v>
      </c>
      <c r="D3882" t="str">
        <f>"1704"</f>
        <v>1704</v>
      </c>
      <c r="E3882" t="s">
        <v>7181</v>
      </c>
      <c r="F3882" t="s">
        <v>15183</v>
      </c>
      <c r="G3882" t="s">
        <v>16235</v>
      </c>
      <c r="H3882" t="s">
        <v>47055</v>
      </c>
      <c r="I3882" t="s">
        <v>47127</v>
      </c>
      <c r="J3882" t="s">
        <v>47128</v>
      </c>
      <c r="K3882" t="s">
        <v>47113</v>
      </c>
      <c r="L3882">
        <v>49.51</v>
      </c>
      <c r="M3882">
        <v>77</v>
      </c>
      <c r="N3882">
        <v>0</v>
      </c>
      <c r="O3882">
        <v>77</v>
      </c>
      <c r="P3882">
        <v>0</v>
      </c>
    </row>
    <row r="3883" spans="1:16" x14ac:dyDescent="0.25">
      <c r="A3883" t="s">
        <v>26300</v>
      </c>
      <c r="B3883" t="s">
        <v>16550</v>
      </c>
      <c r="C3883" t="s">
        <v>16546</v>
      </c>
      <c r="D3883" t="str">
        <f>"3304"</f>
        <v>3304</v>
      </c>
      <c r="E3883" t="s">
        <v>16536</v>
      </c>
      <c r="F3883" t="s">
        <v>15183</v>
      </c>
      <c r="G3883" t="s">
        <v>16235</v>
      </c>
      <c r="H3883" t="s">
        <v>47055</v>
      </c>
      <c r="I3883" t="s">
        <v>47127</v>
      </c>
      <c r="J3883" t="s">
        <v>47128</v>
      </c>
      <c r="K3883" t="s">
        <v>47113</v>
      </c>
      <c r="L3883">
        <v>49.51</v>
      </c>
      <c r="M3883">
        <v>77</v>
      </c>
      <c r="N3883">
        <v>0</v>
      </c>
      <c r="O3883">
        <v>77</v>
      </c>
      <c r="P3883">
        <v>0</v>
      </c>
    </row>
    <row r="3884" spans="1:16" x14ac:dyDescent="0.25">
      <c r="A3884" t="s">
        <v>26301</v>
      </c>
      <c r="B3884" t="s">
        <v>16550</v>
      </c>
      <c r="C3884" t="s">
        <v>16546</v>
      </c>
      <c r="D3884" t="str">
        <f>"4000"</f>
        <v>4000</v>
      </c>
      <c r="E3884" t="s">
        <v>16537</v>
      </c>
      <c r="F3884" t="s">
        <v>15183</v>
      </c>
      <c r="G3884" t="s">
        <v>16235</v>
      </c>
      <c r="H3884" t="s">
        <v>47055</v>
      </c>
      <c r="I3884" t="s">
        <v>47127</v>
      </c>
      <c r="J3884" t="s">
        <v>47128</v>
      </c>
      <c r="K3884" t="s">
        <v>47113</v>
      </c>
      <c r="L3884">
        <v>49.51</v>
      </c>
      <c r="M3884">
        <v>77</v>
      </c>
      <c r="N3884">
        <v>0</v>
      </c>
      <c r="O3884">
        <v>77</v>
      </c>
      <c r="P3884">
        <v>0</v>
      </c>
    </row>
    <row r="3885" spans="1:16" x14ac:dyDescent="0.25">
      <c r="A3885" t="s">
        <v>26302</v>
      </c>
      <c r="B3885" t="s">
        <v>16550</v>
      </c>
      <c r="C3885" t="s">
        <v>16546</v>
      </c>
      <c r="D3885" t="str">
        <f>"4643"</f>
        <v>4643</v>
      </c>
      <c r="E3885" t="s">
        <v>205</v>
      </c>
      <c r="F3885" t="s">
        <v>15183</v>
      </c>
      <c r="G3885" t="s">
        <v>16235</v>
      </c>
      <c r="H3885" t="s">
        <v>47055</v>
      </c>
      <c r="I3885" t="s">
        <v>47127</v>
      </c>
      <c r="J3885" t="s">
        <v>47128</v>
      </c>
      <c r="K3885" t="s">
        <v>47113</v>
      </c>
      <c r="L3885">
        <v>49.51</v>
      </c>
      <c r="M3885">
        <v>77</v>
      </c>
      <c r="N3885">
        <v>0</v>
      </c>
      <c r="O3885">
        <v>77</v>
      </c>
      <c r="P3885">
        <v>0</v>
      </c>
    </row>
    <row r="3886" spans="1:16" x14ac:dyDescent="0.25">
      <c r="A3886" t="s">
        <v>26303</v>
      </c>
      <c r="B3886" t="s">
        <v>16550</v>
      </c>
      <c r="C3886" t="s">
        <v>16546</v>
      </c>
      <c r="D3886" t="str">
        <f>"4921"</f>
        <v>4921</v>
      </c>
      <c r="E3886" t="s">
        <v>4156</v>
      </c>
      <c r="F3886" t="s">
        <v>15183</v>
      </c>
      <c r="G3886" t="s">
        <v>16235</v>
      </c>
      <c r="H3886" t="s">
        <v>47055</v>
      </c>
      <c r="I3886" t="s">
        <v>47127</v>
      </c>
      <c r="J3886" t="s">
        <v>47128</v>
      </c>
      <c r="K3886" t="s">
        <v>47113</v>
      </c>
      <c r="L3886">
        <v>49.51</v>
      </c>
      <c r="M3886">
        <v>77</v>
      </c>
      <c r="N3886">
        <v>0</v>
      </c>
      <c r="O3886">
        <v>77</v>
      </c>
      <c r="P3886">
        <v>0</v>
      </c>
    </row>
    <row r="3887" spans="1:16" x14ac:dyDescent="0.25">
      <c r="A3887" t="s">
        <v>26304</v>
      </c>
      <c r="B3887" t="s">
        <v>16552</v>
      </c>
      <c r="C3887" t="s">
        <v>16546</v>
      </c>
      <c r="D3887" t="str">
        <f>"1001"</f>
        <v>1001</v>
      </c>
      <c r="E3887" t="s">
        <v>42</v>
      </c>
      <c r="F3887" t="s">
        <v>15183</v>
      </c>
      <c r="G3887" t="s">
        <v>16235</v>
      </c>
      <c r="H3887" t="s">
        <v>47055</v>
      </c>
      <c r="I3887" t="s">
        <v>47127</v>
      </c>
      <c r="J3887" t="s">
        <v>47128</v>
      </c>
      <c r="K3887" t="s">
        <v>47113</v>
      </c>
      <c r="L3887">
        <v>36.01</v>
      </c>
      <c r="M3887">
        <v>60</v>
      </c>
      <c r="N3887">
        <v>0</v>
      </c>
      <c r="O3887">
        <v>60</v>
      </c>
      <c r="P3887">
        <v>0</v>
      </c>
    </row>
    <row r="3888" spans="1:16" x14ac:dyDescent="0.25">
      <c r="A3888" t="s">
        <v>26305</v>
      </c>
      <c r="B3888" t="s">
        <v>16552</v>
      </c>
      <c r="C3888" t="s">
        <v>16546</v>
      </c>
      <c r="D3888" t="str">
        <f>"1200"</f>
        <v>1200</v>
      </c>
      <c r="E3888" t="s">
        <v>16534</v>
      </c>
      <c r="F3888" t="s">
        <v>15183</v>
      </c>
      <c r="G3888" t="s">
        <v>16235</v>
      </c>
      <c r="H3888" t="s">
        <v>47055</v>
      </c>
      <c r="I3888" t="s">
        <v>47127</v>
      </c>
      <c r="J3888" t="s">
        <v>47128</v>
      </c>
      <c r="K3888" t="s">
        <v>47113</v>
      </c>
      <c r="L3888">
        <v>36.01</v>
      </c>
      <c r="M3888">
        <v>60</v>
      </c>
      <c r="N3888">
        <v>0</v>
      </c>
      <c r="O3888">
        <v>60</v>
      </c>
      <c r="P3888">
        <v>0</v>
      </c>
    </row>
    <row r="3889" spans="1:16" x14ac:dyDescent="0.25">
      <c r="A3889" t="s">
        <v>26306</v>
      </c>
      <c r="B3889" t="s">
        <v>16552</v>
      </c>
      <c r="C3889" t="s">
        <v>16546</v>
      </c>
      <c r="D3889" t="str">
        <f>"1285"</f>
        <v>1285</v>
      </c>
      <c r="E3889" t="s">
        <v>2148</v>
      </c>
      <c r="F3889" t="s">
        <v>15183</v>
      </c>
      <c r="G3889" t="s">
        <v>16235</v>
      </c>
      <c r="H3889" t="s">
        <v>47055</v>
      </c>
      <c r="I3889" t="s">
        <v>47127</v>
      </c>
      <c r="J3889" t="s">
        <v>47128</v>
      </c>
      <c r="K3889" t="s">
        <v>47113</v>
      </c>
      <c r="L3889">
        <v>36.01</v>
      </c>
      <c r="M3889">
        <v>60</v>
      </c>
      <c r="N3889">
        <v>0</v>
      </c>
      <c r="O3889">
        <v>60</v>
      </c>
      <c r="P3889">
        <v>0</v>
      </c>
    </row>
    <row r="3890" spans="1:16" x14ac:dyDescent="0.25">
      <c r="A3890" t="s">
        <v>26307</v>
      </c>
      <c r="B3890" t="s">
        <v>16552</v>
      </c>
      <c r="C3890" t="s">
        <v>16546</v>
      </c>
      <c r="D3890" t="str">
        <f>"1370"</f>
        <v>1370</v>
      </c>
      <c r="E3890" t="s">
        <v>3859</v>
      </c>
      <c r="F3890" t="s">
        <v>15183</v>
      </c>
      <c r="G3890" t="s">
        <v>16235</v>
      </c>
      <c r="H3890" t="s">
        <v>47055</v>
      </c>
      <c r="I3890" t="s">
        <v>47127</v>
      </c>
      <c r="J3890" t="s">
        <v>47128</v>
      </c>
      <c r="K3890" t="s">
        <v>47113</v>
      </c>
      <c r="L3890">
        <v>36.01</v>
      </c>
      <c r="M3890">
        <v>60</v>
      </c>
      <c r="N3890">
        <v>0</v>
      </c>
      <c r="O3890">
        <v>60</v>
      </c>
      <c r="P3890">
        <v>0</v>
      </c>
    </row>
    <row r="3891" spans="1:16" x14ac:dyDescent="0.25">
      <c r="A3891" t="s">
        <v>26308</v>
      </c>
      <c r="B3891" t="s">
        <v>16552</v>
      </c>
      <c r="C3891" t="s">
        <v>16546</v>
      </c>
      <c r="D3891" t="str">
        <f>"1377"</f>
        <v>1377</v>
      </c>
      <c r="E3891" t="s">
        <v>74</v>
      </c>
      <c r="F3891" t="s">
        <v>15183</v>
      </c>
      <c r="G3891" t="s">
        <v>16235</v>
      </c>
      <c r="H3891" t="s">
        <v>47055</v>
      </c>
      <c r="I3891" t="s">
        <v>47127</v>
      </c>
      <c r="J3891" t="s">
        <v>47128</v>
      </c>
      <c r="K3891" t="s">
        <v>47113</v>
      </c>
      <c r="L3891">
        <v>36.01</v>
      </c>
      <c r="M3891">
        <v>60</v>
      </c>
      <c r="N3891">
        <v>0</v>
      </c>
      <c r="O3891">
        <v>60</v>
      </c>
      <c r="P3891">
        <v>0</v>
      </c>
    </row>
    <row r="3892" spans="1:16" x14ac:dyDescent="0.25">
      <c r="A3892" t="s">
        <v>26309</v>
      </c>
      <c r="B3892" t="s">
        <v>16552</v>
      </c>
      <c r="C3892" t="s">
        <v>16546</v>
      </c>
      <c r="D3892" t="str">
        <f>"1378"</f>
        <v>1378</v>
      </c>
      <c r="E3892" t="s">
        <v>388</v>
      </c>
      <c r="F3892" t="s">
        <v>15183</v>
      </c>
      <c r="G3892" t="s">
        <v>16235</v>
      </c>
      <c r="H3892" t="s">
        <v>47055</v>
      </c>
      <c r="I3892" t="s">
        <v>47127</v>
      </c>
      <c r="J3892" t="s">
        <v>47128</v>
      </c>
      <c r="K3892" t="s">
        <v>47113</v>
      </c>
      <c r="L3892">
        <v>36.01</v>
      </c>
      <c r="M3892">
        <v>60</v>
      </c>
      <c r="N3892">
        <v>0</v>
      </c>
      <c r="O3892">
        <v>60</v>
      </c>
      <c r="P3892">
        <v>0</v>
      </c>
    </row>
    <row r="3893" spans="1:16" x14ac:dyDescent="0.25">
      <c r="A3893" t="s">
        <v>26310</v>
      </c>
      <c r="B3893" t="s">
        <v>16552</v>
      </c>
      <c r="C3893" t="s">
        <v>16546</v>
      </c>
      <c r="D3893" t="str">
        <f>"1537"</f>
        <v>1537</v>
      </c>
      <c r="E3893" t="s">
        <v>16535</v>
      </c>
      <c r="F3893" t="s">
        <v>15183</v>
      </c>
      <c r="G3893" t="s">
        <v>16235</v>
      </c>
      <c r="H3893" t="s">
        <v>47055</v>
      </c>
      <c r="I3893" t="s">
        <v>47127</v>
      </c>
      <c r="J3893" t="s">
        <v>47128</v>
      </c>
      <c r="K3893" t="s">
        <v>47113</v>
      </c>
      <c r="L3893">
        <v>36.01</v>
      </c>
      <c r="M3893">
        <v>60</v>
      </c>
      <c r="N3893">
        <v>0</v>
      </c>
      <c r="O3893">
        <v>60</v>
      </c>
      <c r="P3893">
        <v>0</v>
      </c>
    </row>
    <row r="3894" spans="1:16" x14ac:dyDescent="0.25">
      <c r="A3894" t="s">
        <v>26311</v>
      </c>
      <c r="B3894" t="s">
        <v>16552</v>
      </c>
      <c r="C3894" t="s">
        <v>16546</v>
      </c>
      <c r="D3894" t="str">
        <f>"1700"</f>
        <v>1700</v>
      </c>
      <c r="E3894" t="s">
        <v>60</v>
      </c>
      <c r="F3894" t="s">
        <v>15183</v>
      </c>
      <c r="G3894" t="s">
        <v>16235</v>
      </c>
      <c r="H3894" t="s">
        <v>47055</v>
      </c>
      <c r="I3894" t="s">
        <v>47127</v>
      </c>
      <c r="J3894" t="s">
        <v>47128</v>
      </c>
      <c r="K3894" t="s">
        <v>47113</v>
      </c>
      <c r="L3894">
        <v>36.01</v>
      </c>
      <c r="M3894">
        <v>60</v>
      </c>
      <c r="N3894">
        <v>0</v>
      </c>
      <c r="O3894">
        <v>60</v>
      </c>
      <c r="P3894">
        <v>0</v>
      </c>
    </row>
    <row r="3895" spans="1:16" x14ac:dyDescent="0.25">
      <c r="A3895" t="s">
        <v>26312</v>
      </c>
      <c r="B3895" t="s">
        <v>16552</v>
      </c>
      <c r="C3895" t="s">
        <v>16546</v>
      </c>
      <c r="D3895" t="str">
        <f>"1704"</f>
        <v>1704</v>
      </c>
      <c r="E3895" t="s">
        <v>7181</v>
      </c>
      <c r="F3895" t="s">
        <v>15183</v>
      </c>
      <c r="G3895" t="s">
        <v>16235</v>
      </c>
      <c r="H3895" t="s">
        <v>47055</v>
      </c>
      <c r="I3895" t="s">
        <v>47127</v>
      </c>
      <c r="J3895" t="s">
        <v>47128</v>
      </c>
      <c r="K3895" t="s">
        <v>47113</v>
      </c>
      <c r="L3895">
        <v>36.01</v>
      </c>
      <c r="M3895">
        <v>60</v>
      </c>
      <c r="N3895">
        <v>0</v>
      </c>
      <c r="O3895">
        <v>60</v>
      </c>
      <c r="P3895">
        <v>0</v>
      </c>
    </row>
    <row r="3896" spans="1:16" x14ac:dyDescent="0.25">
      <c r="A3896" t="s">
        <v>26313</v>
      </c>
      <c r="B3896" t="s">
        <v>16552</v>
      </c>
      <c r="C3896" t="s">
        <v>16546</v>
      </c>
      <c r="D3896" t="str">
        <f>"3304"</f>
        <v>3304</v>
      </c>
      <c r="E3896" t="s">
        <v>16536</v>
      </c>
      <c r="F3896" t="s">
        <v>15183</v>
      </c>
      <c r="G3896" t="s">
        <v>16235</v>
      </c>
      <c r="H3896" t="s">
        <v>47055</v>
      </c>
      <c r="I3896" t="s">
        <v>47127</v>
      </c>
      <c r="J3896" t="s">
        <v>47128</v>
      </c>
      <c r="K3896" t="s">
        <v>47113</v>
      </c>
      <c r="L3896">
        <v>36.01</v>
      </c>
      <c r="M3896">
        <v>60</v>
      </c>
      <c r="N3896">
        <v>0</v>
      </c>
      <c r="O3896">
        <v>60</v>
      </c>
      <c r="P3896">
        <v>0</v>
      </c>
    </row>
    <row r="3897" spans="1:16" x14ac:dyDescent="0.25">
      <c r="A3897" t="s">
        <v>26314</v>
      </c>
      <c r="B3897" t="s">
        <v>16552</v>
      </c>
      <c r="C3897" t="s">
        <v>16546</v>
      </c>
      <c r="D3897" t="str">
        <f>"4000"</f>
        <v>4000</v>
      </c>
      <c r="E3897" t="s">
        <v>16537</v>
      </c>
      <c r="F3897" t="s">
        <v>15183</v>
      </c>
      <c r="G3897" t="s">
        <v>16235</v>
      </c>
      <c r="H3897" t="s">
        <v>47055</v>
      </c>
      <c r="I3897" t="s">
        <v>47127</v>
      </c>
      <c r="J3897" t="s">
        <v>47128</v>
      </c>
      <c r="K3897" t="s">
        <v>47113</v>
      </c>
      <c r="L3897">
        <v>36.01</v>
      </c>
      <c r="M3897">
        <v>60</v>
      </c>
      <c r="N3897">
        <v>0</v>
      </c>
      <c r="O3897">
        <v>60</v>
      </c>
      <c r="P3897">
        <v>0</v>
      </c>
    </row>
    <row r="3898" spans="1:16" x14ac:dyDescent="0.25">
      <c r="A3898" t="s">
        <v>26315</v>
      </c>
      <c r="B3898" t="s">
        <v>16552</v>
      </c>
      <c r="C3898" t="s">
        <v>16546</v>
      </c>
      <c r="D3898" t="str">
        <f>"4643"</f>
        <v>4643</v>
      </c>
      <c r="E3898" t="s">
        <v>205</v>
      </c>
      <c r="F3898" t="s">
        <v>15183</v>
      </c>
      <c r="G3898" t="s">
        <v>16235</v>
      </c>
      <c r="H3898" t="s">
        <v>47055</v>
      </c>
      <c r="I3898" t="s">
        <v>47127</v>
      </c>
      <c r="J3898" t="s">
        <v>47128</v>
      </c>
      <c r="K3898" t="s">
        <v>47113</v>
      </c>
      <c r="L3898">
        <v>36.01</v>
      </c>
      <c r="M3898">
        <v>60</v>
      </c>
      <c r="N3898">
        <v>0</v>
      </c>
      <c r="O3898">
        <v>60</v>
      </c>
      <c r="P3898">
        <v>0</v>
      </c>
    </row>
    <row r="3899" spans="1:16" x14ac:dyDescent="0.25">
      <c r="A3899" t="s">
        <v>26316</v>
      </c>
      <c r="B3899" t="s">
        <v>16552</v>
      </c>
      <c r="C3899" t="s">
        <v>16546</v>
      </c>
      <c r="D3899" t="str">
        <f>"4921"</f>
        <v>4921</v>
      </c>
      <c r="E3899" t="s">
        <v>4156</v>
      </c>
      <c r="F3899" t="s">
        <v>15183</v>
      </c>
      <c r="G3899" t="s">
        <v>16235</v>
      </c>
      <c r="H3899" t="s">
        <v>47055</v>
      </c>
      <c r="I3899" t="s">
        <v>47127</v>
      </c>
      <c r="J3899" t="s">
        <v>47128</v>
      </c>
      <c r="K3899" t="s">
        <v>47113</v>
      </c>
      <c r="L3899">
        <v>36.01</v>
      </c>
      <c r="M3899">
        <v>60</v>
      </c>
      <c r="N3899">
        <v>0</v>
      </c>
      <c r="O3899">
        <v>60</v>
      </c>
      <c r="P3899">
        <v>0</v>
      </c>
    </row>
    <row r="3900" spans="1:16" x14ac:dyDescent="0.25">
      <c r="A3900" t="s">
        <v>26317</v>
      </c>
      <c r="B3900" t="s">
        <v>16553</v>
      </c>
      <c r="C3900" t="s">
        <v>16546</v>
      </c>
      <c r="D3900" t="str">
        <f>"1001"</f>
        <v>1001</v>
      </c>
      <c r="E3900" t="s">
        <v>42</v>
      </c>
      <c r="F3900" t="s">
        <v>15183</v>
      </c>
      <c r="G3900" t="s">
        <v>16235</v>
      </c>
      <c r="H3900" t="s">
        <v>47055</v>
      </c>
      <c r="I3900" t="s">
        <v>47127</v>
      </c>
      <c r="J3900" t="s">
        <v>47128</v>
      </c>
      <c r="K3900" t="s">
        <v>47113</v>
      </c>
      <c r="L3900">
        <v>29.25</v>
      </c>
      <c r="M3900">
        <v>49</v>
      </c>
      <c r="N3900">
        <v>0</v>
      </c>
      <c r="O3900">
        <v>49</v>
      </c>
      <c r="P3900">
        <v>0</v>
      </c>
    </row>
    <row r="3901" spans="1:16" x14ac:dyDescent="0.25">
      <c r="A3901" t="s">
        <v>26318</v>
      </c>
      <c r="B3901" t="s">
        <v>16553</v>
      </c>
      <c r="C3901" t="s">
        <v>16546</v>
      </c>
      <c r="D3901" t="str">
        <f>"1200"</f>
        <v>1200</v>
      </c>
      <c r="E3901" t="s">
        <v>16534</v>
      </c>
      <c r="F3901" t="s">
        <v>15183</v>
      </c>
      <c r="G3901" t="s">
        <v>16235</v>
      </c>
      <c r="H3901" t="s">
        <v>47055</v>
      </c>
      <c r="I3901" t="s">
        <v>47127</v>
      </c>
      <c r="J3901" t="s">
        <v>47128</v>
      </c>
      <c r="K3901" t="s">
        <v>47113</v>
      </c>
      <c r="L3901">
        <v>29.25</v>
      </c>
      <c r="M3901">
        <v>49</v>
      </c>
      <c r="N3901">
        <v>0</v>
      </c>
      <c r="O3901">
        <v>49</v>
      </c>
      <c r="P3901">
        <v>0</v>
      </c>
    </row>
    <row r="3902" spans="1:16" x14ac:dyDescent="0.25">
      <c r="A3902" t="s">
        <v>26319</v>
      </c>
      <c r="B3902" t="s">
        <v>16553</v>
      </c>
      <c r="C3902" t="s">
        <v>16546</v>
      </c>
      <c r="D3902" t="str">
        <f>"1285"</f>
        <v>1285</v>
      </c>
      <c r="E3902" t="s">
        <v>2148</v>
      </c>
      <c r="F3902" t="s">
        <v>15183</v>
      </c>
      <c r="G3902" t="s">
        <v>16235</v>
      </c>
      <c r="H3902" t="s">
        <v>47055</v>
      </c>
      <c r="I3902" t="s">
        <v>47127</v>
      </c>
      <c r="J3902" t="s">
        <v>47128</v>
      </c>
      <c r="K3902" t="s">
        <v>47113</v>
      </c>
      <c r="L3902">
        <v>29.25</v>
      </c>
      <c r="M3902">
        <v>49</v>
      </c>
      <c r="N3902">
        <v>0</v>
      </c>
      <c r="O3902">
        <v>49</v>
      </c>
      <c r="P3902">
        <v>0</v>
      </c>
    </row>
    <row r="3903" spans="1:16" x14ac:dyDescent="0.25">
      <c r="A3903" t="s">
        <v>26320</v>
      </c>
      <c r="B3903" t="s">
        <v>16553</v>
      </c>
      <c r="C3903" t="s">
        <v>16546</v>
      </c>
      <c r="D3903" t="str">
        <f>"1370"</f>
        <v>1370</v>
      </c>
      <c r="E3903" t="s">
        <v>3859</v>
      </c>
      <c r="F3903" t="s">
        <v>15183</v>
      </c>
      <c r="G3903" t="s">
        <v>16235</v>
      </c>
      <c r="H3903" t="s">
        <v>47055</v>
      </c>
      <c r="I3903" t="s">
        <v>47127</v>
      </c>
      <c r="J3903" t="s">
        <v>47128</v>
      </c>
      <c r="K3903" t="s">
        <v>47113</v>
      </c>
      <c r="L3903">
        <v>29.25</v>
      </c>
      <c r="M3903">
        <v>49</v>
      </c>
      <c r="N3903">
        <v>0</v>
      </c>
      <c r="O3903">
        <v>49</v>
      </c>
      <c r="P3903">
        <v>0</v>
      </c>
    </row>
    <row r="3904" spans="1:16" x14ac:dyDescent="0.25">
      <c r="A3904" t="s">
        <v>26321</v>
      </c>
      <c r="B3904" t="s">
        <v>16553</v>
      </c>
      <c r="C3904" t="s">
        <v>16546</v>
      </c>
      <c r="D3904" t="str">
        <f>"1377"</f>
        <v>1377</v>
      </c>
      <c r="E3904" t="s">
        <v>74</v>
      </c>
      <c r="F3904" t="s">
        <v>15183</v>
      </c>
      <c r="G3904" t="s">
        <v>16235</v>
      </c>
      <c r="H3904" t="s">
        <v>47055</v>
      </c>
      <c r="I3904" t="s">
        <v>47127</v>
      </c>
      <c r="J3904" t="s">
        <v>47128</v>
      </c>
      <c r="K3904" t="s">
        <v>47113</v>
      </c>
      <c r="L3904">
        <v>29.25</v>
      </c>
      <c r="M3904">
        <v>49</v>
      </c>
      <c r="N3904">
        <v>0</v>
      </c>
      <c r="O3904">
        <v>49</v>
      </c>
      <c r="P3904">
        <v>0</v>
      </c>
    </row>
    <row r="3905" spans="1:16" x14ac:dyDescent="0.25">
      <c r="A3905" t="s">
        <v>26322</v>
      </c>
      <c r="B3905" t="s">
        <v>16553</v>
      </c>
      <c r="C3905" t="s">
        <v>16546</v>
      </c>
      <c r="D3905" t="str">
        <f>"1378"</f>
        <v>1378</v>
      </c>
      <c r="E3905" t="s">
        <v>388</v>
      </c>
      <c r="F3905" t="s">
        <v>15183</v>
      </c>
      <c r="G3905" t="s">
        <v>16235</v>
      </c>
      <c r="H3905" t="s">
        <v>47055</v>
      </c>
      <c r="I3905" t="s">
        <v>47127</v>
      </c>
      <c r="J3905" t="s">
        <v>47128</v>
      </c>
      <c r="K3905" t="s">
        <v>47113</v>
      </c>
      <c r="L3905">
        <v>29.25</v>
      </c>
      <c r="M3905">
        <v>49</v>
      </c>
      <c r="N3905">
        <v>0</v>
      </c>
      <c r="O3905">
        <v>49</v>
      </c>
      <c r="P3905">
        <v>0</v>
      </c>
    </row>
    <row r="3906" spans="1:16" x14ac:dyDescent="0.25">
      <c r="A3906" t="s">
        <v>26323</v>
      </c>
      <c r="B3906" t="s">
        <v>16553</v>
      </c>
      <c r="C3906" t="s">
        <v>16546</v>
      </c>
      <c r="D3906" t="str">
        <f>"1537"</f>
        <v>1537</v>
      </c>
      <c r="E3906" t="s">
        <v>16535</v>
      </c>
      <c r="F3906" t="s">
        <v>15183</v>
      </c>
      <c r="G3906" t="s">
        <v>16235</v>
      </c>
      <c r="H3906" t="s">
        <v>47055</v>
      </c>
      <c r="I3906" t="s">
        <v>47127</v>
      </c>
      <c r="J3906" t="s">
        <v>47128</v>
      </c>
      <c r="K3906" t="s">
        <v>47113</v>
      </c>
      <c r="L3906">
        <v>29.25</v>
      </c>
      <c r="M3906">
        <v>49</v>
      </c>
      <c r="N3906">
        <v>0</v>
      </c>
      <c r="O3906">
        <v>49</v>
      </c>
      <c r="P3906">
        <v>0</v>
      </c>
    </row>
    <row r="3907" spans="1:16" x14ac:dyDescent="0.25">
      <c r="A3907" t="s">
        <v>26324</v>
      </c>
      <c r="B3907" t="s">
        <v>16553</v>
      </c>
      <c r="C3907" t="s">
        <v>16546</v>
      </c>
      <c r="D3907" t="str">
        <f>"1700"</f>
        <v>1700</v>
      </c>
      <c r="E3907" t="s">
        <v>60</v>
      </c>
      <c r="F3907" t="s">
        <v>15183</v>
      </c>
      <c r="G3907" t="s">
        <v>16235</v>
      </c>
      <c r="H3907" t="s">
        <v>47055</v>
      </c>
      <c r="I3907" t="s">
        <v>47127</v>
      </c>
      <c r="J3907" t="s">
        <v>47128</v>
      </c>
      <c r="K3907" t="s">
        <v>47113</v>
      </c>
      <c r="L3907">
        <v>29.25</v>
      </c>
      <c r="M3907">
        <v>49</v>
      </c>
      <c r="N3907">
        <v>0</v>
      </c>
      <c r="O3907">
        <v>49</v>
      </c>
      <c r="P3907">
        <v>0</v>
      </c>
    </row>
    <row r="3908" spans="1:16" x14ac:dyDescent="0.25">
      <c r="A3908" t="s">
        <v>26325</v>
      </c>
      <c r="B3908" t="s">
        <v>16553</v>
      </c>
      <c r="C3908" t="s">
        <v>16546</v>
      </c>
      <c r="D3908" t="str">
        <f>"1704"</f>
        <v>1704</v>
      </c>
      <c r="E3908" t="s">
        <v>7181</v>
      </c>
      <c r="F3908" t="s">
        <v>15183</v>
      </c>
      <c r="G3908" t="s">
        <v>16235</v>
      </c>
      <c r="H3908" t="s">
        <v>47055</v>
      </c>
      <c r="I3908" t="s">
        <v>47127</v>
      </c>
      <c r="J3908" t="s">
        <v>47128</v>
      </c>
      <c r="K3908" t="s">
        <v>47113</v>
      </c>
      <c r="L3908">
        <v>29.25</v>
      </c>
      <c r="M3908">
        <v>49</v>
      </c>
      <c r="N3908">
        <v>0</v>
      </c>
      <c r="O3908">
        <v>49</v>
      </c>
      <c r="P3908">
        <v>0</v>
      </c>
    </row>
    <row r="3909" spans="1:16" x14ac:dyDescent="0.25">
      <c r="A3909" t="s">
        <v>26326</v>
      </c>
      <c r="B3909" t="s">
        <v>16553</v>
      </c>
      <c r="C3909" t="s">
        <v>16546</v>
      </c>
      <c r="D3909" t="str">
        <f>"3304"</f>
        <v>3304</v>
      </c>
      <c r="E3909" t="s">
        <v>16536</v>
      </c>
      <c r="F3909" t="s">
        <v>15183</v>
      </c>
      <c r="G3909" t="s">
        <v>16235</v>
      </c>
      <c r="H3909" t="s">
        <v>47055</v>
      </c>
      <c r="I3909" t="s">
        <v>47127</v>
      </c>
      <c r="J3909" t="s">
        <v>47128</v>
      </c>
      <c r="K3909" t="s">
        <v>47113</v>
      </c>
      <c r="L3909">
        <v>29.25</v>
      </c>
      <c r="M3909">
        <v>49</v>
      </c>
      <c r="N3909">
        <v>0</v>
      </c>
      <c r="O3909">
        <v>49</v>
      </c>
      <c r="P3909">
        <v>0</v>
      </c>
    </row>
    <row r="3910" spans="1:16" x14ac:dyDescent="0.25">
      <c r="A3910" t="s">
        <v>26327</v>
      </c>
      <c r="B3910" t="s">
        <v>16553</v>
      </c>
      <c r="C3910" t="s">
        <v>16546</v>
      </c>
      <c r="D3910" t="str">
        <f>"4000"</f>
        <v>4000</v>
      </c>
      <c r="E3910" t="s">
        <v>16537</v>
      </c>
      <c r="F3910" t="s">
        <v>15183</v>
      </c>
      <c r="G3910" t="s">
        <v>16235</v>
      </c>
      <c r="H3910" t="s">
        <v>47055</v>
      </c>
      <c r="I3910" t="s">
        <v>47127</v>
      </c>
      <c r="J3910" t="s">
        <v>47128</v>
      </c>
      <c r="K3910" t="s">
        <v>47113</v>
      </c>
      <c r="L3910">
        <v>29.25</v>
      </c>
      <c r="M3910">
        <v>49</v>
      </c>
      <c r="N3910">
        <v>0</v>
      </c>
      <c r="O3910">
        <v>49</v>
      </c>
      <c r="P3910">
        <v>0</v>
      </c>
    </row>
    <row r="3911" spans="1:16" x14ac:dyDescent="0.25">
      <c r="A3911" t="s">
        <v>26328</v>
      </c>
      <c r="B3911" t="s">
        <v>16553</v>
      </c>
      <c r="C3911" t="s">
        <v>16546</v>
      </c>
      <c r="D3911" t="str">
        <f>"4643"</f>
        <v>4643</v>
      </c>
      <c r="E3911" t="s">
        <v>205</v>
      </c>
      <c r="F3911" t="s">
        <v>15183</v>
      </c>
      <c r="G3911" t="s">
        <v>16235</v>
      </c>
      <c r="H3911" t="s">
        <v>47055</v>
      </c>
      <c r="I3911" t="s">
        <v>47127</v>
      </c>
      <c r="J3911" t="s">
        <v>47128</v>
      </c>
      <c r="K3911" t="s">
        <v>47113</v>
      </c>
      <c r="L3911">
        <v>29.25</v>
      </c>
      <c r="M3911">
        <v>49</v>
      </c>
      <c r="N3911">
        <v>0</v>
      </c>
      <c r="O3911">
        <v>49</v>
      </c>
      <c r="P3911">
        <v>0</v>
      </c>
    </row>
    <row r="3912" spans="1:16" x14ac:dyDescent="0.25">
      <c r="A3912" t="s">
        <v>26329</v>
      </c>
      <c r="B3912" t="s">
        <v>16553</v>
      </c>
      <c r="C3912" t="s">
        <v>16546</v>
      </c>
      <c r="D3912" t="str">
        <f>"4921"</f>
        <v>4921</v>
      </c>
      <c r="E3912" t="s">
        <v>4156</v>
      </c>
      <c r="F3912" t="s">
        <v>15183</v>
      </c>
      <c r="G3912" t="s">
        <v>16235</v>
      </c>
      <c r="H3912" t="s">
        <v>47055</v>
      </c>
      <c r="I3912" t="s">
        <v>47127</v>
      </c>
      <c r="J3912" t="s">
        <v>47128</v>
      </c>
      <c r="K3912" t="s">
        <v>47113</v>
      </c>
      <c r="L3912">
        <v>29.25</v>
      </c>
      <c r="M3912">
        <v>49</v>
      </c>
      <c r="N3912">
        <v>0</v>
      </c>
      <c r="O3912">
        <v>49</v>
      </c>
      <c r="P3912">
        <v>0</v>
      </c>
    </row>
    <row r="3913" spans="1:16" x14ac:dyDescent="0.25">
      <c r="A3913" t="s">
        <v>26330</v>
      </c>
      <c r="B3913" t="s">
        <v>16554</v>
      </c>
      <c r="C3913" t="s">
        <v>2173</v>
      </c>
      <c r="D3913" t="str">
        <f>"1001"</f>
        <v>1001</v>
      </c>
      <c r="E3913" t="s">
        <v>42</v>
      </c>
      <c r="F3913" t="s">
        <v>15183</v>
      </c>
      <c r="G3913" t="s">
        <v>16234</v>
      </c>
      <c r="H3913" t="s">
        <v>47055</v>
      </c>
      <c r="I3913" t="s">
        <v>47127</v>
      </c>
      <c r="J3913" t="s">
        <v>47128</v>
      </c>
      <c r="K3913" t="s">
        <v>47113</v>
      </c>
      <c r="L3913">
        <v>2.7</v>
      </c>
      <c r="M3913">
        <v>52</v>
      </c>
      <c r="N3913">
        <v>0</v>
      </c>
      <c r="O3913">
        <v>52</v>
      </c>
      <c r="P3913">
        <v>0</v>
      </c>
    </row>
    <row r="3914" spans="1:16" x14ac:dyDescent="0.25">
      <c r="A3914" t="s">
        <v>26331</v>
      </c>
      <c r="B3914" t="s">
        <v>16554</v>
      </c>
      <c r="C3914" t="s">
        <v>2173</v>
      </c>
      <c r="D3914" t="str">
        <f>"1200"</f>
        <v>1200</v>
      </c>
      <c r="E3914" t="s">
        <v>16534</v>
      </c>
      <c r="F3914" t="s">
        <v>15183</v>
      </c>
      <c r="G3914" t="s">
        <v>16234</v>
      </c>
      <c r="H3914" t="s">
        <v>47055</v>
      </c>
      <c r="I3914" t="s">
        <v>47127</v>
      </c>
      <c r="J3914" t="s">
        <v>47128</v>
      </c>
      <c r="K3914" t="s">
        <v>47113</v>
      </c>
      <c r="L3914">
        <v>2.7</v>
      </c>
      <c r="M3914">
        <v>52</v>
      </c>
      <c r="N3914">
        <v>0</v>
      </c>
      <c r="O3914">
        <v>52</v>
      </c>
      <c r="P3914">
        <v>0</v>
      </c>
    </row>
    <row r="3915" spans="1:16" x14ac:dyDescent="0.25">
      <c r="A3915" t="s">
        <v>26332</v>
      </c>
      <c r="B3915" t="s">
        <v>16554</v>
      </c>
      <c r="C3915" t="s">
        <v>2173</v>
      </c>
      <c r="D3915" t="str">
        <f>"1285"</f>
        <v>1285</v>
      </c>
      <c r="E3915" t="s">
        <v>2148</v>
      </c>
      <c r="F3915" t="s">
        <v>15183</v>
      </c>
      <c r="G3915" t="s">
        <v>16234</v>
      </c>
      <c r="H3915" t="s">
        <v>47055</v>
      </c>
      <c r="I3915" t="s">
        <v>47127</v>
      </c>
      <c r="J3915" t="s">
        <v>47128</v>
      </c>
      <c r="K3915" t="s">
        <v>47113</v>
      </c>
      <c r="L3915">
        <v>2.7</v>
      </c>
      <c r="M3915">
        <v>52</v>
      </c>
      <c r="N3915">
        <v>0</v>
      </c>
      <c r="O3915">
        <v>52</v>
      </c>
      <c r="P3915">
        <v>0</v>
      </c>
    </row>
    <row r="3916" spans="1:16" x14ac:dyDescent="0.25">
      <c r="A3916" t="s">
        <v>16555</v>
      </c>
      <c r="B3916" t="s">
        <v>16554</v>
      </c>
      <c r="C3916" t="s">
        <v>2173</v>
      </c>
      <c r="D3916" t="str">
        <f>"1370"</f>
        <v>1370</v>
      </c>
      <c r="E3916" t="s">
        <v>3859</v>
      </c>
      <c r="F3916" t="s">
        <v>15183</v>
      </c>
      <c r="G3916" t="s">
        <v>16234</v>
      </c>
      <c r="H3916" t="s">
        <v>47055</v>
      </c>
      <c r="I3916" t="s">
        <v>47127</v>
      </c>
      <c r="J3916" t="s">
        <v>47128</v>
      </c>
      <c r="K3916" t="s">
        <v>47113</v>
      </c>
      <c r="L3916">
        <v>2.7</v>
      </c>
      <c r="M3916">
        <v>52</v>
      </c>
      <c r="N3916">
        <v>0</v>
      </c>
      <c r="O3916">
        <v>52</v>
      </c>
      <c r="P3916">
        <v>0</v>
      </c>
    </row>
    <row r="3917" spans="1:16" x14ac:dyDescent="0.25">
      <c r="A3917" t="s">
        <v>26333</v>
      </c>
      <c r="B3917" t="s">
        <v>16554</v>
      </c>
      <c r="C3917" t="s">
        <v>2173</v>
      </c>
      <c r="D3917" t="str">
        <f>"1377"</f>
        <v>1377</v>
      </c>
      <c r="E3917" t="s">
        <v>74</v>
      </c>
      <c r="F3917" t="s">
        <v>15183</v>
      </c>
      <c r="G3917" t="s">
        <v>16234</v>
      </c>
      <c r="H3917" t="s">
        <v>47055</v>
      </c>
      <c r="I3917" t="s">
        <v>47127</v>
      </c>
      <c r="J3917" t="s">
        <v>47128</v>
      </c>
      <c r="K3917" t="s">
        <v>47113</v>
      </c>
      <c r="L3917">
        <v>2.7</v>
      </c>
      <c r="M3917">
        <v>52</v>
      </c>
      <c r="N3917">
        <v>0</v>
      </c>
      <c r="O3917">
        <v>52</v>
      </c>
      <c r="P3917">
        <v>0</v>
      </c>
    </row>
    <row r="3918" spans="1:16" x14ac:dyDescent="0.25">
      <c r="A3918" t="s">
        <v>26334</v>
      </c>
      <c r="B3918" t="s">
        <v>16554</v>
      </c>
      <c r="C3918" t="s">
        <v>2173</v>
      </c>
      <c r="D3918" t="str">
        <f>"1378"</f>
        <v>1378</v>
      </c>
      <c r="E3918" t="s">
        <v>388</v>
      </c>
      <c r="F3918" t="s">
        <v>15183</v>
      </c>
      <c r="G3918" t="s">
        <v>16234</v>
      </c>
      <c r="H3918" t="s">
        <v>47055</v>
      </c>
      <c r="I3918" t="s">
        <v>47127</v>
      </c>
      <c r="J3918" t="s">
        <v>47128</v>
      </c>
      <c r="K3918" t="s">
        <v>47113</v>
      </c>
      <c r="L3918">
        <v>2.7</v>
      </c>
      <c r="M3918">
        <v>52</v>
      </c>
      <c r="N3918">
        <v>0</v>
      </c>
      <c r="O3918">
        <v>52</v>
      </c>
      <c r="P3918">
        <v>0</v>
      </c>
    </row>
    <row r="3919" spans="1:16" x14ac:dyDescent="0.25">
      <c r="A3919" t="s">
        <v>26335</v>
      </c>
      <c r="B3919" t="s">
        <v>16554</v>
      </c>
      <c r="C3919" t="s">
        <v>2173</v>
      </c>
      <c r="D3919" t="str">
        <f>"1537"</f>
        <v>1537</v>
      </c>
      <c r="E3919" t="s">
        <v>16535</v>
      </c>
      <c r="F3919" t="s">
        <v>15183</v>
      </c>
      <c r="G3919" t="s">
        <v>16234</v>
      </c>
      <c r="H3919" t="s">
        <v>47055</v>
      </c>
      <c r="I3919" t="s">
        <v>47127</v>
      </c>
      <c r="J3919" t="s">
        <v>47128</v>
      </c>
      <c r="K3919" t="s">
        <v>47113</v>
      </c>
      <c r="L3919">
        <v>2.7</v>
      </c>
      <c r="M3919">
        <v>52</v>
      </c>
      <c r="N3919">
        <v>0</v>
      </c>
      <c r="O3919">
        <v>52</v>
      </c>
      <c r="P3919">
        <v>0</v>
      </c>
    </row>
    <row r="3920" spans="1:16" x14ac:dyDescent="0.25">
      <c r="A3920" t="s">
        <v>26336</v>
      </c>
      <c r="B3920" t="s">
        <v>16554</v>
      </c>
      <c r="C3920" t="s">
        <v>2173</v>
      </c>
      <c r="D3920" t="str">
        <f>"1700"</f>
        <v>1700</v>
      </c>
      <c r="E3920" t="s">
        <v>60</v>
      </c>
      <c r="F3920" t="s">
        <v>15183</v>
      </c>
      <c r="G3920" t="s">
        <v>16234</v>
      </c>
      <c r="H3920" t="s">
        <v>47055</v>
      </c>
      <c r="I3920" t="s">
        <v>47127</v>
      </c>
      <c r="J3920" t="s">
        <v>47128</v>
      </c>
      <c r="K3920" t="s">
        <v>47113</v>
      </c>
      <c r="L3920">
        <v>2.7</v>
      </c>
      <c r="M3920">
        <v>52</v>
      </c>
      <c r="N3920">
        <v>0</v>
      </c>
      <c r="O3920">
        <v>52</v>
      </c>
      <c r="P3920">
        <v>0</v>
      </c>
    </row>
    <row r="3921" spans="1:16" x14ac:dyDescent="0.25">
      <c r="A3921" t="s">
        <v>26337</v>
      </c>
      <c r="B3921" t="s">
        <v>16554</v>
      </c>
      <c r="C3921" t="s">
        <v>2173</v>
      </c>
      <c r="D3921" t="str">
        <f>"1704"</f>
        <v>1704</v>
      </c>
      <c r="E3921" t="s">
        <v>7181</v>
      </c>
      <c r="F3921" t="s">
        <v>15183</v>
      </c>
      <c r="G3921" t="s">
        <v>16234</v>
      </c>
      <c r="H3921" t="s">
        <v>47055</v>
      </c>
      <c r="I3921" t="s">
        <v>47127</v>
      </c>
      <c r="J3921" t="s">
        <v>47128</v>
      </c>
      <c r="K3921" t="s">
        <v>47113</v>
      </c>
      <c r="L3921">
        <v>2.7</v>
      </c>
      <c r="M3921">
        <v>52</v>
      </c>
      <c r="N3921">
        <v>0</v>
      </c>
      <c r="O3921">
        <v>52</v>
      </c>
      <c r="P3921">
        <v>0</v>
      </c>
    </row>
    <row r="3922" spans="1:16" x14ac:dyDescent="0.25">
      <c r="A3922" t="s">
        <v>26338</v>
      </c>
      <c r="B3922" t="s">
        <v>16554</v>
      </c>
      <c r="C3922" t="s">
        <v>2173</v>
      </c>
      <c r="D3922" t="str">
        <f>"2000"</f>
        <v>2000</v>
      </c>
      <c r="E3922" t="s">
        <v>248</v>
      </c>
      <c r="F3922" t="s">
        <v>15183</v>
      </c>
      <c r="G3922" t="s">
        <v>16234</v>
      </c>
      <c r="H3922" t="s">
        <v>47055</v>
      </c>
      <c r="I3922" t="s">
        <v>47127</v>
      </c>
      <c r="J3922" t="s">
        <v>47128</v>
      </c>
      <c r="K3922" t="s">
        <v>47113</v>
      </c>
      <c r="L3922">
        <v>2.7</v>
      </c>
      <c r="M3922">
        <v>52</v>
      </c>
      <c r="N3922">
        <v>0</v>
      </c>
      <c r="O3922">
        <v>52</v>
      </c>
      <c r="P3922">
        <v>0</v>
      </c>
    </row>
    <row r="3923" spans="1:16" x14ac:dyDescent="0.25">
      <c r="A3923" t="s">
        <v>26339</v>
      </c>
      <c r="B3923" t="s">
        <v>16554</v>
      </c>
      <c r="C3923" t="s">
        <v>2173</v>
      </c>
      <c r="D3923" t="str">
        <f>"3304"</f>
        <v>3304</v>
      </c>
      <c r="E3923" t="s">
        <v>16536</v>
      </c>
      <c r="F3923" t="s">
        <v>15183</v>
      </c>
      <c r="G3923" t="s">
        <v>16234</v>
      </c>
      <c r="H3923" t="s">
        <v>47055</v>
      </c>
      <c r="I3923" t="s">
        <v>47127</v>
      </c>
      <c r="J3923" t="s">
        <v>47128</v>
      </c>
      <c r="K3923" t="s">
        <v>47113</v>
      </c>
      <c r="L3923">
        <v>2.7</v>
      </c>
      <c r="M3923">
        <v>52</v>
      </c>
      <c r="N3923">
        <v>0</v>
      </c>
      <c r="O3923">
        <v>52</v>
      </c>
      <c r="P3923">
        <v>0</v>
      </c>
    </row>
    <row r="3924" spans="1:16" x14ac:dyDescent="0.25">
      <c r="A3924" t="s">
        <v>26340</v>
      </c>
      <c r="B3924" t="s">
        <v>16554</v>
      </c>
      <c r="C3924" t="s">
        <v>2173</v>
      </c>
      <c r="D3924" t="str">
        <f>"4000"</f>
        <v>4000</v>
      </c>
      <c r="E3924" t="s">
        <v>16537</v>
      </c>
      <c r="F3924" t="s">
        <v>15183</v>
      </c>
      <c r="G3924" t="s">
        <v>16234</v>
      </c>
      <c r="H3924" t="s">
        <v>47055</v>
      </c>
      <c r="I3924" t="s">
        <v>47127</v>
      </c>
      <c r="J3924" t="s">
        <v>47128</v>
      </c>
      <c r="K3924" t="s">
        <v>47113</v>
      </c>
      <c r="L3924">
        <v>2.7</v>
      </c>
      <c r="M3924">
        <v>52</v>
      </c>
      <c r="N3924">
        <v>0</v>
      </c>
      <c r="O3924">
        <v>52</v>
      </c>
      <c r="P3924">
        <v>0</v>
      </c>
    </row>
    <row r="3925" spans="1:16" x14ac:dyDescent="0.25">
      <c r="A3925" t="s">
        <v>26341</v>
      </c>
      <c r="B3925" t="s">
        <v>16554</v>
      </c>
      <c r="C3925" t="s">
        <v>2173</v>
      </c>
      <c r="D3925" t="str">
        <f>"4643"</f>
        <v>4643</v>
      </c>
      <c r="E3925" t="s">
        <v>205</v>
      </c>
      <c r="F3925" t="s">
        <v>15183</v>
      </c>
      <c r="G3925" t="s">
        <v>16234</v>
      </c>
      <c r="H3925" t="s">
        <v>47055</v>
      </c>
      <c r="I3925" t="s">
        <v>47127</v>
      </c>
      <c r="J3925" t="s">
        <v>47128</v>
      </c>
      <c r="K3925" t="s">
        <v>47113</v>
      </c>
      <c r="L3925">
        <v>2.7</v>
      </c>
      <c r="M3925">
        <v>52</v>
      </c>
      <c r="N3925">
        <v>0</v>
      </c>
      <c r="O3925">
        <v>52</v>
      </c>
      <c r="P3925">
        <v>0</v>
      </c>
    </row>
    <row r="3926" spans="1:16" x14ac:dyDescent="0.25">
      <c r="A3926" t="s">
        <v>26342</v>
      </c>
      <c r="B3926" t="s">
        <v>16554</v>
      </c>
      <c r="C3926" t="s">
        <v>2173</v>
      </c>
      <c r="D3926" t="str">
        <f>"4921"</f>
        <v>4921</v>
      </c>
      <c r="E3926" t="s">
        <v>4156</v>
      </c>
      <c r="F3926" t="s">
        <v>15183</v>
      </c>
      <c r="G3926" t="s">
        <v>16234</v>
      </c>
      <c r="H3926" t="s">
        <v>47055</v>
      </c>
      <c r="I3926" t="s">
        <v>47127</v>
      </c>
      <c r="J3926" t="s">
        <v>47128</v>
      </c>
      <c r="K3926" t="s">
        <v>47113</v>
      </c>
      <c r="L3926">
        <v>2.7</v>
      </c>
      <c r="M3926">
        <v>52</v>
      </c>
      <c r="N3926">
        <v>0</v>
      </c>
      <c r="O3926">
        <v>52</v>
      </c>
      <c r="P3926">
        <v>0</v>
      </c>
    </row>
    <row r="3927" spans="1:16" x14ac:dyDescent="0.25">
      <c r="A3927" t="s">
        <v>26343</v>
      </c>
      <c r="B3927" t="s">
        <v>16556</v>
      </c>
      <c r="C3927" t="s">
        <v>10410</v>
      </c>
      <c r="D3927" t="str">
        <f>"1001"</f>
        <v>1001</v>
      </c>
      <c r="E3927" t="s">
        <v>42</v>
      </c>
      <c r="F3927" t="s">
        <v>15183</v>
      </c>
      <c r="G3927" t="s">
        <v>16235</v>
      </c>
      <c r="H3927" t="s">
        <v>47055</v>
      </c>
      <c r="I3927" t="s">
        <v>47127</v>
      </c>
      <c r="J3927" t="s">
        <v>47128</v>
      </c>
      <c r="K3927" t="s">
        <v>47113</v>
      </c>
      <c r="L3927">
        <v>42.76</v>
      </c>
      <c r="M3927">
        <v>71</v>
      </c>
      <c r="N3927">
        <v>0</v>
      </c>
      <c r="O3927">
        <v>71</v>
      </c>
      <c r="P3927">
        <v>0</v>
      </c>
    </row>
    <row r="3928" spans="1:16" x14ac:dyDescent="0.25">
      <c r="A3928" t="s">
        <v>26344</v>
      </c>
      <c r="B3928" t="s">
        <v>16556</v>
      </c>
      <c r="C3928" t="s">
        <v>10410</v>
      </c>
      <c r="D3928" t="str">
        <f>"1200"</f>
        <v>1200</v>
      </c>
      <c r="E3928" t="s">
        <v>16534</v>
      </c>
      <c r="F3928" t="s">
        <v>15183</v>
      </c>
      <c r="G3928" t="s">
        <v>16235</v>
      </c>
      <c r="H3928" t="s">
        <v>47055</v>
      </c>
      <c r="I3928" t="s">
        <v>47127</v>
      </c>
      <c r="J3928" t="s">
        <v>47128</v>
      </c>
      <c r="K3928" t="s">
        <v>47113</v>
      </c>
      <c r="L3928">
        <v>42.76</v>
      </c>
      <c r="M3928">
        <v>71</v>
      </c>
      <c r="N3928">
        <v>0</v>
      </c>
      <c r="O3928">
        <v>71</v>
      </c>
      <c r="P3928">
        <v>0</v>
      </c>
    </row>
    <row r="3929" spans="1:16" x14ac:dyDescent="0.25">
      <c r="A3929" t="s">
        <v>26345</v>
      </c>
      <c r="B3929" t="s">
        <v>16556</v>
      </c>
      <c r="C3929" t="s">
        <v>10410</v>
      </c>
      <c r="D3929" t="str">
        <f>"1285"</f>
        <v>1285</v>
      </c>
      <c r="E3929" t="s">
        <v>2148</v>
      </c>
      <c r="F3929" t="s">
        <v>15183</v>
      </c>
      <c r="G3929" t="s">
        <v>16235</v>
      </c>
      <c r="H3929" t="s">
        <v>47055</v>
      </c>
      <c r="I3929" t="s">
        <v>47127</v>
      </c>
      <c r="J3929" t="s">
        <v>47128</v>
      </c>
      <c r="K3929" t="s">
        <v>47113</v>
      </c>
      <c r="L3929">
        <v>42.76</v>
      </c>
      <c r="M3929">
        <v>71</v>
      </c>
      <c r="N3929">
        <v>0</v>
      </c>
      <c r="O3929">
        <v>71</v>
      </c>
      <c r="P3929">
        <v>0</v>
      </c>
    </row>
    <row r="3930" spans="1:16" x14ac:dyDescent="0.25">
      <c r="A3930" t="s">
        <v>26346</v>
      </c>
      <c r="B3930" t="s">
        <v>16556</v>
      </c>
      <c r="C3930" t="s">
        <v>10410</v>
      </c>
      <c r="D3930" t="str">
        <f>"1370"</f>
        <v>1370</v>
      </c>
      <c r="E3930" t="s">
        <v>2162</v>
      </c>
      <c r="F3930" t="s">
        <v>15183</v>
      </c>
      <c r="G3930" t="s">
        <v>16235</v>
      </c>
      <c r="H3930" t="s">
        <v>47055</v>
      </c>
      <c r="I3930" t="s">
        <v>47127</v>
      </c>
      <c r="J3930" t="s">
        <v>47128</v>
      </c>
      <c r="K3930" t="s">
        <v>47113</v>
      </c>
      <c r="L3930">
        <v>42.76</v>
      </c>
      <c r="M3930">
        <v>71</v>
      </c>
      <c r="N3930">
        <v>0</v>
      </c>
      <c r="O3930">
        <v>71</v>
      </c>
      <c r="P3930">
        <v>0</v>
      </c>
    </row>
    <row r="3931" spans="1:16" x14ac:dyDescent="0.25">
      <c r="A3931" t="s">
        <v>26347</v>
      </c>
      <c r="B3931" t="s">
        <v>16556</v>
      </c>
      <c r="C3931" t="s">
        <v>10410</v>
      </c>
      <c r="D3931" t="str">
        <f>"1377"</f>
        <v>1377</v>
      </c>
      <c r="E3931" t="s">
        <v>74</v>
      </c>
      <c r="F3931" t="s">
        <v>15183</v>
      </c>
      <c r="G3931" t="s">
        <v>16235</v>
      </c>
      <c r="H3931" t="s">
        <v>47055</v>
      </c>
      <c r="I3931" t="s">
        <v>47127</v>
      </c>
      <c r="J3931" t="s">
        <v>47128</v>
      </c>
      <c r="K3931" t="s">
        <v>47113</v>
      </c>
      <c r="L3931">
        <v>42.76</v>
      </c>
      <c r="M3931">
        <v>71</v>
      </c>
      <c r="N3931">
        <v>0</v>
      </c>
      <c r="O3931">
        <v>71</v>
      </c>
      <c r="P3931">
        <v>0</v>
      </c>
    </row>
    <row r="3932" spans="1:16" x14ac:dyDescent="0.25">
      <c r="A3932" t="s">
        <v>26348</v>
      </c>
      <c r="B3932" t="s">
        <v>16556</v>
      </c>
      <c r="C3932" t="s">
        <v>10410</v>
      </c>
      <c r="D3932" t="str">
        <f>"1378"</f>
        <v>1378</v>
      </c>
      <c r="E3932" t="s">
        <v>388</v>
      </c>
      <c r="F3932" t="s">
        <v>15183</v>
      </c>
      <c r="G3932" t="s">
        <v>16235</v>
      </c>
      <c r="H3932" t="s">
        <v>47055</v>
      </c>
      <c r="I3932" t="s">
        <v>47127</v>
      </c>
      <c r="J3932" t="s">
        <v>47128</v>
      </c>
      <c r="K3932" t="s">
        <v>47113</v>
      </c>
      <c r="L3932">
        <v>42.76</v>
      </c>
      <c r="M3932">
        <v>71</v>
      </c>
      <c r="N3932">
        <v>0</v>
      </c>
      <c r="O3932">
        <v>71</v>
      </c>
      <c r="P3932">
        <v>0</v>
      </c>
    </row>
    <row r="3933" spans="1:16" x14ac:dyDescent="0.25">
      <c r="A3933" t="s">
        <v>26349</v>
      </c>
      <c r="B3933" t="s">
        <v>16556</v>
      </c>
      <c r="C3933" t="s">
        <v>10410</v>
      </c>
      <c r="D3933" t="str">
        <f>"1537"</f>
        <v>1537</v>
      </c>
      <c r="E3933" t="s">
        <v>16535</v>
      </c>
      <c r="F3933" t="s">
        <v>15183</v>
      </c>
      <c r="G3933" t="s">
        <v>16235</v>
      </c>
      <c r="H3933" t="s">
        <v>47055</v>
      </c>
      <c r="I3933" t="s">
        <v>47127</v>
      </c>
      <c r="J3933" t="s">
        <v>47128</v>
      </c>
      <c r="K3933" t="s">
        <v>47113</v>
      </c>
      <c r="L3933">
        <v>42.76</v>
      </c>
      <c r="M3933">
        <v>71</v>
      </c>
      <c r="N3933">
        <v>0</v>
      </c>
      <c r="O3933">
        <v>71</v>
      </c>
      <c r="P3933">
        <v>0</v>
      </c>
    </row>
    <row r="3934" spans="1:16" x14ac:dyDescent="0.25">
      <c r="A3934" t="s">
        <v>26350</v>
      </c>
      <c r="B3934" t="s">
        <v>16556</v>
      </c>
      <c r="C3934" t="s">
        <v>10410</v>
      </c>
      <c r="D3934" t="str">
        <f>"1700"</f>
        <v>1700</v>
      </c>
      <c r="E3934" t="s">
        <v>60</v>
      </c>
      <c r="F3934" t="s">
        <v>15183</v>
      </c>
      <c r="G3934" t="s">
        <v>16235</v>
      </c>
      <c r="H3934" t="s">
        <v>47055</v>
      </c>
      <c r="I3934" t="s">
        <v>47127</v>
      </c>
      <c r="J3934" t="s">
        <v>47128</v>
      </c>
      <c r="K3934" t="s">
        <v>47113</v>
      </c>
      <c r="L3934">
        <v>42.76</v>
      </c>
      <c r="M3934">
        <v>71</v>
      </c>
      <c r="N3934">
        <v>0</v>
      </c>
      <c r="O3934">
        <v>71</v>
      </c>
      <c r="P3934">
        <v>0</v>
      </c>
    </row>
    <row r="3935" spans="1:16" x14ac:dyDescent="0.25">
      <c r="A3935" t="s">
        <v>26351</v>
      </c>
      <c r="B3935" t="s">
        <v>16556</v>
      </c>
      <c r="C3935" t="s">
        <v>10410</v>
      </c>
      <c r="D3935" t="str">
        <f>"1704"</f>
        <v>1704</v>
      </c>
      <c r="E3935" t="s">
        <v>7181</v>
      </c>
      <c r="F3935" t="s">
        <v>15183</v>
      </c>
      <c r="G3935" t="s">
        <v>16235</v>
      </c>
      <c r="H3935" t="s">
        <v>47055</v>
      </c>
      <c r="I3935" t="s">
        <v>47127</v>
      </c>
      <c r="J3935" t="s">
        <v>47128</v>
      </c>
      <c r="K3935" t="s">
        <v>47113</v>
      </c>
      <c r="L3935">
        <v>42.76</v>
      </c>
      <c r="M3935">
        <v>71</v>
      </c>
      <c r="N3935">
        <v>0</v>
      </c>
      <c r="O3935">
        <v>71</v>
      </c>
      <c r="P3935">
        <v>0</v>
      </c>
    </row>
    <row r="3936" spans="1:16" x14ac:dyDescent="0.25">
      <c r="A3936" t="s">
        <v>26352</v>
      </c>
      <c r="B3936" t="s">
        <v>16556</v>
      </c>
      <c r="C3936" t="s">
        <v>10410</v>
      </c>
      <c r="D3936" t="str">
        <f>"3304"</f>
        <v>3304</v>
      </c>
      <c r="E3936" t="s">
        <v>16536</v>
      </c>
      <c r="F3936" t="s">
        <v>15183</v>
      </c>
      <c r="G3936" t="s">
        <v>16235</v>
      </c>
      <c r="H3936" t="s">
        <v>47055</v>
      </c>
      <c r="I3936" t="s">
        <v>47127</v>
      </c>
      <c r="J3936" t="s">
        <v>47128</v>
      </c>
      <c r="K3936" t="s">
        <v>47113</v>
      </c>
      <c r="L3936">
        <v>42.76</v>
      </c>
      <c r="M3936">
        <v>71</v>
      </c>
      <c r="N3936">
        <v>0</v>
      </c>
      <c r="O3936">
        <v>71</v>
      </c>
      <c r="P3936">
        <v>0</v>
      </c>
    </row>
    <row r="3937" spans="1:16" x14ac:dyDescent="0.25">
      <c r="A3937" t="s">
        <v>26353</v>
      </c>
      <c r="B3937" t="s">
        <v>16556</v>
      </c>
      <c r="C3937" t="s">
        <v>10410</v>
      </c>
      <c r="D3937" t="str">
        <f>"4000"</f>
        <v>4000</v>
      </c>
      <c r="E3937" t="s">
        <v>16537</v>
      </c>
      <c r="F3937" t="s">
        <v>15183</v>
      </c>
      <c r="G3937" t="s">
        <v>16235</v>
      </c>
      <c r="H3937" t="s">
        <v>47055</v>
      </c>
      <c r="I3937" t="s">
        <v>47127</v>
      </c>
      <c r="J3937" t="s">
        <v>47128</v>
      </c>
      <c r="K3937" t="s">
        <v>47113</v>
      </c>
      <c r="L3937">
        <v>42.76</v>
      </c>
      <c r="M3937">
        <v>71</v>
      </c>
      <c r="N3937">
        <v>0</v>
      </c>
      <c r="O3937">
        <v>71</v>
      </c>
      <c r="P3937">
        <v>0</v>
      </c>
    </row>
    <row r="3938" spans="1:16" x14ac:dyDescent="0.25">
      <c r="A3938" t="s">
        <v>26354</v>
      </c>
      <c r="B3938" t="s">
        <v>16556</v>
      </c>
      <c r="C3938" t="s">
        <v>10410</v>
      </c>
      <c r="D3938" t="str">
        <f>"4643"</f>
        <v>4643</v>
      </c>
      <c r="E3938" t="s">
        <v>205</v>
      </c>
      <c r="F3938" t="s">
        <v>15183</v>
      </c>
      <c r="G3938" t="s">
        <v>16235</v>
      </c>
      <c r="H3938" t="s">
        <v>47055</v>
      </c>
      <c r="I3938" t="s">
        <v>47127</v>
      </c>
      <c r="J3938" t="s">
        <v>47128</v>
      </c>
      <c r="K3938" t="s">
        <v>47113</v>
      </c>
      <c r="L3938">
        <v>42.76</v>
      </c>
      <c r="M3938">
        <v>71</v>
      </c>
      <c r="N3938">
        <v>0</v>
      </c>
      <c r="O3938">
        <v>71</v>
      </c>
      <c r="P3938">
        <v>0</v>
      </c>
    </row>
    <row r="3939" spans="1:16" x14ac:dyDescent="0.25">
      <c r="A3939" t="s">
        <v>26355</v>
      </c>
      <c r="B3939" t="s">
        <v>16556</v>
      </c>
      <c r="C3939" t="s">
        <v>10410</v>
      </c>
      <c r="D3939" t="str">
        <f>"4921"</f>
        <v>4921</v>
      </c>
      <c r="E3939" t="s">
        <v>4156</v>
      </c>
      <c r="F3939" t="s">
        <v>15183</v>
      </c>
      <c r="G3939" t="s">
        <v>16235</v>
      </c>
      <c r="H3939" t="s">
        <v>47055</v>
      </c>
      <c r="I3939" t="s">
        <v>47127</v>
      </c>
      <c r="J3939" t="s">
        <v>47128</v>
      </c>
      <c r="K3939" t="s">
        <v>47113</v>
      </c>
      <c r="L3939">
        <v>42.76</v>
      </c>
      <c r="M3939">
        <v>71</v>
      </c>
      <c r="N3939">
        <v>0</v>
      </c>
      <c r="O3939">
        <v>71</v>
      </c>
      <c r="P3939">
        <v>0</v>
      </c>
    </row>
    <row r="3940" spans="1:16" x14ac:dyDescent="0.25">
      <c r="A3940" t="s">
        <v>26356</v>
      </c>
      <c r="B3940" t="s">
        <v>16557</v>
      </c>
      <c r="C3940" t="s">
        <v>10410</v>
      </c>
      <c r="D3940" t="str">
        <f>"1001"</f>
        <v>1001</v>
      </c>
      <c r="E3940" t="s">
        <v>42</v>
      </c>
      <c r="F3940" t="s">
        <v>15183</v>
      </c>
      <c r="G3940" t="s">
        <v>16235</v>
      </c>
      <c r="H3940" t="s">
        <v>47055</v>
      </c>
      <c r="I3940" t="s">
        <v>47127</v>
      </c>
      <c r="J3940" t="s">
        <v>47128</v>
      </c>
      <c r="K3940" t="s">
        <v>47113</v>
      </c>
      <c r="L3940">
        <v>29.25</v>
      </c>
      <c r="M3940">
        <v>49</v>
      </c>
      <c r="N3940">
        <v>0</v>
      </c>
      <c r="O3940">
        <v>49</v>
      </c>
      <c r="P3940">
        <v>0</v>
      </c>
    </row>
    <row r="3941" spans="1:16" x14ac:dyDescent="0.25">
      <c r="A3941" t="s">
        <v>26357</v>
      </c>
      <c r="B3941" t="s">
        <v>16557</v>
      </c>
      <c r="C3941" t="s">
        <v>10410</v>
      </c>
      <c r="D3941" t="str">
        <f>"1200"</f>
        <v>1200</v>
      </c>
      <c r="E3941" t="s">
        <v>16534</v>
      </c>
      <c r="F3941" t="s">
        <v>15183</v>
      </c>
      <c r="G3941" t="s">
        <v>16235</v>
      </c>
      <c r="H3941" t="s">
        <v>47055</v>
      </c>
      <c r="I3941" t="s">
        <v>47127</v>
      </c>
      <c r="J3941" t="s">
        <v>47128</v>
      </c>
      <c r="K3941" t="s">
        <v>47113</v>
      </c>
      <c r="L3941">
        <v>29.25</v>
      </c>
      <c r="M3941">
        <v>49</v>
      </c>
      <c r="N3941">
        <v>0</v>
      </c>
      <c r="O3941">
        <v>49</v>
      </c>
      <c r="P3941">
        <v>0</v>
      </c>
    </row>
    <row r="3942" spans="1:16" x14ac:dyDescent="0.25">
      <c r="A3942" t="s">
        <v>26358</v>
      </c>
      <c r="B3942" t="s">
        <v>16557</v>
      </c>
      <c r="C3942" t="s">
        <v>10410</v>
      </c>
      <c r="D3942" t="str">
        <f>"1285"</f>
        <v>1285</v>
      </c>
      <c r="E3942" t="s">
        <v>2148</v>
      </c>
      <c r="F3942" t="s">
        <v>15183</v>
      </c>
      <c r="G3942" t="s">
        <v>16235</v>
      </c>
      <c r="H3942" t="s">
        <v>47055</v>
      </c>
      <c r="I3942" t="s">
        <v>47127</v>
      </c>
      <c r="J3942" t="s">
        <v>47128</v>
      </c>
      <c r="K3942" t="s">
        <v>47113</v>
      </c>
      <c r="L3942">
        <v>29.25</v>
      </c>
      <c r="M3942">
        <v>49</v>
      </c>
      <c r="N3942">
        <v>0</v>
      </c>
      <c r="O3942">
        <v>49</v>
      </c>
      <c r="P3942">
        <v>0</v>
      </c>
    </row>
    <row r="3943" spans="1:16" x14ac:dyDescent="0.25">
      <c r="A3943" t="s">
        <v>26359</v>
      </c>
      <c r="B3943" t="s">
        <v>16557</v>
      </c>
      <c r="C3943" t="s">
        <v>10410</v>
      </c>
      <c r="D3943" t="str">
        <f>"1370"</f>
        <v>1370</v>
      </c>
      <c r="E3943" t="s">
        <v>2162</v>
      </c>
      <c r="F3943" t="s">
        <v>15183</v>
      </c>
      <c r="G3943" t="s">
        <v>16235</v>
      </c>
      <c r="H3943" t="s">
        <v>47055</v>
      </c>
      <c r="I3943" t="s">
        <v>47127</v>
      </c>
      <c r="J3943" t="s">
        <v>47128</v>
      </c>
      <c r="K3943" t="s">
        <v>47113</v>
      </c>
      <c r="L3943">
        <v>29.25</v>
      </c>
      <c r="M3943">
        <v>49</v>
      </c>
      <c r="N3943">
        <v>0</v>
      </c>
      <c r="O3943">
        <v>49</v>
      </c>
      <c r="P3943">
        <v>0</v>
      </c>
    </row>
    <row r="3944" spans="1:16" x14ac:dyDescent="0.25">
      <c r="A3944" t="s">
        <v>26360</v>
      </c>
      <c r="B3944" t="s">
        <v>16557</v>
      </c>
      <c r="C3944" t="s">
        <v>10410</v>
      </c>
      <c r="D3944" t="str">
        <f>"1377"</f>
        <v>1377</v>
      </c>
      <c r="E3944" t="s">
        <v>74</v>
      </c>
      <c r="F3944" t="s">
        <v>15183</v>
      </c>
      <c r="G3944" t="s">
        <v>16235</v>
      </c>
      <c r="H3944" t="s">
        <v>47055</v>
      </c>
      <c r="I3944" t="s">
        <v>47127</v>
      </c>
      <c r="J3944" t="s">
        <v>47128</v>
      </c>
      <c r="K3944" t="s">
        <v>47113</v>
      </c>
      <c r="L3944">
        <v>29.25</v>
      </c>
      <c r="M3944">
        <v>49</v>
      </c>
      <c r="N3944">
        <v>0</v>
      </c>
      <c r="O3944">
        <v>49</v>
      </c>
      <c r="P3944">
        <v>0</v>
      </c>
    </row>
    <row r="3945" spans="1:16" x14ac:dyDescent="0.25">
      <c r="A3945" t="s">
        <v>26361</v>
      </c>
      <c r="B3945" t="s">
        <v>16557</v>
      </c>
      <c r="C3945" t="s">
        <v>10410</v>
      </c>
      <c r="D3945" t="str">
        <f>"1378"</f>
        <v>1378</v>
      </c>
      <c r="E3945" t="s">
        <v>388</v>
      </c>
      <c r="F3945" t="s">
        <v>15183</v>
      </c>
      <c r="G3945" t="s">
        <v>16235</v>
      </c>
      <c r="H3945" t="s">
        <v>47055</v>
      </c>
      <c r="I3945" t="s">
        <v>47127</v>
      </c>
      <c r="J3945" t="s">
        <v>47128</v>
      </c>
      <c r="K3945" t="s">
        <v>47113</v>
      </c>
      <c r="L3945">
        <v>29.25</v>
      </c>
      <c r="M3945">
        <v>49</v>
      </c>
      <c r="N3945">
        <v>0</v>
      </c>
      <c r="O3945">
        <v>49</v>
      </c>
      <c r="P3945">
        <v>0</v>
      </c>
    </row>
    <row r="3946" spans="1:16" x14ac:dyDescent="0.25">
      <c r="A3946" t="s">
        <v>26362</v>
      </c>
      <c r="B3946" t="s">
        <v>16557</v>
      </c>
      <c r="C3946" t="s">
        <v>10410</v>
      </c>
      <c r="D3946" t="str">
        <f>"1537"</f>
        <v>1537</v>
      </c>
      <c r="E3946" t="s">
        <v>16535</v>
      </c>
      <c r="F3946" t="s">
        <v>15183</v>
      </c>
      <c r="G3946" t="s">
        <v>16235</v>
      </c>
      <c r="H3946" t="s">
        <v>47055</v>
      </c>
      <c r="I3946" t="s">
        <v>47127</v>
      </c>
      <c r="J3946" t="s">
        <v>47128</v>
      </c>
      <c r="K3946" t="s">
        <v>47113</v>
      </c>
      <c r="L3946">
        <v>29.25</v>
      </c>
      <c r="M3946">
        <v>49</v>
      </c>
      <c r="N3946">
        <v>0</v>
      </c>
      <c r="O3946">
        <v>49</v>
      </c>
      <c r="P3946">
        <v>0</v>
      </c>
    </row>
    <row r="3947" spans="1:16" x14ac:dyDescent="0.25">
      <c r="A3947" t="s">
        <v>26363</v>
      </c>
      <c r="B3947" t="s">
        <v>16557</v>
      </c>
      <c r="C3947" t="s">
        <v>10410</v>
      </c>
      <c r="D3947" t="str">
        <f>"1700"</f>
        <v>1700</v>
      </c>
      <c r="E3947" t="s">
        <v>60</v>
      </c>
      <c r="F3947" t="s">
        <v>15183</v>
      </c>
      <c r="G3947" t="s">
        <v>16235</v>
      </c>
      <c r="H3947" t="s">
        <v>47055</v>
      </c>
      <c r="I3947" t="s">
        <v>47127</v>
      </c>
      <c r="J3947" t="s">
        <v>47128</v>
      </c>
      <c r="K3947" t="s">
        <v>47113</v>
      </c>
      <c r="L3947">
        <v>29.25</v>
      </c>
      <c r="M3947">
        <v>49</v>
      </c>
      <c r="N3947">
        <v>0</v>
      </c>
      <c r="O3947">
        <v>49</v>
      </c>
      <c r="P3947">
        <v>0</v>
      </c>
    </row>
    <row r="3948" spans="1:16" x14ac:dyDescent="0.25">
      <c r="A3948" t="s">
        <v>26364</v>
      </c>
      <c r="B3948" t="s">
        <v>16557</v>
      </c>
      <c r="C3948" t="s">
        <v>10410</v>
      </c>
      <c r="D3948" t="str">
        <f>"1704"</f>
        <v>1704</v>
      </c>
      <c r="E3948" t="s">
        <v>7181</v>
      </c>
      <c r="F3948" t="s">
        <v>15183</v>
      </c>
      <c r="G3948" t="s">
        <v>16235</v>
      </c>
      <c r="H3948" t="s">
        <v>47055</v>
      </c>
      <c r="I3948" t="s">
        <v>47127</v>
      </c>
      <c r="J3948" t="s">
        <v>47128</v>
      </c>
      <c r="K3948" t="s">
        <v>47113</v>
      </c>
      <c r="L3948">
        <v>29.25</v>
      </c>
      <c r="M3948">
        <v>49</v>
      </c>
      <c r="N3948">
        <v>0</v>
      </c>
      <c r="O3948">
        <v>49</v>
      </c>
      <c r="P3948">
        <v>0</v>
      </c>
    </row>
    <row r="3949" spans="1:16" x14ac:dyDescent="0.25">
      <c r="A3949" t="s">
        <v>26365</v>
      </c>
      <c r="B3949" t="s">
        <v>16557</v>
      </c>
      <c r="C3949" t="s">
        <v>10410</v>
      </c>
      <c r="D3949" t="str">
        <f>"3304"</f>
        <v>3304</v>
      </c>
      <c r="E3949" t="s">
        <v>16536</v>
      </c>
      <c r="F3949" t="s">
        <v>15183</v>
      </c>
      <c r="G3949" t="s">
        <v>16235</v>
      </c>
      <c r="H3949" t="s">
        <v>47055</v>
      </c>
      <c r="I3949" t="s">
        <v>47127</v>
      </c>
      <c r="J3949" t="s">
        <v>47128</v>
      </c>
      <c r="K3949" t="s">
        <v>47113</v>
      </c>
      <c r="L3949">
        <v>29.25</v>
      </c>
      <c r="M3949">
        <v>49</v>
      </c>
      <c r="N3949">
        <v>0</v>
      </c>
      <c r="O3949">
        <v>49</v>
      </c>
      <c r="P3949">
        <v>0</v>
      </c>
    </row>
    <row r="3950" spans="1:16" x14ac:dyDescent="0.25">
      <c r="A3950" t="s">
        <v>26366</v>
      </c>
      <c r="B3950" t="s">
        <v>16557</v>
      </c>
      <c r="C3950" t="s">
        <v>10410</v>
      </c>
      <c r="D3950" t="str">
        <f>"4000"</f>
        <v>4000</v>
      </c>
      <c r="E3950" t="s">
        <v>16537</v>
      </c>
      <c r="F3950" t="s">
        <v>15183</v>
      </c>
      <c r="G3950" t="s">
        <v>16235</v>
      </c>
      <c r="H3950" t="s">
        <v>47055</v>
      </c>
      <c r="I3950" t="s">
        <v>47127</v>
      </c>
      <c r="J3950" t="s">
        <v>47128</v>
      </c>
      <c r="K3950" t="s">
        <v>47113</v>
      </c>
      <c r="L3950">
        <v>29.25</v>
      </c>
      <c r="M3950">
        <v>49</v>
      </c>
      <c r="N3950">
        <v>0</v>
      </c>
      <c r="O3950">
        <v>49</v>
      </c>
      <c r="P3950">
        <v>0</v>
      </c>
    </row>
    <row r="3951" spans="1:16" x14ac:dyDescent="0.25">
      <c r="A3951" t="s">
        <v>26367</v>
      </c>
      <c r="B3951" t="s">
        <v>16557</v>
      </c>
      <c r="C3951" t="s">
        <v>10410</v>
      </c>
      <c r="D3951" t="str">
        <f>"4643"</f>
        <v>4643</v>
      </c>
      <c r="E3951" t="s">
        <v>205</v>
      </c>
      <c r="F3951" t="s">
        <v>15183</v>
      </c>
      <c r="G3951" t="s">
        <v>16235</v>
      </c>
      <c r="H3951" t="s">
        <v>47055</v>
      </c>
      <c r="I3951" t="s">
        <v>47127</v>
      </c>
      <c r="J3951" t="s">
        <v>47128</v>
      </c>
      <c r="K3951" t="s">
        <v>47113</v>
      </c>
      <c r="L3951">
        <v>29.25</v>
      </c>
      <c r="M3951">
        <v>49</v>
      </c>
      <c r="N3951">
        <v>0</v>
      </c>
      <c r="O3951">
        <v>49</v>
      </c>
      <c r="P3951">
        <v>0</v>
      </c>
    </row>
    <row r="3952" spans="1:16" x14ac:dyDescent="0.25">
      <c r="A3952" t="s">
        <v>26368</v>
      </c>
      <c r="B3952" t="s">
        <v>16557</v>
      </c>
      <c r="C3952" t="s">
        <v>10410</v>
      </c>
      <c r="D3952" t="str">
        <f>"4921"</f>
        <v>4921</v>
      </c>
      <c r="E3952" t="s">
        <v>4156</v>
      </c>
      <c r="F3952" t="s">
        <v>15183</v>
      </c>
      <c r="G3952" t="s">
        <v>16235</v>
      </c>
      <c r="H3952" t="s">
        <v>47055</v>
      </c>
      <c r="I3952" t="s">
        <v>47127</v>
      </c>
      <c r="J3952" t="s">
        <v>47128</v>
      </c>
      <c r="K3952" t="s">
        <v>47113</v>
      </c>
      <c r="L3952">
        <v>29.25</v>
      </c>
      <c r="M3952">
        <v>49</v>
      </c>
      <c r="N3952">
        <v>0</v>
      </c>
      <c r="O3952">
        <v>49</v>
      </c>
      <c r="P3952">
        <v>0</v>
      </c>
    </row>
    <row r="3953" spans="1:16" x14ac:dyDescent="0.25">
      <c r="A3953" t="s">
        <v>26369</v>
      </c>
      <c r="B3953" t="s">
        <v>16558</v>
      </c>
      <c r="C3953" t="s">
        <v>10410</v>
      </c>
      <c r="D3953" t="str">
        <f>"1001"</f>
        <v>1001</v>
      </c>
      <c r="E3953" t="s">
        <v>42</v>
      </c>
      <c r="F3953" t="s">
        <v>15183</v>
      </c>
      <c r="G3953" t="s">
        <v>16235</v>
      </c>
      <c r="H3953" t="s">
        <v>47055</v>
      </c>
      <c r="I3953" t="s">
        <v>47127</v>
      </c>
      <c r="J3953" t="s">
        <v>47128</v>
      </c>
      <c r="K3953" t="s">
        <v>47113</v>
      </c>
      <c r="L3953">
        <v>45.01</v>
      </c>
      <c r="M3953">
        <v>77</v>
      </c>
      <c r="N3953">
        <v>0</v>
      </c>
      <c r="O3953">
        <v>77</v>
      </c>
      <c r="P3953">
        <v>0</v>
      </c>
    </row>
    <row r="3954" spans="1:16" x14ac:dyDescent="0.25">
      <c r="A3954" t="s">
        <v>26370</v>
      </c>
      <c r="B3954" t="s">
        <v>16558</v>
      </c>
      <c r="C3954" t="s">
        <v>10410</v>
      </c>
      <c r="D3954" t="str">
        <f>"1200"</f>
        <v>1200</v>
      </c>
      <c r="E3954" t="s">
        <v>16534</v>
      </c>
      <c r="F3954" t="s">
        <v>15183</v>
      </c>
      <c r="G3954" t="s">
        <v>16235</v>
      </c>
      <c r="H3954" t="s">
        <v>47055</v>
      </c>
      <c r="I3954" t="s">
        <v>47127</v>
      </c>
      <c r="J3954" t="s">
        <v>47128</v>
      </c>
      <c r="K3954" t="s">
        <v>47113</v>
      </c>
      <c r="L3954">
        <v>45.01</v>
      </c>
      <c r="M3954">
        <v>77</v>
      </c>
      <c r="N3954">
        <v>0</v>
      </c>
      <c r="O3954">
        <v>77</v>
      </c>
      <c r="P3954">
        <v>0</v>
      </c>
    </row>
    <row r="3955" spans="1:16" x14ac:dyDescent="0.25">
      <c r="A3955" t="s">
        <v>26371</v>
      </c>
      <c r="B3955" t="s">
        <v>16558</v>
      </c>
      <c r="C3955" t="s">
        <v>10410</v>
      </c>
      <c r="D3955" t="str">
        <f>"1285"</f>
        <v>1285</v>
      </c>
      <c r="E3955" t="s">
        <v>2148</v>
      </c>
      <c r="F3955" t="s">
        <v>15183</v>
      </c>
      <c r="G3955" t="s">
        <v>16235</v>
      </c>
      <c r="H3955" t="s">
        <v>47055</v>
      </c>
      <c r="I3955" t="s">
        <v>47127</v>
      </c>
      <c r="J3955" t="s">
        <v>47128</v>
      </c>
      <c r="K3955" t="s">
        <v>47113</v>
      </c>
      <c r="L3955">
        <v>45.01</v>
      </c>
      <c r="M3955">
        <v>77</v>
      </c>
      <c r="N3955">
        <v>0</v>
      </c>
      <c r="O3955">
        <v>77</v>
      </c>
      <c r="P3955">
        <v>0</v>
      </c>
    </row>
    <row r="3956" spans="1:16" x14ac:dyDescent="0.25">
      <c r="A3956" t="s">
        <v>26372</v>
      </c>
      <c r="B3956" t="s">
        <v>16558</v>
      </c>
      <c r="C3956" t="s">
        <v>10410</v>
      </c>
      <c r="D3956" t="str">
        <f>"1370"</f>
        <v>1370</v>
      </c>
      <c r="E3956" t="s">
        <v>2162</v>
      </c>
      <c r="F3956" t="s">
        <v>15183</v>
      </c>
      <c r="G3956" t="s">
        <v>16235</v>
      </c>
      <c r="H3956" t="s">
        <v>47055</v>
      </c>
      <c r="I3956" t="s">
        <v>47127</v>
      </c>
      <c r="J3956" t="s">
        <v>47128</v>
      </c>
      <c r="K3956" t="s">
        <v>47113</v>
      </c>
      <c r="L3956">
        <v>45.01</v>
      </c>
      <c r="M3956">
        <v>77</v>
      </c>
      <c r="N3956">
        <v>0</v>
      </c>
      <c r="O3956">
        <v>77</v>
      </c>
      <c r="P3956">
        <v>0</v>
      </c>
    </row>
    <row r="3957" spans="1:16" x14ac:dyDescent="0.25">
      <c r="A3957" t="s">
        <v>26373</v>
      </c>
      <c r="B3957" t="s">
        <v>16558</v>
      </c>
      <c r="C3957" t="s">
        <v>10410</v>
      </c>
      <c r="D3957" t="str">
        <f>"1377"</f>
        <v>1377</v>
      </c>
      <c r="E3957" t="s">
        <v>74</v>
      </c>
      <c r="F3957" t="s">
        <v>15183</v>
      </c>
      <c r="G3957" t="s">
        <v>16235</v>
      </c>
      <c r="H3957" t="s">
        <v>47055</v>
      </c>
      <c r="I3957" t="s">
        <v>47127</v>
      </c>
      <c r="J3957" t="s">
        <v>47128</v>
      </c>
      <c r="K3957" t="s">
        <v>47113</v>
      </c>
      <c r="L3957">
        <v>45.01</v>
      </c>
      <c r="M3957">
        <v>77</v>
      </c>
      <c r="N3957">
        <v>0</v>
      </c>
      <c r="O3957">
        <v>77</v>
      </c>
      <c r="P3957">
        <v>0</v>
      </c>
    </row>
    <row r="3958" spans="1:16" x14ac:dyDescent="0.25">
      <c r="A3958" t="s">
        <v>26374</v>
      </c>
      <c r="B3958" t="s">
        <v>16558</v>
      </c>
      <c r="C3958" t="s">
        <v>10410</v>
      </c>
      <c r="D3958" t="str">
        <f>"1378"</f>
        <v>1378</v>
      </c>
      <c r="E3958" t="s">
        <v>388</v>
      </c>
      <c r="F3958" t="s">
        <v>15183</v>
      </c>
      <c r="G3958" t="s">
        <v>16235</v>
      </c>
      <c r="H3958" t="s">
        <v>47055</v>
      </c>
      <c r="I3958" t="s">
        <v>47127</v>
      </c>
      <c r="J3958" t="s">
        <v>47128</v>
      </c>
      <c r="K3958" t="s">
        <v>47113</v>
      </c>
      <c r="L3958">
        <v>45.01</v>
      </c>
      <c r="M3958">
        <v>77</v>
      </c>
      <c r="N3958">
        <v>0</v>
      </c>
      <c r="O3958">
        <v>77</v>
      </c>
      <c r="P3958">
        <v>0</v>
      </c>
    </row>
    <row r="3959" spans="1:16" x14ac:dyDescent="0.25">
      <c r="A3959" t="s">
        <v>26375</v>
      </c>
      <c r="B3959" t="s">
        <v>16558</v>
      </c>
      <c r="C3959" t="s">
        <v>10410</v>
      </c>
      <c r="D3959" t="str">
        <f>"1537"</f>
        <v>1537</v>
      </c>
      <c r="E3959" t="s">
        <v>16535</v>
      </c>
      <c r="F3959" t="s">
        <v>15183</v>
      </c>
      <c r="G3959" t="s">
        <v>16235</v>
      </c>
      <c r="H3959" t="s">
        <v>47055</v>
      </c>
      <c r="I3959" t="s">
        <v>47127</v>
      </c>
      <c r="J3959" t="s">
        <v>47128</v>
      </c>
      <c r="K3959" t="s">
        <v>47113</v>
      </c>
      <c r="L3959">
        <v>45.01</v>
      </c>
      <c r="M3959">
        <v>77</v>
      </c>
      <c r="N3959">
        <v>0</v>
      </c>
      <c r="O3959">
        <v>77</v>
      </c>
      <c r="P3959">
        <v>0</v>
      </c>
    </row>
    <row r="3960" spans="1:16" x14ac:dyDescent="0.25">
      <c r="A3960" t="s">
        <v>26376</v>
      </c>
      <c r="B3960" t="s">
        <v>16558</v>
      </c>
      <c r="C3960" t="s">
        <v>10410</v>
      </c>
      <c r="D3960" t="str">
        <f>"1700"</f>
        <v>1700</v>
      </c>
      <c r="E3960" t="s">
        <v>60</v>
      </c>
      <c r="F3960" t="s">
        <v>15183</v>
      </c>
      <c r="G3960" t="s">
        <v>16235</v>
      </c>
      <c r="H3960" t="s">
        <v>47055</v>
      </c>
      <c r="I3960" t="s">
        <v>47127</v>
      </c>
      <c r="J3960" t="s">
        <v>47128</v>
      </c>
      <c r="K3960" t="s">
        <v>47113</v>
      </c>
      <c r="L3960">
        <v>45.01</v>
      </c>
      <c r="M3960">
        <v>77</v>
      </c>
      <c r="N3960">
        <v>0</v>
      </c>
      <c r="O3960">
        <v>77</v>
      </c>
      <c r="P3960">
        <v>0</v>
      </c>
    </row>
    <row r="3961" spans="1:16" x14ac:dyDescent="0.25">
      <c r="A3961" t="s">
        <v>26377</v>
      </c>
      <c r="B3961" t="s">
        <v>16558</v>
      </c>
      <c r="C3961" t="s">
        <v>10410</v>
      </c>
      <c r="D3961" t="str">
        <f>"1704"</f>
        <v>1704</v>
      </c>
      <c r="E3961" t="s">
        <v>7181</v>
      </c>
      <c r="F3961" t="s">
        <v>15183</v>
      </c>
      <c r="G3961" t="s">
        <v>16235</v>
      </c>
      <c r="H3961" t="s">
        <v>47055</v>
      </c>
      <c r="I3961" t="s">
        <v>47127</v>
      </c>
      <c r="J3961" t="s">
        <v>47128</v>
      </c>
      <c r="K3961" t="s">
        <v>47113</v>
      </c>
      <c r="L3961">
        <v>45.01</v>
      </c>
      <c r="M3961">
        <v>77</v>
      </c>
      <c r="N3961">
        <v>0</v>
      </c>
      <c r="O3961">
        <v>77</v>
      </c>
      <c r="P3961">
        <v>0</v>
      </c>
    </row>
    <row r="3962" spans="1:16" x14ac:dyDescent="0.25">
      <c r="A3962" t="s">
        <v>26378</v>
      </c>
      <c r="B3962" t="s">
        <v>16558</v>
      </c>
      <c r="C3962" t="s">
        <v>10410</v>
      </c>
      <c r="D3962" t="str">
        <f>"3304"</f>
        <v>3304</v>
      </c>
      <c r="E3962" t="s">
        <v>16536</v>
      </c>
      <c r="F3962" t="s">
        <v>15183</v>
      </c>
      <c r="G3962" t="s">
        <v>16235</v>
      </c>
      <c r="H3962" t="s">
        <v>47055</v>
      </c>
      <c r="I3962" t="s">
        <v>47127</v>
      </c>
      <c r="J3962" t="s">
        <v>47128</v>
      </c>
      <c r="K3962" t="s">
        <v>47113</v>
      </c>
      <c r="L3962">
        <v>45.01</v>
      </c>
      <c r="M3962">
        <v>77</v>
      </c>
      <c r="N3962">
        <v>0</v>
      </c>
      <c r="O3962">
        <v>77</v>
      </c>
      <c r="P3962">
        <v>0</v>
      </c>
    </row>
    <row r="3963" spans="1:16" x14ac:dyDescent="0.25">
      <c r="A3963" t="s">
        <v>26379</v>
      </c>
      <c r="B3963" t="s">
        <v>16558</v>
      </c>
      <c r="C3963" t="s">
        <v>10410</v>
      </c>
      <c r="D3963" t="str">
        <f>"4000"</f>
        <v>4000</v>
      </c>
      <c r="E3963" t="s">
        <v>16537</v>
      </c>
      <c r="F3963" t="s">
        <v>15183</v>
      </c>
      <c r="G3963" t="s">
        <v>16235</v>
      </c>
      <c r="H3963" t="s">
        <v>47055</v>
      </c>
      <c r="I3963" t="s">
        <v>47127</v>
      </c>
      <c r="J3963" t="s">
        <v>47128</v>
      </c>
      <c r="K3963" t="s">
        <v>47113</v>
      </c>
      <c r="L3963">
        <v>45.01</v>
      </c>
      <c r="M3963">
        <v>77</v>
      </c>
      <c r="N3963">
        <v>0</v>
      </c>
      <c r="O3963">
        <v>77</v>
      </c>
      <c r="P3963">
        <v>0</v>
      </c>
    </row>
    <row r="3964" spans="1:16" x14ac:dyDescent="0.25">
      <c r="A3964" t="s">
        <v>26380</v>
      </c>
      <c r="B3964" t="s">
        <v>16558</v>
      </c>
      <c r="C3964" t="s">
        <v>10410</v>
      </c>
      <c r="D3964" t="str">
        <f>"4643"</f>
        <v>4643</v>
      </c>
      <c r="E3964" t="s">
        <v>205</v>
      </c>
      <c r="F3964" t="s">
        <v>15183</v>
      </c>
      <c r="G3964" t="s">
        <v>16235</v>
      </c>
      <c r="H3964" t="s">
        <v>47055</v>
      </c>
      <c r="I3964" t="s">
        <v>47127</v>
      </c>
      <c r="J3964" t="s">
        <v>47128</v>
      </c>
      <c r="K3964" t="s">
        <v>47113</v>
      </c>
      <c r="L3964">
        <v>45.01</v>
      </c>
      <c r="M3964">
        <v>77</v>
      </c>
      <c r="N3964">
        <v>0</v>
      </c>
      <c r="O3964">
        <v>77</v>
      </c>
      <c r="P3964">
        <v>0</v>
      </c>
    </row>
    <row r="3965" spans="1:16" x14ac:dyDescent="0.25">
      <c r="A3965" t="s">
        <v>26381</v>
      </c>
      <c r="B3965" t="s">
        <v>16558</v>
      </c>
      <c r="C3965" t="s">
        <v>10410</v>
      </c>
      <c r="D3965" t="str">
        <f>"4921"</f>
        <v>4921</v>
      </c>
      <c r="E3965" t="s">
        <v>4156</v>
      </c>
      <c r="F3965" t="s">
        <v>15183</v>
      </c>
      <c r="G3965" t="s">
        <v>16235</v>
      </c>
      <c r="H3965" t="s">
        <v>47055</v>
      </c>
      <c r="I3965" t="s">
        <v>47127</v>
      </c>
      <c r="J3965" t="s">
        <v>47128</v>
      </c>
      <c r="K3965" t="s">
        <v>47113</v>
      </c>
      <c r="L3965">
        <v>45.01</v>
      </c>
      <c r="M3965">
        <v>77</v>
      </c>
      <c r="N3965">
        <v>0</v>
      </c>
      <c r="O3965">
        <v>77</v>
      </c>
      <c r="P3965">
        <v>0</v>
      </c>
    </row>
    <row r="3966" spans="1:16" x14ac:dyDescent="0.25">
      <c r="A3966" t="s">
        <v>26382</v>
      </c>
      <c r="B3966" t="s">
        <v>16559</v>
      </c>
      <c r="C3966" t="s">
        <v>2173</v>
      </c>
      <c r="D3966" t="str">
        <f>"1001"</f>
        <v>1001</v>
      </c>
      <c r="E3966" t="s">
        <v>42</v>
      </c>
      <c r="F3966" t="s">
        <v>15183</v>
      </c>
      <c r="G3966" t="s">
        <v>16234</v>
      </c>
      <c r="H3966" t="s">
        <v>47055</v>
      </c>
      <c r="I3966" t="s">
        <v>47127</v>
      </c>
      <c r="J3966" t="s">
        <v>47128</v>
      </c>
      <c r="K3966" t="s">
        <v>47113</v>
      </c>
      <c r="L3966">
        <v>3.11</v>
      </c>
      <c r="M3966">
        <v>66</v>
      </c>
      <c r="N3966">
        <v>0</v>
      </c>
      <c r="O3966">
        <v>66</v>
      </c>
      <c r="P3966">
        <v>0</v>
      </c>
    </row>
    <row r="3967" spans="1:16" x14ac:dyDescent="0.25">
      <c r="A3967" t="s">
        <v>26383</v>
      </c>
      <c r="B3967" t="s">
        <v>16559</v>
      </c>
      <c r="C3967" t="s">
        <v>2173</v>
      </c>
      <c r="D3967" t="str">
        <f>"1200"</f>
        <v>1200</v>
      </c>
      <c r="E3967" t="s">
        <v>16534</v>
      </c>
      <c r="F3967" t="s">
        <v>15183</v>
      </c>
      <c r="G3967" t="s">
        <v>16234</v>
      </c>
      <c r="H3967" t="s">
        <v>47055</v>
      </c>
      <c r="I3967" t="s">
        <v>47127</v>
      </c>
      <c r="J3967" t="s">
        <v>47128</v>
      </c>
      <c r="K3967" t="s">
        <v>47113</v>
      </c>
      <c r="L3967">
        <v>3.11</v>
      </c>
      <c r="M3967">
        <v>66</v>
      </c>
      <c r="N3967">
        <v>0</v>
      </c>
      <c r="O3967">
        <v>66</v>
      </c>
      <c r="P3967">
        <v>0</v>
      </c>
    </row>
    <row r="3968" spans="1:16" x14ac:dyDescent="0.25">
      <c r="A3968" t="s">
        <v>26384</v>
      </c>
      <c r="B3968" t="s">
        <v>16559</v>
      </c>
      <c r="C3968" t="s">
        <v>2173</v>
      </c>
      <c r="D3968" t="str">
        <f>"1285"</f>
        <v>1285</v>
      </c>
      <c r="E3968" t="s">
        <v>2148</v>
      </c>
      <c r="F3968" t="s">
        <v>15183</v>
      </c>
      <c r="G3968" t="s">
        <v>16234</v>
      </c>
      <c r="H3968" t="s">
        <v>47055</v>
      </c>
      <c r="I3968" t="s">
        <v>47127</v>
      </c>
      <c r="J3968" t="s">
        <v>47128</v>
      </c>
      <c r="K3968" t="s">
        <v>47113</v>
      </c>
      <c r="L3968">
        <v>3.11</v>
      </c>
      <c r="M3968">
        <v>66</v>
      </c>
      <c r="N3968">
        <v>0</v>
      </c>
      <c r="O3968">
        <v>66</v>
      </c>
      <c r="P3968">
        <v>0</v>
      </c>
    </row>
    <row r="3969" spans="1:16" x14ac:dyDescent="0.25">
      <c r="A3969" t="s">
        <v>26385</v>
      </c>
      <c r="B3969" t="s">
        <v>16559</v>
      </c>
      <c r="C3969" t="s">
        <v>2173</v>
      </c>
      <c r="D3969" t="str">
        <f>"1370"</f>
        <v>1370</v>
      </c>
      <c r="E3969" t="s">
        <v>2162</v>
      </c>
      <c r="F3969" t="s">
        <v>15183</v>
      </c>
      <c r="G3969" t="s">
        <v>16234</v>
      </c>
      <c r="H3969" t="s">
        <v>47055</v>
      </c>
      <c r="I3969" t="s">
        <v>47127</v>
      </c>
      <c r="J3969" t="s">
        <v>47128</v>
      </c>
      <c r="K3969" t="s">
        <v>47113</v>
      </c>
      <c r="L3969">
        <v>3.11</v>
      </c>
      <c r="M3969">
        <v>66</v>
      </c>
      <c r="N3969">
        <v>0</v>
      </c>
      <c r="O3969">
        <v>66</v>
      </c>
      <c r="P3969">
        <v>0</v>
      </c>
    </row>
    <row r="3970" spans="1:16" x14ac:dyDescent="0.25">
      <c r="A3970" t="s">
        <v>26386</v>
      </c>
      <c r="B3970" t="s">
        <v>16559</v>
      </c>
      <c r="C3970" t="s">
        <v>2173</v>
      </c>
      <c r="D3970" t="str">
        <f>"1377"</f>
        <v>1377</v>
      </c>
      <c r="E3970" t="s">
        <v>74</v>
      </c>
      <c r="F3970" t="s">
        <v>15183</v>
      </c>
      <c r="G3970" t="s">
        <v>16234</v>
      </c>
      <c r="H3970" t="s">
        <v>47055</v>
      </c>
      <c r="I3970" t="s">
        <v>47127</v>
      </c>
      <c r="J3970" t="s">
        <v>47128</v>
      </c>
      <c r="K3970" t="s">
        <v>47113</v>
      </c>
      <c r="L3970">
        <v>3.11</v>
      </c>
      <c r="M3970">
        <v>66</v>
      </c>
      <c r="N3970">
        <v>0</v>
      </c>
      <c r="O3970">
        <v>66</v>
      </c>
      <c r="P3970">
        <v>0</v>
      </c>
    </row>
    <row r="3971" spans="1:16" x14ac:dyDescent="0.25">
      <c r="A3971" t="s">
        <v>26387</v>
      </c>
      <c r="B3971" t="s">
        <v>16559</v>
      </c>
      <c r="C3971" t="s">
        <v>2173</v>
      </c>
      <c r="D3971" t="str">
        <f>"1378"</f>
        <v>1378</v>
      </c>
      <c r="E3971" t="s">
        <v>388</v>
      </c>
      <c r="F3971" t="s">
        <v>15183</v>
      </c>
      <c r="G3971" t="s">
        <v>16234</v>
      </c>
      <c r="H3971" t="s">
        <v>47055</v>
      </c>
      <c r="I3971" t="s">
        <v>47127</v>
      </c>
      <c r="J3971" t="s">
        <v>47128</v>
      </c>
      <c r="K3971" t="s">
        <v>47113</v>
      </c>
      <c r="L3971">
        <v>3.11</v>
      </c>
      <c r="M3971">
        <v>66</v>
      </c>
      <c r="N3971">
        <v>0</v>
      </c>
      <c r="O3971">
        <v>66</v>
      </c>
      <c r="P3971">
        <v>0</v>
      </c>
    </row>
    <row r="3972" spans="1:16" x14ac:dyDescent="0.25">
      <c r="A3972" t="s">
        <v>26388</v>
      </c>
      <c r="B3972" t="s">
        <v>16559</v>
      </c>
      <c r="C3972" t="s">
        <v>2173</v>
      </c>
      <c r="D3972" t="str">
        <f>"1537"</f>
        <v>1537</v>
      </c>
      <c r="E3972" t="s">
        <v>16535</v>
      </c>
      <c r="F3972" t="s">
        <v>15183</v>
      </c>
      <c r="G3972" t="s">
        <v>16234</v>
      </c>
      <c r="H3972" t="s">
        <v>47055</v>
      </c>
      <c r="I3972" t="s">
        <v>47127</v>
      </c>
      <c r="J3972" t="s">
        <v>47128</v>
      </c>
      <c r="K3972" t="s">
        <v>47113</v>
      </c>
      <c r="L3972">
        <v>3.11</v>
      </c>
      <c r="M3972">
        <v>66</v>
      </c>
      <c r="N3972">
        <v>0</v>
      </c>
      <c r="O3972">
        <v>66</v>
      </c>
      <c r="P3972">
        <v>0</v>
      </c>
    </row>
    <row r="3973" spans="1:16" x14ac:dyDescent="0.25">
      <c r="A3973" t="s">
        <v>26389</v>
      </c>
      <c r="B3973" t="s">
        <v>16559</v>
      </c>
      <c r="C3973" t="s">
        <v>2173</v>
      </c>
      <c r="D3973" t="str">
        <f>"1700"</f>
        <v>1700</v>
      </c>
      <c r="E3973" t="s">
        <v>60</v>
      </c>
      <c r="F3973" t="s">
        <v>15183</v>
      </c>
      <c r="G3973" t="s">
        <v>16234</v>
      </c>
      <c r="H3973" t="s">
        <v>47055</v>
      </c>
      <c r="I3973" t="s">
        <v>47127</v>
      </c>
      <c r="J3973" t="s">
        <v>47128</v>
      </c>
      <c r="K3973" t="s">
        <v>47113</v>
      </c>
      <c r="L3973">
        <v>3.11</v>
      </c>
      <c r="M3973">
        <v>66</v>
      </c>
      <c r="N3973">
        <v>0</v>
      </c>
      <c r="O3973">
        <v>66</v>
      </c>
      <c r="P3973">
        <v>0</v>
      </c>
    </row>
    <row r="3974" spans="1:16" x14ac:dyDescent="0.25">
      <c r="A3974" t="s">
        <v>26390</v>
      </c>
      <c r="B3974" t="s">
        <v>16559</v>
      </c>
      <c r="C3974" t="s">
        <v>2173</v>
      </c>
      <c r="D3974" t="str">
        <f>"1704"</f>
        <v>1704</v>
      </c>
      <c r="E3974" t="s">
        <v>7181</v>
      </c>
      <c r="F3974" t="s">
        <v>15183</v>
      </c>
      <c r="G3974" t="s">
        <v>16234</v>
      </c>
      <c r="H3974" t="s">
        <v>47055</v>
      </c>
      <c r="I3974" t="s">
        <v>47127</v>
      </c>
      <c r="J3974" t="s">
        <v>47128</v>
      </c>
      <c r="K3974" t="s">
        <v>47113</v>
      </c>
      <c r="L3974">
        <v>3.11</v>
      </c>
      <c r="M3974">
        <v>66</v>
      </c>
      <c r="N3974">
        <v>0</v>
      </c>
      <c r="O3974">
        <v>66</v>
      </c>
      <c r="P3974">
        <v>0</v>
      </c>
    </row>
    <row r="3975" spans="1:16" x14ac:dyDescent="0.25">
      <c r="A3975" t="s">
        <v>26391</v>
      </c>
      <c r="B3975" t="s">
        <v>16559</v>
      </c>
      <c r="C3975" t="s">
        <v>2173</v>
      </c>
      <c r="D3975" t="str">
        <f>"2000"</f>
        <v>2000</v>
      </c>
      <c r="E3975" t="s">
        <v>248</v>
      </c>
      <c r="F3975" t="s">
        <v>15183</v>
      </c>
      <c r="G3975" t="s">
        <v>16234</v>
      </c>
      <c r="H3975" t="s">
        <v>47055</v>
      </c>
      <c r="I3975" t="s">
        <v>47127</v>
      </c>
      <c r="J3975" t="s">
        <v>47128</v>
      </c>
      <c r="K3975" t="s">
        <v>47113</v>
      </c>
      <c r="L3975">
        <v>3.11</v>
      </c>
      <c r="M3975">
        <v>66</v>
      </c>
      <c r="N3975">
        <v>0</v>
      </c>
      <c r="O3975">
        <v>66</v>
      </c>
      <c r="P3975">
        <v>0</v>
      </c>
    </row>
    <row r="3976" spans="1:16" x14ac:dyDescent="0.25">
      <c r="A3976" t="s">
        <v>26392</v>
      </c>
      <c r="B3976" t="s">
        <v>16559</v>
      </c>
      <c r="C3976" t="s">
        <v>2173</v>
      </c>
      <c r="D3976" t="str">
        <f>"3304"</f>
        <v>3304</v>
      </c>
      <c r="E3976" t="s">
        <v>16536</v>
      </c>
      <c r="F3976" t="s">
        <v>15183</v>
      </c>
      <c r="G3976" t="s">
        <v>16234</v>
      </c>
      <c r="H3976" t="s">
        <v>47055</v>
      </c>
      <c r="I3976" t="s">
        <v>47127</v>
      </c>
      <c r="J3976" t="s">
        <v>47128</v>
      </c>
      <c r="K3976" t="s">
        <v>47113</v>
      </c>
      <c r="L3976">
        <v>3.11</v>
      </c>
      <c r="M3976">
        <v>66</v>
      </c>
      <c r="N3976">
        <v>0</v>
      </c>
      <c r="O3976">
        <v>66</v>
      </c>
      <c r="P3976">
        <v>0</v>
      </c>
    </row>
    <row r="3977" spans="1:16" x14ac:dyDescent="0.25">
      <c r="A3977" t="s">
        <v>26393</v>
      </c>
      <c r="B3977" t="s">
        <v>16559</v>
      </c>
      <c r="C3977" t="s">
        <v>2173</v>
      </c>
      <c r="D3977" t="str">
        <f>"4000"</f>
        <v>4000</v>
      </c>
      <c r="E3977" t="s">
        <v>16537</v>
      </c>
      <c r="F3977" t="s">
        <v>15183</v>
      </c>
      <c r="G3977" t="s">
        <v>16234</v>
      </c>
      <c r="H3977" t="s">
        <v>47055</v>
      </c>
      <c r="I3977" t="s">
        <v>47127</v>
      </c>
      <c r="J3977" t="s">
        <v>47128</v>
      </c>
      <c r="K3977" t="s">
        <v>47113</v>
      </c>
      <c r="L3977">
        <v>3.11</v>
      </c>
      <c r="M3977">
        <v>66</v>
      </c>
      <c r="N3977">
        <v>0</v>
      </c>
      <c r="O3977">
        <v>66</v>
      </c>
      <c r="P3977">
        <v>0</v>
      </c>
    </row>
    <row r="3978" spans="1:16" x14ac:dyDescent="0.25">
      <c r="A3978" t="s">
        <v>16560</v>
      </c>
      <c r="B3978" t="s">
        <v>16559</v>
      </c>
      <c r="C3978" t="s">
        <v>2173</v>
      </c>
      <c r="D3978" t="str">
        <f>"4643"</f>
        <v>4643</v>
      </c>
      <c r="E3978" t="s">
        <v>205</v>
      </c>
      <c r="F3978" t="s">
        <v>15183</v>
      </c>
      <c r="G3978" t="s">
        <v>16234</v>
      </c>
      <c r="H3978" t="s">
        <v>47055</v>
      </c>
      <c r="I3978" t="s">
        <v>47127</v>
      </c>
      <c r="J3978" t="s">
        <v>47128</v>
      </c>
      <c r="K3978" t="s">
        <v>47113</v>
      </c>
      <c r="L3978">
        <v>3.11</v>
      </c>
      <c r="M3978">
        <v>66</v>
      </c>
      <c r="N3978">
        <v>0</v>
      </c>
      <c r="O3978">
        <v>66</v>
      </c>
      <c r="P3978">
        <v>0</v>
      </c>
    </row>
    <row r="3979" spans="1:16" x14ac:dyDescent="0.25">
      <c r="A3979" t="s">
        <v>26394</v>
      </c>
      <c r="B3979" t="s">
        <v>16559</v>
      </c>
      <c r="C3979" t="s">
        <v>2173</v>
      </c>
      <c r="D3979" t="str">
        <f>"4921"</f>
        <v>4921</v>
      </c>
      <c r="E3979" t="s">
        <v>4156</v>
      </c>
      <c r="F3979" t="s">
        <v>15183</v>
      </c>
      <c r="G3979" t="s">
        <v>16234</v>
      </c>
      <c r="H3979" t="s">
        <v>47055</v>
      </c>
      <c r="I3979" t="s">
        <v>47127</v>
      </c>
      <c r="J3979" t="s">
        <v>47128</v>
      </c>
      <c r="K3979" t="s">
        <v>47113</v>
      </c>
      <c r="L3979">
        <v>3.11</v>
      </c>
      <c r="M3979">
        <v>66</v>
      </c>
      <c r="N3979">
        <v>0</v>
      </c>
      <c r="O3979">
        <v>66</v>
      </c>
      <c r="P3979">
        <v>0</v>
      </c>
    </row>
    <row r="3980" spans="1:16" x14ac:dyDescent="0.25">
      <c r="A3980" t="s">
        <v>26395</v>
      </c>
      <c r="B3980" t="s">
        <v>16561</v>
      </c>
      <c r="C3980" t="s">
        <v>16541</v>
      </c>
      <c r="D3980" t="str">
        <f>"1001"</f>
        <v>1001</v>
      </c>
      <c r="E3980" t="s">
        <v>42</v>
      </c>
      <c r="F3980" t="s">
        <v>15183</v>
      </c>
      <c r="G3980" t="s">
        <v>16235</v>
      </c>
      <c r="H3980" t="s">
        <v>47055</v>
      </c>
      <c r="I3980" t="s">
        <v>47127</v>
      </c>
      <c r="J3980" t="s">
        <v>47128</v>
      </c>
      <c r="K3980" t="s">
        <v>47113</v>
      </c>
      <c r="L3980">
        <v>74.319999999999993</v>
      </c>
      <c r="M3980">
        <v>198</v>
      </c>
      <c r="N3980">
        <v>0</v>
      </c>
      <c r="O3980">
        <v>198</v>
      </c>
      <c r="P3980">
        <v>0</v>
      </c>
    </row>
    <row r="3981" spans="1:16" x14ac:dyDescent="0.25">
      <c r="A3981" t="s">
        <v>26396</v>
      </c>
      <c r="B3981" t="s">
        <v>16561</v>
      </c>
      <c r="C3981" t="s">
        <v>16541</v>
      </c>
      <c r="D3981" t="str">
        <f>"1200"</f>
        <v>1200</v>
      </c>
      <c r="E3981" t="s">
        <v>16534</v>
      </c>
      <c r="F3981" t="s">
        <v>15183</v>
      </c>
      <c r="G3981" t="s">
        <v>16235</v>
      </c>
      <c r="H3981" t="s">
        <v>47055</v>
      </c>
      <c r="I3981" t="s">
        <v>47127</v>
      </c>
      <c r="J3981" t="s">
        <v>47128</v>
      </c>
      <c r="K3981" t="s">
        <v>47113</v>
      </c>
      <c r="L3981">
        <v>74.319999999999993</v>
      </c>
      <c r="M3981">
        <v>198</v>
      </c>
      <c r="N3981">
        <v>0</v>
      </c>
      <c r="O3981">
        <v>198</v>
      </c>
      <c r="P3981">
        <v>0</v>
      </c>
    </row>
    <row r="3982" spans="1:16" x14ac:dyDescent="0.25">
      <c r="A3982" t="s">
        <v>26397</v>
      </c>
      <c r="B3982" t="s">
        <v>16561</v>
      </c>
      <c r="C3982" t="s">
        <v>16541</v>
      </c>
      <c r="D3982" t="str">
        <f>"1285"</f>
        <v>1285</v>
      </c>
      <c r="E3982" t="s">
        <v>2148</v>
      </c>
      <c r="F3982" t="s">
        <v>15183</v>
      </c>
      <c r="G3982" t="s">
        <v>16235</v>
      </c>
      <c r="H3982" t="s">
        <v>47055</v>
      </c>
      <c r="I3982" t="s">
        <v>47127</v>
      </c>
      <c r="J3982" t="s">
        <v>47128</v>
      </c>
      <c r="K3982" t="s">
        <v>47113</v>
      </c>
      <c r="L3982">
        <v>74.319999999999993</v>
      </c>
      <c r="M3982">
        <v>198</v>
      </c>
      <c r="N3982">
        <v>0</v>
      </c>
      <c r="O3982">
        <v>198</v>
      </c>
      <c r="P3982">
        <v>0</v>
      </c>
    </row>
    <row r="3983" spans="1:16" x14ac:dyDescent="0.25">
      <c r="A3983" t="s">
        <v>26398</v>
      </c>
      <c r="B3983" t="s">
        <v>16561</v>
      </c>
      <c r="C3983" t="s">
        <v>16541</v>
      </c>
      <c r="D3983" t="str">
        <f>"1370"</f>
        <v>1370</v>
      </c>
      <c r="E3983" t="s">
        <v>2162</v>
      </c>
      <c r="F3983" t="s">
        <v>15183</v>
      </c>
      <c r="G3983" t="s">
        <v>16235</v>
      </c>
      <c r="H3983" t="s">
        <v>47055</v>
      </c>
      <c r="I3983" t="s">
        <v>47127</v>
      </c>
      <c r="J3983" t="s">
        <v>47128</v>
      </c>
      <c r="K3983" t="s">
        <v>47113</v>
      </c>
      <c r="L3983">
        <v>74.319999999999993</v>
      </c>
      <c r="M3983">
        <v>198</v>
      </c>
      <c r="N3983">
        <v>0</v>
      </c>
      <c r="O3983">
        <v>198</v>
      </c>
      <c r="P3983">
        <v>0</v>
      </c>
    </row>
    <row r="3984" spans="1:16" x14ac:dyDescent="0.25">
      <c r="A3984" t="s">
        <v>26399</v>
      </c>
      <c r="B3984" t="s">
        <v>16561</v>
      </c>
      <c r="C3984" t="s">
        <v>16541</v>
      </c>
      <c r="D3984" t="str">
        <f>"1377"</f>
        <v>1377</v>
      </c>
      <c r="E3984" t="s">
        <v>74</v>
      </c>
      <c r="F3984" t="s">
        <v>15183</v>
      </c>
      <c r="G3984" t="s">
        <v>16235</v>
      </c>
      <c r="H3984" t="s">
        <v>47055</v>
      </c>
      <c r="I3984" t="s">
        <v>47127</v>
      </c>
      <c r="J3984" t="s">
        <v>47128</v>
      </c>
      <c r="K3984" t="s">
        <v>47113</v>
      </c>
      <c r="L3984">
        <v>74.319999999999993</v>
      </c>
      <c r="M3984">
        <v>198</v>
      </c>
      <c r="N3984">
        <v>0</v>
      </c>
      <c r="O3984">
        <v>198</v>
      </c>
      <c r="P3984">
        <v>0</v>
      </c>
    </row>
    <row r="3985" spans="1:16" x14ac:dyDescent="0.25">
      <c r="A3985" t="s">
        <v>26400</v>
      </c>
      <c r="B3985" t="s">
        <v>16561</v>
      </c>
      <c r="C3985" t="s">
        <v>16541</v>
      </c>
      <c r="D3985" t="str">
        <f>"1378"</f>
        <v>1378</v>
      </c>
      <c r="E3985" t="s">
        <v>388</v>
      </c>
      <c r="F3985" t="s">
        <v>15183</v>
      </c>
      <c r="G3985" t="s">
        <v>16235</v>
      </c>
      <c r="H3985" t="s">
        <v>47055</v>
      </c>
      <c r="I3985" t="s">
        <v>47127</v>
      </c>
      <c r="J3985" t="s">
        <v>47128</v>
      </c>
      <c r="K3985" t="s">
        <v>47113</v>
      </c>
      <c r="L3985">
        <v>74.319999999999993</v>
      </c>
      <c r="M3985">
        <v>198</v>
      </c>
      <c r="N3985">
        <v>0</v>
      </c>
      <c r="O3985">
        <v>198</v>
      </c>
      <c r="P3985">
        <v>0</v>
      </c>
    </row>
    <row r="3986" spans="1:16" x14ac:dyDescent="0.25">
      <c r="A3986" t="s">
        <v>26401</v>
      </c>
      <c r="B3986" t="s">
        <v>16561</v>
      </c>
      <c r="C3986" t="s">
        <v>16541</v>
      </c>
      <c r="D3986" t="str">
        <f>"1537"</f>
        <v>1537</v>
      </c>
      <c r="E3986" t="s">
        <v>16535</v>
      </c>
      <c r="F3986" t="s">
        <v>15183</v>
      </c>
      <c r="G3986" t="s">
        <v>16235</v>
      </c>
      <c r="H3986" t="s">
        <v>47055</v>
      </c>
      <c r="I3986" t="s">
        <v>47127</v>
      </c>
      <c r="J3986" t="s">
        <v>47128</v>
      </c>
      <c r="K3986" t="s">
        <v>47113</v>
      </c>
      <c r="L3986">
        <v>74.319999999999993</v>
      </c>
      <c r="M3986">
        <v>198</v>
      </c>
      <c r="N3986">
        <v>0</v>
      </c>
      <c r="O3986">
        <v>198</v>
      </c>
      <c r="P3986">
        <v>0</v>
      </c>
    </row>
    <row r="3987" spans="1:16" x14ac:dyDescent="0.25">
      <c r="A3987" t="s">
        <v>26402</v>
      </c>
      <c r="B3987" t="s">
        <v>16561</v>
      </c>
      <c r="C3987" t="s">
        <v>16541</v>
      </c>
      <c r="D3987" t="str">
        <f>"1700"</f>
        <v>1700</v>
      </c>
      <c r="E3987" t="s">
        <v>60</v>
      </c>
      <c r="F3987" t="s">
        <v>15183</v>
      </c>
      <c r="G3987" t="s">
        <v>16235</v>
      </c>
      <c r="H3987" t="s">
        <v>47055</v>
      </c>
      <c r="I3987" t="s">
        <v>47127</v>
      </c>
      <c r="J3987" t="s">
        <v>47128</v>
      </c>
      <c r="K3987" t="s">
        <v>47113</v>
      </c>
      <c r="L3987">
        <v>74.319999999999993</v>
      </c>
      <c r="M3987">
        <v>198</v>
      </c>
      <c r="N3987">
        <v>0</v>
      </c>
      <c r="O3987">
        <v>198</v>
      </c>
      <c r="P3987">
        <v>0</v>
      </c>
    </row>
    <row r="3988" spans="1:16" x14ac:dyDescent="0.25">
      <c r="A3988" t="s">
        <v>26403</v>
      </c>
      <c r="B3988" t="s">
        <v>16561</v>
      </c>
      <c r="C3988" t="s">
        <v>16541</v>
      </c>
      <c r="D3988" t="str">
        <f>"1704"</f>
        <v>1704</v>
      </c>
      <c r="E3988" t="s">
        <v>7181</v>
      </c>
      <c r="F3988" t="s">
        <v>15183</v>
      </c>
      <c r="G3988" t="s">
        <v>16235</v>
      </c>
      <c r="H3988" t="s">
        <v>47055</v>
      </c>
      <c r="I3988" t="s">
        <v>47127</v>
      </c>
      <c r="J3988" t="s">
        <v>47128</v>
      </c>
      <c r="K3988" t="s">
        <v>47113</v>
      </c>
      <c r="L3988">
        <v>74.319999999999993</v>
      </c>
      <c r="M3988">
        <v>198</v>
      </c>
      <c r="N3988">
        <v>0</v>
      </c>
      <c r="O3988">
        <v>198</v>
      </c>
      <c r="P3988">
        <v>0</v>
      </c>
    </row>
    <row r="3989" spans="1:16" x14ac:dyDescent="0.25">
      <c r="A3989" t="s">
        <v>26404</v>
      </c>
      <c r="B3989" t="s">
        <v>16561</v>
      </c>
      <c r="C3989" t="s">
        <v>16541</v>
      </c>
      <c r="D3989" t="str">
        <f>"2000"</f>
        <v>2000</v>
      </c>
      <c r="E3989" t="s">
        <v>248</v>
      </c>
      <c r="F3989" t="s">
        <v>15183</v>
      </c>
      <c r="G3989" t="s">
        <v>16235</v>
      </c>
      <c r="H3989" t="s">
        <v>47055</v>
      </c>
      <c r="I3989" t="s">
        <v>47127</v>
      </c>
      <c r="J3989" t="s">
        <v>47128</v>
      </c>
      <c r="K3989" t="s">
        <v>47113</v>
      </c>
      <c r="L3989">
        <v>74.319999999999993</v>
      </c>
      <c r="M3989">
        <v>198</v>
      </c>
      <c r="N3989">
        <v>0</v>
      </c>
      <c r="O3989">
        <v>198</v>
      </c>
      <c r="P3989">
        <v>0</v>
      </c>
    </row>
    <row r="3990" spans="1:16" x14ac:dyDescent="0.25">
      <c r="A3990" t="s">
        <v>26405</v>
      </c>
      <c r="B3990" t="s">
        <v>16561</v>
      </c>
      <c r="C3990" t="s">
        <v>16541</v>
      </c>
      <c r="D3990" t="str">
        <f>"3304"</f>
        <v>3304</v>
      </c>
      <c r="E3990" t="s">
        <v>16536</v>
      </c>
      <c r="F3990" t="s">
        <v>15183</v>
      </c>
      <c r="G3990" t="s">
        <v>16235</v>
      </c>
      <c r="H3990" t="s">
        <v>47055</v>
      </c>
      <c r="I3990" t="s">
        <v>47127</v>
      </c>
      <c r="J3990" t="s">
        <v>47128</v>
      </c>
      <c r="K3990" t="s">
        <v>47113</v>
      </c>
      <c r="L3990">
        <v>74.319999999999993</v>
      </c>
      <c r="M3990">
        <v>198</v>
      </c>
      <c r="N3990">
        <v>0</v>
      </c>
      <c r="O3990">
        <v>198</v>
      </c>
      <c r="P3990">
        <v>0</v>
      </c>
    </row>
    <row r="3991" spans="1:16" x14ac:dyDescent="0.25">
      <c r="A3991" t="s">
        <v>26406</v>
      </c>
      <c r="B3991" t="s">
        <v>16561</v>
      </c>
      <c r="C3991" t="s">
        <v>16541</v>
      </c>
      <c r="D3991" t="str">
        <f>"4000"</f>
        <v>4000</v>
      </c>
      <c r="E3991" t="s">
        <v>16537</v>
      </c>
      <c r="F3991" t="s">
        <v>15183</v>
      </c>
      <c r="G3991" t="s">
        <v>16235</v>
      </c>
      <c r="H3991" t="s">
        <v>47055</v>
      </c>
      <c r="I3991" t="s">
        <v>47127</v>
      </c>
      <c r="J3991" t="s">
        <v>47128</v>
      </c>
      <c r="K3991" t="s">
        <v>47113</v>
      </c>
      <c r="L3991">
        <v>74.319999999999993</v>
      </c>
      <c r="M3991">
        <v>198</v>
      </c>
      <c r="N3991">
        <v>0</v>
      </c>
      <c r="O3991">
        <v>198</v>
      </c>
      <c r="P3991">
        <v>0</v>
      </c>
    </row>
    <row r="3992" spans="1:16" x14ac:dyDescent="0.25">
      <c r="A3992" t="s">
        <v>26407</v>
      </c>
      <c r="B3992" t="s">
        <v>16561</v>
      </c>
      <c r="C3992" t="s">
        <v>16541</v>
      </c>
      <c r="D3992" t="str">
        <f>"4643"</f>
        <v>4643</v>
      </c>
      <c r="E3992" t="s">
        <v>205</v>
      </c>
      <c r="F3992" t="s">
        <v>15183</v>
      </c>
      <c r="G3992" t="s">
        <v>16235</v>
      </c>
      <c r="H3992" t="s">
        <v>47055</v>
      </c>
      <c r="I3992" t="s">
        <v>47127</v>
      </c>
      <c r="J3992" t="s">
        <v>47128</v>
      </c>
      <c r="K3992" t="s">
        <v>47113</v>
      </c>
      <c r="L3992">
        <v>74.319999999999993</v>
      </c>
      <c r="M3992">
        <v>198</v>
      </c>
      <c r="N3992">
        <v>0</v>
      </c>
      <c r="O3992">
        <v>198</v>
      </c>
      <c r="P3992">
        <v>0</v>
      </c>
    </row>
    <row r="3993" spans="1:16" x14ac:dyDescent="0.25">
      <c r="A3993" t="s">
        <v>26408</v>
      </c>
      <c r="B3993" t="s">
        <v>16561</v>
      </c>
      <c r="C3993" t="s">
        <v>16541</v>
      </c>
      <c r="D3993" t="str">
        <f>"4921"</f>
        <v>4921</v>
      </c>
      <c r="E3993" t="s">
        <v>4156</v>
      </c>
      <c r="F3993" t="s">
        <v>15183</v>
      </c>
      <c r="G3993" t="s">
        <v>16235</v>
      </c>
      <c r="H3993" t="s">
        <v>47055</v>
      </c>
      <c r="I3993" t="s">
        <v>47127</v>
      </c>
      <c r="J3993" t="s">
        <v>47128</v>
      </c>
      <c r="K3993" t="s">
        <v>47113</v>
      </c>
      <c r="L3993">
        <v>74.319999999999993</v>
      </c>
      <c r="M3993">
        <v>198</v>
      </c>
      <c r="N3993">
        <v>0</v>
      </c>
      <c r="O3993">
        <v>198</v>
      </c>
      <c r="P3993">
        <v>0</v>
      </c>
    </row>
    <row r="3994" spans="1:16" x14ac:dyDescent="0.25">
      <c r="A3994" t="s">
        <v>26409</v>
      </c>
      <c r="B3994" t="s">
        <v>16562</v>
      </c>
      <c r="C3994" t="s">
        <v>16541</v>
      </c>
      <c r="D3994" t="str">
        <f>"1001"</f>
        <v>1001</v>
      </c>
      <c r="E3994" t="s">
        <v>42</v>
      </c>
      <c r="F3994" t="s">
        <v>15183</v>
      </c>
      <c r="G3994" t="s">
        <v>16235</v>
      </c>
      <c r="H3994" t="s">
        <v>47055</v>
      </c>
      <c r="I3994" t="s">
        <v>47127</v>
      </c>
      <c r="J3994" t="s">
        <v>47128</v>
      </c>
      <c r="K3994" t="s">
        <v>47113</v>
      </c>
      <c r="L3994">
        <v>67.510000000000005</v>
      </c>
      <c r="M3994">
        <v>181</v>
      </c>
      <c r="N3994">
        <v>0</v>
      </c>
      <c r="O3994">
        <v>181</v>
      </c>
      <c r="P3994">
        <v>0</v>
      </c>
    </row>
    <row r="3995" spans="1:16" x14ac:dyDescent="0.25">
      <c r="A3995" t="s">
        <v>26410</v>
      </c>
      <c r="B3995" t="s">
        <v>16562</v>
      </c>
      <c r="C3995" t="s">
        <v>16541</v>
      </c>
      <c r="D3995" t="str">
        <f>"1200"</f>
        <v>1200</v>
      </c>
      <c r="E3995" t="s">
        <v>16534</v>
      </c>
      <c r="F3995" t="s">
        <v>15183</v>
      </c>
      <c r="G3995" t="s">
        <v>16235</v>
      </c>
      <c r="H3995" t="s">
        <v>47055</v>
      </c>
      <c r="I3995" t="s">
        <v>47127</v>
      </c>
      <c r="J3995" t="s">
        <v>47128</v>
      </c>
      <c r="K3995" t="s">
        <v>47113</v>
      </c>
      <c r="L3995">
        <v>67.510000000000005</v>
      </c>
      <c r="M3995">
        <v>181</v>
      </c>
      <c r="N3995">
        <v>0</v>
      </c>
      <c r="O3995">
        <v>181</v>
      </c>
      <c r="P3995">
        <v>0</v>
      </c>
    </row>
    <row r="3996" spans="1:16" x14ac:dyDescent="0.25">
      <c r="A3996" t="s">
        <v>26411</v>
      </c>
      <c r="B3996" t="s">
        <v>16562</v>
      </c>
      <c r="C3996" t="s">
        <v>16541</v>
      </c>
      <c r="D3996" t="str">
        <f>"1285"</f>
        <v>1285</v>
      </c>
      <c r="E3996" t="s">
        <v>2148</v>
      </c>
      <c r="F3996" t="s">
        <v>15183</v>
      </c>
      <c r="G3996" t="s">
        <v>16235</v>
      </c>
      <c r="H3996" t="s">
        <v>47055</v>
      </c>
      <c r="I3996" t="s">
        <v>47127</v>
      </c>
      <c r="J3996" t="s">
        <v>47128</v>
      </c>
      <c r="K3996" t="s">
        <v>47113</v>
      </c>
      <c r="L3996">
        <v>67.510000000000005</v>
      </c>
      <c r="M3996">
        <v>181</v>
      </c>
      <c r="N3996">
        <v>0</v>
      </c>
      <c r="O3996">
        <v>181</v>
      </c>
      <c r="P3996">
        <v>0</v>
      </c>
    </row>
    <row r="3997" spans="1:16" x14ac:dyDescent="0.25">
      <c r="A3997" t="s">
        <v>26412</v>
      </c>
      <c r="B3997" t="s">
        <v>16562</v>
      </c>
      <c r="C3997" t="s">
        <v>16541</v>
      </c>
      <c r="D3997" t="str">
        <f>"1370"</f>
        <v>1370</v>
      </c>
      <c r="E3997" t="s">
        <v>2162</v>
      </c>
      <c r="F3997" t="s">
        <v>15183</v>
      </c>
      <c r="G3997" t="s">
        <v>16235</v>
      </c>
      <c r="H3997" t="s">
        <v>47055</v>
      </c>
      <c r="I3997" t="s">
        <v>47127</v>
      </c>
      <c r="J3997" t="s">
        <v>47128</v>
      </c>
      <c r="K3997" t="s">
        <v>47113</v>
      </c>
      <c r="L3997">
        <v>67.510000000000005</v>
      </c>
      <c r="M3997">
        <v>181</v>
      </c>
      <c r="N3997">
        <v>0</v>
      </c>
      <c r="O3997">
        <v>181</v>
      </c>
      <c r="P3997">
        <v>0</v>
      </c>
    </row>
    <row r="3998" spans="1:16" x14ac:dyDescent="0.25">
      <c r="A3998" t="s">
        <v>26413</v>
      </c>
      <c r="B3998" t="s">
        <v>16562</v>
      </c>
      <c r="C3998" t="s">
        <v>16541</v>
      </c>
      <c r="D3998" t="str">
        <f>"1377"</f>
        <v>1377</v>
      </c>
      <c r="E3998" t="s">
        <v>74</v>
      </c>
      <c r="F3998" t="s">
        <v>15183</v>
      </c>
      <c r="G3998" t="s">
        <v>16235</v>
      </c>
      <c r="H3998" t="s">
        <v>47055</v>
      </c>
      <c r="I3998" t="s">
        <v>47127</v>
      </c>
      <c r="J3998" t="s">
        <v>47128</v>
      </c>
      <c r="K3998" t="s">
        <v>47113</v>
      </c>
      <c r="L3998">
        <v>67.510000000000005</v>
      </c>
      <c r="M3998">
        <v>181</v>
      </c>
      <c r="N3998">
        <v>0</v>
      </c>
      <c r="O3998">
        <v>181</v>
      </c>
      <c r="P3998">
        <v>0</v>
      </c>
    </row>
    <row r="3999" spans="1:16" x14ac:dyDescent="0.25">
      <c r="A3999" t="s">
        <v>26414</v>
      </c>
      <c r="B3999" t="s">
        <v>16562</v>
      </c>
      <c r="C3999" t="s">
        <v>16541</v>
      </c>
      <c r="D3999" t="str">
        <f>"1378"</f>
        <v>1378</v>
      </c>
      <c r="E3999" t="s">
        <v>388</v>
      </c>
      <c r="F3999" t="s">
        <v>15183</v>
      </c>
      <c r="G3999" t="s">
        <v>16235</v>
      </c>
      <c r="H3999" t="s">
        <v>47055</v>
      </c>
      <c r="I3999" t="s">
        <v>47127</v>
      </c>
      <c r="J3999" t="s">
        <v>47128</v>
      </c>
      <c r="K3999" t="s">
        <v>47113</v>
      </c>
      <c r="L3999">
        <v>67.510000000000005</v>
      </c>
      <c r="M3999">
        <v>181</v>
      </c>
      <c r="N3999">
        <v>0</v>
      </c>
      <c r="O3999">
        <v>181</v>
      </c>
      <c r="P3999">
        <v>0</v>
      </c>
    </row>
    <row r="4000" spans="1:16" x14ac:dyDescent="0.25">
      <c r="A4000" t="s">
        <v>26415</v>
      </c>
      <c r="B4000" t="s">
        <v>16562</v>
      </c>
      <c r="C4000" t="s">
        <v>16541</v>
      </c>
      <c r="D4000" t="str">
        <f>"1537"</f>
        <v>1537</v>
      </c>
      <c r="E4000" t="s">
        <v>16535</v>
      </c>
      <c r="F4000" t="s">
        <v>15183</v>
      </c>
      <c r="G4000" t="s">
        <v>16235</v>
      </c>
      <c r="H4000" t="s">
        <v>47055</v>
      </c>
      <c r="I4000" t="s">
        <v>47127</v>
      </c>
      <c r="J4000" t="s">
        <v>47128</v>
      </c>
      <c r="K4000" t="s">
        <v>47113</v>
      </c>
      <c r="L4000">
        <v>67.510000000000005</v>
      </c>
      <c r="M4000">
        <v>181</v>
      </c>
      <c r="N4000">
        <v>0</v>
      </c>
      <c r="O4000">
        <v>181</v>
      </c>
      <c r="P4000">
        <v>0</v>
      </c>
    </row>
    <row r="4001" spans="1:16" x14ac:dyDescent="0.25">
      <c r="A4001" t="s">
        <v>26416</v>
      </c>
      <c r="B4001" t="s">
        <v>16562</v>
      </c>
      <c r="C4001" t="s">
        <v>16541</v>
      </c>
      <c r="D4001" t="str">
        <f>"1700"</f>
        <v>1700</v>
      </c>
      <c r="E4001" t="s">
        <v>60</v>
      </c>
      <c r="F4001" t="s">
        <v>15183</v>
      </c>
      <c r="G4001" t="s">
        <v>16235</v>
      </c>
      <c r="H4001" t="s">
        <v>47055</v>
      </c>
      <c r="I4001" t="s">
        <v>47127</v>
      </c>
      <c r="J4001" t="s">
        <v>47128</v>
      </c>
      <c r="K4001" t="s">
        <v>47113</v>
      </c>
      <c r="L4001">
        <v>67.510000000000005</v>
      </c>
      <c r="M4001">
        <v>181</v>
      </c>
      <c r="N4001">
        <v>0</v>
      </c>
      <c r="O4001">
        <v>181</v>
      </c>
      <c r="P4001">
        <v>0</v>
      </c>
    </row>
    <row r="4002" spans="1:16" x14ac:dyDescent="0.25">
      <c r="A4002" t="s">
        <v>26417</v>
      </c>
      <c r="B4002" t="s">
        <v>16562</v>
      </c>
      <c r="C4002" t="s">
        <v>16541</v>
      </c>
      <c r="D4002" t="str">
        <f>"1704"</f>
        <v>1704</v>
      </c>
      <c r="E4002" t="s">
        <v>7181</v>
      </c>
      <c r="F4002" t="s">
        <v>15183</v>
      </c>
      <c r="G4002" t="s">
        <v>16235</v>
      </c>
      <c r="H4002" t="s">
        <v>47055</v>
      </c>
      <c r="I4002" t="s">
        <v>47127</v>
      </c>
      <c r="J4002" t="s">
        <v>47128</v>
      </c>
      <c r="K4002" t="s">
        <v>47113</v>
      </c>
      <c r="L4002">
        <v>67.510000000000005</v>
      </c>
      <c r="M4002">
        <v>181</v>
      </c>
      <c r="N4002">
        <v>0</v>
      </c>
      <c r="O4002">
        <v>181</v>
      </c>
      <c r="P4002">
        <v>0</v>
      </c>
    </row>
    <row r="4003" spans="1:16" x14ac:dyDescent="0.25">
      <c r="A4003" t="s">
        <v>26418</v>
      </c>
      <c r="B4003" t="s">
        <v>16562</v>
      </c>
      <c r="C4003" t="s">
        <v>16541</v>
      </c>
      <c r="D4003" t="str">
        <f>"2000"</f>
        <v>2000</v>
      </c>
      <c r="E4003" t="s">
        <v>248</v>
      </c>
      <c r="F4003" t="s">
        <v>15183</v>
      </c>
      <c r="G4003" t="s">
        <v>16235</v>
      </c>
      <c r="H4003" t="s">
        <v>47055</v>
      </c>
      <c r="I4003" t="s">
        <v>47127</v>
      </c>
      <c r="J4003" t="s">
        <v>47128</v>
      </c>
      <c r="K4003" t="s">
        <v>47113</v>
      </c>
      <c r="L4003">
        <v>67.510000000000005</v>
      </c>
      <c r="M4003">
        <v>181</v>
      </c>
      <c r="N4003">
        <v>0</v>
      </c>
      <c r="O4003">
        <v>181</v>
      </c>
      <c r="P4003">
        <v>0</v>
      </c>
    </row>
    <row r="4004" spans="1:16" x14ac:dyDescent="0.25">
      <c r="A4004" t="s">
        <v>26419</v>
      </c>
      <c r="B4004" t="s">
        <v>16562</v>
      </c>
      <c r="C4004" t="s">
        <v>16541</v>
      </c>
      <c r="D4004" t="str">
        <f>"3304"</f>
        <v>3304</v>
      </c>
      <c r="E4004" t="s">
        <v>16536</v>
      </c>
      <c r="F4004" t="s">
        <v>15183</v>
      </c>
      <c r="G4004" t="s">
        <v>16235</v>
      </c>
      <c r="H4004" t="s">
        <v>47055</v>
      </c>
      <c r="I4004" t="s">
        <v>47127</v>
      </c>
      <c r="J4004" t="s">
        <v>47128</v>
      </c>
      <c r="K4004" t="s">
        <v>47113</v>
      </c>
      <c r="L4004">
        <v>67.510000000000005</v>
      </c>
      <c r="M4004">
        <v>181</v>
      </c>
      <c r="N4004">
        <v>0</v>
      </c>
      <c r="O4004">
        <v>181</v>
      </c>
      <c r="P4004">
        <v>0</v>
      </c>
    </row>
    <row r="4005" spans="1:16" x14ac:dyDescent="0.25">
      <c r="A4005" t="s">
        <v>26420</v>
      </c>
      <c r="B4005" t="s">
        <v>16562</v>
      </c>
      <c r="C4005" t="s">
        <v>16541</v>
      </c>
      <c r="D4005" t="str">
        <f>"4000"</f>
        <v>4000</v>
      </c>
      <c r="E4005" t="s">
        <v>16537</v>
      </c>
      <c r="F4005" t="s">
        <v>15183</v>
      </c>
      <c r="G4005" t="s">
        <v>16235</v>
      </c>
      <c r="H4005" t="s">
        <v>47055</v>
      </c>
      <c r="I4005" t="s">
        <v>47127</v>
      </c>
      <c r="J4005" t="s">
        <v>47128</v>
      </c>
      <c r="K4005" t="s">
        <v>47113</v>
      </c>
      <c r="L4005">
        <v>67.510000000000005</v>
      </c>
      <c r="M4005">
        <v>181</v>
      </c>
      <c r="N4005">
        <v>0</v>
      </c>
      <c r="O4005">
        <v>181</v>
      </c>
      <c r="P4005">
        <v>0</v>
      </c>
    </row>
    <row r="4006" spans="1:16" x14ac:dyDescent="0.25">
      <c r="A4006" t="s">
        <v>26421</v>
      </c>
      <c r="B4006" t="s">
        <v>16562</v>
      </c>
      <c r="C4006" t="s">
        <v>16541</v>
      </c>
      <c r="D4006" t="str">
        <f>"4643"</f>
        <v>4643</v>
      </c>
      <c r="E4006" t="s">
        <v>205</v>
      </c>
      <c r="F4006" t="s">
        <v>15183</v>
      </c>
      <c r="G4006" t="s">
        <v>16235</v>
      </c>
      <c r="H4006" t="s">
        <v>47055</v>
      </c>
      <c r="I4006" t="s">
        <v>47127</v>
      </c>
      <c r="J4006" t="s">
        <v>47128</v>
      </c>
      <c r="K4006" t="s">
        <v>47113</v>
      </c>
      <c r="L4006">
        <v>67.510000000000005</v>
      </c>
      <c r="M4006">
        <v>181</v>
      </c>
      <c r="N4006">
        <v>0</v>
      </c>
      <c r="O4006">
        <v>181</v>
      </c>
      <c r="P4006">
        <v>0</v>
      </c>
    </row>
    <row r="4007" spans="1:16" x14ac:dyDescent="0.25">
      <c r="A4007" t="s">
        <v>26422</v>
      </c>
      <c r="B4007" t="s">
        <v>16562</v>
      </c>
      <c r="C4007" t="s">
        <v>16541</v>
      </c>
      <c r="D4007" t="str">
        <f>"4921"</f>
        <v>4921</v>
      </c>
      <c r="E4007" t="s">
        <v>4156</v>
      </c>
      <c r="F4007" t="s">
        <v>15183</v>
      </c>
      <c r="G4007" t="s">
        <v>16235</v>
      </c>
      <c r="H4007" t="s">
        <v>47055</v>
      </c>
      <c r="I4007" t="s">
        <v>47127</v>
      </c>
      <c r="J4007" t="s">
        <v>47128</v>
      </c>
      <c r="K4007" t="s">
        <v>47113</v>
      </c>
      <c r="L4007">
        <v>67.510000000000005</v>
      </c>
      <c r="M4007">
        <v>181</v>
      </c>
      <c r="N4007">
        <v>0</v>
      </c>
      <c r="O4007">
        <v>181</v>
      </c>
      <c r="P4007">
        <v>0</v>
      </c>
    </row>
    <row r="4008" spans="1:16" x14ac:dyDescent="0.25">
      <c r="A4008" t="s">
        <v>26423</v>
      </c>
      <c r="B4008" t="s">
        <v>16563</v>
      </c>
      <c r="C4008" t="s">
        <v>16564</v>
      </c>
      <c r="D4008" t="str">
        <f>"1001"</f>
        <v>1001</v>
      </c>
      <c r="E4008" t="s">
        <v>42</v>
      </c>
      <c r="F4008" t="s">
        <v>15183</v>
      </c>
      <c r="G4008" t="s">
        <v>16448</v>
      </c>
      <c r="H4008" t="s">
        <v>47055</v>
      </c>
      <c r="I4008" t="s">
        <v>47120</v>
      </c>
      <c r="J4008" t="s">
        <v>47121</v>
      </c>
      <c r="K4008" t="s">
        <v>47113</v>
      </c>
      <c r="L4008">
        <v>201.66</v>
      </c>
      <c r="M4008">
        <v>409</v>
      </c>
      <c r="N4008">
        <v>0</v>
      </c>
      <c r="O4008">
        <v>409</v>
      </c>
      <c r="P4008">
        <v>0</v>
      </c>
    </row>
    <row r="4009" spans="1:16" x14ac:dyDescent="0.25">
      <c r="A4009" t="s">
        <v>26424</v>
      </c>
      <c r="B4009" t="s">
        <v>16563</v>
      </c>
      <c r="C4009" t="s">
        <v>16564</v>
      </c>
      <c r="D4009" t="str">
        <f>"1106"</f>
        <v>1106</v>
      </c>
      <c r="E4009" t="s">
        <v>460</v>
      </c>
      <c r="F4009" t="s">
        <v>15183</v>
      </c>
      <c r="G4009" t="s">
        <v>16448</v>
      </c>
      <c r="H4009" t="s">
        <v>47055</v>
      </c>
      <c r="I4009" t="s">
        <v>47120</v>
      </c>
      <c r="J4009" t="s">
        <v>47121</v>
      </c>
      <c r="K4009" t="s">
        <v>47113</v>
      </c>
      <c r="L4009">
        <v>201.66</v>
      </c>
      <c r="M4009">
        <v>409</v>
      </c>
      <c r="N4009">
        <v>0</v>
      </c>
      <c r="O4009">
        <v>409</v>
      </c>
      <c r="P4009">
        <v>0</v>
      </c>
    </row>
    <row r="4010" spans="1:16" x14ac:dyDescent="0.25">
      <c r="A4010" t="s">
        <v>26425</v>
      </c>
      <c r="B4010" t="s">
        <v>16563</v>
      </c>
      <c r="C4010" t="s">
        <v>16564</v>
      </c>
      <c r="D4010" t="str">
        <f>"1200"</f>
        <v>1200</v>
      </c>
      <c r="E4010" t="s">
        <v>16514</v>
      </c>
      <c r="F4010" t="s">
        <v>15183</v>
      </c>
      <c r="G4010" t="s">
        <v>16448</v>
      </c>
      <c r="H4010" t="s">
        <v>47055</v>
      </c>
      <c r="I4010" t="s">
        <v>47120</v>
      </c>
      <c r="J4010" t="s">
        <v>47121</v>
      </c>
      <c r="K4010" t="s">
        <v>47113</v>
      </c>
      <c r="L4010">
        <v>201.66</v>
      </c>
      <c r="M4010">
        <v>409</v>
      </c>
      <c r="N4010">
        <v>0</v>
      </c>
      <c r="O4010">
        <v>409</v>
      </c>
      <c r="P4010">
        <v>0</v>
      </c>
    </row>
    <row r="4011" spans="1:16" x14ac:dyDescent="0.25">
      <c r="A4011" t="s">
        <v>26426</v>
      </c>
      <c r="B4011" t="s">
        <v>16563</v>
      </c>
      <c r="C4011" t="s">
        <v>16564</v>
      </c>
      <c r="D4011" t="str">
        <f>"2707"</f>
        <v>2707</v>
      </c>
      <c r="E4011" t="s">
        <v>3019</v>
      </c>
      <c r="F4011" t="s">
        <v>15183</v>
      </c>
      <c r="G4011" t="s">
        <v>16448</v>
      </c>
      <c r="H4011" t="s">
        <v>47055</v>
      </c>
      <c r="I4011" t="s">
        <v>47120</v>
      </c>
      <c r="J4011" t="s">
        <v>47121</v>
      </c>
      <c r="K4011" t="s">
        <v>47113</v>
      </c>
      <c r="L4011">
        <v>201.66</v>
      </c>
      <c r="M4011">
        <v>409</v>
      </c>
      <c r="N4011">
        <v>0</v>
      </c>
      <c r="O4011">
        <v>409</v>
      </c>
      <c r="P4011">
        <v>0</v>
      </c>
    </row>
    <row r="4012" spans="1:16" x14ac:dyDescent="0.25">
      <c r="A4012" t="s">
        <v>26427</v>
      </c>
      <c r="B4012" t="s">
        <v>16563</v>
      </c>
      <c r="C4012" t="s">
        <v>16564</v>
      </c>
      <c r="D4012" t="str">
        <f>"4739"</f>
        <v>4739</v>
      </c>
      <c r="E4012" t="s">
        <v>16515</v>
      </c>
      <c r="F4012" t="s">
        <v>15183</v>
      </c>
      <c r="G4012" t="s">
        <v>16448</v>
      </c>
      <c r="H4012" t="s">
        <v>47055</v>
      </c>
      <c r="I4012" t="s">
        <v>47120</v>
      </c>
      <c r="J4012" t="s">
        <v>47121</v>
      </c>
      <c r="K4012" t="s">
        <v>47113</v>
      </c>
      <c r="L4012">
        <v>201.66</v>
      </c>
      <c r="M4012">
        <v>409</v>
      </c>
      <c r="N4012">
        <v>0</v>
      </c>
      <c r="O4012">
        <v>409</v>
      </c>
      <c r="P4012">
        <v>0</v>
      </c>
    </row>
    <row r="4013" spans="1:16" x14ac:dyDescent="0.25">
      <c r="A4013" t="s">
        <v>26428</v>
      </c>
      <c r="B4013" t="s">
        <v>16563</v>
      </c>
      <c r="C4013" t="s">
        <v>16564</v>
      </c>
      <c r="D4013" t="s">
        <v>15692</v>
      </c>
      <c r="E4013" t="s">
        <v>46</v>
      </c>
      <c r="F4013" t="s">
        <v>15183</v>
      </c>
      <c r="G4013" t="s">
        <v>16448</v>
      </c>
      <c r="H4013" t="s">
        <v>47055</v>
      </c>
      <c r="I4013" t="s">
        <v>47120</v>
      </c>
      <c r="J4013" t="s">
        <v>47121</v>
      </c>
      <c r="K4013" t="s">
        <v>47113</v>
      </c>
      <c r="L4013">
        <v>201.66</v>
      </c>
      <c r="M4013">
        <v>409</v>
      </c>
      <c r="N4013">
        <v>0</v>
      </c>
      <c r="O4013">
        <v>409</v>
      </c>
      <c r="P4013">
        <v>0</v>
      </c>
    </row>
    <row r="4014" spans="1:16" x14ac:dyDescent="0.25">
      <c r="A4014" t="s">
        <v>26429</v>
      </c>
      <c r="B4014" t="s">
        <v>16563</v>
      </c>
      <c r="C4014" t="s">
        <v>16564</v>
      </c>
      <c r="D4014" t="s">
        <v>8967</v>
      </c>
      <c r="E4014" t="s">
        <v>6279</v>
      </c>
      <c r="F4014" t="s">
        <v>15183</v>
      </c>
      <c r="G4014" t="s">
        <v>16448</v>
      </c>
      <c r="H4014" t="s">
        <v>47055</v>
      </c>
      <c r="I4014" t="s">
        <v>47120</v>
      </c>
      <c r="J4014" t="s">
        <v>47121</v>
      </c>
      <c r="K4014" t="s">
        <v>47113</v>
      </c>
      <c r="L4014">
        <v>201.66</v>
      </c>
      <c r="M4014">
        <v>409</v>
      </c>
      <c r="N4014">
        <v>0</v>
      </c>
      <c r="O4014">
        <v>409</v>
      </c>
      <c r="P4014">
        <v>0</v>
      </c>
    </row>
    <row r="4015" spans="1:16" x14ac:dyDescent="0.25">
      <c r="A4015" t="s">
        <v>26430</v>
      </c>
      <c r="B4015" t="s">
        <v>16565</v>
      </c>
      <c r="C4015" t="s">
        <v>16566</v>
      </c>
      <c r="D4015" t="str">
        <f>"4000"</f>
        <v>4000</v>
      </c>
      <c r="E4015" t="s">
        <v>16567</v>
      </c>
      <c r="F4015" t="s">
        <v>15183</v>
      </c>
      <c r="G4015" t="s">
        <v>16448</v>
      </c>
      <c r="H4015" t="s">
        <v>47055</v>
      </c>
      <c r="I4015" t="s">
        <v>47120</v>
      </c>
      <c r="J4015" t="s">
        <v>47121</v>
      </c>
      <c r="K4015" t="s">
        <v>47113</v>
      </c>
      <c r="L4015">
        <v>76.98</v>
      </c>
      <c r="M4015">
        <v>225</v>
      </c>
      <c r="N4015">
        <v>0</v>
      </c>
      <c r="O4015">
        <v>225</v>
      </c>
      <c r="P4015">
        <v>0</v>
      </c>
    </row>
    <row r="4016" spans="1:16" x14ac:dyDescent="0.25">
      <c r="A4016" t="s">
        <v>26431</v>
      </c>
      <c r="B4016" t="s">
        <v>16568</v>
      </c>
      <c r="C4016" t="s">
        <v>16566</v>
      </c>
      <c r="D4016" t="str">
        <f>"1001"</f>
        <v>1001</v>
      </c>
      <c r="E4016" t="s">
        <v>42</v>
      </c>
      <c r="F4016" t="s">
        <v>15183</v>
      </c>
      <c r="G4016" t="s">
        <v>16448</v>
      </c>
      <c r="H4016" t="s">
        <v>47055</v>
      </c>
      <c r="I4016" t="s">
        <v>47120</v>
      </c>
      <c r="J4016" t="s">
        <v>47121</v>
      </c>
      <c r="K4016" t="s">
        <v>47113</v>
      </c>
      <c r="L4016">
        <v>59.46</v>
      </c>
      <c r="M4016">
        <v>175</v>
      </c>
      <c r="N4016">
        <v>0</v>
      </c>
      <c r="O4016">
        <v>175</v>
      </c>
      <c r="P4016">
        <v>0</v>
      </c>
    </row>
    <row r="4017" spans="1:16" x14ac:dyDescent="0.25">
      <c r="A4017" t="s">
        <v>26432</v>
      </c>
      <c r="B4017" t="s">
        <v>16568</v>
      </c>
      <c r="C4017" t="s">
        <v>16566</v>
      </c>
      <c r="D4017" t="str">
        <f>"4000"</f>
        <v>4000</v>
      </c>
      <c r="E4017" t="s">
        <v>16567</v>
      </c>
      <c r="F4017" t="s">
        <v>15183</v>
      </c>
      <c r="G4017" t="s">
        <v>16448</v>
      </c>
      <c r="H4017" t="s">
        <v>47055</v>
      </c>
      <c r="I4017" t="s">
        <v>47120</v>
      </c>
      <c r="J4017" t="s">
        <v>47121</v>
      </c>
      <c r="K4017" t="s">
        <v>47113</v>
      </c>
      <c r="L4017">
        <v>59.46</v>
      </c>
      <c r="M4017">
        <v>175</v>
      </c>
      <c r="N4017">
        <v>0</v>
      </c>
      <c r="O4017">
        <v>175</v>
      </c>
      <c r="P4017">
        <v>0</v>
      </c>
    </row>
    <row r="4018" spans="1:16" x14ac:dyDescent="0.25">
      <c r="A4018" t="s">
        <v>26433</v>
      </c>
      <c r="B4018" t="s">
        <v>16569</v>
      </c>
      <c r="C4018" t="s">
        <v>16570</v>
      </c>
      <c r="D4018" t="str">
        <f>"1001"</f>
        <v>1001</v>
      </c>
      <c r="E4018" t="s">
        <v>42</v>
      </c>
      <c r="F4018" t="s">
        <v>15183</v>
      </c>
      <c r="G4018" t="s">
        <v>16448</v>
      </c>
      <c r="H4018" t="s">
        <v>47055</v>
      </c>
      <c r="I4018" t="s">
        <v>47120</v>
      </c>
      <c r="J4018" t="s">
        <v>47121</v>
      </c>
      <c r="K4018" t="s">
        <v>47113</v>
      </c>
      <c r="L4018">
        <v>139.04</v>
      </c>
      <c r="M4018">
        <v>283</v>
      </c>
      <c r="N4018">
        <v>0</v>
      </c>
      <c r="O4018">
        <v>283</v>
      </c>
      <c r="P4018">
        <v>0</v>
      </c>
    </row>
    <row r="4019" spans="1:16" x14ac:dyDescent="0.25">
      <c r="A4019" t="s">
        <v>26434</v>
      </c>
      <c r="B4019" t="s">
        <v>16569</v>
      </c>
      <c r="C4019" t="s">
        <v>16570</v>
      </c>
      <c r="D4019" t="str">
        <f>"1106"</f>
        <v>1106</v>
      </c>
      <c r="E4019" t="s">
        <v>460</v>
      </c>
      <c r="F4019" t="s">
        <v>15183</v>
      </c>
      <c r="G4019" t="s">
        <v>16448</v>
      </c>
      <c r="H4019" t="s">
        <v>47055</v>
      </c>
      <c r="I4019" t="s">
        <v>47120</v>
      </c>
      <c r="J4019" t="s">
        <v>47121</v>
      </c>
      <c r="K4019" t="s">
        <v>47113</v>
      </c>
      <c r="L4019">
        <v>139.04</v>
      </c>
      <c r="M4019">
        <v>283</v>
      </c>
      <c r="N4019">
        <v>0</v>
      </c>
      <c r="O4019">
        <v>283</v>
      </c>
      <c r="P4019">
        <v>0</v>
      </c>
    </row>
    <row r="4020" spans="1:16" x14ac:dyDescent="0.25">
      <c r="A4020" t="s">
        <v>26435</v>
      </c>
      <c r="B4020" t="s">
        <v>16569</v>
      </c>
      <c r="C4020" t="s">
        <v>16570</v>
      </c>
      <c r="D4020" t="str">
        <f>"1200"</f>
        <v>1200</v>
      </c>
      <c r="E4020" t="s">
        <v>16514</v>
      </c>
      <c r="F4020" t="s">
        <v>15183</v>
      </c>
      <c r="G4020" t="s">
        <v>16448</v>
      </c>
      <c r="H4020" t="s">
        <v>47055</v>
      </c>
      <c r="I4020" t="s">
        <v>47120</v>
      </c>
      <c r="J4020" t="s">
        <v>47121</v>
      </c>
      <c r="K4020" t="s">
        <v>47113</v>
      </c>
      <c r="L4020">
        <v>139.04</v>
      </c>
      <c r="M4020">
        <v>283</v>
      </c>
      <c r="N4020">
        <v>0</v>
      </c>
      <c r="O4020">
        <v>283</v>
      </c>
      <c r="P4020">
        <v>0</v>
      </c>
    </row>
    <row r="4021" spans="1:16" x14ac:dyDescent="0.25">
      <c r="A4021" t="s">
        <v>26436</v>
      </c>
      <c r="B4021" t="s">
        <v>16569</v>
      </c>
      <c r="C4021" t="s">
        <v>16570</v>
      </c>
      <c r="D4021" t="str">
        <f>"1305"</f>
        <v>1305</v>
      </c>
      <c r="E4021" t="s">
        <v>11901</v>
      </c>
      <c r="F4021" t="s">
        <v>15183</v>
      </c>
      <c r="G4021" t="s">
        <v>16448</v>
      </c>
      <c r="H4021" t="s">
        <v>47055</v>
      </c>
      <c r="I4021" t="s">
        <v>47120</v>
      </c>
      <c r="J4021" t="s">
        <v>47121</v>
      </c>
      <c r="K4021" t="s">
        <v>47113</v>
      </c>
      <c r="L4021">
        <v>139.04</v>
      </c>
      <c r="M4021">
        <v>283</v>
      </c>
      <c r="N4021">
        <v>0</v>
      </c>
      <c r="O4021">
        <v>283</v>
      </c>
      <c r="P4021">
        <v>0</v>
      </c>
    </row>
    <row r="4022" spans="1:16" x14ac:dyDescent="0.25">
      <c r="A4022" t="s">
        <v>26437</v>
      </c>
      <c r="B4022" t="s">
        <v>16569</v>
      </c>
      <c r="C4022" t="s">
        <v>16570</v>
      </c>
      <c r="D4022" t="str">
        <f>"1423"</f>
        <v>1423</v>
      </c>
      <c r="E4022" t="s">
        <v>16571</v>
      </c>
      <c r="F4022" t="s">
        <v>15183</v>
      </c>
      <c r="G4022" t="s">
        <v>16448</v>
      </c>
      <c r="H4022" t="s">
        <v>47055</v>
      </c>
      <c r="I4022" t="s">
        <v>47120</v>
      </c>
      <c r="J4022" t="s">
        <v>47121</v>
      </c>
      <c r="K4022" t="s">
        <v>47113</v>
      </c>
      <c r="L4022">
        <v>139.04</v>
      </c>
      <c r="M4022">
        <v>283</v>
      </c>
      <c r="N4022">
        <v>0</v>
      </c>
      <c r="O4022">
        <v>283</v>
      </c>
      <c r="P4022">
        <v>0</v>
      </c>
    </row>
    <row r="4023" spans="1:16" x14ac:dyDescent="0.25">
      <c r="A4023" t="s">
        <v>26438</v>
      </c>
      <c r="B4023" t="s">
        <v>16569</v>
      </c>
      <c r="C4023" t="s">
        <v>16570</v>
      </c>
      <c r="D4023" t="str">
        <f>"2377"</f>
        <v>2377</v>
      </c>
      <c r="E4023" t="s">
        <v>16572</v>
      </c>
      <c r="F4023" t="s">
        <v>15183</v>
      </c>
      <c r="G4023" t="s">
        <v>16448</v>
      </c>
      <c r="H4023" t="s">
        <v>47055</v>
      </c>
      <c r="I4023" t="s">
        <v>47120</v>
      </c>
      <c r="J4023" t="s">
        <v>47121</v>
      </c>
      <c r="K4023" t="s">
        <v>47113</v>
      </c>
      <c r="L4023">
        <v>139.04</v>
      </c>
      <c r="M4023">
        <v>283</v>
      </c>
      <c r="N4023">
        <v>0</v>
      </c>
      <c r="O4023">
        <v>283</v>
      </c>
      <c r="P4023">
        <v>0</v>
      </c>
    </row>
    <row r="4024" spans="1:16" x14ac:dyDescent="0.25">
      <c r="A4024" t="s">
        <v>26439</v>
      </c>
      <c r="B4024" t="s">
        <v>16569</v>
      </c>
      <c r="C4024" t="s">
        <v>16570</v>
      </c>
      <c r="D4024" t="str">
        <f>"2707"</f>
        <v>2707</v>
      </c>
      <c r="E4024" t="s">
        <v>3019</v>
      </c>
      <c r="F4024" t="s">
        <v>15183</v>
      </c>
      <c r="G4024" t="s">
        <v>16448</v>
      </c>
      <c r="H4024" t="s">
        <v>47055</v>
      </c>
      <c r="I4024" t="s">
        <v>47120</v>
      </c>
      <c r="J4024" t="s">
        <v>47121</v>
      </c>
      <c r="K4024" t="s">
        <v>47113</v>
      </c>
      <c r="L4024">
        <v>139.04</v>
      </c>
      <c r="M4024">
        <v>283</v>
      </c>
      <c r="N4024">
        <v>0</v>
      </c>
      <c r="O4024">
        <v>283</v>
      </c>
      <c r="P4024">
        <v>0</v>
      </c>
    </row>
    <row r="4025" spans="1:16" x14ac:dyDescent="0.25">
      <c r="A4025" t="s">
        <v>26440</v>
      </c>
      <c r="B4025" t="s">
        <v>16569</v>
      </c>
      <c r="C4025" t="s">
        <v>16570</v>
      </c>
      <c r="D4025" t="str">
        <f>"4000"</f>
        <v>4000</v>
      </c>
      <c r="E4025" t="s">
        <v>16567</v>
      </c>
      <c r="F4025" t="s">
        <v>15183</v>
      </c>
      <c r="G4025" t="s">
        <v>16448</v>
      </c>
      <c r="H4025" t="s">
        <v>47055</v>
      </c>
      <c r="I4025" t="s">
        <v>47120</v>
      </c>
      <c r="J4025" t="s">
        <v>47121</v>
      </c>
      <c r="K4025" t="s">
        <v>47113</v>
      </c>
      <c r="L4025">
        <v>139.04</v>
      </c>
      <c r="M4025">
        <v>283</v>
      </c>
      <c r="N4025">
        <v>0</v>
      </c>
      <c r="O4025">
        <v>283</v>
      </c>
      <c r="P4025">
        <v>0</v>
      </c>
    </row>
    <row r="4026" spans="1:16" x14ac:dyDescent="0.25">
      <c r="A4026" t="s">
        <v>26441</v>
      </c>
      <c r="B4026" t="s">
        <v>16569</v>
      </c>
      <c r="C4026" t="s">
        <v>16570</v>
      </c>
      <c r="D4026" t="str">
        <f>"4739"</f>
        <v>4739</v>
      </c>
      <c r="E4026" t="s">
        <v>16515</v>
      </c>
      <c r="F4026" t="s">
        <v>15183</v>
      </c>
      <c r="G4026" t="s">
        <v>16448</v>
      </c>
      <c r="H4026" t="s">
        <v>47055</v>
      </c>
      <c r="I4026" t="s">
        <v>47120</v>
      </c>
      <c r="J4026" t="s">
        <v>47121</v>
      </c>
      <c r="K4026" t="s">
        <v>47113</v>
      </c>
      <c r="L4026">
        <v>139.04</v>
      </c>
      <c r="M4026">
        <v>283</v>
      </c>
      <c r="N4026">
        <v>0</v>
      </c>
      <c r="O4026">
        <v>283</v>
      </c>
      <c r="P4026">
        <v>0</v>
      </c>
    </row>
    <row r="4027" spans="1:16" x14ac:dyDescent="0.25">
      <c r="A4027" t="s">
        <v>26442</v>
      </c>
      <c r="B4027" t="s">
        <v>16569</v>
      </c>
      <c r="C4027" t="s">
        <v>16570</v>
      </c>
      <c r="D4027" t="str">
        <f>"6000"</f>
        <v>6000</v>
      </c>
      <c r="E4027" t="s">
        <v>238</v>
      </c>
      <c r="F4027" t="s">
        <v>15183</v>
      </c>
      <c r="G4027" t="s">
        <v>16448</v>
      </c>
      <c r="H4027" t="s">
        <v>47055</v>
      </c>
      <c r="I4027" t="s">
        <v>47120</v>
      </c>
      <c r="J4027" t="s">
        <v>47121</v>
      </c>
      <c r="K4027" t="s">
        <v>47113</v>
      </c>
      <c r="L4027">
        <v>139.04</v>
      </c>
      <c r="M4027">
        <v>283</v>
      </c>
      <c r="N4027">
        <v>0</v>
      </c>
      <c r="O4027">
        <v>283</v>
      </c>
      <c r="P4027">
        <v>0</v>
      </c>
    </row>
    <row r="4028" spans="1:16" x14ac:dyDescent="0.25">
      <c r="A4028" t="s">
        <v>26443</v>
      </c>
      <c r="B4028" t="s">
        <v>16569</v>
      </c>
      <c r="C4028" t="s">
        <v>16570</v>
      </c>
      <c r="D4028" t="s">
        <v>15692</v>
      </c>
      <c r="E4028" t="s">
        <v>46</v>
      </c>
      <c r="F4028" t="s">
        <v>15183</v>
      </c>
      <c r="G4028" t="s">
        <v>16448</v>
      </c>
      <c r="H4028" t="s">
        <v>47055</v>
      </c>
      <c r="I4028" t="s">
        <v>47120</v>
      </c>
      <c r="J4028" t="s">
        <v>47121</v>
      </c>
      <c r="K4028" t="s">
        <v>47113</v>
      </c>
      <c r="L4028">
        <v>139.04</v>
      </c>
      <c r="M4028">
        <v>283</v>
      </c>
      <c r="N4028">
        <v>0</v>
      </c>
      <c r="O4028">
        <v>283</v>
      </c>
      <c r="P4028">
        <v>0</v>
      </c>
    </row>
    <row r="4029" spans="1:16" x14ac:dyDescent="0.25">
      <c r="A4029" t="s">
        <v>26444</v>
      </c>
      <c r="B4029" t="s">
        <v>16569</v>
      </c>
      <c r="C4029" t="s">
        <v>16570</v>
      </c>
      <c r="D4029" t="s">
        <v>8967</v>
      </c>
      <c r="E4029" t="s">
        <v>6279</v>
      </c>
      <c r="F4029" t="s">
        <v>15183</v>
      </c>
      <c r="G4029" t="s">
        <v>16448</v>
      </c>
      <c r="H4029" t="s">
        <v>47055</v>
      </c>
      <c r="I4029" t="s">
        <v>47120</v>
      </c>
      <c r="J4029" t="s">
        <v>47121</v>
      </c>
      <c r="K4029" t="s">
        <v>47113</v>
      </c>
      <c r="L4029">
        <v>139.04</v>
      </c>
      <c r="M4029">
        <v>283</v>
      </c>
      <c r="N4029">
        <v>0</v>
      </c>
      <c r="O4029">
        <v>283</v>
      </c>
      <c r="P4029">
        <v>0</v>
      </c>
    </row>
    <row r="4030" spans="1:16" x14ac:dyDescent="0.25">
      <c r="A4030" t="s">
        <v>26445</v>
      </c>
      <c r="B4030" t="s">
        <v>16573</v>
      </c>
      <c r="C4030" t="s">
        <v>16566</v>
      </c>
      <c r="D4030" t="str">
        <f>"1001"</f>
        <v>1001</v>
      </c>
      <c r="E4030" t="s">
        <v>42</v>
      </c>
      <c r="F4030" t="s">
        <v>15183</v>
      </c>
      <c r="G4030" t="s">
        <v>16448</v>
      </c>
      <c r="H4030" t="s">
        <v>47055</v>
      </c>
      <c r="I4030" t="s">
        <v>47120</v>
      </c>
      <c r="J4030" t="s">
        <v>47121</v>
      </c>
      <c r="K4030" t="s">
        <v>47113</v>
      </c>
      <c r="L4030">
        <v>106.61</v>
      </c>
      <c r="M4030">
        <v>216</v>
      </c>
      <c r="N4030">
        <v>0</v>
      </c>
      <c r="O4030">
        <v>216</v>
      </c>
      <c r="P4030">
        <v>0</v>
      </c>
    </row>
    <row r="4031" spans="1:16" x14ac:dyDescent="0.25">
      <c r="A4031" t="s">
        <v>26446</v>
      </c>
      <c r="B4031" t="s">
        <v>16573</v>
      </c>
      <c r="C4031" t="s">
        <v>16566</v>
      </c>
      <c r="D4031" t="str">
        <f>"1106"</f>
        <v>1106</v>
      </c>
      <c r="E4031" t="s">
        <v>460</v>
      </c>
      <c r="F4031" t="s">
        <v>15183</v>
      </c>
      <c r="G4031" t="s">
        <v>16448</v>
      </c>
      <c r="H4031" t="s">
        <v>47055</v>
      </c>
      <c r="I4031" t="s">
        <v>47120</v>
      </c>
      <c r="J4031" t="s">
        <v>47121</v>
      </c>
      <c r="K4031" t="s">
        <v>47113</v>
      </c>
      <c r="L4031">
        <v>106.61</v>
      </c>
      <c r="M4031">
        <v>216</v>
      </c>
      <c r="N4031">
        <v>0</v>
      </c>
      <c r="O4031">
        <v>216</v>
      </c>
      <c r="P4031">
        <v>0</v>
      </c>
    </row>
    <row r="4032" spans="1:16" x14ac:dyDescent="0.25">
      <c r="A4032" t="s">
        <v>26447</v>
      </c>
      <c r="B4032" t="s">
        <v>16573</v>
      </c>
      <c r="C4032" t="s">
        <v>16566</v>
      </c>
      <c r="D4032" t="str">
        <f>"1200"</f>
        <v>1200</v>
      </c>
      <c r="E4032" t="s">
        <v>16514</v>
      </c>
      <c r="F4032" t="s">
        <v>15183</v>
      </c>
      <c r="G4032" t="s">
        <v>16448</v>
      </c>
      <c r="H4032" t="s">
        <v>47055</v>
      </c>
      <c r="I4032" t="s">
        <v>47120</v>
      </c>
      <c r="J4032" t="s">
        <v>47121</v>
      </c>
      <c r="K4032" t="s">
        <v>47113</v>
      </c>
      <c r="L4032">
        <v>106.61</v>
      </c>
      <c r="M4032">
        <v>216</v>
      </c>
      <c r="N4032">
        <v>0</v>
      </c>
      <c r="O4032">
        <v>216</v>
      </c>
      <c r="P4032">
        <v>0</v>
      </c>
    </row>
    <row r="4033" spans="1:16" x14ac:dyDescent="0.25">
      <c r="A4033" t="s">
        <v>26448</v>
      </c>
      <c r="B4033" t="s">
        <v>16573</v>
      </c>
      <c r="C4033" t="s">
        <v>16566</v>
      </c>
      <c r="D4033" t="str">
        <f>"1305"</f>
        <v>1305</v>
      </c>
      <c r="E4033" t="s">
        <v>11901</v>
      </c>
      <c r="F4033" t="s">
        <v>15183</v>
      </c>
      <c r="G4033" t="s">
        <v>16448</v>
      </c>
      <c r="H4033" t="s">
        <v>47055</v>
      </c>
      <c r="I4033" t="s">
        <v>47120</v>
      </c>
      <c r="J4033" t="s">
        <v>47121</v>
      </c>
      <c r="K4033" t="s">
        <v>47113</v>
      </c>
      <c r="L4033">
        <v>106.61</v>
      </c>
      <c r="M4033">
        <v>216</v>
      </c>
      <c r="N4033">
        <v>0</v>
      </c>
      <c r="O4033">
        <v>216</v>
      </c>
      <c r="P4033">
        <v>0</v>
      </c>
    </row>
    <row r="4034" spans="1:16" x14ac:dyDescent="0.25">
      <c r="A4034" t="s">
        <v>26449</v>
      </c>
      <c r="B4034" t="s">
        <v>16573</v>
      </c>
      <c r="C4034" t="s">
        <v>16566</v>
      </c>
      <c r="D4034" t="str">
        <f>"1423"</f>
        <v>1423</v>
      </c>
      <c r="E4034" t="s">
        <v>16571</v>
      </c>
      <c r="F4034" t="s">
        <v>15183</v>
      </c>
      <c r="G4034" t="s">
        <v>16448</v>
      </c>
      <c r="H4034" t="s">
        <v>47055</v>
      </c>
      <c r="I4034" t="s">
        <v>47120</v>
      </c>
      <c r="J4034" t="s">
        <v>47121</v>
      </c>
      <c r="K4034" t="s">
        <v>47113</v>
      </c>
      <c r="L4034">
        <v>106.61</v>
      </c>
      <c r="M4034">
        <v>216</v>
      </c>
      <c r="N4034">
        <v>0</v>
      </c>
      <c r="O4034">
        <v>216</v>
      </c>
      <c r="P4034">
        <v>0</v>
      </c>
    </row>
    <row r="4035" spans="1:16" x14ac:dyDescent="0.25">
      <c r="A4035" t="s">
        <v>26450</v>
      </c>
      <c r="B4035" t="s">
        <v>16573</v>
      </c>
      <c r="C4035" t="s">
        <v>16566</v>
      </c>
      <c r="D4035" t="str">
        <f>"2377"</f>
        <v>2377</v>
      </c>
      <c r="E4035" t="s">
        <v>16572</v>
      </c>
      <c r="F4035" t="s">
        <v>15183</v>
      </c>
      <c r="G4035" t="s">
        <v>16448</v>
      </c>
      <c r="H4035" t="s">
        <v>47055</v>
      </c>
      <c r="I4035" t="s">
        <v>47120</v>
      </c>
      <c r="J4035" t="s">
        <v>47121</v>
      </c>
      <c r="K4035" t="s">
        <v>47113</v>
      </c>
      <c r="L4035">
        <v>106.61</v>
      </c>
      <c r="M4035">
        <v>216</v>
      </c>
      <c r="N4035">
        <v>0</v>
      </c>
      <c r="O4035">
        <v>216</v>
      </c>
      <c r="P4035">
        <v>0</v>
      </c>
    </row>
    <row r="4036" spans="1:16" x14ac:dyDescent="0.25">
      <c r="A4036" t="s">
        <v>26451</v>
      </c>
      <c r="B4036" t="s">
        <v>16573</v>
      </c>
      <c r="C4036" t="s">
        <v>16566</v>
      </c>
      <c r="D4036" t="str">
        <f>"2707"</f>
        <v>2707</v>
      </c>
      <c r="E4036" t="s">
        <v>3019</v>
      </c>
      <c r="F4036" t="s">
        <v>15183</v>
      </c>
      <c r="G4036" t="s">
        <v>16448</v>
      </c>
      <c r="H4036" t="s">
        <v>47055</v>
      </c>
      <c r="I4036" t="s">
        <v>47120</v>
      </c>
      <c r="J4036" t="s">
        <v>47121</v>
      </c>
      <c r="K4036" t="s">
        <v>47113</v>
      </c>
      <c r="L4036">
        <v>106.61</v>
      </c>
      <c r="M4036">
        <v>216</v>
      </c>
      <c r="N4036">
        <v>0</v>
      </c>
      <c r="O4036">
        <v>216</v>
      </c>
      <c r="P4036">
        <v>0</v>
      </c>
    </row>
    <row r="4037" spans="1:16" x14ac:dyDescent="0.25">
      <c r="A4037" t="s">
        <v>26452</v>
      </c>
      <c r="B4037" t="s">
        <v>16573</v>
      </c>
      <c r="C4037" t="s">
        <v>16566</v>
      </c>
      <c r="D4037" t="str">
        <f>"4000"</f>
        <v>4000</v>
      </c>
      <c r="E4037" t="s">
        <v>190</v>
      </c>
      <c r="F4037" t="s">
        <v>15183</v>
      </c>
      <c r="G4037" t="s">
        <v>16448</v>
      </c>
      <c r="H4037" t="s">
        <v>47055</v>
      </c>
      <c r="I4037" t="s">
        <v>47120</v>
      </c>
      <c r="J4037" t="s">
        <v>47121</v>
      </c>
      <c r="K4037" t="s">
        <v>47113</v>
      </c>
      <c r="L4037">
        <v>106.61</v>
      </c>
      <c r="M4037">
        <v>216</v>
      </c>
      <c r="N4037">
        <v>0</v>
      </c>
      <c r="O4037">
        <v>216</v>
      </c>
      <c r="P4037">
        <v>0</v>
      </c>
    </row>
    <row r="4038" spans="1:16" x14ac:dyDescent="0.25">
      <c r="A4038" t="s">
        <v>26453</v>
      </c>
      <c r="B4038" t="s">
        <v>16573</v>
      </c>
      <c r="C4038" t="s">
        <v>16566</v>
      </c>
      <c r="D4038" t="str">
        <f>"4739"</f>
        <v>4739</v>
      </c>
      <c r="E4038" t="s">
        <v>16515</v>
      </c>
      <c r="F4038" t="s">
        <v>15183</v>
      </c>
      <c r="G4038" t="s">
        <v>16448</v>
      </c>
      <c r="H4038" t="s">
        <v>47055</v>
      </c>
      <c r="I4038" t="s">
        <v>47120</v>
      </c>
      <c r="J4038" t="s">
        <v>47121</v>
      </c>
      <c r="K4038" t="s">
        <v>47113</v>
      </c>
      <c r="L4038">
        <v>106.61</v>
      </c>
      <c r="M4038">
        <v>216</v>
      </c>
      <c r="N4038">
        <v>0</v>
      </c>
      <c r="O4038">
        <v>216</v>
      </c>
      <c r="P4038">
        <v>0</v>
      </c>
    </row>
    <row r="4039" spans="1:16" x14ac:dyDescent="0.25">
      <c r="A4039" t="s">
        <v>26454</v>
      </c>
      <c r="B4039" t="s">
        <v>16573</v>
      </c>
      <c r="C4039" t="s">
        <v>16566</v>
      </c>
      <c r="D4039" t="str">
        <f>"6000"</f>
        <v>6000</v>
      </c>
      <c r="E4039" t="s">
        <v>238</v>
      </c>
      <c r="F4039" t="s">
        <v>15183</v>
      </c>
      <c r="G4039" t="s">
        <v>16448</v>
      </c>
      <c r="H4039" t="s">
        <v>47055</v>
      </c>
      <c r="I4039" t="s">
        <v>47120</v>
      </c>
      <c r="J4039" t="s">
        <v>47121</v>
      </c>
      <c r="K4039" t="s">
        <v>47113</v>
      </c>
      <c r="L4039">
        <v>106.61</v>
      </c>
      <c r="M4039">
        <v>216</v>
      </c>
      <c r="N4039">
        <v>0</v>
      </c>
      <c r="O4039">
        <v>216</v>
      </c>
      <c r="P4039">
        <v>0</v>
      </c>
    </row>
    <row r="4040" spans="1:16" x14ac:dyDescent="0.25">
      <c r="A4040" t="s">
        <v>26455</v>
      </c>
      <c r="B4040" t="s">
        <v>16573</v>
      </c>
      <c r="C4040" t="s">
        <v>16566</v>
      </c>
      <c r="D4040" t="s">
        <v>15692</v>
      </c>
      <c r="E4040" t="s">
        <v>46</v>
      </c>
      <c r="F4040" t="s">
        <v>15183</v>
      </c>
      <c r="G4040" t="s">
        <v>16448</v>
      </c>
      <c r="H4040" t="s">
        <v>47055</v>
      </c>
      <c r="I4040" t="s">
        <v>47120</v>
      </c>
      <c r="J4040" t="s">
        <v>47121</v>
      </c>
      <c r="K4040" t="s">
        <v>47113</v>
      </c>
      <c r="L4040">
        <v>106.61</v>
      </c>
      <c r="M4040">
        <v>216</v>
      </c>
      <c r="N4040">
        <v>0</v>
      </c>
      <c r="O4040">
        <v>216</v>
      </c>
      <c r="P4040">
        <v>0</v>
      </c>
    </row>
    <row r="4041" spans="1:16" x14ac:dyDescent="0.25">
      <c r="A4041" t="s">
        <v>26456</v>
      </c>
      <c r="B4041" t="s">
        <v>16573</v>
      </c>
      <c r="C4041" t="s">
        <v>16566</v>
      </c>
      <c r="D4041" t="s">
        <v>8967</v>
      </c>
      <c r="E4041" t="s">
        <v>6279</v>
      </c>
      <c r="F4041" t="s">
        <v>15183</v>
      </c>
      <c r="G4041" t="s">
        <v>16448</v>
      </c>
      <c r="H4041" t="s">
        <v>47055</v>
      </c>
      <c r="I4041" t="s">
        <v>47120</v>
      </c>
      <c r="J4041" t="s">
        <v>47121</v>
      </c>
      <c r="K4041" t="s">
        <v>47113</v>
      </c>
      <c r="L4041">
        <v>106.61</v>
      </c>
      <c r="M4041">
        <v>216</v>
      </c>
      <c r="N4041">
        <v>0</v>
      </c>
      <c r="O4041">
        <v>216</v>
      </c>
      <c r="P4041">
        <v>0</v>
      </c>
    </row>
    <row r="4042" spans="1:16" x14ac:dyDescent="0.25">
      <c r="A4042" t="s">
        <v>26457</v>
      </c>
      <c r="B4042" t="s">
        <v>16574</v>
      </c>
      <c r="C4042" t="s">
        <v>16575</v>
      </c>
      <c r="D4042" t="str">
        <f>"1001"</f>
        <v>1001</v>
      </c>
      <c r="E4042" t="s">
        <v>42</v>
      </c>
      <c r="F4042" t="s">
        <v>15183</v>
      </c>
      <c r="G4042" t="s">
        <v>16221</v>
      </c>
      <c r="H4042" t="s">
        <v>47055</v>
      </c>
      <c r="I4042" t="s">
        <v>47127</v>
      </c>
      <c r="J4042" t="s">
        <v>47128</v>
      </c>
      <c r="K4042" t="s">
        <v>47113</v>
      </c>
      <c r="L4042">
        <v>18</v>
      </c>
      <c r="M4042">
        <v>48</v>
      </c>
      <c r="N4042">
        <v>0</v>
      </c>
      <c r="O4042">
        <v>48</v>
      </c>
      <c r="P4042">
        <v>0</v>
      </c>
    </row>
    <row r="4043" spans="1:16" x14ac:dyDescent="0.25">
      <c r="A4043" t="s">
        <v>16576</v>
      </c>
      <c r="B4043" t="s">
        <v>16574</v>
      </c>
      <c r="C4043" t="s">
        <v>16575</v>
      </c>
      <c r="D4043" t="str">
        <f>"1200"</f>
        <v>1200</v>
      </c>
      <c r="E4043" t="s">
        <v>241</v>
      </c>
      <c r="F4043" t="s">
        <v>15183</v>
      </c>
      <c r="G4043" t="s">
        <v>16221</v>
      </c>
      <c r="H4043" t="s">
        <v>47055</v>
      </c>
      <c r="I4043" t="s">
        <v>47127</v>
      </c>
      <c r="J4043" t="s">
        <v>47128</v>
      </c>
      <c r="K4043" t="s">
        <v>47113</v>
      </c>
      <c r="L4043">
        <v>18</v>
      </c>
      <c r="M4043">
        <v>48</v>
      </c>
      <c r="N4043">
        <v>0</v>
      </c>
      <c r="O4043">
        <v>48</v>
      </c>
      <c r="P4043">
        <v>0</v>
      </c>
    </row>
    <row r="4044" spans="1:16" x14ac:dyDescent="0.25">
      <c r="A4044" t="s">
        <v>26458</v>
      </c>
      <c r="B4044" t="s">
        <v>16574</v>
      </c>
      <c r="C4044" t="s">
        <v>16575</v>
      </c>
      <c r="D4044" t="str">
        <f>"1700"</f>
        <v>1700</v>
      </c>
      <c r="E4044" t="s">
        <v>60</v>
      </c>
      <c r="F4044" t="s">
        <v>15183</v>
      </c>
      <c r="G4044" t="s">
        <v>16221</v>
      </c>
      <c r="H4044" t="s">
        <v>47055</v>
      </c>
      <c r="I4044" t="s">
        <v>47127</v>
      </c>
      <c r="J4044" t="s">
        <v>47128</v>
      </c>
      <c r="K4044" t="s">
        <v>47113</v>
      </c>
      <c r="L4044">
        <v>18</v>
      </c>
      <c r="M4044">
        <v>48</v>
      </c>
      <c r="N4044">
        <v>0</v>
      </c>
      <c r="O4044">
        <v>48</v>
      </c>
      <c r="P4044">
        <v>0</v>
      </c>
    </row>
    <row r="4045" spans="1:16" x14ac:dyDescent="0.25">
      <c r="A4045" t="s">
        <v>26459</v>
      </c>
      <c r="B4045" t="s">
        <v>16574</v>
      </c>
      <c r="C4045" t="s">
        <v>16575</v>
      </c>
      <c r="D4045" t="str">
        <f>"3304"</f>
        <v>3304</v>
      </c>
      <c r="E4045" t="s">
        <v>1879</v>
      </c>
      <c r="F4045" t="s">
        <v>15183</v>
      </c>
      <c r="G4045" t="s">
        <v>16221</v>
      </c>
      <c r="H4045" t="s">
        <v>47055</v>
      </c>
      <c r="I4045" t="s">
        <v>47127</v>
      </c>
      <c r="J4045" t="s">
        <v>47128</v>
      </c>
      <c r="K4045" t="s">
        <v>47113</v>
      </c>
      <c r="L4045">
        <v>18</v>
      </c>
      <c r="M4045">
        <v>48</v>
      </c>
      <c r="N4045">
        <v>0</v>
      </c>
      <c r="O4045">
        <v>48</v>
      </c>
      <c r="P4045">
        <v>0</v>
      </c>
    </row>
    <row r="4046" spans="1:16" x14ac:dyDescent="0.25">
      <c r="A4046" t="s">
        <v>26460</v>
      </c>
      <c r="B4046" t="s">
        <v>16574</v>
      </c>
      <c r="C4046" t="s">
        <v>16575</v>
      </c>
      <c r="D4046" t="str">
        <f>"4643"</f>
        <v>4643</v>
      </c>
      <c r="E4046" t="s">
        <v>205</v>
      </c>
      <c r="F4046" t="s">
        <v>15183</v>
      </c>
      <c r="G4046" t="s">
        <v>16221</v>
      </c>
      <c r="H4046" t="s">
        <v>47055</v>
      </c>
      <c r="I4046" t="s">
        <v>47127</v>
      </c>
      <c r="J4046" t="s">
        <v>47128</v>
      </c>
      <c r="K4046" t="s">
        <v>47113</v>
      </c>
      <c r="L4046">
        <v>18</v>
      </c>
      <c r="M4046">
        <v>48</v>
      </c>
      <c r="N4046">
        <v>0</v>
      </c>
      <c r="O4046">
        <v>48</v>
      </c>
      <c r="P4046">
        <v>0</v>
      </c>
    </row>
    <row r="4047" spans="1:16" x14ac:dyDescent="0.25">
      <c r="A4047" t="s">
        <v>26461</v>
      </c>
      <c r="B4047" t="s">
        <v>16577</v>
      </c>
      <c r="C4047" t="s">
        <v>2212</v>
      </c>
      <c r="D4047" t="str">
        <f>"1001"</f>
        <v>1001</v>
      </c>
      <c r="E4047" t="s">
        <v>42</v>
      </c>
      <c r="F4047" t="s">
        <v>15183</v>
      </c>
      <c r="G4047" t="s">
        <v>16235</v>
      </c>
      <c r="H4047" t="s">
        <v>47055</v>
      </c>
      <c r="I4047" t="s">
        <v>47127</v>
      </c>
      <c r="J4047" t="s">
        <v>47128</v>
      </c>
      <c r="K4047" t="s">
        <v>47113</v>
      </c>
      <c r="L4047">
        <v>1.24</v>
      </c>
      <c r="M4047">
        <v>26</v>
      </c>
      <c r="N4047">
        <v>0</v>
      </c>
      <c r="O4047">
        <v>26</v>
      </c>
      <c r="P4047">
        <v>0</v>
      </c>
    </row>
    <row r="4048" spans="1:16" x14ac:dyDescent="0.25">
      <c r="A4048" t="s">
        <v>26462</v>
      </c>
      <c r="B4048" t="s">
        <v>16577</v>
      </c>
      <c r="C4048" t="s">
        <v>2212</v>
      </c>
      <c r="D4048" t="str">
        <f>"1200"</f>
        <v>1200</v>
      </c>
      <c r="E4048" t="s">
        <v>16534</v>
      </c>
      <c r="F4048" t="s">
        <v>15183</v>
      </c>
      <c r="G4048" t="s">
        <v>16235</v>
      </c>
      <c r="H4048" t="s">
        <v>47055</v>
      </c>
      <c r="I4048" t="s">
        <v>47127</v>
      </c>
      <c r="J4048" t="s">
        <v>47128</v>
      </c>
      <c r="K4048" t="s">
        <v>47113</v>
      </c>
      <c r="L4048">
        <v>1.24</v>
      </c>
      <c r="M4048">
        <v>26</v>
      </c>
      <c r="N4048">
        <v>0</v>
      </c>
      <c r="O4048">
        <v>26</v>
      </c>
      <c r="P4048">
        <v>0</v>
      </c>
    </row>
    <row r="4049" spans="1:16" x14ac:dyDescent="0.25">
      <c r="A4049" t="s">
        <v>16578</v>
      </c>
      <c r="B4049" t="s">
        <v>16577</v>
      </c>
      <c r="C4049" t="s">
        <v>2212</v>
      </c>
      <c r="D4049" t="str">
        <f>"1285"</f>
        <v>1285</v>
      </c>
      <c r="E4049" t="s">
        <v>2148</v>
      </c>
      <c r="F4049" t="s">
        <v>15183</v>
      </c>
      <c r="G4049" t="s">
        <v>16235</v>
      </c>
      <c r="H4049" t="s">
        <v>47055</v>
      </c>
      <c r="I4049" t="s">
        <v>47127</v>
      </c>
      <c r="J4049" t="s">
        <v>47128</v>
      </c>
      <c r="K4049" t="s">
        <v>47113</v>
      </c>
      <c r="L4049">
        <v>1.24</v>
      </c>
      <c r="M4049">
        <v>26</v>
      </c>
      <c r="N4049">
        <v>0</v>
      </c>
      <c r="O4049">
        <v>26</v>
      </c>
      <c r="P4049">
        <v>0</v>
      </c>
    </row>
    <row r="4050" spans="1:16" x14ac:dyDescent="0.25">
      <c r="A4050" t="s">
        <v>26463</v>
      </c>
      <c r="B4050" t="s">
        <v>16577</v>
      </c>
      <c r="C4050" t="s">
        <v>2212</v>
      </c>
      <c r="D4050" t="str">
        <f>"1370"</f>
        <v>1370</v>
      </c>
      <c r="E4050" t="s">
        <v>2162</v>
      </c>
      <c r="F4050" t="s">
        <v>15183</v>
      </c>
      <c r="G4050" t="s">
        <v>16235</v>
      </c>
      <c r="H4050" t="s">
        <v>47055</v>
      </c>
      <c r="I4050" t="s">
        <v>47127</v>
      </c>
      <c r="J4050" t="s">
        <v>47128</v>
      </c>
      <c r="K4050" t="s">
        <v>47113</v>
      </c>
      <c r="L4050">
        <v>1.24</v>
      </c>
      <c r="M4050">
        <v>26</v>
      </c>
      <c r="N4050">
        <v>0</v>
      </c>
      <c r="O4050">
        <v>26</v>
      </c>
      <c r="P4050">
        <v>0</v>
      </c>
    </row>
    <row r="4051" spans="1:16" x14ac:dyDescent="0.25">
      <c r="A4051" t="s">
        <v>26464</v>
      </c>
      <c r="B4051" t="s">
        <v>16577</v>
      </c>
      <c r="C4051" t="s">
        <v>2212</v>
      </c>
      <c r="D4051" t="str">
        <f>"1377"</f>
        <v>1377</v>
      </c>
      <c r="E4051" t="s">
        <v>74</v>
      </c>
      <c r="F4051" t="s">
        <v>15183</v>
      </c>
      <c r="G4051" t="s">
        <v>16235</v>
      </c>
      <c r="H4051" t="s">
        <v>47055</v>
      </c>
      <c r="I4051" t="s">
        <v>47127</v>
      </c>
      <c r="J4051" t="s">
        <v>47128</v>
      </c>
      <c r="K4051" t="s">
        <v>47113</v>
      </c>
      <c r="L4051">
        <v>1.24</v>
      </c>
      <c r="M4051">
        <v>26</v>
      </c>
      <c r="N4051">
        <v>0</v>
      </c>
      <c r="O4051">
        <v>26</v>
      </c>
      <c r="P4051">
        <v>0</v>
      </c>
    </row>
    <row r="4052" spans="1:16" x14ac:dyDescent="0.25">
      <c r="A4052" t="s">
        <v>26465</v>
      </c>
      <c r="B4052" t="s">
        <v>16577</v>
      </c>
      <c r="C4052" t="s">
        <v>2212</v>
      </c>
      <c r="D4052" t="str">
        <f>"1378"</f>
        <v>1378</v>
      </c>
      <c r="E4052" t="s">
        <v>388</v>
      </c>
      <c r="F4052" t="s">
        <v>15183</v>
      </c>
      <c r="G4052" t="s">
        <v>16235</v>
      </c>
      <c r="H4052" t="s">
        <v>47055</v>
      </c>
      <c r="I4052" t="s">
        <v>47127</v>
      </c>
      <c r="J4052" t="s">
        <v>47128</v>
      </c>
      <c r="K4052" t="s">
        <v>47113</v>
      </c>
      <c r="L4052">
        <v>1.24</v>
      </c>
      <c r="M4052">
        <v>26</v>
      </c>
      <c r="N4052">
        <v>0</v>
      </c>
      <c r="O4052">
        <v>26</v>
      </c>
      <c r="P4052">
        <v>0</v>
      </c>
    </row>
    <row r="4053" spans="1:16" x14ac:dyDescent="0.25">
      <c r="A4053" t="s">
        <v>26466</v>
      </c>
      <c r="B4053" t="s">
        <v>16577</v>
      </c>
      <c r="C4053" t="s">
        <v>2212</v>
      </c>
      <c r="D4053" t="str">
        <f>"1537"</f>
        <v>1537</v>
      </c>
      <c r="E4053" t="s">
        <v>16535</v>
      </c>
      <c r="F4053" t="s">
        <v>15183</v>
      </c>
      <c r="G4053" t="s">
        <v>16235</v>
      </c>
      <c r="H4053" t="s">
        <v>47055</v>
      </c>
      <c r="I4053" t="s">
        <v>47127</v>
      </c>
      <c r="J4053" t="s">
        <v>47128</v>
      </c>
      <c r="K4053" t="s">
        <v>47113</v>
      </c>
      <c r="L4053">
        <v>1.24</v>
      </c>
      <c r="M4053">
        <v>26</v>
      </c>
      <c r="N4053">
        <v>0</v>
      </c>
      <c r="O4053">
        <v>26</v>
      </c>
      <c r="P4053">
        <v>0</v>
      </c>
    </row>
    <row r="4054" spans="1:16" x14ac:dyDescent="0.25">
      <c r="A4054" t="s">
        <v>26467</v>
      </c>
      <c r="B4054" t="s">
        <v>16577</v>
      </c>
      <c r="C4054" t="s">
        <v>2212</v>
      </c>
      <c r="D4054" t="str">
        <f>"1700"</f>
        <v>1700</v>
      </c>
      <c r="E4054" t="s">
        <v>60</v>
      </c>
      <c r="F4054" t="s">
        <v>15183</v>
      </c>
      <c r="G4054" t="s">
        <v>16235</v>
      </c>
      <c r="H4054" t="s">
        <v>47055</v>
      </c>
      <c r="I4054" t="s">
        <v>47127</v>
      </c>
      <c r="J4054" t="s">
        <v>47128</v>
      </c>
      <c r="K4054" t="s">
        <v>47113</v>
      </c>
      <c r="L4054">
        <v>1.24</v>
      </c>
      <c r="M4054">
        <v>26</v>
      </c>
      <c r="N4054">
        <v>0</v>
      </c>
      <c r="O4054">
        <v>26</v>
      </c>
      <c r="P4054">
        <v>0</v>
      </c>
    </row>
    <row r="4055" spans="1:16" x14ac:dyDescent="0.25">
      <c r="A4055" t="s">
        <v>26468</v>
      </c>
      <c r="B4055" t="s">
        <v>16577</v>
      </c>
      <c r="C4055" t="s">
        <v>2212</v>
      </c>
      <c r="D4055" t="str">
        <f>"1704"</f>
        <v>1704</v>
      </c>
      <c r="E4055" t="s">
        <v>7181</v>
      </c>
      <c r="F4055" t="s">
        <v>15183</v>
      </c>
      <c r="G4055" t="s">
        <v>16235</v>
      </c>
      <c r="H4055" t="s">
        <v>47055</v>
      </c>
      <c r="I4055" t="s">
        <v>47127</v>
      </c>
      <c r="J4055" t="s">
        <v>47128</v>
      </c>
      <c r="K4055" t="s">
        <v>47113</v>
      </c>
      <c r="L4055">
        <v>1.24</v>
      </c>
      <c r="M4055">
        <v>26</v>
      </c>
      <c r="N4055">
        <v>0</v>
      </c>
      <c r="O4055">
        <v>26</v>
      </c>
      <c r="P4055">
        <v>0</v>
      </c>
    </row>
    <row r="4056" spans="1:16" x14ac:dyDescent="0.25">
      <c r="A4056" t="s">
        <v>26469</v>
      </c>
      <c r="B4056" t="s">
        <v>16577</v>
      </c>
      <c r="C4056" t="s">
        <v>2212</v>
      </c>
      <c r="D4056" t="str">
        <f>"2000"</f>
        <v>2000</v>
      </c>
      <c r="E4056" t="s">
        <v>248</v>
      </c>
      <c r="F4056" t="s">
        <v>15183</v>
      </c>
      <c r="G4056" t="s">
        <v>16235</v>
      </c>
      <c r="H4056" t="s">
        <v>47055</v>
      </c>
      <c r="I4056" t="s">
        <v>47127</v>
      </c>
      <c r="J4056" t="s">
        <v>47128</v>
      </c>
      <c r="K4056" t="s">
        <v>47113</v>
      </c>
      <c r="L4056">
        <v>1.24</v>
      </c>
      <c r="M4056">
        <v>26</v>
      </c>
      <c r="N4056">
        <v>0</v>
      </c>
      <c r="O4056">
        <v>26</v>
      </c>
      <c r="P4056">
        <v>0</v>
      </c>
    </row>
    <row r="4057" spans="1:16" x14ac:dyDescent="0.25">
      <c r="A4057" t="s">
        <v>26470</v>
      </c>
      <c r="B4057" t="s">
        <v>16577</v>
      </c>
      <c r="C4057" t="s">
        <v>2212</v>
      </c>
      <c r="D4057" t="str">
        <f>"3304"</f>
        <v>3304</v>
      </c>
      <c r="E4057" t="s">
        <v>16536</v>
      </c>
      <c r="F4057" t="s">
        <v>15183</v>
      </c>
      <c r="G4057" t="s">
        <v>16235</v>
      </c>
      <c r="H4057" t="s">
        <v>47055</v>
      </c>
      <c r="I4057" t="s">
        <v>47127</v>
      </c>
      <c r="J4057" t="s">
        <v>47128</v>
      </c>
      <c r="K4057" t="s">
        <v>47113</v>
      </c>
      <c r="L4057">
        <v>1.24</v>
      </c>
      <c r="M4057">
        <v>26</v>
      </c>
      <c r="N4057">
        <v>0</v>
      </c>
      <c r="O4057">
        <v>26</v>
      </c>
      <c r="P4057">
        <v>0</v>
      </c>
    </row>
    <row r="4058" spans="1:16" x14ac:dyDescent="0.25">
      <c r="A4058" t="s">
        <v>16579</v>
      </c>
      <c r="B4058" t="s">
        <v>16577</v>
      </c>
      <c r="C4058" t="s">
        <v>2212</v>
      </c>
      <c r="D4058" t="str">
        <f>"4000"</f>
        <v>4000</v>
      </c>
      <c r="E4058" t="s">
        <v>16537</v>
      </c>
      <c r="F4058" t="s">
        <v>15183</v>
      </c>
      <c r="G4058" t="s">
        <v>16235</v>
      </c>
      <c r="H4058" t="s">
        <v>47055</v>
      </c>
      <c r="I4058" t="s">
        <v>47127</v>
      </c>
      <c r="J4058" t="s">
        <v>47128</v>
      </c>
      <c r="K4058" t="s">
        <v>47113</v>
      </c>
      <c r="L4058">
        <v>1.24</v>
      </c>
      <c r="M4058">
        <v>26</v>
      </c>
      <c r="N4058">
        <v>0</v>
      </c>
      <c r="O4058">
        <v>26</v>
      </c>
      <c r="P4058">
        <v>0</v>
      </c>
    </row>
    <row r="4059" spans="1:16" x14ac:dyDescent="0.25">
      <c r="A4059" t="s">
        <v>26471</v>
      </c>
      <c r="B4059" t="s">
        <v>16577</v>
      </c>
      <c r="C4059" t="s">
        <v>2212</v>
      </c>
      <c r="D4059" t="str">
        <f>"4643"</f>
        <v>4643</v>
      </c>
      <c r="E4059" t="s">
        <v>205</v>
      </c>
      <c r="F4059" t="s">
        <v>15183</v>
      </c>
      <c r="G4059" t="s">
        <v>16235</v>
      </c>
      <c r="H4059" t="s">
        <v>47055</v>
      </c>
      <c r="I4059" t="s">
        <v>47127</v>
      </c>
      <c r="J4059" t="s">
        <v>47128</v>
      </c>
      <c r="K4059" t="s">
        <v>47113</v>
      </c>
      <c r="L4059">
        <v>1.24</v>
      </c>
      <c r="M4059">
        <v>26</v>
      </c>
      <c r="N4059">
        <v>0</v>
      </c>
      <c r="O4059">
        <v>26</v>
      </c>
      <c r="P4059">
        <v>0</v>
      </c>
    </row>
    <row r="4060" spans="1:16" x14ac:dyDescent="0.25">
      <c r="A4060" t="s">
        <v>26472</v>
      </c>
      <c r="B4060" t="s">
        <v>16577</v>
      </c>
      <c r="C4060" t="s">
        <v>2212</v>
      </c>
      <c r="D4060" t="str">
        <f>"4921"</f>
        <v>4921</v>
      </c>
      <c r="E4060" t="s">
        <v>4156</v>
      </c>
      <c r="F4060" t="s">
        <v>15183</v>
      </c>
      <c r="G4060" t="s">
        <v>16235</v>
      </c>
      <c r="H4060" t="s">
        <v>47055</v>
      </c>
      <c r="I4060" t="s">
        <v>47127</v>
      </c>
      <c r="J4060" t="s">
        <v>47128</v>
      </c>
      <c r="K4060" t="s">
        <v>47113</v>
      </c>
      <c r="L4060">
        <v>1.24</v>
      </c>
      <c r="M4060">
        <v>26</v>
      </c>
      <c r="N4060">
        <v>0</v>
      </c>
      <c r="O4060">
        <v>26</v>
      </c>
      <c r="P4060">
        <v>0</v>
      </c>
    </row>
    <row r="4061" spans="1:16" x14ac:dyDescent="0.25">
      <c r="A4061" t="s">
        <v>26473</v>
      </c>
      <c r="B4061" t="s">
        <v>16580</v>
      </c>
      <c r="C4061" t="s">
        <v>2216</v>
      </c>
      <c r="D4061" t="str">
        <f>"1001"</f>
        <v>1001</v>
      </c>
      <c r="E4061" t="s">
        <v>42</v>
      </c>
      <c r="F4061" t="s">
        <v>15183</v>
      </c>
      <c r="G4061" t="s">
        <v>16235</v>
      </c>
      <c r="H4061" t="s">
        <v>47055</v>
      </c>
      <c r="I4061" t="s">
        <v>47127</v>
      </c>
      <c r="J4061" t="s">
        <v>47128</v>
      </c>
      <c r="K4061" t="s">
        <v>47113</v>
      </c>
      <c r="L4061">
        <v>22.51</v>
      </c>
      <c r="M4061">
        <v>33</v>
      </c>
      <c r="N4061">
        <v>0</v>
      </c>
      <c r="O4061">
        <v>33</v>
      </c>
      <c r="P4061">
        <v>0</v>
      </c>
    </row>
    <row r="4062" spans="1:16" x14ac:dyDescent="0.25">
      <c r="A4062" t="s">
        <v>26474</v>
      </c>
      <c r="B4062" t="s">
        <v>16580</v>
      </c>
      <c r="C4062" t="s">
        <v>2216</v>
      </c>
      <c r="D4062" t="str">
        <f>"1200"</f>
        <v>1200</v>
      </c>
      <c r="E4062" t="s">
        <v>16534</v>
      </c>
      <c r="F4062" t="s">
        <v>15183</v>
      </c>
      <c r="G4062" t="s">
        <v>16235</v>
      </c>
      <c r="H4062" t="s">
        <v>47055</v>
      </c>
      <c r="I4062" t="s">
        <v>47127</v>
      </c>
      <c r="J4062" t="s">
        <v>47128</v>
      </c>
      <c r="K4062" t="s">
        <v>47113</v>
      </c>
      <c r="L4062">
        <v>22.51</v>
      </c>
      <c r="M4062">
        <v>33</v>
      </c>
      <c r="N4062">
        <v>0</v>
      </c>
      <c r="O4062">
        <v>33</v>
      </c>
      <c r="P4062">
        <v>0</v>
      </c>
    </row>
    <row r="4063" spans="1:16" x14ac:dyDescent="0.25">
      <c r="A4063" t="s">
        <v>26475</v>
      </c>
      <c r="B4063" t="s">
        <v>16580</v>
      </c>
      <c r="C4063" t="s">
        <v>2216</v>
      </c>
      <c r="D4063" t="str">
        <f>"1285"</f>
        <v>1285</v>
      </c>
      <c r="E4063" t="s">
        <v>2148</v>
      </c>
      <c r="F4063" t="s">
        <v>15183</v>
      </c>
      <c r="G4063" t="s">
        <v>16235</v>
      </c>
      <c r="H4063" t="s">
        <v>47055</v>
      </c>
      <c r="I4063" t="s">
        <v>47127</v>
      </c>
      <c r="J4063" t="s">
        <v>47128</v>
      </c>
      <c r="K4063" t="s">
        <v>47113</v>
      </c>
      <c r="L4063">
        <v>22.51</v>
      </c>
      <c r="M4063">
        <v>33</v>
      </c>
      <c r="N4063">
        <v>0</v>
      </c>
      <c r="O4063">
        <v>33</v>
      </c>
      <c r="P4063">
        <v>0</v>
      </c>
    </row>
    <row r="4064" spans="1:16" x14ac:dyDescent="0.25">
      <c r="A4064" t="s">
        <v>26476</v>
      </c>
      <c r="B4064" t="s">
        <v>16580</v>
      </c>
      <c r="C4064" t="s">
        <v>2216</v>
      </c>
      <c r="D4064" t="str">
        <f>"1370"</f>
        <v>1370</v>
      </c>
      <c r="E4064" t="s">
        <v>2162</v>
      </c>
      <c r="F4064" t="s">
        <v>15183</v>
      </c>
      <c r="G4064" t="s">
        <v>16235</v>
      </c>
      <c r="H4064" t="s">
        <v>47055</v>
      </c>
      <c r="I4064" t="s">
        <v>47127</v>
      </c>
      <c r="J4064" t="s">
        <v>47128</v>
      </c>
      <c r="K4064" t="s">
        <v>47113</v>
      </c>
      <c r="L4064">
        <v>22.51</v>
      </c>
      <c r="M4064">
        <v>33</v>
      </c>
      <c r="N4064">
        <v>0</v>
      </c>
      <c r="O4064">
        <v>33</v>
      </c>
      <c r="P4064">
        <v>0</v>
      </c>
    </row>
    <row r="4065" spans="1:16" x14ac:dyDescent="0.25">
      <c r="A4065" t="s">
        <v>26477</v>
      </c>
      <c r="B4065" t="s">
        <v>16580</v>
      </c>
      <c r="C4065" t="s">
        <v>2216</v>
      </c>
      <c r="D4065" t="str">
        <f>"1377"</f>
        <v>1377</v>
      </c>
      <c r="E4065" t="s">
        <v>74</v>
      </c>
      <c r="F4065" t="s">
        <v>15183</v>
      </c>
      <c r="G4065" t="s">
        <v>16235</v>
      </c>
      <c r="H4065" t="s">
        <v>47055</v>
      </c>
      <c r="I4065" t="s">
        <v>47127</v>
      </c>
      <c r="J4065" t="s">
        <v>47128</v>
      </c>
      <c r="K4065" t="s">
        <v>47113</v>
      </c>
      <c r="L4065">
        <v>22.51</v>
      </c>
      <c r="M4065">
        <v>33</v>
      </c>
      <c r="N4065">
        <v>0</v>
      </c>
      <c r="O4065">
        <v>33</v>
      </c>
      <c r="P4065">
        <v>0</v>
      </c>
    </row>
    <row r="4066" spans="1:16" x14ac:dyDescent="0.25">
      <c r="A4066" t="s">
        <v>26478</v>
      </c>
      <c r="B4066" t="s">
        <v>16580</v>
      </c>
      <c r="C4066" t="s">
        <v>2216</v>
      </c>
      <c r="D4066" t="str">
        <f>"1378"</f>
        <v>1378</v>
      </c>
      <c r="E4066" t="s">
        <v>388</v>
      </c>
      <c r="F4066" t="s">
        <v>15183</v>
      </c>
      <c r="G4066" t="s">
        <v>16235</v>
      </c>
      <c r="H4066" t="s">
        <v>47055</v>
      </c>
      <c r="I4066" t="s">
        <v>47127</v>
      </c>
      <c r="J4066" t="s">
        <v>47128</v>
      </c>
      <c r="K4066" t="s">
        <v>47113</v>
      </c>
      <c r="L4066">
        <v>22.51</v>
      </c>
      <c r="M4066">
        <v>33</v>
      </c>
      <c r="N4066">
        <v>0</v>
      </c>
      <c r="O4066">
        <v>33</v>
      </c>
      <c r="P4066">
        <v>0</v>
      </c>
    </row>
    <row r="4067" spans="1:16" x14ac:dyDescent="0.25">
      <c r="A4067" t="s">
        <v>26479</v>
      </c>
      <c r="B4067" t="s">
        <v>16580</v>
      </c>
      <c r="C4067" t="s">
        <v>2216</v>
      </c>
      <c r="D4067" t="str">
        <f>"1537"</f>
        <v>1537</v>
      </c>
      <c r="E4067" t="s">
        <v>16535</v>
      </c>
      <c r="F4067" t="s">
        <v>15183</v>
      </c>
      <c r="G4067" t="s">
        <v>16235</v>
      </c>
      <c r="H4067" t="s">
        <v>47055</v>
      </c>
      <c r="I4067" t="s">
        <v>47127</v>
      </c>
      <c r="J4067" t="s">
        <v>47128</v>
      </c>
      <c r="K4067" t="s">
        <v>47113</v>
      </c>
      <c r="L4067">
        <v>22.51</v>
      </c>
      <c r="M4067">
        <v>33</v>
      </c>
      <c r="N4067">
        <v>0</v>
      </c>
      <c r="O4067">
        <v>33</v>
      </c>
      <c r="P4067">
        <v>0</v>
      </c>
    </row>
    <row r="4068" spans="1:16" x14ac:dyDescent="0.25">
      <c r="A4068" t="s">
        <v>26480</v>
      </c>
      <c r="B4068" t="s">
        <v>16580</v>
      </c>
      <c r="C4068" t="s">
        <v>2216</v>
      </c>
      <c r="D4068" t="str">
        <f>"1700"</f>
        <v>1700</v>
      </c>
      <c r="E4068" t="s">
        <v>60</v>
      </c>
      <c r="F4068" t="s">
        <v>15183</v>
      </c>
      <c r="G4068" t="s">
        <v>16235</v>
      </c>
      <c r="H4068" t="s">
        <v>47055</v>
      </c>
      <c r="I4068" t="s">
        <v>47127</v>
      </c>
      <c r="J4068" t="s">
        <v>47128</v>
      </c>
      <c r="K4068" t="s">
        <v>47113</v>
      </c>
      <c r="L4068">
        <v>22.51</v>
      </c>
      <c r="M4068">
        <v>33</v>
      </c>
      <c r="N4068">
        <v>0</v>
      </c>
      <c r="O4068">
        <v>33</v>
      </c>
      <c r="P4068">
        <v>0</v>
      </c>
    </row>
    <row r="4069" spans="1:16" x14ac:dyDescent="0.25">
      <c r="A4069" t="s">
        <v>26481</v>
      </c>
      <c r="B4069" t="s">
        <v>16580</v>
      </c>
      <c r="C4069" t="s">
        <v>2216</v>
      </c>
      <c r="D4069" t="str">
        <f>"1704"</f>
        <v>1704</v>
      </c>
      <c r="E4069" t="s">
        <v>7181</v>
      </c>
      <c r="F4069" t="s">
        <v>15183</v>
      </c>
      <c r="G4069" t="s">
        <v>16235</v>
      </c>
      <c r="H4069" t="s">
        <v>47055</v>
      </c>
      <c r="I4069" t="s">
        <v>47127</v>
      </c>
      <c r="J4069" t="s">
        <v>47128</v>
      </c>
      <c r="K4069" t="s">
        <v>47113</v>
      </c>
      <c r="L4069">
        <v>22.51</v>
      </c>
      <c r="M4069">
        <v>33</v>
      </c>
      <c r="N4069">
        <v>0</v>
      </c>
      <c r="O4069">
        <v>33</v>
      </c>
      <c r="P4069">
        <v>0</v>
      </c>
    </row>
    <row r="4070" spans="1:16" x14ac:dyDescent="0.25">
      <c r="A4070" t="s">
        <v>26482</v>
      </c>
      <c r="B4070" t="s">
        <v>16580</v>
      </c>
      <c r="C4070" t="s">
        <v>2216</v>
      </c>
      <c r="D4070" t="str">
        <f>"2000"</f>
        <v>2000</v>
      </c>
      <c r="E4070" t="s">
        <v>248</v>
      </c>
      <c r="F4070" t="s">
        <v>15183</v>
      </c>
      <c r="G4070" t="s">
        <v>16235</v>
      </c>
      <c r="H4070" t="s">
        <v>47055</v>
      </c>
      <c r="I4070" t="s">
        <v>47127</v>
      </c>
      <c r="J4070" t="s">
        <v>47128</v>
      </c>
      <c r="K4070" t="s">
        <v>47113</v>
      </c>
      <c r="L4070">
        <v>22.51</v>
      </c>
      <c r="M4070">
        <v>33</v>
      </c>
      <c r="N4070">
        <v>0</v>
      </c>
      <c r="O4070">
        <v>33</v>
      </c>
      <c r="P4070">
        <v>0</v>
      </c>
    </row>
    <row r="4071" spans="1:16" x14ac:dyDescent="0.25">
      <c r="A4071" t="s">
        <v>26483</v>
      </c>
      <c r="B4071" t="s">
        <v>16580</v>
      </c>
      <c r="C4071" t="s">
        <v>2216</v>
      </c>
      <c r="D4071" t="str">
        <f>"3304"</f>
        <v>3304</v>
      </c>
      <c r="E4071" t="s">
        <v>16536</v>
      </c>
      <c r="F4071" t="s">
        <v>15183</v>
      </c>
      <c r="G4071" t="s">
        <v>16235</v>
      </c>
      <c r="H4071" t="s">
        <v>47055</v>
      </c>
      <c r="I4071" t="s">
        <v>47127</v>
      </c>
      <c r="J4071" t="s">
        <v>47128</v>
      </c>
      <c r="K4071" t="s">
        <v>47113</v>
      </c>
      <c r="L4071">
        <v>22.51</v>
      </c>
      <c r="M4071">
        <v>33</v>
      </c>
      <c r="N4071">
        <v>0</v>
      </c>
      <c r="O4071">
        <v>33</v>
      </c>
      <c r="P4071">
        <v>0</v>
      </c>
    </row>
    <row r="4072" spans="1:16" x14ac:dyDescent="0.25">
      <c r="A4072" t="s">
        <v>26484</v>
      </c>
      <c r="B4072" t="s">
        <v>16580</v>
      </c>
      <c r="C4072" t="s">
        <v>2216</v>
      </c>
      <c r="D4072" t="str">
        <f>"4000"</f>
        <v>4000</v>
      </c>
      <c r="E4072" t="s">
        <v>16537</v>
      </c>
      <c r="F4072" t="s">
        <v>15183</v>
      </c>
      <c r="G4072" t="s">
        <v>16235</v>
      </c>
      <c r="H4072" t="s">
        <v>47055</v>
      </c>
      <c r="I4072" t="s">
        <v>47127</v>
      </c>
      <c r="J4072" t="s">
        <v>47128</v>
      </c>
      <c r="K4072" t="s">
        <v>47113</v>
      </c>
      <c r="L4072">
        <v>22.51</v>
      </c>
      <c r="M4072">
        <v>33</v>
      </c>
      <c r="N4072">
        <v>0</v>
      </c>
      <c r="O4072">
        <v>33</v>
      </c>
      <c r="P4072">
        <v>0</v>
      </c>
    </row>
    <row r="4073" spans="1:16" x14ac:dyDescent="0.25">
      <c r="A4073" t="s">
        <v>26485</v>
      </c>
      <c r="B4073" t="s">
        <v>16580</v>
      </c>
      <c r="C4073" t="s">
        <v>2216</v>
      </c>
      <c r="D4073" t="str">
        <f>"4643"</f>
        <v>4643</v>
      </c>
      <c r="E4073" t="s">
        <v>205</v>
      </c>
      <c r="F4073" t="s">
        <v>15183</v>
      </c>
      <c r="G4073" t="s">
        <v>16235</v>
      </c>
      <c r="H4073" t="s">
        <v>47055</v>
      </c>
      <c r="I4073" t="s">
        <v>47127</v>
      </c>
      <c r="J4073" t="s">
        <v>47128</v>
      </c>
      <c r="K4073" t="s">
        <v>47113</v>
      </c>
      <c r="L4073">
        <v>22.51</v>
      </c>
      <c r="M4073">
        <v>33</v>
      </c>
      <c r="N4073">
        <v>0</v>
      </c>
      <c r="O4073">
        <v>33</v>
      </c>
      <c r="P4073">
        <v>0</v>
      </c>
    </row>
    <row r="4074" spans="1:16" x14ac:dyDescent="0.25">
      <c r="A4074" t="s">
        <v>26486</v>
      </c>
      <c r="B4074" t="s">
        <v>16580</v>
      </c>
      <c r="C4074" t="s">
        <v>2216</v>
      </c>
      <c r="D4074" t="str">
        <f>"4921"</f>
        <v>4921</v>
      </c>
      <c r="E4074" t="s">
        <v>4156</v>
      </c>
      <c r="F4074" t="s">
        <v>15183</v>
      </c>
      <c r="G4074" t="s">
        <v>16235</v>
      </c>
      <c r="H4074" t="s">
        <v>47055</v>
      </c>
      <c r="I4074" t="s">
        <v>47127</v>
      </c>
      <c r="J4074" t="s">
        <v>47128</v>
      </c>
      <c r="K4074" t="s">
        <v>47113</v>
      </c>
      <c r="L4074">
        <v>22.51</v>
      </c>
      <c r="M4074">
        <v>33</v>
      </c>
      <c r="N4074">
        <v>0</v>
      </c>
      <c r="O4074">
        <v>33</v>
      </c>
      <c r="P4074">
        <v>0</v>
      </c>
    </row>
    <row r="4075" spans="1:16" x14ac:dyDescent="0.25">
      <c r="A4075" t="s">
        <v>26487</v>
      </c>
      <c r="B4075" t="s">
        <v>16581</v>
      </c>
      <c r="C4075" t="s">
        <v>2216</v>
      </c>
      <c r="D4075" t="str">
        <f>"1001"</f>
        <v>1001</v>
      </c>
      <c r="E4075" t="s">
        <v>42</v>
      </c>
      <c r="F4075" t="s">
        <v>3750</v>
      </c>
      <c r="G4075" t="s">
        <v>16221</v>
      </c>
      <c r="H4075" t="s">
        <v>47055</v>
      </c>
      <c r="I4075" t="s">
        <v>47127</v>
      </c>
      <c r="J4075" t="s">
        <v>47128</v>
      </c>
      <c r="K4075" t="s">
        <v>47113</v>
      </c>
      <c r="L4075">
        <v>13.5</v>
      </c>
      <c r="M4075">
        <v>23</v>
      </c>
      <c r="N4075">
        <v>0</v>
      </c>
      <c r="O4075">
        <v>23</v>
      </c>
      <c r="P4075">
        <v>0</v>
      </c>
    </row>
    <row r="4076" spans="1:16" x14ac:dyDescent="0.25">
      <c r="A4076" t="s">
        <v>26488</v>
      </c>
      <c r="B4076" t="s">
        <v>16581</v>
      </c>
      <c r="C4076" t="s">
        <v>2216</v>
      </c>
      <c r="D4076" t="str">
        <f>"1200"</f>
        <v>1200</v>
      </c>
      <c r="E4076" t="s">
        <v>16534</v>
      </c>
      <c r="F4076" t="s">
        <v>15183</v>
      </c>
      <c r="G4076" t="s">
        <v>16221</v>
      </c>
      <c r="H4076" t="s">
        <v>47055</v>
      </c>
      <c r="I4076" t="s">
        <v>47127</v>
      </c>
      <c r="J4076" t="s">
        <v>47128</v>
      </c>
      <c r="K4076" t="s">
        <v>47113</v>
      </c>
      <c r="L4076">
        <v>13.5</v>
      </c>
      <c r="M4076">
        <v>23</v>
      </c>
      <c r="N4076">
        <v>0</v>
      </c>
      <c r="O4076">
        <v>23</v>
      </c>
      <c r="P4076">
        <v>0</v>
      </c>
    </row>
    <row r="4077" spans="1:16" x14ac:dyDescent="0.25">
      <c r="A4077" t="s">
        <v>26489</v>
      </c>
      <c r="B4077" t="s">
        <v>16581</v>
      </c>
      <c r="C4077" t="s">
        <v>2216</v>
      </c>
      <c r="D4077" t="str">
        <f>"1285"</f>
        <v>1285</v>
      </c>
      <c r="E4077" t="s">
        <v>2148</v>
      </c>
      <c r="F4077" t="s">
        <v>15183</v>
      </c>
      <c r="G4077" t="s">
        <v>16221</v>
      </c>
      <c r="H4077" t="s">
        <v>47055</v>
      </c>
      <c r="I4077" t="s">
        <v>47127</v>
      </c>
      <c r="J4077" t="s">
        <v>47128</v>
      </c>
      <c r="K4077" t="s">
        <v>47113</v>
      </c>
      <c r="L4077">
        <v>13.5</v>
      </c>
      <c r="M4077">
        <v>23</v>
      </c>
      <c r="N4077">
        <v>0</v>
      </c>
      <c r="O4077">
        <v>23</v>
      </c>
      <c r="P4077">
        <v>0</v>
      </c>
    </row>
    <row r="4078" spans="1:16" x14ac:dyDescent="0.25">
      <c r="A4078" t="s">
        <v>26490</v>
      </c>
      <c r="B4078" t="s">
        <v>16581</v>
      </c>
      <c r="C4078" t="s">
        <v>2216</v>
      </c>
      <c r="D4078" t="str">
        <f>"1370"</f>
        <v>1370</v>
      </c>
      <c r="E4078" t="s">
        <v>2162</v>
      </c>
      <c r="F4078" t="s">
        <v>15183</v>
      </c>
      <c r="G4078" t="s">
        <v>16221</v>
      </c>
      <c r="H4078" t="s">
        <v>47055</v>
      </c>
      <c r="I4078" t="s">
        <v>47127</v>
      </c>
      <c r="J4078" t="s">
        <v>47128</v>
      </c>
      <c r="K4078" t="s">
        <v>47113</v>
      </c>
      <c r="L4078">
        <v>13.5</v>
      </c>
      <c r="M4078">
        <v>23</v>
      </c>
      <c r="N4078">
        <v>0</v>
      </c>
      <c r="O4078">
        <v>23</v>
      </c>
      <c r="P4078">
        <v>0</v>
      </c>
    </row>
    <row r="4079" spans="1:16" x14ac:dyDescent="0.25">
      <c r="A4079" t="s">
        <v>26491</v>
      </c>
      <c r="B4079" t="s">
        <v>16581</v>
      </c>
      <c r="C4079" t="s">
        <v>2216</v>
      </c>
      <c r="D4079" t="str">
        <f>"1377"</f>
        <v>1377</v>
      </c>
      <c r="E4079" t="s">
        <v>74</v>
      </c>
      <c r="F4079" t="s">
        <v>15183</v>
      </c>
      <c r="G4079" t="s">
        <v>16221</v>
      </c>
      <c r="H4079" t="s">
        <v>47055</v>
      </c>
      <c r="I4079" t="s">
        <v>47127</v>
      </c>
      <c r="J4079" t="s">
        <v>47128</v>
      </c>
      <c r="K4079" t="s">
        <v>47113</v>
      </c>
      <c r="L4079">
        <v>13.5</v>
      </c>
      <c r="M4079">
        <v>23</v>
      </c>
      <c r="N4079">
        <v>0</v>
      </c>
      <c r="O4079">
        <v>23</v>
      </c>
      <c r="P4079">
        <v>0</v>
      </c>
    </row>
    <row r="4080" spans="1:16" x14ac:dyDescent="0.25">
      <c r="A4080" t="s">
        <v>26492</v>
      </c>
      <c r="B4080" t="s">
        <v>16581</v>
      </c>
      <c r="C4080" t="s">
        <v>2216</v>
      </c>
      <c r="D4080" t="str">
        <f>"1378"</f>
        <v>1378</v>
      </c>
      <c r="E4080" t="s">
        <v>388</v>
      </c>
      <c r="F4080" t="s">
        <v>15183</v>
      </c>
      <c r="G4080" t="s">
        <v>16221</v>
      </c>
      <c r="H4080" t="s">
        <v>47055</v>
      </c>
      <c r="I4080" t="s">
        <v>47127</v>
      </c>
      <c r="J4080" t="s">
        <v>47128</v>
      </c>
      <c r="K4080" t="s">
        <v>47113</v>
      </c>
      <c r="L4080">
        <v>13.5</v>
      </c>
      <c r="M4080">
        <v>23</v>
      </c>
      <c r="N4080">
        <v>0</v>
      </c>
      <c r="O4080">
        <v>23</v>
      </c>
      <c r="P4080">
        <v>0</v>
      </c>
    </row>
    <row r="4081" spans="1:16" x14ac:dyDescent="0.25">
      <c r="A4081" t="s">
        <v>26493</v>
      </c>
      <c r="B4081" t="s">
        <v>16581</v>
      </c>
      <c r="C4081" t="s">
        <v>2216</v>
      </c>
      <c r="D4081" t="str">
        <f>"1537"</f>
        <v>1537</v>
      </c>
      <c r="E4081" t="s">
        <v>16535</v>
      </c>
      <c r="F4081" t="s">
        <v>15183</v>
      </c>
      <c r="G4081" t="s">
        <v>16221</v>
      </c>
      <c r="H4081" t="s">
        <v>47055</v>
      </c>
      <c r="I4081" t="s">
        <v>47127</v>
      </c>
      <c r="J4081" t="s">
        <v>47128</v>
      </c>
      <c r="K4081" t="s">
        <v>47113</v>
      </c>
      <c r="L4081">
        <v>13.5</v>
      </c>
      <c r="M4081">
        <v>23</v>
      </c>
      <c r="N4081">
        <v>0</v>
      </c>
      <c r="O4081">
        <v>23</v>
      </c>
      <c r="P4081">
        <v>0</v>
      </c>
    </row>
    <row r="4082" spans="1:16" x14ac:dyDescent="0.25">
      <c r="A4082" t="s">
        <v>26494</v>
      </c>
      <c r="B4082" t="s">
        <v>16581</v>
      </c>
      <c r="C4082" t="s">
        <v>2216</v>
      </c>
      <c r="D4082" t="str">
        <f>"1700"</f>
        <v>1700</v>
      </c>
      <c r="E4082" t="s">
        <v>60</v>
      </c>
      <c r="F4082" t="s">
        <v>15183</v>
      </c>
      <c r="G4082" t="s">
        <v>16221</v>
      </c>
      <c r="H4082" t="s">
        <v>47055</v>
      </c>
      <c r="I4082" t="s">
        <v>47127</v>
      </c>
      <c r="J4082" t="s">
        <v>47128</v>
      </c>
      <c r="K4082" t="s">
        <v>47113</v>
      </c>
      <c r="L4082">
        <v>13.5</v>
      </c>
      <c r="M4082">
        <v>23</v>
      </c>
      <c r="N4082">
        <v>0</v>
      </c>
      <c r="O4082">
        <v>23</v>
      </c>
      <c r="P4082">
        <v>0</v>
      </c>
    </row>
    <row r="4083" spans="1:16" x14ac:dyDescent="0.25">
      <c r="A4083" t="s">
        <v>26495</v>
      </c>
      <c r="B4083" t="s">
        <v>16581</v>
      </c>
      <c r="C4083" t="s">
        <v>2216</v>
      </c>
      <c r="D4083" t="str">
        <f>"1704"</f>
        <v>1704</v>
      </c>
      <c r="E4083" t="s">
        <v>7181</v>
      </c>
      <c r="F4083" t="s">
        <v>15183</v>
      </c>
      <c r="G4083" t="s">
        <v>16221</v>
      </c>
      <c r="H4083" t="s">
        <v>47055</v>
      </c>
      <c r="I4083" t="s">
        <v>47127</v>
      </c>
      <c r="J4083" t="s">
        <v>47128</v>
      </c>
      <c r="K4083" t="s">
        <v>47113</v>
      </c>
      <c r="L4083">
        <v>13.5</v>
      </c>
      <c r="M4083">
        <v>23</v>
      </c>
      <c r="N4083">
        <v>0</v>
      </c>
      <c r="O4083">
        <v>23</v>
      </c>
      <c r="P4083">
        <v>0</v>
      </c>
    </row>
    <row r="4084" spans="1:16" x14ac:dyDescent="0.25">
      <c r="A4084" t="s">
        <v>26496</v>
      </c>
      <c r="B4084" t="s">
        <v>16581</v>
      </c>
      <c r="C4084" t="s">
        <v>2216</v>
      </c>
      <c r="D4084" t="str">
        <f>"2000"</f>
        <v>2000</v>
      </c>
      <c r="E4084" t="s">
        <v>248</v>
      </c>
      <c r="F4084" t="s">
        <v>15183</v>
      </c>
      <c r="G4084" t="s">
        <v>16221</v>
      </c>
      <c r="H4084" t="s">
        <v>47055</v>
      </c>
      <c r="I4084" t="s">
        <v>47127</v>
      </c>
      <c r="J4084" t="s">
        <v>47128</v>
      </c>
      <c r="K4084" t="s">
        <v>47113</v>
      </c>
      <c r="L4084">
        <v>13.5</v>
      </c>
      <c r="M4084">
        <v>23</v>
      </c>
      <c r="N4084">
        <v>0</v>
      </c>
      <c r="O4084">
        <v>23</v>
      </c>
      <c r="P4084">
        <v>0</v>
      </c>
    </row>
    <row r="4085" spans="1:16" x14ac:dyDescent="0.25">
      <c r="A4085" t="s">
        <v>26497</v>
      </c>
      <c r="B4085" t="s">
        <v>16581</v>
      </c>
      <c r="C4085" t="s">
        <v>2216</v>
      </c>
      <c r="D4085" t="str">
        <f>"3304"</f>
        <v>3304</v>
      </c>
      <c r="E4085" t="s">
        <v>16536</v>
      </c>
      <c r="F4085" t="s">
        <v>15183</v>
      </c>
      <c r="G4085" t="s">
        <v>16221</v>
      </c>
      <c r="H4085" t="s">
        <v>47055</v>
      </c>
      <c r="I4085" t="s">
        <v>47127</v>
      </c>
      <c r="J4085" t="s">
        <v>47128</v>
      </c>
      <c r="K4085" t="s">
        <v>47113</v>
      </c>
      <c r="L4085">
        <v>13.5</v>
      </c>
      <c r="M4085">
        <v>23</v>
      </c>
      <c r="N4085">
        <v>0</v>
      </c>
      <c r="O4085">
        <v>23</v>
      </c>
      <c r="P4085">
        <v>0</v>
      </c>
    </row>
    <row r="4086" spans="1:16" x14ac:dyDescent="0.25">
      <c r="A4086" t="s">
        <v>26498</v>
      </c>
      <c r="B4086" t="s">
        <v>16581</v>
      </c>
      <c r="C4086" t="s">
        <v>2216</v>
      </c>
      <c r="D4086" t="str">
        <f>"4000"</f>
        <v>4000</v>
      </c>
      <c r="E4086" t="s">
        <v>16537</v>
      </c>
      <c r="F4086" t="s">
        <v>15183</v>
      </c>
      <c r="G4086" t="s">
        <v>16221</v>
      </c>
      <c r="H4086" t="s">
        <v>47055</v>
      </c>
      <c r="I4086" t="s">
        <v>47127</v>
      </c>
      <c r="J4086" t="s">
        <v>47128</v>
      </c>
      <c r="K4086" t="s">
        <v>47113</v>
      </c>
      <c r="L4086">
        <v>13.5</v>
      </c>
      <c r="M4086">
        <v>23</v>
      </c>
      <c r="N4086">
        <v>0</v>
      </c>
      <c r="O4086">
        <v>23</v>
      </c>
      <c r="P4086">
        <v>0</v>
      </c>
    </row>
    <row r="4087" spans="1:16" x14ac:dyDescent="0.25">
      <c r="A4087" t="s">
        <v>26499</v>
      </c>
      <c r="B4087" t="s">
        <v>16581</v>
      </c>
      <c r="C4087" t="s">
        <v>2216</v>
      </c>
      <c r="D4087" t="str">
        <f>"4643"</f>
        <v>4643</v>
      </c>
      <c r="E4087" t="s">
        <v>205</v>
      </c>
      <c r="F4087" t="s">
        <v>15183</v>
      </c>
      <c r="G4087" t="s">
        <v>16221</v>
      </c>
      <c r="H4087" t="s">
        <v>47055</v>
      </c>
      <c r="I4087" t="s">
        <v>47127</v>
      </c>
      <c r="J4087" t="s">
        <v>47128</v>
      </c>
      <c r="K4087" t="s">
        <v>47113</v>
      </c>
      <c r="L4087">
        <v>13.5</v>
      </c>
      <c r="M4087">
        <v>23</v>
      </c>
      <c r="N4087">
        <v>0</v>
      </c>
      <c r="O4087">
        <v>23</v>
      </c>
      <c r="P4087">
        <v>0</v>
      </c>
    </row>
    <row r="4088" spans="1:16" x14ac:dyDescent="0.25">
      <c r="A4088" t="s">
        <v>26500</v>
      </c>
      <c r="B4088" t="s">
        <v>16581</v>
      </c>
      <c r="C4088" t="s">
        <v>2216</v>
      </c>
      <c r="D4088" t="str">
        <f>"4921"</f>
        <v>4921</v>
      </c>
      <c r="E4088" t="s">
        <v>4156</v>
      </c>
      <c r="F4088" t="s">
        <v>15183</v>
      </c>
      <c r="G4088" t="s">
        <v>16221</v>
      </c>
      <c r="H4088" t="s">
        <v>47055</v>
      </c>
      <c r="I4088" t="s">
        <v>47127</v>
      </c>
      <c r="J4088" t="s">
        <v>47128</v>
      </c>
      <c r="K4088" t="s">
        <v>47113</v>
      </c>
      <c r="L4088">
        <v>13.5</v>
      </c>
      <c r="M4088">
        <v>23</v>
      </c>
      <c r="N4088">
        <v>0</v>
      </c>
      <c r="O4088">
        <v>23</v>
      </c>
      <c r="P4088">
        <v>0</v>
      </c>
    </row>
    <row r="4089" spans="1:16" x14ac:dyDescent="0.25">
      <c r="A4089" t="s">
        <v>26501</v>
      </c>
      <c r="B4089" t="s">
        <v>16582</v>
      </c>
      <c r="C4089" t="s">
        <v>2216</v>
      </c>
      <c r="D4089" t="str">
        <f>"1001"</f>
        <v>1001</v>
      </c>
      <c r="E4089" t="s">
        <v>42</v>
      </c>
      <c r="F4089" t="s">
        <v>15183</v>
      </c>
      <c r="G4089" t="s">
        <v>16221</v>
      </c>
      <c r="H4089" t="s">
        <v>47055</v>
      </c>
      <c r="I4089" t="s">
        <v>47127</v>
      </c>
      <c r="J4089" t="s">
        <v>47128</v>
      </c>
      <c r="K4089" t="s">
        <v>47113</v>
      </c>
      <c r="L4089">
        <v>13.5</v>
      </c>
      <c r="M4089">
        <v>23</v>
      </c>
      <c r="N4089">
        <v>0</v>
      </c>
      <c r="O4089">
        <v>23</v>
      </c>
      <c r="P4089">
        <v>0</v>
      </c>
    </row>
    <row r="4090" spans="1:16" x14ac:dyDescent="0.25">
      <c r="A4090" t="s">
        <v>26502</v>
      </c>
      <c r="B4090" t="s">
        <v>16582</v>
      </c>
      <c r="C4090" t="s">
        <v>2216</v>
      </c>
      <c r="D4090" t="str">
        <f>"1200"</f>
        <v>1200</v>
      </c>
      <c r="E4090" t="s">
        <v>16534</v>
      </c>
      <c r="F4090" t="s">
        <v>15183</v>
      </c>
      <c r="G4090" t="s">
        <v>16221</v>
      </c>
      <c r="H4090" t="s">
        <v>47055</v>
      </c>
      <c r="I4090" t="s">
        <v>47127</v>
      </c>
      <c r="J4090" t="s">
        <v>47128</v>
      </c>
      <c r="K4090" t="s">
        <v>47113</v>
      </c>
      <c r="L4090">
        <v>13.5</v>
      </c>
      <c r="M4090">
        <v>23</v>
      </c>
      <c r="N4090">
        <v>0</v>
      </c>
      <c r="O4090">
        <v>23</v>
      </c>
      <c r="P4090">
        <v>0</v>
      </c>
    </row>
    <row r="4091" spans="1:16" x14ac:dyDescent="0.25">
      <c r="A4091" t="s">
        <v>26503</v>
      </c>
      <c r="B4091" t="s">
        <v>16582</v>
      </c>
      <c r="C4091" t="s">
        <v>2216</v>
      </c>
      <c r="D4091" t="str">
        <f>"1285"</f>
        <v>1285</v>
      </c>
      <c r="E4091" t="s">
        <v>2148</v>
      </c>
      <c r="F4091" t="s">
        <v>15183</v>
      </c>
      <c r="G4091" t="s">
        <v>16221</v>
      </c>
      <c r="H4091" t="s">
        <v>47055</v>
      </c>
      <c r="I4091" t="s">
        <v>47127</v>
      </c>
      <c r="J4091" t="s">
        <v>47128</v>
      </c>
      <c r="K4091" t="s">
        <v>47113</v>
      </c>
      <c r="L4091">
        <v>13.5</v>
      </c>
      <c r="M4091">
        <v>23</v>
      </c>
      <c r="N4091">
        <v>0</v>
      </c>
      <c r="O4091">
        <v>23</v>
      </c>
      <c r="P4091">
        <v>0</v>
      </c>
    </row>
    <row r="4092" spans="1:16" x14ac:dyDescent="0.25">
      <c r="A4092" t="s">
        <v>26504</v>
      </c>
      <c r="B4092" t="s">
        <v>16582</v>
      </c>
      <c r="C4092" t="s">
        <v>2216</v>
      </c>
      <c r="D4092" t="str">
        <f>"1370"</f>
        <v>1370</v>
      </c>
      <c r="E4092" t="s">
        <v>2162</v>
      </c>
      <c r="F4092" t="s">
        <v>15183</v>
      </c>
      <c r="G4092" t="s">
        <v>16221</v>
      </c>
      <c r="H4092" t="s">
        <v>47055</v>
      </c>
      <c r="I4092" t="s">
        <v>47127</v>
      </c>
      <c r="J4092" t="s">
        <v>47128</v>
      </c>
      <c r="K4092" t="s">
        <v>47113</v>
      </c>
      <c r="L4092">
        <v>13.5</v>
      </c>
      <c r="M4092">
        <v>23</v>
      </c>
      <c r="N4092">
        <v>0</v>
      </c>
      <c r="O4092">
        <v>23</v>
      </c>
      <c r="P4092">
        <v>0</v>
      </c>
    </row>
    <row r="4093" spans="1:16" x14ac:dyDescent="0.25">
      <c r="A4093" t="s">
        <v>26505</v>
      </c>
      <c r="B4093" t="s">
        <v>16582</v>
      </c>
      <c r="C4093" t="s">
        <v>2216</v>
      </c>
      <c r="D4093" t="str">
        <f>"1377"</f>
        <v>1377</v>
      </c>
      <c r="E4093" t="s">
        <v>74</v>
      </c>
      <c r="F4093" t="s">
        <v>15183</v>
      </c>
      <c r="G4093" t="s">
        <v>16221</v>
      </c>
      <c r="H4093" t="s">
        <v>47055</v>
      </c>
      <c r="I4093" t="s">
        <v>47127</v>
      </c>
      <c r="J4093" t="s">
        <v>47128</v>
      </c>
      <c r="K4093" t="s">
        <v>47113</v>
      </c>
      <c r="L4093">
        <v>13.5</v>
      </c>
      <c r="M4093">
        <v>23</v>
      </c>
      <c r="N4093">
        <v>0</v>
      </c>
      <c r="O4093">
        <v>23</v>
      </c>
      <c r="P4093">
        <v>0</v>
      </c>
    </row>
    <row r="4094" spans="1:16" x14ac:dyDescent="0.25">
      <c r="A4094" t="s">
        <v>26506</v>
      </c>
      <c r="B4094" t="s">
        <v>16582</v>
      </c>
      <c r="C4094" t="s">
        <v>2216</v>
      </c>
      <c r="D4094" t="str">
        <f>"1378"</f>
        <v>1378</v>
      </c>
      <c r="E4094" t="s">
        <v>388</v>
      </c>
      <c r="F4094" t="s">
        <v>15183</v>
      </c>
      <c r="G4094" t="s">
        <v>16221</v>
      </c>
      <c r="H4094" t="s">
        <v>47055</v>
      </c>
      <c r="I4094" t="s">
        <v>47127</v>
      </c>
      <c r="J4094" t="s">
        <v>47128</v>
      </c>
      <c r="K4094" t="s">
        <v>47113</v>
      </c>
      <c r="L4094">
        <v>13.5</v>
      </c>
      <c r="M4094">
        <v>23</v>
      </c>
      <c r="N4094">
        <v>0</v>
      </c>
      <c r="O4094">
        <v>23</v>
      </c>
      <c r="P4094">
        <v>0</v>
      </c>
    </row>
    <row r="4095" spans="1:16" x14ac:dyDescent="0.25">
      <c r="A4095" t="s">
        <v>26507</v>
      </c>
      <c r="B4095" t="s">
        <v>16582</v>
      </c>
      <c r="C4095" t="s">
        <v>2216</v>
      </c>
      <c r="D4095" t="str">
        <f>"1537"</f>
        <v>1537</v>
      </c>
      <c r="E4095" t="s">
        <v>16535</v>
      </c>
      <c r="F4095" t="s">
        <v>15183</v>
      </c>
      <c r="G4095" t="s">
        <v>16221</v>
      </c>
      <c r="H4095" t="s">
        <v>47055</v>
      </c>
      <c r="I4095" t="s">
        <v>47127</v>
      </c>
      <c r="J4095" t="s">
        <v>47128</v>
      </c>
      <c r="K4095" t="s">
        <v>47113</v>
      </c>
      <c r="L4095">
        <v>13.5</v>
      </c>
      <c r="M4095">
        <v>23</v>
      </c>
      <c r="N4095">
        <v>0</v>
      </c>
      <c r="O4095">
        <v>23</v>
      </c>
      <c r="P4095">
        <v>0</v>
      </c>
    </row>
    <row r="4096" spans="1:16" x14ac:dyDescent="0.25">
      <c r="A4096" t="s">
        <v>26508</v>
      </c>
      <c r="B4096" t="s">
        <v>16582</v>
      </c>
      <c r="C4096" t="s">
        <v>2216</v>
      </c>
      <c r="D4096" t="str">
        <f>"1700"</f>
        <v>1700</v>
      </c>
      <c r="E4096" t="s">
        <v>60</v>
      </c>
      <c r="F4096" t="s">
        <v>15183</v>
      </c>
      <c r="G4096" t="s">
        <v>16221</v>
      </c>
      <c r="H4096" t="s">
        <v>47055</v>
      </c>
      <c r="I4096" t="s">
        <v>47127</v>
      </c>
      <c r="J4096" t="s">
        <v>47128</v>
      </c>
      <c r="K4096" t="s">
        <v>47113</v>
      </c>
      <c r="L4096">
        <v>13.5</v>
      </c>
      <c r="M4096">
        <v>23</v>
      </c>
      <c r="N4096">
        <v>0</v>
      </c>
      <c r="O4096">
        <v>23</v>
      </c>
      <c r="P4096">
        <v>0</v>
      </c>
    </row>
    <row r="4097" spans="1:16" x14ac:dyDescent="0.25">
      <c r="A4097" t="s">
        <v>26509</v>
      </c>
      <c r="B4097" t="s">
        <v>16582</v>
      </c>
      <c r="C4097" t="s">
        <v>2216</v>
      </c>
      <c r="D4097" t="str">
        <f>"1704"</f>
        <v>1704</v>
      </c>
      <c r="E4097" t="s">
        <v>7181</v>
      </c>
      <c r="F4097" t="s">
        <v>15183</v>
      </c>
      <c r="G4097" t="s">
        <v>16221</v>
      </c>
      <c r="H4097" t="s">
        <v>47055</v>
      </c>
      <c r="I4097" t="s">
        <v>47127</v>
      </c>
      <c r="J4097" t="s">
        <v>47128</v>
      </c>
      <c r="K4097" t="s">
        <v>47113</v>
      </c>
      <c r="L4097">
        <v>13.5</v>
      </c>
      <c r="M4097">
        <v>23</v>
      </c>
      <c r="N4097">
        <v>0</v>
      </c>
      <c r="O4097">
        <v>23</v>
      </c>
      <c r="P4097">
        <v>0</v>
      </c>
    </row>
    <row r="4098" spans="1:16" x14ac:dyDescent="0.25">
      <c r="A4098" t="s">
        <v>26510</v>
      </c>
      <c r="B4098" t="s">
        <v>16582</v>
      </c>
      <c r="C4098" t="s">
        <v>2216</v>
      </c>
      <c r="D4098" t="str">
        <f>"2000"</f>
        <v>2000</v>
      </c>
      <c r="E4098" t="s">
        <v>248</v>
      </c>
      <c r="F4098" t="s">
        <v>15183</v>
      </c>
      <c r="G4098" t="s">
        <v>16221</v>
      </c>
      <c r="H4098" t="s">
        <v>47055</v>
      </c>
      <c r="I4098" t="s">
        <v>47127</v>
      </c>
      <c r="J4098" t="s">
        <v>47128</v>
      </c>
      <c r="K4098" t="s">
        <v>47113</v>
      </c>
      <c r="L4098">
        <v>13.5</v>
      </c>
      <c r="M4098">
        <v>23</v>
      </c>
      <c r="N4098">
        <v>0</v>
      </c>
      <c r="O4098">
        <v>23</v>
      </c>
      <c r="P4098">
        <v>0</v>
      </c>
    </row>
    <row r="4099" spans="1:16" x14ac:dyDescent="0.25">
      <c r="A4099" t="s">
        <v>26511</v>
      </c>
      <c r="B4099" t="s">
        <v>16582</v>
      </c>
      <c r="C4099" t="s">
        <v>2216</v>
      </c>
      <c r="D4099" t="str">
        <f>"3304"</f>
        <v>3304</v>
      </c>
      <c r="E4099" t="s">
        <v>16536</v>
      </c>
      <c r="F4099" t="s">
        <v>15183</v>
      </c>
      <c r="G4099" t="s">
        <v>16221</v>
      </c>
      <c r="H4099" t="s">
        <v>47055</v>
      </c>
      <c r="I4099" t="s">
        <v>47127</v>
      </c>
      <c r="J4099" t="s">
        <v>47128</v>
      </c>
      <c r="K4099" t="s">
        <v>47113</v>
      </c>
      <c r="L4099">
        <v>13.5</v>
      </c>
      <c r="M4099">
        <v>23</v>
      </c>
      <c r="N4099">
        <v>0</v>
      </c>
      <c r="O4099">
        <v>23</v>
      </c>
      <c r="P4099">
        <v>0</v>
      </c>
    </row>
    <row r="4100" spans="1:16" x14ac:dyDescent="0.25">
      <c r="A4100" t="s">
        <v>26512</v>
      </c>
      <c r="B4100" t="s">
        <v>16582</v>
      </c>
      <c r="C4100" t="s">
        <v>2216</v>
      </c>
      <c r="D4100" t="str">
        <f>"4000"</f>
        <v>4000</v>
      </c>
      <c r="E4100" t="s">
        <v>16537</v>
      </c>
      <c r="F4100" t="s">
        <v>15183</v>
      </c>
      <c r="G4100" t="s">
        <v>16221</v>
      </c>
      <c r="H4100" t="s">
        <v>47055</v>
      </c>
      <c r="I4100" t="s">
        <v>47127</v>
      </c>
      <c r="J4100" t="s">
        <v>47128</v>
      </c>
      <c r="K4100" t="s">
        <v>47113</v>
      </c>
      <c r="L4100">
        <v>13.5</v>
      </c>
      <c r="M4100">
        <v>23</v>
      </c>
      <c r="N4100">
        <v>0</v>
      </c>
      <c r="O4100">
        <v>23</v>
      </c>
      <c r="P4100">
        <v>0</v>
      </c>
    </row>
    <row r="4101" spans="1:16" x14ac:dyDescent="0.25">
      <c r="A4101" t="s">
        <v>26513</v>
      </c>
      <c r="B4101" t="s">
        <v>16582</v>
      </c>
      <c r="C4101" t="s">
        <v>2216</v>
      </c>
      <c r="D4101" t="str">
        <f>"4643"</f>
        <v>4643</v>
      </c>
      <c r="E4101" t="s">
        <v>205</v>
      </c>
      <c r="F4101" t="s">
        <v>15183</v>
      </c>
      <c r="G4101" t="s">
        <v>16221</v>
      </c>
      <c r="H4101" t="s">
        <v>47055</v>
      </c>
      <c r="I4101" t="s">
        <v>47127</v>
      </c>
      <c r="J4101" t="s">
        <v>47128</v>
      </c>
      <c r="K4101" t="s">
        <v>47113</v>
      </c>
      <c r="L4101">
        <v>13.5</v>
      </c>
      <c r="M4101">
        <v>23</v>
      </c>
      <c r="N4101">
        <v>0</v>
      </c>
      <c r="O4101">
        <v>23</v>
      </c>
      <c r="P4101">
        <v>0</v>
      </c>
    </row>
    <row r="4102" spans="1:16" x14ac:dyDescent="0.25">
      <c r="A4102" t="s">
        <v>26514</v>
      </c>
      <c r="B4102" t="s">
        <v>16582</v>
      </c>
      <c r="C4102" t="s">
        <v>2216</v>
      </c>
      <c r="D4102" t="str">
        <f>"4921"</f>
        <v>4921</v>
      </c>
      <c r="E4102" t="s">
        <v>4156</v>
      </c>
      <c r="F4102" t="s">
        <v>15183</v>
      </c>
      <c r="G4102" t="s">
        <v>16221</v>
      </c>
      <c r="H4102" t="s">
        <v>47055</v>
      </c>
      <c r="I4102" t="s">
        <v>47127</v>
      </c>
      <c r="J4102" t="s">
        <v>47128</v>
      </c>
      <c r="K4102" t="s">
        <v>47113</v>
      </c>
      <c r="L4102">
        <v>13.5</v>
      </c>
      <c r="M4102">
        <v>23</v>
      </c>
      <c r="N4102">
        <v>0</v>
      </c>
      <c r="O4102">
        <v>23</v>
      </c>
      <c r="P4102">
        <v>0</v>
      </c>
    </row>
    <row r="4103" spans="1:16" x14ac:dyDescent="0.25">
      <c r="A4103" t="s">
        <v>26515</v>
      </c>
      <c r="B4103" t="s">
        <v>16583</v>
      </c>
      <c r="C4103" t="s">
        <v>2212</v>
      </c>
      <c r="D4103" t="str">
        <f>"1001"</f>
        <v>1001</v>
      </c>
      <c r="E4103" t="s">
        <v>42</v>
      </c>
      <c r="F4103" t="s">
        <v>15183</v>
      </c>
      <c r="G4103" t="s">
        <v>16235</v>
      </c>
      <c r="H4103" t="s">
        <v>47055</v>
      </c>
      <c r="I4103" t="s">
        <v>47127</v>
      </c>
      <c r="J4103" t="s">
        <v>47128</v>
      </c>
      <c r="K4103" t="s">
        <v>47113</v>
      </c>
      <c r="L4103">
        <v>15.75</v>
      </c>
      <c r="M4103">
        <v>25</v>
      </c>
      <c r="N4103">
        <v>0</v>
      </c>
      <c r="O4103">
        <v>25</v>
      </c>
      <c r="P4103">
        <v>0</v>
      </c>
    </row>
    <row r="4104" spans="1:16" x14ac:dyDescent="0.25">
      <c r="A4104" t="s">
        <v>26516</v>
      </c>
      <c r="B4104" t="s">
        <v>16583</v>
      </c>
      <c r="C4104" t="s">
        <v>2212</v>
      </c>
      <c r="D4104" t="str">
        <f>"1200"</f>
        <v>1200</v>
      </c>
      <c r="E4104" t="s">
        <v>16534</v>
      </c>
      <c r="F4104" t="s">
        <v>15183</v>
      </c>
      <c r="G4104" t="s">
        <v>16235</v>
      </c>
      <c r="H4104" t="s">
        <v>47055</v>
      </c>
      <c r="I4104" t="s">
        <v>47127</v>
      </c>
      <c r="J4104" t="s">
        <v>47128</v>
      </c>
      <c r="K4104" t="s">
        <v>47113</v>
      </c>
      <c r="L4104">
        <v>15.75</v>
      </c>
      <c r="M4104">
        <v>25</v>
      </c>
      <c r="N4104">
        <v>0</v>
      </c>
      <c r="O4104">
        <v>25</v>
      </c>
      <c r="P4104">
        <v>0</v>
      </c>
    </row>
    <row r="4105" spans="1:16" x14ac:dyDescent="0.25">
      <c r="A4105" t="s">
        <v>26517</v>
      </c>
      <c r="B4105" t="s">
        <v>16583</v>
      </c>
      <c r="C4105" t="s">
        <v>2212</v>
      </c>
      <c r="D4105" t="str">
        <f>"1285"</f>
        <v>1285</v>
      </c>
      <c r="E4105" t="s">
        <v>2148</v>
      </c>
      <c r="F4105" t="s">
        <v>15183</v>
      </c>
      <c r="G4105" t="s">
        <v>16235</v>
      </c>
      <c r="H4105" t="s">
        <v>47055</v>
      </c>
      <c r="I4105" t="s">
        <v>47127</v>
      </c>
      <c r="J4105" t="s">
        <v>47128</v>
      </c>
      <c r="K4105" t="s">
        <v>47113</v>
      </c>
      <c r="L4105">
        <v>15.75</v>
      </c>
      <c r="M4105">
        <v>25</v>
      </c>
      <c r="N4105">
        <v>0</v>
      </c>
      <c r="O4105">
        <v>25</v>
      </c>
      <c r="P4105">
        <v>0</v>
      </c>
    </row>
    <row r="4106" spans="1:16" x14ac:dyDescent="0.25">
      <c r="A4106" t="s">
        <v>26518</v>
      </c>
      <c r="B4106" t="s">
        <v>16583</v>
      </c>
      <c r="C4106" t="s">
        <v>2212</v>
      </c>
      <c r="D4106" t="str">
        <f>"1370"</f>
        <v>1370</v>
      </c>
      <c r="E4106" t="s">
        <v>2162</v>
      </c>
      <c r="F4106" t="s">
        <v>15183</v>
      </c>
      <c r="G4106" t="s">
        <v>16235</v>
      </c>
      <c r="H4106" t="s">
        <v>47055</v>
      </c>
      <c r="I4106" t="s">
        <v>47127</v>
      </c>
      <c r="J4106" t="s">
        <v>47128</v>
      </c>
      <c r="K4106" t="s">
        <v>47113</v>
      </c>
      <c r="L4106">
        <v>15.75</v>
      </c>
      <c r="M4106">
        <v>25</v>
      </c>
      <c r="N4106">
        <v>0</v>
      </c>
      <c r="O4106">
        <v>25</v>
      </c>
      <c r="P4106">
        <v>0</v>
      </c>
    </row>
    <row r="4107" spans="1:16" x14ac:dyDescent="0.25">
      <c r="A4107" t="s">
        <v>26519</v>
      </c>
      <c r="B4107" t="s">
        <v>16583</v>
      </c>
      <c r="C4107" t="s">
        <v>2212</v>
      </c>
      <c r="D4107" t="str">
        <f>"1377"</f>
        <v>1377</v>
      </c>
      <c r="E4107" t="s">
        <v>74</v>
      </c>
      <c r="F4107" t="s">
        <v>15183</v>
      </c>
      <c r="G4107" t="s">
        <v>16235</v>
      </c>
      <c r="H4107" t="s">
        <v>47055</v>
      </c>
      <c r="I4107" t="s">
        <v>47127</v>
      </c>
      <c r="J4107" t="s">
        <v>47128</v>
      </c>
      <c r="K4107" t="s">
        <v>47113</v>
      </c>
      <c r="L4107">
        <v>15.75</v>
      </c>
      <c r="M4107">
        <v>25</v>
      </c>
      <c r="N4107">
        <v>0</v>
      </c>
      <c r="O4107">
        <v>25</v>
      </c>
      <c r="P4107">
        <v>0</v>
      </c>
    </row>
    <row r="4108" spans="1:16" x14ac:dyDescent="0.25">
      <c r="A4108" t="s">
        <v>26520</v>
      </c>
      <c r="B4108" t="s">
        <v>16583</v>
      </c>
      <c r="C4108" t="s">
        <v>2212</v>
      </c>
      <c r="D4108" t="str">
        <f>"1378"</f>
        <v>1378</v>
      </c>
      <c r="E4108" t="s">
        <v>388</v>
      </c>
      <c r="F4108" t="s">
        <v>15183</v>
      </c>
      <c r="G4108" t="s">
        <v>16235</v>
      </c>
      <c r="H4108" t="s">
        <v>47055</v>
      </c>
      <c r="I4108" t="s">
        <v>47127</v>
      </c>
      <c r="J4108" t="s">
        <v>47128</v>
      </c>
      <c r="K4108" t="s">
        <v>47113</v>
      </c>
      <c r="L4108">
        <v>15.75</v>
      </c>
      <c r="M4108">
        <v>25</v>
      </c>
      <c r="N4108">
        <v>0</v>
      </c>
      <c r="O4108">
        <v>25</v>
      </c>
      <c r="P4108">
        <v>0</v>
      </c>
    </row>
    <row r="4109" spans="1:16" x14ac:dyDescent="0.25">
      <c r="A4109" t="s">
        <v>26521</v>
      </c>
      <c r="B4109" t="s">
        <v>16583</v>
      </c>
      <c r="C4109" t="s">
        <v>2212</v>
      </c>
      <c r="D4109" t="str">
        <f>"1537"</f>
        <v>1537</v>
      </c>
      <c r="E4109" t="s">
        <v>16535</v>
      </c>
      <c r="F4109" t="s">
        <v>15183</v>
      </c>
      <c r="G4109" t="s">
        <v>16235</v>
      </c>
      <c r="H4109" t="s">
        <v>47055</v>
      </c>
      <c r="I4109" t="s">
        <v>47127</v>
      </c>
      <c r="J4109" t="s">
        <v>47128</v>
      </c>
      <c r="K4109" t="s">
        <v>47113</v>
      </c>
      <c r="L4109">
        <v>15.75</v>
      </c>
      <c r="M4109">
        <v>25</v>
      </c>
      <c r="N4109">
        <v>0</v>
      </c>
      <c r="O4109">
        <v>25</v>
      </c>
      <c r="P4109">
        <v>0</v>
      </c>
    </row>
    <row r="4110" spans="1:16" x14ac:dyDescent="0.25">
      <c r="A4110" t="s">
        <v>26522</v>
      </c>
      <c r="B4110" t="s">
        <v>16583</v>
      </c>
      <c r="C4110" t="s">
        <v>2212</v>
      </c>
      <c r="D4110" t="str">
        <f>"1700"</f>
        <v>1700</v>
      </c>
      <c r="E4110" t="s">
        <v>60</v>
      </c>
      <c r="F4110" t="s">
        <v>15183</v>
      </c>
      <c r="G4110" t="s">
        <v>16235</v>
      </c>
      <c r="H4110" t="s">
        <v>47055</v>
      </c>
      <c r="I4110" t="s">
        <v>47127</v>
      </c>
      <c r="J4110" t="s">
        <v>47128</v>
      </c>
      <c r="K4110" t="s">
        <v>47113</v>
      </c>
      <c r="L4110">
        <v>15.75</v>
      </c>
      <c r="M4110">
        <v>25</v>
      </c>
      <c r="N4110">
        <v>0</v>
      </c>
      <c r="O4110">
        <v>25</v>
      </c>
      <c r="P4110">
        <v>0</v>
      </c>
    </row>
    <row r="4111" spans="1:16" x14ac:dyDescent="0.25">
      <c r="A4111" t="s">
        <v>26523</v>
      </c>
      <c r="B4111" t="s">
        <v>16583</v>
      </c>
      <c r="C4111" t="s">
        <v>2212</v>
      </c>
      <c r="D4111" t="str">
        <f>"1704"</f>
        <v>1704</v>
      </c>
      <c r="E4111" t="s">
        <v>7181</v>
      </c>
      <c r="F4111" t="s">
        <v>15183</v>
      </c>
      <c r="G4111" t="s">
        <v>16235</v>
      </c>
      <c r="H4111" t="s">
        <v>47055</v>
      </c>
      <c r="I4111" t="s">
        <v>47127</v>
      </c>
      <c r="J4111" t="s">
        <v>47128</v>
      </c>
      <c r="K4111" t="s">
        <v>47113</v>
      </c>
      <c r="L4111">
        <v>15.75</v>
      </c>
      <c r="M4111">
        <v>25</v>
      </c>
      <c r="N4111">
        <v>0</v>
      </c>
      <c r="O4111">
        <v>25</v>
      </c>
      <c r="P4111">
        <v>0</v>
      </c>
    </row>
    <row r="4112" spans="1:16" x14ac:dyDescent="0.25">
      <c r="A4112" t="s">
        <v>26524</v>
      </c>
      <c r="B4112" t="s">
        <v>16583</v>
      </c>
      <c r="C4112" t="s">
        <v>2212</v>
      </c>
      <c r="D4112" t="str">
        <f>"2000"</f>
        <v>2000</v>
      </c>
      <c r="E4112" t="s">
        <v>248</v>
      </c>
      <c r="F4112" t="s">
        <v>15183</v>
      </c>
      <c r="G4112" t="s">
        <v>16235</v>
      </c>
      <c r="H4112" t="s">
        <v>47055</v>
      </c>
      <c r="I4112" t="s">
        <v>47127</v>
      </c>
      <c r="J4112" t="s">
        <v>47128</v>
      </c>
      <c r="K4112" t="s">
        <v>47113</v>
      </c>
      <c r="L4112">
        <v>15.75</v>
      </c>
      <c r="M4112">
        <v>25</v>
      </c>
      <c r="N4112">
        <v>0</v>
      </c>
      <c r="O4112">
        <v>25</v>
      </c>
      <c r="P4112">
        <v>0</v>
      </c>
    </row>
    <row r="4113" spans="1:16" x14ac:dyDescent="0.25">
      <c r="A4113" t="s">
        <v>16584</v>
      </c>
      <c r="B4113" t="s">
        <v>16583</v>
      </c>
      <c r="C4113" t="s">
        <v>2212</v>
      </c>
      <c r="D4113" t="str">
        <f>"3304"</f>
        <v>3304</v>
      </c>
      <c r="E4113" t="s">
        <v>16536</v>
      </c>
      <c r="F4113" t="s">
        <v>15183</v>
      </c>
      <c r="G4113" t="s">
        <v>16235</v>
      </c>
      <c r="H4113" t="s">
        <v>47055</v>
      </c>
      <c r="I4113" t="s">
        <v>47127</v>
      </c>
      <c r="J4113" t="s">
        <v>47128</v>
      </c>
      <c r="K4113" t="s">
        <v>47113</v>
      </c>
      <c r="L4113">
        <v>15.75</v>
      </c>
      <c r="M4113">
        <v>25</v>
      </c>
      <c r="N4113">
        <v>0</v>
      </c>
      <c r="O4113">
        <v>25</v>
      </c>
      <c r="P4113">
        <v>0</v>
      </c>
    </row>
    <row r="4114" spans="1:16" x14ac:dyDescent="0.25">
      <c r="A4114" t="s">
        <v>16585</v>
      </c>
      <c r="B4114" t="s">
        <v>16583</v>
      </c>
      <c r="C4114" t="s">
        <v>2212</v>
      </c>
      <c r="D4114" t="str">
        <f>"4000"</f>
        <v>4000</v>
      </c>
      <c r="E4114" t="s">
        <v>16537</v>
      </c>
      <c r="F4114" t="s">
        <v>15183</v>
      </c>
      <c r="G4114" t="s">
        <v>16235</v>
      </c>
      <c r="H4114" t="s">
        <v>47055</v>
      </c>
      <c r="I4114" t="s">
        <v>47127</v>
      </c>
      <c r="J4114" t="s">
        <v>47128</v>
      </c>
      <c r="K4114" t="s">
        <v>47113</v>
      </c>
      <c r="L4114">
        <v>15.75</v>
      </c>
      <c r="M4114">
        <v>25</v>
      </c>
      <c r="N4114">
        <v>0</v>
      </c>
      <c r="O4114">
        <v>25</v>
      </c>
      <c r="P4114">
        <v>0</v>
      </c>
    </row>
    <row r="4115" spans="1:16" x14ac:dyDescent="0.25">
      <c r="A4115" t="s">
        <v>26525</v>
      </c>
      <c r="B4115" t="s">
        <v>16583</v>
      </c>
      <c r="C4115" t="s">
        <v>2212</v>
      </c>
      <c r="D4115" t="str">
        <f>"4643"</f>
        <v>4643</v>
      </c>
      <c r="E4115" t="s">
        <v>205</v>
      </c>
      <c r="F4115" t="s">
        <v>15183</v>
      </c>
      <c r="G4115" t="s">
        <v>16235</v>
      </c>
      <c r="H4115" t="s">
        <v>47055</v>
      </c>
      <c r="I4115" t="s">
        <v>47127</v>
      </c>
      <c r="J4115" t="s">
        <v>47128</v>
      </c>
      <c r="K4115" t="s">
        <v>47113</v>
      </c>
      <c r="L4115">
        <v>15.75</v>
      </c>
      <c r="M4115">
        <v>25</v>
      </c>
      <c r="N4115">
        <v>0</v>
      </c>
      <c r="O4115">
        <v>25</v>
      </c>
      <c r="P4115">
        <v>0</v>
      </c>
    </row>
    <row r="4116" spans="1:16" x14ac:dyDescent="0.25">
      <c r="A4116" t="s">
        <v>26526</v>
      </c>
      <c r="B4116" t="s">
        <v>16583</v>
      </c>
      <c r="C4116" t="s">
        <v>2212</v>
      </c>
      <c r="D4116" t="str">
        <f>"4921"</f>
        <v>4921</v>
      </c>
      <c r="E4116" t="s">
        <v>4156</v>
      </c>
      <c r="F4116" t="s">
        <v>15183</v>
      </c>
      <c r="G4116" t="s">
        <v>16235</v>
      </c>
      <c r="H4116" t="s">
        <v>47055</v>
      </c>
      <c r="I4116" t="s">
        <v>47127</v>
      </c>
      <c r="J4116" t="s">
        <v>47128</v>
      </c>
      <c r="K4116" t="s">
        <v>47113</v>
      </c>
      <c r="L4116">
        <v>15.75</v>
      </c>
      <c r="M4116">
        <v>25</v>
      </c>
      <c r="N4116">
        <v>0</v>
      </c>
      <c r="O4116">
        <v>25</v>
      </c>
      <c r="P4116">
        <v>0</v>
      </c>
    </row>
    <row r="4117" spans="1:16" x14ac:dyDescent="0.25">
      <c r="A4117" t="s">
        <v>26527</v>
      </c>
      <c r="B4117" t="s">
        <v>16586</v>
      </c>
      <c r="C4117" t="s">
        <v>2212</v>
      </c>
      <c r="D4117" t="str">
        <f>"1001"</f>
        <v>1001</v>
      </c>
      <c r="E4117" t="s">
        <v>42</v>
      </c>
      <c r="F4117" t="s">
        <v>15183</v>
      </c>
      <c r="G4117" t="s">
        <v>16235</v>
      </c>
      <c r="H4117" t="s">
        <v>47055</v>
      </c>
      <c r="I4117" t="s">
        <v>47127</v>
      </c>
      <c r="J4117" t="s">
        <v>47128</v>
      </c>
      <c r="K4117" t="s">
        <v>47113</v>
      </c>
      <c r="L4117">
        <v>15.75</v>
      </c>
      <c r="M4117">
        <v>25</v>
      </c>
      <c r="N4117">
        <v>0</v>
      </c>
      <c r="O4117">
        <v>25</v>
      </c>
      <c r="P4117">
        <v>0</v>
      </c>
    </row>
    <row r="4118" spans="1:16" x14ac:dyDescent="0.25">
      <c r="A4118" t="s">
        <v>26528</v>
      </c>
      <c r="B4118" t="s">
        <v>16586</v>
      </c>
      <c r="C4118" t="s">
        <v>2212</v>
      </c>
      <c r="D4118" t="str">
        <f>"1200"</f>
        <v>1200</v>
      </c>
      <c r="E4118" t="s">
        <v>16534</v>
      </c>
      <c r="F4118" t="s">
        <v>15183</v>
      </c>
      <c r="G4118" t="s">
        <v>16235</v>
      </c>
      <c r="H4118" t="s">
        <v>47055</v>
      </c>
      <c r="I4118" t="s">
        <v>47127</v>
      </c>
      <c r="J4118" t="s">
        <v>47128</v>
      </c>
      <c r="K4118" t="s">
        <v>47113</v>
      </c>
      <c r="L4118">
        <v>15.75</v>
      </c>
      <c r="M4118">
        <v>25</v>
      </c>
      <c r="N4118">
        <v>0</v>
      </c>
      <c r="O4118">
        <v>25</v>
      </c>
      <c r="P4118">
        <v>0</v>
      </c>
    </row>
    <row r="4119" spans="1:16" x14ac:dyDescent="0.25">
      <c r="A4119" t="s">
        <v>26529</v>
      </c>
      <c r="B4119" t="s">
        <v>16586</v>
      </c>
      <c r="C4119" t="s">
        <v>2212</v>
      </c>
      <c r="D4119" t="str">
        <f>"1285"</f>
        <v>1285</v>
      </c>
      <c r="E4119" t="s">
        <v>2148</v>
      </c>
      <c r="F4119" t="s">
        <v>15183</v>
      </c>
      <c r="G4119" t="s">
        <v>16235</v>
      </c>
      <c r="H4119" t="s">
        <v>47055</v>
      </c>
      <c r="I4119" t="s">
        <v>47127</v>
      </c>
      <c r="J4119" t="s">
        <v>47128</v>
      </c>
      <c r="K4119" t="s">
        <v>47113</v>
      </c>
      <c r="L4119">
        <v>15.75</v>
      </c>
      <c r="M4119">
        <v>25</v>
      </c>
      <c r="N4119">
        <v>0</v>
      </c>
      <c r="O4119">
        <v>25</v>
      </c>
      <c r="P4119">
        <v>0</v>
      </c>
    </row>
    <row r="4120" spans="1:16" x14ac:dyDescent="0.25">
      <c r="A4120" t="s">
        <v>26530</v>
      </c>
      <c r="B4120" t="s">
        <v>16586</v>
      </c>
      <c r="C4120" t="s">
        <v>2212</v>
      </c>
      <c r="D4120" t="str">
        <f>"1370"</f>
        <v>1370</v>
      </c>
      <c r="E4120" t="s">
        <v>2162</v>
      </c>
      <c r="F4120" t="s">
        <v>15183</v>
      </c>
      <c r="G4120" t="s">
        <v>16235</v>
      </c>
      <c r="H4120" t="s">
        <v>47055</v>
      </c>
      <c r="I4120" t="s">
        <v>47127</v>
      </c>
      <c r="J4120" t="s">
        <v>47128</v>
      </c>
      <c r="K4120" t="s">
        <v>47113</v>
      </c>
      <c r="L4120">
        <v>15.75</v>
      </c>
      <c r="M4120">
        <v>25</v>
      </c>
      <c r="N4120">
        <v>0</v>
      </c>
      <c r="O4120">
        <v>25</v>
      </c>
      <c r="P4120">
        <v>0</v>
      </c>
    </row>
    <row r="4121" spans="1:16" x14ac:dyDescent="0.25">
      <c r="A4121" t="s">
        <v>26531</v>
      </c>
      <c r="B4121" t="s">
        <v>16586</v>
      </c>
      <c r="C4121" t="s">
        <v>2212</v>
      </c>
      <c r="D4121" t="str">
        <f>"1377"</f>
        <v>1377</v>
      </c>
      <c r="E4121" t="s">
        <v>74</v>
      </c>
      <c r="F4121" t="s">
        <v>15183</v>
      </c>
      <c r="G4121" t="s">
        <v>16235</v>
      </c>
      <c r="H4121" t="s">
        <v>47055</v>
      </c>
      <c r="I4121" t="s">
        <v>47127</v>
      </c>
      <c r="J4121" t="s">
        <v>47128</v>
      </c>
      <c r="K4121" t="s">
        <v>47113</v>
      </c>
      <c r="L4121">
        <v>15.75</v>
      </c>
      <c r="M4121">
        <v>25</v>
      </c>
      <c r="N4121">
        <v>0</v>
      </c>
      <c r="O4121">
        <v>25</v>
      </c>
      <c r="P4121">
        <v>0</v>
      </c>
    </row>
    <row r="4122" spans="1:16" x14ac:dyDescent="0.25">
      <c r="A4122" t="s">
        <v>16587</v>
      </c>
      <c r="B4122" t="s">
        <v>16586</v>
      </c>
      <c r="C4122" t="s">
        <v>2212</v>
      </c>
      <c r="D4122" t="str">
        <f>"1378"</f>
        <v>1378</v>
      </c>
      <c r="E4122" t="s">
        <v>388</v>
      </c>
      <c r="F4122" t="s">
        <v>15183</v>
      </c>
      <c r="G4122" t="s">
        <v>16235</v>
      </c>
      <c r="H4122" t="s">
        <v>47055</v>
      </c>
      <c r="I4122" t="s">
        <v>47127</v>
      </c>
      <c r="J4122" t="s">
        <v>47128</v>
      </c>
      <c r="K4122" t="s">
        <v>47113</v>
      </c>
      <c r="L4122">
        <v>15.75</v>
      </c>
      <c r="M4122">
        <v>25</v>
      </c>
      <c r="N4122">
        <v>0</v>
      </c>
      <c r="O4122">
        <v>25</v>
      </c>
      <c r="P4122">
        <v>0</v>
      </c>
    </row>
    <row r="4123" spans="1:16" x14ac:dyDescent="0.25">
      <c r="A4123" t="s">
        <v>26532</v>
      </c>
      <c r="B4123" t="s">
        <v>16586</v>
      </c>
      <c r="C4123" t="s">
        <v>2212</v>
      </c>
      <c r="D4123" t="str">
        <f>"1537"</f>
        <v>1537</v>
      </c>
      <c r="E4123" t="s">
        <v>16535</v>
      </c>
      <c r="F4123" t="s">
        <v>15183</v>
      </c>
      <c r="G4123" t="s">
        <v>16235</v>
      </c>
      <c r="H4123" t="s">
        <v>47055</v>
      </c>
      <c r="I4123" t="s">
        <v>47127</v>
      </c>
      <c r="J4123" t="s">
        <v>47128</v>
      </c>
      <c r="K4123" t="s">
        <v>47113</v>
      </c>
      <c r="L4123">
        <v>15.75</v>
      </c>
      <c r="M4123">
        <v>25</v>
      </c>
      <c r="N4123">
        <v>0</v>
      </c>
      <c r="O4123">
        <v>25</v>
      </c>
      <c r="P4123">
        <v>0</v>
      </c>
    </row>
    <row r="4124" spans="1:16" x14ac:dyDescent="0.25">
      <c r="A4124" t="s">
        <v>26533</v>
      </c>
      <c r="B4124" t="s">
        <v>16586</v>
      </c>
      <c r="C4124" t="s">
        <v>2212</v>
      </c>
      <c r="D4124" t="str">
        <f>"1700"</f>
        <v>1700</v>
      </c>
      <c r="E4124" t="s">
        <v>60</v>
      </c>
      <c r="F4124" t="s">
        <v>15183</v>
      </c>
      <c r="G4124" t="s">
        <v>16235</v>
      </c>
      <c r="H4124" t="s">
        <v>47055</v>
      </c>
      <c r="I4124" t="s">
        <v>47127</v>
      </c>
      <c r="J4124" t="s">
        <v>47128</v>
      </c>
      <c r="K4124" t="s">
        <v>47113</v>
      </c>
      <c r="L4124">
        <v>15.75</v>
      </c>
      <c r="M4124">
        <v>25</v>
      </c>
      <c r="N4124">
        <v>0</v>
      </c>
      <c r="O4124">
        <v>25</v>
      </c>
      <c r="P4124">
        <v>0</v>
      </c>
    </row>
    <row r="4125" spans="1:16" x14ac:dyDescent="0.25">
      <c r="A4125" t="s">
        <v>26534</v>
      </c>
      <c r="B4125" t="s">
        <v>16586</v>
      </c>
      <c r="C4125" t="s">
        <v>2212</v>
      </c>
      <c r="D4125" t="str">
        <f>"1704"</f>
        <v>1704</v>
      </c>
      <c r="E4125" t="s">
        <v>7181</v>
      </c>
      <c r="F4125" t="s">
        <v>15183</v>
      </c>
      <c r="G4125" t="s">
        <v>16235</v>
      </c>
      <c r="H4125" t="s">
        <v>47055</v>
      </c>
      <c r="I4125" t="s">
        <v>47127</v>
      </c>
      <c r="J4125" t="s">
        <v>47128</v>
      </c>
      <c r="K4125" t="s">
        <v>47113</v>
      </c>
      <c r="L4125">
        <v>15.75</v>
      </c>
      <c r="M4125">
        <v>25</v>
      </c>
      <c r="N4125">
        <v>0</v>
      </c>
      <c r="O4125">
        <v>25</v>
      </c>
      <c r="P4125">
        <v>0</v>
      </c>
    </row>
    <row r="4126" spans="1:16" x14ac:dyDescent="0.25">
      <c r="A4126" t="s">
        <v>26535</v>
      </c>
      <c r="B4126" t="s">
        <v>16586</v>
      </c>
      <c r="C4126" t="s">
        <v>2212</v>
      </c>
      <c r="D4126" t="str">
        <f>"2000"</f>
        <v>2000</v>
      </c>
      <c r="E4126" t="s">
        <v>248</v>
      </c>
      <c r="F4126" t="s">
        <v>15183</v>
      </c>
      <c r="G4126" t="s">
        <v>16235</v>
      </c>
      <c r="H4126" t="s">
        <v>47055</v>
      </c>
      <c r="I4126" t="s">
        <v>47127</v>
      </c>
      <c r="J4126" t="s">
        <v>47128</v>
      </c>
      <c r="K4126" t="s">
        <v>47113</v>
      </c>
      <c r="L4126">
        <v>15.75</v>
      </c>
      <c r="M4126">
        <v>25</v>
      </c>
      <c r="N4126">
        <v>0</v>
      </c>
      <c r="O4126">
        <v>25</v>
      </c>
      <c r="P4126">
        <v>0</v>
      </c>
    </row>
    <row r="4127" spans="1:16" x14ac:dyDescent="0.25">
      <c r="A4127" t="s">
        <v>16588</v>
      </c>
      <c r="B4127" t="s">
        <v>16586</v>
      </c>
      <c r="C4127" t="s">
        <v>2212</v>
      </c>
      <c r="D4127" t="str">
        <f>"3304"</f>
        <v>3304</v>
      </c>
      <c r="E4127" t="s">
        <v>16536</v>
      </c>
      <c r="F4127" t="s">
        <v>15183</v>
      </c>
      <c r="G4127" t="s">
        <v>16235</v>
      </c>
      <c r="H4127" t="s">
        <v>47055</v>
      </c>
      <c r="I4127" t="s">
        <v>47127</v>
      </c>
      <c r="J4127" t="s">
        <v>47128</v>
      </c>
      <c r="K4127" t="s">
        <v>47113</v>
      </c>
      <c r="L4127">
        <v>15.75</v>
      </c>
      <c r="M4127">
        <v>25</v>
      </c>
      <c r="N4127">
        <v>0</v>
      </c>
      <c r="O4127">
        <v>25</v>
      </c>
      <c r="P4127">
        <v>0</v>
      </c>
    </row>
    <row r="4128" spans="1:16" x14ac:dyDescent="0.25">
      <c r="A4128" t="s">
        <v>16589</v>
      </c>
      <c r="B4128" t="s">
        <v>16586</v>
      </c>
      <c r="C4128" t="s">
        <v>2212</v>
      </c>
      <c r="D4128" t="str">
        <f>"4000"</f>
        <v>4000</v>
      </c>
      <c r="E4128" t="s">
        <v>16537</v>
      </c>
      <c r="F4128" t="s">
        <v>15183</v>
      </c>
      <c r="G4128" t="s">
        <v>16235</v>
      </c>
      <c r="H4128" t="s">
        <v>47055</v>
      </c>
      <c r="I4128" t="s">
        <v>47127</v>
      </c>
      <c r="J4128" t="s">
        <v>47128</v>
      </c>
      <c r="K4128" t="s">
        <v>47113</v>
      </c>
      <c r="L4128">
        <v>15.75</v>
      </c>
      <c r="M4128">
        <v>25</v>
      </c>
      <c r="N4128">
        <v>0</v>
      </c>
      <c r="O4128">
        <v>25</v>
      </c>
      <c r="P4128">
        <v>0</v>
      </c>
    </row>
    <row r="4129" spans="1:16" x14ac:dyDescent="0.25">
      <c r="A4129" t="s">
        <v>26536</v>
      </c>
      <c r="B4129" t="s">
        <v>16586</v>
      </c>
      <c r="C4129" t="s">
        <v>2212</v>
      </c>
      <c r="D4129" t="str">
        <f>"4643"</f>
        <v>4643</v>
      </c>
      <c r="E4129" t="s">
        <v>205</v>
      </c>
      <c r="F4129" t="s">
        <v>15183</v>
      </c>
      <c r="G4129" t="s">
        <v>16235</v>
      </c>
      <c r="H4129" t="s">
        <v>47055</v>
      </c>
      <c r="I4129" t="s">
        <v>47127</v>
      </c>
      <c r="J4129" t="s">
        <v>47128</v>
      </c>
      <c r="K4129" t="s">
        <v>47113</v>
      </c>
      <c r="L4129">
        <v>15.75</v>
      </c>
      <c r="M4129">
        <v>25</v>
      </c>
      <c r="N4129">
        <v>0</v>
      </c>
      <c r="O4129">
        <v>25</v>
      </c>
      <c r="P4129">
        <v>0</v>
      </c>
    </row>
    <row r="4130" spans="1:16" x14ac:dyDescent="0.25">
      <c r="A4130" t="s">
        <v>26537</v>
      </c>
      <c r="B4130" t="s">
        <v>16586</v>
      </c>
      <c r="C4130" t="s">
        <v>2212</v>
      </c>
      <c r="D4130" t="str">
        <f>"4921"</f>
        <v>4921</v>
      </c>
      <c r="E4130" t="s">
        <v>4156</v>
      </c>
      <c r="F4130" t="s">
        <v>15183</v>
      </c>
      <c r="G4130" t="s">
        <v>16235</v>
      </c>
      <c r="H4130" t="s">
        <v>47055</v>
      </c>
      <c r="I4130" t="s">
        <v>47127</v>
      </c>
      <c r="J4130" t="s">
        <v>47128</v>
      </c>
      <c r="K4130" t="s">
        <v>47113</v>
      </c>
      <c r="L4130">
        <v>15.75</v>
      </c>
      <c r="M4130">
        <v>25</v>
      </c>
      <c r="N4130">
        <v>0</v>
      </c>
      <c r="O4130">
        <v>25</v>
      </c>
      <c r="P4130">
        <v>0</v>
      </c>
    </row>
    <row r="4131" spans="1:16" x14ac:dyDescent="0.25">
      <c r="A4131" t="s">
        <v>26538</v>
      </c>
      <c r="B4131" t="s">
        <v>16590</v>
      </c>
      <c r="C4131" t="s">
        <v>2216</v>
      </c>
      <c r="D4131" t="str">
        <f>"1001"</f>
        <v>1001</v>
      </c>
      <c r="E4131" t="s">
        <v>42</v>
      </c>
      <c r="F4131" t="s">
        <v>15183</v>
      </c>
      <c r="G4131" t="s">
        <v>16235</v>
      </c>
      <c r="H4131" t="s">
        <v>47055</v>
      </c>
      <c r="I4131" t="s">
        <v>47127</v>
      </c>
      <c r="J4131" t="s">
        <v>47128</v>
      </c>
      <c r="K4131" t="s">
        <v>47113</v>
      </c>
      <c r="L4131">
        <v>15.75</v>
      </c>
      <c r="M4131">
        <v>25</v>
      </c>
      <c r="N4131">
        <v>0</v>
      </c>
      <c r="O4131">
        <v>25</v>
      </c>
      <c r="P4131">
        <v>0</v>
      </c>
    </row>
    <row r="4132" spans="1:16" x14ac:dyDescent="0.25">
      <c r="A4132" t="s">
        <v>26539</v>
      </c>
      <c r="B4132" t="s">
        <v>16590</v>
      </c>
      <c r="C4132" t="s">
        <v>2216</v>
      </c>
      <c r="D4132" t="str">
        <f>"1200"</f>
        <v>1200</v>
      </c>
      <c r="E4132" t="s">
        <v>16534</v>
      </c>
      <c r="F4132" t="s">
        <v>15183</v>
      </c>
      <c r="G4132" t="s">
        <v>16235</v>
      </c>
      <c r="H4132" t="s">
        <v>47055</v>
      </c>
      <c r="I4132" t="s">
        <v>47127</v>
      </c>
      <c r="J4132" t="s">
        <v>47128</v>
      </c>
      <c r="K4132" t="s">
        <v>47113</v>
      </c>
      <c r="L4132">
        <v>15.75</v>
      </c>
      <c r="M4132">
        <v>25</v>
      </c>
      <c r="N4132">
        <v>0</v>
      </c>
      <c r="O4132">
        <v>25</v>
      </c>
      <c r="P4132">
        <v>0</v>
      </c>
    </row>
    <row r="4133" spans="1:16" x14ac:dyDescent="0.25">
      <c r="A4133" t="s">
        <v>26540</v>
      </c>
      <c r="B4133" t="s">
        <v>16590</v>
      </c>
      <c r="C4133" t="s">
        <v>2216</v>
      </c>
      <c r="D4133" t="str">
        <f>"1285"</f>
        <v>1285</v>
      </c>
      <c r="E4133" t="s">
        <v>2148</v>
      </c>
      <c r="F4133" t="s">
        <v>15183</v>
      </c>
      <c r="G4133" t="s">
        <v>16235</v>
      </c>
      <c r="H4133" t="s">
        <v>47055</v>
      </c>
      <c r="I4133" t="s">
        <v>47127</v>
      </c>
      <c r="J4133" t="s">
        <v>47128</v>
      </c>
      <c r="K4133" t="s">
        <v>47113</v>
      </c>
      <c r="L4133">
        <v>15.75</v>
      </c>
      <c r="M4133">
        <v>25</v>
      </c>
      <c r="N4133">
        <v>0</v>
      </c>
      <c r="O4133">
        <v>25</v>
      </c>
      <c r="P4133">
        <v>0</v>
      </c>
    </row>
    <row r="4134" spans="1:16" x14ac:dyDescent="0.25">
      <c r="A4134" t="s">
        <v>26541</v>
      </c>
      <c r="B4134" t="s">
        <v>16590</v>
      </c>
      <c r="C4134" t="s">
        <v>2216</v>
      </c>
      <c r="D4134" t="str">
        <f>"1370"</f>
        <v>1370</v>
      </c>
      <c r="E4134" t="s">
        <v>2162</v>
      </c>
      <c r="F4134" t="s">
        <v>15183</v>
      </c>
      <c r="G4134" t="s">
        <v>16235</v>
      </c>
      <c r="H4134" t="s">
        <v>47055</v>
      </c>
      <c r="I4134" t="s">
        <v>47127</v>
      </c>
      <c r="J4134" t="s">
        <v>47128</v>
      </c>
      <c r="K4134" t="s">
        <v>47113</v>
      </c>
      <c r="L4134">
        <v>15.75</v>
      </c>
      <c r="M4134">
        <v>25</v>
      </c>
      <c r="N4134">
        <v>0</v>
      </c>
      <c r="O4134">
        <v>25</v>
      </c>
      <c r="P4134">
        <v>0</v>
      </c>
    </row>
    <row r="4135" spans="1:16" x14ac:dyDescent="0.25">
      <c r="A4135" t="s">
        <v>26542</v>
      </c>
      <c r="B4135" t="s">
        <v>16590</v>
      </c>
      <c r="C4135" t="s">
        <v>2216</v>
      </c>
      <c r="D4135" t="str">
        <f>"1377"</f>
        <v>1377</v>
      </c>
      <c r="E4135" t="s">
        <v>74</v>
      </c>
      <c r="F4135" t="s">
        <v>15183</v>
      </c>
      <c r="G4135" t="s">
        <v>16235</v>
      </c>
      <c r="H4135" t="s">
        <v>47055</v>
      </c>
      <c r="I4135" t="s">
        <v>47127</v>
      </c>
      <c r="J4135" t="s">
        <v>47128</v>
      </c>
      <c r="K4135" t="s">
        <v>47113</v>
      </c>
      <c r="L4135">
        <v>15.75</v>
      </c>
      <c r="M4135">
        <v>25</v>
      </c>
      <c r="N4135">
        <v>0</v>
      </c>
      <c r="O4135">
        <v>25</v>
      </c>
      <c r="P4135">
        <v>0</v>
      </c>
    </row>
    <row r="4136" spans="1:16" x14ac:dyDescent="0.25">
      <c r="A4136" t="s">
        <v>26543</v>
      </c>
      <c r="B4136" t="s">
        <v>16590</v>
      </c>
      <c r="C4136" t="s">
        <v>2216</v>
      </c>
      <c r="D4136" t="str">
        <f>"1378"</f>
        <v>1378</v>
      </c>
      <c r="E4136" t="s">
        <v>388</v>
      </c>
      <c r="F4136" t="s">
        <v>15183</v>
      </c>
      <c r="G4136" t="s">
        <v>16235</v>
      </c>
      <c r="H4136" t="s">
        <v>47055</v>
      </c>
      <c r="I4136" t="s">
        <v>47127</v>
      </c>
      <c r="J4136" t="s">
        <v>47128</v>
      </c>
      <c r="K4136" t="s">
        <v>47113</v>
      </c>
      <c r="L4136">
        <v>15.75</v>
      </c>
      <c r="M4136">
        <v>25</v>
      </c>
      <c r="N4136">
        <v>0</v>
      </c>
      <c r="O4136">
        <v>25</v>
      </c>
      <c r="P4136">
        <v>0</v>
      </c>
    </row>
    <row r="4137" spans="1:16" x14ac:dyDescent="0.25">
      <c r="A4137" t="s">
        <v>26544</v>
      </c>
      <c r="B4137" t="s">
        <v>16590</v>
      </c>
      <c r="C4137" t="s">
        <v>2216</v>
      </c>
      <c r="D4137" t="str">
        <f>"1537"</f>
        <v>1537</v>
      </c>
      <c r="E4137" t="s">
        <v>16535</v>
      </c>
      <c r="F4137" t="s">
        <v>15183</v>
      </c>
      <c r="G4137" t="s">
        <v>16235</v>
      </c>
      <c r="H4137" t="s">
        <v>47055</v>
      </c>
      <c r="I4137" t="s">
        <v>47127</v>
      </c>
      <c r="J4137" t="s">
        <v>47128</v>
      </c>
      <c r="K4137" t="s">
        <v>47113</v>
      </c>
      <c r="L4137">
        <v>15.75</v>
      </c>
      <c r="M4137">
        <v>25</v>
      </c>
      <c r="N4137">
        <v>0</v>
      </c>
      <c r="O4137">
        <v>25</v>
      </c>
      <c r="P4137">
        <v>0</v>
      </c>
    </row>
    <row r="4138" spans="1:16" x14ac:dyDescent="0.25">
      <c r="A4138" t="s">
        <v>26545</v>
      </c>
      <c r="B4138" t="s">
        <v>16590</v>
      </c>
      <c r="C4138" t="s">
        <v>2216</v>
      </c>
      <c r="D4138" t="str">
        <f>"1700"</f>
        <v>1700</v>
      </c>
      <c r="E4138" t="s">
        <v>60</v>
      </c>
      <c r="F4138" t="s">
        <v>15183</v>
      </c>
      <c r="G4138" t="s">
        <v>16235</v>
      </c>
      <c r="H4138" t="s">
        <v>47055</v>
      </c>
      <c r="I4138" t="s">
        <v>47127</v>
      </c>
      <c r="J4138" t="s">
        <v>47128</v>
      </c>
      <c r="K4138" t="s">
        <v>47113</v>
      </c>
      <c r="L4138">
        <v>15.75</v>
      </c>
      <c r="M4138">
        <v>25</v>
      </c>
      <c r="N4138">
        <v>0</v>
      </c>
      <c r="O4138">
        <v>25</v>
      </c>
      <c r="P4138">
        <v>0</v>
      </c>
    </row>
    <row r="4139" spans="1:16" x14ac:dyDescent="0.25">
      <c r="A4139" t="s">
        <v>26546</v>
      </c>
      <c r="B4139" t="s">
        <v>16590</v>
      </c>
      <c r="C4139" t="s">
        <v>2216</v>
      </c>
      <c r="D4139" t="str">
        <f>"1704"</f>
        <v>1704</v>
      </c>
      <c r="E4139" t="s">
        <v>7181</v>
      </c>
      <c r="F4139" t="s">
        <v>15183</v>
      </c>
      <c r="G4139" t="s">
        <v>16235</v>
      </c>
      <c r="H4139" t="s">
        <v>47055</v>
      </c>
      <c r="I4139" t="s">
        <v>47127</v>
      </c>
      <c r="J4139" t="s">
        <v>47128</v>
      </c>
      <c r="K4139" t="s">
        <v>47113</v>
      </c>
      <c r="L4139">
        <v>15.75</v>
      </c>
      <c r="M4139">
        <v>25</v>
      </c>
      <c r="N4139">
        <v>0</v>
      </c>
      <c r="O4139">
        <v>25</v>
      </c>
      <c r="P4139">
        <v>0</v>
      </c>
    </row>
    <row r="4140" spans="1:16" x14ac:dyDescent="0.25">
      <c r="A4140" t="s">
        <v>26547</v>
      </c>
      <c r="B4140" t="s">
        <v>16590</v>
      </c>
      <c r="C4140" t="s">
        <v>2216</v>
      </c>
      <c r="D4140" t="str">
        <f>"2000"</f>
        <v>2000</v>
      </c>
      <c r="E4140" t="s">
        <v>248</v>
      </c>
      <c r="F4140" t="s">
        <v>15183</v>
      </c>
      <c r="G4140" t="s">
        <v>16235</v>
      </c>
      <c r="H4140" t="s">
        <v>47055</v>
      </c>
      <c r="I4140" t="s">
        <v>47127</v>
      </c>
      <c r="J4140" t="s">
        <v>47128</v>
      </c>
      <c r="K4140" t="s">
        <v>47113</v>
      </c>
      <c r="L4140">
        <v>15.75</v>
      </c>
      <c r="M4140">
        <v>25</v>
      </c>
      <c r="N4140">
        <v>0</v>
      </c>
      <c r="O4140">
        <v>25</v>
      </c>
      <c r="P4140">
        <v>0</v>
      </c>
    </row>
    <row r="4141" spans="1:16" x14ac:dyDescent="0.25">
      <c r="A4141" t="s">
        <v>26548</v>
      </c>
      <c r="B4141" t="s">
        <v>16590</v>
      </c>
      <c r="C4141" t="s">
        <v>2216</v>
      </c>
      <c r="D4141" t="str">
        <f>"3304"</f>
        <v>3304</v>
      </c>
      <c r="E4141" t="s">
        <v>16536</v>
      </c>
      <c r="F4141" t="s">
        <v>15183</v>
      </c>
      <c r="G4141" t="s">
        <v>16235</v>
      </c>
      <c r="H4141" t="s">
        <v>47055</v>
      </c>
      <c r="I4141" t="s">
        <v>47127</v>
      </c>
      <c r="J4141" t="s">
        <v>47128</v>
      </c>
      <c r="K4141" t="s">
        <v>47113</v>
      </c>
      <c r="L4141">
        <v>15.75</v>
      </c>
      <c r="M4141">
        <v>25</v>
      </c>
      <c r="N4141">
        <v>0</v>
      </c>
      <c r="O4141">
        <v>25</v>
      </c>
      <c r="P4141">
        <v>0</v>
      </c>
    </row>
    <row r="4142" spans="1:16" x14ac:dyDescent="0.25">
      <c r="A4142" t="s">
        <v>26549</v>
      </c>
      <c r="B4142" t="s">
        <v>16590</v>
      </c>
      <c r="C4142" t="s">
        <v>2216</v>
      </c>
      <c r="D4142" t="str">
        <f>"4000"</f>
        <v>4000</v>
      </c>
      <c r="E4142" t="s">
        <v>16537</v>
      </c>
      <c r="F4142" t="s">
        <v>15183</v>
      </c>
      <c r="G4142" t="s">
        <v>16235</v>
      </c>
      <c r="H4142" t="s">
        <v>47055</v>
      </c>
      <c r="I4142" t="s">
        <v>47127</v>
      </c>
      <c r="J4142" t="s">
        <v>47128</v>
      </c>
      <c r="K4142" t="s">
        <v>47113</v>
      </c>
      <c r="L4142">
        <v>15.75</v>
      </c>
      <c r="M4142">
        <v>25</v>
      </c>
      <c r="N4142">
        <v>0</v>
      </c>
      <c r="O4142">
        <v>25</v>
      </c>
      <c r="P4142">
        <v>0</v>
      </c>
    </row>
    <row r="4143" spans="1:16" x14ac:dyDescent="0.25">
      <c r="A4143" t="s">
        <v>26550</v>
      </c>
      <c r="B4143" t="s">
        <v>16590</v>
      </c>
      <c r="C4143" t="s">
        <v>2216</v>
      </c>
      <c r="D4143" t="str">
        <f>"4643"</f>
        <v>4643</v>
      </c>
      <c r="E4143" t="s">
        <v>205</v>
      </c>
      <c r="F4143" t="s">
        <v>15183</v>
      </c>
      <c r="G4143" t="s">
        <v>16235</v>
      </c>
      <c r="H4143" t="s">
        <v>47055</v>
      </c>
      <c r="I4143" t="s">
        <v>47127</v>
      </c>
      <c r="J4143" t="s">
        <v>47128</v>
      </c>
      <c r="K4143" t="s">
        <v>47113</v>
      </c>
      <c r="L4143">
        <v>15.75</v>
      </c>
      <c r="M4143">
        <v>25</v>
      </c>
      <c r="N4143">
        <v>0</v>
      </c>
      <c r="O4143">
        <v>25</v>
      </c>
      <c r="P4143">
        <v>0</v>
      </c>
    </row>
    <row r="4144" spans="1:16" x14ac:dyDescent="0.25">
      <c r="A4144" t="s">
        <v>26551</v>
      </c>
      <c r="B4144" t="s">
        <v>16590</v>
      </c>
      <c r="C4144" t="s">
        <v>2216</v>
      </c>
      <c r="D4144" t="str">
        <f>"4921"</f>
        <v>4921</v>
      </c>
      <c r="E4144" t="s">
        <v>4156</v>
      </c>
      <c r="F4144" t="s">
        <v>15183</v>
      </c>
      <c r="G4144" t="s">
        <v>16235</v>
      </c>
      <c r="H4144" t="s">
        <v>47055</v>
      </c>
      <c r="I4144" t="s">
        <v>47127</v>
      </c>
      <c r="J4144" t="s">
        <v>47128</v>
      </c>
      <c r="K4144" t="s">
        <v>47113</v>
      </c>
      <c r="L4144">
        <v>15.75</v>
      </c>
      <c r="M4144">
        <v>25</v>
      </c>
      <c r="N4144">
        <v>0</v>
      </c>
      <c r="O4144">
        <v>25</v>
      </c>
      <c r="P4144">
        <v>0</v>
      </c>
    </row>
    <row r="4145" spans="1:16" x14ac:dyDescent="0.25">
      <c r="A4145" t="s">
        <v>26552</v>
      </c>
      <c r="B4145" t="s">
        <v>16591</v>
      </c>
      <c r="C4145" t="s">
        <v>16592</v>
      </c>
      <c r="D4145" t="str">
        <f>"1001"</f>
        <v>1001</v>
      </c>
      <c r="E4145" t="s">
        <v>42</v>
      </c>
      <c r="F4145" t="s">
        <v>15183</v>
      </c>
      <c r="G4145" t="s">
        <v>16232</v>
      </c>
      <c r="H4145" t="s">
        <v>47055</v>
      </c>
      <c r="I4145" t="s">
        <v>47127</v>
      </c>
      <c r="J4145" t="s">
        <v>47128</v>
      </c>
      <c r="K4145" t="s">
        <v>47113</v>
      </c>
      <c r="L4145">
        <v>20.05</v>
      </c>
      <c r="M4145">
        <v>71</v>
      </c>
      <c r="N4145">
        <v>0</v>
      </c>
      <c r="O4145">
        <v>71</v>
      </c>
      <c r="P4145">
        <v>0</v>
      </c>
    </row>
    <row r="4146" spans="1:16" x14ac:dyDescent="0.25">
      <c r="A4146" t="s">
        <v>26553</v>
      </c>
      <c r="B4146" t="s">
        <v>16591</v>
      </c>
      <c r="C4146" t="s">
        <v>16592</v>
      </c>
      <c r="D4146" t="str">
        <f>"1700"</f>
        <v>1700</v>
      </c>
      <c r="E4146" t="s">
        <v>60</v>
      </c>
      <c r="F4146" t="s">
        <v>15183</v>
      </c>
      <c r="G4146" t="s">
        <v>16232</v>
      </c>
      <c r="H4146" t="s">
        <v>47055</v>
      </c>
      <c r="I4146" t="s">
        <v>47127</v>
      </c>
      <c r="J4146" t="s">
        <v>47128</v>
      </c>
      <c r="K4146" t="s">
        <v>47113</v>
      </c>
      <c r="L4146">
        <v>20.05</v>
      </c>
      <c r="M4146">
        <v>71</v>
      </c>
      <c r="N4146">
        <v>0</v>
      </c>
      <c r="O4146">
        <v>71</v>
      </c>
      <c r="P4146">
        <v>0</v>
      </c>
    </row>
    <row r="4147" spans="1:16" x14ac:dyDescent="0.25">
      <c r="A4147" t="s">
        <v>26554</v>
      </c>
      <c r="B4147" t="s">
        <v>16591</v>
      </c>
      <c r="C4147" t="s">
        <v>16592</v>
      </c>
      <c r="D4147" t="str">
        <f>"4643"</f>
        <v>4643</v>
      </c>
      <c r="E4147" t="s">
        <v>205</v>
      </c>
      <c r="F4147" t="s">
        <v>15183</v>
      </c>
      <c r="G4147" t="s">
        <v>16232</v>
      </c>
      <c r="H4147" t="s">
        <v>47055</v>
      </c>
      <c r="I4147" t="s">
        <v>47127</v>
      </c>
      <c r="J4147" t="s">
        <v>47128</v>
      </c>
      <c r="K4147" t="s">
        <v>47113</v>
      </c>
      <c r="L4147">
        <v>20.05</v>
      </c>
      <c r="M4147">
        <v>71</v>
      </c>
      <c r="N4147">
        <v>0</v>
      </c>
      <c r="O4147">
        <v>71</v>
      </c>
      <c r="P4147">
        <v>0</v>
      </c>
    </row>
    <row r="4148" spans="1:16" x14ac:dyDescent="0.25">
      <c r="A4148" t="s">
        <v>26555</v>
      </c>
      <c r="B4148" t="s">
        <v>16593</v>
      </c>
      <c r="C4148" t="s">
        <v>16594</v>
      </c>
      <c r="D4148" t="str">
        <f>"1001"</f>
        <v>1001</v>
      </c>
      <c r="E4148" t="s">
        <v>42</v>
      </c>
      <c r="F4148" t="s">
        <v>15183</v>
      </c>
      <c r="G4148" t="s">
        <v>16232</v>
      </c>
      <c r="H4148" t="s">
        <v>47055</v>
      </c>
      <c r="I4148" t="s">
        <v>47127</v>
      </c>
      <c r="J4148" t="s">
        <v>47128</v>
      </c>
      <c r="K4148" t="s">
        <v>47113</v>
      </c>
      <c r="L4148">
        <v>20.05</v>
      </c>
      <c r="M4148">
        <v>71</v>
      </c>
      <c r="N4148">
        <v>0</v>
      </c>
      <c r="O4148">
        <v>71</v>
      </c>
      <c r="P4148">
        <v>0</v>
      </c>
    </row>
    <row r="4149" spans="1:16" x14ac:dyDescent="0.25">
      <c r="A4149" t="s">
        <v>26556</v>
      </c>
      <c r="B4149" t="s">
        <v>16593</v>
      </c>
      <c r="C4149" t="s">
        <v>16594</v>
      </c>
      <c r="D4149" t="str">
        <f>"1700"</f>
        <v>1700</v>
      </c>
      <c r="E4149" t="s">
        <v>60</v>
      </c>
      <c r="F4149" t="s">
        <v>15183</v>
      </c>
      <c r="G4149" t="s">
        <v>16232</v>
      </c>
      <c r="H4149" t="s">
        <v>47055</v>
      </c>
      <c r="I4149" t="s">
        <v>47127</v>
      </c>
      <c r="J4149" t="s">
        <v>47128</v>
      </c>
      <c r="K4149" t="s">
        <v>47113</v>
      </c>
      <c r="L4149">
        <v>20.05</v>
      </c>
      <c r="M4149">
        <v>71</v>
      </c>
      <c r="N4149">
        <v>0</v>
      </c>
      <c r="O4149">
        <v>71</v>
      </c>
      <c r="P4149">
        <v>0</v>
      </c>
    </row>
    <row r="4150" spans="1:16" x14ac:dyDescent="0.25">
      <c r="A4150" t="s">
        <v>26557</v>
      </c>
      <c r="B4150" t="s">
        <v>16593</v>
      </c>
      <c r="C4150" t="s">
        <v>16594</v>
      </c>
      <c r="D4150" t="str">
        <f>"4643"</f>
        <v>4643</v>
      </c>
      <c r="E4150" t="s">
        <v>205</v>
      </c>
      <c r="F4150" t="s">
        <v>15183</v>
      </c>
      <c r="G4150" t="s">
        <v>16232</v>
      </c>
      <c r="H4150" t="s">
        <v>47055</v>
      </c>
      <c r="I4150" t="s">
        <v>47127</v>
      </c>
      <c r="J4150" t="s">
        <v>47128</v>
      </c>
      <c r="K4150" t="s">
        <v>47113</v>
      </c>
      <c r="L4150">
        <v>20.05</v>
      </c>
      <c r="M4150">
        <v>71</v>
      </c>
      <c r="N4150">
        <v>0</v>
      </c>
      <c r="O4150">
        <v>71</v>
      </c>
      <c r="P4150">
        <v>0</v>
      </c>
    </row>
    <row r="4151" spans="1:16" x14ac:dyDescent="0.25">
      <c r="A4151" t="s">
        <v>26558</v>
      </c>
      <c r="B4151" t="s">
        <v>16595</v>
      </c>
      <c r="C4151" t="s">
        <v>3987</v>
      </c>
      <c r="D4151" t="str">
        <f>"1001"</f>
        <v>1001</v>
      </c>
      <c r="E4151" t="s">
        <v>42</v>
      </c>
      <c r="F4151" t="s">
        <v>15183</v>
      </c>
      <c r="G4151" t="s">
        <v>16448</v>
      </c>
      <c r="H4151" t="s">
        <v>47055</v>
      </c>
      <c r="I4151" t="s">
        <v>47120</v>
      </c>
      <c r="J4151" t="s">
        <v>47121</v>
      </c>
      <c r="K4151" t="s">
        <v>47113</v>
      </c>
      <c r="L4151">
        <v>69.849999999999994</v>
      </c>
      <c r="M4151">
        <v>142</v>
      </c>
      <c r="N4151">
        <v>0</v>
      </c>
      <c r="O4151">
        <v>142</v>
      </c>
      <c r="P4151">
        <v>0</v>
      </c>
    </row>
    <row r="4152" spans="1:16" x14ac:dyDescent="0.25">
      <c r="A4152" t="s">
        <v>26559</v>
      </c>
      <c r="B4152" t="s">
        <v>16595</v>
      </c>
      <c r="C4152" t="s">
        <v>3987</v>
      </c>
      <c r="D4152" t="str">
        <f>"1106"</f>
        <v>1106</v>
      </c>
      <c r="E4152" t="s">
        <v>460</v>
      </c>
      <c r="F4152" t="s">
        <v>15183</v>
      </c>
      <c r="G4152" t="s">
        <v>16448</v>
      </c>
      <c r="H4152" t="s">
        <v>47055</v>
      </c>
      <c r="I4152" t="s">
        <v>47120</v>
      </c>
      <c r="J4152" t="s">
        <v>47121</v>
      </c>
      <c r="K4152" t="s">
        <v>47113</v>
      </c>
      <c r="L4152">
        <v>69.849999999999994</v>
      </c>
      <c r="M4152">
        <v>142</v>
      </c>
      <c r="N4152">
        <v>0</v>
      </c>
      <c r="O4152">
        <v>142</v>
      </c>
      <c r="P4152">
        <v>0</v>
      </c>
    </row>
    <row r="4153" spans="1:16" x14ac:dyDescent="0.25">
      <c r="A4153" t="s">
        <v>26560</v>
      </c>
      <c r="B4153" t="s">
        <v>16595</v>
      </c>
      <c r="C4153" t="s">
        <v>3987</v>
      </c>
      <c r="D4153" t="str">
        <f>"1200"</f>
        <v>1200</v>
      </c>
      <c r="E4153" t="s">
        <v>16514</v>
      </c>
      <c r="F4153" t="s">
        <v>15183</v>
      </c>
      <c r="G4153" t="s">
        <v>16448</v>
      </c>
      <c r="H4153" t="s">
        <v>47055</v>
      </c>
      <c r="I4153" t="s">
        <v>47120</v>
      </c>
      <c r="J4153" t="s">
        <v>47121</v>
      </c>
      <c r="K4153" t="s">
        <v>47113</v>
      </c>
      <c r="L4153">
        <v>69.849999999999994</v>
      </c>
      <c r="M4153">
        <v>142</v>
      </c>
      <c r="N4153">
        <v>0</v>
      </c>
      <c r="O4153">
        <v>142</v>
      </c>
      <c r="P4153">
        <v>0</v>
      </c>
    </row>
    <row r="4154" spans="1:16" x14ac:dyDescent="0.25">
      <c r="A4154" t="s">
        <v>26561</v>
      </c>
      <c r="B4154" t="s">
        <v>16595</v>
      </c>
      <c r="C4154" t="s">
        <v>3987</v>
      </c>
      <c r="D4154" t="str">
        <f>"1423"</f>
        <v>1423</v>
      </c>
      <c r="E4154" t="s">
        <v>16571</v>
      </c>
      <c r="F4154" t="s">
        <v>15183</v>
      </c>
      <c r="G4154" t="s">
        <v>16448</v>
      </c>
      <c r="H4154" t="s">
        <v>47055</v>
      </c>
      <c r="I4154" t="s">
        <v>47120</v>
      </c>
      <c r="J4154" t="s">
        <v>47121</v>
      </c>
      <c r="K4154" t="s">
        <v>47113</v>
      </c>
      <c r="L4154">
        <v>69.849999999999994</v>
      </c>
      <c r="M4154">
        <v>142</v>
      </c>
      <c r="N4154">
        <v>0</v>
      </c>
      <c r="O4154">
        <v>142</v>
      </c>
      <c r="P4154">
        <v>0</v>
      </c>
    </row>
    <row r="4155" spans="1:16" x14ac:dyDescent="0.25">
      <c r="A4155" t="s">
        <v>26562</v>
      </c>
      <c r="B4155" t="s">
        <v>16595</v>
      </c>
      <c r="C4155" t="s">
        <v>3987</v>
      </c>
      <c r="D4155" t="str">
        <f>"2377"</f>
        <v>2377</v>
      </c>
      <c r="E4155" t="s">
        <v>16572</v>
      </c>
      <c r="F4155" t="s">
        <v>15183</v>
      </c>
      <c r="G4155" t="s">
        <v>16448</v>
      </c>
      <c r="H4155" t="s">
        <v>47055</v>
      </c>
      <c r="I4155" t="s">
        <v>47120</v>
      </c>
      <c r="J4155" t="s">
        <v>47121</v>
      </c>
      <c r="K4155" t="s">
        <v>47113</v>
      </c>
      <c r="L4155">
        <v>69.849999999999994</v>
      </c>
      <c r="M4155">
        <v>142</v>
      </c>
      <c r="N4155">
        <v>0</v>
      </c>
      <c r="O4155">
        <v>142</v>
      </c>
      <c r="P4155">
        <v>0</v>
      </c>
    </row>
    <row r="4156" spans="1:16" x14ac:dyDescent="0.25">
      <c r="A4156" t="s">
        <v>26563</v>
      </c>
      <c r="B4156" t="s">
        <v>16595</v>
      </c>
      <c r="C4156" t="s">
        <v>3987</v>
      </c>
      <c r="D4156" t="str">
        <f>"2707"</f>
        <v>2707</v>
      </c>
      <c r="E4156" t="s">
        <v>3019</v>
      </c>
      <c r="F4156" t="s">
        <v>15183</v>
      </c>
      <c r="G4156" t="s">
        <v>16448</v>
      </c>
      <c r="H4156" t="s">
        <v>47055</v>
      </c>
      <c r="I4156" t="s">
        <v>47120</v>
      </c>
      <c r="J4156" t="s">
        <v>47121</v>
      </c>
      <c r="K4156" t="s">
        <v>47113</v>
      </c>
      <c r="L4156">
        <v>69.849999999999994</v>
      </c>
      <c r="M4156">
        <v>142</v>
      </c>
      <c r="N4156">
        <v>0</v>
      </c>
      <c r="O4156">
        <v>142</v>
      </c>
      <c r="P4156">
        <v>0</v>
      </c>
    </row>
    <row r="4157" spans="1:16" x14ac:dyDescent="0.25">
      <c r="A4157" t="s">
        <v>26564</v>
      </c>
      <c r="B4157" t="s">
        <v>16595</v>
      </c>
      <c r="C4157" t="s">
        <v>3987</v>
      </c>
      <c r="D4157" t="str">
        <f>"4000"</f>
        <v>4000</v>
      </c>
      <c r="E4157" t="s">
        <v>16596</v>
      </c>
      <c r="F4157" t="s">
        <v>15183</v>
      </c>
      <c r="G4157" t="s">
        <v>16448</v>
      </c>
      <c r="H4157" t="s">
        <v>47055</v>
      </c>
      <c r="I4157" t="s">
        <v>47120</v>
      </c>
      <c r="J4157" t="s">
        <v>47121</v>
      </c>
      <c r="K4157" t="s">
        <v>47113</v>
      </c>
      <c r="L4157">
        <v>69.849999999999994</v>
      </c>
      <c r="M4157">
        <v>142</v>
      </c>
      <c r="N4157">
        <v>0</v>
      </c>
      <c r="O4157">
        <v>142</v>
      </c>
      <c r="P4157">
        <v>0</v>
      </c>
    </row>
    <row r="4158" spans="1:16" x14ac:dyDescent="0.25">
      <c r="A4158" t="s">
        <v>26565</v>
      </c>
      <c r="B4158" t="s">
        <v>16595</v>
      </c>
      <c r="C4158" t="s">
        <v>3987</v>
      </c>
      <c r="D4158" t="str">
        <f>"4739"</f>
        <v>4739</v>
      </c>
      <c r="E4158" t="s">
        <v>16515</v>
      </c>
      <c r="F4158" t="s">
        <v>15183</v>
      </c>
      <c r="G4158" t="s">
        <v>16448</v>
      </c>
      <c r="H4158" t="s">
        <v>47055</v>
      </c>
      <c r="I4158" t="s">
        <v>47120</v>
      </c>
      <c r="J4158" t="s">
        <v>47121</v>
      </c>
      <c r="K4158" t="s">
        <v>47113</v>
      </c>
      <c r="L4158">
        <v>69.849999999999994</v>
      </c>
      <c r="M4158">
        <v>142</v>
      </c>
      <c r="N4158">
        <v>0</v>
      </c>
      <c r="O4158">
        <v>142</v>
      </c>
      <c r="P4158">
        <v>0</v>
      </c>
    </row>
    <row r="4159" spans="1:16" x14ac:dyDescent="0.25">
      <c r="A4159" t="s">
        <v>26566</v>
      </c>
      <c r="B4159" t="s">
        <v>16595</v>
      </c>
      <c r="C4159" t="s">
        <v>3987</v>
      </c>
      <c r="D4159" t="str">
        <f>"6000"</f>
        <v>6000</v>
      </c>
      <c r="E4159" t="s">
        <v>238</v>
      </c>
      <c r="F4159" t="s">
        <v>15183</v>
      </c>
      <c r="G4159" t="s">
        <v>16448</v>
      </c>
      <c r="H4159" t="s">
        <v>47055</v>
      </c>
      <c r="I4159" t="s">
        <v>47120</v>
      </c>
      <c r="J4159" t="s">
        <v>47121</v>
      </c>
      <c r="K4159" t="s">
        <v>47113</v>
      </c>
      <c r="L4159">
        <v>69.849999999999994</v>
      </c>
      <c r="M4159">
        <v>142</v>
      </c>
      <c r="N4159">
        <v>0</v>
      </c>
      <c r="O4159">
        <v>142</v>
      </c>
      <c r="P4159">
        <v>0</v>
      </c>
    </row>
    <row r="4160" spans="1:16" x14ac:dyDescent="0.25">
      <c r="A4160" t="s">
        <v>26567</v>
      </c>
      <c r="B4160" t="s">
        <v>16595</v>
      </c>
      <c r="C4160" t="s">
        <v>3987</v>
      </c>
      <c r="D4160" t="s">
        <v>15692</v>
      </c>
      <c r="E4160" t="s">
        <v>46</v>
      </c>
      <c r="F4160" t="s">
        <v>15183</v>
      </c>
      <c r="G4160" t="s">
        <v>16448</v>
      </c>
      <c r="H4160" t="s">
        <v>47055</v>
      </c>
      <c r="I4160" t="s">
        <v>47120</v>
      </c>
      <c r="J4160" t="s">
        <v>47121</v>
      </c>
      <c r="K4160" t="s">
        <v>47113</v>
      </c>
      <c r="L4160">
        <v>69.849999999999994</v>
      </c>
      <c r="M4160">
        <v>142</v>
      </c>
      <c r="N4160">
        <v>0</v>
      </c>
      <c r="O4160">
        <v>142</v>
      </c>
      <c r="P4160">
        <v>0</v>
      </c>
    </row>
    <row r="4161" spans="1:16" x14ac:dyDescent="0.25">
      <c r="A4161" t="s">
        <v>26568</v>
      </c>
      <c r="B4161" t="s">
        <v>16595</v>
      </c>
      <c r="C4161" t="s">
        <v>3987</v>
      </c>
      <c r="D4161" t="s">
        <v>8967</v>
      </c>
      <c r="E4161" t="s">
        <v>6279</v>
      </c>
      <c r="F4161" t="s">
        <v>15183</v>
      </c>
      <c r="G4161" t="s">
        <v>16448</v>
      </c>
      <c r="H4161" t="s">
        <v>47055</v>
      </c>
      <c r="I4161" t="s">
        <v>47120</v>
      </c>
      <c r="J4161" t="s">
        <v>47121</v>
      </c>
      <c r="K4161" t="s">
        <v>47113</v>
      </c>
      <c r="L4161">
        <v>69.849999999999994</v>
      </c>
      <c r="M4161">
        <v>142</v>
      </c>
      <c r="N4161">
        <v>0</v>
      </c>
      <c r="O4161">
        <v>142</v>
      </c>
      <c r="P4161">
        <v>0</v>
      </c>
    </row>
    <row r="4162" spans="1:16" x14ac:dyDescent="0.25">
      <c r="A4162" t="s">
        <v>26569</v>
      </c>
      <c r="B4162" t="s">
        <v>16597</v>
      </c>
      <c r="C4162" t="s">
        <v>16598</v>
      </c>
      <c r="D4162" t="str">
        <f>"1001"</f>
        <v>1001</v>
      </c>
      <c r="E4162" t="s">
        <v>42</v>
      </c>
      <c r="F4162" t="s">
        <v>15183</v>
      </c>
      <c r="G4162" t="s">
        <v>16448</v>
      </c>
      <c r="H4162" t="s">
        <v>47055</v>
      </c>
      <c r="I4162" t="s">
        <v>47120</v>
      </c>
      <c r="J4162" t="s">
        <v>47121</v>
      </c>
      <c r="K4162" t="s">
        <v>47113</v>
      </c>
      <c r="L4162">
        <v>150.61000000000001</v>
      </c>
      <c r="M4162">
        <v>306</v>
      </c>
      <c r="N4162">
        <v>0</v>
      </c>
      <c r="O4162">
        <v>306</v>
      </c>
      <c r="P4162">
        <v>0</v>
      </c>
    </row>
    <row r="4163" spans="1:16" x14ac:dyDescent="0.25">
      <c r="A4163" t="s">
        <v>26570</v>
      </c>
      <c r="B4163" t="s">
        <v>16597</v>
      </c>
      <c r="C4163" t="s">
        <v>16598</v>
      </c>
      <c r="D4163" t="str">
        <f>"1106"</f>
        <v>1106</v>
      </c>
      <c r="E4163" t="s">
        <v>460</v>
      </c>
      <c r="F4163" t="s">
        <v>15183</v>
      </c>
      <c r="G4163" t="s">
        <v>16448</v>
      </c>
      <c r="H4163" t="s">
        <v>47055</v>
      </c>
      <c r="I4163" t="s">
        <v>47120</v>
      </c>
      <c r="J4163" t="s">
        <v>47121</v>
      </c>
      <c r="K4163" t="s">
        <v>47113</v>
      </c>
      <c r="L4163">
        <v>150.61000000000001</v>
      </c>
      <c r="M4163">
        <v>306</v>
      </c>
      <c r="N4163">
        <v>0</v>
      </c>
      <c r="O4163">
        <v>306</v>
      </c>
      <c r="P4163">
        <v>0</v>
      </c>
    </row>
    <row r="4164" spans="1:16" x14ac:dyDescent="0.25">
      <c r="A4164" t="s">
        <v>26571</v>
      </c>
      <c r="B4164" t="s">
        <v>16597</v>
      </c>
      <c r="C4164" t="s">
        <v>16598</v>
      </c>
      <c r="D4164" t="str">
        <f>"1200"</f>
        <v>1200</v>
      </c>
      <c r="E4164" t="s">
        <v>16514</v>
      </c>
      <c r="F4164" t="s">
        <v>15183</v>
      </c>
      <c r="G4164" t="s">
        <v>16448</v>
      </c>
      <c r="H4164" t="s">
        <v>47055</v>
      </c>
      <c r="I4164" t="s">
        <v>47120</v>
      </c>
      <c r="J4164" t="s">
        <v>47121</v>
      </c>
      <c r="K4164" t="s">
        <v>47113</v>
      </c>
      <c r="L4164">
        <v>150.61000000000001</v>
      </c>
      <c r="M4164">
        <v>306</v>
      </c>
      <c r="N4164">
        <v>0</v>
      </c>
      <c r="O4164">
        <v>306</v>
      </c>
      <c r="P4164">
        <v>0</v>
      </c>
    </row>
    <row r="4165" spans="1:16" x14ac:dyDescent="0.25">
      <c r="A4165" t="s">
        <v>26572</v>
      </c>
      <c r="B4165" t="s">
        <v>16597</v>
      </c>
      <c r="C4165" t="s">
        <v>16598</v>
      </c>
      <c r="D4165" t="str">
        <f>"1423"</f>
        <v>1423</v>
      </c>
      <c r="E4165" t="s">
        <v>16571</v>
      </c>
      <c r="F4165" t="s">
        <v>15183</v>
      </c>
      <c r="G4165" t="s">
        <v>16448</v>
      </c>
      <c r="H4165" t="s">
        <v>47055</v>
      </c>
      <c r="I4165" t="s">
        <v>47120</v>
      </c>
      <c r="J4165" t="s">
        <v>47121</v>
      </c>
      <c r="K4165" t="s">
        <v>47113</v>
      </c>
      <c r="L4165">
        <v>150.61000000000001</v>
      </c>
      <c r="M4165">
        <v>306</v>
      </c>
      <c r="N4165">
        <v>0</v>
      </c>
      <c r="O4165">
        <v>306</v>
      </c>
      <c r="P4165">
        <v>0</v>
      </c>
    </row>
    <row r="4166" spans="1:16" x14ac:dyDescent="0.25">
      <c r="A4166" t="s">
        <v>26573</v>
      </c>
      <c r="B4166" t="s">
        <v>16597</v>
      </c>
      <c r="C4166" t="s">
        <v>16598</v>
      </c>
      <c r="D4166" t="str">
        <f>"2377"</f>
        <v>2377</v>
      </c>
      <c r="E4166" t="s">
        <v>16572</v>
      </c>
      <c r="F4166" t="s">
        <v>15183</v>
      </c>
      <c r="G4166" t="s">
        <v>16448</v>
      </c>
      <c r="H4166" t="s">
        <v>47055</v>
      </c>
      <c r="I4166" t="s">
        <v>47120</v>
      </c>
      <c r="J4166" t="s">
        <v>47121</v>
      </c>
      <c r="K4166" t="s">
        <v>47113</v>
      </c>
      <c r="L4166">
        <v>150.61000000000001</v>
      </c>
      <c r="M4166">
        <v>306</v>
      </c>
      <c r="N4166">
        <v>0</v>
      </c>
      <c r="O4166">
        <v>306</v>
      </c>
      <c r="P4166">
        <v>0</v>
      </c>
    </row>
    <row r="4167" spans="1:16" x14ac:dyDescent="0.25">
      <c r="A4167" t="s">
        <v>26574</v>
      </c>
      <c r="B4167" t="s">
        <v>16597</v>
      </c>
      <c r="C4167" t="s">
        <v>16598</v>
      </c>
      <c r="D4167" t="str">
        <f>"2707"</f>
        <v>2707</v>
      </c>
      <c r="E4167" t="s">
        <v>3019</v>
      </c>
      <c r="F4167" t="s">
        <v>15183</v>
      </c>
      <c r="G4167" t="s">
        <v>16448</v>
      </c>
      <c r="H4167" t="s">
        <v>47055</v>
      </c>
      <c r="I4167" t="s">
        <v>47120</v>
      </c>
      <c r="J4167" t="s">
        <v>47121</v>
      </c>
      <c r="K4167" t="s">
        <v>47113</v>
      </c>
      <c r="L4167">
        <v>150.61000000000001</v>
      </c>
      <c r="M4167">
        <v>306</v>
      </c>
      <c r="N4167">
        <v>0</v>
      </c>
      <c r="O4167">
        <v>306</v>
      </c>
      <c r="P4167">
        <v>0</v>
      </c>
    </row>
    <row r="4168" spans="1:16" x14ac:dyDescent="0.25">
      <c r="A4168" t="s">
        <v>26575</v>
      </c>
      <c r="B4168" t="s">
        <v>16597</v>
      </c>
      <c r="C4168" t="s">
        <v>16598</v>
      </c>
      <c r="D4168" t="str">
        <f>"4739"</f>
        <v>4739</v>
      </c>
      <c r="E4168" t="s">
        <v>16515</v>
      </c>
      <c r="F4168" t="s">
        <v>15183</v>
      </c>
      <c r="G4168" t="s">
        <v>16448</v>
      </c>
      <c r="H4168" t="s">
        <v>47055</v>
      </c>
      <c r="I4168" t="s">
        <v>47120</v>
      </c>
      <c r="J4168" t="s">
        <v>47121</v>
      </c>
      <c r="K4168" t="s">
        <v>47113</v>
      </c>
      <c r="L4168">
        <v>150.61000000000001</v>
      </c>
      <c r="M4168">
        <v>306</v>
      </c>
      <c r="N4168">
        <v>0</v>
      </c>
      <c r="O4168">
        <v>306</v>
      </c>
      <c r="P4168">
        <v>0</v>
      </c>
    </row>
    <row r="4169" spans="1:16" x14ac:dyDescent="0.25">
      <c r="A4169" t="s">
        <v>26576</v>
      </c>
      <c r="B4169" t="s">
        <v>16597</v>
      </c>
      <c r="C4169" t="s">
        <v>16598</v>
      </c>
      <c r="D4169" t="s">
        <v>15692</v>
      </c>
      <c r="E4169" t="s">
        <v>46</v>
      </c>
      <c r="F4169" t="s">
        <v>15183</v>
      </c>
      <c r="G4169" t="s">
        <v>16448</v>
      </c>
      <c r="H4169" t="s">
        <v>47055</v>
      </c>
      <c r="I4169" t="s">
        <v>47120</v>
      </c>
      <c r="J4169" t="s">
        <v>47121</v>
      </c>
      <c r="K4169" t="s">
        <v>47113</v>
      </c>
      <c r="L4169">
        <v>150.61000000000001</v>
      </c>
      <c r="M4169">
        <v>306</v>
      </c>
      <c r="N4169">
        <v>0</v>
      </c>
      <c r="O4169">
        <v>306</v>
      </c>
      <c r="P4169">
        <v>0</v>
      </c>
    </row>
    <row r="4170" spans="1:16" x14ac:dyDescent="0.25">
      <c r="A4170" t="s">
        <v>26577</v>
      </c>
      <c r="B4170" t="s">
        <v>16597</v>
      </c>
      <c r="C4170" t="s">
        <v>16598</v>
      </c>
      <c r="D4170" t="s">
        <v>8967</v>
      </c>
      <c r="E4170" t="s">
        <v>6279</v>
      </c>
      <c r="F4170" t="s">
        <v>15183</v>
      </c>
      <c r="G4170" t="s">
        <v>16448</v>
      </c>
      <c r="H4170" t="s">
        <v>47055</v>
      </c>
      <c r="I4170" t="s">
        <v>47120</v>
      </c>
      <c r="J4170" t="s">
        <v>47121</v>
      </c>
      <c r="K4170" t="s">
        <v>47113</v>
      </c>
      <c r="L4170">
        <v>150.61000000000001</v>
      </c>
      <c r="M4170">
        <v>306</v>
      </c>
      <c r="N4170">
        <v>0</v>
      </c>
      <c r="O4170">
        <v>306</v>
      </c>
      <c r="P4170">
        <v>0</v>
      </c>
    </row>
    <row r="4171" spans="1:16" x14ac:dyDescent="0.25">
      <c r="A4171" t="s">
        <v>26578</v>
      </c>
      <c r="B4171" t="s">
        <v>16599</v>
      </c>
      <c r="C4171" t="s">
        <v>16600</v>
      </c>
      <c r="D4171" t="str">
        <f>"1106"</f>
        <v>1106</v>
      </c>
      <c r="E4171" t="s">
        <v>460</v>
      </c>
      <c r="F4171" t="s">
        <v>16601</v>
      </c>
      <c r="G4171" t="s">
        <v>16235</v>
      </c>
      <c r="H4171" t="s">
        <v>47055</v>
      </c>
      <c r="I4171" t="s">
        <v>47127</v>
      </c>
      <c r="J4171" t="s">
        <v>47128</v>
      </c>
      <c r="K4171" t="s">
        <v>47113</v>
      </c>
      <c r="L4171">
        <v>38.799999999999997</v>
      </c>
      <c r="M4171">
        <v>74</v>
      </c>
      <c r="N4171">
        <v>0</v>
      </c>
      <c r="O4171">
        <v>74</v>
      </c>
      <c r="P4171">
        <v>0</v>
      </c>
    </row>
    <row r="4172" spans="1:16" x14ac:dyDescent="0.25">
      <c r="A4172" t="s">
        <v>26579</v>
      </c>
      <c r="B4172" t="s">
        <v>16599</v>
      </c>
      <c r="C4172" t="s">
        <v>16600</v>
      </c>
      <c r="D4172" t="str">
        <f>"1285"</f>
        <v>1285</v>
      </c>
      <c r="E4172" t="s">
        <v>2148</v>
      </c>
      <c r="F4172" t="s">
        <v>16601</v>
      </c>
      <c r="G4172" t="s">
        <v>16235</v>
      </c>
      <c r="H4172" t="s">
        <v>47055</v>
      </c>
      <c r="I4172" t="s">
        <v>47127</v>
      </c>
      <c r="J4172" t="s">
        <v>47128</v>
      </c>
      <c r="K4172" t="s">
        <v>47113</v>
      </c>
      <c r="L4172">
        <v>38.799999999999997</v>
      </c>
      <c r="M4172">
        <v>74</v>
      </c>
      <c r="N4172">
        <v>0</v>
      </c>
      <c r="O4172">
        <v>74</v>
      </c>
      <c r="P4172">
        <v>0</v>
      </c>
    </row>
    <row r="4173" spans="1:16" x14ac:dyDescent="0.25">
      <c r="A4173" t="s">
        <v>26580</v>
      </c>
      <c r="B4173" t="s">
        <v>16599</v>
      </c>
      <c r="C4173" t="s">
        <v>16600</v>
      </c>
      <c r="D4173" t="str">
        <f>"3160"</f>
        <v>3160</v>
      </c>
      <c r="E4173" t="s">
        <v>16602</v>
      </c>
      <c r="F4173" t="s">
        <v>16601</v>
      </c>
      <c r="G4173" t="s">
        <v>16235</v>
      </c>
      <c r="H4173" t="s">
        <v>47055</v>
      </c>
      <c r="I4173" t="s">
        <v>47127</v>
      </c>
      <c r="J4173" t="s">
        <v>47128</v>
      </c>
      <c r="K4173" t="s">
        <v>47113</v>
      </c>
      <c r="L4173">
        <v>38.799999999999997</v>
      </c>
      <c r="M4173">
        <v>74</v>
      </c>
      <c r="N4173">
        <v>0</v>
      </c>
      <c r="O4173">
        <v>74</v>
      </c>
      <c r="P4173">
        <v>0</v>
      </c>
    </row>
    <row r="4174" spans="1:16" x14ac:dyDescent="0.25">
      <c r="A4174" t="s">
        <v>26581</v>
      </c>
      <c r="B4174" t="s">
        <v>16599</v>
      </c>
      <c r="C4174" t="s">
        <v>16600</v>
      </c>
      <c r="D4174" t="str">
        <f>"4000"</f>
        <v>4000</v>
      </c>
      <c r="E4174" t="s">
        <v>16603</v>
      </c>
      <c r="F4174" t="s">
        <v>16601</v>
      </c>
      <c r="G4174" t="s">
        <v>16235</v>
      </c>
      <c r="H4174" t="s">
        <v>47055</v>
      </c>
      <c r="I4174" t="s">
        <v>47127</v>
      </c>
      <c r="J4174" t="s">
        <v>47128</v>
      </c>
      <c r="K4174" t="s">
        <v>47113</v>
      </c>
      <c r="L4174">
        <v>38.799999999999997</v>
      </c>
      <c r="M4174">
        <v>74</v>
      </c>
      <c r="N4174">
        <v>0</v>
      </c>
      <c r="O4174">
        <v>74</v>
      </c>
      <c r="P4174">
        <v>0</v>
      </c>
    </row>
    <row r="4175" spans="1:16" x14ac:dyDescent="0.25">
      <c r="A4175" t="s">
        <v>26582</v>
      </c>
      <c r="B4175" t="s">
        <v>16599</v>
      </c>
      <c r="C4175" t="s">
        <v>16600</v>
      </c>
      <c r="D4175" t="str">
        <f>"4643"</f>
        <v>4643</v>
      </c>
      <c r="E4175" t="s">
        <v>205</v>
      </c>
      <c r="F4175" t="s">
        <v>16601</v>
      </c>
      <c r="G4175" t="s">
        <v>16235</v>
      </c>
      <c r="H4175" t="s">
        <v>47055</v>
      </c>
      <c r="I4175" t="s">
        <v>47127</v>
      </c>
      <c r="J4175" t="s">
        <v>47128</v>
      </c>
      <c r="K4175" t="s">
        <v>47113</v>
      </c>
      <c r="L4175">
        <v>38.799999999999997</v>
      </c>
      <c r="M4175">
        <v>74</v>
      </c>
      <c r="N4175">
        <v>0</v>
      </c>
      <c r="O4175">
        <v>74</v>
      </c>
      <c r="P4175">
        <v>0</v>
      </c>
    </row>
    <row r="4176" spans="1:16" x14ac:dyDescent="0.25">
      <c r="A4176" t="s">
        <v>26583</v>
      </c>
      <c r="B4176" t="s">
        <v>16604</v>
      </c>
      <c r="C4176" t="s">
        <v>16605</v>
      </c>
      <c r="D4176" t="str">
        <f>"1106"</f>
        <v>1106</v>
      </c>
      <c r="E4176" t="s">
        <v>460</v>
      </c>
      <c r="F4176" t="s">
        <v>16601</v>
      </c>
      <c r="G4176" t="s">
        <v>16235</v>
      </c>
      <c r="H4176" t="s">
        <v>47055</v>
      </c>
      <c r="I4176" t="s">
        <v>47127</v>
      </c>
      <c r="J4176" t="s">
        <v>47128</v>
      </c>
      <c r="K4176" t="s">
        <v>47113</v>
      </c>
      <c r="L4176">
        <v>36.520000000000003</v>
      </c>
      <c r="M4176">
        <v>63</v>
      </c>
      <c r="N4176">
        <v>0</v>
      </c>
      <c r="O4176">
        <v>63</v>
      </c>
      <c r="P4176">
        <v>0</v>
      </c>
    </row>
    <row r="4177" spans="1:16" x14ac:dyDescent="0.25">
      <c r="A4177" t="s">
        <v>26584</v>
      </c>
      <c r="B4177" t="s">
        <v>16604</v>
      </c>
      <c r="C4177" t="s">
        <v>16605</v>
      </c>
      <c r="D4177" t="str">
        <f>"1285"</f>
        <v>1285</v>
      </c>
      <c r="E4177" t="s">
        <v>2148</v>
      </c>
      <c r="F4177" t="s">
        <v>16601</v>
      </c>
      <c r="G4177" t="s">
        <v>16235</v>
      </c>
      <c r="H4177" t="s">
        <v>47055</v>
      </c>
      <c r="I4177" t="s">
        <v>47127</v>
      </c>
      <c r="J4177" t="s">
        <v>47128</v>
      </c>
      <c r="K4177" t="s">
        <v>47113</v>
      </c>
      <c r="L4177">
        <v>36.520000000000003</v>
      </c>
      <c r="M4177">
        <v>63</v>
      </c>
      <c r="N4177">
        <v>0</v>
      </c>
      <c r="O4177">
        <v>63</v>
      </c>
      <c r="P4177">
        <v>0</v>
      </c>
    </row>
    <row r="4178" spans="1:16" x14ac:dyDescent="0.25">
      <c r="A4178" t="s">
        <v>26585</v>
      </c>
      <c r="B4178" t="s">
        <v>16604</v>
      </c>
      <c r="C4178" t="s">
        <v>16605</v>
      </c>
      <c r="D4178" t="str">
        <f>"3160"</f>
        <v>3160</v>
      </c>
      <c r="E4178" t="s">
        <v>16602</v>
      </c>
      <c r="F4178" t="s">
        <v>16601</v>
      </c>
      <c r="G4178" t="s">
        <v>16235</v>
      </c>
      <c r="H4178" t="s">
        <v>47055</v>
      </c>
      <c r="I4178" t="s">
        <v>47127</v>
      </c>
      <c r="J4178" t="s">
        <v>47128</v>
      </c>
      <c r="K4178" t="s">
        <v>47113</v>
      </c>
      <c r="L4178">
        <v>36.520000000000003</v>
      </c>
      <c r="M4178">
        <v>63</v>
      </c>
      <c r="N4178">
        <v>0</v>
      </c>
      <c r="O4178">
        <v>63</v>
      </c>
      <c r="P4178">
        <v>0</v>
      </c>
    </row>
    <row r="4179" spans="1:16" x14ac:dyDescent="0.25">
      <c r="A4179" t="s">
        <v>26586</v>
      </c>
      <c r="B4179" t="s">
        <v>16604</v>
      </c>
      <c r="C4179" t="s">
        <v>16605</v>
      </c>
      <c r="D4179" t="str">
        <f>"4000"</f>
        <v>4000</v>
      </c>
      <c r="E4179" t="s">
        <v>16603</v>
      </c>
      <c r="F4179" t="s">
        <v>16601</v>
      </c>
      <c r="G4179" t="s">
        <v>16235</v>
      </c>
      <c r="H4179" t="s">
        <v>47055</v>
      </c>
      <c r="I4179" t="s">
        <v>47127</v>
      </c>
      <c r="J4179" t="s">
        <v>47128</v>
      </c>
      <c r="K4179" t="s">
        <v>47113</v>
      </c>
      <c r="L4179">
        <v>36.520000000000003</v>
      </c>
      <c r="M4179">
        <v>63</v>
      </c>
      <c r="N4179">
        <v>0</v>
      </c>
      <c r="O4179">
        <v>63</v>
      </c>
      <c r="P4179">
        <v>0</v>
      </c>
    </row>
    <row r="4180" spans="1:16" x14ac:dyDescent="0.25">
      <c r="A4180" t="s">
        <v>26587</v>
      </c>
      <c r="B4180" t="s">
        <v>16604</v>
      </c>
      <c r="C4180" t="s">
        <v>16605</v>
      </c>
      <c r="D4180" t="str">
        <f>"4643"</f>
        <v>4643</v>
      </c>
      <c r="E4180" t="s">
        <v>205</v>
      </c>
      <c r="F4180" t="s">
        <v>16601</v>
      </c>
      <c r="G4180" t="s">
        <v>16235</v>
      </c>
      <c r="H4180" t="s">
        <v>47055</v>
      </c>
      <c r="I4180" t="s">
        <v>47127</v>
      </c>
      <c r="J4180" t="s">
        <v>47128</v>
      </c>
      <c r="K4180" t="s">
        <v>47113</v>
      </c>
      <c r="L4180">
        <v>36.520000000000003</v>
      </c>
      <c r="M4180">
        <v>63</v>
      </c>
      <c r="N4180">
        <v>0</v>
      </c>
      <c r="O4180">
        <v>63</v>
      </c>
      <c r="P4180">
        <v>0</v>
      </c>
    </row>
    <row r="4181" spans="1:16" x14ac:dyDescent="0.25">
      <c r="A4181" t="s">
        <v>26588</v>
      </c>
      <c r="B4181" t="s">
        <v>16606</v>
      </c>
      <c r="C4181" t="s">
        <v>16607</v>
      </c>
      <c r="D4181" t="str">
        <f>"1106"</f>
        <v>1106</v>
      </c>
      <c r="E4181" t="s">
        <v>460</v>
      </c>
      <c r="F4181" t="s">
        <v>16601</v>
      </c>
      <c r="G4181" t="s">
        <v>16221</v>
      </c>
      <c r="H4181" t="s">
        <v>47055</v>
      </c>
      <c r="I4181" t="s">
        <v>47127</v>
      </c>
      <c r="J4181" t="s">
        <v>47128</v>
      </c>
      <c r="K4181" t="s">
        <v>47113</v>
      </c>
      <c r="L4181">
        <v>15.98</v>
      </c>
      <c r="M4181">
        <v>29</v>
      </c>
      <c r="N4181">
        <v>0</v>
      </c>
      <c r="O4181">
        <v>29</v>
      </c>
      <c r="P4181">
        <v>0</v>
      </c>
    </row>
    <row r="4182" spans="1:16" x14ac:dyDescent="0.25">
      <c r="A4182" t="s">
        <v>26589</v>
      </c>
      <c r="B4182" t="s">
        <v>16606</v>
      </c>
      <c r="C4182" t="s">
        <v>16607</v>
      </c>
      <c r="D4182" t="str">
        <f>"1278"</f>
        <v>1278</v>
      </c>
      <c r="E4182" t="s">
        <v>100</v>
      </c>
      <c r="F4182" t="s">
        <v>16601</v>
      </c>
      <c r="G4182" t="s">
        <v>16221</v>
      </c>
      <c r="H4182" t="s">
        <v>47055</v>
      </c>
      <c r="I4182" t="s">
        <v>47127</v>
      </c>
      <c r="J4182" t="s">
        <v>47128</v>
      </c>
      <c r="K4182" t="s">
        <v>47113</v>
      </c>
      <c r="L4182">
        <v>15.98</v>
      </c>
      <c r="M4182">
        <v>29</v>
      </c>
      <c r="N4182">
        <v>0</v>
      </c>
      <c r="O4182">
        <v>29</v>
      </c>
      <c r="P4182">
        <v>0</v>
      </c>
    </row>
    <row r="4183" spans="1:16" x14ac:dyDescent="0.25">
      <c r="A4183" t="s">
        <v>26590</v>
      </c>
      <c r="B4183" t="s">
        <v>16606</v>
      </c>
      <c r="C4183" t="s">
        <v>16607</v>
      </c>
      <c r="D4183" t="str">
        <f>"1700"</f>
        <v>1700</v>
      </c>
      <c r="E4183" t="s">
        <v>60</v>
      </c>
      <c r="F4183" t="s">
        <v>16601</v>
      </c>
      <c r="G4183" t="s">
        <v>16221</v>
      </c>
      <c r="H4183" t="s">
        <v>47055</v>
      </c>
      <c r="I4183" t="s">
        <v>47127</v>
      </c>
      <c r="J4183" t="s">
        <v>47128</v>
      </c>
      <c r="K4183" t="s">
        <v>47113</v>
      </c>
      <c r="L4183">
        <v>15.98</v>
      </c>
      <c r="M4183">
        <v>29</v>
      </c>
      <c r="N4183">
        <v>0</v>
      </c>
      <c r="O4183">
        <v>29</v>
      </c>
      <c r="P4183">
        <v>0</v>
      </c>
    </row>
    <row r="4184" spans="1:16" x14ac:dyDescent="0.25">
      <c r="A4184" t="s">
        <v>26591</v>
      </c>
      <c r="B4184" t="s">
        <v>16606</v>
      </c>
      <c r="C4184" t="s">
        <v>16607</v>
      </c>
      <c r="D4184" t="str">
        <f>"3160"</f>
        <v>3160</v>
      </c>
      <c r="E4184" t="s">
        <v>16602</v>
      </c>
      <c r="F4184" t="s">
        <v>16601</v>
      </c>
      <c r="G4184" t="s">
        <v>16221</v>
      </c>
      <c r="H4184" t="s">
        <v>47055</v>
      </c>
      <c r="I4184" t="s">
        <v>47127</v>
      </c>
      <c r="J4184" t="s">
        <v>47128</v>
      </c>
      <c r="K4184" t="s">
        <v>47113</v>
      </c>
      <c r="L4184">
        <v>15.98</v>
      </c>
      <c r="M4184">
        <v>29</v>
      </c>
      <c r="N4184">
        <v>0</v>
      </c>
      <c r="O4184">
        <v>29</v>
      </c>
      <c r="P4184">
        <v>0</v>
      </c>
    </row>
    <row r="4185" spans="1:16" x14ac:dyDescent="0.25">
      <c r="A4185" t="s">
        <v>26592</v>
      </c>
      <c r="B4185" t="s">
        <v>16606</v>
      </c>
      <c r="C4185" t="s">
        <v>16607</v>
      </c>
      <c r="D4185" t="str">
        <f>"4000"</f>
        <v>4000</v>
      </c>
      <c r="E4185" t="s">
        <v>16603</v>
      </c>
      <c r="F4185" t="s">
        <v>16601</v>
      </c>
      <c r="G4185" t="s">
        <v>16221</v>
      </c>
      <c r="H4185" t="s">
        <v>47055</v>
      </c>
      <c r="I4185" t="s">
        <v>47127</v>
      </c>
      <c r="J4185" t="s">
        <v>47128</v>
      </c>
      <c r="K4185" t="s">
        <v>47113</v>
      </c>
      <c r="L4185">
        <v>15.98</v>
      </c>
      <c r="M4185">
        <v>29</v>
      </c>
      <c r="N4185">
        <v>0</v>
      </c>
      <c r="O4185">
        <v>29</v>
      </c>
      <c r="P4185">
        <v>0</v>
      </c>
    </row>
    <row r="4186" spans="1:16" x14ac:dyDescent="0.25">
      <c r="A4186" t="s">
        <v>26593</v>
      </c>
      <c r="B4186" t="s">
        <v>16606</v>
      </c>
      <c r="C4186" t="s">
        <v>16607</v>
      </c>
      <c r="D4186" t="str">
        <f>"4643"</f>
        <v>4643</v>
      </c>
      <c r="E4186" t="s">
        <v>205</v>
      </c>
      <c r="F4186" t="s">
        <v>16601</v>
      </c>
      <c r="G4186" t="s">
        <v>16221</v>
      </c>
      <c r="H4186" t="s">
        <v>47055</v>
      </c>
      <c r="I4186" t="s">
        <v>47127</v>
      </c>
      <c r="J4186" t="s">
        <v>47128</v>
      </c>
      <c r="K4186" t="s">
        <v>47113</v>
      </c>
      <c r="L4186">
        <v>15.98</v>
      </c>
      <c r="M4186">
        <v>29</v>
      </c>
      <c r="N4186">
        <v>0</v>
      </c>
      <c r="O4186">
        <v>29</v>
      </c>
      <c r="P4186">
        <v>0</v>
      </c>
    </row>
    <row r="4187" spans="1:16" x14ac:dyDescent="0.25">
      <c r="A4187" t="s">
        <v>26594</v>
      </c>
      <c r="B4187" t="s">
        <v>16608</v>
      </c>
      <c r="C4187" t="s">
        <v>16605</v>
      </c>
      <c r="D4187" t="str">
        <f>"1106"</f>
        <v>1106</v>
      </c>
      <c r="E4187" t="s">
        <v>460</v>
      </c>
      <c r="F4187" t="s">
        <v>16601</v>
      </c>
      <c r="G4187" t="s">
        <v>16235</v>
      </c>
      <c r="H4187" t="s">
        <v>47055</v>
      </c>
      <c r="I4187" t="s">
        <v>47127</v>
      </c>
      <c r="J4187" t="s">
        <v>47128</v>
      </c>
      <c r="K4187" t="s">
        <v>47113</v>
      </c>
      <c r="L4187">
        <v>34.24</v>
      </c>
      <c r="M4187">
        <v>63</v>
      </c>
      <c r="N4187">
        <v>0</v>
      </c>
      <c r="O4187">
        <v>63</v>
      </c>
      <c r="P4187">
        <v>0</v>
      </c>
    </row>
    <row r="4188" spans="1:16" x14ac:dyDescent="0.25">
      <c r="A4188" t="s">
        <v>26595</v>
      </c>
      <c r="B4188" t="s">
        <v>16608</v>
      </c>
      <c r="C4188" t="s">
        <v>16605</v>
      </c>
      <c r="D4188" t="str">
        <f>"1285"</f>
        <v>1285</v>
      </c>
      <c r="E4188" t="s">
        <v>2148</v>
      </c>
      <c r="F4188" t="s">
        <v>16601</v>
      </c>
      <c r="G4188" t="s">
        <v>16235</v>
      </c>
      <c r="H4188" t="s">
        <v>47055</v>
      </c>
      <c r="I4188" t="s">
        <v>47127</v>
      </c>
      <c r="J4188" t="s">
        <v>47128</v>
      </c>
      <c r="K4188" t="s">
        <v>47113</v>
      </c>
      <c r="L4188">
        <v>34.24</v>
      </c>
      <c r="M4188">
        <v>63</v>
      </c>
      <c r="N4188">
        <v>0</v>
      </c>
      <c r="O4188">
        <v>63</v>
      </c>
      <c r="P4188">
        <v>0</v>
      </c>
    </row>
    <row r="4189" spans="1:16" x14ac:dyDescent="0.25">
      <c r="A4189" t="s">
        <v>26596</v>
      </c>
      <c r="B4189" t="s">
        <v>16608</v>
      </c>
      <c r="C4189" t="s">
        <v>16605</v>
      </c>
      <c r="D4189" t="str">
        <f>"3160"</f>
        <v>3160</v>
      </c>
      <c r="E4189" t="s">
        <v>16602</v>
      </c>
      <c r="F4189" t="s">
        <v>16601</v>
      </c>
      <c r="G4189" t="s">
        <v>16235</v>
      </c>
      <c r="H4189" t="s">
        <v>47055</v>
      </c>
      <c r="I4189" t="s">
        <v>47127</v>
      </c>
      <c r="J4189" t="s">
        <v>47128</v>
      </c>
      <c r="K4189" t="s">
        <v>47113</v>
      </c>
      <c r="L4189">
        <v>34.24</v>
      </c>
      <c r="M4189">
        <v>63</v>
      </c>
      <c r="N4189">
        <v>0</v>
      </c>
      <c r="O4189">
        <v>63</v>
      </c>
      <c r="P4189">
        <v>0</v>
      </c>
    </row>
    <row r="4190" spans="1:16" x14ac:dyDescent="0.25">
      <c r="A4190" t="s">
        <v>26597</v>
      </c>
      <c r="B4190" t="s">
        <v>16608</v>
      </c>
      <c r="C4190" t="s">
        <v>16605</v>
      </c>
      <c r="D4190" t="str">
        <f>"4000"</f>
        <v>4000</v>
      </c>
      <c r="E4190" t="s">
        <v>16603</v>
      </c>
      <c r="F4190" t="s">
        <v>16601</v>
      </c>
      <c r="G4190" t="s">
        <v>16235</v>
      </c>
      <c r="H4190" t="s">
        <v>47055</v>
      </c>
      <c r="I4190" t="s">
        <v>47127</v>
      </c>
      <c r="J4190" t="s">
        <v>47128</v>
      </c>
      <c r="K4190" t="s">
        <v>47113</v>
      </c>
      <c r="L4190">
        <v>34.24</v>
      </c>
      <c r="M4190">
        <v>63</v>
      </c>
      <c r="N4190">
        <v>0</v>
      </c>
      <c r="O4190">
        <v>63</v>
      </c>
      <c r="P4190">
        <v>0</v>
      </c>
    </row>
    <row r="4191" spans="1:16" x14ac:dyDescent="0.25">
      <c r="A4191" t="s">
        <v>26598</v>
      </c>
      <c r="B4191" t="s">
        <v>16608</v>
      </c>
      <c r="C4191" t="s">
        <v>16605</v>
      </c>
      <c r="D4191" t="str">
        <f>"4643"</f>
        <v>4643</v>
      </c>
      <c r="E4191" t="s">
        <v>205</v>
      </c>
      <c r="F4191" t="s">
        <v>16601</v>
      </c>
      <c r="G4191" t="s">
        <v>16235</v>
      </c>
      <c r="H4191" t="s">
        <v>47055</v>
      </c>
      <c r="I4191" t="s">
        <v>47127</v>
      </c>
      <c r="J4191" t="s">
        <v>47128</v>
      </c>
      <c r="K4191" t="s">
        <v>47113</v>
      </c>
      <c r="L4191">
        <v>34.24</v>
      </c>
      <c r="M4191">
        <v>63</v>
      </c>
      <c r="N4191">
        <v>0</v>
      </c>
      <c r="O4191">
        <v>63</v>
      </c>
      <c r="P4191">
        <v>0</v>
      </c>
    </row>
    <row r="4192" spans="1:16" x14ac:dyDescent="0.25">
      <c r="A4192" t="s">
        <v>26599</v>
      </c>
      <c r="B4192" t="s">
        <v>16609</v>
      </c>
      <c r="C4192" t="s">
        <v>16610</v>
      </c>
      <c r="D4192" t="str">
        <f>"1106"</f>
        <v>1106</v>
      </c>
      <c r="E4192" t="s">
        <v>460</v>
      </c>
      <c r="F4192" t="s">
        <v>16601</v>
      </c>
      <c r="G4192" t="s">
        <v>16222</v>
      </c>
      <c r="H4192" t="s">
        <v>47055</v>
      </c>
      <c r="I4192" t="s">
        <v>47127</v>
      </c>
      <c r="J4192" t="s">
        <v>47128</v>
      </c>
      <c r="K4192" t="s">
        <v>47113</v>
      </c>
      <c r="L4192">
        <v>36.520000000000003</v>
      </c>
      <c r="M4192">
        <v>55</v>
      </c>
      <c r="N4192">
        <v>0</v>
      </c>
      <c r="O4192">
        <v>55</v>
      </c>
      <c r="P4192">
        <v>0</v>
      </c>
    </row>
    <row r="4193" spans="1:16" x14ac:dyDescent="0.25">
      <c r="A4193" t="s">
        <v>26600</v>
      </c>
      <c r="B4193" t="s">
        <v>16609</v>
      </c>
      <c r="C4193" t="s">
        <v>16610</v>
      </c>
      <c r="D4193" t="str">
        <f>"1285"</f>
        <v>1285</v>
      </c>
      <c r="E4193" t="s">
        <v>2148</v>
      </c>
      <c r="F4193" t="s">
        <v>16601</v>
      </c>
      <c r="G4193" t="s">
        <v>16222</v>
      </c>
      <c r="H4193" t="s">
        <v>47055</v>
      </c>
      <c r="I4193" t="s">
        <v>47127</v>
      </c>
      <c r="J4193" t="s">
        <v>47128</v>
      </c>
      <c r="K4193" t="s">
        <v>47113</v>
      </c>
      <c r="L4193">
        <v>36.520000000000003</v>
      </c>
      <c r="M4193">
        <v>55</v>
      </c>
      <c r="N4193">
        <v>0</v>
      </c>
      <c r="O4193">
        <v>55</v>
      </c>
      <c r="P4193">
        <v>0</v>
      </c>
    </row>
    <row r="4194" spans="1:16" x14ac:dyDescent="0.25">
      <c r="A4194" t="s">
        <v>26601</v>
      </c>
      <c r="B4194" t="s">
        <v>16609</v>
      </c>
      <c r="C4194" t="s">
        <v>16610</v>
      </c>
      <c r="D4194" t="str">
        <f>"3160"</f>
        <v>3160</v>
      </c>
      <c r="E4194" t="s">
        <v>16602</v>
      </c>
      <c r="F4194" t="s">
        <v>16601</v>
      </c>
      <c r="G4194" t="s">
        <v>16222</v>
      </c>
      <c r="H4194" t="s">
        <v>47055</v>
      </c>
      <c r="I4194" t="s">
        <v>47127</v>
      </c>
      <c r="J4194" t="s">
        <v>47128</v>
      </c>
      <c r="K4194" t="s">
        <v>47113</v>
      </c>
      <c r="L4194">
        <v>36.520000000000003</v>
      </c>
      <c r="M4194">
        <v>55</v>
      </c>
      <c r="N4194">
        <v>0</v>
      </c>
      <c r="O4194">
        <v>55</v>
      </c>
      <c r="P4194">
        <v>0</v>
      </c>
    </row>
    <row r="4195" spans="1:16" x14ac:dyDescent="0.25">
      <c r="A4195" t="s">
        <v>26602</v>
      </c>
      <c r="B4195" t="s">
        <v>16609</v>
      </c>
      <c r="C4195" t="s">
        <v>16610</v>
      </c>
      <c r="D4195" t="str">
        <f>"4000"</f>
        <v>4000</v>
      </c>
      <c r="E4195" t="s">
        <v>16603</v>
      </c>
      <c r="F4195" t="s">
        <v>16601</v>
      </c>
      <c r="G4195" t="s">
        <v>16222</v>
      </c>
      <c r="H4195" t="s">
        <v>47055</v>
      </c>
      <c r="I4195" t="s">
        <v>47127</v>
      </c>
      <c r="J4195" t="s">
        <v>47128</v>
      </c>
      <c r="K4195" t="s">
        <v>47113</v>
      </c>
      <c r="L4195">
        <v>36.520000000000003</v>
      </c>
      <c r="M4195">
        <v>55</v>
      </c>
      <c r="N4195">
        <v>0</v>
      </c>
      <c r="O4195">
        <v>55</v>
      </c>
      <c r="P4195">
        <v>0</v>
      </c>
    </row>
    <row r="4196" spans="1:16" x14ac:dyDescent="0.25">
      <c r="A4196" t="s">
        <v>26603</v>
      </c>
      <c r="B4196" t="s">
        <v>16609</v>
      </c>
      <c r="C4196" t="s">
        <v>16610</v>
      </c>
      <c r="D4196" t="str">
        <f>"4643"</f>
        <v>4643</v>
      </c>
      <c r="E4196" t="s">
        <v>205</v>
      </c>
      <c r="F4196" t="s">
        <v>16601</v>
      </c>
      <c r="G4196" t="s">
        <v>16222</v>
      </c>
      <c r="H4196" t="s">
        <v>47055</v>
      </c>
      <c r="I4196" t="s">
        <v>47127</v>
      </c>
      <c r="J4196" t="s">
        <v>47128</v>
      </c>
      <c r="K4196" t="s">
        <v>47113</v>
      </c>
      <c r="L4196">
        <v>36.520000000000003</v>
      </c>
      <c r="M4196">
        <v>55</v>
      </c>
      <c r="N4196">
        <v>0</v>
      </c>
      <c r="O4196">
        <v>55</v>
      </c>
      <c r="P4196">
        <v>0</v>
      </c>
    </row>
    <row r="4197" spans="1:16" x14ac:dyDescent="0.25">
      <c r="A4197" t="s">
        <v>26604</v>
      </c>
      <c r="B4197" t="s">
        <v>4542</v>
      </c>
      <c r="C4197" t="s">
        <v>4543</v>
      </c>
      <c r="D4197" t="str">
        <f>"1001"</f>
        <v>1001</v>
      </c>
      <c r="E4197" t="s">
        <v>42</v>
      </c>
      <c r="F4197" t="s">
        <v>3670</v>
      </c>
      <c r="G4197" t="s">
        <v>16224</v>
      </c>
      <c r="H4197" t="s">
        <v>47055</v>
      </c>
      <c r="I4197" t="s">
        <v>47120</v>
      </c>
      <c r="J4197" t="s">
        <v>47121</v>
      </c>
      <c r="K4197" t="s">
        <v>47113</v>
      </c>
      <c r="L4197">
        <v>151.31</v>
      </c>
      <c r="M4197">
        <v>449</v>
      </c>
      <c r="N4197">
        <v>0</v>
      </c>
      <c r="O4197">
        <v>449</v>
      </c>
      <c r="P4197">
        <v>0</v>
      </c>
    </row>
    <row r="4198" spans="1:16" x14ac:dyDescent="0.25">
      <c r="A4198" t="s">
        <v>26605</v>
      </c>
      <c r="B4198" t="s">
        <v>4544</v>
      </c>
      <c r="C4198" t="s">
        <v>4545</v>
      </c>
      <c r="D4198" t="str">
        <f>"1001"</f>
        <v>1001</v>
      </c>
      <c r="E4198" t="s">
        <v>42</v>
      </c>
      <c r="F4198" t="s">
        <v>3670</v>
      </c>
      <c r="G4198" t="s">
        <v>16224</v>
      </c>
      <c r="H4198" t="s">
        <v>47055</v>
      </c>
      <c r="I4198" t="s">
        <v>47120</v>
      </c>
      <c r="J4198" t="s">
        <v>47121</v>
      </c>
      <c r="K4198" t="s">
        <v>47113</v>
      </c>
      <c r="L4198">
        <v>156.71</v>
      </c>
      <c r="M4198">
        <v>465</v>
      </c>
      <c r="N4198">
        <v>0</v>
      </c>
      <c r="O4198">
        <v>465</v>
      </c>
      <c r="P4198">
        <v>0</v>
      </c>
    </row>
    <row r="4199" spans="1:16" x14ac:dyDescent="0.25">
      <c r="A4199" t="s">
        <v>26606</v>
      </c>
      <c r="B4199" t="s">
        <v>4546</v>
      </c>
      <c r="C4199" t="s">
        <v>4547</v>
      </c>
      <c r="D4199" t="str">
        <f>"1001"</f>
        <v>1001</v>
      </c>
      <c r="E4199" t="s">
        <v>42</v>
      </c>
      <c r="F4199" t="s">
        <v>3670</v>
      </c>
      <c r="G4199" t="s">
        <v>16224</v>
      </c>
      <c r="H4199" t="s">
        <v>47055</v>
      </c>
      <c r="I4199" t="s">
        <v>47120</v>
      </c>
      <c r="J4199" t="s">
        <v>47121</v>
      </c>
      <c r="K4199" t="s">
        <v>47113</v>
      </c>
      <c r="L4199">
        <v>134.19</v>
      </c>
      <c r="M4199">
        <v>399</v>
      </c>
      <c r="N4199">
        <v>0</v>
      </c>
      <c r="O4199">
        <v>399</v>
      </c>
      <c r="P4199">
        <v>0</v>
      </c>
    </row>
    <row r="4200" spans="1:16" x14ac:dyDescent="0.25">
      <c r="A4200" t="s">
        <v>26607</v>
      </c>
      <c r="B4200" t="s">
        <v>4548</v>
      </c>
      <c r="C4200" t="s">
        <v>4549</v>
      </c>
      <c r="D4200" t="str">
        <f>"1001"</f>
        <v>1001</v>
      </c>
      <c r="E4200" t="s">
        <v>42</v>
      </c>
      <c r="F4200" t="s">
        <v>3670</v>
      </c>
      <c r="G4200" t="s">
        <v>16224</v>
      </c>
      <c r="H4200" t="s">
        <v>47055</v>
      </c>
      <c r="I4200" t="s">
        <v>47120</v>
      </c>
      <c r="J4200" t="s">
        <v>47121</v>
      </c>
      <c r="K4200" t="s">
        <v>47113</v>
      </c>
      <c r="L4200">
        <v>142.30000000000001</v>
      </c>
      <c r="M4200">
        <v>423</v>
      </c>
      <c r="N4200">
        <v>0</v>
      </c>
      <c r="O4200">
        <v>423</v>
      </c>
      <c r="P4200">
        <v>0</v>
      </c>
    </row>
    <row r="4201" spans="1:16" x14ac:dyDescent="0.25">
      <c r="A4201" t="s">
        <v>16454</v>
      </c>
      <c r="B4201" t="s">
        <v>4550</v>
      </c>
      <c r="C4201" t="s">
        <v>4090</v>
      </c>
      <c r="D4201" t="s">
        <v>4551</v>
      </c>
      <c r="E4201" t="s">
        <v>4552</v>
      </c>
      <c r="F4201" t="s">
        <v>3670</v>
      </c>
      <c r="G4201" t="s">
        <v>16231</v>
      </c>
      <c r="H4201" t="s">
        <v>47153</v>
      </c>
      <c r="I4201" t="s">
        <v>47132</v>
      </c>
      <c r="J4201" t="s">
        <v>47133</v>
      </c>
      <c r="K4201" t="s">
        <v>47113</v>
      </c>
      <c r="L4201">
        <v>46.85</v>
      </c>
      <c r="M4201">
        <v>85</v>
      </c>
      <c r="N4201">
        <v>0</v>
      </c>
      <c r="O4201">
        <v>85</v>
      </c>
      <c r="P4201">
        <v>0</v>
      </c>
    </row>
    <row r="4202" spans="1:16" x14ac:dyDescent="0.25">
      <c r="A4202" t="s">
        <v>26608</v>
      </c>
      <c r="B4202" t="s">
        <v>4550</v>
      </c>
      <c r="C4202" t="s">
        <v>4090</v>
      </c>
      <c r="D4202" t="s">
        <v>4553</v>
      </c>
      <c r="E4202" t="s">
        <v>4554</v>
      </c>
      <c r="F4202" t="s">
        <v>3670</v>
      </c>
      <c r="G4202" t="s">
        <v>16231</v>
      </c>
      <c r="H4202" t="s">
        <v>47153</v>
      </c>
      <c r="I4202" t="s">
        <v>47132</v>
      </c>
      <c r="J4202" t="s">
        <v>47133</v>
      </c>
      <c r="K4202" t="s">
        <v>47113</v>
      </c>
      <c r="L4202">
        <v>46.26</v>
      </c>
      <c r="M4202">
        <v>81</v>
      </c>
      <c r="N4202">
        <v>0</v>
      </c>
      <c r="O4202">
        <v>81</v>
      </c>
      <c r="P4202">
        <v>0</v>
      </c>
    </row>
    <row r="4203" spans="1:16" x14ac:dyDescent="0.25">
      <c r="A4203" t="s">
        <v>26609</v>
      </c>
      <c r="B4203" t="s">
        <v>4555</v>
      </c>
      <c r="C4203" t="s">
        <v>4090</v>
      </c>
      <c r="D4203" t="s">
        <v>4556</v>
      </c>
      <c r="E4203" t="s">
        <v>4557</v>
      </c>
      <c r="F4203" t="s">
        <v>3670</v>
      </c>
      <c r="G4203" t="s">
        <v>16231</v>
      </c>
      <c r="H4203" t="s">
        <v>47153</v>
      </c>
      <c r="I4203" t="s">
        <v>47132</v>
      </c>
      <c r="J4203" t="s">
        <v>47133</v>
      </c>
      <c r="K4203" t="s">
        <v>47113</v>
      </c>
      <c r="L4203">
        <v>44.86</v>
      </c>
      <c r="M4203">
        <v>81</v>
      </c>
      <c r="N4203">
        <v>0</v>
      </c>
      <c r="O4203">
        <v>81</v>
      </c>
      <c r="P4203">
        <v>0</v>
      </c>
    </row>
    <row r="4204" spans="1:16" x14ac:dyDescent="0.25">
      <c r="A4204" t="s">
        <v>26610</v>
      </c>
      <c r="B4204" t="s">
        <v>4555</v>
      </c>
      <c r="C4204" t="s">
        <v>4090</v>
      </c>
      <c r="D4204" t="s">
        <v>4558</v>
      </c>
      <c r="E4204" t="s">
        <v>4559</v>
      </c>
      <c r="F4204" t="s">
        <v>3670</v>
      </c>
      <c r="G4204" t="s">
        <v>16231</v>
      </c>
      <c r="H4204" t="s">
        <v>47153</v>
      </c>
      <c r="I4204" t="s">
        <v>47132</v>
      </c>
      <c r="J4204" t="s">
        <v>47133</v>
      </c>
      <c r="K4204" t="s">
        <v>47113</v>
      </c>
      <c r="L4204">
        <v>49.89</v>
      </c>
      <c r="M4204">
        <v>89</v>
      </c>
      <c r="N4204">
        <v>0</v>
      </c>
      <c r="O4204">
        <v>89</v>
      </c>
      <c r="P4204">
        <v>0</v>
      </c>
    </row>
    <row r="4205" spans="1:16" x14ac:dyDescent="0.25">
      <c r="A4205" t="s">
        <v>26611</v>
      </c>
      <c r="B4205" t="s">
        <v>4555</v>
      </c>
      <c r="C4205" t="s">
        <v>4090</v>
      </c>
      <c r="D4205" t="s">
        <v>4560</v>
      </c>
      <c r="E4205" t="s">
        <v>4561</v>
      </c>
      <c r="F4205" t="s">
        <v>3670</v>
      </c>
      <c r="G4205" t="s">
        <v>16231</v>
      </c>
      <c r="H4205" t="s">
        <v>47153</v>
      </c>
      <c r="I4205" t="s">
        <v>47132</v>
      </c>
      <c r="J4205" t="s">
        <v>47133</v>
      </c>
      <c r="K4205" t="s">
        <v>47113</v>
      </c>
      <c r="L4205">
        <v>42.74</v>
      </c>
      <c r="M4205">
        <v>77</v>
      </c>
      <c r="N4205">
        <v>0</v>
      </c>
      <c r="O4205">
        <v>77</v>
      </c>
      <c r="P4205">
        <v>0</v>
      </c>
    </row>
    <row r="4206" spans="1:16" x14ac:dyDescent="0.25">
      <c r="A4206" t="s">
        <v>26612</v>
      </c>
      <c r="B4206" t="s">
        <v>4562</v>
      </c>
      <c r="C4206" t="s">
        <v>4090</v>
      </c>
      <c r="D4206" t="s">
        <v>4563</v>
      </c>
      <c r="E4206" t="s">
        <v>4564</v>
      </c>
      <c r="F4206" t="s">
        <v>3670</v>
      </c>
      <c r="G4206" t="s">
        <v>16231</v>
      </c>
      <c r="H4206" t="s">
        <v>47153</v>
      </c>
      <c r="I4206" t="s">
        <v>47132</v>
      </c>
      <c r="J4206" t="s">
        <v>47133</v>
      </c>
      <c r="K4206" t="s">
        <v>47113</v>
      </c>
      <c r="L4206">
        <v>45.09</v>
      </c>
      <c r="M4206">
        <v>77</v>
      </c>
      <c r="N4206">
        <v>0</v>
      </c>
      <c r="O4206">
        <v>77</v>
      </c>
      <c r="P4206">
        <v>0</v>
      </c>
    </row>
    <row r="4207" spans="1:16" x14ac:dyDescent="0.25">
      <c r="A4207" t="s">
        <v>26613</v>
      </c>
      <c r="B4207" t="s">
        <v>4562</v>
      </c>
      <c r="C4207" t="s">
        <v>4090</v>
      </c>
      <c r="D4207" t="s">
        <v>4565</v>
      </c>
      <c r="E4207" t="s">
        <v>4566</v>
      </c>
      <c r="F4207" t="s">
        <v>3670</v>
      </c>
      <c r="G4207" t="s">
        <v>16231</v>
      </c>
      <c r="H4207" t="s">
        <v>47153</v>
      </c>
      <c r="I4207" t="s">
        <v>47132</v>
      </c>
      <c r="J4207" t="s">
        <v>47133</v>
      </c>
      <c r="K4207" t="s">
        <v>47113</v>
      </c>
      <c r="L4207">
        <v>43.69</v>
      </c>
      <c r="M4207">
        <v>77</v>
      </c>
      <c r="N4207">
        <v>0</v>
      </c>
      <c r="O4207">
        <v>77</v>
      </c>
      <c r="P4207">
        <v>0</v>
      </c>
    </row>
    <row r="4208" spans="1:16" x14ac:dyDescent="0.25">
      <c r="A4208" t="s">
        <v>26614</v>
      </c>
      <c r="B4208" t="s">
        <v>4567</v>
      </c>
      <c r="C4208" t="s">
        <v>4090</v>
      </c>
      <c r="D4208" t="s">
        <v>4335</v>
      </c>
      <c r="E4208" t="s">
        <v>4336</v>
      </c>
      <c r="F4208" t="s">
        <v>3670</v>
      </c>
      <c r="G4208" t="s">
        <v>16231</v>
      </c>
      <c r="H4208" t="s">
        <v>47153</v>
      </c>
      <c r="I4208" t="s">
        <v>47132</v>
      </c>
      <c r="J4208" t="s">
        <v>47133</v>
      </c>
      <c r="K4208" t="s">
        <v>47113</v>
      </c>
      <c r="L4208">
        <v>43.8</v>
      </c>
      <c r="M4208">
        <v>77</v>
      </c>
      <c r="N4208">
        <v>0</v>
      </c>
      <c r="O4208">
        <v>77</v>
      </c>
      <c r="P4208">
        <v>0</v>
      </c>
    </row>
    <row r="4209" spans="1:16" x14ac:dyDescent="0.25">
      <c r="A4209" t="s">
        <v>26615</v>
      </c>
      <c r="B4209" t="s">
        <v>4567</v>
      </c>
      <c r="C4209" t="s">
        <v>4090</v>
      </c>
      <c r="D4209" t="s">
        <v>4568</v>
      </c>
      <c r="E4209" t="s">
        <v>4569</v>
      </c>
      <c r="F4209" t="s">
        <v>3670</v>
      </c>
      <c r="G4209" t="s">
        <v>16231</v>
      </c>
      <c r="H4209" t="s">
        <v>47153</v>
      </c>
      <c r="I4209" t="s">
        <v>47132</v>
      </c>
      <c r="J4209" t="s">
        <v>47133</v>
      </c>
      <c r="K4209" t="s">
        <v>47113</v>
      </c>
      <c r="L4209">
        <v>43.8</v>
      </c>
      <c r="M4209">
        <v>77</v>
      </c>
      <c r="N4209">
        <v>0</v>
      </c>
      <c r="O4209">
        <v>77</v>
      </c>
      <c r="P4209">
        <v>0</v>
      </c>
    </row>
    <row r="4210" spans="1:16" x14ac:dyDescent="0.25">
      <c r="A4210" t="s">
        <v>26616</v>
      </c>
      <c r="B4210" t="s">
        <v>4567</v>
      </c>
      <c r="C4210" t="s">
        <v>4090</v>
      </c>
      <c r="D4210" t="s">
        <v>4570</v>
      </c>
      <c r="E4210" t="s">
        <v>4571</v>
      </c>
      <c r="F4210" t="s">
        <v>3670</v>
      </c>
      <c r="G4210" t="s">
        <v>16231</v>
      </c>
      <c r="H4210" t="s">
        <v>47153</v>
      </c>
      <c r="I4210" t="s">
        <v>47132</v>
      </c>
      <c r="J4210" t="s">
        <v>47133</v>
      </c>
      <c r="K4210" t="s">
        <v>47113</v>
      </c>
      <c r="L4210">
        <v>43.8</v>
      </c>
      <c r="M4210">
        <v>77</v>
      </c>
      <c r="N4210">
        <v>0</v>
      </c>
      <c r="O4210">
        <v>77</v>
      </c>
      <c r="P4210">
        <v>0</v>
      </c>
    </row>
    <row r="4211" spans="1:16" x14ac:dyDescent="0.25">
      <c r="A4211" t="s">
        <v>26617</v>
      </c>
      <c r="B4211" t="s">
        <v>4567</v>
      </c>
      <c r="C4211" t="s">
        <v>4090</v>
      </c>
      <c r="D4211" t="s">
        <v>418</v>
      </c>
      <c r="E4211" t="s">
        <v>419</v>
      </c>
      <c r="F4211" t="s">
        <v>3670</v>
      </c>
      <c r="G4211" t="s">
        <v>16231</v>
      </c>
      <c r="H4211" t="s">
        <v>47153</v>
      </c>
      <c r="I4211" t="s">
        <v>47132</v>
      </c>
      <c r="J4211" t="s">
        <v>47133</v>
      </c>
      <c r="K4211" t="s">
        <v>47113</v>
      </c>
      <c r="L4211">
        <v>43.8</v>
      </c>
      <c r="M4211">
        <v>77</v>
      </c>
      <c r="N4211">
        <v>0</v>
      </c>
      <c r="O4211">
        <v>77</v>
      </c>
      <c r="P4211">
        <v>0</v>
      </c>
    </row>
    <row r="4212" spans="1:16" x14ac:dyDescent="0.25">
      <c r="A4212" t="s">
        <v>26618</v>
      </c>
      <c r="B4212" t="s">
        <v>4567</v>
      </c>
      <c r="C4212" t="s">
        <v>4090</v>
      </c>
      <c r="D4212" t="s">
        <v>4572</v>
      </c>
      <c r="E4212" t="s">
        <v>4573</v>
      </c>
      <c r="F4212" t="s">
        <v>3670</v>
      </c>
      <c r="G4212" t="s">
        <v>16231</v>
      </c>
      <c r="H4212" t="s">
        <v>47153</v>
      </c>
      <c r="I4212" t="s">
        <v>47132</v>
      </c>
      <c r="J4212" t="s">
        <v>47133</v>
      </c>
      <c r="K4212" t="s">
        <v>47113</v>
      </c>
      <c r="L4212">
        <v>43.8</v>
      </c>
      <c r="M4212">
        <v>77</v>
      </c>
      <c r="N4212">
        <v>0</v>
      </c>
      <c r="O4212">
        <v>77</v>
      </c>
      <c r="P4212">
        <v>0</v>
      </c>
    </row>
    <row r="4213" spans="1:16" x14ac:dyDescent="0.25">
      <c r="A4213" t="s">
        <v>26619</v>
      </c>
      <c r="B4213" t="s">
        <v>4574</v>
      </c>
      <c r="C4213" t="s">
        <v>4090</v>
      </c>
      <c r="D4213" t="s">
        <v>3803</v>
      </c>
      <c r="E4213" t="s">
        <v>3804</v>
      </c>
      <c r="F4213" t="s">
        <v>3670</v>
      </c>
      <c r="G4213" t="s">
        <v>16231</v>
      </c>
      <c r="H4213" t="s">
        <v>47153</v>
      </c>
      <c r="I4213" t="s">
        <v>47132</v>
      </c>
      <c r="J4213" t="s">
        <v>47133</v>
      </c>
      <c r="K4213" t="s">
        <v>47113</v>
      </c>
      <c r="L4213">
        <v>51.65</v>
      </c>
      <c r="M4213">
        <v>85</v>
      </c>
      <c r="N4213">
        <v>0</v>
      </c>
      <c r="O4213">
        <v>85</v>
      </c>
      <c r="P4213">
        <v>0</v>
      </c>
    </row>
    <row r="4214" spans="1:16" x14ac:dyDescent="0.25">
      <c r="A4214" t="s">
        <v>26620</v>
      </c>
      <c r="B4214" t="s">
        <v>4574</v>
      </c>
      <c r="C4214" t="s">
        <v>4090</v>
      </c>
      <c r="D4214" t="s">
        <v>504</v>
      </c>
      <c r="E4214" t="s">
        <v>505</v>
      </c>
      <c r="F4214" t="s">
        <v>3670</v>
      </c>
      <c r="G4214" t="s">
        <v>16231</v>
      </c>
      <c r="H4214" t="s">
        <v>47153</v>
      </c>
      <c r="I4214" t="s">
        <v>47132</v>
      </c>
      <c r="J4214" t="s">
        <v>47133</v>
      </c>
      <c r="K4214" t="s">
        <v>47113</v>
      </c>
      <c r="L4214">
        <v>51.65</v>
      </c>
      <c r="M4214">
        <v>85</v>
      </c>
      <c r="N4214">
        <v>0</v>
      </c>
      <c r="O4214">
        <v>85</v>
      </c>
      <c r="P4214">
        <v>0</v>
      </c>
    </row>
    <row r="4215" spans="1:16" x14ac:dyDescent="0.25">
      <c r="A4215" t="s">
        <v>26621</v>
      </c>
      <c r="B4215" t="s">
        <v>4574</v>
      </c>
      <c r="C4215" t="s">
        <v>4090</v>
      </c>
      <c r="D4215" t="s">
        <v>4575</v>
      </c>
      <c r="E4215" t="s">
        <v>4576</v>
      </c>
      <c r="F4215" t="s">
        <v>3670</v>
      </c>
      <c r="G4215" t="s">
        <v>16231</v>
      </c>
      <c r="H4215" t="s">
        <v>47153</v>
      </c>
      <c r="I4215" t="s">
        <v>47132</v>
      </c>
      <c r="J4215" t="s">
        <v>47133</v>
      </c>
      <c r="K4215" t="s">
        <v>47113</v>
      </c>
      <c r="L4215">
        <v>51.65</v>
      </c>
      <c r="M4215">
        <v>85</v>
      </c>
      <c r="N4215">
        <v>0</v>
      </c>
      <c r="O4215">
        <v>85</v>
      </c>
      <c r="P4215">
        <v>0</v>
      </c>
    </row>
    <row r="4216" spans="1:16" x14ac:dyDescent="0.25">
      <c r="A4216" t="s">
        <v>26622</v>
      </c>
      <c r="B4216" t="s">
        <v>4577</v>
      </c>
      <c r="C4216" t="s">
        <v>4122</v>
      </c>
      <c r="D4216" t="s">
        <v>4551</v>
      </c>
      <c r="E4216" t="s">
        <v>4552</v>
      </c>
      <c r="F4216" t="s">
        <v>3670</v>
      </c>
      <c r="G4216" t="s">
        <v>16231</v>
      </c>
      <c r="H4216" t="s">
        <v>47153</v>
      </c>
      <c r="I4216" t="s">
        <v>47132</v>
      </c>
      <c r="J4216" t="s">
        <v>47133</v>
      </c>
      <c r="K4216" t="s">
        <v>47113</v>
      </c>
      <c r="L4216">
        <v>46.85</v>
      </c>
      <c r="M4216">
        <v>85</v>
      </c>
      <c r="N4216">
        <v>0</v>
      </c>
      <c r="O4216">
        <v>85</v>
      </c>
      <c r="P4216">
        <v>0</v>
      </c>
    </row>
    <row r="4217" spans="1:16" x14ac:dyDescent="0.25">
      <c r="A4217" t="s">
        <v>26623</v>
      </c>
      <c r="B4217" t="s">
        <v>4577</v>
      </c>
      <c r="C4217" t="s">
        <v>4122</v>
      </c>
      <c r="D4217" t="s">
        <v>4553</v>
      </c>
      <c r="E4217" t="s">
        <v>4554</v>
      </c>
      <c r="F4217" t="s">
        <v>3670</v>
      </c>
      <c r="G4217" t="s">
        <v>16231</v>
      </c>
      <c r="H4217" t="s">
        <v>47153</v>
      </c>
      <c r="I4217" t="s">
        <v>47132</v>
      </c>
      <c r="J4217" t="s">
        <v>47133</v>
      </c>
      <c r="K4217" t="s">
        <v>47113</v>
      </c>
      <c r="L4217">
        <v>46.26</v>
      </c>
      <c r="M4217">
        <v>81</v>
      </c>
      <c r="N4217">
        <v>0</v>
      </c>
      <c r="O4217">
        <v>81</v>
      </c>
      <c r="P4217">
        <v>0</v>
      </c>
    </row>
    <row r="4218" spans="1:16" x14ac:dyDescent="0.25">
      <c r="A4218" t="s">
        <v>26624</v>
      </c>
      <c r="B4218" t="s">
        <v>4578</v>
      </c>
      <c r="C4218" t="s">
        <v>4122</v>
      </c>
      <c r="D4218" t="s">
        <v>4556</v>
      </c>
      <c r="E4218" t="s">
        <v>4557</v>
      </c>
      <c r="F4218" t="s">
        <v>3670</v>
      </c>
      <c r="G4218" t="s">
        <v>16231</v>
      </c>
      <c r="H4218" t="s">
        <v>47153</v>
      </c>
      <c r="I4218" t="s">
        <v>47132</v>
      </c>
      <c r="J4218" t="s">
        <v>47133</v>
      </c>
      <c r="K4218" t="s">
        <v>47113</v>
      </c>
      <c r="L4218">
        <v>44.86</v>
      </c>
      <c r="M4218">
        <v>81</v>
      </c>
      <c r="N4218">
        <v>0</v>
      </c>
      <c r="O4218">
        <v>81</v>
      </c>
      <c r="P4218">
        <v>0</v>
      </c>
    </row>
    <row r="4219" spans="1:16" x14ac:dyDescent="0.25">
      <c r="A4219" t="s">
        <v>26625</v>
      </c>
      <c r="B4219" t="s">
        <v>4578</v>
      </c>
      <c r="C4219" t="s">
        <v>4122</v>
      </c>
      <c r="D4219" t="s">
        <v>4579</v>
      </c>
      <c r="E4219" t="s">
        <v>4580</v>
      </c>
      <c r="F4219" t="s">
        <v>3670</v>
      </c>
      <c r="G4219" t="s">
        <v>16231</v>
      </c>
      <c r="H4219" t="s">
        <v>47153</v>
      </c>
      <c r="I4219" t="s">
        <v>47132</v>
      </c>
      <c r="J4219" t="s">
        <v>47133</v>
      </c>
      <c r="K4219" t="s">
        <v>47113</v>
      </c>
      <c r="L4219">
        <v>38.76</v>
      </c>
      <c r="M4219">
        <v>74</v>
      </c>
      <c r="N4219">
        <v>0</v>
      </c>
      <c r="O4219">
        <v>74</v>
      </c>
      <c r="P4219">
        <v>0</v>
      </c>
    </row>
    <row r="4220" spans="1:16" x14ac:dyDescent="0.25">
      <c r="A4220" t="s">
        <v>26626</v>
      </c>
      <c r="B4220" t="s">
        <v>4578</v>
      </c>
      <c r="C4220" t="s">
        <v>4122</v>
      </c>
      <c r="D4220" t="s">
        <v>4558</v>
      </c>
      <c r="E4220" t="s">
        <v>4559</v>
      </c>
      <c r="F4220" t="s">
        <v>3670</v>
      </c>
      <c r="G4220" t="s">
        <v>16231</v>
      </c>
      <c r="H4220" t="s">
        <v>47153</v>
      </c>
      <c r="I4220" t="s">
        <v>47132</v>
      </c>
      <c r="J4220" t="s">
        <v>47133</v>
      </c>
      <c r="K4220" t="s">
        <v>47113</v>
      </c>
      <c r="L4220">
        <v>49.89</v>
      </c>
      <c r="M4220">
        <v>89</v>
      </c>
      <c r="N4220">
        <v>0</v>
      </c>
      <c r="O4220">
        <v>89</v>
      </c>
      <c r="P4220">
        <v>0</v>
      </c>
    </row>
    <row r="4221" spans="1:16" x14ac:dyDescent="0.25">
      <c r="A4221" t="s">
        <v>26627</v>
      </c>
      <c r="B4221" t="s">
        <v>4578</v>
      </c>
      <c r="C4221" t="s">
        <v>4122</v>
      </c>
      <c r="D4221" t="s">
        <v>4581</v>
      </c>
      <c r="E4221" t="s">
        <v>4582</v>
      </c>
      <c r="F4221" t="s">
        <v>3670</v>
      </c>
      <c r="G4221" t="s">
        <v>16231</v>
      </c>
      <c r="H4221" t="s">
        <v>47153</v>
      </c>
      <c r="I4221" t="s">
        <v>47132</v>
      </c>
      <c r="J4221" t="s">
        <v>47133</v>
      </c>
      <c r="K4221" t="s">
        <v>47113</v>
      </c>
      <c r="L4221">
        <v>45.68</v>
      </c>
      <c r="M4221">
        <v>81</v>
      </c>
      <c r="N4221">
        <v>0</v>
      </c>
      <c r="O4221">
        <v>81</v>
      </c>
      <c r="P4221">
        <v>0</v>
      </c>
    </row>
    <row r="4222" spans="1:16" x14ac:dyDescent="0.25">
      <c r="A4222" t="s">
        <v>26628</v>
      </c>
      <c r="B4222" t="s">
        <v>4583</v>
      </c>
      <c r="C4222" t="s">
        <v>4584</v>
      </c>
      <c r="D4222" t="s">
        <v>4585</v>
      </c>
      <c r="E4222" t="s">
        <v>4586</v>
      </c>
      <c r="F4222" t="s">
        <v>3670</v>
      </c>
      <c r="G4222" t="s">
        <v>16231</v>
      </c>
      <c r="H4222" t="s">
        <v>47153</v>
      </c>
      <c r="I4222" t="s">
        <v>47132</v>
      </c>
      <c r="J4222" t="s">
        <v>47133</v>
      </c>
      <c r="K4222" t="s">
        <v>47113</v>
      </c>
      <c r="L4222">
        <v>54.57</v>
      </c>
      <c r="M4222">
        <v>96</v>
      </c>
      <c r="N4222">
        <v>0</v>
      </c>
      <c r="O4222">
        <v>96</v>
      </c>
      <c r="P4222">
        <v>0</v>
      </c>
    </row>
    <row r="4223" spans="1:16" x14ac:dyDescent="0.25">
      <c r="A4223" t="s">
        <v>26629</v>
      </c>
      <c r="B4223" t="s">
        <v>4587</v>
      </c>
      <c r="C4223" t="s">
        <v>4122</v>
      </c>
      <c r="D4223" t="s">
        <v>4563</v>
      </c>
      <c r="E4223" t="s">
        <v>4564</v>
      </c>
      <c r="F4223" t="s">
        <v>3670</v>
      </c>
      <c r="G4223" t="s">
        <v>16231</v>
      </c>
      <c r="H4223" t="s">
        <v>47153</v>
      </c>
      <c r="I4223" t="s">
        <v>47132</v>
      </c>
      <c r="J4223" t="s">
        <v>47133</v>
      </c>
      <c r="K4223" t="s">
        <v>47113</v>
      </c>
      <c r="L4223">
        <v>45.09</v>
      </c>
      <c r="M4223">
        <v>77</v>
      </c>
      <c r="N4223">
        <v>0</v>
      </c>
      <c r="O4223">
        <v>77</v>
      </c>
      <c r="P4223">
        <v>0</v>
      </c>
    </row>
    <row r="4224" spans="1:16" x14ac:dyDescent="0.25">
      <c r="A4224" t="s">
        <v>26630</v>
      </c>
      <c r="B4224" t="s">
        <v>4587</v>
      </c>
      <c r="C4224" t="s">
        <v>4122</v>
      </c>
      <c r="D4224" t="s">
        <v>4565</v>
      </c>
      <c r="E4224" t="s">
        <v>4566</v>
      </c>
      <c r="F4224" t="s">
        <v>3670</v>
      </c>
      <c r="G4224" t="s">
        <v>16231</v>
      </c>
      <c r="H4224" t="s">
        <v>47153</v>
      </c>
      <c r="I4224" t="s">
        <v>47132</v>
      </c>
      <c r="J4224" t="s">
        <v>47133</v>
      </c>
      <c r="K4224" t="s">
        <v>47113</v>
      </c>
      <c r="L4224">
        <v>43.69</v>
      </c>
      <c r="M4224">
        <v>77</v>
      </c>
      <c r="N4224">
        <v>0</v>
      </c>
      <c r="O4224">
        <v>77</v>
      </c>
      <c r="P4224">
        <v>0</v>
      </c>
    </row>
    <row r="4225" spans="1:16" x14ac:dyDescent="0.25">
      <c r="A4225" t="s">
        <v>26631</v>
      </c>
      <c r="B4225" t="s">
        <v>4588</v>
      </c>
      <c r="C4225" t="s">
        <v>4122</v>
      </c>
      <c r="D4225" t="s">
        <v>4589</v>
      </c>
      <c r="E4225" t="s">
        <v>4590</v>
      </c>
      <c r="F4225" t="s">
        <v>3670</v>
      </c>
      <c r="G4225" t="s">
        <v>16231</v>
      </c>
      <c r="H4225" t="s">
        <v>47153</v>
      </c>
      <c r="I4225" t="s">
        <v>47132</v>
      </c>
      <c r="J4225" t="s">
        <v>47133</v>
      </c>
      <c r="K4225" t="s">
        <v>47113</v>
      </c>
      <c r="L4225">
        <v>56.1</v>
      </c>
      <c r="M4225">
        <v>96</v>
      </c>
      <c r="N4225">
        <v>0</v>
      </c>
      <c r="O4225">
        <v>96</v>
      </c>
      <c r="P4225">
        <v>0</v>
      </c>
    </row>
    <row r="4226" spans="1:16" x14ac:dyDescent="0.25">
      <c r="A4226" t="s">
        <v>26632</v>
      </c>
      <c r="B4226" t="s">
        <v>4591</v>
      </c>
      <c r="C4226" t="s">
        <v>4139</v>
      </c>
      <c r="D4226" t="s">
        <v>4551</v>
      </c>
      <c r="E4226" t="s">
        <v>4552</v>
      </c>
      <c r="F4226" t="s">
        <v>3670</v>
      </c>
      <c r="G4226" t="s">
        <v>16231</v>
      </c>
      <c r="H4226" t="s">
        <v>47153</v>
      </c>
      <c r="I4226" t="s">
        <v>47132</v>
      </c>
      <c r="J4226" t="s">
        <v>47133</v>
      </c>
      <c r="K4226" t="s">
        <v>47113</v>
      </c>
      <c r="L4226">
        <v>48.01</v>
      </c>
      <c r="M4226">
        <v>85</v>
      </c>
      <c r="N4226">
        <v>0</v>
      </c>
      <c r="O4226">
        <v>85</v>
      </c>
      <c r="P4226">
        <v>0</v>
      </c>
    </row>
    <row r="4227" spans="1:16" x14ac:dyDescent="0.25">
      <c r="A4227" t="s">
        <v>26633</v>
      </c>
      <c r="B4227" t="s">
        <v>4591</v>
      </c>
      <c r="C4227" t="s">
        <v>4139</v>
      </c>
      <c r="D4227" t="s">
        <v>4553</v>
      </c>
      <c r="E4227" t="s">
        <v>4554</v>
      </c>
      <c r="F4227" t="s">
        <v>3670</v>
      </c>
      <c r="G4227" t="s">
        <v>16231</v>
      </c>
      <c r="H4227" t="s">
        <v>47153</v>
      </c>
      <c r="I4227" t="s">
        <v>47132</v>
      </c>
      <c r="J4227" t="s">
        <v>47133</v>
      </c>
      <c r="K4227" t="s">
        <v>47113</v>
      </c>
      <c r="L4227">
        <v>47.43</v>
      </c>
      <c r="M4227">
        <v>81</v>
      </c>
      <c r="N4227">
        <v>0</v>
      </c>
      <c r="O4227">
        <v>81</v>
      </c>
      <c r="P4227">
        <v>0</v>
      </c>
    </row>
    <row r="4228" spans="1:16" x14ac:dyDescent="0.25">
      <c r="A4228" t="s">
        <v>26634</v>
      </c>
      <c r="B4228" t="s">
        <v>4592</v>
      </c>
      <c r="C4228" t="s">
        <v>4139</v>
      </c>
      <c r="D4228" t="s">
        <v>4560</v>
      </c>
      <c r="E4228" t="s">
        <v>4561</v>
      </c>
      <c r="F4228" t="s">
        <v>3670</v>
      </c>
      <c r="G4228" t="s">
        <v>16231</v>
      </c>
      <c r="H4228" t="s">
        <v>47153</v>
      </c>
      <c r="I4228" t="s">
        <v>47132</v>
      </c>
      <c r="J4228" t="s">
        <v>47133</v>
      </c>
      <c r="K4228" t="s">
        <v>47113</v>
      </c>
      <c r="L4228">
        <v>43.33</v>
      </c>
      <c r="M4228">
        <v>77</v>
      </c>
      <c r="N4228">
        <v>0</v>
      </c>
      <c r="O4228">
        <v>77</v>
      </c>
      <c r="P4228">
        <v>0</v>
      </c>
    </row>
    <row r="4229" spans="1:16" x14ac:dyDescent="0.25">
      <c r="A4229" t="s">
        <v>26635</v>
      </c>
      <c r="B4229" t="s">
        <v>4593</v>
      </c>
      <c r="C4229" t="s">
        <v>16474</v>
      </c>
      <c r="D4229" t="s">
        <v>4563</v>
      </c>
      <c r="E4229" t="s">
        <v>4564</v>
      </c>
      <c r="F4229" t="s">
        <v>3670</v>
      </c>
      <c r="G4229" t="s">
        <v>16231</v>
      </c>
      <c r="H4229" t="s">
        <v>47153</v>
      </c>
      <c r="I4229" t="s">
        <v>47132</v>
      </c>
      <c r="J4229" t="s">
        <v>47133</v>
      </c>
      <c r="K4229" t="s">
        <v>47113</v>
      </c>
      <c r="L4229">
        <v>46.26</v>
      </c>
      <c r="M4229">
        <v>77</v>
      </c>
      <c r="N4229">
        <v>0</v>
      </c>
      <c r="O4229">
        <v>77</v>
      </c>
      <c r="P4229">
        <v>0</v>
      </c>
    </row>
    <row r="4230" spans="1:16" x14ac:dyDescent="0.25">
      <c r="A4230" t="s">
        <v>26636</v>
      </c>
      <c r="B4230" t="s">
        <v>4593</v>
      </c>
      <c r="C4230" t="s">
        <v>16474</v>
      </c>
      <c r="D4230" t="s">
        <v>4565</v>
      </c>
      <c r="E4230" t="s">
        <v>4566</v>
      </c>
      <c r="F4230" t="s">
        <v>3670</v>
      </c>
      <c r="G4230" t="s">
        <v>16231</v>
      </c>
      <c r="H4230" t="s">
        <v>47153</v>
      </c>
      <c r="I4230" t="s">
        <v>47132</v>
      </c>
      <c r="J4230" t="s">
        <v>47133</v>
      </c>
      <c r="K4230" t="s">
        <v>47113</v>
      </c>
      <c r="L4230">
        <v>44.86</v>
      </c>
      <c r="M4230">
        <v>77</v>
      </c>
      <c r="N4230">
        <v>0</v>
      </c>
      <c r="O4230">
        <v>77</v>
      </c>
      <c r="P4230">
        <v>0</v>
      </c>
    </row>
    <row r="4231" spans="1:16" x14ac:dyDescent="0.25">
      <c r="A4231" t="s">
        <v>26637</v>
      </c>
      <c r="B4231" t="s">
        <v>4594</v>
      </c>
      <c r="C4231" t="s">
        <v>4139</v>
      </c>
      <c r="D4231" t="s">
        <v>4589</v>
      </c>
      <c r="E4231" t="s">
        <v>4590</v>
      </c>
      <c r="F4231" t="s">
        <v>3670</v>
      </c>
      <c r="G4231" t="s">
        <v>16231</v>
      </c>
      <c r="H4231" t="s">
        <v>47153</v>
      </c>
      <c r="I4231" t="s">
        <v>47132</v>
      </c>
      <c r="J4231" t="s">
        <v>47133</v>
      </c>
      <c r="K4231" t="s">
        <v>47113</v>
      </c>
      <c r="L4231">
        <v>56.1</v>
      </c>
      <c r="M4231">
        <v>96</v>
      </c>
      <c r="N4231">
        <v>0</v>
      </c>
      <c r="O4231">
        <v>96</v>
      </c>
      <c r="P4231">
        <v>0</v>
      </c>
    </row>
    <row r="4232" spans="1:16" x14ac:dyDescent="0.25">
      <c r="A4232" t="s">
        <v>26638</v>
      </c>
      <c r="B4232" t="s">
        <v>4595</v>
      </c>
      <c r="C4232" t="s">
        <v>4144</v>
      </c>
      <c r="D4232" t="s">
        <v>4059</v>
      </c>
      <c r="E4232" t="s">
        <v>4060</v>
      </c>
      <c r="F4232" t="s">
        <v>3670</v>
      </c>
      <c r="G4232" t="s">
        <v>16231</v>
      </c>
      <c r="H4232" t="s">
        <v>47153</v>
      </c>
      <c r="I4232" t="s">
        <v>47132</v>
      </c>
      <c r="J4232" t="s">
        <v>47133</v>
      </c>
      <c r="K4232" t="s">
        <v>47113</v>
      </c>
      <c r="L4232">
        <v>52.47</v>
      </c>
      <c r="M4232">
        <v>92</v>
      </c>
      <c r="N4232">
        <v>0</v>
      </c>
      <c r="O4232">
        <v>92</v>
      </c>
      <c r="P4232">
        <v>0</v>
      </c>
    </row>
    <row r="4233" spans="1:16" x14ac:dyDescent="0.25">
      <c r="A4233" t="s">
        <v>26639</v>
      </c>
      <c r="B4233" t="s">
        <v>4595</v>
      </c>
      <c r="C4233" t="s">
        <v>4144</v>
      </c>
      <c r="D4233" t="s">
        <v>504</v>
      </c>
      <c r="E4233" t="s">
        <v>505</v>
      </c>
      <c r="F4233" t="s">
        <v>3670</v>
      </c>
      <c r="G4233" t="s">
        <v>16231</v>
      </c>
      <c r="H4233" t="s">
        <v>47153</v>
      </c>
      <c r="I4233" t="s">
        <v>47132</v>
      </c>
      <c r="J4233" t="s">
        <v>47133</v>
      </c>
      <c r="K4233" t="s">
        <v>47113</v>
      </c>
      <c r="L4233">
        <v>52.47</v>
      </c>
      <c r="M4233">
        <v>92</v>
      </c>
      <c r="N4233">
        <v>0</v>
      </c>
      <c r="O4233">
        <v>92</v>
      </c>
      <c r="P4233">
        <v>0</v>
      </c>
    </row>
    <row r="4234" spans="1:16" x14ac:dyDescent="0.25">
      <c r="A4234" t="s">
        <v>26640</v>
      </c>
      <c r="B4234" t="s">
        <v>4595</v>
      </c>
      <c r="C4234" t="s">
        <v>4144</v>
      </c>
      <c r="D4234" t="s">
        <v>4596</v>
      </c>
      <c r="E4234" t="s">
        <v>4597</v>
      </c>
      <c r="F4234" t="s">
        <v>3670</v>
      </c>
      <c r="G4234" t="s">
        <v>16231</v>
      </c>
      <c r="H4234" t="s">
        <v>47153</v>
      </c>
      <c r="I4234" t="s">
        <v>47132</v>
      </c>
      <c r="J4234" t="s">
        <v>47133</v>
      </c>
      <c r="K4234" t="s">
        <v>47113</v>
      </c>
      <c r="L4234">
        <v>52.47</v>
      </c>
      <c r="M4234">
        <v>92</v>
      </c>
      <c r="N4234">
        <v>0</v>
      </c>
      <c r="O4234">
        <v>92</v>
      </c>
      <c r="P4234">
        <v>0</v>
      </c>
    </row>
    <row r="4235" spans="1:16" x14ac:dyDescent="0.25">
      <c r="A4235" t="s">
        <v>26641</v>
      </c>
      <c r="B4235" t="s">
        <v>4598</v>
      </c>
      <c r="C4235" t="s">
        <v>4144</v>
      </c>
      <c r="D4235" t="s">
        <v>4599</v>
      </c>
      <c r="E4235" t="s">
        <v>4600</v>
      </c>
      <c r="F4235" t="s">
        <v>3670</v>
      </c>
      <c r="G4235" t="s">
        <v>16231</v>
      </c>
      <c r="H4235" t="s">
        <v>47153</v>
      </c>
      <c r="I4235" t="s">
        <v>47132</v>
      </c>
      <c r="J4235" t="s">
        <v>47133</v>
      </c>
      <c r="K4235" t="s">
        <v>47113</v>
      </c>
      <c r="L4235">
        <v>55.75</v>
      </c>
      <c r="M4235">
        <v>96</v>
      </c>
      <c r="N4235">
        <v>0</v>
      </c>
      <c r="O4235">
        <v>96</v>
      </c>
      <c r="P4235">
        <v>0</v>
      </c>
    </row>
    <row r="4236" spans="1:16" x14ac:dyDescent="0.25">
      <c r="A4236" t="s">
        <v>26642</v>
      </c>
      <c r="B4236" t="s">
        <v>4601</v>
      </c>
      <c r="C4236" t="s">
        <v>4144</v>
      </c>
      <c r="D4236" t="s">
        <v>4602</v>
      </c>
      <c r="E4236" t="s">
        <v>4603</v>
      </c>
      <c r="F4236" t="s">
        <v>3670</v>
      </c>
      <c r="G4236" t="s">
        <v>16231</v>
      </c>
      <c r="H4236" t="s">
        <v>47153</v>
      </c>
      <c r="I4236" t="s">
        <v>47132</v>
      </c>
      <c r="J4236" t="s">
        <v>47133</v>
      </c>
      <c r="K4236" t="s">
        <v>47113</v>
      </c>
      <c r="L4236">
        <v>54.34</v>
      </c>
      <c r="M4236">
        <v>96</v>
      </c>
      <c r="N4236">
        <v>0</v>
      </c>
      <c r="O4236">
        <v>96</v>
      </c>
      <c r="P4236">
        <v>0</v>
      </c>
    </row>
    <row r="4237" spans="1:16" x14ac:dyDescent="0.25">
      <c r="A4237" t="s">
        <v>26643</v>
      </c>
      <c r="B4237" t="s">
        <v>4604</v>
      </c>
      <c r="C4237" t="s">
        <v>4144</v>
      </c>
      <c r="D4237" t="s">
        <v>4335</v>
      </c>
      <c r="E4237" t="s">
        <v>4336</v>
      </c>
      <c r="F4237" t="s">
        <v>3670</v>
      </c>
      <c r="G4237" t="s">
        <v>16231</v>
      </c>
      <c r="H4237" t="s">
        <v>47153</v>
      </c>
      <c r="I4237" t="s">
        <v>47132</v>
      </c>
      <c r="J4237" t="s">
        <v>47133</v>
      </c>
      <c r="K4237" t="s">
        <v>47113</v>
      </c>
      <c r="L4237">
        <v>46.26</v>
      </c>
      <c r="M4237">
        <v>81</v>
      </c>
      <c r="N4237">
        <v>0</v>
      </c>
      <c r="O4237">
        <v>81</v>
      </c>
      <c r="P4237">
        <v>0</v>
      </c>
    </row>
    <row r="4238" spans="1:16" x14ac:dyDescent="0.25">
      <c r="A4238" t="s">
        <v>26644</v>
      </c>
      <c r="B4238" t="s">
        <v>4604</v>
      </c>
      <c r="C4238" t="s">
        <v>4144</v>
      </c>
      <c r="D4238" t="s">
        <v>4568</v>
      </c>
      <c r="E4238" t="s">
        <v>4569</v>
      </c>
      <c r="F4238" t="s">
        <v>3670</v>
      </c>
      <c r="G4238" t="s">
        <v>16231</v>
      </c>
      <c r="H4238" t="s">
        <v>47153</v>
      </c>
      <c r="I4238" t="s">
        <v>47132</v>
      </c>
      <c r="J4238" t="s">
        <v>47133</v>
      </c>
      <c r="K4238" t="s">
        <v>47113</v>
      </c>
      <c r="L4238">
        <v>46.26</v>
      </c>
      <c r="M4238">
        <v>81</v>
      </c>
      <c r="N4238">
        <v>0</v>
      </c>
      <c r="O4238">
        <v>81</v>
      </c>
      <c r="P4238">
        <v>0</v>
      </c>
    </row>
    <row r="4239" spans="1:16" x14ac:dyDescent="0.25">
      <c r="A4239" t="s">
        <v>26645</v>
      </c>
      <c r="B4239" t="s">
        <v>4604</v>
      </c>
      <c r="C4239" t="s">
        <v>4144</v>
      </c>
      <c r="D4239" t="s">
        <v>4570</v>
      </c>
      <c r="E4239" t="s">
        <v>4571</v>
      </c>
      <c r="F4239" t="s">
        <v>3670</v>
      </c>
      <c r="G4239" t="s">
        <v>16231</v>
      </c>
      <c r="H4239" t="s">
        <v>47153</v>
      </c>
      <c r="I4239" t="s">
        <v>47132</v>
      </c>
      <c r="J4239" t="s">
        <v>47133</v>
      </c>
      <c r="K4239" t="s">
        <v>47113</v>
      </c>
      <c r="L4239">
        <v>46.26</v>
      </c>
      <c r="M4239">
        <v>81</v>
      </c>
      <c r="N4239">
        <v>0</v>
      </c>
      <c r="O4239">
        <v>81</v>
      </c>
      <c r="P4239">
        <v>0</v>
      </c>
    </row>
    <row r="4240" spans="1:16" x14ac:dyDescent="0.25">
      <c r="A4240" t="s">
        <v>26646</v>
      </c>
      <c r="B4240" t="s">
        <v>4604</v>
      </c>
      <c r="C4240" t="s">
        <v>4144</v>
      </c>
      <c r="D4240" t="s">
        <v>418</v>
      </c>
      <c r="E4240" t="s">
        <v>419</v>
      </c>
      <c r="F4240" t="s">
        <v>3670</v>
      </c>
      <c r="G4240" t="s">
        <v>16231</v>
      </c>
      <c r="H4240" t="s">
        <v>47153</v>
      </c>
      <c r="I4240" t="s">
        <v>47132</v>
      </c>
      <c r="J4240" t="s">
        <v>47133</v>
      </c>
      <c r="K4240" t="s">
        <v>47113</v>
      </c>
      <c r="L4240">
        <v>46.26</v>
      </c>
      <c r="M4240">
        <v>81</v>
      </c>
      <c r="N4240">
        <v>0</v>
      </c>
      <c r="O4240">
        <v>81</v>
      </c>
      <c r="P4240">
        <v>0</v>
      </c>
    </row>
    <row r="4241" spans="1:16" x14ac:dyDescent="0.25">
      <c r="A4241" t="s">
        <v>26647</v>
      </c>
      <c r="B4241" t="s">
        <v>4604</v>
      </c>
      <c r="C4241" t="s">
        <v>4144</v>
      </c>
      <c r="D4241" t="s">
        <v>4572</v>
      </c>
      <c r="E4241" t="s">
        <v>4573</v>
      </c>
      <c r="F4241" t="s">
        <v>3670</v>
      </c>
      <c r="G4241" t="s">
        <v>16231</v>
      </c>
      <c r="H4241" t="s">
        <v>47153</v>
      </c>
      <c r="I4241" t="s">
        <v>47132</v>
      </c>
      <c r="J4241" t="s">
        <v>47133</v>
      </c>
      <c r="K4241" t="s">
        <v>47113</v>
      </c>
      <c r="L4241">
        <v>46.26</v>
      </c>
      <c r="M4241">
        <v>81</v>
      </c>
      <c r="N4241">
        <v>0</v>
      </c>
      <c r="O4241">
        <v>81</v>
      </c>
      <c r="P4241">
        <v>0</v>
      </c>
    </row>
    <row r="4242" spans="1:16" x14ac:dyDescent="0.25">
      <c r="A4242" t="s">
        <v>26648</v>
      </c>
      <c r="B4242" t="s">
        <v>4605</v>
      </c>
      <c r="C4242" t="s">
        <v>4149</v>
      </c>
      <c r="D4242" t="s">
        <v>4581</v>
      </c>
      <c r="E4242" t="s">
        <v>4582</v>
      </c>
      <c r="F4242" t="s">
        <v>3670</v>
      </c>
      <c r="G4242" t="s">
        <v>16231</v>
      </c>
      <c r="H4242" t="s">
        <v>47153</v>
      </c>
      <c r="I4242" t="s">
        <v>47132</v>
      </c>
      <c r="J4242" t="s">
        <v>47133</v>
      </c>
      <c r="K4242" t="s">
        <v>47113</v>
      </c>
      <c r="L4242">
        <v>48.84</v>
      </c>
      <c r="M4242">
        <v>85</v>
      </c>
      <c r="N4242">
        <v>0</v>
      </c>
      <c r="O4242">
        <v>85</v>
      </c>
      <c r="P4242">
        <v>0</v>
      </c>
    </row>
    <row r="4243" spans="1:16" x14ac:dyDescent="0.25">
      <c r="A4243" t="s">
        <v>26649</v>
      </c>
      <c r="B4243" t="s">
        <v>4605</v>
      </c>
      <c r="C4243" t="s">
        <v>4149</v>
      </c>
      <c r="D4243" t="s">
        <v>4560</v>
      </c>
      <c r="E4243" t="s">
        <v>4561</v>
      </c>
      <c r="F4243" t="s">
        <v>3670</v>
      </c>
      <c r="G4243" t="s">
        <v>16231</v>
      </c>
      <c r="H4243" t="s">
        <v>47153</v>
      </c>
      <c r="I4243" t="s">
        <v>47132</v>
      </c>
      <c r="J4243" t="s">
        <v>47133</v>
      </c>
      <c r="K4243" t="s">
        <v>47113</v>
      </c>
      <c r="L4243">
        <v>45.68</v>
      </c>
      <c r="M4243">
        <v>81</v>
      </c>
      <c r="N4243">
        <v>0</v>
      </c>
      <c r="O4243">
        <v>81</v>
      </c>
      <c r="P4243">
        <v>0</v>
      </c>
    </row>
    <row r="4244" spans="1:16" x14ac:dyDescent="0.25">
      <c r="A4244" t="s">
        <v>26650</v>
      </c>
      <c r="B4244" t="s">
        <v>4606</v>
      </c>
      <c r="C4244" t="s">
        <v>4149</v>
      </c>
      <c r="D4244" t="s">
        <v>4059</v>
      </c>
      <c r="E4244" t="s">
        <v>4060</v>
      </c>
      <c r="F4244" t="s">
        <v>3670</v>
      </c>
      <c r="G4244" t="s">
        <v>16231</v>
      </c>
      <c r="H4244" t="s">
        <v>47153</v>
      </c>
      <c r="I4244" t="s">
        <v>47132</v>
      </c>
      <c r="J4244" t="s">
        <v>47133</v>
      </c>
      <c r="K4244" t="s">
        <v>47113</v>
      </c>
      <c r="L4244">
        <v>50.13</v>
      </c>
      <c r="M4244">
        <v>92</v>
      </c>
      <c r="N4244">
        <v>0</v>
      </c>
      <c r="O4244">
        <v>92</v>
      </c>
      <c r="P4244">
        <v>0</v>
      </c>
    </row>
    <row r="4245" spans="1:16" x14ac:dyDescent="0.25">
      <c r="A4245" t="s">
        <v>26651</v>
      </c>
      <c r="B4245" t="s">
        <v>4606</v>
      </c>
      <c r="C4245" t="s">
        <v>4149</v>
      </c>
      <c r="D4245" t="s">
        <v>504</v>
      </c>
      <c r="E4245" t="s">
        <v>505</v>
      </c>
      <c r="F4245" t="s">
        <v>3670</v>
      </c>
      <c r="G4245" t="s">
        <v>16231</v>
      </c>
      <c r="H4245" t="s">
        <v>47153</v>
      </c>
      <c r="I4245" t="s">
        <v>47132</v>
      </c>
      <c r="J4245" t="s">
        <v>47133</v>
      </c>
      <c r="K4245" t="s">
        <v>47113</v>
      </c>
      <c r="L4245">
        <v>50.13</v>
      </c>
      <c r="M4245">
        <v>92</v>
      </c>
      <c r="N4245">
        <v>0</v>
      </c>
      <c r="O4245">
        <v>92</v>
      </c>
      <c r="P4245">
        <v>0</v>
      </c>
    </row>
    <row r="4246" spans="1:16" x14ac:dyDescent="0.25">
      <c r="A4246" t="s">
        <v>26652</v>
      </c>
      <c r="B4246" t="s">
        <v>4606</v>
      </c>
      <c r="C4246" t="s">
        <v>4149</v>
      </c>
      <c r="D4246" t="s">
        <v>4596</v>
      </c>
      <c r="E4246" t="s">
        <v>4597</v>
      </c>
      <c r="F4246" t="s">
        <v>3670</v>
      </c>
      <c r="G4246" t="s">
        <v>16231</v>
      </c>
      <c r="H4246" t="s">
        <v>47153</v>
      </c>
      <c r="I4246" t="s">
        <v>47132</v>
      </c>
      <c r="J4246" t="s">
        <v>47133</v>
      </c>
      <c r="K4246" t="s">
        <v>47113</v>
      </c>
      <c r="L4246">
        <v>50.13</v>
      </c>
      <c r="M4246">
        <v>92</v>
      </c>
      <c r="N4246">
        <v>0</v>
      </c>
      <c r="O4246">
        <v>92</v>
      </c>
      <c r="P4246">
        <v>0</v>
      </c>
    </row>
    <row r="4247" spans="1:16" x14ac:dyDescent="0.25">
      <c r="A4247" t="s">
        <v>26653</v>
      </c>
      <c r="B4247" t="s">
        <v>4607</v>
      </c>
      <c r="C4247" t="s">
        <v>4149</v>
      </c>
      <c r="D4247" t="s">
        <v>4608</v>
      </c>
      <c r="E4247" t="s">
        <v>4609</v>
      </c>
      <c r="F4247" t="s">
        <v>3670</v>
      </c>
      <c r="G4247" t="s">
        <v>16231</v>
      </c>
      <c r="H4247" t="s">
        <v>47153</v>
      </c>
      <c r="I4247" t="s">
        <v>47132</v>
      </c>
      <c r="J4247" t="s">
        <v>47133</v>
      </c>
      <c r="K4247" t="s">
        <v>47113</v>
      </c>
      <c r="L4247">
        <v>51.29</v>
      </c>
      <c r="M4247">
        <v>96</v>
      </c>
      <c r="N4247">
        <v>0</v>
      </c>
      <c r="O4247">
        <v>96</v>
      </c>
      <c r="P4247">
        <v>0</v>
      </c>
    </row>
    <row r="4248" spans="1:16" x14ac:dyDescent="0.25">
      <c r="A4248" t="s">
        <v>26654</v>
      </c>
      <c r="B4248" t="s">
        <v>4610</v>
      </c>
      <c r="C4248" t="s">
        <v>4149</v>
      </c>
      <c r="D4248" t="s">
        <v>4589</v>
      </c>
      <c r="E4248" t="s">
        <v>4590</v>
      </c>
      <c r="F4248" t="s">
        <v>3670</v>
      </c>
      <c r="G4248" t="s">
        <v>16231</v>
      </c>
      <c r="H4248" t="s">
        <v>47153</v>
      </c>
      <c r="I4248" t="s">
        <v>47132</v>
      </c>
      <c r="J4248" t="s">
        <v>47133</v>
      </c>
      <c r="K4248" t="s">
        <v>47113</v>
      </c>
      <c r="L4248">
        <v>59.73</v>
      </c>
      <c r="M4248">
        <v>100</v>
      </c>
      <c r="N4248">
        <v>0</v>
      </c>
      <c r="O4248">
        <v>100</v>
      </c>
      <c r="P4248">
        <v>0</v>
      </c>
    </row>
    <row r="4249" spans="1:16" x14ac:dyDescent="0.25">
      <c r="A4249" t="s">
        <v>26655</v>
      </c>
      <c r="B4249" t="s">
        <v>4611</v>
      </c>
      <c r="C4249" t="s">
        <v>4612</v>
      </c>
      <c r="D4249" t="s">
        <v>4059</v>
      </c>
      <c r="E4249" t="s">
        <v>4060</v>
      </c>
      <c r="F4249" t="s">
        <v>3670</v>
      </c>
      <c r="G4249" t="s">
        <v>16231</v>
      </c>
      <c r="H4249" t="s">
        <v>47153</v>
      </c>
      <c r="I4249" t="s">
        <v>47132</v>
      </c>
      <c r="J4249" t="s">
        <v>47133</v>
      </c>
      <c r="K4249" t="s">
        <v>47113</v>
      </c>
      <c r="L4249">
        <v>57.04</v>
      </c>
      <c r="M4249">
        <v>92</v>
      </c>
      <c r="N4249">
        <v>0</v>
      </c>
      <c r="O4249">
        <v>92</v>
      </c>
      <c r="P4249">
        <v>0</v>
      </c>
    </row>
    <row r="4250" spans="1:16" x14ac:dyDescent="0.25">
      <c r="A4250" t="s">
        <v>26656</v>
      </c>
      <c r="B4250" t="s">
        <v>4611</v>
      </c>
      <c r="C4250" t="s">
        <v>4612</v>
      </c>
      <c r="D4250" t="s">
        <v>434</v>
      </c>
      <c r="E4250" t="s">
        <v>435</v>
      </c>
      <c r="F4250" t="s">
        <v>3670</v>
      </c>
      <c r="G4250" t="s">
        <v>16231</v>
      </c>
      <c r="H4250" t="s">
        <v>47153</v>
      </c>
      <c r="I4250" t="s">
        <v>47132</v>
      </c>
      <c r="J4250" t="s">
        <v>47133</v>
      </c>
      <c r="K4250" t="s">
        <v>47113</v>
      </c>
      <c r="L4250">
        <v>57.04</v>
      </c>
      <c r="M4250">
        <v>92</v>
      </c>
      <c r="N4250">
        <v>0</v>
      </c>
      <c r="O4250">
        <v>92</v>
      </c>
      <c r="P4250">
        <v>0</v>
      </c>
    </row>
    <row r="4251" spans="1:16" x14ac:dyDescent="0.25">
      <c r="A4251" t="s">
        <v>26657</v>
      </c>
      <c r="B4251" t="s">
        <v>4611</v>
      </c>
      <c r="C4251" t="s">
        <v>4612</v>
      </c>
      <c r="D4251" t="s">
        <v>4613</v>
      </c>
      <c r="E4251" t="s">
        <v>4614</v>
      </c>
      <c r="F4251" t="s">
        <v>3670</v>
      </c>
      <c r="G4251" t="s">
        <v>16231</v>
      </c>
      <c r="H4251" t="s">
        <v>47153</v>
      </c>
      <c r="I4251" t="s">
        <v>47132</v>
      </c>
      <c r="J4251" t="s">
        <v>47133</v>
      </c>
      <c r="K4251" t="s">
        <v>47113</v>
      </c>
      <c r="L4251">
        <v>57.04</v>
      </c>
      <c r="M4251">
        <v>92</v>
      </c>
      <c r="N4251">
        <v>0</v>
      </c>
      <c r="O4251">
        <v>92</v>
      </c>
      <c r="P4251">
        <v>0</v>
      </c>
    </row>
    <row r="4252" spans="1:16" x14ac:dyDescent="0.25">
      <c r="A4252" t="s">
        <v>26658</v>
      </c>
      <c r="B4252" t="s">
        <v>4615</v>
      </c>
      <c r="C4252" t="s">
        <v>4616</v>
      </c>
      <c r="D4252" t="str">
        <f>"1001"</f>
        <v>1001</v>
      </c>
      <c r="E4252" t="s">
        <v>42</v>
      </c>
      <c r="F4252" t="s">
        <v>3670</v>
      </c>
      <c r="G4252" t="s">
        <v>16230</v>
      </c>
      <c r="H4252" t="s">
        <v>47055</v>
      </c>
      <c r="I4252" t="s">
        <v>47120</v>
      </c>
      <c r="J4252" t="s">
        <v>47121</v>
      </c>
      <c r="K4252" t="s">
        <v>47113</v>
      </c>
      <c r="L4252">
        <v>104.47</v>
      </c>
      <c r="M4252">
        <v>310</v>
      </c>
      <c r="N4252">
        <v>0</v>
      </c>
      <c r="O4252">
        <v>310</v>
      </c>
      <c r="P4252">
        <v>0</v>
      </c>
    </row>
    <row r="4253" spans="1:16" x14ac:dyDescent="0.25">
      <c r="A4253" t="s">
        <v>26659</v>
      </c>
      <c r="B4253" t="s">
        <v>4617</v>
      </c>
      <c r="C4253" t="s">
        <v>387</v>
      </c>
      <c r="D4253" t="str">
        <f>"1106"</f>
        <v>1106</v>
      </c>
      <c r="E4253" t="s">
        <v>460</v>
      </c>
      <c r="F4253" t="s">
        <v>3670</v>
      </c>
      <c r="G4253" t="s">
        <v>46686</v>
      </c>
      <c r="H4253" t="s">
        <v>47055</v>
      </c>
      <c r="I4253" t="s">
        <v>47127</v>
      </c>
      <c r="J4253" t="s">
        <v>47128</v>
      </c>
      <c r="K4253" t="s">
        <v>47113</v>
      </c>
      <c r="L4253">
        <v>31.04</v>
      </c>
      <c r="M4253">
        <v>76</v>
      </c>
      <c r="N4253">
        <v>0</v>
      </c>
      <c r="O4253">
        <v>76</v>
      </c>
      <c r="P4253">
        <v>0</v>
      </c>
    </row>
    <row r="4254" spans="1:16" x14ac:dyDescent="0.25">
      <c r="A4254" t="s">
        <v>26660</v>
      </c>
      <c r="B4254" t="s">
        <v>4617</v>
      </c>
      <c r="C4254" t="s">
        <v>387</v>
      </c>
      <c r="D4254" t="str">
        <f>"1285"</f>
        <v>1285</v>
      </c>
      <c r="E4254" t="s">
        <v>2148</v>
      </c>
      <c r="F4254" t="s">
        <v>3670</v>
      </c>
      <c r="G4254" t="s">
        <v>46686</v>
      </c>
      <c r="H4254" t="s">
        <v>47055</v>
      </c>
      <c r="I4254" t="s">
        <v>47127</v>
      </c>
      <c r="J4254" t="s">
        <v>47128</v>
      </c>
      <c r="K4254" t="s">
        <v>47113</v>
      </c>
      <c r="L4254">
        <v>31.04</v>
      </c>
      <c r="M4254">
        <v>76</v>
      </c>
      <c r="N4254">
        <v>0</v>
      </c>
      <c r="O4254">
        <v>76</v>
      </c>
      <c r="P4254">
        <v>0</v>
      </c>
    </row>
    <row r="4255" spans="1:16" x14ac:dyDescent="0.25">
      <c r="A4255" t="s">
        <v>26661</v>
      </c>
      <c r="B4255" t="s">
        <v>4617</v>
      </c>
      <c r="C4255" t="s">
        <v>387</v>
      </c>
      <c r="D4255" t="str">
        <f>"1378"</f>
        <v>1378</v>
      </c>
      <c r="E4255" t="s">
        <v>388</v>
      </c>
      <c r="F4255" t="s">
        <v>3670</v>
      </c>
      <c r="G4255" t="s">
        <v>46686</v>
      </c>
      <c r="H4255" t="s">
        <v>47055</v>
      </c>
      <c r="I4255" t="s">
        <v>47127</v>
      </c>
      <c r="J4255" t="s">
        <v>47128</v>
      </c>
      <c r="K4255" t="s">
        <v>47113</v>
      </c>
      <c r="L4255">
        <v>31.04</v>
      </c>
      <c r="M4255">
        <v>76</v>
      </c>
      <c r="N4255">
        <v>0</v>
      </c>
      <c r="O4255">
        <v>76</v>
      </c>
      <c r="P4255">
        <v>0</v>
      </c>
    </row>
    <row r="4256" spans="1:16" x14ac:dyDescent="0.25">
      <c r="A4256" t="s">
        <v>26662</v>
      </c>
      <c r="B4256" t="s">
        <v>4617</v>
      </c>
      <c r="C4256" t="s">
        <v>387</v>
      </c>
      <c r="D4256" t="str">
        <f>"3501"</f>
        <v>3501</v>
      </c>
      <c r="E4256" t="s">
        <v>3758</v>
      </c>
      <c r="F4256" t="s">
        <v>3670</v>
      </c>
      <c r="G4256" t="s">
        <v>46686</v>
      </c>
      <c r="H4256" t="s">
        <v>47055</v>
      </c>
      <c r="I4256" t="s">
        <v>47127</v>
      </c>
      <c r="J4256" t="s">
        <v>47128</v>
      </c>
      <c r="K4256" t="s">
        <v>47113</v>
      </c>
      <c r="L4256">
        <v>31.04</v>
      </c>
      <c r="M4256">
        <v>76</v>
      </c>
      <c r="N4256">
        <v>0</v>
      </c>
      <c r="O4256">
        <v>76</v>
      </c>
      <c r="P4256">
        <v>0</v>
      </c>
    </row>
    <row r="4257" spans="1:16" x14ac:dyDescent="0.25">
      <c r="A4257" t="s">
        <v>26663</v>
      </c>
      <c r="B4257" t="s">
        <v>4617</v>
      </c>
      <c r="C4257" t="s">
        <v>387</v>
      </c>
      <c r="D4257" t="str">
        <f>"4643"</f>
        <v>4643</v>
      </c>
      <c r="E4257" t="s">
        <v>205</v>
      </c>
      <c r="F4257" t="s">
        <v>3670</v>
      </c>
      <c r="G4257" t="s">
        <v>46686</v>
      </c>
      <c r="H4257" t="s">
        <v>47055</v>
      </c>
      <c r="I4257" t="s">
        <v>47127</v>
      </c>
      <c r="J4257" t="s">
        <v>47128</v>
      </c>
      <c r="K4257" t="s">
        <v>47113</v>
      </c>
      <c r="L4257">
        <v>31.04</v>
      </c>
      <c r="M4257">
        <v>76</v>
      </c>
      <c r="N4257">
        <v>0</v>
      </c>
      <c r="O4257">
        <v>76</v>
      </c>
      <c r="P4257">
        <v>0</v>
      </c>
    </row>
    <row r="4258" spans="1:16" x14ac:dyDescent="0.25">
      <c r="A4258" t="s">
        <v>26664</v>
      </c>
      <c r="B4258" t="s">
        <v>4617</v>
      </c>
      <c r="C4258" t="s">
        <v>387</v>
      </c>
      <c r="D4258" t="str">
        <f>"4753"</f>
        <v>4753</v>
      </c>
      <c r="E4258" t="s">
        <v>3755</v>
      </c>
      <c r="F4258" t="s">
        <v>3670</v>
      </c>
      <c r="G4258" t="s">
        <v>46686</v>
      </c>
      <c r="H4258" t="s">
        <v>47055</v>
      </c>
      <c r="I4258" t="s">
        <v>47127</v>
      </c>
      <c r="J4258" t="s">
        <v>47128</v>
      </c>
      <c r="K4258" t="s">
        <v>47113</v>
      </c>
      <c r="L4258">
        <v>31.04</v>
      </c>
      <c r="M4258">
        <v>76</v>
      </c>
      <c r="N4258">
        <v>0</v>
      </c>
      <c r="O4258">
        <v>76</v>
      </c>
      <c r="P4258">
        <v>0</v>
      </c>
    </row>
    <row r="4259" spans="1:16" x14ac:dyDescent="0.25">
      <c r="A4259" t="s">
        <v>26665</v>
      </c>
      <c r="B4259" t="s">
        <v>4617</v>
      </c>
      <c r="C4259" t="s">
        <v>387</v>
      </c>
      <c r="D4259" t="str">
        <f>"6064"</f>
        <v>6064</v>
      </c>
      <c r="E4259" t="s">
        <v>87</v>
      </c>
      <c r="F4259" t="s">
        <v>3670</v>
      </c>
      <c r="G4259" t="s">
        <v>46686</v>
      </c>
      <c r="H4259" t="s">
        <v>47055</v>
      </c>
      <c r="I4259" t="s">
        <v>47127</v>
      </c>
      <c r="J4259" t="s">
        <v>47128</v>
      </c>
      <c r="K4259" t="s">
        <v>47113</v>
      </c>
      <c r="L4259">
        <v>31.04</v>
      </c>
      <c r="M4259">
        <v>76</v>
      </c>
      <c r="N4259">
        <v>0</v>
      </c>
      <c r="O4259">
        <v>76</v>
      </c>
      <c r="P4259">
        <v>0</v>
      </c>
    </row>
    <row r="4260" spans="1:16" x14ac:dyDescent="0.25">
      <c r="A4260" t="s">
        <v>26666</v>
      </c>
      <c r="B4260" t="s">
        <v>4618</v>
      </c>
      <c r="C4260" t="s">
        <v>4619</v>
      </c>
      <c r="D4260" t="str">
        <f>"1106"</f>
        <v>1106</v>
      </c>
      <c r="E4260" t="s">
        <v>460</v>
      </c>
      <c r="F4260" t="s">
        <v>3670</v>
      </c>
      <c r="G4260" t="s">
        <v>16222</v>
      </c>
      <c r="H4260" t="s">
        <v>47055</v>
      </c>
      <c r="I4260" t="s">
        <v>47127</v>
      </c>
      <c r="J4260" t="s">
        <v>47128</v>
      </c>
      <c r="K4260" t="s">
        <v>47113</v>
      </c>
      <c r="L4260">
        <v>29.73</v>
      </c>
      <c r="M4260">
        <v>50</v>
      </c>
      <c r="N4260">
        <v>0</v>
      </c>
      <c r="O4260">
        <v>50</v>
      </c>
      <c r="P4260">
        <v>0</v>
      </c>
    </row>
    <row r="4261" spans="1:16" x14ac:dyDescent="0.25">
      <c r="A4261" t="s">
        <v>26667</v>
      </c>
      <c r="B4261" t="s">
        <v>4618</v>
      </c>
      <c r="C4261" t="s">
        <v>4619</v>
      </c>
      <c r="D4261" t="str">
        <f>"1285"</f>
        <v>1285</v>
      </c>
      <c r="E4261" t="s">
        <v>2148</v>
      </c>
      <c r="F4261" t="s">
        <v>3670</v>
      </c>
      <c r="G4261" t="s">
        <v>16222</v>
      </c>
      <c r="H4261" t="s">
        <v>47055</v>
      </c>
      <c r="I4261" t="s">
        <v>47127</v>
      </c>
      <c r="J4261" t="s">
        <v>47128</v>
      </c>
      <c r="K4261" t="s">
        <v>47113</v>
      </c>
      <c r="L4261">
        <v>29.73</v>
      </c>
      <c r="M4261">
        <v>50</v>
      </c>
      <c r="N4261">
        <v>0</v>
      </c>
      <c r="O4261">
        <v>50</v>
      </c>
      <c r="P4261">
        <v>0</v>
      </c>
    </row>
    <row r="4262" spans="1:16" x14ac:dyDescent="0.25">
      <c r="A4262" t="s">
        <v>26668</v>
      </c>
      <c r="B4262" t="s">
        <v>4618</v>
      </c>
      <c r="C4262" t="s">
        <v>4619</v>
      </c>
      <c r="D4262" t="str">
        <f>"1700"</f>
        <v>1700</v>
      </c>
      <c r="E4262" t="s">
        <v>60</v>
      </c>
      <c r="F4262" t="s">
        <v>3670</v>
      </c>
      <c r="G4262" t="s">
        <v>16222</v>
      </c>
      <c r="H4262" t="s">
        <v>47055</v>
      </c>
      <c r="I4262" t="s">
        <v>47127</v>
      </c>
      <c r="J4262" t="s">
        <v>47128</v>
      </c>
      <c r="K4262" t="s">
        <v>47113</v>
      </c>
      <c r="L4262">
        <v>29.73</v>
      </c>
      <c r="M4262">
        <v>50</v>
      </c>
      <c r="N4262">
        <v>0</v>
      </c>
      <c r="O4262">
        <v>50</v>
      </c>
      <c r="P4262">
        <v>0</v>
      </c>
    </row>
    <row r="4263" spans="1:16" x14ac:dyDescent="0.25">
      <c r="A4263" t="s">
        <v>26669</v>
      </c>
      <c r="B4263" t="s">
        <v>4618</v>
      </c>
      <c r="C4263" t="s">
        <v>4619</v>
      </c>
      <c r="D4263" t="str">
        <f>"3501"</f>
        <v>3501</v>
      </c>
      <c r="E4263" t="s">
        <v>3758</v>
      </c>
      <c r="F4263" t="s">
        <v>3670</v>
      </c>
      <c r="G4263" t="s">
        <v>16222</v>
      </c>
      <c r="H4263" t="s">
        <v>47055</v>
      </c>
      <c r="I4263" t="s">
        <v>47127</v>
      </c>
      <c r="J4263" t="s">
        <v>47128</v>
      </c>
      <c r="K4263" t="s">
        <v>47113</v>
      </c>
      <c r="L4263">
        <v>29.73</v>
      </c>
      <c r="M4263">
        <v>50</v>
      </c>
      <c r="N4263">
        <v>0</v>
      </c>
      <c r="O4263">
        <v>50</v>
      </c>
      <c r="P4263">
        <v>0</v>
      </c>
    </row>
    <row r="4264" spans="1:16" x14ac:dyDescent="0.25">
      <c r="A4264" t="s">
        <v>26670</v>
      </c>
      <c r="B4264" t="s">
        <v>4618</v>
      </c>
      <c r="C4264" t="s">
        <v>4619</v>
      </c>
      <c r="D4264" t="str">
        <f>"4643"</f>
        <v>4643</v>
      </c>
      <c r="E4264" t="s">
        <v>205</v>
      </c>
      <c r="F4264" t="s">
        <v>3670</v>
      </c>
      <c r="G4264" t="s">
        <v>16222</v>
      </c>
      <c r="H4264" t="s">
        <v>47055</v>
      </c>
      <c r="I4264" t="s">
        <v>47127</v>
      </c>
      <c r="J4264" t="s">
        <v>47128</v>
      </c>
      <c r="K4264" t="s">
        <v>47113</v>
      </c>
      <c r="L4264">
        <v>29.73</v>
      </c>
      <c r="M4264">
        <v>50</v>
      </c>
      <c r="N4264">
        <v>0</v>
      </c>
      <c r="O4264">
        <v>50</v>
      </c>
      <c r="P4264">
        <v>0</v>
      </c>
    </row>
    <row r="4265" spans="1:16" x14ac:dyDescent="0.25">
      <c r="A4265" t="s">
        <v>26671</v>
      </c>
      <c r="B4265" t="s">
        <v>4620</v>
      </c>
      <c r="C4265" t="s">
        <v>4621</v>
      </c>
      <c r="D4265" t="str">
        <f>"1106"</f>
        <v>1106</v>
      </c>
      <c r="E4265" t="s">
        <v>460</v>
      </c>
      <c r="F4265" t="s">
        <v>3670</v>
      </c>
      <c r="G4265" t="s">
        <v>16222</v>
      </c>
      <c r="H4265" t="s">
        <v>47055</v>
      </c>
      <c r="I4265" t="s">
        <v>47127</v>
      </c>
      <c r="J4265" t="s">
        <v>47128</v>
      </c>
      <c r="K4265" t="s">
        <v>47113</v>
      </c>
      <c r="L4265">
        <v>20.89</v>
      </c>
      <c r="M4265">
        <v>48</v>
      </c>
      <c r="N4265">
        <v>0</v>
      </c>
      <c r="O4265">
        <v>48</v>
      </c>
      <c r="P4265">
        <v>0</v>
      </c>
    </row>
    <row r="4266" spans="1:16" x14ac:dyDescent="0.25">
      <c r="A4266" t="s">
        <v>26672</v>
      </c>
      <c r="B4266" t="s">
        <v>4620</v>
      </c>
      <c r="C4266" t="s">
        <v>4621</v>
      </c>
      <c r="D4266" t="str">
        <f>"1278"</f>
        <v>1278</v>
      </c>
      <c r="E4266" t="s">
        <v>100</v>
      </c>
      <c r="F4266" t="s">
        <v>3670</v>
      </c>
      <c r="G4266" t="s">
        <v>16222</v>
      </c>
      <c r="H4266" t="s">
        <v>47055</v>
      </c>
      <c r="I4266" t="s">
        <v>47127</v>
      </c>
      <c r="J4266" t="s">
        <v>47128</v>
      </c>
      <c r="K4266" t="s">
        <v>47113</v>
      </c>
      <c r="L4266">
        <v>20.89</v>
      </c>
      <c r="M4266">
        <v>48</v>
      </c>
      <c r="N4266">
        <v>0</v>
      </c>
      <c r="O4266">
        <v>48</v>
      </c>
      <c r="P4266">
        <v>0</v>
      </c>
    </row>
    <row r="4267" spans="1:16" x14ac:dyDescent="0.25">
      <c r="A4267" t="s">
        <v>26673</v>
      </c>
      <c r="B4267" t="s">
        <v>4620</v>
      </c>
      <c r="C4267" t="s">
        <v>4621</v>
      </c>
      <c r="D4267" t="str">
        <f>"1285"</f>
        <v>1285</v>
      </c>
      <c r="E4267" t="s">
        <v>2148</v>
      </c>
      <c r="F4267" t="s">
        <v>3670</v>
      </c>
      <c r="G4267" t="s">
        <v>16222</v>
      </c>
      <c r="H4267" t="s">
        <v>47055</v>
      </c>
      <c r="I4267" t="s">
        <v>47127</v>
      </c>
      <c r="J4267" t="s">
        <v>47128</v>
      </c>
      <c r="K4267" t="s">
        <v>47113</v>
      </c>
      <c r="L4267">
        <v>20.89</v>
      </c>
      <c r="M4267">
        <v>48</v>
      </c>
      <c r="N4267">
        <v>0</v>
      </c>
      <c r="O4267">
        <v>48</v>
      </c>
      <c r="P4267">
        <v>0</v>
      </c>
    </row>
    <row r="4268" spans="1:16" x14ac:dyDescent="0.25">
      <c r="A4268" t="s">
        <v>26674</v>
      </c>
      <c r="B4268" t="s">
        <v>4620</v>
      </c>
      <c r="C4268" t="s">
        <v>4621</v>
      </c>
      <c r="D4268" t="str">
        <f>"1700"</f>
        <v>1700</v>
      </c>
      <c r="E4268" t="s">
        <v>60</v>
      </c>
      <c r="F4268" t="s">
        <v>3670</v>
      </c>
      <c r="G4268" t="s">
        <v>16222</v>
      </c>
      <c r="H4268" t="s">
        <v>47055</v>
      </c>
      <c r="I4268" t="s">
        <v>47127</v>
      </c>
      <c r="J4268" t="s">
        <v>47128</v>
      </c>
      <c r="K4268" t="s">
        <v>47113</v>
      </c>
      <c r="L4268">
        <v>20.89</v>
      </c>
      <c r="M4268">
        <v>48</v>
      </c>
      <c r="N4268">
        <v>0</v>
      </c>
      <c r="O4268">
        <v>48</v>
      </c>
      <c r="P4268">
        <v>0</v>
      </c>
    </row>
    <row r="4269" spans="1:16" x14ac:dyDescent="0.25">
      <c r="A4269" t="s">
        <v>26675</v>
      </c>
      <c r="B4269" t="s">
        <v>4620</v>
      </c>
      <c r="C4269" t="s">
        <v>4621</v>
      </c>
      <c r="D4269" t="str">
        <f>"3501"</f>
        <v>3501</v>
      </c>
      <c r="E4269" t="s">
        <v>3758</v>
      </c>
      <c r="F4269" t="s">
        <v>3670</v>
      </c>
      <c r="G4269" t="s">
        <v>16222</v>
      </c>
      <c r="H4269" t="s">
        <v>47055</v>
      </c>
      <c r="I4269" t="s">
        <v>47127</v>
      </c>
      <c r="J4269" t="s">
        <v>47128</v>
      </c>
      <c r="K4269" t="s">
        <v>47113</v>
      </c>
      <c r="L4269">
        <v>20.89</v>
      </c>
      <c r="M4269">
        <v>48</v>
      </c>
      <c r="N4269">
        <v>0</v>
      </c>
      <c r="O4269">
        <v>48</v>
      </c>
      <c r="P4269">
        <v>0</v>
      </c>
    </row>
    <row r="4270" spans="1:16" x14ac:dyDescent="0.25">
      <c r="A4270" t="s">
        <v>26676</v>
      </c>
      <c r="B4270" t="s">
        <v>4620</v>
      </c>
      <c r="C4270" t="s">
        <v>4621</v>
      </c>
      <c r="D4270" t="str">
        <f>"4643"</f>
        <v>4643</v>
      </c>
      <c r="E4270" t="s">
        <v>205</v>
      </c>
      <c r="F4270" t="s">
        <v>3670</v>
      </c>
      <c r="G4270" t="s">
        <v>16222</v>
      </c>
      <c r="H4270" t="s">
        <v>47055</v>
      </c>
      <c r="I4270" t="s">
        <v>47127</v>
      </c>
      <c r="J4270" t="s">
        <v>47128</v>
      </c>
      <c r="K4270" t="s">
        <v>47113</v>
      </c>
      <c r="L4270">
        <v>20.89</v>
      </c>
      <c r="M4270">
        <v>48</v>
      </c>
      <c r="N4270">
        <v>0</v>
      </c>
      <c r="O4270">
        <v>48</v>
      </c>
      <c r="P4270">
        <v>0</v>
      </c>
    </row>
    <row r="4271" spans="1:16" x14ac:dyDescent="0.25">
      <c r="A4271" t="s">
        <v>26677</v>
      </c>
      <c r="B4271" t="s">
        <v>4620</v>
      </c>
      <c r="C4271" t="s">
        <v>4621</v>
      </c>
      <c r="D4271" t="str">
        <f>"6064"</f>
        <v>6064</v>
      </c>
      <c r="E4271" t="s">
        <v>87</v>
      </c>
      <c r="F4271" t="s">
        <v>3670</v>
      </c>
      <c r="G4271" t="s">
        <v>16222</v>
      </c>
      <c r="H4271" t="s">
        <v>47055</v>
      </c>
      <c r="I4271" t="s">
        <v>47127</v>
      </c>
      <c r="J4271" t="s">
        <v>47128</v>
      </c>
      <c r="K4271" t="s">
        <v>47113</v>
      </c>
      <c r="L4271">
        <v>20.89</v>
      </c>
      <c r="M4271">
        <v>48</v>
      </c>
      <c r="N4271">
        <v>0</v>
      </c>
      <c r="O4271">
        <v>48</v>
      </c>
      <c r="P4271">
        <v>0</v>
      </c>
    </row>
    <row r="4272" spans="1:16" x14ac:dyDescent="0.25">
      <c r="A4272" t="s">
        <v>26678</v>
      </c>
      <c r="B4272" t="s">
        <v>4622</v>
      </c>
      <c r="C4272" t="s">
        <v>4623</v>
      </c>
      <c r="D4272" t="str">
        <f>"1106"</f>
        <v>1106</v>
      </c>
      <c r="E4272" t="s">
        <v>460</v>
      </c>
      <c r="F4272" t="s">
        <v>3670</v>
      </c>
      <c r="G4272" t="s">
        <v>16235</v>
      </c>
      <c r="H4272" t="s">
        <v>47055</v>
      </c>
      <c r="I4272" t="s">
        <v>47127</v>
      </c>
      <c r="J4272" t="s">
        <v>47128</v>
      </c>
      <c r="K4272" t="s">
        <v>47113</v>
      </c>
      <c r="L4272">
        <v>34.03</v>
      </c>
      <c r="M4272">
        <v>76</v>
      </c>
      <c r="N4272">
        <v>0</v>
      </c>
      <c r="O4272">
        <v>76</v>
      </c>
      <c r="P4272">
        <v>0</v>
      </c>
    </row>
    <row r="4273" spans="1:16" x14ac:dyDescent="0.25">
      <c r="A4273" t="s">
        <v>26679</v>
      </c>
      <c r="B4273" t="s">
        <v>4622</v>
      </c>
      <c r="C4273" t="s">
        <v>4623</v>
      </c>
      <c r="D4273" t="str">
        <f>"1285"</f>
        <v>1285</v>
      </c>
      <c r="E4273" t="s">
        <v>2148</v>
      </c>
      <c r="F4273" t="s">
        <v>3670</v>
      </c>
      <c r="G4273" t="s">
        <v>16235</v>
      </c>
      <c r="H4273" t="s">
        <v>47055</v>
      </c>
      <c r="I4273" t="s">
        <v>47127</v>
      </c>
      <c r="J4273" t="s">
        <v>47128</v>
      </c>
      <c r="K4273" t="s">
        <v>47113</v>
      </c>
      <c r="L4273">
        <v>34.03</v>
      </c>
      <c r="M4273">
        <v>76</v>
      </c>
      <c r="N4273">
        <v>0</v>
      </c>
      <c r="O4273">
        <v>76</v>
      </c>
      <c r="P4273">
        <v>0</v>
      </c>
    </row>
    <row r="4274" spans="1:16" x14ac:dyDescent="0.25">
      <c r="A4274" t="s">
        <v>26680</v>
      </c>
      <c r="B4274" t="s">
        <v>4622</v>
      </c>
      <c r="C4274" t="s">
        <v>4623</v>
      </c>
      <c r="D4274" t="str">
        <f>"1700"</f>
        <v>1700</v>
      </c>
      <c r="E4274" t="s">
        <v>60</v>
      </c>
      <c r="F4274" t="s">
        <v>3750</v>
      </c>
      <c r="G4274" t="s">
        <v>16235</v>
      </c>
      <c r="H4274" t="s">
        <v>47055</v>
      </c>
      <c r="I4274" t="s">
        <v>47127</v>
      </c>
      <c r="J4274" t="s">
        <v>47128</v>
      </c>
      <c r="K4274" t="s">
        <v>47113</v>
      </c>
      <c r="L4274">
        <v>34.03</v>
      </c>
      <c r="M4274">
        <v>76</v>
      </c>
      <c r="N4274">
        <v>0</v>
      </c>
      <c r="O4274">
        <v>76</v>
      </c>
      <c r="P4274">
        <v>0</v>
      </c>
    </row>
    <row r="4275" spans="1:16" x14ac:dyDescent="0.25">
      <c r="A4275" t="s">
        <v>26681</v>
      </c>
      <c r="B4275" t="s">
        <v>4622</v>
      </c>
      <c r="C4275" t="s">
        <v>4623</v>
      </c>
      <c r="D4275" t="str">
        <f>"3501"</f>
        <v>3501</v>
      </c>
      <c r="E4275" t="s">
        <v>3758</v>
      </c>
      <c r="F4275" t="s">
        <v>3670</v>
      </c>
      <c r="G4275" t="s">
        <v>16235</v>
      </c>
      <c r="H4275" t="s">
        <v>47055</v>
      </c>
      <c r="I4275" t="s">
        <v>47127</v>
      </c>
      <c r="J4275" t="s">
        <v>47128</v>
      </c>
      <c r="K4275" t="s">
        <v>47113</v>
      </c>
      <c r="L4275">
        <v>34.03</v>
      </c>
      <c r="M4275">
        <v>76</v>
      </c>
      <c r="N4275">
        <v>0</v>
      </c>
      <c r="O4275">
        <v>76</v>
      </c>
      <c r="P4275">
        <v>0</v>
      </c>
    </row>
    <row r="4276" spans="1:16" x14ac:dyDescent="0.25">
      <c r="A4276" t="s">
        <v>26682</v>
      </c>
      <c r="B4276" t="s">
        <v>4622</v>
      </c>
      <c r="C4276" t="s">
        <v>4623</v>
      </c>
      <c r="D4276" t="str">
        <f>"4643"</f>
        <v>4643</v>
      </c>
      <c r="E4276" t="s">
        <v>205</v>
      </c>
      <c r="F4276" t="s">
        <v>3670</v>
      </c>
      <c r="G4276" t="s">
        <v>16235</v>
      </c>
      <c r="H4276" t="s">
        <v>47055</v>
      </c>
      <c r="I4276" t="s">
        <v>47127</v>
      </c>
      <c r="J4276" t="s">
        <v>47128</v>
      </c>
      <c r="K4276" t="s">
        <v>47113</v>
      </c>
      <c r="L4276">
        <v>34.03</v>
      </c>
      <c r="M4276">
        <v>76</v>
      </c>
      <c r="N4276">
        <v>0</v>
      </c>
      <c r="O4276">
        <v>76</v>
      </c>
      <c r="P4276">
        <v>0</v>
      </c>
    </row>
    <row r="4277" spans="1:16" x14ac:dyDescent="0.25">
      <c r="A4277" t="s">
        <v>26683</v>
      </c>
      <c r="B4277" t="s">
        <v>4622</v>
      </c>
      <c r="C4277" t="s">
        <v>4623</v>
      </c>
      <c r="D4277" t="str">
        <f>"6064"</f>
        <v>6064</v>
      </c>
      <c r="E4277" t="s">
        <v>87</v>
      </c>
      <c r="F4277" t="s">
        <v>3670</v>
      </c>
      <c r="G4277" t="s">
        <v>16235</v>
      </c>
      <c r="H4277" t="s">
        <v>47055</v>
      </c>
      <c r="I4277" t="s">
        <v>47127</v>
      </c>
      <c r="J4277" t="s">
        <v>47128</v>
      </c>
      <c r="K4277" t="s">
        <v>47113</v>
      </c>
      <c r="L4277">
        <v>34.03</v>
      </c>
      <c r="M4277">
        <v>76</v>
      </c>
      <c r="N4277">
        <v>0</v>
      </c>
      <c r="O4277">
        <v>76</v>
      </c>
      <c r="P4277">
        <v>0</v>
      </c>
    </row>
    <row r="4278" spans="1:16" x14ac:dyDescent="0.25">
      <c r="A4278" t="s">
        <v>26684</v>
      </c>
      <c r="B4278" t="s">
        <v>4624</v>
      </c>
      <c r="C4278" t="s">
        <v>4625</v>
      </c>
      <c r="D4278" t="str">
        <f>"1106"</f>
        <v>1106</v>
      </c>
      <c r="E4278" t="s">
        <v>460</v>
      </c>
      <c r="F4278" t="s">
        <v>3670</v>
      </c>
      <c r="G4278" t="s">
        <v>16222</v>
      </c>
      <c r="H4278" t="s">
        <v>47055</v>
      </c>
      <c r="I4278" t="s">
        <v>47127</v>
      </c>
      <c r="J4278" t="s">
        <v>47128</v>
      </c>
      <c r="K4278" t="s">
        <v>47113</v>
      </c>
      <c r="L4278">
        <v>22.09</v>
      </c>
      <c r="M4278">
        <v>50</v>
      </c>
      <c r="N4278">
        <v>0</v>
      </c>
      <c r="O4278">
        <v>50</v>
      </c>
      <c r="P4278">
        <v>0</v>
      </c>
    </row>
    <row r="4279" spans="1:16" x14ac:dyDescent="0.25">
      <c r="A4279" t="s">
        <v>26685</v>
      </c>
      <c r="B4279" t="s">
        <v>4624</v>
      </c>
      <c r="C4279" t="s">
        <v>4625</v>
      </c>
      <c r="D4279" t="str">
        <f>"1285"</f>
        <v>1285</v>
      </c>
      <c r="E4279" t="s">
        <v>2148</v>
      </c>
      <c r="F4279" t="s">
        <v>3670</v>
      </c>
      <c r="G4279" t="s">
        <v>16222</v>
      </c>
      <c r="H4279" t="s">
        <v>47055</v>
      </c>
      <c r="I4279" t="s">
        <v>47127</v>
      </c>
      <c r="J4279" t="s">
        <v>47128</v>
      </c>
      <c r="K4279" t="s">
        <v>47113</v>
      </c>
      <c r="L4279">
        <v>22.09</v>
      </c>
      <c r="M4279">
        <v>50</v>
      </c>
      <c r="N4279">
        <v>0</v>
      </c>
      <c r="O4279">
        <v>50</v>
      </c>
      <c r="P4279">
        <v>0</v>
      </c>
    </row>
    <row r="4280" spans="1:16" x14ac:dyDescent="0.25">
      <c r="A4280" t="s">
        <v>26686</v>
      </c>
      <c r="B4280" t="s">
        <v>4624</v>
      </c>
      <c r="C4280" t="s">
        <v>4625</v>
      </c>
      <c r="D4280" t="str">
        <f>"1700"</f>
        <v>1700</v>
      </c>
      <c r="E4280" t="s">
        <v>60</v>
      </c>
      <c r="F4280" t="s">
        <v>3670</v>
      </c>
      <c r="G4280" t="s">
        <v>16222</v>
      </c>
      <c r="H4280" t="s">
        <v>47055</v>
      </c>
      <c r="I4280" t="s">
        <v>47127</v>
      </c>
      <c r="J4280" t="s">
        <v>47128</v>
      </c>
      <c r="K4280" t="s">
        <v>47113</v>
      </c>
      <c r="L4280">
        <v>22.09</v>
      </c>
      <c r="M4280">
        <v>50</v>
      </c>
      <c r="N4280">
        <v>0</v>
      </c>
      <c r="O4280">
        <v>50</v>
      </c>
      <c r="P4280">
        <v>0</v>
      </c>
    </row>
    <row r="4281" spans="1:16" x14ac:dyDescent="0.25">
      <c r="A4281" t="s">
        <v>26687</v>
      </c>
      <c r="B4281" t="s">
        <v>4624</v>
      </c>
      <c r="C4281" t="s">
        <v>4625</v>
      </c>
      <c r="D4281" t="str">
        <f>"3501"</f>
        <v>3501</v>
      </c>
      <c r="E4281" t="s">
        <v>3758</v>
      </c>
      <c r="F4281" t="s">
        <v>3670</v>
      </c>
      <c r="G4281" t="s">
        <v>16222</v>
      </c>
      <c r="H4281" t="s">
        <v>47055</v>
      </c>
      <c r="I4281" t="s">
        <v>47127</v>
      </c>
      <c r="J4281" t="s">
        <v>47128</v>
      </c>
      <c r="K4281" t="s">
        <v>47113</v>
      </c>
      <c r="L4281">
        <v>22.09</v>
      </c>
      <c r="M4281">
        <v>50</v>
      </c>
      <c r="N4281">
        <v>0</v>
      </c>
      <c r="O4281">
        <v>50</v>
      </c>
      <c r="P4281">
        <v>0</v>
      </c>
    </row>
    <row r="4282" spans="1:16" x14ac:dyDescent="0.25">
      <c r="A4282" t="s">
        <v>26688</v>
      </c>
      <c r="B4282" t="s">
        <v>4624</v>
      </c>
      <c r="C4282" t="s">
        <v>4625</v>
      </c>
      <c r="D4282" t="str">
        <f>"4643"</f>
        <v>4643</v>
      </c>
      <c r="E4282" t="s">
        <v>205</v>
      </c>
      <c r="F4282" t="s">
        <v>3670</v>
      </c>
      <c r="G4282" t="s">
        <v>16222</v>
      </c>
      <c r="H4282" t="s">
        <v>47055</v>
      </c>
      <c r="I4282" t="s">
        <v>47127</v>
      </c>
      <c r="J4282" t="s">
        <v>47128</v>
      </c>
      <c r="K4282" t="s">
        <v>47113</v>
      </c>
      <c r="L4282">
        <v>22.09</v>
      </c>
      <c r="M4282">
        <v>50</v>
      </c>
      <c r="N4282">
        <v>0</v>
      </c>
      <c r="O4282">
        <v>50</v>
      </c>
      <c r="P4282">
        <v>0</v>
      </c>
    </row>
    <row r="4283" spans="1:16" x14ac:dyDescent="0.25">
      <c r="A4283" t="s">
        <v>26689</v>
      </c>
      <c r="B4283" t="s">
        <v>4624</v>
      </c>
      <c r="C4283" t="s">
        <v>4625</v>
      </c>
      <c r="D4283" t="str">
        <f>"6064"</f>
        <v>6064</v>
      </c>
      <c r="E4283" t="s">
        <v>87</v>
      </c>
      <c r="F4283" t="s">
        <v>3670</v>
      </c>
      <c r="G4283" t="s">
        <v>16222</v>
      </c>
      <c r="H4283" t="s">
        <v>47055</v>
      </c>
      <c r="I4283" t="s">
        <v>47127</v>
      </c>
      <c r="J4283" t="s">
        <v>47128</v>
      </c>
      <c r="K4283" t="s">
        <v>47113</v>
      </c>
      <c r="L4283">
        <v>22.09</v>
      </c>
      <c r="M4283">
        <v>50</v>
      </c>
      <c r="N4283">
        <v>0</v>
      </c>
      <c r="O4283">
        <v>50</v>
      </c>
      <c r="P4283">
        <v>0</v>
      </c>
    </row>
    <row r="4284" spans="1:16" x14ac:dyDescent="0.25">
      <c r="A4284" t="s">
        <v>26690</v>
      </c>
      <c r="B4284" t="s">
        <v>4626</v>
      </c>
      <c r="C4284" t="s">
        <v>4627</v>
      </c>
      <c r="D4284" t="str">
        <f>"1106"</f>
        <v>1106</v>
      </c>
      <c r="E4284" t="s">
        <v>460</v>
      </c>
      <c r="F4284" t="s">
        <v>3670</v>
      </c>
      <c r="G4284" t="s">
        <v>46686</v>
      </c>
      <c r="H4284" t="s">
        <v>47055</v>
      </c>
      <c r="I4284" t="s">
        <v>47127</v>
      </c>
      <c r="J4284" t="s">
        <v>47128</v>
      </c>
      <c r="K4284" t="s">
        <v>47113</v>
      </c>
      <c r="L4284">
        <v>31.04</v>
      </c>
      <c r="M4284">
        <v>74</v>
      </c>
      <c r="N4284">
        <v>0</v>
      </c>
      <c r="O4284">
        <v>74</v>
      </c>
      <c r="P4284">
        <v>0</v>
      </c>
    </row>
    <row r="4285" spans="1:16" x14ac:dyDescent="0.25">
      <c r="A4285" t="s">
        <v>26691</v>
      </c>
      <c r="B4285" t="s">
        <v>4626</v>
      </c>
      <c r="C4285" t="s">
        <v>4627</v>
      </c>
      <c r="D4285" t="str">
        <f>"1278"</f>
        <v>1278</v>
      </c>
      <c r="E4285" t="s">
        <v>100</v>
      </c>
      <c r="F4285" t="s">
        <v>3670</v>
      </c>
      <c r="G4285" t="s">
        <v>46686</v>
      </c>
      <c r="H4285" t="s">
        <v>47055</v>
      </c>
      <c r="I4285" t="s">
        <v>47127</v>
      </c>
      <c r="J4285" t="s">
        <v>47128</v>
      </c>
      <c r="K4285" t="s">
        <v>47113</v>
      </c>
      <c r="L4285">
        <v>31.04</v>
      </c>
      <c r="M4285">
        <v>74</v>
      </c>
      <c r="N4285">
        <v>0</v>
      </c>
      <c r="O4285">
        <v>74</v>
      </c>
      <c r="P4285">
        <v>0</v>
      </c>
    </row>
    <row r="4286" spans="1:16" x14ac:dyDescent="0.25">
      <c r="A4286" t="s">
        <v>26692</v>
      </c>
      <c r="B4286" t="s">
        <v>4626</v>
      </c>
      <c r="C4286" t="s">
        <v>4627</v>
      </c>
      <c r="D4286" t="str">
        <f>"1285"</f>
        <v>1285</v>
      </c>
      <c r="E4286" t="s">
        <v>2148</v>
      </c>
      <c r="F4286" t="s">
        <v>3670</v>
      </c>
      <c r="G4286" t="s">
        <v>46686</v>
      </c>
      <c r="H4286" t="s">
        <v>47055</v>
      </c>
      <c r="I4286" t="s">
        <v>47127</v>
      </c>
      <c r="J4286" t="s">
        <v>47128</v>
      </c>
      <c r="K4286" t="s">
        <v>47113</v>
      </c>
      <c r="L4286">
        <v>31.04</v>
      </c>
      <c r="M4286">
        <v>74</v>
      </c>
      <c r="N4286">
        <v>0</v>
      </c>
      <c r="O4286">
        <v>74</v>
      </c>
      <c r="P4286">
        <v>0</v>
      </c>
    </row>
    <row r="4287" spans="1:16" x14ac:dyDescent="0.25">
      <c r="A4287" t="s">
        <v>26693</v>
      </c>
      <c r="B4287" t="s">
        <v>4626</v>
      </c>
      <c r="C4287" t="s">
        <v>4627</v>
      </c>
      <c r="D4287" t="str">
        <f>"1700"</f>
        <v>1700</v>
      </c>
      <c r="E4287" t="s">
        <v>60</v>
      </c>
      <c r="F4287" t="s">
        <v>3670</v>
      </c>
      <c r="G4287" t="s">
        <v>46686</v>
      </c>
      <c r="H4287" t="s">
        <v>47055</v>
      </c>
      <c r="I4287" t="s">
        <v>47127</v>
      </c>
      <c r="J4287" t="s">
        <v>47128</v>
      </c>
      <c r="K4287" t="s">
        <v>47113</v>
      </c>
      <c r="L4287">
        <v>31.04</v>
      </c>
      <c r="M4287">
        <v>74</v>
      </c>
      <c r="N4287">
        <v>0</v>
      </c>
      <c r="O4287">
        <v>74</v>
      </c>
      <c r="P4287">
        <v>0</v>
      </c>
    </row>
    <row r="4288" spans="1:16" x14ac:dyDescent="0.25">
      <c r="A4288" t="s">
        <v>26694</v>
      </c>
      <c r="B4288" t="s">
        <v>4626</v>
      </c>
      <c r="C4288" t="s">
        <v>4627</v>
      </c>
      <c r="D4288" t="str">
        <f>"3501"</f>
        <v>3501</v>
      </c>
      <c r="E4288" t="s">
        <v>3758</v>
      </c>
      <c r="F4288" t="s">
        <v>3670</v>
      </c>
      <c r="G4288" t="s">
        <v>46686</v>
      </c>
      <c r="H4288" t="s">
        <v>47055</v>
      </c>
      <c r="I4288" t="s">
        <v>47127</v>
      </c>
      <c r="J4288" t="s">
        <v>47128</v>
      </c>
      <c r="K4288" t="s">
        <v>47113</v>
      </c>
      <c r="L4288">
        <v>31.04</v>
      </c>
      <c r="M4288">
        <v>74</v>
      </c>
      <c r="N4288">
        <v>0</v>
      </c>
      <c r="O4288">
        <v>74</v>
      </c>
      <c r="P4288">
        <v>0</v>
      </c>
    </row>
    <row r="4289" spans="1:16" x14ac:dyDescent="0.25">
      <c r="A4289" t="s">
        <v>26695</v>
      </c>
      <c r="B4289" t="s">
        <v>4626</v>
      </c>
      <c r="C4289" t="s">
        <v>4627</v>
      </c>
      <c r="D4289" t="str">
        <f>"4643"</f>
        <v>4643</v>
      </c>
      <c r="E4289" t="s">
        <v>205</v>
      </c>
      <c r="F4289" t="s">
        <v>3670</v>
      </c>
      <c r="G4289" t="s">
        <v>46686</v>
      </c>
      <c r="H4289" t="s">
        <v>47055</v>
      </c>
      <c r="I4289" t="s">
        <v>47127</v>
      </c>
      <c r="J4289" t="s">
        <v>47128</v>
      </c>
      <c r="K4289" t="s">
        <v>47113</v>
      </c>
      <c r="L4289">
        <v>31.04</v>
      </c>
      <c r="M4289">
        <v>74</v>
      </c>
      <c r="N4289">
        <v>0</v>
      </c>
      <c r="O4289">
        <v>74</v>
      </c>
      <c r="P4289">
        <v>0</v>
      </c>
    </row>
    <row r="4290" spans="1:16" x14ac:dyDescent="0.25">
      <c r="A4290" t="s">
        <v>26696</v>
      </c>
      <c r="B4290" t="s">
        <v>4626</v>
      </c>
      <c r="C4290" t="s">
        <v>4627</v>
      </c>
      <c r="D4290" t="str">
        <f>"6064"</f>
        <v>6064</v>
      </c>
      <c r="E4290" t="s">
        <v>87</v>
      </c>
      <c r="F4290" t="s">
        <v>3670</v>
      </c>
      <c r="G4290" t="s">
        <v>46686</v>
      </c>
      <c r="H4290" t="s">
        <v>47055</v>
      </c>
      <c r="I4290" t="s">
        <v>47127</v>
      </c>
      <c r="J4290" t="s">
        <v>47128</v>
      </c>
      <c r="K4290" t="s">
        <v>47113</v>
      </c>
      <c r="L4290">
        <v>31.04</v>
      </c>
      <c r="M4290">
        <v>74</v>
      </c>
      <c r="N4290">
        <v>0</v>
      </c>
      <c r="O4290">
        <v>74</v>
      </c>
      <c r="P4290">
        <v>0</v>
      </c>
    </row>
    <row r="4291" spans="1:16" x14ac:dyDescent="0.25">
      <c r="A4291" t="s">
        <v>26697</v>
      </c>
      <c r="B4291" t="s">
        <v>4628</v>
      </c>
      <c r="C4291" t="s">
        <v>4629</v>
      </c>
      <c r="D4291" t="str">
        <f>"1106"</f>
        <v>1106</v>
      </c>
      <c r="E4291" t="s">
        <v>460</v>
      </c>
      <c r="F4291" t="s">
        <v>3670</v>
      </c>
      <c r="G4291" t="s">
        <v>46686</v>
      </c>
      <c r="H4291" t="s">
        <v>47055</v>
      </c>
      <c r="I4291" t="s">
        <v>47127</v>
      </c>
      <c r="J4291" t="s">
        <v>47128</v>
      </c>
      <c r="K4291" t="s">
        <v>47113</v>
      </c>
      <c r="L4291">
        <v>35.22</v>
      </c>
      <c r="M4291">
        <v>76</v>
      </c>
      <c r="N4291">
        <v>0</v>
      </c>
      <c r="O4291">
        <v>76</v>
      </c>
      <c r="P4291">
        <v>0</v>
      </c>
    </row>
    <row r="4292" spans="1:16" x14ac:dyDescent="0.25">
      <c r="A4292" t="s">
        <v>26698</v>
      </c>
      <c r="B4292" t="s">
        <v>4628</v>
      </c>
      <c r="C4292" t="s">
        <v>4629</v>
      </c>
      <c r="D4292" t="str">
        <f>"1303"</f>
        <v>1303</v>
      </c>
      <c r="E4292" t="s">
        <v>4630</v>
      </c>
      <c r="F4292" t="s">
        <v>3670</v>
      </c>
      <c r="G4292" t="s">
        <v>46686</v>
      </c>
      <c r="H4292" t="s">
        <v>47055</v>
      </c>
      <c r="I4292" t="s">
        <v>47127</v>
      </c>
      <c r="J4292" t="s">
        <v>47128</v>
      </c>
      <c r="K4292" t="s">
        <v>47113</v>
      </c>
      <c r="L4292">
        <v>35.22</v>
      </c>
      <c r="M4292">
        <v>76</v>
      </c>
      <c r="N4292">
        <v>0</v>
      </c>
      <c r="O4292">
        <v>76</v>
      </c>
      <c r="P4292">
        <v>0</v>
      </c>
    </row>
    <row r="4293" spans="1:16" x14ac:dyDescent="0.25">
      <c r="A4293" t="s">
        <v>26699</v>
      </c>
      <c r="B4293" t="s">
        <v>4628</v>
      </c>
      <c r="C4293" t="s">
        <v>4629</v>
      </c>
      <c r="D4293" t="str">
        <f>"1377"</f>
        <v>1377</v>
      </c>
      <c r="E4293" t="s">
        <v>74</v>
      </c>
      <c r="F4293" t="s">
        <v>3670</v>
      </c>
      <c r="G4293" t="s">
        <v>46686</v>
      </c>
      <c r="H4293" t="s">
        <v>47055</v>
      </c>
      <c r="I4293" t="s">
        <v>47127</v>
      </c>
      <c r="J4293" t="s">
        <v>47128</v>
      </c>
      <c r="K4293" t="s">
        <v>47113</v>
      </c>
      <c r="L4293">
        <v>35.22</v>
      </c>
      <c r="M4293">
        <v>76</v>
      </c>
      <c r="N4293">
        <v>0</v>
      </c>
      <c r="O4293">
        <v>76</v>
      </c>
      <c r="P4293">
        <v>0</v>
      </c>
    </row>
    <row r="4294" spans="1:16" x14ac:dyDescent="0.25">
      <c r="A4294" t="s">
        <v>26700</v>
      </c>
      <c r="B4294" t="s">
        <v>4628</v>
      </c>
      <c r="C4294" t="s">
        <v>4629</v>
      </c>
      <c r="D4294" t="str">
        <f>"1378"</f>
        <v>1378</v>
      </c>
      <c r="E4294" t="s">
        <v>388</v>
      </c>
      <c r="F4294" t="s">
        <v>3670</v>
      </c>
      <c r="G4294" t="s">
        <v>46686</v>
      </c>
      <c r="H4294" t="s">
        <v>47055</v>
      </c>
      <c r="I4294" t="s">
        <v>47127</v>
      </c>
      <c r="J4294" t="s">
        <v>47128</v>
      </c>
      <c r="K4294" t="s">
        <v>47113</v>
      </c>
      <c r="L4294">
        <v>35.22</v>
      </c>
      <c r="M4294">
        <v>76</v>
      </c>
      <c r="N4294">
        <v>0</v>
      </c>
      <c r="O4294">
        <v>76</v>
      </c>
      <c r="P4294">
        <v>0</v>
      </c>
    </row>
    <row r="4295" spans="1:16" x14ac:dyDescent="0.25">
      <c r="A4295" t="s">
        <v>26701</v>
      </c>
      <c r="B4295" t="s">
        <v>4628</v>
      </c>
      <c r="C4295" t="s">
        <v>4629</v>
      </c>
      <c r="D4295" t="str">
        <f>"1403"</f>
        <v>1403</v>
      </c>
      <c r="E4295" t="s">
        <v>224</v>
      </c>
      <c r="F4295" t="s">
        <v>3670</v>
      </c>
      <c r="G4295" t="s">
        <v>46686</v>
      </c>
      <c r="H4295" t="s">
        <v>47055</v>
      </c>
      <c r="I4295" t="s">
        <v>47127</v>
      </c>
      <c r="J4295" t="s">
        <v>47128</v>
      </c>
      <c r="K4295" t="s">
        <v>47113</v>
      </c>
      <c r="L4295">
        <v>35.22</v>
      </c>
      <c r="M4295">
        <v>76</v>
      </c>
      <c r="N4295">
        <v>0</v>
      </c>
      <c r="O4295">
        <v>76</v>
      </c>
      <c r="P4295">
        <v>0</v>
      </c>
    </row>
    <row r="4296" spans="1:16" x14ac:dyDescent="0.25">
      <c r="A4296" t="s">
        <v>26702</v>
      </c>
      <c r="B4296" t="s">
        <v>4628</v>
      </c>
      <c r="C4296" t="s">
        <v>4629</v>
      </c>
      <c r="D4296" t="str">
        <f>"3501"</f>
        <v>3501</v>
      </c>
      <c r="E4296" t="s">
        <v>3758</v>
      </c>
      <c r="F4296" t="s">
        <v>3670</v>
      </c>
      <c r="G4296" t="s">
        <v>46686</v>
      </c>
      <c r="H4296" t="s">
        <v>47055</v>
      </c>
      <c r="I4296" t="s">
        <v>47127</v>
      </c>
      <c r="J4296" t="s">
        <v>47128</v>
      </c>
      <c r="K4296" t="s">
        <v>47113</v>
      </c>
      <c r="L4296">
        <v>35.22</v>
      </c>
      <c r="M4296">
        <v>76</v>
      </c>
      <c r="N4296">
        <v>0</v>
      </c>
      <c r="O4296">
        <v>76</v>
      </c>
      <c r="P4296">
        <v>0</v>
      </c>
    </row>
    <row r="4297" spans="1:16" x14ac:dyDescent="0.25">
      <c r="A4297" t="s">
        <v>26703</v>
      </c>
      <c r="B4297" t="s">
        <v>4628</v>
      </c>
      <c r="C4297" t="s">
        <v>4629</v>
      </c>
      <c r="D4297" t="str">
        <f>"4643"</f>
        <v>4643</v>
      </c>
      <c r="E4297" t="s">
        <v>205</v>
      </c>
      <c r="F4297" t="s">
        <v>3670</v>
      </c>
      <c r="G4297" t="s">
        <v>46686</v>
      </c>
      <c r="H4297" t="s">
        <v>47055</v>
      </c>
      <c r="I4297" t="s">
        <v>47127</v>
      </c>
      <c r="J4297" t="s">
        <v>47128</v>
      </c>
      <c r="K4297" t="s">
        <v>47113</v>
      </c>
      <c r="L4297">
        <v>35.22</v>
      </c>
      <c r="M4297">
        <v>76</v>
      </c>
      <c r="N4297">
        <v>0</v>
      </c>
      <c r="O4297">
        <v>76</v>
      </c>
      <c r="P4297">
        <v>0</v>
      </c>
    </row>
    <row r="4298" spans="1:16" x14ac:dyDescent="0.25">
      <c r="A4298" t="s">
        <v>26704</v>
      </c>
      <c r="B4298" t="s">
        <v>4628</v>
      </c>
      <c r="C4298" t="s">
        <v>4629</v>
      </c>
      <c r="D4298" t="str">
        <f>"4753"</f>
        <v>4753</v>
      </c>
      <c r="E4298" t="s">
        <v>3755</v>
      </c>
      <c r="F4298" t="s">
        <v>3670</v>
      </c>
      <c r="G4298" t="s">
        <v>46686</v>
      </c>
      <c r="H4298" t="s">
        <v>47055</v>
      </c>
      <c r="I4298" t="s">
        <v>47127</v>
      </c>
      <c r="J4298" t="s">
        <v>47128</v>
      </c>
      <c r="K4298" t="s">
        <v>47113</v>
      </c>
      <c r="L4298">
        <v>35.22</v>
      </c>
      <c r="M4298">
        <v>76</v>
      </c>
      <c r="N4298">
        <v>0</v>
      </c>
      <c r="O4298">
        <v>76</v>
      </c>
      <c r="P4298">
        <v>0</v>
      </c>
    </row>
    <row r="4299" spans="1:16" x14ac:dyDescent="0.25">
      <c r="A4299" t="s">
        <v>26705</v>
      </c>
      <c r="B4299" t="s">
        <v>4628</v>
      </c>
      <c r="C4299" t="s">
        <v>4629</v>
      </c>
      <c r="D4299" t="str">
        <f>"6064"</f>
        <v>6064</v>
      </c>
      <c r="E4299" t="s">
        <v>87</v>
      </c>
      <c r="F4299" t="s">
        <v>3670</v>
      </c>
      <c r="G4299" t="s">
        <v>46686</v>
      </c>
      <c r="H4299" t="s">
        <v>47055</v>
      </c>
      <c r="I4299" t="s">
        <v>47127</v>
      </c>
      <c r="J4299" t="s">
        <v>47128</v>
      </c>
      <c r="K4299" t="s">
        <v>47113</v>
      </c>
      <c r="L4299">
        <v>35.22</v>
      </c>
      <c r="M4299">
        <v>76</v>
      </c>
      <c r="N4299">
        <v>0</v>
      </c>
      <c r="O4299">
        <v>76</v>
      </c>
      <c r="P4299">
        <v>0</v>
      </c>
    </row>
    <row r="4300" spans="1:16" x14ac:dyDescent="0.25">
      <c r="A4300" t="s">
        <v>26706</v>
      </c>
      <c r="B4300" t="s">
        <v>4628</v>
      </c>
      <c r="C4300" t="s">
        <v>4629</v>
      </c>
      <c r="D4300" t="str">
        <f>"8039"</f>
        <v>8039</v>
      </c>
      <c r="E4300" t="s">
        <v>4631</v>
      </c>
      <c r="F4300" t="s">
        <v>3670</v>
      </c>
      <c r="G4300" t="s">
        <v>46686</v>
      </c>
      <c r="H4300" t="s">
        <v>47055</v>
      </c>
      <c r="I4300" t="s">
        <v>47127</v>
      </c>
      <c r="J4300" t="s">
        <v>47128</v>
      </c>
      <c r="K4300" t="s">
        <v>47113</v>
      </c>
      <c r="L4300">
        <v>35.22</v>
      </c>
      <c r="M4300">
        <v>76</v>
      </c>
      <c r="N4300">
        <v>0</v>
      </c>
      <c r="O4300">
        <v>76</v>
      </c>
      <c r="P4300">
        <v>0</v>
      </c>
    </row>
    <row r="4301" spans="1:16" x14ac:dyDescent="0.25">
      <c r="A4301" t="s">
        <v>26707</v>
      </c>
      <c r="B4301" t="s">
        <v>4632</v>
      </c>
      <c r="C4301" t="s">
        <v>4633</v>
      </c>
      <c r="D4301" t="str">
        <f>"1106"</f>
        <v>1106</v>
      </c>
      <c r="E4301" t="s">
        <v>460</v>
      </c>
      <c r="F4301" t="s">
        <v>3670</v>
      </c>
      <c r="G4301" t="s">
        <v>46686</v>
      </c>
      <c r="H4301" t="s">
        <v>47055</v>
      </c>
      <c r="I4301" t="s">
        <v>47127</v>
      </c>
      <c r="J4301" t="s">
        <v>47128</v>
      </c>
      <c r="K4301" t="s">
        <v>47113</v>
      </c>
      <c r="L4301">
        <v>32.83</v>
      </c>
      <c r="M4301">
        <v>74</v>
      </c>
      <c r="N4301">
        <v>0</v>
      </c>
      <c r="O4301">
        <v>74</v>
      </c>
      <c r="P4301">
        <v>0</v>
      </c>
    </row>
    <row r="4302" spans="1:16" x14ac:dyDescent="0.25">
      <c r="A4302" t="s">
        <v>26708</v>
      </c>
      <c r="B4302" t="s">
        <v>4632</v>
      </c>
      <c r="C4302" t="s">
        <v>4633</v>
      </c>
      <c r="D4302" t="str">
        <f>"1377"</f>
        <v>1377</v>
      </c>
      <c r="E4302" t="s">
        <v>74</v>
      </c>
      <c r="F4302" t="s">
        <v>3670</v>
      </c>
      <c r="G4302" t="s">
        <v>46686</v>
      </c>
      <c r="H4302" t="s">
        <v>47055</v>
      </c>
      <c r="I4302" t="s">
        <v>47127</v>
      </c>
      <c r="J4302" t="s">
        <v>47128</v>
      </c>
      <c r="K4302" t="s">
        <v>47113</v>
      </c>
      <c r="L4302">
        <v>32.83</v>
      </c>
      <c r="M4302">
        <v>74</v>
      </c>
      <c r="N4302">
        <v>0</v>
      </c>
      <c r="O4302">
        <v>74</v>
      </c>
      <c r="P4302">
        <v>0</v>
      </c>
    </row>
    <row r="4303" spans="1:16" x14ac:dyDescent="0.25">
      <c r="A4303" t="s">
        <v>26709</v>
      </c>
      <c r="B4303" t="s">
        <v>4632</v>
      </c>
      <c r="C4303" t="s">
        <v>4633</v>
      </c>
      <c r="D4303" t="str">
        <f>"1378"</f>
        <v>1378</v>
      </c>
      <c r="E4303" t="s">
        <v>388</v>
      </c>
      <c r="F4303" t="s">
        <v>3670</v>
      </c>
      <c r="G4303" t="s">
        <v>46686</v>
      </c>
      <c r="H4303" t="s">
        <v>47055</v>
      </c>
      <c r="I4303" t="s">
        <v>47127</v>
      </c>
      <c r="J4303" t="s">
        <v>47128</v>
      </c>
      <c r="K4303" t="s">
        <v>47113</v>
      </c>
      <c r="L4303">
        <v>32.83</v>
      </c>
      <c r="M4303">
        <v>74</v>
      </c>
      <c r="N4303">
        <v>0</v>
      </c>
      <c r="O4303">
        <v>74</v>
      </c>
      <c r="P4303">
        <v>0</v>
      </c>
    </row>
    <row r="4304" spans="1:16" x14ac:dyDescent="0.25">
      <c r="A4304" t="s">
        <v>26710</v>
      </c>
      <c r="B4304" t="s">
        <v>4632</v>
      </c>
      <c r="C4304" t="s">
        <v>4633</v>
      </c>
      <c r="D4304" t="str">
        <f>"1403"</f>
        <v>1403</v>
      </c>
      <c r="E4304" t="s">
        <v>224</v>
      </c>
      <c r="F4304" t="s">
        <v>3670</v>
      </c>
      <c r="G4304" t="s">
        <v>46686</v>
      </c>
      <c r="H4304" t="s">
        <v>47055</v>
      </c>
      <c r="I4304" t="s">
        <v>47127</v>
      </c>
      <c r="J4304" t="s">
        <v>47128</v>
      </c>
      <c r="K4304" t="s">
        <v>47113</v>
      </c>
      <c r="L4304">
        <v>32.83</v>
      </c>
      <c r="M4304">
        <v>74</v>
      </c>
      <c r="N4304">
        <v>0</v>
      </c>
      <c r="O4304">
        <v>74</v>
      </c>
      <c r="P4304">
        <v>0</v>
      </c>
    </row>
    <row r="4305" spans="1:16" x14ac:dyDescent="0.25">
      <c r="A4305" t="s">
        <v>26711</v>
      </c>
      <c r="B4305" t="s">
        <v>4632</v>
      </c>
      <c r="C4305" t="s">
        <v>4633</v>
      </c>
      <c r="D4305" t="str">
        <f>"3501"</f>
        <v>3501</v>
      </c>
      <c r="E4305" t="s">
        <v>3758</v>
      </c>
      <c r="F4305" t="s">
        <v>3670</v>
      </c>
      <c r="G4305" t="s">
        <v>46686</v>
      </c>
      <c r="H4305" t="s">
        <v>47055</v>
      </c>
      <c r="I4305" t="s">
        <v>47127</v>
      </c>
      <c r="J4305" t="s">
        <v>47128</v>
      </c>
      <c r="K4305" t="s">
        <v>47113</v>
      </c>
      <c r="L4305">
        <v>32.83</v>
      </c>
      <c r="M4305">
        <v>74</v>
      </c>
      <c r="N4305">
        <v>0</v>
      </c>
      <c r="O4305">
        <v>74</v>
      </c>
      <c r="P4305">
        <v>0</v>
      </c>
    </row>
    <row r="4306" spans="1:16" x14ac:dyDescent="0.25">
      <c r="A4306" t="s">
        <v>26712</v>
      </c>
      <c r="B4306" t="s">
        <v>4632</v>
      </c>
      <c r="C4306" t="s">
        <v>4633</v>
      </c>
      <c r="D4306" t="str">
        <f>"4643"</f>
        <v>4643</v>
      </c>
      <c r="E4306" t="s">
        <v>205</v>
      </c>
      <c r="F4306" t="s">
        <v>3670</v>
      </c>
      <c r="G4306" t="s">
        <v>46686</v>
      </c>
      <c r="H4306" t="s">
        <v>47055</v>
      </c>
      <c r="I4306" t="s">
        <v>47127</v>
      </c>
      <c r="J4306" t="s">
        <v>47128</v>
      </c>
      <c r="K4306" t="s">
        <v>47113</v>
      </c>
      <c r="L4306">
        <v>32.83</v>
      </c>
      <c r="M4306">
        <v>74</v>
      </c>
      <c r="N4306">
        <v>0</v>
      </c>
      <c r="O4306">
        <v>74</v>
      </c>
      <c r="P4306">
        <v>0</v>
      </c>
    </row>
    <row r="4307" spans="1:16" x14ac:dyDescent="0.25">
      <c r="A4307" t="s">
        <v>26713</v>
      </c>
      <c r="B4307" t="s">
        <v>4632</v>
      </c>
      <c r="C4307" t="s">
        <v>4633</v>
      </c>
      <c r="D4307" t="str">
        <f>"4753"</f>
        <v>4753</v>
      </c>
      <c r="E4307" t="s">
        <v>3755</v>
      </c>
      <c r="F4307" t="s">
        <v>3670</v>
      </c>
      <c r="G4307" t="s">
        <v>46686</v>
      </c>
      <c r="H4307" t="s">
        <v>47055</v>
      </c>
      <c r="I4307" t="s">
        <v>47127</v>
      </c>
      <c r="J4307" t="s">
        <v>47128</v>
      </c>
      <c r="K4307" t="s">
        <v>47113</v>
      </c>
      <c r="L4307">
        <v>32.83</v>
      </c>
      <c r="M4307">
        <v>74</v>
      </c>
      <c r="N4307">
        <v>0</v>
      </c>
      <c r="O4307">
        <v>74</v>
      </c>
      <c r="P4307">
        <v>0</v>
      </c>
    </row>
    <row r="4308" spans="1:16" x14ac:dyDescent="0.25">
      <c r="A4308" t="s">
        <v>26714</v>
      </c>
      <c r="B4308" t="s">
        <v>4632</v>
      </c>
      <c r="C4308" t="s">
        <v>4633</v>
      </c>
      <c r="D4308" t="str">
        <f>"6064"</f>
        <v>6064</v>
      </c>
      <c r="E4308" t="s">
        <v>87</v>
      </c>
      <c r="F4308" t="s">
        <v>3670</v>
      </c>
      <c r="G4308" t="s">
        <v>46686</v>
      </c>
      <c r="H4308" t="s">
        <v>47055</v>
      </c>
      <c r="I4308" t="s">
        <v>47127</v>
      </c>
      <c r="J4308" t="s">
        <v>47128</v>
      </c>
      <c r="K4308" t="s">
        <v>47113</v>
      </c>
      <c r="L4308">
        <v>32.83</v>
      </c>
      <c r="M4308">
        <v>74</v>
      </c>
      <c r="N4308">
        <v>0</v>
      </c>
      <c r="O4308">
        <v>74</v>
      </c>
      <c r="P4308">
        <v>0</v>
      </c>
    </row>
    <row r="4309" spans="1:16" x14ac:dyDescent="0.25">
      <c r="A4309" t="s">
        <v>26715</v>
      </c>
      <c r="B4309" t="s">
        <v>4632</v>
      </c>
      <c r="C4309" t="s">
        <v>4633</v>
      </c>
      <c r="D4309" t="str">
        <f>"8039"</f>
        <v>8039</v>
      </c>
      <c r="E4309" t="s">
        <v>4631</v>
      </c>
      <c r="F4309" t="s">
        <v>3670</v>
      </c>
      <c r="G4309" t="s">
        <v>46686</v>
      </c>
      <c r="H4309" t="s">
        <v>47055</v>
      </c>
      <c r="I4309" t="s">
        <v>47127</v>
      </c>
      <c r="J4309" t="s">
        <v>47128</v>
      </c>
      <c r="K4309" t="s">
        <v>47113</v>
      </c>
      <c r="L4309">
        <v>32.83</v>
      </c>
      <c r="M4309">
        <v>74</v>
      </c>
      <c r="N4309">
        <v>0</v>
      </c>
      <c r="O4309">
        <v>74</v>
      </c>
      <c r="P4309">
        <v>0</v>
      </c>
    </row>
    <row r="4310" spans="1:16" x14ac:dyDescent="0.25">
      <c r="A4310" t="s">
        <v>26716</v>
      </c>
      <c r="B4310" t="s">
        <v>4634</v>
      </c>
      <c r="C4310" t="s">
        <v>4635</v>
      </c>
      <c r="D4310" t="str">
        <f>"1106"</f>
        <v>1106</v>
      </c>
      <c r="E4310" t="s">
        <v>460</v>
      </c>
      <c r="F4310" t="s">
        <v>3670</v>
      </c>
      <c r="G4310" t="s">
        <v>46686</v>
      </c>
      <c r="H4310" t="s">
        <v>47055</v>
      </c>
      <c r="I4310" t="s">
        <v>47127</v>
      </c>
      <c r="J4310" t="s">
        <v>47128</v>
      </c>
      <c r="K4310" t="s">
        <v>47113</v>
      </c>
      <c r="L4310">
        <v>35.22</v>
      </c>
      <c r="M4310">
        <v>76</v>
      </c>
      <c r="N4310">
        <v>0</v>
      </c>
      <c r="O4310">
        <v>76</v>
      </c>
      <c r="P4310">
        <v>0</v>
      </c>
    </row>
    <row r="4311" spans="1:16" x14ac:dyDescent="0.25">
      <c r="A4311" t="s">
        <v>16455</v>
      </c>
      <c r="B4311" t="s">
        <v>4634</v>
      </c>
      <c r="C4311" t="s">
        <v>4635</v>
      </c>
      <c r="D4311" t="str">
        <f>"1377"</f>
        <v>1377</v>
      </c>
      <c r="E4311" t="s">
        <v>74</v>
      </c>
      <c r="F4311" t="s">
        <v>3670</v>
      </c>
      <c r="G4311" t="s">
        <v>46686</v>
      </c>
      <c r="H4311" t="s">
        <v>47055</v>
      </c>
      <c r="I4311" t="s">
        <v>47127</v>
      </c>
      <c r="J4311" t="s">
        <v>47128</v>
      </c>
      <c r="K4311" t="s">
        <v>47113</v>
      </c>
      <c r="L4311">
        <v>35.22</v>
      </c>
      <c r="M4311">
        <v>76</v>
      </c>
      <c r="N4311">
        <v>0</v>
      </c>
      <c r="O4311">
        <v>76</v>
      </c>
      <c r="P4311">
        <v>0</v>
      </c>
    </row>
    <row r="4312" spans="1:16" x14ac:dyDescent="0.25">
      <c r="A4312" t="s">
        <v>26717</v>
      </c>
      <c r="B4312" t="s">
        <v>4634</v>
      </c>
      <c r="C4312" t="s">
        <v>4635</v>
      </c>
      <c r="D4312" t="str">
        <f>"1378"</f>
        <v>1378</v>
      </c>
      <c r="E4312" t="s">
        <v>388</v>
      </c>
      <c r="F4312" t="s">
        <v>3670</v>
      </c>
      <c r="G4312" t="s">
        <v>46686</v>
      </c>
      <c r="H4312" t="s">
        <v>47055</v>
      </c>
      <c r="I4312" t="s">
        <v>47127</v>
      </c>
      <c r="J4312" t="s">
        <v>47128</v>
      </c>
      <c r="K4312" t="s">
        <v>47113</v>
      </c>
      <c r="L4312">
        <v>35.22</v>
      </c>
      <c r="M4312">
        <v>76</v>
      </c>
      <c r="N4312">
        <v>0</v>
      </c>
      <c r="O4312">
        <v>76</v>
      </c>
      <c r="P4312">
        <v>0</v>
      </c>
    </row>
    <row r="4313" spans="1:16" x14ac:dyDescent="0.25">
      <c r="A4313" t="s">
        <v>26718</v>
      </c>
      <c r="B4313" t="s">
        <v>4634</v>
      </c>
      <c r="C4313" t="s">
        <v>4635</v>
      </c>
      <c r="D4313" t="str">
        <f>"1403"</f>
        <v>1403</v>
      </c>
      <c r="E4313" t="s">
        <v>224</v>
      </c>
      <c r="F4313" t="s">
        <v>3670</v>
      </c>
      <c r="G4313" t="s">
        <v>46686</v>
      </c>
      <c r="H4313" t="s">
        <v>47055</v>
      </c>
      <c r="I4313" t="s">
        <v>47127</v>
      </c>
      <c r="J4313" t="s">
        <v>47128</v>
      </c>
      <c r="K4313" t="s">
        <v>47113</v>
      </c>
      <c r="L4313">
        <v>35.22</v>
      </c>
      <c r="M4313">
        <v>76</v>
      </c>
      <c r="N4313">
        <v>0</v>
      </c>
      <c r="O4313">
        <v>76</v>
      </c>
      <c r="P4313">
        <v>0</v>
      </c>
    </row>
    <row r="4314" spans="1:16" x14ac:dyDescent="0.25">
      <c r="A4314" t="s">
        <v>26719</v>
      </c>
      <c r="B4314" t="s">
        <v>4634</v>
      </c>
      <c r="C4314" t="s">
        <v>4635</v>
      </c>
      <c r="D4314" t="str">
        <f>"3501"</f>
        <v>3501</v>
      </c>
      <c r="E4314" t="s">
        <v>3758</v>
      </c>
      <c r="F4314" t="s">
        <v>3670</v>
      </c>
      <c r="G4314" t="s">
        <v>46686</v>
      </c>
      <c r="H4314" t="s">
        <v>47055</v>
      </c>
      <c r="I4314" t="s">
        <v>47127</v>
      </c>
      <c r="J4314" t="s">
        <v>47128</v>
      </c>
      <c r="K4314" t="s">
        <v>47113</v>
      </c>
      <c r="L4314">
        <v>35.22</v>
      </c>
      <c r="M4314">
        <v>76</v>
      </c>
      <c r="N4314">
        <v>0</v>
      </c>
      <c r="O4314">
        <v>76</v>
      </c>
      <c r="P4314">
        <v>0</v>
      </c>
    </row>
    <row r="4315" spans="1:16" x14ac:dyDescent="0.25">
      <c r="A4315" t="s">
        <v>26720</v>
      </c>
      <c r="B4315" t="s">
        <v>4634</v>
      </c>
      <c r="C4315" t="s">
        <v>4635</v>
      </c>
      <c r="D4315" t="str">
        <f>"4643"</f>
        <v>4643</v>
      </c>
      <c r="E4315" t="s">
        <v>205</v>
      </c>
      <c r="F4315" t="s">
        <v>3670</v>
      </c>
      <c r="G4315" t="s">
        <v>46686</v>
      </c>
      <c r="H4315" t="s">
        <v>47055</v>
      </c>
      <c r="I4315" t="s">
        <v>47127</v>
      </c>
      <c r="J4315" t="s">
        <v>47128</v>
      </c>
      <c r="K4315" t="s">
        <v>47113</v>
      </c>
      <c r="L4315">
        <v>35.22</v>
      </c>
      <c r="M4315">
        <v>76</v>
      </c>
      <c r="N4315">
        <v>0</v>
      </c>
      <c r="O4315">
        <v>76</v>
      </c>
      <c r="P4315">
        <v>0</v>
      </c>
    </row>
    <row r="4316" spans="1:16" x14ac:dyDescent="0.25">
      <c r="A4316" t="s">
        <v>26721</v>
      </c>
      <c r="B4316" t="s">
        <v>4634</v>
      </c>
      <c r="C4316" t="s">
        <v>4635</v>
      </c>
      <c r="D4316" t="str">
        <f>"4753"</f>
        <v>4753</v>
      </c>
      <c r="E4316" t="s">
        <v>3755</v>
      </c>
      <c r="F4316" t="s">
        <v>3670</v>
      </c>
      <c r="G4316" t="s">
        <v>46686</v>
      </c>
      <c r="H4316" t="s">
        <v>47055</v>
      </c>
      <c r="I4316" t="s">
        <v>47127</v>
      </c>
      <c r="J4316" t="s">
        <v>47128</v>
      </c>
      <c r="K4316" t="s">
        <v>47113</v>
      </c>
      <c r="L4316">
        <v>35.22</v>
      </c>
      <c r="M4316">
        <v>76</v>
      </c>
      <c r="N4316">
        <v>0</v>
      </c>
      <c r="O4316">
        <v>76</v>
      </c>
      <c r="P4316">
        <v>0</v>
      </c>
    </row>
    <row r="4317" spans="1:16" x14ac:dyDescent="0.25">
      <c r="A4317" t="s">
        <v>26722</v>
      </c>
      <c r="B4317" t="s">
        <v>4634</v>
      </c>
      <c r="C4317" t="s">
        <v>4635</v>
      </c>
      <c r="D4317" t="str">
        <f>"6064"</f>
        <v>6064</v>
      </c>
      <c r="E4317" t="s">
        <v>87</v>
      </c>
      <c r="F4317" t="s">
        <v>3670</v>
      </c>
      <c r="G4317" t="s">
        <v>46686</v>
      </c>
      <c r="H4317" t="s">
        <v>47055</v>
      </c>
      <c r="I4317" t="s">
        <v>47127</v>
      </c>
      <c r="J4317" t="s">
        <v>47128</v>
      </c>
      <c r="K4317" t="s">
        <v>47113</v>
      </c>
      <c r="L4317">
        <v>35.22</v>
      </c>
      <c r="M4317">
        <v>76</v>
      </c>
      <c r="N4317">
        <v>0</v>
      </c>
      <c r="O4317">
        <v>76</v>
      </c>
      <c r="P4317">
        <v>0</v>
      </c>
    </row>
    <row r="4318" spans="1:16" x14ac:dyDescent="0.25">
      <c r="A4318" t="s">
        <v>26723</v>
      </c>
      <c r="B4318" t="s">
        <v>4634</v>
      </c>
      <c r="C4318" t="s">
        <v>4635</v>
      </c>
      <c r="D4318" t="str">
        <f>"8039"</f>
        <v>8039</v>
      </c>
      <c r="E4318" t="s">
        <v>4631</v>
      </c>
      <c r="F4318" t="s">
        <v>3670</v>
      </c>
      <c r="G4318" t="s">
        <v>46686</v>
      </c>
      <c r="H4318" t="s">
        <v>47055</v>
      </c>
      <c r="I4318" t="s">
        <v>47127</v>
      </c>
      <c r="J4318" t="s">
        <v>47128</v>
      </c>
      <c r="K4318" t="s">
        <v>47113</v>
      </c>
      <c r="L4318">
        <v>35.22</v>
      </c>
      <c r="M4318">
        <v>76</v>
      </c>
      <c r="N4318">
        <v>0</v>
      </c>
      <c r="O4318">
        <v>76</v>
      </c>
      <c r="P4318">
        <v>0</v>
      </c>
    </row>
    <row r="4319" spans="1:16" x14ac:dyDescent="0.25">
      <c r="A4319" t="s">
        <v>26724</v>
      </c>
      <c r="B4319" t="s">
        <v>4636</v>
      </c>
      <c r="C4319" t="s">
        <v>4637</v>
      </c>
      <c r="D4319" t="str">
        <f>"1106"</f>
        <v>1106</v>
      </c>
      <c r="E4319" t="s">
        <v>460</v>
      </c>
      <c r="F4319" t="s">
        <v>3670</v>
      </c>
      <c r="G4319" t="s">
        <v>16222</v>
      </c>
      <c r="H4319" t="s">
        <v>47055</v>
      </c>
      <c r="I4319" t="s">
        <v>47127</v>
      </c>
      <c r="J4319" t="s">
        <v>47128</v>
      </c>
      <c r="K4319" t="s">
        <v>47113</v>
      </c>
      <c r="L4319">
        <v>27.34</v>
      </c>
      <c r="M4319">
        <v>50</v>
      </c>
      <c r="N4319">
        <v>0</v>
      </c>
      <c r="O4319">
        <v>50</v>
      </c>
      <c r="P4319">
        <v>0</v>
      </c>
    </row>
    <row r="4320" spans="1:16" x14ac:dyDescent="0.25">
      <c r="A4320" t="s">
        <v>26725</v>
      </c>
      <c r="B4320" t="s">
        <v>4636</v>
      </c>
      <c r="C4320" t="s">
        <v>4637</v>
      </c>
      <c r="D4320" t="str">
        <f>"1278"</f>
        <v>1278</v>
      </c>
      <c r="E4320" t="s">
        <v>100</v>
      </c>
      <c r="F4320" t="s">
        <v>3670</v>
      </c>
      <c r="G4320" t="s">
        <v>16222</v>
      </c>
      <c r="H4320" t="s">
        <v>47055</v>
      </c>
      <c r="I4320" t="s">
        <v>47127</v>
      </c>
      <c r="J4320" t="s">
        <v>47128</v>
      </c>
      <c r="K4320" t="s">
        <v>47113</v>
      </c>
      <c r="L4320">
        <v>27.34</v>
      </c>
      <c r="M4320">
        <v>50</v>
      </c>
      <c r="N4320">
        <v>0</v>
      </c>
      <c r="O4320">
        <v>50</v>
      </c>
      <c r="P4320">
        <v>0</v>
      </c>
    </row>
    <row r="4321" spans="1:16" x14ac:dyDescent="0.25">
      <c r="A4321" t="s">
        <v>26726</v>
      </c>
      <c r="B4321" t="s">
        <v>4636</v>
      </c>
      <c r="C4321" t="s">
        <v>4637</v>
      </c>
      <c r="D4321" t="str">
        <f>"1285"</f>
        <v>1285</v>
      </c>
      <c r="E4321" t="s">
        <v>2148</v>
      </c>
      <c r="F4321" t="s">
        <v>3670</v>
      </c>
      <c r="G4321" t="s">
        <v>16222</v>
      </c>
      <c r="H4321" t="s">
        <v>47055</v>
      </c>
      <c r="I4321" t="s">
        <v>47127</v>
      </c>
      <c r="J4321" t="s">
        <v>47128</v>
      </c>
      <c r="K4321" t="s">
        <v>47113</v>
      </c>
      <c r="L4321">
        <v>27.34</v>
      </c>
      <c r="M4321">
        <v>50</v>
      </c>
      <c r="N4321">
        <v>0</v>
      </c>
      <c r="O4321">
        <v>50</v>
      </c>
      <c r="P4321">
        <v>0</v>
      </c>
    </row>
    <row r="4322" spans="1:16" x14ac:dyDescent="0.25">
      <c r="A4322" t="s">
        <v>26727</v>
      </c>
      <c r="B4322" t="s">
        <v>4636</v>
      </c>
      <c r="C4322" t="s">
        <v>4637</v>
      </c>
      <c r="D4322" t="str">
        <f>"1378"</f>
        <v>1378</v>
      </c>
      <c r="E4322" t="s">
        <v>388</v>
      </c>
      <c r="F4322" t="s">
        <v>3670</v>
      </c>
      <c r="G4322" t="s">
        <v>16222</v>
      </c>
      <c r="H4322" t="s">
        <v>47055</v>
      </c>
      <c r="I4322" t="s">
        <v>47127</v>
      </c>
      <c r="J4322" t="s">
        <v>47128</v>
      </c>
      <c r="K4322" t="s">
        <v>47113</v>
      </c>
      <c r="L4322">
        <v>27.34</v>
      </c>
      <c r="M4322">
        <v>50</v>
      </c>
      <c r="N4322">
        <v>0</v>
      </c>
      <c r="O4322">
        <v>50</v>
      </c>
      <c r="P4322">
        <v>0</v>
      </c>
    </row>
    <row r="4323" spans="1:16" x14ac:dyDescent="0.25">
      <c r="A4323" t="s">
        <v>26728</v>
      </c>
      <c r="B4323" t="s">
        <v>4636</v>
      </c>
      <c r="C4323" t="s">
        <v>4637</v>
      </c>
      <c r="D4323" t="str">
        <f>"3501"</f>
        <v>3501</v>
      </c>
      <c r="E4323" t="s">
        <v>3758</v>
      </c>
      <c r="F4323" t="s">
        <v>3670</v>
      </c>
      <c r="G4323" t="s">
        <v>16222</v>
      </c>
      <c r="H4323" t="s">
        <v>47055</v>
      </c>
      <c r="I4323" t="s">
        <v>47127</v>
      </c>
      <c r="J4323" t="s">
        <v>47128</v>
      </c>
      <c r="K4323" t="s">
        <v>47113</v>
      </c>
      <c r="L4323">
        <v>27.34</v>
      </c>
      <c r="M4323">
        <v>50</v>
      </c>
      <c r="N4323">
        <v>0</v>
      </c>
      <c r="O4323">
        <v>50</v>
      </c>
      <c r="P4323">
        <v>0</v>
      </c>
    </row>
    <row r="4324" spans="1:16" x14ac:dyDescent="0.25">
      <c r="A4324" t="s">
        <v>26729</v>
      </c>
      <c r="B4324" t="s">
        <v>4636</v>
      </c>
      <c r="C4324" t="s">
        <v>4637</v>
      </c>
      <c r="D4324" t="str">
        <f>"4643"</f>
        <v>4643</v>
      </c>
      <c r="E4324" t="s">
        <v>205</v>
      </c>
      <c r="F4324" t="s">
        <v>3670</v>
      </c>
      <c r="G4324" t="s">
        <v>16222</v>
      </c>
      <c r="H4324" t="s">
        <v>47055</v>
      </c>
      <c r="I4324" t="s">
        <v>47127</v>
      </c>
      <c r="J4324" t="s">
        <v>47128</v>
      </c>
      <c r="K4324" t="s">
        <v>47113</v>
      </c>
      <c r="L4324">
        <v>27.34</v>
      </c>
      <c r="M4324">
        <v>50</v>
      </c>
      <c r="N4324">
        <v>0</v>
      </c>
      <c r="O4324">
        <v>50</v>
      </c>
      <c r="P4324">
        <v>0</v>
      </c>
    </row>
    <row r="4325" spans="1:16" x14ac:dyDescent="0.25">
      <c r="A4325" t="s">
        <v>26730</v>
      </c>
      <c r="B4325" t="s">
        <v>4636</v>
      </c>
      <c r="C4325" t="s">
        <v>4637</v>
      </c>
      <c r="D4325" t="str">
        <f>"4753"</f>
        <v>4753</v>
      </c>
      <c r="E4325" t="s">
        <v>3755</v>
      </c>
      <c r="F4325" t="s">
        <v>3670</v>
      </c>
      <c r="G4325" t="s">
        <v>16222</v>
      </c>
      <c r="H4325" t="s">
        <v>47055</v>
      </c>
      <c r="I4325" t="s">
        <v>47127</v>
      </c>
      <c r="J4325" t="s">
        <v>47128</v>
      </c>
      <c r="K4325" t="s">
        <v>47113</v>
      </c>
      <c r="L4325">
        <v>27.34</v>
      </c>
      <c r="M4325">
        <v>50</v>
      </c>
      <c r="N4325">
        <v>0</v>
      </c>
      <c r="O4325">
        <v>50</v>
      </c>
      <c r="P4325">
        <v>0</v>
      </c>
    </row>
    <row r="4326" spans="1:16" x14ac:dyDescent="0.25">
      <c r="A4326" t="s">
        <v>26731</v>
      </c>
      <c r="B4326" t="s">
        <v>4636</v>
      </c>
      <c r="C4326" t="s">
        <v>4637</v>
      </c>
      <c r="D4326" t="str">
        <f>"6064"</f>
        <v>6064</v>
      </c>
      <c r="E4326" t="s">
        <v>87</v>
      </c>
      <c r="F4326" t="s">
        <v>3670</v>
      </c>
      <c r="G4326" t="s">
        <v>16222</v>
      </c>
      <c r="H4326" t="s">
        <v>47055</v>
      </c>
      <c r="I4326" t="s">
        <v>47127</v>
      </c>
      <c r="J4326" t="s">
        <v>47128</v>
      </c>
      <c r="K4326" t="s">
        <v>47113</v>
      </c>
      <c r="L4326">
        <v>27.34</v>
      </c>
      <c r="M4326">
        <v>50</v>
      </c>
      <c r="N4326">
        <v>0</v>
      </c>
      <c r="O4326">
        <v>50</v>
      </c>
      <c r="P4326">
        <v>0</v>
      </c>
    </row>
    <row r="4327" spans="1:16" x14ac:dyDescent="0.25">
      <c r="A4327" t="s">
        <v>26732</v>
      </c>
      <c r="B4327" t="s">
        <v>4638</v>
      </c>
      <c r="C4327" t="s">
        <v>4639</v>
      </c>
      <c r="D4327" t="str">
        <f>"1106"</f>
        <v>1106</v>
      </c>
      <c r="E4327" t="s">
        <v>460</v>
      </c>
      <c r="F4327" t="s">
        <v>3670</v>
      </c>
      <c r="G4327" t="s">
        <v>16235</v>
      </c>
      <c r="H4327" t="s">
        <v>47055</v>
      </c>
      <c r="I4327" t="s">
        <v>47127</v>
      </c>
      <c r="J4327" t="s">
        <v>47128</v>
      </c>
      <c r="K4327" t="s">
        <v>47113</v>
      </c>
      <c r="L4327">
        <v>22.09</v>
      </c>
      <c r="M4327">
        <v>55</v>
      </c>
      <c r="N4327">
        <v>0</v>
      </c>
      <c r="O4327">
        <v>55</v>
      </c>
      <c r="P4327">
        <v>0</v>
      </c>
    </row>
    <row r="4328" spans="1:16" x14ac:dyDescent="0.25">
      <c r="A4328" t="s">
        <v>26733</v>
      </c>
      <c r="B4328" t="s">
        <v>4638</v>
      </c>
      <c r="C4328" t="s">
        <v>4639</v>
      </c>
      <c r="D4328" t="str">
        <f>"1278"</f>
        <v>1278</v>
      </c>
      <c r="E4328" t="s">
        <v>100</v>
      </c>
      <c r="F4328" t="s">
        <v>3670</v>
      </c>
      <c r="G4328" t="s">
        <v>16235</v>
      </c>
      <c r="H4328" t="s">
        <v>47055</v>
      </c>
      <c r="I4328" t="s">
        <v>47127</v>
      </c>
      <c r="J4328" t="s">
        <v>47128</v>
      </c>
      <c r="K4328" t="s">
        <v>47113</v>
      </c>
      <c r="L4328">
        <v>22.09</v>
      </c>
      <c r="M4328">
        <v>55</v>
      </c>
      <c r="N4328">
        <v>0</v>
      </c>
      <c r="O4328">
        <v>55</v>
      </c>
      <c r="P4328">
        <v>0</v>
      </c>
    </row>
    <row r="4329" spans="1:16" x14ac:dyDescent="0.25">
      <c r="A4329" t="s">
        <v>26734</v>
      </c>
      <c r="B4329" t="s">
        <v>4638</v>
      </c>
      <c r="C4329" t="s">
        <v>4639</v>
      </c>
      <c r="D4329" t="str">
        <f>"3501"</f>
        <v>3501</v>
      </c>
      <c r="E4329" t="s">
        <v>3758</v>
      </c>
      <c r="F4329" t="s">
        <v>3670</v>
      </c>
      <c r="G4329" t="s">
        <v>16235</v>
      </c>
      <c r="H4329" t="s">
        <v>47055</v>
      </c>
      <c r="I4329" t="s">
        <v>47127</v>
      </c>
      <c r="J4329" t="s">
        <v>47128</v>
      </c>
      <c r="K4329" t="s">
        <v>47113</v>
      </c>
      <c r="L4329">
        <v>22.09</v>
      </c>
      <c r="M4329">
        <v>55</v>
      </c>
      <c r="N4329">
        <v>0</v>
      </c>
      <c r="O4329">
        <v>55</v>
      </c>
      <c r="P4329">
        <v>0</v>
      </c>
    </row>
    <row r="4330" spans="1:16" x14ac:dyDescent="0.25">
      <c r="A4330" t="s">
        <v>26735</v>
      </c>
      <c r="B4330" t="s">
        <v>4638</v>
      </c>
      <c r="C4330" t="s">
        <v>4639</v>
      </c>
      <c r="D4330" t="str">
        <f>"4643"</f>
        <v>4643</v>
      </c>
      <c r="E4330" t="s">
        <v>205</v>
      </c>
      <c r="F4330" t="s">
        <v>3670</v>
      </c>
      <c r="G4330" t="s">
        <v>16235</v>
      </c>
      <c r="H4330" t="s">
        <v>47055</v>
      </c>
      <c r="I4330" t="s">
        <v>47127</v>
      </c>
      <c r="J4330" t="s">
        <v>47128</v>
      </c>
      <c r="K4330" t="s">
        <v>47113</v>
      </c>
      <c r="L4330">
        <v>22.09</v>
      </c>
      <c r="M4330">
        <v>55</v>
      </c>
      <c r="N4330">
        <v>0</v>
      </c>
      <c r="O4330">
        <v>55</v>
      </c>
      <c r="P4330">
        <v>0</v>
      </c>
    </row>
    <row r="4331" spans="1:16" x14ac:dyDescent="0.25">
      <c r="A4331" t="s">
        <v>26736</v>
      </c>
      <c r="B4331" t="s">
        <v>4638</v>
      </c>
      <c r="C4331" t="s">
        <v>4639</v>
      </c>
      <c r="D4331" t="str">
        <f>"6064"</f>
        <v>6064</v>
      </c>
      <c r="E4331" t="s">
        <v>87</v>
      </c>
      <c r="F4331" t="s">
        <v>3670</v>
      </c>
      <c r="G4331" t="s">
        <v>16235</v>
      </c>
      <c r="H4331" t="s">
        <v>47055</v>
      </c>
      <c r="I4331" t="s">
        <v>47127</v>
      </c>
      <c r="J4331" t="s">
        <v>47128</v>
      </c>
      <c r="K4331" t="s">
        <v>47113</v>
      </c>
      <c r="L4331">
        <v>22.09</v>
      </c>
      <c r="M4331">
        <v>55</v>
      </c>
      <c r="N4331">
        <v>0</v>
      </c>
      <c r="O4331">
        <v>55</v>
      </c>
      <c r="P4331">
        <v>0</v>
      </c>
    </row>
    <row r="4332" spans="1:16" x14ac:dyDescent="0.25">
      <c r="A4332" t="s">
        <v>26737</v>
      </c>
      <c r="B4332" t="s">
        <v>4638</v>
      </c>
      <c r="C4332" t="s">
        <v>4639</v>
      </c>
      <c r="D4332" t="str">
        <f>"8039"</f>
        <v>8039</v>
      </c>
      <c r="E4332" t="s">
        <v>4631</v>
      </c>
      <c r="F4332" t="s">
        <v>3670</v>
      </c>
      <c r="G4332" t="s">
        <v>16235</v>
      </c>
      <c r="H4332" t="s">
        <v>47055</v>
      </c>
      <c r="I4332" t="s">
        <v>47127</v>
      </c>
      <c r="J4332" t="s">
        <v>47128</v>
      </c>
      <c r="K4332" t="s">
        <v>47113</v>
      </c>
      <c r="L4332">
        <v>22.09</v>
      </c>
      <c r="M4332">
        <v>55</v>
      </c>
      <c r="N4332">
        <v>0</v>
      </c>
      <c r="O4332">
        <v>55</v>
      </c>
      <c r="P4332">
        <v>0</v>
      </c>
    </row>
    <row r="4333" spans="1:16" x14ac:dyDescent="0.25">
      <c r="A4333" t="s">
        <v>26738</v>
      </c>
      <c r="B4333" t="s">
        <v>4640</v>
      </c>
      <c r="C4333" t="s">
        <v>4641</v>
      </c>
      <c r="D4333" t="str">
        <f>"1106"</f>
        <v>1106</v>
      </c>
      <c r="E4333" t="s">
        <v>460</v>
      </c>
      <c r="F4333" t="s">
        <v>3670</v>
      </c>
      <c r="G4333" t="s">
        <v>46686</v>
      </c>
      <c r="H4333" t="s">
        <v>47055</v>
      </c>
      <c r="I4333" t="s">
        <v>47127</v>
      </c>
      <c r="J4333" t="s">
        <v>47128</v>
      </c>
      <c r="K4333" t="s">
        <v>47113</v>
      </c>
      <c r="L4333">
        <v>29.25</v>
      </c>
      <c r="M4333">
        <v>74</v>
      </c>
      <c r="N4333">
        <v>0</v>
      </c>
      <c r="O4333">
        <v>74</v>
      </c>
      <c r="P4333">
        <v>0</v>
      </c>
    </row>
    <row r="4334" spans="1:16" x14ac:dyDescent="0.25">
      <c r="A4334" t="s">
        <v>26739</v>
      </c>
      <c r="B4334" t="s">
        <v>4640</v>
      </c>
      <c r="C4334" t="s">
        <v>4641</v>
      </c>
      <c r="D4334" t="str">
        <f>"1278"</f>
        <v>1278</v>
      </c>
      <c r="E4334" t="s">
        <v>100</v>
      </c>
      <c r="F4334" t="s">
        <v>3670</v>
      </c>
      <c r="G4334" t="s">
        <v>46686</v>
      </c>
      <c r="H4334" t="s">
        <v>47055</v>
      </c>
      <c r="I4334" t="s">
        <v>47127</v>
      </c>
      <c r="J4334" t="s">
        <v>47128</v>
      </c>
      <c r="K4334" t="s">
        <v>47113</v>
      </c>
      <c r="L4334">
        <v>26.12</v>
      </c>
      <c r="M4334">
        <v>74</v>
      </c>
      <c r="N4334">
        <v>0</v>
      </c>
      <c r="O4334">
        <v>74</v>
      </c>
      <c r="P4334">
        <v>0</v>
      </c>
    </row>
    <row r="4335" spans="1:16" x14ac:dyDescent="0.25">
      <c r="A4335" t="s">
        <v>26740</v>
      </c>
      <c r="B4335" t="s">
        <v>4640</v>
      </c>
      <c r="C4335" t="s">
        <v>4641</v>
      </c>
      <c r="D4335" t="str">
        <f>"3501"</f>
        <v>3501</v>
      </c>
      <c r="E4335" t="s">
        <v>3758</v>
      </c>
      <c r="F4335" t="s">
        <v>3670</v>
      </c>
      <c r="G4335" t="s">
        <v>46686</v>
      </c>
      <c r="H4335" t="s">
        <v>47055</v>
      </c>
      <c r="I4335" t="s">
        <v>47127</v>
      </c>
      <c r="J4335" t="s">
        <v>47128</v>
      </c>
      <c r="K4335" t="s">
        <v>47113</v>
      </c>
      <c r="L4335">
        <v>29.25</v>
      </c>
      <c r="M4335">
        <v>74</v>
      </c>
      <c r="N4335">
        <v>0</v>
      </c>
      <c r="O4335">
        <v>74</v>
      </c>
      <c r="P4335">
        <v>0</v>
      </c>
    </row>
    <row r="4336" spans="1:16" x14ac:dyDescent="0.25">
      <c r="A4336" t="s">
        <v>26741</v>
      </c>
      <c r="B4336" t="s">
        <v>4640</v>
      </c>
      <c r="C4336" t="s">
        <v>4641</v>
      </c>
      <c r="D4336" t="str">
        <f>"4643"</f>
        <v>4643</v>
      </c>
      <c r="E4336" t="s">
        <v>205</v>
      </c>
      <c r="F4336" t="s">
        <v>3670</v>
      </c>
      <c r="G4336" t="s">
        <v>46686</v>
      </c>
      <c r="H4336" t="s">
        <v>47055</v>
      </c>
      <c r="I4336" t="s">
        <v>47127</v>
      </c>
      <c r="J4336" t="s">
        <v>47128</v>
      </c>
      <c r="K4336" t="s">
        <v>47113</v>
      </c>
      <c r="L4336">
        <v>29.25</v>
      </c>
      <c r="M4336">
        <v>74</v>
      </c>
      <c r="N4336">
        <v>0</v>
      </c>
      <c r="O4336">
        <v>74</v>
      </c>
      <c r="P4336">
        <v>0</v>
      </c>
    </row>
    <row r="4337" spans="1:16" x14ac:dyDescent="0.25">
      <c r="A4337" t="s">
        <v>26742</v>
      </c>
      <c r="B4337" t="s">
        <v>4640</v>
      </c>
      <c r="C4337" t="s">
        <v>4641</v>
      </c>
      <c r="D4337" t="str">
        <f>"6064"</f>
        <v>6064</v>
      </c>
      <c r="E4337" t="s">
        <v>87</v>
      </c>
      <c r="F4337" t="s">
        <v>3670</v>
      </c>
      <c r="G4337" t="s">
        <v>46686</v>
      </c>
      <c r="H4337" t="s">
        <v>47055</v>
      </c>
      <c r="I4337" t="s">
        <v>47127</v>
      </c>
      <c r="J4337" t="s">
        <v>47128</v>
      </c>
      <c r="K4337" t="s">
        <v>47113</v>
      </c>
      <c r="L4337">
        <v>29.25</v>
      </c>
      <c r="M4337">
        <v>74</v>
      </c>
      <c r="N4337">
        <v>0</v>
      </c>
      <c r="O4337">
        <v>74</v>
      </c>
      <c r="P4337">
        <v>0</v>
      </c>
    </row>
    <row r="4338" spans="1:16" x14ac:dyDescent="0.25">
      <c r="A4338" t="s">
        <v>26743</v>
      </c>
      <c r="B4338" t="s">
        <v>4640</v>
      </c>
      <c r="C4338" t="s">
        <v>4641</v>
      </c>
      <c r="D4338" t="str">
        <f>"8039"</f>
        <v>8039</v>
      </c>
      <c r="E4338" t="s">
        <v>4631</v>
      </c>
      <c r="F4338" t="s">
        <v>3670</v>
      </c>
      <c r="G4338" t="s">
        <v>46686</v>
      </c>
      <c r="H4338" t="s">
        <v>47055</v>
      </c>
      <c r="I4338" t="s">
        <v>47127</v>
      </c>
      <c r="J4338" t="s">
        <v>47128</v>
      </c>
      <c r="K4338" t="s">
        <v>47113</v>
      </c>
      <c r="L4338">
        <v>29.25</v>
      </c>
      <c r="M4338">
        <v>74</v>
      </c>
      <c r="N4338">
        <v>0</v>
      </c>
      <c r="O4338">
        <v>74</v>
      </c>
      <c r="P4338">
        <v>0</v>
      </c>
    </row>
    <row r="4339" spans="1:16" x14ac:dyDescent="0.25">
      <c r="A4339" t="s">
        <v>26744</v>
      </c>
      <c r="B4339" t="s">
        <v>4642</v>
      </c>
      <c r="C4339" t="s">
        <v>4643</v>
      </c>
      <c r="D4339" t="str">
        <f>"1106"</f>
        <v>1106</v>
      </c>
      <c r="E4339" t="s">
        <v>460</v>
      </c>
      <c r="F4339" t="s">
        <v>3670</v>
      </c>
      <c r="G4339" t="s">
        <v>16222</v>
      </c>
      <c r="H4339" t="s">
        <v>47055</v>
      </c>
      <c r="I4339" t="s">
        <v>47127</v>
      </c>
      <c r="J4339" t="s">
        <v>47128</v>
      </c>
      <c r="K4339" t="s">
        <v>47113</v>
      </c>
      <c r="L4339">
        <v>22.09</v>
      </c>
      <c r="M4339">
        <v>48</v>
      </c>
      <c r="N4339">
        <v>0</v>
      </c>
      <c r="O4339">
        <v>48</v>
      </c>
      <c r="P4339">
        <v>0</v>
      </c>
    </row>
    <row r="4340" spans="1:16" x14ac:dyDescent="0.25">
      <c r="A4340" t="s">
        <v>26745</v>
      </c>
      <c r="B4340" t="s">
        <v>4642</v>
      </c>
      <c r="C4340" t="s">
        <v>4643</v>
      </c>
      <c r="D4340" t="str">
        <f>"1278"</f>
        <v>1278</v>
      </c>
      <c r="E4340" t="s">
        <v>100</v>
      </c>
      <c r="F4340" t="s">
        <v>3670</v>
      </c>
      <c r="G4340" t="s">
        <v>16222</v>
      </c>
      <c r="H4340" t="s">
        <v>47055</v>
      </c>
      <c r="I4340" t="s">
        <v>47127</v>
      </c>
      <c r="J4340" t="s">
        <v>47128</v>
      </c>
      <c r="K4340" t="s">
        <v>47113</v>
      </c>
      <c r="L4340">
        <v>22.09</v>
      </c>
      <c r="M4340">
        <v>48</v>
      </c>
      <c r="N4340">
        <v>0</v>
      </c>
      <c r="O4340">
        <v>48</v>
      </c>
      <c r="P4340">
        <v>0</v>
      </c>
    </row>
    <row r="4341" spans="1:16" x14ac:dyDescent="0.25">
      <c r="A4341" t="s">
        <v>26746</v>
      </c>
      <c r="B4341" t="s">
        <v>4642</v>
      </c>
      <c r="C4341" t="s">
        <v>4643</v>
      </c>
      <c r="D4341" t="str">
        <f>"3501"</f>
        <v>3501</v>
      </c>
      <c r="E4341" t="s">
        <v>3758</v>
      </c>
      <c r="F4341" t="s">
        <v>3670</v>
      </c>
      <c r="G4341" t="s">
        <v>16222</v>
      </c>
      <c r="H4341" t="s">
        <v>47055</v>
      </c>
      <c r="I4341" t="s">
        <v>47127</v>
      </c>
      <c r="J4341" t="s">
        <v>47128</v>
      </c>
      <c r="K4341" t="s">
        <v>47113</v>
      </c>
      <c r="L4341">
        <v>22.09</v>
      </c>
      <c r="M4341">
        <v>48</v>
      </c>
      <c r="N4341">
        <v>0</v>
      </c>
      <c r="O4341">
        <v>48</v>
      </c>
      <c r="P4341">
        <v>0</v>
      </c>
    </row>
    <row r="4342" spans="1:16" x14ac:dyDescent="0.25">
      <c r="A4342" t="s">
        <v>26747</v>
      </c>
      <c r="B4342" t="s">
        <v>4642</v>
      </c>
      <c r="C4342" t="s">
        <v>4643</v>
      </c>
      <c r="D4342" t="str">
        <f>"4643"</f>
        <v>4643</v>
      </c>
      <c r="E4342" t="s">
        <v>205</v>
      </c>
      <c r="F4342" t="s">
        <v>3670</v>
      </c>
      <c r="G4342" t="s">
        <v>16222</v>
      </c>
      <c r="H4342" t="s">
        <v>47055</v>
      </c>
      <c r="I4342" t="s">
        <v>47127</v>
      </c>
      <c r="J4342" t="s">
        <v>47128</v>
      </c>
      <c r="K4342" t="s">
        <v>47113</v>
      </c>
      <c r="L4342">
        <v>22.09</v>
      </c>
      <c r="M4342">
        <v>48</v>
      </c>
      <c r="N4342">
        <v>0</v>
      </c>
      <c r="O4342">
        <v>48</v>
      </c>
      <c r="P4342">
        <v>0</v>
      </c>
    </row>
    <row r="4343" spans="1:16" x14ac:dyDescent="0.25">
      <c r="A4343" t="s">
        <v>26748</v>
      </c>
      <c r="B4343" t="s">
        <v>4642</v>
      </c>
      <c r="C4343" t="s">
        <v>4643</v>
      </c>
      <c r="D4343" t="str">
        <f>"6064"</f>
        <v>6064</v>
      </c>
      <c r="E4343" t="s">
        <v>87</v>
      </c>
      <c r="F4343" t="s">
        <v>3670</v>
      </c>
      <c r="G4343" t="s">
        <v>16222</v>
      </c>
      <c r="H4343" t="s">
        <v>47055</v>
      </c>
      <c r="I4343" t="s">
        <v>47127</v>
      </c>
      <c r="J4343" t="s">
        <v>47128</v>
      </c>
      <c r="K4343" t="s">
        <v>47113</v>
      </c>
      <c r="L4343">
        <v>22.09</v>
      </c>
      <c r="M4343">
        <v>48</v>
      </c>
      <c r="N4343">
        <v>0</v>
      </c>
      <c r="O4343">
        <v>48</v>
      </c>
      <c r="P4343">
        <v>0</v>
      </c>
    </row>
    <row r="4344" spans="1:16" x14ac:dyDescent="0.25">
      <c r="A4344" t="s">
        <v>26749</v>
      </c>
      <c r="B4344" t="s">
        <v>4642</v>
      </c>
      <c r="C4344" t="s">
        <v>4643</v>
      </c>
      <c r="D4344" t="str">
        <f>"8039"</f>
        <v>8039</v>
      </c>
      <c r="E4344" t="s">
        <v>4631</v>
      </c>
      <c r="F4344" t="s">
        <v>3670</v>
      </c>
      <c r="G4344" t="s">
        <v>16222</v>
      </c>
      <c r="H4344" t="s">
        <v>47055</v>
      </c>
      <c r="I4344" t="s">
        <v>47127</v>
      </c>
      <c r="J4344" t="s">
        <v>47128</v>
      </c>
      <c r="K4344" t="s">
        <v>47113</v>
      </c>
      <c r="L4344">
        <v>22.09</v>
      </c>
      <c r="M4344">
        <v>48</v>
      </c>
      <c r="N4344">
        <v>0</v>
      </c>
      <c r="O4344">
        <v>48</v>
      </c>
      <c r="P4344">
        <v>0</v>
      </c>
    </row>
    <row r="4345" spans="1:16" x14ac:dyDescent="0.25">
      <c r="A4345" t="s">
        <v>26750</v>
      </c>
      <c r="B4345" t="s">
        <v>4644</v>
      </c>
      <c r="C4345" t="s">
        <v>4645</v>
      </c>
      <c r="D4345" t="str">
        <f>"1106"</f>
        <v>1106</v>
      </c>
      <c r="E4345" t="s">
        <v>460</v>
      </c>
      <c r="F4345" t="s">
        <v>3670</v>
      </c>
      <c r="G4345" t="s">
        <v>46686</v>
      </c>
      <c r="H4345" t="s">
        <v>47055</v>
      </c>
      <c r="I4345" t="s">
        <v>47127</v>
      </c>
      <c r="J4345" t="s">
        <v>47128</v>
      </c>
      <c r="K4345" t="s">
        <v>47113</v>
      </c>
      <c r="L4345">
        <v>22.09</v>
      </c>
      <c r="M4345">
        <v>50</v>
      </c>
      <c r="N4345">
        <v>0</v>
      </c>
      <c r="O4345">
        <v>50</v>
      </c>
      <c r="P4345">
        <v>0</v>
      </c>
    </row>
    <row r="4346" spans="1:16" x14ac:dyDescent="0.25">
      <c r="A4346" t="s">
        <v>26751</v>
      </c>
      <c r="B4346" t="s">
        <v>4644</v>
      </c>
      <c r="C4346" t="s">
        <v>4645</v>
      </c>
      <c r="D4346" t="str">
        <f>"1278"</f>
        <v>1278</v>
      </c>
      <c r="E4346" t="s">
        <v>100</v>
      </c>
      <c r="F4346" t="s">
        <v>3670</v>
      </c>
      <c r="G4346" t="s">
        <v>46686</v>
      </c>
      <c r="H4346" t="s">
        <v>47055</v>
      </c>
      <c r="I4346" t="s">
        <v>47127</v>
      </c>
      <c r="J4346" t="s">
        <v>47128</v>
      </c>
      <c r="K4346" t="s">
        <v>47113</v>
      </c>
      <c r="L4346">
        <v>22.09</v>
      </c>
      <c r="M4346">
        <v>50</v>
      </c>
      <c r="N4346">
        <v>0</v>
      </c>
      <c r="O4346">
        <v>50</v>
      </c>
      <c r="P4346">
        <v>0</v>
      </c>
    </row>
    <row r="4347" spans="1:16" x14ac:dyDescent="0.25">
      <c r="A4347" t="s">
        <v>26752</v>
      </c>
      <c r="B4347" t="s">
        <v>4644</v>
      </c>
      <c r="C4347" t="s">
        <v>4645</v>
      </c>
      <c r="D4347" t="str">
        <f>"3501"</f>
        <v>3501</v>
      </c>
      <c r="E4347" t="s">
        <v>3758</v>
      </c>
      <c r="F4347" t="s">
        <v>3670</v>
      </c>
      <c r="G4347" t="s">
        <v>46686</v>
      </c>
      <c r="H4347" t="s">
        <v>47055</v>
      </c>
      <c r="I4347" t="s">
        <v>47127</v>
      </c>
      <c r="J4347" t="s">
        <v>47128</v>
      </c>
      <c r="K4347" t="s">
        <v>47113</v>
      </c>
      <c r="L4347">
        <v>22.09</v>
      </c>
      <c r="M4347">
        <v>50</v>
      </c>
      <c r="N4347">
        <v>0</v>
      </c>
      <c r="O4347">
        <v>50</v>
      </c>
      <c r="P4347">
        <v>0</v>
      </c>
    </row>
    <row r="4348" spans="1:16" x14ac:dyDescent="0.25">
      <c r="A4348" t="s">
        <v>26753</v>
      </c>
      <c r="B4348" t="s">
        <v>4644</v>
      </c>
      <c r="C4348" t="s">
        <v>4645</v>
      </c>
      <c r="D4348" t="str">
        <f>"4643"</f>
        <v>4643</v>
      </c>
      <c r="E4348" t="s">
        <v>205</v>
      </c>
      <c r="F4348" t="s">
        <v>3670</v>
      </c>
      <c r="G4348" t="s">
        <v>46686</v>
      </c>
      <c r="H4348" t="s">
        <v>47055</v>
      </c>
      <c r="I4348" t="s">
        <v>47127</v>
      </c>
      <c r="J4348" t="s">
        <v>47128</v>
      </c>
      <c r="K4348" t="s">
        <v>47113</v>
      </c>
      <c r="L4348">
        <v>22.09</v>
      </c>
      <c r="M4348">
        <v>50</v>
      </c>
      <c r="N4348">
        <v>0</v>
      </c>
      <c r="O4348">
        <v>50</v>
      </c>
      <c r="P4348">
        <v>0</v>
      </c>
    </row>
    <row r="4349" spans="1:16" x14ac:dyDescent="0.25">
      <c r="A4349" t="s">
        <v>26754</v>
      </c>
      <c r="B4349" t="s">
        <v>4644</v>
      </c>
      <c r="C4349" t="s">
        <v>4645</v>
      </c>
      <c r="D4349" t="str">
        <f>"6064"</f>
        <v>6064</v>
      </c>
      <c r="E4349" t="s">
        <v>87</v>
      </c>
      <c r="F4349" t="s">
        <v>3670</v>
      </c>
      <c r="G4349" t="s">
        <v>46686</v>
      </c>
      <c r="H4349" t="s">
        <v>47055</v>
      </c>
      <c r="I4349" t="s">
        <v>47127</v>
      </c>
      <c r="J4349" t="s">
        <v>47128</v>
      </c>
      <c r="K4349" t="s">
        <v>47113</v>
      </c>
      <c r="L4349">
        <v>22.09</v>
      </c>
      <c r="M4349">
        <v>50</v>
      </c>
      <c r="N4349">
        <v>0</v>
      </c>
      <c r="O4349">
        <v>50</v>
      </c>
      <c r="P4349">
        <v>0</v>
      </c>
    </row>
    <row r="4350" spans="1:16" x14ac:dyDescent="0.25">
      <c r="A4350" t="s">
        <v>26755</v>
      </c>
      <c r="B4350" t="s">
        <v>15137</v>
      </c>
      <c r="C4350" t="s">
        <v>15138</v>
      </c>
      <c r="D4350" t="str">
        <f t="shared" ref="D4350:D4355" si="10">"1370"</f>
        <v>1370</v>
      </c>
      <c r="E4350" t="s">
        <v>15139</v>
      </c>
      <c r="F4350" t="s">
        <v>3750</v>
      </c>
      <c r="G4350" t="s">
        <v>46686</v>
      </c>
      <c r="H4350" t="s">
        <v>47055</v>
      </c>
      <c r="I4350" t="s">
        <v>47127</v>
      </c>
      <c r="J4350" t="s">
        <v>47128</v>
      </c>
      <c r="K4350" t="s">
        <v>47113</v>
      </c>
      <c r="L4350">
        <v>28.53</v>
      </c>
      <c r="M4350">
        <v>63</v>
      </c>
      <c r="N4350">
        <v>0</v>
      </c>
      <c r="O4350">
        <v>63</v>
      </c>
      <c r="P4350">
        <v>0</v>
      </c>
    </row>
    <row r="4351" spans="1:16" x14ac:dyDescent="0.25">
      <c r="A4351" t="s">
        <v>26756</v>
      </c>
      <c r="B4351" t="s">
        <v>15140</v>
      </c>
      <c r="C4351" t="s">
        <v>15141</v>
      </c>
      <c r="D4351" t="str">
        <f t="shared" si="10"/>
        <v>1370</v>
      </c>
      <c r="E4351" t="s">
        <v>15139</v>
      </c>
      <c r="F4351" t="s">
        <v>3750</v>
      </c>
      <c r="G4351" t="s">
        <v>46686</v>
      </c>
      <c r="H4351" t="s">
        <v>47055</v>
      </c>
      <c r="I4351" t="s">
        <v>47127</v>
      </c>
      <c r="J4351" t="s">
        <v>47128</v>
      </c>
      <c r="K4351" t="s">
        <v>47113</v>
      </c>
      <c r="L4351">
        <v>23.04</v>
      </c>
      <c r="M4351">
        <v>51</v>
      </c>
      <c r="N4351">
        <v>0</v>
      </c>
      <c r="O4351">
        <v>51</v>
      </c>
      <c r="P4351">
        <v>0</v>
      </c>
    </row>
    <row r="4352" spans="1:16" x14ac:dyDescent="0.25">
      <c r="A4352" t="s">
        <v>26757</v>
      </c>
      <c r="B4352" t="s">
        <v>15142</v>
      </c>
      <c r="C4352" t="s">
        <v>10990</v>
      </c>
      <c r="D4352" t="str">
        <f t="shared" si="10"/>
        <v>1370</v>
      </c>
      <c r="E4352" t="s">
        <v>15139</v>
      </c>
      <c r="F4352" t="s">
        <v>3750</v>
      </c>
      <c r="G4352" t="s">
        <v>46686</v>
      </c>
      <c r="H4352" t="s">
        <v>47055</v>
      </c>
      <c r="I4352" t="s">
        <v>47127</v>
      </c>
      <c r="J4352" t="s">
        <v>47128</v>
      </c>
      <c r="K4352" t="s">
        <v>47113</v>
      </c>
      <c r="L4352">
        <v>20.18</v>
      </c>
      <c r="M4352">
        <v>44</v>
      </c>
      <c r="N4352">
        <v>0</v>
      </c>
      <c r="O4352">
        <v>44</v>
      </c>
      <c r="P4352">
        <v>0</v>
      </c>
    </row>
    <row r="4353" spans="1:16" x14ac:dyDescent="0.25">
      <c r="A4353" t="s">
        <v>26758</v>
      </c>
      <c r="B4353" t="s">
        <v>15143</v>
      </c>
      <c r="C4353" t="s">
        <v>15144</v>
      </c>
      <c r="D4353" t="str">
        <f t="shared" si="10"/>
        <v>1370</v>
      </c>
      <c r="E4353" t="s">
        <v>15139</v>
      </c>
      <c r="F4353" t="s">
        <v>3750</v>
      </c>
      <c r="G4353" t="s">
        <v>16222</v>
      </c>
      <c r="H4353" t="s">
        <v>47055</v>
      </c>
      <c r="I4353" t="s">
        <v>47127</v>
      </c>
      <c r="J4353" t="s">
        <v>47128</v>
      </c>
      <c r="K4353" t="s">
        <v>47113</v>
      </c>
      <c r="L4353">
        <v>20.41</v>
      </c>
      <c r="M4353">
        <v>45</v>
      </c>
      <c r="N4353">
        <v>0</v>
      </c>
      <c r="O4353">
        <v>45</v>
      </c>
      <c r="P4353">
        <v>0</v>
      </c>
    </row>
    <row r="4354" spans="1:16" x14ac:dyDescent="0.25">
      <c r="A4354" t="s">
        <v>26759</v>
      </c>
      <c r="B4354" t="s">
        <v>15145</v>
      </c>
      <c r="C4354" t="s">
        <v>15146</v>
      </c>
      <c r="D4354" t="str">
        <f t="shared" si="10"/>
        <v>1370</v>
      </c>
      <c r="E4354" t="s">
        <v>15139</v>
      </c>
      <c r="F4354" t="s">
        <v>3750</v>
      </c>
      <c r="G4354" t="s">
        <v>46686</v>
      </c>
      <c r="H4354" t="s">
        <v>47055</v>
      </c>
      <c r="I4354" t="s">
        <v>47127</v>
      </c>
      <c r="J4354" t="s">
        <v>47128</v>
      </c>
      <c r="K4354" t="s">
        <v>47113</v>
      </c>
      <c r="L4354">
        <v>21.26</v>
      </c>
      <c r="M4354">
        <v>47</v>
      </c>
      <c r="N4354">
        <v>0</v>
      </c>
      <c r="O4354">
        <v>47</v>
      </c>
      <c r="P4354">
        <v>0</v>
      </c>
    </row>
    <row r="4355" spans="1:16" x14ac:dyDescent="0.25">
      <c r="A4355" t="s">
        <v>26760</v>
      </c>
      <c r="B4355" t="s">
        <v>15147</v>
      </c>
      <c r="C4355" t="s">
        <v>4183</v>
      </c>
      <c r="D4355" t="str">
        <f t="shared" si="10"/>
        <v>1370</v>
      </c>
      <c r="E4355" t="s">
        <v>15139</v>
      </c>
      <c r="F4355" t="s">
        <v>3750</v>
      </c>
      <c r="G4355" t="s">
        <v>46686</v>
      </c>
      <c r="H4355" t="s">
        <v>47055</v>
      </c>
      <c r="I4355" t="s">
        <v>47127</v>
      </c>
      <c r="J4355" t="s">
        <v>47128</v>
      </c>
      <c r="K4355" t="s">
        <v>47113</v>
      </c>
      <c r="L4355">
        <v>24.11</v>
      </c>
      <c r="M4355">
        <v>53</v>
      </c>
      <c r="N4355">
        <v>0</v>
      </c>
      <c r="O4355">
        <v>53</v>
      </c>
      <c r="P4355">
        <v>0</v>
      </c>
    </row>
    <row r="4356" spans="1:16" x14ac:dyDescent="0.25">
      <c r="A4356" t="s">
        <v>26761</v>
      </c>
      <c r="B4356" t="s">
        <v>15148</v>
      </c>
      <c r="C4356" t="s">
        <v>15149</v>
      </c>
      <c r="D4356" t="str">
        <f>"1001"</f>
        <v>1001</v>
      </c>
      <c r="E4356" t="s">
        <v>42</v>
      </c>
      <c r="F4356" t="s">
        <v>3750</v>
      </c>
      <c r="G4356" t="s">
        <v>46686</v>
      </c>
      <c r="H4356" t="s">
        <v>47055</v>
      </c>
      <c r="I4356" t="s">
        <v>47127</v>
      </c>
      <c r="J4356" t="s">
        <v>47128</v>
      </c>
      <c r="K4356" t="s">
        <v>47113</v>
      </c>
      <c r="L4356">
        <v>28.53</v>
      </c>
      <c r="M4356">
        <v>63</v>
      </c>
      <c r="N4356">
        <v>0</v>
      </c>
      <c r="O4356">
        <v>63</v>
      </c>
      <c r="P4356">
        <v>0</v>
      </c>
    </row>
    <row r="4357" spans="1:16" x14ac:dyDescent="0.25">
      <c r="A4357" t="s">
        <v>26762</v>
      </c>
      <c r="B4357" t="s">
        <v>15148</v>
      </c>
      <c r="C4357" t="s">
        <v>15149</v>
      </c>
      <c r="D4357" t="str">
        <f>"1278"</f>
        <v>1278</v>
      </c>
      <c r="E4357" t="s">
        <v>100</v>
      </c>
      <c r="F4357" t="s">
        <v>3750</v>
      </c>
      <c r="G4357" t="s">
        <v>46686</v>
      </c>
      <c r="H4357" t="s">
        <v>47055</v>
      </c>
      <c r="I4357" t="s">
        <v>47127</v>
      </c>
      <c r="J4357" t="s">
        <v>47128</v>
      </c>
      <c r="K4357" t="s">
        <v>47113</v>
      </c>
      <c r="L4357">
        <v>28.53</v>
      </c>
      <c r="M4357">
        <v>63</v>
      </c>
      <c r="N4357">
        <v>0</v>
      </c>
      <c r="O4357">
        <v>63</v>
      </c>
      <c r="P4357">
        <v>0</v>
      </c>
    </row>
    <row r="4358" spans="1:16" x14ac:dyDescent="0.25">
      <c r="A4358" t="s">
        <v>26763</v>
      </c>
      <c r="B4358" t="s">
        <v>15148</v>
      </c>
      <c r="C4358" t="s">
        <v>15149</v>
      </c>
      <c r="D4358" t="str">
        <f>"4643"</f>
        <v>4643</v>
      </c>
      <c r="E4358" t="s">
        <v>205</v>
      </c>
      <c r="F4358" t="s">
        <v>3750</v>
      </c>
      <c r="G4358" t="s">
        <v>46686</v>
      </c>
      <c r="H4358" t="s">
        <v>47055</v>
      </c>
      <c r="I4358" t="s">
        <v>47127</v>
      </c>
      <c r="J4358" t="s">
        <v>47128</v>
      </c>
      <c r="K4358" t="s">
        <v>47113</v>
      </c>
      <c r="L4358">
        <v>28.53</v>
      </c>
      <c r="M4358">
        <v>63</v>
      </c>
      <c r="N4358">
        <v>0</v>
      </c>
      <c r="O4358">
        <v>63</v>
      </c>
      <c r="P4358">
        <v>0</v>
      </c>
    </row>
    <row r="4359" spans="1:16" x14ac:dyDescent="0.25">
      <c r="A4359" t="s">
        <v>26764</v>
      </c>
      <c r="B4359" t="s">
        <v>15148</v>
      </c>
      <c r="C4359" t="s">
        <v>15149</v>
      </c>
      <c r="D4359" t="str">
        <f>"6000"</f>
        <v>6000</v>
      </c>
      <c r="E4359" t="s">
        <v>238</v>
      </c>
      <c r="F4359" t="s">
        <v>3750</v>
      </c>
      <c r="G4359" t="s">
        <v>46686</v>
      </c>
      <c r="H4359" t="s">
        <v>47055</v>
      </c>
      <c r="I4359" t="s">
        <v>47127</v>
      </c>
      <c r="J4359" t="s">
        <v>47128</v>
      </c>
      <c r="K4359" t="s">
        <v>47113</v>
      </c>
      <c r="L4359">
        <v>28.53</v>
      </c>
      <c r="M4359">
        <v>63</v>
      </c>
      <c r="N4359">
        <v>0</v>
      </c>
      <c r="O4359">
        <v>63</v>
      </c>
      <c r="P4359">
        <v>0</v>
      </c>
    </row>
    <row r="4360" spans="1:16" x14ac:dyDescent="0.25">
      <c r="A4360" t="s">
        <v>26765</v>
      </c>
      <c r="B4360" t="s">
        <v>15148</v>
      </c>
      <c r="C4360" t="s">
        <v>15149</v>
      </c>
      <c r="D4360" t="str">
        <f>"6012"</f>
        <v>6012</v>
      </c>
      <c r="E4360" t="s">
        <v>15150</v>
      </c>
      <c r="F4360" t="s">
        <v>3750</v>
      </c>
      <c r="G4360" t="s">
        <v>46686</v>
      </c>
      <c r="H4360" t="s">
        <v>47055</v>
      </c>
      <c r="I4360" t="s">
        <v>47127</v>
      </c>
      <c r="J4360" t="s">
        <v>47128</v>
      </c>
      <c r="K4360" t="s">
        <v>47113</v>
      </c>
      <c r="L4360">
        <v>28.53</v>
      </c>
      <c r="M4360">
        <v>63</v>
      </c>
      <c r="N4360">
        <v>0</v>
      </c>
      <c r="O4360">
        <v>63</v>
      </c>
      <c r="P4360">
        <v>0</v>
      </c>
    </row>
    <row r="4361" spans="1:16" x14ac:dyDescent="0.25">
      <c r="A4361" t="s">
        <v>26766</v>
      </c>
      <c r="B4361" t="s">
        <v>15151</v>
      </c>
      <c r="C4361" t="s">
        <v>15152</v>
      </c>
      <c r="D4361" t="str">
        <f>"1001"</f>
        <v>1001</v>
      </c>
      <c r="E4361" t="s">
        <v>42</v>
      </c>
      <c r="F4361" t="s">
        <v>3750</v>
      </c>
      <c r="G4361" t="s">
        <v>16222</v>
      </c>
      <c r="H4361" t="s">
        <v>47055</v>
      </c>
      <c r="I4361" t="s">
        <v>47127</v>
      </c>
      <c r="J4361" t="s">
        <v>47128</v>
      </c>
      <c r="K4361" t="s">
        <v>47113</v>
      </c>
      <c r="L4361">
        <v>21.26</v>
      </c>
      <c r="M4361">
        <v>47</v>
      </c>
      <c r="N4361">
        <v>0</v>
      </c>
      <c r="O4361">
        <v>47</v>
      </c>
      <c r="P4361">
        <v>0</v>
      </c>
    </row>
    <row r="4362" spans="1:16" x14ac:dyDescent="0.25">
      <c r="A4362" t="s">
        <v>26767</v>
      </c>
      <c r="B4362" t="s">
        <v>15151</v>
      </c>
      <c r="C4362" t="s">
        <v>15152</v>
      </c>
      <c r="D4362" t="str">
        <f>"1278"</f>
        <v>1278</v>
      </c>
      <c r="E4362" t="s">
        <v>100</v>
      </c>
      <c r="F4362" t="s">
        <v>3750</v>
      </c>
      <c r="G4362" t="s">
        <v>16222</v>
      </c>
      <c r="H4362" t="s">
        <v>47055</v>
      </c>
      <c r="I4362" t="s">
        <v>47127</v>
      </c>
      <c r="J4362" t="s">
        <v>47128</v>
      </c>
      <c r="K4362" t="s">
        <v>47113</v>
      </c>
      <c r="L4362">
        <v>21.26</v>
      </c>
      <c r="M4362">
        <v>47</v>
      </c>
      <c r="N4362">
        <v>0</v>
      </c>
      <c r="O4362">
        <v>47</v>
      </c>
      <c r="P4362">
        <v>0</v>
      </c>
    </row>
    <row r="4363" spans="1:16" x14ac:dyDescent="0.25">
      <c r="A4363" t="s">
        <v>26768</v>
      </c>
      <c r="B4363" t="s">
        <v>15151</v>
      </c>
      <c r="C4363" t="s">
        <v>15152</v>
      </c>
      <c r="D4363" t="str">
        <f>"4643"</f>
        <v>4643</v>
      </c>
      <c r="E4363" t="s">
        <v>205</v>
      </c>
      <c r="F4363" t="s">
        <v>3750</v>
      </c>
      <c r="G4363" t="s">
        <v>16222</v>
      </c>
      <c r="H4363" t="s">
        <v>47055</v>
      </c>
      <c r="I4363" t="s">
        <v>47127</v>
      </c>
      <c r="J4363" t="s">
        <v>47128</v>
      </c>
      <c r="K4363" t="s">
        <v>47113</v>
      </c>
      <c r="L4363">
        <v>21.26</v>
      </c>
      <c r="M4363">
        <v>47</v>
      </c>
      <c r="N4363">
        <v>0</v>
      </c>
      <c r="O4363">
        <v>47</v>
      </c>
      <c r="P4363">
        <v>0</v>
      </c>
    </row>
    <row r="4364" spans="1:16" x14ac:dyDescent="0.25">
      <c r="A4364" t="s">
        <v>26769</v>
      </c>
      <c r="B4364" t="s">
        <v>15151</v>
      </c>
      <c r="C4364" t="s">
        <v>15152</v>
      </c>
      <c r="D4364" t="str">
        <f>"6000"</f>
        <v>6000</v>
      </c>
      <c r="E4364" t="s">
        <v>238</v>
      </c>
      <c r="F4364" t="s">
        <v>3750</v>
      </c>
      <c r="G4364" t="s">
        <v>16222</v>
      </c>
      <c r="H4364" t="s">
        <v>47055</v>
      </c>
      <c r="I4364" t="s">
        <v>47127</v>
      </c>
      <c r="J4364" t="s">
        <v>47128</v>
      </c>
      <c r="K4364" t="s">
        <v>47113</v>
      </c>
      <c r="L4364">
        <v>21.26</v>
      </c>
      <c r="M4364">
        <v>47</v>
      </c>
      <c r="N4364">
        <v>0</v>
      </c>
      <c r="O4364">
        <v>47</v>
      </c>
      <c r="P4364">
        <v>0</v>
      </c>
    </row>
    <row r="4365" spans="1:16" x14ac:dyDescent="0.25">
      <c r="A4365" t="s">
        <v>26770</v>
      </c>
      <c r="B4365" t="s">
        <v>15151</v>
      </c>
      <c r="C4365" t="s">
        <v>15152</v>
      </c>
      <c r="D4365" t="str">
        <f>"6012"</f>
        <v>6012</v>
      </c>
      <c r="E4365" t="s">
        <v>15150</v>
      </c>
      <c r="F4365" t="s">
        <v>3750</v>
      </c>
      <c r="G4365" t="s">
        <v>16222</v>
      </c>
      <c r="H4365" t="s">
        <v>47055</v>
      </c>
      <c r="I4365" t="s">
        <v>47127</v>
      </c>
      <c r="J4365" t="s">
        <v>47128</v>
      </c>
      <c r="K4365" t="s">
        <v>47113</v>
      </c>
      <c r="L4365">
        <v>21.26</v>
      </c>
      <c r="M4365">
        <v>47</v>
      </c>
      <c r="N4365">
        <v>0</v>
      </c>
      <c r="O4365">
        <v>47</v>
      </c>
      <c r="P4365">
        <v>0</v>
      </c>
    </row>
    <row r="4366" spans="1:16" x14ac:dyDescent="0.25">
      <c r="A4366" t="s">
        <v>26771</v>
      </c>
      <c r="B4366" t="s">
        <v>15153</v>
      </c>
      <c r="C4366" t="s">
        <v>15154</v>
      </c>
      <c r="D4366" t="str">
        <f>"1001"</f>
        <v>1001</v>
      </c>
      <c r="E4366" t="s">
        <v>42</v>
      </c>
      <c r="F4366" t="s">
        <v>3750</v>
      </c>
      <c r="G4366" t="s">
        <v>46686</v>
      </c>
      <c r="H4366" t="s">
        <v>47055</v>
      </c>
      <c r="I4366" t="s">
        <v>47127</v>
      </c>
      <c r="J4366" t="s">
        <v>47128</v>
      </c>
      <c r="K4366" t="s">
        <v>47113</v>
      </c>
      <c r="L4366">
        <v>25.31</v>
      </c>
      <c r="M4366">
        <v>56</v>
      </c>
      <c r="N4366">
        <v>0</v>
      </c>
      <c r="O4366">
        <v>56</v>
      </c>
      <c r="P4366">
        <v>0</v>
      </c>
    </row>
    <row r="4367" spans="1:16" x14ac:dyDescent="0.25">
      <c r="A4367" t="s">
        <v>26772</v>
      </c>
      <c r="B4367" t="s">
        <v>15153</v>
      </c>
      <c r="C4367" t="s">
        <v>15154</v>
      </c>
      <c r="D4367" t="str">
        <f>"1278"</f>
        <v>1278</v>
      </c>
      <c r="E4367" t="s">
        <v>100</v>
      </c>
      <c r="F4367" t="s">
        <v>3750</v>
      </c>
      <c r="G4367" t="s">
        <v>46686</v>
      </c>
      <c r="H4367" t="s">
        <v>47055</v>
      </c>
      <c r="I4367" t="s">
        <v>47127</v>
      </c>
      <c r="J4367" t="s">
        <v>47128</v>
      </c>
      <c r="K4367" t="s">
        <v>47113</v>
      </c>
      <c r="L4367">
        <v>25.31</v>
      </c>
      <c r="M4367">
        <v>56</v>
      </c>
      <c r="N4367">
        <v>0</v>
      </c>
      <c r="O4367">
        <v>56</v>
      </c>
      <c r="P4367">
        <v>0</v>
      </c>
    </row>
    <row r="4368" spans="1:16" x14ac:dyDescent="0.25">
      <c r="A4368" t="s">
        <v>26773</v>
      </c>
      <c r="B4368" t="s">
        <v>15153</v>
      </c>
      <c r="C4368" t="s">
        <v>15154</v>
      </c>
      <c r="D4368" t="str">
        <f>"4643"</f>
        <v>4643</v>
      </c>
      <c r="E4368" t="s">
        <v>205</v>
      </c>
      <c r="F4368" t="s">
        <v>3750</v>
      </c>
      <c r="G4368" t="s">
        <v>46686</v>
      </c>
      <c r="H4368" t="s">
        <v>47055</v>
      </c>
      <c r="I4368" t="s">
        <v>47127</v>
      </c>
      <c r="J4368" t="s">
        <v>47128</v>
      </c>
      <c r="K4368" t="s">
        <v>47113</v>
      </c>
      <c r="L4368">
        <v>25.31</v>
      </c>
      <c r="M4368">
        <v>56</v>
      </c>
      <c r="N4368">
        <v>0</v>
      </c>
      <c r="O4368">
        <v>56</v>
      </c>
      <c r="P4368">
        <v>0</v>
      </c>
    </row>
    <row r="4369" spans="1:16" x14ac:dyDescent="0.25">
      <c r="A4369" t="s">
        <v>26774</v>
      </c>
      <c r="B4369" t="s">
        <v>15153</v>
      </c>
      <c r="C4369" t="s">
        <v>15154</v>
      </c>
      <c r="D4369" t="str">
        <f>"6000"</f>
        <v>6000</v>
      </c>
      <c r="E4369" t="s">
        <v>238</v>
      </c>
      <c r="F4369" t="s">
        <v>3750</v>
      </c>
      <c r="G4369" t="s">
        <v>46686</v>
      </c>
      <c r="H4369" t="s">
        <v>47055</v>
      </c>
      <c r="I4369" t="s">
        <v>47127</v>
      </c>
      <c r="J4369" t="s">
        <v>47128</v>
      </c>
      <c r="K4369" t="s">
        <v>47113</v>
      </c>
      <c r="L4369">
        <v>25.31</v>
      </c>
      <c r="M4369">
        <v>56</v>
      </c>
      <c r="N4369">
        <v>0</v>
      </c>
      <c r="O4369">
        <v>56</v>
      </c>
      <c r="P4369">
        <v>0</v>
      </c>
    </row>
    <row r="4370" spans="1:16" x14ac:dyDescent="0.25">
      <c r="A4370" t="s">
        <v>26775</v>
      </c>
      <c r="B4370" t="s">
        <v>15155</v>
      </c>
      <c r="C4370" t="s">
        <v>15156</v>
      </c>
      <c r="D4370" t="str">
        <f>"1001"</f>
        <v>1001</v>
      </c>
      <c r="E4370" t="s">
        <v>42</v>
      </c>
      <c r="F4370" t="s">
        <v>3750</v>
      </c>
      <c r="G4370" t="s">
        <v>46686</v>
      </c>
      <c r="H4370" t="s">
        <v>47055</v>
      </c>
      <c r="I4370" t="s">
        <v>47127</v>
      </c>
      <c r="J4370" t="s">
        <v>47128</v>
      </c>
      <c r="K4370" t="s">
        <v>47113</v>
      </c>
      <c r="L4370">
        <v>29.01</v>
      </c>
      <c r="M4370">
        <v>64</v>
      </c>
      <c r="N4370">
        <v>0</v>
      </c>
      <c r="O4370">
        <v>64</v>
      </c>
      <c r="P4370">
        <v>0</v>
      </c>
    </row>
    <row r="4371" spans="1:16" x14ac:dyDescent="0.25">
      <c r="A4371" t="s">
        <v>26776</v>
      </c>
      <c r="B4371" t="s">
        <v>15155</v>
      </c>
      <c r="C4371" t="s">
        <v>15156</v>
      </c>
      <c r="D4371" t="str">
        <f>"1278"</f>
        <v>1278</v>
      </c>
      <c r="E4371" t="s">
        <v>100</v>
      </c>
      <c r="F4371" t="s">
        <v>3750</v>
      </c>
      <c r="G4371" t="s">
        <v>46686</v>
      </c>
      <c r="H4371" t="s">
        <v>47055</v>
      </c>
      <c r="I4371" t="s">
        <v>47127</v>
      </c>
      <c r="J4371" t="s">
        <v>47128</v>
      </c>
      <c r="K4371" t="s">
        <v>47113</v>
      </c>
      <c r="L4371">
        <v>29.01</v>
      </c>
      <c r="M4371">
        <v>64</v>
      </c>
      <c r="N4371">
        <v>0</v>
      </c>
      <c r="O4371">
        <v>64</v>
      </c>
      <c r="P4371">
        <v>0</v>
      </c>
    </row>
    <row r="4372" spans="1:16" x14ac:dyDescent="0.25">
      <c r="A4372" t="s">
        <v>26777</v>
      </c>
      <c r="B4372" t="s">
        <v>15155</v>
      </c>
      <c r="C4372" t="s">
        <v>15156</v>
      </c>
      <c r="D4372" t="str">
        <f>"4643"</f>
        <v>4643</v>
      </c>
      <c r="E4372" t="s">
        <v>205</v>
      </c>
      <c r="F4372" t="s">
        <v>3750</v>
      </c>
      <c r="G4372" t="s">
        <v>46686</v>
      </c>
      <c r="H4372" t="s">
        <v>47055</v>
      </c>
      <c r="I4372" t="s">
        <v>47127</v>
      </c>
      <c r="J4372" t="s">
        <v>47128</v>
      </c>
      <c r="K4372" t="s">
        <v>47113</v>
      </c>
      <c r="L4372">
        <v>29.01</v>
      </c>
      <c r="M4372">
        <v>64</v>
      </c>
      <c r="N4372">
        <v>0</v>
      </c>
      <c r="O4372">
        <v>64</v>
      </c>
      <c r="P4372">
        <v>0</v>
      </c>
    </row>
    <row r="4373" spans="1:16" x14ac:dyDescent="0.25">
      <c r="A4373" t="s">
        <v>26778</v>
      </c>
      <c r="B4373" t="s">
        <v>15157</v>
      </c>
      <c r="C4373" t="s">
        <v>15158</v>
      </c>
      <c r="D4373" t="str">
        <f>"6012"</f>
        <v>6012</v>
      </c>
      <c r="E4373" t="s">
        <v>15150</v>
      </c>
      <c r="F4373" t="s">
        <v>3750</v>
      </c>
      <c r="G4373" t="s">
        <v>46686</v>
      </c>
      <c r="H4373" t="s">
        <v>47055</v>
      </c>
      <c r="I4373" t="s">
        <v>47127</v>
      </c>
      <c r="J4373" t="s">
        <v>47128</v>
      </c>
      <c r="K4373" t="s">
        <v>47113</v>
      </c>
      <c r="L4373">
        <v>23.52</v>
      </c>
      <c r="M4373">
        <v>52</v>
      </c>
      <c r="N4373">
        <v>0</v>
      </c>
      <c r="O4373">
        <v>52</v>
      </c>
      <c r="P4373">
        <v>0</v>
      </c>
    </row>
    <row r="4374" spans="1:16" x14ac:dyDescent="0.25">
      <c r="A4374" t="s">
        <v>26779</v>
      </c>
      <c r="B4374" t="s">
        <v>15159</v>
      </c>
      <c r="C4374" t="s">
        <v>2282</v>
      </c>
      <c r="D4374" t="str">
        <f>"1278"</f>
        <v>1278</v>
      </c>
      <c r="E4374" t="s">
        <v>100</v>
      </c>
      <c r="F4374" t="s">
        <v>3750</v>
      </c>
      <c r="G4374" t="s">
        <v>46686</v>
      </c>
      <c r="H4374" t="s">
        <v>47055</v>
      </c>
      <c r="I4374" t="s">
        <v>47127</v>
      </c>
      <c r="J4374" t="s">
        <v>47128</v>
      </c>
      <c r="K4374" t="s">
        <v>47113</v>
      </c>
      <c r="L4374">
        <v>24.24</v>
      </c>
      <c r="M4374">
        <v>53</v>
      </c>
      <c r="N4374">
        <v>0</v>
      </c>
      <c r="O4374">
        <v>53</v>
      </c>
      <c r="P4374">
        <v>0</v>
      </c>
    </row>
    <row r="4375" spans="1:16" x14ac:dyDescent="0.25">
      <c r="A4375" t="s">
        <v>26780</v>
      </c>
      <c r="B4375" t="s">
        <v>4646</v>
      </c>
      <c r="C4375" t="s">
        <v>4343</v>
      </c>
      <c r="D4375" t="s">
        <v>4551</v>
      </c>
      <c r="E4375" t="s">
        <v>4552</v>
      </c>
      <c r="F4375" t="s">
        <v>3670</v>
      </c>
      <c r="G4375" t="s">
        <v>16224</v>
      </c>
      <c r="H4375" t="s">
        <v>47153</v>
      </c>
      <c r="I4375" t="s">
        <v>47132</v>
      </c>
      <c r="J4375" t="s">
        <v>47133</v>
      </c>
      <c r="K4375" t="s">
        <v>47113</v>
      </c>
      <c r="L4375">
        <v>61.6</v>
      </c>
      <c r="M4375">
        <v>107</v>
      </c>
      <c r="N4375">
        <v>0</v>
      </c>
      <c r="O4375">
        <v>107</v>
      </c>
      <c r="P4375">
        <v>0</v>
      </c>
    </row>
    <row r="4376" spans="1:16" x14ac:dyDescent="0.25">
      <c r="A4376" t="s">
        <v>26781</v>
      </c>
      <c r="B4376" t="s">
        <v>4646</v>
      </c>
      <c r="C4376" t="s">
        <v>4343</v>
      </c>
      <c r="D4376" t="s">
        <v>4553</v>
      </c>
      <c r="E4376" t="s">
        <v>4554</v>
      </c>
      <c r="F4376" t="s">
        <v>3670</v>
      </c>
      <c r="G4376" t="s">
        <v>16224</v>
      </c>
      <c r="H4376" t="s">
        <v>47153</v>
      </c>
      <c r="I4376" t="s">
        <v>47132</v>
      </c>
      <c r="J4376" t="s">
        <v>47133</v>
      </c>
      <c r="K4376" t="s">
        <v>47113</v>
      </c>
      <c r="L4376">
        <v>64.06</v>
      </c>
      <c r="M4376">
        <v>103</v>
      </c>
      <c r="N4376">
        <v>0</v>
      </c>
      <c r="O4376">
        <v>103</v>
      </c>
      <c r="P4376">
        <v>0</v>
      </c>
    </row>
    <row r="4377" spans="1:16" x14ac:dyDescent="0.25">
      <c r="A4377" t="s">
        <v>26782</v>
      </c>
      <c r="B4377" t="s">
        <v>4647</v>
      </c>
      <c r="C4377" t="s">
        <v>4648</v>
      </c>
      <c r="D4377" t="str">
        <f>"1001"</f>
        <v>1001</v>
      </c>
      <c r="E4377" t="s">
        <v>42</v>
      </c>
      <c r="F4377" t="s">
        <v>3670</v>
      </c>
      <c r="G4377" t="s">
        <v>16224</v>
      </c>
      <c r="H4377" t="s">
        <v>47055</v>
      </c>
      <c r="I4377" t="s">
        <v>47120</v>
      </c>
      <c r="J4377" t="s">
        <v>47121</v>
      </c>
      <c r="K4377" t="s">
        <v>47113</v>
      </c>
      <c r="L4377">
        <v>58.45</v>
      </c>
      <c r="M4377">
        <v>174</v>
      </c>
      <c r="N4377">
        <v>0</v>
      </c>
      <c r="O4377">
        <v>174</v>
      </c>
      <c r="P4377">
        <v>0</v>
      </c>
    </row>
    <row r="4378" spans="1:16" x14ac:dyDescent="0.25">
      <c r="A4378" t="s">
        <v>26783</v>
      </c>
      <c r="B4378" t="s">
        <v>4647</v>
      </c>
      <c r="C4378" t="s">
        <v>4648</v>
      </c>
      <c r="D4378" t="str">
        <f>"1204"</f>
        <v>1204</v>
      </c>
      <c r="E4378" t="s">
        <v>4649</v>
      </c>
      <c r="F4378" t="s">
        <v>3670</v>
      </c>
      <c r="G4378" t="s">
        <v>16224</v>
      </c>
      <c r="H4378" t="s">
        <v>47055</v>
      </c>
      <c r="I4378" t="s">
        <v>47120</v>
      </c>
      <c r="J4378" t="s">
        <v>47121</v>
      </c>
      <c r="K4378" t="s">
        <v>47113</v>
      </c>
      <c r="L4378">
        <v>58.45</v>
      </c>
      <c r="M4378">
        <v>174</v>
      </c>
      <c r="N4378">
        <v>0</v>
      </c>
      <c r="O4378">
        <v>174</v>
      </c>
      <c r="P4378">
        <v>0</v>
      </c>
    </row>
    <row r="4379" spans="1:16" x14ac:dyDescent="0.25">
      <c r="A4379" t="s">
        <v>26784</v>
      </c>
      <c r="B4379" t="s">
        <v>4650</v>
      </c>
      <c r="C4379" t="s">
        <v>4648</v>
      </c>
      <c r="D4379" t="str">
        <f>"1001"</f>
        <v>1001</v>
      </c>
      <c r="E4379" t="s">
        <v>42</v>
      </c>
      <c r="F4379" t="s">
        <v>3670</v>
      </c>
      <c r="G4379" t="s">
        <v>16224</v>
      </c>
      <c r="H4379" t="s">
        <v>47055</v>
      </c>
      <c r="I4379" t="s">
        <v>47120</v>
      </c>
      <c r="J4379" t="s">
        <v>47121</v>
      </c>
      <c r="K4379" t="s">
        <v>47113</v>
      </c>
      <c r="L4379">
        <v>56.47</v>
      </c>
      <c r="M4379">
        <v>168</v>
      </c>
      <c r="N4379">
        <v>0</v>
      </c>
      <c r="O4379">
        <v>168</v>
      </c>
      <c r="P4379">
        <v>0</v>
      </c>
    </row>
    <row r="4380" spans="1:16" x14ac:dyDescent="0.25">
      <c r="A4380" t="s">
        <v>26785</v>
      </c>
      <c r="B4380" t="s">
        <v>4650</v>
      </c>
      <c r="C4380" t="s">
        <v>4648</v>
      </c>
      <c r="D4380" t="str">
        <f>"1204"</f>
        <v>1204</v>
      </c>
      <c r="E4380" t="s">
        <v>4649</v>
      </c>
      <c r="F4380" t="s">
        <v>3670</v>
      </c>
      <c r="G4380" t="s">
        <v>16224</v>
      </c>
      <c r="H4380" t="s">
        <v>47055</v>
      </c>
      <c r="I4380" t="s">
        <v>47120</v>
      </c>
      <c r="J4380" t="s">
        <v>47121</v>
      </c>
      <c r="K4380" t="s">
        <v>47113</v>
      </c>
      <c r="L4380">
        <v>56.47</v>
      </c>
      <c r="M4380">
        <v>168</v>
      </c>
      <c r="N4380">
        <v>0</v>
      </c>
      <c r="O4380">
        <v>168</v>
      </c>
      <c r="P4380">
        <v>0</v>
      </c>
    </row>
    <row r="4381" spans="1:16" x14ac:dyDescent="0.25">
      <c r="A4381" t="s">
        <v>26786</v>
      </c>
      <c r="B4381" t="s">
        <v>4651</v>
      </c>
      <c r="C4381" t="s">
        <v>4652</v>
      </c>
      <c r="D4381" t="str">
        <f>"1106"</f>
        <v>1106</v>
      </c>
      <c r="E4381" t="s">
        <v>460</v>
      </c>
      <c r="F4381" t="s">
        <v>3670</v>
      </c>
      <c r="G4381" t="s">
        <v>46686</v>
      </c>
      <c r="H4381" t="s">
        <v>47055</v>
      </c>
      <c r="I4381" t="s">
        <v>47127</v>
      </c>
      <c r="J4381" t="s">
        <v>47128</v>
      </c>
      <c r="K4381" t="s">
        <v>47113</v>
      </c>
      <c r="L4381">
        <v>9.82</v>
      </c>
      <c r="M4381">
        <v>29</v>
      </c>
      <c r="N4381">
        <v>0</v>
      </c>
      <c r="O4381">
        <v>29</v>
      </c>
      <c r="P4381">
        <v>0</v>
      </c>
    </row>
    <row r="4382" spans="1:16" x14ac:dyDescent="0.25">
      <c r="A4382" t="s">
        <v>26787</v>
      </c>
      <c r="B4382" t="s">
        <v>4651</v>
      </c>
      <c r="C4382" t="s">
        <v>4652</v>
      </c>
      <c r="D4382" t="str">
        <f>"4643"</f>
        <v>4643</v>
      </c>
      <c r="E4382" t="s">
        <v>205</v>
      </c>
      <c r="F4382" t="s">
        <v>3670</v>
      </c>
      <c r="G4382" t="s">
        <v>46686</v>
      </c>
      <c r="H4382" t="s">
        <v>47055</v>
      </c>
      <c r="I4382" t="s">
        <v>47127</v>
      </c>
      <c r="J4382" t="s">
        <v>47128</v>
      </c>
      <c r="K4382" t="s">
        <v>47113</v>
      </c>
      <c r="L4382">
        <v>31.88</v>
      </c>
      <c r="M4382">
        <v>70</v>
      </c>
      <c r="N4382">
        <v>0</v>
      </c>
      <c r="O4382">
        <v>70</v>
      </c>
      <c r="P4382">
        <v>0</v>
      </c>
    </row>
    <row r="4383" spans="1:16" x14ac:dyDescent="0.25">
      <c r="A4383" t="s">
        <v>26788</v>
      </c>
      <c r="B4383" t="s">
        <v>4653</v>
      </c>
      <c r="C4383" t="s">
        <v>2241</v>
      </c>
      <c r="D4383" t="str">
        <f>"1106"</f>
        <v>1106</v>
      </c>
      <c r="E4383" t="s">
        <v>460</v>
      </c>
      <c r="F4383" t="s">
        <v>3670</v>
      </c>
      <c r="G4383" t="s">
        <v>46686</v>
      </c>
      <c r="H4383" t="s">
        <v>47055</v>
      </c>
      <c r="I4383" t="s">
        <v>47127</v>
      </c>
      <c r="J4383" t="s">
        <v>47128</v>
      </c>
      <c r="K4383" t="s">
        <v>47113</v>
      </c>
      <c r="L4383">
        <v>32.83</v>
      </c>
      <c r="M4383">
        <v>72</v>
      </c>
      <c r="N4383">
        <v>0</v>
      </c>
      <c r="O4383">
        <v>72</v>
      </c>
      <c r="P4383">
        <v>0</v>
      </c>
    </row>
    <row r="4384" spans="1:16" x14ac:dyDescent="0.25">
      <c r="A4384" t="s">
        <v>26789</v>
      </c>
      <c r="B4384" t="s">
        <v>4653</v>
      </c>
      <c r="C4384" t="s">
        <v>2241</v>
      </c>
      <c r="D4384" t="str">
        <f>"4643"</f>
        <v>4643</v>
      </c>
      <c r="E4384" t="s">
        <v>205</v>
      </c>
      <c r="F4384" t="s">
        <v>3670</v>
      </c>
      <c r="G4384" t="s">
        <v>46686</v>
      </c>
      <c r="H4384" t="s">
        <v>47055</v>
      </c>
      <c r="I4384" t="s">
        <v>47127</v>
      </c>
      <c r="J4384" t="s">
        <v>47128</v>
      </c>
      <c r="K4384" t="s">
        <v>47113</v>
      </c>
      <c r="L4384">
        <v>32.83</v>
      </c>
      <c r="M4384">
        <v>72</v>
      </c>
      <c r="N4384">
        <v>0</v>
      </c>
      <c r="O4384">
        <v>72</v>
      </c>
      <c r="P4384">
        <v>0</v>
      </c>
    </row>
    <row r="4385" spans="1:16" x14ac:dyDescent="0.25">
      <c r="A4385" t="s">
        <v>26790</v>
      </c>
      <c r="B4385" t="s">
        <v>4654</v>
      </c>
      <c r="C4385" t="s">
        <v>2280</v>
      </c>
      <c r="D4385" t="str">
        <f>"1106"</f>
        <v>1106</v>
      </c>
      <c r="E4385" t="s">
        <v>460</v>
      </c>
      <c r="F4385" t="s">
        <v>3670</v>
      </c>
      <c r="G4385" t="s">
        <v>46686</v>
      </c>
      <c r="H4385" t="s">
        <v>47055</v>
      </c>
      <c r="I4385" t="s">
        <v>47127</v>
      </c>
      <c r="J4385" t="s">
        <v>47128</v>
      </c>
      <c r="K4385" t="s">
        <v>47113</v>
      </c>
      <c r="L4385">
        <v>35.22</v>
      </c>
      <c r="M4385">
        <v>77</v>
      </c>
      <c r="N4385">
        <v>0</v>
      </c>
      <c r="O4385">
        <v>77</v>
      </c>
      <c r="P4385">
        <v>0</v>
      </c>
    </row>
    <row r="4386" spans="1:16" x14ac:dyDescent="0.25">
      <c r="A4386" t="s">
        <v>26791</v>
      </c>
      <c r="B4386" t="s">
        <v>4654</v>
      </c>
      <c r="C4386" t="s">
        <v>2280</v>
      </c>
      <c r="D4386" t="str">
        <f>"4643"</f>
        <v>4643</v>
      </c>
      <c r="E4386" t="s">
        <v>205</v>
      </c>
      <c r="F4386" t="s">
        <v>3670</v>
      </c>
      <c r="G4386" t="s">
        <v>46686</v>
      </c>
      <c r="H4386" t="s">
        <v>47055</v>
      </c>
      <c r="I4386" t="s">
        <v>47127</v>
      </c>
      <c r="J4386" t="s">
        <v>47128</v>
      </c>
      <c r="K4386" t="s">
        <v>47113</v>
      </c>
      <c r="L4386">
        <v>35.22</v>
      </c>
      <c r="M4386">
        <v>77</v>
      </c>
      <c r="N4386">
        <v>0</v>
      </c>
      <c r="O4386">
        <v>77</v>
      </c>
      <c r="P4386">
        <v>0</v>
      </c>
    </row>
    <row r="4387" spans="1:16" x14ac:dyDescent="0.25">
      <c r="A4387" t="s">
        <v>26792</v>
      </c>
      <c r="B4387" t="s">
        <v>4655</v>
      </c>
      <c r="C4387" t="s">
        <v>4656</v>
      </c>
      <c r="D4387" t="str">
        <f>"1106"</f>
        <v>1106</v>
      </c>
      <c r="E4387" t="s">
        <v>460</v>
      </c>
      <c r="F4387" t="s">
        <v>3670</v>
      </c>
      <c r="G4387" t="s">
        <v>16221</v>
      </c>
      <c r="H4387" t="s">
        <v>47055</v>
      </c>
      <c r="I4387" t="s">
        <v>47127</v>
      </c>
      <c r="J4387" t="s">
        <v>47128</v>
      </c>
      <c r="K4387" t="s">
        <v>47113</v>
      </c>
      <c r="L4387">
        <v>13.01</v>
      </c>
      <c r="M4387">
        <v>25</v>
      </c>
      <c r="N4387">
        <v>0</v>
      </c>
      <c r="O4387">
        <v>25</v>
      </c>
      <c r="P4387">
        <v>0</v>
      </c>
    </row>
    <row r="4388" spans="1:16" x14ac:dyDescent="0.25">
      <c r="A4388" t="s">
        <v>26793</v>
      </c>
      <c r="B4388" t="s">
        <v>4655</v>
      </c>
      <c r="C4388" t="s">
        <v>4656</v>
      </c>
      <c r="D4388" t="str">
        <f>"1377"</f>
        <v>1377</v>
      </c>
      <c r="E4388" t="s">
        <v>74</v>
      </c>
      <c r="F4388" t="s">
        <v>3670</v>
      </c>
      <c r="G4388" t="s">
        <v>16221</v>
      </c>
      <c r="H4388" t="s">
        <v>47055</v>
      </c>
      <c r="I4388" t="s">
        <v>47127</v>
      </c>
      <c r="J4388" t="s">
        <v>47128</v>
      </c>
      <c r="K4388" t="s">
        <v>47113</v>
      </c>
      <c r="L4388">
        <v>13.01</v>
      </c>
      <c r="M4388">
        <v>25</v>
      </c>
      <c r="N4388">
        <v>0</v>
      </c>
      <c r="O4388">
        <v>25</v>
      </c>
      <c r="P4388">
        <v>0</v>
      </c>
    </row>
    <row r="4389" spans="1:16" x14ac:dyDescent="0.25">
      <c r="A4389" t="s">
        <v>26794</v>
      </c>
      <c r="B4389" t="s">
        <v>4655</v>
      </c>
      <c r="C4389" t="s">
        <v>4656</v>
      </c>
      <c r="D4389" t="str">
        <f>"1378"</f>
        <v>1378</v>
      </c>
      <c r="E4389" t="s">
        <v>388</v>
      </c>
      <c r="F4389" t="s">
        <v>3670</v>
      </c>
      <c r="G4389" t="s">
        <v>16221</v>
      </c>
      <c r="H4389" t="s">
        <v>47055</v>
      </c>
      <c r="I4389" t="s">
        <v>47127</v>
      </c>
      <c r="J4389" t="s">
        <v>47128</v>
      </c>
      <c r="K4389" t="s">
        <v>47113</v>
      </c>
      <c r="L4389">
        <v>13.01</v>
      </c>
      <c r="M4389">
        <v>25</v>
      </c>
      <c r="N4389">
        <v>0</v>
      </c>
      <c r="O4389">
        <v>25</v>
      </c>
      <c r="P4389">
        <v>0</v>
      </c>
    </row>
    <row r="4390" spans="1:16" x14ac:dyDescent="0.25">
      <c r="A4390" t="s">
        <v>26795</v>
      </c>
      <c r="B4390" t="s">
        <v>4655</v>
      </c>
      <c r="C4390" t="s">
        <v>4656</v>
      </c>
      <c r="D4390" t="str">
        <f>"1403"</f>
        <v>1403</v>
      </c>
      <c r="E4390" t="s">
        <v>224</v>
      </c>
      <c r="F4390" t="s">
        <v>3670</v>
      </c>
      <c r="G4390" t="s">
        <v>16221</v>
      </c>
      <c r="H4390" t="s">
        <v>47055</v>
      </c>
      <c r="I4390" t="s">
        <v>47127</v>
      </c>
      <c r="J4390" t="s">
        <v>47128</v>
      </c>
      <c r="K4390" t="s">
        <v>47113</v>
      </c>
      <c r="L4390">
        <v>13.01</v>
      </c>
      <c r="M4390">
        <v>25</v>
      </c>
      <c r="N4390">
        <v>0</v>
      </c>
      <c r="O4390">
        <v>25</v>
      </c>
      <c r="P4390">
        <v>0</v>
      </c>
    </row>
    <row r="4391" spans="1:16" x14ac:dyDescent="0.25">
      <c r="A4391" t="s">
        <v>26796</v>
      </c>
      <c r="B4391" t="s">
        <v>4655</v>
      </c>
      <c r="C4391" t="s">
        <v>4656</v>
      </c>
      <c r="D4391" t="str">
        <f>"1700"</f>
        <v>1700</v>
      </c>
      <c r="E4391" t="s">
        <v>60</v>
      </c>
      <c r="F4391" t="s">
        <v>3670</v>
      </c>
      <c r="G4391" t="s">
        <v>16221</v>
      </c>
      <c r="H4391" t="s">
        <v>47055</v>
      </c>
      <c r="I4391" t="s">
        <v>47127</v>
      </c>
      <c r="J4391" t="s">
        <v>47128</v>
      </c>
      <c r="K4391" t="s">
        <v>47113</v>
      </c>
      <c r="L4391">
        <v>13.01</v>
      </c>
      <c r="M4391">
        <v>25</v>
      </c>
      <c r="N4391">
        <v>0</v>
      </c>
      <c r="O4391">
        <v>25</v>
      </c>
      <c r="P4391">
        <v>0</v>
      </c>
    </row>
    <row r="4392" spans="1:16" x14ac:dyDescent="0.25">
      <c r="A4392" t="s">
        <v>26797</v>
      </c>
      <c r="B4392" t="s">
        <v>4655</v>
      </c>
      <c r="C4392" t="s">
        <v>4656</v>
      </c>
      <c r="D4392" t="str">
        <f>"3501"</f>
        <v>3501</v>
      </c>
      <c r="E4392" t="s">
        <v>3758</v>
      </c>
      <c r="F4392" t="s">
        <v>3670</v>
      </c>
      <c r="G4392" t="s">
        <v>16221</v>
      </c>
      <c r="H4392" t="s">
        <v>47055</v>
      </c>
      <c r="I4392" t="s">
        <v>47127</v>
      </c>
      <c r="J4392" t="s">
        <v>47128</v>
      </c>
      <c r="K4392" t="s">
        <v>47113</v>
      </c>
      <c r="L4392">
        <v>13.01</v>
      </c>
      <c r="M4392">
        <v>25</v>
      </c>
      <c r="N4392">
        <v>0</v>
      </c>
      <c r="O4392">
        <v>25</v>
      </c>
      <c r="P4392">
        <v>0</v>
      </c>
    </row>
    <row r="4393" spans="1:16" x14ac:dyDescent="0.25">
      <c r="A4393" t="s">
        <v>26798</v>
      </c>
      <c r="B4393" t="s">
        <v>4655</v>
      </c>
      <c r="C4393" t="s">
        <v>4656</v>
      </c>
      <c r="D4393" t="str">
        <f>"4643"</f>
        <v>4643</v>
      </c>
      <c r="E4393" t="s">
        <v>205</v>
      </c>
      <c r="F4393" t="s">
        <v>3670</v>
      </c>
      <c r="G4393" t="s">
        <v>16221</v>
      </c>
      <c r="H4393" t="s">
        <v>47055</v>
      </c>
      <c r="I4393" t="s">
        <v>47127</v>
      </c>
      <c r="J4393" t="s">
        <v>47128</v>
      </c>
      <c r="K4393" t="s">
        <v>47113</v>
      </c>
      <c r="L4393">
        <v>13.01</v>
      </c>
      <c r="M4393">
        <v>25</v>
      </c>
      <c r="N4393">
        <v>0</v>
      </c>
      <c r="O4393">
        <v>25</v>
      </c>
      <c r="P4393">
        <v>0</v>
      </c>
    </row>
    <row r="4394" spans="1:16" x14ac:dyDescent="0.25">
      <c r="A4394" t="s">
        <v>26799</v>
      </c>
      <c r="B4394" t="s">
        <v>4655</v>
      </c>
      <c r="C4394" t="s">
        <v>4656</v>
      </c>
      <c r="D4394" t="str">
        <f>"4753"</f>
        <v>4753</v>
      </c>
      <c r="E4394" t="s">
        <v>3755</v>
      </c>
      <c r="F4394" t="s">
        <v>3670</v>
      </c>
      <c r="G4394" t="s">
        <v>16221</v>
      </c>
      <c r="H4394" t="s">
        <v>47055</v>
      </c>
      <c r="I4394" t="s">
        <v>47127</v>
      </c>
      <c r="J4394" t="s">
        <v>47128</v>
      </c>
      <c r="K4394" t="s">
        <v>47113</v>
      </c>
      <c r="L4394">
        <v>13.01</v>
      </c>
      <c r="M4394">
        <v>25</v>
      </c>
      <c r="N4394">
        <v>0</v>
      </c>
      <c r="O4394">
        <v>25</v>
      </c>
      <c r="P4394">
        <v>0</v>
      </c>
    </row>
    <row r="4395" spans="1:16" x14ac:dyDescent="0.25">
      <c r="A4395" t="s">
        <v>26800</v>
      </c>
      <c r="B4395" t="s">
        <v>4655</v>
      </c>
      <c r="C4395" t="s">
        <v>4656</v>
      </c>
      <c r="D4395" t="str">
        <f>"6064"</f>
        <v>6064</v>
      </c>
      <c r="E4395" t="s">
        <v>87</v>
      </c>
      <c r="F4395" t="s">
        <v>3670</v>
      </c>
      <c r="G4395" t="s">
        <v>16221</v>
      </c>
      <c r="H4395" t="s">
        <v>47055</v>
      </c>
      <c r="I4395" t="s">
        <v>47127</v>
      </c>
      <c r="J4395" t="s">
        <v>47128</v>
      </c>
      <c r="K4395" t="s">
        <v>47113</v>
      </c>
      <c r="L4395">
        <v>13.01</v>
      </c>
      <c r="M4395">
        <v>25</v>
      </c>
      <c r="N4395">
        <v>0</v>
      </c>
      <c r="O4395">
        <v>25</v>
      </c>
      <c r="P4395">
        <v>0</v>
      </c>
    </row>
    <row r="4396" spans="1:16" x14ac:dyDescent="0.25">
      <c r="A4396" t="s">
        <v>26801</v>
      </c>
      <c r="B4396" t="s">
        <v>4655</v>
      </c>
      <c r="C4396" t="s">
        <v>4656</v>
      </c>
      <c r="D4396" t="str">
        <f>"8039"</f>
        <v>8039</v>
      </c>
      <c r="E4396" t="s">
        <v>4631</v>
      </c>
      <c r="F4396" t="s">
        <v>3670</v>
      </c>
      <c r="G4396" t="s">
        <v>16221</v>
      </c>
      <c r="H4396" t="s">
        <v>47055</v>
      </c>
      <c r="I4396" t="s">
        <v>47127</v>
      </c>
      <c r="J4396" t="s">
        <v>47128</v>
      </c>
      <c r="K4396" t="s">
        <v>47113</v>
      </c>
      <c r="L4396">
        <v>13.01</v>
      </c>
      <c r="M4396">
        <v>25</v>
      </c>
      <c r="N4396">
        <v>0</v>
      </c>
      <c r="O4396">
        <v>25</v>
      </c>
      <c r="P4396">
        <v>0</v>
      </c>
    </row>
    <row r="4397" spans="1:16" x14ac:dyDescent="0.25">
      <c r="A4397" t="s">
        <v>26802</v>
      </c>
      <c r="B4397" t="s">
        <v>4657</v>
      </c>
      <c r="C4397" t="s">
        <v>4658</v>
      </c>
      <c r="D4397" t="str">
        <f>"1106"</f>
        <v>1106</v>
      </c>
      <c r="E4397" t="s">
        <v>460</v>
      </c>
      <c r="F4397" t="s">
        <v>3670</v>
      </c>
      <c r="G4397" t="s">
        <v>16221</v>
      </c>
      <c r="H4397" t="s">
        <v>47055</v>
      </c>
      <c r="I4397" t="s">
        <v>47127</v>
      </c>
      <c r="J4397" t="s">
        <v>47128</v>
      </c>
      <c r="K4397" t="s">
        <v>47113</v>
      </c>
      <c r="L4397">
        <v>13.01</v>
      </c>
      <c r="M4397">
        <v>25</v>
      </c>
      <c r="N4397">
        <v>0</v>
      </c>
      <c r="O4397">
        <v>25</v>
      </c>
      <c r="P4397">
        <v>0</v>
      </c>
    </row>
    <row r="4398" spans="1:16" x14ac:dyDescent="0.25">
      <c r="A4398" t="s">
        <v>26803</v>
      </c>
      <c r="B4398" t="s">
        <v>4657</v>
      </c>
      <c r="C4398" t="s">
        <v>4658</v>
      </c>
      <c r="D4398" t="str">
        <f>"1377"</f>
        <v>1377</v>
      </c>
      <c r="E4398" t="s">
        <v>74</v>
      </c>
      <c r="F4398" t="s">
        <v>3670</v>
      </c>
      <c r="G4398" t="s">
        <v>16221</v>
      </c>
      <c r="H4398" t="s">
        <v>47055</v>
      </c>
      <c r="I4398" t="s">
        <v>47127</v>
      </c>
      <c r="J4398" t="s">
        <v>47128</v>
      </c>
      <c r="K4398" t="s">
        <v>47113</v>
      </c>
      <c r="L4398">
        <v>13.01</v>
      </c>
      <c r="M4398">
        <v>25</v>
      </c>
      <c r="N4398">
        <v>0</v>
      </c>
      <c r="O4398">
        <v>25</v>
      </c>
      <c r="P4398">
        <v>0</v>
      </c>
    </row>
    <row r="4399" spans="1:16" x14ac:dyDescent="0.25">
      <c r="A4399" t="s">
        <v>26804</v>
      </c>
      <c r="B4399" t="s">
        <v>4657</v>
      </c>
      <c r="C4399" t="s">
        <v>4658</v>
      </c>
      <c r="D4399" t="str">
        <f>"1378"</f>
        <v>1378</v>
      </c>
      <c r="E4399" t="s">
        <v>388</v>
      </c>
      <c r="F4399" t="s">
        <v>3670</v>
      </c>
      <c r="G4399" t="s">
        <v>16221</v>
      </c>
      <c r="H4399" t="s">
        <v>47055</v>
      </c>
      <c r="I4399" t="s">
        <v>47127</v>
      </c>
      <c r="J4399" t="s">
        <v>47128</v>
      </c>
      <c r="K4399" t="s">
        <v>47113</v>
      </c>
      <c r="L4399">
        <v>13.01</v>
      </c>
      <c r="M4399">
        <v>25</v>
      </c>
      <c r="N4399">
        <v>0</v>
      </c>
      <c r="O4399">
        <v>25</v>
      </c>
      <c r="P4399">
        <v>0</v>
      </c>
    </row>
    <row r="4400" spans="1:16" x14ac:dyDescent="0.25">
      <c r="A4400" t="s">
        <v>26805</v>
      </c>
      <c r="B4400" t="s">
        <v>4657</v>
      </c>
      <c r="C4400" t="s">
        <v>4658</v>
      </c>
      <c r="D4400" t="str">
        <f>"1403"</f>
        <v>1403</v>
      </c>
      <c r="E4400" t="s">
        <v>224</v>
      </c>
      <c r="F4400" t="s">
        <v>3670</v>
      </c>
      <c r="G4400" t="s">
        <v>16221</v>
      </c>
      <c r="H4400" t="s">
        <v>47055</v>
      </c>
      <c r="I4400" t="s">
        <v>47127</v>
      </c>
      <c r="J4400" t="s">
        <v>47128</v>
      </c>
      <c r="K4400" t="s">
        <v>47113</v>
      </c>
      <c r="L4400">
        <v>13.01</v>
      </c>
      <c r="M4400">
        <v>25</v>
      </c>
      <c r="N4400">
        <v>0</v>
      </c>
      <c r="O4400">
        <v>25</v>
      </c>
      <c r="P4400">
        <v>0</v>
      </c>
    </row>
    <row r="4401" spans="1:16" x14ac:dyDescent="0.25">
      <c r="A4401" t="s">
        <v>26806</v>
      </c>
      <c r="B4401" t="s">
        <v>4657</v>
      </c>
      <c r="C4401" t="s">
        <v>4658</v>
      </c>
      <c r="D4401" t="str">
        <f>"1700"</f>
        <v>1700</v>
      </c>
      <c r="E4401" t="s">
        <v>60</v>
      </c>
      <c r="F4401" t="s">
        <v>3670</v>
      </c>
      <c r="G4401" t="s">
        <v>16221</v>
      </c>
      <c r="H4401" t="s">
        <v>47055</v>
      </c>
      <c r="I4401" t="s">
        <v>47127</v>
      </c>
      <c r="J4401" t="s">
        <v>47128</v>
      </c>
      <c r="K4401" t="s">
        <v>47113</v>
      </c>
      <c r="L4401">
        <v>13.01</v>
      </c>
      <c r="M4401">
        <v>25</v>
      </c>
      <c r="N4401">
        <v>0</v>
      </c>
      <c r="O4401">
        <v>25</v>
      </c>
      <c r="P4401">
        <v>0</v>
      </c>
    </row>
    <row r="4402" spans="1:16" x14ac:dyDescent="0.25">
      <c r="A4402" t="s">
        <v>26807</v>
      </c>
      <c r="B4402" t="s">
        <v>4657</v>
      </c>
      <c r="C4402" t="s">
        <v>4658</v>
      </c>
      <c r="D4402" t="str">
        <f>"3501"</f>
        <v>3501</v>
      </c>
      <c r="E4402" t="s">
        <v>3758</v>
      </c>
      <c r="F4402" t="s">
        <v>3670</v>
      </c>
      <c r="G4402" t="s">
        <v>16221</v>
      </c>
      <c r="H4402" t="s">
        <v>47055</v>
      </c>
      <c r="I4402" t="s">
        <v>47127</v>
      </c>
      <c r="J4402" t="s">
        <v>47128</v>
      </c>
      <c r="K4402" t="s">
        <v>47113</v>
      </c>
      <c r="L4402">
        <v>13.01</v>
      </c>
      <c r="M4402">
        <v>25</v>
      </c>
      <c r="N4402">
        <v>0</v>
      </c>
      <c r="O4402">
        <v>25</v>
      </c>
      <c r="P4402">
        <v>0</v>
      </c>
    </row>
    <row r="4403" spans="1:16" x14ac:dyDescent="0.25">
      <c r="A4403" t="s">
        <v>26808</v>
      </c>
      <c r="B4403" t="s">
        <v>4657</v>
      </c>
      <c r="C4403" t="s">
        <v>4658</v>
      </c>
      <c r="D4403" t="str">
        <f>"4643"</f>
        <v>4643</v>
      </c>
      <c r="E4403" t="s">
        <v>205</v>
      </c>
      <c r="F4403" t="s">
        <v>3670</v>
      </c>
      <c r="G4403" t="s">
        <v>16221</v>
      </c>
      <c r="H4403" t="s">
        <v>47055</v>
      </c>
      <c r="I4403" t="s">
        <v>47127</v>
      </c>
      <c r="J4403" t="s">
        <v>47128</v>
      </c>
      <c r="K4403" t="s">
        <v>47113</v>
      </c>
      <c r="L4403">
        <v>13.01</v>
      </c>
      <c r="M4403">
        <v>25</v>
      </c>
      <c r="N4403">
        <v>0</v>
      </c>
      <c r="O4403">
        <v>25</v>
      </c>
      <c r="P4403">
        <v>0</v>
      </c>
    </row>
    <row r="4404" spans="1:16" x14ac:dyDescent="0.25">
      <c r="A4404" t="s">
        <v>26809</v>
      </c>
      <c r="B4404" t="s">
        <v>4657</v>
      </c>
      <c r="C4404" t="s">
        <v>4658</v>
      </c>
      <c r="D4404" t="str">
        <f>"4753"</f>
        <v>4753</v>
      </c>
      <c r="E4404" t="s">
        <v>3755</v>
      </c>
      <c r="F4404" t="s">
        <v>3670</v>
      </c>
      <c r="G4404" t="s">
        <v>16221</v>
      </c>
      <c r="H4404" t="s">
        <v>47055</v>
      </c>
      <c r="I4404" t="s">
        <v>47127</v>
      </c>
      <c r="J4404" t="s">
        <v>47128</v>
      </c>
      <c r="K4404" t="s">
        <v>47113</v>
      </c>
      <c r="L4404">
        <v>13.01</v>
      </c>
      <c r="M4404">
        <v>25</v>
      </c>
      <c r="N4404">
        <v>0</v>
      </c>
      <c r="O4404">
        <v>25</v>
      </c>
      <c r="P4404">
        <v>0</v>
      </c>
    </row>
    <row r="4405" spans="1:16" x14ac:dyDescent="0.25">
      <c r="A4405" t="s">
        <v>26810</v>
      </c>
      <c r="B4405" t="s">
        <v>4657</v>
      </c>
      <c r="C4405" t="s">
        <v>4658</v>
      </c>
      <c r="D4405" t="str">
        <f>"6064"</f>
        <v>6064</v>
      </c>
      <c r="E4405" t="s">
        <v>87</v>
      </c>
      <c r="F4405" t="s">
        <v>3670</v>
      </c>
      <c r="G4405" t="s">
        <v>16221</v>
      </c>
      <c r="H4405" t="s">
        <v>47055</v>
      </c>
      <c r="I4405" t="s">
        <v>47127</v>
      </c>
      <c r="J4405" t="s">
        <v>47128</v>
      </c>
      <c r="K4405" t="s">
        <v>47113</v>
      </c>
      <c r="L4405">
        <v>13.01</v>
      </c>
      <c r="M4405">
        <v>25</v>
      </c>
      <c r="N4405">
        <v>0</v>
      </c>
      <c r="O4405">
        <v>25</v>
      </c>
      <c r="P4405">
        <v>0</v>
      </c>
    </row>
    <row r="4406" spans="1:16" x14ac:dyDescent="0.25">
      <c r="A4406" t="s">
        <v>26811</v>
      </c>
      <c r="B4406" t="s">
        <v>4657</v>
      </c>
      <c r="C4406" t="s">
        <v>4658</v>
      </c>
      <c r="D4406" t="str">
        <f>"8039"</f>
        <v>8039</v>
      </c>
      <c r="E4406" t="s">
        <v>4631</v>
      </c>
      <c r="F4406" t="s">
        <v>3670</v>
      </c>
      <c r="G4406" t="s">
        <v>16221</v>
      </c>
      <c r="H4406" t="s">
        <v>47055</v>
      </c>
      <c r="I4406" t="s">
        <v>47127</v>
      </c>
      <c r="J4406" t="s">
        <v>47128</v>
      </c>
      <c r="K4406" t="s">
        <v>47113</v>
      </c>
      <c r="L4406">
        <v>13.01</v>
      </c>
      <c r="M4406">
        <v>25</v>
      </c>
      <c r="N4406">
        <v>0</v>
      </c>
      <c r="O4406">
        <v>25</v>
      </c>
      <c r="P4406">
        <v>0</v>
      </c>
    </row>
    <row r="4407" spans="1:16" x14ac:dyDescent="0.25">
      <c r="A4407" t="s">
        <v>26812</v>
      </c>
      <c r="B4407" t="s">
        <v>4659</v>
      </c>
      <c r="C4407" t="s">
        <v>4660</v>
      </c>
      <c r="D4407" t="str">
        <f>"1377"</f>
        <v>1377</v>
      </c>
      <c r="E4407" t="s">
        <v>74</v>
      </c>
      <c r="F4407" t="s">
        <v>3670</v>
      </c>
      <c r="G4407" t="s">
        <v>16221</v>
      </c>
      <c r="H4407" t="s">
        <v>47055</v>
      </c>
      <c r="I4407" t="s">
        <v>47127</v>
      </c>
      <c r="J4407" t="s">
        <v>47128</v>
      </c>
      <c r="K4407" t="s">
        <v>47113</v>
      </c>
      <c r="L4407">
        <v>13.01</v>
      </c>
      <c r="M4407">
        <v>25</v>
      </c>
      <c r="N4407">
        <v>0</v>
      </c>
      <c r="O4407">
        <v>25</v>
      </c>
      <c r="P4407">
        <v>0</v>
      </c>
    </row>
    <row r="4408" spans="1:16" x14ac:dyDescent="0.25">
      <c r="A4408" t="s">
        <v>26813</v>
      </c>
      <c r="B4408" t="s">
        <v>4659</v>
      </c>
      <c r="C4408" t="s">
        <v>4660</v>
      </c>
      <c r="D4408" t="str">
        <f>"1378"</f>
        <v>1378</v>
      </c>
      <c r="E4408" t="s">
        <v>388</v>
      </c>
      <c r="F4408" t="s">
        <v>3670</v>
      </c>
      <c r="G4408" t="s">
        <v>16221</v>
      </c>
      <c r="H4408" t="s">
        <v>47055</v>
      </c>
      <c r="I4408" t="s">
        <v>47127</v>
      </c>
      <c r="J4408" t="s">
        <v>47128</v>
      </c>
      <c r="K4408" t="s">
        <v>47113</v>
      </c>
      <c r="L4408">
        <v>13.01</v>
      </c>
      <c r="M4408">
        <v>25</v>
      </c>
      <c r="N4408">
        <v>0</v>
      </c>
      <c r="O4408">
        <v>25</v>
      </c>
      <c r="P4408">
        <v>0</v>
      </c>
    </row>
    <row r="4409" spans="1:16" x14ac:dyDescent="0.25">
      <c r="A4409" t="s">
        <v>26814</v>
      </c>
      <c r="B4409" t="s">
        <v>4659</v>
      </c>
      <c r="C4409" t="s">
        <v>4660</v>
      </c>
      <c r="D4409" t="str">
        <f>"1403"</f>
        <v>1403</v>
      </c>
      <c r="E4409" t="s">
        <v>224</v>
      </c>
      <c r="F4409" t="s">
        <v>3670</v>
      </c>
      <c r="G4409" t="s">
        <v>16221</v>
      </c>
      <c r="H4409" t="s">
        <v>47055</v>
      </c>
      <c r="I4409" t="s">
        <v>47127</v>
      </c>
      <c r="J4409" t="s">
        <v>47128</v>
      </c>
      <c r="K4409" t="s">
        <v>47113</v>
      </c>
      <c r="L4409">
        <v>13.01</v>
      </c>
      <c r="M4409">
        <v>25</v>
      </c>
      <c r="N4409">
        <v>0</v>
      </c>
      <c r="O4409">
        <v>25</v>
      </c>
      <c r="P4409">
        <v>0</v>
      </c>
    </row>
    <row r="4410" spans="1:16" x14ac:dyDescent="0.25">
      <c r="A4410" t="s">
        <v>26815</v>
      </c>
      <c r="B4410" t="s">
        <v>4659</v>
      </c>
      <c r="C4410" t="s">
        <v>4660</v>
      </c>
      <c r="D4410" t="str">
        <f>"1700"</f>
        <v>1700</v>
      </c>
      <c r="E4410" t="s">
        <v>60</v>
      </c>
      <c r="F4410" t="s">
        <v>3670</v>
      </c>
      <c r="G4410" t="s">
        <v>16221</v>
      </c>
      <c r="H4410" t="s">
        <v>47055</v>
      </c>
      <c r="I4410" t="s">
        <v>47127</v>
      </c>
      <c r="J4410" t="s">
        <v>47128</v>
      </c>
      <c r="K4410" t="s">
        <v>47113</v>
      </c>
      <c r="L4410">
        <v>13.01</v>
      </c>
      <c r="M4410">
        <v>25</v>
      </c>
      <c r="N4410">
        <v>0</v>
      </c>
      <c r="O4410">
        <v>25</v>
      </c>
      <c r="P4410">
        <v>0</v>
      </c>
    </row>
    <row r="4411" spans="1:16" x14ac:dyDescent="0.25">
      <c r="A4411" t="s">
        <v>26816</v>
      </c>
      <c r="B4411" t="s">
        <v>4659</v>
      </c>
      <c r="C4411" t="s">
        <v>4660</v>
      </c>
      <c r="D4411" t="str">
        <f>"3501"</f>
        <v>3501</v>
      </c>
      <c r="E4411" t="s">
        <v>3758</v>
      </c>
      <c r="F4411" t="s">
        <v>3670</v>
      </c>
      <c r="G4411" t="s">
        <v>16221</v>
      </c>
      <c r="H4411" t="s">
        <v>47055</v>
      </c>
      <c r="I4411" t="s">
        <v>47127</v>
      </c>
      <c r="J4411" t="s">
        <v>47128</v>
      </c>
      <c r="K4411" t="s">
        <v>47113</v>
      </c>
      <c r="L4411">
        <v>13.01</v>
      </c>
      <c r="M4411">
        <v>25</v>
      </c>
      <c r="N4411">
        <v>0</v>
      </c>
      <c r="O4411">
        <v>25</v>
      </c>
      <c r="P4411">
        <v>0</v>
      </c>
    </row>
    <row r="4412" spans="1:16" x14ac:dyDescent="0.25">
      <c r="A4412" t="s">
        <v>26817</v>
      </c>
      <c r="B4412" t="s">
        <v>4659</v>
      </c>
      <c r="C4412" t="s">
        <v>4660</v>
      </c>
      <c r="D4412" t="str">
        <f>"4643"</f>
        <v>4643</v>
      </c>
      <c r="E4412" t="s">
        <v>205</v>
      </c>
      <c r="F4412" t="s">
        <v>3670</v>
      </c>
      <c r="G4412" t="s">
        <v>16221</v>
      </c>
      <c r="H4412" t="s">
        <v>47055</v>
      </c>
      <c r="I4412" t="s">
        <v>47127</v>
      </c>
      <c r="J4412" t="s">
        <v>47128</v>
      </c>
      <c r="K4412" t="s">
        <v>47113</v>
      </c>
      <c r="L4412">
        <v>13.01</v>
      </c>
      <c r="M4412">
        <v>25</v>
      </c>
      <c r="N4412">
        <v>0</v>
      </c>
      <c r="O4412">
        <v>25</v>
      </c>
      <c r="P4412">
        <v>0</v>
      </c>
    </row>
    <row r="4413" spans="1:16" x14ac:dyDescent="0.25">
      <c r="A4413" t="s">
        <v>26818</v>
      </c>
      <c r="B4413" t="s">
        <v>4659</v>
      </c>
      <c r="C4413" t="s">
        <v>4660</v>
      </c>
      <c r="D4413" t="str">
        <f>"4753"</f>
        <v>4753</v>
      </c>
      <c r="E4413" t="s">
        <v>3755</v>
      </c>
      <c r="F4413" t="s">
        <v>3670</v>
      </c>
      <c r="G4413" t="s">
        <v>16221</v>
      </c>
      <c r="H4413" t="s">
        <v>47055</v>
      </c>
      <c r="I4413" t="s">
        <v>47127</v>
      </c>
      <c r="J4413" t="s">
        <v>47128</v>
      </c>
      <c r="K4413" t="s">
        <v>47113</v>
      </c>
      <c r="L4413">
        <v>13.01</v>
      </c>
      <c r="M4413">
        <v>25</v>
      </c>
      <c r="N4413">
        <v>0</v>
      </c>
      <c r="O4413">
        <v>25</v>
      </c>
      <c r="P4413">
        <v>0</v>
      </c>
    </row>
    <row r="4414" spans="1:16" x14ac:dyDescent="0.25">
      <c r="A4414" t="s">
        <v>26819</v>
      </c>
      <c r="B4414" t="s">
        <v>4659</v>
      </c>
      <c r="C4414" t="s">
        <v>4660</v>
      </c>
      <c r="D4414" t="str">
        <f>"6064"</f>
        <v>6064</v>
      </c>
      <c r="E4414" t="s">
        <v>87</v>
      </c>
      <c r="F4414" t="s">
        <v>3670</v>
      </c>
      <c r="G4414" t="s">
        <v>16221</v>
      </c>
      <c r="H4414" t="s">
        <v>47055</v>
      </c>
      <c r="I4414" t="s">
        <v>47127</v>
      </c>
      <c r="J4414" t="s">
        <v>47128</v>
      </c>
      <c r="K4414" t="s">
        <v>47113</v>
      </c>
      <c r="L4414">
        <v>13.01</v>
      </c>
      <c r="M4414">
        <v>25</v>
      </c>
      <c r="N4414">
        <v>0</v>
      </c>
      <c r="O4414">
        <v>25</v>
      </c>
      <c r="P4414">
        <v>0</v>
      </c>
    </row>
    <row r="4415" spans="1:16" x14ac:dyDescent="0.25">
      <c r="A4415" t="s">
        <v>26820</v>
      </c>
      <c r="B4415" t="s">
        <v>4661</v>
      </c>
      <c r="C4415" t="s">
        <v>4662</v>
      </c>
      <c r="D4415" t="str">
        <f>"1106"</f>
        <v>1106</v>
      </c>
      <c r="E4415" t="s">
        <v>460</v>
      </c>
      <c r="F4415" t="s">
        <v>3670</v>
      </c>
      <c r="G4415" t="s">
        <v>16221</v>
      </c>
      <c r="H4415" t="s">
        <v>47055</v>
      </c>
      <c r="I4415" t="s">
        <v>47127</v>
      </c>
      <c r="J4415" t="s">
        <v>47128</v>
      </c>
      <c r="K4415" t="s">
        <v>47113</v>
      </c>
      <c r="L4415">
        <v>13.01</v>
      </c>
      <c r="M4415">
        <v>25</v>
      </c>
      <c r="N4415">
        <v>0</v>
      </c>
      <c r="O4415">
        <v>25</v>
      </c>
      <c r="P4415">
        <v>0</v>
      </c>
    </row>
    <row r="4416" spans="1:16" x14ac:dyDescent="0.25">
      <c r="A4416" t="s">
        <v>26821</v>
      </c>
      <c r="B4416" t="s">
        <v>4661</v>
      </c>
      <c r="C4416" t="s">
        <v>4662</v>
      </c>
      <c r="D4416" t="str">
        <f>"1377"</f>
        <v>1377</v>
      </c>
      <c r="E4416" t="s">
        <v>74</v>
      </c>
      <c r="F4416" t="s">
        <v>3670</v>
      </c>
      <c r="G4416" t="s">
        <v>16221</v>
      </c>
      <c r="H4416" t="s">
        <v>47055</v>
      </c>
      <c r="I4416" t="s">
        <v>47127</v>
      </c>
      <c r="J4416" t="s">
        <v>47128</v>
      </c>
      <c r="K4416" t="s">
        <v>47113</v>
      </c>
      <c r="L4416">
        <v>13.01</v>
      </c>
      <c r="M4416">
        <v>25</v>
      </c>
      <c r="N4416">
        <v>0</v>
      </c>
      <c r="O4416">
        <v>25</v>
      </c>
      <c r="P4416">
        <v>0</v>
      </c>
    </row>
    <row r="4417" spans="1:16" x14ac:dyDescent="0.25">
      <c r="A4417" t="s">
        <v>26822</v>
      </c>
      <c r="B4417" t="s">
        <v>4661</v>
      </c>
      <c r="C4417" t="s">
        <v>4662</v>
      </c>
      <c r="D4417" t="str">
        <f>"1378"</f>
        <v>1378</v>
      </c>
      <c r="E4417" t="s">
        <v>388</v>
      </c>
      <c r="F4417" t="s">
        <v>3670</v>
      </c>
      <c r="G4417" t="s">
        <v>16221</v>
      </c>
      <c r="H4417" t="s">
        <v>47055</v>
      </c>
      <c r="I4417" t="s">
        <v>47127</v>
      </c>
      <c r="J4417" t="s">
        <v>47128</v>
      </c>
      <c r="K4417" t="s">
        <v>47113</v>
      </c>
      <c r="L4417">
        <v>13.01</v>
      </c>
      <c r="M4417">
        <v>25</v>
      </c>
      <c r="N4417">
        <v>0</v>
      </c>
      <c r="O4417">
        <v>25</v>
      </c>
      <c r="P4417">
        <v>0</v>
      </c>
    </row>
    <row r="4418" spans="1:16" x14ac:dyDescent="0.25">
      <c r="A4418" t="s">
        <v>26823</v>
      </c>
      <c r="B4418" t="s">
        <v>4661</v>
      </c>
      <c r="C4418" t="s">
        <v>4662</v>
      </c>
      <c r="D4418" t="str">
        <f>"1403"</f>
        <v>1403</v>
      </c>
      <c r="E4418" t="s">
        <v>224</v>
      </c>
      <c r="F4418" t="s">
        <v>3670</v>
      </c>
      <c r="G4418" t="s">
        <v>16221</v>
      </c>
      <c r="H4418" t="s">
        <v>47055</v>
      </c>
      <c r="I4418" t="s">
        <v>47127</v>
      </c>
      <c r="J4418" t="s">
        <v>47128</v>
      </c>
      <c r="K4418" t="s">
        <v>47113</v>
      </c>
      <c r="L4418">
        <v>13.01</v>
      </c>
      <c r="M4418">
        <v>25</v>
      </c>
      <c r="N4418">
        <v>0</v>
      </c>
      <c r="O4418">
        <v>25</v>
      </c>
      <c r="P4418">
        <v>0</v>
      </c>
    </row>
    <row r="4419" spans="1:16" x14ac:dyDescent="0.25">
      <c r="A4419" t="s">
        <v>26824</v>
      </c>
      <c r="B4419" t="s">
        <v>4661</v>
      </c>
      <c r="C4419" t="s">
        <v>4662</v>
      </c>
      <c r="D4419" t="str">
        <f>"1700"</f>
        <v>1700</v>
      </c>
      <c r="E4419" t="s">
        <v>60</v>
      </c>
      <c r="F4419" t="s">
        <v>3670</v>
      </c>
      <c r="G4419" t="s">
        <v>16221</v>
      </c>
      <c r="H4419" t="s">
        <v>47055</v>
      </c>
      <c r="I4419" t="s">
        <v>47127</v>
      </c>
      <c r="J4419" t="s">
        <v>47128</v>
      </c>
      <c r="K4419" t="s">
        <v>47113</v>
      </c>
      <c r="L4419">
        <v>13.01</v>
      </c>
      <c r="M4419">
        <v>25</v>
      </c>
      <c r="N4419">
        <v>0</v>
      </c>
      <c r="O4419">
        <v>25</v>
      </c>
      <c r="P4419">
        <v>0</v>
      </c>
    </row>
    <row r="4420" spans="1:16" x14ac:dyDescent="0.25">
      <c r="A4420" t="s">
        <v>26825</v>
      </c>
      <c r="B4420" t="s">
        <v>4661</v>
      </c>
      <c r="C4420" t="s">
        <v>4662</v>
      </c>
      <c r="D4420" t="str">
        <f>"3501"</f>
        <v>3501</v>
      </c>
      <c r="E4420" t="s">
        <v>3758</v>
      </c>
      <c r="F4420" t="s">
        <v>3670</v>
      </c>
      <c r="G4420" t="s">
        <v>16221</v>
      </c>
      <c r="H4420" t="s">
        <v>47055</v>
      </c>
      <c r="I4420" t="s">
        <v>47127</v>
      </c>
      <c r="J4420" t="s">
        <v>47128</v>
      </c>
      <c r="K4420" t="s">
        <v>47113</v>
      </c>
      <c r="L4420">
        <v>13.01</v>
      </c>
      <c r="M4420">
        <v>25</v>
      </c>
      <c r="N4420">
        <v>0</v>
      </c>
      <c r="O4420">
        <v>25</v>
      </c>
      <c r="P4420">
        <v>0</v>
      </c>
    </row>
    <row r="4421" spans="1:16" x14ac:dyDescent="0.25">
      <c r="A4421" t="s">
        <v>26826</v>
      </c>
      <c r="B4421" t="s">
        <v>4661</v>
      </c>
      <c r="C4421" t="s">
        <v>4662</v>
      </c>
      <c r="D4421" t="str">
        <f>"4643"</f>
        <v>4643</v>
      </c>
      <c r="E4421" t="s">
        <v>205</v>
      </c>
      <c r="F4421" t="s">
        <v>3670</v>
      </c>
      <c r="G4421" t="s">
        <v>16221</v>
      </c>
      <c r="H4421" t="s">
        <v>47055</v>
      </c>
      <c r="I4421" t="s">
        <v>47127</v>
      </c>
      <c r="J4421" t="s">
        <v>47128</v>
      </c>
      <c r="K4421" t="s">
        <v>47113</v>
      </c>
      <c r="L4421">
        <v>13.01</v>
      </c>
      <c r="M4421">
        <v>25</v>
      </c>
      <c r="N4421">
        <v>0</v>
      </c>
      <c r="O4421">
        <v>25</v>
      </c>
      <c r="P4421">
        <v>0</v>
      </c>
    </row>
    <row r="4422" spans="1:16" x14ac:dyDescent="0.25">
      <c r="A4422" t="s">
        <v>26827</v>
      </c>
      <c r="B4422" t="s">
        <v>4661</v>
      </c>
      <c r="C4422" t="s">
        <v>4662</v>
      </c>
      <c r="D4422" t="str">
        <f>"4753"</f>
        <v>4753</v>
      </c>
      <c r="E4422" t="s">
        <v>3755</v>
      </c>
      <c r="F4422" t="s">
        <v>3670</v>
      </c>
      <c r="G4422" t="s">
        <v>16221</v>
      </c>
      <c r="H4422" t="s">
        <v>47055</v>
      </c>
      <c r="I4422" t="s">
        <v>47127</v>
      </c>
      <c r="J4422" t="s">
        <v>47128</v>
      </c>
      <c r="K4422" t="s">
        <v>47113</v>
      </c>
      <c r="L4422">
        <v>13.01</v>
      </c>
      <c r="M4422">
        <v>25</v>
      </c>
      <c r="N4422">
        <v>0</v>
      </c>
      <c r="O4422">
        <v>25</v>
      </c>
      <c r="P4422">
        <v>0</v>
      </c>
    </row>
    <row r="4423" spans="1:16" x14ac:dyDescent="0.25">
      <c r="A4423" t="s">
        <v>26828</v>
      </c>
      <c r="B4423" t="s">
        <v>4661</v>
      </c>
      <c r="C4423" t="s">
        <v>4662</v>
      </c>
      <c r="D4423" t="str">
        <f>"6064"</f>
        <v>6064</v>
      </c>
      <c r="E4423" t="s">
        <v>87</v>
      </c>
      <c r="F4423" t="s">
        <v>3670</v>
      </c>
      <c r="G4423" t="s">
        <v>16221</v>
      </c>
      <c r="H4423" t="s">
        <v>47055</v>
      </c>
      <c r="I4423" t="s">
        <v>47127</v>
      </c>
      <c r="J4423" t="s">
        <v>47128</v>
      </c>
      <c r="K4423" t="s">
        <v>47113</v>
      </c>
      <c r="L4423">
        <v>13.01</v>
      </c>
      <c r="M4423">
        <v>25</v>
      </c>
      <c r="N4423">
        <v>0</v>
      </c>
      <c r="O4423">
        <v>25</v>
      </c>
      <c r="P4423">
        <v>0</v>
      </c>
    </row>
    <row r="4424" spans="1:16" x14ac:dyDescent="0.25">
      <c r="A4424" t="s">
        <v>26829</v>
      </c>
      <c r="B4424" t="s">
        <v>4661</v>
      </c>
      <c r="C4424" t="s">
        <v>4662</v>
      </c>
      <c r="D4424" t="str">
        <f>"8039"</f>
        <v>8039</v>
      </c>
      <c r="E4424" t="s">
        <v>4631</v>
      </c>
      <c r="F4424" t="s">
        <v>3670</v>
      </c>
      <c r="G4424" t="s">
        <v>16221</v>
      </c>
      <c r="H4424" t="s">
        <v>47055</v>
      </c>
      <c r="I4424" t="s">
        <v>47127</v>
      </c>
      <c r="J4424" t="s">
        <v>47128</v>
      </c>
      <c r="K4424" t="s">
        <v>47113</v>
      </c>
      <c r="L4424">
        <v>13.01</v>
      </c>
      <c r="M4424">
        <v>25</v>
      </c>
      <c r="N4424">
        <v>0</v>
      </c>
      <c r="O4424">
        <v>25</v>
      </c>
      <c r="P4424">
        <v>0</v>
      </c>
    </row>
    <row r="4425" spans="1:16" x14ac:dyDescent="0.25">
      <c r="A4425" t="s">
        <v>26830</v>
      </c>
      <c r="B4425" t="s">
        <v>4663</v>
      </c>
      <c r="C4425" t="s">
        <v>4664</v>
      </c>
      <c r="D4425" t="str">
        <f>"1106"</f>
        <v>1106</v>
      </c>
      <c r="E4425" t="s">
        <v>460</v>
      </c>
      <c r="F4425" t="s">
        <v>3670</v>
      </c>
      <c r="G4425" t="s">
        <v>16221</v>
      </c>
      <c r="H4425" t="s">
        <v>47055</v>
      </c>
      <c r="I4425" t="s">
        <v>47127</v>
      </c>
      <c r="J4425" t="s">
        <v>47128</v>
      </c>
      <c r="K4425" t="s">
        <v>47113</v>
      </c>
      <c r="L4425">
        <v>13.01</v>
      </c>
      <c r="M4425">
        <v>25</v>
      </c>
      <c r="N4425">
        <v>0</v>
      </c>
      <c r="O4425">
        <v>25</v>
      </c>
      <c r="P4425">
        <v>0</v>
      </c>
    </row>
    <row r="4426" spans="1:16" x14ac:dyDescent="0.25">
      <c r="A4426" t="s">
        <v>26831</v>
      </c>
      <c r="B4426" t="s">
        <v>4663</v>
      </c>
      <c r="C4426" t="s">
        <v>4664</v>
      </c>
      <c r="D4426" t="str">
        <f>"1377"</f>
        <v>1377</v>
      </c>
      <c r="E4426" t="s">
        <v>74</v>
      </c>
      <c r="F4426" t="s">
        <v>3670</v>
      </c>
      <c r="G4426" t="s">
        <v>16221</v>
      </c>
      <c r="H4426" t="s">
        <v>47055</v>
      </c>
      <c r="I4426" t="s">
        <v>47127</v>
      </c>
      <c r="J4426" t="s">
        <v>47128</v>
      </c>
      <c r="K4426" t="s">
        <v>47113</v>
      </c>
      <c r="L4426">
        <v>13.01</v>
      </c>
      <c r="M4426">
        <v>25</v>
      </c>
      <c r="N4426">
        <v>0</v>
      </c>
      <c r="O4426">
        <v>25</v>
      </c>
      <c r="P4426">
        <v>0</v>
      </c>
    </row>
    <row r="4427" spans="1:16" x14ac:dyDescent="0.25">
      <c r="A4427" t="s">
        <v>26832</v>
      </c>
      <c r="B4427" t="s">
        <v>4663</v>
      </c>
      <c r="C4427" t="s">
        <v>4664</v>
      </c>
      <c r="D4427" t="str">
        <f>"1378"</f>
        <v>1378</v>
      </c>
      <c r="E4427" t="s">
        <v>388</v>
      </c>
      <c r="F4427" t="s">
        <v>3670</v>
      </c>
      <c r="G4427" t="s">
        <v>16221</v>
      </c>
      <c r="H4427" t="s">
        <v>47055</v>
      </c>
      <c r="I4427" t="s">
        <v>47127</v>
      </c>
      <c r="J4427" t="s">
        <v>47128</v>
      </c>
      <c r="K4427" t="s">
        <v>47113</v>
      </c>
      <c r="L4427">
        <v>13.01</v>
      </c>
      <c r="M4427">
        <v>25</v>
      </c>
      <c r="N4427">
        <v>0</v>
      </c>
      <c r="O4427">
        <v>25</v>
      </c>
      <c r="P4427">
        <v>0</v>
      </c>
    </row>
    <row r="4428" spans="1:16" x14ac:dyDescent="0.25">
      <c r="A4428" t="s">
        <v>26833</v>
      </c>
      <c r="B4428" t="s">
        <v>4663</v>
      </c>
      <c r="C4428" t="s">
        <v>4664</v>
      </c>
      <c r="D4428" t="str">
        <f>"1403"</f>
        <v>1403</v>
      </c>
      <c r="E4428" t="s">
        <v>224</v>
      </c>
      <c r="F4428" t="s">
        <v>3670</v>
      </c>
      <c r="G4428" t="s">
        <v>16221</v>
      </c>
      <c r="H4428" t="s">
        <v>47055</v>
      </c>
      <c r="I4428" t="s">
        <v>47127</v>
      </c>
      <c r="J4428" t="s">
        <v>47128</v>
      </c>
      <c r="K4428" t="s">
        <v>47113</v>
      </c>
      <c r="L4428">
        <v>13.01</v>
      </c>
      <c r="M4428">
        <v>25</v>
      </c>
      <c r="N4428">
        <v>0</v>
      </c>
      <c r="O4428">
        <v>25</v>
      </c>
      <c r="P4428">
        <v>0</v>
      </c>
    </row>
    <row r="4429" spans="1:16" x14ac:dyDescent="0.25">
      <c r="A4429" t="s">
        <v>26834</v>
      </c>
      <c r="B4429" t="s">
        <v>4663</v>
      </c>
      <c r="C4429" t="s">
        <v>4664</v>
      </c>
      <c r="D4429" t="str">
        <f>"1700"</f>
        <v>1700</v>
      </c>
      <c r="E4429" t="s">
        <v>60</v>
      </c>
      <c r="F4429" t="s">
        <v>3670</v>
      </c>
      <c r="G4429" t="s">
        <v>16221</v>
      </c>
      <c r="H4429" t="s">
        <v>47055</v>
      </c>
      <c r="I4429" t="s">
        <v>47127</v>
      </c>
      <c r="J4429" t="s">
        <v>47128</v>
      </c>
      <c r="K4429" t="s">
        <v>47113</v>
      </c>
      <c r="L4429">
        <v>13.01</v>
      </c>
      <c r="M4429">
        <v>25</v>
      </c>
      <c r="N4429">
        <v>0</v>
      </c>
      <c r="O4429">
        <v>25</v>
      </c>
      <c r="P4429">
        <v>0</v>
      </c>
    </row>
    <row r="4430" spans="1:16" x14ac:dyDescent="0.25">
      <c r="A4430" t="s">
        <v>26835</v>
      </c>
      <c r="B4430" t="s">
        <v>4663</v>
      </c>
      <c r="C4430" t="s">
        <v>4664</v>
      </c>
      <c r="D4430" t="str">
        <f>"3501"</f>
        <v>3501</v>
      </c>
      <c r="E4430" t="s">
        <v>3758</v>
      </c>
      <c r="F4430" t="s">
        <v>3670</v>
      </c>
      <c r="G4430" t="s">
        <v>16221</v>
      </c>
      <c r="H4430" t="s">
        <v>47055</v>
      </c>
      <c r="I4430" t="s">
        <v>47127</v>
      </c>
      <c r="J4430" t="s">
        <v>47128</v>
      </c>
      <c r="K4430" t="s">
        <v>47113</v>
      </c>
      <c r="L4430">
        <v>13.01</v>
      </c>
      <c r="M4430">
        <v>25</v>
      </c>
      <c r="N4430">
        <v>0</v>
      </c>
      <c r="O4430">
        <v>25</v>
      </c>
      <c r="P4430">
        <v>0</v>
      </c>
    </row>
    <row r="4431" spans="1:16" x14ac:dyDescent="0.25">
      <c r="A4431" t="s">
        <v>26836</v>
      </c>
      <c r="B4431" t="s">
        <v>4663</v>
      </c>
      <c r="C4431" t="s">
        <v>4664</v>
      </c>
      <c r="D4431" t="str">
        <f>"4643"</f>
        <v>4643</v>
      </c>
      <c r="E4431" t="s">
        <v>205</v>
      </c>
      <c r="F4431" t="s">
        <v>3670</v>
      </c>
      <c r="G4431" t="s">
        <v>16221</v>
      </c>
      <c r="H4431" t="s">
        <v>47055</v>
      </c>
      <c r="I4431" t="s">
        <v>47127</v>
      </c>
      <c r="J4431" t="s">
        <v>47128</v>
      </c>
      <c r="K4431" t="s">
        <v>47113</v>
      </c>
      <c r="L4431">
        <v>13.01</v>
      </c>
      <c r="M4431">
        <v>25</v>
      </c>
      <c r="N4431">
        <v>0</v>
      </c>
      <c r="O4431">
        <v>25</v>
      </c>
      <c r="P4431">
        <v>0</v>
      </c>
    </row>
    <row r="4432" spans="1:16" x14ac:dyDescent="0.25">
      <c r="A4432" t="s">
        <v>26837</v>
      </c>
      <c r="B4432" t="s">
        <v>4663</v>
      </c>
      <c r="C4432" t="s">
        <v>4664</v>
      </c>
      <c r="D4432" t="str">
        <f>"4753"</f>
        <v>4753</v>
      </c>
      <c r="E4432" t="s">
        <v>3755</v>
      </c>
      <c r="F4432" t="s">
        <v>3670</v>
      </c>
      <c r="G4432" t="s">
        <v>16221</v>
      </c>
      <c r="H4432" t="s">
        <v>47055</v>
      </c>
      <c r="I4432" t="s">
        <v>47127</v>
      </c>
      <c r="J4432" t="s">
        <v>47128</v>
      </c>
      <c r="K4432" t="s">
        <v>47113</v>
      </c>
      <c r="L4432">
        <v>13.01</v>
      </c>
      <c r="M4432">
        <v>25</v>
      </c>
      <c r="N4432">
        <v>0</v>
      </c>
      <c r="O4432">
        <v>25</v>
      </c>
      <c r="P4432">
        <v>0</v>
      </c>
    </row>
    <row r="4433" spans="1:16" x14ac:dyDescent="0.25">
      <c r="A4433" t="s">
        <v>26838</v>
      </c>
      <c r="B4433" t="s">
        <v>4663</v>
      </c>
      <c r="C4433" t="s">
        <v>4664</v>
      </c>
      <c r="D4433" t="str">
        <f>"6064"</f>
        <v>6064</v>
      </c>
      <c r="E4433" t="s">
        <v>87</v>
      </c>
      <c r="F4433" t="s">
        <v>3670</v>
      </c>
      <c r="G4433" t="s">
        <v>16221</v>
      </c>
      <c r="H4433" t="s">
        <v>47055</v>
      </c>
      <c r="I4433" t="s">
        <v>47127</v>
      </c>
      <c r="J4433" t="s">
        <v>47128</v>
      </c>
      <c r="K4433" t="s">
        <v>47113</v>
      </c>
      <c r="L4433">
        <v>13.01</v>
      </c>
      <c r="M4433">
        <v>25</v>
      </c>
      <c r="N4433">
        <v>0</v>
      </c>
      <c r="O4433">
        <v>25</v>
      </c>
      <c r="P4433">
        <v>0</v>
      </c>
    </row>
    <row r="4434" spans="1:16" x14ac:dyDescent="0.25">
      <c r="A4434" t="s">
        <v>26839</v>
      </c>
      <c r="B4434" t="s">
        <v>4663</v>
      </c>
      <c r="C4434" t="s">
        <v>4664</v>
      </c>
      <c r="D4434" t="str">
        <f>"8039"</f>
        <v>8039</v>
      </c>
      <c r="E4434" t="s">
        <v>4631</v>
      </c>
      <c r="F4434" t="s">
        <v>3670</v>
      </c>
      <c r="G4434" t="s">
        <v>16221</v>
      </c>
      <c r="H4434" t="s">
        <v>47055</v>
      </c>
      <c r="I4434" t="s">
        <v>47127</v>
      </c>
      <c r="J4434" t="s">
        <v>47128</v>
      </c>
      <c r="K4434" t="s">
        <v>47113</v>
      </c>
      <c r="L4434">
        <v>13.01</v>
      </c>
      <c r="M4434">
        <v>25</v>
      </c>
      <c r="N4434">
        <v>0</v>
      </c>
      <c r="O4434">
        <v>25</v>
      </c>
      <c r="P4434">
        <v>0</v>
      </c>
    </row>
    <row r="4435" spans="1:16" x14ac:dyDescent="0.25">
      <c r="A4435" t="s">
        <v>26840</v>
      </c>
      <c r="B4435" t="s">
        <v>4665</v>
      </c>
      <c r="C4435" t="s">
        <v>4666</v>
      </c>
      <c r="D4435" t="str">
        <f>"1106"</f>
        <v>1106</v>
      </c>
      <c r="E4435" t="s">
        <v>460</v>
      </c>
      <c r="F4435" t="s">
        <v>3670</v>
      </c>
      <c r="G4435" t="s">
        <v>16221</v>
      </c>
      <c r="H4435" t="s">
        <v>47055</v>
      </c>
      <c r="I4435" t="s">
        <v>47127</v>
      </c>
      <c r="J4435" t="s">
        <v>47128</v>
      </c>
      <c r="K4435" t="s">
        <v>47113</v>
      </c>
      <c r="L4435">
        <v>13.01</v>
      </c>
      <c r="M4435">
        <v>29</v>
      </c>
      <c r="N4435">
        <v>0</v>
      </c>
      <c r="O4435">
        <v>29</v>
      </c>
      <c r="P4435">
        <v>0</v>
      </c>
    </row>
    <row r="4436" spans="1:16" x14ac:dyDescent="0.25">
      <c r="A4436" t="s">
        <v>26841</v>
      </c>
      <c r="B4436" t="s">
        <v>4665</v>
      </c>
      <c r="C4436" t="s">
        <v>4666</v>
      </c>
      <c r="D4436" t="str">
        <f>"1377"</f>
        <v>1377</v>
      </c>
      <c r="E4436" t="s">
        <v>74</v>
      </c>
      <c r="F4436" t="s">
        <v>3670</v>
      </c>
      <c r="G4436" t="s">
        <v>16221</v>
      </c>
      <c r="H4436" t="s">
        <v>47055</v>
      </c>
      <c r="I4436" t="s">
        <v>47127</v>
      </c>
      <c r="J4436" t="s">
        <v>47128</v>
      </c>
      <c r="K4436" t="s">
        <v>47113</v>
      </c>
      <c r="L4436">
        <v>13.01</v>
      </c>
      <c r="M4436">
        <v>29</v>
      </c>
      <c r="N4436">
        <v>0</v>
      </c>
      <c r="O4436">
        <v>29</v>
      </c>
      <c r="P4436">
        <v>0</v>
      </c>
    </row>
    <row r="4437" spans="1:16" x14ac:dyDescent="0.25">
      <c r="A4437" t="s">
        <v>26842</v>
      </c>
      <c r="B4437" t="s">
        <v>4665</v>
      </c>
      <c r="C4437" t="s">
        <v>4666</v>
      </c>
      <c r="D4437" t="str">
        <f>"1700"</f>
        <v>1700</v>
      </c>
      <c r="E4437" t="s">
        <v>60</v>
      </c>
      <c r="F4437" t="s">
        <v>3670</v>
      </c>
      <c r="G4437" t="s">
        <v>16221</v>
      </c>
      <c r="H4437" t="s">
        <v>47055</v>
      </c>
      <c r="I4437" t="s">
        <v>47127</v>
      </c>
      <c r="J4437" t="s">
        <v>47128</v>
      </c>
      <c r="K4437" t="s">
        <v>47113</v>
      </c>
      <c r="L4437">
        <v>13.01</v>
      </c>
      <c r="M4437">
        <v>29</v>
      </c>
      <c r="N4437">
        <v>0</v>
      </c>
      <c r="O4437">
        <v>29</v>
      </c>
      <c r="P4437">
        <v>0</v>
      </c>
    </row>
    <row r="4438" spans="1:16" x14ac:dyDescent="0.25">
      <c r="A4438" t="s">
        <v>26843</v>
      </c>
      <c r="B4438" t="s">
        <v>4665</v>
      </c>
      <c r="C4438" t="s">
        <v>4666</v>
      </c>
      <c r="D4438" t="str">
        <f>"3501"</f>
        <v>3501</v>
      </c>
      <c r="E4438" t="s">
        <v>3758</v>
      </c>
      <c r="F4438" t="s">
        <v>3670</v>
      </c>
      <c r="G4438" t="s">
        <v>16221</v>
      </c>
      <c r="H4438" t="s">
        <v>47055</v>
      </c>
      <c r="I4438" t="s">
        <v>47127</v>
      </c>
      <c r="J4438" t="s">
        <v>47128</v>
      </c>
      <c r="K4438" t="s">
        <v>47113</v>
      </c>
      <c r="L4438">
        <v>13.01</v>
      </c>
      <c r="M4438">
        <v>29</v>
      </c>
      <c r="N4438">
        <v>0</v>
      </c>
      <c r="O4438">
        <v>29</v>
      </c>
      <c r="P4438">
        <v>0</v>
      </c>
    </row>
    <row r="4439" spans="1:16" x14ac:dyDescent="0.25">
      <c r="A4439" t="s">
        <v>26844</v>
      </c>
      <c r="B4439" t="s">
        <v>4665</v>
      </c>
      <c r="C4439" t="s">
        <v>4666</v>
      </c>
      <c r="D4439" t="str">
        <f>"4643"</f>
        <v>4643</v>
      </c>
      <c r="E4439" t="s">
        <v>205</v>
      </c>
      <c r="F4439" t="s">
        <v>3670</v>
      </c>
      <c r="G4439" t="s">
        <v>16221</v>
      </c>
      <c r="H4439" t="s">
        <v>47055</v>
      </c>
      <c r="I4439" t="s">
        <v>47127</v>
      </c>
      <c r="J4439" t="s">
        <v>47128</v>
      </c>
      <c r="K4439" t="s">
        <v>47113</v>
      </c>
      <c r="L4439">
        <v>13.01</v>
      </c>
      <c r="M4439">
        <v>29</v>
      </c>
      <c r="N4439">
        <v>0</v>
      </c>
      <c r="O4439">
        <v>29</v>
      </c>
      <c r="P4439">
        <v>0</v>
      </c>
    </row>
    <row r="4440" spans="1:16" x14ac:dyDescent="0.25">
      <c r="A4440" t="s">
        <v>26845</v>
      </c>
      <c r="B4440" t="s">
        <v>4665</v>
      </c>
      <c r="C4440" t="s">
        <v>4666</v>
      </c>
      <c r="D4440" t="str">
        <f>"4753"</f>
        <v>4753</v>
      </c>
      <c r="E4440" t="s">
        <v>3755</v>
      </c>
      <c r="F4440" t="s">
        <v>3670</v>
      </c>
      <c r="G4440" t="s">
        <v>16221</v>
      </c>
      <c r="H4440" t="s">
        <v>47055</v>
      </c>
      <c r="I4440" t="s">
        <v>47127</v>
      </c>
      <c r="J4440" t="s">
        <v>47128</v>
      </c>
      <c r="K4440" t="s">
        <v>47113</v>
      </c>
      <c r="L4440">
        <v>13.01</v>
      </c>
      <c r="M4440">
        <v>29</v>
      </c>
      <c r="N4440">
        <v>0</v>
      </c>
      <c r="O4440">
        <v>29</v>
      </c>
      <c r="P4440">
        <v>0</v>
      </c>
    </row>
    <row r="4441" spans="1:16" x14ac:dyDescent="0.25">
      <c r="A4441" t="s">
        <v>26846</v>
      </c>
      <c r="B4441" t="s">
        <v>4667</v>
      </c>
      <c r="C4441" t="s">
        <v>4668</v>
      </c>
      <c r="D4441" t="str">
        <f>"1106"</f>
        <v>1106</v>
      </c>
      <c r="E4441" t="s">
        <v>460</v>
      </c>
      <c r="F4441" t="s">
        <v>3670</v>
      </c>
      <c r="G4441" t="s">
        <v>16221</v>
      </c>
      <c r="H4441" t="s">
        <v>47055</v>
      </c>
      <c r="I4441" t="s">
        <v>47127</v>
      </c>
      <c r="J4441" t="s">
        <v>47128</v>
      </c>
      <c r="K4441" t="s">
        <v>47113</v>
      </c>
      <c r="L4441">
        <v>13.01</v>
      </c>
      <c r="M4441">
        <v>25</v>
      </c>
      <c r="N4441">
        <v>0</v>
      </c>
      <c r="O4441">
        <v>25</v>
      </c>
      <c r="P4441">
        <v>0</v>
      </c>
    </row>
    <row r="4442" spans="1:16" x14ac:dyDescent="0.25">
      <c r="A4442" t="s">
        <v>26847</v>
      </c>
      <c r="B4442" t="s">
        <v>4667</v>
      </c>
      <c r="C4442" t="s">
        <v>4668</v>
      </c>
      <c r="D4442" t="str">
        <f>"1377"</f>
        <v>1377</v>
      </c>
      <c r="E4442" t="s">
        <v>74</v>
      </c>
      <c r="F4442" t="s">
        <v>3670</v>
      </c>
      <c r="G4442" t="s">
        <v>16221</v>
      </c>
      <c r="H4442" t="s">
        <v>47055</v>
      </c>
      <c r="I4442" t="s">
        <v>47127</v>
      </c>
      <c r="J4442" t="s">
        <v>47128</v>
      </c>
      <c r="K4442" t="s">
        <v>47113</v>
      </c>
      <c r="L4442">
        <v>13.01</v>
      </c>
      <c r="M4442">
        <v>25</v>
      </c>
      <c r="N4442">
        <v>0</v>
      </c>
      <c r="O4442">
        <v>25</v>
      </c>
      <c r="P4442">
        <v>0</v>
      </c>
    </row>
    <row r="4443" spans="1:16" x14ac:dyDescent="0.25">
      <c r="A4443" t="s">
        <v>26848</v>
      </c>
      <c r="B4443" t="s">
        <v>4667</v>
      </c>
      <c r="C4443" t="s">
        <v>4668</v>
      </c>
      <c r="D4443" t="str">
        <f>"1378"</f>
        <v>1378</v>
      </c>
      <c r="E4443" t="s">
        <v>388</v>
      </c>
      <c r="F4443" t="s">
        <v>3670</v>
      </c>
      <c r="G4443" t="s">
        <v>16221</v>
      </c>
      <c r="H4443" t="s">
        <v>47055</v>
      </c>
      <c r="I4443" t="s">
        <v>47127</v>
      </c>
      <c r="J4443" t="s">
        <v>47128</v>
      </c>
      <c r="K4443" t="s">
        <v>47113</v>
      </c>
      <c r="L4443">
        <v>13.01</v>
      </c>
      <c r="M4443">
        <v>25</v>
      </c>
      <c r="N4443">
        <v>0</v>
      </c>
      <c r="O4443">
        <v>25</v>
      </c>
      <c r="P4443">
        <v>0</v>
      </c>
    </row>
    <row r="4444" spans="1:16" x14ac:dyDescent="0.25">
      <c r="A4444" t="s">
        <v>26849</v>
      </c>
      <c r="B4444" t="s">
        <v>4667</v>
      </c>
      <c r="C4444" t="s">
        <v>4668</v>
      </c>
      <c r="D4444" t="str">
        <f>"1403"</f>
        <v>1403</v>
      </c>
      <c r="E4444" t="s">
        <v>224</v>
      </c>
      <c r="F4444" t="s">
        <v>3670</v>
      </c>
      <c r="G4444" t="s">
        <v>16221</v>
      </c>
      <c r="H4444" t="s">
        <v>47055</v>
      </c>
      <c r="I4444" t="s">
        <v>47127</v>
      </c>
      <c r="J4444" t="s">
        <v>47128</v>
      </c>
      <c r="K4444" t="s">
        <v>47113</v>
      </c>
      <c r="L4444">
        <v>13.01</v>
      </c>
      <c r="M4444">
        <v>25</v>
      </c>
      <c r="N4444">
        <v>0</v>
      </c>
      <c r="O4444">
        <v>25</v>
      </c>
      <c r="P4444">
        <v>0</v>
      </c>
    </row>
    <row r="4445" spans="1:16" x14ac:dyDescent="0.25">
      <c r="A4445" t="s">
        <v>26850</v>
      </c>
      <c r="B4445" t="s">
        <v>4667</v>
      </c>
      <c r="C4445" t="s">
        <v>4668</v>
      </c>
      <c r="D4445" t="str">
        <f>"1700"</f>
        <v>1700</v>
      </c>
      <c r="E4445" t="s">
        <v>60</v>
      </c>
      <c r="F4445" t="s">
        <v>3670</v>
      </c>
      <c r="G4445" t="s">
        <v>16221</v>
      </c>
      <c r="H4445" t="s">
        <v>47055</v>
      </c>
      <c r="I4445" t="s">
        <v>47127</v>
      </c>
      <c r="J4445" t="s">
        <v>47128</v>
      </c>
      <c r="K4445" t="s">
        <v>47113</v>
      </c>
      <c r="L4445">
        <v>13.01</v>
      </c>
      <c r="M4445">
        <v>25</v>
      </c>
      <c r="N4445">
        <v>0</v>
      </c>
      <c r="O4445">
        <v>25</v>
      </c>
      <c r="P4445">
        <v>0</v>
      </c>
    </row>
    <row r="4446" spans="1:16" x14ac:dyDescent="0.25">
      <c r="A4446" t="s">
        <v>26851</v>
      </c>
      <c r="B4446" t="s">
        <v>4667</v>
      </c>
      <c r="C4446" t="s">
        <v>4668</v>
      </c>
      <c r="D4446" t="str">
        <f>"3501"</f>
        <v>3501</v>
      </c>
      <c r="E4446" t="s">
        <v>3758</v>
      </c>
      <c r="F4446" t="s">
        <v>3670</v>
      </c>
      <c r="G4446" t="s">
        <v>16221</v>
      </c>
      <c r="H4446" t="s">
        <v>47055</v>
      </c>
      <c r="I4446" t="s">
        <v>47127</v>
      </c>
      <c r="J4446" t="s">
        <v>47128</v>
      </c>
      <c r="K4446" t="s">
        <v>47113</v>
      </c>
      <c r="L4446">
        <v>13.01</v>
      </c>
      <c r="M4446">
        <v>25</v>
      </c>
      <c r="N4446">
        <v>0</v>
      </c>
      <c r="O4446">
        <v>25</v>
      </c>
      <c r="P4446">
        <v>0</v>
      </c>
    </row>
    <row r="4447" spans="1:16" x14ac:dyDescent="0.25">
      <c r="A4447" t="s">
        <v>26852</v>
      </c>
      <c r="B4447" t="s">
        <v>4667</v>
      </c>
      <c r="C4447" t="s">
        <v>4668</v>
      </c>
      <c r="D4447" t="str">
        <f>"4643"</f>
        <v>4643</v>
      </c>
      <c r="E4447" t="s">
        <v>205</v>
      </c>
      <c r="F4447" t="s">
        <v>3670</v>
      </c>
      <c r="G4447" t="s">
        <v>16221</v>
      </c>
      <c r="H4447" t="s">
        <v>47055</v>
      </c>
      <c r="I4447" t="s">
        <v>47127</v>
      </c>
      <c r="J4447" t="s">
        <v>47128</v>
      </c>
      <c r="K4447" t="s">
        <v>47113</v>
      </c>
      <c r="L4447">
        <v>13.01</v>
      </c>
      <c r="M4447">
        <v>25</v>
      </c>
      <c r="N4447">
        <v>0</v>
      </c>
      <c r="O4447">
        <v>25</v>
      </c>
      <c r="P4447">
        <v>0</v>
      </c>
    </row>
    <row r="4448" spans="1:16" x14ac:dyDescent="0.25">
      <c r="A4448" t="s">
        <v>26853</v>
      </c>
      <c r="B4448" t="s">
        <v>4667</v>
      </c>
      <c r="C4448" t="s">
        <v>4668</v>
      </c>
      <c r="D4448" t="str">
        <f>"4753"</f>
        <v>4753</v>
      </c>
      <c r="E4448" t="s">
        <v>3755</v>
      </c>
      <c r="F4448" t="s">
        <v>3670</v>
      </c>
      <c r="G4448" t="s">
        <v>16221</v>
      </c>
      <c r="H4448" t="s">
        <v>47055</v>
      </c>
      <c r="I4448" t="s">
        <v>47127</v>
      </c>
      <c r="J4448" t="s">
        <v>47128</v>
      </c>
      <c r="K4448" t="s">
        <v>47113</v>
      </c>
      <c r="L4448">
        <v>13.01</v>
      </c>
      <c r="M4448">
        <v>25</v>
      </c>
      <c r="N4448">
        <v>0</v>
      </c>
      <c r="O4448">
        <v>25</v>
      </c>
      <c r="P4448">
        <v>0</v>
      </c>
    </row>
    <row r="4449" spans="1:16" x14ac:dyDescent="0.25">
      <c r="A4449" t="s">
        <v>26854</v>
      </c>
      <c r="B4449" t="s">
        <v>4667</v>
      </c>
      <c r="C4449" t="s">
        <v>4668</v>
      </c>
      <c r="D4449" t="str">
        <f>"6064"</f>
        <v>6064</v>
      </c>
      <c r="E4449" t="s">
        <v>87</v>
      </c>
      <c r="F4449" t="s">
        <v>3670</v>
      </c>
      <c r="G4449" t="s">
        <v>16221</v>
      </c>
      <c r="H4449" t="s">
        <v>47055</v>
      </c>
      <c r="I4449" t="s">
        <v>47127</v>
      </c>
      <c r="J4449" t="s">
        <v>47128</v>
      </c>
      <c r="K4449" t="s">
        <v>47113</v>
      </c>
      <c r="L4449">
        <v>13.01</v>
      </c>
      <c r="M4449">
        <v>25</v>
      </c>
      <c r="N4449">
        <v>0</v>
      </c>
      <c r="O4449">
        <v>25</v>
      </c>
      <c r="P4449">
        <v>0</v>
      </c>
    </row>
    <row r="4450" spans="1:16" x14ac:dyDescent="0.25">
      <c r="A4450" t="s">
        <v>26855</v>
      </c>
      <c r="B4450" t="s">
        <v>4667</v>
      </c>
      <c r="C4450" t="s">
        <v>4668</v>
      </c>
      <c r="D4450" t="str">
        <f>"8039"</f>
        <v>8039</v>
      </c>
      <c r="E4450" t="s">
        <v>4631</v>
      </c>
      <c r="F4450" t="s">
        <v>3670</v>
      </c>
      <c r="G4450" t="s">
        <v>16221</v>
      </c>
      <c r="H4450" t="s">
        <v>47055</v>
      </c>
      <c r="I4450" t="s">
        <v>47127</v>
      </c>
      <c r="J4450" t="s">
        <v>47128</v>
      </c>
      <c r="K4450" t="s">
        <v>47113</v>
      </c>
      <c r="L4450">
        <v>13.01</v>
      </c>
      <c r="M4450">
        <v>25</v>
      </c>
      <c r="N4450">
        <v>0</v>
      </c>
      <c r="O4450">
        <v>25</v>
      </c>
      <c r="P4450">
        <v>0</v>
      </c>
    </row>
    <row r="4451" spans="1:16" x14ac:dyDescent="0.25">
      <c r="A4451" t="s">
        <v>26856</v>
      </c>
      <c r="B4451" t="s">
        <v>4669</v>
      </c>
      <c r="C4451" t="s">
        <v>4214</v>
      </c>
      <c r="D4451" t="str">
        <f>"1106"</f>
        <v>1106</v>
      </c>
      <c r="E4451" t="s">
        <v>460</v>
      </c>
      <c r="F4451" t="s">
        <v>3670</v>
      </c>
      <c r="G4451" t="s">
        <v>16221</v>
      </c>
      <c r="H4451" t="s">
        <v>47055</v>
      </c>
      <c r="I4451" t="s">
        <v>47127</v>
      </c>
      <c r="J4451" t="s">
        <v>47128</v>
      </c>
      <c r="K4451" t="s">
        <v>47113</v>
      </c>
      <c r="L4451">
        <v>13.01</v>
      </c>
      <c r="M4451">
        <v>25</v>
      </c>
      <c r="N4451">
        <v>0</v>
      </c>
      <c r="O4451">
        <v>25</v>
      </c>
      <c r="P4451">
        <v>0</v>
      </c>
    </row>
    <row r="4452" spans="1:16" x14ac:dyDescent="0.25">
      <c r="A4452" t="s">
        <v>26857</v>
      </c>
      <c r="B4452" t="s">
        <v>4669</v>
      </c>
      <c r="C4452" t="s">
        <v>4214</v>
      </c>
      <c r="D4452" t="str">
        <f>"1285"</f>
        <v>1285</v>
      </c>
      <c r="E4452" t="s">
        <v>2148</v>
      </c>
      <c r="F4452" t="s">
        <v>3670</v>
      </c>
      <c r="G4452" t="s">
        <v>16221</v>
      </c>
      <c r="H4452" t="s">
        <v>47055</v>
      </c>
      <c r="I4452" t="s">
        <v>47127</v>
      </c>
      <c r="J4452" t="s">
        <v>47128</v>
      </c>
      <c r="K4452" t="s">
        <v>47113</v>
      </c>
      <c r="L4452">
        <v>13.01</v>
      </c>
      <c r="M4452">
        <v>25</v>
      </c>
      <c r="N4452">
        <v>0</v>
      </c>
      <c r="O4452">
        <v>25</v>
      </c>
      <c r="P4452">
        <v>0</v>
      </c>
    </row>
    <row r="4453" spans="1:16" x14ac:dyDescent="0.25">
      <c r="A4453" t="s">
        <v>26858</v>
      </c>
      <c r="B4453" t="s">
        <v>4669</v>
      </c>
      <c r="C4453" t="s">
        <v>4214</v>
      </c>
      <c r="D4453" t="str">
        <f>"1377"</f>
        <v>1377</v>
      </c>
      <c r="E4453" t="s">
        <v>74</v>
      </c>
      <c r="F4453" t="s">
        <v>3670</v>
      </c>
      <c r="G4453" t="s">
        <v>16221</v>
      </c>
      <c r="H4453" t="s">
        <v>47055</v>
      </c>
      <c r="I4453" t="s">
        <v>47127</v>
      </c>
      <c r="J4453" t="s">
        <v>47128</v>
      </c>
      <c r="K4453" t="s">
        <v>47113</v>
      </c>
      <c r="L4453">
        <v>13.01</v>
      </c>
      <c r="M4453">
        <v>25</v>
      </c>
      <c r="N4453">
        <v>0</v>
      </c>
      <c r="O4453">
        <v>25</v>
      </c>
      <c r="P4453">
        <v>0</v>
      </c>
    </row>
    <row r="4454" spans="1:16" x14ac:dyDescent="0.25">
      <c r="A4454" t="s">
        <v>26859</v>
      </c>
      <c r="B4454" t="s">
        <v>4669</v>
      </c>
      <c r="C4454" t="s">
        <v>4214</v>
      </c>
      <c r="D4454" t="str">
        <f>"1378"</f>
        <v>1378</v>
      </c>
      <c r="E4454" t="s">
        <v>388</v>
      </c>
      <c r="F4454" t="s">
        <v>3670</v>
      </c>
      <c r="G4454" t="s">
        <v>16221</v>
      </c>
      <c r="H4454" t="s">
        <v>47055</v>
      </c>
      <c r="I4454" t="s">
        <v>47127</v>
      </c>
      <c r="J4454" t="s">
        <v>47128</v>
      </c>
      <c r="K4454" t="s">
        <v>47113</v>
      </c>
      <c r="L4454">
        <v>13.01</v>
      </c>
      <c r="M4454">
        <v>25</v>
      </c>
      <c r="N4454">
        <v>0</v>
      </c>
      <c r="O4454">
        <v>25</v>
      </c>
      <c r="P4454">
        <v>0</v>
      </c>
    </row>
    <row r="4455" spans="1:16" x14ac:dyDescent="0.25">
      <c r="A4455" t="s">
        <v>26860</v>
      </c>
      <c r="B4455" t="s">
        <v>4669</v>
      </c>
      <c r="C4455" t="s">
        <v>4214</v>
      </c>
      <c r="D4455" t="str">
        <f>"1403"</f>
        <v>1403</v>
      </c>
      <c r="E4455" t="s">
        <v>224</v>
      </c>
      <c r="F4455" t="s">
        <v>3670</v>
      </c>
      <c r="G4455" t="s">
        <v>16221</v>
      </c>
      <c r="H4455" t="s">
        <v>47055</v>
      </c>
      <c r="I4455" t="s">
        <v>47127</v>
      </c>
      <c r="J4455" t="s">
        <v>47128</v>
      </c>
      <c r="K4455" t="s">
        <v>47113</v>
      </c>
      <c r="L4455">
        <v>13.01</v>
      </c>
      <c r="M4455">
        <v>25</v>
      </c>
      <c r="N4455">
        <v>0</v>
      </c>
      <c r="O4455">
        <v>25</v>
      </c>
      <c r="P4455">
        <v>0</v>
      </c>
    </row>
    <row r="4456" spans="1:16" x14ac:dyDescent="0.25">
      <c r="A4456" t="s">
        <v>26861</v>
      </c>
      <c r="B4456" t="s">
        <v>4669</v>
      </c>
      <c r="C4456" t="s">
        <v>4214</v>
      </c>
      <c r="D4456" t="str">
        <f>"1700"</f>
        <v>1700</v>
      </c>
      <c r="E4456" t="s">
        <v>60</v>
      </c>
      <c r="F4456" t="s">
        <v>3670</v>
      </c>
      <c r="G4456" t="s">
        <v>16221</v>
      </c>
      <c r="H4456" t="s">
        <v>47055</v>
      </c>
      <c r="I4456" t="s">
        <v>47127</v>
      </c>
      <c r="J4456" t="s">
        <v>47128</v>
      </c>
      <c r="K4456" t="s">
        <v>47113</v>
      </c>
      <c r="L4456">
        <v>13.01</v>
      </c>
      <c r="M4456">
        <v>25</v>
      </c>
      <c r="N4456">
        <v>0</v>
      </c>
      <c r="O4456">
        <v>25</v>
      </c>
      <c r="P4456">
        <v>0</v>
      </c>
    </row>
    <row r="4457" spans="1:16" x14ac:dyDescent="0.25">
      <c r="A4457" t="s">
        <v>26862</v>
      </c>
      <c r="B4457" t="s">
        <v>4669</v>
      </c>
      <c r="C4457" t="s">
        <v>4214</v>
      </c>
      <c r="D4457" t="str">
        <f>"3501"</f>
        <v>3501</v>
      </c>
      <c r="E4457" t="s">
        <v>3758</v>
      </c>
      <c r="F4457" t="s">
        <v>3670</v>
      </c>
      <c r="G4457" t="s">
        <v>16221</v>
      </c>
      <c r="H4457" t="s">
        <v>47055</v>
      </c>
      <c r="I4457" t="s">
        <v>47127</v>
      </c>
      <c r="J4457" t="s">
        <v>47128</v>
      </c>
      <c r="K4457" t="s">
        <v>47113</v>
      </c>
      <c r="L4457">
        <v>13.01</v>
      </c>
      <c r="M4457">
        <v>25</v>
      </c>
      <c r="N4457">
        <v>0</v>
      </c>
      <c r="O4457">
        <v>25</v>
      </c>
      <c r="P4457">
        <v>0</v>
      </c>
    </row>
    <row r="4458" spans="1:16" x14ac:dyDescent="0.25">
      <c r="A4458" t="s">
        <v>26863</v>
      </c>
      <c r="B4458" t="s">
        <v>4669</v>
      </c>
      <c r="C4458" t="s">
        <v>4214</v>
      </c>
      <c r="D4458" t="str">
        <f>"4643"</f>
        <v>4643</v>
      </c>
      <c r="E4458" t="s">
        <v>205</v>
      </c>
      <c r="F4458" t="s">
        <v>3670</v>
      </c>
      <c r="G4458" t="s">
        <v>16221</v>
      </c>
      <c r="H4458" t="s">
        <v>47055</v>
      </c>
      <c r="I4458" t="s">
        <v>47127</v>
      </c>
      <c r="J4458" t="s">
        <v>47128</v>
      </c>
      <c r="K4458" t="s">
        <v>47113</v>
      </c>
      <c r="L4458">
        <v>13.01</v>
      </c>
      <c r="M4458">
        <v>25</v>
      </c>
      <c r="N4458">
        <v>0</v>
      </c>
      <c r="O4458">
        <v>25</v>
      </c>
      <c r="P4458">
        <v>0</v>
      </c>
    </row>
    <row r="4459" spans="1:16" x14ac:dyDescent="0.25">
      <c r="A4459" t="s">
        <v>26864</v>
      </c>
      <c r="B4459" t="s">
        <v>4669</v>
      </c>
      <c r="C4459" t="s">
        <v>4214</v>
      </c>
      <c r="D4459" t="str">
        <f>"4753"</f>
        <v>4753</v>
      </c>
      <c r="E4459" t="s">
        <v>3755</v>
      </c>
      <c r="F4459" t="s">
        <v>3670</v>
      </c>
      <c r="G4459" t="s">
        <v>16221</v>
      </c>
      <c r="H4459" t="s">
        <v>47055</v>
      </c>
      <c r="I4459" t="s">
        <v>47127</v>
      </c>
      <c r="J4459" t="s">
        <v>47128</v>
      </c>
      <c r="K4459" t="s">
        <v>47113</v>
      </c>
      <c r="L4459">
        <v>13.01</v>
      </c>
      <c r="M4459">
        <v>25</v>
      </c>
      <c r="N4459">
        <v>0</v>
      </c>
      <c r="O4459">
        <v>25</v>
      </c>
      <c r="P4459">
        <v>0</v>
      </c>
    </row>
    <row r="4460" spans="1:16" x14ac:dyDescent="0.25">
      <c r="A4460" t="s">
        <v>26865</v>
      </c>
      <c r="B4460" t="s">
        <v>4669</v>
      </c>
      <c r="C4460" t="s">
        <v>4214</v>
      </c>
      <c r="D4460" t="str">
        <f>"6064"</f>
        <v>6064</v>
      </c>
      <c r="E4460" t="s">
        <v>87</v>
      </c>
      <c r="F4460" t="s">
        <v>3670</v>
      </c>
      <c r="G4460" t="s">
        <v>16221</v>
      </c>
      <c r="H4460" t="s">
        <v>47055</v>
      </c>
      <c r="I4460" t="s">
        <v>47127</v>
      </c>
      <c r="J4460" t="s">
        <v>47128</v>
      </c>
      <c r="K4460" t="s">
        <v>47113</v>
      </c>
      <c r="L4460">
        <v>13.01</v>
      </c>
      <c r="M4460">
        <v>25</v>
      </c>
      <c r="N4460">
        <v>0</v>
      </c>
      <c r="O4460">
        <v>25</v>
      </c>
      <c r="P4460">
        <v>0</v>
      </c>
    </row>
    <row r="4461" spans="1:16" x14ac:dyDescent="0.25">
      <c r="A4461" t="s">
        <v>26866</v>
      </c>
      <c r="B4461" t="s">
        <v>4670</v>
      </c>
      <c r="C4461" t="s">
        <v>4671</v>
      </c>
      <c r="D4461" t="str">
        <f>"1106"</f>
        <v>1106</v>
      </c>
      <c r="E4461" t="s">
        <v>460</v>
      </c>
      <c r="F4461" t="s">
        <v>3670</v>
      </c>
      <c r="G4461" t="s">
        <v>16221</v>
      </c>
      <c r="H4461" t="s">
        <v>47055</v>
      </c>
      <c r="I4461" t="s">
        <v>47127</v>
      </c>
      <c r="J4461" t="s">
        <v>47128</v>
      </c>
      <c r="K4461" t="s">
        <v>47113</v>
      </c>
      <c r="L4461">
        <v>13.01</v>
      </c>
      <c r="M4461">
        <v>25</v>
      </c>
      <c r="N4461">
        <v>0</v>
      </c>
      <c r="O4461">
        <v>25</v>
      </c>
      <c r="P4461">
        <v>0</v>
      </c>
    </row>
    <row r="4462" spans="1:16" x14ac:dyDescent="0.25">
      <c r="A4462" t="s">
        <v>26867</v>
      </c>
      <c r="B4462" t="s">
        <v>4670</v>
      </c>
      <c r="C4462" t="s">
        <v>4671</v>
      </c>
      <c r="D4462" t="str">
        <f>"1285"</f>
        <v>1285</v>
      </c>
      <c r="E4462" t="s">
        <v>2148</v>
      </c>
      <c r="F4462" t="s">
        <v>3670</v>
      </c>
      <c r="G4462" t="s">
        <v>16221</v>
      </c>
      <c r="H4462" t="s">
        <v>47055</v>
      </c>
      <c r="I4462" t="s">
        <v>47127</v>
      </c>
      <c r="J4462" t="s">
        <v>47128</v>
      </c>
      <c r="K4462" t="s">
        <v>47113</v>
      </c>
      <c r="L4462">
        <v>13.01</v>
      </c>
      <c r="M4462">
        <v>25</v>
      </c>
      <c r="N4462">
        <v>0</v>
      </c>
      <c r="O4462">
        <v>25</v>
      </c>
      <c r="P4462">
        <v>0</v>
      </c>
    </row>
    <row r="4463" spans="1:16" x14ac:dyDescent="0.25">
      <c r="A4463" t="s">
        <v>26868</v>
      </c>
      <c r="B4463" t="s">
        <v>4670</v>
      </c>
      <c r="C4463" t="s">
        <v>4671</v>
      </c>
      <c r="D4463" t="str">
        <f>"1303"</f>
        <v>1303</v>
      </c>
      <c r="E4463" t="s">
        <v>4630</v>
      </c>
      <c r="F4463" t="s">
        <v>3670</v>
      </c>
      <c r="G4463" t="s">
        <v>16221</v>
      </c>
      <c r="H4463" t="s">
        <v>47055</v>
      </c>
      <c r="I4463" t="s">
        <v>47127</v>
      </c>
      <c r="J4463" t="s">
        <v>47128</v>
      </c>
      <c r="K4463" t="s">
        <v>47113</v>
      </c>
      <c r="L4463">
        <v>13.01</v>
      </c>
      <c r="M4463">
        <v>25</v>
      </c>
      <c r="N4463">
        <v>0</v>
      </c>
      <c r="O4463">
        <v>25</v>
      </c>
      <c r="P4463">
        <v>0</v>
      </c>
    </row>
    <row r="4464" spans="1:16" x14ac:dyDescent="0.25">
      <c r="A4464" t="s">
        <v>26869</v>
      </c>
      <c r="B4464" t="s">
        <v>4670</v>
      </c>
      <c r="C4464" t="s">
        <v>4671</v>
      </c>
      <c r="D4464" t="str">
        <f>"1377"</f>
        <v>1377</v>
      </c>
      <c r="E4464" t="s">
        <v>74</v>
      </c>
      <c r="F4464" t="s">
        <v>3670</v>
      </c>
      <c r="G4464" t="s">
        <v>16221</v>
      </c>
      <c r="H4464" t="s">
        <v>47055</v>
      </c>
      <c r="I4464" t="s">
        <v>47127</v>
      </c>
      <c r="J4464" t="s">
        <v>47128</v>
      </c>
      <c r="K4464" t="s">
        <v>47113</v>
      </c>
      <c r="L4464">
        <v>13.01</v>
      </c>
      <c r="M4464">
        <v>25</v>
      </c>
      <c r="N4464">
        <v>0</v>
      </c>
      <c r="O4464">
        <v>25</v>
      </c>
      <c r="P4464">
        <v>0</v>
      </c>
    </row>
    <row r="4465" spans="1:16" x14ac:dyDescent="0.25">
      <c r="A4465" t="s">
        <v>26870</v>
      </c>
      <c r="B4465" t="s">
        <v>4670</v>
      </c>
      <c r="C4465" t="s">
        <v>4671</v>
      </c>
      <c r="D4465" t="str">
        <f>"1378"</f>
        <v>1378</v>
      </c>
      <c r="E4465" t="s">
        <v>388</v>
      </c>
      <c r="F4465" t="s">
        <v>3670</v>
      </c>
      <c r="G4465" t="s">
        <v>16221</v>
      </c>
      <c r="H4465" t="s">
        <v>47055</v>
      </c>
      <c r="I4465" t="s">
        <v>47127</v>
      </c>
      <c r="J4465" t="s">
        <v>47128</v>
      </c>
      <c r="K4465" t="s">
        <v>47113</v>
      </c>
      <c r="L4465">
        <v>13.01</v>
      </c>
      <c r="M4465">
        <v>25</v>
      </c>
      <c r="N4465">
        <v>0</v>
      </c>
      <c r="O4465">
        <v>25</v>
      </c>
      <c r="P4465">
        <v>0</v>
      </c>
    </row>
    <row r="4466" spans="1:16" x14ac:dyDescent="0.25">
      <c r="A4466" t="s">
        <v>26871</v>
      </c>
      <c r="B4466" t="s">
        <v>4670</v>
      </c>
      <c r="C4466" t="s">
        <v>4671</v>
      </c>
      <c r="D4466" t="str">
        <f>"1403"</f>
        <v>1403</v>
      </c>
      <c r="E4466" t="s">
        <v>224</v>
      </c>
      <c r="F4466" t="s">
        <v>3670</v>
      </c>
      <c r="G4466" t="s">
        <v>16221</v>
      </c>
      <c r="H4466" t="s">
        <v>47055</v>
      </c>
      <c r="I4466" t="s">
        <v>47127</v>
      </c>
      <c r="J4466" t="s">
        <v>47128</v>
      </c>
      <c r="K4466" t="s">
        <v>47113</v>
      </c>
      <c r="L4466">
        <v>13.01</v>
      </c>
      <c r="M4466">
        <v>25</v>
      </c>
      <c r="N4466">
        <v>0</v>
      </c>
      <c r="O4466">
        <v>25</v>
      </c>
      <c r="P4466">
        <v>0</v>
      </c>
    </row>
    <row r="4467" spans="1:16" x14ac:dyDescent="0.25">
      <c r="A4467" t="s">
        <v>26872</v>
      </c>
      <c r="B4467" t="s">
        <v>4670</v>
      </c>
      <c r="C4467" t="s">
        <v>4671</v>
      </c>
      <c r="D4467" t="str">
        <f>"1700"</f>
        <v>1700</v>
      </c>
      <c r="E4467" t="s">
        <v>60</v>
      </c>
      <c r="F4467" t="s">
        <v>3670</v>
      </c>
      <c r="G4467" t="s">
        <v>16221</v>
      </c>
      <c r="H4467" t="s">
        <v>47055</v>
      </c>
      <c r="I4467" t="s">
        <v>47127</v>
      </c>
      <c r="J4467" t="s">
        <v>47128</v>
      </c>
      <c r="K4467" t="s">
        <v>47113</v>
      </c>
      <c r="L4467">
        <v>13.01</v>
      </c>
      <c r="M4467">
        <v>25</v>
      </c>
      <c r="N4467">
        <v>0</v>
      </c>
      <c r="O4467">
        <v>25</v>
      </c>
      <c r="P4467">
        <v>0</v>
      </c>
    </row>
    <row r="4468" spans="1:16" x14ac:dyDescent="0.25">
      <c r="A4468" t="s">
        <v>26873</v>
      </c>
      <c r="B4468" t="s">
        <v>4670</v>
      </c>
      <c r="C4468" t="s">
        <v>4671</v>
      </c>
      <c r="D4468" t="str">
        <f>"3501"</f>
        <v>3501</v>
      </c>
      <c r="E4468" t="s">
        <v>3758</v>
      </c>
      <c r="F4468" t="s">
        <v>3670</v>
      </c>
      <c r="G4468" t="s">
        <v>16221</v>
      </c>
      <c r="H4468" t="s">
        <v>47055</v>
      </c>
      <c r="I4468" t="s">
        <v>47127</v>
      </c>
      <c r="J4468" t="s">
        <v>47128</v>
      </c>
      <c r="K4468" t="s">
        <v>47113</v>
      </c>
      <c r="L4468">
        <v>13.01</v>
      </c>
      <c r="M4468">
        <v>25</v>
      </c>
      <c r="N4468">
        <v>0</v>
      </c>
      <c r="O4468">
        <v>25</v>
      </c>
      <c r="P4468">
        <v>0</v>
      </c>
    </row>
    <row r="4469" spans="1:16" x14ac:dyDescent="0.25">
      <c r="A4469" t="s">
        <v>26874</v>
      </c>
      <c r="B4469" t="s">
        <v>4670</v>
      </c>
      <c r="C4469" t="s">
        <v>4671</v>
      </c>
      <c r="D4469" t="str">
        <f>"4643"</f>
        <v>4643</v>
      </c>
      <c r="E4469" t="s">
        <v>205</v>
      </c>
      <c r="F4469" t="s">
        <v>3670</v>
      </c>
      <c r="G4469" t="s">
        <v>16221</v>
      </c>
      <c r="H4469" t="s">
        <v>47055</v>
      </c>
      <c r="I4469" t="s">
        <v>47127</v>
      </c>
      <c r="J4469" t="s">
        <v>47128</v>
      </c>
      <c r="K4469" t="s">
        <v>47113</v>
      </c>
      <c r="L4469">
        <v>13.01</v>
      </c>
      <c r="M4469">
        <v>25</v>
      </c>
      <c r="N4469">
        <v>0</v>
      </c>
      <c r="O4469">
        <v>25</v>
      </c>
      <c r="P4469">
        <v>0</v>
      </c>
    </row>
    <row r="4470" spans="1:16" x14ac:dyDescent="0.25">
      <c r="A4470" t="s">
        <v>26875</v>
      </c>
      <c r="B4470" t="s">
        <v>4670</v>
      </c>
      <c r="C4470" t="s">
        <v>4671</v>
      </c>
      <c r="D4470" t="str">
        <f>"4753"</f>
        <v>4753</v>
      </c>
      <c r="E4470" t="s">
        <v>3755</v>
      </c>
      <c r="F4470" t="s">
        <v>3670</v>
      </c>
      <c r="G4470" t="s">
        <v>16221</v>
      </c>
      <c r="H4470" t="s">
        <v>47055</v>
      </c>
      <c r="I4470" t="s">
        <v>47127</v>
      </c>
      <c r="J4470" t="s">
        <v>47128</v>
      </c>
      <c r="K4470" t="s">
        <v>47113</v>
      </c>
      <c r="L4470">
        <v>13.01</v>
      </c>
      <c r="M4470">
        <v>25</v>
      </c>
      <c r="N4470">
        <v>0</v>
      </c>
      <c r="O4470">
        <v>25</v>
      </c>
      <c r="P4470">
        <v>0</v>
      </c>
    </row>
    <row r="4471" spans="1:16" x14ac:dyDescent="0.25">
      <c r="A4471" t="s">
        <v>26876</v>
      </c>
      <c r="B4471" t="s">
        <v>4670</v>
      </c>
      <c r="C4471" t="s">
        <v>4671</v>
      </c>
      <c r="D4471" t="str">
        <f>"6064"</f>
        <v>6064</v>
      </c>
      <c r="E4471" t="s">
        <v>87</v>
      </c>
      <c r="F4471" t="s">
        <v>3670</v>
      </c>
      <c r="G4471" t="s">
        <v>16221</v>
      </c>
      <c r="H4471" t="s">
        <v>47055</v>
      </c>
      <c r="I4471" t="s">
        <v>47127</v>
      </c>
      <c r="J4471" t="s">
        <v>47128</v>
      </c>
      <c r="K4471" t="s">
        <v>47113</v>
      </c>
      <c r="L4471">
        <v>13.01</v>
      </c>
      <c r="M4471">
        <v>25</v>
      </c>
      <c r="N4471">
        <v>0</v>
      </c>
      <c r="O4471">
        <v>25</v>
      </c>
      <c r="P4471">
        <v>0</v>
      </c>
    </row>
    <row r="4472" spans="1:16" x14ac:dyDescent="0.25">
      <c r="A4472" t="s">
        <v>26877</v>
      </c>
      <c r="B4472" t="s">
        <v>4672</v>
      </c>
      <c r="C4472" t="s">
        <v>4673</v>
      </c>
      <c r="D4472" t="str">
        <f>"1106"</f>
        <v>1106</v>
      </c>
      <c r="E4472" t="s">
        <v>460</v>
      </c>
      <c r="F4472" t="s">
        <v>3670</v>
      </c>
      <c r="G4472" t="s">
        <v>16221</v>
      </c>
      <c r="H4472" t="s">
        <v>47055</v>
      </c>
      <c r="I4472" t="s">
        <v>47127</v>
      </c>
      <c r="J4472" t="s">
        <v>47128</v>
      </c>
      <c r="K4472" t="s">
        <v>47113</v>
      </c>
      <c r="L4472">
        <v>11.34</v>
      </c>
      <c r="M4472">
        <v>22</v>
      </c>
      <c r="N4472">
        <v>0</v>
      </c>
      <c r="O4472">
        <v>22</v>
      </c>
      <c r="P4472">
        <v>0</v>
      </c>
    </row>
    <row r="4473" spans="1:16" x14ac:dyDescent="0.25">
      <c r="A4473" t="s">
        <v>26878</v>
      </c>
      <c r="B4473" t="s">
        <v>4672</v>
      </c>
      <c r="C4473" t="s">
        <v>4673</v>
      </c>
      <c r="D4473" t="str">
        <f>"1278"</f>
        <v>1278</v>
      </c>
      <c r="E4473" t="s">
        <v>100</v>
      </c>
      <c r="F4473" t="s">
        <v>3670</v>
      </c>
      <c r="G4473" t="s">
        <v>16221</v>
      </c>
      <c r="H4473" t="s">
        <v>47055</v>
      </c>
      <c r="I4473" t="s">
        <v>47127</v>
      </c>
      <c r="J4473" t="s">
        <v>47128</v>
      </c>
      <c r="K4473" t="s">
        <v>47113</v>
      </c>
      <c r="L4473">
        <v>11.34</v>
      </c>
      <c r="M4473">
        <v>22</v>
      </c>
      <c r="N4473">
        <v>0</v>
      </c>
      <c r="O4473">
        <v>22</v>
      </c>
      <c r="P4473">
        <v>0</v>
      </c>
    </row>
    <row r="4474" spans="1:16" x14ac:dyDescent="0.25">
      <c r="A4474" t="s">
        <v>26879</v>
      </c>
      <c r="B4474" t="s">
        <v>4672</v>
      </c>
      <c r="C4474" t="s">
        <v>4673</v>
      </c>
      <c r="D4474" t="str">
        <f>"1378"</f>
        <v>1378</v>
      </c>
      <c r="E4474" t="s">
        <v>388</v>
      </c>
      <c r="F4474" t="s">
        <v>3670</v>
      </c>
      <c r="G4474" t="s">
        <v>16221</v>
      </c>
      <c r="H4474" t="s">
        <v>47055</v>
      </c>
      <c r="I4474" t="s">
        <v>47127</v>
      </c>
      <c r="J4474" t="s">
        <v>47128</v>
      </c>
      <c r="K4474" t="s">
        <v>47113</v>
      </c>
      <c r="L4474">
        <v>11.34</v>
      </c>
      <c r="M4474">
        <v>22</v>
      </c>
      <c r="N4474">
        <v>0</v>
      </c>
      <c r="O4474">
        <v>22</v>
      </c>
      <c r="P4474">
        <v>0</v>
      </c>
    </row>
    <row r="4475" spans="1:16" x14ac:dyDescent="0.25">
      <c r="A4475" t="s">
        <v>26880</v>
      </c>
      <c r="B4475" t="s">
        <v>4672</v>
      </c>
      <c r="C4475" t="s">
        <v>4673</v>
      </c>
      <c r="D4475" t="str">
        <f>"1700"</f>
        <v>1700</v>
      </c>
      <c r="E4475" t="s">
        <v>60</v>
      </c>
      <c r="F4475" t="s">
        <v>3670</v>
      </c>
      <c r="G4475" t="s">
        <v>16221</v>
      </c>
      <c r="H4475" t="s">
        <v>47055</v>
      </c>
      <c r="I4475" t="s">
        <v>47127</v>
      </c>
      <c r="J4475" t="s">
        <v>47128</v>
      </c>
      <c r="K4475" t="s">
        <v>47113</v>
      </c>
      <c r="L4475">
        <v>11.34</v>
      </c>
      <c r="M4475">
        <v>22</v>
      </c>
      <c r="N4475">
        <v>0</v>
      </c>
      <c r="O4475">
        <v>22</v>
      </c>
      <c r="P4475">
        <v>0</v>
      </c>
    </row>
    <row r="4476" spans="1:16" x14ac:dyDescent="0.25">
      <c r="A4476" t="s">
        <v>26881</v>
      </c>
      <c r="B4476" t="s">
        <v>4672</v>
      </c>
      <c r="C4476" t="s">
        <v>4673</v>
      </c>
      <c r="D4476" t="str">
        <f>"3501"</f>
        <v>3501</v>
      </c>
      <c r="E4476" t="s">
        <v>3758</v>
      </c>
      <c r="F4476" t="s">
        <v>3670</v>
      </c>
      <c r="G4476" t="s">
        <v>16221</v>
      </c>
      <c r="H4476" t="s">
        <v>47055</v>
      </c>
      <c r="I4476" t="s">
        <v>47127</v>
      </c>
      <c r="J4476" t="s">
        <v>47128</v>
      </c>
      <c r="K4476" t="s">
        <v>47113</v>
      </c>
      <c r="L4476">
        <v>11.34</v>
      </c>
      <c r="M4476">
        <v>22</v>
      </c>
      <c r="N4476">
        <v>0</v>
      </c>
      <c r="O4476">
        <v>22</v>
      </c>
      <c r="P4476">
        <v>0</v>
      </c>
    </row>
    <row r="4477" spans="1:16" x14ac:dyDescent="0.25">
      <c r="A4477" t="s">
        <v>26882</v>
      </c>
      <c r="B4477" t="s">
        <v>4672</v>
      </c>
      <c r="C4477" t="s">
        <v>4673</v>
      </c>
      <c r="D4477" t="str">
        <f>"4643"</f>
        <v>4643</v>
      </c>
      <c r="E4477" t="s">
        <v>205</v>
      </c>
      <c r="F4477" t="s">
        <v>3670</v>
      </c>
      <c r="G4477" t="s">
        <v>16221</v>
      </c>
      <c r="H4477" t="s">
        <v>47055</v>
      </c>
      <c r="I4477" t="s">
        <v>47127</v>
      </c>
      <c r="J4477" t="s">
        <v>47128</v>
      </c>
      <c r="K4477" t="s">
        <v>47113</v>
      </c>
      <c r="L4477">
        <v>11.34</v>
      </c>
      <c r="M4477">
        <v>22</v>
      </c>
      <c r="N4477">
        <v>0</v>
      </c>
      <c r="O4477">
        <v>22</v>
      </c>
      <c r="P4477">
        <v>0</v>
      </c>
    </row>
    <row r="4478" spans="1:16" x14ac:dyDescent="0.25">
      <c r="A4478" t="s">
        <v>26883</v>
      </c>
      <c r="B4478" t="s">
        <v>4672</v>
      </c>
      <c r="C4478" t="s">
        <v>4673</v>
      </c>
      <c r="D4478" t="str">
        <f>"4753"</f>
        <v>4753</v>
      </c>
      <c r="E4478" t="s">
        <v>3755</v>
      </c>
      <c r="F4478" t="s">
        <v>3670</v>
      </c>
      <c r="G4478" t="s">
        <v>16221</v>
      </c>
      <c r="H4478" t="s">
        <v>47055</v>
      </c>
      <c r="I4478" t="s">
        <v>47127</v>
      </c>
      <c r="J4478" t="s">
        <v>47128</v>
      </c>
      <c r="K4478" t="s">
        <v>47113</v>
      </c>
      <c r="L4478">
        <v>11.34</v>
      </c>
      <c r="M4478">
        <v>22</v>
      </c>
      <c r="N4478">
        <v>0</v>
      </c>
      <c r="O4478">
        <v>22</v>
      </c>
      <c r="P4478">
        <v>0</v>
      </c>
    </row>
    <row r="4479" spans="1:16" x14ac:dyDescent="0.25">
      <c r="A4479" t="s">
        <v>26884</v>
      </c>
      <c r="B4479" t="s">
        <v>4674</v>
      </c>
      <c r="C4479" t="s">
        <v>4675</v>
      </c>
      <c r="D4479" t="str">
        <f>"1106"</f>
        <v>1106</v>
      </c>
      <c r="E4479" t="s">
        <v>460</v>
      </c>
      <c r="F4479" t="s">
        <v>3670</v>
      </c>
      <c r="G4479" t="s">
        <v>16221</v>
      </c>
      <c r="H4479" t="s">
        <v>47055</v>
      </c>
      <c r="I4479" t="s">
        <v>47127</v>
      </c>
      <c r="J4479" t="s">
        <v>47128</v>
      </c>
      <c r="K4479" t="s">
        <v>47113</v>
      </c>
      <c r="L4479">
        <v>17.670000000000002</v>
      </c>
      <c r="M4479">
        <v>32</v>
      </c>
      <c r="N4479">
        <v>0</v>
      </c>
      <c r="O4479">
        <v>32</v>
      </c>
      <c r="P4479">
        <v>0</v>
      </c>
    </row>
    <row r="4480" spans="1:16" x14ac:dyDescent="0.25">
      <c r="A4480" t="s">
        <v>26885</v>
      </c>
      <c r="B4480" t="s">
        <v>4674</v>
      </c>
      <c r="C4480" t="s">
        <v>4675</v>
      </c>
      <c r="D4480" t="str">
        <f>"1278"</f>
        <v>1278</v>
      </c>
      <c r="E4480" t="s">
        <v>100</v>
      </c>
      <c r="F4480" t="s">
        <v>3670</v>
      </c>
      <c r="G4480" t="s">
        <v>16221</v>
      </c>
      <c r="H4480" t="s">
        <v>47055</v>
      </c>
      <c r="I4480" t="s">
        <v>47127</v>
      </c>
      <c r="J4480" t="s">
        <v>47128</v>
      </c>
      <c r="K4480" t="s">
        <v>47113</v>
      </c>
      <c r="L4480">
        <v>17.670000000000002</v>
      </c>
      <c r="M4480">
        <v>32</v>
      </c>
      <c r="N4480">
        <v>0</v>
      </c>
      <c r="O4480">
        <v>32</v>
      </c>
      <c r="P4480">
        <v>0</v>
      </c>
    </row>
    <row r="4481" spans="1:16" x14ac:dyDescent="0.25">
      <c r="A4481" t="s">
        <v>26886</v>
      </c>
      <c r="B4481" t="s">
        <v>4674</v>
      </c>
      <c r="C4481" t="s">
        <v>4675</v>
      </c>
      <c r="D4481" t="str">
        <f>"1377"</f>
        <v>1377</v>
      </c>
      <c r="E4481" t="s">
        <v>74</v>
      </c>
      <c r="F4481" t="s">
        <v>3670</v>
      </c>
      <c r="G4481" t="s">
        <v>16221</v>
      </c>
      <c r="H4481" t="s">
        <v>47055</v>
      </c>
      <c r="I4481" t="s">
        <v>47127</v>
      </c>
      <c r="J4481" t="s">
        <v>47128</v>
      </c>
      <c r="K4481" t="s">
        <v>47113</v>
      </c>
      <c r="L4481">
        <v>17.670000000000002</v>
      </c>
      <c r="M4481">
        <v>32</v>
      </c>
      <c r="N4481">
        <v>0</v>
      </c>
      <c r="O4481">
        <v>32</v>
      </c>
      <c r="P4481">
        <v>0</v>
      </c>
    </row>
    <row r="4482" spans="1:16" x14ac:dyDescent="0.25">
      <c r="A4482" t="s">
        <v>26887</v>
      </c>
      <c r="B4482" t="s">
        <v>4674</v>
      </c>
      <c r="C4482" t="s">
        <v>4675</v>
      </c>
      <c r="D4482" t="str">
        <f>"1378"</f>
        <v>1378</v>
      </c>
      <c r="E4482" t="s">
        <v>388</v>
      </c>
      <c r="F4482" t="s">
        <v>3670</v>
      </c>
      <c r="G4482" t="s">
        <v>16221</v>
      </c>
      <c r="H4482" t="s">
        <v>47055</v>
      </c>
      <c r="I4482" t="s">
        <v>47127</v>
      </c>
      <c r="J4482" t="s">
        <v>47128</v>
      </c>
      <c r="K4482" t="s">
        <v>47113</v>
      </c>
      <c r="L4482">
        <v>17.670000000000002</v>
      </c>
      <c r="M4482">
        <v>32</v>
      </c>
      <c r="N4482">
        <v>0</v>
      </c>
      <c r="O4482">
        <v>32</v>
      </c>
      <c r="P4482">
        <v>0</v>
      </c>
    </row>
    <row r="4483" spans="1:16" x14ac:dyDescent="0.25">
      <c r="A4483" t="s">
        <v>26888</v>
      </c>
      <c r="B4483" t="s">
        <v>4674</v>
      </c>
      <c r="C4483" t="s">
        <v>4675</v>
      </c>
      <c r="D4483" t="str">
        <f>"1700"</f>
        <v>1700</v>
      </c>
      <c r="E4483" t="s">
        <v>60</v>
      </c>
      <c r="F4483" t="s">
        <v>3670</v>
      </c>
      <c r="G4483" t="s">
        <v>16221</v>
      </c>
      <c r="H4483" t="s">
        <v>47055</v>
      </c>
      <c r="I4483" t="s">
        <v>47127</v>
      </c>
      <c r="J4483" t="s">
        <v>47128</v>
      </c>
      <c r="K4483" t="s">
        <v>47113</v>
      </c>
      <c r="L4483">
        <v>17.670000000000002</v>
      </c>
      <c r="M4483">
        <v>32</v>
      </c>
      <c r="N4483">
        <v>0</v>
      </c>
      <c r="O4483">
        <v>32</v>
      </c>
      <c r="P4483">
        <v>0</v>
      </c>
    </row>
    <row r="4484" spans="1:16" x14ac:dyDescent="0.25">
      <c r="A4484" t="s">
        <v>26889</v>
      </c>
      <c r="B4484" t="s">
        <v>4674</v>
      </c>
      <c r="C4484" t="s">
        <v>4675</v>
      </c>
      <c r="D4484" t="str">
        <f>"3501"</f>
        <v>3501</v>
      </c>
      <c r="E4484" t="s">
        <v>3758</v>
      </c>
      <c r="F4484" t="s">
        <v>3670</v>
      </c>
      <c r="G4484" t="s">
        <v>16221</v>
      </c>
      <c r="H4484" t="s">
        <v>47055</v>
      </c>
      <c r="I4484" t="s">
        <v>47127</v>
      </c>
      <c r="J4484" t="s">
        <v>47128</v>
      </c>
      <c r="K4484" t="s">
        <v>47113</v>
      </c>
      <c r="L4484">
        <v>17.670000000000002</v>
      </c>
      <c r="M4484">
        <v>32</v>
      </c>
      <c r="N4484">
        <v>0</v>
      </c>
      <c r="O4484">
        <v>32</v>
      </c>
      <c r="P4484">
        <v>0</v>
      </c>
    </row>
    <row r="4485" spans="1:16" x14ac:dyDescent="0.25">
      <c r="A4485" t="s">
        <v>26890</v>
      </c>
      <c r="B4485" t="s">
        <v>4674</v>
      </c>
      <c r="C4485" t="s">
        <v>4675</v>
      </c>
      <c r="D4485" t="str">
        <f>"4643"</f>
        <v>4643</v>
      </c>
      <c r="E4485" t="s">
        <v>205</v>
      </c>
      <c r="F4485" t="s">
        <v>3670</v>
      </c>
      <c r="G4485" t="s">
        <v>16221</v>
      </c>
      <c r="H4485" t="s">
        <v>47055</v>
      </c>
      <c r="I4485" t="s">
        <v>47127</v>
      </c>
      <c r="J4485" t="s">
        <v>47128</v>
      </c>
      <c r="K4485" t="s">
        <v>47113</v>
      </c>
      <c r="L4485">
        <v>17.670000000000002</v>
      </c>
      <c r="M4485">
        <v>32</v>
      </c>
      <c r="N4485">
        <v>0</v>
      </c>
      <c r="O4485">
        <v>32</v>
      </c>
      <c r="P4485">
        <v>0</v>
      </c>
    </row>
    <row r="4486" spans="1:16" x14ac:dyDescent="0.25">
      <c r="A4486" t="s">
        <v>26891</v>
      </c>
      <c r="B4486" t="s">
        <v>4674</v>
      </c>
      <c r="C4486" t="s">
        <v>4675</v>
      </c>
      <c r="D4486" t="str">
        <f>"4753"</f>
        <v>4753</v>
      </c>
      <c r="E4486" t="s">
        <v>3755</v>
      </c>
      <c r="F4486" t="s">
        <v>3670</v>
      </c>
      <c r="G4486" t="s">
        <v>16221</v>
      </c>
      <c r="H4486" t="s">
        <v>47055</v>
      </c>
      <c r="I4486" t="s">
        <v>47127</v>
      </c>
      <c r="J4486" t="s">
        <v>47128</v>
      </c>
      <c r="K4486" t="s">
        <v>47113</v>
      </c>
      <c r="L4486">
        <v>17.670000000000002</v>
      </c>
      <c r="M4486">
        <v>32</v>
      </c>
      <c r="N4486">
        <v>0</v>
      </c>
      <c r="O4486">
        <v>32</v>
      </c>
      <c r="P4486">
        <v>0</v>
      </c>
    </row>
    <row r="4487" spans="1:16" x14ac:dyDescent="0.25">
      <c r="A4487" t="s">
        <v>26892</v>
      </c>
      <c r="B4487" t="s">
        <v>4674</v>
      </c>
      <c r="C4487" t="s">
        <v>4675</v>
      </c>
      <c r="D4487" t="str">
        <f>"6064"</f>
        <v>6064</v>
      </c>
      <c r="E4487" t="s">
        <v>87</v>
      </c>
      <c r="F4487" t="s">
        <v>3670</v>
      </c>
      <c r="G4487" t="s">
        <v>16221</v>
      </c>
      <c r="H4487" t="s">
        <v>47055</v>
      </c>
      <c r="I4487" t="s">
        <v>47127</v>
      </c>
      <c r="J4487" t="s">
        <v>47128</v>
      </c>
      <c r="K4487" t="s">
        <v>47113</v>
      </c>
      <c r="L4487">
        <v>17.670000000000002</v>
      </c>
      <c r="M4487">
        <v>32</v>
      </c>
      <c r="N4487">
        <v>0</v>
      </c>
      <c r="O4487">
        <v>32</v>
      </c>
      <c r="P4487">
        <v>0</v>
      </c>
    </row>
    <row r="4488" spans="1:16" x14ac:dyDescent="0.25">
      <c r="A4488" t="s">
        <v>26893</v>
      </c>
      <c r="B4488" t="s">
        <v>4674</v>
      </c>
      <c r="C4488" t="s">
        <v>4675</v>
      </c>
      <c r="D4488" t="str">
        <f>"8039"</f>
        <v>8039</v>
      </c>
      <c r="E4488" t="s">
        <v>4631</v>
      </c>
      <c r="F4488" t="s">
        <v>3670</v>
      </c>
      <c r="G4488" t="s">
        <v>16221</v>
      </c>
      <c r="H4488" t="s">
        <v>47055</v>
      </c>
      <c r="I4488" t="s">
        <v>47127</v>
      </c>
      <c r="J4488" t="s">
        <v>47128</v>
      </c>
      <c r="K4488" t="s">
        <v>47113</v>
      </c>
      <c r="L4488">
        <v>17.670000000000002</v>
      </c>
      <c r="M4488">
        <v>32</v>
      </c>
      <c r="N4488">
        <v>0</v>
      </c>
      <c r="O4488">
        <v>32</v>
      </c>
      <c r="P4488">
        <v>0</v>
      </c>
    </row>
    <row r="4489" spans="1:16" x14ac:dyDescent="0.25">
      <c r="A4489" t="s">
        <v>26894</v>
      </c>
      <c r="B4489" t="s">
        <v>4676</v>
      </c>
      <c r="C4489" t="s">
        <v>4677</v>
      </c>
      <c r="D4489" t="str">
        <f>"1106"</f>
        <v>1106</v>
      </c>
      <c r="E4489" t="s">
        <v>460</v>
      </c>
      <c r="F4489" t="s">
        <v>3670</v>
      </c>
      <c r="G4489" t="s">
        <v>16221</v>
      </c>
      <c r="H4489" t="s">
        <v>47055</v>
      </c>
      <c r="I4489" t="s">
        <v>47127</v>
      </c>
      <c r="J4489" t="s">
        <v>47128</v>
      </c>
      <c r="K4489" t="s">
        <v>47113</v>
      </c>
      <c r="L4489">
        <v>13.01</v>
      </c>
      <c r="M4489">
        <v>25</v>
      </c>
      <c r="N4489">
        <v>0</v>
      </c>
      <c r="O4489">
        <v>25</v>
      </c>
      <c r="P4489">
        <v>0</v>
      </c>
    </row>
    <row r="4490" spans="1:16" x14ac:dyDescent="0.25">
      <c r="A4490" t="s">
        <v>26895</v>
      </c>
      <c r="B4490" t="s">
        <v>4676</v>
      </c>
      <c r="C4490" t="s">
        <v>4677</v>
      </c>
      <c r="D4490" t="str">
        <f>"1278"</f>
        <v>1278</v>
      </c>
      <c r="E4490" t="s">
        <v>100</v>
      </c>
      <c r="F4490" t="s">
        <v>3670</v>
      </c>
      <c r="G4490" t="s">
        <v>16221</v>
      </c>
      <c r="H4490" t="s">
        <v>47055</v>
      </c>
      <c r="I4490" t="s">
        <v>47127</v>
      </c>
      <c r="J4490" t="s">
        <v>47128</v>
      </c>
      <c r="K4490" t="s">
        <v>47113</v>
      </c>
      <c r="L4490">
        <v>13.01</v>
      </c>
      <c r="M4490">
        <v>25</v>
      </c>
      <c r="N4490">
        <v>0</v>
      </c>
      <c r="O4490">
        <v>25</v>
      </c>
      <c r="P4490">
        <v>0</v>
      </c>
    </row>
    <row r="4491" spans="1:16" x14ac:dyDescent="0.25">
      <c r="A4491" t="s">
        <v>26896</v>
      </c>
      <c r="B4491" t="s">
        <v>4676</v>
      </c>
      <c r="C4491" t="s">
        <v>4677</v>
      </c>
      <c r="D4491" t="str">
        <f>"1700"</f>
        <v>1700</v>
      </c>
      <c r="E4491" t="s">
        <v>60</v>
      </c>
      <c r="F4491" t="s">
        <v>3670</v>
      </c>
      <c r="G4491" t="s">
        <v>16221</v>
      </c>
      <c r="H4491" t="s">
        <v>47055</v>
      </c>
      <c r="I4491" t="s">
        <v>47127</v>
      </c>
      <c r="J4491" t="s">
        <v>47128</v>
      </c>
      <c r="K4491" t="s">
        <v>47113</v>
      </c>
      <c r="L4491">
        <v>13.01</v>
      </c>
      <c r="M4491">
        <v>25</v>
      </c>
      <c r="N4491">
        <v>0</v>
      </c>
      <c r="O4491">
        <v>25</v>
      </c>
      <c r="P4491">
        <v>0</v>
      </c>
    </row>
    <row r="4492" spans="1:16" x14ac:dyDescent="0.25">
      <c r="A4492" t="s">
        <v>26897</v>
      </c>
      <c r="B4492" t="s">
        <v>4676</v>
      </c>
      <c r="C4492" t="s">
        <v>4677</v>
      </c>
      <c r="D4492" t="str">
        <f>"3501"</f>
        <v>3501</v>
      </c>
      <c r="E4492" t="s">
        <v>3758</v>
      </c>
      <c r="F4492" t="s">
        <v>3670</v>
      </c>
      <c r="G4492" t="s">
        <v>16221</v>
      </c>
      <c r="H4492" t="s">
        <v>47055</v>
      </c>
      <c r="I4492" t="s">
        <v>47127</v>
      </c>
      <c r="J4492" t="s">
        <v>47128</v>
      </c>
      <c r="K4492" t="s">
        <v>47113</v>
      </c>
      <c r="L4492">
        <v>13.01</v>
      </c>
      <c r="M4492">
        <v>25</v>
      </c>
      <c r="N4492">
        <v>0</v>
      </c>
      <c r="O4492">
        <v>25</v>
      </c>
      <c r="P4492">
        <v>0</v>
      </c>
    </row>
    <row r="4493" spans="1:16" x14ac:dyDescent="0.25">
      <c r="A4493" t="s">
        <v>26898</v>
      </c>
      <c r="B4493" t="s">
        <v>4676</v>
      </c>
      <c r="C4493" t="s">
        <v>4677</v>
      </c>
      <c r="D4493" t="str">
        <f>"4643"</f>
        <v>4643</v>
      </c>
      <c r="E4493" t="s">
        <v>205</v>
      </c>
      <c r="F4493" t="s">
        <v>3670</v>
      </c>
      <c r="G4493" t="s">
        <v>16221</v>
      </c>
      <c r="H4493" t="s">
        <v>47055</v>
      </c>
      <c r="I4493" t="s">
        <v>47127</v>
      </c>
      <c r="J4493" t="s">
        <v>47128</v>
      </c>
      <c r="K4493" t="s">
        <v>47113</v>
      </c>
      <c r="L4493">
        <v>13.01</v>
      </c>
      <c r="M4493">
        <v>25</v>
      </c>
      <c r="N4493">
        <v>0</v>
      </c>
      <c r="O4493">
        <v>25</v>
      </c>
      <c r="P4493">
        <v>0</v>
      </c>
    </row>
    <row r="4494" spans="1:16" x14ac:dyDescent="0.25">
      <c r="A4494" t="s">
        <v>26899</v>
      </c>
      <c r="B4494" t="s">
        <v>4676</v>
      </c>
      <c r="C4494" t="s">
        <v>4677</v>
      </c>
      <c r="D4494" t="str">
        <f>"6064"</f>
        <v>6064</v>
      </c>
      <c r="E4494" t="s">
        <v>87</v>
      </c>
      <c r="F4494" t="s">
        <v>3670</v>
      </c>
      <c r="G4494" t="s">
        <v>16221</v>
      </c>
      <c r="H4494" t="s">
        <v>47055</v>
      </c>
      <c r="I4494" t="s">
        <v>47127</v>
      </c>
      <c r="J4494" t="s">
        <v>47128</v>
      </c>
      <c r="K4494" t="s">
        <v>47113</v>
      </c>
      <c r="L4494">
        <v>13.01</v>
      </c>
      <c r="M4494">
        <v>25</v>
      </c>
      <c r="N4494">
        <v>0</v>
      </c>
      <c r="O4494">
        <v>25</v>
      </c>
      <c r="P4494">
        <v>0</v>
      </c>
    </row>
    <row r="4495" spans="1:16" x14ac:dyDescent="0.25">
      <c r="A4495" t="s">
        <v>26900</v>
      </c>
      <c r="B4495" t="s">
        <v>4678</v>
      </c>
      <c r="C4495" t="s">
        <v>4679</v>
      </c>
      <c r="D4495" t="str">
        <f>"1106"</f>
        <v>1106</v>
      </c>
      <c r="E4495" t="s">
        <v>460</v>
      </c>
      <c r="F4495" t="s">
        <v>3670</v>
      </c>
      <c r="G4495" t="s">
        <v>16232</v>
      </c>
      <c r="H4495" t="s">
        <v>47055</v>
      </c>
      <c r="I4495" t="s">
        <v>47127</v>
      </c>
      <c r="J4495" t="s">
        <v>47128</v>
      </c>
      <c r="K4495" t="s">
        <v>47113</v>
      </c>
      <c r="L4495">
        <v>12.54</v>
      </c>
      <c r="M4495">
        <v>25</v>
      </c>
      <c r="N4495">
        <v>0</v>
      </c>
      <c r="O4495">
        <v>25</v>
      </c>
      <c r="P4495">
        <v>0</v>
      </c>
    </row>
    <row r="4496" spans="1:16" x14ac:dyDescent="0.25">
      <c r="A4496" t="s">
        <v>26901</v>
      </c>
      <c r="B4496" t="s">
        <v>4678</v>
      </c>
      <c r="C4496" t="s">
        <v>4679</v>
      </c>
      <c r="D4496" t="str">
        <f>"1278"</f>
        <v>1278</v>
      </c>
      <c r="E4496" t="s">
        <v>100</v>
      </c>
      <c r="F4496" t="s">
        <v>3670</v>
      </c>
      <c r="G4496" t="s">
        <v>16232</v>
      </c>
      <c r="H4496" t="s">
        <v>47055</v>
      </c>
      <c r="I4496" t="s">
        <v>47127</v>
      </c>
      <c r="J4496" t="s">
        <v>47128</v>
      </c>
      <c r="K4496" t="s">
        <v>47113</v>
      </c>
      <c r="L4496">
        <v>12.54</v>
      </c>
      <c r="M4496">
        <v>25</v>
      </c>
      <c r="N4496">
        <v>0</v>
      </c>
      <c r="O4496">
        <v>25</v>
      </c>
      <c r="P4496">
        <v>0</v>
      </c>
    </row>
    <row r="4497" spans="1:16" x14ac:dyDescent="0.25">
      <c r="A4497" t="s">
        <v>26902</v>
      </c>
      <c r="B4497" t="s">
        <v>4678</v>
      </c>
      <c r="C4497" t="s">
        <v>4679</v>
      </c>
      <c r="D4497" t="str">
        <f>"1700"</f>
        <v>1700</v>
      </c>
      <c r="E4497" t="s">
        <v>60</v>
      </c>
      <c r="F4497" t="s">
        <v>3670</v>
      </c>
      <c r="G4497" t="s">
        <v>16232</v>
      </c>
      <c r="H4497" t="s">
        <v>47055</v>
      </c>
      <c r="I4497" t="s">
        <v>47127</v>
      </c>
      <c r="J4497" t="s">
        <v>47128</v>
      </c>
      <c r="K4497" t="s">
        <v>47113</v>
      </c>
      <c r="L4497">
        <v>12.54</v>
      </c>
      <c r="M4497">
        <v>25</v>
      </c>
      <c r="N4497">
        <v>0</v>
      </c>
      <c r="O4497">
        <v>25</v>
      </c>
      <c r="P4497">
        <v>0</v>
      </c>
    </row>
    <row r="4498" spans="1:16" x14ac:dyDescent="0.25">
      <c r="A4498" t="s">
        <v>26903</v>
      </c>
      <c r="B4498" t="s">
        <v>4678</v>
      </c>
      <c r="C4498" t="s">
        <v>4679</v>
      </c>
      <c r="D4498" t="str">
        <f>"3501"</f>
        <v>3501</v>
      </c>
      <c r="E4498" t="s">
        <v>3758</v>
      </c>
      <c r="F4498" t="s">
        <v>3670</v>
      </c>
      <c r="G4498" t="s">
        <v>16232</v>
      </c>
      <c r="H4498" t="s">
        <v>47055</v>
      </c>
      <c r="I4498" t="s">
        <v>47127</v>
      </c>
      <c r="J4498" t="s">
        <v>47128</v>
      </c>
      <c r="K4498" t="s">
        <v>47113</v>
      </c>
      <c r="L4498">
        <v>12.54</v>
      </c>
      <c r="M4498">
        <v>25</v>
      </c>
      <c r="N4498">
        <v>0</v>
      </c>
      <c r="O4498">
        <v>25</v>
      </c>
      <c r="P4498">
        <v>0</v>
      </c>
    </row>
    <row r="4499" spans="1:16" x14ac:dyDescent="0.25">
      <c r="A4499" t="s">
        <v>26904</v>
      </c>
      <c r="B4499" t="s">
        <v>4678</v>
      </c>
      <c r="C4499" t="s">
        <v>4679</v>
      </c>
      <c r="D4499" t="str">
        <f>"4643"</f>
        <v>4643</v>
      </c>
      <c r="E4499" t="s">
        <v>205</v>
      </c>
      <c r="F4499" t="s">
        <v>3670</v>
      </c>
      <c r="G4499" t="s">
        <v>16232</v>
      </c>
      <c r="H4499" t="s">
        <v>47055</v>
      </c>
      <c r="I4499" t="s">
        <v>47127</v>
      </c>
      <c r="J4499" t="s">
        <v>47128</v>
      </c>
      <c r="K4499" t="s">
        <v>47113</v>
      </c>
      <c r="L4499">
        <v>12.54</v>
      </c>
      <c r="M4499">
        <v>25</v>
      </c>
      <c r="N4499">
        <v>0</v>
      </c>
      <c r="O4499">
        <v>25</v>
      </c>
      <c r="P4499">
        <v>0</v>
      </c>
    </row>
    <row r="4500" spans="1:16" x14ac:dyDescent="0.25">
      <c r="A4500" t="s">
        <v>26905</v>
      </c>
      <c r="B4500" t="s">
        <v>4678</v>
      </c>
      <c r="C4500" t="s">
        <v>4679</v>
      </c>
      <c r="D4500" t="str">
        <f>"6064"</f>
        <v>6064</v>
      </c>
      <c r="E4500" t="s">
        <v>87</v>
      </c>
      <c r="F4500" t="s">
        <v>3670</v>
      </c>
      <c r="G4500" t="s">
        <v>16232</v>
      </c>
      <c r="H4500" t="s">
        <v>47055</v>
      </c>
      <c r="I4500" t="s">
        <v>47127</v>
      </c>
      <c r="J4500" t="s">
        <v>47128</v>
      </c>
      <c r="K4500" t="s">
        <v>47113</v>
      </c>
      <c r="L4500">
        <v>12.54</v>
      </c>
      <c r="M4500">
        <v>25</v>
      </c>
      <c r="N4500">
        <v>0</v>
      </c>
      <c r="O4500">
        <v>25</v>
      </c>
      <c r="P4500">
        <v>0</v>
      </c>
    </row>
    <row r="4501" spans="1:16" x14ac:dyDescent="0.25">
      <c r="A4501" t="s">
        <v>26906</v>
      </c>
      <c r="B4501" t="s">
        <v>4680</v>
      </c>
      <c r="C4501" t="s">
        <v>4681</v>
      </c>
      <c r="D4501" t="str">
        <f>"1106"</f>
        <v>1106</v>
      </c>
      <c r="E4501" t="s">
        <v>460</v>
      </c>
      <c r="F4501" t="s">
        <v>3670</v>
      </c>
      <c r="G4501" t="s">
        <v>16221</v>
      </c>
      <c r="H4501" t="s">
        <v>47055</v>
      </c>
      <c r="I4501" t="s">
        <v>47127</v>
      </c>
      <c r="J4501" t="s">
        <v>47128</v>
      </c>
      <c r="K4501" t="s">
        <v>47113</v>
      </c>
      <c r="L4501">
        <v>11.34</v>
      </c>
      <c r="M4501">
        <v>22</v>
      </c>
      <c r="N4501">
        <v>0</v>
      </c>
      <c r="O4501">
        <v>22</v>
      </c>
      <c r="P4501">
        <v>0</v>
      </c>
    </row>
    <row r="4502" spans="1:16" x14ac:dyDescent="0.25">
      <c r="A4502" t="s">
        <v>26907</v>
      </c>
      <c r="B4502" t="s">
        <v>4680</v>
      </c>
      <c r="C4502" t="s">
        <v>4681</v>
      </c>
      <c r="D4502" t="str">
        <f>"1278"</f>
        <v>1278</v>
      </c>
      <c r="E4502" t="s">
        <v>100</v>
      </c>
      <c r="F4502" t="s">
        <v>3670</v>
      </c>
      <c r="G4502" t="s">
        <v>16221</v>
      </c>
      <c r="H4502" t="s">
        <v>47055</v>
      </c>
      <c r="I4502" t="s">
        <v>47127</v>
      </c>
      <c r="J4502" t="s">
        <v>47128</v>
      </c>
      <c r="K4502" t="s">
        <v>47113</v>
      </c>
      <c r="L4502">
        <v>11.34</v>
      </c>
      <c r="M4502">
        <v>22</v>
      </c>
      <c r="N4502">
        <v>0</v>
      </c>
      <c r="O4502">
        <v>22</v>
      </c>
      <c r="P4502">
        <v>0</v>
      </c>
    </row>
    <row r="4503" spans="1:16" x14ac:dyDescent="0.25">
      <c r="A4503" t="s">
        <v>26908</v>
      </c>
      <c r="B4503" t="s">
        <v>4680</v>
      </c>
      <c r="C4503" t="s">
        <v>4681</v>
      </c>
      <c r="D4503" t="str">
        <f>"1700"</f>
        <v>1700</v>
      </c>
      <c r="E4503" t="s">
        <v>60</v>
      </c>
      <c r="F4503" t="s">
        <v>3670</v>
      </c>
      <c r="G4503" t="s">
        <v>16221</v>
      </c>
      <c r="H4503" t="s">
        <v>47055</v>
      </c>
      <c r="I4503" t="s">
        <v>47127</v>
      </c>
      <c r="J4503" t="s">
        <v>47128</v>
      </c>
      <c r="K4503" t="s">
        <v>47113</v>
      </c>
      <c r="L4503">
        <v>11.34</v>
      </c>
      <c r="M4503">
        <v>22</v>
      </c>
      <c r="N4503">
        <v>0</v>
      </c>
      <c r="O4503">
        <v>22</v>
      </c>
      <c r="P4503">
        <v>0</v>
      </c>
    </row>
    <row r="4504" spans="1:16" x14ac:dyDescent="0.25">
      <c r="A4504" t="s">
        <v>26909</v>
      </c>
      <c r="B4504" t="s">
        <v>4680</v>
      </c>
      <c r="C4504" t="s">
        <v>4681</v>
      </c>
      <c r="D4504" t="str">
        <f>"3501"</f>
        <v>3501</v>
      </c>
      <c r="E4504" t="s">
        <v>3758</v>
      </c>
      <c r="F4504" t="s">
        <v>3670</v>
      </c>
      <c r="G4504" t="s">
        <v>16221</v>
      </c>
      <c r="H4504" t="s">
        <v>47055</v>
      </c>
      <c r="I4504" t="s">
        <v>47127</v>
      </c>
      <c r="J4504" t="s">
        <v>47128</v>
      </c>
      <c r="K4504" t="s">
        <v>47113</v>
      </c>
      <c r="L4504">
        <v>11.34</v>
      </c>
      <c r="M4504">
        <v>22</v>
      </c>
      <c r="N4504">
        <v>0</v>
      </c>
      <c r="O4504">
        <v>22</v>
      </c>
      <c r="P4504">
        <v>0</v>
      </c>
    </row>
    <row r="4505" spans="1:16" x14ac:dyDescent="0.25">
      <c r="A4505" t="s">
        <v>26910</v>
      </c>
      <c r="B4505" t="s">
        <v>4680</v>
      </c>
      <c r="C4505" t="s">
        <v>4681</v>
      </c>
      <c r="D4505" t="str">
        <f>"4643"</f>
        <v>4643</v>
      </c>
      <c r="E4505" t="s">
        <v>205</v>
      </c>
      <c r="F4505" t="s">
        <v>3670</v>
      </c>
      <c r="G4505" t="s">
        <v>16221</v>
      </c>
      <c r="H4505" t="s">
        <v>47055</v>
      </c>
      <c r="I4505" t="s">
        <v>47127</v>
      </c>
      <c r="J4505" t="s">
        <v>47128</v>
      </c>
      <c r="K4505" t="s">
        <v>47113</v>
      </c>
      <c r="L4505">
        <v>11.34</v>
      </c>
      <c r="M4505">
        <v>22</v>
      </c>
      <c r="N4505">
        <v>0</v>
      </c>
      <c r="O4505">
        <v>22</v>
      </c>
      <c r="P4505">
        <v>0</v>
      </c>
    </row>
    <row r="4506" spans="1:16" x14ac:dyDescent="0.25">
      <c r="A4506" t="s">
        <v>26911</v>
      </c>
      <c r="B4506" t="s">
        <v>4682</v>
      </c>
      <c r="C4506" t="s">
        <v>4683</v>
      </c>
      <c r="D4506" t="str">
        <f>"1106"</f>
        <v>1106</v>
      </c>
      <c r="E4506" t="s">
        <v>460</v>
      </c>
      <c r="F4506" t="s">
        <v>3670</v>
      </c>
      <c r="G4506" t="s">
        <v>16232</v>
      </c>
      <c r="H4506" t="s">
        <v>47055</v>
      </c>
      <c r="I4506" t="s">
        <v>47127</v>
      </c>
      <c r="J4506" t="s">
        <v>47128</v>
      </c>
      <c r="K4506" t="s">
        <v>47113</v>
      </c>
      <c r="L4506">
        <v>14.92</v>
      </c>
      <c r="M4506">
        <v>27</v>
      </c>
      <c r="N4506">
        <v>0</v>
      </c>
      <c r="O4506">
        <v>27</v>
      </c>
      <c r="P4506">
        <v>0</v>
      </c>
    </row>
    <row r="4507" spans="1:16" x14ac:dyDescent="0.25">
      <c r="A4507" t="s">
        <v>26912</v>
      </c>
      <c r="B4507" t="s">
        <v>4682</v>
      </c>
      <c r="C4507" t="s">
        <v>4683</v>
      </c>
      <c r="D4507" t="str">
        <f>"1278"</f>
        <v>1278</v>
      </c>
      <c r="E4507" t="s">
        <v>100</v>
      </c>
      <c r="F4507" t="s">
        <v>3670</v>
      </c>
      <c r="G4507" t="s">
        <v>16232</v>
      </c>
      <c r="H4507" t="s">
        <v>47055</v>
      </c>
      <c r="I4507" t="s">
        <v>47127</v>
      </c>
      <c r="J4507" t="s">
        <v>47128</v>
      </c>
      <c r="K4507" t="s">
        <v>47113</v>
      </c>
      <c r="L4507">
        <v>14.92</v>
      </c>
      <c r="M4507">
        <v>27</v>
      </c>
      <c r="N4507">
        <v>0</v>
      </c>
      <c r="O4507">
        <v>27</v>
      </c>
      <c r="P4507">
        <v>0</v>
      </c>
    </row>
    <row r="4508" spans="1:16" x14ac:dyDescent="0.25">
      <c r="A4508" t="s">
        <v>26913</v>
      </c>
      <c r="B4508" t="s">
        <v>4682</v>
      </c>
      <c r="C4508" t="s">
        <v>4683</v>
      </c>
      <c r="D4508" t="str">
        <f>"1700"</f>
        <v>1700</v>
      </c>
      <c r="E4508" t="s">
        <v>60</v>
      </c>
      <c r="F4508" t="s">
        <v>3670</v>
      </c>
      <c r="G4508" t="s">
        <v>16232</v>
      </c>
      <c r="H4508" t="s">
        <v>47055</v>
      </c>
      <c r="I4508" t="s">
        <v>47127</v>
      </c>
      <c r="J4508" t="s">
        <v>47128</v>
      </c>
      <c r="K4508" t="s">
        <v>47113</v>
      </c>
      <c r="L4508">
        <v>14.92</v>
      </c>
      <c r="M4508">
        <v>27</v>
      </c>
      <c r="N4508">
        <v>0</v>
      </c>
      <c r="O4508">
        <v>27</v>
      </c>
      <c r="P4508">
        <v>0</v>
      </c>
    </row>
    <row r="4509" spans="1:16" x14ac:dyDescent="0.25">
      <c r="A4509" t="s">
        <v>26914</v>
      </c>
      <c r="B4509" t="s">
        <v>4682</v>
      </c>
      <c r="C4509" t="s">
        <v>4683</v>
      </c>
      <c r="D4509" t="str">
        <f>"3501"</f>
        <v>3501</v>
      </c>
      <c r="E4509" t="s">
        <v>3758</v>
      </c>
      <c r="F4509" t="s">
        <v>3670</v>
      </c>
      <c r="G4509" t="s">
        <v>16232</v>
      </c>
      <c r="H4509" t="s">
        <v>47055</v>
      </c>
      <c r="I4509" t="s">
        <v>47127</v>
      </c>
      <c r="J4509" t="s">
        <v>47128</v>
      </c>
      <c r="K4509" t="s">
        <v>47113</v>
      </c>
      <c r="L4509">
        <v>14.92</v>
      </c>
      <c r="M4509">
        <v>27</v>
      </c>
      <c r="N4509">
        <v>0</v>
      </c>
      <c r="O4509">
        <v>27</v>
      </c>
      <c r="P4509">
        <v>0</v>
      </c>
    </row>
    <row r="4510" spans="1:16" x14ac:dyDescent="0.25">
      <c r="A4510" t="s">
        <v>26915</v>
      </c>
      <c r="B4510" t="s">
        <v>4682</v>
      </c>
      <c r="C4510" t="s">
        <v>4683</v>
      </c>
      <c r="D4510" t="str">
        <f>"4643"</f>
        <v>4643</v>
      </c>
      <c r="E4510" t="s">
        <v>205</v>
      </c>
      <c r="F4510" t="s">
        <v>3670</v>
      </c>
      <c r="G4510" t="s">
        <v>16232</v>
      </c>
      <c r="H4510" t="s">
        <v>47055</v>
      </c>
      <c r="I4510" t="s">
        <v>47127</v>
      </c>
      <c r="J4510" t="s">
        <v>47128</v>
      </c>
      <c r="K4510" t="s">
        <v>47113</v>
      </c>
      <c r="L4510">
        <v>14.92</v>
      </c>
      <c r="M4510">
        <v>27</v>
      </c>
      <c r="N4510">
        <v>0</v>
      </c>
      <c r="O4510">
        <v>27</v>
      </c>
      <c r="P4510">
        <v>0</v>
      </c>
    </row>
    <row r="4511" spans="1:16" x14ac:dyDescent="0.25">
      <c r="A4511" t="s">
        <v>26916</v>
      </c>
      <c r="B4511" t="s">
        <v>4682</v>
      </c>
      <c r="C4511" t="s">
        <v>4683</v>
      </c>
      <c r="D4511" t="str">
        <f>"6064"</f>
        <v>6064</v>
      </c>
      <c r="E4511" t="s">
        <v>87</v>
      </c>
      <c r="F4511" t="s">
        <v>3670</v>
      </c>
      <c r="G4511" t="s">
        <v>16232</v>
      </c>
      <c r="H4511" t="s">
        <v>47055</v>
      </c>
      <c r="I4511" t="s">
        <v>47127</v>
      </c>
      <c r="J4511" t="s">
        <v>47128</v>
      </c>
      <c r="K4511" t="s">
        <v>47113</v>
      </c>
      <c r="L4511">
        <v>14.92</v>
      </c>
      <c r="M4511">
        <v>27</v>
      </c>
      <c r="N4511">
        <v>0</v>
      </c>
      <c r="O4511">
        <v>27</v>
      </c>
      <c r="P4511">
        <v>0</v>
      </c>
    </row>
    <row r="4512" spans="1:16" x14ac:dyDescent="0.25">
      <c r="A4512" t="s">
        <v>26917</v>
      </c>
      <c r="B4512" t="s">
        <v>4684</v>
      </c>
      <c r="C4512" t="s">
        <v>4685</v>
      </c>
      <c r="D4512" t="str">
        <f>"1106"</f>
        <v>1106</v>
      </c>
      <c r="E4512" t="s">
        <v>460</v>
      </c>
      <c r="F4512" t="s">
        <v>3670</v>
      </c>
      <c r="G4512" t="s">
        <v>16232</v>
      </c>
      <c r="H4512" t="s">
        <v>47055</v>
      </c>
      <c r="I4512" t="s">
        <v>47127</v>
      </c>
      <c r="J4512" t="s">
        <v>47128</v>
      </c>
      <c r="K4512" t="s">
        <v>47113</v>
      </c>
      <c r="L4512">
        <v>17.670000000000002</v>
      </c>
      <c r="M4512">
        <v>32</v>
      </c>
      <c r="N4512">
        <v>0</v>
      </c>
      <c r="O4512">
        <v>32</v>
      </c>
      <c r="P4512">
        <v>0</v>
      </c>
    </row>
    <row r="4513" spans="1:16" x14ac:dyDescent="0.25">
      <c r="A4513" t="s">
        <v>26918</v>
      </c>
      <c r="B4513" t="s">
        <v>4684</v>
      </c>
      <c r="C4513" t="s">
        <v>4685</v>
      </c>
      <c r="D4513" t="str">
        <f>"1278"</f>
        <v>1278</v>
      </c>
      <c r="E4513" t="s">
        <v>100</v>
      </c>
      <c r="F4513" t="s">
        <v>3670</v>
      </c>
      <c r="G4513" t="s">
        <v>16232</v>
      </c>
      <c r="H4513" t="s">
        <v>47055</v>
      </c>
      <c r="I4513" t="s">
        <v>47127</v>
      </c>
      <c r="J4513" t="s">
        <v>47128</v>
      </c>
      <c r="K4513" t="s">
        <v>47113</v>
      </c>
      <c r="L4513">
        <v>17.670000000000002</v>
      </c>
      <c r="M4513">
        <v>32</v>
      </c>
      <c r="N4513">
        <v>0</v>
      </c>
      <c r="O4513">
        <v>32</v>
      </c>
      <c r="P4513">
        <v>0</v>
      </c>
    </row>
    <row r="4514" spans="1:16" x14ac:dyDescent="0.25">
      <c r="A4514" t="s">
        <v>26919</v>
      </c>
      <c r="B4514" t="s">
        <v>4684</v>
      </c>
      <c r="C4514" t="s">
        <v>4685</v>
      </c>
      <c r="D4514" t="str">
        <f>"1700"</f>
        <v>1700</v>
      </c>
      <c r="E4514" t="s">
        <v>60</v>
      </c>
      <c r="F4514" t="s">
        <v>3670</v>
      </c>
      <c r="G4514" t="s">
        <v>16232</v>
      </c>
      <c r="H4514" t="s">
        <v>47055</v>
      </c>
      <c r="I4514" t="s">
        <v>47127</v>
      </c>
      <c r="J4514" t="s">
        <v>47128</v>
      </c>
      <c r="K4514" t="s">
        <v>47113</v>
      </c>
      <c r="L4514">
        <v>17.670000000000002</v>
      </c>
      <c r="M4514">
        <v>32</v>
      </c>
      <c r="N4514">
        <v>0</v>
      </c>
      <c r="O4514">
        <v>32</v>
      </c>
      <c r="P4514">
        <v>0</v>
      </c>
    </row>
    <row r="4515" spans="1:16" x14ac:dyDescent="0.25">
      <c r="A4515" t="s">
        <v>26920</v>
      </c>
      <c r="B4515" t="s">
        <v>4684</v>
      </c>
      <c r="C4515" t="s">
        <v>4685</v>
      </c>
      <c r="D4515" t="str">
        <f>"3501"</f>
        <v>3501</v>
      </c>
      <c r="E4515" t="s">
        <v>3758</v>
      </c>
      <c r="F4515" t="s">
        <v>3670</v>
      </c>
      <c r="G4515" t="s">
        <v>16232</v>
      </c>
      <c r="H4515" t="s">
        <v>47055</v>
      </c>
      <c r="I4515" t="s">
        <v>47127</v>
      </c>
      <c r="J4515" t="s">
        <v>47128</v>
      </c>
      <c r="K4515" t="s">
        <v>47113</v>
      </c>
      <c r="L4515">
        <v>17.670000000000002</v>
      </c>
      <c r="M4515">
        <v>32</v>
      </c>
      <c r="N4515">
        <v>0</v>
      </c>
      <c r="O4515">
        <v>32</v>
      </c>
      <c r="P4515">
        <v>0</v>
      </c>
    </row>
    <row r="4516" spans="1:16" x14ac:dyDescent="0.25">
      <c r="A4516" t="s">
        <v>26921</v>
      </c>
      <c r="B4516" t="s">
        <v>4684</v>
      </c>
      <c r="C4516" t="s">
        <v>4685</v>
      </c>
      <c r="D4516" t="str">
        <f>"4643"</f>
        <v>4643</v>
      </c>
      <c r="E4516" t="s">
        <v>205</v>
      </c>
      <c r="F4516" t="s">
        <v>3670</v>
      </c>
      <c r="G4516" t="s">
        <v>16232</v>
      </c>
      <c r="H4516" t="s">
        <v>47055</v>
      </c>
      <c r="I4516" t="s">
        <v>47127</v>
      </c>
      <c r="J4516" t="s">
        <v>47128</v>
      </c>
      <c r="K4516" t="s">
        <v>47113</v>
      </c>
      <c r="L4516">
        <v>17.670000000000002</v>
      </c>
      <c r="M4516">
        <v>32</v>
      </c>
      <c r="N4516">
        <v>0</v>
      </c>
      <c r="O4516">
        <v>32</v>
      </c>
      <c r="P4516">
        <v>0</v>
      </c>
    </row>
    <row r="4517" spans="1:16" x14ac:dyDescent="0.25">
      <c r="A4517" t="s">
        <v>26922</v>
      </c>
      <c r="B4517" t="s">
        <v>4684</v>
      </c>
      <c r="C4517" t="s">
        <v>4685</v>
      </c>
      <c r="D4517" t="str">
        <f>"6064"</f>
        <v>6064</v>
      </c>
      <c r="E4517" t="s">
        <v>87</v>
      </c>
      <c r="F4517" t="s">
        <v>3670</v>
      </c>
      <c r="G4517" t="s">
        <v>16232</v>
      </c>
      <c r="H4517" t="s">
        <v>47055</v>
      </c>
      <c r="I4517" t="s">
        <v>47127</v>
      </c>
      <c r="J4517" t="s">
        <v>47128</v>
      </c>
      <c r="K4517" t="s">
        <v>47113</v>
      </c>
      <c r="L4517">
        <v>17.670000000000002</v>
      </c>
      <c r="M4517">
        <v>32</v>
      </c>
      <c r="N4517">
        <v>0</v>
      </c>
      <c r="O4517">
        <v>32</v>
      </c>
      <c r="P4517">
        <v>0</v>
      </c>
    </row>
    <row r="4518" spans="1:16" x14ac:dyDescent="0.25">
      <c r="A4518" t="s">
        <v>26923</v>
      </c>
      <c r="B4518" t="s">
        <v>4686</v>
      </c>
      <c r="C4518" t="s">
        <v>4683</v>
      </c>
      <c r="D4518" t="str">
        <f>"1106"</f>
        <v>1106</v>
      </c>
      <c r="E4518" t="s">
        <v>460</v>
      </c>
      <c r="F4518" t="s">
        <v>3670</v>
      </c>
      <c r="G4518" t="s">
        <v>16221</v>
      </c>
      <c r="H4518" t="s">
        <v>47055</v>
      </c>
      <c r="I4518" t="s">
        <v>47127</v>
      </c>
      <c r="J4518" t="s">
        <v>47128</v>
      </c>
      <c r="K4518" t="s">
        <v>47113</v>
      </c>
      <c r="L4518">
        <v>12.54</v>
      </c>
      <c r="M4518">
        <v>25</v>
      </c>
      <c r="N4518">
        <v>0</v>
      </c>
      <c r="O4518">
        <v>25</v>
      </c>
      <c r="P4518">
        <v>0</v>
      </c>
    </row>
    <row r="4519" spans="1:16" x14ac:dyDescent="0.25">
      <c r="A4519" t="s">
        <v>26924</v>
      </c>
      <c r="B4519" t="s">
        <v>4686</v>
      </c>
      <c r="C4519" t="s">
        <v>4683</v>
      </c>
      <c r="D4519" t="str">
        <f>"1278"</f>
        <v>1278</v>
      </c>
      <c r="E4519" t="s">
        <v>100</v>
      </c>
      <c r="F4519" t="s">
        <v>3670</v>
      </c>
      <c r="G4519" t="s">
        <v>16221</v>
      </c>
      <c r="H4519" t="s">
        <v>47055</v>
      </c>
      <c r="I4519" t="s">
        <v>47127</v>
      </c>
      <c r="J4519" t="s">
        <v>47128</v>
      </c>
      <c r="K4519" t="s">
        <v>47113</v>
      </c>
      <c r="L4519">
        <v>12.54</v>
      </c>
      <c r="M4519">
        <v>25</v>
      </c>
      <c r="N4519">
        <v>0</v>
      </c>
      <c r="O4519">
        <v>25</v>
      </c>
      <c r="P4519">
        <v>0</v>
      </c>
    </row>
    <row r="4520" spans="1:16" x14ac:dyDescent="0.25">
      <c r="A4520" t="s">
        <v>26925</v>
      </c>
      <c r="B4520" t="s">
        <v>4686</v>
      </c>
      <c r="C4520" t="s">
        <v>4683</v>
      </c>
      <c r="D4520" t="str">
        <f>"1700"</f>
        <v>1700</v>
      </c>
      <c r="E4520" t="s">
        <v>60</v>
      </c>
      <c r="F4520" t="s">
        <v>3670</v>
      </c>
      <c r="G4520" t="s">
        <v>16221</v>
      </c>
      <c r="H4520" t="s">
        <v>47055</v>
      </c>
      <c r="I4520" t="s">
        <v>47127</v>
      </c>
      <c r="J4520" t="s">
        <v>47128</v>
      </c>
      <c r="K4520" t="s">
        <v>47113</v>
      </c>
      <c r="L4520">
        <v>12.54</v>
      </c>
      <c r="M4520">
        <v>25</v>
      </c>
      <c r="N4520">
        <v>0</v>
      </c>
      <c r="O4520">
        <v>25</v>
      </c>
      <c r="P4520">
        <v>0</v>
      </c>
    </row>
    <row r="4521" spans="1:16" x14ac:dyDescent="0.25">
      <c r="A4521" t="s">
        <v>26926</v>
      </c>
      <c r="B4521" t="s">
        <v>4686</v>
      </c>
      <c r="C4521" t="s">
        <v>4683</v>
      </c>
      <c r="D4521" t="str">
        <f>"3501"</f>
        <v>3501</v>
      </c>
      <c r="E4521" t="s">
        <v>3758</v>
      </c>
      <c r="F4521" t="s">
        <v>3670</v>
      </c>
      <c r="G4521" t="s">
        <v>16221</v>
      </c>
      <c r="H4521" t="s">
        <v>47055</v>
      </c>
      <c r="I4521" t="s">
        <v>47127</v>
      </c>
      <c r="J4521" t="s">
        <v>47128</v>
      </c>
      <c r="K4521" t="s">
        <v>47113</v>
      </c>
      <c r="L4521">
        <v>12.54</v>
      </c>
      <c r="M4521">
        <v>25</v>
      </c>
      <c r="N4521">
        <v>0</v>
      </c>
      <c r="O4521">
        <v>25</v>
      </c>
      <c r="P4521">
        <v>0</v>
      </c>
    </row>
    <row r="4522" spans="1:16" x14ac:dyDescent="0.25">
      <c r="A4522" t="s">
        <v>26927</v>
      </c>
      <c r="B4522" t="s">
        <v>4686</v>
      </c>
      <c r="C4522" t="s">
        <v>4683</v>
      </c>
      <c r="D4522" t="str">
        <f>"4643"</f>
        <v>4643</v>
      </c>
      <c r="E4522" t="s">
        <v>205</v>
      </c>
      <c r="F4522" t="s">
        <v>3670</v>
      </c>
      <c r="G4522" t="s">
        <v>16221</v>
      </c>
      <c r="H4522" t="s">
        <v>47055</v>
      </c>
      <c r="I4522" t="s">
        <v>47127</v>
      </c>
      <c r="J4522" t="s">
        <v>47128</v>
      </c>
      <c r="K4522" t="s">
        <v>47113</v>
      </c>
      <c r="L4522">
        <v>12.54</v>
      </c>
      <c r="M4522">
        <v>25</v>
      </c>
      <c r="N4522">
        <v>0</v>
      </c>
      <c r="O4522">
        <v>25</v>
      </c>
      <c r="P4522">
        <v>0</v>
      </c>
    </row>
    <row r="4523" spans="1:16" x14ac:dyDescent="0.25">
      <c r="A4523" t="s">
        <v>26928</v>
      </c>
      <c r="B4523" t="s">
        <v>4686</v>
      </c>
      <c r="C4523" t="s">
        <v>4683</v>
      </c>
      <c r="D4523" t="str">
        <f>"6064"</f>
        <v>6064</v>
      </c>
      <c r="E4523" t="s">
        <v>87</v>
      </c>
      <c r="F4523" t="s">
        <v>3670</v>
      </c>
      <c r="G4523" t="s">
        <v>16221</v>
      </c>
      <c r="H4523" t="s">
        <v>47055</v>
      </c>
      <c r="I4523" t="s">
        <v>47127</v>
      </c>
      <c r="J4523" t="s">
        <v>47128</v>
      </c>
      <c r="K4523" t="s">
        <v>47113</v>
      </c>
      <c r="L4523">
        <v>12.54</v>
      </c>
      <c r="M4523">
        <v>25</v>
      </c>
      <c r="N4523">
        <v>0</v>
      </c>
      <c r="O4523">
        <v>25</v>
      </c>
      <c r="P4523">
        <v>0</v>
      </c>
    </row>
    <row r="4524" spans="1:16" x14ac:dyDescent="0.25">
      <c r="A4524" t="s">
        <v>26929</v>
      </c>
      <c r="B4524" t="s">
        <v>4687</v>
      </c>
      <c r="C4524" t="s">
        <v>4688</v>
      </c>
      <c r="D4524" t="str">
        <f>"1106"</f>
        <v>1106</v>
      </c>
      <c r="E4524" t="s">
        <v>460</v>
      </c>
      <c r="F4524" t="s">
        <v>3670</v>
      </c>
      <c r="G4524" t="s">
        <v>16221</v>
      </c>
      <c r="H4524" t="s">
        <v>47055</v>
      </c>
      <c r="I4524" t="s">
        <v>47127</v>
      </c>
      <c r="J4524" t="s">
        <v>47128</v>
      </c>
      <c r="K4524" t="s">
        <v>47113</v>
      </c>
      <c r="L4524">
        <v>11.34</v>
      </c>
      <c r="M4524">
        <v>55</v>
      </c>
      <c r="N4524">
        <v>0</v>
      </c>
      <c r="O4524">
        <v>55</v>
      </c>
      <c r="P4524">
        <v>0</v>
      </c>
    </row>
    <row r="4525" spans="1:16" x14ac:dyDescent="0.25">
      <c r="A4525" t="s">
        <v>26930</v>
      </c>
      <c r="B4525" t="s">
        <v>4687</v>
      </c>
      <c r="C4525" t="s">
        <v>4688</v>
      </c>
      <c r="D4525" t="str">
        <f>"1278"</f>
        <v>1278</v>
      </c>
      <c r="E4525" t="s">
        <v>100</v>
      </c>
      <c r="F4525" t="s">
        <v>3670</v>
      </c>
      <c r="G4525" t="s">
        <v>16221</v>
      </c>
      <c r="H4525" t="s">
        <v>47055</v>
      </c>
      <c r="I4525" t="s">
        <v>47127</v>
      </c>
      <c r="J4525" t="s">
        <v>47128</v>
      </c>
      <c r="K4525" t="s">
        <v>47113</v>
      </c>
      <c r="L4525">
        <v>11.34</v>
      </c>
      <c r="M4525">
        <v>55</v>
      </c>
      <c r="N4525">
        <v>0</v>
      </c>
      <c r="O4525">
        <v>55</v>
      </c>
      <c r="P4525">
        <v>0</v>
      </c>
    </row>
    <row r="4526" spans="1:16" x14ac:dyDescent="0.25">
      <c r="A4526" t="s">
        <v>26931</v>
      </c>
      <c r="B4526" t="s">
        <v>4687</v>
      </c>
      <c r="C4526" t="s">
        <v>4688</v>
      </c>
      <c r="D4526" t="str">
        <f>"1378"</f>
        <v>1378</v>
      </c>
      <c r="E4526" t="s">
        <v>388</v>
      </c>
      <c r="F4526" t="s">
        <v>3670</v>
      </c>
      <c r="G4526" t="s">
        <v>16221</v>
      </c>
      <c r="H4526" t="s">
        <v>47055</v>
      </c>
      <c r="I4526" t="s">
        <v>47127</v>
      </c>
      <c r="J4526" t="s">
        <v>47128</v>
      </c>
      <c r="K4526" t="s">
        <v>47113</v>
      </c>
      <c r="L4526">
        <v>11.34</v>
      </c>
      <c r="M4526">
        <v>55</v>
      </c>
      <c r="N4526">
        <v>0</v>
      </c>
      <c r="O4526">
        <v>55</v>
      </c>
      <c r="P4526">
        <v>0</v>
      </c>
    </row>
    <row r="4527" spans="1:16" x14ac:dyDescent="0.25">
      <c r="A4527" t="s">
        <v>26932</v>
      </c>
      <c r="B4527" t="s">
        <v>4687</v>
      </c>
      <c r="C4527" t="s">
        <v>4688</v>
      </c>
      <c r="D4527" t="str">
        <f>"1700"</f>
        <v>1700</v>
      </c>
      <c r="E4527" t="s">
        <v>60</v>
      </c>
      <c r="F4527" t="s">
        <v>3670</v>
      </c>
      <c r="G4527" t="s">
        <v>16221</v>
      </c>
      <c r="H4527" t="s">
        <v>47055</v>
      </c>
      <c r="I4527" t="s">
        <v>47127</v>
      </c>
      <c r="J4527" t="s">
        <v>47128</v>
      </c>
      <c r="K4527" t="s">
        <v>47113</v>
      </c>
      <c r="L4527">
        <v>11.34</v>
      </c>
      <c r="M4527">
        <v>55</v>
      </c>
      <c r="N4527">
        <v>0</v>
      </c>
      <c r="O4527">
        <v>55</v>
      </c>
      <c r="P4527">
        <v>0</v>
      </c>
    </row>
    <row r="4528" spans="1:16" x14ac:dyDescent="0.25">
      <c r="A4528" t="s">
        <v>26933</v>
      </c>
      <c r="B4528" t="s">
        <v>4687</v>
      </c>
      <c r="C4528" t="s">
        <v>4688</v>
      </c>
      <c r="D4528" t="str">
        <f>"3501"</f>
        <v>3501</v>
      </c>
      <c r="E4528" t="s">
        <v>3758</v>
      </c>
      <c r="F4528" t="s">
        <v>3670</v>
      </c>
      <c r="G4528" t="s">
        <v>16221</v>
      </c>
      <c r="H4528" t="s">
        <v>47055</v>
      </c>
      <c r="I4528" t="s">
        <v>47127</v>
      </c>
      <c r="J4528" t="s">
        <v>47128</v>
      </c>
      <c r="K4528" t="s">
        <v>47113</v>
      </c>
      <c r="L4528">
        <v>11.34</v>
      </c>
      <c r="M4528">
        <v>55</v>
      </c>
      <c r="N4528">
        <v>0</v>
      </c>
      <c r="O4528">
        <v>55</v>
      </c>
      <c r="P4528">
        <v>0</v>
      </c>
    </row>
    <row r="4529" spans="1:16" x14ac:dyDescent="0.25">
      <c r="A4529" t="s">
        <v>26934</v>
      </c>
      <c r="B4529" t="s">
        <v>4687</v>
      </c>
      <c r="C4529" t="s">
        <v>4688</v>
      </c>
      <c r="D4529" t="str">
        <f>"4643"</f>
        <v>4643</v>
      </c>
      <c r="E4529" t="s">
        <v>205</v>
      </c>
      <c r="F4529" t="s">
        <v>3670</v>
      </c>
      <c r="G4529" t="s">
        <v>16221</v>
      </c>
      <c r="H4529" t="s">
        <v>47055</v>
      </c>
      <c r="I4529" t="s">
        <v>47127</v>
      </c>
      <c r="J4529" t="s">
        <v>47128</v>
      </c>
      <c r="K4529" t="s">
        <v>47113</v>
      </c>
      <c r="L4529">
        <v>11.34</v>
      </c>
      <c r="M4529">
        <v>55</v>
      </c>
      <c r="N4529">
        <v>0</v>
      </c>
      <c r="O4529">
        <v>55</v>
      </c>
      <c r="P4529">
        <v>0</v>
      </c>
    </row>
    <row r="4530" spans="1:16" x14ac:dyDescent="0.25">
      <c r="A4530" t="s">
        <v>26935</v>
      </c>
      <c r="B4530" t="s">
        <v>4687</v>
      </c>
      <c r="C4530" t="s">
        <v>4688</v>
      </c>
      <c r="D4530" t="str">
        <f>"6064"</f>
        <v>6064</v>
      </c>
      <c r="E4530" t="s">
        <v>87</v>
      </c>
      <c r="F4530" t="s">
        <v>3670</v>
      </c>
      <c r="G4530" t="s">
        <v>16221</v>
      </c>
      <c r="H4530" t="s">
        <v>47055</v>
      </c>
      <c r="I4530" t="s">
        <v>47127</v>
      </c>
      <c r="J4530" t="s">
        <v>47128</v>
      </c>
      <c r="K4530" t="s">
        <v>47113</v>
      </c>
      <c r="L4530">
        <v>11.34</v>
      </c>
      <c r="M4530">
        <v>55</v>
      </c>
      <c r="N4530">
        <v>0</v>
      </c>
      <c r="O4530">
        <v>55</v>
      </c>
      <c r="P4530">
        <v>0</v>
      </c>
    </row>
    <row r="4531" spans="1:16" x14ac:dyDescent="0.25">
      <c r="A4531" t="s">
        <v>26936</v>
      </c>
      <c r="B4531" t="s">
        <v>4689</v>
      </c>
      <c r="C4531" t="s">
        <v>4690</v>
      </c>
      <c r="D4531" t="str">
        <f>"1106"</f>
        <v>1106</v>
      </c>
      <c r="E4531" t="s">
        <v>460</v>
      </c>
      <c r="F4531" t="s">
        <v>3670</v>
      </c>
      <c r="G4531" t="s">
        <v>16221</v>
      </c>
      <c r="H4531" t="s">
        <v>47055</v>
      </c>
      <c r="I4531" t="s">
        <v>47127</v>
      </c>
      <c r="J4531" t="s">
        <v>47128</v>
      </c>
      <c r="K4531" t="s">
        <v>47113</v>
      </c>
      <c r="L4531">
        <v>12.54</v>
      </c>
      <c r="M4531">
        <v>24</v>
      </c>
      <c r="N4531">
        <v>0</v>
      </c>
      <c r="O4531">
        <v>24</v>
      </c>
      <c r="P4531">
        <v>0</v>
      </c>
    </row>
    <row r="4532" spans="1:16" x14ac:dyDescent="0.25">
      <c r="A4532" t="s">
        <v>26937</v>
      </c>
      <c r="B4532" t="s">
        <v>4689</v>
      </c>
      <c r="C4532" t="s">
        <v>4690</v>
      </c>
      <c r="D4532" t="str">
        <f>"1377"</f>
        <v>1377</v>
      </c>
      <c r="E4532" t="s">
        <v>74</v>
      </c>
      <c r="F4532" t="s">
        <v>3670</v>
      </c>
      <c r="G4532" t="s">
        <v>16221</v>
      </c>
      <c r="H4532" t="s">
        <v>47055</v>
      </c>
      <c r="I4532" t="s">
        <v>47127</v>
      </c>
      <c r="J4532" t="s">
        <v>47128</v>
      </c>
      <c r="K4532" t="s">
        <v>47113</v>
      </c>
      <c r="L4532">
        <v>12.54</v>
      </c>
      <c r="M4532">
        <v>24</v>
      </c>
      <c r="N4532">
        <v>0</v>
      </c>
      <c r="O4532">
        <v>24</v>
      </c>
      <c r="P4532">
        <v>0</v>
      </c>
    </row>
    <row r="4533" spans="1:16" x14ac:dyDescent="0.25">
      <c r="A4533" t="s">
        <v>26938</v>
      </c>
      <c r="B4533" t="s">
        <v>4689</v>
      </c>
      <c r="C4533" t="s">
        <v>4690</v>
      </c>
      <c r="D4533" t="str">
        <f>"1378"</f>
        <v>1378</v>
      </c>
      <c r="E4533" t="s">
        <v>388</v>
      </c>
      <c r="F4533" t="s">
        <v>3670</v>
      </c>
      <c r="G4533" t="s">
        <v>16221</v>
      </c>
      <c r="H4533" t="s">
        <v>47055</v>
      </c>
      <c r="I4533" t="s">
        <v>47127</v>
      </c>
      <c r="J4533" t="s">
        <v>47128</v>
      </c>
      <c r="K4533" t="s">
        <v>47113</v>
      </c>
      <c r="L4533">
        <v>12.54</v>
      </c>
      <c r="M4533">
        <v>24</v>
      </c>
      <c r="N4533">
        <v>0</v>
      </c>
      <c r="O4533">
        <v>24</v>
      </c>
      <c r="P4533">
        <v>0</v>
      </c>
    </row>
    <row r="4534" spans="1:16" x14ac:dyDescent="0.25">
      <c r="A4534" t="s">
        <v>26939</v>
      </c>
      <c r="B4534" t="s">
        <v>4689</v>
      </c>
      <c r="C4534" t="s">
        <v>4690</v>
      </c>
      <c r="D4534" t="str">
        <f>"1700"</f>
        <v>1700</v>
      </c>
      <c r="E4534" t="s">
        <v>60</v>
      </c>
      <c r="F4534" t="s">
        <v>3670</v>
      </c>
      <c r="G4534" t="s">
        <v>16221</v>
      </c>
      <c r="H4534" t="s">
        <v>47055</v>
      </c>
      <c r="I4534" t="s">
        <v>47127</v>
      </c>
      <c r="J4534" t="s">
        <v>47128</v>
      </c>
      <c r="K4534" t="s">
        <v>47113</v>
      </c>
      <c r="L4534">
        <v>12.54</v>
      </c>
      <c r="M4534">
        <v>24</v>
      </c>
      <c r="N4534">
        <v>0</v>
      </c>
      <c r="O4534">
        <v>24</v>
      </c>
      <c r="P4534">
        <v>0</v>
      </c>
    </row>
    <row r="4535" spans="1:16" x14ac:dyDescent="0.25">
      <c r="A4535" t="s">
        <v>26940</v>
      </c>
      <c r="B4535" t="s">
        <v>4689</v>
      </c>
      <c r="C4535" t="s">
        <v>4690</v>
      </c>
      <c r="D4535" t="str">
        <f>"3501"</f>
        <v>3501</v>
      </c>
      <c r="E4535" t="s">
        <v>3758</v>
      </c>
      <c r="F4535" t="s">
        <v>3670</v>
      </c>
      <c r="G4535" t="s">
        <v>16221</v>
      </c>
      <c r="H4535" t="s">
        <v>47055</v>
      </c>
      <c r="I4535" t="s">
        <v>47127</v>
      </c>
      <c r="J4535" t="s">
        <v>47128</v>
      </c>
      <c r="K4535" t="s">
        <v>47113</v>
      </c>
      <c r="L4535">
        <v>12.54</v>
      </c>
      <c r="M4535">
        <v>24</v>
      </c>
      <c r="N4535">
        <v>0</v>
      </c>
      <c r="O4535">
        <v>24</v>
      </c>
      <c r="P4535">
        <v>0</v>
      </c>
    </row>
    <row r="4536" spans="1:16" x14ac:dyDescent="0.25">
      <c r="A4536" t="s">
        <v>26941</v>
      </c>
      <c r="B4536" t="s">
        <v>4689</v>
      </c>
      <c r="C4536" t="s">
        <v>4690</v>
      </c>
      <c r="D4536" t="str">
        <f>"4643"</f>
        <v>4643</v>
      </c>
      <c r="E4536" t="s">
        <v>205</v>
      </c>
      <c r="F4536" t="s">
        <v>3670</v>
      </c>
      <c r="G4536" t="s">
        <v>16221</v>
      </c>
      <c r="H4536" t="s">
        <v>47055</v>
      </c>
      <c r="I4536" t="s">
        <v>47127</v>
      </c>
      <c r="J4536" t="s">
        <v>47128</v>
      </c>
      <c r="K4536" t="s">
        <v>47113</v>
      </c>
      <c r="L4536">
        <v>12.54</v>
      </c>
      <c r="M4536">
        <v>24</v>
      </c>
      <c r="N4536">
        <v>0</v>
      </c>
      <c r="O4536">
        <v>24</v>
      </c>
      <c r="P4536">
        <v>0</v>
      </c>
    </row>
    <row r="4537" spans="1:16" x14ac:dyDescent="0.25">
      <c r="A4537" t="s">
        <v>26942</v>
      </c>
      <c r="B4537" t="s">
        <v>4689</v>
      </c>
      <c r="C4537" t="s">
        <v>4690</v>
      </c>
      <c r="D4537" t="str">
        <f>"4753"</f>
        <v>4753</v>
      </c>
      <c r="E4537" t="s">
        <v>3755</v>
      </c>
      <c r="F4537" t="s">
        <v>3670</v>
      </c>
      <c r="G4537" t="s">
        <v>16221</v>
      </c>
      <c r="H4537" t="s">
        <v>47055</v>
      </c>
      <c r="I4537" t="s">
        <v>47127</v>
      </c>
      <c r="J4537" t="s">
        <v>47128</v>
      </c>
      <c r="K4537" t="s">
        <v>47113</v>
      </c>
      <c r="L4537">
        <v>12.54</v>
      </c>
      <c r="M4537">
        <v>24</v>
      </c>
      <c r="N4537">
        <v>0</v>
      </c>
      <c r="O4537">
        <v>24</v>
      </c>
      <c r="P4537">
        <v>0</v>
      </c>
    </row>
    <row r="4538" spans="1:16" x14ac:dyDescent="0.25">
      <c r="A4538" t="s">
        <v>26943</v>
      </c>
      <c r="B4538" t="s">
        <v>4689</v>
      </c>
      <c r="C4538" t="s">
        <v>4690</v>
      </c>
      <c r="D4538" t="str">
        <f>"6064"</f>
        <v>6064</v>
      </c>
      <c r="E4538" t="s">
        <v>87</v>
      </c>
      <c r="F4538" t="s">
        <v>3670</v>
      </c>
      <c r="G4538" t="s">
        <v>16221</v>
      </c>
      <c r="H4538" t="s">
        <v>47055</v>
      </c>
      <c r="I4538" t="s">
        <v>47127</v>
      </c>
      <c r="J4538" t="s">
        <v>47128</v>
      </c>
      <c r="K4538" t="s">
        <v>47113</v>
      </c>
      <c r="L4538">
        <v>12.54</v>
      </c>
      <c r="M4538">
        <v>24</v>
      </c>
      <c r="N4538">
        <v>0</v>
      </c>
      <c r="O4538">
        <v>24</v>
      </c>
      <c r="P4538">
        <v>0</v>
      </c>
    </row>
    <row r="4539" spans="1:16" x14ac:dyDescent="0.25">
      <c r="A4539" t="s">
        <v>26944</v>
      </c>
      <c r="B4539" t="s">
        <v>4691</v>
      </c>
      <c r="C4539" t="s">
        <v>4692</v>
      </c>
      <c r="D4539" t="str">
        <f>"1106"</f>
        <v>1106</v>
      </c>
      <c r="E4539" t="s">
        <v>460</v>
      </c>
      <c r="F4539" t="s">
        <v>3670</v>
      </c>
      <c r="G4539" t="s">
        <v>16221</v>
      </c>
      <c r="H4539" t="s">
        <v>47055</v>
      </c>
      <c r="I4539" t="s">
        <v>47127</v>
      </c>
      <c r="J4539" t="s">
        <v>47128</v>
      </c>
      <c r="K4539" t="s">
        <v>47113</v>
      </c>
      <c r="L4539">
        <v>15.4</v>
      </c>
      <c r="M4539">
        <v>29</v>
      </c>
      <c r="N4539">
        <v>0</v>
      </c>
      <c r="O4539">
        <v>29</v>
      </c>
      <c r="P4539">
        <v>0</v>
      </c>
    </row>
    <row r="4540" spans="1:16" x14ac:dyDescent="0.25">
      <c r="A4540" t="s">
        <v>26945</v>
      </c>
      <c r="B4540" t="s">
        <v>4691</v>
      </c>
      <c r="C4540" t="s">
        <v>4692</v>
      </c>
      <c r="D4540" t="str">
        <f>"1285"</f>
        <v>1285</v>
      </c>
      <c r="E4540" t="s">
        <v>2148</v>
      </c>
      <c r="F4540" t="s">
        <v>3670</v>
      </c>
      <c r="G4540" t="s">
        <v>16221</v>
      </c>
      <c r="H4540" t="s">
        <v>47055</v>
      </c>
      <c r="I4540" t="s">
        <v>47127</v>
      </c>
      <c r="J4540" t="s">
        <v>47128</v>
      </c>
      <c r="K4540" t="s">
        <v>47113</v>
      </c>
      <c r="L4540">
        <v>15.4</v>
      </c>
      <c r="M4540">
        <v>29</v>
      </c>
      <c r="N4540">
        <v>0</v>
      </c>
      <c r="O4540">
        <v>29</v>
      </c>
      <c r="P4540">
        <v>0</v>
      </c>
    </row>
    <row r="4541" spans="1:16" x14ac:dyDescent="0.25">
      <c r="A4541" t="s">
        <v>26946</v>
      </c>
      <c r="B4541" t="s">
        <v>4691</v>
      </c>
      <c r="C4541" t="s">
        <v>4692</v>
      </c>
      <c r="D4541" t="str">
        <f>"1303"</f>
        <v>1303</v>
      </c>
      <c r="E4541" t="s">
        <v>4630</v>
      </c>
      <c r="F4541" t="s">
        <v>3670</v>
      </c>
      <c r="G4541" t="s">
        <v>16221</v>
      </c>
      <c r="H4541" t="s">
        <v>47055</v>
      </c>
      <c r="I4541" t="s">
        <v>47127</v>
      </c>
      <c r="J4541" t="s">
        <v>47128</v>
      </c>
      <c r="K4541" t="s">
        <v>47113</v>
      </c>
      <c r="L4541">
        <v>15.4</v>
      </c>
      <c r="M4541">
        <v>29</v>
      </c>
      <c r="N4541">
        <v>0</v>
      </c>
      <c r="O4541">
        <v>29</v>
      </c>
      <c r="P4541">
        <v>0</v>
      </c>
    </row>
    <row r="4542" spans="1:16" x14ac:dyDescent="0.25">
      <c r="A4542" t="s">
        <v>26947</v>
      </c>
      <c r="B4542" t="s">
        <v>4691</v>
      </c>
      <c r="C4542" t="s">
        <v>4692</v>
      </c>
      <c r="D4542" t="str">
        <f>"1377"</f>
        <v>1377</v>
      </c>
      <c r="E4542" t="s">
        <v>74</v>
      </c>
      <c r="F4542" t="s">
        <v>3670</v>
      </c>
      <c r="G4542" t="s">
        <v>16221</v>
      </c>
      <c r="H4542" t="s">
        <v>47055</v>
      </c>
      <c r="I4542" t="s">
        <v>47127</v>
      </c>
      <c r="J4542" t="s">
        <v>47128</v>
      </c>
      <c r="K4542" t="s">
        <v>47113</v>
      </c>
      <c r="L4542">
        <v>15.4</v>
      </c>
      <c r="M4542">
        <v>29</v>
      </c>
      <c r="N4542">
        <v>0</v>
      </c>
      <c r="O4542">
        <v>29</v>
      </c>
      <c r="P4542">
        <v>0</v>
      </c>
    </row>
    <row r="4543" spans="1:16" x14ac:dyDescent="0.25">
      <c r="A4543" t="s">
        <v>26948</v>
      </c>
      <c r="B4543" t="s">
        <v>4691</v>
      </c>
      <c r="C4543" t="s">
        <v>4692</v>
      </c>
      <c r="D4543" t="str">
        <f>"1378"</f>
        <v>1378</v>
      </c>
      <c r="E4543" t="s">
        <v>388</v>
      </c>
      <c r="F4543" t="s">
        <v>3670</v>
      </c>
      <c r="G4543" t="s">
        <v>16221</v>
      </c>
      <c r="H4543" t="s">
        <v>47055</v>
      </c>
      <c r="I4543" t="s">
        <v>47127</v>
      </c>
      <c r="J4543" t="s">
        <v>47128</v>
      </c>
      <c r="K4543" t="s">
        <v>47113</v>
      </c>
      <c r="L4543">
        <v>15.4</v>
      </c>
      <c r="M4543">
        <v>29</v>
      </c>
      <c r="N4543">
        <v>0</v>
      </c>
      <c r="O4543">
        <v>29</v>
      </c>
      <c r="P4543">
        <v>0</v>
      </c>
    </row>
    <row r="4544" spans="1:16" x14ac:dyDescent="0.25">
      <c r="A4544" t="s">
        <v>26949</v>
      </c>
      <c r="B4544" t="s">
        <v>4691</v>
      </c>
      <c r="C4544" t="s">
        <v>4692</v>
      </c>
      <c r="D4544" t="str">
        <f>"1403"</f>
        <v>1403</v>
      </c>
      <c r="E4544" t="s">
        <v>224</v>
      </c>
      <c r="F4544" t="s">
        <v>3670</v>
      </c>
      <c r="G4544" t="s">
        <v>16221</v>
      </c>
      <c r="H4544" t="s">
        <v>47055</v>
      </c>
      <c r="I4544" t="s">
        <v>47127</v>
      </c>
      <c r="J4544" t="s">
        <v>47128</v>
      </c>
      <c r="K4544" t="s">
        <v>47113</v>
      </c>
      <c r="L4544">
        <v>15.4</v>
      </c>
      <c r="M4544">
        <v>29</v>
      </c>
      <c r="N4544">
        <v>0</v>
      </c>
      <c r="O4544">
        <v>29</v>
      </c>
      <c r="P4544">
        <v>0</v>
      </c>
    </row>
    <row r="4545" spans="1:16" x14ac:dyDescent="0.25">
      <c r="A4545" t="s">
        <v>26950</v>
      </c>
      <c r="B4545" t="s">
        <v>4691</v>
      </c>
      <c r="C4545" t="s">
        <v>4692</v>
      </c>
      <c r="D4545" t="str">
        <f>"1700"</f>
        <v>1700</v>
      </c>
      <c r="E4545" t="s">
        <v>60</v>
      </c>
      <c r="F4545" t="s">
        <v>3670</v>
      </c>
      <c r="G4545" t="s">
        <v>16221</v>
      </c>
      <c r="H4545" t="s">
        <v>47055</v>
      </c>
      <c r="I4545" t="s">
        <v>47127</v>
      </c>
      <c r="J4545" t="s">
        <v>47128</v>
      </c>
      <c r="K4545" t="s">
        <v>47113</v>
      </c>
      <c r="L4545">
        <v>15.4</v>
      </c>
      <c r="M4545">
        <v>29</v>
      </c>
      <c r="N4545">
        <v>0</v>
      </c>
      <c r="O4545">
        <v>29</v>
      </c>
      <c r="P4545">
        <v>0</v>
      </c>
    </row>
    <row r="4546" spans="1:16" x14ac:dyDescent="0.25">
      <c r="A4546" t="s">
        <v>26951</v>
      </c>
      <c r="B4546" t="s">
        <v>4691</v>
      </c>
      <c r="C4546" t="s">
        <v>4692</v>
      </c>
      <c r="D4546" t="str">
        <f>"3501"</f>
        <v>3501</v>
      </c>
      <c r="E4546" t="s">
        <v>3758</v>
      </c>
      <c r="F4546" t="s">
        <v>3670</v>
      </c>
      <c r="G4546" t="s">
        <v>16221</v>
      </c>
      <c r="H4546" t="s">
        <v>47055</v>
      </c>
      <c r="I4546" t="s">
        <v>47127</v>
      </c>
      <c r="J4546" t="s">
        <v>47128</v>
      </c>
      <c r="K4546" t="s">
        <v>47113</v>
      </c>
      <c r="L4546">
        <v>15.4</v>
      </c>
      <c r="M4546">
        <v>29</v>
      </c>
      <c r="N4546">
        <v>0</v>
      </c>
      <c r="O4546">
        <v>29</v>
      </c>
      <c r="P4546">
        <v>0</v>
      </c>
    </row>
    <row r="4547" spans="1:16" x14ac:dyDescent="0.25">
      <c r="A4547" t="s">
        <v>26952</v>
      </c>
      <c r="B4547" t="s">
        <v>4691</v>
      </c>
      <c r="C4547" t="s">
        <v>4692</v>
      </c>
      <c r="D4547" t="str">
        <f>"4643"</f>
        <v>4643</v>
      </c>
      <c r="E4547" t="s">
        <v>205</v>
      </c>
      <c r="F4547" t="s">
        <v>3670</v>
      </c>
      <c r="G4547" t="s">
        <v>16221</v>
      </c>
      <c r="H4547" t="s">
        <v>47055</v>
      </c>
      <c r="I4547" t="s">
        <v>47127</v>
      </c>
      <c r="J4547" t="s">
        <v>47128</v>
      </c>
      <c r="K4547" t="s">
        <v>47113</v>
      </c>
      <c r="L4547">
        <v>15.4</v>
      </c>
      <c r="M4547">
        <v>29</v>
      </c>
      <c r="N4547">
        <v>0</v>
      </c>
      <c r="O4547">
        <v>29</v>
      </c>
      <c r="P4547">
        <v>0</v>
      </c>
    </row>
    <row r="4548" spans="1:16" x14ac:dyDescent="0.25">
      <c r="A4548" t="s">
        <v>26953</v>
      </c>
      <c r="B4548" t="s">
        <v>4691</v>
      </c>
      <c r="C4548" t="s">
        <v>4692</v>
      </c>
      <c r="D4548" t="str">
        <f>"4753"</f>
        <v>4753</v>
      </c>
      <c r="E4548" t="s">
        <v>3755</v>
      </c>
      <c r="F4548" t="s">
        <v>3670</v>
      </c>
      <c r="G4548" t="s">
        <v>16221</v>
      </c>
      <c r="H4548" t="s">
        <v>47055</v>
      </c>
      <c r="I4548" t="s">
        <v>47127</v>
      </c>
      <c r="J4548" t="s">
        <v>47128</v>
      </c>
      <c r="K4548" t="s">
        <v>47113</v>
      </c>
      <c r="L4548">
        <v>15.4</v>
      </c>
      <c r="M4548">
        <v>29</v>
      </c>
      <c r="N4548">
        <v>0</v>
      </c>
      <c r="O4548">
        <v>29</v>
      </c>
      <c r="P4548">
        <v>0</v>
      </c>
    </row>
    <row r="4549" spans="1:16" x14ac:dyDescent="0.25">
      <c r="A4549" t="s">
        <v>26954</v>
      </c>
      <c r="B4549" t="s">
        <v>4691</v>
      </c>
      <c r="C4549" t="s">
        <v>4692</v>
      </c>
      <c r="D4549" t="str">
        <f>"6064"</f>
        <v>6064</v>
      </c>
      <c r="E4549" t="s">
        <v>87</v>
      </c>
      <c r="F4549" t="s">
        <v>3670</v>
      </c>
      <c r="G4549" t="s">
        <v>16221</v>
      </c>
      <c r="H4549" t="s">
        <v>47055</v>
      </c>
      <c r="I4549" t="s">
        <v>47127</v>
      </c>
      <c r="J4549" t="s">
        <v>47128</v>
      </c>
      <c r="K4549" t="s">
        <v>47113</v>
      </c>
      <c r="L4549">
        <v>15.4</v>
      </c>
      <c r="M4549">
        <v>29</v>
      </c>
      <c r="N4549">
        <v>0</v>
      </c>
      <c r="O4549">
        <v>29</v>
      </c>
      <c r="P4549">
        <v>0</v>
      </c>
    </row>
    <row r="4550" spans="1:16" x14ac:dyDescent="0.25">
      <c r="A4550" t="s">
        <v>26955</v>
      </c>
      <c r="B4550" t="s">
        <v>4691</v>
      </c>
      <c r="C4550" t="s">
        <v>4692</v>
      </c>
      <c r="D4550" t="str">
        <f>"8039"</f>
        <v>8039</v>
      </c>
      <c r="E4550" t="s">
        <v>4631</v>
      </c>
      <c r="F4550" t="s">
        <v>3670</v>
      </c>
      <c r="G4550" t="s">
        <v>16221</v>
      </c>
      <c r="H4550" t="s">
        <v>47055</v>
      </c>
      <c r="I4550" t="s">
        <v>47127</v>
      </c>
      <c r="J4550" t="s">
        <v>47128</v>
      </c>
      <c r="K4550" t="s">
        <v>47113</v>
      </c>
      <c r="L4550">
        <v>15.4</v>
      </c>
      <c r="M4550">
        <v>29</v>
      </c>
      <c r="N4550">
        <v>0</v>
      </c>
      <c r="O4550">
        <v>29</v>
      </c>
      <c r="P4550">
        <v>0</v>
      </c>
    </row>
    <row r="4551" spans="1:16" x14ac:dyDescent="0.25">
      <c r="A4551" t="s">
        <v>26956</v>
      </c>
      <c r="B4551" t="s">
        <v>15160</v>
      </c>
      <c r="C4551" t="s">
        <v>15161</v>
      </c>
      <c r="D4551" t="str">
        <f>"1001"</f>
        <v>1001</v>
      </c>
      <c r="E4551" t="s">
        <v>42</v>
      </c>
      <c r="F4551" t="s">
        <v>3750</v>
      </c>
      <c r="G4551" t="s">
        <v>16221</v>
      </c>
      <c r="H4551" t="s">
        <v>47055</v>
      </c>
      <c r="I4551" t="s">
        <v>47127</v>
      </c>
      <c r="J4551" t="s">
        <v>47128</v>
      </c>
      <c r="K4551" t="s">
        <v>47113</v>
      </c>
      <c r="L4551">
        <v>10.74</v>
      </c>
      <c r="M4551">
        <v>24</v>
      </c>
      <c r="N4551">
        <v>0</v>
      </c>
      <c r="O4551">
        <v>24</v>
      </c>
      <c r="P4551">
        <v>0</v>
      </c>
    </row>
    <row r="4552" spans="1:16" x14ac:dyDescent="0.25">
      <c r="A4552" t="s">
        <v>26957</v>
      </c>
      <c r="B4552" t="s">
        <v>15160</v>
      </c>
      <c r="C4552" t="s">
        <v>15161</v>
      </c>
      <c r="D4552" t="str">
        <f>"1278"</f>
        <v>1278</v>
      </c>
      <c r="E4552" t="s">
        <v>100</v>
      </c>
      <c r="F4552" t="s">
        <v>3750</v>
      </c>
      <c r="G4552" t="s">
        <v>16221</v>
      </c>
      <c r="H4552" t="s">
        <v>47055</v>
      </c>
      <c r="I4552" t="s">
        <v>47127</v>
      </c>
      <c r="J4552" t="s">
        <v>47128</v>
      </c>
      <c r="K4552" t="s">
        <v>47113</v>
      </c>
      <c r="L4552">
        <v>10.74</v>
      </c>
      <c r="M4552">
        <v>24</v>
      </c>
      <c r="N4552">
        <v>0</v>
      </c>
      <c r="O4552">
        <v>24</v>
      </c>
      <c r="P4552">
        <v>0</v>
      </c>
    </row>
    <row r="4553" spans="1:16" x14ac:dyDescent="0.25">
      <c r="A4553" t="s">
        <v>26958</v>
      </c>
      <c r="B4553" t="s">
        <v>15160</v>
      </c>
      <c r="C4553" t="s">
        <v>15161</v>
      </c>
      <c r="D4553" t="str">
        <f>"1700"</f>
        <v>1700</v>
      </c>
      <c r="E4553" t="s">
        <v>60</v>
      </c>
      <c r="F4553" t="s">
        <v>3750</v>
      </c>
      <c r="G4553" t="s">
        <v>16221</v>
      </c>
      <c r="H4553" t="s">
        <v>47055</v>
      </c>
      <c r="I4553" t="s">
        <v>47127</v>
      </c>
      <c r="J4553" t="s">
        <v>47128</v>
      </c>
      <c r="K4553" t="s">
        <v>47113</v>
      </c>
      <c r="L4553">
        <v>10.74</v>
      </c>
      <c r="M4553">
        <v>24</v>
      </c>
      <c r="N4553">
        <v>0</v>
      </c>
      <c r="O4553">
        <v>24</v>
      </c>
      <c r="P4553">
        <v>0</v>
      </c>
    </row>
    <row r="4554" spans="1:16" x14ac:dyDescent="0.25">
      <c r="A4554" t="s">
        <v>26959</v>
      </c>
      <c r="B4554" t="s">
        <v>15160</v>
      </c>
      <c r="C4554" t="s">
        <v>15161</v>
      </c>
      <c r="D4554" t="str">
        <f>"4643"</f>
        <v>4643</v>
      </c>
      <c r="E4554" t="s">
        <v>205</v>
      </c>
      <c r="F4554" t="s">
        <v>3750</v>
      </c>
      <c r="G4554" t="s">
        <v>16221</v>
      </c>
      <c r="H4554" t="s">
        <v>47055</v>
      </c>
      <c r="I4554" t="s">
        <v>47127</v>
      </c>
      <c r="J4554" t="s">
        <v>47128</v>
      </c>
      <c r="K4554" t="s">
        <v>47113</v>
      </c>
      <c r="L4554">
        <v>10.74</v>
      </c>
      <c r="M4554">
        <v>24</v>
      </c>
      <c r="N4554">
        <v>0</v>
      </c>
      <c r="O4554">
        <v>24</v>
      </c>
      <c r="P4554">
        <v>0</v>
      </c>
    </row>
    <row r="4555" spans="1:16" x14ac:dyDescent="0.25">
      <c r="A4555" t="s">
        <v>26960</v>
      </c>
      <c r="B4555" t="s">
        <v>15160</v>
      </c>
      <c r="C4555" t="s">
        <v>15161</v>
      </c>
      <c r="D4555" t="str">
        <f>"6000"</f>
        <v>6000</v>
      </c>
      <c r="E4555" t="s">
        <v>238</v>
      </c>
      <c r="F4555" t="s">
        <v>3750</v>
      </c>
      <c r="G4555" t="s">
        <v>16221</v>
      </c>
      <c r="H4555" t="s">
        <v>47055</v>
      </c>
      <c r="I4555" t="s">
        <v>47127</v>
      </c>
      <c r="J4555" t="s">
        <v>47128</v>
      </c>
      <c r="K4555" t="s">
        <v>47113</v>
      </c>
      <c r="L4555">
        <v>10.74</v>
      </c>
      <c r="M4555">
        <v>24</v>
      </c>
      <c r="N4555">
        <v>0</v>
      </c>
      <c r="O4555">
        <v>24</v>
      </c>
      <c r="P4555">
        <v>0</v>
      </c>
    </row>
    <row r="4556" spans="1:16" x14ac:dyDescent="0.25">
      <c r="A4556" t="s">
        <v>26961</v>
      </c>
      <c r="B4556" t="s">
        <v>15160</v>
      </c>
      <c r="C4556" t="s">
        <v>15161</v>
      </c>
      <c r="D4556" t="str">
        <f>"6012"</f>
        <v>6012</v>
      </c>
      <c r="E4556" t="s">
        <v>15150</v>
      </c>
      <c r="F4556" t="s">
        <v>3750</v>
      </c>
      <c r="G4556" t="s">
        <v>16221</v>
      </c>
      <c r="H4556" t="s">
        <v>47055</v>
      </c>
      <c r="I4556" t="s">
        <v>47127</v>
      </c>
      <c r="J4556" t="s">
        <v>47128</v>
      </c>
      <c r="K4556" t="s">
        <v>47113</v>
      </c>
      <c r="L4556">
        <v>10.74</v>
      </c>
      <c r="M4556">
        <v>24</v>
      </c>
      <c r="N4556">
        <v>0</v>
      </c>
      <c r="O4556">
        <v>24</v>
      </c>
      <c r="P4556">
        <v>0</v>
      </c>
    </row>
    <row r="4557" spans="1:16" x14ac:dyDescent="0.25">
      <c r="A4557" t="s">
        <v>26962</v>
      </c>
      <c r="B4557" t="s">
        <v>15162</v>
      </c>
      <c r="C4557" t="s">
        <v>15163</v>
      </c>
      <c r="D4557" t="str">
        <f>"1001"</f>
        <v>1001</v>
      </c>
      <c r="E4557" t="s">
        <v>42</v>
      </c>
      <c r="F4557" t="s">
        <v>3750</v>
      </c>
      <c r="G4557" t="s">
        <v>16221</v>
      </c>
      <c r="H4557" t="s">
        <v>47055</v>
      </c>
      <c r="I4557" t="s">
        <v>47127</v>
      </c>
      <c r="J4557" t="s">
        <v>47128</v>
      </c>
      <c r="K4557" t="s">
        <v>47113</v>
      </c>
      <c r="L4557">
        <v>11.34</v>
      </c>
      <c r="M4557">
        <v>25</v>
      </c>
      <c r="N4557">
        <v>0</v>
      </c>
      <c r="O4557">
        <v>25</v>
      </c>
      <c r="P4557">
        <v>0</v>
      </c>
    </row>
    <row r="4558" spans="1:16" x14ac:dyDescent="0.25">
      <c r="A4558" t="s">
        <v>26963</v>
      </c>
      <c r="B4558" t="s">
        <v>15162</v>
      </c>
      <c r="C4558" t="s">
        <v>15163</v>
      </c>
      <c r="D4558" t="str">
        <f>"1278"</f>
        <v>1278</v>
      </c>
      <c r="E4558" t="s">
        <v>100</v>
      </c>
      <c r="F4558" t="s">
        <v>3750</v>
      </c>
      <c r="G4558" t="s">
        <v>16221</v>
      </c>
      <c r="H4558" t="s">
        <v>47055</v>
      </c>
      <c r="I4558" t="s">
        <v>47127</v>
      </c>
      <c r="J4558" t="s">
        <v>47128</v>
      </c>
      <c r="K4558" t="s">
        <v>47113</v>
      </c>
      <c r="L4558">
        <v>11.34</v>
      </c>
      <c r="M4558">
        <v>25</v>
      </c>
      <c r="N4558">
        <v>0</v>
      </c>
      <c r="O4558">
        <v>25</v>
      </c>
      <c r="P4558">
        <v>0</v>
      </c>
    </row>
    <row r="4559" spans="1:16" x14ac:dyDescent="0.25">
      <c r="A4559" t="s">
        <v>26964</v>
      </c>
      <c r="B4559" t="s">
        <v>15162</v>
      </c>
      <c r="C4559" t="s">
        <v>15163</v>
      </c>
      <c r="D4559" t="str">
        <f>"1700"</f>
        <v>1700</v>
      </c>
      <c r="E4559" t="s">
        <v>60</v>
      </c>
      <c r="F4559" t="s">
        <v>3750</v>
      </c>
      <c r="G4559" t="s">
        <v>16221</v>
      </c>
      <c r="H4559" t="s">
        <v>47055</v>
      </c>
      <c r="I4559" t="s">
        <v>47127</v>
      </c>
      <c r="J4559" t="s">
        <v>47128</v>
      </c>
      <c r="K4559" t="s">
        <v>47113</v>
      </c>
      <c r="L4559">
        <v>11.34</v>
      </c>
      <c r="M4559">
        <v>25</v>
      </c>
      <c r="N4559">
        <v>0</v>
      </c>
      <c r="O4559">
        <v>25</v>
      </c>
      <c r="P4559">
        <v>0</v>
      </c>
    </row>
    <row r="4560" spans="1:16" x14ac:dyDescent="0.25">
      <c r="A4560" t="s">
        <v>26965</v>
      </c>
      <c r="B4560" t="s">
        <v>15162</v>
      </c>
      <c r="C4560" t="s">
        <v>15163</v>
      </c>
      <c r="D4560" t="str">
        <f>"4643"</f>
        <v>4643</v>
      </c>
      <c r="E4560" t="s">
        <v>205</v>
      </c>
      <c r="F4560" t="s">
        <v>3750</v>
      </c>
      <c r="G4560" t="s">
        <v>16221</v>
      </c>
      <c r="H4560" t="s">
        <v>47055</v>
      </c>
      <c r="I4560" t="s">
        <v>47127</v>
      </c>
      <c r="J4560" t="s">
        <v>47128</v>
      </c>
      <c r="K4560" t="s">
        <v>47113</v>
      </c>
      <c r="L4560">
        <v>11.34</v>
      </c>
      <c r="M4560">
        <v>25</v>
      </c>
      <c r="N4560">
        <v>0</v>
      </c>
      <c r="O4560">
        <v>25</v>
      </c>
      <c r="P4560">
        <v>0</v>
      </c>
    </row>
    <row r="4561" spans="1:16" x14ac:dyDescent="0.25">
      <c r="A4561" t="s">
        <v>26966</v>
      </c>
      <c r="B4561" t="s">
        <v>15162</v>
      </c>
      <c r="C4561" t="s">
        <v>15163</v>
      </c>
      <c r="D4561" t="str">
        <f>"6000"</f>
        <v>6000</v>
      </c>
      <c r="E4561" t="s">
        <v>238</v>
      </c>
      <c r="F4561" t="s">
        <v>3750</v>
      </c>
      <c r="G4561" t="s">
        <v>16221</v>
      </c>
      <c r="H4561" t="s">
        <v>47055</v>
      </c>
      <c r="I4561" t="s">
        <v>47127</v>
      </c>
      <c r="J4561" t="s">
        <v>47128</v>
      </c>
      <c r="K4561" t="s">
        <v>47113</v>
      </c>
      <c r="L4561">
        <v>11.34</v>
      </c>
      <c r="M4561">
        <v>25</v>
      </c>
      <c r="N4561">
        <v>0</v>
      </c>
      <c r="O4561">
        <v>25</v>
      </c>
      <c r="P4561">
        <v>0</v>
      </c>
    </row>
    <row r="4562" spans="1:16" x14ac:dyDescent="0.25">
      <c r="A4562" t="s">
        <v>26967</v>
      </c>
      <c r="B4562" t="s">
        <v>15162</v>
      </c>
      <c r="C4562" t="s">
        <v>15163</v>
      </c>
      <c r="D4562" t="str">
        <f>"6012"</f>
        <v>6012</v>
      </c>
      <c r="E4562" t="s">
        <v>15150</v>
      </c>
      <c r="F4562" t="s">
        <v>3750</v>
      </c>
      <c r="G4562" t="s">
        <v>16221</v>
      </c>
      <c r="H4562" t="s">
        <v>47055</v>
      </c>
      <c r="I4562" t="s">
        <v>47127</v>
      </c>
      <c r="J4562" t="s">
        <v>47128</v>
      </c>
      <c r="K4562" t="s">
        <v>47113</v>
      </c>
      <c r="L4562">
        <v>11.34</v>
      </c>
      <c r="M4562">
        <v>25</v>
      </c>
      <c r="N4562">
        <v>0</v>
      </c>
      <c r="O4562">
        <v>25</v>
      </c>
      <c r="P4562">
        <v>0</v>
      </c>
    </row>
    <row r="4563" spans="1:16" x14ac:dyDescent="0.25">
      <c r="A4563" t="s">
        <v>26968</v>
      </c>
      <c r="B4563" t="s">
        <v>15164</v>
      </c>
      <c r="C4563" t="s">
        <v>15165</v>
      </c>
      <c r="D4563" t="str">
        <f>"1001"</f>
        <v>1001</v>
      </c>
      <c r="E4563" t="s">
        <v>42</v>
      </c>
      <c r="F4563" t="s">
        <v>3750</v>
      </c>
      <c r="G4563" t="s">
        <v>16221</v>
      </c>
      <c r="H4563" t="s">
        <v>47055</v>
      </c>
      <c r="I4563" t="s">
        <v>47127</v>
      </c>
      <c r="J4563" t="s">
        <v>47128</v>
      </c>
      <c r="K4563" t="s">
        <v>47113</v>
      </c>
      <c r="L4563">
        <v>11.34</v>
      </c>
      <c r="M4563">
        <v>25</v>
      </c>
      <c r="N4563">
        <v>0</v>
      </c>
      <c r="O4563">
        <v>25</v>
      </c>
      <c r="P4563">
        <v>0</v>
      </c>
    </row>
    <row r="4564" spans="1:16" x14ac:dyDescent="0.25">
      <c r="A4564" t="s">
        <v>26969</v>
      </c>
      <c r="B4564" t="s">
        <v>15164</v>
      </c>
      <c r="C4564" t="s">
        <v>15165</v>
      </c>
      <c r="D4564" t="str">
        <f>"1278"</f>
        <v>1278</v>
      </c>
      <c r="E4564" t="s">
        <v>100</v>
      </c>
      <c r="F4564" t="s">
        <v>3750</v>
      </c>
      <c r="G4564" t="s">
        <v>16221</v>
      </c>
      <c r="H4564" t="s">
        <v>47055</v>
      </c>
      <c r="I4564" t="s">
        <v>47127</v>
      </c>
      <c r="J4564" t="s">
        <v>47128</v>
      </c>
      <c r="K4564" t="s">
        <v>47113</v>
      </c>
      <c r="L4564">
        <v>11.34</v>
      </c>
      <c r="M4564">
        <v>25</v>
      </c>
      <c r="N4564">
        <v>0</v>
      </c>
      <c r="O4564">
        <v>25</v>
      </c>
      <c r="P4564">
        <v>0</v>
      </c>
    </row>
    <row r="4565" spans="1:16" x14ac:dyDescent="0.25">
      <c r="A4565" t="s">
        <v>26970</v>
      </c>
      <c r="B4565" t="s">
        <v>15164</v>
      </c>
      <c r="C4565" t="s">
        <v>15165</v>
      </c>
      <c r="D4565" t="str">
        <f>"1700"</f>
        <v>1700</v>
      </c>
      <c r="E4565" t="s">
        <v>60</v>
      </c>
      <c r="F4565" t="s">
        <v>3750</v>
      </c>
      <c r="G4565" t="s">
        <v>16221</v>
      </c>
      <c r="H4565" t="s">
        <v>47055</v>
      </c>
      <c r="I4565" t="s">
        <v>47127</v>
      </c>
      <c r="J4565" t="s">
        <v>47128</v>
      </c>
      <c r="K4565" t="s">
        <v>47113</v>
      </c>
      <c r="L4565">
        <v>11.34</v>
      </c>
      <c r="M4565">
        <v>25</v>
      </c>
      <c r="N4565">
        <v>0</v>
      </c>
      <c r="O4565">
        <v>25</v>
      </c>
      <c r="P4565">
        <v>0</v>
      </c>
    </row>
    <row r="4566" spans="1:16" x14ac:dyDescent="0.25">
      <c r="A4566" t="s">
        <v>26971</v>
      </c>
      <c r="B4566" t="s">
        <v>15166</v>
      </c>
      <c r="C4566" t="s">
        <v>15167</v>
      </c>
      <c r="D4566" t="str">
        <f>"1278"</f>
        <v>1278</v>
      </c>
      <c r="E4566" t="s">
        <v>100</v>
      </c>
      <c r="F4566" t="s">
        <v>3750</v>
      </c>
      <c r="G4566" t="s">
        <v>16221</v>
      </c>
      <c r="H4566" t="s">
        <v>47055</v>
      </c>
      <c r="I4566" t="s">
        <v>47127</v>
      </c>
      <c r="J4566" t="s">
        <v>47128</v>
      </c>
      <c r="K4566" t="s">
        <v>47113</v>
      </c>
      <c r="L4566">
        <v>10.51</v>
      </c>
      <c r="M4566">
        <v>23</v>
      </c>
      <c r="N4566">
        <v>0</v>
      </c>
      <c r="O4566">
        <v>23</v>
      </c>
      <c r="P4566">
        <v>0</v>
      </c>
    </row>
    <row r="4567" spans="1:16" x14ac:dyDescent="0.25">
      <c r="A4567" t="s">
        <v>26972</v>
      </c>
      <c r="B4567" t="s">
        <v>15166</v>
      </c>
      <c r="C4567" t="s">
        <v>15167</v>
      </c>
      <c r="D4567" t="str">
        <f>"1700"</f>
        <v>1700</v>
      </c>
      <c r="E4567" t="s">
        <v>60</v>
      </c>
      <c r="F4567" t="s">
        <v>3750</v>
      </c>
      <c r="G4567" t="s">
        <v>16221</v>
      </c>
      <c r="H4567" t="s">
        <v>47055</v>
      </c>
      <c r="I4567" t="s">
        <v>47127</v>
      </c>
      <c r="J4567" t="s">
        <v>47128</v>
      </c>
      <c r="K4567" t="s">
        <v>47113</v>
      </c>
      <c r="L4567">
        <v>10.51</v>
      </c>
      <c r="M4567">
        <v>23</v>
      </c>
      <c r="N4567">
        <v>0</v>
      </c>
      <c r="O4567">
        <v>23</v>
      </c>
      <c r="P4567">
        <v>0</v>
      </c>
    </row>
    <row r="4568" spans="1:16" x14ac:dyDescent="0.25">
      <c r="A4568" t="s">
        <v>26973</v>
      </c>
      <c r="B4568" t="s">
        <v>15166</v>
      </c>
      <c r="C4568" t="s">
        <v>15167</v>
      </c>
      <c r="D4568" t="str">
        <f>"4643"</f>
        <v>4643</v>
      </c>
      <c r="E4568" t="s">
        <v>205</v>
      </c>
      <c r="F4568" t="s">
        <v>3750</v>
      </c>
      <c r="G4568" t="s">
        <v>16221</v>
      </c>
      <c r="H4568" t="s">
        <v>47055</v>
      </c>
      <c r="I4568" t="s">
        <v>47127</v>
      </c>
      <c r="J4568" t="s">
        <v>47128</v>
      </c>
      <c r="K4568" t="s">
        <v>47113</v>
      </c>
      <c r="L4568">
        <v>10.51</v>
      </c>
      <c r="M4568">
        <v>23</v>
      </c>
      <c r="N4568">
        <v>0</v>
      </c>
      <c r="O4568">
        <v>23</v>
      </c>
      <c r="P4568">
        <v>0</v>
      </c>
    </row>
    <row r="4569" spans="1:16" x14ac:dyDescent="0.25">
      <c r="A4569" t="s">
        <v>26974</v>
      </c>
      <c r="B4569" t="s">
        <v>15166</v>
      </c>
      <c r="C4569" t="s">
        <v>15167</v>
      </c>
      <c r="D4569" t="str">
        <f>"6012"</f>
        <v>6012</v>
      </c>
      <c r="E4569" t="s">
        <v>15150</v>
      </c>
      <c r="F4569" t="s">
        <v>3750</v>
      </c>
      <c r="G4569" t="s">
        <v>16221</v>
      </c>
      <c r="H4569" t="s">
        <v>47055</v>
      </c>
      <c r="I4569" t="s">
        <v>47127</v>
      </c>
      <c r="J4569" t="s">
        <v>47128</v>
      </c>
      <c r="K4569" t="s">
        <v>47113</v>
      </c>
      <c r="L4569">
        <v>10.51</v>
      </c>
      <c r="M4569">
        <v>23</v>
      </c>
      <c r="N4569">
        <v>0</v>
      </c>
      <c r="O4569">
        <v>23</v>
      </c>
      <c r="P4569">
        <v>0</v>
      </c>
    </row>
    <row r="4570" spans="1:16" x14ac:dyDescent="0.25">
      <c r="A4570" t="s">
        <v>26975</v>
      </c>
      <c r="B4570" t="s">
        <v>15168</v>
      </c>
      <c r="C4570" t="s">
        <v>2192</v>
      </c>
      <c r="D4570" t="str">
        <f>"1278"</f>
        <v>1278</v>
      </c>
      <c r="E4570" t="s">
        <v>100</v>
      </c>
      <c r="F4570" t="s">
        <v>3750</v>
      </c>
      <c r="G4570" t="s">
        <v>16221</v>
      </c>
      <c r="H4570" t="s">
        <v>47055</v>
      </c>
      <c r="I4570" t="s">
        <v>47127</v>
      </c>
      <c r="J4570" t="s">
        <v>47128</v>
      </c>
      <c r="K4570" t="s">
        <v>47113</v>
      </c>
      <c r="L4570">
        <v>12.54</v>
      </c>
      <c r="M4570">
        <v>28</v>
      </c>
      <c r="N4570">
        <v>0</v>
      </c>
      <c r="O4570">
        <v>28</v>
      </c>
      <c r="P4570">
        <v>0</v>
      </c>
    </row>
    <row r="4571" spans="1:16" x14ac:dyDescent="0.25">
      <c r="A4571" t="s">
        <v>26976</v>
      </c>
      <c r="B4571" t="s">
        <v>15168</v>
      </c>
      <c r="C4571" t="s">
        <v>2192</v>
      </c>
      <c r="D4571" t="str">
        <f>"1700"</f>
        <v>1700</v>
      </c>
      <c r="E4571" t="s">
        <v>60</v>
      </c>
      <c r="F4571" t="s">
        <v>3750</v>
      </c>
      <c r="G4571" t="s">
        <v>16221</v>
      </c>
      <c r="H4571" t="s">
        <v>47055</v>
      </c>
      <c r="I4571" t="s">
        <v>47127</v>
      </c>
      <c r="J4571" t="s">
        <v>47128</v>
      </c>
      <c r="K4571" t="s">
        <v>47113</v>
      </c>
      <c r="L4571">
        <v>12.54</v>
      </c>
      <c r="M4571">
        <v>28</v>
      </c>
      <c r="N4571">
        <v>0</v>
      </c>
      <c r="O4571">
        <v>28</v>
      </c>
      <c r="P4571">
        <v>0</v>
      </c>
    </row>
    <row r="4572" spans="1:16" x14ac:dyDescent="0.25">
      <c r="A4572" t="s">
        <v>26977</v>
      </c>
      <c r="B4572" t="s">
        <v>15168</v>
      </c>
      <c r="C4572" t="s">
        <v>2192</v>
      </c>
      <c r="D4572" t="str">
        <f>"4643"</f>
        <v>4643</v>
      </c>
      <c r="E4572" t="s">
        <v>205</v>
      </c>
      <c r="F4572" t="s">
        <v>3750</v>
      </c>
      <c r="G4572" t="s">
        <v>16221</v>
      </c>
      <c r="H4572" t="s">
        <v>47055</v>
      </c>
      <c r="I4572" t="s">
        <v>47127</v>
      </c>
      <c r="J4572" t="s">
        <v>47128</v>
      </c>
      <c r="K4572" t="s">
        <v>47113</v>
      </c>
      <c r="L4572">
        <v>12.54</v>
      </c>
      <c r="M4572">
        <v>28</v>
      </c>
      <c r="N4572">
        <v>0</v>
      </c>
      <c r="O4572">
        <v>28</v>
      </c>
      <c r="P4572">
        <v>0</v>
      </c>
    </row>
    <row r="4573" spans="1:16" x14ac:dyDescent="0.25">
      <c r="A4573" t="s">
        <v>26978</v>
      </c>
      <c r="B4573" t="s">
        <v>4693</v>
      </c>
      <c r="C4573" t="s">
        <v>4045</v>
      </c>
      <c r="D4573" t="s">
        <v>4694</v>
      </c>
      <c r="E4573" t="s">
        <v>4695</v>
      </c>
      <c r="F4573" t="s">
        <v>3670</v>
      </c>
      <c r="G4573" t="s">
        <v>16230</v>
      </c>
      <c r="H4573" t="s">
        <v>47153</v>
      </c>
      <c r="I4573" t="s">
        <v>47132</v>
      </c>
      <c r="J4573" t="s">
        <v>47133</v>
      </c>
      <c r="K4573" t="s">
        <v>47113</v>
      </c>
      <c r="L4573">
        <v>50.48</v>
      </c>
      <c r="M4573">
        <v>85</v>
      </c>
      <c r="N4573">
        <v>0</v>
      </c>
      <c r="O4573">
        <v>85</v>
      </c>
      <c r="P4573">
        <v>0</v>
      </c>
    </row>
    <row r="4574" spans="1:16" x14ac:dyDescent="0.25">
      <c r="A4574" t="s">
        <v>26979</v>
      </c>
      <c r="B4574" t="s">
        <v>4696</v>
      </c>
      <c r="C4574" t="s">
        <v>4697</v>
      </c>
      <c r="D4574" t="s">
        <v>4698</v>
      </c>
      <c r="E4574" t="s">
        <v>4699</v>
      </c>
      <c r="F4574" t="s">
        <v>3670</v>
      </c>
      <c r="G4574" t="s">
        <v>16230</v>
      </c>
      <c r="H4574" t="s">
        <v>47153</v>
      </c>
      <c r="I4574" t="s">
        <v>47132</v>
      </c>
      <c r="J4574" t="s">
        <v>47133</v>
      </c>
      <c r="K4574" t="s">
        <v>47113</v>
      </c>
      <c r="L4574">
        <v>45.56</v>
      </c>
      <c r="M4574">
        <v>74</v>
      </c>
      <c r="N4574">
        <v>0</v>
      </c>
      <c r="O4574">
        <v>74</v>
      </c>
      <c r="P4574">
        <v>0</v>
      </c>
    </row>
    <row r="4575" spans="1:16" x14ac:dyDescent="0.25">
      <c r="A4575" t="s">
        <v>26980</v>
      </c>
      <c r="B4575" t="s">
        <v>4696</v>
      </c>
      <c r="C4575" t="s">
        <v>4697</v>
      </c>
      <c r="D4575" t="s">
        <v>4700</v>
      </c>
      <c r="E4575" t="s">
        <v>4701</v>
      </c>
      <c r="F4575" t="s">
        <v>3670</v>
      </c>
      <c r="G4575" t="s">
        <v>16230</v>
      </c>
      <c r="H4575" t="s">
        <v>47153</v>
      </c>
      <c r="I4575" t="s">
        <v>47132</v>
      </c>
      <c r="J4575" t="s">
        <v>47133</v>
      </c>
      <c r="K4575" t="s">
        <v>47113</v>
      </c>
      <c r="L4575">
        <v>43.21</v>
      </c>
      <c r="M4575">
        <v>74</v>
      </c>
      <c r="N4575">
        <v>0</v>
      </c>
      <c r="O4575">
        <v>74</v>
      </c>
      <c r="P4575">
        <v>0</v>
      </c>
    </row>
    <row r="4576" spans="1:16" x14ac:dyDescent="0.25">
      <c r="A4576" t="s">
        <v>26981</v>
      </c>
      <c r="B4576" t="s">
        <v>4702</v>
      </c>
      <c r="C4576" t="s">
        <v>4697</v>
      </c>
      <c r="D4576" t="s">
        <v>4703</v>
      </c>
      <c r="E4576" t="s">
        <v>4704</v>
      </c>
      <c r="F4576" t="s">
        <v>3670</v>
      </c>
      <c r="G4576" t="s">
        <v>16230</v>
      </c>
      <c r="H4576" t="s">
        <v>47153</v>
      </c>
      <c r="I4576" t="s">
        <v>47132</v>
      </c>
      <c r="J4576" t="s">
        <v>47133</v>
      </c>
      <c r="K4576" t="s">
        <v>47113</v>
      </c>
      <c r="L4576">
        <v>48.96</v>
      </c>
      <c r="M4576">
        <v>85</v>
      </c>
      <c r="N4576">
        <v>0</v>
      </c>
      <c r="O4576">
        <v>85</v>
      </c>
      <c r="P4576">
        <v>0</v>
      </c>
    </row>
    <row r="4577" spans="1:16" x14ac:dyDescent="0.25">
      <c r="A4577" t="s">
        <v>26982</v>
      </c>
      <c r="B4577" t="s">
        <v>14615</v>
      </c>
      <c r="C4577" t="s">
        <v>14608</v>
      </c>
      <c r="D4577" t="s">
        <v>14572</v>
      </c>
      <c r="E4577" t="s">
        <v>14571</v>
      </c>
      <c r="F4577" t="s">
        <v>3558</v>
      </c>
      <c r="G4577" t="s">
        <v>16231</v>
      </c>
      <c r="H4577" t="s">
        <v>47153</v>
      </c>
      <c r="I4577" t="s">
        <v>47132</v>
      </c>
      <c r="J4577" t="s">
        <v>47133</v>
      </c>
      <c r="K4577" t="s">
        <v>47113</v>
      </c>
      <c r="L4577">
        <v>49.67</v>
      </c>
      <c r="M4577">
        <v>96</v>
      </c>
      <c r="N4577">
        <v>0</v>
      </c>
      <c r="O4577">
        <v>96</v>
      </c>
      <c r="P4577">
        <v>0</v>
      </c>
    </row>
    <row r="4578" spans="1:16" x14ac:dyDescent="0.25">
      <c r="A4578" t="s">
        <v>26983</v>
      </c>
      <c r="B4578" t="s">
        <v>14614</v>
      </c>
      <c r="C4578" t="s">
        <v>14608</v>
      </c>
      <c r="D4578" t="s">
        <v>14570</v>
      </c>
      <c r="E4578" t="s">
        <v>14569</v>
      </c>
      <c r="F4578" t="s">
        <v>3558</v>
      </c>
      <c r="G4578" t="s">
        <v>16231</v>
      </c>
      <c r="H4578" t="s">
        <v>47153</v>
      </c>
      <c r="I4578" t="s">
        <v>47132</v>
      </c>
      <c r="J4578" t="s">
        <v>47133</v>
      </c>
      <c r="K4578" t="s">
        <v>47113</v>
      </c>
      <c r="L4578">
        <v>54.09</v>
      </c>
      <c r="M4578">
        <v>96</v>
      </c>
      <c r="N4578">
        <v>0</v>
      </c>
      <c r="O4578">
        <v>96</v>
      </c>
      <c r="P4578">
        <v>0</v>
      </c>
    </row>
    <row r="4579" spans="1:16" x14ac:dyDescent="0.25">
      <c r="A4579" t="s">
        <v>26984</v>
      </c>
      <c r="B4579" t="s">
        <v>14614</v>
      </c>
      <c r="C4579" t="s">
        <v>14608</v>
      </c>
      <c r="D4579" t="s">
        <v>14567</v>
      </c>
      <c r="E4579" t="s">
        <v>14566</v>
      </c>
      <c r="F4579" t="s">
        <v>3558</v>
      </c>
      <c r="G4579" t="s">
        <v>16231</v>
      </c>
      <c r="H4579" t="s">
        <v>47153</v>
      </c>
      <c r="I4579" t="s">
        <v>47132</v>
      </c>
      <c r="J4579" t="s">
        <v>47133</v>
      </c>
      <c r="K4579" t="s">
        <v>47113</v>
      </c>
      <c r="L4579">
        <v>51.87</v>
      </c>
      <c r="M4579">
        <v>96</v>
      </c>
      <c r="N4579">
        <v>0</v>
      </c>
      <c r="O4579">
        <v>96</v>
      </c>
      <c r="P4579">
        <v>0</v>
      </c>
    </row>
    <row r="4580" spans="1:16" x14ac:dyDescent="0.25">
      <c r="A4580" t="s">
        <v>16475</v>
      </c>
      <c r="B4580" t="s">
        <v>14611</v>
      </c>
      <c r="C4580" t="s">
        <v>14608</v>
      </c>
      <c r="D4580" t="s">
        <v>14613</v>
      </c>
      <c r="E4580" t="s">
        <v>14612</v>
      </c>
      <c r="F4580" t="s">
        <v>3558</v>
      </c>
      <c r="G4580" t="s">
        <v>16231</v>
      </c>
      <c r="H4580" t="s">
        <v>47153</v>
      </c>
      <c r="I4580" t="s">
        <v>47132</v>
      </c>
      <c r="J4580" t="s">
        <v>47133</v>
      </c>
      <c r="K4580" t="s">
        <v>47113</v>
      </c>
      <c r="L4580">
        <v>35.119999999999997</v>
      </c>
      <c r="M4580">
        <v>75</v>
      </c>
      <c r="N4580">
        <v>0</v>
      </c>
      <c r="O4580">
        <v>75</v>
      </c>
      <c r="P4580">
        <v>0</v>
      </c>
    </row>
    <row r="4581" spans="1:16" x14ac:dyDescent="0.25">
      <c r="A4581" t="s">
        <v>26985</v>
      </c>
      <c r="B4581" t="s">
        <v>14611</v>
      </c>
      <c r="C4581" t="s">
        <v>14608</v>
      </c>
      <c r="D4581" t="s">
        <v>14564</v>
      </c>
      <c r="E4581" t="s">
        <v>14563</v>
      </c>
      <c r="F4581" t="s">
        <v>3558</v>
      </c>
      <c r="G4581" t="s">
        <v>16231</v>
      </c>
      <c r="H4581" t="s">
        <v>47153</v>
      </c>
      <c r="I4581" t="s">
        <v>47132</v>
      </c>
      <c r="J4581" t="s">
        <v>47133</v>
      </c>
      <c r="K4581" t="s">
        <v>47113</v>
      </c>
      <c r="L4581">
        <v>43.97</v>
      </c>
      <c r="M4581">
        <v>85</v>
      </c>
      <c r="N4581">
        <v>0</v>
      </c>
      <c r="O4581">
        <v>85</v>
      </c>
      <c r="P4581">
        <v>0</v>
      </c>
    </row>
    <row r="4582" spans="1:16" x14ac:dyDescent="0.25">
      <c r="A4582" t="s">
        <v>26986</v>
      </c>
      <c r="B4582" t="s">
        <v>14610</v>
      </c>
      <c r="C4582" t="s">
        <v>14608</v>
      </c>
      <c r="D4582" t="s">
        <v>14594</v>
      </c>
      <c r="E4582" t="s">
        <v>14593</v>
      </c>
      <c r="F4582" t="s">
        <v>3558</v>
      </c>
      <c r="G4582" t="s">
        <v>16231</v>
      </c>
      <c r="H4582" t="s">
        <v>47153</v>
      </c>
      <c r="I4582" t="s">
        <v>47132</v>
      </c>
      <c r="J4582" t="s">
        <v>47133</v>
      </c>
      <c r="K4582" t="s">
        <v>47113</v>
      </c>
      <c r="L4582">
        <v>48.5</v>
      </c>
      <c r="M4582">
        <v>88</v>
      </c>
      <c r="N4582">
        <v>0</v>
      </c>
      <c r="O4582">
        <v>88</v>
      </c>
      <c r="P4582">
        <v>0</v>
      </c>
    </row>
    <row r="4583" spans="1:16" x14ac:dyDescent="0.25">
      <c r="A4583" t="s">
        <v>26987</v>
      </c>
      <c r="B4583" t="s">
        <v>14610</v>
      </c>
      <c r="C4583" t="s">
        <v>14608</v>
      </c>
      <c r="D4583" t="s">
        <v>14558</v>
      </c>
      <c r="E4583" t="s">
        <v>14557</v>
      </c>
      <c r="F4583" t="s">
        <v>3558</v>
      </c>
      <c r="G4583" t="s">
        <v>16231</v>
      </c>
      <c r="H4583" t="s">
        <v>47153</v>
      </c>
      <c r="I4583" t="s">
        <v>47132</v>
      </c>
      <c r="J4583" t="s">
        <v>47133</v>
      </c>
      <c r="K4583" t="s">
        <v>47113</v>
      </c>
      <c r="L4583">
        <v>49.89</v>
      </c>
      <c r="M4583">
        <v>96</v>
      </c>
      <c r="N4583">
        <v>0</v>
      </c>
      <c r="O4583">
        <v>96</v>
      </c>
      <c r="P4583">
        <v>0</v>
      </c>
    </row>
    <row r="4584" spans="1:16" x14ac:dyDescent="0.25">
      <c r="A4584" t="s">
        <v>26988</v>
      </c>
      <c r="B4584" t="s">
        <v>14610</v>
      </c>
      <c r="C4584" t="s">
        <v>14608</v>
      </c>
      <c r="D4584" t="s">
        <v>14554</v>
      </c>
      <c r="E4584" t="s">
        <v>14553</v>
      </c>
      <c r="F4584" t="s">
        <v>3558</v>
      </c>
      <c r="G4584" t="s">
        <v>16231</v>
      </c>
      <c r="H4584" t="s">
        <v>47153</v>
      </c>
      <c r="I4584" t="s">
        <v>47132</v>
      </c>
      <c r="J4584" t="s">
        <v>47133</v>
      </c>
      <c r="K4584" t="s">
        <v>47113</v>
      </c>
      <c r="L4584">
        <v>49.89</v>
      </c>
      <c r="M4584">
        <v>96</v>
      </c>
      <c r="N4584">
        <v>0</v>
      </c>
      <c r="O4584">
        <v>96</v>
      </c>
      <c r="P4584">
        <v>0</v>
      </c>
    </row>
    <row r="4585" spans="1:16" x14ac:dyDescent="0.25">
      <c r="A4585" t="s">
        <v>26989</v>
      </c>
      <c r="B4585" t="s">
        <v>14609</v>
      </c>
      <c r="C4585" t="s">
        <v>14608</v>
      </c>
      <c r="D4585" t="s">
        <v>14601</v>
      </c>
      <c r="E4585" t="s">
        <v>14600</v>
      </c>
      <c r="F4585" t="s">
        <v>3558</v>
      </c>
      <c r="G4585" t="s">
        <v>16231</v>
      </c>
      <c r="H4585" t="s">
        <v>47153</v>
      </c>
      <c r="I4585" t="s">
        <v>47132</v>
      </c>
      <c r="J4585" t="s">
        <v>47133</v>
      </c>
      <c r="K4585" t="s">
        <v>47113</v>
      </c>
      <c r="L4585">
        <v>50.94</v>
      </c>
      <c r="M4585">
        <v>96</v>
      </c>
      <c r="N4585">
        <v>0</v>
      </c>
      <c r="O4585">
        <v>96</v>
      </c>
      <c r="P4585">
        <v>0</v>
      </c>
    </row>
    <row r="4586" spans="1:16" x14ac:dyDescent="0.25">
      <c r="A4586" t="s">
        <v>16611</v>
      </c>
      <c r="B4586" t="s">
        <v>14609</v>
      </c>
      <c r="C4586" t="s">
        <v>14608</v>
      </c>
      <c r="D4586" t="s">
        <v>15169</v>
      </c>
      <c r="E4586" t="s">
        <v>15170</v>
      </c>
      <c r="F4586" t="s">
        <v>3558</v>
      </c>
      <c r="G4586" t="s">
        <v>16231</v>
      </c>
      <c r="H4586" t="s">
        <v>47153</v>
      </c>
      <c r="I4586" t="s">
        <v>47132</v>
      </c>
      <c r="J4586" t="s">
        <v>47133</v>
      </c>
      <c r="K4586" t="s">
        <v>47113</v>
      </c>
      <c r="L4586">
        <v>53.26</v>
      </c>
      <c r="M4586">
        <v>96</v>
      </c>
      <c r="N4586">
        <v>0</v>
      </c>
      <c r="O4586">
        <v>96</v>
      </c>
      <c r="P4586">
        <v>0</v>
      </c>
    </row>
    <row r="4587" spans="1:16" x14ac:dyDescent="0.25">
      <c r="A4587" t="s">
        <v>26990</v>
      </c>
      <c r="B4587" t="s">
        <v>14609</v>
      </c>
      <c r="C4587" t="s">
        <v>14608</v>
      </c>
      <c r="D4587" t="s">
        <v>15171</v>
      </c>
      <c r="E4587" t="s">
        <v>15172</v>
      </c>
      <c r="F4587" t="s">
        <v>3558</v>
      </c>
      <c r="G4587" t="s">
        <v>16231</v>
      </c>
      <c r="H4587" t="s">
        <v>47153</v>
      </c>
      <c r="I4587" t="s">
        <v>47132</v>
      </c>
      <c r="J4587" t="s">
        <v>47133</v>
      </c>
      <c r="K4587" t="s">
        <v>47113</v>
      </c>
      <c r="L4587">
        <v>53.26</v>
      </c>
      <c r="M4587">
        <v>96</v>
      </c>
      <c r="N4587">
        <v>0</v>
      </c>
      <c r="O4587">
        <v>96</v>
      </c>
      <c r="P4587">
        <v>0</v>
      </c>
    </row>
    <row r="4588" spans="1:16" x14ac:dyDescent="0.25">
      <c r="A4588" t="s">
        <v>26991</v>
      </c>
      <c r="B4588" t="s">
        <v>14607</v>
      </c>
      <c r="C4588" t="s">
        <v>14606</v>
      </c>
      <c r="D4588" t="s">
        <v>14572</v>
      </c>
      <c r="E4588" t="s">
        <v>14571</v>
      </c>
      <c r="F4588" t="s">
        <v>3558</v>
      </c>
      <c r="G4588" t="s">
        <v>16231</v>
      </c>
      <c r="H4588" t="s">
        <v>47153</v>
      </c>
      <c r="I4588" t="s">
        <v>47132</v>
      </c>
      <c r="J4588" t="s">
        <v>47133</v>
      </c>
      <c r="K4588" t="s">
        <v>47113</v>
      </c>
      <c r="L4588">
        <v>49.67</v>
      </c>
      <c r="M4588">
        <v>96</v>
      </c>
      <c r="N4588">
        <v>0</v>
      </c>
      <c r="O4588">
        <v>96</v>
      </c>
      <c r="P4588">
        <v>0</v>
      </c>
    </row>
    <row r="4589" spans="1:16" x14ac:dyDescent="0.25">
      <c r="A4589" t="s">
        <v>26992</v>
      </c>
      <c r="B4589" t="s">
        <v>14605</v>
      </c>
      <c r="C4589" t="s">
        <v>14549</v>
      </c>
      <c r="D4589" t="s">
        <v>14592</v>
      </c>
      <c r="E4589" t="s">
        <v>14591</v>
      </c>
      <c r="F4589" t="s">
        <v>3558</v>
      </c>
      <c r="G4589" t="s">
        <v>16231</v>
      </c>
      <c r="H4589" t="s">
        <v>47153</v>
      </c>
      <c r="I4589" t="s">
        <v>47132</v>
      </c>
      <c r="J4589" t="s">
        <v>47133</v>
      </c>
      <c r="K4589" t="s">
        <v>47113</v>
      </c>
      <c r="L4589">
        <v>46.75</v>
      </c>
      <c r="M4589">
        <v>92</v>
      </c>
      <c r="N4589">
        <v>0</v>
      </c>
      <c r="O4589">
        <v>92</v>
      </c>
      <c r="P4589">
        <v>0</v>
      </c>
    </row>
    <row r="4590" spans="1:16" x14ac:dyDescent="0.25">
      <c r="A4590" t="s">
        <v>26993</v>
      </c>
      <c r="B4590" t="s">
        <v>14605</v>
      </c>
      <c r="C4590" t="s">
        <v>14549</v>
      </c>
      <c r="D4590" t="s">
        <v>14589</v>
      </c>
      <c r="E4590" t="s">
        <v>14588</v>
      </c>
      <c r="F4590" t="s">
        <v>3558</v>
      </c>
      <c r="G4590" t="s">
        <v>16231</v>
      </c>
      <c r="H4590" t="s">
        <v>47153</v>
      </c>
      <c r="I4590" t="s">
        <v>47132</v>
      </c>
      <c r="J4590" t="s">
        <v>47133</v>
      </c>
      <c r="K4590" t="s">
        <v>47113</v>
      </c>
      <c r="L4590">
        <v>43.73</v>
      </c>
      <c r="M4590">
        <v>89</v>
      </c>
      <c r="N4590">
        <v>0</v>
      </c>
      <c r="O4590">
        <v>89</v>
      </c>
      <c r="P4590">
        <v>0</v>
      </c>
    </row>
    <row r="4591" spans="1:16" x14ac:dyDescent="0.25">
      <c r="A4591" t="s">
        <v>26994</v>
      </c>
      <c r="B4591" t="s">
        <v>14605</v>
      </c>
      <c r="C4591" t="s">
        <v>14549</v>
      </c>
      <c r="D4591" t="s">
        <v>14570</v>
      </c>
      <c r="E4591" t="s">
        <v>14569</v>
      </c>
      <c r="F4591" t="s">
        <v>3558</v>
      </c>
      <c r="G4591" t="s">
        <v>16231</v>
      </c>
      <c r="H4591" t="s">
        <v>47153</v>
      </c>
      <c r="I4591" t="s">
        <v>47132</v>
      </c>
      <c r="J4591" t="s">
        <v>47133</v>
      </c>
      <c r="K4591" t="s">
        <v>47113</v>
      </c>
      <c r="L4591">
        <v>57.92</v>
      </c>
      <c r="M4591">
        <v>96</v>
      </c>
      <c r="N4591">
        <v>0</v>
      </c>
      <c r="O4591">
        <v>96</v>
      </c>
      <c r="P4591">
        <v>0</v>
      </c>
    </row>
    <row r="4592" spans="1:16" x14ac:dyDescent="0.25">
      <c r="A4592" t="s">
        <v>26995</v>
      </c>
      <c r="B4592" t="s">
        <v>14605</v>
      </c>
      <c r="C4592" t="s">
        <v>14549</v>
      </c>
      <c r="D4592" t="s">
        <v>14567</v>
      </c>
      <c r="E4592" t="s">
        <v>14566</v>
      </c>
      <c r="F4592" t="s">
        <v>3558</v>
      </c>
      <c r="G4592" t="s">
        <v>16231</v>
      </c>
      <c r="H4592" t="s">
        <v>47153</v>
      </c>
      <c r="I4592" t="s">
        <v>47132</v>
      </c>
      <c r="J4592" t="s">
        <v>47133</v>
      </c>
      <c r="K4592" t="s">
        <v>47113</v>
      </c>
      <c r="L4592">
        <v>51.76</v>
      </c>
      <c r="M4592">
        <v>96</v>
      </c>
      <c r="N4592">
        <v>0</v>
      </c>
      <c r="O4592">
        <v>96</v>
      </c>
      <c r="P4592">
        <v>0</v>
      </c>
    </row>
    <row r="4593" spans="1:16" x14ac:dyDescent="0.25">
      <c r="A4593" t="s">
        <v>26996</v>
      </c>
      <c r="B4593" t="s">
        <v>14604</v>
      </c>
      <c r="C4593" t="s">
        <v>14549</v>
      </c>
      <c r="D4593" t="s">
        <v>14564</v>
      </c>
      <c r="E4593" t="s">
        <v>14563</v>
      </c>
      <c r="F4593" t="s">
        <v>3558</v>
      </c>
      <c r="G4593" t="s">
        <v>16231</v>
      </c>
      <c r="H4593" t="s">
        <v>47153</v>
      </c>
      <c r="I4593" t="s">
        <v>47132</v>
      </c>
      <c r="J4593" t="s">
        <v>47133</v>
      </c>
      <c r="K4593" t="s">
        <v>47113</v>
      </c>
      <c r="L4593">
        <v>43.97</v>
      </c>
      <c r="M4593">
        <v>85</v>
      </c>
      <c r="N4593">
        <v>0</v>
      </c>
      <c r="O4593">
        <v>85</v>
      </c>
      <c r="P4593">
        <v>0</v>
      </c>
    </row>
    <row r="4594" spans="1:16" x14ac:dyDescent="0.25">
      <c r="A4594" t="s">
        <v>26997</v>
      </c>
      <c r="B4594" t="s">
        <v>14603</v>
      </c>
      <c r="C4594" t="s">
        <v>14549</v>
      </c>
      <c r="D4594" t="s">
        <v>14594</v>
      </c>
      <c r="E4594" t="s">
        <v>14593</v>
      </c>
      <c r="F4594" t="s">
        <v>3558</v>
      </c>
      <c r="G4594" t="s">
        <v>16231</v>
      </c>
      <c r="H4594" t="s">
        <v>47153</v>
      </c>
      <c r="I4594" t="s">
        <v>47132</v>
      </c>
      <c r="J4594" t="s">
        <v>47133</v>
      </c>
      <c r="K4594" t="s">
        <v>47113</v>
      </c>
      <c r="L4594">
        <v>48.27</v>
      </c>
      <c r="M4594">
        <v>88</v>
      </c>
      <c r="N4594">
        <v>0</v>
      </c>
      <c r="O4594">
        <v>88</v>
      </c>
      <c r="P4594">
        <v>0</v>
      </c>
    </row>
    <row r="4595" spans="1:16" x14ac:dyDescent="0.25">
      <c r="A4595" t="s">
        <v>16612</v>
      </c>
      <c r="B4595" t="s">
        <v>14603</v>
      </c>
      <c r="C4595" t="s">
        <v>14549</v>
      </c>
      <c r="D4595" t="s">
        <v>14558</v>
      </c>
      <c r="E4595" t="s">
        <v>14557</v>
      </c>
      <c r="F4595" t="s">
        <v>3558</v>
      </c>
      <c r="G4595" t="s">
        <v>16231</v>
      </c>
      <c r="H4595" t="s">
        <v>47153</v>
      </c>
      <c r="I4595" t="s">
        <v>47132</v>
      </c>
      <c r="J4595" t="s">
        <v>47133</v>
      </c>
      <c r="K4595" t="s">
        <v>47113</v>
      </c>
      <c r="L4595">
        <v>50.59</v>
      </c>
      <c r="M4595">
        <v>96</v>
      </c>
      <c r="N4595">
        <v>0</v>
      </c>
      <c r="O4595">
        <v>96</v>
      </c>
      <c r="P4595">
        <v>0</v>
      </c>
    </row>
    <row r="4596" spans="1:16" x14ac:dyDescent="0.25">
      <c r="A4596" t="s">
        <v>26998</v>
      </c>
      <c r="B4596" t="s">
        <v>14603</v>
      </c>
      <c r="C4596" t="s">
        <v>14549</v>
      </c>
      <c r="D4596" t="s">
        <v>14554</v>
      </c>
      <c r="E4596" t="s">
        <v>14553</v>
      </c>
      <c r="F4596" t="s">
        <v>3558</v>
      </c>
      <c r="G4596" t="s">
        <v>16231</v>
      </c>
      <c r="H4596" t="s">
        <v>47153</v>
      </c>
      <c r="I4596" t="s">
        <v>47132</v>
      </c>
      <c r="J4596" t="s">
        <v>47133</v>
      </c>
      <c r="K4596" t="s">
        <v>47113</v>
      </c>
      <c r="L4596">
        <v>49.78</v>
      </c>
      <c r="M4596">
        <v>96</v>
      </c>
      <c r="N4596">
        <v>0</v>
      </c>
      <c r="O4596">
        <v>96</v>
      </c>
      <c r="P4596">
        <v>0</v>
      </c>
    </row>
    <row r="4597" spans="1:16" x14ac:dyDescent="0.25">
      <c r="A4597" t="s">
        <v>26999</v>
      </c>
      <c r="B4597" t="s">
        <v>14602</v>
      </c>
      <c r="C4597" t="s">
        <v>14549</v>
      </c>
      <c r="D4597" t="s">
        <v>14601</v>
      </c>
      <c r="E4597" t="s">
        <v>14600</v>
      </c>
      <c r="F4597" t="s">
        <v>3558</v>
      </c>
      <c r="G4597" t="s">
        <v>16231</v>
      </c>
      <c r="H4597" t="s">
        <v>47153</v>
      </c>
      <c r="I4597" t="s">
        <v>47132</v>
      </c>
      <c r="J4597" t="s">
        <v>47133</v>
      </c>
      <c r="K4597" t="s">
        <v>47113</v>
      </c>
      <c r="L4597">
        <v>51.41</v>
      </c>
      <c r="M4597">
        <v>96</v>
      </c>
      <c r="N4597">
        <v>0</v>
      </c>
      <c r="O4597">
        <v>96</v>
      </c>
      <c r="P4597">
        <v>0</v>
      </c>
    </row>
    <row r="4598" spans="1:16" x14ac:dyDescent="0.25">
      <c r="A4598" t="s">
        <v>27000</v>
      </c>
      <c r="B4598" t="s">
        <v>14599</v>
      </c>
      <c r="C4598" t="s">
        <v>16474</v>
      </c>
      <c r="D4598" t="s">
        <v>14592</v>
      </c>
      <c r="E4598" t="s">
        <v>14591</v>
      </c>
      <c r="F4598" t="s">
        <v>3558</v>
      </c>
      <c r="G4598" t="s">
        <v>16231</v>
      </c>
      <c r="H4598" t="s">
        <v>47153</v>
      </c>
      <c r="I4598" t="s">
        <v>47132</v>
      </c>
      <c r="J4598" t="s">
        <v>47133</v>
      </c>
      <c r="K4598" t="s">
        <v>47113</v>
      </c>
      <c r="L4598">
        <v>46.75</v>
      </c>
      <c r="M4598">
        <v>92</v>
      </c>
      <c r="N4598">
        <v>0</v>
      </c>
      <c r="O4598">
        <v>92</v>
      </c>
      <c r="P4598">
        <v>0</v>
      </c>
    </row>
    <row r="4599" spans="1:16" x14ac:dyDescent="0.25">
      <c r="A4599" t="s">
        <v>27001</v>
      </c>
      <c r="B4599" t="s">
        <v>14599</v>
      </c>
      <c r="C4599" t="s">
        <v>16474</v>
      </c>
      <c r="D4599" t="s">
        <v>14584</v>
      </c>
      <c r="E4599" t="s">
        <v>14583</v>
      </c>
      <c r="F4599" t="s">
        <v>3558</v>
      </c>
      <c r="G4599" t="s">
        <v>16231</v>
      </c>
      <c r="H4599" t="s">
        <v>47153</v>
      </c>
      <c r="I4599" t="s">
        <v>47132</v>
      </c>
      <c r="J4599" t="s">
        <v>47133</v>
      </c>
      <c r="K4599" t="s">
        <v>47113</v>
      </c>
      <c r="L4599">
        <v>54.49</v>
      </c>
      <c r="M4599">
        <v>96</v>
      </c>
      <c r="N4599">
        <v>0</v>
      </c>
      <c r="O4599">
        <v>96</v>
      </c>
      <c r="P4599">
        <v>0</v>
      </c>
    </row>
    <row r="4600" spans="1:16" x14ac:dyDescent="0.25">
      <c r="A4600" t="s">
        <v>27002</v>
      </c>
      <c r="B4600" t="s">
        <v>14599</v>
      </c>
      <c r="C4600" t="s">
        <v>16474</v>
      </c>
      <c r="D4600" t="s">
        <v>14589</v>
      </c>
      <c r="E4600" t="s">
        <v>14588</v>
      </c>
      <c r="F4600" t="s">
        <v>3558</v>
      </c>
      <c r="G4600" t="s">
        <v>16231</v>
      </c>
      <c r="H4600" t="s">
        <v>47153</v>
      </c>
      <c r="I4600" t="s">
        <v>47132</v>
      </c>
      <c r="J4600" t="s">
        <v>47133</v>
      </c>
      <c r="K4600" t="s">
        <v>47113</v>
      </c>
      <c r="L4600">
        <v>44.89</v>
      </c>
      <c r="M4600">
        <v>89</v>
      </c>
      <c r="N4600">
        <v>0</v>
      </c>
      <c r="O4600">
        <v>89</v>
      </c>
      <c r="P4600">
        <v>0</v>
      </c>
    </row>
    <row r="4601" spans="1:16" x14ac:dyDescent="0.25">
      <c r="A4601" t="s">
        <v>27003</v>
      </c>
      <c r="B4601" t="s">
        <v>14599</v>
      </c>
      <c r="C4601" t="s">
        <v>16474</v>
      </c>
      <c r="D4601" t="s">
        <v>14580</v>
      </c>
      <c r="E4601" t="s">
        <v>14579</v>
      </c>
      <c r="F4601" t="s">
        <v>3558</v>
      </c>
      <c r="G4601" t="s">
        <v>16231</v>
      </c>
      <c r="H4601" t="s">
        <v>47153</v>
      </c>
      <c r="I4601" t="s">
        <v>47132</v>
      </c>
      <c r="J4601" t="s">
        <v>47133</v>
      </c>
      <c r="K4601" t="s">
        <v>47113</v>
      </c>
      <c r="L4601">
        <v>45.83</v>
      </c>
      <c r="M4601">
        <v>96</v>
      </c>
      <c r="N4601">
        <v>0</v>
      </c>
      <c r="O4601">
        <v>96</v>
      </c>
      <c r="P4601">
        <v>0</v>
      </c>
    </row>
    <row r="4602" spans="1:16" x14ac:dyDescent="0.25">
      <c r="A4602" t="s">
        <v>27004</v>
      </c>
      <c r="B4602" t="s">
        <v>14598</v>
      </c>
      <c r="C4602" t="s">
        <v>14597</v>
      </c>
      <c r="D4602" t="s">
        <v>14594</v>
      </c>
      <c r="E4602" t="s">
        <v>14593</v>
      </c>
      <c r="F4602" t="s">
        <v>3558</v>
      </c>
      <c r="G4602" t="s">
        <v>16231</v>
      </c>
      <c r="H4602" t="s">
        <v>47153</v>
      </c>
      <c r="I4602" t="s">
        <v>47132</v>
      </c>
      <c r="J4602" t="s">
        <v>47133</v>
      </c>
      <c r="K4602" t="s">
        <v>47113</v>
      </c>
      <c r="L4602">
        <v>50.25</v>
      </c>
      <c r="M4602">
        <v>88</v>
      </c>
      <c r="N4602">
        <v>0</v>
      </c>
      <c r="O4602">
        <v>88</v>
      </c>
      <c r="P4602">
        <v>0</v>
      </c>
    </row>
    <row r="4603" spans="1:16" x14ac:dyDescent="0.25">
      <c r="A4603" t="s">
        <v>27005</v>
      </c>
      <c r="B4603" t="s">
        <v>14596</v>
      </c>
      <c r="C4603" t="s">
        <v>14545</v>
      </c>
      <c r="D4603" t="s">
        <v>14584</v>
      </c>
      <c r="E4603" t="s">
        <v>14583</v>
      </c>
      <c r="F4603" t="s">
        <v>3558</v>
      </c>
      <c r="G4603" t="s">
        <v>16231</v>
      </c>
      <c r="H4603" t="s">
        <v>47153</v>
      </c>
      <c r="I4603" t="s">
        <v>47132</v>
      </c>
      <c r="J4603" t="s">
        <v>47133</v>
      </c>
      <c r="K4603" t="s">
        <v>47113</v>
      </c>
      <c r="L4603">
        <v>54.49</v>
      </c>
      <c r="M4603">
        <v>96</v>
      </c>
      <c r="N4603">
        <v>0</v>
      </c>
      <c r="O4603">
        <v>96</v>
      </c>
      <c r="P4603">
        <v>0</v>
      </c>
    </row>
    <row r="4604" spans="1:16" x14ac:dyDescent="0.25">
      <c r="A4604" t="s">
        <v>27006</v>
      </c>
      <c r="B4604" t="s">
        <v>14596</v>
      </c>
      <c r="C4604" t="s">
        <v>14545</v>
      </c>
      <c r="D4604" t="s">
        <v>14580</v>
      </c>
      <c r="E4604" t="s">
        <v>14579</v>
      </c>
      <c r="F4604" t="s">
        <v>3558</v>
      </c>
      <c r="G4604" t="s">
        <v>16231</v>
      </c>
      <c r="H4604" t="s">
        <v>47153</v>
      </c>
      <c r="I4604" t="s">
        <v>47132</v>
      </c>
      <c r="J4604" t="s">
        <v>47133</v>
      </c>
      <c r="K4604" t="s">
        <v>47113</v>
      </c>
      <c r="L4604">
        <v>47.57</v>
      </c>
      <c r="M4604">
        <v>96</v>
      </c>
      <c r="N4604">
        <v>0</v>
      </c>
      <c r="O4604">
        <v>96</v>
      </c>
      <c r="P4604">
        <v>0</v>
      </c>
    </row>
    <row r="4605" spans="1:16" x14ac:dyDescent="0.25">
      <c r="A4605" t="s">
        <v>27007</v>
      </c>
      <c r="B4605" t="s">
        <v>14595</v>
      </c>
      <c r="C4605" t="s">
        <v>14545</v>
      </c>
      <c r="D4605" t="s">
        <v>14594</v>
      </c>
      <c r="E4605" t="s">
        <v>14593</v>
      </c>
      <c r="F4605" t="s">
        <v>3558</v>
      </c>
      <c r="G4605" t="s">
        <v>16231</v>
      </c>
      <c r="H4605" t="s">
        <v>47153</v>
      </c>
      <c r="I4605" t="s">
        <v>47132</v>
      </c>
      <c r="J4605" t="s">
        <v>47133</v>
      </c>
      <c r="K4605" t="s">
        <v>47113</v>
      </c>
      <c r="L4605">
        <v>51.87</v>
      </c>
      <c r="M4605">
        <v>88</v>
      </c>
      <c r="N4605">
        <v>0</v>
      </c>
      <c r="O4605">
        <v>88</v>
      </c>
      <c r="P4605">
        <v>0</v>
      </c>
    </row>
    <row r="4606" spans="1:16" x14ac:dyDescent="0.25">
      <c r="A4606" t="s">
        <v>27008</v>
      </c>
      <c r="B4606" t="s">
        <v>14590</v>
      </c>
      <c r="C4606" t="s">
        <v>14585</v>
      </c>
      <c r="D4606" t="s">
        <v>14592</v>
      </c>
      <c r="E4606" t="s">
        <v>14591</v>
      </c>
      <c r="F4606" t="s">
        <v>3558</v>
      </c>
      <c r="G4606" t="s">
        <v>16231</v>
      </c>
      <c r="H4606" t="s">
        <v>47153</v>
      </c>
      <c r="I4606" t="s">
        <v>47132</v>
      </c>
      <c r="J4606" t="s">
        <v>47133</v>
      </c>
      <c r="K4606" t="s">
        <v>47113</v>
      </c>
      <c r="L4606">
        <v>49.08</v>
      </c>
      <c r="M4606">
        <v>92</v>
      </c>
      <c r="N4606">
        <v>0</v>
      </c>
      <c r="O4606">
        <v>92</v>
      </c>
      <c r="P4606">
        <v>0</v>
      </c>
    </row>
    <row r="4607" spans="1:16" x14ac:dyDescent="0.25">
      <c r="A4607" t="s">
        <v>16473</v>
      </c>
      <c r="B4607" t="s">
        <v>14590</v>
      </c>
      <c r="C4607" t="s">
        <v>14585</v>
      </c>
      <c r="D4607" t="s">
        <v>14589</v>
      </c>
      <c r="E4607" t="s">
        <v>14588</v>
      </c>
      <c r="F4607" t="s">
        <v>3558</v>
      </c>
      <c r="G4607" t="s">
        <v>16231</v>
      </c>
      <c r="H4607" t="s">
        <v>47153</v>
      </c>
      <c r="I4607" t="s">
        <v>47132</v>
      </c>
      <c r="J4607" t="s">
        <v>47133</v>
      </c>
      <c r="K4607" t="s">
        <v>47113</v>
      </c>
      <c r="L4607">
        <v>46.41</v>
      </c>
      <c r="M4607">
        <v>89</v>
      </c>
      <c r="N4607">
        <v>0</v>
      </c>
      <c r="O4607">
        <v>89</v>
      </c>
      <c r="P4607">
        <v>0</v>
      </c>
    </row>
    <row r="4608" spans="1:16" x14ac:dyDescent="0.25">
      <c r="A4608" t="s">
        <v>27009</v>
      </c>
      <c r="B4608" t="s">
        <v>14587</v>
      </c>
      <c r="C4608" t="s">
        <v>14585</v>
      </c>
      <c r="D4608" t="s">
        <v>14558</v>
      </c>
      <c r="E4608" t="s">
        <v>14557</v>
      </c>
      <c r="F4608" t="s">
        <v>3558</v>
      </c>
      <c r="G4608" t="s">
        <v>16231</v>
      </c>
      <c r="H4608" t="s">
        <v>47153</v>
      </c>
      <c r="I4608" t="s">
        <v>47132</v>
      </c>
      <c r="J4608" t="s">
        <v>47133</v>
      </c>
      <c r="K4608" t="s">
        <v>47113</v>
      </c>
      <c r="L4608">
        <v>53.62</v>
      </c>
      <c r="M4608">
        <v>96</v>
      </c>
      <c r="N4608">
        <v>0</v>
      </c>
      <c r="O4608">
        <v>96</v>
      </c>
      <c r="P4608">
        <v>0</v>
      </c>
    </row>
    <row r="4609" spans="1:16" x14ac:dyDescent="0.25">
      <c r="A4609" t="s">
        <v>27010</v>
      </c>
      <c r="B4609" t="s">
        <v>14587</v>
      </c>
      <c r="C4609" t="s">
        <v>14585</v>
      </c>
      <c r="D4609" t="s">
        <v>14554</v>
      </c>
      <c r="E4609" t="s">
        <v>14553</v>
      </c>
      <c r="F4609" t="s">
        <v>3558</v>
      </c>
      <c r="G4609" t="s">
        <v>16231</v>
      </c>
      <c r="H4609" t="s">
        <v>47153</v>
      </c>
      <c r="I4609" t="s">
        <v>47132</v>
      </c>
      <c r="J4609" t="s">
        <v>47133</v>
      </c>
      <c r="K4609" t="s">
        <v>47113</v>
      </c>
      <c r="L4609">
        <v>52.92</v>
      </c>
      <c r="M4609">
        <v>96</v>
      </c>
      <c r="N4609">
        <v>0</v>
      </c>
      <c r="O4609">
        <v>96</v>
      </c>
      <c r="P4609">
        <v>0</v>
      </c>
    </row>
    <row r="4610" spans="1:16" x14ac:dyDescent="0.25">
      <c r="A4610" t="s">
        <v>27011</v>
      </c>
      <c r="B4610" t="s">
        <v>14586</v>
      </c>
      <c r="C4610" t="s">
        <v>14585</v>
      </c>
      <c r="D4610" t="s">
        <v>14576</v>
      </c>
      <c r="E4610" t="s">
        <v>14575</v>
      </c>
      <c r="F4610" t="s">
        <v>3558</v>
      </c>
      <c r="G4610" t="s">
        <v>16231</v>
      </c>
      <c r="H4610" t="s">
        <v>47153</v>
      </c>
      <c r="I4610" t="s">
        <v>47132</v>
      </c>
      <c r="J4610" t="s">
        <v>47133</v>
      </c>
      <c r="K4610" t="s">
        <v>47113</v>
      </c>
      <c r="L4610">
        <v>51.64</v>
      </c>
      <c r="M4610">
        <v>96</v>
      </c>
      <c r="N4610">
        <v>0</v>
      </c>
      <c r="O4610">
        <v>96</v>
      </c>
      <c r="P4610">
        <v>0</v>
      </c>
    </row>
    <row r="4611" spans="1:16" x14ac:dyDescent="0.25">
      <c r="A4611" t="s">
        <v>27012</v>
      </c>
      <c r="B4611" t="s">
        <v>14582</v>
      </c>
      <c r="C4611" t="s">
        <v>14581</v>
      </c>
      <c r="D4611" t="s">
        <v>14584</v>
      </c>
      <c r="E4611" t="s">
        <v>14583</v>
      </c>
      <c r="F4611" t="s">
        <v>3558</v>
      </c>
      <c r="G4611" t="s">
        <v>16231</v>
      </c>
      <c r="H4611" t="s">
        <v>47153</v>
      </c>
      <c r="I4611" t="s">
        <v>47132</v>
      </c>
      <c r="J4611" t="s">
        <v>47133</v>
      </c>
      <c r="K4611" t="s">
        <v>47113</v>
      </c>
      <c r="L4611">
        <v>54.78</v>
      </c>
      <c r="M4611">
        <v>96</v>
      </c>
      <c r="N4611">
        <v>0</v>
      </c>
      <c r="O4611">
        <v>96</v>
      </c>
      <c r="P4611">
        <v>0</v>
      </c>
    </row>
    <row r="4612" spans="1:16" x14ac:dyDescent="0.25">
      <c r="A4612" t="s">
        <v>27013</v>
      </c>
      <c r="B4612" t="s">
        <v>14582</v>
      </c>
      <c r="C4612" t="s">
        <v>14581</v>
      </c>
      <c r="D4612" t="s">
        <v>14580</v>
      </c>
      <c r="E4612" t="s">
        <v>14579</v>
      </c>
      <c r="F4612" t="s">
        <v>3558</v>
      </c>
      <c r="G4612" t="s">
        <v>16231</v>
      </c>
      <c r="H4612" t="s">
        <v>47153</v>
      </c>
      <c r="I4612" t="s">
        <v>47132</v>
      </c>
      <c r="J4612" t="s">
        <v>47133</v>
      </c>
      <c r="K4612" t="s">
        <v>47113</v>
      </c>
      <c r="L4612">
        <v>46.75</v>
      </c>
      <c r="M4612">
        <v>96</v>
      </c>
      <c r="N4612">
        <v>0</v>
      </c>
      <c r="O4612">
        <v>96</v>
      </c>
      <c r="P4612">
        <v>0</v>
      </c>
    </row>
    <row r="4613" spans="1:16" x14ac:dyDescent="0.25">
      <c r="A4613" t="s">
        <v>27014</v>
      </c>
      <c r="B4613" t="s">
        <v>14578</v>
      </c>
      <c r="C4613" t="s">
        <v>14577</v>
      </c>
      <c r="D4613" t="s">
        <v>14576</v>
      </c>
      <c r="E4613" t="s">
        <v>14575</v>
      </c>
      <c r="F4613" t="s">
        <v>3558</v>
      </c>
      <c r="G4613" t="s">
        <v>16231</v>
      </c>
      <c r="H4613" t="s">
        <v>47153</v>
      </c>
      <c r="I4613" t="s">
        <v>47132</v>
      </c>
      <c r="J4613" t="s">
        <v>47133</v>
      </c>
      <c r="K4613" t="s">
        <v>47113</v>
      </c>
      <c r="L4613">
        <v>51.41</v>
      </c>
      <c r="M4613">
        <v>96</v>
      </c>
      <c r="N4613">
        <v>0</v>
      </c>
      <c r="O4613">
        <v>96</v>
      </c>
      <c r="P4613">
        <v>0</v>
      </c>
    </row>
    <row r="4614" spans="1:16" x14ac:dyDescent="0.25">
      <c r="A4614" t="s">
        <v>27015</v>
      </c>
      <c r="B4614" t="s">
        <v>14574</v>
      </c>
      <c r="C4614" t="s">
        <v>14573</v>
      </c>
      <c r="D4614" t="s">
        <v>14572</v>
      </c>
      <c r="E4614" t="s">
        <v>14571</v>
      </c>
      <c r="F4614" t="s">
        <v>3558</v>
      </c>
      <c r="G4614" t="s">
        <v>16231</v>
      </c>
      <c r="H4614" t="s">
        <v>47153</v>
      </c>
      <c r="I4614" t="s">
        <v>47132</v>
      </c>
      <c r="J4614" t="s">
        <v>47133</v>
      </c>
      <c r="K4614" t="s">
        <v>47113</v>
      </c>
      <c r="L4614">
        <v>53.26</v>
      </c>
      <c r="M4614">
        <v>96</v>
      </c>
      <c r="N4614">
        <v>0</v>
      </c>
      <c r="O4614">
        <v>96</v>
      </c>
      <c r="P4614">
        <v>0</v>
      </c>
    </row>
    <row r="4615" spans="1:16" x14ac:dyDescent="0.25">
      <c r="A4615" t="s">
        <v>27016</v>
      </c>
      <c r="B4615" t="s">
        <v>14568</v>
      </c>
      <c r="C4615" t="s">
        <v>14573</v>
      </c>
      <c r="D4615" t="s">
        <v>14570</v>
      </c>
      <c r="E4615" t="s">
        <v>14569</v>
      </c>
      <c r="F4615" t="s">
        <v>3558</v>
      </c>
      <c r="G4615" t="s">
        <v>16231</v>
      </c>
      <c r="H4615" t="s">
        <v>47153</v>
      </c>
      <c r="I4615" t="s">
        <v>47132</v>
      </c>
      <c r="J4615" t="s">
        <v>47133</v>
      </c>
      <c r="K4615" t="s">
        <v>47113</v>
      </c>
      <c r="L4615">
        <v>57.92</v>
      </c>
      <c r="M4615">
        <v>96</v>
      </c>
      <c r="N4615">
        <v>0</v>
      </c>
      <c r="O4615">
        <v>96</v>
      </c>
      <c r="P4615">
        <v>0</v>
      </c>
    </row>
    <row r="4616" spans="1:16" x14ac:dyDescent="0.25">
      <c r="A4616" t="s">
        <v>27017</v>
      </c>
      <c r="B4616" t="s">
        <v>14568</v>
      </c>
      <c r="C4616" t="s">
        <v>14573</v>
      </c>
      <c r="D4616" t="s">
        <v>14567</v>
      </c>
      <c r="E4616" t="s">
        <v>14566</v>
      </c>
      <c r="F4616" t="s">
        <v>3558</v>
      </c>
      <c r="G4616" t="s">
        <v>16231</v>
      </c>
      <c r="H4616" t="s">
        <v>47153</v>
      </c>
      <c r="I4616" t="s">
        <v>47132</v>
      </c>
      <c r="J4616" t="s">
        <v>47133</v>
      </c>
      <c r="K4616" t="s">
        <v>47113</v>
      </c>
      <c r="L4616">
        <v>55.59</v>
      </c>
      <c r="M4616">
        <v>96</v>
      </c>
      <c r="N4616">
        <v>0</v>
      </c>
      <c r="O4616">
        <v>96</v>
      </c>
      <c r="P4616">
        <v>0</v>
      </c>
    </row>
    <row r="4617" spans="1:16" x14ac:dyDescent="0.25">
      <c r="A4617" t="s">
        <v>27018</v>
      </c>
      <c r="B4617" t="s">
        <v>14565</v>
      </c>
      <c r="C4617" t="s">
        <v>14543</v>
      </c>
      <c r="D4617" t="s">
        <v>14564</v>
      </c>
      <c r="E4617" t="s">
        <v>14563</v>
      </c>
      <c r="F4617" t="s">
        <v>3558</v>
      </c>
      <c r="G4617" t="s">
        <v>16233</v>
      </c>
      <c r="H4617" t="s">
        <v>47153</v>
      </c>
      <c r="I4617" t="s">
        <v>47132</v>
      </c>
      <c r="J4617" t="s">
        <v>47133</v>
      </c>
      <c r="K4617" t="s">
        <v>47113</v>
      </c>
      <c r="L4617">
        <v>40.94</v>
      </c>
      <c r="M4617">
        <v>85</v>
      </c>
      <c r="N4617">
        <v>0</v>
      </c>
      <c r="O4617">
        <v>85</v>
      </c>
      <c r="P4617">
        <v>0</v>
      </c>
    </row>
    <row r="4618" spans="1:16" x14ac:dyDescent="0.25">
      <c r="A4618" t="s">
        <v>27019</v>
      </c>
      <c r="B4618" t="s">
        <v>14193</v>
      </c>
      <c r="C4618" t="s">
        <v>14194</v>
      </c>
      <c r="D4618" t="str">
        <f>"1106"</f>
        <v>1106</v>
      </c>
      <c r="E4618" t="s">
        <v>460</v>
      </c>
      <c r="F4618" t="s">
        <v>3558</v>
      </c>
      <c r="G4618" t="s">
        <v>16235</v>
      </c>
      <c r="H4618" t="s">
        <v>47055</v>
      </c>
      <c r="I4618" t="s">
        <v>47127</v>
      </c>
      <c r="J4618" t="s">
        <v>47128</v>
      </c>
      <c r="K4618" t="s">
        <v>47113</v>
      </c>
      <c r="L4618">
        <v>30.43</v>
      </c>
      <c r="M4618">
        <v>49</v>
      </c>
      <c r="N4618">
        <v>0</v>
      </c>
      <c r="O4618">
        <v>49</v>
      </c>
      <c r="P4618">
        <v>0</v>
      </c>
    </row>
    <row r="4619" spans="1:16" x14ac:dyDescent="0.25">
      <c r="A4619" t="s">
        <v>27020</v>
      </c>
      <c r="B4619" t="s">
        <v>14193</v>
      </c>
      <c r="C4619" t="s">
        <v>14194</v>
      </c>
      <c r="D4619" t="str">
        <f>"1476"</f>
        <v>1476</v>
      </c>
      <c r="E4619" t="s">
        <v>3859</v>
      </c>
      <c r="F4619" t="s">
        <v>3558</v>
      </c>
      <c r="G4619" t="s">
        <v>16235</v>
      </c>
      <c r="H4619" t="s">
        <v>47055</v>
      </c>
      <c r="I4619" t="s">
        <v>47127</v>
      </c>
      <c r="J4619" t="s">
        <v>47128</v>
      </c>
      <c r="K4619" t="s">
        <v>47113</v>
      </c>
      <c r="L4619">
        <v>30.43</v>
      </c>
      <c r="M4619">
        <v>49</v>
      </c>
      <c r="N4619">
        <v>0</v>
      </c>
      <c r="O4619">
        <v>49</v>
      </c>
      <c r="P4619">
        <v>0</v>
      </c>
    </row>
    <row r="4620" spans="1:16" x14ac:dyDescent="0.25">
      <c r="A4620" t="s">
        <v>27021</v>
      </c>
      <c r="B4620" t="s">
        <v>14193</v>
      </c>
      <c r="C4620" t="s">
        <v>14194</v>
      </c>
      <c r="D4620" t="str">
        <f>"1700"</f>
        <v>1700</v>
      </c>
      <c r="E4620" t="s">
        <v>60</v>
      </c>
      <c r="F4620" t="s">
        <v>3558</v>
      </c>
      <c r="G4620" t="s">
        <v>16235</v>
      </c>
      <c r="H4620" t="s">
        <v>47055</v>
      </c>
      <c r="I4620" t="s">
        <v>47127</v>
      </c>
      <c r="J4620" t="s">
        <v>47128</v>
      </c>
      <c r="K4620" t="s">
        <v>47113</v>
      </c>
      <c r="L4620">
        <v>22.09</v>
      </c>
      <c r="M4620">
        <v>49</v>
      </c>
      <c r="N4620">
        <v>0</v>
      </c>
      <c r="O4620">
        <v>49</v>
      </c>
      <c r="P4620">
        <v>0</v>
      </c>
    </row>
    <row r="4621" spans="1:16" x14ac:dyDescent="0.25">
      <c r="A4621" t="s">
        <v>27022</v>
      </c>
      <c r="B4621" t="s">
        <v>14193</v>
      </c>
      <c r="C4621" t="s">
        <v>14194</v>
      </c>
      <c r="D4621" t="str">
        <f>"4643"</f>
        <v>4643</v>
      </c>
      <c r="E4621" t="s">
        <v>205</v>
      </c>
      <c r="F4621" t="s">
        <v>3558</v>
      </c>
      <c r="G4621" t="s">
        <v>16235</v>
      </c>
      <c r="H4621" t="s">
        <v>47055</v>
      </c>
      <c r="I4621" t="s">
        <v>47127</v>
      </c>
      <c r="J4621" t="s">
        <v>47128</v>
      </c>
      <c r="K4621" t="s">
        <v>47113</v>
      </c>
      <c r="L4621">
        <v>30.43</v>
      </c>
      <c r="M4621">
        <v>49</v>
      </c>
      <c r="N4621">
        <v>0</v>
      </c>
      <c r="O4621">
        <v>49</v>
      </c>
      <c r="P4621">
        <v>0</v>
      </c>
    </row>
    <row r="4622" spans="1:16" x14ac:dyDescent="0.25">
      <c r="A4622" t="s">
        <v>27023</v>
      </c>
      <c r="B4622" t="s">
        <v>14193</v>
      </c>
      <c r="C4622" t="s">
        <v>14194</v>
      </c>
      <c r="D4622" t="str">
        <f>"4645"</f>
        <v>4645</v>
      </c>
      <c r="E4622" t="s">
        <v>9770</v>
      </c>
      <c r="F4622" t="s">
        <v>3558</v>
      </c>
      <c r="G4622" t="s">
        <v>16235</v>
      </c>
      <c r="H4622" t="s">
        <v>47055</v>
      </c>
      <c r="I4622" t="s">
        <v>47127</v>
      </c>
      <c r="J4622" t="s">
        <v>47128</v>
      </c>
      <c r="K4622" t="s">
        <v>47113</v>
      </c>
      <c r="L4622">
        <v>22.09</v>
      </c>
      <c r="M4622">
        <v>49</v>
      </c>
      <c r="N4622">
        <v>0</v>
      </c>
      <c r="O4622">
        <v>49</v>
      </c>
      <c r="P4622">
        <v>0</v>
      </c>
    </row>
    <row r="4623" spans="1:16" x14ac:dyDescent="0.25">
      <c r="A4623" t="s">
        <v>27024</v>
      </c>
      <c r="B4623" t="s">
        <v>14195</v>
      </c>
      <c r="C4623" t="s">
        <v>14196</v>
      </c>
      <c r="D4623" t="str">
        <f>"1106"</f>
        <v>1106</v>
      </c>
      <c r="E4623" t="s">
        <v>460</v>
      </c>
      <c r="F4623" t="s">
        <v>3558</v>
      </c>
      <c r="G4623" t="s">
        <v>16222</v>
      </c>
      <c r="H4623" t="s">
        <v>47055</v>
      </c>
      <c r="I4623" t="s">
        <v>47127</v>
      </c>
      <c r="J4623" t="s">
        <v>47128</v>
      </c>
      <c r="K4623" t="s">
        <v>47113</v>
      </c>
      <c r="L4623">
        <v>20.89</v>
      </c>
      <c r="M4623">
        <v>46</v>
      </c>
      <c r="N4623">
        <v>0</v>
      </c>
      <c r="O4623">
        <v>46</v>
      </c>
      <c r="P4623">
        <v>0</v>
      </c>
    </row>
    <row r="4624" spans="1:16" x14ac:dyDescent="0.25">
      <c r="A4624" t="s">
        <v>27025</v>
      </c>
      <c r="B4624" t="s">
        <v>14195</v>
      </c>
      <c r="C4624" t="s">
        <v>14196</v>
      </c>
      <c r="D4624" t="str">
        <f>"1476"</f>
        <v>1476</v>
      </c>
      <c r="E4624" t="s">
        <v>3859</v>
      </c>
      <c r="F4624" t="s">
        <v>3558</v>
      </c>
      <c r="G4624" t="s">
        <v>16222</v>
      </c>
      <c r="H4624" t="s">
        <v>47055</v>
      </c>
      <c r="I4624" t="s">
        <v>47127</v>
      </c>
      <c r="J4624" t="s">
        <v>47128</v>
      </c>
      <c r="K4624" t="s">
        <v>47113</v>
      </c>
      <c r="L4624">
        <v>28.14</v>
      </c>
      <c r="M4624">
        <v>46</v>
      </c>
      <c r="N4624">
        <v>0</v>
      </c>
      <c r="O4624">
        <v>46</v>
      </c>
      <c r="P4624">
        <v>0</v>
      </c>
    </row>
    <row r="4625" spans="1:16" x14ac:dyDescent="0.25">
      <c r="A4625" t="s">
        <v>27026</v>
      </c>
      <c r="B4625" t="s">
        <v>14195</v>
      </c>
      <c r="C4625" t="s">
        <v>14196</v>
      </c>
      <c r="D4625" t="str">
        <f>"1700"</f>
        <v>1700</v>
      </c>
      <c r="E4625" t="s">
        <v>60</v>
      </c>
      <c r="F4625" t="s">
        <v>3558</v>
      </c>
      <c r="G4625" t="s">
        <v>16222</v>
      </c>
      <c r="H4625" t="s">
        <v>47055</v>
      </c>
      <c r="I4625" t="s">
        <v>47127</v>
      </c>
      <c r="J4625" t="s">
        <v>47128</v>
      </c>
      <c r="K4625" t="s">
        <v>47113</v>
      </c>
      <c r="L4625">
        <v>20.89</v>
      </c>
      <c r="M4625">
        <v>46</v>
      </c>
      <c r="N4625">
        <v>0</v>
      </c>
      <c r="O4625">
        <v>46</v>
      </c>
      <c r="P4625">
        <v>0</v>
      </c>
    </row>
    <row r="4626" spans="1:16" x14ac:dyDescent="0.25">
      <c r="A4626" t="s">
        <v>27027</v>
      </c>
      <c r="B4626" t="s">
        <v>14195</v>
      </c>
      <c r="C4626" t="s">
        <v>14196</v>
      </c>
      <c r="D4626" t="str">
        <f>"4643"</f>
        <v>4643</v>
      </c>
      <c r="E4626" t="s">
        <v>205</v>
      </c>
      <c r="F4626" t="s">
        <v>3558</v>
      </c>
      <c r="G4626" t="s">
        <v>16222</v>
      </c>
      <c r="H4626" t="s">
        <v>47055</v>
      </c>
      <c r="I4626" t="s">
        <v>47127</v>
      </c>
      <c r="J4626" t="s">
        <v>47128</v>
      </c>
      <c r="K4626" t="s">
        <v>47113</v>
      </c>
      <c r="L4626">
        <v>28.14</v>
      </c>
      <c r="M4626">
        <v>46</v>
      </c>
      <c r="N4626">
        <v>0</v>
      </c>
      <c r="O4626">
        <v>46</v>
      </c>
      <c r="P4626">
        <v>0</v>
      </c>
    </row>
    <row r="4627" spans="1:16" x14ac:dyDescent="0.25">
      <c r="A4627" t="s">
        <v>27028</v>
      </c>
      <c r="B4627" t="s">
        <v>14195</v>
      </c>
      <c r="C4627" t="s">
        <v>14196</v>
      </c>
      <c r="D4627" t="str">
        <f>"4645"</f>
        <v>4645</v>
      </c>
      <c r="E4627" t="s">
        <v>9770</v>
      </c>
      <c r="F4627" t="s">
        <v>3558</v>
      </c>
      <c r="G4627" t="s">
        <v>16222</v>
      </c>
      <c r="H4627" t="s">
        <v>47055</v>
      </c>
      <c r="I4627" t="s">
        <v>47127</v>
      </c>
      <c r="J4627" t="s">
        <v>47128</v>
      </c>
      <c r="K4627" t="s">
        <v>47113</v>
      </c>
      <c r="L4627">
        <v>20.89</v>
      </c>
      <c r="M4627">
        <v>46</v>
      </c>
      <c r="N4627">
        <v>0</v>
      </c>
      <c r="O4627">
        <v>46</v>
      </c>
      <c r="P4627">
        <v>0</v>
      </c>
    </row>
    <row r="4628" spans="1:16" x14ac:dyDescent="0.25">
      <c r="A4628" t="s">
        <v>27029</v>
      </c>
      <c r="B4628" t="s">
        <v>14197</v>
      </c>
      <c r="C4628" t="s">
        <v>14198</v>
      </c>
      <c r="D4628" t="str">
        <f>"1106"</f>
        <v>1106</v>
      </c>
      <c r="E4628" t="s">
        <v>460</v>
      </c>
      <c r="F4628" t="s">
        <v>3558</v>
      </c>
      <c r="G4628" t="s">
        <v>16222</v>
      </c>
      <c r="H4628" t="s">
        <v>47055</v>
      </c>
      <c r="I4628" t="s">
        <v>47127</v>
      </c>
      <c r="J4628" t="s">
        <v>47128</v>
      </c>
      <c r="K4628" t="s">
        <v>47113</v>
      </c>
      <c r="L4628">
        <v>22.09</v>
      </c>
      <c r="M4628">
        <v>49</v>
      </c>
      <c r="N4628">
        <v>0</v>
      </c>
      <c r="O4628">
        <v>49</v>
      </c>
      <c r="P4628">
        <v>0</v>
      </c>
    </row>
    <row r="4629" spans="1:16" x14ac:dyDescent="0.25">
      <c r="A4629" t="s">
        <v>16613</v>
      </c>
      <c r="B4629" t="s">
        <v>14197</v>
      </c>
      <c r="C4629" t="s">
        <v>14198</v>
      </c>
      <c r="D4629" t="str">
        <f>"1476"</f>
        <v>1476</v>
      </c>
      <c r="E4629" t="s">
        <v>3859</v>
      </c>
      <c r="F4629" t="s">
        <v>3558</v>
      </c>
      <c r="G4629" t="s">
        <v>16222</v>
      </c>
      <c r="H4629" t="s">
        <v>47055</v>
      </c>
      <c r="I4629" t="s">
        <v>47127</v>
      </c>
      <c r="J4629" t="s">
        <v>47128</v>
      </c>
      <c r="K4629" t="s">
        <v>47113</v>
      </c>
      <c r="L4629">
        <v>27.83</v>
      </c>
      <c r="M4629">
        <v>49</v>
      </c>
      <c r="N4629">
        <v>0</v>
      </c>
      <c r="O4629">
        <v>49</v>
      </c>
      <c r="P4629">
        <v>0</v>
      </c>
    </row>
    <row r="4630" spans="1:16" x14ac:dyDescent="0.25">
      <c r="A4630" t="s">
        <v>27030</v>
      </c>
      <c r="B4630" t="s">
        <v>14197</v>
      </c>
      <c r="C4630" t="s">
        <v>14198</v>
      </c>
      <c r="D4630" t="str">
        <f>"1700"</f>
        <v>1700</v>
      </c>
      <c r="E4630" t="s">
        <v>60</v>
      </c>
      <c r="F4630" t="s">
        <v>3558</v>
      </c>
      <c r="G4630" t="s">
        <v>16222</v>
      </c>
      <c r="H4630" t="s">
        <v>47055</v>
      </c>
      <c r="I4630" t="s">
        <v>47127</v>
      </c>
      <c r="J4630" t="s">
        <v>47128</v>
      </c>
      <c r="K4630" t="s">
        <v>47113</v>
      </c>
      <c r="L4630">
        <v>22.09</v>
      </c>
      <c r="M4630">
        <v>49</v>
      </c>
      <c r="N4630">
        <v>0</v>
      </c>
      <c r="O4630">
        <v>49</v>
      </c>
      <c r="P4630">
        <v>0</v>
      </c>
    </row>
    <row r="4631" spans="1:16" x14ac:dyDescent="0.25">
      <c r="A4631" t="s">
        <v>27031</v>
      </c>
      <c r="B4631" t="s">
        <v>14197</v>
      </c>
      <c r="C4631" t="s">
        <v>14198</v>
      </c>
      <c r="D4631" t="str">
        <f>"4643"</f>
        <v>4643</v>
      </c>
      <c r="E4631" t="s">
        <v>205</v>
      </c>
      <c r="F4631" t="s">
        <v>3558</v>
      </c>
      <c r="G4631" t="s">
        <v>16222</v>
      </c>
      <c r="H4631" t="s">
        <v>47055</v>
      </c>
      <c r="I4631" t="s">
        <v>47127</v>
      </c>
      <c r="J4631" t="s">
        <v>47128</v>
      </c>
      <c r="K4631" t="s">
        <v>47113</v>
      </c>
      <c r="L4631">
        <v>27.83</v>
      </c>
      <c r="M4631">
        <v>49</v>
      </c>
      <c r="N4631">
        <v>0</v>
      </c>
      <c r="O4631">
        <v>49</v>
      </c>
      <c r="P4631">
        <v>0</v>
      </c>
    </row>
    <row r="4632" spans="1:16" x14ac:dyDescent="0.25">
      <c r="A4632" t="s">
        <v>27032</v>
      </c>
      <c r="B4632" t="s">
        <v>14197</v>
      </c>
      <c r="C4632" t="s">
        <v>14198</v>
      </c>
      <c r="D4632" t="str">
        <f>"4645"</f>
        <v>4645</v>
      </c>
      <c r="E4632" t="s">
        <v>9770</v>
      </c>
      <c r="F4632" t="s">
        <v>3558</v>
      </c>
      <c r="G4632" t="s">
        <v>16222</v>
      </c>
      <c r="H4632" t="s">
        <v>47055</v>
      </c>
      <c r="I4632" t="s">
        <v>47127</v>
      </c>
      <c r="J4632" t="s">
        <v>47128</v>
      </c>
      <c r="K4632" t="s">
        <v>47113</v>
      </c>
      <c r="L4632">
        <v>22.09</v>
      </c>
      <c r="M4632">
        <v>49</v>
      </c>
      <c r="N4632">
        <v>0</v>
      </c>
      <c r="O4632">
        <v>49</v>
      </c>
      <c r="P4632">
        <v>0</v>
      </c>
    </row>
    <row r="4633" spans="1:16" x14ac:dyDescent="0.25">
      <c r="A4633" t="s">
        <v>27033</v>
      </c>
      <c r="B4633" t="s">
        <v>14199</v>
      </c>
      <c r="C4633" t="s">
        <v>14200</v>
      </c>
      <c r="D4633" t="str">
        <f>"1106"</f>
        <v>1106</v>
      </c>
      <c r="E4633" t="s">
        <v>460</v>
      </c>
      <c r="F4633" t="s">
        <v>3558</v>
      </c>
      <c r="G4633" t="s">
        <v>16235</v>
      </c>
      <c r="H4633" t="s">
        <v>47055</v>
      </c>
      <c r="I4633" t="s">
        <v>47127</v>
      </c>
      <c r="J4633" t="s">
        <v>47128</v>
      </c>
      <c r="K4633" t="s">
        <v>47113</v>
      </c>
      <c r="L4633">
        <v>30.45</v>
      </c>
      <c r="M4633">
        <v>67</v>
      </c>
      <c r="N4633">
        <v>0</v>
      </c>
      <c r="O4633">
        <v>67</v>
      </c>
      <c r="P4633">
        <v>0</v>
      </c>
    </row>
    <row r="4634" spans="1:16" x14ac:dyDescent="0.25">
      <c r="A4634" t="s">
        <v>16614</v>
      </c>
      <c r="B4634" t="s">
        <v>14199</v>
      </c>
      <c r="C4634" t="s">
        <v>14200</v>
      </c>
      <c r="D4634" t="str">
        <f>"1476"</f>
        <v>1476</v>
      </c>
      <c r="E4634" t="s">
        <v>3859</v>
      </c>
      <c r="F4634" t="s">
        <v>3558</v>
      </c>
      <c r="G4634" t="s">
        <v>16235</v>
      </c>
      <c r="H4634" t="s">
        <v>47055</v>
      </c>
      <c r="I4634" t="s">
        <v>47127</v>
      </c>
      <c r="J4634" t="s">
        <v>47128</v>
      </c>
      <c r="K4634" t="s">
        <v>47113</v>
      </c>
      <c r="L4634">
        <v>41.89</v>
      </c>
      <c r="M4634">
        <v>67</v>
      </c>
      <c r="N4634">
        <v>0</v>
      </c>
      <c r="O4634">
        <v>67</v>
      </c>
      <c r="P4634">
        <v>0</v>
      </c>
    </row>
    <row r="4635" spans="1:16" x14ac:dyDescent="0.25">
      <c r="A4635" t="s">
        <v>27034</v>
      </c>
      <c r="B4635" t="s">
        <v>14199</v>
      </c>
      <c r="C4635" t="s">
        <v>14200</v>
      </c>
      <c r="D4635" t="str">
        <f>"1700"</f>
        <v>1700</v>
      </c>
      <c r="E4635" t="s">
        <v>60</v>
      </c>
      <c r="F4635" t="s">
        <v>3558</v>
      </c>
      <c r="G4635" t="s">
        <v>16235</v>
      </c>
      <c r="H4635" t="s">
        <v>47055</v>
      </c>
      <c r="I4635" t="s">
        <v>47127</v>
      </c>
      <c r="J4635" t="s">
        <v>47128</v>
      </c>
      <c r="K4635" t="s">
        <v>47113</v>
      </c>
      <c r="L4635">
        <v>30.45</v>
      </c>
      <c r="M4635">
        <v>67</v>
      </c>
      <c r="N4635">
        <v>0</v>
      </c>
      <c r="O4635">
        <v>67</v>
      </c>
      <c r="P4635">
        <v>0</v>
      </c>
    </row>
    <row r="4636" spans="1:16" x14ac:dyDescent="0.25">
      <c r="A4636" t="s">
        <v>27035</v>
      </c>
      <c r="B4636" t="s">
        <v>14199</v>
      </c>
      <c r="C4636" t="s">
        <v>14200</v>
      </c>
      <c r="D4636" t="str">
        <f>"4643"</f>
        <v>4643</v>
      </c>
      <c r="E4636" t="s">
        <v>205</v>
      </c>
      <c r="F4636" t="s">
        <v>3558</v>
      </c>
      <c r="G4636" t="s">
        <v>16235</v>
      </c>
      <c r="H4636" t="s">
        <v>47055</v>
      </c>
      <c r="I4636" t="s">
        <v>47127</v>
      </c>
      <c r="J4636" t="s">
        <v>47128</v>
      </c>
      <c r="K4636" t="s">
        <v>47113</v>
      </c>
      <c r="L4636">
        <v>41.89</v>
      </c>
      <c r="M4636">
        <v>67</v>
      </c>
      <c r="N4636">
        <v>0</v>
      </c>
      <c r="O4636">
        <v>67</v>
      </c>
      <c r="P4636">
        <v>0</v>
      </c>
    </row>
    <row r="4637" spans="1:16" x14ac:dyDescent="0.25">
      <c r="A4637" t="s">
        <v>27036</v>
      </c>
      <c r="B4637" t="s">
        <v>14199</v>
      </c>
      <c r="C4637" t="s">
        <v>14200</v>
      </c>
      <c r="D4637" t="str">
        <f>"4645"</f>
        <v>4645</v>
      </c>
      <c r="E4637" t="s">
        <v>9770</v>
      </c>
      <c r="F4637" t="s">
        <v>3558</v>
      </c>
      <c r="G4637" t="s">
        <v>16235</v>
      </c>
      <c r="H4637" t="s">
        <v>47055</v>
      </c>
      <c r="I4637" t="s">
        <v>47127</v>
      </c>
      <c r="J4637" t="s">
        <v>47128</v>
      </c>
      <c r="K4637" t="s">
        <v>47113</v>
      </c>
      <c r="L4637">
        <v>30.45</v>
      </c>
      <c r="M4637">
        <v>67</v>
      </c>
      <c r="N4637">
        <v>0</v>
      </c>
      <c r="O4637">
        <v>67</v>
      </c>
      <c r="P4637">
        <v>0</v>
      </c>
    </row>
    <row r="4638" spans="1:16" x14ac:dyDescent="0.25">
      <c r="A4638" t="s">
        <v>27037</v>
      </c>
      <c r="B4638" t="s">
        <v>14201</v>
      </c>
      <c r="C4638" t="s">
        <v>14202</v>
      </c>
      <c r="D4638" t="str">
        <f>"1106"</f>
        <v>1106</v>
      </c>
      <c r="E4638" t="s">
        <v>460</v>
      </c>
      <c r="F4638" t="s">
        <v>3558</v>
      </c>
      <c r="G4638" t="s">
        <v>16233</v>
      </c>
      <c r="H4638" t="s">
        <v>47055</v>
      </c>
      <c r="I4638" t="s">
        <v>47127</v>
      </c>
      <c r="J4638" t="s">
        <v>47128</v>
      </c>
      <c r="K4638" t="s">
        <v>47113</v>
      </c>
      <c r="L4638">
        <v>20.89</v>
      </c>
      <c r="M4638">
        <v>46</v>
      </c>
      <c r="N4638">
        <v>0</v>
      </c>
      <c r="O4638">
        <v>46</v>
      </c>
      <c r="P4638">
        <v>0</v>
      </c>
    </row>
    <row r="4639" spans="1:16" x14ac:dyDescent="0.25">
      <c r="A4639" t="s">
        <v>27038</v>
      </c>
      <c r="B4639" t="s">
        <v>14201</v>
      </c>
      <c r="C4639" t="s">
        <v>14202</v>
      </c>
      <c r="D4639" t="str">
        <f>"1285"</f>
        <v>1285</v>
      </c>
      <c r="E4639" t="s">
        <v>2148</v>
      </c>
      <c r="F4639" t="s">
        <v>3558</v>
      </c>
      <c r="G4639" t="s">
        <v>16233</v>
      </c>
      <c r="H4639" t="s">
        <v>47055</v>
      </c>
      <c r="I4639" t="s">
        <v>47127</v>
      </c>
      <c r="J4639" t="s">
        <v>47128</v>
      </c>
      <c r="K4639" t="s">
        <v>47113</v>
      </c>
      <c r="L4639">
        <v>20.89</v>
      </c>
      <c r="M4639">
        <v>46</v>
      </c>
      <c r="N4639">
        <v>0</v>
      </c>
      <c r="O4639">
        <v>46</v>
      </c>
      <c r="P4639">
        <v>0</v>
      </c>
    </row>
    <row r="4640" spans="1:16" x14ac:dyDescent="0.25">
      <c r="A4640" t="s">
        <v>27039</v>
      </c>
      <c r="B4640" t="s">
        <v>14201</v>
      </c>
      <c r="C4640" t="s">
        <v>14202</v>
      </c>
      <c r="D4640" t="str">
        <f>"1700"</f>
        <v>1700</v>
      </c>
      <c r="E4640" t="s">
        <v>60</v>
      </c>
      <c r="F4640" t="s">
        <v>3558</v>
      </c>
      <c r="G4640" t="s">
        <v>16233</v>
      </c>
      <c r="H4640" t="s">
        <v>47055</v>
      </c>
      <c r="I4640" t="s">
        <v>47127</v>
      </c>
      <c r="J4640" t="s">
        <v>47128</v>
      </c>
      <c r="K4640" t="s">
        <v>47113</v>
      </c>
      <c r="L4640">
        <v>20.89</v>
      </c>
      <c r="M4640">
        <v>46</v>
      </c>
      <c r="N4640">
        <v>0</v>
      </c>
      <c r="O4640">
        <v>46</v>
      </c>
      <c r="P4640">
        <v>0</v>
      </c>
    </row>
    <row r="4641" spans="1:16" x14ac:dyDescent="0.25">
      <c r="A4641" t="s">
        <v>27040</v>
      </c>
      <c r="B4641" t="s">
        <v>14201</v>
      </c>
      <c r="C4641" t="s">
        <v>14202</v>
      </c>
      <c r="D4641" t="str">
        <f>"4643"</f>
        <v>4643</v>
      </c>
      <c r="E4641" t="s">
        <v>205</v>
      </c>
      <c r="F4641" t="s">
        <v>3558</v>
      </c>
      <c r="G4641" t="s">
        <v>16233</v>
      </c>
      <c r="H4641" t="s">
        <v>47055</v>
      </c>
      <c r="I4641" t="s">
        <v>47127</v>
      </c>
      <c r="J4641" t="s">
        <v>47128</v>
      </c>
      <c r="K4641" t="s">
        <v>47113</v>
      </c>
      <c r="L4641">
        <v>28.45</v>
      </c>
      <c r="M4641">
        <v>46</v>
      </c>
      <c r="N4641">
        <v>0</v>
      </c>
      <c r="O4641">
        <v>46</v>
      </c>
      <c r="P4641">
        <v>0</v>
      </c>
    </row>
    <row r="4642" spans="1:16" x14ac:dyDescent="0.25">
      <c r="A4642" t="s">
        <v>27041</v>
      </c>
      <c r="B4642" t="s">
        <v>14201</v>
      </c>
      <c r="C4642" t="s">
        <v>14202</v>
      </c>
      <c r="D4642" t="str">
        <f>"4645"</f>
        <v>4645</v>
      </c>
      <c r="E4642" t="s">
        <v>9770</v>
      </c>
      <c r="F4642" t="s">
        <v>3558</v>
      </c>
      <c r="G4642" t="s">
        <v>16233</v>
      </c>
      <c r="H4642" t="s">
        <v>47055</v>
      </c>
      <c r="I4642" t="s">
        <v>47127</v>
      </c>
      <c r="J4642" t="s">
        <v>47128</v>
      </c>
      <c r="K4642" t="s">
        <v>47113</v>
      </c>
      <c r="L4642">
        <v>20.89</v>
      </c>
      <c r="M4642">
        <v>46</v>
      </c>
      <c r="N4642">
        <v>0</v>
      </c>
      <c r="O4642">
        <v>46</v>
      </c>
      <c r="P4642">
        <v>0</v>
      </c>
    </row>
    <row r="4643" spans="1:16" x14ac:dyDescent="0.25">
      <c r="A4643" t="s">
        <v>27042</v>
      </c>
      <c r="B4643" t="s">
        <v>14201</v>
      </c>
      <c r="C4643" t="s">
        <v>14202</v>
      </c>
      <c r="D4643" t="str">
        <f>"8206"</f>
        <v>8206</v>
      </c>
      <c r="E4643" t="s">
        <v>14203</v>
      </c>
      <c r="F4643" t="s">
        <v>3558</v>
      </c>
      <c r="G4643" t="s">
        <v>16233</v>
      </c>
      <c r="H4643" t="s">
        <v>47055</v>
      </c>
      <c r="I4643" t="s">
        <v>47127</v>
      </c>
      <c r="J4643" t="s">
        <v>47128</v>
      </c>
      <c r="K4643" t="s">
        <v>47113</v>
      </c>
      <c r="L4643">
        <v>20.89</v>
      </c>
      <c r="M4643">
        <v>46</v>
      </c>
      <c r="N4643">
        <v>0</v>
      </c>
      <c r="O4643">
        <v>46</v>
      </c>
      <c r="P4643">
        <v>0</v>
      </c>
    </row>
    <row r="4644" spans="1:16" x14ac:dyDescent="0.25">
      <c r="A4644" t="s">
        <v>27043</v>
      </c>
      <c r="B4644" t="s">
        <v>14204</v>
      </c>
      <c r="C4644" t="s">
        <v>14205</v>
      </c>
      <c r="D4644" t="str">
        <f>"1106"</f>
        <v>1106</v>
      </c>
      <c r="E4644" t="s">
        <v>460</v>
      </c>
      <c r="F4644" t="s">
        <v>3558</v>
      </c>
      <c r="G4644" t="s">
        <v>16222</v>
      </c>
      <c r="H4644" t="s">
        <v>47055</v>
      </c>
      <c r="I4644" t="s">
        <v>47127</v>
      </c>
      <c r="J4644" t="s">
        <v>47128</v>
      </c>
      <c r="K4644" t="s">
        <v>47113</v>
      </c>
      <c r="L4644">
        <v>22.33</v>
      </c>
      <c r="M4644">
        <v>49</v>
      </c>
      <c r="N4644">
        <v>0</v>
      </c>
      <c r="O4644">
        <v>49</v>
      </c>
      <c r="P4644">
        <v>0</v>
      </c>
    </row>
    <row r="4645" spans="1:16" x14ac:dyDescent="0.25">
      <c r="A4645" t="s">
        <v>27044</v>
      </c>
      <c r="B4645" t="s">
        <v>14204</v>
      </c>
      <c r="C4645" t="s">
        <v>14205</v>
      </c>
      <c r="D4645" t="str">
        <f>"1285"</f>
        <v>1285</v>
      </c>
      <c r="E4645" t="s">
        <v>2148</v>
      </c>
      <c r="F4645" t="s">
        <v>3558</v>
      </c>
      <c r="G4645" t="s">
        <v>16222</v>
      </c>
      <c r="H4645" t="s">
        <v>47055</v>
      </c>
      <c r="I4645" t="s">
        <v>47127</v>
      </c>
      <c r="J4645" t="s">
        <v>47128</v>
      </c>
      <c r="K4645" t="s">
        <v>47113</v>
      </c>
      <c r="L4645">
        <v>28.14</v>
      </c>
      <c r="M4645">
        <v>49</v>
      </c>
      <c r="N4645">
        <v>0</v>
      </c>
      <c r="O4645">
        <v>49</v>
      </c>
      <c r="P4645">
        <v>0</v>
      </c>
    </row>
    <row r="4646" spans="1:16" x14ac:dyDescent="0.25">
      <c r="A4646" t="s">
        <v>27045</v>
      </c>
      <c r="B4646" t="s">
        <v>14204</v>
      </c>
      <c r="C4646" t="s">
        <v>14205</v>
      </c>
      <c r="D4646" t="str">
        <f>"1700"</f>
        <v>1700</v>
      </c>
      <c r="E4646" t="s">
        <v>60</v>
      </c>
      <c r="F4646" t="s">
        <v>3558</v>
      </c>
      <c r="G4646" t="s">
        <v>16222</v>
      </c>
      <c r="H4646" t="s">
        <v>47055</v>
      </c>
      <c r="I4646" t="s">
        <v>47127</v>
      </c>
      <c r="J4646" t="s">
        <v>47128</v>
      </c>
      <c r="K4646" t="s">
        <v>47113</v>
      </c>
      <c r="L4646">
        <v>22.33</v>
      </c>
      <c r="M4646">
        <v>49</v>
      </c>
      <c r="N4646">
        <v>0</v>
      </c>
      <c r="O4646">
        <v>49</v>
      </c>
      <c r="P4646">
        <v>0</v>
      </c>
    </row>
    <row r="4647" spans="1:16" x14ac:dyDescent="0.25">
      <c r="A4647" t="s">
        <v>27046</v>
      </c>
      <c r="B4647" t="s">
        <v>14204</v>
      </c>
      <c r="C4647" t="s">
        <v>14205</v>
      </c>
      <c r="D4647" t="str">
        <f>"4643"</f>
        <v>4643</v>
      </c>
      <c r="E4647" t="s">
        <v>205</v>
      </c>
      <c r="F4647" t="s">
        <v>3558</v>
      </c>
      <c r="G4647" t="s">
        <v>16222</v>
      </c>
      <c r="H4647" t="s">
        <v>47055</v>
      </c>
      <c r="I4647" t="s">
        <v>47127</v>
      </c>
      <c r="J4647" t="s">
        <v>47128</v>
      </c>
      <c r="K4647" t="s">
        <v>47113</v>
      </c>
      <c r="L4647">
        <v>28.14</v>
      </c>
      <c r="M4647">
        <v>49</v>
      </c>
      <c r="N4647">
        <v>0</v>
      </c>
      <c r="O4647">
        <v>49</v>
      </c>
      <c r="P4647">
        <v>0</v>
      </c>
    </row>
    <row r="4648" spans="1:16" x14ac:dyDescent="0.25">
      <c r="A4648" t="s">
        <v>27047</v>
      </c>
      <c r="B4648" t="s">
        <v>14204</v>
      </c>
      <c r="C4648" t="s">
        <v>14205</v>
      </c>
      <c r="D4648" t="str">
        <f>"4645"</f>
        <v>4645</v>
      </c>
      <c r="E4648" t="s">
        <v>9770</v>
      </c>
      <c r="F4648" t="s">
        <v>3558</v>
      </c>
      <c r="G4648" t="s">
        <v>16222</v>
      </c>
      <c r="H4648" t="s">
        <v>47055</v>
      </c>
      <c r="I4648" t="s">
        <v>47127</v>
      </c>
      <c r="J4648" t="s">
        <v>47128</v>
      </c>
      <c r="K4648" t="s">
        <v>47113</v>
      </c>
      <c r="L4648">
        <v>22.33</v>
      </c>
      <c r="M4648">
        <v>49</v>
      </c>
      <c r="N4648">
        <v>0</v>
      </c>
      <c r="O4648">
        <v>49</v>
      </c>
      <c r="P4648">
        <v>0</v>
      </c>
    </row>
    <row r="4649" spans="1:16" x14ac:dyDescent="0.25">
      <c r="A4649" t="s">
        <v>27048</v>
      </c>
      <c r="B4649" t="s">
        <v>14204</v>
      </c>
      <c r="C4649" t="s">
        <v>14205</v>
      </c>
      <c r="D4649" t="str">
        <f>"8206"</f>
        <v>8206</v>
      </c>
      <c r="E4649" t="s">
        <v>14203</v>
      </c>
      <c r="F4649" t="s">
        <v>3558</v>
      </c>
      <c r="G4649" t="s">
        <v>16222</v>
      </c>
      <c r="H4649" t="s">
        <v>47055</v>
      </c>
      <c r="I4649" t="s">
        <v>47127</v>
      </c>
      <c r="J4649" t="s">
        <v>47128</v>
      </c>
      <c r="K4649" t="s">
        <v>47113</v>
      </c>
      <c r="L4649">
        <v>22.33</v>
      </c>
      <c r="M4649">
        <v>49</v>
      </c>
      <c r="N4649">
        <v>0</v>
      </c>
      <c r="O4649">
        <v>49</v>
      </c>
      <c r="P4649">
        <v>0</v>
      </c>
    </row>
    <row r="4650" spans="1:16" x14ac:dyDescent="0.25">
      <c r="A4650" t="s">
        <v>16615</v>
      </c>
      <c r="B4650" t="s">
        <v>14206</v>
      </c>
      <c r="C4650" t="s">
        <v>14207</v>
      </c>
      <c r="D4650" t="str">
        <f>"1106"</f>
        <v>1106</v>
      </c>
      <c r="E4650" t="s">
        <v>460</v>
      </c>
      <c r="F4650" t="s">
        <v>3558</v>
      </c>
      <c r="G4650" t="s">
        <v>16222</v>
      </c>
      <c r="H4650" t="s">
        <v>47055</v>
      </c>
      <c r="I4650" t="s">
        <v>47127</v>
      </c>
      <c r="J4650" t="s">
        <v>47128</v>
      </c>
      <c r="K4650" t="s">
        <v>47113</v>
      </c>
      <c r="L4650">
        <v>35.020000000000003</v>
      </c>
      <c r="M4650">
        <v>60</v>
      </c>
      <c r="N4650">
        <v>0</v>
      </c>
      <c r="O4650">
        <v>60</v>
      </c>
      <c r="P4650">
        <v>0</v>
      </c>
    </row>
    <row r="4651" spans="1:16" x14ac:dyDescent="0.25">
      <c r="A4651" t="s">
        <v>16616</v>
      </c>
      <c r="B4651" t="s">
        <v>14206</v>
      </c>
      <c r="C4651" t="s">
        <v>14207</v>
      </c>
      <c r="D4651" t="str">
        <f>"1285"</f>
        <v>1285</v>
      </c>
      <c r="E4651" t="s">
        <v>2148</v>
      </c>
      <c r="F4651" t="s">
        <v>3558</v>
      </c>
      <c r="G4651" t="s">
        <v>16222</v>
      </c>
      <c r="H4651" t="s">
        <v>47055</v>
      </c>
      <c r="I4651" t="s">
        <v>47127</v>
      </c>
      <c r="J4651" t="s">
        <v>47128</v>
      </c>
      <c r="K4651" t="s">
        <v>47113</v>
      </c>
      <c r="L4651">
        <v>35.020000000000003</v>
      </c>
      <c r="M4651">
        <v>60</v>
      </c>
      <c r="N4651">
        <v>0</v>
      </c>
      <c r="O4651">
        <v>60</v>
      </c>
      <c r="P4651">
        <v>0</v>
      </c>
    </row>
    <row r="4652" spans="1:16" x14ac:dyDescent="0.25">
      <c r="A4652" t="s">
        <v>27049</v>
      </c>
      <c r="B4652" t="s">
        <v>14206</v>
      </c>
      <c r="C4652" t="s">
        <v>14207</v>
      </c>
      <c r="D4652" t="str">
        <f>"1700"</f>
        <v>1700</v>
      </c>
      <c r="E4652" t="s">
        <v>60</v>
      </c>
      <c r="F4652" t="s">
        <v>3558</v>
      </c>
      <c r="G4652" t="s">
        <v>16222</v>
      </c>
      <c r="H4652" t="s">
        <v>47055</v>
      </c>
      <c r="I4652" t="s">
        <v>47127</v>
      </c>
      <c r="J4652" t="s">
        <v>47128</v>
      </c>
      <c r="K4652" t="s">
        <v>47113</v>
      </c>
      <c r="L4652">
        <v>27.1</v>
      </c>
      <c r="M4652">
        <v>60</v>
      </c>
      <c r="N4652">
        <v>0</v>
      </c>
      <c r="O4652">
        <v>60</v>
      </c>
      <c r="P4652">
        <v>0</v>
      </c>
    </row>
    <row r="4653" spans="1:16" x14ac:dyDescent="0.25">
      <c r="A4653" t="s">
        <v>27050</v>
      </c>
      <c r="B4653" t="s">
        <v>14206</v>
      </c>
      <c r="C4653" t="s">
        <v>14207</v>
      </c>
      <c r="D4653" t="str">
        <f>"4643"</f>
        <v>4643</v>
      </c>
      <c r="E4653" t="s">
        <v>205</v>
      </c>
      <c r="F4653" t="s">
        <v>3558</v>
      </c>
      <c r="G4653" t="s">
        <v>16222</v>
      </c>
      <c r="H4653" t="s">
        <v>47055</v>
      </c>
      <c r="I4653" t="s">
        <v>47127</v>
      </c>
      <c r="J4653" t="s">
        <v>47128</v>
      </c>
      <c r="K4653" t="s">
        <v>47113</v>
      </c>
      <c r="L4653">
        <v>27.1</v>
      </c>
      <c r="M4653">
        <v>60</v>
      </c>
      <c r="N4653">
        <v>0</v>
      </c>
      <c r="O4653">
        <v>60</v>
      </c>
      <c r="P4653">
        <v>0</v>
      </c>
    </row>
    <row r="4654" spans="1:16" x14ac:dyDescent="0.25">
      <c r="A4654" t="s">
        <v>27051</v>
      </c>
      <c r="B4654" t="s">
        <v>14206</v>
      </c>
      <c r="C4654" t="s">
        <v>14207</v>
      </c>
      <c r="D4654" t="str">
        <f>"4645"</f>
        <v>4645</v>
      </c>
      <c r="E4654" t="s">
        <v>9770</v>
      </c>
      <c r="F4654" t="s">
        <v>3558</v>
      </c>
      <c r="G4654" t="s">
        <v>16222</v>
      </c>
      <c r="H4654" t="s">
        <v>47055</v>
      </c>
      <c r="I4654" t="s">
        <v>47127</v>
      </c>
      <c r="J4654" t="s">
        <v>47128</v>
      </c>
      <c r="K4654" t="s">
        <v>47113</v>
      </c>
      <c r="L4654">
        <v>27.1</v>
      </c>
      <c r="M4654">
        <v>60</v>
      </c>
      <c r="N4654">
        <v>0</v>
      </c>
      <c r="O4654">
        <v>60</v>
      </c>
      <c r="P4654">
        <v>0</v>
      </c>
    </row>
    <row r="4655" spans="1:16" x14ac:dyDescent="0.25">
      <c r="A4655" t="s">
        <v>27052</v>
      </c>
      <c r="B4655" t="s">
        <v>14206</v>
      </c>
      <c r="C4655" t="s">
        <v>14207</v>
      </c>
      <c r="D4655" t="str">
        <f>"8206"</f>
        <v>8206</v>
      </c>
      <c r="E4655" t="s">
        <v>14203</v>
      </c>
      <c r="F4655" t="s">
        <v>3558</v>
      </c>
      <c r="G4655" t="s">
        <v>16222</v>
      </c>
      <c r="H4655" t="s">
        <v>47055</v>
      </c>
      <c r="I4655" t="s">
        <v>47127</v>
      </c>
      <c r="J4655" t="s">
        <v>47128</v>
      </c>
      <c r="K4655" t="s">
        <v>47113</v>
      </c>
      <c r="L4655">
        <v>27.1</v>
      </c>
      <c r="M4655">
        <v>60</v>
      </c>
      <c r="N4655">
        <v>0</v>
      </c>
      <c r="O4655">
        <v>60</v>
      </c>
      <c r="P4655">
        <v>0</v>
      </c>
    </row>
    <row r="4656" spans="1:16" x14ac:dyDescent="0.25">
      <c r="A4656" t="s">
        <v>27053</v>
      </c>
      <c r="B4656" t="s">
        <v>14208</v>
      </c>
      <c r="C4656" t="s">
        <v>14209</v>
      </c>
      <c r="D4656" t="str">
        <f>"1106"</f>
        <v>1106</v>
      </c>
      <c r="E4656" t="s">
        <v>460</v>
      </c>
      <c r="F4656" t="s">
        <v>3558</v>
      </c>
      <c r="G4656" t="s">
        <v>16233</v>
      </c>
      <c r="H4656" t="s">
        <v>47055</v>
      </c>
      <c r="I4656" t="s">
        <v>47127</v>
      </c>
      <c r="J4656" t="s">
        <v>47128</v>
      </c>
      <c r="K4656" t="s">
        <v>47113</v>
      </c>
      <c r="L4656">
        <v>20.89</v>
      </c>
      <c r="M4656">
        <v>46</v>
      </c>
      <c r="N4656">
        <v>0</v>
      </c>
      <c r="O4656">
        <v>46</v>
      </c>
      <c r="P4656">
        <v>0</v>
      </c>
    </row>
    <row r="4657" spans="1:16" x14ac:dyDescent="0.25">
      <c r="A4657" t="s">
        <v>27054</v>
      </c>
      <c r="B4657" t="s">
        <v>14208</v>
      </c>
      <c r="C4657" t="s">
        <v>14209</v>
      </c>
      <c r="D4657" t="str">
        <f>"1285"</f>
        <v>1285</v>
      </c>
      <c r="E4657" t="s">
        <v>2148</v>
      </c>
      <c r="F4657" t="s">
        <v>3558</v>
      </c>
      <c r="G4657" t="s">
        <v>16233</v>
      </c>
      <c r="H4657" t="s">
        <v>47055</v>
      </c>
      <c r="I4657" t="s">
        <v>47127</v>
      </c>
      <c r="J4657" t="s">
        <v>47128</v>
      </c>
      <c r="K4657" t="s">
        <v>47113</v>
      </c>
      <c r="L4657">
        <v>28.14</v>
      </c>
      <c r="M4657">
        <v>46</v>
      </c>
      <c r="N4657">
        <v>0</v>
      </c>
      <c r="O4657">
        <v>46</v>
      </c>
      <c r="P4657">
        <v>0</v>
      </c>
    </row>
    <row r="4658" spans="1:16" x14ac:dyDescent="0.25">
      <c r="A4658" t="s">
        <v>27055</v>
      </c>
      <c r="B4658" t="s">
        <v>14208</v>
      </c>
      <c r="C4658" t="s">
        <v>14209</v>
      </c>
      <c r="D4658" t="str">
        <f>"1700"</f>
        <v>1700</v>
      </c>
      <c r="E4658" t="s">
        <v>60</v>
      </c>
      <c r="F4658" t="s">
        <v>3558</v>
      </c>
      <c r="G4658" t="s">
        <v>16233</v>
      </c>
      <c r="H4658" t="s">
        <v>47055</v>
      </c>
      <c r="I4658" t="s">
        <v>47127</v>
      </c>
      <c r="J4658" t="s">
        <v>47128</v>
      </c>
      <c r="K4658" t="s">
        <v>47113</v>
      </c>
      <c r="L4658">
        <v>20.89</v>
      </c>
      <c r="M4658">
        <v>46</v>
      </c>
      <c r="N4658">
        <v>0</v>
      </c>
      <c r="O4658">
        <v>46</v>
      </c>
      <c r="P4658">
        <v>0</v>
      </c>
    </row>
    <row r="4659" spans="1:16" x14ac:dyDescent="0.25">
      <c r="A4659" t="s">
        <v>27056</v>
      </c>
      <c r="B4659" t="s">
        <v>14208</v>
      </c>
      <c r="C4659" t="s">
        <v>14209</v>
      </c>
      <c r="D4659" t="str">
        <f>"3000"</f>
        <v>3000</v>
      </c>
      <c r="E4659" t="s">
        <v>14216</v>
      </c>
      <c r="F4659" t="s">
        <v>3558</v>
      </c>
      <c r="G4659" t="s">
        <v>16233</v>
      </c>
      <c r="H4659" t="s">
        <v>47055</v>
      </c>
      <c r="I4659" t="s">
        <v>47127</v>
      </c>
      <c r="J4659" t="s">
        <v>47128</v>
      </c>
      <c r="K4659" t="s">
        <v>47113</v>
      </c>
      <c r="L4659">
        <v>20.89</v>
      </c>
      <c r="M4659">
        <v>46</v>
      </c>
      <c r="N4659">
        <v>0</v>
      </c>
      <c r="O4659">
        <v>46</v>
      </c>
      <c r="P4659">
        <v>0</v>
      </c>
    </row>
    <row r="4660" spans="1:16" x14ac:dyDescent="0.25">
      <c r="A4660" t="s">
        <v>27057</v>
      </c>
      <c r="B4660" t="s">
        <v>14208</v>
      </c>
      <c r="C4660" t="s">
        <v>14209</v>
      </c>
      <c r="D4660" t="str">
        <f>"4643"</f>
        <v>4643</v>
      </c>
      <c r="E4660" t="s">
        <v>205</v>
      </c>
      <c r="F4660" t="s">
        <v>3558</v>
      </c>
      <c r="G4660" t="s">
        <v>16233</v>
      </c>
      <c r="H4660" t="s">
        <v>47055</v>
      </c>
      <c r="I4660" t="s">
        <v>47127</v>
      </c>
      <c r="J4660" t="s">
        <v>47128</v>
      </c>
      <c r="K4660" t="s">
        <v>47113</v>
      </c>
      <c r="L4660">
        <v>20.89</v>
      </c>
      <c r="M4660">
        <v>46</v>
      </c>
      <c r="N4660">
        <v>0</v>
      </c>
      <c r="O4660">
        <v>46</v>
      </c>
      <c r="P4660">
        <v>0</v>
      </c>
    </row>
    <row r="4661" spans="1:16" x14ac:dyDescent="0.25">
      <c r="A4661" t="s">
        <v>27058</v>
      </c>
      <c r="B4661" t="s">
        <v>14208</v>
      </c>
      <c r="C4661" t="s">
        <v>14209</v>
      </c>
      <c r="D4661" t="str">
        <f>"4645"</f>
        <v>4645</v>
      </c>
      <c r="E4661" t="s">
        <v>9770</v>
      </c>
      <c r="F4661" t="s">
        <v>3558</v>
      </c>
      <c r="G4661" t="s">
        <v>16233</v>
      </c>
      <c r="H4661" t="s">
        <v>47055</v>
      </c>
      <c r="I4661" t="s">
        <v>47127</v>
      </c>
      <c r="J4661" t="s">
        <v>47128</v>
      </c>
      <c r="K4661" t="s">
        <v>47113</v>
      </c>
      <c r="L4661">
        <v>28.14</v>
      </c>
      <c r="M4661">
        <v>46</v>
      </c>
      <c r="N4661">
        <v>0</v>
      </c>
      <c r="O4661">
        <v>46</v>
      </c>
      <c r="P4661">
        <v>0</v>
      </c>
    </row>
    <row r="4662" spans="1:16" x14ac:dyDescent="0.25">
      <c r="A4662" t="s">
        <v>27059</v>
      </c>
      <c r="B4662" t="s">
        <v>14210</v>
      </c>
      <c r="C4662" t="s">
        <v>14211</v>
      </c>
      <c r="D4662" t="str">
        <f>"1106"</f>
        <v>1106</v>
      </c>
      <c r="E4662" t="s">
        <v>460</v>
      </c>
      <c r="F4662" t="s">
        <v>3558</v>
      </c>
      <c r="G4662" t="s">
        <v>46686</v>
      </c>
      <c r="H4662" t="s">
        <v>47055</v>
      </c>
      <c r="I4662" t="s">
        <v>47127</v>
      </c>
      <c r="J4662" t="s">
        <v>47128</v>
      </c>
      <c r="K4662" t="s">
        <v>47113</v>
      </c>
      <c r="L4662">
        <v>46.49</v>
      </c>
      <c r="M4662">
        <v>73</v>
      </c>
      <c r="N4662">
        <v>0</v>
      </c>
      <c r="O4662">
        <v>73</v>
      </c>
      <c r="P4662">
        <v>0</v>
      </c>
    </row>
    <row r="4663" spans="1:16" x14ac:dyDescent="0.25">
      <c r="A4663" t="s">
        <v>27060</v>
      </c>
      <c r="B4663" t="s">
        <v>14210</v>
      </c>
      <c r="C4663" t="s">
        <v>14211</v>
      </c>
      <c r="D4663" t="str">
        <f>"1285"</f>
        <v>1285</v>
      </c>
      <c r="E4663" t="s">
        <v>2148</v>
      </c>
      <c r="F4663" t="s">
        <v>3558</v>
      </c>
      <c r="G4663" t="s">
        <v>46686</v>
      </c>
      <c r="H4663" t="s">
        <v>47055</v>
      </c>
      <c r="I4663" t="s">
        <v>47127</v>
      </c>
      <c r="J4663" t="s">
        <v>47128</v>
      </c>
      <c r="K4663" t="s">
        <v>47113</v>
      </c>
      <c r="L4663">
        <v>46.49</v>
      </c>
      <c r="M4663">
        <v>73</v>
      </c>
      <c r="N4663">
        <v>0</v>
      </c>
      <c r="O4663">
        <v>73</v>
      </c>
      <c r="P4663">
        <v>0</v>
      </c>
    </row>
    <row r="4664" spans="1:16" x14ac:dyDescent="0.25">
      <c r="A4664" t="s">
        <v>27061</v>
      </c>
      <c r="B4664" t="s">
        <v>14210</v>
      </c>
      <c r="C4664" t="s">
        <v>14211</v>
      </c>
      <c r="D4664" t="str">
        <f>"1700"</f>
        <v>1700</v>
      </c>
      <c r="E4664" t="s">
        <v>60</v>
      </c>
      <c r="F4664" t="s">
        <v>3558</v>
      </c>
      <c r="G4664" t="s">
        <v>46686</v>
      </c>
      <c r="H4664" t="s">
        <v>47055</v>
      </c>
      <c r="I4664" t="s">
        <v>47127</v>
      </c>
      <c r="J4664" t="s">
        <v>47128</v>
      </c>
      <c r="K4664" t="s">
        <v>47113</v>
      </c>
      <c r="L4664">
        <v>33.19</v>
      </c>
      <c r="M4664">
        <v>73</v>
      </c>
      <c r="N4664">
        <v>0</v>
      </c>
      <c r="O4664">
        <v>73</v>
      </c>
      <c r="P4664">
        <v>0</v>
      </c>
    </row>
    <row r="4665" spans="1:16" x14ac:dyDescent="0.25">
      <c r="A4665" t="s">
        <v>27062</v>
      </c>
      <c r="B4665" t="s">
        <v>14210</v>
      </c>
      <c r="C4665" t="s">
        <v>14211</v>
      </c>
      <c r="D4665" t="str">
        <f>"4643"</f>
        <v>4643</v>
      </c>
      <c r="E4665" t="s">
        <v>205</v>
      </c>
      <c r="F4665" t="s">
        <v>3558</v>
      </c>
      <c r="G4665" t="s">
        <v>46686</v>
      </c>
      <c r="H4665" t="s">
        <v>47055</v>
      </c>
      <c r="I4665" t="s">
        <v>47127</v>
      </c>
      <c r="J4665" t="s">
        <v>47128</v>
      </c>
      <c r="K4665" t="s">
        <v>47113</v>
      </c>
      <c r="L4665">
        <v>33.19</v>
      </c>
      <c r="M4665">
        <v>73</v>
      </c>
      <c r="N4665">
        <v>0</v>
      </c>
      <c r="O4665">
        <v>73</v>
      </c>
      <c r="P4665">
        <v>0</v>
      </c>
    </row>
    <row r="4666" spans="1:16" x14ac:dyDescent="0.25">
      <c r="A4666" t="s">
        <v>27063</v>
      </c>
      <c r="B4666" t="s">
        <v>14210</v>
      </c>
      <c r="C4666" t="s">
        <v>14211</v>
      </c>
      <c r="D4666" t="str">
        <f>"4645"</f>
        <v>4645</v>
      </c>
      <c r="E4666" t="s">
        <v>9770</v>
      </c>
      <c r="F4666" t="s">
        <v>3558</v>
      </c>
      <c r="G4666" t="s">
        <v>46686</v>
      </c>
      <c r="H4666" t="s">
        <v>47055</v>
      </c>
      <c r="I4666" t="s">
        <v>47127</v>
      </c>
      <c r="J4666" t="s">
        <v>47128</v>
      </c>
      <c r="K4666" t="s">
        <v>47113</v>
      </c>
      <c r="L4666">
        <v>33.19</v>
      </c>
      <c r="M4666">
        <v>73</v>
      </c>
      <c r="N4666">
        <v>0</v>
      </c>
      <c r="O4666">
        <v>73</v>
      </c>
      <c r="P4666">
        <v>0</v>
      </c>
    </row>
    <row r="4667" spans="1:16" x14ac:dyDescent="0.25">
      <c r="A4667" t="s">
        <v>16617</v>
      </c>
      <c r="B4667" t="s">
        <v>14212</v>
      </c>
      <c r="C4667" t="s">
        <v>14213</v>
      </c>
      <c r="D4667" t="str">
        <f>"1106"</f>
        <v>1106</v>
      </c>
      <c r="E4667" t="s">
        <v>460</v>
      </c>
      <c r="F4667" t="s">
        <v>3558</v>
      </c>
      <c r="G4667" t="s">
        <v>46686</v>
      </c>
      <c r="H4667" t="s">
        <v>47055</v>
      </c>
      <c r="I4667" t="s">
        <v>47127</v>
      </c>
      <c r="J4667" t="s">
        <v>47128</v>
      </c>
      <c r="K4667" t="s">
        <v>47113</v>
      </c>
      <c r="L4667">
        <v>46.49</v>
      </c>
      <c r="M4667">
        <v>72</v>
      </c>
      <c r="N4667">
        <v>0</v>
      </c>
      <c r="O4667">
        <v>72</v>
      </c>
      <c r="P4667">
        <v>0</v>
      </c>
    </row>
    <row r="4668" spans="1:16" x14ac:dyDescent="0.25">
      <c r="A4668" t="s">
        <v>16618</v>
      </c>
      <c r="B4668" t="s">
        <v>14212</v>
      </c>
      <c r="C4668" t="s">
        <v>14213</v>
      </c>
      <c r="D4668" t="str">
        <f>"1285"</f>
        <v>1285</v>
      </c>
      <c r="E4668" t="s">
        <v>2148</v>
      </c>
      <c r="F4668" t="s">
        <v>3558</v>
      </c>
      <c r="G4668" t="s">
        <v>46686</v>
      </c>
      <c r="H4668" t="s">
        <v>47055</v>
      </c>
      <c r="I4668" t="s">
        <v>47127</v>
      </c>
      <c r="J4668" t="s">
        <v>47128</v>
      </c>
      <c r="K4668" t="s">
        <v>47113</v>
      </c>
      <c r="L4668">
        <v>46.49</v>
      </c>
      <c r="M4668">
        <v>72</v>
      </c>
      <c r="N4668">
        <v>0</v>
      </c>
      <c r="O4668">
        <v>72</v>
      </c>
      <c r="P4668">
        <v>0</v>
      </c>
    </row>
    <row r="4669" spans="1:16" x14ac:dyDescent="0.25">
      <c r="A4669" t="s">
        <v>27064</v>
      </c>
      <c r="B4669" t="s">
        <v>14212</v>
      </c>
      <c r="C4669" t="s">
        <v>14213</v>
      </c>
      <c r="D4669" t="str">
        <f>"1700"</f>
        <v>1700</v>
      </c>
      <c r="E4669" t="s">
        <v>60</v>
      </c>
      <c r="F4669" t="s">
        <v>3558</v>
      </c>
      <c r="G4669" t="s">
        <v>46686</v>
      </c>
      <c r="H4669" t="s">
        <v>47055</v>
      </c>
      <c r="I4669" t="s">
        <v>47127</v>
      </c>
      <c r="J4669" t="s">
        <v>47128</v>
      </c>
      <c r="K4669" t="s">
        <v>47113</v>
      </c>
      <c r="L4669">
        <v>32.6</v>
      </c>
      <c r="M4669">
        <v>72</v>
      </c>
      <c r="N4669">
        <v>0</v>
      </c>
      <c r="O4669">
        <v>72</v>
      </c>
      <c r="P4669">
        <v>0</v>
      </c>
    </row>
    <row r="4670" spans="1:16" x14ac:dyDescent="0.25">
      <c r="A4670" t="s">
        <v>27065</v>
      </c>
      <c r="B4670" t="s">
        <v>14212</v>
      </c>
      <c r="C4670" t="s">
        <v>14213</v>
      </c>
      <c r="D4670" t="str">
        <f>"4643"</f>
        <v>4643</v>
      </c>
      <c r="E4670" t="s">
        <v>205</v>
      </c>
      <c r="F4670" t="s">
        <v>3558</v>
      </c>
      <c r="G4670" t="s">
        <v>46686</v>
      </c>
      <c r="H4670" t="s">
        <v>47055</v>
      </c>
      <c r="I4670" t="s">
        <v>47127</v>
      </c>
      <c r="J4670" t="s">
        <v>47128</v>
      </c>
      <c r="K4670" t="s">
        <v>47113</v>
      </c>
      <c r="L4670">
        <v>46.49</v>
      </c>
      <c r="M4670">
        <v>72</v>
      </c>
      <c r="N4670">
        <v>0</v>
      </c>
      <c r="O4670">
        <v>72</v>
      </c>
      <c r="P4670">
        <v>0</v>
      </c>
    </row>
    <row r="4671" spans="1:16" x14ac:dyDescent="0.25">
      <c r="A4671" t="s">
        <v>27066</v>
      </c>
      <c r="B4671" t="s">
        <v>14212</v>
      </c>
      <c r="C4671" t="s">
        <v>14213</v>
      </c>
      <c r="D4671" t="str">
        <f>"4645"</f>
        <v>4645</v>
      </c>
      <c r="E4671" t="s">
        <v>9770</v>
      </c>
      <c r="F4671" t="s">
        <v>3558</v>
      </c>
      <c r="G4671" t="s">
        <v>46686</v>
      </c>
      <c r="H4671" t="s">
        <v>47055</v>
      </c>
      <c r="I4671" t="s">
        <v>47127</v>
      </c>
      <c r="J4671" t="s">
        <v>47128</v>
      </c>
      <c r="K4671" t="s">
        <v>47113</v>
      </c>
      <c r="L4671">
        <v>32.6</v>
      </c>
      <c r="M4671">
        <v>72</v>
      </c>
      <c r="N4671">
        <v>0</v>
      </c>
      <c r="O4671">
        <v>72</v>
      </c>
      <c r="P4671">
        <v>0</v>
      </c>
    </row>
    <row r="4672" spans="1:16" x14ac:dyDescent="0.25">
      <c r="A4672" t="s">
        <v>27067</v>
      </c>
      <c r="B4672" t="s">
        <v>14562</v>
      </c>
      <c r="C4672" t="s">
        <v>14561</v>
      </c>
      <c r="D4672" t="s">
        <v>14560</v>
      </c>
      <c r="E4672" t="s">
        <v>14559</v>
      </c>
      <c r="F4672" t="s">
        <v>3558</v>
      </c>
      <c r="G4672" t="s">
        <v>16224</v>
      </c>
      <c r="H4672" t="s">
        <v>47153</v>
      </c>
      <c r="I4672" t="s">
        <v>47132</v>
      </c>
      <c r="J4672" t="s">
        <v>47133</v>
      </c>
      <c r="K4672" t="s">
        <v>47113</v>
      </c>
      <c r="L4672">
        <v>67.69</v>
      </c>
      <c r="M4672">
        <v>85</v>
      </c>
      <c r="N4672">
        <v>0</v>
      </c>
      <c r="O4672">
        <v>85</v>
      </c>
      <c r="P4672">
        <v>0</v>
      </c>
    </row>
    <row r="4673" spans="1:16" x14ac:dyDescent="0.25">
      <c r="A4673" t="s">
        <v>27068</v>
      </c>
      <c r="B4673" t="s">
        <v>14556</v>
      </c>
      <c r="C4673" t="s">
        <v>14555</v>
      </c>
      <c r="D4673" t="s">
        <v>14558</v>
      </c>
      <c r="E4673" t="s">
        <v>14557</v>
      </c>
      <c r="F4673" t="s">
        <v>3558</v>
      </c>
      <c r="G4673" t="s">
        <v>16224</v>
      </c>
      <c r="H4673" t="s">
        <v>47153</v>
      </c>
      <c r="I4673" t="s">
        <v>47132</v>
      </c>
      <c r="J4673" t="s">
        <v>47133</v>
      </c>
      <c r="K4673" t="s">
        <v>47113</v>
      </c>
      <c r="L4673">
        <v>63.62</v>
      </c>
      <c r="M4673">
        <v>100</v>
      </c>
      <c r="N4673">
        <v>0</v>
      </c>
      <c r="O4673">
        <v>100</v>
      </c>
      <c r="P4673">
        <v>0</v>
      </c>
    </row>
    <row r="4674" spans="1:16" x14ac:dyDescent="0.25">
      <c r="A4674" t="s">
        <v>27069</v>
      </c>
      <c r="B4674" t="s">
        <v>14556</v>
      </c>
      <c r="C4674" t="s">
        <v>14555</v>
      </c>
      <c r="D4674" t="s">
        <v>14554</v>
      </c>
      <c r="E4674" t="s">
        <v>14553</v>
      </c>
      <c r="F4674" t="s">
        <v>3558</v>
      </c>
      <c r="G4674" t="s">
        <v>16224</v>
      </c>
      <c r="H4674" t="s">
        <v>47153</v>
      </c>
      <c r="I4674" t="s">
        <v>47132</v>
      </c>
      <c r="J4674" t="s">
        <v>47133</v>
      </c>
      <c r="K4674" t="s">
        <v>47113</v>
      </c>
      <c r="L4674">
        <v>62.8</v>
      </c>
      <c r="M4674">
        <v>96</v>
      </c>
      <c r="N4674">
        <v>0</v>
      </c>
      <c r="O4674">
        <v>96</v>
      </c>
      <c r="P4674">
        <v>0</v>
      </c>
    </row>
    <row r="4675" spans="1:16" x14ac:dyDescent="0.25">
      <c r="A4675" t="s">
        <v>27070</v>
      </c>
      <c r="B4675" t="s">
        <v>15173</v>
      </c>
      <c r="C4675" t="s">
        <v>14608</v>
      </c>
      <c r="D4675" t="s">
        <v>14552</v>
      </c>
      <c r="E4675" t="s">
        <v>14551</v>
      </c>
      <c r="F4675" t="s">
        <v>3558</v>
      </c>
      <c r="G4675" t="s">
        <v>16231</v>
      </c>
      <c r="H4675" t="s">
        <v>47153</v>
      </c>
      <c r="I4675" t="s">
        <v>47132</v>
      </c>
      <c r="J4675" t="s">
        <v>47133</v>
      </c>
      <c r="K4675" t="s">
        <v>47113</v>
      </c>
      <c r="L4675">
        <v>69.55</v>
      </c>
      <c r="M4675">
        <v>90</v>
      </c>
      <c r="N4675">
        <v>0</v>
      </c>
      <c r="O4675">
        <v>90</v>
      </c>
      <c r="P4675">
        <v>0</v>
      </c>
    </row>
    <row r="4676" spans="1:16" x14ac:dyDescent="0.25">
      <c r="A4676" t="s">
        <v>27071</v>
      </c>
      <c r="B4676" t="s">
        <v>14550</v>
      </c>
      <c r="C4676" t="s">
        <v>14549</v>
      </c>
      <c r="D4676" t="s">
        <v>14552</v>
      </c>
      <c r="E4676" t="s">
        <v>14551</v>
      </c>
      <c r="F4676" t="s">
        <v>3558</v>
      </c>
      <c r="G4676" t="s">
        <v>16231</v>
      </c>
      <c r="H4676" t="s">
        <v>47153</v>
      </c>
      <c r="I4676" t="s">
        <v>47132</v>
      </c>
      <c r="J4676" t="s">
        <v>47133</v>
      </c>
      <c r="K4676" t="s">
        <v>47113</v>
      </c>
      <c r="L4676">
        <v>70.13</v>
      </c>
      <c r="M4676">
        <v>90</v>
      </c>
      <c r="N4676">
        <v>0</v>
      </c>
      <c r="O4676">
        <v>90</v>
      </c>
      <c r="P4676">
        <v>0</v>
      </c>
    </row>
    <row r="4677" spans="1:16" x14ac:dyDescent="0.25">
      <c r="A4677" t="s">
        <v>27072</v>
      </c>
      <c r="B4677" t="s">
        <v>14550</v>
      </c>
      <c r="C4677" t="s">
        <v>14549</v>
      </c>
      <c r="D4677" t="s">
        <v>14548</v>
      </c>
      <c r="E4677" t="s">
        <v>14547</v>
      </c>
      <c r="F4677" t="s">
        <v>3558</v>
      </c>
      <c r="G4677" t="s">
        <v>16231</v>
      </c>
      <c r="H4677" t="s">
        <v>47153</v>
      </c>
      <c r="I4677" t="s">
        <v>47132</v>
      </c>
      <c r="J4677" t="s">
        <v>47133</v>
      </c>
      <c r="K4677" t="s">
        <v>47113</v>
      </c>
      <c r="L4677">
        <v>70.13</v>
      </c>
      <c r="M4677">
        <v>90</v>
      </c>
      <c r="N4677">
        <v>0</v>
      </c>
      <c r="O4677">
        <v>90</v>
      </c>
      <c r="P4677">
        <v>0</v>
      </c>
    </row>
    <row r="4678" spans="1:16" x14ac:dyDescent="0.25">
      <c r="A4678" t="s">
        <v>27073</v>
      </c>
      <c r="B4678" t="s">
        <v>14546</v>
      </c>
      <c r="C4678" t="s">
        <v>14545</v>
      </c>
      <c r="D4678" t="s">
        <v>14542</v>
      </c>
      <c r="E4678" t="s">
        <v>14541</v>
      </c>
      <c r="F4678" t="s">
        <v>3558</v>
      </c>
      <c r="G4678" t="s">
        <v>16231</v>
      </c>
      <c r="H4678" t="s">
        <v>47153</v>
      </c>
      <c r="I4678" t="s">
        <v>47132</v>
      </c>
      <c r="J4678" t="s">
        <v>47133</v>
      </c>
      <c r="K4678" t="s">
        <v>47113</v>
      </c>
      <c r="L4678">
        <v>60.94</v>
      </c>
      <c r="M4678">
        <v>111</v>
      </c>
      <c r="N4678">
        <v>0</v>
      </c>
      <c r="O4678">
        <v>111</v>
      </c>
      <c r="P4678">
        <v>0</v>
      </c>
    </row>
    <row r="4679" spans="1:16" x14ac:dyDescent="0.25">
      <c r="A4679" t="s">
        <v>27074</v>
      </c>
      <c r="B4679" t="s">
        <v>14544</v>
      </c>
      <c r="C4679" t="s">
        <v>14543</v>
      </c>
      <c r="D4679" t="s">
        <v>14542</v>
      </c>
      <c r="E4679" t="s">
        <v>14541</v>
      </c>
      <c r="F4679" t="s">
        <v>3558</v>
      </c>
      <c r="G4679" t="s">
        <v>16233</v>
      </c>
      <c r="H4679" t="s">
        <v>47153</v>
      </c>
      <c r="I4679" t="s">
        <v>47132</v>
      </c>
      <c r="J4679" t="s">
        <v>47133</v>
      </c>
      <c r="K4679" t="s">
        <v>47113</v>
      </c>
      <c r="L4679">
        <v>57.57</v>
      </c>
      <c r="M4679">
        <v>111</v>
      </c>
      <c r="N4679">
        <v>0</v>
      </c>
      <c r="O4679">
        <v>111</v>
      </c>
      <c r="P4679">
        <v>0</v>
      </c>
    </row>
    <row r="4680" spans="1:16" x14ac:dyDescent="0.25">
      <c r="A4680" t="s">
        <v>27075</v>
      </c>
      <c r="B4680" t="s">
        <v>14214</v>
      </c>
      <c r="C4680" t="s">
        <v>14215</v>
      </c>
      <c r="D4680" t="str">
        <f>"1106"</f>
        <v>1106</v>
      </c>
      <c r="E4680" t="s">
        <v>460</v>
      </c>
      <c r="F4680" t="s">
        <v>3558</v>
      </c>
      <c r="G4680" t="s">
        <v>16221</v>
      </c>
      <c r="H4680" t="s">
        <v>47055</v>
      </c>
      <c r="I4680" t="s">
        <v>47127</v>
      </c>
      <c r="J4680" t="s">
        <v>47128</v>
      </c>
      <c r="K4680" t="s">
        <v>47113</v>
      </c>
      <c r="L4680">
        <v>12.54</v>
      </c>
      <c r="M4680">
        <v>28</v>
      </c>
      <c r="N4680">
        <v>0</v>
      </c>
      <c r="O4680">
        <v>28</v>
      </c>
      <c r="P4680">
        <v>0</v>
      </c>
    </row>
    <row r="4681" spans="1:16" x14ac:dyDescent="0.25">
      <c r="A4681" t="s">
        <v>27076</v>
      </c>
      <c r="B4681" t="s">
        <v>14214</v>
      </c>
      <c r="C4681" t="s">
        <v>14215</v>
      </c>
      <c r="D4681" t="str">
        <f>"1278"</f>
        <v>1278</v>
      </c>
      <c r="E4681" t="s">
        <v>100</v>
      </c>
      <c r="F4681" t="s">
        <v>3558</v>
      </c>
      <c r="G4681" t="s">
        <v>16221</v>
      </c>
      <c r="H4681" t="s">
        <v>47055</v>
      </c>
      <c r="I4681" t="s">
        <v>47127</v>
      </c>
      <c r="J4681" t="s">
        <v>47128</v>
      </c>
      <c r="K4681" t="s">
        <v>47113</v>
      </c>
      <c r="L4681">
        <v>16.68</v>
      </c>
      <c r="M4681">
        <v>28</v>
      </c>
      <c r="N4681">
        <v>0</v>
      </c>
      <c r="O4681">
        <v>28</v>
      </c>
      <c r="P4681">
        <v>0</v>
      </c>
    </row>
    <row r="4682" spans="1:16" x14ac:dyDescent="0.25">
      <c r="A4682" t="s">
        <v>27077</v>
      </c>
      <c r="B4682" t="s">
        <v>14214</v>
      </c>
      <c r="C4682" t="s">
        <v>14215</v>
      </c>
      <c r="D4682" t="str">
        <f>"1700"</f>
        <v>1700</v>
      </c>
      <c r="E4682" t="s">
        <v>60</v>
      </c>
      <c r="F4682" t="s">
        <v>3558</v>
      </c>
      <c r="G4682" t="s">
        <v>16221</v>
      </c>
      <c r="H4682" t="s">
        <v>47055</v>
      </c>
      <c r="I4682" t="s">
        <v>47127</v>
      </c>
      <c r="J4682" t="s">
        <v>47128</v>
      </c>
      <c r="K4682" t="s">
        <v>47113</v>
      </c>
      <c r="L4682">
        <v>16.68</v>
      </c>
      <c r="M4682">
        <v>28</v>
      </c>
      <c r="N4682">
        <v>0</v>
      </c>
      <c r="O4682">
        <v>28</v>
      </c>
      <c r="P4682">
        <v>0</v>
      </c>
    </row>
    <row r="4683" spans="1:16" x14ac:dyDescent="0.25">
      <c r="A4683" t="s">
        <v>27078</v>
      </c>
      <c r="B4683" t="s">
        <v>14214</v>
      </c>
      <c r="C4683" t="s">
        <v>14215</v>
      </c>
      <c r="D4683" t="str">
        <f>"3000"</f>
        <v>3000</v>
      </c>
      <c r="E4683" t="s">
        <v>14216</v>
      </c>
      <c r="F4683" t="s">
        <v>3558</v>
      </c>
      <c r="G4683" t="s">
        <v>16221</v>
      </c>
      <c r="H4683" t="s">
        <v>47055</v>
      </c>
      <c r="I4683" t="s">
        <v>47127</v>
      </c>
      <c r="J4683" t="s">
        <v>47128</v>
      </c>
      <c r="K4683" t="s">
        <v>47113</v>
      </c>
      <c r="L4683">
        <v>12.54</v>
      </c>
      <c r="M4683">
        <v>28</v>
      </c>
      <c r="N4683">
        <v>0</v>
      </c>
      <c r="O4683">
        <v>28</v>
      </c>
      <c r="P4683">
        <v>0</v>
      </c>
    </row>
    <row r="4684" spans="1:16" x14ac:dyDescent="0.25">
      <c r="A4684" t="s">
        <v>27079</v>
      </c>
      <c r="B4684" t="s">
        <v>14214</v>
      </c>
      <c r="C4684" t="s">
        <v>14215</v>
      </c>
      <c r="D4684" t="str">
        <f>"4643"</f>
        <v>4643</v>
      </c>
      <c r="E4684" t="s">
        <v>205</v>
      </c>
      <c r="F4684" t="s">
        <v>3558</v>
      </c>
      <c r="G4684" t="s">
        <v>16221</v>
      </c>
      <c r="H4684" t="s">
        <v>47055</v>
      </c>
      <c r="I4684" t="s">
        <v>47127</v>
      </c>
      <c r="J4684" t="s">
        <v>47128</v>
      </c>
      <c r="K4684" t="s">
        <v>47113</v>
      </c>
      <c r="L4684">
        <v>16.68</v>
      </c>
      <c r="M4684">
        <v>28</v>
      </c>
      <c r="N4684">
        <v>0</v>
      </c>
      <c r="O4684">
        <v>28</v>
      </c>
      <c r="P4684">
        <v>0</v>
      </c>
    </row>
    <row r="4685" spans="1:16" x14ac:dyDescent="0.25">
      <c r="A4685" t="s">
        <v>27080</v>
      </c>
      <c r="B4685" t="s">
        <v>14214</v>
      </c>
      <c r="C4685" t="s">
        <v>14215</v>
      </c>
      <c r="D4685" t="str">
        <f>"4645"</f>
        <v>4645</v>
      </c>
      <c r="E4685" t="s">
        <v>9770</v>
      </c>
      <c r="F4685" t="s">
        <v>3558</v>
      </c>
      <c r="G4685" t="s">
        <v>16221</v>
      </c>
      <c r="H4685" t="s">
        <v>47055</v>
      </c>
      <c r="I4685" t="s">
        <v>47127</v>
      </c>
      <c r="J4685" t="s">
        <v>47128</v>
      </c>
      <c r="K4685" t="s">
        <v>47113</v>
      </c>
      <c r="L4685">
        <v>12.54</v>
      </c>
      <c r="M4685">
        <v>28</v>
      </c>
      <c r="N4685">
        <v>0</v>
      </c>
      <c r="O4685">
        <v>28</v>
      </c>
      <c r="P4685">
        <v>0</v>
      </c>
    </row>
    <row r="4686" spans="1:16" x14ac:dyDescent="0.25">
      <c r="A4686" t="s">
        <v>27081</v>
      </c>
      <c r="B4686" t="s">
        <v>14217</v>
      </c>
      <c r="C4686" t="s">
        <v>14218</v>
      </c>
      <c r="D4686" t="str">
        <f>"1106"</f>
        <v>1106</v>
      </c>
      <c r="E4686" t="s">
        <v>460</v>
      </c>
      <c r="F4686" t="s">
        <v>3558</v>
      </c>
      <c r="G4686" t="s">
        <v>16221</v>
      </c>
      <c r="H4686" t="s">
        <v>47055</v>
      </c>
      <c r="I4686" t="s">
        <v>47127</v>
      </c>
      <c r="J4686" t="s">
        <v>47128</v>
      </c>
      <c r="K4686" t="s">
        <v>47113</v>
      </c>
      <c r="L4686">
        <v>13.01</v>
      </c>
      <c r="M4686">
        <v>29</v>
      </c>
      <c r="N4686">
        <v>0</v>
      </c>
      <c r="O4686">
        <v>29</v>
      </c>
      <c r="P4686">
        <v>0</v>
      </c>
    </row>
    <row r="4687" spans="1:16" x14ac:dyDescent="0.25">
      <c r="A4687" t="s">
        <v>27082</v>
      </c>
      <c r="B4687" t="s">
        <v>14217</v>
      </c>
      <c r="C4687" t="s">
        <v>14218</v>
      </c>
      <c r="D4687" t="str">
        <f>"1278"</f>
        <v>1278</v>
      </c>
      <c r="E4687" t="s">
        <v>100</v>
      </c>
      <c r="F4687" t="s">
        <v>3558</v>
      </c>
      <c r="G4687" t="s">
        <v>16221</v>
      </c>
      <c r="H4687" t="s">
        <v>47055</v>
      </c>
      <c r="I4687" t="s">
        <v>47127</v>
      </c>
      <c r="J4687" t="s">
        <v>47128</v>
      </c>
      <c r="K4687" t="s">
        <v>47113</v>
      </c>
      <c r="L4687">
        <v>18.97</v>
      </c>
      <c r="M4687">
        <v>29</v>
      </c>
      <c r="N4687">
        <v>0</v>
      </c>
      <c r="O4687">
        <v>29</v>
      </c>
      <c r="P4687">
        <v>0</v>
      </c>
    </row>
    <row r="4688" spans="1:16" x14ac:dyDescent="0.25">
      <c r="A4688" t="s">
        <v>27083</v>
      </c>
      <c r="B4688" t="s">
        <v>14217</v>
      </c>
      <c r="C4688" t="s">
        <v>14218</v>
      </c>
      <c r="D4688" t="str">
        <f>"1700"</f>
        <v>1700</v>
      </c>
      <c r="E4688" t="s">
        <v>60</v>
      </c>
      <c r="F4688" t="s">
        <v>3558</v>
      </c>
      <c r="G4688" t="s">
        <v>16221</v>
      </c>
      <c r="H4688" t="s">
        <v>47055</v>
      </c>
      <c r="I4688" t="s">
        <v>47127</v>
      </c>
      <c r="J4688" t="s">
        <v>47128</v>
      </c>
      <c r="K4688" t="s">
        <v>47113</v>
      </c>
      <c r="L4688">
        <v>18.97</v>
      </c>
      <c r="M4688">
        <v>29</v>
      </c>
      <c r="N4688">
        <v>0</v>
      </c>
      <c r="O4688">
        <v>29</v>
      </c>
      <c r="P4688">
        <v>0</v>
      </c>
    </row>
    <row r="4689" spans="1:16" x14ac:dyDescent="0.25">
      <c r="A4689" t="s">
        <v>27084</v>
      </c>
      <c r="B4689" t="s">
        <v>14217</v>
      </c>
      <c r="C4689" t="s">
        <v>14218</v>
      </c>
      <c r="D4689" t="str">
        <f>"1889"</f>
        <v>1889</v>
      </c>
      <c r="E4689" t="s">
        <v>7101</v>
      </c>
      <c r="F4689" t="s">
        <v>3558</v>
      </c>
      <c r="G4689" t="s">
        <v>16221</v>
      </c>
      <c r="H4689" t="s">
        <v>47055</v>
      </c>
      <c r="I4689" t="s">
        <v>47127</v>
      </c>
      <c r="J4689" t="s">
        <v>47128</v>
      </c>
      <c r="K4689" t="s">
        <v>47113</v>
      </c>
      <c r="L4689">
        <v>18.97</v>
      </c>
      <c r="M4689">
        <v>29</v>
      </c>
      <c r="N4689">
        <v>0</v>
      </c>
      <c r="O4689">
        <v>29</v>
      </c>
      <c r="P4689">
        <v>0</v>
      </c>
    </row>
    <row r="4690" spans="1:16" x14ac:dyDescent="0.25">
      <c r="A4690" t="s">
        <v>27085</v>
      </c>
      <c r="B4690" t="s">
        <v>14217</v>
      </c>
      <c r="C4690" t="s">
        <v>14218</v>
      </c>
      <c r="D4690" t="str">
        <f>"3000"</f>
        <v>3000</v>
      </c>
      <c r="E4690" t="s">
        <v>14216</v>
      </c>
      <c r="F4690" t="s">
        <v>3558</v>
      </c>
      <c r="G4690" t="s">
        <v>16221</v>
      </c>
      <c r="H4690" t="s">
        <v>47055</v>
      </c>
      <c r="I4690" t="s">
        <v>47127</v>
      </c>
      <c r="J4690" t="s">
        <v>47128</v>
      </c>
      <c r="K4690" t="s">
        <v>47113</v>
      </c>
      <c r="L4690">
        <v>13.01</v>
      </c>
      <c r="M4690">
        <v>29</v>
      </c>
      <c r="N4690">
        <v>0</v>
      </c>
      <c r="O4690">
        <v>29</v>
      </c>
      <c r="P4690">
        <v>0</v>
      </c>
    </row>
    <row r="4691" spans="1:16" x14ac:dyDescent="0.25">
      <c r="A4691" t="s">
        <v>16619</v>
      </c>
      <c r="B4691" t="s">
        <v>14217</v>
      </c>
      <c r="C4691" t="s">
        <v>14218</v>
      </c>
      <c r="D4691" t="str">
        <f>"4643"</f>
        <v>4643</v>
      </c>
      <c r="E4691" t="s">
        <v>205</v>
      </c>
      <c r="F4691" t="s">
        <v>3558</v>
      </c>
      <c r="G4691" t="s">
        <v>16221</v>
      </c>
      <c r="H4691" t="s">
        <v>47055</v>
      </c>
      <c r="I4691" t="s">
        <v>47127</v>
      </c>
      <c r="J4691" t="s">
        <v>47128</v>
      </c>
      <c r="K4691" t="s">
        <v>47113</v>
      </c>
      <c r="L4691">
        <v>18.97</v>
      </c>
      <c r="M4691">
        <v>29</v>
      </c>
      <c r="N4691">
        <v>0</v>
      </c>
      <c r="O4691">
        <v>29</v>
      </c>
      <c r="P4691">
        <v>0</v>
      </c>
    </row>
    <row r="4692" spans="1:16" x14ac:dyDescent="0.25">
      <c r="A4692" t="s">
        <v>27086</v>
      </c>
      <c r="B4692" t="s">
        <v>14217</v>
      </c>
      <c r="C4692" t="s">
        <v>14218</v>
      </c>
      <c r="D4692" t="str">
        <f>"4645"</f>
        <v>4645</v>
      </c>
      <c r="E4692" t="s">
        <v>9770</v>
      </c>
      <c r="F4692" t="s">
        <v>3558</v>
      </c>
      <c r="G4692" t="s">
        <v>16221</v>
      </c>
      <c r="H4692" t="s">
        <v>47055</v>
      </c>
      <c r="I4692" t="s">
        <v>47127</v>
      </c>
      <c r="J4692" t="s">
        <v>47128</v>
      </c>
      <c r="K4692" t="s">
        <v>47113</v>
      </c>
      <c r="L4692">
        <v>13.01</v>
      </c>
      <c r="M4692">
        <v>29</v>
      </c>
      <c r="N4692">
        <v>0</v>
      </c>
      <c r="O4692">
        <v>29</v>
      </c>
      <c r="P4692">
        <v>0</v>
      </c>
    </row>
    <row r="4693" spans="1:16" x14ac:dyDescent="0.25">
      <c r="A4693" t="s">
        <v>27087</v>
      </c>
      <c r="B4693" t="s">
        <v>14217</v>
      </c>
      <c r="C4693" t="s">
        <v>14218</v>
      </c>
      <c r="D4693" t="str">
        <f>"8206"</f>
        <v>8206</v>
      </c>
      <c r="E4693" t="s">
        <v>14203</v>
      </c>
      <c r="F4693" t="s">
        <v>3558</v>
      </c>
      <c r="G4693" t="s">
        <v>16221</v>
      </c>
      <c r="H4693" t="s">
        <v>47055</v>
      </c>
      <c r="I4693" t="s">
        <v>47127</v>
      </c>
      <c r="J4693" t="s">
        <v>47128</v>
      </c>
      <c r="K4693" t="s">
        <v>47113</v>
      </c>
      <c r="L4693">
        <v>13.01</v>
      </c>
      <c r="M4693">
        <v>29</v>
      </c>
      <c r="N4693">
        <v>0</v>
      </c>
      <c r="O4693">
        <v>29</v>
      </c>
      <c r="P4693">
        <v>0</v>
      </c>
    </row>
    <row r="4694" spans="1:16" x14ac:dyDescent="0.25">
      <c r="A4694" t="s">
        <v>27088</v>
      </c>
      <c r="B4694" t="s">
        <v>14219</v>
      </c>
      <c r="C4694" t="s">
        <v>14220</v>
      </c>
      <c r="D4694" t="str">
        <f>"1106"</f>
        <v>1106</v>
      </c>
      <c r="E4694" t="s">
        <v>460</v>
      </c>
      <c r="F4694" t="s">
        <v>3558</v>
      </c>
      <c r="G4694" t="s">
        <v>16232</v>
      </c>
      <c r="H4694" t="s">
        <v>47055</v>
      </c>
      <c r="I4694" t="s">
        <v>47127</v>
      </c>
      <c r="J4694" t="s">
        <v>47128</v>
      </c>
      <c r="K4694" t="s">
        <v>47113</v>
      </c>
      <c r="L4694">
        <v>18.739999999999998</v>
      </c>
      <c r="M4694">
        <v>41</v>
      </c>
      <c r="N4694">
        <v>0</v>
      </c>
      <c r="O4694">
        <v>41</v>
      </c>
      <c r="P4694">
        <v>0</v>
      </c>
    </row>
    <row r="4695" spans="1:16" x14ac:dyDescent="0.25">
      <c r="A4695" t="s">
        <v>27089</v>
      </c>
      <c r="B4695" t="s">
        <v>14219</v>
      </c>
      <c r="C4695" t="s">
        <v>14220</v>
      </c>
      <c r="D4695" t="str">
        <f>"1377"</f>
        <v>1377</v>
      </c>
      <c r="E4695" t="s">
        <v>74</v>
      </c>
      <c r="F4695" t="s">
        <v>3558</v>
      </c>
      <c r="G4695" t="s">
        <v>16232</v>
      </c>
      <c r="H4695" t="s">
        <v>47055</v>
      </c>
      <c r="I4695" t="s">
        <v>47127</v>
      </c>
      <c r="J4695" t="s">
        <v>47128</v>
      </c>
      <c r="K4695" t="s">
        <v>47113</v>
      </c>
      <c r="L4695">
        <v>18.739999999999998</v>
      </c>
      <c r="M4695">
        <v>41</v>
      </c>
      <c r="N4695">
        <v>0</v>
      </c>
      <c r="O4695">
        <v>41</v>
      </c>
      <c r="P4695">
        <v>0</v>
      </c>
    </row>
    <row r="4696" spans="1:16" x14ac:dyDescent="0.25">
      <c r="A4696" t="s">
        <v>27090</v>
      </c>
      <c r="B4696" t="s">
        <v>14219</v>
      </c>
      <c r="C4696" t="s">
        <v>14220</v>
      </c>
      <c r="D4696" t="str">
        <f>"1700"</f>
        <v>1700</v>
      </c>
      <c r="E4696" t="s">
        <v>60</v>
      </c>
      <c r="F4696" t="s">
        <v>3558</v>
      </c>
      <c r="G4696" t="s">
        <v>16232</v>
      </c>
      <c r="H4696" t="s">
        <v>47055</v>
      </c>
      <c r="I4696" t="s">
        <v>47127</v>
      </c>
      <c r="J4696" t="s">
        <v>47128</v>
      </c>
      <c r="K4696" t="s">
        <v>47113</v>
      </c>
      <c r="L4696">
        <v>23.55</v>
      </c>
      <c r="M4696">
        <v>41</v>
      </c>
      <c r="N4696">
        <v>0</v>
      </c>
      <c r="O4696">
        <v>41</v>
      </c>
      <c r="P4696">
        <v>0</v>
      </c>
    </row>
    <row r="4697" spans="1:16" x14ac:dyDescent="0.25">
      <c r="A4697" t="s">
        <v>27091</v>
      </c>
      <c r="B4697" t="s">
        <v>14219</v>
      </c>
      <c r="C4697" t="s">
        <v>14220</v>
      </c>
      <c r="D4697" t="str">
        <f>"1889"</f>
        <v>1889</v>
      </c>
      <c r="E4697" t="s">
        <v>7101</v>
      </c>
      <c r="F4697" t="s">
        <v>3558</v>
      </c>
      <c r="G4697" t="s">
        <v>16232</v>
      </c>
      <c r="H4697" t="s">
        <v>47055</v>
      </c>
      <c r="I4697" t="s">
        <v>47127</v>
      </c>
      <c r="J4697" t="s">
        <v>47128</v>
      </c>
      <c r="K4697" t="s">
        <v>47113</v>
      </c>
      <c r="L4697">
        <v>18.739999999999998</v>
      </c>
      <c r="M4697">
        <v>41</v>
      </c>
      <c r="N4697">
        <v>0</v>
      </c>
      <c r="O4697">
        <v>41</v>
      </c>
      <c r="P4697">
        <v>0</v>
      </c>
    </row>
    <row r="4698" spans="1:16" x14ac:dyDescent="0.25">
      <c r="A4698" t="s">
        <v>27092</v>
      </c>
      <c r="B4698" t="s">
        <v>14219</v>
      </c>
      <c r="C4698" t="s">
        <v>14220</v>
      </c>
      <c r="D4698" t="str">
        <f>"4542"</f>
        <v>4542</v>
      </c>
      <c r="E4698" t="s">
        <v>220</v>
      </c>
      <c r="F4698" t="s">
        <v>3558</v>
      </c>
      <c r="G4698" t="s">
        <v>16232</v>
      </c>
      <c r="H4698" t="s">
        <v>47055</v>
      </c>
      <c r="I4698" t="s">
        <v>47127</v>
      </c>
      <c r="J4698" t="s">
        <v>47128</v>
      </c>
      <c r="K4698" t="s">
        <v>47113</v>
      </c>
      <c r="L4698">
        <v>18.739999999999998</v>
      </c>
      <c r="M4698">
        <v>41</v>
      </c>
      <c r="N4698">
        <v>0</v>
      </c>
      <c r="O4698">
        <v>41</v>
      </c>
      <c r="P4698">
        <v>0</v>
      </c>
    </row>
    <row r="4699" spans="1:16" x14ac:dyDescent="0.25">
      <c r="A4699" t="s">
        <v>27093</v>
      </c>
      <c r="B4699" t="s">
        <v>14219</v>
      </c>
      <c r="C4699" t="s">
        <v>14220</v>
      </c>
      <c r="D4699" t="str">
        <f>"4643"</f>
        <v>4643</v>
      </c>
      <c r="E4699" t="s">
        <v>205</v>
      </c>
      <c r="F4699" t="s">
        <v>3558</v>
      </c>
      <c r="G4699" t="s">
        <v>16232</v>
      </c>
      <c r="H4699" t="s">
        <v>47055</v>
      </c>
      <c r="I4699" t="s">
        <v>47127</v>
      </c>
      <c r="J4699" t="s">
        <v>47128</v>
      </c>
      <c r="K4699" t="s">
        <v>47113</v>
      </c>
      <c r="L4699">
        <v>23.55</v>
      </c>
      <c r="M4699">
        <v>41</v>
      </c>
      <c r="N4699">
        <v>0</v>
      </c>
      <c r="O4699">
        <v>41</v>
      </c>
      <c r="P4699">
        <v>0</v>
      </c>
    </row>
    <row r="4700" spans="1:16" x14ac:dyDescent="0.25">
      <c r="A4700" t="s">
        <v>27094</v>
      </c>
      <c r="B4700" t="s">
        <v>14219</v>
      </c>
      <c r="C4700" t="s">
        <v>14220</v>
      </c>
      <c r="D4700" t="str">
        <f>"4645"</f>
        <v>4645</v>
      </c>
      <c r="E4700" t="s">
        <v>9770</v>
      </c>
      <c r="F4700" t="s">
        <v>3558</v>
      </c>
      <c r="G4700" t="s">
        <v>16232</v>
      </c>
      <c r="H4700" t="s">
        <v>47055</v>
      </c>
      <c r="I4700" t="s">
        <v>47127</v>
      </c>
      <c r="J4700" t="s">
        <v>47128</v>
      </c>
      <c r="K4700" t="s">
        <v>47113</v>
      </c>
      <c r="L4700">
        <v>18.739999999999998</v>
      </c>
      <c r="M4700">
        <v>41</v>
      </c>
      <c r="N4700">
        <v>0</v>
      </c>
      <c r="O4700">
        <v>41</v>
      </c>
      <c r="P4700">
        <v>0</v>
      </c>
    </row>
    <row r="4701" spans="1:16" x14ac:dyDescent="0.25">
      <c r="A4701" t="s">
        <v>27095</v>
      </c>
      <c r="B4701" t="s">
        <v>14219</v>
      </c>
      <c r="C4701" t="s">
        <v>14220</v>
      </c>
      <c r="D4701" t="str">
        <f>"8206"</f>
        <v>8206</v>
      </c>
      <c r="E4701" t="s">
        <v>14203</v>
      </c>
      <c r="F4701" t="s">
        <v>3558</v>
      </c>
      <c r="G4701" t="s">
        <v>16232</v>
      </c>
      <c r="H4701" t="s">
        <v>47055</v>
      </c>
      <c r="I4701" t="s">
        <v>47127</v>
      </c>
      <c r="J4701" t="s">
        <v>47128</v>
      </c>
      <c r="K4701" t="s">
        <v>47113</v>
      </c>
      <c r="L4701">
        <v>18.739999999999998</v>
      </c>
      <c r="M4701">
        <v>41</v>
      </c>
      <c r="N4701">
        <v>0</v>
      </c>
      <c r="O4701">
        <v>41</v>
      </c>
      <c r="P4701">
        <v>0</v>
      </c>
    </row>
    <row r="4702" spans="1:16" x14ac:dyDescent="0.25">
      <c r="A4702" t="s">
        <v>27096</v>
      </c>
      <c r="B4702" t="s">
        <v>14221</v>
      </c>
      <c r="C4702" t="s">
        <v>14222</v>
      </c>
      <c r="D4702" t="str">
        <f>"1106"</f>
        <v>1106</v>
      </c>
      <c r="E4702" t="s">
        <v>460</v>
      </c>
      <c r="F4702" t="s">
        <v>3558</v>
      </c>
      <c r="G4702" t="s">
        <v>16221</v>
      </c>
      <c r="H4702" t="s">
        <v>47055</v>
      </c>
      <c r="I4702" t="s">
        <v>47127</v>
      </c>
      <c r="J4702" t="s">
        <v>47128</v>
      </c>
      <c r="K4702" t="s">
        <v>47113</v>
      </c>
      <c r="L4702">
        <v>16.68</v>
      </c>
      <c r="M4702">
        <v>28</v>
      </c>
      <c r="N4702">
        <v>0</v>
      </c>
      <c r="O4702">
        <v>28</v>
      </c>
      <c r="P4702">
        <v>0</v>
      </c>
    </row>
    <row r="4703" spans="1:16" x14ac:dyDescent="0.25">
      <c r="A4703" t="s">
        <v>27097</v>
      </c>
      <c r="B4703" t="s">
        <v>14221</v>
      </c>
      <c r="C4703" t="s">
        <v>14222</v>
      </c>
      <c r="D4703" t="str">
        <f>"1700"</f>
        <v>1700</v>
      </c>
      <c r="E4703" t="s">
        <v>60</v>
      </c>
      <c r="F4703" t="s">
        <v>3558</v>
      </c>
      <c r="G4703" t="s">
        <v>16221</v>
      </c>
      <c r="H4703" t="s">
        <v>47055</v>
      </c>
      <c r="I4703" t="s">
        <v>47127</v>
      </c>
      <c r="J4703" t="s">
        <v>47128</v>
      </c>
      <c r="K4703" t="s">
        <v>47113</v>
      </c>
      <c r="L4703">
        <v>16.68</v>
      </c>
      <c r="M4703">
        <v>28</v>
      </c>
      <c r="N4703">
        <v>0</v>
      </c>
      <c r="O4703">
        <v>28</v>
      </c>
      <c r="P4703">
        <v>0</v>
      </c>
    </row>
    <row r="4704" spans="1:16" x14ac:dyDescent="0.25">
      <c r="A4704" t="s">
        <v>27098</v>
      </c>
      <c r="B4704" t="s">
        <v>14221</v>
      </c>
      <c r="C4704" t="s">
        <v>14222</v>
      </c>
      <c r="D4704" t="str">
        <f>"3000"</f>
        <v>3000</v>
      </c>
      <c r="E4704" t="s">
        <v>14216</v>
      </c>
      <c r="F4704" t="s">
        <v>3558</v>
      </c>
      <c r="G4704" t="s">
        <v>16221</v>
      </c>
      <c r="H4704" t="s">
        <v>47055</v>
      </c>
      <c r="I4704" t="s">
        <v>47127</v>
      </c>
      <c r="J4704" t="s">
        <v>47128</v>
      </c>
      <c r="K4704" t="s">
        <v>47113</v>
      </c>
      <c r="L4704">
        <v>12.54</v>
      </c>
      <c r="M4704">
        <v>28</v>
      </c>
      <c r="N4704">
        <v>0</v>
      </c>
      <c r="O4704">
        <v>28</v>
      </c>
      <c r="P4704">
        <v>0</v>
      </c>
    </row>
    <row r="4705" spans="1:16" x14ac:dyDescent="0.25">
      <c r="A4705" t="s">
        <v>27099</v>
      </c>
      <c r="B4705" t="s">
        <v>14221</v>
      </c>
      <c r="C4705" t="s">
        <v>14222</v>
      </c>
      <c r="D4705" t="str">
        <f>"4643"</f>
        <v>4643</v>
      </c>
      <c r="E4705" t="s">
        <v>205</v>
      </c>
      <c r="F4705" t="s">
        <v>3558</v>
      </c>
      <c r="G4705" t="s">
        <v>16221</v>
      </c>
      <c r="H4705" t="s">
        <v>47055</v>
      </c>
      <c r="I4705" t="s">
        <v>47127</v>
      </c>
      <c r="J4705" t="s">
        <v>47128</v>
      </c>
      <c r="K4705" t="s">
        <v>47113</v>
      </c>
      <c r="L4705">
        <v>16.68</v>
      </c>
      <c r="M4705">
        <v>28</v>
      </c>
      <c r="N4705">
        <v>0</v>
      </c>
      <c r="O4705">
        <v>28</v>
      </c>
      <c r="P4705">
        <v>0</v>
      </c>
    </row>
    <row r="4706" spans="1:16" x14ac:dyDescent="0.25">
      <c r="A4706" t="s">
        <v>27100</v>
      </c>
      <c r="B4706" t="s">
        <v>14221</v>
      </c>
      <c r="C4706" t="s">
        <v>14222</v>
      </c>
      <c r="D4706" t="str">
        <f>"4645"</f>
        <v>4645</v>
      </c>
      <c r="E4706" t="s">
        <v>9770</v>
      </c>
      <c r="F4706" t="s">
        <v>3558</v>
      </c>
      <c r="G4706" t="s">
        <v>16221</v>
      </c>
      <c r="H4706" t="s">
        <v>47055</v>
      </c>
      <c r="I4706" t="s">
        <v>47127</v>
      </c>
      <c r="J4706" t="s">
        <v>47128</v>
      </c>
      <c r="K4706" t="s">
        <v>47113</v>
      </c>
      <c r="L4706">
        <v>16.68</v>
      </c>
      <c r="M4706">
        <v>28</v>
      </c>
      <c r="N4706">
        <v>0</v>
      </c>
      <c r="O4706">
        <v>28</v>
      </c>
      <c r="P4706">
        <v>0</v>
      </c>
    </row>
    <row r="4707" spans="1:16" x14ac:dyDescent="0.25">
      <c r="A4707" t="s">
        <v>27101</v>
      </c>
      <c r="B4707" t="s">
        <v>14223</v>
      </c>
      <c r="C4707" t="s">
        <v>14224</v>
      </c>
      <c r="D4707" t="str">
        <f>"1106"</f>
        <v>1106</v>
      </c>
      <c r="E4707" t="s">
        <v>460</v>
      </c>
      <c r="F4707" t="s">
        <v>3558</v>
      </c>
      <c r="G4707" t="s">
        <v>16221</v>
      </c>
      <c r="H4707" t="s">
        <v>47055</v>
      </c>
      <c r="I4707" t="s">
        <v>47127</v>
      </c>
      <c r="J4707" t="s">
        <v>47128</v>
      </c>
      <c r="K4707" t="s">
        <v>47113</v>
      </c>
      <c r="L4707">
        <v>18.97</v>
      </c>
      <c r="M4707">
        <v>30</v>
      </c>
      <c r="N4707">
        <v>0</v>
      </c>
      <c r="O4707">
        <v>30</v>
      </c>
      <c r="P4707">
        <v>0</v>
      </c>
    </row>
    <row r="4708" spans="1:16" x14ac:dyDescent="0.25">
      <c r="A4708" t="s">
        <v>27102</v>
      </c>
      <c r="B4708" t="s">
        <v>14223</v>
      </c>
      <c r="C4708" t="s">
        <v>14224</v>
      </c>
      <c r="D4708" t="str">
        <f>"1700"</f>
        <v>1700</v>
      </c>
      <c r="E4708" t="s">
        <v>60</v>
      </c>
      <c r="F4708" t="s">
        <v>3558</v>
      </c>
      <c r="G4708" t="s">
        <v>16221</v>
      </c>
      <c r="H4708" t="s">
        <v>47055</v>
      </c>
      <c r="I4708" t="s">
        <v>47127</v>
      </c>
      <c r="J4708" t="s">
        <v>47128</v>
      </c>
      <c r="K4708" t="s">
        <v>47113</v>
      </c>
      <c r="L4708">
        <v>18.97</v>
      </c>
      <c r="M4708">
        <v>30</v>
      </c>
      <c r="N4708">
        <v>0</v>
      </c>
      <c r="O4708">
        <v>30</v>
      </c>
      <c r="P4708">
        <v>0</v>
      </c>
    </row>
    <row r="4709" spans="1:16" x14ac:dyDescent="0.25">
      <c r="A4709" t="s">
        <v>27103</v>
      </c>
      <c r="B4709" t="s">
        <v>14223</v>
      </c>
      <c r="C4709" t="s">
        <v>14224</v>
      </c>
      <c r="D4709" t="str">
        <f>"3000"</f>
        <v>3000</v>
      </c>
      <c r="E4709" t="s">
        <v>14216</v>
      </c>
      <c r="F4709" t="s">
        <v>3558</v>
      </c>
      <c r="G4709" t="s">
        <v>16221</v>
      </c>
      <c r="H4709" t="s">
        <v>47055</v>
      </c>
      <c r="I4709" t="s">
        <v>47127</v>
      </c>
      <c r="J4709" t="s">
        <v>47128</v>
      </c>
      <c r="K4709" t="s">
        <v>47113</v>
      </c>
      <c r="L4709">
        <v>13.49</v>
      </c>
      <c r="M4709">
        <v>30</v>
      </c>
      <c r="N4709">
        <v>0</v>
      </c>
      <c r="O4709">
        <v>30</v>
      </c>
      <c r="P4709">
        <v>0</v>
      </c>
    </row>
    <row r="4710" spans="1:16" x14ac:dyDescent="0.25">
      <c r="A4710" t="s">
        <v>27104</v>
      </c>
      <c r="B4710" t="s">
        <v>14223</v>
      </c>
      <c r="C4710" t="s">
        <v>14224</v>
      </c>
      <c r="D4710" t="str">
        <f>"4643"</f>
        <v>4643</v>
      </c>
      <c r="E4710" t="s">
        <v>205</v>
      </c>
      <c r="F4710" t="s">
        <v>3558</v>
      </c>
      <c r="G4710" t="s">
        <v>16221</v>
      </c>
      <c r="H4710" t="s">
        <v>47055</v>
      </c>
      <c r="I4710" t="s">
        <v>47127</v>
      </c>
      <c r="J4710" t="s">
        <v>47128</v>
      </c>
      <c r="K4710" t="s">
        <v>47113</v>
      </c>
      <c r="L4710">
        <v>13.49</v>
      </c>
      <c r="M4710">
        <v>30</v>
      </c>
      <c r="N4710">
        <v>0</v>
      </c>
      <c r="O4710">
        <v>30</v>
      </c>
      <c r="P4710">
        <v>0</v>
      </c>
    </row>
    <row r="4711" spans="1:16" x14ac:dyDescent="0.25">
      <c r="A4711" t="s">
        <v>27105</v>
      </c>
      <c r="B4711" t="s">
        <v>14223</v>
      </c>
      <c r="C4711" t="s">
        <v>14224</v>
      </c>
      <c r="D4711" t="str">
        <f>"4645"</f>
        <v>4645</v>
      </c>
      <c r="E4711" t="s">
        <v>9770</v>
      </c>
      <c r="F4711" t="s">
        <v>3558</v>
      </c>
      <c r="G4711" t="s">
        <v>16221</v>
      </c>
      <c r="H4711" t="s">
        <v>47055</v>
      </c>
      <c r="I4711" t="s">
        <v>47127</v>
      </c>
      <c r="J4711" t="s">
        <v>47128</v>
      </c>
      <c r="K4711" t="s">
        <v>47113</v>
      </c>
      <c r="L4711">
        <v>18.97</v>
      </c>
      <c r="M4711">
        <v>30</v>
      </c>
      <c r="N4711">
        <v>0</v>
      </c>
      <c r="O4711">
        <v>30</v>
      </c>
      <c r="P4711">
        <v>0</v>
      </c>
    </row>
    <row r="4712" spans="1:16" x14ac:dyDescent="0.25">
      <c r="A4712" t="s">
        <v>27106</v>
      </c>
      <c r="B4712" t="s">
        <v>14225</v>
      </c>
      <c r="C4712" t="s">
        <v>14226</v>
      </c>
      <c r="D4712" t="str">
        <f>"1106"</f>
        <v>1106</v>
      </c>
      <c r="E4712" t="s">
        <v>460</v>
      </c>
      <c r="F4712" t="s">
        <v>3558</v>
      </c>
      <c r="G4712" t="s">
        <v>16221</v>
      </c>
      <c r="H4712" t="s">
        <v>47055</v>
      </c>
      <c r="I4712" t="s">
        <v>47127</v>
      </c>
      <c r="J4712" t="s">
        <v>47128</v>
      </c>
      <c r="K4712" t="s">
        <v>47113</v>
      </c>
      <c r="L4712">
        <v>13.49</v>
      </c>
      <c r="M4712">
        <v>30</v>
      </c>
      <c r="N4712">
        <v>0</v>
      </c>
      <c r="O4712">
        <v>30</v>
      </c>
      <c r="P4712">
        <v>0</v>
      </c>
    </row>
    <row r="4713" spans="1:16" x14ac:dyDescent="0.25">
      <c r="A4713" t="s">
        <v>27107</v>
      </c>
      <c r="B4713" t="s">
        <v>14225</v>
      </c>
      <c r="C4713" t="s">
        <v>14226</v>
      </c>
      <c r="D4713" t="str">
        <f>"1278"</f>
        <v>1278</v>
      </c>
      <c r="E4713" t="s">
        <v>100</v>
      </c>
      <c r="F4713" t="s">
        <v>3558</v>
      </c>
      <c r="G4713" t="s">
        <v>16221</v>
      </c>
      <c r="H4713" t="s">
        <v>47055</v>
      </c>
      <c r="I4713" t="s">
        <v>47127</v>
      </c>
      <c r="J4713" t="s">
        <v>47128</v>
      </c>
      <c r="K4713" t="s">
        <v>47113</v>
      </c>
      <c r="L4713">
        <v>18.97</v>
      </c>
      <c r="M4713">
        <v>30</v>
      </c>
      <c r="N4713">
        <v>0</v>
      </c>
      <c r="O4713">
        <v>30</v>
      </c>
      <c r="P4713">
        <v>0</v>
      </c>
    </row>
    <row r="4714" spans="1:16" x14ac:dyDescent="0.25">
      <c r="A4714" t="s">
        <v>27108</v>
      </c>
      <c r="B4714" t="s">
        <v>14225</v>
      </c>
      <c r="C4714" t="s">
        <v>14226</v>
      </c>
      <c r="D4714" t="str">
        <f>"1700"</f>
        <v>1700</v>
      </c>
      <c r="E4714" t="s">
        <v>60</v>
      </c>
      <c r="F4714" t="s">
        <v>3558</v>
      </c>
      <c r="G4714" t="s">
        <v>16221</v>
      </c>
      <c r="H4714" t="s">
        <v>47055</v>
      </c>
      <c r="I4714" t="s">
        <v>47127</v>
      </c>
      <c r="J4714" t="s">
        <v>47128</v>
      </c>
      <c r="K4714" t="s">
        <v>47113</v>
      </c>
      <c r="L4714">
        <v>18.97</v>
      </c>
      <c r="M4714">
        <v>30</v>
      </c>
      <c r="N4714">
        <v>0</v>
      </c>
      <c r="O4714">
        <v>30</v>
      </c>
      <c r="P4714">
        <v>0</v>
      </c>
    </row>
    <row r="4715" spans="1:16" x14ac:dyDescent="0.25">
      <c r="A4715" t="s">
        <v>27109</v>
      </c>
      <c r="B4715" t="s">
        <v>14225</v>
      </c>
      <c r="C4715" t="s">
        <v>14226</v>
      </c>
      <c r="D4715" t="str">
        <f>"4643"</f>
        <v>4643</v>
      </c>
      <c r="E4715" t="s">
        <v>205</v>
      </c>
      <c r="F4715" t="s">
        <v>3558</v>
      </c>
      <c r="G4715" t="s">
        <v>16221</v>
      </c>
      <c r="H4715" t="s">
        <v>47055</v>
      </c>
      <c r="I4715" t="s">
        <v>47127</v>
      </c>
      <c r="J4715" t="s">
        <v>47128</v>
      </c>
      <c r="K4715" t="s">
        <v>47113</v>
      </c>
      <c r="L4715">
        <v>18.97</v>
      </c>
      <c r="M4715">
        <v>30</v>
      </c>
      <c r="N4715">
        <v>0</v>
      </c>
      <c r="O4715">
        <v>30</v>
      </c>
      <c r="P4715">
        <v>0</v>
      </c>
    </row>
    <row r="4716" spans="1:16" x14ac:dyDescent="0.25">
      <c r="A4716" t="s">
        <v>27110</v>
      </c>
      <c r="B4716" t="s">
        <v>14225</v>
      </c>
      <c r="C4716" t="s">
        <v>14226</v>
      </c>
      <c r="D4716" t="str">
        <f>"4645"</f>
        <v>4645</v>
      </c>
      <c r="E4716" t="s">
        <v>9770</v>
      </c>
      <c r="F4716" t="s">
        <v>3558</v>
      </c>
      <c r="G4716" t="s">
        <v>16221</v>
      </c>
      <c r="H4716" t="s">
        <v>47055</v>
      </c>
      <c r="I4716" t="s">
        <v>47127</v>
      </c>
      <c r="J4716" t="s">
        <v>47128</v>
      </c>
      <c r="K4716" t="s">
        <v>47113</v>
      </c>
      <c r="L4716">
        <v>13.49</v>
      </c>
      <c r="M4716">
        <v>30</v>
      </c>
      <c r="N4716">
        <v>0</v>
      </c>
      <c r="O4716">
        <v>30</v>
      </c>
      <c r="P4716">
        <v>0</v>
      </c>
    </row>
    <row r="4717" spans="1:16" x14ac:dyDescent="0.25">
      <c r="A4717" t="s">
        <v>27111</v>
      </c>
      <c r="B4717" t="s">
        <v>14227</v>
      </c>
      <c r="C4717" t="s">
        <v>14228</v>
      </c>
      <c r="D4717" t="str">
        <f>"1106"</f>
        <v>1106</v>
      </c>
      <c r="E4717" t="s">
        <v>460</v>
      </c>
      <c r="F4717" t="s">
        <v>3558</v>
      </c>
      <c r="G4717" t="s">
        <v>16221</v>
      </c>
      <c r="H4717" t="s">
        <v>47055</v>
      </c>
      <c r="I4717" t="s">
        <v>47127</v>
      </c>
      <c r="J4717" t="s">
        <v>47128</v>
      </c>
      <c r="K4717" t="s">
        <v>47113</v>
      </c>
      <c r="L4717">
        <v>13.01</v>
      </c>
      <c r="M4717">
        <v>29</v>
      </c>
      <c r="N4717">
        <v>0</v>
      </c>
      <c r="O4717">
        <v>29</v>
      </c>
      <c r="P4717">
        <v>0</v>
      </c>
    </row>
    <row r="4718" spans="1:16" x14ac:dyDescent="0.25">
      <c r="A4718" t="s">
        <v>27112</v>
      </c>
      <c r="B4718" t="s">
        <v>14227</v>
      </c>
      <c r="C4718" t="s">
        <v>14228</v>
      </c>
      <c r="D4718" t="str">
        <f>"1278"</f>
        <v>1278</v>
      </c>
      <c r="E4718" t="s">
        <v>100</v>
      </c>
      <c r="F4718" t="s">
        <v>3558</v>
      </c>
      <c r="G4718" t="s">
        <v>16221</v>
      </c>
      <c r="H4718" t="s">
        <v>47055</v>
      </c>
      <c r="I4718" t="s">
        <v>47127</v>
      </c>
      <c r="J4718" t="s">
        <v>47128</v>
      </c>
      <c r="K4718" t="s">
        <v>47113</v>
      </c>
      <c r="L4718">
        <v>13.01</v>
      </c>
      <c r="M4718">
        <v>29</v>
      </c>
      <c r="N4718">
        <v>0</v>
      </c>
      <c r="O4718">
        <v>29</v>
      </c>
      <c r="P4718">
        <v>0</v>
      </c>
    </row>
    <row r="4719" spans="1:16" x14ac:dyDescent="0.25">
      <c r="A4719" t="s">
        <v>27113</v>
      </c>
      <c r="B4719" t="s">
        <v>14227</v>
      </c>
      <c r="C4719" t="s">
        <v>14228</v>
      </c>
      <c r="D4719" t="str">
        <f>"1700"</f>
        <v>1700</v>
      </c>
      <c r="E4719" t="s">
        <v>60</v>
      </c>
      <c r="F4719" t="s">
        <v>3558</v>
      </c>
      <c r="G4719" t="s">
        <v>16221</v>
      </c>
      <c r="H4719" t="s">
        <v>47055</v>
      </c>
      <c r="I4719" t="s">
        <v>47127</v>
      </c>
      <c r="J4719" t="s">
        <v>47128</v>
      </c>
      <c r="K4719" t="s">
        <v>47113</v>
      </c>
      <c r="L4719">
        <v>13.01</v>
      </c>
      <c r="M4719">
        <v>29</v>
      </c>
      <c r="N4719">
        <v>0</v>
      </c>
      <c r="O4719">
        <v>29</v>
      </c>
      <c r="P4719">
        <v>0</v>
      </c>
    </row>
    <row r="4720" spans="1:16" x14ac:dyDescent="0.25">
      <c r="A4720" t="s">
        <v>27114</v>
      </c>
      <c r="B4720" t="s">
        <v>14227</v>
      </c>
      <c r="C4720" t="s">
        <v>14228</v>
      </c>
      <c r="D4720" t="str">
        <f>"3000"</f>
        <v>3000</v>
      </c>
      <c r="E4720" t="s">
        <v>14216</v>
      </c>
      <c r="F4720" t="s">
        <v>3558</v>
      </c>
      <c r="G4720" t="s">
        <v>16221</v>
      </c>
      <c r="H4720" t="s">
        <v>47055</v>
      </c>
      <c r="I4720" t="s">
        <v>47127</v>
      </c>
      <c r="J4720" t="s">
        <v>47128</v>
      </c>
      <c r="K4720" t="s">
        <v>47113</v>
      </c>
      <c r="L4720">
        <v>13.01</v>
      </c>
      <c r="M4720">
        <v>29</v>
      </c>
      <c r="N4720">
        <v>0</v>
      </c>
      <c r="O4720">
        <v>29</v>
      </c>
      <c r="P4720">
        <v>0</v>
      </c>
    </row>
    <row r="4721" spans="1:16" x14ac:dyDescent="0.25">
      <c r="A4721" t="s">
        <v>27115</v>
      </c>
      <c r="B4721" t="s">
        <v>14227</v>
      </c>
      <c r="C4721" t="s">
        <v>14228</v>
      </c>
      <c r="D4721" t="str">
        <f>"4643"</f>
        <v>4643</v>
      </c>
      <c r="E4721" t="s">
        <v>205</v>
      </c>
      <c r="F4721" t="s">
        <v>3558</v>
      </c>
      <c r="G4721" t="s">
        <v>16221</v>
      </c>
      <c r="H4721" t="s">
        <v>47055</v>
      </c>
      <c r="I4721" t="s">
        <v>47127</v>
      </c>
      <c r="J4721" t="s">
        <v>47128</v>
      </c>
      <c r="K4721" t="s">
        <v>47113</v>
      </c>
      <c r="L4721">
        <v>13.01</v>
      </c>
      <c r="M4721">
        <v>29</v>
      </c>
      <c r="N4721">
        <v>0</v>
      </c>
      <c r="O4721">
        <v>29</v>
      </c>
      <c r="P4721">
        <v>0</v>
      </c>
    </row>
    <row r="4722" spans="1:16" x14ac:dyDescent="0.25">
      <c r="A4722" t="s">
        <v>27116</v>
      </c>
      <c r="B4722" t="s">
        <v>14227</v>
      </c>
      <c r="C4722" t="s">
        <v>14228</v>
      </c>
      <c r="D4722" t="str">
        <f>"4645"</f>
        <v>4645</v>
      </c>
      <c r="E4722" t="s">
        <v>9770</v>
      </c>
      <c r="F4722" t="s">
        <v>3558</v>
      </c>
      <c r="G4722" t="s">
        <v>16221</v>
      </c>
      <c r="H4722" t="s">
        <v>47055</v>
      </c>
      <c r="I4722" t="s">
        <v>47127</v>
      </c>
      <c r="J4722" t="s">
        <v>47128</v>
      </c>
      <c r="K4722" t="s">
        <v>47113</v>
      </c>
      <c r="L4722">
        <v>13.01</v>
      </c>
      <c r="M4722">
        <v>29</v>
      </c>
      <c r="N4722">
        <v>0</v>
      </c>
      <c r="O4722">
        <v>29</v>
      </c>
      <c r="P4722">
        <v>0</v>
      </c>
    </row>
    <row r="4723" spans="1:16" x14ac:dyDescent="0.25">
      <c r="A4723" t="s">
        <v>27117</v>
      </c>
      <c r="B4723" t="s">
        <v>14229</v>
      </c>
      <c r="C4723" t="s">
        <v>14230</v>
      </c>
      <c r="D4723" t="str">
        <f>"1377"</f>
        <v>1377</v>
      </c>
      <c r="E4723" t="s">
        <v>74</v>
      </c>
      <c r="F4723" t="s">
        <v>3558</v>
      </c>
      <c r="G4723" t="s">
        <v>16221</v>
      </c>
      <c r="H4723" t="s">
        <v>47055</v>
      </c>
      <c r="I4723" t="s">
        <v>47127</v>
      </c>
      <c r="J4723" t="s">
        <v>47128</v>
      </c>
      <c r="K4723" t="s">
        <v>47113</v>
      </c>
      <c r="L4723">
        <v>14.38</v>
      </c>
      <c r="M4723">
        <v>25</v>
      </c>
      <c r="N4723">
        <v>0</v>
      </c>
      <c r="O4723">
        <v>25</v>
      </c>
      <c r="P4723">
        <v>0</v>
      </c>
    </row>
    <row r="4724" spans="1:16" x14ac:dyDescent="0.25">
      <c r="A4724" t="s">
        <v>27118</v>
      </c>
      <c r="B4724" t="s">
        <v>14229</v>
      </c>
      <c r="C4724" t="s">
        <v>14230</v>
      </c>
      <c r="D4724" t="str">
        <f>"1378"</f>
        <v>1378</v>
      </c>
      <c r="E4724" t="s">
        <v>388</v>
      </c>
      <c r="F4724" t="s">
        <v>3558</v>
      </c>
      <c r="G4724" t="s">
        <v>16221</v>
      </c>
      <c r="H4724" t="s">
        <v>47055</v>
      </c>
      <c r="I4724" t="s">
        <v>47127</v>
      </c>
      <c r="J4724" t="s">
        <v>47128</v>
      </c>
      <c r="K4724" t="s">
        <v>47113</v>
      </c>
      <c r="L4724">
        <v>11.34</v>
      </c>
      <c r="M4724">
        <v>25</v>
      </c>
      <c r="N4724">
        <v>0</v>
      </c>
      <c r="O4724">
        <v>25</v>
      </c>
      <c r="P4724">
        <v>0</v>
      </c>
    </row>
    <row r="4725" spans="1:16" x14ac:dyDescent="0.25">
      <c r="A4725" t="s">
        <v>27119</v>
      </c>
      <c r="B4725" t="s">
        <v>14229</v>
      </c>
      <c r="C4725" t="s">
        <v>14230</v>
      </c>
      <c r="D4725" t="str">
        <f>"1700"</f>
        <v>1700</v>
      </c>
      <c r="E4725" t="s">
        <v>60</v>
      </c>
      <c r="F4725" t="s">
        <v>3558</v>
      </c>
      <c r="G4725" t="s">
        <v>16221</v>
      </c>
      <c r="H4725" t="s">
        <v>47055</v>
      </c>
      <c r="I4725" t="s">
        <v>47127</v>
      </c>
      <c r="J4725" t="s">
        <v>47128</v>
      </c>
      <c r="K4725" t="s">
        <v>47113</v>
      </c>
      <c r="L4725">
        <v>14.38</v>
      </c>
      <c r="M4725">
        <v>25</v>
      </c>
      <c r="N4725">
        <v>0</v>
      </c>
      <c r="O4725">
        <v>25</v>
      </c>
      <c r="P4725">
        <v>0</v>
      </c>
    </row>
    <row r="4726" spans="1:16" x14ac:dyDescent="0.25">
      <c r="A4726" t="s">
        <v>27120</v>
      </c>
      <c r="B4726" t="s">
        <v>14229</v>
      </c>
      <c r="C4726" t="s">
        <v>14230</v>
      </c>
      <c r="D4726" t="str">
        <f>"1889"</f>
        <v>1889</v>
      </c>
      <c r="E4726" t="s">
        <v>7101</v>
      </c>
      <c r="F4726" t="s">
        <v>3558</v>
      </c>
      <c r="G4726" t="s">
        <v>16221</v>
      </c>
      <c r="H4726" t="s">
        <v>47055</v>
      </c>
      <c r="I4726" t="s">
        <v>47127</v>
      </c>
      <c r="J4726" t="s">
        <v>47128</v>
      </c>
      <c r="K4726" t="s">
        <v>47113</v>
      </c>
      <c r="L4726">
        <v>11.34</v>
      </c>
      <c r="M4726">
        <v>25</v>
      </c>
      <c r="N4726">
        <v>0</v>
      </c>
      <c r="O4726">
        <v>25</v>
      </c>
      <c r="P4726">
        <v>0</v>
      </c>
    </row>
    <row r="4727" spans="1:16" x14ac:dyDescent="0.25">
      <c r="A4727" t="s">
        <v>27121</v>
      </c>
      <c r="B4727" t="s">
        <v>14229</v>
      </c>
      <c r="C4727" t="s">
        <v>14230</v>
      </c>
      <c r="D4727" t="str">
        <f>"3000"</f>
        <v>3000</v>
      </c>
      <c r="E4727" t="s">
        <v>14216</v>
      </c>
      <c r="F4727" t="s">
        <v>3558</v>
      </c>
      <c r="G4727" t="s">
        <v>16221</v>
      </c>
      <c r="H4727" t="s">
        <v>47055</v>
      </c>
      <c r="I4727" t="s">
        <v>47127</v>
      </c>
      <c r="J4727" t="s">
        <v>47128</v>
      </c>
      <c r="K4727" t="s">
        <v>47113</v>
      </c>
      <c r="L4727">
        <v>11.34</v>
      </c>
      <c r="M4727">
        <v>25</v>
      </c>
      <c r="N4727">
        <v>0</v>
      </c>
      <c r="O4727">
        <v>25</v>
      </c>
      <c r="P4727">
        <v>0</v>
      </c>
    </row>
    <row r="4728" spans="1:16" x14ac:dyDescent="0.25">
      <c r="A4728" t="s">
        <v>27122</v>
      </c>
      <c r="B4728" t="s">
        <v>14229</v>
      </c>
      <c r="C4728" t="s">
        <v>14230</v>
      </c>
      <c r="D4728" t="str">
        <f>"4542"</f>
        <v>4542</v>
      </c>
      <c r="E4728" t="s">
        <v>220</v>
      </c>
      <c r="F4728" t="s">
        <v>3558</v>
      </c>
      <c r="G4728" t="s">
        <v>16221</v>
      </c>
      <c r="H4728" t="s">
        <v>47055</v>
      </c>
      <c r="I4728" t="s">
        <v>47127</v>
      </c>
      <c r="J4728" t="s">
        <v>47128</v>
      </c>
      <c r="K4728" t="s">
        <v>47113</v>
      </c>
      <c r="L4728">
        <v>11.34</v>
      </c>
      <c r="M4728">
        <v>25</v>
      </c>
      <c r="N4728">
        <v>0</v>
      </c>
      <c r="O4728">
        <v>25</v>
      </c>
      <c r="P4728">
        <v>0</v>
      </c>
    </row>
    <row r="4729" spans="1:16" x14ac:dyDescent="0.25">
      <c r="A4729" t="s">
        <v>27123</v>
      </c>
      <c r="B4729" t="s">
        <v>14229</v>
      </c>
      <c r="C4729" t="s">
        <v>14230</v>
      </c>
      <c r="D4729" t="str">
        <f>"4643"</f>
        <v>4643</v>
      </c>
      <c r="E4729" t="s">
        <v>205</v>
      </c>
      <c r="F4729" t="s">
        <v>3558</v>
      </c>
      <c r="G4729" t="s">
        <v>16221</v>
      </c>
      <c r="H4729" t="s">
        <v>47055</v>
      </c>
      <c r="I4729" t="s">
        <v>47127</v>
      </c>
      <c r="J4729" t="s">
        <v>47128</v>
      </c>
      <c r="K4729" t="s">
        <v>47113</v>
      </c>
      <c r="L4729">
        <v>11.34</v>
      </c>
      <c r="M4729">
        <v>25</v>
      </c>
      <c r="N4729">
        <v>0</v>
      </c>
      <c r="O4729">
        <v>25</v>
      </c>
      <c r="P4729">
        <v>0</v>
      </c>
    </row>
    <row r="4730" spans="1:16" x14ac:dyDescent="0.25">
      <c r="A4730" t="s">
        <v>27124</v>
      </c>
      <c r="B4730" t="s">
        <v>14229</v>
      </c>
      <c r="C4730" t="s">
        <v>14230</v>
      </c>
      <c r="D4730" t="str">
        <f>"4645"</f>
        <v>4645</v>
      </c>
      <c r="E4730" t="s">
        <v>9770</v>
      </c>
      <c r="F4730" t="s">
        <v>3558</v>
      </c>
      <c r="G4730" t="s">
        <v>16221</v>
      </c>
      <c r="H4730" t="s">
        <v>47055</v>
      </c>
      <c r="I4730" t="s">
        <v>47127</v>
      </c>
      <c r="J4730" t="s">
        <v>47128</v>
      </c>
      <c r="K4730" t="s">
        <v>47113</v>
      </c>
      <c r="L4730">
        <v>14.38</v>
      </c>
      <c r="M4730">
        <v>25</v>
      </c>
      <c r="N4730">
        <v>0</v>
      </c>
      <c r="O4730">
        <v>25</v>
      </c>
      <c r="P4730">
        <v>0</v>
      </c>
    </row>
    <row r="4731" spans="1:16" x14ac:dyDescent="0.25">
      <c r="A4731" t="s">
        <v>27125</v>
      </c>
      <c r="B4731" t="s">
        <v>14229</v>
      </c>
      <c r="C4731" t="s">
        <v>14230</v>
      </c>
      <c r="D4731" t="str">
        <f>"8206"</f>
        <v>8206</v>
      </c>
      <c r="E4731" t="s">
        <v>14203</v>
      </c>
      <c r="F4731" t="s">
        <v>3558</v>
      </c>
      <c r="G4731" t="s">
        <v>16221</v>
      </c>
      <c r="H4731" t="s">
        <v>47055</v>
      </c>
      <c r="I4731" t="s">
        <v>47127</v>
      </c>
      <c r="J4731" t="s">
        <v>47128</v>
      </c>
      <c r="K4731" t="s">
        <v>47113</v>
      </c>
      <c r="L4731">
        <v>11.34</v>
      </c>
      <c r="M4731">
        <v>25</v>
      </c>
      <c r="N4731">
        <v>0</v>
      </c>
      <c r="O4731">
        <v>25</v>
      </c>
      <c r="P4731">
        <v>0</v>
      </c>
    </row>
    <row r="4732" spans="1:16" x14ac:dyDescent="0.25">
      <c r="A4732" t="s">
        <v>27126</v>
      </c>
      <c r="B4732" t="s">
        <v>14231</v>
      </c>
      <c r="C4732" t="s">
        <v>14232</v>
      </c>
      <c r="D4732" t="str">
        <f>"1377"</f>
        <v>1377</v>
      </c>
      <c r="E4732" t="s">
        <v>74</v>
      </c>
      <c r="F4732" t="s">
        <v>3558</v>
      </c>
      <c r="G4732" t="s">
        <v>16221</v>
      </c>
      <c r="H4732" t="s">
        <v>47055</v>
      </c>
      <c r="I4732" t="s">
        <v>47127</v>
      </c>
      <c r="J4732" t="s">
        <v>47128</v>
      </c>
      <c r="K4732" t="s">
        <v>47113</v>
      </c>
      <c r="L4732">
        <v>12.54</v>
      </c>
      <c r="M4732">
        <v>28</v>
      </c>
      <c r="N4732">
        <v>0</v>
      </c>
      <c r="O4732">
        <v>28</v>
      </c>
      <c r="P4732">
        <v>0</v>
      </c>
    </row>
    <row r="4733" spans="1:16" x14ac:dyDescent="0.25">
      <c r="A4733" t="s">
        <v>27127</v>
      </c>
      <c r="B4733" t="s">
        <v>14231</v>
      </c>
      <c r="C4733" t="s">
        <v>14232</v>
      </c>
      <c r="D4733" t="str">
        <f>"1378"</f>
        <v>1378</v>
      </c>
      <c r="E4733" t="s">
        <v>388</v>
      </c>
      <c r="F4733" t="s">
        <v>3558</v>
      </c>
      <c r="G4733" t="s">
        <v>16221</v>
      </c>
      <c r="H4733" t="s">
        <v>47055</v>
      </c>
      <c r="I4733" t="s">
        <v>47127</v>
      </c>
      <c r="J4733" t="s">
        <v>47128</v>
      </c>
      <c r="K4733" t="s">
        <v>47113</v>
      </c>
      <c r="L4733">
        <v>12.54</v>
      </c>
      <c r="M4733">
        <v>28</v>
      </c>
      <c r="N4733">
        <v>0</v>
      </c>
      <c r="O4733">
        <v>28</v>
      </c>
      <c r="P4733">
        <v>0</v>
      </c>
    </row>
    <row r="4734" spans="1:16" x14ac:dyDescent="0.25">
      <c r="A4734" t="s">
        <v>27128</v>
      </c>
      <c r="B4734" t="s">
        <v>14231</v>
      </c>
      <c r="C4734" t="s">
        <v>14232</v>
      </c>
      <c r="D4734" t="str">
        <f>"1700"</f>
        <v>1700</v>
      </c>
      <c r="E4734" t="s">
        <v>60</v>
      </c>
      <c r="F4734" t="s">
        <v>3558</v>
      </c>
      <c r="G4734" t="s">
        <v>16221</v>
      </c>
      <c r="H4734" t="s">
        <v>47055</v>
      </c>
      <c r="I4734" t="s">
        <v>47127</v>
      </c>
      <c r="J4734" t="s">
        <v>47128</v>
      </c>
      <c r="K4734" t="s">
        <v>47113</v>
      </c>
      <c r="L4734">
        <v>16.68</v>
      </c>
      <c r="M4734">
        <v>28</v>
      </c>
      <c r="N4734">
        <v>0</v>
      </c>
      <c r="O4734">
        <v>28</v>
      </c>
      <c r="P4734">
        <v>0</v>
      </c>
    </row>
    <row r="4735" spans="1:16" x14ac:dyDescent="0.25">
      <c r="A4735" t="s">
        <v>27129</v>
      </c>
      <c r="B4735" t="s">
        <v>14231</v>
      </c>
      <c r="C4735" t="s">
        <v>14232</v>
      </c>
      <c r="D4735" t="str">
        <f>"1889"</f>
        <v>1889</v>
      </c>
      <c r="E4735" t="s">
        <v>7101</v>
      </c>
      <c r="F4735" t="s">
        <v>3558</v>
      </c>
      <c r="G4735" t="s">
        <v>16221</v>
      </c>
      <c r="H4735" t="s">
        <v>47055</v>
      </c>
      <c r="I4735" t="s">
        <v>47127</v>
      </c>
      <c r="J4735" t="s">
        <v>47128</v>
      </c>
      <c r="K4735" t="s">
        <v>47113</v>
      </c>
      <c r="L4735">
        <v>12.54</v>
      </c>
      <c r="M4735">
        <v>28</v>
      </c>
      <c r="N4735">
        <v>0</v>
      </c>
      <c r="O4735">
        <v>28</v>
      </c>
      <c r="P4735">
        <v>0</v>
      </c>
    </row>
    <row r="4736" spans="1:16" x14ac:dyDescent="0.25">
      <c r="A4736" t="s">
        <v>27130</v>
      </c>
      <c r="B4736" t="s">
        <v>14231</v>
      </c>
      <c r="C4736" t="s">
        <v>14232</v>
      </c>
      <c r="D4736" t="str">
        <f>"3000"</f>
        <v>3000</v>
      </c>
      <c r="E4736" t="s">
        <v>14216</v>
      </c>
      <c r="F4736" t="s">
        <v>3558</v>
      </c>
      <c r="G4736" t="s">
        <v>16221</v>
      </c>
      <c r="H4736" t="s">
        <v>47055</v>
      </c>
      <c r="I4736" t="s">
        <v>47127</v>
      </c>
      <c r="J4736" t="s">
        <v>47128</v>
      </c>
      <c r="K4736" t="s">
        <v>47113</v>
      </c>
      <c r="L4736">
        <v>16.68</v>
      </c>
      <c r="M4736">
        <v>28</v>
      </c>
      <c r="N4736">
        <v>0</v>
      </c>
      <c r="O4736">
        <v>28</v>
      </c>
      <c r="P4736">
        <v>0</v>
      </c>
    </row>
    <row r="4737" spans="1:16" x14ac:dyDescent="0.25">
      <c r="A4737" t="s">
        <v>27131</v>
      </c>
      <c r="B4737" t="s">
        <v>14231</v>
      </c>
      <c r="C4737" t="s">
        <v>14232</v>
      </c>
      <c r="D4737" t="str">
        <f>"4542"</f>
        <v>4542</v>
      </c>
      <c r="E4737" t="s">
        <v>220</v>
      </c>
      <c r="F4737" t="s">
        <v>3558</v>
      </c>
      <c r="G4737" t="s">
        <v>16221</v>
      </c>
      <c r="H4737" t="s">
        <v>47055</v>
      </c>
      <c r="I4737" t="s">
        <v>47127</v>
      </c>
      <c r="J4737" t="s">
        <v>47128</v>
      </c>
      <c r="K4737" t="s">
        <v>47113</v>
      </c>
      <c r="L4737">
        <v>12.54</v>
      </c>
      <c r="M4737">
        <v>28</v>
      </c>
      <c r="N4737">
        <v>0</v>
      </c>
      <c r="O4737">
        <v>28</v>
      </c>
      <c r="P4737">
        <v>0</v>
      </c>
    </row>
    <row r="4738" spans="1:16" x14ac:dyDescent="0.25">
      <c r="A4738" t="s">
        <v>27132</v>
      </c>
      <c r="B4738" t="s">
        <v>14231</v>
      </c>
      <c r="C4738" t="s">
        <v>14232</v>
      </c>
      <c r="D4738" t="str">
        <f>"4643"</f>
        <v>4643</v>
      </c>
      <c r="E4738" t="s">
        <v>205</v>
      </c>
      <c r="F4738" t="s">
        <v>3558</v>
      </c>
      <c r="G4738" t="s">
        <v>16221</v>
      </c>
      <c r="H4738" t="s">
        <v>47055</v>
      </c>
      <c r="I4738" t="s">
        <v>47127</v>
      </c>
      <c r="J4738" t="s">
        <v>47128</v>
      </c>
      <c r="K4738" t="s">
        <v>47113</v>
      </c>
      <c r="L4738">
        <v>12.54</v>
      </c>
      <c r="M4738">
        <v>28</v>
      </c>
      <c r="N4738">
        <v>0</v>
      </c>
      <c r="O4738">
        <v>28</v>
      </c>
      <c r="P4738">
        <v>0</v>
      </c>
    </row>
    <row r="4739" spans="1:16" x14ac:dyDescent="0.25">
      <c r="A4739" t="s">
        <v>27133</v>
      </c>
      <c r="B4739" t="s">
        <v>14231</v>
      </c>
      <c r="C4739" t="s">
        <v>14232</v>
      </c>
      <c r="D4739" t="str">
        <f>"4645"</f>
        <v>4645</v>
      </c>
      <c r="E4739" t="s">
        <v>9770</v>
      </c>
      <c r="F4739" t="s">
        <v>3558</v>
      </c>
      <c r="G4739" t="s">
        <v>16221</v>
      </c>
      <c r="H4739" t="s">
        <v>47055</v>
      </c>
      <c r="I4739" t="s">
        <v>47127</v>
      </c>
      <c r="J4739" t="s">
        <v>47128</v>
      </c>
      <c r="K4739" t="s">
        <v>47113</v>
      </c>
      <c r="L4739">
        <v>16.68</v>
      </c>
      <c r="M4739">
        <v>28</v>
      </c>
      <c r="N4739">
        <v>0</v>
      </c>
      <c r="O4739">
        <v>28</v>
      </c>
      <c r="P4739">
        <v>0</v>
      </c>
    </row>
    <row r="4740" spans="1:16" x14ac:dyDescent="0.25">
      <c r="A4740" t="s">
        <v>27134</v>
      </c>
      <c r="B4740" t="s">
        <v>14231</v>
      </c>
      <c r="C4740" t="s">
        <v>14232</v>
      </c>
      <c r="D4740" t="str">
        <f>"8206"</f>
        <v>8206</v>
      </c>
      <c r="E4740" t="s">
        <v>14203</v>
      </c>
      <c r="F4740" t="s">
        <v>3558</v>
      </c>
      <c r="G4740" t="s">
        <v>16221</v>
      </c>
      <c r="H4740" t="s">
        <v>47055</v>
      </c>
      <c r="I4740" t="s">
        <v>47127</v>
      </c>
      <c r="J4740" t="s">
        <v>47128</v>
      </c>
      <c r="K4740" t="s">
        <v>47113</v>
      </c>
      <c r="L4740">
        <v>12.54</v>
      </c>
      <c r="M4740">
        <v>28</v>
      </c>
      <c r="N4740">
        <v>0</v>
      </c>
      <c r="O4740">
        <v>28</v>
      </c>
      <c r="P4740">
        <v>0</v>
      </c>
    </row>
    <row r="4741" spans="1:16" x14ac:dyDescent="0.25">
      <c r="A4741" t="s">
        <v>27135</v>
      </c>
      <c r="B4741" t="s">
        <v>14233</v>
      </c>
      <c r="C4741" t="s">
        <v>14234</v>
      </c>
      <c r="D4741" t="str">
        <f>"1106"</f>
        <v>1106</v>
      </c>
      <c r="E4741" t="s">
        <v>460</v>
      </c>
      <c r="F4741" t="s">
        <v>3558</v>
      </c>
      <c r="G4741" t="s">
        <v>16221</v>
      </c>
      <c r="H4741" t="s">
        <v>47055</v>
      </c>
      <c r="I4741" t="s">
        <v>47127</v>
      </c>
      <c r="J4741" t="s">
        <v>47128</v>
      </c>
      <c r="K4741" t="s">
        <v>47113</v>
      </c>
      <c r="L4741">
        <v>13.97</v>
      </c>
      <c r="M4741">
        <v>31</v>
      </c>
      <c r="N4741">
        <v>0</v>
      </c>
      <c r="O4741">
        <v>31</v>
      </c>
      <c r="P4741">
        <v>0</v>
      </c>
    </row>
    <row r="4742" spans="1:16" x14ac:dyDescent="0.25">
      <c r="A4742" t="s">
        <v>27136</v>
      </c>
      <c r="B4742" t="s">
        <v>14233</v>
      </c>
      <c r="C4742" t="s">
        <v>14234</v>
      </c>
      <c r="D4742" t="str">
        <f>"1278"</f>
        <v>1278</v>
      </c>
      <c r="E4742" t="s">
        <v>100</v>
      </c>
      <c r="F4742" t="s">
        <v>3558</v>
      </c>
      <c r="G4742" t="s">
        <v>16221</v>
      </c>
      <c r="H4742" t="s">
        <v>47055</v>
      </c>
      <c r="I4742" t="s">
        <v>47127</v>
      </c>
      <c r="J4742" t="s">
        <v>47128</v>
      </c>
      <c r="K4742" t="s">
        <v>47113</v>
      </c>
      <c r="L4742">
        <v>18.97</v>
      </c>
      <c r="M4742">
        <v>31</v>
      </c>
      <c r="N4742">
        <v>0</v>
      </c>
      <c r="O4742">
        <v>31</v>
      </c>
      <c r="P4742">
        <v>0</v>
      </c>
    </row>
    <row r="4743" spans="1:16" x14ac:dyDescent="0.25">
      <c r="A4743" t="s">
        <v>27137</v>
      </c>
      <c r="B4743" t="s">
        <v>14233</v>
      </c>
      <c r="C4743" t="s">
        <v>14234</v>
      </c>
      <c r="D4743" t="str">
        <f>"1700"</f>
        <v>1700</v>
      </c>
      <c r="E4743" t="s">
        <v>60</v>
      </c>
      <c r="F4743" t="s">
        <v>3558</v>
      </c>
      <c r="G4743" t="s">
        <v>16221</v>
      </c>
      <c r="H4743" t="s">
        <v>47055</v>
      </c>
      <c r="I4743" t="s">
        <v>47127</v>
      </c>
      <c r="J4743" t="s">
        <v>47128</v>
      </c>
      <c r="K4743" t="s">
        <v>47113</v>
      </c>
      <c r="L4743">
        <v>18.97</v>
      </c>
      <c r="M4743">
        <v>31</v>
      </c>
      <c r="N4743">
        <v>0</v>
      </c>
      <c r="O4743">
        <v>31</v>
      </c>
      <c r="P4743">
        <v>0</v>
      </c>
    </row>
    <row r="4744" spans="1:16" x14ac:dyDescent="0.25">
      <c r="A4744" t="s">
        <v>27138</v>
      </c>
      <c r="B4744" t="s">
        <v>14233</v>
      </c>
      <c r="C4744" t="s">
        <v>14234</v>
      </c>
      <c r="D4744" t="str">
        <f>"3000"</f>
        <v>3000</v>
      </c>
      <c r="E4744" t="s">
        <v>14216</v>
      </c>
      <c r="F4744" t="s">
        <v>3558</v>
      </c>
      <c r="G4744" t="s">
        <v>16221</v>
      </c>
      <c r="H4744" t="s">
        <v>47055</v>
      </c>
      <c r="I4744" t="s">
        <v>47127</v>
      </c>
      <c r="J4744" t="s">
        <v>47128</v>
      </c>
      <c r="K4744" t="s">
        <v>47113</v>
      </c>
      <c r="L4744">
        <v>13.97</v>
      </c>
      <c r="M4744">
        <v>31</v>
      </c>
      <c r="N4744">
        <v>0</v>
      </c>
      <c r="O4744">
        <v>31</v>
      </c>
      <c r="P4744">
        <v>0</v>
      </c>
    </row>
    <row r="4745" spans="1:16" x14ac:dyDescent="0.25">
      <c r="A4745" t="s">
        <v>27139</v>
      </c>
      <c r="B4745" t="s">
        <v>14233</v>
      </c>
      <c r="C4745" t="s">
        <v>14234</v>
      </c>
      <c r="D4745" t="str">
        <f>"4643"</f>
        <v>4643</v>
      </c>
      <c r="E4745" t="s">
        <v>205</v>
      </c>
      <c r="F4745" t="s">
        <v>3558</v>
      </c>
      <c r="G4745" t="s">
        <v>16221</v>
      </c>
      <c r="H4745" t="s">
        <v>47055</v>
      </c>
      <c r="I4745" t="s">
        <v>47127</v>
      </c>
      <c r="J4745" t="s">
        <v>47128</v>
      </c>
      <c r="K4745" t="s">
        <v>47113</v>
      </c>
      <c r="L4745">
        <v>18.97</v>
      </c>
      <c r="M4745">
        <v>31</v>
      </c>
      <c r="N4745">
        <v>0</v>
      </c>
      <c r="O4745">
        <v>31</v>
      </c>
      <c r="P4745">
        <v>0</v>
      </c>
    </row>
    <row r="4746" spans="1:16" x14ac:dyDescent="0.25">
      <c r="A4746" t="s">
        <v>27140</v>
      </c>
      <c r="B4746" t="s">
        <v>14233</v>
      </c>
      <c r="C4746" t="s">
        <v>14234</v>
      </c>
      <c r="D4746" t="str">
        <f>"4645"</f>
        <v>4645</v>
      </c>
      <c r="E4746" t="s">
        <v>9770</v>
      </c>
      <c r="F4746" t="s">
        <v>3558</v>
      </c>
      <c r="G4746" t="s">
        <v>16221</v>
      </c>
      <c r="H4746" t="s">
        <v>47055</v>
      </c>
      <c r="I4746" t="s">
        <v>47127</v>
      </c>
      <c r="J4746" t="s">
        <v>47128</v>
      </c>
      <c r="K4746" t="s">
        <v>47113</v>
      </c>
      <c r="L4746">
        <v>13.97</v>
      </c>
      <c r="M4746">
        <v>31</v>
      </c>
      <c r="N4746">
        <v>0</v>
      </c>
      <c r="O4746">
        <v>31</v>
      </c>
      <c r="P4746">
        <v>0</v>
      </c>
    </row>
    <row r="4747" spans="1:16" x14ac:dyDescent="0.25">
      <c r="A4747" t="s">
        <v>27141</v>
      </c>
      <c r="B4747" t="s">
        <v>14235</v>
      </c>
      <c r="C4747" t="s">
        <v>14236</v>
      </c>
      <c r="D4747" t="str">
        <f>"1377"</f>
        <v>1377</v>
      </c>
      <c r="E4747" t="s">
        <v>74</v>
      </c>
      <c r="F4747" t="s">
        <v>3558</v>
      </c>
      <c r="G4747" t="s">
        <v>16221</v>
      </c>
      <c r="H4747" t="s">
        <v>47055</v>
      </c>
      <c r="I4747" t="s">
        <v>47127</v>
      </c>
      <c r="J4747" t="s">
        <v>47128</v>
      </c>
      <c r="K4747" t="s">
        <v>47113</v>
      </c>
      <c r="L4747">
        <v>13.01</v>
      </c>
      <c r="M4747">
        <v>29</v>
      </c>
      <c r="N4747">
        <v>0</v>
      </c>
      <c r="O4747">
        <v>29</v>
      </c>
      <c r="P4747">
        <v>0</v>
      </c>
    </row>
    <row r="4748" spans="1:16" x14ac:dyDescent="0.25">
      <c r="A4748" t="s">
        <v>27142</v>
      </c>
      <c r="B4748" t="s">
        <v>14235</v>
      </c>
      <c r="C4748" t="s">
        <v>14236</v>
      </c>
      <c r="D4748" t="str">
        <f>"1378"</f>
        <v>1378</v>
      </c>
      <c r="E4748" t="s">
        <v>388</v>
      </c>
      <c r="F4748" t="s">
        <v>3558</v>
      </c>
      <c r="G4748" t="s">
        <v>16221</v>
      </c>
      <c r="H4748" t="s">
        <v>47055</v>
      </c>
      <c r="I4748" t="s">
        <v>47127</v>
      </c>
      <c r="J4748" t="s">
        <v>47128</v>
      </c>
      <c r="K4748" t="s">
        <v>47113</v>
      </c>
      <c r="L4748">
        <v>13.01</v>
      </c>
      <c r="M4748">
        <v>29</v>
      </c>
      <c r="N4748">
        <v>0</v>
      </c>
      <c r="O4748">
        <v>29</v>
      </c>
      <c r="P4748">
        <v>0</v>
      </c>
    </row>
    <row r="4749" spans="1:16" x14ac:dyDescent="0.25">
      <c r="A4749" t="s">
        <v>27143</v>
      </c>
      <c r="B4749" t="s">
        <v>14235</v>
      </c>
      <c r="C4749" t="s">
        <v>14236</v>
      </c>
      <c r="D4749" t="str">
        <f>"1700"</f>
        <v>1700</v>
      </c>
      <c r="E4749" t="s">
        <v>60</v>
      </c>
      <c r="F4749" t="s">
        <v>3558</v>
      </c>
      <c r="G4749" t="s">
        <v>16221</v>
      </c>
      <c r="H4749" t="s">
        <v>47055</v>
      </c>
      <c r="I4749" t="s">
        <v>47127</v>
      </c>
      <c r="J4749" t="s">
        <v>47128</v>
      </c>
      <c r="K4749" t="s">
        <v>47113</v>
      </c>
      <c r="L4749">
        <v>16.68</v>
      </c>
      <c r="M4749">
        <v>29</v>
      </c>
      <c r="N4749">
        <v>0</v>
      </c>
      <c r="O4749">
        <v>29</v>
      </c>
      <c r="P4749">
        <v>0</v>
      </c>
    </row>
    <row r="4750" spans="1:16" x14ac:dyDescent="0.25">
      <c r="A4750" t="s">
        <v>27144</v>
      </c>
      <c r="B4750" t="s">
        <v>14235</v>
      </c>
      <c r="C4750" t="s">
        <v>14236</v>
      </c>
      <c r="D4750" t="str">
        <f>"1889"</f>
        <v>1889</v>
      </c>
      <c r="E4750" t="s">
        <v>7101</v>
      </c>
      <c r="F4750" t="s">
        <v>3558</v>
      </c>
      <c r="G4750" t="s">
        <v>16221</v>
      </c>
      <c r="H4750" t="s">
        <v>47055</v>
      </c>
      <c r="I4750" t="s">
        <v>47127</v>
      </c>
      <c r="J4750" t="s">
        <v>47128</v>
      </c>
      <c r="K4750" t="s">
        <v>47113</v>
      </c>
      <c r="L4750">
        <v>13.01</v>
      </c>
      <c r="M4750">
        <v>29</v>
      </c>
      <c r="N4750">
        <v>0</v>
      </c>
      <c r="O4750">
        <v>29</v>
      </c>
      <c r="P4750">
        <v>0</v>
      </c>
    </row>
    <row r="4751" spans="1:16" x14ac:dyDescent="0.25">
      <c r="A4751" t="s">
        <v>27145</v>
      </c>
      <c r="B4751" t="s">
        <v>14235</v>
      </c>
      <c r="C4751" t="s">
        <v>14236</v>
      </c>
      <c r="D4751" t="str">
        <f>"3000"</f>
        <v>3000</v>
      </c>
      <c r="E4751" t="s">
        <v>14216</v>
      </c>
      <c r="F4751" t="s">
        <v>3558</v>
      </c>
      <c r="G4751" t="s">
        <v>16221</v>
      </c>
      <c r="H4751" t="s">
        <v>47055</v>
      </c>
      <c r="I4751" t="s">
        <v>47127</v>
      </c>
      <c r="J4751" t="s">
        <v>47128</v>
      </c>
      <c r="K4751" t="s">
        <v>47113</v>
      </c>
      <c r="L4751">
        <v>16.68</v>
      </c>
      <c r="M4751">
        <v>29</v>
      </c>
      <c r="N4751">
        <v>0</v>
      </c>
      <c r="O4751">
        <v>29</v>
      </c>
      <c r="P4751">
        <v>0</v>
      </c>
    </row>
    <row r="4752" spans="1:16" x14ac:dyDescent="0.25">
      <c r="A4752" t="s">
        <v>27146</v>
      </c>
      <c r="B4752" t="s">
        <v>14235</v>
      </c>
      <c r="C4752" t="s">
        <v>14236</v>
      </c>
      <c r="D4752" t="str">
        <f>"4542"</f>
        <v>4542</v>
      </c>
      <c r="E4752" t="s">
        <v>220</v>
      </c>
      <c r="F4752" t="s">
        <v>3558</v>
      </c>
      <c r="G4752" t="s">
        <v>16221</v>
      </c>
      <c r="H4752" t="s">
        <v>47055</v>
      </c>
      <c r="I4752" t="s">
        <v>47127</v>
      </c>
      <c r="J4752" t="s">
        <v>47128</v>
      </c>
      <c r="K4752" t="s">
        <v>47113</v>
      </c>
      <c r="L4752">
        <v>16.68</v>
      </c>
      <c r="M4752">
        <v>29</v>
      </c>
      <c r="N4752">
        <v>0</v>
      </c>
      <c r="O4752">
        <v>29</v>
      </c>
      <c r="P4752">
        <v>0</v>
      </c>
    </row>
    <row r="4753" spans="1:16" x14ac:dyDescent="0.25">
      <c r="A4753" t="s">
        <v>27147</v>
      </c>
      <c r="B4753" t="s">
        <v>14235</v>
      </c>
      <c r="C4753" t="s">
        <v>14236</v>
      </c>
      <c r="D4753" t="str">
        <f>"4643"</f>
        <v>4643</v>
      </c>
      <c r="E4753" t="s">
        <v>205</v>
      </c>
      <c r="F4753" t="s">
        <v>3558</v>
      </c>
      <c r="G4753" t="s">
        <v>16221</v>
      </c>
      <c r="H4753" t="s">
        <v>47055</v>
      </c>
      <c r="I4753" t="s">
        <v>47127</v>
      </c>
      <c r="J4753" t="s">
        <v>47128</v>
      </c>
      <c r="K4753" t="s">
        <v>47113</v>
      </c>
      <c r="L4753">
        <v>13.01</v>
      </c>
      <c r="M4753">
        <v>29</v>
      </c>
      <c r="N4753">
        <v>0</v>
      </c>
      <c r="O4753">
        <v>29</v>
      </c>
      <c r="P4753">
        <v>0</v>
      </c>
    </row>
    <row r="4754" spans="1:16" x14ac:dyDescent="0.25">
      <c r="A4754" t="s">
        <v>27148</v>
      </c>
      <c r="B4754" t="s">
        <v>14235</v>
      </c>
      <c r="C4754" t="s">
        <v>14236</v>
      </c>
      <c r="D4754" t="str">
        <f>"4645"</f>
        <v>4645</v>
      </c>
      <c r="E4754" t="s">
        <v>9770</v>
      </c>
      <c r="F4754" t="s">
        <v>3558</v>
      </c>
      <c r="G4754" t="s">
        <v>16221</v>
      </c>
      <c r="H4754" t="s">
        <v>47055</v>
      </c>
      <c r="I4754" t="s">
        <v>47127</v>
      </c>
      <c r="J4754" t="s">
        <v>47128</v>
      </c>
      <c r="K4754" t="s">
        <v>47113</v>
      </c>
      <c r="L4754">
        <v>13.01</v>
      </c>
      <c r="M4754">
        <v>29</v>
      </c>
      <c r="N4754">
        <v>0</v>
      </c>
      <c r="O4754">
        <v>29</v>
      </c>
      <c r="P4754">
        <v>0</v>
      </c>
    </row>
    <row r="4755" spans="1:16" x14ac:dyDescent="0.25">
      <c r="A4755" t="s">
        <v>27149</v>
      </c>
      <c r="B4755" t="s">
        <v>14235</v>
      </c>
      <c r="C4755" t="s">
        <v>14236</v>
      </c>
      <c r="D4755" t="str">
        <f>"8206"</f>
        <v>8206</v>
      </c>
      <c r="E4755" t="s">
        <v>14203</v>
      </c>
      <c r="F4755" t="s">
        <v>3558</v>
      </c>
      <c r="G4755" t="s">
        <v>16221</v>
      </c>
      <c r="H4755" t="s">
        <v>47055</v>
      </c>
      <c r="I4755" t="s">
        <v>47127</v>
      </c>
      <c r="J4755" t="s">
        <v>47128</v>
      </c>
      <c r="K4755" t="s">
        <v>47113</v>
      </c>
      <c r="L4755">
        <v>13.01</v>
      </c>
      <c r="M4755">
        <v>29</v>
      </c>
      <c r="N4755">
        <v>0</v>
      </c>
      <c r="O4755">
        <v>29</v>
      </c>
      <c r="P4755">
        <v>0</v>
      </c>
    </row>
    <row r="4756" spans="1:16" x14ac:dyDescent="0.25">
      <c r="A4756" t="s">
        <v>27150</v>
      </c>
      <c r="B4756" t="s">
        <v>14237</v>
      </c>
      <c r="C4756" t="s">
        <v>16620</v>
      </c>
      <c r="D4756" t="str">
        <f>"1106"</f>
        <v>1106</v>
      </c>
      <c r="E4756" t="s">
        <v>460</v>
      </c>
      <c r="F4756" t="s">
        <v>3558</v>
      </c>
      <c r="G4756" t="s">
        <v>16221</v>
      </c>
      <c r="H4756" t="s">
        <v>47055</v>
      </c>
      <c r="I4756" t="s">
        <v>47127</v>
      </c>
      <c r="J4756" t="s">
        <v>47128</v>
      </c>
      <c r="K4756" t="s">
        <v>47113</v>
      </c>
      <c r="L4756">
        <v>15.4</v>
      </c>
      <c r="M4756">
        <v>34</v>
      </c>
      <c r="N4756">
        <v>0</v>
      </c>
      <c r="O4756">
        <v>34</v>
      </c>
      <c r="P4756">
        <v>0</v>
      </c>
    </row>
    <row r="4757" spans="1:16" x14ac:dyDescent="0.25">
      <c r="A4757" t="s">
        <v>27151</v>
      </c>
      <c r="B4757" t="s">
        <v>14237</v>
      </c>
      <c r="C4757" t="s">
        <v>16620</v>
      </c>
      <c r="D4757" t="str">
        <f>"1278"</f>
        <v>1278</v>
      </c>
      <c r="E4757" t="s">
        <v>100</v>
      </c>
      <c r="F4757" t="s">
        <v>3558</v>
      </c>
      <c r="G4757" t="s">
        <v>16221</v>
      </c>
      <c r="H4757" t="s">
        <v>47055</v>
      </c>
      <c r="I4757" t="s">
        <v>47127</v>
      </c>
      <c r="J4757" t="s">
        <v>47128</v>
      </c>
      <c r="K4757" t="s">
        <v>47113</v>
      </c>
      <c r="L4757">
        <v>15.4</v>
      </c>
      <c r="M4757">
        <v>34</v>
      </c>
      <c r="N4757">
        <v>0</v>
      </c>
      <c r="O4757">
        <v>34</v>
      </c>
      <c r="P4757">
        <v>0</v>
      </c>
    </row>
    <row r="4758" spans="1:16" x14ac:dyDescent="0.25">
      <c r="A4758" t="s">
        <v>27152</v>
      </c>
      <c r="B4758" t="s">
        <v>14237</v>
      </c>
      <c r="C4758" t="s">
        <v>16620</v>
      </c>
      <c r="D4758" t="str">
        <f>"1700"</f>
        <v>1700</v>
      </c>
      <c r="E4758" t="s">
        <v>60</v>
      </c>
      <c r="F4758" t="s">
        <v>3558</v>
      </c>
      <c r="G4758" t="s">
        <v>16221</v>
      </c>
      <c r="H4758" t="s">
        <v>47055</v>
      </c>
      <c r="I4758" t="s">
        <v>47127</v>
      </c>
      <c r="J4758" t="s">
        <v>47128</v>
      </c>
      <c r="K4758" t="s">
        <v>47113</v>
      </c>
      <c r="L4758">
        <v>27.83</v>
      </c>
      <c r="M4758">
        <v>34</v>
      </c>
      <c r="N4758">
        <v>0</v>
      </c>
      <c r="O4758">
        <v>34</v>
      </c>
      <c r="P4758">
        <v>0</v>
      </c>
    </row>
    <row r="4759" spans="1:16" x14ac:dyDescent="0.25">
      <c r="A4759" t="s">
        <v>27153</v>
      </c>
      <c r="B4759" t="s">
        <v>14237</v>
      </c>
      <c r="C4759" t="s">
        <v>16620</v>
      </c>
      <c r="D4759" t="str">
        <f>"4643"</f>
        <v>4643</v>
      </c>
      <c r="E4759" t="s">
        <v>205</v>
      </c>
      <c r="F4759" t="s">
        <v>3558</v>
      </c>
      <c r="G4759" t="s">
        <v>16221</v>
      </c>
      <c r="H4759" t="s">
        <v>47055</v>
      </c>
      <c r="I4759" t="s">
        <v>47127</v>
      </c>
      <c r="J4759" t="s">
        <v>47128</v>
      </c>
      <c r="K4759" t="s">
        <v>47113</v>
      </c>
      <c r="L4759">
        <v>15.4</v>
      </c>
      <c r="M4759">
        <v>34</v>
      </c>
      <c r="N4759">
        <v>0</v>
      </c>
      <c r="O4759">
        <v>34</v>
      </c>
      <c r="P4759">
        <v>0</v>
      </c>
    </row>
    <row r="4760" spans="1:16" x14ac:dyDescent="0.25">
      <c r="A4760" t="s">
        <v>27154</v>
      </c>
      <c r="B4760" t="s">
        <v>14238</v>
      </c>
      <c r="C4760" t="s">
        <v>14239</v>
      </c>
      <c r="D4760" t="str">
        <f>"1278"</f>
        <v>1278</v>
      </c>
      <c r="E4760" t="s">
        <v>100</v>
      </c>
      <c r="F4760" t="s">
        <v>3558</v>
      </c>
      <c r="G4760" t="s">
        <v>16221</v>
      </c>
      <c r="H4760" t="s">
        <v>47055</v>
      </c>
      <c r="I4760" t="s">
        <v>47127</v>
      </c>
      <c r="J4760" t="s">
        <v>47128</v>
      </c>
      <c r="K4760" t="s">
        <v>47113</v>
      </c>
      <c r="L4760">
        <v>13.01</v>
      </c>
      <c r="M4760">
        <v>29</v>
      </c>
      <c r="N4760">
        <v>0</v>
      </c>
      <c r="O4760">
        <v>29</v>
      </c>
      <c r="P4760">
        <v>0</v>
      </c>
    </row>
    <row r="4761" spans="1:16" x14ac:dyDescent="0.25">
      <c r="A4761" t="s">
        <v>27155</v>
      </c>
      <c r="B4761" t="s">
        <v>14238</v>
      </c>
      <c r="C4761" t="s">
        <v>14239</v>
      </c>
      <c r="D4761" t="str">
        <f>"1377"</f>
        <v>1377</v>
      </c>
      <c r="E4761" t="s">
        <v>74</v>
      </c>
      <c r="F4761" t="s">
        <v>3558</v>
      </c>
      <c r="G4761" t="s">
        <v>16221</v>
      </c>
      <c r="H4761" t="s">
        <v>47055</v>
      </c>
      <c r="I4761" t="s">
        <v>47127</v>
      </c>
      <c r="J4761" t="s">
        <v>47128</v>
      </c>
      <c r="K4761" t="s">
        <v>47113</v>
      </c>
      <c r="L4761">
        <v>13.01</v>
      </c>
      <c r="M4761">
        <v>29</v>
      </c>
      <c r="N4761">
        <v>0</v>
      </c>
      <c r="O4761">
        <v>29</v>
      </c>
      <c r="P4761">
        <v>0</v>
      </c>
    </row>
    <row r="4762" spans="1:16" x14ac:dyDescent="0.25">
      <c r="A4762" t="s">
        <v>27156</v>
      </c>
      <c r="B4762" t="s">
        <v>14238</v>
      </c>
      <c r="C4762" t="s">
        <v>14239</v>
      </c>
      <c r="D4762" t="str">
        <f>"1378"</f>
        <v>1378</v>
      </c>
      <c r="E4762" t="s">
        <v>388</v>
      </c>
      <c r="F4762" t="s">
        <v>3558</v>
      </c>
      <c r="G4762" t="s">
        <v>16221</v>
      </c>
      <c r="H4762" t="s">
        <v>47055</v>
      </c>
      <c r="I4762" t="s">
        <v>47127</v>
      </c>
      <c r="J4762" t="s">
        <v>47128</v>
      </c>
      <c r="K4762" t="s">
        <v>47113</v>
      </c>
      <c r="L4762">
        <v>13.01</v>
      </c>
      <c r="M4762">
        <v>29</v>
      </c>
      <c r="N4762">
        <v>0</v>
      </c>
      <c r="O4762">
        <v>29</v>
      </c>
      <c r="P4762">
        <v>0</v>
      </c>
    </row>
    <row r="4763" spans="1:16" x14ac:dyDescent="0.25">
      <c r="A4763" t="s">
        <v>27157</v>
      </c>
      <c r="B4763" t="s">
        <v>14238</v>
      </c>
      <c r="C4763" t="s">
        <v>14239</v>
      </c>
      <c r="D4763" t="str">
        <f>"1700"</f>
        <v>1700</v>
      </c>
      <c r="E4763" t="s">
        <v>60</v>
      </c>
      <c r="F4763" t="s">
        <v>3558</v>
      </c>
      <c r="G4763" t="s">
        <v>16221</v>
      </c>
      <c r="H4763" t="s">
        <v>47055</v>
      </c>
      <c r="I4763" t="s">
        <v>47127</v>
      </c>
      <c r="J4763" t="s">
        <v>47128</v>
      </c>
      <c r="K4763" t="s">
        <v>47113</v>
      </c>
      <c r="L4763">
        <v>13.01</v>
      </c>
      <c r="M4763">
        <v>29</v>
      </c>
      <c r="N4763">
        <v>0</v>
      </c>
      <c r="O4763">
        <v>29</v>
      </c>
      <c r="P4763">
        <v>0</v>
      </c>
    </row>
    <row r="4764" spans="1:16" x14ac:dyDescent="0.25">
      <c r="A4764" t="s">
        <v>27158</v>
      </c>
      <c r="B4764" t="s">
        <v>14238</v>
      </c>
      <c r="C4764" t="s">
        <v>14239</v>
      </c>
      <c r="D4764" t="str">
        <f>"1889"</f>
        <v>1889</v>
      </c>
      <c r="E4764" t="s">
        <v>7101</v>
      </c>
      <c r="F4764" t="s">
        <v>3558</v>
      </c>
      <c r="G4764" t="s">
        <v>16221</v>
      </c>
      <c r="H4764" t="s">
        <v>47055</v>
      </c>
      <c r="I4764" t="s">
        <v>47127</v>
      </c>
      <c r="J4764" t="s">
        <v>47128</v>
      </c>
      <c r="K4764" t="s">
        <v>47113</v>
      </c>
      <c r="L4764">
        <v>13.01</v>
      </c>
      <c r="M4764">
        <v>29</v>
      </c>
      <c r="N4764">
        <v>0</v>
      </c>
      <c r="O4764">
        <v>29</v>
      </c>
      <c r="P4764">
        <v>0</v>
      </c>
    </row>
    <row r="4765" spans="1:16" x14ac:dyDescent="0.25">
      <c r="A4765" t="s">
        <v>27159</v>
      </c>
      <c r="B4765" t="s">
        <v>14238</v>
      </c>
      <c r="C4765" t="s">
        <v>14239</v>
      </c>
      <c r="D4765" t="str">
        <f>"3000"</f>
        <v>3000</v>
      </c>
      <c r="E4765" t="s">
        <v>14216</v>
      </c>
      <c r="F4765" t="s">
        <v>3558</v>
      </c>
      <c r="G4765" t="s">
        <v>16221</v>
      </c>
      <c r="H4765" t="s">
        <v>47055</v>
      </c>
      <c r="I4765" t="s">
        <v>47127</v>
      </c>
      <c r="J4765" t="s">
        <v>47128</v>
      </c>
      <c r="K4765" t="s">
        <v>47113</v>
      </c>
      <c r="L4765">
        <v>13.01</v>
      </c>
      <c r="M4765">
        <v>29</v>
      </c>
      <c r="N4765">
        <v>0</v>
      </c>
      <c r="O4765">
        <v>29</v>
      </c>
      <c r="P4765">
        <v>0</v>
      </c>
    </row>
    <row r="4766" spans="1:16" x14ac:dyDescent="0.25">
      <c r="A4766" t="s">
        <v>27160</v>
      </c>
      <c r="B4766" t="s">
        <v>14238</v>
      </c>
      <c r="C4766" t="s">
        <v>14239</v>
      </c>
      <c r="D4766" t="str">
        <f>"4643"</f>
        <v>4643</v>
      </c>
      <c r="E4766" t="s">
        <v>205</v>
      </c>
      <c r="F4766" t="s">
        <v>3558</v>
      </c>
      <c r="G4766" t="s">
        <v>16221</v>
      </c>
      <c r="H4766" t="s">
        <v>47055</v>
      </c>
      <c r="I4766" t="s">
        <v>47127</v>
      </c>
      <c r="J4766" t="s">
        <v>47128</v>
      </c>
      <c r="K4766" t="s">
        <v>47113</v>
      </c>
      <c r="L4766">
        <v>13.01</v>
      </c>
      <c r="M4766">
        <v>29</v>
      </c>
      <c r="N4766">
        <v>0</v>
      </c>
      <c r="O4766">
        <v>29</v>
      </c>
      <c r="P4766">
        <v>0</v>
      </c>
    </row>
    <row r="4767" spans="1:16" x14ac:dyDescent="0.25">
      <c r="A4767" t="s">
        <v>27161</v>
      </c>
      <c r="B4767" t="s">
        <v>14238</v>
      </c>
      <c r="C4767" t="s">
        <v>14239</v>
      </c>
      <c r="D4767" t="str">
        <f>"4645"</f>
        <v>4645</v>
      </c>
      <c r="E4767" t="s">
        <v>9770</v>
      </c>
      <c r="F4767" t="s">
        <v>3558</v>
      </c>
      <c r="G4767" t="s">
        <v>16221</v>
      </c>
      <c r="H4767" t="s">
        <v>47055</v>
      </c>
      <c r="I4767" t="s">
        <v>47127</v>
      </c>
      <c r="J4767" t="s">
        <v>47128</v>
      </c>
      <c r="K4767" t="s">
        <v>47113</v>
      </c>
      <c r="L4767">
        <v>13.01</v>
      </c>
      <c r="M4767">
        <v>29</v>
      </c>
      <c r="N4767">
        <v>0</v>
      </c>
      <c r="O4767">
        <v>29</v>
      </c>
      <c r="P4767">
        <v>0</v>
      </c>
    </row>
    <row r="4768" spans="1:16" x14ac:dyDescent="0.25">
      <c r="A4768" t="s">
        <v>27162</v>
      </c>
      <c r="B4768" t="s">
        <v>14240</v>
      </c>
      <c r="C4768" t="s">
        <v>14241</v>
      </c>
      <c r="D4768" t="str">
        <f>"1377"</f>
        <v>1377</v>
      </c>
      <c r="E4768" t="s">
        <v>74</v>
      </c>
      <c r="F4768" t="s">
        <v>3558</v>
      </c>
      <c r="G4768" t="s">
        <v>16221</v>
      </c>
      <c r="H4768" t="s">
        <v>47055</v>
      </c>
      <c r="I4768" t="s">
        <v>47127</v>
      </c>
      <c r="J4768" t="s">
        <v>47128</v>
      </c>
      <c r="K4768" t="s">
        <v>47113</v>
      </c>
      <c r="L4768">
        <v>16.68</v>
      </c>
      <c r="M4768">
        <v>29</v>
      </c>
      <c r="N4768">
        <v>0</v>
      </c>
      <c r="O4768">
        <v>29</v>
      </c>
      <c r="P4768">
        <v>0</v>
      </c>
    </row>
    <row r="4769" spans="1:16" x14ac:dyDescent="0.25">
      <c r="A4769" t="s">
        <v>27163</v>
      </c>
      <c r="B4769" t="s">
        <v>14240</v>
      </c>
      <c r="C4769" t="s">
        <v>14241</v>
      </c>
      <c r="D4769" t="str">
        <f>"1378"</f>
        <v>1378</v>
      </c>
      <c r="E4769" t="s">
        <v>388</v>
      </c>
      <c r="F4769" t="s">
        <v>3558</v>
      </c>
      <c r="G4769" t="s">
        <v>16221</v>
      </c>
      <c r="H4769" t="s">
        <v>47055</v>
      </c>
      <c r="I4769" t="s">
        <v>47127</v>
      </c>
      <c r="J4769" t="s">
        <v>47128</v>
      </c>
      <c r="K4769" t="s">
        <v>47113</v>
      </c>
      <c r="L4769">
        <v>13.01</v>
      </c>
      <c r="M4769">
        <v>29</v>
      </c>
      <c r="N4769">
        <v>0</v>
      </c>
      <c r="O4769">
        <v>29</v>
      </c>
      <c r="P4769">
        <v>0</v>
      </c>
    </row>
    <row r="4770" spans="1:16" x14ac:dyDescent="0.25">
      <c r="A4770" t="s">
        <v>27164</v>
      </c>
      <c r="B4770" t="s">
        <v>14240</v>
      </c>
      <c r="C4770" t="s">
        <v>14241</v>
      </c>
      <c r="D4770" t="str">
        <f>"1700"</f>
        <v>1700</v>
      </c>
      <c r="E4770" t="s">
        <v>60</v>
      </c>
      <c r="F4770" t="s">
        <v>3558</v>
      </c>
      <c r="G4770" t="s">
        <v>16221</v>
      </c>
      <c r="H4770" t="s">
        <v>47055</v>
      </c>
      <c r="I4770" t="s">
        <v>47127</v>
      </c>
      <c r="J4770" t="s">
        <v>47128</v>
      </c>
      <c r="K4770" t="s">
        <v>47113</v>
      </c>
      <c r="L4770">
        <v>16.68</v>
      </c>
      <c r="M4770">
        <v>29</v>
      </c>
      <c r="N4770">
        <v>0</v>
      </c>
      <c r="O4770">
        <v>29</v>
      </c>
      <c r="P4770">
        <v>0</v>
      </c>
    </row>
    <row r="4771" spans="1:16" x14ac:dyDescent="0.25">
      <c r="A4771" t="s">
        <v>27165</v>
      </c>
      <c r="B4771" t="s">
        <v>14240</v>
      </c>
      <c r="C4771" t="s">
        <v>14241</v>
      </c>
      <c r="D4771" t="str">
        <f>"1889"</f>
        <v>1889</v>
      </c>
      <c r="E4771" t="s">
        <v>7101</v>
      </c>
      <c r="F4771" t="s">
        <v>3558</v>
      </c>
      <c r="G4771" t="s">
        <v>16221</v>
      </c>
      <c r="H4771" t="s">
        <v>47055</v>
      </c>
      <c r="I4771" t="s">
        <v>47127</v>
      </c>
      <c r="J4771" t="s">
        <v>47128</v>
      </c>
      <c r="K4771" t="s">
        <v>47113</v>
      </c>
      <c r="L4771">
        <v>13.01</v>
      </c>
      <c r="M4771">
        <v>29</v>
      </c>
      <c r="N4771">
        <v>0</v>
      </c>
      <c r="O4771">
        <v>29</v>
      </c>
      <c r="P4771">
        <v>0</v>
      </c>
    </row>
    <row r="4772" spans="1:16" x14ac:dyDescent="0.25">
      <c r="A4772" t="s">
        <v>27166</v>
      </c>
      <c r="B4772" t="s">
        <v>14240</v>
      </c>
      <c r="C4772" t="s">
        <v>14241</v>
      </c>
      <c r="D4772" t="str">
        <f>"4542"</f>
        <v>4542</v>
      </c>
      <c r="E4772" t="s">
        <v>220</v>
      </c>
      <c r="F4772" t="s">
        <v>3558</v>
      </c>
      <c r="G4772" t="s">
        <v>16221</v>
      </c>
      <c r="H4772" t="s">
        <v>47055</v>
      </c>
      <c r="I4772" t="s">
        <v>47127</v>
      </c>
      <c r="J4772" t="s">
        <v>47128</v>
      </c>
      <c r="K4772" t="s">
        <v>47113</v>
      </c>
      <c r="L4772">
        <v>13.01</v>
      </c>
      <c r="M4772">
        <v>29</v>
      </c>
      <c r="N4772">
        <v>0</v>
      </c>
      <c r="O4772">
        <v>29</v>
      </c>
      <c r="P4772">
        <v>0</v>
      </c>
    </row>
    <row r="4773" spans="1:16" x14ac:dyDescent="0.25">
      <c r="A4773" t="s">
        <v>27167</v>
      </c>
      <c r="B4773" t="s">
        <v>14240</v>
      </c>
      <c r="C4773" t="s">
        <v>14241</v>
      </c>
      <c r="D4773" t="str">
        <f>"4643"</f>
        <v>4643</v>
      </c>
      <c r="E4773" t="s">
        <v>205</v>
      </c>
      <c r="F4773" t="s">
        <v>3558</v>
      </c>
      <c r="G4773" t="s">
        <v>16221</v>
      </c>
      <c r="H4773" t="s">
        <v>47055</v>
      </c>
      <c r="I4773" t="s">
        <v>47127</v>
      </c>
      <c r="J4773" t="s">
        <v>47128</v>
      </c>
      <c r="K4773" t="s">
        <v>47113</v>
      </c>
      <c r="L4773">
        <v>13.01</v>
      </c>
      <c r="M4773">
        <v>29</v>
      </c>
      <c r="N4773">
        <v>0</v>
      </c>
      <c r="O4773">
        <v>29</v>
      </c>
      <c r="P4773">
        <v>0</v>
      </c>
    </row>
    <row r="4774" spans="1:16" x14ac:dyDescent="0.25">
      <c r="A4774" t="s">
        <v>27168</v>
      </c>
      <c r="B4774" t="s">
        <v>14240</v>
      </c>
      <c r="C4774" t="s">
        <v>14241</v>
      </c>
      <c r="D4774" t="str">
        <f>"4645"</f>
        <v>4645</v>
      </c>
      <c r="E4774" t="s">
        <v>9770</v>
      </c>
      <c r="F4774" t="s">
        <v>3558</v>
      </c>
      <c r="G4774" t="s">
        <v>16221</v>
      </c>
      <c r="H4774" t="s">
        <v>47055</v>
      </c>
      <c r="I4774" t="s">
        <v>47127</v>
      </c>
      <c r="J4774" t="s">
        <v>47128</v>
      </c>
      <c r="K4774" t="s">
        <v>47113</v>
      </c>
      <c r="L4774">
        <v>13.01</v>
      </c>
      <c r="M4774">
        <v>29</v>
      </c>
      <c r="N4774">
        <v>0</v>
      </c>
      <c r="O4774">
        <v>29</v>
      </c>
      <c r="P4774">
        <v>0</v>
      </c>
    </row>
    <row r="4775" spans="1:16" x14ac:dyDescent="0.25">
      <c r="A4775" t="s">
        <v>27169</v>
      </c>
      <c r="B4775" t="s">
        <v>14240</v>
      </c>
      <c r="C4775" t="s">
        <v>14241</v>
      </c>
      <c r="D4775" t="str">
        <f>"8206"</f>
        <v>8206</v>
      </c>
      <c r="E4775" t="s">
        <v>14203</v>
      </c>
      <c r="F4775" t="s">
        <v>3558</v>
      </c>
      <c r="G4775" t="s">
        <v>16221</v>
      </c>
      <c r="H4775" t="s">
        <v>47055</v>
      </c>
      <c r="I4775" t="s">
        <v>47127</v>
      </c>
      <c r="J4775" t="s">
        <v>47128</v>
      </c>
      <c r="K4775" t="s">
        <v>47113</v>
      </c>
      <c r="L4775">
        <v>13.01</v>
      </c>
      <c r="M4775">
        <v>29</v>
      </c>
      <c r="N4775">
        <v>0</v>
      </c>
      <c r="O4775">
        <v>29</v>
      </c>
      <c r="P4775">
        <v>0</v>
      </c>
    </row>
    <row r="4776" spans="1:16" x14ac:dyDescent="0.25">
      <c r="A4776" t="s">
        <v>27170</v>
      </c>
      <c r="B4776" t="s">
        <v>14242</v>
      </c>
      <c r="C4776" t="s">
        <v>14243</v>
      </c>
      <c r="D4776" t="str">
        <f>"1377"</f>
        <v>1377</v>
      </c>
      <c r="E4776" t="s">
        <v>74</v>
      </c>
      <c r="F4776" t="s">
        <v>3558</v>
      </c>
      <c r="G4776" t="s">
        <v>16221</v>
      </c>
      <c r="H4776" t="s">
        <v>47055</v>
      </c>
      <c r="I4776" t="s">
        <v>47127</v>
      </c>
      <c r="J4776" t="s">
        <v>47128</v>
      </c>
      <c r="K4776" t="s">
        <v>47113</v>
      </c>
      <c r="L4776">
        <v>13.01</v>
      </c>
      <c r="M4776">
        <v>29</v>
      </c>
      <c r="N4776">
        <v>0</v>
      </c>
      <c r="O4776">
        <v>29</v>
      </c>
      <c r="P4776">
        <v>0</v>
      </c>
    </row>
    <row r="4777" spans="1:16" x14ac:dyDescent="0.25">
      <c r="A4777" t="s">
        <v>27171</v>
      </c>
      <c r="B4777" t="s">
        <v>14242</v>
      </c>
      <c r="C4777" t="s">
        <v>14243</v>
      </c>
      <c r="D4777" t="str">
        <f>"1378"</f>
        <v>1378</v>
      </c>
      <c r="E4777" t="s">
        <v>388</v>
      </c>
      <c r="F4777" t="s">
        <v>3558</v>
      </c>
      <c r="G4777" t="s">
        <v>16221</v>
      </c>
      <c r="H4777" t="s">
        <v>47055</v>
      </c>
      <c r="I4777" t="s">
        <v>47127</v>
      </c>
      <c r="J4777" t="s">
        <v>47128</v>
      </c>
      <c r="K4777" t="s">
        <v>47113</v>
      </c>
      <c r="L4777">
        <v>13.01</v>
      </c>
      <c r="M4777">
        <v>29</v>
      </c>
      <c r="N4777">
        <v>0</v>
      </c>
      <c r="O4777">
        <v>29</v>
      </c>
      <c r="P4777">
        <v>0</v>
      </c>
    </row>
    <row r="4778" spans="1:16" x14ac:dyDescent="0.25">
      <c r="A4778" t="s">
        <v>27172</v>
      </c>
      <c r="B4778" t="s">
        <v>14242</v>
      </c>
      <c r="C4778" t="s">
        <v>14243</v>
      </c>
      <c r="D4778" t="str">
        <f>"1700"</f>
        <v>1700</v>
      </c>
      <c r="E4778" t="s">
        <v>60</v>
      </c>
      <c r="F4778" t="s">
        <v>3558</v>
      </c>
      <c r="G4778" t="s">
        <v>16221</v>
      </c>
      <c r="H4778" t="s">
        <v>47055</v>
      </c>
      <c r="I4778" t="s">
        <v>47127</v>
      </c>
      <c r="J4778" t="s">
        <v>47128</v>
      </c>
      <c r="K4778" t="s">
        <v>47113</v>
      </c>
      <c r="L4778">
        <v>13.01</v>
      </c>
      <c r="M4778">
        <v>29</v>
      </c>
      <c r="N4778">
        <v>0</v>
      </c>
      <c r="O4778">
        <v>29</v>
      </c>
      <c r="P4778">
        <v>0</v>
      </c>
    </row>
    <row r="4779" spans="1:16" x14ac:dyDescent="0.25">
      <c r="A4779" t="s">
        <v>27173</v>
      </c>
      <c r="B4779" t="s">
        <v>14242</v>
      </c>
      <c r="C4779" t="s">
        <v>14243</v>
      </c>
      <c r="D4779" t="str">
        <f>"4643"</f>
        <v>4643</v>
      </c>
      <c r="E4779" t="s">
        <v>205</v>
      </c>
      <c r="F4779" t="s">
        <v>3558</v>
      </c>
      <c r="G4779" t="s">
        <v>16221</v>
      </c>
      <c r="H4779" t="s">
        <v>47055</v>
      </c>
      <c r="I4779" t="s">
        <v>47127</v>
      </c>
      <c r="J4779" t="s">
        <v>47128</v>
      </c>
      <c r="K4779" t="s">
        <v>47113</v>
      </c>
      <c r="L4779">
        <v>13.01</v>
      </c>
      <c r="M4779">
        <v>29</v>
      </c>
      <c r="N4779">
        <v>0</v>
      </c>
      <c r="O4779">
        <v>29</v>
      </c>
      <c r="P4779">
        <v>0</v>
      </c>
    </row>
    <row r="4780" spans="1:16" x14ac:dyDescent="0.25">
      <c r="A4780" t="s">
        <v>27174</v>
      </c>
      <c r="B4780" t="s">
        <v>15174</v>
      </c>
      <c r="C4780" t="s">
        <v>15175</v>
      </c>
      <c r="D4780" t="str">
        <f>"1106"</f>
        <v>1106</v>
      </c>
      <c r="E4780" t="s">
        <v>460</v>
      </c>
      <c r="F4780" t="s">
        <v>3558</v>
      </c>
      <c r="G4780" t="s">
        <v>16232</v>
      </c>
      <c r="H4780" t="s">
        <v>47055</v>
      </c>
      <c r="I4780" t="s">
        <v>47127</v>
      </c>
      <c r="J4780" t="s">
        <v>47128</v>
      </c>
      <c r="K4780" t="s">
        <v>47113</v>
      </c>
      <c r="L4780">
        <v>19.579999999999998</v>
      </c>
      <c r="M4780">
        <v>43</v>
      </c>
      <c r="N4780">
        <v>0</v>
      </c>
      <c r="O4780">
        <v>43</v>
      </c>
      <c r="P4780">
        <v>0</v>
      </c>
    </row>
    <row r="4781" spans="1:16" x14ac:dyDescent="0.25">
      <c r="A4781" t="s">
        <v>27175</v>
      </c>
      <c r="B4781" t="s">
        <v>15174</v>
      </c>
      <c r="C4781" t="s">
        <v>15175</v>
      </c>
      <c r="D4781" t="str">
        <f>"1377"</f>
        <v>1377</v>
      </c>
      <c r="E4781" t="s">
        <v>74</v>
      </c>
      <c r="F4781" t="s">
        <v>3558</v>
      </c>
      <c r="G4781" t="s">
        <v>16232</v>
      </c>
      <c r="H4781" t="s">
        <v>47055</v>
      </c>
      <c r="I4781" t="s">
        <v>47127</v>
      </c>
      <c r="J4781" t="s">
        <v>47128</v>
      </c>
      <c r="K4781" t="s">
        <v>47113</v>
      </c>
      <c r="L4781">
        <v>19.579999999999998</v>
      </c>
      <c r="M4781">
        <v>43</v>
      </c>
      <c r="N4781">
        <v>0</v>
      </c>
      <c r="O4781">
        <v>43</v>
      </c>
      <c r="P4781">
        <v>0</v>
      </c>
    </row>
    <row r="4782" spans="1:16" x14ac:dyDescent="0.25">
      <c r="A4782" t="s">
        <v>27176</v>
      </c>
      <c r="B4782" t="s">
        <v>15174</v>
      </c>
      <c r="C4782" t="s">
        <v>15175</v>
      </c>
      <c r="D4782" t="str">
        <f>"1700"</f>
        <v>1700</v>
      </c>
      <c r="E4782" t="s">
        <v>60</v>
      </c>
      <c r="F4782" t="s">
        <v>3558</v>
      </c>
      <c r="G4782" t="s">
        <v>16232</v>
      </c>
      <c r="H4782" t="s">
        <v>47055</v>
      </c>
      <c r="I4782" t="s">
        <v>47127</v>
      </c>
      <c r="J4782" t="s">
        <v>47128</v>
      </c>
      <c r="K4782" t="s">
        <v>47113</v>
      </c>
      <c r="L4782">
        <v>19.579999999999998</v>
      </c>
      <c r="M4782">
        <v>43</v>
      </c>
      <c r="N4782">
        <v>0</v>
      </c>
      <c r="O4782">
        <v>43</v>
      </c>
      <c r="P4782">
        <v>0</v>
      </c>
    </row>
    <row r="4783" spans="1:16" x14ac:dyDescent="0.25">
      <c r="A4783" t="s">
        <v>27177</v>
      </c>
      <c r="B4783" t="s">
        <v>15174</v>
      </c>
      <c r="C4783" t="s">
        <v>15175</v>
      </c>
      <c r="D4783" t="str">
        <f>"4643"</f>
        <v>4643</v>
      </c>
      <c r="E4783" t="s">
        <v>205</v>
      </c>
      <c r="F4783" t="s">
        <v>3558</v>
      </c>
      <c r="G4783" t="s">
        <v>16232</v>
      </c>
      <c r="H4783" t="s">
        <v>47055</v>
      </c>
      <c r="I4783" t="s">
        <v>47127</v>
      </c>
      <c r="J4783" t="s">
        <v>47128</v>
      </c>
      <c r="K4783" t="s">
        <v>47113</v>
      </c>
      <c r="L4783">
        <v>19.579999999999998</v>
      </c>
      <c r="M4783">
        <v>43</v>
      </c>
      <c r="N4783">
        <v>0</v>
      </c>
      <c r="O4783">
        <v>43</v>
      </c>
      <c r="P4783">
        <v>0</v>
      </c>
    </row>
    <row r="4784" spans="1:16" x14ac:dyDescent="0.25">
      <c r="A4784" t="s">
        <v>27178</v>
      </c>
      <c r="B4784" t="s">
        <v>15176</v>
      </c>
      <c r="C4784" t="s">
        <v>15177</v>
      </c>
      <c r="D4784" t="str">
        <f>"1106"</f>
        <v>1106</v>
      </c>
      <c r="E4784" t="s">
        <v>460</v>
      </c>
      <c r="F4784" t="s">
        <v>3558</v>
      </c>
      <c r="G4784" t="s">
        <v>16221</v>
      </c>
      <c r="H4784" t="s">
        <v>47055</v>
      </c>
      <c r="I4784" t="s">
        <v>47127</v>
      </c>
      <c r="J4784" t="s">
        <v>47128</v>
      </c>
      <c r="K4784" t="s">
        <v>47113</v>
      </c>
      <c r="L4784">
        <v>13.73</v>
      </c>
      <c r="M4784">
        <v>30</v>
      </c>
      <c r="N4784">
        <v>0</v>
      </c>
      <c r="O4784">
        <v>30</v>
      </c>
      <c r="P4784">
        <v>0</v>
      </c>
    </row>
    <row r="4785" spans="1:16" x14ac:dyDescent="0.25">
      <c r="A4785" t="s">
        <v>27179</v>
      </c>
      <c r="B4785" t="s">
        <v>15176</v>
      </c>
      <c r="C4785" t="s">
        <v>15177</v>
      </c>
      <c r="D4785" t="str">
        <f>"1278"</f>
        <v>1278</v>
      </c>
      <c r="E4785" t="s">
        <v>100</v>
      </c>
      <c r="F4785" t="s">
        <v>3558</v>
      </c>
      <c r="G4785" t="s">
        <v>16221</v>
      </c>
      <c r="H4785" t="s">
        <v>47055</v>
      </c>
      <c r="I4785" t="s">
        <v>47127</v>
      </c>
      <c r="J4785" t="s">
        <v>47128</v>
      </c>
      <c r="K4785" t="s">
        <v>47113</v>
      </c>
      <c r="L4785">
        <v>13.73</v>
      </c>
      <c r="M4785">
        <v>30</v>
      </c>
      <c r="N4785">
        <v>0</v>
      </c>
      <c r="O4785">
        <v>30</v>
      </c>
      <c r="P4785">
        <v>0</v>
      </c>
    </row>
    <row r="4786" spans="1:16" x14ac:dyDescent="0.25">
      <c r="A4786" t="s">
        <v>27180</v>
      </c>
      <c r="B4786" t="s">
        <v>15176</v>
      </c>
      <c r="C4786" t="s">
        <v>15177</v>
      </c>
      <c r="D4786" t="str">
        <f>"1700"</f>
        <v>1700</v>
      </c>
      <c r="E4786" t="s">
        <v>60</v>
      </c>
      <c r="F4786" t="s">
        <v>3558</v>
      </c>
      <c r="G4786" t="s">
        <v>16221</v>
      </c>
      <c r="H4786" t="s">
        <v>47055</v>
      </c>
      <c r="I4786" t="s">
        <v>47127</v>
      </c>
      <c r="J4786" t="s">
        <v>47128</v>
      </c>
      <c r="K4786" t="s">
        <v>47113</v>
      </c>
      <c r="L4786">
        <v>13.73</v>
      </c>
      <c r="M4786">
        <v>30</v>
      </c>
      <c r="N4786">
        <v>0</v>
      </c>
      <c r="O4786">
        <v>30</v>
      </c>
      <c r="P4786">
        <v>0</v>
      </c>
    </row>
    <row r="4787" spans="1:16" x14ac:dyDescent="0.25">
      <c r="A4787" t="s">
        <v>27181</v>
      </c>
      <c r="B4787" t="s">
        <v>14538</v>
      </c>
      <c r="C4787" t="s">
        <v>4045</v>
      </c>
      <c r="D4787" t="s">
        <v>14540</v>
      </c>
      <c r="E4787" t="s">
        <v>14539</v>
      </c>
      <c r="F4787" t="s">
        <v>3558</v>
      </c>
      <c r="G4787" t="s">
        <v>16230</v>
      </c>
      <c r="H4787" t="s">
        <v>47153</v>
      </c>
      <c r="I4787" t="s">
        <v>47132</v>
      </c>
      <c r="J4787" t="s">
        <v>47133</v>
      </c>
      <c r="K4787" t="s">
        <v>47113</v>
      </c>
      <c r="L4787">
        <v>53.97</v>
      </c>
      <c r="M4787">
        <v>89</v>
      </c>
      <c r="N4787">
        <v>0</v>
      </c>
      <c r="O4787">
        <v>89</v>
      </c>
      <c r="P4787">
        <v>0</v>
      </c>
    </row>
    <row r="4788" spans="1:16" x14ac:dyDescent="0.25">
      <c r="A4788" t="s">
        <v>27182</v>
      </c>
      <c r="B4788" t="s">
        <v>14538</v>
      </c>
      <c r="C4788" t="s">
        <v>4045</v>
      </c>
      <c r="D4788" t="s">
        <v>14537</v>
      </c>
      <c r="E4788" t="s">
        <v>14536</v>
      </c>
      <c r="F4788" t="s">
        <v>3558</v>
      </c>
      <c r="G4788" t="s">
        <v>16230</v>
      </c>
      <c r="H4788" t="s">
        <v>47153</v>
      </c>
      <c r="I4788" t="s">
        <v>47132</v>
      </c>
      <c r="J4788" t="s">
        <v>47133</v>
      </c>
      <c r="K4788" t="s">
        <v>47113</v>
      </c>
      <c r="L4788">
        <v>61.18</v>
      </c>
      <c r="M4788">
        <v>94</v>
      </c>
      <c r="N4788">
        <v>0</v>
      </c>
      <c r="O4788">
        <v>94</v>
      </c>
      <c r="P4788">
        <v>0</v>
      </c>
    </row>
    <row r="4789" spans="1:16" x14ac:dyDescent="0.25">
      <c r="A4789" t="s">
        <v>27183</v>
      </c>
      <c r="B4789" t="s">
        <v>19548</v>
      </c>
      <c r="C4789" t="s">
        <v>19549</v>
      </c>
      <c r="D4789" t="s">
        <v>19550</v>
      </c>
      <c r="E4789" t="s">
        <v>19551</v>
      </c>
      <c r="F4789" t="s">
        <v>19552</v>
      </c>
      <c r="G4789" t="s">
        <v>16231</v>
      </c>
      <c r="H4789" t="s">
        <v>47055</v>
      </c>
      <c r="I4789" t="s">
        <v>47127</v>
      </c>
      <c r="J4789" t="s">
        <v>47128</v>
      </c>
      <c r="K4789" t="s">
        <v>47113</v>
      </c>
      <c r="L4789">
        <v>37.96</v>
      </c>
      <c r="M4789">
        <v>74</v>
      </c>
      <c r="N4789">
        <v>0</v>
      </c>
      <c r="O4789">
        <v>74</v>
      </c>
      <c r="P4789">
        <v>0</v>
      </c>
    </row>
    <row r="4790" spans="1:16" x14ac:dyDescent="0.25">
      <c r="A4790" t="s">
        <v>22625</v>
      </c>
      <c r="B4790" t="s">
        <v>19553</v>
      </c>
      <c r="C4790" t="s">
        <v>19549</v>
      </c>
      <c r="D4790" t="s">
        <v>19554</v>
      </c>
      <c r="E4790" t="s">
        <v>19555</v>
      </c>
      <c r="F4790" t="s">
        <v>19552</v>
      </c>
      <c r="G4790" t="s">
        <v>16231</v>
      </c>
      <c r="H4790" t="s">
        <v>47055</v>
      </c>
      <c r="I4790" t="s">
        <v>47127</v>
      </c>
      <c r="J4790" t="s">
        <v>47128</v>
      </c>
      <c r="K4790" t="s">
        <v>47113</v>
      </c>
      <c r="L4790">
        <v>37.67</v>
      </c>
      <c r="M4790">
        <v>74</v>
      </c>
      <c r="N4790">
        <v>0</v>
      </c>
      <c r="O4790">
        <v>74</v>
      </c>
      <c r="P4790">
        <v>0</v>
      </c>
    </row>
    <row r="4791" spans="1:16" x14ac:dyDescent="0.25">
      <c r="A4791" t="s">
        <v>27184</v>
      </c>
      <c r="B4791" t="s">
        <v>19556</v>
      </c>
      <c r="C4791" t="s">
        <v>19557</v>
      </c>
      <c r="D4791" t="str">
        <f>"4269"</f>
        <v>4269</v>
      </c>
      <c r="E4791" t="s">
        <v>19558</v>
      </c>
      <c r="F4791" t="s">
        <v>19559</v>
      </c>
      <c r="G4791" t="s">
        <v>16231</v>
      </c>
      <c r="H4791" t="s">
        <v>47055</v>
      </c>
      <c r="I4791" t="s">
        <v>47127</v>
      </c>
      <c r="J4791" t="s">
        <v>47128</v>
      </c>
      <c r="K4791" t="s">
        <v>47113</v>
      </c>
      <c r="L4791">
        <v>34.880000000000003</v>
      </c>
      <c r="M4791">
        <v>82</v>
      </c>
      <c r="N4791">
        <v>0</v>
      </c>
      <c r="O4791">
        <v>82</v>
      </c>
      <c r="P4791">
        <v>0</v>
      </c>
    </row>
    <row r="4792" spans="1:16" x14ac:dyDescent="0.25">
      <c r="A4792" t="s">
        <v>27185</v>
      </c>
      <c r="B4792" t="s">
        <v>19560</v>
      </c>
      <c r="C4792" t="s">
        <v>19561</v>
      </c>
      <c r="D4792" t="s">
        <v>19562</v>
      </c>
      <c r="E4792" t="s">
        <v>19563</v>
      </c>
      <c r="F4792" t="s">
        <v>19559</v>
      </c>
      <c r="G4792" t="s">
        <v>16231</v>
      </c>
      <c r="H4792" t="s">
        <v>47055</v>
      </c>
      <c r="I4792" t="s">
        <v>47127</v>
      </c>
      <c r="J4792" t="s">
        <v>47128</v>
      </c>
      <c r="K4792" t="s">
        <v>47113</v>
      </c>
      <c r="L4792">
        <v>37.020000000000003</v>
      </c>
      <c r="M4792">
        <v>74</v>
      </c>
      <c r="N4792">
        <v>0</v>
      </c>
      <c r="O4792">
        <v>74</v>
      </c>
      <c r="P4792">
        <v>0</v>
      </c>
    </row>
    <row r="4793" spans="1:16" x14ac:dyDescent="0.25">
      <c r="A4793" t="s">
        <v>27186</v>
      </c>
      <c r="B4793" t="s">
        <v>19564</v>
      </c>
      <c r="C4793" t="s">
        <v>19561</v>
      </c>
      <c r="D4793" t="s">
        <v>19565</v>
      </c>
      <c r="E4793" t="s">
        <v>19566</v>
      </c>
      <c r="F4793" t="s">
        <v>19559</v>
      </c>
      <c r="G4793" t="s">
        <v>16231</v>
      </c>
      <c r="H4793" t="s">
        <v>47055</v>
      </c>
      <c r="I4793" t="s">
        <v>47127</v>
      </c>
      <c r="J4793" t="s">
        <v>47128</v>
      </c>
      <c r="K4793" t="s">
        <v>47113</v>
      </c>
      <c r="L4793">
        <v>34.65</v>
      </c>
      <c r="M4793">
        <v>74</v>
      </c>
      <c r="N4793">
        <v>0</v>
      </c>
      <c r="O4793">
        <v>74</v>
      </c>
      <c r="P4793">
        <v>0</v>
      </c>
    </row>
    <row r="4794" spans="1:16" x14ac:dyDescent="0.25">
      <c r="A4794" t="s">
        <v>47180</v>
      </c>
      <c r="B4794" t="s">
        <v>19567</v>
      </c>
      <c r="C4794" t="s">
        <v>17364</v>
      </c>
      <c r="D4794" t="s">
        <v>311</v>
      </c>
      <c r="E4794" t="s">
        <v>47181</v>
      </c>
      <c r="F4794" t="s">
        <v>17351</v>
      </c>
      <c r="G4794" t="s">
        <v>16231</v>
      </c>
      <c r="H4794" t="s">
        <v>47054</v>
      </c>
      <c r="I4794" t="s">
        <v>47127</v>
      </c>
      <c r="J4794" t="s">
        <v>47128</v>
      </c>
      <c r="K4794" t="s">
        <v>47113</v>
      </c>
      <c r="L4794">
        <v>83.45</v>
      </c>
      <c r="M4794">
        <v>122</v>
      </c>
      <c r="N4794">
        <v>329</v>
      </c>
      <c r="O4794">
        <v>122</v>
      </c>
      <c r="P4794">
        <v>329</v>
      </c>
    </row>
    <row r="4795" spans="1:16" x14ac:dyDescent="0.25">
      <c r="A4795" t="s">
        <v>27187</v>
      </c>
      <c r="B4795" t="s">
        <v>19567</v>
      </c>
      <c r="C4795" t="s">
        <v>17364</v>
      </c>
      <c r="D4795" t="s">
        <v>16917</v>
      </c>
      <c r="E4795" t="s">
        <v>16918</v>
      </c>
      <c r="F4795" t="s">
        <v>17351</v>
      </c>
      <c r="G4795" t="s">
        <v>16231</v>
      </c>
      <c r="H4795" t="s">
        <v>47054</v>
      </c>
      <c r="I4795" t="s">
        <v>47127</v>
      </c>
      <c r="J4795" t="s">
        <v>47128</v>
      </c>
      <c r="K4795" t="s">
        <v>47113</v>
      </c>
      <c r="L4795">
        <v>34.869999999999997</v>
      </c>
      <c r="M4795">
        <v>74</v>
      </c>
      <c r="N4795">
        <v>0</v>
      </c>
      <c r="O4795">
        <v>74</v>
      </c>
      <c r="P4795">
        <v>0</v>
      </c>
    </row>
    <row r="4796" spans="1:16" x14ac:dyDescent="0.25">
      <c r="A4796" t="s">
        <v>47182</v>
      </c>
      <c r="B4796" t="s">
        <v>19567</v>
      </c>
      <c r="C4796" t="s">
        <v>17364</v>
      </c>
      <c r="D4796" t="s">
        <v>47183</v>
      </c>
      <c r="E4796" t="s">
        <v>47184</v>
      </c>
      <c r="F4796" t="s">
        <v>17351</v>
      </c>
      <c r="G4796" t="s">
        <v>16231</v>
      </c>
      <c r="H4796" t="s">
        <v>47054</v>
      </c>
      <c r="I4796" t="s">
        <v>47127</v>
      </c>
      <c r="J4796" t="s">
        <v>47128</v>
      </c>
      <c r="K4796" t="s">
        <v>47113</v>
      </c>
      <c r="L4796">
        <v>83.45</v>
      </c>
      <c r="M4796">
        <v>122</v>
      </c>
      <c r="N4796">
        <v>329</v>
      </c>
      <c r="O4796">
        <v>122</v>
      </c>
      <c r="P4796">
        <v>329</v>
      </c>
    </row>
    <row r="4797" spans="1:16" x14ac:dyDescent="0.25">
      <c r="A4797" t="s">
        <v>27188</v>
      </c>
      <c r="B4797" t="s">
        <v>19568</v>
      </c>
      <c r="C4797" t="s">
        <v>19569</v>
      </c>
      <c r="D4797" t="str">
        <f>"1305"</f>
        <v>1305</v>
      </c>
      <c r="E4797" t="s">
        <v>11901</v>
      </c>
      <c r="F4797" t="s">
        <v>19552</v>
      </c>
      <c r="G4797" t="s">
        <v>16235</v>
      </c>
      <c r="H4797" t="s">
        <v>47055</v>
      </c>
      <c r="I4797" t="s">
        <v>47127</v>
      </c>
      <c r="J4797" t="s">
        <v>47128</v>
      </c>
      <c r="K4797" t="s">
        <v>47113</v>
      </c>
      <c r="L4797">
        <v>31.97</v>
      </c>
      <c r="M4797">
        <v>74</v>
      </c>
      <c r="N4797">
        <v>0</v>
      </c>
      <c r="O4797">
        <v>74</v>
      </c>
      <c r="P4797">
        <v>0</v>
      </c>
    </row>
    <row r="4798" spans="1:16" x14ac:dyDescent="0.25">
      <c r="A4798" t="s">
        <v>27189</v>
      </c>
      <c r="B4798" t="s">
        <v>19568</v>
      </c>
      <c r="C4798" t="s">
        <v>19569</v>
      </c>
      <c r="D4798" t="str">
        <f>"1378"</f>
        <v>1378</v>
      </c>
      <c r="E4798" t="s">
        <v>388</v>
      </c>
      <c r="F4798" t="s">
        <v>19552</v>
      </c>
      <c r="G4798" t="s">
        <v>16235</v>
      </c>
      <c r="H4798" t="s">
        <v>47055</v>
      </c>
      <c r="I4798" t="s">
        <v>47127</v>
      </c>
      <c r="J4798" t="s">
        <v>47128</v>
      </c>
      <c r="K4798" t="s">
        <v>47113</v>
      </c>
      <c r="L4798">
        <v>31.97</v>
      </c>
      <c r="M4798">
        <v>74</v>
      </c>
      <c r="N4798">
        <v>0</v>
      </c>
      <c r="O4798">
        <v>74</v>
      </c>
      <c r="P4798">
        <v>0</v>
      </c>
    </row>
    <row r="4799" spans="1:16" x14ac:dyDescent="0.25">
      <c r="A4799" t="s">
        <v>27190</v>
      </c>
      <c r="B4799" t="s">
        <v>19568</v>
      </c>
      <c r="C4799" t="s">
        <v>19569</v>
      </c>
      <c r="D4799" t="str">
        <f>"3106"</f>
        <v>3106</v>
      </c>
      <c r="E4799" t="s">
        <v>230</v>
      </c>
      <c r="F4799" t="s">
        <v>19552</v>
      </c>
      <c r="G4799" t="s">
        <v>16235</v>
      </c>
      <c r="H4799" t="s">
        <v>47055</v>
      </c>
      <c r="I4799" t="s">
        <v>47127</v>
      </c>
      <c r="J4799" t="s">
        <v>47128</v>
      </c>
      <c r="K4799" t="s">
        <v>47113</v>
      </c>
      <c r="L4799">
        <v>31.97</v>
      </c>
      <c r="M4799">
        <v>74</v>
      </c>
      <c r="N4799">
        <v>0</v>
      </c>
      <c r="O4799">
        <v>74</v>
      </c>
      <c r="P4799">
        <v>0</v>
      </c>
    </row>
    <row r="4800" spans="1:16" x14ac:dyDescent="0.25">
      <c r="A4800" t="s">
        <v>27191</v>
      </c>
      <c r="B4800" t="s">
        <v>19568</v>
      </c>
      <c r="C4800" t="s">
        <v>19569</v>
      </c>
      <c r="D4800" t="str">
        <f>"4522"</f>
        <v>4522</v>
      </c>
      <c r="E4800" t="s">
        <v>11009</v>
      </c>
      <c r="F4800" t="s">
        <v>19552</v>
      </c>
      <c r="G4800" t="s">
        <v>16235</v>
      </c>
      <c r="H4800" t="s">
        <v>47055</v>
      </c>
      <c r="I4800" t="s">
        <v>47127</v>
      </c>
      <c r="J4800" t="s">
        <v>47128</v>
      </c>
      <c r="K4800" t="s">
        <v>47113</v>
      </c>
      <c r="L4800">
        <v>31.97</v>
      </c>
      <c r="M4800">
        <v>74</v>
      </c>
      <c r="N4800">
        <v>0</v>
      </c>
      <c r="O4800">
        <v>74</v>
      </c>
      <c r="P4800">
        <v>0</v>
      </c>
    </row>
    <row r="4801" spans="1:16" x14ac:dyDescent="0.25">
      <c r="A4801" t="s">
        <v>27192</v>
      </c>
      <c r="B4801" t="s">
        <v>19568</v>
      </c>
      <c r="C4801" t="s">
        <v>19569</v>
      </c>
      <c r="D4801" t="str">
        <f>"6474"</f>
        <v>6474</v>
      </c>
      <c r="E4801" t="s">
        <v>19570</v>
      </c>
      <c r="F4801" t="s">
        <v>19552</v>
      </c>
      <c r="G4801" t="s">
        <v>16235</v>
      </c>
      <c r="H4801" t="s">
        <v>47055</v>
      </c>
      <c r="I4801" t="s">
        <v>47127</v>
      </c>
      <c r="J4801" t="s">
        <v>47128</v>
      </c>
      <c r="K4801" t="s">
        <v>47113</v>
      </c>
      <c r="L4801">
        <v>31.97</v>
      </c>
      <c r="M4801">
        <v>74</v>
      </c>
      <c r="N4801">
        <v>0</v>
      </c>
      <c r="O4801">
        <v>74</v>
      </c>
      <c r="P4801">
        <v>0</v>
      </c>
    </row>
    <row r="4802" spans="1:16" x14ac:dyDescent="0.25">
      <c r="A4802" t="s">
        <v>27193</v>
      </c>
      <c r="B4802" t="s">
        <v>19571</v>
      </c>
      <c r="C4802" t="s">
        <v>19572</v>
      </c>
      <c r="D4802" t="str">
        <f>"1305"</f>
        <v>1305</v>
      </c>
      <c r="E4802" t="s">
        <v>11901</v>
      </c>
      <c r="F4802" t="s">
        <v>19552</v>
      </c>
      <c r="G4802" t="s">
        <v>16235</v>
      </c>
      <c r="H4802" t="s">
        <v>47055</v>
      </c>
      <c r="I4802" t="s">
        <v>47127</v>
      </c>
      <c r="J4802" t="s">
        <v>47128</v>
      </c>
      <c r="K4802" t="s">
        <v>47113</v>
      </c>
      <c r="L4802">
        <v>32.299999999999997</v>
      </c>
      <c r="M4802">
        <v>74</v>
      </c>
      <c r="N4802">
        <v>0</v>
      </c>
      <c r="O4802">
        <v>74</v>
      </c>
      <c r="P4802">
        <v>0</v>
      </c>
    </row>
    <row r="4803" spans="1:16" x14ac:dyDescent="0.25">
      <c r="A4803" t="s">
        <v>27194</v>
      </c>
      <c r="B4803" t="s">
        <v>19571</v>
      </c>
      <c r="C4803" t="s">
        <v>19572</v>
      </c>
      <c r="D4803" t="str">
        <f>"1378"</f>
        <v>1378</v>
      </c>
      <c r="E4803" t="s">
        <v>388</v>
      </c>
      <c r="F4803" t="s">
        <v>19552</v>
      </c>
      <c r="G4803" t="s">
        <v>16235</v>
      </c>
      <c r="H4803" t="s">
        <v>47055</v>
      </c>
      <c r="I4803" t="s">
        <v>47127</v>
      </c>
      <c r="J4803" t="s">
        <v>47128</v>
      </c>
      <c r="K4803" t="s">
        <v>47113</v>
      </c>
      <c r="L4803">
        <v>32.299999999999997</v>
      </c>
      <c r="M4803">
        <v>74</v>
      </c>
      <c r="N4803">
        <v>0</v>
      </c>
      <c r="O4803">
        <v>74</v>
      </c>
      <c r="P4803">
        <v>0</v>
      </c>
    </row>
    <row r="4804" spans="1:16" x14ac:dyDescent="0.25">
      <c r="A4804" t="s">
        <v>27195</v>
      </c>
      <c r="B4804" t="s">
        <v>19571</v>
      </c>
      <c r="C4804" t="s">
        <v>19572</v>
      </c>
      <c r="D4804" t="str">
        <f>"3106"</f>
        <v>3106</v>
      </c>
      <c r="E4804" t="s">
        <v>230</v>
      </c>
      <c r="F4804" t="s">
        <v>19552</v>
      </c>
      <c r="G4804" t="s">
        <v>16235</v>
      </c>
      <c r="H4804" t="s">
        <v>47055</v>
      </c>
      <c r="I4804" t="s">
        <v>47127</v>
      </c>
      <c r="J4804" t="s">
        <v>47128</v>
      </c>
      <c r="K4804" t="s">
        <v>47113</v>
      </c>
      <c r="L4804">
        <v>32.299999999999997</v>
      </c>
      <c r="M4804">
        <v>74</v>
      </c>
      <c r="N4804">
        <v>0</v>
      </c>
      <c r="O4804">
        <v>74</v>
      </c>
      <c r="P4804">
        <v>0</v>
      </c>
    </row>
    <row r="4805" spans="1:16" x14ac:dyDescent="0.25">
      <c r="A4805" t="s">
        <v>27196</v>
      </c>
      <c r="B4805" t="s">
        <v>19571</v>
      </c>
      <c r="C4805" t="s">
        <v>19572</v>
      </c>
      <c r="D4805" t="str">
        <f>"4522"</f>
        <v>4522</v>
      </c>
      <c r="E4805" t="s">
        <v>11009</v>
      </c>
      <c r="F4805" t="s">
        <v>19552</v>
      </c>
      <c r="G4805" t="s">
        <v>16235</v>
      </c>
      <c r="H4805" t="s">
        <v>47055</v>
      </c>
      <c r="I4805" t="s">
        <v>47127</v>
      </c>
      <c r="J4805" t="s">
        <v>47128</v>
      </c>
      <c r="K4805" t="s">
        <v>47113</v>
      </c>
      <c r="L4805">
        <v>32.299999999999997</v>
      </c>
      <c r="M4805">
        <v>74</v>
      </c>
      <c r="N4805">
        <v>0</v>
      </c>
      <c r="O4805">
        <v>74</v>
      </c>
      <c r="P4805">
        <v>0</v>
      </c>
    </row>
    <row r="4806" spans="1:16" x14ac:dyDescent="0.25">
      <c r="A4806" t="s">
        <v>27197</v>
      </c>
      <c r="B4806" t="s">
        <v>19571</v>
      </c>
      <c r="C4806" t="s">
        <v>19572</v>
      </c>
      <c r="D4806" t="str">
        <f>"6474"</f>
        <v>6474</v>
      </c>
      <c r="E4806" t="s">
        <v>19570</v>
      </c>
      <c r="F4806" t="s">
        <v>19552</v>
      </c>
      <c r="G4806" t="s">
        <v>16235</v>
      </c>
      <c r="H4806" t="s">
        <v>47055</v>
      </c>
      <c r="I4806" t="s">
        <v>47127</v>
      </c>
      <c r="J4806" t="s">
        <v>47128</v>
      </c>
      <c r="K4806" t="s">
        <v>47113</v>
      </c>
      <c r="L4806">
        <v>32.299999999999997</v>
      </c>
      <c r="M4806">
        <v>74</v>
      </c>
      <c r="N4806">
        <v>0</v>
      </c>
      <c r="O4806">
        <v>74</v>
      </c>
      <c r="P4806">
        <v>0</v>
      </c>
    </row>
    <row r="4807" spans="1:16" x14ac:dyDescent="0.25">
      <c r="A4807" t="s">
        <v>27198</v>
      </c>
      <c r="B4807" t="s">
        <v>19573</v>
      </c>
      <c r="C4807" t="s">
        <v>19574</v>
      </c>
      <c r="D4807" t="str">
        <f>"1305"</f>
        <v>1305</v>
      </c>
      <c r="E4807" t="s">
        <v>11901</v>
      </c>
      <c r="F4807" t="s">
        <v>19552</v>
      </c>
      <c r="G4807" t="s">
        <v>16235</v>
      </c>
      <c r="H4807" t="s">
        <v>47055</v>
      </c>
      <c r="I4807" t="s">
        <v>47127</v>
      </c>
      <c r="J4807" t="s">
        <v>47128</v>
      </c>
      <c r="K4807" t="s">
        <v>47113</v>
      </c>
      <c r="L4807">
        <v>32.619999999999997</v>
      </c>
      <c r="M4807">
        <v>74</v>
      </c>
      <c r="N4807">
        <v>0</v>
      </c>
      <c r="O4807">
        <v>74</v>
      </c>
      <c r="P4807">
        <v>0</v>
      </c>
    </row>
    <row r="4808" spans="1:16" x14ac:dyDescent="0.25">
      <c r="A4808" t="s">
        <v>27199</v>
      </c>
      <c r="B4808" t="s">
        <v>19573</v>
      </c>
      <c r="C4808" t="s">
        <v>19574</v>
      </c>
      <c r="D4808" t="str">
        <f>"1378"</f>
        <v>1378</v>
      </c>
      <c r="E4808" t="s">
        <v>388</v>
      </c>
      <c r="F4808" t="s">
        <v>19552</v>
      </c>
      <c r="G4808" t="s">
        <v>16235</v>
      </c>
      <c r="H4808" t="s">
        <v>47055</v>
      </c>
      <c r="I4808" t="s">
        <v>47127</v>
      </c>
      <c r="J4808" t="s">
        <v>47128</v>
      </c>
      <c r="K4808" t="s">
        <v>47113</v>
      </c>
      <c r="L4808">
        <v>32.619999999999997</v>
      </c>
      <c r="M4808">
        <v>74</v>
      </c>
      <c r="N4808">
        <v>0</v>
      </c>
      <c r="O4808">
        <v>74</v>
      </c>
      <c r="P4808">
        <v>0</v>
      </c>
    </row>
    <row r="4809" spans="1:16" x14ac:dyDescent="0.25">
      <c r="A4809" t="s">
        <v>27200</v>
      </c>
      <c r="B4809" t="s">
        <v>19573</v>
      </c>
      <c r="C4809" t="s">
        <v>19574</v>
      </c>
      <c r="D4809" t="str">
        <f>"3106"</f>
        <v>3106</v>
      </c>
      <c r="E4809" t="s">
        <v>230</v>
      </c>
      <c r="F4809" t="s">
        <v>19552</v>
      </c>
      <c r="G4809" t="s">
        <v>16235</v>
      </c>
      <c r="H4809" t="s">
        <v>47055</v>
      </c>
      <c r="I4809" t="s">
        <v>47127</v>
      </c>
      <c r="J4809" t="s">
        <v>47128</v>
      </c>
      <c r="K4809" t="s">
        <v>47113</v>
      </c>
      <c r="L4809">
        <v>32.619999999999997</v>
      </c>
      <c r="M4809">
        <v>74</v>
      </c>
      <c r="N4809">
        <v>0</v>
      </c>
      <c r="O4809">
        <v>74</v>
      </c>
      <c r="P4809">
        <v>0</v>
      </c>
    </row>
    <row r="4810" spans="1:16" x14ac:dyDescent="0.25">
      <c r="A4810" t="s">
        <v>27201</v>
      </c>
      <c r="B4810" t="s">
        <v>19573</v>
      </c>
      <c r="C4810" t="s">
        <v>19574</v>
      </c>
      <c r="D4810" t="str">
        <f>"4522"</f>
        <v>4522</v>
      </c>
      <c r="E4810" t="s">
        <v>11009</v>
      </c>
      <c r="F4810" t="s">
        <v>19552</v>
      </c>
      <c r="G4810" t="s">
        <v>16235</v>
      </c>
      <c r="H4810" t="s">
        <v>47055</v>
      </c>
      <c r="I4810" t="s">
        <v>47127</v>
      </c>
      <c r="J4810" t="s">
        <v>47128</v>
      </c>
      <c r="K4810" t="s">
        <v>47113</v>
      </c>
      <c r="L4810">
        <v>32.619999999999997</v>
      </c>
      <c r="M4810">
        <v>74</v>
      </c>
      <c r="N4810">
        <v>0</v>
      </c>
      <c r="O4810">
        <v>74</v>
      </c>
      <c r="P4810">
        <v>0</v>
      </c>
    </row>
    <row r="4811" spans="1:16" x14ac:dyDescent="0.25">
      <c r="A4811" t="s">
        <v>27202</v>
      </c>
      <c r="B4811" t="s">
        <v>19573</v>
      </c>
      <c r="C4811" t="s">
        <v>19574</v>
      </c>
      <c r="D4811" t="str">
        <f>"6474"</f>
        <v>6474</v>
      </c>
      <c r="E4811" t="s">
        <v>19570</v>
      </c>
      <c r="F4811" t="s">
        <v>19552</v>
      </c>
      <c r="G4811" t="s">
        <v>16235</v>
      </c>
      <c r="H4811" t="s">
        <v>47055</v>
      </c>
      <c r="I4811" t="s">
        <v>47127</v>
      </c>
      <c r="J4811" t="s">
        <v>47128</v>
      </c>
      <c r="K4811" t="s">
        <v>47113</v>
      </c>
      <c r="L4811">
        <v>32.619999999999997</v>
      </c>
      <c r="M4811">
        <v>74</v>
      </c>
      <c r="N4811">
        <v>0</v>
      </c>
      <c r="O4811">
        <v>74</v>
      </c>
      <c r="P4811">
        <v>0</v>
      </c>
    </row>
    <row r="4812" spans="1:16" x14ac:dyDescent="0.25">
      <c r="A4812" t="s">
        <v>27203</v>
      </c>
      <c r="B4812" t="s">
        <v>19575</v>
      </c>
      <c r="C4812" t="s">
        <v>19576</v>
      </c>
      <c r="D4812" t="str">
        <f>"1305"</f>
        <v>1305</v>
      </c>
      <c r="E4812" t="s">
        <v>11901</v>
      </c>
      <c r="F4812" t="s">
        <v>19552</v>
      </c>
      <c r="G4812" t="s">
        <v>16222</v>
      </c>
      <c r="H4812" t="s">
        <v>47055</v>
      </c>
      <c r="I4812" t="s">
        <v>47127</v>
      </c>
      <c r="J4812" t="s">
        <v>47128</v>
      </c>
      <c r="K4812" t="s">
        <v>47113</v>
      </c>
      <c r="L4812">
        <v>19.79</v>
      </c>
      <c r="M4812">
        <v>44</v>
      </c>
      <c r="N4812">
        <v>0</v>
      </c>
      <c r="O4812">
        <v>44</v>
      </c>
      <c r="P4812">
        <v>0</v>
      </c>
    </row>
    <row r="4813" spans="1:16" x14ac:dyDescent="0.25">
      <c r="A4813" t="s">
        <v>27204</v>
      </c>
      <c r="B4813" t="s">
        <v>19575</v>
      </c>
      <c r="C4813" t="s">
        <v>19576</v>
      </c>
      <c r="D4813" t="str">
        <f>"1378"</f>
        <v>1378</v>
      </c>
      <c r="E4813" t="s">
        <v>388</v>
      </c>
      <c r="F4813" t="s">
        <v>19552</v>
      </c>
      <c r="G4813" t="s">
        <v>16222</v>
      </c>
      <c r="H4813" t="s">
        <v>47055</v>
      </c>
      <c r="I4813" t="s">
        <v>47127</v>
      </c>
      <c r="J4813" t="s">
        <v>47128</v>
      </c>
      <c r="K4813" t="s">
        <v>47113</v>
      </c>
      <c r="L4813">
        <v>19.79</v>
      </c>
      <c r="M4813">
        <v>44</v>
      </c>
      <c r="N4813">
        <v>0</v>
      </c>
      <c r="O4813">
        <v>44</v>
      </c>
      <c r="P4813">
        <v>0</v>
      </c>
    </row>
    <row r="4814" spans="1:16" x14ac:dyDescent="0.25">
      <c r="A4814" t="s">
        <v>27205</v>
      </c>
      <c r="B4814" t="s">
        <v>19575</v>
      </c>
      <c r="C4814" t="s">
        <v>19576</v>
      </c>
      <c r="D4814" t="str">
        <f>"3106"</f>
        <v>3106</v>
      </c>
      <c r="E4814" t="s">
        <v>230</v>
      </c>
      <c r="F4814" t="s">
        <v>19552</v>
      </c>
      <c r="G4814" t="s">
        <v>16222</v>
      </c>
      <c r="H4814" t="s">
        <v>47055</v>
      </c>
      <c r="I4814" t="s">
        <v>47127</v>
      </c>
      <c r="J4814" t="s">
        <v>47128</v>
      </c>
      <c r="K4814" t="s">
        <v>47113</v>
      </c>
      <c r="L4814">
        <v>19.79</v>
      </c>
      <c r="M4814">
        <v>44</v>
      </c>
      <c r="N4814">
        <v>0</v>
      </c>
      <c r="O4814">
        <v>44</v>
      </c>
      <c r="P4814">
        <v>0</v>
      </c>
    </row>
    <row r="4815" spans="1:16" x14ac:dyDescent="0.25">
      <c r="A4815" t="s">
        <v>27206</v>
      </c>
      <c r="B4815" t="s">
        <v>19575</v>
      </c>
      <c r="C4815" t="s">
        <v>19576</v>
      </c>
      <c r="D4815" t="str">
        <f>"4522"</f>
        <v>4522</v>
      </c>
      <c r="E4815" t="s">
        <v>11009</v>
      </c>
      <c r="F4815" t="s">
        <v>19552</v>
      </c>
      <c r="G4815" t="s">
        <v>16222</v>
      </c>
      <c r="H4815" t="s">
        <v>47055</v>
      </c>
      <c r="I4815" t="s">
        <v>47127</v>
      </c>
      <c r="J4815" t="s">
        <v>47128</v>
      </c>
      <c r="K4815" t="s">
        <v>47113</v>
      </c>
      <c r="L4815">
        <v>19.79</v>
      </c>
      <c r="M4815">
        <v>44</v>
      </c>
      <c r="N4815">
        <v>0</v>
      </c>
      <c r="O4815">
        <v>44</v>
      </c>
      <c r="P4815">
        <v>0</v>
      </c>
    </row>
    <row r="4816" spans="1:16" x14ac:dyDescent="0.25">
      <c r="A4816" t="s">
        <v>27207</v>
      </c>
      <c r="B4816" t="s">
        <v>19575</v>
      </c>
      <c r="C4816" t="s">
        <v>19576</v>
      </c>
      <c r="D4816" t="str">
        <f>"6474"</f>
        <v>6474</v>
      </c>
      <c r="E4816" t="s">
        <v>19570</v>
      </c>
      <c r="F4816" t="s">
        <v>19552</v>
      </c>
      <c r="G4816" t="s">
        <v>16222</v>
      </c>
      <c r="H4816" t="s">
        <v>47055</v>
      </c>
      <c r="I4816" t="s">
        <v>47127</v>
      </c>
      <c r="J4816" t="s">
        <v>47128</v>
      </c>
      <c r="K4816" t="s">
        <v>47113</v>
      </c>
      <c r="L4816">
        <v>19.79</v>
      </c>
      <c r="M4816">
        <v>44</v>
      </c>
      <c r="N4816">
        <v>0</v>
      </c>
      <c r="O4816">
        <v>44</v>
      </c>
      <c r="P4816">
        <v>0</v>
      </c>
    </row>
    <row r="4817" spans="1:16" x14ac:dyDescent="0.25">
      <c r="A4817" t="s">
        <v>27208</v>
      </c>
      <c r="B4817" t="s">
        <v>19577</v>
      </c>
      <c r="C4817" t="s">
        <v>19578</v>
      </c>
      <c r="D4817" t="str">
        <f>"1305"</f>
        <v>1305</v>
      </c>
      <c r="E4817" t="s">
        <v>11901</v>
      </c>
      <c r="F4817" t="s">
        <v>19559</v>
      </c>
      <c r="G4817" t="s">
        <v>16235</v>
      </c>
      <c r="H4817" t="s">
        <v>47055</v>
      </c>
      <c r="I4817" t="s">
        <v>47127</v>
      </c>
      <c r="J4817" t="s">
        <v>47128</v>
      </c>
      <c r="K4817" t="s">
        <v>47113</v>
      </c>
      <c r="L4817">
        <v>32.08</v>
      </c>
      <c r="M4817">
        <v>74</v>
      </c>
      <c r="N4817">
        <v>0</v>
      </c>
      <c r="O4817">
        <v>74</v>
      </c>
      <c r="P4817">
        <v>0</v>
      </c>
    </row>
    <row r="4818" spans="1:16" x14ac:dyDescent="0.25">
      <c r="A4818" t="s">
        <v>22626</v>
      </c>
      <c r="B4818" t="s">
        <v>19577</v>
      </c>
      <c r="C4818" t="s">
        <v>19578</v>
      </c>
      <c r="D4818" t="str">
        <f>"1378"</f>
        <v>1378</v>
      </c>
      <c r="E4818" t="s">
        <v>388</v>
      </c>
      <c r="F4818" t="s">
        <v>19559</v>
      </c>
      <c r="G4818" t="s">
        <v>16235</v>
      </c>
      <c r="H4818" t="s">
        <v>47055</v>
      </c>
      <c r="I4818" t="s">
        <v>47127</v>
      </c>
      <c r="J4818" t="s">
        <v>47128</v>
      </c>
      <c r="K4818" t="s">
        <v>47113</v>
      </c>
      <c r="L4818">
        <v>32.08</v>
      </c>
      <c r="M4818">
        <v>74</v>
      </c>
      <c r="N4818">
        <v>0</v>
      </c>
      <c r="O4818">
        <v>74</v>
      </c>
      <c r="P4818">
        <v>0</v>
      </c>
    </row>
    <row r="4819" spans="1:16" x14ac:dyDescent="0.25">
      <c r="A4819" t="s">
        <v>22627</v>
      </c>
      <c r="B4819" t="s">
        <v>19577</v>
      </c>
      <c r="C4819" t="s">
        <v>19578</v>
      </c>
      <c r="D4819" t="str">
        <f>"1383"</f>
        <v>1383</v>
      </c>
      <c r="E4819" t="s">
        <v>2273</v>
      </c>
      <c r="F4819" t="s">
        <v>19559</v>
      </c>
      <c r="G4819" t="s">
        <v>16235</v>
      </c>
      <c r="H4819" t="s">
        <v>47055</v>
      </c>
      <c r="I4819" t="s">
        <v>47127</v>
      </c>
      <c r="J4819" t="s">
        <v>47128</v>
      </c>
      <c r="K4819" t="s">
        <v>47113</v>
      </c>
      <c r="L4819">
        <v>32.08</v>
      </c>
      <c r="M4819">
        <v>74</v>
      </c>
      <c r="N4819">
        <v>0</v>
      </c>
      <c r="O4819">
        <v>74</v>
      </c>
      <c r="P4819">
        <v>0</v>
      </c>
    </row>
    <row r="4820" spans="1:16" x14ac:dyDescent="0.25">
      <c r="A4820" t="s">
        <v>27209</v>
      </c>
      <c r="B4820" t="s">
        <v>19577</v>
      </c>
      <c r="C4820" t="s">
        <v>19578</v>
      </c>
      <c r="D4820" t="str">
        <f>"2000"</f>
        <v>2000</v>
      </c>
      <c r="E4820" t="s">
        <v>248</v>
      </c>
      <c r="F4820" t="s">
        <v>19559</v>
      </c>
      <c r="G4820" t="s">
        <v>16235</v>
      </c>
      <c r="H4820" t="s">
        <v>47055</v>
      </c>
      <c r="I4820" t="s">
        <v>47127</v>
      </c>
      <c r="J4820" t="s">
        <v>47128</v>
      </c>
      <c r="K4820" t="s">
        <v>47113</v>
      </c>
      <c r="L4820">
        <v>32.08</v>
      </c>
      <c r="M4820">
        <v>74</v>
      </c>
      <c r="N4820">
        <v>0</v>
      </c>
      <c r="O4820">
        <v>74</v>
      </c>
      <c r="P4820">
        <v>0</v>
      </c>
    </row>
    <row r="4821" spans="1:16" x14ac:dyDescent="0.25">
      <c r="A4821" t="s">
        <v>22628</v>
      </c>
      <c r="B4821" t="s">
        <v>19577</v>
      </c>
      <c r="C4821" t="s">
        <v>19578</v>
      </c>
      <c r="D4821" t="str">
        <f>"4522"</f>
        <v>4522</v>
      </c>
      <c r="E4821" t="s">
        <v>11009</v>
      </c>
      <c r="F4821" t="s">
        <v>19559</v>
      </c>
      <c r="G4821" t="s">
        <v>16235</v>
      </c>
      <c r="H4821" t="s">
        <v>47055</v>
      </c>
      <c r="I4821" t="s">
        <v>47127</v>
      </c>
      <c r="J4821" t="s">
        <v>47128</v>
      </c>
      <c r="K4821" t="s">
        <v>47113</v>
      </c>
      <c r="L4821">
        <v>32.08</v>
      </c>
      <c r="M4821">
        <v>74</v>
      </c>
      <c r="N4821">
        <v>0</v>
      </c>
      <c r="O4821">
        <v>74</v>
      </c>
      <c r="P4821">
        <v>0</v>
      </c>
    </row>
    <row r="4822" spans="1:16" x14ac:dyDescent="0.25">
      <c r="A4822" t="s">
        <v>22629</v>
      </c>
      <c r="B4822" t="s">
        <v>19577</v>
      </c>
      <c r="C4822" t="s">
        <v>19578</v>
      </c>
      <c r="D4822" t="str">
        <f>"6064"</f>
        <v>6064</v>
      </c>
      <c r="E4822" t="s">
        <v>87</v>
      </c>
      <c r="F4822" t="s">
        <v>19559</v>
      </c>
      <c r="G4822" t="s">
        <v>16235</v>
      </c>
      <c r="H4822" t="s">
        <v>47055</v>
      </c>
      <c r="I4822" t="s">
        <v>47127</v>
      </c>
      <c r="J4822" t="s">
        <v>47128</v>
      </c>
      <c r="K4822" t="s">
        <v>47113</v>
      </c>
      <c r="L4822">
        <v>32.08</v>
      </c>
      <c r="M4822">
        <v>74</v>
      </c>
      <c r="N4822">
        <v>0</v>
      </c>
      <c r="O4822">
        <v>74</v>
      </c>
      <c r="P4822">
        <v>0</v>
      </c>
    </row>
    <row r="4823" spans="1:16" x14ac:dyDescent="0.25">
      <c r="A4823" t="s">
        <v>22630</v>
      </c>
      <c r="B4823" t="s">
        <v>19579</v>
      </c>
      <c r="C4823" t="s">
        <v>19578</v>
      </c>
      <c r="D4823" t="str">
        <f>"1378"</f>
        <v>1378</v>
      </c>
      <c r="E4823" t="s">
        <v>388</v>
      </c>
      <c r="F4823" t="s">
        <v>19552</v>
      </c>
      <c r="G4823" t="s">
        <v>16235</v>
      </c>
      <c r="H4823" t="s">
        <v>47055</v>
      </c>
      <c r="I4823" t="s">
        <v>47127</v>
      </c>
      <c r="J4823" t="s">
        <v>47128</v>
      </c>
      <c r="K4823" t="s">
        <v>47113</v>
      </c>
      <c r="L4823">
        <v>42.24</v>
      </c>
      <c r="M4823">
        <v>74</v>
      </c>
      <c r="N4823">
        <v>0</v>
      </c>
      <c r="O4823">
        <v>74</v>
      </c>
      <c r="P4823">
        <v>0</v>
      </c>
    </row>
    <row r="4824" spans="1:16" x14ac:dyDescent="0.25">
      <c r="A4824" t="s">
        <v>22631</v>
      </c>
      <c r="B4824" t="s">
        <v>19579</v>
      </c>
      <c r="C4824" t="s">
        <v>19578</v>
      </c>
      <c r="D4824" t="str">
        <f>"1383"</f>
        <v>1383</v>
      </c>
      <c r="E4824" t="s">
        <v>2273</v>
      </c>
      <c r="F4824" t="s">
        <v>19552</v>
      </c>
      <c r="G4824" t="s">
        <v>16235</v>
      </c>
      <c r="H4824" t="s">
        <v>47055</v>
      </c>
      <c r="I4824" t="s">
        <v>47127</v>
      </c>
      <c r="J4824" t="s">
        <v>47128</v>
      </c>
      <c r="K4824" t="s">
        <v>47113</v>
      </c>
      <c r="L4824">
        <v>42.24</v>
      </c>
      <c r="M4824">
        <v>74</v>
      </c>
      <c r="N4824">
        <v>0</v>
      </c>
      <c r="O4824">
        <v>74</v>
      </c>
      <c r="P4824">
        <v>0</v>
      </c>
    </row>
    <row r="4825" spans="1:16" x14ac:dyDescent="0.25">
      <c r="A4825" t="s">
        <v>27210</v>
      </c>
      <c r="B4825" t="s">
        <v>19579</v>
      </c>
      <c r="C4825" t="s">
        <v>19578</v>
      </c>
      <c r="D4825" t="str">
        <f>"3106"</f>
        <v>3106</v>
      </c>
      <c r="E4825" t="s">
        <v>230</v>
      </c>
      <c r="F4825" t="s">
        <v>19552</v>
      </c>
      <c r="G4825" t="s">
        <v>16235</v>
      </c>
      <c r="H4825" t="s">
        <v>47055</v>
      </c>
      <c r="I4825" t="s">
        <v>47127</v>
      </c>
      <c r="J4825" t="s">
        <v>47128</v>
      </c>
      <c r="K4825" t="s">
        <v>47113</v>
      </c>
      <c r="L4825">
        <v>42.24</v>
      </c>
      <c r="M4825">
        <v>74</v>
      </c>
      <c r="N4825">
        <v>0</v>
      </c>
      <c r="O4825">
        <v>74</v>
      </c>
      <c r="P4825">
        <v>0</v>
      </c>
    </row>
    <row r="4826" spans="1:16" x14ac:dyDescent="0.25">
      <c r="A4826" t="s">
        <v>22632</v>
      </c>
      <c r="B4826" t="s">
        <v>19579</v>
      </c>
      <c r="C4826" t="s">
        <v>19578</v>
      </c>
      <c r="D4826" t="str">
        <f>"4143"</f>
        <v>4143</v>
      </c>
      <c r="E4826" t="s">
        <v>16626</v>
      </c>
      <c r="F4826" t="s">
        <v>19552</v>
      </c>
      <c r="G4826" t="s">
        <v>16235</v>
      </c>
      <c r="H4826" t="s">
        <v>47055</v>
      </c>
      <c r="I4826" t="s">
        <v>47127</v>
      </c>
      <c r="J4826" t="s">
        <v>47128</v>
      </c>
      <c r="K4826" t="s">
        <v>47113</v>
      </c>
      <c r="L4826">
        <v>42.24</v>
      </c>
      <c r="M4826">
        <v>74</v>
      </c>
      <c r="N4826">
        <v>0</v>
      </c>
      <c r="O4826">
        <v>74</v>
      </c>
      <c r="P4826">
        <v>0</v>
      </c>
    </row>
    <row r="4827" spans="1:16" x14ac:dyDescent="0.25">
      <c r="A4827" t="s">
        <v>27211</v>
      </c>
      <c r="B4827" t="s">
        <v>19580</v>
      </c>
      <c r="C4827" t="s">
        <v>19581</v>
      </c>
      <c r="D4827" t="str">
        <f>"2000"</f>
        <v>2000</v>
      </c>
      <c r="E4827" t="s">
        <v>248</v>
      </c>
      <c r="F4827" t="s">
        <v>19559</v>
      </c>
      <c r="G4827" t="s">
        <v>16235</v>
      </c>
      <c r="H4827" t="s">
        <v>47055</v>
      </c>
      <c r="I4827" t="s">
        <v>47127</v>
      </c>
      <c r="J4827" t="s">
        <v>47128</v>
      </c>
      <c r="K4827" t="s">
        <v>47113</v>
      </c>
      <c r="L4827">
        <v>33.15</v>
      </c>
      <c r="M4827">
        <v>74</v>
      </c>
      <c r="N4827">
        <v>0</v>
      </c>
      <c r="O4827">
        <v>74</v>
      </c>
      <c r="P4827">
        <v>0</v>
      </c>
    </row>
    <row r="4828" spans="1:16" x14ac:dyDescent="0.25">
      <c r="A4828" t="s">
        <v>27212</v>
      </c>
      <c r="B4828" t="s">
        <v>19580</v>
      </c>
      <c r="C4828" t="s">
        <v>19581</v>
      </c>
      <c r="D4828" t="str">
        <f>"3106"</f>
        <v>3106</v>
      </c>
      <c r="E4828" t="s">
        <v>230</v>
      </c>
      <c r="F4828" t="s">
        <v>19559</v>
      </c>
      <c r="G4828" t="s">
        <v>16235</v>
      </c>
      <c r="H4828" t="s">
        <v>47055</v>
      </c>
      <c r="I4828" t="s">
        <v>47127</v>
      </c>
      <c r="J4828" t="s">
        <v>47128</v>
      </c>
      <c r="K4828" t="s">
        <v>47113</v>
      </c>
      <c r="L4828">
        <v>33.15</v>
      </c>
      <c r="M4828">
        <v>74</v>
      </c>
      <c r="N4828">
        <v>0</v>
      </c>
      <c r="O4828">
        <v>74</v>
      </c>
      <c r="P4828">
        <v>0</v>
      </c>
    </row>
    <row r="4829" spans="1:16" x14ac:dyDescent="0.25">
      <c r="A4829" t="s">
        <v>27213</v>
      </c>
      <c r="B4829" t="s">
        <v>19580</v>
      </c>
      <c r="C4829" t="s">
        <v>19581</v>
      </c>
      <c r="D4829" t="str">
        <f>"4143"</f>
        <v>4143</v>
      </c>
      <c r="E4829" t="s">
        <v>16626</v>
      </c>
      <c r="F4829" t="s">
        <v>19559</v>
      </c>
      <c r="G4829" t="s">
        <v>16235</v>
      </c>
      <c r="H4829" t="s">
        <v>47055</v>
      </c>
      <c r="I4829" t="s">
        <v>47127</v>
      </c>
      <c r="J4829" t="s">
        <v>47128</v>
      </c>
      <c r="K4829" t="s">
        <v>47113</v>
      </c>
      <c r="L4829">
        <v>33.15</v>
      </c>
      <c r="M4829">
        <v>74</v>
      </c>
      <c r="N4829">
        <v>0</v>
      </c>
      <c r="O4829">
        <v>74</v>
      </c>
      <c r="P4829">
        <v>0</v>
      </c>
    </row>
    <row r="4830" spans="1:16" x14ac:dyDescent="0.25">
      <c r="A4830" t="s">
        <v>27214</v>
      </c>
      <c r="B4830" t="s">
        <v>19582</v>
      </c>
      <c r="C4830" t="s">
        <v>19583</v>
      </c>
      <c r="D4830" t="str">
        <f>"1106"</f>
        <v>1106</v>
      </c>
      <c r="E4830" t="s">
        <v>460</v>
      </c>
      <c r="F4830" t="s">
        <v>19552</v>
      </c>
      <c r="G4830" t="s">
        <v>16235</v>
      </c>
      <c r="H4830" t="s">
        <v>47055</v>
      </c>
      <c r="I4830" t="s">
        <v>47127</v>
      </c>
      <c r="J4830" t="s">
        <v>47128</v>
      </c>
      <c r="K4830" t="s">
        <v>47113</v>
      </c>
      <c r="L4830">
        <v>33.69</v>
      </c>
      <c r="M4830">
        <v>74</v>
      </c>
      <c r="N4830">
        <v>0</v>
      </c>
      <c r="O4830">
        <v>74</v>
      </c>
      <c r="P4830">
        <v>0</v>
      </c>
    </row>
    <row r="4831" spans="1:16" x14ac:dyDescent="0.25">
      <c r="A4831" t="s">
        <v>27215</v>
      </c>
      <c r="B4831" t="s">
        <v>19582</v>
      </c>
      <c r="C4831" t="s">
        <v>19583</v>
      </c>
      <c r="D4831" t="str">
        <f>"2000"</f>
        <v>2000</v>
      </c>
      <c r="E4831" t="s">
        <v>248</v>
      </c>
      <c r="F4831" t="s">
        <v>19552</v>
      </c>
      <c r="G4831" t="s">
        <v>16235</v>
      </c>
      <c r="H4831" t="s">
        <v>47055</v>
      </c>
      <c r="I4831" t="s">
        <v>47127</v>
      </c>
      <c r="J4831" t="s">
        <v>47128</v>
      </c>
      <c r="K4831" t="s">
        <v>47113</v>
      </c>
      <c r="L4831">
        <v>33.69</v>
      </c>
      <c r="M4831">
        <v>74</v>
      </c>
      <c r="N4831">
        <v>0</v>
      </c>
      <c r="O4831">
        <v>74</v>
      </c>
      <c r="P4831">
        <v>0</v>
      </c>
    </row>
    <row r="4832" spans="1:16" x14ac:dyDescent="0.25">
      <c r="A4832" t="s">
        <v>27216</v>
      </c>
      <c r="B4832" t="s">
        <v>19582</v>
      </c>
      <c r="C4832" t="s">
        <v>19583</v>
      </c>
      <c r="D4832" t="str">
        <f>"3106"</f>
        <v>3106</v>
      </c>
      <c r="E4832" t="s">
        <v>230</v>
      </c>
      <c r="F4832" t="s">
        <v>19552</v>
      </c>
      <c r="G4832" t="s">
        <v>16235</v>
      </c>
      <c r="H4832" t="s">
        <v>47055</v>
      </c>
      <c r="I4832" t="s">
        <v>47127</v>
      </c>
      <c r="J4832" t="s">
        <v>47128</v>
      </c>
      <c r="K4832" t="s">
        <v>47113</v>
      </c>
      <c r="L4832">
        <v>33.69</v>
      </c>
      <c r="M4832">
        <v>74</v>
      </c>
      <c r="N4832">
        <v>0</v>
      </c>
      <c r="O4832">
        <v>74</v>
      </c>
      <c r="P4832">
        <v>0</v>
      </c>
    </row>
    <row r="4833" spans="1:16" x14ac:dyDescent="0.25">
      <c r="A4833" t="s">
        <v>27217</v>
      </c>
      <c r="B4833" t="s">
        <v>19582</v>
      </c>
      <c r="C4833" t="s">
        <v>19583</v>
      </c>
      <c r="D4833" t="str">
        <f>"4143"</f>
        <v>4143</v>
      </c>
      <c r="E4833" t="s">
        <v>16626</v>
      </c>
      <c r="F4833" t="s">
        <v>19552</v>
      </c>
      <c r="G4833" t="s">
        <v>16235</v>
      </c>
      <c r="H4833" t="s">
        <v>47055</v>
      </c>
      <c r="I4833" t="s">
        <v>47127</v>
      </c>
      <c r="J4833" t="s">
        <v>47128</v>
      </c>
      <c r="K4833" t="s">
        <v>47113</v>
      </c>
      <c r="L4833">
        <v>33.69</v>
      </c>
      <c r="M4833">
        <v>74</v>
      </c>
      <c r="N4833">
        <v>0</v>
      </c>
      <c r="O4833">
        <v>74</v>
      </c>
      <c r="P4833">
        <v>0</v>
      </c>
    </row>
    <row r="4834" spans="1:16" x14ac:dyDescent="0.25">
      <c r="A4834" t="s">
        <v>22633</v>
      </c>
      <c r="B4834" t="s">
        <v>19584</v>
      </c>
      <c r="C4834" t="s">
        <v>19585</v>
      </c>
      <c r="D4834" t="str">
        <f>"1106"</f>
        <v>1106</v>
      </c>
      <c r="E4834" t="s">
        <v>460</v>
      </c>
      <c r="F4834" t="s">
        <v>19559</v>
      </c>
      <c r="G4834" t="s">
        <v>16235</v>
      </c>
      <c r="H4834" t="s">
        <v>47055</v>
      </c>
      <c r="I4834" t="s">
        <v>47127</v>
      </c>
      <c r="J4834" t="s">
        <v>47128</v>
      </c>
      <c r="K4834" t="s">
        <v>47113</v>
      </c>
      <c r="L4834">
        <v>33.69</v>
      </c>
      <c r="M4834">
        <v>74</v>
      </c>
      <c r="N4834">
        <v>0</v>
      </c>
      <c r="O4834">
        <v>74</v>
      </c>
      <c r="P4834">
        <v>0</v>
      </c>
    </row>
    <row r="4835" spans="1:16" x14ac:dyDescent="0.25">
      <c r="A4835" t="s">
        <v>22634</v>
      </c>
      <c r="B4835" t="s">
        <v>19584</v>
      </c>
      <c r="C4835" t="s">
        <v>19585</v>
      </c>
      <c r="D4835" t="str">
        <f>"1278"</f>
        <v>1278</v>
      </c>
      <c r="E4835" t="s">
        <v>100</v>
      </c>
      <c r="F4835" t="s">
        <v>19559</v>
      </c>
      <c r="G4835" t="s">
        <v>16235</v>
      </c>
      <c r="H4835" t="s">
        <v>47055</v>
      </c>
      <c r="I4835" t="s">
        <v>47127</v>
      </c>
      <c r="J4835" t="s">
        <v>47128</v>
      </c>
      <c r="K4835" t="s">
        <v>47113</v>
      </c>
      <c r="L4835">
        <v>33.69</v>
      </c>
      <c r="M4835">
        <v>74</v>
      </c>
      <c r="N4835">
        <v>0</v>
      </c>
      <c r="O4835">
        <v>74</v>
      </c>
      <c r="P4835">
        <v>0</v>
      </c>
    </row>
    <row r="4836" spans="1:16" x14ac:dyDescent="0.25">
      <c r="A4836" t="s">
        <v>22635</v>
      </c>
      <c r="B4836" t="s">
        <v>19584</v>
      </c>
      <c r="C4836" t="s">
        <v>19585</v>
      </c>
      <c r="D4836" t="str">
        <f>"4143"</f>
        <v>4143</v>
      </c>
      <c r="E4836" t="s">
        <v>16626</v>
      </c>
      <c r="F4836" t="s">
        <v>19559</v>
      </c>
      <c r="G4836" t="s">
        <v>16235</v>
      </c>
      <c r="H4836" t="s">
        <v>47055</v>
      </c>
      <c r="I4836" t="s">
        <v>47127</v>
      </c>
      <c r="J4836" t="s">
        <v>47128</v>
      </c>
      <c r="K4836" t="s">
        <v>47113</v>
      </c>
      <c r="L4836">
        <v>33.69</v>
      </c>
      <c r="M4836">
        <v>74</v>
      </c>
      <c r="N4836">
        <v>0</v>
      </c>
      <c r="O4836">
        <v>74</v>
      </c>
      <c r="P4836">
        <v>0</v>
      </c>
    </row>
    <row r="4837" spans="1:16" x14ac:dyDescent="0.25">
      <c r="A4837" t="s">
        <v>27218</v>
      </c>
      <c r="B4837" t="s">
        <v>19584</v>
      </c>
      <c r="C4837" t="s">
        <v>19585</v>
      </c>
      <c r="D4837" t="str">
        <f>"6474"</f>
        <v>6474</v>
      </c>
      <c r="E4837" t="s">
        <v>19570</v>
      </c>
      <c r="F4837" t="s">
        <v>19559</v>
      </c>
      <c r="G4837" t="s">
        <v>16235</v>
      </c>
      <c r="H4837" t="s">
        <v>47055</v>
      </c>
      <c r="I4837" t="s">
        <v>47127</v>
      </c>
      <c r="J4837" t="s">
        <v>47128</v>
      </c>
      <c r="K4837" t="s">
        <v>47113</v>
      </c>
      <c r="L4837">
        <v>33.69</v>
      </c>
      <c r="M4837">
        <v>74</v>
      </c>
      <c r="N4837">
        <v>0</v>
      </c>
      <c r="O4837">
        <v>74</v>
      </c>
      <c r="P4837">
        <v>0</v>
      </c>
    </row>
    <row r="4838" spans="1:16" x14ac:dyDescent="0.25">
      <c r="A4838" t="s">
        <v>22636</v>
      </c>
      <c r="B4838" t="s">
        <v>19586</v>
      </c>
      <c r="C4838" t="s">
        <v>19587</v>
      </c>
      <c r="D4838" t="str">
        <f>"1106"</f>
        <v>1106</v>
      </c>
      <c r="E4838" t="s">
        <v>460</v>
      </c>
      <c r="F4838" t="s">
        <v>19559</v>
      </c>
      <c r="G4838" t="s">
        <v>16222</v>
      </c>
      <c r="H4838" t="s">
        <v>47055</v>
      </c>
      <c r="I4838" t="s">
        <v>47127</v>
      </c>
      <c r="J4838" t="s">
        <v>47128</v>
      </c>
      <c r="K4838" t="s">
        <v>47113</v>
      </c>
      <c r="L4838">
        <v>20.85</v>
      </c>
      <c r="M4838">
        <v>48</v>
      </c>
      <c r="N4838">
        <v>0</v>
      </c>
      <c r="O4838">
        <v>48</v>
      </c>
      <c r="P4838">
        <v>0</v>
      </c>
    </row>
    <row r="4839" spans="1:16" x14ac:dyDescent="0.25">
      <c r="A4839" t="s">
        <v>22637</v>
      </c>
      <c r="B4839" t="s">
        <v>19586</v>
      </c>
      <c r="C4839" t="s">
        <v>19587</v>
      </c>
      <c r="D4839" t="str">
        <f>"1278"</f>
        <v>1278</v>
      </c>
      <c r="E4839" t="s">
        <v>100</v>
      </c>
      <c r="F4839" t="s">
        <v>19559</v>
      </c>
      <c r="G4839" t="s">
        <v>16222</v>
      </c>
      <c r="H4839" t="s">
        <v>47055</v>
      </c>
      <c r="I4839" t="s">
        <v>47127</v>
      </c>
      <c r="J4839" t="s">
        <v>47128</v>
      </c>
      <c r="K4839" t="s">
        <v>47113</v>
      </c>
      <c r="L4839">
        <v>20.85</v>
      </c>
      <c r="M4839">
        <v>48</v>
      </c>
      <c r="N4839">
        <v>0</v>
      </c>
      <c r="O4839">
        <v>48</v>
      </c>
      <c r="P4839">
        <v>0</v>
      </c>
    </row>
    <row r="4840" spans="1:16" x14ac:dyDescent="0.25">
      <c r="A4840" t="s">
        <v>22638</v>
      </c>
      <c r="B4840" t="s">
        <v>19586</v>
      </c>
      <c r="C4840" t="s">
        <v>19587</v>
      </c>
      <c r="D4840" t="str">
        <f>"4143"</f>
        <v>4143</v>
      </c>
      <c r="E4840" t="s">
        <v>16626</v>
      </c>
      <c r="F4840" t="s">
        <v>19559</v>
      </c>
      <c r="G4840" t="s">
        <v>16222</v>
      </c>
      <c r="H4840" t="s">
        <v>47055</v>
      </c>
      <c r="I4840" t="s">
        <v>47127</v>
      </c>
      <c r="J4840" t="s">
        <v>47128</v>
      </c>
      <c r="K4840" t="s">
        <v>47113</v>
      </c>
      <c r="L4840">
        <v>20.85</v>
      </c>
      <c r="M4840">
        <v>48</v>
      </c>
      <c r="N4840">
        <v>0</v>
      </c>
      <c r="O4840">
        <v>48</v>
      </c>
      <c r="P4840">
        <v>0</v>
      </c>
    </row>
    <row r="4841" spans="1:16" x14ac:dyDescent="0.25">
      <c r="A4841" t="s">
        <v>27219</v>
      </c>
      <c r="B4841" t="s">
        <v>19586</v>
      </c>
      <c r="C4841" t="s">
        <v>19587</v>
      </c>
      <c r="D4841" t="str">
        <f>"6474"</f>
        <v>6474</v>
      </c>
      <c r="E4841" t="s">
        <v>19570</v>
      </c>
      <c r="F4841" t="s">
        <v>19559</v>
      </c>
      <c r="G4841" t="s">
        <v>16222</v>
      </c>
      <c r="H4841" t="s">
        <v>47055</v>
      </c>
      <c r="I4841" t="s">
        <v>47127</v>
      </c>
      <c r="J4841" t="s">
        <v>47128</v>
      </c>
      <c r="K4841" t="s">
        <v>47113</v>
      </c>
      <c r="L4841">
        <v>20.85</v>
      </c>
      <c r="M4841">
        <v>48</v>
      </c>
      <c r="N4841">
        <v>0</v>
      </c>
      <c r="O4841">
        <v>48</v>
      </c>
      <c r="P4841">
        <v>0</v>
      </c>
    </row>
    <row r="4842" spans="1:16" x14ac:dyDescent="0.25">
      <c r="A4842" t="s">
        <v>27220</v>
      </c>
      <c r="B4842" t="s">
        <v>19588</v>
      </c>
      <c r="C4842" t="s">
        <v>19589</v>
      </c>
      <c r="D4842" t="str">
        <f>"1106"</f>
        <v>1106</v>
      </c>
      <c r="E4842" t="s">
        <v>460</v>
      </c>
      <c r="F4842" t="s">
        <v>19552</v>
      </c>
      <c r="G4842" t="s">
        <v>16235</v>
      </c>
      <c r="H4842" t="s">
        <v>47055</v>
      </c>
      <c r="I4842" t="s">
        <v>47127</v>
      </c>
      <c r="J4842" t="s">
        <v>47128</v>
      </c>
      <c r="K4842" t="s">
        <v>47113</v>
      </c>
      <c r="L4842">
        <v>30.48</v>
      </c>
      <c r="M4842">
        <v>70</v>
      </c>
      <c r="N4842">
        <v>0</v>
      </c>
      <c r="O4842">
        <v>70</v>
      </c>
      <c r="P4842">
        <v>0</v>
      </c>
    </row>
    <row r="4843" spans="1:16" x14ac:dyDescent="0.25">
      <c r="A4843" t="s">
        <v>27221</v>
      </c>
      <c r="B4843" t="s">
        <v>19588</v>
      </c>
      <c r="C4843" t="s">
        <v>19589</v>
      </c>
      <c r="D4843" t="str">
        <f>"3106"</f>
        <v>3106</v>
      </c>
      <c r="E4843" t="s">
        <v>230</v>
      </c>
      <c r="F4843" t="s">
        <v>19552</v>
      </c>
      <c r="G4843" t="s">
        <v>16235</v>
      </c>
      <c r="H4843" t="s">
        <v>47055</v>
      </c>
      <c r="I4843" t="s">
        <v>47127</v>
      </c>
      <c r="J4843" t="s">
        <v>47128</v>
      </c>
      <c r="K4843" t="s">
        <v>47113</v>
      </c>
      <c r="L4843">
        <v>30.48</v>
      </c>
      <c r="M4843">
        <v>70</v>
      </c>
      <c r="N4843">
        <v>0</v>
      </c>
      <c r="O4843">
        <v>70</v>
      </c>
      <c r="P4843">
        <v>0</v>
      </c>
    </row>
    <row r="4844" spans="1:16" x14ac:dyDescent="0.25">
      <c r="A4844" t="s">
        <v>22639</v>
      </c>
      <c r="B4844" t="s">
        <v>19588</v>
      </c>
      <c r="C4844" t="s">
        <v>19589</v>
      </c>
      <c r="D4844" t="str">
        <f>"4143"</f>
        <v>4143</v>
      </c>
      <c r="E4844" t="s">
        <v>16626</v>
      </c>
      <c r="F4844" t="s">
        <v>19552</v>
      </c>
      <c r="G4844" t="s">
        <v>16235</v>
      </c>
      <c r="H4844" t="s">
        <v>47055</v>
      </c>
      <c r="I4844" t="s">
        <v>47127</v>
      </c>
      <c r="J4844" t="s">
        <v>47128</v>
      </c>
      <c r="K4844" t="s">
        <v>47113</v>
      </c>
      <c r="L4844">
        <v>30.48</v>
      </c>
      <c r="M4844">
        <v>70</v>
      </c>
      <c r="N4844">
        <v>0</v>
      </c>
      <c r="O4844">
        <v>70</v>
      </c>
      <c r="P4844">
        <v>0</v>
      </c>
    </row>
    <row r="4845" spans="1:16" x14ac:dyDescent="0.25">
      <c r="A4845" t="s">
        <v>27222</v>
      </c>
      <c r="B4845" t="s">
        <v>19588</v>
      </c>
      <c r="C4845" t="s">
        <v>19589</v>
      </c>
      <c r="D4845" t="str">
        <f>"6064"</f>
        <v>6064</v>
      </c>
      <c r="E4845" t="s">
        <v>87</v>
      </c>
      <c r="F4845" t="s">
        <v>19552</v>
      </c>
      <c r="G4845" t="s">
        <v>16235</v>
      </c>
      <c r="H4845" t="s">
        <v>47055</v>
      </c>
      <c r="I4845" t="s">
        <v>47127</v>
      </c>
      <c r="J4845" t="s">
        <v>47128</v>
      </c>
      <c r="K4845" t="s">
        <v>47113</v>
      </c>
      <c r="L4845">
        <v>30.48</v>
      </c>
      <c r="M4845">
        <v>70</v>
      </c>
      <c r="N4845">
        <v>0</v>
      </c>
      <c r="O4845">
        <v>70</v>
      </c>
      <c r="P4845">
        <v>0</v>
      </c>
    </row>
    <row r="4846" spans="1:16" x14ac:dyDescent="0.25">
      <c r="A4846" t="s">
        <v>27223</v>
      </c>
      <c r="B4846" t="s">
        <v>19588</v>
      </c>
      <c r="C4846" t="s">
        <v>19589</v>
      </c>
      <c r="D4846" t="str">
        <f>"6474"</f>
        <v>6474</v>
      </c>
      <c r="E4846" t="s">
        <v>19570</v>
      </c>
      <c r="F4846" t="s">
        <v>19552</v>
      </c>
      <c r="G4846" t="s">
        <v>16235</v>
      </c>
      <c r="H4846" t="s">
        <v>47055</v>
      </c>
      <c r="I4846" t="s">
        <v>47127</v>
      </c>
      <c r="J4846" t="s">
        <v>47128</v>
      </c>
      <c r="K4846" t="s">
        <v>47113</v>
      </c>
      <c r="L4846">
        <v>30.48</v>
      </c>
      <c r="M4846">
        <v>70</v>
      </c>
      <c r="N4846">
        <v>0</v>
      </c>
      <c r="O4846">
        <v>70</v>
      </c>
      <c r="P4846">
        <v>0</v>
      </c>
    </row>
    <row r="4847" spans="1:16" x14ac:dyDescent="0.25">
      <c r="A4847" t="s">
        <v>27224</v>
      </c>
      <c r="B4847" t="s">
        <v>19590</v>
      </c>
      <c r="C4847" t="s">
        <v>19591</v>
      </c>
      <c r="D4847" t="str">
        <f>"2000"</f>
        <v>2000</v>
      </c>
      <c r="E4847" t="s">
        <v>248</v>
      </c>
      <c r="F4847" t="s">
        <v>19552</v>
      </c>
      <c r="G4847" t="s">
        <v>16235</v>
      </c>
      <c r="H4847" t="s">
        <v>47055</v>
      </c>
      <c r="I4847" t="s">
        <v>47127</v>
      </c>
      <c r="J4847" t="s">
        <v>47128</v>
      </c>
      <c r="K4847" t="s">
        <v>47113</v>
      </c>
      <c r="L4847">
        <v>33.15</v>
      </c>
      <c r="M4847">
        <v>74</v>
      </c>
      <c r="N4847">
        <v>0</v>
      </c>
      <c r="O4847">
        <v>74</v>
      </c>
      <c r="P4847">
        <v>0</v>
      </c>
    </row>
    <row r="4848" spans="1:16" x14ac:dyDescent="0.25">
      <c r="A4848" t="s">
        <v>27225</v>
      </c>
      <c r="B4848" t="s">
        <v>19590</v>
      </c>
      <c r="C4848" t="s">
        <v>19591</v>
      </c>
      <c r="D4848" t="str">
        <f>"3106"</f>
        <v>3106</v>
      </c>
      <c r="E4848" t="s">
        <v>230</v>
      </c>
      <c r="F4848" t="s">
        <v>19552</v>
      </c>
      <c r="G4848" t="s">
        <v>16235</v>
      </c>
      <c r="H4848" t="s">
        <v>47055</v>
      </c>
      <c r="I4848" t="s">
        <v>47127</v>
      </c>
      <c r="J4848" t="s">
        <v>47128</v>
      </c>
      <c r="K4848" t="s">
        <v>47113</v>
      </c>
      <c r="L4848">
        <v>33.15</v>
      </c>
      <c r="M4848">
        <v>74</v>
      </c>
      <c r="N4848">
        <v>0</v>
      </c>
      <c r="O4848">
        <v>74</v>
      </c>
      <c r="P4848">
        <v>0</v>
      </c>
    </row>
    <row r="4849" spans="1:16" x14ac:dyDescent="0.25">
      <c r="A4849" t="s">
        <v>27226</v>
      </c>
      <c r="B4849" t="s">
        <v>19590</v>
      </c>
      <c r="C4849" t="s">
        <v>19591</v>
      </c>
      <c r="D4849" t="str">
        <f>"4143"</f>
        <v>4143</v>
      </c>
      <c r="E4849" t="s">
        <v>16626</v>
      </c>
      <c r="F4849" t="s">
        <v>19552</v>
      </c>
      <c r="G4849" t="s">
        <v>16235</v>
      </c>
      <c r="H4849" t="s">
        <v>47055</v>
      </c>
      <c r="I4849" t="s">
        <v>47127</v>
      </c>
      <c r="J4849" t="s">
        <v>47128</v>
      </c>
      <c r="K4849" t="s">
        <v>47113</v>
      </c>
      <c r="L4849">
        <v>33.15</v>
      </c>
      <c r="M4849">
        <v>74</v>
      </c>
      <c r="N4849">
        <v>0</v>
      </c>
      <c r="O4849">
        <v>74</v>
      </c>
      <c r="P4849">
        <v>0</v>
      </c>
    </row>
    <row r="4850" spans="1:16" x14ac:dyDescent="0.25">
      <c r="A4850" t="s">
        <v>27227</v>
      </c>
      <c r="B4850" t="s">
        <v>19590</v>
      </c>
      <c r="C4850" t="s">
        <v>19591</v>
      </c>
      <c r="D4850" t="str">
        <f>"6064"</f>
        <v>6064</v>
      </c>
      <c r="E4850" t="s">
        <v>87</v>
      </c>
      <c r="F4850" t="s">
        <v>19552</v>
      </c>
      <c r="G4850" t="s">
        <v>16235</v>
      </c>
      <c r="H4850" t="s">
        <v>47055</v>
      </c>
      <c r="I4850" t="s">
        <v>47127</v>
      </c>
      <c r="J4850" t="s">
        <v>47128</v>
      </c>
      <c r="K4850" t="s">
        <v>47113</v>
      </c>
      <c r="L4850">
        <v>33.15</v>
      </c>
      <c r="M4850">
        <v>74</v>
      </c>
      <c r="N4850">
        <v>0</v>
      </c>
      <c r="O4850">
        <v>74</v>
      </c>
      <c r="P4850">
        <v>0</v>
      </c>
    </row>
    <row r="4851" spans="1:16" x14ac:dyDescent="0.25">
      <c r="A4851" t="s">
        <v>27228</v>
      </c>
      <c r="B4851" t="s">
        <v>19592</v>
      </c>
      <c r="C4851" t="s">
        <v>19593</v>
      </c>
      <c r="D4851" t="str">
        <f>"2000"</f>
        <v>2000</v>
      </c>
      <c r="E4851" t="s">
        <v>248</v>
      </c>
      <c r="F4851" t="s">
        <v>19552</v>
      </c>
      <c r="G4851" t="s">
        <v>16235</v>
      </c>
      <c r="H4851" t="s">
        <v>47055</v>
      </c>
      <c r="I4851" t="s">
        <v>47127</v>
      </c>
      <c r="J4851" t="s">
        <v>47128</v>
      </c>
      <c r="K4851" t="s">
        <v>47113</v>
      </c>
      <c r="L4851">
        <v>32.08</v>
      </c>
      <c r="M4851">
        <v>74</v>
      </c>
      <c r="N4851">
        <v>0</v>
      </c>
      <c r="O4851">
        <v>74</v>
      </c>
      <c r="P4851">
        <v>0</v>
      </c>
    </row>
    <row r="4852" spans="1:16" x14ac:dyDescent="0.25">
      <c r="A4852" t="s">
        <v>27229</v>
      </c>
      <c r="B4852" t="s">
        <v>19592</v>
      </c>
      <c r="C4852" t="s">
        <v>19593</v>
      </c>
      <c r="D4852" t="str">
        <f>"3106"</f>
        <v>3106</v>
      </c>
      <c r="E4852" t="s">
        <v>230</v>
      </c>
      <c r="F4852" t="s">
        <v>19552</v>
      </c>
      <c r="G4852" t="s">
        <v>16235</v>
      </c>
      <c r="H4852" t="s">
        <v>47055</v>
      </c>
      <c r="I4852" t="s">
        <v>47127</v>
      </c>
      <c r="J4852" t="s">
        <v>47128</v>
      </c>
      <c r="K4852" t="s">
        <v>47113</v>
      </c>
      <c r="L4852">
        <v>32.08</v>
      </c>
      <c r="M4852">
        <v>74</v>
      </c>
      <c r="N4852">
        <v>0</v>
      </c>
      <c r="O4852">
        <v>74</v>
      </c>
      <c r="P4852">
        <v>0</v>
      </c>
    </row>
    <row r="4853" spans="1:16" x14ac:dyDescent="0.25">
      <c r="A4853" t="s">
        <v>27230</v>
      </c>
      <c r="B4853" t="s">
        <v>19592</v>
      </c>
      <c r="C4853" t="s">
        <v>19593</v>
      </c>
      <c r="D4853" t="str">
        <f>"4143"</f>
        <v>4143</v>
      </c>
      <c r="E4853" t="s">
        <v>16626</v>
      </c>
      <c r="F4853" t="s">
        <v>19552</v>
      </c>
      <c r="G4853" t="s">
        <v>16235</v>
      </c>
      <c r="H4853" t="s">
        <v>47055</v>
      </c>
      <c r="I4853" t="s">
        <v>47127</v>
      </c>
      <c r="J4853" t="s">
        <v>47128</v>
      </c>
      <c r="K4853" t="s">
        <v>47113</v>
      </c>
      <c r="L4853">
        <v>32.08</v>
      </c>
      <c r="M4853">
        <v>74</v>
      </c>
      <c r="N4853">
        <v>0</v>
      </c>
      <c r="O4853">
        <v>74</v>
      </c>
      <c r="P4853">
        <v>0</v>
      </c>
    </row>
    <row r="4854" spans="1:16" x14ac:dyDescent="0.25">
      <c r="A4854" t="s">
        <v>27231</v>
      </c>
      <c r="B4854" t="s">
        <v>19592</v>
      </c>
      <c r="C4854" t="s">
        <v>19593</v>
      </c>
      <c r="D4854" t="str">
        <f>"6064"</f>
        <v>6064</v>
      </c>
      <c r="E4854" t="s">
        <v>87</v>
      </c>
      <c r="F4854" t="s">
        <v>19552</v>
      </c>
      <c r="G4854" t="s">
        <v>16235</v>
      </c>
      <c r="H4854" t="s">
        <v>47055</v>
      </c>
      <c r="I4854" t="s">
        <v>47127</v>
      </c>
      <c r="J4854" t="s">
        <v>47128</v>
      </c>
      <c r="K4854" t="s">
        <v>47113</v>
      </c>
      <c r="L4854">
        <v>32.08</v>
      </c>
      <c r="M4854">
        <v>74</v>
      </c>
      <c r="N4854">
        <v>0</v>
      </c>
      <c r="O4854">
        <v>74</v>
      </c>
      <c r="P4854">
        <v>0</v>
      </c>
    </row>
    <row r="4855" spans="1:16" x14ac:dyDescent="0.25">
      <c r="A4855" t="s">
        <v>27232</v>
      </c>
      <c r="B4855" t="s">
        <v>19594</v>
      </c>
      <c r="C4855" t="s">
        <v>19595</v>
      </c>
      <c r="D4855" t="str">
        <f>"3106"</f>
        <v>3106</v>
      </c>
      <c r="E4855" t="s">
        <v>230</v>
      </c>
      <c r="F4855" t="s">
        <v>19552</v>
      </c>
      <c r="G4855" t="s">
        <v>16235</v>
      </c>
      <c r="H4855" t="s">
        <v>47055</v>
      </c>
      <c r="I4855" t="s">
        <v>47127</v>
      </c>
      <c r="J4855" t="s">
        <v>47128</v>
      </c>
      <c r="K4855" t="s">
        <v>47113</v>
      </c>
      <c r="L4855">
        <v>34.44</v>
      </c>
      <c r="M4855">
        <v>81</v>
      </c>
      <c r="N4855">
        <v>0</v>
      </c>
      <c r="O4855">
        <v>81</v>
      </c>
      <c r="P4855">
        <v>0</v>
      </c>
    </row>
    <row r="4856" spans="1:16" x14ac:dyDescent="0.25">
      <c r="A4856" t="s">
        <v>27233</v>
      </c>
      <c r="B4856" t="s">
        <v>19594</v>
      </c>
      <c r="C4856" t="s">
        <v>19595</v>
      </c>
      <c r="D4856" t="str">
        <f>"4143"</f>
        <v>4143</v>
      </c>
      <c r="E4856" t="s">
        <v>16626</v>
      </c>
      <c r="F4856" t="s">
        <v>19552</v>
      </c>
      <c r="G4856" t="s">
        <v>16235</v>
      </c>
      <c r="H4856" t="s">
        <v>47055</v>
      </c>
      <c r="I4856" t="s">
        <v>47127</v>
      </c>
      <c r="J4856" t="s">
        <v>47128</v>
      </c>
      <c r="K4856" t="s">
        <v>47113</v>
      </c>
      <c r="L4856">
        <v>34.44</v>
      </c>
      <c r="M4856">
        <v>81</v>
      </c>
      <c r="N4856">
        <v>0</v>
      </c>
      <c r="O4856">
        <v>81</v>
      </c>
      <c r="P4856">
        <v>0</v>
      </c>
    </row>
    <row r="4857" spans="1:16" x14ac:dyDescent="0.25">
      <c r="A4857" t="s">
        <v>22640</v>
      </c>
      <c r="B4857" t="s">
        <v>19596</v>
      </c>
      <c r="C4857" t="s">
        <v>19597</v>
      </c>
      <c r="D4857" t="str">
        <f>"1106"</f>
        <v>1106</v>
      </c>
      <c r="E4857" t="s">
        <v>460</v>
      </c>
      <c r="F4857" t="s">
        <v>19559</v>
      </c>
      <c r="G4857" t="s">
        <v>16222</v>
      </c>
      <c r="H4857" t="s">
        <v>47055</v>
      </c>
      <c r="I4857" t="s">
        <v>47127</v>
      </c>
      <c r="J4857" t="s">
        <v>47128</v>
      </c>
      <c r="K4857" t="s">
        <v>47113</v>
      </c>
      <c r="L4857">
        <v>23.74</v>
      </c>
      <c r="M4857">
        <v>55</v>
      </c>
      <c r="N4857">
        <v>0</v>
      </c>
      <c r="O4857">
        <v>55</v>
      </c>
      <c r="P4857">
        <v>0</v>
      </c>
    </row>
    <row r="4858" spans="1:16" x14ac:dyDescent="0.25">
      <c r="A4858" t="s">
        <v>22641</v>
      </c>
      <c r="B4858" t="s">
        <v>19596</v>
      </c>
      <c r="C4858" t="s">
        <v>19597</v>
      </c>
      <c r="D4858" t="str">
        <f>"1278"</f>
        <v>1278</v>
      </c>
      <c r="E4858" t="s">
        <v>100</v>
      </c>
      <c r="F4858" t="s">
        <v>19559</v>
      </c>
      <c r="G4858" t="s">
        <v>16222</v>
      </c>
      <c r="H4858" t="s">
        <v>47055</v>
      </c>
      <c r="I4858" t="s">
        <v>47127</v>
      </c>
      <c r="J4858" t="s">
        <v>47128</v>
      </c>
      <c r="K4858" t="s">
        <v>47113</v>
      </c>
      <c r="L4858">
        <v>23.74</v>
      </c>
      <c r="M4858">
        <v>55</v>
      </c>
      <c r="N4858">
        <v>0</v>
      </c>
      <c r="O4858">
        <v>55</v>
      </c>
      <c r="P4858">
        <v>0</v>
      </c>
    </row>
    <row r="4859" spans="1:16" x14ac:dyDescent="0.25">
      <c r="A4859" t="s">
        <v>27234</v>
      </c>
      <c r="B4859" t="s">
        <v>19596</v>
      </c>
      <c r="C4859" t="s">
        <v>19597</v>
      </c>
      <c r="D4859" t="str">
        <f>"3106"</f>
        <v>3106</v>
      </c>
      <c r="E4859" t="s">
        <v>230</v>
      </c>
      <c r="F4859" t="s">
        <v>19559</v>
      </c>
      <c r="G4859" t="s">
        <v>16222</v>
      </c>
      <c r="H4859" t="s">
        <v>47055</v>
      </c>
      <c r="I4859" t="s">
        <v>47127</v>
      </c>
      <c r="J4859" t="s">
        <v>47128</v>
      </c>
      <c r="K4859" t="s">
        <v>47113</v>
      </c>
      <c r="L4859">
        <v>23.74</v>
      </c>
      <c r="M4859">
        <v>55</v>
      </c>
      <c r="N4859">
        <v>0</v>
      </c>
      <c r="O4859">
        <v>55</v>
      </c>
      <c r="P4859">
        <v>0</v>
      </c>
    </row>
    <row r="4860" spans="1:16" x14ac:dyDescent="0.25">
      <c r="A4860" t="s">
        <v>22642</v>
      </c>
      <c r="B4860" t="s">
        <v>19596</v>
      </c>
      <c r="C4860" t="s">
        <v>19597</v>
      </c>
      <c r="D4860" t="str">
        <f>"4143"</f>
        <v>4143</v>
      </c>
      <c r="E4860" t="s">
        <v>16626</v>
      </c>
      <c r="F4860" t="s">
        <v>19559</v>
      </c>
      <c r="G4860" t="s">
        <v>16222</v>
      </c>
      <c r="H4860" t="s">
        <v>47055</v>
      </c>
      <c r="I4860" t="s">
        <v>47127</v>
      </c>
      <c r="J4860" t="s">
        <v>47128</v>
      </c>
      <c r="K4860" t="s">
        <v>47113</v>
      </c>
      <c r="L4860">
        <v>23.74</v>
      </c>
      <c r="M4860">
        <v>55</v>
      </c>
      <c r="N4860">
        <v>0</v>
      </c>
      <c r="O4860">
        <v>55</v>
      </c>
      <c r="P4860">
        <v>0</v>
      </c>
    </row>
    <row r="4861" spans="1:16" x14ac:dyDescent="0.25">
      <c r="A4861" t="s">
        <v>27235</v>
      </c>
      <c r="B4861" t="s">
        <v>19598</v>
      </c>
      <c r="C4861" t="s">
        <v>19599</v>
      </c>
      <c r="D4861" t="str">
        <f>"1001"</f>
        <v>1001</v>
      </c>
      <c r="E4861" t="s">
        <v>42</v>
      </c>
      <c r="F4861" t="s">
        <v>19552</v>
      </c>
      <c r="G4861" t="s">
        <v>47122</v>
      </c>
      <c r="H4861" t="s">
        <v>47055</v>
      </c>
      <c r="I4861" t="s">
        <v>47120</v>
      </c>
      <c r="J4861" t="s">
        <v>47121</v>
      </c>
      <c r="K4861" t="s">
        <v>47113</v>
      </c>
      <c r="L4861">
        <v>53.45</v>
      </c>
      <c r="M4861">
        <v>111</v>
      </c>
      <c r="N4861">
        <v>0</v>
      </c>
      <c r="O4861">
        <v>111</v>
      </c>
      <c r="P4861">
        <v>0</v>
      </c>
    </row>
    <row r="4862" spans="1:16" x14ac:dyDescent="0.25">
      <c r="A4862" t="s">
        <v>27236</v>
      </c>
      <c r="B4862" t="s">
        <v>19598</v>
      </c>
      <c r="C4862" t="s">
        <v>19599</v>
      </c>
      <c r="D4862" t="str">
        <f>"1305"</f>
        <v>1305</v>
      </c>
      <c r="E4862" t="s">
        <v>11901</v>
      </c>
      <c r="F4862" t="s">
        <v>19552</v>
      </c>
      <c r="G4862" t="s">
        <v>47122</v>
      </c>
      <c r="H4862" t="s">
        <v>47055</v>
      </c>
      <c r="I4862" t="s">
        <v>47120</v>
      </c>
      <c r="J4862" t="s">
        <v>47121</v>
      </c>
      <c r="K4862" t="s">
        <v>47113</v>
      </c>
      <c r="L4862">
        <v>53.45</v>
      </c>
      <c r="M4862">
        <v>111</v>
      </c>
      <c r="N4862">
        <v>0</v>
      </c>
      <c r="O4862">
        <v>111</v>
      </c>
      <c r="P4862">
        <v>0</v>
      </c>
    </row>
    <row r="4863" spans="1:16" x14ac:dyDescent="0.25">
      <c r="A4863" t="s">
        <v>27237</v>
      </c>
      <c r="B4863" t="s">
        <v>19598</v>
      </c>
      <c r="C4863" t="s">
        <v>19599</v>
      </c>
      <c r="D4863" t="str">
        <f>"4067"</f>
        <v>4067</v>
      </c>
      <c r="E4863" t="s">
        <v>1865</v>
      </c>
      <c r="F4863" t="s">
        <v>19552</v>
      </c>
      <c r="G4863" t="s">
        <v>47122</v>
      </c>
      <c r="H4863" t="s">
        <v>47055</v>
      </c>
      <c r="I4863" t="s">
        <v>47120</v>
      </c>
      <c r="J4863" t="s">
        <v>47121</v>
      </c>
      <c r="K4863" t="s">
        <v>47113</v>
      </c>
      <c r="L4863">
        <v>53.45</v>
      </c>
      <c r="M4863">
        <v>111</v>
      </c>
      <c r="N4863">
        <v>0</v>
      </c>
      <c r="O4863">
        <v>111</v>
      </c>
      <c r="P4863">
        <v>0</v>
      </c>
    </row>
    <row r="4864" spans="1:16" x14ac:dyDescent="0.25">
      <c r="A4864" t="s">
        <v>27238</v>
      </c>
      <c r="B4864" t="s">
        <v>19598</v>
      </c>
      <c r="C4864" t="s">
        <v>19599</v>
      </c>
      <c r="D4864" t="str">
        <f>"6000"</f>
        <v>6000</v>
      </c>
      <c r="E4864" t="s">
        <v>238</v>
      </c>
      <c r="F4864" t="s">
        <v>19552</v>
      </c>
      <c r="G4864" t="s">
        <v>47122</v>
      </c>
      <c r="H4864" t="s">
        <v>47055</v>
      </c>
      <c r="I4864" t="s">
        <v>47120</v>
      </c>
      <c r="J4864" t="s">
        <v>47121</v>
      </c>
      <c r="K4864" t="s">
        <v>47113</v>
      </c>
      <c r="L4864">
        <v>53.45</v>
      </c>
      <c r="M4864">
        <v>111</v>
      </c>
      <c r="N4864">
        <v>0</v>
      </c>
      <c r="O4864">
        <v>111</v>
      </c>
      <c r="P4864">
        <v>0</v>
      </c>
    </row>
    <row r="4865" spans="1:16" x14ac:dyDescent="0.25">
      <c r="A4865" t="s">
        <v>27239</v>
      </c>
      <c r="B4865" t="s">
        <v>19600</v>
      </c>
      <c r="C4865" t="s">
        <v>19601</v>
      </c>
      <c r="D4865" t="str">
        <f>"3197"</f>
        <v>3197</v>
      </c>
      <c r="E4865" t="s">
        <v>19602</v>
      </c>
      <c r="F4865" t="s">
        <v>19552</v>
      </c>
      <c r="G4865" t="s">
        <v>16448</v>
      </c>
      <c r="H4865" t="s">
        <v>47055</v>
      </c>
      <c r="I4865" t="s">
        <v>47120</v>
      </c>
      <c r="J4865" t="s">
        <v>47121</v>
      </c>
      <c r="K4865" t="s">
        <v>47113</v>
      </c>
      <c r="L4865">
        <v>78.2</v>
      </c>
      <c r="M4865">
        <v>166</v>
      </c>
      <c r="N4865">
        <v>0</v>
      </c>
      <c r="O4865">
        <v>166</v>
      </c>
      <c r="P4865">
        <v>0</v>
      </c>
    </row>
    <row r="4866" spans="1:16" x14ac:dyDescent="0.25">
      <c r="A4866" t="s">
        <v>27240</v>
      </c>
      <c r="B4866" t="s">
        <v>19600</v>
      </c>
      <c r="C4866" t="s">
        <v>19601</v>
      </c>
      <c r="D4866" t="str">
        <f>"4819"</f>
        <v>4819</v>
      </c>
      <c r="E4866" t="s">
        <v>221</v>
      </c>
      <c r="F4866" t="s">
        <v>19552</v>
      </c>
      <c r="G4866" t="s">
        <v>16448</v>
      </c>
      <c r="H4866" t="s">
        <v>47055</v>
      </c>
      <c r="I4866" t="s">
        <v>47120</v>
      </c>
      <c r="J4866" t="s">
        <v>47121</v>
      </c>
      <c r="K4866" t="s">
        <v>47113</v>
      </c>
      <c r="L4866">
        <v>78.2</v>
      </c>
      <c r="M4866">
        <v>166</v>
      </c>
      <c r="N4866">
        <v>0</v>
      </c>
      <c r="O4866">
        <v>166</v>
      </c>
      <c r="P4866">
        <v>0</v>
      </c>
    </row>
    <row r="4867" spans="1:16" x14ac:dyDescent="0.25">
      <c r="A4867" t="s">
        <v>27241</v>
      </c>
      <c r="B4867" t="s">
        <v>19603</v>
      </c>
      <c r="C4867" t="s">
        <v>19601</v>
      </c>
      <c r="D4867" t="str">
        <f>"1001"</f>
        <v>1001</v>
      </c>
      <c r="E4867" t="s">
        <v>42</v>
      </c>
      <c r="F4867" t="s">
        <v>19552</v>
      </c>
      <c r="G4867" t="s">
        <v>16448</v>
      </c>
      <c r="H4867" t="s">
        <v>47055</v>
      </c>
      <c r="I4867" t="s">
        <v>47120</v>
      </c>
      <c r="J4867" t="s">
        <v>47121</v>
      </c>
      <c r="K4867" t="s">
        <v>47113</v>
      </c>
      <c r="L4867">
        <v>70.28</v>
      </c>
      <c r="M4867">
        <v>148</v>
      </c>
      <c r="N4867">
        <v>0</v>
      </c>
      <c r="O4867">
        <v>148</v>
      </c>
      <c r="P4867">
        <v>0</v>
      </c>
    </row>
    <row r="4868" spans="1:16" x14ac:dyDescent="0.25">
      <c r="A4868" t="s">
        <v>27242</v>
      </c>
      <c r="B4868" t="s">
        <v>19603</v>
      </c>
      <c r="C4868" t="s">
        <v>19601</v>
      </c>
      <c r="D4868" t="str">
        <f>"1305"</f>
        <v>1305</v>
      </c>
      <c r="E4868" t="s">
        <v>11901</v>
      </c>
      <c r="F4868" t="s">
        <v>19552</v>
      </c>
      <c r="G4868" t="s">
        <v>16448</v>
      </c>
      <c r="H4868" t="s">
        <v>47055</v>
      </c>
      <c r="I4868" t="s">
        <v>47120</v>
      </c>
      <c r="J4868" t="s">
        <v>47121</v>
      </c>
      <c r="K4868" t="s">
        <v>47113</v>
      </c>
      <c r="L4868">
        <v>70.28</v>
      </c>
      <c r="M4868">
        <v>148</v>
      </c>
      <c r="N4868">
        <v>0</v>
      </c>
      <c r="O4868">
        <v>148</v>
      </c>
      <c r="P4868">
        <v>0</v>
      </c>
    </row>
    <row r="4869" spans="1:16" x14ac:dyDescent="0.25">
      <c r="A4869" t="s">
        <v>27243</v>
      </c>
      <c r="B4869" t="s">
        <v>19603</v>
      </c>
      <c r="C4869" t="s">
        <v>19601</v>
      </c>
      <c r="D4869" t="str">
        <f>"4067"</f>
        <v>4067</v>
      </c>
      <c r="E4869" t="s">
        <v>1865</v>
      </c>
      <c r="F4869" t="s">
        <v>19552</v>
      </c>
      <c r="G4869" t="s">
        <v>16448</v>
      </c>
      <c r="H4869" t="s">
        <v>47055</v>
      </c>
      <c r="I4869" t="s">
        <v>47120</v>
      </c>
      <c r="J4869" t="s">
        <v>47121</v>
      </c>
      <c r="K4869" t="s">
        <v>47113</v>
      </c>
      <c r="L4869">
        <v>70.28</v>
      </c>
      <c r="M4869">
        <v>148</v>
      </c>
      <c r="N4869">
        <v>0</v>
      </c>
      <c r="O4869">
        <v>148</v>
      </c>
      <c r="P4869">
        <v>0</v>
      </c>
    </row>
    <row r="4870" spans="1:16" x14ac:dyDescent="0.25">
      <c r="A4870" t="s">
        <v>27244</v>
      </c>
      <c r="B4870" t="s">
        <v>19603</v>
      </c>
      <c r="C4870" t="s">
        <v>19601</v>
      </c>
      <c r="D4870" t="str">
        <f>"6000"</f>
        <v>6000</v>
      </c>
      <c r="E4870" t="s">
        <v>238</v>
      </c>
      <c r="F4870" t="s">
        <v>19552</v>
      </c>
      <c r="G4870" t="s">
        <v>16448</v>
      </c>
      <c r="H4870" t="s">
        <v>47055</v>
      </c>
      <c r="I4870" t="s">
        <v>47120</v>
      </c>
      <c r="J4870" t="s">
        <v>47121</v>
      </c>
      <c r="K4870" t="s">
        <v>47113</v>
      </c>
      <c r="L4870">
        <v>70.28</v>
      </c>
      <c r="M4870">
        <v>148</v>
      </c>
      <c r="N4870">
        <v>0</v>
      </c>
      <c r="O4870">
        <v>148</v>
      </c>
      <c r="P4870">
        <v>0</v>
      </c>
    </row>
    <row r="4871" spans="1:16" x14ac:dyDescent="0.25">
      <c r="A4871" t="s">
        <v>27245</v>
      </c>
      <c r="B4871" t="s">
        <v>19604</v>
      </c>
      <c r="C4871" t="s">
        <v>19605</v>
      </c>
      <c r="D4871" t="str">
        <f>"1001"</f>
        <v>1001</v>
      </c>
      <c r="E4871" t="s">
        <v>42</v>
      </c>
      <c r="F4871" t="s">
        <v>19559</v>
      </c>
      <c r="G4871" t="s">
        <v>16224</v>
      </c>
      <c r="H4871" t="s">
        <v>47055</v>
      </c>
      <c r="I4871" t="s">
        <v>47120</v>
      </c>
      <c r="J4871" t="s">
        <v>47121</v>
      </c>
      <c r="K4871" t="s">
        <v>47113</v>
      </c>
      <c r="L4871">
        <v>53.45</v>
      </c>
      <c r="M4871">
        <v>111</v>
      </c>
      <c r="N4871">
        <v>0</v>
      </c>
      <c r="O4871">
        <v>111</v>
      </c>
      <c r="P4871">
        <v>0</v>
      </c>
    </row>
    <row r="4872" spans="1:16" x14ac:dyDescent="0.25">
      <c r="A4872" t="s">
        <v>27246</v>
      </c>
      <c r="B4872" t="s">
        <v>19604</v>
      </c>
      <c r="C4872" t="s">
        <v>19605</v>
      </c>
      <c r="D4872" t="str">
        <f>"3197"</f>
        <v>3197</v>
      </c>
      <c r="E4872" t="s">
        <v>19602</v>
      </c>
      <c r="F4872" t="s">
        <v>19559</v>
      </c>
      <c r="G4872" t="s">
        <v>16224</v>
      </c>
      <c r="H4872" t="s">
        <v>47055</v>
      </c>
      <c r="I4872" t="s">
        <v>47120</v>
      </c>
      <c r="J4872" t="s">
        <v>47121</v>
      </c>
      <c r="K4872" t="s">
        <v>47113</v>
      </c>
      <c r="L4872">
        <v>53.45</v>
      </c>
      <c r="M4872">
        <v>111</v>
      </c>
      <c r="N4872">
        <v>0</v>
      </c>
      <c r="O4872">
        <v>111</v>
      </c>
      <c r="P4872">
        <v>0</v>
      </c>
    </row>
    <row r="4873" spans="1:16" x14ac:dyDescent="0.25">
      <c r="A4873" t="s">
        <v>27247</v>
      </c>
      <c r="B4873" t="s">
        <v>19604</v>
      </c>
      <c r="C4873" t="s">
        <v>19605</v>
      </c>
      <c r="D4873" t="str">
        <f>"4819"</f>
        <v>4819</v>
      </c>
      <c r="E4873" t="s">
        <v>221</v>
      </c>
      <c r="F4873" t="s">
        <v>19559</v>
      </c>
      <c r="G4873" t="s">
        <v>16224</v>
      </c>
      <c r="H4873" t="s">
        <v>47055</v>
      </c>
      <c r="I4873" t="s">
        <v>47120</v>
      </c>
      <c r="J4873" t="s">
        <v>47121</v>
      </c>
      <c r="K4873" t="s">
        <v>47113</v>
      </c>
      <c r="L4873">
        <v>53.45</v>
      </c>
      <c r="M4873">
        <v>111</v>
      </c>
      <c r="N4873">
        <v>0</v>
      </c>
      <c r="O4873">
        <v>111</v>
      </c>
      <c r="P4873">
        <v>0</v>
      </c>
    </row>
    <row r="4874" spans="1:16" x14ac:dyDescent="0.25">
      <c r="A4874" t="s">
        <v>27248</v>
      </c>
      <c r="B4874" t="s">
        <v>19606</v>
      </c>
      <c r="C4874" t="s">
        <v>19607</v>
      </c>
      <c r="D4874" t="str">
        <f>"3197"</f>
        <v>3197</v>
      </c>
      <c r="E4874" t="s">
        <v>19602</v>
      </c>
      <c r="F4874" t="s">
        <v>19559</v>
      </c>
      <c r="G4874" t="s">
        <v>16224</v>
      </c>
      <c r="H4874" t="s">
        <v>47055</v>
      </c>
      <c r="I4874" t="s">
        <v>47120</v>
      </c>
      <c r="J4874" t="s">
        <v>47121</v>
      </c>
      <c r="K4874" t="s">
        <v>47113</v>
      </c>
      <c r="L4874">
        <v>50.49</v>
      </c>
      <c r="M4874">
        <v>111</v>
      </c>
      <c r="N4874">
        <v>0</v>
      </c>
      <c r="O4874">
        <v>111</v>
      </c>
      <c r="P4874">
        <v>0</v>
      </c>
    </row>
    <row r="4875" spans="1:16" x14ac:dyDescent="0.25">
      <c r="A4875" t="s">
        <v>27249</v>
      </c>
      <c r="B4875" t="s">
        <v>19606</v>
      </c>
      <c r="C4875" t="s">
        <v>19607</v>
      </c>
      <c r="D4875" t="str">
        <f>"4926"</f>
        <v>4926</v>
      </c>
      <c r="E4875" t="s">
        <v>4088</v>
      </c>
      <c r="F4875" t="s">
        <v>19559</v>
      </c>
      <c r="G4875" t="s">
        <v>16224</v>
      </c>
      <c r="H4875" t="s">
        <v>47055</v>
      </c>
      <c r="I4875" t="s">
        <v>47120</v>
      </c>
      <c r="J4875" t="s">
        <v>47121</v>
      </c>
      <c r="K4875" t="s">
        <v>47113</v>
      </c>
      <c r="L4875">
        <v>50.49</v>
      </c>
      <c r="M4875">
        <v>111</v>
      </c>
      <c r="N4875">
        <v>0</v>
      </c>
      <c r="O4875">
        <v>111</v>
      </c>
      <c r="P4875">
        <v>0</v>
      </c>
    </row>
    <row r="4876" spans="1:16" x14ac:dyDescent="0.25">
      <c r="A4876" t="s">
        <v>22643</v>
      </c>
      <c r="B4876" t="s">
        <v>19608</v>
      </c>
      <c r="C4876" t="s">
        <v>19609</v>
      </c>
      <c r="D4876" t="str">
        <f>"1001"</f>
        <v>1001</v>
      </c>
      <c r="E4876" t="s">
        <v>42</v>
      </c>
      <c r="F4876" t="s">
        <v>19559</v>
      </c>
      <c r="G4876" t="s">
        <v>16224</v>
      </c>
      <c r="H4876" t="s">
        <v>47055</v>
      </c>
      <c r="I4876" t="s">
        <v>47120</v>
      </c>
      <c r="J4876" t="s">
        <v>47121</v>
      </c>
      <c r="K4876" t="s">
        <v>47113</v>
      </c>
      <c r="L4876">
        <v>139.56</v>
      </c>
      <c r="M4876">
        <v>296</v>
      </c>
      <c r="N4876">
        <v>0</v>
      </c>
      <c r="O4876">
        <v>296</v>
      </c>
      <c r="P4876">
        <v>0</v>
      </c>
    </row>
    <row r="4877" spans="1:16" x14ac:dyDescent="0.25">
      <c r="A4877" t="s">
        <v>22644</v>
      </c>
      <c r="B4877" t="s">
        <v>19608</v>
      </c>
      <c r="C4877" t="s">
        <v>19609</v>
      </c>
      <c r="D4877" t="str">
        <f>"3190"</f>
        <v>3190</v>
      </c>
      <c r="E4877" t="s">
        <v>1748</v>
      </c>
      <c r="F4877" t="s">
        <v>19559</v>
      </c>
      <c r="G4877" t="s">
        <v>16224</v>
      </c>
      <c r="H4877" t="s">
        <v>47055</v>
      </c>
      <c r="I4877" t="s">
        <v>47120</v>
      </c>
      <c r="J4877" t="s">
        <v>47121</v>
      </c>
      <c r="K4877" t="s">
        <v>47113</v>
      </c>
      <c r="L4877">
        <v>139.56</v>
      </c>
      <c r="M4877">
        <v>296</v>
      </c>
      <c r="N4877">
        <v>0</v>
      </c>
      <c r="O4877">
        <v>296</v>
      </c>
      <c r="P4877">
        <v>0</v>
      </c>
    </row>
    <row r="4878" spans="1:16" x14ac:dyDescent="0.25">
      <c r="A4878" t="s">
        <v>22645</v>
      </c>
      <c r="B4878" t="s">
        <v>19610</v>
      </c>
      <c r="C4878" t="s">
        <v>19611</v>
      </c>
      <c r="D4878" t="str">
        <f>"1001"</f>
        <v>1001</v>
      </c>
      <c r="E4878" t="s">
        <v>42</v>
      </c>
      <c r="F4878" t="s">
        <v>19559</v>
      </c>
      <c r="G4878" t="s">
        <v>16224</v>
      </c>
      <c r="H4878" t="s">
        <v>47055</v>
      </c>
      <c r="I4878" t="s">
        <v>47120</v>
      </c>
      <c r="J4878" t="s">
        <v>47121</v>
      </c>
      <c r="K4878" t="s">
        <v>47113</v>
      </c>
      <c r="L4878">
        <v>129.66</v>
      </c>
      <c r="M4878">
        <v>281</v>
      </c>
      <c r="N4878">
        <v>0</v>
      </c>
      <c r="O4878">
        <v>281</v>
      </c>
      <c r="P4878">
        <v>0</v>
      </c>
    </row>
    <row r="4879" spans="1:16" x14ac:dyDescent="0.25">
      <c r="A4879" t="s">
        <v>22646</v>
      </c>
      <c r="B4879" t="s">
        <v>19610</v>
      </c>
      <c r="C4879" t="s">
        <v>19611</v>
      </c>
      <c r="D4879" t="str">
        <f>"3190"</f>
        <v>3190</v>
      </c>
      <c r="E4879" t="s">
        <v>1748</v>
      </c>
      <c r="F4879" t="s">
        <v>19559</v>
      </c>
      <c r="G4879" t="s">
        <v>16224</v>
      </c>
      <c r="H4879" t="s">
        <v>47055</v>
      </c>
      <c r="I4879" t="s">
        <v>47120</v>
      </c>
      <c r="J4879" t="s">
        <v>47121</v>
      </c>
      <c r="K4879" t="s">
        <v>47113</v>
      </c>
      <c r="L4879">
        <v>129.66</v>
      </c>
      <c r="M4879">
        <v>281</v>
      </c>
      <c r="N4879">
        <v>0</v>
      </c>
      <c r="O4879">
        <v>281</v>
      </c>
      <c r="P4879">
        <v>0</v>
      </c>
    </row>
    <row r="4880" spans="1:16" x14ac:dyDescent="0.25">
      <c r="A4880" t="s">
        <v>27250</v>
      </c>
      <c r="B4880" t="s">
        <v>19612</v>
      </c>
      <c r="C4880" t="s">
        <v>19613</v>
      </c>
      <c r="D4880" t="str">
        <f>"1001"</f>
        <v>1001</v>
      </c>
      <c r="E4880" t="s">
        <v>42</v>
      </c>
      <c r="F4880" t="s">
        <v>19559</v>
      </c>
      <c r="G4880" t="s">
        <v>16224</v>
      </c>
      <c r="H4880" t="s">
        <v>47055</v>
      </c>
      <c r="I4880" t="s">
        <v>47120</v>
      </c>
      <c r="J4880" t="s">
        <v>47121</v>
      </c>
      <c r="K4880" t="s">
        <v>47113</v>
      </c>
      <c r="L4880">
        <v>120.76</v>
      </c>
      <c r="M4880">
        <v>259</v>
      </c>
      <c r="N4880">
        <v>0</v>
      </c>
      <c r="O4880">
        <v>259</v>
      </c>
      <c r="P4880">
        <v>0</v>
      </c>
    </row>
    <row r="4881" spans="1:16" x14ac:dyDescent="0.25">
      <c r="A4881" t="s">
        <v>27251</v>
      </c>
      <c r="B4881" t="s">
        <v>19614</v>
      </c>
      <c r="C4881" t="s">
        <v>19615</v>
      </c>
      <c r="D4881" t="str">
        <f>"1370"</f>
        <v>1370</v>
      </c>
      <c r="E4881" t="s">
        <v>2162</v>
      </c>
      <c r="F4881" t="s">
        <v>19552</v>
      </c>
      <c r="G4881" t="s">
        <v>16232</v>
      </c>
      <c r="H4881" t="s">
        <v>47055</v>
      </c>
      <c r="I4881" t="s">
        <v>47120</v>
      </c>
      <c r="J4881" t="s">
        <v>47121</v>
      </c>
      <c r="K4881" t="s">
        <v>47113</v>
      </c>
      <c r="L4881">
        <v>59.39</v>
      </c>
      <c r="M4881">
        <v>129</v>
      </c>
      <c r="N4881">
        <v>0</v>
      </c>
      <c r="O4881">
        <v>129</v>
      </c>
      <c r="P4881">
        <v>0</v>
      </c>
    </row>
    <row r="4882" spans="1:16" x14ac:dyDescent="0.25">
      <c r="A4882" t="s">
        <v>22647</v>
      </c>
      <c r="B4882" t="s">
        <v>19616</v>
      </c>
      <c r="C4882" t="s">
        <v>19617</v>
      </c>
      <c r="D4882" t="str">
        <f>"1001"</f>
        <v>1001</v>
      </c>
      <c r="E4882" t="s">
        <v>42</v>
      </c>
      <c r="F4882" t="s">
        <v>19552</v>
      </c>
      <c r="G4882" t="s">
        <v>16232</v>
      </c>
      <c r="H4882" t="s">
        <v>47055</v>
      </c>
      <c r="I4882" t="s">
        <v>47120</v>
      </c>
      <c r="J4882" t="s">
        <v>47121</v>
      </c>
      <c r="K4882" t="s">
        <v>47113</v>
      </c>
      <c r="L4882">
        <v>60.38</v>
      </c>
      <c r="M4882">
        <v>129</v>
      </c>
      <c r="N4882">
        <v>0</v>
      </c>
      <c r="O4882">
        <v>129</v>
      </c>
      <c r="P4882">
        <v>0</v>
      </c>
    </row>
    <row r="4883" spans="1:16" x14ac:dyDescent="0.25">
      <c r="A4883" t="s">
        <v>22648</v>
      </c>
      <c r="B4883" t="s">
        <v>19616</v>
      </c>
      <c r="C4883" t="s">
        <v>19617</v>
      </c>
      <c r="D4883" t="str">
        <f>"4922"</f>
        <v>4922</v>
      </c>
      <c r="E4883" t="s">
        <v>4175</v>
      </c>
      <c r="F4883" t="s">
        <v>19552</v>
      </c>
      <c r="G4883" t="s">
        <v>16232</v>
      </c>
      <c r="H4883" t="s">
        <v>47055</v>
      </c>
      <c r="I4883" t="s">
        <v>47120</v>
      </c>
      <c r="J4883" t="s">
        <v>47121</v>
      </c>
      <c r="K4883" t="s">
        <v>47113</v>
      </c>
      <c r="L4883">
        <v>60.38</v>
      </c>
      <c r="M4883">
        <v>129</v>
      </c>
      <c r="N4883">
        <v>0</v>
      </c>
      <c r="O4883">
        <v>129</v>
      </c>
      <c r="P4883">
        <v>0</v>
      </c>
    </row>
    <row r="4884" spans="1:16" x14ac:dyDescent="0.25">
      <c r="A4884" t="s">
        <v>22649</v>
      </c>
      <c r="B4884" t="s">
        <v>19618</v>
      </c>
      <c r="C4884" t="s">
        <v>19619</v>
      </c>
      <c r="D4884" t="str">
        <f>"1001"</f>
        <v>1001</v>
      </c>
      <c r="E4884" t="s">
        <v>42</v>
      </c>
      <c r="F4884" t="s">
        <v>19552</v>
      </c>
      <c r="G4884" t="s">
        <v>16232</v>
      </c>
      <c r="H4884" t="s">
        <v>47055</v>
      </c>
      <c r="I4884" t="s">
        <v>47120</v>
      </c>
      <c r="J4884" t="s">
        <v>47121</v>
      </c>
      <c r="K4884" t="s">
        <v>47113</v>
      </c>
      <c r="L4884">
        <v>48.5</v>
      </c>
      <c r="M4884">
        <v>107</v>
      </c>
      <c r="N4884">
        <v>0</v>
      </c>
      <c r="O4884">
        <v>107</v>
      </c>
      <c r="P4884">
        <v>0</v>
      </c>
    </row>
    <row r="4885" spans="1:16" x14ac:dyDescent="0.25">
      <c r="A4885" t="s">
        <v>22650</v>
      </c>
      <c r="B4885" t="s">
        <v>19618</v>
      </c>
      <c r="C4885" t="s">
        <v>19619</v>
      </c>
      <c r="D4885" t="str">
        <f>"4922"</f>
        <v>4922</v>
      </c>
      <c r="E4885" t="s">
        <v>4175</v>
      </c>
      <c r="F4885" t="s">
        <v>19552</v>
      </c>
      <c r="G4885" t="s">
        <v>16232</v>
      </c>
      <c r="H4885" t="s">
        <v>47055</v>
      </c>
      <c r="I4885" t="s">
        <v>47120</v>
      </c>
      <c r="J4885" t="s">
        <v>47121</v>
      </c>
      <c r="K4885" t="s">
        <v>47113</v>
      </c>
      <c r="L4885">
        <v>48.5</v>
      </c>
      <c r="M4885">
        <v>107</v>
      </c>
      <c r="N4885">
        <v>0</v>
      </c>
      <c r="O4885">
        <v>107</v>
      </c>
      <c r="P4885">
        <v>0</v>
      </c>
    </row>
    <row r="4886" spans="1:16" x14ac:dyDescent="0.25">
      <c r="A4886" t="s">
        <v>27252</v>
      </c>
      <c r="B4886" t="s">
        <v>19620</v>
      </c>
      <c r="C4886" t="s">
        <v>19621</v>
      </c>
      <c r="D4886" t="str">
        <f>"1370"</f>
        <v>1370</v>
      </c>
      <c r="E4886" t="s">
        <v>2162</v>
      </c>
      <c r="F4886" t="s">
        <v>19559</v>
      </c>
      <c r="G4886" t="s">
        <v>16448</v>
      </c>
      <c r="H4886" t="s">
        <v>47055</v>
      </c>
      <c r="I4886" t="s">
        <v>47120</v>
      </c>
      <c r="J4886" t="s">
        <v>47121</v>
      </c>
      <c r="K4886" t="s">
        <v>47113</v>
      </c>
      <c r="L4886">
        <v>60.76</v>
      </c>
      <c r="M4886">
        <v>133</v>
      </c>
      <c r="N4886">
        <v>0</v>
      </c>
      <c r="O4886">
        <v>133</v>
      </c>
      <c r="P4886">
        <v>0</v>
      </c>
    </row>
    <row r="4887" spans="1:16" x14ac:dyDescent="0.25">
      <c r="A4887" t="s">
        <v>27253</v>
      </c>
      <c r="B4887" t="s">
        <v>19622</v>
      </c>
      <c r="C4887" t="s">
        <v>19623</v>
      </c>
      <c r="D4887" t="str">
        <f>"1083"</f>
        <v>1083</v>
      </c>
      <c r="E4887" t="s">
        <v>19624</v>
      </c>
      <c r="F4887" t="s">
        <v>19559</v>
      </c>
      <c r="G4887" t="s">
        <v>16448</v>
      </c>
      <c r="H4887" t="s">
        <v>47055</v>
      </c>
      <c r="I4887" t="s">
        <v>47120</v>
      </c>
      <c r="J4887" t="s">
        <v>47121</v>
      </c>
      <c r="K4887" t="s">
        <v>47113</v>
      </c>
      <c r="L4887">
        <v>69.290000000000006</v>
      </c>
      <c r="M4887">
        <v>148</v>
      </c>
      <c r="N4887">
        <v>0</v>
      </c>
      <c r="O4887">
        <v>148</v>
      </c>
      <c r="P4887">
        <v>0</v>
      </c>
    </row>
    <row r="4888" spans="1:16" x14ac:dyDescent="0.25">
      <c r="A4888" t="s">
        <v>27254</v>
      </c>
      <c r="B4888" t="s">
        <v>19625</v>
      </c>
      <c r="C4888" t="s">
        <v>15359</v>
      </c>
      <c r="D4888" t="str">
        <f>"1233"</f>
        <v>1233</v>
      </c>
      <c r="E4888" t="s">
        <v>19626</v>
      </c>
      <c r="F4888" t="s">
        <v>19559</v>
      </c>
      <c r="G4888" t="s">
        <v>16448</v>
      </c>
      <c r="H4888" t="s">
        <v>47055</v>
      </c>
      <c r="I4888" t="s">
        <v>47120</v>
      </c>
      <c r="J4888" t="s">
        <v>47121</v>
      </c>
      <c r="K4888" t="s">
        <v>47113</v>
      </c>
      <c r="L4888">
        <v>87.1</v>
      </c>
      <c r="M4888">
        <v>185</v>
      </c>
      <c r="N4888">
        <v>0</v>
      </c>
      <c r="O4888">
        <v>185</v>
      </c>
      <c r="P4888">
        <v>0</v>
      </c>
    </row>
    <row r="4889" spans="1:16" x14ac:dyDescent="0.25">
      <c r="A4889" t="s">
        <v>27255</v>
      </c>
      <c r="B4889" t="s">
        <v>19627</v>
      </c>
      <c r="C4889" t="s">
        <v>19628</v>
      </c>
      <c r="D4889" t="str">
        <f>"2701"</f>
        <v>2701</v>
      </c>
      <c r="E4889" t="s">
        <v>2149</v>
      </c>
      <c r="F4889" t="s">
        <v>19552</v>
      </c>
      <c r="G4889" t="s">
        <v>16448</v>
      </c>
      <c r="H4889" t="s">
        <v>47055</v>
      </c>
      <c r="I4889" t="s">
        <v>47120</v>
      </c>
      <c r="J4889" t="s">
        <v>47121</v>
      </c>
      <c r="K4889" t="s">
        <v>47113</v>
      </c>
      <c r="L4889">
        <v>61.37</v>
      </c>
      <c r="M4889">
        <v>133</v>
      </c>
      <c r="N4889">
        <v>0</v>
      </c>
      <c r="O4889">
        <v>133</v>
      </c>
      <c r="P4889">
        <v>0</v>
      </c>
    </row>
    <row r="4890" spans="1:16" x14ac:dyDescent="0.25">
      <c r="A4890" t="s">
        <v>27256</v>
      </c>
      <c r="B4890" t="s">
        <v>19627</v>
      </c>
      <c r="C4890" t="s">
        <v>19628</v>
      </c>
      <c r="D4890" t="str">
        <f>"3197"</f>
        <v>3197</v>
      </c>
      <c r="E4890" t="s">
        <v>19602</v>
      </c>
      <c r="F4890" t="s">
        <v>19552</v>
      </c>
      <c r="G4890" t="s">
        <v>16448</v>
      </c>
      <c r="H4890" t="s">
        <v>47055</v>
      </c>
      <c r="I4890" t="s">
        <v>47120</v>
      </c>
      <c r="J4890" t="s">
        <v>47121</v>
      </c>
      <c r="K4890" t="s">
        <v>47113</v>
      </c>
      <c r="L4890">
        <v>61.37</v>
      </c>
      <c r="M4890">
        <v>133</v>
      </c>
      <c r="N4890">
        <v>0</v>
      </c>
      <c r="O4890">
        <v>133</v>
      </c>
      <c r="P4890">
        <v>0</v>
      </c>
    </row>
    <row r="4891" spans="1:16" x14ac:dyDescent="0.25">
      <c r="A4891" t="s">
        <v>27257</v>
      </c>
      <c r="B4891" t="s">
        <v>19629</v>
      </c>
      <c r="C4891" t="s">
        <v>19628</v>
      </c>
      <c r="D4891" t="str">
        <f>"2377"</f>
        <v>2377</v>
      </c>
      <c r="E4891" t="s">
        <v>16572</v>
      </c>
      <c r="F4891" t="s">
        <v>19552</v>
      </c>
      <c r="G4891" t="s">
        <v>16448</v>
      </c>
      <c r="H4891" t="s">
        <v>47055</v>
      </c>
      <c r="I4891" t="s">
        <v>47120</v>
      </c>
      <c r="J4891" t="s">
        <v>47121</v>
      </c>
      <c r="K4891" t="s">
        <v>47113</v>
      </c>
      <c r="L4891">
        <v>80.67</v>
      </c>
      <c r="M4891">
        <v>170</v>
      </c>
      <c r="N4891">
        <v>0</v>
      </c>
      <c r="O4891">
        <v>170</v>
      </c>
      <c r="P4891">
        <v>0</v>
      </c>
    </row>
    <row r="4892" spans="1:16" x14ac:dyDescent="0.25">
      <c r="A4892" t="s">
        <v>27258</v>
      </c>
      <c r="B4892" t="s">
        <v>19630</v>
      </c>
      <c r="C4892" t="s">
        <v>19631</v>
      </c>
      <c r="D4892" t="str">
        <f>"3197"</f>
        <v>3197</v>
      </c>
      <c r="E4892" t="s">
        <v>19602</v>
      </c>
      <c r="F4892" t="s">
        <v>19559</v>
      </c>
      <c r="G4892" t="s">
        <v>16224</v>
      </c>
      <c r="H4892" t="s">
        <v>47055</v>
      </c>
      <c r="I4892" t="s">
        <v>47120</v>
      </c>
      <c r="J4892" t="s">
        <v>47121</v>
      </c>
      <c r="K4892" t="s">
        <v>47113</v>
      </c>
      <c r="L4892">
        <v>55.43</v>
      </c>
      <c r="M4892">
        <v>122</v>
      </c>
      <c r="N4892">
        <v>0</v>
      </c>
      <c r="O4892">
        <v>122</v>
      </c>
      <c r="P4892">
        <v>0</v>
      </c>
    </row>
    <row r="4893" spans="1:16" x14ac:dyDescent="0.25">
      <c r="A4893" t="s">
        <v>27259</v>
      </c>
      <c r="B4893" t="s">
        <v>19630</v>
      </c>
      <c r="C4893" t="s">
        <v>19631</v>
      </c>
      <c r="D4893" t="str">
        <f>"4926"</f>
        <v>4926</v>
      </c>
      <c r="E4893" t="s">
        <v>4088</v>
      </c>
      <c r="F4893" t="s">
        <v>19559</v>
      </c>
      <c r="G4893" t="s">
        <v>16224</v>
      </c>
      <c r="H4893" t="s">
        <v>47055</v>
      </c>
      <c r="I4893" t="s">
        <v>47120</v>
      </c>
      <c r="J4893" t="s">
        <v>47121</v>
      </c>
      <c r="K4893" t="s">
        <v>47113</v>
      </c>
      <c r="L4893">
        <v>55.43</v>
      </c>
      <c r="M4893">
        <v>122</v>
      </c>
      <c r="N4893">
        <v>0</v>
      </c>
      <c r="O4893">
        <v>122</v>
      </c>
      <c r="P4893">
        <v>0</v>
      </c>
    </row>
    <row r="4894" spans="1:16" x14ac:dyDescent="0.25">
      <c r="A4894" t="s">
        <v>27260</v>
      </c>
      <c r="B4894" t="s">
        <v>19632</v>
      </c>
      <c r="C4894" t="s">
        <v>19633</v>
      </c>
      <c r="D4894" t="str">
        <f>"1378"</f>
        <v>1378</v>
      </c>
      <c r="E4894" t="s">
        <v>388</v>
      </c>
      <c r="F4894" t="s">
        <v>19552</v>
      </c>
      <c r="G4894" t="s">
        <v>16221</v>
      </c>
      <c r="H4894" t="s">
        <v>47055</v>
      </c>
      <c r="I4894" t="s">
        <v>47127</v>
      </c>
      <c r="J4894" t="s">
        <v>47128</v>
      </c>
      <c r="K4894" t="s">
        <v>47113</v>
      </c>
      <c r="L4894">
        <v>11.65</v>
      </c>
      <c r="M4894">
        <v>26</v>
      </c>
      <c r="N4894">
        <v>0</v>
      </c>
      <c r="O4894">
        <v>26</v>
      </c>
      <c r="P4894">
        <v>0</v>
      </c>
    </row>
    <row r="4895" spans="1:16" x14ac:dyDescent="0.25">
      <c r="A4895" t="s">
        <v>27261</v>
      </c>
      <c r="B4895" t="s">
        <v>19632</v>
      </c>
      <c r="C4895" t="s">
        <v>19633</v>
      </c>
      <c r="D4895" t="str">
        <f>"1383"</f>
        <v>1383</v>
      </c>
      <c r="E4895" t="s">
        <v>2273</v>
      </c>
      <c r="F4895" t="s">
        <v>19552</v>
      </c>
      <c r="G4895" t="s">
        <v>16221</v>
      </c>
      <c r="H4895" t="s">
        <v>47055</v>
      </c>
      <c r="I4895" t="s">
        <v>47127</v>
      </c>
      <c r="J4895" t="s">
        <v>47128</v>
      </c>
      <c r="K4895" t="s">
        <v>47113</v>
      </c>
      <c r="L4895">
        <v>11.65</v>
      </c>
      <c r="M4895">
        <v>26</v>
      </c>
      <c r="N4895">
        <v>0</v>
      </c>
      <c r="O4895">
        <v>26</v>
      </c>
      <c r="P4895">
        <v>0</v>
      </c>
    </row>
    <row r="4896" spans="1:16" x14ac:dyDescent="0.25">
      <c r="A4896" t="s">
        <v>27262</v>
      </c>
      <c r="B4896" t="s">
        <v>19632</v>
      </c>
      <c r="C4896" t="s">
        <v>19633</v>
      </c>
      <c r="D4896" t="str">
        <f>"3106"</f>
        <v>3106</v>
      </c>
      <c r="E4896" t="s">
        <v>230</v>
      </c>
      <c r="F4896" t="s">
        <v>19552</v>
      </c>
      <c r="G4896" t="s">
        <v>16221</v>
      </c>
      <c r="H4896" t="s">
        <v>47055</v>
      </c>
      <c r="I4896" t="s">
        <v>47127</v>
      </c>
      <c r="J4896" t="s">
        <v>47128</v>
      </c>
      <c r="K4896" t="s">
        <v>47113</v>
      </c>
      <c r="L4896">
        <v>11.65</v>
      </c>
      <c r="M4896">
        <v>26</v>
      </c>
      <c r="N4896">
        <v>0</v>
      </c>
      <c r="O4896">
        <v>26</v>
      </c>
      <c r="P4896">
        <v>0</v>
      </c>
    </row>
    <row r="4897" spans="1:16" x14ac:dyDescent="0.25">
      <c r="A4897" t="s">
        <v>27263</v>
      </c>
      <c r="B4897" t="s">
        <v>19632</v>
      </c>
      <c r="C4897" t="s">
        <v>19633</v>
      </c>
      <c r="D4897" t="str">
        <f>"4522"</f>
        <v>4522</v>
      </c>
      <c r="E4897" t="s">
        <v>11009</v>
      </c>
      <c r="F4897" t="s">
        <v>19552</v>
      </c>
      <c r="G4897" t="s">
        <v>16221</v>
      </c>
      <c r="H4897" t="s">
        <v>47055</v>
      </c>
      <c r="I4897" t="s">
        <v>47127</v>
      </c>
      <c r="J4897" t="s">
        <v>47128</v>
      </c>
      <c r="K4897" t="s">
        <v>47113</v>
      </c>
      <c r="L4897">
        <v>11.65</v>
      </c>
      <c r="M4897">
        <v>26</v>
      </c>
      <c r="N4897">
        <v>0</v>
      </c>
      <c r="O4897">
        <v>26</v>
      </c>
      <c r="P4897">
        <v>0</v>
      </c>
    </row>
    <row r="4898" spans="1:16" x14ac:dyDescent="0.25">
      <c r="A4898" t="s">
        <v>22651</v>
      </c>
      <c r="B4898" t="s">
        <v>19632</v>
      </c>
      <c r="C4898" t="s">
        <v>19633</v>
      </c>
      <c r="D4898" t="str">
        <f>"6474"</f>
        <v>6474</v>
      </c>
      <c r="E4898" t="s">
        <v>19570</v>
      </c>
      <c r="F4898" t="s">
        <v>19552</v>
      </c>
      <c r="G4898" t="s">
        <v>16221</v>
      </c>
      <c r="H4898" t="s">
        <v>47055</v>
      </c>
      <c r="I4898" t="s">
        <v>47127</v>
      </c>
      <c r="J4898" t="s">
        <v>47128</v>
      </c>
      <c r="K4898" t="s">
        <v>47113</v>
      </c>
      <c r="L4898">
        <v>11.65</v>
      </c>
      <c r="M4898">
        <v>26</v>
      </c>
      <c r="N4898">
        <v>0</v>
      </c>
      <c r="O4898">
        <v>26</v>
      </c>
      <c r="P4898">
        <v>0</v>
      </c>
    </row>
    <row r="4899" spans="1:16" x14ac:dyDescent="0.25">
      <c r="A4899" t="s">
        <v>22652</v>
      </c>
      <c r="B4899" t="s">
        <v>19634</v>
      </c>
      <c r="C4899" t="s">
        <v>19635</v>
      </c>
      <c r="D4899" t="str">
        <f>"1378"</f>
        <v>1378</v>
      </c>
      <c r="E4899" t="s">
        <v>388</v>
      </c>
      <c r="F4899" t="s">
        <v>19552</v>
      </c>
      <c r="G4899" t="s">
        <v>16221</v>
      </c>
      <c r="H4899" t="s">
        <v>47055</v>
      </c>
      <c r="I4899" t="s">
        <v>47127</v>
      </c>
      <c r="J4899" t="s">
        <v>47128</v>
      </c>
      <c r="K4899" t="s">
        <v>47113</v>
      </c>
      <c r="L4899">
        <v>11.65</v>
      </c>
      <c r="M4899">
        <v>26</v>
      </c>
      <c r="N4899">
        <v>0</v>
      </c>
      <c r="O4899">
        <v>26</v>
      </c>
      <c r="P4899">
        <v>0</v>
      </c>
    </row>
    <row r="4900" spans="1:16" x14ac:dyDescent="0.25">
      <c r="A4900" t="s">
        <v>27264</v>
      </c>
      <c r="B4900" t="s">
        <v>19634</v>
      </c>
      <c r="C4900" t="s">
        <v>19635</v>
      </c>
      <c r="D4900" t="str">
        <f>"1383"</f>
        <v>1383</v>
      </c>
      <c r="E4900" t="s">
        <v>2273</v>
      </c>
      <c r="F4900" t="s">
        <v>19552</v>
      </c>
      <c r="G4900" t="s">
        <v>16221</v>
      </c>
      <c r="H4900" t="s">
        <v>47055</v>
      </c>
      <c r="I4900" t="s">
        <v>47127</v>
      </c>
      <c r="J4900" t="s">
        <v>47128</v>
      </c>
      <c r="K4900" t="s">
        <v>47113</v>
      </c>
      <c r="L4900">
        <v>11.65</v>
      </c>
      <c r="M4900">
        <v>26</v>
      </c>
      <c r="N4900">
        <v>0</v>
      </c>
      <c r="O4900">
        <v>26</v>
      </c>
      <c r="P4900">
        <v>0</v>
      </c>
    </row>
    <row r="4901" spans="1:16" x14ac:dyDescent="0.25">
      <c r="A4901" t="s">
        <v>27265</v>
      </c>
      <c r="B4901" t="s">
        <v>19634</v>
      </c>
      <c r="C4901" t="s">
        <v>19635</v>
      </c>
      <c r="D4901" t="str">
        <f>"3106"</f>
        <v>3106</v>
      </c>
      <c r="E4901" t="s">
        <v>230</v>
      </c>
      <c r="F4901" t="s">
        <v>19552</v>
      </c>
      <c r="G4901" t="s">
        <v>16221</v>
      </c>
      <c r="H4901" t="s">
        <v>47055</v>
      </c>
      <c r="I4901" t="s">
        <v>47127</v>
      </c>
      <c r="J4901" t="s">
        <v>47128</v>
      </c>
      <c r="K4901" t="s">
        <v>47113</v>
      </c>
      <c r="L4901">
        <v>11.65</v>
      </c>
      <c r="M4901">
        <v>26</v>
      </c>
      <c r="N4901">
        <v>0</v>
      </c>
      <c r="O4901">
        <v>26</v>
      </c>
      <c r="P4901">
        <v>0</v>
      </c>
    </row>
    <row r="4902" spans="1:16" x14ac:dyDescent="0.25">
      <c r="A4902" t="s">
        <v>27266</v>
      </c>
      <c r="B4902" t="s">
        <v>19634</v>
      </c>
      <c r="C4902" t="s">
        <v>19635</v>
      </c>
      <c r="D4902" t="str">
        <f>"4522"</f>
        <v>4522</v>
      </c>
      <c r="E4902" t="s">
        <v>11009</v>
      </c>
      <c r="F4902" t="s">
        <v>19552</v>
      </c>
      <c r="G4902" t="s">
        <v>16221</v>
      </c>
      <c r="H4902" t="s">
        <v>47055</v>
      </c>
      <c r="I4902" t="s">
        <v>47127</v>
      </c>
      <c r="J4902" t="s">
        <v>47128</v>
      </c>
      <c r="K4902" t="s">
        <v>47113</v>
      </c>
      <c r="L4902">
        <v>11.65</v>
      </c>
      <c r="M4902">
        <v>26</v>
      </c>
      <c r="N4902">
        <v>0</v>
      </c>
      <c r="O4902">
        <v>26</v>
      </c>
      <c r="P4902">
        <v>0</v>
      </c>
    </row>
    <row r="4903" spans="1:16" x14ac:dyDescent="0.25">
      <c r="A4903" t="s">
        <v>27267</v>
      </c>
      <c r="B4903" t="s">
        <v>19634</v>
      </c>
      <c r="C4903" t="s">
        <v>19635</v>
      </c>
      <c r="D4903" t="str">
        <f>"6474"</f>
        <v>6474</v>
      </c>
      <c r="E4903" t="s">
        <v>19570</v>
      </c>
      <c r="F4903" t="s">
        <v>19552</v>
      </c>
      <c r="G4903" t="s">
        <v>16221</v>
      </c>
      <c r="H4903" t="s">
        <v>47055</v>
      </c>
      <c r="I4903" t="s">
        <v>47127</v>
      </c>
      <c r="J4903" t="s">
        <v>47128</v>
      </c>
      <c r="K4903" t="s">
        <v>47113</v>
      </c>
      <c r="L4903">
        <v>11.65</v>
      </c>
      <c r="M4903">
        <v>26</v>
      </c>
      <c r="N4903">
        <v>0</v>
      </c>
      <c r="O4903">
        <v>26</v>
      </c>
      <c r="P4903">
        <v>0</v>
      </c>
    </row>
    <row r="4904" spans="1:16" x14ac:dyDescent="0.25">
      <c r="A4904" t="s">
        <v>27268</v>
      </c>
      <c r="B4904" t="s">
        <v>19636</v>
      </c>
      <c r="C4904" t="s">
        <v>19637</v>
      </c>
      <c r="D4904" t="str">
        <f>"1106"</f>
        <v>1106</v>
      </c>
      <c r="E4904" t="s">
        <v>460</v>
      </c>
      <c r="F4904" t="s">
        <v>19559</v>
      </c>
      <c r="G4904" t="s">
        <v>16221</v>
      </c>
      <c r="H4904" t="s">
        <v>47055</v>
      </c>
      <c r="I4904" t="s">
        <v>47127</v>
      </c>
      <c r="J4904" t="s">
        <v>47128</v>
      </c>
      <c r="K4904" t="s">
        <v>47113</v>
      </c>
      <c r="L4904">
        <v>11.65</v>
      </c>
      <c r="M4904">
        <v>26</v>
      </c>
      <c r="N4904">
        <v>0</v>
      </c>
      <c r="O4904">
        <v>26</v>
      </c>
      <c r="P4904">
        <v>0</v>
      </c>
    </row>
    <row r="4905" spans="1:16" x14ac:dyDescent="0.25">
      <c r="A4905" t="s">
        <v>27269</v>
      </c>
      <c r="B4905" t="s">
        <v>19636</v>
      </c>
      <c r="C4905" t="s">
        <v>19637</v>
      </c>
      <c r="D4905" t="str">
        <f>"1278"</f>
        <v>1278</v>
      </c>
      <c r="E4905" t="s">
        <v>100</v>
      </c>
      <c r="F4905" t="s">
        <v>19559</v>
      </c>
      <c r="G4905" t="s">
        <v>16221</v>
      </c>
      <c r="H4905" t="s">
        <v>47055</v>
      </c>
      <c r="I4905" t="s">
        <v>47127</v>
      </c>
      <c r="J4905" t="s">
        <v>47128</v>
      </c>
      <c r="K4905" t="s">
        <v>47113</v>
      </c>
      <c r="L4905">
        <v>11.65</v>
      </c>
      <c r="M4905">
        <v>26</v>
      </c>
      <c r="N4905">
        <v>0</v>
      </c>
      <c r="O4905">
        <v>26</v>
      </c>
      <c r="P4905">
        <v>0</v>
      </c>
    </row>
    <row r="4906" spans="1:16" x14ac:dyDescent="0.25">
      <c r="A4906" t="s">
        <v>27270</v>
      </c>
      <c r="B4906" t="s">
        <v>19636</v>
      </c>
      <c r="C4906" t="s">
        <v>19637</v>
      </c>
      <c r="D4906" t="str">
        <f>"1700"</f>
        <v>1700</v>
      </c>
      <c r="E4906" t="s">
        <v>60</v>
      </c>
      <c r="F4906" t="s">
        <v>19559</v>
      </c>
      <c r="G4906" t="s">
        <v>16221</v>
      </c>
      <c r="H4906" t="s">
        <v>47055</v>
      </c>
      <c r="I4906" t="s">
        <v>47127</v>
      </c>
      <c r="J4906" t="s">
        <v>47128</v>
      </c>
      <c r="K4906" t="s">
        <v>47113</v>
      </c>
      <c r="L4906">
        <v>11.65</v>
      </c>
      <c r="M4906">
        <v>26</v>
      </c>
      <c r="N4906">
        <v>0</v>
      </c>
      <c r="O4906">
        <v>26</v>
      </c>
      <c r="P4906">
        <v>0</v>
      </c>
    </row>
    <row r="4907" spans="1:16" x14ac:dyDescent="0.25">
      <c r="A4907" t="s">
        <v>27271</v>
      </c>
      <c r="B4907" t="s">
        <v>19636</v>
      </c>
      <c r="C4907" t="s">
        <v>19637</v>
      </c>
      <c r="D4907" t="str">
        <f>"2000"</f>
        <v>2000</v>
      </c>
      <c r="E4907" t="s">
        <v>248</v>
      </c>
      <c r="F4907" t="s">
        <v>19559</v>
      </c>
      <c r="G4907" t="s">
        <v>16221</v>
      </c>
      <c r="H4907" t="s">
        <v>47055</v>
      </c>
      <c r="I4907" t="s">
        <v>47127</v>
      </c>
      <c r="J4907" t="s">
        <v>47128</v>
      </c>
      <c r="K4907" t="s">
        <v>47113</v>
      </c>
      <c r="L4907">
        <v>11.65</v>
      </c>
      <c r="M4907">
        <v>26</v>
      </c>
      <c r="N4907">
        <v>0</v>
      </c>
      <c r="O4907">
        <v>26</v>
      </c>
      <c r="P4907">
        <v>0</v>
      </c>
    </row>
    <row r="4908" spans="1:16" x14ac:dyDescent="0.25">
      <c r="A4908" t="s">
        <v>27272</v>
      </c>
      <c r="B4908" t="s">
        <v>19636</v>
      </c>
      <c r="C4908" t="s">
        <v>19637</v>
      </c>
      <c r="D4908" t="str">
        <f>"3106"</f>
        <v>3106</v>
      </c>
      <c r="E4908" t="s">
        <v>230</v>
      </c>
      <c r="F4908" t="s">
        <v>19559</v>
      </c>
      <c r="G4908" t="s">
        <v>16221</v>
      </c>
      <c r="H4908" t="s">
        <v>47055</v>
      </c>
      <c r="I4908" t="s">
        <v>47127</v>
      </c>
      <c r="J4908" t="s">
        <v>47128</v>
      </c>
      <c r="K4908" t="s">
        <v>47113</v>
      </c>
      <c r="L4908">
        <v>11.65</v>
      </c>
      <c r="M4908">
        <v>26</v>
      </c>
      <c r="N4908">
        <v>0</v>
      </c>
      <c r="O4908">
        <v>26</v>
      </c>
      <c r="P4908">
        <v>0</v>
      </c>
    </row>
    <row r="4909" spans="1:16" x14ac:dyDescent="0.25">
      <c r="A4909" t="s">
        <v>27273</v>
      </c>
      <c r="B4909" t="s">
        <v>19636</v>
      </c>
      <c r="C4909" t="s">
        <v>19637</v>
      </c>
      <c r="D4909" t="str">
        <f>"4143"</f>
        <v>4143</v>
      </c>
      <c r="E4909" t="s">
        <v>16626</v>
      </c>
      <c r="F4909" t="s">
        <v>19559</v>
      </c>
      <c r="G4909" t="s">
        <v>16221</v>
      </c>
      <c r="H4909" t="s">
        <v>47055</v>
      </c>
      <c r="I4909" t="s">
        <v>47127</v>
      </c>
      <c r="J4909" t="s">
        <v>47128</v>
      </c>
      <c r="K4909" t="s">
        <v>47113</v>
      </c>
      <c r="L4909">
        <v>11.65</v>
      </c>
      <c r="M4909">
        <v>26</v>
      </c>
      <c r="N4909">
        <v>0</v>
      </c>
      <c r="O4909">
        <v>26</v>
      </c>
      <c r="P4909">
        <v>0</v>
      </c>
    </row>
    <row r="4910" spans="1:16" x14ac:dyDescent="0.25">
      <c r="A4910" t="s">
        <v>22653</v>
      </c>
      <c r="B4910" t="s">
        <v>19636</v>
      </c>
      <c r="C4910" t="s">
        <v>19637</v>
      </c>
      <c r="D4910" t="str">
        <f>"6064"</f>
        <v>6064</v>
      </c>
      <c r="E4910" t="s">
        <v>87</v>
      </c>
      <c r="F4910" t="s">
        <v>19559</v>
      </c>
      <c r="G4910" t="s">
        <v>16221</v>
      </c>
      <c r="H4910" t="s">
        <v>47055</v>
      </c>
      <c r="I4910" t="s">
        <v>47127</v>
      </c>
      <c r="J4910" t="s">
        <v>47128</v>
      </c>
      <c r="K4910" t="s">
        <v>47113</v>
      </c>
      <c r="L4910">
        <v>11.65</v>
      </c>
      <c r="M4910">
        <v>26</v>
      </c>
      <c r="N4910">
        <v>0</v>
      </c>
      <c r="O4910">
        <v>26</v>
      </c>
      <c r="P4910">
        <v>0</v>
      </c>
    </row>
    <row r="4911" spans="1:16" x14ac:dyDescent="0.25">
      <c r="A4911" t="s">
        <v>22654</v>
      </c>
      <c r="B4911" t="s">
        <v>19638</v>
      </c>
      <c r="C4911" t="s">
        <v>19639</v>
      </c>
      <c r="D4911" t="str">
        <f>"1378"</f>
        <v>1378</v>
      </c>
      <c r="E4911" t="s">
        <v>388</v>
      </c>
      <c r="F4911" t="s">
        <v>19559</v>
      </c>
      <c r="G4911" t="s">
        <v>16221</v>
      </c>
      <c r="H4911" t="s">
        <v>47055</v>
      </c>
      <c r="I4911" t="s">
        <v>47127</v>
      </c>
      <c r="J4911" t="s">
        <v>47128</v>
      </c>
      <c r="K4911" t="s">
        <v>47113</v>
      </c>
      <c r="L4911">
        <v>11.65</v>
      </c>
      <c r="M4911">
        <v>26</v>
      </c>
      <c r="N4911">
        <v>0</v>
      </c>
      <c r="O4911">
        <v>26</v>
      </c>
      <c r="P4911">
        <v>0</v>
      </c>
    </row>
    <row r="4912" spans="1:16" x14ac:dyDescent="0.25">
      <c r="A4912" t="s">
        <v>22655</v>
      </c>
      <c r="B4912" t="s">
        <v>19638</v>
      </c>
      <c r="C4912" t="s">
        <v>19639</v>
      </c>
      <c r="D4912" t="str">
        <f>"2000"</f>
        <v>2000</v>
      </c>
      <c r="E4912" t="s">
        <v>248</v>
      </c>
      <c r="F4912" t="s">
        <v>19559</v>
      </c>
      <c r="G4912" t="s">
        <v>16221</v>
      </c>
      <c r="H4912" t="s">
        <v>47055</v>
      </c>
      <c r="I4912" t="s">
        <v>47127</v>
      </c>
      <c r="J4912" t="s">
        <v>47128</v>
      </c>
      <c r="K4912" t="s">
        <v>47113</v>
      </c>
      <c r="L4912">
        <v>11.65</v>
      </c>
      <c r="M4912">
        <v>26</v>
      </c>
      <c r="N4912">
        <v>0</v>
      </c>
      <c r="O4912">
        <v>26</v>
      </c>
      <c r="P4912">
        <v>0</v>
      </c>
    </row>
    <row r="4913" spans="1:16" x14ac:dyDescent="0.25">
      <c r="A4913" t="s">
        <v>22656</v>
      </c>
      <c r="B4913" t="s">
        <v>19638</v>
      </c>
      <c r="C4913" t="s">
        <v>19639</v>
      </c>
      <c r="D4913" t="str">
        <f>"4522"</f>
        <v>4522</v>
      </c>
      <c r="E4913" t="s">
        <v>11009</v>
      </c>
      <c r="F4913" t="s">
        <v>19559</v>
      </c>
      <c r="G4913" t="s">
        <v>16221</v>
      </c>
      <c r="H4913" t="s">
        <v>47055</v>
      </c>
      <c r="I4913" t="s">
        <v>47127</v>
      </c>
      <c r="J4913" t="s">
        <v>47128</v>
      </c>
      <c r="K4913" t="s">
        <v>47113</v>
      </c>
      <c r="L4913">
        <v>11.65</v>
      </c>
      <c r="M4913">
        <v>26</v>
      </c>
      <c r="N4913">
        <v>0</v>
      </c>
      <c r="O4913">
        <v>26</v>
      </c>
      <c r="P4913">
        <v>0</v>
      </c>
    </row>
    <row r="4914" spans="1:16" x14ac:dyDescent="0.25">
      <c r="A4914" t="s">
        <v>27274</v>
      </c>
      <c r="B4914" t="s">
        <v>19638</v>
      </c>
      <c r="C4914" t="s">
        <v>19639</v>
      </c>
      <c r="D4914" t="str">
        <f>"6064"</f>
        <v>6064</v>
      </c>
      <c r="E4914" t="s">
        <v>87</v>
      </c>
      <c r="F4914" t="s">
        <v>19559</v>
      </c>
      <c r="G4914" t="s">
        <v>16221</v>
      </c>
      <c r="H4914" t="s">
        <v>47055</v>
      </c>
      <c r="I4914" t="s">
        <v>47127</v>
      </c>
      <c r="J4914" t="s">
        <v>47128</v>
      </c>
      <c r="K4914" t="s">
        <v>47113</v>
      </c>
      <c r="L4914">
        <v>11.65</v>
      </c>
      <c r="M4914">
        <v>26</v>
      </c>
      <c r="N4914">
        <v>0</v>
      </c>
      <c r="O4914">
        <v>26</v>
      </c>
      <c r="P4914">
        <v>0</v>
      </c>
    </row>
    <row r="4915" spans="1:16" x14ac:dyDescent="0.25">
      <c r="A4915" t="s">
        <v>27275</v>
      </c>
      <c r="B4915" t="s">
        <v>19640</v>
      </c>
      <c r="C4915" t="s">
        <v>19641</v>
      </c>
      <c r="D4915" t="str">
        <f>"1378"</f>
        <v>1378</v>
      </c>
      <c r="E4915" t="s">
        <v>388</v>
      </c>
      <c r="F4915" t="s">
        <v>19559</v>
      </c>
      <c r="G4915" t="s">
        <v>16221</v>
      </c>
      <c r="H4915" t="s">
        <v>47055</v>
      </c>
      <c r="I4915" t="s">
        <v>47127</v>
      </c>
      <c r="J4915" t="s">
        <v>47128</v>
      </c>
      <c r="K4915" t="s">
        <v>47113</v>
      </c>
      <c r="L4915">
        <v>15.83</v>
      </c>
      <c r="M4915">
        <v>37</v>
      </c>
      <c r="N4915">
        <v>0</v>
      </c>
      <c r="O4915">
        <v>37</v>
      </c>
      <c r="P4915">
        <v>0</v>
      </c>
    </row>
    <row r="4916" spans="1:16" x14ac:dyDescent="0.25">
      <c r="A4916" t="s">
        <v>22657</v>
      </c>
      <c r="B4916" t="s">
        <v>19640</v>
      </c>
      <c r="C4916" t="s">
        <v>19641</v>
      </c>
      <c r="D4916" t="str">
        <f>"1383"</f>
        <v>1383</v>
      </c>
      <c r="E4916" t="s">
        <v>2273</v>
      </c>
      <c r="F4916" t="s">
        <v>19559</v>
      </c>
      <c r="G4916" t="s">
        <v>16221</v>
      </c>
      <c r="H4916" t="s">
        <v>47055</v>
      </c>
      <c r="I4916" t="s">
        <v>47127</v>
      </c>
      <c r="J4916" t="s">
        <v>47128</v>
      </c>
      <c r="K4916" t="s">
        <v>47113</v>
      </c>
      <c r="L4916">
        <v>15.83</v>
      </c>
      <c r="M4916">
        <v>37</v>
      </c>
      <c r="N4916">
        <v>0</v>
      </c>
      <c r="O4916">
        <v>37</v>
      </c>
      <c r="P4916">
        <v>0</v>
      </c>
    </row>
    <row r="4917" spans="1:16" x14ac:dyDescent="0.25">
      <c r="A4917" t="s">
        <v>27276</v>
      </c>
      <c r="B4917" t="s">
        <v>19640</v>
      </c>
      <c r="C4917" t="s">
        <v>19641</v>
      </c>
      <c r="D4917" t="str">
        <f>"2000"</f>
        <v>2000</v>
      </c>
      <c r="E4917" t="s">
        <v>248</v>
      </c>
      <c r="F4917" t="s">
        <v>19559</v>
      </c>
      <c r="G4917" t="s">
        <v>16221</v>
      </c>
      <c r="H4917" t="s">
        <v>47055</v>
      </c>
      <c r="I4917" t="s">
        <v>47127</v>
      </c>
      <c r="J4917" t="s">
        <v>47128</v>
      </c>
      <c r="K4917" t="s">
        <v>47113</v>
      </c>
      <c r="L4917">
        <v>15.83</v>
      </c>
      <c r="M4917">
        <v>37</v>
      </c>
      <c r="N4917">
        <v>0</v>
      </c>
      <c r="O4917">
        <v>37</v>
      </c>
      <c r="P4917">
        <v>0</v>
      </c>
    </row>
    <row r="4918" spans="1:16" x14ac:dyDescent="0.25">
      <c r="A4918" t="s">
        <v>22658</v>
      </c>
      <c r="B4918" t="s">
        <v>19640</v>
      </c>
      <c r="C4918" t="s">
        <v>19641</v>
      </c>
      <c r="D4918" t="str">
        <f>"4522"</f>
        <v>4522</v>
      </c>
      <c r="E4918" t="s">
        <v>11009</v>
      </c>
      <c r="F4918" t="s">
        <v>19559</v>
      </c>
      <c r="G4918" t="s">
        <v>16221</v>
      </c>
      <c r="H4918" t="s">
        <v>47055</v>
      </c>
      <c r="I4918" t="s">
        <v>47127</v>
      </c>
      <c r="J4918" t="s">
        <v>47128</v>
      </c>
      <c r="K4918" t="s">
        <v>47113</v>
      </c>
      <c r="L4918">
        <v>15.83</v>
      </c>
      <c r="M4918">
        <v>37</v>
      </c>
      <c r="N4918">
        <v>0</v>
      </c>
      <c r="O4918">
        <v>37</v>
      </c>
      <c r="P4918">
        <v>0</v>
      </c>
    </row>
    <row r="4919" spans="1:16" x14ac:dyDescent="0.25">
      <c r="A4919" t="s">
        <v>27277</v>
      </c>
      <c r="B4919" t="s">
        <v>19640</v>
      </c>
      <c r="C4919" t="s">
        <v>19641</v>
      </c>
      <c r="D4919" t="str">
        <f>"6064"</f>
        <v>6064</v>
      </c>
      <c r="E4919" t="s">
        <v>87</v>
      </c>
      <c r="F4919" t="s">
        <v>19559</v>
      </c>
      <c r="G4919" t="s">
        <v>16221</v>
      </c>
      <c r="H4919" t="s">
        <v>47055</v>
      </c>
      <c r="I4919" t="s">
        <v>47127</v>
      </c>
      <c r="J4919" t="s">
        <v>47128</v>
      </c>
      <c r="K4919" t="s">
        <v>47113</v>
      </c>
      <c r="L4919">
        <v>15.83</v>
      </c>
      <c r="M4919">
        <v>37</v>
      </c>
      <c r="N4919">
        <v>0</v>
      </c>
      <c r="O4919">
        <v>37</v>
      </c>
      <c r="P4919">
        <v>0</v>
      </c>
    </row>
    <row r="4920" spans="1:16" x14ac:dyDescent="0.25">
      <c r="A4920" t="s">
        <v>27278</v>
      </c>
      <c r="B4920" t="s">
        <v>19642</v>
      </c>
      <c r="C4920" t="s">
        <v>19643</v>
      </c>
      <c r="D4920" t="str">
        <f>"1106"</f>
        <v>1106</v>
      </c>
      <c r="E4920" t="s">
        <v>460</v>
      </c>
      <c r="F4920" t="s">
        <v>19559</v>
      </c>
      <c r="G4920" t="s">
        <v>16221</v>
      </c>
      <c r="H4920" t="s">
        <v>47055</v>
      </c>
      <c r="I4920" t="s">
        <v>47127</v>
      </c>
      <c r="J4920" t="s">
        <v>47128</v>
      </c>
      <c r="K4920" t="s">
        <v>47113</v>
      </c>
      <c r="L4920">
        <v>11.98</v>
      </c>
      <c r="M4920">
        <v>29</v>
      </c>
      <c r="N4920">
        <v>0</v>
      </c>
      <c r="O4920">
        <v>29</v>
      </c>
      <c r="P4920">
        <v>0</v>
      </c>
    </row>
    <row r="4921" spans="1:16" x14ac:dyDescent="0.25">
      <c r="A4921" t="s">
        <v>22659</v>
      </c>
      <c r="B4921" t="s">
        <v>19642</v>
      </c>
      <c r="C4921" t="s">
        <v>19643</v>
      </c>
      <c r="D4921" t="str">
        <f>"1278"</f>
        <v>1278</v>
      </c>
      <c r="E4921" t="s">
        <v>100</v>
      </c>
      <c r="F4921" t="s">
        <v>19559</v>
      </c>
      <c r="G4921" t="s">
        <v>16221</v>
      </c>
      <c r="H4921" t="s">
        <v>47055</v>
      </c>
      <c r="I4921" t="s">
        <v>47127</v>
      </c>
      <c r="J4921" t="s">
        <v>47128</v>
      </c>
      <c r="K4921" t="s">
        <v>47113</v>
      </c>
      <c r="L4921">
        <v>11.98</v>
      </c>
      <c r="M4921">
        <v>29</v>
      </c>
      <c r="N4921">
        <v>0</v>
      </c>
      <c r="O4921">
        <v>29</v>
      </c>
      <c r="P4921">
        <v>0</v>
      </c>
    </row>
    <row r="4922" spans="1:16" x14ac:dyDescent="0.25">
      <c r="A4922" t="s">
        <v>22660</v>
      </c>
      <c r="B4922" t="s">
        <v>19642</v>
      </c>
      <c r="C4922" t="s">
        <v>19643</v>
      </c>
      <c r="D4922" t="str">
        <f>"1700"</f>
        <v>1700</v>
      </c>
      <c r="E4922" t="s">
        <v>60</v>
      </c>
      <c r="F4922" t="s">
        <v>19559</v>
      </c>
      <c r="G4922" t="s">
        <v>16221</v>
      </c>
      <c r="H4922" t="s">
        <v>47055</v>
      </c>
      <c r="I4922" t="s">
        <v>47127</v>
      </c>
      <c r="J4922" t="s">
        <v>47128</v>
      </c>
      <c r="K4922" t="s">
        <v>47113</v>
      </c>
      <c r="L4922">
        <v>11.98</v>
      </c>
      <c r="M4922">
        <v>29</v>
      </c>
      <c r="N4922">
        <v>0</v>
      </c>
      <c r="O4922">
        <v>29</v>
      </c>
      <c r="P4922">
        <v>0</v>
      </c>
    </row>
    <row r="4923" spans="1:16" x14ac:dyDescent="0.25">
      <c r="A4923" t="s">
        <v>27279</v>
      </c>
      <c r="B4923" t="s">
        <v>19642</v>
      </c>
      <c r="C4923" t="s">
        <v>19643</v>
      </c>
      <c r="D4923" t="str">
        <f>"2000"</f>
        <v>2000</v>
      </c>
      <c r="E4923" t="s">
        <v>248</v>
      </c>
      <c r="F4923" t="s">
        <v>19559</v>
      </c>
      <c r="G4923" t="s">
        <v>16221</v>
      </c>
      <c r="H4923" t="s">
        <v>47055</v>
      </c>
      <c r="I4923" t="s">
        <v>47127</v>
      </c>
      <c r="J4923" t="s">
        <v>47128</v>
      </c>
      <c r="K4923" t="s">
        <v>47113</v>
      </c>
      <c r="L4923">
        <v>11.98</v>
      </c>
      <c r="M4923">
        <v>29</v>
      </c>
      <c r="N4923">
        <v>0</v>
      </c>
      <c r="O4923">
        <v>29</v>
      </c>
      <c r="P4923">
        <v>0</v>
      </c>
    </row>
    <row r="4924" spans="1:16" x14ac:dyDescent="0.25">
      <c r="A4924" t="s">
        <v>27280</v>
      </c>
      <c r="B4924" t="s">
        <v>19642</v>
      </c>
      <c r="C4924" t="s">
        <v>19643</v>
      </c>
      <c r="D4924" t="str">
        <f>"4143"</f>
        <v>4143</v>
      </c>
      <c r="E4924" t="s">
        <v>16626</v>
      </c>
      <c r="F4924" t="s">
        <v>19559</v>
      </c>
      <c r="G4924" t="s">
        <v>16221</v>
      </c>
      <c r="H4924" t="s">
        <v>47055</v>
      </c>
      <c r="I4924" t="s">
        <v>47127</v>
      </c>
      <c r="J4924" t="s">
        <v>47128</v>
      </c>
      <c r="K4924" t="s">
        <v>47113</v>
      </c>
      <c r="L4924">
        <v>11.98</v>
      </c>
      <c r="M4924">
        <v>29</v>
      </c>
      <c r="N4924">
        <v>0</v>
      </c>
      <c r="O4924">
        <v>29</v>
      </c>
      <c r="P4924">
        <v>0</v>
      </c>
    </row>
    <row r="4925" spans="1:16" x14ac:dyDescent="0.25">
      <c r="A4925" t="s">
        <v>22661</v>
      </c>
      <c r="B4925" t="s">
        <v>19644</v>
      </c>
      <c r="C4925" t="s">
        <v>19637</v>
      </c>
      <c r="D4925" t="str">
        <f>"1106"</f>
        <v>1106</v>
      </c>
      <c r="E4925" t="s">
        <v>460</v>
      </c>
      <c r="F4925" t="s">
        <v>19552</v>
      </c>
      <c r="G4925" t="s">
        <v>16221</v>
      </c>
      <c r="H4925" t="s">
        <v>47055</v>
      </c>
      <c r="I4925" t="s">
        <v>47127</v>
      </c>
      <c r="J4925" t="s">
        <v>47128</v>
      </c>
      <c r="K4925" t="s">
        <v>47113</v>
      </c>
      <c r="L4925">
        <v>12.3</v>
      </c>
      <c r="M4925">
        <v>29</v>
      </c>
      <c r="N4925">
        <v>0</v>
      </c>
      <c r="O4925">
        <v>29</v>
      </c>
      <c r="P4925">
        <v>0</v>
      </c>
    </row>
    <row r="4926" spans="1:16" x14ac:dyDescent="0.25">
      <c r="A4926" t="s">
        <v>22662</v>
      </c>
      <c r="B4926" t="s">
        <v>19644</v>
      </c>
      <c r="C4926" t="s">
        <v>19637</v>
      </c>
      <c r="D4926" t="str">
        <f>"1700"</f>
        <v>1700</v>
      </c>
      <c r="E4926" t="s">
        <v>60</v>
      </c>
      <c r="F4926" t="s">
        <v>19552</v>
      </c>
      <c r="G4926" t="s">
        <v>16221</v>
      </c>
      <c r="H4926" t="s">
        <v>47055</v>
      </c>
      <c r="I4926" t="s">
        <v>47127</v>
      </c>
      <c r="J4926" t="s">
        <v>47128</v>
      </c>
      <c r="K4926" t="s">
        <v>47113</v>
      </c>
      <c r="L4926">
        <v>12.3</v>
      </c>
      <c r="M4926">
        <v>29</v>
      </c>
      <c r="N4926">
        <v>0</v>
      </c>
      <c r="O4926">
        <v>29</v>
      </c>
      <c r="P4926">
        <v>0</v>
      </c>
    </row>
    <row r="4927" spans="1:16" x14ac:dyDescent="0.25">
      <c r="A4927" t="s">
        <v>22663</v>
      </c>
      <c r="B4927" t="s">
        <v>19644</v>
      </c>
      <c r="C4927" t="s">
        <v>19637</v>
      </c>
      <c r="D4927" t="str">
        <f>"3106"</f>
        <v>3106</v>
      </c>
      <c r="E4927" t="s">
        <v>230</v>
      </c>
      <c r="F4927" t="s">
        <v>19552</v>
      </c>
      <c r="G4927" t="s">
        <v>16221</v>
      </c>
      <c r="H4927" t="s">
        <v>47055</v>
      </c>
      <c r="I4927" t="s">
        <v>47127</v>
      </c>
      <c r="J4927" t="s">
        <v>47128</v>
      </c>
      <c r="K4927" t="s">
        <v>47113</v>
      </c>
      <c r="L4927">
        <v>12.3</v>
      </c>
      <c r="M4927">
        <v>29</v>
      </c>
      <c r="N4927">
        <v>0</v>
      </c>
      <c r="O4927">
        <v>29</v>
      </c>
      <c r="P4927">
        <v>0</v>
      </c>
    </row>
    <row r="4928" spans="1:16" x14ac:dyDescent="0.25">
      <c r="A4928" t="s">
        <v>27281</v>
      </c>
      <c r="B4928" t="s">
        <v>19644</v>
      </c>
      <c r="C4928" t="s">
        <v>19637</v>
      </c>
      <c r="D4928" t="str">
        <f>"4143"</f>
        <v>4143</v>
      </c>
      <c r="E4928" t="s">
        <v>16626</v>
      </c>
      <c r="F4928" t="s">
        <v>19552</v>
      </c>
      <c r="G4928" t="s">
        <v>16221</v>
      </c>
      <c r="H4928" t="s">
        <v>47055</v>
      </c>
      <c r="I4928" t="s">
        <v>47127</v>
      </c>
      <c r="J4928" t="s">
        <v>47128</v>
      </c>
      <c r="K4928" t="s">
        <v>47113</v>
      </c>
      <c r="L4928">
        <v>12.3</v>
      </c>
      <c r="M4928">
        <v>29</v>
      </c>
      <c r="N4928">
        <v>0</v>
      </c>
      <c r="O4928">
        <v>29</v>
      </c>
      <c r="P4928">
        <v>0</v>
      </c>
    </row>
    <row r="4929" spans="1:16" x14ac:dyDescent="0.25">
      <c r="A4929" t="s">
        <v>27282</v>
      </c>
      <c r="B4929" t="s">
        <v>19645</v>
      </c>
      <c r="C4929" t="s">
        <v>19646</v>
      </c>
      <c r="D4929" t="str">
        <f>"1106"</f>
        <v>1106</v>
      </c>
      <c r="E4929" t="s">
        <v>460</v>
      </c>
      <c r="F4929" t="s">
        <v>19552</v>
      </c>
      <c r="G4929" t="s">
        <v>16221</v>
      </c>
      <c r="H4929" t="s">
        <v>47055</v>
      </c>
      <c r="I4929" t="s">
        <v>47127</v>
      </c>
      <c r="J4929" t="s">
        <v>47128</v>
      </c>
      <c r="K4929" t="s">
        <v>47113</v>
      </c>
      <c r="L4929">
        <v>12.73</v>
      </c>
      <c r="M4929">
        <v>29</v>
      </c>
      <c r="N4929">
        <v>0</v>
      </c>
      <c r="O4929">
        <v>29</v>
      </c>
      <c r="P4929">
        <v>0</v>
      </c>
    </row>
    <row r="4930" spans="1:16" x14ac:dyDescent="0.25">
      <c r="A4930" t="s">
        <v>27283</v>
      </c>
      <c r="B4930" t="s">
        <v>19645</v>
      </c>
      <c r="C4930" t="s">
        <v>19646</v>
      </c>
      <c r="D4930" t="str">
        <f>"1383"</f>
        <v>1383</v>
      </c>
      <c r="E4930" t="s">
        <v>2273</v>
      </c>
      <c r="F4930" t="s">
        <v>19552</v>
      </c>
      <c r="G4930" t="s">
        <v>16221</v>
      </c>
      <c r="H4930" t="s">
        <v>47055</v>
      </c>
      <c r="I4930" t="s">
        <v>47127</v>
      </c>
      <c r="J4930" t="s">
        <v>47128</v>
      </c>
      <c r="K4930" t="s">
        <v>47113</v>
      </c>
      <c r="L4930">
        <v>12.73</v>
      </c>
      <c r="M4930">
        <v>29</v>
      </c>
      <c r="N4930">
        <v>0</v>
      </c>
      <c r="O4930">
        <v>29</v>
      </c>
      <c r="P4930">
        <v>0</v>
      </c>
    </row>
    <row r="4931" spans="1:16" x14ac:dyDescent="0.25">
      <c r="A4931" t="s">
        <v>27284</v>
      </c>
      <c r="B4931" t="s">
        <v>19645</v>
      </c>
      <c r="C4931" t="s">
        <v>19646</v>
      </c>
      <c r="D4931" t="str">
        <f>"1700"</f>
        <v>1700</v>
      </c>
      <c r="E4931" t="s">
        <v>60</v>
      </c>
      <c r="F4931" t="s">
        <v>19552</v>
      </c>
      <c r="G4931" t="s">
        <v>16221</v>
      </c>
      <c r="H4931" t="s">
        <v>47055</v>
      </c>
      <c r="I4931" t="s">
        <v>47127</v>
      </c>
      <c r="J4931" t="s">
        <v>47128</v>
      </c>
      <c r="K4931" t="s">
        <v>47113</v>
      </c>
      <c r="L4931">
        <v>12.73</v>
      </c>
      <c r="M4931">
        <v>29</v>
      </c>
      <c r="N4931">
        <v>0</v>
      </c>
      <c r="O4931">
        <v>29</v>
      </c>
      <c r="P4931">
        <v>0</v>
      </c>
    </row>
    <row r="4932" spans="1:16" x14ac:dyDescent="0.25">
      <c r="A4932" t="s">
        <v>27285</v>
      </c>
      <c r="B4932" t="s">
        <v>19645</v>
      </c>
      <c r="C4932" t="s">
        <v>19646</v>
      </c>
      <c r="D4932" t="str">
        <f>"4143"</f>
        <v>4143</v>
      </c>
      <c r="E4932" t="s">
        <v>16626</v>
      </c>
      <c r="F4932" t="s">
        <v>19552</v>
      </c>
      <c r="G4932" t="s">
        <v>16221</v>
      </c>
      <c r="H4932" t="s">
        <v>47055</v>
      </c>
      <c r="I4932" t="s">
        <v>47127</v>
      </c>
      <c r="J4932" t="s">
        <v>47128</v>
      </c>
      <c r="K4932" t="s">
        <v>47113</v>
      </c>
      <c r="L4932">
        <v>12.73</v>
      </c>
      <c r="M4932">
        <v>29</v>
      </c>
      <c r="N4932">
        <v>0</v>
      </c>
      <c r="O4932">
        <v>29</v>
      </c>
      <c r="P4932">
        <v>0</v>
      </c>
    </row>
    <row r="4933" spans="1:16" x14ac:dyDescent="0.25">
      <c r="A4933" t="s">
        <v>27286</v>
      </c>
      <c r="B4933" t="s">
        <v>19645</v>
      </c>
      <c r="C4933" t="s">
        <v>19646</v>
      </c>
      <c r="D4933" t="str">
        <f>"4522"</f>
        <v>4522</v>
      </c>
      <c r="E4933" t="s">
        <v>11009</v>
      </c>
      <c r="F4933" t="s">
        <v>19552</v>
      </c>
      <c r="G4933" t="s">
        <v>16221</v>
      </c>
      <c r="H4933" t="s">
        <v>47055</v>
      </c>
      <c r="I4933" t="s">
        <v>47127</v>
      </c>
      <c r="J4933" t="s">
        <v>47128</v>
      </c>
      <c r="K4933" t="s">
        <v>47113</v>
      </c>
      <c r="L4933">
        <v>12.73</v>
      </c>
      <c r="M4933">
        <v>29</v>
      </c>
      <c r="N4933">
        <v>0</v>
      </c>
      <c r="O4933">
        <v>29</v>
      </c>
      <c r="P4933">
        <v>0</v>
      </c>
    </row>
    <row r="4934" spans="1:16" x14ac:dyDescent="0.25">
      <c r="A4934" t="s">
        <v>27287</v>
      </c>
      <c r="B4934" t="s">
        <v>19647</v>
      </c>
      <c r="C4934" t="s">
        <v>19648</v>
      </c>
      <c r="D4934" t="str">
        <f>"1106"</f>
        <v>1106</v>
      </c>
      <c r="E4934" t="s">
        <v>460</v>
      </c>
      <c r="F4934" t="s">
        <v>19559</v>
      </c>
      <c r="G4934" t="s">
        <v>16221</v>
      </c>
      <c r="H4934" t="s">
        <v>47055</v>
      </c>
      <c r="I4934" t="s">
        <v>47127</v>
      </c>
      <c r="J4934" t="s">
        <v>47128</v>
      </c>
      <c r="K4934" t="s">
        <v>47113</v>
      </c>
      <c r="L4934">
        <v>16.04</v>
      </c>
      <c r="M4934">
        <v>37</v>
      </c>
      <c r="N4934">
        <v>0</v>
      </c>
      <c r="O4934">
        <v>37</v>
      </c>
      <c r="P4934">
        <v>0</v>
      </c>
    </row>
    <row r="4935" spans="1:16" x14ac:dyDescent="0.25">
      <c r="A4935" t="s">
        <v>27288</v>
      </c>
      <c r="B4935" t="s">
        <v>19647</v>
      </c>
      <c r="C4935" t="s">
        <v>19648</v>
      </c>
      <c r="D4935" t="str">
        <f>"1278"</f>
        <v>1278</v>
      </c>
      <c r="E4935" t="s">
        <v>100</v>
      </c>
      <c r="F4935" t="s">
        <v>19559</v>
      </c>
      <c r="G4935" t="s">
        <v>16221</v>
      </c>
      <c r="H4935" t="s">
        <v>47055</v>
      </c>
      <c r="I4935" t="s">
        <v>47127</v>
      </c>
      <c r="J4935" t="s">
        <v>47128</v>
      </c>
      <c r="K4935" t="s">
        <v>47113</v>
      </c>
      <c r="L4935">
        <v>16.04</v>
      </c>
      <c r="M4935">
        <v>37</v>
      </c>
      <c r="N4935">
        <v>0</v>
      </c>
      <c r="O4935">
        <v>37</v>
      </c>
      <c r="P4935">
        <v>0</v>
      </c>
    </row>
    <row r="4936" spans="1:16" x14ac:dyDescent="0.25">
      <c r="A4936" t="s">
        <v>27289</v>
      </c>
      <c r="B4936" t="s">
        <v>19647</v>
      </c>
      <c r="C4936" t="s">
        <v>19648</v>
      </c>
      <c r="D4936" t="str">
        <f>"1700"</f>
        <v>1700</v>
      </c>
      <c r="E4936" t="s">
        <v>60</v>
      </c>
      <c r="F4936" t="s">
        <v>19559</v>
      </c>
      <c r="G4936" t="s">
        <v>16221</v>
      </c>
      <c r="H4936" t="s">
        <v>47055</v>
      </c>
      <c r="I4936" t="s">
        <v>47127</v>
      </c>
      <c r="J4936" t="s">
        <v>47128</v>
      </c>
      <c r="K4936" t="s">
        <v>47113</v>
      </c>
      <c r="L4936">
        <v>16.04</v>
      </c>
      <c r="M4936">
        <v>37</v>
      </c>
      <c r="N4936">
        <v>0</v>
      </c>
      <c r="O4936">
        <v>37</v>
      </c>
      <c r="P4936">
        <v>0</v>
      </c>
    </row>
    <row r="4937" spans="1:16" x14ac:dyDescent="0.25">
      <c r="A4937" t="s">
        <v>27290</v>
      </c>
      <c r="B4937" t="s">
        <v>19647</v>
      </c>
      <c r="C4937" t="s">
        <v>19648</v>
      </c>
      <c r="D4937" t="str">
        <f>"2000"</f>
        <v>2000</v>
      </c>
      <c r="E4937" t="s">
        <v>248</v>
      </c>
      <c r="F4937" t="s">
        <v>19559</v>
      </c>
      <c r="G4937" t="s">
        <v>16221</v>
      </c>
      <c r="H4937" t="s">
        <v>47055</v>
      </c>
      <c r="I4937" t="s">
        <v>47127</v>
      </c>
      <c r="J4937" t="s">
        <v>47128</v>
      </c>
      <c r="K4937" t="s">
        <v>47113</v>
      </c>
      <c r="L4937">
        <v>16.04</v>
      </c>
      <c r="M4937">
        <v>37</v>
      </c>
      <c r="N4937">
        <v>0</v>
      </c>
      <c r="O4937">
        <v>37</v>
      </c>
      <c r="P4937">
        <v>0</v>
      </c>
    </row>
    <row r="4938" spans="1:16" x14ac:dyDescent="0.25">
      <c r="A4938" t="s">
        <v>27291</v>
      </c>
      <c r="B4938" t="s">
        <v>19647</v>
      </c>
      <c r="C4938" t="s">
        <v>19648</v>
      </c>
      <c r="D4938" t="str">
        <f>"3106"</f>
        <v>3106</v>
      </c>
      <c r="E4938" t="s">
        <v>230</v>
      </c>
      <c r="F4938" t="s">
        <v>19559</v>
      </c>
      <c r="G4938" t="s">
        <v>16221</v>
      </c>
      <c r="H4938" t="s">
        <v>47055</v>
      </c>
      <c r="I4938" t="s">
        <v>47127</v>
      </c>
      <c r="J4938" t="s">
        <v>47128</v>
      </c>
      <c r="K4938" t="s">
        <v>47113</v>
      </c>
      <c r="L4938">
        <v>16.04</v>
      </c>
      <c r="M4938">
        <v>37</v>
      </c>
      <c r="N4938">
        <v>0</v>
      </c>
      <c r="O4938">
        <v>37</v>
      </c>
      <c r="P4938">
        <v>0</v>
      </c>
    </row>
    <row r="4939" spans="1:16" x14ac:dyDescent="0.25">
      <c r="A4939" t="s">
        <v>27292</v>
      </c>
      <c r="B4939" t="s">
        <v>19647</v>
      </c>
      <c r="C4939" t="s">
        <v>19648</v>
      </c>
      <c r="D4939" t="str">
        <f>"4143"</f>
        <v>4143</v>
      </c>
      <c r="E4939" t="s">
        <v>16626</v>
      </c>
      <c r="F4939" t="s">
        <v>19559</v>
      </c>
      <c r="G4939" t="s">
        <v>16221</v>
      </c>
      <c r="H4939" t="s">
        <v>47055</v>
      </c>
      <c r="I4939" t="s">
        <v>47127</v>
      </c>
      <c r="J4939" t="s">
        <v>47128</v>
      </c>
      <c r="K4939" t="s">
        <v>47113</v>
      </c>
      <c r="L4939">
        <v>16.04</v>
      </c>
      <c r="M4939">
        <v>37</v>
      </c>
      <c r="N4939">
        <v>0</v>
      </c>
      <c r="O4939">
        <v>37</v>
      </c>
      <c r="P4939">
        <v>0</v>
      </c>
    </row>
    <row r="4940" spans="1:16" x14ac:dyDescent="0.25">
      <c r="A4940" t="s">
        <v>27293</v>
      </c>
      <c r="B4940" t="s">
        <v>19647</v>
      </c>
      <c r="C4940" t="s">
        <v>19648</v>
      </c>
      <c r="D4940" t="str">
        <f>"6064"</f>
        <v>6064</v>
      </c>
      <c r="E4940" t="s">
        <v>87</v>
      </c>
      <c r="F4940" t="s">
        <v>19559</v>
      </c>
      <c r="G4940" t="s">
        <v>16221</v>
      </c>
      <c r="H4940" t="s">
        <v>47055</v>
      </c>
      <c r="I4940" t="s">
        <v>47127</v>
      </c>
      <c r="J4940" t="s">
        <v>47128</v>
      </c>
      <c r="K4940" t="s">
        <v>47113</v>
      </c>
      <c r="L4940">
        <v>16.04</v>
      </c>
      <c r="M4940">
        <v>37</v>
      </c>
      <c r="N4940">
        <v>0</v>
      </c>
      <c r="O4940">
        <v>37</v>
      </c>
      <c r="P4940">
        <v>0</v>
      </c>
    </row>
    <row r="4941" spans="1:16" x14ac:dyDescent="0.25">
      <c r="A4941" t="s">
        <v>27294</v>
      </c>
      <c r="B4941" t="s">
        <v>19649</v>
      </c>
      <c r="C4941" t="s">
        <v>19650</v>
      </c>
      <c r="D4941" t="str">
        <f>"1106"</f>
        <v>1106</v>
      </c>
      <c r="E4941" t="s">
        <v>460</v>
      </c>
      <c r="F4941" t="s">
        <v>19559</v>
      </c>
      <c r="G4941" t="s">
        <v>16221</v>
      </c>
      <c r="H4941" t="s">
        <v>47055</v>
      </c>
      <c r="I4941" t="s">
        <v>47127</v>
      </c>
      <c r="J4941" t="s">
        <v>47128</v>
      </c>
      <c r="K4941" t="s">
        <v>47113</v>
      </c>
      <c r="L4941">
        <v>12.83</v>
      </c>
      <c r="M4941">
        <v>29</v>
      </c>
      <c r="N4941">
        <v>0</v>
      </c>
      <c r="O4941">
        <v>29</v>
      </c>
      <c r="P4941">
        <v>0</v>
      </c>
    </row>
    <row r="4942" spans="1:16" x14ac:dyDescent="0.25">
      <c r="A4942" t="s">
        <v>27295</v>
      </c>
      <c r="B4942" t="s">
        <v>19649</v>
      </c>
      <c r="C4942" t="s">
        <v>19650</v>
      </c>
      <c r="D4942" t="str">
        <f>"1278"</f>
        <v>1278</v>
      </c>
      <c r="E4942" t="s">
        <v>100</v>
      </c>
      <c r="F4942" t="s">
        <v>19559</v>
      </c>
      <c r="G4942" t="s">
        <v>16221</v>
      </c>
      <c r="H4942" t="s">
        <v>47055</v>
      </c>
      <c r="I4942" t="s">
        <v>47127</v>
      </c>
      <c r="J4942" t="s">
        <v>47128</v>
      </c>
      <c r="K4942" t="s">
        <v>47113</v>
      </c>
      <c r="L4942">
        <v>12.83</v>
      </c>
      <c r="M4942">
        <v>29</v>
      </c>
      <c r="N4942">
        <v>0</v>
      </c>
      <c r="O4942">
        <v>29</v>
      </c>
      <c r="P4942">
        <v>0</v>
      </c>
    </row>
    <row r="4943" spans="1:16" x14ac:dyDescent="0.25">
      <c r="A4943" t="s">
        <v>27296</v>
      </c>
      <c r="B4943" t="s">
        <v>19649</v>
      </c>
      <c r="C4943" t="s">
        <v>19650</v>
      </c>
      <c r="D4943" t="str">
        <f>"1700"</f>
        <v>1700</v>
      </c>
      <c r="E4943" t="s">
        <v>60</v>
      </c>
      <c r="F4943" t="s">
        <v>19559</v>
      </c>
      <c r="G4943" t="s">
        <v>16221</v>
      </c>
      <c r="H4943" t="s">
        <v>47055</v>
      </c>
      <c r="I4943" t="s">
        <v>47127</v>
      </c>
      <c r="J4943" t="s">
        <v>47128</v>
      </c>
      <c r="K4943" t="s">
        <v>47113</v>
      </c>
      <c r="L4943">
        <v>12.83</v>
      </c>
      <c r="M4943">
        <v>29</v>
      </c>
      <c r="N4943">
        <v>0</v>
      </c>
      <c r="O4943">
        <v>29</v>
      </c>
      <c r="P4943">
        <v>0</v>
      </c>
    </row>
    <row r="4944" spans="1:16" x14ac:dyDescent="0.25">
      <c r="A4944" t="s">
        <v>27297</v>
      </c>
      <c r="B4944" t="s">
        <v>19649</v>
      </c>
      <c r="C4944" t="s">
        <v>19650</v>
      </c>
      <c r="D4944" t="str">
        <f>"2000"</f>
        <v>2000</v>
      </c>
      <c r="E4944" t="s">
        <v>248</v>
      </c>
      <c r="F4944" t="s">
        <v>19559</v>
      </c>
      <c r="G4944" t="s">
        <v>16221</v>
      </c>
      <c r="H4944" t="s">
        <v>47055</v>
      </c>
      <c r="I4944" t="s">
        <v>47127</v>
      </c>
      <c r="J4944" t="s">
        <v>47128</v>
      </c>
      <c r="K4944" t="s">
        <v>47113</v>
      </c>
      <c r="L4944">
        <v>12.83</v>
      </c>
      <c r="M4944">
        <v>29</v>
      </c>
      <c r="N4944">
        <v>0</v>
      </c>
      <c r="O4944">
        <v>29</v>
      </c>
      <c r="P4944">
        <v>0</v>
      </c>
    </row>
    <row r="4945" spans="1:16" x14ac:dyDescent="0.25">
      <c r="A4945" t="s">
        <v>27298</v>
      </c>
      <c r="B4945" t="s">
        <v>19649</v>
      </c>
      <c r="C4945" t="s">
        <v>19650</v>
      </c>
      <c r="D4945" t="str">
        <f>"3106"</f>
        <v>3106</v>
      </c>
      <c r="E4945" t="s">
        <v>230</v>
      </c>
      <c r="F4945" t="s">
        <v>19559</v>
      </c>
      <c r="G4945" t="s">
        <v>16221</v>
      </c>
      <c r="H4945" t="s">
        <v>47055</v>
      </c>
      <c r="I4945" t="s">
        <v>47127</v>
      </c>
      <c r="J4945" t="s">
        <v>47128</v>
      </c>
      <c r="K4945" t="s">
        <v>47113</v>
      </c>
      <c r="L4945">
        <v>12.83</v>
      </c>
      <c r="M4945">
        <v>29</v>
      </c>
      <c r="N4945">
        <v>0</v>
      </c>
      <c r="O4945">
        <v>29</v>
      </c>
      <c r="P4945">
        <v>0</v>
      </c>
    </row>
    <row r="4946" spans="1:16" x14ac:dyDescent="0.25">
      <c r="A4946" t="s">
        <v>22664</v>
      </c>
      <c r="B4946" t="s">
        <v>19649</v>
      </c>
      <c r="C4946" t="s">
        <v>19650</v>
      </c>
      <c r="D4946" t="str">
        <f>"4143"</f>
        <v>4143</v>
      </c>
      <c r="E4946" t="s">
        <v>16626</v>
      </c>
      <c r="F4946" t="s">
        <v>19559</v>
      </c>
      <c r="G4946" t="s">
        <v>16221</v>
      </c>
      <c r="H4946" t="s">
        <v>47055</v>
      </c>
      <c r="I4946" t="s">
        <v>47127</v>
      </c>
      <c r="J4946" t="s">
        <v>47128</v>
      </c>
      <c r="K4946" t="s">
        <v>47113</v>
      </c>
      <c r="L4946">
        <v>12.83</v>
      </c>
      <c r="M4946">
        <v>29</v>
      </c>
      <c r="N4946">
        <v>0</v>
      </c>
      <c r="O4946">
        <v>29</v>
      </c>
      <c r="P4946">
        <v>0</v>
      </c>
    </row>
    <row r="4947" spans="1:16" x14ac:dyDescent="0.25">
      <c r="A4947" t="s">
        <v>27299</v>
      </c>
      <c r="B4947" t="s">
        <v>19649</v>
      </c>
      <c r="C4947" t="s">
        <v>19650</v>
      </c>
      <c r="D4947" t="str">
        <f>"6064"</f>
        <v>6064</v>
      </c>
      <c r="E4947" t="s">
        <v>87</v>
      </c>
      <c r="F4947" t="s">
        <v>19559</v>
      </c>
      <c r="G4947" t="s">
        <v>16221</v>
      </c>
      <c r="H4947" t="s">
        <v>47055</v>
      </c>
      <c r="I4947" t="s">
        <v>47127</v>
      </c>
      <c r="J4947" t="s">
        <v>47128</v>
      </c>
      <c r="K4947" t="s">
        <v>47113</v>
      </c>
      <c r="L4947">
        <v>12.83</v>
      </c>
      <c r="M4947">
        <v>29</v>
      </c>
      <c r="N4947">
        <v>0</v>
      </c>
      <c r="O4947">
        <v>29</v>
      </c>
      <c r="P4947">
        <v>0</v>
      </c>
    </row>
    <row r="4948" spans="1:16" x14ac:dyDescent="0.25">
      <c r="A4948" t="s">
        <v>27300</v>
      </c>
      <c r="B4948" t="s">
        <v>19651</v>
      </c>
      <c r="C4948" t="s">
        <v>19652</v>
      </c>
      <c r="D4948" t="str">
        <f>"1106"</f>
        <v>1106</v>
      </c>
      <c r="E4948" t="s">
        <v>460</v>
      </c>
      <c r="F4948" t="s">
        <v>19559</v>
      </c>
      <c r="G4948" t="s">
        <v>16221</v>
      </c>
      <c r="H4948" t="s">
        <v>47055</v>
      </c>
      <c r="I4948" t="s">
        <v>47127</v>
      </c>
      <c r="J4948" t="s">
        <v>47128</v>
      </c>
      <c r="K4948" t="s">
        <v>47113</v>
      </c>
      <c r="L4948">
        <v>17.97</v>
      </c>
      <c r="M4948">
        <v>44</v>
      </c>
      <c r="N4948">
        <v>0</v>
      </c>
      <c r="O4948">
        <v>44</v>
      </c>
      <c r="P4948">
        <v>0</v>
      </c>
    </row>
    <row r="4949" spans="1:16" x14ac:dyDescent="0.25">
      <c r="A4949" t="s">
        <v>22665</v>
      </c>
      <c r="B4949" t="s">
        <v>19651</v>
      </c>
      <c r="C4949" t="s">
        <v>19652</v>
      </c>
      <c r="D4949" t="str">
        <f>"1278"</f>
        <v>1278</v>
      </c>
      <c r="E4949" t="s">
        <v>100</v>
      </c>
      <c r="F4949" t="s">
        <v>19559</v>
      </c>
      <c r="G4949" t="s">
        <v>16221</v>
      </c>
      <c r="H4949" t="s">
        <v>47055</v>
      </c>
      <c r="I4949" t="s">
        <v>47127</v>
      </c>
      <c r="J4949" t="s">
        <v>47128</v>
      </c>
      <c r="K4949" t="s">
        <v>47113</v>
      </c>
      <c r="L4949">
        <v>17.97</v>
      </c>
      <c r="M4949">
        <v>44</v>
      </c>
      <c r="N4949">
        <v>0</v>
      </c>
      <c r="O4949">
        <v>44</v>
      </c>
      <c r="P4949">
        <v>0</v>
      </c>
    </row>
    <row r="4950" spans="1:16" x14ac:dyDescent="0.25">
      <c r="A4950" t="s">
        <v>27301</v>
      </c>
      <c r="B4950" t="s">
        <v>19651</v>
      </c>
      <c r="C4950" t="s">
        <v>19652</v>
      </c>
      <c r="D4950" t="str">
        <f>"1700"</f>
        <v>1700</v>
      </c>
      <c r="E4950" t="s">
        <v>60</v>
      </c>
      <c r="F4950" t="s">
        <v>19559</v>
      </c>
      <c r="G4950" t="s">
        <v>16221</v>
      </c>
      <c r="H4950" t="s">
        <v>47055</v>
      </c>
      <c r="I4950" t="s">
        <v>47127</v>
      </c>
      <c r="J4950" t="s">
        <v>47128</v>
      </c>
      <c r="K4950" t="s">
        <v>47113</v>
      </c>
      <c r="L4950">
        <v>17.97</v>
      </c>
      <c r="M4950">
        <v>44</v>
      </c>
      <c r="N4950">
        <v>0</v>
      </c>
      <c r="O4950">
        <v>44</v>
      </c>
      <c r="P4950">
        <v>0</v>
      </c>
    </row>
    <row r="4951" spans="1:16" x14ac:dyDescent="0.25">
      <c r="A4951" t="s">
        <v>27302</v>
      </c>
      <c r="B4951" t="s">
        <v>19651</v>
      </c>
      <c r="C4951" t="s">
        <v>19652</v>
      </c>
      <c r="D4951" t="str">
        <f>"2000"</f>
        <v>2000</v>
      </c>
      <c r="E4951" t="s">
        <v>248</v>
      </c>
      <c r="F4951" t="s">
        <v>19559</v>
      </c>
      <c r="G4951" t="s">
        <v>16221</v>
      </c>
      <c r="H4951" t="s">
        <v>47055</v>
      </c>
      <c r="I4951" t="s">
        <v>47127</v>
      </c>
      <c r="J4951" t="s">
        <v>47128</v>
      </c>
      <c r="K4951" t="s">
        <v>47113</v>
      </c>
      <c r="L4951">
        <v>17.97</v>
      </c>
      <c r="M4951">
        <v>44</v>
      </c>
      <c r="N4951">
        <v>0</v>
      </c>
      <c r="O4951">
        <v>44</v>
      </c>
      <c r="P4951">
        <v>0</v>
      </c>
    </row>
    <row r="4952" spans="1:16" x14ac:dyDescent="0.25">
      <c r="A4952" t="s">
        <v>27303</v>
      </c>
      <c r="B4952" t="s">
        <v>19651</v>
      </c>
      <c r="C4952" t="s">
        <v>19652</v>
      </c>
      <c r="D4952" t="str">
        <f>"3106"</f>
        <v>3106</v>
      </c>
      <c r="E4952" t="s">
        <v>230</v>
      </c>
      <c r="F4952" t="s">
        <v>19559</v>
      </c>
      <c r="G4952" t="s">
        <v>16221</v>
      </c>
      <c r="H4952" t="s">
        <v>47055</v>
      </c>
      <c r="I4952" t="s">
        <v>47127</v>
      </c>
      <c r="J4952" t="s">
        <v>47128</v>
      </c>
      <c r="K4952" t="s">
        <v>47113</v>
      </c>
      <c r="L4952">
        <v>17.97</v>
      </c>
      <c r="M4952">
        <v>44</v>
      </c>
      <c r="N4952">
        <v>0</v>
      </c>
      <c r="O4952">
        <v>44</v>
      </c>
      <c r="P4952">
        <v>0</v>
      </c>
    </row>
    <row r="4953" spans="1:16" x14ac:dyDescent="0.25">
      <c r="A4953" t="s">
        <v>22666</v>
      </c>
      <c r="B4953" t="s">
        <v>19651</v>
      </c>
      <c r="C4953" t="s">
        <v>19652</v>
      </c>
      <c r="D4953" t="str">
        <f>"4143"</f>
        <v>4143</v>
      </c>
      <c r="E4953" t="s">
        <v>16626</v>
      </c>
      <c r="F4953" t="s">
        <v>19559</v>
      </c>
      <c r="G4953" t="s">
        <v>16221</v>
      </c>
      <c r="H4953" t="s">
        <v>47055</v>
      </c>
      <c r="I4953" t="s">
        <v>47127</v>
      </c>
      <c r="J4953" t="s">
        <v>47128</v>
      </c>
      <c r="K4953" t="s">
        <v>47113</v>
      </c>
      <c r="L4953">
        <v>17.97</v>
      </c>
      <c r="M4953">
        <v>44</v>
      </c>
      <c r="N4953">
        <v>0</v>
      </c>
      <c r="O4953">
        <v>44</v>
      </c>
      <c r="P4953">
        <v>0</v>
      </c>
    </row>
    <row r="4954" spans="1:16" x14ac:dyDescent="0.25">
      <c r="A4954" t="s">
        <v>27304</v>
      </c>
      <c r="B4954" t="s">
        <v>19651</v>
      </c>
      <c r="C4954" t="s">
        <v>19652</v>
      </c>
      <c r="D4954" t="str">
        <f>"6064"</f>
        <v>6064</v>
      </c>
      <c r="E4954" t="s">
        <v>87</v>
      </c>
      <c r="F4954" t="s">
        <v>19559</v>
      </c>
      <c r="G4954" t="s">
        <v>16221</v>
      </c>
      <c r="H4954" t="s">
        <v>47055</v>
      </c>
      <c r="I4954" t="s">
        <v>47127</v>
      </c>
      <c r="J4954" t="s">
        <v>47128</v>
      </c>
      <c r="K4954" t="s">
        <v>47113</v>
      </c>
      <c r="L4954">
        <v>17.97</v>
      </c>
      <c r="M4954">
        <v>44</v>
      </c>
      <c r="N4954">
        <v>0</v>
      </c>
      <c r="O4954">
        <v>44</v>
      </c>
      <c r="P4954">
        <v>0</v>
      </c>
    </row>
    <row r="4955" spans="1:16" x14ac:dyDescent="0.25">
      <c r="A4955" t="s">
        <v>22667</v>
      </c>
      <c r="B4955" t="s">
        <v>19653</v>
      </c>
      <c r="C4955" t="s">
        <v>19654</v>
      </c>
      <c r="D4955" t="str">
        <f>"1106"</f>
        <v>1106</v>
      </c>
      <c r="E4955" t="s">
        <v>460</v>
      </c>
      <c r="F4955" t="s">
        <v>19559</v>
      </c>
      <c r="G4955" t="s">
        <v>16221</v>
      </c>
      <c r="H4955" t="s">
        <v>47055</v>
      </c>
      <c r="I4955" t="s">
        <v>47127</v>
      </c>
      <c r="J4955" t="s">
        <v>47128</v>
      </c>
      <c r="K4955" t="s">
        <v>47113</v>
      </c>
      <c r="L4955">
        <v>19.03</v>
      </c>
      <c r="M4955">
        <v>44</v>
      </c>
      <c r="N4955">
        <v>0</v>
      </c>
      <c r="O4955">
        <v>44</v>
      </c>
      <c r="P4955">
        <v>0</v>
      </c>
    </row>
    <row r="4956" spans="1:16" x14ac:dyDescent="0.25">
      <c r="A4956" t="s">
        <v>27305</v>
      </c>
      <c r="B4956" t="s">
        <v>19653</v>
      </c>
      <c r="C4956" t="s">
        <v>19654</v>
      </c>
      <c r="D4956" t="str">
        <f>"3106"</f>
        <v>3106</v>
      </c>
      <c r="E4956" t="s">
        <v>230</v>
      </c>
      <c r="F4956" t="s">
        <v>19559</v>
      </c>
      <c r="G4956" t="s">
        <v>16221</v>
      </c>
      <c r="H4956" t="s">
        <v>47055</v>
      </c>
      <c r="I4956" t="s">
        <v>47127</v>
      </c>
      <c r="J4956" t="s">
        <v>47128</v>
      </c>
      <c r="K4956" t="s">
        <v>47113</v>
      </c>
      <c r="L4956">
        <v>19.03</v>
      </c>
      <c r="M4956">
        <v>44</v>
      </c>
      <c r="N4956">
        <v>0</v>
      </c>
      <c r="O4956">
        <v>44</v>
      </c>
      <c r="P4956">
        <v>0</v>
      </c>
    </row>
    <row r="4957" spans="1:16" x14ac:dyDescent="0.25">
      <c r="A4957" t="s">
        <v>22668</v>
      </c>
      <c r="B4957" t="s">
        <v>19653</v>
      </c>
      <c r="C4957" t="s">
        <v>19654</v>
      </c>
      <c r="D4957" t="str">
        <f>"4143"</f>
        <v>4143</v>
      </c>
      <c r="E4957" t="s">
        <v>16626</v>
      </c>
      <c r="F4957" t="s">
        <v>19559</v>
      </c>
      <c r="G4957" t="s">
        <v>16221</v>
      </c>
      <c r="H4957" t="s">
        <v>47055</v>
      </c>
      <c r="I4957" t="s">
        <v>47127</v>
      </c>
      <c r="J4957" t="s">
        <v>47128</v>
      </c>
      <c r="K4957" t="s">
        <v>47113</v>
      </c>
      <c r="L4957">
        <v>19.03</v>
      </c>
      <c r="M4957">
        <v>44</v>
      </c>
      <c r="N4957">
        <v>0</v>
      </c>
      <c r="O4957">
        <v>44</v>
      </c>
      <c r="P4957">
        <v>0</v>
      </c>
    </row>
    <row r="4958" spans="1:16" x14ac:dyDescent="0.25">
      <c r="A4958" t="s">
        <v>27306</v>
      </c>
      <c r="B4958" t="s">
        <v>19655</v>
      </c>
      <c r="C4958" t="s">
        <v>19656</v>
      </c>
      <c r="D4958" t="str">
        <f>"1305"</f>
        <v>1305</v>
      </c>
      <c r="E4958" t="s">
        <v>11901</v>
      </c>
      <c r="F4958" t="s">
        <v>19552</v>
      </c>
      <c r="G4958" t="s">
        <v>16221</v>
      </c>
      <c r="H4958" t="s">
        <v>47055</v>
      </c>
      <c r="I4958" t="s">
        <v>47127</v>
      </c>
      <c r="J4958" t="s">
        <v>47128</v>
      </c>
      <c r="K4958" t="s">
        <v>47113</v>
      </c>
      <c r="L4958">
        <v>11.65</v>
      </c>
      <c r="M4958">
        <v>26</v>
      </c>
      <c r="N4958">
        <v>0</v>
      </c>
      <c r="O4958">
        <v>26</v>
      </c>
      <c r="P4958">
        <v>0</v>
      </c>
    </row>
    <row r="4959" spans="1:16" x14ac:dyDescent="0.25">
      <c r="A4959" t="s">
        <v>27307</v>
      </c>
      <c r="B4959" t="s">
        <v>19655</v>
      </c>
      <c r="C4959" t="s">
        <v>19656</v>
      </c>
      <c r="D4959" t="str">
        <f>"1378"</f>
        <v>1378</v>
      </c>
      <c r="E4959" t="s">
        <v>388</v>
      </c>
      <c r="F4959" t="s">
        <v>19552</v>
      </c>
      <c r="G4959" t="s">
        <v>16221</v>
      </c>
      <c r="H4959" t="s">
        <v>47055</v>
      </c>
      <c r="I4959" t="s">
        <v>47127</v>
      </c>
      <c r="J4959" t="s">
        <v>47128</v>
      </c>
      <c r="K4959" t="s">
        <v>47113</v>
      </c>
      <c r="L4959">
        <v>11.65</v>
      </c>
      <c r="M4959">
        <v>26</v>
      </c>
      <c r="N4959">
        <v>0</v>
      </c>
      <c r="O4959">
        <v>26</v>
      </c>
      <c r="P4959">
        <v>0</v>
      </c>
    </row>
    <row r="4960" spans="1:16" x14ac:dyDescent="0.25">
      <c r="A4960" t="s">
        <v>27308</v>
      </c>
      <c r="B4960" t="s">
        <v>19655</v>
      </c>
      <c r="C4960" t="s">
        <v>19656</v>
      </c>
      <c r="D4960" t="str">
        <f>"1383"</f>
        <v>1383</v>
      </c>
      <c r="E4960" t="s">
        <v>2273</v>
      </c>
      <c r="F4960" t="s">
        <v>19552</v>
      </c>
      <c r="G4960" t="s">
        <v>16221</v>
      </c>
      <c r="H4960" t="s">
        <v>47055</v>
      </c>
      <c r="I4960" t="s">
        <v>47127</v>
      </c>
      <c r="J4960" t="s">
        <v>47128</v>
      </c>
      <c r="K4960" t="s">
        <v>47113</v>
      </c>
      <c r="L4960">
        <v>11.65</v>
      </c>
      <c r="M4960">
        <v>26</v>
      </c>
      <c r="N4960">
        <v>0</v>
      </c>
      <c r="O4960">
        <v>26</v>
      </c>
      <c r="P4960">
        <v>0</v>
      </c>
    </row>
    <row r="4961" spans="1:16" x14ac:dyDescent="0.25">
      <c r="A4961" t="s">
        <v>22669</v>
      </c>
      <c r="B4961" t="s">
        <v>19655</v>
      </c>
      <c r="C4961" t="s">
        <v>19656</v>
      </c>
      <c r="D4961" t="str">
        <f>"1700"</f>
        <v>1700</v>
      </c>
      <c r="E4961" t="s">
        <v>60</v>
      </c>
      <c r="F4961" t="s">
        <v>19552</v>
      </c>
      <c r="G4961" t="s">
        <v>16221</v>
      </c>
      <c r="H4961" t="s">
        <v>47055</v>
      </c>
      <c r="I4961" t="s">
        <v>47127</v>
      </c>
      <c r="J4961" t="s">
        <v>47128</v>
      </c>
      <c r="K4961" t="s">
        <v>47113</v>
      </c>
      <c r="L4961">
        <v>11.65</v>
      </c>
      <c r="M4961">
        <v>26</v>
      </c>
      <c r="N4961">
        <v>0</v>
      </c>
      <c r="O4961">
        <v>26</v>
      </c>
      <c r="P4961">
        <v>0</v>
      </c>
    </row>
    <row r="4962" spans="1:16" x14ac:dyDescent="0.25">
      <c r="A4962" t="s">
        <v>22670</v>
      </c>
      <c r="B4962" t="s">
        <v>19655</v>
      </c>
      <c r="C4962" t="s">
        <v>19656</v>
      </c>
      <c r="D4962" t="str">
        <f>"3106"</f>
        <v>3106</v>
      </c>
      <c r="E4962" t="s">
        <v>230</v>
      </c>
      <c r="F4962" t="s">
        <v>19552</v>
      </c>
      <c r="G4962" t="s">
        <v>16221</v>
      </c>
      <c r="H4962" t="s">
        <v>47055</v>
      </c>
      <c r="I4962" t="s">
        <v>47127</v>
      </c>
      <c r="J4962" t="s">
        <v>47128</v>
      </c>
      <c r="K4962" t="s">
        <v>47113</v>
      </c>
      <c r="L4962">
        <v>11.65</v>
      </c>
      <c r="M4962">
        <v>26</v>
      </c>
      <c r="N4962">
        <v>0</v>
      </c>
      <c r="O4962">
        <v>26</v>
      </c>
      <c r="P4962">
        <v>0</v>
      </c>
    </row>
    <row r="4963" spans="1:16" x14ac:dyDescent="0.25">
      <c r="A4963" t="s">
        <v>27309</v>
      </c>
      <c r="B4963" t="s">
        <v>19655</v>
      </c>
      <c r="C4963" t="s">
        <v>19656</v>
      </c>
      <c r="D4963" t="str">
        <f>"4143"</f>
        <v>4143</v>
      </c>
      <c r="E4963" t="s">
        <v>16626</v>
      </c>
      <c r="F4963" t="s">
        <v>19552</v>
      </c>
      <c r="G4963" t="s">
        <v>16221</v>
      </c>
      <c r="H4963" t="s">
        <v>47055</v>
      </c>
      <c r="I4963" t="s">
        <v>47127</v>
      </c>
      <c r="J4963" t="s">
        <v>47128</v>
      </c>
      <c r="K4963" t="s">
        <v>47113</v>
      </c>
      <c r="L4963">
        <v>11.65</v>
      </c>
      <c r="M4963">
        <v>26</v>
      </c>
      <c r="N4963">
        <v>0</v>
      </c>
      <c r="O4963">
        <v>26</v>
      </c>
      <c r="P4963">
        <v>0</v>
      </c>
    </row>
    <row r="4964" spans="1:16" x14ac:dyDescent="0.25">
      <c r="A4964" t="s">
        <v>27310</v>
      </c>
      <c r="B4964" t="s">
        <v>19655</v>
      </c>
      <c r="C4964" t="s">
        <v>19656</v>
      </c>
      <c r="D4964" t="str">
        <f>"4522"</f>
        <v>4522</v>
      </c>
      <c r="E4964" t="s">
        <v>11009</v>
      </c>
      <c r="F4964" t="s">
        <v>19552</v>
      </c>
      <c r="G4964" t="s">
        <v>16221</v>
      </c>
      <c r="H4964" t="s">
        <v>47055</v>
      </c>
      <c r="I4964" t="s">
        <v>47127</v>
      </c>
      <c r="J4964" t="s">
        <v>47128</v>
      </c>
      <c r="K4964" t="s">
        <v>47113</v>
      </c>
      <c r="L4964">
        <v>11.65</v>
      </c>
      <c r="M4964">
        <v>26</v>
      </c>
      <c r="N4964">
        <v>0</v>
      </c>
      <c r="O4964">
        <v>26</v>
      </c>
      <c r="P4964">
        <v>0</v>
      </c>
    </row>
    <row r="4965" spans="1:16" x14ac:dyDescent="0.25">
      <c r="A4965" t="s">
        <v>27311</v>
      </c>
      <c r="B4965" t="s">
        <v>19655</v>
      </c>
      <c r="C4965" t="s">
        <v>19656</v>
      </c>
      <c r="D4965" t="str">
        <f>"6064"</f>
        <v>6064</v>
      </c>
      <c r="E4965" t="s">
        <v>87</v>
      </c>
      <c r="F4965" t="s">
        <v>19552</v>
      </c>
      <c r="G4965" t="s">
        <v>16221</v>
      </c>
      <c r="H4965" t="s">
        <v>47055</v>
      </c>
      <c r="I4965" t="s">
        <v>47127</v>
      </c>
      <c r="J4965" t="s">
        <v>47128</v>
      </c>
      <c r="K4965" t="s">
        <v>47113</v>
      </c>
      <c r="L4965">
        <v>11.65</v>
      </c>
      <c r="M4965">
        <v>26</v>
      </c>
      <c r="N4965">
        <v>0</v>
      </c>
      <c r="O4965">
        <v>26</v>
      </c>
      <c r="P4965">
        <v>0</v>
      </c>
    </row>
    <row r="4966" spans="1:16" x14ac:dyDescent="0.25">
      <c r="A4966" t="s">
        <v>27312</v>
      </c>
      <c r="B4966" t="s">
        <v>19655</v>
      </c>
      <c r="C4966" t="s">
        <v>19656</v>
      </c>
      <c r="D4966" t="str">
        <f>"6474"</f>
        <v>6474</v>
      </c>
      <c r="E4966" t="s">
        <v>19570</v>
      </c>
      <c r="F4966" t="s">
        <v>19552</v>
      </c>
      <c r="G4966" t="s">
        <v>16221</v>
      </c>
      <c r="H4966" t="s">
        <v>47055</v>
      </c>
      <c r="I4966" t="s">
        <v>47127</v>
      </c>
      <c r="J4966" t="s">
        <v>47128</v>
      </c>
      <c r="K4966" t="s">
        <v>47113</v>
      </c>
      <c r="L4966">
        <v>11.65</v>
      </c>
      <c r="M4966">
        <v>26</v>
      </c>
      <c r="N4966">
        <v>0</v>
      </c>
      <c r="O4966">
        <v>26</v>
      </c>
      <c r="P4966">
        <v>0</v>
      </c>
    </row>
    <row r="4967" spans="1:16" x14ac:dyDescent="0.25">
      <c r="A4967" t="s">
        <v>27313</v>
      </c>
      <c r="B4967" t="s">
        <v>19657</v>
      </c>
      <c r="C4967" t="s">
        <v>19658</v>
      </c>
      <c r="D4967" t="str">
        <f>"1106"</f>
        <v>1106</v>
      </c>
      <c r="E4967" t="s">
        <v>460</v>
      </c>
      <c r="F4967" t="s">
        <v>19552</v>
      </c>
      <c r="G4967" t="s">
        <v>16221</v>
      </c>
      <c r="H4967" t="s">
        <v>47055</v>
      </c>
      <c r="I4967" t="s">
        <v>47127</v>
      </c>
      <c r="J4967" t="s">
        <v>47128</v>
      </c>
      <c r="K4967" t="s">
        <v>47113</v>
      </c>
      <c r="L4967">
        <v>11.02</v>
      </c>
      <c r="M4967">
        <v>26</v>
      </c>
      <c r="N4967">
        <v>0</v>
      </c>
      <c r="O4967">
        <v>26</v>
      </c>
      <c r="P4967">
        <v>0</v>
      </c>
    </row>
    <row r="4968" spans="1:16" x14ac:dyDescent="0.25">
      <c r="A4968" t="s">
        <v>27314</v>
      </c>
      <c r="B4968" t="s">
        <v>19657</v>
      </c>
      <c r="C4968" t="s">
        <v>19658</v>
      </c>
      <c r="D4968" t="str">
        <f>"1700"</f>
        <v>1700</v>
      </c>
      <c r="E4968" t="s">
        <v>60</v>
      </c>
      <c r="F4968" t="s">
        <v>19552</v>
      </c>
      <c r="G4968" t="s">
        <v>16221</v>
      </c>
      <c r="H4968" t="s">
        <v>47055</v>
      </c>
      <c r="I4968" t="s">
        <v>47127</v>
      </c>
      <c r="J4968" t="s">
        <v>47128</v>
      </c>
      <c r="K4968" t="s">
        <v>47113</v>
      </c>
      <c r="L4968">
        <v>11.02</v>
      </c>
      <c r="M4968">
        <v>26</v>
      </c>
      <c r="N4968">
        <v>0</v>
      </c>
      <c r="O4968">
        <v>26</v>
      </c>
      <c r="P4968">
        <v>0</v>
      </c>
    </row>
    <row r="4969" spans="1:16" x14ac:dyDescent="0.25">
      <c r="A4969" t="s">
        <v>27315</v>
      </c>
      <c r="B4969" t="s">
        <v>19657</v>
      </c>
      <c r="C4969" t="s">
        <v>19658</v>
      </c>
      <c r="D4969" t="str">
        <f>"3106"</f>
        <v>3106</v>
      </c>
      <c r="E4969" t="s">
        <v>230</v>
      </c>
      <c r="F4969" t="s">
        <v>19552</v>
      </c>
      <c r="G4969" t="s">
        <v>16221</v>
      </c>
      <c r="H4969" t="s">
        <v>47055</v>
      </c>
      <c r="I4969" t="s">
        <v>47127</v>
      </c>
      <c r="J4969" t="s">
        <v>47128</v>
      </c>
      <c r="K4969" t="s">
        <v>47113</v>
      </c>
      <c r="L4969">
        <v>11.02</v>
      </c>
      <c r="M4969">
        <v>26</v>
      </c>
      <c r="N4969">
        <v>0</v>
      </c>
      <c r="O4969">
        <v>26</v>
      </c>
      <c r="P4969">
        <v>0</v>
      </c>
    </row>
    <row r="4970" spans="1:16" x14ac:dyDescent="0.25">
      <c r="A4970" t="s">
        <v>27316</v>
      </c>
      <c r="B4970" t="s">
        <v>19657</v>
      </c>
      <c r="C4970" t="s">
        <v>19658</v>
      </c>
      <c r="D4970" t="str">
        <f>"4143"</f>
        <v>4143</v>
      </c>
      <c r="E4970" t="s">
        <v>16626</v>
      </c>
      <c r="F4970" t="s">
        <v>19552</v>
      </c>
      <c r="G4970" t="s">
        <v>16221</v>
      </c>
      <c r="H4970" t="s">
        <v>47055</v>
      </c>
      <c r="I4970" t="s">
        <v>47127</v>
      </c>
      <c r="J4970" t="s">
        <v>47128</v>
      </c>
      <c r="K4970" t="s">
        <v>47113</v>
      </c>
      <c r="L4970">
        <v>11.02</v>
      </c>
      <c r="M4970">
        <v>26</v>
      </c>
      <c r="N4970">
        <v>0</v>
      </c>
      <c r="O4970">
        <v>26</v>
      </c>
      <c r="P4970">
        <v>0</v>
      </c>
    </row>
    <row r="4971" spans="1:16" x14ac:dyDescent="0.25">
      <c r="A4971" t="s">
        <v>27317</v>
      </c>
      <c r="B4971" t="s">
        <v>19657</v>
      </c>
      <c r="C4971" t="s">
        <v>19658</v>
      </c>
      <c r="D4971" t="str">
        <f>"6064"</f>
        <v>6064</v>
      </c>
      <c r="E4971" t="s">
        <v>87</v>
      </c>
      <c r="F4971" t="s">
        <v>19552</v>
      </c>
      <c r="G4971" t="s">
        <v>16221</v>
      </c>
      <c r="H4971" t="s">
        <v>47055</v>
      </c>
      <c r="I4971" t="s">
        <v>47127</v>
      </c>
      <c r="J4971" t="s">
        <v>47128</v>
      </c>
      <c r="K4971" t="s">
        <v>47113</v>
      </c>
      <c r="L4971">
        <v>11.02</v>
      </c>
      <c r="M4971">
        <v>26</v>
      </c>
      <c r="N4971">
        <v>0</v>
      </c>
      <c r="O4971">
        <v>26</v>
      </c>
      <c r="P4971">
        <v>0</v>
      </c>
    </row>
    <row r="4972" spans="1:16" x14ac:dyDescent="0.25">
      <c r="A4972" t="s">
        <v>22671</v>
      </c>
      <c r="B4972" t="s">
        <v>19657</v>
      </c>
      <c r="C4972" t="s">
        <v>19658</v>
      </c>
      <c r="D4972" t="str">
        <f>"6474"</f>
        <v>6474</v>
      </c>
      <c r="E4972" t="s">
        <v>19570</v>
      </c>
      <c r="F4972" t="s">
        <v>19552</v>
      </c>
      <c r="G4972" t="s">
        <v>16221</v>
      </c>
      <c r="H4972" t="s">
        <v>47055</v>
      </c>
      <c r="I4972" t="s">
        <v>47127</v>
      </c>
      <c r="J4972" t="s">
        <v>47128</v>
      </c>
      <c r="K4972" t="s">
        <v>47113</v>
      </c>
      <c r="L4972">
        <v>11.02</v>
      </c>
      <c r="M4972">
        <v>26</v>
      </c>
      <c r="N4972">
        <v>0</v>
      </c>
      <c r="O4972">
        <v>26</v>
      </c>
      <c r="P4972">
        <v>0</v>
      </c>
    </row>
    <row r="4973" spans="1:16" x14ac:dyDescent="0.25">
      <c r="A4973" t="s">
        <v>27318</v>
      </c>
      <c r="B4973" t="s">
        <v>19659</v>
      </c>
      <c r="C4973" t="s">
        <v>19660</v>
      </c>
      <c r="D4973" t="str">
        <f>"1106"</f>
        <v>1106</v>
      </c>
      <c r="E4973" t="s">
        <v>460</v>
      </c>
      <c r="F4973" t="s">
        <v>19552</v>
      </c>
      <c r="G4973" t="s">
        <v>16221</v>
      </c>
      <c r="H4973" t="s">
        <v>47055</v>
      </c>
      <c r="I4973" t="s">
        <v>47127</v>
      </c>
      <c r="J4973" t="s">
        <v>47128</v>
      </c>
      <c r="K4973" t="s">
        <v>47113</v>
      </c>
      <c r="L4973">
        <v>12.3</v>
      </c>
      <c r="M4973">
        <v>29</v>
      </c>
      <c r="N4973">
        <v>0</v>
      </c>
      <c r="O4973">
        <v>29</v>
      </c>
      <c r="P4973">
        <v>0</v>
      </c>
    </row>
    <row r="4974" spans="1:16" x14ac:dyDescent="0.25">
      <c r="A4974" t="s">
        <v>27319</v>
      </c>
      <c r="B4974" t="s">
        <v>19659</v>
      </c>
      <c r="C4974" t="s">
        <v>19660</v>
      </c>
      <c r="D4974" t="str">
        <f>"1700"</f>
        <v>1700</v>
      </c>
      <c r="E4974" t="s">
        <v>60</v>
      </c>
      <c r="F4974" t="s">
        <v>19552</v>
      </c>
      <c r="G4974" t="s">
        <v>16221</v>
      </c>
      <c r="H4974" t="s">
        <v>47055</v>
      </c>
      <c r="I4974" t="s">
        <v>47127</v>
      </c>
      <c r="J4974" t="s">
        <v>47128</v>
      </c>
      <c r="K4974" t="s">
        <v>47113</v>
      </c>
      <c r="L4974">
        <v>12.3</v>
      </c>
      <c r="M4974">
        <v>29</v>
      </c>
      <c r="N4974">
        <v>0</v>
      </c>
      <c r="O4974">
        <v>29</v>
      </c>
      <c r="P4974">
        <v>0</v>
      </c>
    </row>
    <row r="4975" spans="1:16" x14ac:dyDescent="0.25">
      <c r="A4975" t="s">
        <v>27320</v>
      </c>
      <c r="B4975" t="s">
        <v>19659</v>
      </c>
      <c r="C4975" t="s">
        <v>19660</v>
      </c>
      <c r="D4975" t="str">
        <f>"3106"</f>
        <v>3106</v>
      </c>
      <c r="E4975" t="s">
        <v>230</v>
      </c>
      <c r="F4975" t="s">
        <v>19552</v>
      </c>
      <c r="G4975" t="s">
        <v>16221</v>
      </c>
      <c r="H4975" t="s">
        <v>47055</v>
      </c>
      <c r="I4975" t="s">
        <v>47127</v>
      </c>
      <c r="J4975" t="s">
        <v>47128</v>
      </c>
      <c r="K4975" t="s">
        <v>47113</v>
      </c>
      <c r="L4975">
        <v>12.3</v>
      </c>
      <c r="M4975">
        <v>29</v>
      </c>
      <c r="N4975">
        <v>0</v>
      </c>
      <c r="O4975">
        <v>29</v>
      </c>
      <c r="P4975">
        <v>0</v>
      </c>
    </row>
    <row r="4976" spans="1:16" x14ac:dyDescent="0.25">
      <c r="A4976" t="s">
        <v>22672</v>
      </c>
      <c r="B4976" t="s">
        <v>19659</v>
      </c>
      <c r="C4976" t="s">
        <v>19660</v>
      </c>
      <c r="D4976" t="str">
        <f>"6474"</f>
        <v>6474</v>
      </c>
      <c r="E4976" t="s">
        <v>19570</v>
      </c>
      <c r="F4976" t="s">
        <v>19552</v>
      </c>
      <c r="G4976" t="s">
        <v>16221</v>
      </c>
      <c r="H4976" t="s">
        <v>47055</v>
      </c>
      <c r="I4976" t="s">
        <v>47127</v>
      </c>
      <c r="J4976" t="s">
        <v>47128</v>
      </c>
      <c r="K4976" t="s">
        <v>47113</v>
      </c>
      <c r="L4976">
        <v>12.3</v>
      </c>
      <c r="M4976">
        <v>29</v>
      </c>
      <c r="N4976">
        <v>0</v>
      </c>
      <c r="O4976">
        <v>29</v>
      </c>
      <c r="P4976">
        <v>0</v>
      </c>
    </row>
    <row r="4977" spans="1:16" x14ac:dyDescent="0.25">
      <c r="A4977" t="s">
        <v>27321</v>
      </c>
      <c r="B4977" t="s">
        <v>19661</v>
      </c>
      <c r="C4977" t="s">
        <v>19662</v>
      </c>
      <c r="D4977" t="str">
        <f>"1106"</f>
        <v>1106</v>
      </c>
      <c r="E4977" t="s">
        <v>460</v>
      </c>
      <c r="F4977" t="s">
        <v>19552</v>
      </c>
      <c r="G4977" t="s">
        <v>16221</v>
      </c>
      <c r="H4977" t="s">
        <v>47055</v>
      </c>
      <c r="I4977" t="s">
        <v>47127</v>
      </c>
      <c r="J4977" t="s">
        <v>47128</v>
      </c>
      <c r="K4977" t="s">
        <v>47113</v>
      </c>
      <c r="L4977">
        <v>16.260000000000002</v>
      </c>
      <c r="M4977">
        <v>37</v>
      </c>
      <c r="N4977">
        <v>0</v>
      </c>
      <c r="O4977">
        <v>37</v>
      </c>
      <c r="P4977">
        <v>0</v>
      </c>
    </row>
    <row r="4978" spans="1:16" x14ac:dyDescent="0.25">
      <c r="A4978" t="s">
        <v>27322</v>
      </c>
      <c r="B4978" t="s">
        <v>19661</v>
      </c>
      <c r="C4978" t="s">
        <v>19662</v>
      </c>
      <c r="D4978" t="str">
        <f>"1378"</f>
        <v>1378</v>
      </c>
      <c r="E4978" t="s">
        <v>388</v>
      </c>
      <c r="F4978" t="s">
        <v>19552</v>
      </c>
      <c r="G4978" t="s">
        <v>16221</v>
      </c>
      <c r="H4978" t="s">
        <v>47055</v>
      </c>
      <c r="I4978" t="s">
        <v>47127</v>
      </c>
      <c r="J4978" t="s">
        <v>47128</v>
      </c>
      <c r="K4978" t="s">
        <v>47113</v>
      </c>
      <c r="L4978">
        <v>16.260000000000002</v>
      </c>
      <c r="M4978">
        <v>37</v>
      </c>
      <c r="N4978">
        <v>0</v>
      </c>
      <c r="O4978">
        <v>37</v>
      </c>
      <c r="P4978">
        <v>0</v>
      </c>
    </row>
    <row r="4979" spans="1:16" x14ac:dyDescent="0.25">
      <c r="A4979" t="s">
        <v>27323</v>
      </c>
      <c r="B4979" t="s">
        <v>19661</v>
      </c>
      <c r="C4979" t="s">
        <v>19662</v>
      </c>
      <c r="D4979" t="str">
        <f>"3106"</f>
        <v>3106</v>
      </c>
      <c r="E4979" t="s">
        <v>230</v>
      </c>
      <c r="F4979" t="s">
        <v>19552</v>
      </c>
      <c r="G4979" t="s">
        <v>16221</v>
      </c>
      <c r="H4979" t="s">
        <v>47055</v>
      </c>
      <c r="I4979" t="s">
        <v>47127</v>
      </c>
      <c r="J4979" t="s">
        <v>47128</v>
      </c>
      <c r="K4979" t="s">
        <v>47113</v>
      </c>
      <c r="L4979">
        <v>16.260000000000002</v>
      </c>
      <c r="M4979">
        <v>37</v>
      </c>
      <c r="N4979">
        <v>0</v>
      </c>
      <c r="O4979">
        <v>37</v>
      </c>
      <c r="P4979">
        <v>0</v>
      </c>
    </row>
    <row r="4980" spans="1:16" x14ac:dyDescent="0.25">
      <c r="A4980" t="s">
        <v>27324</v>
      </c>
      <c r="B4980" t="s">
        <v>19661</v>
      </c>
      <c r="C4980" t="s">
        <v>19662</v>
      </c>
      <c r="D4980" t="str">
        <f>"4143"</f>
        <v>4143</v>
      </c>
      <c r="E4980" t="s">
        <v>16626</v>
      </c>
      <c r="F4980" t="s">
        <v>19552</v>
      </c>
      <c r="G4980" t="s">
        <v>16221</v>
      </c>
      <c r="H4980" t="s">
        <v>47055</v>
      </c>
      <c r="I4980" t="s">
        <v>47127</v>
      </c>
      <c r="J4980" t="s">
        <v>47128</v>
      </c>
      <c r="K4980" t="s">
        <v>47113</v>
      </c>
      <c r="L4980">
        <v>16.260000000000002</v>
      </c>
      <c r="M4980">
        <v>37</v>
      </c>
      <c r="N4980">
        <v>0</v>
      </c>
      <c r="O4980">
        <v>37</v>
      </c>
      <c r="P4980">
        <v>0</v>
      </c>
    </row>
    <row r="4981" spans="1:16" x14ac:dyDescent="0.25">
      <c r="A4981" t="s">
        <v>27325</v>
      </c>
      <c r="B4981" t="s">
        <v>19661</v>
      </c>
      <c r="C4981" t="s">
        <v>19662</v>
      </c>
      <c r="D4981" t="str">
        <f>"6474"</f>
        <v>6474</v>
      </c>
      <c r="E4981" t="s">
        <v>19570</v>
      </c>
      <c r="F4981" t="s">
        <v>19552</v>
      </c>
      <c r="G4981" t="s">
        <v>16221</v>
      </c>
      <c r="H4981" t="s">
        <v>47055</v>
      </c>
      <c r="I4981" t="s">
        <v>47127</v>
      </c>
      <c r="J4981" t="s">
        <v>47128</v>
      </c>
      <c r="K4981" t="s">
        <v>47113</v>
      </c>
      <c r="L4981">
        <v>16.260000000000002</v>
      </c>
      <c r="M4981">
        <v>37</v>
      </c>
      <c r="N4981">
        <v>0</v>
      </c>
      <c r="O4981">
        <v>37</v>
      </c>
      <c r="P4981">
        <v>0</v>
      </c>
    </row>
    <row r="4982" spans="1:16" x14ac:dyDescent="0.25">
      <c r="A4982" t="s">
        <v>27326</v>
      </c>
      <c r="B4982" t="s">
        <v>19663</v>
      </c>
      <c r="C4982" t="s">
        <v>19664</v>
      </c>
      <c r="D4982" t="str">
        <f>"1106"</f>
        <v>1106</v>
      </c>
      <c r="E4982" t="s">
        <v>460</v>
      </c>
      <c r="F4982" t="s">
        <v>19552</v>
      </c>
      <c r="G4982" t="s">
        <v>16221</v>
      </c>
      <c r="H4982" t="s">
        <v>47055</v>
      </c>
      <c r="I4982" t="s">
        <v>47127</v>
      </c>
      <c r="J4982" t="s">
        <v>47128</v>
      </c>
      <c r="K4982" t="s">
        <v>47113</v>
      </c>
      <c r="L4982">
        <v>11.65</v>
      </c>
      <c r="M4982">
        <v>26</v>
      </c>
      <c r="N4982">
        <v>0</v>
      </c>
      <c r="O4982">
        <v>26</v>
      </c>
      <c r="P4982">
        <v>0</v>
      </c>
    </row>
    <row r="4983" spans="1:16" x14ac:dyDescent="0.25">
      <c r="A4983" t="s">
        <v>27327</v>
      </c>
      <c r="B4983" t="s">
        <v>19663</v>
      </c>
      <c r="C4983" t="s">
        <v>19664</v>
      </c>
      <c r="D4983" t="str">
        <f>"1278"</f>
        <v>1278</v>
      </c>
      <c r="E4983" t="s">
        <v>100</v>
      </c>
      <c r="F4983" t="s">
        <v>19552</v>
      </c>
      <c r="G4983" t="s">
        <v>16221</v>
      </c>
      <c r="H4983" t="s">
        <v>47055</v>
      </c>
      <c r="I4983" t="s">
        <v>47127</v>
      </c>
      <c r="J4983" t="s">
        <v>47128</v>
      </c>
      <c r="K4983" t="s">
        <v>47113</v>
      </c>
      <c r="L4983">
        <v>11.65</v>
      </c>
      <c r="M4983">
        <v>26</v>
      </c>
      <c r="N4983">
        <v>0</v>
      </c>
      <c r="O4983">
        <v>26</v>
      </c>
      <c r="P4983">
        <v>0</v>
      </c>
    </row>
    <row r="4984" spans="1:16" x14ac:dyDescent="0.25">
      <c r="A4984" t="s">
        <v>27328</v>
      </c>
      <c r="B4984" t="s">
        <v>19663</v>
      </c>
      <c r="C4984" t="s">
        <v>19664</v>
      </c>
      <c r="D4984" t="str">
        <f>"1700"</f>
        <v>1700</v>
      </c>
      <c r="E4984" t="s">
        <v>60</v>
      </c>
      <c r="F4984" t="s">
        <v>19552</v>
      </c>
      <c r="G4984" t="s">
        <v>16221</v>
      </c>
      <c r="H4984" t="s">
        <v>47055</v>
      </c>
      <c r="I4984" t="s">
        <v>47127</v>
      </c>
      <c r="J4984" t="s">
        <v>47128</v>
      </c>
      <c r="K4984" t="s">
        <v>47113</v>
      </c>
      <c r="L4984">
        <v>11.65</v>
      </c>
      <c r="M4984">
        <v>26</v>
      </c>
      <c r="N4984">
        <v>0</v>
      </c>
      <c r="O4984">
        <v>26</v>
      </c>
      <c r="P4984">
        <v>0</v>
      </c>
    </row>
    <row r="4985" spans="1:16" x14ac:dyDescent="0.25">
      <c r="A4985" t="s">
        <v>27329</v>
      </c>
      <c r="B4985" t="s">
        <v>19663</v>
      </c>
      <c r="C4985" t="s">
        <v>19664</v>
      </c>
      <c r="D4985" t="str">
        <f>"2000"</f>
        <v>2000</v>
      </c>
      <c r="E4985" t="s">
        <v>248</v>
      </c>
      <c r="F4985" t="s">
        <v>19552</v>
      </c>
      <c r="G4985" t="s">
        <v>16221</v>
      </c>
      <c r="H4985" t="s">
        <v>47055</v>
      </c>
      <c r="I4985" t="s">
        <v>47127</v>
      </c>
      <c r="J4985" t="s">
        <v>47128</v>
      </c>
      <c r="K4985" t="s">
        <v>47113</v>
      </c>
      <c r="L4985">
        <v>11.65</v>
      </c>
      <c r="M4985">
        <v>26</v>
      </c>
      <c r="N4985">
        <v>0</v>
      </c>
      <c r="O4985">
        <v>26</v>
      </c>
      <c r="P4985">
        <v>0</v>
      </c>
    </row>
    <row r="4986" spans="1:16" x14ac:dyDescent="0.25">
      <c r="A4986" t="s">
        <v>27330</v>
      </c>
      <c r="B4986" t="s">
        <v>19663</v>
      </c>
      <c r="C4986" t="s">
        <v>19664</v>
      </c>
      <c r="D4986" t="str">
        <f>"4143"</f>
        <v>4143</v>
      </c>
      <c r="E4986" t="s">
        <v>16626</v>
      </c>
      <c r="F4986" t="s">
        <v>19552</v>
      </c>
      <c r="G4986" t="s">
        <v>16221</v>
      </c>
      <c r="H4986" t="s">
        <v>47055</v>
      </c>
      <c r="I4986" t="s">
        <v>47127</v>
      </c>
      <c r="J4986" t="s">
        <v>47128</v>
      </c>
      <c r="K4986" t="s">
        <v>47113</v>
      </c>
      <c r="L4986">
        <v>11.65</v>
      </c>
      <c r="M4986">
        <v>26</v>
      </c>
      <c r="N4986">
        <v>0</v>
      </c>
      <c r="O4986">
        <v>26</v>
      </c>
      <c r="P4986">
        <v>0</v>
      </c>
    </row>
    <row r="4987" spans="1:16" x14ac:dyDescent="0.25">
      <c r="A4987" t="s">
        <v>27331</v>
      </c>
      <c r="B4987" t="s">
        <v>19663</v>
      </c>
      <c r="C4987" t="s">
        <v>19664</v>
      </c>
      <c r="D4987" t="str">
        <f>"6064"</f>
        <v>6064</v>
      </c>
      <c r="E4987" t="s">
        <v>87</v>
      </c>
      <c r="F4987" t="s">
        <v>19552</v>
      </c>
      <c r="G4987" t="s">
        <v>16221</v>
      </c>
      <c r="H4987" t="s">
        <v>47055</v>
      </c>
      <c r="I4987" t="s">
        <v>47127</v>
      </c>
      <c r="J4987" t="s">
        <v>47128</v>
      </c>
      <c r="K4987" t="s">
        <v>47113</v>
      </c>
      <c r="L4987">
        <v>11.65</v>
      </c>
      <c r="M4987">
        <v>26</v>
      </c>
      <c r="N4987">
        <v>0</v>
      </c>
      <c r="O4987">
        <v>26</v>
      </c>
      <c r="P4987">
        <v>0</v>
      </c>
    </row>
    <row r="4988" spans="1:16" x14ac:dyDescent="0.25">
      <c r="A4988" t="s">
        <v>27332</v>
      </c>
      <c r="B4988" t="s">
        <v>19665</v>
      </c>
      <c r="C4988" t="s">
        <v>19664</v>
      </c>
      <c r="D4988" t="str">
        <f>"1106"</f>
        <v>1106</v>
      </c>
      <c r="E4988" t="s">
        <v>460</v>
      </c>
      <c r="F4988" t="s">
        <v>19559</v>
      </c>
      <c r="G4988" t="s">
        <v>16221</v>
      </c>
      <c r="H4988" t="s">
        <v>47055</v>
      </c>
      <c r="I4988" t="s">
        <v>47127</v>
      </c>
      <c r="J4988" t="s">
        <v>47128</v>
      </c>
      <c r="K4988" t="s">
        <v>47113</v>
      </c>
      <c r="L4988">
        <v>11.65</v>
      </c>
      <c r="M4988">
        <v>26</v>
      </c>
      <c r="N4988">
        <v>0</v>
      </c>
      <c r="O4988">
        <v>26</v>
      </c>
      <c r="P4988">
        <v>0</v>
      </c>
    </row>
    <row r="4989" spans="1:16" x14ac:dyDescent="0.25">
      <c r="A4989" t="s">
        <v>27333</v>
      </c>
      <c r="B4989" t="s">
        <v>19665</v>
      </c>
      <c r="C4989" t="s">
        <v>19664</v>
      </c>
      <c r="D4989" t="str">
        <f>"1278"</f>
        <v>1278</v>
      </c>
      <c r="E4989" t="s">
        <v>100</v>
      </c>
      <c r="F4989" t="s">
        <v>19559</v>
      </c>
      <c r="G4989" t="s">
        <v>16221</v>
      </c>
      <c r="H4989" t="s">
        <v>47055</v>
      </c>
      <c r="I4989" t="s">
        <v>47127</v>
      </c>
      <c r="J4989" t="s">
        <v>47128</v>
      </c>
      <c r="K4989" t="s">
        <v>47113</v>
      </c>
      <c r="L4989">
        <v>11.65</v>
      </c>
      <c r="M4989">
        <v>26</v>
      </c>
      <c r="N4989">
        <v>0</v>
      </c>
      <c r="O4989">
        <v>26</v>
      </c>
      <c r="P4989">
        <v>0</v>
      </c>
    </row>
    <row r="4990" spans="1:16" x14ac:dyDescent="0.25">
      <c r="A4990" t="s">
        <v>27334</v>
      </c>
      <c r="B4990" t="s">
        <v>19665</v>
      </c>
      <c r="C4990" t="s">
        <v>19664</v>
      </c>
      <c r="D4990" t="str">
        <f>"1700"</f>
        <v>1700</v>
      </c>
      <c r="E4990" t="s">
        <v>60</v>
      </c>
      <c r="F4990" t="s">
        <v>19559</v>
      </c>
      <c r="G4990" t="s">
        <v>16221</v>
      </c>
      <c r="H4990" t="s">
        <v>47055</v>
      </c>
      <c r="I4990" t="s">
        <v>47127</v>
      </c>
      <c r="J4990" t="s">
        <v>47128</v>
      </c>
      <c r="K4990" t="s">
        <v>47113</v>
      </c>
      <c r="L4990">
        <v>11.65</v>
      </c>
      <c r="M4990">
        <v>26</v>
      </c>
      <c r="N4990">
        <v>0</v>
      </c>
      <c r="O4990">
        <v>26</v>
      </c>
      <c r="P4990">
        <v>0</v>
      </c>
    </row>
    <row r="4991" spans="1:16" x14ac:dyDescent="0.25">
      <c r="A4991" t="s">
        <v>27335</v>
      </c>
      <c r="B4991" t="s">
        <v>19665</v>
      </c>
      <c r="C4991" t="s">
        <v>19664</v>
      </c>
      <c r="D4991" t="str">
        <f>"2000"</f>
        <v>2000</v>
      </c>
      <c r="E4991" t="s">
        <v>248</v>
      </c>
      <c r="F4991" t="s">
        <v>19559</v>
      </c>
      <c r="G4991" t="s">
        <v>16221</v>
      </c>
      <c r="H4991" t="s">
        <v>47055</v>
      </c>
      <c r="I4991" t="s">
        <v>47127</v>
      </c>
      <c r="J4991" t="s">
        <v>47128</v>
      </c>
      <c r="K4991" t="s">
        <v>47113</v>
      </c>
      <c r="L4991">
        <v>11.65</v>
      </c>
      <c r="M4991">
        <v>26</v>
      </c>
      <c r="N4991">
        <v>0</v>
      </c>
      <c r="O4991">
        <v>26</v>
      </c>
      <c r="P4991">
        <v>0</v>
      </c>
    </row>
    <row r="4992" spans="1:16" x14ac:dyDescent="0.25">
      <c r="A4992" t="s">
        <v>27336</v>
      </c>
      <c r="B4992" t="s">
        <v>19665</v>
      </c>
      <c r="C4992" t="s">
        <v>19664</v>
      </c>
      <c r="D4992" t="str">
        <f>"3106"</f>
        <v>3106</v>
      </c>
      <c r="E4992" t="s">
        <v>230</v>
      </c>
      <c r="F4992" t="s">
        <v>19559</v>
      </c>
      <c r="G4992" t="s">
        <v>16221</v>
      </c>
      <c r="H4992" t="s">
        <v>47055</v>
      </c>
      <c r="I4992" t="s">
        <v>47127</v>
      </c>
      <c r="J4992" t="s">
        <v>47128</v>
      </c>
      <c r="K4992" t="s">
        <v>47113</v>
      </c>
      <c r="L4992">
        <v>11.65</v>
      </c>
      <c r="M4992">
        <v>26</v>
      </c>
      <c r="N4992">
        <v>0</v>
      </c>
      <c r="O4992">
        <v>26</v>
      </c>
      <c r="P4992">
        <v>0</v>
      </c>
    </row>
    <row r="4993" spans="1:16" x14ac:dyDescent="0.25">
      <c r="A4993" t="s">
        <v>27337</v>
      </c>
      <c r="B4993" t="s">
        <v>19665</v>
      </c>
      <c r="C4993" t="s">
        <v>19664</v>
      </c>
      <c r="D4993" t="str">
        <f>"4143"</f>
        <v>4143</v>
      </c>
      <c r="E4993" t="s">
        <v>16626</v>
      </c>
      <c r="F4993" t="s">
        <v>19559</v>
      </c>
      <c r="G4993" t="s">
        <v>16221</v>
      </c>
      <c r="H4993" t="s">
        <v>47055</v>
      </c>
      <c r="I4993" t="s">
        <v>47127</v>
      </c>
      <c r="J4993" t="s">
        <v>47128</v>
      </c>
      <c r="K4993" t="s">
        <v>47113</v>
      </c>
      <c r="L4993">
        <v>11.65</v>
      </c>
      <c r="M4993">
        <v>26</v>
      </c>
      <c r="N4993">
        <v>0</v>
      </c>
      <c r="O4993">
        <v>26</v>
      </c>
      <c r="P4993">
        <v>0</v>
      </c>
    </row>
    <row r="4994" spans="1:16" x14ac:dyDescent="0.25">
      <c r="A4994" t="s">
        <v>27338</v>
      </c>
      <c r="B4994" t="s">
        <v>19665</v>
      </c>
      <c r="C4994" t="s">
        <v>19664</v>
      </c>
      <c r="D4994" t="str">
        <f>"6064"</f>
        <v>6064</v>
      </c>
      <c r="E4994" t="s">
        <v>87</v>
      </c>
      <c r="F4994" t="s">
        <v>19559</v>
      </c>
      <c r="G4994" t="s">
        <v>16221</v>
      </c>
      <c r="H4994" t="s">
        <v>47055</v>
      </c>
      <c r="I4994" t="s">
        <v>47127</v>
      </c>
      <c r="J4994" t="s">
        <v>47128</v>
      </c>
      <c r="K4994" t="s">
        <v>47113</v>
      </c>
      <c r="L4994">
        <v>11.65</v>
      </c>
      <c r="M4994">
        <v>26</v>
      </c>
      <c r="N4994">
        <v>0</v>
      </c>
      <c r="O4994">
        <v>26</v>
      </c>
      <c r="P4994">
        <v>0</v>
      </c>
    </row>
    <row r="4995" spans="1:16" x14ac:dyDescent="0.25">
      <c r="A4995" t="s">
        <v>27339</v>
      </c>
      <c r="B4995" t="s">
        <v>19666</v>
      </c>
      <c r="C4995" t="s">
        <v>19667</v>
      </c>
      <c r="D4995" t="str">
        <f>"4143"</f>
        <v>4143</v>
      </c>
      <c r="E4995" t="s">
        <v>16626</v>
      </c>
      <c r="F4995" t="s">
        <v>19559</v>
      </c>
      <c r="G4995" t="s">
        <v>16221</v>
      </c>
      <c r="H4995" t="s">
        <v>47055</v>
      </c>
      <c r="I4995" t="s">
        <v>47127</v>
      </c>
      <c r="J4995" t="s">
        <v>47128</v>
      </c>
      <c r="K4995" t="s">
        <v>47113</v>
      </c>
      <c r="L4995">
        <v>12.51</v>
      </c>
      <c r="M4995">
        <v>29</v>
      </c>
      <c r="N4995">
        <v>0</v>
      </c>
      <c r="O4995">
        <v>29</v>
      </c>
      <c r="P4995">
        <v>0</v>
      </c>
    </row>
    <row r="4996" spans="1:16" x14ac:dyDescent="0.25">
      <c r="A4996" t="s">
        <v>27340</v>
      </c>
      <c r="B4996" t="s">
        <v>19668</v>
      </c>
      <c r="C4996" t="s">
        <v>19669</v>
      </c>
      <c r="D4996" t="str">
        <f>"4143"</f>
        <v>4143</v>
      </c>
      <c r="E4996" t="s">
        <v>16626</v>
      </c>
      <c r="F4996" t="s">
        <v>19559</v>
      </c>
      <c r="G4996" t="s">
        <v>16221</v>
      </c>
      <c r="H4996" t="s">
        <v>47055</v>
      </c>
      <c r="I4996" t="s">
        <v>47127</v>
      </c>
      <c r="J4996" t="s">
        <v>47128</v>
      </c>
      <c r="K4996" t="s">
        <v>47113</v>
      </c>
      <c r="L4996">
        <v>14.01</v>
      </c>
      <c r="M4996">
        <v>33</v>
      </c>
      <c r="N4996">
        <v>0</v>
      </c>
      <c r="O4996">
        <v>33</v>
      </c>
      <c r="P4996">
        <v>0</v>
      </c>
    </row>
    <row r="4997" spans="1:16" x14ac:dyDescent="0.25">
      <c r="A4997" t="s">
        <v>27341</v>
      </c>
      <c r="B4997" t="s">
        <v>19670</v>
      </c>
      <c r="C4997" t="s">
        <v>19658</v>
      </c>
      <c r="D4997" t="str">
        <f>"1106"</f>
        <v>1106</v>
      </c>
      <c r="E4997" t="s">
        <v>460</v>
      </c>
      <c r="F4997" t="s">
        <v>19552</v>
      </c>
      <c r="G4997" t="s">
        <v>16221</v>
      </c>
      <c r="H4997" t="s">
        <v>47055</v>
      </c>
      <c r="I4997" t="s">
        <v>47127</v>
      </c>
      <c r="J4997" t="s">
        <v>47128</v>
      </c>
      <c r="K4997" t="s">
        <v>47113</v>
      </c>
      <c r="L4997">
        <v>10.91</v>
      </c>
      <c r="M4997">
        <v>26</v>
      </c>
      <c r="N4997">
        <v>0</v>
      </c>
      <c r="O4997">
        <v>26</v>
      </c>
      <c r="P4997">
        <v>0</v>
      </c>
    </row>
    <row r="4998" spans="1:16" x14ac:dyDescent="0.25">
      <c r="A4998" t="s">
        <v>27342</v>
      </c>
      <c r="B4998" t="s">
        <v>19670</v>
      </c>
      <c r="C4998" t="s">
        <v>19658</v>
      </c>
      <c r="D4998" t="str">
        <f>"2000"</f>
        <v>2000</v>
      </c>
      <c r="E4998" t="s">
        <v>248</v>
      </c>
      <c r="F4998" t="s">
        <v>19552</v>
      </c>
      <c r="G4998" t="s">
        <v>16221</v>
      </c>
      <c r="H4998" t="s">
        <v>47055</v>
      </c>
      <c r="I4998" t="s">
        <v>47127</v>
      </c>
      <c r="J4998" t="s">
        <v>47128</v>
      </c>
      <c r="K4998" t="s">
        <v>47113</v>
      </c>
      <c r="L4998">
        <v>10.91</v>
      </c>
      <c r="M4998">
        <v>26</v>
      </c>
      <c r="N4998">
        <v>0</v>
      </c>
      <c r="O4998">
        <v>26</v>
      </c>
      <c r="P4998">
        <v>0</v>
      </c>
    </row>
    <row r="4999" spans="1:16" x14ac:dyDescent="0.25">
      <c r="A4999" t="s">
        <v>27343</v>
      </c>
      <c r="B4999" t="s">
        <v>19670</v>
      </c>
      <c r="C4999" t="s">
        <v>19658</v>
      </c>
      <c r="D4999" t="str">
        <f>"3106"</f>
        <v>3106</v>
      </c>
      <c r="E4999" t="s">
        <v>230</v>
      </c>
      <c r="F4999" t="s">
        <v>19552</v>
      </c>
      <c r="G4999" t="s">
        <v>16221</v>
      </c>
      <c r="H4999" t="s">
        <v>47055</v>
      </c>
      <c r="I4999" t="s">
        <v>47127</v>
      </c>
      <c r="J4999" t="s">
        <v>47128</v>
      </c>
      <c r="K4999" t="s">
        <v>47113</v>
      </c>
      <c r="L4999">
        <v>10.91</v>
      </c>
      <c r="M4999">
        <v>26</v>
      </c>
      <c r="N4999">
        <v>0</v>
      </c>
      <c r="O4999">
        <v>26</v>
      </c>
      <c r="P4999">
        <v>0</v>
      </c>
    </row>
    <row r="5000" spans="1:16" x14ac:dyDescent="0.25">
      <c r="A5000" t="s">
        <v>27344</v>
      </c>
      <c r="B5000" t="s">
        <v>19670</v>
      </c>
      <c r="C5000" t="s">
        <v>19658</v>
      </c>
      <c r="D5000" t="str">
        <f>"4143"</f>
        <v>4143</v>
      </c>
      <c r="E5000" t="s">
        <v>16626</v>
      </c>
      <c r="F5000" t="s">
        <v>19552</v>
      </c>
      <c r="G5000" t="s">
        <v>16221</v>
      </c>
      <c r="H5000" t="s">
        <v>47055</v>
      </c>
      <c r="I5000" t="s">
        <v>47127</v>
      </c>
      <c r="J5000" t="s">
        <v>47128</v>
      </c>
      <c r="K5000" t="s">
        <v>47113</v>
      </c>
      <c r="L5000">
        <v>10.91</v>
      </c>
      <c r="M5000">
        <v>26</v>
      </c>
      <c r="N5000">
        <v>0</v>
      </c>
      <c r="O5000">
        <v>26</v>
      </c>
      <c r="P5000">
        <v>0</v>
      </c>
    </row>
    <row r="5001" spans="1:16" x14ac:dyDescent="0.25">
      <c r="A5001" t="s">
        <v>27345</v>
      </c>
      <c r="B5001" t="s">
        <v>19671</v>
      </c>
      <c r="C5001" t="s">
        <v>19672</v>
      </c>
      <c r="D5001" t="str">
        <f>"1106"</f>
        <v>1106</v>
      </c>
      <c r="E5001" t="s">
        <v>460</v>
      </c>
      <c r="F5001" t="s">
        <v>19552</v>
      </c>
      <c r="G5001" t="s">
        <v>16221</v>
      </c>
      <c r="H5001" t="s">
        <v>47055</v>
      </c>
      <c r="I5001" t="s">
        <v>47127</v>
      </c>
      <c r="J5001" t="s">
        <v>47128</v>
      </c>
      <c r="K5001" t="s">
        <v>47113</v>
      </c>
      <c r="L5001">
        <v>14.01</v>
      </c>
      <c r="M5001">
        <v>33</v>
      </c>
      <c r="N5001">
        <v>0</v>
      </c>
      <c r="O5001">
        <v>33</v>
      </c>
      <c r="P5001">
        <v>0</v>
      </c>
    </row>
    <row r="5002" spans="1:16" x14ac:dyDescent="0.25">
      <c r="A5002" t="s">
        <v>27346</v>
      </c>
      <c r="B5002" t="s">
        <v>19671</v>
      </c>
      <c r="C5002" t="s">
        <v>19672</v>
      </c>
      <c r="D5002" t="str">
        <f>"2000"</f>
        <v>2000</v>
      </c>
      <c r="E5002" t="s">
        <v>248</v>
      </c>
      <c r="F5002" t="s">
        <v>19552</v>
      </c>
      <c r="G5002" t="s">
        <v>16221</v>
      </c>
      <c r="H5002" t="s">
        <v>47055</v>
      </c>
      <c r="I5002" t="s">
        <v>47127</v>
      </c>
      <c r="J5002" t="s">
        <v>47128</v>
      </c>
      <c r="K5002" t="s">
        <v>47113</v>
      </c>
      <c r="L5002">
        <v>14.01</v>
      </c>
      <c r="M5002">
        <v>33</v>
      </c>
      <c r="N5002">
        <v>0</v>
      </c>
      <c r="O5002">
        <v>33</v>
      </c>
      <c r="P5002">
        <v>0</v>
      </c>
    </row>
    <row r="5003" spans="1:16" x14ac:dyDescent="0.25">
      <c r="A5003" t="s">
        <v>27347</v>
      </c>
      <c r="B5003" t="s">
        <v>19671</v>
      </c>
      <c r="C5003" t="s">
        <v>19672</v>
      </c>
      <c r="D5003" t="str">
        <f>"3106"</f>
        <v>3106</v>
      </c>
      <c r="E5003" t="s">
        <v>230</v>
      </c>
      <c r="F5003" t="s">
        <v>19552</v>
      </c>
      <c r="G5003" t="s">
        <v>16221</v>
      </c>
      <c r="H5003" t="s">
        <v>47055</v>
      </c>
      <c r="I5003" t="s">
        <v>47127</v>
      </c>
      <c r="J5003" t="s">
        <v>47128</v>
      </c>
      <c r="K5003" t="s">
        <v>47113</v>
      </c>
      <c r="L5003">
        <v>14.01</v>
      </c>
      <c r="M5003">
        <v>33</v>
      </c>
      <c r="N5003">
        <v>0</v>
      </c>
      <c r="O5003">
        <v>33</v>
      </c>
      <c r="P5003">
        <v>0</v>
      </c>
    </row>
    <row r="5004" spans="1:16" x14ac:dyDescent="0.25">
      <c r="A5004" t="s">
        <v>22673</v>
      </c>
      <c r="B5004" t="s">
        <v>19671</v>
      </c>
      <c r="C5004" t="s">
        <v>19672</v>
      </c>
      <c r="D5004" t="str">
        <f>"4143"</f>
        <v>4143</v>
      </c>
      <c r="E5004" t="s">
        <v>16626</v>
      </c>
      <c r="F5004" t="s">
        <v>19552</v>
      </c>
      <c r="G5004" t="s">
        <v>16221</v>
      </c>
      <c r="H5004" t="s">
        <v>47055</v>
      </c>
      <c r="I5004" t="s">
        <v>47127</v>
      </c>
      <c r="J5004" t="s">
        <v>47128</v>
      </c>
      <c r="K5004" t="s">
        <v>47113</v>
      </c>
      <c r="L5004">
        <v>14.01</v>
      </c>
      <c r="M5004">
        <v>33</v>
      </c>
      <c r="N5004">
        <v>0</v>
      </c>
      <c r="O5004">
        <v>33</v>
      </c>
      <c r="P5004">
        <v>0</v>
      </c>
    </row>
    <row r="5005" spans="1:16" x14ac:dyDescent="0.25">
      <c r="A5005" t="s">
        <v>27348</v>
      </c>
      <c r="B5005" t="s">
        <v>27349</v>
      </c>
      <c r="C5005" t="s">
        <v>27350</v>
      </c>
      <c r="D5005" t="str">
        <f>"1017"</f>
        <v>1017</v>
      </c>
      <c r="E5005" t="s">
        <v>27351</v>
      </c>
      <c r="F5005" t="s">
        <v>24019</v>
      </c>
      <c r="G5005" t="s">
        <v>16231</v>
      </c>
      <c r="H5005" t="s">
        <v>47055</v>
      </c>
      <c r="I5005" t="s">
        <v>47127</v>
      </c>
      <c r="J5005" t="s">
        <v>47128</v>
      </c>
      <c r="K5005" t="s">
        <v>47113</v>
      </c>
      <c r="L5005">
        <v>36.14</v>
      </c>
      <c r="M5005">
        <v>74</v>
      </c>
      <c r="N5005">
        <v>199</v>
      </c>
      <c r="O5005">
        <v>74</v>
      </c>
      <c r="P5005">
        <v>199</v>
      </c>
    </row>
    <row r="5006" spans="1:16" x14ac:dyDescent="0.25">
      <c r="A5006" t="s">
        <v>27352</v>
      </c>
      <c r="B5006" t="s">
        <v>27353</v>
      </c>
      <c r="C5006" t="s">
        <v>27354</v>
      </c>
      <c r="D5006" t="str">
        <f>"4090"</f>
        <v>4090</v>
      </c>
      <c r="E5006" t="s">
        <v>27355</v>
      </c>
      <c r="F5006" t="s">
        <v>24019</v>
      </c>
      <c r="G5006" t="s">
        <v>16231</v>
      </c>
      <c r="H5006" t="s">
        <v>47055</v>
      </c>
      <c r="I5006" t="s">
        <v>47127</v>
      </c>
      <c r="J5006" t="s">
        <v>47128</v>
      </c>
      <c r="K5006" t="s">
        <v>47113</v>
      </c>
      <c r="L5006">
        <v>36.69</v>
      </c>
      <c r="M5006">
        <v>85</v>
      </c>
      <c r="N5006">
        <v>0</v>
      </c>
      <c r="O5006">
        <v>85</v>
      </c>
      <c r="P5006">
        <v>0</v>
      </c>
    </row>
    <row r="5007" spans="1:16" x14ac:dyDescent="0.25">
      <c r="A5007" t="s">
        <v>27356</v>
      </c>
      <c r="B5007" t="s">
        <v>27357</v>
      </c>
      <c r="C5007" t="s">
        <v>27358</v>
      </c>
      <c r="D5007" t="str">
        <f>"4318"</f>
        <v>4318</v>
      </c>
      <c r="E5007" t="s">
        <v>27359</v>
      </c>
      <c r="F5007" t="s">
        <v>24019</v>
      </c>
      <c r="G5007" t="s">
        <v>16231</v>
      </c>
      <c r="H5007" t="s">
        <v>47055</v>
      </c>
      <c r="I5007" t="s">
        <v>47127</v>
      </c>
      <c r="J5007" t="s">
        <v>47128</v>
      </c>
      <c r="K5007" t="s">
        <v>47113</v>
      </c>
      <c r="L5007">
        <v>37.020000000000003</v>
      </c>
      <c r="M5007">
        <v>85</v>
      </c>
      <c r="N5007">
        <v>0</v>
      </c>
      <c r="O5007">
        <v>85</v>
      </c>
      <c r="P5007">
        <v>0</v>
      </c>
    </row>
    <row r="5008" spans="1:16" x14ac:dyDescent="0.25">
      <c r="A5008" t="s">
        <v>27360</v>
      </c>
      <c r="B5008" t="s">
        <v>27361</v>
      </c>
      <c r="C5008" t="s">
        <v>27362</v>
      </c>
      <c r="D5008" t="str">
        <f>"4320"</f>
        <v>4320</v>
      </c>
      <c r="E5008" t="s">
        <v>27363</v>
      </c>
      <c r="F5008" t="s">
        <v>24019</v>
      </c>
      <c r="G5008" t="s">
        <v>16231</v>
      </c>
      <c r="H5008" t="s">
        <v>47055</v>
      </c>
      <c r="I5008" t="s">
        <v>47127</v>
      </c>
      <c r="J5008" t="s">
        <v>47128</v>
      </c>
      <c r="K5008" t="s">
        <v>47113</v>
      </c>
      <c r="L5008">
        <v>52.57</v>
      </c>
      <c r="M5008">
        <v>111</v>
      </c>
      <c r="N5008">
        <v>0</v>
      </c>
      <c r="O5008">
        <v>111</v>
      </c>
      <c r="P5008">
        <v>0</v>
      </c>
    </row>
    <row r="5009" spans="1:16" x14ac:dyDescent="0.25">
      <c r="A5009" t="s">
        <v>27364</v>
      </c>
      <c r="B5009" t="s">
        <v>27365</v>
      </c>
      <c r="C5009" t="s">
        <v>27366</v>
      </c>
      <c r="D5009" t="str">
        <f>"1007"</f>
        <v>1007</v>
      </c>
      <c r="E5009" t="s">
        <v>27367</v>
      </c>
      <c r="F5009" t="s">
        <v>24019</v>
      </c>
      <c r="G5009" t="s">
        <v>16231</v>
      </c>
      <c r="H5009" t="s">
        <v>47055</v>
      </c>
      <c r="I5009" t="s">
        <v>47127</v>
      </c>
      <c r="J5009" t="s">
        <v>47128</v>
      </c>
      <c r="K5009" t="s">
        <v>47113</v>
      </c>
      <c r="L5009">
        <v>40.42</v>
      </c>
      <c r="M5009">
        <v>85</v>
      </c>
      <c r="N5009">
        <v>0</v>
      </c>
      <c r="O5009">
        <v>85</v>
      </c>
      <c r="P5009">
        <v>0</v>
      </c>
    </row>
    <row r="5010" spans="1:16" x14ac:dyDescent="0.25">
      <c r="A5010" t="s">
        <v>27368</v>
      </c>
      <c r="B5010" t="s">
        <v>27369</v>
      </c>
      <c r="C5010" t="s">
        <v>27370</v>
      </c>
      <c r="D5010" t="str">
        <f>"1106"</f>
        <v>1106</v>
      </c>
      <c r="E5010" t="s">
        <v>460</v>
      </c>
      <c r="F5010" t="s">
        <v>24019</v>
      </c>
      <c r="G5010" t="s">
        <v>16235</v>
      </c>
      <c r="H5010" t="s">
        <v>47055</v>
      </c>
      <c r="I5010" t="s">
        <v>47127</v>
      </c>
      <c r="J5010" t="s">
        <v>47128</v>
      </c>
      <c r="K5010" t="s">
        <v>47113</v>
      </c>
      <c r="L5010">
        <v>26.29</v>
      </c>
      <c r="M5010">
        <v>73</v>
      </c>
      <c r="N5010">
        <v>0</v>
      </c>
      <c r="O5010">
        <v>73</v>
      </c>
      <c r="P5010">
        <v>0</v>
      </c>
    </row>
    <row r="5011" spans="1:16" x14ac:dyDescent="0.25">
      <c r="A5011" t="s">
        <v>27371</v>
      </c>
      <c r="B5011" t="s">
        <v>27369</v>
      </c>
      <c r="C5011" t="s">
        <v>27370</v>
      </c>
      <c r="D5011" t="str">
        <f>"1278"</f>
        <v>1278</v>
      </c>
      <c r="E5011" t="s">
        <v>100</v>
      </c>
      <c r="F5011" t="s">
        <v>24019</v>
      </c>
      <c r="G5011" t="s">
        <v>16235</v>
      </c>
      <c r="H5011" t="s">
        <v>47055</v>
      </c>
      <c r="I5011" t="s">
        <v>47127</v>
      </c>
      <c r="J5011" t="s">
        <v>47128</v>
      </c>
      <c r="K5011" t="s">
        <v>47113</v>
      </c>
      <c r="L5011">
        <v>26.29</v>
      </c>
      <c r="M5011">
        <v>73</v>
      </c>
      <c r="N5011">
        <v>0</v>
      </c>
      <c r="O5011">
        <v>73</v>
      </c>
      <c r="P5011">
        <v>0</v>
      </c>
    </row>
    <row r="5012" spans="1:16" x14ac:dyDescent="0.25">
      <c r="A5012" t="s">
        <v>27372</v>
      </c>
      <c r="B5012" t="s">
        <v>27369</v>
      </c>
      <c r="C5012" t="s">
        <v>27370</v>
      </c>
      <c r="D5012" t="str">
        <f>"3106"</f>
        <v>3106</v>
      </c>
      <c r="E5012" t="s">
        <v>230</v>
      </c>
      <c r="F5012" t="s">
        <v>24019</v>
      </c>
      <c r="G5012" t="s">
        <v>16235</v>
      </c>
      <c r="H5012" t="s">
        <v>47055</v>
      </c>
      <c r="I5012" t="s">
        <v>47127</v>
      </c>
      <c r="J5012" t="s">
        <v>47128</v>
      </c>
      <c r="K5012" t="s">
        <v>47113</v>
      </c>
      <c r="L5012">
        <v>26.29</v>
      </c>
      <c r="M5012">
        <v>73</v>
      </c>
      <c r="N5012">
        <v>0</v>
      </c>
      <c r="O5012">
        <v>73</v>
      </c>
      <c r="P5012">
        <v>0</v>
      </c>
    </row>
    <row r="5013" spans="1:16" x14ac:dyDescent="0.25">
      <c r="A5013" t="s">
        <v>27373</v>
      </c>
      <c r="B5013" t="s">
        <v>27369</v>
      </c>
      <c r="C5013" t="s">
        <v>27370</v>
      </c>
      <c r="D5013" t="str">
        <f>"4143"</f>
        <v>4143</v>
      </c>
      <c r="E5013" t="s">
        <v>16626</v>
      </c>
      <c r="F5013" t="s">
        <v>24019</v>
      </c>
      <c r="G5013" t="s">
        <v>16235</v>
      </c>
      <c r="H5013" t="s">
        <v>47055</v>
      </c>
      <c r="I5013" t="s">
        <v>47127</v>
      </c>
      <c r="J5013" t="s">
        <v>47128</v>
      </c>
      <c r="K5013" t="s">
        <v>47113</v>
      </c>
      <c r="L5013">
        <v>26.29</v>
      </c>
      <c r="M5013">
        <v>73</v>
      </c>
      <c r="N5013">
        <v>0</v>
      </c>
      <c r="O5013">
        <v>73</v>
      </c>
      <c r="P5013">
        <v>0</v>
      </c>
    </row>
    <row r="5014" spans="1:16" x14ac:dyDescent="0.25">
      <c r="A5014" t="s">
        <v>27374</v>
      </c>
      <c r="B5014" t="s">
        <v>27375</v>
      </c>
      <c r="C5014" t="s">
        <v>27376</v>
      </c>
      <c r="D5014" t="str">
        <f>"1106"</f>
        <v>1106</v>
      </c>
      <c r="E5014" t="s">
        <v>460</v>
      </c>
      <c r="F5014" t="s">
        <v>24019</v>
      </c>
      <c r="G5014" t="s">
        <v>16222</v>
      </c>
      <c r="H5014" t="s">
        <v>47055</v>
      </c>
      <c r="I5014" t="s">
        <v>47127</v>
      </c>
      <c r="J5014" t="s">
        <v>47128</v>
      </c>
      <c r="K5014" t="s">
        <v>47113</v>
      </c>
      <c r="L5014">
        <v>21.35</v>
      </c>
      <c r="M5014">
        <v>62</v>
      </c>
      <c r="N5014">
        <v>0</v>
      </c>
      <c r="O5014">
        <v>62</v>
      </c>
      <c r="P5014">
        <v>0</v>
      </c>
    </row>
    <row r="5015" spans="1:16" x14ac:dyDescent="0.25">
      <c r="A5015" t="s">
        <v>27377</v>
      </c>
      <c r="B5015" t="s">
        <v>27375</v>
      </c>
      <c r="C5015" t="s">
        <v>27376</v>
      </c>
      <c r="D5015" t="str">
        <f>"1278"</f>
        <v>1278</v>
      </c>
      <c r="E5015" t="s">
        <v>100</v>
      </c>
      <c r="F5015" t="s">
        <v>24019</v>
      </c>
      <c r="G5015" t="s">
        <v>16222</v>
      </c>
      <c r="H5015" t="s">
        <v>47055</v>
      </c>
      <c r="I5015" t="s">
        <v>47127</v>
      </c>
      <c r="J5015" t="s">
        <v>47128</v>
      </c>
      <c r="K5015" t="s">
        <v>47113</v>
      </c>
      <c r="L5015">
        <v>21.35</v>
      </c>
      <c r="M5015">
        <v>62</v>
      </c>
      <c r="N5015">
        <v>0</v>
      </c>
      <c r="O5015">
        <v>62</v>
      </c>
      <c r="P5015">
        <v>0</v>
      </c>
    </row>
    <row r="5016" spans="1:16" x14ac:dyDescent="0.25">
      <c r="A5016" t="s">
        <v>27378</v>
      </c>
      <c r="B5016" t="s">
        <v>27375</v>
      </c>
      <c r="C5016" t="s">
        <v>27376</v>
      </c>
      <c r="D5016" t="str">
        <f>"3106"</f>
        <v>3106</v>
      </c>
      <c r="E5016" t="s">
        <v>230</v>
      </c>
      <c r="F5016" t="s">
        <v>24019</v>
      </c>
      <c r="G5016" t="s">
        <v>16222</v>
      </c>
      <c r="H5016" t="s">
        <v>47055</v>
      </c>
      <c r="I5016" t="s">
        <v>47127</v>
      </c>
      <c r="J5016" t="s">
        <v>47128</v>
      </c>
      <c r="K5016" t="s">
        <v>47113</v>
      </c>
      <c r="L5016">
        <v>21.35</v>
      </c>
      <c r="M5016">
        <v>62</v>
      </c>
      <c r="N5016">
        <v>0</v>
      </c>
      <c r="O5016">
        <v>62</v>
      </c>
      <c r="P5016">
        <v>0</v>
      </c>
    </row>
    <row r="5017" spans="1:16" x14ac:dyDescent="0.25">
      <c r="A5017" t="s">
        <v>27379</v>
      </c>
      <c r="B5017" t="s">
        <v>27375</v>
      </c>
      <c r="C5017" t="s">
        <v>27376</v>
      </c>
      <c r="D5017" t="str">
        <f>"4143"</f>
        <v>4143</v>
      </c>
      <c r="E5017" t="s">
        <v>16626</v>
      </c>
      <c r="F5017" t="s">
        <v>24019</v>
      </c>
      <c r="G5017" t="s">
        <v>16222</v>
      </c>
      <c r="H5017" t="s">
        <v>47055</v>
      </c>
      <c r="I5017" t="s">
        <v>47127</v>
      </c>
      <c r="J5017" t="s">
        <v>47128</v>
      </c>
      <c r="K5017" t="s">
        <v>47113</v>
      </c>
      <c r="L5017">
        <v>21.35</v>
      </c>
      <c r="M5017">
        <v>62</v>
      </c>
      <c r="N5017">
        <v>0</v>
      </c>
      <c r="O5017">
        <v>62</v>
      </c>
      <c r="P5017">
        <v>0</v>
      </c>
    </row>
    <row r="5018" spans="1:16" x14ac:dyDescent="0.25">
      <c r="A5018" t="s">
        <v>27380</v>
      </c>
      <c r="B5018" t="s">
        <v>27381</v>
      </c>
      <c r="C5018" t="s">
        <v>27382</v>
      </c>
      <c r="D5018" t="str">
        <f>"1106"</f>
        <v>1106</v>
      </c>
      <c r="E5018" t="s">
        <v>460</v>
      </c>
      <c r="F5018" t="s">
        <v>24019</v>
      </c>
      <c r="G5018" t="s">
        <v>16235</v>
      </c>
      <c r="H5018" t="s">
        <v>47055</v>
      </c>
      <c r="I5018" t="s">
        <v>47127</v>
      </c>
      <c r="J5018" t="s">
        <v>47128</v>
      </c>
      <c r="K5018" t="s">
        <v>47113</v>
      </c>
      <c r="L5018">
        <v>26.93</v>
      </c>
      <c r="M5018">
        <v>73</v>
      </c>
      <c r="N5018">
        <v>0</v>
      </c>
      <c r="O5018">
        <v>73</v>
      </c>
      <c r="P5018">
        <v>0</v>
      </c>
    </row>
    <row r="5019" spans="1:16" x14ac:dyDescent="0.25">
      <c r="A5019" t="s">
        <v>27383</v>
      </c>
      <c r="B5019" t="s">
        <v>27381</v>
      </c>
      <c r="C5019" t="s">
        <v>27382</v>
      </c>
      <c r="D5019" t="str">
        <f>"1285"</f>
        <v>1285</v>
      </c>
      <c r="E5019" t="s">
        <v>2148</v>
      </c>
      <c r="F5019" t="s">
        <v>24019</v>
      </c>
      <c r="G5019" t="s">
        <v>16235</v>
      </c>
      <c r="H5019" t="s">
        <v>47055</v>
      </c>
      <c r="I5019" t="s">
        <v>47127</v>
      </c>
      <c r="J5019" t="s">
        <v>47128</v>
      </c>
      <c r="K5019" t="s">
        <v>47113</v>
      </c>
      <c r="L5019">
        <v>26.93</v>
      </c>
      <c r="M5019">
        <v>73</v>
      </c>
      <c r="N5019">
        <v>0</v>
      </c>
      <c r="O5019">
        <v>73</v>
      </c>
      <c r="P5019">
        <v>0</v>
      </c>
    </row>
    <row r="5020" spans="1:16" x14ac:dyDescent="0.25">
      <c r="A5020" t="s">
        <v>27384</v>
      </c>
      <c r="B5020" t="s">
        <v>27381</v>
      </c>
      <c r="C5020" t="s">
        <v>27382</v>
      </c>
      <c r="D5020" t="str">
        <f>"3106"</f>
        <v>3106</v>
      </c>
      <c r="E5020" t="s">
        <v>230</v>
      </c>
      <c r="F5020" t="s">
        <v>24019</v>
      </c>
      <c r="G5020" t="s">
        <v>16235</v>
      </c>
      <c r="H5020" t="s">
        <v>47055</v>
      </c>
      <c r="I5020" t="s">
        <v>47127</v>
      </c>
      <c r="J5020" t="s">
        <v>47128</v>
      </c>
      <c r="K5020" t="s">
        <v>47113</v>
      </c>
      <c r="L5020">
        <v>26.93</v>
      </c>
      <c r="M5020">
        <v>73</v>
      </c>
      <c r="N5020">
        <v>0</v>
      </c>
      <c r="O5020">
        <v>73</v>
      </c>
      <c r="P5020">
        <v>0</v>
      </c>
    </row>
    <row r="5021" spans="1:16" x14ac:dyDescent="0.25">
      <c r="A5021" t="s">
        <v>27385</v>
      </c>
      <c r="B5021" t="s">
        <v>27381</v>
      </c>
      <c r="C5021" t="s">
        <v>27382</v>
      </c>
      <c r="D5021" t="str">
        <f>"4143"</f>
        <v>4143</v>
      </c>
      <c r="E5021" t="s">
        <v>16626</v>
      </c>
      <c r="F5021" t="s">
        <v>24019</v>
      </c>
      <c r="G5021" t="s">
        <v>16235</v>
      </c>
      <c r="H5021" t="s">
        <v>47055</v>
      </c>
      <c r="I5021" t="s">
        <v>47127</v>
      </c>
      <c r="J5021" t="s">
        <v>47128</v>
      </c>
      <c r="K5021" t="s">
        <v>47113</v>
      </c>
      <c r="L5021">
        <v>26.93</v>
      </c>
      <c r="M5021">
        <v>73</v>
      </c>
      <c r="N5021">
        <v>0</v>
      </c>
      <c r="O5021">
        <v>73</v>
      </c>
      <c r="P5021">
        <v>0</v>
      </c>
    </row>
    <row r="5022" spans="1:16" x14ac:dyDescent="0.25">
      <c r="A5022" t="s">
        <v>27386</v>
      </c>
      <c r="B5022" t="s">
        <v>27381</v>
      </c>
      <c r="C5022" t="s">
        <v>27382</v>
      </c>
      <c r="D5022" t="str">
        <f>"6000"</f>
        <v>6000</v>
      </c>
      <c r="E5022" t="s">
        <v>238</v>
      </c>
      <c r="F5022" t="s">
        <v>24019</v>
      </c>
      <c r="G5022" t="s">
        <v>16235</v>
      </c>
      <c r="H5022" t="s">
        <v>47055</v>
      </c>
      <c r="I5022" t="s">
        <v>47127</v>
      </c>
      <c r="J5022" t="s">
        <v>47128</v>
      </c>
      <c r="K5022" t="s">
        <v>47113</v>
      </c>
      <c r="L5022">
        <v>26.93</v>
      </c>
      <c r="M5022">
        <v>73</v>
      </c>
      <c r="N5022">
        <v>0</v>
      </c>
      <c r="O5022">
        <v>73</v>
      </c>
      <c r="P5022">
        <v>0</v>
      </c>
    </row>
    <row r="5023" spans="1:16" x14ac:dyDescent="0.25">
      <c r="A5023" t="s">
        <v>27387</v>
      </c>
      <c r="B5023" t="s">
        <v>27388</v>
      </c>
      <c r="C5023" t="s">
        <v>27389</v>
      </c>
      <c r="D5023" t="str">
        <f>"1106"</f>
        <v>1106</v>
      </c>
      <c r="E5023" t="s">
        <v>460</v>
      </c>
      <c r="F5023" t="s">
        <v>24019</v>
      </c>
      <c r="G5023" t="s">
        <v>16235</v>
      </c>
      <c r="H5023" t="s">
        <v>47055</v>
      </c>
      <c r="I5023" t="s">
        <v>47127</v>
      </c>
      <c r="J5023" t="s">
        <v>47128</v>
      </c>
      <c r="K5023" t="s">
        <v>47113</v>
      </c>
      <c r="L5023">
        <v>25.43</v>
      </c>
      <c r="M5023">
        <v>73</v>
      </c>
      <c r="N5023">
        <v>0</v>
      </c>
      <c r="O5023">
        <v>73</v>
      </c>
      <c r="P5023">
        <v>0</v>
      </c>
    </row>
    <row r="5024" spans="1:16" x14ac:dyDescent="0.25">
      <c r="A5024" t="s">
        <v>27390</v>
      </c>
      <c r="B5024" t="s">
        <v>27388</v>
      </c>
      <c r="C5024" t="s">
        <v>27389</v>
      </c>
      <c r="D5024" t="str">
        <f>"1285"</f>
        <v>1285</v>
      </c>
      <c r="E5024" t="s">
        <v>2148</v>
      </c>
      <c r="F5024" t="s">
        <v>24019</v>
      </c>
      <c r="G5024" t="s">
        <v>16235</v>
      </c>
      <c r="H5024" t="s">
        <v>47055</v>
      </c>
      <c r="I5024" t="s">
        <v>47127</v>
      </c>
      <c r="J5024" t="s">
        <v>47128</v>
      </c>
      <c r="K5024" t="s">
        <v>47113</v>
      </c>
      <c r="L5024">
        <v>25.43</v>
      </c>
      <c r="M5024">
        <v>73</v>
      </c>
      <c r="N5024">
        <v>0</v>
      </c>
      <c r="O5024">
        <v>73</v>
      </c>
      <c r="P5024">
        <v>0</v>
      </c>
    </row>
    <row r="5025" spans="1:16" x14ac:dyDescent="0.25">
      <c r="A5025" t="s">
        <v>27391</v>
      </c>
      <c r="B5025" t="s">
        <v>27388</v>
      </c>
      <c r="C5025" t="s">
        <v>27389</v>
      </c>
      <c r="D5025" t="str">
        <f>"3106"</f>
        <v>3106</v>
      </c>
      <c r="E5025" t="s">
        <v>230</v>
      </c>
      <c r="F5025" t="s">
        <v>24019</v>
      </c>
      <c r="G5025" t="s">
        <v>16235</v>
      </c>
      <c r="H5025" t="s">
        <v>47055</v>
      </c>
      <c r="I5025" t="s">
        <v>47127</v>
      </c>
      <c r="J5025" t="s">
        <v>47128</v>
      </c>
      <c r="K5025" t="s">
        <v>47113</v>
      </c>
      <c r="L5025">
        <v>25.43</v>
      </c>
      <c r="M5025">
        <v>73</v>
      </c>
      <c r="N5025">
        <v>0</v>
      </c>
      <c r="O5025">
        <v>73</v>
      </c>
      <c r="P5025">
        <v>0</v>
      </c>
    </row>
    <row r="5026" spans="1:16" x14ac:dyDescent="0.25">
      <c r="A5026" t="s">
        <v>27392</v>
      </c>
      <c r="B5026" t="s">
        <v>27388</v>
      </c>
      <c r="C5026" t="s">
        <v>27389</v>
      </c>
      <c r="D5026" t="str">
        <f>"4143"</f>
        <v>4143</v>
      </c>
      <c r="E5026" t="s">
        <v>16626</v>
      </c>
      <c r="F5026" t="s">
        <v>24019</v>
      </c>
      <c r="G5026" t="s">
        <v>16235</v>
      </c>
      <c r="H5026" t="s">
        <v>47055</v>
      </c>
      <c r="I5026" t="s">
        <v>47127</v>
      </c>
      <c r="J5026" t="s">
        <v>47128</v>
      </c>
      <c r="K5026" t="s">
        <v>47113</v>
      </c>
      <c r="L5026">
        <v>25.43</v>
      </c>
      <c r="M5026">
        <v>73</v>
      </c>
      <c r="N5026">
        <v>0</v>
      </c>
      <c r="O5026">
        <v>73</v>
      </c>
      <c r="P5026">
        <v>0</v>
      </c>
    </row>
    <row r="5027" spans="1:16" x14ac:dyDescent="0.25">
      <c r="A5027" t="s">
        <v>27393</v>
      </c>
      <c r="B5027" t="s">
        <v>27388</v>
      </c>
      <c r="C5027" t="s">
        <v>27389</v>
      </c>
      <c r="D5027" t="str">
        <f>"6000"</f>
        <v>6000</v>
      </c>
      <c r="E5027" t="s">
        <v>238</v>
      </c>
      <c r="F5027" t="s">
        <v>24019</v>
      </c>
      <c r="G5027" t="s">
        <v>16235</v>
      </c>
      <c r="H5027" t="s">
        <v>47055</v>
      </c>
      <c r="I5027" t="s">
        <v>47127</v>
      </c>
      <c r="J5027" t="s">
        <v>47128</v>
      </c>
      <c r="K5027" t="s">
        <v>47113</v>
      </c>
      <c r="L5027">
        <v>25.43</v>
      </c>
      <c r="M5027">
        <v>73</v>
      </c>
      <c r="N5027">
        <v>0</v>
      </c>
      <c r="O5027">
        <v>73</v>
      </c>
      <c r="P5027">
        <v>0</v>
      </c>
    </row>
    <row r="5028" spans="1:16" x14ac:dyDescent="0.25">
      <c r="A5028" t="s">
        <v>27394</v>
      </c>
      <c r="B5028" t="s">
        <v>27395</v>
      </c>
      <c r="C5028" t="s">
        <v>27396</v>
      </c>
      <c r="D5028" t="str">
        <f>"1106"</f>
        <v>1106</v>
      </c>
      <c r="E5028" t="s">
        <v>460</v>
      </c>
      <c r="F5028" t="s">
        <v>24019</v>
      </c>
      <c r="G5028" t="s">
        <v>16221</v>
      </c>
      <c r="H5028" t="s">
        <v>47055</v>
      </c>
      <c r="I5028" t="s">
        <v>47127</v>
      </c>
      <c r="J5028" t="s">
        <v>47128</v>
      </c>
      <c r="K5028" t="s">
        <v>47113</v>
      </c>
      <c r="L5028">
        <v>14.05</v>
      </c>
      <c r="M5028">
        <v>37</v>
      </c>
      <c r="N5028">
        <v>0</v>
      </c>
      <c r="O5028">
        <v>37</v>
      </c>
      <c r="P5028">
        <v>0</v>
      </c>
    </row>
    <row r="5029" spans="1:16" x14ac:dyDescent="0.25">
      <c r="A5029" t="s">
        <v>27397</v>
      </c>
      <c r="B5029" t="s">
        <v>27395</v>
      </c>
      <c r="C5029" t="s">
        <v>27396</v>
      </c>
      <c r="D5029" t="str">
        <f>"1278"</f>
        <v>1278</v>
      </c>
      <c r="E5029" t="s">
        <v>100</v>
      </c>
      <c r="F5029" t="s">
        <v>24019</v>
      </c>
      <c r="G5029" t="s">
        <v>16221</v>
      </c>
      <c r="H5029" t="s">
        <v>47055</v>
      </c>
      <c r="I5029" t="s">
        <v>47127</v>
      </c>
      <c r="J5029" t="s">
        <v>47128</v>
      </c>
      <c r="K5029" t="s">
        <v>47113</v>
      </c>
      <c r="L5029">
        <v>14.05</v>
      </c>
      <c r="M5029">
        <v>37</v>
      </c>
      <c r="N5029">
        <v>0</v>
      </c>
      <c r="O5029">
        <v>37</v>
      </c>
      <c r="P5029">
        <v>0</v>
      </c>
    </row>
    <row r="5030" spans="1:16" x14ac:dyDescent="0.25">
      <c r="A5030" t="s">
        <v>27398</v>
      </c>
      <c r="B5030" t="s">
        <v>27395</v>
      </c>
      <c r="C5030" t="s">
        <v>27396</v>
      </c>
      <c r="D5030" t="str">
        <f>"1700"</f>
        <v>1700</v>
      </c>
      <c r="E5030" t="s">
        <v>60</v>
      </c>
      <c r="F5030" t="s">
        <v>24019</v>
      </c>
      <c r="G5030" t="s">
        <v>16221</v>
      </c>
      <c r="H5030" t="s">
        <v>47055</v>
      </c>
      <c r="I5030" t="s">
        <v>47127</v>
      </c>
      <c r="J5030" t="s">
        <v>47128</v>
      </c>
      <c r="K5030" t="s">
        <v>47113</v>
      </c>
      <c r="L5030">
        <v>14.05</v>
      </c>
      <c r="M5030">
        <v>37</v>
      </c>
      <c r="N5030">
        <v>0</v>
      </c>
      <c r="O5030">
        <v>37</v>
      </c>
      <c r="P5030">
        <v>0</v>
      </c>
    </row>
    <row r="5031" spans="1:16" x14ac:dyDescent="0.25">
      <c r="A5031" t="s">
        <v>27399</v>
      </c>
      <c r="B5031" t="s">
        <v>27395</v>
      </c>
      <c r="C5031" t="s">
        <v>27396</v>
      </c>
      <c r="D5031" t="str">
        <f>"3106"</f>
        <v>3106</v>
      </c>
      <c r="E5031" t="s">
        <v>230</v>
      </c>
      <c r="F5031" t="s">
        <v>24019</v>
      </c>
      <c r="G5031" t="s">
        <v>16221</v>
      </c>
      <c r="H5031" t="s">
        <v>47055</v>
      </c>
      <c r="I5031" t="s">
        <v>47127</v>
      </c>
      <c r="J5031" t="s">
        <v>47128</v>
      </c>
      <c r="K5031" t="s">
        <v>47113</v>
      </c>
      <c r="L5031">
        <v>14.05</v>
      </c>
      <c r="M5031">
        <v>37</v>
      </c>
      <c r="N5031">
        <v>0</v>
      </c>
      <c r="O5031">
        <v>37</v>
      </c>
      <c r="P5031">
        <v>0</v>
      </c>
    </row>
    <row r="5032" spans="1:16" x14ac:dyDescent="0.25">
      <c r="A5032" t="s">
        <v>27400</v>
      </c>
      <c r="B5032" t="s">
        <v>27395</v>
      </c>
      <c r="C5032" t="s">
        <v>27396</v>
      </c>
      <c r="D5032" t="str">
        <f>"4143"</f>
        <v>4143</v>
      </c>
      <c r="E5032" t="s">
        <v>16626</v>
      </c>
      <c r="F5032" t="s">
        <v>24019</v>
      </c>
      <c r="G5032" t="s">
        <v>16221</v>
      </c>
      <c r="H5032" t="s">
        <v>47055</v>
      </c>
      <c r="I5032" t="s">
        <v>47127</v>
      </c>
      <c r="J5032" t="s">
        <v>47128</v>
      </c>
      <c r="K5032" t="s">
        <v>47113</v>
      </c>
      <c r="L5032">
        <v>14.05</v>
      </c>
      <c r="M5032">
        <v>37</v>
      </c>
      <c r="N5032">
        <v>0</v>
      </c>
      <c r="O5032">
        <v>37</v>
      </c>
      <c r="P5032">
        <v>0</v>
      </c>
    </row>
    <row r="5033" spans="1:16" x14ac:dyDescent="0.25">
      <c r="A5033" t="s">
        <v>27401</v>
      </c>
      <c r="B5033" t="s">
        <v>27395</v>
      </c>
      <c r="C5033" t="s">
        <v>27396</v>
      </c>
      <c r="D5033" t="str">
        <f>"6000"</f>
        <v>6000</v>
      </c>
      <c r="E5033" t="s">
        <v>238</v>
      </c>
      <c r="F5033" t="s">
        <v>24019</v>
      </c>
      <c r="G5033" t="s">
        <v>16221</v>
      </c>
      <c r="H5033" t="s">
        <v>47055</v>
      </c>
      <c r="I5033" t="s">
        <v>47127</v>
      </c>
      <c r="J5033" t="s">
        <v>47128</v>
      </c>
      <c r="K5033" t="s">
        <v>47113</v>
      </c>
      <c r="L5033">
        <v>14.05</v>
      </c>
      <c r="M5033">
        <v>37</v>
      </c>
      <c r="N5033">
        <v>0</v>
      </c>
      <c r="O5033">
        <v>37</v>
      </c>
      <c r="P5033">
        <v>0</v>
      </c>
    </row>
    <row r="5034" spans="1:16" x14ac:dyDescent="0.25">
      <c r="A5034" t="s">
        <v>27402</v>
      </c>
      <c r="B5034" t="s">
        <v>27403</v>
      </c>
      <c r="C5034" t="s">
        <v>27404</v>
      </c>
      <c r="D5034" t="str">
        <f>"1106"</f>
        <v>1106</v>
      </c>
      <c r="E5034" t="s">
        <v>460</v>
      </c>
      <c r="F5034" t="s">
        <v>24019</v>
      </c>
      <c r="G5034" t="s">
        <v>46686</v>
      </c>
      <c r="H5034" t="s">
        <v>47055</v>
      </c>
      <c r="I5034" t="s">
        <v>47127</v>
      </c>
      <c r="J5034" t="s">
        <v>47128</v>
      </c>
      <c r="K5034" t="s">
        <v>47113</v>
      </c>
      <c r="L5034">
        <v>19.850000000000001</v>
      </c>
      <c r="M5034">
        <v>47</v>
      </c>
      <c r="N5034">
        <v>0</v>
      </c>
      <c r="O5034">
        <v>47</v>
      </c>
      <c r="P5034">
        <v>0</v>
      </c>
    </row>
    <row r="5035" spans="1:16" x14ac:dyDescent="0.25">
      <c r="A5035" t="s">
        <v>27405</v>
      </c>
      <c r="B5035" t="s">
        <v>27403</v>
      </c>
      <c r="C5035" t="s">
        <v>27404</v>
      </c>
      <c r="D5035" t="str">
        <f>"1285"</f>
        <v>1285</v>
      </c>
      <c r="E5035" t="s">
        <v>2148</v>
      </c>
      <c r="F5035" t="s">
        <v>24019</v>
      </c>
      <c r="G5035" t="s">
        <v>46686</v>
      </c>
      <c r="H5035" t="s">
        <v>47055</v>
      </c>
      <c r="I5035" t="s">
        <v>47127</v>
      </c>
      <c r="J5035" t="s">
        <v>47128</v>
      </c>
      <c r="K5035" t="s">
        <v>47113</v>
      </c>
      <c r="L5035">
        <v>19.850000000000001</v>
      </c>
      <c r="M5035">
        <v>47</v>
      </c>
      <c r="N5035">
        <v>0</v>
      </c>
      <c r="O5035">
        <v>47</v>
      </c>
      <c r="P5035">
        <v>0</v>
      </c>
    </row>
    <row r="5036" spans="1:16" x14ac:dyDescent="0.25">
      <c r="A5036" t="s">
        <v>27406</v>
      </c>
      <c r="B5036" t="s">
        <v>27403</v>
      </c>
      <c r="C5036" t="s">
        <v>27404</v>
      </c>
      <c r="D5036" t="str">
        <f>"3106"</f>
        <v>3106</v>
      </c>
      <c r="E5036" t="s">
        <v>230</v>
      </c>
      <c r="F5036" t="s">
        <v>24019</v>
      </c>
      <c r="G5036" t="s">
        <v>46686</v>
      </c>
      <c r="H5036" t="s">
        <v>47055</v>
      </c>
      <c r="I5036" t="s">
        <v>47127</v>
      </c>
      <c r="J5036" t="s">
        <v>47128</v>
      </c>
      <c r="K5036" t="s">
        <v>47113</v>
      </c>
      <c r="L5036">
        <v>19.850000000000001</v>
      </c>
      <c r="M5036">
        <v>47</v>
      </c>
      <c r="N5036">
        <v>0</v>
      </c>
      <c r="O5036">
        <v>47</v>
      </c>
      <c r="P5036">
        <v>0</v>
      </c>
    </row>
    <row r="5037" spans="1:16" x14ac:dyDescent="0.25">
      <c r="A5037" t="s">
        <v>27407</v>
      </c>
      <c r="B5037" t="s">
        <v>27403</v>
      </c>
      <c r="C5037" t="s">
        <v>27404</v>
      </c>
      <c r="D5037" t="str">
        <f>"4143"</f>
        <v>4143</v>
      </c>
      <c r="E5037" t="s">
        <v>16626</v>
      </c>
      <c r="F5037" t="s">
        <v>24019</v>
      </c>
      <c r="G5037" t="s">
        <v>46686</v>
      </c>
      <c r="H5037" t="s">
        <v>47055</v>
      </c>
      <c r="I5037" t="s">
        <v>47127</v>
      </c>
      <c r="J5037" t="s">
        <v>47128</v>
      </c>
      <c r="K5037" t="s">
        <v>47113</v>
      </c>
      <c r="L5037">
        <v>19.850000000000001</v>
      </c>
      <c r="M5037">
        <v>47</v>
      </c>
      <c r="N5037">
        <v>0</v>
      </c>
      <c r="O5037">
        <v>47</v>
      </c>
      <c r="P5037">
        <v>0</v>
      </c>
    </row>
    <row r="5038" spans="1:16" x14ac:dyDescent="0.25">
      <c r="A5038" t="s">
        <v>27408</v>
      </c>
      <c r="B5038" t="s">
        <v>27409</v>
      </c>
      <c r="C5038" t="s">
        <v>21320</v>
      </c>
      <c r="D5038" t="str">
        <f>"1106"</f>
        <v>1106</v>
      </c>
      <c r="E5038" t="s">
        <v>460</v>
      </c>
      <c r="F5038" t="s">
        <v>24019</v>
      </c>
      <c r="G5038" t="s">
        <v>16235</v>
      </c>
      <c r="H5038" t="s">
        <v>47055</v>
      </c>
      <c r="I5038" t="s">
        <v>47127</v>
      </c>
      <c r="J5038" t="s">
        <v>47128</v>
      </c>
      <c r="K5038" t="s">
        <v>47113</v>
      </c>
      <c r="L5038">
        <v>27.04</v>
      </c>
      <c r="M5038">
        <v>73</v>
      </c>
      <c r="N5038">
        <v>0</v>
      </c>
      <c r="O5038">
        <v>73</v>
      </c>
      <c r="P5038">
        <v>0</v>
      </c>
    </row>
    <row r="5039" spans="1:16" x14ac:dyDescent="0.25">
      <c r="A5039" t="s">
        <v>27410</v>
      </c>
      <c r="B5039" t="s">
        <v>27409</v>
      </c>
      <c r="C5039" t="s">
        <v>21320</v>
      </c>
      <c r="D5039" t="str">
        <f>"1285"</f>
        <v>1285</v>
      </c>
      <c r="E5039" t="s">
        <v>2148</v>
      </c>
      <c r="F5039" t="s">
        <v>24019</v>
      </c>
      <c r="G5039" t="s">
        <v>16235</v>
      </c>
      <c r="H5039" t="s">
        <v>47055</v>
      </c>
      <c r="I5039" t="s">
        <v>47127</v>
      </c>
      <c r="J5039" t="s">
        <v>47128</v>
      </c>
      <c r="K5039" t="s">
        <v>47113</v>
      </c>
      <c r="L5039">
        <v>27.04</v>
      </c>
      <c r="M5039">
        <v>73</v>
      </c>
      <c r="N5039">
        <v>0</v>
      </c>
      <c r="O5039">
        <v>73</v>
      </c>
      <c r="P5039">
        <v>0</v>
      </c>
    </row>
    <row r="5040" spans="1:16" x14ac:dyDescent="0.25">
      <c r="A5040" t="s">
        <v>27411</v>
      </c>
      <c r="B5040" t="s">
        <v>27409</v>
      </c>
      <c r="C5040" t="s">
        <v>21320</v>
      </c>
      <c r="D5040" t="str">
        <f>"3106"</f>
        <v>3106</v>
      </c>
      <c r="E5040" t="s">
        <v>230</v>
      </c>
      <c r="F5040" t="s">
        <v>24019</v>
      </c>
      <c r="G5040" t="s">
        <v>16235</v>
      </c>
      <c r="H5040" t="s">
        <v>47055</v>
      </c>
      <c r="I5040" t="s">
        <v>47127</v>
      </c>
      <c r="J5040" t="s">
        <v>47128</v>
      </c>
      <c r="K5040" t="s">
        <v>47113</v>
      </c>
      <c r="L5040">
        <v>27.04</v>
      </c>
      <c r="M5040">
        <v>73</v>
      </c>
      <c r="N5040">
        <v>0</v>
      </c>
      <c r="O5040">
        <v>73</v>
      </c>
      <c r="P5040">
        <v>0</v>
      </c>
    </row>
    <row r="5041" spans="1:16" x14ac:dyDescent="0.25">
      <c r="A5041" t="s">
        <v>27412</v>
      </c>
      <c r="B5041" t="s">
        <v>27409</v>
      </c>
      <c r="C5041" t="s">
        <v>21320</v>
      </c>
      <c r="D5041" t="str">
        <f>"4143"</f>
        <v>4143</v>
      </c>
      <c r="E5041" t="s">
        <v>16626</v>
      </c>
      <c r="F5041" t="s">
        <v>24019</v>
      </c>
      <c r="G5041" t="s">
        <v>16235</v>
      </c>
      <c r="H5041" t="s">
        <v>47055</v>
      </c>
      <c r="I5041" t="s">
        <v>47127</v>
      </c>
      <c r="J5041" t="s">
        <v>47128</v>
      </c>
      <c r="K5041" t="s">
        <v>47113</v>
      </c>
      <c r="L5041">
        <v>27.04</v>
      </c>
      <c r="M5041">
        <v>73</v>
      </c>
      <c r="N5041">
        <v>0</v>
      </c>
      <c r="O5041">
        <v>73</v>
      </c>
      <c r="P5041">
        <v>0</v>
      </c>
    </row>
    <row r="5042" spans="1:16" x14ac:dyDescent="0.25">
      <c r="A5042" t="s">
        <v>27413</v>
      </c>
      <c r="B5042" t="s">
        <v>22675</v>
      </c>
      <c r="C5042" t="s">
        <v>21330</v>
      </c>
      <c r="D5042" t="str">
        <f>"1106"</f>
        <v>1106</v>
      </c>
      <c r="E5042" t="s">
        <v>460</v>
      </c>
      <c r="F5042" t="s">
        <v>24019</v>
      </c>
      <c r="G5042" t="s">
        <v>16235</v>
      </c>
      <c r="H5042" t="s">
        <v>47055</v>
      </c>
      <c r="I5042" t="s">
        <v>47127</v>
      </c>
      <c r="J5042" t="s">
        <v>47128</v>
      </c>
      <c r="K5042" t="s">
        <v>47113</v>
      </c>
      <c r="L5042">
        <v>27.04</v>
      </c>
      <c r="M5042">
        <v>73</v>
      </c>
      <c r="N5042">
        <v>0</v>
      </c>
      <c r="O5042">
        <v>73</v>
      </c>
      <c r="P5042">
        <v>0</v>
      </c>
    </row>
    <row r="5043" spans="1:16" x14ac:dyDescent="0.25">
      <c r="A5043" t="s">
        <v>22674</v>
      </c>
      <c r="B5043" t="s">
        <v>22675</v>
      </c>
      <c r="C5043" t="s">
        <v>21330</v>
      </c>
      <c r="D5043" t="str">
        <f>"1285"</f>
        <v>1285</v>
      </c>
      <c r="E5043" t="s">
        <v>2148</v>
      </c>
      <c r="F5043" t="s">
        <v>24019</v>
      </c>
      <c r="G5043" t="s">
        <v>16235</v>
      </c>
      <c r="H5043" t="s">
        <v>47055</v>
      </c>
      <c r="I5043" t="s">
        <v>47127</v>
      </c>
      <c r="J5043" t="s">
        <v>47128</v>
      </c>
      <c r="K5043" t="s">
        <v>47113</v>
      </c>
      <c r="L5043">
        <v>27.04</v>
      </c>
      <c r="M5043">
        <v>73</v>
      </c>
      <c r="N5043">
        <v>0</v>
      </c>
      <c r="O5043">
        <v>73</v>
      </c>
      <c r="P5043">
        <v>0</v>
      </c>
    </row>
    <row r="5044" spans="1:16" x14ac:dyDescent="0.25">
      <c r="A5044" t="s">
        <v>22676</v>
      </c>
      <c r="B5044" t="s">
        <v>22675</v>
      </c>
      <c r="C5044" t="s">
        <v>21330</v>
      </c>
      <c r="D5044" t="str">
        <f>"4143"</f>
        <v>4143</v>
      </c>
      <c r="E5044" t="s">
        <v>16626</v>
      </c>
      <c r="F5044" t="s">
        <v>24019</v>
      </c>
      <c r="G5044" t="s">
        <v>16235</v>
      </c>
      <c r="H5044" t="s">
        <v>47055</v>
      </c>
      <c r="I5044" t="s">
        <v>47127</v>
      </c>
      <c r="J5044" t="s">
        <v>47128</v>
      </c>
      <c r="K5044" t="s">
        <v>47113</v>
      </c>
      <c r="L5044">
        <v>27.04</v>
      </c>
      <c r="M5044">
        <v>73</v>
      </c>
      <c r="N5044">
        <v>0</v>
      </c>
      <c r="O5044">
        <v>73</v>
      </c>
      <c r="P5044">
        <v>0</v>
      </c>
    </row>
    <row r="5045" spans="1:16" x14ac:dyDescent="0.25">
      <c r="A5045" t="s">
        <v>27414</v>
      </c>
      <c r="B5045" t="s">
        <v>27415</v>
      </c>
      <c r="C5045" t="s">
        <v>27416</v>
      </c>
      <c r="D5045" t="str">
        <f>"1106"</f>
        <v>1106</v>
      </c>
      <c r="E5045" t="s">
        <v>460</v>
      </c>
      <c r="F5045" t="s">
        <v>24019</v>
      </c>
      <c r="G5045" t="s">
        <v>16235</v>
      </c>
      <c r="H5045" t="s">
        <v>47055</v>
      </c>
      <c r="I5045" t="s">
        <v>47127</v>
      </c>
      <c r="J5045" t="s">
        <v>47128</v>
      </c>
      <c r="K5045" t="s">
        <v>47113</v>
      </c>
      <c r="L5045">
        <v>34.22</v>
      </c>
      <c r="M5045">
        <v>84</v>
      </c>
      <c r="N5045">
        <v>0</v>
      </c>
      <c r="O5045">
        <v>84</v>
      </c>
      <c r="P5045">
        <v>0</v>
      </c>
    </row>
    <row r="5046" spans="1:16" x14ac:dyDescent="0.25">
      <c r="A5046" t="s">
        <v>27417</v>
      </c>
      <c r="B5046" t="s">
        <v>27415</v>
      </c>
      <c r="C5046" t="s">
        <v>27416</v>
      </c>
      <c r="D5046" t="str">
        <f>"1377"</f>
        <v>1377</v>
      </c>
      <c r="E5046" t="s">
        <v>74</v>
      </c>
      <c r="F5046" t="s">
        <v>24019</v>
      </c>
      <c r="G5046" t="s">
        <v>16235</v>
      </c>
      <c r="H5046" t="s">
        <v>47055</v>
      </c>
      <c r="I5046" t="s">
        <v>47127</v>
      </c>
      <c r="J5046" t="s">
        <v>47128</v>
      </c>
      <c r="K5046" t="s">
        <v>47113</v>
      </c>
      <c r="L5046">
        <v>34.22</v>
      </c>
      <c r="M5046">
        <v>84</v>
      </c>
      <c r="N5046">
        <v>0</v>
      </c>
      <c r="O5046">
        <v>84</v>
      </c>
      <c r="P5046">
        <v>0</v>
      </c>
    </row>
    <row r="5047" spans="1:16" x14ac:dyDescent="0.25">
      <c r="A5047" t="s">
        <v>27418</v>
      </c>
      <c r="B5047" t="s">
        <v>27415</v>
      </c>
      <c r="C5047" t="s">
        <v>27416</v>
      </c>
      <c r="D5047" t="str">
        <f>"1378"</f>
        <v>1378</v>
      </c>
      <c r="E5047" t="s">
        <v>388</v>
      </c>
      <c r="F5047" t="s">
        <v>24019</v>
      </c>
      <c r="G5047" t="s">
        <v>16235</v>
      </c>
      <c r="H5047" t="s">
        <v>47055</v>
      </c>
      <c r="I5047" t="s">
        <v>47127</v>
      </c>
      <c r="J5047" t="s">
        <v>47128</v>
      </c>
      <c r="K5047" t="s">
        <v>47113</v>
      </c>
      <c r="L5047">
        <v>34.22</v>
      </c>
      <c r="M5047">
        <v>84</v>
      </c>
      <c r="N5047">
        <v>0</v>
      </c>
      <c r="O5047">
        <v>84</v>
      </c>
      <c r="P5047">
        <v>0</v>
      </c>
    </row>
    <row r="5048" spans="1:16" x14ac:dyDescent="0.25">
      <c r="A5048" t="s">
        <v>27419</v>
      </c>
      <c r="B5048" t="s">
        <v>27415</v>
      </c>
      <c r="C5048" t="s">
        <v>27416</v>
      </c>
      <c r="D5048" t="str">
        <f>"4143"</f>
        <v>4143</v>
      </c>
      <c r="E5048" t="s">
        <v>16626</v>
      </c>
      <c r="F5048" t="s">
        <v>24019</v>
      </c>
      <c r="G5048" t="s">
        <v>16235</v>
      </c>
      <c r="H5048" t="s">
        <v>47055</v>
      </c>
      <c r="I5048" t="s">
        <v>47127</v>
      </c>
      <c r="J5048" t="s">
        <v>47128</v>
      </c>
      <c r="K5048" t="s">
        <v>47113</v>
      </c>
      <c r="L5048">
        <v>34.22</v>
      </c>
      <c r="M5048">
        <v>84</v>
      </c>
      <c r="N5048">
        <v>0</v>
      </c>
      <c r="O5048">
        <v>84</v>
      </c>
      <c r="P5048">
        <v>0</v>
      </c>
    </row>
    <row r="5049" spans="1:16" x14ac:dyDescent="0.25">
      <c r="A5049" t="s">
        <v>27420</v>
      </c>
      <c r="B5049" t="s">
        <v>27415</v>
      </c>
      <c r="C5049" t="s">
        <v>27416</v>
      </c>
      <c r="D5049" t="str">
        <f>"4522"</f>
        <v>4522</v>
      </c>
      <c r="E5049" t="s">
        <v>11009</v>
      </c>
      <c r="F5049" t="s">
        <v>24019</v>
      </c>
      <c r="G5049" t="s">
        <v>16235</v>
      </c>
      <c r="H5049" t="s">
        <v>47055</v>
      </c>
      <c r="I5049" t="s">
        <v>47127</v>
      </c>
      <c r="J5049" t="s">
        <v>47128</v>
      </c>
      <c r="K5049" t="s">
        <v>47113</v>
      </c>
      <c r="L5049">
        <v>34.22</v>
      </c>
      <c r="M5049">
        <v>84</v>
      </c>
      <c r="N5049">
        <v>0</v>
      </c>
      <c r="O5049">
        <v>84</v>
      </c>
      <c r="P5049">
        <v>0</v>
      </c>
    </row>
    <row r="5050" spans="1:16" x14ac:dyDescent="0.25">
      <c r="A5050" t="s">
        <v>27421</v>
      </c>
      <c r="B5050" t="s">
        <v>27422</v>
      </c>
      <c r="C5050" t="s">
        <v>27423</v>
      </c>
      <c r="D5050" t="str">
        <f>"1106"</f>
        <v>1106</v>
      </c>
      <c r="E5050" t="s">
        <v>460</v>
      </c>
      <c r="F5050" t="s">
        <v>24019</v>
      </c>
      <c r="G5050" t="s">
        <v>16235</v>
      </c>
      <c r="H5050" t="s">
        <v>47055</v>
      </c>
      <c r="I5050" t="s">
        <v>47127</v>
      </c>
      <c r="J5050" t="s">
        <v>47128</v>
      </c>
      <c r="K5050" t="s">
        <v>47113</v>
      </c>
      <c r="L5050">
        <v>26.71</v>
      </c>
      <c r="M5050">
        <v>85</v>
      </c>
      <c r="N5050">
        <v>0</v>
      </c>
      <c r="O5050">
        <v>85</v>
      </c>
      <c r="P5050">
        <v>0</v>
      </c>
    </row>
    <row r="5051" spans="1:16" x14ac:dyDescent="0.25">
      <c r="A5051" t="s">
        <v>27424</v>
      </c>
      <c r="B5051" t="s">
        <v>27422</v>
      </c>
      <c r="C5051" t="s">
        <v>27423</v>
      </c>
      <c r="D5051" t="str">
        <f>"1285"</f>
        <v>1285</v>
      </c>
      <c r="E5051" t="s">
        <v>2148</v>
      </c>
      <c r="F5051" t="s">
        <v>24019</v>
      </c>
      <c r="G5051" t="s">
        <v>16235</v>
      </c>
      <c r="H5051" t="s">
        <v>47055</v>
      </c>
      <c r="I5051" t="s">
        <v>47127</v>
      </c>
      <c r="J5051" t="s">
        <v>47128</v>
      </c>
      <c r="K5051" t="s">
        <v>47113</v>
      </c>
      <c r="L5051">
        <v>26.71</v>
      </c>
      <c r="M5051">
        <v>85</v>
      </c>
      <c r="N5051">
        <v>0</v>
      </c>
      <c r="O5051">
        <v>85</v>
      </c>
      <c r="P5051">
        <v>0</v>
      </c>
    </row>
    <row r="5052" spans="1:16" x14ac:dyDescent="0.25">
      <c r="A5052" t="s">
        <v>27425</v>
      </c>
      <c r="B5052" t="s">
        <v>27422</v>
      </c>
      <c r="C5052" t="s">
        <v>27423</v>
      </c>
      <c r="D5052" t="str">
        <f>"4143"</f>
        <v>4143</v>
      </c>
      <c r="E5052" t="s">
        <v>16626</v>
      </c>
      <c r="F5052" t="s">
        <v>24019</v>
      </c>
      <c r="G5052" t="s">
        <v>16235</v>
      </c>
      <c r="H5052" t="s">
        <v>47055</v>
      </c>
      <c r="I5052" t="s">
        <v>47127</v>
      </c>
      <c r="J5052" t="s">
        <v>47128</v>
      </c>
      <c r="K5052" t="s">
        <v>47113</v>
      </c>
      <c r="L5052">
        <v>26.71</v>
      </c>
      <c r="M5052">
        <v>85</v>
      </c>
      <c r="N5052">
        <v>0</v>
      </c>
      <c r="O5052">
        <v>85</v>
      </c>
      <c r="P5052">
        <v>0</v>
      </c>
    </row>
    <row r="5053" spans="1:16" x14ac:dyDescent="0.25">
      <c r="A5053" t="s">
        <v>27426</v>
      </c>
      <c r="B5053" t="s">
        <v>27427</v>
      </c>
      <c r="C5053" t="s">
        <v>27428</v>
      </c>
      <c r="D5053" t="str">
        <f>"1106"</f>
        <v>1106</v>
      </c>
      <c r="E5053" t="s">
        <v>460</v>
      </c>
      <c r="F5053" t="s">
        <v>24019</v>
      </c>
      <c r="G5053" t="s">
        <v>16221</v>
      </c>
      <c r="H5053" t="s">
        <v>47055</v>
      </c>
      <c r="I5053" t="s">
        <v>47127</v>
      </c>
      <c r="J5053" t="s">
        <v>47128</v>
      </c>
      <c r="K5053" t="s">
        <v>47113</v>
      </c>
      <c r="L5053">
        <v>11.7</v>
      </c>
      <c r="M5053">
        <v>33</v>
      </c>
      <c r="N5053">
        <v>0</v>
      </c>
      <c r="O5053">
        <v>33</v>
      </c>
      <c r="P5053">
        <v>0</v>
      </c>
    </row>
    <row r="5054" spans="1:16" x14ac:dyDescent="0.25">
      <c r="A5054" t="s">
        <v>27429</v>
      </c>
      <c r="B5054" t="s">
        <v>27427</v>
      </c>
      <c r="C5054" t="s">
        <v>27428</v>
      </c>
      <c r="D5054" t="str">
        <f>"1278"</f>
        <v>1278</v>
      </c>
      <c r="E5054" t="s">
        <v>100</v>
      </c>
      <c r="F5054" t="s">
        <v>24019</v>
      </c>
      <c r="G5054" t="s">
        <v>16221</v>
      </c>
      <c r="H5054" t="s">
        <v>47055</v>
      </c>
      <c r="I5054" t="s">
        <v>47127</v>
      </c>
      <c r="J5054" t="s">
        <v>47128</v>
      </c>
      <c r="K5054" t="s">
        <v>47113</v>
      </c>
      <c r="L5054">
        <v>11.7</v>
      </c>
      <c r="M5054">
        <v>33</v>
      </c>
      <c r="N5054">
        <v>0</v>
      </c>
      <c r="O5054">
        <v>33</v>
      </c>
      <c r="P5054">
        <v>0</v>
      </c>
    </row>
    <row r="5055" spans="1:16" x14ac:dyDescent="0.25">
      <c r="A5055" t="s">
        <v>27430</v>
      </c>
      <c r="B5055" t="s">
        <v>27427</v>
      </c>
      <c r="C5055" t="s">
        <v>27428</v>
      </c>
      <c r="D5055" t="str">
        <f>"1700"</f>
        <v>1700</v>
      </c>
      <c r="E5055" t="s">
        <v>60</v>
      </c>
      <c r="F5055" t="s">
        <v>24019</v>
      </c>
      <c r="G5055" t="s">
        <v>16221</v>
      </c>
      <c r="H5055" t="s">
        <v>47055</v>
      </c>
      <c r="I5055" t="s">
        <v>47127</v>
      </c>
      <c r="J5055" t="s">
        <v>47128</v>
      </c>
      <c r="K5055" t="s">
        <v>47113</v>
      </c>
      <c r="L5055">
        <v>11.7</v>
      </c>
      <c r="M5055">
        <v>33</v>
      </c>
      <c r="N5055">
        <v>0</v>
      </c>
      <c r="O5055">
        <v>33</v>
      </c>
      <c r="P5055">
        <v>0</v>
      </c>
    </row>
    <row r="5056" spans="1:16" x14ac:dyDescent="0.25">
      <c r="A5056" t="s">
        <v>27431</v>
      </c>
      <c r="B5056" t="s">
        <v>27427</v>
      </c>
      <c r="C5056" t="s">
        <v>27428</v>
      </c>
      <c r="D5056" t="str">
        <f>"3106"</f>
        <v>3106</v>
      </c>
      <c r="E5056" t="s">
        <v>230</v>
      </c>
      <c r="F5056" t="s">
        <v>24019</v>
      </c>
      <c r="G5056" t="s">
        <v>16221</v>
      </c>
      <c r="H5056" t="s">
        <v>47055</v>
      </c>
      <c r="I5056" t="s">
        <v>47127</v>
      </c>
      <c r="J5056" t="s">
        <v>47128</v>
      </c>
      <c r="K5056" t="s">
        <v>47113</v>
      </c>
      <c r="L5056">
        <v>11.7</v>
      </c>
      <c r="M5056">
        <v>33</v>
      </c>
      <c r="N5056">
        <v>0</v>
      </c>
      <c r="O5056">
        <v>33</v>
      </c>
      <c r="P5056">
        <v>0</v>
      </c>
    </row>
    <row r="5057" spans="1:16" x14ac:dyDescent="0.25">
      <c r="A5057" t="s">
        <v>27432</v>
      </c>
      <c r="B5057" t="s">
        <v>27427</v>
      </c>
      <c r="C5057" t="s">
        <v>27428</v>
      </c>
      <c r="D5057" t="str">
        <f>"4143"</f>
        <v>4143</v>
      </c>
      <c r="E5057" t="s">
        <v>16626</v>
      </c>
      <c r="F5057" t="s">
        <v>24019</v>
      </c>
      <c r="G5057" t="s">
        <v>16221</v>
      </c>
      <c r="H5057" t="s">
        <v>47055</v>
      </c>
      <c r="I5057" t="s">
        <v>47127</v>
      </c>
      <c r="J5057" t="s">
        <v>47128</v>
      </c>
      <c r="K5057" t="s">
        <v>47113</v>
      </c>
      <c r="L5057">
        <v>11.7</v>
      </c>
      <c r="M5057">
        <v>33</v>
      </c>
      <c r="N5057">
        <v>0</v>
      </c>
      <c r="O5057">
        <v>33</v>
      </c>
      <c r="P5057">
        <v>0</v>
      </c>
    </row>
    <row r="5058" spans="1:16" x14ac:dyDescent="0.25">
      <c r="A5058" t="s">
        <v>27433</v>
      </c>
      <c r="B5058" t="s">
        <v>27427</v>
      </c>
      <c r="C5058" t="s">
        <v>27428</v>
      </c>
      <c r="D5058" t="str">
        <f>"6000"</f>
        <v>6000</v>
      </c>
      <c r="E5058" t="s">
        <v>238</v>
      </c>
      <c r="F5058" t="s">
        <v>24019</v>
      </c>
      <c r="G5058" t="s">
        <v>16221</v>
      </c>
      <c r="H5058" t="s">
        <v>47055</v>
      </c>
      <c r="I5058" t="s">
        <v>47127</v>
      </c>
      <c r="J5058" t="s">
        <v>47128</v>
      </c>
      <c r="K5058" t="s">
        <v>47113</v>
      </c>
      <c r="L5058">
        <v>11.7</v>
      </c>
      <c r="M5058">
        <v>33</v>
      </c>
      <c r="N5058">
        <v>0</v>
      </c>
      <c r="O5058">
        <v>33</v>
      </c>
      <c r="P5058">
        <v>0</v>
      </c>
    </row>
    <row r="5059" spans="1:16" x14ac:dyDescent="0.25">
      <c r="A5059" t="s">
        <v>27434</v>
      </c>
      <c r="B5059" t="s">
        <v>27435</v>
      </c>
      <c r="C5059" t="s">
        <v>19658</v>
      </c>
      <c r="D5059" t="str">
        <f>"1106"</f>
        <v>1106</v>
      </c>
      <c r="E5059" t="s">
        <v>460</v>
      </c>
      <c r="F5059" t="s">
        <v>24019</v>
      </c>
      <c r="G5059" t="s">
        <v>16221</v>
      </c>
      <c r="H5059" t="s">
        <v>47055</v>
      </c>
      <c r="I5059" t="s">
        <v>47127</v>
      </c>
      <c r="J5059" t="s">
        <v>47128</v>
      </c>
      <c r="K5059" t="s">
        <v>47113</v>
      </c>
      <c r="L5059">
        <v>11.7</v>
      </c>
      <c r="M5059">
        <v>33</v>
      </c>
      <c r="N5059">
        <v>0</v>
      </c>
      <c r="O5059">
        <v>33</v>
      </c>
      <c r="P5059">
        <v>0</v>
      </c>
    </row>
    <row r="5060" spans="1:16" x14ac:dyDescent="0.25">
      <c r="A5060" t="s">
        <v>27436</v>
      </c>
      <c r="B5060" t="s">
        <v>27435</v>
      </c>
      <c r="C5060" t="s">
        <v>19658</v>
      </c>
      <c r="D5060" t="str">
        <f>"1278"</f>
        <v>1278</v>
      </c>
      <c r="E5060" t="s">
        <v>100</v>
      </c>
      <c r="F5060" t="s">
        <v>24019</v>
      </c>
      <c r="G5060" t="s">
        <v>16221</v>
      </c>
      <c r="H5060" t="s">
        <v>47055</v>
      </c>
      <c r="I5060" t="s">
        <v>47127</v>
      </c>
      <c r="J5060" t="s">
        <v>47128</v>
      </c>
      <c r="K5060" t="s">
        <v>47113</v>
      </c>
      <c r="L5060">
        <v>11.7</v>
      </c>
      <c r="M5060">
        <v>33</v>
      </c>
      <c r="N5060">
        <v>0</v>
      </c>
      <c r="O5060">
        <v>33</v>
      </c>
      <c r="P5060">
        <v>0</v>
      </c>
    </row>
    <row r="5061" spans="1:16" x14ac:dyDescent="0.25">
      <c r="A5061" t="s">
        <v>27437</v>
      </c>
      <c r="B5061" t="s">
        <v>27435</v>
      </c>
      <c r="C5061" t="s">
        <v>19658</v>
      </c>
      <c r="D5061" t="str">
        <f>"1700"</f>
        <v>1700</v>
      </c>
      <c r="E5061" t="s">
        <v>60</v>
      </c>
      <c r="F5061" t="s">
        <v>24019</v>
      </c>
      <c r="G5061" t="s">
        <v>16221</v>
      </c>
      <c r="H5061" t="s">
        <v>47055</v>
      </c>
      <c r="I5061" t="s">
        <v>47127</v>
      </c>
      <c r="J5061" t="s">
        <v>47128</v>
      </c>
      <c r="K5061" t="s">
        <v>47113</v>
      </c>
      <c r="L5061">
        <v>11.7</v>
      </c>
      <c r="M5061">
        <v>33</v>
      </c>
      <c r="N5061">
        <v>0</v>
      </c>
      <c r="O5061">
        <v>33</v>
      </c>
      <c r="P5061">
        <v>0</v>
      </c>
    </row>
    <row r="5062" spans="1:16" x14ac:dyDescent="0.25">
      <c r="A5062" t="s">
        <v>27438</v>
      </c>
      <c r="B5062" t="s">
        <v>27435</v>
      </c>
      <c r="C5062" t="s">
        <v>19658</v>
      </c>
      <c r="D5062" t="str">
        <f>"3106"</f>
        <v>3106</v>
      </c>
      <c r="E5062" t="s">
        <v>230</v>
      </c>
      <c r="F5062" t="s">
        <v>24019</v>
      </c>
      <c r="G5062" t="s">
        <v>16221</v>
      </c>
      <c r="H5062" t="s">
        <v>47055</v>
      </c>
      <c r="I5062" t="s">
        <v>47127</v>
      </c>
      <c r="J5062" t="s">
        <v>47128</v>
      </c>
      <c r="K5062" t="s">
        <v>47113</v>
      </c>
      <c r="L5062">
        <v>11.7</v>
      </c>
      <c r="M5062">
        <v>33</v>
      </c>
      <c r="N5062">
        <v>0</v>
      </c>
      <c r="O5062">
        <v>33</v>
      </c>
      <c r="P5062">
        <v>0</v>
      </c>
    </row>
    <row r="5063" spans="1:16" x14ac:dyDescent="0.25">
      <c r="A5063" t="s">
        <v>27439</v>
      </c>
      <c r="B5063" t="s">
        <v>27435</v>
      </c>
      <c r="C5063" t="s">
        <v>19658</v>
      </c>
      <c r="D5063" t="str">
        <f>"4143"</f>
        <v>4143</v>
      </c>
      <c r="E5063" t="s">
        <v>16626</v>
      </c>
      <c r="F5063" t="s">
        <v>24019</v>
      </c>
      <c r="G5063" t="s">
        <v>16221</v>
      </c>
      <c r="H5063" t="s">
        <v>47055</v>
      </c>
      <c r="I5063" t="s">
        <v>47127</v>
      </c>
      <c r="J5063" t="s">
        <v>47128</v>
      </c>
      <c r="K5063" t="s">
        <v>47113</v>
      </c>
      <c r="L5063">
        <v>11.7</v>
      </c>
      <c r="M5063">
        <v>33</v>
      </c>
      <c r="N5063">
        <v>0</v>
      </c>
      <c r="O5063">
        <v>33</v>
      </c>
      <c r="P5063">
        <v>0</v>
      </c>
    </row>
    <row r="5064" spans="1:16" x14ac:dyDescent="0.25">
      <c r="A5064" t="s">
        <v>22677</v>
      </c>
      <c r="B5064" t="s">
        <v>22678</v>
      </c>
      <c r="C5064" t="s">
        <v>22679</v>
      </c>
      <c r="D5064" t="str">
        <f>"3106"</f>
        <v>3106</v>
      </c>
      <c r="E5064" t="s">
        <v>230</v>
      </c>
      <c r="F5064" t="s">
        <v>24019</v>
      </c>
      <c r="G5064" t="s">
        <v>16221</v>
      </c>
      <c r="H5064" t="s">
        <v>47055</v>
      </c>
      <c r="I5064" t="s">
        <v>47127</v>
      </c>
      <c r="J5064" t="s">
        <v>47128</v>
      </c>
      <c r="K5064" t="s">
        <v>47113</v>
      </c>
      <c r="L5064">
        <v>14.05</v>
      </c>
      <c r="M5064">
        <v>37</v>
      </c>
      <c r="N5064">
        <v>0</v>
      </c>
      <c r="O5064">
        <v>37</v>
      </c>
      <c r="P5064">
        <v>0</v>
      </c>
    </row>
    <row r="5065" spans="1:16" x14ac:dyDescent="0.25">
      <c r="A5065" t="s">
        <v>22680</v>
      </c>
      <c r="B5065" t="s">
        <v>22678</v>
      </c>
      <c r="C5065" t="s">
        <v>22679</v>
      </c>
      <c r="D5065" t="str">
        <f>"4143"</f>
        <v>4143</v>
      </c>
      <c r="E5065" t="s">
        <v>16626</v>
      </c>
      <c r="F5065" t="s">
        <v>24019</v>
      </c>
      <c r="G5065" t="s">
        <v>16221</v>
      </c>
      <c r="H5065" t="s">
        <v>47055</v>
      </c>
      <c r="I5065" t="s">
        <v>47127</v>
      </c>
      <c r="J5065" t="s">
        <v>47128</v>
      </c>
      <c r="K5065" t="s">
        <v>47113</v>
      </c>
      <c r="L5065">
        <v>14.05</v>
      </c>
      <c r="M5065">
        <v>37</v>
      </c>
      <c r="N5065">
        <v>0</v>
      </c>
      <c r="O5065">
        <v>37</v>
      </c>
      <c r="P5065">
        <v>0</v>
      </c>
    </row>
    <row r="5066" spans="1:16" x14ac:dyDescent="0.25">
      <c r="A5066" t="s">
        <v>27440</v>
      </c>
      <c r="B5066" t="s">
        <v>27441</v>
      </c>
      <c r="C5066" t="s">
        <v>27442</v>
      </c>
      <c r="D5066" t="str">
        <f>"3106"</f>
        <v>3106</v>
      </c>
      <c r="E5066" t="s">
        <v>230</v>
      </c>
      <c r="F5066" t="s">
        <v>24019</v>
      </c>
      <c r="G5066" t="s">
        <v>16221</v>
      </c>
      <c r="H5066" t="s">
        <v>47055</v>
      </c>
      <c r="I5066" t="s">
        <v>47127</v>
      </c>
      <c r="J5066" t="s">
        <v>47128</v>
      </c>
      <c r="K5066" t="s">
        <v>47113</v>
      </c>
      <c r="L5066">
        <v>11.7</v>
      </c>
      <c r="M5066">
        <v>26</v>
      </c>
      <c r="N5066">
        <v>0</v>
      </c>
      <c r="O5066">
        <v>26</v>
      </c>
      <c r="P5066">
        <v>0</v>
      </c>
    </row>
    <row r="5067" spans="1:16" x14ac:dyDescent="0.25">
      <c r="A5067" t="s">
        <v>27443</v>
      </c>
      <c r="B5067" t="s">
        <v>27441</v>
      </c>
      <c r="C5067" t="s">
        <v>27442</v>
      </c>
      <c r="D5067" t="str">
        <f>"4143"</f>
        <v>4143</v>
      </c>
      <c r="E5067" t="s">
        <v>16626</v>
      </c>
      <c r="F5067" t="s">
        <v>24019</v>
      </c>
      <c r="G5067" t="s">
        <v>16221</v>
      </c>
      <c r="H5067" t="s">
        <v>47055</v>
      </c>
      <c r="I5067" t="s">
        <v>47127</v>
      </c>
      <c r="J5067" t="s">
        <v>47128</v>
      </c>
      <c r="K5067" t="s">
        <v>47113</v>
      </c>
      <c r="L5067">
        <v>11.7</v>
      </c>
      <c r="M5067">
        <v>26</v>
      </c>
      <c r="N5067">
        <v>0</v>
      </c>
      <c r="O5067">
        <v>26</v>
      </c>
      <c r="P5067">
        <v>0</v>
      </c>
    </row>
    <row r="5068" spans="1:16" x14ac:dyDescent="0.25">
      <c r="A5068" t="s">
        <v>27444</v>
      </c>
      <c r="B5068" t="s">
        <v>27445</v>
      </c>
      <c r="C5068" t="s">
        <v>27446</v>
      </c>
      <c r="D5068" t="str">
        <f>"1106"</f>
        <v>1106</v>
      </c>
      <c r="E5068" t="s">
        <v>460</v>
      </c>
      <c r="F5068" t="s">
        <v>24019</v>
      </c>
      <c r="G5068" t="s">
        <v>16221</v>
      </c>
      <c r="H5068" t="s">
        <v>47055</v>
      </c>
      <c r="I5068" t="s">
        <v>47127</v>
      </c>
      <c r="J5068" t="s">
        <v>47128</v>
      </c>
      <c r="K5068" t="s">
        <v>47113</v>
      </c>
      <c r="L5068">
        <v>13.41</v>
      </c>
      <c r="M5068">
        <v>37</v>
      </c>
      <c r="N5068">
        <v>0</v>
      </c>
      <c r="O5068">
        <v>37</v>
      </c>
      <c r="P5068">
        <v>0</v>
      </c>
    </row>
    <row r="5069" spans="1:16" x14ac:dyDescent="0.25">
      <c r="A5069" t="s">
        <v>27447</v>
      </c>
      <c r="B5069" t="s">
        <v>27445</v>
      </c>
      <c r="C5069" t="s">
        <v>27446</v>
      </c>
      <c r="D5069" t="str">
        <f>"1700"</f>
        <v>1700</v>
      </c>
      <c r="E5069" t="s">
        <v>60</v>
      </c>
      <c r="F5069" t="s">
        <v>24019</v>
      </c>
      <c r="G5069" t="s">
        <v>16221</v>
      </c>
      <c r="H5069" t="s">
        <v>47055</v>
      </c>
      <c r="I5069" t="s">
        <v>47127</v>
      </c>
      <c r="J5069" t="s">
        <v>47128</v>
      </c>
      <c r="K5069" t="s">
        <v>47113</v>
      </c>
      <c r="L5069">
        <v>13.41</v>
      </c>
      <c r="M5069">
        <v>37</v>
      </c>
      <c r="N5069">
        <v>0</v>
      </c>
      <c r="O5069">
        <v>37</v>
      </c>
      <c r="P5069">
        <v>0</v>
      </c>
    </row>
    <row r="5070" spans="1:16" x14ac:dyDescent="0.25">
      <c r="A5070" t="s">
        <v>27448</v>
      </c>
      <c r="B5070" t="s">
        <v>27445</v>
      </c>
      <c r="C5070" t="s">
        <v>27446</v>
      </c>
      <c r="D5070" t="str">
        <f>"4143"</f>
        <v>4143</v>
      </c>
      <c r="E5070" t="s">
        <v>261</v>
      </c>
      <c r="F5070" t="s">
        <v>24019</v>
      </c>
      <c r="G5070" t="s">
        <v>16221</v>
      </c>
      <c r="H5070" t="s">
        <v>47055</v>
      </c>
      <c r="I5070" t="s">
        <v>47127</v>
      </c>
      <c r="J5070" t="s">
        <v>47128</v>
      </c>
      <c r="K5070" t="s">
        <v>47113</v>
      </c>
      <c r="L5070">
        <v>13.41</v>
      </c>
      <c r="M5070">
        <v>37</v>
      </c>
      <c r="N5070">
        <v>0</v>
      </c>
      <c r="O5070">
        <v>37</v>
      </c>
      <c r="P5070">
        <v>0</v>
      </c>
    </row>
    <row r="5071" spans="1:16" x14ac:dyDescent="0.25">
      <c r="A5071" t="s">
        <v>27449</v>
      </c>
      <c r="B5071" t="s">
        <v>27450</v>
      </c>
      <c r="C5071" t="s">
        <v>27451</v>
      </c>
      <c r="D5071" t="str">
        <f>"1106"</f>
        <v>1106</v>
      </c>
      <c r="E5071" t="s">
        <v>460</v>
      </c>
      <c r="F5071" t="s">
        <v>24019</v>
      </c>
      <c r="G5071" t="s">
        <v>16221</v>
      </c>
      <c r="H5071" t="s">
        <v>47055</v>
      </c>
      <c r="I5071" t="s">
        <v>47127</v>
      </c>
      <c r="J5071" t="s">
        <v>47128</v>
      </c>
      <c r="K5071" t="s">
        <v>47113</v>
      </c>
      <c r="L5071">
        <v>11.27</v>
      </c>
      <c r="M5071">
        <v>26</v>
      </c>
      <c r="N5071">
        <v>0</v>
      </c>
      <c r="O5071">
        <v>26</v>
      </c>
      <c r="P5071">
        <v>0</v>
      </c>
    </row>
    <row r="5072" spans="1:16" x14ac:dyDescent="0.25">
      <c r="A5072" t="s">
        <v>27452</v>
      </c>
      <c r="B5072" t="s">
        <v>27450</v>
      </c>
      <c r="C5072" t="s">
        <v>27451</v>
      </c>
      <c r="D5072" t="str">
        <f>"1285"</f>
        <v>1285</v>
      </c>
      <c r="E5072" t="s">
        <v>2148</v>
      </c>
      <c r="F5072" t="s">
        <v>24019</v>
      </c>
      <c r="G5072" t="s">
        <v>16221</v>
      </c>
      <c r="H5072" t="s">
        <v>47055</v>
      </c>
      <c r="I5072" t="s">
        <v>47127</v>
      </c>
      <c r="J5072" t="s">
        <v>47128</v>
      </c>
      <c r="K5072" t="s">
        <v>47113</v>
      </c>
      <c r="L5072">
        <v>11.27</v>
      </c>
      <c r="M5072">
        <v>26</v>
      </c>
      <c r="N5072">
        <v>0</v>
      </c>
      <c r="O5072">
        <v>26</v>
      </c>
      <c r="P5072">
        <v>0</v>
      </c>
    </row>
    <row r="5073" spans="1:16" x14ac:dyDescent="0.25">
      <c r="A5073" t="s">
        <v>27453</v>
      </c>
      <c r="B5073" t="s">
        <v>27450</v>
      </c>
      <c r="C5073" t="s">
        <v>27451</v>
      </c>
      <c r="D5073" t="str">
        <f>"1700"</f>
        <v>1700</v>
      </c>
      <c r="E5073" t="s">
        <v>60</v>
      </c>
      <c r="F5073" t="s">
        <v>24019</v>
      </c>
      <c r="G5073" t="s">
        <v>16221</v>
      </c>
      <c r="H5073" t="s">
        <v>47055</v>
      </c>
      <c r="I5073" t="s">
        <v>47127</v>
      </c>
      <c r="J5073" t="s">
        <v>47128</v>
      </c>
      <c r="K5073" t="s">
        <v>47113</v>
      </c>
      <c r="L5073">
        <v>11.27</v>
      </c>
      <c r="M5073">
        <v>26</v>
      </c>
      <c r="N5073">
        <v>0</v>
      </c>
      <c r="O5073">
        <v>26</v>
      </c>
      <c r="P5073">
        <v>0</v>
      </c>
    </row>
    <row r="5074" spans="1:16" x14ac:dyDescent="0.25">
      <c r="A5074" t="s">
        <v>27454</v>
      </c>
      <c r="B5074" t="s">
        <v>27450</v>
      </c>
      <c r="C5074" t="s">
        <v>27451</v>
      </c>
      <c r="D5074" t="str">
        <f>"4143"</f>
        <v>4143</v>
      </c>
      <c r="E5074" t="s">
        <v>16626</v>
      </c>
      <c r="F5074" t="s">
        <v>24019</v>
      </c>
      <c r="G5074" t="s">
        <v>16221</v>
      </c>
      <c r="H5074" t="s">
        <v>47055</v>
      </c>
      <c r="I5074" t="s">
        <v>47127</v>
      </c>
      <c r="J5074" t="s">
        <v>47128</v>
      </c>
      <c r="K5074" t="s">
        <v>47113</v>
      </c>
      <c r="L5074">
        <v>11.27</v>
      </c>
      <c r="M5074">
        <v>26</v>
      </c>
      <c r="N5074">
        <v>0</v>
      </c>
      <c r="O5074">
        <v>26</v>
      </c>
      <c r="P5074">
        <v>0</v>
      </c>
    </row>
    <row r="5075" spans="1:16" x14ac:dyDescent="0.25">
      <c r="A5075" t="s">
        <v>27455</v>
      </c>
      <c r="B5075" t="s">
        <v>27456</v>
      </c>
      <c r="C5075" t="s">
        <v>27457</v>
      </c>
      <c r="D5075" t="str">
        <f>"1106"</f>
        <v>1106</v>
      </c>
      <c r="E5075" t="s">
        <v>460</v>
      </c>
      <c r="F5075" t="s">
        <v>24019</v>
      </c>
      <c r="G5075" t="s">
        <v>16221</v>
      </c>
      <c r="H5075" t="s">
        <v>47055</v>
      </c>
      <c r="I5075" t="s">
        <v>47127</v>
      </c>
      <c r="J5075" t="s">
        <v>47128</v>
      </c>
      <c r="K5075" t="s">
        <v>47113</v>
      </c>
      <c r="L5075">
        <v>12.56</v>
      </c>
      <c r="M5075">
        <v>37</v>
      </c>
      <c r="N5075">
        <v>0</v>
      </c>
      <c r="O5075">
        <v>37</v>
      </c>
      <c r="P5075">
        <v>0</v>
      </c>
    </row>
    <row r="5076" spans="1:16" x14ac:dyDescent="0.25">
      <c r="A5076" t="s">
        <v>27458</v>
      </c>
      <c r="B5076" t="s">
        <v>27456</v>
      </c>
      <c r="C5076" t="s">
        <v>27457</v>
      </c>
      <c r="D5076" t="str">
        <f>"1285"</f>
        <v>1285</v>
      </c>
      <c r="E5076" t="s">
        <v>2148</v>
      </c>
      <c r="F5076" t="s">
        <v>24019</v>
      </c>
      <c r="G5076" t="s">
        <v>16221</v>
      </c>
      <c r="H5076" t="s">
        <v>47055</v>
      </c>
      <c r="I5076" t="s">
        <v>47127</v>
      </c>
      <c r="J5076" t="s">
        <v>47128</v>
      </c>
      <c r="K5076" t="s">
        <v>47113</v>
      </c>
      <c r="L5076">
        <v>12.56</v>
      </c>
      <c r="M5076">
        <v>37</v>
      </c>
      <c r="N5076">
        <v>0</v>
      </c>
      <c r="O5076">
        <v>37</v>
      </c>
      <c r="P5076">
        <v>0</v>
      </c>
    </row>
    <row r="5077" spans="1:16" x14ac:dyDescent="0.25">
      <c r="A5077" t="s">
        <v>27459</v>
      </c>
      <c r="B5077" t="s">
        <v>27456</v>
      </c>
      <c r="C5077" t="s">
        <v>27457</v>
      </c>
      <c r="D5077" t="str">
        <f>"1700"</f>
        <v>1700</v>
      </c>
      <c r="E5077" t="s">
        <v>60</v>
      </c>
      <c r="F5077" t="s">
        <v>24019</v>
      </c>
      <c r="G5077" t="s">
        <v>16221</v>
      </c>
      <c r="H5077" t="s">
        <v>47055</v>
      </c>
      <c r="I5077" t="s">
        <v>47127</v>
      </c>
      <c r="J5077" t="s">
        <v>47128</v>
      </c>
      <c r="K5077" t="s">
        <v>47113</v>
      </c>
      <c r="L5077">
        <v>12.56</v>
      </c>
      <c r="M5077">
        <v>37</v>
      </c>
      <c r="N5077">
        <v>0</v>
      </c>
      <c r="O5077">
        <v>37</v>
      </c>
      <c r="P5077">
        <v>0</v>
      </c>
    </row>
    <row r="5078" spans="1:16" x14ac:dyDescent="0.25">
      <c r="A5078" t="s">
        <v>27460</v>
      </c>
      <c r="B5078" t="s">
        <v>27456</v>
      </c>
      <c r="C5078" t="s">
        <v>27457</v>
      </c>
      <c r="D5078" t="str">
        <f>"4143"</f>
        <v>4143</v>
      </c>
      <c r="E5078" t="s">
        <v>16626</v>
      </c>
      <c r="F5078" t="s">
        <v>24019</v>
      </c>
      <c r="G5078" t="s">
        <v>16221</v>
      </c>
      <c r="H5078" t="s">
        <v>47055</v>
      </c>
      <c r="I5078" t="s">
        <v>47127</v>
      </c>
      <c r="J5078" t="s">
        <v>47128</v>
      </c>
      <c r="K5078" t="s">
        <v>47113</v>
      </c>
      <c r="L5078">
        <v>12.56</v>
      </c>
      <c r="M5078">
        <v>37</v>
      </c>
      <c r="N5078">
        <v>0</v>
      </c>
      <c r="O5078">
        <v>37</v>
      </c>
      <c r="P5078">
        <v>0</v>
      </c>
    </row>
    <row r="5079" spans="1:16" x14ac:dyDescent="0.25">
      <c r="A5079" t="s">
        <v>27461</v>
      </c>
      <c r="B5079" t="s">
        <v>27462</v>
      </c>
      <c r="C5079" t="s">
        <v>27457</v>
      </c>
      <c r="D5079" t="str">
        <f>"1106"</f>
        <v>1106</v>
      </c>
      <c r="E5079" t="s">
        <v>460</v>
      </c>
      <c r="F5079" t="s">
        <v>24019</v>
      </c>
      <c r="G5079" t="s">
        <v>16221</v>
      </c>
      <c r="H5079" t="s">
        <v>47055</v>
      </c>
      <c r="I5079" t="s">
        <v>47127</v>
      </c>
      <c r="J5079" t="s">
        <v>47128</v>
      </c>
      <c r="K5079" t="s">
        <v>47113</v>
      </c>
      <c r="L5079">
        <v>15.88</v>
      </c>
      <c r="M5079">
        <v>44</v>
      </c>
      <c r="N5079">
        <v>0</v>
      </c>
      <c r="O5079">
        <v>44</v>
      </c>
      <c r="P5079">
        <v>0</v>
      </c>
    </row>
    <row r="5080" spans="1:16" x14ac:dyDescent="0.25">
      <c r="A5080" t="s">
        <v>27463</v>
      </c>
      <c r="B5080" t="s">
        <v>27462</v>
      </c>
      <c r="C5080" t="s">
        <v>27457</v>
      </c>
      <c r="D5080" t="str">
        <f>"1377"</f>
        <v>1377</v>
      </c>
      <c r="E5080" t="s">
        <v>74</v>
      </c>
      <c r="F5080" t="s">
        <v>24019</v>
      </c>
      <c r="G5080" t="s">
        <v>16221</v>
      </c>
      <c r="H5080" t="s">
        <v>47055</v>
      </c>
      <c r="I5080" t="s">
        <v>47127</v>
      </c>
      <c r="J5080" t="s">
        <v>47128</v>
      </c>
      <c r="K5080" t="s">
        <v>47113</v>
      </c>
      <c r="L5080">
        <v>15.88</v>
      </c>
      <c r="M5080">
        <v>44</v>
      </c>
      <c r="N5080">
        <v>0</v>
      </c>
      <c r="O5080">
        <v>44</v>
      </c>
      <c r="P5080">
        <v>0</v>
      </c>
    </row>
    <row r="5081" spans="1:16" x14ac:dyDescent="0.25">
      <c r="A5081" t="s">
        <v>27464</v>
      </c>
      <c r="B5081" t="s">
        <v>27462</v>
      </c>
      <c r="C5081" t="s">
        <v>27457</v>
      </c>
      <c r="D5081" t="str">
        <f>"1378"</f>
        <v>1378</v>
      </c>
      <c r="E5081" t="s">
        <v>388</v>
      </c>
      <c r="F5081" t="s">
        <v>24019</v>
      </c>
      <c r="G5081" t="s">
        <v>16221</v>
      </c>
      <c r="H5081" t="s">
        <v>47055</v>
      </c>
      <c r="I5081" t="s">
        <v>47127</v>
      </c>
      <c r="J5081" t="s">
        <v>47128</v>
      </c>
      <c r="K5081" t="s">
        <v>47113</v>
      </c>
      <c r="L5081">
        <v>15.88</v>
      </c>
      <c r="M5081">
        <v>44</v>
      </c>
      <c r="N5081">
        <v>0</v>
      </c>
      <c r="O5081">
        <v>44</v>
      </c>
      <c r="P5081">
        <v>0</v>
      </c>
    </row>
    <row r="5082" spans="1:16" x14ac:dyDescent="0.25">
      <c r="A5082" t="s">
        <v>27465</v>
      </c>
      <c r="B5082" t="s">
        <v>27462</v>
      </c>
      <c r="C5082" t="s">
        <v>27457</v>
      </c>
      <c r="D5082" t="str">
        <f>"1700"</f>
        <v>1700</v>
      </c>
      <c r="E5082" t="s">
        <v>60</v>
      </c>
      <c r="F5082" t="s">
        <v>24019</v>
      </c>
      <c r="G5082" t="s">
        <v>16221</v>
      </c>
      <c r="H5082" t="s">
        <v>47055</v>
      </c>
      <c r="I5082" t="s">
        <v>47127</v>
      </c>
      <c r="J5082" t="s">
        <v>47128</v>
      </c>
      <c r="K5082" t="s">
        <v>47113</v>
      </c>
      <c r="L5082">
        <v>15.88</v>
      </c>
      <c r="M5082">
        <v>44</v>
      </c>
      <c r="N5082">
        <v>0</v>
      </c>
      <c r="O5082">
        <v>44</v>
      </c>
      <c r="P5082">
        <v>0</v>
      </c>
    </row>
    <row r="5083" spans="1:16" x14ac:dyDescent="0.25">
      <c r="A5083" t="s">
        <v>27466</v>
      </c>
      <c r="B5083" t="s">
        <v>27462</v>
      </c>
      <c r="C5083" t="s">
        <v>27457</v>
      </c>
      <c r="D5083" t="str">
        <f>"2000"</f>
        <v>2000</v>
      </c>
      <c r="E5083" t="s">
        <v>248</v>
      </c>
      <c r="F5083" t="s">
        <v>24019</v>
      </c>
      <c r="G5083" t="s">
        <v>16221</v>
      </c>
      <c r="H5083" t="s">
        <v>47055</v>
      </c>
      <c r="I5083" t="s">
        <v>47127</v>
      </c>
      <c r="J5083" t="s">
        <v>47128</v>
      </c>
      <c r="K5083" t="s">
        <v>47113</v>
      </c>
      <c r="L5083">
        <v>15.88</v>
      </c>
      <c r="M5083">
        <v>44</v>
      </c>
      <c r="N5083">
        <v>0</v>
      </c>
      <c r="O5083">
        <v>44</v>
      </c>
      <c r="P5083">
        <v>0</v>
      </c>
    </row>
    <row r="5084" spans="1:16" x14ac:dyDescent="0.25">
      <c r="A5084" t="s">
        <v>27467</v>
      </c>
      <c r="B5084" t="s">
        <v>27462</v>
      </c>
      <c r="C5084" t="s">
        <v>27457</v>
      </c>
      <c r="D5084" t="str">
        <f>"4143"</f>
        <v>4143</v>
      </c>
      <c r="E5084" t="s">
        <v>16626</v>
      </c>
      <c r="F5084" t="s">
        <v>24019</v>
      </c>
      <c r="G5084" t="s">
        <v>16221</v>
      </c>
      <c r="H5084" t="s">
        <v>47055</v>
      </c>
      <c r="I5084" t="s">
        <v>47127</v>
      </c>
      <c r="J5084" t="s">
        <v>47128</v>
      </c>
      <c r="K5084" t="s">
        <v>47113</v>
      </c>
      <c r="L5084">
        <v>15.88</v>
      </c>
      <c r="M5084">
        <v>44</v>
      </c>
      <c r="N5084">
        <v>0</v>
      </c>
      <c r="O5084">
        <v>44</v>
      </c>
      <c r="P5084">
        <v>0</v>
      </c>
    </row>
    <row r="5085" spans="1:16" x14ac:dyDescent="0.25">
      <c r="A5085" t="s">
        <v>27468</v>
      </c>
      <c r="B5085" t="s">
        <v>27462</v>
      </c>
      <c r="C5085" t="s">
        <v>27457</v>
      </c>
      <c r="D5085" t="str">
        <f>"4522"</f>
        <v>4522</v>
      </c>
      <c r="E5085" t="s">
        <v>11009</v>
      </c>
      <c r="F5085" t="s">
        <v>24019</v>
      </c>
      <c r="G5085" t="s">
        <v>16221</v>
      </c>
      <c r="H5085" t="s">
        <v>47055</v>
      </c>
      <c r="I5085" t="s">
        <v>47127</v>
      </c>
      <c r="J5085" t="s">
        <v>47128</v>
      </c>
      <c r="K5085" t="s">
        <v>47113</v>
      </c>
      <c r="L5085">
        <v>15.88</v>
      </c>
      <c r="M5085">
        <v>44</v>
      </c>
      <c r="N5085">
        <v>0</v>
      </c>
      <c r="O5085">
        <v>44</v>
      </c>
      <c r="P5085">
        <v>0</v>
      </c>
    </row>
    <row r="5086" spans="1:16" x14ac:dyDescent="0.25">
      <c r="A5086" t="s">
        <v>27469</v>
      </c>
      <c r="B5086" t="s">
        <v>27470</v>
      </c>
      <c r="C5086" t="s">
        <v>27471</v>
      </c>
      <c r="D5086" t="str">
        <f>"1106"</f>
        <v>1106</v>
      </c>
      <c r="E5086" t="s">
        <v>460</v>
      </c>
      <c r="F5086" t="s">
        <v>24019</v>
      </c>
      <c r="G5086" t="s">
        <v>16221</v>
      </c>
      <c r="H5086" t="s">
        <v>47055</v>
      </c>
      <c r="I5086" t="s">
        <v>47127</v>
      </c>
      <c r="J5086" t="s">
        <v>47128</v>
      </c>
      <c r="K5086" t="s">
        <v>47113</v>
      </c>
      <c r="L5086">
        <v>14.7</v>
      </c>
      <c r="M5086">
        <v>41</v>
      </c>
      <c r="N5086">
        <v>0</v>
      </c>
      <c r="O5086">
        <v>41</v>
      </c>
      <c r="P5086">
        <v>0</v>
      </c>
    </row>
    <row r="5087" spans="1:16" x14ac:dyDescent="0.25">
      <c r="A5087" t="s">
        <v>27472</v>
      </c>
      <c r="B5087" t="s">
        <v>27470</v>
      </c>
      <c r="C5087" t="s">
        <v>27471</v>
      </c>
      <c r="D5087" t="str">
        <f>"1377"</f>
        <v>1377</v>
      </c>
      <c r="E5087" t="s">
        <v>74</v>
      </c>
      <c r="F5087" t="s">
        <v>24019</v>
      </c>
      <c r="G5087" t="s">
        <v>16221</v>
      </c>
      <c r="H5087" t="s">
        <v>47055</v>
      </c>
      <c r="I5087" t="s">
        <v>47127</v>
      </c>
      <c r="J5087" t="s">
        <v>47128</v>
      </c>
      <c r="K5087" t="s">
        <v>47113</v>
      </c>
      <c r="L5087">
        <v>14.7</v>
      </c>
      <c r="M5087">
        <v>41</v>
      </c>
      <c r="N5087">
        <v>0</v>
      </c>
      <c r="O5087">
        <v>41</v>
      </c>
      <c r="P5087">
        <v>0</v>
      </c>
    </row>
    <row r="5088" spans="1:16" x14ac:dyDescent="0.25">
      <c r="A5088" t="s">
        <v>27473</v>
      </c>
      <c r="B5088" t="s">
        <v>27470</v>
      </c>
      <c r="C5088" t="s">
        <v>27471</v>
      </c>
      <c r="D5088" t="str">
        <f>"1378"</f>
        <v>1378</v>
      </c>
      <c r="E5088" t="s">
        <v>388</v>
      </c>
      <c r="F5088" t="s">
        <v>24019</v>
      </c>
      <c r="G5088" t="s">
        <v>16221</v>
      </c>
      <c r="H5088" t="s">
        <v>47055</v>
      </c>
      <c r="I5088" t="s">
        <v>47127</v>
      </c>
      <c r="J5088" t="s">
        <v>47128</v>
      </c>
      <c r="K5088" t="s">
        <v>47113</v>
      </c>
      <c r="L5088">
        <v>14.7</v>
      </c>
      <c r="M5088">
        <v>41</v>
      </c>
      <c r="N5088">
        <v>0</v>
      </c>
      <c r="O5088">
        <v>41</v>
      </c>
      <c r="P5088">
        <v>0</v>
      </c>
    </row>
    <row r="5089" spans="1:16" x14ac:dyDescent="0.25">
      <c r="A5089" t="s">
        <v>27474</v>
      </c>
      <c r="B5089" t="s">
        <v>27470</v>
      </c>
      <c r="C5089" t="s">
        <v>27471</v>
      </c>
      <c r="D5089" t="str">
        <f>"1700"</f>
        <v>1700</v>
      </c>
      <c r="E5089" t="s">
        <v>60</v>
      </c>
      <c r="F5089" t="s">
        <v>24019</v>
      </c>
      <c r="G5089" t="s">
        <v>16221</v>
      </c>
      <c r="H5089" t="s">
        <v>47055</v>
      </c>
      <c r="I5089" t="s">
        <v>47127</v>
      </c>
      <c r="J5089" t="s">
        <v>47128</v>
      </c>
      <c r="K5089" t="s">
        <v>47113</v>
      </c>
      <c r="L5089">
        <v>14.7</v>
      </c>
      <c r="M5089">
        <v>41</v>
      </c>
      <c r="N5089">
        <v>0</v>
      </c>
      <c r="O5089">
        <v>41</v>
      </c>
      <c r="P5089">
        <v>0</v>
      </c>
    </row>
    <row r="5090" spans="1:16" x14ac:dyDescent="0.25">
      <c r="A5090" t="s">
        <v>27475</v>
      </c>
      <c r="B5090" t="s">
        <v>27470</v>
      </c>
      <c r="C5090" t="s">
        <v>27471</v>
      </c>
      <c r="D5090" t="str">
        <f>"2000"</f>
        <v>2000</v>
      </c>
      <c r="E5090" t="s">
        <v>248</v>
      </c>
      <c r="F5090" t="s">
        <v>24019</v>
      </c>
      <c r="G5090" t="s">
        <v>16221</v>
      </c>
      <c r="H5090" t="s">
        <v>47055</v>
      </c>
      <c r="I5090" t="s">
        <v>47127</v>
      </c>
      <c r="J5090" t="s">
        <v>47128</v>
      </c>
      <c r="K5090" t="s">
        <v>47113</v>
      </c>
      <c r="L5090">
        <v>14.7</v>
      </c>
      <c r="M5090">
        <v>41</v>
      </c>
      <c r="N5090">
        <v>0</v>
      </c>
      <c r="O5090">
        <v>41</v>
      </c>
      <c r="P5090">
        <v>0</v>
      </c>
    </row>
    <row r="5091" spans="1:16" x14ac:dyDescent="0.25">
      <c r="A5091" t="s">
        <v>27476</v>
      </c>
      <c r="B5091" t="s">
        <v>27470</v>
      </c>
      <c r="C5091" t="s">
        <v>27471</v>
      </c>
      <c r="D5091" t="str">
        <f>"4143"</f>
        <v>4143</v>
      </c>
      <c r="E5091" t="s">
        <v>16626</v>
      </c>
      <c r="F5091" t="s">
        <v>24019</v>
      </c>
      <c r="G5091" t="s">
        <v>16221</v>
      </c>
      <c r="H5091" t="s">
        <v>47055</v>
      </c>
      <c r="I5091" t="s">
        <v>47127</v>
      </c>
      <c r="J5091" t="s">
        <v>47128</v>
      </c>
      <c r="K5091" t="s">
        <v>47113</v>
      </c>
      <c r="L5091">
        <v>14.7</v>
      </c>
      <c r="M5091">
        <v>41</v>
      </c>
      <c r="N5091">
        <v>0</v>
      </c>
      <c r="O5091">
        <v>41</v>
      </c>
      <c r="P5091">
        <v>0</v>
      </c>
    </row>
    <row r="5092" spans="1:16" x14ac:dyDescent="0.25">
      <c r="A5092" t="s">
        <v>27477</v>
      </c>
      <c r="B5092" t="s">
        <v>27470</v>
      </c>
      <c r="C5092" t="s">
        <v>27471</v>
      </c>
      <c r="D5092" t="str">
        <f>"4522"</f>
        <v>4522</v>
      </c>
      <c r="E5092" t="s">
        <v>11009</v>
      </c>
      <c r="F5092" t="s">
        <v>24019</v>
      </c>
      <c r="G5092" t="s">
        <v>16221</v>
      </c>
      <c r="H5092" t="s">
        <v>47055</v>
      </c>
      <c r="I5092" t="s">
        <v>47127</v>
      </c>
      <c r="J5092" t="s">
        <v>47128</v>
      </c>
      <c r="K5092" t="s">
        <v>47113</v>
      </c>
      <c r="L5092">
        <v>14.7</v>
      </c>
      <c r="M5092">
        <v>41</v>
      </c>
      <c r="N5092">
        <v>0</v>
      </c>
      <c r="O5092">
        <v>41</v>
      </c>
      <c r="P5092">
        <v>0</v>
      </c>
    </row>
    <row r="5093" spans="1:16" x14ac:dyDescent="0.25">
      <c r="A5093" t="s">
        <v>27478</v>
      </c>
      <c r="B5093" t="s">
        <v>27479</v>
      </c>
      <c r="C5093" t="s">
        <v>27480</v>
      </c>
      <c r="D5093" t="str">
        <f>"1106"</f>
        <v>1106</v>
      </c>
      <c r="E5093" t="s">
        <v>460</v>
      </c>
      <c r="F5093" t="s">
        <v>24019</v>
      </c>
      <c r="G5093" t="s">
        <v>16221</v>
      </c>
      <c r="H5093" t="s">
        <v>47055</v>
      </c>
      <c r="I5093" t="s">
        <v>47127</v>
      </c>
      <c r="J5093" t="s">
        <v>47128</v>
      </c>
      <c r="K5093" t="s">
        <v>47113</v>
      </c>
      <c r="L5093">
        <v>11.7</v>
      </c>
      <c r="M5093">
        <v>37</v>
      </c>
      <c r="N5093">
        <v>0</v>
      </c>
      <c r="O5093">
        <v>37</v>
      </c>
      <c r="P5093">
        <v>0</v>
      </c>
    </row>
    <row r="5094" spans="1:16" x14ac:dyDescent="0.25">
      <c r="A5094" t="s">
        <v>27481</v>
      </c>
      <c r="B5094" t="s">
        <v>27479</v>
      </c>
      <c r="C5094" t="s">
        <v>27480</v>
      </c>
      <c r="D5094" t="str">
        <f>"1377"</f>
        <v>1377</v>
      </c>
      <c r="E5094" t="s">
        <v>74</v>
      </c>
      <c r="F5094" t="s">
        <v>24019</v>
      </c>
      <c r="G5094" t="s">
        <v>16221</v>
      </c>
      <c r="H5094" t="s">
        <v>47055</v>
      </c>
      <c r="I5094" t="s">
        <v>47127</v>
      </c>
      <c r="J5094" t="s">
        <v>47128</v>
      </c>
      <c r="K5094" t="s">
        <v>47113</v>
      </c>
      <c r="L5094">
        <v>11.7</v>
      </c>
      <c r="M5094">
        <v>37</v>
      </c>
      <c r="N5094">
        <v>0</v>
      </c>
      <c r="O5094">
        <v>37</v>
      </c>
      <c r="P5094">
        <v>0</v>
      </c>
    </row>
    <row r="5095" spans="1:16" x14ac:dyDescent="0.25">
      <c r="A5095" t="s">
        <v>27482</v>
      </c>
      <c r="B5095" t="s">
        <v>27479</v>
      </c>
      <c r="C5095" t="s">
        <v>27480</v>
      </c>
      <c r="D5095" t="str">
        <f>"4143"</f>
        <v>4143</v>
      </c>
      <c r="E5095" t="s">
        <v>16626</v>
      </c>
      <c r="F5095" t="s">
        <v>24019</v>
      </c>
      <c r="G5095" t="s">
        <v>16221</v>
      </c>
      <c r="H5095" t="s">
        <v>47055</v>
      </c>
      <c r="I5095" t="s">
        <v>47127</v>
      </c>
      <c r="J5095" t="s">
        <v>47128</v>
      </c>
      <c r="K5095" t="s">
        <v>47113</v>
      </c>
      <c r="L5095">
        <v>11.7</v>
      </c>
      <c r="M5095">
        <v>37</v>
      </c>
      <c r="N5095">
        <v>0</v>
      </c>
      <c r="O5095">
        <v>37</v>
      </c>
      <c r="P5095">
        <v>0</v>
      </c>
    </row>
    <row r="5096" spans="1:16" x14ac:dyDescent="0.25">
      <c r="A5096" t="s">
        <v>27483</v>
      </c>
      <c r="B5096" t="s">
        <v>27479</v>
      </c>
      <c r="C5096" t="s">
        <v>27480</v>
      </c>
      <c r="D5096" t="str">
        <f>"4522"</f>
        <v>4522</v>
      </c>
      <c r="E5096" t="s">
        <v>11009</v>
      </c>
      <c r="F5096" t="s">
        <v>24019</v>
      </c>
      <c r="G5096" t="s">
        <v>16221</v>
      </c>
      <c r="H5096" t="s">
        <v>47055</v>
      </c>
      <c r="I5096" t="s">
        <v>47127</v>
      </c>
      <c r="J5096" t="s">
        <v>47128</v>
      </c>
      <c r="K5096" t="s">
        <v>47113</v>
      </c>
      <c r="L5096">
        <v>11.7</v>
      </c>
      <c r="M5096">
        <v>37</v>
      </c>
      <c r="N5096">
        <v>0</v>
      </c>
      <c r="O5096">
        <v>37</v>
      </c>
      <c r="P5096">
        <v>0</v>
      </c>
    </row>
    <row r="5097" spans="1:16" x14ac:dyDescent="0.25">
      <c r="A5097" t="s">
        <v>27484</v>
      </c>
      <c r="B5097" t="s">
        <v>27479</v>
      </c>
      <c r="C5097" t="s">
        <v>27480</v>
      </c>
      <c r="D5097" t="str">
        <f>"6000"</f>
        <v>6000</v>
      </c>
      <c r="E5097" t="s">
        <v>238</v>
      </c>
      <c r="F5097" t="s">
        <v>24019</v>
      </c>
      <c r="G5097" t="s">
        <v>16221</v>
      </c>
      <c r="H5097" t="s">
        <v>47055</v>
      </c>
      <c r="I5097" t="s">
        <v>47127</v>
      </c>
      <c r="J5097" t="s">
        <v>47128</v>
      </c>
      <c r="K5097" t="s">
        <v>47113</v>
      </c>
      <c r="L5097">
        <v>11.7</v>
      </c>
      <c r="M5097">
        <v>37</v>
      </c>
      <c r="N5097">
        <v>0</v>
      </c>
      <c r="O5097">
        <v>37</v>
      </c>
      <c r="P5097">
        <v>0</v>
      </c>
    </row>
    <row r="5098" spans="1:16" x14ac:dyDescent="0.25">
      <c r="A5098" t="s">
        <v>27485</v>
      </c>
      <c r="B5098" t="s">
        <v>27486</v>
      </c>
      <c r="C5098" t="s">
        <v>27480</v>
      </c>
      <c r="D5098" t="str">
        <f>"1106"</f>
        <v>1106</v>
      </c>
      <c r="E5098" t="s">
        <v>460</v>
      </c>
      <c r="F5098" t="s">
        <v>24019</v>
      </c>
      <c r="G5098" t="s">
        <v>16221</v>
      </c>
      <c r="H5098" t="s">
        <v>47055</v>
      </c>
      <c r="I5098" t="s">
        <v>47127</v>
      </c>
      <c r="J5098" t="s">
        <v>47128</v>
      </c>
      <c r="K5098" t="s">
        <v>47113</v>
      </c>
      <c r="L5098">
        <v>14.91</v>
      </c>
      <c r="M5098">
        <v>48</v>
      </c>
      <c r="N5098">
        <v>0</v>
      </c>
      <c r="O5098">
        <v>48</v>
      </c>
      <c r="P5098">
        <v>0</v>
      </c>
    </row>
    <row r="5099" spans="1:16" x14ac:dyDescent="0.25">
      <c r="A5099" t="s">
        <v>27487</v>
      </c>
      <c r="B5099" t="s">
        <v>27486</v>
      </c>
      <c r="C5099" t="s">
        <v>27480</v>
      </c>
      <c r="D5099" t="str">
        <f>"1377"</f>
        <v>1377</v>
      </c>
      <c r="E5099" t="s">
        <v>74</v>
      </c>
      <c r="F5099" t="s">
        <v>24019</v>
      </c>
      <c r="G5099" t="s">
        <v>16221</v>
      </c>
      <c r="H5099" t="s">
        <v>47055</v>
      </c>
      <c r="I5099" t="s">
        <v>47127</v>
      </c>
      <c r="J5099" t="s">
        <v>47128</v>
      </c>
      <c r="K5099" t="s">
        <v>47113</v>
      </c>
      <c r="L5099">
        <v>14.91</v>
      </c>
      <c r="M5099">
        <v>48</v>
      </c>
      <c r="N5099">
        <v>0</v>
      </c>
      <c r="O5099">
        <v>48</v>
      </c>
      <c r="P5099">
        <v>0</v>
      </c>
    </row>
    <row r="5100" spans="1:16" x14ac:dyDescent="0.25">
      <c r="A5100" t="s">
        <v>27488</v>
      </c>
      <c r="B5100" t="s">
        <v>27486</v>
      </c>
      <c r="C5100" t="s">
        <v>27480</v>
      </c>
      <c r="D5100" t="str">
        <f>"4143"</f>
        <v>4143</v>
      </c>
      <c r="E5100" t="s">
        <v>16626</v>
      </c>
      <c r="F5100" t="s">
        <v>24019</v>
      </c>
      <c r="G5100" t="s">
        <v>16221</v>
      </c>
      <c r="H5100" t="s">
        <v>47055</v>
      </c>
      <c r="I5100" t="s">
        <v>47127</v>
      </c>
      <c r="J5100" t="s">
        <v>47128</v>
      </c>
      <c r="K5100" t="s">
        <v>47113</v>
      </c>
      <c r="L5100">
        <v>14.91</v>
      </c>
      <c r="M5100">
        <v>48</v>
      </c>
      <c r="N5100">
        <v>0</v>
      </c>
      <c r="O5100">
        <v>48</v>
      </c>
      <c r="P5100">
        <v>0</v>
      </c>
    </row>
    <row r="5101" spans="1:16" x14ac:dyDescent="0.25">
      <c r="A5101" t="s">
        <v>27489</v>
      </c>
      <c r="B5101" t="s">
        <v>27486</v>
      </c>
      <c r="C5101" t="s">
        <v>27480</v>
      </c>
      <c r="D5101" t="str">
        <f>"4522"</f>
        <v>4522</v>
      </c>
      <c r="E5101" t="s">
        <v>11009</v>
      </c>
      <c r="F5101" t="s">
        <v>24019</v>
      </c>
      <c r="G5101" t="s">
        <v>16221</v>
      </c>
      <c r="H5101" t="s">
        <v>47055</v>
      </c>
      <c r="I5101" t="s">
        <v>47127</v>
      </c>
      <c r="J5101" t="s">
        <v>47128</v>
      </c>
      <c r="K5101" t="s">
        <v>47113</v>
      </c>
      <c r="L5101">
        <v>14.91</v>
      </c>
      <c r="M5101">
        <v>48</v>
      </c>
      <c r="N5101">
        <v>0</v>
      </c>
      <c r="O5101">
        <v>48</v>
      </c>
      <c r="P5101">
        <v>0</v>
      </c>
    </row>
    <row r="5102" spans="1:16" x14ac:dyDescent="0.25">
      <c r="A5102" t="s">
        <v>27490</v>
      </c>
      <c r="B5102" t="s">
        <v>27486</v>
      </c>
      <c r="C5102" t="s">
        <v>27480</v>
      </c>
      <c r="D5102" t="str">
        <f>"6000"</f>
        <v>6000</v>
      </c>
      <c r="E5102" t="s">
        <v>238</v>
      </c>
      <c r="F5102" t="s">
        <v>24019</v>
      </c>
      <c r="G5102" t="s">
        <v>16221</v>
      </c>
      <c r="H5102" t="s">
        <v>47055</v>
      </c>
      <c r="I5102" t="s">
        <v>47127</v>
      </c>
      <c r="J5102" t="s">
        <v>47128</v>
      </c>
      <c r="K5102" t="s">
        <v>47113</v>
      </c>
      <c r="L5102">
        <v>14.91</v>
      </c>
      <c r="M5102">
        <v>48</v>
      </c>
      <c r="N5102">
        <v>0</v>
      </c>
      <c r="O5102">
        <v>48</v>
      </c>
      <c r="P5102">
        <v>0</v>
      </c>
    </row>
    <row r="5103" spans="1:16" x14ac:dyDescent="0.25">
      <c r="A5103" t="s">
        <v>27491</v>
      </c>
      <c r="B5103" t="s">
        <v>27492</v>
      </c>
      <c r="C5103" t="s">
        <v>27493</v>
      </c>
      <c r="D5103" t="str">
        <f>"1106"</f>
        <v>1106</v>
      </c>
      <c r="E5103" t="s">
        <v>460</v>
      </c>
      <c r="F5103" t="s">
        <v>24019</v>
      </c>
      <c r="G5103" t="s">
        <v>16221</v>
      </c>
      <c r="H5103" t="s">
        <v>47055</v>
      </c>
      <c r="I5103" t="s">
        <v>47127</v>
      </c>
      <c r="J5103" t="s">
        <v>47128</v>
      </c>
      <c r="K5103" t="s">
        <v>47113</v>
      </c>
      <c r="L5103">
        <v>11.7</v>
      </c>
      <c r="M5103">
        <v>33</v>
      </c>
      <c r="N5103">
        <v>0</v>
      </c>
      <c r="O5103">
        <v>33</v>
      </c>
      <c r="P5103">
        <v>0</v>
      </c>
    </row>
    <row r="5104" spans="1:16" x14ac:dyDescent="0.25">
      <c r="A5104" t="s">
        <v>27494</v>
      </c>
      <c r="B5104" t="s">
        <v>27492</v>
      </c>
      <c r="C5104" t="s">
        <v>27493</v>
      </c>
      <c r="D5104" t="str">
        <f>"1278"</f>
        <v>1278</v>
      </c>
      <c r="E5104" t="s">
        <v>100</v>
      </c>
      <c r="F5104" t="s">
        <v>24019</v>
      </c>
      <c r="G5104" t="s">
        <v>16221</v>
      </c>
      <c r="H5104" t="s">
        <v>47055</v>
      </c>
      <c r="I5104" t="s">
        <v>47127</v>
      </c>
      <c r="J5104" t="s">
        <v>47128</v>
      </c>
      <c r="K5104" t="s">
        <v>47113</v>
      </c>
      <c r="L5104">
        <v>11.7</v>
      </c>
      <c r="M5104">
        <v>33</v>
      </c>
      <c r="N5104">
        <v>0</v>
      </c>
      <c r="O5104">
        <v>33</v>
      </c>
      <c r="P5104">
        <v>0</v>
      </c>
    </row>
    <row r="5105" spans="1:16" x14ac:dyDescent="0.25">
      <c r="A5105" t="s">
        <v>27495</v>
      </c>
      <c r="B5105" t="s">
        <v>27492</v>
      </c>
      <c r="C5105" t="s">
        <v>27493</v>
      </c>
      <c r="D5105" t="str">
        <f>"1700"</f>
        <v>1700</v>
      </c>
      <c r="E5105" t="s">
        <v>60</v>
      </c>
      <c r="F5105" t="s">
        <v>24019</v>
      </c>
      <c r="G5105" t="s">
        <v>16221</v>
      </c>
      <c r="H5105" t="s">
        <v>47055</v>
      </c>
      <c r="I5105" t="s">
        <v>47127</v>
      </c>
      <c r="J5105" t="s">
        <v>47128</v>
      </c>
      <c r="K5105" t="s">
        <v>47113</v>
      </c>
      <c r="L5105">
        <v>11.7</v>
      </c>
      <c r="M5105">
        <v>33</v>
      </c>
      <c r="N5105">
        <v>0</v>
      </c>
      <c r="O5105">
        <v>33</v>
      </c>
      <c r="P5105">
        <v>0</v>
      </c>
    </row>
    <row r="5106" spans="1:16" x14ac:dyDescent="0.25">
      <c r="A5106" t="s">
        <v>27496</v>
      </c>
      <c r="B5106" t="s">
        <v>27492</v>
      </c>
      <c r="C5106" t="s">
        <v>27493</v>
      </c>
      <c r="D5106" t="str">
        <f>"3106"</f>
        <v>3106</v>
      </c>
      <c r="E5106" t="s">
        <v>230</v>
      </c>
      <c r="F5106" t="s">
        <v>24019</v>
      </c>
      <c r="G5106" t="s">
        <v>16221</v>
      </c>
      <c r="H5106" t="s">
        <v>47055</v>
      </c>
      <c r="I5106" t="s">
        <v>47127</v>
      </c>
      <c r="J5106" t="s">
        <v>47128</v>
      </c>
      <c r="K5106" t="s">
        <v>47113</v>
      </c>
      <c r="L5106">
        <v>11.7</v>
      </c>
      <c r="M5106">
        <v>33</v>
      </c>
      <c r="N5106">
        <v>0</v>
      </c>
      <c r="O5106">
        <v>33</v>
      </c>
      <c r="P5106">
        <v>0</v>
      </c>
    </row>
    <row r="5107" spans="1:16" x14ac:dyDescent="0.25">
      <c r="A5107" t="s">
        <v>27497</v>
      </c>
      <c r="B5107" t="s">
        <v>27492</v>
      </c>
      <c r="C5107" t="s">
        <v>27493</v>
      </c>
      <c r="D5107" t="str">
        <f>"4143"</f>
        <v>4143</v>
      </c>
      <c r="E5107" t="s">
        <v>16626</v>
      </c>
      <c r="F5107" t="s">
        <v>24019</v>
      </c>
      <c r="G5107" t="s">
        <v>16221</v>
      </c>
      <c r="H5107" t="s">
        <v>47055</v>
      </c>
      <c r="I5107" t="s">
        <v>47127</v>
      </c>
      <c r="J5107" t="s">
        <v>47128</v>
      </c>
      <c r="K5107" t="s">
        <v>47113</v>
      </c>
      <c r="L5107">
        <v>11.7</v>
      </c>
      <c r="M5107">
        <v>33</v>
      </c>
      <c r="N5107">
        <v>0</v>
      </c>
      <c r="O5107">
        <v>33</v>
      </c>
      <c r="P5107">
        <v>0</v>
      </c>
    </row>
    <row r="5108" spans="1:16" x14ac:dyDescent="0.25">
      <c r="A5108" t="s">
        <v>27498</v>
      </c>
      <c r="B5108" t="s">
        <v>27492</v>
      </c>
      <c r="C5108" t="s">
        <v>27493</v>
      </c>
      <c r="D5108" t="str">
        <f>"6000"</f>
        <v>6000</v>
      </c>
      <c r="E5108" t="s">
        <v>238</v>
      </c>
      <c r="F5108" t="s">
        <v>24019</v>
      </c>
      <c r="G5108" t="s">
        <v>16221</v>
      </c>
      <c r="H5108" t="s">
        <v>47055</v>
      </c>
      <c r="I5108" t="s">
        <v>47127</v>
      </c>
      <c r="J5108" t="s">
        <v>47128</v>
      </c>
      <c r="K5108" t="s">
        <v>47113</v>
      </c>
      <c r="L5108">
        <v>11.7</v>
      </c>
      <c r="M5108">
        <v>33</v>
      </c>
      <c r="N5108">
        <v>0</v>
      </c>
      <c r="O5108">
        <v>33</v>
      </c>
      <c r="P5108">
        <v>0</v>
      </c>
    </row>
    <row r="5109" spans="1:16" x14ac:dyDescent="0.25">
      <c r="A5109" t="s">
        <v>22681</v>
      </c>
      <c r="B5109" t="s">
        <v>22682</v>
      </c>
      <c r="C5109" t="s">
        <v>3965</v>
      </c>
      <c r="D5109" t="str">
        <f>"1162"</f>
        <v>1162</v>
      </c>
      <c r="E5109" t="s">
        <v>16514</v>
      </c>
      <c r="F5109" t="s">
        <v>24019</v>
      </c>
      <c r="G5109" t="s">
        <v>16224</v>
      </c>
      <c r="H5109" t="s">
        <v>47055</v>
      </c>
      <c r="I5109" t="s">
        <v>47120</v>
      </c>
      <c r="J5109" t="s">
        <v>47121</v>
      </c>
      <c r="K5109" t="s">
        <v>47113</v>
      </c>
      <c r="L5109">
        <v>148.4</v>
      </c>
      <c r="M5109">
        <v>451</v>
      </c>
      <c r="N5109">
        <v>0</v>
      </c>
      <c r="O5109">
        <v>451</v>
      </c>
      <c r="P5109">
        <v>0</v>
      </c>
    </row>
    <row r="5110" spans="1:16" x14ac:dyDescent="0.25">
      <c r="A5110" t="s">
        <v>27499</v>
      </c>
      <c r="B5110" t="s">
        <v>27500</v>
      </c>
      <c r="C5110" t="s">
        <v>3965</v>
      </c>
      <c r="D5110" t="str">
        <f>"2139"</f>
        <v>2139</v>
      </c>
      <c r="E5110" t="s">
        <v>27501</v>
      </c>
      <c r="F5110" t="s">
        <v>24019</v>
      </c>
      <c r="G5110" t="s">
        <v>16224</v>
      </c>
      <c r="H5110" t="s">
        <v>47055</v>
      </c>
      <c r="I5110" t="s">
        <v>47120</v>
      </c>
      <c r="J5110" t="s">
        <v>47121</v>
      </c>
      <c r="K5110" t="s">
        <v>47113</v>
      </c>
      <c r="L5110">
        <v>126.24</v>
      </c>
      <c r="M5110">
        <v>407</v>
      </c>
      <c r="N5110">
        <v>0</v>
      </c>
      <c r="O5110">
        <v>407</v>
      </c>
      <c r="P5110">
        <v>0</v>
      </c>
    </row>
    <row r="5111" spans="1:16" x14ac:dyDescent="0.25">
      <c r="A5111" t="s">
        <v>27502</v>
      </c>
      <c r="B5111" t="s">
        <v>16621</v>
      </c>
      <c r="C5111" t="s">
        <v>16622</v>
      </c>
      <c r="D5111" t="str">
        <f>"1001"</f>
        <v>1001</v>
      </c>
      <c r="E5111" t="s">
        <v>42</v>
      </c>
      <c r="F5111" t="s">
        <v>16623</v>
      </c>
      <c r="G5111" t="s">
        <v>16224</v>
      </c>
      <c r="H5111" t="s">
        <v>47055</v>
      </c>
      <c r="I5111" t="s">
        <v>47120</v>
      </c>
      <c r="J5111" t="s">
        <v>47121</v>
      </c>
      <c r="K5111" t="s">
        <v>47113</v>
      </c>
      <c r="L5111">
        <v>178.81</v>
      </c>
      <c r="M5111">
        <v>296</v>
      </c>
      <c r="N5111">
        <v>0</v>
      </c>
      <c r="O5111">
        <v>296</v>
      </c>
      <c r="P5111">
        <v>0</v>
      </c>
    </row>
    <row r="5112" spans="1:16" x14ac:dyDescent="0.25">
      <c r="A5112" t="s">
        <v>27503</v>
      </c>
      <c r="B5112" t="s">
        <v>16621</v>
      </c>
      <c r="C5112" t="s">
        <v>16622</v>
      </c>
      <c r="D5112" t="str">
        <f>"2043"</f>
        <v>2043</v>
      </c>
      <c r="E5112" t="s">
        <v>1816</v>
      </c>
      <c r="F5112" t="s">
        <v>16623</v>
      </c>
      <c r="G5112" t="s">
        <v>16224</v>
      </c>
      <c r="H5112" t="s">
        <v>47055</v>
      </c>
      <c r="I5112" t="s">
        <v>47120</v>
      </c>
      <c r="J5112" t="s">
        <v>47121</v>
      </c>
      <c r="K5112" t="s">
        <v>47113</v>
      </c>
      <c r="L5112">
        <v>178.81</v>
      </c>
      <c r="M5112">
        <v>296</v>
      </c>
      <c r="N5112">
        <v>0</v>
      </c>
      <c r="O5112">
        <v>296</v>
      </c>
      <c r="P5112">
        <v>0</v>
      </c>
    </row>
    <row r="5113" spans="1:16" x14ac:dyDescent="0.25">
      <c r="A5113" t="s">
        <v>27504</v>
      </c>
      <c r="B5113" t="s">
        <v>19673</v>
      </c>
      <c r="C5113" t="s">
        <v>19674</v>
      </c>
      <c r="D5113" t="str">
        <f>"4001"</f>
        <v>4001</v>
      </c>
      <c r="E5113" t="s">
        <v>19675</v>
      </c>
      <c r="F5113" t="s">
        <v>16623</v>
      </c>
      <c r="G5113" t="s">
        <v>16231</v>
      </c>
      <c r="H5113" t="s">
        <v>47055</v>
      </c>
      <c r="I5113" t="s">
        <v>47127</v>
      </c>
      <c r="J5113" t="s">
        <v>47128</v>
      </c>
      <c r="K5113" t="s">
        <v>47113</v>
      </c>
      <c r="L5113">
        <v>38.11</v>
      </c>
      <c r="M5113">
        <v>81</v>
      </c>
      <c r="N5113">
        <v>0</v>
      </c>
      <c r="O5113">
        <v>81</v>
      </c>
      <c r="P5113">
        <v>0</v>
      </c>
    </row>
    <row r="5114" spans="1:16" x14ac:dyDescent="0.25">
      <c r="A5114" t="s">
        <v>27505</v>
      </c>
      <c r="B5114" t="s">
        <v>19676</v>
      </c>
      <c r="C5114" t="s">
        <v>16848</v>
      </c>
      <c r="D5114" t="s">
        <v>19677</v>
      </c>
      <c r="E5114" t="s">
        <v>19678</v>
      </c>
      <c r="F5114" t="s">
        <v>17351</v>
      </c>
      <c r="G5114" t="s">
        <v>16231</v>
      </c>
      <c r="H5114" t="s">
        <v>47055</v>
      </c>
      <c r="I5114" t="s">
        <v>47127</v>
      </c>
      <c r="J5114" t="s">
        <v>47128</v>
      </c>
      <c r="K5114" t="s">
        <v>47113</v>
      </c>
      <c r="L5114">
        <v>32.700000000000003</v>
      </c>
      <c r="M5114">
        <v>74</v>
      </c>
      <c r="N5114">
        <v>0</v>
      </c>
      <c r="O5114">
        <v>74</v>
      </c>
      <c r="P5114">
        <v>0</v>
      </c>
    </row>
    <row r="5115" spans="1:16" x14ac:dyDescent="0.25">
      <c r="A5115" t="s">
        <v>27506</v>
      </c>
      <c r="B5115" t="s">
        <v>19679</v>
      </c>
      <c r="C5115" t="s">
        <v>19680</v>
      </c>
      <c r="D5115" t="str">
        <f>"1001"</f>
        <v>1001</v>
      </c>
      <c r="E5115" t="s">
        <v>42</v>
      </c>
      <c r="F5115" t="s">
        <v>16623</v>
      </c>
      <c r="G5115" t="s">
        <v>16231</v>
      </c>
      <c r="H5115" t="s">
        <v>47055</v>
      </c>
      <c r="I5115" t="s">
        <v>47127</v>
      </c>
      <c r="J5115" t="s">
        <v>47128</v>
      </c>
      <c r="K5115" t="s">
        <v>47113</v>
      </c>
      <c r="L5115">
        <v>37.659999999999997</v>
      </c>
      <c r="M5115">
        <v>81</v>
      </c>
      <c r="N5115">
        <v>0</v>
      </c>
      <c r="O5115">
        <v>81</v>
      </c>
      <c r="P5115">
        <v>0</v>
      </c>
    </row>
    <row r="5116" spans="1:16" x14ac:dyDescent="0.25">
      <c r="A5116" t="s">
        <v>27507</v>
      </c>
      <c r="B5116" t="s">
        <v>19681</v>
      </c>
      <c r="C5116" t="s">
        <v>19682</v>
      </c>
      <c r="D5116" t="str">
        <f>"1008"</f>
        <v>1008</v>
      </c>
      <c r="E5116" t="s">
        <v>19683</v>
      </c>
      <c r="F5116" t="s">
        <v>16623</v>
      </c>
      <c r="G5116" t="s">
        <v>16231</v>
      </c>
      <c r="H5116" t="s">
        <v>47055</v>
      </c>
      <c r="I5116" t="s">
        <v>47127</v>
      </c>
      <c r="J5116" t="s">
        <v>47128</v>
      </c>
      <c r="K5116" t="s">
        <v>47113</v>
      </c>
      <c r="L5116">
        <v>42.25</v>
      </c>
      <c r="M5116">
        <v>89</v>
      </c>
      <c r="N5116">
        <v>0</v>
      </c>
      <c r="O5116">
        <v>89</v>
      </c>
      <c r="P5116">
        <v>0</v>
      </c>
    </row>
    <row r="5117" spans="1:16" x14ac:dyDescent="0.25">
      <c r="A5117" t="s">
        <v>27508</v>
      </c>
      <c r="B5117" t="s">
        <v>19684</v>
      </c>
      <c r="C5117" t="s">
        <v>19685</v>
      </c>
      <c r="D5117" t="str">
        <f>"1200"</f>
        <v>1200</v>
      </c>
      <c r="E5117" t="s">
        <v>241</v>
      </c>
      <c r="F5117" t="s">
        <v>16623</v>
      </c>
      <c r="G5117" t="s">
        <v>16231</v>
      </c>
      <c r="H5117" t="s">
        <v>47055</v>
      </c>
      <c r="I5117" t="s">
        <v>47127</v>
      </c>
      <c r="J5117" t="s">
        <v>47128</v>
      </c>
      <c r="K5117" t="s">
        <v>47113</v>
      </c>
      <c r="L5117">
        <v>29.4</v>
      </c>
      <c r="M5117">
        <v>70</v>
      </c>
      <c r="N5117">
        <v>0</v>
      </c>
      <c r="O5117">
        <v>70</v>
      </c>
      <c r="P5117">
        <v>0</v>
      </c>
    </row>
    <row r="5118" spans="1:16" x14ac:dyDescent="0.25">
      <c r="A5118" t="s">
        <v>27509</v>
      </c>
      <c r="B5118" t="s">
        <v>19686</v>
      </c>
      <c r="C5118" t="s">
        <v>19687</v>
      </c>
      <c r="D5118" t="str">
        <f>"1208"</f>
        <v>1208</v>
      </c>
      <c r="E5118" t="s">
        <v>19688</v>
      </c>
      <c r="F5118" t="s">
        <v>16623</v>
      </c>
      <c r="G5118" t="s">
        <v>16231</v>
      </c>
      <c r="H5118" t="s">
        <v>47055</v>
      </c>
      <c r="I5118" t="s">
        <v>47127</v>
      </c>
      <c r="J5118" t="s">
        <v>47128</v>
      </c>
      <c r="K5118" t="s">
        <v>47113</v>
      </c>
      <c r="L5118">
        <v>44.72</v>
      </c>
      <c r="M5118">
        <v>74</v>
      </c>
      <c r="N5118">
        <v>0</v>
      </c>
      <c r="O5118">
        <v>74</v>
      </c>
      <c r="P5118">
        <v>0</v>
      </c>
    </row>
    <row r="5119" spans="1:16" x14ac:dyDescent="0.25">
      <c r="A5119" t="s">
        <v>27510</v>
      </c>
      <c r="B5119" t="s">
        <v>19689</v>
      </c>
      <c r="C5119" t="s">
        <v>16848</v>
      </c>
      <c r="D5119" t="s">
        <v>19690</v>
      </c>
      <c r="E5119" t="s">
        <v>19691</v>
      </c>
      <c r="F5119" t="s">
        <v>17351</v>
      </c>
      <c r="G5119" t="s">
        <v>16231</v>
      </c>
      <c r="H5119" t="s">
        <v>47055</v>
      </c>
      <c r="I5119" t="s">
        <v>47127</v>
      </c>
      <c r="J5119" t="s">
        <v>47128</v>
      </c>
      <c r="K5119" t="s">
        <v>47113</v>
      </c>
      <c r="L5119">
        <v>30.83</v>
      </c>
      <c r="M5119">
        <v>70</v>
      </c>
      <c r="N5119">
        <v>0</v>
      </c>
      <c r="O5119">
        <v>70</v>
      </c>
      <c r="P5119">
        <v>0</v>
      </c>
    </row>
    <row r="5120" spans="1:16" x14ac:dyDescent="0.25">
      <c r="A5120" t="s">
        <v>27511</v>
      </c>
      <c r="B5120" t="s">
        <v>19692</v>
      </c>
      <c r="C5120" t="s">
        <v>19693</v>
      </c>
      <c r="D5120" t="str">
        <f>"4819"</f>
        <v>4819</v>
      </c>
      <c r="E5120" t="s">
        <v>221</v>
      </c>
      <c r="F5120" t="s">
        <v>16623</v>
      </c>
      <c r="G5120" t="s">
        <v>16231</v>
      </c>
      <c r="H5120" t="s">
        <v>47055</v>
      </c>
      <c r="I5120" t="s">
        <v>47127</v>
      </c>
      <c r="J5120" t="s">
        <v>47128</v>
      </c>
      <c r="K5120" t="s">
        <v>47113</v>
      </c>
      <c r="L5120">
        <v>31.38</v>
      </c>
      <c r="M5120">
        <v>70</v>
      </c>
      <c r="N5120">
        <v>0</v>
      </c>
      <c r="O5120">
        <v>70</v>
      </c>
      <c r="P5120">
        <v>0</v>
      </c>
    </row>
    <row r="5121" spans="1:16" x14ac:dyDescent="0.25">
      <c r="A5121" t="s">
        <v>27512</v>
      </c>
      <c r="B5121" t="s">
        <v>19694</v>
      </c>
      <c r="C5121" t="s">
        <v>19695</v>
      </c>
      <c r="D5121" t="str">
        <f>"4002"</f>
        <v>4002</v>
      </c>
      <c r="E5121" t="s">
        <v>19696</v>
      </c>
      <c r="F5121" t="s">
        <v>16623</v>
      </c>
      <c r="G5121" t="s">
        <v>16231</v>
      </c>
      <c r="H5121" t="s">
        <v>47055</v>
      </c>
      <c r="I5121" t="s">
        <v>47127</v>
      </c>
      <c r="J5121" t="s">
        <v>47128</v>
      </c>
      <c r="K5121" t="s">
        <v>47113</v>
      </c>
      <c r="L5121">
        <v>30.49</v>
      </c>
      <c r="M5121">
        <v>74</v>
      </c>
      <c r="N5121">
        <v>0</v>
      </c>
      <c r="O5121">
        <v>74</v>
      </c>
      <c r="P5121">
        <v>0</v>
      </c>
    </row>
    <row r="5122" spans="1:16" x14ac:dyDescent="0.25">
      <c r="A5122" t="s">
        <v>27513</v>
      </c>
      <c r="B5122" t="s">
        <v>19697</v>
      </c>
      <c r="C5122" t="s">
        <v>17364</v>
      </c>
      <c r="D5122" t="s">
        <v>19698</v>
      </c>
      <c r="E5122" t="s">
        <v>19699</v>
      </c>
      <c r="F5122" t="s">
        <v>17351</v>
      </c>
      <c r="G5122" t="s">
        <v>16231</v>
      </c>
      <c r="H5122" t="s">
        <v>47055</v>
      </c>
      <c r="I5122" t="s">
        <v>47127</v>
      </c>
      <c r="J5122" t="s">
        <v>47128</v>
      </c>
      <c r="K5122" t="s">
        <v>47113</v>
      </c>
      <c r="L5122">
        <v>34.57</v>
      </c>
      <c r="M5122">
        <v>82</v>
      </c>
      <c r="N5122">
        <v>0</v>
      </c>
      <c r="O5122">
        <v>82</v>
      </c>
      <c r="P5122">
        <v>0</v>
      </c>
    </row>
    <row r="5123" spans="1:16" x14ac:dyDescent="0.25">
      <c r="A5123" t="s">
        <v>27514</v>
      </c>
      <c r="B5123" t="s">
        <v>19700</v>
      </c>
      <c r="C5123" t="s">
        <v>19674</v>
      </c>
      <c r="D5123" t="str">
        <f>"4002"</f>
        <v>4002</v>
      </c>
      <c r="E5123" t="s">
        <v>19696</v>
      </c>
      <c r="F5123" t="s">
        <v>16623</v>
      </c>
      <c r="G5123" t="s">
        <v>16231</v>
      </c>
      <c r="H5123" t="s">
        <v>47055</v>
      </c>
      <c r="I5123" t="s">
        <v>47127</v>
      </c>
      <c r="J5123" t="s">
        <v>47128</v>
      </c>
      <c r="K5123" t="s">
        <v>47113</v>
      </c>
      <c r="L5123">
        <v>44.04</v>
      </c>
      <c r="M5123">
        <v>92</v>
      </c>
      <c r="N5123">
        <v>0</v>
      </c>
      <c r="O5123">
        <v>92</v>
      </c>
      <c r="P5123">
        <v>0</v>
      </c>
    </row>
    <row r="5124" spans="1:16" x14ac:dyDescent="0.25">
      <c r="A5124" t="s">
        <v>27515</v>
      </c>
      <c r="B5124" t="s">
        <v>19701</v>
      </c>
      <c r="C5124" t="s">
        <v>19702</v>
      </c>
      <c r="D5124" t="str">
        <f>"1002"</f>
        <v>1002</v>
      </c>
      <c r="E5124" t="s">
        <v>19703</v>
      </c>
      <c r="F5124" t="s">
        <v>16623</v>
      </c>
      <c r="G5124" t="s">
        <v>16231</v>
      </c>
      <c r="H5124" t="s">
        <v>47055</v>
      </c>
      <c r="I5124" t="s">
        <v>47127</v>
      </c>
      <c r="J5124" t="s">
        <v>47128</v>
      </c>
      <c r="K5124" t="s">
        <v>47113</v>
      </c>
      <c r="L5124">
        <v>29.4</v>
      </c>
      <c r="M5124">
        <v>70</v>
      </c>
      <c r="N5124">
        <v>0</v>
      </c>
      <c r="O5124">
        <v>70</v>
      </c>
      <c r="P5124">
        <v>0</v>
      </c>
    </row>
    <row r="5125" spans="1:16" x14ac:dyDescent="0.25">
      <c r="A5125" t="s">
        <v>27516</v>
      </c>
      <c r="B5125" t="s">
        <v>19704</v>
      </c>
      <c r="C5125" t="s">
        <v>19705</v>
      </c>
      <c r="D5125" t="str">
        <f>"4819"</f>
        <v>4819</v>
      </c>
      <c r="E5125" t="s">
        <v>221</v>
      </c>
      <c r="F5125" t="s">
        <v>16623</v>
      </c>
      <c r="G5125" t="s">
        <v>16231</v>
      </c>
      <c r="H5125" t="s">
        <v>47055</v>
      </c>
      <c r="I5125" t="s">
        <v>47127</v>
      </c>
      <c r="J5125" t="s">
        <v>47128</v>
      </c>
      <c r="K5125" t="s">
        <v>47113</v>
      </c>
      <c r="L5125">
        <v>31.38</v>
      </c>
      <c r="M5125">
        <v>70</v>
      </c>
      <c r="N5125">
        <v>0</v>
      </c>
      <c r="O5125">
        <v>70</v>
      </c>
      <c r="P5125">
        <v>0</v>
      </c>
    </row>
    <row r="5126" spans="1:16" x14ac:dyDescent="0.25">
      <c r="A5126" t="s">
        <v>27517</v>
      </c>
      <c r="B5126" t="s">
        <v>19706</v>
      </c>
      <c r="C5126" t="s">
        <v>19707</v>
      </c>
      <c r="D5126" t="str">
        <f>"4002"</f>
        <v>4002</v>
      </c>
      <c r="E5126" t="s">
        <v>19696</v>
      </c>
      <c r="F5126" t="s">
        <v>16623</v>
      </c>
      <c r="G5126" t="s">
        <v>16231</v>
      </c>
      <c r="H5126" t="s">
        <v>47055</v>
      </c>
      <c r="I5126" t="s">
        <v>47127</v>
      </c>
      <c r="J5126" t="s">
        <v>47128</v>
      </c>
      <c r="K5126" t="s">
        <v>47113</v>
      </c>
      <c r="L5126">
        <v>30.49</v>
      </c>
      <c r="M5126">
        <v>74</v>
      </c>
      <c r="N5126">
        <v>0</v>
      </c>
      <c r="O5126">
        <v>74</v>
      </c>
      <c r="P5126">
        <v>0</v>
      </c>
    </row>
    <row r="5127" spans="1:16" x14ac:dyDescent="0.25">
      <c r="A5127" t="s">
        <v>27518</v>
      </c>
      <c r="B5127" t="s">
        <v>16624</v>
      </c>
      <c r="C5127" t="s">
        <v>16625</v>
      </c>
      <c r="D5127" t="str">
        <f>"1001"</f>
        <v>1001</v>
      </c>
      <c r="E5127" t="s">
        <v>42</v>
      </c>
      <c r="F5127" t="s">
        <v>16623</v>
      </c>
      <c r="G5127" t="s">
        <v>16235</v>
      </c>
      <c r="H5127" t="s">
        <v>47055</v>
      </c>
      <c r="I5127" t="s">
        <v>47127</v>
      </c>
      <c r="J5127" t="s">
        <v>47128</v>
      </c>
      <c r="K5127" t="s">
        <v>47113</v>
      </c>
      <c r="L5127">
        <v>42.48</v>
      </c>
      <c r="M5127">
        <v>70</v>
      </c>
      <c r="N5127">
        <v>0</v>
      </c>
      <c r="O5127">
        <v>70</v>
      </c>
      <c r="P5127">
        <v>0</v>
      </c>
    </row>
    <row r="5128" spans="1:16" x14ac:dyDescent="0.25">
      <c r="A5128" t="s">
        <v>27519</v>
      </c>
      <c r="B5128" t="s">
        <v>16624</v>
      </c>
      <c r="C5128" t="s">
        <v>16625</v>
      </c>
      <c r="D5128" t="str">
        <f>"1278"</f>
        <v>1278</v>
      </c>
      <c r="E5128" t="s">
        <v>100</v>
      </c>
      <c r="F5128" t="s">
        <v>16623</v>
      </c>
      <c r="G5128" t="s">
        <v>16235</v>
      </c>
      <c r="H5128" t="s">
        <v>47055</v>
      </c>
      <c r="I5128" t="s">
        <v>47127</v>
      </c>
      <c r="J5128" t="s">
        <v>47128</v>
      </c>
      <c r="K5128" t="s">
        <v>47113</v>
      </c>
      <c r="L5128">
        <v>42.48</v>
      </c>
      <c r="M5128">
        <v>70</v>
      </c>
      <c r="N5128">
        <v>0</v>
      </c>
      <c r="O5128">
        <v>70</v>
      </c>
      <c r="P5128">
        <v>0</v>
      </c>
    </row>
    <row r="5129" spans="1:16" x14ac:dyDescent="0.25">
      <c r="A5129" t="s">
        <v>27520</v>
      </c>
      <c r="B5129" t="s">
        <v>16624</v>
      </c>
      <c r="C5129" t="s">
        <v>16625</v>
      </c>
      <c r="D5129" t="str">
        <f>"3160"</f>
        <v>3160</v>
      </c>
      <c r="E5129" t="s">
        <v>16602</v>
      </c>
      <c r="F5129" t="s">
        <v>16623</v>
      </c>
      <c r="G5129" t="s">
        <v>16235</v>
      </c>
      <c r="H5129" t="s">
        <v>47055</v>
      </c>
      <c r="I5129" t="s">
        <v>47127</v>
      </c>
      <c r="J5129" t="s">
        <v>47128</v>
      </c>
      <c r="K5129" t="s">
        <v>47113</v>
      </c>
      <c r="L5129">
        <v>42.48</v>
      </c>
      <c r="M5129">
        <v>70</v>
      </c>
      <c r="N5129">
        <v>0</v>
      </c>
      <c r="O5129">
        <v>70</v>
      </c>
      <c r="P5129">
        <v>0</v>
      </c>
    </row>
    <row r="5130" spans="1:16" x14ac:dyDescent="0.25">
      <c r="A5130" t="s">
        <v>27521</v>
      </c>
      <c r="B5130" t="s">
        <v>16624</v>
      </c>
      <c r="C5130" t="s">
        <v>16625</v>
      </c>
      <c r="D5130" t="str">
        <f>"4143"</f>
        <v>4143</v>
      </c>
      <c r="E5130" t="s">
        <v>16626</v>
      </c>
      <c r="F5130" t="s">
        <v>16623</v>
      </c>
      <c r="G5130" t="s">
        <v>16235</v>
      </c>
      <c r="H5130" t="s">
        <v>47055</v>
      </c>
      <c r="I5130" t="s">
        <v>47127</v>
      </c>
      <c r="J5130" t="s">
        <v>47128</v>
      </c>
      <c r="K5130" t="s">
        <v>47113</v>
      </c>
      <c r="L5130">
        <v>42.48</v>
      </c>
      <c r="M5130">
        <v>70</v>
      </c>
      <c r="N5130">
        <v>0</v>
      </c>
      <c r="O5130">
        <v>70</v>
      </c>
      <c r="P5130">
        <v>0</v>
      </c>
    </row>
    <row r="5131" spans="1:16" x14ac:dyDescent="0.25">
      <c r="A5131" t="s">
        <v>27522</v>
      </c>
      <c r="B5131" t="s">
        <v>16624</v>
      </c>
      <c r="C5131" t="s">
        <v>16625</v>
      </c>
      <c r="D5131" t="str">
        <f>"5000"</f>
        <v>5000</v>
      </c>
      <c r="E5131" t="s">
        <v>16627</v>
      </c>
      <c r="F5131" t="s">
        <v>16623</v>
      </c>
      <c r="G5131" t="s">
        <v>16235</v>
      </c>
      <c r="H5131" t="s">
        <v>47055</v>
      </c>
      <c r="I5131" t="s">
        <v>47127</v>
      </c>
      <c r="J5131" t="s">
        <v>47128</v>
      </c>
      <c r="K5131" t="s">
        <v>47113</v>
      </c>
      <c r="L5131">
        <v>42.48</v>
      </c>
      <c r="M5131">
        <v>70</v>
      </c>
      <c r="N5131">
        <v>0</v>
      </c>
      <c r="O5131">
        <v>70</v>
      </c>
      <c r="P5131">
        <v>0</v>
      </c>
    </row>
    <row r="5132" spans="1:16" x14ac:dyDescent="0.25">
      <c r="A5132" t="s">
        <v>27523</v>
      </c>
      <c r="B5132" t="s">
        <v>16624</v>
      </c>
      <c r="C5132" t="s">
        <v>16625</v>
      </c>
      <c r="D5132" t="str">
        <f>"6064"</f>
        <v>6064</v>
      </c>
      <c r="E5132" t="s">
        <v>87</v>
      </c>
      <c r="F5132" t="s">
        <v>16623</v>
      </c>
      <c r="G5132" t="s">
        <v>16235</v>
      </c>
      <c r="H5132" t="s">
        <v>47055</v>
      </c>
      <c r="I5132" t="s">
        <v>47127</v>
      </c>
      <c r="J5132" t="s">
        <v>47128</v>
      </c>
      <c r="K5132" t="s">
        <v>47113</v>
      </c>
      <c r="L5132">
        <v>42.48</v>
      </c>
      <c r="M5132">
        <v>70</v>
      </c>
      <c r="N5132">
        <v>0</v>
      </c>
      <c r="O5132">
        <v>70</v>
      </c>
      <c r="P5132">
        <v>0</v>
      </c>
    </row>
    <row r="5133" spans="1:16" x14ac:dyDescent="0.25">
      <c r="A5133" t="s">
        <v>27524</v>
      </c>
      <c r="B5133" t="s">
        <v>16628</v>
      </c>
      <c r="C5133" t="s">
        <v>16629</v>
      </c>
      <c r="D5133" t="str">
        <f>"1285"</f>
        <v>1285</v>
      </c>
      <c r="E5133" t="s">
        <v>2148</v>
      </c>
      <c r="F5133" t="s">
        <v>16623</v>
      </c>
      <c r="G5133" t="s">
        <v>16235</v>
      </c>
      <c r="H5133" t="s">
        <v>47055</v>
      </c>
      <c r="I5133" t="s">
        <v>47127</v>
      </c>
      <c r="J5133" t="s">
        <v>47128</v>
      </c>
      <c r="K5133" t="s">
        <v>47113</v>
      </c>
      <c r="L5133">
        <v>40.25</v>
      </c>
      <c r="M5133">
        <v>70</v>
      </c>
      <c r="N5133">
        <v>0</v>
      </c>
      <c r="O5133">
        <v>70</v>
      </c>
      <c r="P5133">
        <v>0</v>
      </c>
    </row>
    <row r="5134" spans="1:16" x14ac:dyDescent="0.25">
      <c r="A5134" t="s">
        <v>27525</v>
      </c>
      <c r="B5134" t="s">
        <v>16628</v>
      </c>
      <c r="C5134" t="s">
        <v>16629</v>
      </c>
      <c r="D5134" t="str">
        <f>"1378"</f>
        <v>1378</v>
      </c>
      <c r="E5134" t="s">
        <v>388</v>
      </c>
      <c r="F5134" t="s">
        <v>16623</v>
      </c>
      <c r="G5134" t="s">
        <v>16235</v>
      </c>
      <c r="H5134" t="s">
        <v>47055</v>
      </c>
      <c r="I5134" t="s">
        <v>47127</v>
      </c>
      <c r="J5134" t="s">
        <v>47128</v>
      </c>
      <c r="K5134" t="s">
        <v>47113</v>
      </c>
      <c r="L5134">
        <v>40.25</v>
      </c>
      <c r="M5134">
        <v>70</v>
      </c>
      <c r="N5134">
        <v>0</v>
      </c>
      <c r="O5134">
        <v>70</v>
      </c>
      <c r="P5134">
        <v>0</v>
      </c>
    </row>
    <row r="5135" spans="1:16" x14ac:dyDescent="0.25">
      <c r="A5135" t="s">
        <v>27526</v>
      </c>
      <c r="B5135" t="s">
        <v>16628</v>
      </c>
      <c r="C5135" t="s">
        <v>16629</v>
      </c>
      <c r="D5135" t="str">
        <f>"4000"</f>
        <v>4000</v>
      </c>
      <c r="E5135" t="s">
        <v>16630</v>
      </c>
      <c r="F5135" t="s">
        <v>16623</v>
      </c>
      <c r="G5135" t="s">
        <v>16235</v>
      </c>
      <c r="H5135" t="s">
        <v>47055</v>
      </c>
      <c r="I5135" t="s">
        <v>47127</v>
      </c>
      <c r="J5135" t="s">
        <v>47128</v>
      </c>
      <c r="K5135" t="s">
        <v>47113</v>
      </c>
      <c r="L5135">
        <v>40.25</v>
      </c>
      <c r="M5135">
        <v>70</v>
      </c>
      <c r="N5135">
        <v>0</v>
      </c>
      <c r="O5135">
        <v>70</v>
      </c>
      <c r="P5135">
        <v>0</v>
      </c>
    </row>
    <row r="5136" spans="1:16" x14ac:dyDescent="0.25">
      <c r="A5136" t="s">
        <v>27527</v>
      </c>
      <c r="B5136" t="s">
        <v>16628</v>
      </c>
      <c r="C5136" t="s">
        <v>16629</v>
      </c>
      <c r="D5136" t="str">
        <f>"4143"</f>
        <v>4143</v>
      </c>
      <c r="E5136" t="s">
        <v>16626</v>
      </c>
      <c r="F5136" t="s">
        <v>16623</v>
      </c>
      <c r="G5136" t="s">
        <v>16235</v>
      </c>
      <c r="H5136" t="s">
        <v>47055</v>
      </c>
      <c r="I5136" t="s">
        <v>47127</v>
      </c>
      <c r="J5136" t="s">
        <v>47128</v>
      </c>
      <c r="K5136" t="s">
        <v>47113</v>
      </c>
      <c r="L5136">
        <v>40.25</v>
      </c>
      <c r="M5136">
        <v>70</v>
      </c>
      <c r="N5136">
        <v>0</v>
      </c>
      <c r="O5136">
        <v>70</v>
      </c>
      <c r="P5136">
        <v>0</v>
      </c>
    </row>
    <row r="5137" spans="1:16" x14ac:dyDescent="0.25">
      <c r="A5137" t="s">
        <v>27528</v>
      </c>
      <c r="B5137" t="s">
        <v>16628</v>
      </c>
      <c r="C5137" t="s">
        <v>16629</v>
      </c>
      <c r="D5137" t="str">
        <f>"5000"</f>
        <v>5000</v>
      </c>
      <c r="E5137" t="s">
        <v>16627</v>
      </c>
      <c r="F5137" t="s">
        <v>16623</v>
      </c>
      <c r="G5137" t="s">
        <v>16235</v>
      </c>
      <c r="H5137" t="s">
        <v>47055</v>
      </c>
      <c r="I5137" t="s">
        <v>47127</v>
      </c>
      <c r="J5137" t="s">
        <v>47128</v>
      </c>
      <c r="K5137" t="s">
        <v>47113</v>
      </c>
      <c r="L5137">
        <v>40.25</v>
      </c>
      <c r="M5137">
        <v>70</v>
      </c>
      <c r="N5137">
        <v>0</v>
      </c>
      <c r="O5137">
        <v>70</v>
      </c>
      <c r="P5137">
        <v>0</v>
      </c>
    </row>
    <row r="5138" spans="1:16" x14ac:dyDescent="0.25">
      <c r="A5138" t="s">
        <v>27529</v>
      </c>
      <c r="B5138" t="s">
        <v>16628</v>
      </c>
      <c r="C5138" t="s">
        <v>16629</v>
      </c>
      <c r="D5138" t="str">
        <f>"6064"</f>
        <v>6064</v>
      </c>
      <c r="E5138" t="s">
        <v>87</v>
      </c>
      <c r="F5138" t="s">
        <v>16623</v>
      </c>
      <c r="G5138" t="s">
        <v>16235</v>
      </c>
      <c r="H5138" t="s">
        <v>47055</v>
      </c>
      <c r="I5138" t="s">
        <v>47127</v>
      </c>
      <c r="J5138" t="s">
        <v>47128</v>
      </c>
      <c r="K5138" t="s">
        <v>47113</v>
      </c>
      <c r="L5138">
        <v>40.25</v>
      </c>
      <c r="M5138">
        <v>70</v>
      </c>
      <c r="N5138">
        <v>0</v>
      </c>
      <c r="O5138">
        <v>70</v>
      </c>
      <c r="P5138">
        <v>0</v>
      </c>
    </row>
    <row r="5139" spans="1:16" x14ac:dyDescent="0.25">
      <c r="A5139" t="s">
        <v>27530</v>
      </c>
      <c r="B5139" t="s">
        <v>16631</v>
      </c>
      <c r="C5139" t="s">
        <v>16632</v>
      </c>
      <c r="D5139" t="str">
        <f>"1285"</f>
        <v>1285</v>
      </c>
      <c r="E5139" t="s">
        <v>2148</v>
      </c>
      <c r="F5139" t="s">
        <v>16623</v>
      </c>
      <c r="G5139" t="s">
        <v>16235</v>
      </c>
      <c r="H5139" t="s">
        <v>47055</v>
      </c>
      <c r="I5139" t="s">
        <v>47127</v>
      </c>
      <c r="J5139" t="s">
        <v>47128</v>
      </c>
      <c r="K5139" t="s">
        <v>47113</v>
      </c>
      <c r="L5139">
        <v>40.25</v>
      </c>
      <c r="M5139">
        <v>70</v>
      </c>
      <c r="N5139">
        <v>0</v>
      </c>
      <c r="O5139">
        <v>70</v>
      </c>
      <c r="P5139">
        <v>0</v>
      </c>
    </row>
    <row r="5140" spans="1:16" x14ac:dyDescent="0.25">
      <c r="A5140" t="s">
        <v>27531</v>
      </c>
      <c r="B5140" t="s">
        <v>16631</v>
      </c>
      <c r="C5140" t="s">
        <v>16632</v>
      </c>
      <c r="D5140" t="str">
        <f>"1378"</f>
        <v>1378</v>
      </c>
      <c r="E5140" t="s">
        <v>388</v>
      </c>
      <c r="F5140" t="s">
        <v>16623</v>
      </c>
      <c r="G5140" t="s">
        <v>16235</v>
      </c>
      <c r="H5140" t="s">
        <v>47055</v>
      </c>
      <c r="I5140" t="s">
        <v>47127</v>
      </c>
      <c r="J5140" t="s">
        <v>47128</v>
      </c>
      <c r="K5140" t="s">
        <v>47113</v>
      </c>
      <c r="L5140">
        <v>40.25</v>
      </c>
      <c r="M5140">
        <v>70</v>
      </c>
      <c r="N5140">
        <v>0</v>
      </c>
      <c r="O5140">
        <v>70</v>
      </c>
      <c r="P5140">
        <v>0</v>
      </c>
    </row>
    <row r="5141" spans="1:16" x14ac:dyDescent="0.25">
      <c r="A5141" t="s">
        <v>27532</v>
      </c>
      <c r="B5141" t="s">
        <v>16631</v>
      </c>
      <c r="C5141" t="s">
        <v>16632</v>
      </c>
      <c r="D5141" t="str">
        <f>"3160"</f>
        <v>3160</v>
      </c>
      <c r="E5141" t="s">
        <v>16602</v>
      </c>
      <c r="F5141" t="s">
        <v>16623</v>
      </c>
      <c r="G5141" t="s">
        <v>16235</v>
      </c>
      <c r="H5141" t="s">
        <v>47055</v>
      </c>
      <c r="I5141" t="s">
        <v>47127</v>
      </c>
      <c r="J5141" t="s">
        <v>47128</v>
      </c>
      <c r="K5141" t="s">
        <v>47113</v>
      </c>
      <c r="L5141">
        <v>40.25</v>
      </c>
      <c r="M5141">
        <v>70</v>
      </c>
      <c r="N5141">
        <v>0</v>
      </c>
      <c r="O5141">
        <v>70</v>
      </c>
      <c r="P5141">
        <v>0</v>
      </c>
    </row>
    <row r="5142" spans="1:16" x14ac:dyDescent="0.25">
      <c r="A5142" t="s">
        <v>27533</v>
      </c>
      <c r="B5142" t="s">
        <v>16631</v>
      </c>
      <c r="C5142" t="s">
        <v>16632</v>
      </c>
      <c r="D5142" t="str">
        <f>"4143"</f>
        <v>4143</v>
      </c>
      <c r="E5142" t="s">
        <v>16626</v>
      </c>
      <c r="F5142" t="s">
        <v>16623</v>
      </c>
      <c r="G5142" t="s">
        <v>16235</v>
      </c>
      <c r="H5142" t="s">
        <v>47055</v>
      </c>
      <c r="I5142" t="s">
        <v>47127</v>
      </c>
      <c r="J5142" t="s">
        <v>47128</v>
      </c>
      <c r="K5142" t="s">
        <v>47113</v>
      </c>
      <c r="L5142">
        <v>40.25</v>
      </c>
      <c r="M5142">
        <v>70</v>
      </c>
      <c r="N5142">
        <v>0</v>
      </c>
      <c r="O5142">
        <v>70</v>
      </c>
      <c r="P5142">
        <v>0</v>
      </c>
    </row>
    <row r="5143" spans="1:16" x14ac:dyDescent="0.25">
      <c r="A5143" t="s">
        <v>27534</v>
      </c>
      <c r="B5143" t="s">
        <v>16631</v>
      </c>
      <c r="C5143" t="s">
        <v>16632</v>
      </c>
      <c r="D5143" t="str">
        <f>"5000"</f>
        <v>5000</v>
      </c>
      <c r="E5143" t="s">
        <v>16627</v>
      </c>
      <c r="F5143" t="s">
        <v>16623</v>
      </c>
      <c r="G5143" t="s">
        <v>16235</v>
      </c>
      <c r="H5143" t="s">
        <v>47055</v>
      </c>
      <c r="I5143" t="s">
        <v>47127</v>
      </c>
      <c r="J5143" t="s">
        <v>47128</v>
      </c>
      <c r="K5143" t="s">
        <v>47113</v>
      </c>
      <c r="L5143">
        <v>40.25</v>
      </c>
      <c r="M5143">
        <v>70</v>
      </c>
      <c r="N5143">
        <v>0</v>
      </c>
      <c r="O5143">
        <v>70</v>
      </c>
      <c r="P5143">
        <v>0</v>
      </c>
    </row>
    <row r="5144" spans="1:16" x14ac:dyDescent="0.25">
      <c r="A5144" t="s">
        <v>27535</v>
      </c>
      <c r="B5144" t="s">
        <v>16633</v>
      </c>
      <c r="C5144" t="s">
        <v>16634</v>
      </c>
      <c r="D5144" t="str">
        <f>"1285"</f>
        <v>1285</v>
      </c>
      <c r="E5144" t="s">
        <v>2148</v>
      </c>
      <c r="F5144" t="s">
        <v>16623</v>
      </c>
      <c r="G5144" t="s">
        <v>16235</v>
      </c>
      <c r="H5144" t="s">
        <v>47055</v>
      </c>
      <c r="I5144" t="s">
        <v>47127</v>
      </c>
      <c r="J5144" t="s">
        <v>47128</v>
      </c>
      <c r="K5144" t="s">
        <v>47113</v>
      </c>
      <c r="L5144">
        <v>40.25</v>
      </c>
      <c r="M5144">
        <v>70</v>
      </c>
      <c r="N5144">
        <v>0</v>
      </c>
      <c r="O5144">
        <v>70</v>
      </c>
      <c r="P5144">
        <v>0</v>
      </c>
    </row>
    <row r="5145" spans="1:16" x14ac:dyDescent="0.25">
      <c r="A5145" t="s">
        <v>27536</v>
      </c>
      <c r="B5145" t="s">
        <v>16633</v>
      </c>
      <c r="C5145" t="s">
        <v>16634</v>
      </c>
      <c r="D5145" t="str">
        <f>"1378"</f>
        <v>1378</v>
      </c>
      <c r="E5145" t="s">
        <v>388</v>
      </c>
      <c r="F5145" t="s">
        <v>16623</v>
      </c>
      <c r="G5145" t="s">
        <v>16235</v>
      </c>
      <c r="H5145" t="s">
        <v>47055</v>
      </c>
      <c r="I5145" t="s">
        <v>47127</v>
      </c>
      <c r="J5145" t="s">
        <v>47128</v>
      </c>
      <c r="K5145" t="s">
        <v>47113</v>
      </c>
      <c r="L5145">
        <v>40.25</v>
      </c>
      <c r="M5145">
        <v>70</v>
      </c>
      <c r="N5145">
        <v>0</v>
      </c>
      <c r="O5145">
        <v>70</v>
      </c>
      <c r="P5145">
        <v>0</v>
      </c>
    </row>
    <row r="5146" spans="1:16" x14ac:dyDescent="0.25">
      <c r="A5146" t="s">
        <v>27537</v>
      </c>
      <c r="B5146" t="s">
        <v>16633</v>
      </c>
      <c r="C5146" t="s">
        <v>16634</v>
      </c>
      <c r="D5146" t="str">
        <f>"3160"</f>
        <v>3160</v>
      </c>
      <c r="E5146" t="s">
        <v>16602</v>
      </c>
      <c r="F5146" t="s">
        <v>16623</v>
      </c>
      <c r="G5146" t="s">
        <v>16235</v>
      </c>
      <c r="H5146" t="s">
        <v>47055</v>
      </c>
      <c r="I5146" t="s">
        <v>47127</v>
      </c>
      <c r="J5146" t="s">
        <v>47128</v>
      </c>
      <c r="K5146" t="s">
        <v>47113</v>
      </c>
      <c r="L5146">
        <v>40.25</v>
      </c>
      <c r="M5146">
        <v>70</v>
      </c>
      <c r="N5146">
        <v>0</v>
      </c>
      <c r="O5146">
        <v>70</v>
      </c>
      <c r="P5146">
        <v>0</v>
      </c>
    </row>
    <row r="5147" spans="1:16" x14ac:dyDescent="0.25">
      <c r="A5147" t="s">
        <v>27538</v>
      </c>
      <c r="B5147" t="s">
        <v>16633</v>
      </c>
      <c r="C5147" t="s">
        <v>16634</v>
      </c>
      <c r="D5147" t="str">
        <f>"4000"</f>
        <v>4000</v>
      </c>
      <c r="E5147" t="s">
        <v>16630</v>
      </c>
      <c r="F5147" t="s">
        <v>16623</v>
      </c>
      <c r="G5147" t="s">
        <v>16235</v>
      </c>
      <c r="H5147" t="s">
        <v>47055</v>
      </c>
      <c r="I5147" t="s">
        <v>47127</v>
      </c>
      <c r="J5147" t="s">
        <v>47128</v>
      </c>
      <c r="K5147" t="s">
        <v>47113</v>
      </c>
      <c r="L5147">
        <v>40.25</v>
      </c>
      <c r="M5147">
        <v>70</v>
      </c>
      <c r="N5147">
        <v>0</v>
      </c>
      <c r="O5147">
        <v>70</v>
      </c>
      <c r="P5147">
        <v>0</v>
      </c>
    </row>
    <row r="5148" spans="1:16" x14ac:dyDescent="0.25">
      <c r="A5148" t="s">
        <v>27539</v>
      </c>
      <c r="B5148" t="s">
        <v>16633</v>
      </c>
      <c r="C5148" t="s">
        <v>16634</v>
      </c>
      <c r="D5148" t="str">
        <f>"4143"</f>
        <v>4143</v>
      </c>
      <c r="E5148" t="s">
        <v>16626</v>
      </c>
      <c r="F5148" t="s">
        <v>16623</v>
      </c>
      <c r="G5148" t="s">
        <v>16235</v>
      </c>
      <c r="H5148" t="s">
        <v>47055</v>
      </c>
      <c r="I5148" t="s">
        <v>47127</v>
      </c>
      <c r="J5148" t="s">
        <v>47128</v>
      </c>
      <c r="K5148" t="s">
        <v>47113</v>
      </c>
      <c r="L5148">
        <v>40.25</v>
      </c>
      <c r="M5148">
        <v>70</v>
      </c>
      <c r="N5148">
        <v>0</v>
      </c>
      <c r="O5148">
        <v>70</v>
      </c>
      <c r="P5148">
        <v>0</v>
      </c>
    </row>
    <row r="5149" spans="1:16" x14ac:dyDescent="0.25">
      <c r="A5149" t="s">
        <v>27540</v>
      </c>
      <c r="B5149" t="s">
        <v>16633</v>
      </c>
      <c r="C5149" t="s">
        <v>16634</v>
      </c>
      <c r="D5149" t="str">
        <f>"5000"</f>
        <v>5000</v>
      </c>
      <c r="E5149" t="s">
        <v>16627</v>
      </c>
      <c r="F5149" t="s">
        <v>16623</v>
      </c>
      <c r="G5149" t="s">
        <v>16235</v>
      </c>
      <c r="H5149" t="s">
        <v>47055</v>
      </c>
      <c r="I5149" t="s">
        <v>47127</v>
      </c>
      <c r="J5149" t="s">
        <v>47128</v>
      </c>
      <c r="K5149" t="s">
        <v>47113</v>
      </c>
      <c r="L5149">
        <v>40.25</v>
      </c>
      <c r="M5149">
        <v>70</v>
      </c>
      <c r="N5149">
        <v>0</v>
      </c>
      <c r="O5149">
        <v>70</v>
      </c>
      <c r="P5149">
        <v>0</v>
      </c>
    </row>
    <row r="5150" spans="1:16" x14ac:dyDescent="0.25">
      <c r="A5150" t="s">
        <v>27541</v>
      </c>
      <c r="B5150" t="s">
        <v>16633</v>
      </c>
      <c r="C5150" t="s">
        <v>16634</v>
      </c>
      <c r="D5150" t="str">
        <f>"6064"</f>
        <v>6064</v>
      </c>
      <c r="E5150" t="s">
        <v>87</v>
      </c>
      <c r="F5150" t="s">
        <v>16623</v>
      </c>
      <c r="G5150" t="s">
        <v>16235</v>
      </c>
      <c r="H5150" t="s">
        <v>47055</v>
      </c>
      <c r="I5150" t="s">
        <v>47127</v>
      </c>
      <c r="J5150" t="s">
        <v>47128</v>
      </c>
      <c r="K5150" t="s">
        <v>47113</v>
      </c>
      <c r="L5150">
        <v>40.25</v>
      </c>
      <c r="M5150">
        <v>70</v>
      </c>
      <c r="N5150">
        <v>0</v>
      </c>
      <c r="O5150">
        <v>70</v>
      </c>
      <c r="P5150">
        <v>0</v>
      </c>
    </row>
    <row r="5151" spans="1:16" x14ac:dyDescent="0.25">
      <c r="A5151" t="s">
        <v>27542</v>
      </c>
      <c r="B5151" t="s">
        <v>16635</v>
      </c>
      <c r="C5151" t="s">
        <v>16636</v>
      </c>
      <c r="D5151" t="str">
        <f>"1285"</f>
        <v>1285</v>
      </c>
      <c r="E5151" t="s">
        <v>2148</v>
      </c>
      <c r="F5151" t="s">
        <v>16623</v>
      </c>
      <c r="G5151" t="s">
        <v>16235</v>
      </c>
      <c r="H5151" t="s">
        <v>47055</v>
      </c>
      <c r="I5151" t="s">
        <v>47127</v>
      </c>
      <c r="J5151" t="s">
        <v>47128</v>
      </c>
      <c r="K5151" t="s">
        <v>47113</v>
      </c>
      <c r="L5151">
        <v>42.48</v>
      </c>
      <c r="M5151">
        <v>70</v>
      </c>
      <c r="N5151">
        <v>0</v>
      </c>
      <c r="O5151">
        <v>70</v>
      </c>
      <c r="P5151">
        <v>0</v>
      </c>
    </row>
    <row r="5152" spans="1:16" x14ac:dyDescent="0.25">
      <c r="A5152" t="s">
        <v>27543</v>
      </c>
      <c r="B5152" t="s">
        <v>16635</v>
      </c>
      <c r="C5152" t="s">
        <v>16636</v>
      </c>
      <c r="D5152" t="str">
        <f>"1378"</f>
        <v>1378</v>
      </c>
      <c r="E5152" t="s">
        <v>388</v>
      </c>
      <c r="F5152" t="s">
        <v>16623</v>
      </c>
      <c r="G5152" t="s">
        <v>16235</v>
      </c>
      <c r="H5152" t="s">
        <v>47055</v>
      </c>
      <c r="I5152" t="s">
        <v>47127</v>
      </c>
      <c r="J5152" t="s">
        <v>47128</v>
      </c>
      <c r="K5152" t="s">
        <v>47113</v>
      </c>
      <c r="L5152">
        <v>42.48</v>
      </c>
      <c r="M5152">
        <v>70</v>
      </c>
      <c r="N5152">
        <v>0</v>
      </c>
      <c r="O5152">
        <v>70</v>
      </c>
      <c r="P5152">
        <v>0</v>
      </c>
    </row>
    <row r="5153" spans="1:16" x14ac:dyDescent="0.25">
      <c r="A5153" t="s">
        <v>27544</v>
      </c>
      <c r="B5153" t="s">
        <v>16635</v>
      </c>
      <c r="C5153" t="s">
        <v>16636</v>
      </c>
      <c r="D5153" t="str">
        <f>"2701"</f>
        <v>2701</v>
      </c>
      <c r="E5153" t="s">
        <v>2149</v>
      </c>
      <c r="F5153" t="s">
        <v>16623</v>
      </c>
      <c r="G5153" t="s">
        <v>16235</v>
      </c>
      <c r="H5153" t="s">
        <v>47055</v>
      </c>
      <c r="I5153" t="s">
        <v>47127</v>
      </c>
      <c r="J5153" t="s">
        <v>47128</v>
      </c>
      <c r="K5153" t="s">
        <v>47113</v>
      </c>
      <c r="L5153">
        <v>42.48</v>
      </c>
      <c r="M5153">
        <v>70</v>
      </c>
      <c r="N5153">
        <v>0</v>
      </c>
      <c r="O5153">
        <v>70</v>
      </c>
      <c r="P5153">
        <v>0</v>
      </c>
    </row>
    <row r="5154" spans="1:16" x14ac:dyDescent="0.25">
      <c r="A5154" t="s">
        <v>27545</v>
      </c>
      <c r="B5154" t="s">
        <v>16635</v>
      </c>
      <c r="C5154" t="s">
        <v>16636</v>
      </c>
      <c r="D5154" t="str">
        <f>"3160"</f>
        <v>3160</v>
      </c>
      <c r="E5154" t="s">
        <v>16602</v>
      </c>
      <c r="F5154" t="s">
        <v>16623</v>
      </c>
      <c r="G5154" t="s">
        <v>16235</v>
      </c>
      <c r="H5154" t="s">
        <v>47055</v>
      </c>
      <c r="I5154" t="s">
        <v>47127</v>
      </c>
      <c r="J5154" t="s">
        <v>47128</v>
      </c>
      <c r="K5154" t="s">
        <v>47113</v>
      </c>
      <c r="L5154">
        <v>42.48</v>
      </c>
      <c r="M5154">
        <v>70</v>
      </c>
      <c r="N5154">
        <v>0</v>
      </c>
      <c r="O5154">
        <v>70</v>
      </c>
      <c r="P5154">
        <v>0</v>
      </c>
    </row>
    <row r="5155" spans="1:16" x14ac:dyDescent="0.25">
      <c r="A5155" t="s">
        <v>27546</v>
      </c>
      <c r="B5155" t="s">
        <v>16635</v>
      </c>
      <c r="C5155" t="s">
        <v>16636</v>
      </c>
      <c r="D5155" t="str">
        <f>"4000"</f>
        <v>4000</v>
      </c>
      <c r="E5155" t="s">
        <v>16630</v>
      </c>
      <c r="F5155" t="s">
        <v>16623</v>
      </c>
      <c r="G5155" t="s">
        <v>16235</v>
      </c>
      <c r="H5155" t="s">
        <v>47055</v>
      </c>
      <c r="I5155" t="s">
        <v>47127</v>
      </c>
      <c r="J5155" t="s">
        <v>47128</v>
      </c>
      <c r="K5155" t="s">
        <v>47113</v>
      </c>
      <c r="L5155">
        <v>42.48</v>
      </c>
      <c r="M5155">
        <v>70</v>
      </c>
      <c r="N5155">
        <v>0</v>
      </c>
      <c r="O5155">
        <v>70</v>
      </c>
      <c r="P5155">
        <v>0</v>
      </c>
    </row>
    <row r="5156" spans="1:16" x14ac:dyDescent="0.25">
      <c r="A5156" t="s">
        <v>27547</v>
      </c>
      <c r="B5156" t="s">
        <v>16635</v>
      </c>
      <c r="C5156" t="s">
        <v>16636</v>
      </c>
      <c r="D5156" t="str">
        <f>"4143"</f>
        <v>4143</v>
      </c>
      <c r="E5156" t="s">
        <v>16626</v>
      </c>
      <c r="F5156" t="s">
        <v>16623</v>
      </c>
      <c r="G5156" t="s">
        <v>16235</v>
      </c>
      <c r="H5156" t="s">
        <v>47055</v>
      </c>
      <c r="I5156" t="s">
        <v>47127</v>
      </c>
      <c r="J5156" t="s">
        <v>47128</v>
      </c>
      <c r="K5156" t="s">
        <v>47113</v>
      </c>
      <c r="L5156">
        <v>42.48</v>
      </c>
      <c r="M5156">
        <v>70</v>
      </c>
      <c r="N5156">
        <v>0</v>
      </c>
      <c r="O5156">
        <v>70</v>
      </c>
      <c r="P5156">
        <v>0</v>
      </c>
    </row>
    <row r="5157" spans="1:16" x14ac:dyDescent="0.25">
      <c r="A5157" t="s">
        <v>27548</v>
      </c>
      <c r="B5157" t="s">
        <v>16635</v>
      </c>
      <c r="C5157" t="s">
        <v>16636</v>
      </c>
      <c r="D5157" t="str">
        <f>"5000"</f>
        <v>5000</v>
      </c>
      <c r="E5157" t="s">
        <v>16627</v>
      </c>
      <c r="F5157" t="s">
        <v>16623</v>
      </c>
      <c r="G5157" t="s">
        <v>16235</v>
      </c>
      <c r="H5157" t="s">
        <v>47055</v>
      </c>
      <c r="I5157" t="s">
        <v>47127</v>
      </c>
      <c r="J5157" t="s">
        <v>47128</v>
      </c>
      <c r="K5157" t="s">
        <v>47113</v>
      </c>
      <c r="L5157">
        <v>42.48</v>
      </c>
      <c r="M5157">
        <v>70</v>
      </c>
      <c r="N5157">
        <v>0</v>
      </c>
      <c r="O5157">
        <v>70</v>
      </c>
      <c r="P5157">
        <v>0</v>
      </c>
    </row>
    <row r="5158" spans="1:16" x14ac:dyDescent="0.25">
      <c r="A5158" t="s">
        <v>27549</v>
      </c>
      <c r="B5158" t="s">
        <v>16637</v>
      </c>
      <c r="C5158" t="s">
        <v>16638</v>
      </c>
      <c r="D5158" t="str">
        <f>"1285"</f>
        <v>1285</v>
      </c>
      <c r="E5158" t="s">
        <v>2148</v>
      </c>
      <c r="F5158" t="s">
        <v>16623</v>
      </c>
      <c r="G5158" t="s">
        <v>16235</v>
      </c>
      <c r="H5158" t="s">
        <v>47055</v>
      </c>
      <c r="I5158" t="s">
        <v>47127</v>
      </c>
      <c r="J5158" t="s">
        <v>47128</v>
      </c>
      <c r="K5158" t="s">
        <v>47113</v>
      </c>
      <c r="L5158">
        <v>31.3</v>
      </c>
      <c r="M5158">
        <v>55</v>
      </c>
      <c r="N5158">
        <v>0</v>
      </c>
      <c r="O5158">
        <v>55</v>
      </c>
      <c r="P5158">
        <v>0</v>
      </c>
    </row>
    <row r="5159" spans="1:16" x14ac:dyDescent="0.25">
      <c r="A5159" t="s">
        <v>27550</v>
      </c>
      <c r="B5159" t="s">
        <v>16637</v>
      </c>
      <c r="C5159" t="s">
        <v>16638</v>
      </c>
      <c r="D5159" t="str">
        <f>"1378"</f>
        <v>1378</v>
      </c>
      <c r="E5159" t="s">
        <v>388</v>
      </c>
      <c r="F5159" t="s">
        <v>16623</v>
      </c>
      <c r="G5159" t="s">
        <v>16235</v>
      </c>
      <c r="H5159" t="s">
        <v>47055</v>
      </c>
      <c r="I5159" t="s">
        <v>47127</v>
      </c>
      <c r="J5159" t="s">
        <v>47128</v>
      </c>
      <c r="K5159" t="s">
        <v>47113</v>
      </c>
      <c r="L5159">
        <v>31.3</v>
      </c>
      <c r="M5159">
        <v>55</v>
      </c>
      <c r="N5159">
        <v>0</v>
      </c>
      <c r="O5159">
        <v>55</v>
      </c>
      <c r="P5159">
        <v>0</v>
      </c>
    </row>
    <row r="5160" spans="1:16" x14ac:dyDescent="0.25">
      <c r="A5160" t="s">
        <v>27551</v>
      </c>
      <c r="B5160" t="s">
        <v>16637</v>
      </c>
      <c r="C5160" t="s">
        <v>16638</v>
      </c>
      <c r="D5160" t="str">
        <f>"1924"</f>
        <v>1924</v>
      </c>
      <c r="E5160" t="s">
        <v>9794</v>
      </c>
      <c r="F5160" t="s">
        <v>16623</v>
      </c>
      <c r="G5160" t="s">
        <v>16235</v>
      </c>
      <c r="H5160" t="s">
        <v>47055</v>
      </c>
      <c r="I5160" t="s">
        <v>47127</v>
      </c>
      <c r="J5160" t="s">
        <v>47128</v>
      </c>
      <c r="K5160" t="s">
        <v>47113</v>
      </c>
      <c r="L5160">
        <v>31.3</v>
      </c>
      <c r="M5160">
        <v>55</v>
      </c>
      <c r="N5160">
        <v>0</v>
      </c>
      <c r="O5160">
        <v>55</v>
      </c>
      <c r="P5160">
        <v>0</v>
      </c>
    </row>
    <row r="5161" spans="1:16" x14ac:dyDescent="0.25">
      <c r="A5161" t="s">
        <v>27552</v>
      </c>
      <c r="B5161" t="s">
        <v>16637</v>
      </c>
      <c r="C5161" t="s">
        <v>16638</v>
      </c>
      <c r="D5161" t="str">
        <f>"3160"</f>
        <v>3160</v>
      </c>
      <c r="E5161" t="s">
        <v>16602</v>
      </c>
      <c r="F5161" t="s">
        <v>16623</v>
      </c>
      <c r="G5161" t="s">
        <v>16235</v>
      </c>
      <c r="H5161" t="s">
        <v>47055</v>
      </c>
      <c r="I5161" t="s">
        <v>47127</v>
      </c>
      <c r="J5161" t="s">
        <v>47128</v>
      </c>
      <c r="K5161" t="s">
        <v>47113</v>
      </c>
      <c r="L5161">
        <v>31.3</v>
      </c>
      <c r="M5161">
        <v>55</v>
      </c>
      <c r="N5161">
        <v>0</v>
      </c>
      <c r="O5161">
        <v>55</v>
      </c>
      <c r="P5161">
        <v>0</v>
      </c>
    </row>
    <row r="5162" spans="1:16" x14ac:dyDescent="0.25">
      <c r="A5162" t="s">
        <v>27553</v>
      </c>
      <c r="B5162" t="s">
        <v>16637</v>
      </c>
      <c r="C5162" t="s">
        <v>16638</v>
      </c>
      <c r="D5162" t="str">
        <f>"4143"</f>
        <v>4143</v>
      </c>
      <c r="E5162" t="s">
        <v>16626</v>
      </c>
      <c r="F5162" t="s">
        <v>16623</v>
      </c>
      <c r="G5162" t="s">
        <v>16235</v>
      </c>
      <c r="H5162" t="s">
        <v>47055</v>
      </c>
      <c r="I5162" t="s">
        <v>47127</v>
      </c>
      <c r="J5162" t="s">
        <v>47128</v>
      </c>
      <c r="K5162" t="s">
        <v>47113</v>
      </c>
      <c r="L5162">
        <v>31.3</v>
      </c>
      <c r="M5162">
        <v>55</v>
      </c>
      <c r="N5162">
        <v>0</v>
      </c>
      <c r="O5162">
        <v>55</v>
      </c>
      <c r="P5162">
        <v>0</v>
      </c>
    </row>
    <row r="5163" spans="1:16" x14ac:dyDescent="0.25">
      <c r="A5163" t="s">
        <v>27554</v>
      </c>
      <c r="B5163" t="s">
        <v>16637</v>
      </c>
      <c r="C5163" t="s">
        <v>16638</v>
      </c>
      <c r="D5163" t="str">
        <f>"5000"</f>
        <v>5000</v>
      </c>
      <c r="E5163" t="s">
        <v>16627</v>
      </c>
      <c r="F5163" t="s">
        <v>16623</v>
      </c>
      <c r="G5163" t="s">
        <v>16235</v>
      </c>
      <c r="H5163" t="s">
        <v>47055</v>
      </c>
      <c r="I5163" t="s">
        <v>47127</v>
      </c>
      <c r="J5163" t="s">
        <v>47128</v>
      </c>
      <c r="K5163" t="s">
        <v>47113</v>
      </c>
      <c r="L5163">
        <v>31.3</v>
      </c>
      <c r="M5163">
        <v>55</v>
      </c>
      <c r="N5163">
        <v>0</v>
      </c>
      <c r="O5163">
        <v>55</v>
      </c>
      <c r="P5163">
        <v>0</v>
      </c>
    </row>
    <row r="5164" spans="1:16" x14ac:dyDescent="0.25">
      <c r="A5164" t="s">
        <v>27555</v>
      </c>
      <c r="B5164" t="s">
        <v>16637</v>
      </c>
      <c r="C5164" t="s">
        <v>16638</v>
      </c>
      <c r="D5164" t="str">
        <f>"6064"</f>
        <v>6064</v>
      </c>
      <c r="E5164" t="s">
        <v>87</v>
      </c>
      <c r="F5164" t="s">
        <v>16623</v>
      </c>
      <c r="G5164" t="s">
        <v>16235</v>
      </c>
      <c r="H5164" t="s">
        <v>47055</v>
      </c>
      <c r="I5164" t="s">
        <v>47127</v>
      </c>
      <c r="J5164" t="s">
        <v>47128</v>
      </c>
      <c r="K5164" t="s">
        <v>47113</v>
      </c>
      <c r="L5164">
        <v>31.3</v>
      </c>
      <c r="M5164">
        <v>55</v>
      </c>
      <c r="N5164">
        <v>0</v>
      </c>
      <c r="O5164">
        <v>55</v>
      </c>
      <c r="P5164">
        <v>0</v>
      </c>
    </row>
    <row r="5165" spans="1:16" x14ac:dyDescent="0.25">
      <c r="A5165" t="s">
        <v>27556</v>
      </c>
      <c r="B5165" t="s">
        <v>16639</v>
      </c>
      <c r="C5165" t="s">
        <v>16640</v>
      </c>
      <c r="D5165" t="str">
        <f>"1023"</f>
        <v>1023</v>
      </c>
      <c r="E5165" t="s">
        <v>1815</v>
      </c>
      <c r="F5165" t="s">
        <v>16623</v>
      </c>
      <c r="G5165" t="s">
        <v>16235</v>
      </c>
      <c r="H5165" t="s">
        <v>47055</v>
      </c>
      <c r="I5165" t="s">
        <v>47127</v>
      </c>
      <c r="J5165" t="s">
        <v>47128</v>
      </c>
      <c r="K5165" t="s">
        <v>47113</v>
      </c>
      <c r="L5165">
        <v>31.3</v>
      </c>
      <c r="M5165">
        <v>55</v>
      </c>
      <c r="N5165">
        <v>0</v>
      </c>
      <c r="O5165">
        <v>55</v>
      </c>
      <c r="P5165">
        <v>0</v>
      </c>
    </row>
    <row r="5166" spans="1:16" x14ac:dyDescent="0.25">
      <c r="A5166" t="s">
        <v>27557</v>
      </c>
      <c r="B5166" t="s">
        <v>16639</v>
      </c>
      <c r="C5166" t="s">
        <v>16640</v>
      </c>
      <c r="D5166" t="str">
        <f>"1285"</f>
        <v>1285</v>
      </c>
      <c r="E5166" t="s">
        <v>2148</v>
      </c>
      <c r="F5166" t="s">
        <v>16623</v>
      </c>
      <c r="G5166" t="s">
        <v>16235</v>
      </c>
      <c r="H5166" t="s">
        <v>47055</v>
      </c>
      <c r="I5166" t="s">
        <v>47127</v>
      </c>
      <c r="J5166" t="s">
        <v>47128</v>
      </c>
      <c r="K5166" t="s">
        <v>47113</v>
      </c>
      <c r="L5166">
        <v>31.3</v>
      </c>
      <c r="M5166">
        <v>55</v>
      </c>
      <c r="N5166">
        <v>0</v>
      </c>
      <c r="O5166">
        <v>55</v>
      </c>
      <c r="P5166">
        <v>0</v>
      </c>
    </row>
    <row r="5167" spans="1:16" x14ac:dyDescent="0.25">
      <c r="A5167" t="s">
        <v>27558</v>
      </c>
      <c r="B5167" t="s">
        <v>16639</v>
      </c>
      <c r="C5167" t="s">
        <v>16640</v>
      </c>
      <c r="D5167" t="str">
        <f>"1378"</f>
        <v>1378</v>
      </c>
      <c r="E5167" t="s">
        <v>388</v>
      </c>
      <c r="F5167" t="s">
        <v>16623</v>
      </c>
      <c r="G5167" t="s">
        <v>16235</v>
      </c>
      <c r="H5167" t="s">
        <v>47055</v>
      </c>
      <c r="I5167" t="s">
        <v>47127</v>
      </c>
      <c r="J5167" t="s">
        <v>47128</v>
      </c>
      <c r="K5167" t="s">
        <v>47113</v>
      </c>
      <c r="L5167">
        <v>31.3</v>
      </c>
      <c r="M5167">
        <v>55</v>
      </c>
      <c r="N5167">
        <v>0</v>
      </c>
      <c r="O5167">
        <v>55</v>
      </c>
      <c r="P5167">
        <v>0</v>
      </c>
    </row>
    <row r="5168" spans="1:16" x14ac:dyDescent="0.25">
      <c r="A5168" t="s">
        <v>27559</v>
      </c>
      <c r="B5168" t="s">
        <v>16639</v>
      </c>
      <c r="C5168" t="s">
        <v>16640</v>
      </c>
      <c r="D5168" t="str">
        <f>"4143"</f>
        <v>4143</v>
      </c>
      <c r="E5168" t="s">
        <v>16626</v>
      </c>
      <c r="F5168" t="s">
        <v>16623</v>
      </c>
      <c r="G5168" t="s">
        <v>16235</v>
      </c>
      <c r="H5168" t="s">
        <v>47055</v>
      </c>
      <c r="I5168" t="s">
        <v>47127</v>
      </c>
      <c r="J5168" t="s">
        <v>47128</v>
      </c>
      <c r="K5168" t="s">
        <v>47113</v>
      </c>
      <c r="L5168">
        <v>31.3</v>
      </c>
      <c r="M5168">
        <v>55</v>
      </c>
      <c r="N5168">
        <v>0</v>
      </c>
      <c r="O5168">
        <v>55</v>
      </c>
      <c r="P5168">
        <v>0</v>
      </c>
    </row>
    <row r="5169" spans="1:16" x14ac:dyDescent="0.25">
      <c r="A5169" t="s">
        <v>27560</v>
      </c>
      <c r="B5169" t="s">
        <v>16639</v>
      </c>
      <c r="C5169" t="s">
        <v>16640</v>
      </c>
      <c r="D5169" t="str">
        <f>"5000"</f>
        <v>5000</v>
      </c>
      <c r="E5169" t="s">
        <v>16627</v>
      </c>
      <c r="F5169" t="s">
        <v>16623</v>
      </c>
      <c r="G5169" t="s">
        <v>16235</v>
      </c>
      <c r="H5169" t="s">
        <v>47055</v>
      </c>
      <c r="I5169" t="s">
        <v>47127</v>
      </c>
      <c r="J5169" t="s">
        <v>47128</v>
      </c>
      <c r="K5169" t="s">
        <v>47113</v>
      </c>
      <c r="L5169">
        <v>31.3</v>
      </c>
      <c r="M5169">
        <v>55</v>
      </c>
      <c r="N5169">
        <v>0</v>
      </c>
      <c r="O5169">
        <v>55</v>
      </c>
      <c r="P5169">
        <v>0</v>
      </c>
    </row>
    <row r="5170" spans="1:16" x14ac:dyDescent="0.25">
      <c r="A5170" t="s">
        <v>27561</v>
      </c>
      <c r="B5170" t="s">
        <v>16639</v>
      </c>
      <c r="C5170" t="s">
        <v>16640</v>
      </c>
      <c r="D5170" t="str">
        <f>"6064"</f>
        <v>6064</v>
      </c>
      <c r="E5170" t="s">
        <v>87</v>
      </c>
      <c r="F5170" t="s">
        <v>16623</v>
      </c>
      <c r="G5170" t="s">
        <v>16235</v>
      </c>
      <c r="H5170" t="s">
        <v>47055</v>
      </c>
      <c r="I5170" t="s">
        <v>47127</v>
      </c>
      <c r="J5170" t="s">
        <v>47128</v>
      </c>
      <c r="K5170" t="s">
        <v>47113</v>
      </c>
      <c r="L5170">
        <v>31.3</v>
      </c>
      <c r="M5170">
        <v>55</v>
      </c>
      <c r="N5170">
        <v>0</v>
      </c>
      <c r="O5170">
        <v>55</v>
      </c>
      <c r="P5170">
        <v>0</v>
      </c>
    </row>
    <row r="5171" spans="1:16" x14ac:dyDescent="0.25">
      <c r="A5171" t="s">
        <v>27562</v>
      </c>
      <c r="B5171" t="s">
        <v>16641</v>
      </c>
      <c r="C5171" t="s">
        <v>16642</v>
      </c>
      <c r="D5171" t="str">
        <f>"1023"</f>
        <v>1023</v>
      </c>
      <c r="E5171" t="s">
        <v>1815</v>
      </c>
      <c r="F5171" t="s">
        <v>16623</v>
      </c>
      <c r="G5171" t="s">
        <v>16235</v>
      </c>
      <c r="H5171" t="s">
        <v>47055</v>
      </c>
      <c r="I5171" t="s">
        <v>47127</v>
      </c>
      <c r="J5171" t="s">
        <v>47128</v>
      </c>
      <c r="K5171" t="s">
        <v>47113</v>
      </c>
      <c r="L5171">
        <v>31.3</v>
      </c>
      <c r="M5171">
        <v>55</v>
      </c>
      <c r="N5171">
        <v>0</v>
      </c>
      <c r="O5171">
        <v>55</v>
      </c>
      <c r="P5171">
        <v>0</v>
      </c>
    </row>
    <row r="5172" spans="1:16" x14ac:dyDescent="0.25">
      <c r="A5172" t="s">
        <v>27563</v>
      </c>
      <c r="B5172" t="s">
        <v>16641</v>
      </c>
      <c r="C5172" t="s">
        <v>16642</v>
      </c>
      <c r="D5172" t="str">
        <f>"1285"</f>
        <v>1285</v>
      </c>
      <c r="E5172" t="s">
        <v>2148</v>
      </c>
      <c r="F5172" t="s">
        <v>16623</v>
      </c>
      <c r="G5172" t="s">
        <v>16235</v>
      </c>
      <c r="H5172" t="s">
        <v>47055</v>
      </c>
      <c r="I5172" t="s">
        <v>47127</v>
      </c>
      <c r="J5172" t="s">
        <v>47128</v>
      </c>
      <c r="K5172" t="s">
        <v>47113</v>
      </c>
      <c r="L5172">
        <v>31.3</v>
      </c>
      <c r="M5172">
        <v>55</v>
      </c>
      <c r="N5172">
        <v>0</v>
      </c>
      <c r="O5172">
        <v>55</v>
      </c>
      <c r="P5172">
        <v>0</v>
      </c>
    </row>
    <row r="5173" spans="1:16" x14ac:dyDescent="0.25">
      <c r="A5173" t="s">
        <v>27564</v>
      </c>
      <c r="B5173" t="s">
        <v>16641</v>
      </c>
      <c r="C5173" t="s">
        <v>16642</v>
      </c>
      <c r="D5173" t="str">
        <f>"1378"</f>
        <v>1378</v>
      </c>
      <c r="E5173" t="s">
        <v>388</v>
      </c>
      <c r="F5173" t="s">
        <v>16623</v>
      </c>
      <c r="G5173" t="s">
        <v>16235</v>
      </c>
      <c r="H5173" t="s">
        <v>47055</v>
      </c>
      <c r="I5173" t="s">
        <v>47127</v>
      </c>
      <c r="J5173" t="s">
        <v>47128</v>
      </c>
      <c r="K5173" t="s">
        <v>47113</v>
      </c>
      <c r="L5173">
        <v>31.3</v>
      </c>
      <c r="M5173">
        <v>55</v>
      </c>
      <c r="N5173">
        <v>0</v>
      </c>
      <c r="O5173">
        <v>55</v>
      </c>
      <c r="P5173">
        <v>0</v>
      </c>
    </row>
    <row r="5174" spans="1:16" x14ac:dyDescent="0.25">
      <c r="A5174" t="s">
        <v>27565</v>
      </c>
      <c r="B5174" t="s">
        <v>16641</v>
      </c>
      <c r="C5174" t="s">
        <v>16642</v>
      </c>
      <c r="D5174" t="str">
        <f>"2701"</f>
        <v>2701</v>
      </c>
      <c r="E5174" t="s">
        <v>2149</v>
      </c>
      <c r="F5174" t="s">
        <v>16623</v>
      </c>
      <c r="G5174" t="s">
        <v>16235</v>
      </c>
      <c r="H5174" t="s">
        <v>47055</v>
      </c>
      <c r="I5174" t="s">
        <v>47127</v>
      </c>
      <c r="J5174" t="s">
        <v>47128</v>
      </c>
      <c r="K5174" t="s">
        <v>47113</v>
      </c>
      <c r="L5174">
        <v>31.3</v>
      </c>
      <c r="M5174">
        <v>55</v>
      </c>
      <c r="N5174">
        <v>0</v>
      </c>
      <c r="O5174">
        <v>55</v>
      </c>
      <c r="P5174">
        <v>0</v>
      </c>
    </row>
    <row r="5175" spans="1:16" x14ac:dyDescent="0.25">
      <c r="A5175" t="s">
        <v>27566</v>
      </c>
      <c r="B5175" t="s">
        <v>16641</v>
      </c>
      <c r="C5175" t="s">
        <v>16642</v>
      </c>
      <c r="D5175" t="str">
        <f>"4000"</f>
        <v>4000</v>
      </c>
      <c r="E5175" t="s">
        <v>16630</v>
      </c>
      <c r="F5175" t="s">
        <v>16623</v>
      </c>
      <c r="G5175" t="s">
        <v>16235</v>
      </c>
      <c r="H5175" t="s">
        <v>47055</v>
      </c>
      <c r="I5175" t="s">
        <v>47127</v>
      </c>
      <c r="J5175" t="s">
        <v>47128</v>
      </c>
      <c r="K5175" t="s">
        <v>47113</v>
      </c>
      <c r="L5175">
        <v>31.3</v>
      </c>
      <c r="M5175">
        <v>55</v>
      </c>
      <c r="N5175">
        <v>0</v>
      </c>
      <c r="O5175">
        <v>55</v>
      </c>
      <c r="P5175">
        <v>0</v>
      </c>
    </row>
    <row r="5176" spans="1:16" x14ac:dyDescent="0.25">
      <c r="A5176" t="s">
        <v>27567</v>
      </c>
      <c r="B5176" t="s">
        <v>16641</v>
      </c>
      <c r="C5176" t="s">
        <v>16642</v>
      </c>
      <c r="D5176" t="str">
        <f>"4143"</f>
        <v>4143</v>
      </c>
      <c r="E5176" t="s">
        <v>16626</v>
      </c>
      <c r="F5176" t="s">
        <v>16623</v>
      </c>
      <c r="G5176" t="s">
        <v>16235</v>
      </c>
      <c r="H5176" t="s">
        <v>47055</v>
      </c>
      <c r="I5176" t="s">
        <v>47127</v>
      </c>
      <c r="J5176" t="s">
        <v>47128</v>
      </c>
      <c r="K5176" t="s">
        <v>47113</v>
      </c>
      <c r="L5176">
        <v>31.3</v>
      </c>
      <c r="M5176">
        <v>55</v>
      </c>
      <c r="N5176">
        <v>0</v>
      </c>
      <c r="O5176">
        <v>55</v>
      </c>
      <c r="P5176">
        <v>0</v>
      </c>
    </row>
    <row r="5177" spans="1:16" x14ac:dyDescent="0.25">
      <c r="A5177" t="s">
        <v>27568</v>
      </c>
      <c r="B5177" t="s">
        <v>16641</v>
      </c>
      <c r="C5177" t="s">
        <v>16642</v>
      </c>
      <c r="D5177" t="str">
        <f>"6064"</f>
        <v>6064</v>
      </c>
      <c r="E5177" t="s">
        <v>87</v>
      </c>
      <c r="F5177" t="s">
        <v>16623</v>
      </c>
      <c r="G5177" t="s">
        <v>16235</v>
      </c>
      <c r="H5177" t="s">
        <v>47055</v>
      </c>
      <c r="I5177" t="s">
        <v>47127</v>
      </c>
      <c r="J5177" t="s">
        <v>47128</v>
      </c>
      <c r="K5177" t="s">
        <v>47113</v>
      </c>
      <c r="L5177">
        <v>31.3</v>
      </c>
      <c r="M5177">
        <v>55</v>
      </c>
      <c r="N5177">
        <v>0</v>
      </c>
      <c r="O5177">
        <v>55</v>
      </c>
      <c r="P5177">
        <v>0</v>
      </c>
    </row>
    <row r="5178" spans="1:16" x14ac:dyDescent="0.25">
      <c r="A5178" t="s">
        <v>27569</v>
      </c>
      <c r="B5178" t="s">
        <v>16643</v>
      </c>
      <c r="C5178" t="s">
        <v>16644</v>
      </c>
      <c r="D5178" t="str">
        <f>"1001"</f>
        <v>1001</v>
      </c>
      <c r="E5178" t="s">
        <v>42</v>
      </c>
      <c r="F5178" t="s">
        <v>16623</v>
      </c>
      <c r="G5178" t="s">
        <v>16235</v>
      </c>
      <c r="H5178" t="s">
        <v>47055</v>
      </c>
      <c r="I5178" t="s">
        <v>47127</v>
      </c>
      <c r="J5178" t="s">
        <v>47128</v>
      </c>
      <c r="K5178" t="s">
        <v>47113</v>
      </c>
      <c r="L5178">
        <v>42.48</v>
      </c>
      <c r="M5178">
        <v>70</v>
      </c>
      <c r="N5178">
        <v>0</v>
      </c>
      <c r="O5178">
        <v>70</v>
      </c>
      <c r="P5178">
        <v>0</v>
      </c>
    </row>
    <row r="5179" spans="1:16" x14ac:dyDescent="0.25">
      <c r="A5179" t="s">
        <v>27570</v>
      </c>
      <c r="B5179" t="s">
        <v>16643</v>
      </c>
      <c r="C5179" t="s">
        <v>16644</v>
      </c>
      <c r="D5179" t="str">
        <f>"1023"</f>
        <v>1023</v>
      </c>
      <c r="E5179" t="s">
        <v>1815</v>
      </c>
      <c r="F5179" t="s">
        <v>16623</v>
      </c>
      <c r="G5179" t="s">
        <v>16235</v>
      </c>
      <c r="H5179" t="s">
        <v>47055</v>
      </c>
      <c r="I5179" t="s">
        <v>47127</v>
      </c>
      <c r="J5179" t="s">
        <v>47128</v>
      </c>
      <c r="K5179" t="s">
        <v>47113</v>
      </c>
      <c r="L5179">
        <v>42.48</v>
      </c>
      <c r="M5179">
        <v>70</v>
      </c>
      <c r="N5179">
        <v>0</v>
      </c>
      <c r="O5179">
        <v>70</v>
      </c>
      <c r="P5179">
        <v>0</v>
      </c>
    </row>
    <row r="5180" spans="1:16" x14ac:dyDescent="0.25">
      <c r="A5180" t="s">
        <v>27571</v>
      </c>
      <c r="B5180" t="s">
        <v>16643</v>
      </c>
      <c r="C5180" t="s">
        <v>16644</v>
      </c>
      <c r="D5180" t="str">
        <f>"1285"</f>
        <v>1285</v>
      </c>
      <c r="E5180" t="s">
        <v>2148</v>
      </c>
      <c r="F5180" t="s">
        <v>16623</v>
      </c>
      <c r="G5180" t="s">
        <v>16235</v>
      </c>
      <c r="H5180" t="s">
        <v>47055</v>
      </c>
      <c r="I5180" t="s">
        <v>47127</v>
      </c>
      <c r="J5180" t="s">
        <v>47128</v>
      </c>
      <c r="K5180" t="s">
        <v>47113</v>
      </c>
      <c r="L5180">
        <v>42.48</v>
      </c>
      <c r="M5180">
        <v>70</v>
      </c>
      <c r="N5180">
        <v>0</v>
      </c>
      <c r="O5180">
        <v>70</v>
      </c>
      <c r="P5180">
        <v>0</v>
      </c>
    </row>
    <row r="5181" spans="1:16" x14ac:dyDescent="0.25">
      <c r="A5181" t="s">
        <v>27572</v>
      </c>
      <c r="B5181" t="s">
        <v>16643</v>
      </c>
      <c r="C5181" t="s">
        <v>16644</v>
      </c>
      <c r="D5181" t="str">
        <f>"2701"</f>
        <v>2701</v>
      </c>
      <c r="E5181" t="s">
        <v>2149</v>
      </c>
      <c r="F5181" t="s">
        <v>16623</v>
      </c>
      <c r="G5181" t="s">
        <v>16235</v>
      </c>
      <c r="H5181" t="s">
        <v>47055</v>
      </c>
      <c r="I5181" t="s">
        <v>47127</v>
      </c>
      <c r="J5181" t="s">
        <v>47128</v>
      </c>
      <c r="K5181" t="s">
        <v>47113</v>
      </c>
      <c r="L5181">
        <v>42.48</v>
      </c>
      <c r="M5181">
        <v>70</v>
      </c>
      <c r="N5181">
        <v>0</v>
      </c>
      <c r="O5181">
        <v>70</v>
      </c>
      <c r="P5181">
        <v>0</v>
      </c>
    </row>
    <row r="5182" spans="1:16" x14ac:dyDescent="0.25">
      <c r="A5182" t="s">
        <v>27573</v>
      </c>
      <c r="B5182" t="s">
        <v>16643</v>
      </c>
      <c r="C5182" t="s">
        <v>16644</v>
      </c>
      <c r="D5182" t="str">
        <f>"4000"</f>
        <v>4000</v>
      </c>
      <c r="E5182" t="s">
        <v>16630</v>
      </c>
      <c r="F5182" t="s">
        <v>16623</v>
      </c>
      <c r="G5182" t="s">
        <v>16235</v>
      </c>
      <c r="H5182" t="s">
        <v>47055</v>
      </c>
      <c r="I5182" t="s">
        <v>47127</v>
      </c>
      <c r="J5182" t="s">
        <v>47128</v>
      </c>
      <c r="K5182" t="s">
        <v>47113</v>
      </c>
      <c r="L5182">
        <v>42.48</v>
      </c>
      <c r="M5182">
        <v>70</v>
      </c>
      <c r="N5182">
        <v>0</v>
      </c>
      <c r="O5182">
        <v>70</v>
      </c>
      <c r="P5182">
        <v>0</v>
      </c>
    </row>
    <row r="5183" spans="1:16" x14ac:dyDescent="0.25">
      <c r="A5183" t="s">
        <v>27574</v>
      </c>
      <c r="B5183" t="s">
        <v>16643</v>
      </c>
      <c r="C5183" t="s">
        <v>16644</v>
      </c>
      <c r="D5183" t="str">
        <f>"4143"</f>
        <v>4143</v>
      </c>
      <c r="E5183" t="s">
        <v>16626</v>
      </c>
      <c r="F5183" t="s">
        <v>16623</v>
      </c>
      <c r="G5183" t="s">
        <v>16235</v>
      </c>
      <c r="H5183" t="s">
        <v>47055</v>
      </c>
      <c r="I5183" t="s">
        <v>47127</v>
      </c>
      <c r="J5183" t="s">
        <v>47128</v>
      </c>
      <c r="K5183" t="s">
        <v>47113</v>
      </c>
      <c r="L5183">
        <v>42.48</v>
      </c>
      <c r="M5183">
        <v>70</v>
      </c>
      <c r="N5183">
        <v>0</v>
      </c>
      <c r="O5183">
        <v>70</v>
      </c>
      <c r="P5183">
        <v>0</v>
      </c>
    </row>
    <row r="5184" spans="1:16" x14ac:dyDescent="0.25">
      <c r="A5184" t="s">
        <v>27575</v>
      </c>
      <c r="B5184" t="s">
        <v>16643</v>
      </c>
      <c r="C5184" t="s">
        <v>16644</v>
      </c>
      <c r="D5184" t="str">
        <f>"6064"</f>
        <v>6064</v>
      </c>
      <c r="E5184" t="s">
        <v>87</v>
      </c>
      <c r="F5184" t="s">
        <v>16623</v>
      </c>
      <c r="G5184" t="s">
        <v>16235</v>
      </c>
      <c r="H5184" t="s">
        <v>47055</v>
      </c>
      <c r="I5184" t="s">
        <v>47127</v>
      </c>
      <c r="J5184" t="s">
        <v>47128</v>
      </c>
      <c r="K5184" t="s">
        <v>47113</v>
      </c>
      <c r="L5184">
        <v>42.48</v>
      </c>
      <c r="M5184">
        <v>70</v>
      </c>
      <c r="N5184">
        <v>0</v>
      </c>
      <c r="O5184">
        <v>70</v>
      </c>
      <c r="P5184">
        <v>0</v>
      </c>
    </row>
    <row r="5185" spans="1:16" x14ac:dyDescent="0.25">
      <c r="A5185" t="s">
        <v>27576</v>
      </c>
      <c r="B5185" t="s">
        <v>16645</v>
      </c>
      <c r="C5185" t="s">
        <v>16646</v>
      </c>
      <c r="D5185" t="str">
        <f>"1285"</f>
        <v>1285</v>
      </c>
      <c r="E5185" t="s">
        <v>2148</v>
      </c>
      <c r="F5185" t="s">
        <v>16623</v>
      </c>
      <c r="G5185" t="s">
        <v>16222</v>
      </c>
      <c r="H5185" t="s">
        <v>47055</v>
      </c>
      <c r="I5185" t="s">
        <v>47127</v>
      </c>
      <c r="J5185" t="s">
        <v>47128</v>
      </c>
      <c r="K5185" t="s">
        <v>47113</v>
      </c>
      <c r="L5185">
        <v>26.83</v>
      </c>
      <c r="M5185">
        <v>48</v>
      </c>
      <c r="N5185">
        <v>0</v>
      </c>
      <c r="O5185">
        <v>48</v>
      </c>
      <c r="P5185">
        <v>0</v>
      </c>
    </row>
    <row r="5186" spans="1:16" x14ac:dyDescent="0.25">
      <c r="A5186" t="s">
        <v>27577</v>
      </c>
      <c r="B5186" t="s">
        <v>16645</v>
      </c>
      <c r="C5186" t="s">
        <v>16646</v>
      </c>
      <c r="D5186" t="str">
        <f>"1378"</f>
        <v>1378</v>
      </c>
      <c r="E5186" t="s">
        <v>388</v>
      </c>
      <c r="F5186" t="s">
        <v>16623</v>
      </c>
      <c r="G5186" t="s">
        <v>16222</v>
      </c>
      <c r="H5186" t="s">
        <v>47055</v>
      </c>
      <c r="I5186" t="s">
        <v>47127</v>
      </c>
      <c r="J5186" t="s">
        <v>47128</v>
      </c>
      <c r="K5186" t="s">
        <v>47113</v>
      </c>
      <c r="L5186">
        <v>26.83</v>
      </c>
      <c r="M5186">
        <v>48</v>
      </c>
      <c r="N5186">
        <v>0</v>
      </c>
      <c r="O5186">
        <v>48</v>
      </c>
      <c r="P5186">
        <v>0</v>
      </c>
    </row>
    <row r="5187" spans="1:16" x14ac:dyDescent="0.25">
      <c r="A5187" t="s">
        <v>27578</v>
      </c>
      <c r="B5187" t="s">
        <v>16645</v>
      </c>
      <c r="C5187" t="s">
        <v>16646</v>
      </c>
      <c r="D5187" t="str">
        <f>"3160"</f>
        <v>3160</v>
      </c>
      <c r="E5187" t="s">
        <v>16602</v>
      </c>
      <c r="F5187" t="s">
        <v>16623</v>
      </c>
      <c r="G5187" t="s">
        <v>16222</v>
      </c>
      <c r="H5187" t="s">
        <v>47055</v>
      </c>
      <c r="I5187" t="s">
        <v>47127</v>
      </c>
      <c r="J5187" t="s">
        <v>47128</v>
      </c>
      <c r="K5187" t="s">
        <v>47113</v>
      </c>
      <c r="L5187">
        <v>26.83</v>
      </c>
      <c r="M5187">
        <v>48</v>
      </c>
      <c r="N5187">
        <v>0</v>
      </c>
      <c r="O5187">
        <v>48</v>
      </c>
      <c r="P5187">
        <v>0</v>
      </c>
    </row>
    <row r="5188" spans="1:16" x14ac:dyDescent="0.25">
      <c r="A5188" t="s">
        <v>27579</v>
      </c>
      <c r="B5188" t="s">
        <v>16645</v>
      </c>
      <c r="C5188" t="s">
        <v>16646</v>
      </c>
      <c r="D5188" t="str">
        <f>"4000"</f>
        <v>4000</v>
      </c>
      <c r="E5188" t="s">
        <v>16630</v>
      </c>
      <c r="F5188" t="s">
        <v>16623</v>
      </c>
      <c r="G5188" t="s">
        <v>16222</v>
      </c>
      <c r="H5188" t="s">
        <v>47055</v>
      </c>
      <c r="I5188" t="s">
        <v>47127</v>
      </c>
      <c r="J5188" t="s">
        <v>47128</v>
      </c>
      <c r="K5188" t="s">
        <v>47113</v>
      </c>
      <c r="L5188">
        <v>26.83</v>
      </c>
      <c r="M5188">
        <v>48</v>
      </c>
      <c r="N5188">
        <v>0</v>
      </c>
      <c r="O5188">
        <v>48</v>
      </c>
      <c r="P5188">
        <v>0</v>
      </c>
    </row>
    <row r="5189" spans="1:16" x14ac:dyDescent="0.25">
      <c r="A5189" t="s">
        <v>27580</v>
      </c>
      <c r="B5189" t="s">
        <v>16645</v>
      </c>
      <c r="C5189" t="s">
        <v>16646</v>
      </c>
      <c r="D5189" t="str">
        <f>"4001"</f>
        <v>4001</v>
      </c>
      <c r="E5189" t="s">
        <v>16647</v>
      </c>
      <c r="F5189" t="s">
        <v>16623</v>
      </c>
      <c r="G5189" t="s">
        <v>16222</v>
      </c>
      <c r="H5189" t="s">
        <v>47055</v>
      </c>
      <c r="I5189" t="s">
        <v>47127</v>
      </c>
      <c r="J5189" t="s">
        <v>47128</v>
      </c>
      <c r="K5189" t="s">
        <v>47113</v>
      </c>
      <c r="L5189">
        <v>26.83</v>
      </c>
      <c r="M5189">
        <v>48</v>
      </c>
      <c r="N5189">
        <v>0</v>
      </c>
      <c r="O5189">
        <v>48</v>
      </c>
      <c r="P5189">
        <v>0</v>
      </c>
    </row>
    <row r="5190" spans="1:16" x14ac:dyDescent="0.25">
      <c r="A5190" t="s">
        <v>27581</v>
      </c>
      <c r="B5190" t="s">
        <v>16645</v>
      </c>
      <c r="C5190" t="s">
        <v>16646</v>
      </c>
      <c r="D5190" t="str">
        <f>"4143"</f>
        <v>4143</v>
      </c>
      <c r="E5190" t="s">
        <v>16626</v>
      </c>
      <c r="F5190" t="s">
        <v>16623</v>
      </c>
      <c r="G5190" t="s">
        <v>16222</v>
      </c>
      <c r="H5190" t="s">
        <v>47055</v>
      </c>
      <c r="I5190" t="s">
        <v>47127</v>
      </c>
      <c r="J5190" t="s">
        <v>47128</v>
      </c>
      <c r="K5190" t="s">
        <v>47113</v>
      </c>
      <c r="L5190">
        <v>26.83</v>
      </c>
      <c r="M5190">
        <v>48</v>
      </c>
      <c r="N5190">
        <v>0</v>
      </c>
      <c r="O5190">
        <v>48</v>
      </c>
      <c r="P5190">
        <v>0</v>
      </c>
    </row>
    <row r="5191" spans="1:16" x14ac:dyDescent="0.25">
      <c r="A5191" t="s">
        <v>27582</v>
      </c>
      <c r="B5191" t="s">
        <v>16645</v>
      </c>
      <c r="C5191" t="s">
        <v>16646</v>
      </c>
      <c r="D5191" t="str">
        <f>"6064"</f>
        <v>6064</v>
      </c>
      <c r="E5191" t="s">
        <v>87</v>
      </c>
      <c r="F5191" t="s">
        <v>16623</v>
      </c>
      <c r="G5191" t="s">
        <v>16222</v>
      </c>
      <c r="H5191" t="s">
        <v>47055</v>
      </c>
      <c r="I5191" t="s">
        <v>47127</v>
      </c>
      <c r="J5191" t="s">
        <v>47128</v>
      </c>
      <c r="K5191" t="s">
        <v>47113</v>
      </c>
      <c r="L5191">
        <v>26.83</v>
      </c>
      <c r="M5191">
        <v>48</v>
      </c>
      <c r="N5191">
        <v>0</v>
      </c>
      <c r="O5191">
        <v>48</v>
      </c>
      <c r="P5191">
        <v>0</v>
      </c>
    </row>
    <row r="5192" spans="1:16" x14ac:dyDescent="0.25">
      <c r="A5192" t="s">
        <v>27583</v>
      </c>
      <c r="B5192" t="s">
        <v>16648</v>
      </c>
      <c r="C5192" t="s">
        <v>16649</v>
      </c>
      <c r="D5192" t="str">
        <f>"1285"</f>
        <v>1285</v>
      </c>
      <c r="E5192" t="s">
        <v>2148</v>
      </c>
      <c r="F5192" t="s">
        <v>16623</v>
      </c>
      <c r="G5192" t="s">
        <v>16222</v>
      </c>
      <c r="H5192" t="s">
        <v>47055</v>
      </c>
      <c r="I5192" t="s">
        <v>47127</v>
      </c>
      <c r="J5192" t="s">
        <v>47128</v>
      </c>
      <c r="K5192" t="s">
        <v>47113</v>
      </c>
      <c r="L5192">
        <v>26.83</v>
      </c>
      <c r="M5192">
        <v>48</v>
      </c>
      <c r="N5192">
        <v>0</v>
      </c>
      <c r="O5192">
        <v>48</v>
      </c>
      <c r="P5192">
        <v>0</v>
      </c>
    </row>
    <row r="5193" spans="1:16" x14ac:dyDescent="0.25">
      <c r="A5193" t="s">
        <v>27584</v>
      </c>
      <c r="B5193" t="s">
        <v>16648</v>
      </c>
      <c r="C5193" t="s">
        <v>16649</v>
      </c>
      <c r="D5193" t="str">
        <f>"1378"</f>
        <v>1378</v>
      </c>
      <c r="E5193" t="s">
        <v>388</v>
      </c>
      <c r="F5193" t="s">
        <v>16623</v>
      </c>
      <c r="G5193" t="s">
        <v>16222</v>
      </c>
      <c r="H5193" t="s">
        <v>47055</v>
      </c>
      <c r="I5193" t="s">
        <v>47127</v>
      </c>
      <c r="J5193" t="s">
        <v>47128</v>
      </c>
      <c r="K5193" t="s">
        <v>47113</v>
      </c>
      <c r="L5193">
        <v>26.83</v>
      </c>
      <c r="M5193">
        <v>48</v>
      </c>
      <c r="N5193">
        <v>0</v>
      </c>
      <c r="O5193">
        <v>48</v>
      </c>
      <c r="P5193">
        <v>0</v>
      </c>
    </row>
    <row r="5194" spans="1:16" x14ac:dyDescent="0.25">
      <c r="A5194" t="s">
        <v>27585</v>
      </c>
      <c r="B5194" t="s">
        <v>16648</v>
      </c>
      <c r="C5194" t="s">
        <v>16649</v>
      </c>
      <c r="D5194" t="str">
        <f>"2701"</f>
        <v>2701</v>
      </c>
      <c r="E5194" t="s">
        <v>2149</v>
      </c>
      <c r="F5194" t="s">
        <v>16623</v>
      </c>
      <c r="G5194" t="s">
        <v>16222</v>
      </c>
      <c r="H5194" t="s">
        <v>47055</v>
      </c>
      <c r="I5194" t="s">
        <v>47127</v>
      </c>
      <c r="J5194" t="s">
        <v>47128</v>
      </c>
      <c r="K5194" t="s">
        <v>47113</v>
      </c>
      <c r="L5194">
        <v>26.83</v>
      </c>
      <c r="M5194">
        <v>48</v>
      </c>
      <c r="N5194">
        <v>0</v>
      </c>
      <c r="O5194">
        <v>48</v>
      </c>
      <c r="P5194">
        <v>0</v>
      </c>
    </row>
    <row r="5195" spans="1:16" x14ac:dyDescent="0.25">
      <c r="A5195" t="s">
        <v>27586</v>
      </c>
      <c r="B5195" t="s">
        <v>16648</v>
      </c>
      <c r="C5195" t="s">
        <v>16649</v>
      </c>
      <c r="D5195" t="str">
        <f>"3160"</f>
        <v>3160</v>
      </c>
      <c r="E5195" t="s">
        <v>16602</v>
      </c>
      <c r="F5195" t="s">
        <v>16623</v>
      </c>
      <c r="G5195" t="s">
        <v>16222</v>
      </c>
      <c r="H5195" t="s">
        <v>47055</v>
      </c>
      <c r="I5195" t="s">
        <v>47127</v>
      </c>
      <c r="J5195" t="s">
        <v>47128</v>
      </c>
      <c r="K5195" t="s">
        <v>47113</v>
      </c>
      <c r="L5195">
        <v>26.83</v>
      </c>
      <c r="M5195">
        <v>48</v>
      </c>
      <c r="N5195">
        <v>0</v>
      </c>
      <c r="O5195">
        <v>48</v>
      </c>
      <c r="P5195">
        <v>0</v>
      </c>
    </row>
    <row r="5196" spans="1:16" x14ac:dyDescent="0.25">
      <c r="A5196" t="s">
        <v>27587</v>
      </c>
      <c r="B5196" t="s">
        <v>16648</v>
      </c>
      <c r="C5196" t="s">
        <v>16649</v>
      </c>
      <c r="D5196" t="str">
        <f>"4000"</f>
        <v>4000</v>
      </c>
      <c r="E5196" t="s">
        <v>16630</v>
      </c>
      <c r="F5196" t="s">
        <v>16623</v>
      </c>
      <c r="G5196" t="s">
        <v>16222</v>
      </c>
      <c r="H5196" t="s">
        <v>47055</v>
      </c>
      <c r="I5196" t="s">
        <v>47127</v>
      </c>
      <c r="J5196" t="s">
        <v>47128</v>
      </c>
      <c r="K5196" t="s">
        <v>47113</v>
      </c>
      <c r="L5196">
        <v>26.83</v>
      </c>
      <c r="M5196">
        <v>48</v>
      </c>
      <c r="N5196">
        <v>0</v>
      </c>
      <c r="O5196">
        <v>48</v>
      </c>
      <c r="P5196">
        <v>0</v>
      </c>
    </row>
    <row r="5197" spans="1:16" x14ac:dyDescent="0.25">
      <c r="A5197" t="s">
        <v>27588</v>
      </c>
      <c r="B5197" t="s">
        <v>16648</v>
      </c>
      <c r="C5197" t="s">
        <v>16649</v>
      </c>
      <c r="D5197" t="str">
        <f>"4001"</f>
        <v>4001</v>
      </c>
      <c r="E5197" t="s">
        <v>16647</v>
      </c>
      <c r="F5197" t="s">
        <v>16623</v>
      </c>
      <c r="G5197" t="s">
        <v>16222</v>
      </c>
      <c r="H5197" t="s">
        <v>47055</v>
      </c>
      <c r="I5197" t="s">
        <v>47127</v>
      </c>
      <c r="J5197" t="s">
        <v>47128</v>
      </c>
      <c r="K5197" t="s">
        <v>47113</v>
      </c>
      <c r="L5197">
        <v>26.83</v>
      </c>
      <c r="M5197">
        <v>48</v>
      </c>
      <c r="N5197">
        <v>0</v>
      </c>
      <c r="O5197">
        <v>48</v>
      </c>
      <c r="P5197">
        <v>0</v>
      </c>
    </row>
    <row r="5198" spans="1:16" x14ac:dyDescent="0.25">
      <c r="A5198" t="s">
        <v>27589</v>
      </c>
      <c r="B5198" t="s">
        <v>16648</v>
      </c>
      <c r="C5198" t="s">
        <v>16649</v>
      </c>
      <c r="D5198" t="str">
        <f>"4143"</f>
        <v>4143</v>
      </c>
      <c r="E5198" t="s">
        <v>16626</v>
      </c>
      <c r="F5198" t="s">
        <v>16623</v>
      </c>
      <c r="G5198" t="s">
        <v>16222</v>
      </c>
      <c r="H5198" t="s">
        <v>47055</v>
      </c>
      <c r="I5198" t="s">
        <v>47127</v>
      </c>
      <c r="J5198" t="s">
        <v>47128</v>
      </c>
      <c r="K5198" t="s">
        <v>47113</v>
      </c>
      <c r="L5198">
        <v>26.83</v>
      </c>
      <c r="M5198">
        <v>48</v>
      </c>
      <c r="N5198">
        <v>0</v>
      </c>
      <c r="O5198">
        <v>48</v>
      </c>
      <c r="P5198">
        <v>0</v>
      </c>
    </row>
    <row r="5199" spans="1:16" x14ac:dyDescent="0.25">
      <c r="A5199" t="s">
        <v>27590</v>
      </c>
      <c r="B5199" t="s">
        <v>16648</v>
      </c>
      <c r="C5199" t="s">
        <v>16649</v>
      </c>
      <c r="D5199" t="str">
        <f>"6064"</f>
        <v>6064</v>
      </c>
      <c r="E5199" t="s">
        <v>87</v>
      </c>
      <c r="F5199" t="s">
        <v>16623</v>
      </c>
      <c r="G5199" t="s">
        <v>16222</v>
      </c>
      <c r="H5199" t="s">
        <v>47055</v>
      </c>
      <c r="I5199" t="s">
        <v>47127</v>
      </c>
      <c r="J5199" t="s">
        <v>47128</v>
      </c>
      <c r="K5199" t="s">
        <v>47113</v>
      </c>
      <c r="L5199">
        <v>26.83</v>
      </c>
      <c r="M5199">
        <v>48</v>
      </c>
      <c r="N5199">
        <v>0</v>
      </c>
      <c r="O5199">
        <v>48</v>
      </c>
      <c r="P5199">
        <v>0</v>
      </c>
    </row>
    <row r="5200" spans="1:16" x14ac:dyDescent="0.25">
      <c r="A5200" t="s">
        <v>27591</v>
      </c>
      <c r="B5200" t="s">
        <v>16650</v>
      </c>
      <c r="C5200" t="s">
        <v>16651</v>
      </c>
      <c r="D5200" t="str">
        <f>"1285"</f>
        <v>1285</v>
      </c>
      <c r="E5200" t="s">
        <v>2148</v>
      </c>
      <c r="F5200" t="s">
        <v>16623</v>
      </c>
      <c r="G5200" t="s">
        <v>16222</v>
      </c>
      <c r="H5200" t="s">
        <v>47055</v>
      </c>
      <c r="I5200" t="s">
        <v>47127</v>
      </c>
      <c r="J5200" t="s">
        <v>47128</v>
      </c>
      <c r="K5200" t="s">
        <v>47113</v>
      </c>
      <c r="L5200">
        <v>26.83</v>
      </c>
      <c r="M5200">
        <v>48</v>
      </c>
      <c r="N5200">
        <v>0</v>
      </c>
      <c r="O5200">
        <v>48</v>
      </c>
      <c r="P5200">
        <v>0</v>
      </c>
    </row>
    <row r="5201" spans="1:16" x14ac:dyDescent="0.25">
      <c r="A5201" t="s">
        <v>27592</v>
      </c>
      <c r="B5201" t="s">
        <v>16650</v>
      </c>
      <c r="C5201" t="s">
        <v>16651</v>
      </c>
      <c r="D5201" t="str">
        <f>"1378"</f>
        <v>1378</v>
      </c>
      <c r="E5201" t="s">
        <v>388</v>
      </c>
      <c r="F5201" t="s">
        <v>16623</v>
      </c>
      <c r="G5201" t="s">
        <v>16222</v>
      </c>
      <c r="H5201" t="s">
        <v>47055</v>
      </c>
      <c r="I5201" t="s">
        <v>47127</v>
      </c>
      <c r="J5201" t="s">
        <v>47128</v>
      </c>
      <c r="K5201" t="s">
        <v>47113</v>
      </c>
      <c r="L5201">
        <v>26.83</v>
      </c>
      <c r="M5201">
        <v>48</v>
      </c>
      <c r="N5201">
        <v>0</v>
      </c>
      <c r="O5201">
        <v>48</v>
      </c>
      <c r="P5201">
        <v>0</v>
      </c>
    </row>
    <row r="5202" spans="1:16" x14ac:dyDescent="0.25">
      <c r="A5202" t="s">
        <v>27593</v>
      </c>
      <c r="B5202" t="s">
        <v>16650</v>
      </c>
      <c r="C5202" t="s">
        <v>16651</v>
      </c>
      <c r="D5202" t="str">
        <f>"3160"</f>
        <v>3160</v>
      </c>
      <c r="E5202" t="s">
        <v>16602</v>
      </c>
      <c r="F5202" t="s">
        <v>16623</v>
      </c>
      <c r="G5202" t="s">
        <v>16222</v>
      </c>
      <c r="H5202" t="s">
        <v>47055</v>
      </c>
      <c r="I5202" t="s">
        <v>47127</v>
      </c>
      <c r="J5202" t="s">
        <v>47128</v>
      </c>
      <c r="K5202" t="s">
        <v>47113</v>
      </c>
      <c r="L5202">
        <v>26.83</v>
      </c>
      <c r="M5202">
        <v>48</v>
      </c>
      <c r="N5202">
        <v>0</v>
      </c>
      <c r="O5202">
        <v>48</v>
      </c>
      <c r="P5202">
        <v>0</v>
      </c>
    </row>
    <row r="5203" spans="1:16" x14ac:dyDescent="0.25">
      <c r="A5203" t="s">
        <v>27594</v>
      </c>
      <c r="B5203" t="s">
        <v>16650</v>
      </c>
      <c r="C5203" t="s">
        <v>16651</v>
      </c>
      <c r="D5203" t="str">
        <f>"4000"</f>
        <v>4000</v>
      </c>
      <c r="E5203" t="s">
        <v>16630</v>
      </c>
      <c r="F5203" t="s">
        <v>16623</v>
      </c>
      <c r="G5203" t="s">
        <v>16222</v>
      </c>
      <c r="H5203" t="s">
        <v>47055</v>
      </c>
      <c r="I5203" t="s">
        <v>47127</v>
      </c>
      <c r="J5203" t="s">
        <v>47128</v>
      </c>
      <c r="K5203" t="s">
        <v>47113</v>
      </c>
      <c r="L5203">
        <v>26.83</v>
      </c>
      <c r="M5203">
        <v>48</v>
      </c>
      <c r="N5203">
        <v>0</v>
      </c>
      <c r="O5203">
        <v>48</v>
      </c>
      <c r="P5203">
        <v>0</v>
      </c>
    </row>
    <row r="5204" spans="1:16" x14ac:dyDescent="0.25">
      <c r="A5204" t="s">
        <v>27595</v>
      </c>
      <c r="B5204" t="s">
        <v>16650</v>
      </c>
      <c r="C5204" t="s">
        <v>16651</v>
      </c>
      <c r="D5204" t="str">
        <f>"4143"</f>
        <v>4143</v>
      </c>
      <c r="E5204" t="s">
        <v>16626</v>
      </c>
      <c r="F5204" t="s">
        <v>16623</v>
      </c>
      <c r="G5204" t="s">
        <v>16222</v>
      </c>
      <c r="H5204" t="s">
        <v>47055</v>
      </c>
      <c r="I5204" t="s">
        <v>47127</v>
      </c>
      <c r="J5204" t="s">
        <v>47128</v>
      </c>
      <c r="K5204" t="s">
        <v>47113</v>
      </c>
      <c r="L5204">
        <v>26.83</v>
      </c>
      <c r="M5204">
        <v>48</v>
      </c>
      <c r="N5204">
        <v>0</v>
      </c>
      <c r="O5204">
        <v>48</v>
      </c>
      <c r="P5204">
        <v>0</v>
      </c>
    </row>
    <row r="5205" spans="1:16" x14ac:dyDescent="0.25">
      <c r="A5205" t="s">
        <v>27596</v>
      </c>
      <c r="B5205" t="s">
        <v>16650</v>
      </c>
      <c r="C5205" t="s">
        <v>16651</v>
      </c>
      <c r="D5205" t="str">
        <f>"5000"</f>
        <v>5000</v>
      </c>
      <c r="E5205" t="s">
        <v>16627</v>
      </c>
      <c r="F5205" t="s">
        <v>16623</v>
      </c>
      <c r="G5205" t="s">
        <v>16222</v>
      </c>
      <c r="H5205" t="s">
        <v>47055</v>
      </c>
      <c r="I5205" t="s">
        <v>47127</v>
      </c>
      <c r="J5205" t="s">
        <v>47128</v>
      </c>
      <c r="K5205" t="s">
        <v>47113</v>
      </c>
      <c r="L5205">
        <v>26.83</v>
      </c>
      <c r="M5205">
        <v>48</v>
      </c>
      <c r="N5205">
        <v>0</v>
      </c>
      <c r="O5205">
        <v>48</v>
      </c>
      <c r="P5205">
        <v>0</v>
      </c>
    </row>
    <row r="5206" spans="1:16" x14ac:dyDescent="0.25">
      <c r="A5206" t="s">
        <v>27597</v>
      </c>
      <c r="B5206" t="s">
        <v>16650</v>
      </c>
      <c r="C5206" t="s">
        <v>16651</v>
      </c>
      <c r="D5206" t="str">
        <f>"6064"</f>
        <v>6064</v>
      </c>
      <c r="E5206" t="s">
        <v>87</v>
      </c>
      <c r="F5206" t="s">
        <v>16623</v>
      </c>
      <c r="G5206" t="s">
        <v>16222</v>
      </c>
      <c r="H5206" t="s">
        <v>47055</v>
      </c>
      <c r="I5206" t="s">
        <v>47127</v>
      </c>
      <c r="J5206" t="s">
        <v>47128</v>
      </c>
      <c r="K5206" t="s">
        <v>47113</v>
      </c>
      <c r="L5206">
        <v>26.83</v>
      </c>
      <c r="M5206">
        <v>48</v>
      </c>
      <c r="N5206">
        <v>0</v>
      </c>
      <c r="O5206">
        <v>48</v>
      </c>
      <c r="P5206">
        <v>0</v>
      </c>
    </row>
    <row r="5207" spans="1:16" x14ac:dyDescent="0.25">
      <c r="A5207" t="s">
        <v>27598</v>
      </c>
      <c r="B5207" t="s">
        <v>16652</v>
      </c>
      <c r="C5207" t="s">
        <v>16653</v>
      </c>
      <c r="D5207" t="str">
        <f>"1285"</f>
        <v>1285</v>
      </c>
      <c r="E5207" t="s">
        <v>2148</v>
      </c>
      <c r="F5207" t="s">
        <v>16623</v>
      </c>
      <c r="G5207" t="s">
        <v>16222</v>
      </c>
      <c r="H5207" t="s">
        <v>47055</v>
      </c>
      <c r="I5207" t="s">
        <v>47127</v>
      </c>
      <c r="J5207" t="s">
        <v>47128</v>
      </c>
      <c r="K5207" t="s">
        <v>47113</v>
      </c>
      <c r="L5207">
        <v>29.07</v>
      </c>
      <c r="M5207">
        <v>55</v>
      </c>
      <c r="N5207">
        <v>0</v>
      </c>
      <c r="O5207">
        <v>55</v>
      </c>
      <c r="P5207">
        <v>0</v>
      </c>
    </row>
    <row r="5208" spans="1:16" x14ac:dyDescent="0.25">
      <c r="A5208" t="s">
        <v>27599</v>
      </c>
      <c r="B5208" t="s">
        <v>16652</v>
      </c>
      <c r="C5208" t="s">
        <v>16653</v>
      </c>
      <c r="D5208" t="str">
        <f>"1378"</f>
        <v>1378</v>
      </c>
      <c r="E5208" t="s">
        <v>388</v>
      </c>
      <c r="F5208" t="s">
        <v>16623</v>
      </c>
      <c r="G5208" t="s">
        <v>16222</v>
      </c>
      <c r="H5208" t="s">
        <v>47055</v>
      </c>
      <c r="I5208" t="s">
        <v>47127</v>
      </c>
      <c r="J5208" t="s">
        <v>47128</v>
      </c>
      <c r="K5208" t="s">
        <v>47113</v>
      </c>
      <c r="L5208">
        <v>29.07</v>
      </c>
      <c r="M5208">
        <v>55</v>
      </c>
      <c r="N5208">
        <v>0</v>
      </c>
      <c r="O5208">
        <v>55</v>
      </c>
      <c r="P5208">
        <v>0</v>
      </c>
    </row>
    <row r="5209" spans="1:16" x14ac:dyDescent="0.25">
      <c r="A5209" t="s">
        <v>27600</v>
      </c>
      <c r="B5209" t="s">
        <v>16652</v>
      </c>
      <c r="C5209" t="s">
        <v>16653</v>
      </c>
      <c r="D5209" t="str">
        <f>"3160"</f>
        <v>3160</v>
      </c>
      <c r="E5209" t="s">
        <v>16602</v>
      </c>
      <c r="F5209" t="s">
        <v>16623</v>
      </c>
      <c r="G5209" t="s">
        <v>16222</v>
      </c>
      <c r="H5209" t="s">
        <v>47055</v>
      </c>
      <c r="I5209" t="s">
        <v>47127</v>
      </c>
      <c r="J5209" t="s">
        <v>47128</v>
      </c>
      <c r="K5209" t="s">
        <v>47113</v>
      </c>
      <c r="L5209">
        <v>29.07</v>
      </c>
      <c r="M5209">
        <v>55</v>
      </c>
      <c r="N5209">
        <v>0</v>
      </c>
      <c r="O5209">
        <v>55</v>
      </c>
      <c r="P5209">
        <v>0</v>
      </c>
    </row>
    <row r="5210" spans="1:16" x14ac:dyDescent="0.25">
      <c r="A5210" t="s">
        <v>27601</v>
      </c>
      <c r="B5210" t="s">
        <v>16652</v>
      </c>
      <c r="C5210" t="s">
        <v>16653</v>
      </c>
      <c r="D5210" t="str">
        <f>"4000"</f>
        <v>4000</v>
      </c>
      <c r="E5210" t="s">
        <v>16630</v>
      </c>
      <c r="F5210" t="s">
        <v>16623</v>
      </c>
      <c r="G5210" t="s">
        <v>16222</v>
      </c>
      <c r="H5210" t="s">
        <v>47055</v>
      </c>
      <c r="I5210" t="s">
        <v>47127</v>
      </c>
      <c r="J5210" t="s">
        <v>47128</v>
      </c>
      <c r="K5210" t="s">
        <v>47113</v>
      </c>
      <c r="L5210">
        <v>29.07</v>
      </c>
      <c r="M5210">
        <v>55</v>
      </c>
      <c r="N5210">
        <v>0</v>
      </c>
      <c r="O5210">
        <v>55</v>
      </c>
      <c r="P5210">
        <v>0</v>
      </c>
    </row>
    <row r="5211" spans="1:16" x14ac:dyDescent="0.25">
      <c r="A5211" t="s">
        <v>27602</v>
      </c>
      <c r="B5211" t="s">
        <v>16652</v>
      </c>
      <c r="C5211" t="s">
        <v>16653</v>
      </c>
      <c r="D5211" t="str">
        <f>"4143"</f>
        <v>4143</v>
      </c>
      <c r="E5211" t="s">
        <v>16626</v>
      </c>
      <c r="F5211" t="s">
        <v>16623</v>
      </c>
      <c r="G5211" t="s">
        <v>16222</v>
      </c>
      <c r="H5211" t="s">
        <v>47055</v>
      </c>
      <c r="I5211" t="s">
        <v>47127</v>
      </c>
      <c r="J5211" t="s">
        <v>47128</v>
      </c>
      <c r="K5211" t="s">
        <v>47113</v>
      </c>
      <c r="L5211">
        <v>29.07</v>
      </c>
      <c r="M5211">
        <v>55</v>
      </c>
      <c r="N5211">
        <v>0</v>
      </c>
      <c r="O5211">
        <v>55</v>
      </c>
      <c r="P5211">
        <v>0</v>
      </c>
    </row>
    <row r="5212" spans="1:16" x14ac:dyDescent="0.25">
      <c r="A5212" t="s">
        <v>27603</v>
      </c>
      <c r="B5212" t="s">
        <v>16652</v>
      </c>
      <c r="C5212" t="s">
        <v>16653</v>
      </c>
      <c r="D5212" t="str">
        <f>"5000"</f>
        <v>5000</v>
      </c>
      <c r="E5212" t="s">
        <v>16627</v>
      </c>
      <c r="F5212" t="s">
        <v>16623</v>
      </c>
      <c r="G5212" t="s">
        <v>16222</v>
      </c>
      <c r="H5212" t="s">
        <v>47055</v>
      </c>
      <c r="I5212" t="s">
        <v>47127</v>
      </c>
      <c r="J5212" t="s">
        <v>47128</v>
      </c>
      <c r="K5212" t="s">
        <v>47113</v>
      </c>
      <c r="L5212">
        <v>29.07</v>
      </c>
      <c r="M5212">
        <v>55</v>
      </c>
      <c r="N5212">
        <v>0</v>
      </c>
      <c r="O5212">
        <v>55</v>
      </c>
      <c r="P5212">
        <v>0</v>
      </c>
    </row>
    <row r="5213" spans="1:16" x14ac:dyDescent="0.25">
      <c r="A5213" t="s">
        <v>27604</v>
      </c>
      <c r="B5213" t="s">
        <v>16652</v>
      </c>
      <c r="C5213" t="s">
        <v>16653</v>
      </c>
      <c r="D5213" t="str">
        <f>"6064"</f>
        <v>6064</v>
      </c>
      <c r="E5213" t="s">
        <v>87</v>
      </c>
      <c r="F5213" t="s">
        <v>16623</v>
      </c>
      <c r="G5213" t="s">
        <v>16222</v>
      </c>
      <c r="H5213" t="s">
        <v>47055</v>
      </c>
      <c r="I5213" t="s">
        <v>47127</v>
      </c>
      <c r="J5213" t="s">
        <v>47128</v>
      </c>
      <c r="K5213" t="s">
        <v>47113</v>
      </c>
      <c r="L5213">
        <v>29.07</v>
      </c>
      <c r="M5213">
        <v>55</v>
      </c>
      <c r="N5213">
        <v>0</v>
      </c>
      <c r="O5213">
        <v>55</v>
      </c>
      <c r="P5213">
        <v>0</v>
      </c>
    </row>
    <row r="5214" spans="1:16" x14ac:dyDescent="0.25">
      <c r="A5214" t="s">
        <v>27605</v>
      </c>
      <c r="B5214" t="s">
        <v>16654</v>
      </c>
      <c r="C5214" t="s">
        <v>16655</v>
      </c>
      <c r="D5214" t="str">
        <f>"1285"</f>
        <v>1285</v>
      </c>
      <c r="E5214" t="s">
        <v>2148</v>
      </c>
      <c r="F5214" t="s">
        <v>16623</v>
      </c>
      <c r="G5214" t="s">
        <v>16222</v>
      </c>
      <c r="H5214" t="s">
        <v>47055</v>
      </c>
      <c r="I5214" t="s">
        <v>47127</v>
      </c>
      <c r="J5214" t="s">
        <v>47128</v>
      </c>
      <c r="K5214" t="s">
        <v>47113</v>
      </c>
      <c r="L5214">
        <v>29.07</v>
      </c>
      <c r="M5214">
        <v>55</v>
      </c>
      <c r="N5214">
        <v>0</v>
      </c>
      <c r="O5214">
        <v>55</v>
      </c>
      <c r="P5214">
        <v>0</v>
      </c>
    </row>
    <row r="5215" spans="1:16" x14ac:dyDescent="0.25">
      <c r="A5215" t="s">
        <v>27606</v>
      </c>
      <c r="B5215" t="s">
        <v>16654</v>
      </c>
      <c r="C5215" t="s">
        <v>16655</v>
      </c>
      <c r="D5215" t="str">
        <f>"1378"</f>
        <v>1378</v>
      </c>
      <c r="E5215" t="s">
        <v>388</v>
      </c>
      <c r="F5215" t="s">
        <v>16623</v>
      </c>
      <c r="G5215" t="s">
        <v>16222</v>
      </c>
      <c r="H5215" t="s">
        <v>47055</v>
      </c>
      <c r="I5215" t="s">
        <v>47127</v>
      </c>
      <c r="J5215" t="s">
        <v>47128</v>
      </c>
      <c r="K5215" t="s">
        <v>47113</v>
      </c>
      <c r="L5215">
        <v>29.07</v>
      </c>
      <c r="M5215">
        <v>55</v>
      </c>
      <c r="N5215">
        <v>0</v>
      </c>
      <c r="O5215">
        <v>55</v>
      </c>
      <c r="P5215">
        <v>0</v>
      </c>
    </row>
    <row r="5216" spans="1:16" x14ac:dyDescent="0.25">
      <c r="A5216" t="s">
        <v>27607</v>
      </c>
      <c r="B5216" t="s">
        <v>16654</v>
      </c>
      <c r="C5216" t="s">
        <v>16655</v>
      </c>
      <c r="D5216" t="str">
        <f>"3160"</f>
        <v>3160</v>
      </c>
      <c r="E5216" t="s">
        <v>16602</v>
      </c>
      <c r="F5216" t="s">
        <v>16623</v>
      </c>
      <c r="G5216" t="s">
        <v>16222</v>
      </c>
      <c r="H5216" t="s">
        <v>47055</v>
      </c>
      <c r="I5216" t="s">
        <v>47127</v>
      </c>
      <c r="J5216" t="s">
        <v>47128</v>
      </c>
      <c r="K5216" t="s">
        <v>47113</v>
      </c>
      <c r="L5216">
        <v>29.07</v>
      </c>
      <c r="M5216">
        <v>55</v>
      </c>
      <c r="N5216">
        <v>0</v>
      </c>
      <c r="O5216">
        <v>55</v>
      </c>
      <c r="P5216">
        <v>0</v>
      </c>
    </row>
    <row r="5217" spans="1:16" x14ac:dyDescent="0.25">
      <c r="A5217" t="s">
        <v>27608</v>
      </c>
      <c r="B5217" t="s">
        <v>16654</v>
      </c>
      <c r="C5217" t="s">
        <v>16655</v>
      </c>
      <c r="D5217" t="str">
        <f>"4000"</f>
        <v>4000</v>
      </c>
      <c r="E5217" t="s">
        <v>16630</v>
      </c>
      <c r="F5217" t="s">
        <v>16623</v>
      </c>
      <c r="G5217" t="s">
        <v>16222</v>
      </c>
      <c r="H5217" t="s">
        <v>47055</v>
      </c>
      <c r="I5217" t="s">
        <v>47127</v>
      </c>
      <c r="J5217" t="s">
        <v>47128</v>
      </c>
      <c r="K5217" t="s">
        <v>47113</v>
      </c>
      <c r="L5217">
        <v>29.07</v>
      </c>
      <c r="M5217">
        <v>55</v>
      </c>
      <c r="N5217">
        <v>0</v>
      </c>
      <c r="O5217">
        <v>55</v>
      </c>
      <c r="P5217">
        <v>0</v>
      </c>
    </row>
    <row r="5218" spans="1:16" x14ac:dyDescent="0.25">
      <c r="A5218" t="s">
        <v>27609</v>
      </c>
      <c r="B5218" t="s">
        <v>16654</v>
      </c>
      <c r="C5218" t="s">
        <v>16655</v>
      </c>
      <c r="D5218" t="str">
        <f>"4143"</f>
        <v>4143</v>
      </c>
      <c r="E5218" t="s">
        <v>16626</v>
      </c>
      <c r="F5218" t="s">
        <v>16623</v>
      </c>
      <c r="G5218" t="s">
        <v>16222</v>
      </c>
      <c r="H5218" t="s">
        <v>47055</v>
      </c>
      <c r="I5218" t="s">
        <v>47127</v>
      </c>
      <c r="J5218" t="s">
        <v>47128</v>
      </c>
      <c r="K5218" t="s">
        <v>47113</v>
      </c>
      <c r="L5218">
        <v>29.07</v>
      </c>
      <c r="M5218">
        <v>55</v>
      </c>
      <c r="N5218">
        <v>0</v>
      </c>
      <c r="O5218">
        <v>55</v>
      </c>
      <c r="P5218">
        <v>0</v>
      </c>
    </row>
    <row r="5219" spans="1:16" x14ac:dyDescent="0.25">
      <c r="A5219" t="s">
        <v>27610</v>
      </c>
      <c r="B5219" t="s">
        <v>16656</v>
      </c>
      <c r="C5219" t="s">
        <v>16657</v>
      </c>
      <c r="D5219" t="str">
        <f>"1001"</f>
        <v>1001</v>
      </c>
      <c r="E5219" t="s">
        <v>42</v>
      </c>
      <c r="F5219" t="s">
        <v>16623</v>
      </c>
      <c r="G5219" t="s">
        <v>16222</v>
      </c>
      <c r="H5219" t="s">
        <v>47055</v>
      </c>
      <c r="I5219" t="s">
        <v>47127</v>
      </c>
      <c r="J5219" t="s">
        <v>47128</v>
      </c>
      <c r="K5219" t="s">
        <v>47113</v>
      </c>
      <c r="L5219">
        <v>33.54</v>
      </c>
      <c r="M5219">
        <v>59</v>
      </c>
      <c r="N5219">
        <v>0</v>
      </c>
      <c r="O5219">
        <v>59</v>
      </c>
      <c r="P5219">
        <v>0</v>
      </c>
    </row>
    <row r="5220" spans="1:16" x14ac:dyDescent="0.25">
      <c r="A5220" t="s">
        <v>27611</v>
      </c>
      <c r="B5220" t="s">
        <v>16656</v>
      </c>
      <c r="C5220" t="s">
        <v>16657</v>
      </c>
      <c r="D5220" t="str">
        <f>"1278"</f>
        <v>1278</v>
      </c>
      <c r="E5220" t="s">
        <v>100</v>
      </c>
      <c r="F5220" t="s">
        <v>16623</v>
      </c>
      <c r="G5220" t="s">
        <v>16222</v>
      </c>
      <c r="H5220" t="s">
        <v>47055</v>
      </c>
      <c r="I5220" t="s">
        <v>47127</v>
      </c>
      <c r="J5220" t="s">
        <v>47128</v>
      </c>
      <c r="K5220" t="s">
        <v>47113</v>
      </c>
      <c r="L5220">
        <v>33.54</v>
      </c>
      <c r="M5220">
        <v>59</v>
      </c>
      <c r="N5220">
        <v>0</v>
      </c>
      <c r="O5220">
        <v>59</v>
      </c>
      <c r="P5220">
        <v>0</v>
      </c>
    </row>
    <row r="5221" spans="1:16" x14ac:dyDescent="0.25">
      <c r="A5221" t="s">
        <v>27612</v>
      </c>
      <c r="B5221" t="s">
        <v>16656</v>
      </c>
      <c r="C5221" t="s">
        <v>16657</v>
      </c>
      <c r="D5221" t="str">
        <f>"3160"</f>
        <v>3160</v>
      </c>
      <c r="E5221" t="s">
        <v>16602</v>
      </c>
      <c r="F5221" t="s">
        <v>16623</v>
      </c>
      <c r="G5221" t="s">
        <v>16222</v>
      </c>
      <c r="H5221" t="s">
        <v>47055</v>
      </c>
      <c r="I5221" t="s">
        <v>47127</v>
      </c>
      <c r="J5221" t="s">
        <v>47128</v>
      </c>
      <c r="K5221" t="s">
        <v>47113</v>
      </c>
      <c r="L5221">
        <v>33.54</v>
      </c>
      <c r="M5221">
        <v>59</v>
      </c>
      <c r="N5221">
        <v>0</v>
      </c>
      <c r="O5221">
        <v>59</v>
      </c>
      <c r="P5221">
        <v>0</v>
      </c>
    </row>
    <row r="5222" spans="1:16" x14ac:dyDescent="0.25">
      <c r="A5222" t="s">
        <v>27613</v>
      </c>
      <c r="B5222" t="s">
        <v>16656</v>
      </c>
      <c r="C5222" t="s">
        <v>16657</v>
      </c>
      <c r="D5222" t="str">
        <f>"4143"</f>
        <v>4143</v>
      </c>
      <c r="E5222" t="s">
        <v>16626</v>
      </c>
      <c r="F5222" t="s">
        <v>16623</v>
      </c>
      <c r="G5222" t="s">
        <v>16222</v>
      </c>
      <c r="H5222" t="s">
        <v>47055</v>
      </c>
      <c r="I5222" t="s">
        <v>47127</v>
      </c>
      <c r="J5222" t="s">
        <v>47128</v>
      </c>
      <c r="K5222" t="s">
        <v>47113</v>
      </c>
      <c r="L5222">
        <v>33.54</v>
      </c>
      <c r="M5222">
        <v>59</v>
      </c>
      <c r="N5222">
        <v>0</v>
      </c>
      <c r="O5222">
        <v>59</v>
      </c>
      <c r="P5222">
        <v>0</v>
      </c>
    </row>
    <row r="5223" spans="1:16" x14ac:dyDescent="0.25">
      <c r="A5223" t="s">
        <v>27614</v>
      </c>
      <c r="B5223" t="s">
        <v>16656</v>
      </c>
      <c r="C5223" t="s">
        <v>16657</v>
      </c>
      <c r="D5223" t="str">
        <f>"5000"</f>
        <v>5000</v>
      </c>
      <c r="E5223" t="s">
        <v>16627</v>
      </c>
      <c r="F5223" t="s">
        <v>16623</v>
      </c>
      <c r="G5223" t="s">
        <v>16222</v>
      </c>
      <c r="H5223" t="s">
        <v>47055</v>
      </c>
      <c r="I5223" t="s">
        <v>47127</v>
      </c>
      <c r="J5223" t="s">
        <v>47128</v>
      </c>
      <c r="K5223" t="s">
        <v>47113</v>
      </c>
      <c r="L5223">
        <v>33.54</v>
      </c>
      <c r="M5223">
        <v>59</v>
      </c>
      <c r="N5223">
        <v>0</v>
      </c>
      <c r="O5223">
        <v>59</v>
      </c>
      <c r="P5223">
        <v>0</v>
      </c>
    </row>
    <row r="5224" spans="1:16" x14ac:dyDescent="0.25">
      <c r="A5224" t="s">
        <v>27615</v>
      </c>
      <c r="B5224" t="s">
        <v>16656</v>
      </c>
      <c r="C5224" t="s">
        <v>16657</v>
      </c>
      <c r="D5224" t="str">
        <f>"6064"</f>
        <v>6064</v>
      </c>
      <c r="E5224" t="s">
        <v>87</v>
      </c>
      <c r="F5224" t="s">
        <v>16623</v>
      </c>
      <c r="G5224" t="s">
        <v>16222</v>
      </c>
      <c r="H5224" t="s">
        <v>47055</v>
      </c>
      <c r="I5224" t="s">
        <v>47127</v>
      </c>
      <c r="J5224" t="s">
        <v>47128</v>
      </c>
      <c r="K5224" t="s">
        <v>47113</v>
      </c>
      <c r="L5224">
        <v>33.54</v>
      </c>
      <c r="M5224">
        <v>59</v>
      </c>
      <c r="N5224">
        <v>0</v>
      </c>
      <c r="O5224">
        <v>59</v>
      </c>
      <c r="P5224">
        <v>0</v>
      </c>
    </row>
    <row r="5225" spans="1:16" x14ac:dyDescent="0.25">
      <c r="A5225" t="s">
        <v>27616</v>
      </c>
      <c r="B5225" t="s">
        <v>16658</v>
      </c>
      <c r="C5225" t="s">
        <v>16659</v>
      </c>
      <c r="D5225" t="str">
        <f>"1001"</f>
        <v>1001</v>
      </c>
      <c r="E5225" t="s">
        <v>42</v>
      </c>
      <c r="F5225" t="s">
        <v>16623</v>
      </c>
      <c r="G5225" t="s">
        <v>16222</v>
      </c>
      <c r="H5225" t="s">
        <v>47055</v>
      </c>
      <c r="I5225" t="s">
        <v>47127</v>
      </c>
      <c r="J5225" t="s">
        <v>47128</v>
      </c>
      <c r="K5225" t="s">
        <v>47113</v>
      </c>
      <c r="L5225">
        <v>26.83</v>
      </c>
      <c r="M5225">
        <v>48</v>
      </c>
      <c r="N5225">
        <v>0</v>
      </c>
      <c r="O5225">
        <v>48</v>
      </c>
      <c r="P5225">
        <v>0</v>
      </c>
    </row>
    <row r="5226" spans="1:16" x14ac:dyDescent="0.25">
      <c r="A5226" t="s">
        <v>27617</v>
      </c>
      <c r="B5226" t="s">
        <v>16658</v>
      </c>
      <c r="C5226" t="s">
        <v>16659</v>
      </c>
      <c r="D5226" t="str">
        <f>"1278"</f>
        <v>1278</v>
      </c>
      <c r="E5226" t="s">
        <v>100</v>
      </c>
      <c r="F5226" t="s">
        <v>16623</v>
      </c>
      <c r="G5226" t="s">
        <v>16222</v>
      </c>
      <c r="H5226" t="s">
        <v>47055</v>
      </c>
      <c r="I5226" t="s">
        <v>47127</v>
      </c>
      <c r="J5226" t="s">
        <v>47128</v>
      </c>
      <c r="K5226" t="s">
        <v>47113</v>
      </c>
      <c r="L5226">
        <v>26.83</v>
      </c>
      <c r="M5226">
        <v>48</v>
      </c>
      <c r="N5226">
        <v>0</v>
      </c>
      <c r="O5226">
        <v>48</v>
      </c>
      <c r="P5226">
        <v>0</v>
      </c>
    </row>
    <row r="5227" spans="1:16" x14ac:dyDescent="0.25">
      <c r="A5227" t="s">
        <v>27618</v>
      </c>
      <c r="B5227" t="s">
        <v>16660</v>
      </c>
      <c r="C5227" t="s">
        <v>16661</v>
      </c>
      <c r="D5227" t="str">
        <f>"1001"</f>
        <v>1001</v>
      </c>
      <c r="E5227" t="s">
        <v>42</v>
      </c>
      <c r="F5227" t="s">
        <v>16623</v>
      </c>
      <c r="G5227" t="s">
        <v>16224</v>
      </c>
      <c r="H5227" t="s">
        <v>47055</v>
      </c>
      <c r="I5227" t="s">
        <v>47120</v>
      </c>
      <c r="J5227" t="s">
        <v>47121</v>
      </c>
      <c r="K5227" t="s">
        <v>47113</v>
      </c>
      <c r="L5227">
        <v>178.81</v>
      </c>
      <c r="M5227">
        <v>296</v>
      </c>
      <c r="N5227">
        <v>0</v>
      </c>
      <c r="O5227">
        <v>296</v>
      </c>
      <c r="P5227">
        <v>0</v>
      </c>
    </row>
    <row r="5228" spans="1:16" x14ac:dyDescent="0.25">
      <c r="A5228" t="s">
        <v>27619</v>
      </c>
      <c r="B5228" t="s">
        <v>19708</v>
      </c>
      <c r="C5228" t="s">
        <v>19709</v>
      </c>
      <c r="D5228" t="str">
        <f>"1378"</f>
        <v>1378</v>
      </c>
      <c r="E5228" t="s">
        <v>388</v>
      </c>
      <c r="F5228" t="s">
        <v>17351</v>
      </c>
      <c r="G5228" t="s">
        <v>16233</v>
      </c>
      <c r="H5228" t="s">
        <v>47055</v>
      </c>
      <c r="I5228" t="s">
        <v>47120</v>
      </c>
      <c r="J5228" t="s">
        <v>47121</v>
      </c>
      <c r="K5228" t="s">
        <v>47113</v>
      </c>
      <c r="L5228">
        <v>36.69</v>
      </c>
      <c r="M5228">
        <v>51</v>
      </c>
      <c r="N5228">
        <v>0</v>
      </c>
      <c r="O5228">
        <v>51</v>
      </c>
      <c r="P5228">
        <v>0</v>
      </c>
    </row>
    <row r="5229" spans="1:16" x14ac:dyDescent="0.25">
      <c r="A5229" t="s">
        <v>27620</v>
      </c>
      <c r="B5229" t="s">
        <v>19708</v>
      </c>
      <c r="C5229" t="s">
        <v>19709</v>
      </c>
      <c r="D5229" t="str">
        <f>"2701"</f>
        <v>2701</v>
      </c>
      <c r="E5229" t="s">
        <v>2149</v>
      </c>
      <c r="F5229" t="s">
        <v>17351</v>
      </c>
      <c r="G5229" t="s">
        <v>16233</v>
      </c>
      <c r="H5229" t="s">
        <v>47055</v>
      </c>
      <c r="I5229" t="s">
        <v>47120</v>
      </c>
      <c r="J5229" t="s">
        <v>47121</v>
      </c>
      <c r="K5229" t="s">
        <v>47113</v>
      </c>
      <c r="L5229">
        <v>36.69</v>
      </c>
      <c r="M5229">
        <v>51</v>
      </c>
      <c r="N5229">
        <v>0</v>
      </c>
      <c r="O5229">
        <v>51</v>
      </c>
      <c r="P5229">
        <v>0</v>
      </c>
    </row>
    <row r="5230" spans="1:16" x14ac:dyDescent="0.25">
      <c r="A5230" t="s">
        <v>27621</v>
      </c>
      <c r="B5230" t="s">
        <v>19708</v>
      </c>
      <c r="C5230" t="s">
        <v>19709</v>
      </c>
      <c r="D5230" t="str">
        <f>"3160"</f>
        <v>3160</v>
      </c>
      <c r="E5230" t="s">
        <v>16602</v>
      </c>
      <c r="F5230" t="s">
        <v>17351</v>
      </c>
      <c r="G5230" t="s">
        <v>16233</v>
      </c>
      <c r="H5230" t="s">
        <v>47055</v>
      </c>
      <c r="I5230" t="s">
        <v>47120</v>
      </c>
      <c r="J5230" t="s">
        <v>47121</v>
      </c>
      <c r="K5230" t="s">
        <v>47113</v>
      </c>
      <c r="L5230">
        <v>36.69</v>
      </c>
      <c r="M5230">
        <v>51</v>
      </c>
      <c r="N5230">
        <v>0</v>
      </c>
      <c r="O5230">
        <v>51</v>
      </c>
      <c r="P5230">
        <v>0</v>
      </c>
    </row>
    <row r="5231" spans="1:16" x14ac:dyDescent="0.25">
      <c r="A5231" t="s">
        <v>27622</v>
      </c>
      <c r="B5231" t="s">
        <v>19708</v>
      </c>
      <c r="C5231" t="s">
        <v>19709</v>
      </c>
      <c r="D5231" t="str">
        <f>"4001"</f>
        <v>4001</v>
      </c>
      <c r="E5231" t="s">
        <v>16647</v>
      </c>
      <c r="F5231" t="s">
        <v>17351</v>
      </c>
      <c r="G5231" t="s">
        <v>16233</v>
      </c>
      <c r="H5231" t="s">
        <v>47055</v>
      </c>
      <c r="I5231" t="s">
        <v>47120</v>
      </c>
      <c r="J5231" t="s">
        <v>47121</v>
      </c>
      <c r="K5231" t="s">
        <v>47113</v>
      </c>
      <c r="L5231">
        <v>36.69</v>
      </c>
      <c r="M5231">
        <v>51</v>
      </c>
      <c r="N5231">
        <v>0</v>
      </c>
      <c r="O5231">
        <v>51</v>
      </c>
      <c r="P5231">
        <v>0</v>
      </c>
    </row>
    <row r="5232" spans="1:16" x14ac:dyDescent="0.25">
      <c r="A5232" t="s">
        <v>27623</v>
      </c>
      <c r="B5232" t="s">
        <v>19708</v>
      </c>
      <c r="C5232" t="s">
        <v>19709</v>
      </c>
      <c r="D5232" t="str">
        <f>"4143"</f>
        <v>4143</v>
      </c>
      <c r="E5232" t="s">
        <v>16626</v>
      </c>
      <c r="F5232" t="s">
        <v>17351</v>
      </c>
      <c r="G5232" t="s">
        <v>16233</v>
      </c>
      <c r="H5232" t="s">
        <v>47055</v>
      </c>
      <c r="I5232" t="s">
        <v>47120</v>
      </c>
      <c r="J5232" t="s">
        <v>47121</v>
      </c>
      <c r="K5232" t="s">
        <v>47113</v>
      </c>
      <c r="L5232">
        <v>36.69</v>
      </c>
      <c r="M5232">
        <v>51</v>
      </c>
      <c r="N5232">
        <v>0</v>
      </c>
      <c r="O5232">
        <v>51</v>
      </c>
      <c r="P5232">
        <v>0</v>
      </c>
    </row>
    <row r="5233" spans="1:16" x14ac:dyDescent="0.25">
      <c r="A5233" t="s">
        <v>27624</v>
      </c>
      <c r="B5233" t="s">
        <v>16662</v>
      </c>
      <c r="C5233" t="s">
        <v>16663</v>
      </c>
      <c r="D5233" t="str">
        <f>"1023"</f>
        <v>1023</v>
      </c>
      <c r="E5233" t="s">
        <v>1815</v>
      </c>
      <c r="F5233" t="s">
        <v>16623</v>
      </c>
      <c r="G5233" t="s">
        <v>16221</v>
      </c>
      <c r="H5233" t="s">
        <v>47055</v>
      </c>
      <c r="I5233" t="s">
        <v>47127</v>
      </c>
      <c r="J5233" t="s">
        <v>47128</v>
      </c>
      <c r="K5233" t="s">
        <v>47113</v>
      </c>
      <c r="L5233">
        <v>15.65</v>
      </c>
      <c r="M5233">
        <v>26</v>
      </c>
      <c r="N5233">
        <v>0</v>
      </c>
      <c r="O5233">
        <v>26</v>
      </c>
      <c r="P5233">
        <v>0</v>
      </c>
    </row>
    <row r="5234" spans="1:16" x14ac:dyDescent="0.25">
      <c r="A5234" t="s">
        <v>27625</v>
      </c>
      <c r="B5234" t="s">
        <v>16662</v>
      </c>
      <c r="C5234" t="s">
        <v>16663</v>
      </c>
      <c r="D5234" t="str">
        <f>"1378"</f>
        <v>1378</v>
      </c>
      <c r="E5234" t="s">
        <v>388</v>
      </c>
      <c r="F5234" t="s">
        <v>16623</v>
      </c>
      <c r="G5234" t="s">
        <v>16221</v>
      </c>
      <c r="H5234" t="s">
        <v>47055</v>
      </c>
      <c r="I5234" t="s">
        <v>47127</v>
      </c>
      <c r="J5234" t="s">
        <v>47128</v>
      </c>
      <c r="K5234" t="s">
        <v>47113</v>
      </c>
      <c r="L5234">
        <v>15.65</v>
      </c>
      <c r="M5234">
        <v>26</v>
      </c>
      <c r="N5234">
        <v>0</v>
      </c>
      <c r="O5234">
        <v>26</v>
      </c>
      <c r="P5234">
        <v>0</v>
      </c>
    </row>
    <row r="5235" spans="1:16" x14ac:dyDescent="0.25">
      <c r="A5235" t="s">
        <v>27626</v>
      </c>
      <c r="B5235" t="s">
        <v>16662</v>
      </c>
      <c r="C5235" t="s">
        <v>16663</v>
      </c>
      <c r="D5235" t="str">
        <f>"1924"</f>
        <v>1924</v>
      </c>
      <c r="E5235" t="s">
        <v>9794</v>
      </c>
      <c r="F5235" t="s">
        <v>16623</v>
      </c>
      <c r="G5235" t="s">
        <v>16221</v>
      </c>
      <c r="H5235" t="s">
        <v>47055</v>
      </c>
      <c r="I5235" t="s">
        <v>47127</v>
      </c>
      <c r="J5235" t="s">
        <v>47128</v>
      </c>
      <c r="K5235" t="s">
        <v>47113</v>
      </c>
      <c r="L5235">
        <v>15.65</v>
      </c>
      <c r="M5235">
        <v>26</v>
      </c>
      <c r="N5235">
        <v>0</v>
      </c>
      <c r="O5235">
        <v>26</v>
      </c>
      <c r="P5235">
        <v>0</v>
      </c>
    </row>
    <row r="5236" spans="1:16" x14ac:dyDescent="0.25">
      <c r="A5236" t="s">
        <v>27627</v>
      </c>
      <c r="B5236" t="s">
        <v>16662</v>
      </c>
      <c r="C5236" t="s">
        <v>16663</v>
      </c>
      <c r="D5236" t="str">
        <f>"4000"</f>
        <v>4000</v>
      </c>
      <c r="E5236" t="s">
        <v>16630</v>
      </c>
      <c r="F5236" t="s">
        <v>16623</v>
      </c>
      <c r="G5236" t="s">
        <v>16221</v>
      </c>
      <c r="H5236" t="s">
        <v>47055</v>
      </c>
      <c r="I5236" t="s">
        <v>47127</v>
      </c>
      <c r="J5236" t="s">
        <v>47128</v>
      </c>
      <c r="K5236" t="s">
        <v>47113</v>
      </c>
      <c r="L5236">
        <v>15.65</v>
      </c>
      <c r="M5236">
        <v>26</v>
      </c>
      <c r="N5236">
        <v>0</v>
      </c>
      <c r="O5236">
        <v>26</v>
      </c>
      <c r="P5236">
        <v>0</v>
      </c>
    </row>
    <row r="5237" spans="1:16" x14ac:dyDescent="0.25">
      <c r="A5237" t="s">
        <v>27628</v>
      </c>
      <c r="B5237" t="s">
        <v>16662</v>
      </c>
      <c r="C5237" t="s">
        <v>16663</v>
      </c>
      <c r="D5237" t="str">
        <f>"4001"</f>
        <v>4001</v>
      </c>
      <c r="E5237" t="s">
        <v>16647</v>
      </c>
      <c r="F5237" t="s">
        <v>16623</v>
      </c>
      <c r="G5237" t="s">
        <v>16221</v>
      </c>
      <c r="H5237" t="s">
        <v>47055</v>
      </c>
      <c r="I5237" t="s">
        <v>47127</v>
      </c>
      <c r="J5237" t="s">
        <v>47128</v>
      </c>
      <c r="K5237" t="s">
        <v>47113</v>
      </c>
      <c r="L5237">
        <v>15.65</v>
      </c>
      <c r="M5237">
        <v>26</v>
      </c>
      <c r="N5237">
        <v>0</v>
      </c>
      <c r="O5237">
        <v>26</v>
      </c>
      <c r="P5237">
        <v>0</v>
      </c>
    </row>
    <row r="5238" spans="1:16" x14ac:dyDescent="0.25">
      <c r="A5238" t="s">
        <v>27629</v>
      </c>
      <c r="B5238" t="s">
        <v>16662</v>
      </c>
      <c r="C5238" t="s">
        <v>16663</v>
      </c>
      <c r="D5238" t="str">
        <f>"4143"</f>
        <v>4143</v>
      </c>
      <c r="E5238" t="s">
        <v>16626</v>
      </c>
      <c r="F5238" t="s">
        <v>16623</v>
      </c>
      <c r="G5238" t="s">
        <v>16221</v>
      </c>
      <c r="H5238" t="s">
        <v>47055</v>
      </c>
      <c r="I5238" t="s">
        <v>47127</v>
      </c>
      <c r="J5238" t="s">
        <v>47128</v>
      </c>
      <c r="K5238" t="s">
        <v>47113</v>
      </c>
      <c r="L5238">
        <v>15.65</v>
      </c>
      <c r="M5238">
        <v>26</v>
      </c>
      <c r="N5238">
        <v>0</v>
      </c>
      <c r="O5238">
        <v>26</v>
      </c>
      <c r="P5238">
        <v>0</v>
      </c>
    </row>
    <row r="5239" spans="1:16" x14ac:dyDescent="0.25">
      <c r="A5239" t="s">
        <v>27630</v>
      </c>
      <c r="B5239" t="s">
        <v>16662</v>
      </c>
      <c r="C5239" t="s">
        <v>16663</v>
      </c>
      <c r="D5239" t="str">
        <f>"5000"</f>
        <v>5000</v>
      </c>
      <c r="E5239" t="s">
        <v>16627</v>
      </c>
      <c r="F5239" t="s">
        <v>16623</v>
      </c>
      <c r="G5239" t="s">
        <v>16221</v>
      </c>
      <c r="H5239" t="s">
        <v>47055</v>
      </c>
      <c r="I5239" t="s">
        <v>47127</v>
      </c>
      <c r="J5239" t="s">
        <v>47128</v>
      </c>
      <c r="K5239" t="s">
        <v>47113</v>
      </c>
      <c r="L5239">
        <v>15.65</v>
      </c>
      <c r="M5239">
        <v>26</v>
      </c>
      <c r="N5239">
        <v>0</v>
      </c>
      <c r="O5239">
        <v>26</v>
      </c>
      <c r="P5239">
        <v>0</v>
      </c>
    </row>
    <row r="5240" spans="1:16" x14ac:dyDescent="0.25">
      <c r="A5240" t="s">
        <v>27631</v>
      </c>
      <c r="B5240" t="s">
        <v>16662</v>
      </c>
      <c r="C5240" t="s">
        <v>16663</v>
      </c>
      <c r="D5240" t="str">
        <f>"6064"</f>
        <v>6064</v>
      </c>
      <c r="E5240" t="s">
        <v>87</v>
      </c>
      <c r="F5240" t="s">
        <v>16623</v>
      </c>
      <c r="G5240" t="s">
        <v>16221</v>
      </c>
      <c r="H5240" t="s">
        <v>47055</v>
      </c>
      <c r="I5240" t="s">
        <v>47127</v>
      </c>
      <c r="J5240" t="s">
        <v>47128</v>
      </c>
      <c r="K5240" t="s">
        <v>47113</v>
      </c>
      <c r="L5240">
        <v>15.65</v>
      </c>
      <c r="M5240">
        <v>26</v>
      </c>
      <c r="N5240">
        <v>0</v>
      </c>
      <c r="O5240">
        <v>26</v>
      </c>
      <c r="P5240">
        <v>0</v>
      </c>
    </row>
    <row r="5241" spans="1:16" x14ac:dyDescent="0.25">
      <c r="A5241" t="s">
        <v>27632</v>
      </c>
      <c r="B5241" t="s">
        <v>16664</v>
      </c>
      <c r="C5241" t="s">
        <v>16665</v>
      </c>
      <c r="D5241" t="str">
        <f>"1023"</f>
        <v>1023</v>
      </c>
      <c r="E5241" t="s">
        <v>1815</v>
      </c>
      <c r="F5241" t="s">
        <v>16623</v>
      </c>
      <c r="G5241" t="s">
        <v>16221</v>
      </c>
      <c r="H5241" t="s">
        <v>47055</v>
      </c>
      <c r="I5241" t="s">
        <v>47127</v>
      </c>
      <c r="J5241" t="s">
        <v>47128</v>
      </c>
      <c r="K5241" t="s">
        <v>47113</v>
      </c>
      <c r="L5241">
        <v>15.65</v>
      </c>
      <c r="M5241">
        <v>26</v>
      </c>
      <c r="N5241">
        <v>0</v>
      </c>
      <c r="O5241">
        <v>26</v>
      </c>
      <c r="P5241">
        <v>0</v>
      </c>
    </row>
    <row r="5242" spans="1:16" x14ac:dyDescent="0.25">
      <c r="A5242" t="s">
        <v>27633</v>
      </c>
      <c r="B5242" t="s">
        <v>16664</v>
      </c>
      <c r="C5242" t="s">
        <v>16665</v>
      </c>
      <c r="D5242" t="str">
        <f>"1378"</f>
        <v>1378</v>
      </c>
      <c r="E5242" t="s">
        <v>388</v>
      </c>
      <c r="F5242" t="s">
        <v>16623</v>
      </c>
      <c r="G5242" t="s">
        <v>16221</v>
      </c>
      <c r="H5242" t="s">
        <v>47055</v>
      </c>
      <c r="I5242" t="s">
        <v>47127</v>
      </c>
      <c r="J5242" t="s">
        <v>47128</v>
      </c>
      <c r="K5242" t="s">
        <v>47113</v>
      </c>
      <c r="L5242">
        <v>15.65</v>
      </c>
      <c r="M5242">
        <v>26</v>
      </c>
      <c r="N5242">
        <v>0</v>
      </c>
      <c r="O5242">
        <v>26</v>
      </c>
      <c r="P5242">
        <v>0</v>
      </c>
    </row>
    <row r="5243" spans="1:16" x14ac:dyDescent="0.25">
      <c r="A5243" t="s">
        <v>27634</v>
      </c>
      <c r="B5243" t="s">
        <v>16664</v>
      </c>
      <c r="C5243" t="s">
        <v>16665</v>
      </c>
      <c r="D5243" t="str">
        <f>"1700"</f>
        <v>1700</v>
      </c>
      <c r="E5243" t="s">
        <v>60</v>
      </c>
      <c r="F5243" t="s">
        <v>16623</v>
      </c>
      <c r="G5243" t="s">
        <v>16221</v>
      </c>
      <c r="H5243" t="s">
        <v>47055</v>
      </c>
      <c r="I5243" t="s">
        <v>47127</v>
      </c>
      <c r="J5243" t="s">
        <v>47128</v>
      </c>
      <c r="K5243" t="s">
        <v>47113</v>
      </c>
      <c r="L5243">
        <v>15.65</v>
      </c>
      <c r="M5243">
        <v>26</v>
      </c>
      <c r="N5243">
        <v>0</v>
      </c>
      <c r="O5243">
        <v>26</v>
      </c>
      <c r="P5243">
        <v>0</v>
      </c>
    </row>
    <row r="5244" spans="1:16" x14ac:dyDescent="0.25">
      <c r="A5244" t="s">
        <v>27635</v>
      </c>
      <c r="B5244" t="s">
        <v>16664</v>
      </c>
      <c r="C5244" t="s">
        <v>16665</v>
      </c>
      <c r="D5244" t="str">
        <f>"4000"</f>
        <v>4000</v>
      </c>
      <c r="E5244" t="s">
        <v>16630</v>
      </c>
      <c r="F5244" t="s">
        <v>16623</v>
      </c>
      <c r="G5244" t="s">
        <v>16221</v>
      </c>
      <c r="H5244" t="s">
        <v>47055</v>
      </c>
      <c r="I5244" t="s">
        <v>47127</v>
      </c>
      <c r="J5244" t="s">
        <v>47128</v>
      </c>
      <c r="K5244" t="s">
        <v>47113</v>
      </c>
      <c r="L5244">
        <v>15.65</v>
      </c>
      <c r="M5244">
        <v>26</v>
      </c>
      <c r="N5244">
        <v>0</v>
      </c>
      <c r="O5244">
        <v>26</v>
      </c>
      <c r="P5244">
        <v>0</v>
      </c>
    </row>
    <row r="5245" spans="1:16" x14ac:dyDescent="0.25">
      <c r="A5245" t="s">
        <v>27636</v>
      </c>
      <c r="B5245" t="s">
        <v>16664</v>
      </c>
      <c r="C5245" t="s">
        <v>16665</v>
      </c>
      <c r="D5245" t="str">
        <f>"4143"</f>
        <v>4143</v>
      </c>
      <c r="E5245" t="s">
        <v>16626</v>
      </c>
      <c r="F5245" t="s">
        <v>16623</v>
      </c>
      <c r="G5245" t="s">
        <v>16221</v>
      </c>
      <c r="H5245" t="s">
        <v>47055</v>
      </c>
      <c r="I5245" t="s">
        <v>47127</v>
      </c>
      <c r="J5245" t="s">
        <v>47128</v>
      </c>
      <c r="K5245" t="s">
        <v>47113</v>
      </c>
      <c r="L5245">
        <v>15.65</v>
      </c>
      <c r="M5245">
        <v>26</v>
      </c>
      <c r="N5245">
        <v>0</v>
      </c>
      <c r="O5245">
        <v>26</v>
      </c>
      <c r="P5245">
        <v>0</v>
      </c>
    </row>
    <row r="5246" spans="1:16" x14ac:dyDescent="0.25">
      <c r="A5246" t="s">
        <v>27637</v>
      </c>
      <c r="B5246" t="s">
        <v>16664</v>
      </c>
      <c r="C5246" t="s">
        <v>16665</v>
      </c>
      <c r="D5246" t="str">
        <f>"5000"</f>
        <v>5000</v>
      </c>
      <c r="E5246" t="s">
        <v>16627</v>
      </c>
      <c r="F5246" t="s">
        <v>16623</v>
      </c>
      <c r="G5246" t="s">
        <v>16221</v>
      </c>
      <c r="H5246" t="s">
        <v>47055</v>
      </c>
      <c r="I5246" t="s">
        <v>47127</v>
      </c>
      <c r="J5246" t="s">
        <v>47128</v>
      </c>
      <c r="K5246" t="s">
        <v>47113</v>
      </c>
      <c r="L5246">
        <v>15.65</v>
      </c>
      <c r="M5246">
        <v>26</v>
      </c>
      <c r="N5246">
        <v>0</v>
      </c>
      <c r="O5246">
        <v>26</v>
      </c>
      <c r="P5246">
        <v>0</v>
      </c>
    </row>
    <row r="5247" spans="1:16" x14ac:dyDescent="0.25">
      <c r="A5247" t="s">
        <v>27638</v>
      </c>
      <c r="B5247" t="s">
        <v>16664</v>
      </c>
      <c r="C5247" t="s">
        <v>16665</v>
      </c>
      <c r="D5247" t="str">
        <f>"6064"</f>
        <v>6064</v>
      </c>
      <c r="E5247" t="s">
        <v>87</v>
      </c>
      <c r="F5247" t="s">
        <v>16623</v>
      </c>
      <c r="G5247" t="s">
        <v>16221</v>
      </c>
      <c r="H5247" t="s">
        <v>47055</v>
      </c>
      <c r="I5247" t="s">
        <v>47127</v>
      </c>
      <c r="J5247" t="s">
        <v>47128</v>
      </c>
      <c r="K5247" t="s">
        <v>47113</v>
      </c>
      <c r="L5247">
        <v>15.65</v>
      </c>
      <c r="M5247">
        <v>26</v>
      </c>
      <c r="N5247">
        <v>0</v>
      </c>
      <c r="O5247">
        <v>26</v>
      </c>
      <c r="P5247">
        <v>0</v>
      </c>
    </row>
    <row r="5248" spans="1:16" x14ac:dyDescent="0.25">
      <c r="A5248" t="s">
        <v>27639</v>
      </c>
      <c r="B5248" t="s">
        <v>16666</v>
      </c>
      <c r="C5248" t="s">
        <v>16667</v>
      </c>
      <c r="D5248" t="str">
        <f>"1378"</f>
        <v>1378</v>
      </c>
      <c r="E5248" t="s">
        <v>388</v>
      </c>
      <c r="F5248" t="s">
        <v>16623</v>
      </c>
      <c r="G5248" t="s">
        <v>16221</v>
      </c>
      <c r="H5248" t="s">
        <v>47055</v>
      </c>
      <c r="I5248" t="s">
        <v>47127</v>
      </c>
      <c r="J5248" t="s">
        <v>47128</v>
      </c>
      <c r="K5248" t="s">
        <v>47113</v>
      </c>
      <c r="L5248">
        <v>15.65</v>
      </c>
      <c r="M5248">
        <v>26</v>
      </c>
      <c r="N5248">
        <v>0</v>
      </c>
      <c r="O5248">
        <v>26</v>
      </c>
      <c r="P5248">
        <v>0</v>
      </c>
    </row>
    <row r="5249" spans="1:16" x14ac:dyDescent="0.25">
      <c r="A5249" t="s">
        <v>27640</v>
      </c>
      <c r="B5249" t="s">
        <v>16666</v>
      </c>
      <c r="C5249" t="s">
        <v>16667</v>
      </c>
      <c r="D5249" t="str">
        <f>"1700"</f>
        <v>1700</v>
      </c>
      <c r="E5249" t="s">
        <v>60</v>
      </c>
      <c r="F5249" t="s">
        <v>16623</v>
      </c>
      <c r="G5249" t="s">
        <v>16221</v>
      </c>
      <c r="H5249" t="s">
        <v>47055</v>
      </c>
      <c r="I5249" t="s">
        <v>47127</v>
      </c>
      <c r="J5249" t="s">
        <v>47128</v>
      </c>
      <c r="K5249" t="s">
        <v>47113</v>
      </c>
      <c r="L5249">
        <v>15.65</v>
      </c>
      <c r="M5249">
        <v>26</v>
      </c>
      <c r="N5249">
        <v>0</v>
      </c>
      <c r="O5249">
        <v>26</v>
      </c>
      <c r="P5249">
        <v>0</v>
      </c>
    </row>
    <row r="5250" spans="1:16" x14ac:dyDescent="0.25">
      <c r="A5250" t="s">
        <v>27641</v>
      </c>
      <c r="B5250" t="s">
        <v>16666</v>
      </c>
      <c r="C5250" t="s">
        <v>16667</v>
      </c>
      <c r="D5250" t="str">
        <f>"4000"</f>
        <v>4000</v>
      </c>
      <c r="E5250" t="s">
        <v>16630</v>
      </c>
      <c r="F5250" t="s">
        <v>16623</v>
      </c>
      <c r="G5250" t="s">
        <v>16221</v>
      </c>
      <c r="H5250" t="s">
        <v>47055</v>
      </c>
      <c r="I5250" t="s">
        <v>47127</v>
      </c>
      <c r="J5250" t="s">
        <v>47128</v>
      </c>
      <c r="K5250" t="s">
        <v>47113</v>
      </c>
      <c r="L5250">
        <v>15.65</v>
      </c>
      <c r="M5250">
        <v>26</v>
      </c>
      <c r="N5250">
        <v>0</v>
      </c>
      <c r="O5250">
        <v>26</v>
      </c>
      <c r="P5250">
        <v>0</v>
      </c>
    </row>
    <row r="5251" spans="1:16" x14ac:dyDescent="0.25">
      <c r="A5251" t="s">
        <v>27642</v>
      </c>
      <c r="B5251" t="s">
        <v>16666</v>
      </c>
      <c r="C5251" t="s">
        <v>16667</v>
      </c>
      <c r="D5251" t="str">
        <f>"4001"</f>
        <v>4001</v>
      </c>
      <c r="E5251" t="s">
        <v>16647</v>
      </c>
      <c r="F5251" t="s">
        <v>16623</v>
      </c>
      <c r="G5251" t="s">
        <v>16221</v>
      </c>
      <c r="H5251" t="s">
        <v>47055</v>
      </c>
      <c r="I5251" t="s">
        <v>47127</v>
      </c>
      <c r="J5251" t="s">
        <v>47128</v>
      </c>
      <c r="K5251" t="s">
        <v>47113</v>
      </c>
      <c r="L5251">
        <v>15.65</v>
      </c>
      <c r="M5251">
        <v>26</v>
      </c>
      <c r="N5251">
        <v>0</v>
      </c>
      <c r="O5251">
        <v>26</v>
      </c>
      <c r="P5251">
        <v>0</v>
      </c>
    </row>
    <row r="5252" spans="1:16" x14ac:dyDescent="0.25">
      <c r="A5252" t="s">
        <v>27643</v>
      </c>
      <c r="B5252" t="s">
        <v>16666</v>
      </c>
      <c r="C5252" t="s">
        <v>16667</v>
      </c>
      <c r="D5252" t="str">
        <f>"5000"</f>
        <v>5000</v>
      </c>
      <c r="E5252" t="s">
        <v>16627</v>
      </c>
      <c r="F5252" t="s">
        <v>16623</v>
      </c>
      <c r="G5252" t="s">
        <v>16221</v>
      </c>
      <c r="H5252" t="s">
        <v>47055</v>
      </c>
      <c r="I5252" t="s">
        <v>47127</v>
      </c>
      <c r="J5252" t="s">
        <v>47128</v>
      </c>
      <c r="K5252" t="s">
        <v>47113</v>
      </c>
      <c r="L5252">
        <v>15.65</v>
      </c>
      <c r="M5252">
        <v>26</v>
      </c>
      <c r="N5252">
        <v>0</v>
      </c>
      <c r="O5252">
        <v>26</v>
      </c>
      <c r="P5252">
        <v>0</v>
      </c>
    </row>
    <row r="5253" spans="1:16" x14ac:dyDescent="0.25">
      <c r="A5253" t="s">
        <v>27644</v>
      </c>
      <c r="B5253" t="s">
        <v>16668</v>
      </c>
      <c r="C5253" t="s">
        <v>16669</v>
      </c>
      <c r="D5253" t="str">
        <f>"1378"</f>
        <v>1378</v>
      </c>
      <c r="E5253" t="s">
        <v>388</v>
      </c>
      <c r="F5253" t="s">
        <v>16623</v>
      </c>
      <c r="G5253" t="s">
        <v>16221</v>
      </c>
      <c r="H5253" t="s">
        <v>47055</v>
      </c>
      <c r="I5253" t="s">
        <v>47127</v>
      </c>
      <c r="J5253" t="s">
        <v>47128</v>
      </c>
      <c r="K5253" t="s">
        <v>47113</v>
      </c>
      <c r="L5253">
        <v>15.65</v>
      </c>
      <c r="M5253">
        <v>26</v>
      </c>
      <c r="N5253">
        <v>0</v>
      </c>
      <c r="O5253">
        <v>26</v>
      </c>
      <c r="P5253">
        <v>0</v>
      </c>
    </row>
    <row r="5254" spans="1:16" x14ac:dyDescent="0.25">
      <c r="A5254" t="s">
        <v>27645</v>
      </c>
      <c r="B5254" t="s">
        <v>16668</v>
      </c>
      <c r="C5254" t="s">
        <v>16669</v>
      </c>
      <c r="D5254" t="str">
        <f>"1924"</f>
        <v>1924</v>
      </c>
      <c r="E5254" t="s">
        <v>9794</v>
      </c>
      <c r="F5254" t="s">
        <v>16623</v>
      </c>
      <c r="G5254" t="s">
        <v>16221</v>
      </c>
      <c r="H5254" t="s">
        <v>47055</v>
      </c>
      <c r="I5254" t="s">
        <v>47127</v>
      </c>
      <c r="J5254" t="s">
        <v>47128</v>
      </c>
      <c r="K5254" t="s">
        <v>47113</v>
      </c>
      <c r="L5254">
        <v>15.65</v>
      </c>
      <c r="M5254">
        <v>26</v>
      </c>
      <c r="N5254">
        <v>0</v>
      </c>
      <c r="O5254">
        <v>26</v>
      </c>
      <c r="P5254">
        <v>0</v>
      </c>
    </row>
    <row r="5255" spans="1:16" x14ac:dyDescent="0.25">
      <c r="A5255" t="s">
        <v>27646</v>
      </c>
      <c r="B5255" t="s">
        <v>16668</v>
      </c>
      <c r="C5255" t="s">
        <v>16669</v>
      </c>
      <c r="D5255" t="str">
        <f>"3160"</f>
        <v>3160</v>
      </c>
      <c r="E5255" t="s">
        <v>16602</v>
      </c>
      <c r="F5255" t="s">
        <v>16623</v>
      </c>
      <c r="G5255" t="s">
        <v>16221</v>
      </c>
      <c r="H5255" t="s">
        <v>47055</v>
      </c>
      <c r="I5255" t="s">
        <v>47127</v>
      </c>
      <c r="J5255" t="s">
        <v>47128</v>
      </c>
      <c r="K5255" t="s">
        <v>47113</v>
      </c>
      <c r="L5255">
        <v>15.65</v>
      </c>
      <c r="M5255">
        <v>26</v>
      </c>
      <c r="N5255">
        <v>0</v>
      </c>
      <c r="O5255">
        <v>26</v>
      </c>
      <c r="P5255">
        <v>0</v>
      </c>
    </row>
    <row r="5256" spans="1:16" x14ac:dyDescent="0.25">
      <c r="A5256" t="s">
        <v>27647</v>
      </c>
      <c r="B5256" t="s">
        <v>16668</v>
      </c>
      <c r="C5256" t="s">
        <v>16669</v>
      </c>
      <c r="D5256" t="str">
        <f>"4143"</f>
        <v>4143</v>
      </c>
      <c r="E5256" t="s">
        <v>16626</v>
      </c>
      <c r="F5256" t="s">
        <v>16623</v>
      </c>
      <c r="G5256" t="s">
        <v>16221</v>
      </c>
      <c r="H5256" t="s">
        <v>47055</v>
      </c>
      <c r="I5256" t="s">
        <v>47127</v>
      </c>
      <c r="J5256" t="s">
        <v>47128</v>
      </c>
      <c r="K5256" t="s">
        <v>47113</v>
      </c>
      <c r="L5256">
        <v>15.65</v>
      </c>
      <c r="M5256">
        <v>26</v>
      </c>
      <c r="N5256">
        <v>0</v>
      </c>
      <c r="O5256">
        <v>26</v>
      </c>
      <c r="P5256">
        <v>0</v>
      </c>
    </row>
    <row r="5257" spans="1:16" x14ac:dyDescent="0.25">
      <c r="A5257" t="s">
        <v>27648</v>
      </c>
      <c r="B5257" t="s">
        <v>16668</v>
      </c>
      <c r="C5257" t="s">
        <v>16669</v>
      </c>
      <c r="D5257" t="str">
        <f>"5000"</f>
        <v>5000</v>
      </c>
      <c r="E5257" t="s">
        <v>16627</v>
      </c>
      <c r="F5257" t="s">
        <v>16623</v>
      </c>
      <c r="G5257" t="s">
        <v>16221</v>
      </c>
      <c r="H5257" t="s">
        <v>47055</v>
      </c>
      <c r="I5257" t="s">
        <v>47127</v>
      </c>
      <c r="J5257" t="s">
        <v>47128</v>
      </c>
      <c r="K5257" t="s">
        <v>47113</v>
      </c>
      <c r="L5257">
        <v>15.65</v>
      </c>
      <c r="M5257">
        <v>26</v>
      </c>
      <c r="N5257">
        <v>0</v>
      </c>
      <c r="O5257">
        <v>26</v>
      </c>
      <c r="P5257">
        <v>0</v>
      </c>
    </row>
    <row r="5258" spans="1:16" x14ac:dyDescent="0.25">
      <c r="A5258" t="s">
        <v>27649</v>
      </c>
      <c r="B5258" t="s">
        <v>16670</v>
      </c>
      <c r="C5258" t="s">
        <v>16671</v>
      </c>
      <c r="D5258" t="str">
        <f>"1023"</f>
        <v>1023</v>
      </c>
      <c r="E5258" t="s">
        <v>1815</v>
      </c>
      <c r="F5258" t="s">
        <v>16623</v>
      </c>
      <c r="G5258" t="s">
        <v>16221</v>
      </c>
      <c r="H5258" t="s">
        <v>47055</v>
      </c>
      <c r="I5258" t="s">
        <v>47127</v>
      </c>
      <c r="J5258" t="s">
        <v>47128</v>
      </c>
      <c r="K5258" t="s">
        <v>47113</v>
      </c>
      <c r="L5258">
        <v>17.88</v>
      </c>
      <c r="M5258">
        <v>26</v>
      </c>
      <c r="N5258">
        <v>0</v>
      </c>
      <c r="O5258">
        <v>26</v>
      </c>
      <c r="P5258">
        <v>0</v>
      </c>
    </row>
    <row r="5259" spans="1:16" x14ac:dyDescent="0.25">
      <c r="A5259" t="s">
        <v>27650</v>
      </c>
      <c r="B5259" t="s">
        <v>16670</v>
      </c>
      <c r="C5259" t="s">
        <v>16671</v>
      </c>
      <c r="D5259" t="str">
        <f>"1378"</f>
        <v>1378</v>
      </c>
      <c r="E5259" t="s">
        <v>388</v>
      </c>
      <c r="F5259" t="s">
        <v>16623</v>
      </c>
      <c r="G5259" t="s">
        <v>16221</v>
      </c>
      <c r="H5259" t="s">
        <v>47055</v>
      </c>
      <c r="I5259" t="s">
        <v>47127</v>
      </c>
      <c r="J5259" t="s">
        <v>47128</v>
      </c>
      <c r="K5259" t="s">
        <v>47113</v>
      </c>
      <c r="L5259">
        <v>17.88</v>
      </c>
      <c r="M5259">
        <v>26</v>
      </c>
      <c r="N5259">
        <v>0</v>
      </c>
      <c r="O5259">
        <v>26</v>
      </c>
      <c r="P5259">
        <v>0</v>
      </c>
    </row>
    <row r="5260" spans="1:16" x14ac:dyDescent="0.25">
      <c r="A5260" t="s">
        <v>27651</v>
      </c>
      <c r="B5260" t="s">
        <v>16670</v>
      </c>
      <c r="C5260" t="s">
        <v>16671</v>
      </c>
      <c r="D5260" t="str">
        <f>"1700"</f>
        <v>1700</v>
      </c>
      <c r="E5260" t="s">
        <v>60</v>
      </c>
      <c r="F5260" t="s">
        <v>16623</v>
      </c>
      <c r="G5260" t="s">
        <v>16221</v>
      </c>
      <c r="H5260" t="s">
        <v>47055</v>
      </c>
      <c r="I5260" t="s">
        <v>47127</v>
      </c>
      <c r="J5260" t="s">
        <v>47128</v>
      </c>
      <c r="K5260" t="s">
        <v>47113</v>
      </c>
      <c r="L5260">
        <v>17.88</v>
      </c>
      <c r="M5260">
        <v>26</v>
      </c>
      <c r="N5260">
        <v>0</v>
      </c>
      <c r="O5260">
        <v>26</v>
      </c>
      <c r="P5260">
        <v>0</v>
      </c>
    </row>
    <row r="5261" spans="1:16" x14ac:dyDescent="0.25">
      <c r="A5261" t="s">
        <v>27652</v>
      </c>
      <c r="B5261" t="s">
        <v>16670</v>
      </c>
      <c r="C5261" t="s">
        <v>16671</v>
      </c>
      <c r="D5261" t="str">
        <f>"4000"</f>
        <v>4000</v>
      </c>
      <c r="E5261" t="s">
        <v>16630</v>
      </c>
      <c r="F5261" t="s">
        <v>16623</v>
      </c>
      <c r="G5261" t="s">
        <v>16221</v>
      </c>
      <c r="H5261" t="s">
        <v>47055</v>
      </c>
      <c r="I5261" t="s">
        <v>47127</v>
      </c>
      <c r="J5261" t="s">
        <v>47128</v>
      </c>
      <c r="K5261" t="s">
        <v>47113</v>
      </c>
      <c r="L5261">
        <v>17.88</v>
      </c>
      <c r="M5261">
        <v>26</v>
      </c>
      <c r="N5261">
        <v>0</v>
      </c>
      <c r="O5261">
        <v>26</v>
      </c>
      <c r="P5261">
        <v>0</v>
      </c>
    </row>
    <row r="5262" spans="1:16" x14ac:dyDescent="0.25">
      <c r="A5262" t="s">
        <v>27653</v>
      </c>
      <c r="B5262" t="s">
        <v>16670</v>
      </c>
      <c r="C5262" t="s">
        <v>16671</v>
      </c>
      <c r="D5262" t="str">
        <f>"4143"</f>
        <v>4143</v>
      </c>
      <c r="E5262" t="s">
        <v>16626</v>
      </c>
      <c r="F5262" t="s">
        <v>16623</v>
      </c>
      <c r="G5262" t="s">
        <v>16221</v>
      </c>
      <c r="H5262" t="s">
        <v>47055</v>
      </c>
      <c r="I5262" t="s">
        <v>47127</v>
      </c>
      <c r="J5262" t="s">
        <v>47128</v>
      </c>
      <c r="K5262" t="s">
        <v>47113</v>
      </c>
      <c r="L5262">
        <v>17.88</v>
      </c>
      <c r="M5262">
        <v>26</v>
      </c>
      <c r="N5262">
        <v>0</v>
      </c>
      <c r="O5262">
        <v>26</v>
      </c>
      <c r="P5262">
        <v>0</v>
      </c>
    </row>
    <row r="5263" spans="1:16" x14ac:dyDescent="0.25">
      <c r="A5263" t="s">
        <v>27654</v>
      </c>
      <c r="B5263" t="s">
        <v>16670</v>
      </c>
      <c r="C5263" t="s">
        <v>16671</v>
      </c>
      <c r="D5263" t="str">
        <f>"5000"</f>
        <v>5000</v>
      </c>
      <c r="E5263" t="s">
        <v>16627</v>
      </c>
      <c r="F5263" t="s">
        <v>16623</v>
      </c>
      <c r="G5263" t="s">
        <v>16221</v>
      </c>
      <c r="H5263" t="s">
        <v>47055</v>
      </c>
      <c r="I5263" t="s">
        <v>47127</v>
      </c>
      <c r="J5263" t="s">
        <v>47128</v>
      </c>
      <c r="K5263" t="s">
        <v>47113</v>
      </c>
      <c r="L5263">
        <v>17.88</v>
      </c>
      <c r="M5263">
        <v>26</v>
      </c>
      <c r="N5263">
        <v>0</v>
      </c>
      <c r="O5263">
        <v>26</v>
      </c>
      <c r="P5263">
        <v>0</v>
      </c>
    </row>
    <row r="5264" spans="1:16" x14ac:dyDescent="0.25">
      <c r="A5264" t="s">
        <v>27655</v>
      </c>
      <c r="B5264" t="s">
        <v>16670</v>
      </c>
      <c r="C5264" t="s">
        <v>16671</v>
      </c>
      <c r="D5264" t="str">
        <f>"6064"</f>
        <v>6064</v>
      </c>
      <c r="E5264" t="s">
        <v>87</v>
      </c>
      <c r="F5264" t="s">
        <v>16623</v>
      </c>
      <c r="G5264" t="s">
        <v>16221</v>
      </c>
      <c r="H5264" t="s">
        <v>47055</v>
      </c>
      <c r="I5264" t="s">
        <v>47127</v>
      </c>
      <c r="J5264" t="s">
        <v>47128</v>
      </c>
      <c r="K5264" t="s">
        <v>47113</v>
      </c>
      <c r="L5264">
        <v>17.88</v>
      </c>
      <c r="M5264">
        <v>26</v>
      </c>
      <c r="N5264">
        <v>0</v>
      </c>
      <c r="O5264">
        <v>26</v>
      </c>
      <c r="P5264">
        <v>0</v>
      </c>
    </row>
    <row r="5265" spans="1:16" x14ac:dyDescent="0.25">
      <c r="A5265" t="s">
        <v>27656</v>
      </c>
      <c r="B5265" t="s">
        <v>16672</v>
      </c>
      <c r="C5265" t="s">
        <v>16673</v>
      </c>
      <c r="D5265" t="str">
        <f>"1023"</f>
        <v>1023</v>
      </c>
      <c r="E5265" t="s">
        <v>1815</v>
      </c>
      <c r="F5265" t="s">
        <v>16623</v>
      </c>
      <c r="G5265" t="s">
        <v>16232</v>
      </c>
      <c r="H5265" t="s">
        <v>47055</v>
      </c>
      <c r="I5265" t="s">
        <v>47127</v>
      </c>
      <c r="J5265" t="s">
        <v>47128</v>
      </c>
      <c r="K5265" t="s">
        <v>47113</v>
      </c>
      <c r="L5265">
        <v>15.65</v>
      </c>
      <c r="M5265">
        <v>26</v>
      </c>
      <c r="N5265">
        <v>0</v>
      </c>
      <c r="O5265">
        <v>26</v>
      </c>
      <c r="P5265">
        <v>0</v>
      </c>
    </row>
    <row r="5266" spans="1:16" x14ac:dyDescent="0.25">
      <c r="A5266" t="s">
        <v>27657</v>
      </c>
      <c r="B5266" t="s">
        <v>16672</v>
      </c>
      <c r="C5266" t="s">
        <v>16673</v>
      </c>
      <c r="D5266" t="str">
        <f>"1378"</f>
        <v>1378</v>
      </c>
      <c r="E5266" t="s">
        <v>388</v>
      </c>
      <c r="F5266" t="s">
        <v>16623</v>
      </c>
      <c r="G5266" t="s">
        <v>16232</v>
      </c>
      <c r="H5266" t="s">
        <v>47055</v>
      </c>
      <c r="I5266" t="s">
        <v>47127</v>
      </c>
      <c r="J5266" t="s">
        <v>47128</v>
      </c>
      <c r="K5266" t="s">
        <v>47113</v>
      </c>
      <c r="L5266">
        <v>15.65</v>
      </c>
      <c r="M5266">
        <v>26</v>
      </c>
      <c r="N5266">
        <v>0</v>
      </c>
      <c r="O5266">
        <v>26</v>
      </c>
      <c r="P5266">
        <v>0</v>
      </c>
    </row>
    <row r="5267" spans="1:16" x14ac:dyDescent="0.25">
      <c r="A5267" t="s">
        <v>27658</v>
      </c>
      <c r="B5267" t="s">
        <v>16672</v>
      </c>
      <c r="C5267" t="s">
        <v>16673</v>
      </c>
      <c r="D5267" t="str">
        <f>"1700"</f>
        <v>1700</v>
      </c>
      <c r="E5267" t="s">
        <v>60</v>
      </c>
      <c r="F5267" t="s">
        <v>16623</v>
      </c>
      <c r="G5267" t="s">
        <v>16232</v>
      </c>
      <c r="H5267" t="s">
        <v>47055</v>
      </c>
      <c r="I5267" t="s">
        <v>47127</v>
      </c>
      <c r="J5267" t="s">
        <v>47128</v>
      </c>
      <c r="K5267" t="s">
        <v>47113</v>
      </c>
      <c r="L5267">
        <v>15.65</v>
      </c>
      <c r="M5267">
        <v>26</v>
      </c>
      <c r="N5267">
        <v>0</v>
      </c>
      <c r="O5267">
        <v>26</v>
      </c>
      <c r="P5267">
        <v>0</v>
      </c>
    </row>
    <row r="5268" spans="1:16" x14ac:dyDescent="0.25">
      <c r="A5268" t="s">
        <v>27659</v>
      </c>
      <c r="B5268" t="s">
        <v>16672</v>
      </c>
      <c r="C5268" t="s">
        <v>16673</v>
      </c>
      <c r="D5268" t="str">
        <f>"1924"</f>
        <v>1924</v>
      </c>
      <c r="E5268" t="s">
        <v>9794</v>
      </c>
      <c r="F5268" t="s">
        <v>16623</v>
      </c>
      <c r="G5268" t="s">
        <v>16232</v>
      </c>
      <c r="H5268" t="s">
        <v>47055</v>
      </c>
      <c r="I5268" t="s">
        <v>47127</v>
      </c>
      <c r="J5268" t="s">
        <v>47128</v>
      </c>
      <c r="K5268" t="s">
        <v>47113</v>
      </c>
      <c r="L5268">
        <v>15.65</v>
      </c>
      <c r="M5268">
        <v>26</v>
      </c>
      <c r="N5268">
        <v>0</v>
      </c>
      <c r="O5268">
        <v>26</v>
      </c>
      <c r="P5268">
        <v>0</v>
      </c>
    </row>
    <row r="5269" spans="1:16" x14ac:dyDescent="0.25">
      <c r="A5269" t="s">
        <v>27660</v>
      </c>
      <c r="B5269" t="s">
        <v>16672</v>
      </c>
      <c r="C5269" t="s">
        <v>16673</v>
      </c>
      <c r="D5269" t="str">
        <f>"4000"</f>
        <v>4000</v>
      </c>
      <c r="E5269" t="s">
        <v>16630</v>
      </c>
      <c r="F5269" t="s">
        <v>16623</v>
      </c>
      <c r="G5269" t="s">
        <v>16232</v>
      </c>
      <c r="H5269" t="s">
        <v>47055</v>
      </c>
      <c r="I5269" t="s">
        <v>47127</v>
      </c>
      <c r="J5269" t="s">
        <v>47128</v>
      </c>
      <c r="K5269" t="s">
        <v>47113</v>
      </c>
      <c r="L5269">
        <v>15.65</v>
      </c>
      <c r="M5269">
        <v>26</v>
      </c>
      <c r="N5269">
        <v>0</v>
      </c>
      <c r="O5269">
        <v>26</v>
      </c>
      <c r="P5269">
        <v>0</v>
      </c>
    </row>
    <row r="5270" spans="1:16" x14ac:dyDescent="0.25">
      <c r="A5270" t="s">
        <v>27661</v>
      </c>
      <c r="B5270" t="s">
        <v>16672</v>
      </c>
      <c r="C5270" t="s">
        <v>16673</v>
      </c>
      <c r="D5270" t="str">
        <f>"4001"</f>
        <v>4001</v>
      </c>
      <c r="E5270" t="s">
        <v>16647</v>
      </c>
      <c r="F5270" t="s">
        <v>16623</v>
      </c>
      <c r="G5270" t="s">
        <v>16232</v>
      </c>
      <c r="H5270" t="s">
        <v>47055</v>
      </c>
      <c r="I5270" t="s">
        <v>47127</v>
      </c>
      <c r="J5270" t="s">
        <v>47128</v>
      </c>
      <c r="K5270" t="s">
        <v>47113</v>
      </c>
      <c r="L5270">
        <v>15.65</v>
      </c>
      <c r="M5270">
        <v>26</v>
      </c>
      <c r="N5270">
        <v>0</v>
      </c>
      <c r="O5270">
        <v>26</v>
      </c>
      <c r="P5270">
        <v>0</v>
      </c>
    </row>
    <row r="5271" spans="1:16" x14ac:dyDescent="0.25">
      <c r="A5271" t="s">
        <v>27662</v>
      </c>
      <c r="B5271" t="s">
        <v>16672</v>
      </c>
      <c r="C5271" t="s">
        <v>16673</v>
      </c>
      <c r="D5271" t="str">
        <f>"4143"</f>
        <v>4143</v>
      </c>
      <c r="E5271" t="s">
        <v>16626</v>
      </c>
      <c r="F5271" t="s">
        <v>16623</v>
      </c>
      <c r="G5271" t="s">
        <v>16232</v>
      </c>
      <c r="H5271" t="s">
        <v>47055</v>
      </c>
      <c r="I5271" t="s">
        <v>47127</v>
      </c>
      <c r="J5271" t="s">
        <v>47128</v>
      </c>
      <c r="K5271" t="s">
        <v>47113</v>
      </c>
      <c r="L5271">
        <v>15.65</v>
      </c>
      <c r="M5271">
        <v>26</v>
      </c>
      <c r="N5271">
        <v>0</v>
      </c>
      <c r="O5271">
        <v>26</v>
      </c>
      <c r="P5271">
        <v>0</v>
      </c>
    </row>
    <row r="5272" spans="1:16" x14ac:dyDescent="0.25">
      <c r="A5272" t="s">
        <v>27663</v>
      </c>
      <c r="B5272" t="s">
        <v>16672</v>
      </c>
      <c r="C5272" t="s">
        <v>16673</v>
      </c>
      <c r="D5272" t="str">
        <f>"5000"</f>
        <v>5000</v>
      </c>
      <c r="E5272" t="s">
        <v>16627</v>
      </c>
      <c r="F5272" t="s">
        <v>16623</v>
      </c>
      <c r="G5272" t="s">
        <v>16232</v>
      </c>
      <c r="H5272" t="s">
        <v>47055</v>
      </c>
      <c r="I5272" t="s">
        <v>47127</v>
      </c>
      <c r="J5272" t="s">
        <v>47128</v>
      </c>
      <c r="K5272" t="s">
        <v>47113</v>
      </c>
      <c r="L5272">
        <v>15.65</v>
      </c>
      <c r="M5272">
        <v>26</v>
      </c>
      <c r="N5272">
        <v>0</v>
      </c>
      <c r="O5272">
        <v>26</v>
      </c>
      <c r="P5272">
        <v>0</v>
      </c>
    </row>
    <row r="5273" spans="1:16" x14ac:dyDescent="0.25">
      <c r="A5273" t="s">
        <v>27664</v>
      </c>
      <c r="B5273" t="s">
        <v>16674</v>
      </c>
      <c r="C5273" t="s">
        <v>16675</v>
      </c>
      <c r="D5273" t="str">
        <f>"1378"</f>
        <v>1378</v>
      </c>
      <c r="E5273" t="s">
        <v>388</v>
      </c>
      <c r="F5273" t="s">
        <v>16623</v>
      </c>
      <c r="G5273" t="s">
        <v>16221</v>
      </c>
      <c r="H5273" t="s">
        <v>47055</v>
      </c>
      <c r="I5273" t="s">
        <v>47127</v>
      </c>
      <c r="J5273" t="s">
        <v>47128</v>
      </c>
      <c r="K5273" t="s">
        <v>47113</v>
      </c>
      <c r="L5273">
        <v>15.65</v>
      </c>
      <c r="M5273">
        <v>26</v>
      </c>
      <c r="N5273">
        <v>0</v>
      </c>
      <c r="O5273">
        <v>26</v>
      </c>
      <c r="P5273">
        <v>0</v>
      </c>
    </row>
    <row r="5274" spans="1:16" x14ac:dyDescent="0.25">
      <c r="A5274" t="s">
        <v>27665</v>
      </c>
      <c r="B5274" t="s">
        <v>16674</v>
      </c>
      <c r="C5274" t="s">
        <v>16675</v>
      </c>
      <c r="D5274" t="str">
        <f>"1700"</f>
        <v>1700</v>
      </c>
      <c r="E5274" t="s">
        <v>60</v>
      </c>
      <c r="F5274" t="s">
        <v>16623</v>
      </c>
      <c r="G5274" t="s">
        <v>16221</v>
      </c>
      <c r="H5274" t="s">
        <v>47055</v>
      </c>
      <c r="I5274" t="s">
        <v>47127</v>
      </c>
      <c r="J5274" t="s">
        <v>47128</v>
      </c>
      <c r="K5274" t="s">
        <v>47113</v>
      </c>
      <c r="L5274">
        <v>15.65</v>
      </c>
      <c r="M5274">
        <v>26</v>
      </c>
      <c r="N5274">
        <v>0</v>
      </c>
      <c r="O5274">
        <v>26</v>
      </c>
      <c r="P5274">
        <v>0</v>
      </c>
    </row>
    <row r="5275" spans="1:16" x14ac:dyDescent="0.25">
      <c r="A5275" t="s">
        <v>27666</v>
      </c>
      <c r="B5275" t="s">
        <v>16674</v>
      </c>
      <c r="C5275" t="s">
        <v>16675</v>
      </c>
      <c r="D5275" t="str">
        <f>"3160"</f>
        <v>3160</v>
      </c>
      <c r="E5275" t="s">
        <v>16602</v>
      </c>
      <c r="F5275" t="s">
        <v>16623</v>
      </c>
      <c r="G5275" t="s">
        <v>16221</v>
      </c>
      <c r="H5275" t="s">
        <v>47055</v>
      </c>
      <c r="I5275" t="s">
        <v>47127</v>
      </c>
      <c r="J5275" t="s">
        <v>47128</v>
      </c>
      <c r="K5275" t="s">
        <v>47113</v>
      </c>
      <c r="L5275">
        <v>15.65</v>
      </c>
      <c r="M5275">
        <v>26</v>
      </c>
      <c r="N5275">
        <v>0</v>
      </c>
      <c r="O5275">
        <v>26</v>
      </c>
      <c r="P5275">
        <v>0</v>
      </c>
    </row>
    <row r="5276" spans="1:16" x14ac:dyDescent="0.25">
      <c r="A5276" t="s">
        <v>27667</v>
      </c>
      <c r="B5276" t="s">
        <v>16674</v>
      </c>
      <c r="C5276" t="s">
        <v>16675</v>
      </c>
      <c r="D5276" t="str">
        <f>"4000"</f>
        <v>4000</v>
      </c>
      <c r="E5276" t="s">
        <v>16630</v>
      </c>
      <c r="F5276" t="s">
        <v>16623</v>
      </c>
      <c r="G5276" t="s">
        <v>16221</v>
      </c>
      <c r="H5276" t="s">
        <v>47055</v>
      </c>
      <c r="I5276" t="s">
        <v>47127</v>
      </c>
      <c r="J5276" t="s">
        <v>47128</v>
      </c>
      <c r="K5276" t="s">
        <v>47113</v>
      </c>
      <c r="L5276">
        <v>15.65</v>
      </c>
      <c r="M5276">
        <v>26</v>
      </c>
      <c r="N5276">
        <v>0</v>
      </c>
      <c r="O5276">
        <v>26</v>
      </c>
      <c r="P5276">
        <v>0</v>
      </c>
    </row>
    <row r="5277" spans="1:16" x14ac:dyDescent="0.25">
      <c r="A5277" t="s">
        <v>27668</v>
      </c>
      <c r="B5277" t="s">
        <v>16674</v>
      </c>
      <c r="C5277" t="s">
        <v>16675</v>
      </c>
      <c r="D5277" t="str">
        <f>"4001"</f>
        <v>4001</v>
      </c>
      <c r="E5277" t="s">
        <v>16647</v>
      </c>
      <c r="F5277" t="s">
        <v>16623</v>
      </c>
      <c r="G5277" t="s">
        <v>16221</v>
      </c>
      <c r="H5277" t="s">
        <v>47055</v>
      </c>
      <c r="I5277" t="s">
        <v>47127</v>
      </c>
      <c r="J5277" t="s">
        <v>47128</v>
      </c>
      <c r="K5277" t="s">
        <v>47113</v>
      </c>
      <c r="L5277">
        <v>15.65</v>
      </c>
      <c r="M5277">
        <v>26</v>
      </c>
      <c r="N5277">
        <v>0</v>
      </c>
      <c r="O5277">
        <v>26</v>
      </c>
      <c r="P5277">
        <v>0</v>
      </c>
    </row>
    <row r="5278" spans="1:16" x14ac:dyDescent="0.25">
      <c r="A5278" t="s">
        <v>27669</v>
      </c>
      <c r="B5278" t="s">
        <v>16674</v>
      </c>
      <c r="C5278" t="s">
        <v>16675</v>
      </c>
      <c r="D5278" t="str">
        <f>"4143"</f>
        <v>4143</v>
      </c>
      <c r="E5278" t="s">
        <v>16626</v>
      </c>
      <c r="F5278" t="s">
        <v>16623</v>
      </c>
      <c r="G5278" t="s">
        <v>16221</v>
      </c>
      <c r="H5278" t="s">
        <v>47055</v>
      </c>
      <c r="I5278" t="s">
        <v>47127</v>
      </c>
      <c r="J5278" t="s">
        <v>47128</v>
      </c>
      <c r="K5278" t="s">
        <v>47113</v>
      </c>
      <c r="L5278">
        <v>15.65</v>
      </c>
      <c r="M5278">
        <v>26</v>
      </c>
      <c r="N5278">
        <v>0</v>
      </c>
      <c r="O5278">
        <v>26</v>
      </c>
      <c r="P5278">
        <v>0</v>
      </c>
    </row>
    <row r="5279" spans="1:16" x14ac:dyDescent="0.25">
      <c r="A5279" t="s">
        <v>27670</v>
      </c>
      <c r="B5279" t="s">
        <v>16674</v>
      </c>
      <c r="C5279" t="s">
        <v>16675</v>
      </c>
      <c r="D5279" t="str">
        <f>"6064"</f>
        <v>6064</v>
      </c>
      <c r="E5279" t="s">
        <v>87</v>
      </c>
      <c r="F5279" t="s">
        <v>16623</v>
      </c>
      <c r="G5279" t="s">
        <v>16221</v>
      </c>
      <c r="H5279" t="s">
        <v>47055</v>
      </c>
      <c r="I5279" t="s">
        <v>47127</v>
      </c>
      <c r="J5279" t="s">
        <v>47128</v>
      </c>
      <c r="K5279" t="s">
        <v>47113</v>
      </c>
      <c r="L5279">
        <v>15.65</v>
      </c>
      <c r="M5279">
        <v>26</v>
      </c>
      <c r="N5279">
        <v>0</v>
      </c>
      <c r="O5279">
        <v>26</v>
      </c>
      <c r="P5279">
        <v>0</v>
      </c>
    </row>
    <row r="5280" spans="1:16" x14ac:dyDescent="0.25">
      <c r="A5280" t="s">
        <v>27671</v>
      </c>
      <c r="B5280" t="s">
        <v>16676</v>
      </c>
      <c r="C5280" t="s">
        <v>16677</v>
      </c>
      <c r="D5280" t="str">
        <f>"1001"</f>
        <v>1001</v>
      </c>
      <c r="E5280" t="s">
        <v>42</v>
      </c>
      <c r="F5280" t="s">
        <v>16623</v>
      </c>
      <c r="G5280" t="s">
        <v>16221</v>
      </c>
      <c r="H5280" t="s">
        <v>47055</v>
      </c>
      <c r="I5280" t="s">
        <v>47127</v>
      </c>
      <c r="J5280" t="s">
        <v>47128</v>
      </c>
      <c r="K5280" t="s">
        <v>47113</v>
      </c>
      <c r="L5280">
        <v>15.65</v>
      </c>
      <c r="M5280">
        <v>26</v>
      </c>
      <c r="N5280">
        <v>0</v>
      </c>
      <c r="O5280">
        <v>26</v>
      </c>
      <c r="P5280">
        <v>0</v>
      </c>
    </row>
    <row r="5281" spans="1:16" x14ac:dyDescent="0.25">
      <c r="A5281" t="s">
        <v>27672</v>
      </c>
      <c r="B5281" t="s">
        <v>16676</v>
      </c>
      <c r="C5281" t="s">
        <v>16677</v>
      </c>
      <c r="D5281" t="str">
        <f>"1278"</f>
        <v>1278</v>
      </c>
      <c r="E5281" t="s">
        <v>100</v>
      </c>
      <c r="F5281" t="s">
        <v>16623</v>
      </c>
      <c r="G5281" t="s">
        <v>16221</v>
      </c>
      <c r="H5281" t="s">
        <v>47055</v>
      </c>
      <c r="I5281" t="s">
        <v>47127</v>
      </c>
      <c r="J5281" t="s">
        <v>47128</v>
      </c>
      <c r="K5281" t="s">
        <v>47113</v>
      </c>
      <c r="L5281">
        <v>15.65</v>
      </c>
      <c r="M5281">
        <v>26</v>
      </c>
      <c r="N5281">
        <v>0</v>
      </c>
      <c r="O5281">
        <v>26</v>
      </c>
      <c r="P5281">
        <v>0</v>
      </c>
    </row>
    <row r="5282" spans="1:16" x14ac:dyDescent="0.25">
      <c r="A5282" t="s">
        <v>27673</v>
      </c>
      <c r="B5282" t="s">
        <v>16676</v>
      </c>
      <c r="C5282" t="s">
        <v>16677</v>
      </c>
      <c r="D5282" t="str">
        <f>"1700"</f>
        <v>1700</v>
      </c>
      <c r="E5282" t="s">
        <v>60</v>
      </c>
      <c r="F5282" t="s">
        <v>16623</v>
      </c>
      <c r="G5282" t="s">
        <v>16221</v>
      </c>
      <c r="H5282" t="s">
        <v>47055</v>
      </c>
      <c r="I5282" t="s">
        <v>47127</v>
      </c>
      <c r="J5282" t="s">
        <v>47128</v>
      </c>
      <c r="K5282" t="s">
        <v>47113</v>
      </c>
      <c r="L5282">
        <v>15.65</v>
      </c>
      <c r="M5282">
        <v>26</v>
      </c>
      <c r="N5282">
        <v>0</v>
      </c>
      <c r="O5282">
        <v>26</v>
      </c>
      <c r="P5282">
        <v>0</v>
      </c>
    </row>
    <row r="5283" spans="1:16" x14ac:dyDescent="0.25">
      <c r="A5283" t="s">
        <v>27674</v>
      </c>
      <c r="B5283" t="s">
        <v>16676</v>
      </c>
      <c r="C5283" t="s">
        <v>16677</v>
      </c>
      <c r="D5283" t="str">
        <f>"3160"</f>
        <v>3160</v>
      </c>
      <c r="E5283" t="s">
        <v>16602</v>
      </c>
      <c r="F5283" t="s">
        <v>16623</v>
      </c>
      <c r="G5283" t="s">
        <v>16221</v>
      </c>
      <c r="H5283" t="s">
        <v>47055</v>
      </c>
      <c r="I5283" t="s">
        <v>47127</v>
      </c>
      <c r="J5283" t="s">
        <v>47128</v>
      </c>
      <c r="K5283" t="s">
        <v>47113</v>
      </c>
      <c r="L5283">
        <v>15.65</v>
      </c>
      <c r="M5283">
        <v>26</v>
      </c>
      <c r="N5283">
        <v>0</v>
      </c>
      <c r="O5283">
        <v>26</v>
      </c>
      <c r="P5283">
        <v>0</v>
      </c>
    </row>
    <row r="5284" spans="1:16" x14ac:dyDescent="0.25">
      <c r="A5284" t="s">
        <v>27675</v>
      </c>
      <c r="B5284" t="s">
        <v>16676</v>
      </c>
      <c r="C5284" t="s">
        <v>16677</v>
      </c>
      <c r="D5284" t="str">
        <f>"4143"</f>
        <v>4143</v>
      </c>
      <c r="E5284" t="s">
        <v>16626</v>
      </c>
      <c r="F5284" t="s">
        <v>16623</v>
      </c>
      <c r="G5284" t="s">
        <v>16221</v>
      </c>
      <c r="H5284" t="s">
        <v>47055</v>
      </c>
      <c r="I5284" t="s">
        <v>47127</v>
      </c>
      <c r="J5284" t="s">
        <v>47128</v>
      </c>
      <c r="K5284" t="s">
        <v>47113</v>
      </c>
      <c r="L5284">
        <v>15.65</v>
      </c>
      <c r="M5284">
        <v>26</v>
      </c>
      <c r="N5284">
        <v>0</v>
      </c>
      <c r="O5284">
        <v>26</v>
      </c>
      <c r="P5284">
        <v>0</v>
      </c>
    </row>
    <row r="5285" spans="1:16" x14ac:dyDescent="0.25">
      <c r="A5285" t="s">
        <v>27676</v>
      </c>
      <c r="B5285" t="s">
        <v>16678</v>
      </c>
      <c r="C5285" t="s">
        <v>16679</v>
      </c>
      <c r="D5285" t="str">
        <f>"1001"</f>
        <v>1001</v>
      </c>
      <c r="E5285" t="s">
        <v>42</v>
      </c>
      <c r="F5285" t="s">
        <v>16623</v>
      </c>
      <c r="G5285" t="s">
        <v>16221</v>
      </c>
      <c r="H5285" t="s">
        <v>47055</v>
      </c>
      <c r="I5285" t="s">
        <v>47127</v>
      </c>
      <c r="J5285" t="s">
        <v>47128</v>
      </c>
      <c r="K5285" t="s">
        <v>47113</v>
      </c>
      <c r="L5285">
        <v>15.65</v>
      </c>
      <c r="M5285">
        <v>26</v>
      </c>
      <c r="N5285">
        <v>0</v>
      </c>
      <c r="O5285">
        <v>26</v>
      </c>
      <c r="P5285">
        <v>0</v>
      </c>
    </row>
    <row r="5286" spans="1:16" x14ac:dyDescent="0.25">
      <c r="A5286" t="s">
        <v>27677</v>
      </c>
      <c r="B5286" t="s">
        <v>16678</v>
      </c>
      <c r="C5286" t="s">
        <v>16679</v>
      </c>
      <c r="D5286" t="str">
        <f>"1278"</f>
        <v>1278</v>
      </c>
      <c r="E5286" t="s">
        <v>100</v>
      </c>
      <c r="F5286" t="s">
        <v>16623</v>
      </c>
      <c r="G5286" t="s">
        <v>16221</v>
      </c>
      <c r="H5286" t="s">
        <v>47055</v>
      </c>
      <c r="I5286" t="s">
        <v>47127</v>
      </c>
      <c r="J5286" t="s">
        <v>47128</v>
      </c>
      <c r="K5286" t="s">
        <v>47113</v>
      </c>
      <c r="L5286">
        <v>15.65</v>
      </c>
      <c r="M5286">
        <v>26</v>
      </c>
      <c r="N5286">
        <v>0</v>
      </c>
      <c r="O5286">
        <v>26</v>
      </c>
      <c r="P5286">
        <v>0</v>
      </c>
    </row>
    <row r="5287" spans="1:16" x14ac:dyDescent="0.25">
      <c r="A5287" t="s">
        <v>27678</v>
      </c>
      <c r="B5287" t="s">
        <v>16678</v>
      </c>
      <c r="C5287" t="s">
        <v>16679</v>
      </c>
      <c r="D5287" t="str">
        <f>"1700"</f>
        <v>1700</v>
      </c>
      <c r="E5287" t="s">
        <v>60</v>
      </c>
      <c r="F5287" t="s">
        <v>16623</v>
      </c>
      <c r="G5287" t="s">
        <v>16221</v>
      </c>
      <c r="H5287" t="s">
        <v>47055</v>
      </c>
      <c r="I5287" t="s">
        <v>47127</v>
      </c>
      <c r="J5287" t="s">
        <v>47128</v>
      </c>
      <c r="K5287" t="s">
        <v>47113</v>
      </c>
      <c r="L5287">
        <v>15.65</v>
      </c>
      <c r="M5287">
        <v>26</v>
      </c>
      <c r="N5287">
        <v>0</v>
      </c>
      <c r="O5287">
        <v>26</v>
      </c>
      <c r="P5287">
        <v>0</v>
      </c>
    </row>
    <row r="5288" spans="1:16" x14ac:dyDescent="0.25">
      <c r="A5288" t="s">
        <v>27679</v>
      </c>
      <c r="B5288" t="s">
        <v>16678</v>
      </c>
      <c r="C5288" t="s">
        <v>16679</v>
      </c>
      <c r="D5288" t="str">
        <f>"3160"</f>
        <v>3160</v>
      </c>
      <c r="E5288" t="s">
        <v>16602</v>
      </c>
      <c r="F5288" t="s">
        <v>16623</v>
      </c>
      <c r="G5288" t="s">
        <v>16221</v>
      </c>
      <c r="H5288" t="s">
        <v>47055</v>
      </c>
      <c r="I5288" t="s">
        <v>47127</v>
      </c>
      <c r="J5288" t="s">
        <v>47128</v>
      </c>
      <c r="K5288" t="s">
        <v>47113</v>
      </c>
      <c r="L5288">
        <v>15.65</v>
      </c>
      <c r="M5288">
        <v>26</v>
      </c>
      <c r="N5288">
        <v>0</v>
      </c>
      <c r="O5288">
        <v>26</v>
      </c>
      <c r="P5288">
        <v>0</v>
      </c>
    </row>
    <row r="5289" spans="1:16" x14ac:dyDescent="0.25">
      <c r="A5289" t="s">
        <v>27680</v>
      </c>
      <c r="B5289" t="s">
        <v>16678</v>
      </c>
      <c r="C5289" t="s">
        <v>16679</v>
      </c>
      <c r="D5289" t="str">
        <f>"4143"</f>
        <v>4143</v>
      </c>
      <c r="E5289" t="s">
        <v>16626</v>
      </c>
      <c r="F5289" t="s">
        <v>16623</v>
      </c>
      <c r="G5289" t="s">
        <v>16221</v>
      </c>
      <c r="H5289" t="s">
        <v>47055</v>
      </c>
      <c r="I5289" t="s">
        <v>47127</v>
      </c>
      <c r="J5289" t="s">
        <v>47128</v>
      </c>
      <c r="K5289" t="s">
        <v>47113</v>
      </c>
      <c r="L5289">
        <v>15.65</v>
      </c>
      <c r="M5289">
        <v>26</v>
      </c>
      <c r="N5289">
        <v>0</v>
      </c>
      <c r="O5289">
        <v>26</v>
      </c>
      <c r="P5289">
        <v>0</v>
      </c>
    </row>
    <row r="5290" spans="1:16" x14ac:dyDescent="0.25">
      <c r="A5290" t="s">
        <v>27681</v>
      </c>
      <c r="B5290" t="s">
        <v>16680</v>
      </c>
      <c r="C5290" t="s">
        <v>16681</v>
      </c>
      <c r="D5290" t="str">
        <f>"1001"</f>
        <v>1001</v>
      </c>
      <c r="E5290" t="s">
        <v>42</v>
      </c>
      <c r="F5290" t="s">
        <v>16623</v>
      </c>
      <c r="G5290" t="s">
        <v>16221</v>
      </c>
      <c r="H5290" t="s">
        <v>47055</v>
      </c>
      <c r="I5290" t="s">
        <v>47127</v>
      </c>
      <c r="J5290" t="s">
        <v>47128</v>
      </c>
      <c r="K5290" t="s">
        <v>47113</v>
      </c>
      <c r="L5290">
        <v>22.36</v>
      </c>
      <c r="M5290">
        <v>37</v>
      </c>
      <c r="N5290">
        <v>0</v>
      </c>
      <c r="O5290">
        <v>37</v>
      </c>
      <c r="P5290">
        <v>0</v>
      </c>
    </row>
    <row r="5291" spans="1:16" x14ac:dyDescent="0.25">
      <c r="A5291" t="s">
        <v>27682</v>
      </c>
      <c r="B5291" t="s">
        <v>16680</v>
      </c>
      <c r="C5291" t="s">
        <v>16681</v>
      </c>
      <c r="D5291" t="str">
        <f>"1278"</f>
        <v>1278</v>
      </c>
      <c r="E5291" t="s">
        <v>100</v>
      </c>
      <c r="F5291" t="s">
        <v>16623</v>
      </c>
      <c r="G5291" t="s">
        <v>16221</v>
      </c>
      <c r="H5291" t="s">
        <v>47055</v>
      </c>
      <c r="I5291" t="s">
        <v>47127</v>
      </c>
      <c r="J5291" t="s">
        <v>47128</v>
      </c>
      <c r="K5291" t="s">
        <v>47113</v>
      </c>
      <c r="L5291">
        <v>22.36</v>
      </c>
      <c r="M5291">
        <v>37</v>
      </c>
      <c r="N5291">
        <v>0</v>
      </c>
      <c r="O5291">
        <v>37</v>
      </c>
      <c r="P5291">
        <v>0</v>
      </c>
    </row>
    <row r="5292" spans="1:16" x14ac:dyDescent="0.25">
      <c r="A5292" t="s">
        <v>27683</v>
      </c>
      <c r="B5292" t="s">
        <v>16680</v>
      </c>
      <c r="C5292" t="s">
        <v>16681</v>
      </c>
      <c r="D5292" t="str">
        <f>"1700"</f>
        <v>1700</v>
      </c>
      <c r="E5292" t="s">
        <v>60</v>
      </c>
      <c r="F5292" t="s">
        <v>16623</v>
      </c>
      <c r="G5292" t="s">
        <v>16221</v>
      </c>
      <c r="H5292" t="s">
        <v>47055</v>
      </c>
      <c r="I5292" t="s">
        <v>47127</v>
      </c>
      <c r="J5292" t="s">
        <v>47128</v>
      </c>
      <c r="K5292" t="s">
        <v>47113</v>
      </c>
      <c r="L5292">
        <v>22.36</v>
      </c>
      <c r="M5292">
        <v>37</v>
      </c>
      <c r="N5292">
        <v>0</v>
      </c>
      <c r="O5292">
        <v>37</v>
      </c>
      <c r="P5292">
        <v>0</v>
      </c>
    </row>
    <row r="5293" spans="1:16" x14ac:dyDescent="0.25">
      <c r="A5293" t="s">
        <v>27684</v>
      </c>
      <c r="B5293" t="s">
        <v>16680</v>
      </c>
      <c r="C5293" t="s">
        <v>16681</v>
      </c>
      <c r="D5293" t="str">
        <f>"3160"</f>
        <v>3160</v>
      </c>
      <c r="E5293" t="s">
        <v>16602</v>
      </c>
      <c r="F5293" t="s">
        <v>16623</v>
      </c>
      <c r="G5293" t="s">
        <v>16221</v>
      </c>
      <c r="H5293" t="s">
        <v>47055</v>
      </c>
      <c r="I5293" t="s">
        <v>47127</v>
      </c>
      <c r="J5293" t="s">
        <v>47128</v>
      </c>
      <c r="K5293" t="s">
        <v>47113</v>
      </c>
      <c r="L5293">
        <v>22.36</v>
      </c>
      <c r="M5293">
        <v>37</v>
      </c>
      <c r="N5293">
        <v>0</v>
      </c>
      <c r="O5293">
        <v>37</v>
      </c>
      <c r="P5293">
        <v>0</v>
      </c>
    </row>
    <row r="5294" spans="1:16" x14ac:dyDescent="0.25">
      <c r="A5294" t="s">
        <v>27685</v>
      </c>
      <c r="B5294" t="s">
        <v>16680</v>
      </c>
      <c r="C5294" t="s">
        <v>16681</v>
      </c>
      <c r="D5294" t="str">
        <f>"4143"</f>
        <v>4143</v>
      </c>
      <c r="E5294" t="s">
        <v>16626</v>
      </c>
      <c r="F5294" t="s">
        <v>16623</v>
      </c>
      <c r="G5294" t="s">
        <v>16221</v>
      </c>
      <c r="H5294" t="s">
        <v>47055</v>
      </c>
      <c r="I5294" t="s">
        <v>47127</v>
      </c>
      <c r="J5294" t="s">
        <v>47128</v>
      </c>
      <c r="K5294" t="s">
        <v>47113</v>
      </c>
      <c r="L5294">
        <v>22.36</v>
      </c>
      <c r="M5294">
        <v>37</v>
      </c>
      <c r="N5294">
        <v>0</v>
      </c>
      <c r="O5294">
        <v>37</v>
      </c>
      <c r="P5294">
        <v>0</v>
      </c>
    </row>
    <row r="5295" spans="1:16" x14ac:dyDescent="0.25">
      <c r="A5295" t="s">
        <v>27686</v>
      </c>
      <c r="B5295" t="s">
        <v>16682</v>
      </c>
      <c r="C5295" t="s">
        <v>16683</v>
      </c>
      <c r="D5295" t="str">
        <f>"1001"</f>
        <v>1001</v>
      </c>
      <c r="E5295" t="s">
        <v>42</v>
      </c>
      <c r="F5295" t="s">
        <v>16623</v>
      </c>
      <c r="G5295" t="s">
        <v>16221</v>
      </c>
      <c r="H5295" t="s">
        <v>47055</v>
      </c>
      <c r="I5295" t="s">
        <v>47127</v>
      </c>
      <c r="J5295" t="s">
        <v>47128</v>
      </c>
      <c r="K5295" t="s">
        <v>47113</v>
      </c>
      <c r="L5295">
        <v>22.36</v>
      </c>
      <c r="M5295">
        <v>37</v>
      </c>
      <c r="N5295">
        <v>0</v>
      </c>
      <c r="O5295">
        <v>37</v>
      </c>
      <c r="P5295">
        <v>0</v>
      </c>
    </row>
    <row r="5296" spans="1:16" x14ac:dyDescent="0.25">
      <c r="A5296" t="s">
        <v>27687</v>
      </c>
      <c r="B5296" t="s">
        <v>16682</v>
      </c>
      <c r="C5296" t="s">
        <v>16683</v>
      </c>
      <c r="D5296" t="str">
        <f>"1278"</f>
        <v>1278</v>
      </c>
      <c r="E5296" t="s">
        <v>100</v>
      </c>
      <c r="F5296" t="s">
        <v>16623</v>
      </c>
      <c r="G5296" t="s">
        <v>16221</v>
      </c>
      <c r="H5296" t="s">
        <v>47055</v>
      </c>
      <c r="I5296" t="s">
        <v>47127</v>
      </c>
      <c r="J5296" t="s">
        <v>47128</v>
      </c>
      <c r="K5296" t="s">
        <v>47113</v>
      </c>
      <c r="L5296">
        <v>22.36</v>
      </c>
      <c r="M5296">
        <v>37</v>
      </c>
      <c r="N5296">
        <v>0</v>
      </c>
      <c r="O5296">
        <v>37</v>
      </c>
      <c r="P5296">
        <v>0</v>
      </c>
    </row>
    <row r="5297" spans="1:16" x14ac:dyDescent="0.25">
      <c r="A5297" t="s">
        <v>27688</v>
      </c>
      <c r="B5297" t="s">
        <v>16682</v>
      </c>
      <c r="C5297" t="s">
        <v>16683</v>
      </c>
      <c r="D5297" t="str">
        <f>"1700"</f>
        <v>1700</v>
      </c>
      <c r="E5297" t="s">
        <v>60</v>
      </c>
      <c r="F5297" t="s">
        <v>16623</v>
      </c>
      <c r="G5297" t="s">
        <v>16221</v>
      </c>
      <c r="H5297" t="s">
        <v>47055</v>
      </c>
      <c r="I5297" t="s">
        <v>47127</v>
      </c>
      <c r="J5297" t="s">
        <v>47128</v>
      </c>
      <c r="K5297" t="s">
        <v>47113</v>
      </c>
      <c r="L5297">
        <v>22.36</v>
      </c>
      <c r="M5297">
        <v>37</v>
      </c>
      <c r="N5297">
        <v>0</v>
      </c>
      <c r="O5297">
        <v>37</v>
      </c>
      <c r="P5297">
        <v>0</v>
      </c>
    </row>
    <row r="5298" spans="1:16" x14ac:dyDescent="0.25">
      <c r="A5298" t="s">
        <v>27689</v>
      </c>
      <c r="B5298" t="s">
        <v>16682</v>
      </c>
      <c r="C5298" t="s">
        <v>16683</v>
      </c>
      <c r="D5298" t="str">
        <f>"3160"</f>
        <v>3160</v>
      </c>
      <c r="E5298" t="s">
        <v>16602</v>
      </c>
      <c r="F5298" t="s">
        <v>16623</v>
      </c>
      <c r="G5298" t="s">
        <v>16221</v>
      </c>
      <c r="H5298" t="s">
        <v>47055</v>
      </c>
      <c r="I5298" t="s">
        <v>47127</v>
      </c>
      <c r="J5298" t="s">
        <v>47128</v>
      </c>
      <c r="K5298" t="s">
        <v>47113</v>
      </c>
      <c r="L5298">
        <v>22.36</v>
      </c>
      <c r="M5298">
        <v>37</v>
      </c>
      <c r="N5298">
        <v>0</v>
      </c>
      <c r="O5298">
        <v>37</v>
      </c>
      <c r="P5298">
        <v>0</v>
      </c>
    </row>
    <row r="5299" spans="1:16" x14ac:dyDescent="0.25">
      <c r="A5299" t="s">
        <v>27690</v>
      </c>
      <c r="B5299" t="s">
        <v>16682</v>
      </c>
      <c r="C5299" t="s">
        <v>16683</v>
      </c>
      <c r="D5299" t="str">
        <f>"4143"</f>
        <v>4143</v>
      </c>
      <c r="E5299" t="s">
        <v>16626</v>
      </c>
      <c r="F5299" t="s">
        <v>16623</v>
      </c>
      <c r="G5299" t="s">
        <v>16221</v>
      </c>
      <c r="H5299" t="s">
        <v>47055</v>
      </c>
      <c r="I5299" t="s">
        <v>47127</v>
      </c>
      <c r="J5299" t="s">
        <v>47128</v>
      </c>
      <c r="K5299" t="s">
        <v>47113</v>
      </c>
      <c r="L5299">
        <v>22.36</v>
      </c>
      <c r="M5299">
        <v>37</v>
      </c>
      <c r="N5299">
        <v>0</v>
      </c>
      <c r="O5299">
        <v>37</v>
      </c>
      <c r="P5299">
        <v>0</v>
      </c>
    </row>
    <row r="5300" spans="1:16" x14ac:dyDescent="0.25">
      <c r="A5300" t="s">
        <v>27691</v>
      </c>
      <c r="B5300" t="s">
        <v>16684</v>
      </c>
      <c r="C5300" t="s">
        <v>16685</v>
      </c>
      <c r="D5300" t="str">
        <f>"1378"</f>
        <v>1378</v>
      </c>
      <c r="E5300" t="s">
        <v>388</v>
      </c>
      <c r="F5300" t="s">
        <v>16623</v>
      </c>
      <c r="G5300" t="s">
        <v>16232</v>
      </c>
      <c r="H5300" t="s">
        <v>47055</v>
      </c>
      <c r="I5300" t="s">
        <v>47127</v>
      </c>
      <c r="J5300" t="s">
        <v>47128</v>
      </c>
      <c r="K5300" t="s">
        <v>47113</v>
      </c>
      <c r="L5300">
        <v>22.36</v>
      </c>
      <c r="M5300">
        <v>37</v>
      </c>
      <c r="N5300">
        <v>0</v>
      </c>
      <c r="O5300">
        <v>37</v>
      </c>
      <c r="P5300">
        <v>0</v>
      </c>
    </row>
    <row r="5301" spans="1:16" x14ac:dyDescent="0.25">
      <c r="A5301" t="s">
        <v>27692</v>
      </c>
      <c r="B5301" t="s">
        <v>16684</v>
      </c>
      <c r="C5301" t="s">
        <v>16685</v>
      </c>
      <c r="D5301" t="str">
        <f>"2701"</f>
        <v>2701</v>
      </c>
      <c r="E5301" t="s">
        <v>2149</v>
      </c>
      <c r="F5301" t="s">
        <v>16623</v>
      </c>
      <c r="G5301" t="s">
        <v>16232</v>
      </c>
      <c r="H5301" t="s">
        <v>47055</v>
      </c>
      <c r="I5301" t="s">
        <v>47127</v>
      </c>
      <c r="J5301" t="s">
        <v>47128</v>
      </c>
      <c r="K5301" t="s">
        <v>47113</v>
      </c>
      <c r="L5301">
        <v>22.36</v>
      </c>
      <c r="M5301">
        <v>37</v>
      </c>
      <c r="N5301">
        <v>0</v>
      </c>
      <c r="O5301">
        <v>37</v>
      </c>
      <c r="P5301">
        <v>0</v>
      </c>
    </row>
    <row r="5302" spans="1:16" x14ac:dyDescent="0.25">
      <c r="A5302" t="s">
        <v>27693</v>
      </c>
      <c r="B5302" t="s">
        <v>16684</v>
      </c>
      <c r="C5302" t="s">
        <v>16685</v>
      </c>
      <c r="D5302" t="str">
        <f>"3160"</f>
        <v>3160</v>
      </c>
      <c r="E5302" t="s">
        <v>16602</v>
      </c>
      <c r="F5302" t="s">
        <v>16623</v>
      </c>
      <c r="G5302" t="s">
        <v>16232</v>
      </c>
      <c r="H5302" t="s">
        <v>47055</v>
      </c>
      <c r="I5302" t="s">
        <v>47127</v>
      </c>
      <c r="J5302" t="s">
        <v>47128</v>
      </c>
      <c r="K5302" t="s">
        <v>47113</v>
      </c>
      <c r="L5302">
        <v>22.36</v>
      </c>
      <c r="M5302">
        <v>37</v>
      </c>
      <c r="N5302">
        <v>0</v>
      </c>
      <c r="O5302">
        <v>37</v>
      </c>
      <c r="P5302">
        <v>0</v>
      </c>
    </row>
    <row r="5303" spans="1:16" x14ac:dyDescent="0.25">
      <c r="A5303" t="s">
        <v>27694</v>
      </c>
      <c r="B5303" t="s">
        <v>16684</v>
      </c>
      <c r="C5303" t="s">
        <v>16685</v>
      </c>
      <c r="D5303" t="str">
        <f>"4000"</f>
        <v>4000</v>
      </c>
      <c r="E5303" t="s">
        <v>16630</v>
      </c>
      <c r="F5303" t="s">
        <v>16623</v>
      </c>
      <c r="G5303" t="s">
        <v>16232</v>
      </c>
      <c r="H5303" t="s">
        <v>47055</v>
      </c>
      <c r="I5303" t="s">
        <v>47127</v>
      </c>
      <c r="J5303" t="s">
        <v>47128</v>
      </c>
      <c r="K5303" t="s">
        <v>47113</v>
      </c>
      <c r="L5303">
        <v>22.36</v>
      </c>
      <c r="M5303">
        <v>37</v>
      </c>
      <c r="N5303">
        <v>0</v>
      </c>
      <c r="O5303">
        <v>37</v>
      </c>
      <c r="P5303">
        <v>0</v>
      </c>
    </row>
    <row r="5304" spans="1:16" x14ac:dyDescent="0.25">
      <c r="A5304" t="s">
        <v>27695</v>
      </c>
      <c r="B5304" t="s">
        <v>16684</v>
      </c>
      <c r="C5304" t="s">
        <v>16685</v>
      </c>
      <c r="D5304" t="str">
        <f>"4001"</f>
        <v>4001</v>
      </c>
      <c r="E5304" t="s">
        <v>16647</v>
      </c>
      <c r="F5304" t="s">
        <v>16623</v>
      </c>
      <c r="G5304" t="s">
        <v>16232</v>
      </c>
      <c r="H5304" t="s">
        <v>47055</v>
      </c>
      <c r="I5304" t="s">
        <v>47127</v>
      </c>
      <c r="J5304" t="s">
        <v>47128</v>
      </c>
      <c r="K5304" t="s">
        <v>47113</v>
      </c>
      <c r="L5304">
        <v>22.36</v>
      </c>
      <c r="M5304">
        <v>37</v>
      </c>
      <c r="N5304">
        <v>0</v>
      </c>
      <c r="O5304">
        <v>37</v>
      </c>
      <c r="P5304">
        <v>0</v>
      </c>
    </row>
    <row r="5305" spans="1:16" x14ac:dyDescent="0.25">
      <c r="A5305" t="s">
        <v>27696</v>
      </c>
      <c r="B5305" t="s">
        <v>16684</v>
      </c>
      <c r="C5305" t="s">
        <v>16685</v>
      </c>
      <c r="D5305" t="str">
        <f>"5000"</f>
        <v>5000</v>
      </c>
      <c r="E5305" t="s">
        <v>16627</v>
      </c>
      <c r="F5305" t="s">
        <v>16623</v>
      </c>
      <c r="G5305" t="s">
        <v>16232</v>
      </c>
      <c r="H5305" t="s">
        <v>47055</v>
      </c>
      <c r="I5305" t="s">
        <v>47127</v>
      </c>
      <c r="J5305" t="s">
        <v>47128</v>
      </c>
      <c r="K5305" t="s">
        <v>47113</v>
      </c>
      <c r="L5305">
        <v>22.36</v>
      </c>
      <c r="M5305">
        <v>37</v>
      </c>
      <c r="N5305">
        <v>0</v>
      </c>
      <c r="O5305">
        <v>37</v>
      </c>
      <c r="P5305">
        <v>0</v>
      </c>
    </row>
    <row r="5306" spans="1:16" x14ac:dyDescent="0.25">
      <c r="A5306" t="s">
        <v>27697</v>
      </c>
      <c r="B5306" t="s">
        <v>16686</v>
      </c>
      <c r="C5306" t="s">
        <v>2212</v>
      </c>
      <c r="D5306" t="str">
        <f>"1378"</f>
        <v>1378</v>
      </c>
      <c r="E5306" t="s">
        <v>388</v>
      </c>
      <c r="F5306" t="s">
        <v>16623</v>
      </c>
      <c r="G5306" t="s">
        <v>16221</v>
      </c>
      <c r="H5306" t="s">
        <v>47055</v>
      </c>
      <c r="I5306" t="s">
        <v>47127</v>
      </c>
      <c r="J5306" t="s">
        <v>47128</v>
      </c>
      <c r="K5306" t="s">
        <v>47113</v>
      </c>
      <c r="L5306">
        <v>17.88</v>
      </c>
      <c r="M5306">
        <v>26</v>
      </c>
      <c r="N5306">
        <v>0</v>
      </c>
      <c r="O5306">
        <v>26</v>
      </c>
      <c r="P5306">
        <v>0</v>
      </c>
    </row>
    <row r="5307" spans="1:16" x14ac:dyDescent="0.25">
      <c r="A5307" t="s">
        <v>27698</v>
      </c>
      <c r="B5307" t="s">
        <v>16686</v>
      </c>
      <c r="C5307" t="s">
        <v>2212</v>
      </c>
      <c r="D5307" t="str">
        <f>"2701"</f>
        <v>2701</v>
      </c>
      <c r="E5307" t="s">
        <v>2149</v>
      </c>
      <c r="F5307" t="s">
        <v>16623</v>
      </c>
      <c r="G5307" t="s">
        <v>16221</v>
      </c>
      <c r="H5307" t="s">
        <v>47055</v>
      </c>
      <c r="I5307" t="s">
        <v>47127</v>
      </c>
      <c r="J5307" t="s">
        <v>47128</v>
      </c>
      <c r="K5307" t="s">
        <v>47113</v>
      </c>
      <c r="L5307">
        <v>17.88</v>
      </c>
      <c r="M5307">
        <v>26</v>
      </c>
      <c r="N5307">
        <v>0</v>
      </c>
      <c r="O5307">
        <v>26</v>
      </c>
      <c r="P5307">
        <v>0</v>
      </c>
    </row>
    <row r="5308" spans="1:16" x14ac:dyDescent="0.25">
      <c r="A5308" t="s">
        <v>27699</v>
      </c>
      <c r="B5308" t="s">
        <v>16686</v>
      </c>
      <c r="C5308" t="s">
        <v>2212</v>
      </c>
      <c r="D5308" t="str">
        <f>"3160"</f>
        <v>3160</v>
      </c>
      <c r="E5308" t="s">
        <v>16602</v>
      </c>
      <c r="F5308" t="s">
        <v>16623</v>
      </c>
      <c r="G5308" t="s">
        <v>16221</v>
      </c>
      <c r="H5308" t="s">
        <v>47055</v>
      </c>
      <c r="I5308" t="s">
        <v>47127</v>
      </c>
      <c r="J5308" t="s">
        <v>47128</v>
      </c>
      <c r="K5308" t="s">
        <v>47113</v>
      </c>
      <c r="L5308">
        <v>17.88</v>
      </c>
      <c r="M5308">
        <v>26</v>
      </c>
      <c r="N5308">
        <v>0</v>
      </c>
      <c r="O5308">
        <v>26</v>
      </c>
      <c r="P5308">
        <v>0</v>
      </c>
    </row>
    <row r="5309" spans="1:16" x14ac:dyDescent="0.25">
      <c r="A5309" t="s">
        <v>27700</v>
      </c>
      <c r="B5309" t="s">
        <v>16686</v>
      </c>
      <c r="C5309" t="s">
        <v>2212</v>
      </c>
      <c r="D5309" t="str">
        <f>"4000"</f>
        <v>4000</v>
      </c>
      <c r="E5309" t="s">
        <v>16630</v>
      </c>
      <c r="F5309" t="s">
        <v>16623</v>
      </c>
      <c r="G5309" t="s">
        <v>16221</v>
      </c>
      <c r="H5309" t="s">
        <v>47055</v>
      </c>
      <c r="I5309" t="s">
        <v>47127</v>
      </c>
      <c r="J5309" t="s">
        <v>47128</v>
      </c>
      <c r="K5309" t="s">
        <v>47113</v>
      </c>
      <c r="L5309">
        <v>17.88</v>
      </c>
      <c r="M5309">
        <v>26</v>
      </c>
      <c r="N5309">
        <v>0</v>
      </c>
      <c r="O5309">
        <v>26</v>
      </c>
      <c r="P5309">
        <v>0</v>
      </c>
    </row>
    <row r="5310" spans="1:16" x14ac:dyDescent="0.25">
      <c r="A5310" t="s">
        <v>27701</v>
      </c>
      <c r="B5310" t="s">
        <v>16686</v>
      </c>
      <c r="C5310" t="s">
        <v>2212</v>
      </c>
      <c r="D5310" t="str">
        <f>"4001"</f>
        <v>4001</v>
      </c>
      <c r="E5310" t="s">
        <v>16647</v>
      </c>
      <c r="F5310" t="s">
        <v>16623</v>
      </c>
      <c r="G5310" t="s">
        <v>16221</v>
      </c>
      <c r="H5310" t="s">
        <v>47055</v>
      </c>
      <c r="I5310" t="s">
        <v>47127</v>
      </c>
      <c r="J5310" t="s">
        <v>47128</v>
      </c>
      <c r="K5310" t="s">
        <v>47113</v>
      </c>
      <c r="L5310">
        <v>17.88</v>
      </c>
      <c r="M5310">
        <v>26</v>
      </c>
      <c r="N5310">
        <v>0</v>
      </c>
      <c r="O5310">
        <v>26</v>
      </c>
      <c r="P5310">
        <v>0</v>
      </c>
    </row>
    <row r="5311" spans="1:16" x14ac:dyDescent="0.25">
      <c r="A5311" t="s">
        <v>27702</v>
      </c>
      <c r="B5311" t="s">
        <v>16686</v>
      </c>
      <c r="C5311" t="s">
        <v>2212</v>
      </c>
      <c r="D5311" t="str">
        <f>"5000"</f>
        <v>5000</v>
      </c>
      <c r="E5311" t="s">
        <v>16627</v>
      </c>
      <c r="F5311" t="s">
        <v>16623</v>
      </c>
      <c r="G5311" t="s">
        <v>16221</v>
      </c>
      <c r="H5311" t="s">
        <v>47055</v>
      </c>
      <c r="I5311" t="s">
        <v>47127</v>
      </c>
      <c r="J5311" t="s">
        <v>47128</v>
      </c>
      <c r="K5311" t="s">
        <v>47113</v>
      </c>
      <c r="L5311">
        <v>17.88</v>
      </c>
      <c r="M5311">
        <v>26</v>
      </c>
      <c r="N5311">
        <v>0</v>
      </c>
      <c r="O5311">
        <v>26</v>
      </c>
      <c r="P5311">
        <v>0</v>
      </c>
    </row>
    <row r="5312" spans="1:16" x14ac:dyDescent="0.25">
      <c r="A5312" t="s">
        <v>27703</v>
      </c>
      <c r="B5312" t="s">
        <v>16687</v>
      </c>
      <c r="C5312" t="s">
        <v>16688</v>
      </c>
      <c r="D5312" t="str">
        <f>"4143"</f>
        <v>4143</v>
      </c>
      <c r="E5312" t="s">
        <v>16626</v>
      </c>
      <c r="F5312" t="s">
        <v>16623</v>
      </c>
      <c r="G5312" t="s">
        <v>16221</v>
      </c>
      <c r="H5312" t="s">
        <v>47055</v>
      </c>
      <c r="I5312" t="s">
        <v>47127</v>
      </c>
      <c r="J5312" t="s">
        <v>47128</v>
      </c>
      <c r="K5312" t="s">
        <v>47113</v>
      </c>
      <c r="L5312">
        <v>17.88</v>
      </c>
      <c r="M5312">
        <v>26</v>
      </c>
      <c r="N5312">
        <v>0</v>
      </c>
      <c r="O5312">
        <v>26</v>
      </c>
      <c r="P5312">
        <v>0</v>
      </c>
    </row>
    <row r="5313" spans="1:16" x14ac:dyDescent="0.25">
      <c r="A5313" t="s">
        <v>27704</v>
      </c>
      <c r="B5313" t="s">
        <v>16689</v>
      </c>
      <c r="C5313" t="s">
        <v>16690</v>
      </c>
      <c r="D5313" t="str">
        <f>"4143"</f>
        <v>4143</v>
      </c>
      <c r="E5313" t="s">
        <v>16626</v>
      </c>
      <c r="F5313" t="s">
        <v>16623</v>
      </c>
      <c r="G5313" t="s">
        <v>16221</v>
      </c>
      <c r="H5313" t="s">
        <v>47055</v>
      </c>
      <c r="I5313" t="s">
        <v>47127</v>
      </c>
      <c r="J5313" t="s">
        <v>47128</v>
      </c>
      <c r="K5313" t="s">
        <v>47113</v>
      </c>
      <c r="L5313">
        <v>22.36</v>
      </c>
      <c r="M5313">
        <v>37</v>
      </c>
      <c r="N5313">
        <v>0</v>
      </c>
      <c r="O5313">
        <v>37</v>
      </c>
      <c r="P5313">
        <v>0</v>
      </c>
    </row>
    <row r="5314" spans="1:16" x14ac:dyDescent="0.25">
      <c r="A5314" t="s">
        <v>27705</v>
      </c>
      <c r="B5314" t="s">
        <v>16691</v>
      </c>
      <c r="C5314" t="s">
        <v>16692</v>
      </c>
      <c r="D5314" t="str">
        <f>"4143"</f>
        <v>4143</v>
      </c>
      <c r="E5314" t="s">
        <v>261</v>
      </c>
      <c r="F5314" t="s">
        <v>16623</v>
      </c>
      <c r="G5314" t="s">
        <v>16221</v>
      </c>
      <c r="H5314" t="s">
        <v>47055</v>
      </c>
      <c r="I5314" t="s">
        <v>47127</v>
      </c>
      <c r="J5314" t="s">
        <v>47128</v>
      </c>
      <c r="K5314" t="s">
        <v>47113</v>
      </c>
      <c r="L5314">
        <v>22.36</v>
      </c>
      <c r="M5314">
        <v>37</v>
      </c>
      <c r="N5314">
        <v>0</v>
      </c>
      <c r="O5314">
        <v>37</v>
      </c>
      <c r="P5314">
        <v>0</v>
      </c>
    </row>
    <row r="5315" spans="1:16" x14ac:dyDescent="0.25">
      <c r="A5315" t="s">
        <v>27706</v>
      </c>
      <c r="B5315" t="s">
        <v>16693</v>
      </c>
      <c r="C5315" t="s">
        <v>16694</v>
      </c>
      <c r="D5315" t="str">
        <f>"4143"</f>
        <v>4143</v>
      </c>
      <c r="E5315" t="s">
        <v>16626</v>
      </c>
      <c r="F5315" t="s">
        <v>16623</v>
      </c>
      <c r="G5315" t="s">
        <v>16221</v>
      </c>
      <c r="H5315" t="s">
        <v>47055</v>
      </c>
      <c r="I5315" t="s">
        <v>47127</v>
      </c>
      <c r="J5315" t="s">
        <v>47128</v>
      </c>
      <c r="K5315" t="s">
        <v>47113</v>
      </c>
      <c r="L5315">
        <v>20.12</v>
      </c>
      <c r="M5315">
        <v>29</v>
      </c>
      <c r="N5315">
        <v>0</v>
      </c>
      <c r="O5315">
        <v>29</v>
      </c>
      <c r="P5315">
        <v>0</v>
      </c>
    </row>
    <row r="5316" spans="1:16" x14ac:dyDescent="0.25">
      <c r="A5316" t="s">
        <v>27707</v>
      </c>
      <c r="B5316" t="s">
        <v>16695</v>
      </c>
      <c r="C5316" t="s">
        <v>16696</v>
      </c>
      <c r="D5316" t="str">
        <f>"1001"</f>
        <v>1001</v>
      </c>
      <c r="E5316" t="s">
        <v>42</v>
      </c>
      <c r="F5316" t="s">
        <v>16623</v>
      </c>
      <c r="G5316" t="s">
        <v>16221</v>
      </c>
      <c r="H5316" t="s">
        <v>47055</v>
      </c>
      <c r="I5316" t="s">
        <v>47127</v>
      </c>
      <c r="J5316" t="s">
        <v>47128</v>
      </c>
      <c r="K5316" t="s">
        <v>47113</v>
      </c>
      <c r="L5316">
        <v>20.12</v>
      </c>
      <c r="M5316">
        <v>29</v>
      </c>
      <c r="N5316">
        <v>0</v>
      </c>
      <c r="O5316">
        <v>29</v>
      </c>
      <c r="P5316">
        <v>0</v>
      </c>
    </row>
    <row r="5317" spans="1:16" x14ac:dyDescent="0.25">
      <c r="A5317" t="s">
        <v>27708</v>
      </c>
      <c r="B5317" t="s">
        <v>16695</v>
      </c>
      <c r="C5317" t="s">
        <v>16696</v>
      </c>
      <c r="D5317" t="str">
        <f>"1023"</f>
        <v>1023</v>
      </c>
      <c r="E5317" t="s">
        <v>1815</v>
      </c>
      <c r="F5317" t="s">
        <v>16623</v>
      </c>
      <c r="G5317" t="s">
        <v>16221</v>
      </c>
      <c r="H5317" t="s">
        <v>47055</v>
      </c>
      <c r="I5317" t="s">
        <v>47127</v>
      </c>
      <c r="J5317" t="s">
        <v>47128</v>
      </c>
      <c r="K5317" t="s">
        <v>47113</v>
      </c>
      <c r="L5317">
        <v>20.12</v>
      </c>
      <c r="M5317">
        <v>29</v>
      </c>
      <c r="N5317">
        <v>0</v>
      </c>
      <c r="O5317">
        <v>29</v>
      </c>
      <c r="P5317">
        <v>0</v>
      </c>
    </row>
    <row r="5318" spans="1:16" x14ac:dyDescent="0.25">
      <c r="A5318" t="s">
        <v>27709</v>
      </c>
      <c r="B5318" t="s">
        <v>16695</v>
      </c>
      <c r="C5318" t="s">
        <v>16696</v>
      </c>
      <c r="D5318" t="str">
        <f>"1700"</f>
        <v>1700</v>
      </c>
      <c r="E5318" t="s">
        <v>60</v>
      </c>
      <c r="F5318" t="s">
        <v>16623</v>
      </c>
      <c r="G5318" t="s">
        <v>16221</v>
      </c>
      <c r="H5318" t="s">
        <v>47055</v>
      </c>
      <c r="I5318" t="s">
        <v>47127</v>
      </c>
      <c r="J5318" t="s">
        <v>47128</v>
      </c>
      <c r="K5318" t="s">
        <v>47113</v>
      </c>
      <c r="L5318">
        <v>20.12</v>
      </c>
      <c r="M5318">
        <v>29</v>
      </c>
      <c r="N5318">
        <v>0</v>
      </c>
      <c r="O5318">
        <v>29</v>
      </c>
      <c r="P5318">
        <v>0</v>
      </c>
    </row>
    <row r="5319" spans="1:16" x14ac:dyDescent="0.25">
      <c r="A5319" t="s">
        <v>27710</v>
      </c>
      <c r="B5319" t="s">
        <v>16695</v>
      </c>
      <c r="C5319" t="s">
        <v>16696</v>
      </c>
      <c r="D5319" t="str">
        <f>"4000"</f>
        <v>4000</v>
      </c>
      <c r="E5319" t="s">
        <v>16630</v>
      </c>
      <c r="F5319" t="s">
        <v>16623</v>
      </c>
      <c r="G5319" t="s">
        <v>16221</v>
      </c>
      <c r="H5319" t="s">
        <v>47055</v>
      </c>
      <c r="I5319" t="s">
        <v>47127</v>
      </c>
      <c r="J5319" t="s">
        <v>47128</v>
      </c>
      <c r="K5319" t="s">
        <v>47113</v>
      </c>
      <c r="L5319">
        <v>20.12</v>
      </c>
      <c r="M5319">
        <v>29</v>
      </c>
      <c r="N5319">
        <v>0</v>
      </c>
      <c r="O5319">
        <v>29</v>
      </c>
      <c r="P5319">
        <v>0</v>
      </c>
    </row>
    <row r="5320" spans="1:16" x14ac:dyDescent="0.25">
      <c r="A5320" t="s">
        <v>27711</v>
      </c>
      <c r="B5320" t="s">
        <v>16695</v>
      </c>
      <c r="C5320" t="s">
        <v>16696</v>
      </c>
      <c r="D5320" t="str">
        <f>"4143"</f>
        <v>4143</v>
      </c>
      <c r="E5320" t="s">
        <v>16626</v>
      </c>
      <c r="F5320" t="s">
        <v>16623</v>
      </c>
      <c r="G5320" t="s">
        <v>16221</v>
      </c>
      <c r="H5320" t="s">
        <v>47055</v>
      </c>
      <c r="I5320" t="s">
        <v>47127</v>
      </c>
      <c r="J5320" t="s">
        <v>47128</v>
      </c>
      <c r="K5320" t="s">
        <v>47113</v>
      </c>
      <c r="L5320">
        <v>20.12</v>
      </c>
      <c r="M5320">
        <v>29</v>
      </c>
      <c r="N5320">
        <v>0</v>
      </c>
      <c r="O5320">
        <v>29</v>
      </c>
      <c r="P5320">
        <v>0</v>
      </c>
    </row>
    <row r="5321" spans="1:16" x14ac:dyDescent="0.25">
      <c r="A5321" t="s">
        <v>27712</v>
      </c>
      <c r="B5321" t="s">
        <v>16695</v>
      </c>
      <c r="C5321" t="s">
        <v>16696</v>
      </c>
      <c r="D5321" t="str">
        <f>"5000"</f>
        <v>5000</v>
      </c>
      <c r="E5321" t="s">
        <v>16627</v>
      </c>
      <c r="F5321" t="s">
        <v>16623</v>
      </c>
      <c r="G5321" t="s">
        <v>16221</v>
      </c>
      <c r="H5321" t="s">
        <v>47055</v>
      </c>
      <c r="I5321" t="s">
        <v>47127</v>
      </c>
      <c r="J5321" t="s">
        <v>47128</v>
      </c>
      <c r="K5321" t="s">
        <v>47113</v>
      </c>
      <c r="L5321">
        <v>20.12</v>
      </c>
      <c r="M5321">
        <v>29</v>
      </c>
      <c r="N5321">
        <v>0</v>
      </c>
      <c r="O5321">
        <v>29</v>
      </c>
      <c r="P5321">
        <v>0</v>
      </c>
    </row>
    <row r="5322" spans="1:16" x14ac:dyDescent="0.25">
      <c r="A5322" t="s">
        <v>27713</v>
      </c>
      <c r="B5322" t="s">
        <v>16695</v>
      </c>
      <c r="C5322" t="s">
        <v>16696</v>
      </c>
      <c r="D5322" t="str">
        <f>"7100"</f>
        <v>7100</v>
      </c>
      <c r="E5322" t="s">
        <v>225</v>
      </c>
      <c r="F5322" t="s">
        <v>16623</v>
      </c>
      <c r="G5322" t="s">
        <v>16221</v>
      </c>
      <c r="H5322" t="s">
        <v>47055</v>
      </c>
      <c r="I5322" t="s">
        <v>47127</v>
      </c>
      <c r="J5322" t="s">
        <v>47128</v>
      </c>
      <c r="K5322" t="s">
        <v>47113</v>
      </c>
      <c r="L5322">
        <v>20.12</v>
      </c>
      <c r="M5322">
        <v>29</v>
      </c>
      <c r="N5322">
        <v>0</v>
      </c>
      <c r="O5322">
        <v>29</v>
      </c>
      <c r="P5322">
        <v>0</v>
      </c>
    </row>
    <row r="5323" spans="1:16" x14ac:dyDescent="0.25">
      <c r="A5323" t="s">
        <v>27714</v>
      </c>
      <c r="B5323" t="s">
        <v>16697</v>
      </c>
      <c r="C5323" t="s">
        <v>16698</v>
      </c>
      <c r="D5323" t="str">
        <f>"1001"</f>
        <v>1001</v>
      </c>
      <c r="E5323" t="s">
        <v>42</v>
      </c>
      <c r="F5323" t="s">
        <v>16623</v>
      </c>
      <c r="G5323" t="s">
        <v>16221</v>
      </c>
      <c r="H5323" t="s">
        <v>47055</v>
      </c>
      <c r="I5323" t="s">
        <v>47127</v>
      </c>
      <c r="J5323" t="s">
        <v>47128</v>
      </c>
      <c r="K5323" t="s">
        <v>47113</v>
      </c>
      <c r="L5323">
        <v>15.65</v>
      </c>
      <c r="M5323">
        <v>26</v>
      </c>
      <c r="N5323">
        <v>0</v>
      </c>
      <c r="O5323">
        <v>26</v>
      </c>
      <c r="P5323">
        <v>0</v>
      </c>
    </row>
    <row r="5324" spans="1:16" x14ac:dyDescent="0.25">
      <c r="A5324" t="s">
        <v>27715</v>
      </c>
      <c r="B5324" t="s">
        <v>16697</v>
      </c>
      <c r="C5324" t="s">
        <v>16698</v>
      </c>
      <c r="D5324" t="str">
        <f>"1023"</f>
        <v>1023</v>
      </c>
      <c r="E5324" t="s">
        <v>1815</v>
      </c>
      <c r="F5324" t="s">
        <v>16623</v>
      </c>
      <c r="G5324" t="s">
        <v>16221</v>
      </c>
      <c r="H5324" t="s">
        <v>47055</v>
      </c>
      <c r="I5324" t="s">
        <v>47127</v>
      </c>
      <c r="J5324" t="s">
        <v>47128</v>
      </c>
      <c r="K5324" t="s">
        <v>47113</v>
      </c>
      <c r="L5324">
        <v>15.65</v>
      </c>
      <c r="M5324">
        <v>26</v>
      </c>
      <c r="N5324">
        <v>0</v>
      </c>
      <c r="O5324">
        <v>26</v>
      </c>
      <c r="P5324">
        <v>0</v>
      </c>
    </row>
    <row r="5325" spans="1:16" x14ac:dyDescent="0.25">
      <c r="A5325" t="s">
        <v>27716</v>
      </c>
      <c r="B5325" t="s">
        <v>16697</v>
      </c>
      <c r="C5325" t="s">
        <v>16698</v>
      </c>
      <c r="D5325" t="str">
        <f>"1700"</f>
        <v>1700</v>
      </c>
      <c r="E5325" t="s">
        <v>60</v>
      </c>
      <c r="F5325" t="s">
        <v>16623</v>
      </c>
      <c r="G5325" t="s">
        <v>16221</v>
      </c>
      <c r="H5325" t="s">
        <v>47055</v>
      </c>
      <c r="I5325" t="s">
        <v>47127</v>
      </c>
      <c r="J5325" t="s">
        <v>47128</v>
      </c>
      <c r="K5325" t="s">
        <v>47113</v>
      </c>
      <c r="L5325">
        <v>15.65</v>
      </c>
      <c r="M5325">
        <v>26</v>
      </c>
      <c r="N5325">
        <v>0</v>
      </c>
      <c r="O5325">
        <v>26</v>
      </c>
      <c r="P5325">
        <v>0</v>
      </c>
    </row>
    <row r="5326" spans="1:16" x14ac:dyDescent="0.25">
      <c r="A5326" t="s">
        <v>27717</v>
      </c>
      <c r="B5326" t="s">
        <v>16697</v>
      </c>
      <c r="C5326" t="s">
        <v>16698</v>
      </c>
      <c r="D5326" t="str">
        <f>"4000"</f>
        <v>4000</v>
      </c>
      <c r="E5326" t="s">
        <v>16630</v>
      </c>
      <c r="F5326" t="s">
        <v>16623</v>
      </c>
      <c r="G5326" t="s">
        <v>16221</v>
      </c>
      <c r="H5326" t="s">
        <v>47055</v>
      </c>
      <c r="I5326" t="s">
        <v>47127</v>
      </c>
      <c r="J5326" t="s">
        <v>47128</v>
      </c>
      <c r="K5326" t="s">
        <v>47113</v>
      </c>
      <c r="L5326">
        <v>15.65</v>
      </c>
      <c r="M5326">
        <v>26</v>
      </c>
      <c r="N5326">
        <v>0</v>
      </c>
      <c r="O5326">
        <v>26</v>
      </c>
      <c r="P5326">
        <v>0</v>
      </c>
    </row>
    <row r="5327" spans="1:16" x14ac:dyDescent="0.25">
      <c r="A5327" t="s">
        <v>27718</v>
      </c>
      <c r="B5327" t="s">
        <v>16697</v>
      </c>
      <c r="C5327" t="s">
        <v>16698</v>
      </c>
      <c r="D5327" t="str">
        <f>"4143"</f>
        <v>4143</v>
      </c>
      <c r="E5327" t="s">
        <v>16626</v>
      </c>
      <c r="F5327" t="s">
        <v>16623</v>
      </c>
      <c r="G5327" t="s">
        <v>16221</v>
      </c>
      <c r="H5327" t="s">
        <v>47055</v>
      </c>
      <c r="I5327" t="s">
        <v>47127</v>
      </c>
      <c r="J5327" t="s">
        <v>47128</v>
      </c>
      <c r="K5327" t="s">
        <v>47113</v>
      </c>
      <c r="L5327">
        <v>15.65</v>
      </c>
      <c r="M5327">
        <v>26</v>
      </c>
      <c r="N5327">
        <v>0</v>
      </c>
      <c r="O5327">
        <v>26</v>
      </c>
      <c r="P5327">
        <v>0</v>
      </c>
    </row>
    <row r="5328" spans="1:16" x14ac:dyDescent="0.25">
      <c r="A5328" t="s">
        <v>27719</v>
      </c>
      <c r="B5328" t="s">
        <v>16697</v>
      </c>
      <c r="C5328" t="s">
        <v>16698</v>
      </c>
      <c r="D5328" t="str">
        <f>"5000"</f>
        <v>5000</v>
      </c>
      <c r="E5328" t="s">
        <v>16627</v>
      </c>
      <c r="F5328" t="s">
        <v>16623</v>
      </c>
      <c r="G5328" t="s">
        <v>16221</v>
      </c>
      <c r="H5328" t="s">
        <v>47055</v>
      </c>
      <c r="I5328" t="s">
        <v>47127</v>
      </c>
      <c r="J5328" t="s">
        <v>47128</v>
      </c>
      <c r="K5328" t="s">
        <v>47113</v>
      </c>
      <c r="L5328">
        <v>15.65</v>
      </c>
      <c r="M5328">
        <v>26</v>
      </c>
      <c r="N5328">
        <v>0</v>
      </c>
      <c r="O5328">
        <v>26</v>
      </c>
      <c r="P5328">
        <v>0</v>
      </c>
    </row>
    <row r="5329" spans="1:16" x14ac:dyDescent="0.25">
      <c r="A5329" t="s">
        <v>27720</v>
      </c>
      <c r="B5329" t="s">
        <v>16697</v>
      </c>
      <c r="C5329" t="s">
        <v>16698</v>
      </c>
      <c r="D5329" t="str">
        <f>"7100"</f>
        <v>7100</v>
      </c>
      <c r="E5329" t="s">
        <v>225</v>
      </c>
      <c r="F5329" t="s">
        <v>16623</v>
      </c>
      <c r="G5329" t="s">
        <v>16221</v>
      </c>
      <c r="H5329" t="s">
        <v>47055</v>
      </c>
      <c r="I5329" t="s">
        <v>47127</v>
      </c>
      <c r="J5329" t="s">
        <v>47128</v>
      </c>
      <c r="K5329" t="s">
        <v>47113</v>
      </c>
      <c r="L5329">
        <v>15.65</v>
      </c>
      <c r="M5329">
        <v>26</v>
      </c>
      <c r="N5329">
        <v>0</v>
      </c>
      <c r="O5329">
        <v>26</v>
      </c>
      <c r="P5329">
        <v>0</v>
      </c>
    </row>
    <row r="5330" spans="1:16" x14ac:dyDescent="0.25">
      <c r="A5330" t="s">
        <v>27721</v>
      </c>
      <c r="B5330" t="s">
        <v>16699</v>
      </c>
      <c r="C5330" t="s">
        <v>16700</v>
      </c>
      <c r="D5330" t="str">
        <f>"1001"</f>
        <v>1001</v>
      </c>
      <c r="E5330" t="s">
        <v>42</v>
      </c>
      <c r="F5330" t="s">
        <v>16623</v>
      </c>
      <c r="G5330" t="s">
        <v>16221</v>
      </c>
      <c r="H5330" t="s">
        <v>47055</v>
      </c>
      <c r="I5330" t="s">
        <v>47127</v>
      </c>
      <c r="J5330" t="s">
        <v>47128</v>
      </c>
      <c r="K5330" t="s">
        <v>47113</v>
      </c>
      <c r="L5330">
        <v>17.88</v>
      </c>
      <c r="M5330">
        <v>29</v>
      </c>
      <c r="N5330">
        <v>0</v>
      </c>
      <c r="O5330">
        <v>29</v>
      </c>
      <c r="P5330">
        <v>0</v>
      </c>
    </row>
    <row r="5331" spans="1:16" x14ac:dyDescent="0.25">
      <c r="A5331" t="s">
        <v>27722</v>
      </c>
      <c r="B5331" t="s">
        <v>16699</v>
      </c>
      <c r="C5331" t="s">
        <v>16700</v>
      </c>
      <c r="D5331" t="str">
        <f>"1700"</f>
        <v>1700</v>
      </c>
      <c r="E5331" t="s">
        <v>60</v>
      </c>
      <c r="F5331" t="s">
        <v>16623</v>
      </c>
      <c r="G5331" t="s">
        <v>16221</v>
      </c>
      <c r="H5331" t="s">
        <v>47055</v>
      </c>
      <c r="I5331" t="s">
        <v>47127</v>
      </c>
      <c r="J5331" t="s">
        <v>47128</v>
      </c>
      <c r="K5331" t="s">
        <v>47113</v>
      </c>
      <c r="L5331">
        <v>17.88</v>
      </c>
      <c r="M5331">
        <v>29</v>
      </c>
      <c r="N5331">
        <v>0</v>
      </c>
      <c r="O5331">
        <v>29</v>
      </c>
      <c r="P5331">
        <v>0</v>
      </c>
    </row>
    <row r="5332" spans="1:16" x14ac:dyDescent="0.25">
      <c r="A5332" t="s">
        <v>27723</v>
      </c>
      <c r="B5332" t="s">
        <v>16699</v>
      </c>
      <c r="C5332" t="s">
        <v>16700</v>
      </c>
      <c r="D5332" t="str">
        <f>"4000"</f>
        <v>4000</v>
      </c>
      <c r="E5332" t="s">
        <v>16630</v>
      </c>
      <c r="F5332" t="s">
        <v>16623</v>
      </c>
      <c r="G5332" t="s">
        <v>16221</v>
      </c>
      <c r="H5332" t="s">
        <v>47055</v>
      </c>
      <c r="I5332" t="s">
        <v>47127</v>
      </c>
      <c r="J5332" t="s">
        <v>47128</v>
      </c>
      <c r="K5332" t="s">
        <v>47113</v>
      </c>
      <c r="L5332">
        <v>17.88</v>
      </c>
      <c r="M5332">
        <v>29</v>
      </c>
      <c r="N5332">
        <v>0</v>
      </c>
      <c r="O5332">
        <v>29</v>
      </c>
      <c r="P5332">
        <v>0</v>
      </c>
    </row>
    <row r="5333" spans="1:16" x14ac:dyDescent="0.25">
      <c r="A5333" t="s">
        <v>27724</v>
      </c>
      <c r="B5333" t="s">
        <v>16699</v>
      </c>
      <c r="C5333" t="s">
        <v>16700</v>
      </c>
      <c r="D5333" t="str">
        <f>"4143"</f>
        <v>4143</v>
      </c>
      <c r="E5333" t="s">
        <v>16626</v>
      </c>
      <c r="F5333" t="s">
        <v>16623</v>
      </c>
      <c r="G5333" t="s">
        <v>16221</v>
      </c>
      <c r="H5333" t="s">
        <v>47055</v>
      </c>
      <c r="I5333" t="s">
        <v>47127</v>
      </c>
      <c r="J5333" t="s">
        <v>47128</v>
      </c>
      <c r="K5333" t="s">
        <v>47113</v>
      </c>
      <c r="L5333">
        <v>17.88</v>
      </c>
      <c r="M5333">
        <v>29</v>
      </c>
      <c r="N5333">
        <v>0</v>
      </c>
      <c r="O5333">
        <v>29</v>
      </c>
      <c r="P5333">
        <v>0</v>
      </c>
    </row>
    <row r="5334" spans="1:16" x14ac:dyDescent="0.25">
      <c r="A5334" t="s">
        <v>27725</v>
      </c>
      <c r="B5334" t="s">
        <v>19710</v>
      </c>
      <c r="C5334" t="s">
        <v>19711</v>
      </c>
      <c r="D5334" t="str">
        <f>"2000"</f>
        <v>2000</v>
      </c>
      <c r="E5334" t="s">
        <v>19712</v>
      </c>
      <c r="F5334" t="s">
        <v>16623</v>
      </c>
      <c r="G5334" t="s">
        <v>16230</v>
      </c>
      <c r="H5334" t="s">
        <v>47055</v>
      </c>
      <c r="I5334" t="s">
        <v>47127</v>
      </c>
      <c r="J5334" t="s">
        <v>47128</v>
      </c>
      <c r="K5334" t="s">
        <v>47113</v>
      </c>
      <c r="L5334">
        <v>44.68</v>
      </c>
      <c r="M5334">
        <v>74</v>
      </c>
      <c r="N5334">
        <v>0</v>
      </c>
      <c r="O5334">
        <v>74</v>
      </c>
      <c r="P5334">
        <v>0</v>
      </c>
    </row>
    <row r="5335" spans="1:16" x14ac:dyDescent="0.25">
      <c r="A5335" t="s">
        <v>27726</v>
      </c>
      <c r="B5335" t="s">
        <v>19713</v>
      </c>
      <c r="C5335" t="s">
        <v>19714</v>
      </c>
      <c r="D5335" t="str">
        <f>"6063"</f>
        <v>6063</v>
      </c>
      <c r="E5335" t="s">
        <v>19715</v>
      </c>
      <c r="F5335" t="s">
        <v>16623</v>
      </c>
      <c r="G5335" t="s">
        <v>16230</v>
      </c>
      <c r="H5335" t="s">
        <v>47055</v>
      </c>
      <c r="I5335" t="s">
        <v>47127</v>
      </c>
      <c r="J5335" t="s">
        <v>47128</v>
      </c>
      <c r="K5335" t="s">
        <v>47113</v>
      </c>
      <c r="L5335">
        <v>44.68</v>
      </c>
      <c r="M5335">
        <v>74</v>
      </c>
      <c r="N5335">
        <v>0</v>
      </c>
      <c r="O5335">
        <v>74</v>
      </c>
      <c r="P5335">
        <v>0</v>
      </c>
    </row>
    <row r="5336" spans="1:16" x14ac:dyDescent="0.25">
      <c r="A5336" t="s">
        <v>27727</v>
      </c>
      <c r="B5336" t="s">
        <v>16701</v>
      </c>
      <c r="C5336" t="s">
        <v>16702</v>
      </c>
      <c r="D5336" t="str">
        <f>"3190"</f>
        <v>3190</v>
      </c>
      <c r="E5336" t="s">
        <v>1748</v>
      </c>
      <c r="F5336" t="s">
        <v>16623</v>
      </c>
      <c r="G5336" t="s">
        <v>16448</v>
      </c>
      <c r="H5336" t="s">
        <v>47055</v>
      </c>
      <c r="I5336" t="s">
        <v>47120</v>
      </c>
      <c r="J5336" t="s">
        <v>47121</v>
      </c>
      <c r="K5336" t="s">
        <v>47113</v>
      </c>
      <c r="L5336">
        <v>62.61</v>
      </c>
      <c r="M5336">
        <v>111</v>
      </c>
      <c r="N5336">
        <v>0</v>
      </c>
      <c r="O5336">
        <v>111</v>
      </c>
      <c r="P5336">
        <v>0</v>
      </c>
    </row>
    <row r="5337" spans="1:16" x14ac:dyDescent="0.25">
      <c r="A5337" t="s">
        <v>27728</v>
      </c>
      <c r="B5337" t="s">
        <v>16703</v>
      </c>
      <c r="C5337" t="s">
        <v>6116</v>
      </c>
      <c r="D5337" t="str">
        <f>"1001"</f>
        <v>1001</v>
      </c>
      <c r="E5337" t="s">
        <v>42</v>
      </c>
      <c r="F5337" t="s">
        <v>16623</v>
      </c>
      <c r="G5337" t="s">
        <v>16224</v>
      </c>
      <c r="H5337" t="s">
        <v>47055</v>
      </c>
      <c r="I5337" t="s">
        <v>47120</v>
      </c>
      <c r="J5337" t="s">
        <v>47121</v>
      </c>
      <c r="K5337" t="s">
        <v>47113</v>
      </c>
      <c r="L5337">
        <v>62.61</v>
      </c>
      <c r="M5337">
        <v>111</v>
      </c>
      <c r="N5337">
        <v>0</v>
      </c>
      <c r="O5337">
        <v>111</v>
      </c>
      <c r="P5337">
        <v>0</v>
      </c>
    </row>
    <row r="5338" spans="1:16" x14ac:dyDescent="0.25">
      <c r="A5338" t="s">
        <v>27729</v>
      </c>
      <c r="B5338" t="s">
        <v>16703</v>
      </c>
      <c r="C5338" t="s">
        <v>6116</v>
      </c>
      <c r="D5338" t="str">
        <f>"3106"</f>
        <v>3106</v>
      </c>
      <c r="E5338" t="s">
        <v>230</v>
      </c>
      <c r="F5338" t="s">
        <v>16623</v>
      </c>
      <c r="G5338" t="s">
        <v>16224</v>
      </c>
      <c r="H5338" t="s">
        <v>47055</v>
      </c>
      <c r="I5338" t="s">
        <v>47120</v>
      </c>
      <c r="J5338" t="s">
        <v>47121</v>
      </c>
      <c r="K5338" t="s">
        <v>47113</v>
      </c>
      <c r="L5338">
        <v>62.61</v>
      </c>
      <c r="M5338">
        <v>111</v>
      </c>
      <c r="N5338">
        <v>0</v>
      </c>
      <c r="O5338">
        <v>111</v>
      </c>
      <c r="P5338">
        <v>0</v>
      </c>
    </row>
    <row r="5339" spans="1:16" x14ac:dyDescent="0.25">
      <c r="A5339" t="s">
        <v>27730</v>
      </c>
      <c r="B5339" t="s">
        <v>19716</v>
      </c>
      <c r="C5339" t="s">
        <v>19717</v>
      </c>
      <c r="D5339" t="str">
        <f>"1106"</f>
        <v>1106</v>
      </c>
      <c r="E5339" t="s">
        <v>460</v>
      </c>
      <c r="F5339" t="s">
        <v>17351</v>
      </c>
      <c r="G5339" t="s">
        <v>16235</v>
      </c>
      <c r="H5339" t="s">
        <v>47055</v>
      </c>
      <c r="I5339" t="s">
        <v>47127</v>
      </c>
      <c r="J5339" t="s">
        <v>47128</v>
      </c>
      <c r="K5339" t="s">
        <v>47113</v>
      </c>
      <c r="L5339">
        <v>27.65</v>
      </c>
      <c r="M5339">
        <v>70</v>
      </c>
      <c r="N5339">
        <v>0</v>
      </c>
      <c r="O5339">
        <v>70</v>
      </c>
      <c r="P5339">
        <v>0</v>
      </c>
    </row>
    <row r="5340" spans="1:16" x14ac:dyDescent="0.25">
      <c r="A5340" t="s">
        <v>27731</v>
      </c>
      <c r="B5340" t="s">
        <v>19718</v>
      </c>
      <c r="C5340" t="s">
        <v>19719</v>
      </c>
      <c r="D5340" t="str">
        <f>"1106"</f>
        <v>1106</v>
      </c>
      <c r="E5340" t="s">
        <v>460</v>
      </c>
      <c r="F5340" t="s">
        <v>17351</v>
      </c>
      <c r="G5340" t="s">
        <v>16235</v>
      </c>
      <c r="H5340" t="s">
        <v>47055</v>
      </c>
      <c r="I5340" t="s">
        <v>47127</v>
      </c>
      <c r="J5340" t="s">
        <v>47128</v>
      </c>
      <c r="K5340" t="s">
        <v>47113</v>
      </c>
      <c r="L5340">
        <v>28.44</v>
      </c>
      <c r="M5340">
        <v>70</v>
      </c>
      <c r="N5340">
        <v>0</v>
      </c>
      <c r="O5340">
        <v>70</v>
      </c>
      <c r="P5340">
        <v>0</v>
      </c>
    </row>
    <row r="5341" spans="1:16" x14ac:dyDescent="0.25">
      <c r="A5341" t="s">
        <v>27732</v>
      </c>
      <c r="B5341" t="s">
        <v>19718</v>
      </c>
      <c r="C5341" t="s">
        <v>19719</v>
      </c>
      <c r="D5341" t="str">
        <f>"1221"</f>
        <v>1221</v>
      </c>
      <c r="E5341" t="s">
        <v>19720</v>
      </c>
      <c r="F5341" t="s">
        <v>17351</v>
      </c>
      <c r="G5341" t="s">
        <v>16235</v>
      </c>
      <c r="H5341" t="s">
        <v>47055</v>
      </c>
      <c r="I5341" t="s">
        <v>47127</v>
      </c>
      <c r="J5341" t="s">
        <v>47128</v>
      </c>
      <c r="K5341" t="s">
        <v>47113</v>
      </c>
      <c r="L5341">
        <v>28.44</v>
      </c>
      <c r="M5341">
        <v>70</v>
      </c>
      <c r="N5341">
        <v>0</v>
      </c>
      <c r="O5341">
        <v>70</v>
      </c>
      <c r="P5341">
        <v>0</v>
      </c>
    </row>
    <row r="5342" spans="1:16" x14ac:dyDescent="0.25">
      <c r="A5342" t="s">
        <v>27733</v>
      </c>
      <c r="B5342" t="s">
        <v>19718</v>
      </c>
      <c r="C5342" t="s">
        <v>19719</v>
      </c>
      <c r="D5342" t="str">
        <f>"3501"</f>
        <v>3501</v>
      </c>
      <c r="E5342" t="s">
        <v>3758</v>
      </c>
      <c r="F5342" t="s">
        <v>17351</v>
      </c>
      <c r="G5342" t="s">
        <v>16235</v>
      </c>
      <c r="H5342" t="s">
        <v>47055</v>
      </c>
      <c r="I5342" t="s">
        <v>47127</v>
      </c>
      <c r="J5342" t="s">
        <v>47128</v>
      </c>
      <c r="K5342" t="s">
        <v>47113</v>
      </c>
      <c r="L5342">
        <v>28.44</v>
      </c>
      <c r="M5342">
        <v>70</v>
      </c>
      <c r="N5342">
        <v>0</v>
      </c>
      <c r="O5342">
        <v>70</v>
      </c>
      <c r="P5342">
        <v>0</v>
      </c>
    </row>
    <row r="5343" spans="1:16" x14ac:dyDescent="0.25">
      <c r="A5343" t="s">
        <v>27734</v>
      </c>
      <c r="B5343" t="s">
        <v>19718</v>
      </c>
      <c r="C5343" t="s">
        <v>19719</v>
      </c>
      <c r="D5343" t="str">
        <f>"4926"</f>
        <v>4926</v>
      </c>
      <c r="E5343" t="s">
        <v>19721</v>
      </c>
      <c r="F5343" t="s">
        <v>17351</v>
      </c>
      <c r="G5343" t="s">
        <v>16235</v>
      </c>
      <c r="H5343" t="s">
        <v>47055</v>
      </c>
      <c r="I5343" t="s">
        <v>47127</v>
      </c>
      <c r="J5343" t="s">
        <v>47128</v>
      </c>
      <c r="K5343" t="s">
        <v>47113</v>
      </c>
      <c r="L5343">
        <v>28.44</v>
      </c>
      <c r="M5343">
        <v>70</v>
      </c>
      <c r="N5343">
        <v>0</v>
      </c>
      <c r="O5343">
        <v>70</v>
      </c>
      <c r="P5343">
        <v>0</v>
      </c>
    </row>
    <row r="5344" spans="1:16" x14ac:dyDescent="0.25">
      <c r="A5344" t="s">
        <v>27735</v>
      </c>
      <c r="B5344" t="s">
        <v>19722</v>
      </c>
      <c r="C5344" t="s">
        <v>19723</v>
      </c>
      <c r="D5344" t="str">
        <f>"1106"</f>
        <v>1106</v>
      </c>
      <c r="E5344" t="s">
        <v>460</v>
      </c>
      <c r="F5344" t="s">
        <v>17351</v>
      </c>
      <c r="G5344" t="s">
        <v>16235</v>
      </c>
      <c r="H5344" t="s">
        <v>47055</v>
      </c>
      <c r="I5344" t="s">
        <v>47127</v>
      </c>
      <c r="J5344" t="s">
        <v>47128</v>
      </c>
      <c r="K5344" t="s">
        <v>47113</v>
      </c>
      <c r="L5344">
        <v>27.25</v>
      </c>
      <c r="M5344">
        <v>70</v>
      </c>
      <c r="N5344">
        <v>0</v>
      </c>
      <c r="O5344">
        <v>70</v>
      </c>
      <c r="P5344">
        <v>0</v>
      </c>
    </row>
    <row r="5345" spans="1:16" x14ac:dyDescent="0.25">
      <c r="A5345" t="s">
        <v>27736</v>
      </c>
      <c r="B5345" t="s">
        <v>19722</v>
      </c>
      <c r="C5345" t="s">
        <v>19723</v>
      </c>
      <c r="D5345" t="str">
        <f>"1278"</f>
        <v>1278</v>
      </c>
      <c r="E5345" t="s">
        <v>100</v>
      </c>
      <c r="F5345" t="s">
        <v>17351</v>
      </c>
      <c r="G5345" t="s">
        <v>16235</v>
      </c>
      <c r="H5345" t="s">
        <v>47055</v>
      </c>
      <c r="I5345" t="s">
        <v>47127</v>
      </c>
      <c r="J5345" t="s">
        <v>47128</v>
      </c>
      <c r="K5345" t="s">
        <v>47113</v>
      </c>
      <c r="L5345">
        <v>27.25</v>
      </c>
      <c r="M5345">
        <v>70</v>
      </c>
      <c r="N5345">
        <v>0</v>
      </c>
      <c r="O5345">
        <v>70</v>
      </c>
      <c r="P5345">
        <v>0</v>
      </c>
    </row>
    <row r="5346" spans="1:16" x14ac:dyDescent="0.25">
      <c r="A5346" t="s">
        <v>27737</v>
      </c>
      <c r="B5346" t="s">
        <v>19722</v>
      </c>
      <c r="C5346" t="s">
        <v>19723</v>
      </c>
      <c r="D5346" t="str">
        <f>"3501"</f>
        <v>3501</v>
      </c>
      <c r="E5346" t="s">
        <v>3758</v>
      </c>
      <c r="F5346" t="s">
        <v>17351</v>
      </c>
      <c r="G5346" t="s">
        <v>16235</v>
      </c>
      <c r="H5346" t="s">
        <v>47055</v>
      </c>
      <c r="I5346" t="s">
        <v>47127</v>
      </c>
      <c r="J5346" t="s">
        <v>47128</v>
      </c>
      <c r="K5346" t="s">
        <v>47113</v>
      </c>
      <c r="L5346">
        <v>27.25</v>
      </c>
      <c r="M5346">
        <v>70</v>
      </c>
      <c r="N5346">
        <v>0</v>
      </c>
      <c r="O5346">
        <v>70</v>
      </c>
      <c r="P5346">
        <v>0</v>
      </c>
    </row>
    <row r="5347" spans="1:16" x14ac:dyDescent="0.25">
      <c r="A5347" t="s">
        <v>27738</v>
      </c>
      <c r="B5347" t="s">
        <v>19722</v>
      </c>
      <c r="C5347" t="s">
        <v>19723</v>
      </c>
      <c r="D5347" t="str">
        <f>"4143"</f>
        <v>4143</v>
      </c>
      <c r="E5347" t="s">
        <v>16626</v>
      </c>
      <c r="F5347" t="s">
        <v>17351</v>
      </c>
      <c r="G5347" t="s">
        <v>16235</v>
      </c>
      <c r="H5347" t="s">
        <v>47055</v>
      </c>
      <c r="I5347" t="s">
        <v>47127</v>
      </c>
      <c r="J5347" t="s">
        <v>47128</v>
      </c>
      <c r="K5347" t="s">
        <v>47113</v>
      </c>
      <c r="L5347">
        <v>27.25</v>
      </c>
      <c r="M5347">
        <v>70</v>
      </c>
      <c r="N5347">
        <v>0</v>
      </c>
      <c r="O5347">
        <v>70</v>
      </c>
      <c r="P5347">
        <v>0</v>
      </c>
    </row>
    <row r="5348" spans="1:16" x14ac:dyDescent="0.25">
      <c r="A5348" t="s">
        <v>27739</v>
      </c>
      <c r="B5348" t="s">
        <v>19724</v>
      </c>
      <c r="C5348" t="s">
        <v>19725</v>
      </c>
      <c r="D5348" t="str">
        <f>"1106"</f>
        <v>1106</v>
      </c>
      <c r="E5348" t="s">
        <v>460</v>
      </c>
      <c r="F5348" t="s">
        <v>17351</v>
      </c>
      <c r="G5348" t="s">
        <v>16235</v>
      </c>
      <c r="H5348" t="s">
        <v>47055</v>
      </c>
      <c r="I5348" t="s">
        <v>47127</v>
      </c>
      <c r="J5348" t="s">
        <v>47128</v>
      </c>
      <c r="K5348" t="s">
        <v>47113</v>
      </c>
      <c r="L5348">
        <v>29.93</v>
      </c>
      <c r="M5348">
        <v>74</v>
      </c>
      <c r="N5348">
        <v>0</v>
      </c>
      <c r="O5348">
        <v>74</v>
      </c>
      <c r="P5348">
        <v>0</v>
      </c>
    </row>
    <row r="5349" spans="1:16" x14ac:dyDescent="0.25">
      <c r="A5349" t="s">
        <v>27740</v>
      </c>
      <c r="B5349" t="s">
        <v>19724</v>
      </c>
      <c r="C5349" t="s">
        <v>19725</v>
      </c>
      <c r="D5349" t="str">
        <f>"1221"</f>
        <v>1221</v>
      </c>
      <c r="E5349" t="s">
        <v>19720</v>
      </c>
      <c r="F5349" t="s">
        <v>17351</v>
      </c>
      <c r="G5349" t="s">
        <v>16235</v>
      </c>
      <c r="H5349" t="s">
        <v>47055</v>
      </c>
      <c r="I5349" t="s">
        <v>47127</v>
      </c>
      <c r="J5349" t="s">
        <v>47128</v>
      </c>
      <c r="K5349" t="s">
        <v>47113</v>
      </c>
      <c r="L5349">
        <v>29.93</v>
      </c>
      <c r="M5349">
        <v>74</v>
      </c>
      <c r="N5349">
        <v>0</v>
      </c>
      <c r="O5349">
        <v>74</v>
      </c>
      <c r="P5349">
        <v>0</v>
      </c>
    </row>
    <row r="5350" spans="1:16" x14ac:dyDescent="0.25">
      <c r="A5350" t="s">
        <v>27741</v>
      </c>
      <c r="B5350" t="s">
        <v>19724</v>
      </c>
      <c r="C5350" t="s">
        <v>19725</v>
      </c>
      <c r="D5350" t="str">
        <f>"3501"</f>
        <v>3501</v>
      </c>
      <c r="E5350" t="s">
        <v>3758</v>
      </c>
      <c r="F5350" t="s">
        <v>17351</v>
      </c>
      <c r="G5350" t="s">
        <v>16235</v>
      </c>
      <c r="H5350" t="s">
        <v>47055</v>
      </c>
      <c r="I5350" t="s">
        <v>47127</v>
      </c>
      <c r="J5350" t="s">
        <v>47128</v>
      </c>
      <c r="K5350" t="s">
        <v>47113</v>
      </c>
      <c r="L5350">
        <v>29.93</v>
      </c>
      <c r="M5350">
        <v>74</v>
      </c>
      <c r="N5350">
        <v>0</v>
      </c>
      <c r="O5350">
        <v>74</v>
      </c>
      <c r="P5350">
        <v>0</v>
      </c>
    </row>
    <row r="5351" spans="1:16" x14ac:dyDescent="0.25">
      <c r="A5351" t="s">
        <v>27742</v>
      </c>
      <c r="B5351" t="s">
        <v>19724</v>
      </c>
      <c r="C5351" t="s">
        <v>19725</v>
      </c>
      <c r="D5351" t="str">
        <f>"4143"</f>
        <v>4143</v>
      </c>
      <c r="E5351" t="s">
        <v>16626</v>
      </c>
      <c r="F5351" t="s">
        <v>17351</v>
      </c>
      <c r="G5351" t="s">
        <v>16235</v>
      </c>
      <c r="H5351" t="s">
        <v>47055</v>
      </c>
      <c r="I5351" t="s">
        <v>47127</v>
      </c>
      <c r="J5351" t="s">
        <v>47128</v>
      </c>
      <c r="K5351" t="s">
        <v>47113</v>
      </c>
      <c r="L5351">
        <v>29.93</v>
      </c>
      <c r="M5351">
        <v>74</v>
      </c>
      <c r="N5351">
        <v>0</v>
      </c>
      <c r="O5351">
        <v>74</v>
      </c>
      <c r="P5351">
        <v>0</v>
      </c>
    </row>
    <row r="5352" spans="1:16" x14ac:dyDescent="0.25">
      <c r="A5352" t="s">
        <v>27743</v>
      </c>
      <c r="B5352" t="s">
        <v>19726</v>
      </c>
      <c r="C5352" t="s">
        <v>19727</v>
      </c>
      <c r="D5352" t="str">
        <f>"1106"</f>
        <v>1106</v>
      </c>
      <c r="E5352" t="s">
        <v>460</v>
      </c>
      <c r="F5352" t="s">
        <v>17351</v>
      </c>
      <c r="G5352" t="s">
        <v>16235</v>
      </c>
      <c r="H5352" t="s">
        <v>47055</v>
      </c>
      <c r="I5352" t="s">
        <v>47127</v>
      </c>
      <c r="J5352" t="s">
        <v>47128</v>
      </c>
      <c r="K5352" t="s">
        <v>47113</v>
      </c>
      <c r="L5352">
        <v>19.72</v>
      </c>
      <c r="M5352">
        <v>48</v>
      </c>
      <c r="N5352">
        <v>0</v>
      </c>
      <c r="O5352">
        <v>48</v>
      </c>
      <c r="P5352">
        <v>0</v>
      </c>
    </row>
    <row r="5353" spans="1:16" x14ac:dyDescent="0.25">
      <c r="A5353" t="s">
        <v>27744</v>
      </c>
      <c r="B5353" t="s">
        <v>19726</v>
      </c>
      <c r="C5353" t="s">
        <v>19727</v>
      </c>
      <c r="D5353" t="str">
        <f>"1278"</f>
        <v>1278</v>
      </c>
      <c r="E5353" t="s">
        <v>100</v>
      </c>
      <c r="F5353" t="s">
        <v>17351</v>
      </c>
      <c r="G5353" t="s">
        <v>16235</v>
      </c>
      <c r="H5353" t="s">
        <v>47055</v>
      </c>
      <c r="I5353" t="s">
        <v>47127</v>
      </c>
      <c r="J5353" t="s">
        <v>47128</v>
      </c>
      <c r="K5353" t="s">
        <v>47113</v>
      </c>
      <c r="L5353">
        <v>19.72</v>
      </c>
      <c r="M5353">
        <v>48</v>
      </c>
      <c r="N5353">
        <v>0</v>
      </c>
      <c r="O5353">
        <v>48</v>
      </c>
      <c r="P5353">
        <v>0</v>
      </c>
    </row>
    <row r="5354" spans="1:16" x14ac:dyDescent="0.25">
      <c r="A5354" t="s">
        <v>27745</v>
      </c>
      <c r="B5354" t="s">
        <v>19726</v>
      </c>
      <c r="C5354" t="s">
        <v>19727</v>
      </c>
      <c r="D5354" t="str">
        <f>"3501"</f>
        <v>3501</v>
      </c>
      <c r="E5354" t="s">
        <v>3758</v>
      </c>
      <c r="F5354" t="s">
        <v>17351</v>
      </c>
      <c r="G5354" t="s">
        <v>16235</v>
      </c>
      <c r="H5354" t="s">
        <v>47055</v>
      </c>
      <c r="I5354" t="s">
        <v>47127</v>
      </c>
      <c r="J5354" t="s">
        <v>47128</v>
      </c>
      <c r="K5354" t="s">
        <v>47113</v>
      </c>
      <c r="L5354">
        <v>19.72</v>
      </c>
      <c r="M5354">
        <v>48</v>
      </c>
      <c r="N5354">
        <v>0</v>
      </c>
      <c r="O5354">
        <v>48</v>
      </c>
      <c r="P5354">
        <v>0</v>
      </c>
    </row>
    <row r="5355" spans="1:16" x14ac:dyDescent="0.25">
      <c r="A5355" t="s">
        <v>27746</v>
      </c>
      <c r="B5355" t="s">
        <v>19726</v>
      </c>
      <c r="C5355" t="s">
        <v>19727</v>
      </c>
      <c r="D5355" t="str">
        <f>"4143"</f>
        <v>4143</v>
      </c>
      <c r="E5355" t="s">
        <v>16626</v>
      </c>
      <c r="F5355" t="s">
        <v>17351</v>
      </c>
      <c r="G5355" t="s">
        <v>16235</v>
      </c>
      <c r="H5355" t="s">
        <v>47055</v>
      </c>
      <c r="I5355" t="s">
        <v>47127</v>
      </c>
      <c r="J5355" t="s">
        <v>47128</v>
      </c>
      <c r="K5355" t="s">
        <v>47113</v>
      </c>
      <c r="L5355">
        <v>19.72</v>
      </c>
      <c r="M5355">
        <v>48</v>
      </c>
      <c r="N5355">
        <v>0</v>
      </c>
      <c r="O5355">
        <v>48</v>
      </c>
      <c r="P5355">
        <v>0</v>
      </c>
    </row>
    <row r="5356" spans="1:16" x14ac:dyDescent="0.25">
      <c r="A5356" t="s">
        <v>27747</v>
      </c>
      <c r="B5356" t="s">
        <v>19728</v>
      </c>
      <c r="C5356" t="s">
        <v>19729</v>
      </c>
      <c r="D5356" t="str">
        <f>"1106"</f>
        <v>1106</v>
      </c>
      <c r="E5356" t="s">
        <v>460</v>
      </c>
      <c r="F5356" t="s">
        <v>17351</v>
      </c>
      <c r="G5356" t="s">
        <v>16235</v>
      </c>
      <c r="H5356" t="s">
        <v>47055</v>
      </c>
      <c r="I5356" t="s">
        <v>47127</v>
      </c>
      <c r="J5356" t="s">
        <v>47128</v>
      </c>
      <c r="K5356" t="s">
        <v>47113</v>
      </c>
      <c r="L5356">
        <v>21.7</v>
      </c>
      <c r="M5356">
        <v>55</v>
      </c>
      <c r="N5356">
        <v>0</v>
      </c>
      <c r="O5356">
        <v>55</v>
      </c>
      <c r="P5356">
        <v>0</v>
      </c>
    </row>
    <row r="5357" spans="1:16" x14ac:dyDescent="0.25">
      <c r="A5357" t="s">
        <v>27748</v>
      </c>
      <c r="B5357" t="s">
        <v>19728</v>
      </c>
      <c r="C5357" t="s">
        <v>19729</v>
      </c>
      <c r="D5357" t="str">
        <f>"1221"</f>
        <v>1221</v>
      </c>
      <c r="E5357" t="s">
        <v>19720</v>
      </c>
      <c r="F5357" t="s">
        <v>17351</v>
      </c>
      <c r="G5357" t="s">
        <v>16235</v>
      </c>
      <c r="H5357" t="s">
        <v>47055</v>
      </c>
      <c r="I5357" t="s">
        <v>47127</v>
      </c>
      <c r="J5357" t="s">
        <v>47128</v>
      </c>
      <c r="K5357" t="s">
        <v>47113</v>
      </c>
      <c r="L5357">
        <v>21.7</v>
      </c>
      <c r="M5357">
        <v>55</v>
      </c>
      <c r="N5357">
        <v>0</v>
      </c>
      <c r="O5357">
        <v>55</v>
      </c>
      <c r="P5357">
        <v>0</v>
      </c>
    </row>
    <row r="5358" spans="1:16" x14ac:dyDescent="0.25">
      <c r="A5358" t="s">
        <v>27749</v>
      </c>
      <c r="B5358" t="s">
        <v>19728</v>
      </c>
      <c r="C5358" t="s">
        <v>19729</v>
      </c>
      <c r="D5358" t="str">
        <f>"3501"</f>
        <v>3501</v>
      </c>
      <c r="E5358" t="s">
        <v>3758</v>
      </c>
      <c r="F5358" t="s">
        <v>17351</v>
      </c>
      <c r="G5358" t="s">
        <v>16235</v>
      </c>
      <c r="H5358" t="s">
        <v>47055</v>
      </c>
      <c r="I5358" t="s">
        <v>47127</v>
      </c>
      <c r="J5358" t="s">
        <v>47128</v>
      </c>
      <c r="K5358" t="s">
        <v>47113</v>
      </c>
      <c r="L5358">
        <v>21.7</v>
      </c>
      <c r="M5358">
        <v>55</v>
      </c>
      <c r="N5358">
        <v>0</v>
      </c>
      <c r="O5358">
        <v>55</v>
      </c>
      <c r="P5358">
        <v>0</v>
      </c>
    </row>
    <row r="5359" spans="1:16" x14ac:dyDescent="0.25">
      <c r="A5359" t="s">
        <v>27750</v>
      </c>
      <c r="B5359" t="s">
        <v>19728</v>
      </c>
      <c r="C5359" t="s">
        <v>19729</v>
      </c>
      <c r="D5359" t="str">
        <f>"4522"</f>
        <v>4522</v>
      </c>
      <c r="E5359" t="s">
        <v>11009</v>
      </c>
      <c r="F5359" t="s">
        <v>17351</v>
      </c>
      <c r="G5359" t="s">
        <v>16235</v>
      </c>
      <c r="H5359" t="s">
        <v>47055</v>
      </c>
      <c r="I5359" t="s">
        <v>47127</v>
      </c>
      <c r="J5359" t="s">
        <v>47128</v>
      </c>
      <c r="K5359" t="s">
        <v>47113</v>
      </c>
      <c r="L5359">
        <v>21.7</v>
      </c>
      <c r="M5359">
        <v>55</v>
      </c>
      <c r="N5359">
        <v>0</v>
      </c>
      <c r="O5359">
        <v>55</v>
      </c>
      <c r="P5359">
        <v>0</v>
      </c>
    </row>
    <row r="5360" spans="1:16" x14ac:dyDescent="0.25">
      <c r="A5360" t="s">
        <v>27751</v>
      </c>
      <c r="B5360" t="s">
        <v>19728</v>
      </c>
      <c r="C5360" t="s">
        <v>19729</v>
      </c>
      <c r="D5360" t="str">
        <f>"4926"</f>
        <v>4926</v>
      </c>
      <c r="E5360" t="s">
        <v>19721</v>
      </c>
      <c r="F5360" t="s">
        <v>17351</v>
      </c>
      <c r="G5360" t="s">
        <v>16235</v>
      </c>
      <c r="H5360" t="s">
        <v>47055</v>
      </c>
      <c r="I5360" t="s">
        <v>47127</v>
      </c>
      <c r="J5360" t="s">
        <v>47128</v>
      </c>
      <c r="K5360" t="s">
        <v>47113</v>
      </c>
      <c r="L5360">
        <v>21.7</v>
      </c>
      <c r="M5360">
        <v>55</v>
      </c>
      <c r="N5360">
        <v>0</v>
      </c>
      <c r="O5360">
        <v>55</v>
      </c>
      <c r="P5360">
        <v>0</v>
      </c>
    </row>
    <row r="5361" spans="1:16" x14ac:dyDescent="0.25">
      <c r="A5361" t="s">
        <v>27752</v>
      </c>
      <c r="B5361" t="s">
        <v>19730</v>
      </c>
      <c r="C5361" t="s">
        <v>19731</v>
      </c>
      <c r="D5361" t="str">
        <f>"1106"</f>
        <v>1106</v>
      </c>
      <c r="E5361" t="s">
        <v>460</v>
      </c>
      <c r="F5361" t="s">
        <v>17351</v>
      </c>
      <c r="G5361" t="s">
        <v>16222</v>
      </c>
      <c r="H5361" t="s">
        <v>47055</v>
      </c>
      <c r="I5361" t="s">
        <v>47127</v>
      </c>
      <c r="J5361" t="s">
        <v>47128</v>
      </c>
      <c r="K5361" t="s">
        <v>47113</v>
      </c>
      <c r="L5361">
        <v>17.34</v>
      </c>
      <c r="M5361">
        <v>44</v>
      </c>
      <c r="N5361">
        <v>0</v>
      </c>
      <c r="O5361">
        <v>44</v>
      </c>
      <c r="P5361">
        <v>0</v>
      </c>
    </row>
    <row r="5362" spans="1:16" x14ac:dyDescent="0.25">
      <c r="A5362" t="s">
        <v>27753</v>
      </c>
      <c r="B5362" t="s">
        <v>19730</v>
      </c>
      <c r="C5362" t="s">
        <v>19731</v>
      </c>
      <c r="D5362" t="str">
        <f>"1278"</f>
        <v>1278</v>
      </c>
      <c r="E5362" t="s">
        <v>100</v>
      </c>
      <c r="F5362" t="s">
        <v>17351</v>
      </c>
      <c r="G5362" t="s">
        <v>16222</v>
      </c>
      <c r="H5362" t="s">
        <v>47055</v>
      </c>
      <c r="I5362" t="s">
        <v>47127</v>
      </c>
      <c r="J5362" t="s">
        <v>47128</v>
      </c>
      <c r="K5362" t="s">
        <v>47113</v>
      </c>
      <c r="L5362">
        <v>17.34</v>
      </c>
      <c r="M5362">
        <v>44</v>
      </c>
      <c r="N5362">
        <v>0</v>
      </c>
      <c r="O5362">
        <v>44</v>
      </c>
      <c r="P5362">
        <v>0</v>
      </c>
    </row>
    <row r="5363" spans="1:16" x14ac:dyDescent="0.25">
      <c r="A5363" t="s">
        <v>27754</v>
      </c>
      <c r="B5363" t="s">
        <v>19730</v>
      </c>
      <c r="C5363" t="s">
        <v>19731</v>
      </c>
      <c r="D5363" t="str">
        <f>"4143"</f>
        <v>4143</v>
      </c>
      <c r="E5363" t="s">
        <v>16626</v>
      </c>
      <c r="F5363" t="s">
        <v>17351</v>
      </c>
      <c r="G5363" t="s">
        <v>16222</v>
      </c>
      <c r="H5363" t="s">
        <v>47055</v>
      </c>
      <c r="I5363" t="s">
        <v>47127</v>
      </c>
      <c r="J5363" t="s">
        <v>47128</v>
      </c>
      <c r="K5363" t="s">
        <v>47113</v>
      </c>
      <c r="L5363">
        <v>17.34</v>
      </c>
      <c r="M5363">
        <v>44</v>
      </c>
      <c r="N5363">
        <v>0</v>
      </c>
      <c r="O5363">
        <v>44</v>
      </c>
      <c r="P5363">
        <v>0</v>
      </c>
    </row>
    <row r="5364" spans="1:16" x14ac:dyDescent="0.25">
      <c r="A5364" t="s">
        <v>27755</v>
      </c>
      <c r="B5364" t="s">
        <v>19732</v>
      </c>
      <c r="C5364" t="s">
        <v>19733</v>
      </c>
      <c r="D5364" t="str">
        <f>"1106"</f>
        <v>1106</v>
      </c>
      <c r="E5364" t="s">
        <v>460</v>
      </c>
      <c r="F5364" t="s">
        <v>17351</v>
      </c>
      <c r="G5364" t="s">
        <v>16222</v>
      </c>
      <c r="H5364" t="s">
        <v>47055</v>
      </c>
      <c r="I5364" t="s">
        <v>47127</v>
      </c>
      <c r="J5364" t="s">
        <v>47128</v>
      </c>
      <c r="K5364" t="s">
        <v>47113</v>
      </c>
      <c r="L5364">
        <v>18.329999999999998</v>
      </c>
      <c r="M5364">
        <v>44</v>
      </c>
      <c r="N5364">
        <v>0</v>
      </c>
      <c r="O5364">
        <v>44</v>
      </c>
      <c r="P5364">
        <v>0</v>
      </c>
    </row>
    <row r="5365" spans="1:16" x14ac:dyDescent="0.25">
      <c r="A5365" t="s">
        <v>27756</v>
      </c>
      <c r="B5365" t="s">
        <v>19732</v>
      </c>
      <c r="C5365" t="s">
        <v>19733</v>
      </c>
      <c r="D5365" t="str">
        <f>"1221"</f>
        <v>1221</v>
      </c>
      <c r="E5365" t="s">
        <v>19720</v>
      </c>
      <c r="F5365" t="s">
        <v>17351</v>
      </c>
      <c r="G5365" t="s">
        <v>16222</v>
      </c>
      <c r="H5365" t="s">
        <v>47055</v>
      </c>
      <c r="I5365" t="s">
        <v>47127</v>
      </c>
      <c r="J5365" t="s">
        <v>47128</v>
      </c>
      <c r="K5365" t="s">
        <v>47113</v>
      </c>
      <c r="L5365">
        <v>18.329999999999998</v>
      </c>
      <c r="M5365">
        <v>44</v>
      </c>
      <c r="N5365">
        <v>0</v>
      </c>
      <c r="O5365">
        <v>44</v>
      </c>
      <c r="P5365">
        <v>0</v>
      </c>
    </row>
    <row r="5366" spans="1:16" x14ac:dyDescent="0.25">
      <c r="A5366" t="s">
        <v>27757</v>
      </c>
      <c r="B5366" t="s">
        <v>19732</v>
      </c>
      <c r="C5366" t="s">
        <v>19733</v>
      </c>
      <c r="D5366" t="str">
        <f>"3501"</f>
        <v>3501</v>
      </c>
      <c r="E5366" t="s">
        <v>3758</v>
      </c>
      <c r="F5366" t="s">
        <v>17351</v>
      </c>
      <c r="G5366" t="s">
        <v>16222</v>
      </c>
      <c r="H5366" t="s">
        <v>47055</v>
      </c>
      <c r="I5366" t="s">
        <v>47127</v>
      </c>
      <c r="J5366" t="s">
        <v>47128</v>
      </c>
      <c r="K5366" t="s">
        <v>47113</v>
      </c>
      <c r="L5366">
        <v>18.329999999999998</v>
      </c>
      <c r="M5366">
        <v>44</v>
      </c>
      <c r="N5366">
        <v>0</v>
      </c>
      <c r="O5366">
        <v>44</v>
      </c>
      <c r="P5366">
        <v>0</v>
      </c>
    </row>
    <row r="5367" spans="1:16" x14ac:dyDescent="0.25">
      <c r="A5367" t="s">
        <v>27758</v>
      </c>
      <c r="B5367" t="s">
        <v>19732</v>
      </c>
      <c r="C5367" t="s">
        <v>19733</v>
      </c>
      <c r="D5367" t="str">
        <f>"4522"</f>
        <v>4522</v>
      </c>
      <c r="E5367" t="s">
        <v>11009</v>
      </c>
      <c r="F5367" t="s">
        <v>17351</v>
      </c>
      <c r="G5367" t="s">
        <v>16222</v>
      </c>
      <c r="H5367" t="s">
        <v>47055</v>
      </c>
      <c r="I5367" t="s">
        <v>47127</v>
      </c>
      <c r="J5367" t="s">
        <v>47128</v>
      </c>
      <c r="K5367" t="s">
        <v>47113</v>
      </c>
      <c r="L5367">
        <v>18.329999999999998</v>
      </c>
      <c r="M5367">
        <v>44</v>
      </c>
      <c r="N5367">
        <v>0</v>
      </c>
      <c r="O5367">
        <v>44</v>
      </c>
      <c r="P5367">
        <v>0</v>
      </c>
    </row>
    <row r="5368" spans="1:16" x14ac:dyDescent="0.25">
      <c r="A5368" t="s">
        <v>27759</v>
      </c>
      <c r="B5368" t="s">
        <v>19734</v>
      </c>
      <c r="C5368" t="s">
        <v>19735</v>
      </c>
      <c r="D5368" t="str">
        <f>"1106"</f>
        <v>1106</v>
      </c>
      <c r="E5368" t="s">
        <v>460</v>
      </c>
      <c r="F5368" t="s">
        <v>17351</v>
      </c>
      <c r="G5368" t="s">
        <v>16235</v>
      </c>
      <c r="H5368" t="s">
        <v>47055</v>
      </c>
      <c r="I5368" t="s">
        <v>47127</v>
      </c>
      <c r="J5368" t="s">
        <v>47128</v>
      </c>
      <c r="K5368" t="s">
        <v>47113</v>
      </c>
      <c r="L5368">
        <v>27.25</v>
      </c>
      <c r="M5368">
        <v>70</v>
      </c>
      <c r="N5368">
        <v>0</v>
      </c>
      <c r="O5368">
        <v>70</v>
      </c>
      <c r="P5368">
        <v>0</v>
      </c>
    </row>
    <row r="5369" spans="1:16" x14ac:dyDescent="0.25">
      <c r="A5369" t="s">
        <v>27760</v>
      </c>
      <c r="B5369" t="s">
        <v>19734</v>
      </c>
      <c r="C5369" t="s">
        <v>19735</v>
      </c>
      <c r="D5369" t="str">
        <f>"1278"</f>
        <v>1278</v>
      </c>
      <c r="E5369" t="s">
        <v>100</v>
      </c>
      <c r="F5369" t="s">
        <v>17351</v>
      </c>
      <c r="G5369" t="s">
        <v>16235</v>
      </c>
      <c r="H5369" t="s">
        <v>47055</v>
      </c>
      <c r="I5369" t="s">
        <v>47127</v>
      </c>
      <c r="J5369" t="s">
        <v>47128</v>
      </c>
      <c r="K5369" t="s">
        <v>47113</v>
      </c>
      <c r="L5369">
        <v>27.25</v>
      </c>
      <c r="M5369">
        <v>70</v>
      </c>
      <c r="N5369">
        <v>0</v>
      </c>
      <c r="O5369">
        <v>70</v>
      </c>
      <c r="P5369">
        <v>0</v>
      </c>
    </row>
    <row r="5370" spans="1:16" x14ac:dyDescent="0.25">
      <c r="A5370" t="s">
        <v>27761</v>
      </c>
      <c r="B5370" t="s">
        <v>19734</v>
      </c>
      <c r="C5370" t="s">
        <v>19735</v>
      </c>
      <c r="D5370" t="str">
        <f>"3501"</f>
        <v>3501</v>
      </c>
      <c r="E5370" t="s">
        <v>3758</v>
      </c>
      <c r="F5370" t="s">
        <v>17351</v>
      </c>
      <c r="G5370" t="s">
        <v>16235</v>
      </c>
      <c r="H5370" t="s">
        <v>47055</v>
      </c>
      <c r="I5370" t="s">
        <v>47127</v>
      </c>
      <c r="J5370" t="s">
        <v>47128</v>
      </c>
      <c r="K5370" t="s">
        <v>47113</v>
      </c>
      <c r="L5370">
        <v>27.25</v>
      </c>
      <c r="M5370">
        <v>70</v>
      </c>
      <c r="N5370">
        <v>0</v>
      </c>
      <c r="O5370">
        <v>70</v>
      </c>
      <c r="P5370">
        <v>0</v>
      </c>
    </row>
    <row r="5371" spans="1:16" x14ac:dyDescent="0.25">
      <c r="A5371" t="s">
        <v>27762</v>
      </c>
      <c r="B5371" t="s">
        <v>19734</v>
      </c>
      <c r="C5371" t="s">
        <v>19735</v>
      </c>
      <c r="D5371" t="str">
        <f>"4143"</f>
        <v>4143</v>
      </c>
      <c r="E5371" t="s">
        <v>16626</v>
      </c>
      <c r="F5371" t="s">
        <v>17351</v>
      </c>
      <c r="G5371" t="s">
        <v>16235</v>
      </c>
      <c r="H5371" t="s">
        <v>47055</v>
      </c>
      <c r="I5371" t="s">
        <v>47127</v>
      </c>
      <c r="J5371" t="s">
        <v>47128</v>
      </c>
      <c r="K5371" t="s">
        <v>47113</v>
      </c>
      <c r="L5371">
        <v>27.25</v>
      </c>
      <c r="M5371">
        <v>70</v>
      </c>
      <c r="N5371">
        <v>0</v>
      </c>
      <c r="O5371">
        <v>70</v>
      </c>
      <c r="P5371">
        <v>0</v>
      </c>
    </row>
    <row r="5372" spans="1:16" x14ac:dyDescent="0.25">
      <c r="A5372" t="s">
        <v>27763</v>
      </c>
      <c r="B5372" t="s">
        <v>19736</v>
      </c>
      <c r="C5372" t="s">
        <v>19737</v>
      </c>
      <c r="D5372" t="str">
        <f>"1106"</f>
        <v>1106</v>
      </c>
      <c r="E5372" t="s">
        <v>460</v>
      </c>
      <c r="F5372" t="s">
        <v>17351</v>
      </c>
      <c r="G5372" t="s">
        <v>16222</v>
      </c>
      <c r="H5372" t="s">
        <v>47055</v>
      </c>
      <c r="I5372" t="s">
        <v>47127</v>
      </c>
      <c r="J5372" t="s">
        <v>47128</v>
      </c>
      <c r="K5372" t="s">
        <v>47113</v>
      </c>
      <c r="L5372">
        <v>19.329999999999998</v>
      </c>
      <c r="M5372">
        <v>48</v>
      </c>
      <c r="N5372">
        <v>0</v>
      </c>
      <c r="O5372">
        <v>48</v>
      </c>
      <c r="P5372">
        <v>0</v>
      </c>
    </row>
    <row r="5373" spans="1:16" x14ac:dyDescent="0.25">
      <c r="A5373" t="s">
        <v>27764</v>
      </c>
      <c r="B5373" t="s">
        <v>19736</v>
      </c>
      <c r="C5373" t="s">
        <v>19737</v>
      </c>
      <c r="D5373" t="str">
        <f>"1278"</f>
        <v>1278</v>
      </c>
      <c r="E5373" t="s">
        <v>100</v>
      </c>
      <c r="F5373" t="s">
        <v>17351</v>
      </c>
      <c r="G5373" t="s">
        <v>16222</v>
      </c>
      <c r="H5373" t="s">
        <v>47055</v>
      </c>
      <c r="I5373" t="s">
        <v>47127</v>
      </c>
      <c r="J5373" t="s">
        <v>47128</v>
      </c>
      <c r="K5373" t="s">
        <v>47113</v>
      </c>
      <c r="L5373">
        <v>19.329999999999998</v>
      </c>
      <c r="M5373">
        <v>48</v>
      </c>
      <c r="N5373">
        <v>0</v>
      </c>
      <c r="O5373">
        <v>48</v>
      </c>
      <c r="P5373">
        <v>0</v>
      </c>
    </row>
    <row r="5374" spans="1:16" x14ac:dyDescent="0.25">
      <c r="A5374" t="s">
        <v>27765</v>
      </c>
      <c r="B5374" t="s">
        <v>19736</v>
      </c>
      <c r="C5374" t="s">
        <v>19737</v>
      </c>
      <c r="D5374" t="str">
        <f>"3501"</f>
        <v>3501</v>
      </c>
      <c r="E5374" t="s">
        <v>3758</v>
      </c>
      <c r="F5374" t="s">
        <v>17351</v>
      </c>
      <c r="G5374" t="s">
        <v>16222</v>
      </c>
      <c r="H5374" t="s">
        <v>47055</v>
      </c>
      <c r="I5374" t="s">
        <v>47127</v>
      </c>
      <c r="J5374" t="s">
        <v>47128</v>
      </c>
      <c r="K5374" t="s">
        <v>47113</v>
      </c>
      <c r="L5374">
        <v>19.329999999999998</v>
      </c>
      <c r="M5374">
        <v>48</v>
      </c>
      <c r="N5374">
        <v>0</v>
      </c>
      <c r="O5374">
        <v>48</v>
      </c>
      <c r="P5374">
        <v>0</v>
      </c>
    </row>
    <row r="5375" spans="1:16" x14ac:dyDescent="0.25">
      <c r="A5375" t="s">
        <v>27766</v>
      </c>
      <c r="B5375" t="s">
        <v>19736</v>
      </c>
      <c r="C5375" t="s">
        <v>19737</v>
      </c>
      <c r="D5375" t="str">
        <f>"4143"</f>
        <v>4143</v>
      </c>
      <c r="E5375" t="s">
        <v>16626</v>
      </c>
      <c r="F5375" t="s">
        <v>17351</v>
      </c>
      <c r="G5375" t="s">
        <v>16222</v>
      </c>
      <c r="H5375" t="s">
        <v>47055</v>
      </c>
      <c r="I5375" t="s">
        <v>47127</v>
      </c>
      <c r="J5375" t="s">
        <v>47128</v>
      </c>
      <c r="K5375" t="s">
        <v>47113</v>
      </c>
      <c r="L5375">
        <v>19.329999999999998</v>
      </c>
      <c r="M5375">
        <v>48</v>
      </c>
      <c r="N5375">
        <v>0</v>
      </c>
      <c r="O5375">
        <v>48</v>
      </c>
      <c r="P5375">
        <v>0</v>
      </c>
    </row>
    <row r="5376" spans="1:16" x14ac:dyDescent="0.25">
      <c r="A5376" t="s">
        <v>27767</v>
      </c>
      <c r="B5376" t="s">
        <v>19738</v>
      </c>
      <c r="C5376" t="s">
        <v>19739</v>
      </c>
      <c r="D5376" t="str">
        <f>"1106"</f>
        <v>1106</v>
      </c>
      <c r="E5376" t="s">
        <v>460</v>
      </c>
      <c r="F5376" t="s">
        <v>17351</v>
      </c>
      <c r="G5376" t="s">
        <v>16235</v>
      </c>
      <c r="H5376" t="s">
        <v>47055</v>
      </c>
      <c r="I5376" t="s">
        <v>47127</v>
      </c>
      <c r="J5376" t="s">
        <v>47128</v>
      </c>
      <c r="K5376" t="s">
        <v>47113</v>
      </c>
      <c r="L5376">
        <v>19.329999999999998</v>
      </c>
      <c r="M5376">
        <v>48</v>
      </c>
      <c r="N5376">
        <v>0</v>
      </c>
      <c r="O5376">
        <v>48</v>
      </c>
      <c r="P5376">
        <v>0</v>
      </c>
    </row>
    <row r="5377" spans="1:16" x14ac:dyDescent="0.25">
      <c r="A5377" t="s">
        <v>27768</v>
      </c>
      <c r="B5377" t="s">
        <v>19738</v>
      </c>
      <c r="C5377" t="s">
        <v>19739</v>
      </c>
      <c r="D5377" t="str">
        <f>"1278"</f>
        <v>1278</v>
      </c>
      <c r="E5377" t="s">
        <v>100</v>
      </c>
      <c r="F5377" t="s">
        <v>17351</v>
      </c>
      <c r="G5377" t="s">
        <v>16235</v>
      </c>
      <c r="H5377" t="s">
        <v>47055</v>
      </c>
      <c r="I5377" t="s">
        <v>47127</v>
      </c>
      <c r="J5377" t="s">
        <v>47128</v>
      </c>
      <c r="K5377" t="s">
        <v>47113</v>
      </c>
      <c r="L5377">
        <v>19.329999999999998</v>
      </c>
      <c r="M5377">
        <v>48</v>
      </c>
      <c r="N5377">
        <v>0</v>
      </c>
      <c r="O5377">
        <v>48</v>
      </c>
      <c r="P5377">
        <v>0</v>
      </c>
    </row>
    <row r="5378" spans="1:16" x14ac:dyDescent="0.25">
      <c r="A5378" t="s">
        <v>27769</v>
      </c>
      <c r="B5378" t="s">
        <v>19738</v>
      </c>
      <c r="C5378" t="s">
        <v>19739</v>
      </c>
      <c r="D5378" t="str">
        <f>"3501"</f>
        <v>3501</v>
      </c>
      <c r="E5378" t="s">
        <v>3758</v>
      </c>
      <c r="F5378" t="s">
        <v>17351</v>
      </c>
      <c r="G5378" t="s">
        <v>16235</v>
      </c>
      <c r="H5378" t="s">
        <v>47055</v>
      </c>
      <c r="I5378" t="s">
        <v>47127</v>
      </c>
      <c r="J5378" t="s">
        <v>47128</v>
      </c>
      <c r="K5378" t="s">
        <v>47113</v>
      </c>
      <c r="L5378">
        <v>19.329999999999998</v>
      </c>
      <c r="M5378">
        <v>48</v>
      </c>
      <c r="N5378">
        <v>0</v>
      </c>
      <c r="O5378">
        <v>48</v>
      </c>
      <c r="P5378">
        <v>0</v>
      </c>
    </row>
    <row r="5379" spans="1:16" x14ac:dyDescent="0.25">
      <c r="A5379" t="s">
        <v>27770</v>
      </c>
      <c r="B5379" t="s">
        <v>19738</v>
      </c>
      <c r="C5379" t="s">
        <v>19739</v>
      </c>
      <c r="D5379" t="str">
        <f>"4143"</f>
        <v>4143</v>
      </c>
      <c r="E5379" t="s">
        <v>16626</v>
      </c>
      <c r="F5379" t="s">
        <v>17351</v>
      </c>
      <c r="G5379" t="s">
        <v>16235</v>
      </c>
      <c r="H5379" t="s">
        <v>47055</v>
      </c>
      <c r="I5379" t="s">
        <v>47127</v>
      </c>
      <c r="J5379" t="s">
        <v>47128</v>
      </c>
      <c r="K5379" t="s">
        <v>47113</v>
      </c>
      <c r="L5379">
        <v>19.329999999999998</v>
      </c>
      <c r="M5379">
        <v>48</v>
      </c>
      <c r="N5379">
        <v>0</v>
      </c>
      <c r="O5379">
        <v>48</v>
      </c>
      <c r="P5379">
        <v>0</v>
      </c>
    </row>
    <row r="5380" spans="1:16" x14ac:dyDescent="0.25">
      <c r="A5380" t="s">
        <v>27771</v>
      </c>
      <c r="B5380" t="s">
        <v>19740</v>
      </c>
      <c r="C5380" t="s">
        <v>19741</v>
      </c>
      <c r="D5380" t="str">
        <f>"1106"</f>
        <v>1106</v>
      </c>
      <c r="E5380" t="s">
        <v>460</v>
      </c>
      <c r="F5380" t="s">
        <v>17351</v>
      </c>
      <c r="G5380" t="s">
        <v>16235</v>
      </c>
      <c r="H5380" t="s">
        <v>47055</v>
      </c>
      <c r="I5380" t="s">
        <v>47127</v>
      </c>
      <c r="J5380" t="s">
        <v>47128</v>
      </c>
      <c r="K5380" t="s">
        <v>47113</v>
      </c>
      <c r="L5380">
        <v>20.32</v>
      </c>
      <c r="M5380">
        <v>55</v>
      </c>
      <c r="N5380">
        <v>0</v>
      </c>
      <c r="O5380">
        <v>55</v>
      </c>
      <c r="P5380">
        <v>0</v>
      </c>
    </row>
    <row r="5381" spans="1:16" x14ac:dyDescent="0.25">
      <c r="A5381" t="s">
        <v>27772</v>
      </c>
      <c r="B5381" t="s">
        <v>19740</v>
      </c>
      <c r="C5381" t="s">
        <v>19741</v>
      </c>
      <c r="D5381" t="str">
        <f>"1278"</f>
        <v>1278</v>
      </c>
      <c r="E5381" t="s">
        <v>100</v>
      </c>
      <c r="F5381" t="s">
        <v>17351</v>
      </c>
      <c r="G5381" t="s">
        <v>16235</v>
      </c>
      <c r="H5381" t="s">
        <v>47055</v>
      </c>
      <c r="I5381" t="s">
        <v>47127</v>
      </c>
      <c r="J5381" t="s">
        <v>47128</v>
      </c>
      <c r="K5381" t="s">
        <v>47113</v>
      </c>
      <c r="L5381">
        <v>20.32</v>
      </c>
      <c r="M5381">
        <v>55</v>
      </c>
      <c r="N5381">
        <v>0</v>
      </c>
      <c r="O5381">
        <v>55</v>
      </c>
      <c r="P5381">
        <v>0</v>
      </c>
    </row>
    <row r="5382" spans="1:16" x14ac:dyDescent="0.25">
      <c r="A5382" t="s">
        <v>27773</v>
      </c>
      <c r="B5382" t="s">
        <v>19740</v>
      </c>
      <c r="C5382" t="s">
        <v>19741</v>
      </c>
      <c r="D5382" t="str">
        <f>"4143"</f>
        <v>4143</v>
      </c>
      <c r="E5382" t="s">
        <v>16626</v>
      </c>
      <c r="F5382" t="s">
        <v>17351</v>
      </c>
      <c r="G5382" t="s">
        <v>16235</v>
      </c>
      <c r="H5382" t="s">
        <v>47055</v>
      </c>
      <c r="I5382" t="s">
        <v>47127</v>
      </c>
      <c r="J5382" t="s">
        <v>47128</v>
      </c>
      <c r="K5382" t="s">
        <v>47113</v>
      </c>
      <c r="L5382">
        <v>20.32</v>
      </c>
      <c r="M5382">
        <v>55</v>
      </c>
      <c r="N5382">
        <v>0</v>
      </c>
      <c r="O5382">
        <v>55</v>
      </c>
      <c r="P5382">
        <v>0</v>
      </c>
    </row>
    <row r="5383" spans="1:16" x14ac:dyDescent="0.25">
      <c r="A5383" t="s">
        <v>27774</v>
      </c>
      <c r="B5383" t="s">
        <v>27775</v>
      </c>
      <c r="C5383" t="s">
        <v>27776</v>
      </c>
      <c r="D5383" t="str">
        <f>"1106"</f>
        <v>1106</v>
      </c>
      <c r="E5383" t="s">
        <v>460</v>
      </c>
      <c r="F5383" t="s">
        <v>47185</v>
      </c>
      <c r="G5383" t="s">
        <v>16235</v>
      </c>
      <c r="H5383" t="s">
        <v>47055</v>
      </c>
      <c r="I5383" t="s">
        <v>47127</v>
      </c>
      <c r="J5383" t="s">
        <v>47128</v>
      </c>
      <c r="K5383" t="s">
        <v>47113</v>
      </c>
      <c r="L5383">
        <v>24.41</v>
      </c>
      <c r="M5383">
        <v>55</v>
      </c>
      <c r="N5383">
        <v>149</v>
      </c>
      <c r="O5383">
        <v>55</v>
      </c>
      <c r="P5383">
        <v>149</v>
      </c>
    </row>
    <row r="5384" spans="1:16" x14ac:dyDescent="0.25">
      <c r="A5384" t="s">
        <v>27777</v>
      </c>
      <c r="B5384" t="s">
        <v>27775</v>
      </c>
      <c r="C5384" t="s">
        <v>27776</v>
      </c>
      <c r="D5384" t="str">
        <f>"1118"</f>
        <v>1118</v>
      </c>
      <c r="E5384" t="s">
        <v>27778</v>
      </c>
      <c r="F5384" t="s">
        <v>47185</v>
      </c>
      <c r="G5384" t="s">
        <v>16235</v>
      </c>
      <c r="H5384" t="s">
        <v>47055</v>
      </c>
      <c r="I5384" t="s">
        <v>47127</v>
      </c>
      <c r="J5384" t="s">
        <v>47128</v>
      </c>
      <c r="K5384" t="s">
        <v>47113</v>
      </c>
      <c r="L5384">
        <v>24.41</v>
      </c>
      <c r="M5384">
        <v>55</v>
      </c>
      <c r="N5384">
        <v>149</v>
      </c>
      <c r="O5384">
        <v>55</v>
      </c>
      <c r="P5384">
        <v>149</v>
      </c>
    </row>
    <row r="5385" spans="1:16" x14ac:dyDescent="0.25">
      <c r="A5385" t="s">
        <v>27779</v>
      </c>
      <c r="B5385" t="s">
        <v>27775</v>
      </c>
      <c r="C5385" t="s">
        <v>27776</v>
      </c>
      <c r="D5385" t="str">
        <f>"1258"</f>
        <v>1258</v>
      </c>
      <c r="E5385" t="s">
        <v>2152</v>
      </c>
      <c r="F5385" t="s">
        <v>47185</v>
      </c>
      <c r="G5385" t="s">
        <v>16235</v>
      </c>
      <c r="H5385" t="s">
        <v>47055</v>
      </c>
      <c r="I5385" t="s">
        <v>47127</v>
      </c>
      <c r="J5385" t="s">
        <v>47128</v>
      </c>
      <c r="K5385" t="s">
        <v>47113</v>
      </c>
      <c r="L5385">
        <v>24.41</v>
      </c>
      <c r="M5385">
        <v>55</v>
      </c>
      <c r="N5385">
        <v>149</v>
      </c>
      <c r="O5385">
        <v>55</v>
      </c>
      <c r="P5385">
        <v>149</v>
      </c>
    </row>
    <row r="5386" spans="1:16" x14ac:dyDescent="0.25">
      <c r="A5386" t="s">
        <v>27780</v>
      </c>
      <c r="B5386" t="s">
        <v>27775</v>
      </c>
      <c r="C5386" t="s">
        <v>27776</v>
      </c>
      <c r="D5386" t="str">
        <f>"1501"</f>
        <v>1501</v>
      </c>
      <c r="E5386" t="s">
        <v>46</v>
      </c>
      <c r="F5386" t="s">
        <v>47185</v>
      </c>
      <c r="G5386" t="s">
        <v>16235</v>
      </c>
      <c r="H5386" t="s">
        <v>47055</v>
      </c>
      <c r="I5386" t="s">
        <v>47127</v>
      </c>
      <c r="J5386" t="s">
        <v>47128</v>
      </c>
      <c r="K5386" t="s">
        <v>47113</v>
      </c>
      <c r="L5386">
        <v>24.23</v>
      </c>
      <c r="M5386">
        <v>55</v>
      </c>
      <c r="N5386">
        <v>149</v>
      </c>
      <c r="O5386">
        <v>55</v>
      </c>
      <c r="P5386">
        <v>149</v>
      </c>
    </row>
    <row r="5387" spans="1:16" x14ac:dyDescent="0.25">
      <c r="A5387" t="s">
        <v>47186</v>
      </c>
      <c r="B5387" t="s">
        <v>27775</v>
      </c>
      <c r="C5387" t="s">
        <v>27776</v>
      </c>
      <c r="D5387" t="str">
        <f>"3106"</f>
        <v>3106</v>
      </c>
      <c r="E5387" t="s">
        <v>230</v>
      </c>
      <c r="F5387" t="s">
        <v>47185</v>
      </c>
      <c r="G5387" t="s">
        <v>16235</v>
      </c>
      <c r="H5387" t="s">
        <v>47055</v>
      </c>
      <c r="I5387" t="s">
        <v>47127</v>
      </c>
      <c r="J5387" t="s">
        <v>47128</v>
      </c>
      <c r="K5387" t="s">
        <v>47113</v>
      </c>
      <c r="L5387">
        <v>24.58</v>
      </c>
      <c r="M5387">
        <v>63</v>
      </c>
      <c r="N5387">
        <v>169</v>
      </c>
      <c r="O5387">
        <v>63</v>
      </c>
      <c r="P5387">
        <v>169</v>
      </c>
    </row>
    <row r="5388" spans="1:16" x14ac:dyDescent="0.25">
      <c r="A5388" t="s">
        <v>27781</v>
      </c>
      <c r="B5388" t="s">
        <v>27775</v>
      </c>
      <c r="C5388" t="s">
        <v>27776</v>
      </c>
      <c r="D5388" t="str">
        <f>"4142"</f>
        <v>4142</v>
      </c>
      <c r="E5388" t="s">
        <v>27782</v>
      </c>
      <c r="F5388" t="s">
        <v>47185</v>
      </c>
      <c r="G5388" t="s">
        <v>16235</v>
      </c>
      <c r="H5388" t="s">
        <v>47055</v>
      </c>
      <c r="I5388" t="s">
        <v>47127</v>
      </c>
      <c r="J5388" t="s">
        <v>47128</v>
      </c>
      <c r="K5388" t="s">
        <v>47113</v>
      </c>
      <c r="L5388">
        <v>24.23</v>
      </c>
      <c r="M5388">
        <v>55</v>
      </c>
      <c r="N5388">
        <v>149</v>
      </c>
      <c r="O5388">
        <v>55</v>
      </c>
      <c r="P5388">
        <v>149</v>
      </c>
    </row>
    <row r="5389" spans="1:16" x14ac:dyDescent="0.25">
      <c r="A5389" t="s">
        <v>27783</v>
      </c>
      <c r="B5389" t="s">
        <v>19742</v>
      </c>
      <c r="C5389" t="s">
        <v>19743</v>
      </c>
      <c r="D5389" t="str">
        <f>"1106"</f>
        <v>1106</v>
      </c>
      <c r="E5389" t="s">
        <v>460</v>
      </c>
      <c r="F5389" t="s">
        <v>17351</v>
      </c>
      <c r="G5389" t="s">
        <v>16235</v>
      </c>
      <c r="H5389" t="s">
        <v>47055</v>
      </c>
      <c r="I5389" t="s">
        <v>47127</v>
      </c>
      <c r="J5389" t="s">
        <v>47128</v>
      </c>
      <c r="K5389" t="s">
        <v>47113</v>
      </c>
      <c r="L5389">
        <v>26.66</v>
      </c>
      <c r="M5389">
        <v>66</v>
      </c>
      <c r="N5389">
        <v>0</v>
      </c>
      <c r="O5389">
        <v>66</v>
      </c>
      <c r="P5389">
        <v>0</v>
      </c>
    </row>
    <row r="5390" spans="1:16" x14ac:dyDescent="0.25">
      <c r="A5390" t="s">
        <v>27784</v>
      </c>
      <c r="B5390" t="s">
        <v>19742</v>
      </c>
      <c r="C5390" t="s">
        <v>19743</v>
      </c>
      <c r="D5390" t="str">
        <f>"1278"</f>
        <v>1278</v>
      </c>
      <c r="E5390" t="s">
        <v>100</v>
      </c>
      <c r="F5390" t="s">
        <v>17351</v>
      </c>
      <c r="G5390" t="s">
        <v>16235</v>
      </c>
      <c r="H5390" t="s">
        <v>47055</v>
      </c>
      <c r="I5390" t="s">
        <v>47127</v>
      </c>
      <c r="J5390" t="s">
        <v>47128</v>
      </c>
      <c r="K5390" t="s">
        <v>47113</v>
      </c>
      <c r="L5390">
        <v>26.66</v>
      </c>
      <c r="M5390">
        <v>66</v>
      </c>
      <c r="N5390">
        <v>0</v>
      </c>
      <c r="O5390">
        <v>66</v>
      </c>
      <c r="P5390">
        <v>0</v>
      </c>
    </row>
    <row r="5391" spans="1:16" x14ac:dyDescent="0.25">
      <c r="A5391" t="s">
        <v>27785</v>
      </c>
      <c r="B5391" t="s">
        <v>19742</v>
      </c>
      <c r="C5391" t="s">
        <v>19743</v>
      </c>
      <c r="D5391" t="str">
        <f>"3501"</f>
        <v>3501</v>
      </c>
      <c r="E5391" t="s">
        <v>3758</v>
      </c>
      <c r="F5391" t="s">
        <v>17351</v>
      </c>
      <c r="G5391" t="s">
        <v>16235</v>
      </c>
      <c r="H5391" t="s">
        <v>47055</v>
      </c>
      <c r="I5391" t="s">
        <v>47127</v>
      </c>
      <c r="J5391" t="s">
        <v>47128</v>
      </c>
      <c r="K5391" t="s">
        <v>47113</v>
      </c>
      <c r="L5391">
        <v>26.66</v>
      </c>
      <c r="M5391">
        <v>66</v>
      </c>
      <c r="N5391">
        <v>0</v>
      </c>
      <c r="O5391">
        <v>66</v>
      </c>
      <c r="P5391">
        <v>0</v>
      </c>
    </row>
    <row r="5392" spans="1:16" x14ac:dyDescent="0.25">
      <c r="A5392" t="s">
        <v>27786</v>
      </c>
      <c r="B5392" t="s">
        <v>19742</v>
      </c>
      <c r="C5392" t="s">
        <v>19743</v>
      </c>
      <c r="D5392" t="str">
        <f>"4143"</f>
        <v>4143</v>
      </c>
      <c r="E5392" t="s">
        <v>16626</v>
      </c>
      <c r="F5392" t="s">
        <v>17351</v>
      </c>
      <c r="G5392" t="s">
        <v>16235</v>
      </c>
      <c r="H5392" t="s">
        <v>47055</v>
      </c>
      <c r="I5392" t="s">
        <v>47127</v>
      </c>
      <c r="J5392" t="s">
        <v>47128</v>
      </c>
      <c r="K5392" t="s">
        <v>47113</v>
      </c>
      <c r="L5392">
        <v>26.66</v>
      </c>
      <c r="M5392">
        <v>66</v>
      </c>
      <c r="N5392">
        <v>0</v>
      </c>
      <c r="O5392">
        <v>66</v>
      </c>
      <c r="P5392">
        <v>0</v>
      </c>
    </row>
    <row r="5393" spans="1:16" x14ac:dyDescent="0.25">
      <c r="A5393" t="s">
        <v>27787</v>
      </c>
      <c r="B5393" t="s">
        <v>27788</v>
      </c>
      <c r="C5393" t="s">
        <v>47187</v>
      </c>
      <c r="D5393" t="str">
        <f>"1106"</f>
        <v>1106</v>
      </c>
      <c r="E5393" t="s">
        <v>460</v>
      </c>
      <c r="F5393" t="s">
        <v>47185</v>
      </c>
      <c r="G5393" t="s">
        <v>16222</v>
      </c>
      <c r="H5393" t="s">
        <v>47055</v>
      </c>
      <c r="I5393" t="s">
        <v>47127</v>
      </c>
      <c r="J5393" t="s">
        <v>47128</v>
      </c>
      <c r="K5393" t="s">
        <v>47113</v>
      </c>
      <c r="L5393">
        <v>19.72</v>
      </c>
      <c r="M5393">
        <v>48</v>
      </c>
      <c r="N5393">
        <v>119</v>
      </c>
      <c r="O5393">
        <v>48</v>
      </c>
      <c r="P5393">
        <v>119</v>
      </c>
    </row>
    <row r="5394" spans="1:16" x14ac:dyDescent="0.25">
      <c r="A5394" t="s">
        <v>27789</v>
      </c>
      <c r="B5394" t="s">
        <v>27788</v>
      </c>
      <c r="C5394" t="s">
        <v>47187</v>
      </c>
      <c r="D5394" t="str">
        <f>"1118"</f>
        <v>1118</v>
      </c>
      <c r="E5394" t="s">
        <v>27778</v>
      </c>
      <c r="F5394" t="s">
        <v>47185</v>
      </c>
      <c r="G5394" t="s">
        <v>16222</v>
      </c>
      <c r="H5394" t="s">
        <v>47055</v>
      </c>
      <c r="I5394" t="s">
        <v>47127</v>
      </c>
      <c r="J5394" t="s">
        <v>47128</v>
      </c>
      <c r="K5394" t="s">
        <v>47113</v>
      </c>
      <c r="L5394">
        <v>19.72</v>
      </c>
      <c r="M5394">
        <v>48</v>
      </c>
      <c r="N5394">
        <v>119</v>
      </c>
      <c r="O5394">
        <v>48</v>
      </c>
      <c r="P5394">
        <v>119</v>
      </c>
    </row>
    <row r="5395" spans="1:16" x14ac:dyDescent="0.25">
      <c r="A5395" t="s">
        <v>27790</v>
      </c>
      <c r="B5395" t="s">
        <v>27788</v>
      </c>
      <c r="C5395" t="s">
        <v>47187</v>
      </c>
      <c r="D5395" t="str">
        <f>"1258"</f>
        <v>1258</v>
      </c>
      <c r="E5395" t="s">
        <v>2152</v>
      </c>
      <c r="F5395" t="s">
        <v>47185</v>
      </c>
      <c r="G5395" t="s">
        <v>16222</v>
      </c>
      <c r="H5395" t="s">
        <v>47055</v>
      </c>
      <c r="I5395" t="s">
        <v>47127</v>
      </c>
      <c r="J5395" t="s">
        <v>47128</v>
      </c>
      <c r="K5395" t="s">
        <v>47113</v>
      </c>
      <c r="L5395">
        <v>19.72</v>
      </c>
      <c r="M5395">
        <v>48</v>
      </c>
      <c r="N5395">
        <v>119</v>
      </c>
      <c r="O5395">
        <v>48</v>
      </c>
      <c r="P5395">
        <v>119</v>
      </c>
    </row>
    <row r="5396" spans="1:16" x14ac:dyDescent="0.25">
      <c r="A5396" t="s">
        <v>27791</v>
      </c>
      <c r="B5396" t="s">
        <v>27788</v>
      </c>
      <c r="C5396" t="s">
        <v>47187</v>
      </c>
      <c r="D5396" t="str">
        <f>"1501"</f>
        <v>1501</v>
      </c>
      <c r="E5396" t="s">
        <v>46</v>
      </c>
      <c r="F5396" t="s">
        <v>47185</v>
      </c>
      <c r="G5396" t="s">
        <v>16222</v>
      </c>
      <c r="H5396" t="s">
        <v>47055</v>
      </c>
      <c r="I5396" t="s">
        <v>47127</v>
      </c>
      <c r="J5396" t="s">
        <v>47128</v>
      </c>
      <c r="K5396" t="s">
        <v>47113</v>
      </c>
      <c r="L5396">
        <v>19.57</v>
      </c>
      <c r="M5396">
        <v>48</v>
      </c>
      <c r="N5396">
        <v>119</v>
      </c>
      <c r="O5396">
        <v>48</v>
      </c>
      <c r="P5396">
        <v>119</v>
      </c>
    </row>
    <row r="5397" spans="1:16" x14ac:dyDescent="0.25">
      <c r="A5397" t="s">
        <v>47188</v>
      </c>
      <c r="B5397" t="s">
        <v>27788</v>
      </c>
      <c r="C5397" t="s">
        <v>47187</v>
      </c>
      <c r="D5397" t="str">
        <f>"3106"</f>
        <v>3106</v>
      </c>
      <c r="E5397" t="s">
        <v>230</v>
      </c>
      <c r="F5397" t="s">
        <v>47185</v>
      </c>
      <c r="G5397" t="s">
        <v>16222</v>
      </c>
      <c r="H5397" t="s">
        <v>47055</v>
      </c>
      <c r="I5397" t="s">
        <v>47127</v>
      </c>
      <c r="J5397" t="s">
        <v>47128</v>
      </c>
      <c r="K5397" t="s">
        <v>47113</v>
      </c>
      <c r="L5397">
        <v>19.850000000000001</v>
      </c>
      <c r="M5397">
        <v>48</v>
      </c>
      <c r="N5397">
        <v>129</v>
      </c>
      <c r="O5397">
        <v>48</v>
      </c>
      <c r="P5397">
        <v>129</v>
      </c>
    </row>
    <row r="5398" spans="1:16" x14ac:dyDescent="0.25">
      <c r="A5398" t="s">
        <v>27792</v>
      </c>
      <c r="B5398" t="s">
        <v>27788</v>
      </c>
      <c r="C5398" t="s">
        <v>47187</v>
      </c>
      <c r="D5398" t="str">
        <f>"4142"</f>
        <v>4142</v>
      </c>
      <c r="E5398" t="s">
        <v>27782</v>
      </c>
      <c r="F5398" t="s">
        <v>47185</v>
      </c>
      <c r="G5398" t="s">
        <v>16222</v>
      </c>
      <c r="H5398" t="s">
        <v>47055</v>
      </c>
      <c r="I5398" t="s">
        <v>47127</v>
      </c>
      <c r="J5398" t="s">
        <v>47128</v>
      </c>
      <c r="K5398" t="s">
        <v>47113</v>
      </c>
      <c r="L5398">
        <v>19.57</v>
      </c>
      <c r="M5398">
        <v>48</v>
      </c>
      <c r="N5398">
        <v>119</v>
      </c>
      <c r="O5398">
        <v>48</v>
      </c>
      <c r="P5398">
        <v>119</v>
      </c>
    </row>
    <row r="5399" spans="1:16" x14ac:dyDescent="0.25">
      <c r="A5399" t="s">
        <v>27793</v>
      </c>
      <c r="B5399" t="s">
        <v>27794</v>
      </c>
      <c r="C5399" t="s">
        <v>27795</v>
      </c>
      <c r="D5399" t="str">
        <f>"1106"</f>
        <v>1106</v>
      </c>
      <c r="E5399" t="s">
        <v>460</v>
      </c>
      <c r="F5399" t="s">
        <v>24019</v>
      </c>
      <c r="G5399" t="s">
        <v>46686</v>
      </c>
      <c r="H5399" t="s">
        <v>47055</v>
      </c>
      <c r="I5399" t="s">
        <v>47127</v>
      </c>
      <c r="J5399" t="s">
        <v>47128</v>
      </c>
      <c r="K5399" t="s">
        <v>47113</v>
      </c>
      <c r="L5399">
        <v>18.02</v>
      </c>
      <c r="M5399">
        <v>44</v>
      </c>
      <c r="N5399">
        <v>129</v>
      </c>
      <c r="O5399">
        <v>44</v>
      </c>
      <c r="P5399">
        <v>129</v>
      </c>
    </row>
    <row r="5400" spans="1:16" x14ac:dyDescent="0.25">
      <c r="A5400" t="s">
        <v>27796</v>
      </c>
      <c r="B5400" t="s">
        <v>27794</v>
      </c>
      <c r="C5400" t="s">
        <v>27795</v>
      </c>
      <c r="D5400" t="str">
        <f>"1118"</f>
        <v>1118</v>
      </c>
      <c r="E5400" t="s">
        <v>27778</v>
      </c>
      <c r="F5400" t="s">
        <v>24019</v>
      </c>
      <c r="G5400" t="s">
        <v>46686</v>
      </c>
      <c r="H5400" t="s">
        <v>47055</v>
      </c>
      <c r="I5400" t="s">
        <v>47127</v>
      </c>
      <c r="J5400" t="s">
        <v>47128</v>
      </c>
      <c r="K5400" t="s">
        <v>47113</v>
      </c>
      <c r="L5400">
        <v>18.02</v>
      </c>
      <c r="M5400">
        <v>44</v>
      </c>
      <c r="N5400">
        <v>129</v>
      </c>
      <c r="O5400">
        <v>44</v>
      </c>
      <c r="P5400">
        <v>129</v>
      </c>
    </row>
    <row r="5401" spans="1:16" x14ac:dyDescent="0.25">
      <c r="A5401" t="s">
        <v>27797</v>
      </c>
      <c r="B5401" t="s">
        <v>27794</v>
      </c>
      <c r="C5401" t="s">
        <v>27795</v>
      </c>
      <c r="D5401" t="str">
        <f>"1258"</f>
        <v>1258</v>
      </c>
      <c r="E5401" t="s">
        <v>2152</v>
      </c>
      <c r="F5401" t="s">
        <v>24019</v>
      </c>
      <c r="G5401" t="s">
        <v>46686</v>
      </c>
      <c r="H5401" t="s">
        <v>47055</v>
      </c>
      <c r="I5401" t="s">
        <v>47127</v>
      </c>
      <c r="J5401" t="s">
        <v>47128</v>
      </c>
      <c r="K5401" t="s">
        <v>47113</v>
      </c>
      <c r="L5401">
        <v>18.02</v>
      </c>
      <c r="M5401">
        <v>44</v>
      </c>
      <c r="N5401">
        <v>129</v>
      </c>
      <c r="O5401">
        <v>44</v>
      </c>
      <c r="P5401">
        <v>129</v>
      </c>
    </row>
    <row r="5402" spans="1:16" x14ac:dyDescent="0.25">
      <c r="A5402" t="s">
        <v>27798</v>
      </c>
      <c r="B5402" t="s">
        <v>27794</v>
      </c>
      <c r="C5402" t="s">
        <v>27795</v>
      </c>
      <c r="D5402" t="str">
        <f>"1501"</f>
        <v>1501</v>
      </c>
      <c r="E5402" t="s">
        <v>46</v>
      </c>
      <c r="F5402" t="s">
        <v>24019</v>
      </c>
      <c r="G5402" t="s">
        <v>46686</v>
      </c>
      <c r="H5402" t="s">
        <v>47055</v>
      </c>
      <c r="I5402" t="s">
        <v>47127</v>
      </c>
      <c r="J5402" t="s">
        <v>47128</v>
      </c>
      <c r="K5402" t="s">
        <v>47113</v>
      </c>
      <c r="L5402">
        <v>18.02</v>
      </c>
      <c r="M5402">
        <v>44</v>
      </c>
      <c r="N5402">
        <v>129</v>
      </c>
      <c r="O5402">
        <v>44</v>
      </c>
      <c r="P5402">
        <v>129</v>
      </c>
    </row>
    <row r="5403" spans="1:16" x14ac:dyDescent="0.25">
      <c r="A5403" t="s">
        <v>27799</v>
      </c>
      <c r="B5403" t="s">
        <v>27794</v>
      </c>
      <c r="C5403" t="s">
        <v>27795</v>
      </c>
      <c r="D5403" t="str">
        <f>"4142"</f>
        <v>4142</v>
      </c>
      <c r="E5403" t="s">
        <v>27782</v>
      </c>
      <c r="F5403" t="s">
        <v>24019</v>
      </c>
      <c r="G5403" t="s">
        <v>46686</v>
      </c>
      <c r="H5403" t="s">
        <v>47055</v>
      </c>
      <c r="I5403" t="s">
        <v>47127</v>
      </c>
      <c r="J5403" t="s">
        <v>47128</v>
      </c>
      <c r="K5403" t="s">
        <v>47113</v>
      </c>
      <c r="L5403">
        <v>18.02</v>
      </c>
      <c r="M5403">
        <v>44</v>
      </c>
      <c r="N5403">
        <v>129</v>
      </c>
      <c r="O5403">
        <v>44</v>
      </c>
      <c r="P5403">
        <v>129</v>
      </c>
    </row>
    <row r="5404" spans="1:16" x14ac:dyDescent="0.25">
      <c r="A5404" t="s">
        <v>27800</v>
      </c>
      <c r="B5404" t="s">
        <v>19744</v>
      </c>
      <c r="C5404" t="s">
        <v>19745</v>
      </c>
      <c r="D5404" t="str">
        <f>"1106"</f>
        <v>1106</v>
      </c>
      <c r="E5404" t="s">
        <v>460</v>
      </c>
      <c r="F5404" t="s">
        <v>17351</v>
      </c>
      <c r="G5404" t="s">
        <v>16222</v>
      </c>
      <c r="H5404" t="s">
        <v>47055</v>
      </c>
      <c r="I5404" t="s">
        <v>47127</v>
      </c>
      <c r="J5404" t="s">
        <v>47128</v>
      </c>
      <c r="K5404" t="s">
        <v>47113</v>
      </c>
      <c r="L5404">
        <v>19.329999999999998</v>
      </c>
      <c r="M5404">
        <v>48</v>
      </c>
      <c r="N5404">
        <v>0</v>
      </c>
      <c r="O5404">
        <v>48</v>
      </c>
      <c r="P5404">
        <v>0</v>
      </c>
    </row>
    <row r="5405" spans="1:16" x14ac:dyDescent="0.25">
      <c r="A5405" t="s">
        <v>27801</v>
      </c>
      <c r="B5405" t="s">
        <v>19746</v>
      </c>
      <c r="C5405" t="s">
        <v>19747</v>
      </c>
      <c r="D5405" t="str">
        <f>"1106"</f>
        <v>1106</v>
      </c>
      <c r="E5405" t="s">
        <v>460</v>
      </c>
      <c r="F5405" t="s">
        <v>17351</v>
      </c>
      <c r="G5405" t="s">
        <v>16235</v>
      </c>
      <c r="H5405" t="s">
        <v>47055</v>
      </c>
      <c r="I5405" t="s">
        <v>47127</v>
      </c>
      <c r="J5405" t="s">
        <v>47128</v>
      </c>
      <c r="K5405" t="s">
        <v>47113</v>
      </c>
      <c r="L5405">
        <v>19.329999999999998</v>
      </c>
      <c r="M5405">
        <v>48</v>
      </c>
      <c r="N5405">
        <v>0</v>
      </c>
      <c r="O5405">
        <v>48</v>
      </c>
      <c r="P5405">
        <v>0</v>
      </c>
    </row>
    <row r="5406" spans="1:16" x14ac:dyDescent="0.25">
      <c r="A5406" t="s">
        <v>27802</v>
      </c>
      <c r="B5406" t="s">
        <v>19748</v>
      </c>
      <c r="C5406" t="s">
        <v>19749</v>
      </c>
      <c r="D5406" t="str">
        <f>"1106"</f>
        <v>1106</v>
      </c>
      <c r="E5406" t="s">
        <v>460</v>
      </c>
      <c r="F5406" t="s">
        <v>17351</v>
      </c>
      <c r="G5406" t="s">
        <v>16235</v>
      </c>
      <c r="H5406" t="s">
        <v>47055</v>
      </c>
      <c r="I5406" t="s">
        <v>47127</v>
      </c>
      <c r="J5406" t="s">
        <v>47128</v>
      </c>
      <c r="K5406" t="s">
        <v>47113</v>
      </c>
      <c r="L5406">
        <v>25.95</v>
      </c>
      <c r="M5406">
        <v>66</v>
      </c>
      <c r="N5406">
        <v>0</v>
      </c>
      <c r="O5406">
        <v>66</v>
      </c>
      <c r="P5406">
        <v>0</v>
      </c>
    </row>
    <row r="5407" spans="1:16" x14ac:dyDescent="0.25">
      <c r="A5407" t="s">
        <v>27803</v>
      </c>
      <c r="B5407" t="s">
        <v>19750</v>
      </c>
      <c r="C5407" t="s">
        <v>19751</v>
      </c>
      <c r="D5407" t="str">
        <f>"1106"</f>
        <v>1106</v>
      </c>
      <c r="E5407" t="s">
        <v>460</v>
      </c>
      <c r="F5407" t="s">
        <v>17351</v>
      </c>
      <c r="G5407" t="s">
        <v>16235</v>
      </c>
      <c r="H5407" t="s">
        <v>47055</v>
      </c>
      <c r="I5407" t="s">
        <v>47127</v>
      </c>
      <c r="J5407" t="s">
        <v>47128</v>
      </c>
      <c r="K5407" t="s">
        <v>47113</v>
      </c>
      <c r="L5407">
        <v>29.23</v>
      </c>
      <c r="M5407">
        <v>74</v>
      </c>
      <c r="N5407">
        <v>0</v>
      </c>
      <c r="O5407">
        <v>74</v>
      </c>
      <c r="P5407">
        <v>0</v>
      </c>
    </row>
    <row r="5408" spans="1:16" x14ac:dyDescent="0.25">
      <c r="A5408" t="s">
        <v>27804</v>
      </c>
      <c r="B5408" t="s">
        <v>19750</v>
      </c>
      <c r="C5408" t="s">
        <v>19751</v>
      </c>
      <c r="D5408" t="str">
        <f>"1221"</f>
        <v>1221</v>
      </c>
      <c r="E5408" t="s">
        <v>19720</v>
      </c>
      <c r="F5408" t="s">
        <v>17351</v>
      </c>
      <c r="G5408" t="s">
        <v>16235</v>
      </c>
      <c r="H5408" t="s">
        <v>47055</v>
      </c>
      <c r="I5408" t="s">
        <v>47127</v>
      </c>
      <c r="J5408" t="s">
        <v>47128</v>
      </c>
      <c r="K5408" t="s">
        <v>47113</v>
      </c>
      <c r="L5408">
        <v>29.23</v>
      </c>
      <c r="M5408">
        <v>74</v>
      </c>
      <c r="N5408">
        <v>0</v>
      </c>
      <c r="O5408">
        <v>74</v>
      </c>
      <c r="P5408">
        <v>0</v>
      </c>
    </row>
    <row r="5409" spans="1:16" x14ac:dyDescent="0.25">
      <c r="A5409" t="s">
        <v>27805</v>
      </c>
      <c r="B5409" t="s">
        <v>19750</v>
      </c>
      <c r="C5409" t="s">
        <v>19751</v>
      </c>
      <c r="D5409" t="str">
        <f>"3501"</f>
        <v>3501</v>
      </c>
      <c r="E5409" t="s">
        <v>3758</v>
      </c>
      <c r="F5409" t="s">
        <v>17351</v>
      </c>
      <c r="G5409" t="s">
        <v>16235</v>
      </c>
      <c r="H5409" t="s">
        <v>47055</v>
      </c>
      <c r="I5409" t="s">
        <v>47127</v>
      </c>
      <c r="J5409" t="s">
        <v>47128</v>
      </c>
      <c r="K5409" t="s">
        <v>47113</v>
      </c>
      <c r="L5409">
        <v>29.23</v>
      </c>
      <c r="M5409">
        <v>74</v>
      </c>
      <c r="N5409">
        <v>0</v>
      </c>
      <c r="O5409">
        <v>74</v>
      </c>
      <c r="P5409">
        <v>0</v>
      </c>
    </row>
    <row r="5410" spans="1:16" x14ac:dyDescent="0.25">
      <c r="A5410" t="s">
        <v>27806</v>
      </c>
      <c r="B5410" t="s">
        <v>19750</v>
      </c>
      <c r="C5410" t="s">
        <v>19751</v>
      </c>
      <c r="D5410" t="str">
        <f>"4143"</f>
        <v>4143</v>
      </c>
      <c r="E5410" t="s">
        <v>16626</v>
      </c>
      <c r="F5410" t="s">
        <v>17351</v>
      </c>
      <c r="G5410" t="s">
        <v>16235</v>
      </c>
      <c r="H5410" t="s">
        <v>47055</v>
      </c>
      <c r="I5410" t="s">
        <v>47127</v>
      </c>
      <c r="J5410" t="s">
        <v>47128</v>
      </c>
      <c r="K5410" t="s">
        <v>47113</v>
      </c>
      <c r="L5410">
        <v>29.23</v>
      </c>
      <c r="M5410">
        <v>74</v>
      </c>
      <c r="N5410">
        <v>0</v>
      </c>
      <c r="O5410">
        <v>74</v>
      </c>
      <c r="P5410">
        <v>0</v>
      </c>
    </row>
    <row r="5411" spans="1:16" x14ac:dyDescent="0.25">
      <c r="A5411" t="s">
        <v>27807</v>
      </c>
      <c r="B5411" t="s">
        <v>19752</v>
      </c>
      <c r="C5411" t="s">
        <v>19753</v>
      </c>
      <c r="D5411" t="str">
        <f>"4926"</f>
        <v>4926</v>
      </c>
      <c r="E5411" t="s">
        <v>19721</v>
      </c>
      <c r="F5411" t="s">
        <v>17351</v>
      </c>
      <c r="G5411" t="s">
        <v>16235</v>
      </c>
      <c r="H5411" t="s">
        <v>47055</v>
      </c>
      <c r="I5411" t="s">
        <v>47127</v>
      </c>
      <c r="J5411" t="s">
        <v>47128</v>
      </c>
      <c r="K5411" t="s">
        <v>47113</v>
      </c>
      <c r="L5411">
        <v>22.98</v>
      </c>
      <c r="M5411">
        <v>55</v>
      </c>
      <c r="N5411">
        <v>0</v>
      </c>
      <c r="O5411">
        <v>55</v>
      </c>
      <c r="P5411">
        <v>0</v>
      </c>
    </row>
    <row r="5412" spans="1:16" x14ac:dyDescent="0.25">
      <c r="A5412" t="s">
        <v>27808</v>
      </c>
      <c r="B5412" t="s">
        <v>27809</v>
      </c>
      <c r="C5412" t="s">
        <v>27810</v>
      </c>
      <c r="D5412" t="s">
        <v>16917</v>
      </c>
      <c r="E5412" t="s">
        <v>16918</v>
      </c>
      <c r="F5412" t="s">
        <v>24019</v>
      </c>
      <c r="G5412" t="s">
        <v>16231</v>
      </c>
      <c r="H5412" t="s">
        <v>47055</v>
      </c>
      <c r="I5412" t="s">
        <v>47127</v>
      </c>
      <c r="J5412" t="s">
        <v>47128</v>
      </c>
      <c r="K5412" t="s">
        <v>47113</v>
      </c>
      <c r="L5412">
        <v>34.869999999999997</v>
      </c>
      <c r="M5412">
        <v>74</v>
      </c>
      <c r="N5412">
        <v>0</v>
      </c>
      <c r="O5412">
        <v>74</v>
      </c>
      <c r="P5412">
        <v>0</v>
      </c>
    </row>
    <row r="5413" spans="1:16" x14ac:dyDescent="0.25">
      <c r="A5413" t="s">
        <v>27811</v>
      </c>
      <c r="B5413" t="s">
        <v>27812</v>
      </c>
      <c r="C5413" t="s">
        <v>27813</v>
      </c>
      <c r="D5413" t="s">
        <v>19562</v>
      </c>
      <c r="E5413" t="s">
        <v>19563</v>
      </c>
      <c r="F5413" t="s">
        <v>24019</v>
      </c>
      <c r="G5413" t="s">
        <v>16231</v>
      </c>
      <c r="H5413" t="s">
        <v>47055</v>
      </c>
      <c r="I5413" t="s">
        <v>47127</v>
      </c>
      <c r="J5413" t="s">
        <v>47128</v>
      </c>
      <c r="K5413" t="s">
        <v>47113</v>
      </c>
      <c r="L5413">
        <v>37.020000000000003</v>
      </c>
      <c r="M5413">
        <v>74</v>
      </c>
      <c r="N5413">
        <v>0</v>
      </c>
      <c r="O5413">
        <v>74</v>
      </c>
      <c r="P5413">
        <v>0</v>
      </c>
    </row>
    <row r="5414" spans="1:16" x14ac:dyDescent="0.25">
      <c r="A5414" t="s">
        <v>27814</v>
      </c>
      <c r="B5414" t="s">
        <v>27815</v>
      </c>
      <c r="C5414" t="s">
        <v>27810</v>
      </c>
      <c r="D5414" t="s">
        <v>27816</v>
      </c>
      <c r="E5414" t="s">
        <v>27817</v>
      </c>
      <c r="F5414" t="s">
        <v>24019</v>
      </c>
      <c r="G5414" t="s">
        <v>16231</v>
      </c>
      <c r="H5414" t="s">
        <v>47055</v>
      </c>
      <c r="I5414" t="s">
        <v>47127</v>
      </c>
      <c r="J5414" t="s">
        <v>47128</v>
      </c>
      <c r="K5414" t="s">
        <v>47113</v>
      </c>
      <c r="L5414">
        <v>35.299999999999997</v>
      </c>
      <c r="M5414">
        <v>74</v>
      </c>
      <c r="N5414">
        <v>0</v>
      </c>
      <c r="O5414">
        <v>74</v>
      </c>
      <c r="P5414">
        <v>0</v>
      </c>
    </row>
    <row r="5415" spans="1:16" x14ac:dyDescent="0.25">
      <c r="A5415" t="s">
        <v>27818</v>
      </c>
      <c r="B5415" t="s">
        <v>27819</v>
      </c>
      <c r="C5415" t="s">
        <v>27820</v>
      </c>
      <c r="D5415" t="s">
        <v>27816</v>
      </c>
      <c r="E5415" t="s">
        <v>27817</v>
      </c>
      <c r="F5415" t="s">
        <v>24019</v>
      </c>
      <c r="G5415" t="s">
        <v>16231</v>
      </c>
      <c r="H5415" t="s">
        <v>47055</v>
      </c>
      <c r="I5415" t="s">
        <v>47127</v>
      </c>
      <c r="J5415" t="s">
        <v>47128</v>
      </c>
      <c r="K5415" t="s">
        <v>47113</v>
      </c>
      <c r="L5415">
        <v>35.299999999999997</v>
      </c>
      <c r="M5415">
        <v>74</v>
      </c>
      <c r="N5415">
        <v>0</v>
      </c>
      <c r="O5415">
        <v>74</v>
      </c>
      <c r="P5415">
        <v>0</v>
      </c>
    </row>
    <row r="5416" spans="1:16" x14ac:dyDescent="0.25">
      <c r="A5416" t="s">
        <v>27821</v>
      </c>
      <c r="B5416" t="s">
        <v>27822</v>
      </c>
      <c r="C5416" t="s">
        <v>27810</v>
      </c>
      <c r="D5416" t="s">
        <v>311</v>
      </c>
      <c r="E5416" t="s">
        <v>16288</v>
      </c>
      <c r="F5416" t="s">
        <v>24019</v>
      </c>
      <c r="G5416" t="s">
        <v>16231</v>
      </c>
      <c r="H5416" t="s">
        <v>47055</v>
      </c>
      <c r="I5416" t="s">
        <v>47127</v>
      </c>
      <c r="J5416" t="s">
        <v>47128</v>
      </c>
      <c r="K5416" t="s">
        <v>47113</v>
      </c>
      <c r="L5416">
        <v>35.200000000000003</v>
      </c>
      <c r="M5416">
        <v>74</v>
      </c>
      <c r="N5416">
        <v>0</v>
      </c>
      <c r="O5416">
        <v>74</v>
      </c>
      <c r="P5416">
        <v>0</v>
      </c>
    </row>
    <row r="5417" spans="1:16" x14ac:dyDescent="0.25">
      <c r="A5417" t="s">
        <v>27823</v>
      </c>
      <c r="B5417" t="s">
        <v>27824</v>
      </c>
      <c r="C5417" t="s">
        <v>27820</v>
      </c>
      <c r="D5417" t="s">
        <v>311</v>
      </c>
      <c r="E5417" t="s">
        <v>16288</v>
      </c>
      <c r="F5417" t="s">
        <v>24019</v>
      </c>
      <c r="G5417" t="s">
        <v>16231</v>
      </c>
      <c r="H5417" t="s">
        <v>47055</v>
      </c>
      <c r="I5417" t="s">
        <v>47127</v>
      </c>
      <c r="J5417" t="s">
        <v>47128</v>
      </c>
      <c r="K5417" t="s">
        <v>47113</v>
      </c>
      <c r="L5417">
        <v>35.200000000000003</v>
      </c>
      <c r="M5417">
        <v>74</v>
      </c>
      <c r="N5417">
        <v>0</v>
      </c>
      <c r="O5417">
        <v>74</v>
      </c>
      <c r="P5417">
        <v>0</v>
      </c>
    </row>
    <row r="5418" spans="1:16" x14ac:dyDescent="0.25">
      <c r="A5418" t="s">
        <v>27825</v>
      </c>
      <c r="B5418" t="s">
        <v>27826</v>
      </c>
      <c r="C5418" t="s">
        <v>27827</v>
      </c>
      <c r="D5418" t="s">
        <v>19562</v>
      </c>
      <c r="E5418" t="s">
        <v>19563</v>
      </c>
      <c r="F5418" t="s">
        <v>24019</v>
      </c>
      <c r="G5418" t="s">
        <v>16231</v>
      </c>
      <c r="H5418" t="s">
        <v>47055</v>
      </c>
      <c r="I5418" t="s">
        <v>47127</v>
      </c>
      <c r="J5418" t="s">
        <v>47128</v>
      </c>
      <c r="K5418" t="s">
        <v>47113</v>
      </c>
      <c r="L5418">
        <v>38.409999999999997</v>
      </c>
      <c r="M5418">
        <v>74</v>
      </c>
      <c r="N5418">
        <v>0</v>
      </c>
      <c r="O5418">
        <v>74</v>
      </c>
      <c r="P5418">
        <v>0</v>
      </c>
    </row>
    <row r="5419" spans="1:16" x14ac:dyDescent="0.25">
      <c r="A5419" t="s">
        <v>27828</v>
      </c>
      <c r="B5419" t="s">
        <v>27829</v>
      </c>
      <c r="C5419" t="s">
        <v>27830</v>
      </c>
      <c r="D5419" t="s">
        <v>19562</v>
      </c>
      <c r="E5419" t="s">
        <v>19563</v>
      </c>
      <c r="F5419" t="s">
        <v>24019</v>
      </c>
      <c r="G5419" t="s">
        <v>16231</v>
      </c>
      <c r="H5419" t="s">
        <v>47055</v>
      </c>
      <c r="I5419" t="s">
        <v>47127</v>
      </c>
      <c r="J5419" t="s">
        <v>47128</v>
      </c>
      <c r="K5419" t="s">
        <v>47113</v>
      </c>
      <c r="L5419">
        <v>38.409999999999997</v>
      </c>
      <c r="M5419">
        <v>74</v>
      </c>
      <c r="N5419">
        <v>0</v>
      </c>
      <c r="O5419">
        <v>74</v>
      </c>
      <c r="P5419">
        <v>0</v>
      </c>
    </row>
    <row r="5420" spans="1:16" x14ac:dyDescent="0.25">
      <c r="A5420" t="s">
        <v>27831</v>
      </c>
      <c r="B5420" t="s">
        <v>27832</v>
      </c>
      <c r="C5420" t="s">
        <v>27827</v>
      </c>
      <c r="D5420" t="s">
        <v>27816</v>
      </c>
      <c r="E5420" t="s">
        <v>27817</v>
      </c>
      <c r="F5420" t="s">
        <v>24019</v>
      </c>
      <c r="G5420" t="s">
        <v>16231</v>
      </c>
      <c r="H5420" t="s">
        <v>47055</v>
      </c>
      <c r="I5420" t="s">
        <v>47127</v>
      </c>
      <c r="J5420" t="s">
        <v>47128</v>
      </c>
      <c r="K5420" t="s">
        <v>47113</v>
      </c>
      <c r="L5420">
        <v>36.96</v>
      </c>
      <c r="M5420">
        <v>74</v>
      </c>
      <c r="N5420">
        <v>0</v>
      </c>
      <c r="O5420">
        <v>74</v>
      </c>
      <c r="P5420">
        <v>0</v>
      </c>
    </row>
    <row r="5421" spans="1:16" x14ac:dyDescent="0.25">
      <c r="A5421" t="s">
        <v>27833</v>
      </c>
      <c r="B5421" t="s">
        <v>27834</v>
      </c>
      <c r="C5421" t="s">
        <v>27830</v>
      </c>
      <c r="D5421" t="s">
        <v>27816</v>
      </c>
      <c r="E5421" t="s">
        <v>27817</v>
      </c>
      <c r="F5421" t="s">
        <v>24019</v>
      </c>
      <c r="G5421" t="s">
        <v>16231</v>
      </c>
      <c r="H5421" t="s">
        <v>47055</v>
      </c>
      <c r="I5421" t="s">
        <v>47127</v>
      </c>
      <c r="J5421" t="s">
        <v>47128</v>
      </c>
      <c r="K5421" t="s">
        <v>47113</v>
      </c>
      <c r="L5421">
        <v>36.96</v>
      </c>
      <c r="M5421">
        <v>74</v>
      </c>
      <c r="N5421">
        <v>0</v>
      </c>
      <c r="O5421">
        <v>74</v>
      </c>
      <c r="P5421">
        <v>0</v>
      </c>
    </row>
    <row r="5422" spans="1:16" x14ac:dyDescent="0.25">
      <c r="A5422" t="s">
        <v>27835</v>
      </c>
      <c r="B5422" t="s">
        <v>27836</v>
      </c>
      <c r="C5422" t="s">
        <v>27837</v>
      </c>
      <c r="D5422" t="s">
        <v>311</v>
      </c>
      <c r="E5422" t="s">
        <v>16288</v>
      </c>
      <c r="F5422" t="s">
        <v>24019</v>
      </c>
      <c r="G5422" t="s">
        <v>16231</v>
      </c>
      <c r="H5422" t="s">
        <v>47055</v>
      </c>
      <c r="I5422" t="s">
        <v>47127</v>
      </c>
      <c r="J5422" t="s">
        <v>47128</v>
      </c>
      <c r="K5422" t="s">
        <v>47113</v>
      </c>
      <c r="L5422">
        <v>35.35</v>
      </c>
      <c r="M5422">
        <v>74</v>
      </c>
      <c r="N5422">
        <v>0</v>
      </c>
      <c r="O5422">
        <v>74</v>
      </c>
      <c r="P5422">
        <v>0</v>
      </c>
    </row>
    <row r="5423" spans="1:16" x14ac:dyDescent="0.25">
      <c r="A5423" t="s">
        <v>27838</v>
      </c>
      <c r="B5423" t="s">
        <v>27839</v>
      </c>
      <c r="C5423" t="s">
        <v>19557</v>
      </c>
      <c r="D5423" t="s">
        <v>311</v>
      </c>
      <c r="E5423" t="s">
        <v>16288</v>
      </c>
      <c r="F5423" t="s">
        <v>24019</v>
      </c>
      <c r="G5423" t="s">
        <v>16231</v>
      </c>
      <c r="H5423" t="s">
        <v>47055</v>
      </c>
      <c r="I5423" t="s">
        <v>47127</v>
      </c>
      <c r="J5423" t="s">
        <v>47128</v>
      </c>
      <c r="K5423" t="s">
        <v>47113</v>
      </c>
      <c r="L5423">
        <v>35.35</v>
      </c>
      <c r="M5423">
        <v>74</v>
      </c>
      <c r="N5423">
        <v>0</v>
      </c>
      <c r="O5423">
        <v>74</v>
      </c>
      <c r="P5423">
        <v>0</v>
      </c>
    </row>
    <row r="5424" spans="1:16" x14ac:dyDescent="0.25">
      <c r="A5424" t="s">
        <v>27840</v>
      </c>
      <c r="B5424" t="s">
        <v>27841</v>
      </c>
      <c r="C5424" t="s">
        <v>27837</v>
      </c>
      <c r="D5424" t="s">
        <v>27842</v>
      </c>
      <c r="E5424" t="s">
        <v>27843</v>
      </c>
      <c r="F5424" t="s">
        <v>24019</v>
      </c>
      <c r="G5424" t="s">
        <v>16231</v>
      </c>
      <c r="H5424" t="s">
        <v>47055</v>
      </c>
      <c r="I5424" t="s">
        <v>47127</v>
      </c>
      <c r="J5424" t="s">
        <v>47128</v>
      </c>
      <c r="K5424" t="s">
        <v>47113</v>
      </c>
      <c r="L5424">
        <v>35.35</v>
      </c>
      <c r="M5424">
        <v>74</v>
      </c>
      <c r="N5424">
        <v>0</v>
      </c>
      <c r="O5424">
        <v>74</v>
      </c>
      <c r="P5424">
        <v>0</v>
      </c>
    </row>
    <row r="5425" spans="1:16" x14ac:dyDescent="0.25">
      <c r="A5425" t="s">
        <v>27844</v>
      </c>
      <c r="B5425" t="s">
        <v>27845</v>
      </c>
      <c r="C5425" t="s">
        <v>19557</v>
      </c>
      <c r="D5425" t="s">
        <v>27842</v>
      </c>
      <c r="E5425" t="s">
        <v>27843</v>
      </c>
      <c r="F5425" t="s">
        <v>24019</v>
      </c>
      <c r="G5425" t="s">
        <v>16231</v>
      </c>
      <c r="H5425" t="s">
        <v>47055</v>
      </c>
      <c r="I5425" t="s">
        <v>47127</v>
      </c>
      <c r="J5425" t="s">
        <v>47128</v>
      </c>
      <c r="K5425" t="s">
        <v>47113</v>
      </c>
      <c r="L5425">
        <v>35.35</v>
      </c>
      <c r="M5425">
        <v>74</v>
      </c>
      <c r="N5425">
        <v>0</v>
      </c>
      <c r="O5425">
        <v>74</v>
      </c>
      <c r="P5425">
        <v>0</v>
      </c>
    </row>
    <row r="5426" spans="1:16" x14ac:dyDescent="0.25">
      <c r="A5426" t="s">
        <v>27846</v>
      </c>
      <c r="B5426" t="s">
        <v>27847</v>
      </c>
      <c r="C5426" t="s">
        <v>27827</v>
      </c>
      <c r="D5426" t="s">
        <v>16917</v>
      </c>
      <c r="E5426" t="s">
        <v>16918</v>
      </c>
      <c r="F5426" t="s">
        <v>24019</v>
      </c>
      <c r="G5426" t="s">
        <v>16231</v>
      </c>
      <c r="H5426" t="s">
        <v>47055</v>
      </c>
      <c r="I5426" t="s">
        <v>47127</v>
      </c>
      <c r="J5426" t="s">
        <v>47128</v>
      </c>
      <c r="K5426" t="s">
        <v>47113</v>
      </c>
      <c r="L5426">
        <v>37.020000000000003</v>
      </c>
      <c r="M5426">
        <v>74</v>
      </c>
      <c r="N5426">
        <v>0</v>
      </c>
      <c r="O5426">
        <v>74</v>
      </c>
      <c r="P5426">
        <v>0</v>
      </c>
    </row>
    <row r="5427" spans="1:16" x14ac:dyDescent="0.25">
      <c r="A5427" t="s">
        <v>27848</v>
      </c>
      <c r="B5427" t="s">
        <v>27849</v>
      </c>
      <c r="C5427" t="s">
        <v>27830</v>
      </c>
      <c r="D5427" t="s">
        <v>16917</v>
      </c>
      <c r="E5427" t="s">
        <v>16918</v>
      </c>
      <c r="F5427" t="s">
        <v>24019</v>
      </c>
      <c r="G5427" t="s">
        <v>16231</v>
      </c>
      <c r="H5427" t="s">
        <v>47055</v>
      </c>
      <c r="I5427" t="s">
        <v>47127</v>
      </c>
      <c r="J5427" t="s">
        <v>47128</v>
      </c>
      <c r="K5427" t="s">
        <v>47113</v>
      </c>
      <c r="L5427">
        <v>37.020000000000003</v>
      </c>
      <c r="M5427">
        <v>74</v>
      </c>
      <c r="N5427">
        <v>0</v>
      </c>
      <c r="O5427">
        <v>74</v>
      </c>
      <c r="P5427">
        <v>0</v>
      </c>
    </row>
    <row r="5428" spans="1:16" x14ac:dyDescent="0.25">
      <c r="A5428" t="s">
        <v>27850</v>
      </c>
      <c r="B5428" t="s">
        <v>27851</v>
      </c>
      <c r="C5428" t="s">
        <v>19557</v>
      </c>
      <c r="D5428" t="s">
        <v>27852</v>
      </c>
      <c r="E5428" t="s">
        <v>27853</v>
      </c>
      <c r="F5428" t="s">
        <v>24019</v>
      </c>
      <c r="G5428" t="s">
        <v>16231</v>
      </c>
      <c r="H5428" t="s">
        <v>47055</v>
      </c>
      <c r="I5428" t="s">
        <v>47127</v>
      </c>
      <c r="J5428" t="s">
        <v>47128</v>
      </c>
      <c r="K5428" t="s">
        <v>47113</v>
      </c>
      <c r="L5428">
        <v>33.79</v>
      </c>
      <c r="M5428">
        <v>74</v>
      </c>
      <c r="N5428">
        <v>0</v>
      </c>
      <c r="O5428">
        <v>74</v>
      </c>
      <c r="P5428">
        <v>0</v>
      </c>
    </row>
    <row r="5429" spans="1:16" x14ac:dyDescent="0.25">
      <c r="A5429" t="s">
        <v>27854</v>
      </c>
      <c r="B5429" t="s">
        <v>27855</v>
      </c>
      <c r="C5429" t="s">
        <v>19557</v>
      </c>
      <c r="D5429" t="s">
        <v>22730</v>
      </c>
      <c r="E5429" t="s">
        <v>22731</v>
      </c>
      <c r="F5429" t="s">
        <v>24019</v>
      </c>
      <c r="G5429" t="s">
        <v>16231</v>
      </c>
      <c r="H5429" t="s">
        <v>47055</v>
      </c>
      <c r="I5429" t="s">
        <v>47127</v>
      </c>
      <c r="J5429" t="s">
        <v>47128</v>
      </c>
      <c r="K5429" t="s">
        <v>47113</v>
      </c>
      <c r="L5429">
        <v>37.450000000000003</v>
      </c>
      <c r="M5429">
        <v>85</v>
      </c>
      <c r="N5429">
        <v>0</v>
      </c>
      <c r="O5429">
        <v>85</v>
      </c>
      <c r="P5429">
        <v>0</v>
      </c>
    </row>
    <row r="5430" spans="1:16" x14ac:dyDescent="0.25">
      <c r="A5430" t="s">
        <v>27856</v>
      </c>
      <c r="B5430" t="s">
        <v>27857</v>
      </c>
      <c r="C5430" t="s">
        <v>19557</v>
      </c>
      <c r="D5430" t="s">
        <v>22776</v>
      </c>
      <c r="E5430" t="s">
        <v>22777</v>
      </c>
      <c r="F5430" t="s">
        <v>24019</v>
      </c>
      <c r="G5430" t="s">
        <v>16231</v>
      </c>
      <c r="H5430" t="s">
        <v>47055</v>
      </c>
      <c r="I5430" t="s">
        <v>47127</v>
      </c>
      <c r="J5430" t="s">
        <v>47128</v>
      </c>
      <c r="K5430" t="s">
        <v>47113</v>
      </c>
      <c r="L5430">
        <v>34.340000000000003</v>
      </c>
      <c r="M5430">
        <v>74</v>
      </c>
      <c r="N5430">
        <v>0</v>
      </c>
      <c r="O5430">
        <v>74</v>
      </c>
      <c r="P5430">
        <v>0</v>
      </c>
    </row>
    <row r="5431" spans="1:16" x14ac:dyDescent="0.25">
      <c r="A5431" t="s">
        <v>27858</v>
      </c>
      <c r="B5431" t="s">
        <v>19754</v>
      </c>
      <c r="C5431" t="s">
        <v>19755</v>
      </c>
      <c r="D5431" t="str">
        <f>"1106"</f>
        <v>1106</v>
      </c>
      <c r="E5431" t="s">
        <v>460</v>
      </c>
      <c r="F5431" t="s">
        <v>17351</v>
      </c>
      <c r="G5431" t="s">
        <v>16221</v>
      </c>
      <c r="H5431" t="s">
        <v>47055</v>
      </c>
      <c r="I5431" t="s">
        <v>47127</v>
      </c>
      <c r="J5431" t="s">
        <v>47128</v>
      </c>
      <c r="K5431" t="s">
        <v>47113</v>
      </c>
      <c r="L5431">
        <v>10.41</v>
      </c>
      <c r="M5431">
        <v>26</v>
      </c>
      <c r="N5431">
        <v>0</v>
      </c>
      <c r="O5431">
        <v>26</v>
      </c>
      <c r="P5431">
        <v>0</v>
      </c>
    </row>
    <row r="5432" spans="1:16" x14ac:dyDescent="0.25">
      <c r="A5432" t="s">
        <v>27859</v>
      </c>
      <c r="B5432" t="s">
        <v>19754</v>
      </c>
      <c r="C5432" t="s">
        <v>19755</v>
      </c>
      <c r="D5432" t="str">
        <f>"1700"</f>
        <v>1700</v>
      </c>
      <c r="E5432" t="s">
        <v>60</v>
      </c>
      <c r="F5432" t="s">
        <v>17351</v>
      </c>
      <c r="G5432" t="s">
        <v>16221</v>
      </c>
      <c r="H5432" t="s">
        <v>47055</v>
      </c>
      <c r="I5432" t="s">
        <v>47127</v>
      </c>
      <c r="J5432" t="s">
        <v>47128</v>
      </c>
      <c r="K5432" t="s">
        <v>47113</v>
      </c>
      <c r="L5432">
        <v>10.41</v>
      </c>
      <c r="M5432">
        <v>26</v>
      </c>
      <c r="N5432">
        <v>0</v>
      </c>
      <c r="O5432">
        <v>26</v>
      </c>
      <c r="P5432">
        <v>0</v>
      </c>
    </row>
    <row r="5433" spans="1:16" x14ac:dyDescent="0.25">
      <c r="A5433" t="s">
        <v>27860</v>
      </c>
      <c r="B5433" t="s">
        <v>19754</v>
      </c>
      <c r="C5433" t="s">
        <v>19755</v>
      </c>
      <c r="D5433" t="str">
        <f>"3501"</f>
        <v>3501</v>
      </c>
      <c r="E5433" t="s">
        <v>3758</v>
      </c>
      <c r="F5433" t="s">
        <v>17351</v>
      </c>
      <c r="G5433" t="s">
        <v>16221</v>
      </c>
      <c r="H5433" t="s">
        <v>47055</v>
      </c>
      <c r="I5433" t="s">
        <v>47127</v>
      </c>
      <c r="J5433" t="s">
        <v>47128</v>
      </c>
      <c r="K5433" t="s">
        <v>47113</v>
      </c>
      <c r="L5433">
        <v>10.41</v>
      </c>
      <c r="M5433">
        <v>26</v>
      </c>
      <c r="N5433">
        <v>0</v>
      </c>
      <c r="O5433">
        <v>26</v>
      </c>
      <c r="P5433">
        <v>0</v>
      </c>
    </row>
    <row r="5434" spans="1:16" x14ac:dyDescent="0.25">
      <c r="A5434" t="s">
        <v>27861</v>
      </c>
      <c r="B5434" t="s">
        <v>19754</v>
      </c>
      <c r="C5434" t="s">
        <v>19755</v>
      </c>
      <c r="D5434" t="str">
        <f>"4522"</f>
        <v>4522</v>
      </c>
      <c r="E5434" t="s">
        <v>11009</v>
      </c>
      <c r="F5434" t="s">
        <v>17351</v>
      </c>
      <c r="G5434" t="s">
        <v>16221</v>
      </c>
      <c r="H5434" t="s">
        <v>47055</v>
      </c>
      <c r="I5434" t="s">
        <v>47127</v>
      </c>
      <c r="J5434" t="s">
        <v>47128</v>
      </c>
      <c r="K5434" t="s">
        <v>47113</v>
      </c>
      <c r="L5434">
        <v>10.41</v>
      </c>
      <c r="M5434">
        <v>26</v>
      </c>
      <c r="N5434">
        <v>0</v>
      </c>
      <c r="O5434">
        <v>26</v>
      </c>
      <c r="P5434">
        <v>0</v>
      </c>
    </row>
    <row r="5435" spans="1:16" x14ac:dyDescent="0.25">
      <c r="A5435" t="s">
        <v>27862</v>
      </c>
      <c r="B5435" t="s">
        <v>19754</v>
      </c>
      <c r="C5435" t="s">
        <v>19755</v>
      </c>
      <c r="D5435" t="str">
        <f>"4926"</f>
        <v>4926</v>
      </c>
      <c r="E5435" t="s">
        <v>19721</v>
      </c>
      <c r="F5435" t="s">
        <v>17351</v>
      </c>
      <c r="G5435" t="s">
        <v>16221</v>
      </c>
      <c r="H5435" t="s">
        <v>47055</v>
      </c>
      <c r="I5435" t="s">
        <v>47127</v>
      </c>
      <c r="J5435" t="s">
        <v>47128</v>
      </c>
      <c r="K5435" t="s">
        <v>47113</v>
      </c>
      <c r="L5435">
        <v>10.41</v>
      </c>
      <c r="M5435">
        <v>26</v>
      </c>
      <c r="N5435">
        <v>0</v>
      </c>
      <c r="O5435">
        <v>26</v>
      </c>
      <c r="P5435">
        <v>0</v>
      </c>
    </row>
    <row r="5436" spans="1:16" x14ac:dyDescent="0.25">
      <c r="A5436" t="s">
        <v>27863</v>
      </c>
      <c r="B5436" t="s">
        <v>19756</v>
      </c>
      <c r="C5436" t="s">
        <v>19757</v>
      </c>
      <c r="D5436" t="str">
        <f>"1106"</f>
        <v>1106</v>
      </c>
      <c r="E5436" t="s">
        <v>460</v>
      </c>
      <c r="F5436" t="s">
        <v>17351</v>
      </c>
      <c r="G5436" t="s">
        <v>16221</v>
      </c>
      <c r="H5436" t="s">
        <v>47055</v>
      </c>
      <c r="I5436" t="s">
        <v>47127</v>
      </c>
      <c r="J5436" t="s">
        <v>47128</v>
      </c>
      <c r="K5436" t="s">
        <v>47113</v>
      </c>
      <c r="L5436">
        <v>10.41</v>
      </c>
      <c r="M5436">
        <v>26</v>
      </c>
      <c r="N5436">
        <v>0</v>
      </c>
      <c r="O5436">
        <v>26</v>
      </c>
      <c r="P5436">
        <v>0</v>
      </c>
    </row>
    <row r="5437" spans="1:16" x14ac:dyDescent="0.25">
      <c r="A5437" t="s">
        <v>27864</v>
      </c>
      <c r="B5437" t="s">
        <v>19756</v>
      </c>
      <c r="C5437" t="s">
        <v>19757</v>
      </c>
      <c r="D5437" t="str">
        <f>"1700"</f>
        <v>1700</v>
      </c>
      <c r="E5437" t="s">
        <v>60</v>
      </c>
      <c r="F5437" t="s">
        <v>17351</v>
      </c>
      <c r="G5437" t="s">
        <v>16221</v>
      </c>
      <c r="H5437" t="s">
        <v>47055</v>
      </c>
      <c r="I5437" t="s">
        <v>47127</v>
      </c>
      <c r="J5437" t="s">
        <v>47128</v>
      </c>
      <c r="K5437" t="s">
        <v>47113</v>
      </c>
      <c r="L5437">
        <v>10.41</v>
      </c>
      <c r="M5437">
        <v>26</v>
      </c>
      <c r="N5437">
        <v>0</v>
      </c>
      <c r="O5437">
        <v>26</v>
      </c>
      <c r="P5437">
        <v>0</v>
      </c>
    </row>
    <row r="5438" spans="1:16" x14ac:dyDescent="0.25">
      <c r="A5438" t="s">
        <v>27865</v>
      </c>
      <c r="B5438" t="s">
        <v>19756</v>
      </c>
      <c r="C5438" t="s">
        <v>19757</v>
      </c>
      <c r="D5438" t="str">
        <f>"3501"</f>
        <v>3501</v>
      </c>
      <c r="E5438" t="s">
        <v>3758</v>
      </c>
      <c r="F5438" t="s">
        <v>17351</v>
      </c>
      <c r="G5438" t="s">
        <v>16221</v>
      </c>
      <c r="H5438" t="s">
        <v>47055</v>
      </c>
      <c r="I5438" t="s">
        <v>47127</v>
      </c>
      <c r="J5438" t="s">
        <v>47128</v>
      </c>
      <c r="K5438" t="s">
        <v>47113</v>
      </c>
      <c r="L5438">
        <v>10.41</v>
      </c>
      <c r="M5438">
        <v>26</v>
      </c>
      <c r="N5438">
        <v>0</v>
      </c>
      <c r="O5438">
        <v>26</v>
      </c>
      <c r="P5438">
        <v>0</v>
      </c>
    </row>
    <row r="5439" spans="1:16" x14ac:dyDescent="0.25">
      <c r="A5439" t="s">
        <v>27866</v>
      </c>
      <c r="B5439" t="s">
        <v>19756</v>
      </c>
      <c r="C5439" t="s">
        <v>19757</v>
      </c>
      <c r="D5439" t="str">
        <f>"4926"</f>
        <v>4926</v>
      </c>
      <c r="E5439" t="s">
        <v>19721</v>
      </c>
      <c r="F5439" t="s">
        <v>17351</v>
      </c>
      <c r="G5439" t="s">
        <v>16221</v>
      </c>
      <c r="H5439" t="s">
        <v>47055</v>
      </c>
      <c r="I5439" t="s">
        <v>47127</v>
      </c>
      <c r="J5439" t="s">
        <v>47128</v>
      </c>
      <c r="K5439" t="s">
        <v>47113</v>
      </c>
      <c r="L5439">
        <v>10.41</v>
      </c>
      <c r="M5439">
        <v>26</v>
      </c>
      <c r="N5439">
        <v>0</v>
      </c>
      <c r="O5439">
        <v>26</v>
      </c>
      <c r="P5439">
        <v>0</v>
      </c>
    </row>
    <row r="5440" spans="1:16" x14ac:dyDescent="0.25">
      <c r="A5440" t="s">
        <v>27867</v>
      </c>
      <c r="B5440" t="s">
        <v>19758</v>
      </c>
      <c r="C5440" t="s">
        <v>19759</v>
      </c>
      <c r="D5440" t="str">
        <f>"1106"</f>
        <v>1106</v>
      </c>
      <c r="E5440" t="s">
        <v>460</v>
      </c>
      <c r="F5440" t="s">
        <v>17351</v>
      </c>
      <c r="G5440" t="s">
        <v>16221</v>
      </c>
      <c r="H5440" t="s">
        <v>47055</v>
      </c>
      <c r="I5440" t="s">
        <v>47127</v>
      </c>
      <c r="J5440" t="s">
        <v>47128</v>
      </c>
      <c r="K5440" t="s">
        <v>47113</v>
      </c>
      <c r="L5440">
        <v>11.79</v>
      </c>
      <c r="M5440">
        <v>29</v>
      </c>
      <c r="N5440">
        <v>0</v>
      </c>
      <c r="O5440">
        <v>29</v>
      </c>
      <c r="P5440">
        <v>0</v>
      </c>
    </row>
    <row r="5441" spans="1:16" x14ac:dyDescent="0.25">
      <c r="A5441" t="s">
        <v>27868</v>
      </c>
      <c r="B5441" t="s">
        <v>19758</v>
      </c>
      <c r="C5441" t="s">
        <v>19759</v>
      </c>
      <c r="D5441" t="str">
        <f>"1700"</f>
        <v>1700</v>
      </c>
      <c r="E5441" t="s">
        <v>60</v>
      </c>
      <c r="F5441" t="s">
        <v>17351</v>
      </c>
      <c r="G5441" t="s">
        <v>16221</v>
      </c>
      <c r="H5441" t="s">
        <v>47055</v>
      </c>
      <c r="I5441" t="s">
        <v>47127</v>
      </c>
      <c r="J5441" t="s">
        <v>47128</v>
      </c>
      <c r="K5441" t="s">
        <v>47113</v>
      </c>
      <c r="L5441">
        <v>11.79</v>
      </c>
      <c r="M5441">
        <v>29</v>
      </c>
      <c r="N5441">
        <v>0</v>
      </c>
      <c r="O5441">
        <v>29</v>
      </c>
      <c r="P5441">
        <v>0</v>
      </c>
    </row>
    <row r="5442" spans="1:16" x14ac:dyDescent="0.25">
      <c r="A5442" t="s">
        <v>27869</v>
      </c>
      <c r="B5442" t="s">
        <v>19758</v>
      </c>
      <c r="C5442" t="s">
        <v>19759</v>
      </c>
      <c r="D5442" t="str">
        <f>"3501"</f>
        <v>3501</v>
      </c>
      <c r="E5442" t="s">
        <v>3758</v>
      </c>
      <c r="F5442" t="s">
        <v>17351</v>
      </c>
      <c r="G5442" t="s">
        <v>16221</v>
      </c>
      <c r="H5442" t="s">
        <v>47055</v>
      </c>
      <c r="I5442" t="s">
        <v>47127</v>
      </c>
      <c r="J5442" t="s">
        <v>47128</v>
      </c>
      <c r="K5442" t="s">
        <v>47113</v>
      </c>
      <c r="L5442">
        <v>11.79</v>
      </c>
      <c r="M5442">
        <v>29</v>
      </c>
      <c r="N5442">
        <v>0</v>
      </c>
      <c r="O5442">
        <v>29</v>
      </c>
      <c r="P5442">
        <v>0</v>
      </c>
    </row>
    <row r="5443" spans="1:16" x14ac:dyDescent="0.25">
      <c r="A5443" t="s">
        <v>27870</v>
      </c>
      <c r="B5443" t="s">
        <v>19758</v>
      </c>
      <c r="C5443" t="s">
        <v>19759</v>
      </c>
      <c r="D5443" t="str">
        <f>"4926"</f>
        <v>4926</v>
      </c>
      <c r="E5443" t="s">
        <v>19721</v>
      </c>
      <c r="F5443" t="s">
        <v>17351</v>
      </c>
      <c r="G5443" t="s">
        <v>16221</v>
      </c>
      <c r="H5443" t="s">
        <v>47055</v>
      </c>
      <c r="I5443" t="s">
        <v>47127</v>
      </c>
      <c r="J5443" t="s">
        <v>47128</v>
      </c>
      <c r="K5443" t="s">
        <v>47113</v>
      </c>
      <c r="L5443">
        <v>11.79</v>
      </c>
      <c r="M5443">
        <v>29</v>
      </c>
      <c r="N5443">
        <v>0</v>
      </c>
      <c r="O5443">
        <v>29</v>
      </c>
      <c r="P5443">
        <v>0</v>
      </c>
    </row>
    <row r="5444" spans="1:16" x14ac:dyDescent="0.25">
      <c r="A5444" t="s">
        <v>27871</v>
      </c>
      <c r="B5444" t="s">
        <v>19760</v>
      </c>
      <c r="C5444" t="s">
        <v>19761</v>
      </c>
      <c r="D5444" t="str">
        <f>"1106"</f>
        <v>1106</v>
      </c>
      <c r="E5444" t="s">
        <v>460</v>
      </c>
      <c r="F5444" t="s">
        <v>17351</v>
      </c>
      <c r="G5444" t="s">
        <v>16221</v>
      </c>
      <c r="H5444" t="s">
        <v>47055</v>
      </c>
      <c r="I5444" t="s">
        <v>47127</v>
      </c>
      <c r="J5444" t="s">
        <v>47128</v>
      </c>
      <c r="K5444" t="s">
        <v>47113</v>
      </c>
      <c r="L5444">
        <v>11.7</v>
      </c>
      <c r="M5444">
        <v>29</v>
      </c>
      <c r="N5444">
        <v>0</v>
      </c>
      <c r="O5444">
        <v>29</v>
      </c>
      <c r="P5444">
        <v>0</v>
      </c>
    </row>
    <row r="5445" spans="1:16" x14ac:dyDescent="0.25">
      <c r="A5445" t="s">
        <v>27872</v>
      </c>
      <c r="B5445" t="s">
        <v>19760</v>
      </c>
      <c r="C5445" t="s">
        <v>19761</v>
      </c>
      <c r="D5445" t="str">
        <f>"1700"</f>
        <v>1700</v>
      </c>
      <c r="E5445" t="s">
        <v>60</v>
      </c>
      <c r="F5445" t="s">
        <v>17351</v>
      </c>
      <c r="G5445" t="s">
        <v>16221</v>
      </c>
      <c r="H5445" t="s">
        <v>47055</v>
      </c>
      <c r="I5445" t="s">
        <v>47127</v>
      </c>
      <c r="J5445" t="s">
        <v>47128</v>
      </c>
      <c r="K5445" t="s">
        <v>47113</v>
      </c>
      <c r="L5445">
        <v>11.7</v>
      </c>
      <c r="M5445">
        <v>29</v>
      </c>
      <c r="N5445">
        <v>0</v>
      </c>
      <c r="O5445">
        <v>29</v>
      </c>
      <c r="P5445">
        <v>0</v>
      </c>
    </row>
    <row r="5446" spans="1:16" x14ac:dyDescent="0.25">
      <c r="A5446" t="s">
        <v>27873</v>
      </c>
      <c r="B5446" t="s">
        <v>19760</v>
      </c>
      <c r="C5446" t="s">
        <v>19761</v>
      </c>
      <c r="D5446" t="str">
        <f>"3501"</f>
        <v>3501</v>
      </c>
      <c r="E5446" t="s">
        <v>3758</v>
      </c>
      <c r="F5446" t="s">
        <v>17351</v>
      </c>
      <c r="G5446" t="s">
        <v>16221</v>
      </c>
      <c r="H5446" t="s">
        <v>47055</v>
      </c>
      <c r="I5446" t="s">
        <v>47127</v>
      </c>
      <c r="J5446" t="s">
        <v>47128</v>
      </c>
      <c r="K5446" t="s">
        <v>47113</v>
      </c>
      <c r="L5446">
        <v>11.7</v>
      </c>
      <c r="M5446">
        <v>29</v>
      </c>
      <c r="N5446">
        <v>0</v>
      </c>
      <c r="O5446">
        <v>29</v>
      </c>
      <c r="P5446">
        <v>0</v>
      </c>
    </row>
    <row r="5447" spans="1:16" x14ac:dyDescent="0.25">
      <c r="A5447" t="s">
        <v>27874</v>
      </c>
      <c r="B5447" t="s">
        <v>19760</v>
      </c>
      <c r="C5447" t="s">
        <v>19761</v>
      </c>
      <c r="D5447" t="str">
        <f>"4926"</f>
        <v>4926</v>
      </c>
      <c r="E5447" t="s">
        <v>19721</v>
      </c>
      <c r="F5447" t="s">
        <v>17351</v>
      </c>
      <c r="G5447" t="s">
        <v>16221</v>
      </c>
      <c r="H5447" t="s">
        <v>47055</v>
      </c>
      <c r="I5447" t="s">
        <v>47127</v>
      </c>
      <c r="J5447" t="s">
        <v>47128</v>
      </c>
      <c r="K5447" t="s">
        <v>47113</v>
      </c>
      <c r="L5447">
        <v>11.7</v>
      </c>
      <c r="M5447">
        <v>29</v>
      </c>
      <c r="N5447">
        <v>0</v>
      </c>
      <c r="O5447">
        <v>29</v>
      </c>
      <c r="P5447">
        <v>0</v>
      </c>
    </row>
    <row r="5448" spans="1:16" x14ac:dyDescent="0.25">
      <c r="A5448" t="s">
        <v>27875</v>
      </c>
      <c r="B5448" t="s">
        <v>19762</v>
      </c>
      <c r="C5448" t="s">
        <v>19763</v>
      </c>
      <c r="D5448" t="str">
        <f>"1106"</f>
        <v>1106</v>
      </c>
      <c r="E5448" t="s">
        <v>460</v>
      </c>
      <c r="F5448" t="s">
        <v>17351</v>
      </c>
      <c r="G5448" t="s">
        <v>16221</v>
      </c>
      <c r="H5448" t="s">
        <v>47055</v>
      </c>
      <c r="I5448" t="s">
        <v>47127</v>
      </c>
      <c r="J5448" t="s">
        <v>47128</v>
      </c>
      <c r="K5448" t="s">
        <v>47113</v>
      </c>
      <c r="L5448">
        <v>10.41</v>
      </c>
      <c r="M5448">
        <v>26</v>
      </c>
      <c r="N5448">
        <v>0</v>
      </c>
      <c r="O5448">
        <v>26</v>
      </c>
      <c r="P5448">
        <v>0</v>
      </c>
    </row>
    <row r="5449" spans="1:16" x14ac:dyDescent="0.25">
      <c r="A5449" t="s">
        <v>27876</v>
      </c>
      <c r="B5449" t="s">
        <v>19762</v>
      </c>
      <c r="C5449" t="s">
        <v>19763</v>
      </c>
      <c r="D5449" t="str">
        <f>"1700"</f>
        <v>1700</v>
      </c>
      <c r="E5449" t="s">
        <v>60</v>
      </c>
      <c r="F5449" t="s">
        <v>17351</v>
      </c>
      <c r="G5449" t="s">
        <v>16221</v>
      </c>
      <c r="H5449" t="s">
        <v>47055</v>
      </c>
      <c r="I5449" t="s">
        <v>47127</v>
      </c>
      <c r="J5449" t="s">
        <v>47128</v>
      </c>
      <c r="K5449" t="s">
        <v>47113</v>
      </c>
      <c r="L5449">
        <v>10.41</v>
      </c>
      <c r="M5449">
        <v>26</v>
      </c>
      <c r="N5449">
        <v>0</v>
      </c>
      <c r="O5449">
        <v>26</v>
      </c>
      <c r="P5449">
        <v>0</v>
      </c>
    </row>
    <row r="5450" spans="1:16" x14ac:dyDescent="0.25">
      <c r="A5450" t="s">
        <v>27877</v>
      </c>
      <c r="B5450" t="s">
        <v>19762</v>
      </c>
      <c r="C5450" t="s">
        <v>19763</v>
      </c>
      <c r="D5450" t="str">
        <f>"3501"</f>
        <v>3501</v>
      </c>
      <c r="E5450" t="s">
        <v>3758</v>
      </c>
      <c r="F5450" t="s">
        <v>17351</v>
      </c>
      <c r="G5450" t="s">
        <v>16221</v>
      </c>
      <c r="H5450" t="s">
        <v>47055</v>
      </c>
      <c r="I5450" t="s">
        <v>47127</v>
      </c>
      <c r="J5450" t="s">
        <v>47128</v>
      </c>
      <c r="K5450" t="s">
        <v>47113</v>
      </c>
      <c r="L5450">
        <v>10.41</v>
      </c>
      <c r="M5450">
        <v>26</v>
      </c>
      <c r="N5450">
        <v>0</v>
      </c>
      <c r="O5450">
        <v>26</v>
      </c>
      <c r="P5450">
        <v>0</v>
      </c>
    </row>
    <row r="5451" spans="1:16" x14ac:dyDescent="0.25">
      <c r="A5451" t="s">
        <v>27878</v>
      </c>
      <c r="B5451" t="s">
        <v>19762</v>
      </c>
      <c r="C5451" t="s">
        <v>19763</v>
      </c>
      <c r="D5451" t="str">
        <f>"4522"</f>
        <v>4522</v>
      </c>
      <c r="E5451" t="s">
        <v>11009</v>
      </c>
      <c r="F5451" t="s">
        <v>17351</v>
      </c>
      <c r="G5451" t="s">
        <v>16221</v>
      </c>
      <c r="H5451" t="s">
        <v>47055</v>
      </c>
      <c r="I5451" t="s">
        <v>47127</v>
      </c>
      <c r="J5451" t="s">
        <v>47128</v>
      </c>
      <c r="K5451" t="s">
        <v>47113</v>
      </c>
      <c r="L5451">
        <v>10.41</v>
      </c>
      <c r="M5451">
        <v>26</v>
      </c>
      <c r="N5451">
        <v>0</v>
      </c>
      <c r="O5451">
        <v>26</v>
      </c>
      <c r="P5451">
        <v>0</v>
      </c>
    </row>
    <row r="5452" spans="1:16" x14ac:dyDescent="0.25">
      <c r="A5452" t="s">
        <v>27879</v>
      </c>
      <c r="B5452" t="s">
        <v>19762</v>
      </c>
      <c r="C5452" t="s">
        <v>19763</v>
      </c>
      <c r="D5452" t="str">
        <f>"4926"</f>
        <v>4926</v>
      </c>
      <c r="E5452" t="s">
        <v>19721</v>
      </c>
      <c r="F5452" t="s">
        <v>17351</v>
      </c>
      <c r="G5452" t="s">
        <v>16221</v>
      </c>
      <c r="H5452" t="s">
        <v>47055</v>
      </c>
      <c r="I5452" t="s">
        <v>47127</v>
      </c>
      <c r="J5452" t="s">
        <v>47128</v>
      </c>
      <c r="K5452" t="s">
        <v>47113</v>
      </c>
      <c r="L5452">
        <v>10.41</v>
      </c>
      <c r="M5452">
        <v>26</v>
      </c>
      <c r="N5452">
        <v>0</v>
      </c>
      <c r="O5452">
        <v>26</v>
      </c>
      <c r="P5452">
        <v>0</v>
      </c>
    </row>
    <row r="5453" spans="1:16" x14ac:dyDescent="0.25">
      <c r="A5453" t="s">
        <v>27880</v>
      </c>
      <c r="B5453" t="s">
        <v>19764</v>
      </c>
      <c r="C5453" t="s">
        <v>16696</v>
      </c>
      <c r="D5453" t="str">
        <f>"1106"</f>
        <v>1106</v>
      </c>
      <c r="E5453" t="s">
        <v>460</v>
      </c>
      <c r="F5453" t="s">
        <v>17351</v>
      </c>
      <c r="G5453" t="s">
        <v>16221</v>
      </c>
      <c r="H5453" t="s">
        <v>47055</v>
      </c>
      <c r="I5453" t="s">
        <v>47127</v>
      </c>
      <c r="J5453" t="s">
        <v>47128</v>
      </c>
      <c r="K5453" t="s">
        <v>47113</v>
      </c>
      <c r="L5453">
        <v>12.78</v>
      </c>
      <c r="M5453">
        <v>37</v>
      </c>
      <c r="N5453">
        <v>0</v>
      </c>
      <c r="O5453">
        <v>37</v>
      </c>
      <c r="P5453">
        <v>0</v>
      </c>
    </row>
    <row r="5454" spans="1:16" x14ac:dyDescent="0.25">
      <c r="A5454" t="s">
        <v>27881</v>
      </c>
      <c r="B5454" t="s">
        <v>19764</v>
      </c>
      <c r="C5454" t="s">
        <v>16696</v>
      </c>
      <c r="D5454" t="str">
        <f>"1700"</f>
        <v>1700</v>
      </c>
      <c r="E5454" t="s">
        <v>60</v>
      </c>
      <c r="F5454" t="s">
        <v>17351</v>
      </c>
      <c r="G5454" t="s">
        <v>16221</v>
      </c>
      <c r="H5454" t="s">
        <v>47055</v>
      </c>
      <c r="I5454" t="s">
        <v>47127</v>
      </c>
      <c r="J5454" t="s">
        <v>47128</v>
      </c>
      <c r="K5454" t="s">
        <v>47113</v>
      </c>
      <c r="L5454">
        <v>12.78</v>
      </c>
      <c r="M5454">
        <v>37</v>
      </c>
      <c r="N5454">
        <v>0</v>
      </c>
      <c r="O5454">
        <v>37</v>
      </c>
      <c r="P5454">
        <v>0</v>
      </c>
    </row>
    <row r="5455" spans="1:16" x14ac:dyDescent="0.25">
      <c r="A5455" t="s">
        <v>27882</v>
      </c>
      <c r="B5455" t="s">
        <v>19764</v>
      </c>
      <c r="C5455" t="s">
        <v>16696</v>
      </c>
      <c r="D5455" t="str">
        <f>"3501"</f>
        <v>3501</v>
      </c>
      <c r="E5455" t="s">
        <v>3758</v>
      </c>
      <c r="F5455" t="s">
        <v>17351</v>
      </c>
      <c r="G5455" t="s">
        <v>16221</v>
      </c>
      <c r="H5455" t="s">
        <v>47055</v>
      </c>
      <c r="I5455" t="s">
        <v>47127</v>
      </c>
      <c r="J5455" t="s">
        <v>47128</v>
      </c>
      <c r="K5455" t="s">
        <v>47113</v>
      </c>
      <c r="L5455">
        <v>12.78</v>
      </c>
      <c r="M5455">
        <v>37</v>
      </c>
      <c r="N5455">
        <v>0</v>
      </c>
      <c r="O5455">
        <v>37</v>
      </c>
      <c r="P5455">
        <v>0</v>
      </c>
    </row>
    <row r="5456" spans="1:16" x14ac:dyDescent="0.25">
      <c r="A5456" t="s">
        <v>27883</v>
      </c>
      <c r="B5456" t="s">
        <v>19764</v>
      </c>
      <c r="C5456" t="s">
        <v>16696</v>
      </c>
      <c r="D5456" t="str">
        <f>"4522"</f>
        <v>4522</v>
      </c>
      <c r="E5456" t="s">
        <v>11009</v>
      </c>
      <c r="F5456" t="s">
        <v>17351</v>
      </c>
      <c r="G5456" t="s">
        <v>16221</v>
      </c>
      <c r="H5456" t="s">
        <v>47055</v>
      </c>
      <c r="I5456" t="s">
        <v>47127</v>
      </c>
      <c r="J5456" t="s">
        <v>47128</v>
      </c>
      <c r="K5456" t="s">
        <v>47113</v>
      </c>
      <c r="L5456">
        <v>12.78</v>
      </c>
      <c r="M5456">
        <v>37</v>
      </c>
      <c r="N5456">
        <v>0</v>
      </c>
      <c r="O5456">
        <v>37</v>
      </c>
      <c r="P5456">
        <v>0</v>
      </c>
    </row>
    <row r="5457" spans="1:16" x14ac:dyDescent="0.25">
      <c r="A5457" t="s">
        <v>27884</v>
      </c>
      <c r="B5457" t="s">
        <v>19764</v>
      </c>
      <c r="C5457" t="s">
        <v>16696</v>
      </c>
      <c r="D5457" t="str">
        <f>"4926"</f>
        <v>4926</v>
      </c>
      <c r="E5457" t="s">
        <v>19721</v>
      </c>
      <c r="F5457" t="s">
        <v>17351</v>
      </c>
      <c r="G5457" t="s">
        <v>16221</v>
      </c>
      <c r="H5457" t="s">
        <v>47055</v>
      </c>
      <c r="I5457" t="s">
        <v>47127</v>
      </c>
      <c r="J5457" t="s">
        <v>47128</v>
      </c>
      <c r="K5457" t="s">
        <v>47113</v>
      </c>
      <c r="L5457">
        <v>12.78</v>
      </c>
      <c r="M5457">
        <v>37</v>
      </c>
      <c r="N5457">
        <v>0</v>
      </c>
      <c r="O5457">
        <v>37</v>
      </c>
      <c r="P5457">
        <v>0</v>
      </c>
    </row>
    <row r="5458" spans="1:16" x14ac:dyDescent="0.25">
      <c r="A5458" t="s">
        <v>27885</v>
      </c>
      <c r="B5458" t="s">
        <v>19765</v>
      </c>
      <c r="C5458" t="s">
        <v>19766</v>
      </c>
      <c r="D5458" t="str">
        <f>"1106"</f>
        <v>1106</v>
      </c>
      <c r="E5458" t="s">
        <v>460</v>
      </c>
      <c r="F5458" t="s">
        <v>17351</v>
      </c>
      <c r="G5458" t="s">
        <v>16221</v>
      </c>
      <c r="H5458" t="s">
        <v>47055</v>
      </c>
      <c r="I5458" t="s">
        <v>47127</v>
      </c>
      <c r="J5458" t="s">
        <v>47128</v>
      </c>
      <c r="K5458" t="s">
        <v>47113</v>
      </c>
      <c r="L5458">
        <v>15.56</v>
      </c>
      <c r="M5458">
        <v>40</v>
      </c>
      <c r="N5458">
        <v>0</v>
      </c>
      <c r="O5458">
        <v>40</v>
      </c>
      <c r="P5458">
        <v>0</v>
      </c>
    </row>
    <row r="5459" spans="1:16" x14ac:dyDescent="0.25">
      <c r="A5459" t="s">
        <v>27886</v>
      </c>
      <c r="B5459" t="s">
        <v>19765</v>
      </c>
      <c r="C5459" t="s">
        <v>19766</v>
      </c>
      <c r="D5459" t="str">
        <f>"1278"</f>
        <v>1278</v>
      </c>
      <c r="E5459" t="s">
        <v>100</v>
      </c>
      <c r="F5459" t="s">
        <v>17351</v>
      </c>
      <c r="G5459" t="s">
        <v>16221</v>
      </c>
      <c r="H5459" t="s">
        <v>47055</v>
      </c>
      <c r="I5459" t="s">
        <v>47127</v>
      </c>
      <c r="J5459" t="s">
        <v>47128</v>
      </c>
      <c r="K5459" t="s">
        <v>47113</v>
      </c>
      <c r="L5459">
        <v>15.56</v>
      </c>
      <c r="M5459">
        <v>40</v>
      </c>
      <c r="N5459">
        <v>0</v>
      </c>
      <c r="O5459">
        <v>40</v>
      </c>
      <c r="P5459">
        <v>0</v>
      </c>
    </row>
    <row r="5460" spans="1:16" x14ac:dyDescent="0.25">
      <c r="A5460" t="s">
        <v>27887</v>
      </c>
      <c r="B5460" t="s">
        <v>19765</v>
      </c>
      <c r="C5460" t="s">
        <v>19766</v>
      </c>
      <c r="D5460" t="str">
        <f>"1700"</f>
        <v>1700</v>
      </c>
      <c r="E5460" t="s">
        <v>60</v>
      </c>
      <c r="F5460" t="s">
        <v>17351</v>
      </c>
      <c r="G5460" t="s">
        <v>16221</v>
      </c>
      <c r="H5460" t="s">
        <v>47055</v>
      </c>
      <c r="I5460" t="s">
        <v>47127</v>
      </c>
      <c r="J5460" t="s">
        <v>47128</v>
      </c>
      <c r="K5460" t="s">
        <v>47113</v>
      </c>
      <c r="L5460">
        <v>15.56</v>
      </c>
      <c r="M5460">
        <v>40</v>
      </c>
      <c r="N5460">
        <v>0</v>
      </c>
      <c r="O5460">
        <v>40</v>
      </c>
      <c r="P5460">
        <v>0</v>
      </c>
    </row>
    <row r="5461" spans="1:16" x14ac:dyDescent="0.25">
      <c r="A5461" t="s">
        <v>27888</v>
      </c>
      <c r="B5461" t="s">
        <v>19765</v>
      </c>
      <c r="C5461" t="s">
        <v>19766</v>
      </c>
      <c r="D5461" t="str">
        <f>"3501"</f>
        <v>3501</v>
      </c>
      <c r="E5461" t="s">
        <v>3758</v>
      </c>
      <c r="F5461" t="s">
        <v>17351</v>
      </c>
      <c r="G5461" t="s">
        <v>16221</v>
      </c>
      <c r="H5461" t="s">
        <v>47055</v>
      </c>
      <c r="I5461" t="s">
        <v>47127</v>
      </c>
      <c r="J5461" t="s">
        <v>47128</v>
      </c>
      <c r="K5461" t="s">
        <v>47113</v>
      </c>
      <c r="L5461">
        <v>15.56</v>
      </c>
      <c r="M5461">
        <v>40</v>
      </c>
      <c r="N5461">
        <v>0</v>
      </c>
      <c r="O5461">
        <v>40</v>
      </c>
      <c r="P5461">
        <v>0</v>
      </c>
    </row>
    <row r="5462" spans="1:16" x14ac:dyDescent="0.25">
      <c r="A5462" t="s">
        <v>27889</v>
      </c>
      <c r="B5462" t="s">
        <v>19765</v>
      </c>
      <c r="C5462" t="s">
        <v>19766</v>
      </c>
      <c r="D5462" t="str">
        <f>"4143"</f>
        <v>4143</v>
      </c>
      <c r="E5462" t="s">
        <v>16626</v>
      </c>
      <c r="F5462" t="s">
        <v>17351</v>
      </c>
      <c r="G5462" t="s">
        <v>16221</v>
      </c>
      <c r="H5462" t="s">
        <v>47055</v>
      </c>
      <c r="I5462" t="s">
        <v>47127</v>
      </c>
      <c r="J5462" t="s">
        <v>47128</v>
      </c>
      <c r="K5462" t="s">
        <v>47113</v>
      </c>
      <c r="L5462">
        <v>15.56</v>
      </c>
      <c r="M5462">
        <v>40</v>
      </c>
      <c r="N5462">
        <v>0</v>
      </c>
      <c r="O5462">
        <v>40</v>
      </c>
      <c r="P5462">
        <v>0</v>
      </c>
    </row>
    <row r="5463" spans="1:16" x14ac:dyDescent="0.25">
      <c r="A5463" t="s">
        <v>27890</v>
      </c>
      <c r="B5463" t="s">
        <v>19767</v>
      </c>
      <c r="C5463" t="s">
        <v>19768</v>
      </c>
      <c r="D5463" t="str">
        <f>"1106"</f>
        <v>1106</v>
      </c>
      <c r="E5463" t="s">
        <v>460</v>
      </c>
      <c r="F5463" t="s">
        <v>17351</v>
      </c>
      <c r="G5463" t="s">
        <v>16221</v>
      </c>
      <c r="H5463" t="s">
        <v>47055</v>
      </c>
      <c r="I5463" t="s">
        <v>47127</v>
      </c>
      <c r="J5463" t="s">
        <v>47128</v>
      </c>
      <c r="K5463" t="s">
        <v>47113</v>
      </c>
      <c r="L5463">
        <v>10.8</v>
      </c>
      <c r="M5463">
        <v>29</v>
      </c>
      <c r="N5463">
        <v>0</v>
      </c>
      <c r="O5463">
        <v>29</v>
      </c>
      <c r="P5463">
        <v>0</v>
      </c>
    </row>
    <row r="5464" spans="1:16" x14ac:dyDescent="0.25">
      <c r="A5464" t="s">
        <v>27891</v>
      </c>
      <c r="B5464" t="s">
        <v>19767</v>
      </c>
      <c r="C5464" t="s">
        <v>19768</v>
      </c>
      <c r="D5464" t="str">
        <f>"1278"</f>
        <v>1278</v>
      </c>
      <c r="E5464" t="s">
        <v>100</v>
      </c>
      <c r="F5464" t="s">
        <v>17351</v>
      </c>
      <c r="G5464" t="s">
        <v>16221</v>
      </c>
      <c r="H5464" t="s">
        <v>47055</v>
      </c>
      <c r="I5464" t="s">
        <v>47127</v>
      </c>
      <c r="J5464" t="s">
        <v>47128</v>
      </c>
      <c r="K5464" t="s">
        <v>47113</v>
      </c>
      <c r="L5464">
        <v>10.8</v>
      </c>
      <c r="M5464">
        <v>29</v>
      </c>
      <c r="N5464">
        <v>0</v>
      </c>
      <c r="O5464">
        <v>29</v>
      </c>
      <c r="P5464">
        <v>0</v>
      </c>
    </row>
    <row r="5465" spans="1:16" x14ac:dyDescent="0.25">
      <c r="A5465" t="s">
        <v>27892</v>
      </c>
      <c r="B5465" t="s">
        <v>19767</v>
      </c>
      <c r="C5465" t="s">
        <v>19768</v>
      </c>
      <c r="D5465" t="str">
        <f>"1700"</f>
        <v>1700</v>
      </c>
      <c r="E5465" t="s">
        <v>60</v>
      </c>
      <c r="F5465" t="s">
        <v>17351</v>
      </c>
      <c r="G5465" t="s">
        <v>16221</v>
      </c>
      <c r="H5465" t="s">
        <v>47055</v>
      </c>
      <c r="I5465" t="s">
        <v>47127</v>
      </c>
      <c r="J5465" t="s">
        <v>47128</v>
      </c>
      <c r="K5465" t="s">
        <v>47113</v>
      </c>
      <c r="L5465">
        <v>10.8</v>
      </c>
      <c r="M5465">
        <v>29</v>
      </c>
      <c r="N5465">
        <v>0</v>
      </c>
      <c r="O5465">
        <v>29</v>
      </c>
      <c r="P5465">
        <v>0</v>
      </c>
    </row>
    <row r="5466" spans="1:16" x14ac:dyDescent="0.25">
      <c r="A5466" t="s">
        <v>27893</v>
      </c>
      <c r="B5466" t="s">
        <v>19767</v>
      </c>
      <c r="C5466" t="s">
        <v>19768</v>
      </c>
      <c r="D5466" t="str">
        <f>"4143"</f>
        <v>4143</v>
      </c>
      <c r="E5466" t="s">
        <v>16626</v>
      </c>
      <c r="F5466" t="s">
        <v>17351</v>
      </c>
      <c r="G5466" t="s">
        <v>16221</v>
      </c>
      <c r="H5466" t="s">
        <v>47055</v>
      </c>
      <c r="I5466" t="s">
        <v>47127</v>
      </c>
      <c r="J5466" t="s">
        <v>47128</v>
      </c>
      <c r="K5466" t="s">
        <v>47113</v>
      </c>
      <c r="L5466">
        <v>10.8</v>
      </c>
      <c r="M5466">
        <v>29</v>
      </c>
      <c r="N5466">
        <v>0</v>
      </c>
      <c r="O5466">
        <v>29</v>
      </c>
      <c r="P5466">
        <v>0</v>
      </c>
    </row>
    <row r="5467" spans="1:16" x14ac:dyDescent="0.25">
      <c r="A5467" t="s">
        <v>27894</v>
      </c>
      <c r="B5467" t="s">
        <v>19769</v>
      </c>
      <c r="C5467" t="s">
        <v>19770</v>
      </c>
      <c r="D5467" t="str">
        <f>"1106"</f>
        <v>1106</v>
      </c>
      <c r="E5467" t="s">
        <v>460</v>
      </c>
      <c r="F5467" t="s">
        <v>17351</v>
      </c>
      <c r="G5467" t="s">
        <v>16221</v>
      </c>
      <c r="H5467" t="s">
        <v>47055</v>
      </c>
      <c r="I5467" t="s">
        <v>47127</v>
      </c>
      <c r="J5467" t="s">
        <v>47128</v>
      </c>
      <c r="K5467" t="s">
        <v>47113</v>
      </c>
      <c r="L5467">
        <v>10.8</v>
      </c>
      <c r="M5467">
        <v>29</v>
      </c>
      <c r="N5467">
        <v>0</v>
      </c>
      <c r="O5467">
        <v>29</v>
      </c>
      <c r="P5467">
        <v>0</v>
      </c>
    </row>
    <row r="5468" spans="1:16" x14ac:dyDescent="0.25">
      <c r="A5468" t="s">
        <v>27895</v>
      </c>
      <c r="B5468" t="s">
        <v>19769</v>
      </c>
      <c r="C5468" t="s">
        <v>19770</v>
      </c>
      <c r="D5468" t="str">
        <f>"1278"</f>
        <v>1278</v>
      </c>
      <c r="E5468" t="s">
        <v>100</v>
      </c>
      <c r="F5468" t="s">
        <v>17351</v>
      </c>
      <c r="G5468" t="s">
        <v>16221</v>
      </c>
      <c r="H5468" t="s">
        <v>47055</v>
      </c>
      <c r="I5468" t="s">
        <v>47127</v>
      </c>
      <c r="J5468" t="s">
        <v>47128</v>
      </c>
      <c r="K5468" t="s">
        <v>47113</v>
      </c>
      <c r="L5468">
        <v>10.8</v>
      </c>
      <c r="M5468">
        <v>29</v>
      </c>
      <c r="N5468">
        <v>0</v>
      </c>
      <c r="O5468">
        <v>29</v>
      </c>
      <c r="P5468">
        <v>0</v>
      </c>
    </row>
    <row r="5469" spans="1:16" x14ac:dyDescent="0.25">
      <c r="A5469" t="s">
        <v>27896</v>
      </c>
      <c r="B5469" t="s">
        <v>19769</v>
      </c>
      <c r="C5469" t="s">
        <v>19770</v>
      </c>
      <c r="D5469" t="str">
        <f>"1700"</f>
        <v>1700</v>
      </c>
      <c r="E5469" t="s">
        <v>60</v>
      </c>
      <c r="F5469" t="s">
        <v>17351</v>
      </c>
      <c r="G5469" t="s">
        <v>16221</v>
      </c>
      <c r="H5469" t="s">
        <v>47055</v>
      </c>
      <c r="I5469" t="s">
        <v>47127</v>
      </c>
      <c r="J5469" t="s">
        <v>47128</v>
      </c>
      <c r="K5469" t="s">
        <v>47113</v>
      </c>
      <c r="L5469">
        <v>10.8</v>
      </c>
      <c r="M5469">
        <v>29</v>
      </c>
      <c r="N5469">
        <v>0</v>
      </c>
      <c r="O5469">
        <v>29</v>
      </c>
      <c r="P5469">
        <v>0</v>
      </c>
    </row>
    <row r="5470" spans="1:16" x14ac:dyDescent="0.25">
      <c r="A5470" t="s">
        <v>27897</v>
      </c>
      <c r="B5470" t="s">
        <v>19769</v>
      </c>
      <c r="C5470" t="s">
        <v>19770</v>
      </c>
      <c r="D5470" t="str">
        <f>"3501"</f>
        <v>3501</v>
      </c>
      <c r="E5470" t="s">
        <v>3758</v>
      </c>
      <c r="F5470" t="s">
        <v>17351</v>
      </c>
      <c r="G5470" t="s">
        <v>16221</v>
      </c>
      <c r="H5470" t="s">
        <v>47055</v>
      </c>
      <c r="I5470" t="s">
        <v>47127</v>
      </c>
      <c r="J5470" t="s">
        <v>47128</v>
      </c>
      <c r="K5470" t="s">
        <v>47113</v>
      </c>
      <c r="L5470">
        <v>10.8</v>
      </c>
      <c r="M5470">
        <v>29</v>
      </c>
      <c r="N5470">
        <v>0</v>
      </c>
      <c r="O5470">
        <v>29</v>
      </c>
      <c r="P5470">
        <v>0</v>
      </c>
    </row>
    <row r="5471" spans="1:16" x14ac:dyDescent="0.25">
      <c r="A5471" t="s">
        <v>27898</v>
      </c>
      <c r="B5471" t="s">
        <v>19769</v>
      </c>
      <c r="C5471" t="s">
        <v>19770</v>
      </c>
      <c r="D5471" t="str">
        <f>"4143"</f>
        <v>4143</v>
      </c>
      <c r="E5471" t="s">
        <v>16626</v>
      </c>
      <c r="F5471" t="s">
        <v>17351</v>
      </c>
      <c r="G5471" t="s">
        <v>16221</v>
      </c>
      <c r="H5471" t="s">
        <v>47055</v>
      </c>
      <c r="I5471" t="s">
        <v>47127</v>
      </c>
      <c r="J5471" t="s">
        <v>47128</v>
      </c>
      <c r="K5471" t="s">
        <v>47113</v>
      </c>
      <c r="L5471">
        <v>10.8</v>
      </c>
      <c r="M5471">
        <v>29</v>
      </c>
      <c r="N5471">
        <v>0</v>
      </c>
      <c r="O5471">
        <v>29</v>
      </c>
      <c r="P5471">
        <v>0</v>
      </c>
    </row>
    <row r="5472" spans="1:16" x14ac:dyDescent="0.25">
      <c r="A5472" t="s">
        <v>27899</v>
      </c>
      <c r="B5472" t="s">
        <v>19771</v>
      </c>
      <c r="C5472" t="s">
        <v>19772</v>
      </c>
      <c r="D5472" t="str">
        <f>"1106"</f>
        <v>1106</v>
      </c>
      <c r="E5472" t="s">
        <v>460</v>
      </c>
      <c r="F5472" t="s">
        <v>17351</v>
      </c>
      <c r="G5472" t="s">
        <v>16221</v>
      </c>
      <c r="H5472" t="s">
        <v>47055</v>
      </c>
      <c r="I5472" t="s">
        <v>47127</v>
      </c>
      <c r="J5472" t="s">
        <v>47128</v>
      </c>
      <c r="K5472" t="s">
        <v>47113</v>
      </c>
      <c r="L5472">
        <v>10.8</v>
      </c>
      <c r="M5472">
        <v>29</v>
      </c>
      <c r="N5472">
        <v>0</v>
      </c>
      <c r="O5472">
        <v>29</v>
      </c>
      <c r="P5472">
        <v>0</v>
      </c>
    </row>
    <row r="5473" spans="1:16" x14ac:dyDescent="0.25">
      <c r="A5473" t="s">
        <v>27900</v>
      </c>
      <c r="B5473" t="s">
        <v>19771</v>
      </c>
      <c r="C5473" t="s">
        <v>19772</v>
      </c>
      <c r="D5473" t="str">
        <f>"1278"</f>
        <v>1278</v>
      </c>
      <c r="E5473" t="s">
        <v>100</v>
      </c>
      <c r="F5473" t="s">
        <v>17351</v>
      </c>
      <c r="G5473" t="s">
        <v>16221</v>
      </c>
      <c r="H5473" t="s">
        <v>47055</v>
      </c>
      <c r="I5473" t="s">
        <v>47127</v>
      </c>
      <c r="J5473" t="s">
        <v>47128</v>
      </c>
      <c r="K5473" t="s">
        <v>47113</v>
      </c>
      <c r="L5473">
        <v>10.8</v>
      </c>
      <c r="M5473">
        <v>29</v>
      </c>
      <c r="N5473">
        <v>0</v>
      </c>
      <c r="O5473">
        <v>29</v>
      </c>
      <c r="P5473">
        <v>0</v>
      </c>
    </row>
    <row r="5474" spans="1:16" x14ac:dyDescent="0.25">
      <c r="A5474" t="s">
        <v>27901</v>
      </c>
      <c r="B5474" t="s">
        <v>19771</v>
      </c>
      <c r="C5474" t="s">
        <v>19772</v>
      </c>
      <c r="D5474" t="str">
        <f>"1700"</f>
        <v>1700</v>
      </c>
      <c r="E5474" t="s">
        <v>60</v>
      </c>
      <c r="F5474" t="s">
        <v>17351</v>
      </c>
      <c r="G5474" t="s">
        <v>16221</v>
      </c>
      <c r="H5474" t="s">
        <v>47055</v>
      </c>
      <c r="I5474" t="s">
        <v>47127</v>
      </c>
      <c r="J5474" t="s">
        <v>47128</v>
      </c>
      <c r="K5474" t="s">
        <v>47113</v>
      </c>
      <c r="L5474">
        <v>10.8</v>
      </c>
      <c r="M5474">
        <v>29</v>
      </c>
      <c r="N5474">
        <v>0</v>
      </c>
      <c r="O5474">
        <v>29</v>
      </c>
      <c r="P5474">
        <v>0</v>
      </c>
    </row>
    <row r="5475" spans="1:16" x14ac:dyDescent="0.25">
      <c r="A5475" t="s">
        <v>27902</v>
      </c>
      <c r="B5475" t="s">
        <v>19771</v>
      </c>
      <c r="C5475" t="s">
        <v>19772</v>
      </c>
      <c r="D5475" t="str">
        <f>"3501"</f>
        <v>3501</v>
      </c>
      <c r="E5475" t="s">
        <v>3758</v>
      </c>
      <c r="F5475" t="s">
        <v>17351</v>
      </c>
      <c r="G5475" t="s">
        <v>16221</v>
      </c>
      <c r="H5475" t="s">
        <v>47055</v>
      </c>
      <c r="I5475" t="s">
        <v>47127</v>
      </c>
      <c r="J5475" t="s">
        <v>47128</v>
      </c>
      <c r="K5475" t="s">
        <v>47113</v>
      </c>
      <c r="L5475">
        <v>10.8</v>
      </c>
      <c r="M5475">
        <v>29</v>
      </c>
      <c r="N5475">
        <v>0</v>
      </c>
      <c r="O5475">
        <v>29</v>
      </c>
      <c r="P5475">
        <v>0</v>
      </c>
    </row>
    <row r="5476" spans="1:16" x14ac:dyDescent="0.25">
      <c r="A5476" t="s">
        <v>27903</v>
      </c>
      <c r="B5476" t="s">
        <v>19771</v>
      </c>
      <c r="C5476" t="s">
        <v>19772</v>
      </c>
      <c r="D5476" t="str">
        <f>"4143"</f>
        <v>4143</v>
      </c>
      <c r="E5476" t="s">
        <v>16626</v>
      </c>
      <c r="F5476" t="s">
        <v>17351</v>
      </c>
      <c r="G5476" t="s">
        <v>16221</v>
      </c>
      <c r="H5476" t="s">
        <v>47055</v>
      </c>
      <c r="I5476" t="s">
        <v>47127</v>
      </c>
      <c r="J5476" t="s">
        <v>47128</v>
      </c>
      <c r="K5476" t="s">
        <v>47113</v>
      </c>
      <c r="L5476">
        <v>10.8</v>
      </c>
      <c r="M5476">
        <v>29</v>
      </c>
      <c r="N5476">
        <v>0</v>
      </c>
      <c r="O5476">
        <v>29</v>
      </c>
      <c r="P5476">
        <v>0</v>
      </c>
    </row>
    <row r="5477" spans="1:16" x14ac:dyDescent="0.25">
      <c r="A5477" t="s">
        <v>27904</v>
      </c>
      <c r="B5477" t="s">
        <v>19773</v>
      </c>
      <c r="C5477" t="s">
        <v>19774</v>
      </c>
      <c r="D5477" t="str">
        <f>"1106"</f>
        <v>1106</v>
      </c>
      <c r="E5477" t="s">
        <v>460</v>
      </c>
      <c r="F5477" t="s">
        <v>17351</v>
      </c>
      <c r="G5477" t="s">
        <v>16221</v>
      </c>
      <c r="H5477" t="s">
        <v>47055</v>
      </c>
      <c r="I5477" t="s">
        <v>47127</v>
      </c>
      <c r="J5477" t="s">
        <v>47128</v>
      </c>
      <c r="K5477" t="s">
        <v>47113</v>
      </c>
      <c r="L5477">
        <v>10.11</v>
      </c>
      <c r="M5477">
        <v>26</v>
      </c>
      <c r="N5477">
        <v>0</v>
      </c>
      <c r="O5477">
        <v>26</v>
      </c>
      <c r="P5477">
        <v>0</v>
      </c>
    </row>
    <row r="5478" spans="1:16" x14ac:dyDescent="0.25">
      <c r="A5478" t="s">
        <v>27905</v>
      </c>
      <c r="B5478" t="s">
        <v>19773</v>
      </c>
      <c r="C5478" t="s">
        <v>19774</v>
      </c>
      <c r="D5478" t="str">
        <f>"1278"</f>
        <v>1278</v>
      </c>
      <c r="E5478" t="s">
        <v>100</v>
      </c>
      <c r="F5478" t="s">
        <v>17351</v>
      </c>
      <c r="G5478" t="s">
        <v>16221</v>
      </c>
      <c r="H5478" t="s">
        <v>47055</v>
      </c>
      <c r="I5478" t="s">
        <v>47127</v>
      </c>
      <c r="J5478" t="s">
        <v>47128</v>
      </c>
      <c r="K5478" t="s">
        <v>47113</v>
      </c>
      <c r="L5478">
        <v>10.11</v>
      </c>
      <c r="M5478">
        <v>26</v>
      </c>
      <c r="N5478">
        <v>0</v>
      </c>
      <c r="O5478">
        <v>26</v>
      </c>
      <c r="P5478">
        <v>0</v>
      </c>
    </row>
    <row r="5479" spans="1:16" x14ac:dyDescent="0.25">
      <c r="A5479" t="s">
        <v>27906</v>
      </c>
      <c r="B5479" t="s">
        <v>19773</v>
      </c>
      <c r="C5479" t="s">
        <v>19774</v>
      </c>
      <c r="D5479" t="str">
        <f>"1700"</f>
        <v>1700</v>
      </c>
      <c r="E5479" t="s">
        <v>60</v>
      </c>
      <c r="F5479" t="s">
        <v>17351</v>
      </c>
      <c r="G5479" t="s">
        <v>16221</v>
      </c>
      <c r="H5479" t="s">
        <v>47055</v>
      </c>
      <c r="I5479" t="s">
        <v>47127</v>
      </c>
      <c r="J5479" t="s">
        <v>47128</v>
      </c>
      <c r="K5479" t="s">
        <v>47113</v>
      </c>
      <c r="L5479">
        <v>10.11</v>
      </c>
      <c r="M5479">
        <v>26</v>
      </c>
      <c r="N5479">
        <v>0</v>
      </c>
      <c r="O5479">
        <v>26</v>
      </c>
      <c r="P5479">
        <v>0</v>
      </c>
    </row>
    <row r="5480" spans="1:16" x14ac:dyDescent="0.25">
      <c r="A5480" t="s">
        <v>27907</v>
      </c>
      <c r="B5480" t="s">
        <v>19775</v>
      </c>
      <c r="C5480" t="s">
        <v>19776</v>
      </c>
      <c r="D5480" t="str">
        <f>"4926"</f>
        <v>4926</v>
      </c>
      <c r="E5480" t="s">
        <v>19721</v>
      </c>
      <c r="F5480" t="s">
        <v>17351</v>
      </c>
      <c r="G5480" t="s">
        <v>16221</v>
      </c>
      <c r="H5480" t="s">
        <v>47055</v>
      </c>
      <c r="I5480" t="s">
        <v>47127</v>
      </c>
      <c r="J5480" t="s">
        <v>47128</v>
      </c>
      <c r="K5480" t="s">
        <v>47113</v>
      </c>
      <c r="L5480">
        <v>17.64</v>
      </c>
      <c r="M5480">
        <v>44</v>
      </c>
      <c r="N5480">
        <v>0</v>
      </c>
      <c r="O5480">
        <v>44</v>
      </c>
      <c r="P5480">
        <v>0</v>
      </c>
    </row>
    <row r="5481" spans="1:16" x14ac:dyDescent="0.25">
      <c r="A5481" t="s">
        <v>27908</v>
      </c>
      <c r="B5481" t="s">
        <v>19777</v>
      </c>
      <c r="C5481" t="s">
        <v>19778</v>
      </c>
      <c r="D5481" t="str">
        <f>"4926"</f>
        <v>4926</v>
      </c>
      <c r="E5481" t="s">
        <v>19721</v>
      </c>
      <c r="F5481" t="s">
        <v>17351</v>
      </c>
      <c r="G5481" t="s">
        <v>16221</v>
      </c>
      <c r="H5481" t="s">
        <v>47055</v>
      </c>
      <c r="I5481" t="s">
        <v>47127</v>
      </c>
      <c r="J5481" t="s">
        <v>47128</v>
      </c>
      <c r="K5481" t="s">
        <v>47113</v>
      </c>
      <c r="L5481">
        <v>14.37</v>
      </c>
      <c r="M5481">
        <v>37</v>
      </c>
      <c r="N5481">
        <v>0</v>
      </c>
      <c r="O5481">
        <v>37</v>
      </c>
      <c r="P5481">
        <v>0</v>
      </c>
    </row>
    <row r="5482" spans="1:16" x14ac:dyDescent="0.25">
      <c r="A5482" t="s">
        <v>27909</v>
      </c>
      <c r="B5482" t="s">
        <v>19779</v>
      </c>
      <c r="C5482" t="s">
        <v>2166</v>
      </c>
      <c r="D5482" t="str">
        <f>"1106"</f>
        <v>1106</v>
      </c>
      <c r="E5482" t="s">
        <v>460</v>
      </c>
      <c r="F5482" t="s">
        <v>17351</v>
      </c>
      <c r="G5482" t="s">
        <v>16221</v>
      </c>
      <c r="H5482" t="s">
        <v>47055</v>
      </c>
      <c r="I5482" t="s">
        <v>47127</v>
      </c>
      <c r="J5482" t="s">
        <v>47128</v>
      </c>
      <c r="K5482" t="s">
        <v>47113</v>
      </c>
      <c r="L5482">
        <v>14.67</v>
      </c>
      <c r="M5482">
        <v>37</v>
      </c>
      <c r="N5482">
        <v>0</v>
      </c>
      <c r="O5482">
        <v>37</v>
      </c>
      <c r="P5482">
        <v>0</v>
      </c>
    </row>
    <row r="5483" spans="1:16" x14ac:dyDescent="0.25">
      <c r="A5483" t="s">
        <v>27910</v>
      </c>
      <c r="B5483" t="s">
        <v>19779</v>
      </c>
      <c r="C5483" t="s">
        <v>2166</v>
      </c>
      <c r="D5483" t="str">
        <f>"1700"</f>
        <v>1700</v>
      </c>
      <c r="E5483" t="s">
        <v>60</v>
      </c>
      <c r="F5483" t="s">
        <v>17351</v>
      </c>
      <c r="G5483" t="s">
        <v>16221</v>
      </c>
      <c r="H5483" t="s">
        <v>47055</v>
      </c>
      <c r="I5483" t="s">
        <v>47127</v>
      </c>
      <c r="J5483" t="s">
        <v>47128</v>
      </c>
      <c r="K5483" t="s">
        <v>47113</v>
      </c>
      <c r="L5483">
        <v>14.67</v>
      </c>
      <c r="M5483">
        <v>37</v>
      </c>
      <c r="N5483">
        <v>0</v>
      </c>
      <c r="O5483">
        <v>37</v>
      </c>
      <c r="P5483">
        <v>0</v>
      </c>
    </row>
    <row r="5484" spans="1:16" x14ac:dyDescent="0.25">
      <c r="A5484" t="s">
        <v>27911</v>
      </c>
      <c r="B5484" t="s">
        <v>19779</v>
      </c>
      <c r="C5484" t="s">
        <v>2166</v>
      </c>
      <c r="D5484" t="str">
        <f>"3501"</f>
        <v>3501</v>
      </c>
      <c r="E5484" t="s">
        <v>3758</v>
      </c>
      <c r="F5484" t="s">
        <v>17351</v>
      </c>
      <c r="G5484" t="s">
        <v>16221</v>
      </c>
      <c r="H5484" t="s">
        <v>47055</v>
      </c>
      <c r="I5484" t="s">
        <v>47127</v>
      </c>
      <c r="J5484" t="s">
        <v>47128</v>
      </c>
      <c r="K5484" t="s">
        <v>47113</v>
      </c>
      <c r="L5484">
        <v>14.67</v>
      </c>
      <c r="M5484">
        <v>37</v>
      </c>
      <c r="N5484">
        <v>0</v>
      </c>
      <c r="O5484">
        <v>37</v>
      </c>
      <c r="P5484">
        <v>0</v>
      </c>
    </row>
    <row r="5485" spans="1:16" x14ac:dyDescent="0.25">
      <c r="A5485" t="s">
        <v>27912</v>
      </c>
      <c r="B5485" t="s">
        <v>19779</v>
      </c>
      <c r="C5485" t="s">
        <v>2166</v>
      </c>
      <c r="D5485" t="str">
        <f>"4522"</f>
        <v>4522</v>
      </c>
      <c r="E5485" t="s">
        <v>11009</v>
      </c>
      <c r="F5485" t="s">
        <v>17351</v>
      </c>
      <c r="G5485" t="s">
        <v>16221</v>
      </c>
      <c r="H5485" t="s">
        <v>47055</v>
      </c>
      <c r="I5485" t="s">
        <v>47127</v>
      </c>
      <c r="J5485" t="s">
        <v>47128</v>
      </c>
      <c r="K5485" t="s">
        <v>47113</v>
      </c>
      <c r="L5485">
        <v>14.67</v>
      </c>
      <c r="M5485">
        <v>37</v>
      </c>
      <c r="N5485">
        <v>0</v>
      </c>
      <c r="O5485">
        <v>37</v>
      </c>
      <c r="P5485">
        <v>0</v>
      </c>
    </row>
    <row r="5486" spans="1:16" x14ac:dyDescent="0.25">
      <c r="A5486" t="s">
        <v>27913</v>
      </c>
      <c r="B5486" t="s">
        <v>19779</v>
      </c>
      <c r="C5486" t="s">
        <v>2166</v>
      </c>
      <c r="D5486" t="str">
        <f>"4926"</f>
        <v>4926</v>
      </c>
      <c r="E5486" t="s">
        <v>19721</v>
      </c>
      <c r="F5486" t="s">
        <v>17351</v>
      </c>
      <c r="G5486" t="s">
        <v>16221</v>
      </c>
      <c r="H5486" t="s">
        <v>47055</v>
      </c>
      <c r="I5486" t="s">
        <v>47127</v>
      </c>
      <c r="J5486" t="s">
        <v>47128</v>
      </c>
      <c r="K5486" t="s">
        <v>47113</v>
      </c>
      <c r="L5486">
        <v>14.67</v>
      </c>
      <c r="M5486">
        <v>37</v>
      </c>
      <c r="N5486">
        <v>0</v>
      </c>
      <c r="O5486">
        <v>37</v>
      </c>
      <c r="P5486">
        <v>0</v>
      </c>
    </row>
    <row r="5487" spans="1:16" x14ac:dyDescent="0.25">
      <c r="A5487" t="s">
        <v>27914</v>
      </c>
      <c r="B5487" t="s">
        <v>19780</v>
      </c>
      <c r="C5487" t="s">
        <v>2166</v>
      </c>
      <c r="D5487" t="str">
        <f>"1106"</f>
        <v>1106</v>
      </c>
      <c r="E5487" t="s">
        <v>460</v>
      </c>
      <c r="F5487" t="s">
        <v>17351</v>
      </c>
      <c r="G5487" t="s">
        <v>16221</v>
      </c>
      <c r="H5487" t="s">
        <v>47055</v>
      </c>
      <c r="I5487" t="s">
        <v>47127</v>
      </c>
      <c r="J5487" t="s">
        <v>47128</v>
      </c>
      <c r="K5487" t="s">
        <v>47113</v>
      </c>
      <c r="L5487">
        <v>14.67</v>
      </c>
      <c r="M5487">
        <v>37</v>
      </c>
      <c r="N5487">
        <v>0</v>
      </c>
      <c r="O5487">
        <v>37</v>
      </c>
      <c r="P5487">
        <v>0</v>
      </c>
    </row>
    <row r="5488" spans="1:16" x14ac:dyDescent="0.25">
      <c r="A5488" t="s">
        <v>27915</v>
      </c>
      <c r="B5488" t="s">
        <v>19780</v>
      </c>
      <c r="C5488" t="s">
        <v>2166</v>
      </c>
      <c r="D5488" t="str">
        <f>"1700"</f>
        <v>1700</v>
      </c>
      <c r="E5488" t="s">
        <v>60</v>
      </c>
      <c r="F5488" t="s">
        <v>17351</v>
      </c>
      <c r="G5488" t="s">
        <v>16221</v>
      </c>
      <c r="H5488" t="s">
        <v>47055</v>
      </c>
      <c r="I5488" t="s">
        <v>47127</v>
      </c>
      <c r="J5488" t="s">
        <v>47128</v>
      </c>
      <c r="K5488" t="s">
        <v>47113</v>
      </c>
      <c r="L5488">
        <v>14.67</v>
      </c>
      <c r="M5488">
        <v>37</v>
      </c>
      <c r="N5488">
        <v>0</v>
      </c>
      <c r="O5488">
        <v>37</v>
      </c>
      <c r="P5488">
        <v>0</v>
      </c>
    </row>
    <row r="5489" spans="1:16" x14ac:dyDescent="0.25">
      <c r="A5489" t="s">
        <v>27916</v>
      </c>
      <c r="B5489" t="s">
        <v>19780</v>
      </c>
      <c r="C5489" t="s">
        <v>2166</v>
      </c>
      <c r="D5489" t="str">
        <f>"3501"</f>
        <v>3501</v>
      </c>
      <c r="E5489" t="s">
        <v>3758</v>
      </c>
      <c r="F5489" t="s">
        <v>17351</v>
      </c>
      <c r="G5489" t="s">
        <v>16221</v>
      </c>
      <c r="H5489" t="s">
        <v>47055</v>
      </c>
      <c r="I5489" t="s">
        <v>47127</v>
      </c>
      <c r="J5489" t="s">
        <v>47128</v>
      </c>
      <c r="K5489" t="s">
        <v>47113</v>
      </c>
      <c r="L5489">
        <v>14.67</v>
      </c>
      <c r="M5489">
        <v>37</v>
      </c>
      <c r="N5489">
        <v>0</v>
      </c>
      <c r="O5489">
        <v>37</v>
      </c>
      <c r="P5489">
        <v>0</v>
      </c>
    </row>
    <row r="5490" spans="1:16" x14ac:dyDescent="0.25">
      <c r="A5490" t="s">
        <v>27917</v>
      </c>
      <c r="B5490" t="s">
        <v>19780</v>
      </c>
      <c r="C5490" t="s">
        <v>2166</v>
      </c>
      <c r="D5490" t="str">
        <f>"4522"</f>
        <v>4522</v>
      </c>
      <c r="E5490" t="s">
        <v>11009</v>
      </c>
      <c r="F5490" t="s">
        <v>17351</v>
      </c>
      <c r="G5490" t="s">
        <v>16221</v>
      </c>
      <c r="H5490" t="s">
        <v>47055</v>
      </c>
      <c r="I5490" t="s">
        <v>47127</v>
      </c>
      <c r="J5490" t="s">
        <v>47128</v>
      </c>
      <c r="K5490" t="s">
        <v>47113</v>
      </c>
      <c r="L5490">
        <v>14.67</v>
      </c>
      <c r="M5490">
        <v>37</v>
      </c>
      <c r="N5490">
        <v>0</v>
      </c>
      <c r="O5490">
        <v>37</v>
      </c>
      <c r="P5490">
        <v>0</v>
      </c>
    </row>
    <row r="5491" spans="1:16" x14ac:dyDescent="0.25">
      <c r="A5491" t="s">
        <v>27918</v>
      </c>
      <c r="B5491" t="s">
        <v>19780</v>
      </c>
      <c r="C5491" t="s">
        <v>2166</v>
      </c>
      <c r="D5491" t="str">
        <f>"4926"</f>
        <v>4926</v>
      </c>
      <c r="E5491" t="s">
        <v>19721</v>
      </c>
      <c r="F5491" t="s">
        <v>17351</v>
      </c>
      <c r="G5491" t="s">
        <v>16221</v>
      </c>
      <c r="H5491" t="s">
        <v>47055</v>
      </c>
      <c r="I5491" t="s">
        <v>47127</v>
      </c>
      <c r="J5491" t="s">
        <v>47128</v>
      </c>
      <c r="K5491" t="s">
        <v>47113</v>
      </c>
      <c r="L5491">
        <v>14.67</v>
      </c>
      <c r="M5491">
        <v>37</v>
      </c>
      <c r="N5491">
        <v>0</v>
      </c>
      <c r="O5491">
        <v>37</v>
      </c>
      <c r="P5491">
        <v>0</v>
      </c>
    </row>
    <row r="5492" spans="1:16" x14ac:dyDescent="0.25">
      <c r="A5492" t="s">
        <v>27919</v>
      </c>
      <c r="B5492" t="s">
        <v>19781</v>
      </c>
      <c r="C5492" t="s">
        <v>19772</v>
      </c>
      <c r="D5492" t="str">
        <f>"1106"</f>
        <v>1106</v>
      </c>
      <c r="E5492" t="s">
        <v>460</v>
      </c>
      <c r="F5492" t="s">
        <v>17351</v>
      </c>
      <c r="G5492" t="s">
        <v>16221</v>
      </c>
      <c r="H5492" t="s">
        <v>47055</v>
      </c>
      <c r="I5492" t="s">
        <v>47127</v>
      </c>
      <c r="J5492" t="s">
        <v>47128</v>
      </c>
      <c r="K5492" t="s">
        <v>47113</v>
      </c>
      <c r="L5492">
        <v>10.8</v>
      </c>
      <c r="M5492">
        <v>29</v>
      </c>
      <c r="N5492">
        <v>0</v>
      </c>
      <c r="O5492">
        <v>29</v>
      </c>
      <c r="P5492">
        <v>0</v>
      </c>
    </row>
    <row r="5493" spans="1:16" x14ac:dyDescent="0.25">
      <c r="A5493" t="s">
        <v>27920</v>
      </c>
      <c r="B5493" t="s">
        <v>19781</v>
      </c>
      <c r="C5493" t="s">
        <v>19772</v>
      </c>
      <c r="D5493" t="str">
        <f>"1221"</f>
        <v>1221</v>
      </c>
      <c r="E5493" t="s">
        <v>19720</v>
      </c>
      <c r="F5493" t="s">
        <v>17351</v>
      </c>
      <c r="G5493" t="s">
        <v>16221</v>
      </c>
      <c r="H5493" t="s">
        <v>47055</v>
      </c>
      <c r="I5493" t="s">
        <v>47127</v>
      </c>
      <c r="J5493" t="s">
        <v>47128</v>
      </c>
      <c r="K5493" t="s">
        <v>47113</v>
      </c>
      <c r="L5493">
        <v>10.8</v>
      </c>
      <c r="M5493">
        <v>29</v>
      </c>
      <c r="N5493">
        <v>0</v>
      </c>
      <c r="O5493">
        <v>29</v>
      </c>
      <c r="P5493">
        <v>0</v>
      </c>
    </row>
    <row r="5494" spans="1:16" x14ac:dyDescent="0.25">
      <c r="A5494" t="s">
        <v>27921</v>
      </c>
      <c r="B5494" t="s">
        <v>19781</v>
      </c>
      <c r="C5494" t="s">
        <v>19772</v>
      </c>
      <c r="D5494" t="str">
        <f>"1700"</f>
        <v>1700</v>
      </c>
      <c r="E5494" t="s">
        <v>60</v>
      </c>
      <c r="F5494" t="s">
        <v>17351</v>
      </c>
      <c r="G5494" t="s">
        <v>16221</v>
      </c>
      <c r="H5494" t="s">
        <v>47055</v>
      </c>
      <c r="I5494" t="s">
        <v>47127</v>
      </c>
      <c r="J5494" t="s">
        <v>47128</v>
      </c>
      <c r="K5494" t="s">
        <v>47113</v>
      </c>
      <c r="L5494">
        <v>10.8</v>
      </c>
      <c r="M5494">
        <v>29</v>
      </c>
      <c r="N5494">
        <v>0</v>
      </c>
      <c r="O5494">
        <v>29</v>
      </c>
      <c r="P5494">
        <v>0</v>
      </c>
    </row>
    <row r="5495" spans="1:16" x14ac:dyDescent="0.25">
      <c r="A5495" t="s">
        <v>27922</v>
      </c>
      <c r="B5495" t="s">
        <v>19781</v>
      </c>
      <c r="C5495" t="s">
        <v>19772</v>
      </c>
      <c r="D5495" t="str">
        <f>"4522"</f>
        <v>4522</v>
      </c>
      <c r="E5495" t="s">
        <v>11009</v>
      </c>
      <c r="F5495" t="s">
        <v>17351</v>
      </c>
      <c r="G5495" t="s">
        <v>16221</v>
      </c>
      <c r="H5495" t="s">
        <v>47055</v>
      </c>
      <c r="I5495" t="s">
        <v>47127</v>
      </c>
      <c r="J5495" t="s">
        <v>47128</v>
      </c>
      <c r="K5495" t="s">
        <v>47113</v>
      </c>
      <c r="L5495">
        <v>10.8</v>
      </c>
      <c r="M5495">
        <v>29</v>
      </c>
      <c r="N5495">
        <v>0</v>
      </c>
      <c r="O5495">
        <v>29</v>
      </c>
      <c r="P5495">
        <v>0</v>
      </c>
    </row>
    <row r="5496" spans="1:16" x14ac:dyDescent="0.25">
      <c r="A5496" t="s">
        <v>27923</v>
      </c>
      <c r="B5496" t="s">
        <v>19781</v>
      </c>
      <c r="C5496" t="s">
        <v>19772</v>
      </c>
      <c r="D5496" t="str">
        <f>"4926"</f>
        <v>4926</v>
      </c>
      <c r="E5496" t="s">
        <v>19721</v>
      </c>
      <c r="F5496" t="s">
        <v>17351</v>
      </c>
      <c r="G5496" t="s">
        <v>16221</v>
      </c>
      <c r="H5496" t="s">
        <v>47055</v>
      </c>
      <c r="I5496" t="s">
        <v>47127</v>
      </c>
      <c r="J5496" t="s">
        <v>47128</v>
      </c>
      <c r="K5496" t="s">
        <v>47113</v>
      </c>
      <c r="L5496">
        <v>10.8</v>
      </c>
      <c r="M5496">
        <v>29</v>
      </c>
      <c r="N5496">
        <v>0</v>
      </c>
      <c r="O5496">
        <v>29</v>
      </c>
      <c r="P5496">
        <v>0</v>
      </c>
    </row>
    <row r="5497" spans="1:16" x14ac:dyDescent="0.25">
      <c r="A5497" t="s">
        <v>27924</v>
      </c>
      <c r="B5497" t="s">
        <v>27925</v>
      </c>
      <c r="C5497" t="s">
        <v>27926</v>
      </c>
      <c r="D5497" t="str">
        <f>"1001"</f>
        <v>1001</v>
      </c>
      <c r="E5497" t="s">
        <v>42</v>
      </c>
      <c r="F5497" t="s">
        <v>17351</v>
      </c>
      <c r="G5497" t="s">
        <v>16221</v>
      </c>
      <c r="H5497" t="s">
        <v>47055</v>
      </c>
      <c r="I5497" t="s">
        <v>47127</v>
      </c>
      <c r="J5497" t="s">
        <v>47128</v>
      </c>
      <c r="K5497" t="s">
        <v>47113</v>
      </c>
      <c r="L5497">
        <v>10.18</v>
      </c>
      <c r="M5497">
        <v>26</v>
      </c>
      <c r="N5497">
        <v>69</v>
      </c>
      <c r="O5497">
        <v>26</v>
      </c>
      <c r="P5497">
        <v>69</v>
      </c>
    </row>
    <row r="5498" spans="1:16" x14ac:dyDescent="0.25">
      <c r="A5498" t="s">
        <v>27927</v>
      </c>
      <c r="B5498" t="s">
        <v>27925</v>
      </c>
      <c r="C5498" t="s">
        <v>27926</v>
      </c>
      <c r="D5498" t="str">
        <f>"1700"</f>
        <v>1700</v>
      </c>
      <c r="E5498" t="s">
        <v>60</v>
      </c>
      <c r="F5498" t="s">
        <v>17351</v>
      </c>
      <c r="G5498" t="s">
        <v>16221</v>
      </c>
      <c r="H5498" t="s">
        <v>47055</v>
      </c>
      <c r="I5498" t="s">
        <v>47127</v>
      </c>
      <c r="J5498" t="s">
        <v>47128</v>
      </c>
      <c r="K5498" t="s">
        <v>47113</v>
      </c>
      <c r="L5498">
        <v>10.18</v>
      </c>
      <c r="M5498">
        <v>26</v>
      </c>
      <c r="N5498">
        <v>69</v>
      </c>
      <c r="O5498">
        <v>26</v>
      </c>
      <c r="P5498">
        <v>69</v>
      </c>
    </row>
    <row r="5499" spans="1:16" x14ac:dyDescent="0.25">
      <c r="A5499" t="s">
        <v>27928</v>
      </c>
      <c r="B5499" t="s">
        <v>27925</v>
      </c>
      <c r="C5499" t="s">
        <v>27926</v>
      </c>
      <c r="D5499" t="str">
        <f>"4100"</f>
        <v>4100</v>
      </c>
      <c r="E5499" t="s">
        <v>2383</v>
      </c>
      <c r="F5499" t="s">
        <v>17351</v>
      </c>
      <c r="G5499" t="s">
        <v>16221</v>
      </c>
      <c r="H5499" t="s">
        <v>47055</v>
      </c>
      <c r="I5499" t="s">
        <v>47127</v>
      </c>
      <c r="J5499" t="s">
        <v>47128</v>
      </c>
      <c r="K5499" t="s">
        <v>47113</v>
      </c>
      <c r="L5499">
        <v>10.18</v>
      </c>
      <c r="M5499">
        <v>26</v>
      </c>
      <c r="N5499">
        <v>69</v>
      </c>
      <c r="O5499">
        <v>26</v>
      </c>
      <c r="P5499">
        <v>69</v>
      </c>
    </row>
    <row r="5500" spans="1:16" x14ac:dyDescent="0.25">
      <c r="A5500" t="s">
        <v>27929</v>
      </c>
      <c r="B5500" t="s">
        <v>27930</v>
      </c>
      <c r="C5500" t="s">
        <v>27931</v>
      </c>
      <c r="D5500" t="str">
        <f>"4814"</f>
        <v>4814</v>
      </c>
      <c r="E5500" t="s">
        <v>6112</v>
      </c>
      <c r="F5500" t="s">
        <v>0</v>
      </c>
      <c r="G5500" t="s">
        <v>16222</v>
      </c>
      <c r="H5500" t="s">
        <v>47054</v>
      </c>
      <c r="I5500" t="s">
        <v>47116</v>
      </c>
      <c r="J5500" t="s">
        <v>47117</v>
      </c>
      <c r="K5500" t="s">
        <v>47113</v>
      </c>
      <c r="L5500">
        <v>19.18</v>
      </c>
      <c r="M5500">
        <v>63</v>
      </c>
      <c r="N5500">
        <v>169</v>
      </c>
      <c r="O5500">
        <v>63</v>
      </c>
      <c r="P5500">
        <v>169</v>
      </c>
    </row>
    <row r="5501" spans="1:16" x14ac:dyDescent="0.25">
      <c r="A5501" t="s">
        <v>27932</v>
      </c>
      <c r="B5501" t="s">
        <v>27933</v>
      </c>
      <c r="C5501" t="s">
        <v>8989</v>
      </c>
      <c r="D5501" t="str">
        <f>"1001"</f>
        <v>1001</v>
      </c>
      <c r="E5501" t="s">
        <v>42</v>
      </c>
      <c r="F5501" t="s">
        <v>1717</v>
      </c>
      <c r="G5501" t="s">
        <v>16222</v>
      </c>
      <c r="H5501" t="s">
        <v>47054</v>
      </c>
      <c r="I5501" t="s">
        <v>47111</v>
      </c>
      <c r="J5501" t="s">
        <v>47112</v>
      </c>
      <c r="K5501" t="s">
        <v>47113</v>
      </c>
      <c r="L5501">
        <v>23.47</v>
      </c>
      <c r="M5501">
        <v>63</v>
      </c>
      <c r="N5501">
        <v>169</v>
      </c>
      <c r="O5501">
        <v>63</v>
      </c>
      <c r="P5501">
        <v>169</v>
      </c>
    </row>
    <row r="5502" spans="1:16" x14ac:dyDescent="0.25">
      <c r="A5502" t="s">
        <v>27934</v>
      </c>
      <c r="B5502" t="s">
        <v>4705</v>
      </c>
      <c r="C5502" t="s">
        <v>4706</v>
      </c>
      <c r="D5502" t="str">
        <f>"1001"</f>
        <v>1001</v>
      </c>
      <c r="E5502" t="s">
        <v>42</v>
      </c>
      <c r="F5502" t="s">
        <v>687</v>
      </c>
      <c r="G5502" t="s">
        <v>16235</v>
      </c>
      <c r="H5502" t="s">
        <v>47054</v>
      </c>
      <c r="I5502" t="s">
        <v>47111</v>
      </c>
      <c r="J5502" t="s">
        <v>47112</v>
      </c>
      <c r="K5502" t="s">
        <v>47113</v>
      </c>
      <c r="L5502">
        <v>49.75</v>
      </c>
      <c r="M5502">
        <v>111</v>
      </c>
      <c r="N5502">
        <v>0</v>
      </c>
      <c r="O5502">
        <v>111</v>
      </c>
      <c r="P5502">
        <v>0</v>
      </c>
    </row>
    <row r="5503" spans="1:16" x14ac:dyDescent="0.25">
      <c r="A5503" t="s">
        <v>27935</v>
      </c>
      <c r="B5503" t="s">
        <v>4705</v>
      </c>
      <c r="C5503" t="s">
        <v>4706</v>
      </c>
      <c r="D5503" t="str">
        <f>"2625"</f>
        <v>2625</v>
      </c>
      <c r="E5503" t="s">
        <v>4707</v>
      </c>
      <c r="F5503" t="s">
        <v>687</v>
      </c>
      <c r="G5503" t="s">
        <v>16235</v>
      </c>
      <c r="H5503" t="s">
        <v>47054</v>
      </c>
      <c r="I5503" t="s">
        <v>47111</v>
      </c>
      <c r="J5503" t="s">
        <v>47112</v>
      </c>
      <c r="K5503" t="s">
        <v>47113</v>
      </c>
      <c r="L5503">
        <v>49.75</v>
      </c>
      <c r="M5503">
        <v>111</v>
      </c>
      <c r="N5503">
        <v>0</v>
      </c>
      <c r="O5503">
        <v>111</v>
      </c>
      <c r="P5503">
        <v>0</v>
      </c>
    </row>
    <row r="5504" spans="1:16" x14ac:dyDescent="0.25">
      <c r="A5504" t="s">
        <v>27936</v>
      </c>
      <c r="B5504" t="s">
        <v>4708</v>
      </c>
      <c r="C5504" t="s">
        <v>4709</v>
      </c>
      <c r="D5504" t="str">
        <f>"1700"</f>
        <v>1700</v>
      </c>
      <c r="E5504" t="s">
        <v>60</v>
      </c>
      <c r="F5504" t="s">
        <v>687</v>
      </c>
      <c r="G5504" t="s">
        <v>16235</v>
      </c>
      <c r="H5504" t="s">
        <v>47054</v>
      </c>
      <c r="I5504" t="s">
        <v>47111</v>
      </c>
      <c r="J5504" t="s">
        <v>47112</v>
      </c>
      <c r="K5504" t="s">
        <v>47113</v>
      </c>
      <c r="L5504">
        <v>34.770000000000003</v>
      </c>
      <c r="M5504">
        <v>81</v>
      </c>
      <c r="N5504">
        <v>0</v>
      </c>
      <c r="O5504">
        <v>81</v>
      </c>
      <c r="P5504">
        <v>0</v>
      </c>
    </row>
    <row r="5505" spans="1:16" x14ac:dyDescent="0.25">
      <c r="A5505" t="s">
        <v>27937</v>
      </c>
      <c r="B5505" t="s">
        <v>4708</v>
      </c>
      <c r="C5505" t="s">
        <v>4709</v>
      </c>
      <c r="D5505" t="str">
        <f>"4101"</f>
        <v>4101</v>
      </c>
      <c r="E5505" t="s">
        <v>43</v>
      </c>
      <c r="F5505" t="s">
        <v>687</v>
      </c>
      <c r="G5505" t="s">
        <v>16235</v>
      </c>
      <c r="H5505" t="s">
        <v>47054</v>
      </c>
      <c r="I5505" t="s">
        <v>47111</v>
      </c>
      <c r="J5505" t="s">
        <v>47112</v>
      </c>
      <c r="K5505" t="s">
        <v>47113</v>
      </c>
      <c r="L5505">
        <v>35.909999999999997</v>
      </c>
      <c r="M5505">
        <v>81</v>
      </c>
      <c r="N5505">
        <v>0</v>
      </c>
      <c r="O5505">
        <v>81</v>
      </c>
      <c r="P5505">
        <v>0</v>
      </c>
    </row>
    <row r="5506" spans="1:16" x14ac:dyDescent="0.25">
      <c r="A5506" t="s">
        <v>27938</v>
      </c>
      <c r="B5506" t="s">
        <v>4708</v>
      </c>
      <c r="C5506" t="s">
        <v>4709</v>
      </c>
      <c r="D5506" t="str">
        <f>"6000"</f>
        <v>6000</v>
      </c>
      <c r="E5506" t="s">
        <v>238</v>
      </c>
      <c r="F5506" t="s">
        <v>687</v>
      </c>
      <c r="G5506" t="s">
        <v>16235</v>
      </c>
      <c r="H5506" t="s">
        <v>47054</v>
      </c>
      <c r="I5506" t="s">
        <v>47111</v>
      </c>
      <c r="J5506" t="s">
        <v>47112</v>
      </c>
      <c r="K5506" t="s">
        <v>47113</v>
      </c>
      <c r="L5506">
        <v>35.909999999999997</v>
      </c>
      <c r="M5506">
        <v>81</v>
      </c>
      <c r="N5506">
        <v>0</v>
      </c>
      <c r="O5506">
        <v>81</v>
      </c>
      <c r="P5506">
        <v>0</v>
      </c>
    </row>
    <row r="5507" spans="1:16" x14ac:dyDescent="0.25">
      <c r="A5507" t="s">
        <v>27939</v>
      </c>
      <c r="B5507" t="s">
        <v>15178</v>
      </c>
      <c r="C5507" t="s">
        <v>15179</v>
      </c>
      <c r="D5507" t="str">
        <f>"4100"</f>
        <v>4100</v>
      </c>
      <c r="E5507" t="s">
        <v>2383</v>
      </c>
      <c r="F5507" t="s">
        <v>0</v>
      </c>
      <c r="G5507" t="s">
        <v>16235</v>
      </c>
      <c r="H5507" t="s">
        <v>47054</v>
      </c>
      <c r="I5507" t="s">
        <v>47116</v>
      </c>
      <c r="J5507" t="s">
        <v>47117</v>
      </c>
      <c r="K5507" t="s">
        <v>47113</v>
      </c>
      <c r="L5507">
        <v>25.19</v>
      </c>
      <c r="M5507">
        <v>53</v>
      </c>
      <c r="N5507">
        <v>0</v>
      </c>
      <c r="O5507">
        <v>53</v>
      </c>
      <c r="P5507">
        <v>0</v>
      </c>
    </row>
    <row r="5508" spans="1:16" x14ac:dyDescent="0.25">
      <c r="A5508" t="s">
        <v>27940</v>
      </c>
      <c r="B5508" t="s">
        <v>4710</v>
      </c>
      <c r="C5508" t="s">
        <v>4711</v>
      </c>
      <c r="D5508" t="str">
        <f>"1700"</f>
        <v>1700</v>
      </c>
      <c r="E5508" t="s">
        <v>60</v>
      </c>
      <c r="F5508" t="s">
        <v>687</v>
      </c>
      <c r="G5508" t="s">
        <v>16235</v>
      </c>
      <c r="H5508" t="s">
        <v>47054</v>
      </c>
      <c r="I5508" t="s">
        <v>47111</v>
      </c>
      <c r="J5508" t="s">
        <v>47112</v>
      </c>
      <c r="K5508" t="s">
        <v>47113</v>
      </c>
      <c r="L5508">
        <v>20.75</v>
      </c>
      <c r="M5508">
        <v>48</v>
      </c>
      <c r="N5508">
        <v>0</v>
      </c>
      <c r="O5508">
        <v>48</v>
      </c>
      <c r="P5508">
        <v>0</v>
      </c>
    </row>
    <row r="5509" spans="1:16" x14ac:dyDescent="0.25">
      <c r="A5509" t="s">
        <v>27941</v>
      </c>
      <c r="B5509" t="s">
        <v>4712</v>
      </c>
      <c r="C5509" t="s">
        <v>4713</v>
      </c>
      <c r="D5509" t="str">
        <f>"4400"</f>
        <v>4400</v>
      </c>
      <c r="E5509" t="s">
        <v>154</v>
      </c>
      <c r="F5509" t="s">
        <v>687</v>
      </c>
      <c r="G5509" t="s">
        <v>16235</v>
      </c>
      <c r="H5509" t="s">
        <v>47054</v>
      </c>
      <c r="I5509" t="s">
        <v>47111</v>
      </c>
      <c r="J5509" t="s">
        <v>47112</v>
      </c>
      <c r="K5509" t="s">
        <v>47113</v>
      </c>
      <c r="L5509">
        <v>25.88</v>
      </c>
      <c r="M5509">
        <v>59</v>
      </c>
      <c r="N5509">
        <v>0</v>
      </c>
      <c r="O5509">
        <v>59</v>
      </c>
      <c r="P5509">
        <v>0</v>
      </c>
    </row>
    <row r="5510" spans="1:16" x14ac:dyDescent="0.25">
      <c r="A5510" t="s">
        <v>27942</v>
      </c>
      <c r="B5510" t="s">
        <v>4712</v>
      </c>
      <c r="C5510" t="s">
        <v>4713</v>
      </c>
      <c r="D5510" t="str">
        <f>"7302"</f>
        <v>7302</v>
      </c>
      <c r="E5510" t="s">
        <v>1867</v>
      </c>
      <c r="F5510" t="s">
        <v>687</v>
      </c>
      <c r="G5510" t="s">
        <v>16235</v>
      </c>
      <c r="H5510" t="s">
        <v>47054</v>
      </c>
      <c r="I5510" t="s">
        <v>47111</v>
      </c>
      <c r="J5510" t="s">
        <v>47112</v>
      </c>
      <c r="K5510" t="s">
        <v>47113</v>
      </c>
      <c r="L5510">
        <v>25.88</v>
      </c>
      <c r="M5510">
        <v>59</v>
      </c>
      <c r="N5510">
        <v>0</v>
      </c>
      <c r="O5510">
        <v>59</v>
      </c>
      <c r="P5510">
        <v>0</v>
      </c>
    </row>
    <row r="5511" spans="1:16" x14ac:dyDescent="0.25">
      <c r="A5511" t="s">
        <v>27943</v>
      </c>
      <c r="B5511" t="s">
        <v>4714</v>
      </c>
      <c r="C5511" t="s">
        <v>4715</v>
      </c>
      <c r="D5511" t="str">
        <f>"1001"</f>
        <v>1001</v>
      </c>
      <c r="E5511" t="s">
        <v>42</v>
      </c>
      <c r="F5511" t="s">
        <v>687</v>
      </c>
      <c r="G5511" t="s">
        <v>16235</v>
      </c>
      <c r="H5511" t="s">
        <v>47054</v>
      </c>
      <c r="I5511" t="s">
        <v>47111</v>
      </c>
      <c r="J5511" t="s">
        <v>47112</v>
      </c>
      <c r="K5511" t="s">
        <v>47113</v>
      </c>
      <c r="L5511">
        <v>26.85</v>
      </c>
      <c r="M5511">
        <v>61</v>
      </c>
      <c r="N5511">
        <v>0</v>
      </c>
      <c r="O5511">
        <v>61</v>
      </c>
      <c r="P5511">
        <v>0</v>
      </c>
    </row>
    <row r="5512" spans="1:16" x14ac:dyDescent="0.25">
      <c r="A5512" t="s">
        <v>27944</v>
      </c>
      <c r="B5512" t="s">
        <v>4716</v>
      </c>
      <c r="C5512" t="s">
        <v>4717</v>
      </c>
      <c r="D5512" t="str">
        <f>"3003"</f>
        <v>3003</v>
      </c>
      <c r="E5512" t="s">
        <v>1896</v>
      </c>
      <c r="F5512" t="s">
        <v>687</v>
      </c>
      <c r="G5512" t="s">
        <v>16235</v>
      </c>
      <c r="H5512" t="s">
        <v>47054</v>
      </c>
      <c r="I5512" t="s">
        <v>47111</v>
      </c>
      <c r="J5512" t="s">
        <v>47112</v>
      </c>
      <c r="K5512" t="s">
        <v>47113</v>
      </c>
      <c r="L5512">
        <v>30.5</v>
      </c>
      <c r="M5512">
        <v>69</v>
      </c>
      <c r="N5512">
        <v>0</v>
      </c>
      <c r="O5512">
        <v>69</v>
      </c>
      <c r="P5512">
        <v>0</v>
      </c>
    </row>
    <row r="5513" spans="1:16" x14ac:dyDescent="0.25">
      <c r="A5513" t="s">
        <v>27945</v>
      </c>
      <c r="B5513" t="s">
        <v>4716</v>
      </c>
      <c r="C5513" t="s">
        <v>4717</v>
      </c>
      <c r="D5513" t="str">
        <f>"4059"</f>
        <v>4059</v>
      </c>
      <c r="E5513" t="s">
        <v>1847</v>
      </c>
      <c r="F5513" t="s">
        <v>687</v>
      </c>
      <c r="G5513" t="s">
        <v>16235</v>
      </c>
      <c r="H5513" t="s">
        <v>47054</v>
      </c>
      <c r="I5513" t="s">
        <v>47111</v>
      </c>
      <c r="J5513" t="s">
        <v>47112</v>
      </c>
      <c r="K5513" t="s">
        <v>47113</v>
      </c>
      <c r="L5513">
        <v>30.54</v>
      </c>
      <c r="M5513">
        <v>69</v>
      </c>
      <c r="N5513">
        <v>0</v>
      </c>
      <c r="O5513">
        <v>69</v>
      </c>
      <c r="P5513">
        <v>0</v>
      </c>
    </row>
    <row r="5514" spans="1:16" x14ac:dyDescent="0.25">
      <c r="A5514" t="s">
        <v>27946</v>
      </c>
      <c r="B5514" t="s">
        <v>4716</v>
      </c>
      <c r="C5514" t="s">
        <v>4717</v>
      </c>
      <c r="D5514" t="str">
        <f>"6000"</f>
        <v>6000</v>
      </c>
      <c r="E5514" t="s">
        <v>238</v>
      </c>
      <c r="F5514" t="s">
        <v>687</v>
      </c>
      <c r="G5514" t="s">
        <v>16235</v>
      </c>
      <c r="H5514" t="s">
        <v>47054</v>
      </c>
      <c r="I5514" t="s">
        <v>47111</v>
      </c>
      <c r="J5514" t="s">
        <v>47112</v>
      </c>
      <c r="K5514" t="s">
        <v>47113</v>
      </c>
      <c r="L5514">
        <v>30.62</v>
      </c>
      <c r="M5514">
        <v>69</v>
      </c>
      <c r="N5514">
        <v>0</v>
      </c>
      <c r="O5514">
        <v>69</v>
      </c>
      <c r="P5514">
        <v>0</v>
      </c>
    </row>
    <row r="5515" spans="1:16" x14ac:dyDescent="0.25">
      <c r="A5515" t="s">
        <v>27947</v>
      </c>
      <c r="B5515" t="s">
        <v>4718</v>
      </c>
      <c r="C5515" t="s">
        <v>4719</v>
      </c>
      <c r="D5515" t="str">
        <f>"1001"</f>
        <v>1001</v>
      </c>
      <c r="E5515" t="s">
        <v>42</v>
      </c>
      <c r="F5515" t="s">
        <v>1401</v>
      </c>
      <c r="G5515" t="s">
        <v>16235</v>
      </c>
      <c r="H5515" t="s">
        <v>47054</v>
      </c>
      <c r="I5515" t="s">
        <v>47111</v>
      </c>
      <c r="J5515" t="s">
        <v>47112</v>
      </c>
      <c r="K5515" t="s">
        <v>47113</v>
      </c>
      <c r="L5515">
        <v>29.41</v>
      </c>
      <c r="M5515">
        <v>67</v>
      </c>
      <c r="N5515">
        <v>0</v>
      </c>
      <c r="O5515">
        <v>67</v>
      </c>
      <c r="P5515">
        <v>0</v>
      </c>
    </row>
    <row r="5516" spans="1:16" x14ac:dyDescent="0.25">
      <c r="A5516" t="s">
        <v>27948</v>
      </c>
      <c r="B5516" t="s">
        <v>4720</v>
      </c>
      <c r="C5516" t="s">
        <v>4721</v>
      </c>
      <c r="D5516" t="str">
        <f>"1001"</f>
        <v>1001</v>
      </c>
      <c r="E5516" t="s">
        <v>42</v>
      </c>
      <c r="F5516" t="s">
        <v>5</v>
      </c>
      <c r="G5516" t="s">
        <v>16235</v>
      </c>
      <c r="H5516" t="s">
        <v>47054</v>
      </c>
      <c r="I5516" t="s">
        <v>47116</v>
      </c>
      <c r="J5516" t="s">
        <v>47117</v>
      </c>
      <c r="K5516" t="s">
        <v>47113</v>
      </c>
      <c r="L5516">
        <v>28.73</v>
      </c>
      <c r="M5516">
        <v>70</v>
      </c>
      <c r="N5516">
        <v>0</v>
      </c>
      <c r="O5516">
        <v>70</v>
      </c>
      <c r="P5516">
        <v>0</v>
      </c>
    </row>
    <row r="5517" spans="1:16" x14ac:dyDescent="0.25">
      <c r="A5517" t="s">
        <v>27949</v>
      </c>
      <c r="B5517" t="s">
        <v>4720</v>
      </c>
      <c r="C5517" t="s">
        <v>4721</v>
      </c>
      <c r="D5517" t="str">
        <f>"1035"</f>
        <v>1035</v>
      </c>
      <c r="E5517" t="s">
        <v>758</v>
      </c>
      <c r="F5517" t="s">
        <v>5</v>
      </c>
      <c r="G5517" t="s">
        <v>16235</v>
      </c>
      <c r="H5517" t="s">
        <v>47054</v>
      </c>
      <c r="I5517" t="s">
        <v>47116</v>
      </c>
      <c r="J5517" t="s">
        <v>47117</v>
      </c>
      <c r="K5517" t="s">
        <v>47113</v>
      </c>
      <c r="L5517">
        <v>31.78</v>
      </c>
      <c r="M5517">
        <v>56</v>
      </c>
      <c r="N5517">
        <v>0</v>
      </c>
      <c r="O5517">
        <v>56</v>
      </c>
      <c r="P5517">
        <v>0</v>
      </c>
    </row>
    <row r="5518" spans="1:16" x14ac:dyDescent="0.25">
      <c r="A5518" t="s">
        <v>27950</v>
      </c>
      <c r="B5518" t="s">
        <v>4720</v>
      </c>
      <c r="C5518" t="s">
        <v>4721</v>
      </c>
      <c r="D5518" t="str">
        <f>"4137"</f>
        <v>4137</v>
      </c>
      <c r="E5518" t="s">
        <v>2701</v>
      </c>
      <c r="F5518" t="s">
        <v>5</v>
      </c>
      <c r="G5518" t="s">
        <v>16235</v>
      </c>
      <c r="H5518" t="s">
        <v>47054</v>
      </c>
      <c r="I5518" t="s">
        <v>47116</v>
      </c>
      <c r="J5518" t="s">
        <v>47117</v>
      </c>
      <c r="K5518" t="s">
        <v>47113</v>
      </c>
      <c r="L5518">
        <v>31.78</v>
      </c>
      <c r="M5518">
        <v>56</v>
      </c>
      <c r="N5518">
        <v>0</v>
      </c>
      <c r="O5518">
        <v>56</v>
      </c>
      <c r="P5518">
        <v>0</v>
      </c>
    </row>
    <row r="5519" spans="1:16" x14ac:dyDescent="0.25">
      <c r="A5519" t="s">
        <v>27951</v>
      </c>
      <c r="B5519" t="s">
        <v>4722</v>
      </c>
      <c r="C5519" t="s">
        <v>4723</v>
      </c>
      <c r="D5519" t="str">
        <f>"1360"</f>
        <v>1360</v>
      </c>
      <c r="E5519" t="s">
        <v>4724</v>
      </c>
      <c r="F5519" t="s">
        <v>2</v>
      </c>
      <c r="G5519" t="s">
        <v>16235</v>
      </c>
      <c r="H5519" t="s">
        <v>47054</v>
      </c>
      <c r="I5519" t="s">
        <v>47116</v>
      </c>
      <c r="J5519" t="s">
        <v>47117</v>
      </c>
      <c r="K5519" t="s">
        <v>47113</v>
      </c>
      <c r="L5519">
        <v>36.08</v>
      </c>
      <c r="M5519">
        <v>87</v>
      </c>
      <c r="N5519">
        <v>0</v>
      </c>
      <c r="O5519">
        <v>87</v>
      </c>
      <c r="P5519">
        <v>0</v>
      </c>
    </row>
    <row r="5520" spans="1:16" x14ac:dyDescent="0.25">
      <c r="A5520" t="s">
        <v>27952</v>
      </c>
      <c r="B5520" t="s">
        <v>4722</v>
      </c>
      <c r="C5520" t="s">
        <v>4723</v>
      </c>
      <c r="D5520" t="str">
        <f>"3413"</f>
        <v>3413</v>
      </c>
      <c r="E5520" t="s">
        <v>4725</v>
      </c>
      <c r="F5520" t="s">
        <v>2</v>
      </c>
      <c r="G5520" t="s">
        <v>16235</v>
      </c>
      <c r="H5520" t="s">
        <v>47054</v>
      </c>
      <c r="I5520" t="s">
        <v>47116</v>
      </c>
      <c r="J5520" t="s">
        <v>47117</v>
      </c>
      <c r="K5520" t="s">
        <v>47113</v>
      </c>
      <c r="L5520">
        <v>36.049999999999997</v>
      </c>
      <c r="M5520">
        <v>87</v>
      </c>
      <c r="N5520">
        <v>0</v>
      </c>
      <c r="O5520">
        <v>87</v>
      </c>
      <c r="P5520">
        <v>0</v>
      </c>
    </row>
    <row r="5521" spans="1:16" x14ac:dyDescent="0.25">
      <c r="A5521" t="s">
        <v>27953</v>
      </c>
      <c r="B5521" t="s">
        <v>4722</v>
      </c>
      <c r="C5521" t="s">
        <v>4723</v>
      </c>
      <c r="D5521" t="str">
        <f>"4488"</f>
        <v>4488</v>
      </c>
      <c r="E5521" t="s">
        <v>4726</v>
      </c>
      <c r="F5521" t="s">
        <v>2</v>
      </c>
      <c r="G5521" t="s">
        <v>16235</v>
      </c>
      <c r="H5521" t="s">
        <v>47054</v>
      </c>
      <c r="I5521" t="s">
        <v>47116</v>
      </c>
      <c r="J5521" t="s">
        <v>47117</v>
      </c>
      <c r="K5521" t="s">
        <v>47113</v>
      </c>
      <c r="L5521">
        <v>36.26</v>
      </c>
      <c r="M5521">
        <v>87</v>
      </c>
      <c r="N5521">
        <v>0</v>
      </c>
      <c r="O5521">
        <v>87</v>
      </c>
      <c r="P5521">
        <v>0</v>
      </c>
    </row>
    <row r="5522" spans="1:16" x14ac:dyDescent="0.25">
      <c r="A5522" t="s">
        <v>27954</v>
      </c>
      <c r="B5522" t="s">
        <v>4722</v>
      </c>
      <c r="C5522" t="s">
        <v>4723</v>
      </c>
      <c r="D5522" t="str">
        <f>"6266"</f>
        <v>6266</v>
      </c>
      <c r="E5522" t="s">
        <v>4727</v>
      </c>
      <c r="F5522" t="s">
        <v>2</v>
      </c>
      <c r="G5522" t="s">
        <v>16235</v>
      </c>
      <c r="H5522" t="s">
        <v>47054</v>
      </c>
      <c r="I5522" t="s">
        <v>47116</v>
      </c>
      <c r="J5522" t="s">
        <v>47117</v>
      </c>
      <c r="K5522" t="s">
        <v>47113</v>
      </c>
      <c r="L5522">
        <v>36.25</v>
      </c>
      <c r="M5522">
        <v>87</v>
      </c>
      <c r="N5522">
        <v>0</v>
      </c>
      <c r="O5522">
        <v>87</v>
      </c>
      <c r="P5522">
        <v>0</v>
      </c>
    </row>
    <row r="5523" spans="1:16" x14ac:dyDescent="0.25">
      <c r="A5523" t="s">
        <v>27955</v>
      </c>
      <c r="B5523" t="s">
        <v>4722</v>
      </c>
      <c r="C5523" t="s">
        <v>4723</v>
      </c>
      <c r="D5523" t="str">
        <f>"8031"</f>
        <v>8031</v>
      </c>
      <c r="E5523" t="s">
        <v>4728</v>
      </c>
      <c r="F5523" t="s">
        <v>2</v>
      </c>
      <c r="G5523" t="s">
        <v>16235</v>
      </c>
      <c r="H5523" t="s">
        <v>47054</v>
      </c>
      <c r="I5523" t="s">
        <v>47116</v>
      </c>
      <c r="J5523" t="s">
        <v>47117</v>
      </c>
      <c r="K5523" t="s">
        <v>47113</v>
      </c>
      <c r="L5523">
        <v>36.19</v>
      </c>
      <c r="M5523">
        <v>87</v>
      </c>
      <c r="N5523">
        <v>0</v>
      </c>
      <c r="O5523">
        <v>87</v>
      </c>
      <c r="P5523">
        <v>0</v>
      </c>
    </row>
    <row r="5524" spans="1:16" x14ac:dyDescent="0.25">
      <c r="A5524" t="s">
        <v>27956</v>
      </c>
      <c r="B5524" t="s">
        <v>4729</v>
      </c>
      <c r="C5524" t="s">
        <v>4730</v>
      </c>
      <c r="D5524" t="s">
        <v>1926</v>
      </c>
      <c r="E5524" t="s">
        <v>1927</v>
      </c>
      <c r="F5524" t="s">
        <v>52</v>
      </c>
      <c r="G5524" t="s">
        <v>16230</v>
      </c>
      <c r="H5524" t="s">
        <v>47054</v>
      </c>
      <c r="I5524" t="s">
        <v>47116</v>
      </c>
      <c r="J5524" t="s">
        <v>47117</v>
      </c>
      <c r="K5524" t="s">
        <v>47113</v>
      </c>
      <c r="L5524">
        <v>61.45</v>
      </c>
      <c r="M5524">
        <v>137</v>
      </c>
      <c r="N5524">
        <v>0</v>
      </c>
      <c r="O5524">
        <v>137</v>
      </c>
      <c r="P5524">
        <v>0</v>
      </c>
    </row>
    <row r="5525" spans="1:16" x14ac:dyDescent="0.25">
      <c r="A5525" t="s">
        <v>27957</v>
      </c>
      <c r="B5525" t="s">
        <v>4729</v>
      </c>
      <c r="C5525" t="s">
        <v>4730</v>
      </c>
      <c r="D5525" t="s">
        <v>4731</v>
      </c>
      <c r="E5525" t="s">
        <v>4732</v>
      </c>
      <c r="F5525" t="s">
        <v>52</v>
      </c>
      <c r="G5525" t="s">
        <v>16230</v>
      </c>
      <c r="H5525" t="s">
        <v>47054</v>
      </c>
      <c r="I5525" t="s">
        <v>47116</v>
      </c>
      <c r="J5525" t="s">
        <v>47117</v>
      </c>
      <c r="K5525" t="s">
        <v>47113</v>
      </c>
      <c r="L5525">
        <v>56.32</v>
      </c>
      <c r="M5525">
        <v>122</v>
      </c>
      <c r="N5525">
        <v>0</v>
      </c>
      <c r="O5525">
        <v>122</v>
      </c>
      <c r="P5525">
        <v>0</v>
      </c>
    </row>
    <row r="5526" spans="1:16" x14ac:dyDescent="0.25">
      <c r="A5526" t="s">
        <v>27958</v>
      </c>
      <c r="B5526" t="s">
        <v>4733</v>
      </c>
      <c r="C5526" t="s">
        <v>4734</v>
      </c>
      <c r="D5526" t="s">
        <v>1926</v>
      </c>
      <c r="E5526" t="s">
        <v>1927</v>
      </c>
      <c r="F5526" t="s">
        <v>52</v>
      </c>
      <c r="G5526" t="s">
        <v>16224</v>
      </c>
      <c r="H5526" t="s">
        <v>47054</v>
      </c>
      <c r="I5526" t="s">
        <v>47116</v>
      </c>
      <c r="J5526" t="s">
        <v>47117</v>
      </c>
      <c r="K5526" t="s">
        <v>47113</v>
      </c>
      <c r="L5526">
        <v>87.67</v>
      </c>
      <c r="M5526">
        <v>194</v>
      </c>
      <c r="N5526">
        <v>0</v>
      </c>
      <c r="O5526">
        <v>194</v>
      </c>
      <c r="P5526">
        <v>0</v>
      </c>
    </row>
    <row r="5527" spans="1:16" x14ac:dyDescent="0.25">
      <c r="A5527" t="s">
        <v>27959</v>
      </c>
      <c r="B5527" t="s">
        <v>4733</v>
      </c>
      <c r="C5527" t="s">
        <v>4734</v>
      </c>
      <c r="D5527" t="s">
        <v>1734</v>
      </c>
      <c r="E5527" t="s">
        <v>1735</v>
      </c>
      <c r="F5527" t="s">
        <v>52</v>
      </c>
      <c r="G5527" t="s">
        <v>16224</v>
      </c>
      <c r="H5527" t="s">
        <v>47054</v>
      </c>
      <c r="I5527" t="s">
        <v>47116</v>
      </c>
      <c r="J5527" t="s">
        <v>47117</v>
      </c>
      <c r="K5527" t="s">
        <v>47113</v>
      </c>
      <c r="L5527">
        <v>95.07</v>
      </c>
      <c r="M5527">
        <v>223</v>
      </c>
      <c r="N5527">
        <v>0</v>
      </c>
      <c r="O5527">
        <v>223</v>
      </c>
      <c r="P5527">
        <v>0</v>
      </c>
    </row>
    <row r="5528" spans="1:16" x14ac:dyDescent="0.25">
      <c r="A5528" t="s">
        <v>27960</v>
      </c>
      <c r="B5528" t="s">
        <v>4735</v>
      </c>
      <c r="C5528" t="s">
        <v>4736</v>
      </c>
      <c r="D5528" t="str">
        <f>"6142"</f>
        <v>6142</v>
      </c>
      <c r="E5528" t="s">
        <v>4737</v>
      </c>
      <c r="F5528" t="s">
        <v>6</v>
      </c>
      <c r="G5528" t="s">
        <v>16224</v>
      </c>
      <c r="H5528" t="s">
        <v>47054</v>
      </c>
      <c r="I5528" t="s">
        <v>47116</v>
      </c>
      <c r="J5528" t="s">
        <v>47117</v>
      </c>
      <c r="K5528" t="s">
        <v>47113</v>
      </c>
      <c r="L5528">
        <v>42.95</v>
      </c>
      <c r="M5528">
        <v>103</v>
      </c>
      <c r="N5528">
        <v>0</v>
      </c>
      <c r="O5528">
        <v>103</v>
      </c>
      <c r="P5528">
        <v>0</v>
      </c>
    </row>
    <row r="5529" spans="1:16" x14ac:dyDescent="0.25">
      <c r="A5529" t="s">
        <v>27961</v>
      </c>
      <c r="B5529" t="s">
        <v>4735</v>
      </c>
      <c r="C5529" t="s">
        <v>4736</v>
      </c>
      <c r="D5529" t="str">
        <f>"8037"</f>
        <v>8037</v>
      </c>
      <c r="E5529" t="s">
        <v>4738</v>
      </c>
      <c r="F5529" t="s">
        <v>6</v>
      </c>
      <c r="G5529" t="s">
        <v>16224</v>
      </c>
      <c r="H5529" t="s">
        <v>47054</v>
      </c>
      <c r="I5529" t="s">
        <v>47116</v>
      </c>
      <c r="J5529" t="s">
        <v>47117</v>
      </c>
      <c r="K5529" t="s">
        <v>47113</v>
      </c>
      <c r="L5529">
        <v>43.18</v>
      </c>
      <c r="M5529">
        <v>103</v>
      </c>
      <c r="N5529">
        <v>0</v>
      </c>
      <c r="O5529">
        <v>103</v>
      </c>
      <c r="P5529">
        <v>0</v>
      </c>
    </row>
    <row r="5530" spans="1:16" x14ac:dyDescent="0.25">
      <c r="A5530" t="s">
        <v>47189</v>
      </c>
      <c r="B5530" t="s">
        <v>47190</v>
      </c>
      <c r="C5530" t="s">
        <v>47191</v>
      </c>
      <c r="D5530" t="str">
        <f>"1037"</f>
        <v>1037</v>
      </c>
      <c r="E5530" t="s">
        <v>47192</v>
      </c>
      <c r="F5530" t="s">
        <v>47193</v>
      </c>
      <c r="G5530" t="s">
        <v>16231</v>
      </c>
      <c r="H5530" t="s">
        <v>47055</v>
      </c>
      <c r="I5530" t="s">
        <v>47127</v>
      </c>
      <c r="J5530" t="s">
        <v>47128</v>
      </c>
      <c r="K5530" t="s">
        <v>47113</v>
      </c>
      <c r="L5530">
        <v>28.63</v>
      </c>
      <c r="M5530">
        <v>66</v>
      </c>
      <c r="N5530">
        <v>179</v>
      </c>
      <c r="O5530">
        <v>66</v>
      </c>
      <c r="P5530">
        <v>179</v>
      </c>
    </row>
    <row r="5531" spans="1:16" x14ac:dyDescent="0.25">
      <c r="A5531" t="s">
        <v>47194</v>
      </c>
      <c r="B5531" t="s">
        <v>47195</v>
      </c>
      <c r="C5531" t="s">
        <v>47196</v>
      </c>
      <c r="D5531" t="str">
        <f>"4003"</f>
        <v>4003</v>
      </c>
      <c r="E5531" t="s">
        <v>1847</v>
      </c>
      <c r="F5531" t="s">
        <v>47193</v>
      </c>
      <c r="G5531" t="s">
        <v>16231</v>
      </c>
      <c r="H5531" t="s">
        <v>47055</v>
      </c>
      <c r="I5531" t="s">
        <v>47127</v>
      </c>
      <c r="J5531" t="s">
        <v>47128</v>
      </c>
      <c r="K5531" t="s">
        <v>47113</v>
      </c>
      <c r="L5531">
        <v>28.52</v>
      </c>
      <c r="M5531">
        <v>74</v>
      </c>
      <c r="N5531">
        <v>199</v>
      </c>
      <c r="O5531">
        <v>74</v>
      </c>
      <c r="P5531">
        <v>199</v>
      </c>
    </row>
    <row r="5532" spans="1:16" x14ac:dyDescent="0.25">
      <c r="A5532" t="s">
        <v>47197</v>
      </c>
      <c r="B5532" t="s">
        <v>47198</v>
      </c>
      <c r="C5532" t="s">
        <v>47199</v>
      </c>
      <c r="D5532" t="str">
        <f>"4819"</f>
        <v>4819</v>
      </c>
      <c r="E5532" t="s">
        <v>221</v>
      </c>
      <c r="F5532" t="s">
        <v>47193</v>
      </c>
      <c r="G5532" t="s">
        <v>16231</v>
      </c>
      <c r="H5532" t="s">
        <v>47055</v>
      </c>
      <c r="I5532" t="s">
        <v>47127</v>
      </c>
      <c r="J5532" t="s">
        <v>47128</v>
      </c>
      <c r="K5532" t="s">
        <v>47113</v>
      </c>
      <c r="L5532">
        <v>28.15</v>
      </c>
      <c r="M5532">
        <v>63</v>
      </c>
      <c r="N5532">
        <v>169</v>
      </c>
      <c r="O5532">
        <v>63</v>
      </c>
      <c r="P5532">
        <v>169</v>
      </c>
    </row>
    <row r="5533" spans="1:16" x14ac:dyDescent="0.25">
      <c r="A5533" t="s">
        <v>47200</v>
      </c>
      <c r="B5533" t="s">
        <v>47201</v>
      </c>
      <c r="C5533" t="s">
        <v>47202</v>
      </c>
      <c r="D5533" t="str">
        <f>"1037"</f>
        <v>1037</v>
      </c>
      <c r="E5533" t="s">
        <v>47192</v>
      </c>
      <c r="F5533" t="s">
        <v>47193</v>
      </c>
      <c r="G5533" t="s">
        <v>16231</v>
      </c>
      <c r="H5533" t="s">
        <v>47055</v>
      </c>
      <c r="I5533" t="s">
        <v>47127</v>
      </c>
      <c r="J5533" t="s">
        <v>47128</v>
      </c>
      <c r="K5533" t="s">
        <v>47113</v>
      </c>
      <c r="L5533">
        <v>33.909999999999997</v>
      </c>
      <c r="M5533">
        <v>70</v>
      </c>
      <c r="N5533">
        <v>189</v>
      </c>
      <c r="O5533">
        <v>70</v>
      </c>
      <c r="P5533">
        <v>189</v>
      </c>
    </row>
    <row r="5534" spans="1:16" x14ac:dyDescent="0.25">
      <c r="A5534" t="s">
        <v>47203</v>
      </c>
      <c r="B5534" t="s">
        <v>47204</v>
      </c>
      <c r="C5534" t="s">
        <v>47205</v>
      </c>
      <c r="D5534" t="str">
        <f>"4125"</f>
        <v>4125</v>
      </c>
      <c r="E5534" t="s">
        <v>47206</v>
      </c>
      <c r="F5534" t="s">
        <v>47193</v>
      </c>
      <c r="G5534" t="s">
        <v>16231</v>
      </c>
      <c r="H5534" t="s">
        <v>47055</v>
      </c>
      <c r="I5534" t="s">
        <v>47127</v>
      </c>
      <c r="J5534" t="s">
        <v>47128</v>
      </c>
      <c r="K5534" t="s">
        <v>47113</v>
      </c>
      <c r="L5534">
        <v>33.270000000000003</v>
      </c>
      <c r="M5534">
        <v>74</v>
      </c>
      <c r="N5534">
        <v>199</v>
      </c>
      <c r="O5534">
        <v>74</v>
      </c>
      <c r="P5534">
        <v>199</v>
      </c>
    </row>
    <row r="5535" spans="1:16" x14ac:dyDescent="0.25">
      <c r="A5535" t="s">
        <v>47207</v>
      </c>
      <c r="B5535" t="s">
        <v>47208</v>
      </c>
      <c r="C5535" t="s">
        <v>47209</v>
      </c>
      <c r="D5535" t="str">
        <f>"1001"</f>
        <v>1001</v>
      </c>
      <c r="E5535" t="s">
        <v>42</v>
      </c>
      <c r="F5535" t="s">
        <v>47193</v>
      </c>
      <c r="G5535" t="s">
        <v>16235</v>
      </c>
      <c r="H5535" t="s">
        <v>47055</v>
      </c>
      <c r="I5535" t="s">
        <v>47127</v>
      </c>
      <c r="J5535" t="s">
        <v>47128</v>
      </c>
      <c r="K5535" t="s">
        <v>47113</v>
      </c>
      <c r="L5535">
        <v>31.59</v>
      </c>
      <c r="M5535">
        <v>74</v>
      </c>
      <c r="N5535">
        <v>199</v>
      </c>
      <c r="O5535">
        <v>74</v>
      </c>
      <c r="P5535">
        <v>199</v>
      </c>
    </row>
    <row r="5536" spans="1:16" x14ac:dyDescent="0.25">
      <c r="A5536" t="s">
        <v>47210</v>
      </c>
      <c r="B5536" t="s">
        <v>47208</v>
      </c>
      <c r="C5536" t="s">
        <v>47209</v>
      </c>
      <c r="D5536" t="str">
        <f>"2625"</f>
        <v>2625</v>
      </c>
      <c r="E5536" t="s">
        <v>4707</v>
      </c>
      <c r="F5536" t="s">
        <v>47193</v>
      </c>
      <c r="G5536" t="s">
        <v>16235</v>
      </c>
      <c r="H5536" t="s">
        <v>47055</v>
      </c>
      <c r="I5536" t="s">
        <v>47127</v>
      </c>
      <c r="J5536" t="s">
        <v>47128</v>
      </c>
      <c r="K5536" t="s">
        <v>47113</v>
      </c>
      <c r="L5536">
        <v>31.59</v>
      </c>
      <c r="M5536">
        <v>74</v>
      </c>
      <c r="N5536">
        <v>199</v>
      </c>
      <c r="O5536">
        <v>74</v>
      </c>
      <c r="P5536">
        <v>199</v>
      </c>
    </row>
    <row r="5537" spans="1:16" x14ac:dyDescent="0.25">
      <c r="A5537" t="s">
        <v>47211</v>
      </c>
      <c r="B5537" t="s">
        <v>47212</v>
      </c>
      <c r="C5537" t="s">
        <v>2210</v>
      </c>
      <c r="D5537" t="str">
        <f>"1001"</f>
        <v>1001</v>
      </c>
      <c r="E5537" t="s">
        <v>42</v>
      </c>
      <c r="F5537" t="s">
        <v>47193</v>
      </c>
      <c r="G5537" t="s">
        <v>16235</v>
      </c>
      <c r="H5537" t="s">
        <v>47055</v>
      </c>
      <c r="I5537" t="s">
        <v>47127</v>
      </c>
      <c r="J5537" t="s">
        <v>47128</v>
      </c>
      <c r="K5537" t="s">
        <v>47113</v>
      </c>
      <c r="L5537">
        <v>30.52</v>
      </c>
      <c r="M5537">
        <v>70</v>
      </c>
      <c r="N5537">
        <v>189</v>
      </c>
      <c r="O5537">
        <v>70</v>
      </c>
      <c r="P5537">
        <v>189</v>
      </c>
    </row>
    <row r="5538" spans="1:16" x14ac:dyDescent="0.25">
      <c r="A5538" t="s">
        <v>47213</v>
      </c>
      <c r="B5538" t="s">
        <v>47212</v>
      </c>
      <c r="C5538" t="s">
        <v>2210</v>
      </c>
      <c r="D5538" t="str">
        <f>"2639"</f>
        <v>2639</v>
      </c>
      <c r="E5538" t="s">
        <v>47214</v>
      </c>
      <c r="F5538" t="s">
        <v>47193</v>
      </c>
      <c r="G5538" t="s">
        <v>16235</v>
      </c>
      <c r="H5538" t="s">
        <v>47055</v>
      </c>
      <c r="I5538" t="s">
        <v>47127</v>
      </c>
      <c r="J5538" t="s">
        <v>47128</v>
      </c>
      <c r="K5538" t="s">
        <v>47113</v>
      </c>
      <c r="L5538">
        <v>30.52</v>
      </c>
      <c r="M5538">
        <v>66</v>
      </c>
      <c r="N5538">
        <v>179</v>
      </c>
      <c r="O5538">
        <v>66</v>
      </c>
      <c r="P5538">
        <v>179</v>
      </c>
    </row>
    <row r="5539" spans="1:16" x14ac:dyDescent="0.25">
      <c r="A5539" t="s">
        <v>47215</v>
      </c>
      <c r="B5539" t="s">
        <v>47212</v>
      </c>
      <c r="C5539" t="s">
        <v>2210</v>
      </c>
      <c r="D5539" t="str">
        <f>"4000"</f>
        <v>4000</v>
      </c>
      <c r="E5539" t="s">
        <v>2383</v>
      </c>
      <c r="F5539" t="s">
        <v>47193</v>
      </c>
      <c r="G5539" t="s">
        <v>16235</v>
      </c>
      <c r="H5539" t="s">
        <v>47055</v>
      </c>
      <c r="I5539" t="s">
        <v>47127</v>
      </c>
      <c r="J5539" t="s">
        <v>47128</v>
      </c>
      <c r="K5539" t="s">
        <v>47113</v>
      </c>
      <c r="L5539">
        <v>30.52</v>
      </c>
      <c r="M5539">
        <v>70</v>
      </c>
      <c r="N5539">
        <v>189</v>
      </c>
      <c r="O5539">
        <v>70</v>
      </c>
      <c r="P5539">
        <v>189</v>
      </c>
    </row>
    <row r="5540" spans="1:16" x14ac:dyDescent="0.25">
      <c r="A5540" t="s">
        <v>47216</v>
      </c>
      <c r="B5540" t="s">
        <v>47217</v>
      </c>
      <c r="C5540" t="s">
        <v>47218</v>
      </c>
      <c r="D5540" t="str">
        <f>"1001"</f>
        <v>1001</v>
      </c>
      <c r="E5540" t="s">
        <v>42</v>
      </c>
      <c r="F5540" t="s">
        <v>47193</v>
      </c>
      <c r="G5540" t="s">
        <v>16222</v>
      </c>
      <c r="H5540" t="s">
        <v>47055</v>
      </c>
      <c r="I5540" t="s">
        <v>47127</v>
      </c>
      <c r="J5540" t="s">
        <v>47128</v>
      </c>
      <c r="K5540" t="s">
        <v>47113</v>
      </c>
      <c r="L5540">
        <v>26.3</v>
      </c>
      <c r="M5540">
        <v>51</v>
      </c>
      <c r="N5540">
        <v>139</v>
      </c>
      <c r="O5540">
        <v>51</v>
      </c>
      <c r="P5540">
        <v>139</v>
      </c>
    </row>
    <row r="5541" spans="1:16" x14ac:dyDescent="0.25">
      <c r="A5541" t="s">
        <v>47219</v>
      </c>
      <c r="B5541" t="s">
        <v>47217</v>
      </c>
      <c r="C5541" t="s">
        <v>47218</v>
      </c>
      <c r="D5541" t="str">
        <f>"4000"</f>
        <v>4000</v>
      </c>
      <c r="E5541" t="s">
        <v>2383</v>
      </c>
      <c r="F5541" t="s">
        <v>47193</v>
      </c>
      <c r="G5541" t="s">
        <v>16222</v>
      </c>
      <c r="H5541" t="s">
        <v>47055</v>
      </c>
      <c r="I5541" t="s">
        <v>47127</v>
      </c>
      <c r="J5541" t="s">
        <v>47128</v>
      </c>
      <c r="K5541" t="s">
        <v>47113</v>
      </c>
      <c r="L5541">
        <v>26.3</v>
      </c>
      <c r="M5541">
        <v>51</v>
      </c>
      <c r="N5541">
        <v>139</v>
      </c>
      <c r="O5541">
        <v>51</v>
      </c>
      <c r="P5541">
        <v>139</v>
      </c>
    </row>
    <row r="5542" spans="1:16" x14ac:dyDescent="0.25">
      <c r="A5542" t="s">
        <v>47220</v>
      </c>
      <c r="B5542" t="s">
        <v>47221</v>
      </c>
      <c r="C5542" t="s">
        <v>47222</v>
      </c>
      <c r="D5542" t="str">
        <f>"1001"</f>
        <v>1001</v>
      </c>
      <c r="E5542" t="s">
        <v>42</v>
      </c>
      <c r="F5542" t="s">
        <v>47193</v>
      </c>
      <c r="G5542" t="s">
        <v>16235</v>
      </c>
      <c r="H5542" t="s">
        <v>47055</v>
      </c>
      <c r="I5542" t="s">
        <v>47127</v>
      </c>
      <c r="J5542" t="s">
        <v>47128</v>
      </c>
      <c r="K5542" t="s">
        <v>47113</v>
      </c>
      <c r="L5542">
        <v>30.52</v>
      </c>
      <c r="M5542">
        <v>70</v>
      </c>
      <c r="N5542">
        <v>189</v>
      </c>
      <c r="O5542">
        <v>70</v>
      </c>
      <c r="P5542">
        <v>189</v>
      </c>
    </row>
    <row r="5543" spans="1:16" x14ac:dyDescent="0.25">
      <c r="A5543" t="s">
        <v>47223</v>
      </c>
      <c r="B5543" t="s">
        <v>47221</v>
      </c>
      <c r="C5543" t="s">
        <v>47222</v>
      </c>
      <c r="D5543" t="str">
        <f>"2639"</f>
        <v>2639</v>
      </c>
      <c r="E5543" t="s">
        <v>47214</v>
      </c>
      <c r="F5543" t="s">
        <v>47193</v>
      </c>
      <c r="G5543" t="s">
        <v>16235</v>
      </c>
      <c r="H5543" t="s">
        <v>47055</v>
      </c>
      <c r="I5543" t="s">
        <v>47127</v>
      </c>
      <c r="J5543" t="s">
        <v>47128</v>
      </c>
      <c r="K5543" t="s">
        <v>47113</v>
      </c>
      <c r="L5543">
        <v>30.52</v>
      </c>
      <c r="M5543">
        <v>74</v>
      </c>
      <c r="N5543">
        <v>199</v>
      </c>
      <c r="O5543">
        <v>74</v>
      </c>
      <c r="P5543">
        <v>199</v>
      </c>
    </row>
    <row r="5544" spans="1:16" x14ac:dyDescent="0.25">
      <c r="A5544" t="s">
        <v>47224</v>
      </c>
      <c r="B5544" t="s">
        <v>47225</v>
      </c>
      <c r="C5544" t="s">
        <v>47226</v>
      </c>
      <c r="D5544" t="str">
        <f>"1001"</f>
        <v>1001</v>
      </c>
      <c r="E5544" t="s">
        <v>42</v>
      </c>
      <c r="F5544" t="s">
        <v>47193</v>
      </c>
      <c r="G5544" t="s">
        <v>16222</v>
      </c>
      <c r="H5544" t="s">
        <v>47055</v>
      </c>
      <c r="I5544" t="s">
        <v>47127</v>
      </c>
      <c r="J5544" t="s">
        <v>47128</v>
      </c>
      <c r="K5544" t="s">
        <v>47113</v>
      </c>
      <c r="L5544">
        <v>25.88</v>
      </c>
      <c r="M5544">
        <v>59</v>
      </c>
      <c r="N5544">
        <v>159</v>
      </c>
      <c r="O5544">
        <v>59</v>
      </c>
      <c r="P5544">
        <v>159</v>
      </c>
    </row>
    <row r="5545" spans="1:16" x14ac:dyDescent="0.25">
      <c r="A5545" t="s">
        <v>47227</v>
      </c>
      <c r="B5545" t="s">
        <v>47225</v>
      </c>
      <c r="C5545" t="s">
        <v>47226</v>
      </c>
      <c r="D5545" t="str">
        <f>"4000"</f>
        <v>4000</v>
      </c>
      <c r="E5545" t="s">
        <v>2383</v>
      </c>
      <c r="F5545" t="s">
        <v>47193</v>
      </c>
      <c r="G5545" t="s">
        <v>16222</v>
      </c>
      <c r="H5545" t="s">
        <v>47055</v>
      </c>
      <c r="I5545" t="s">
        <v>47127</v>
      </c>
      <c r="J5545" t="s">
        <v>47128</v>
      </c>
      <c r="K5545" t="s">
        <v>47113</v>
      </c>
      <c r="L5545">
        <v>25.88</v>
      </c>
      <c r="M5545">
        <v>59</v>
      </c>
      <c r="N5545">
        <v>159</v>
      </c>
      <c r="O5545">
        <v>59</v>
      </c>
      <c r="P5545">
        <v>159</v>
      </c>
    </row>
    <row r="5546" spans="1:16" x14ac:dyDescent="0.25">
      <c r="A5546" t="s">
        <v>47228</v>
      </c>
      <c r="B5546" t="s">
        <v>47229</v>
      </c>
      <c r="C5546" t="s">
        <v>47230</v>
      </c>
      <c r="D5546" t="str">
        <f>"3106"</f>
        <v>3106</v>
      </c>
      <c r="E5546" t="s">
        <v>3758</v>
      </c>
      <c r="F5546" t="s">
        <v>47193</v>
      </c>
      <c r="G5546" t="s">
        <v>46686</v>
      </c>
      <c r="H5546" t="s">
        <v>47055</v>
      </c>
      <c r="I5546" t="s">
        <v>47127</v>
      </c>
      <c r="J5546" t="s">
        <v>47128</v>
      </c>
      <c r="K5546" t="s">
        <v>47113</v>
      </c>
      <c r="L5546">
        <v>21.66</v>
      </c>
      <c r="M5546">
        <v>51</v>
      </c>
      <c r="N5546">
        <v>139</v>
      </c>
      <c r="O5546">
        <v>51</v>
      </c>
      <c r="P5546">
        <v>139</v>
      </c>
    </row>
    <row r="5547" spans="1:16" x14ac:dyDescent="0.25">
      <c r="A5547" t="s">
        <v>47231</v>
      </c>
      <c r="B5547" t="s">
        <v>47229</v>
      </c>
      <c r="C5547" t="s">
        <v>47230</v>
      </c>
      <c r="D5547" t="str">
        <f>"4269"</f>
        <v>4269</v>
      </c>
      <c r="E5547" t="s">
        <v>7493</v>
      </c>
      <c r="F5547" t="s">
        <v>47193</v>
      </c>
      <c r="G5547" t="s">
        <v>46686</v>
      </c>
      <c r="H5547" t="s">
        <v>47055</v>
      </c>
      <c r="I5547" t="s">
        <v>47127</v>
      </c>
      <c r="J5547" t="s">
        <v>47128</v>
      </c>
      <c r="K5547" t="s">
        <v>47113</v>
      </c>
      <c r="L5547">
        <v>21.66</v>
      </c>
      <c r="M5547">
        <v>51</v>
      </c>
      <c r="N5547">
        <v>139</v>
      </c>
      <c r="O5547">
        <v>51</v>
      </c>
      <c r="P5547">
        <v>139</v>
      </c>
    </row>
    <row r="5548" spans="1:16" x14ac:dyDescent="0.25">
      <c r="A5548" t="s">
        <v>47232</v>
      </c>
      <c r="B5548" t="s">
        <v>47233</v>
      </c>
      <c r="C5548" t="s">
        <v>47234</v>
      </c>
      <c r="D5548" t="str">
        <f>"3106"</f>
        <v>3106</v>
      </c>
      <c r="E5548" t="s">
        <v>3758</v>
      </c>
      <c r="F5548" t="s">
        <v>47193</v>
      </c>
      <c r="G5548" t="s">
        <v>16222</v>
      </c>
      <c r="H5548" t="s">
        <v>47055</v>
      </c>
      <c r="I5548" t="s">
        <v>47127</v>
      </c>
      <c r="J5548" t="s">
        <v>47128</v>
      </c>
      <c r="K5548" t="s">
        <v>47113</v>
      </c>
      <c r="L5548">
        <v>23.24</v>
      </c>
      <c r="M5548">
        <v>48</v>
      </c>
      <c r="N5548">
        <v>129</v>
      </c>
      <c r="O5548">
        <v>48</v>
      </c>
      <c r="P5548">
        <v>129</v>
      </c>
    </row>
    <row r="5549" spans="1:16" x14ac:dyDescent="0.25">
      <c r="A5549" t="s">
        <v>47235</v>
      </c>
      <c r="B5549" t="s">
        <v>47233</v>
      </c>
      <c r="C5549" t="s">
        <v>47234</v>
      </c>
      <c r="D5549" t="str">
        <f>"4269"</f>
        <v>4269</v>
      </c>
      <c r="E5549" t="s">
        <v>7493</v>
      </c>
      <c r="F5549" t="s">
        <v>47193</v>
      </c>
      <c r="G5549" t="s">
        <v>16222</v>
      </c>
      <c r="H5549" t="s">
        <v>47055</v>
      </c>
      <c r="I5549" t="s">
        <v>47127</v>
      </c>
      <c r="J5549" t="s">
        <v>47128</v>
      </c>
      <c r="K5549" t="s">
        <v>47113</v>
      </c>
      <c r="L5549">
        <v>23.24</v>
      </c>
      <c r="M5549">
        <v>48</v>
      </c>
      <c r="N5549">
        <v>129</v>
      </c>
      <c r="O5549">
        <v>48</v>
      </c>
      <c r="P5549">
        <v>129</v>
      </c>
    </row>
    <row r="5550" spans="1:16" x14ac:dyDescent="0.25">
      <c r="A5550" t="s">
        <v>47236</v>
      </c>
      <c r="B5550" t="s">
        <v>47237</v>
      </c>
      <c r="C5550" t="s">
        <v>47238</v>
      </c>
      <c r="D5550" t="str">
        <f>"1001"</f>
        <v>1001</v>
      </c>
      <c r="E5550" t="s">
        <v>42</v>
      </c>
      <c r="F5550" t="s">
        <v>47193</v>
      </c>
      <c r="G5550" t="s">
        <v>16235</v>
      </c>
      <c r="H5550" t="s">
        <v>47055</v>
      </c>
      <c r="I5550" t="s">
        <v>47127</v>
      </c>
      <c r="J5550" t="s">
        <v>47128</v>
      </c>
      <c r="K5550" t="s">
        <v>47113</v>
      </c>
      <c r="L5550">
        <v>36.869999999999997</v>
      </c>
      <c r="M5550">
        <v>74</v>
      </c>
      <c r="N5550">
        <v>199</v>
      </c>
      <c r="O5550">
        <v>74</v>
      </c>
      <c r="P5550">
        <v>199</v>
      </c>
    </row>
    <row r="5551" spans="1:16" x14ac:dyDescent="0.25">
      <c r="A5551" t="s">
        <v>47239</v>
      </c>
      <c r="B5551" t="s">
        <v>47240</v>
      </c>
      <c r="C5551" t="s">
        <v>47241</v>
      </c>
      <c r="D5551" t="str">
        <f>"4000"</f>
        <v>4000</v>
      </c>
      <c r="E5551" t="s">
        <v>2383</v>
      </c>
      <c r="F5551" t="s">
        <v>47193</v>
      </c>
      <c r="G5551" t="s">
        <v>46686</v>
      </c>
      <c r="H5551" t="s">
        <v>47055</v>
      </c>
      <c r="I5551" t="s">
        <v>47127</v>
      </c>
      <c r="J5551" t="s">
        <v>47128</v>
      </c>
      <c r="K5551" t="s">
        <v>47113</v>
      </c>
      <c r="L5551">
        <v>21.66</v>
      </c>
      <c r="M5551">
        <v>48</v>
      </c>
      <c r="N5551">
        <v>129</v>
      </c>
      <c r="O5551">
        <v>48</v>
      </c>
      <c r="P5551">
        <v>129</v>
      </c>
    </row>
    <row r="5552" spans="1:16" x14ac:dyDescent="0.25">
      <c r="A5552" t="s">
        <v>47242</v>
      </c>
      <c r="B5552" t="s">
        <v>47243</v>
      </c>
      <c r="C5552" t="s">
        <v>47244</v>
      </c>
      <c r="D5552" t="str">
        <f>"1001"</f>
        <v>1001</v>
      </c>
      <c r="E5552" t="s">
        <v>42</v>
      </c>
      <c r="F5552" t="s">
        <v>47193</v>
      </c>
      <c r="G5552" t="s">
        <v>16235</v>
      </c>
      <c r="H5552" t="s">
        <v>47055</v>
      </c>
      <c r="I5552" t="s">
        <v>47127</v>
      </c>
      <c r="J5552" t="s">
        <v>47128</v>
      </c>
      <c r="K5552" t="s">
        <v>47113</v>
      </c>
      <c r="L5552">
        <v>30.52</v>
      </c>
      <c r="M5552">
        <v>70</v>
      </c>
      <c r="N5552">
        <v>189</v>
      </c>
      <c r="O5552">
        <v>70</v>
      </c>
      <c r="P5552">
        <v>189</v>
      </c>
    </row>
    <row r="5553" spans="1:16" x14ac:dyDescent="0.25">
      <c r="A5553" t="s">
        <v>47245</v>
      </c>
      <c r="B5553" t="s">
        <v>47246</v>
      </c>
      <c r="C5553" t="s">
        <v>47247</v>
      </c>
      <c r="D5553" t="str">
        <f>"1258"</f>
        <v>1258</v>
      </c>
      <c r="E5553" t="s">
        <v>2152</v>
      </c>
      <c r="F5553" t="s">
        <v>47193</v>
      </c>
      <c r="G5553" t="s">
        <v>16222</v>
      </c>
      <c r="H5553" t="s">
        <v>47055</v>
      </c>
      <c r="I5553" t="s">
        <v>47127</v>
      </c>
      <c r="J5553" t="s">
        <v>47128</v>
      </c>
      <c r="K5553" t="s">
        <v>47113</v>
      </c>
      <c r="L5553">
        <v>18.25</v>
      </c>
      <c r="M5553">
        <v>44</v>
      </c>
      <c r="N5553">
        <v>119</v>
      </c>
      <c r="O5553">
        <v>44</v>
      </c>
      <c r="P5553">
        <v>119</v>
      </c>
    </row>
    <row r="5554" spans="1:16" x14ac:dyDescent="0.25">
      <c r="A5554" t="s">
        <v>47248</v>
      </c>
      <c r="B5554" t="s">
        <v>47246</v>
      </c>
      <c r="C5554" t="s">
        <v>47247</v>
      </c>
      <c r="D5554" t="str">
        <f>"4142"</f>
        <v>4142</v>
      </c>
      <c r="E5554" t="s">
        <v>27782</v>
      </c>
      <c r="F5554" t="s">
        <v>47193</v>
      </c>
      <c r="G5554" t="s">
        <v>16222</v>
      </c>
      <c r="H5554" t="s">
        <v>47055</v>
      </c>
      <c r="I5554" t="s">
        <v>47127</v>
      </c>
      <c r="J5554" t="s">
        <v>47128</v>
      </c>
      <c r="K5554" t="s">
        <v>47113</v>
      </c>
      <c r="L5554">
        <v>18.25</v>
      </c>
      <c r="M5554">
        <v>44</v>
      </c>
      <c r="N5554">
        <v>119</v>
      </c>
      <c r="O5554">
        <v>44</v>
      </c>
      <c r="P5554">
        <v>119</v>
      </c>
    </row>
    <row r="5555" spans="1:16" x14ac:dyDescent="0.25">
      <c r="A5555" t="s">
        <v>47249</v>
      </c>
      <c r="B5555" t="s">
        <v>47250</v>
      </c>
      <c r="C5555" t="s">
        <v>47251</v>
      </c>
      <c r="D5555" t="str">
        <f>"1001"</f>
        <v>1001</v>
      </c>
      <c r="E5555" t="s">
        <v>42</v>
      </c>
      <c r="F5555" t="s">
        <v>47193</v>
      </c>
      <c r="G5555" t="s">
        <v>16222</v>
      </c>
      <c r="H5555" t="s">
        <v>47055</v>
      </c>
      <c r="I5555" t="s">
        <v>47127</v>
      </c>
      <c r="J5555" t="s">
        <v>47128</v>
      </c>
      <c r="K5555" t="s">
        <v>47113</v>
      </c>
      <c r="L5555">
        <v>19.32</v>
      </c>
      <c r="M5555">
        <v>48</v>
      </c>
      <c r="N5555">
        <v>129</v>
      </c>
      <c r="O5555">
        <v>48</v>
      </c>
      <c r="P5555">
        <v>129</v>
      </c>
    </row>
    <row r="5556" spans="1:16" x14ac:dyDescent="0.25">
      <c r="A5556" t="s">
        <v>47252</v>
      </c>
      <c r="B5556" t="s">
        <v>47250</v>
      </c>
      <c r="C5556" t="s">
        <v>47251</v>
      </c>
      <c r="D5556" t="str">
        <f>"1278"</f>
        <v>1278</v>
      </c>
      <c r="E5556" t="s">
        <v>100</v>
      </c>
      <c r="F5556" t="s">
        <v>47193</v>
      </c>
      <c r="G5556" t="s">
        <v>16222</v>
      </c>
      <c r="H5556" t="s">
        <v>47055</v>
      </c>
      <c r="I5556" t="s">
        <v>47127</v>
      </c>
      <c r="J5556" t="s">
        <v>47128</v>
      </c>
      <c r="K5556" t="s">
        <v>47113</v>
      </c>
      <c r="L5556">
        <v>19.32</v>
      </c>
      <c r="M5556">
        <v>48</v>
      </c>
      <c r="N5556">
        <v>129</v>
      </c>
      <c r="O5556">
        <v>48</v>
      </c>
      <c r="P5556">
        <v>129</v>
      </c>
    </row>
    <row r="5557" spans="1:16" x14ac:dyDescent="0.25">
      <c r="A5557" t="s">
        <v>47253</v>
      </c>
      <c r="B5557" t="s">
        <v>47250</v>
      </c>
      <c r="C5557" t="s">
        <v>47251</v>
      </c>
      <c r="D5557" t="str">
        <f>"2625"</f>
        <v>2625</v>
      </c>
      <c r="E5557" t="s">
        <v>4707</v>
      </c>
      <c r="F5557" t="s">
        <v>47193</v>
      </c>
      <c r="G5557" t="s">
        <v>16222</v>
      </c>
      <c r="H5557" t="s">
        <v>47055</v>
      </c>
      <c r="I5557" t="s">
        <v>47127</v>
      </c>
      <c r="J5557" t="s">
        <v>47128</v>
      </c>
      <c r="K5557" t="s">
        <v>47113</v>
      </c>
      <c r="L5557">
        <v>19.32</v>
      </c>
      <c r="M5557">
        <v>48</v>
      </c>
      <c r="N5557">
        <v>129</v>
      </c>
      <c r="O5557">
        <v>48</v>
      </c>
      <c r="P5557">
        <v>129</v>
      </c>
    </row>
    <row r="5558" spans="1:16" x14ac:dyDescent="0.25">
      <c r="A5558" t="s">
        <v>47254</v>
      </c>
      <c r="B5558" t="s">
        <v>47250</v>
      </c>
      <c r="C5558" t="s">
        <v>47251</v>
      </c>
      <c r="D5558" t="str">
        <f>"4000"</f>
        <v>4000</v>
      </c>
      <c r="E5558" t="s">
        <v>2383</v>
      </c>
      <c r="F5558" t="s">
        <v>47193</v>
      </c>
      <c r="G5558" t="s">
        <v>16222</v>
      </c>
      <c r="H5558" t="s">
        <v>47055</v>
      </c>
      <c r="I5558" t="s">
        <v>47127</v>
      </c>
      <c r="J5558" t="s">
        <v>47128</v>
      </c>
      <c r="K5558" t="s">
        <v>47113</v>
      </c>
      <c r="L5558">
        <v>19.32</v>
      </c>
      <c r="M5558">
        <v>48</v>
      </c>
      <c r="N5558">
        <v>129</v>
      </c>
      <c r="O5558">
        <v>48</v>
      </c>
      <c r="P5558">
        <v>129</v>
      </c>
    </row>
    <row r="5559" spans="1:16" x14ac:dyDescent="0.25">
      <c r="A5559" t="s">
        <v>47255</v>
      </c>
      <c r="B5559" t="s">
        <v>47256</v>
      </c>
      <c r="C5559" t="s">
        <v>3987</v>
      </c>
      <c r="D5559" t="str">
        <f>"3518"</f>
        <v>3518</v>
      </c>
      <c r="E5559" t="s">
        <v>47257</v>
      </c>
      <c r="F5559" t="s">
        <v>47193</v>
      </c>
      <c r="G5559" t="s">
        <v>16448</v>
      </c>
      <c r="H5559" t="s">
        <v>47055</v>
      </c>
      <c r="I5559" t="s">
        <v>47120</v>
      </c>
      <c r="J5559" t="s">
        <v>47121</v>
      </c>
      <c r="K5559" t="s">
        <v>47113</v>
      </c>
      <c r="L5559">
        <v>46.87</v>
      </c>
      <c r="M5559">
        <v>111</v>
      </c>
      <c r="N5559">
        <v>299</v>
      </c>
      <c r="O5559">
        <v>111</v>
      </c>
      <c r="P5559">
        <v>299</v>
      </c>
    </row>
    <row r="5560" spans="1:16" x14ac:dyDescent="0.25">
      <c r="A5560" t="s">
        <v>47258</v>
      </c>
      <c r="B5560" t="s">
        <v>47259</v>
      </c>
      <c r="C5560" t="s">
        <v>10466</v>
      </c>
      <c r="D5560" t="str">
        <f>"3122"</f>
        <v>3122</v>
      </c>
      <c r="E5560" t="s">
        <v>47260</v>
      </c>
      <c r="F5560" t="s">
        <v>47193</v>
      </c>
      <c r="G5560" t="s">
        <v>16448</v>
      </c>
      <c r="H5560" t="s">
        <v>47055</v>
      </c>
      <c r="I5560" t="s">
        <v>47120</v>
      </c>
      <c r="J5560" t="s">
        <v>47121</v>
      </c>
      <c r="K5560" t="s">
        <v>47113</v>
      </c>
      <c r="L5560">
        <v>53.28</v>
      </c>
      <c r="M5560">
        <v>111</v>
      </c>
      <c r="N5560">
        <v>299</v>
      </c>
      <c r="O5560">
        <v>111</v>
      </c>
      <c r="P5560">
        <v>299</v>
      </c>
    </row>
    <row r="5561" spans="1:16" x14ac:dyDescent="0.25">
      <c r="A5561" t="s">
        <v>47261</v>
      </c>
      <c r="B5561" t="s">
        <v>47259</v>
      </c>
      <c r="C5561" t="s">
        <v>10466</v>
      </c>
      <c r="D5561" t="str">
        <f>"4926"</f>
        <v>4926</v>
      </c>
      <c r="E5561" t="s">
        <v>4088</v>
      </c>
      <c r="F5561" t="s">
        <v>47193</v>
      </c>
      <c r="G5561" t="s">
        <v>16448</v>
      </c>
      <c r="H5561" t="s">
        <v>47055</v>
      </c>
      <c r="I5561" t="s">
        <v>47120</v>
      </c>
      <c r="J5561" t="s">
        <v>47121</v>
      </c>
      <c r="K5561" t="s">
        <v>47113</v>
      </c>
      <c r="L5561">
        <v>53.28</v>
      </c>
      <c r="M5561">
        <v>111</v>
      </c>
      <c r="N5561">
        <v>299</v>
      </c>
      <c r="O5561">
        <v>111</v>
      </c>
      <c r="P5561">
        <v>299</v>
      </c>
    </row>
    <row r="5562" spans="1:16" x14ac:dyDescent="0.25">
      <c r="A5562" t="s">
        <v>47262</v>
      </c>
      <c r="B5562" t="s">
        <v>47263</v>
      </c>
      <c r="C5562" t="s">
        <v>47264</v>
      </c>
      <c r="D5562" t="str">
        <f>"1106"</f>
        <v>1106</v>
      </c>
      <c r="E5562" t="s">
        <v>460</v>
      </c>
      <c r="F5562" t="s">
        <v>47193</v>
      </c>
      <c r="G5562" t="s">
        <v>16448</v>
      </c>
      <c r="H5562" t="s">
        <v>47055</v>
      </c>
      <c r="I5562" t="s">
        <v>47120</v>
      </c>
      <c r="J5562" t="s">
        <v>47121</v>
      </c>
      <c r="K5562" t="s">
        <v>47113</v>
      </c>
      <c r="L5562">
        <v>63.16</v>
      </c>
      <c r="M5562">
        <v>140</v>
      </c>
      <c r="N5562">
        <v>379</v>
      </c>
      <c r="O5562">
        <v>140</v>
      </c>
      <c r="P5562">
        <v>379</v>
      </c>
    </row>
    <row r="5563" spans="1:16" x14ac:dyDescent="0.25">
      <c r="A5563" t="s">
        <v>47265</v>
      </c>
      <c r="B5563" t="s">
        <v>47263</v>
      </c>
      <c r="C5563" t="s">
        <v>47264</v>
      </c>
      <c r="D5563" t="str">
        <f>"1378"</f>
        <v>1378</v>
      </c>
      <c r="E5563" t="s">
        <v>388</v>
      </c>
      <c r="F5563" t="s">
        <v>47193</v>
      </c>
      <c r="G5563" t="s">
        <v>16448</v>
      </c>
      <c r="H5563" t="s">
        <v>47055</v>
      </c>
      <c r="I5563" t="s">
        <v>47120</v>
      </c>
      <c r="J5563" t="s">
        <v>47121</v>
      </c>
      <c r="K5563" t="s">
        <v>47113</v>
      </c>
      <c r="L5563">
        <v>63.16</v>
      </c>
      <c r="M5563">
        <v>140</v>
      </c>
      <c r="N5563">
        <v>379</v>
      </c>
      <c r="O5563">
        <v>140</v>
      </c>
      <c r="P5563">
        <v>379</v>
      </c>
    </row>
    <row r="5564" spans="1:16" x14ac:dyDescent="0.25">
      <c r="A5564" t="s">
        <v>47266</v>
      </c>
      <c r="B5564" t="s">
        <v>47267</v>
      </c>
      <c r="C5564" t="s">
        <v>47268</v>
      </c>
      <c r="D5564" t="str">
        <f>"1106"</f>
        <v>1106</v>
      </c>
      <c r="E5564" t="s">
        <v>460</v>
      </c>
      <c r="F5564" t="s">
        <v>47193</v>
      </c>
      <c r="G5564" t="s">
        <v>16448</v>
      </c>
      <c r="H5564" t="s">
        <v>47055</v>
      </c>
      <c r="I5564" t="s">
        <v>47120</v>
      </c>
      <c r="J5564" t="s">
        <v>47121</v>
      </c>
      <c r="K5564" t="s">
        <v>47113</v>
      </c>
      <c r="L5564">
        <v>70.06</v>
      </c>
      <c r="M5564">
        <v>159</v>
      </c>
      <c r="N5564">
        <v>429</v>
      </c>
      <c r="O5564">
        <v>159</v>
      </c>
      <c r="P5564">
        <v>429</v>
      </c>
    </row>
    <row r="5565" spans="1:16" x14ac:dyDescent="0.25">
      <c r="A5565" t="s">
        <v>47269</v>
      </c>
      <c r="B5565" t="s">
        <v>47267</v>
      </c>
      <c r="C5565" t="s">
        <v>47268</v>
      </c>
      <c r="D5565" t="str">
        <f>"3071"</f>
        <v>3071</v>
      </c>
      <c r="E5565" t="s">
        <v>4767</v>
      </c>
      <c r="F5565" t="s">
        <v>47193</v>
      </c>
      <c r="G5565" t="s">
        <v>16448</v>
      </c>
      <c r="H5565" t="s">
        <v>47055</v>
      </c>
      <c r="I5565" t="s">
        <v>47120</v>
      </c>
      <c r="J5565" t="s">
        <v>47121</v>
      </c>
      <c r="K5565" t="s">
        <v>47113</v>
      </c>
      <c r="L5565">
        <v>70.06</v>
      </c>
      <c r="M5565">
        <v>159</v>
      </c>
      <c r="N5565">
        <v>429</v>
      </c>
      <c r="O5565">
        <v>159</v>
      </c>
      <c r="P5565">
        <v>429</v>
      </c>
    </row>
    <row r="5566" spans="1:16" x14ac:dyDescent="0.25">
      <c r="A5566" t="s">
        <v>47270</v>
      </c>
      <c r="B5566" t="s">
        <v>47271</v>
      </c>
      <c r="C5566" t="s">
        <v>47272</v>
      </c>
      <c r="D5566" t="str">
        <f>"3122"</f>
        <v>3122</v>
      </c>
      <c r="E5566" t="s">
        <v>47260</v>
      </c>
      <c r="F5566" t="s">
        <v>47193</v>
      </c>
      <c r="G5566" t="s">
        <v>16448</v>
      </c>
      <c r="H5566" t="s">
        <v>47055</v>
      </c>
      <c r="I5566" t="s">
        <v>47120</v>
      </c>
      <c r="J5566" t="s">
        <v>47121</v>
      </c>
      <c r="K5566" t="s">
        <v>47113</v>
      </c>
      <c r="L5566">
        <v>47.37</v>
      </c>
      <c r="M5566">
        <v>111</v>
      </c>
      <c r="N5566">
        <v>299</v>
      </c>
      <c r="O5566">
        <v>111</v>
      </c>
      <c r="P5566">
        <v>299</v>
      </c>
    </row>
    <row r="5567" spans="1:16" x14ac:dyDescent="0.25">
      <c r="A5567" t="s">
        <v>47273</v>
      </c>
      <c r="B5567" t="s">
        <v>47271</v>
      </c>
      <c r="C5567" t="s">
        <v>47272</v>
      </c>
      <c r="D5567" t="str">
        <f>"4935"</f>
        <v>4935</v>
      </c>
      <c r="E5567" t="s">
        <v>47274</v>
      </c>
      <c r="F5567" t="s">
        <v>47193</v>
      </c>
      <c r="G5567" t="s">
        <v>16448</v>
      </c>
      <c r="H5567" t="s">
        <v>47055</v>
      </c>
      <c r="I5567" t="s">
        <v>47120</v>
      </c>
      <c r="J5567" t="s">
        <v>47121</v>
      </c>
      <c r="K5567" t="s">
        <v>47113</v>
      </c>
      <c r="L5567">
        <v>47.37</v>
      </c>
      <c r="M5567">
        <v>111</v>
      </c>
      <c r="N5567">
        <v>299</v>
      </c>
      <c r="O5567">
        <v>111</v>
      </c>
      <c r="P5567">
        <v>299</v>
      </c>
    </row>
    <row r="5568" spans="1:16" x14ac:dyDescent="0.25">
      <c r="A5568" t="s">
        <v>47275</v>
      </c>
      <c r="B5568" t="s">
        <v>47276</v>
      </c>
      <c r="C5568" t="s">
        <v>47277</v>
      </c>
      <c r="D5568" t="str">
        <f>"3547"</f>
        <v>3547</v>
      </c>
      <c r="E5568" t="s">
        <v>47274</v>
      </c>
      <c r="F5568" t="s">
        <v>47193</v>
      </c>
      <c r="G5568" t="s">
        <v>16448</v>
      </c>
      <c r="H5568" t="s">
        <v>47055</v>
      </c>
      <c r="I5568" t="s">
        <v>47120</v>
      </c>
      <c r="J5568" t="s">
        <v>47121</v>
      </c>
      <c r="K5568" t="s">
        <v>47113</v>
      </c>
      <c r="L5568">
        <v>48.35</v>
      </c>
      <c r="M5568">
        <v>111</v>
      </c>
      <c r="N5568">
        <v>299</v>
      </c>
      <c r="O5568">
        <v>111</v>
      </c>
      <c r="P5568">
        <v>299</v>
      </c>
    </row>
    <row r="5569" spans="1:16" x14ac:dyDescent="0.25">
      <c r="A5569" t="s">
        <v>47278</v>
      </c>
      <c r="B5569" t="s">
        <v>47279</v>
      </c>
      <c r="C5569" t="s">
        <v>47280</v>
      </c>
      <c r="D5569" t="str">
        <f>"3518"</f>
        <v>3518</v>
      </c>
      <c r="E5569" t="s">
        <v>47257</v>
      </c>
      <c r="F5569" t="s">
        <v>47193</v>
      </c>
      <c r="G5569" t="s">
        <v>16448</v>
      </c>
      <c r="H5569" t="s">
        <v>47055</v>
      </c>
      <c r="I5569" t="s">
        <v>47120</v>
      </c>
      <c r="J5569" t="s">
        <v>47121</v>
      </c>
      <c r="K5569" t="s">
        <v>47113</v>
      </c>
      <c r="L5569">
        <v>53.28</v>
      </c>
      <c r="M5569">
        <v>111</v>
      </c>
      <c r="N5569">
        <v>299</v>
      </c>
      <c r="O5569">
        <v>111</v>
      </c>
      <c r="P5569">
        <v>299</v>
      </c>
    </row>
    <row r="5570" spans="1:16" x14ac:dyDescent="0.25">
      <c r="A5570" t="s">
        <v>47281</v>
      </c>
      <c r="B5570" t="s">
        <v>47279</v>
      </c>
      <c r="C5570" t="s">
        <v>47280</v>
      </c>
      <c r="D5570" t="str">
        <f>"4926"</f>
        <v>4926</v>
      </c>
      <c r="E5570" t="s">
        <v>4088</v>
      </c>
      <c r="F5570" t="s">
        <v>47193</v>
      </c>
      <c r="G5570" t="s">
        <v>16448</v>
      </c>
      <c r="H5570" t="s">
        <v>47055</v>
      </c>
      <c r="I5570" t="s">
        <v>47120</v>
      </c>
      <c r="J5570" t="s">
        <v>47121</v>
      </c>
      <c r="K5570" t="s">
        <v>47113</v>
      </c>
      <c r="L5570">
        <v>53.28</v>
      </c>
      <c r="M5570">
        <v>111</v>
      </c>
      <c r="N5570">
        <v>299</v>
      </c>
      <c r="O5570">
        <v>111</v>
      </c>
      <c r="P5570">
        <v>299</v>
      </c>
    </row>
    <row r="5571" spans="1:16" x14ac:dyDescent="0.25">
      <c r="A5571" t="s">
        <v>47282</v>
      </c>
      <c r="B5571" t="s">
        <v>47283</v>
      </c>
      <c r="C5571" t="s">
        <v>47284</v>
      </c>
      <c r="D5571" t="str">
        <f>"3547"</f>
        <v>3547</v>
      </c>
      <c r="E5571" t="s">
        <v>47274</v>
      </c>
      <c r="F5571" t="s">
        <v>47193</v>
      </c>
      <c r="G5571" t="s">
        <v>16448</v>
      </c>
      <c r="H5571" t="s">
        <v>47055</v>
      </c>
      <c r="I5571" t="s">
        <v>47120</v>
      </c>
      <c r="J5571" t="s">
        <v>47121</v>
      </c>
      <c r="K5571" t="s">
        <v>47113</v>
      </c>
      <c r="L5571">
        <v>75</v>
      </c>
      <c r="M5571">
        <v>166</v>
      </c>
      <c r="N5571">
        <v>449</v>
      </c>
      <c r="O5571">
        <v>166</v>
      </c>
      <c r="P5571">
        <v>449</v>
      </c>
    </row>
    <row r="5572" spans="1:16" x14ac:dyDescent="0.25">
      <c r="A5572" t="s">
        <v>47285</v>
      </c>
      <c r="B5572" t="s">
        <v>47286</v>
      </c>
      <c r="C5572" t="s">
        <v>47287</v>
      </c>
      <c r="D5572" t="str">
        <f>"3122"</f>
        <v>3122</v>
      </c>
      <c r="E5572" t="s">
        <v>47260</v>
      </c>
      <c r="F5572" t="s">
        <v>47193</v>
      </c>
      <c r="G5572" t="s">
        <v>16448</v>
      </c>
      <c r="H5572" t="s">
        <v>47055</v>
      </c>
      <c r="I5572" t="s">
        <v>47120</v>
      </c>
      <c r="J5572" t="s">
        <v>47121</v>
      </c>
      <c r="K5572" t="s">
        <v>47113</v>
      </c>
      <c r="L5572">
        <v>74.010000000000005</v>
      </c>
      <c r="M5572">
        <v>174</v>
      </c>
      <c r="N5572">
        <v>469</v>
      </c>
      <c r="O5572">
        <v>174</v>
      </c>
      <c r="P5572">
        <v>469</v>
      </c>
    </row>
    <row r="5573" spans="1:16" x14ac:dyDescent="0.25">
      <c r="A5573" t="s">
        <v>47288</v>
      </c>
      <c r="B5573" t="s">
        <v>47286</v>
      </c>
      <c r="C5573" t="s">
        <v>47287</v>
      </c>
      <c r="D5573" t="str">
        <f>"4926"</f>
        <v>4926</v>
      </c>
      <c r="E5573" t="s">
        <v>4088</v>
      </c>
      <c r="F5573" t="s">
        <v>47193</v>
      </c>
      <c r="G5573" t="s">
        <v>16448</v>
      </c>
      <c r="H5573" t="s">
        <v>47055</v>
      </c>
      <c r="I5573" t="s">
        <v>47120</v>
      </c>
      <c r="J5573" t="s">
        <v>47121</v>
      </c>
      <c r="K5573" t="s">
        <v>47113</v>
      </c>
      <c r="L5573">
        <v>74.010000000000005</v>
      </c>
      <c r="M5573">
        <v>174</v>
      </c>
      <c r="N5573">
        <v>469</v>
      </c>
      <c r="O5573">
        <v>174</v>
      </c>
      <c r="P5573">
        <v>469</v>
      </c>
    </row>
    <row r="5574" spans="1:16" x14ac:dyDescent="0.25">
      <c r="A5574" t="s">
        <v>47289</v>
      </c>
      <c r="B5574" t="s">
        <v>47290</v>
      </c>
      <c r="C5574" t="s">
        <v>47291</v>
      </c>
      <c r="D5574" t="str">
        <f>"1377"</f>
        <v>1377</v>
      </c>
      <c r="E5574" t="s">
        <v>74</v>
      </c>
      <c r="F5574" t="s">
        <v>47193</v>
      </c>
      <c r="G5574" t="s">
        <v>16221</v>
      </c>
      <c r="H5574" t="s">
        <v>47055</v>
      </c>
      <c r="I5574" t="s">
        <v>47127</v>
      </c>
      <c r="J5574" t="s">
        <v>47128</v>
      </c>
      <c r="K5574" t="s">
        <v>47113</v>
      </c>
      <c r="L5574">
        <v>12.57</v>
      </c>
      <c r="M5574">
        <v>26</v>
      </c>
      <c r="N5574">
        <v>69</v>
      </c>
      <c r="O5574">
        <v>26</v>
      </c>
      <c r="P5574">
        <v>69</v>
      </c>
    </row>
    <row r="5575" spans="1:16" x14ac:dyDescent="0.25">
      <c r="A5575" t="s">
        <v>47292</v>
      </c>
      <c r="B5575" t="s">
        <v>47290</v>
      </c>
      <c r="C5575" t="s">
        <v>47291</v>
      </c>
      <c r="D5575" t="str">
        <f>"1700"</f>
        <v>1700</v>
      </c>
      <c r="E5575" t="s">
        <v>60</v>
      </c>
      <c r="F5575" t="s">
        <v>47193</v>
      </c>
      <c r="G5575" t="s">
        <v>16221</v>
      </c>
      <c r="H5575" t="s">
        <v>47055</v>
      </c>
      <c r="I5575" t="s">
        <v>47127</v>
      </c>
      <c r="J5575" t="s">
        <v>47128</v>
      </c>
      <c r="K5575" t="s">
        <v>47113</v>
      </c>
      <c r="L5575">
        <v>12.57</v>
      </c>
      <c r="M5575">
        <v>26</v>
      </c>
      <c r="N5575">
        <v>69</v>
      </c>
      <c r="O5575">
        <v>26</v>
      </c>
      <c r="P5575">
        <v>69</v>
      </c>
    </row>
    <row r="5576" spans="1:16" x14ac:dyDescent="0.25">
      <c r="A5576" t="s">
        <v>47293</v>
      </c>
      <c r="B5576" t="s">
        <v>47290</v>
      </c>
      <c r="C5576" t="s">
        <v>47291</v>
      </c>
      <c r="D5576" t="str">
        <f>"4269"</f>
        <v>4269</v>
      </c>
      <c r="E5576" t="s">
        <v>7493</v>
      </c>
      <c r="F5576" t="s">
        <v>47193</v>
      </c>
      <c r="G5576" t="s">
        <v>16221</v>
      </c>
      <c r="H5576" t="s">
        <v>47055</v>
      </c>
      <c r="I5576" t="s">
        <v>47127</v>
      </c>
      <c r="J5576" t="s">
        <v>47128</v>
      </c>
      <c r="K5576" t="s">
        <v>47113</v>
      </c>
      <c r="L5576">
        <v>12.57</v>
      </c>
      <c r="M5576">
        <v>26</v>
      </c>
      <c r="N5576">
        <v>69</v>
      </c>
      <c r="O5576">
        <v>26</v>
      </c>
      <c r="P5576">
        <v>69</v>
      </c>
    </row>
    <row r="5577" spans="1:16" x14ac:dyDescent="0.25">
      <c r="A5577" t="s">
        <v>47294</v>
      </c>
      <c r="B5577" t="s">
        <v>47295</v>
      </c>
      <c r="C5577" t="s">
        <v>47296</v>
      </c>
      <c r="D5577" t="str">
        <f>"2625"</f>
        <v>2625</v>
      </c>
      <c r="E5577" t="s">
        <v>4707</v>
      </c>
      <c r="F5577" t="s">
        <v>47193</v>
      </c>
      <c r="G5577" t="s">
        <v>16235</v>
      </c>
      <c r="H5577" t="s">
        <v>47055</v>
      </c>
      <c r="I5577" t="s">
        <v>47127</v>
      </c>
      <c r="J5577" t="s">
        <v>47128</v>
      </c>
      <c r="K5577" t="s">
        <v>47113</v>
      </c>
      <c r="L5577">
        <v>26.72</v>
      </c>
      <c r="M5577">
        <v>63</v>
      </c>
      <c r="N5577">
        <v>169</v>
      </c>
      <c r="O5577">
        <v>63</v>
      </c>
      <c r="P5577">
        <v>169</v>
      </c>
    </row>
    <row r="5578" spans="1:16" x14ac:dyDescent="0.25">
      <c r="A5578" t="s">
        <v>47297</v>
      </c>
      <c r="B5578" t="s">
        <v>47298</v>
      </c>
      <c r="C5578" t="s">
        <v>47299</v>
      </c>
      <c r="D5578" t="str">
        <f>"1001"</f>
        <v>1001</v>
      </c>
      <c r="E5578" t="s">
        <v>42</v>
      </c>
      <c r="F5578" t="s">
        <v>47193</v>
      </c>
      <c r="G5578" t="s">
        <v>16235</v>
      </c>
      <c r="H5578" t="s">
        <v>47055</v>
      </c>
      <c r="I5578" t="s">
        <v>47127</v>
      </c>
      <c r="J5578" t="s">
        <v>47128</v>
      </c>
      <c r="K5578" t="s">
        <v>47113</v>
      </c>
      <c r="L5578">
        <v>21.66</v>
      </c>
      <c r="M5578">
        <v>48</v>
      </c>
      <c r="N5578">
        <v>129</v>
      </c>
      <c r="O5578">
        <v>48</v>
      </c>
      <c r="P5578">
        <v>129</v>
      </c>
    </row>
    <row r="5579" spans="1:16" x14ac:dyDescent="0.25">
      <c r="A5579" t="s">
        <v>47300</v>
      </c>
      <c r="B5579" t="s">
        <v>47301</v>
      </c>
      <c r="C5579" t="s">
        <v>47302</v>
      </c>
      <c r="D5579" t="str">
        <f>"1001"</f>
        <v>1001</v>
      </c>
      <c r="E5579" t="s">
        <v>42</v>
      </c>
      <c r="F5579" t="s">
        <v>47193</v>
      </c>
      <c r="G5579" t="s">
        <v>16221</v>
      </c>
      <c r="H5579" t="s">
        <v>47055</v>
      </c>
      <c r="I5579" t="s">
        <v>47127</v>
      </c>
      <c r="J5579" t="s">
        <v>47128</v>
      </c>
      <c r="K5579" t="s">
        <v>47113</v>
      </c>
      <c r="L5579">
        <v>15.74</v>
      </c>
      <c r="M5579">
        <v>33</v>
      </c>
      <c r="N5579">
        <v>89</v>
      </c>
      <c r="O5579">
        <v>33</v>
      </c>
      <c r="P5579">
        <v>89</v>
      </c>
    </row>
    <row r="5580" spans="1:16" x14ac:dyDescent="0.25">
      <c r="A5580" t="s">
        <v>47303</v>
      </c>
      <c r="B5580" t="s">
        <v>47301</v>
      </c>
      <c r="C5580" t="s">
        <v>47302</v>
      </c>
      <c r="D5580" t="str">
        <f>"1278"</f>
        <v>1278</v>
      </c>
      <c r="E5580" t="s">
        <v>100</v>
      </c>
      <c r="F5580" t="s">
        <v>47193</v>
      </c>
      <c r="G5580" t="s">
        <v>16221</v>
      </c>
      <c r="H5580" t="s">
        <v>47055</v>
      </c>
      <c r="I5580" t="s">
        <v>47127</v>
      </c>
      <c r="J5580" t="s">
        <v>47128</v>
      </c>
      <c r="K5580" t="s">
        <v>47113</v>
      </c>
      <c r="L5580">
        <v>15.74</v>
      </c>
      <c r="M5580">
        <v>33</v>
      </c>
      <c r="N5580">
        <v>89</v>
      </c>
      <c r="O5580">
        <v>33</v>
      </c>
      <c r="P5580">
        <v>89</v>
      </c>
    </row>
    <row r="5581" spans="1:16" x14ac:dyDescent="0.25">
      <c r="A5581" t="s">
        <v>47304</v>
      </c>
      <c r="B5581" t="s">
        <v>47301</v>
      </c>
      <c r="C5581" t="s">
        <v>47302</v>
      </c>
      <c r="D5581" t="str">
        <f>"1700"</f>
        <v>1700</v>
      </c>
      <c r="E5581" t="s">
        <v>60</v>
      </c>
      <c r="F5581" t="s">
        <v>47193</v>
      </c>
      <c r="G5581" t="s">
        <v>16221</v>
      </c>
      <c r="H5581" t="s">
        <v>47055</v>
      </c>
      <c r="I5581" t="s">
        <v>47127</v>
      </c>
      <c r="J5581" t="s">
        <v>47128</v>
      </c>
      <c r="K5581" t="s">
        <v>47113</v>
      </c>
      <c r="L5581">
        <v>15.74</v>
      </c>
      <c r="M5581">
        <v>33</v>
      </c>
      <c r="N5581">
        <v>89</v>
      </c>
      <c r="O5581">
        <v>33</v>
      </c>
      <c r="P5581">
        <v>89</v>
      </c>
    </row>
    <row r="5582" spans="1:16" x14ac:dyDescent="0.25">
      <c r="A5582" t="s">
        <v>47305</v>
      </c>
      <c r="B5582" t="s">
        <v>47306</v>
      </c>
      <c r="C5582" t="s">
        <v>47307</v>
      </c>
      <c r="D5582" t="str">
        <f>"1001"</f>
        <v>1001</v>
      </c>
      <c r="E5582" t="s">
        <v>42</v>
      </c>
      <c r="F5582" t="s">
        <v>47193</v>
      </c>
      <c r="G5582" t="s">
        <v>16221</v>
      </c>
      <c r="H5582" t="s">
        <v>47055</v>
      </c>
      <c r="I5582" t="s">
        <v>47127</v>
      </c>
      <c r="J5582" t="s">
        <v>47128</v>
      </c>
      <c r="K5582" t="s">
        <v>47113</v>
      </c>
      <c r="L5582">
        <v>11.51</v>
      </c>
      <c r="M5582">
        <v>26</v>
      </c>
      <c r="N5582">
        <v>69</v>
      </c>
      <c r="O5582">
        <v>26</v>
      </c>
      <c r="P5582">
        <v>69</v>
      </c>
    </row>
    <row r="5583" spans="1:16" x14ac:dyDescent="0.25">
      <c r="A5583" t="s">
        <v>47308</v>
      </c>
      <c r="B5583" t="s">
        <v>47306</v>
      </c>
      <c r="C5583" t="s">
        <v>47307</v>
      </c>
      <c r="D5583" t="str">
        <f>"3106"</f>
        <v>3106</v>
      </c>
      <c r="E5583" t="s">
        <v>3758</v>
      </c>
      <c r="F5583" t="s">
        <v>47193</v>
      </c>
      <c r="G5583" t="s">
        <v>16221</v>
      </c>
      <c r="H5583" t="s">
        <v>47055</v>
      </c>
      <c r="I5583" t="s">
        <v>47127</v>
      </c>
      <c r="J5583" t="s">
        <v>47128</v>
      </c>
      <c r="K5583" t="s">
        <v>47113</v>
      </c>
      <c r="L5583">
        <v>11.51</v>
      </c>
      <c r="M5583">
        <v>26</v>
      </c>
      <c r="N5583">
        <v>69</v>
      </c>
      <c r="O5583">
        <v>26</v>
      </c>
      <c r="P5583">
        <v>69</v>
      </c>
    </row>
    <row r="5584" spans="1:16" x14ac:dyDescent="0.25">
      <c r="A5584" t="s">
        <v>47309</v>
      </c>
      <c r="B5584" t="s">
        <v>47310</v>
      </c>
      <c r="C5584" t="s">
        <v>47311</v>
      </c>
      <c r="D5584" t="str">
        <f>"1001"</f>
        <v>1001</v>
      </c>
      <c r="E5584" t="s">
        <v>42</v>
      </c>
      <c r="F5584" t="s">
        <v>47193</v>
      </c>
      <c r="G5584" t="s">
        <v>16221</v>
      </c>
      <c r="H5584" t="s">
        <v>47055</v>
      </c>
      <c r="I5584" t="s">
        <v>47127</v>
      </c>
      <c r="J5584" t="s">
        <v>47128</v>
      </c>
      <c r="K5584" t="s">
        <v>47113</v>
      </c>
      <c r="L5584">
        <v>13.31</v>
      </c>
      <c r="M5584">
        <v>29</v>
      </c>
      <c r="N5584">
        <v>79</v>
      </c>
      <c r="O5584">
        <v>29</v>
      </c>
      <c r="P5584">
        <v>79</v>
      </c>
    </row>
    <row r="5585" spans="1:16" x14ac:dyDescent="0.25">
      <c r="A5585" t="s">
        <v>47312</v>
      </c>
      <c r="B5585" t="s">
        <v>47310</v>
      </c>
      <c r="C5585" t="s">
        <v>47311</v>
      </c>
      <c r="D5585" t="str">
        <f>"1700"</f>
        <v>1700</v>
      </c>
      <c r="E5585" t="s">
        <v>60</v>
      </c>
      <c r="F5585" t="s">
        <v>47193</v>
      </c>
      <c r="G5585" t="s">
        <v>16221</v>
      </c>
      <c r="H5585" t="s">
        <v>47055</v>
      </c>
      <c r="I5585" t="s">
        <v>47127</v>
      </c>
      <c r="J5585" t="s">
        <v>47128</v>
      </c>
      <c r="K5585" t="s">
        <v>47113</v>
      </c>
      <c r="L5585">
        <v>13.31</v>
      </c>
      <c r="M5585">
        <v>29</v>
      </c>
      <c r="N5585">
        <v>79</v>
      </c>
      <c r="O5585">
        <v>29</v>
      </c>
      <c r="P5585">
        <v>79</v>
      </c>
    </row>
    <row r="5586" spans="1:16" x14ac:dyDescent="0.25">
      <c r="A5586" t="s">
        <v>47313</v>
      </c>
      <c r="B5586" t="s">
        <v>47310</v>
      </c>
      <c r="C5586" t="s">
        <v>47311</v>
      </c>
      <c r="D5586" t="str">
        <f>"2625"</f>
        <v>2625</v>
      </c>
      <c r="E5586" t="s">
        <v>4707</v>
      </c>
      <c r="F5586" t="s">
        <v>47193</v>
      </c>
      <c r="G5586" t="s">
        <v>16221</v>
      </c>
      <c r="H5586" t="s">
        <v>47055</v>
      </c>
      <c r="I5586" t="s">
        <v>47127</v>
      </c>
      <c r="J5586" t="s">
        <v>47128</v>
      </c>
      <c r="K5586" t="s">
        <v>47113</v>
      </c>
      <c r="L5586">
        <v>13.31</v>
      </c>
      <c r="M5586">
        <v>29</v>
      </c>
      <c r="N5586">
        <v>79</v>
      </c>
      <c r="O5586">
        <v>29</v>
      </c>
      <c r="P5586">
        <v>79</v>
      </c>
    </row>
    <row r="5587" spans="1:16" x14ac:dyDescent="0.25">
      <c r="A5587" t="s">
        <v>47314</v>
      </c>
      <c r="B5587" t="s">
        <v>47315</v>
      </c>
      <c r="C5587" t="s">
        <v>47316</v>
      </c>
      <c r="D5587" t="str">
        <f>"1001"</f>
        <v>1001</v>
      </c>
      <c r="E5587" t="s">
        <v>42</v>
      </c>
      <c r="F5587" t="s">
        <v>47193</v>
      </c>
      <c r="G5587" t="s">
        <v>16221</v>
      </c>
      <c r="H5587" t="s">
        <v>47055</v>
      </c>
      <c r="I5587" t="s">
        <v>47127</v>
      </c>
      <c r="J5587" t="s">
        <v>47128</v>
      </c>
      <c r="K5587" t="s">
        <v>47113</v>
      </c>
      <c r="L5587">
        <v>13.42</v>
      </c>
      <c r="M5587">
        <v>33</v>
      </c>
      <c r="N5587">
        <v>89</v>
      </c>
      <c r="O5587">
        <v>33</v>
      </c>
      <c r="P5587">
        <v>89</v>
      </c>
    </row>
    <row r="5588" spans="1:16" x14ac:dyDescent="0.25">
      <c r="A5588" t="s">
        <v>47317</v>
      </c>
      <c r="B5588" t="s">
        <v>47315</v>
      </c>
      <c r="C5588" t="s">
        <v>47316</v>
      </c>
      <c r="D5588" t="str">
        <f>"1700"</f>
        <v>1700</v>
      </c>
      <c r="E5588" t="s">
        <v>60</v>
      </c>
      <c r="F5588" t="s">
        <v>47193</v>
      </c>
      <c r="G5588" t="s">
        <v>16221</v>
      </c>
      <c r="H5588" t="s">
        <v>47055</v>
      </c>
      <c r="I5588" t="s">
        <v>47127</v>
      </c>
      <c r="J5588" t="s">
        <v>47128</v>
      </c>
      <c r="K5588" t="s">
        <v>47113</v>
      </c>
      <c r="L5588">
        <v>13.42</v>
      </c>
      <c r="M5588">
        <v>33</v>
      </c>
      <c r="N5588">
        <v>89</v>
      </c>
      <c r="O5588">
        <v>33</v>
      </c>
      <c r="P5588">
        <v>89</v>
      </c>
    </row>
    <row r="5589" spans="1:16" x14ac:dyDescent="0.25">
      <c r="A5589" t="s">
        <v>47318</v>
      </c>
      <c r="B5589" t="s">
        <v>47315</v>
      </c>
      <c r="C5589" t="s">
        <v>47316</v>
      </c>
      <c r="D5589" t="str">
        <f>"4100"</f>
        <v>4100</v>
      </c>
      <c r="E5589" t="s">
        <v>2383</v>
      </c>
      <c r="F5589" t="s">
        <v>47193</v>
      </c>
      <c r="G5589" t="s">
        <v>16221</v>
      </c>
      <c r="H5589" t="s">
        <v>47055</v>
      </c>
      <c r="I5589" t="s">
        <v>47127</v>
      </c>
      <c r="J5589" t="s">
        <v>47128</v>
      </c>
      <c r="K5589" t="s">
        <v>47113</v>
      </c>
      <c r="L5589">
        <v>13.42</v>
      </c>
      <c r="M5589">
        <v>33</v>
      </c>
      <c r="N5589">
        <v>89</v>
      </c>
      <c r="O5589">
        <v>33</v>
      </c>
      <c r="P5589">
        <v>89</v>
      </c>
    </row>
    <row r="5590" spans="1:16" x14ac:dyDescent="0.25">
      <c r="A5590" t="s">
        <v>47319</v>
      </c>
      <c r="B5590" t="s">
        <v>47320</v>
      </c>
      <c r="C5590" t="s">
        <v>47321</v>
      </c>
      <c r="D5590" t="str">
        <f>"1378"</f>
        <v>1378</v>
      </c>
      <c r="E5590" t="s">
        <v>388</v>
      </c>
      <c r="F5590" t="s">
        <v>47193</v>
      </c>
      <c r="G5590" t="s">
        <v>16448</v>
      </c>
      <c r="H5590" t="s">
        <v>47055</v>
      </c>
      <c r="I5590" t="s">
        <v>47120</v>
      </c>
      <c r="J5590" t="s">
        <v>47121</v>
      </c>
      <c r="K5590" t="s">
        <v>47113</v>
      </c>
      <c r="L5590">
        <v>128.29</v>
      </c>
      <c r="M5590">
        <v>203</v>
      </c>
      <c r="N5590">
        <v>549</v>
      </c>
      <c r="O5590">
        <v>203</v>
      </c>
      <c r="P5590">
        <v>549</v>
      </c>
    </row>
    <row r="5591" spans="1:16" x14ac:dyDescent="0.25">
      <c r="A5591" t="s">
        <v>27962</v>
      </c>
      <c r="B5591" t="s">
        <v>27963</v>
      </c>
      <c r="C5591" t="s">
        <v>27964</v>
      </c>
      <c r="D5591" t="str">
        <f>"1800"</f>
        <v>1800</v>
      </c>
      <c r="E5591" t="s">
        <v>1999</v>
      </c>
      <c r="F5591" t="s">
        <v>27965</v>
      </c>
      <c r="G5591" t="s">
        <v>16231</v>
      </c>
      <c r="H5591" t="s">
        <v>47055</v>
      </c>
      <c r="I5591" t="s">
        <v>47127</v>
      </c>
      <c r="J5591" t="s">
        <v>47128</v>
      </c>
      <c r="K5591" t="s">
        <v>47113</v>
      </c>
      <c r="L5591">
        <v>39.22</v>
      </c>
      <c r="M5591">
        <v>89</v>
      </c>
      <c r="N5591">
        <v>239</v>
      </c>
      <c r="O5591">
        <v>89</v>
      </c>
      <c r="P5591">
        <v>239</v>
      </c>
    </row>
    <row r="5592" spans="1:16" x14ac:dyDescent="0.25">
      <c r="A5592" t="s">
        <v>27966</v>
      </c>
      <c r="B5592" t="s">
        <v>27967</v>
      </c>
      <c r="C5592" t="s">
        <v>19557</v>
      </c>
      <c r="D5592" t="str">
        <f>"4320"</f>
        <v>4320</v>
      </c>
      <c r="E5592" t="s">
        <v>27363</v>
      </c>
      <c r="F5592" t="s">
        <v>27965</v>
      </c>
      <c r="G5592" t="s">
        <v>16231</v>
      </c>
      <c r="H5592" t="s">
        <v>47055</v>
      </c>
      <c r="I5592" t="s">
        <v>47127</v>
      </c>
      <c r="J5592" t="s">
        <v>47128</v>
      </c>
      <c r="K5592" t="s">
        <v>47113</v>
      </c>
      <c r="L5592">
        <v>48.24</v>
      </c>
      <c r="M5592">
        <v>111</v>
      </c>
      <c r="N5592">
        <v>299</v>
      </c>
      <c r="O5592">
        <v>111</v>
      </c>
      <c r="P5592">
        <v>299</v>
      </c>
    </row>
    <row r="5593" spans="1:16" x14ac:dyDescent="0.25">
      <c r="A5593" t="s">
        <v>27968</v>
      </c>
      <c r="B5593" t="s">
        <v>27969</v>
      </c>
      <c r="C5593" t="s">
        <v>27970</v>
      </c>
      <c r="D5593" t="str">
        <f>"6030"</f>
        <v>6030</v>
      </c>
      <c r="E5593" t="s">
        <v>27971</v>
      </c>
      <c r="F5593" t="s">
        <v>27965</v>
      </c>
      <c r="G5593" t="s">
        <v>16231</v>
      </c>
      <c r="H5593" t="s">
        <v>47055</v>
      </c>
      <c r="I5593" t="s">
        <v>47127</v>
      </c>
      <c r="J5593" t="s">
        <v>47128</v>
      </c>
      <c r="K5593" t="s">
        <v>47113</v>
      </c>
      <c r="L5593">
        <v>48.92</v>
      </c>
      <c r="M5593">
        <v>111</v>
      </c>
      <c r="N5593">
        <v>299</v>
      </c>
      <c r="O5593">
        <v>111</v>
      </c>
      <c r="P5593">
        <v>299</v>
      </c>
    </row>
    <row r="5594" spans="1:16" x14ac:dyDescent="0.25">
      <c r="A5594" t="s">
        <v>27972</v>
      </c>
      <c r="B5594" t="s">
        <v>27973</v>
      </c>
      <c r="C5594" t="s">
        <v>27974</v>
      </c>
      <c r="D5594" t="str">
        <f>"4000"</f>
        <v>4000</v>
      </c>
      <c r="E5594" t="s">
        <v>190</v>
      </c>
      <c r="F5594" t="s">
        <v>27965</v>
      </c>
      <c r="G5594" t="s">
        <v>16231</v>
      </c>
      <c r="H5594" t="s">
        <v>47055</v>
      </c>
      <c r="I5594" t="s">
        <v>47127</v>
      </c>
      <c r="J5594" t="s">
        <v>47128</v>
      </c>
      <c r="K5594" t="s">
        <v>47113</v>
      </c>
      <c r="L5594">
        <v>35.380000000000003</v>
      </c>
      <c r="M5594">
        <v>81</v>
      </c>
      <c r="N5594">
        <v>219</v>
      </c>
      <c r="O5594">
        <v>81</v>
      </c>
      <c r="P5594">
        <v>219</v>
      </c>
    </row>
    <row r="5595" spans="1:16" x14ac:dyDescent="0.25">
      <c r="A5595" t="s">
        <v>27975</v>
      </c>
      <c r="B5595" t="s">
        <v>27976</v>
      </c>
      <c r="C5595" t="s">
        <v>27977</v>
      </c>
      <c r="D5595" t="str">
        <f>"1229"</f>
        <v>1229</v>
      </c>
      <c r="E5595" t="s">
        <v>27978</v>
      </c>
      <c r="F5595" t="s">
        <v>27965</v>
      </c>
      <c r="G5595" t="s">
        <v>16231</v>
      </c>
      <c r="H5595" t="s">
        <v>47055</v>
      </c>
      <c r="I5595" t="s">
        <v>47127</v>
      </c>
      <c r="J5595" t="s">
        <v>47128</v>
      </c>
      <c r="K5595" t="s">
        <v>47113</v>
      </c>
      <c r="L5595">
        <v>35.17</v>
      </c>
      <c r="M5595">
        <v>74</v>
      </c>
      <c r="N5595">
        <v>199</v>
      </c>
      <c r="O5595">
        <v>74</v>
      </c>
      <c r="P5595">
        <v>199</v>
      </c>
    </row>
    <row r="5596" spans="1:16" x14ac:dyDescent="0.25">
      <c r="A5596" t="s">
        <v>27979</v>
      </c>
      <c r="B5596" t="s">
        <v>27980</v>
      </c>
      <c r="C5596" t="s">
        <v>27981</v>
      </c>
      <c r="D5596" t="str">
        <f>"1200"</f>
        <v>1200</v>
      </c>
      <c r="E5596" t="s">
        <v>241</v>
      </c>
      <c r="F5596" t="s">
        <v>27965</v>
      </c>
      <c r="G5596" t="s">
        <v>16231</v>
      </c>
      <c r="H5596" t="s">
        <v>47055</v>
      </c>
      <c r="I5596" t="s">
        <v>47127</v>
      </c>
      <c r="J5596" t="s">
        <v>47128</v>
      </c>
      <c r="K5596" t="s">
        <v>47113</v>
      </c>
      <c r="L5596">
        <v>33.57</v>
      </c>
      <c r="M5596">
        <v>81</v>
      </c>
      <c r="N5596">
        <v>219</v>
      </c>
      <c r="O5596">
        <v>81</v>
      </c>
      <c r="P5596">
        <v>219</v>
      </c>
    </row>
    <row r="5597" spans="1:16" x14ac:dyDescent="0.25">
      <c r="A5597" t="s">
        <v>27982</v>
      </c>
      <c r="B5597" t="s">
        <v>27983</v>
      </c>
      <c r="C5597" t="s">
        <v>27974</v>
      </c>
      <c r="D5597" t="str">
        <f>"4000"</f>
        <v>4000</v>
      </c>
      <c r="E5597" t="s">
        <v>190</v>
      </c>
      <c r="F5597" t="s">
        <v>27965</v>
      </c>
      <c r="G5597" t="s">
        <v>16231</v>
      </c>
      <c r="H5597" t="s">
        <v>47055</v>
      </c>
      <c r="I5597" t="s">
        <v>47127</v>
      </c>
      <c r="J5597" t="s">
        <v>47128</v>
      </c>
      <c r="K5597" t="s">
        <v>47113</v>
      </c>
      <c r="L5597">
        <v>36.229999999999997</v>
      </c>
      <c r="M5597">
        <v>85</v>
      </c>
      <c r="N5597">
        <v>229</v>
      </c>
      <c r="O5597">
        <v>85</v>
      </c>
      <c r="P5597">
        <v>229</v>
      </c>
    </row>
    <row r="5598" spans="1:16" x14ac:dyDescent="0.25">
      <c r="A5598" t="s">
        <v>27984</v>
      </c>
      <c r="B5598" t="s">
        <v>27985</v>
      </c>
      <c r="C5598" t="s">
        <v>27986</v>
      </c>
      <c r="D5598" t="str">
        <f>"1800"</f>
        <v>1800</v>
      </c>
      <c r="E5598" t="s">
        <v>1999</v>
      </c>
      <c r="F5598" t="s">
        <v>27965</v>
      </c>
      <c r="G5598" t="s">
        <v>16231</v>
      </c>
      <c r="H5598" t="s">
        <v>47055</v>
      </c>
      <c r="I5598" t="s">
        <v>47127</v>
      </c>
      <c r="J5598" t="s">
        <v>47128</v>
      </c>
      <c r="K5598" t="s">
        <v>47113</v>
      </c>
      <c r="L5598">
        <v>38.369999999999997</v>
      </c>
      <c r="M5598">
        <v>74</v>
      </c>
      <c r="N5598">
        <v>199</v>
      </c>
      <c r="O5598">
        <v>74</v>
      </c>
      <c r="P5598">
        <v>199</v>
      </c>
    </row>
    <row r="5599" spans="1:16" x14ac:dyDescent="0.25">
      <c r="A5599" t="s">
        <v>27987</v>
      </c>
      <c r="B5599" t="s">
        <v>27988</v>
      </c>
      <c r="C5599" t="s">
        <v>27989</v>
      </c>
      <c r="D5599" t="str">
        <f>"1001"</f>
        <v>1001</v>
      </c>
      <c r="E5599" t="s">
        <v>42</v>
      </c>
      <c r="F5599" t="s">
        <v>27965</v>
      </c>
      <c r="G5599" t="s">
        <v>16222</v>
      </c>
      <c r="H5599" t="s">
        <v>47055</v>
      </c>
      <c r="I5599" t="s">
        <v>47127</v>
      </c>
      <c r="J5599" t="s">
        <v>47128</v>
      </c>
      <c r="K5599" t="s">
        <v>47113</v>
      </c>
      <c r="L5599">
        <v>20.79</v>
      </c>
      <c r="M5599">
        <v>48</v>
      </c>
      <c r="N5599">
        <v>129</v>
      </c>
      <c r="O5599">
        <v>48</v>
      </c>
      <c r="P5599">
        <v>129</v>
      </c>
    </row>
    <row r="5600" spans="1:16" x14ac:dyDescent="0.25">
      <c r="A5600" t="s">
        <v>27990</v>
      </c>
      <c r="B5600" t="s">
        <v>27988</v>
      </c>
      <c r="C5600" t="s">
        <v>27989</v>
      </c>
      <c r="D5600" t="str">
        <f>"1285"</f>
        <v>1285</v>
      </c>
      <c r="E5600" t="s">
        <v>2148</v>
      </c>
      <c r="F5600" t="s">
        <v>27965</v>
      </c>
      <c r="G5600" t="s">
        <v>16222</v>
      </c>
      <c r="H5600" t="s">
        <v>47055</v>
      </c>
      <c r="I5600" t="s">
        <v>47127</v>
      </c>
      <c r="J5600" t="s">
        <v>47128</v>
      </c>
      <c r="K5600" t="s">
        <v>47113</v>
      </c>
      <c r="L5600">
        <v>20.79</v>
      </c>
      <c r="M5600">
        <v>48</v>
      </c>
      <c r="N5600">
        <v>129</v>
      </c>
      <c r="O5600">
        <v>48</v>
      </c>
      <c r="P5600">
        <v>129</v>
      </c>
    </row>
    <row r="5601" spans="1:16" x14ac:dyDescent="0.25">
      <c r="A5601" t="s">
        <v>27991</v>
      </c>
      <c r="B5601" t="s">
        <v>27988</v>
      </c>
      <c r="C5601" t="s">
        <v>27989</v>
      </c>
      <c r="D5601" t="str">
        <f>"4249"</f>
        <v>4249</v>
      </c>
      <c r="E5601" t="s">
        <v>27992</v>
      </c>
      <c r="F5601" t="s">
        <v>27965</v>
      </c>
      <c r="G5601" t="s">
        <v>16222</v>
      </c>
      <c r="H5601" t="s">
        <v>47055</v>
      </c>
      <c r="I5601" t="s">
        <v>47127</v>
      </c>
      <c r="J5601" t="s">
        <v>47128</v>
      </c>
      <c r="K5601" t="s">
        <v>47113</v>
      </c>
      <c r="L5601">
        <v>20.79</v>
      </c>
      <c r="M5601">
        <v>48</v>
      </c>
      <c r="N5601">
        <v>129</v>
      </c>
      <c r="O5601">
        <v>48</v>
      </c>
      <c r="P5601">
        <v>129</v>
      </c>
    </row>
    <row r="5602" spans="1:16" x14ac:dyDescent="0.25">
      <c r="A5602" t="s">
        <v>27993</v>
      </c>
      <c r="B5602" t="s">
        <v>27994</v>
      </c>
      <c r="C5602" t="s">
        <v>19619</v>
      </c>
      <c r="D5602" t="str">
        <f>"1285"</f>
        <v>1285</v>
      </c>
      <c r="E5602" t="s">
        <v>2148</v>
      </c>
      <c r="F5602" t="s">
        <v>27965</v>
      </c>
      <c r="G5602" t="s">
        <v>46686</v>
      </c>
      <c r="H5602" t="s">
        <v>47055</v>
      </c>
      <c r="I5602" t="s">
        <v>47127</v>
      </c>
      <c r="J5602" t="s">
        <v>47128</v>
      </c>
      <c r="K5602" t="s">
        <v>47113</v>
      </c>
      <c r="L5602">
        <v>19.72</v>
      </c>
      <c r="M5602">
        <v>48</v>
      </c>
      <c r="N5602">
        <v>129</v>
      </c>
      <c r="O5602">
        <v>48</v>
      </c>
      <c r="P5602">
        <v>129</v>
      </c>
    </row>
    <row r="5603" spans="1:16" x14ac:dyDescent="0.25">
      <c r="A5603" t="s">
        <v>27995</v>
      </c>
      <c r="B5603" t="s">
        <v>27994</v>
      </c>
      <c r="C5603" t="s">
        <v>19619</v>
      </c>
      <c r="D5603" t="str">
        <f>"4643"</f>
        <v>4643</v>
      </c>
      <c r="E5603" t="s">
        <v>205</v>
      </c>
      <c r="F5603" t="s">
        <v>27965</v>
      </c>
      <c r="G5603" t="s">
        <v>46686</v>
      </c>
      <c r="H5603" t="s">
        <v>47055</v>
      </c>
      <c r="I5603" t="s">
        <v>47127</v>
      </c>
      <c r="J5603" t="s">
        <v>47128</v>
      </c>
      <c r="K5603" t="s">
        <v>47113</v>
      </c>
      <c r="L5603">
        <v>19.72</v>
      </c>
      <c r="M5603">
        <v>48</v>
      </c>
      <c r="N5603">
        <v>129</v>
      </c>
      <c r="O5603">
        <v>48</v>
      </c>
      <c r="P5603">
        <v>129</v>
      </c>
    </row>
    <row r="5604" spans="1:16" x14ac:dyDescent="0.25">
      <c r="A5604" t="s">
        <v>27996</v>
      </c>
      <c r="B5604" t="s">
        <v>27997</v>
      </c>
      <c r="C5604" t="s">
        <v>27998</v>
      </c>
      <c r="D5604" t="str">
        <f>"1001"</f>
        <v>1001</v>
      </c>
      <c r="E5604" t="s">
        <v>42</v>
      </c>
      <c r="F5604" t="s">
        <v>27965</v>
      </c>
      <c r="G5604" t="s">
        <v>16235</v>
      </c>
      <c r="H5604" t="s">
        <v>47055</v>
      </c>
      <c r="I5604" t="s">
        <v>47127</v>
      </c>
      <c r="J5604" t="s">
        <v>47128</v>
      </c>
      <c r="K5604" t="s">
        <v>47113</v>
      </c>
      <c r="L5604">
        <v>34.64</v>
      </c>
      <c r="M5604">
        <v>85</v>
      </c>
      <c r="N5604">
        <v>229</v>
      </c>
      <c r="O5604">
        <v>85</v>
      </c>
      <c r="P5604">
        <v>229</v>
      </c>
    </row>
    <row r="5605" spans="1:16" x14ac:dyDescent="0.25">
      <c r="A5605" t="s">
        <v>27999</v>
      </c>
      <c r="B5605" t="s">
        <v>27997</v>
      </c>
      <c r="C5605" t="s">
        <v>27998</v>
      </c>
      <c r="D5605" t="str">
        <f>"1285"</f>
        <v>1285</v>
      </c>
      <c r="E5605" t="s">
        <v>2148</v>
      </c>
      <c r="F5605" t="s">
        <v>27965</v>
      </c>
      <c r="G5605" t="s">
        <v>16235</v>
      </c>
      <c r="H5605" t="s">
        <v>47055</v>
      </c>
      <c r="I5605" t="s">
        <v>47127</v>
      </c>
      <c r="J5605" t="s">
        <v>47128</v>
      </c>
      <c r="K5605" t="s">
        <v>47113</v>
      </c>
      <c r="L5605">
        <v>34.64</v>
      </c>
      <c r="M5605">
        <v>85</v>
      </c>
      <c r="N5605">
        <v>229</v>
      </c>
      <c r="O5605">
        <v>85</v>
      </c>
      <c r="P5605">
        <v>229</v>
      </c>
    </row>
    <row r="5606" spans="1:16" x14ac:dyDescent="0.25">
      <c r="A5606" t="s">
        <v>28000</v>
      </c>
      <c r="B5606" t="s">
        <v>27997</v>
      </c>
      <c r="C5606" t="s">
        <v>27998</v>
      </c>
      <c r="D5606" t="str">
        <f>"4025"</f>
        <v>4025</v>
      </c>
      <c r="E5606" t="s">
        <v>24724</v>
      </c>
      <c r="F5606" t="s">
        <v>27965</v>
      </c>
      <c r="G5606" t="s">
        <v>16235</v>
      </c>
      <c r="H5606" t="s">
        <v>47055</v>
      </c>
      <c r="I5606" t="s">
        <v>47127</v>
      </c>
      <c r="J5606" t="s">
        <v>47128</v>
      </c>
      <c r="K5606" t="s">
        <v>47113</v>
      </c>
      <c r="L5606">
        <v>34.64</v>
      </c>
      <c r="M5606">
        <v>85</v>
      </c>
      <c r="N5606">
        <v>229</v>
      </c>
      <c r="O5606">
        <v>85</v>
      </c>
      <c r="P5606">
        <v>229</v>
      </c>
    </row>
    <row r="5607" spans="1:16" x14ac:dyDescent="0.25">
      <c r="A5607" t="s">
        <v>28001</v>
      </c>
      <c r="B5607" t="s">
        <v>27997</v>
      </c>
      <c r="C5607" t="s">
        <v>27998</v>
      </c>
      <c r="D5607" t="str">
        <f>"6092"</f>
        <v>6092</v>
      </c>
      <c r="E5607" t="s">
        <v>28002</v>
      </c>
      <c r="F5607" t="s">
        <v>27965</v>
      </c>
      <c r="G5607" t="s">
        <v>16235</v>
      </c>
      <c r="H5607" t="s">
        <v>47055</v>
      </c>
      <c r="I5607" t="s">
        <v>47127</v>
      </c>
      <c r="J5607" t="s">
        <v>47128</v>
      </c>
      <c r="K5607" t="s">
        <v>47113</v>
      </c>
      <c r="L5607">
        <v>34.64</v>
      </c>
      <c r="M5607">
        <v>85</v>
      </c>
      <c r="N5607">
        <v>229</v>
      </c>
      <c r="O5607">
        <v>85</v>
      </c>
      <c r="P5607">
        <v>229</v>
      </c>
    </row>
    <row r="5608" spans="1:16" x14ac:dyDescent="0.25">
      <c r="A5608" t="s">
        <v>28003</v>
      </c>
      <c r="B5608" t="s">
        <v>28004</v>
      </c>
      <c r="C5608" t="s">
        <v>28005</v>
      </c>
      <c r="D5608" t="str">
        <f>"1001"</f>
        <v>1001</v>
      </c>
      <c r="E5608" t="s">
        <v>42</v>
      </c>
      <c r="F5608" t="s">
        <v>27965</v>
      </c>
      <c r="G5608" t="s">
        <v>46686</v>
      </c>
      <c r="H5608" t="s">
        <v>47055</v>
      </c>
      <c r="I5608" t="s">
        <v>47127</v>
      </c>
      <c r="J5608" t="s">
        <v>47128</v>
      </c>
      <c r="K5608" t="s">
        <v>47113</v>
      </c>
      <c r="L5608">
        <v>21.85</v>
      </c>
      <c r="M5608">
        <v>85</v>
      </c>
      <c r="N5608">
        <v>229</v>
      </c>
      <c r="O5608">
        <v>85</v>
      </c>
      <c r="P5608">
        <v>229</v>
      </c>
    </row>
    <row r="5609" spans="1:16" x14ac:dyDescent="0.25">
      <c r="A5609" t="s">
        <v>28006</v>
      </c>
      <c r="B5609" t="s">
        <v>28004</v>
      </c>
      <c r="C5609" t="s">
        <v>28005</v>
      </c>
      <c r="D5609" t="str">
        <f>"1285"</f>
        <v>1285</v>
      </c>
      <c r="E5609" t="s">
        <v>2148</v>
      </c>
      <c r="F5609" t="s">
        <v>27965</v>
      </c>
      <c r="G5609" t="s">
        <v>46686</v>
      </c>
      <c r="H5609" t="s">
        <v>47055</v>
      </c>
      <c r="I5609" t="s">
        <v>47127</v>
      </c>
      <c r="J5609" t="s">
        <v>47128</v>
      </c>
      <c r="K5609" t="s">
        <v>47113</v>
      </c>
      <c r="L5609">
        <v>21.85</v>
      </c>
      <c r="M5609">
        <v>85</v>
      </c>
      <c r="N5609">
        <v>229</v>
      </c>
      <c r="O5609">
        <v>85</v>
      </c>
      <c r="P5609">
        <v>229</v>
      </c>
    </row>
    <row r="5610" spans="1:16" x14ac:dyDescent="0.25">
      <c r="A5610" t="s">
        <v>28007</v>
      </c>
      <c r="B5610" t="s">
        <v>28004</v>
      </c>
      <c r="C5610" t="s">
        <v>28005</v>
      </c>
      <c r="D5610" t="str">
        <f>"3081"</f>
        <v>3081</v>
      </c>
      <c r="E5610" t="s">
        <v>28008</v>
      </c>
      <c r="F5610" t="s">
        <v>27965</v>
      </c>
      <c r="G5610" t="s">
        <v>46686</v>
      </c>
      <c r="H5610" t="s">
        <v>47055</v>
      </c>
      <c r="I5610" t="s">
        <v>47127</v>
      </c>
      <c r="J5610" t="s">
        <v>47128</v>
      </c>
      <c r="K5610" t="s">
        <v>47113</v>
      </c>
      <c r="L5610">
        <v>21.85</v>
      </c>
      <c r="M5610">
        <v>85</v>
      </c>
      <c r="N5610">
        <v>229</v>
      </c>
      <c r="O5610">
        <v>85</v>
      </c>
      <c r="P5610">
        <v>229</v>
      </c>
    </row>
    <row r="5611" spans="1:16" x14ac:dyDescent="0.25">
      <c r="A5611" t="s">
        <v>28009</v>
      </c>
      <c r="B5611" t="s">
        <v>28004</v>
      </c>
      <c r="C5611" t="s">
        <v>28005</v>
      </c>
      <c r="D5611" t="str">
        <f>"4643"</f>
        <v>4643</v>
      </c>
      <c r="E5611" t="s">
        <v>205</v>
      </c>
      <c r="F5611" t="s">
        <v>27965</v>
      </c>
      <c r="G5611" t="s">
        <v>46686</v>
      </c>
      <c r="H5611" t="s">
        <v>47055</v>
      </c>
      <c r="I5611" t="s">
        <v>47127</v>
      </c>
      <c r="J5611" t="s">
        <v>47128</v>
      </c>
      <c r="K5611" t="s">
        <v>47113</v>
      </c>
      <c r="L5611">
        <v>21.85</v>
      </c>
      <c r="M5611">
        <v>85</v>
      </c>
      <c r="N5611">
        <v>229</v>
      </c>
      <c r="O5611">
        <v>85</v>
      </c>
      <c r="P5611">
        <v>229</v>
      </c>
    </row>
    <row r="5612" spans="1:16" x14ac:dyDescent="0.25">
      <c r="A5612" t="s">
        <v>28010</v>
      </c>
      <c r="B5612" t="s">
        <v>28004</v>
      </c>
      <c r="C5612" t="s">
        <v>28005</v>
      </c>
      <c r="D5612" t="str">
        <f>"6092"</f>
        <v>6092</v>
      </c>
      <c r="E5612" t="s">
        <v>28002</v>
      </c>
      <c r="F5612" t="s">
        <v>27965</v>
      </c>
      <c r="G5612" t="s">
        <v>46686</v>
      </c>
      <c r="H5612" t="s">
        <v>47055</v>
      </c>
      <c r="I5612" t="s">
        <v>47127</v>
      </c>
      <c r="J5612" t="s">
        <v>47128</v>
      </c>
      <c r="K5612" t="s">
        <v>47113</v>
      </c>
      <c r="L5612">
        <v>21.85</v>
      </c>
      <c r="M5612">
        <v>85</v>
      </c>
      <c r="N5612">
        <v>229</v>
      </c>
      <c r="O5612">
        <v>85</v>
      </c>
      <c r="P5612">
        <v>229</v>
      </c>
    </row>
    <row r="5613" spans="1:16" x14ac:dyDescent="0.25">
      <c r="A5613" t="s">
        <v>28011</v>
      </c>
      <c r="B5613" t="s">
        <v>28012</v>
      </c>
      <c r="C5613" t="s">
        <v>21320</v>
      </c>
      <c r="D5613" t="str">
        <f>"1001"</f>
        <v>1001</v>
      </c>
      <c r="E5613" t="s">
        <v>42</v>
      </c>
      <c r="F5613" t="s">
        <v>27965</v>
      </c>
      <c r="G5613" t="s">
        <v>16235</v>
      </c>
      <c r="H5613" t="s">
        <v>47055</v>
      </c>
      <c r="I5613" t="s">
        <v>47127</v>
      </c>
      <c r="J5613" t="s">
        <v>47128</v>
      </c>
      <c r="K5613" t="s">
        <v>47113</v>
      </c>
      <c r="L5613">
        <v>32.51</v>
      </c>
      <c r="M5613">
        <v>85</v>
      </c>
      <c r="N5613">
        <v>229</v>
      </c>
      <c r="O5613">
        <v>85</v>
      </c>
      <c r="P5613">
        <v>229</v>
      </c>
    </row>
    <row r="5614" spans="1:16" x14ac:dyDescent="0.25">
      <c r="A5614" t="s">
        <v>28013</v>
      </c>
      <c r="B5614" t="s">
        <v>28012</v>
      </c>
      <c r="C5614" t="s">
        <v>21320</v>
      </c>
      <c r="D5614" t="str">
        <f>"1285"</f>
        <v>1285</v>
      </c>
      <c r="E5614" t="s">
        <v>2148</v>
      </c>
      <c r="F5614" t="s">
        <v>27965</v>
      </c>
      <c r="G5614" t="s">
        <v>16235</v>
      </c>
      <c r="H5614" t="s">
        <v>47055</v>
      </c>
      <c r="I5614" t="s">
        <v>47127</v>
      </c>
      <c r="J5614" t="s">
        <v>47128</v>
      </c>
      <c r="K5614" t="s">
        <v>47113</v>
      </c>
      <c r="L5614">
        <v>32.51</v>
      </c>
      <c r="M5614">
        <v>85</v>
      </c>
      <c r="N5614">
        <v>229</v>
      </c>
      <c r="O5614">
        <v>85</v>
      </c>
      <c r="P5614">
        <v>229</v>
      </c>
    </row>
    <row r="5615" spans="1:16" x14ac:dyDescent="0.25">
      <c r="A5615" t="s">
        <v>28014</v>
      </c>
      <c r="B5615" t="s">
        <v>28012</v>
      </c>
      <c r="C5615" t="s">
        <v>21320</v>
      </c>
      <c r="D5615" t="str">
        <f>"3081"</f>
        <v>3081</v>
      </c>
      <c r="E5615" t="s">
        <v>28008</v>
      </c>
      <c r="F5615" t="s">
        <v>27965</v>
      </c>
      <c r="G5615" t="s">
        <v>16235</v>
      </c>
      <c r="H5615" t="s">
        <v>47055</v>
      </c>
      <c r="I5615" t="s">
        <v>47127</v>
      </c>
      <c r="J5615" t="s">
        <v>47128</v>
      </c>
      <c r="K5615" t="s">
        <v>47113</v>
      </c>
      <c r="L5615">
        <v>32.51</v>
      </c>
      <c r="M5615">
        <v>85</v>
      </c>
      <c r="N5615">
        <v>229</v>
      </c>
      <c r="O5615">
        <v>85</v>
      </c>
      <c r="P5615">
        <v>229</v>
      </c>
    </row>
    <row r="5616" spans="1:16" x14ac:dyDescent="0.25">
      <c r="A5616" t="s">
        <v>28015</v>
      </c>
      <c r="B5616" t="s">
        <v>28012</v>
      </c>
      <c r="C5616" t="s">
        <v>21320</v>
      </c>
      <c r="D5616" t="str">
        <f>"4643"</f>
        <v>4643</v>
      </c>
      <c r="E5616" t="s">
        <v>205</v>
      </c>
      <c r="F5616" t="s">
        <v>27965</v>
      </c>
      <c r="G5616" t="s">
        <v>16235</v>
      </c>
      <c r="H5616" t="s">
        <v>47055</v>
      </c>
      <c r="I5616" t="s">
        <v>47127</v>
      </c>
      <c r="J5616" t="s">
        <v>47128</v>
      </c>
      <c r="K5616" t="s">
        <v>47113</v>
      </c>
      <c r="L5616">
        <v>32.07</v>
      </c>
      <c r="M5616">
        <v>85</v>
      </c>
      <c r="N5616">
        <v>229</v>
      </c>
      <c r="O5616">
        <v>85</v>
      </c>
      <c r="P5616">
        <v>229</v>
      </c>
    </row>
    <row r="5617" spans="1:16" x14ac:dyDescent="0.25">
      <c r="A5617" t="s">
        <v>28016</v>
      </c>
      <c r="B5617" t="s">
        <v>28012</v>
      </c>
      <c r="C5617" t="s">
        <v>21320</v>
      </c>
      <c r="D5617" t="str">
        <f>"6092"</f>
        <v>6092</v>
      </c>
      <c r="E5617" t="s">
        <v>28002</v>
      </c>
      <c r="F5617" t="s">
        <v>27965</v>
      </c>
      <c r="G5617" t="s">
        <v>16235</v>
      </c>
      <c r="H5617" t="s">
        <v>47055</v>
      </c>
      <c r="I5617" t="s">
        <v>47127</v>
      </c>
      <c r="J5617" t="s">
        <v>47128</v>
      </c>
      <c r="K5617" t="s">
        <v>47113</v>
      </c>
      <c r="L5617">
        <v>32.51</v>
      </c>
      <c r="M5617">
        <v>85</v>
      </c>
      <c r="N5617">
        <v>229</v>
      </c>
      <c r="O5617">
        <v>85</v>
      </c>
      <c r="P5617">
        <v>229</v>
      </c>
    </row>
    <row r="5618" spans="1:16" x14ac:dyDescent="0.25">
      <c r="A5618" t="s">
        <v>28017</v>
      </c>
      <c r="B5618" t="s">
        <v>28018</v>
      </c>
      <c r="C5618" t="s">
        <v>28019</v>
      </c>
      <c r="D5618" t="str">
        <f>"1001"</f>
        <v>1001</v>
      </c>
      <c r="E5618" t="s">
        <v>42</v>
      </c>
      <c r="F5618" t="s">
        <v>27965</v>
      </c>
      <c r="G5618" t="s">
        <v>46686</v>
      </c>
      <c r="H5618" t="s">
        <v>47055</v>
      </c>
      <c r="I5618" t="s">
        <v>47127</v>
      </c>
      <c r="J5618" t="s">
        <v>47128</v>
      </c>
      <c r="K5618" t="s">
        <v>47113</v>
      </c>
      <c r="L5618">
        <v>20.14</v>
      </c>
      <c r="M5618">
        <v>48</v>
      </c>
      <c r="N5618">
        <v>129</v>
      </c>
      <c r="O5618">
        <v>48</v>
      </c>
      <c r="P5618">
        <v>129</v>
      </c>
    </row>
    <row r="5619" spans="1:16" x14ac:dyDescent="0.25">
      <c r="A5619" t="s">
        <v>28020</v>
      </c>
      <c r="B5619" t="s">
        <v>28018</v>
      </c>
      <c r="C5619" t="s">
        <v>28019</v>
      </c>
      <c r="D5619" t="str">
        <f>"1285"</f>
        <v>1285</v>
      </c>
      <c r="E5619" t="s">
        <v>2148</v>
      </c>
      <c r="F5619" t="s">
        <v>27965</v>
      </c>
      <c r="G5619" t="s">
        <v>46686</v>
      </c>
      <c r="H5619" t="s">
        <v>47055</v>
      </c>
      <c r="I5619" t="s">
        <v>47127</v>
      </c>
      <c r="J5619" t="s">
        <v>47128</v>
      </c>
      <c r="K5619" t="s">
        <v>47113</v>
      </c>
      <c r="L5619">
        <v>20.14</v>
      </c>
      <c r="M5619">
        <v>48</v>
      </c>
      <c r="N5619">
        <v>129</v>
      </c>
      <c r="O5619">
        <v>48</v>
      </c>
      <c r="P5619">
        <v>129</v>
      </c>
    </row>
    <row r="5620" spans="1:16" x14ac:dyDescent="0.25">
      <c r="A5620" t="s">
        <v>28021</v>
      </c>
      <c r="B5620" t="s">
        <v>28018</v>
      </c>
      <c r="C5620" t="s">
        <v>28019</v>
      </c>
      <c r="D5620" t="str">
        <f>"4643"</f>
        <v>4643</v>
      </c>
      <c r="E5620" t="s">
        <v>205</v>
      </c>
      <c r="F5620" t="s">
        <v>27965</v>
      </c>
      <c r="G5620" t="s">
        <v>46686</v>
      </c>
      <c r="H5620" t="s">
        <v>47055</v>
      </c>
      <c r="I5620" t="s">
        <v>47127</v>
      </c>
      <c r="J5620" t="s">
        <v>47128</v>
      </c>
      <c r="K5620" t="s">
        <v>47113</v>
      </c>
      <c r="L5620">
        <v>20.14</v>
      </c>
      <c r="M5620">
        <v>48</v>
      </c>
      <c r="N5620">
        <v>129</v>
      </c>
      <c r="O5620">
        <v>48</v>
      </c>
      <c r="P5620">
        <v>129</v>
      </c>
    </row>
    <row r="5621" spans="1:16" x14ac:dyDescent="0.25">
      <c r="A5621" t="s">
        <v>28022</v>
      </c>
      <c r="B5621" t="s">
        <v>28023</v>
      </c>
      <c r="C5621" t="s">
        <v>28024</v>
      </c>
      <c r="D5621" t="str">
        <f>"1001"</f>
        <v>1001</v>
      </c>
      <c r="E5621" t="s">
        <v>42</v>
      </c>
      <c r="F5621" t="s">
        <v>27965</v>
      </c>
      <c r="G5621" t="s">
        <v>16222</v>
      </c>
      <c r="H5621" t="s">
        <v>47055</v>
      </c>
      <c r="I5621" t="s">
        <v>47127</v>
      </c>
      <c r="J5621" t="s">
        <v>47128</v>
      </c>
      <c r="K5621" t="s">
        <v>47113</v>
      </c>
      <c r="L5621">
        <v>21.54</v>
      </c>
      <c r="M5621">
        <v>48</v>
      </c>
      <c r="N5621">
        <v>129</v>
      </c>
      <c r="O5621">
        <v>48</v>
      </c>
      <c r="P5621">
        <v>129</v>
      </c>
    </row>
    <row r="5622" spans="1:16" x14ac:dyDescent="0.25">
      <c r="A5622" t="s">
        <v>28025</v>
      </c>
      <c r="B5622" t="s">
        <v>28023</v>
      </c>
      <c r="C5622" t="s">
        <v>28024</v>
      </c>
      <c r="D5622" t="str">
        <f>"1285"</f>
        <v>1285</v>
      </c>
      <c r="E5622" t="s">
        <v>2148</v>
      </c>
      <c r="F5622" t="s">
        <v>27965</v>
      </c>
      <c r="G5622" t="s">
        <v>16222</v>
      </c>
      <c r="H5622" t="s">
        <v>47055</v>
      </c>
      <c r="I5622" t="s">
        <v>47127</v>
      </c>
      <c r="J5622" t="s">
        <v>47128</v>
      </c>
      <c r="K5622" t="s">
        <v>47113</v>
      </c>
      <c r="L5622">
        <v>21.54</v>
      </c>
      <c r="M5622">
        <v>48</v>
      </c>
      <c r="N5622">
        <v>129</v>
      </c>
      <c r="O5622">
        <v>48</v>
      </c>
      <c r="P5622">
        <v>129</v>
      </c>
    </row>
    <row r="5623" spans="1:16" x14ac:dyDescent="0.25">
      <c r="A5623" t="s">
        <v>28026</v>
      </c>
      <c r="B5623" t="s">
        <v>28023</v>
      </c>
      <c r="C5623" t="s">
        <v>28024</v>
      </c>
      <c r="D5623" t="str">
        <f>"4643"</f>
        <v>4643</v>
      </c>
      <c r="E5623" t="s">
        <v>205</v>
      </c>
      <c r="F5623" t="s">
        <v>27965</v>
      </c>
      <c r="G5623" t="s">
        <v>16222</v>
      </c>
      <c r="H5623" t="s">
        <v>47055</v>
      </c>
      <c r="I5623" t="s">
        <v>47127</v>
      </c>
      <c r="J5623" t="s">
        <v>47128</v>
      </c>
      <c r="K5623" t="s">
        <v>47113</v>
      </c>
      <c r="L5623">
        <v>21.54</v>
      </c>
      <c r="M5623">
        <v>48</v>
      </c>
      <c r="N5623">
        <v>129</v>
      </c>
      <c r="O5623">
        <v>48</v>
      </c>
      <c r="P5623">
        <v>129</v>
      </c>
    </row>
    <row r="5624" spans="1:16" x14ac:dyDescent="0.25">
      <c r="A5624" t="s">
        <v>28027</v>
      </c>
      <c r="B5624" t="s">
        <v>28028</v>
      </c>
      <c r="C5624" t="s">
        <v>28029</v>
      </c>
      <c r="D5624" t="str">
        <f>"3501"</f>
        <v>3501</v>
      </c>
      <c r="E5624" t="s">
        <v>3758</v>
      </c>
      <c r="F5624" t="s">
        <v>27965</v>
      </c>
      <c r="G5624" t="s">
        <v>16235</v>
      </c>
      <c r="H5624" t="s">
        <v>47055</v>
      </c>
      <c r="I5624" t="s">
        <v>47127</v>
      </c>
      <c r="J5624" t="s">
        <v>47128</v>
      </c>
      <c r="K5624" t="s">
        <v>47113</v>
      </c>
      <c r="L5624">
        <v>28.67</v>
      </c>
      <c r="M5624">
        <v>85</v>
      </c>
      <c r="N5624">
        <v>229</v>
      </c>
      <c r="O5624">
        <v>85</v>
      </c>
      <c r="P5624">
        <v>229</v>
      </c>
    </row>
    <row r="5625" spans="1:16" x14ac:dyDescent="0.25">
      <c r="A5625" t="s">
        <v>28030</v>
      </c>
      <c r="B5625" t="s">
        <v>28028</v>
      </c>
      <c r="C5625" t="s">
        <v>28029</v>
      </c>
      <c r="D5625" t="str">
        <f>"4249"</f>
        <v>4249</v>
      </c>
      <c r="E5625" t="s">
        <v>27992</v>
      </c>
      <c r="F5625" t="s">
        <v>27965</v>
      </c>
      <c r="G5625" t="s">
        <v>16235</v>
      </c>
      <c r="H5625" t="s">
        <v>47055</v>
      </c>
      <c r="I5625" t="s">
        <v>47127</v>
      </c>
      <c r="J5625" t="s">
        <v>47128</v>
      </c>
      <c r="K5625" t="s">
        <v>47113</v>
      </c>
      <c r="L5625">
        <v>28.67</v>
      </c>
      <c r="M5625">
        <v>85</v>
      </c>
      <c r="N5625">
        <v>229</v>
      </c>
      <c r="O5625">
        <v>85</v>
      </c>
      <c r="P5625">
        <v>229</v>
      </c>
    </row>
    <row r="5626" spans="1:16" x14ac:dyDescent="0.25">
      <c r="A5626" t="s">
        <v>28031</v>
      </c>
      <c r="B5626" t="s">
        <v>28032</v>
      </c>
      <c r="C5626" t="s">
        <v>28033</v>
      </c>
      <c r="D5626" t="str">
        <f>"3501"</f>
        <v>3501</v>
      </c>
      <c r="E5626" t="s">
        <v>3758</v>
      </c>
      <c r="F5626" t="s">
        <v>27965</v>
      </c>
      <c r="G5626" t="s">
        <v>16235</v>
      </c>
      <c r="H5626" t="s">
        <v>47055</v>
      </c>
      <c r="I5626" t="s">
        <v>47127</v>
      </c>
      <c r="J5626" t="s">
        <v>47128</v>
      </c>
      <c r="K5626" t="s">
        <v>47113</v>
      </c>
      <c r="L5626">
        <v>28.24</v>
      </c>
      <c r="M5626">
        <v>85</v>
      </c>
      <c r="N5626">
        <v>229</v>
      </c>
      <c r="O5626">
        <v>85</v>
      </c>
      <c r="P5626">
        <v>229</v>
      </c>
    </row>
    <row r="5627" spans="1:16" x14ac:dyDescent="0.25">
      <c r="A5627" t="s">
        <v>28034</v>
      </c>
      <c r="B5627" t="s">
        <v>28032</v>
      </c>
      <c r="C5627" t="s">
        <v>28033</v>
      </c>
      <c r="D5627" t="str">
        <f>"4249"</f>
        <v>4249</v>
      </c>
      <c r="E5627" t="s">
        <v>27992</v>
      </c>
      <c r="F5627" t="s">
        <v>27965</v>
      </c>
      <c r="G5627" t="s">
        <v>16235</v>
      </c>
      <c r="H5627" t="s">
        <v>47055</v>
      </c>
      <c r="I5627" t="s">
        <v>47127</v>
      </c>
      <c r="J5627" t="s">
        <v>47128</v>
      </c>
      <c r="K5627" t="s">
        <v>47113</v>
      </c>
      <c r="L5627">
        <v>28.24</v>
      </c>
      <c r="M5627">
        <v>85</v>
      </c>
      <c r="N5627">
        <v>229</v>
      </c>
      <c r="O5627">
        <v>85</v>
      </c>
      <c r="P5627">
        <v>229</v>
      </c>
    </row>
    <row r="5628" spans="1:16" x14ac:dyDescent="0.25">
      <c r="A5628" t="s">
        <v>28035</v>
      </c>
      <c r="B5628" t="s">
        <v>28036</v>
      </c>
      <c r="C5628" t="s">
        <v>28037</v>
      </c>
      <c r="D5628" t="str">
        <f>"3501"</f>
        <v>3501</v>
      </c>
      <c r="E5628" t="s">
        <v>3758</v>
      </c>
      <c r="F5628" t="s">
        <v>27965</v>
      </c>
      <c r="G5628" t="s">
        <v>16222</v>
      </c>
      <c r="H5628" t="s">
        <v>47055</v>
      </c>
      <c r="I5628" t="s">
        <v>47127</v>
      </c>
      <c r="J5628" t="s">
        <v>47128</v>
      </c>
      <c r="K5628" t="s">
        <v>47113</v>
      </c>
      <c r="L5628">
        <v>20.79</v>
      </c>
      <c r="M5628">
        <v>48</v>
      </c>
      <c r="N5628">
        <v>129</v>
      </c>
      <c r="O5628">
        <v>48</v>
      </c>
      <c r="P5628">
        <v>129</v>
      </c>
    </row>
    <row r="5629" spans="1:16" x14ac:dyDescent="0.25">
      <c r="A5629" t="s">
        <v>28038</v>
      </c>
      <c r="B5629" t="s">
        <v>28036</v>
      </c>
      <c r="C5629" t="s">
        <v>28037</v>
      </c>
      <c r="D5629" t="str">
        <f>"4249"</f>
        <v>4249</v>
      </c>
      <c r="E5629" t="s">
        <v>27992</v>
      </c>
      <c r="F5629" t="s">
        <v>27965</v>
      </c>
      <c r="G5629" t="s">
        <v>16222</v>
      </c>
      <c r="H5629" t="s">
        <v>47055</v>
      </c>
      <c r="I5629" t="s">
        <v>47127</v>
      </c>
      <c r="J5629" t="s">
        <v>47128</v>
      </c>
      <c r="K5629" t="s">
        <v>47113</v>
      </c>
      <c r="L5629">
        <v>20.79</v>
      </c>
      <c r="M5629">
        <v>48</v>
      </c>
      <c r="N5629">
        <v>129</v>
      </c>
      <c r="O5629">
        <v>48</v>
      </c>
      <c r="P5629">
        <v>129</v>
      </c>
    </row>
    <row r="5630" spans="1:16" x14ac:dyDescent="0.25">
      <c r="A5630" t="s">
        <v>28039</v>
      </c>
      <c r="B5630" t="s">
        <v>28040</v>
      </c>
      <c r="C5630" t="s">
        <v>28041</v>
      </c>
      <c r="D5630" t="str">
        <f>"3501"</f>
        <v>3501</v>
      </c>
      <c r="E5630" t="s">
        <v>3758</v>
      </c>
      <c r="F5630" t="s">
        <v>27965</v>
      </c>
      <c r="G5630" t="s">
        <v>16235</v>
      </c>
      <c r="H5630" t="s">
        <v>47055</v>
      </c>
      <c r="I5630" t="s">
        <v>47127</v>
      </c>
      <c r="J5630" t="s">
        <v>47128</v>
      </c>
      <c r="K5630" t="s">
        <v>47113</v>
      </c>
      <c r="L5630">
        <v>30.37</v>
      </c>
      <c r="M5630">
        <v>85</v>
      </c>
      <c r="N5630">
        <v>229</v>
      </c>
      <c r="O5630">
        <v>85</v>
      </c>
      <c r="P5630">
        <v>229</v>
      </c>
    </row>
    <row r="5631" spans="1:16" x14ac:dyDescent="0.25">
      <c r="A5631" t="s">
        <v>28042</v>
      </c>
      <c r="B5631" t="s">
        <v>28040</v>
      </c>
      <c r="C5631" t="s">
        <v>28041</v>
      </c>
      <c r="D5631" t="str">
        <f>"4249"</f>
        <v>4249</v>
      </c>
      <c r="E5631" t="s">
        <v>27992</v>
      </c>
      <c r="F5631" t="s">
        <v>27965</v>
      </c>
      <c r="G5631" t="s">
        <v>16235</v>
      </c>
      <c r="H5631" t="s">
        <v>47055</v>
      </c>
      <c r="I5631" t="s">
        <v>47127</v>
      </c>
      <c r="J5631" t="s">
        <v>47128</v>
      </c>
      <c r="K5631" t="s">
        <v>47113</v>
      </c>
      <c r="L5631">
        <v>30.37</v>
      </c>
      <c r="M5631">
        <v>85</v>
      </c>
      <c r="N5631">
        <v>229</v>
      </c>
      <c r="O5631">
        <v>85</v>
      </c>
      <c r="P5631">
        <v>229</v>
      </c>
    </row>
    <row r="5632" spans="1:16" x14ac:dyDescent="0.25">
      <c r="A5632" t="s">
        <v>28043</v>
      </c>
      <c r="B5632" t="s">
        <v>28044</v>
      </c>
      <c r="C5632" t="s">
        <v>28045</v>
      </c>
      <c r="D5632" t="str">
        <f>"3501"</f>
        <v>3501</v>
      </c>
      <c r="E5632" t="s">
        <v>3758</v>
      </c>
      <c r="F5632" t="s">
        <v>27965</v>
      </c>
      <c r="G5632" t="s">
        <v>16222</v>
      </c>
      <c r="H5632" t="s">
        <v>47055</v>
      </c>
      <c r="I5632" t="s">
        <v>47127</v>
      </c>
      <c r="J5632" t="s">
        <v>47128</v>
      </c>
      <c r="K5632" t="s">
        <v>47113</v>
      </c>
      <c r="L5632">
        <v>18.66</v>
      </c>
      <c r="M5632">
        <v>48</v>
      </c>
      <c r="N5632">
        <v>129</v>
      </c>
      <c r="O5632">
        <v>48</v>
      </c>
      <c r="P5632">
        <v>129</v>
      </c>
    </row>
    <row r="5633" spans="1:16" x14ac:dyDescent="0.25">
      <c r="A5633" t="s">
        <v>28046</v>
      </c>
      <c r="B5633" t="s">
        <v>28044</v>
      </c>
      <c r="C5633" t="s">
        <v>28045</v>
      </c>
      <c r="D5633" t="str">
        <f>"4249"</f>
        <v>4249</v>
      </c>
      <c r="E5633" t="s">
        <v>27992</v>
      </c>
      <c r="F5633" t="s">
        <v>27965</v>
      </c>
      <c r="G5633" t="s">
        <v>16222</v>
      </c>
      <c r="H5633" t="s">
        <v>47055</v>
      </c>
      <c r="I5633" t="s">
        <v>47127</v>
      </c>
      <c r="J5633" t="s">
        <v>47128</v>
      </c>
      <c r="K5633" t="s">
        <v>47113</v>
      </c>
      <c r="L5633">
        <v>18.66</v>
      </c>
      <c r="M5633">
        <v>48</v>
      </c>
      <c r="N5633">
        <v>129</v>
      </c>
      <c r="O5633">
        <v>48</v>
      </c>
      <c r="P5633">
        <v>129</v>
      </c>
    </row>
    <row r="5634" spans="1:16" x14ac:dyDescent="0.25">
      <c r="A5634" t="s">
        <v>28047</v>
      </c>
      <c r="B5634" t="s">
        <v>28048</v>
      </c>
      <c r="C5634" t="s">
        <v>28049</v>
      </c>
      <c r="D5634" t="str">
        <f>"3555"</f>
        <v>3555</v>
      </c>
      <c r="E5634" t="s">
        <v>28050</v>
      </c>
      <c r="F5634" t="s">
        <v>27965</v>
      </c>
      <c r="G5634" t="s">
        <v>16224</v>
      </c>
      <c r="H5634" t="s">
        <v>47055</v>
      </c>
      <c r="I5634" t="s">
        <v>47120</v>
      </c>
      <c r="J5634" t="s">
        <v>47121</v>
      </c>
      <c r="K5634" t="s">
        <v>47113</v>
      </c>
      <c r="L5634">
        <v>57.82</v>
      </c>
      <c r="M5634">
        <v>129</v>
      </c>
      <c r="N5634">
        <v>349</v>
      </c>
      <c r="O5634">
        <v>129</v>
      </c>
      <c r="P5634">
        <v>349</v>
      </c>
    </row>
    <row r="5635" spans="1:16" x14ac:dyDescent="0.25">
      <c r="A5635" t="s">
        <v>28051</v>
      </c>
      <c r="B5635" t="s">
        <v>28052</v>
      </c>
      <c r="C5635" t="s">
        <v>28053</v>
      </c>
      <c r="D5635" t="str">
        <f>"1001"</f>
        <v>1001</v>
      </c>
      <c r="E5635" t="s">
        <v>42</v>
      </c>
      <c r="F5635" t="s">
        <v>27965</v>
      </c>
      <c r="G5635" t="s">
        <v>16448</v>
      </c>
      <c r="H5635" t="s">
        <v>47055</v>
      </c>
      <c r="I5635" t="s">
        <v>47120</v>
      </c>
      <c r="J5635" t="s">
        <v>47121</v>
      </c>
      <c r="K5635" t="s">
        <v>47113</v>
      </c>
      <c r="L5635">
        <v>41.65</v>
      </c>
      <c r="M5635">
        <v>92</v>
      </c>
      <c r="N5635">
        <v>249</v>
      </c>
      <c r="O5635">
        <v>92</v>
      </c>
      <c r="P5635">
        <v>249</v>
      </c>
    </row>
    <row r="5636" spans="1:16" x14ac:dyDescent="0.25">
      <c r="A5636" t="s">
        <v>28054</v>
      </c>
      <c r="B5636" t="s">
        <v>28052</v>
      </c>
      <c r="C5636" t="s">
        <v>28053</v>
      </c>
      <c r="D5636" t="str">
        <f>"4025"</f>
        <v>4025</v>
      </c>
      <c r="E5636" t="s">
        <v>24724</v>
      </c>
      <c r="F5636" t="s">
        <v>27965</v>
      </c>
      <c r="G5636" t="s">
        <v>16448</v>
      </c>
      <c r="H5636" t="s">
        <v>47055</v>
      </c>
      <c r="I5636" t="s">
        <v>47120</v>
      </c>
      <c r="J5636" t="s">
        <v>47121</v>
      </c>
      <c r="K5636" t="s">
        <v>47113</v>
      </c>
      <c r="L5636">
        <v>43.24</v>
      </c>
      <c r="M5636">
        <v>92</v>
      </c>
      <c r="N5636">
        <v>249</v>
      </c>
      <c r="O5636">
        <v>92</v>
      </c>
      <c r="P5636">
        <v>249</v>
      </c>
    </row>
    <row r="5637" spans="1:16" x14ac:dyDescent="0.25">
      <c r="A5637" t="s">
        <v>28055</v>
      </c>
      <c r="B5637" t="s">
        <v>28052</v>
      </c>
      <c r="C5637" t="s">
        <v>28053</v>
      </c>
      <c r="D5637" t="str">
        <f>"6092"</f>
        <v>6092</v>
      </c>
      <c r="E5637" t="s">
        <v>28002</v>
      </c>
      <c r="F5637" t="s">
        <v>27965</v>
      </c>
      <c r="G5637" t="s">
        <v>16448</v>
      </c>
      <c r="H5637" t="s">
        <v>47055</v>
      </c>
      <c r="I5637" t="s">
        <v>47120</v>
      </c>
      <c r="J5637" t="s">
        <v>47121</v>
      </c>
      <c r="K5637" t="s">
        <v>47113</v>
      </c>
      <c r="L5637">
        <v>43.24</v>
      </c>
      <c r="M5637">
        <v>92</v>
      </c>
      <c r="N5637">
        <v>249</v>
      </c>
      <c r="O5637">
        <v>92</v>
      </c>
      <c r="P5637">
        <v>249</v>
      </c>
    </row>
    <row r="5638" spans="1:16" x14ac:dyDescent="0.25">
      <c r="A5638" t="s">
        <v>28056</v>
      </c>
      <c r="B5638" t="s">
        <v>28057</v>
      </c>
      <c r="C5638" t="s">
        <v>28058</v>
      </c>
      <c r="D5638" t="str">
        <f>"1001"</f>
        <v>1001</v>
      </c>
      <c r="E5638" t="s">
        <v>42</v>
      </c>
      <c r="F5638" t="s">
        <v>27965</v>
      </c>
      <c r="G5638" t="s">
        <v>16448</v>
      </c>
      <c r="H5638" t="s">
        <v>47055</v>
      </c>
      <c r="I5638" t="s">
        <v>47120</v>
      </c>
      <c r="J5638" t="s">
        <v>47121</v>
      </c>
      <c r="K5638" t="s">
        <v>47113</v>
      </c>
      <c r="L5638">
        <v>45.08</v>
      </c>
      <c r="M5638">
        <v>92</v>
      </c>
      <c r="N5638">
        <v>249</v>
      </c>
      <c r="O5638">
        <v>92</v>
      </c>
      <c r="P5638">
        <v>249</v>
      </c>
    </row>
    <row r="5639" spans="1:16" x14ac:dyDescent="0.25">
      <c r="A5639" t="s">
        <v>28059</v>
      </c>
      <c r="B5639" t="s">
        <v>28057</v>
      </c>
      <c r="C5639" t="s">
        <v>28058</v>
      </c>
      <c r="D5639" t="str">
        <f>"3435"</f>
        <v>3435</v>
      </c>
      <c r="E5639" t="s">
        <v>28060</v>
      </c>
      <c r="F5639" t="s">
        <v>27965</v>
      </c>
      <c r="G5639" t="s">
        <v>16448</v>
      </c>
      <c r="H5639" t="s">
        <v>47055</v>
      </c>
      <c r="I5639" t="s">
        <v>47120</v>
      </c>
      <c r="J5639" t="s">
        <v>47121</v>
      </c>
      <c r="K5639" t="s">
        <v>47113</v>
      </c>
      <c r="L5639">
        <v>46.79</v>
      </c>
      <c r="M5639">
        <v>92</v>
      </c>
      <c r="N5639">
        <v>249</v>
      </c>
      <c r="O5639">
        <v>92</v>
      </c>
      <c r="P5639">
        <v>249</v>
      </c>
    </row>
    <row r="5640" spans="1:16" x14ac:dyDescent="0.25">
      <c r="A5640" t="s">
        <v>28061</v>
      </c>
      <c r="B5640" t="s">
        <v>28057</v>
      </c>
      <c r="C5640" t="s">
        <v>28058</v>
      </c>
      <c r="D5640" t="str">
        <f>"4819"</f>
        <v>4819</v>
      </c>
      <c r="E5640" t="s">
        <v>221</v>
      </c>
      <c r="F5640" t="s">
        <v>27965</v>
      </c>
      <c r="G5640" t="s">
        <v>16448</v>
      </c>
      <c r="H5640" t="s">
        <v>47055</v>
      </c>
      <c r="I5640" t="s">
        <v>47120</v>
      </c>
      <c r="J5640" t="s">
        <v>47121</v>
      </c>
      <c r="K5640" t="s">
        <v>47113</v>
      </c>
      <c r="L5640">
        <v>46.79</v>
      </c>
      <c r="M5640">
        <v>92</v>
      </c>
      <c r="N5640">
        <v>249</v>
      </c>
      <c r="O5640">
        <v>92</v>
      </c>
      <c r="P5640">
        <v>249</v>
      </c>
    </row>
    <row r="5641" spans="1:16" x14ac:dyDescent="0.25">
      <c r="A5641" t="s">
        <v>28062</v>
      </c>
      <c r="B5641" t="s">
        <v>28063</v>
      </c>
      <c r="C5641" t="s">
        <v>28064</v>
      </c>
      <c r="D5641" t="str">
        <f>"1001"</f>
        <v>1001</v>
      </c>
      <c r="E5641" t="s">
        <v>42</v>
      </c>
      <c r="F5641" t="s">
        <v>27965</v>
      </c>
      <c r="G5641" t="s">
        <v>16235</v>
      </c>
      <c r="H5641" t="s">
        <v>47055</v>
      </c>
      <c r="I5641" t="s">
        <v>47127</v>
      </c>
      <c r="J5641" t="s">
        <v>47128</v>
      </c>
      <c r="K5641" t="s">
        <v>47113</v>
      </c>
      <c r="L5641">
        <v>30.37</v>
      </c>
      <c r="M5641">
        <v>85</v>
      </c>
      <c r="N5641">
        <v>229</v>
      </c>
      <c r="O5641">
        <v>85</v>
      </c>
      <c r="P5641">
        <v>229</v>
      </c>
    </row>
    <row r="5642" spans="1:16" x14ac:dyDescent="0.25">
      <c r="A5642" t="s">
        <v>28065</v>
      </c>
      <c r="B5642" t="s">
        <v>28063</v>
      </c>
      <c r="C5642" t="s">
        <v>28064</v>
      </c>
      <c r="D5642" t="str">
        <f>"1285"</f>
        <v>1285</v>
      </c>
      <c r="E5642" t="s">
        <v>2148</v>
      </c>
      <c r="F5642" t="s">
        <v>27965</v>
      </c>
      <c r="G5642" t="s">
        <v>16235</v>
      </c>
      <c r="H5642" t="s">
        <v>47055</v>
      </c>
      <c r="I5642" t="s">
        <v>47127</v>
      </c>
      <c r="J5642" t="s">
        <v>47128</v>
      </c>
      <c r="K5642" t="s">
        <v>47113</v>
      </c>
      <c r="L5642">
        <v>30.37</v>
      </c>
      <c r="M5642">
        <v>85</v>
      </c>
      <c r="N5642">
        <v>229</v>
      </c>
      <c r="O5642">
        <v>85</v>
      </c>
      <c r="P5642">
        <v>229</v>
      </c>
    </row>
    <row r="5643" spans="1:16" x14ac:dyDescent="0.25">
      <c r="A5643" t="s">
        <v>28066</v>
      </c>
      <c r="B5643" t="s">
        <v>28063</v>
      </c>
      <c r="C5643" t="s">
        <v>28064</v>
      </c>
      <c r="D5643" t="str">
        <f>"4025"</f>
        <v>4025</v>
      </c>
      <c r="E5643" t="s">
        <v>24724</v>
      </c>
      <c r="F5643" t="s">
        <v>27965</v>
      </c>
      <c r="G5643" t="s">
        <v>16235</v>
      </c>
      <c r="H5643" t="s">
        <v>47055</v>
      </c>
      <c r="I5643" t="s">
        <v>47127</v>
      </c>
      <c r="J5643" t="s">
        <v>47128</v>
      </c>
      <c r="K5643" t="s">
        <v>47113</v>
      </c>
      <c r="L5643">
        <v>30.37</v>
      </c>
      <c r="M5643">
        <v>85</v>
      </c>
      <c r="N5643">
        <v>229</v>
      </c>
      <c r="O5643">
        <v>85</v>
      </c>
      <c r="P5643">
        <v>229</v>
      </c>
    </row>
    <row r="5644" spans="1:16" x14ac:dyDescent="0.25">
      <c r="A5644" t="s">
        <v>28067</v>
      </c>
      <c r="B5644" t="s">
        <v>28063</v>
      </c>
      <c r="C5644" t="s">
        <v>28064</v>
      </c>
      <c r="D5644" t="str">
        <f>"4249"</f>
        <v>4249</v>
      </c>
      <c r="E5644" t="s">
        <v>27992</v>
      </c>
      <c r="F5644" t="s">
        <v>27965</v>
      </c>
      <c r="G5644" t="s">
        <v>16235</v>
      </c>
      <c r="H5644" t="s">
        <v>47055</v>
      </c>
      <c r="I5644" t="s">
        <v>47127</v>
      </c>
      <c r="J5644" t="s">
        <v>47128</v>
      </c>
      <c r="K5644" t="s">
        <v>47113</v>
      </c>
      <c r="L5644">
        <v>30.37</v>
      </c>
      <c r="M5644">
        <v>85</v>
      </c>
      <c r="N5644">
        <v>229</v>
      </c>
      <c r="O5644">
        <v>85</v>
      </c>
      <c r="P5644">
        <v>229</v>
      </c>
    </row>
    <row r="5645" spans="1:16" x14ac:dyDescent="0.25">
      <c r="A5645" t="s">
        <v>28068</v>
      </c>
      <c r="B5645" t="s">
        <v>28063</v>
      </c>
      <c r="C5645" t="s">
        <v>28064</v>
      </c>
      <c r="D5645" t="str">
        <f>"6092"</f>
        <v>6092</v>
      </c>
      <c r="E5645" t="s">
        <v>28002</v>
      </c>
      <c r="F5645" t="s">
        <v>27965</v>
      </c>
      <c r="G5645" t="s">
        <v>16235</v>
      </c>
      <c r="H5645" t="s">
        <v>47055</v>
      </c>
      <c r="I5645" t="s">
        <v>47127</v>
      </c>
      <c r="J5645" t="s">
        <v>47128</v>
      </c>
      <c r="K5645" t="s">
        <v>47113</v>
      </c>
      <c r="L5645">
        <v>30.37</v>
      </c>
      <c r="M5645">
        <v>85</v>
      </c>
      <c r="N5645">
        <v>229</v>
      </c>
      <c r="O5645">
        <v>85</v>
      </c>
      <c r="P5645">
        <v>229</v>
      </c>
    </row>
    <row r="5646" spans="1:16" x14ac:dyDescent="0.25">
      <c r="A5646" t="s">
        <v>28069</v>
      </c>
      <c r="B5646" t="s">
        <v>28070</v>
      </c>
      <c r="C5646" t="s">
        <v>19662</v>
      </c>
      <c r="D5646" t="str">
        <f>"1001"</f>
        <v>1001</v>
      </c>
      <c r="E5646" t="s">
        <v>42</v>
      </c>
      <c r="F5646" t="s">
        <v>27965</v>
      </c>
      <c r="G5646" t="s">
        <v>16221</v>
      </c>
      <c r="H5646" t="s">
        <v>47055</v>
      </c>
      <c r="I5646" t="s">
        <v>47127</v>
      </c>
      <c r="J5646" t="s">
        <v>47128</v>
      </c>
      <c r="K5646" t="s">
        <v>47113</v>
      </c>
      <c r="L5646">
        <v>15.25</v>
      </c>
      <c r="M5646">
        <v>37</v>
      </c>
      <c r="N5646">
        <v>99</v>
      </c>
      <c r="O5646">
        <v>37</v>
      </c>
      <c r="P5646">
        <v>99</v>
      </c>
    </row>
    <row r="5647" spans="1:16" x14ac:dyDescent="0.25">
      <c r="A5647" t="s">
        <v>28071</v>
      </c>
      <c r="B5647" t="s">
        <v>28070</v>
      </c>
      <c r="C5647" t="s">
        <v>19662</v>
      </c>
      <c r="D5647" t="str">
        <f>"1377"</f>
        <v>1377</v>
      </c>
      <c r="E5647" t="s">
        <v>74</v>
      </c>
      <c r="F5647" t="s">
        <v>27965</v>
      </c>
      <c r="G5647" t="s">
        <v>16221</v>
      </c>
      <c r="H5647" t="s">
        <v>47055</v>
      </c>
      <c r="I5647" t="s">
        <v>47127</v>
      </c>
      <c r="J5647" t="s">
        <v>47128</v>
      </c>
      <c r="K5647" t="s">
        <v>47113</v>
      </c>
      <c r="L5647">
        <v>15.45</v>
      </c>
      <c r="M5647">
        <v>37</v>
      </c>
      <c r="N5647">
        <v>99</v>
      </c>
      <c r="O5647">
        <v>37</v>
      </c>
      <c r="P5647">
        <v>99</v>
      </c>
    </row>
    <row r="5648" spans="1:16" x14ac:dyDescent="0.25">
      <c r="A5648" t="s">
        <v>28072</v>
      </c>
      <c r="B5648" t="s">
        <v>28070</v>
      </c>
      <c r="C5648" t="s">
        <v>19662</v>
      </c>
      <c r="D5648" t="str">
        <f>"1700"</f>
        <v>1700</v>
      </c>
      <c r="E5648" t="s">
        <v>60</v>
      </c>
      <c r="F5648" t="s">
        <v>27965</v>
      </c>
      <c r="G5648" t="s">
        <v>16221</v>
      </c>
      <c r="H5648" t="s">
        <v>47055</v>
      </c>
      <c r="I5648" t="s">
        <v>47127</v>
      </c>
      <c r="J5648" t="s">
        <v>47128</v>
      </c>
      <c r="K5648" t="s">
        <v>47113</v>
      </c>
      <c r="L5648">
        <v>15.45</v>
      </c>
      <c r="M5648">
        <v>37</v>
      </c>
      <c r="N5648">
        <v>99</v>
      </c>
      <c r="O5648">
        <v>37</v>
      </c>
      <c r="P5648">
        <v>99</v>
      </c>
    </row>
    <row r="5649" spans="1:16" x14ac:dyDescent="0.25">
      <c r="A5649" t="s">
        <v>28073</v>
      </c>
      <c r="B5649" t="s">
        <v>28070</v>
      </c>
      <c r="C5649" t="s">
        <v>19662</v>
      </c>
      <c r="D5649" t="str">
        <f>"3501"</f>
        <v>3501</v>
      </c>
      <c r="E5649" t="s">
        <v>3758</v>
      </c>
      <c r="F5649" t="s">
        <v>27965</v>
      </c>
      <c r="G5649" t="s">
        <v>16221</v>
      </c>
      <c r="H5649" t="s">
        <v>47055</v>
      </c>
      <c r="I5649" t="s">
        <v>47127</v>
      </c>
      <c r="J5649" t="s">
        <v>47128</v>
      </c>
      <c r="K5649" t="s">
        <v>47113</v>
      </c>
      <c r="L5649">
        <v>15.45</v>
      </c>
      <c r="M5649">
        <v>37</v>
      </c>
      <c r="N5649">
        <v>99</v>
      </c>
      <c r="O5649">
        <v>37</v>
      </c>
      <c r="P5649">
        <v>99</v>
      </c>
    </row>
    <row r="5650" spans="1:16" x14ac:dyDescent="0.25">
      <c r="A5650" t="s">
        <v>28074</v>
      </c>
      <c r="B5650" t="s">
        <v>28070</v>
      </c>
      <c r="C5650" t="s">
        <v>19662</v>
      </c>
      <c r="D5650" t="str">
        <f>"6092"</f>
        <v>6092</v>
      </c>
      <c r="E5650" t="s">
        <v>28002</v>
      </c>
      <c r="F5650" t="s">
        <v>27965</v>
      </c>
      <c r="G5650" t="s">
        <v>16221</v>
      </c>
      <c r="H5650" t="s">
        <v>47055</v>
      </c>
      <c r="I5650" t="s">
        <v>47127</v>
      </c>
      <c r="J5650" t="s">
        <v>47128</v>
      </c>
      <c r="K5650" t="s">
        <v>47113</v>
      </c>
      <c r="L5650">
        <v>15.45</v>
      </c>
      <c r="M5650">
        <v>37</v>
      </c>
      <c r="N5650">
        <v>99</v>
      </c>
      <c r="O5650">
        <v>37</v>
      </c>
      <c r="P5650">
        <v>99</v>
      </c>
    </row>
    <row r="5651" spans="1:16" x14ac:dyDescent="0.25">
      <c r="A5651" t="s">
        <v>28075</v>
      </c>
      <c r="B5651" t="s">
        <v>28076</v>
      </c>
      <c r="C5651" t="s">
        <v>28077</v>
      </c>
      <c r="D5651" t="str">
        <f>"1378"</f>
        <v>1378</v>
      </c>
      <c r="E5651" t="s">
        <v>388</v>
      </c>
      <c r="F5651" t="s">
        <v>27965</v>
      </c>
      <c r="G5651" t="s">
        <v>16221</v>
      </c>
      <c r="H5651" t="s">
        <v>47055</v>
      </c>
      <c r="I5651" t="s">
        <v>47127</v>
      </c>
      <c r="J5651" t="s">
        <v>47128</v>
      </c>
      <c r="K5651" t="s">
        <v>47113</v>
      </c>
      <c r="L5651">
        <v>17.03</v>
      </c>
      <c r="M5651">
        <v>37</v>
      </c>
      <c r="N5651">
        <v>99</v>
      </c>
      <c r="O5651">
        <v>37</v>
      </c>
      <c r="P5651">
        <v>99</v>
      </c>
    </row>
    <row r="5652" spans="1:16" x14ac:dyDescent="0.25">
      <c r="A5652" t="s">
        <v>28078</v>
      </c>
      <c r="B5652" t="s">
        <v>28076</v>
      </c>
      <c r="C5652" t="s">
        <v>28077</v>
      </c>
      <c r="D5652" t="str">
        <f>"1700"</f>
        <v>1700</v>
      </c>
      <c r="E5652" t="s">
        <v>60</v>
      </c>
      <c r="F5652" t="s">
        <v>27965</v>
      </c>
      <c r="G5652" t="s">
        <v>16221</v>
      </c>
      <c r="H5652" t="s">
        <v>47055</v>
      </c>
      <c r="I5652" t="s">
        <v>47127</v>
      </c>
      <c r="J5652" t="s">
        <v>47128</v>
      </c>
      <c r="K5652" t="s">
        <v>47113</v>
      </c>
      <c r="L5652">
        <v>17.27</v>
      </c>
      <c r="M5652">
        <v>37</v>
      </c>
      <c r="N5652">
        <v>99</v>
      </c>
      <c r="O5652">
        <v>37</v>
      </c>
      <c r="P5652">
        <v>99</v>
      </c>
    </row>
    <row r="5653" spans="1:16" x14ac:dyDescent="0.25">
      <c r="A5653" t="s">
        <v>28079</v>
      </c>
      <c r="B5653" t="s">
        <v>28076</v>
      </c>
      <c r="C5653" t="s">
        <v>28077</v>
      </c>
      <c r="D5653" t="str">
        <f>"4249"</f>
        <v>4249</v>
      </c>
      <c r="E5653" t="s">
        <v>27992</v>
      </c>
      <c r="F5653" t="s">
        <v>27965</v>
      </c>
      <c r="G5653" t="s">
        <v>16221</v>
      </c>
      <c r="H5653" t="s">
        <v>47055</v>
      </c>
      <c r="I5653" t="s">
        <v>47127</v>
      </c>
      <c r="J5653" t="s">
        <v>47128</v>
      </c>
      <c r="K5653" t="s">
        <v>47113</v>
      </c>
      <c r="L5653">
        <v>17.27</v>
      </c>
      <c r="M5653">
        <v>37</v>
      </c>
      <c r="N5653">
        <v>99</v>
      </c>
      <c r="O5653">
        <v>37</v>
      </c>
      <c r="P5653">
        <v>99</v>
      </c>
    </row>
    <row r="5654" spans="1:16" x14ac:dyDescent="0.25">
      <c r="A5654" t="s">
        <v>28080</v>
      </c>
      <c r="B5654" t="s">
        <v>28076</v>
      </c>
      <c r="C5654" t="s">
        <v>28077</v>
      </c>
      <c r="D5654" t="str">
        <f>"6092"</f>
        <v>6092</v>
      </c>
      <c r="E5654" t="s">
        <v>28002</v>
      </c>
      <c r="F5654" t="s">
        <v>27965</v>
      </c>
      <c r="G5654" t="s">
        <v>16221</v>
      </c>
      <c r="H5654" t="s">
        <v>47055</v>
      </c>
      <c r="I5654" t="s">
        <v>47127</v>
      </c>
      <c r="J5654" t="s">
        <v>47128</v>
      </c>
      <c r="K5654" t="s">
        <v>47113</v>
      </c>
      <c r="L5654">
        <v>17.03</v>
      </c>
      <c r="M5654">
        <v>37</v>
      </c>
      <c r="N5654">
        <v>99</v>
      </c>
      <c r="O5654">
        <v>37</v>
      </c>
      <c r="P5654">
        <v>99</v>
      </c>
    </row>
    <row r="5655" spans="1:16" x14ac:dyDescent="0.25">
      <c r="A5655" t="s">
        <v>28081</v>
      </c>
      <c r="B5655" t="s">
        <v>28082</v>
      </c>
      <c r="C5655" t="s">
        <v>28083</v>
      </c>
      <c r="D5655" t="str">
        <f>"1001"</f>
        <v>1001</v>
      </c>
      <c r="E5655" t="s">
        <v>42</v>
      </c>
      <c r="F5655" t="s">
        <v>27965</v>
      </c>
      <c r="G5655" t="s">
        <v>16221</v>
      </c>
      <c r="H5655" t="s">
        <v>47055</v>
      </c>
      <c r="I5655" t="s">
        <v>47127</v>
      </c>
      <c r="J5655" t="s">
        <v>47128</v>
      </c>
      <c r="K5655" t="s">
        <v>47113</v>
      </c>
      <c r="L5655">
        <v>14.71</v>
      </c>
      <c r="M5655">
        <v>33</v>
      </c>
      <c r="N5655">
        <v>89</v>
      </c>
      <c r="O5655">
        <v>33</v>
      </c>
      <c r="P5655">
        <v>89</v>
      </c>
    </row>
    <row r="5656" spans="1:16" x14ac:dyDescent="0.25">
      <c r="A5656" t="s">
        <v>28084</v>
      </c>
      <c r="B5656" t="s">
        <v>28082</v>
      </c>
      <c r="C5656" t="s">
        <v>28083</v>
      </c>
      <c r="D5656" t="str">
        <f>"1285"</f>
        <v>1285</v>
      </c>
      <c r="E5656" t="s">
        <v>2148</v>
      </c>
      <c r="F5656" t="s">
        <v>27965</v>
      </c>
      <c r="G5656" t="s">
        <v>16221</v>
      </c>
      <c r="H5656" t="s">
        <v>47055</v>
      </c>
      <c r="I5656" t="s">
        <v>47127</v>
      </c>
      <c r="J5656" t="s">
        <v>47128</v>
      </c>
      <c r="K5656" t="s">
        <v>47113</v>
      </c>
      <c r="L5656">
        <v>14.71</v>
      </c>
      <c r="M5656">
        <v>33</v>
      </c>
      <c r="N5656">
        <v>89</v>
      </c>
      <c r="O5656">
        <v>33</v>
      </c>
      <c r="P5656">
        <v>89</v>
      </c>
    </row>
    <row r="5657" spans="1:16" x14ac:dyDescent="0.25">
      <c r="A5657" t="s">
        <v>28085</v>
      </c>
      <c r="B5657" t="s">
        <v>28082</v>
      </c>
      <c r="C5657" t="s">
        <v>28083</v>
      </c>
      <c r="D5657" t="str">
        <f>"1700"</f>
        <v>1700</v>
      </c>
      <c r="E5657" t="s">
        <v>60</v>
      </c>
      <c r="F5657" t="s">
        <v>27965</v>
      </c>
      <c r="G5657" t="s">
        <v>16221</v>
      </c>
      <c r="H5657" t="s">
        <v>47055</v>
      </c>
      <c r="I5657" t="s">
        <v>47127</v>
      </c>
      <c r="J5657" t="s">
        <v>47128</v>
      </c>
      <c r="K5657" t="s">
        <v>47113</v>
      </c>
      <c r="L5657">
        <v>14.71</v>
      </c>
      <c r="M5657">
        <v>33</v>
      </c>
      <c r="N5657">
        <v>89</v>
      </c>
      <c r="O5657">
        <v>33</v>
      </c>
      <c r="P5657">
        <v>89</v>
      </c>
    </row>
    <row r="5658" spans="1:16" x14ac:dyDescent="0.25">
      <c r="A5658" t="s">
        <v>28086</v>
      </c>
      <c r="B5658" t="s">
        <v>28082</v>
      </c>
      <c r="C5658" t="s">
        <v>28083</v>
      </c>
      <c r="D5658" t="str">
        <f>"4249"</f>
        <v>4249</v>
      </c>
      <c r="E5658" t="s">
        <v>27992</v>
      </c>
      <c r="F5658" t="s">
        <v>27965</v>
      </c>
      <c r="G5658" t="s">
        <v>16221</v>
      </c>
      <c r="H5658" t="s">
        <v>47055</v>
      </c>
      <c r="I5658" t="s">
        <v>47127</v>
      </c>
      <c r="J5658" t="s">
        <v>47128</v>
      </c>
      <c r="K5658" t="s">
        <v>47113</v>
      </c>
      <c r="L5658">
        <v>14.71</v>
      </c>
      <c r="M5658">
        <v>33</v>
      </c>
      <c r="N5658">
        <v>89</v>
      </c>
      <c r="O5658">
        <v>33</v>
      </c>
      <c r="P5658">
        <v>89</v>
      </c>
    </row>
    <row r="5659" spans="1:16" x14ac:dyDescent="0.25">
      <c r="A5659" t="s">
        <v>28087</v>
      </c>
      <c r="B5659" t="s">
        <v>28082</v>
      </c>
      <c r="C5659" t="s">
        <v>28083</v>
      </c>
      <c r="D5659" t="str">
        <f>"6092"</f>
        <v>6092</v>
      </c>
      <c r="E5659" t="s">
        <v>28002</v>
      </c>
      <c r="F5659" t="s">
        <v>27965</v>
      </c>
      <c r="G5659" t="s">
        <v>16221</v>
      </c>
      <c r="H5659" t="s">
        <v>47055</v>
      </c>
      <c r="I5659" t="s">
        <v>47127</v>
      </c>
      <c r="J5659" t="s">
        <v>47128</v>
      </c>
      <c r="K5659" t="s">
        <v>47113</v>
      </c>
      <c r="L5659">
        <v>14.71</v>
      </c>
      <c r="M5659">
        <v>33</v>
      </c>
      <c r="N5659">
        <v>89</v>
      </c>
      <c r="O5659">
        <v>33</v>
      </c>
      <c r="P5659">
        <v>89</v>
      </c>
    </row>
    <row r="5660" spans="1:16" x14ac:dyDescent="0.25">
      <c r="A5660" t="s">
        <v>28088</v>
      </c>
      <c r="B5660" t="s">
        <v>28082</v>
      </c>
      <c r="C5660" t="s">
        <v>28083</v>
      </c>
      <c r="D5660" t="str">
        <f>"6247"</f>
        <v>6247</v>
      </c>
      <c r="E5660" t="s">
        <v>28089</v>
      </c>
      <c r="F5660" t="s">
        <v>27965</v>
      </c>
      <c r="G5660" t="s">
        <v>16221</v>
      </c>
      <c r="H5660" t="s">
        <v>47055</v>
      </c>
      <c r="I5660" t="s">
        <v>47127</v>
      </c>
      <c r="J5660" t="s">
        <v>47128</v>
      </c>
      <c r="K5660" t="s">
        <v>47113</v>
      </c>
      <c r="L5660">
        <v>14.71</v>
      </c>
      <c r="M5660">
        <v>33</v>
      </c>
      <c r="N5660">
        <v>89</v>
      </c>
      <c r="O5660">
        <v>33</v>
      </c>
      <c r="P5660">
        <v>89</v>
      </c>
    </row>
    <row r="5661" spans="1:16" x14ac:dyDescent="0.25">
      <c r="A5661" t="s">
        <v>28090</v>
      </c>
      <c r="B5661" t="s">
        <v>28091</v>
      </c>
      <c r="C5661" t="s">
        <v>28092</v>
      </c>
      <c r="D5661" t="str">
        <f>"1001"</f>
        <v>1001</v>
      </c>
      <c r="E5661" t="s">
        <v>42</v>
      </c>
      <c r="F5661" t="s">
        <v>27965</v>
      </c>
      <c r="G5661" t="s">
        <v>16221</v>
      </c>
      <c r="H5661" t="s">
        <v>47055</v>
      </c>
      <c r="I5661" t="s">
        <v>47127</v>
      </c>
      <c r="J5661" t="s">
        <v>47128</v>
      </c>
      <c r="K5661" t="s">
        <v>47113</v>
      </c>
      <c r="L5661">
        <v>11.62</v>
      </c>
      <c r="M5661">
        <v>26</v>
      </c>
      <c r="N5661">
        <v>69</v>
      </c>
      <c r="O5661">
        <v>26</v>
      </c>
      <c r="P5661">
        <v>69</v>
      </c>
    </row>
    <row r="5662" spans="1:16" x14ac:dyDescent="0.25">
      <c r="A5662" t="s">
        <v>28093</v>
      </c>
      <c r="B5662" t="s">
        <v>28091</v>
      </c>
      <c r="C5662" t="s">
        <v>28092</v>
      </c>
      <c r="D5662" t="str">
        <f>"1285"</f>
        <v>1285</v>
      </c>
      <c r="E5662" t="s">
        <v>2148</v>
      </c>
      <c r="F5662" t="s">
        <v>27965</v>
      </c>
      <c r="G5662" t="s">
        <v>16221</v>
      </c>
      <c r="H5662" t="s">
        <v>47055</v>
      </c>
      <c r="I5662" t="s">
        <v>47127</v>
      </c>
      <c r="J5662" t="s">
        <v>47128</v>
      </c>
      <c r="K5662" t="s">
        <v>47113</v>
      </c>
      <c r="L5662">
        <v>11.62</v>
      </c>
      <c r="M5662">
        <v>26</v>
      </c>
      <c r="N5662">
        <v>69</v>
      </c>
      <c r="O5662">
        <v>26</v>
      </c>
      <c r="P5662">
        <v>69</v>
      </c>
    </row>
    <row r="5663" spans="1:16" x14ac:dyDescent="0.25">
      <c r="A5663" t="s">
        <v>28094</v>
      </c>
      <c r="B5663" t="s">
        <v>28091</v>
      </c>
      <c r="C5663" t="s">
        <v>28092</v>
      </c>
      <c r="D5663" t="str">
        <f>"1700"</f>
        <v>1700</v>
      </c>
      <c r="E5663" t="s">
        <v>60</v>
      </c>
      <c r="F5663" t="s">
        <v>27965</v>
      </c>
      <c r="G5663" t="s">
        <v>16221</v>
      </c>
      <c r="H5663" t="s">
        <v>47055</v>
      </c>
      <c r="I5663" t="s">
        <v>47127</v>
      </c>
      <c r="J5663" t="s">
        <v>47128</v>
      </c>
      <c r="K5663" t="s">
        <v>47113</v>
      </c>
      <c r="L5663">
        <v>11.62</v>
      </c>
      <c r="M5663">
        <v>26</v>
      </c>
      <c r="N5663">
        <v>69</v>
      </c>
      <c r="O5663">
        <v>26</v>
      </c>
      <c r="P5663">
        <v>69</v>
      </c>
    </row>
    <row r="5664" spans="1:16" x14ac:dyDescent="0.25">
      <c r="A5664" t="s">
        <v>28095</v>
      </c>
      <c r="B5664" t="s">
        <v>28091</v>
      </c>
      <c r="C5664" t="s">
        <v>28092</v>
      </c>
      <c r="D5664" t="str">
        <f>"4249"</f>
        <v>4249</v>
      </c>
      <c r="E5664" t="s">
        <v>27992</v>
      </c>
      <c r="F5664" t="s">
        <v>27965</v>
      </c>
      <c r="G5664" t="s">
        <v>16221</v>
      </c>
      <c r="H5664" t="s">
        <v>47055</v>
      </c>
      <c r="I5664" t="s">
        <v>47127</v>
      </c>
      <c r="J5664" t="s">
        <v>47128</v>
      </c>
      <c r="K5664" t="s">
        <v>47113</v>
      </c>
      <c r="L5664">
        <v>11.46</v>
      </c>
      <c r="M5664">
        <v>26</v>
      </c>
      <c r="N5664">
        <v>69</v>
      </c>
      <c r="O5664">
        <v>26</v>
      </c>
      <c r="P5664">
        <v>69</v>
      </c>
    </row>
    <row r="5665" spans="1:16" x14ac:dyDescent="0.25">
      <c r="A5665" t="s">
        <v>28096</v>
      </c>
      <c r="B5665" t="s">
        <v>28091</v>
      </c>
      <c r="C5665" t="s">
        <v>28092</v>
      </c>
      <c r="D5665" t="str">
        <f>"6092"</f>
        <v>6092</v>
      </c>
      <c r="E5665" t="s">
        <v>28002</v>
      </c>
      <c r="F5665" t="s">
        <v>27965</v>
      </c>
      <c r="G5665" t="s">
        <v>16221</v>
      </c>
      <c r="H5665" t="s">
        <v>47055</v>
      </c>
      <c r="I5665" t="s">
        <v>47127</v>
      </c>
      <c r="J5665" t="s">
        <v>47128</v>
      </c>
      <c r="K5665" t="s">
        <v>47113</v>
      </c>
      <c r="L5665">
        <v>11.46</v>
      </c>
      <c r="M5665">
        <v>26</v>
      </c>
      <c r="N5665">
        <v>69</v>
      </c>
      <c r="O5665">
        <v>26</v>
      </c>
      <c r="P5665">
        <v>69</v>
      </c>
    </row>
    <row r="5666" spans="1:16" x14ac:dyDescent="0.25">
      <c r="A5666" t="s">
        <v>28097</v>
      </c>
      <c r="B5666" t="s">
        <v>28091</v>
      </c>
      <c r="C5666" t="s">
        <v>28092</v>
      </c>
      <c r="D5666" t="str">
        <f>"6247"</f>
        <v>6247</v>
      </c>
      <c r="E5666" t="s">
        <v>28089</v>
      </c>
      <c r="F5666" t="s">
        <v>27965</v>
      </c>
      <c r="G5666" t="s">
        <v>16221</v>
      </c>
      <c r="H5666" t="s">
        <v>47055</v>
      </c>
      <c r="I5666" t="s">
        <v>47127</v>
      </c>
      <c r="J5666" t="s">
        <v>47128</v>
      </c>
      <c r="K5666" t="s">
        <v>47113</v>
      </c>
      <c r="L5666">
        <v>11.62</v>
      </c>
      <c r="M5666">
        <v>26</v>
      </c>
      <c r="N5666">
        <v>69</v>
      </c>
      <c r="O5666">
        <v>26</v>
      </c>
      <c r="P5666">
        <v>69</v>
      </c>
    </row>
    <row r="5667" spans="1:16" x14ac:dyDescent="0.25">
      <c r="A5667" t="s">
        <v>28098</v>
      </c>
      <c r="B5667" t="s">
        <v>28099</v>
      </c>
      <c r="C5667" t="s">
        <v>28100</v>
      </c>
      <c r="D5667" t="str">
        <f>"1001"</f>
        <v>1001</v>
      </c>
      <c r="E5667" t="s">
        <v>42</v>
      </c>
      <c r="F5667" t="s">
        <v>27965</v>
      </c>
      <c r="G5667" t="s">
        <v>16221</v>
      </c>
      <c r="H5667" t="s">
        <v>47055</v>
      </c>
      <c r="I5667" t="s">
        <v>47127</v>
      </c>
      <c r="J5667" t="s">
        <v>47128</v>
      </c>
      <c r="K5667" t="s">
        <v>47113</v>
      </c>
      <c r="L5667">
        <v>13.75</v>
      </c>
      <c r="M5667">
        <v>33</v>
      </c>
      <c r="N5667">
        <v>89</v>
      </c>
      <c r="O5667">
        <v>33</v>
      </c>
      <c r="P5667">
        <v>89</v>
      </c>
    </row>
    <row r="5668" spans="1:16" x14ac:dyDescent="0.25">
      <c r="A5668" t="s">
        <v>28101</v>
      </c>
      <c r="B5668" t="s">
        <v>28099</v>
      </c>
      <c r="C5668" t="s">
        <v>28100</v>
      </c>
      <c r="D5668" t="str">
        <f>"1285"</f>
        <v>1285</v>
      </c>
      <c r="E5668" t="s">
        <v>2148</v>
      </c>
      <c r="F5668" t="s">
        <v>27965</v>
      </c>
      <c r="G5668" t="s">
        <v>16221</v>
      </c>
      <c r="H5668" t="s">
        <v>47055</v>
      </c>
      <c r="I5668" t="s">
        <v>47127</v>
      </c>
      <c r="J5668" t="s">
        <v>47128</v>
      </c>
      <c r="K5668" t="s">
        <v>47113</v>
      </c>
      <c r="L5668">
        <v>13.75</v>
      </c>
      <c r="M5668">
        <v>26</v>
      </c>
      <c r="N5668">
        <v>69</v>
      </c>
      <c r="O5668">
        <v>26</v>
      </c>
      <c r="P5668">
        <v>69</v>
      </c>
    </row>
    <row r="5669" spans="1:16" x14ac:dyDescent="0.25">
      <c r="A5669" t="s">
        <v>28102</v>
      </c>
      <c r="B5669" t="s">
        <v>28099</v>
      </c>
      <c r="C5669" t="s">
        <v>28100</v>
      </c>
      <c r="D5669" t="str">
        <f>"1700"</f>
        <v>1700</v>
      </c>
      <c r="E5669" t="s">
        <v>60</v>
      </c>
      <c r="F5669" t="s">
        <v>27965</v>
      </c>
      <c r="G5669" t="s">
        <v>16221</v>
      </c>
      <c r="H5669" t="s">
        <v>47055</v>
      </c>
      <c r="I5669" t="s">
        <v>47127</v>
      </c>
      <c r="J5669" t="s">
        <v>47128</v>
      </c>
      <c r="K5669" t="s">
        <v>47113</v>
      </c>
      <c r="L5669">
        <v>13.75</v>
      </c>
      <c r="M5669">
        <v>26</v>
      </c>
      <c r="N5669">
        <v>69</v>
      </c>
      <c r="O5669">
        <v>26</v>
      </c>
      <c r="P5669">
        <v>69</v>
      </c>
    </row>
    <row r="5670" spans="1:16" x14ac:dyDescent="0.25">
      <c r="A5670" t="s">
        <v>28103</v>
      </c>
      <c r="B5670" t="s">
        <v>28099</v>
      </c>
      <c r="C5670" t="s">
        <v>28100</v>
      </c>
      <c r="D5670" t="str">
        <f>"4025"</f>
        <v>4025</v>
      </c>
      <c r="E5670" t="s">
        <v>24724</v>
      </c>
      <c r="F5670" t="s">
        <v>27965</v>
      </c>
      <c r="G5670" t="s">
        <v>16221</v>
      </c>
      <c r="H5670" t="s">
        <v>47055</v>
      </c>
      <c r="I5670" t="s">
        <v>47127</v>
      </c>
      <c r="J5670" t="s">
        <v>47128</v>
      </c>
      <c r="K5670" t="s">
        <v>47113</v>
      </c>
      <c r="L5670">
        <v>13.75</v>
      </c>
      <c r="M5670">
        <v>26</v>
      </c>
      <c r="N5670">
        <v>69</v>
      </c>
      <c r="O5670">
        <v>26</v>
      </c>
      <c r="P5670">
        <v>69</v>
      </c>
    </row>
    <row r="5671" spans="1:16" x14ac:dyDescent="0.25">
      <c r="A5671" t="s">
        <v>28104</v>
      </c>
      <c r="B5671" t="s">
        <v>28105</v>
      </c>
      <c r="C5671" t="s">
        <v>28106</v>
      </c>
      <c r="D5671" t="str">
        <f>"1001"</f>
        <v>1001</v>
      </c>
      <c r="E5671" t="s">
        <v>42</v>
      </c>
      <c r="F5671" t="s">
        <v>27965</v>
      </c>
      <c r="G5671" t="s">
        <v>16221</v>
      </c>
      <c r="H5671" t="s">
        <v>47055</v>
      </c>
      <c r="I5671" t="s">
        <v>47127</v>
      </c>
      <c r="J5671" t="s">
        <v>47128</v>
      </c>
      <c r="K5671" t="s">
        <v>47113</v>
      </c>
      <c r="L5671">
        <v>11.62</v>
      </c>
      <c r="M5671">
        <v>26</v>
      </c>
      <c r="N5671">
        <v>69</v>
      </c>
      <c r="O5671">
        <v>26</v>
      </c>
      <c r="P5671">
        <v>69</v>
      </c>
    </row>
    <row r="5672" spans="1:16" x14ac:dyDescent="0.25">
      <c r="A5672" t="s">
        <v>28107</v>
      </c>
      <c r="B5672" t="s">
        <v>28105</v>
      </c>
      <c r="C5672" t="s">
        <v>28106</v>
      </c>
      <c r="D5672" t="str">
        <f>"1285"</f>
        <v>1285</v>
      </c>
      <c r="E5672" t="s">
        <v>2148</v>
      </c>
      <c r="F5672" t="s">
        <v>27965</v>
      </c>
      <c r="G5672" t="s">
        <v>16221</v>
      </c>
      <c r="H5672" t="s">
        <v>47055</v>
      </c>
      <c r="I5672" t="s">
        <v>47127</v>
      </c>
      <c r="J5672" t="s">
        <v>47128</v>
      </c>
      <c r="K5672" t="s">
        <v>47113</v>
      </c>
      <c r="L5672">
        <v>11.62</v>
      </c>
      <c r="M5672">
        <v>26</v>
      </c>
      <c r="N5672">
        <v>69</v>
      </c>
      <c r="O5672">
        <v>26</v>
      </c>
      <c r="P5672">
        <v>69</v>
      </c>
    </row>
    <row r="5673" spans="1:16" x14ac:dyDescent="0.25">
      <c r="A5673" t="s">
        <v>28108</v>
      </c>
      <c r="B5673" t="s">
        <v>28105</v>
      </c>
      <c r="C5673" t="s">
        <v>28106</v>
      </c>
      <c r="D5673" t="str">
        <f>"1700"</f>
        <v>1700</v>
      </c>
      <c r="E5673" t="s">
        <v>60</v>
      </c>
      <c r="F5673" t="s">
        <v>27965</v>
      </c>
      <c r="G5673" t="s">
        <v>16221</v>
      </c>
      <c r="H5673" t="s">
        <v>47055</v>
      </c>
      <c r="I5673" t="s">
        <v>47127</v>
      </c>
      <c r="J5673" t="s">
        <v>47128</v>
      </c>
      <c r="K5673" t="s">
        <v>47113</v>
      </c>
      <c r="L5673">
        <v>11.62</v>
      </c>
      <c r="M5673">
        <v>26</v>
      </c>
      <c r="N5673">
        <v>69</v>
      </c>
      <c r="O5673">
        <v>26</v>
      </c>
      <c r="P5673">
        <v>69</v>
      </c>
    </row>
    <row r="5674" spans="1:16" x14ac:dyDescent="0.25">
      <c r="A5674" t="s">
        <v>28109</v>
      </c>
      <c r="B5674" t="s">
        <v>28105</v>
      </c>
      <c r="C5674" t="s">
        <v>28106</v>
      </c>
      <c r="D5674" t="str">
        <f>"4025"</f>
        <v>4025</v>
      </c>
      <c r="E5674" t="s">
        <v>24724</v>
      </c>
      <c r="F5674" t="s">
        <v>27965</v>
      </c>
      <c r="G5674" t="s">
        <v>16221</v>
      </c>
      <c r="H5674" t="s">
        <v>47055</v>
      </c>
      <c r="I5674" t="s">
        <v>47127</v>
      </c>
      <c r="J5674" t="s">
        <v>47128</v>
      </c>
      <c r="K5674" t="s">
        <v>47113</v>
      </c>
      <c r="L5674">
        <v>11.62</v>
      </c>
      <c r="M5674">
        <v>26</v>
      </c>
      <c r="N5674">
        <v>69</v>
      </c>
      <c r="O5674">
        <v>26</v>
      </c>
      <c r="P5674">
        <v>69</v>
      </c>
    </row>
    <row r="5675" spans="1:16" x14ac:dyDescent="0.25">
      <c r="A5675" t="s">
        <v>28110</v>
      </c>
      <c r="B5675" t="s">
        <v>28111</v>
      </c>
      <c r="C5675" t="s">
        <v>28112</v>
      </c>
      <c r="D5675" t="str">
        <f>"1001"</f>
        <v>1001</v>
      </c>
      <c r="E5675" t="s">
        <v>42</v>
      </c>
      <c r="F5675" t="s">
        <v>27965</v>
      </c>
      <c r="G5675" t="s">
        <v>16221</v>
      </c>
      <c r="H5675" t="s">
        <v>47055</v>
      </c>
      <c r="I5675" t="s">
        <v>47127</v>
      </c>
      <c r="J5675" t="s">
        <v>47128</v>
      </c>
      <c r="K5675" t="s">
        <v>47113</v>
      </c>
      <c r="L5675">
        <v>11.62</v>
      </c>
      <c r="M5675">
        <v>26</v>
      </c>
      <c r="N5675">
        <v>69</v>
      </c>
      <c r="O5675">
        <v>26</v>
      </c>
      <c r="P5675">
        <v>69</v>
      </c>
    </row>
    <row r="5676" spans="1:16" x14ac:dyDescent="0.25">
      <c r="A5676" t="s">
        <v>28113</v>
      </c>
      <c r="B5676" t="s">
        <v>28111</v>
      </c>
      <c r="C5676" t="s">
        <v>28112</v>
      </c>
      <c r="D5676" t="str">
        <f>"1700"</f>
        <v>1700</v>
      </c>
      <c r="E5676" t="s">
        <v>60</v>
      </c>
      <c r="F5676" t="s">
        <v>27965</v>
      </c>
      <c r="G5676" t="s">
        <v>16221</v>
      </c>
      <c r="H5676" t="s">
        <v>47055</v>
      </c>
      <c r="I5676" t="s">
        <v>47127</v>
      </c>
      <c r="J5676" t="s">
        <v>47128</v>
      </c>
      <c r="K5676" t="s">
        <v>47113</v>
      </c>
      <c r="L5676">
        <v>11.62</v>
      </c>
      <c r="M5676">
        <v>26</v>
      </c>
      <c r="N5676">
        <v>69</v>
      </c>
      <c r="O5676">
        <v>26</v>
      </c>
      <c r="P5676">
        <v>69</v>
      </c>
    </row>
    <row r="5677" spans="1:16" x14ac:dyDescent="0.25">
      <c r="A5677" t="s">
        <v>28114</v>
      </c>
      <c r="B5677" t="s">
        <v>28111</v>
      </c>
      <c r="C5677" t="s">
        <v>28112</v>
      </c>
      <c r="D5677" t="str">
        <f>"4025"</f>
        <v>4025</v>
      </c>
      <c r="E5677" t="s">
        <v>24724</v>
      </c>
      <c r="F5677" t="s">
        <v>27965</v>
      </c>
      <c r="G5677" t="s">
        <v>16221</v>
      </c>
      <c r="H5677" t="s">
        <v>47055</v>
      </c>
      <c r="I5677" t="s">
        <v>47127</v>
      </c>
      <c r="J5677" t="s">
        <v>47128</v>
      </c>
      <c r="K5677" t="s">
        <v>47113</v>
      </c>
      <c r="L5677">
        <v>11.62</v>
      </c>
      <c r="M5677">
        <v>26</v>
      </c>
      <c r="N5677">
        <v>69</v>
      </c>
      <c r="O5677">
        <v>26</v>
      </c>
      <c r="P5677">
        <v>69</v>
      </c>
    </row>
    <row r="5678" spans="1:16" x14ac:dyDescent="0.25">
      <c r="A5678" t="s">
        <v>28115</v>
      </c>
      <c r="B5678" t="s">
        <v>28111</v>
      </c>
      <c r="C5678" t="s">
        <v>28112</v>
      </c>
      <c r="D5678" t="str">
        <f>"4643"</f>
        <v>4643</v>
      </c>
      <c r="E5678" t="s">
        <v>205</v>
      </c>
      <c r="F5678" t="s">
        <v>27965</v>
      </c>
      <c r="G5678" t="s">
        <v>16221</v>
      </c>
      <c r="H5678" t="s">
        <v>47055</v>
      </c>
      <c r="I5678" t="s">
        <v>47127</v>
      </c>
      <c r="J5678" t="s">
        <v>47128</v>
      </c>
      <c r="K5678" t="s">
        <v>47113</v>
      </c>
      <c r="L5678">
        <v>11.62</v>
      </c>
      <c r="M5678">
        <v>26</v>
      </c>
      <c r="N5678">
        <v>69</v>
      </c>
      <c r="O5678">
        <v>26</v>
      </c>
      <c r="P5678">
        <v>69</v>
      </c>
    </row>
    <row r="5679" spans="1:16" x14ac:dyDescent="0.25">
      <c r="A5679" t="s">
        <v>28116</v>
      </c>
      <c r="B5679" t="s">
        <v>28111</v>
      </c>
      <c r="C5679" t="s">
        <v>28112</v>
      </c>
      <c r="D5679" t="str">
        <f>"4677"</f>
        <v>4677</v>
      </c>
      <c r="E5679" t="s">
        <v>9288</v>
      </c>
      <c r="F5679" t="s">
        <v>27965</v>
      </c>
      <c r="G5679" t="s">
        <v>16221</v>
      </c>
      <c r="H5679" t="s">
        <v>47055</v>
      </c>
      <c r="I5679" t="s">
        <v>47127</v>
      </c>
      <c r="J5679" t="s">
        <v>47128</v>
      </c>
      <c r="K5679" t="s">
        <v>47113</v>
      </c>
      <c r="L5679">
        <v>11.62</v>
      </c>
      <c r="M5679">
        <v>26</v>
      </c>
      <c r="N5679">
        <v>69</v>
      </c>
      <c r="O5679">
        <v>26</v>
      </c>
      <c r="P5679">
        <v>69</v>
      </c>
    </row>
    <row r="5680" spans="1:16" x14ac:dyDescent="0.25">
      <c r="A5680" t="s">
        <v>28117</v>
      </c>
      <c r="B5680" t="s">
        <v>28118</v>
      </c>
      <c r="C5680" t="s">
        <v>28119</v>
      </c>
      <c r="D5680" t="str">
        <f>"1001"</f>
        <v>1001</v>
      </c>
      <c r="E5680" t="s">
        <v>42</v>
      </c>
      <c r="F5680" t="s">
        <v>27965</v>
      </c>
      <c r="G5680" t="s">
        <v>16221</v>
      </c>
      <c r="H5680" t="s">
        <v>47055</v>
      </c>
      <c r="I5680" t="s">
        <v>47127</v>
      </c>
      <c r="J5680" t="s">
        <v>47128</v>
      </c>
      <c r="K5680" t="s">
        <v>47113</v>
      </c>
      <c r="L5680">
        <v>12.26</v>
      </c>
      <c r="M5680">
        <v>33</v>
      </c>
      <c r="N5680">
        <v>89</v>
      </c>
      <c r="O5680">
        <v>33</v>
      </c>
      <c r="P5680">
        <v>89</v>
      </c>
    </row>
    <row r="5681" spans="1:16" x14ac:dyDescent="0.25">
      <c r="A5681" t="s">
        <v>28120</v>
      </c>
      <c r="B5681" t="s">
        <v>28118</v>
      </c>
      <c r="C5681" t="s">
        <v>28119</v>
      </c>
      <c r="D5681" t="str">
        <f>"1278"</f>
        <v>1278</v>
      </c>
      <c r="E5681" t="s">
        <v>100</v>
      </c>
      <c r="F5681" t="s">
        <v>27965</v>
      </c>
      <c r="G5681" t="s">
        <v>16221</v>
      </c>
      <c r="H5681" t="s">
        <v>47055</v>
      </c>
      <c r="I5681" t="s">
        <v>47127</v>
      </c>
      <c r="J5681" t="s">
        <v>47128</v>
      </c>
      <c r="K5681" t="s">
        <v>47113</v>
      </c>
      <c r="L5681">
        <v>12.26</v>
      </c>
      <c r="M5681">
        <v>33</v>
      </c>
      <c r="N5681">
        <v>89</v>
      </c>
      <c r="O5681">
        <v>33</v>
      </c>
      <c r="P5681">
        <v>89</v>
      </c>
    </row>
    <row r="5682" spans="1:16" x14ac:dyDescent="0.25">
      <c r="A5682" t="s">
        <v>28121</v>
      </c>
      <c r="B5682" t="s">
        <v>28118</v>
      </c>
      <c r="C5682" t="s">
        <v>28119</v>
      </c>
      <c r="D5682" t="str">
        <f>"1700"</f>
        <v>1700</v>
      </c>
      <c r="E5682" t="s">
        <v>60</v>
      </c>
      <c r="F5682" t="s">
        <v>27965</v>
      </c>
      <c r="G5682" t="s">
        <v>16221</v>
      </c>
      <c r="H5682" t="s">
        <v>47055</v>
      </c>
      <c r="I5682" t="s">
        <v>47127</v>
      </c>
      <c r="J5682" t="s">
        <v>47128</v>
      </c>
      <c r="K5682" t="s">
        <v>47113</v>
      </c>
      <c r="L5682">
        <v>12.26</v>
      </c>
      <c r="M5682">
        <v>33</v>
      </c>
      <c r="N5682">
        <v>89</v>
      </c>
      <c r="O5682">
        <v>33</v>
      </c>
      <c r="P5682">
        <v>89</v>
      </c>
    </row>
    <row r="5683" spans="1:16" x14ac:dyDescent="0.25">
      <c r="A5683" t="s">
        <v>28122</v>
      </c>
      <c r="B5683" t="s">
        <v>28118</v>
      </c>
      <c r="C5683" t="s">
        <v>28119</v>
      </c>
      <c r="D5683" t="str">
        <f>"3501"</f>
        <v>3501</v>
      </c>
      <c r="E5683" t="s">
        <v>3758</v>
      </c>
      <c r="F5683" t="s">
        <v>27965</v>
      </c>
      <c r="G5683" t="s">
        <v>16221</v>
      </c>
      <c r="H5683" t="s">
        <v>47055</v>
      </c>
      <c r="I5683" t="s">
        <v>47127</v>
      </c>
      <c r="J5683" t="s">
        <v>47128</v>
      </c>
      <c r="K5683" t="s">
        <v>47113</v>
      </c>
      <c r="L5683">
        <v>12.26</v>
      </c>
      <c r="M5683">
        <v>33</v>
      </c>
      <c r="N5683">
        <v>89</v>
      </c>
      <c r="O5683">
        <v>33</v>
      </c>
      <c r="P5683">
        <v>89</v>
      </c>
    </row>
    <row r="5684" spans="1:16" x14ac:dyDescent="0.25">
      <c r="A5684" t="s">
        <v>28123</v>
      </c>
      <c r="B5684" t="s">
        <v>28118</v>
      </c>
      <c r="C5684" t="s">
        <v>28119</v>
      </c>
      <c r="D5684" t="str">
        <f>"4643"</f>
        <v>4643</v>
      </c>
      <c r="E5684" t="s">
        <v>205</v>
      </c>
      <c r="F5684" t="s">
        <v>27965</v>
      </c>
      <c r="G5684" t="s">
        <v>16221</v>
      </c>
      <c r="H5684" t="s">
        <v>47055</v>
      </c>
      <c r="I5684" t="s">
        <v>47127</v>
      </c>
      <c r="J5684" t="s">
        <v>47128</v>
      </c>
      <c r="K5684" t="s">
        <v>47113</v>
      </c>
      <c r="L5684">
        <v>12.26</v>
      </c>
      <c r="M5684">
        <v>33</v>
      </c>
      <c r="N5684">
        <v>89</v>
      </c>
      <c r="O5684">
        <v>33</v>
      </c>
      <c r="P5684">
        <v>89</v>
      </c>
    </row>
    <row r="5685" spans="1:16" x14ac:dyDescent="0.25">
      <c r="A5685" t="s">
        <v>28124</v>
      </c>
      <c r="B5685" t="s">
        <v>28125</v>
      </c>
      <c r="C5685" t="s">
        <v>28126</v>
      </c>
      <c r="D5685" t="str">
        <f>"1285"</f>
        <v>1285</v>
      </c>
      <c r="E5685" t="s">
        <v>2148</v>
      </c>
      <c r="F5685" t="s">
        <v>27965</v>
      </c>
      <c r="G5685" t="s">
        <v>16221</v>
      </c>
      <c r="H5685" t="s">
        <v>47055</v>
      </c>
      <c r="I5685" t="s">
        <v>47127</v>
      </c>
      <c r="J5685" t="s">
        <v>47128</v>
      </c>
      <c r="K5685" t="s">
        <v>47113</v>
      </c>
      <c r="L5685">
        <v>15.77</v>
      </c>
      <c r="M5685">
        <v>33</v>
      </c>
      <c r="N5685">
        <v>89</v>
      </c>
      <c r="O5685">
        <v>33</v>
      </c>
      <c r="P5685">
        <v>89</v>
      </c>
    </row>
    <row r="5686" spans="1:16" x14ac:dyDescent="0.25">
      <c r="A5686" t="s">
        <v>28127</v>
      </c>
      <c r="B5686" t="s">
        <v>28125</v>
      </c>
      <c r="C5686" t="s">
        <v>28126</v>
      </c>
      <c r="D5686" t="str">
        <f>"1378"</f>
        <v>1378</v>
      </c>
      <c r="E5686" t="s">
        <v>388</v>
      </c>
      <c r="F5686" t="s">
        <v>27965</v>
      </c>
      <c r="G5686" t="s">
        <v>16221</v>
      </c>
      <c r="H5686" t="s">
        <v>47055</v>
      </c>
      <c r="I5686" t="s">
        <v>47127</v>
      </c>
      <c r="J5686" t="s">
        <v>47128</v>
      </c>
      <c r="K5686" t="s">
        <v>47113</v>
      </c>
      <c r="L5686">
        <v>15.77</v>
      </c>
      <c r="M5686">
        <v>33</v>
      </c>
      <c r="N5686">
        <v>89</v>
      </c>
      <c r="O5686">
        <v>33</v>
      </c>
      <c r="P5686">
        <v>89</v>
      </c>
    </row>
    <row r="5687" spans="1:16" x14ac:dyDescent="0.25">
      <c r="A5687" t="s">
        <v>28128</v>
      </c>
      <c r="B5687" t="s">
        <v>28125</v>
      </c>
      <c r="C5687" t="s">
        <v>28126</v>
      </c>
      <c r="D5687" t="str">
        <f>"1700"</f>
        <v>1700</v>
      </c>
      <c r="E5687" t="s">
        <v>60</v>
      </c>
      <c r="F5687" t="s">
        <v>27965</v>
      </c>
      <c r="G5687" t="s">
        <v>16221</v>
      </c>
      <c r="H5687" t="s">
        <v>47055</v>
      </c>
      <c r="I5687" t="s">
        <v>47127</v>
      </c>
      <c r="J5687" t="s">
        <v>47128</v>
      </c>
      <c r="K5687" t="s">
        <v>47113</v>
      </c>
      <c r="L5687">
        <v>15.77</v>
      </c>
      <c r="M5687">
        <v>33</v>
      </c>
      <c r="N5687">
        <v>89</v>
      </c>
      <c r="O5687">
        <v>33</v>
      </c>
      <c r="P5687">
        <v>89</v>
      </c>
    </row>
    <row r="5688" spans="1:16" x14ac:dyDescent="0.25">
      <c r="A5688" t="s">
        <v>28129</v>
      </c>
      <c r="B5688" t="s">
        <v>28125</v>
      </c>
      <c r="C5688" t="s">
        <v>28126</v>
      </c>
      <c r="D5688" t="str">
        <f>"4025"</f>
        <v>4025</v>
      </c>
      <c r="E5688" t="s">
        <v>24724</v>
      </c>
      <c r="F5688" t="s">
        <v>27965</v>
      </c>
      <c r="G5688" t="s">
        <v>16221</v>
      </c>
      <c r="H5688" t="s">
        <v>47055</v>
      </c>
      <c r="I5688" t="s">
        <v>47127</v>
      </c>
      <c r="J5688" t="s">
        <v>47128</v>
      </c>
      <c r="K5688" t="s">
        <v>47113</v>
      </c>
      <c r="L5688">
        <v>15.77</v>
      </c>
      <c r="M5688">
        <v>33</v>
      </c>
      <c r="N5688">
        <v>89</v>
      </c>
      <c r="O5688">
        <v>33</v>
      </c>
      <c r="P5688">
        <v>89</v>
      </c>
    </row>
    <row r="5689" spans="1:16" x14ac:dyDescent="0.25">
      <c r="A5689" t="s">
        <v>28130</v>
      </c>
      <c r="B5689" t="s">
        <v>28131</v>
      </c>
      <c r="C5689" t="s">
        <v>28132</v>
      </c>
      <c r="D5689" t="str">
        <f>"1377"</f>
        <v>1377</v>
      </c>
      <c r="E5689" t="s">
        <v>74</v>
      </c>
      <c r="F5689" t="s">
        <v>27965</v>
      </c>
      <c r="G5689" t="s">
        <v>16221</v>
      </c>
      <c r="H5689" t="s">
        <v>47055</v>
      </c>
      <c r="I5689" t="s">
        <v>47127</v>
      </c>
      <c r="J5689" t="s">
        <v>47128</v>
      </c>
      <c r="K5689" t="s">
        <v>47113</v>
      </c>
      <c r="L5689">
        <v>15.14</v>
      </c>
      <c r="M5689">
        <v>33</v>
      </c>
      <c r="N5689">
        <v>89</v>
      </c>
      <c r="O5689">
        <v>33</v>
      </c>
      <c r="P5689">
        <v>89</v>
      </c>
    </row>
    <row r="5690" spans="1:16" x14ac:dyDescent="0.25">
      <c r="A5690" t="s">
        <v>28133</v>
      </c>
      <c r="B5690" t="s">
        <v>28131</v>
      </c>
      <c r="C5690" t="s">
        <v>28132</v>
      </c>
      <c r="D5690" t="str">
        <f>"1378"</f>
        <v>1378</v>
      </c>
      <c r="E5690" t="s">
        <v>388</v>
      </c>
      <c r="F5690" t="s">
        <v>27965</v>
      </c>
      <c r="G5690" t="s">
        <v>16221</v>
      </c>
      <c r="H5690" t="s">
        <v>47055</v>
      </c>
      <c r="I5690" t="s">
        <v>47127</v>
      </c>
      <c r="J5690" t="s">
        <v>47128</v>
      </c>
      <c r="K5690" t="s">
        <v>47113</v>
      </c>
      <c r="L5690">
        <v>15.14</v>
      </c>
      <c r="M5690">
        <v>33</v>
      </c>
      <c r="N5690">
        <v>89</v>
      </c>
      <c r="O5690">
        <v>33</v>
      </c>
      <c r="P5690">
        <v>89</v>
      </c>
    </row>
    <row r="5691" spans="1:16" x14ac:dyDescent="0.25">
      <c r="A5691" t="s">
        <v>28134</v>
      </c>
      <c r="B5691" t="s">
        <v>28131</v>
      </c>
      <c r="C5691" t="s">
        <v>28132</v>
      </c>
      <c r="D5691" t="str">
        <f>"4025"</f>
        <v>4025</v>
      </c>
      <c r="E5691" t="s">
        <v>24724</v>
      </c>
      <c r="F5691" t="s">
        <v>27965</v>
      </c>
      <c r="G5691" t="s">
        <v>16221</v>
      </c>
      <c r="H5691" t="s">
        <v>47055</v>
      </c>
      <c r="I5691" t="s">
        <v>47127</v>
      </c>
      <c r="J5691" t="s">
        <v>47128</v>
      </c>
      <c r="K5691" t="s">
        <v>47113</v>
      </c>
      <c r="L5691">
        <v>15.14</v>
      </c>
      <c r="M5691">
        <v>33</v>
      </c>
      <c r="N5691">
        <v>89</v>
      </c>
      <c r="O5691">
        <v>33</v>
      </c>
      <c r="P5691">
        <v>89</v>
      </c>
    </row>
    <row r="5692" spans="1:16" x14ac:dyDescent="0.25">
      <c r="A5692" t="s">
        <v>28135</v>
      </c>
      <c r="B5692" t="s">
        <v>28136</v>
      </c>
      <c r="C5692" t="s">
        <v>28137</v>
      </c>
      <c r="D5692" t="str">
        <f>"1377"</f>
        <v>1377</v>
      </c>
      <c r="E5692" t="s">
        <v>74</v>
      </c>
      <c r="F5692" t="s">
        <v>27965</v>
      </c>
      <c r="G5692" t="s">
        <v>16221</v>
      </c>
      <c r="H5692" t="s">
        <v>47055</v>
      </c>
      <c r="I5692" t="s">
        <v>47127</v>
      </c>
      <c r="J5692" t="s">
        <v>47128</v>
      </c>
      <c r="K5692" t="s">
        <v>47113</v>
      </c>
      <c r="L5692">
        <v>13.11</v>
      </c>
      <c r="M5692">
        <v>33</v>
      </c>
      <c r="N5692">
        <v>89</v>
      </c>
      <c r="O5692">
        <v>33</v>
      </c>
      <c r="P5692">
        <v>89</v>
      </c>
    </row>
    <row r="5693" spans="1:16" x14ac:dyDescent="0.25">
      <c r="A5693" t="s">
        <v>28138</v>
      </c>
      <c r="B5693" t="s">
        <v>28136</v>
      </c>
      <c r="C5693" t="s">
        <v>28137</v>
      </c>
      <c r="D5693" t="str">
        <f>"1378"</f>
        <v>1378</v>
      </c>
      <c r="E5693" t="s">
        <v>388</v>
      </c>
      <c r="F5693" t="s">
        <v>27965</v>
      </c>
      <c r="G5693" t="s">
        <v>16221</v>
      </c>
      <c r="H5693" t="s">
        <v>47055</v>
      </c>
      <c r="I5693" t="s">
        <v>47127</v>
      </c>
      <c r="J5693" t="s">
        <v>47128</v>
      </c>
      <c r="K5693" t="s">
        <v>47113</v>
      </c>
      <c r="L5693">
        <v>13.11</v>
      </c>
      <c r="M5693">
        <v>33</v>
      </c>
      <c r="N5693">
        <v>89</v>
      </c>
      <c r="O5693">
        <v>33</v>
      </c>
      <c r="P5693">
        <v>89</v>
      </c>
    </row>
    <row r="5694" spans="1:16" x14ac:dyDescent="0.25">
      <c r="A5694" t="s">
        <v>28139</v>
      </c>
      <c r="B5694" t="s">
        <v>28136</v>
      </c>
      <c r="C5694" t="s">
        <v>28137</v>
      </c>
      <c r="D5694" t="str">
        <f>"4025"</f>
        <v>4025</v>
      </c>
      <c r="E5694" t="s">
        <v>24724</v>
      </c>
      <c r="F5694" t="s">
        <v>27965</v>
      </c>
      <c r="G5694" t="s">
        <v>16221</v>
      </c>
      <c r="H5694" t="s">
        <v>47055</v>
      </c>
      <c r="I5694" t="s">
        <v>47127</v>
      </c>
      <c r="J5694" t="s">
        <v>47128</v>
      </c>
      <c r="K5694" t="s">
        <v>47113</v>
      </c>
      <c r="L5694">
        <v>13.11</v>
      </c>
      <c r="M5694">
        <v>33</v>
      </c>
      <c r="N5694">
        <v>89</v>
      </c>
      <c r="O5694">
        <v>33</v>
      </c>
      <c r="P5694">
        <v>89</v>
      </c>
    </row>
    <row r="5695" spans="1:16" x14ac:dyDescent="0.25">
      <c r="A5695" t="s">
        <v>28140</v>
      </c>
      <c r="B5695" t="s">
        <v>28141</v>
      </c>
      <c r="C5695" t="s">
        <v>28142</v>
      </c>
      <c r="D5695" t="str">
        <f>"1001"</f>
        <v>1001</v>
      </c>
      <c r="E5695" t="s">
        <v>42</v>
      </c>
      <c r="F5695" t="s">
        <v>27965</v>
      </c>
      <c r="G5695" t="s">
        <v>16221</v>
      </c>
      <c r="H5695" t="s">
        <v>47055</v>
      </c>
      <c r="I5695" t="s">
        <v>47127</v>
      </c>
      <c r="J5695" t="s">
        <v>47128</v>
      </c>
      <c r="K5695" t="s">
        <v>47113</v>
      </c>
      <c r="L5695">
        <v>12.69</v>
      </c>
      <c r="M5695">
        <v>33</v>
      </c>
      <c r="N5695">
        <v>89</v>
      </c>
      <c r="O5695">
        <v>33</v>
      </c>
      <c r="P5695">
        <v>89</v>
      </c>
    </row>
    <row r="5696" spans="1:16" x14ac:dyDescent="0.25">
      <c r="A5696" t="s">
        <v>28143</v>
      </c>
      <c r="B5696" t="s">
        <v>28141</v>
      </c>
      <c r="C5696" t="s">
        <v>28142</v>
      </c>
      <c r="D5696" t="str">
        <f>"1377"</f>
        <v>1377</v>
      </c>
      <c r="E5696" t="s">
        <v>74</v>
      </c>
      <c r="F5696" t="s">
        <v>27965</v>
      </c>
      <c r="G5696" t="s">
        <v>16221</v>
      </c>
      <c r="H5696" t="s">
        <v>47055</v>
      </c>
      <c r="I5696" t="s">
        <v>47127</v>
      </c>
      <c r="J5696" t="s">
        <v>47128</v>
      </c>
      <c r="K5696" t="s">
        <v>47113</v>
      </c>
      <c r="L5696">
        <v>12.69</v>
      </c>
      <c r="M5696">
        <v>33</v>
      </c>
      <c r="N5696">
        <v>89</v>
      </c>
      <c r="O5696">
        <v>33</v>
      </c>
      <c r="P5696">
        <v>89</v>
      </c>
    </row>
    <row r="5697" spans="1:16" x14ac:dyDescent="0.25">
      <c r="A5697" t="s">
        <v>28144</v>
      </c>
      <c r="B5697" t="s">
        <v>28141</v>
      </c>
      <c r="C5697" t="s">
        <v>28142</v>
      </c>
      <c r="D5697" t="str">
        <f>"4249"</f>
        <v>4249</v>
      </c>
      <c r="E5697" t="s">
        <v>27992</v>
      </c>
      <c r="F5697" t="s">
        <v>27965</v>
      </c>
      <c r="G5697" t="s">
        <v>16221</v>
      </c>
      <c r="H5697" t="s">
        <v>47055</v>
      </c>
      <c r="I5697" t="s">
        <v>47127</v>
      </c>
      <c r="J5697" t="s">
        <v>47128</v>
      </c>
      <c r="K5697" t="s">
        <v>47113</v>
      </c>
      <c r="L5697">
        <v>12.52</v>
      </c>
      <c r="M5697">
        <v>33</v>
      </c>
      <c r="N5697">
        <v>89</v>
      </c>
      <c r="O5697">
        <v>33</v>
      </c>
      <c r="P5697">
        <v>89</v>
      </c>
    </row>
    <row r="5698" spans="1:16" x14ac:dyDescent="0.25">
      <c r="A5698" t="s">
        <v>28145</v>
      </c>
      <c r="B5698" t="s">
        <v>28146</v>
      </c>
      <c r="C5698" t="s">
        <v>28147</v>
      </c>
      <c r="D5698" t="str">
        <f>"1001"</f>
        <v>1001</v>
      </c>
      <c r="E5698" t="s">
        <v>42</v>
      </c>
      <c r="F5698" t="s">
        <v>27965</v>
      </c>
      <c r="G5698" t="s">
        <v>16221</v>
      </c>
      <c r="H5698" t="s">
        <v>47055</v>
      </c>
      <c r="I5698" t="s">
        <v>47127</v>
      </c>
      <c r="J5698" t="s">
        <v>47128</v>
      </c>
      <c r="K5698" t="s">
        <v>47113</v>
      </c>
      <c r="L5698">
        <v>11.62</v>
      </c>
      <c r="M5698">
        <v>26</v>
      </c>
      <c r="N5698">
        <v>69</v>
      </c>
      <c r="O5698">
        <v>26</v>
      </c>
      <c r="P5698">
        <v>69</v>
      </c>
    </row>
    <row r="5699" spans="1:16" x14ac:dyDescent="0.25">
      <c r="A5699" t="s">
        <v>28148</v>
      </c>
      <c r="B5699" t="s">
        <v>28146</v>
      </c>
      <c r="C5699" t="s">
        <v>28147</v>
      </c>
      <c r="D5699" t="str">
        <f>"4025"</f>
        <v>4025</v>
      </c>
      <c r="E5699" t="s">
        <v>24724</v>
      </c>
      <c r="F5699" t="s">
        <v>27965</v>
      </c>
      <c r="G5699" t="s">
        <v>16221</v>
      </c>
      <c r="H5699" t="s">
        <v>47055</v>
      </c>
      <c r="I5699" t="s">
        <v>47127</v>
      </c>
      <c r="J5699" t="s">
        <v>47128</v>
      </c>
      <c r="K5699" t="s">
        <v>47113</v>
      </c>
      <c r="L5699">
        <v>11.62</v>
      </c>
      <c r="M5699">
        <v>26</v>
      </c>
      <c r="N5699">
        <v>69</v>
      </c>
      <c r="O5699">
        <v>26</v>
      </c>
      <c r="P5699">
        <v>69</v>
      </c>
    </row>
    <row r="5700" spans="1:16" x14ac:dyDescent="0.25">
      <c r="A5700" t="s">
        <v>28149</v>
      </c>
      <c r="B5700" t="s">
        <v>28150</v>
      </c>
      <c r="C5700" t="s">
        <v>28151</v>
      </c>
      <c r="D5700" t="str">
        <f>"1377"</f>
        <v>1377</v>
      </c>
      <c r="E5700" t="s">
        <v>74</v>
      </c>
      <c r="F5700" t="s">
        <v>27965</v>
      </c>
      <c r="G5700" t="s">
        <v>16221</v>
      </c>
      <c r="H5700" t="s">
        <v>47055</v>
      </c>
      <c r="I5700" t="s">
        <v>47127</v>
      </c>
      <c r="J5700" t="s">
        <v>47128</v>
      </c>
      <c r="K5700" t="s">
        <v>47113</v>
      </c>
      <c r="L5700">
        <v>11.62</v>
      </c>
      <c r="M5700">
        <v>26</v>
      </c>
      <c r="N5700">
        <v>69</v>
      </c>
      <c r="O5700">
        <v>26</v>
      </c>
      <c r="P5700">
        <v>69</v>
      </c>
    </row>
    <row r="5701" spans="1:16" x14ac:dyDescent="0.25">
      <c r="A5701" t="s">
        <v>28152</v>
      </c>
      <c r="B5701" t="s">
        <v>28150</v>
      </c>
      <c r="C5701" t="s">
        <v>28151</v>
      </c>
      <c r="D5701" t="str">
        <f>"1378"</f>
        <v>1378</v>
      </c>
      <c r="E5701" t="s">
        <v>388</v>
      </c>
      <c r="F5701" t="s">
        <v>27965</v>
      </c>
      <c r="G5701" t="s">
        <v>16221</v>
      </c>
      <c r="H5701" t="s">
        <v>47055</v>
      </c>
      <c r="I5701" t="s">
        <v>47127</v>
      </c>
      <c r="J5701" t="s">
        <v>47128</v>
      </c>
      <c r="K5701" t="s">
        <v>47113</v>
      </c>
      <c r="L5701">
        <v>11.62</v>
      </c>
      <c r="M5701">
        <v>26</v>
      </c>
      <c r="N5701">
        <v>69</v>
      </c>
      <c r="O5701">
        <v>26</v>
      </c>
      <c r="P5701">
        <v>69</v>
      </c>
    </row>
    <row r="5702" spans="1:16" x14ac:dyDescent="0.25">
      <c r="A5702" t="s">
        <v>28153</v>
      </c>
      <c r="B5702" t="s">
        <v>28150</v>
      </c>
      <c r="C5702" t="s">
        <v>28151</v>
      </c>
      <c r="D5702" t="str">
        <f>"1700"</f>
        <v>1700</v>
      </c>
      <c r="E5702" t="s">
        <v>60</v>
      </c>
      <c r="F5702" t="s">
        <v>27965</v>
      </c>
      <c r="G5702" t="s">
        <v>16221</v>
      </c>
      <c r="H5702" t="s">
        <v>47055</v>
      </c>
      <c r="I5702" t="s">
        <v>47127</v>
      </c>
      <c r="J5702" t="s">
        <v>47128</v>
      </c>
      <c r="K5702" t="s">
        <v>47113</v>
      </c>
      <c r="L5702">
        <v>11.62</v>
      </c>
      <c r="M5702">
        <v>26</v>
      </c>
      <c r="N5702">
        <v>69</v>
      </c>
      <c r="O5702">
        <v>26</v>
      </c>
      <c r="P5702">
        <v>69</v>
      </c>
    </row>
    <row r="5703" spans="1:16" x14ac:dyDescent="0.25">
      <c r="A5703" t="s">
        <v>28154</v>
      </c>
      <c r="B5703" t="s">
        <v>28150</v>
      </c>
      <c r="C5703" t="s">
        <v>28151</v>
      </c>
      <c r="D5703" t="str">
        <f>"4025"</f>
        <v>4025</v>
      </c>
      <c r="E5703" t="s">
        <v>24724</v>
      </c>
      <c r="F5703" t="s">
        <v>27965</v>
      </c>
      <c r="G5703" t="s">
        <v>16221</v>
      </c>
      <c r="H5703" t="s">
        <v>47055</v>
      </c>
      <c r="I5703" t="s">
        <v>47127</v>
      </c>
      <c r="J5703" t="s">
        <v>47128</v>
      </c>
      <c r="K5703" t="s">
        <v>47113</v>
      </c>
      <c r="L5703">
        <v>11.62</v>
      </c>
      <c r="M5703">
        <v>26</v>
      </c>
      <c r="N5703">
        <v>69</v>
      </c>
      <c r="O5703">
        <v>26</v>
      </c>
      <c r="P5703">
        <v>69</v>
      </c>
    </row>
    <row r="5704" spans="1:16" x14ac:dyDescent="0.25">
      <c r="A5704" t="s">
        <v>28155</v>
      </c>
      <c r="B5704" t="s">
        <v>28156</v>
      </c>
      <c r="C5704" t="s">
        <v>28157</v>
      </c>
      <c r="D5704" t="str">
        <f>"1001"</f>
        <v>1001</v>
      </c>
      <c r="E5704" t="s">
        <v>42</v>
      </c>
      <c r="F5704" t="s">
        <v>27965</v>
      </c>
      <c r="G5704" t="s">
        <v>16221</v>
      </c>
      <c r="H5704" t="s">
        <v>47055</v>
      </c>
      <c r="I5704" t="s">
        <v>47127</v>
      </c>
      <c r="J5704" t="s">
        <v>47128</v>
      </c>
      <c r="K5704" t="s">
        <v>47113</v>
      </c>
      <c r="L5704">
        <v>11.62</v>
      </c>
      <c r="M5704">
        <v>26</v>
      </c>
      <c r="N5704">
        <v>69</v>
      </c>
      <c r="O5704">
        <v>26</v>
      </c>
      <c r="P5704">
        <v>69</v>
      </c>
    </row>
    <row r="5705" spans="1:16" x14ac:dyDescent="0.25">
      <c r="A5705" t="s">
        <v>28158</v>
      </c>
      <c r="B5705" t="s">
        <v>28156</v>
      </c>
      <c r="C5705" t="s">
        <v>28157</v>
      </c>
      <c r="D5705" t="str">
        <f>"1700"</f>
        <v>1700</v>
      </c>
      <c r="E5705" t="s">
        <v>60</v>
      </c>
      <c r="F5705" t="s">
        <v>27965</v>
      </c>
      <c r="G5705" t="s">
        <v>16221</v>
      </c>
      <c r="H5705" t="s">
        <v>47055</v>
      </c>
      <c r="I5705" t="s">
        <v>47127</v>
      </c>
      <c r="J5705" t="s">
        <v>47128</v>
      </c>
      <c r="K5705" t="s">
        <v>47113</v>
      </c>
      <c r="L5705">
        <v>11.62</v>
      </c>
      <c r="M5705">
        <v>26</v>
      </c>
      <c r="N5705">
        <v>69</v>
      </c>
      <c r="O5705">
        <v>26</v>
      </c>
      <c r="P5705">
        <v>69</v>
      </c>
    </row>
    <row r="5706" spans="1:16" x14ac:dyDescent="0.25">
      <c r="A5706" t="s">
        <v>28159</v>
      </c>
      <c r="B5706" t="s">
        <v>28156</v>
      </c>
      <c r="C5706" t="s">
        <v>28157</v>
      </c>
      <c r="D5706" t="str">
        <f>"4025"</f>
        <v>4025</v>
      </c>
      <c r="E5706" t="s">
        <v>24724</v>
      </c>
      <c r="F5706" t="s">
        <v>27965</v>
      </c>
      <c r="G5706" t="s">
        <v>16221</v>
      </c>
      <c r="H5706" t="s">
        <v>47055</v>
      </c>
      <c r="I5706" t="s">
        <v>47127</v>
      </c>
      <c r="J5706" t="s">
        <v>47128</v>
      </c>
      <c r="K5706" t="s">
        <v>47113</v>
      </c>
      <c r="L5706">
        <v>11.62</v>
      </c>
      <c r="M5706">
        <v>26</v>
      </c>
      <c r="N5706">
        <v>69</v>
      </c>
      <c r="O5706">
        <v>26</v>
      </c>
      <c r="P5706">
        <v>69</v>
      </c>
    </row>
    <row r="5707" spans="1:16" x14ac:dyDescent="0.25">
      <c r="A5707" t="s">
        <v>28160</v>
      </c>
      <c r="B5707" t="s">
        <v>28161</v>
      </c>
      <c r="C5707" t="s">
        <v>28162</v>
      </c>
      <c r="D5707" t="str">
        <f>"1285"</f>
        <v>1285</v>
      </c>
      <c r="E5707" t="s">
        <v>2148</v>
      </c>
      <c r="F5707" t="s">
        <v>27965</v>
      </c>
      <c r="G5707" t="s">
        <v>16221</v>
      </c>
      <c r="H5707" t="s">
        <v>47055</v>
      </c>
      <c r="I5707" t="s">
        <v>47127</v>
      </c>
      <c r="J5707" t="s">
        <v>47128</v>
      </c>
      <c r="K5707" t="s">
        <v>47113</v>
      </c>
      <c r="L5707">
        <v>14.71</v>
      </c>
      <c r="M5707">
        <v>37</v>
      </c>
      <c r="N5707">
        <v>99</v>
      </c>
      <c r="O5707">
        <v>37</v>
      </c>
      <c r="P5707">
        <v>99</v>
      </c>
    </row>
    <row r="5708" spans="1:16" x14ac:dyDescent="0.25">
      <c r="A5708" t="s">
        <v>28163</v>
      </c>
      <c r="B5708" t="s">
        <v>28161</v>
      </c>
      <c r="C5708" t="s">
        <v>28162</v>
      </c>
      <c r="D5708" t="str">
        <f>"1700"</f>
        <v>1700</v>
      </c>
      <c r="E5708" t="s">
        <v>60</v>
      </c>
      <c r="F5708" t="s">
        <v>27965</v>
      </c>
      <c r="G5708" t="s">
        <v>16221</v>
      </c>
      <c r="H5708" t="s">
        <v>47055</v>
      </c>
      <c r="I5708" t="s">
        <v>47127</v>
      </c>
      <c r="J5708" t="s">
        <v>47128</v>
      </c>
      <c r="K5708" t="s">
        <v>47113</v>
      </c>
      <c r="L5708">
        <v>14.71</v>
      </c>
      <c r="M5708">
        <v>37</v>
      </c>
      <c r="N5708">
        <v>99</v>
      </c>
      <c r="O5708">
        <v>37</v>
      </c>
      <c r="P5708">
        <v>99</v>
      </c>
    </row>
    <row r="5709" spans="1:16" x14ac:dyDescent="0.25">
      <c r="A5709" t="s">
        <v>28164</v>
      </c>
      <c r="B5709" t="s">
        <v>28161</v>
      </c>
      <c r="C5709" t="s">
        <v>28162</v>
      </c>
      <c r="D5709" t="str">
        <f>"4643"</f>
        <v>4643</v>
      </c>
      <c r="E5709" t="s">
        <v>205</v>
      </c>
      <c r="F5709" t="s">
        <v>27965</v>
      </c>
      <c r="G5709" t="s">
        <v>16221</v>
      </c>
      <c r="H5709" t="s">
        <v>47055</v>
      </c>
      <c r="I5709" t="s">
        <v>47127</v>
      </c>
      <c r="J5709" t="s">
        <v>47128</v>
      </c>
      <c r="K5709" t="s">
        <v>47113</v>
      </c>
      <c r="L5709">
        <v>14.71</v>
      </c>
      <c r="M5709">
        <v>37</v>
      </c>
      <c r="N5709">
        <v>99</v>
      </c>
      <c r="O5709">
        <v>37</v>
      </c>
      <c r="P5709">
        <v>99</v>
      </c>
    </row>
    <row r="5710" spans="1:16" x14ac:dyDescent="0.25">
      <c r="A5710" t="s">
        <v>28165</v>
      </c>
      <c r="B5710" t="s">
        <v>28166</v>
      </c>
      <c r="C5710" t="s">
        <v>28167</v>
      </c>
      <c r="D5710" t="str">
        <f>"1285"</f>
        <v>1285</v>
      </c>
      <c r="E5710" t="s">
        <v>2148</v>
      </c>
      <c r="F5710" t="s">
        <v>27965</v>
      </c>
      <c r="G5710" t="s">
        <v>16221</v>
      </c>
      <c r="H5710" t="s">
        <v>47055</v>
      </c>
      <c r="I5710" t="s">
        <v>47127</v>
      </c>
      <c r="J5710" t="s">
        <v>47128</v>
      </c>
      <c r="K5710" t="s">
        <v>47113</v>
      </c>
      <c r="L5710">
        <v>14.51</v>
      </c>
      <c r="M5710">
        <v>33</v>
      </c>
      <c r="N5710">
        <v>89</v>
      </c>
      <c r="O5710">
        <v>33</v>
      </c>
      <c r="P5710">
        <v>89</v>
      </c>
    </row>
    <row r="5711" spans="1:16" x14ac:dyDescent="0.25">
      <c r="A5711" t="s">
        <v>28168</v>
      </c>
      <c r="B5711" t="s">
        <v>28166</v>
      </c>
      <c r="C5711" t="s">
        <v>28167</v>
      </c>
      <c r="D5711" t="str">
        <f>"1700"</f>
        <v>1700</v>
      </c>
      <c r="E5711" t="s">
        <v>60</v>
      </c>
      <c r="F5711" t="s">
        <v>27965</v>
      </c>
      <c r="G5711" t="s">
        <v>16221</v>
      </c>
      <c r="H5711" t="s">
        <v>47055</v>
      </c>
      <c r="I5711" t="s">
        <v>47127</v>
      </c>
      <c r="J5711" t="s">
        <v>47128</v>
      </c>
      <c r="K5711" t="s">
        <v>47113</v>
      </c>
      <c r="L5711">
        <v>14.51</v>
      </c>
      <c r="M5711">
        <v>33</v>
      </c>
      <c r="N5711">
        <v>89</v>
      </c>
      <c r="O5711">
        <v>33</v>
      </c>
      <c r="P5711">
        <v>89</v>
      </c>
    </row>
    <row r="5712" spans="1:16" x14ac:dyDescent="0.25">
      <c r="A5712" t="s">
        <v>28169</v>
      </c>
      <c r="B5712" t="s">
        <v>28166</v>
      </c>
      <c r="C5712" t="s">
        <v>28167</v>
      </c>
      <c r="D5712" t="str">
        <f>"4643"</f>
        <v>4643</v>
      </c>
      <c r="E5712" t="s">
        <v>205</v>
      </c>
      <c r="F5712" t="s">
        <v>27965</v>
      </c>
      <c r="G5712" t="s">
        <v>16221</v>
      </c>
      <c r="H5712" t="s">
        <v>47055</v>
      </c>
      <c r="I5712" t="s">
        <v>47127</v>
      </c>
      <c r="J5712" t="s">
        <v>47128</v>
      </c>
      <c r="K5712" t="s">
        <v>47113</v>
      </c>
      <c r="L5712">
        <v>14.71</v>
      </c>
      <c r="M5712">
        <v>33</v>
      </c>
      <c r="N5712">
        <v>89</v>
      </c>
      <c r="O5712">
        <v>33</v>
      </c>
      <c r="P5712">
        <v>89</v>
      </c>
    </row>
    <row r="5713" spans="1:16" x14ac:dyDescent="0.25">
      <c r="A5713" t="s">
        <v>28170</v>
      </c>
      <c r="B5713" t="s">
        <v>28171</v>
      </c>
      <c r="C5713" t="s">
        <v>28172</v>
      </c>
      <c r="D5713" t="str">
        <f>"1285"</f>
        <v>1285</v>
      </c>
      <c r="E5713" t="s">
        <v>2148</v>
      </c>
      <c r="F5713" t="s">
        <v>27965</v>
      </c>
      <c r="G5713" t="s">
        <v>16221</v>
      </c>
      <c r="H5713" t="s">
        <v>47055</v>
      </c>
      <c r="I5713" t="s">
        <v>47127</v>
      </c>
      <c r="J5713" t="s">
        <v>47128</v>
      </c>
      <c r="K5713" t="s">
        <v>47113</v>
      </c>
      <c r="L5713">
        <v>11.94</v>
      </c>
      <c r="M5713">
        <v>33</v>
      </c>
      <c r="N5713">
        <v>89</v>
      </c>
      <c r="O5713">
        <v>33</v>
      </c>
      <c r="P5713">
        <v>89</v>
      </c>
    </row>
    <row r="5714" spans="1:16" x14ac:dyDescent="0.25">
      <c r="A5714" t="s">
        <v>28173</v>
      </c>
      <c r="B5714" t="s">
        <v>28171</v>
      </c>
      <c r="C5714" t="s">
        <v>28172</v>
      </c>
      <c r="D5714" t="str">
        <f>"1700"</f>
        <v>1700</v>
      </c>
      <c r="E5714" t="s">
        <v>60</v>
      </c>
      <c r="F5714" t="s">
        <v>27965</v>
      </c>
      <c r="G5714" t="s">
        <v>16221</v>
      </c>
      <c r="H5714" t="s">
        <v>47055</v>
      </c>
      <c r="I5714" t="s">
        <v>47127</v>
      </c>
      <c r="J5714" t="s">
        <v>47128</v>
      </c>
      <c r="K5714" t="s">
        <v>47113</v>
      </c>
      <c r="L5714">
        <v>11.94</v>
      </c>
      <c r="M5714">
        <v>33</v>
      </c>
      <c r="N5714">
        <v>89</v>
      </c>
      <c r="O5714">
        <v>33</v>
      </c>
      <c r="P5714">
        <v>89</v>
      </c>
    </row>
    <row r="5715" spans="1:16" x14ac:dyDescent="0.25">
      <c r="A5715" t="s">
        <v>28174</v>
      </c>
      <c r="B5715" t="s">
        <v>28171</v>
      </c>
      <c r="C5715" t="s">
        <v>28172</v>
      </c>
      <c r="D5715" t="str">
        <f>"4643"</f>
        <v>4643</v>
      </c>
      <c r="E5715" t="s">
        <v>205</v>
      </c>
      <c r="F5715" t="s">
        <v>27965</v>
      </c>
      <c r="G5715" t="s">
        <v>16221</v>
      </c>
      <c r="H5715" t="s">
        <v>47055</v>
      </c>
      <c r="I5715" t="s">
        <v>47127</v>
      </c>
      <c r="J5715" t="s">
        <v>47128</v>
      </c>
      <c r="K5715" t="s">
        <v>47113</v>
      </c>
      <c r="L5715">
        <v>11.94</v>
      </c>
      <c r="M5715">
        <v>33</v>
      </c>
      <c r="N5715">
        <v>89</v>
      </c>
      <c r="O5715">
        <v>33</v>
      </c>
      <c r="P5715">
        <v>89</v>
      </c>
    </row>
    <row r="5716" spans="1:16" x14ac:dyDescent="0.25">
      <c r="A5716" t="s">
        <v>28175</v>
      </c>
      <c r="B5716" t="s">
        <v>28176</v>
      </c>
      <c r="C5716" t="s">
        <v>28177</v>
      </c>
      <c r="D5716" t="str">
        <f>"1001"</f>
        <v>1001</v>
      </c>
      <c r="E5716" t="s">
        <v>42</v>
      </c>
      <c r="F5716" t="s">
        <v>27965</v>
      </c>
      <c r="G5716" t="s">
        <v>16221</v>
      </c>
      <c r="H5716" t="s">
        <v>47055</v>
      </c>
      <c r="I5716" t="s">
        <v>47127</v>
      </c>
      <c r="J5716" t="s">
        <v>47128</v>
      </c>
      <c r="K5716" t="s">
        <v>47113</v>
      </c>
      <c r="L5716">
        <v>11.62</v>
      </c>
      <c r="M5716">
        <v>26</v>
      </c>
      <c r="N5716">
        <v>69</v>
      </c>
      <c r="O5716">
        <v>26</v>
      </c>
      <c r="P5716">
        <v>69</v>
      </c>
    </row>
    <row r="5717" spans="1:16" x14ac:dyDescent="0.25">
      <c r="A5717" t="s">
        <v>28178</v>
      </c>
      <c r="B5717" t="s">
        <v>28176</v>
      </c>
      <c r="C5717" t="s">
        <v>28177</v>
      </c>
      <c r="D5717" t="str">
        <f>"1285"</f>
        <v>1285</v>
      </c>
      <c r="E5717" t="s">
        <v>2148</v>
      </c>
      <c r="F5717" t="s">
        <v>27965</v>
      </c>
      <c r="G5717" t="s">
        <v>16221</v>
      </c>
      <c r="H5717" t="s">
        <v>47055</v>
      </c>
      <c r="I5717" t="s">
        <v>47127</v>
      </c>
      <c r="J5717" t="s">
        <v>47128</v>
      </c>
      <c r="K5717" t="s">
        <v>47113</v>
      </c>
      <c r="L5717">
        <v>11.62</v>
      </c>
      <c r="M5717">
        <v>26</v>
      </c>
      <c r="N5717">
        <v>69</v>
      </c>
      <c r="O5717">
        <v>26</v>
      </c>
      <c r="P5717">
        <v>69</v>
      </c>
    </row>
    <row r="5718" spans="1:16" x14ac:dyDescent="0.25">
      <c r="A5718" t="s">
        <v>28179</v>
      </c>
      <c r="B5718" t="s">
        <v>28176</v>
      </c>
      <c r="C5718" t="s">
        <v>28177</v>
      </c>
      <c r="D5718" t="str">
        <f>"1700"</f>
        <v>1700</v>
      </c>
      <c r="E5718" t="s">
        <v>60</v>
      </c>
      <c r="F5718" t="s">
        <v>27965</v>
      </c>
      <c r="G5718" t="s">
        <v>16221</v>
      </c>
      <c r="H5718" t="s">
        <v>47055</v>
      </c>
      <c r="I5718" t="s">
        <v>47127</v>
      </c>
      <c r="J5718" t="s">
        <v>47128</v>
      </c>
      <c r="K5718" t="s">
        <v>47113</v>
      </c>
      <c r="L5718">
        <v>11.62</v>
      </c>
      <c r="M5718">
        <v>26</v>
      </c>
      <c r="N5718">
        <v>69</v>
      </c>
      <c r="O5718">
        <v>26</v>
      </c>
      <c r="P5718">
        <v>69</v>
      </c>
    </row>
    <row r="5719" spans="1:16" x14ac:dyDescent="0.25">
      <c r="A5719" t="s">
        <v>28180</v>
      </c>
      <c r="B5719" t="s">
        <v>28176</v>
      </c>
      <c r="C5719" t="s">
        <v>28177</v>
      </c>
      <c r="D5719" t="str">
        <f>"4643"</f>
        <v>4643</v>
      </c>
      <c r="E5719" t="s">
        <v>205</v>
      </c>
      <c r="F5719" t="s">
        <v>27965</v>
      </c>
      <c r="G5719" t="s">
        <v>16221</v>
      </c>
      <c r="H5719" t="s">
        <v>47055</v>
      </c>
      <c r="I5719" t="s">
        <v>47127</v>
      </c>
      <c r="J5719" t="s">
        <v>47128</v>
      </c>
      <c r="K5719" t="s">
        <v>47113</v>
      </c>
      <c r="L5719">
        <v>11.62</v>
      </c>
      <c r="M5719">
        <v>26</v>
      </c>
      <c r="N5719">
        <v>69</v>
      </c>
      <c r="O5719">
        <v>26</v>
      </c>
      <c r="P5719">
        <v>69</v>
      </c>
    </row>
    <row r="5720" spans="1:16" x14ac:dyDescent="0.25">
      <c r="A5720" t="s">
        <v>28181</v>
      </c>
      <c r="B5720" t="s">
        <v>28182</v>
      </c>
      <c r="C5720" t="s">
        <v>28183</v>
      </c>
      <c r="D5720" t="str">
        <f>"1001"</f>
        <v>1001</v>
      </c>
      <c r="E5720" t="s">
        <v>42</v>
      </c>
      <c r="F5720" t="s">
        <v>27965</v>
      </c>
      <c r="G5720" t="s">
        <v>16221</v>
      </c>
      <c r="H5720" t="s">
        <v>47055</v>
      </c>
      <c r="I5720" t="s">
        <v>47127</v>
      </c>
      <c r="J5720" t="s">
        <v>47128</v>
      </c>
      <c r="K5720" t="s">
        <v>47113</v>
      </c>
      <c r="L5720">
        <v>13.75</v>
      </c>
      <c r="M5720">
        <v>33</v>
      </c>
      <c r="N5720">
        <v>89</v>
      </c>
      <c r="O5720">
        <v>33</v>
      </c>
      <c r="P5720">
        <v>89</v>
      </c>
    </row>
    <row r="5721" spans="1:16" x14ac:dyDescent="0.25">
      <c r="A5721" t="s">
        <v>28184</v>
      </c>
      <c r="B5721" t="s">
        <v>28182</v>
      </c>
      <c r="C5721" t="s">
        <v>28183</v>
      </c>
      <c r="D5721" t="str">
        <f>"1285"</f>
        <v>1285</v>
      </c>
      <c r="E5721" t="s">
        <v>2148</v>
      </c>
      <c r="F5721" t="s">
        <v>27965</v>
      </c>
      <c r="G5721" t="s">
        <v>16221</v>
      </c>
      <c r="H5721" t="s">
        <v>47055</v>
      </c>
      <c r="I5721" t="s">
        <v>47127</v>
      </c>
      <c r="J5721" t="s">
        <v>47128</v>
      </c>
      <c r="K5721" t="s">
        <v>47113</v>
      </c>
      <c r="L5721">
        <v>13.75</v>
      </c>
      <c r="M5721">
        <v>33</v>
      </c>
      <c r="N5721">
        <v>89</v>
      </c>
      <c r="O5721">
        <v>33</v>
      </c>
      <c r="P5721">
        <v>89</v>
      </c>
    </row>
    <row r="5722" spans="1:16" x14ac:dyDescent="0.25">
      <c r="A5722" t="s">
        <v>28185</v>
      </c>
      <c r="B5722" t="s">
        <v>28182</v>
      </c>
      <c r="C5722" t="s">
        <v>28183</v>
      </c>
      <c r="D5722" t="str">
        <f>"1700"</f>
        <v>1700</v>
      </c>
      <c r="E5722" t="s">
        <v>60</v>
      </c>
      <c r="F5722" t="s">
        <v>27965</v>
      </c>
      <c r="G5722" t="s">
        <v>16221</v>
      </c>
      <c r="H5722" t="s">
        <v>47055</v>
      </c>
      <c r="I5722" t="s">
        <v>47127</v>
      </c>
      <c r="J5722" t="s">
        <v>47128</v>
      </c>
      <c r="K5722" t="s">
        <v>47113</v>
      </c>
      <c r="L5722">
        <v>13.75</v>
      </c>
      <c r="M5722">
        <v>33</v>
      </c>
      <c r="N5722">
        <v>89</v>
      </c>
      <c r="O5722">
        <v>33</v>
      </c>
      <c r="P5722">
        <v>89</v>
      </c>
    </row>
    <row r="5723" spans="1:16" x14ac:dyDescent="0.25">
      <c r="A5723" t="s">
        <v>28186</v>
      </c>
      <c r="B5723" t="s">
        <v>28182</v>
      </c>
      <c r="C5723" t="s">
        <v>28183</v>
      </c>
      <c r="D5723" t="str">
        <f>"4643"</f>
        <v>4643</v>
      </c>
      <c r="E5723" t="s">
        <v>205</v>
      </c>
      <c r="F5723" t="s">
        <v>27965</v>
      </c>
      <c r="G5723" t="s">
        <v>16221</v>
      </c>
      <c r="H5723" t="s">
        <v>47055</v>
      </c>
      <c r="I5723" t="s">
        <v>47127</v>
      </c>
      <c r="J5723" t="s">
        <v>47128</v>
      </c>
      <c r="K5723" t="s">
        <v>47113</v>
      </c>
      <c r="L5723">
        <v>13.75</v>
      </c>
      <c r="M5723">
        <v>33</v>
      </c>
      <c r="N5723">
        <v>89</v>
      </c>
      <c r="O5723">
        <v>33</v>
      </c>
      <c r="P5723">
        <v>89</v>
      </c>
    </row>
    <row r="5724" spans="1:16" x14ac:dyDescent="0.25">
      <c r="A5724" t="s">
        <v>28187</v>
      </c>
      <c r="B5724" t="s">
        <v>28188</v>
      </c>
      <c r="C5724" t="s">
        <v>28189</v>
      </c>
      <c r="D5724" t="str">
        <f>"1001"</f>
        <v>1001</v>
      </c>
      <c r="E5724" t="s">
        <v>42</v>
      </c>
      <c r="F5724" t="s">
        <v>27965</v>
      </c>
      <c r="G5724" t="s">
        <v>16221</v>
      </c>
      <c r="H5724" t="s">
        <v>47055</v>
      </c>
      <c r="I5724" t="s">
        <v>47127</v>
      </c>
      <c r="J5724" t="s">
        <v>47128</v>
      </c>
      <c r="K5724" t="s">
        <v>47113</v>
      </c>
      <c r="L5724">
        <v>12.69</v>
      </c>
      <c r="M5724">
        <v>26</v>
      </c>
      <c r="N5724">
        <v>69</v>
      </c>
      <c r="O5724">
        <v>26</v>
      </c>
      <c r="P5724">
        <v>69</v>
      </c>
    </row>
    <row r="5725" spans="1:16" x14ac:dyDescent="0.25">
      <c r="A5725" t="s">
        <v>28190</v>
      </c>
      <c r="B5725" t="s">
        <v>28188</v>
      </c>
      <c r="C5725" t="s">
        <v>28189</v>
      </c>
      <c r="D5725" t="str">
        <f>"1377"</f>
        <v>1377</v>
      </c>
      <c r="E5725" t="s">
        <v>74</v>
      </c>
      <c r="F5725" t="s">
        <v>27965</v>
      </c>
      <c r="G5725" t="s">
        <v>16221</v>
      </c>
      <c r="H5725" t="s">
        <v>47055</v>
      </c>
      <c r="I5725" t="s">
        <v>47127</v>
      </c>
      <c r="J5725" t="s">
        <v>47128</v>
      </c>
      <c r="K5725" t="s">
        <v>47113</v>
      </c>
      <c r="L5725">
        <v>12.69</v>
      </c>
      <c r="M5725">
        <v>26</v>
      </c>
      <c r="N5725">
        <v>69</v>
      </c>
      <c r="O5725">
        <v>26</v>
      </c>
      <c r="P5725">
        <v>69</v>
      </c>
    </row>
    <row r="5726" spans="1:16" x14ac:dyDescent="0.25">
      <c r="A5726" t="s">
        <v>28191</v>
      </c>
      <c r="B5726" t="s">
        <v>28188</v>
      </c>
      <c r="C5726" t="s">
        <v>28189</v>
      </c>
      <c r="D5726" t="str">
        <f>"1700"</f>
        <v>1700</v>
      </c>
      <c r="E5726" t="s">
        <v>60</v>
      </c>
      <c r="F5726" t="s">
        <v>27965</v>
      </c>
      <c r="G5726" t="s">
        <v>16221</v>
      </c>
      <c r="H5726" t="s">
        <v>47055</v>
      </c>
      <c r="I5726" t="s">
        <v>47127</v>
      </c>
      <c r="J5726" t="s">
        <v>47128</v>
      </c>
      <c r="K5726" t="s">
        <v>47113</v>
      </c>
      <c r="L5726">
        <v>12.69</v>
      </c>
      <c r="M5726">
        <v>26</v>
      </c>
      <c r="N5726">
        <v>69</v>
      </c>
      <c r="O5726">
        <v>26</v>
      </c>
      <c r="P5726">
        <v>69</v>
      </c>
    </row>
    <row r="5727" spans="1:16" x14ac:dyDescent="0.25">
      <c r="A5727" t="s">
        <v>28192</v>
      </c>
      <c r="B5727" t="s">
        <v>28193</v>
      </c>
      <c r="C5727" t="s">
        <v>28194</v>
      </c>
      <c r="D5727" t="str">
        <f>"3501"</f>
        <v>3501</v>
      </c>
      <c r="E5727" t="s">
        <v>3758</v>
      </c>
      <c r="F5727" t="s">
        <v>27965</v>
      </c>
      <c r="G5727" t="s">
        <v>16221</v>
      </c>
      <c r="H5727" t="s">
        <v>47055</v>
      </c>
      <c r="I5727" t="s">
        <v>47127</v>
      </c>
      <c r="J5727" t="s">
        <v>47128</v>
      </c>
      <c r="K5727" t="s">
        <v>47113</v>
      </c>
      <c r="L5727">
        <v>13.75</v>
      </c>
      <c r="M5727">
        <v>33</v>
      </c>
      <c r="N5727">
        <v>89</v>
      </c>
      <c r="O5727">
        <v>33</v>
      </c>
      <c r="P5727">
        <v>89</v>
      </c>
    </row>
    <row r="5728" spans="1:16" x14ac:dyDescent="0.25">
      <c r="A5728" t="s">
        <v>28195</v>
      </c>
      <c r="B5728" t="s">
        <v>28193</v>
      </c>
      <c r="C5728" t="s">
        <v>28194</v>
      </c>
      <c r="D5728" t="str">
        <f>"4249"</f>
        <v>4249</v>
      </c>
      <c r="E5728" t="s">
        <v>27992</v>
      </c>
      <c r="F5728" t="s">
        <v>27965</v>
      </c>
      <c r="G5728" t="s">
        <v>16221</v>
      </c>
      <c r="H5728" t="s">
        <v>47055</v>
      </c>
      <c r="I5728" t="s">
        <v>47127</v>
      </c>
      <c r="J5728" t="s">
        <v>47128</v>
      </c>
      <c r="K5728" t="s">
        <v>47113</v>
      </c>
      <c r="L5728">
        <v>13.75</v>
      </c>
      <c r="M5728">
        <v>33</v>
      </c>
      <c r="N5728">
        <v>89</v>
      </c>
      <c r="O5728">
        <v>33</v>
      </c>
      <c r="P5728">
        <v>89</v>
      </c>
    </row>
    <row r="5729" spans="1:16" x14ac:dyDescent="0.25">
      <c r="A5729" t="s">
        <v>28196</v>
      </c>
      <c r="B5729" t="s">
        <v>28197</v>
      </c>
      <c r="C5729" t="s">
        <v>28198</v>
      </c>
      <c r="D5729" t="str">
        <f>"3501"</f>
        <v>3501</v>
      </c>
      <c r="E5729" t="s">
        <v>3758</v>
      </c>
      <c r="F5729" t="s">
        <v>27965</v>
      </c>
      <c r="G5729" t="s">
        <v>16221</v>
      </c>
      <c r="H5729" t="s">
        <v>47055</v>
      </c>
      <c r="I5729" t="s">
        <v>47127</v>
      </c>
      <c r="J5729" t="s">
        <v>47128</v>
      </c>
      <c r="K5729" t="s">
        <v>47113</v>
      </c>
      <c r="L5729">
        <v>14.39</v>
      </c>
      <c r="M5729">
        <v>33</v>
      </c>
      <c r="N5729">
        <v>89</v>
      </c>
      <c r="O5729">
        <v>33</v>
      </c>
      <c r="P5729">
        <v>89</v>
      </c>
    </row>
    <row r="5730" spans="1:16" x14ac:dyDescent="0.25">
      <c r="A5730" t="s">
        <v>28199</v>
      </c>
      <c r="B5730" t="s">
        <v>28197</v>
      </c>
      <c r="C5730" t="s">
        <v>28198</v>
      </c>
      <c r="D5730" t="str">
        <f>"4249"</f>
        <v>4249</v>
      </c>
      <c r="E5730" t="s">
        <v>27992</v>
      </c>
      <c r="F5730" t="s">
        <v>27965</v>
      </c>
      <c r="G5730" t="s">
        <v>16221</v>
      </c>
      <c r="H5730" t="s">
        <v>47055</v>
      </c>
      <c r="I5730" t="s">
        <v>47127</v>
      </c>
      <c r="J5730" t="s">
        <v>47128</v>
      </c>
      <c r="K5730" t="s">
        <v>47113</v>
      </c>
      <c r="L5730">
        <v>14.39</v>
      </c>
      <c r="M5730">
        <v>33</v>
      </c>
      <c r="N5730">
        <v>89</v>
      </c>
      <c r="O5730">
        <v>33</v>
      </c>
      <c r="P5730">
        <v>89</v>
      </c>
    </row>
    <row r="5731" spans="1:16" x14ac:dyDescent="0.25">
      <c r="A5731" t="s">
        <v>28200</v>
      </c>
      <c r="B5731" t="s">
        <v>28201</v>
      </c>
      <c r="C5731" t="s">
        <v>28202</v>
      </c>
      <c r="D5731" t="str">
        <f>"3501"</f>
        <v>3501</v>
      </c>
      <c r="E5731" t="s">
        <v>3758</v>
      </c>
      <c r="F5731" t="s">
        <v>27965</v>
      </c>
      <c r="G5731" t="s">
        <v>16221</v>
      </c>
      <c r="H5731" t="s">
        <v>47055</v>
      </c>
      <c r="I5731" t="s">
        <v>47127</v>
      </c>
      <c r="J5731" t="s">
        <v>47128</v>
      </c>
      <c r="K5731" t="s">
        <v>47113</v>
      </c>
      <c r="L5731">
        <v>16.100000000000001</v>
      </c>
      <c r="M5731">
        <v>33</v>
      </c>
      <c r="N5731">
        <v>89</v>
      </c>
      <c r="O5731">
        <v>33</v>
      </c>
      <c r="P5731">
        <v>89</v>
      </c>
    </row>
    <row r="5732" spans="1:16" x14ac:dyDescent="0.25">
      <c r="A5732" t="s">
        <v>28203</v>
      </c>
      <c r="B5732" t="s">
        <v>28201</v>
      </c>
      <c r="C5732" t="s">
        <v>28202</v>
      </c>
      <c r="D5732" t="str">
        <f>"4249"</f>
        <v>4249</v>
      </c>
      <c r="E5732" t="s">
        <v>27992</v>
      </c>
      <c r="F5732" t="s">
        <v>27965</v>
      </c>
      <c r="G5732" t="s">
        <v>16221</v>
      </c>
      <c r="H5732" t="s">
        <v>47055</v>
      </c>
      <c r="I5732" t="s">
        <v>47127</v>
      </c>
      <c r="J5732" t="s">
        <v>47128</v>
      </c>
      <c r="K5732" t="s">
        <v>47113</v>
      </c>
      <c r="L5732">
        <v>16.100000000000001</v>
      </c>
      <c r="M5732">
        <v>33</v>
      </c>
      <c r="N5732">
        <v>89</v>
      </c>
      <c r="O5732">
        <v>33</v>
      </c>
      <c r="P5732">
        <v>89</v>
      </c>
    </row>
    <row r="5733" spans="1:16" x14ac:dyDescent="0.25">
      <c r="A5733" t="s">
        <v>28204</v>
      </c>
      <c r="B5733" t="s">
        <v>28205</v>
      </c>
      <c r="C5733" t="s">
        <v>28206</v>
      </c>
      <c r="D5733" t="str">
        <f>"3501"</f>
        <v>3501</v>
      </c>
      <c r="E5733" t="s">
        <v>3758</v>
      </c>
      <c r="F5733" t="s">
        <v>27965</v>
      </c>
      <c r="G5733" t="s">
        <v>16221</v>
      </c>
      <c r="H5733" t="s">
        <v>47055</v>
      </c>
      <c r="I5733" t="s">
        <v>47127</v>
      </c>
      <c r="J5733" t="s">
        <v>47128</v>
      </c>
      <c r="K5733" t="s">
        <v>47113</v>
      </c>
      <c r="L5733">
        <v>11.62</v>
      </c>
      <c r="M5733">
        <v>26</v>
      </c>
      <c r="N5733">
        <v>69</v>
      </c>
      <c r="O5733">
        <v>26</v>
      </c>
      <c r="P5733">
        <v>69</v>
      </c>
    </row>
    <row r="5734" spans="1:16" x14ac:dyDescent="0.25">
      <c r="A5734" t="s">
        <v>28207</v>
      </c>
      <c r="B5734" t="s">
        <v>28205</v>
      </c>
      <c r="C5734" t="s">
        <v>28206</v>
      </c>
      <c r="D5734" t="str">
        <f>"4249"</f>
        <v>4249</v>
      </c>
      <c r="E5734" t="s">
        <v>27992</v>
      </c>
      <c r="F5734" t="s">
        <v>27965</v>
      </c>
      <c r="G5734" t="s">
        <v>16221</v>
      </c>
      <c r="H5734" t="s">
        <v>47055</v>
      </c>
      <c r="I5734" t="s">
        <v>47127</v>
      </c>
      <c r="J5734" t="s">
        <v>47128</v>
      </c>
      <c r="K5734" t="s">
        <v>47113</v>
      </c>
      <c r="L5734">
        <v>11.62</v>
      </c>
      <c r="M5734">
        <v>26</v>
      </c>
      <c r="N5734">
        <v>69</v>
      </c>
      <c r="O5734">
        <v>26</v>
      </c>
      <c r="P5734">
        <v>69</v>
      </c>
    </row>
    <row r="5735" spans="1:16" x14ac:dyDescent="0.25">
      <c r="A5735" t="s">
        <v>28208</v>
      </c>
      <c r="B5735" t="s">
        <v>28209</v>
      </c>
      <c r="C5735" t="s">
        <v>28210</v>
      </c>
      <c r="D5735" t="str">
        <f>"1001"</f>
        <v>1001</v>
      </c>
      <c r="E5735" t="s">
        <v>42</v>
      </c>
      <c r="F5735" t="s">
        <v>27965</v>
      </c>
      <c r="G5735" t="s">
        <v>16221</v>
      </c>
      <c r="H5735" t="s">
        <v>47055</v>
      </c>
      <c r="I5735" t="s">
        <v>47127</v>
      </c>
      <c r="J5735" t="s">
        <v>47128</v>
      </c>
      <c r="K5735" t="s">
        <v>47113</v>
      </c>
      <c r="L5735">
        <v>13.11</v>
      </c>
      <c r="M5735">
        <v>26</v>
      </c>
      <c r="N5735">
        <v>69</v>
      </c>
      <c r="O5735">
        <v>26</v>
      </c>
      <c r="P5735">
        <v>69</v>
      </c>
    </row>
    <row r="5736" spans="1:16" x14ac:dyDescent="0.25">
      <c r="A5736" t="s">
        <v>28211</v>
      </c>
      <c r="B5736" t="s">
        <v>28209</v>
      </c>
      <c r="C5736" t="s">
        <v>28210</v>
      </c>
      <c r="D5736" t="str">
        <f>"1278"</f>
        <v>1278</v>
      </c>
      <c r="E5736" t="s">
        <v>100</v>
      </c>
      <c r="F5736" t="s">
        <v>27965</v>
      </c>
      <c r="G5736" t="s">
        <v>16221</v>
      </c>
      <c r="H5736" t="s">
        <v>47055</v>
      </c>
      <c r="I5736" t="s">
        <v>47127</v>
      </c>
      <c r="J5736" t="s">
        <v>47128</v>
      </c>
      <c r="K5736" t="s">
        <v>47113</v>
      </c>
      <c r="L5736">
        <v>13.11</v>
      </c>
      <c r="M5736">
        <v>26</v>
      </c>
      <c r="N5736">
        <v>69</v>
      </c>
      <c r="O5736">
        <v>26</v>
      </c>
      <c r="P5736">
        <v>69</v>
      </c>
    </row>
    <row r="5737" spans="1:16" x14ac:dyDescent="0.25">
      <c r="A5737" t="s">
        <v>28212</v>
      </c>
      <c r="B5737" t="s">
        <v>28209</v>
      </c>
      <c r="C5737" t="s">
        <v>28210</v>
      </c>
      <c r="D5737" t="str">
        <f>"1700"</f>
        <v>1700</v>
      </c>
      <c r="E5737" t="s">
        <v>60</v>
      </c>
      <c r="F5737" t="s">
        <v>27965</v>
      </c>
      <c r="G5737" t="s">
        <v>16221</v>
      </c>
      <c r="H5737" t="s">
        <v>47055</v>
      </c>
      <c r="I5737" t="s">
        <v>47127</v>
      </c>
      <c r="J5737" t="s">
        <v>47128</v>
      </c>
      <c r="K5737" t="s">
        <v>47113</v>
      </c>
      <c r="L5737">
        <v>12.94</v>
      </c>
      <c r="M5737">
        <v>26</v>
      </c>
      <c r="N5737">
        <v>69</v>
      </c>
      <c r="O5737">
        <v>26</v>
      </c>
      <c r="P5737">
        <v>69</v>
      </c>
    </row>
    <row r="5738" spans="1:16" x14ac:dyDescent="0.25">
      <c r="A5738" t="s">
        <v>28213</v>
      </c>
      <c r="B5738" t="s">
        <v>28209</v>
      </c>
      <c r="C5738" t="s">
        <v>28210</v>
      </c>
      <c r="D5738" t="str">
        <f>"4249"</f>
        <v>4249</v>
      </c>
      <c r="E5738" t="s">
        <v>27992</v>
      </c>
      <c r="F5738" t="s">
        <v>27965</v>
      </c>
      <c r="G5738" t="s">
        <v>16221</v>
      </c>
      <c r="H5738" t="s">
        <v>47055</v>
      </c>
      <c r="I5738" t="s">
        <v>47127</v>
      </c>
      <c r="J5738" t="s">
        <v>47128</v>
      </c>
      <c r="K5738" t="s">
        <v>47113</v>
      </c>
      <c r="L5738">
        <v>13.11</v>
      </c>
      <c r="M5738">
        <v>26</v>
      </c>
      <c r="N5738">
        <v>69</v>
      </c>
      <c r="O5738">
        <v>26</v>
      </c>
      <c r="P5738">
        <v>69</v>
      </c>
    </row>
    <row r="5739" spans="1:16" x14ac:dyDescent="0.25">
      <c r="A5739" t="s">
        <v>28214</v>
      </c>
      <c r="B5739" t="s">
        <v>28215</v>
      </c>
      <c r="C5739" t="s">
        <v>28216</v>
      </c>
      <c r="D5739" t="str">
        <f>"1001"</f>
        <v>1001</v>
      </c>
      <c r="E5739" t="s">
        <v>42</v>
      </c>
      <c r="F5739" t="s">
        <v>27965</v>
      </c>
      <c r="G5739" t="s">
        <v>16224</v>
      </c>
      <c r="H5739" t="s">
        <v>47055</v>
      </c>
      <c r="I5739" t="s">
        <v>47120</v>
      </c>
      <c r="J5739" t="s">
        <v>47121</v>
      </c>
      <c r="K5739" t="s">
        <v>47113</v>
      </c>
      <c r="L5739">
        <v>130.35</v>
      </c>
      <c r="M5739">
        <v>296</v>
      </c>
      <c r="N5739">
        <v>799</v>
      </c>
      <c r="O5739">
        <v>296</v>
      </c>
      <c r="P5739">
        <v>799</v>
      </c>
    </row>
    <row r="5740" spans="1:16" x14ac:dyDescent="0.25">
      <c r="A5740" t="s">
        <v>28217</v>
      </c>
      <c r="B5740" t="s">
        <v>28218</v>
      </c>
      <c r="C5740" t="s">
        <v>28219</v>
      </c>
      <c r="D5740" t="str">
        <f>"1001"</f>
        <v>1001</v>
      </c>
      <c r="E5740" t="s">
        <v>42</v>
      </c>
      <c r="F5740" t="s">
        <v>27965</v>
      </c>
      <c r="G5740" t="s">
        <v>16224</v>
      </c>
      <c r="H5740" t="s">
        <v>47055</v>
      </c>
      <c r="I5740" t="s">
        <v>47120</v>
      </c>
      <c r="J5740" t="s">
        <v>47121</v>
      </c>
      <c r="K5740" t="s">
        <v>47113</v>
      </c>
      <c r="L5740">
        <v>93.11</v>
      </c>
      <c r="M5740">
        <v>222</v>
      </c>
      <c r="N5740">
        <v>599</v>
      </c>
      <c r="O5740">
        <v>222</v>
      </c>
      <c r="P5740">
        <v>599</v>
      </c>
    </row>
    <row r="5741" spans="1:16" x14ac:dyDescent="0.25">
      <c r="A5741" t="s">
        <v>28220</v>
      </c>
      <c r="B5741" t="s">
        <v>28221</v>
      </c>
      <c r="C5741" t="s">
        <v>10466</v>
      </c>
      <c r="D5741" t="str">
        <f>"3555"</f>
        <v>3555</v>
      </c>
      <c r="E5741" t="s">
        <v>28050</v>
      </c>
      <c r="F5741" t="s">
        <v>27965</v>
      </c>
      <c r="G5741" t="s">
        <v>16224</v>
      </c>
      <c r="H5741" t="s">
        <v>47055</v>
      </c>
      <c r="I5741" t="s">
        <v>47120</v>
      </c>
      <c r="J5741" t="s">
        <v>47121</v>
      </c>
      <c r="K5741" t="s">
        <v>47113</v>
      </c>
      <c r="L5741">
        <v>51.87</v>
      </c>
      <c r="M5741">
        <v>111</v>
      </c>
      <c r="N5741">
        <v>299</v>
      </c>
      <c r="O5741">
        <v>111</v>
      </c>
      <c r="P5741">
        <v>299</v>
      </c>
    </row>
    <row r="5742" spans="1:16" x14ac:dyDescent="0.25">
      <c r="A5742" t="s">
        <v>47322</v>
      </c>
      <c r="B5742" t="s">
        <v>47323</v>
      </c>
      <c r="C5742" t="s">
        <v>47324</v>
      </c>
      <c r="D5742" t="str">
        <f>"1106"</f>
        <v>1106</v>
      </c>
      <c r="E5742" t="s">
        <v>460</v>
      </c>
      <c r="F5742" t="s">
        <v>47325</v>
      </c>
      <c r="G5742" t="s">
        <v>16231</v>
      </c>
      <c r="H5742" t="s">
        <v>47055</v>
      </c>
      <c r="I5742" t="s">
        <v>47127</v>
      </c>
      <c r="J5742" t="s">
        <v>47128</v>
      </c>
      <c r="K5742" t="s">
        <v>47113</v>
      </c>
      <c r="L5742">
        <v>38.64</v>
      </c>
      <c r="M5742">
        <v>85</v>
      </c>
      <c r="N5742">
        <v>229</v>
      </c>
      <c r="O5742">
        <v>85</v>
      </c>
      <c r="P5742">
        <v>229</v>
      </c>
    </row>
    <row r="5743" spans="1:16" x14ac:dyDescent="0.25">
      <c r="A5743" t="s">
        <v>47326</v>
      </c>
      <c r="B5743" t="s">
        <v>47323</v>
      </c>
      <c r="C5743" t="s">
        <v>47324</v>
      </c>
      <c r="D5743" t="str">
        <f>"3190"</f>
        <v>3190</v>
      </c>
      <c r="E5743" t="s">
        <v>1748</v>
      </c>
      <c r="F5743" t="s">
        <v>47325</v>
      </c>
      <c r="G5743" t="s">
        <v>16231</v>
      </c>
      <c r="H5743" t="s">
        <v>47055</v>
      </c>
      <c r="I5743" t="s">
        <v>47127</v>
      </c>
      <c r="J5743" t="s">
        <v>47128</v>
      </c>
      <c r="K5743" t="s">
        <v>47113</v>
      </c>
      <c r="L5743">
        <v>38.64</v>
      </c>
      <c r="M5743">
        <v>85</v>
      </c>
      <c r="N5743">
        <v>229</v>
      </c>
      <c r="O5743">
        <v>85</v>
      </c>
      <c r="P5743">
        <v>229</v>
      </c>
    </row>
    <row r="5744" spans="1:16" x14ac:dyDescent="0.25">
      <c r="A5744" t="s">
        <v>47327</v>
      </c>
      <c r="B5744" t="s">
        <v>47323</v>
      </c>
      <c r="C5744" t="s">
        <v>47324</v>
      </c>
      <c r="D5744" t="str">
        <f>"6474"</f>
        <v>6474</v>
      </c>
      <c r="E5744" t="s">
        <v>19570</v>
      </c>
      <c r="F5744" t="s">
        <v>47325</v>
      </c>
      <c r="G5744" t="s">
        <v>16231</v>
      </c>
      <c r="H5744" t="s">
        <v>47055</v>
      </c>
      <c r="I5744" t="s">
        <v>47127</v>
      </c>
      <c r="J5744" t="s">
        <v>47128</v>
      </c>
      <c r="K5744" t="s">
        <v>47113</v>
      </c>
      <c r="L5744">
        <v>38.64</v>
      </c>
      <c r="M5744">
        <v>85</v>
      </c>
      <c r="N5744">
        <v>229</v>
      </c>
      <c r="O5744">
        <v>85</v>
      </c>
      <c r="P5744">
        <v>229</v>
      </c>
    </row>
    <row r="5745" spans="1:16" x14ac:dyDescent="0.25">
      <c r="A5745" t="s">
        <v>47328</v>
      </c>
      <c r="B5745" t="s">
        <v>47329</v>
      </c>
      <c r="C5745" t="s">
        <v>47330</v>
      </c>
      <c r="D5745" t="str">
        <f>"4000"</f>
        <v>4000</v>
      </c>
      <c r="E5745" t="s">
        <v>190</v>
      </c>
      <c r="F5745" t="s">
        <v>47325</v>
      </c>
      <c r="G5745" t="s">
        <v>16231</v>
      </c>
      <c r="H5745" t="s">
        <v>47055</v>
      </c>
      <c r="I5745" t="s">
        <v>47127</v>
      </c>
      <c r="J5745" t="s">
        <v>47128</v>
      </c>
      <c r="K5745" t="s">
        <v>47113</v>
      </c>
      <c r="L5745">
        <v>40.25</v>
      </c>
      <c r="M5745">
        <v>92</v>
      </c>
      <c r="N5745">
        <v>249</v>
      </c>
      <c r="O5745">
        <v>92</v>
      </c>
      <c r="P5745">
        <v>249</v>
      </c>
    </row>
    <row r="5746" spans="1:16" x14ac:dyDescent="0.25">
      <c r="A5746" t="s">
        <v>47331</v>
      </c>
      <c r="B5746" t="s">
        <v>47332</v>
      </c>
      <c r="C5746" t="s">
        <v>47333</v>
      </c>
      <c r="D5746" t="str">
        <f>"4003"</f>
        <v>4003</v>
      </c>
      <c r="E5746" t="s">
        <v>1847</v>
      </c>
      <c r="F5746" t="s">
        <v>47325</v>
      </c>
      <c r="G5746" t="s">
        <v>16231</v>
      </c>
      <c r="H5746" t="s">
        <v>47055</v>
      </c>
      <c r="I5746" t="s">
        <v>47127</v>
      </c>
      <c r="J5746" t="s">
        <v>47128</v>
      </c>
      <c r="K5746" t="s">
        <v>47113</v>
      </c>
      <c r="L5746">
        <v>38.32</v>
      </c>
      <c r="M5746">
        <v>85</v>
      </c>
      <c r="N5746">
        <v>229</v>
      </c>
      <c r="O5746">
        <v>85</v>
      </c>
      <c r="P5746">
        <v>229</v>
      </c>
    </row>
    <row r="5747" spans="1:16" x14ac:dyDescent="0.25">
      <c r="A5747" t="s">
        <v>47334</v>
      </c>
      <c r="B5747" t="s">
        <v>47335</v>
      </c>
      <c r="C5747" t="s">
        <v>47336</v>
      </c>
      <c r="D5747" t="str">
        <f>"4003"</f>
        <v>4003</v>
      </c>
      <c r="E5747" t="s">
        <v>1847</v>
      </c>
      <c r="F5747" t="s">
        <v>47325</v>
      </c>
      <c r="G5747" t="s">
        <v>16231</v>
      </c>
      <c r="H5747" t="s">
        <v>47055</v>
      </c>
      <c r="I5747" t="s">
        <v>47127</v>
      </c>
      <c r="J5747" t="s">
        <v>47128</v>
      </c>
      <c r="K5747" t="s">
        <v>47113</v>
      </c>
      <c r="L5747">
        <v>38.32</v>
      </c>
      <c r="M5747">
        <v>85</v>
      </c>
      <c r="N5747">
        <v>229</v>
      </c>
      <c r="O5747">
        <v>85</v>
      </c>
      <c r="P5747">
        <v>229</v>
      </c>
    </row>
    <row r="5748" spans="1:16" x14ac:dyDescent="0.25">
      <c r="A5748" t="s">
        <v>47337</v>
      </c>
      <c r="B5748" t="s">
        <v>47338</v>
      </c>
      <c r="C5748" t="s">
        <v>47199</v>
      </c>
      <c r="D5748" t="str">
        <f>"4003"</f>
        <v>4003</v>
      </c>
      <c r="E5748" t="s">
        <v>1847</v>
      </c>
      <c r="F5748" t="s">
        <v>47325</v>
      </c>
      <c r="G5748" t="s">
        <v>16231</v>
      </c>
      <c r="H5748" t="s">
        <v>47055</v>
      </c>
      <c r="I5748" t="s">
        <v>47127</v>
      </c>
      <c r="J5748" t="s">
        <v>47128</v>
      </c>
      <c r="K5748" t="s">
        <v>47113</v>
      </c>
      <c r="L5748">
        <v>36.44</v>
      </c>
      <c r="M5748">
        <v>103</v>
      </c>
      <c r="N5748">
        <v>279</v>
      </c>
      <c r="O5748">
        <v>103</v>
      </c>
      <c r="P5748">
        <v>279</v>
      </c>
    </row>
    <row r="5749" spans="1:16" x14ac:dyDescent="0.25">
      <c r="A5749" t="s">
        <v>47339</v>
      </c>
      <c r="B5749" t="s">
        <v>47340</v>
      </c>
      <c r="C5749" t="s">
        <v>47341</v>
      </c>
      <c r="D5749" t="str">
        <f>"4086"</f>
        <v>4086</v>
      </c>
      <c r="E5749" t="s">
        <v>47342</v>
      </c>
      <c r="F5749" t="s">
        <v>47325</v>
      </c>
      <c r="G5749" t="s">
        <v>16231</v>
      </c>
      <c r="H5749" t="s">
        <v>47055</v>
      </c>
      <c r="I5749" t="s">
        <v>47127</v>
      </c>
      <c r="J5749" t="s">
        <v>47128</v>
      </c>
      <c r="K5749" t="s">
        <v>47113</v>
      </c>
      <c r="L5749">
        <v>47.55</v>
      </c>
      <c r="M5749">
        <v>103</v>
      </c>
      <c r="N5749">
        <v>279</v>
      </c>
      <c r="O5749">
        <v>103</v>
      </c>
      <c r="P5749">
        <v>279</v>
      </c>
    </row>
    <row r="5750" spans="1:16" x14ac:dyDescent="0.25">
      <c r="A5750" t="s">
        <v>47343</v>
      </c>
      <c r="B5750" t="s">
        <v>47344</v>
      </c>
      <c r="C5750" t="s">
        <v>47345</v>
      </c>
      <c r="D5750" t="str">
        <f>"4086"</f>
        <v>4086</v>
      </c>
      <c r="E5750" t="s">
        <v>47342</v>
      </c>
      <c r="F5750" t="s">
        <v>47325</v>
      </c>
      <c r="G5750" t="s">
        <v>16231</v>
      </c>
      <c r="H5750" t="s">
        <v>47055</v>
      </c>
      <c r="I5750" t="s">
        <v>47127</v>
      </c>
      <c r="J5750" t="s">
        <v>47128</v>
      </c>
      <c r="K5750" t="s">
        <v>47113</v>
      </c>
      <c r="L5750">
        <v>47.55</v>
      </c>
      <c r="M5750">
        <v>103</v>
      </c>
      <c r="N5750">
        <v>279</v>
      </c>
      <c r="O5750">
        <v>103</v>
      </c>
      <c r="P5750">
        <v>279</v>
      </c>
    </row>
    <row r="5751" spans="1:16" x14ac:dyDescent="0.25">
      <c r="A5751" t="s">
        <v>47346</v>
      </c>
      <c r="B5751" t="s">
        <v>47347</v>
      </c>
      <c r="C5751" t="s">
        <v>47348</v>
      </c>
      <c r="D5751" t="str">
        <f>"4086"</f>
        <v>4086</v>
      </c>
      <c r="E5751" t="s">
        <v>47342</v>
      </c>
      <c r="F5751" t="s">
        <v>47325</v>
      </c>
      <c r="G5751" t="s">
        <v>16231</v>
      </c>
      <c r="H5751" t="s">
        <v>47055</v>
      </c>
      <c r="I5751" t="s">
        <v>47127</v>
      </c>
      <c r="J5751" t="s">
        <v>47128</v>
      </c>
      <c r="K5751" t="s">
        <v>47113</v>
      </c>
      <c r="L5751">
        <v>47.66</v>
      </c>
      <c r="M5751">
        <v>103</v>
      </c>
      <c r="N5751">
        <v>279</v>
      </c>
      <c r="O5751">
        <v>103</v>
      </c>
      <c r="P5751">
        <v>279</v>
      </c>
    </row>
    <row r="5752" spans="1:16" x14ac:dyDescent="0.25">
      <c r="A5752" t="s">
        <v>47349</v>
      </c>
      <c r="B5752" t="s">
        <v>47350</v>
      </c>
      <c r="C5752" t="s">
        <v>47351</v>
      </c>
      <c r="D5752" t="s">
        <v>27842</v>
      </c>
      <c r="E5752" t="s">
        <v>27843</v>
      </c>
      <c r="F5752" t="s">
        <v>47325</v>
      </c>
      <c r="G5752" t="s">
        <v>16231</v>
      </c>
      <c r="H5752" t="s">
        <v>47055</v>
      </c>
      <c r="I5752" t="s">
        <v>47127</v>
      </c>
      <c r="J5752" t="s">
        <v>47128</v>
      </c>
      <c r="K5752" t="s">
        <v>47113</v>
      </c>
      <c r="L5752">
        <v>37.03</v>
      </c>
      <c r="M5752">
        <v>74</v>
      </c>
      <c r="N5752">
        <v>199</v>
      </c>
      <c r="O5752">
        <v>74</v>
      </c>
      <c r="P5752">
        <v>199</v>
      </c>
    </row>
    <row r="5753" spans="1:16" x14ac:dyDescent="0.25">
      <c r="A5753" t="s">
        <v>47352</v>
      </c>
      <c r="B5753" t="s">
        <v>47353</v>
      </c>
      <c r="C5753" t="s">
        <v>47354</v>
      </c>
      <c r="D5753" t="s">
        <v>27816</v>
      </c>
      <c r="E5753" t="s">
        <v>27817</v>
      </c>
      <c r="F5753" t="s">
        <v>47325</v>
      </c>
      <c r="G5753" t="s">
        <v>16231</v>
      </c>
      <c r="H5753" t="s">
        <v>47055</v>
      </c>
      <c r="I5753" t="s">
        <v>47127</v>
      </c>
      <c r="J5753" t="s">
        <v>47128</v>
      </c>
      <c r="K5753" t="s">
        <v>47113</v>
      </c>
      <c r="L5753">
        <v>36.97</v>
      </c>
      <c r="M5753">
        <v>74</v>
      </c>
      <c r="N5753">
        <v>199</v>
      </c>
      <c r="O5753">
        <v>74</v>
      </c>
      <c r="P5753">
        <v>199</v>
      </c>
    </row>
    <row r="5754" spans="1:16" x14ac:dyDescent="0.25">
      <c r="A5754" t="s">
        <v>47355</v>
      </c>
      <c r="B5754" t="s">
        <v>47356</v>
      </c>
      <c r="C5754" t="s">
        <v>47357</v>
      </c>
      <c r="D5754" t="s">
        <v>19562</v>
      </c>
      <c r="E5754" t="s">
        <v>19563</v>
      </c>
      <c r="F5754" t="s">
        <v>47325</v>
      </c>
      <c r="G5754" t="s">
        <v>16231</v>
      </c>
      <c r="H5754" t="s">
        <v>47055</v>
      </c>
      <c r="I5754" t="s">
        <v>47127</v>
      </c>
      <c r="J5754" t="s">
        <v>47128</v>
      </c>
      <c r="K5754" t="s">
        <v>47113</v>
      </c>
      <c r="L5754">
        <v>38.42</v>
      </c>
      <c r="M5754">
        <v>74</v>
      </c>
      <c r="N5754">
        <v>199</v>
      </c>
      <c r="O5754">
        <v>74</v>
      </c>
      <c r="P5754">
        <v>199</v>
      </c>
    </row>
    <row r="5755" spans="1:16" x14ac:dyDescent="0.25">
      <c r="A5755" t="s">
        <v>47358</v>
      </c>
      <c r="B5755" t="s">
        <v>47359</v>
      </c>
      <c r="C5755" t="s">
        <v>47360</v>
      </c>
      <c r="D5755" t="str">
        <f>"4000"</f>
        <v>4000</v>
      </c>
      <c r="E5755" t="s">
        <v>190</v>
      </c>
      <c r="F5755" t="s">
        <v>47325</v>
      </c>
      <c r="G5755" t="s">
        <v>16231</v>
      </c>
      <c r="H5755" t="s">
        <v>47055</v>
      </c>
      <c r="I5755" t="s">
        <v>47127</v>
      </c>
      <c r="J5755" t="s">
        <v>47128</v>
      </c>
      <c r="K5755" t="s">
        <v>47113</v>
      </c>
      <c r="L5755">
        <v>36.71</v>
      </c>
      <c r="M5755">
        <v>85</v>
      </c>
      <c r="N5755">
        <v>229</v>
      </c>
      <c r="O5755">
        <v>85</v>
      </c>
      <c r="P5755">
        <v>229</v>
      </c>
    </row>
    <row r="5756" spans="1:16" x14ac:dyDescent="0.25">
      <c r="A5756" t="s">
        <v>47361</v>
      </c>
      <c r="B5756" t="s">
        <v>47362</v>
      </c>
      <c r="C5756" t="s">
        <v>47363</v>
      </c>
      <c r="D5756" t="str">
        <f>"1200"</f>
        <v>1200</v>
      </c>
      <c r="E5756" t="s">
        <v>241</v>
      </c>
      <c r="F5756" t="s">
        <v>47325</v>
      </c>
      <c r="G5756" t="s">
        <v>16231</v>
      </c>
      <c r="H5756" t="s">
        <v>47055</v>
      </c>
      <c r="I5756" t="s">
        <v>47127</v>
      </c>
      <c r="J5756" t="s">
        <v>47128</v>
      </c>
      <c r="K5756" t="s">
        <v>47113</v>
      </c>
      <c r="L5756">
        <v>39.72</v>
      </c>
      <c r="M5756">
        <v>111</v>
      </c>
      <c r="N5756">
        <v>299</v>
      </c>
      <c r="O5756">
        <v>111</v>
      </c>
      <c r="P5756">
        <v>299</v>
      </c>
    </row>
    <row r="5757" spans="1:16" x14ac:dyDescent="0.25">
      <c r="A5757" t="s">
        <v>47364</v>
      </c>
      <c r="B5757" t="s">
        <v>47365</v>
      </c>
      <c r="C5757" t="s">
        <v>47366</v>
      </c>
      <c r="D5757" t="str">
        <f>"1106"</f>
        <v>1106</v>
      </c>
      <c r="E5757" t="s">
        <v>460</v>
      </c>
      <c r="F5757" t="s">
        <v>47325</v>
      </c>
      <c r="G5757" t="s">
        <v>16235</v>
      </c>
      <c r="H5757" t="s">
        <v>47055</v>
      </c>
      <c r="I5757" t="s">
        <v>47127</v>
      </c>
      <c r="J5757" t="s">
        <v>47128</v>
      </c>
      <c r="K5757" t="s">
        <v>47113</v>
      </c>
      <c r="L5757">
        <v>33.81</v>
      </c>
      <c r="M5757">
        <v>74</v>
      </c>
      <c r="N5757">
        <v>199</v>
      </c>
      <c r="O5757">
        <v>74</v>
      </c>
      <c r="P5757">
        <v>199</v>
      </c>
    </row>
    <row r="5758" spans="1:16" x14ac:dyDescent="0.25">
      <c r="A5758" t="s">
        <v>47367</v>
      </c>
      <c r="B5758" t="s">
        <v>47365</v>
      </c>
      <c r="C5758" t="s">
        <v>47366</v>
      </c>
      <c r="D5758" t="str">
        <f>"1278"</f>
        <v>1278</v>
      </c>
      <c r="E5758" t="s">
        <v>100</v>
      </c>
      <c r="F5758" t="s">
        <v>47325</v>
      </c>
      <c r="G5758" t="s">
        <v>16235</v>
      </c>
      <c r="H5758" t="s">
        <v>47055</v>
      </c>
      <c r="I5758" t="s">
        <v>47127</v>
      </c>
      <c r="J5758" t="s">
        <v>47128</v>
      </c>
      <c r="K5758" t="s">
        <v>47113</v>
      </c>
      <c r="L5758">
        <v>33.81</v>
      </c>
      <c r="M5758">
        <v>74</v>
      </c>
      <c r="N5758">
        <v>199</v>
      </c>
      <c r="O5758">
        <v>74</v>
      </c>
      <c r="P5758">
        <v>199</v>
      </c>
    </row>
    <row r="5759" spans="1:16" x14ac:dyDescent="0.25">
      <c r="A5759" t="s">
        <v>47368</v>
      </c>
      <c r="B5759" t="s">
        <v>47365</v>
      </c>
      <c r="C5759" t="s">
        <v>47366</v>
      </c>
      <c r="D5759" t="str">
        <f>"1285"</f>
        <v>1285</v>
      </c>
      <c r="E5759" t="s">
        <v>2148</v>
      </c>
      <c r="F5759" t="s">
        <v>47325</v>
      </c>
      <c r="G5759" t="s">
        <v>16235</v>
      </c>
      <c r="H5759" t="s">
        <v>47055</v>
      </c>
      <c r="I5759" t="s">
        <v>47127</v>
      </c>
      <c r="J5759" t="s">
        <v>47128</v>
      </c>
      <c r="K5759" t="s">
        <v>47113</v>
      </c>
      <c r="L5759">
        <v>33.81</v>
      </c>
      <c r="M5759">
        <v>74</v>
      </c>
      <c r="N5759">
        <v>199</v>
      </c>
      <c r="O5759">
        <v>74</v>
      </c>
      <c r="P5759">
        <v>199</v>
      </c>
    </row>
    <row r="5760" spans="1:16" x14ac:dyDescent="0.25">
      <c r="A5760" t="s">
        <v>47369</v>
      </c>
      <c r="B5760" t="s">
        <v>47370</v>
      </c>
      <c r="C5760" t="s">
        <v>47371</v>
      </c>
      <c r="D5760" t="str">
        <f>"1106"</f>
        <v>1106</v>
      </c>
      <c r="E5760" t="s">
        <v>460</v>
      </c>
      <c r="F5760" t="s">
        <v>47325</v>
      </c>
      <c r="G5760" t="s">
        <v>16222</v>
      </c>
      <c r="H5760" t="s">
        <v>47055</v>
      </c>
      <c r="I5760" t="s">
        <v>47127</v>
      </c>
      <c r="J5760" t="s">
        <v>47128</v>
      </c>
      <c r="K5760" t="s">
        <v>47113</v>
      </c>
      <c r="L5760">
        <v>26.3</v>
      </c>
      <c r="M5760">
        <v>63</v>
      </c>
      <c r="N5760">
        <v>169</v>
      </c>
      <c r="O5760">
        <v>63</v>
      </c>
      <c r="P5760">
        <v>169</v>
      </c>
    </row>
    <row r="5761" spans="1:16" x14ac:dyDescent="0.25">
      <c r="A5761" t="s">
        <v>47372</v>
      </c>
      <c r="B5761" t="s">
        <v>47370</v>
      </c>
      <c r="C5761" t="s">
        <v>47371</v>
      </c>
      <c r="D5761" t="str">
        <f>"1278"</f>
        <v>1278</v>
      </c>
      <c r="E5761" t="s">
        <v>100</v>
      </c>
      <c r="F5761" t="s">
        <v>47325</v>
      </c>
      <c r="G5761" t="s">
        <v>16222</v>
      </c>
      <c r="H5761" t="s">
        <v>47055</v>
      </c>
      <c r="I5761" t="s">
        <v>47127</v>
      </c>
      <c r="J5761" t="s">
        <v>47128</v>
      </c>
      <c r="K5761" t="s">
        <v>47113</v>
      </c>
      <c r="L5761">
        <v>26.3</v>
      </c>
      <c r="M5761">
        <v>59</v>
      </c>
      <c r="N5761">
        <v>159</v>
      </c>
      <c r="O5761">
        <v>59</v>
      </c>
      <c r="P5761">
        <v>159</v>
      </c>
    </row>
    <row r="5762" spans="1:16" x14ac:dyDescent="0.25">
      <c r="A5762" t="s">
        <v>47373</v>
      </c>
      <c r="B5762" t="s">
        <v>47370</v>
      </c>
      <c r="C5762" t="s">
        <v>47371</v>
      </c>
      <c r="D5762" t="str">
        <f>"1285"</f>
        <v>1285</v>
      </c>
      <c r="E5762" t="s">
        <v>2148</v>
      </c>
      <c r="F5762" t="s">
        <v>47325</v>
      </c>
      <c r="G5762" t="s">
        <v>16222</v>
      </c>
      <c r="H5762" t="s">
        <v>47055</v>
      </c>
      <c r="I5762" t="s">
        <v>47127</v>
      </c>
      <c r="J5762" t="s">
        <v>47128</v>
      </c>
      <c r="K5762" t="s">
        <v>47113</v>
      </c>
      <c r="L5762">
        <v>26.3</v>
      </c>
      <c r="M5762">
        <v>59</v>
      </c>
      <c r="N5762">
        <v>159</v>
      </c>
      <c r="O5762">
        <v>59</v>
      </c>
      <c r="P5762">
        <v>159</v>
      </c>
    </row>
    <row r="5763" spans="1:16" x14ac:dyDescent="0.25">
      <c r="A5763" t="s">
        <v>47374</v>
      </c>
      <c r="B5763" t="s">
        <v>47375</v>
      </c>
      <c r="C5763" t="s">
        <v>47376</v>
      </c>
      <c r="D5763" t="str">
        <f>"1106"</f>
        <v>1106</v>
      </c>
      <c r="E5763" t="s">
        <v>460</v>
      </c>
      <c r="F5763" t="s">
        <v>47325</v>
      </c>
      <c r="G5763" t="s">
        <v>16235</v>
      </c>
      <c r="H5763" t="s">
        <v>47055</v>
      </c>
      <c r="I5763" t="s">
        <v>47127</v>
      </c>
      <c r="J5763" t="s">
        <v>47128</v>
      </c>
      <c r="K5763" t="s">
        <v>47113</v>
      </c>
      <c r="L5763">
        <v>28.87</v>
      </c>
      <c r="M5763">
        <v>66</v>
      </c>
      <c r="N5763">
        <v>179</v>
      </c>
      <c r="O5763">
        <v>66</v>
      </c>
      <c r="P5763">
        <v>179</v>
      </c>
    </row>
    <row r="5764" spans="1:16" x14ac:dyDescent="0.25">
      <c r="A5764" t="s">
        <v>47377</v>
      </c>
      <c r="B5764" t="s">
        <v>47375</v>
      </c>
      <c r="C5764" t="s">
        <v>47376</v>
      </c>
      <c r="D5764" t="str">
        <f>"1285"</f>
        <v>1285</v>
      </c>
      <c r="E5764" t="s">
        <v>2148</v>
      </c>
      <c r="F5764" t="s">
        <v>47325</v>
      </c>
      <c r="G5764" t="s">
        <v>16235</v>
      </c>
      <c r="H5764" t="s">
        <v>47055</v>
      </c>
      <c r="I5764" t="s">
        <v>47127</v>
      </c>
      <c r="J5764" t="s">
        <v>47128</v>
      </c>
      <c r="K5764" t="s">
        <v>47113</v>
      </c>
      <c r="L5764">
        <v>28.87</v>
      </c>
      <c r="M5764">
        <v>66</v>
      </c>
      <c r="N5764">
        <v>179</v>
      </c>
      <c r="O5764">
        <v>66</v>
      </c>
      <c r="P5764">
        <v>179</v>
      </c>
    </row>
    <row r="5765" spans="1:16" x14ac:dyDescent="0.25">
      <c r="A5765" t="s">
        <v>47378</v>
      </c>
      <c r="B5765" t="s">
        <v>47375</v>
      </c>
      <c r="C5765" t="s">
        <v>47376</v>
      </c>
      <c r="D5765" t="str">
        <f>"3190"</f>
        <v>3190</v>
      </c>
      <c r="E5765" t="s">
        <v>1748</v>
      </c>
      <c r="F5765" t="s">
        <v>47325</v>
      </c>
      <c r="G5765" t="s">
        <v>16235</v>
      </c>
      <c r="H5765" t="s">
        <v>47055</v>
      </c>
      <c r="I5765" t="s">
        <v>47127</v>
      </c>
      <c r="J5765" t="s">
        <v>47128</v>
      </c>
      <c r="K5765" t="s">
        <v>47113</v>
      </c>
      <c r="L5765">
        <v>28.87</v>
      </c>
      <c r="M5765">
        <v>66</v>
      </c>
      <c r="N5765">
        <v>179</v>
      </c>
      <c r="O5765">
        <v>66</v>
      </c>
      <c r="P5765">
        <v>179</v>
      </c>
    </row>
    <row r="5766" spans="1:16" x14ac:dyDescent="0.25">
      <c r="A5766" t="s">
        <v>47379</v>
      </c>
      <c r="B5766" t="s">
        <v>47375</v>
      </c>
      <c r="C5766" t="s">
        <v>47376</v>
      </c>
      <c r="D5766" t="str">
        <f>"4025"</f>
        <v>4025</v>
      </c>
      <c r="E5766" t="s">
        <v>24724</v>
      </c>
      <c r="F5766" t="s">
        <v>47325</v>
      </c>
      <c r="G5766" t="s">
        <v>16235</v>
      </c>
      <c r="H5766" t="s">
        <v>47055</v>
      </c>
      <c r="I5766" t="s">
        <v>47127</v>
      </c>
      <c r="J5766" t="s">
        <v>47128</v>
      </c>
      <c r="K5766" t="s">
        <v>47113</v>
      </c>
      <c r="L5766">
        <v>28.87</v>
      </c>
      <c r="M5766">
        <v>66</v>
      </c>
      <c r="N5766">
        <v>179</v>
      </c>
      <c r="O5766">
        <v>66</v>
      </c>
      <c r="P5766">
        <v>179</v>
      </c>
    </row>
    <row r="5767" spans="1:16" x14ac:dyDescent="0.25">
      <c r="A5767" t="s">
        <v>47380</v>
      </c>
      <c r="B5767" t="s">
        <v>47381</v>
      </c>
      <c r="C5767" t="s">
        <v>47382</v>
      </c>
      <c r="D5767" t="str">
        <f>"1106"</f>
        <v>1106</v>
      </c>
      <c r="E5767" t="s">
        <v>460</v>
      </c>
      <c r="F5767" t="s">
        <v>47325</v>
      </c>
      <c r="G5767" t="s">
        <v>16222</v>
      </c>
      <c r="H5767" t="s">
        <v>47055</v>
      </c>
      <c r="I5767" t="s">
        <v>47127</v>
      </c>
      <c r="J5767" t="s">
        <v>47128</v>
      </c>
      <c r="K5767" t="s">
        <v>47113</v>
      </c>
      <c r="L5767">
        <v>20.93</v>
      </c>
      <c r="M5767">
        <v>48</v>
      </c>
      <c r="N5767">
        <v>129</v>
      </c>
      <c r="O5767">
        <v>48</v>
      </c>
      <c r="P5767">
        <v>129</v>
      </c>
    </row>
    <row r="5768" spans="1:16" x14ac:dyDescent="0.25">
      <c r="A5768" t="s">
        <v>47383</v>
      </c>
      <c r="B5768" t="s">
        <v>47381</v>
      </c>
      <c r="C5768" t="s">
        <v>47382</v>
      </c>
      <c r="D5768" t="str">
        <f>"1285"</f>
        <v>1285</v>
      </c>
      <c r="E5768" t="s">
        <v>2148</v>
      </c>
      <c r="F5768" t="s">
        <v>47325</v>
      </c>
      <c r="G5768" t="s">
        <v>16222</v>
      </c>
      <c r="H5768" t="s">
        <v>47055</v>
      </c>
      <c r="I5768" t="s">
        <v>47127</v>
      </c>
      <c r="J5768" t="s">
        <v>47128</v>
      </c>
      <c r="K5768" t="s">
        <v>47113</v>
      </c>
      <c r="L5768">
        <v>20.93</v>
      </c>
      <c r="M5768">
        <v>48</v>
      </c>
      <c r="N5768">
        <v>129</v>
      </c>
      <c r="O5768">
        <v>48</v>
      </c>
      <c r="P5768">
        <v>129</v>
      </c>
    </row>
    <row r="5769" spans="1:16" x14ac:dyDescent="0.25">
      <c r="A5769" t="s">
        <v>47384</v>
      </c>
      <c r="B5769" t="s">
        <v>47381</v>
      </c>
      <c r="C5769" t="s">
        <v>47382</v>
      </c>
      <c r="D5769" t="str">
        <f>"4025"</f>
        <v>4025</v>
      </c>
      <c r="E5769" t="s">
        <v>24724</v>
      </c>
      <c r="F5769" t="s">
        <v>47325</v>
      </c>
      <c r="G5769" t="s">
        <v>16222</v>
      </c>
      <c r="H5769" t="s">
        <v>47055</v>
      </c>
      <c r="I5769" t="s">
        <v>47127</v>
      </c>
      <c r="J5769" t="s">
        <v>47128</v>
      </c>
      <c r="K5769" t="s">
        <v>47113</v>
      </c>
      <c r="L5769">
        <v>20.93</v>
      </c>
      <c r="M5769">
        <v>48</v>
      </c>
      <c r="N5769">
        <v>129</v>
      </c>
      <c r="O5769">
        <v>48</v>
      </c>
      <c r="P5769">
        <v>129</v>
      </c>
    </row>
    <row r="5770" spans="1:16" x14ac:dyDescent="0.25">
      <c r="A5770" t="s">
        <v>47385</v>
      </c>
      <c r="B5770" t="s">
        <v>47386</v>
      </c>
      <c r="C5770" t="s">
        <v>47387</v>
      </c>
      <c r="D5770" t="str">
        <f>"1106"</f>
        <v>1106</v>
      </c>
      <c r="E5770" t="s">
        <v>460</v>
      </c>
      <c r="F5770" t="s">
        <v>47325</v>
      </c>
      <c r="G5770" t="s">
        <v>16222</v>
      </c>
      <c r="H5770" t="s">
        <v>47055</v>
      </c>
      <c r="I5770" t="s">
        <v>47127</v>
      </c>
      <c r="J5770" t="s">
        <v>47128</v>
      </c>
      <c r="K5770" t="s">
        <v>47113</v>
      </c>
      <c r="L5770">
        <v>24.37</v>
      </c>
      <c r="M5770">
        <v>48</v>
      </c>
      <c r="N5770">
        <v>129</v>
      </c>
      <c r="O5770">
        <v>48</v>
      </c>
      <c r="P5770">
        <v>129</v>
      </c>
    </row>
    <row r="5771" spans="1:16" x14ac:dyDescent="0.25">
      <c r="A5771" t="s">
        <v>47388</v>
      </c>
      <c r="B5771" t="s">
        <v>47386</v>
      </c>
      <c r="C5771" t="s">
        <v>47387</v>
      </c>
      <c r="D5771" t="str">
        <f>"3190"</f>
        <v>3190</v>
      </c>
      <c r="E5771" t="s">
        <v>1748</v>
      </c>
      <c r="F5771" t="s">
        <v>47325</v>
      </c>
      <c r="G5771" t="s">
        <v>16222</v>
      </c>
      <c r="H5771" t="s">
        <v>47055</v>
      </c>
      <c r="I5771" t="s">
        <v>47127</v>
      </c>
      <c r="J5771" t="s">
        <v>47128</v>
      </c>
      <c r="K5771" t="s">
        <v>47113</v>
      </c>
      <c r="L5771">
        <v>24.37</v>
      </c>
      <c r="M5771">
        <v>48</v>
      </c>
      <c r="N5771">
        <v>129</v>
      </c>
      <c r="O5771">
        <v>48</v>
      </c>
      <c r="P5771">
        <v>129</v>
      </c>
    </row>
    <row r="5772" spans="1:16" x14ac:dyDescent="0.25">
      <c r="A5772" t="s">
        <v>47389</v>
      </c>
      <c r="B5772" t="s">
        <v>47386</v>
      </c>
      <c r="C5772" t="s">
        <v>47387</v>
      </c>
      <c r="D5772" t="str">
        <f>"4025"</f>
        <v>4025</v>
      </c>
      <c r="E5772" t="s">
        <v>24724</v>
      </c>
      <c r="F5772" t="s">
        <v>47325</v>
      </c>
      <c r="G5772" t="s">
        <v>16222</v>
      </c>
      <c r="H5772" t="s">
        <v>47055</v>
      </c>
      <c r="I5772" t="s">
        <v>47127</v>
      </c>
      <c r="J5772" t="s">
        <v>47128</v>
      </c>
      <c r="K5772" t="s">
        <v>47113</v>
      </c>
      <c r="L5772">
        <v>24.37</v>
      </c>
      <c r="M5772">
        <v>48</v>
      </c>
      <c r="N5772">
        <v>129</v>
      </c>
      <c r="O5772">
        <v>48</v>
      </c>
      <c r="P5772">
        <v>129</v>
      </c>
    </row>
    <row r="5773" spans="1:16" x14ac:dyDescent="0.25">
      <c r="A5773" t="s">
        <v>47390</v>
      </c>
      <c r="B5773" t="s">
        <v>47391</v>
      </c>
      <c r="C5773" t="s">
        <v>47392</v>
      </c>
      <c r="D5773" t="str">
        <f>"1106"</f>
        <v>1106</v>
      </c>
      <c r="E5773" t="s">
        <v>460</v>
      </c>
      <c r="F5773" t="s">
        <v>47325</v>
      </c>
      <c r="G5773" t="s">
        <v>16235</v>
      </c>
      <c r="H5773" t="s">
        <v>47055</v>
      </c>
      <c r="I5773" t="s">
        <v>47127</v>
      </c>
      <c r="J5773" t="s">
        <v>47128</v>
      </c>
      <c r="K5773" t="s">
        <v>47113</v>
      </c>
      <c r="L5773">
        <v>31.02</v>
      </c>
      <c r="M5773">
        <v>70</v>
      </c>
      <c r="N5773">
        <v>189</v>
      </c>
      <c r="O5773">
        <v>70</v>
      </c>
      <c r="P5773">
        <v>189</v>
      </c>
    </row>
    <row r="5774" spans="1:16" x14ac:dyDescent="0.25">
      <c r="A5774" t="s">
        <v>47393</v>
      </c>
      <c r="B5774" t="s">
        <v>47391</v>
      </c>
      <c r="C5774" t="s">
        <v>47392</v>
      </c>
      <c r="D5774" t="str">
        <f>"3190"</f>
        <v>3190</v>
      </c>
      <c r="E5774" t="s">
        <v>1748</v>
      </c>
      <c r="F5774" t="s">
        <v>47325</v>
      </c>
      <c r="G5774" t="s">
        <v>16235</v>
      </c>
      <c r="H5774" t="s">
        <v>47055</v>
      </c>
      <c r="I5774" t="s">
        <v>47127</v>
      </c>
      <c r="J5774" t="s">
        <v>47128</v>
      </c>
      <c r="K5774" t="s">
        <v>47113</v>
      </c>
      <c r="L5774">
        <v>31.02</v>
      </c>
      <c r="M5774">
        <v>70</v>
      </c>
      <c r="N5774">
        <v>189</v>
      </c>
      <c r="O5774">
        <v>70</v>
      </c>
      <c r="P5774">
        <v>189</v>
      </c>
    </row>
    <row r="5775" spans="1:16" x14ac:dyDescent="0.25">
      <c r="A5775" t="s">
        <v>47394</v>
      </c>
      <c r="B5775" t="s">
        <v>47391</v>
      </c>
      <c r="C5775" t="s">
        <v>47392</v>
      </c>
      <c r="D5775" t="str">
        <f>"4025"</f>
        <v>4025</v>
      </c>
      <c r="E5775" t="s">
        <v>24724</v>
      </c>
      <c r="F5775" t="s">
        <v>47325</v>
      </c>
      <c r="G5775" t="s">
        <v>16235</v>
      </c>
      <c r="H5775" t="s">
        <v>47055</v>
      </c>
      <c r="I5775" t="s">
        <v>47127</v>
      </c>
      <c r="J5775" t="s">
        <v>47128</v>
      </c>
      <c r="K5775" t="s">
        <v>47113</v>
      </c>
      <c r="L5775">
        <v>31.02</v>
      </c>
      <c r="M5775">
        <v>70</v>
      </c>
      <c r="N5775">
        <v>189</v>
      </c>
      <c r="O5775">
        <v>70</v>
      </c>
      <c r="P5775">
        <v>189</v>
      </c>
    </row>
    <row r="5776" spans="1:16" x14ac:dyDescent="0.25">
      <c r="A5776" t="s">
        <v>47395</v>
      </c>
      <c r="B5776" t="s">
        <v>47396</v>
      </c>
      <c r="C5776" t="s">
        <v>47397</v>
      </c>
      <c r="D5776" t="str">
        <f>"1106"</f>
        <v>1106</v>
      </c>
      <c r="E5776" t="s">
        <v>460</v>
      </c>
      <c r="F5776" t="s">
        <v>47325</v>
      </c>
      <c r="G5776" t="s">
        <v>16235</v>
      </c>
      <c r="H5776" t="s">
        <v>47055</v>
      </c>
      <c r="I5776" t="s">
        <v>47127</v>
      </c>
      <c r="J5776" t="s">
        <v>47128</v>
      </c>
      <c r="K5776" t="s">
        <v>47113</v>
      </c>
      <c r="L5776">
        <v>27.8</v>
      </c>
      <c r="M5776">
        <v>66</v>
      </c>
      <c r="N5776">
        <v>179</v>
      </c>
      <c r="O5776">
        <v>66</v>
      </c>
      <c r="P5776">
        <v>179</v>
      </c>
    </row>
    <row r="5777" spans="1:16" x14ac:dyDescent="0.25">
      <c r="A5777" t="s">
        <v>47398</v>
      </c>
      <c r="B5777" t="s">
        <v>47396</v>
      </c>
      <c r="C5777" t="s">
        <v>47397</v>
      </c>
      <c r="D5777" t="str">
        <f>"1285"</f>
        <v>1285</v>
      </c>
      <c r="E5777" t="s">
        <v>2148</v>
      </c>
      <c r="F5777" t="s">
        <v>47325</v>
      </c>
      <c r="G5777" t="s">
        <v>16235</v>
      </c>
      <c r="H5777" t="s">
        <v>47055</v>
      </c>
      <c r="I5777" t="s">
        <v>47127</v>
      </c>
      <c r="J5777" t="s">
        <v>47128</v>
      </c>
      <c r="K5777" t="s">
        <v>47113</v>
      </c>
      <c r="L5777">
        <v>27.8</v>
      </c>
      <c r="M5777">
        <v>66</v>
      </c>
      <c r="N5777">
        <v>179</v>
      </c>
      <c r="O5777">
        <v>66</v>
      </c>
      <c r="P5777">
        <v>179</v>
      </c>
    </row>
    <row r="5778" spans="1:16" x14ac:dyDescent="0.25">
      <c r="A5778" t="s">
        <v>47399</v>
      </c>
      <c r="B5778" t="s">
        <v>47400</v>
      </c>
      <c r="C5778" t="s">
        <v>47401</v>
      </c>
      <c r="D5778" t="str">
        <f>"1106"</f>
        <v>1106</v>
      </c>
      <c r="E5778" t="s">
        <v>460</v>
      </c>
      <c r="F5778" t="s">
        <v>47325</v>
      </c>
      <c r="G5778" t="s">
        <v>16222</v>
      </c>
      <c r="H5778" t="s">
        <v>47055</v>
      </c>
      <c r="I5778" t="s">
        <v>47127</v>
      </c>
      <c r="J5778" t="s">
        <v>47128</v>
      </c>
      <c r="K5778" t="s">
        <v>47113</v>
      </c>
      <c r="L5778">
        <v>17.93</v>
      </c>
      <c r="M5778">
        <v>48</v>
      </c>
      <c r="N5778">
        <v>129</v>
      </c>
      <c r="O5778">
        <v>48</v>
      </c>
      <c r="P5778">
        <v>129</v>
      </c>
    </row>
    <row r="5779" spans="1:16" x14ac:dyDescent="0.25">
      <c r="A5779" t="s">
        <v>47402</v>
      </c>
      <c r="B5779" t="s">
        <v>47400</v>
      </c>
      <c r="C5779" t="s">
        <v>47401</v>
      </c>
      <c r="D5779" t="str">
        <f>"1285"</f>
        <v>1285</v>
      </c>
      <c r="E5779" t="s">
        <v>2148</v>
      </c>
      <c r="F5779" t="s">
        <v>47325</v>
      </c>
      <c r="G5779" t="s">
        <v>16222</v>
      </c>
      <c r="H5779" t="s">
        <v>47055</v>
      </c>
      <c r="I5779" t="s">
        <v>47127</v>
      </c>
      <c r="J5779" t="s">
        <v>47128</v>
      </c>
      <c r="K5779" t="s">
        <v>47113</v>
      </c>
      <c r="L5779">
        <v>17.93</v>
      </c>
      <c r="M5779">
        <v>48</v>
      </c>
      <c r="N5779">
        <v>129</v>
      </c>
      <c r="O5779">
        <v>48</v>
      </c>
      <c r="P5779">
        <v>129</v>
      </c>
    </row>
    <row r="5780" spans="1:16" x14ac:dyDescent="0.25">
      <c r="A5780" t="s">
        <v>47403</v>
      </c>
      <c r="B5780" t="s">
        <v>47404</v>
      </c>
      <c r="C5780" t="s">
        <v>47405</v>
      </c>
      <c r="D5780" t="str">
        <f>"1106"</f>
        <v>1106</v>
      </c>
      <c r="E5780" t="s">
        <v>460</v>
      </c>
      <c r="F5780" t="s">
        <v>47325</v>
      </c>
      <c r="G5780" t="s">
        <v>16235</v>
      </c>
      <c r="H5780" t="s">
        <v>47055</v>
      </c>
      <c r="I5780" t="s">
        <v>47127</v>
      </c>
      <c r="J5780" t="s">
        <v>47128</v>
      </c>
      <c r="K5780" t="s">
        <v>47113</v>
      </c>
      <c r="L5780">
        <v>27.8</v>
      </c>
      <c r="M5780">
        <v>66</v>
      </c>
      <c r="N5780">
        <v>179</v>
      </c>
      <c r="O5780">
        <v>66</v>
      </c>
      <c r="P5780">
        <v>179</v>
      </c>
    </row>
    <row r="5781" spans="1:16" x14ac:dyDescent="0.25">
      <c r="A5781" t="s">
        <v>47406</v>
      </c>
      <c r="B5781" t="s">
        <v>47404</v>
      </c>
      <c r="C5781" t="s">
        <v>47405</v>
      </c>
      <c r="D5781" t="str">
        <f>"4025"</f>
        <v>4025</v>
      </c>
      <c r="E5781" t="s">
        <v>24724</v>
      </c>
      <c r="F5781" t="s">
        <v>47325</v>
      </c>
      <c r="G5781" t="s">
        <v>16235</v>
      </c>
      <c r="H5781" t="s">
        <v>47055</v>
      </c>
      <c r="I5781" t="s">
        <v>47127</v>
      </c>
      <c r="J5781" t="s">
        <v>47128</v>
      </c>
      <c r="K5781" t="s">
        <v>47113</v>
      </c>
      <c r="L5781">
        <v>27.8</v>
      </c>
      <c r="M5781">
        <v>66</v>
      </c>
      <c r="N5781">
        <v>179</v>
      </c>
      <c r="O5781">
        <v>66</v>
      </c>
      <c r="P5781">
        <v>179</v>
      </c>
    </row>
    <row r="5782" spans="1:16" x14ac:dyDescent="0.25">
      <c r="A5782" t="s">
        <v>47407</v>
      </c>
      <c r="B5782" t="s">
        <v>47408</v>
      </c>
      <c r="C5782" t="s">
        <v>47409</v>
      </c>
      <c r="D5782" t="str">
        <f>"1106"</f>
        <v>1106</v>
      </c>
      <c r="E5782" t="s">
        <v>460</v>
      </c>
      <c r="F5782" t="s">
        <v>47325</v>
      </c>
      <c r="G5782" t="s">
        <v>16235</v>
      </c>
      <c r="H5782" t="s">
        <v>47055</v>
      </c>
      <c r="I5782" t="s">
        <v>47127</v>
      </c>
      <c r="J5782" t="s">
        <v>47128</v>
      </c>
      <c r="K5782" t="s">
        <v>47113</v>
      </c>
      <c r="L5782">
        <v>30.8</v>
      </c>
      <c r="M5782">
        <v>70</v>
      </c>
      <c r="N5782">
        <v>189</v>
      </c>
      <c r="O5782">
        <v>70</v>
      </c>
      <c r="P5782">
        <v>189</v>
      </c>
    </row>
    <row r="5783" spans="1:16" x14ac:dyDescent="0.25">
      <c r="A5783" t="s">
        <v>47410</v>
      </c>
      <c r="B5783" t="s">
        <v>47408</v>
      </c>
      <c r="C5783" t="s">
        <v>47409</v>
      </c>
      <c r="D5783" t="str">
        <f>"1285"</f>
        <v>1285</v>
      </c>
      <c r="E5783" t="s">
        <v>2148</v>
      </c>
      <c r="F5783" t="s">
        <v>47325</v>
      </c>
      <c r="G5783" t="s">
        <v>16235</v>
      </c>
      <c r="H5783" t="s">
        <v>47055</v>
      </c>
      <c r="I5783" t="s">
        <v>47127</v>
      </c>
      <c r="J5783" t="s">
        <v>47128</v>
      </c>
      <c r="K5783" t="s">
        <v>47113</v>
      </c>
      <c r="L5783">
        <v>30.8</v>
      </c>
      <c r="M5783">
        <v>70</v>
      </c>
      <c r="N5783">
        <v>189</v>
      </c>
      <c r="O5783">
        <v>70</v>
      </c>
      <c r="P5783">
        <v>189</v>
      </c>
    </row>
    <row r="5784" spans="1:16" x14ac:dyDescent="0.25">
      <c r="A5784" t="s">
        <v>47411</v>
      </c>
      <c r="B5784" t="s">
        <v>47408</v>
      </c>
      <c r="C5784" t="s">
        <v>47409</v>
      </c>
      <c r="D5784" t="str">
        <f>"4025"</f>
        <v>4025</v>
      </c>
      <c r="E5784" t="s">
        <v>24724</v>
      </c>
      <c r="F5784" t="s">
        <v>47325</v>
      </c>
      <c r="G5784" t="s">
        <v>16235</v>
      </c>
      <c r="H5784" t="s">
        <v>47055</v>
      </c>
      <c r="I5784" t="s">
        <v>47127</v>
      </c>
      <c r="J5784" t="s">
        <v>47128</v>
      </c>
      <c r="K5784" t="s">
        <v>47113</v>
      </c>
      <c r="L5784">
        <v>30.8</v>
      </c>
      <c r="M5784">
        <v>70</v>
      </c>
      <c r="N5784">
        <v>189</v>
      </c>
      <c r="O5784">
        <v>70</v>
      </c>
      <c r="P5784">
        <v>189</v>
      </c>
    </row>
    <row r="5785" spans="1:16" x14ac:dyDescent="0.25">
      <c r="A5785" t="s">
        <v>47412</v>
      </c>
      <c r="B5785" t="s">
        <v>47413</v>
      </c>
      <c r="C5785" t="s">
        <v>47414</v>
      </c>
      <c r="D5785" t="str">
        <f>"1285"</f>
        <v>1285</v>
      </c>
      <c r="E5785" t="s">
        <v>2148</v>
      </c>
      <c r="F5785" t="s">
        <v>47325</v>
      </c>
      <c r="G5785" t="s">
        <v>16221</v>
      </c>
      <c r="H5785" t="s">
        <v>47055</v>
      </c>
      <c r="I5785" t="s">
        <v>47127</v>
      </c>
      <c r="J5785" t="s">
        <v>47128</v>
      </c>
      <c r="K5785" t="s">
        <v>47113</v>
      </c>
      <c r="L5785">
        <v>14.91</v>
      </c>
      <c r="M5785">
        <v>33</v>
      </c>
      <c r="N5785">
        <v>89</v>
      </c>
      <c r="O5785">
        <v>33</v>
      </c>
      <c r="P5785">
        <v>89</v>
      </c>
    </row>
    <row r="5786" spans="1:16" x14ac:dyDescent="0.25">
      <c r="A5786" t="s">
        <v>47415</v>
      </c>
      <c r="B5786" t="s">
        <v>47413</v>
      </c>
      <c r="C5786" t="s">
        <v>47414</v>
      </c>
      <c r="D5786" t="str">
        <f>"1700"</f>
        <v>1700</v>
      </c>
      <c r="E5786" t="s">
        <v>60</v>
      </c>
      <c r="F5786" t="s">
        <v>47325</v>
      </c>
      <c r="G5786" t="s">
        <v>16221</v>
      </c>
      <c r="H5786" t="s">
        <v>47055</v>
      </c>
      <c r="I5786" t="s">
        <v>47127</v>
      </c>
      <c r="J5786" t="s">
        <v>47128</v>
      </c>
      <c r="K5786" t="s">
        <v>47113</v>
      </c>
      <c r="L5786">
        <v>14.91</v>
      </c>
      <c r="M5786">
        <v>33</v>
      </c>
      <c r="N5786">
        <v>89</v>
      </c>
      <c r="O5786">
        <v>33</v>
      </c>
      <c r="P5786">
        <v>89</v>
      </c>
    </row>
    <row r="5787" spans="1:16" x14ac:dyDescent="0.25">
      <c r="A5787" t="s">
        <v>47416</v>
      </c>
      <c r="B5787" t="s">
        <v>47417</v>
      </c>
      <c r="C5787" t="s">
        <v>47418</v>
      </c>
      <c r="D5787" t="str">
        <f>"1106"</f>
        <v>1106</v>
      </c>
      <c r="E5787" t="s">
        <v>460</v>
      </c>
      <c r="F5787" t="s">
        <v>47325</v>
      </c>
      <c r="G5787" t="s">
        <v>16235</v>
      </c>
      <c r="H5787" t="s">
        <v>47055</v>
      </c>
      <c r="I5787" t="s">
        <v>47127</v>
      </c>
      <c r="J5787" t="s">
        <v>47128</v>
      </c>
      <c r="K5787" t="s">
        <v>47113</v>
      </c>
      <c r="L5787">
        <v>22.22</v>
      </c>
      <c r="M5787">
        <v>51</v>
      </c>
      <c r="N5787">
        <v>139</v>
      </c>
      <c r="O5787">
        <v>51</v>
      </c>
      <c r="P5787">
        <v>139</v>
      </c>
    </row>
    <row r="5788" spans="1:16" x14ac:dyDescent="0.25">
      <c r="A5788" t="s">
        <v>47419</v>
      </c>
      <c r="B5788" t="s">
        <v>47417</v>
      </c>
      <c r="C5788" t="s">
        <v>47418</v>
      </c>
      <c r="D5788" t="str">
        <f>"1285"</f>
        <v>1285</v>
      </c>
      <c r="E5788" t="s">
        <v>2148</v>
      </c>
      <c r="F5788" t="s">
        <v>47325</v>
      </c>
      <c r="G5788" t="s">
        <v>16235</v>
      </c>
      <c r="H5788" t="s">
        <v>47055</v>
      </c>
      <c r="I5788" t="s">
        <v>47127</v>
      </c>
      <c r="J5788" t="s">
        <v>47128</v>
      </c>
      <c r="K5788" t="s">
        <v>47113</v>
      </c>
      <c r="L5788">
        <v>22.22</v>
      </c>
      <c r="M5788">
        <v>51</v>
      </c>
      <c r="N5788">
        <v>139</v>
      </c>
      <c r="O5788">
        <v>51</v>
      </c>
      <c r="P5788">
        <v>139</v>
      </c>
    </row>
    <row r="5789" spans="1:16" x14ac:dyDescent="0.25">
      <c r="A5789" t="s">
        <v>47420</v>
      </c>
      <c r="B5789" t="s">
        <v>47421</v>
      </c>
      <c r="C5789" t="s">
        <v>47422</v>
      </c>
      <c r="D5789" t="str">
        <f>"1106"</f>
        <v>1106</v>
      </c>
      <c r="E5789" t="s">
        <v>460</v>
      </c>
      <c r="F5789" t="s">
        <v>47325</v>
      </c>
      <c r="G5789" t="s">
        <v>16221</v>
      </c>
      <c r="H5789" t="s">
        <v>47055</v>
      </c>
      <c r="I5789" t="s">
        <v>47127</v>
      </c>
      <c r="J5789" t="s">
        <v>47128</v>
      </c>
      <c r="K5789" t="s">
        <v>47113</v>
      </c>
      <c r="L5789">
        <v>14.49</v>
      </c>
      <c r="M5789">
        <v>33</v>
      </c>
      <c r="N5789">
        <v>89</v>
      </c>
      <c r="O5789">
        <v>33</v>
      </c>
      <c r="P5789">
        <v>89</v>
      </c>
    </row>
    <row r="5790" spans="1:16" x14ac:dyDescent="0.25">
      <c r="A5790" t="s">
        <v>47423</v>
      </c>
      <c r="B5790" t="s">
        <v>47424</v>
      </c>
      <c r="C5790" t="s">
        <v>47425</v>
      </c>
      <c r="D5790" t="str">
        <f>"1106"</f>
        <v>1106</v>
      </c>
      <c r="E5790" t="s">
        <v>460</v>
      </c>
      <c r="F5790" t="s">
        <v>47325</v>
      </c>
      <c r="G5790" t="s">
        <v>16221</v>
      </c>
      <c r="H5790" t="s">
        <v>47055</v>
      </c>
      <c r="I5790" t="s">
        <v>47127</v>
      </c>
      <c r="J5790" t="s">
        <v>47128</v>
      </c>
      <c r="K5790" t="s">
        <v>47113</v>
      </c>
      <c r="L5790">
        <v>12.77</v>
      </c>
      <c r="M5790">
        <v>29</v>
      </c>
      <c r="N5790">
        <v>79</v>
      </c>
      <c r="O5790">
        <v>29</v>
      </c>
      <c r="P5790">
        <v>79</v>
      </c>
    </row>
    <row r="5791" spans="1:16" x14ac:dyDescent="0.25">
      <c r="A5791" t="s">
        <v>47426</v>
      </c>
      <c r="B5791" t="s">
        <v>47427</v>
      </c>
      <c r="C5791" t="s">
        <v>47428</v>
      </c>
      <c r="D5791" t="str">
        <f>"1106"</f>
        <v>1106</v>
      </c>
      <c r="E5791" t="s">
        <v>460</v>
      </c>
      <c r="F5791" t="s">
        <v>47325</v>
      </c>
      <c r="G5791" t="s">
        <v>16221</v>
      </c>
      <c r="H5791" t="s">
        <v>47055</v>
      </c>
      <c r="I5791" t="s">
        <v>47127</v>
      </c>
      <c r="J5791" t="s">
        <v>47128</v>
      </c>
      <c r="K5791" t="s">
        <v>47113</v>
      </c>
      <c r="L5791">
        <v>11.7</v>
      </c>
      <c r="M5791">
        <v>26</v>
      </c>
      <c r="N5791">
        <v>69</v>
      </c>
      <c r="O5791">
        <v>26</v>
      </c>
      <c r="P5791">
        <v>69</v>
      </c>
    </row>
    <row r="5792" spans="1:16" x14ac:dyDescent="0.25">
      <c r="A5792" t="s">
        <v>47429</v>
      </c>
      <c r="B5792" t="s">
        <v>47427</v>
      </c>
      <c r="C5792" t="s">
        <v>47428</v>
      </c>
      <c r="D5792" t="str">
        <f>"1285"</f>
        <v>1285</v>
      </c>
      <c r="E5792" t="s">
        <v>2148</v>
      </c>
      <c r="F5792" t="s">
        <v>47325</v>
      </c>
      <c r="G5792" t="s">
        <v>16221</v>
      </c>
      <c r="H5792" t="s">
        <v>47055</v>
      </c>
      <c r="I5792" t="s">
        <v>47127</v>
      </c>
      <c r="J5792" t="s">
        <v>47128</v>
      </c>
      <c r="K5792" t="s">
        <v>47113</v>
      </c>
      <c r="L5792">
        <v>11.7</v>
      </c>
      <c r="M5792">
        <v>26</v>
      </c>
      <c r="N5792">
        <v>69</v>
      </c>
      <c r="O5792">
        <v>26</v>
      </c>
      <c r="P5792">
        <v>69</v>
      </c>
    </row>
    <row r="5793" spans="1:16" x14ac:dyDescent="0.25">
      <c r="A5793" t="s">
        <v>47430</v>
      </c>
      <c r="B5793" t="s">
        <v>47427</v>
      </c>
      <c r="C5793" t="s">
        <v>47428</v>
      </c>
      <c r="D5793" t="str">
        <f>"4025"</f>
        <v>4025</v>
      </c>
      <c r="E5793" t="s">
        <v>24724</v>
      </c>
      <c r="F5793" t="s">
        <v>47325</v>
      </c>
      <c r="G5793" t="s">
        <v>16221</v>
      </c>
      <c r="H5793" t="s">
        <v>47055</v>
      </c>
      <c r="I5793" t="s">
        <v>47127</v>
      </c>
      <c r="J5793" t="s">
        <v>47128</v>
      </c>
      <c r="K5793" t="s">
        <v>47113</v>
      </c>
      <c r="L5793">
        <v>11.7</v>
      </c>
      <c r="M5793">
        <v>26</v>
      </c>
      <c r="N5793">
        <v>69</v>
      </c>
      <c r="O5793">
        <v>26</v>
      </c>
      <c r="P5793">
        <v>69</v>
      </c>
    </row>
    <row r="5794" spans="1:16" x14ac:dyDescent="0.25">
      <c r="A5794" t="s">
        <v>47431</v>
      </c>
      <c r="B5794" t="s">
        <v>47432</v>
      </c>
      <c r="C5794" t="s">
        <v>21403</v>
      </c>
      <c r="D5794" t="str">
        <f>"1106"</f>
        <v>1106</v>
      </c>
      <c r="E5794" t="s">
        <v>460</v>
      </c>
      <c r="F5794" t="s">
        <v>47325</v>
      </c>
      <c r="G5794" t="s">
        <v>16221</v>
      </c>
      <c r="H5794" t="s">
        <v>47055</v>
      </c>
      <c r="I5794" t="s">
        <v>47127</v>
      </c>
      <c r="J5794" t="s">
        <v>47128</v>
      </c>
      <c r="K5794" t="s">
        <v>47113</v>
      </c>
      <c r="L5794">
        <v>11.46</v>
      </c>
      <c r="M5794">
        <v>29</v>
      </c>
      <c r="N5794">
        <v>79</v>
      </c>
      <c r="O5794">
        <v>29</v>
      </c>
      <c r="P5794">
        <v>79</v>
      </c>
    </row>
    <row r="5795" spans="1:16" x14ac:dyDescent="0.25">
      <c r="A5795" t="s">
        <v>47433</v>
      </c>
      <c r="B5795" t="s">
        <v>47432</v>
      </c>
      <c r="C5795" t="s">
        <v>21403</v>
      </c>
      <c r="D5795" t="str">
        <f>"1278"</f>
        <v>1278</v>
      </c>
      <c r="E5795" t="s">
        <v>100</v>
      </c>
      <c r="F5795" t="s">
        <v>47325</v>
      </c>
      <c r="G5795" t="s">
        <v>16221</v>
      </c>
      <c r="H5795" t="s">
        <v>47055</v>
      </c>
      <c r="I5795" t="s">
        <v>47127</v>
      </c>
      <c r="J5795" t="s">
        <v>47128</v>
      </c>
      <c r="K5795" t="s">
        <v>47113</v>
      </c>
      <c r="L5795">
        <v>11.46</v>
      </c>
      <c r="M5795">
        <v>29</v>
      </c>
      <c r="N5795">
        <v>79</v>
      </c>
      <c r="O5795">
        <v>29</v>
      </c>
      <c r="P5795">
        <v>79</v>
      </c>
    </row>
    <row r="5796" spans="1:16" x14ac:dyDescent="0.25">
      <c r="A5796" t="s">
        <v>47434</v>
      </c>
      <c r="B5796" t="s">
        <v>47432</v>
      </c>
      <c r="C5796" t="s">
        <v>21403</v>
      </c>
      <c r="D5796" t="str">
        <f>"1700"</f>
        <v>1700</v>
      </c>
      <c r="E5796" t="s">
        <v>60</v>
      </c>
      <c r="F5796" t="s">
        <v>47325</v>
      </c>
      <c r="G5796" t="s">
        <v>16221</v>
      </c>
      <c r="H5796" t="s">
        <v>47055</v>
      </c>
      <c r="I5796" t="s">
        <v>47127</v>
      </c>
      <c r="J5796" t="s">
        <v>47128</v>
      </c>
      <c r="K5796" t="s">
        <v>47113</v>
      </c>
      <c r="L5796">
        <v>11.46</v>
      </c>
      <c r="M5796">
        <v>29</v>
      </c>
      <c r="N5796">
        <v>79</v>
      </c>
      <c r="O5796">
        <v>29</v>
      </c>
      <c r="P5796">
        <v>79</v>
      </c>
    </row>
    <row r="5797" spans="1:16" x14ac:dyDescent="0.25">
      <c r="A5797" t="s">
        <v>47435</v>
      </c>
      <c r="B5797" t="s">
        <v>47432</v>
      </c>
      <c r="C5797" t="s">
        <v>21403</v>
      </c>
      <c r="D5797" t="str">
        <f>"4025"</f>
        <v>4025</v>
      </c>
      <c r="E5797" t="s">
        <v>24724</v>
      </c>
      <c r="F5797" t="s">
        <v>47325</v>
      </c>
      <c r="G5797" t="s">
        <v>16221</v>
      </c>
      <c r="H5797" t="s">
        <v>47055</v>
      </c>
      <c r="I5797" t="s">
        <v>47127</v>
      </c>
      <c r="J5797" t="s">
        <v>47128</v>
      </c>
      <c r="K5797" t="s">
        <v>47113</v>
      </c>
      <c r="L5797">
        <v>11.46</v>
      </c>
      <c r="M5797">
        <v>29</v>
      </c>
      <c r="N5797">
        <v>79</v>
      </c>
      <c r="O5797">
        <v>29</v>
      </c>
      <c r="P5797">
        <v>79</v>
      </c>
    </row>
    <row r="5798" spans="1:16" x14ac:dyDescent="0.25">
      <c r="A5798" t="s">
        <v>47436</v>
      </c>
      <c r="B5798" t="s">
        <v>47437</v>
      </c>
      <c r="C5798" t="s">
        <v>47438</v>
      </c>
      <c r="D5798" t="str">
        <f>"1278"</f>
        <v>1278</v>
      </c>
      <c r="E5798" t="s">
        <v>100</v>
      </c>
      <c r="F5798" t="s">
        <v>47325</v>
      </c>
      <c r="G5798" t="s">
        <v>16221</v>
      </c>
      <c r="H5798" t="s">
        <v>47055</v>
      </c>
      <c r="I5798" t="s">
        <v>47127</v>
      </c>
      <c r="J5798" t="s">
        <v>47128</v>
      </c>
      <c r="K5798" t="s">
        <v>47113</v>
      </c>
      <c r="L5798">
        <v>11.46</v>
      </c>
      <c r="M5798">
        <v>29</v>
      </c>
      <c r="N5798">
        <v>79</v>
      </c>
      <c r="O5798">
        <v>29</v>
      </c>
      <c r="P5798">
        <v>79</v>
      </c>
    </row>
    <row r="5799" spans="1:16" x14ac:dyDescent="0.25">
      <c r="A5799" t="s">
        <v>47439</v>
      </c>
      <c r="B5799" t="s">
        <v>47437</v>
      </c>
      <c r="C5799" t="s">
        <v>47438</v>
      </c>
      <c r="D5799" t="str">
        <f>"1700"</f>
        <v>1700</v>
      </c>
      <c r="E5799" t="s">
        <v>60</v>
      </c>
      <c r="F5799" t="s">
        <v>47325</v>
      </c>
      <c r="G5799" t="s">
        <v>16221</v>
      </c>
      <c r="H5799" t="s">
        <v>47055</v>
      </c>
      <c r="I5799" t="s">
        <v>47127</v>
      </c>
      <c r="J5799" t="s">
        <v>47128</v>
      </c>
      <c r="K5799" t="s">
        <v>47113</v>
      </c>
      <c r="L5799">
        <v>11.46</v>
      </c>
      <c r="M5799">
        <v>26</v>
      </c>
      <c r="N5799">
        <v>69</v>
      </c>
      <c r="O5799">
        <v>26</v>
      </c>
      <c r="P5799">
        <v>69</v>
      </c>
    </row>
    <row r="5800" spans="1:16" x14ac:dyDescent="0.25">
      <c r="A5800" t="s">
        <v>47440</v>
      </c>
      <c r="B5800" t="s">
        <v>47437</v>
      </c>
      <c r="C5800" t="s">
        <v>47438</v>
      </c>
      <c r="D5800" t="str">
        <f>"3190"</f>
        <v>3190</v>
      </c>
      <c r="E5800" t="s">
        <v>1748</v>
      </c>
      <c r="F5800" t="s">
        <v>47325</v>
      </c>
      <c r="G5800" t="s">
        <v>16221</v>
      </c>
      <c r="H5800" t="s">
        <v>47055</v>
      </c>
      <c r="I5800" t="s">
        <v>47127</v>
      </c>
      <c r="J5800" t="s">
        <v>47128</v>
      </c>
      <c r="K5800" t="s">
        <v>47113</v>
      </c>
      <c r="L5800">
        <v>11.46</v>
      </c>
      <c r="M5800">
        <v>26</v>
      </c>
      <c r="N5800">
        <v>69</v>
      </c>
      <c r="O5800">
        <v>26</v>
      </c>
      <c r="P5800">
        <v>69</v>
      </c>
    </row>
    <row r="5801" spans="1:16" x14ac:dyDescent="0.25">
      <c r="A5801" t="s">
        <v>47441</v>
      </c>
      <c r="B5801" t="s">
        <v>47442</v>
      </c>
      <c r="C5801" t="s">
        <v>47443</v>
      </c>
      <c r="D5801" t="str">
        <f>"1378"</f>
        <v>1378</v>
      </c>
      <c r="E5801" t="s">
        <v>388</v>
      </c>
      <c r="F5801" t="s">
        <v>47325</v>
      </c>
      <c r="G5801" t="s">
        <v>16221</v>
      </c>
      <c r="H5801" t="s">
        <v>47055</v>
      </c>
      <c r="I5801" t="s">
        <v>47127</v>
      </c>
      <c r="J5801" t="s">
        <v>47128</v>
      </c>
      <c r="K5801" t="s">
        <v>47113</v>
      </c>
      <c r="L5801">
        <v>11.7</v>
      </c>
      <c r="M5801">
        <v>26</v>
      </c>
      <c r="N5801">
        <v>69</v>
      </c>
      <c r="O5801">
        <v>26</v>
      </c>
      <c r="P5801">
        <v>69</v>
      </c>
    </row>
    <row r="5802" spans="1:16" x14ac:dyDescent="0.25">
      <c r="A5802" t="s">
        <v>47444</v>
      </c>
      <c r="B5802" t="s">
        <v>47442</v>
      </c>
      <c r="C5802" t="s">
        <v>47443</v>
      </c>
      <c r="D5802" t="str">
        <f>"1700"</f>
        <v>1700</v>
      </c>
      <c r="E5802" t="s">
        <v>60</v>
      </c>
      <c r="F5802" t="s">
        <v>47325</v>
      </c>
      <c r="G5802" t="s">
        <v>16221</v>
      </c>
      <c r="H5802" t="s">
        <v>47055</v>
      </c>
      <c r="I5802" t="s">
        <v>47127</v>
      </c>
      <c r="J5802" t="s">
        <v>47128</v>
      </c>
      <c r="K5802" t="s">
        <v>47113</v>
      </c>
      <c r="L5802">
        <v>11.7</v>
      </c>
      <c r="M5802">
        <v>26</v>
      </c>
      <c r="N5802">
        <v>69</v>
      </c>
      <c r="O5802">
        <v>26</v>
      </c>
      <c r="P5802">
        <v>69</v>
      </c>
    </row>
    <row r="5803" spans="1:16" x14ac:dyDescent="0.25">
      <c r="A5803" t="s">
        <v>47445</v>
      </c>
      <c r="B5803" t="s">
        <v>47442</v>
      </c>
      <c r="C5803" t="s">
        <v>47443</v>
      </c>
      <c r="D5803" t="str">
        <f>"4025"</f>
        <v>4025</v>
      </c>
      <c r="E5803" t="s">
        <v>24724</v>
      </c>
      <c r="F5803" t="s">
        <v>47325</v>
      </c>
      <c r="G5803" t="s">
        <v>16221</v>
      </c>
      <c r="H5803" t="s">
        <v>47055</v>
      </c>
      <c r="I5803" t="s">
        <v>47127</v>
      </c>
      <c r="J5803" t="s">
        <v>47128</v>
      </c>
      <c r="K5803" t="s">
        <v>47113</v>
      </c>
      <c r="L5803">
        <v>11.7</v>
      </c>
      <c r="M5803">
        <v>26</v>
      </c>
      <c r="N5803">
        <v>69</v>
      </c>
      <c r="O5803">
        <v>26</v>
      </c>
      <c r="P5803">
        <v>69</v>
      </c>
    </row>
    <row r="5804" spans="1:16" x14ac:dyDescent="0.25">
      <c r="A5804" t="s">
        <v>28222</v>
      </c>
      <c r="B5804" t="s">
        <v>4739</v>
      </c>
      <c r="C5804" t="s">
        <v>4740</v>
      </c>
      <c r="D5804" t="str">
        <f>"1001"</f>
        <v>1001</v>
      </c>
      <c r="E5804" t="s">
        <v>42</v>
      </c>
      <c r="F5804" t="s">
        <v>4</v>
      </c>
      <c r="G5804" t="s">
        <v>46686</v>
      </c>
      <c r="H5804" t="s">
        <v>47054</v>
      </c>
      <c r="I5804" t="s">
        <v>47120</v>
      </c>
      <c r="J5804" t="s">
        <v>47121</v>
      </c>
      <c r="K5804" t="s">
        <v>47113</v>
      </c>
      <c r="L5804">
        <v>24.13</v>
      </c>
      <c r="M5804">
        <v>59</v>
      </c>
      <c r="N5804">
        <v>0</v>
      </c>
      <c r="O5804">
        <v>59</v>
      </c>
      <c r="P5804">
        <v>0</v>
      </c>
    </row>
    <row r="5805" spans="1:16" x14ac:dyDescent="0.25">
      <c r="A5805" t="s">
        <v>28223</v>
      </c>
      <c r="B5805" t="s">
        <v>4739</v>
      </c>
      <c r="C5805" t="s">
        <v>4740</v>
      </c>
      <c r="D5805" t="str">
        <f>"1100"</f>
        <v>1100</v>
      </c>
      <c r="E5805" t="s">
        <v>54</v>
      </c>
      <c r="F5805" t="s">
        <v>4</v>
      </c>
      <c r="G5805" t="s">
        <v>46686</v>
      </c>
      <c r="H5805" t="s">
        <v>47054</v>
      </c>
      <c r="I5805" t="s">
        <v>47120</v>
      </c>
      <c r="J5805" t="s">
        <v>47121</v>
      </c>
      <c r="K5805" t="s">
        <v>47113</v>
      </c>
      <c r="L5805">
        <v>24.13</v>
      </c>
      <c r="M5805">
        <v>59</v>
      </c>
      <c r="N5805">
        <v>0</v>
      </c>
      <c r="O5805">
        <v>59</v>
      </c>
      <c r="P5805">
        <v>0</v>
      </c>
    </row>
    <row r="5806" spans="1:16" x14ac:dyDescent="0.25">
      <c r="A5806" t="s">
        <v>28224</v>
      </c>
      <c r="B5806" t="s">
        <v>4739</v>
      </c>
      <c r="C5806" t="s">
        <v>4740</v>
      </c>
      <c r="D5806" t="str">
        <f>"1102"</f>
        <v>1102</v>
      </c>
      <c r="E5806" t="s">
        <v>4741</v>
      </c>
      <c r="F5806" t="s">
        <v>4</v>
      </c>
      <c r="G5806" t="s">
        <v>46686</v>
      </c>
      <c r="H5806" t="s">
        <v>47054</v>
      </c>
      <c r="I5806" t="s">
        <v>47120</v>
      </c>
      <c r="J5806" t="s">
        <v>47121</v>
      </c>
      <c r="K5806" t="s">
        <v>47113</v>
      </c>
      <c r="L5806">
        <v>24.13</v>
      </c>
      <c r="M5806">
        <v>59</v>
      </c>
      <c r="N5806">
        <v>0</v>
      </c>
      <c r="O5806">
        <v>59</v>
      </c>
      <c r="P5806">
        <v>0</v>
      </c>
    </row>
    <row r="5807" spans="1:16" x14ac:dyDescent="0.25">
      <c r="A5807" t="s">
        <v>28225</v>
      </c>
      <c r="B5807" t="s">
        <v>4739</v>
      </c>
      <c r="C5807" t="s">
        <v>4740</v>
      </c>
      <c r="D5807" t="str">
        <f>"1501"</f>
        <v>1501</v>
      </c>
      <c r="E5807" t="s">
        <v>46</v>
      </c>
      <c r="F5807" t="s">
        <v>4</v>
      </c>
      <c r="G5807" t="s">
        <v>46686</v>
      </c>
      <c r="H5807" t="s">
        <v>47054</v>
      </c>
      <c r="I5807" t="s">
        <v>47120</v>
      </c>
      <c r="J5807" t="s">
        <v>47121</v>
      </c>
      <c r="K5807" t="s">
        <v>47113</v>
      </c>
      <c r="L5807">
        <v>24.13</v>
      </c>
      <c r="M5807">
        <v>59</v>
      </c>
      <c r="N5807">
        <v>0</v>
      </c>
      <c r="O5807">
        <v>59</v>
      </c>
      <c r="P5807">
        <v>0</v>
      </c>
    </row>
    <row r="5808" spans="1:16" x14ac:dyDescent="0.25">
      <c r="A5808" t="s">
        <v>28226</v>
      </c>
      <c r="B5808" t="s">
        <v>16241</v>
      </c>
      <c r="C5808" t="s">
        <v>16242</v>
      </c>
      <c r="D5808" t="str">
        <f>"1001"</f>
        <v>1001</v>
      </c>
      <c r="E5808" t="s">
        <v>42</v>
      </c>
      <c r="F5808" t="s">
        <v>3750</v>
      </c>
      <c r="G5808" t="s">
        <v>16232</v>
      </c>
      <c r="H5808" t="s">
        <v>47054</v>
      </c>
      <c r="I5808" t="s">
        <v>47118</v>
      </c>
      <c r="J5808" t="s">
        <v>47119</v>
      </c>
      <c r="K5808" t="s">
        <v>47113</v>
      </c>
      <c r="L5808">
        <v>10.92</v>
      </c>
      <c r="M5808">
        <v>32</v>
      </c>
      <c r="N5808">
        <v>0</v>
      </c>
      <c r="O5808">
        <v>32</v>
      </c>
      <c r="P5808">
        <v>0</v>
      </c>
    </row>
    <row r="5809" spans="1:16" x14ac:dyDescent="0.25">
      <c r="A5809" t="s">
        <v>28227</v>
      </c>
      <c r="B5809" t="s">
        <v>16241</v>
      </c>
      <c r="C5809" t="s">
        <v>16242</v>
      </c>
      <c r="D5809" t="str">
        <f>"4143"</f>
        <v>4143</v>
      </c>
      <c r="E5809" t="s">
        <v>261</v>
      </c>
      <c r="F5809" t="s">
        <v>3750</v>
      </c>
      <c r="G5809" t="s">
        <v>16232</v>
      </c>
      <c r="H5809" t="s">
        <v>47054</v>
      </c>
      <c r="I5809" t="s">
        <v>47118</v>
      </c>
      <c r="J5809" t="s">
        <v>47119</v>
      </c>
      <c r="K5809" t="s">
        <v>47113</v>
      </c>
      <c r="L5809">
        <v>10.92</v>
      </c>
      <c r="M5809">
        <v>32</v>
      </c>
      <c r="N5809">
        <v>0</v>
      </c>
      <c r="O5809">
        <v>32</v>
      </c>
      <c r="P5809">
        <v>0</v>
      </c>
    </row>
    <row r="5810" spans="1:16" x14ac:dyDescent="0.25">
      <c r="A5810" t="s">
        <v>28228</v>
      </c>
      <c r="B5810" t="s">
        <v>16241</v>
      </c>
      <c r="C5810" t="s">
        <v>16242</v>
      </c>
      <c r="D5810" t="str">
        <f>"6000"</f>
        <v>6000</v>
      </c>
      <c r="E5810" t="s">
        <v>238</v>
      </c>
      <c r="F5810" t="s">
        <v>3750</v>
      </c>
      <c r="G5810" t="s">
        <v>16232</v>
      </c>
      <c r="H5810" t="s">
        <v>47054</v>
      </c>
      <c r="I5810" t="s">
        <v>47118</v>
      </c>
      <c r="J5810" t="s">
        <v>47119</v>
      </c>
      <c r="K5810" t="s">
        <v>47113</v>
      </c>
      <c r="L5810">
        <v>10.92</v>
      </c>
      <c r="M5810">
        <v>32</v>
      </c>
      <c r="N5810">
        <v>0</v>
      </c>
      <c r="O5810">
        <v>32</v>
      </c>
      <c r="P5810">
        <v>0</v>
      </c>
    </row>
    <row r="5811" spans="1:16" x14ac:dyDescent="0.25">
      <c r="A5811" t="s">
        <v>28229</v>
      </c>
      <c r="B5811" t="s">
        <v>4742</v>
      </c>
      <c r="C5811" t="s">
        <v>4743</v>
      </c>
      <c r="D5811" t="str">
        <f>"1096"</f>
        <v>1096</v>
      </c>
      <c r="E5811" t="s">
        <v>4744</v>
      </c>
      <c r="F5811" t="s">
        <v>3750</v>
      </c>
      <c r="G5811" t="s">
        <v>16232</v>
      </c>
      <c r="H5811" t="s">
        <v>47054</v>
      </c>
      <c r="I5811" t="s">
        <v>47118</v>
      </c>
      <c r="J5811" t="s">
        <v>47119</v>
      </c>
      <c r="K5811" t="s">
        <v>47113</v>
      </c>
      <c r="L5811">
        <v>11.73</v>
      </c>
      <c r="M5811">
        <v>36</v>
      </c>
      <c r="N5811">
        <v>0</v>
      </c>
      <c r="O5811">
        <v>36</v>
      </c>
      <c r="P5811">
        <v>0</v>
      </c>
    </row>
    <row r="5812" spans="1:16" x14ac:dyDescent="0.25">
      <c r="A5812" t="s">
        <v>28230</v>
      </c>
      <c r="B5812" t="s">
        <v>4742</v>
      </c>
      <c r="C5812" t="s">
        <v>4743</v>
      </c>
      <c r="D5812" t="str">
        <f>"1702"</f>
        <v>1702</v>
      </c>
      <c r="E5812" t="s">
        <v>4745</v>
      </c>
      <c r="F5812" t="s">
        <v>3750</v>
      </c>
      <c r="G5812" t="s">
        <v>16232</v>
      </c>
      <c r="H5812" t="s">
        <v>47054</v>
      </c>
      <c r="I5812" t="s">
        <v>47118</v>
      </c>
      <c r="J5812" t="s">
        <v>47119</v>
      </c>
      <c r="K5812" t="s">
        <v>47113</v>
      </c>
      <c r="L5812">
        <v>11.73</v>
      </c>
      <c r="M5812">
        <v>36</v>
      </c>
      <c r="N5812">
        <v>0</v>
      </c>
      <c r="O5812">
        <v>36</v>
      </c>
      <c r="P5812">
        <v>0</v>
      </c>
    </row>
    <row r="5813" spans="1:16" x14ac:dyDescent="0.25">
      <c r="A5813" t="s">
        <v>28231</v>
      </c>
      <c r="B5813" t="s">
        <v>15180</v>
      </c>
      <c r="C5813" t="s">
        <v>15181</v>
      </c>
      <c r="D5813" t="str">
        <f>"1700"</f>
        <v>1700</v>
      </c>
      <c r="E5813" t="s">
        <v>60</v>
      </c>
      <c r="F5813" t="s">
        <v>3750</v>
      </c>
      <c r="G5813" t="s">
        <v>16232</v>
      </c>
      <c r="H5813" t="s">
        <v>47054</v>
      </c>
      <c r="I5813" t="s">
        <v>47118</v>
      </c>
      <c r="J5813" t="s">
        <v>47119</v>
      </c>
      <c r="K5813" t="s">
        <v>47113</v>
      </c>
      <c r="L5813">
        <v>8.5</v>
      </c>
      <c r="M5813">
        <v>32</v>
      </c>
      <c r="N5813">
        <v>0</v>
      </c>
      <c r="O5813">
        <v>32</v>
      </c>
      <c r="P5813">
        <v>0</v>
      </c>
    </row>
    <row r="5814" spans="1:16" x14ac:dyDescent="0.25">
      <c r="A5814" t="s">
        <v>28232</v>
      </c>
      <c r="B5814" t="s">
        <v>15180</v>
      </c>
      <c r="C5814" t="s">
        <v>15181</v>
      </c>
      <c r="D5814" t="str">
        <f>"4100"</f>
        <v>4100</v>
      </c>
      <c r="E5814" t="s">
        <v>2383</v>
      </c>
      <c r="F5814" t="s">
        <v>3750</v>
      </c>
      <c r="G5814" t="s">
        <v>16232</v>
      </c>
      <c r="H5814" t="s">
        <v>47054</v>
      </c>
      <c r="I5814" t="s">
        <v>47118</v>
      </c>
      <c r="J5814" t="s">
        <v>47119</v>
      </c>
      <c r="K5814" t="s">
        <v>47113</v>
      </c>
      <c r="L5814">
        <v>8.5</v>
      </c>
      <c r="M5814">
        <v>32</v>
      </c>
      <c r="N5814">
        <v>0</v>
      </c>
      <c r="O5814">
        <v>32</v>
      </c>
      <c r="P5814">
        <v>0</v>
      </c>
    </row>
    <row r="5815" spans="1:16" x14ac:dyDescent="0.25">
      <c r="A5815" t="s">
        <v>28233</v>
      </c>
      <c r="B5815" t="s">
        <v>4746</v>
      </c>
      <c r="C5815" t="s">
        <v>4747</v>
      </c>
      <c r="D5815" t="str">
        <f>"4082"</f>
        <v>4082</v>
      </c>
      <c r="E5815" t="s">
        <v>4748</v>
      </c>
      <c r="F5815" t="s">
        <v>3546</v>
      </c>
      <c r="G5815" t="s">
        <v>16224</v>
      </c>
      <c r="H5815" t="s">
        <v>47054</v>
      </c>
      <c r="I5815" t="s">
        <v>47120</v>
      </c>
      <c r="J5815" t="s">
        <v>47121</v>
      </c>
      <c r="K5815" t="s">
        <v>47113</v>
      </c>
      <c r="L5815">
        <v>99.51</v>
      </c>
      <c r="M5815">
        <v>245</v>
      </c>
      <c r="N5815">
        <v>0</v>
      </c>
      <c r="O5815">
        <v>245</v>
      </c>
      <c r="P5815">
        <v>0</v>
      </c>
    </row>
    <row r="5816" spans="1:16" x14ac:dyDescent="0.25">
      <c r="A5816" t="s">
        <v>28234</v>
      </c>
      <c r="B5816" t="s">
        <v>4749</v>
      </c>
      <c r="C5816" t="s">
        <v>4750</v>
      </c>
      <c r="D5816" t="str">
        <f>"4899"</f>
        <v>4899</v>
      </c>
      <c r="E5816" t="s">
        <v>4751</v>
      </c>
      <c r="F5816" t="s">
        <v>3546</v>
      </c>
      <c r="G5816" t="s">
        <v>16230</v>
      </c>
      <c r="H5816" t="s">
        <v>47054</v>
      </c>
      <c r="I5816" t="s">
        <v>47118</v>
      </c>
      <c r="J5816" t="s">
        <v>47119</v>
      </c>
      <c r="K5816" t="s">
        <v>47113</v>
      </c>
      <c r="L5816">
        <v>17.420000000000002</v>
      </c>
      <c r="M5816">
        <v>43</v>
      </c>
      <c r="N5816">
        <v>0</v>
      </c>
      <c r="O5816">
        <v>43</v>
      </c>
      <c r="P5816">
        <v>0</v>
      </c>
    </row>
    <row r="5817" spans="1:16" x14ac:dyDescent="0.25">
      <c r="A5817" t="s">
        <v>28235</v>
      </c>
      <c r="B5817" t="s">
        <v>4749</v>
      </c>
      <c r="C5817" t="s">
        <v>4750</v>
      </c>
      <c r="D5817" t="str">
        <f>"6026"</f>
        <v>6026</v>
      </c>
      <c r="E5817" t="s">
        <v>4752</v>
      </c>
      <c r="F5817" t="s">
        <v>3546</v>
      </c>
      <c r="G5817" t="s">
        <v>16230</v>
      </c>
      <c r="H5817" t="s">
        <v>47054</v>
      </c>
      <c r="I5817" t="s">
        <v>47118</v>
      </c>
      <c r="J5817" t="s">
        <v>47119</v>
      </c>
      <c r="K5817" t="s">
        <v>47113</v>
      </c>
      <c r="L5817">
        <v>17.420000000000002</v>
      </c>
      <c r="M5817">
        <v>43</v>
      </c>
      <c r="N5817">
        <v>0</v>
      </c>
      <c r="O5817">
        <v>43</v>
      </c>
      <c r="P5817">
        <v>0</v>
      </c>
    </row>
    <row r="5818" spans="1:16" x14ac:dyDescent="0.25">
      <c r="A5818" t="s">
        <v>28236</v>
      </c>
      <c r="B5818" t="s">
        <v>4753</v>
      </c>
      <c r="C5818" t="s">
        <v>19782</v>
      </c>
      <c r="D5818" t="str">
        <f>"1555"</f>
        <v>1555</v>
      </c>
      <c r="E5818" t="s">
        <v>4754</v>
      </c>
      <c r="F5818" t="s">
        <v>3670</v>
      </c>
      <c r="G5818" t="s">
        <v>46686</v>
      </c>
      <c r="H5818" t="s">
        <v>47054</v>
      </c>
      <c r="I5818" t="s">
        <v>47120</v>
      </c>
      <c r="J5818" t="s">
        <v>47121</v>
      </c>
      <c r="K5818" t="s">
        <v>47113</v>
      </c>
      <c r="L5818">
        <v>25.1</v>
      </c>
      <c r="M5818">
        <v>66</v>
      </c>
      <c r="N5818">
        <v>0</v>
      </c>
      <c r="O5818">
        <v>66</v>
      </c>
      <c r="P5818">
        <v>0</v>
      </c>
    </row>
    <row r="5819" spans="1:16" x14ac:dyDescent="0.25">
      <c r="A5819" t="s">
        <v>28237</v>
      </c>
      <c r="B5819" t="s">
        <v>4753</v>
      </c>
      <c r="C5819" t="s">
        <v>19782</v>
      </c>
      <c r="D5819" t="str">
        <f>"4058"</f>
        <v>4058</v>
      </c>
      <c r="E5819" t="s">
        <v>4755</v>
      </c>
      <c r="F5819" t="s">
        <v>3670</v>
      </c>
      <c r="G5819" t="s">
        <v>46686</v>
      </c>
      <c r="H5819" t="s">
        <v>47054</v>
      </c>
      <c r="I5819" t="s">
        <v>47120</v>
      </c>
      <c r="J5819" t="s">
        <v>47121</v>
      </c>
      <c r="K5819" t="s">
        <v>47113</v>
      </c>
      <c r="L5819">
        <v>25.1</v>
      </c>
      <c r="M5819">
        <v>66</v>
      </c>
      <c r="N5819">
        <v>0</v>
      </c>
      <c r="O5819">
        <v>66</v>
      </c>
      <c r="P5819">
        <v>0</v>
      </c>
    </row>
    <row r="5820" spans="1:16" x14ac:dyDescent="0.25">
      <c r="A5820" t="s">
        <v>28238</v>
      </c>
      <c r="B5820" t="s">
        <v>4756</v>
      </c>
      <c r="C5820" t="s">
        <v>19478</v>
      </c>
      <c r="D5820" t="str">
        <f>"4011"</f>
        <v>4011</v>
      </c>
      <c r="E5820" t="s">
        <v>4757</v>
      </c>
      <c r="F5820" t="s">
        <v>3670</v>
      </c>
      <c r="G5820" t="s">
        <v>16224</v>
      </c>
      <c r="H5820" t="s">
        <v>47054</v>
      </c>
      <c r="I5820" t="s">
        <v>47120</v>
      </c>
      <c r="J5820" t="s">
        <v>47121</v>
      </c>
      <c r="K5820" t="s">
        <v>47113</v>
      </c>
      <c r="L5820">
        <v>47.61</v>
      </c>
      <c r="M5820">
        <v>103</v>
      </c>
      <c r="N5820">
        <v>0</v>
      </c>
      <c r="O5820">
        <v>103</v>
      </c>
      <c r="P5820">
        <v>0</v>
      </c>
    </row>
    <row r="5821" spans="1:16" x14ac:dyDescent="0.25">
      <c r="A5821" t="s">
        <v>28239</v>
      </c>
      <c r="B5821" t="s">
        <v>4758</v>
      </c>
      <c r="C5821" t="s">
        <v>4759</v>
      </c>
      <c r="D5821" t="str">
        <f>"3548"</f>
        <v>3548</v>
      </c>
      <c r="E5821" t="s">
        <v>4760</v>
      </c>
      <c r="F5821" t="s">
        <v>3546</v>
      </c>
      <c r="G5821" t="s">
        <v>16235</v>
      </c>
      <c r="H5821" t="s">
        <v>47054</v>
      </c>
      <c r="I5821" t="s">
        <v>47120</v>
      </c>
      <c r="J5821" t="s">
        <v>47121</v>
      </c>
      <c r="K5821" t="s">
        <v>47113</v>
      </c>
      <c r="L5821">
        <v>26.11</v>
      </c>
      <c r="M5821">
        <v>66</v>
      </c>
      <c r="N5821">
        <v>0</v>
      </c>
      <c r="O5821">
        <v>66</v>
      </c>
      <c r="P5821">
        <v>0</v>
      </c>
    </row>
    <row r="5822" spans="1:16" x14ac:dyDescent="0.25">
      <c r="A5822" t="s">
        <v>28240</v>
      </c>
      <c r="B5822" t="s">
        <v>4761</v>
      </c>
      <c r="C5822" t="s">
        <v>4762</v>
      </c>
      <c r="D5822" t="str">
        <f>"3548"</f>
        <v>3548</v>
      </c>
      <c r="E5822" t="s">
        <v>4760</v>
      </c>
      <c r="F5822" t="s">
        <v>3546</v>
      </c>
      <c r="G5822" t="s">
        <v>16222</v>
      </c>
      <c r="H5822" t="s">
        <v>47054</v>
      </c>
      <c r="I5822" t="s">
        <v>47120</v>
      </c>
      <c r="J5822" t="s">
        <v>47121</v>
      </c>
      <c r="K5822" t="s">
        <v>47113</v>
      </c>
      <c r="L5822">
        <v>19.55</v>
      </c>
      <c r="M5822">
        <v>55</v>
      </c>
      <c r="N5822">
        <v>0</v>
      </c>
      <c r="O5822">
        <v>55</v>
      </c>
      <c r="P5822">
        <v>0</v>
      </c>
    </row>
    <row r="5823" spans="1:16" x14ac:dyDescent="0.25">
      <c r="A5823" t="s">
        <v>28241</v>
      </c>
      <c r="B5823" t="s">
        <v>4763</v>
      </c>
      <c r="C5823" t="s">
        <v>4764</v>
      </c>
      <c r="D5823" t="str">
        <f>"3548"</f>
        <v>3548</v>
      </c>
      <c r="E5823" t="s">
        <v>4760</v>
      </c>
      <c r="F5823" t="s">
        <v>3670</v>
      </c>
      <c r="G5823" t="s">
        <v>16233</v>
      </c>
      <c r="H5823" t="s">
        <v>47054</v>
      </c>
      <c r="I5823" t="s">
        <v>47120</v>
      </c>
      <c r="J5823" t="s">
        <v>47121</v>
      </c>
      <c r="K5823" t="s">
        <v>47113</v>
      </c>
      <c r="L5823">
        <v>17.920000000000002</v>
      </c>
      <c r="M5823">
        <v>55</v>
      </c>
      <c r="N5823">
        <v>0</v>
      </c>
      <c r="O5823">
        <v>55</v>
      </c>
      <c r="P5823">
        <v>0</v>
      </c>
    </row>
    <row r="5824" spans="1:16" x14ac:dyDescent="0.25">
      <c r="A5824" t="s">
        <v>14935</v>
      </c>
      <c r="B5824" t="s">
        <v>4765</v>
      </c>
      <c r="C5824" t="s">
        <v>4766</v>
      </c>
      <c r="D5824" t="str">
        <f>"1001"</f>
        <v>1001</v>
      </c>
      <c r="E5824" t="s">
        <v>42</v>
      </c>
      <c r="F5824" t="s">
        <v>3546</v>
      </c>
      <c r="G5824" t="s">
        <v>16448</v>
      </c>
      <c r="H5824" t="s">
        <v>47054</v>
      </c>
      <c r="I5824" t="s">
        <v>47120</v>
      </c>
      <c r="J5824" t="s">
        <v>47121</v>
      </c>
      <c r="K5824" t="s">
        <v>47113</v>
      </c>
      <c r="L5824">
        <v>104.32</v>
      </c>
      <c r="M5824">
        <v>257</v>
      </c>
      <c r="N5824">
        <v>0</v>
      </c>
      <c r="O5824">
        <v>257</v>
      </c>
      <c r="P5824">
        <v>0</v>
      </c>
    </row>
    <row r="5825" spans="1:16" x14ac:dyDescent="0.25">
      <c r="A5825" t="s">
        <v>28242</v>
      </c>
      <c r="B5825" t="s">
        <v>4765</v>
      </c>
      <c r="C5825" t="s">
        <v>4766</v>
      </c>
      <c r="D5825" t="str">
        <f>"3071"</f>
        <v>3071</v>
      </c>
      <c r="E5825" t="s">
        <v>4767</v>
      </c>
      <c r="F5825" t="s">
        <v>3546</v>
      </c>
      <c r="G5825" t="s">
        <v>16448</v>
      </c>
      <c r="H5825" t="s">
        <v>47054</v>
      </c>
      <c r="I5825" t="s">
        <v>47120</v>
      </c>
      <c r="J5825" t="s">
        <v>47121</v>
      </c>
      <c r="K5825" t="s">
        <v>47113</v>
      </c>
      <c r="L5825">
        <v>104.32</v>
      </c>
      <c r="M5825">
        <v>257</v>
      </c>
      <c r="N5825">
        <v>0</v>
      </c>
      <c r="O5825">
        <v>257</v>
      </c>
      <c r="P5825">
        <v>0</v>
      </c>
    </row>
    <row r="5826" spans="1:16" x14ac:dyDescent="0.25">
      <c r="A5826" t="s">
        <v>28243</v>
      </c>
      <c r="B5826" t="s">
        <v>4768</v>
      </c>
      <c r="C5826" t="s">
        <v>4769</v>
      </c>
      <c r="D5826" t="str">
        <f>"4891"</f>
        <v>4891</v>
      </c>
      <c r="E5826" t="s">
        <v>4770</v>
      </c>
      <c r="F5826" t="s">
        <v>3546</v>
      </c>
      <c r="G5826" t="s">
        <v>16230</v>
      </c>
      <c r="H5826" t="s">
        <v>47054</v>
      </c>
      <c r="I5826" t="s">
        <v>47120</v>
      </c>
      <c r="J5826" t="s">
        <v>47121</v>
      </c>
      <c r="K5826" t="s">
        <v>47113</v>
      </c>
      <c r="L5826">
        <v>33.07</v>
      </c>
      <c r="M5826">
        <v>81</v>
      </c>
      <c r="N5826">
        <v>0</v>
      </c>
      <c r="O5826">
        <v>81</v>
      </c>
      <c r="P5826">
        <v>0</v>
      </c>
    </row>
    <row r="5827" spans="1:16" x14ac:dyDescent="0.25">
      <c r="A5827" t="s">
        <v>28244</v>
      </c>
      <c r="B5827" t="s">
        <v>4771</v>
      </c>
      <c r="C5827" t="s">
        <v>4772</v>
      </c>
      <c r="D5827" t="str">
        <f>"4891"</f>
        <v>4891</v>
      </c>
      <c r="E5827" t="s">
        <v>4770</v>
      </c>
      <c r="F5827" t="s">
        <v>3546</v>
      </c>
      <c r="G5827" t="s">
        <v>47122</v>
      </c>
      <c r="H5827" t="s">
        <v>47054</v>
      </c>
      <c r="I5827" t="s">
        <v>47120</v>
      </c>
      <c r="J5827" t="s">
        <v>47121</v>
      </c>
      <c r="K5827" t="s">
        <v>47113</v>
      </c>
      <c r="L5827">
        <v>43.28</v>
      </c>
      <c r="M5827">
        <v>106</v>
      </c>
      <c r="N5827">
        <v>0</v>
      </c>
      <c r="O5827">
        <v>106</v>
      </c>
      <c r="P5827">
        <v>0</v>
      </c>
    </row>
    <row r="5828" spans="1:16" x14ac:dyDescent="0.25">
      <c r="A5828" t="s">
        <v>28245</v>
      </c>
      <c r="B5828" t="s">
        <v>4773</v>
      </c>
      <c r="C5828" t="s">
        <v>4774</v>
      </c>
      <c r="D5828" t="str">
        <f>"4857"</f>
        <v>4857</v>
      </c>
      <c r="E5828" t="s">
        <v>4775</v>
      </c>
      <c r="F5828" t="s">
        <v>3546</v>
      </c>
      <c r="G5828" t="s">
        <v>16224</v>
      </c>
      <c r="H5828" t="s">
        <v>47054</v>
      </c>
      <c r="I5828" t="s">
        <v>47120</v>
      </c>
      <c r="J5828" t="s">
        <v>47121</v>
      </c>
      <c r="K5828" t="s">
        <v>47113</v>
      </c>
      <c r="L5828">
        <v>45.73</v>
      </c>
      <c r="M5828">
        <v>113</v>
      </c>
      <c r="N5828">
        <v>0</v>
      </c>
      <c r="O5828">
        <v>113</v>
      </c>
      <c r="P5828">
        <v>0</v>
      </c>
    </row>
    <row r="5829" spans="1:16" x14ac:dyDescent="0.25">
      <c r="A5829" t="s">
        <v>28246</v>
      </c>
      <c r="B5829" t="s">
        <v>4776</v>
      </c>
      <c r="C5829" t="s">
        <v>4777</v>
      </c>
      <c r="D5829" t="s">
        <v>4778</v>
      </c>
      <c r="E5829" t="s">
        <v>4779</v>
      </c>
      <c r="F5829" t="s">
        <v>4</v>
      </c>
      <c r="G5829" t="s">
        <v>16230</v>
      </c>
      <c r="H5829" t="s">
        <v>47054</v>
      </c>
      <c r="I5829" t="s">
        <v>47116</v>
      </c>
      <c r="J5829" t="s">
        <v>47117</v>
      </c>
      <c r="K5829" t="s">
        <v>47113</v>
      </c>
      <c r="L5829">
        <v>39.549999999999997</v>
      </c>
      <c r="M5829">
        <v>88</v>
      </c>
      <c r="N5829">
        <v>0</v>
      </c>
      <c r="O5829">
        <v>88</v>
      </c>
      <c r="P5829">
        <v>0</v>
      </c>
    </row>
    <row r="5830" spans="1:16" x14ac:dyDescent="0.25">
      <c r="A5830" t="s">
        <v>28247</v>
      </c>
      <c r="B5830" t="s">
        <v>4780</v>
      </c>
      <c r="C5830" t="s">
        <v>4781</v>
      </c>
      <c r="D5830" t="s">
        <v>4782</v>
      </c>
      <c r="E5830" t="s">
        <v>4783</v>
      </c>
      <c r="F5830" t="s">
        <v>3558</v>
      </c>
      <c r="G5830" t="s">
        <v>16230</v>
      </c>
      <c r="H5830" t="s">
        <v>47054</v>
      </c>
      <c r="I5830" t="s">
        <v>47116</v>
      </c>
      <c r="J5830" t="s">
        <v>47117</v>
      </c>
      <c r="K5830" t="s">
        <v>47113</v>
      </c>
      <c r="L5830">
        <v>60.17</v>
      </c>
      <c r="M5830">
        <v>66</v>
      </c>
      <c r="N5830">
        <v>0</v>
      </c>
      <c r="O5830">
        <v>66</v>
      </c>
      <c r="P5830">
        <v>0</v>
      </c>
    </row>
    <row r="5831" spans="1:16" x14ac:dyDescent="0.25">
      <c r="A5831" t="s">
        <v>28248</v>
      </c>
      <c r="B5831" t="s">
        <v>16243</v>
      </c>
      <c r="C5831" t="s">
        <v>16244</v>
      </c>
      <c r="D5831" t="s">
        <v>4782</v>
      </c>
      <c r="E5831" t="s">
        <v>4783</v>
      </c>
      <c r="F5831" t="s">
        <v>3558</v>
      </c>
      <c r="G5831" t="s">
        <v>16230</v>
      </c>
      <c r="H5831" t="s">
        <v>47054</v>
      </c>
      <c r="I5831" t="s">
        <v>47116</v>
      </c>
      <c r="J5831" t="s">
        <v>47117</v>
      </c>
      <c r="K5831" t="s">
        <v>47113</v>
      </c>
      <c r="L5831">
        <v>60.17</v>
      </c>
      <c r="M5831">
        <v>66</v>
      </c>
      <c r="N5831">
        <v>0</v>
      </c>
      <c r="O5831">
        <v>66</v>
      </c>
      <c r="P5831">
        <v>0</v>
      </c>
    </row>
    <row r="5832" spans="1:16" x14ac:dyDescent="0.25">
      <c r="A5832" t="s">
        <v>28249</v>
      </c>
      <c r="B5832" t="s">
        <v>4784</v>
      </c>
      <c r="C5832" t="s">
        <v>19783</v>
      </c>
      <c r="D5832" t="s">
        <v>4785</v>
      </c>
      <c r="E5832" t="s">
        <v>4786</v>
      </c>
      <c r="F5832" t="s">
        <v>3558</v>
      </c>
      <c r="G5832" t="s">
        <v>16230</v>
      </c>
      <c r="H5832" t="s">
        <v>47054</v>
      </c>
      <c r="I5832" t="s">
        <v>47116</v>
      </c>
      <c r="J5832" t="s">
        <v>47117</v>
      </c>
      <c r="K5832" t="s">
        <v>47113</v>
      </c>
      <c r="L5832">
        <v>52.61</v>
      </c>
      <c r="M5832">
        <v>66</v>
      </c>
      <c r="N5832">
        <v>0</v>
      </c>
      <c r="O5832">
        <v>66</v>
      </c>
      <c r="P5832">
        <v>0</v>
      </c>
    </row>
    <row r="5833" spans="1:16" x14ac:dyDescent="0.25">
      <c r="A5833" t="s">
        <v>28250</v>
      </c>
      <c r="B5833" t="s">
        <v>4787</v>
      </c>
      <c r="C5833" t="s">
        <v>4788</v>
      </c>
      <c r="D5833" t="s">
        <v>4789</v>
      </c>
      <c r="E5833" t="s">
        <v>4790</v>
      </c>
      <c r="F5833" t="s">
        <v>3546</v>
      </c>
      <c r="G5833" t="s">
        <v>16230</v>
      </c>
      <c r="H5833" t="s">
        <v>47054</v>
      </c>
      <c r="I5833" t="s">
        <v>47120</v>
      </c>
      <c r="J5833" t="s">
        <v>47121</v>
      </c>
      <c r="K5833" t="s">
        <v>47113</v>
      </c>
      <c r="L5833">
        <v>41.36</v>
      </c>
      <c r="M5833">
        <v>102</v>
      </c>
      <c r="N5833">
        <v>0</v>
      </c>
      <c r="O5833">
        <v>102</v>
      </c>
      <c r="P5833">
        <v>0</v>
      </c>
    </row>
    <row r="5834" spans="1:16" x14ac:dyDescent="0.25">
      <c r="A5834" t="s">
        <v>28251</v>
      </c>
      <c r="B5834" t="s">
        <v>4791</v>
      </c>
      <c r="C5834" t="s">
        <v>4792</v>
      </c>
      <c r="D5834" t="s">
        <v>4793</v>
      </c>
      <c r="E5834" t="s">
        <v>4794</v>
      </c>
      <c r="F5834" t="s">
        <v>3546</v>
      </c>
      <c r="G5834" t="s">
        <v>16230</v>
      </c>
      <c r="H5834" t="s">
        <v>47054</v>
      </c>
      <c r="I5834" t="s">
        <v>47116</v>
      </c>
      <c r="J5834" t="s">
        <v>47117</v>
      </c>
      <c r="K5834" t="s">
        <v>47113</v>
      </c>
      <c r="L5834">
        <v>28.57</v>
      </c>
      <c r="M5834">
        <v>70</v>
      </c>
      <c r="N5834">
        <v>0</v>
      </c>
      <c r="O5834">
        <v>70</v>
      </c>
      <c r="P5834">
        <v>0</v>
      </c>
    </row>
    <row r="5835" spans="1:16" x14ac:dyDescent="0.25">
      <c r="A5835" t="s">
        <v>28252</v>
      </c>
      <c r="B5835" t="s">
        <v>16245</v>
      </c>
      <c r="C5835" t="s">
        <v>16246</v>
      </c>
      <c r="D5835" t="s">
        <v>16247</v>
      </c>
      <c r="E5835" t="s">
        <v>16248</v>
      </c>
      <c r="F5835" t="s">
        <v>3750</v>
      </c>
      <c r="G5835" t="s">
        <v>16230</v>
      </c>
      <c r="H5835" t="s">
        <v>47054</v>
      </c>
      <c r="I5835" t="s">
        <v>47116</v>
      </c>
      <c r="J5835" t="s">
        <v>47117</v>
      </c>
      <c r="K5835" t="s">
        <v>47113</v>
      </c>
      <c r="L5835">
        <v>46.86</v>
      </c>
      <c r="M5835">
        <v>66</v>
      </c>
      <c r="N5835">
        <v>0</v>
      </c>
      <c r="O5835">
        <v>66</v>
      </c>
      <c r="P5835">
        <v>0</v>
      </c>
    </row>
    <row r="5836" spans="1:16" x14ac:dyDescent="0.25">
      <c r="A5836" t="s">
        <v>28253</v>
      </c>
      <c r="B5836" t="s">
        <v>4795</v>
      </c>
      <c r="C5836" t="s">
        <v>4796</v>
      </c>
      <c r="D5836" t="s">
        <v>4797</v>
      </c>
      <c r="E5836" t="s">
        <v>4798</v>
      </c>
      <c r="F5836" t="s">
        <v>2</v>
      </c>
      <c r="G5836" t="s">
        <v>16230</v>
      </c>
      <c r="H5836" t="s">
        <v>47054</v>
      </c>
      <c r="I5836" t="s">
        <v>47116</v>
      </c>
      <c r="J5836" t="s">
        <v>47117</v>
      </c>
      <c r="K5836" t="s">
        <v>47113</v>
      </c>
      <c r="L5836">
        <v>53.6</v>
      </c>
      <c r="M5836">
        <v>104</v>
      </c>
      <c r="N5836">
        <v>0</v>
      </c>
      <c r="O5836">
        <v>104</v>
      </c>
      <c r="P5836">
        <v>0</v>
      </c>
    </row>
    <row r="5837" spans="1:16" x14ac:dyDescent="0.25">
      <c r="A5837" t="s">
        <v>28254</v>
      </c>
      <c r="B5837" t="s">
        <v>4799</v>
      </c>
      <c r="C5837" t="s">
        <v>4045</v>
      </c>
      <c r="D5837" t="s">
        <v>4800</v>
      </c>
      <c r="E5837" t="s">
        <v>4801</v>
      </c>
      <c r="F5837" t="s">
        <v>2068</v>
      </c>
      <c r="G5837" t="s">
        <v>16230</v>
      </c>
      <c r="H5837" t="s">
        <v>47054</v>
      </c>
      <c r="I5837" t="s">
        <v>47116</v>
      </c>
      <c r="J5837" t="s">
        <v>47117</v>
      </c>
      <c r="K5837" t="s">
        <v>47113</v>
      </c>
      <c r="L5837">
        <v>37.31</v>
      </c>
      <c r="M5837">
        <v>73</v>
      </c>
      <c r="N5837">
        <v>0</v>
      </c>
      <c r="O5837">
        <v>73</v>
      </c>
      <c r="P5837">
        <v>0</v>
      </c>
    </row>
    <row r="5838" spans="1:16" x14ac:dyDescent="0.25">
      <c r="A5838" t="s">
        <v>28255</v>
      </c>
      <c r="B5838" t="s">
        <v>4802</v>
      </c>
      <c r="C5838" t="s">
        <v>4803</v>
      </c>
      <c r="D5838" t="s">
        <v>4804</v>
      </c>
      <c r="E5838" t="s">
        <v>4805</v>
      </c>
      <c r="F5838" t="s">
        <v>3670</v>
      </c>
      <c r="G5838" t="s">
        <v>16230</v>
      </c>
      <c r="H5838" t="s">
        <v>47054</v>
      </c>
      <c r="I5838" t="s">
        <v>47116</v>
      </c>
      <c r="J5838" t="s">
        <v>47117</v>
      </c>
      <c r="K5838" t="s">
        <v>47113</v>
      </c>
      <c r="L5838">
        <v>35.880000000000003</v>
      </c>
      <c r="M5838">
        <v>66</v>
      </c>
      <c r="N5838">
        <v>0</v>
      </c>
      <c r="O5838">
        <v>66</v>
      </c>
      <c r="P5838">
        <v>0</v>
      </c>
    </row>
    <row r="5839" spans="1:16" x14ac:dyDescent="0.25">
      <c r="A5839" t="s">
        <v>28256</v>
      </c>
      <c r="B5839" t="s">
        <v>4806</v>
      </c>
      <c r="C5839" t="s">
        <v>4807</v>
      </c>
      <c r="D5839" t="s">
        <v>4808</v>
      </c>
      <c r="E5839" t="s">
        <v>4809</v>
      </c>
      <c r="F5839" t="s">
        <v>5</v>
      </c>
      <c r="G5839" t="s">
        <v>16230</v>
      </c>
      <c r="H5839" t="s">
        <v>47054</v>
      </c>
      <c r="I5839" t="s">
        <v>47116</v>
      </c>
      <c r="J5839" t="s">
        <v>47117</v>
      </c>
      <c r="K5839" t="s">
        <v>47113</v>
      </c>
      <c r="L5839">
        <v>39.44</v>
      </c>
      <c r="M5839">
        <v>92</v>
      </c>
      <c r="N5839">
        <v>0</v>
      </c>
      <c r="O5839">
        <v>92</v>
      </c>
      <c r="P5839">
        <v>0</v>
      </c>
    </row>
    <row r="5840" spans="1:16" x14ac:dyDescent="0.25">
      <c r="A5840" t="s">
        <v>28257</v>
      </c>
      <c r="B5840" t="s">
        <v>4810</v>
      </c>
      <c r="C5840" t="s">
        <v>4811</v>
      </c>
      <c r="D5840" t="s">
        <v>4812</v>
      </c>
      <c r="E5840" t="s">
        <v>4813</v>
      </c>
      <c r="F5840" t="s">
        <v>5</v>
      </c>
      <c r="G5840" t="s">
        <v>16230</v>
      </c>
      <c r="H5840" t="s">
        <v>47054</v>
      </c>
      <c r="I5840" t="s">
        <v>47116</v>
      </c>
      <c r="J5840" t="s">
        <v>47117</v>
      </c>
      <c r="K5840" t="s">
        <v>47113</v>
      </c>
      <c r="L5840">
        <v>39.07</v>
      </c>
      <c r="M5840">
        <v>92</v>
      </c>
      <c r="N5840">
        <v>0</v>
      </c>
      <c r="O5840">
        <v>92</v>
      </c>
      <c r="P5840">
        <v>0</v>
      </c>
    </row>
    <row r="5841" spans="1:16" x14ac:dyDescent="0.25">
      <c r="A5841" t="s">
        <v>28258</v>
      </c>
      <c r="B5841" t="s">
        <v>4814</v>
      </c>
      <c r="C5841" t="s">
        <v>3400</v>
      </c>
      <c r="D5841" t="s">
        <v>4815</v>
      </c>
      <c r="E5841" t="s">
        <v>4816</v>
      </c>
      <c r="F5841" t="s">
        <v>29</v>
      </c>
      <c r="G5841" t="s">
        <v>16231</v>
      </c>
      <c r="H5841" t="s">
        <v>47054</v>
      </c>
      <c r="I5841" t="s">
        <v>47111</v>
      </c>
      <c r="J5841" t="s">
        <v>47112</v>
      </c>
      <c r="K5841" t="s">
        <v>47113</v>
      </c>
      <c r="L5841">
        <v>51.89</v>
      </c>
      <c r="M5841">
        <v>123</v>
      </c>
      <c r="N5841">
        <v>0</v>
      </c>
      <c r="O5841">
        <v>123</v>
      </c>
      <c r="P5841">
        <v>0</v>
      </c>
    </row>
    <row r="5842" spans="1:16" x14ac:dyDescent="0.25">
      <c r="A5842" t="s">
        <v>28259</v>
      </c>
      <c r="B5842" t="s">
        <v>4814</v>
      </c>
      <c r="C5842" t="s">
        <v>3400</v>
      </c>
      <c r="D5842" t="s">
        <v>27</v>
      </c>
      <c r="E5842" t="s">
        <v>4817</v>
      </c>
      <c r="F5842" t="s">
        <v>687</v>
      </c>
      <c r="G5842" t="s">
        <v>16231</v>
      </c>
      <c r="H5842" t="s">
        <v>47054</v>
      </c>
      <c r="I5842" t="s">
        <v>47111</v>
      </c>
      <c r="J5842" t="s">
        <v>47112</v>
      </c>
      <c r="K5842" t="s">
        <v>47113</v>
      </c>
      <c r="L5842">
        <v>50.84</v>
      </c>
      <c r="M5842">
        <v>135</v>
      </c>
      <c r="N5842">
        <v>0</v>
      </c>
      <c r="O5842">
        <v>135</v>
      </c>
      <c r="P5842">
        <v>0</v>
      </c>
    </row>
    <row r="5843" spans="1:16" x14ac:dyDescent="0.25">
      <c r="A5843" t="s">
        <v>28260</v>
      </c>
      <c r="B5843" t="s">
        <v>4818</v>
      </c>
      <c r="C5843" t="s">
        <v>4819</v>
      </c>
      <c r="D5843" t="s">
        <v>4815</v>
      </c>
      <c r="E5843" t="s">
        <v>4816</v>
      </c>
      <c r="F5843" t="s">
        <v>4</v>
      </c>
      <c r="G5843" t="s">
        <v>16231</v>
      </c>
      <c r="H5843" t="s">
        <v>47054</v>
      </c>
      <c r="I5843" t="s">
        <v>47111</v>
      </c>
      <c r="J5843" t="s">
        <v>47112</v>
      </c>
      <c r="K5843" t="s">
        <v>47113</v>
      </c>
      <c r="L5843">
        <v>51.96</v>
      </c>
      <c r="M5843">
        <v>127</v>
      </c>
      <c r="N5843">
        <v>0</v>
      </c>
      <c r="O5843">
        <v>127</v>
      </c>
      <c r="P5843">
        <v>0</v>
      </c>
    </row>
    <row r="5844" spans="1:16" x14ac:dyDescent="0.25">
      <c r="A5844" t="s">
        <v>28261</v>
      </c>
      <c r="B5844" t="s">
        <v>4820</v>
      </c>
      <c r="C5844" t="s">
        <v>4821</v>
      </c>
      <c r="D5844" t="s">
        <v>2399</v>
      </c>
      <c r="E5844" t="s">
        <v>2400</v>
      </c>
      <c r="F5844" t="s">
        <v>5</v>
      </c>
      <c r="G5844" t="s">
        <v>16231</v>
      </c>
      <c r="H5844" t="s">
        <v>47054</v>
      </c>
      <c r="I5844" t="s">
        <v>47111</v>
      </c>
      <c r="J5844" t="s">
        <v>47112</v>
      </c>
      <c r="K5844" t="s">
        <v>47113</v>
      </c>
      <c r="L5844">
        <v>35.369999999999997</v>
      </c>
      <c r="M5844">
        <v>77</v>
      </c>
      <c r="N5844">
        <v>0</v>
      </c>
      <c r="O5844">
        <v>77</v>
      </c>
      <c r="P5844">
        <v>0</v>
      </c>
    </row>
    <row r="5845" spans="1:16" x14ac:dyDescent="0.25">
      <c r="A5845" t="s">
        <v>28262</v>
      </c>
      <c r="B5845" t="s">
        <v>4820</v>
      </c>
      <c r="C5845" t="s">
        <v>4821</v>
      </c>
      <c r="D5845" t="s">
        <v>311</v>
      </c>
      <c r="E5845" t="s">
        <v>3479</v>
      </c>
      <c r="F5845" t="s">
        <v>5</v>
      </c>
      <c r="G5845" t="s">
        <v>16231</v>
      </c>
      <c r="H5845" t="s">
        <v>47054</v>
      </c>
      <c r="I5845" t="s">
        <v>47111</v>
      </c>
      <c r="J5845" t="s">
        <v>47112</v>
      </c>
      <c r="K5845" t="s">
        <v>47113</v>
      </c>
      <c r="L5845">
        <v>29.18</v>
      </c>
      <c r="M5845">
        <v>69</v>
      </c>
      <c r="N5845">
        <v>0</v>
      </c>
      <c r="O5845">
        <v>69</v>
      </c>
      <c r="P5845">
        <v>0</v>
      </c>
    </row>
    <row r="5846" spans="1:16" x14ac:dyDescent="0.25">
      <c r="A5846" t="s">
        <v>28263</v>
      </c>
      <c r="B5846" t="s">
        <v>4820</v>
      </c>
      <c r="C5846" t="s">
        <v>4821</v>
      </c>
      <c r="D5846" t="s">
        <v>921</v>
      </c>
      <c r="E5846" t="s">
        <v>922</v>
      </c>
      <c r="F5846" t="s">
        <v>5</v>
      </c>
      <c r="G5846" t="s">
        <v>16231</v>
      </c>
      <c r="H5846" t="s">
        <v>47054</v>
      </c>
      <c r="I5846" t="s">
        <v>47111</v>
      </c>
      <c r="J5846" t="s">
        <v>47112</v>
      </c>
      <c r="K5846" t="s">
        <v>47113</v>
      </c>
      <c r="L5846">
        <v>34.799999999999997</v>
      </c>
      <c r="M5846">
        <v>77</v>
      </c>
      <c r="N5846">
        <v>0</v>
      </c>
      <c r="O5846">
        <v>77</v>
      </c>
      <c r="P5846">
        <v>0</v>
      </c>
    </row>
    <row r="5847" spans="1:16" x14ac:dyDescent="0.25">
      <c r="A5847" t="s">
        <v>28264</v>
      </c>
      <c r="B5847" t="s">
        <v>4822</v>
      </c>
      <c r="C5847" t="s">
        <v>4823</v>
      </c>
      <c r="D5847" t="s">
        <v>4824</v>
      </c>
      <c r="E5847" t="s">
        <v>4825</v>
      </c>
      <c r="F5847" t="s">
        <v>4</v>
      </c>
      <c r="G5847" t="s">
        <v>16231</v>
      </c>
      <c r="H5847" t="s">
        <v>47054</v>
      </c>
      <c r="I5847" t="s">
        <v>47111</v>
      </c>
      <c r="J5847" t="s">
        <v>47112</v>
      </c>
      <c r="K5847" t="s">
        <v>47113</v>
      </c>
      <c r="L5847">
        <v>53.83</v>
      </c>
      <c r="M5847">
        <v>103</v>
      </c>
      <c r="N5847">
        <v>0</v>
      </c>
      <c r="O5847">
        <v>103</v>
      </c>
      <c r="P5847">
        <v>0</v>
      </c>
    </row>
    <row r="5848" spans="1:16" x14ac:dyDescent="0.25">
      <c r="A5848" t="s">
        <v>28265</v>
      </c>
      <c r="B5848" t="s">
        <v>4822</v>
      </c>
      <c r="C5848" t="s">
        <v>4823</v>
      </c>
      <c r="D5848" t="s">
        <v>4826</v>
      </c>
      <c r="E5848" t="s">
        <v>4827</v>
      </c>
      <c r="F5848" t="s">
        <v>4</v>
      </c>
      <c r="G5848" t="s">
        <v>16231</v>
      </c>
      <c r="H5848" t="s">
        <v>47054</v>
      </c>
      <c r="I5848" t="s">
        <v>47111</v>
      </c>
      <c r="J5848" t="s">
        <v>47112</v>
      </c>
      <c r="K5848" t="s">
        <v>47113</v>
      </c>
      <c r="L5848">
        <v>58.34</v>
      </c>
      <c r="M5848">
        <v>115</v>
      </c>
      <c r="N5848">
        <v>0</v>
      </c>
      <c r="O5848">
        <v>115</v>
      </c>
      <c r="P5848">
        <v>0</v>
      </c>
    </row>
    <row r="5849" spans="1:16" x14ac:dyDescent="0.25">
      <c r="A5849" t="s">
        <v>28266</v>
      </c>
      <c r="B5849" t="s">
        <v>4828</v>
      </c>
      <c r="C5849" t="s">
        <v>4829</v>
      </c>
      <c r="D5849" t="s">
        <v>3518</v>
      </c>
      <c r="E5849" t="s">
        <v>3519</v>
      </c>
      <c r="F5849" t="s">
        <v>4</v>
      </c>
      <c r="G5849" t="s">
        <v>16231</v>
      </c>
      <c r="H5849" t="s">
        <v>47054</v>
      </c>
      <c r="I5849" t="s">
        <v>47111</v>
      </c>
      <c r="J5849" t="s">
        <v>47112</v>
      </c>
      <c r="K5849" t="s">
        <v>47113</v>
      </c>
      <c r="L5849">
        <v>61.35</v>
      </c>
      <c r="M5849">
        <v>150</v>
      </c>
      <c r="N5849">
        <v>0</v>
      </c>
      <c r="O5849">
        <v>150</v>
      </c>
      <c r="P5849">
        <v>0</v>
      </c>
    </row>
    <row r="5850" spans="1:16" x14ac:dyDescent="0.25">
      <c r="A5850" t="s">
        <v>28267</v>
      </c>
      <c r="B5850" t="s">
        <v>4828</v>
      </c>
      <c r="C5850" t="s">
        <v>4829</v>
      </c>
      <c r="D5850" t="s">
        <v>4830</v>
      </c>
      <c r="E5850" t="s">
        <v>4831</v>
      </c>
      <c r="F5850" t="s">
        <v>4</v>
      </c>
      <c r="G5850" t="s">
        <v>16231</v>
      </c>
      <c r="H5850" t="s">
        <v>47054</v>
      </c>
      <c r="I5850" t="s">
        <v>47111</v>
      </c>
      <c r="J5850" t="s">
        <v>47112</v>
      </c>
      <c r="K5850" t="s">
        <v>47113</v>
      </c>
      <c r="L5850">
        <v>62.5</v>
      </c>
      <c r="M5850">
        <v>152</v>
      </c>
      <c r="N5850">
        <v>0</v>
      </c>
      <c r="O5850">
        <v>152</v>
      </c>
      <c r="P5850">
        <v>0</v>
      </c>
    </row>
    <row r="5851" spans="1:16" x14ac:dyDescent="0.25">
      <c r="A5851" t="s">
        <v>28268</v>
      </c>
      <c r="B5851" t="s">
        <v>4832</v>
      </c>
      <c r="C5851" t="s">
        <v>4833</v>
      </c>
      <c r="D5851" t="s">
        <v>1706</v>
      </c>
      <c r="E5851" t="s">
        <v>1707</v>
      </c>
      <c r="F5851" t="s">
        <v>58</v>
      </c>
      <c r="G5851" t="s">
        <v>16231</v>
      </c>
      <c r="H5851" t="s">
        <v>47054</v>
      </c>
      <c r="I5851" t="s">
        <v>47111</v>
      </c>
      <c r="J5851" t="s">
        <v>47112</v>
      </c>
      <c r="K5851" t="s">
        <v>47113</v>
      </c>
      <c r="L5851">
        <v>55.9</v>
      </c>
      <c r="M5851">
        <v>131</v>
      </c>
      <c r="N5851">
        <v>0</v>
      </c>
      <c r="O5851">
        <v>131</v>
      </c>
      <c r="P5851">
        <v>0</v>
      </c>
    </row>
    <row r="5852" spans="1:16" x14ac:dyDescent="0.25">
      <c r="A5852" t="s">
        <v>28269</v>
      </c>
      <c r="B5852" t="s">
        <v>4834</v>
      </c>
      <c r="C5852" t="s">
        <v>4835</v>
      </c>
      <c r="D5852" t="s">
        <v>2108</v>
      </c>
      <c r="E5852" t="s">
        <v>2109</v>
      </c>
      <c r="F5852" t="s">
        <v>52</v>
      </c>
      <c r="G5852" t="s">
        <v>16231</v>
      </c>
      <c r="H5852" t="s">
        <v>47054</v>
      </c>
      <c r="I5852" t="s">
        <v>47111</v>
      </c>
      <c r="J5852" t="s">
        <v>47112</v>
      </c>
      <c r="K5852" t="s">
        <v>47113</v>
      </c>
      <c r="L5852">
        <v>74.61</v>
      </c>
      <c r="M5852">
        <v>183</v>
      </c>
      <c r="N5852">
        <v>0</v>
      </c>
      <c r="O5852">
        <v>183</v>
      </c>
      <c r="P5852">
        <v>0</v>
      </c>
    </row>
    <row r="5853" spans="1:16" x14ac:dyDescent="0.25">
      <c r="A5853" t="s">
        <v>28270</v>
      </c>
      <c r="B5853" t="s">
        <v>4834</v>
      </c>
      <c r="C5853" t="s">
        <v>4835</v>
      </c>
      <c r="D5853" t="s">
        <v>1792</v>
      </c>
      <c r="E5853" t="s">
        <v>1793</v>
      </c>
      <c r="F5853" t="s">
        <v>52</v>
      </c>
      <c r="G5853" t="s">
        <v>16231</v>
      </c>
      <c r="H5853" t="s">
        <v>47054</v>
      </c>
      <c r="I5853" t="s">
        <v>47111</v>
      </c>
      <c r="J5853" t="s">
        <v>47112</v>
      </c>
      <c r="K5853" t="s">
        <v>47113</v>
      </c>
      <c r="L5853">
        <v>68.97</v>
      </c>
      <c r="M5853">
        <v>169</v>
      </c>
      <c r="N5853">
        <v>0</v>
      </c>
      <c r="O5853">
        <v>169</v>
      </c>
      <c r="P5853">
        <v>0</v>
      </c>
    </row>
    <row r="5854" spans="1:16" x14ac:dyDescent="0.25">
      <c r="A5854" t="s">
        <v>28271</v>
      </c>
      <c r="B5854" t="s">
        <v>4836</v>
      </c>
      <c r="C5854" t="s">
        <v>4837</v>
      </c>
      <c r="D5854" t="s">
        <v>2450</v>
      </c>
      <c r="E5854" t="s">
        <v>2451</v>
      </c>
      <c r="F5854" t="s">
        <v>4</v>
      </c>
      <c r="G5854" t="s">
        <v>16231</v>
      </c>
      <c r="H5854" t="s">
        <v>47054</v>
      </c>
      <c r="I5854" t="s">
        <v>47111</v>
      </c>
      <c r="J5854" t="s">
        <v>47112</v>
      </c>
      <c r="K5854" t="s">
        <v>47113</v>
      </c>
      <c r="L5854">
        <v>60.67</v>
      </c>
      <c r="M5854">
        <v>148</v>
      </c>
      <c r="N5854">
        <v>0</v>
      </c>
      <c r="O5854">
        <v>148</v>
      </c>
      <c r="P5854">
        <v>0</v>
      </c>
    </row>
    <row r="5855" spans="1:16" x14ac:dyDescent="0.25">
      <c r="A5855" t="s">
        <v>28272</v>
      </c>
      <c r="B5855" t="s">
        <v>4838</v>
      </c>
      <c r="C5855" t="s">
        <v>2009</v>
      </c>
      <c r="D5855" t="s">
        <v>1349</v>
      </c>
      <c r="E5855" t="s">
        <v>1350</v>
      </c>
      <c r="F5855" t="s">
        <v>631</v>
      </c>
      <c r="G5855" t="s">
        <v>16231</v>
      </c>
      <c r="H5855" t="s">
        <v>47054</v>
      </c>
      <c r="I5855" t="s">
        <v>47111</v>
      </c>
      <c r="J5855" t="s">
        <v>47112</v>
      </c>
      <c r="K5855" t="s">
        <v>47113</v>
      </c>
      <c r="L5855">
        <v>53.05</v>
      </c>
      <c r="M5855">
        <v>118</v>
      </c>
      <c r="N5855">
        <v>0</v>
      </c>
      <c r="O5855">
        <v>118</v>
      </c>
      <c r="P5855">
        <v>0</v>
      </c>
    </row>
    <row r="5856" spans="1:16" x14ac:dyDescent="0.25">
      <c r="A5856" t="s">
        <v>28273</v>
      </c>
      <c r="B5856" t="s">
        <v>4839</v>
      </c>
      <c r="C5856" t="s">
        <v>4840</v>
      </c>
      <c r="D5856" t="s">
        <v>721</v>
      </c>
      <c r="E5856" t="s">
        <v>722</v>
      </c>
      <c r="F5856" t="s">
        <v>8</v>
      </c>
      <c r="G5856" t="s">
        <v>16231</v>
      </c>
      <c r="H5856" t="s">
        <v>47054</v>
      </c>
      <c r="I5856" t="s">
        <v>47111</v>
      </c>
      <c r="J5856" t="s">
        <v>47112</v>
      </c>
      <c r="K5856" t="s">
        <v>47113</v>
      </c>
      <c r="L5856">
        <v>31.44</v>
      </c>
      <c r="M5856">
        <v>104</v>
      </c>
      <c r="N5856">
        <v>0</v>
      </c>
      <c r="O5856">
        <v>104</v>
      </c>
      <c r="P5856">
        <v>0</v>
      </c>
    </row>
    <row r="5857" spans="1:16" x14ac:dyDescent="0.25">
      <c r="A5857" t="s">
        <v>28274</v>
      </c>
      <c r="B5857" t="s">
        <v>4839</v>
      </c>
      <c r="C5857" t="s">
        <v>4840</v>
      </c>
      <c r="D5857" t="str">
        <f>"89"</f>
        <v>89</v>
      </c>
      <c r="E5857" t="s">
        <v>1732</v>
      </c>
      <c r="F5857" t="s">
        <v>8</v>
      </c>
      <c r="G5857" t="s">
        <v>16231</v>
      </c>
      <c r="H5857" t="s">
        <v>47054</v>
      </c>
      <c r="I5857" t="s">
        <v>47111</v>
      </c>
      <c r="J5857" t="s">
        <v>47112</v>
      </c>
      <c r="K5857" t="s">
        <v>47113</v>
      </c>
      <c r="L5857">
        <v>36.22</v>
      </c>
      <c r="M5857">
        <v>114</v>
      </c>
      <c r="N5857">
        <v>0</v>
      </c>
      <c r="O5857">
        <v>114</v>
      </c>
      <c r="P5857">
        <v>0</v>
      </c>
    </row>
    <row r="5858" spans="1:16" x14ac:dyDescent="0.25">
      <c r="A5858" t="s">
        <v>28275</v>
      </c>
      <c r="B5858" t="s">
        <v>4839</v>
      </c>
      <c r="C5858" t="s">
        <v>4840</v>
      </c>
      <c r="D5858" t="s">
        <v>2020</v>
      </c>
      <c r="E5858" t="s">
        <v>2021</v>
      </c>
      <c r="F5858" t="s">
        <v>8</v>
      </c>
      <c r="G5858" t="s">
        <v>16231</v>
      </c>
      <c r="H5858" t="s">
        <v>47054</v>
      </c>
      <c r="I5858" t="s">
        <v>47111</v>
      </c>
      <c r="J5858" t="s">
        <v>47112</v>
      </c>
      <c r="K5858" t="s">
        <v>47113</v>
      </c>
      <c r="L5858">
        <v>39.4</v>
      </c>
      <c r="M5858">
        <v>127</v>
      </c>
      <c r="N5858">
        <v>0</v>
      </c>
      <c r="O5858">
        <v>127</v>
      </c>
      <c r="P5858">
        <v>0</v>
      </c>
    </row>
    <row r="5859" spans="1:16" x14ac:dyDescent="0.25">
      <c r="A5859" t="s">
        <v>28276</v>
      </c>
      <c r="B5859" t="s">
        <v>4841</v>
      </c>
      <c r="C5859" t="s">
        <v>4842</v>
      </c>
      <c r="D5859" t="s">
        <v>1722</v>
      </c>
      <c r="E5859" t="s">
        <v>1723</v>
      </c>
      <c r="F5859" t="s">
        <v>8</v>
      </c>
      <c r="G5859" t="s">
        <v>16231</v>
      </c>
      <c r="H5859" t="s">
        <v>47054</v>
      </c>
      <c r="I5859" t="s">
        <v>47111</v>
      </c>
      <c r="J5859" t="s">
        <v>47112</v>
      </c>
      <c r="K5859" t="s">
        <v>47113</v>
      </c>
      <c r="L5859">
        <v>48.94</v>
      </c>
      <c r="M5859">
        <v>146</v>
      </c>
      <c r="N5859">
        <v>0</v>
      </c>
      <c r="O5859">
        <v>146</v>
      </c>
      <c r="P5859">
        <v>0</v>
      </c>
    </row>
    <row r="5860" spans="1:16" x14ac:dyDescent="0.25">
      <c r="A5860" t="s">
        <v>28277</v>
      </c>
      <c r="B5860" t="s">
        <v>4841</v>
      </c>
      <c r="C5860" t="s">
        <v>4842</v>
      </c>
      <c r="D5860" t="s">
        <v>4843</v>
      </c>
      <c r="E5860" t="s">
        <v>4844</v>
      </c>
      <c r="F5860" t="s">
        <v>56</v>
      </c>
      <c r="G5860" t="s">
        <v>16231</v>
      </c>
      <c r="H5860" t="s">
        <v>47054</v>
      </c>
      <c r="I5860" t="s">
        <v>47111</v>
      </c>
      <c r="J5860" t="s">
        <v>47112</v>
      </c>
      <c r="K5860" t="s">
        <v>47113</v>
      </c>
      <c r="L5860">
        <v>62.11</v>
      </c>
      <c r="M5860">
        <v>132</v>
      </c>
      <c r="N5860">
        <v>0</v>
      </c>
      <c r="O5860">
        <v>132</v>
      </c>
      <c r="P5860">
        <v>0</v>
      </c>
    </row>
    <row r="5861" spans="1:16" x14ac:dyDescent="0.25">
      <c r="A5861" t="s">
        <v>28278</v>
      </c>
      <c r="B5861" t="s">
        <v>4841</v>
      </c>
      <c r="C5861" t="s">
        <v>4842</v>
      </c>
      <c r="D5861" t="s">
        <v>1792</v>
      </c>
      <c r="E5861" t="s">
        <v>1793</v>
      </c>
      <c r="F5861" t="s">
        <v>56</v>
      </c>
      <c r="G5861" t="s">
        <v>16231</v>
      </c>
      <c r="H5861" t="s">
        <v>47054</v>
      </c>
      <c r="I5861" t="s">
        <v>47111</v>
      </c>
      <c r="J5861" t="s">
        <v>47112</v>
      </c>
      <c r="K5861" t="s">
        <v>47113</v>
      </c>
      <c r="L5861">
        <v>54.27</v>
      </c>
      <c r="M5861">
        <v>122</v>
      </c>
      <c r="N5861">
        <v>0</v>
      </c>
      <c r="O5861">
        <v>122</v>
      </c>
      <c r="P5861">
        <v>0</v>
      </c>
    </row>
    <row r="5862" spans="1:16" x14ac:dyDescent="0.25">
      <c r="A5862" t="s">
        <v>28279</v>
      </c>
      <c r="B5862" t="s">
        <v>4845</v>
      </c>
      <c r="C5862" t="s">
        <v>4846</v>
      </c>
      <c r="D5862" t="s">
        <v>1703</v>
      </c>
      <c r="E5862" t="s">
        <v>1704</v>
      </c>
      <c r="F5862" t="s">
        <v>8</v>
      </c>
      <c r="G5862" t="s">
        <v>16231</v>
      </c>
      <c r="H5862" t="s">
        <v>47054</v>
      </c>
      <c r="I5862" t="s">
        <v>47111</v>
      </c>
      <c r="J5862" t="s">
        <v>47112</v>
      </c>
      <c r="K5862" t="s">
        <v>47113</v>
      </c>
      <c r="L5862">
        <v>53.71</v>
      </c>
      <c r="M5862">
        <v>146</v>
      </c>
      <c r="N5862">
        <v>0</v>
      </c>
      <c r="O5862">
        <v>146</v>
      </c>
      <c r="P5862">
        <v>0</v>
      </c>
    </row>
    <row r="5863" spans="1:16" x14ac:dyDescent="0.25">
      <c r="A5863" t="s">
        <v>28280</v>
      </c>
      <c r="B5863" t="s">
        <v>4845</v>
      </c>
      <c r="C5863" t="s">
        <v>4846</v>
      </c>
      <c r="D5863" t="s">
        <v>1722</v>
      </c>
      <c r="E5863" t="s">
        <v>1723</v>
      </c>
      <c r="F5863" t="s">
        <v>8</v>
      </c>
      <c r="G5863" t="s">
        <v>16231</v>
      </c>
      <c r="H5863" t="s">
        <v>47054</v>
      </c>
      <c r="I5863" t="s">
        <v>47111</v>
      </c>
      <c r="J5863" t="s">
        <v>47112</v>
      </c>
      <c r="K5863" t="s">
        <v>47113</v>
      </c>
      <c r="L5863">
        <v>57.67</v>
      </c>
      <c r="M5863">
        <v>146</v>
      </c>
      <c r="N5863">
        <v>0</v>
      </c>
      <c r="O5863">
        <v>146</v>
      </c>
      <c r="P5863">
        <v>0</v>
      </c>
    </row>
    <row r="5864" spans="1:16" x14ac:dyDescent="0.25">
      <c r="A5864" t="s">
        <v>28281</v>
      </c>
      <c r="B5864" t="s">
        <v>4847</v>
      </c>
      <c r="C5864" t="s">
        <v>4848</v>
      </c>
      <c r="D5864" t="s">
        <v>1703</v>
      </c>
      <c r="E5864" t="s">
        <v>1704</v>
      </c>
      <c r="F5864" t="s">
        <v>8</v>
      </c>
      <c r="G5864" t="s">
        <v>16231</v>
      </c>
      <c r="H5864" t="s">
        <v>47054</v>
      </c>
      <c r="I5864" t="s">
        <v>47111</v>
      </c>
      <c r="J5864" t="s">
        <v>47112</v>
      </c>
      <c r="K5864" t="s">
        <v>47113</v>
      </c>
      <c r="L5864">
        <v>37.799999999999997</v>
      </c>
      <c r="M5864">
        <v>93</v>
      </c>
      <c r="N5864">
        <v>0</v>
      </c>
      <c r="O5864">
        <v>93</v>
      </c>
      <c r="P5864">
        <v>0</v>
      </c>
    </row>
    <row r="5865" spans="1:16" x14ac:dyDescent="0.25">
      <c r="A5865" t="s">
        <v>28282</v>
      </c>
      <c r="B5865" t="s">
        <v>4849</v>
      </c>
      <c r="C5865" t="s">
        <v>3421</v>
      </c>
      <c r="D5865" t="s">
        <v>1768</v>
      </c>
      <c r="E5865" t="s">
        <v>1769</v>
      </c>
      <c r="F5865" t="s">
        <v>52</v>
      </c>
      <c r="G5865" t="s">
        <v>16231</v>
      </c>
      <c r="H5865" t="s">
        <v>47054</v>
      </c>
      <c r="I5865" t="s">
        <v>47114</v>
      </c>
      <c r="J5865" t="s">
        <v>47115</v>
      </c>
      <c r="K5865" t="s">
        <v>47113</v>
      </c>
      <c r="L5865">
        <v>46.35</v>
      </c>
      <c r="M5865">
        <v>114</v>
      </c>
      <c r="N5865">
        <v>0</v>
      </c>
      <c r="O5865">
        <v>114</v>
      </c>
      <c r="P5865">
        <v>0</v>
      </c>
    </row>
    <row r="5866" spans="1:16" x14ac:dyDescent="0.25">
      <c r="A5866" t="s">
        <v>28283</v>
      </c>
      <c r="B5866" t="s">
        <v>4849</v>
      </c>
      <c r="C5866" t="s">
        <v>3421</v>
      </c>
      <c r="D5866" t="s">
        <v>1792</v>
      </c>
      <c r="E5866" t="s">
        <v>1793</v>
      </c>
      <c r="F5866" t="s">
        <v>52</v>
      </c>
      <c r="G5866" t="s">
        <v>16231</v>
      </c>
      <c r="H5866" t="s">
        <v>47054</v>
      </c>
      <c r="I5866" t="s">
        <v>47114</v>
      </c>
      <c r="J5866" t="s">
        <v>47115</v>
      </c>
      <c r="K5866" t="s">
        <v>47113</v>
      </c>
      <c r="L5866">
        <v>41.74</v>
      </c>
      <c r="M5866">
        <v>102</v>
      </c>
      <c r="N5866">
        <v>0</v>
      </c>
      <c r="O5866">
        <v>102</v>
      </c>
      <c r="P5866">
        <v>0</v>
      </c>
    </row>
    <row r="5867" spans="1:16" x14ac:dyDescent="0.25">
      <c r="A5867" t="s">
        <v>28284</v>
      </c>
      <c r="B5867" t="s">
        <v>4849</v>
      </c>
      <c r="C5867" t="s">
        <v>3421</v>
      </c>
      <c r="D5867" t="s">
        <v>1737</v>
      </c>
      <c r="E5867" t="s">
        <v>1738</v>
      </c>
      <c r="F5867" t="s">
        <v>52</v>
      </c>
      <c r="G5867" t="s">
        <v>16231</v>
      </c>
      <c r="H5867" t="s">
        <v>47054</v>
      </c>
      <c r="I5867" t="s">
        <v>47114</v>
      </c>
      <c r="J5867" t="s">
        <v>47115</v>
      </c>
      <c r="K5867" t="s">
        <v>47113</v>
      </c>
      <c r="L5867">
        <v>41.17</v>
      </c>
      <c r="M5867">
        <v>102</v>
      </c>
      <c r="N5867">
        <v>0</v>
      </c>
      <c r="O5867">
        <v>102</v>
      </c>
      <c r="P5867">
        <v>0</v>
      </c>
    </row>
    <row r="5868" spans="1:16" x14ac:dyDescent="0.25">
      <c r="A5868" t="s">
        <v>28285</v>
      </c>
      <c r="B5868" t="s">
        <v>4849</v>
      </c>
      <c r="C5868" t="s">
        <v>3421</v>
      </c>
      <c r="D5868" t="s">
        <v>1734</v>
      </c>
      <c r="E5868" t="s">
        <v>1735</v>
      </c>
      <c r="F5868" t="s">
        <v>52</v>
      </c>
      <c r="G5868" t="s">
        <v>16231</v>
      </c>
      <c r="H5868" t="s">
        <v>47054</v>
      </c>
      <c r="I5868" t="s">
        <v>47114</v>
      </c>
      <c r="J5868" t="s">
        <v>47115</v>
      </c>
      <c r="K5868" t="s">
        <v>47113</v>
      </c>
      <c r="L5868">
        <v>44.05</v>
      </c>
      <c r="M5868">
        <v>108</v>
      </c>
      <c r="N5868">
        <v>0</v>
      </c>
      <c r="O5868">
        <v>108</v>
      </c>
      <c r="P5868">
        <v>0</v>
      </c>
    </row>
    <row r="5869" spans="1:16" x14ac:dyDescent="0.25">
      <c r="A5869" t="s">
        <v>28286</v>
      </c>
      <c r="B5869" t="s">
        <v>4850</v>
      </c>
      <c r="C5869" t="s">
        <v>3421</v>
      </c>
      <c r="D5869" t="s">
        <v>1768</v>
      </c>
      <c r="E5869" t="s">
        <v>1769</v>
      </c>
      <c r="F5869" t="s">
        <v>52</v>
      </c>
      <c r="G5869" t="s">
        <v>16231</v>
      </c>
      <c r="H5869" t="s">
        <v>47054</v>
      </c>
      <c r="I5869" t="s">
        <v>47111</v>
      </c>
      <c r="J5869" t="s">
        <v>47112</v>
      </c>
      <c r="K5869" t="s">
        <v>47113</v>
      </c>
      <c r="L5869">
        <v>46.08</v>
      </c>
      <c r="M5869">
        <v>113</v>
      </c>
      <c r="N5869">
        <v>0</v>
      </c>
      <c r="O5869">
        <v>113</v>
      </c>
      <c r="P5869">
        <v>0</v>
      </c>
    </row>
    <row r="5870" spans="1:16" x14ac:dyDescent="0.25">
      <c r="A5870" t="s">
        <v>28287</v>
      </c>
      <c r="B5870" t="s">
        <v>4850</v>
      </c>
      <c r="C5870" t="s">
        <v>3421</v>
      </c>
      <c r="D5870" t="s">
        <v>1792</v>
      </c>
      <c r="E5870" t="s">
        <v>1793</v>
      </c>
      <c r="F5870" t="s">
        <v>52</v>
      </c>
      <c r="G5870" t="s">
        <v>16231</v>
      </c>
      <c r="H5870" t="s">
        <v>47054</v>
      </c>
      <c r="I5870" t="s">
        <v>47111</v>
      </c>
      <c r="J5870" t="s">
        <v>47112</v>
      </c>
      <c r="K5870" t="s">
        <v>47113</v>
      </c>
      <c r="L5870">
        <v>41.46</v>
      </c>
      <c r="M5870">
        <v>102</v>
      </c>
      <c r="N5870">
        <v>0</v>
      </c>
      <c r="O5870">
        <v>102</v>
      </c>
      <c r="P5870">
        <v>0</v>
      </c>
    </row>
    <row r="5871" spans="1:16" x14ac:dyDescent="0.25">
      <c r="A5871" t="s">
        <v>28288</v>
      </c>
      <c r="B5871" t="s">
        <v>4850</v>
      </c>
      <c r="C5871" t="s">
        <v>3421</v>
      </c>
      <c r="D5871" t="s">
        <v>1737</v>
      </c>
      <c r="E5871" t="s">
        <v>1738</v>
      </c>
      <c r="F5871" t="s">
        <v>52</v>
      </c>
      <c r="G5871" t="s">
        <v>16231</v>
      </c>
      <c r="H5871" t="s">
        <v>47054</v>
      </c>
      <c r="I5871" t="s">
        <v>47111</v>
      </c>
      <c r="J5871" t="s">
        <v>47112</v>
      </c>
      <c r="K5871" t="s">
        <v>47113</v>
      </c>
      <c r="L5871">
        <v>40.880000000000003</v>
      </c>
      <c r="M5871">
        <v>102</v>
      </c>
      <c r="N5871">
        <v>0</v>
      </c>
      <c r="O5871">
        <v>102</v>
      </c>
      <c r="P5871">
        <v>0</v>
      </c>
    </row>
    <row r="5872" spans="1:16" x14ac:dyDescent="0.25">
      <c r="A5872" t="s">
        <v>28289</v>
      </c>
      <c r="B5872" t="s">
        <v>4850</v>
      </c>
      <c r="C5872" t="s">
        <v>3421</v>
      </c>
      <c r="D5872" t="s">
        <v>1734</v>
      </c>
      <c r="E5872" t="s">
        <v>1735</v>
      </c>
      <c r="F5872" t="s">
        <v>52</v>
      </c>
      <c r="G5872" t="s">
        <v>16231</v>
      </c>
      <c r="H5872" t="s">
        <v>47054</v>
      </c>
      <c r="I5872" t="s">
        <v>47111</v>
      </c>
      <c r="J5872" t="s">
        <v>47112</v>
      </c>
      <c r="K5872" t="s">
        <v>47113</v>
      </c>
      <c r="L5872">
        <v>43.77</v>
      </c>
      <c r="M5872">
        <v>107</v>
      </c>
      <c r="N5872">
        <v>0</v>
      </c>
      <c r="O5872">
        <v>107</v>
      </c>
      <c r="P5872">
        <v>0</v>
      </c>
    </row>
    <row r="5873" spans="1:16" x14ac:dyDescent="0.25">
      <c r="A5873" t="s">
        <v>28290</v>
      </c>
      <c r="B5873" t="s">
        <v>4851</v>
      </c>
      <c r="C5873" t="s">
        <v>3421</v>
      </c>
      <c r="D5873" t="s">
        <v>2028</v>
      </c>
      <c r="E5873" t="s">
        <v>2029</v>
      </c>
      <c r="F5873" t="s">
        <v>52</v>
      </c>
      <c r="G5873" t="s">
        <v>16231</v>
      </c>
      <c r="H5873" t="s">
        <v>47054</v>
      </c>
      <c r="I5873" t="s">
        <v>47111</v>
      </c>
      <c r="J5873" t="s">
        <v>47112</v>
      </c>
      <c r="K5873" t="s">
        <v>47113</v>
      </c>
      <c r="L5873">
        <v>43.88</v>
      </c>
      <c r="M5873">
        <v>111</v>
      </c>
      <c r="N5873">
        <v>0</v>
      </c>
      <c r="O5873">
        <v>111</v>
      </c>
      <c r="P5873">
        <v>0</v>
      </c>
    </row>
    <row r="5874" spans="1:16" x14ac:dyDescent="0.25">
      <c r="A5874" t="s">
        <v>28291</v>
      </c>
      <c r="B5874" t="s">
        <v>4851</v>
      </c>
      <c r="C5874" t="s">
        <v>3421</v>
      </c>
      <c r="D5874" t="s">
        <v>4843</v>
      </c>
      <c r="E5874" t="s">
        <v>4844</v>
      </c>
      <c r="F5874" t="s">
        <v>52</v>
      </c>
      <c r="G5874" t="s">
        <v>16231</v>
      </c>
      <c r="H5874" t="s">
        <v>47054</v>
      </c>
      <c r="I5874" t="s">
        <v>47111</v>
      </c>
      <c r="J5874" t="s">
        <v>47112</v>
      </c>
      <c r="K5874" t="s">
        <v>47113</v>
      </c>
      <c r="L5874">
        <v>44.76</v>
      </c>
      <c r="M5874">
        <v>110</v>
      </c>
      <c r="N5874">
        <v>0</v>
      </c>
      <c r="O5874">
        <v>110</v>
      </c>
      <c r="P5874">
        <v>0</v>
      </c>
    </row>
    <row r="5875" spans="1:16" x14ac:dyDescent="0.25">
      <c r="A5875" t="s">
        <v>28292</v>
      </c>
      <c r="B5875" t="s">
        <v>4851</v>
      </c>
      <c r="C5875" t="s">
        <v>3421</v>
      </c>
      <c r="D5875" t="s">
        <v>1737</v>
      </c>
      <c r="E5875" t="s">
        <v>1738</v>
      </c>
      <c r="F5875" t="s">
        <v>52</v>
      </c>
      <c r="G5875" t="s">
        <v>16231</v>
      </c>
      <c r="H5875" t="s">
        <v>47054</v>
      </c>
      <c r="I5875" t="s">
        <v>47111</v>
      </c>
      <c r="J5875" t="s">
        <v>47112</v>
      </c>
      <c r="K5875" t="s">
        <v>47113</v>
      </c>
      <c r="L5875">
        <v>37.32</v>
      </c>
      <c r="M5875">
        <v>93</v>
      </c>
      <c r="N5875">
        <v>0</v>
      </c>
      <c r="O5875">
        <v>93</v>
      </c>
      <c r="P5875">
        <v>0</v>
      </c>
    </row>
    <row r="5876" spans="1:16" x14ac:dyDescent="0.25">
      <c r="A5876" t="s">
        <v>28293</v>
      </c>
      <c r="B5876" t="s">
        <v>4851</v>
      </c>
      <c r="C5876" t="s">
        <v>3421</v>
      </c>
      <c r="D5876" t="s">
        <v>1734</v>
      </c>
      <c r="E5876" t="s">
        <v>1735</v>
      </c>
      <c r="F5876" t="s">
        <v>52</v>
      </c>
      <c r="G5876" t="s">
        <v>16231</v>
      </c>
      <c r="H5876" t="s">
        <v>47054</v>
      </c>
      <c r="I5876" t="s">
        <v>47111</v>
      </c>
      <c r="J5876" t="s">
        <v>47112</v>
      </c>
      <c r="K5876" t="s">
        <v>47113</v>
      </c>
      <c r="L5876">
        <v>40.19</v>
      </c>
      <c r="M5876">
        <v>99</v>
      </c>
      <c r="N5876">
        <v>0</v>
      </c>
      <c r="O5876">
        <v>99</v>
      </c>
      <c r="P5876">
        <v>0</v>
      </c>
    </row>
    <row r="5877" spans="1:16" x14ac:dyDescent="0.25">
      <c r="A5877" t="s">
        <v>28294</v>
      </c>
      <c r="B5877" t="s">
        <v>4852</v>
      </c>
      <c r="C5877" t="s">
        <v>3421</v>
      </c>
      <c r="D5877" t="s">
        <v>2028</v>
      </c>
      <c r="E5877" t="s">
        <v>2029</v>
      </c>
      <c r="F5877" t="s">
        <v>52</v>
      </c>
      <c r="G5877" t="s">
        <v>16231</v>
      </c>
      <c r="H5877" t="s">
        <v>47054</v>
      </c>
      <c r="I5877" t="s">
        <v>47114</v>
      </c>
      <c r="J5877" t="s">
        <v>47115</v>
      </c>
      <c r="K5877" t="s">
        <v>47113</v>
      </c>
      <c r="L5877">
        <v>45.22</v>
      </c>
      <c r="M5877">
        <v>111</v>
      </c>
      <c r="N5877">
        <v>0</v>
      </c>
      <c r="O5877">
        <v>111</v>
      </c>
      <c r="P5877">
        <v>0</v>
      </c>
    </row>
    <row r="5878" spans="1:16" x14ac:dyDescent="0.25">
      <c r="A5878" t="s">
        <v>28295</v>
      </c>
      <c r="B5878" t="s">
        <v>4852</v>
      </c>
      <c r="C5878" t="s">
        <v>3421</v>
      </c>
      <c r="D5878" t="s">
        <v>4843</v>
      </c>
      <c r="E5878" t="s">
        <v>4844</v>
      </c>
      <c r="F5878" t="s">
        <v>52</v>
      </c>
      <c r="G5878" t="s">
        <v>16231</v>
      </c>
      <c r="H5878" t="s">
        <v>47054</v>
      </c>
      <c r="I5878" t="s">
        <v>47114</v>
      </c>
      <c r="J5878" t="s">
        <v>47115</v>
      </c>
      <c r="K5878" t="s">
        <v>47113</v>
      </c>
      <c r="L5878">
        <v>44.65</v>
      </c>
      <c r="M5878">
        <v>109</v>
      </c>
      <c r="N5878">
        <v>0</v>
      </c>
      <c r="O5878">
        <v>109</v>
      </c>
      <c r="P5878">
        <v>0</v>
      </c>
    </row>
    <row r="5879" spans="1:16" x14ac:dyDescent="0.25">
      <c r="A5879" t="s">
        <v>28296</v>
      </c>
      <c r="B5879" t="s">
        <v>4852</v>
      </c>
      <c r="C5879" t="s">
        <v>3421</v>
      </c>
      <c r="D5879" t="s">
        <v>1737</v>
      </c>
      <c r="E5879" t="s">
        <v>1738</v>
      </c>
      <c r="F5879" t="s">
        <v>52</v>
      </c>
      <c r="G5879" t="s">
        <v>16231</v>
      </c>
      <c r="H5879" t="s">
        <v>47054</v>
      </c>
      <c r="I5879" t="s">
        <v>47114</v>
      </c>
      <c r="J5879" t="s">
        <v>47115</v>
      </c>
      <c r="K5879" t="s">
        <v>47113</v>
      </c>
      <c r="L5879">
        <v>37.15</v>
      </c>
      <c r="M5879">
        <v>92</v>
      </c>
      <c r="N5879">
        <v>0</v>
      </c>
      <c r="O5879">
        <v>92</v>
      </c>
      <c r="P5879">
        <v>0</v>
      </c>
    </row>
    <row r="5880" spans="1:16" x14ac:dyDescent="0.25">
      <c r="A5880" t="s">
        <v>28297</v>
      </c>
      <c r="B5880" t="s">
        <v>4852</v>
      </c>
      <c r="C5880" t="s">
        <v>3421</v>
      </c>
      <c r="D5880" t="s">
        <v>1734</v>
      </c>
      <c r="E5880" t="s">
        <v>1735</v>
      </c>
      <c r="F5880" t="s">
        <v>52</v>
      </c>
      <c r="G5880" t="s">
        <v>16231</v>
      </c>
      <c r="H5880" t="s">
        <v>47054</v>
      </c>
      <c r="I5880" t="s">
        <v>47114</v>
      </c>
      <c r="J5880" t="s">
        <v>47115</v>
      </c>
      <c r="K5880" t="s">
        <v>47113</v>
      </c>
      <c r="L5880">
        <v>40.03</v>
      </c>
      <c r="M5880">
        <v>98</v>
      </c>
      <c r="N5880">
        <v>0</v>
      </c>
      <c r="O5880">
        <v>98</v>
      </c>
      <c r="P5880">
        <v>0</v>
      </c>
    </row>
    <row r="5881" spans="1:16" x14ac:dyDescent="0.25">
      <c r="A5881" t="s">
        <v>28298</v>
      </c>
      <c r="B5881" t="s">
        <v>4853</v>
      </c>
      <c r="C5881" t="s">
        <v>4854</v>
      </c>
      <c r="D5881" t="s">
        <v>4855</v>
      </c>
      <c r="E5881" t="s">
        <v>4856</v>
      </c>
      <c r="F5881" t="s">
        <v>8</v>
      </c>
      <c r="G5881" t="s">
        <v>16231</v>
      </c>
      <c r="H5881" t="s">
        <v>47054</v>
      </c>
      <c r="I5881" t="s">
        <v>47111</v>
      </c>
      <c r="J5881" t="s">
        <v>47112</v>
      </c>
      <c r="K5881" t="s">
        <v>47113</v>
      </c>
      <c r="L5881">
        <v>39.75</v>
      </c>
      <c r="M5881">
        <v>99</v>
      </c>
      <c r="N5881">
        <v>0</v>
      </c>
      <c r="O5881">
        <v>99</v>
      </c>
      <c r="P5881">
        <v>0</v>
      </c>
    </row>
    <row r="5882" spans="1:16" x14ac:dyDescent="0.25">
      <c r="A5882" t="s">
        <v>28299</v>
      </c>
      <c r="B5882" t="s">
        <v>4853</v>
      </c>
      <c r="C5882" t="s">
        <v>4854</v>
      </c>
      <c r="D5882" t="s">
        <v>1718</v>
      </c>
      <c r="E5882" t="s">
        <v>1719</v>
      </c>
      <c r="F5882" t="s">
        <v>8</v>
      </c>
      <c r="G5882" t="s">
        <v>16231</v>
      </c>
      <c r="H5882" t="s">
        <v>47054</v>
      </c>
      <c r="I5882" t="s">
        <v>47111</v>
      </c>
      <c r="J5882" t="s">
        <v>47112</v>
      </c>
      <c r="K5882" t="s">
        <v>47113</v>
      </c>
      <c r="L5882">
        <v>36.36</v>
      </c>
      <c r="M5882">
        <v>90</v>
      </c>
      <c r="N5882">
        <v>0</v>
      </c>
      <c r="O5882">
        <v>90</v>
      </c>
      <c r="P5882">
        <v>0</v>
      </c>
    </row>
    <row r="5883" spans="1:16" x14ac:dyDescent="0.25">
      <c r="A5883" t="s">
        <v>28300</v>
      </c>
      <c r="B5883" t="s">
        <v>4853</v>
      </c>
      <c r="C5883" t="s">
        <v>4854</v>
      </c>
      <c r="D5883" t="s">
        <v>1734</v>
      </c>
      <c r="E5883" t="s">
        <v>1735</v>
      </c>
      <c r="F5883" t="s">
        <v>52</v>
      </c>
      <c r="G5883" t="s">
        <v>16231</v>
      </c>
      <c r="H5883" t="s">
        <v>47054</v>
      </c>
      <c r="I5883" t="s">
        <v>47111</v>
      </c>
      <c r="J5883" t="s">
        <v>47112</v>
      </c>
      <c r="K5883" t="s">
        <v>47113</v>
      </c>
      <c r="L5883">
        <v>42.01</v>
      </c>
      <c r="M5883">
        <v>103</v>
      </c>
      <c r="N5883">
        <v>0</v>
      </c>
      <c r="O5883">
        <v>103</v>
      </c>
      <c r="P5883">
        <v>0</v>
      </c>
    </row>
    <row r="5884" spans="1:16" x14ac:dyDescent="0.25">
      <c r="A5884" t="s">
        <v>28301</v>
      </c>
      <c r="B5884" t="s">
        <v>4853</v>
      </c>
      <c r="C5884" t="s">
        <v>4854</v>
      </c>
      <c r="D5884" t="s">
        <v>1774</v>
      </c>
      <c r="E5884" t="s">
        <v>1775</v>
      </c>
      <c r="F5884" t="s">
        <v>52</v>
      </c>
      <c r="G5884" t="s">
        <v>16231</v>
      </c>
      <c r="H5884" t="s">
        <v>47054</v>
      </c>
      <c r="I5884" t="s">
        <v>47111</v>
      </c>
      <c r="J5884" t="s">
        <v>47112</v>
      </c>
      <c r="K5884" t="s">
        <v>47113</v>
      </c>
      <c r="L5884">
        <v>38.19</v>
      </c>
      <c r="M5884">
        <v>106</v>
      </c>
      <c r="N5884">
        <v>0</v>
      </c>
      <c r="O5884">
        <v>106</v>
      </c>
      <c r="P5884">
        <v>0</v>
      </c>
    </row>
    <row r="5885" spans="1:16" x14ac:dyDescent="0.25">
      <c r="A5885" t="s">
        <v>28302</v>
      </c>
      <c r="B5885" t="s">
        <v>4857</v>
      </c>
      <c r="C5885" t="s">
        <v>4858</v>
      </c>
      <c r="D5885" t="s">
        <v>4855</v>
      </c>
      <c r="E5885" t="s">
        <v>4856</v>
      </c>
      <c r="F5885" t="s">
        <v>52</v>
      </c>
      <c r="G5885" t="s">
        <v>16231</v>
      </c>
      <c r="H5885" t="s">
        <v>47054</v>
      </c>
      <c r="I5885" t="s">
        <v>47111</v>
      </c>
      <c r="J5885" t="s">
        <v>47112</v>
      </c>
      <c r="K5885" t="s">
        <v>47113</v>
      </c>
      <c r="L5885">
        <v>57.91</v>
      </c>
      <c r="M5885">
        <v>135</v>
      </c>
      <c r="N5885">
        <v>0</v>
      </c>
      <c r="O5885">
        <v>135</v>
      </c>
      <c r="P5885">
        <v>0</v>
      </c>
    </row>
    <row r="5886" spans="1:16" x14ac:dyDescent="0.25">
      <c r="A5886" t="s">
        <v>28303</v>
      </c>
      <c r="B5886" t="s">
        <v>4857</v>
      </c>
      <c r="C5886" t="s">
        <v>4858</v>
      </c>
      <c r="D5886" t="s">
        <v>1737</v>
      </c>
      <c r="E5886" t="s">
        <v>1738</v>
      </c>
      <c r="F5886" t="s">
        <v>52</v>
      </c>
      <c r="G5886" t="s">
        <v>16231</v>
      </c>
      <c r="H5886" t="s">
        <v>47054</v>
      </c>
      <c r="I5886" t="s">
        <v>47111</v>
      </c>
      <c r="J5886" t="s">
        <v>47112</v>
      </c>
      <c r="K5886" t="s">
        <v>47113</v>
      </c>
      <c r="L5886">
        <v>57.91</v>
      </c>
      <c r="M5886">
        <v>135</v>
      </c>
      <c r="N5886">
        <v>0</v>
      </c>
      <c r="O5886">
        <v>135</v>
      </c>
      <c r="P5886">
        <v>0</v>
      </c>
    </row>
    <row r="5887" spans="1:16" x14ac:dyDescent="0.25">
      <c r="A5887" t="s">
        <v>28304</v>
      </c>
      <c r="B5887" t="s">
        <v>4857</v>
      </c>
      <c r="C5887" t="s">
        <v>4858</v>
      </c>
      <c r="D5887" t="s">
        <v>1734</v>
      </c>
      <c r="E5887" t="s">
        <v>1735</v>
      </c>
      <c r="F5887" t="s">
        <v>52</v>
      </c>
      <c r="G5887" t="s">
        <v>16231</v>
      </c>
      <c r="H5887" t="s">
        <v>47054</v>
      </c>
      <c r="I5887" t="s">
        <v>47111</v>
      </c>
      <c r="J5887" t="s">
        <v>47112</v>
      </c>
      <c r="K5887" t="s">
        <v>47113</v>
      </c>
      <c r="L5887">
        <v>57.06</v>
      </c>
      <c r="M5887">
        <v>140</v>
      </c>
      <c r="N5887">
        <v>0</v>
      </c>
      <c r="O5887">
        <v>140</v>
      </c>
      <c r="P5887">
        <v>0</v>
      </c>
    </row>
    <row r="5888" spans="1:16" x14ac:dyDescent="0.25">
      <c r="A5888" t="s">
        <v>28305</v>
      </c>
      <c r="B5888" t="s">
        <v>4859</v>
      </c>
      <c r="C5888" t="s">
        <v>4833</v>
      </c>
      <c r="D5888" t="s">
        <v>4860</v>
      </c>
      <c r="E5888" t="s">
        <v>4861</v>
      </c>
      <c r="F5888" t="s">
        <v>56</v>
      </c>
      <c r="G5888" t="s">
        <v>16231</v>
      </c>
      <c r="H5888" t="s">
        <v>47054</v>
      </c>
      <c r="I5888" t="s">
        <v>47111</v>
      </c>
      <c r="J5888" t="s">
        <v>47112</v>
      </c>
      <c r="K5888" t="s">
        <v>47113</v>
      </c>
      <c r="L5888">
        <v>61.85</v>
      </c>
      <c r="M5888">
        <v>143</v>
      </c>
      <c r="N5888">
        <v>0</v>
      </c>
      <c r="O5888">
        <v>143</v>
      </c>
      <c r="P5888">
        <v>0</v>
      </c>
    </row>
    <row r="5889" spans="1:16" x14ac:dyDescent="0.25">
      <c r="A5889" t="s">
        <v>28306</v>
      </c>
      <c r="B5889" t="s">
        <v>4859</v>
      </c>
      <c r="C5889" t="s">
        <v>4833</v>
      </c>
      <c r="D5889" t="s">
        <v>4862</v>
      </c>
      <c r="E5889" t="s">
        <v>4863</v>
      </c>
      <c r="F5889" t="s">
        <v>56</v>
      </c>
      <c r="G5889" t="s">
        <v>16231</v>
      </c>
      <c r="H5889" t="s">
        <v>47054</v>
      </c>
      <c r="I5889" t="s">
        <v>47111</v>
      </c>
      <c r="J5889" t="s">
        <v>47112</v>
      </c>
      <c r="K5889" t="s">
        <v>47113</v>
      </c>
      <c r="L5889">
        <v>65.27</v>
      </c>
      <c r="M5889">
        <v>152</v>
      </c>
      <c r="N5889">
        <v>0</v>
      </c>
      <c r="O5889">
        <v>152</v>
      </c>
      <c r="P5889">
        <v>0</v>
      </c>
    </row>
    <row r="5890" spans="1:16" x14ac:dyDescent="0.25">
      <c r="A5890" t="s">
        <v>28307</v>
      </c>
      <c r="B5890" t="s">
        <v>4864</v>
      </c>
      <c r="C5890" t="s">
        <v>4865</v>
      </c>
      <c r="D5890" t="s">
        <v>27</v>
      </c>
      <c r="E5890" t="s">
        <v>622</v>
      </c>
      <c r="F5890" t="s">
        <v>1717</v>
      </c>
      <c r="G5890" t="s">
        <v>16231</v>
      </c>
      <c r="H5890" t="s">
        <v>47054</v>
      </c>
      <c r="I5890" t="s">
        <v>47111</v>
      </c>
      <c r="J5890" t="s">
        <v>47112</v>
      </c>
      <c r="K5890" t="s">
        <v>47113</v>
      </c>
      <c r="L5890">
        <v>49.22</v>
      </c>
      <c r="M5890">
        <v>126</v>
      </c>
      <c r="N5890">
        <v>0</v>
      </c>
      <c r="O5890">
        <v>126</v>
      </c>
      <c r="P5890">
        <v>0</v>
      </c>
    </row>
    <row r="5891" spans="1:16" x14ac:dyDescent="0.25">
      <c r="A5891" t="s">
        <v>28308</v>
      </c>
      <c r="B5891" t="s">
        <v>4864</v>
      </c>
      <c r="C5891" t="s">
        <v>4865</v>
      </c>
      <c r="D5891" t="str">
        <f>"89"</f>
        <v>89</v>
      </c>
      <c r="E5891" t="s">
        <v>1732</v>
      </c>
      <c r="F5891" t="s">
        <v>8</v>
      </c>
      <c r="G5891" t="s">
        <v>16231</v>
      </c>
      <c r="H5891" t="s">
        <v>47054</v>
      </c>
      <c r="I5891" t="s">
        <v>47111</v>
      </c>
      <c r="J5891" t="s">
        <v>47112</v>
      </c>
      <c r="K5891" t="s">
        <v>47113</v>
      </c>
      <c r="L5891">
        <v>47.43</v>
      </c>
      <c r="M5891">
        <v>127</v>
      </c>
      <c r="N5891">
        <v>0</v>
      </c>
      <c r="O5891">
        <v>127</v>
      </c>
      <c r="P5891">
        <v>0</v>
      </c>
    </row>
    <row r="5892" spans="1:16" x14ac:dyDescent="0.25">
      <c r="A5892" t="s">
        <v>28309</v>
      </c>
      <c r="B5892" t="s">
        <v>4864</v>
      </c>
      <c r="C5892" t="s">
        <v>4865</v>
      </c>
      <c r="D5892" t="s">
        <v>1703</v>
      </c>
      <c r="E5892" t="s">
        <v>1704</v>
      </c>
      <c r="F5892" t="s">
        <v>631</v>
      </c>
      <c r="G5892" t="s">
        <v>16231</v>
      </c>
      <c r="H5892" t="s">
        <v>47054</v>
      </c>
      <c r="I5892" t="s">
        <v>47111</v>
      </c>
      <c r="J5892" t="s">
        <v>47112</v>
      </c>
      <c r="K5892" t="s">
        <v>47113</v>
      </c>
      <c r="L5892">
        <v>49.04</v>
      </c>
      <c r="M5892">
        <v>109</v>
      </c>
      <c r="N5892">
        <v>0</v>
      </c>
      <c r="O5892">
        <v>109</v>
      </c>
      <c r="P5892">
        <v>0</v>
      </c>
    </row>
    <row r="5893" spans="1:16" x14ac:dyDescent="0.25">
      <c r="A5893" t="s">
        <v>28310</v>
      </c>
      <c r="B5893" t="s">
        <v>4866</v>
      </c>
      <c r="C5893" t="s">
        <v>4867</v>
      </c>
      <c r="D5893" t="s">
        <v>27</v>
      </c>
      <c r="E5893" t="s">
        <v>622</v>
      </c>
      <c r="F5893" t="s">
        <v>296</v>
      </c>
      <c r="G5893" t="s">
        <v>16231</v>
      </c>
      <c r="H5893" t="s">
        <v>47054</v>
      </c>
      <c r="I5893" t="s">
        <v>47111</v>
      </c>
      <c r="J5893" t="s">
        <v>47112</v>
      </c>
      <c r="K5893" t="s">
        <v>47113</v>
      </c>
      <c r="L5893">
        <v>34.56</v>
      </c>
      <c r="M5893">
        <v>88</v>
      </c>
      <c r="N5893">
        <v>0</v>
      </c>
      <c r="O5893">
        <v>88</v>
      </c>
      <c r="P5893">
        <v>0</v>
      </c>
    </row>
    <row r="5894" spans="1:16" x14ac:dyDescent="0.25">
      <c r="A5894" t="s">
        <v>28311</v>
      </c>
      <c r="B5894" t="s">
        <v>4868</v>
      </c>
      <c r="C5894" t="s">
        <v>4869</v>
      </c>
      <c r="D5894" t="s">
        <v>4870</v>
      </c>
      <c r="E5894" t="s">
        <v>4871</v>
      </c>
      <c r="F5894" t="s">
        <v>7</v>
      </c>
      <c r="G5894" t="s">
        <v>16231</v>
      </c>
      <c r="H5894" t="s">
        <v>47054</v>
      </c>
      <c r="I5894" t="s">
        <v>47111</v>
      </c>
      <c r="J5894" t="s">
        <v>47112</v>
      </c>
      <c r="K5894" t="s">
        <v>47113</v>
      </c>
      <c r="L5894">
        <v>59.47</v>
      </c>
      <c r="M5894">
        <v>136</v>
      </c>
      <c r="N5894">
        <v>0</v>
      </c>
      <c r="O5894">
        <v>136</v>
      </c>
      <c r="P5894">
        <v>0</v>
      </c>
    </row>
    <row r="5895" spans="1:16" x14ac:dyDescent="0.25">
      <c r="A5895" t="s">
        <v>28312</v>
      </c>
      <c r="B5895" t="s">
        <v>4868</v>
      </c>
      <c r="C5895" t="s">
        <v>4869</v>
      </c>
      <c r="D5895" t="s">
        <v>294</v>
      </c>
      <c r="E5895" t="s">
        <v>295</v>
      </c>
      <c r="F5895" t="s">
        <v>7</v>
      </c>
      <c r="G5895" t="s">
        <v>16231</v>
      </c>
      <c r="H5895" t="s">
        <v>47054</v>
      </c>
      <c r="I5895" t="s">
        <v>47111</v>
      </c>
      <c r="J5895" t="s">
        <v>47112</v>
      </c>
      <c r="K5895" t="s">
        <v>47113</v>
      </c>
      <c r="L5895">
        <v>59.56</v>
      </c>
      <c r="M5895">
        <v>143</v>
      </c>
      <c r="N5895">
        <v>0</v>
      </c>
      <c r="O5895">
        <v>143</v>
      </c>
      <c r="P5895">
        <v>0</v>
      </c>
    </row>
    <row r="5896" spans="1:16" x14ac:dyDescent="0.25">
      <c r="A5896" t="s">
        <v>28313</v>
      </c>
      <c r="B5896" t="s">
        <v>4868</v>
      </c>
      <c r="C5896" t="s">
        <v>4869</v>
      </c>
      <c r="D5896" t="s">
        <v>1743</v>
      </c>
      <c r="E5896" t="s">
        <v>1744</v>
      </c>
      <c r="F5896" t="s">
        <v>7</v>
      </c>
      <c r="G5896" t="s">
        <v>16231</v>
      </c>
      <c r="H5896" t="s">
        <v>47054</v>
      </c>
      <c r="I5896" t="s">
        <v>47111</v>
      </c>
      <c r="J5896" t="s">
        <v>47112</v>
      </c>
      <c r="K5896" t="s">
        <v>47113</v>
      </c>
      <c r="L5896">
        <v>57.6</v>
      </c>
      <c r="M5896">
        <v>144</v>
      </c>
      <c r="N5896">
        <v>0</v>
      </c>
      <c r="O5896">
        <v>144</v>
      </c>
      <c r="P5896">
        <v>0</v>
      </c>
    </row>
    <row r="5897" spans="1:16" x14ac:dyDescent="0.25">
      <c r="A5897" t="s">
        <v>28314</v>
      </c>
      <c r="B5897" t="s">
        <v>4872</v>
      </c>
      <c r="C5897" t="s">
        <v>4869</v>
      </c>
      <c r="D5897" t="s">
        <v>4870</v>
      </c>
      <c r="E5897" t="s">
        <v>4871</v>
      </c>
      <c r="F5897" t="s">
        <v>296</v>
      </c>
      <c r="G5897" t="s">
        <v>16231</v>
      </c>
      <c r="H5897" t="s">
        <v>47054</v>
      </c>
      <c r="I5897" t="s">
        <v>47114</v>
      </c>
      <c r="J5897" t="s">
        <v>47115</v>
      </c>
      <c r="K5897" t="s">
        <v>47113</v>
      </c>
      <c r="L5897">
        <v>59.51</v>
      </c>
      <c r="M5897">
        <v>156</v>
      </c>
      <c r="N5897">
        <v>0</v>
      </c>
      <c r="O5897">
        <v>156</v>
      </c>
      <c r="P5897">
        <v>0</v>
      </c>
    </row>
    <row r="5898" spans="1:16" x14ac:dyDescent="0.25">
      <c r="A5898" t="s">
        <v>28315</v>
      </c>
      <c r="B5898" t="s">
        <v>4873</v>
      </c>
      <c r="C5898" t="s">
        <v>4869</v>
      </c>
      <c r="D5898" t="s">
        <v>1743</v>
      </c>
      <c r="E5898" t="s">
        <v>1744</v>
      </c>
      <c r="F5898" t="s">
        <v>7</v>
      </c>
      <c r="G5898" t="s">
        <v>16231</v>
      </c>
      <c r="H5898" t="s">
        <v>47054</v>
      </c>
      <c r="I5898" t="s">
        <v>47111</v>
      </c>
      <c r="J5898" t="s">
        <v>47112</v>
      </c>
      <c r="K5898" t="s">
        <v>47113</v>
      </c>
      <c r="L5898">
        <v>58.66</v>
      </c>
      <c r="M5898">
        <v>152</v>
      </c>
      <c r="N5898">
        <v>0</v>
      </c>
      <c r="O5898">
        <v>152</v>
      </c>
      <c r="P5898">
        <v>0</v>
      </c>
    </row>
    <row r="5899" spans="1:16" x14ac:dyDescent="0.25">
      <c r="A5899" t="s">
        <v>28316</v>
      </c>
      <c r="B5899" t="s">
        <v>4874</v>
      </c>
      <c r="C5899" t="s">
        <v>1742</v>
      </c>
      <c r="D5899" t="s">
        <v>1734</v>
      </c>
      <c r="E5899" t="s">
        <v>1735</v>
      </c>
      <c r="F5899" t="s">
        <v>52</v>
      </c>
      <c r="G5899" t="s">
        <v>16231</v>
      </c>
      <c r="H5899" t="s">
        <v>47054</v>
      </c>
      <c r="I5899" t="s">
        <v>47111</v>
      </c>
      <c r="J5899" t="s">
        <v>47112</v>
      </c>
      <c r="K5899" t="s">
        <v>47113</v>
      </c>
      <c r="L5899">
        <v>52.97</v>
      </c>
      <c r="M5899">
        <v>130</v>
      </c>
      <c r="N5899">
        <v>0</v>
      </c>
      <c r="O5899">
        <v>130</v>
      </c>
      <c r="P5899">
        <v>0</v>
      </c>
    </row>
    <row r="5900" spans="1:16" x14ac:dyDescent="0.25">
      <c r="A5900" t="s">
        <v>28317</v>
      </c>
      <c r="B5900" t="s">
        <v>4874</v>
      </c>
      <c r="C5900" t="s">
        <v>1742</v>
      </c>
      <c r="D5900" t="s">
        <v>1774</v>
      </c>
      <c r="E5900" t="s">
        <v>1775</v>
      </c>
      <c r="F5900" t="s">
        <v>52</v>
      </c>
      <c r="G5900" t="s">
        <v>16231</v>
      </c>
      <c r="H5900" t="s">
        <v>47054</v>
      </c>
      <c r="I5900" t="s">
        <v>47111</v>
      </c>
      <c r="J5900" t="s">
        <v>47112</v>
      </c>
      <c r="K5900" t="s">
        <v>47113</v>
      </c>
      <c r="L5900">
        <v>45.59</v>
      </c>
      <c r="M5900">
        <v>133</v>
      </c>
      <c r="N5900">
        <v>0</v>
      </c>
      <c r="O5900">
        <v>133</v>
      </c>
      <c r="P5900">
        <v>0</v>
      </c>
    </row>
    <row r="5901" spans="1:16" x14ac:dyDescent="0.25">
      <c r="A5901" t="s">
        <v>28318</v>
      </c>
      <c r="B5901" t="s">
        <v>4875</v>
      </c>
      <c r="C5901" t="s">
        <v>4876</v>
      </c>
      <c r="D5901" t="s">
        <v>4877</v>
      </c>
      <c r="E5901" t="s">
        <v>4878</v>
      </c>
      <c r="F5901" t="s">
        <v>6</v>
      </c>
      <c r="G5901" t="s">
        <v>16231</v>
      </c>
      <c r="H5901" t="s">
        <v>47054</v>
      </c>
      <c r="I5901" t="s">
        <v>47111</v>
      </c>
      <c r="J5901" t="s">
        <v>47112</v>
      </c>
      <c r="K5901" t="s">
        <v>47113</v>
      </c>
      <c r="L5901">
        <v>55.62</v>
      </c>
      <c r="M5901">
        <v>130</v>
      </c>
      <c r="N5901">
        <v>0</v>
      </c>
      <c r="O5901">
        <v>130</v>
      </c>
      <c r="P5901">
        <v>0</v>
      </c>
    </row>
    <row r="5902" spans="1:16" x14ac:dyDescent="0.25">
      <c r="A5902" t="s">
        <v>28319</v>
      </c>
      <c r="B5902" t="s">
        <v>4879</v>
      </c>
      <c r="C5902" t="s">
        <v>4880</v>
      </c>
      <c r="D5902" t="s">
        <v>2399</v>
      </c>
      <c r="E5902" t="s">
        <v>2400</v>
      </c>
      <c r="F5902" t="s">
        <v>5</v>
      </c>
      <c r="G5902" t="s">
        <v>16231</v>
      </c>
      <c r="H5902" t="s">
        <v>47054</v>
      </c>
      <c r="I5902" t="s">
        <v>47111</v>
      </c>
      <c r="J5902" t="s">
        <v>47112</v>
      </c>
      <c r="K5902" t="s">
        <v>47113</v>
      </c>
      <c r="L5902">
        <v>35.369999999999997</v>
      </c>
      <c r="M5902">
        <v>77</v>
      </c>
      <c r="N5902">
        <v>0</v>
      </c>
      <c r="O5902">
        <v>77</v>
      </c>
      <c r="P5902">
        <v>0</v>
      </c>
    </row>
    <row r="5903" spans="1:16" x14ac:dyDescent="0.25">
      <c r="A5903" t="s">
        <v>28320</v>
      </c>
      <c r="B5903" t="s">
        <v>4879</v>
      </c>
      <c r="C5903" t="s">
        <v>4880</v>
      </c>
      <c r="D5903" t="s">
        <v>311</v>
      </c>
      <c r="E5903" t="s">
        <v>3479</v>
      </c>
      <c r="F5903" t="s">
        <v>5</v>
      </c>
      <c r="G5903" t="s">
        <v>16231</v>
      </c>
      <c r="H5903" t="s">
        <v>47054</v>
      </c>
      <c r="I5903" t="s">
        <v>47111</v>
      </c>
      <c r="J5903" t="s">
        <v>47112</v>
      </c>
      <c r="K5903" t="s">
        <v>47113</v>
      </c>
      <c r="L5903">
        <v>29.18</v>
      </c>
      <c r="M5903">
        <v>69</v>
      </c>
      <c r="N5903">
        <v>0</v>
      </c>
      <c r="O5903">
        <v>69</v>
      </c>
      <c r="P5903">
        <v>0</v>
      </c>
    </row>
    <row r="5904" spans="1:16" x14ac:dyDescent="0.25">
      <c r="A5904" t="s">
        <v>28321</v>
      </c>
      <c r="B5904" t="s">
        <v>4879</v>
      </c>
      <c r="C5904" t="s">
        <v>4880</v>
      </c>
      <c r="D5904" t="s">
        <v>921</v>
      </c>
      <c r="E5904" t="s">
        <v>922</v>
      </c>
      <c r="F5904" t="s">
        <v>5</v>
      </c>
      <c r="G5904" t="s">
        <v>16231</v>
      </c>
      <c r="H5904" t="s">
        <v>47054</v>
      </c>
      <c r="I5904" t="s">
        <v>47111</v>
      </c>
      <c r="J5904" t="s">
        <v>47112</v>
      </c>
      <c r="K5904" t="s">
        <v>47113</v>
      </c>
      <c r="L5904">
        <v>34.799999999999997</v>
      </c>
      <c r="M5904">
        <v>77</v>
      </c>
      <c r="N5904">
        <v>0</v>
      </c>
      <c r="O5904">
        <v>77</v>
      </c>
      <c r="P5904">
        <v>0</v>
      </c>
    </row>
    <row r="5905" spans="1:16" x14ac:dyDescent="0.25">
      <c r="A5905" t="s">
        <v>28322</v>
      </c>
      <c r="B5905" t="s">
        <v>4881</v>
      </c>
      <c r="C5905" t="s">
        <v>4882</v>
      </c>
      <c r="D5905" t="s">
        <v>4862</v>
      </c>
      <c r="E5905" t="s">
        <v>4863</v>
      </c>
      <c r="F5905" t="s">
        <v>56</v>
      </c>
      <c r="G5905" t="s">
        <v>16231</v>
      </c>
      <c r="H5905" t="s">
        <v>47054</v>
      </c>
      <c r="I5905" t="s">
        <v>47114</v>
      </c>
      <c r="J5905" t="s">
        <v>47115</v>
      </c>
      <c r="K5905" t="s">
        <v>47113</v>
      </c>
      <c r="L5905">
        <v>67.56</v>
      </c>
      <c r="M5905">
        <v>151</v>
      </c>
      <c r="N5905">
        <v>0</v>
      </c>
      <c r="O5905">
        <v>151</v>
      </c>
      <c r="P5905">
        <v>0</v>
      </c>
    </row>
    <row r="5906" spans="1:16" x14ac:dyDescent="0.25">
      <c r="A5906" t="s">
        <v>28323</v>
      </c>
      <c r="B5906" t="s">
        <v>4883</v>
      </c>
      <c r="C5906" t="s">
        <v>4882</v>
      </c>
      <c r="D5906" t="s">
        <v>4860</v>
      </c>
      <c r="E5906" t="s">
        <v>4861</v>
      </c>
      <c r="F5906" t="s">
        <v>56</v>
      </c>
      <c r="G5906" t="s">
        <v>16231</v>
      </c>
      <c r="H5906" t="s">
        <v>47054</v>
      </c>
      <c r="I5906" t="s">
        <v>47114</v>
      </c>
      <c r="J5906" t="s">
        <v>47115</v>
      </c>
      <c r="K5906" t="s">
        <v>47113</v>
      </c>
      <c r="L5906">
        <v>64.569999999999993</v>
      </c>
      <c r="M5906">
        <v>143</v>
      </c>
      <c r="N5906">
        <v>0</v>
      </c>
      <c r="O5906">
        <v>143</v>
      </c>
      <c r="P5906">
        <v>0</v>
      </c>
    </row>
    <row r="5907" spans="1:16" x14ac:dyDescent="0.25">
      <c r="A5907" t="s">
        <v>28324</v>
      </c>
      <c r="B5907" t="s">
        <v>4883</v>
      </c>
      <c r="C5907" t="s">
        <v>4882</v>
      </c>
      <c r="D5907" t="s">
        <v>4862</v>
      </c>
      <c r="E5907" t="s">
        <v>4863</v>
      </c>
      <c r="F5907" t="s">
        <v>56</v>
      </c>
      <c r="G5907" t="s">
        <v>16231</v>
      </c>
      <c r="H5907" t="s">
        <v>47054</v>
      </c>
      <c r="I5907" t="s">
        <v>47114</v>
      </c>
      <c r="J5907" t="s">
        <v>47115</v>
      </c>
      <c r="K5907" t="s">
        <v>47113</v>
      </c>
      <c r="L5907">
        <v>67.989999999999995</v>
      </c>
      <c r="M5907">
        <v>152</v>
      </c>
      <c r="N5907">
        <v>0</v>
      </c>
      <c r="O5907">
        <v>152</v>
      </c>
      <c r="P5907">
        <v>0</v>
      </c>
    </row>
    <row r="5908" spans="1:16" x14ac:dyDescent="0.25">
      <c r="A5908" t="s">
        <v>28325</v>
      </c>
      <c r="B5908" t="s">
        <v>4884</v>
      </c>
      <c r="C5908" t="s">
        <v>4885</v>
      </c>
      <c r="D5908" t="s">
        <v>2399</v>
      </c>
      <c r="E5908" t="s">
        <v>2400</v>
      </c>
      <c r="F5908" t="s">
        <v>5</v>
      </c>
      <c r="G5908" t="s">
        <v>16231</v>
      </c>
      <c r="H5908" t="s">
        <v>47054</v>
      </c>
      <c r="I5908" t="s">
        <v>47111</v>
      </c>
      <c r="J5908" t="s">
        <v>47112</v>
      </c>
      <c r="K5908" t="s">
        <v>47113</v>
      </c>
      <c r="L5908">
        <v>35.369999999999997</v>
      </c>
      <c r="M5908">
        <v>77</v>
      </c>
      <c r="N5908">
        <v>0</v>
      </c>
      <c r="O5908">
        <v>77</v>
      </c>
      <c r="P5908">
        <v>0</v>
      </c>
    </row>
    <row r="5909" spans="1:16" x14ac:dyDescent="0.25">
      <c r="A5909" t="s">
        <v>28326</v>
      </c>
      <c r="B5909" t="s">
        <v>4884</v>
      </c>
      <c r="C5909" t="s">
        <v>4885</v>
      </c>
      <c r="D5909" t="s">
        <v>311</v>
      </c>
      <c r="E5909" t="s">
        <v>3479</v>
      </c>
      <c r="F5909" t="s">
        <v>5</v>
      </c>
      <c r="G5909" t="s">
        <v>16231</v>
      </c>
      <c r="H5909" t="s">
        <v>47054</v>
      </c>
      <c r="I5909" t="s">
        <v>47111</v>
      </c>
      <c r="J5909" t="s">
        <v>47112</v>
      </c>
      <c r="K5909" t="s">
        <v>47113</v>
      </c>
      <c r="L5909">
        <v>29.18</v>
      </c>
      <c r="M5909">
        <v>69</v>
      </c>
      <c r="N5909">
        <v>0</v>
      </c>
      <c r="O5909">
        <v>69</v>
      </c>
      <c r="P5909">
        <v>0</v>
      </c>
    </row>
    <row r="5910" spans="1:16" x14ac:dyDescent="0.25">
      <c r="A5910" t="s">
        <v>28327</v>
      </c>
      <c r="B5910" t="s">
        <v>4884</v>
      </c>
      <c r="C5910" t="s">
        <v>4885</v>
      </c>
      <c r="D5910" t="s">
        <v>921</v>
      </c>
      <c r="E5910" t="s">
        <v>922</v>
      </c>
      <c r="F5910" t="s">
        <v>5</v>
      </c>
      <c r="G5910" t="s">
        <v>16231</v>
      </c>
      <c r="H5910" t="s">
        <v>47054</v>
      </c>
      <c r="I5910" t="s">
        <v>47111</v>
      </c>
      <c r="J5910" t="s">
        <v>47112</v>
      </c>
      <c r="K5910" t="s">
        <v>47113</v>
      </c>
      <c r="L5910">
        <v>34.799999999999997</v>
      </c>
      <c r="M5910">
        <v>77</v>
      </c>
      <c r="N5910">
        <v>0</v>
      </c>
      <c r="O5910">
        <v>77</v>
      </c>
      <c r="P5910">
        <v>0</v>
      </c>
    </row>
    <row r="5911" spans="1:16" x14ac:dyDescent="0.25">
      <c r="A5911" t="s">
        <v>28328</v>
      </c>
      <c r="B5911" t="s">
        <v>4886</v>
      </c>
      <c r="C5911" t="s">
        <v>4887</v>
      </c>
      <c r="D5911" t="s">
        <v>4888</v>
      </c>
      <c r="E5911" t="s">
        <v>4889</v>
      </c>
      <c r="F5911" t="s">
        <v>5</v>
      </c>
      <c r="G5911" t="s">
        <v>16231</v>
      </c>
      <c r="H5911" t="s">
        <v>47054</v>
      </c>
      <c r="I5911" t="s">
        <v>47111</v>
      </c>
      <c r="J5911" t="s">
        <v>47112</v>
      </c>
      <c r="K5911" t="s">
        <v>47113</v>
      </c>
      <c r="L5911">
        <v>52.35</v>
      </c>
      <c r="M5911">
        <v>123</v>
      </c>
      <c r="N5911">
        <v>0</v>
      </c>
      <c r="O5911">
        <v>123</v>
      </c>
      <c r="P5911">
        <v>0</v>
      </c>
    </row>
    <row r="5912" spans="1:16" x14ac:dyDescent="0.25">
      <c r="A5912" t="s">
        <v>28329</v>
      </c>
      <c r="B5912" t="s">
        <v>4886</v>
      </c>
      <c r="C5912" t="s">
        <v>4887</v>
      </c>
      <c r="D5912" t="s">
        <v>739</v>
      </c>
      <c r="E5912" t="s">
        <v>740</v>
      </c>
      <c r="F5912" t="s">
        <v>5</v>
      </c>
      <c r="G5912" t="s">
        <v>16231</v>
      </c>
      <c r="H5912" t="s">
        <v>47054</v>
      </c>
      <c r="I5912" t="s">
        <v>47111</v>
      </c>
      <c r="J5912" t="s">
        <v>47112</v>
      </c>
      <c r="K5912" t="s">
        <v>47113</v>
      </c>
      <c r="L5912">
        <v>40.64</v>
      </c>
      <c r="M5912">
        <v>96</v>
      </c>
      <c r="N5912">
        <v>0</v>
      </c>
      <c r="O5912">
        <v>96</v>
      </c>
      <c r="P5912">
        <v>0</v>
      </c>
    </row>
    <row r="5913" spans="1:16" x14ac:dyDescent="0.25">
      <c r="A5913" t="s">
        <v>28330</v>
      </c>
      <c r="B5913" t="s">
        <v>4890</v>
      </c>
      <c r="C5913" t="s">
        <v>4891</v>
      </c>
      <c r="D5913" t="s">
        <v>4892</v>
      </c>
      <c r="E5913" t="s">
        <v>4893</v>
      </c>
      <c r="F5913" t="s">
        <v>5</v>
      </c>
      <c r="G5913" t="s">
        <v>16231</v>
      </c>
      <c r="H5913" t="s">
        <v>47054</v>
      </c>
      <c r="I5913" t="s">
        <v>47111</v>
      </c>
      <c r="J5913" t="s">
        <v>47112</v>
      </c>
      <c r="K5913" t="s">
        <v>47113</v>
      </c>
      <c r="L5913">
        <v>51.98</v>
      </c>
      <c r="M5913">
        <v>115</v>
      </c>
      <c r="N5913">
        <v>0</v>
      </c>
      <c r="O5913">
        <v>115</v>
      </c>
      <c r="P5913">
        <v>0</v>
      </c>
    </row>
    <row r="5914" spans="1:16" x14ac:dyDescent="0.25">
      <c r="A5914" t="s">
        <v>28331</v>
      </c>
      <c r="B5914" t="s">
        <v>4890</v>
      </c>
      <c r="C5914" t="s">
        <v>4891</v>
      </c>
      <c r="D5914" t="s">
        <v>1734</v>
      </c>
      <c r="E5914" t="s">
        <v>1735</v>
      </c>
      <c r="F5914" t="s">
        <v>5</v>
      </c>
      <c r="G5914" t="s">
        <v>16231</v>
      </c>
      <c r="H5914" t="s">
        <v>47054</v>
      </c>
      <c r="I5914" t="s">
        <v>47111</v>
      </c>
      <c r="J5914" t="s">
        <v>47112</v>
      </c>
      <c r="K5914" t="s">
        <v>47113</v>
      </c>
      <c r="L5914">
        <v>47.51</v>
      </c>
      <c r="M5914">
        <v>107</v>
      </c>
      <c r="N5914">
        <v>0</v>
      </c>
      <c r="O5914">
        <v>107</v>
      </c>
      <c r="P5914">
        <v>0</v>
      </c>
    </row>
    <row r="5915" spans="1:16" x14ac:dyDescent="0.25">
      <c r="A5915" t="s">
        <v>28332</v>
      </c>
      <c r="B5915" t="s">
        <v>4894</v>
      </c>
      <c r="C5915" t="s">
        <v>4895</v>
      </c>
      <c r="D5915" t="s">
        <v>4896</v>
      </c>
      <c r="E5915" t="s">
        <v>4897</v>
      </c>
      <c r="F5915" t="s">
        <v>5</v>
      </c>
      <c r="G5915" t="s">
        <v>16231</v>
      </c>
      <c r="H5915" t="s">
        <v>47054</v>
      </c>
      <c r="I5915" t="s">
        <v>47111</v>
      </c>
      <c r="J5915" t="s">
        <v>47112</v>
      </c>
      <c r="K5915" t="s">
        <v>47113</v>
      </c>
      <c r="L5915">
        <v>59.88</v>
      </c>
      <c r="M5915">
        <v>134</v>
      </c>
      <c r="N5915">
        <v>0</v>
      </c>
      <c r="O5915">
        <v>134</v>
      </c>
      <c r="P5915">
        <v>0</v>
      </c>
    </row>
    <row r="5916" spans="1:16" x14ac:dyDescent="0.25">
      <c r="A5916" t="s">
        <v>28333</v>
      </c>
      <c r="B5916" t="s">
        <v>4894</v>
      </c>
      <c r="C5916" t="s">
        <v>4895</v>
      </c>
      <c r="D5916" t="s">
        <v>2079</v>
      </c>
      <c r="E5916" t="s">
        <v>2080</v>
      </c>
      <c r="F5916" t="s">
        <v>5</v>
      </c>
      <c r="G5916" t="s">
        <v>16231</v>
      </c>
      <c r="H5916" t="s">
        <v>47054</v>
      </c>
      <c r="I5916" t="s">
        <v>47111</v>
      </c>
      <c r="J5916" t="s">
        <v>47112</v>
      </c>
      <c r="K5916" t="s">
        <v>47113</v>
      </c>
      <c r="L5916">
        <v>53.56</v>
      </c>
      <c r="M5916">
        <v>123</v>
      </c>
      <c r="N5916">
        <v>0</v>
      </c>
      <c r="O5916">
        <v>123</v>
      </c>
      <c r="P5916">
        <v>0</v>
      </c>
    </row>
    <row r="5917" spans="1:16" x14ac:dyDescent="0.25">
      <c r="A5917" t="s">
        <v>28334</v>
      </c>
      <c r="B5917" t="s">
        <v>4898</v>
      </c>
      <c r="C5917" t="s">
        <v>4899</v>
      </c>
      <c r="D5917" t="s">
        <v>4896</v>
      </c>
      <c r="E5917" t="s">
        <v>4897</v>
      </c>
      <c r="F5917" t="s">
        <v>5</v>
      </c>
      <c r="G5917" t="s">
        <v>16231</v>
      </c>
      <c r="H5917" t="s">
        <v>47054</v>
      </c>
      <c r="I5917" t="s">
        <v>47111</v>
      </c>
      <c r="J5917" t="s">
        <v>47112</v>
      </c>
      <c r="K5917" t="s">
        <v>47113</v>
      </c>
      <c r="L5917">
        <v>59.88</v>
      </c>
      <c r="M5917">
        <v>134</v>
      </c>
      <c r="N5917">
        <v>0</v>
      </c>
      <c r="O5917">
        <v>134</v>
      </c>
      <c r="P5917">
        <v>0</v>
      </c>
    </row>
    <row r="5918" spans="1:16" x14ac:dyDescent="0.25">
      <c r="A5918" t="s">
        <v>28335</v>
      </c>
      <c r="B5918" t="s">
        <v>4898</v>
      </c>
      <c r="C5918" t="s">
        <v>4899</v>
      </c>
      <c r="D5918" t="s">
        <v>2079</v>
      </c>
      <c r="E5918" t="s">
        <v>2080</v>
      </c>
      <c r="F5918" t="s">
        <v>5</v>
      </c>
      <c r="G5918" t="s">
        <v>16231</v>
      </c>
      <c r="H5918" t="s">
        <v>47054</v>
      </c>
      <c r="I5918" t="s">
        <v>47111</v>
      </c>
      <c r="J5918" t="s">
        <v>47112</v>
      </c>
      <c r="K5918" t="s">
        <v>47113</v>
      </c>
      <c r="L5918">
        <v>53.56</v>
      </c>
      <c r="M5918">
        <v>123</v>
      </c>
      <c r="N5918">
        <v>0</v>
      </c>
      <c r="O5918">
        <v>123</v>
      </c>
      <c r="P5918">
        <v>0</v>
      </c>
    </row>
    <row r="5919" spans="1:16" x14ac:dyDescent="0.25">
      <c r="A5919" t="s">
        <v>28336</v>
      </c>
      <c r="B5919" t="s">
        <v>4900</v>
      </c>
      <c r="C5919" t="s">
        <v>4901</v>
      </c>
      <c r="D5919" t="s">
        <v>721</v>
      </c>
      <c r="E5919" t="s">
        <v>722</v>
      </c>
      <c r="F5919" t="s">
        <v>8</v>
      </c>
      <c r="G5919" t="s">
        <v>16231</v>
      </c>
      <c r="H5919" t="s">
        <v>47054</v>
      </c>
      <c r="I5919" t="s">
        <v>47111</v>
      </c>
      <c r="J5919" t="s">
        <v>47112</v>
      </c>
      <c r="K5919" t="s">
        <v>47113</v>
      </c>
      <c r="L5919">
        <v>33.619999999999997</v>
      </c>
      <c r="M5919">
        <v>91</v>
      </c>
      <c r="N5919">
        <v>0</v>
      </c>
      <c r="O5919">
        <v>91</v>
      </c>
      <c r="P5919">
        <v>0</v>
      </c>
    </row>
    <row r="5920" spans="1:16" x14ac:dyDescent="0.25">
      <c r="A5920" t="s">
        <v>28337</v>
      </c>
      <c r="B5920" t="s">
        <v>4900</v>
      </c>
      <c r="C5920" t="s">
        <v>4901</v>
      </c>
      <c r="D5920" t="s">
        <v>1703</v>
      </c>
      <c r="E5920" t="s">
        <v>1704</v>
      </c>
      <c r="F5920" t="s">
        <v>8</v>
      </c>
      <c r="G5920" t="s">
        <v>16231</v>
      </c>
      <c r="H5920" t="s">
        <v>47054</v>
      </c>
      <c r="I5920" t="s">
        <v>47111</v>
      </c>
      <c r="J5920" t="s">
        <v>47112</v>
      </c>
      <c r="K5920" t="s">
        <v>47113</v>
      </c>
      <c r="L5920">
        <v>41.87</v>
      </c>
      <c r="M5920">
        <v>103</v>
      </c>
      <c r="N5920">
        <v>0</v>
      </c>
      <c r="O5920">
        <v>103</v>
      </c>
      <c r="P5920">
        <v>0</v>
      </c>
    </row>
    <row r="5921" spans="1:16" x14ac:dyDescent="0.25">
      <c r="A5921" t="s">
        <v>28338</v>
      </c>
      <c r="B5921" t="s">
        <v>4902</v>
      </c>
      <c r="C5921" t="s">
        <v>4903</v>
      </c>
      <c r="D5921" t="s">
        <v>4824</v>
      </c>
      <c r="E5921" t="s">
        <v>4825</v>
      </c>
      <c r="F5921" t="s">
        <v>4</v>
      </c>
      <c r="G5921" t="s">
        <v>16231</v>
      </c>
      <c r="H5921" t="s">
        <v>47054</v>
      </c>
      <c r="I5921" t="s">
        <v>47111</v>
      </c>
      <c r="J5921" t="s">
        <v>47112</v>
      </c>
      <c r="K5921" t="s">
        <v>47113</v>
      </c>
      <c r="L5921">
        <v>53.83</v>
      </c>
      <c r="M5921">
        <v>103</v>
      </c>
      <c r="N5921">
        <v>0</v>
      </c>
      <c r="O5921">
        <v>103</v>
      </c>
      <c r="P5921">
        <v>0</v>
      </c>
    </row>
    <row r="5922" spans="1:16" x14ac:dyDescent="0.25">
      <c r="A5922" t="s">
        <v>28339</v>
      </c>
      <c r="B5922" t="s">
        <v>4902</v>
      </c>
      <c r="C5922" t="s">
        <v>4903</v>
      </c>
      <c r="D5922" t="s">
        <v>4826</v>
      </c>
      <c r="E5922" t="s">
        <v>4827</v>
      </c>
      <c r="F5922" t="s">
        <v>4</v>
      </c>
      <c r="G5922" t="s">
        <v>16231</v>
      </c>
      <c r="H5922" t="s">
        <v>47054</v>
      </c>
      <c r="I5922" t="s">
        <v>47111</v>
      </c>
      <c r="J5922" t="s">
        <v>47112</v>
      </c>
      <c r="K5922" t="s">
        <v>47113</v>
      </c>
      <c r="L5922">
        <v>58.34</v>
      </c>
      <c r="M5922">
        <v>115</v>
      </c>
      <c r="N5922">
        <v>0</v>
      </c>
      <c r="O5922">
        <v>115</v>
      </c>
      <c r="P5922">
        <v>0</v>
      </c>
    </row>
    <row r="5923" spans="1:16" x14ac:dyDescent="0.25">
      <c r="A5923" t="s">
        <v>28340</v>
      </c>
      <c r="B5923" t="s">
        <v>4904</v>
      </c>
      <c r="C5923" t="s">
        <v>4905</v>
      </c>
      <c r="D5923" t="s">
        <v>2450</v>
      </c>
      <c r="E5923" t="s">
        <v>2451</v>
      </c>
      <c r="F5923" t="s">
        <v>4</v>
      </c>
      <c r="G5923" t="s">
        <v>16231</v>
      </c>
      <c r="H5923" t="s">
        <v>47054</v>
      </c>
      <c r="I5923" t="s">
        <v>47111</v>
      </c>
      <c r="J5923" t="s">
        <v>47112</v>
      </c>
      <c r="K5923" t="s">
        <v>47113</v>
      </c>
      <c r="L5923">
        <v>63.86</v>
      </c>
      <c r="M5923">
        <v>156</v>
      </c>
      <c r="N5923">
        <v>0</v>
      </c>
      <c r="O5923">
        <v>156</v>
      </c>
      <c r="P5923">
        <v>0</v>
      </c>
    </row>
    <row r="5924" spans="1:16" x14ac:dyDescent="0.25">
      <c r="A5924" t="s">
        <v>28341</v>
      </c>
      <c r="B5924" t="s">
        <v>4906</v>
      </c>
      <c r="C5924" t="s">
        <v>4907</v>
      </c>
      <c r="D5924" t="s">
        <v>721</v>
      </c>
      <c r="E5924" t="s">
        <v>722</v>
      </c>
      <c r="F5924" t="s">
        <v>631</v>
      </c>
      <c r="G5924" t="s">
        <v>16231</v>
      </c>
      <c r="H5924" t="s">
        <v>47054</v>
      </c>
      <c r="I5924" t="s">
        <v>47111</v>
      </c>
      <c r="J5924" t="s">
        <v>47112</v>
      </c>
      <c r="K5924" t="s">
        <v>47113</v>
      </c>
      <c r="L5924">
        <v>40.97</v>
      </c>
      <c r="M5924">
        <v>92</v>
      </c>
      <c r="N5924">
        <v>0</v>
      </c>
      <c r="O5924">
        <v>92</v>
      </c>
      <c r="P5924">
        <v>0</v>
      </c>
    </row>
    <row r="5925" spans="1:16" x14ac:dyDescent="0.25">
      <c r="A5925" t="s">
        <v>28342</v>
      </c>
      <c r="B5925" t="s">
        <v>4908</v>
      </c>
      <c r="C5925" t="s">
        <v>4909</v>
      </c>
      <c r="D5925" t="s">
        <v>2108</v>
      </c>
      <c r="E5925" t="s">
        <v>2109</v>
      </c>
      <c r="F5925" t="s">
        <v>52</v>
      </c>
      <c r="G5925" t="s">
        <v>16231</v>
      </c>
      <c r="H5925" t="s">
        <v>47054</v>
      </c>
      <c r="I5925" t="s">
        <v>47114</v>
      </c>
      <c r="J5925" t="s">
        <v>47115</v>
      </c>
      <c r="K5925" t="s">
        <v>47113</v>
      </c>
      <c r="L5925">
        <v>73.790000000000006</v>
      </c>
      <c r="M5925">
        <v>189</v>
      </c>
      <c r="N5925">
        <v>0</v>
      </c>
      <c r="O5925">
        <v>189</v>
      </c>
      <c r="P5925">
        <v>0</v>
      </c>
    </row>
    <row r="5926" spans="1:16" x14ac:dyDescent="0.25">
      <c r="A5926" t="s">
        <v>28343</v>
      </c>
      <c r="B5926" t="s">
        <v>4908</v>
      </c>
      <c r="C5926" t="s">
        <v>4909</v>
      </c>
      <c r="D5926" t="s">
        <v>1792</v>
      </c>
      <c r="E5926" t="s">
        <v>1793</v>
      </c>
      <c r="F5926" t="s">
        <v>52</v>
      </c>
      <c r="G5926" t="s">
        <v>16231</v>
      </c>
      <c r="H5926" t="s">
        <v>47054</v>
      </c>
      <c r="I5926" t="s">
        <v>47114</v>
      </c>
      <c r="J5926" t="s">
        <v>47115</v>
      </c>
      <c r="K5926" t="s">
        <v>47113</v>
      </c>
      <c r="L5926">
        <v>71.819999999999993</v>
      </c>
      <c r="M5926">
        <v>175</v>
      </c>
      <c r="N5926">
        <v>0</v>
      </c>
      <c r="O5926">
        <v>175</v>
      </c>
      <c r="P5926">
        <v>0</v>
      </c>
    </row>
    <row r="5927" spans="1:16" x14ac:dyDescent="0.25">
      <c r="A5927" t="s">
        <v>28344</v>
      </c>
      <c r="B5927" t="s">
        <v>4910</v>
      </c>
      <c r="C5927" t="s">
        <v>4911</v>
      </c>
      <c r="D5927" t="s">
        <v>721</v>
      </c>
      <c r="E5927" t="s">
        <v>722</v>
      </c>
      <c r="F5927" t="s">
        <v>8</v>
      </c>
      <c r="G5927" t="s">
        <v>16231</v>
      </c>
      <c r="H5927" t="s">
        <v>47054</v>
      </c>
      <c r="I5927" t="s">
        <v>47111</v>
      </c>
      <c r="J5927" t="s">
        <v>47112</v>
      </c>
      <c r="K5927" t="s">
        <v>47113</v>
      </c>
      <c r="L5927">
        <v>34.93</v>
      </c>
      <c r="M5927">
        <v>91</v>
      </c>
      <c r="N5927">
        <v>0</v>
      </c>
      <c r="O5927">
        <v>91</v>
      </c>
      <c r="P5927">
        <v>0</v>
      </c>
    </row>
    <row r="5928" spans="1:16" x14ac:dyDescent="0.25">
      <c r="A5928" t="s">
        <v>28345</v>
      </c>
      <c r="B5928" t="s">
        <v>4910</v>
      </c>
      <c r="C5928" t="s">
        <v>4911</v>
      </c>
      <c r="D5928" t="s">
        <v>1703</v>
      </c>
      <c r="E5928" t="s">
        <v>1704</v>
      </c>
      <c r="F5928" t="s">
        <v>8</v>
      </c>
      <c r="G5928" t="s">
        <v>16231</v>
      </c>
      <c r="H5928" t="s">
        <v>47054</v>
      </c>
      <c r="I5928" t="s">
        <v>47111</v>
      </c>
      <c r="J5928" t="s">
        <v>47112</v>
      </c>
      <c r="K5928" t="s">
        <v>47113</v>
      </c>
      <c r="L5928">
        <v>43.18</v>
      </c>
      <c r="M5928">
        <v>113</v>
      </c>
      <c r="N5928">
        <v>0</v>
      </c>
      <c r="O5928">
        <v>113</v>
      </c>
      <c r="P5928">
        <v>0</v>
      </c>
    </row>
    <row r="5929" spans="1:16" x14ac:dyDescent="0.25">
      <c r="A5929" t="s">
        <v>28346</v>
      </c>
      <c r="B5929" t="s">
        <v>4910</v>
      </c>
      <c r="C5929" t="s">
        <v>4911</v>
      </c>
      <c r="D5929" t="s">
        <v>1722</v>
      </c>
      <c r="E5929" t="s">
        <v>1723</v>
      </c>
      <c r="F5929" t="s">
        <v>8</v>
      </c>
      <c r="G5929" t="s">
        <v>16231</v>
      </c>
      <c r="H5929" t="s">
        <v>47054</v>
      </c>
      <c r="I5929" t="s">
        <v>47111</v>
      </c>
      <c r="J5929" t="s">
        <v>47112</v>
      </c>
      <c r="K5929" t="s">
        <v>47113</v>
      </c>
      <c r="L5929">
        <v>47.22</v>
      </c>
      <c r="M5929">
        <v>127</v>
      </c>
      <c r="N5929">
        <v>0</v>
      </c>
      <c r="O5929">
        <v>127</v>
      </c>
      <c r="P5929">
        <v>0</v>
      </c>
    </row>
    <row r="5930" spans="1:16" x14ac:dyDescent="0.25">
      <c r="A5930" t="s">
        <v>28347</v>
      </c>
      <c r="B5930" t="s">
        <v>4912</v>
      </c>
      <c r="C5930" t="s">
        <v>4913</v>
      </c>
      <c r="D5930" t="s">
        <v>4914</v>
      </c>
      <c r="E5930" t="s">
        <v>4915</v>
      </c>
      <c r="F5930" t="s">
        <v>631</v>
      </c>
      <c r="G5930" t="s">
        <v>16231</v>
      </c>
      <c r="H5930" t="s">
        <v>47054</v>
      </c>
      <c r="I5930" t="s">
        <v>47111</v>
      </c>
      <c r="J5930" t="s">
        <v>47112</v>
      </c>
      <c r="K5930" t="s">
        <v>47113</v>
      </c>
      <c r="L5930">
        <v>33.869999999999997</v>
      </c>
      <c r="M5930">
        <v>77</v>
      </c>
      <c r="N5930">
        <v>0</v>
      </c>
      <c r="O5930">
        <v>77</v>
      </c>
      <c r="P5930">
        <v>0</v>
      </c>
    </row>
    <row r="5931" spans="1:16" x14ac:dyDescent="0.25">
      <c r="A5931" t="s">
        <v>28348</v>
      </c>
      <c r="B5931" t="s">
        <v>4916</v>
      </c>
      <c r="C5931" t="s">
        <v>4917</v>
      </c>
      <c r="D5931" t="s">
        <v>2018</v>
      </c>
      <c r="E5931" t="s">
        <v>2019</v>
      </c>
      <c r="F5931" t="s">
        <v>8</v>
      </c>
      <c r="G5931" t="s">
        <v>16231</v>
      </c>
      <c r="H5931" t="s">
        <v>47054</v>
      </c>
      <c r="I5931" t="s">
        <v>47111</v>
      </c>
      <c r="J5931" t="s">
        <v>47112</v>
      </c>
      <c r="K5931" t="s">
        <v>47113</v>
      </c>
      <c r="L5931">
        <v>63.8</v>
      </c>
      <c r="M5931">
        <v>146</v>
      </c>
      <c r="N5931">
        <v>0</v>
      </c>
      <c r="O5931">
        <v>146</v>
      </c>
      <c r="P5931">
        <v>0</v>
      </c>
    </row>
    <row r="5932" spans="1:16" x14ac:dyDescent="0.25">
      <c r="A5932" t="s">
        <v>28349</v>
      </c>
      <c r="B5932" t="s">
        <v>4916</v>
      </c>
      <c r="C5932" t="s">
        <v>4917</v>
      </c>
      <c r="D5932" t="s">
        <v>1703</v>
      </c>
      <c r="E5932" t="s">
        <v>1704</v>
      </c>
      <c r="F5932" t="s">
        <v>8</v>
      </c>
      <c r="G5932" t="s">
        <v>16231</v>
      </c>
      <c r="H5932" t="s">
        <v>47054</v>
      </c>
      <c r="I5932" t="s">
        <v>47111</v>
      </c>
      <c r="J5932" t="s">
        <v>47112</v>
      </c>
      <c r="K5932" t="s">
        <v>47113</v>
      </c>
      <c r="L5932">
        <v>58.38</v>
      </c>
      <c r="M5932">
        <v>146</v>
      </c>
      <c r="N5932">
        <v>0</v>
      </c>
      <c r="O5932">
        <v>146</v>
      </c>
      <c r="P5932">
        <v>0</v>
      </c>
    </row>
    <row r="5933" spans="1:16" x14ac:dyDescent="0.25">
      <c r="A5933" t="s">
        <v>28350</v>
      </c>
      <c r="B5933" t="s">
        <v>4916</v>
      </c>
      <c r="C5933" t="s">
        <v>4917</v>
      </c>
      <c r="D5933" t="s">
        <v>1722</v>
      </c>
      <c r="E5933" t="s">
        <v>1723</v>
      </c>
      <c r="F5933" t="s">
        <v>8</v>
      </c>
      <c r="G5933" t="s">
        <v>16231</v>
      </c>
      <c r="H5933" t="s">
        <v>47054</v>
      </c>
      <c r="I5933" t="s">
        <v>47111</v>
      </c>
      <c r="J5933" t="s">
        <v>47112</v>
      </c>
      <c r="K5933" t="s">
        <v>47113</v>
      </c>
      <c r="L5933">
        <v>62.34</v>
      </c>
      <c r="M5933">
        <v>146</v>
      </c>
      <c r="N5933">
        <v>0</v>
      </c>
      <c r="O5933">
        <v>146</v>
      </c>
      <c r="P5933">
        <v>0</v>
      </c>
    </row>
    <row r="5934" spans="1:16" x14ac:dyDescent="0.25">
      <c r="A5934" t="s">
        <v>28351</v>
      </c>
      <c r="B5934" t="s">
        <v>4918</v>
      </c>
      <c r="C5934" t="s">
        <v>4919</v>
      </c>
      <c r="D5934" t="s">
        <v>1718</v>
      </c>
      <c r="E5934" t="s">
        <v>1719</v>
      </c>
      <c r="F5934" t="s">
        <v>8</v>
      </c>
      <c r="G5934" t="s">
        <v>16231</v>
      </c>
      <c r="H5934" t="s">
        <v>47054</v>
      </c>
      <c r="I5934" t="s">
        <v>47111</v>
      </c>
      <c r="J5934" t="s">
        <v>47112</v>
      </c>
      <c r="K5934" t="s">
        <v>47113</v>
      </c>
      <c r="L5934">
        <v>36.31</v>
      </c>
      <c r="M5934">
        <v>94</v>
      </c>
      <c r="N5934">
        <v>0</v>
      </c>
      <c r="O5934">
        <v>94</v>
      </c>
      <c r="P5934">
        <v>0</v>
      </c>
    </row>
    <row r="5935" spans="1:16" x14ac:dyDescent="0.25">
      <c r="A5935" t="s">
        <v>28352</v>
      </c>
      <c r="B5935" t="s">
        <v>4918</v>
      </c>
      <c r="C5935" t="s">
        <v>4919</v>
      </c>
      <c r="D5935" t="s">
        <v>2020</v>
      </c>
      <c r="E5935" t="s">
        <v>2021</v>
      </c>
      <c r="F5935" t="s">
        <v>8</v>
      </c>
      <c r="G5935" t="s">
        <v>16231</v>
      </c>
      <c r="H5935" t="s">
        <v>47054</v>
      </c>
      <c r="I5935" t="s">
        <v>47111</v>
      </c>
      <c r="J5935" t="s">
        <v>47112</v>
      </c>
      <c r="K5935" t="s">
        <v>47113</v>
      </c>
      <c r="L5935">
        <v>40.93</v>
      </c>
      <c r="M5935">
        <v>100</v>
      </c>
      <c r="N5935">
        <v>0</v>
      </c>
      <c r="O5935">
        <v>100</v>
      </c>
      <c r="P5935">
        <v>0</v>
      </c>
    </row>
    <row r="5936" spans="1:16" x14ac:dyDescent="0.25">
      <c r="A5936" t="s">
        <v>28353</v>
      </c>
      <c r="B5936" t="s">
        <v>4920</v>
      </c>
      <c r="C5936" t="s">
        <v>4919</v>
      </c>
      <c r="D5936" t="s">
        <v>721</v>
      </c>
      <c r="E5936" t="s">
        <v>722</v>
      </c>
      <c r="F5936" t="s">
        <v>8</v>
      </c>
      <c r="G5936" t="s">
        <v>16231</v>
      </c>
      <c r="H5936" t="s">
        <v>47054</v>
      </c>
      <c r="I5936" t="s">
        <v>47111</v>
      </c>
      <c r="J5936" t="s">
        <v>47112</v>
      </c>
      <c r="K5936" t="s">
        <v>47113</v>
      </c>
      <c r="L5936">
        <v>30.06</v>
      </c>
      <c r="M5936">
        <v>83</v>
      </c>
      <c r="N5936">
        <v>0</v>
      </c>
      <c r="O5936">
        <v>83</v>
      </c>
      <c r="P5936">
        <v>0</v>
      </c>
    </row>
    <row r="5937" spans="1:16" x14ac:dyDescent="0.25">
      <c r="A5937" t="s">
        <v>28354</v>
      </c>
      <c r="B5937" t="s">
        <v>4921</v>
      </c>
      <c r="C5937" t="s">
        <v>4922</v>
      </c>
      <c r="D5937" t="s">
        <v>4855</v>
      </c>
      <c r="E5937" t="s">
        <v>4856</v>
      </c>
      <c r="F5937" t="s">
        <v>8</v>
      </c>
      <c r="G5937" t="s">
        <v>16231</v>
      </c>
      <c r="H5937" t="s">
        <v>47054</v>
      </c>
      <c r="I5937" t="s">
        <v>47111</v>
      </c>
      <c r="J5937" t="s">
        <v>47112</v>
      </c>
      <c r="K5937" t="s">
        <v>47113</v>
      </c>
      <c r="L5937">
        <v>43.44</v>
      </c>
      <c r="M5937">
        <v>124</v>
      </c>
      <c r="N5937">
        <v>0</v>
      </c>
      <c r="O5937">
        <v>124</v>
      </c>
      <c r="P5937">
        <v>0</v>
      </c>
    </row>
    <row r="5938" spans="1:16" x14ac:dyDescent="0.25">
      <c r="A5938" t="s">
        <v>28355</v>
      </c>
      <c r="B5938" t="s">
        <v>4921</v>
      </c>
      <c r="C5938" t="s">
        <v>4922</v>
      </c>
      <c r="D5938" t="s">
        <v>1718</v>
      </c>
      <c r="E5938" t="s">
        <v>1719</v>
      </c>
      <c r="F5938" t="s">
        <v>8</v>
      </c>
      <c r="G5938" t="s">
        <v>16231</v>
      </c>
      <c r="H5938" t="s">
        <v>47054</v>
      </c>
      <c r="I5938" t="s">
        <v>47111</v>
      </c>
      <c r="J5938" t="s">
        <v>47112</v>
      </c>
      <c r="K5938" t="s">
        <v>47113</v>
      </c>
      <c r="L5938">
        <v>40.97</v>
      </c>
      <c r="M5938">
        <v>114</v>
      </c>
      <c r="N5938">
        <v>0</v>
      </c>
      <c r="O5938">
        <v>114</v>
      </c>
      <c r="P5938">
        <v>0</v>
      </c>
    </row>
    <row r="5939" spans="1:16" x14ac:dyDescent="0.25">
      <c r="A5939" t="s">
        <v>28356</v>
      </c>
      <c r="B5939" t="s">
        <v>4923</v>
      </c>
      <c r="C5939" t="s">
        <v>4924</v>
      </c>
      <c r="D5939" t="s">
        <v>2018</v>
      </c>
      <c r="E5939" t="s">
        <v>2019</v>
      </c>
      <c r="F5939" t="s">
        <v>8</v>
      </c>
      <c r="G5939" t="s">
        <v>16231</v>
      </c>
      <c r="H5939" t="s">
        <v>47054</v>
      </c>
      <c r="I5939" t="s">
        <v>47111</v>
      </c>
      <c r="J5939" t="s">
        <v>47112</v>
      </c>
      <c r="K5939" t="s">
        <v>47113</v>
      </c>
      <c r="L5939">
        <v>45.36</v>
      </c>
      <c r="M5939">
        <v>131</v>
      </c>
      <c r="N5939">
        <v>0</v>
      </c>
      <c r="O5939">
        <v>131</v>
      </c>
      <c r="P5939">
        <v>0</v>
      </c>
    </row>
    <row r="5940" spans="1:16" x14ac:dyDescent="0.25">
      <c r="A5940" t="s">
        <v>28357</v>
      </c>
      <c r="B5940" t="s">
        <v>4923</v>
      </c>
      <c r="C5940" t="s">
        <v>4924</v>
      </c>
      <c r="D5940" t="s">
        <v>1703</v>
      </c>
      <c r="E5940" t="s">
        <v>1704</v>
      </c>
      <c r="F5940" t="s">
        <v>8</v>
      </c>
      <c r="G5940" t="s">
        <v>16231</v>
      </c>
      <c r="H5940" t="s">
        <v>47054</v>
      </c>
      <c r="I5940" t="s">
        <v>47111</v>
      </c>
      <c r="J5940" t="s">
        <v>47112</v>
      </c>
      <c r="K5940" t="s">
        <v>47113</v>
      </c>
      <c r="L5940">
        <v>39.83</v>
      </c>
      <c r="M5940">
        <v>112</v>
      </c>
      <c r="N5940">
        <v>0</v>
      </c>
      <c r="O5940">
        <v>112</v>
      </c>
      <c r="P5940">
        <v>0</v>
      </c>
    </row>
    <row r="5941" spans="1:16" x14ac:dyDescent="0.25">
      <c r="A5941" t="s">
        <v>28358</v>
      </c>
      <c r="B5941" t="s">
        <v>4923</v>
      </c>
      <c r="C5941" t="s">
        <v>4924</v>
      </c>
      <c r="D5941" t="s">
        <v>1722</v>
      </c>
      <c r="E5941" t="s">
        <v>1723</v>
      </c>
      <c r="F5941" t="s">
        <v>8</v>
      </c>
      <c r="G5941" t="s">
        <v>16231</v>
      </c>
      <c r="H5941" t="s">
        <v>47054</v>
      </c>
      <c r="I5941" t="s">
        <v>47111</v>
      </c>
      <c r="J5941" t="s">
        <v>47112</v>
      </c>
      <c r="K5941" t="s">
        <v>47113</v>
      </c>
      <c r="L5941">
        <v>43.87</v>
      </c>
      <c r="M5941">
        <v>129</v>
      </c>
      <c r="N5941">
        <v>0</v>
      </c>
      <c r="O5941">
        <v>129</v>
      </c>
      <c r="P5941">
        <v>0</v>
      </c>
    </row>
    <row r="5942" spans="1:16" x14ac:dyDescent="0.25">
      <c r="A5942" t="s">
        <v>28359</v>
      </c>
      <c r="B5942" t="s">
        <v>4925</v>
      </c>
      <c r="C5942" t="s">
        <v>2051</v>
      </c>
      <c r="D5942" t="s">
        <v>1768</v>
      </c>
      <c r="E5942" t="s">
        <v>1769</v>
      </c>
      <c r="F5942" t="s">
        <v>52</v>
      </c>
      <c r="G5942" t="s">
        <v>16231</v>
      </c>
      <c r="H5942" t="s">
        <v>47054</v>
      </c>
      <c r="I5942" t="s">
        <v>47111</v>
      </c>
      <c r="J5942" t="s">
        <v>47112</v>
      </c>
      <c r="K5942" t="s">
        <v>47113</v>
      </c>
      <c r="L5942">
        <v>49.57</v>
      </c>
      <c r="M5942">
        <v>122</v>
      </c>
      <c r="N5942">
        <v>0</v>
      </c>
      <c r="O5942">
        <v>122</v>
      </c>
      <c r="P5942">
        <v>0</v>
      </c>
    </row>
    <row r="5943" spans="1:16" x14ac:dyDescent="0.25">
      <c r="A5943" t="s">
        <v>28360</v>
      </c>
      <c r="B5943" t="s">
        <v>4925</v>
      </c>
      <c r="C5943" t="s">
        <v>2051</v>
      </c>
      <c r="D5943" t="s">
        <v>1792</v>
      </c>
      <c r="E5943" t="s">
        <v>1793</v>
      </c>
      <c r="F5943" t="s">
        <v>52</v>
      </c>
      <c r="G5943" t="s">
        <v>16231</v>
      </c>
      <c r="H5943" t="s">
        <v>47054</v>
      </c>
      <c r="I5943" t="s">
        <v>47111</v>
      </c>
      <c r="J5943" t="s">
        <v>47112</v>
      </c>
      <c r="K5943" t="s">
        <v>47113</v>
      </c>
      <c r="L5943">
        <v>44.96</v>
      </c>
      <c r="M5943">
        <v>110</v>
      </c>
      <c r="N5943">
        <v>0</v>
      </c>
      <c r="O5943">
        <v>110</v>
      </c>
      <c r="P5943">
        <v>0</v>
      </c>
    </row>
    <row r="5944" spans="1:16" x14ac:dyDescent="0.25">
      <c r="A5944" t="s">
        <v>28361</v>
      </c>
      <c r="B5944" t="s">
        <v>4925</v>
      </c>
      <c r="C5944" t="s">
        <v>2051</v>
      </c>
      <c r="D5944" t="s">
        <v>1737</v>
      </c>
      <c r="E5944" t="s">
        <v>1738</v>
      </c>
      <c r="F5944" t="s">
        <v>52</v>
      </c>
      <c r="G5944" t="s">
        <v>16231</v>
      </c>
      <c r="H5944" t="s">
        <v>47054</v>
      </c>
      <c r="I5944" t="s">
        <v>47111</v>
      </c>
      <c r="J5944" t="s">
        <v>47112</v>
      </c>
      <c r="K5944" t="s">
        <v>47113</v>
      </c>
      <c r="L5944">
        <v>44.38</v>
      </c>
      <c r="M5944">
        <v>110</v>
      </c>
      <c r="N5944">
        <v>0</v>
      </c>
      <c r="O5944">
        <v>110</v>
      </c>
      <c r="P5944">
        <v>0</v>
      </c>
    </row>
    <row r="5945" spans="1:16" x14ac:dyDescent="0.25">
      <c r="A5945" t="s">
        <v>28362</v>
      </c>
      <c r="B5945" t="s">
        <v>4925</v>
      </c>
      <c r="C5945" t="s">
        <v>2051</v>
      </c>
      <c r="D5945" t="s">
        <v>1734</v>
      </c>
      <c r="E5945" t="s">
        <v>1735</v>
      </c>
      <c r="F5945" t="s">
        <v>52</v>
      </c>
      <c r="G5945" t="s">
        <v>16231</v>
      </c>
      <c r="H5945" t="s">
        <v>47054</v>
      </c>
      <c r="I5945" t="s">
        <v>47111</v>
      </c>
      <c r="J5945" t="s">
        <v>47112</v>
      </c>
      <c r="K5945" t="s">
        <v>47113</v>
      </c>
      <c r="L5945">
        <v>47.27</v>
      </c>
      <c r="M5945">
        <v>116</v>
      </c>
      <c r="N5945">
        <v>0</v>
      </c>
      <c r="O5945">
        <v>116</v>
      </c>
      <c r="P5945">
        <v>0</v>
      </c>
    </row>
    <row r="5946" spans="1:16" x14ac:dyDescent="0.25">
      <c r="A5946" t="s">
        <v>28363</v>
      </c>
      <c r="B5946" t="s">
        <v>4926</v>
      </c>
      <c r="C5946" t="s">
        <v>2051</v>
      </c>
      <c r="D5946" t="s">
        <v>1768</v>
      </c>
      <c r="E5946" t="s">
        <v>1769</v>
      </c>
      <c r="F5946" t="s">
        <v>52</v>
      </c>
      <c r="G5946" t="s">
        <v>16231</v>
      </c>
      <c r="H5946" t="s">
        <v>47054</v>
      </c>
      <c r="I5946" t="s">
        <v>47114</v>
      </c>
      <c r="J5946" t="s">
        <v>47115</v>
      </c>
      <c r="K5946" t="s">
        <v>47113</v>
      </c>
      <c r="L5946">
        <v>48.9</v>
      </c>
      <c r="M5946">
        <v>120</v>
      </c>
      <c r="N5946">
        <v>0</v>
      </c>
      <c r="O5946">
        <v>120</v>
      </c>
      <c r="P5946">
        <v>0</v>
      </c>
    </row>
    <row r="5947" spans="1:16" x14ac:dyDescent="0.25">
      <c r="A5947" t="s">
        <v>28364</v>
      </c>
      <c r="B5947" t="s">
        <v>4926</v>
      </c>
      <c r="C5947" t="s">
        <v>2051</v>
      </c>
      <c r="D5947" t="s">
        <v>1792</v>
      </c>
      <c r="E5947" t="s">
        <v>1793</v>
      </c>
      <c r="F5947" t="s">
        <v>52</v>
      </c>
      <c r="G5947" t="s">
        <v>16231</v>
      </c>
      <c r="H5947" t="s">
        <v>47054</v>
      </c>
      <c r="I5947" t="s">
        <v>47114</v>
      </c>
      <c r="J5947" t="s">
        <v>47115</v>
      </c>
      <c r="K5947" t="s">
        <v>47113</v>
      </c>
      <c r="L5947">
        <v>44.28</v>
      </c>
      <c r="M5947">
        <v>109</v>
      </c>
      <c r="N5947">
        <v>0</v>
      </c>
      <c r="O5947">
        <v>109</v>
      </c>
      <c r="P5947">
        <v>0</v>
      </c>
    </row>
    <row r="5948" spans="1:16" x14ac:dyDescent="0.25">
      <c r="A5948" t="s">
        <v>28365</v>
      </c>
      <c r="B5948" t="s">
        <v>4926</v>
      </c>
      <c r="C5948" t="s">
        <v>2051</v>
      </c>
      <c r="D5948" t="s">
        <v>1737</v>
      </c>
      <c r="E5948" t="s">
        <v>1738</v>
      </c>
      <c r="F5948" t="s">
        <v>52</v>
      </c>
      <c r="G5948" t="s">
        <v>16231</v>
      </c>
      <c r="H5948" t="s">
        <v>47054</v>
      </c>
      <c r="I5948" t="s">
        <v>47114</v>
      </c>
      <c r="J5948" t="s">
        <v>47115</v>
      </c>
      <c r="K5948" t="s">
        <v>47113</v>
      </c>
      <c r="L5948">
        <v>43.68</v>
      </c>
      <c r="M5948">
        <v>109</v>
      </c>
      <c r="N5948">
        <v>0</v>
      </c>
      <c r="O5948">
        <v>109</v>
      </c>
      <c r="P5948">
        <v>0</v>
      </c>
    </row>
    <row r="5949" spans="1:16" x14ac:dyDescent="0.25">
      <c r="A5949" t="s">
        <v>28366</v>
      </c>
      <c r="B5949" t="s">
        <v>4926</v>
      </c>
      <c r="C5949" t="s">
        <v>2051</v>
      </c>
      <c r="D5949" t="s">
        <v>1734</v>
      </c>
      <c r="E5949" t="s">
        <v>1735</v>
      </c>
      <c r="F5949" t="s">
        <v>52</v>
      </c>
      <c r="G5949" t="s">
        <v>16231</v>
      </c>
      <c r="H5949" t="s">
        <v>47054</v>
      </c>
      <c r="I5949" t="s">
        <v>47114</v>
      </c>
      <c r="J5949" t="s">
        <v>47115</v>
      </c>
      <c r="K5949" t="s">
        <v>47113</v>
      </c>
      <c r="L5949">
        <v>46.59</v>
      </c>
      <c r="M5949">
        <v>114</v>
      </c>
      <c r="N5949">
        <v>0</v>
      </c>
      <c r="O5949">
        <v>114</v>
      </c>
      <c r="P5949">
        <v>0</v>
      </c>
    </row>
    <row r="5950" spans="1:16" x14ac:dyDescent="0.25">
      <c r="A5950" t="s">
        <v>28367</v>
      </c>
      <c r="B5950" t="s">
        <v>4927</v>
      </c>
      <c r="C5950" t="s">
        <v>2051</v>
      </c>
      <c r="D5950" t="s">
        <v>2028</v>
      </c>
      <c r="E5950" t="s">
        <v>2029</v>
      </c>
      <c r="F5950" t="s">
        <v>52</v>
      </c>
      <c r="G5950" t="s">
        <v>16231</v>
      </c>
      <c r="H5950" t="s">
        <v>47054</v>
      </c>
      <c r="I5950" t="s">
        <v>47111</v>
      </c>
      <c r="J5950" t="s">
        <v>47112</v>
      </c>
      <c r="K5950" t="s">
        <v>47113</v>
      </c>
      <c r="L5950">
        <v>48.49</v>
      </c>
      <c r="M5950">
        <v>119</v>
      </c>
      <c r="N5950">
        <v>0</v>
      </c>
      <c r="O5950">
        <v>119</v>
      </c>
      <c r="P5950">
        <v>0</v>
      </c>
    </row>
    <row r="5951" spans="1:16" x14ac:dyDescent="0.25">
      <c r="A5951" t="s">
        <v>28368</v>
      </c>
      <c r="B5951" t="s">
        <v>4927</v>
      </c>
      <c r="C5951" t="s">
        <v>2051</v>
      </c>
      <c r="D5951" t="s">
        <v>4843</v>
      </c>
      <c r="E5951" t="s">
        <v>4844</v>
      </c>
      <c r="F5951" t="s">
        <v>52</v>
      </c>
      <c r="G5951" t="s">
        <v>16231</v>
      </c>
      <c r="H5951" t="s">
        <v>47054</v>
      </c>
      <c r="I5951" t="s">
        <v>47111</v>
      </c>
      <c r="J5951" t="s">
        <v>47112</v>
      </c>
      <c r="K5951" t="s">
        <v>47113</v>
      </c>
      <c r="L5951">
        <v>47.91</v>
      </c>
      <c r="M5951">
        <v>117</v>
      </c>
      <c r="N5951">
        <v>0</v>
      </c>
      <c r="O5951">
        <v>117</v>
      </c>
      <c r="P5951">
        <v>0</v>
      </c>
    </row>
    <row r="5952" spans="1:16" x14ac:dyDescent="0.25">
      <c r="A5952" t="s">
        <v>28369</v>
      </c>
      <c r="B5952" t="s">
        <v>4927</v>
      </c>
      <c r="C5952" t="s">
        <v>2051</v>
      </c>
      <c r="D5952" t="s">
        <v>1737</v>
      </c>
      <c r="E5952" t="s">
        <v>1738</v>
      </c>
      <c r="F5952" t="s">
        <v>52</v>
      </c>
      <c r="G5952" t="s">
        <v>16231</v>
      </c>
      <c r="H5952" t="s">
        <v>47054</v>
      </c>
      <c r="I5952" t="s">
        <v>47111</v>
      </c>
      <c r="J5952" t="s">
        <v>47112</v>
      </c>
      <c r="K5952" t="s">
        <v>47113</v>
      </c>
      <c r="L5952">
        <v>40.4</v>
      </c>
      <c r="M5952">
        <v>100</v>
      </c>
      <c r="N5952">
        <v>0</v>
      </c>
      <c r="O5952">
        <v>100</v>
      </c>
      <c r="P5952">
        <v>0</v>
      </c>
    </row>
    <row r="5953" spans="1:16" x14ac:dyDescent="0.25">
      <c r="A5953" t="s">
        <v>28370</v>
      </c>
      <c r="B5953" t="s">
        <v>4927</v>
      </c>
      <c r="C5953" t="s">
        <v>2051</v>
      </c>
      <c r="D5953" t="s">
        <v>1734</v>
      </c>
      <c r="E5953" t="s">
        <v>1735</v>
      </c>
      <c r="F5953" t="s">
        <v>52</v>
      </c>
      <c r="G5953" t="s">
        <v>16231</v>
      </c>
      <c r="H5953" t="s">
        <v>47054</v>
      </c>
      <c r="I5953" t="s">
        <v>47111</v>
      </c>
      <c r="J5953" t="s">
        <v>47112</v>
      </c>
      <c r="K5953" t="s">
        <v>47113</v>
      </c>
      <c r="L5953">
        <v>43.29</v>
      </c>
      <c r="M5953">
        <v>119</v>
      </c>
      <c r="N5953">
        <v>0</v>
      </c>
      <c r="O5953">
        <v>119</v>
      </c>
      <c r="P5953">
        <v>0</v>
      </c>
    </row>
    <row r="5954" spans="1:16" x14ac:dyDescent="0.25">
      <c r="A5954" t="s">
        <v>28371</v>
      </c>
      <c r="B5954" t="s">
        <v>4928</v>
      </c>
      <c r="C5954" t="s">
        <v>2051</v>
      </c>
      <c r="D5954" t="s">
        <v>2028</v>
      </c>
      <c r="E5954" t="s">
        <v>2029</v>
      </c>
      <c r="F5954" t="s">
        <v>52</v>
      </c>
      <c r="G5954" t="s">
        <v>16231</v>
      </c>
      <c r="H5954" t="s">
        <v>47054</v>
      </c>
      <c r="I5954" t="s">
        <v>47114</v>
      </c>
      <c r="J5954" t="s">
        <v>47115</v>
      </c>
      <c r="K5954" t="s">
        <v>47113</v>
      </c>
      <c r="L5954">
        <v>48.26</v>
      </c>
      <c r="M5954">
        <v>118</v>
      </c>
      <c r="N5954">
        <v>0</v>
      </c>
      <c r="O5954">
        <v>118</v>
      </c>
      <c r="P5954">
        <v>0</v>
      </c>
    </row>
    <row r="5955" spans="1:16" x14ac:dyDescent="0.25">
      <c r="A5955" t="s">
        <v>28372</v>
      </c>
      <c r="B5955" t="s">
        <v>4928</v>
      </c>
      <c r="C5955" t="s">
        <v>2051</v>
      </c>
      <c r="D5955" t="s">
        <v>4843</v>
      </c>
      <c r="E5955" t="s">
        <v>4844</v>
      </c>
      <c r="F5955" t="s">
        <v>52</v>
      </c>
      <c r="G5955" t="s">
        <v>16231</v>
      </c>
      <c r="H5955" t="s">
        <v>47054</v>
      </c>
      <c r="I5955" t="s">
        <v>47114</v>
      </c>
      <c r="J5955" t="s">
        <v>47115</v>
      </c>
      <c r="K5955" t="s">
        <v>47113</v>
      </c>
      <c r="L5955">
        <v>47.69</v>
      </c>
      <c r="M5955">
        <v>117</v>
      </c>
      <c r="N5955">
        <v>0</v>
      </c>
      <c r="O5955">
        <v>117</v>
      </c>
      <c r="P5955">
        <v>0</v>
      </c>
    </row>
    <row r="5956" spans="1:16" x14ac:dyDescent="0.25">
      <c r="A5956" t="s">
        <v>28373</v>
      </c>
      <c r="B5956" t="s">
        <v>4928</v>
      </c>
      <c r="C5956" t="s">
        <v>2051</v>
      </c>
      <c r="D5956" t="s">
        <v>1737</v>
      </c>
      <c r="E5956" t="s">
        <v>1738</v>
      </c>
      <c r="F5956" t="s">
        <v>52</v>
      </c>
      <c r="G5956" t="s">
        <v>16231</v>
      </c>
      <c r="H5956" t="s">
        <v>47054</v>
      </c>
      <c r="I5956" t="s">
        <v>47114</v>
      </c>
      <c r="J5956" t="s">
        <v>47115</v>
      </c>
      <c r="K5956" t="s">
        <v>47113</v>
      </c>
      <c r="L5956">
        <v>38.72</v>
      </c>
      <c r="M5956">
        <v>100</v>
      </c>
      <c r="N5956">
        <v>0</v>
      </c>
      <c r="O5956">
        <v>100</v>
      </c>
      <c r="P5956">
        <v>0</v>
      </c>
    </row>
    <row r="5957" spans="1:16" x14ac:dyDescent="0.25">
      <c r="A5957" t="s">
        <v>28374</v>
      </c>
      <c r="B5957" t="s">
        <v>4928</v>
      </c>
      <c r="C5957" t="s">
        <v>2051</v>
      </c>
      <c r="D5957" t="s">
        <v>1734</v>
      </c>
      <c r="E5957" t="s">
        <v>1735</v>
      </c>
      <c r="F5957" t="s">
        <v>52</v>
      </c>
      <c r="G5957" t="s">
        <v>16231</v>
      </c>
      <c r="H5957" t="s">
        <v>47054</v>
      </c>
      <c r="I5957" t="s">
        <v>47114</v>
      </c>
      <c r="J5957" t="s">
        <v>47115</v>
      </c>
      <c r="K5957" t="s">
        <v>47113</v>
      </c>
      <c r="L5957">
        <v>41.6</v>
      </c>
      <c r="M5957">
        <v>106</v>
      </c>
      <c r="N5957">
        <v>0</v>
      </c>
      <c r="O5957">
        <v>106</v>
      </c>
      <c r="P5957">
        <v>0</v>
      </c>
    </row>
    <row r="5958" spans="1:16" x14ac:dyDescent="0.25">
      <c r="A5958" t="s">
        <v>28375</v>
      </c>
      <c r="B5958" t="s">
        <v>4929</v>
      </c>
      <c r="C5958" t="s">
        <v>4930</v>
      </c>
      <c r="D5958" t="s">
        <v>4855</v>
      </c>
      <c r="E5958" t="s">
        <v>4856</v>
      </c>
      <c r="F5958" t="s">
        <v>8</v>
      </c>
      <c r="G5958" t="s">
        <v>16231</v>
      </c>
      <c r="H5958" t="s">
        <v>47054</v>
      </c>
      <c r="I5958" t="s">
        <v>47111</v>
      </c>
      <c r="J5958" t="s">
        <v>47112</v>
      </c>
      <c r="K5958" t="s">
        <v>47113</v>
      </c>
      <c r="L5958">
        <v>41.45</v>
      </c>
      <c r="M5958">
        <v>103</v>
      </c>
      <c r="N5958">
        <v>0</v>
      </c>
      <c r="O5958">
        <v>103</v>
      </c>
      <c r="P5958">
        <v>0</v>
      </c>
    </row>
    <row r="5959" spans="1:16" x14ac:dyDescent="0.25">
      <c r="A5959" t="s">
        <v>28376</v>
      </c>
      <c r="B5959" t="s">
        <v>4929</v>
      </c>
      <c r="C5959" t="s">
        <v>4930</v>
      </c>
      <c r="D5959" t="s">
        <v>1718</v>
      </c>
      <c r="E5959" t="s">
        <v>1719</v>
      </c>
      <c r="F5959" t="s">
        <v>8</v>
      </c>
      <c r="G5959" t="s">
        <v>16231</v>
      </c>
      <c r="H5959" t="s">
        <v>47054</v>
      </c>
      <c r="I5959" t="s">
        <v>47111</v>
      </c>
      <c r="J5959" t="s">
        <v>47112</v>
      </c>
      <c r="K5959" t="s">
        <v>47113</v>
      </c>
      <c r="L5959">
        <v>38.07</v>
      </c>
      <c r="M5959">
        <v>95</v>
      </c>
      <c r="N5959">
        <v>0</v>
      </c>
      <c r="O5959">
        <v>95</v>
      </c>
      <c r="P5959">
        <v>0</v>
      </c>
    </row>
    <row r="5960" spans="1:16" x14ac:dyDescent="0.25">
      <c r="A5960" t="s">
        <v>28377</v>
      </c>
      <c r="B5960" t="s">
        <v>4929</v>
      </c>
      <c r="C5960" t="s">
        <v>4930</v>
      </c>
      <c r="D5960" t="s">
        <v>1734</v>
      </c>
      <c r="E5960" t="s">
        <v>1735</v>
      </c>
      <c r="F5960" t="s">
        <v>52</v>
      </c>
      <c r="G5960" t="s">
        <v>16231</v>
      </c>
      <c r="H5960" t="s">
        <v>47054</v>
      </c>
      <c r="I5960" t="s">
        <v>47111</v>
      </c>
      <c r="J5960" t="s">
        <v>47112</v>
      </c>
      <c r="K5960" t="s">
        <v>47113</v>
      </c>
      <c r="L5960">
        <v>43.72</v>
      </c>
      <c r="M5960">
        <v>107</v>
      </c>
      <c r="N5960">
        <v>0</v>
      </c>
      <c r="O5960">
        <v>107</v>
      </c>
      <c r="P5960">
        <v>0</v>
      </c>
    </row>
    <row r="5961" spans="1:16" x14ac:dyDescent="0.25">
      <c r="A5961" t="s">
        <v>28378</v>
      </c>
      <c r="B5961" t="s">
        <v>4929</v>
      </c>
      <c r="C5961" t="s">
        <v>4930</v>
      </c>
      <c r="D5961" t="s">
        <v>1774</v>
      </c>
      <c r="E5961" t="s">
        <v>1775</v>
      </c>
      <c r="F5961" t="s">
        <v>52</v>
      </c>
      <c r="G5961" t="s">
        <v>16231</v>
      </c>
      <c r="H5961" t="s">
        <v>47054</v>
      </c>
      <c r="I5961" t="s">
        <v>47111</v>
      </c>
      <c r="J5961" t="s">
        <v>47112</v>
      </c>
      <c r="K5961" t="s">
        <v>47113</v>
      </c>
      <c r="L5961">
        <v>44.84</v>
      </c>
      <c r="M5961">
        <v>110</v>
      </c>
      <c r="N5961">
        <v>0</v>
      </c>
      <c r="O5961">
        <v>110</v>
      </c>
      <c r="P5961">
        <v>0</v>
      </c>
    </row>
    <row r="5962" spans="1:16" x14ac:dyDescent="0.25">
      <c r="A5962" t="s">
        <v>28379</v>
      </c>
      <c r="B5962" t="s">
        <v>4931</v>
      </c>
      <c r="C5962" t="s">
        <v>4917</v>
      </c>
      <c r="D5962" t="s">
        <v>4855</v>
      </c>
      <c r="E5962" t="s">
        <v>4856</v>
      </c>
      <c r="F5962" t="s">
        <v>52</v>
      </c>
      <c r="G5962" t="s">
        <v>16231</v>
      </c>
      <c r="H5962" t="s">
        <v>47054</v>
      </c>
      <c r="I5962" t="s">
        <v>47114</v>
      </c>
      <c r="J5962" t="s">
        <v>47115</v>
      </c>
      <c r="K5962" t="s">
        <v>47113</v>
      </c>
      <c r="L5962">
        <v>60.36</v>
      </c>
      <c r="M5962">
        <v>141</v>
      </c>
      <c r="N5962">
        <v>0</v>
      </c>
      <c r="O5962">
        <v>141</v>
      </c>
      <c r="P5962">
        <v>0</v>
      </c>
    </row>
    <row r="5963" spans="1:16" x14ac:dyDescent="0.25">
      <c r="A5963" t="s">
        <v>28380</v>
      </c>
      <c r="B5963" t="s">
        <v>4931</v>
      </c>
      <c r="C5963" t="s">
        <v>4917</v>
      </c>
      <c r="D5963" t="s">
        <v>1737</v>
      </c>
      <c r="E5963" t="s">
        <v>1738</v>
      </c>
      <c r="F5963" t="s">
        <v>52</v>
      </c>
      <c r="G5963" t="s">
        <v>16231</v>
      </c>
      <c r="H5963" t="s">
        <v>47054</v>
      </c>
      <c r="I5963" t="s">
        <v>47114</v>
      </c>
      <c r="J5963" t="s">
        <v>47115</v>
      </c>
      <c r="K5963" t="s">
        <v>47113</v>
      </c>
      <c r="L5963">
        <v>60.36</v>
      </c>
      <c r="M5963">
        <v>141</v>
      </c>
      <c r="N5963">
        <v>0</v>
      </c>
      <c r="O5963">
        <v>141</v>
      </c>
      <c r="P5963">
        <v>0</v>
      </c>
    </row>
    <row r="5964" spans="1:16" x14ac:dyDescent="0.25">
      <c r="A5964" t="s">
        <v>28381</v>
      </c>
      <c r="B5964" t="s">
        <v>4931</v>
      </c>
      <c r="C5964" t="s">
        <v>4917</v>
      </c>
      <c r="D5964" t="s">
        <v>1734</v>
      </c>
      <c r="E5964" t="s">
        <v>1735</v>
      </c>
      <c r="F5964" t="s">
        <v>52</v>
      </c>
      <c r="G5964" t="s">
        <v>16231</v>
      </c>
      <c r="H5964" t="s">
        <v>47054</v>
      </c>
      <c r="I5964" t="s">
        <v>47111</v>
      </c>
      <c r="J5964" t="s">
        <v>47112</v>
      </c>
      <c r="K5964" t="s">
        <v>47113</v>
      </c>
      <c r="L5964">
        <v>62.81</v>
      </c>
      <c r="M5964">
        <v>146</v>
      </c>
      <c r="N5964">
        <v>0</v>
      </c>
      <c r="O5964">
        <v>146</v>
      </c>
      <c r="P5964">
        <v>0</v>
      </c>
    </row>
    <row r="5965" spans="1:16" x14ac:dyDescent="0.25">
      <c r="A5965" t="s">
        <v>28382</v>
      </c>
      <c r="B5965" t="s">
        <v>4932</v>
      </c>
      <c r="C5965" t="s">
        <v>4933</v>
      </c>
      <c r="D5965" t="s">
        <v>1718</v>
      </c>
      <c r="E5965" t="s">
        <v>1719</v>
      </c>
      <c r="F5965" t="s">
        <v>56</v>
      </c>
      <c r="G5965" t="s">
        <v>16231</v>
      </c>
      <c r="H5965" t="s">
        <v>47054</v>
      </c>
      <c r="I5965" t="s">
        <v>47114</v>
      </c>
      <c r="J5965" t="s">
        <v>47115</v>
      </c>
      <c r="K5965" t="s">
        <v>47113</v>
      </c>
      <c r="L5965">
        <v>54.43</v>
      </c>
      <c r="M5965">
        <v>119</v>
      </c>
      <c r="N5965">
        <v>0</v>
      </c>
      <c r="O5965">
        <v>119</v>
      </c>
      <c r="P5965">
        <v>0</v>
      </c>
    </row>
    <row r="5966" spans="1:16" x14ac:dyDescent="0.25">
      <c r="A5966" t="s">
        <v>28383</v>
      </c>
      <c r="B5966" t="s">
        <v>4932</v>
      </c>
      <c r="C5966" t="s">
        <v>4933</v>
      </c>
      <c r="D5966" t="s">
        <v>4860</v>
      </c>
      <c r="E5966" t="s">
        <v>4861</v>
      </c>
      <c r="F5966" t="s">
        <v>56</v>
      </c>
      <c r="G5966" t="s">
        <v>16231</v>
      </c>
      <c r="H5966" t="s">
        <v>47054</v>
      </c>
      <c r="I5966" t="s">
        <v>47114</v>
      </c>
      <c r="J5966" t="s">
        <v>47115</v>
      </c>
      <c r="K5966" t="s">
        <v>47113</v>
      </c>
      <c r="L5966">
        <v>64.13</v>
      </c>
      <c r="M5966">
        <v>142</v>
      </c>
      <c r="N5966">
        <v>0</v>
      </c>
      <c r="O5966">
        <v>142</v>
      </c>
      <c r="P5966">
        <v>0</v>
      </c>
    </row>
    <row r="5967" spans="1:16" x14ac:dyDescent="0.25">
      <c r="A5967" t="s">
        <v>28384</v>
      </c>
      <c r="B5967" t="s">
        <v>4932</v>
      </c>
      <c r="C5967" t="s">
        <v>4933</v>
      </c>
      <c r="D5967" t="s">
        <v>4862</v>
      </c>
      <c r="E5967" t="s">
        <v>4863</v>
      </c>
      <c r="F5967" t="s">
        <v>56</v>
      </c>
      <c r="G5967" t="s">
        <v>16231</v>
      </c>
      <c r="H5967" t="s">
        <v>47054</v>
      </c>
      <c r="I5967" t="s">
        <v>47114</v>
      </c>
      <c r="J5967" t="s">
        <v>47115</v>
      </c>
      <c r="K5967" t="s">
        <v>47113</v>
      </c>
      <c r="L5967">
        <v>67.56</v>
      </c>
      <c r="M5967">
        <v>151</v>
      </c>
      <c r="N5967">
        <v>0</v>
      </c>
      <c r="O5967">
        <v>151</v>
      </c>
      <c r="P5967">
        <v>0</v>
      </c>
    </row>
    <row r="5968" spans="1:16" x14ac:dyDescent="0.25">
      <c r="A5968" t="s">
        <v>28385</v>
      </c>
      <c r="B5968" t="s">
        <v>4934</v>
      </c>
      <c r="C5968" t="s">
        <v>4933</v>
      </c>
      <c r="D5968" t="s">
        <v>4860</v>
      </c>
      <c r="E5968" t="s">
        <v>4861</v>
      </c>
      <c r="F5968" t="s">
        <v>56</v>
      </c>
      <c r="G5968" t="s">
        <v>16231</v>
      </c>
      <c r="H5968" t="s">
        <v>47054</v>
      </c>
      <c r="I5968" t="s">
        <v>47114</v>
      </c>
      <c r="J5968" t="s">
        <v>47115</v>
      </c>
      <c r="K5968" t="s">
        <v>47113</v>
      </c>
      <c r="L5968">
        <v>64.569999999999993</v>
      </c>
      <c r="M5968">
        <v>143</v>
      </c>
      <c r="N5968">
        <v>0</v>
      </c>
      <c r="O5968">
        <v>143</v>
      </c>
      <c r="P5968">
        <v>0</v>
      </c>
    </row>
    <row r="5969" spans="1:16" x14ac:dyDescent="0.25">
      <c r="A5969" t="s">
        <v>28386</v>
      </c>
      <c r="B5969" t="s">
        <v>4934</v>
      </c>
      <c r="C5969" t="s">
        <v>4933</v>
      </c>
      <c r="D5969" t="s">
        <v>4862</v>
      </c>
      <c r="E5969" t="s">
        <v>4863</v>
      </c>
      <c r="F5969" t="s">
        <v>56</v>
      </c>
      <c r="G5969" t="s">
        <v>16231</v>
      </c>
      <c r="H5969" t="s">
        <v>47054</v>
      </c>
      <c r="I5969" t="s">
        <v>47114</v>
      </c>
      <c r="J5969" t="s">
        <v>47115</v>
      </c>
      <c r="K5969" t="s">
        <v>47113</v>
      </c>
      <c r="L5969">
        <v>67.989999999999995</v>
      </c>
      <c r="M5969">
        <v>152</v>
      </c>
      <c r="N5969">
        <v>0</v>
      </c>
      <c r="O5969">
        <v>152</v>
      </c>
      <c r="P5969">
        <v>0</v>
      </c>
    </row>
    <row r="5970" spans="1:16" x14ac:dyDescent="0.25">
      <c r="A5970" t="s">
        <v>28387</v>
      </c>
      <c r="B5970" t="s">
        <v>4935</v>
      </c>
      <c r="C5970" t="s">
        <v>16456</v>
      </c>
      <c r="D5970" t="s">
        <v>4936</v>
      </c>
      <c r="E5970" t="s">
        <v>4937</v>
      </c>
      <c r="F5970" t="s">
        <v>2068</v>
      </c>
      <c r="G5970" t="s">
        <v>16231</v>
      </c>
      <c r="H5970" t="s">
        <v>47054</v>
      </c>
      <c r="I5970" t="s">
        <v>47111</v>
      </c>
      <c r="J5970" t="s">
        <v>47112</v>
      </c>
      <c r="K5970" t="s">
        <v>47113</v>
      </c>
      <c r="L5970">
        <v>43.48</v>
      </c>
      <c r="M5970">
        <v>74</v>
      </c>
      <c r="N5970">
        <v>0</v>
      </c>
      <c r="O5970">
        <v>74</v>
      </c>
      <c r="P5970">
        <v>0</v>
      </c>
    </row>
    <row r="5971" spans="1:16" x14ac:dyDescent="0.25">
      <c r="A5971" t="s">
        <v>28388</v>
      </c>
      <c r="B5971" t="s">
        <v>4938</v>
      </c>
      <c r="C5971" t="s">
        <v>4939</v>
      </c>
      <c r="D5971" t="str">
        <f>"89"</f>
        <v>89</v>
      </c>
      <c r="E5971" t="s">
        <v>1732</v>
      </c>
      <c r="F5971" t="s">
        <v>8</v>
      </c>
      <c r="G5971" t="s">
        <v>16231</v>
      </c>
      <c r="H5971" t="s">
        <v>47054</v>
      </c>
      <c r="I5971" t="s">
        <v>47111</v>
      </c>
      <c r="J5971" t="s">
        <v>47112</v>
      </c>
      <c r="K5971" t="s">
        <v>47113</v>
      </c>
      <c r="L5971">
        <v>49.27</v>
      </c>
      <c r="M5971">
        <v>127</v>
      </c>
      <c r="N5971">
        <v>0</v>
      </c>
      <c r="O5971">
        <v>127</v>
      </c>
      <c r="P5971">
        <v>0</v>
      </c>
    </row>
    <row r="5972" spans="1:16" x14ac:dyDescent="0.25">
      <c r="A5972" t="s">
        <v>28389</v>
      </c>
      <c r="B5972" t="s">
        <v>4938</v>
      </c>
      <c r="C5972" t="s">
        <v>4939</v>
      </c>
      <c r="D5972" t="s">
        <v>1722</v>
      </c>
      <c r="E5972" t="s">
        <v>1723</v>
      </c>
      <c r="F5972" t="s">
        <v>8</v>
      </c>
      <c r="G5972" t="s">
        <v>16231</v>
      </c>
      <c r="H5972" t="s">
        <v>47054</v>
      </c>
      <c r="I5972" t="s">
        <v>47111</v>
      </c>
      <c r="J5972" t="s">
        <v>47112</v>
      </c>
      <c r="K5972" t="s">
        <v>47113</v>
      </c>
      <c r="L5972">
        <v>56.59</v>
      </c>
      <c r="M5972">
        <v>139</v>
      </c>
      <c r="N5972">
        <v>0</v>
      </c>
      <c r="O5972">
        <v>139</v>
      </c>
      <c r="P5972">
        <v>0</v>
      </c>
    </row>
    <row r="5973" spans="1:16" x14ac:dyDescent="0.25">
      <c r="A5973" t="s">
        <v>28390</v>
      </c>
      <c r="B5973" t="s">
        <v>4940</v>
      </c>
      <c r="C5973" t="s">
        <v>4941</v>
      </c>
      <c r="D5973" t="s">
        <v>4942</v>
      </c>
      <c r="E5973" t="s">
        <v>4943</v>
      </c>
      <c r="F5973" t="s">
        <v>0</v>
      </c>
      <c r="G5973" t="s">
        <v>16231</v>
      </c>
      <c r="H5973" t="s">
        <v>47054</v>
      </c>
      <c r="I5973" t="s">
        <v>47111</v>
      </c>
      <c r="J5973" t="s">
        <v>47112</v>
      </c>
      <c r="K5973" t="s">
        <v>47113</v>
      </c>
      <c r="L5973">
        <v>65.61</v>
      </c>
      <c r="M5973">
        <v>145</v>
      </c>
      <c r="N5973">
        <v>0</v>
      </c>
      <c r="O5973">
        <v>145</v>
      </c>
      <c r="P5973">
        <v>0</v>
      </c>
    </row>
    <row r="5974" spans="1:16" x14ac:dyDescent="0.25">
      <c r="A5974" t="s">
        <v>28391</v>
      </c>
      <c r="B5974" t="s">
        <v>4944</v>
      </c>
      <c r="C5974" t="s">
        <v>4945</v>
      </c>
      <c r="D5974" t="s">
        <v>1734</v>
      </c>
      <c r="E5974" t="s">
        <v>1735</v>
      </c>
      <c r="F5974" t="s">
        <v>52</v>
      </c>
      <c r="G5974" t="s">
        <v>16231</v>
      </c>
      <c r="H5974" t="s">
        <v>47054</v>
      </c>
      <c r="I5974" t="s">
        <v>47114</v>
      </c>
      <c r="J5974" t="s">
        <v>47115</v>
      </c>
      <c r="K5974" t="s">
        <v>47113</v>
      </c>
      <c r="L5974">
        <v>50.45</v>
      </c>
      <c r="M5974">
        <v>134</v>
      </c>
      <c r="N5974">
        <v>0</v>
      </c>
      <c r="O5974">
        <v>134</v>
      </c>
      <c r="P5974">
        <v>0</v>
      </c>
    </row>
    <row r="5975" spans="1:16" x14ac:dyDescent="0.25">
      <c r="A5975" t="s">
        <v>28392</v>
      </c>
      <c r="B5975" t="s">
        <v>4944</v>
      </c>
      <c r="C5975" t="s">
        <v>4945</v>
      </c>
      <c r="D5975" t="s">
        <v>1774</v>
      </c>
      <c r="E5975" t="s">
        <v>1775</v>
      </c>
      <c r="F5975" t="s">
        <v>52</v>
      </c>
      <c r="G5975" t="s">
        <v>16231</v>
      </c>
      <c r="H5975" t="s">
        <v>47054</v>
      </c>
      <c r="I5975" t="s">
        <v>47114</v>
      </c>
      <c r="J5975" t="s">
        <v>47115</v>
      </c>
      <c r="K5975" t="s">
        <v>47113</v>
      </c>
      <c r="L5975">
        <v>50.08</v>
      </c>
      <c r="M5975">
        <v>137</v>
      </c>
      <c r="N5975">
        <v>0</v>
      </c>
      <c r="O5975">
        <v>137</v>
      </c>
      <c r="P5975">
        <v>0</v>
      </c>
    </row>
    <row r="5976" spans="1:16" x14ac:dyDescent="0.25">
      <c r="A5976" t="s">
        <v>28393</v>
      </c>
      <c r="B5976" t="s">
        <v>4946</v>
      </c>
      <c r="C5976" t="s">
        <v>4947</v>
      </c>
      <c r="D5976" t="s">
        <v>27</v>
      </c>
      <c r="E5976" t="s">
        <v>622</v>
      </c>
      <c r="F5976" t="s">
        <v>2</v>
      </c>
      <c r="G5976" t="s">
        <v>16231</v>
      </c>
      <c r="H5976" t="s">
        <v>47054</v>
      </c>
      <c r="I5976" t="s">
        <v>47111</v>
      </c>
      <c r="J5976" t="s">
        <v>47112</v>
      </c>
      <c r="K5976" t="s">
        <v>47113</v>
      </c>
      <c r="L5976">
        <v>44.8</v>
      </c>
      <c r="M5976">
        <v>120</v>
      </c>
      <c r="N5976">
        <v>0</v>
      </c>
      <c r="O5976">
        <v>120</v>
      </c>
      <c r="P5976">
        <v>0</v>
      </c>
    </row>
    <row r="5977" spans="1:16" x14ac:dyDescent="0.25">
      <c r="A5977" t="s">
        <v>28394</v>
      </c>
      <c r="B5977" t="s">
        <v>4946</v>
      </c>
      <c r="C5977" t="s">
        <v>4947</v>
      </c>
      <c r="D5977" t="s">
        <v>970</v>
      </c>
      <c r="E5977" t="s">
        <v>971</v>
      </c>
      <c r="F5977" t="s">
        <v>2</v>
      </c>
      <c r="G5977" t="s">
        <v>16231</v>
      </c>
      <c r="H5977" t="s">
        <v>47054</v>
      </c>
      <c r="I5977" t="s">
        <v>47111</v>
      </c>
      <c r="J5977" t="s">
        <v>47112</v>
      </c>
      <c r="K5977" t="s">
        <v>47113</v>
      </c>
      <c r="L5977">
        <v>50.54</v>
      </c>
      <c r="M5977">
        <v>90</v>
      </c>
      <c r="N5977">
        <v>0</v>
      </c>
      <c r="O5977">
        <v>90</v>
      </c>
      <c r="P5977">
        <v>0</v>
      </c>
    </row>
    <row r="5978" spans="1:16" x14ac:dyDescent="0.25">
      <c r="A5978" t="s">
        <v>28395</v>
      </c>
      <c r="B5978" t="s">
        <v>4948</v>
      </c>
      <c r="C5978" t="s">
        <v>4949</v>
      </c>
      <c r="D5978" t="s">
        <v>2468</v>
      </c>
      <c r="E5978" t="s">
        <v>2469</v>
      </c>
      <c r="F5978" t="s">
        <v>2</v>
      </c>
      <c r="G5978" t="s">
        <v>16231</v>
      </c>
      <c r="I5978" t="s">
        <v>47111</v>
      </c>
      <c r="J5978" t="s">
        <v>47112</v>
      </c>
      <c r="K5978" t="s">
        <v>47113</v>
      </c>
      <c r="L5978">
        <v>60.7</v>
      </c>
      <c r="M5978">
        <v>128</v>
      </c>
      <c r="N5978">
        <v>0</v>
      </c>
      <c r="O5978">
        <v>128</v>
      </c>
      <c r="P5978">
        <v>0</v>
      </c>
    </row>
    <row r="5979" spans="1:16" x14ac:dyDescent="0.25">
      <c r="A5979" t="s">
        <v>28396</v>
      </c>
      <c r="B5979" t="s">
        <v>4948</v>
      </c>
      <c r="C5979" t="s">
        <v>4949</v>
      </c>
      <c r="D5979" t="s">
        <v>2407</v>
      </c>
      <c r="E5979" t="s">
        <v>2408</v>
      </c>
      <c r="F5979" t="s">
        <v>2</v>
      </c>
      <c r="G5979" t="s">
        <v>16231</v>
      </c>
      <c r="I5979" t="s">
        <v>47111</v>
      </c>
      <c r="J5979" t="s">
        <v>47112</v>
      </c>
      <c r="K5979" t="s">
        <v>47113</v>
      </c>
      <c r="L5979">
        <v>49.03</v>
      </c>
      <c r="M5979">
        <v>136</v>
      </c>
      <c r="N5979">
        <v>0</v>
      </c>
      <c r="O5979">
        <v>136</v>
      </c>
      <c r="P5979">
        <v>0</v>
      </c>
    </row>
    <row r="5980" spans="1:16" x14ac:dyDescent="0.25">
      <c r="A5980" t="s">
        <v>28397</v>
      </c>
      <c r="B5980" t="s">
        <v>4948</v>
      </c>
      <c r="C5980" t="s">
        <v>4949</v>
      </c>
      <c r="D5980" t="s">
        <v>1046</v>
      </c>
      <c r="E5980" t="s">
        <v>1047</v>
      </c>
      <c r="F5980" t="s">
        <v>2</v>
      </c>
      <c r="G5980" t="s">
        <v>16231</v>
      </c>
      <c r="I5980" t="s">
        <v>47111</v>
      </c>
      <c r="J5980" t="s">
        <v>47112</v>
      </c>
      <c r="K5980" t="s">
        <v>47113</v>
      </c>
      <c r="L5980">
        <v>59.03</v>
      </c>
      <c r="M5980">
        <v>132</v>
      </c>
      <c r="N5980">
        <v>0</v>
      </c>
      <c r="O5980">
        <v>132</v>
      </c>
      <c r="P5980">
        <v>0</v>
      </c>
    </row>
    <row r="5981" spans="1:16" x14ac:dyDescent="0.25">
      <c r="A5981" t="s">
        <v>28398</v>
      </c>
      <c r="B5981" t="s">
        <v>4950</v>
      </c>
      <c r="C5981" t="s">
        <v>4949</v>
      </c>
      <c r="D5981" t="s">
        <v>2468</v>
      </c>
      <c r="E5981" t="s">
        <v>2469</v>
      </c>
      <c r="F5981" t="s">
        <v>2</v>
      </c>
      <c r="G5981" t="s">
        <v>16231</v>
      </c>
      <c r="I5981" t="s">
        <v>47111</v>
      </c>
      <c r="J5981" t="s">
        <v>47112</v>
      </c>
      <c r="K5981" t="s">
        <v>47113</v>
      </c>
      <c r="L5981">
        <v>60.7</v>
      </c>
      <c r="M5981">
        <v>128</v>
      </c>
      <c r="N5981">
        <v>0</v>
      </c>
      <c r="O5981">
        <v>128</v>
      </c>
      <c r="P5981">
        <v>0</v>
      </c>
    </row>
    <row r="5982" spans="1:16" x14ac:dyDescent="0.25">
      <c r="A5982" t="s">
        <v>28399</v>
      </c>
      <c r="B5982" t="s">
        <v>4950</v>
      </c>
      <c r="C5982" t="s">
        <v>4949</v>
      </c>
      <c r="D5982" t="s">
        <v>2407</v>
      </c>
      <c r="E5982" t="s">
        <v>2408</v>
      </c>
      <c r="F5982" t="s">
        <v>2</v>
      </c>
      <c r="G5982" t="s">
        <v>16231</v>
      </c>
      <c r="I5982" t="s">
        <v>47111</v>
      </c>
      <c r="J5982" t="s">
        <v>47112</v>
      </c>
      <c r="K5982" t="s">
        <v>47113</v>
      </c>
      <c r="L5982">
        <v>49.03</v>
      </c>
      <c r="M5982">
        <v>136</v>
      </c>
      <c r="N5982">
        <v>0</v>
      </c>
      <c r="O5982">
        <v>136</v>
      </c>
      <c r="P5982">
        <v>0</v>
      </c>
    </row>
    <row r="5983" spans="1:16" x14ac:dyDescent="0.25">
      <c r="A5983" t="s">
        <v>28400</v>
      </c>
      <c r="B5983" t="s">
        <v>4950</v>
      </c>
      <c r="C5983" t="s">
        <v>4949</v>
      </c>
      <c r="D5983" t="s">
        <v>1046</v>
      </c>
      <c r="E5983" t="s">
        <v>1047</v>
      </c>
      <c r="F5983" t="s">
        <v>2</v>
      </c>
      <c r="G5983" t="s">
        <v>16231</v>
      </c>
      <c r="I5983" t="s">
        <v>47111</v>
      </c>
      <c r="J5983" t="s">
        <v>47112</v>
      </c>
      <c r="K5983" t="s">
        <v>47113</v>
      </c>
      <c r="L5983">
        <v>59.03</v>
      </c>
      <c r="M5983">
        <v>132</v>
      </c>
      <c r="N5983">
        <v>0</v>
      </c>
      <c r="O5983">
        <v>132</v>
      </c>
      <c r="P5983">
        <v>0</v>
      </c>
    </row>
    <row r="5984" spans="1:16" x14ac:dyDescent="0.25">
      <c r="A5984" t="s">
        <v>28401</v>
      </c>
      <c r="B5984" t="s">
        <v>4951</v>
      </c>
      <c r="C5984" t="s">
        <v>4949</v>
      </c>
      <c r="D5984" t="s">
        <v>2468</v>
      </c>
      <c r="E5984" t="s">
        <v>2469</v>
      </c>
      <c r="F5984" t="s">
        <v>2</v>
      </c>
      <c r="G5984" t="s">
        <v>16231</v>
      </c>
      <c r="I5984" t="s">
        <v>47111</v>
      </c>
      <c r="J5984" t="s">
        <v>47112</v>
      </c>
      <c r="K5984" t="s">
        <v>47113</v>
      </c>
      <c r="L5984">
        <v>60.7</v>
      </c>
      <c r="M5984">
        <v>128</v>
      </c>
      <c r="N5984">
        <v>0</v>
      </c>
      <c r="O5984">
        <v>128</v>
      </c>
      <c r="P5984">
        <v>0</v>
      </c>
    </row>
    <row r="5985" spans="1:16" x14ac:dyDescent="0.25">
      <c r="A5985" t="s">
        <v>28402</v>
      </c>
      <c r="B5985" t="s">
        <v>4951</v>
      </c>
      <c r="C5985" t="s">
        <v>4949</v>
      </c>
      <c r="D5985" t="s">
        <v>2407</v>
      </c>
      <c r="E5985" t="s">
        <v>2408</v>
      </c>
      <c r="F5985" t="s">
        <v>2</v>
      </c>
      <c r="G5985" t="s">
        <v>16231</v>
      </c>
      <c r="I5985" t="s">
        <v>47111</v>
      </c>
      <c r="J5985" t="s">
        <v>47112</v>
      </c>
      <c r="K5985" t="s">
        <v>47113</v>
      </c>
      <c r="L5985">
        <v>49.03</v>
      </c>
      <c r="M5985">
        <v>136</v>
      </c>
      <c r="N5985">
        <v>0</v>
      </c>
      <c r="O5985">
        <v>136</v>
      </c>
      <c r="P5985">
        <v>0</v>
      </c>
    </row>
    <row r="5986" spans="1:16" x14ac:dyDescent="0.25">
      <c r="A5986" t="s">
        <v>28403</v>
      </c>
      <c r="B5986" t="s">
        <v>4951</v>
      </c>
      <c r="C5986" t="s">
        <v>4949</v>
      </c>
      <c r="D5986" t="s">
        <v>1046</v>
      </c>
      <c r="E5986" t="s">
        <v>1047</v>
      </c>
      <c r="F5986" t="s">
        <v>2</v>
      </c>
      <c r="G5986" t="s">
        <v>16231</v>
      </c>
      <c r="I5986" t="s">
        <v>47111</v>
      </c>
      <c r="J5986" t="s">
        <v>47112</v>
      </c>
      <c r="K5986" t="s">
        <v>47113</v>
      </c>
      <c r="L5986">
        <v>59.03</v>
      </c>
      <c r="M5986">
        <v>132</v>
      </c>
      <c r="N5986">
        <v>0</v>
      </c>
      <c r="O5986">
        <v>132</v>
      </c>
      <c r="P5986">
        <v>0</v>
      </c>
    </row>
    <row r="5987" spans="1:16" x14ac:dyDescent="0.25">
      <c r="A5987" t="s">
        <v>28404</v>
      </c>
      <c r="B5987" t="s">
        <v>4952</v>
      </c>
      <c r="C5987" t="s">
        <v>4949</v>
      </c>
      <c r="D5987" t="s">
        <v>2468</v>
      </c>
      <c r="E5987" t="s">
        <v>2469</v>
      </c>
      <c r="F5987" t="s">
        <v>2</v>
      </c>
      <c r="G5987" t="s">
        <v>16231</v>
      </c>
      <c r="I5987" t="s">
        <v>47111</v>
      </c>
      <c r="J5987" t="s">
        <v>47112</v>
      </c>
      <c r="K5987" t="s">
        <v>47113</v>
      </c>
      <c r="L5987">
        <v>60.7</v>
      </c>
      <c r="M5987">
        <v>128</v>
      </c>
      <c r="N5987">
        <v>0</v>
      </c>
      <c r="O5987">
        <v>128</v>
      </c>
      <c r="P5987">
        <v>0</v>
      </c>
    </row>
    <row r="5988" spans="1:16" x14ac:dyDescent="0.25">
      <c r="A5988" t="s">
        <v>28405</v>
      </c>
      <c r="B5988" t="s">
        <v>4952</v>
      </c>
      <c r="C5988" t="s">
        <v>4949</v>
      </c>
      <c r="D5988" t="s">
        <v>2407</v>
      </c>
      <c r="E5988" t="s">
        <v>2408</v>
      </c>
      <c r="F5988" t="s">
        <v>2</v>
      </c>
      <c r="G5988" t="s">
        <v>16231</v>
      </c>
      <c r="I5988" t="s">
        <v>47111</v>
      </c>
      <c r="J5988" t="s">
        <v>47112</v>
      </c>
      <c r="K5988" t="s">
        <v>47113</v>
      </c>
      <c r="L5988">
        <v>49.03</v>
      </c>
      <c r="M5988">
        <v>136</v>
      </c>
      <c r="N5988">
        <v>0</v>
      </c>
      <c r="O5988">
        <v>136</v>
      </c>
      <c r="P5988">
        <v>0</v>
      </c>
    </row>
    <row r="5989" spans="1:16" x14ac:dyDescent="0.25">
      <c r="A5989" t="s">
        <v>28406</v>
      </c>
      <c r="B5989" t="s">
        <v>4952</v>
      </c>
      <c r="C5989" t="s">
        <v>4949</v>
      </c>
      <c r="D5989" t="s">
        <v>1046</v>
      </c>
      <c r="E5989" t="s">
        <v>1047</v>
      </c>
      <c r="F5989" t="s">
        <v>2</v>
      </c>
      <c r="G5989" t="s">
        <v>16231</v>
      </c>
      <c r="I5989" t="s">
        <v>47111</v>
      </c>
      <c r="J5989" t="s">
        <v>47112</v>
      </c>
      <c r="K5989" t="s">
        <v>47113</v>
      </c>
      <c r="L5989">
        <v>59.03</v>
      </c>
      <c r="M5989">
        <v>132</v>
      </c>
      <c r="N5989">
        <v>0</v>
      </c>
      <c r="O5989">
        <v>132</v>
      </c>
      <c r="P5989">
        <v>0</v>
      </c>
    </row>
    <row r="5990" spans="1:16" x14ac:dyDescent="0.25">
      <c r="A5990" t="s">
        <v>28407</v>
      </c>
      <c r="B5990" t="s">
        <v>4953</v>
      </c>
      <c r="C5990" t="s">
        <v>4949</v>
      </c>
      <c r="D5990" t="s">
        <v>2468</v>
      </c>
      <c r="E5990" t="s">
        <v>2469</v>
      </c>
      <c r="F5990" t="s">
        <v>2</v>
      </c>
      <c r="G5990" t="s">
        <v>16231</v>
      </c>
      <c r="I5990" t="s">
        <v>47111</v>
      </c>
      <c r="J5990" t="s">
        <v>47112</v>
      </c>
      <c r="K5990" t="s">
        <v>47113</v>
      </c>
      <c r="L5990">
        <v>60.7</v>
      </c>
      <c r="M5990">
        <v>128</v>
      </c>
      <c r="N5990">
        <v>0</v>
      </c>
      <c r="O5990">
        <v>128</v>
      </c>
      <c r="P5990">
        <v>0</v>
      </c>
    </row>
    <row r="5991" spans="1:16" x14ac:dyDescent="0.25">
      <c r="A5991" t="s">
        <v>28408</v>
      </c>
      <c r="B5991" t="s">
        <v>4953</v>
      </c>
      <c r="C5991" t="s">
        <v>4949</v>
      </c>
      <c r="D5991" t="s">
        <v>2407</v>
      </c>
      <c r="E5991" t="s">
        <v>2408</v>
      </c>
      <c r="F5991" t="s">
        <v>2</v>
      </c>
      <c r="G5991" t="s">
        <v>16231</v>
      </c>
      <c r="I5991" t="s">
        <v>47111</v>
      </c>
      <c r="J5991" t="s">
        <v>47112</v>
      </c>
      <c r="K5991" t="s">
        <v>47113</v>
      </c>
      <c r="L5991">
        <v>49.03</v>
      </c>
      <c r="M5991">
        <v>136</v>
      </c>
      <c r="N5991">
        <v>0</v>
      </c>
      <c r="O5991">
        <v>136</v>
      </c>
      <c r="P5991">
        <v>0</v>
      </c>
    </row>
    <row r="5992" spans="1:16" x14ac:dyDescent="0.25">
      <c r="A5992" t="s">
        <v>28409</v>
      </c>
      <c r="B5992" t="s">
        <v>4953</v>
      </c>
      <c r="C5992" t="s">
        <v>4949</v>
      </c>
      <c r="D5992" t="s">
        <v>1046</v>
      </c>
      <c r="E5992" t="s">
        <v>1047</v>
      </c>
      <c r="F5992" t="s">
        <v>2</v>
      </c>
      <c r="G5992" t="s">
        <v>16231</v>
      </c>
      <c r="I5992" t="s">
        <v>47111</v>
      </c>
      <c r="J5992" t="s">
        <v>47112</v>
      </c>
      <c r="K5992" t="s">
        <v>47113</v>
      </c>
      <c r="L5992">
        <v>59.03</v>
      </c>
      <c r="M5992">
        <v>132</v>
      </c>
      <c r="N5992">
        <v>0</v>
      </c>
      <c r="O5992">
        <v>132</v>
      </c>
      <c r="P5992">
        <v>0</v>
      </c>
    </row>
    <row r="5993" spans="1:16" x14ac:dyDescent="0.25">
      <c r="A5993" t="s">
        <v>28410</v>
      </c>
      <c r="B5993" t="s">
        <v>4954</v>
      </c>
      <c r="C5993" t="s">
        <v>4955</v>
      </c>
      <c r="D5993" t="s">
        <v>2468</v>
      </c>
      <c r="E5993" t="s">
        <v>2469</v>
      </c>
      <c r="F5993" t="s">
        <v>2</v>
      </c>
      <c r="G5993" t="s">
        <v>16231</v>
      </c>
      <c r="H5993" t="s">
        <v>47054</v>
      </c>
      <c r="I5993" t="s">
        <v>47111</v>
      </c>
      <c r="J5993" t="s">
        <v>47112</v>
      </c>
      <c r="K5993" t="s">
        <v>47113</v>
      </c>
      <c r="L5993">
        <v>60.7</v>
      </c>
      <c r="M5993">
        <v>128</v>
      </c>
      <c r="N5993">
        <v>0</v>
      </c>
      <c r="O5993">
        <v>128</v>
      </c>
      <c r="P5993">
        <v>0</v>
      </c>
    </row>
    <row r="5994" spans="1:16" x14ac:dyDescent="0.25">
      <c r="A5994" t="s">
        <v>28411</v>
      </c>
      <c r="B5994" t="s">
        <v>4954</v>
      </c>
      <c r="C5994" t="s">
        <v>4955</v>
      </c>
      <c r="D5994" t="s">
        <v>2407</v>
      </c>
      <c r="E5994" t="s">
        <v>2408</v>
      </c>
      <c r="F5994" t="s">
        <v>2</v>
      </c>
      <c r="G5994" t="s">
        <v>16231</v>
      </c>
      <c r="H5994" t="s">
        <v>47054</v>
      </c>
      <c r="I5994" t="s">
        <v>47111</v>
      </c>
      <c r="J5994" t="s">
        <v>47112</v>
      </c>
      <c r="K5994" t="s">
        <v>47113</v>
      </c>
      <c r="L5994">
        <v>54.17</v>
      </c>
      <c r="M5994">
        <v>136</v>
      </c>
      <c r="N5994">
        <v>0</v>
      </c>
      <c r="O5994">
        <v>136</v>
      </c>
      <c r="P5994">
        <v>0</v>
      </c>
    </row>
    <row r="5995" spans="1:16" x14ac:dyDescent="0.25">
      <c r="A5995" t="s">
        <v>28412</v>
      </c>
      <c r="B5995" t="s">
        <v>4954</v>
      </c>
      <c r="C5995" t="s">
        <v>4955</v>
      </c>
      <c r="D5995" t="s">
        <v>1046</v>
      </c>
      <c r="E5995" t="s">
        <v>1047</v>
      </c>
      <c r="F5995" t="s">
        <v>2</v>
      </c>
      <c r="G5995" t="s">
        <v>16231</v>
      </c>
      <c r="H5995" t="s">
        <v>47054</v>
      </c>
      <c r="I5995" t="s">
        <v>47111</v>
      </c>
      <c r="J5995" t="s">
        <v>47112</v>
      </c>
      <c r="K5995" t="s">
        <v>47113</v>
      </c>
      <c r="L5995">
        <v>59.03</v>
      </c>
      <c r="M5995">
        <v>132</v>
      </c>
      <c r="N5995">
        <v>0</v>
      </c>
      <c r="O5995">
        <v>132</v>
      </c>
      <c r="P5995">
        <v>0</v>
      </c>
    </row>
    <row r="5996" spans="1:16" x14ac:dyDescent="0.25">
      <c r="A5996" t="s">
        <v>28413</v>
      </c>
      <c r="B5996" t="s">
        <v>4956</v>
      </c>
      <c r="C5996" t="s">
        <v>4955</v>
      </c>
      <c r="D5996" t="s">
        <v>2468</v>
      </c>
      <c r="E5996" t="s">
        <v>2469</v>
      </c>
      <c r="F5996" t="s">
        <v>2</v>
      </c>
      <c r="G5996" t="s">
        <v>16231</v>
      </c>
      <c r="I5996" t="s">
        <v>47111</v>
      </c>
      <c r="J5996" t="s">
        <v>47112</v>
      </c>
      <c r="K5996" t="s">
        <v>47113</v>
      </c>
      <c r="L5996">
        <v>60.7</v>
      </c>
      <c r="M5996">
        <v>128</v>
      </c>
      <c r="N5996">
        <v>0</v>
      </c>
      <c r="O5996">
        <v>128</v>
      </c>
      <c r="P5996">
        <v>0</v>
      </c>
    </row>
    <row r="5997" spans="1:16" x14ac:dyDescent="0.25">
      <c r="A5997" t="s">
        <v>28414</v>
      </c>
      <c r="B5997" t="s">
        <v>4956</v>
      </c>
      <c r="C5997" t="s">
        <v>4955</v>
      </c>
      <c r="D5997" t="s">
        <v>2407</v>
      </c>
      <c r="E5997" t="s">
        <v>2408</v>
      </c>
      <c r="F5997" t="s">
        <v>2</v>
      </c>
      <c r="G5997" t="s">
        <v>16231</v>
      </c>
      <c r="I5997" t="s">
        <v>47111</v>
      </c>
      <c r="J5997" t="s">
        <v>47112</v>
      </c>
      <c r="K5997" t="s">
        <v>47113</v>
      </c>
      <c r="L5997">
        <v>49.03</v>
      </c>
      <c r="M5997">
        <v>136</v>
      </c>
      <c r="N5997">
        <v>0</v>
      </c>
      <c r="O5997">
        <v>136</v>
      </c>
      <c r="P5997">
        <v>0</v>
      </c>
    </row>
    <row r="5998" spans="1:16" x14ac:dyDescent="0.25">
      <c r="A5998" t="s">
        <v>28415</v>
      </c>
      <c r="B5998" t="s">
        <v>4956</v>
      </c>
      <c r="C5998" t="s">
        <v>4955</v>
      </c>
      <c r="D5998" t="s">
        <v>1046</v>
      </c>
      <c r="E5998" t="s">
        <v>1047</v>
      </c>
      <c r="F5998" t="s">
        <v>2</v>
      </c>
      <c r="G5998" t="s">
        <v>16231</v>
      </c>
      <c r="I5998" t="s">
        <v>47111</v>
      </c>
      <c r="J5998" t="s">
        <v>47112</v>
      </c>
      <c r="K5998" t="s">
        <v>47113</v>
      </c>
      <c r="L5998">
        <v>59.03</v>
      </c>
      <c r="M5998">
        <v>132</v>
      </c>
      <c r="N5998">
        <v>0</v>
      </c>
      <c r="O5998">
        <v>132</v>
      </c>
      <c r="P5998">
        <v>0</v>
      </c>
    </row>
    <row r="5999" spans="1:16" x14ac:dyDescent="0.25">
      <c r="A5999" t="s">
        <v>28416</v>
      </c>
      <c r="B5999" t="s">
        <v>4957</v>
      </c>
      <c r="C5999" t="s">
        <v>4955</v>
      </c>
      <c r="D5999" t="s">
        <v>2468</v>
      </c>
      <c r="E5999" t="s">
        <v>2469</v>
      </c>
      <c r="F5999" t="s">
        <v>2</v>
      </c>
      <c r="G5999" t="s">
        <v>16231</v>
      </c>
      <c r="I5999" t="s">
        <v>47111</v>
      </c>
      <c r="J5999" t="s">
        <v>47112</v>
      </c>
      <c r="K5999" t="s">
        <v>47113</v>
      </c>
      <c r="L5999">
        <v>60.7</v>
      </c>
      <c r="M5999">
        <v>128</v>
      </c>
      <c r="N5999">
        <v>0</v>
      </c>
      <c r="O5999">
        <v>128</v>
      </c>
      <c r="P5999">
        <v>0</v>
      </c>
    </row>
    <row r="6000" spans="1:16" x14ac:dyDescent="0.25">
      <c r="A6000" t="s">
        <v>28417</v>
      </c>
      <c r="B6000" t="s">
        <v>4957</v>
      </c>
      <c r="C6000" t="s">
        <v>4955</v>
      </c>
      <c r="D6000" t="s">
        <v>2407</v>
      </c>
      <c r="E6000" t="s">
        <v>2408</v>
      </c>
      <c r="F6000" t="s">
        <v>2</v>
      </c>
      <c r="G6000" t="s">
        <v>16231</v>
      </c>
      <c r="I6000" t="s">
        <v>47111</v>
      </c>
      <c r="J6000" t="s">
        <v>47112</v>
      </c>
      <c r="K6000" t="s">
        <v>47113</v>
      </c>
      <c r="L6000">
        <v>49.03</v>
      </c>
      <c r="M6000">
        <v>136</v>
      </c>
      <c r="N6000">
        <v>0</v>
      </c>
      <c r="O6000">
        <v>136</v>
      </c>
      <c r="P6000">
        <v>0</v>
      </c>
    </row>
    <row r="6001" spans="1:16" x14ac:dyDescent="0.25">
      <c r="A6001" t="s">
        <v>28418</v>
      </c>
      <c r="B6001" t="s">
        <v>4957</v>
      </c>
      <c r="C6001" t="s">
        <v>4955</v>
      </c>
      <c r="D6001" t="s">
        <v>1046</v>
      </c>
      <c r="E6001" t="s">
        <v>1047</v>
      </c>
      <c r="F6001" t="s">
        <v>2</v>
      </c>
      <c r="G6001" t="s">
        <v>16231</v>
      </c>
      <c r="I6001" t="s">
        <v>47111</v>
      </c>
      <c r="J6001" t="s">
        <v>47112</v>
      </c>
      <c r="K6001" t="s">
        <v>47113</v>
      </c>
      <c r="L6001">
        <v>59.03</v>
      </c>
      <c r="M6001">
        <v>132</v>
      </c>
      <c r="N6001">
        <v>0</v>
      </c>
      <c r="O6001">
        <v>132</v>
      </c>
      <c r="P6001">
        <v>0</v>
      </c>
    </row>
    <row r="6002" spans="1:16" x14ac:dyDescent="0.25">
      <c r="A6002" t="s">
        <v>28419</v>
      </c>
      <c r="B6002" t="s">
        <v>4958</v>
      </c>
      <c r="C6002" t="s">
        <v>4955</v>
      </c>
      <c r="D6002" t="s">
        <v>2468</v>
      </c>
      <c r="E6002" t="s">
        <v>2469</v>
      </c>
      <c r="F6002" t="s">
        <v>2</v>
      </c>
      <c r="G6002" t="s">
        <v>16231</v>
      </c>
      <c r="H6002" t="s">
        <v>47054</v>
      </c>
      <c r="I6002" t="s">
        <v>47111</v>
      </c>
      <c r="J6002" t="s">
        <v>47112</v>
      </c>
      <c r="K6002" t="s">
        <v>47113</v>
      </c>
      <c r="L6002">
        <v>60.7</v>
      </c>
      <c r="M6002">
        <v>128</v>
      </c>
      <c r="N6002">
        <v>0</v>
      </c>
      <c r="O6002">
        <v>128</v>
      </c>
      <c r="P6002">
        <v>0</v>
      </c>
    </row>
    <row r="6003" spans="1:16" x14ac:dyDescent="0.25">
      <c r="A6003" t="s">
        <v>28420</v>
      </c>
      <c r="B6003" t="s">
        <v>4958</v>
      </c>
      <c r="C6003" t="s">
        <v>4955</v>
      </c>
      <c r="D6003" t="s">
        <v>2407</v>
      </c>
      <c r="E6003" t="s">
        <v>2408</v>
      </c>
      <c r="F6003" t="s">
        <v>2</v>
      </c>
      <c r="G6003" t="s">
        <v>16231</v>
      </c>
      <c r="H6003" t="s">
        <v>47054</v>
      </c>
      <c r="I6003" t="s">
        <v>47111</v>
      </c>
      <c r="J6003" t="s">
        <v>47112</v>
      </c>
      <c r="K6003" t="s">
        <v>47113</v>
      </c>
      <c r="L6003">
        <v>54.17</v>
      </c>
      <c r="M6003">
        <v>136</v>
      </c>
      <c r="N6003">
        <v>0</v>
      </c>
      <c r="O6003">
        <v>136</v>
      </c>
      <c r="P6003">
        <v>0</v>
      </c>
    </row>
    <row r="6004" spans="1:16" x14ac:dyDescent="0.25">
      <c r="A6004" t="s">
        <v>28421</v>
      </c>
      <c r="B6004" t="s">
        <v>4958</v>
      </c>
      <c r="C6004" t="s">
        <v>4955</v>
      </c>
      <c r="D6004" t="s">
        <v>1046</v>
      </c>
      <c r="E6004" t="s">
        <v>1047</v>
      </c>
      <c r="F6004" t="s">
        <v>2</v>
      </c>
      <c r="G6004" t="s">
        <v>16231</v>
      </c>
      <c r="H6004" t="s">
        <v>47054</v>
      </c>
      <c r="I6004" t="s">
        <v>47111</v>
      </c>
      <c r="J6004" t="s">
        <v>47112</v>
      </c>
      <c r="K6004" t="s">
        <v>47113</v>
      </c>
      <c r="L6004">
        <v>59.92</v>
      </c>
      <c r="M6004">
        <v>132</v>
      </c>
      <c r="N6004">
        <v>0</v>
      </c>
      <c r="O6004">
        <v>132</v>
      </c>
      <c r="P6004">
        <v>0</v>
      </c>
    </row>
    <row r="6005" spans="1:16" x14ac:dyDescent="0.25">
      <c r="A6005" t="s">
        <v>28422</v>
      </c>
      <c r="B6005" t="s">
        <v>4959</v>
      </c>
      <c r="C6005" t="s">
        <v>4955</v>
      </c>
      <c r="D6005" t="s">
        <v>2468</v>
      </c>
      <c r="E6005" t="s">
        <v>2469</v>
      </c>
      <c r="F6005" t="s">
        <v>2</v>
      </c>
      <c r="G6005" t="s">
        <v>16231</v>
      </c>
      <c r="H6005" t="s">
        <v>47054</v>
      </c>
      <c r="I6005" t="s">
        <v>47111</v>
      </c>
      <c r="J6005" t="s">
        <v>47112</v>
      </c>
      <c r="K6005" t="s">
        <v>47113</v>
      </c>
      <c r="L6005">
        <v>60.7</v>
      </c>
      <c r="M6005">
        <v>128</v>
      </c>
      <c r="N6005">
        <v>0</v>
      </c>
      <c r="O6005">
        <v>128</v>
      </c>
      <c r="P6005">
        <v>0</v>
      </c>
    </row>
    <row r="6006" spans="1:16" x14ac:dyDescent="0.25">
      <c r="A6006" t="s">
        <v>28423</v>
      </c>
      <c r="B6006" t="s">
        <v>4959</v>
      </c>
      <c r="C6006" t="s">
        <v>4955</v>
      </c>
      <c r="D6006" t="s">
        <v>2407</v>
      </c>
      <c r="E6006" t="s">
        <v>2408</v>
      </c>
      <c r="F6006" t="s">
        <v>2</v>
      </c>
      <c r="G6006" t="s">
        <v>16231</v>
      </c>
      <c r="H6006" t="s">
        <v>47054</v>
      </c>
      <c r="I6006" t="s">
        <v>47111</v>
      </c>
      <c r="J6006" t="s">
        <v>47112</v>
      </c>
      <c r="K6006" t="s">
        <v>47113</v>
      </c>
      <c r="L6006">
        <v>55.17</v>
      </c>
      <c r="M6006">
        <v>136</v>
      </c>
      <c r="N6006">
        <v>0</v>
      </c>
      <c r="O6006">
        <v>136</v>
      </c>
      <c r="P6006">
        <v>0</v>
      </c>
    </row>
    <row r="6007" spans="1:16" x14ac:dyDescent="0.25">
      <c r="A6007" t="s">
        <v>28424</v>
      </c>
      <c r="B6007" t="s">
        <v>4959</v>
      </c>
      <c r="C6007" t="s">
        <v>4955</v>
      </c>
      <c r="D6007" t="s">
        <v>1046</v>
      </c>
      <c r="E6007" t="s">
        <v>1047</v>
      </c>
      <c r="F6007" t="s">
        <v>2</v>
      </c>
      <c r="G6007" t="s">
        <v>16231</v>
      </c>
      <c r="H6007" t="s">
        <v>47054</v>
      </c>
      <c r="I6007" t="s">
        <v>47111</v>
      </c>
      <c r="J6007" t="s">
        <v>47112</v>
      </c>
      <c r="K6007" t="s">
        <v>47113</v>
      </c>
      <c r="L6007">
        <v>59.03</v>
      </c>
      <c r="M6007">
        <v>132</v>
      </c>
      <c r="N6007">
        <v>0</v>
      </c>
      <c r="O6007">
        <v>132</v>
      </c>
      <c r="P6007">
        <v>0</v>
      </c>
    </row>
    <row r="6008" spans="1:16" x14ac:dyDescent="0.25">
      <c r="A6008" t="s">
        <v>28425</v>
      </c>
      <c r="B6008" t="s">
        <v>4960</v>
      </c>
      <c r="C6008" t="s">
        <v>4955</v>
      </c>
      <c r="D6008" t="s">
        <v>2468</v>
      </c>
      <c r="E6008" t="s">
        <v>2469</v>
      </c>
      <c r="F6008" t="s">
        <v>2</v>
      </c>
      <c r="G6008" t="s">
        <v>16231</v>
      </c>
      <c r="H6008" t="s">
        <v>47054</v>
      </c>
      <c r="I6008" t="s">
        <v>47111</v>
      </c>
      <c r="J6008" t="s">
        <v>47112</v>
      </c>
      <c r="K6008" t="s">
        <v>47113</v>
      </c>
      <c r="L6008">
        <v>60.7</v>
      </c>
      <c r="M6008">
        <v>128</v>
      </c>
      <c r="N6008">
        <v>0</v>
      </c>
      <c r="O6008">
        <v>128</v>
      </c>
      <c r="P6008">
        <v>0</v>
      </c>
    </row>
    <row r="6009" spans="1:16" x14ac:dyDescent="0.25">
      <c r="A6009" t="s">
        <v>28426</v>
      </c>
      <c r="B6009" t="s">
        <v>4960</v>
      </c>
      <c r="C6009" t="s">
        <v>4955</v>
      </c>
      <c r="D6009" t="s">
        <v>2407</v>
      </c>
      <c r="E6009" t="s">
        <v>2408</v>
      </c>
      <c r="F6009" t="s">
        <v>2</v>
      </c>
      <c r="G6009" t="s">
        <v>16231</v>
      </c>
      <c r="H6009" t="s">
        <v>47054</v>
      </c>
      <c r="I6009" t="s">
        <v>47111</v>
      </c>
      <c r="J6009" t="s">
        <v>47112</v>
      </c>
      <c r="K6009" t="s">
        <v>47113</v>
      </c>
      <c r="L6009">
        <v>55.1</v>
      </c>
      <c r="M6009">
        <v>136</v>
      </c>
      <c r="N6009">
        <v>0</v>
      </c>
      <c r="O6009">
        <v>136</v>
      </c>
      <c r="P6009">
        <v>0</v>
      </c>
    </row>
    <row r="6010" spans="1:16" x14ac:dyDescent="0.25">
      <c r="A6010" t="s">
        <v>28427</v>
      </c>
      <c r="B6010" t="s">
        <v>4960</v>
      </c>
      <c r="C6010" t="s">
        <v>4955</v>
      </c>
      <c r="D6010" t="s">
        <v>1046</v>
      </c>
      <c r="E6010" t="s">
        <v>1047</v>
      </c>
      <c r="F6010" t="s">
        <v>2</v>
      </c>
      <c r="G6010" t="s">
        <v>16231</v>
      </c>
      <c r="H6010" t="s">
        <v>47054</v>
      </c>
      <c r="I6010" t="s">
        <v>47111</v>
      </c>
      <c r="J6010" t="s">
        <v>47112</v>
      </c>
      <c r="K6010" t="s">
        <v>47113</v>
      </c>
      <c r="L6010">
        <v>59.03</v>
      </c>
      <c r="M6010">
        <v>132</v>
      </c>
      <c r="N6010">
        <v>0</v>
      </c>
      <c r="O6010">
        <v>132</v>
      </c>
      <c r="P6010">
        <v>0</v>
      </c>
    </row>
    <row r="6011" spans="1:16" x14ac:dyDescent="0.25">
      <c r="A6011" t="s">
        <v>28428</v>
      </c>
      <c r="B6011" t="s">
        <v>4961</v>
      </c>
      <c r="C6011" t="s">
        <v>4955</v>
      </c>
      <c r="D6011" t="s">
        <v>2468</v>
      </c>
      <c r="E6011" t="s">
        <v>2469</v>
      </c>
      <c r="F6011" t="s">
        <v>2</v>
      </c>
      <c r="G6011" t="s">
        <v>16231</v>
      </c>
      <c r="H6011" t="s">
        <v>47054</v>
      </c>
      <c r="I6011" t="s">
        <v>47111</v>
      </c>
      <c r="J6011" t="s">
        <v>47112</v>
      </c>
      <c r="K6011" t="s">
        <v>47113</v>
      </c>
      <c r="L6011">
        <v>64.41</v>
      </c>
      <c r="M6011">
        <v>128</v>
      </c>
      <c r="N6011">
        <v>0</v>
      </c>
      <c r="O6011">
        <v>128</v>
      </c>
      <c r="P6011">
        <v>0</v>
      </c>
    </row>
    <row r="6012" spans="1:16" x14ac:dyDescent="0.25">
      <c r="A6012" t="s">
        <v>28429</v>
      </c>
      <c r="B6012" t="s">
        <v>4961</v>
      </c>
      <c r="C6012" t="s">
        <v>4955</v>
      </c>
      <c r="D6012" t="s">
        <v>2407</v>
      </c>
      <c r="E6012" t="s">
        <v>2408</v>
      </c>
      <c r="F6012" t="s">
        <v>2</v>
      </c>
      <c r="G6012" t="s">
        <v>16231</v>
      </c>
      <c r="H6012" t="s">
        <v>47054</v>
      </c>
      <c r="I6012" t="s">
        <v>47111</v>
      </c>
      <c r="J6012" t="s">
        <v>47112</v>
      </c>
      <c r="K6012" t="s">
        <v>47113</v>
      </c>
      <c r="L6012">
        <v>55.1</v>
      </c>
      <c r="M6012">
        <v>136</v>
      </c>
      <c r="N6012">
        <v>0</v>
      </c>
      <c r="O6012">
        <v>136</v>
      </c>
      <c r="P6012">
        <v>0</v>
      </c>
    </row>
    <row r="6013" spans="1:16" x14ac:dyDescent="0.25">
      <c r="A6013" t="s">
        <v>28430</v>
      </c>
      <c r="B6013" t="s">
        <v>4961</v>
      </c>
      <c r="C6013" t="s">
        <v>4955</v>
      </c>
      <c r="D6013" t="s">
        <v>1046</v>
      </c>
      <c r="E6013" t="s">
        <v>1047</v>
      </c>
      <c r="F6013" t="s">
        <v>2</v>
      </c>
      <c r="G6013" t="s">
        <v>16231</v>
      </c>
      <c r="H6013" t="s">
        <v>47054</v>
      </c>
      <c r="I6013" t="s">
        <v>47111</v>
      </c>
      <c r="J6013" t="s">
        <v>47112</v>
      </c>
      <c r="K6013" t="s">
        <v>47113</v>
      </c>
      <c r="L6013">
        <v>59.03</v>
      </c>
      <c r="M6013">
        <v>132</v>
      </c>
      <c r="N6013">
        <v>0</v>
      </c>
      <c r="O6013">
        <v>132</v>
      </c>
      <c r="P6013">
        <v>0</v>
      </c>
    </row>
    <row r="6014" spans="1:16" x14ac:dyDescent="0.25">
      <c r="A6014" t="s">
        <v>28431</v>
      </c>
      <c r="B6014" t="s">
        <v>4962</v>
      </c>
      <c r="C6014" t="s">
        <v>4955</v>
      </c>
      <c r="D6014" t="s">
        <v>2468</v>
      </c>
      <c r="E6014" t="s">
        <v>2469</v>
      </c>
      <c r="F6014" t="s">
        <v>2</v>
      </c>
      <c r="G6014" t="s">
        <v>16231</v>
      </c>
      <c r="I6014" t="s">
        <v>47111</v>
      </c>
      <c r="J6014" t="s">
        <v>47112</v>
      </c>
      <c r="K6014" t="s">
        <v>47113</v>
      </c>
      <c r="L6014">
        <v>60.7</v>
      </c>
      <c r="M6014">
        <v>128</v>
      </c>
      <c r="N6014">
        <v>0</v>
      </c>
      <c r="O6014">
        <v>128</v>
      </c>
      <c r="P6014">
        <v>0</v>
      </c>
    </row>
    <row r="6015" spans="1:16" x14ac:dyDescent="0.25">
      <c r="A6015" t="s">
        <v>28432</v>
      </c>
      <c r="B6015" t="s">
        <v>4962</v>
      </c>
      <c r="C6015" t="s">
        <v>4955</v>
      </c>
      <c r="D6015" t="s">
        <v>2407</v>
      </c>
      <c r="E6015" t="s">
        <v>2408</v>
      </c>
      <c r="F6015" t="s">
        <v>2</v>
      </c>
      <c r="G6015" t="s">
        <v>16231</v>
      </c>
      <c r="I6015" t="s">
        <v>47111</v>
      </c>
      <c r="J6015" t="s">
        <v>47112</v>
      </c>
      <c r="K6015" t="s">
        <v>47113</v>
      </c>
      <c r="L6015">
        <v>49.03</v>
      </c>
      <c r="M6015">
        <v>136</v>
      </c>
      <c r="N6015">
        <v>0</v>
      </c>
      <c r="O6015">
        <v>136</v>
      </c>
      <c r="P6015">
        <v>0</v>
      </c>
    </row>
    <row r="6016" spans="1:16" x14ac:dyDescent="0.25">
      <c r="A6016" t="s">
        <v>28433</v>
      </c>
      <c r="B6016" t="s">
        <v>4962</v>
      </c>
      <c r="C6016" t="s">
        <v>4955</v>
      </c>
      <c r="D6016" t="s">
        <v>1046</v>
      </c>
      <c r="E6016" t="s">
        <v>1047</v>
      </c>
      <c r="F6016" t="s">
        <v>2</v>
      </c>
      <c r="G6016" t="s">
        <v>16231</v>
      </c>
      <c r="I6016" t="s">
        <v>47111</v>
      </c>
      <c r="J6016" t="s">
        <v>47112</v>
      </c>
      <c r="K6016" t="s">
        <v>47113</v>
      </c>
      <c r="L6016">
        <v>59.03</v>
      </c>
      <c r="M6016">
        <v>132</v>
      </c>
      <c r="N6016">
        <v>0</v>
      </c>
      <c r="O6016">
        <v>132</v>
      </c>
      <c r="P6016">
        <v>0</v>
      </c>
    </row>
    <row r="6017" spans="1:16" x14ac:dyDescent="0.25">
      <c r="A6017" t="s">
        <v>28434</v>
      </c>
      <c r="B6017" t="s">
        <v>4963</v>
      </c>
      <c r="C6017" t="s">
        <v>4964</v>
      </c>
      <c r="D6017" t="s">
        <v>2468</v>
      </c>
      <c r="E6017" t="s">
        <v>2469</v>
      </c>
      <c r="F6017" t="s">
        <v>2</v>
      </c>
      <c r="G6017" t="s">
        <v>16231</v>
      </c>
      <c r="I6017" t="s">
        <v>47111</v>
      </c>
      <c r="J6017" t="s">
        <v>47112</v>
      </c>
      <c r="K6017" t="s">
        <v>47113</v>
      </c>
      <c r="L6017">
        <v>60.7</v>
      </c>
      <c r="M6017">
        <v>128</v>
      </c>
      <c r="N6017">
        <v>0</v>
      </c>
      <c r="O6017">
        <v>128</v>
      </c>
      <c r="P6017">
        <v>0</v>
      </c>
    </row>
    <row r="6018" spans="1:16" x14ac:dyDescent="0.25">
      <c r="A6018" t="s">
        <v>28435</v>
      </c>
      <c r="B6018" t="s">
        <v>4963</v>
      </c>
      <c r="C6018" t="s">
        <v>4964</v>
      </c>
      <c r="D6018" t="s">
        <v>2407</v>
      </c>
      <c r="E6018" t="s">
        <v>2408</v>
      </c>
      <c r="F6018" t="s">
        <v>2</v>
      </c>
      <c r="G6018" t="s">
        <v>16231</v>
      </c>
      <c r="I6018" t="s">
        <v>47111</v>
      </c>
      <c r="J6018" t="s">
        <v>47112</v>
      </c>
      <c r="K6018" t="s">
        <v>47113</v>
      </c>
      <c r="L6018">
        <v>49.03</v>
      </c>
      <c r="M6018">
        <v>136</v>
      </c>
      <c r="N6018">
        <v>0</v>
      </c>
      <c r="O6018">
        <v>136</v>
      </c>
      <c r="P6018">
        <v>0</v>
      </c>
    </row>
    <row r="6019" spans="1:16" x14ac:dyDescent="0.25">
      <c r="A6019" t="s">
        <v>28436</v>
      </c>
      <c r="B6019" t="s">
        <v>4963</v>
      </c>
      <c r="C6019" t="s">
        <v>4964</v>
      </c>
      <c r="D6019" t="s">
        <v>1046</v>
      </c>
      <c r="E6019" t="s">
        <v>1047</v>
      </c>
      <c r="F6019" t="s">
        <v>2</v>
      </c>
      <c r="G6019" t="s">
        <v>16231</v>
      </c>
      <c r="I6019" t="s">
        <v>47111</v>
      </c>
      <c r="J6019" t="s">
        <v>47112</v>
      </c>
      <c r="K6019" t="s">
        <v>47113</v>
      </c>
      <c r="L6019">
        <v>59.03</v>
      </c>
      <c r="M6019">
        <v>132</v>
      </c>
      <c r="N6019">
        <v>0</v>
      </c>
      <c r="O6019">
        <v>132</v>
      </c>
      <c r="P6019">
        <v>0</v>
      </c>
    </row>
    <row r="6020" spans="1:16" x14ac:dyDescent="0.25">
      <c r="A6020" t="s">
        <v>28437</v>
      </c>
      <c r="B6020" t="s">
        <v>4965</v>
      </c>
      <c r="C6020" t="s">
        <v>4964</v>
      </c>
      <c r="D6020" t="s">
        <v>2468</v>
      </c>
      <c r="E6020" t="s">
        <v>2469</v>
      </c>
      <c r="F6020" t="s">
        <v>2</v>
      </c>
      <c r="G6020" t="s">
        <v>16231</v>
      </c>
      <c r="H6020" t="s">
        <v>47054</v>
      </c>
      <c r="I6020" t="s">
        <v>47111</v>
      </c>
      <c r="J6020" t="s">
        <v>47112</v>
      </c>
      <c r="K6020" t="s">
        <v>47113</v>
      </c>
      <c r="L6020">
        <v>64.41</v>
      </c>
      <c r="M6020">
        <v>128</v>
      </c>
      <c r="N6020">
        <v>0</v>
      </c>
      <c r="O6020">
        <v>128</v>
      </c>
      <c r="P6020">
        <v>0</v>
      </c>
    </row>
    <row r="6021" spans="1:16" x14ac:dyDescent="0.25">
      <c r="A6021" t="s">
        <v>28438</v>
      </c>
      <c r="B6021" t="s">
        <v>4965</v>
      </c>
      <c r="C6021" t="s">
        <v>4964</v>
      </c>
      <c r="D6021" t="s">
        <v>2407</v>
      </c>
      <c r="E6021" t="s">
        <v>2408</v>
      </c>
      <c r="F6021" t="s">
        <v>2</v>
      </c>
      <c r="G6021" t="s">
        <v>16231</v>
      </c>
      <c r="H6021" t="s">
        <v>47054</v>
      </c>
      <c r="I6021" t="s">
        <v>47111</v>
      </c>
      <c r="J6021" t="s">
        <v>47112</v>
      </c>
      <c r="K6021" t="s">
        <v>47113</v>
      </c>
      <c r="L6021">
        <v>55.1</v>
      </c>
      <c r="M6021">
        <v>136</v>
      </c>
      <c r="N6021">
        <v>0</v>
      </c>
      <c r="O6021">
        <v>136</v>
      </c>
      <c r="P6021">
        <v>0</v>
      </c>
    </row>
    <row r="6022" spans="1:16" x14ac:dyDescent="0.25">
      <c r="A6022" t="s">
        <v>28439</v>
      </c>
      <c r="B6022" t="s">
        <v>4965</v>
      </c>
      <c r="C6022" t="s">
        <v>4964</v>
      </c>
      <c r="D6022" t="s">
        <v>1046</v>
      </c>
      <c r="E6022" t="s">
        <v>1047</v>
      </c>
      <c r="F6022" t="s">
        <v>2</v>
      </c>
      <c r="G6022" t="s">
        <v>16231</v>
      </c>
      <c r="H6022" t="s">
        <v>47054</v>
      </c>
      <c r="I6022" t="s">
        <v>47111</v>
      </c>
      <c r="J6022" t="s">
        <v>47112</v>
      </c>
      <c r="K6022" t="s">
        <v>47113</v>
      </c>
      <c r="L6022">
        <v>59.03</v>
      </c>
      <c r="M6022">
        <v>132</v>
      </c>
      <c r="N6022">
        <v>0</v>
      </c>
      <c r="O6022">
        <v>132</v>
      </c>
      <c r="P6022">
        <v>0</v>
      </c>
    </row>
    <row r="6023" spans="1:16" x14ac:dyDescent="0.25">
      <c r="A6023" t="s">
        <v>28440</v>
      </c>
      <c r="B6023" t="s">
        <v>4966</v>
      </c>
      <c r="C6023" t="s">
        <v>4964</v>
      </c>
      <c r="D6023" t="s">
        <v>2468</v>
      </c>
      <c r="E6023" t="s">
        <v>2469</v>
      </c>
      <c r="F6023" t="s">
        <v>2</v>
      </c>
      <c r="G6023" t="s">
        <v>16231</v>
      </c>
      <c r="I6023" t="s">
        <v>47111</v>
      </c>
      <c r="J6023" t="s">
        <v>47112</v>
      </c>
      <c r="K6023" t="s">
        <v>47113</v>
      </c>
      <c r="L6023">
        <v>60.7</v>
      </c>
      <c r="M6023">
        <v>128</v>
      </c>
      <c r="N6023">
        <v>0</v>
      </c>
      <c r="O6023">
        <v>128</v>
      </c>
      <c r="P6023">
        <v>0</v>
      </c>
    </row>
    <row r="6024" spans="1:16" x14ac:dyDescent="0.25">
      <c r="A6024" t="s">
        <v>28441</v>
      </c>
      <c r="B6024" t="s">
        <v>4966</v>
      </c>
      <c r="C6024" t="s">
        <v>4964</v>
      </c>
      <c r="D6024" t="s">
        <v>2407</v>
      </c>
      <c r="E6024" t="s">
        <v>2408</v>
      </c>
      <c r="F6024" t="s">
        <v>2</v>
      </c>
      <c r="G6024" t="s">
        <v>16231</v>
      </c>
      <c r="I6024" t="s">
        <v>47111</v>
      </c>
      <c r="J6024" t="s">
        <v>47112</v>
      </c>
      <c r="K6024" t="s">
        <v>47113</v>
      </c>
      <c r="L6024">
        <v>49.03</v>
      </c>
      <c r="M6024">
        <v>136</v>
      </c>
      <c r="N6024">
        <v>0</v>
      </c>
      <c r="O6024">
        <v>136</v>
      </c>
      <c r="P6024">
        <v>0</v>
      </c>
    </row>
    <row r="6025" spans="1:16" x14ac:dyDescent="0.25">
      <c r="A6025" t="s">
        <v>28442</v>
      </c>
      <c r="B6025" t="s">
        <v>4966</v>
      </c>
      <c r="C6025" t="s">
        <v>4964</v>
      </c>
      <c r="D6025" t="s">
        <v>1046</v>
      </c>
      <c r="E6025" t="s">
        <v>1047</v>
      </c>
      <c r="F6025" t="s">
        <v>2</v>
      </c>
      <c r="G6025" t="s">
        <v>16231</v>
      </c>
      <c r="I6025" t="s">
        <v>47111</v>
      </c>
      <c r="J6025" t="s">
        <v>47112</v>
      </c>
      <c r="K6025" t="s">
        <v>47113</v>
      </c>
      <c r="L6025">
        <v>59.03</v>
      </c>
      <c r="M6025">
        <v>132</v>
      </c>
      <c r="N6025">
        <v>0</v>
      </c>
      <c r="O6025">
        <v>132</v>
      </c>
      <c r="P6025">
        <v>0</v>
      </c>
    </row>
    <row r="6026" spans="1:16" x14ac:dyDescent="0.25">
      <c r="A6026" t="s">
        <v>28443</v>
      </c>
      <c r="B6026" t="s">
        <v>4967</v>
      </c>
      <c r="C6026" t="s">
        <v>4964</v>
      </c>
      <c r="D6026" t="s">
        <v>2468</v>
      </c>
      <c r="E6026" t="s">
        <v>2469</v>
      </c>
      <c r="F6026" t="s">
        <v>2</v>
      </c>
      <c r="G6026" t="s">
        <v>16231</v>
      </c>
      <c r="I6026" t="s">
        <v>47111</v>
      </c>
      <c r="J6026" t="s">
        <v>47112</v>
      </c>
      <c r="K6026" t="s">
        <v>47113</v>
      </c>
      <c r="L6026">
        <v>60.7</v>
      </c>
      <c r="M6026">
        <v>128</v>
      </c>
      <c r="N6026">
        <v>0</v>
      </c>
      <c r="O6026">
        <v>128</v>
      </c>
      <c r="P6026">
        <v>0</v>
      </c>
    </row>
    <row r="6027" spans="1:16" x14ac:dyDescent="0.25">
      <c r="A6027" t="s">
        <v>28444</v>
      </c>
      <c r="B6027" t="s">
        <v>4967</v>
      </c>
      <c r="C6027" t="s">
        <v>4964</v>
      </c>
      <c r="D6027" t="s">
        <v>2407</v>
      </c>
      <c r="E6027" t="s">
        <v>2408</v>
      </c>
      <c r="F6027" t="s">
        <v>2</v>
      </c>
      <c r="G6027" t="s">
        <v>16231</v>
      </c>
      <c r="I6027" t="s">
        <v>47111</v>
      </c>
      <c r="J6027" t="s">
        <v>47112</v>
      </c>
      <c r="K6027" t="s">
        <v>47113</v>
      </c>
      <c r="L6027">
        <v>49.03</v>
      </c>
      <c r="M6027">
        <v>136</v>
      </c>
      <c r="N6027">
        <v>0</v>
      </c>
      <c r="O6027">
        <v>136</v>
      </c>
      <c r="P6027">
        <v>0</v>
      </c>
    </row>
    <row r="6028" spans="1:16" x14ac:dyDescent="0.25">
      <c r="A6028" t="s">
        <v>28445</v>
      </c>
      <c r="B6028" t="s">
        <v>4967</v>
      </c>
      <c r="C6028" t="s">
        <v>4964</v>
      </c>
      <c r="D6028" t="s">
        <v>1046</v>
      </c>
      <c r="E6028" t="s">
        <v>1047</v>
      </c>
      <c r="F6028" t="s">
        <v>2</v>
      </c>
      <c r="G6028" t="s">
        <v>16231</v>
      </c>
      <c r="I6028" t="s">
        <v>47111</v>
      </c>
      <c r="J6028" t="s">
        <v>47112</v>
      </c>
      <c r="K6028" t="s">
        <v>47113</v>
      </c>
      <c r="L6028">
        <v>59.03</v>
      </c>
      <c r="M6028">
        <v>132</v>
      </c>
      <c r="N6028">
        <v>0</v>
      </c>
      <c r="O6028">
        <v>132</v>
      </c>
      <c r="P6028">
        <v>0</v>
      </c>
    </row>
    <row r="6029" spans="1:16" x14ac:dyDescent="0.25">
      <c r="A6029" t="s">
        <v>28446</v>
      </c>
      <c r="B6029" t="s">
        <v>4968</v>
      </c>
      <c r="C6029" t="s">
        <v>4969</v>
      </c>
      <c r="D6029" t="s">
        <v>1718</v>
      </c>
      <c r="E6029" t="s">
        <v>1719</v>
      </c>
      <c r="F6029" t="s">
        <v>1401</v>
      </c>
      <c r="G6029" t="s">
        <v>16231</v>
      </c>
      <c r="H6029" t="s">
        <v>47054</v>
      </c>
      <c r="I6029" t="s">
        <v>47111</v>
      </c>
      <c r="J6029" t="s">
        <v>47112</v>
      </c>
      <c r="K6029" t="s">
        <v>47113</v>
      </c>
      <c r="L6029">
        <v>42.67</v>
      </c>
      <c r="M6029">
        <v>125</v>
      </c>
      <c r="N6029">
        <v>0</v>
      </c>
      <c r="O6029">
        <v>125</v>
      </c>
      <c r="P6029">
        <v>0</v>
      </c>
    </row>
    <row r="6030" spans="1:16" x14ac:dyDescent="0.25">
      <c r="A6030" t="s">
        <v>28447</v>
      </c>
      <c r="B6030" t="s">
        <v>4970</v>
      </c>
      <c r="C6030" t="s">
        <v>4971</v>
      </c>
      <c r="D6030" t="s">
        <v>2042</v>
      </c>
      <c r="E6030" t="s">
        <v>2043</v>
      </c>
      <c r="F6030" t="s">
        <v>3</v>
      </c>
      <c r="G6030" t="s">
        <v>16231</v>
      </c>
      <c r="H6030" t="s">
        <v>47054</v>
      </c>
      <c r="I6030" t="s">
        <v>47111</v>
      </c>
      <c r="J6030" t="s">
        <v>47112</v>
      </c>
      <c r="K6030" t="s">
        <v>47113</v>
      </c>
      <c r="L6030">
        <v>59.85</v>
      </c>
      <c r="M6030">
        <v>125</v>
      </c>
      <c r="N6030">
        <v>0</v>
      </c>
      <c r="O6030">
        <v>125</v>
      </c>
      <c r="P6030">
        <v>0</v>
      </c>
    </row>
    <row r="6031" spans="1:16" x14ac:dyDescent="0.25">
      <c r="A6031" t="s">
        <v>28448</v>
      </c>
      <c r="B6031" t="s">
        <v>4972</v>
      </c>
      <c r="C6031" t="s">
        <v>4973</v>
      </c>
      <c r="D6031" t="s">
        <v>2038</v>
      </c>
      <c r="E6031" t="s">
        <v>2039</v>
      </c>
      <c r="F6031" t="s">
        <v>3</v>
      </c>
      <c r="G6031" t="s">
        <v>16231</v>
      </c>
      <c r="H6031" t="s">
        <v>47054</v>
      </c>
      <c r="I6031" t="s">
        <v>47111</v>
      </c>
      <c r="J6031" t="s">
        <v>47112</v>
      </c>
      <c r="K6031" t="s">
        <v>47113</v>
      </c>
      <c r="L6031">
        <v>64.239999999999995</v>
      </c>
      <c r="M6031">
        <v>130</v>
      </c>
      <c r="N6031">
        <v>0</v>
      </c>
      <c r="O6031">
        <v>130</v>
      </c>
      <c r="P6031">
        <v>0</v>
      </c>
    </row>
    <row r="6032" spans="1:16" x14ac:dyDescent="0.25">
      <c r="A6032" t="s">
        <v>28449</v>
      </c>
      <c r="B6032" t="s">
        <v>4972</v>
      </c>
      <c r="C6032" t="s">
        <v>4973</v>
      </c>
      <c r="D6032" t="s">
        <v>2040</v>
      </c>
      <c r="E6032" t="s">
        <v>2041</v>
      </c>
      <c r="F6032" t="s">
        <v>3</v>
      </c>
      <c r="G6032" t="s">
        <v>16231</v>
      </c>
      <c r="H6032" t="s">
        <v>47054</v>
      </c>
      <c r="I6032" t="s">
        <v>47111</v>
      </c>
      <c r="J6032" t="s">
        <v>47112</v>
      </c>
      <c r="K6032" t="s">
        <v>47113</v>
      </c>
      <c r="L6032">
        <v>63.53</v>
      </c>
      <c r="M6032">
        <v>130</v>
      </c>
      <c r="N6032">
        <v>0</v>
      </c>
      <c r="O6032">
        <v>130</v>
      </c>
      <c r="P6032">
        <v>0</v>
      </c>
    </row>
    <row r="6033" spans="1:16" x14ac:dyDescent="0.25">
      <c r="A6033" t="s">
        <v>28450</v>
      </c>
      <c r="B6033" t="s">
        <v>4974</v>
      </c>
      <c r="C6033" t="s">
        <v>4975</v>
      </c>
      <c r="D6033" t="s">
        <v>2525</v>
      </c>
      <c r="E6033" t="s">
        <v>4976</v>
      </c>
      <c r="F6033" t="s">
        <v>5</v>
      </c>
      <c r="G6033" t="s">
        <v>16231</v>
      </c>
      <c r="H6033" t="s">
        <v>47054</v>
      </c>
      <c r="I6033" t="s">
        <v>47111</v>
      </c>
      <c r="J6033" t="s">
        <v>47112</v>
      </c>
      <c r="K6033" t="s">
        <v>47113</v>
      </c>
      <c r="L6033">
        <v>64.099999999999994</v>
      </c>
      <c r="M6033">
        <v>153</v>
      </c>
      <c r="N6033">
        <v>0</v>
      </c>
      <c r="O6033">
        <v>153</v>
      </c>
      <c r="P6033">
        <v>0</v>
      </c>
    </row>
    <row r="6034" spans="1:16" x14ac:dyDescent="0.25">
      <c r="A6034" t="s">
        <v>28451</v>
      </c>
      <c r="B6034" t="s">
        <v>4977</v>
      </c>
      <c r="C6034" t="s">
        <v>4978</v>
      </c>
      <c r="D6034" t="s">
        <v>2399</v>
      </c>
      <c r="E6034" t="s">
        <v>2400</v>
      </c>
      <c r="F6034" t="s">
        <v>5</v>
      </c>
      <c r="G6034" t="s">
        <v>16231</v>
      </c>
      <c r="H6034" t="s">
        <v>47054</v>
      </c>
      <c r="I6034" t="s">
        <v>47111</v>
      </c>
      <c r="J6034" t="s">
        <v>47112</v>
      </c>
      <c r="K6034" t="s">
        <v>47113</v>
      </c>
      <c r="L6034">
        <v>35.369999999999997</v>
      </c>
      <c r="M6034">
        <v>77</v>
      </c>
      <c r="N6034">
        <v>0</v>
      </c>
      <c r="O6034">
        <v>77</v>
      </c>
      <c r="P6034">
        <v>0</v>
      </c>
    </row>
    <row r="6035" spans="1:16" x14ac:dyDescent="0.25">
      <c r="A6035" t="s">
        <v>28452</v>
      </c>
      <c r="B6035" t="s">
        <v>4977</v>
      </c>
      <c r="C6035" t="s">
        <v>4978</v>
      </c>
      <c r="D6035" t="s">
        <v>311</v>
      </c>
      <c r="E6035" t="s">
        <v>3479</v>
      </c>
      <c r="F6035" t="s">
        <v>5</v>
      </c>
      <c r="G6035" t="s">
        <v>16231</v>
      </c>
      <c r="H6035" t="s">
        <v>47054</v>
      </c>
      <c r="I6035" t="s">
        <v>47111</v>
      </c>
      <c r="J6035" t="s">
        <v>47112</v>
      </c>
      <c r="K6035" t="s">
        <v>47113</v>
      </c>
      <c r="L6035">
        <v>29.18</v>
      </c>
      <c r="M6035">
        <v>69</v>
      </c>
      <c r="N6035">
        <v>0</v>
      </c>
      <c r="O6035">
        <v>69</v>
      </c>
      <c r="P6035">
        <v>0</v>
      </c>
    </row>
    <row r="6036" spans="1:16" x14ac:dyDescent="0.25">
      <c r="A6036" t="s">
        <v>28453</v>
      </c>
      <c r="B6036" t="s">
        <v>4977</v>
      </c>
      <c r="C6036" t="s">
        <v>4978</v>
      </c>
      <c r="D6036" t="s">
        <v>921</v>
      </c>
      <c r="E6036" t="s">
        <v>922</v>
      </c>
      <c r="F6036" t="s">
        <v>5</v>
      </c>
      <c r="G6036" t="s">
        <v>16231</v>
      </c>
      <c r="H6036" t="s">
        <v>47054</v>
      </c>
      <c r="I6036" t="s">
        <v>47111</v>
      </c>
      <c r="J6036" t="s">
        <v>47112</v>
      </c>
      <c r="K6036" t="s">
        <v>47113</v>
      </c>
      <c r="L6036">
        <v>34.799999999999997</v>
      </c>
      <c r="M6036">
        <v>77</v>
      </c>
      <c r="N6036">
        <v>0</v>
      </c>
      <c r="O6036">
        <v>77</v>
      </c>
      <c r="P6036">
        <v>0</v>
      </c>
    </row>
    <row r="6037" spans="1:16" x14ac:dyDescent="0.25">
      <c r="A6037" t="s">
        <v>28454</v>
      </c>
      <c r="B6037" t="s">
        <v>4979</v>
      </c>
      <c r="C6037" t="s">
        <v>4980</v>
      </c>
      <c r="D6037" t="s">
        <v>4888</v>
      </c>
      <c r="E6037" t="s">
        <v>4889</v>
      </c>
      <c r="F6037" t="s">
        <v>5</v>
      </c>
      <c r="G6037" t="s">
        <v>16231</v>
      </c>
      <c r="H6037" t="s">
        <v>47054</v>
      </c>
      <c r="I6037" t="s">
        <v>47111</v>
      </c>
      <c r="J6037" t="s">
        <v>47112</v>
      </c>
      <c r="K6037" t="s">
        <v>47113</v>
      </c>
      <c r="L6037">
        <v>52.35</v>
      </c>
      <c r="M6037">
        <v>123</v>
      </c>
      <c r="N6037">
        <v>0</v>
      </c>
      <c r="O6037">
        <v>123</v>
      </c>
      <c r="P6037">
        <v>0</v>
      </c>
    </row>
    <row r="6038" spans="1:16" x14ac:dyDescent="0.25">
      <c r="A6038" t="s">
        <v>28455</v>
      </c>
      <c r="B6038" t="s">
        <v>4979</v>
      </c>
      <c r="C6038" t="s">
        <v>4980</v>
      </c>
      <c r="D6038" t="s">
        <v>739</v>
      </c>
      <c r="E6038" t="s">
        <v>740</v>
      </c>
      <c r="F6038" t="s">
        <v>5</v>
      </c>
      <c r="G6038" t="s">
        <v>16231</v>
      </c>
      <c r="H6038" t="s">
        <v>47054</v>
      </c>
      <c r="I6038" t="s">
        <v>47111</v>
      </c>
      <c r="J6038" t="s">
        <v>47112</v>
      </c>
      <c r="K6038" t="s">
        <v>47113</v>
      </c>
      <c r="L6038">
        <v>40.49</v>
      </c>
      <c r="M6038">
        <v>96</v>
      </c>
      <c r="N6038">
        <v>0</v>
      </c>
      <c r="O6038">
        <v>96</v>
      </c>
      <c r="P6038">
        <v>0</v>
      </c>
    </row>
    <row r="6039" spans="1:16" x14ac:dyDescent="0.25">
      <c r="A6039" t="s">
        <v>28456</v>
      </c>
      <c r="B6039" t="s">
        <v>4981</v>
      </c>
      <c r="C6039" t="s">
        <v>4982</v>
      </c>
      <c r="D6039" t="s">
        <v>4892</v>
      </c>
      <c r="E6039" t="s">
        <v>4983</v>
      </c>
      <c r="F6039" t="s">
        <v>5</v>
      </c>
      <c r="G6039" t="s">
        <v>16231</v>
      </c>
      <c r="H6039" t="s">
        <v>47054</v>
      </c>
      <c r="I6039" t="s">
        <v>47111</v>
      </c>
      <c r="J6039" t="s">
        <v>47112</v>
      </c>
      <c r="K6039" t="s">
        <v>47113</v>
      </c>
      <c r="L6039">
        <v>52.66</v>
      </c>
      <c r="M6039">
        <v>115</v>
      </c>
      <c r="N6039">
        <v>0</v>
      </c>
      <c r="O6039">
        <v>115</v>
      </c>
      <c r="P6039">
        <v>0</v>
      </c>
    </row>
    <row r="6040" spans="1:16" x14ac:dyDescent="0.25">
      <c r="A6040" t="s">
        <v>28457</v>
      </c>
      <c r="B6040" t="s">
        <v>4981</v>
      </c>
      <c r="C6040" t="s">
        <v>4982</v>
      </c>
      <c r="D6040" t="s">
        <v>1734</v>
      </c>
      <c r="E6040" t="s">
        <v>1735</v>
      </c>
      <c r="F6040" t="s">
        <v>5</v>
      </c>
      <c r="G6040" t="s">
        <v>16231</v>
      </c>
      <c r="H6040" t="s">
        <v>47054</v>
      </c>
      <c r="I6040" t="s">
        <v>47111</v>
      </c>
      <c r="J6040" t="s">
        <v>47112</v>
      </c>
      <c r="K6040" t="s">
        <v>47113</v>
      </c>
      <c r="L6040">
        <v>47.51</v>
      </c>
      <c r="M6040">
        <v>107</v>
      </c>
      <c r="N6040">
        <v>0</v>
      </c>
      <c r="O6040">
        <v>107</v>
      </c>
      <c r="P6040">
        <v>0</v>
      </c>
    </row>
    <row r="6041" spans="1:16" x14ac:dyDescent="0.25">
      <c r="A6041" t="s">
        <v>28458</v>
      </c>
      <c r="B6041" t="s">
        <v>4984</v>
      </c>
      <c r="C6041" t="s">
        <v>4985</v>
      </c>
      <c r="D6041" t="s">
        <v>4896</v>
      </c>
      <c r="E6041" t="s">
        <v>4986</v>
      </c>
      <c r="F6041" t="s">
        <v>5</v>
      </c>
      <c r="G6041" t="s">
        <v>16231</v>
      </c>
      <c r="H6041" t="s">
        <v>47054</v>
      </c>
      <c r="I6041" t="s">
        <v>47111</v>
      </c>
      <c r="J6041" t="s">
        <v>47112</v>
      </c>
      <c r="K6041" t="s">
        <v>47113</v>
      </c>
      <c r="L6041">
        <v>59.88</v>
      </c>
      <c r="M6041">
        <v>134</v>
      </c>
      <c r="N6041">
        <v>0</v>
      </c>
      <c r="O6041">
        <v>134</v>
      </c>
      <c r="P6041">
        <v>0</v>
      </c>
    </row>
    <row r="6042" spans="1:16" x14ac:dyDescent="0.25">
      <c r="A6042" t="s">
        <v>28459</v>
      </c>
      <c r="B6042" t="s">
        <v>4984</v>
      </c>
      <c r="C6042" t="s">
        <v>4985</v>
      </c>
      <c r="D6042" t="s">
        <v>2079</v>
      </c>
      <c r="E6042" t="s">
        <v>2080</v>
      </c>
      <c r="F6042" t="s">
        <v>5</v>
      </c>
      <c r="G6042" t="s">
        <v>16231</v>
      </c>
      <c r="H6042" t="s">
        <v>47054</v>
      </c>
      <c r="I6042" t="s">
        <v>47111</v>
      </c>
      <c r="J6042" t="s">
        <v>47112</v>
      </c>
      <c r="K6042" t="s">
        <v>47113</v>
      </c>
      <c r="L6042">
        <v>53.81</v>
      </c>
      <c r="M6042">
        <v>123</v>
      </c>
      <c r="N6042">
        <v>0</v>
      </c>
      <c r="O6042">
        <v>123</v>
      </c>
      <c r="P6042">
        <v>0</v>
      </c>
    </row>
    <row r="6043" spans="1:16" x14ac:dyDescent="0.25">
      <c r="A6043" t="s">
        <v>28460</v>
      </c>
      <c r="B6043" t="s">
        <v>4987</v>
      </c>
      <c r="C6043" t="s">
        <v>4988</v>
      </c>
      <c r="D6043" t="s">
        <v>4896</v>
      </c>
      <c r="E6043" t="s">
        <v>4897</v>
      </c>
      <c r="F6043" t="s">
        <v>5</v>
      </c>
      <c r="G6043" t="s">
        <v>16231</v>
      </c>
      <c r="H6043" t="s">
        <v>47054</v>
      </c>
      <c r="I6043" t="s">
        <v>47111</v>
      </c>
      <c r="J6043" t="s">
        <v>47112</v>
      </c>
      <c r="K6043" t="s">
        <v>47113</v>
      </c>
      <c r="L6043">
        <v>60.94</v>
      </c>
      <c r="M6043">
        <v>134</v>
      </c>
      <c r="N6043">
        <v>0</v>
      </c>
      <c r="O6043">
        <v>134</v>
      </c>
      <c r="P6043">
        <v>0</v>
      </c>
    </row>
    <row r="6044" spans="1:16" x14ac:dyDescent="0.25">
      <c r="A6044" t="s">
        <v>28461</v>
      </c>
      <c r="B6044" t="s">
        <v>4987</v>
      </c>
      <c r="C6044" t="s">
        <v>4988</v>
      </c>
      <c r="D6044" t="s">
        <v>2079</v>
      </c>
      <c r="E6044" t="s">
        <v>2080</v>
      </c>
      <c r="F6044" t="s">
        <v>5</v>
      </c>
      <c r="G6044" t="s">
        <v>16231</v>
      </c>
      <c r="H6044" t="s">
        <v>47054</v>
      </c>
      <c r="I6044" t="s">
        <v>47111</v>
      </c>
      <c r="J6044" t="s">
        <v>47112</v>
      </c>
      <c r="K6044" t="s">
        <v>47113</v>
      </c>
      <c r="L6044">
        <v>53.56</v>
      </c>
      <c r="M6044">
        <v>123</v>
      </c>
      <c r="N6044">
        <v>0</v>
      </c>
      <c r="O6044">
        <v>123</v>
      </c>
      <c r="P6044">
        <v>0</v>
      </c>
    </row>
    <row r="6045" spans="1:16" x14ac:dyDescent="0.25">
      <c r="A6045" t="s">
        <v>28462</v>
      </c>
      <c r="B6045" t="s">
        <v>4989</v>
      </c>
      <c r="C6045" t="s">
        <v>4990</v>
      </c>
      <c r="D6045" t="s">
        <v>721</v>
      </c>
      <c r="E6045" t="s">
        <v>722</v>
      </c>
      <c r="F6045" t="s">
        <v>8</v>
      </c>
      <c r="G6045" t="s">
        <v>16231</v>
      </c>
      <c r="H6045" t="s">
        <v>47054</v>
      </c>
      <c r="I6045" t="s">
        <v>47111</v>
      </c>
      <c r="J6045" t="s">
        <v>47112</v>
      </c>
      <c r="K6045" t="s">
        <v>47113</v>
      </c>
      <c r="L6045">
        <v>33.619999999999997</v>
      </c>
      <c r="M6045">
        <v>91</v>
      </c>
      <c r="N6045">
        <v>0</v>
      </c>
      <c r="O6045">
        <v>91</v>
      </c>
      <c r="P6045">
        <v>0</v>
      </c>
    </row>
    <row r="6046" spans="1:16" x14ac:dyDescent="0.25">
      <c r="A6046" t="s">
        <v>28463</v>
      </c>
      <c r="B6046" t="s">
        <v>4989</v>
      </c>
      <c r="C6046" t="s">
        <v>4990</v>
      </c>
      <c r="D6046" t="s">
        <v>1703</v>
      </c>
      <c r="E6046" t="s">
        <v>1704</v>
      </c>
      <c r="F6046" t="s">
        <v>8</v>
      </c>
      <c r="G6046" t="s">
        <v>16231</v>
      </c>
      <c r="H6046" t="s">
        <v>47054</v>
      </c>
      <c r="I6046" t="s">
        <v>47111</v>
      </c>
      <c r="J6046" t="s">
        <v>47112</v>
      </c>
      <c r="K6046" t="s">
        <v>47113</v>
      </c>
      <c r="L6046">
        <v>41.87</v>
      </c>
      <c r="M6046">
        <v>113</v>
      </c>
      <c r="N6046">
        <v>0</v>
      </c>
      <c r="O6046">
        <v>113</v>
      </c>
      <c r="P6046">
        <v>0</v>
      </c>
    </row>
    <row r="6047" spans="1:16" x14ac:dyDescent="0.25">
      <c r="A6047" t="s">
        <v>28464</v>
      </c>
      <c r="B6047" t="s">
        <v>4989</v>
      </c>
      <c r="C6047" t="s">
        <v>4990</v>
      </c>
      <c r="D6047" t="s">
        <v>1722</v>
      </c>
      <c r="E6047" t="s">
        <v>1723</v>
      </c>
      <c r="F6047" t="s">
        <v>8</v>
      </c>
      <c r="G6047" t="s">
        <v>16231</v>
      </c>
      <c r="H6047" t="s">
        <v>47054</v>
      </c>
      <c r="I6047" t="s">
        <v>47111</v>
      </c>
      <c r="J6047" t="s">
        <v>47112</v>
      </c>
      <c r="K6047" t="s">
        <v>47113</v>
      </c>
      <c r="L6047">
        <v>45.9</v>
      </c>
      <c r="M6047">
        <v>127</v>
      </c>
      <c r="N6047">
        <v>0</v>
      </c>
      <c r="O6047">
        <v>127</v>
      </c>
      <c r="P6047">
        <v>0</v>
      </c>
    </row>
    <row r="6048" spans="1:16" x14ac:dyDescent="0.25">
      <c r="A6048" t="s">
        <v>28465</v>
      </c>
      <c r="B6048" t="s">
        <v>4991</v>
      </c>
      <c r="C6048" t="s">
        <v>19784</v>
      </c>
      <c r="D6048" t="s">
        <v>3518</v>
      </c>
      <c r="E6048" t="s">
        <v>3519</v>
      </c>
      <c r="F6048" t="s">
        <v>4</v>
      </c>
      <c r="G6048" t="s">
        <v>16231</v>
      </c>
      <c r="H6048" t="s">
        <v>47054</v>
      </c>
      <c r="I6048" t="s">
        <v>47111</v>
      </c>
      <c r="J6048" t="s">
        <v>47112</v>
      </c>
      <c r="K6048" t="s">
        <v>47113</v>
      </c>
      <c r="L6048">
        <v>64.040000000000006</v>
      </c>
      <c r="M6048">
        <v>138</v>
      </c>
      <c r="N6048">
        <v>0</v>
      </c>
      <c r="O6048">
        <v>138</v>
      </c>
      <c r="P6048">
        <v>0</v>
      </c>
    </row>
    <row r="6049" spans="1:16" x14ac:dyDescent="0.25">
      <c r="A6049" t="s">
        <v>28466</v>
      </c>
      <c r="B6049" t="s">
        <v>4991</v>
      </c>
      <c r="C6049" t="s">
        <v>19784</v>
      </c>
      <c r="D6049" t="s">
        <v>4830</v>
      </c>
      <c r="E6049" t="s">
        <v>4831</v>
      </c>
      <c r="F6049" t="s">
        <v>4</v>
      </c>
      <c r="G6049" t="s">
        <v>16231</v>
      </c>
      <c r="H6049" t="s">
        <v>47054</v>
      </c>
      <c r="I6049" t="s">
        <v>47111</v>
      </c>
      <c r="J6049" t="s">
        <v>47112</v>
      </c>
      <c r="K6049" t="s">
        <v>47113</v>
      </c>
      <c r="L6049">
        <v>65.180000000000007</v>
      </c>
      <c r="M6049">
        <v>138</v>
      </c>
      <c r="N6049">
        <v>0</v>
      </c>
      <c r="O6049">
        <v>138</v>
      </c>
      <c r="P6049">
        <v>0</v>
      </c>
    </row>
    <row r="6050" spans="1:16" x14ac:dyDescent="0.25">
      <c r="A6050" t="s">
        <v>28467</v>
      </c>
      <c r="B6050" t="s">
        <v>4992</v>
      </c>
      <c r="C6050" t="s">
        <v>4993</v>
      </c>
      <c r="D6050" t="s">
        <v>2450</v>
      </c>
      <c r="E6050" t="s">
        <v>2451</v>
      </c>
      <c r="F6050" t="s">
        <v>4</v>
      </c>
      <c r="G6050" t="s">
        <v>16231</v>
      </c>
      <c r="H6050" t="s">
        <v>47054</v>
      </c>
      <c r="I6050" t="s">
        <v>47111</v>
      </c>
      <c r="J6050" t="s">
        <v>47112</v>
      </c>
      <c r="K6050" t="s">
        <v>47113</v>
      </c>
      <c r="L6050">
        <v>64.61</v>
      </c>
      <c r="M6050">
        <v>149</v>
      </c>
      <c r="N6050">
        <v>0</v>
      </c>
      <c r="O6050">
        <v>149</v>
      </c>
      <c r="P6050">
        <v>0</v>
      </c>
    </row>
    <row r="6051" spans="1:16" x14ac:dyDescent="0.25">
      <c r="A6051" t="s">
        <v>28468</v>
      </c>
      <c r="B6051" t="s">
        <v>4994</v>
      </c>
      <c r="C6051" t="s">
        <v>4995</v>
      </c>
      <c r="D6051" t="s">
        <v>4996</v>
      </c>
      <c r="E6051" t="s">
        <v>4997</v>
      </c>
      <c r="F6051" t="s">
        <v>4</v>
      </c>
      <c r="G6051" t="s">
        <v>16231</v>
      </c>
      <c r="H6051" t="s">
        <v>47054</v>
      </c>
      <c r="I6051" t="s">
        <v>47111</v>
      </c>
      <c r="J6051" t="s">
        <v>47112</v>
      </c>
      <c r="K6051" t="s">
        <v>47113</v>
      </c>
      <c r="L6051">
        <v>53.08</v>
      </c>
      <c r="M6051">
        <v>129</v>
      </c>
      <c r="N6051">
        <v>0</v>
      </c>
      <c r="O6051">
        <v>129</v>
      </c>
      <c r="P6051">
        <v>0</v>
      </c>
    </row>
    <row r="6052" spans="1:16" x14ac:dyDescent="0.25">
      <c r="A6052" t="s">
        <v>28469</v>
      </c>
      <c r="B6052" t="s">
        <v>4998</v>
      </c>
      <c r="C6052" t="s">
        <v>2072</v>
      </c>
      <c r="D6052" t="s">
        <v>4870</v>
      </c>
      <c r="E6052" t="s">
        <v>4871</v>
      </c>
      <c r="F6052" t="s">
        <v>631</v>
      </c>
      <c r="G6052" t="s">
        <v>16231</v>
      </c>
      <c r="H6052" t="s">
        <v>47054</v>
      </c>
      <c r="I6052" t="s">
        <v>47111</v>
      </c>
      <c r="J6052" t="s">
        <v>47112</v>
      </c>
      <c r="K6052" t="s">
        <v>47113</v>
      </c>
      <c r="L6052">
        <v>55.25</v>
      </c>
      <c r="M6052">
        <v>123</v>
      </c>
      <c r="N6052">
        <v>0</v>
      </c>
      <c r="O6052">
        <v>123</v>
      </c>
      <c r="P6052">
        <v>0</v>
      </c>
    </row>
    <row r="6053" spans="1:16" x14ac:dyDescent="0.25">
      <c r="A6053" t="s">
        <v>28470</v>
      </c>
      <c r="B6053" t="s">
        <v>4999</v>
      </c>
      <c r="C6053" t="s">
        <v>5000</v>
      </c>
      <c r="D6053" t="s">
        <v>5001</v>
      </c>
      <c r="E6053" t="s">
        <v>5002</v>
      </c>
      <c r="F6053" t="s">
        <v>0</v>
      </c>
      <c r="G6053" t="s">
        <v>16231</v>
      </c>
      <c r="H6053" t="s">
        <v>47054</v>
      </c>
      <c r="I6053" t="s">
        <v>47111</v>
      </c>
      <c r="J6053" t="s">
        <v>47112</v>
      </c>
      <c r="K6053" t="s">
        <v>47113</v>
      </c>
      <c r="L6053">
        <v>63.93</v>
      </c>
      <c r="M6053">
        <v>140</v>
      </c>
      <c r="N6053">
        <v>0</v>
      </c>
      <c r="O6053">
        <v>140</v>
      </c>
      <c r="P6053">
        <v>0</v>
      </c>
    </row>
    <row r="6054" spans="1:16" x14ac:dyDescent="0.25">
      <c r="A6054" t="s">
        <v>28471</v>
      </c>
      <c r="B6054" t="s">
        <v>4999</v>
      </c>
      <c r="C6054" t="s">
        <v>5000</v>
      </c>
      <c r="D6054" t="s">
        <v>5003</v>
      </c>
      <c r="E6054" t="s">
        <v>5004</v>
      </c>
      <c r="F6054" t="s">
        <v>0</v>
      </c>
      <c r="G6054" t="s">
        <v>16231</v>
      </c>
      <c r="H6054" t="s">
        <v>47054</v>
      </c>
      <c r="I6054" t="s">
        <v>47111</v>
      </c>
      <c r="J6054" t="s">
        <v>47112</v>
      </c>
      <c r="K6054" t="s">
        <v>47113</v>
      </c>
      <c r="L6054">
        <v>59.76</v>
      </c>
      <c r="M6054">
        <v>140</v>
      </c>
      <c r="N6054">
        <v>0</v>
      </c>
      <c r="O6054">
        <v>140</v>
      </c>
      <c r="P6054">
        <v>0</v>
      </c>
    </row>
    <row r="6055" spans="1:16" x14ac:dyDescent="0.25">
      <c r="A6055" t="s">
        <v>28472</v>
      </c>
      <c r="B6055" t="s">
        <v>5005</v>
      </c>
      <c r="C6055" t="s">
        <v>5006</v>
      </c>
      <c r="D6055" t="s">
        <v>3532</v>
      </c>
      <c r="E6055" t="s">
        <v>3533</v>
      </c>
      <c r="F6055" t="s">
        <v>4</v>
      </c>
      <c r="G6055" t="s">
        <v>16231</v>
      </c>
      <c r="H6055" t="s">
        <v>47054</v>
      </c>
      <c r="I6055" t="s">
        <v>47111</v>
      </c>
      <c r="J6055" t="s">
        <v>47112</v>
      </c>
      <c r="K6055" t="s">
        <v>47113</v>
      </c>
      <c r="L6055">
        <v>26.78</v>
      </c>
      <c r="M6055">
        <v>59</v>
      </c>
      <c r="N6055">
        <v>0</v>
      </c>
      <c r="O6055">
        <v>59</v>
      </c>
      <c r="P6055">
        <v>0</v>
      </c>
    </row>
    <row r="6056" spans="1:16" x14ac:dyDescent="0.25">
      <c r="A6056" t="s">
        <v>28473</v>
      </c>
      <c r="B6056" t="s">
        <v>5007</v>
      </c>
      <c r="C6056" t="s">
        <v>5008</v>
      </c>
      <c r="D6056" t="s">
        <v>2108</v>
      </c>
      <c r="E6056" t="s">
        <v>2109</v>
      </c>
      <c r="F6056" t="s">
        <v>52</v>
      </c>
      <c r="G6056" t="s">
        <v>16231</v>
      </c>
      <c r="H6056" t="s">
        <v>47054</v>
      </c>
      <c r="I6056" t="s">
        <v>47111</v>
      </c>
      <c r="J6056" t="s">
        <v>47112</v>
      </c>
      <c r="K6056" t="s">
        <v>47113</v>
      </c>
      <c r="L6056">
        <v>73.790000000000006</v>
      </c>
      <c r="M6056">
        <v>189</v>
      </c>
      <c r="N6056">
        <v>0</v>
      </c>
      <c r="O6056">
        <v>189</v>
      </c>
      <c r="P6056">
        <v>0</v>
      </c>
    </row>
    <row r="6057" spans="1:16" x14ac:dyDescent="0.25">
      <c r="A6057" t="s">
        <v>28474</v>
      </c>
      <c r="B6057" t="s">
        <v>5007</v>
      </c>
      <c r="C6057" t="s">
        <v>5008</v>
      </c>
      <c r="D6057" t="s">
        <v>1792</v>
      </c>
      <c r="E6057" t="s">
        <v>1793</v>
      </c>
      <c r="F6057" t="s">
        <v>52</v>
      </c>
      <c r="G6057" t="s">
        <v>16231</v>
      </c>
      <c r="H6057" t="s">
        <v>47054</v>
      </c>
      <c r="I6057" t="s">
        <v>47111</v>
      </c>
      <c r="J6057" t="s">
        <v>47112</v>
      </c>
      <c r="K6057" t="s">
        <v>47113</v>
      </c>
      <c r="L6057">
        <v>68.03</v>
      </c>
      <c r="M6057">
        <v>175</v>
      </c>
      <c r="N6057">
        <v>0</v>
      </c>
      <c r="O6057">
        <v>175</v>
      </c>
      <c r="P6057">
        <v>0</v>
      </c>
    </row>
    <row r="6058" spans="1:16" x14ac:dyDescent="0.25">
      <c r="A6058" t="s">
        <v>28475</v>
      </c>
      <c r="B6058" t="s">
        <v>5009</v>
      </c>
      <c r="C6058" t="s">
        <v>5010</v>
      </c>
      <c r="D6058" t="s">
        <v>721</v>
      </c>
      <c r="E6058" t="s">
        <v>722</v>
      </c>
      <c r="F6058" t="s">
        <v>8</v>
      </c>
      <c r="G6058" t="s">
        <v>16231</v>
      </c>
      <c r="H6058" t="s">
        <v>47054</v>
      </c>
      <c r="I6058" t="s">
        <v>47111</v>
      </c>
      <c r="J6058" t="s">
        <v>47112</v>
      </c>
      <c r="K6058" t="s">
        <v>47113</v>
      </c>
      <c r="L6058">
        <v>29.77</v>
      </c>
      <c r="M6058">
        <v>91</v>
      </c>
      <c r="N6058">
        <v>0</v>
      </c>
      <c r="O6058">
        <v>91</v>
      </c>
      <c r="P6058">
        <v>0</v>
      </c>
    </row>
    <row r="6059" spans="1:16" x14ac:dyDescent="0.25">
      <c r="A6059" t="s">
        <v>28476</v>
      </c>
      <c r="B6059" t="s">
        <v>5009</v>
      </c>
      <c r="C6059" t="s">
        <v>5010</v>
      </c>
      <c r="D6059" t="s">
        <v>1722</v>
      </c>
      <c r="E6059" t="s">
        <v>1723</v>
      </c>
      <c r="F6059" t="s">
        <v>8</v>
      </c>
      <c r="G6059" t="s">
        <v>16231</v>
      </c>
      <c r="H6059" t="s">
        <v>47054</v>
      </c>
      <c r="I6059" t="s">
        <v>47111</v>
      </c>
      <c r="J6059" t="s">
        <v>47112</v>
      </c>
      <c r="K6059" t="s">
        <v>47113</v>
      </c>
      <c r="L6059">
        <v>47.22</v>
      </c>
      <c r="M6059">
        <v>127</v>
      </c>
      <c r="N6059">
        <v>0</v>
      </c>
      <c r="O6059">
        <v>127</v>
      </c>
      <c r="P6059">
        <v>0</v>
      </c>
    </row>
    <row r="6060" spans="1:16" x14ac:dyDescent="0.25">
      <c r="A6060" t="s">
        <v>28477</v>
      </c>
      <c r="B6060" t="s">
        <v>5011</v>
      </c>
      <c r="C6060" t="s">
        <v>5012</v>
      </c>
      <c r="D6060" t="s">
        <v>2018</v>
      </c>
      <c r="E6060" t="s">
        <v>2019</v>
      </c>
      <c r="F6060" t="s">
        <v>8</v>
      </c>
      <c r="G6060" t="s">
        <v>16231</v>
      </c>
      <c r="H6060" t="s">
        <v>47054</v>
      </c>
      <c r="I6060" t="s">
        <v>47111</v>
      </c>
      <c r="J6060" t="s">
        <v>47112</v>
      </c>
      <c r="K6060" t="s">
        <v>47113</v>
      </c>
      <c r="L6060">
        <v>63.8</v>
      </c>
      <c r="M6060">
        <v>146</v>
      </c>
      <c r="N6060">
        <v>0</v>
      </c>
      <c r="O6060">
        <v>146</v>
      </c>
      <c r="P6060">
        <v>0</v>
      </c>
    </row>
    <row r="6061" spans="1:16" x14ac:dyDescent="0.25">
      <c r="A6061" t="s">
        <v>28478</v>
      </c>
      <c r="B6061" t="s">
        <v>5011</v>
      </c>
      <c r="C6061" t="s">
        <v>5012</v>
      </c>
      <c r="D6061" t="s">
        <v>1703</v>
      </c>
      <c r="E6061" t="s">
        <v>1704</v>
      </c>
      <c r="F6061" t="s">
        <v>8</v>
      </c>
      <c r="G6061" t="s">
        <v>16231</v>
      </c>
      <c r="H6061" t="s">
        <v>47054</v>
      </c>
      <c r="I6061" t="s">
        <v>47111</v>
      </c>
      <c r="J6061" t="s">
        <v>47112</v>
      </c>
      <c r="K6061" t="s">
        <v>47113</v>
      </c>
      <c r="L6061">
        <v>58.38</v>
      </c>
      <c r="M6061">
        <v>146</v>
      </c>
      <c r="N6061">
        <v>0</v>
      </c>
      <c r="O6061">
        <v>146</v>
      </c>
      <c r="P6061">
        <v>0</v>
      </c>
    </row>
    <row r="6062" spans="1:16" x14ac:dyDescent="0.25">
      <c r="A6062" t="s">
        <v>28479</v>
      </c>
      <c r="B6062" t="s">
        <v>5011</v>
      </c>
      <c r="C6062" t="s">
        <v>5012</v>
      </c>
      <c r="D6062" t="s">
        <v>1722</v>
      </c>
      <c r="E6062" t="s">
        <v>1723</v>
      </c>
      <c r="F6062" t="s">
        <v>8</v>
      </c>
      <c r="G6062" t="s">
        <v>16231</v>
      </c>
      <c r="H6062" t="s">
        <v>47054</v>
      </c>
      <c r="I6062" t="s">
        <v>47111</v>
      </c>
      <c r="J6062" t="s">
        <v>47112</v>
      </c>
      <c r="K6062" t="s">
        <v>47113</v>
      </c>
      <c r="L6062">
        <v>62.34</v>
      </c>
      <c r="M6062">
        <v>153</v>
      </c>
      <c r="N6062">
        <v>0</v>
      </c>
      <c r="O6062">
        <v>153</v>
      </c>
      <c r="P6062">
        <v>0</v>
      </c>
    </row>
    <row r="6063" spans="1:16" x14ac:dyDescent="0.25">
      <c r="A6063" t="s">
        <v>28480</v>
      </c>
      <c r="B6063" t="s">
        <v>5013</v>
      </c>
      <c r="C6063" t="s">
        <v>5014</v>
      </c>
      <c r="D6063" t="s">
        <v>2020</v>
      </c>
      <c r="E6063" t="s">
        <v>2021</v>
      </c>
      <c r="F6063" t="s">
        <v>8</v>
      </c>
      <c r="G6063" t="s">
        <v>16231</v>
      </c>
      <c r="H6063" t="s">
        <v>47054</v>
      </c>
      <c r="I6063" t="s">
        <v>47111</v>
      </c>
      <c r="J6063" t="s">
        <v>47112</v>
      </c>
      <c r="K6063" t="s">
        <v>47113</v>
      </c>
      <c r="L6063">
        <v>39.6</v>
      </c>
      <c r="M6063">
        <v>114</v>
      </c>
      <c r="N6063">
        <v>0</v>
      </c>
      <c r="O6063">
        <v>114</v>
      </c>
      <c r="P6063">
        <v>0</v>
      </c>
    </row>
    <row r="6064" spans="1:16" x14ac:dyDescent="0.25">
      <c r="A6064" t="s">
        <v>28481</v>
      </c>
      <c r="B6064" t="s">
        <v>5015</v>
      </c>
      <c r="C6064" t="s">
        <v>5014</v>
      </c>
      <c r="D6064" t="s">
        <v>721</v>
      </c>
      <c r="E6064" t="s">
        <v>722</v>
      </c>
      <c r="F6064" t="s">
        <v>8</v>
      </c>
      <c r="G6064" t="s">
        <v>16231</v>
      </c>
      <c r="H6064" t="s">
        <v>47054</v>
      </c>
      <c r="I6064" t="s">
        <v>47111</v>
      </c>
      <c r="J6064" t="s">
        <v>47112</v>
      </c>
      <c r="K6064" t="s">
        <v>47113</v>
      </c>
      <c r="L6064">
        <v>26.96</v>
      </c>
      <c r="M6064">
        <v>68</v>
      </c>
      <c r="N6064">
        <v>0</v>
      </c>
      <c r="O6064">
        <v>68</v>
      </c>
      <c r="P6064">
        <v>0</v>
      </c>
    </row>
    <row r="6065" spans="1:16" x14ac:dyDescent="0.25">
      <c r="A6065" t="s">
        <v>28482</v>
      </c>
      <c r="B6065" t="s">
        <v>5015</v>
      </c>
      <c r="C6065" t="s">
        <v>5014</v>
      </c>
      <c r="D6065" t="s">
        <v>27</v>
      </c>
      <c r="E6065" t="s">
        <v>622</v>
      </c>
      <c r="F6065" t="s">
        <v>8</v>
      </c>
      <c r="G6065" t="s">
        <v>16231</v>
      </c>
      <c r="H6065" t="s">
        <v>47054</v>
      </c>
      <c r="I6065" t="s">
        <v>47111</v>
      </c>
      <c r="J6065" t="s">
        <v>47112</v>
      </c>
      <c r="K6065" t="s">
        <v>47113</v>
      </c>
      <c r="L6065">
        <v>39.299999999999997</v>
      </c>
      <c r="M6065">
        <v>110</v>
      </c>
      <c r="N6065">
        <v>0</v>
      </c>
      <c r="O6065">
        <v>110</v>
      </c>
      <c r="P6065">
        <v>0</v>
      </c>
    </row>
    <row r="6066" spans="1:16" x14ac:dyDescent="0.25">
      <c r="A6066" t="s">
        <v>28483</v>
      </c>
      <c r="B6066" t="s">
        <v>5015</v>
      </c>
      <c r="C6066" t="s">
        <v>5014</v>
      </c>
      <c r="D6066" t="s">
        <v>1774</v>
      </c>
      <c r="E6066" t="s">
        <v>1775</v>
      </c>
      <c r="F6066" t="s">
        <v>56</v>
      </c>
      <c r="G6066" t="s">
        <v>16231</v>
      </c>
      <c r="H6066" t="s">
        <v>47054</v>
      </c>
      <c r="I6066" t="s">
        <v>47111</v>
      </c>
      <c r="J6066" t="s">
        <v>47112</v>
      </c>
      <c r="K6066" t="s">
        <v>47113</v>
      </c>
      <c r="L6066">
        <v>45.15</v>
      </c>
      <c r="M6066">
        <v>100</v>
      </c>
      <c r="N6066">
        <v>0</v>
      </c>
      <c r="O6066">
        <v>100</v>
      </c>
      <c r="P6066">
        <v>0</v>
      </c>
    </row>
    <row r="6067" spans="1:16" x14ac:dyDescent="0.25">
      <c r="A6067" t="s">
        <v>28484</v>
      </c>
      <c r="B6067" t="s">
        <v>5016</v>
      </c>
      <c r="C6067" t="s">
        <v>5017</v>
      </c>
      <c r="D6067" t="str">
        <f>"89"</f>
        <v>89</v>
      </c>
      <c r="E6067" t="s">
        <v>1732</v>
      </c>
      <c r="F6067" t="s">
        <v>8</v>
      </c>
      <c r="G6067" t="s">
        <v>16231</v>
      </c>
      <c r="H6067" t="s">
        <v>47054</v>
      </c>
      <c r="I6067" t="s">
        <v>47111</v>
      </c>
      <c r="J6067" t="s">
        <v>47112</v>
      </c>
      <c r="K6067" t="s">
        <v>47113</v>
      </c>
      <c r="L6067">
        <v>41.01</v>
      </c>
      <c r="M6067">
        <v>114</v>
      </c>
      <c r="N6067">
        <v>0</v>
      </c>
      <c r="O6067">
        <v>114</v>
      </c>
      <c r="P6067">
        <v>0</v>
      </c>
    </row>
    <row r="6068" spans="1:16" x14ac:dyDescent="0.25">
      <c r="A6068" t="s">
        <v>28485</v>
      </c>
      <c r="B6068" t="s">
        <v>5016</v>
      </c>
      <c r="C6068" t="s">
        <v>5017</v>
      </c>
      <c r="D6068" t="s">
        <v>4855</v>
      </c>
      <c r="E6068" t="s">
        <v>4856</v>
      </c>
      <c r="F6068" t="s">
        <v>8</v>
      </c>
      <c r="G6068" t="s">
        <v>16231</v>
      </c>
      <c r="H6068" t="s">
        <v>47054</v>
      </c>
      <c r="I6068" t="s">
        <v>47111</v>
      </c>
      <c r="J6068" t="s">
        <v>47112</v>
      </c>
      <c r="K6068" t="s">
        <v>47113</v>
      </c>
      <c r="L6068">
        <v>44.43</v>
      </c>
      <c r="M6068">
        <v>124</v>
      </c>
      <c r="N6068">
        <v>0</v>
      </c>
      <c r="O6068">
        <v>124</v>
      </c>
      <c r="P6068">
        <v>0</v>
      </c>
    </row>
    <row r="6069" spans="1:16" x14ac:dyDescent="0.25">
      <c r="A6069" t="s">
        <v>28486</v>
      </c>
      <c r="B6069" t="s">
        <v>5016</v>
      </c>
      <c r="C6069" t="s">
        <v>5017</v>
      </c>
      <c r="D6069" t="s">
        <v>1718</v>
      </c>
      <c r="E6069" t="s">
        <v>1719</v>
      </c>
      <c r="F6069" t="s">
        <v>8</v>
      </c>
      <c r="G6069" t="s">
        <v>16231</v>
      </c>
      <c r="H6069" t="s">
        <v>47054</v>
      </c>
      <c r="I6069" t="s">
        <v>47111</v>
      </c>
      <c r="J6069" t="s">
        <v>47112</v>
      </c>
      <c r="K6069" t="s">
        <v>47113</v>
      </c>
      <c r="L6069">
        <v>41.01</v>
      </c>
      <c r="M6069">
        <v>114</v>
      </c>
      <c r="N6069">
        <v>0</v>
      </c>
      <c r="O6069">
        <v>114</v>
      </c>
      <c r="P6069">
        <v>0</v>
      </c>
    </row>
    <row r="6070" spans="1:16" x14ac:dyDescent="0.25">
      <c r="A6070" t="s">
        <v>28487</v>
      </c>
      <c r="B6070" t="s">
        <v>5018</v>
      </c>
      <c r="C6070" t="s">
        <v>5019</v>
      </c>
      <c r="D6070" t="str">
        <f>"89"</f>
        <v>89</v>
      </c>
      <c r="E6070" t="s">
        <v>1732</v>
      </c>
      <c r="F6070" t="s">
        <v>8</v>
      </c>
      <c r="G6070" t="s">
        <v>16231</v>
      </c>
      <c r="H6070" t="s">
        <v>47054</v>
      </c>
      <c r="I6070" t="s">
        <v>47111</v>
      </c>
      <c r="J6070" t="s">
        <v>47112</v>
      </c>
      <c r="K6070" t="s">
        <v>47113</v>
      </c>
      <c r="L6070">
        <v>36.049999999999997</v>
      </c>
      <c r="M6070">
        <v>114</v>
      </c>
      <c r="N6070">
        <v>0</v>
      </c>
      <c r="O6070">
        <v>114</v>
      </c>
      <c r="P6070">
        <v>0</v>
      </c>
    </row>
    <row r="6071" spans="1:16" x14ac:dyDescent="0.25">
      <c r="A6071" t="s">
        <v>28488</v>
      </c>
      <c r="B6071" t="s">
        <v>5018</v>
      </c>
      <c r="C6071" t="s">
        <v>5019</v>
      </c>
      <c r="D6071" t="s">
        <v>2020</v>
      </c>
      <c r="E6071" t="s">
        <v>2021</v>
      </c>
      <c r="F6071" t="s">
        <v>8</v>
      </c>
      <c r="G6071" t="s">
        <v>16231</v>
      </c>
      <c r="H6071" t="s">
        <v>47054</v>
      </c>
      <c r="I6071" t="s">
        <v>47111</v>
      </c>
      <c r="J6071" t="s">
        <v>47112</v>
      </c>
      <c r="K6071" t="s">
        <v>47113</v>
      </c>
      <c r="L6071">
        <v>40.51</v>
      </c>
      <c r="M6071">
        <v>127</v>
      </c>
      <c r="N6071">
        <v>0</v>
      </c>
      <c r="O6071">
        <v>127</v>
      </c>
      <c r="P6071">
        <v>0</v>
      </c>
    </row>
    <row r="6072" spans="1:16" x14ac:dyDescent="0.25">
      <c r="A6072" t="s">
        <v>28489</v>
      </c>
      <c r="B6072" t="s">
        <v>5020</v>
      </c>
      <c r="C6072" t="s">
        <v>5021</v>
      </c>
      <c r="D6072" t="s">
        <v>1703</v>
      </c>
      <c r="E6072" t="s">
        <v>1704</v>
      </c>
      <c r="F6072" t="s">
        <v>8</v>
      </c>
      <c r="G6072" t="s">
        <v>16231</v>
      </c>
      <c r="H6072" t="s">
        <v>47054</v>
      </c>
      <c r="I6072" t="s">
        <v>47111</v>
      </c>
      <c r="J6072" t="s">
        <v>47112</v>
      </c>
      <c r="K6072" t="s">
        <v>47113</v>
      </c>
      <c r="L6072">
        <v>55.93</v>
      </c>
      <c r="M6072">
        <v>146</v>
      </c>
      <c r="N6072">
        <v>0</v>
      </c>
      <c r="O6072">
        <v>146</v>
      </c>
      <c r="P6072">
        <v>0</v>
      </c>
    </row>
    <row r="6073" spans="1:16" x14ac:dyDescent="0.25">
      <c r="A6073" t="s">
        <v>28490</v>
      </c>
      <c r="B6073" t="s">
        <v>5020</v>
      </c>
      <c r="C6073" t="s">
        <v>5021</v>
      </c>
      <c r="D6073" t="s">
        <v>1722</v>
      </c>
      <c r="E6073" t="s">
        <v>1723</v>
      </c>
      <c r="F6073" t="s">
        <v>8</v>
      </c>
      <c r="G6073" t="s">
        <v>16231</v>
      </c>
      <c r="H6073" t="s">
        <v>47054</v>
      </c>
      <c r="I6073" t="s">
        <v>47111</v>
      </c>
      <c r="J6073" t="s">
        <v>47112</v>
      </c>
      <c r="K6073" t="s">
        <v>47113</v>
      </c>
      <c r="L6073">
        <v>59.89</v>
      </c>
      <c r="M6073">
        <v>146</v>
      </c>
      <c r="N6073">
        <v>0</v>
      </c>
      <c r="O6073">
        <v>146</v>
      </c>
      <c r="P6073">
        <v>0</v>
      </c>
    </row>
    <row r="6074" spans="1:16" x14ac:dyDescent="0.25">
      <c r="A6074" t="s">
        <v>28491</v>
      </c>
      <c r="B6074" t="s">
        <v>5022</v>
      </c>
      <c r="C6074" t="s">
        <v>5023</v>
      </c>
      <c r="D6074" t="s">
        <v>1703</v>
      </c>
      <c r="E6074" t="s">
        <v>1704</v>
      </c>
      <c r="F6074" t="s">
        <v>8</v>
      </c>
      <c r="G6074" t="s">
        <v>16231</v>
      </c>
      <c r="H6074" t="s">
        <v>47054</v>
      </c>
      <c r="I6074" t="s">
        <v>47111</v>
      </c>
      <c r="J6074" t="s">
        <v>47112</v>
      </c>
      <c r="K6074" t="s">
        <v>47113</v>
      </c>
      <c r="L6074">
        <v>55.97</v>
      </c>
      <c r="M6074">
        <v>146</v>
      </c>
      <c r="N6074">
        <v>0</v>
      </c>
      <c r="O6074">
        <v>146</v>
      </c>
      <c r="P6074">
        <v>0</v>
      </c>
    </row>
    <row r="6075" spans="1:16" x14ac:dyDescent="0.25">
      <c r="A6075" t="s">
        <v>28492</v>
      </c>
      <c r="B6075" t="s">
        <v>5022</v>
      </c>
      <c r="C6075" t="s">
        <v>5023</v>
      </c>
      <c r="D6075" t="s">
        <v>1722</v>
      </c>
      <c r="E6075" t="s">
        <v>1723</v>
      </c>
      <c r="F6075" t="s">
        <v>8</v>
      </c>
      <c r="G6075" t="s">
        <v>16231</v>
      </c>
      <c r="H6075" t="s">
        <v>47054</v>
      </c>
      <c r="I6075" t="s">
        <v>47111</v>
      </c>
      <c r="J6075" t="s">
        <v>47112</v>
      </c>
      <c r="K6075" t="s">
        <v>47113</v>
      </c>
      <c r="L6075">
        <v>59.94</v>
      </c>
      <c r="M6075">
        <v>146</v>
      </c>
      <c r="N6075">
        <v>0</v>
      </c>
      <c r="O6075">
        <v>146</v>
      </c>
      <c r="P6075">
        <v>0</v>
      </c>
    </row>
    <row r="6076" spans="1:16" x14ac:dyDescent="0.25">
      <c r="A6076" t="s">
        <v>28493</v>
      </c>
      <c r="B6076" t="s">
        <v>5024</v>
      </c>
      <c r="C6076" t="s">
        <v>5025</v>
      </c>
      <c r="D6076" t="s">
        <v>1703</v>
      </c>
      <c r="E6076" t="s">
        <v>1704</v>
      </c>
      <c r="F6076" t="s">
        <v>8</v>
      </c>
      <c r="G6076" t="s">
        <v>16231</v>
      </c>
      <c r="H6076" t="s">
        <v>47054</v>
      </c>
      <c r="I6076" t="s">
        <v>47111</v>
      </c>
      <c r="J6076" t="s">
        <v>47112</v>
      </c>
      <c r="K6076" t="s">
        <v>47113</v>
      </c>
      <c r="L6076">
        <v>41.54</v>
      </c>
      <c r="M6076">
        <v>112</v>
      </c>
      <c r="N6076">
        <v>0</v>
      </c>
      <c r="O6076">
        <v>112</v>
      </c>
      <c r="P6076">
        <v>0</v>
      </c>
    </row>
    <row r="6077" spans="1:16" x14ac:dyDescent="0.25">
      <c r="A6077" t="s">
        <v>28494</v>
      </c>
      <c r="B6077" t="s">
        <v>5024</v>
      </c>
      <c r="C6077" t="s">
        <v>5025</v>
      </c>
      <c r="D6077" t="s">
        <v>1722</v>
      </c>
      <c r="E6077" t="s">
        <v>1723</v>
      </c>
      <c r="F6077" t="s">
        <v>8</v>
      </c>
      <c r="G6077" t="s">
        <v>16231</v>
      </c>
      <c r="H6077" t="s">
        <v>47054</v>
      </c>
      <c r="I6077" t="s">
        <v>47111</v>
      </c>
      <c r="J6077" t="s">
        <v>47112</v>
      </c>
      <c r="K6077" t="s">
        <v>47113</v>
      </c>
      <c r="L6077">
        <v>45.54</v>
      </c>
      <c r="M6077">
        <v>129</v>
      </c>
      <c r="N6077">
        <v>0</v>
      </c>
      <c r="O6077">
        <v>129</v>
      </c>
      <c r="P6077">
        <v>0</v>
      </c>
    </row>
    <row r="6078" spans="1:16" x14ac:dyDescent="0.25">
      <c r="A6078" t="s">
        <v>28495</v>
      </c>
      <c r="B6078" t="s">
        <v>5026</v>
      </c>
      <c r="C6078" t="s">
        <v>4978</v>
      </c>
      <c r="D6078" t="s">
        <v>5027</v>
      </c>
      <c r="E6078" t="s">
        <v>5028</v>
      </c>
      <c r="F6078" t="s">
        <v>0</v>
      </c>
      <c r="G6078" t="s">
        <v>16231</v>
      </c>
      <c r="H6078" t="s">
        <v>47054</v>
      </c>
      <c r="I6078" t="s">
        <v>47111</v>
      </c>
      <c r="J6078" t="s">
        <v>47112</v>
      </c>
      <c r="K6078" t="s">
        <v>47113</v>
      </c>
      <c r="L6078">
        <v>35.07</v>
      </c>
      <c r="M6078">
        <v>73</v>
      </c>
      <c r="N6078">
        <v>0</v>
      </c>
      <c r="O6078">
        <v>73</v>
      </c>
      <c r="P6078">
        <v>0</v>
      </c>
    </row>
    <row r="6079" spans="1:16" x14ac:dyDescent="0.25">
      <c r="A6079" t="s">
        <v>28496</v>
      </c>
      <c r="B6079" t="s">
        <v>5029</v>
      </c>
      <c r="C6079" t="s">
        <v>5030</v>
      </c>
      <c r="D6079" t="s">
        <v>721</v>
      </c>
      <c r="E6079" t="s">
        <v>722</v>
      </c>
      <c r="F6079" t="s">
        <v>8</v>
      </c>
      <c r="G6079" t="s">
        <v>16231</v>
      </c>
      <c r="H6079" t="s">
        <v>47054</v>
      </c>
      <c r="I6079" t="s">
        <v>47111</v>
      </c>
      <c r="J6079" t="s">
        <v>47112</v>
      </c>
      <c r="K6079" t="s">
        <v>47113</v>
      </c>
      <c r="L6079">
        <v>30.56</v>
      </c>
      <c r="M6079">
        <v>91</v>
      </c>
      <c r="N6079">
        <v>0</v>
      </c>
      <c r="O6079">
        <v>91</v>
      </c>
      <c r="P6079">
        <v>0</v>
      </c>
    </row>
    <row r="6080" spans="1:16" x14ac:dyDescent="0.25">
      <c r="A6080" t="s">
        <v>28497</v>
      </c>
      <c r="B6080" t="s">
        <v>5029</v>
      </c>
      <c r="C6080" t="s">
        <v>5030</v>
      </c>
      <c r="D6080" t="s">
        <v>1703</v>
      </c>
      <c r="E6080" t="s">
        <v>1704</v>
      </c>
      <c r="F6080" t="s">
        <v>8</v>
      </c>
      <c r="G6080" t="s">
        <v>16231</v>
      </c>
      <c r="H6080" t="s">
        <v>47054</v>
      </c>
      <c r="I6080" t="s">
        <v>47111</v>
      </c>
      <c r="J6080" t="s">
        <v>47112</v>
      </c>
      <c r="K6080" t="s">
        <v>47113</v>
      </c>
      <c r="L6080">
        <v>43.5</v>
      </c>
      <c r="M6080">
        <v>113</v>
      </c>
      <c r="N6080">
        <v>0</v>
      </c>
      <c r="O6080">
        <v>113</v>
      </c>
      <c r="P6080">
        <v>0</v>
      </c>
    </row>
    <row r="6081" spans="1:16" x14ac:dyDescent="0.25">
      <c r="A6081" t="s">
        <v>28498</v>
      </c>
      <c r="B6081" t="s">
        <v>5029</v>
      </c>
      <c r="C6081" t="s">
        <v>5030</v>
      </c>
      <c r="D6081" t="s">
        <v>1722</v>
      </c>
      <c r="E6081" t="s">
        <v>1723</v>
      </c>
      <c r="F6081" t="s">
        <v>8</v>
      </c>
      <c r="G6081" t="s">
        <v>16231</v>
      </c>
      <c r="H6081" t="s">
        <v>47054</v>
      </c>
      <c r="I6081" t="s">
        <v>47111</v>
      </c>
      <c r="J6081" t="s">
        <v>47112</v>
      </c>
      <c r="K6081" t="s">
        <v>47113</v>
      </c>
      <c r="L6081">
        <v>47.54</v>
      </c>
      <c r="M6081">
        <v>127</v>
      </c>
      <c r="N6081">
        <v>0</v>
      </c>
      <c r="O6081">
        <v>127</v>
      </c>
      <c r="P6081">
        <v>0</v>
      </c>
    </row>
    <row r="6082" spans="1:16" x14ac:dyDescent="0.25">
      <c r="A6082" t="s">
        <v>28499</v>
      </c>
      <c r="B6082" t="s">
        <v>5031</v>
      </c>
      <c r="C6082" t="s">
        <v>5032</v>
      </c>
      <c r="D6082" t="s">
        <v>5033</v>
      </c>
      <c r="E6082" t="s">
        <v>5034</v>
      </c>
      <c r="F6082" t="s">
        <v>8</v>
      </c>
      <c r="G6082" t="s">
        <v>16231</v>
      </c>
      <c r="H6082" t="s">
        <v>47054</v>
      </c>
      <c r="I6082" t="s">
        <v>47111</v>
      </c>
      <c r="J6082" t="s">
        <v>47112</v>
      </c>
      <c r="K6082" t="s">
        <v>47113</v>
      </c>
      <c r="L6082">
        <v>47.27</v>
      </c>
      <c r="M6082">
        <v>133</v>
      </c>
      <c r="N6082">
        <v>0</v>
      </c>
      <c r="O6082">
        <v>133</v>
      </c>
      <c r="P6082">
        <v>0</v>
      </c>
    </row>
    <row r="6083" spans="1:16" x14ac:dyDescent="0.25">
      <c r="A6083" t="s">
        <v>28500</v>
      </c>
      <c r="B6083" t="s">
        <v>5035</v>
      </c>
      <c r="C6083" t="s">
        <v>5036</v>
      </c>
      <c r="D6083" t="s">
        <v>721</v>
      </c>
      <c r="E6083" t="s">
        <v>722</v>
      </c>
      <c r="F6083" t="s">
        <v>8</v>
      </c>
      <c r="G6083" t="s">
        <v>16231</v>
      </c>
      <c r="H6083" t="s">
        <v>47054</v>
      </c>
      <c r="I6083" t="s">
        <v>47111</v>
      </c>
      <c r="J6083" t="s">
        <v>47112</v>
      </c>
      <c r="K6083" t="s">
        <v>47113</v>
      </c>
      <c r="L6083">
        <v>33.799999999999997</v>
      </c>
      <c r="M6083">
        <v>104</v>
      </c>
      <c r="N6083">
        <v>0</v>
      </c>
      <c r="O6083">
        <v>104</v>
      </c>
      <c r="P6083">
        <v>0</v>
      </c>
    </row>
    <row r="6084" spans="1:16" x14ac:dyDescent="0.25">
      <c r="A6084" t="s">
        <v>28501</v>
      </c>
      <c r="B6084" t="s">
        <v>5037</v>
      </c>
      <c r="C6084" t="s">
        <v>3425</v>
      </c>
      <c r="D6084" t="s">
        <v>1768</v>
      </c>
      <c r="E6084" t="s">
        <v>1769</v>
      </c>
      <c r="F6084" t="s">
        <v>52</v>
      </c>
      <c r="G6084" t="s">
        <v>16231</v>
      </c>
      <c r="H6084" t="s">
        <v>47054</v>
      </c>
      <c r="I6084" t="s">
        <v>47111</v>
      </c>
      <c r="J6084" t="s">
        <v>47112</v>
      </c>
      <c r="K6084" t="s">
        <v>47113</v>
      </c>
      <c r="L6084">
        <v>48.37</v>
      </c>
      <c r="M6084">
        <v>122</v>
      </c>
      <c r="N6084">
        <v>0</v>
      </c>
      <c r="O6084">
        <v>122</v>
      </c>
      <c r="P6084">
        <v>0</v>
      </c>
    </row>
    <row r="6085" spans="1:16" x14ac:dyDescent="0.25">
      <c r="A6085" t="s">
        <v>28502</v>
      </c>
      <c r="B6085" t="s">
        <v>5037</v>
      </c>
      <c r="C6085" t="s">
        <v>3425</v>
      </c>
      <c r="D6085" t="s">
        <v>1792</v>
      </c>
      <c r="E6085" t="s">
        <v>1793</v>
      </c>
      <c r="F6085" t="s">
        <v>52</v>
      </c>
      <c r="G6085" t="s">
        <v>16231</v>
      </c>
      <c r="H6085" t="s">
        <v>47054</v>
      </c>
      <c r="I6085" t="s">
        <v>47111</v>
      </c>
      <c r="J6085" t="s">
        <v>47112</v>
      </c>
      <c r="K6085" t="s">
        <v>47113</v>
      </c>
      <c r="L6085">
        <v>44.9</v>
      </c>
      <c r="M6085">
        <v>110</v>
      </c>
      <c r="N6085">
        <v>0</v>
      </c>
      <c r="O6085">
        <v>110</v>
      </c>
      <c r="P6085">
        <v>0</v>
      </c>
    </row>
    <row r="6086" spans="1:16" x14ac:dyDescent="0.25">
      <c r="A6086" t="s">
        <v>28503</v>
      </c>
      <c r="B6086" t="s">
        <v>5037</v>
      </c>
      <c r="C6086" t="s">
        <v>3425</v>
      </c>
      <c r="D6086" t="s">
        <v>1737</v>
      </c>
      <c r="E6086" t="s">
        <v>1738</v>
      </c>
      <c r="F6086" t="s">
        <v>52</v>
      </c>
      <c r="G6086" t="s">
        <v>16231</v>
      </c>
      <c r="H6086" t="s">
        <v>47054</v>
      </c>
      <c r="I6086" t="s">
        <v>47111</v>
      </c>
      <c r="J6086" t="s">
        <v>47112</v>
      </c>
      <c r="K6086" t="s">
        <v>47113</v>
      </c>
      <c r="L6086">
        <v>42.74</v>
      </c>
      <c r="M6086">
        <v>110</v>
      </c>
      <c r="N6086">
        <v>0</v>
      </c>
      <c r="O6086">
        <v>110</v>
      </c>
      <c r="P6086">
        <v>0</v>
      </c>
    </row>
    <row r="6087" spans="1:16" x14ac:dyDescent="0.25">
      <c r="A6087" t="s">
        <v>28504</v>
      </c>
      <c r="B6087" t="s">
        <v>5037</v>
      </c>
      <c r="C6087" t="s">
        <v>3425</v>
      </c>
      <c r="D6087" t="s">
        <v>1734</v>
      </c>
      <c r="E6087" t="s">
        <v>1735</v>
      </c>
      <c r="F6087" t="s">
        <v>52</v>
      </c>
      <c r="G6087" t="s">
        <v>16231</v>
      </c>
      <c r="H6087" t="s">
        <v>47054</v>
      </c>
      <c r="I6087" t="s">
        <v>47111</v>
      </c>
      <c r="J6087" t="s">
        <v>47112</v>
      </c>
      <c r="K6087" t="s">
        <v>47113</v>
      </c>
      <c r="L6087">
        <v>46.06</v>
      </c>
      <c r="M6087">
        <v>116</v>
      </c>
      <c r="N6087">
        <v>0</v>
      </c>
      <c r="O6087">
        <v>116</v>
      </c>
      <c r="P6087">
        <v>0</v>
      </c>
    </row>
    <row r="6088" spans="1:16" x14ac:dyDescent="0.25">
      <c r="A6088" t="s">
        <v>28505</v>
      </c>
      <c r="B6088" t="s">
        <v>5038</v>
      </c>
      <c r="C6088" t="s">
        <v>3425</v>
      </c>
      <c r="D6088" t="s">
        <v>1768</v>
      </c>
      <c r="E6088" t="s">
        <v>1769</v>
      </c>
      <c r="F6088" t="s">
        <v>52</v>
      </c>
      <c r="G6088" t="s">
        <v>16231</v>
      </c>
      <c r="H6088" t="s">
        <v>47054</v>
      </c>
      <c r="I6088" t="s">
        <v>47111</v>
      </c>
      <c r="J6088" t="s">
        <v>47112</v>
      </c>
      <c r="K6088" t="s">
        <v>47113</v>
      </c>
      <c r="L6088">
        <v>47.7</v>
      </c>
      <c r="M6088">
        <v>120</v>
      </c>
      <c r="N6088">
        <v>0</v>
      </c>
      <c r="O6088">
        <v>120</v>
      </c>
      <c r="P6088">
        <v>0</v>
      </c>
    </row>
    <row r="6089" spans="1:16" x14ac:dyDescent="0.25">
      <c r="A6089" t="s">
        <v>28506</v>
      </c>
      <c r="B6089" t="s">
        <v>5038</v>
      </c>
      <c r="C6089" t="s">
        <v>3425</v>
      </c>
      <c r="D6089" t="s">
        <v>1792</v>
      </c>
      <c r="E6089" t="s">
        <v>1793</v>
      </c>
      <c r="F6089" t="s">
        <v>52</v>
      </c>
      <c r="G6089" t="s">
        <v>16231</v>
      </c>
      <c r="H6089" t="s">
        <v>47054</v>
      </c>
      <c r="I6089" t="s">
        <v>47111</v>
      </c>
      <c r="J6089" t="s">
        <v>47112</v>
      </c>
      <c r="K6089" t="s">
        <v>47113</v>
      </c>
      <c r="L6089">
        <v>43.08</v>
      </c>
      <c r="M6089">
        <v>109</v>
      </c>
      <c r="N6089">
        <v>0</v>
      </c>
      <c r="O6089">
        <v>109</v>
      </c>
      <c r="P6089">
        <v>0</v>
      </c>
    </row>
    <row r="6090" spans="1:16" x14ac:dyDescent="0.25">
      <c r="A6090" t="s">
        <v>28507</v>
      </c>
      <c r="B6090" t="s">
        <v>5038</v>
      </c>
      <c r="C6090" t="s">
        <v>3425</v>
      </c>
      <c r="D6090" t="s">
        <v>1737</v>
      </c>
      <c r="E6090" t="s">
        <v>1738</v>
      </c>
      <c r="F6090" t="s">
        <v>52</v>
      </c>
      <c r="G6090" t="s">
        <v>16231</v>
      </c>
      <c r="H6090" t="s">
        <v>47054</v>
      </c>
      <c r="I6090" t="s">
        <v>47111</v>
      </c>
      <c r="J6090" t="s">
        <v>47112</v>
      </c>
      <c r="K6090" t="s">
        <v>47113</v>
      </c>
      <c r="L6090">
        <v>43.08</v>
      </c>
      <c r="M6090">
        <v>109</v>
      </c>
      <c r="N6090">
        <v>0</v>
      </c>
      <c r="O6090">
        <v>109</v>
      </c>
      <c r="P6090">
        <v>0</v>
      </c>
    </row>
    <row r="6091" spans="1:16" x14ac:dyDescent="0.25">
      <c r="A6091" t="s">
        <v>28508</v>
      </c>
      <c r="B6091" t="s">
        <v>5038</v>
      </c>
      <c r="C6091" t="s">
        <v>3425</v>
      </c>
      <c r="D6091" t="s">
        <v>1734</v>
      </c>
      <c r="E6091" t="s">
        <v>1735</v>
      </c>
      <c r="F6091" t="s">
        <v>52</v>
      </c>
      <c r="G6091" t="s">
        <v>16231</v>
      </c>
      <c r="H6091" t="s">
        <v>47054</v>
      </c>
      <c r="I6091" t="s">
        <v>47111</v>
      </c>
      <c r="J6091" t="s">
        <v>47112</v>
      </c>
      <c r="K6091" t="s">
        <v>47113</v>
      </c>
      <c r="L6091">
        <v>45.39</v>
      </c>
      <c r="M6091">
        <v>114</v>
      </c>
      <c r="N6091">
        <v>0</v>
      </c>
      <c r="O6091">
        <v>114</v>
      </c>
      <c r="P6091">
        <v>0</v>
      </c>
    </row>
    <row r="6092" spans="1:16" x14ac:dyDescent="0.25">
      <c r="A6092" t="s">
        <v>28509</v>
      </c>
      <c r="B6092" t="s">
        <v>5039</v>
      </c>
      <c r="C6092" t="s">
        <v>3425</v>
      </c>
      <c r="D6092" t="s">
        <v>2028</v>
      </c>
      <c r="E6092" t="s">
        <v>2029</v>
      </c>
      <c r="F6092" t="s">
        <v>52</v>
      </c>
      <c r="G6092" t="s">
        <v>16231</v>
      </c>
      <c r="H6092" t="s">
        <v>47054</v>
      </c>
      <c r="I6092" t="s">
        <v>47111</v>
      </c>
      <c r="J6092" t="s">
        <v>47112</v>
      </c>
      <c r="K6092" t="s">
        <v>47113</v>
      </c>
      <c r="L6092">
        <v>48.49</v>
      </c>
      <c r="M6092">
        <v>119</v>
      </c>
      <c r="N6092">
        <v>0</v>
      </c>
      <c r="O6092">
        <v>119</v>
      </c>
      <c r="P6092">
        <v>0</v>
      </c>
    </row>
    <row r="6093" spans="1:16" x14ac:dyDescent="0.25">
      <c r="A6093" t="s">
        <v>28510</v>
      </c>
      <c r="B6093" t="s">
        <v>5039</v>
      </c>
      <c r="C6093" t="s">
        <v>3425</v>
      </c>
      <c r="D6093" t="s">
        <v>4843</v>
      </c>
      <c r="E6093" t="s">
        <v>4844</v>
      </c>
      <c r="F6093" t="s">
        <v>52</v>
      </c>
      <c r="G6093" t="s">
        <v>16231</v>
      </c>
      <c r="H6093" t="s">
        <v>47054</v>
      </c>
      <c r="I6093" t="s">
        <v>47111</v>
      </c>
      <c r="J6093" t="s">
        <v>47112</v>
      </c>
      <c r="K6093" t="s">
        <v>47113</v>
      </c>
      <c r="L6093">
        <v>47.91</v>
      </c>
      <c r="M6093">
        <v>117</v>
      </c>
      <c r="N6093">
        <v>0</v>
      </c>
      <c r="O6093">
        <v>117</v>
      </c>
      <c r="P6093">
        <v>0</v>
      </c>
    </row>
    <row r="6094" spans="1:16" x14ac:dyDescent="0.25">
      <c r="A6094" t="s">
        <v>28511</v>
      </c>
      <c r="B6094" t="s">
        <v>5039</v>
      </c>
      <c r="C6094" t="s">
        <v>3425</v>
      </c>
      <c r="D6094" t="s">
        <v>1737</v>
      </c>
      <c r="E6094" t="s">
        <v>1738</v>
      </c>
      <c r="F6094" t="s">
        <v>52</v>
      </c>
      <c r="G6094" t="s">
        <v>16231</v>
      </c>
      <c r="H6094" t="s">
        <v>47054</v>
      </c>
      <c r="I6094" t="s">
        <v>47111</v>
      </c>
      <c r="J6094" t="s">
        <v>47112</v>
      </c>
      <c r="K6094" t="s">
        <v>47113</v>
      </c>
      <c r="L6094">
        <v>38.89</v>
      </c>
      <c r="M6094">
        <v>100</v>
      </c>
      <c r="N6094">
        <v>0</v>
      </c>
      <c r="O6094">
        <v>100</v>
      </c>
      <c r="P6094">
        <v>0</v>
      </c>
    </row>
    <row r="6095" spans="1:16" x14ac:dyDescent="0.25">
      <c r="A6095" t="s">
        <v>28512</v>
      </c>
      <c r="B6095" t="s">
        <v>5039</v>
      </c>
      <c r="C6095" t="s">
        <v>3425</v>
      </c>
      <c r="D6095" t="s">
        <v>1734</v>
      </c>
      <c r="E6095" t="s">
        <v>1735</v>
      </c>
      <c r="F6095" t="s">
        <v>52</v>
      </c>
      <c r="G6095" t="s">
        <v>16231</v>
      </c>
      <c r="H6095" t="s">
        <v>47054</v>
      </c>
      <c r="I6095" t="s">
        <v>47111</v>
      </c>
      <c r="J6095" t="s">
        <v>47112</v>
      </c>
      <c r="K6095" t="s">
        <v>47113</v>
      </c>
      <c r="L6095">
        <v>43.29</v>
      </c>
      <c r="M6095">
        <v>106</v>
      </c>
      <c r="N6095">
        <v>0</v>
      </c>
      <c r="O6095">
        <v>106</v>
      </c>
      <c r="P6095">
        <v>0</v>
      </c>
    </row>
    <row r="6096" spans="1:16" x14ac:dyDescent="0.25">
      <c r="A6096" t="s">
        <v>28513</v>
      </c>
      <c r="B6096" t="s">
        <v>5040</v>
      </c>
      <c r="C6096" t="s">
        <v>3425</v>
      </c>
      <c r="D6096" t="s">
        <v>2028</v>
      </c>
      <c r="E6096" t="s">
        <v>2029</v>
      </c>
      <c r="F6096" t="s">
        <v>52</v>
      </c>
      <c r="G6096" t="s">
        <v>16231</v>
      </c>
      <c r="H6096" t="s">
        <v>47054</v>
      </c>
      <c r="I6096" t="s">
        <v>47111</v>
      </c>
      <c r="J6096" t="s">
        <v>47112</v>
      </c>
      <c r="K6096" t="s">
        <v>47113</v>
      </c>
      <c r="L6096">
        <v>48.26</v>
      </c>
      <c r="M6096">
        <v>118</v>
      </c>
      <c r="N6096">
        <v>0</v>
      </c>
      <c r="O6096">
        <v>118</v>
      </c>
      <c r="P6096">
        <v>0</v>
      </c>
    </row>
    <row r="6097" spans="1:16" x14ac:dyDescent="0.25">
      <c r="A6097" t="s">
        <v>28514</v>
      </c>
      <c r="B6097" t="s">
        <v>5040</v>
      </c>
      <c r="C6097" t="s">
        <v>3425</v>
      </c>
      <c r="D6097" t="s">
        <v>4843</v>
      </c>
      <c r="E6097" t="s">
        <v>4844</v>
      </c>
      <c r="F6097" t="s">
        <v>52</v>
      </c>
      <c r="G6097" t="s">
        <v>16231</v>
      </c>
      <c r="H6097" t="s">
        <v>47054</v>
      </c>
      <c r="I6097" t="s">
        <v>47111</v>
      </c>
      <c r="J6097" t="s">
        <v>47112</v>
      </c>
      <c r="K6097" t="s">
        <v>47113</v>
      </c>
      <c r="L6097">
        <v>47.69</v>
      </c>
      <c r="M6097">
        <v>117</v>
      </c>
      <c r="N6097">
        <v>0</v>
      </c>
      <c r="O6097">
        <v>117</v>
      </c>
      <c r="P6097">
        <v>0</v>
      </c>
    </row>
    <row r="6098" spans="1:16" x14ac:dyDescent="0.25">
      <c r="A6098" t="s">
        <v>28515</v>
      </c>
      <c r="B6098" t="s">
        <v>5040</v>
      </c>
      <c r="C6098" t="s">
        <v>3425</v>
      </c>
      <c r="D6098" t="s">
        <v>1737</v>
      </c>
      <c r="E6098" t="s">
        <v>1738</v>
      </c>
      <c r="F6098" t="s">
        <v>52</v>
      </c>
      <c r="G6098" t="s">
        <v>16231</v>
      </c>
      <c r="H6098" t="s">
        <v>47054</v>
      </c>
      <c r="I6098" t="s">
        <v>47111</v>
      </c>
      <c r="J6098" t="s">
        <v>47112</v>
      </c>
      <c r="K6098" t="s">
        <v>47113</v>
      </c>
      <c r="L6098">
        <v>38.44</v>
      </c>
      <c r="M6098">
        <v>100</v>
      </c>
      <c r="N6098">
        <v>0</v>
      </c>
      <c r="O6098">
        <v>100</v>
      </c>
      <c r="P6098">
        <v>0</v>
      </c>
    </row>
    <row r="6099" spans="1:16" x14ac:dyDescent="0.25">
      <c r="A6099" t="s">
        <v>28516</v>
      </c>
      <c r="B6099" t="s">
        <v>5040</v>
      </c>
      <c r="C6099" t="s">
        <v>3425</v>
      </c>
      <c r="D6099" t="s">
        <v>1734</v>
      </c>
      <c r="E6099" t="s">
        <v>1735</v>
      </c>
      <c r="F6099" t="s">
        <v>52</v>
      </c>
      <c r="G6099" t="s">
        <v>16231</v>
      </c>
      <c r="H6099" t="s">
        <v>47054</v>
      </c>
      <c r="I6099" t="s">
        <v>47111</v>
      </c>
      <c r="J6099" t="s">
        <v>47112</v>
      </c>
      <c r="K6099" t="s">
        <v>47113</v>
      </c>
      <c r="L6099">
        <v>41.59</v>
      </c>
      <c r="M6099">
        <v>106</v>
      </c>
      <c r="N6099">
        <v>0</v>
      </c>
      <c r="O6099">
        <v>106</v>
      </c>
      <c r="P6099">
        <v>0</v>
      </c>
    </row>
    <row r="6100" spans="1:16" x14ac:dyDescent="0.25">
      <c r="A6100" t="s">
        <v>28517</v>
      </c>
      <c r="B6100" t="s">
        <v>5041</v>
      </c>
      <c r="C6100" t="s">
        <v>5042</v>
      </c>
      <c r="D6100" t="s">
        <v>4855</v>
      </c>
      <c r="E6100" t="s">
        <v>4856</v>
      </c>
      <c r="F6100" t="s">
        <v>8</v>
      </c>
      <c r="G6100" t="s">
        <v>16231</v>
      </c>
      <c r="H6100" t="s">
        <v>47054</v>
      </c>
      <c r="I6100" t="s">
        <v>47111</v>
      </c>
      <c r="J6100" t="s">
        <v>47112</v>
      </c>
      <c r="K6100" t="s">
        <v>47113</v>
      </c>
      <c r="L6100">
        <v>41.45</v>
      </c>
      <c r="M6100">
        <v>103</v>
      </c>
      <c r="N6100">
        <v>0</v>
      </c>
      <c r="O6100">
        <v>103</v>
      </c>
      <c r="P6100">
        <v>0</v>
      </c>
    </row>
    <row r="6101" spans="1:16" x14ac:dyDescent="0.25">
      <c r="A6101" t="s">
        <v>28518</v>
      </c>
      <c r="B6101" t="s">
        <v>5041</v>
      </c>
      <c r="C6101" t="s">
        <v>5042</v>
      </c>
      <c r="D6101" t="s">
        <v>1718</v>
      </c>
      <c r="E6101" t="s">
        <v>1719</v>
      </c>
      <c r="F6101" t="s">
        <v>8</v>
      </c>
      <c r="G6101" t="s">
        <v>16231</v>
      </c>
      <c r="H6101" t="s">
        <v>47054</v>
      </c>
      <c r="I6101" t="s">
        <v>47111</v>
      </c>
      <c r="J6101" t="s">
        <v>47112</v>
      </c>
      <c r="K6101" t="s">
        <v>47113</v>
      </c>
      <c r="L6101">
        <v>38.07</v>
      </c>
      <c r="M6101">
        <v>95</v>
      </c>
      <c r="N6101">
        <v>0</v>
      </c>
      <c r="O6101">
        <v>95</v>
      </c>
      <c r="P6101">
        <v>0</v>
      </c>
    </row>
    <row r="6102" spans="1:16" x14ac:dyDescent="0.25">
      <c r="A6102" t="s">
        <v>28519</v>
      </c>
      <c r="B6102" t="s">
        <v>5041</v>
      </c>
      <c r="C6102" t="s">
        <v>5042</v>
      </c>
      <c r="D6102" t="s">
        <v>1734</v>
      </c>
      <c r="E6102" t="s">
        <v>1735</v>
      </c>
      <c r="F6102" t="s">
        <v>52</v>
      </c>
      <c r="G6102" t="s">
        <v>16231</v>
      </c>
      <c r="H6102" t="s">
        <v>47054</v>
      </c>
      <c r="I6102" t="s">
        <v>47111</v>
      </c>
      <c r="J6102" t="s">
        <v>47112</v>
      </c>
      <c r="K6102" t="s">
        <v>47113</v>
      </c>
      <c r="L6102">
        <v>39.85</v>
      </c>
      <c r="M6102">
        <v>107</v>
      </c>
      <c r="N6102">
        <v>0</v>
      </c>
      <c r="O6102">
        <v>107</v>
      </c>
      <c r="P6102">
        <v>0</v>
      </c>
    </row>
    <row r="6103" spans="1:16" x14ac:dyDescent="0.25">
      <c r="A6103" t="s">
        <v>28520</v>
      </c>
      <c r="B6103" t="s">
        <v>5041</v>
      </c>
      <c r="C6103" t="s">
        <v>5042</v>
      </c>
      <c r="D6103" t="s">
        <v>1774</v>
      </c>
      <c r="E6103" t="s">
        <v>1775</v>
      </c>
      <c r="F6103" t="s">
        <v>52</v>
      </c>
      <c r="G6103" t="s">
        <v>16231</v>
      </c>
      <c r="H6103" t="s">
        <v>47054</v>
      </c>
      <c r="I6103" t="s">
        <v>47111</v>
      </c>
      <c r="J6103" t="s">
        <v>47112</v>
      </c>
      <c r="K6103" t="s">
        <v>47113</v>
      </c>
      <c r="L6103">
        <v>41</v>
      </c>
      <c r="M6103">
        <v>110</v>
      </c>
      <c r="N6103">
        <v>0</v>
      </c>
      <c r="O6103">
        <v>110</v>
      </c>
      <c r="P6103">
        <v>0</v>
      </c>
    </row>
    <row r="6104" spans="1:16" x14ac:dyDescent="0.25">
      <c r="A6104" t="s">
        <v>28521</v>
      </c>
      <c r="B6104" t="s">
        <v>5043</v>
      </c>
      <c r="C6104" t="s">
        <v>5044</v>
      </c>
      <c r="D6104" t="s">
        <v>4855</v>
      </c>
      <c r="E6104" t="s">
        <v>4856</v>
      </c>
      <c r="F6104" t="s">
        <v>52</v>
      </c>
      <c r="G6104" t="s">
        <v>16231</v>
      </c>
      <c r="H6104" t="s">
        <v>47054</v>
      </c>
      <c r="I6104" t="s">
        <v>47114</v>
      </c>
      <c r="J6104" t="s">
        <v>47115</v>
      </c>
      <c r="K6104" t="s">
        <v>47113</v>
      </c>
      <c r="L6104">
        <v>60.36</v>
      </c>
      <c r="M6104">
        <v>141</v>
      </c>
      <c r="N6104">
        <v>0</v>
      </c>
      <c r="O6104">
        <v>141</v>
      </c>
      <c r="P6104">
        <v>0</v>
      </c>
    </row>
    <row r="6105" spans="1:16" x14ac:dyDescent="0.25">
      <c r="A6105" t="s">
        <v>28522</v>
      </c>
      <c r="B6105" t="s">
        <v>5043</v>
      </c>
      <c r="C6105" t="s">
        <v>5044</v>
      </c>
      <c r="D6105" t="s">
        <v>1737</v>
      </c>
      <c r="E6105" t="s">
        <v>1738</v>
      </c>
      <c r="F6105" t="s">
        <v>52</v>
      </c>
      <c r="G6105" t="s">
        <v>16231</v>
      </c>
      <c r="H6105" t="s">
        <v>47054</v>
      </c>
      <c r="I6105" t="s">
        <v>47114</v>
      </c>
      <c r="J6105" t="s">
        <v>47115</v>
      </c>
      <c r="K6105" t="s">
        <v>47113</v>
      </c>
      <c r="L6105">
        <v>60.36</v>
      </c>
      <c r="M6105">
        <v>141</v>
      </c>
      <c r="N6105">
        <v>0</v>
      </c>
      <c r="O6105">
        <v>141</v>
      </c>
      <c r="P6105">
        <v>0</v>
      </c>
    </row>
    <row r="6106" spans="1:16" x14ac:dyDescent="0.25">
      <c r="A6106" t="s">
        <v>28523</v>
      </c>
      <c r="B6106" t="s">
        <v>5043</v>
      </c>
      <c r="C6106" t="s">
        <v>5044</v>
      </c>
      <c r="D6106" t="s">
        <v>1734</v>
      </c>
      <c r="E6106" t="s">
        <v>1735</v>
      </c>
      <c r="F6106" t="s">
        <v>52</v>
      </c>
      <c r="G6106" t="s">
        <v>16231</v>
      </c>
      <c r="H6106" t="s">
        <v>47054</v>
      </c>
      <c r="I6106" t="s">
        <v>47114</v>
      </c>
      <c r="J6106" t="s">
        <v>47115</v>
      </c>
      <c r="K6106" t="s">
        <v>47113</v>
      </c>
      <c r="L6106">
        <v>59.65</v>
      </c>
      <c r="M6106">
        <v>146</v>
      </c>
      <c r="N6106">
        <v>0</v>
      </c>
      <c r="O6106">
        <v>146</v>
      </c>
      <c r="P6106">
        <v>0</v>
      </c>
    </row>
    <row r="6107" spans="1:16" x14ac:dyDescent="0.25">
      <c r="A6107" t="s">
        <v>28524</v>
      </c>
      <c r="B6107" t="s">
        <v>5045</v>
      </c>
      <c r="C6107" t="s">
        <v>5046</v>
      </c>
      <c r="D6107" t="s">
        <v>1718</v>
      </c>
      <c r="E6107" t="s">
        <v>1719</v>
      </c>
      <c r="F6107" t="s">
        <v>56</v>
      </c>
      <c r="G6107" t="s">
        <v>16231</v>
      </c>
      <c r="H6107" t="s">
        <v>47054</v>
      </c>
      <c r="I6107" t="s">
        <v>47111</v>
      </c>
      <c r="J6107" t="s">
        <v>47112</v>
      </c>
      <c r="K6107" t="s">
        <v>47113</v>
      </c>
      <c r="L6107">
        <v>54.43</v>
      </c>
      <c r="M6107">
        <v>119</v>
      </c>
      <c r="N6107">
        <v>0</v>
      </c>
      <c r="O6107">
        <v>119</v>
      </c>
      <c r="P6107">
        <v>0</v>
      </c>
    </row>
    <row r="6108" spans="1:16" x14ac:dyDescent="0.25">
      <c r="A6108" t="s">
        <v>28525</v>
      </c>
      <c r="B6108" t="s">
        <v>5045</v>
      </c>
      <c r="C6108" t="s">
        <v>5046</v>
      </c>
      <c r="D6108" t="s">
        <v>4860</v>
      </c>
      <c r="E6108" t="s">
        <v>4861</v>
      </c>
      <c r="F6108" t="s">
        <v>56</v>
      </c>
      <c r="G6108" t="s">
        <v>16231</v>
      </c>
      <c r="H6108" t="s">
        <v>47054</v>
      </c>
      <c r="I6108" t="s">
        <v>47111</v>
      </c>
      <c r="J6108" t="s">
        <v>47112</v>
      </c>
      <c r="K6108" t="s">
        <v>47113</v>
      </c>
      <c r="L6108">
        <v>64.17</v>
      </c>
      <c r="M6108">
        <v>142</v>
      </c>
      <c r="N6108">
        <v>0</v>
      </c>
      <c r="O6108">
        <v>142</v>
      </c>
      <c r="P6108">
        <v>0</v>
      </c>
    </row>
    <row r="6109" spans="1:16" x14ac:dyDescent="0.25">
      <c r="A6109" t="s">
        <v>28526</v>
      </c>
      <c r="B6109" t="s">
        <v>5045</v>
      </c>
      <c r="C6109" t="s">
        <v>5046</v>
      </c>
      <c r="D6109" t="s">
        <v>4862</v>
      </c>
      <c r="E6109" t="s">
        <v>4863</v>
      </c>
      <c r="F6109" t="s">
        <v>56</v>
      </c>
      <c r="G6109" t="s">
        <v>16231</v>
      </c>
      <c r="H6109" t="s">
        <v>47054</v>
      </c>
      <c r="I6109" t="s">
        <v>47111</v>
      </c>
      <c r="J6109" t="s">
        <v>47112</v>
      </c>
      <c r="K6109" t="s">
        <v>47113</v>
      </c>
      <c r="L6109">
        <v>69.78</v>
      </c>
      <c r="M6109">
        <v>151</v>
      </c>
      <c r="N6109">
        <v>0</v>
      </c>
      <c r="O6109">
        <v>151</v>
      </c>
      <c r="P6109">
        <v>0</v>
      </c>
    </row>
    <row r="6110" spans="1:16" x14ac:dyDescent="0.25">
      <c r="A6110" t="s">
        <v>28527</v>
      </c>
      <c r="B6110" t="s">
        <v>5047</v>
      </c>
      <c r="C6110" t="s">
        <v>5048</v>
      </c>
      <c r="D6110" t="s">
        <v>5049</v>
      </c>
      <c r="E6110" t="s">
        <v>5050</v>
      </c>
      <c r="F6110" t="s">
        <v>2068</v>
      </c>
      <c r="G6110" t="s">
        <v>16231</v>
      </c>
      <c r="H6110" t="s">
        <v>47054</v>
      </c>
      <c r="I6110" t="s">
        <v>47111</v>
      </c>
      <c r="J6110" t="s">
        <v>47112</v>
      </c>
      <c r="K6110" t="s">
        <v>47113</v>
      </c>
      <c r="L6110">
        <v>44.54</v>
      </c>
      <c r="M6110">
        <v>101</v>
      </c>
      <c r="N6110">
        <v>0</v>
      </c>
      <c r="O6110">
        <v>101</v>
      </c>
      <c r="P6110">
        <v>0</v>
      </c>
    </row>
    <row r="6111" spans="1:16" x14ac:dyDescent="0.25">
      <c r="A6111" t="s">
        <v>14936</v>
      </c>
      <c r="B6111" t="s">
        <v>5051</v>
      </c>
      <c r="C6111" t="s">
        <v>5052</v>
      </c>
      <c r="D6111" t="s">
        <v>5053</v>
      </c>
      <c r="E6111" t="s">
        <v>5054</v>
      </c>
      <c r="F6111" t="s">
        <v>2068</v>
      </c>
      <c r="G6111" t="s">
        <v>16231</v>
      </c>
      <c r="H6111" t="s">
        <v>47054</v>
      </c>
      <c r="I6111" t="s">
        <v>47111</v>
      </c>
      <c r="J6111" t="s">
        <v>47112</v>
      </c>
      <c r="K6111" t="s">
        <v>47113</v>
      </c>
      <c r="L6111">
        <v>57.91</v>
      </c>
      <c r="M6111">
        <v>131</v>
      </c>
      <c r="N6111">
        <v>0</v>
      </c>
      <c r="O6111">
        <v>131</v>
      </c>
      <c r="P6111">
        <v>0</v>
      </c>
    </row>
    <row r="6112" spans="1:16" x14ac:dyDescent="0.25">
      <c r="A6112" t="s">
        <v>28528</v>
      </c>
      <c r="B6112" t="s">
        <v>5055</v>
      </c>
      <c r="C6112" t="s">
        <v>19785</v>
      </c>
      <c r="D6112" t="s">
        <v>5056</v>
      </c>
      <c r="E6112" t="s">
        <v>5057</v>
      </c>
      <c r="F6112" t="s">
        <v>2068</v>
      </c>
      <c r="G6112" t="s">
        <v>16231</v>
      </c>
      <c r="H6112" t="s">
        <v>47054</v>
      </c>
      <c r="I6112" t="s">
        <v>47111</v>
      </c>
      <c r="J6112" t="s">
        <v>47112</v>
      </c>
      <c r="K6112" t="s">
        <v>47113</v>
      </c>
      <c r="L6112">
        <v>41.51</v>
      </c>
      <c r="M6112">
        <v>85</v>
      </c>
      <c r="N6112">
        <v>0</v>
      </c>
      <c r="O6112">
        <v>85</v>
      </c>
      <c r="P6112">
        <v>0</v>
      </c>
    </row>
    <row r="6113" spans="1:16" x14ac:dyDescent="0.25">
      <c r="A6113" t="s">
        <v>28529</v>
      </c>
      <c r="B6113" t="s">
        <v>5058</v>
      </c>
      <c r="C6113" t="s">
        <v>5059</v>
      </c>
      <c r="D6113" t="s">
        <v>5060</v>
      </c>
      <c r="E6113" t="s">
        <v>5061</v>
      </c>
      <c r="F6113" t="s">
        <v>3546</v>
      </c>
      <c r="G6113" t="s">
        <v>16231</v>
      </c>
      <c r="H6113" t="s">
        <v>47054</v>
      </c>
      <c r="I6113" t="s">
        <v>47111</v>
      </c>
      <c r="J6113" t="s">
        <v>47112</v>
      </c>
      <c r="K6113" t="s">
        <v>47113</v>
      </c>
      <c r="L6113">
        <v>50.31</v>
      </c>
      <c r="M6113">
        <v>124</v>
      </c>
      <c r="N6113">
        <v>0</v>
      </c>
      <c r="O6113">
        <v>124</v>
      </c>
      <c r="P6113">
        <v>0</v>
      </c>
    </row>
    <row r="6114" spans="1:16" x14ac:dyDescent="0.25">
      <c r="A6114" t="s">
        <v>28530</v>
      </c>
      <c r="B6114" t="s">
        <v>5062</v>
      </c>
      <c r="C6114" t="s">
        <v>19786</v>
      </c>
      <c r="D6114" t="s">
        <v>5063</v>
      </c>
      <c r="E6114" t="s">
        <v>5064</v>
      </c>
      <c r="F6114" t="s">
        <v>3670</v>
      </c>
      <c r="G6114" t="s">
        <v>16231</v>
      </c>
      <c r="H6114" t="s">
        <v>47054</v>
      </c>
      <c r="I6114" t="s">
        <v>47111</v>
      </c>
      <c r="J6114" t="s">
        <v>47112</v>
      </c>
      <c r="K6114" t="s">
        <v>47113</v>
      </c>
      <c r="L6114">
        <v>68.81</v>
      </c>
      <c r="M6114">
        <v>111</v>
      </c>
      <c r="N6114">
        <v>0</v>
      </c>
      <c r="O6114">
        <v>111</v>
      </c>
      <c r="P6114">
        <v>0</v>
      </c>
    </row>
    <row r="6115" spans="1:16" x14ac:dyDescent="0.25">
      <c r="A6115" t="s">
        <v>28531</v>
      </c>
      <c r="B6115" t="s">
        <v>5065</v>
      </c>
      <c r="C6115" t="s">
        <v>5066</v>
      </c>
      <c r="D6115" t="s">
        <v>5067</v>
      </c>
      <c r="E6115" t="s">
        <v>5068</v>
      </c>
      <c r="F6115" t="s">
        <v>3670</v>
      </c>
      <c r="G6115" t="s">
        <v>16231</v>
      </c>
      <c r="I6115" t="s">
        <v>47111</v>
      </c>
      <c r="J6115" t="s">
        <v>47112</v>
      </c>
      <c r="K6115" t="s">
        <v>47113</v>
      </c>
      <c r="L6115">
        <v>72.680000000000007</v>
      </c>
      <c r="M6115">
        <v>140</v>
      </c>
      <c r="N6115">
        <v>0</v>
      </c>
      <c r="O6115">
        <v>140</v>
      </c>
      <c r="P6115">
        <v>0</v>
      </c>
    </row>
    <row r="6116" spans="1:16" x14ac:dyDescent="0.25">
      <c r="A6116" t="s">
        <v>28532</v>
      </c>
      <c r="B6116" t="s">
        <v>5069</v>
      </c>
      <c r="C6116" t="s">
        <v>16249</v>
      </c>
      <c r="D6116" t="s">
        <v>5070</v>
      </c>
      <c r="E6116" t="s">
        <v>5071</v>
      </c>
      <c r="F6116" t="s">
        <v>3558</v>
      </c>
      <c r="G6116" t="s">
        <v>16231</v>
      </c>
      <c r="H6116" t="s">
        <v>47054</v>
      </c>
      <c r="I6116" t="s">
        <v>47111</v>
      </c>
      <c r="J6116" t="s">
        <v>47112</v>
      </c>
      <c r="K6116" t="s">
        <v>47113</v>
      </c>
      <c r="L6116">
        <v>62.24</v>
      </c>
      <c r="M6116">
        <v>140</v>
      </c>
      <c r="N6116">
        <v>0</v>
      </c>
      <c r="O6116">
        <v>140</v>
      </c>
      <c r="P6116">
        <v>0</v>
      </c>
    </row>
    <row r="6117" spans="1:16" x14ac:dyDescent="0.25">
      <c r="A6117" t="s">
        <v>28533</v>
      </c>
      <c r="B6117" t="s">
        <v>5072</v>
      </c>
      <c r="C6117" t="s">
        <v>16250</v>
      </c>
      <c r="D6117" t="s">
        <v>5074</v>
      </c>
      <c r="E6117" t="s">
        <v>5075</v>
      </c>
      <c r="F6117" t="s">
        <v>3558</v>
      </c>
      <c r="G6117" t="s">
        <v>16231</v>
      </c>
      <c r="H6117" t="s">
        <v>47054</v>
      </c>
      <c r="I6117" t="s">
        <v>47111</v>
      </c>
      <c r="J6117" t="s">
        <v>47112</v>
      </c>
      <c r="K6117" t="s">
        <v>47113</v>
      </c>
      <c r="L6117">
        <v>53.08</v>
      </c>
      <c r="M6117">
        <v>100</v>
      </c>
      <c r="N6117">
        <v>0</v>
      </c>
      <c r="O6117">
        <v>100</v>
      </c>
      <c r="P6117">
        <v>0</v>
      </c>
    </row>
    <row r="6118" spans="1:16" x14ac:dyDescent="0.25">
      <c r="A6118" t="s">
        <v>28534</v>
      </c>
      <c r="B6118" t="s">
        <v>14535</v>
      </c>
      <c r="C6118" t="s">
        <v>14534</v>
      </c>
      <c r="D6118" t="s">
        <v>8302</v>
      </c>
      <c r="E6118" t="s">
        <v>8303</v>
      </c>
      <c r="F6118" t="s">
        <v>3670</v>
      </c>
      <c r="G6118" t="s">
        <v>16231</v>
      </c>
      <c r="H6118" t="s">
        <v>47054</v>
      </c>
      <c r="I6118" t="s">
        <v>47116</v>
      </c>
      <c r="J6118" t="s">
        <v>47117</v>
      </c>
      <c r="K6118" t="s">
        <v>47113</v>
      </c>
      <c r="L6118">
        <v>54.13</v>
      </c>
      <c r="M6118">
        <v>137</v>
      </c>
      <c r="N6118">
        <v>0</v>
      </c>
      <c r="O6118">
        <v>137</v>
      </c>
      <c r="P6118">
        <v>0</v>
      </c>
    </row>
    <row r="6119" spans="1:16" x14ac:dyDescent="0.25">
      <c r="A6119" t="s">
        <v>28535</v>
      </c>
      <c r="B6119" t="s">
        <v>5076</v>
      </c>
      <c r="C6119" t="s">
        <v>4969</v>
      </c>
      <c r="D6119" t="str">
        <f>"89"</f>
        <v>89</v>
      </c>
      <c r="E6119" t="s">
        <v>1732</v>
      </c>
      <c r="F6119" t="s">
        <v>8</v>
      </c>
      <c r="G6119" t="s">
        <v>16231</v>
      </c>
      <c r="H6119" t="s">
        <v>47054</v>
      </c>
      <c r="I6119" t="s">
        <v>47111</v>
      </c>
      <c r="J6119" t="s">
        <v>47112</v>
      </c>
      <c r="K6119" t="s">
        <v>47113</v>
      </c>
      <c r="L6119">
        <v>49.27</v>
      </c>
      <c r="M6119">
        <v>127</v>
      </c>
      <c r="N6119">
        <v>0</v>
      </c>
      <c r="O6119">
        <v>127</v>
      </c>
      <c r="P6119">
        <v>0</v>
      </c>
    </row>
    <row r="6120" spans="1:16" x14ac:dyDescent="0.25">
      <c r="A6120" t="s">
        <v>28536</v>
      </c>
      <c r="B6120" t="s">
        <v>5076</v>
      </c>
      <c r="C6120" t="s">
        <v>4969</v>
      </c>
      <c r="D6120" t="s">
        <v>1718</v>
      </c>
      <c r="E6120" t="s">
        <v>1719</v>
      </c>
      <c r="F6120" t="s">
        <v>1717</v>
      </c>
      <c r="G6120" t="s">
        <v>16231</v>
      </c>
      <c r="H6120" t="s">
        <v>47054</v>
      </c>
      <c r="I6120" t="s">
        <v>47111</v>
      </c>
      <c r="J6120" t="s">
        <v>47112</v>
      </c>
      <c r="K6120" t="s">
        <v>47113</v>
      </c>
      <c r="L6120">
        <v>48.35</v>
      </c>
      <c r="M6120">
        <v>122</v>
      </c>
      <c r="N6120">
        <v>0</v>
      </c>
      <c r="O6120">
        <v>122</v>
      </c>
      <c r="P6120">
        <v>0</v>
      </c>
    </row>
    <row r="6121" spans="1:16" x14ac:dyDescent="0.25">
      <c r="A6121" t="s">
        <v>28537</v>
      </c>
      <c r="B6121" t="s">
        <v>5076</v>
      </c>
      <c r="C6121" t="s">
        <v>4969</v>
      </c>
      <c r="D6121" t="s">
        <v>5077</v>
      </c>
      <c r="E6121" t="s">
        <v>5078</v>
      </c>
      <c r="F6121" t="s">
        <v>1717</v>
      </c>
      <c r="G6121" t="s">
        <v>16231</v>
      </c>
      <c r="H6121" t="s">
        <v>47054</v>
      </c>
      <c r="I6121" t="s">
        <v>47111</v>
      </c>
      <c r="J6121" t="s">
        <v>47112</v>
      </c>
      <c r="K6121" t="s">
        <v>47113</v>
      </c>
      <c r="L6121">
        <v>46.01</v>
      </c>
      <c r="M6121">
        <v>129</v>
      </c>
      <c r="N6121">
        <v>0</v>
      </c>
      <c r="O6121">
        <v>129</v>
      </c>
      <c r="P6121">
        <v>0</v>
      </c>
    </row>
    <row r="6122" spans="1:16" x14ac:dyDescent="0.25">
      <c r="A6122" t="s">
        <v>28538</v>
      </c>
      <c r="B6122" t="s">
        <v>5076</v>
      </c>
      <c r="C6122" t="s">
        <v>4969</v>
      </c>
      <c r="D6122" t="s">
        <v>2020</v>
      </c>
      <c r="E6122" t="s">
        <v>2021</v>
      </c>
      <c r="F6122" t="s">
        <v>631</v>
      </c>
      <c r="G6122" t="s">
        <v>16231</v>
      </c>
      <c r="H6122" t="s">
        <v>47054</v>
      </c>
      <c r="I6122" t="s">
        <v>47111</v>
      </c>
      <c r="J6122" t="s">
        <v>47112</v>
      </c>
      <c r="K6122" t="s">
        <v>47113</v>
      </c>
      <c r="L6122">
        <v>52.45</v>
      </c>
      <c r="M6122">
        <v>117</v>
      </c>
      <c r="N6122">
        <v>0</v>
      </c>
      <c r="O6122">
        <v>117</v>
      </c>
      <c r="P6122">
        <v>0</v>
      </c>
    </row>
    <row r="6123" spans="1:16" x14ac:dyDescent="0.25">
      <c r="A6123" t="s">
        <v>28539</v>
      </c>
      <c r="B6123" t="s">
        <v>5076</v>
      </c>
      <c r="C6123" t="s">
        <v>4969</v>
      </c>
      <c r="D6123" t="s">
        <v>1722</v>
      </c>
      <c r="E6123" t="s">
        <v>1723</v>
      </c>
      <c r="F6123" t="s">
        <v>8</v>
      </c>
      <c r="G6123" t="s">
        <v>16231</v>
      </c>
      <c r="H6123" t="s">
        <v>47054</v>
      </c>
      <c r="I6123" t="s">
        <v>47111</v>
      </c>
      <c r="J6123" t="s">
        <v>47112</v>
      </c>
      <c r="K6123" t="s">
        <v>47113</v>
      </c>
      <c r="L6123">
        <v>56.59</v>
      </c>
      <c r="M6123">
        <v>146</v>
      </c>
      <c r="N6123">
        <v>0</v>
      </c>
      <c r="O6123">
        <v>146</v>
      </c>
      <c r="P6123">
        <v>0</v>
      </c>
    </row>
    <row r="6124" spans="1:16" x14ac:dyDescent="0.25">
      <c r="A6124" t="s">
        <v>28540</v>
      </c>
      <c r="B6124" t="s">
        <v>14533</v>
      </c>
      <c r="C6124" t="s">
        <v>14532</v>
      </c>
      <c r="D6124" t="s">
        <v>14531</v>
      </c>
      <c r="E6124" t="s">
        <v>14530</v>
      </c>
      <c r="F6124" t="s">
        <v>3546</v>
      </c>
      <c r="G6124" t="s">
        <v>16231</v>
      </c>
      <c r="H6124" t="s">
        <v>47054</v>
      </c>
      <c r="I6124" t="s">
        <v>47116</v>
      </c>
      <c r="J6124" t="s">
        <v>47117</v>
      </c>
      <c r="K6124" t="s">
        <v>47113</v>
      </c>
      <c r="L6124">
        <v>58.74</v>
      </c>
      <c r="M6124">
        <v>129</v>
      </c>
      <c r="N6124">
        <v>0</v>
      </c>
      <c r="O6124">
        <v>129</v>
      </c>
      <c r="P6124">
        <v>0</v>
      </c>
    </row>
    <row r="6125" spans="1:16" x14ac:dyDescent="0.25">
      <c r="A6125" t="s">
        <v>28541</v>
      </c>
      <c r="B6125" t="s">
        <v>16251</v>
      </c>
      <c r="C6125" t="s">
        <v>16236</v>
      </c>
      <c r="D6125" t="s">
        <v>721</v>
      </c>
      <c r="E6125" t="s">
        <v>722</v>
      </c>
      <c r="F6125" t="s">
        <v>14391</v>
      </c>
      <c r="G6125" t="s">
        <v>16231</v>
      </c>
      <c r="H6125" t="s">
        <v>47054</v>
      </c>
      <c r="I6125" t="s">
        <v>47111</v>
      </c>
      <c r="J6125" t="s">
        <v>47112</v>
      </c>
      <c r="K6125" t="s">
        <v>47113</v>
      </c>
      <c r="L6125">
        <v>48.72</v>
      </c>
      <c r="M6125">
        <v>122</v>
      </c>
      <c r="N6125">
        <v>0</v>
      </c>
      <c r="O6125">
        <v>122</v>
      </c>
      <c r="P6125">
        <v>0</v>
      </c>
    </row>
    <row r="6126" spans="1:16" x14ac:dyDescent="0.25">
      <c r="A6126" t="s">
        <v>28542</v>
      </c>
      <c r="B6126" t="s">
        <v>5079</v>
      </c>
      <c r="C6126" t="s">
        <v>5080</v>
      </c>
      <c r="D6126" t="s">
        <v>4942</v>
      </c>
      <c r="E6126" t="s">
        <v>4943</v>
      </c>
      <c r="F6126" t="s">
        <v>0</v>
      </c>
      <c r="G6126" t="s">
        <v>16231</v>
      </c>
      <c r="H6126" t="s">
        <v>47054</v>
      </c>
      <c r="I6126" t="s">
        <v>47111</v>
      </c>
      <c r="J6126" t="s">
        <v>47112</v>
      </c>
      <c r="K6126" t="s">
        <v>47113</v>
      </c>
      <c r="L6126">
        <v>65.61</v>
      </c>
      <c r="M6126">
        <v>145</v>
      </c>
      <c r="N6126">
        <v>0</v>
      </c>
      <c r="O6126">
        <v>145</v>
      </c>
      <c r="P6126">
        <v>0</v>
      </c>
    </row>
    <row r="6127" spans="1:16" x14ac:dyDescent="0.25">
      <c r="A6127" t="s">
        <v>28543</v>
      </c>
      <c r="B6127" t="s">
        <v>5081</v>
      </c>
      <c r="C6127" t="s">
        <v>5082</v>
      </c>
      <c r="D6127" t="s">
        <v>5083</v>
      </c>
      <c r="E6127" t="s">
        <v>5084</v>
      </c>
      <c r="F6127" t="s">
        <v>0</v>
      </c>
      <c r="G6127" t="s">
        <v>16231</v>
      </c>
      <c r="H6127" t="s">
        <v>47054</v>
      </c>
      <c r="I6127" t="s">
        <v>47111</v>
      </c>
      <c r="J6127" t="s">
        <v>47112</v>
      </c>
      <c r="K6127" t="s">
        <v>47113</v>
      </c>
      <c r="L6127">
        <v>69.58</v>
      </c>
      <c r="M6127">
        <v>149</v>
      </c>
      <c r="N6127">
        <v>0</v>
      </c>
      <c r="O6127">
        <v>149</v>
      </c>
      <c r="P6127">
        <v>0</v>
      </c>
    </row>
    <row r="6128" spans="1:16" x14ac:dyDescent="0.25">
      <c r="A6128" t="s">
        <v>28544</v>
      </c>
      <c r="B6128" t="s">
        <v>5085</v>
      </c>
      <c r="C6128" t="s">
        <v>5086</v>
      </c>
      <c r="D6128" t="s">
        <v>4870</v>
      </c>
      <c r="E6128" t="s">
        <v>4871</v>
      </c>
      <c r="F6128" t="s">
        <v>296</v>
      </c>
      <c r="G6128" t="s">
        <v>16231</v>
      </c>
      <c r="H6128" t="s">
        <v>47054</v>
      </c>
      <c r="I6128" t="s">
        <v>47111</v>
      </c>
      <c r="J6128" t="s">
        <v>47112</v>
      </c>
      <c r="K6128" t="s">
        <v>47113</v>
      </c>
      <c r="L6128">
        <v>45.7</v>
      </c>
      <c r="M6128">
        <v>110</v>
      </c>
      <c r="N6128">
        <v>0</v>
      </c>
      <c r="O6128">
        <v>110</v>
      </c>
      <c r="P6128">
        <v>0</v>
      </c>
    </row>
    <row r="6129" spans="1:16" x14ac:dyDescent="0.25">
      <c r="A6129" t="s">
        <v>28545</v>
      </c>
      <c r="B6129" t="s">
        <v>5085</v>
      </c>
      <c r="C6129" t="s">
        <v>5086</v>
      </c>
      <c r="D6129" t="s">
        <v>1703</v>
      </c>
      <c r="E6129" t="s">
        <v>1704</v>
      </c>
      <c r="F6129" t="s">
        <v>296</v>
      </c>
      <c r="G6129" t="s">
        <v>16231</v>
      </c>
      <c r="H6129" t="s">
        <v>47054</v>
      </c>
      <c r="I6129" t="s">
        <v>47111</v>
      </c>
      <c r="J6129" t="s">
        <v>47112</v>
      </c>
      <c r="K6129" t="s">
        <v>47113</v>
      </c>
      <c r="L6129">
        <v>39.89</v>
      </c>
      <c r="M6129">
        <v>95</v>
      </c>
      <c r="N6129">
        <v>0</v>
      </c>
      <c r="O6129">
        <v>95</v>
      </c>
      <c r="P6129">
        <v>0</v>
      </c>
    </row>
    <row r="6130" spans="1:16" x14ac:dyDescent="0.25">
      <c r="A6130" t="s">
        <v>28546</v>
      </c>
      <c r="B6130" t="s">
        <v>5087</v>
      </c>
      <c r="C6130" t="s">
        <v>5088</v>
      </c>
      <c r="D6130" t="s">
        <v>1709</v>
      </c>
      <c r="E6130" t="s">
        <v>1710</v>
      </c>
      <c r="F6130" t="s">
        <v>296</v>
      </c>
      <c r="G6130" t="s">
        <v>16231</v>
      </c>
      <c r="H6130" t="s">
        <v>47054</v>
      </c>
      <c r="I6130" t="s">
        <v>47111</v>
      </c>
      <c r="J6130" t="s">
        <v>47112</v>
      </c>
      <c r="K6130" t="s">
        <v>47113</v>
      </c>
      <c r="L6130">
        <v>58.09</v>
      </c>
      <c r="M6130">
        <v>132</v>
      </c>
      <c r="N6130">
        <v>0</v>
      </c>
      <c r="O6130">
        <v>132</v>
      </c>
      <c r="P6130">
        <v>0</v>
      </c>
    </row>
    <row r="6131" spans="1:16" x14ac:dyDescent="0.25">
      <c r="A6131" t="s">
        <v>28547</v>
      </c>
      <c r="B6131" t="s">
        <v>5089</v>
      </c>
      <c r="C6131" t="s">
        <v>5088</v>
      </c>
      <c r="D6131" t="s">
        <v>294</v>
      </c>
      <c r="E6131" t="s">
        <v>295</v>
      </c>
      <c r="F6131" t="s">
        <v>7</v>
      </c>
      <c r="G6131" t="s">
        <v>16231</v>
      </c>
      <c r="H6131" t="s">
        <v>47054</v>
      </c>
      <c r="I6131" t="s">
        <v>47111</v>
      </c>
      <c r="J6131" t="s">
        <v>47112</v>
      </c>
      <c r="K6131" t="s">
        <v>47113</v>
      </c>
      <c r="L6131">
        <v>61.18</v>
      </c>
      <c r="M6131">
        <v>156</v>
      </c>
      <c r="N6131">
        <v>0</v>
      </c>
      <c r="O6131">
        <v>156</v>
      </c>
      <c r="P6131">
        <v>0</v>
      </c>
    </row>
    <row r="6132" spans="1:16" x14ac:dyDescent="0.25">
      <c r="A6132" t="s">
        <v>28548</v>
      </c>
      <c r="B6132" t="s">
        <v>5089</v>
      </c>
      <c r="C6132" t="s">
        <v>5088</v>
      </c>
      <c r="D6132" t="s">
        <v>1743</v>
      </c>
      <c r="E6132" t="s">
        <v>1744</v>
      </c>
      <c r="F6132" t="s">
        <v>7</v>
      </c>
      <c r="G6132" t="s">
        <v>16231</v>
      </c>
      <c r="H6132" t="s">
        <v>47054</v>
      </c>
      <c r="I6132" t="s">
        <v>47111</v>
      </c>
      <c r="J6132" t="s">
        <v>47112</v>
      </c>
      <c r="K6132" t="s">
        <v>47113</v>
      </c>
      <c r="L6132">
        <v>57.86</v>
      </c>
      <c r="M6132">
        <v>144</v>
      </c>
      <c r="N6132">
        <v>0</v>
      </c>
      <c r="O6132">
        <v>144</v>
      </c>
      <c r="P6132">
        <v>0</v>
      </c>
    </row>
    <row r="6133" spans="1:16" x14ac:dyDescent="0.25">
      <c r="A6133" t="s">
        <v>28549</v>
      </c>
      <c r="B6133" t="s">
        <v>5089</v>
      </c>
      <c r="C6133" t="s">
        <v>5088</v>
      </c>
      <c r="D6133" t="s">
        <v>5090</v>
      </c>
      <c r="E6133" t="s">
        <v>5091</v>
      </c>
      <c r="F6133" t="s">
        <v>7</v>
      </c>
      <c r="G6133" t="s">
        <v>16231</v>
      </c>
      <c r="H6133" t="s">
        <v>47054</v>
      </c>
      <c r="I6133" t="s">
        <v>47111</v>
      </c>
      <c r="J6133" t="s">
        <v>47112</v>
      </c>
      <c r="K6133" t="s">
        <v>47113</v>
      </c>
      <c r="L6133">
        <v>69.930000000000007</v>
      </c>
      <c r="M6133">
        <v>173</v>
      </c>
      <c r="N6133">
        <v>0</v>
      </c>
      <c r="O6133">
        <v>173</v>
      </c>
      <c r="P6133">
        <v>0</v>
      </c>
    </row>
    <row r="6134" spans="1:16" x14ac:dyDescent="0.25">
      <c r="A6134" t="s">
        <v>28550</v>
      </c>
      <c r="B6134" t="s">
        <v>5092</v>
      </c>
      <c r="C6134" t="s">
        <v>5088</v>
      </c>
      <c r="D6134" t="s">
        <v>4870</v>
      </c>
      <c r="E6134" t="s">
        <v>4871</v>
      </c>
      <c r="F6134" t="s">
        <v>296</v>
      </c>
      <c r="G6134" t="s">
        <v>16231</v>
      </c>
      <c r="H6134" t="s">
        <v>47054</v>
      </c>
      <c r="I6134" t="s">
        <v>47111</v>
      </c>
      <c r="J6134" t="s">
        <v>47112</v>
      </c>
      <c r="K6134" t="s">
        <v>47113</v>
      </c>
      <c r="L6134">
        <v>63.57</v>
      </c>
      <c r="M6134">
        <v>139</v>
      </c>
      <c r="N6134">
        <v>0</v>
      </c>
      <c r="O6134">
        <v>139</v>
      </c>
      <c r="P6134">
        <v>0</v>
      </c>
    </row>
    <row r="6135" spans="1:16" x14ac:dyDescent="0.25">
      <c r="A6135" t="s">
        <v>28551</v>
      </c>
      <c r="B6135" t="s">
        <v>5092</v>
      </c>
      <c r="C6135" t="s">
        <v>5088</v>
      </c>
      <c r="D6135" t="s">
        <v>1703</v>
      </c>
      <c r="E6135" t="s">
        <v>1704</v>
      </c>
      <c r="F6135" t="s">
        <v>296</v>
      </c>
      <c r="G6135" t="s">
        <v>16231</v>
      </c>
      <c r="H6135" t="s">
        <v>47054</v>
      </c>
      <c r="I6135" t="s">
        <v>47111</v>
      </c>
      <c r="J6135" t="s">
        <v>47112</v>
      </c>
      <c r="K6135" t="s">
        <v>47113</v>
      </c>
      <c r="L6135">
        <v>54.54</v>
      </c>
      <c r="M6135">
        <v>127</v>
      </c>
      <c r="N6135">
        <v>0</v>
      </c>
      <c r="O6135">
        <v>127</v>
      </c>
      <c r="P6135">
        <v>0</v>
      </c>
    </row>
    <row r="6136" spans="1:16" x14ac:dyDescent="0.25">
      <c r="A6136" t="s">
        <v>28552</v>
      </c>
      <c r="B6136" t="s">
        <v>5093</v>
      </c>
      <c r="C6136" t="s">
        <v>5094</v>
      </c>
      <c r="D6136" t="s">
        <v>1734</v>
      </c>
      <c r="E6136" t="s">
        <v>1735</v>
      </c>
      <c r="F6136" t="s">
        <v>52</v>
      </c>
      <c r="G6136" t="s">
        <v>16231</v>
      </c>
      <c r="H6136" t="s">
        <v>47054</v>
      </c>
      <c r="I6136" t="s">
        <v>47111</v>
      </c>
      <c r="J6136" t="s">
        <v>47112</v>
      </c>
      <c r="K6136" t="s">
        <v>47113</v>
      </c>
      <c r="L6136">
        <v>48.93</v>
      </c>
      <c r="M6136">
        <v>134</v>
      </c>
      <c r="N6136">
        <v>0</v>
      </c>
      <c r="O6136">
        <v>134</v>
      </c>
      <c r="P6136">
        <v>0</v>
      </c>
    </row>
    <row r="6137" spans="1:16" x14ac:dyDescent="0.25">
      <c r="A6137" t="s">
        <v>28553</v>
      </c>
      <c r="B6137" t="s">
        <v>5093</v>
      </c>
      <c r="C6137" t="s">
        <v>5094</v>
      </c>
      <c r="D6137" t="s">
        <v>1774</v>
      </c>
      <c r="E6137" t="s">
        <v>1775</v>
      </c>
      <c r="F6137" t="s">
        <v>52</v>
      </c>
      <c r="G6137" t="s">
        <v>16231</v>
      </c>
      <c r="H6137" t="s">
        <v>47054</v>
      </c>
      <c r="I6137" t="s">
        <v>47111</v>
      </c>
      <c r="J6137" t="s">
        <v>47112</v>
      </c>
      <c r="K6137" t="s">
        <v>47113</v>
      </c>
      <c r="L6137">
        <v>52.65</v>
      </c>
      <c r="M6137">
        <v>137</v>
      </c>
      <c r="N6137">
        <v>0</v>
      </c>
      <c r="O6137">
        <v>137</v>
      </c>
      <c r="P6137">
        <v>0</v>
      </c>
    </row>
    <row r="6138" spans="1:16" x14ac:dyDescent="0.25">
      <c r="A6138" t="s">
        <v>28554</v>
      </c>
      <c r="B6138" t="s">
        <v>5095</v>
      </c>
      <c r="C6138" t="s">
        <v>2053</v>
      </c>
      <c r="D6138" t="s">
        <v>5096</v>
      </c>
      <c r="E6138" t="s">
        <v>5097</v>
      </c>
      <c r="F6138" t="s">
        <v>6</v>
      </c>
      <c r="G6138" t="s">
        <v>16231</v>
      </c>
      <c r="H6138" t="s">
        <v>47054</v>
      </c>
      <c r="I6138" t="s">
        <v>47111</v>
      </c>
      <c r="J6138" t="s">
        <v>47112</v>
      </c>
      <c r="K6138" t="s">
        <v>47113</v>
      </c>
      <c r="L6138">
        <v>62.78</v>
      </c>
      <c r="M6138">
        <v>150</v>
      </c>
      <c r="N6138">
        <v>0</v>
      </c>
      <c r="O6138">
        <v>150</v>
      </c>
      <c r="P6138">
        <v>0</v>
      </c>
    </row>
    <row r="6139" spans="1:16" x14ac:dyDescent="0.25">
      <c r="A6139" t="s">
        <v>28555</v>
      </c>
      <c r="B6139" t="s">
        <v>5098</v>
      </c>
      <c r="C6139" t="s">
        <v>5099</v>
      </c>
      <c r="D6139" t="s">
        <v>4877</v>
      </c>
      <c r="E6139" t="s">
        <v>4878</v>
      </c>
      <c r="F6139" t="s">
        <v>6</v>
      </c>
      <c r="G6139" t="s">
        <v>16231</v>
      </c>
      <c r="H6139" t="s">
        <v>47054</v>
      </c>
      <c r="I6139" t="s">
        <v>47111</v>
      </c>
      <c r="J6139" t="s">
        <v>47112</v>
      </c>
      <c r="K6139" t="s">
        <v>47113</v>
      </c>
      <c r="L6139">
        <v>58.16</v>
      </c>
      <c r="M6139">
        <v>133</v>
      </c>
      <c r="N6139">
        <v>0</v>
      </c>
      <c r="O6139">
        <v>133</v>
      </c>
      <c r="P6139">
        <v>0</v>
      </c>
    </row>
    <row r="6140" spans="1:16" x14ac:dyDescent="0.25">
      <c r="A6140" t="s">
        <v>28556</v>
      </c>
      <c r="B6140" t="s">
        <v>5100</v>
      </c>
      <c r="C6140" t="s">
        <v>2053</v>
      </c>
      <c r="D6140" t="s">
        <v>2407</v>
      </c>
      <c r="E6140" t="s">
        <v>2408</v>
      </c>
      <c r="F6140" t="s">
        <v>7</v>
      </c>
      <c r="G6140" t="s">
        <v>16231</v>
      </c>
      <c r="H6140" t="s">
        <v>47054</v>
      </c>
      <c r="I6140" t="s">
        <v>47111</v>
      </c>
      <c r="J6140" t="s">
        <v>47112</v>
      </c>
      <c r="K6140" t="s">
        <v>47113</v>
      </c>
      <c r="L6140">
        <v>55.39</v>
      </c>
      <c r="M6140">
        <v>134</v>
      </c>
      <c r="N6140">
        <v>0</v>
      </c>
      <c r="O6140">
        <v>134</v>
      </c>
      <c r="P6140">
        <v>0</v>
      </c>
    </row>
    <row r="6141" spans="1:16" x14ac:dyDescent="0.25">
      <c r="A6141" t="s">
        <v>28557</v>
      </c>
      <c r="B6141" t="s">
        <v>5101</v>
      </c>
      <c r="C6141" t="s">
        <v>5102</v>
      </c>
      <c r="D6141" t="s">
        <v>5103</v>
      </c>
      <c r="E6141" t="s">
        <v>5104</v>
      </c>
      <c r="F6141" t="s">
        <v>6</v>
      </c>
      <c r="G6141" t="s">
        <v>16231</v>
      </c>
      <c r="H6141" t="s">
        <v>47054</v>
      </c>
      <c r="I6141" t="s">
        <v>47111</v>
      </c>
      <c r="J6141" t="s">
        <v>47112</v>
      </c>
      <c r="K6141" t="s">
        <v>47113</v>
      </c>
      <c r="L6141">
        <v>51.98</v>
      </c>
      <c r="M6141">
        <v>138</v>
      </c>
      <c r="N6141">
        <v>0</v>
      </c>
      <c r="O6141">
        <v>138</v>
      </c>
      <c r="P6141">
        <v>0</v>
      </c>
    </row>
    <row r="6142" spans="1:16" x14ac:dyDescent="0.25">
      <c r="A6142" t="s">
        <v>28558</v>
      </c>
      <c r="B6142" t="s">
        <v>5105</v>
      </c>
      <c r="C6142" t="s">
        <v>2053</v>
      </c>
      <c r="D6142" t="str">
        <f>"78"</f>
        <v>78</v>
      </c>
      <c r="E6142" t="s">
        <v>5106</v>
      </c>
      <c r="F6142" t="s">
        <v>7</v>
      </c>
      <c r="G6142" t="s">
        <v>16231</v>
      </c>
      <c r="H6142" t="s">
        <v>47054</v>
      </c>
      <c r="I6142" t="s">
        <v>47111</v>
      </c>
      <c r="J6142" t="s">
        <v>47112</v>
      </c>
      <c r="K6142" t="s">
        <v>47113</v>
      </c>
      <c r="L6142">
        <v>58.19</v>
      </c>
      <c r="M6142">
        <v>141</v>
      </c>
      <c r="N6142">
        <v>0</v>
      </c>
      <c r="O6142">
        <v>141</v>
      </c>
      <c r="P6142">
        <v>0</v>
      </c>
    </row>
    <row r="6143" spans="1:16" x14ac:dyDescent="0.25">
      <c r="A6143" t="s">
        <v>28559</v>
      </c>
      <c r="B6143" t="s">
        <v>5107</v>
      </c>
      <c r="C6143" t="s">
        <v>5108</v>
      </c>
      <c r="D6143" t="s">
        <v>1768</v>
      </c>
      <c r="E6143" t="s">
        <v>1769</v>
      </c>
      <c r="F6143" t="s">
        <v>52</v>
      </c>
      <c r="G6143" t="s">
        <v>16231</v>
      </c>
      <c r="H6143" t="s">
        <v>47054</v>
      </c>
      <c r="I6143" t="s">
        <v>47111</v>
      </c>
      <c r="J6143" t="s">
        <v>47112</v>
      </c>
      <c r="K6143" t="s">
        <v>47113</v>
      </c>
      <c r="L6143">
        <v>45.94</v>
      </c>
      <c r="M6143">
        <v>115</v>
      </c>
      <c r="N6143">
        <v>0</v>
      </c>
      <c r="O6143">
        <v>115</v>
      </c>
      <c r="P6143">
        <v>0</v>
      </c>
    </row>
    <row r="6144" spans="1:16" x14ac:dyDescent="0.25">
      <c r="A6144" t="s">
        <v>28560</v>
      </c>
      <c r="B6144" t="s">
        <v>5107</v>
      </c>
      <c r="C6144" t="s">
        <v>5108</v>
      </c>
      <c r="D6144" t="s">
        <v>1792</v>
      </c>
      <c r="E6144" t="s">
        <v>1793</v>
      </c>
      <c r="F6144" t="s">
        <v>52</v>
      </c>
      <c r="G6144" t="s">
        <v>16231</v>
      </c>
      <c r="H6144" t="s">
        <v>47054</v>
      </c>
      <c r="I6144" t="s">
        <v>47111</v>
      </c>
      <c r="J6144" t="s">
        <v>47112</v>
      </c>
      <c r="K6144" t="s">
        <v>47113</v>
      </c>
      <c r="L6144">
        <v>42.19</v>
      </c>
      <c r="M6144">
        <v>103</v>
      </c>
      <c r="N6144">
        <v>0</v>
      </c>
      <c r="O6144">
        <v>103</v>
      </c>
      <c r="P6144">
        <v>0</v>
      </c>
    </row>
    <row r="6145" spans="1:16" x14ac:dyDescent="0.25">
      <c r="A6145" t="s">
        <v>28561</v>
      </c>
      <c r="B6145" t="s">
        <v>5107</v>
      </c>
      <c r="C6145" t="s">
        <v>5108</v>
      </c>
      <c r="D6145" t="s">
        <v>1737</v>
      </c>
      <c r="E6145" t="s">
        <v>1738</v>
      </c>
      <c r="F6145" t="s">
        <v>52</v>
      </c>
      <c r="G6145" t="s">
        <v>16231</v>
      </c>
      <c r="H6145" t="s">
        <v>47054</v>
      </c>
      <c r="I6145" t="s">
        <v>47111</v>
      </c>
      <c r="J6145" t="s">
        <v>47112</v>
      </c>
      <c r="K6145" t="s">
        <v>47113</v>
      </c>
      <c r="L6145">
        <v>41.61</v>
      </c>
      <c r="M6145">
        <v>103</v>
      </c>
      <c r="N6145">
        <v>0</v>
      </c>
      <c r="O6145">
        <v>103</v>
      </c>
      <c r="P6145">
        <v>0</v>
      </c>
    </row>
    <row r="6146" spans="1:16" x14ac:dyDescent="0.25">
      <c r="A6146" t="s">
        <v>28562</v>
      </c>
      <c r="B6146" t="s">
        <v>5107</v>
      </c>
      <c r="C6146" t="s">
        <v>5108</v>
      </c>
      <c r="D6146" t="s">
        <v>1734</v>
      </c>
      <c r="E6146" t="s">
        <v>1735</v>
      </c>
      <c r="F6146" t="s">
        <v>52</v>
      </c>
      <c r="G6146" t="s">
        <v>16231</v>
      </c>
      <c r="H6146" t="s">
        <v>47054</v>
      </c>
      <c r="I6146" t="s">
        <v>47111</v>
      </c>
      <c r="J6146" t="s">
        <v>47112</v>
      </c>
      <c r="K6146" t="s">
        <v>47113</v>
      </c>
      <c r="L6146">
        <v>43.63</v>
      </c>
      <c r="M6146">
        <v>109</v>
      </c>
      <c r="N6146">
        <v>0</v>
      </c>
      <c r="O6146">
        <v>109</v>
      </c>
      <c r="P6146">
        <v>0</v>
      </c>
    </row>
    <row r="6147" spans="1:16" x14ac:dyDescent="0.25">
      <c r="A6147" t="s">
        <v>28563</v>
      </c>
      <c r="B6147" t="s">
        <v>5109</v>
      </c>
      <c r="C6147" t="s">
        <v>5108</v>
      </c>
      <c r="D6147" t="s">
        <v>1768</v>
      </c>
      <c r="E6147" t="s">
        <v>1769</v>
      </c>
      <c r="F6147" t="s">
        <v>52</v>
      </c>
      <c r="G6147" t="s">
        <v>16231</v>
      </c>
      <c r="H6147" t="s">
        <v>47054</v>
      </c>
      <c r="I6147" t="s">
        <v>47111</v>
      </c>
      <c r="J6147" t="s">
        <v>47112</v>
      </c>
      <c r="K6147" t="s">
        <v>47113</v>
      </c>
      <c r="L6147">
        <v>46.16</v>
      </c>
      <c r="M6147">
        <v>113</v>
      </c>
      <c r="N6147">
        <v>0</v>
      </c>
      <c r="O6147">
        <v>113</v>
      </c>
      <c r="P6147">
        <v>0</v>
      </c>
    </row>
    <row r="6148" spans="1:16" x14ac:dyDescent="0.25">
      <c r="A6148" t="s">
        <v>28564</v>
      </c>
      <c r="B6148" t="s">
        <v>5109</v>
      </c>
      <c r="C6148" t="s">
        <v>5108</v>
      </c>
      <c r="D6148" t="s">
        <v>1792</v>
      </c>
      <c r="E6148" t="s">
        <v>1793</v>
      </c>
      <c r="F6148" t="s">
        <v>52</v>
      </c>
      <c r="G6148" t="s">
        <v>16231</v>
      </c>
      <c r="H6148" t="s">
        <v>47054</v>
      </c>
      <c r="I6148" t="s">
        <v>47111</v>
      </c>
      <c r="J6148" t="s">
        <v>47112</v>
      </c>
      <c r="K6148" t="s">
        <v>47113</v>
      </c>
      <c r="L6148">
        <v>41.56</v>
      </c>
      <c r="M6148">
        <v>102</v>
      </c>
      <c r="N6148">
        <v>0</v>
      </c>
      <c r="O6148">
        <v>102</v>
      </c>
      <c r="P6148">
        <v>0</v>
      </c>
    </row>
    <row r="6149" spans="1:16" x14ac:dyDescent="0.25">
      <c r="A6149" t="s">
        <v>28565</v>
      </c>
      <c r="B6149" t="s">
        <v>5109</v>
      </c>
      <c r="C6149" t="s">
        <v>5108</v>
      </c>
      <c r="D6149" t="s">
        <v>1737</v>
      </c>
      <c r="E6149" t="s">
        <v>1738</v>
      </c>
      <c r="F6149" t="s">
        <v>52</v>
      </c>
      <c r="G6149" t="s">
        <v>16231</v>
      </c>
      <c r="H6149" t="s">
        <v>47054</v>
      </c>
      <c r="I6149" t="s">
        <v>47111</v>
      </c>
      <c r="J6149" t="s">
        <v>47112</v>
      </c>
      <c r="K6149" t="s">
        <v>47113</v>
      </c>
      <c r="L6149">
        <v>40.98</v>
      </c>
      <c r="M6149">
        <v>102</v>
      </c>
      <c r="N6149">
        <v>0</v>
      </c>
      <c r="O6149">
        <v>102</v>
      </c>
      <c r="P6149">
        <v>0</v>
      </c>
    </row>
    <row r="6150" spans="1:16" x14ac:dyDescent="0.25">
      <c r="A6150" t="s">
        <v>28566</v>
      </c>
      <c r="B6150" t="s">
        <v>5109</v>
      </c>
      <c r="C6150" t="s">
        <v>5108</v>
      </c>
      <c r="D6150" t="s">
        <v>1734</v>
      </c>
      <c r="E6150" t="s">
        <v>1735</v>
      </c>
      <c r="F6150" t="s">
        <v>52</v>
      </c>
      <c r="G6150" t="s">
        <v>16231</v>
      </c>
      <c r="H6150" t="s">
        <v>47054</v>
      </c>
      <c r="I6150" t="s">
        <v>47111</v>
      </c>
      <c r="J6150" t="s">
        <v>47112</v>
      </c>
      <c r="K6150" t="s">
        <v>47113</v>
      </c>
      <c r="L6150">
        <v>42.99</v>
      </c>
      <c r="M6150">
        <v>108</v>
      </c>
      <c r="N6150">
        <v>0</v>
      </c>
      <c r="O6150">
        <v>108</v>
      </c>
      <c r="P6150">
        <v>0</v>
      </c>
    </row>
    <row r="6151" spans="1:16" x14ac:dyDescent="0.25">
      <c r="A6151" t="s">
        <v>28567</v>
      </c>
      <c r="B6151" t="s">
        <v>5110</v>
      </c>
      <c r="C6151" t="s">
        <v>5111</v>
      </c>
      <c r="D6151" t="s">
        <v>1722</v>
      </c>
      <c r="E6151" t="s">
        <v>1723</v>
      </c>
      <c r="F6151" t="s">
        <v>8</v>
      </c>
      <c r="G6151" t="s">
        <v>16231</v>
      </c>
      <c r="H6151" t="s">
        <v>47054</v>
      </c>
      <c r="I6151" t="s">
        <v>47111</v>
      </c>
      <c r="J6151" t="s">
        <v>47112</v>
      </c>
      <c r="K6151" t="s">
        <v>47113</v>
      </c>
      <c r="L6151">
        <v>45.27</v>
      </c>
      <c r="M6151">
        <v>124</v>
      </c>
      <c r="N6151">
        <v>0</v>
      </c>
      <c r="O6151">
        <v>124</v>
      </c>
      <c r="P6151">
        <v>0</v>
      </c>
    </row>
    <row r="6152" spans="1:16" x14ac:dyDescent="0.25">
      <c r="A6152" t="s">
        <v>28568</v>
      </c>
      <c r="B6152" t="s">
        <v>5112</v>
      </c>
      <c r="C6152" t="s">
        <v>5108</v>
      </c>
      <c r="D6152" t="s">
        <v>2028</v>
      </c>
      <c r="E6152" t="s">
        <v>2029</v>
      </c>
      <c r="F6152" t="s">
        <v>52</v>
      </c>
      <c r="G6152" t="s">
        <v>16231</v>
      </c>
      <c r="H6152" t="s">
        <v>47054</v>
      </c>
      <c r="I6152" t="s">
        <v>47111</v>
      </c>
      <c r="J6152" t="s">
        <v>47112</v>
      </c>
      <c r="K6152" t="s">
        <v>47113</v>
      </c>
      <c r="L6152">
        <v>44.44</v>
      </c>
      <c r="M6152">
        <v>112</v>
      </c>
      <c r="N6152">
        <v>0</v>
      </c>
      <c r="O6152">
        <v>112</v>
      </c>
      <c r="P6152">
        <v>0</v>
      </c>
    </row>
    <row r="6153" spans="1:16" x14ac:dyDescent="0.25">
      <c r="A6153" t="s">
        <v>28569</v>
      </c>
      <c r="B6153" t="s">
        <v>5112</v>
      </c>
      <c r="C6153" t="s">
        <v>5108</v>
      </c>
      <c r="D6153" t="s">
        <v>4843</v>
      </c>
      <c r="E6153" t="s">
        <v>4844</v>
      </c>
      <c r="F6153" t="s">
        <v>52</v>
      </c>
      <c r="G6153" t="s">
        <v>16231</v>
      </c>
      <c r="H6153" t="s">
        <v>47054</v>
      </c>
      <c r="I6153" t="s">
        <v>47111</v>
      </c>
      <c r="J6153" t="s">
        <v>47112</v>
      </c>
      <c r="K6153" t="s">
        <v>47113</v>
      </c>
      <c r="L6153">
        <v>45.04</v>
      </c>
      <c r="M6153">
        <v>110</v>
      </c>
      <c r="N6153">
        <v>0</v>
      </c>
      <c r="O6153">
        <v>110</v>
      </c>
      <c r="P6153">
        <v>0</v>
      </c>
    </row>
    <row r="6154" spans="1:16" x14ac:dyDescent="0.25">
      <c r="A6154" t="s">
        <v>28570</v>
      </c>
      <c r="B6154" t="s">
        <v>5112</v>
      </c>
      <c r="C6154" t="s">
        <v>5108</v>
      </c>
      <c r="D6154" t="s">
        <v>1737</v>
      </c>
      <c r="E6154" t="s">
        <v>1738</v>
      </c>
      <c r="F6154" t="s">
        <v>52</v>
      </c>
      <c r="G6154" t="s">
        <v>16231</v>
      </c>
      <c r="H6154" t="s">
        <v>47054</v>
      </c>
      <c r="I6154" t="s">
        <v>47111</v>
      </c>
      <c r="J6154" t="s">
        <v>47112</v>
      </c>
      <c r="K6154" t="s">
        <v>47113</v>
      </c>
      <c r="L6154">
        <v>37.549999999999997</v>
      </c>
      <c r="M6154">
        <v>93</v>
      </c>
      <c r="N6154">
        <v>0</v>
      </c>
      <c r="O6154">
        <v>93</v>
      </c>
      <c r="P6154">
        <v>0</v>
      </c>
    </row>
    <row r="6155" spans="1:16" x14ac:dyDescent="0.25">
      <c r="A6155" t="s">
        <v>28571</v>
      </c>
      <c r="B6155" t="s">
        <v>5112</v>
      </c>
      <c r="C6155" t="s">
        <v>5108</v>
      </c>
      <c r="D6155" t="s">
        <v>1734</v>
      </c>
      <c r="E6155" t="s">
        <v>1735</v>
      </c>
      <c r="F6155" t="s">
        <v>52</v>
      </c>
      <c r="G6155" t="s">
        <v>16231</v>
      </c>
      <c r="H6155" t="s">
        <v>47054</v>
      </c>
      <c r="I6155" t="s">
        <v>47111</v>
      </c>
      <c r="J6155" t="s">
        <v>47112</v>
      </c>
      <c r="K6155" t="s">
        <v>47113</v>
      </c>
      <c r="L6155">
        <v>40.43</v>
      </c>
      <c r="M6155">
        <v>99</v>
      </c>
      <c r="N6155">
        <v>0</v>
      </c>
      <c r="O6155">
        <v>99</v>
      </c>
      <c r="P6155">
        <v>0</v>
      </c>
    </row>
    <row r="6156" spans="1:16" x14ac:dyDescent="0.25">
      <c r="A6156" t="s">
        <v>28572</v>
      </c>
      <c r="B6156" t="s">
        <v>5113</v>
      </c>
      <c r="C6156" t="s">
        <v>5108</v>
      </c>
      <c r="D6156" t="str">
        <f>"01"</f>
        <v>01</v>
      </c>
      <c r="E6156" t="s">
        <v>2070</v>
      </c>
      <c r="F6156" t="s">
        <v>52</v>
      </c>
      <c r="G6156" t="s">
        <v>16231</v>
      </c>
      <c r="H6156" t="s">
        <v>47054</v>
      </c>
      <c r="I6156" t="s">
        <v>47111</v>
      </c>
      <c r="J6156" t="s">
        <v>47112</v>
      </c>
      <c r="K6156" t="s">
        <v>47113</v>
      </c>
      <c r="L6156">
        <v>27.95</v>
      </c>
      <c r="M6156">
        <v>70</v>
      </c>
      <c r="N6156">
        <v>0</v>
      </c>
      <c r="O6156">
        <v>70</v>
      </c>
      <c r="P6156">
        <v>0</v>
      </c>
    </row>
    <row r="6157" spans="1:16" x14ac:dyDescent="0.25">
      <c r="A6157" t="s">
        <v>28573</v>
      </c>
      <c r="B6157" t="s">
        <v>5113</v>
      </c>
      <c r="C6157" t="s">
        <v>5108</v>
      </c>
      <c r="D6157" t="s">
        <v>2028</v>
      </c>
      <c r="E6157" t="s">
        <v>2029</v>
      </c>
      <c r="F6157" t="s">
        <v>52</v>
      </c>
      <c r="G6157" t="s">
        <v>16231</v>
      </c>
      <c r="H6157" t="s">
        <v>47054</v>
      </c>
      <c r="I6157" t="s">
        <v>47111</v>
      </c>
      <c r="J6157" t="s">
        <v>47112</v>
      </c>
      <c r="K6157" t="s">
        <v>47113</v>
      </c>
      <c r="L6157">
        <v>45.38</v>
      </c>
      <c r="M6157">
        <v>111</v>
      </c>
      <c r="N6157">
        <v>0</v>
      </c>
      <c r="O6157">
        <v>111</v>
      </c>
      <c r="P6157">
        <v>0</v>
      </c>
    </row>
    <row r="6158" spans="1:16" x14ac:dyDescent="0.25">
      <c r="A6158" t="s">
        <v>28574</v>
      </c>
      <c r="B6158" t="s">
        <v>5113</v>
      </c>
      <c r="C6158" t="s">
        <v>5108</v>
      </c>
      <c r="D6158" t="s">
        <v>4843</v>
      </c>
      <c r="E6158" t="s">
        <v>4844</v>
      </c>
      <c r="F6158" t="s">
        <v>52</v>
      </c>
      <c r="G6158" t="s">
        <v>16231</v>
      </c>
      <c r="H6158" t="s">
        <v>47054</v>
      </c>
      <c r="I6158" t="s">
        <v>47111</v>
      </c>
      <c r="J6158" t="s">
        <v>47112</v>
      </c>
      <c r="K6158" t="s">
        <v>47113</v>
      </c>
      <c r="L6158">
        <v>44.8</v>
      </c>
      <c r="M6158">
        <v>110</v>
      </c>
      <c r="N6158">
        <v>0</v>
      </c>
      <c r="O6158">
        <v>110</v>
      </c>
      <c r="P6158">
        <v>0</v>
      </c>
    </row>
    <row r="6159" spans="1:16" x14ac:dyDescent="0.25">
      <c r="A6159" t="s">
        <v>28575</v>
      </c>
      <c r="B6159" t="s">
        <v>5113</v>
      </c>
      <c r="C6159" t="s">
        <v>5108</v>
      </c>
      <c r="D6159" t="s">
        <v>1737</v>
      </c>
      <c r="E6159" t="s">
        <v>1738</v>
      </c>
      <c r="F6159" t="s">
        <v>52</v>
      </c>
      <c r="G6159" t="s">
        <v>16231</v>
      </c>
      <c r="H6159" t="s">
        <v>47054</v>
      </c>
      <c r="I6159" t="s">
        <v>47111</v>
      </c>
      <c r="J6159" t="s">
        <v>47112</v>
      </c>
      <c r="K6159" t="s">
        <v>47113</v>
      </c>
      <c r="L6159">
        <v>36.14</v>
      </c>
      <c r="M6159">
        <v>93</v>
      </c>
      <c r="N6159">
        <v>0</v>
      </c>
      <c r="O6159">
        <v>93</v>
      </c>
      <c r="P6159">
        <v>0</v>
      </c>
    </row>
    <row r="6160" spans="1:16" x14ac:dyDescent="0.25">
      <c r="A6160" t="s">
        <v>28576</v>
      </c>
      <c r="B6160" t="s">
        <v>5113</v>
      </c>
      <c r="C6160" t="s">
        <v>5108</v>
      </c>
      <c r="D6160" t="s">
        <v>1734</v>
      </c>
      <c r="E6160" t="s">
        <v>1735</v>
      </c>
      <c r="F6160" t="s">
        <v>52</v>
      </c>
      <c r="G6160" t="s">
        <v>16231</v>
      </c>
      <c r="H6160" t="s">
        <v>47054</v>
      </c>
      <c r="I6160" t="s">
        <v>47111</v>
      </c>
      <c r="J6160" t="s">
        <v>47112</v>
      </c>
      <c r="K6160" t="s">
        <v>47113</v>
      </c>
      <c r="L6160">
        <v>37.130000000000003</v>
      </c>
      <c r="M6160">
        <v>98</v>
      </c>
      <c r="N6160">
        <v>0</v>
      </c>
      <c r="O6160">
        <v>98</v>
      </c>
      <c r="P6160">
        <v>0</v>
      </c>
    </row>
    <row r="6161" spans="1:16" x14ac:dyDescent="0.25">
      <c r="A6161" t="s">
        <v>28577</v>
      </c>
      <c r="B6161" t="s">
        <v>5114</v>
      </c>
      <c r="C6161" t="s">
        <v>5115</v>
      </c>
      <c r="D6161" t="s">
        <v>1737</v>
      </c>
      <c r="E6161" t="s">
        <v>1738</v>
      </c>
      <c r="F6161" t="s">
        <v>52</v>
      </c>
      <c r="G6161" t="s">
        <v>16231</v>
      </c>
      <c r="H6161" t="s">
        <v>47054</v>
      </c>
      <c r="I6161" t="s">
        <v>47111</v>
      </c>
      <c r="J6161" t="s">
        <v>47112</v>
      </c>
      <c r="K6161" t="s">
        <v>47113</v>
      </c>
      <c r="L6161">
        <v>57.91</v>
      </c>
      <c r="M6161">
        <v>133</v>
      </c>
      <c r="N6161">
        <v>0</v>
      </c>
      <c r="O6161">
        <v>133</v>
      </c>
      <c r="P6161">
        <v>0</v>
      </c>
    </row>
    <row r="6162" spans="1:16" x14ac:dyDescent="0.25">
      <c r="A6162" t="s">
        <v>28578</v>
      </c>
      <c r="B6162" t="s">
        <v>5116</v>
      </c>
      <c r="C6162" t="s">
        <v>5117</v>
      </c>
      <c r="D6162" t="s">
        <v>4860</v>
      </c>
      <c r="E6162" t="s">
        <v>4861</v>
      </c>
      <c r="F6162" t="s">
        <v>56</v>
      </c>
      <c r="G6162" t="s">
        <v>16231</v>
      </c>
      <c r="H6162" t="s">
        <v>47054</v>
      </c>
      <c r="I6162" t="s">
        <v>47111</v>
      </c>
      <c r="J6162" t="s">
        <v>47112</v>
      </c>
      <c r="K6162" t="s">
        <v>47113</v>
      </c>
      <c r="L6162">
        <v>61.45</v>
      </c>
      <c r="M6162">
        <v>142</v>
      </c>
      <c r="N6162">
        <v>0</v>
      </c>
      <c r="O6162">
        <v>142</v>
      </c>
      <c r="P6162">
        <v>0</v>
      </c>
    </row>
    <row r="6163" spans="1:16" x14ac:dyDescent="0.25">
      <c r="A6163" t="s">
        <v>28579</v>
      </c>
      <c r="B6163" t="s">
        <v>5116</v>
      </c>
      <c r="C6163" t="s">
        <v>5117</v>
      </c>
      <c r="D6163" t="s">
        <v>4862</v>
      </c>
      <c r="E6163" t="s">
        <v>4863</v>
      </c>
      <c r="F6163" t="s">
        <v>56</v>
      </c>
      <c r="G6163" t="s">
        <v>16231</v>
      </c>
      <c r="H6163" t="s">
        <v>47054</v>
      </c>
      <c r="I6163" t="s">
        <v>47111</v>
      </c>
      <c r="J6163" t="s">
        <v>47112</v>
      </c>
      <c r="K6163" t="s">
        <v>47113</v>
      </c>
      <c r="L6163">
        <v>64.88</v>
      </c>
      <c r="M6163">
        <v>151</v>
      </c>
      <c r="N6163">
        <v>0</v>
      </c>
      <c r="O6163">
        <v>151</v>
      </c>
      <c r="P6163">
        <v>0</v>
      </c>
    </row>
    <row r="6164" spans="1:16" x14ac:dyDescent="0.25">
      <c r="A6164" t="s">
        <v>28580</v>
      </c>
      <c r="B6164" t="s">
        <v>5118</v>
      </c>
      <c r="C6164" t="s">
        <v>5117</v>
      </c>
      <c r="D6164" t="s">
        <v>4860</v>
      </c>
      <c r="E6164" t="s">
        <v>4861</v>
      </c>
      <c r="F6164" t="s">
        <v>56</v>
      </c>
      <c r="G6164" t="s">
        <v>16231</v>
      </c>
      <c r="H6164" t="s">
        <v>47054</v>
      </c>
      <c r="I6164" t="s">
        <v>47111</v>
      </c>
      <c r="J6164" t="s">
        <v>47112</v>
      </c>
      <c r="K6164" t="s">
        <v>47113</v>
      </c>
      <c r="L6164">
        <v>63.41</v>
      </c>
      <c r="M6164">
        <v>143</v>
      </c>
      <c r="N6164">
        <v>0</v>
      </c>
      <c r="O6164">
        <v>143</v>
      </c>
      <c r="P6164">
        <v>0</v>
      </c>
    </row>
    <row r="6165" spans="1:16" x14ac:dyDescent="0.25">
      <c r="A6165" t="s">
        <v>28581</v>
      </c>
      <c r="B6165" t="s">
        <v>5118</v>
      </c>
      <c r="C6165" t="s">
        <v>5117</v>
      </c>
      <c r="D6165" t="s">
        <v>4862</v>
      </c>
      <c r="E6165" t="s">
        <v>4863</v>
      </c>
      <c r="F6165" t="s">
        <v>56</v>
      </c>
      <c r="G6165" t="s">
        <v>16231</v>
      </c>
      <c r="H6165" t="s">
        <v>47054</v>
      </c>
      <c r="I6165" t="s">
        <v>47111</v>
      </c>
      <c r="J6165" t="s">
        <v>47112</v>
      </c>
      <c r="K6165" t="s">
        <v>47113</v>
      </c>
      <c r="L6165">
        <v>67.599999999999994</v>
      </c>
      <c r="M6165">
        <v>152</v>
      </c>
      <c r="N6165">
        <v>0</v>
      </c>
      <c r="O6165">
        <v>152</v>
      </c>
      <c r="P6165">
        <v>0</v>
      </c>
    </row>
    <row r="6166" spans="1:16" x14ac:dyDescent="0.25">
      <c r="A6166" t="s">
        <v>28582</v>
      </c>
      <c r="B6166" t="s">
        <v>5119</v>
      </c>
      <c r="C6166" t="s">
        <v>3400</v>
      </c>
      <c r="D6166" t="s">
        <v>5120</v>
      </c>
      <c r="E6166" t="s">
        <v>5121</v>
      </c>
      <c r="F6166" t="s">
        <v>6</v>
      </c>
      <c r="G6166" t="s">
        <v>16231</v>
      </c>
      <c r="H6166" t="s">
        <v>47054</v>
      </c>
      <c r="I6166" t="s">
        <v>47111</v>
      </c>
      <c r="J6166" t="s">
        <v>47112</v>
      </c>
      <c r="K6166" t="s">
        <v>47113</v>
      </c>
      <c r="L6166">
        <v>68.42</v>
      </c>
      <c r="M6166">
        <v>162</v>
      </c>
      <c r="N6166">
        <v>0</v>
      </c>
      <c r="O6166">
        <v>162</v>
      </c>
      <c r="P6166">
        <v>0</v>
      </c>
    </row>
    <row r="6167" spans="1:16" x14ac:dyDescent="0.25">
      <c r="A6167" t="s">
        <v>28583</v>
      </c>
      <c r="B6167" t="s">
        <v>5122</v>
      </c>
      <c r="C6167" t="s">
        <v>3400</v>
      </c>
      <c r="D6167" t="s">
        <v>5123</v>
      </c>
      <c r="E6167" t="s">
        <v>5124</v>
      </c>
      <c r="F6167" t="s">
        <v>6</v>
      </c>
      <c r="G6167" t="s">
        <v>16231</v>
      </c>
      <c r="H6167" t="s">
        <v>47054</v>
      </c>
      <c r="I6167" t="s">
        <v>47111</v>
      </c>
      <c r="J6167" t="s">
        <v>47112</v>
      </c>
      <c r="K6167" t="s">
        <v>47113</v>
      </c>
      <c r="L6167">
        <v>59.93</v>
      </c>
      <c r="M6167">
        <v>150</v>
      </c>
      <c r="N6167">
        <v>0</v>
      </c>
      <c r="O6167">
        <v>150</v>
      </c>
      <c r="P6167">
        <v>0</v>
      </c>
    </row>
    <row r="6168" spans="1:16" x14ac:dyDescent="0.25">
      <c r="A6168" t="s">
        <v>28584</v>
      </c>
      <c r="B6168" t="s">
        <v>5125</v>
      </c>
      <c r="C6168" t="s">
        <v>5126</v>
      </c>
      <c r="D6168" t="s">
        <v>4877</v>
      </c>
      <c r="E6168" t="s">
        <v>4878</v>
      </c>
      <c r="F6168" t="s">
        <v>6</v>
      </c>
      <c r="G6168" t="s">
        <v>16231</v>
      </c>
      <c r="H6168" t="s">
        <v>47054</v>
      </c>
      <c r="I6168" t="s">
        <v>47114</v>
      </c>
      <c r="J6168" t="s">
        <v>47115</v>
      </c>
      <c r="K6168" t="s">
        <v>47113</v>
      </c>
      <c r="L6168">
        <v>56.28</v>
      </c>
      <c r="M6168">
        <v>147</v>
      </c>
      <c r="N6168">
        <v>0</v>
      </c>
      <c r="O6168">
        <v>147</v>
      </c>
      <c r="P6168">
        <v>0</v>
      </c>
    </row>
    <row r="6169" spans="1:16" x14ac:dyDescent="0.25">
      <c r="A6169" t="s">
        <v>28585</v>
      </c>
      <c r="B6169" t="s">
        <v>5127</v>
      </c>
      <c r="C6169" t="s">
        <v>4343</v>
      </c>
      <c r="D6169" t="s">
        <v>1923</v>
      </c>
      <c r="E6169" t="s">
        <v>1924</v>
      </c>
      <c r="F6169" t="s">
        <v>8</v>
      </c>
      <c r="G6169" t="s">
        <v>16224</v>
      </c>
      <c r="H6169" t="s">
        <v>47054</v>
      </c>
      <c r="I6169" t="s">
        <v>47116</v>
      </c>
      <c r="J6169" t="s">
        <v>47117</v>
      </c>
      <c r="K6169" t="s">
        <v>47113</v>
      </c>
      <c r="L6169">
        <v>40.97</v>
      </c>
      <c r="M6169">
        <v>101</v>
      </c>
      <c r="N6169">
        <v>0</v>
      </c>
      <c r="O6169">
        <v>101</v>
      </c>
      <c r="P6169">
        <v>0</v>
      </c>
    </row>
    <row r="6170" spans="1:16" x14ac:dyDescent="0.25">
      <c r="A6170" t="s">
        <v>28586</v>
      </c>
      <c r="B6170" t="s">
        <v>5128</v>
      </c>
      <c r="C6170" t="s">
        <v>5129</v>
      </c>
      <c r="D6170" t="s">
        <v>27</v>
      </c>
      <c r="E6170" t="s">
        <v>622</v>
      </c>
      <c r="F6170" t="s">
        <v>631</v>
      </c>
      <c r="G6170" t="s">
        <v>16224</v>
      </c>
      <c r="H6170" t="s">
        <v>47054</v>
      </c>
      <c r="I6170" t="s">
        <v>47111</v>
      </c>
      <c r="J6170" t="s">
        <v>47112</v>
      </c>
      <c r="K6170" t="s">
        <v>47113</v>
      </c>
      <c r="L6170">
        <v>44.98</v>
      </c>
      <c r="M6170">
        <v>116</v>
      </c>
      <c r="N6170">
        <v>0</v>
      </c>
      <c r="O6170">
        <v>116</v>
      </c>
      <c r="P6170">
        <v>0</v>
      </c>
    </row>
    <row r="6171" spans="1:16" x14ac:dyDescent="0.25">
      <c r="A6171" t="s">
        <v>28587</v>
      </c>
      <c r="B6171" t="s">
        <v>5128</v>
      </c>
      <c r="C6171" t="s">
        <v>5129</v>
      </c>
      <c r="D6171" t="s">
        <v>1718</v>
      </c>
      <c r="E6171" t="s">
        <v>1719</v>
      </c>
      <c r="F6171" t="s">
        <v>1717</v>
      </c>
      <c r="G6171" t="s">
        <v>16224</v>
      </c>
      <c r="H6171" t="s">
        <v>47054</v>
      </c>
      <c r="I6171" t="s">
        <v>47111</v>
      </c>
      <c r="J6171" t="s">
        <v>47112</v>
      </c>
      <c r="K6171" t="s">
        <v>47113</v>
      </c>
      <c r="L6171">
        <v>42.11</v>
      </c>
      <c r="M6171">
        <v>116</v>
      </c>
      <c r="N6171">
        <v>0</v>
      </c>
      <c r="O6171">
        <v>116</v>
      </c>
      <c r="P6171">
        <v>0</v>
      </c>
    </row>
    <row r="6172" spans="1:16" x14ac:dyDescent="0.25">
      <c r="A6172" t="s">
        <v>28588</v>
      </c>
      <c r="B6172" t="s">
        <v>5128</v>
      </c>
      <c r="C6172" t="s">
        <v>5129</v>
      </c>
      <c r="D6172" t="s">
        <v>1926</v>
      </c>
      <c r="E6172" t="s">
        <v>1927</v>
      </c>
      <c r="F6172" t="s">
        <v>8</v>
      </c>
      <c r="G6172" t="s">
        <v>16224</v>
      </c>
      <c r="H6172" t="s">
        <v>47054</v>
      </c>
      <c r="I6172" t="s">
        <v>47111</v>
      </c>
      <c r="J6172" t="s">
        <v>47112</v>
      </c>
      <c r="K6172" t="s">
        <v>47113</v>
      </c>
      <c r="L6172">
        <v>45.79</v>
      </c>
      <c r="M6172">
        <v>121</v>
      </c>
      <c r="N6172">
        <v>0</v>
      </c>
      <c r="O6172">
        <v>121</v>
      </c>
      <c r="P6172">
        <v>0</v>
      </c>
    </row>
    <row r="6173" spans="1:16" x14ac:dyDescent="0.25">
      <c r="A6173" t="s">
        <v>28589</v>
      </c>
      <c r="B6173" t="s">
        <v>5130</v>
      </c>
      <c r="C6173" t="s">
        <v>5131</v>
      </c>
      <c r="D6173" t="s">
        <v>5132</v>
      </c>
      <c r="E6173" t="s">
        <v>5133</v>
      </c>
      <c r="F6173" t="s">
        <v>0</v>
      </c>
      <c r="G6173" t="s">
        <v>16231</v>
      </c>
      <c r="H6173" t="s">
        <v>47054</v>
      </c>
      <c r="I6173" t="s">
        <v>47111</v>
      </c>
      <c r="J6173" t="s">
        <v>47112</v>
      </c>
      <c r="K6173" t="s">
        <v>47113</v>
      </c>
      <c r="L6173">
        <v>46.65</v>
      </c>
      <c r="M6173">
        <v>100</v>
      </c>
      <c r="N6173">
        <v>0</v>
      </c>
      <c r="O6173">
        <v>100</v>
      </c>
      <c r="P6173">
        <v>0</v>
      </c>
    </row>
    <row r="6174" spans="1:16" x14ac:dyDescent="0.25">
      <c r="A6174" t="s">
        <v>28590</v>
      </c>
      <c r="B6174" t="s">
        <v>5134</v>
      </c>
      <c r="C6174" t="s">
        <v>5135</v>
      </c>
      <c r="D6174" t="s">
        <v>5136</v>
      </c>
      <c r="E6174" t="s">
        <v>5137</v>
      </c>
      <c r="F6174" t="s">
        <v>3546</v>
      </c>
      <c r="G6174" t="s">
        <v>16231</v>
      </c>
      <c r="H6174" t="s">
        <v>47054</v>
      </c>
      <c r="I6174" t="s">
        <v>47111</v>
      </c>
      <c r="J6174" t="s">
        <v>47112</v>
      </c>
      <c r="K6174" t="s">
        <v>47113</v>
      </c>
      <c r="L6174">
        <v>70.64</v>
      </c>
      <c r="M6174">
        <v>174</v>
      </c>
      <c r="N6174">
        <v>0</v>
      </c>
      <c r="O6174">
        <v>174</v>
      </c>
      <c r="P6174">
        <v>0</v>
      </c>
    </row>
    <row r="6175" spans="1:16" x14ac:dyDescent="0.25">
      <c r="A6175" t="s">
        <v>28591</v>
      </c>
      <c r="B6175" t="s">
        <v>5138</v>
      </c>
      <c r="C6175" t="s">
        <v>5139</v>
      </c>
      <c r="D6175" t="s">
        <v>5140</v>
      </c>
      <c r="E6175" t="s">
        <v>5141</v>
      </c>
      <c r="F6175" t="s">
        <v>3546</v>
      </c>
      <c r="G6175" t="s">
        <v>16231</v>
      </c>
      <c r="H6175" t="s">
        <v>47054</v>
      </c>
      <c r="I6175" t="s">
        <v>47111</v>
      </c>
      <c r="J6175" t="s">
        <v>47112</v>
      </c>
      <c r="K6175" t="s">
        <v>47113</v>
      </c>
      <c r="L6175">
        <v>74.8</v>
      </c>
      <c r="M6175">
        <v>184</v>
      </c>
      <c r="N6175">
        <v>0</v>
      </c>
      <c r="O6175">
        <v>184</v>
      </c>
      <c r="P6175">
        <v>0</v>
      </c>
    </row>
    <row r="6176" spans="1:16" x14ac:dyDescent="0.25">
      <c r="A6176" t="s">
        <v>28592</v>
      </c>
      <c r="B6176" t="s">
        <v>5142</v>
      </c>
      <c r="C6176" t="s">
        <v>5143</v>
      </c>
      <c r="D6176" t="s">
        <v>5074</v>
      </c>
      <c r="E6176" t="s">
        <v>5075</v>
      </c>
      <c r="F6176" t="s">
        <v>3558</v>
      </c>
      <c r="G6176" t="s">
        <v>16233</v>
      </c>
      <c r="H6176" t="s">
        <v>47054</v>
      </c>
      <c r="I6176" t="s">
        <v>47111</v>
      </c>
      <c r="J6176" t="s">
        <v>47112</v>
      </c>
      <c r="K6176" t="s">
        <v>47113</v>
      </c>
      <c r="L6176">
        <v>48.56</v>
      </c>
      <c r="M6176">
        <v>92</v>
      </c>
      <c r="N6176">
        <v>0</v>
      </c>
      <c r="O6176">
        <v>92</v>
      </c>
      <c r="P6176">
        <v>0</v>
      </c>
    </row>
    <row r="6177" spans="1:16" x14ac:dyDescent="0.25">
      <c r="A6177" t="s">
        <v>28593</v>
      </c>
      <c r="B6177" t="s">
        <v>5144</v>
      </c>
      <c r="C6177" t="s">
        <v>16253</v>
      </c>
      <c r="D6177" t="s">
        <v>5145</v>
      </c>
      <c r="E6177" t="s">
        <v>5146</v>
      </c>
      <c r="F6177" t="s">
        <v>3558</v>
      </c>
      <c r="G6177" t="s">
        <v>16231</v>
      </c>
      <c r="H6177" t="s">
        <v>47054</v>
      </c>
      <c r="I6177" t="s">
        <v>47111</v>
      </c>
      <c r="J6177" t="s">
        <v>47112</v>
      </c>
      <c r="K6177" t="s">
        <v>47113</v>
      </c>
      <c r="L6177">
        <v>82.07</v>
      </c>
      <c r="M6177">
        <v>111</v>
      </c>
      <c r="N6177">
        <v>0</v>
      </c>
      <c r="O6177">
        <v>111</v>
      </c>
      <c r="P6177">
        <v>0</v>
      </c>
    </row>
    <row r="6178" spans="1:16" x14ac:dyDescent="0.25">
      <c r="A6178" t="s">
        <v>28594</v>
      </c>
      <c r="B6178" t="s">
        <v>5147</v>
      </c>
      <c r="C6178" t="s">
        <v>16254</v>
      </c>
      <c r="D6178" t="s">
        <v>5145</v>
      </c>
      <c r="E6178" t="s">
        <v>5146</v>
      </c>
      <c r="F6178" t="s">
        <v>3558</v>
      </c>
      <c r="G6178" t="s">
        <v>16231</v>
      </c>
      <c r="H6178" t="s">
        <v>47054</v>
      </c>
      <c r="I6178" t="s">
        <v>47111</v>
      </c>
      <c r="J6178" t="s">
        <v>47112</v>
      </c>
      <c r="K6178" t="s">
        <v>47113</v>
      </c>
      <c r="L6178">
        <v>73.680000000000007</v>
      </c>
      <c r="M6178">
        <v>137</v>
      </c>
      <c r="N6178">
        <v>0</v>
      </c>
      <c r="O6178">
        <v>137</v>
      </c>
      <c r="P6178">
        <v>0</v>
      </c>
    </row>
    <row r="6179" spans="1:16" x14ac:dyDescent="0.25">
      <c r="A6179" t="s">
        <v>28595</v>
      </c>
      <c r="B6179" t="s">
        <v>5148</v>
      </c>
      <c r="C6179" t="s">
        <v>5149</v>
      </c>
      <c r="D6179" t="s">
        <v>294</v>
      </c>
      <c r="E6179" t="s">
        <v>295</v>
      </c>
      <c r="F6179" t="s">
        <v>3</v>
      </c>
      <c r="G6179" t="s">
        <v>16231</v>
      </c>
      <c r="H6179" t="s">
        <v>47054</v>
      </c>
      <c r="I6179" t="s">
        <v>47111</v>
      </c>
      <c r="J6179" t="s">
        <v>47112</v>
      </c>
      <c r="K6179" t="s">
        <v>47113</v>
      </c>
      <c r="L6179">
        <v>49.23</v>
      </c>
      <c r="M6179">
        <v>129</v>
      </c>
      <c r="N6179">
        <v>0</v>
      </c>
      <c r="O6179">
        <v>129</v>
      </c>
      <c r="P6179">
        <v>0</v>
      </c>
    </row>
    <row r="6180" spans="1:16" x14ac:dyDescent="0.25">
      <c r="A6180" t="s">
        <v>28596</v>
      </c>
      <c r="B6180" t="s">
        <v>5150</v>
      </c>
      <c r="C6180" t="s">
        <v>5151</v>
      </c>
      <c r="D6180" t="s">
        <v>2399</v>
      </c>
      <c r="E6180" t="s">
        <v>2400</v>
      </c>
      <c r="F6180" t="s">
        <v>5</v>
      </c>
      <c r="G6180" t="s">
        <v>16231</v>
      </c>
      <c r="H6180" t="s">
        <v>47054</v>
      </c>
      <c r="I6180" t="s">
        <v>47111</v>
      </c>
      <c r="J6180" t="s">
        <v>47112</v>
      </c>
      <c r="K6180" t="s">
        <v>47113</v>
      </c>
      <c r="L6180">
        <v>35.369999999999997</v>
      </c>
      <c r="M6180">
        <v>77</v>
      </c>
      <c r="N6180">
        <v>0</v>
      </c>
      <c r="O6180">
        <v>77</v>
      </c>
      <c r="P6180">
        <v>0</v>
      </c>
    </row>
    <row r="6181" spans="1:16" x14ac:dyDescent="0.25">
      <c r="A6181" t="s">
        <v>28597</v>
      </c>
      <c r="B6181" t="s">
        <v>5150</v>
      </c>
      <c r="C6181" t="s">
        <v>5151</v>
      </c>
      <c r="D6181" t="s">
        <v>311</v>
      </c>
      <c r="E6181" t="s">
        <v>3479</v>
      </c>
      <c r="F6181" t="s">
        <v>5</v>
      </c>
      <c r="G6181" t="s">
        <v>16231</v>
      </c>
      <c r="H6181" t="s">
        <v>47054</v>
      </c>
      <c r="I6181" t="s">
        <v>47111</v>
      </c>
      <c r="J6181" t="s">
        <v>47112</v>
      </c>
      <c r="K6181" t="s">
        <v>47113</v>
      </c>
      <c r="L6181">
        <v>29.18</v>
      </c>
      <c r="M6181">
        <v>69</v>
      </c>
      <c r="N6181">
        <v>0</v>
      </c>
      <c r="O6181">
        <v>69</v>
      </c>
      <c r="P6181">
        <v>0</v>
      </c>
    </row>
    <row r="6182" spans="1:16" x14ac:dyDescent="0.25">
      <c r="A6182" t="s">
        <v>28598</v>
      </c>
      <c r="B6182" t="s">
        <v>5150</v>
      </c>
      <c r="C6182" t="s">
        <v>5151</v>
      </c>
      <c r="D6182" t="s">
        <v>921</v>
      </c>
      <c r="E6182" t="s">
        <v>922</v>
      </c>
      <c r="F6182" t="s">
        <v>5</v>
      </c>
      <c r="G6182" t="s">
        <v>16231</v>
      </c>
      <c r="H6182" t="s">
        <v>47054</v>
      </c>
      <c r="I6182" t="s">
        <v>47111</v>
      </c>
      <c r="J6182" t="s">
        <v>47112</v>
      </c>
      <c r="K6182" t="s">
        <v>47113</v>
      </c>
      <c r="L6182">
        <v>34.799999999999997</v>
      </c>
      <c r="M6182">
        <v>77</v>
      </c>
      <c r="N6182">
        <v>0</v>
      </c>
      <c r="O6182">
        <v>77</v>
      </c>
      <c r="P6182">
        <v>0</v>
      </c>
    </row>
    <row r="6183" spans="1:16" x14ac:dyDescent="0.25">
      <c r="A6183" t="s">
        <v>28599</v>
      </c>
      <c r="B6183" t="s">
        <v>5152</v>
      </c>
      <c r="C6183" t="s">
        <v>5153</v>
      </c>
      <c r="D6183" t="s">
        <v>294</v>
      </c>
      <c r="E6183" t="s">
        <v>295</v>
      </c>
      <c r="F6183" t="s">
        <v>7</v>
      </c>
      <c r="G6183" t="s">
        <v>16231</v>
      </c>
      <c r="H6183" t="s">
        <v>47054</v>
      </c>
      <c r="I6183" t="s">
        <v>47111</v>
      </c>
      <c r="J6183" t="s">
        <v>47112</v>
      </c>
      <c r="K6183" t="s">
        <v>47113</v>
      </c>
      <c r="L6183">
        <v>49.93</v>
      </c>
      <c r="M6183">
        <v>115</v>
      </c>
      <c r="N6183">
        <v>0</v>
      </c>
      <c r="O6183">
        <v>115</v>
      </c>
      <c r="P6183">
        <v>0</v>
      </c>
    </row>
    <row r="6184" spans="1:16" x14ac:dyDescent="0.25">
      <c r="A6184" t="s">
        <v>28600</v>
      </c>
      <c r="B6184" t="s">
        <v>5152</v>
      </c>
      <c r="C6184" t="s">
        <v>5153</v>
      </c>
      <c r="D6184" t="s">
        <v>1734</v>
      </c>
      <c r="E6184" t="s">
        <v>1735</v>
      </c>
      <c r="F6184" t="s">
        <v>7</v>
      </c>
      <c r="G6184" t="s">
        <v>16231</v>
      </c>
      <c r="H6184" t="s">
        <v>47054</v>
      </c>
      <c r="I6184" t="s">
        <v>47111</v>
      </c>
      <c r="J6184" t="s">
        <v>47112</v>
      </c>
      <c r="K6184" t="s">
        <v>47113</v>
      </c>
      <c r="L6184">
        <v>54.45</v>
      </c>
      <c r="M6184">
        <v>154</v>
      </c>
      <c r="N6184">
        <v>0</v>
      </c>
      <c r="O6184">
        <v>154</v>
      </c>
      <c r="P6184">
        <v>0</v>
      </c>
    </row>
    <row r="6185" spans="1:16" x14ac:dyDescent="0.25">
      <c r="A6185" t="s">
        <v>28601</v>
      </c>
      <c r="B6185" t="s">
        <v>5154</v>
      </c>
      <c r="C6185" t="s">
        <v>5155</v>
      </c>
      <c r="D6185" t="s">
        <v>721</v>
      </c>
      <c r="E6185" t="s">
        <v>722</v>
      </c>
      <c r="F6185" t="s">
        <v>8</v>
      </c>
      <c r="G6185" t="s">
        <v>16231</v>
      </c>
      <c r="H6185" t="s">
        <v>47054</v>
      </c>
      <c r="I6185" t="s">
        <v>47111</v>
      </c>
      <c r="J6185" t="s">
        <v>47112</v>
      </c>
      <c r="K6185" t="s">
        <v>47113</v>
      </c>
      <c r="L6185">
        <v>47.35</v>
      </c>
      <c r="M6185">
        <v>137</v>
      </c>
      <c r="N6185">
        <v>0</v>
      </c>
      <c r="O6185">
        <v>137</v>
      </c>
      <c r="P6185">
        <v>0</v>
      </c>
    </row>
    <row r="6186" spans="1:16" x14ac:dyDescent="0.25">
      <c r="A6186" t="s">
        <v>28602</v>
      </c>
      <c r="B6186" t="s">
        <v>5154</v>
      </c>
      <c r="C6186" t="s">
        <v>5155</v>
      </c>
      <c r="D6186" t="s">
        <v>1703</v>
      </c>
      <c r="E6186" t="s">
        <v>1704</v>
      </c>
      <c r="F6186" t="s">
        <v>8</v>
      </c>
      <c r="G6186" t="s">
        <v>16231</v>
      </c>
      <c r="H6186" t="s">
        <v>47054</v>
      </c>
      <c r="I6186" t="s">
        <v>47111</v>
      </c>
      <c r="J6186" t="s">
        <v>47112</v>
      </c>
      <c r="K6186" t="s">
        <v>47113</v>
      </c>
      <c r="L6186">
        <v>55.4</v>
      </c>
      <c r="M6186">
        <v>146</v>
      </c>
      <c r="N6186">
        <v>0</v>
      </c>
      <c r="O6186">
        <v>146</v>
      </c>
      <c r="P6186">
        <v>0</v>
      </c>
    </row>
    <row r="6187" spans="1:16" x14ac:dyDescent="0.25">
      <c r="A6187" t="s">
        <v>28603</v>
      </c>
      <c r="B6187" t="s">
        <v>5154</v>
      </c>
      <c r="C6187" t="s">
        <v>5155</v>
      </c>
      <c r="D6187" t="s">
        <v>1722</v>
      </c>
      <c r="E6187" t="s">
        <v>1723</v>
      </c>
      <c r="F6187" t="s">
        <v>8</v>
      </c>
      <c r="G6187" t="s">
        <v>16231</v>
      </c>
      <c r="H6187" t="s">
        <v>47054</v>
      </c>
      <c r="I6187" t="s">
        <v>47111</v>
      </c>
      <c r="J6187" t="s">
        <v>47112</v>
      </c>
      <c r="K6187" t="s">
        <v>47113</v>
      </c>
      <c r="L6187">
        <v>59.36</v>
      </c>
      <c r="M6187">
        <v>146</v>
      </c>
      <c r="N6187">
        <v>0</v>
      </c>
      <c r="O6187">
        <v>146</v>
      </c>
      <c r="P6187">
        <v>0</v>
      </c>
    </row>
    <row r="6188" spans="1:16" x14ac:dyDescent="0.25">
      <c r="A6188" t="s">
        <v>28604</v>
      </c>
      <c r="B6188" t="s">
        <v>5154</v>
      </c>
      <c r="C6188" t="s">
        <v>5155</v>
      </c>
      <c r="D6188" t="s">
        <v>4843</v>
      </c>
      <c r="E6188" t="s">
        <v>4844</v>
      </c>
      <c r="F6188" t="s">
        <v>56</v>
      </c>
      <c r="G6188" t="s">
        <v>16231</v>
      </c>
      <c r="H6188" t="s">
        <v>47054</v>
      </c>
      <c r="I6188" t="s">
        <v>47111</v>
      </c>
      <c r="J6188" t="s">
        <v>47112</v>
      </c>
      <c r="K6188" t="s">
        <v>47113</v>
      </c>
      <c r="L6188">
        <v>62.18</v>
      </c>
      <c r="M6188">
        <v>136</v>
      </c>
      <c r="N6188">
        <v>0</v>
      </c>
      <c r="O6188">
        <v>136</v>
      </c>
      <c r="P6188">
        <v>0</v>
      </c>
    </row>
    <row r="6189" spans="1:16" x14ac:dyDescent="0.25">
      <c r="A6189" t="s">
        <v>28605</v>
      </c>
      <c r="B6189" t="s">
        <v>5154</v>
      </c>
      <c r="C6189" t="s">
        <v>5155</v>
      </c>
      <c r="D6189" t="s">
        <v>1792</v>
      </c>
      <c r="E6189" t="s">
        <v>1793</v>
      </c>
      <c r="F6189" t="s">
        <v>56</v>
      </c>
      <c r="G6189" t="s">
        <v>16231</v>
      </c>
      <c r="H6189" t="s">
        <v>47054</v>
      </c>
      <c r="I6189" t="s">
        <v>47111</v>
      </c>
      <c r="J6189" t="s">
        <v>47112</v>
      </c>
      <c r="K6189" t="s">
        <v>47113</v>
      </c>
      <c r="L6189">
        <v>55.69</v>
      </c>
      <c r="M6189">
        <v>122</v>
      </c>
      <c r="N6189">
        <v>0</v>
      </c>
      <c r="O6189">
        <v>122</v>
      </c>
      <c r="P6189">
        <v>0</v>
      </c>
    </row>
    <row r="6190" spans="1:16" x14ac:dyDescent="0.25">
      <c r="A6190" t="s">
        <v>28606</v>
      </c>
      <c r="B6190" t="s">
        <v>5156</v>
      </c>
      <c r="C6190" t="s">
        <v>5157</v>
      </c>
      <c r="D6190" t="s">
        <v>4855</v>
      </c>
      <c r="E6190" t="s">
        <v>4856</v>
      </c>
      <c r="F6190" t="s">
        <v>52</v>
      </c>
      <c r="G6190" t="s">
        <v>16231</v>
      </c>
      <c r="H6190" t="s">
        <v>47054</v>
      </c>
      <c r="I6190" t="s">
        <v>47111</v>
      </c>
      <c r="J6190" t="s">
        <v>47112</v>
      </c>
      <c r="K6190" t="s">
        <v>47113</v>
      </c>
      <c r="L6190">
        <v>60.36</v>
      </c>
      <c r="M6190">
        <v>141</v>
      </c>
      <c r="N6190">
        <v>0</v>
      </c>
      <c r="O6190">
        <v>141</v>
      </c>
      <c r="P6190">
        <v>0</v>
      </c>
    </row>
    <row r="6191" spans="1:16" x14ac:dyDescent="0.25">
      <c r="A6191" t="s">
        <v>28607</v>
      </c>
      <c r="B6191" t="s">
        <v>5156</v>
      </c>
      <c r="C6191" t="s">
        <v>5157</v>
      </c>
      <c r="D6191" t="s">
        <v>1737</v>
      </c>
      <c r="E6191" t="s">
        <v>1738</v>
      </c>
      <c r="F6191" t="s">
        <v>52</v>
      </c>
      <c r="G6191" t="s">
        <v>16231</v>
      </c>
      <c r="H6191" t="s">
        <v>47054</v>
      </c>
      <c r="I6191" t="s">
        <v>47111</v>
      </c>
      <c r="J6191" t="s">
        <v>47112</v>
      </c>
      <c r="K6191" t="s">
        <v>47113</v>
      </c>
      <c r="L6191">
        <v>60.36</v>
      </c>
      <c r="M6191">
        <v>141</v>
      </c>
      <c r="N6191">
        <v>0</v>
      </c>
      <c r="O6191">
        <v>141</v>
      </c>
      <c r="P6191">
        <v>0</v>
      </c>
    </row>
    <row r="6192" spans="1:16" x14ac:dyDescent="0.25">
      <c r="A6192" t="s">
        <v>28608</v>
      </c>
      <c r="B6192" t="s">
        <v>5156</v>
      </c>
      <c r="C6192" t="s">
        <v>5157</v>
      </c>
      <c r="D6192" t="s">
        <v>1734</v>
      </c>
      <c r="E6192" t="s">
        <v>1735</v>
      </c>
      <c r="F6192" t="s">
        <v>52</v>
      </c>
      <c r="G6192" t="s">
        <v>16231</v>
      </c>
      <c r="H6192" t="s">
        <v>47054</v>
      </c>
      <c r="I6192" t="s">
        <v>47111</v>
      </c>
      <c r="J6192" t="s">
        <v>47112</v>
      </c>
      <c r="K6192" t="s">
        <v>47113</v>
      </c>
      <c r="L6192">
        <v>57.29</v>
      </c>
      <c r="M6192">
        <v>146</v>
      </c>
      <c r="N6192">
        <v>0</v>
      </c>
      <c r="O6192">
        <v>146</v>
      </c>
      <c r="P6192">
        <v>0</v>
      </c>
    </row>
    <row r="6193" spans="1:16" x14ac:dyDescent="0.25">
      <c r="A6193" t="s">
        <v>28609</v>
      </c>
      <c r="B6193" t="s">
        <v>5158</v>
      </c>
      <c r="C6193" t="s">
        <v>5159</v>
      </c>
      <c r="D6193" t="s">
        <v>5053</v>
      </c>
      <c r="E6193" t="s">
        <v>5054</v>
      </c>
      <c r="F6193" t="s">
        <v>2068</v>
      </c>
      <c r="G6193" t="s">
        <v>16231</v>
      </c>
      <c r="H6193" t="s">
        <v>47054</v>
      </c>
      <c r="I6193" t="s">
        <v>47111</v>
      </c>
      <c r="J6193" t="s">
        <v>47112</v>
      </c>
      <c r="K6193" t="s">
        <v>47113</v>
      </c>
      <c r="L6193">
        <v>58.15</v>
      </c>
      <c r="M6193">
        <v>131</v>
      </c>
      <c r="N6193">
        <v>0</v>
      </c>
      <c r="O6193">
        <v>131</v>
      </c>
      <c r="P6193">
        <v>0</v>
      </c>
    </row>
    <row r="6194" spans="1:16" x14ac:dyDescent="0.25">
      <c r="A6194" t="s">
        <v>28610</v>
      </c>
      <c r="B6194" t="s">
        <v>5160</v>
      </c>
      <c r="C6194" t="s">
        <v>5161</v>
      </c>
      <c r="D6194" t="s">
        <v>4936</v>
      </c>
      <c r="E6194" t="s">
        <v>4937</v>
      </c>
      <c r="F6194" t="s">
        <v>2068</v>
      </c>
      <c r="G6194" t="s">
        <v>16231</v>
      </c>
      <c r="H6194" t="s">
        <v>47054</v>
      </c>
      <c r="I6194" t="s">
        <v>47111</v>
      </c>
      <c r="J6194" t="s">
        <v>47112</v>
      </c>
      <c r="K6194" t="s">
        <v>47113</v>
      </c>
      <c r="L6194">
        <v>42.06</v>
      </c>
      <c r="M6194">
        <v>85</v>
      </c>
      <c r="N6194">
        <v>0</v>
      </c>
      <c r="O6194">
        <v>85</v>
      </c>
      <c r="P6194">
        <v>0</v>
      </c>
    </row>
    <row r="6195" spans="1:16" x14ac:dyDescent="0.25">
      <c r="A6195" t="s">
        <v>28611</v>
      </c>
      <c r="B6195" t="s">
        <v>5162</v>
      </c>
      <c r="C6195" t="s">
        <v>5163</v>
      </c>
      <c r="D6195" t="s">
        <v>5063</v>
      </c>
      <c r="E6195" t="s">
        <v>5064</v>
      </c>
      <c r="F6195" t="s">
        <v>3670</v>
      </c>
      <c r="G6195" t="s">
        <v>16231</v>
      </c>
      <c r="H6195" t="s">
        <v>47054</v>
      </c>
      <c r="I6195" t="s">
        <v>47111</v>
      </c>
      <c r="J6195" t="s">
        <v>47112</v>
      </c>
      <c r="K6195" t="s">
        <v>47113</v>
      </c>
      <c r="L6195">
        <v>58.94</v>
      </c>
      <c r="M6195">
        <v>111</v>
      </c>
      <c r="N6195">
        <v>0</v>
      </c>
      <c r="O6195">
        <v>111</v>
      </c>
      <c r="P6195">
        <v>0</v>
      </c>
    </row>
    <row r="6196" spans="1:16" x14ac:dyDescent="0.25">
      <c r="A6196" t="s">
        <v>28612</v>
      </c>
      <c r="B6196" t="s">
        <v>5164</v>
      </c>
      <c r="C6196" t="s">
        <v>5165</v>
      </c>
      <c r="D6196" t="s">
        <v>721</v>
      </c>
      <c r="E6196" t="s">
        <v>722</v>
      </c>
      <c r="F6196" t="s">
        <v>8</v>
      </c>
      <c r="G6196" t="s">
        <v>16231</v>
      </c>
      <c r="H6196" t="s">
        <v>47054</v>
      </c>
      <c r="I6196" t="s">
        <v>47111</v>
      </c>
      <c r="J6196" t="s">
        <v>47112</v>
      </c>
      <c r="K6196" t="s">
        <v>47113</v>
      </c>
      <c r="L6196">
        <v>44.61</v>
      </c>
      <c r="M6196">
        <v>116</v>
      </c>
      <c r="N6196">
        <v>0</v>
      </c>
      <c r="O6196">
        <v>116</v>
      </c>
      <c r="P6196">
        <v>0</v>
      </c>
    </row>
    <row r="6197" spans="1:16" x14ac:dyDescent="0.25">
      <c r="A6197" t="s">
        <v>28613</v>
      </c>
      <c r="B6197" t="s">
        <v>5164</v>
      </c>
      <c r="C6197" t="s">
        <v>5165</v>
      </c>
      <c r="D6197" t="s">
        <v>27</v>
      </c>
      <c r="E6197" t="s">
        <v>622</v>
      </c>
      <c r="F6197" t="s">
        <v>8</v>
      </c>
      <c r="G6197" t="s">
        <v>16231</v>
      </c>
      <c r="H6197" t="s">
        <v>47054</v>
      </c>
      <c r="I6197" t="s">
        <v>47111</v>
      </c>
      <c r="J6197" t="s">
        <v>47112</v>
      </c>
      <c r="K6197" t="s">
        <v>47113</v>
      </c>
      <c r="L6197">
        <v>52.68</v>
      </c>
      <c r="M6197">
        <v>133</v>
      </c>
      <c r="N6197">
        <v>0</v>
      </c>
      <c r="O6197">
        <v>133</v>
      </c>
      <c r="P6197">
        <v>0</v>
      </c>
    </row>
    <row r="6198" spans="1:16" x14ac:dyDescent="0.25">
      <c r="A6198" t="s">
        <v>28614</v>
      </c>
      <c r="B6198" t="s">
        <v>5164</v>
      </c>
      <c r="C6198" t="s">
        <v>5165</v>
      </c>
      <c r="D6198" t="str">
        <f>"89"</f>
        <v>89</v>
      </c>
      <c r="E6198" t="s">
        <v>1732</v>
      </c>
      <c r="F6198" t="s">
        <v>8</v>
      </c>
      <c r="G6198" t="s">
        <v>16231</v>
      </c>
      <c r="H6198" t="s">
        <v>47054</v>
      </c>
      <c r="I6198" t="s">
        <v>47111</v>
      </c>
      <c r="J6198" t="s">
        <v>47112</v>
      </c>
      <c r="K6198" t="s">
        <v>47113</v>
      </c>
      <c r="L6198">
        <v>46.86</v>
      </c>
      <c r="M6198">
        <v>109</v>
      </c>
      <c r="N6198">
        <v>0</v>
      </c>
      <c r="O6198">
        <v>109</v>
      </c>
      <c r="P6198">
        <v>0</v>
      </c>
    </row>
    <row r="6199" spans="1:16" x14ac:dyDescent="0.25">
      <c r="A6199" t="s">
        <v>28615</v>
      </c>
      <c r="B6199" t="s">
        <v>5164</v>
      </c>
      <c r="C6199" t="s">
        <v>5165</v>
      </c>
      <c r="D6199" t="s">
        <v>1718</v>
      </c>
      <c r="E6199" t="s">
        <v>1719</v>
      </c>
      <c r="F6199" t="s">
        <v>8</v>
      </c>
      <c r="G6199" t="s">
        <v>16231</v>
      </c>
      <c r="H6199" t="s">
        <v>47054</v>
      </c>
      <c r="I6199" t="s">
        <v>47111</v>
      </c>
      <c r="J6199" t="s">
        <v>47112</v>
      </c>
      <c r="K6199" t="s">
        <v>47113</v>
      </c>
      <c r="L6199">
        <v>41.85</v>
      </c>
      <c r="M6199">
        <v>127</v>
      </c>
      <c r="N6199">
        <v>0</v>
      </c>
      <c r="O6199">
        <v>127</v>
      </c>
      <c r="P6199">
        <v>0</v>
      </c>
    </row>
    <row r="6200" spans="1:16" x14ac:dyDescent="0.25">
      <c r="A6200" t="s">
        <v>28616</v>
      </c>
      <c r="B6200" t="s">
        <v>5164</v>
      </c>
      <c r="C6200" t="s">
        <v>5165</v>
      </c>
      <c r="D6200" t="s">
        <v>1722</v>
      </c>
      <c r="E6200" t="s">
        <v>1723</v>
      </c>
      <c r="F6200" t="s">
        <v>8</v>
      </c>
      <c r="G6200" t="s">
        <v>16231</v>
      </c>
      <c r="H6200" t="s">
        <v>47054</v>
      </c>
      <c r="I6200" t="s">
        <v>47111</v>
      </c>
      <c r="J6200" t="s">
        <v>47112</v>
      </c>
      <c r="K6200" t="s">
        <v>47113</v>
      </c>
      <c r="L6200">
        <v>56.92</v>
      </c>
      <c r="M6200">
        <v>146</v>
      </c>
      <c r="N6200">
        <v>0</v>
      </c>
      <c r="O6200">
        <v>146</v>
      </c>
      <c r="P6200">
        <v>0</v>
      </c>
    </row>
    <row r="6201" spans="1:16" x14ac:dyDescent="0.25">
      <c r="A6201" t="s">
        <v>28617</v>
      </c>
      <c r="B6201" t="s">
        <v>16471</v>
      </c>
      <c r="C6201" t="s">
        <v>16472</v>
      </c>
      <c r="D6201" t="s">
        <v>5074</v>
      </c>
      <c r="E6201" t="s">
        <v>5075</v>
      </c>
      <c r="F6201" t="s">
        <v>14391</v>
      </c>
      <c r="G6201" t="s">
        <v>16231</v>
      </c>
      <c r="H6201" t="s">
        <v>47054</v>
      </c>
      <c r="I6201" t="s">
        <v>47111</v>
      </c>
      <c r="J6201" t="s">
        <v>47112</v>
      </c>
      <c r="K6201" t="s">
        <v>47113</v>
      </c>
      <c r="L6201">
        <v>71.599999999999994</v>
      </c>
      <c r="M6201">
        <v>129</v>
      </c>
      <c r="N6201">
        <v>0</v>
      </c>
      <c r="O6201">
        <v>129</v>
      </c>
      <c r="P6201">
        <v>0</v>
      </c>
    </row>
    <row r="6202" spans="1:16" x14ac:dyDescent="0.25">
      <c r="A6202" t="s">
        <v>28618</v>
      </c>
      <c r="B6202" t="s">
        <v>5166</v>
      </c>
      <c r="C6202" t="s">
        <v>5167</v>
      </c>
      <c r="D6202" t="s">
        <v>4824</v>
      </c>
      <c r="E6202" t="s">
        <v>4825</v>
      </c>
      <c r="F6202" t="s">
        <v>4</v>
      </c>
      <c r="G6202" t="s">
        <v>16231</v>
      </c>
      <c r="H6202" t="s">
        <v>47054</v>
      </c>
      <c r="I6202" t="s">
        <v>47111</v>
      </c>
      <c r="J6202" t="s">
        <v>47112</v>
      </c>
      <c r="K6202" t="s">
        <v>47113</v>
      </c>
      <c r="L6202">
        <v>53.83</v>
      </c>
      <c r="M6202">
        <v>103</v>
      </c>
      <c r="N6202">
        <v>0</v>
      </c>
      <c r="O6202">
        <v>103</v>
      </c>
      <c r="P6202">
        <v>0</v>
      </c>
    </row>
    <row r="6203" spans="1:16" x14ac:dyDescent="0.25">
      <c r="A6203" t="s">
        <v>28619</v>
      </c>
      <c r="B6203" t="s">
        <v>5166</v>
      </c>
      <c r="C6203" t="s">
        <v>5167</v>
      </c>
      <c r="D6203" t="s">
        <v>4826</v>
      </c>
      <c r="E6203" t="s">
        <v>4827</v>
      </c>
      <c r="F6203" t="s">
        <v>4</v>
      </c>
      <c r="G6203" t="s">
        <v>16231</v>
      </c>
      <c r="H6203" t="s">
        <v>47054</v>
      </c>
      <c r="I6203" t="s">
        <v>47111</v>
      </c>
      <c r="J6203" t="s">
        <v>47112</v>
      </c>
      <c r="K6203" t="s">
        <v>47113</v>
      </c>
      <c r="L6203">
        <v>58.34</v>
      </c>
      <c r="M6203">
        <v>142</v>
      </c>
      <c r="N6203">
        <v>0</v>
      </c>
      <c r="O6203">
        <v>142</v>
      </c>
      <c r="P6203">
        <v>0</v>
      </c>
    </row>
    <row r="6204" spans="1:16" x14ac:dyDescent="0.25">
      <c r="A6204" t="s">
        <v>28620</v>
      </c>
      <c r="B6204" t="s">
        <v>5168</v>
      </c>
      <c r="C6204" t="s">
        <v>5169</v>
      </c>
      <c r="D6204" t="s">
        <v>3518</v>
      </c>
      <c r="E6204" t="s">
        <v>3519</v>
      </c>
      <c r="F6204" t="s">
        <v>4</v>
      </c>
      <c r="G6204" t="s">
        <v>16231</v>
      </c>
      <c r="H6204" t="s">
        <v>47054</v>
      </c>
      <c r="I6204" t="s">
        <v>47111</v>
      </c>
      <c r="J6204" t="s">
        <v>47112</v>
      </c>
      <c r="K6204" t="s">
        <v>47113</v>
      </c>
      <c r="L6204">
        <v>64.040000000000006</v>
      </c>
      <c r="M6204">
        <v>156</v>
      </c>
      <c r="N6204">
        <v>0</v>
      </c>
      <c r="O6204">
        <v>156</v>
      </c>
      <c r="P6204">
        <v>0</v>
      </c>
    </row>
    <row r="6205" spans="1:16" x14ac:dyDescent="0.25">
      <c r="A6205" t="s">
        <v>28621</v>
      </c>
      <c r="B6205" t="s">
        <v>5168</v>
      </c>
      <c r="C6205" t="s">
        <v>5169</v>
      </c>
      <c r="D6205" t="s">
        <v>4830</v>
      </c>
      <c r="E6205" t="s">
        <v>4831</v>
      </c>
      <c r="F6205" t="s">
        <v>4</v>
      </c>
      <c r="G6205" t="s">
        <v>16231</v>
      </c>
      <c r="H6205" t="s">
        <v>47054</v>
      </c>
      <c r="I6205" t="s">
        <v>47111</v>
      </c>
      <c r="J6205" t="s">
        <v>47112</v>
      </c>
      <c r="K6205" t="s">
        <v>47113</v>
      </c>
      <c r="L6205">
        <v>65.180000000000007</v>
      </c>
      <c r="M6205">
        <v>149</v>
      </c>
      <c r="N6205">
        <v>0</v>
      </c>
      <c r="O6205">
        <v>149</v>
      </c>
      <c r="P6205">
        <v>0</v>
      </c>
    </row>
    <row r="6206" spans="1:16" x14ac:dyDescent="0.25">
      <c r="A6206" t="s">
        <v>28622</v>
      </c>
      <c r="B6206" t="s">
        <v>5170</v>
      </c>
      <c r="C6206" t="s">
        <v>5171</v>
      </c>
      <c r="D6206" t="s">
        <v>27</v>
      </c>
      <c r="E6206" t="s">
        <v>622</v>
      </c>
      <c r="F6206" t="s">
        <v>296</v>
      </c>
      <c r="G6206" t="s">
        <v>16231</v>
      </c>
      <c r="H6206" t="s">
        <v>47054</v>
      </c>
      <c r="I6206" t="s">
        <v>47111</v>
      </c>
      <c r="J6206" t="s">
        <v>47112</v>
      </c>
      <c r="K6206" t="s">
        <v>47113</v>
      </c>
      <c r="L6206">
        <v>37</v>
      </c>
      <c r="M6206">
        <v>93</v>
      </c>
      <c r="N6206">
        <v>0</v>
      </c>
      <c r="O6206">
        <v>93</v>
      </c>
      <c r="P6206">
        <v>0</v>
      </c>
    </row>
    <row r="6207" spans="1:16" x14ac:dyDescent="0.25">
      <c r="A6207" t="s">
        <v>28623</v>
      </c>
      <c r="B6207" t="s">
        <v>5172</v>
      </c>
      <c r="C6207" t="s">
        <v>5173</v>
      </c>
      <c r="D6207" t="s">
        <v>27</v>
      </c>
      <c r="E6207" t="s">
        <v>622</v>
      </c>
      <c r="F6207" t="s">
        <v>2</v>
      </c>
      <c r="G6207" t="s">
        <v>16231</v>
      </c>
      <c r="H6207" t="s">
        <v>47054</v>
      </c>
      <c r="I6207" t="s">
        <v>47111</v>
      </c>
      <c r="J6207" t="s">
        <v>47112</v>
      </c>
      <c r="K6207" t="s">
        <v>47113</v>
      </c>
      <c r="L6207">
        <v>42.22</v>
      </c>
      <c r="M6207">
        <v>120</v>
      </c>
      <c r="N6207">
        <v>0</v>
      </c>
      <c r="O6207">
        <v>120</v>
      </c>
      <c r="P6207">
        <v>0</v>
      </c>
    </row>
    <row r="6208" spans="1:16" x14ac:dyDescent="0.25">
      <c r="A6208" t="s">
        <v>28624</v>
      </c>
      <c r="B6208" t="s">
        <v>5172</v>
      </c>
      <c r="C6208" t="s">
        <v>5173</v>
      </c>
      <c r="D6208" t="s">
        <v>970</v>
      </c>
      <c r="E6208" t="s">
        <v>971</v>
      </c>
      <c r="F6208" t="s">
        <v>2</v>
      </c>
      <c r="G6208" t="s">
        <v>16231</v>
      </c>
      <c r="H6208" t="s">
        <v>47054</v>
      </c>
      <c r="I6208" t="s">
        <v>47111</v>
      </c>
      <c r="J6208" t="s">
        <v>47112</v>
      </c>
      <c r="K6208" t="s">
        <v>47113</v>
      </c>
      <c r="L6208">
        <v>50.54</v>
      </c>
      <c r="M6208">
        <v>90</v>
      </c>
      <c r="N6208">
        <v>0</v>
      </c>
      <c r="O6208">
        <v>90</v>
      </c>
      <c r="P6208">
        <v>0</v>
      </c>
    </row>
    <row r="6209" spans="1:16" x14ac:dyDescent="0.25">
      <c r="A6209" t="s">
        <v>28625</v>
      </c>
      <c r="B6209" t="s">
        <v>5174</v>
      </c>
      <c r="C6209" t="s">
        <v>5175</v>
      </c>
      <c r="D6209" t="s">
        <v>2468</v>
      </c>
      <c r="E6209" t="s">
        <v>2469</v>
      </c>
      <c r="F6209" t="s">
        <v>2</v>
      </c>
      <c r="G6209" t="s">
        <v>16231</v>
      </c>
      <c r="I6209" t="s">
        <v>47111</v>
      </c>
      <c r="J6209" t="s">
        <v>47112</v>
      </c>
      <c r="K6209" t="s">
        <v>47113</v>
      </c>
      <c r="L6209">
        <v>60.7</v>
      </c>
      <c r="M6209">
        <v>128</v>
      </c>
      <c r="N6209">
        <v>0</v>
      </c>
      <c r="O6209">
        <v>128</v>
      </c>
      <c r="P6209">
        <v>0</v>
      </c>
    </row>
    <row r="6210" spans="1:16" x14ac:dyDescent="0.25">
      <c r="A6210" t="s">
        <v>28626</v>
      </c>
      <c r="B6210" t="s">
        <v>5174</v>
      </c>
      <c r="C6210" t="s">
        <v>5175</v>
      </c>
      <c r="D6210" t="s">
        <v>2407</v>
      </c>
      <c r="E6210" t="s">
        <v>2408</v>
      </c>
      <c r="F6210" t="s">
        <v>2</v>
      </c>
      <c r="G6210" t="s">
        <v>16231</v>
      </c>
      <c r="I6210" t="s">
        <v>47111</v>
      </c>
      <c r="J6210" t="s">
        <v>47112</v>
      </c>
      <c r="K6210" t="s">
        <v>47113</v>
      </c>
      <c r="L6210">
        <v>49.03</v>
      </c>
      <c r="M6210">
        <v>136</v>
      </c>
      <c r="N6210">
        <v>0</v>
      </c>
      <c r="O6210">
        <v>136</v>
      </c>
      <c r="P6210">
        <v>0</v>
      </c>
    </row>
    <row r="6211" spans="1:16" x14ac:dyDescent="0.25">
      <c r="A6211" t="s">
        <v>28627</v>
      </c>
      <c r="B6211" t="s">
        <v>5174</v>
      </c>
      <c r="C6211" t="s">
        <v>5175</v>
      </c>
      <c r="D6211" t="s">
        <v>1046</v>
      </c>
      <c r="E6211" t="s">
        <v>1047</v>
      </c>
      <c r="F6211" t="s">
        <v>2</v>
      </c>
      <c r="G6211" t="s">
        <v>16231</v>
      </c>
      <c r="I6211" t="s">
        <v>47111</v>
      </c>
      <c r="J6211" t="s">
        <v>47112</v>
      </c>
      <c r="K6211" t="s">
        <v>47113</v>
      </c>
      <c r="L6211">
        <v>59.03</v>
      </c>
      <c r="M6211">
        <v>132</v>
      </c>
      <c r="N6211">
        <v>0</v>
      </c>
      <c r="O6211">
        <v>132</v>
      </c>
      <c r="P6211">
        <v>0</v>
      </c>
    </row>
    <row r="6212" spans="1:16" x14ac:dyDescent="0.25">
      <c r="A6212" t="s">
        <v>28628</v>
      </c>
      <c r="B6212" t="s">
        <v>5176</v>
      </c>
      <c r="C6212" t="s">
        <v>5175</v>
      </c>
      <c r="D6212" t="s">
        <v>2468</v>
      </c>
      <c r="E6212" t="s">
        <v>2469</v>
      </c>
      <c r="F6212" t="s">
        <v>2</v>
      </c>
      <c r="G6212" t="s">
        <v>16231</v>
      </c>
      <c r="I6212" t="s">
        <v>47111</v>
      </c>
      <c r="J6212" t="s">
        <v>47112</v>
      </c>
      <c r="K6212" t="s">
        <v>47113</v>
      </c>
      <c r="L6212">
        <v>60.7</v>
      </c>
      <c r="M6212">
        <v>128</v>
      </c>
      <c r="N6212">
        <v>0</v>
      </c>
      <c r="O6212">
        <v>128</v>
      </c>
      <c r="P6212">
        <v>0</v>
      </c>
    </row>
    <row r="6213" spans="1:16" x14ac:dyDescent="0.25">
      <c r="A6213" t="s">
        <v>28629</v>
      </c>
      <c r="B6213" t="s">
        <v>5176</v>
      </c>
      <c r="C6213" t="s">
        <v>5175</v>
      </c>
      <c r="D6213" t="s">
        <v>2407</v>
      </c>
      <c r="E6213" t="s">
        <v>2408</v>
      </c>
      <c r="F6213" t="s">
        <v>2</v>
      </c>
      <c r="G6213" t="s">
        <v>16231</v>
      </c>
      <c r="I6213" t="s">
        <v>47111</v>
      </c>
      <c r="J6213" t="s">
        <v>47112</v>
      </c>
      <c r="K6213" t="s">
        <v>47113</v>
      </c>
      <c r="L6213">
        <v>49.03</v>
      </c>
      <c r="M6213">
        <v>136</v>
      </c>
      <c r="N6213">
        <v>0</v>
      </c>
      <c r="O6213">
        <v>136</v>
      </c>
      <c r="P6213">
        <v>0</v>
      </c>
    </row>
    <row r="6214" spans="1:16" x14ac:dyDescent="0.25">
      <c r="A6214" t="s">
        <v>28630</v>
      </c>
      <c r="B6214" t="s">
        <v>5176</v>
      </c>
      <c r="C6214" t="s">
        <v>5175</v>
      </c>
      <c r="D6214" t="s">
        <v>1046</v>
      </c>
      <c r="E6214" t="s">
        <v>1047</v>
      </c>
      <c r="F6214" t="s">
        <v>2</v>
      </c>
      <c r="G6214" t="s">
        <v>16231</v>
      </c>
      <c r="I6214" t="s">
        <v>47111</v>
      </c>
      <c r="J6214" t="s">
        <v>47112</v>
      </c>
      <c r="K6214" t="s">
        <v>47113</v>
      </c>
      <c r="L6214">
        <v>59.03</v>
      </c>
      <c r="M6214">
        <v>132</v>
      </c>
      <c r="N6214">
        <v>0</v>
      </c>
      <c r="O6214">
        <v>132</v>
      </c>
      <c r="P6214">
        <v>0</v>
      </c>
    </row>
    <row r="6215" spans="1:16" x14ac:dyDescent="0.25">
      <c r="A6215" t="s">
        <v>28631</v>
      </c>
      <c r="B6215" t="s">
        <v>5177</v>
      </c>
      <c r="C6215" t="s">
        <v>5175</v>
      </c>
      <c r="D6215" t="s">
        <v>2468</v>
      </c>
      <c r="E6215" t="s">
        <v>2469</v>
      </c>
      <c r="F6215" t="s">
        <v>2</v>
      </c>
      <c r="G6215" t="s">
        <v>16231</v>
      </c>
      <c r="I6215" t="s">
        <v>47111</v>
      </c>
      <c r="J6215" t="s">
        <v>47112</v>
      </c>
      <c r="K6215" t="s">
        <v>47113</v>
      </c>
      <c r="L6215">
        <v>60.7</v>
      </c>
      <c r="M6215">
        <v>128</v>
      </c>
      <c r="N6215">
        <v>0</v>
      </c>
      <c r="O6215">
        <v>128</v>
      </c>
      <c r="P6215">
        <v>0</v>
      </c>
    </row>
    <row r="6216" spans="1:16" x14ac:dyDescent="0.25">
      <c r="A6216" t="s">
        <v>28632</v>
      </c>
      <c r="B6216" t="s">
        <v>5177</v>
      </c>
      <c r="C6216" t="s">
        <v>5175</v>
      </c>
      <c r="D6216" t="s">
        <v>2407</v>
      </c>
      <c r="E6216" t="s">
        <v>2408</v>
      </c>
      <c r="F6216" t="s">
        <v>2</v>
      </c>
      <c r="G6216" t="s">
        <v>16231</v>
      </c>
      <c r="I6216" t="s">
        <v>47111</v>
      </c>
      <c r="J6216" t="s">
        <v>47112</v>
      </c>
      <c r="K6216" t="s">
        <v>47113</v>
      </c>
      <c r="L6216">
        <v>49.03</v>
      </c>
      <c r="M6216">
        <v>136</v>
      </c>
      <c r="N6216">
        <v>0</v>
      </c>
      <c r="O6216">
        <v>136</v>
      </c>
      <c r="P6216">
        <v>0</v>
      </c>
    </row>
    <row r="6217" spans="1:16" x14ac:dyDescent="0.25">
      <c r="A6217" t="s">
        <v>28633</v>
      </c>
      <c r="B6217" t="s">
        <v>5177</v>
      </c>
      <c r="C6217" t="s">
        <v>5175</v>
      </c>
      <c r="D6217" t="s">
        <v>1046</v>
      </c>
      <c r="E6217" t="s">
        <v>1047</v>
      </c>
      <c r="F6217" t="s">
        <v>2</v>
      </c>
      <c r="G6217" t="s">
        <v>16231</v>
      </c>
      <c r="I6217" t="s">
        <v>47111</v>
      </c>
      <c r="J6217" t="s">
        <v>47112</v>
      </c>
      <c r="K6217" t="s">
        <v>47113</v>
      </c>
      <c r="L6217">
        <v>59.03</v>
      </c>
      <c r="M6217">
        <v>132</v>
      </c>
      <c r="N6217">
        <v>0</v>
      </c>
      <c r="O6217">
        <v>132</v>
      </c>
      <c r="P6217">
        <v>0</v>
      </c>
    </row>
    <row r="6218" spans="1:16" x14ac:dyDescent="0.25">
      <c r="A6218" t="s">
        <v>28634</v>
      </c>
      <c r="B6218" t="s">
        <v>5178</v>
      </c>
      <c r="C6218" t="s">
        <v>5175</v>
      </c>
      <c r="D6218" t="str">
        <f>"89"</f>
        <v>89</v>
      </c>
      <c r="E6218" t="s">
        <v>1732</v>
      </c>
      <c r="F6218" t="s">
        <v>2</v>
      </c>
      <c r="G6218" t="s">
        <v>16231</v>
      </c>
      <c r="H6218" t="s">
        <v>47054</v>
      </c>
      <c r="I6218" t="s">
        <v>47111</v>
      </c>
      <c r="J6218" t="s">
        <v>47112</v>
      </c>
      <c r="K6218" t="s">
        <v>47113</v>
      </c>
      <c r="L6218">
        <v>48.18</v>
      </c>
      <c r="M6218">
        <v>134</v>
      </c>
      <c r="N6218">
        <v>0</v>
      </c>
      <c r="O6218">
        <v>134</v>
      </c>
      <c r="P6218">
        <v>0</v>
      </c>
    </row>
    <row r="6219" spans="1:16" x14ac:dyDescent="0.25">
      <c r="A6219" t="s">
        <v>28635</v>
      </c>
      <c r="B6219" t="s">
        <v>5178</v>
      </c>
      <c r="C6219" t="s">
        <v>5175</v>
      </c>
      <c r="D6219" t="s">
        <v>2468</v>
      </c>
      <c r="E6219" t="s">
        <v>2469</v>
      </c>
      <c r="F6219" t="s">
        <v>2</v>
      </c>
      <c r="G6219" t="s">
        <v>16231</v>
      </c>
      <c r="H6219" t="s">
        <v>47054</v>
      </c>
      <c r="I6219" t="s">
        <v>47111</v>
      </c>
      <c r="J6219" t="s">
        <v>47112</v>
      </c>
      <c r="K6219" t="s">
        <v>47113</v>
      </c>
      <c r="L6219">
        <v>60.7</v>
      </c>
      <c r="M6219">
        <v>128</v>
      </c>
      <c r="N6219">
        <v>0</v>
      </c>
      <c r="O6219">
        <v>128</v>
      </c>
      <c r="P6219">
        <v>0</v>
      </c>
    </row>
    <row r="6220" spans="1:16" x14ac:dyDescent="0.25">
      <c r="A6220" t="s">
        <v>28636</v>
      </c>
      <c r="B6220" t="s">
        <v>5178</v>
      </c>
      <c r="C6220" t="s">
        <v>5175</v>
      </c>
      <c r="D6220" t="s">
        <v>2407</v>
      </c>
      <c r="E6220" t="s">
        <v>2408</v>
      </c>
      <c r="F6220" t="s">
        <v>2</v>
      </c>
      <c r="G6220" t="s">
        <v>16231</v>
      </c>
      <c r="H6220" t="s">
        <v>47054</v>
      </c>
      <c r="I6220" t="s">
        <v>47111</v>
      </c>
      <c r="J6220" t="s">
        <v>47112</v>
      </c>
      <c r="K6220" t="s">
        <v>47113</v>
      </c>
      <c r="L6220">
        <v>49.03</v>
      </c>
      <c r="M6220">
        <v>136</v>
      </c>
      <c r="N6220">
        <v>0</v>
      </c>
      <c r="O6220">
        <v>136</v>
      </c>
      <c r="P6220">
        <v>0</v>
      </c>
    </row>
    <row r="6221" spans="1:16" x14ac:dyDescent="0.25">
      <c r="A6221" t="s">
        <v>28637</v>
      </c>
      <c r="B6221" t="s">
        <v>5178</v>
      </c>
      <c r="C6221" t="s">
        <v>5175</v>
      </c>
      <c r="D6221" t="s">
        <v>1046</v>
      </c>
      <c r="E6221" t="s">
        <v>1047</v>
      </c>
      <c r="F6221" t="s">
        <v>2</v>
      </c>
      <c r="G6221" t="s">
        <v>16231</v>
      </c>
      <c r="H6221" t="s">
        <v>47054</v>
      </c>
      <c r="I6221" t="s">
        <v>47111</v>
      </c>
      <c r="J6221" t="s">
        <v>47112</v>
      </c>
      <c r="K6221" t="s">
        <v>47113</v>
      </c>
      <c r="L6221">
        <v>59.03</v>
      </c>
      <c r="M6221">
        <v>132</v>
      </c>
      <c r="N6221">
        <v>0</v>
      </c>
      <c r="O6221">
        <v>132</v>
      </c>
      <c r="P6221">
        <v>0</v>
      </c>
    </row>
    <row r="6222" spans="1:16" x14ac:dyDescent="0.25">
      <c r="A6222" t="s">
        <v>28638</v>
      </c>
      <c r="B6222" t="s">
        <v>5179</v>
      </c>
      <c r="C6222" t="s">
        <v>5175</v>
      </c>
      <c r="D6222" t="s">
        <v>2468</v>
      </c>
      <c r="E6222" t="s">
        <v>2469</v>
      </c>
      <c r="F6222" t="s">
        <v>2</v>
      </c>
      <c r="G6222" t="s">
        <v>16231</v>
      </c>
      <c r="I6222" t="s">
        <v>47111</v>
      </c>
      <c r="J6222" t="s">
        <v>47112</v>
      </c>
      <c r="K6222" t="s">
        <v>47113</v>
      </c>
      <c r="L6222">
        <v>60.7</v>
      </c>
      <c r="M6222">
        <v>128</v>
      </c>
      <c r="N6222">
        <v>0</v>
      </c>
      <c r="O6222">
        <v>128</v>
      </c>
      <c r="P6222">
        <v>0</v>
      </c>
    </row>
    <row r="6223" spans="1:16" x14ac:dyDescent="0.25">
      <c r="A6223" t="s">
        <v>28639</v>
      </c>
      <c r="B6223" t="s">
        <v>5179</v>
      </c>
      <c r="C6223" t="s">
        <v>5175</v>
      </c>
      <c r="D6223" t="s">
        <v>2407</v>
      </c>
      <c r="E6223" t="s">
        <v>2408</v>
      </c>
      <c r="F6223" t="s">
        <v>2</v>
      </c>
      <c r="G6223" t="s">
        <v>16231</v>
      </c>
      <c r="I6223" t="s">
        <v>47111</v>
      </c>
      <c r="J6223" t="s">
        <v>47112</v>
      </c>
      <c r="K6223" t="s">
        <v>47113</v>
      </c>
      <c r="L6223">
        <v>49.03</v>
      </c>
      <c r="M6223">
        <v>136</v>
      </c>
      <c r="N6223">
        <v>0</v>
      </c>
      <c r="O6223">
        <v>136</v>
      </c>
      <c r="P6223">
        <v>0</v>
      </c>
    </row>
    <row r="6224" spans="1:16" x14ac:dyDescent="0.25">
      <c r="A6224" t="s">
        <v>28640</v>
      </c>
      <c r="B6224" t="s">
        <v>5179</v>
      </c>
      <c r="C6224" t="s">
        <v>5175</v>
      </c>
      <c r="D6224" t="s">
        <v>1046</v>
      </c>
      <c r="E6224" t="s">
        <v>1047</v>
      </c>
      <c r="F6224" t="s">
        <v>2</v>
      </c>
      <c r="G6224" t="s">
        <v>16231</v>
      </c>
      <c r="I6224" t="s">
        <v>47111</v>
      </c>
      <c r="J6224" t="s">
        <v>47112</v>
      </c>
      <c r="K6224" t="s">
        <v>47113</v>
      </c>
      <c r="L6224">
        <v>59.03</v>
      </c>
      <c r="M6224">
        <v>132</v>
      </c>
      <c r="N6224">
        <v>0</v>
      </c>
      <c r="O6224">
        <v>132</v>
      </c>
      <c r="P6224">
        <v>0</v>
      </c>
    </row>
    <row r="6225" spans="1:16" x14ac:dyDescent="0.25">
      <c r="A6225" t="s">
        <v>28641</v>
      </c>
      <c r="B6225" t="s">
        <v>5180</v>
      </c>
      <c r="C6225" t="s">
        <v>5181</v>
      </c>
      <c r="D6225" t="str">
        <f>"89"</f>
        <v>89</v>
      </c>
      <c r="E6225" t="s">
        <v>1732</v>
      </c>
      <c r="F6225" t="s">
        <v>2</v>
      </c>
      <c r="G6225" t="s">
        <v>16231</v>
      </c>
      <c r="H6225" t="s">
        <v>47054</v>
      </c>
      <c r="I6225" t="s">
        <v>47111</v>
      </c>
      <c r="J6225" t="s">
        <v>47112</v>
      </c>
      <c r="K6225" t="s">
        <v>47113</v>
      </c>
      <c r="L6225">
        <v>49</v>
      </c>
      <c r="M6225">
        <v>112</v>
      </c>
      <c r="N6225">
        <v>0</v>
      </c>
      <c r="O6225">
        <v>112</v>
      </c>
      <c r="P6225">
        <v>0</v>
      </c>
    </row>
    <row r="6226" spans="1:16" x14ac:dyDescent="0.25">
      <c r="A6226" t="s">
        <v>28642</v>
      </c>
      <c r="B6226" t="s">
        <v>5180</v>
      </c>
      <c r="C6226" t="s">
        <v>5181</v>
      </c>
      <c r="D6226" t="s">
        <v>2468</v>
      </c>
      <c r="E6226" t="s">
        <v>2469</v>
      </c>
      <c r="F6226" t="s">
        <v>2</v>
      </c>
      <c r="G6226" t="s">
        <v>16231</v>
      </c>
      <c r="H6226" t="s">
        <v>47054</v>
      </c>
      <c r="I6226" t="s">
        <v>47111</v>
      </c>
      <c r="J6226" t="s">
        <v>47112</v>
      </c>
      <c r="K6226" t="s">
        <v>47113</v>
      </c>
      <c r="L6226">
        <v>60.7</v>
      </c>
      <c r="M6226">
        <v>128</v>
      </c>
      <c r="N6226">
        <v>0</v>
      </c>
      <c r="O6226">
        <v>128</v>
      </c>
      <c r="P6226">
        <v>0</v>
      </c>
    </row>
    <row r="6227" spans="1:16" x14ac:dyDescent="0.25">
      <c r="A6227" t="s">
        <v>28643</v>
      </c>
      <c r="B6227" t="s">
        <v>5180</v>
      </c>
      <c r="C6227" t="s">
        <v>5181</v>
      </c>
      <c r="D6227" t="s">
        <v>2407</v>
      </c>
      <c r="E6227" t="s">
        <v>2408</v>
      </c>
      <c r="F6227" t="s">
        <v>2</v>
      </c>
      <c r="G6227" t="s">
        <v>16231</v>
      </c>
      <c r="H6227" t="s">
        <v>47054</v>
      </c>
      <c r="I6227" t="s">
        <v>47111</v>
      </c>
      <c r="J6227" t="s">
        <v>47112</v>
      </c>
      <c r="K6227" t="s">
        <v>47113</v>
      </c>
      <c r="L6227">
        <v>52.92</v>
      </c>
      <c r="M6227">
        <v>136</v>
      </c>
      <c r="N6227">
        <v>0</v>
      </c>
      <c r="O6227">
        <v>136</v>
      </c>
      <c r="P6227">
        <v>0</v>
      </c>
    </row>
    <row r="6228" spans="1:16" x14ac:dyDescent="0.25">
      <c r="A6228" t="s">
        <v>28644</v>
      </c>
      <c r="B6228" t="s">
        <v>5180</v>
      </c>
      <c r="C6228" t="s">
        <v>5181</v>
      </c>
      <c r="D6228" t="s">
        <v>1046</v>
      </c>
      <c r="E6228" t="s">
        <v>1047</v>
      </c>
      <c r="F6228" t="s">
        <v>2</v>
      </c>
      <c r="G6228" t="s">
        <v>16231</v>
      </c>
      <c r="H6228" t="s">
        <v>47054</v>
      </c>
      <c r="I6228" t="s">
        <v>47111</v>
      </c>
      <c r="J6228" t="s">
        <v>47112</v>
      </c>
      <c r="K6228" t="s">
        <v>47113</v>
      </c>
      <c r="L6228">
        <v>59.03</v>
      </c>
      <c r="M6228">
        <v>132</v>
      </c>
      <c r="N6228">
        <v>0</v>
      </c>
      <c r="O6228">
        <v>132</v>
      </c>
      <c r="P6228">
        <v>0</v>
      </c>
    </row>
    <row r="6229" spans="1:16" x14ac:dyDescent="0.25">
      <c r="A6229" t="s">
        <v>28645</v>
      </c>
      <c r="B6229" t="s">
        <v>5182</v>
      </c>
      <c r="C6229" t="s">
        <v>5181</v>
      </c>
      <c r="D6229" t="s">
        <v>2468</v>
      </c>
      <c r="E6229" t="s">
        <v>2469</v>
      </c>
      <c r="F6229" t="s">
        <v>2</v>
      </c>
      <c r="G6229" t="s">
        <v>16231</v>
      </c>
      <c r="H6229" t="s">
        <v>47054</v>
      </c>
      <c r="I6229" t="s">
        <v>47111</v>
      </c>
      <c r="J6229" t="s">
        <v>47112</v>
      </c>
      <c r="K6229" t="s">
        <v>47113</v>
      </c>
      <c r="L6229">
        <v>60.7</v>
      </c>
      <c r="M6229">
        <v>128</v>
      </c>
      <c r="N6229">
        <v>0</v>
      </c>
      <c r="O6229">
        <v>128</v>
      </c>
      <c r="P6229">
        <v>0</v>
      </c>
    </row>
    <row r="6230" spans="1:16" x14ac:dyDescent="0.25">
      <c r="A6230" t="s">
        <v>28646</v>
      </c>
      <c r="B6230" t="s">
        <v>5182</v>
      </c>
      <c r="C6230" t="s">
        <v>5181</v>
      </c>
      <c r="D6230" t="s">
        <v>2407</v>
      </c>
      <c r="E6230" t="s">
        <v>2408</v>
      </c>
      <c r="F6230" t="s">
        <v>2</v>
      </c>
      <c r="G6230" t="s">
        <v>16231</v>
      </c>
      <c r="H6230" t="s">
        <v>47054</v>
      </c>
      <c r="I6230" t="s">
        <v>47111</v>
      </c>
      <c r="J6230" t="s">
        <v>47112</v>
      </c>
      <c r="K6230" t="s">
        <v>47113</v>
      </c>
      <c r="L6230">
        <v>52.02</v>
      </c>
      <c r="M6230">
        <v>136</v>
      </c>
      <c r="N6230">
        <v>0</v>
      </c>
      <c r="O6230">
        <v>136</v>
      </c>
      <c r="P6230">
        <v>0</v>
      </c>
    </row>
    <row r="6231" spans="1:16" x14ac:dyDescent="0.25">
      <c r="A6231" t="s">
        <v>28647</v>
      </c>
      <c r="B6231" t="s">
        <v>5182</v>
      </c>
      <c r="C6231" t="s">
        <v>5181</v>
      </c>
      <c r="D6231" t="s">
        <v>1046</v>
      </c>
      <c r="E6231" t="s">
        <v>1047</v>
      </c>
      <c r="F6231" t="s">
        <v>2</v>
      </c>
      <c r="G6231" t="s">
        <v>16231</v>
      </c>
      <c r="H6231" t="s">
        <v>47054</v>
      </c>
      <c r="I6231" t="s">
        <v>47111</v>
      </c>
      <c r="J6231" t="s">
        <v>47112</v>
      </c>
      <c r="K6231" t="s">
        <v>47113</v>
      </c>
      <c r="L6231">
        <v>59.03</v>
      </c>
      <c r="M6231">
        <v>132</v>
      </c>
      <c r="N6231">
        <v>0</v>
      </c>
      <c r="O6231">
        <v>132</v>
      </c>
      <c r="P6231">
        <v>0</v>
      </c>
    </row>
    <row r="6232" spans="1:16" x14ac:dyDescent="0.25">
      <c r="A6232" t="s">
        <v>28648</v>
      </c>
      <c r="B6232" t="s">
        <v>5183</v>
      </c>
      <c r="C6232" t="s">
        <v>5181</v>
      </c>
      <c r="D6232" t="s">
        <v>2468</v>
      </c>
      <c r="E6232" t="s">
        <v>2469</v>
      </c>
      <c r="F6232" t="s">
        <v>2</v>
      </c>
      <c r="G6232" t="s">
        <v>16231</v>
      </c>
      <c r="H6232" t="s">
        <v>47054</v>
      </c>
      <c r="I6232" t="s">
        <v>47111</v>
      </c>
      <c r="J6232" t="s">
        <v>47112</v>
      </c>
      <c r="K6232" t="s">
        <v>47113</v>
      </c>
      <c r="L6232">
        <v>62.24</v>
      </c>
      <c r="M6232">
        <v>128</v>
      </c>
      <c r="N6232">
        <v>0</v>
      </c>
      <c r="O6232">
        <v>128</v>
      </c>
      <c r="P6232">
        <v>0</v>
      </c>
    </row>
    <row r="6233" spans="1:16" x14ac:dyDescent="0.25">
      <c r="A6233" t="s">
        <v>28649</v>
      </c>
      <c r="B6233" t="s">
        <v>5183</v>
      </c>
      <c r="C6233" t="s">
        <v>5181</v>
      </c>
      <c r="D6233" t="s">
        <v>2407</v>
      </c>
      <c r="E6233" t="s">
        <v>2408</v>
      </c>
      <c r="F6233" t="s">
        <v>2</v>
      </c>
      <c r="G6233" t="s">
        <v>16231</v>
      </c>
      <c r="H6233" t="s">
        <v>47054</v>
      </c>
      <c r="I6233" t="s">
        <v>47111</v>
      </c>
      <c r="J6233" t="s">
        <v>47112</v>
      </c>
      <c r="K6233" t="s">
        <v>47113</v>
      </c>
      <c r="L6233">
        <v>52.92</v>
      </c>
      <c r="M6233">
        <v>136</v>
      </c>
      <c r="N6233">
        <v>0</v>
      </c>
      <c r="O6233">
        <v>136</v>
      </c>
      <c r="P6233">
        <v>0</v>
      </c>
    </row>
    <row r="6234" spans="1:16" x14ac:dyDescent="0.25">
      <c r="A6234" t="s">
        <v>28650</v>
      </c>
      <c r="B6234" t="s">
        <v>5183</v>
      </c>
      <c r="C6234" t="s">
        <v>5181</v>
      </c>
      <c r="D6234" t="s">
        <v>1046</v>
      </c>
      <c r="E6234" t="s">
        <v>1047</v>
      </c>
      <c r="F6234" t="s">
        <v>2</v>
      </c>
      <c r="G6234" t="s">
        <v>16231</v>
      </c>
      <c r="H6234" t="s">
        <v>47054</v>
      </c>
      <c r="I6234" t="s">
        <v>47111</v>
      </c>
      <c r="J6234" t="s">
        <v>47112</v>
      </c>
      <c r="K6234" t="s">
        <v>47113</v>
      </c>
      <c r="L6234">
        <v>59.03</v>
      </c>
      <c r="M6234">
        <v>132</v>
      </c>
      <c r="N6234">
        <v>0</v>
      </c>
      <c r="O6234">
        <v>132</v>
      </c>
      <c r="P6234">
        <v>0</v>
      </c>
    </row>
    <row r="6235" spans="1:16" x14ac:dyDescent="0.25">
      <c r="A6235" t="s">
        <v>28651</v>
      </c>
      <c r="B6235" t="s">
        <v>5184</v>
      </c>
      <c r="C6235" t="s">
        <v>5181</v>
      </c>
      <c r="D6235" t="s">
        <v>2468</v>
      </c>
      <c r="E6235" t="s">
        <v>2469</v>
      </c>
      <c r="F6235" t="s">
        <v>2</v>
      </c>
      <c r="G6235" t="s">
        <v>16231</v>
      </c>
      <c r="H6235" t="s">
        <v>47054</v>
      </c>
      <c r="I6235" t="s">
        <v>47111</v>
      </c>
      <c r="J6235" t="s">
        <v>47112</v>
      </c>
      <c r="K6235" t="s">
        <v>47113</v>
      </c>
      <c r="L6235">
        <v>62.24</v>
      </c>
      <c r="M6235">
        <v>128</v>
      </c>
      <c r="N6235">
        <v>0</v>
      </c>
      <c r="O6235">
        <v>128</v>
      </c>
      <c r="P6235">
        <v>0</v>
      </c>
    </row>
    <row r="6236" spans="1:16" x14ac:dyDescent="0.25">
      <c r="A6236" t="s">
        <v>28652</v>
      </c>
      <c r="B6236" t="s">
        <v>5184</v>
      </c>
      <c r="C6236" t="s">
        <v>5181</v>
      </c>
      <c r="D6236" t="s">
        <v>2407</v>
      </c>
      <c r="E6236" t="s">
        <v>2408</v>
      </c>
      <c r="F6236" t="s">
        <v>2</v>
      </c>
      <c r="G6236" t="s">
        <v>16231</v>
      </c>
      <c r="H6236" t="s">
        <v>47054</v>
      </c>
      <c r="I6236" t="s">
        <v>47111</v>
      </c>
      <c r="J6236" t="s">
        <v>47112</v>
      </c>
      <c r="K6236" t="s">
        <v>47113</v>
      </c>
      <c r="L6236">
        <v>52.92</v>
      </c>
      <c r="M6236">
        <v>136</v>
      </c>
      <c r="N6236">
        <v>0</v>
      </c>
      <c r="O6236">
        <v>136</v>
      </c>
      <c r="P6236">
        <v>0</v>
      </c>
    </row>
    <row r="6237" spans="1:16" x14ac:dyDescent="0.25">
      <c r="A6237" t="s">
        <v>28653</v>
      </c>
      <c r="B6237" t="s">
        <v>5184</v>
      </c>
      <c r="C6237" t="s">
        <v>5181</v>
      </c>
      <c r="D6237" t="s">
        <v>1046</v>
      </c>
      <c r="E6237" t="s">
        <v>1047</v>
      </c>
      <c r="F6237" t="s">
        <v>2</v>
      </c>
      <c r="G6237" t="s">
        <v>16231</v>
      </c>
      <c r="H6237" t="s">
        <v>47054</v>
      </c>
      <c r="I6237" t="s">
        <v>47111</v>
      </c>
      <c r="J6237" t="s">
        <v>47112</v>
      </c>
      <c r="K6237" t="s">
        <v>47113</v>
      </c>
      <c r="L6237">
        <v>55.86</v>
      </c>
      <c r="M6237">
        <v>132</v>
      </c>
      <c r="N6237">
        <v>0</v>
      </c>
      <c r="O6237">
        <v>132</v>
      </c>
      <c r="P6237">
        <v>0</v>
      </c>
    </row>
    <row r="6238" spans="1:16" x14ac:dyDescent="0.25">
      <c r="A6238" t="s">
        <v>28654</v>
      </c>
      <c r="B6238" t="s">
        <v>5185</v>
      </c>
      <c r="C6238" t="s">
        <v>5181</v>
      </c>
      <c r="D6238" t="s">
        <v>2468</v>
      </c>
      <c r="E6238" t="s">
        <v>2469</v>
      </c>
      <c r="F6238" t="s">
        <v>2</v>
      </c>
      <c r="G6238" t="s">
        <v>16231</v>
      </c>
      <c r="H6238" t="s">
        <v>47054</v>
      </c>
      <c r="I6238" t="s">
        <v>47111</v>
      </c>
      <c r="J6238" t="s">
        <v>47112</v>
      </c>
      <c r="K6238" t="s">
        <v>47113</v>
      </c>
      <c r="L6238">
        <v>62.24</v>
      </c>
      <c r="M6238">
        <v>128</v>
      </c>
      <c r="N6238">
        <v>0</v>
      </c>
      <c r="O6238">
        <v>128</v>
      </c>
      <c r="P6238">
        <v>0</v>
      </c>
    </row>
    <row r="6239" spans="1:16" x14ac:dyDescent="0.25">
      <c r="A6239" t="s">
        <v>28655</v>
      </c>
      <c r="B6239" t="s">
        <v>5185</v>
      </c>
      <c r="C6239" t="s">
        <v>5181</v>
      </c>
      <c r="D6239" t="s">
        <v>2407</v>
      </c>
      <c r="E6239" t="s">
        <v>2408</v>
      </c>
      <c r="F6239" t="s">
        <v>2</v>
      </c>
      <c r="G6239" t="s">
        <v>16231</v>
      </c>
      <c r="H6239" t="s">
        <v>47054</v>
      </c>
      <c r="I6239" t="s">
        <v>47111</v>
      </c>
      <c r="J6239" t="s">
        <v>47112</v>
      </c>
      <c r="K6239" t="s">
        <v>47113</v>
      </c>
      <c r="L6239">
        <v>52.94</v>
      </c>
      <c r="M6239">
        <v>136</v>
      </c>
      <c r="N6239">
        <v>0</v>
      </c>
      <c r="O6239">
        <v>136</v>
      </c>
      <c r="P6239">
        <v>0</v>
      </c>
    </row>
    <row r="6240" spans="1:16" x14ac:dyDescent="0.25">
      <c r="A6240" t="s">
        <v>28656</v>
      </c>
      <c r="B6240" t="s">
        <v>5185</v>
      </c>
      <c r="C6240" t="s">
        <v>5181</v>
      </c>
      <c r="D6240" t="s">
        <v>1046</v>
      </c>
      <c r="E6240" t="s">
        <v>1047</v>
      </c>
      <c r="F6240" t="s">
        <v>2</v>
      </c>
      <c r="G6240" t="s">
        <v>16231</v>
      </c>
      <c r="H6240" t="s">
        <v>47054</v>
      </c>
      <c r="I6240" t="s">
        <v>47111</v>
      </c>
      <c r="J6240" t="s">
        <v>47112</v>
      </c>
      <c r="K6240" t="s">
        <v>47113</v>
      </c>
      <c r="L6240">
        <v>55.86</v>
      </c>
      <c r="M6240">
        <v>132</v>
      </c>
      <c r="N6240">
        <v>0</v>
      </c>
      <c r="O6240">
        <v>132</v>
      </c>
      <c r="P6240">
        <v>0</v>
      </c>
    </row>
    <row r="6241" spans="1:16" x14ac:dyDescent="0.25">
      <c r="A6241" t="s">
        <v>28657</v>
      </c>
      <c r="B6241" t="s">
        <v>5186</v>
      </c>
      <c r="C6241" t="s">
        <v>5181</v>
      </c>
      <c r="D6241" t="s">
        <v>2468</v>
      </c>
      <c r="E6241" t="s">
        <v>2469</v>
      </c>
      <c r="F6241" t="s">
        <v>2</v>
      </c>
      <c r="G6241" t="s">
        <v>16231</v>
      </c>
      <c r="I6241" t="s">
        <v>47111</v>
      </c>
      <c r="J6241" t="s">
        <v>47112</v>
      </c>
      <c r="K6241" t="s">
        <v>47113</v>
      </c>
      <c r="L6241">
        <v>60.7</v>
      </c>
      <c r="M6241">
        <v>128</v>
      </c>
      <c r="N6241">
        <v>0</v>
      </c>
      <c r="O6241">
        <v>128</v>
      </c>
      <c r="P6241">
        <v>0</v>
      </c>
    </row>
    <row r="6242" spans="1:16" x14ac:dyDescent="0.25">
      <c r="A6242" t="s">
        <v>28658</v>
      </c>
      <c r="B6242" t="s">
        <v>5186</v>
      </c>
      <c r="C6242" t="s">
        <v>5181</v>
      </c>
      <c r="D6242" t="s">
        <v>2407</v>
      </c>
      <c r="E6242" t="s">
        <v>2408</v>
      </c>
      <c r="F6242" t="s">
        <v>2</v>
      </c>
      <c r="G6242" t="s">
        <v>16231</v>
      </c>
      <c r="I6242" t="s">
        <v>47111</v>
      </c>
      <c r="J6242" t="s">
        <v>47112</v>
      </c>
      <c r="K6242" t="s">
        <v>47113</v>
      </c>
      <c r="L6242">
        <v>49.03</v>
      </c>
      <c r="M6242">
        <v>136</v>
      </c>
      <c r="N6242">
        <v>0</v>
      </c>
      <c r="O6242">
        <v>136</v>
      </c>
      <c r="P6242">
        <v>0</v>
      </c>
    </row>
    <row r="6243" spans="1:16" x14ac:dyDescent="0.25">
      <c r="A6243" t="s">
        <v>28659</v>
      </c>
      <c r="B6243" t="s">
        <v>5186</v>
      </c>
      <c r="C6243" t="s">
        <v>5181</v>
      </c>
      <c r="D6243" t="s">
        <v>1046</v>
      </c>
      <c r="E6243" t="s">
        <v>1047</v>
      </c>
      <c r="F6243" t="s">
        <v>2</v>
      </c>
      <c r="G6243" t="s">
        <v>16231</v>
      </c>
      <c r="I6243" t="s">
        <v>47111</v>
      </c>
      <c r="J6243" t="s">
        <v>47112</v>
      </c>
      <c r="K6243" t="s">
        <v>47113</v>
      </c>
      <c r="L6243">
        <v>59.03</v>
      </c>
      <c r="M6243">
        <v>132</v>
      </c>
      <c r="N6243">
        <v>0</v>
      </c>
      <c r="O6243">
        <v>132</v>
      </c>
      <c r="P6243">
        <v>0</v>
      </c>
    </row>
    <row r="6244" spans="1:16" x14ac:dyDescent="0.25">
      <c r="A6244" t="s">
        <v>28660</v>
      </c>
      <c r="B6244" t="s">
        <v>5187</v>
      </c>
      <c r="C6244" t="s">
        <v>5181</v>
      </c>
      <c r="D6244" t="s">
        <v>2468</v>
      </c>
      <c r="E6244" t="s">
        <v>2469</v>
      </c>
      <c r="F6244" t="s">
        <v>2</v>
      </c>
      <c r="G6244" t="s">
        <v>16231</v>
      </c>
      <c r="H6244" t="s">
        <v>47054</v>
      </c>
      <c r="I6244" t="s">
        <v>47111</v>
      </c>
      <c r="J6244" t="s">
        <v>47112</v>
      </c>
      <c r="K6244" t="s">
        <v>47113</v>
      </c>
      <c r="L6244">
        <v>62.07</v>
      </c>
      <c r="M6244">
        <v>128</v>
      </c>
      <c r="N6244">
        <v>0</v>
      </c>
      <c r="O6244">
        <v>128</v>
      </c>
      <c r="P6244">
        <v>0</v>
      </c>
    </row>
    <row r="6245" spans="1:16" x14ac:dyDescent="0.25">
      <c r="A6245" t="s">
        <v>28661</v>
      </c>
      <c r="B6245" t="s">
        <v>5187</v>
      </c>
      <c r="C6245" t="s">
        <v>5181</v>
      </c>
      <c r="D6245" t="s">
        <v>2407</v>
      </c>
      <c r="E6245" t="s">
        <v>2408</v>
      </c>
      <c r="F6245" t="s">
        <v>2</v>
      </c>
      <c r="G6245" t="s">
        <v>16231</v>
      </c>
      <c r="H6245" t="s">
        <v>47054</v>
      </c>
      <c r="I6245" t="s">
        <v>47111</v>
      </c>
      <c r="J6245" t="s">
        <v>47112</v>
      </c>
      <c r="K6245" t="s">
        <v>47113</v>
      </c>
      <c r="L6245">
        <v>52.02</v>
      </c>
      <c r="M6245">
        <v>136</v>
      </c>
      <c r="N6245">
        <v>0</v>
      </c>
      <c r="O6245">
        <v>136</v>
      </c>
      <c r="P6245">
        <v>0</v>
      </c>
    </row>
    <row r="6246" spans="1:16" x14ac:dyDescent="0.25">
      <c r="A6246" t="s">
        <v>28662</v>
      </c>
      <c r="B6246" t="s">
        <v>5187</v>
      </c>
      <c r="C6246" t="s">
        <v>5181</v>
      </c>
      <c r="D6246" t="s">
        <v>1046</v>
      </c>
      <c r="E6246" t="s">
        <v>1047</v>
      </c>
      <c r="F6246" t="s">
        <v>2</v>
      </c>
      <c r="G6246" t="s">
        <v>16231</v>
      </c>
      <c r="H6246" t="s">
        <v>47054</v>
      </c>
      <c r="I6246" t="s">
        <v>47111</v>
      </c>
      <c r="J6246" t="s">
        <v>47112</v>
      </c>
      <c r="K6246" t="s">
        <v>47113</v>
      </c>
      <c r="L6246">
        <v>55.86</v>
      </c>
      <c r="M6246">
        <v>132</v>
      </c>
      <c r="N6246">
        <v>0</v>
      </c>
      <c r="O6246">
        <v>132</v>
      </c>
      <c r="P6246">
        <v>0</v>
      </c>
    </row>
    <row r="6247" spans="1:16" x14ac:dyDescent="0.25">
      <c r="A6247" t="s">
        <v>28663</v>
      </c>
      <c r="B6247" t="s">
        <v>5188</v>
      </c>
      <c r="C6247" t="s">
        <v>5181</v>
      </c>
      <c r="D6247" t="s">
        <v>2468</v>
      </c>
      <c r="E6247" t="s">
        <v>2469</v>
      </c>
      <c r="F6247" t="s">
        <v>2</v>
      </c>
      <c r="G6247" t="s">
        <v>16231</v>
      </c>
      <c r="I6247" t="s">
        <v>47111</v>
      </c>
      <c r="J6247" t="s">
        <v>47112</v>
      </c>
      <c r="K6247" t="s">
        <v>47113</v>
      </c>
      <c r="L6247">
        <v>60.7</v>
      </c>
      <c r="M6247">
        <v>128</v>
      </c>
      <c r="N6247">
        <v>0</v>
      </c>
      <c r="O6247">
        <v>128</v>
      </c>
      <c r="P6247">
        <v>0</v>
      </c>
    </row>
    <row r="6248" spans="1:16" x14ac:dyDescent="0.25">
      <c r="A6248" t="s">
        <v>28664</v>
      </c>
      <c r="B6248" t="s">
        <v>5188</v>
      </c>
      <c r="C6248" t="s">
        <v>5181</v>
      </c>
      <c r="D6248" t="s">
        <v>2407</v>
      </c>
      <c r="E6248" t="s">
        <v>2408</v>
      </c>
      <c r="F6248" t="s">
        <v>2</v>
      </c>
      <c r="G6248" t="s">
        <v>16231</v>
      </c>
      <c r="I6248" t="s">
        <v>47111</v>
      </c>
      <c r="J6248" t="s">
        <v>47112</v>
      </c>
      <c r="K6248" t="s">
        <v>47113</v>
      </c>
      <c r="L6248">
        <v>49.03</v>
      </c>
      <c r="M6248">
        <v>136</v>
      </c>
      <c r="N6248">
        <v>0</v>
      </c>
      <c r="O6248">
        <v>136</v>
      </c>
      <c r="P6248">
        <v>0</v>
      </c>
    </row>
    <row r="6249" spans="1:16" x14ac:dyDescent="0.25">
      <c r="A6249" t="s">
        <v>28665</v>
      </c>
      <c r="B6249" t="s">
        <v>5188</v>
      </c>
      <c r="C6249" t="s">
        <v>5181</v>
      </c>
      <c r="D6249" t="s">
        <v>1046</v>
      </c>
      <c r="E6249" t="s">
        <v>1047</v>
      </c>
      <c r="F6249" t="s">
        <v>2</v>
      </c>
      <c r="G6249" t="s">
        <v>16231</v>
      </c>
      <c r="I6249" t="s">
        <v>47111</v>
      </c>
      <c r="J6249" t="s">
        <v>47112</v>
      </c>
      <c r="K6249" t="s">
        <v>47113</v>
      </c>
      <c r="L6249">
        <v>59.03</v>
      </c>
      <c r="M6249">
        <v>132</v>
      </c>
      <c r="N6249">
        <v>0</v>
      </c>
      <c r="O6249">
        <v>132</v>
      </c>
      <c r="P6249">
        <v>0</v>
      </c>
    </row>
    <row r="6250" spans="1:16" x14ac:dyDescent="0.25">
      <c r="A6250" t="s">
        <v>28666</v>
      </c>
      <c r="B6250" t="s">
        <v>5189</v>
      </c>
      <c r="C6250" t="s">
        <v>5190</v>
      </c>
      <c r="D6250" t="s">
        <v>2468</v>
      </c>
      <c r="E6250" t="s">
        <v>2469</v>
      </c>
      <c r="F6250" t="s">
        <v>2</v>
      </c>
      <c r="G6250" t="s">
        <v>16231</v>
      </c>
      <c r="I6250" t="s">
        <v>47111</v>
      </c>
      <c r="J6250" t="s">
        <v>47112</v>
      </c>
      <c r="K6250" t="s">
        <v>47113</v>
      </c>
      <c r="L6250">
        <v>60.7</v>
      </c>
      <c r="M6250">
        <v>128</v>
      </c>
      <c r="N6250">
        <v>0</v>
      </c>
      <c r="O6250">
        <v>128</v>
      </c>
      <c r="P6250">
        <v>0</v>
      </c>
    </row>
    <row r="6251" spans="1:16" x14ac:dyDescent="0.25">
      <c r="A6251" t="s">
        <v>28667</v>
      </c>
      <c r="B6251" t="s">
        <v>5189</v>
      </c>
      <c r="C6251" t="s">
        <v>5190</v>
      </c>
      <c r="D6251" t="s">
        <v>2407</v>
      </c>
      <c r="E6251" t="s">
        <v>2408</v>
      </c>
      <c r="F6251" t="s">
        <v>2</v>
      </c>
      <c r="G6251" t="s">
        <v>16231</v>
      </c>
      <c r="I6251" t="s">
        <v>47111</v>
      </c>
      <c r="J6251" t="s">
        <v>47112</v>
      </c>
      <c r="K6251" t="s">
        <v>47113</v>
      </c>
      <c r="L6251">
        <v>49.03</v>
      </c>
      <c r="M6251">
        <v>136</v>
      </c>
      <c r="N6251">
        <v>0</v>
      </c>
      <c r="O6251">
        <v>136</v>
      </c>
      <c r="P6251">
        <v>0</v>
      </c>
    </row>
    <row r="6252" spans="1:16" x14ac:dyDescent="0.25">
      <c r="A6252" t="s">
        <v>28668</v>
      </c>
      <c r="B6252" t="s">
        <v>5189</v>
      </c>
      <c r="C6252" t="s">
        <v>5190</v>
      </c>
      <c r="D6252" t="s">
        <v>1046</v>
      </c>
      <c r="E6252" t="s">
        <v>1047</v>
      </c>
      <c r="F6252" t="s">
        <v>2</v>
      </c>
      <c r="G6252" t="s">
        <v>16231</v>
      </c>
      <c r="I6252" t="s">
        <v>47111</v>
      </c>
      <c r="J6252" t="s">
        <v>47112</v>
      </c>
      <c r="K6252" t="s">
        <v>47113</v>
      </c>
      <c r="L6252">
        <v>59.03</v>
      </c>
      <c r="M6252">
        <v>132</v>
      </c>
      <c r="N6252">
        <v>0</v>
      </c>
      <c r="O6252">
        <v>132</v>
      </c>
      <c r="P6252">
        <v>0</v>
      </c>
    </row>
    <row r="6253" spans="1:16" x14ac:dyDescent="0.25">
      <c r="A6253" t="s">
        <v>28669</v>
      </c>
      <c r="B6253" t="s">
        <v>5191</v>
      </c>
      <c r="C6253" t="s">
        <v>5190</v>
      </c>
      <c r="D6253" t="s">
        <v>2468</v>
      </c>
      <c r="E6253" t="s">
        <v>2469</v>
      </c>
      <c r="F6253" t="s">
        <v>2</v>
      </c>
      <c r="G6253" t="s">
        <v>16231</v>
      </c>
      <c r="H6253" t="s">
        <v>47054</v>
      </c>
      <c r="I6253" t="s">
        <v>47111</v>
      </c>
      <c r="J6253" t="s">
        <v>47112</v>
      </c>
      <c r="K6253" t="s">
        <v>47113</v>
      </c>
      <c r="L6253">
        <v>62.24</v>
      </c>
      <c r="M6253">
        <v>128</v>
      </c>
      <c r="N6253">
        <v>0</v>
      </c>
      <c r="O6253">
        <v>128</v>
      </c>
      <c r="P6253">
        <v>0</v>
      </c>
    </row>
    <row r="6254" spans="1:16" x14ac:dyDescent="0.25">
      <c r="A6254" t="s">
        <v>28670</v>
      </c>
      <c r="B6254" t="s">
        <v>5191</v>
      </c>
      <c r="C6254" t="s">
        <v>5190</v>
      </c>
      <c r="D6254" t="s">
        <v>2407</v>
      </c>
      <c r="E6254" t="s">
        <v>2408</v>
      </c>
      <c r="F6254" t="s">
        <v>2</v>
      </c>
      <c r="G6254" t="s">
        <v>16231</v>
      </c>
      <c r="H6254" t="s">
        <v>47054</v>
      </c>
      <c r="I6254" t="s">
        <v>47111</v>
      </c>
      <c r="J6254" t="s">
        <v>47112</v>
      </c>
      <c r="K6254" t="s">
        <v>47113</v>
      </c>
      <c r="L6254">
        <v>52.02</v>
      </c>
      <c r="M6254">
        <v>136</v>
      </c>
      <c r="N6254">
        <v>0</v>
      </c>
      <c r="O6254">
        <v>136</v>
      </c>
      <c r="P6254">
        <v>0</v>
      </c>
    </row>
    <row r="6255" spans="1:16" x14ac:dyDescent="0.25">
      <c r="A6255" t="s">
        <v>28671</v>
      </c>
      <c r="B6255" t="s">
        <v>5191</v>
      </c>
      <c r="C6255" t="s">
        <v>5190</v>
      </c>
      <c r="D6255" t="s">
        <v>1046</v>
      </c>
      <c r="E6255" t="s">
        <v>1047</v>
      </c>
      <c r="F6255" t="s">
        <v>2</v>
      </c>
      <c r="G6255" t="s">
        <v>16231</v>
      </c>
      <c r="H6255" t="s">
        <v>47054</v>
      </c>
      <c r="I6255" t="s">
        <v>47111</v>
      </c>
      <c r="J6255" t="s">
        <v>47112</v>
      </c>
      <c r="K6255" t="s">
        <v>47113</v>
      </c>
      <c r="L6255">
        <v>55.86</v>
      </c>
      <c r="M6255">
        <v>132</v>
      </c>
      <c r="N6255">
        <v>0</v>
      </c>
      <c r="O6255">
        <v>132</v>
      </c>
      <c r="P6255">
        <v>0</v>
      </c>
    </row>
    <row r="6256" spans="1:16" x14ac:dyDescent="0.25">
      <c r="A6256" t="s">
        <v>28672</v>
      </c>
      <c r="B6256" t="s">
        <v>5192</v>
      </c>
      <c r="C6256" t="s">
        <v>5190</v>
      </c>
      <c r="D6256" t="s">
        <v>2468</v>
      </c>
      <c r="E6256" t="s">
        <v>2469</v>
      </c>
      <c r="F6256" t="s">
        <v>2</v>
      </c>
      <c r="G6256" t="s">
        <v>16231</v>
      </c>
      <c r="I6256" t="s">
        <v>47111</v>
      </c>
      <c r="J6256" t="s">
        <v>47112</v>
      </c>
      <c r="K6256" t="s">
        <v>47113</v>
      </c>
      <c r="L6256">
        <v>60.7</v>
      </c>
      <c r="M6256">
        <v>128</v>
      </c>
      <c r="N6256">
        <v>0</v>
      </c>
      <c r="O6256">
        <v>128</v>
      </c>
      <c r="P6256">
        <v>0</v>
      </c>
    </row>
    <row r="6257" spans="1:16" x14ac:dyDescent="0.25">
      <c r="A6257" t="s">
        <v>28673</v>
      </c>
      <c r="B6257" t="s">
        <v>5192</v>
      </c>
      <c r="C6257" t="s">
        <v>5190</v>
      </c>
      <c r="D6257" t="s">
        <v>2407</v>
      </c>
      <c r="E6257" t="s">
        <v>2408</v>
      </c>
      <c r="F6257" t="s">
        <v>2</v>
      </c>
      <c r="G6257" t="s">
        <v>16231</v>
      </c>
      <c r="I6257" t="s">
        <v>47111</v>
      </c>
      <c r="J6257" t="s">
        <v>47112</v>
      </c>
      <c r="K6257" t="s">
        <v>47113</v>
      </c>
      <c r="L6257">
        <v>49.03</v>
      </c>
      <c r="M6257">
        <v>136</v>
      </c>
      <c r="N6257">
        <v>0</v>
      </c>
      <c r="O6257">
        <v>136</v>
      </c>
      <c r="P6257">
        <v>0</v>
      </c>
    </row>
    <row r="6258" spans="1:16" x14ac:dyDescent="0.25">
      <c r="A6258" t="s">
        <v>28674</v>
      </c>
      <c r="B6258" t="s">
        <v>5192</v>
      </c>
      <c r="C6258" t="s">
        <v>5190</v>
      </c>
      <c r="D6258" t="s">
        <v>1046</v>
      </c>
      <c r="E6258" t="s">
        <v>1047</v>
      </c>
      <c r="F6258" t="s">
        <v>2</v>
      </c>
      <c r="G6258" t="s">
        <v>16231</v>
      </c>
      <c r="I6258" t="s">
        <v>47111</v>
      </c>
      <c r="J6258" t="s">
        <v>47112</v>
      </c>
      <c r="K6258" t="s">
        <v>47113</v>
      </c>
      <c r="L6258">
        <v>59.03</v>
      </c>
      <c r="M6258">
        <v>132</v>
      </c>
      <c r="N6258">
        <v>0</v>
      </c>
      <c r="O6258">
        <v>132</v>
      </c>
      <c r="P6258">
        <v>0</v>
      </c>
    </row>
    <row r="6259" spans="1:16" x14ac:dyDescent="0.25">
      <c r="A6259" t="s">
        <v>28675</v>
      </c>
      <c r="B6259" t="s">
        <v>5193</v>
      </c>
      <c r="C6259" t="s">
        <v>5190</v>
      </c>
      <c r="D6259" t="s">
        <v>2468</v>
      </c>
      <c r="E6259" t="s">
        <v>2469</v>
      </c>
      <c r="F6259" t="s">
        <v>2</v>
      </c>
      <c r="G6259" t="s">
        <v>16231</v>
      </c>
      <c r="H6259" t="s">
        <v>47054</v>
      </c>
      <c r="I6259" t="s">
        <v>47111</v>
      </c>
      <c r="J6259" t="s">
        <v>47112</v>
      </c>
      <c r="K6259" t="s">
        <v>47113</v>
      </c>
      <c r="L6259">
        <v>60.7</v>
      </c>
      <c r="M6259">
        <v>128</v>
      </c>
      <c r="N6259">
        <v>0</v>
      </c>
      <c r="O6259">
        <v>128</v>
      </c>
      <c r="P6259">
        <v>0</v>
      </c>
    </row>
    <row r="6260" spans="1:16" x14ac:dyDescent="0.25">
      <c r="A6260" t="s">
        <v>28676</v>
      </c>
      <c r="B6260" t="s">
        <v>5193</v>
      </c>
      <c r="C6260" t="s">
        <v>5190</v>
      </c>
      <c r="D6260" t="s">
        <v>2407</v>
      </c>
      <c r="E6260" t="s">
        <v>2408</v>
      </c>
      <c r="F6260" t="s">
        <v>2</v>
      </c>
      <c r="G6260" t="s">
        <v>16231</v>
      </c>
      <c r="H6260" t="s">
        <v>47054</v>
      </c>
      <c r="I6260" t="s">
        <v>47111</v>
      </c>
      <c r="J6260" t="s">
        <v>47112</v>
      </c>
      <c r="K6260" t="s">
        <v>47113</v>
      </c>
      <c r="L6260">
        <v>52.92</v>
      </c>
      <c r="M6260">
        <v>136</v>
      </c>
      <c r="N6260">
        <v>0</v>
      </c>
      <c r="O6260">
        <v>136</v>
      </c>
      <c r="P6260">
        <v>0</v>
      </c>
    </row>
    <row r="6261" spans="1:16" x14ac:dyDescent="0.25">
      <c r="A6261" t="s">
        <v>28677</v>
      </c>
      <c r="B6261" t="s">
        <v>5193</v>
      </c>
      <c r="C6261" t="s">
        <v>5190</v>
      </c>
      <c r="D6261" t="s">
        <v>1046</v>
      </c>
      <c r="E6261" t="s">
        <v>1047</v>
      </c>
      <c r="F6261" t="s">
        <v>2</v>
      </c>
      <c r="G6261" t="s">
        <v>16231</v>
      </c>
      <c r="H6261" t="s">
        <v>47054</v>
      </c>
      <c r="I6261" t="s">
        <v>47111</v>
      </c>
      <c r="J6261" t="s">
        <v>47112</v>
      </c>
      <c r="K6261" t="s">
        <v>47113</v>
      </c>
      <c r="L6261">
        <v>59.03</v>
      </c>
      <c r="M6261">
        <v>132</v>
      </c>
      <c r="N6261">
        <v>0</v>
      </c>
      <c r="O6261">
        <v>132</v>
      </c>
      <c r="P6261">
        <v>0</v>
      </c>
    </row>
    <row r="6262" spans="1:16" x14ac:dyDescent="0.25">
      <c r="A6262" t="s">
        <v>28678</v>
      </c>
      <c r="B6262" t="s">
        <v>5194</v>
      </c>
      <c r="C6262" t="s">
        <v>5195</v>
      </c>
      <c r="D6262" t="s">
        <v>2042</v>
      </c>
      <c r="E6262" t="s">
        <v>2043</v>
      </c>
      <c r="F6262" t="s">
        <v>3</v>
      </c>
      <c r="G6262" t="s">
        <v>16231</v>
      </c>
      <c r="H6262" t="s">
        <v>47054</v>
      </c>
      <c r="I6262" t="s">
        <v>47111</v>
      </c>
      <c r="J6262" t="s">
        <v>47112</v>
      </c>
      <c r="K6262" t="s">
        <v>47113</v>
      </c>
      <c r="L6262">
        <v>57.01</v>
      </c>
      <c r="M6262">
        <v>125</v>
      </c>
      <c r="N6262">
        <v>0</v>
      </c>
      <c r="O6262">
        <v>125</v>
      </c>
      <c r="P6262">
        <v>0</v>
      </c>
    </row>
    <row r="6263" spans="1:16" x14ac:dyDescent="0.25">
      <c r="A6263" t="s">
        <v>28679</v>
      </c>
      <c r="B6263" t="s">
        <v>5196</v>
      </c>
      <c r="C6263" t="s">
        <v>5197</v>
      </c>
      <c r="D6263" t="s">
        <v>2040</v>
      </c>
      <c r="E6263" t="s">
        <v>2041</v>
      </c>
      <c r="F6263" t="s">
        <v>3</v>
      </c>
      <c r="G6263" t="s">
        <v>16231</v>
      </c>
      <c r="H6263" t="s">
        <v>47054</v>
      </c>
      <c r="I6263" t="s">
        <v>47111</v>
      </c>
      <c r="J6263" t="s">
        <v>47112</v>
      </c>
      <c r="K6263" t="s">
        <v>47113</v>
      </c>
      <c r="L6263">
        <v>60.97</v>
      </c>
      <c r="M6263">
        <v>130</v>
      </c>
      <c r="N6263">
        <v>0</v>
      </c>
      <c r="O6263">
        <v>130</v>
      </c>
      <c r="P6263">
        <v>0</v>
      </c>
    </row>
    <row r="6264" spans="1:16" x14ac:dyDescent="0.25">
      <c r="A6264" t="s">
        <v>28680</v>
      </c>
      <c r="B6264" t="s">
        <v>5196</v>
      </c>
      <c r="C6264" t="s">
        <v>5197</v>
      </c>
      <c r="D6264" t="s">
        <v>2042</v>
      </c>
      <c r="E6264" t="s">
        <v>2043</v>
      </c>
      <c r="F6264" t="s">
        <v>3</v>
      </c>
      <c r="G6264" t="s">
        <v>16231</v>
      </c>
      <c r="H6264" t="s">
        <v>47054</v>
      </c>
      <c r="I6264" t="s">
        <v>47111</v>
      </c>
      <c r="J6264" t="s">
        <v>47112</v>
      </c>
      <c r="K6264" t="s">
        <v>47113</v>
      </c>
      <c r="L6264">
        <v>56.58</v>
      </c>
      <c r="M6264">
        <v>125</v>
      </c>
      <c r="N6264">
        <v>0</v>
      </c>
      <c r="O6264">
        <v>125</v>
      </c>
      <c r="P6264">
        <v>0</v>
      </c>
    </row>
    <row r="6265" spans="1:16" x14ac:dyDescent="0.25">
      <c r="A6265" t="s">
        <v>28681</v>
      </c>
      <c r="B6265" t="s">
        <v>5198</v>
      </c>
      <c r="C6265" t="s">
        <v>5199</v>
      </c>
      <c r="D6265" t="s">
        <v>2399</v>
      </c>
      <c r="E6265" t="s">
        <v>2400</v>
      </c>
      <c r="F6265" t="s">
        <v>5</v>
      </c>
      <c r="G6265" t="s">
        <v>16231</v>
      </c>
      <c r="H6265" t="s">
        <v>47054</v>
      </c>
      <c r="I6265" t="s">
        <v>47111</v>
      </c>
      <c r="J6265" t="s">
        <v>47112</v>
      </c>
      <c r="K6265" t="s">
        <v>47113</v>
      </c>
      <c r="L6265">
        <v>35.369999999999997</v>
      </c>
      <c r="M6265">
        <v>77</v>
      </c>
      <c r="N6265">
        <v>0</v>
      </c>
      <c r="O6265">
        <v>77</v>
      </c>
      <c r="P6265">
        <v>0</v>
      </c>
    </row>
    <row r="6266" spans="1:16" x14ac:dyDescent="0.25">
      <c r="A6266" t="s">
        <v>28682</v>
      </c>
      <c r="B6266" t="s">
        <v>5198</v>
      </c>
      <c r="C6266" t="s">
        <v>5199</v>
      </c>
      <c r="D6266" t="s">
        <v>311</v>
      </c>
      <c r="E6266" t="s">
        <v>3479</v>
      </c>
      <c r="F6266" t="s">
        <v>5</v>
      </c>
      <c r="G6266" t="s">
        <v>16231</v>
      </c>
      <c r="H6266" t="s">
        <v>47054</v>
      </c>
      <c r="I6266" t="s">
        <v>47111</v>
      </c>
      <c r="J6266" t="s">
        <v>47112</v>
      </c>
      <c r="K6266" t="s">
        <v>47113</v>
      </c>
      <c r="L6266">
        <v>29.18</v>
      </c>
      <c r="M6266">
        <v>69</v>
      </c>
      <c r="N6266">
        <v>0</v>
      </c>
      <c r="O6266">
        <v>69</v>
      </c>
      <c r="P6266">
        <v>0</v>
      </c>
    </row>
    <row r="6267" spans="1:16" x14ac:dyDescent="0.25">
      <c r="A6267" t="s">
        <v>28683</v>
      </c>
      <c r="B6267" t="s">
        <v>5198</v>
      </c>
      <c r="C6267" t="s">
        <v>5199</v>
      </c>
      <c r="D6267" t="s">
        <v>921</v>
      </c>
      <c r="E6267" t="s">
        <v>922</v>
      </c>
      <c r="F6267" t="s">
        <v>5</v>
      </c>
      <c r="G6267" t="s">
        <v>16231</v>
      </c>
      <c r="H6267" t="s">
        <v>47054</v>
      </c>
      <c r="I6267" t="s">
        <v>47111</v>
      </c>
      <c r="J6267" t="s">
        <v>47112</v>
      </c>
      <c r="K6267" t="s">
        <v>47113</v>
      </c>
      <c r="L6267">
        <v>34.799999999999997</v>
      </c>
      <c r="M6267">
        <v>77</v>
      </c>
      <c r="N6267">
        <v>0</v>
      </c>
      <c r="O6267">
        <v>77</v>
      </c>
      <c r="P6267">
        <v>0</v>
      </c>
    </row>
    <row r="6268" spans="1:16" x14ac:dyDescent="0.25">
      <c r="A6268" t="s">
        <v>28684</v>
      </c>
      <c r="B6268" t="s">
        <v>5200</v>
      </c>
      <c r="C6268" t="s">
        <v>5201</v>
      </c>
      <c r="D6268" t="s">
        <v>4888</v>
      </c>
      <c r="E6268" t="s">
        <v>4889</v>
      </c>
      <c r="F6268" t="s">
        <v>5</v>
      </c>
      <c r="G6268" t="s">
        <v>16231</v>
      </c>
      <c r="H6268" t="s">
        <v>47054</v>
      </c>
      <c r="I6268" t="s">
        <v>47111</v>
      </c>
      <c r="J6268" t="s">
        <v>47112</v>
      </c>
      <c r="K6268" t="s">
        <v>47113</v>
      </c>
      <c r="L6268">
        <v>52.35</v>
      </c>
      <c r="M6268">
        <v>123</v>
      </c>
      <c r="N6268">
        <v>0</v>
      </c>
      <c r="O6268">
        <v>123</v>
      </c>
      <c r="P6268">
        <v>0</v>
      </c>
    </row>
    <row r="6269" spans="1:16" x14ac:dyDescent="0.25">
      <c r="A6269" t="s">
        <v>28685</v>
      </c>
      <c r="B6269" t="s">
        <v>5200</v>
      </c>
      <c r="C6269" t="s">
        <v>5201</v>
      </c>
      <c r="D6269" t="s">
        <v>739</v>
      </c>
      <c r="E6269" t="s">
        <v>740</v>
      </c>
      <c r="F6269" t="s">
        <v>5</v>
      </c>
      <c r="G6269" t="s">
        <v>16231</v>
      </c>
      <c r="H6269" t="s">
        <v>47054</v>
      </c>
      <c r="I6269" t="s">
        <v>47111</v>
      </c>
      <c r="J6269" t="s">
        <v>47112</v>
      </c>
      <c r="K6269" t="s">
        <v>47113</v>
      </c>
      <c r="L6269">
        <v>40.64</v>
      </c>
      <c r="M6269">
        <v>96</v>
      </c>
      <c r="N6269">
        <v>0</v>
      </c>
      <c r="O6269">
        <v>96</v>
      </c>
      <c r="P6269">
        <v>0</v>
      </c>
    </row>
    <row r="6270" spans="1:16" x14ac:dyDescent="0.25">
      <c r="A6270" t="s">
        <v>28686</v>
      </c>
      <c r="B6270" t="s">
        <v>5202</v>
      </c>
      <c r="C6270" t="s">
        <v>5203</v>
      </c>
      <c r="D6270" t="s">
        <v>4892</v>
      </c>
      <c r="E6270" t="s">
        <v>4983</v>
      </c>
      <c r="F6270" t="s">
        <v>5</v>
      </c>
      <c r="G6270" t="s">
        <v>16231</v>
      </c>
      <c r="H6270" t="s">
        <v>47054</v>
      </c>
      <c r="I6270" t="s">
        <v>47111</v>
      </c>
      <c r="J6270" t="s">
        <v>47112</v>
      </c>
      <c r="K6270" t="s">
        <v>47113</v>
      </c>
      <c r="L6270">
        <v>50.27</v>
      </c>
      <c r="M6270">
        <v>115</v>
      </c>
      <c r="N6270">
        <v>0</v>
      </c>
      <c r="O6270">
        <v>115</v>
      </c>
      <c r="P6270">
        <v>0</v>
      </c>
    </row>
    <row r="6271" spans="1:16" x14ac:dyDescent="0.25">
      <c r="A6271" t="s">
        <v>28687</v>
      </c>
      <c r="B6271" t="s">
        <v>5202</v>
      </c>
      <c r="C6271" t="s">
        <v>5203</v>
      </c>
      <c r="D6271" t="s">
        <v>1734</v>
      </c>
      <c r="E6271" t="s">
        <v>1735</v>
      </c>
      <c r="F6271" t="s">
        <v>5</v>
      </c>
      <c r="G6271" t="s">
        <v>16231</v>
      </c>
      <c r="H6271" t="s">
        <v>47054</v>
      </c>
      <c r="I6271" t="s">
        <v>47111</v>
      </c>
      <c r="J6271" t="s">
        <v>47112</v>
      </c>
      <c r="K6271" t="s">
        <v>47113</v>
      </c>
      <c r="L6271">
        <v>47.57</v>
      </c>
      <c r="M6271">
        <v>107</v>
      </c>
      <c r="N6271">
        <v>0</v>
      </c>
      <c r="O6271">
        <v>107</v>
      </c>
      <c r="P6271">
        <v>0</v>
      </c>
    </row>
    <row r="6272" spans="1:16" x14ac:dyDescent="0.25">
      <c r="A6272" t="s">
        <v>28688</v>
      </c>
      <c r="B6272" t="s">
        <v>5204</v>
      </c>
      <c r="C6272" t="s">
        <v>5205</v>
      </c>
      <c r="D6272" t="s">
        <v>4896</v>
      </c>
      <c r="E6272" t="s">
        <v>4897</v>
      </c>
      <c r="F6272" t="s">
        <v>5</v>
      </c>
      <c r="G6272" t="s">
        <v>16231</v>
      </c>
      <c r="H6272" t="s">
        <v>47054</v>
      </c>
      <c r="I6272" t="s">
        <v>47111</v>
      </c>
      <c r="J6272" t="s">
        <v>47112</v>
      </c>
      <c r="K6272" t="s">
        <v>47113</v>
      </c>
      <c r="L6272">
        <v>59.88</v>
      </c>
      <c r="M6272">
        <v>134</v>
      </c>
      <c r="N6272">
        <v>0</v>
      </c>
      <c r="O6272">
        <v>134</v>
      </c>
      <c r="P6272">
        <v>0</v>
      </c>
    </row>
    <row r="6273" spans="1:16" x14ac:dyDescent="0.25">
      <c r="A6273" t="s">
        <v>28689</v>
      </c>
      <c r="B6273" t="s">
        <v>5204</v>
      </c>
      <c r="C6273" t="s">
        <v>5205</v>
      </c>
      <c r="D6273" t="s">
        <v>2079</v>
      </c>
      <c r="E6273" t="s">
        <v>2080</v>
      </c>
      <c r="F6273" t="s">
        <v>5</v>
      </c>
      <c r="G6273" t="s">
        <v>16231</v>
      </c>
      <c r="H6273" t="s">
        <v>47054</v>
      </c>
      <c r="I6273" t="s">
        <v>47111</v>
      </c>
      <c r="J6273" t="s">
        <v>47112</v>
      </c>
      <c r="K6273" t="s">
        <v>47113</v>
      </c>
      <c r="L6273">
        <v>53.56</v>
      </c>
      <c r="M6273">
        <v>123</v>
      </c>
      <c r="N6273">
        <v>0</v>
      </c>
      <c r="O6273">
        <v>123</v>
      </c>
      <c r="P6273">
        <v>0</v>
      </c>
    </row>
    <row r="6274" spans="1:16" x14ac:dyDescent="0.25">
      <c r="A6274" t="s">
        <v>28690</v>
      </c>
      <c r="B6274" t="s">
        <v>5206</v>
      </c>
      <c r="C6274" t="s">
        <v>5207</v>
      </c>
      <c r="D6274" t="s">
        <v>4896</v>
      </c>
      <c r="E6274" t="s">
        <v>4897</v>
      </c>
      <c r="F6274" t="s">
        <v>5</v>
      </c>
      <c r="G6274" t="s">
        <v>16231</v>
      </c>
      <c r="H6274" t="s">
        <v>47054</v>
      </c>
      <c r="I6274" t="s">
        <v>47111</v>
      </c>
      <c r="J6274" t="s">
        <v>47112</v>
      </c>
      <c r="K6274" t="s">
        <v>47113</v>
      </c>
      <c r="L6274">
        <v>58.78</v>
      </c>
      <c r="M6274">
        <v>134</v>
      </c>
      <c r="N6274">
        <v>0</v>
      </c>
      <c r="O6274">
        <v>134</v>
      </c>
      <c r="P6274">
        <v>0</v>
      </c>
    </row>
    <row r="6275" spans="1:16" x14ac:dyDescent="0.25">
      <c r="A6275" t="s">
        <v>28691</v>
      </c>
      <c r="B6275" t="s">
        <v>5206</v>
      </c>
      <c r="C6275" t="s">
        <v>5207</v>
      </c>
      <c r="D6275" t="s">
        <v>2079</v>
      </c>
      <c r="E6275" t="s">
        <v>2080</v>
      </c>
      <c r="F6275" t="s">
        <v>5</v>
      </c>
      <c r="G6275" t="s">
        <v>16231</v>
      </c>
      <c r="H6275" t="s">
        <v>47054</v>
      </c>
      <c r="I6275" t="s">
        <v>47111</v>
      </c>
      <c r="J6275" t="s">
        <v>47112</v>
      </c>
      <c r="K6275" t="s">
        <v>47113</v>
      </c>
      <c r="L6275">
        <v>51.65</v>
      </c>
      <c r="M6275">
        <v>123</v>
      </c>
      <c r="N6275">
        <v>0</v>
      </c>
      <c r="O6275">
        <v>123</v>
      </c>
      <c r="P6275">
        <v>0</v>
      </c>
    </row>
    <row r="6276" spans="1:16" x14ac:dyDescent="0.25">
      <c r="A6276" t="s">
        <v>28692</v>
      </c>
      <c r="B6276" t="s">
        <v>5208</v>
      </c>
      <c r="C6276" t="s">
        <v>5209</v>
      </c>
      <c r="D6276" t="s">
        <v>721</v>
      </c>
      <c r="E6276" t="s">
        <v>722</v>
      </c>
      <c r="F6276" t="s">
        <v>8</v>
      </c>
      <c r="G6276" t="s">
        <v>16231</v>
      </c>
      <c r="H6276" t="s">
        <v>47054</v>
      </c>
      <c r="I6276" t="s">
        <v>47111</v>
      </c>
      <c r="J6276" t="s">
        <v>47112</v>
      </c>
      <c r="K6276" t="s">
        <v>47113</v>
      </c>
      <c r="L6276">
        <v>30.6</v>
      </c>
      <c r="M6276">
        <v>91</v>
      </c>
      <c r="N6276">
        <v>0</v>
      </c>
      <c r="O6276">
        <v>91</v>
      </c>
      <c r="P6276">
        <v>0</v>
      </c>
    </row>
    <row r="6277" spans="1:16" x14ac:dyDescent="0.25">
      <c r="A6277" t="s">
        <v>28693</v>
      </c>
      <c r="B6277" t="s">
        <v>5208</v>
      </c>
      <c r="C6277" t="s">
        <v>5209</v>
      </c>
      <c r="D6277" t="s">
        <v>1703</v>
      </c>
      <c r="E6277" t="s">
        <v>1704</v>
      </c>
      <c r="F6277" t="s">
        <v>8</v>
      </c>
      <c r="G6277" t="s">
        <v>16231</v>
      </c>
      <c r="H6277" t="s">
        <v>47054</v>
      </c>
      <c r="I6277" t="s">
        <v>47111</v>
      </c>
      <c r="J6277" t="s">
        <v>47112</v>
      </c>
      <c r="K6277" t="s">
        <v>47113</v>
      </c>
      <c r="L6277">
        <v>39.28</v>
      </c>
      <c r="M6277">
        <v>113</v>
      </c>
      <c r="N6277">
        <v>0</v>
      </c>
      <c r="O6277">
        <v>113</v>
      </c>
      <c r="P6277">
        <v>0</v>
      </c>
    </row>
    <row r="6278" spans="1:16" x14ac:dyDescent="0.25">
      <c r="A6278" t="s">
        <v>28694</v>
      </c>
      <c r="B6278" t="s">
        <v>5208</v>
      </c>
      <c r="C6278" t="s">
        <v>5209</v>
      </c>
      <c r="D6278" t="s">
        <v>1722</v>
      </c>
      <c r="E6278" t="s">
        <v>1723</v>
      </c>
      <c r="F6278" t="s">
        <v>8</v>
      </c>
      <c r="G6278" t="s">
        <v>16231</v>
      </c>
      <c r="H6278" t="s">
        <v>47054</v>
      </c>
      <c r="I6278" t="s">
        <v>47111</v>
      </c>
      <c r="J6278" t="s">
        <v>47112</v>
      </c>
      <c r="K6278" t="s">
        <v>47113</v>
      </c>
      <c r="L6278">
        <v>42.88</v>
      </c>
      <c r="M6278">
        <v>127</v>
      </c>
      <c r="N6278">
        <v>0</v>
      </c>
      <c r="O6278">
        <v>127</v>
      </c>
      <c r="P6278">
        <v>0</v>
      </c>
    </row>
    <row r="6279" spans="1:16" x14ac:dyDescent="0.25">
      <c r="A6279" t="s">
        <v>28695</v>
      </c>
      <c r="B6279" t="s">
        <v>5210</v>
      </c>
      <c r="C6279" t="s">
        <v>5211</v>
      </c>
      <c r="D6279" t="s">
        <v>3518</v>
      </c>
      <c r="E6279" t="s">
        <v>3519</v>
      </c>
      <c r="F6279" t="s">
        <v>4</v>
      </c>
      <c r="G6279" t="s">
        <v>16231</v>
      </c>
      <c r="H6279" t="s">
        <v>47054</v>
      </c>
      <c r="I6279" t="s">
        <v>47111</v>
      </c>
      <c r="J6279" t="s">
        <v>47112</v>
      </c>
      <c r="K6279" t="s">
        <v>47113</v>
      </c>
      <c r="L6279">
        <v>61.35</v>
      </c>
      <c r="M6279">
        <v>138</v>
      </c>
      <c r="N6279">
        <v>0</v>
      </c>
      <c r="O6279">
        <v>138</v>
      </c>
      <c r="P6279">
        <v>0</v>
      </c>
    </row>
    <row r="6280" spans="1:16" x14ac:dyDescent="0.25">
      <c r="A6280" t="s">
        <v>28696</v>
      </c>
      <c r="B6280" t="s">
        <v>5210</v>
      </c>
      <c r="C6280" t="s">
        <v>5211</v>
      </c>
      <c r="D6280" t="s">
        <v>4830</v>
      </c>
      <c r="E6280" t="s">
        <v>4831</v>
      </c>
      <c r="F6280" t="s">
        <v>4</v>
      </c>
      <c r="G6280" t="s">
        <v>16231</v>
      </c>
      <c r="H6280" t="s">
        <v>47054</v>
      </c>
      <c r="I6280" t="s">
        <v>47111</v>
      </c>
      <c r="J6280" t="s">
        <v>47112</v>
      </c>
      <c r="K6280" t="s">
        <v>47113</v>
      </c>
      <c r="L6280">
        <v>62.5</v>
      </c>
      <c r="M6280">
        <v>138</v>
      </c>
      <c r="N6280">
        <v>0</v>
      </c>
      <c r="O6280">
        <v>138</v>
      </c>
      <c r="P6280">
        <v>0</v>
      </c>
    </row>
    <row r="6281" spans="1:16" x14ac:dyDescent="0.25">
      <c r="A6281" t="s">
        <v>28697</v>
      </c>
      <c r="B6281" t="s">
        <v>5212</v>
      </c>
      <c r="C6281" t="s">
        <v>5213</v>
      </c>
      <c r="D6281" t="s">
        <v>2450</v>
      </c>
      <c r="E6281" t="s">
        <v>2451</v>
      </c>
      <c r="F6281" t="s">
        <v>4</v>
      </c>
      <c r="G6281" t="s">
        <v>16231</v>
      </c>
      <c r="H6281" t="s">
        <v>47054</v>
      </c>
      <c r="I6281" t="s">
        <v>47111</v>
      </c>
      <c r="J6281" t="s">
        <v>47112</v>
      </c>
      <c r="K6281" t="s">
        <v>47113</v>
      </c>
      <c r="L6281">
        <v>61.92</v>
      </c>
      <c r="M6281">
        <v>149</v>
      </c>
      <c r="N6281">
        <v>0</v>
      </c>
      <c r="O6281">
        <v>149</v>
      </c>
      <c r="P6281">
        <v>0</v>
      </c>
    </row>
    <row r="6282" spans="1:16" x14ac:dyDescent="0.25">
      <c r="A6282" t="s">
        <v>28698</v>
      </c>
      <c r="B6282" t="s">
        <v>5214</v>
      </c>
      <c r="C6282" t="s">
        <v>5215</v>
      </c>
      <c r="D6282" t="s">
        <v>5001</v>
      </c>
      <c r="E6282" t="s">
        <v>5002</v>
      </c>
      <c r="F6282" t="s">
        <v>0</v>
      </c>
      <c r="G6282" t="s">
        <v>16231</v>
      </c>
      <c r="H6282" t="s">
        <v>47054</v>
      </c>
      <c r="I6282" t="s">
        <v>47111</v>
      </c>
      <c r="J6282" t="s">
        <v>47112</v>
      </c>
      <c r="K6282" t="s">
        <v>47113</v>
      </c>
      <c r="L6282">
        <v>59.51</v>
      </c>
      <c r="M6282">
        <v>140</v>
      </c>
      <c r="N6282">
        <v>0</v>
      </c>
      <c r="O6282">
        <v>140</v>
      </c>
      <c r="P6282">
        <v>0</v>
      </c>
    </row>
    <row r="6283" spans="1:16" x14ac:dyDescent="0.25">
      <c r="A6283" t="s">
        <v>28699</v>
      </c>
      <c r="B6283" t="s">
        <v>5214</v>
      </c>
      <c r="C6283" t="s">
        <v>5215</v>
      </c>
      <c r="D6283" t="s">
        <v>5003</v>
      </c>
      <c r="E6283" t="s">
        <v>5004</v>
      </c>
      <c r="F6283" t="s">
        <v>0</v>
      </c>
      <c r="G6283" t="s">
        <v>16231</v>
      </c>
      <c r="H6283" t="s">
        <v>47054</v>
      </c>
      <c r="I6283" t="s">
        <v>47111</v>
      </c>
      <c r="J6283" t="s">
        <v>47112</v>
      </c>
      <c r="K6283" t="s">
        <v>47113</v>
      </c>
      <c r="L6283">
        <v>55.34</v>
      </c>
      <c r="M6283">
        <v>140</v>
      </c>
      <c r="N6283">
        <v>0</v>
      </c>
      <c r="O6283">
        <v>140</v>
      </c>
      <c r="P6283">
        <v>0</v>
      </c>
    </row>
    <row r="6284" spans="1:16" x14ac:dyDescent="0.25">
      <c r="A6284" t="s">
        <v>28700</v>
      </c>
      <c r="B6284" t="s">
        <v>5216</v>
      </c>
      <c r="C6284" t="s">
        <v>5217</v>
      </c>
      <c r="D6284" t="s">
        <v>3532</v>
      </c>
      <c r="E6284" t="s">
        <v>3533</v>
      </c>
      <c r="F6284" t="s">
        <v>4</v>
      </c>
      <c r="G6284" t="s">
        <v>16231</v>
      </c>
      <c r="H6284" t="s">
        <v>47054</v>
      </c>
      <c r="I6284" t="s">
        <v>47111</v>
      </c>
      <c r="J6284" t="s">
        <v>47112</v>
      </c>
      <c r="K6284" t="s">
        <v>47113</v>
      </c>
      <c r="L6284">
        <v>24.31</v>
      </c>
      <c r="M6284">
        <v>60</v>
      </c>
      <c r="N6284">
        <v>0</v>
      </c>
      <c r="O6284">
        <v>60</v>
      </c>
      <c r="P6284">
        <v>0</v>
      </c>
    </row>
    <row r="6285" spans="1:16" x14ac:dyDescent="0.25">
      <c r="A6285" t="s">
        <v>28701</v>
      </c>
      <c r="B6285" t="s">
        <v>5218</v>
      </c>
      <c r="C6285" t="s">
        <v>5219</v>
      </c>
      <c r="D6285" t="s">
        <v>1703</v>
      </c>
      <c r="E6285" t="s">
        <v>1704</v>
      </c>
      <c r="F6285" t="s">
        <v>8</v>
      </c>
      <c r="G6285" t="s">
        <v>16231</v>
      </c>
      <c r="H6285" t="s">
        <v>47054</v>
      </c>
      <c r="I6285" t="s">
        <v>47111</v>
      </c>
      <c r="J6285" t="s">
        <v>47112</v>
      </c>
      <c r="K6285" t="s">
        <v>47113</v>
      </c>
      <c r="L6285">
        <v>39.74</v>
      </c>
      <c r="M6285">
        <v>89</v>
      </c>
      <c r="N6285">
        <v>0</v>
      </c>
      <c r="O6285">
        <v>89</v>
      </c>
      <c r="P6285">
        <v>0</v>
      </c>
    </row>
    <row r="6286" spans="1:16" x14ac:dyDescent="0.25">
      <c r="A6286" t="s">
        <v>28702</v>
      </c>
      <c r="B6286" t="s">
        <v>5220</v>
      </c>
      <c r="C6286" t="s">
        <v>5221</v>
      </c>
      <c r="D6286" t="s">
        <v>721</v>
      </c>
      <c r="E6286" t="s">
        <v>722</v>
      </c>
      <c r="F6286" t="s">
        <v>8</v>
      </c>
      <c r="G6286" t="s">
        <v>16231</v>
      </c>
      <c r="H6286" t="s">
        <v>47054</v>
      </c>
      <c r="I6286" t="s">
        <v>47111</v>
      </c>
      <c r="J6286" t="s">
        <v>47112</v>
      </c>
      <c r="K6286" t="s">
        <v>47113</v>
      </c>
      <c r="L6286">
        <v>34.200000000000003</v>
      </c>
      <c r="M6286">
        <v>104</v>
      </c>
      <c r="N6286">
        <v>0</v>
      </c>
      <c r="O6286">
        <v>104</v>
      </c>
      <c r="P6286">
        <v>0</v>
      </c>
    </row>
    <row r="6287" spans="1:16" x14ac:dyDescent="0.25">
      <c r="A6287" t="s">
        <v>28703</v>
      </c>
      <c r="B6287" t="s">
        <v>5220</v>
      </c>
      <c r="C6287" t="s">
        <v>5221</v>
      </c>
      <c r="D6287" t="str">
        <f>"89"</f>
        <v>89</v>
      </c>
      <c r="E6287" t="s">
        <v>1732</v>
      </c>
      <c r="F6287" t="s">
        <v>8</v>
      </c>
      <c r="G6287" t="s">
        <v>16231</v>
      </c>
      <c r="H6287" t="s">
        <v>47054</v>
      </c>
      <c r="I6287" t="s">
        <v>47111</v>
      </c>
      <c r="J6287" t="s">
        <v>47112</v>
      </c>
      <c r="K6287" t="s">
        <v>47113</v>
      </c>
      <c r="L6287">
        <v>36.51</v>
      </c>
      <c r="M6287">
        <v>114</v>
      </c>
      <c r="N6287">
        <v>0</v>
      </c>
      <c r="O6287">
        <v>114</v>
      </c>
      <c r="P6287">
        <v>0</v>
      </c>
    </row>
    <row r="6288" spans="1:16" x14ac:dyDescent="0.25">
      <c r="A6288" t="s">
        <v>28704</v>
      </c>
      <c r="B6288" t="s">
        <v>5220</v>
      </c>
      <c r="C6288" t="s">
        <v>5221</v>
      </c>
      <c r="D6288" t="s">
        <v>4855</v>
      </c>
      <c r="E6288" t="s">
        <v>4856</v>
      </c>
      <c r="F6288" t="s">
        <v>8</v>
      </c>
      <c r="G6288" t="s">
        <v>16231</v>
      </c>
      <c r="H6288" t="s">
        <v>47054</v>
      </c>
      <c r="I6288" t="s">
        <v>47111</v>
      </c>
      <c r="J6288" t="s">
        <v>47112</v>
      </c>
      <c r="K6288" t="s">
        <v>47113</v>
      </c>
      <c r="L6288">
        <v>41.51</v>
      </c>
      <c r="M6288">
        <v>124</v>
      </c>
      <c r="N6288">
        <v>0</v>
      </c>
      <c r="O6288">
        <v>124</v>
      </c>
      <c r="P6288">
        <v>0</v>
      </c>
    </row>
    <row r="6289" spans="1:16" x14ac:dyDescent="0.25">
      <c r="A6289" t="s">
        <v>28705</v>
      </c>
      <c r="B6289" t="s">
        <v>5222</v>
      </c>
      <c r="C6289" t="s">
        <v>5199</v>
      </c>
      <c r="D6289" t="s">
        <v>5027</v>
      </c>
      <c r="E6289" t="s">
        <v>5028</v>
      </c>
      <c r="F6289" t="s">
        <v>0</v>
      </c>
      <c r="G6289" t="s">
        <v>16231</v>
      </c>
      <c r="H6289" t="s">
        <v>47054</v>
      </c>
      <c r="I6289" t="s">
        <v>47111</v>
      </c>
      <c r="J6289" t="s">
        <v>47112</v>
      </c>
      <c r="K6289" t="s">
        <v>47113</v>
      </c>
      <c r="L6289">
        <v>32.479999999999997</v>
      </c>
      <c r="M6289">
        <v>80</v>
      </c>
      <c r="N6289">
        <v>0</v>
      </c>
      <c r="O6289">
        <v>80</v>
      </c>
      <c r="P6289">
        <v>0</v>
      </c>
    </row>
    <row r="6290" spans="1:16" x14ac:dyDescent="0.25">
      <c r="A6290" t="s">
        <v>28706</v>
      </c>
      <c r="B6290" t="s">
        <v>5223</v>
      </c>
      <c r="C6290" t="s">
        <v>5224</v>
      </c>
      <c r="D6290" t="s">
        <v>721</v>
      </c>
      <c r="E6290" t="s">
        <v>722</v>
      </c>
      <c r="F6290" t="s">
        <v>8</v>
      </c>
      <c r="G6290" t="s">
        <v>16231</v>
      </c>
      <c r="H6290" t="s">
        <v>47054</v>
      </c>
      <c r="I6290" t="s">
        <v>47111</v>
      </c>
      <c r="J6290" t="s">
        <v>47112</v>
      </c>
      <c r="K6290" t="s">
        <v>47113</v>
      </c>
      <c r="L6290">
        <v>32.19</v>
      </c>
      <c r="M6290">
        <v>72</v>
      </c>
      <c r="N6290">
        <v>0</v>
      </c>
      <c r="O6290">
        <v>72</v>
      </c>
      <c r="P6290">
        <v>0</v>
      </c>
    </row>
    <row r="6291" spans="1:16" x14ac:dyDescent="0.25">
      <c r="A6291" t="s">
        <v>28707</v>
      </c>
      <c r="B6291" t="s">
        <v>5223</v>
      </c>
      <c r="C6291" t="s">
        <v>5224</v>
      </c>
      <c r="D6291" t="s">
        <v>1722</v>
      </c>
      <c r="E6291" t="s">
        <v>1723</v>
      </c>
      <c r="F6291" t="s">
        <v>8</v>
      </c>
      <c r="G6291" t="s">
        <v>16231</v>
      </c>
      <c r="H6291" t="s">
        <v>47054</v>
      </c>
      <c r="I6291" t="s">
        <v>47111</v>
      </c>
      <c r="J6291" t="s">
        <v>47112</v>
      </c>
      <c r="K6291" t="s">
        <v>47113</v>
      </c>
      <c r="L6291">
        <v>44.47</v>
      </c>
      <c r="M6291">
        <v>98</v>
      </c>
      <c r="N6291">
        <v>0</v>
      </c>
      <c r="O6291">
        <v>98</v>
      </c>
      <c r="P6291">
        <v>0</v>
      </c>
    </row>
    <row r="6292" spans="1:16" x14ac:dyDescent="0.25">
      <c r="A6292" t="s">
        <v>28708</v>
      </c>
      <c r="B6292" t="s">
        <v>5225</v>
      </c>
      <c r="C6292" t="s">
        <v>5226</v>
      </c>
      <c r="D6292" t="s">
        <v>4855</v>
      </c>
      <c r="E6292" t="s">
        <v>4856</v>
      </c>
      <c r="F6292" t="s">
        <v>8</v>
      </c>
      <c r="G6292" t="s">
        <v>16231</v>
      </c>
      <c r="H6292" t="s">
        <v>47054</v>
      </c>
      <c r="I6292" t="s">
        <v>47111</v>
      </c>
      <c r="J6292" t="s">
        <v>47112</v>
      </c>
      <c r="K6292" t="s">
        <v>47113</v>
      </c>
      <c r="L6292">
        <v>39.75</v>
      </c>
      <c r="M6292">
        <v>99</v>
      </c>
      <c r="N6292">
        <v>0</v>
      </c>
      <c r="O6292">
        <v>99</v>
      </c>
      <c r="P6292">
        <v>0</v>
      </c>
    </row>
    <row r="6293" spans="1:16" x14ac:dyDescent="0.25">
      <c r="A6293" t="s">
        <v>28709</v>
      </c>
      <c r="B6293" t="s">
        <v>5225</v>
      </c>
      <c r="C6293" t="s">
        <v>5226</v>
      </c>
      <c r="D6293" t="s">
        <v>1718</v>
      </c>
      <c r="E6293" t="s">
        <v>1719</v>
      </c>
      <c r="F6293" t="s">
        <v>8</v>
      </c>
      <c r="G6293" t="s">
        <v>16231</v>
      </c>
      <c r="H6293" t="s">
        <v>47054</v>
      </c>
      <c r="I6293" t="s">
        <v>47111</v>
      </c>
      <c r="J6293" t="s">
        <v>47112</v>
      </c>
      <c r="K6293" t="s">
        <v>47113</v>
      </c>
      <c r="L6293">
        <v>36.36</v>
      </c>
      <c r="M6293">
        <v>90</v>
      </c>
      <c r="N6293">
        <v>0</v>
      </c>
      <c r="O6293">
        <v>90</v>
      </c>
      <c r="P6293">
        <v>0</v>
      </c>
    </row>
    <row r="6294" spans="1:16" x14ac:dyDescent="0.25">
      <c r="A6294" t="s">
        <v>28710</v>
      </c>
      <c r="B6294" t="s">
        <v>5225</v>
      </c>
      <c r="C6294" t="s">
        <v>5226</v>
      </c>
      <c r="D6294" t="s">
        <v>1734</v>
      </c>
      <c r="E6294" t="s">
        <v>1735</v>
      </c>
      <c r="F6294" t="s">
        <v>52</v>
      </c>
      <c r="G6294" t="s">
        <v>16231</v>
      </c>
      <c r="H6294" t="s">
        <v>47054</v>
      </c>
      <c r="I6294" t="s">
        <v>47111</v>
      </c>
      <c r="J6294" t="s">
        <v>47112</v>
      </c>
      <c r="K6294" t="s">
        <v>47113</v>
      </c>
      <c r="L6294">
        <v>35.9</v>
      </c>
      <c r="M6294">
        <v>103</v>
      </c>
      <c r="N6294">
        <v>0</v>
      </c>
      <c r="O6294">
        <v>103</v>
      </c>
      <c r="P6294">
        <v>0</v>
      </c>
    </row>
    <row r="6295" spans="1:16" x14ac:dyDescent="0.25">
      <c r="A6295" t="s">
        <v>28711</v>
      </c>
      <c r="B6295" t="s">
        <v>5225</v>
      </c>
      <c r="C6295" t="s">
        <v>5226</v>
      </c>
      <c r="D6295" t="s">
        <v>1774</v>
      </c>
      <c r="E6295" t="s">
        <v>1775</v>
      </c>
      <c r="F6295" t="s">
        <v>52</v>
      </c>
      <c r="G6295" t="s">
        <v>16231</v>
      </c>
      <c r="H6295" t="s">
        <v>47054</v>
      </c>
      <c r="I6295" t="s">
        <v>47111</v>
      </c>
      <c r="J6295" t="s">
        <v>47112</v>
      </c>
      <c r="K6295" t="s">
        <v>47113</v>
      </c>
      <c r="L6295">
        <v>43.14</v>
      </c>
      <c r="M6295">
        <v>106</v>
      </c>
      <c r="N6295">
        <v>0</v>
      </c>
      <c r="O6295">
        <v>106</v>
      </c>
      <c r="P6295">
        <v>0</v>
      </c>
    </row>
    <row r="6296" spans="1:16" x14ac:dyDescent="0.25">
      <c r="A6296" t="s">
        <v>28712</v>
      </c>
      <c r="B6296" t="s">
        <v>5227</v>
      </c>
      <c r="C6296" t="s">
        <v>5228</v>
      </c>
      <c r="D6296" t="s">
        <v>5049</v>
      </c>
      <c r="E6296" t="s">
        <v>5050</v>
      </c>
      <c r="F6296" t="s">
        <v>2068</v>
      </c>
      <c r="G6296" t="s">
        <v>16231</v>
      </c>
      <c r="H6296" t="s">
        <v>47054</v>
      </c>
      <c r="I6296" t="s">
        <v>47111</v>
      </c>
      <c r="J6296" t="s">
        <v>47112</v>
      </c>
      <c r="K6296" t="s">
        <v>47113</v>
      </c>
      <c r="L6296">
        <v>42.32</v>
      </c>
      <c r="M6296">
        <v>96</v>
      </c>
      <c r="N6296">
        <v>0</v>
      </c>
      <c r="O6296">
        <v>96</v>
      </c>
      <c r="P6296">
        <v>0</v>
      </c>
    </row>
    <row r="6297" spans="1:16" x14ac:dyDescent="0.25">
      <c r="A6297" t="s">
        <v>28713</v>
      </c>
      <c r="B6297" t="s">
        <v>5229</v>
      </c>
      <c r="C6297" t="s">
        <v>3610</v>
      </c>
      <c r="D6297" t="s">
        <v>5056</v>
      </c>
      <c r="E6297" t="s">
        <v>5057</v>
      </c>
      <c r="F6297" t="s">
        <v>2068</v>
      </c>
      <c r="G6297" t="s">
        <v>16231</v>
      </c>
      <c r="H6297" t="s">
        <v>47054</v>
      </c>
      <c r="I6297" t="s">
        <v>47111</v>
      </c>
      <c r="J6297" t="s">
        <v>47112</v>
      </c>
      <c r="K6297" t="s">
        <v>47113</v>
      </c>
      <c r="L6297">
        <v>39.92</v>
      </c>
      <c r="M6297">
        <v>80</v>
      </c>
      <c r="N6297">
        <v>0</v>
      </c>
      <c r="O6297">
        <v>80</v>
      </c>
      <c r="P6297">
        <v>0</v>
      </c>
    </row>
    <row r="6298" spans="1:16" x14ac:dyDescent="0.25">
      <c r="A6298" t="s">
        <v>28714</v>
      </c>
      <c r="B6298" t="s">
        <v>5229</v>
      </c>
      <c r="C6298" t="s">
        <v>3610</v>
      </c>
      <c r="D6298" t="s">
        <v>4936</v>
      </c>
      <c r="E6298" t="s">
        <v>4937</v>
      </c>
      <c r="F6298" t="s">
        <v>3670</v>
      </c>
      <c r="G6298" t="s">
        <v>16231</v>
      </c>
      <c r="H6298" t="s">
        <v>47054</v>
      </c>
      <c r="I6298" t="s">
        <v>47111</v>
      </c>
      <c r="J6298" t="s">
        <v>47112</v>
      </c>
      <c r="K6298" t="s">
        <v>47113</v>
      </c>
      <c r="L6298">
        <v>43.01</v>
      </c>
      <c r="M6298">
        <v>74</v>
      </c>
      <c r="N6298">
        <v>0</v>
      </c>
      <c r="O6298">
        <v>74</v>
      </c>
      <c r="P6298">
        <v>0</v>
      </c>
    </row>
    <row r="6299" spans="1:16" x14ac:dyDescent="0.25">
      <c r="A6299" t="s">
        <v>28715</v>
      </c>
      <c r="B6299" t="s">
        <v>5230</v>
      </c>
      <c r="C6299" t="s">
        <v>5231</v>
      </c>
      <c r="D6299" t="s">
        <v>5060</v>
      </c>
      <c r="E6299" t="s">
        <v>5061</v>
      </c>
      <c r="F6299" t="s">
        <v>3546</v>
      </c>
      <c r="G6299" t="s">
        <v>16231</v>
      </c>
      <c r="H6299" t="s">
        <v>47054</v>
      </c>
      <c r="I6299" t="s">
        <v>47111</v>
      </c>
      <c r="J6299" t="s">
        <v>47112</v>
      </c>
      <c r="K6299" t="s">
        <v>47113</v>
      </c>
      <c r="L6299">
        <v>48.5</v>
      </c>
      <c r="M6299">
        <v>119</v>
      </c>
      <c r="N6299">
        <v>0</v>
      </c>
      <c r="O6299">
        <v>119</v>
      </c>
      <c r="P6299">
        <v>0</v>
      </c>
    </row>
    <row r="6300" spans="1:16" x14ac:dyDescent="0.25">
      <c r="A6300" t="s">
        <v>28716</v>
      </c>
      <c r="B6300" t="s">
        <v>5232</v>
      </c>
      <c r="C6300" t="s">
        <v>5233</v>
      </c>
      <c r="D6300" t="s">
        <v>5234</v>
      </c>
      <c r="E6300" t="s">
        <v>5235</v>
      </c>
      <c r="F6300" t="s">
        <v>3546</v>
      </c>
      <c r="G6300" t="s">
        <v>16231</v>
      </c>
      <c r="H6300" t="s">
        <v>47054</v>
      </c>
      <c r="I6300" t="s">
        <v>47111</v>
      </c>
      <c r="J6300" t="s">
        <v>47112</v>
      </c>
      <c r="K6300" t="s">
        <v>47113</v>
      </c>
      <c r="L6300">
        <v>46.92</v>
      </c>
      <c r="M6300">
        <v>115</v>
      </c>
      <c r="N6300">
        <v>0</v>
      </c>
      <c r="O6300">
        <v>115</v>
      </c>
      <c r="P6300">
        <v>0</v>
      </c>
    </row>
    <row r="6301" spans="1:16" x14ac:dyDescent="0.25">
      <c r="A6301" t="s">
        <v>28717</v>
      </c>
      <c r="B6301" t="s">
        <v>5236</v>
      </c>
      <c r="C6301" t="s">
        <v>16469</v>
      </c>
      <c r="D6301" t="s">
        <v>5074</v>
      </c>
      <c r="E6301" t="s">
        <v>5075</v>
      </c>
      <c r="F6301" t="s">
        <v>3558</v>
      </c>
      <c r="G6301" t="s">
        <v>16231</v>
      </c>
      <c r="H6301" t="s">
        <v>47054</v>
      </c>
      <c r="I6301" t="s">
        <v>47111</v>
      </c>
      <c r="J6301" t="s">
        <v>47112</v>
      </c>
      <c r="K6301" t="s">
        <v>47113</v>
      </c>
      <c r="L6301">
        <v>50.29</v>
      </c>
      <c r="M6301">
        <v>100</v>
      </c>
      <c r="N6301">
        <v>0</v>
      </c>
      <c r="O6301">
        <v>100</v>
      </c>
      <c r="P6301">
        <v>0</v>
      </c>
    </row>
    <row r="6302" spans="1:16" x14ac:dyDescent="0.25">
      <c r="A6302" t="s">
        <v>28718</v>
      </c>
      <c r="B6302" t="s">
        <v>5238</v>
      </c>
      <c r="C6302" t="s">
        <v>5239</v>
      </c>
      <c r="D6302" t="s">
        <v>4942</v>
      </c>
      <c r="E6302" t="s">
        <v>4943</v>
      </c>
      <c r="F6302" t="s">
        <v>0</v>
      </c>
      <c r="G6302" t="s">
        <v>16231</v>
      </c>
      <c r="H6302" t="s">
        <v>47054</v>
      </c>
      <c r="I6302" t="s">
        <v>47111</v>
      </c>
      <c r="J6302" t="s">
        <v>47112</v>
      </c>
      <c r="K6302" t="s">
        <v>47113</v>
      </c>
      <c r="L6302">
        <v>64.28</v>
      </c>
      <c r="M6302">
        <v>157</v>
      </c>
      <c r="N6302">
        <v>0</v>
      </c>
      <c r="O6302">
        <v>157</v>
      </c>
      <c r="P6302">
        <v>0</v>
      </c>
    </row>
    <row r="6303" spans="1:16" x14ac:dyDescent="0.25">
      <c r="A6303" t="s">
        <v>28719</v>
      </c>
      <c r="B6303" t="s">
        <v>5240</v>
      </c>
      <c r="C6303" t="s">
        <v>5241</v>
      </c>
      <c r="D6303" t="s">
        <v>5083</v>
      </c>
      <c r="E6303" t="s">
        <v>5084</v>
      </c>
      <c r="F6303" t="s">
        <v>0</v>
      </c>
      <c r="G6303" t="s">
        <v>16231</v>
      </c>
      <c r="H6303" t="s">
        <v>47054</v>
      </c>
      <c r="I6303" t="s">
        <v>47111</v>
      </c>
      <c r="J6303" t="s">
        <v>47112</v>
      </c>
      <c r="K6303" t="s">
        <v>47113</v>
      </c>
      <c r="L6303">
        <v>67.37</v>
      </c>
      <c r="M6303">
        <v>149</v>
      </c>
      <c r="N6303">
        <v>0</v>
      </c>
      <c r="O6303">
        <v>149</v>
      </c>
      <c r="P6303">
        <v>0</v>
      </c>
    </row>
    <row r="6304" spans="1:16" x14ac:dyDescent="0.25">
      <c r="A6304" t="s">
        <v>14937</v>
      </c>
      <c r="B6304" t="s">
        <v>5242</v>
      </c>
      <c r="C6304" t="s">
        <v>5215</v>
      </c>
      <c r="D6304" t="s">
        <v>5003</v>
      </c>
      <c r="E6304" t="s">
        <v>5004</v>
      </c>
      <c r="F6304" t="s">
        <v>0</v>
      </c>
      <c r="G6304" t="s">
        <v>16233</v>
      </c>
      <c r="H6304" t="s">
        <v>47054</v>
      </c>
      <c r="I6304" t="s">
        <v>47111</v>
      </c>
      <c r="J6304" t="s">
        <v>47112</v>
      </c>
      <c r="K6304" t="s">
        <v>47113</v>
      </c>
      <c r="L6304">
        <v>55.34</v>
      </c>
      <c r="M6304">
        <v>140</v>
      </c>
      <c r="N6304">
        <v>0</v>
      </c>
      <c r="O6304">
        <v>140</v>
      </c>
      <c r="P6304">
        <v>0</v>
      </c>
    </row>
    <row r="6305" spans="1:16" x14ac:dyDescent="0.25">
      <c r="A6305" t="s">
        <v>28720</v>
      </c>
      <c r="B6305" t="s">
        <v>5243</v>
      </c>
      <c r="C6305" t="s">
        <v>1736</v>
      </c>
      <c r="D6305" t="s">
        <v>1737</v>
      </c>
      <c r="E6305" t="s">
        <v>1738</v>
      </c>
      <c r="F6305" t="s">
        <v>56</v>
      </c>
      <c r="G6305" t="s">
        <v>16231</v>
      </c>
      <c r="H6305" t="s">
        <v>47054</v>
      </c>
      <c r="I6305" t="s">
        <v>47111</v>
      </c>
      <c r="J6305" t="s">
        <v>47112</v>
      </c>
      <c r="K6305" t="s">
        <v>47113</v>
      </c>
      <c r="L6305">
        <v>38.020000000000003</v>
      </c>
      <c r="M6305">
        <v>94</v>
      </c>
      <c r="N6305">
        <v>0</v>
      </c>
      <c r="O6305">
        <v>94</v>
      </c>
      <c r="P6305">
        <v>0</v>
      </c>
    </row>
    <row r="6306" spans="1:16" x14ac:dyDescent="0.25">
      <c r="A6306" t="s">
        <v>28721</v>
      </c>
      <c r="B6306" t="s">
        <v>5244</v>
      </c>
      <c r="C6306" t="s">
        <v>5245</v>
      </c>
      <c r="D6306" t="s">
        <v>2525</v>
      </c>
      <c r="E6306" t="s">
        <v>4976</v>
      </c>
      <c r="F6306" t="s">
        <v>5</v>
      </c>
      <c r="G6306" t="s">
        <v>16231</v>
      </c>
      <c r="H6306" t="s">
        <v>47054</v>
      </c>
      <c r="I6306" t="s">
        <v>47111</v>
      </c>
      <c r="J6306" t="s">
        <v>47112</v>
      </c>
      <c r="K6306" t="s">
        <v>47113</v>
      </c>
      <c r="L6306">
        <v>64.58</v>
      </c>
      <c r="M6306">
        <v>153</v>
      </c>
      <c r="N6306">
        <v>0</v>
      </c>
      <c r="O6306">
        <v>153</v>
      </c>
      <c r="P6306">
        <v>0</v>
      </c>
    </row>
    <row r="6307" spans="1:16" x14ac:dyDescent="0.25">
      <c r="A6307" t="s">
        <v>28722</v>
      </c>
      <c r="B6307" t="s">
        <v>5246</v>
      </c>
      <c r="C6307" t="s">
        <v>5247</v>
      </c>
      <c r="D6307" t="s">
        <v>4996</v>
      </c>
      <c r="E6307" t="s">
        <v>4997</v>
      </c>
      <c r="F6307" t="s">
        <v>4</v>
      </c>
      <c r="G6307" t="s">
        <v>16231</v>
      </c>
      <c r="H6307" t="s">
        <v>47054</v>
      </c>
      <c r="I6307" t="s">
        <v>47111</v>
      </c>
      <c r="J6307" t="s">
        <v>47112</v>
      </c>
      <c r="K6307" t="s">
        <v>47113</v>
      </c>
      <c r="L6307">
        <v>50</v>
      </c>
      <c r="M6307">
        <v>122</v>
      </c>
      <c r="N6307">
        <v>0</v>
      </c>
      <c r="O6307">
        <v>122</v>
      </c>
      <c r="P6307">
        <v>0</v>
      </c>
    </row>
    <row r="6308" spans="1:16" x14ac:dyDescent="0.25">
      <c r="A6308" t="s">
        <v>28723</v>
      </c>
      <c r="B6308" t="s">
        <v>5248</v>
      </c>
      <c r="C6308" t="s">
        <v>5249</v>
      </c>
      <c r="D6308" t="s">
        <v>5060</v>
      </c>
      <c r="E6308" t="s">
        <v>5061</v>
      </c>
      <c r="F6308" t="s">
        <v>3546</v>
      </c>
      <c r="G6308" t="s">
        <v>16231</v>
      </c>
      <c r="H6308" t="s">
        <v>47054</v>
      </c>
      <c r="I6308" t="s">
        <v>47111</v>
      </c>
      <c r="J6308" t="s">
        <v>47112</v>
      </c>
      <c r="K6308" t="s">
        <v>47113</v>
      </c>
      <c r="L6308">
        <v>48.5</v>
      </c>
      <c r="M6308">
        <v>119</v>
      </c>
      <c r="N6308">
        <v>0</v>
      </c>
      <c r="O6308">
        <v>119</v>
      </c>
      <c r="P6308">
        <v>0</v>
      </c>
    </row>
    <row r="6309" spans="1:16" x14ac:dyDescent="0.25">
      <c r="A6309" t="s">
        <v>28724</v>
      </c>
      <c r="B6309" t="s">
        <v>5250</v>
      </c>
      <c r="C6309" t="s">
        <v>5251</v>
      </c>
      <c r="D6309" t="s">
        <v>4942</v>
      </c>
      <c r="E6309" t="s">
        <v>4943</v>
      </c>
      <c r="F6309" t="s">
        <v>0</v>
      </c>
      <c r="G6309" t="s">
        <v>16231</v>
      </c>
      <c r="H6309" t="s">
        <v>47054</v>
      </c>
      <c r="I6309" t="s">
        <v>47111</v>
      </c>
      <c r="J6309" t="s">
        <v>47112</v>
      </c>
      <c r="K6309" t="s">
        <v>47113</v>
      </c>
      <c r="L6309">
        <v>67.81</v>
      </c>
      <c r="M6309">
        <v>145</v>
      </c>
      <c r="N6309">
        <v>0</v>
      </c>
      <c r="O6309">
        <v>145</v>
      </c>
      <c r="P6309">
        <v>0</v>
      </c>
    </row>
    <row r="6310" spans="1:16" x14ac:dyDescent="0.25">
      <c r="A6310" t="s">
        <v>28725</v>
      </c>
      <c r="B6310" t="s">
        <v>5252</v>
      </c>
      <c r="C6310" t="s">
        <v>5253</v>
      </c>
      <c r="D6310" t="s">
        <v>4870</v>
      </c>
      <c r="E6310" t="s">
        <v>4871</v>
      </c>
      <c r="F6310" t="s">
        <v>296</v>
      </c>
      <c r="G6310" t="s">
        <v>16231</v>
      </c>
      <c r="H6310" t="s">
        <v>47054</v>
      </c>
      <c r="I6310" t="s">
        <v>47111</v>
      </c>
      <c r="J6310" t="s">
        <v>47112</v>
      </c>
      <c r="K6310" t="s">
        <v>47113</v>
      </c>
      <c r="L6310">
        <v>42.09</v>
      </c>
      <c r="M6310">
        <v>105</v>
      </c>
      <c r="N6310">
        <v>0</v>
      </c>
      <c r="O6310">
        <v>105</v>
      </c>
      <c r="P6310">
        <v>0</v>
      </c>
    </row>
    <row r="6311" spans="1:16" x14ac:dyDescent="0.25">
      <c r="A6311" t="s">
        <v>28726</v>
      </c>
      <c r="B6311" t="s">
        <v>5252</v>
      </c>
      <c r="C6311" t="s">
        <v>5253</v>
      </c>
      <c r="D6311" t="s">
        <v>1703</v>
      </c>
      <c r="E6311" t="s">
        <v>1704</v>
      </c>
      <c r="F6311" t="s">
        <v>296</v>
      </c>
      <c r="G6311" t="s">
        <v>16231</v>
      </c>
      <c r="H6311" t="s">
        <v>47054</v>
      </c>
      <c r="I6311" t="s">
        <v>47111</v>
      </c>
      <c r="J6311" t="s">
        <v>47112</v>
      </c>
      <c r="K6311" t="s">
        <v>47113</v>
      </c>
      <c r="L6311">
        <v>34.909999999999997</v>
      </c>
      <c r="M6311">
        <v>91</v>
      </c>
      <c r="N6311">
        <v>0</v>
      </c>
      <c r="O6311">
        <v>91</v>
      </c>
      <c r="P6311">
        <v>0</v>
      </c>
    </row>
    <row r="6312" spans="1:16" x14ac:dyDescent="0.25">
      <c r="A6312" t="s">
        <v>28727</v>
      </c>
      <c r="B6312" t="s">
        <v>5254</v>
      </c>
      <c r="C6312" t="s">
        <v>5255</v>
      </c>
      <c r="D6312" t="s">
        <v>1743</v>
      </c>
      <c r="E6312" t="s">
        <v>1744</v>
      </c>
      <c r="F6312" t="s">
        <v>7</v>
      </c>
      <c r="G6312" t="s">
        <v>16231</v>
      </c>
      <c r="H6312" t="s">
        <v>47054</v>
      </c>
      <c r="I6312" t="s">
        <v>47111</v>
      </c>
      <c r="J6312" t="s">
        <v>47112</v>
      </c>
      <c r="K6312" t="s">
        <v>47113</v>
      </c>
      <c r="L6312">
        <v>58.56</v>
      </c>
      <c r="M6312">
        <v>144</v>
      </c>
      <c r="N6312">
        <v>0</v>
      </c>
      <c r="O6312">
        <v>144</v>
      </c>
      <c r="P6312">
        <v>0</v>
      </c>
    </row>
    <row r="6313" spans="1:16" x14ac:dyDescent="0.25">
      <c r="A6313" t="s">
        <v>28728</v>
      </c>
      <c r="B6313" t="s">
        <v>5254</v>
      </c>
      <c r="C6313" t="s">
        <v>5255</v>
      </c>
      <c r="D6313" t="s">
        <v>5090</v>
      </c>
      <c r="E6313" t="s">
        <v>5091</v>
      </c>
      <c r="F6313" t="s">
        <v>7</v>
      </c>
      <c r="G6313" t="s">
        <v>16231</v>
      </c>
      <c r="H6313" t="s">
        <v>47054</v>
      </c>
      <c r="I6313" t="s">
        <v>47111</v>
      </c>
      <c r="J6313" t="s">
        <v>47112</v>
      </c>
      <c r="K6313" t="s">
        <v>47113</v>
      </c>
      <c r="L6313">
        <v>68.61</v>
      </c>
      <c r="M6313">
        <v>173</v>
      </c>
      <c r="N6313">
        <v>0</v>
      </c>
      <c r="O6313">
        <v>173</v>
      </c>
      <c r="P6313">
        <v>0</v>
      </c>
    </row>
    <row r="6314" spans="1:16" x14ac:dyDescent="0.25">
      <c r="A6314" t="s">
        <v>28729</v>
      </c>
      <c r="B6314" t="s">
        <v>5256</v>
      </c>
      <c r="C6314" t="s">
        <v>5257</v>
      </c>
      <c r="D6314" t="s">
        <v>4870</v>
      </c>
      <c r="E6314" t="s">
        <v>4871</v>
      </c>
      <c r="F6314" t="s">
        <v>296</v>
      </c>
      <c r="G6314" t="s">
        <v>16231</v>
      </c>
      <c r="H6314" t="s">
        <v>47054</v>
      </c>
      <c r="I6314" t="s">
        <v>47111</v>
      </c>
      <c r="J6314" t="s">
        <v>47112</v>
      </c>
      <c r="K6314" t="s">
        <v>47113</v>
      </c>
      <c r="L6314">
        <v>61.68</v>
      </c>
      <c r="M6314">
        <v>150</v>
      </c>
      <c r="N6314">
        <v>0</v>
      </c>
      <c r="O6314">
        <v>150</v>
      </c>
      <c r="P6314">
        <v>0</v>
      </c>
    </row>
    <row r="6315" spans="1:16" x14ac:dyDescent="0.25">
      <c r="A6315" t="s">
        <v>28730</v>
      </c>
      <c r="B6315" t="s">
        <v>5256</v>
      </c>
      <c r="C6315" t="s">
        <v>5257</v>
      </c>
      <c r="D6315" t="s">
        <v>1703</v>
      </c>
      <c r="E6315" t="s">
        <v>1704</v>
      </c>
      <c r="F6315" t="s">
        <v>296</v>
      </c>
      <c r="G6315" t="s">
        <v>16231</v>
      </c>
      <c r="H6315" t="s">
        <v>47054</v>
      </c>
      <c r="I6315" t="s">
        <v>47111</v>
      </c>
      <c r="J6315" t="s">
        <v>47112</v>
      </c>
      <c r="K6315" t="s">
        <v>47113</v>
      </c>
      <c r="L6315">
        <v>53.32</v>
      </c>
      <c r="M6315">
        <v>122</v>
      </c>
      <c r="N6315">
        <v>0</v>
      </c>
      <c r="O6315">
        <v>122</v>
      </c>
      <c r="P6315">
        <v>0</v>
      </c>
    </row>
    <row r="6316" spans="1:16" x14ac:dyDescent="0.25">
      <c r="A6316" t="s">
        <v>28731</v>
      </c>
      <c r="B6316" t="s">
        <v>5258</v>
      </c>
      <c r="C6316" t="s">
        <v>5257</v>
      </c>
      <c r="D6316" t="s">
        <v>1743</v>
      </c>
      <c r="E6316" t="s">
        <v>1744</v>
      </c>
      <c r="F6316" t="s">
        <v>7</v>
      </c>
      <c r="G6316" t="s">
        <v>16231</v>
      </c>
      <c r="H6316" t="s">
        <v>47054</v>
      </c>
      <c r="I6316" t="s">
        <v>47114</v>
      </c>
      <c r="J6316" t="s">
        <v>47115</v>
      </c>
      <c r="K6316" t="s">
        <v>47113</v>
      </c>
      <c r="L6316">
        <v>58.66</v>
      </c>
      <c r="M6316">
        <v>146</v>
      </c>
      <c r="N6316">
        <v>0</v>
      </c>
      <c r="O6316">
        <v>146</v>
      </c>
      <c r="P6316">
        <v>0</v>
      </c>
    </row>
    <row r="6317" spans="1:16" x14ac:dyDescent="0.25">
      <c r="A6317" t="s">
        <v>28732</v>
      </c>
      <c r="B6317" t="s">
        <v>5259</v>
      </c>
      <c r="C6317" t="s">
        <v>5260</v>
      </c>
      <c r="D6317" t="s">
        <v>2030</v>
      </c>
      <c r="E6317" t="s">
        <v>2031</v>
      </c>
      <c r="F6317" t="s">
        <v>58</v>
      </c>
      <c r="G6317" t="s">
        <v>16231</v>
      </c>
      <c r="H6317" t="s">
        <v>47054</v>
      </c>
      <c r="I6317" t="s">
        <v>47111</v>
      </c>
      <c r="J6317" t="s">
        <v>47112</v>
      </c>
      <c r="K6317" t="s">
        <v>47113</v>
      </c>
      <c r="L6317">
        <v>54.13</v>
      </c>
      <c r="M6317">
        <v>133</v>
      </c>
      <c r="N6317">
        <v>0</v>
      </c>
      <c r="O6317">
        <v>133</v>
      </c>
      <c r="P6317">
        <v>0</v>
      </c>
    </row>
    <row r="6318" spans="1:16" x14ac:dyDescent="0.25">
      <c r="A6318" t="s">
        <v>28733</v>
      </c>
      <c r="B6318" t="s">
        <v>5261</v>
      </c>
      <c r="C6318" t="s">
        <v>5262</v>
      </c>
      <c r="D6318" t="s">
        <v>1722</v>
      </c>
      <c r="E6318" t="s">
        <v>1723</v>
      </c>
      <c r="F6318" t="s">
        <v>8</v>
      </c>
      <c r="G6318" t="s">
        <v>16231</v>
      </c>
      <c r="H6318" t="s">
        <v>47054</v>
      </c>
      <c r="I6318" t="s">
        <v>47111</v>
      </c>
      <c r="J6318" t="s">
        <v>47112</v>
      </c>
      <c r="K6318" t="s">
        <v>47113</v>
      </c>
      <c r="L6318">
        <v>62.39</v>
      </c>
      <c r="M6318">
        <v>146</v>
      </c>
      <c r="N6318">
        <v>0</v>
      </c>
      <c r="O6318">
        <v>146</v>
      </c>
      <c r="P6318">
        <v>0</v>
      </c>
    </row>
    <row r="6319" spans="1:16" x14ac:dyDescent="0.25">
      <c r="A6319" t="s">
        <v>28734</v>
      </c>
      <c r="B6319" t="s">
        <v>5263</v>
      </c>
      <c r="C6319" t="s">
        <v>5264</v>
      </c>
      <c r="D6319" t="s">
        <v>721</v>
      </c>
      <c r="E6319" t="s">
        <v>722</v>
      </c>
      <c r="F6319" t="s">
        <v>8</v>
      </c>
      <c r="G6319" t="s">
        <v>16231</v>
      </c>
      <c r="H6319" t="s">
        <v>47054</v>
      </c>
      <c r="I6319" t="s">
        <v>47111</v>
      </c>
      <c r="J6319" t="s">
        <v>47112</v>
      </c>
      <c r="K6319" t="s">
        <v>47113</v>
      </c>
      <c r="L6319">
        <v>26.09</v>
      </c>
      <c r="M6319">
        <v>83</v>
      </c>
      <c r="N6319">
        <v>0</v>
      </c>
      <c r="O6319">
        <v>83</v>
      </c>
      <c r="P6319">
        <v>0</v>
      </c>
    </row>
    <row r="6320" spans="1:16" x14ac:dyDescent="0.25">
      <c r="A6320" t="s">
        <v>28735</v>
      </c>
      <c r="B6320" t="s">
        <v>5263</v>
      </c>
      <c r="C6320" t="s">
        <v>5264</v>
      </c>
      <c r="D6320" t="str">
        <f>"89"</f>
        <v>89</v>
      </c>
      <c r="E6320" t="s">
        <v>1732</v>
      </c>
      <c r="F6320" t="s">
        <v>8</v>
      </c>
      <c r="G6320" t="s">
        <v>16231</v>
      </c>
      <c r="H6320" t="s">
        <v>47054</v>
      </c>
      <c r="I6320" t="s">
        <v>47111</v>
      </c>
      <c r="J6320" t="s">
        <v>47112</v>
      </c>
      <c r="K6320" t="s">
        <v>47113</v>
      </c>
      <c r="L6320">
        <v>30.89</v>
      </c>
      <c r="M6320">
        <v>85</v>
      </c>
      <c r="N6320">
        <v>0</v>
      </c>
      <c r="O6320">
        <v>85</v>
      </c>
      <c r="P6320">
        <v>0</v>
      </c>
    </row>
    <row r="6321" spans="1:16" x14ac:dyDescent="0.25">
      <c r="A6321" t="s">
        <v>28736</v>
      </c>
      <c r="B6321" t="s">
        <v>5263</v>
      </c>
      <c r="C6321" t="s">
        <v>5264</v>
      </c>
      <c r="D6321" t="s">
        <v>1718</v>
      </c>
      <c r="E6321" t="s">
        <v>1719</v>
      </c>
      <c r="F6321" t="s">
        <v>8</v>
      </c>
      <c r="G6321" t="s">
        <v>16231</v>
      </c>
      <c r="H6321" t="s">
        <v>47054</v>
      </c>
      <c r="I6321" t="s">
        <v>47111</v>
      </c>
      <c r="J6321" t="s">
        <v>47112</v>
      </c>
      <c r="K6321" t="s">
        <v>47113</v>
      </c>
      <c r="L6321">
        <v>30.89</v>
      </c>
      <c r="M6321">
        <v>85</v>
      </c>
      <c r="N6321">
        <v>0</v>
      </c>
      <c r="O6321">
        <v>85</v>
      </c>
      <c r="P6321">
        <v>0</v>
      </c>
    </row>
    <row r="6322" spans="1:16" x14ac:dyDescent="0.25">
      <c r="A6322" t="s">
        <v>28737</v>
      </c>
      <c r="B6322" t="s">
        <v>5263</v>
      </c>
      <c r="C6322" t="s">
        <v>5264</v>
      </c>
      <c r="D6322" t="s">
        <v>1722</v>
      </c>
      <c r="E6322" t="s">
        <v>1723</v>
      </c>
      <c r="F6322" t="s">
        <v>8</v>
      </c>
      <c r="G6322" t="s">
        <v>16231</v>
      </c>
      <c r="H6322" t="s">
        <v>47054</v>
      </c>
      <c r="I6322" t="s">
        <v>47111</v>
      </c>
      <c r="J6322" t="s">
        <v>47112</v>
      </c>
      <c r="K6322" t="s">
        <v>47113</v>
      </c>
      <c r="L6322">
        <v>38.65</v>
      </c>
      <c r="M6322">
        <v>104</v>
      </c>
      <c r="N6322">
        <v>0</v>
      </c>
      <c r="O6322">
        <v>104</v>
      </c>
      <c r="P6322">
        <v>0</v>
      </c>
    </row>
    <row r="6323" spans="1:16" x14ac:dyDescent="0.25">
      <c r="A6323" t="s">
        <v>28738</v>
      </c>
      <c r="B6323" t="s">
        <v>5265</v>
      </c>
      <c r="C6323" t="s">
        <v>5266</v>
      </c>
      <c r="D6323" t="s">
        <v>1718</v>
      </c>
      <c r="E6323" t="s">
        <v>1719</v>
      </c>
      <c r="F6323" t="s">
        <v>56</v>
      </c>
      <c r="G6323" t="s">
        <v>16231</v>
      </c>
      <c r="H6323" t="s">
        <v>47054</v>
      </c>
      <c r="I6323" t="s">
        <v>47111</v>
      </c>
      <c r="J6323" t="s">
        <v>47112</v>
      </c>
      <c r="K6323" t="s">
        <v>47113</v>
      </c>
      <c r="L6323">
        <v>31.72</v>
      </c>
      <c r="M6323">
        <v>70</v>
      </c>
      <c r="N6323">
        <v>0</v>
      </c>
      <c r="O6323">
        <v>70</v>
      </c>
      <c r="P6323">
        <v>0</v>
      </c>
    </row>
    <row r="6324" spans="1:16" x14ac:dyDescent="0.25">
      <c r="A6324" t="s">
        <v>28739</v>
      </c>
      <c r="B6324" t="s">
        <v>5265</v>
      </c>
      <c r="C6324" t="s">
        <v>5266</v>
      </c>
      <c r="D6324" t="s">
        <v>5267</v>
      </c>
      <c r="E6324" t="s">
        <v>5268</v>
      </c>
      <c r="F6324" t="s">
        <v>56</v>
      </c>
      <c r="G6324" t="s">
        <v>16231</v>
      </c>
      <c r="H6324" t="s">
        <v>47054</v>
      </c>
      <c r="I6324" t="s">
        <v>47114</v>
      </c>
      <c r="J6324" t="s">
        <v>47115</v>
      </c>
      <c r="K6324" t="s">
        <v>47113</v>
      </c>
      <c r="L6324">
        <v>43.84</v>
      </c>
      <c r="M6324">
        <v>101</v>
      </c>
      <c r="N6324">
        <v>0</v>
      </c>
      <c r="O6324">
        <v>101</v>
      </c>
      <c r="P6324">
        <v>0</v>
      </c>
    </row>
    <row r="6325" spans="1:16" x14ac:dyDescent="0.25">
      <c r="A6325" t="s">
        <v>28740</v>
      </c>
      <c r="B6325" t="s">
        <v>5269</v>
      </c>
      <c r="C6325" t="s">
        <v>5270</v>
      </c>
      <c r="D6325" t="s">
        <v>1718</v>
      </c>
      <c r="E6325" t="s">
        <v>1719</v>
      </c>
      <c r="F6325" t="s">
        <v>56</v>
      </c>
      <c r="G6325" t="s">
        <v>16231</v>
      </c>
      <c r="H6325" t="s">
        <v>47054</v>
      </c>
      <c r="I6325" t="s">
        <v>47111</v>
      </c>
      <c r="J6325" t="s">
        <v>47112</v>
      </c>
      <c r="K6325" t="s">
        <v>47113</v>
      </c>
      <c r="L6325">
        <v>31.1</v>
      </c>
      <c r="M6325">
        <v>70</v>
      </c>
      <c r="N6325">
        <v>0</v>
      </c>
      <c r="O6325">
        <v>70</v>
      </c>
      <c r="P6325">
        <v>0</v>
      </c>
    </row>
    <row r="6326" spans="1:16" x14ac:dyDescent="0.25">
      <c r="A6326" t="s">
        <v>28741</v>
      </c>
      <c r="B6326" t="s">
        <v>5269</v>
      </c>
      <c r="C6326" t="s">
        <v>5270</v>
      </c>
      <c r="D6326" t="s">
        <v>5267</v>
      </c>
      <c r="E6326" t="s">
        <v>5268</v>
      </c>
      <c r="F6326" t="s">
        <v>56</v>
      </c>
      <c r="G6326" t="s">
        <v>16231</v>
      </c>
      <c r="H6326" t="s">
        <v>47054</v>
      </c>
      <c r="I6326" t="s">
        <v>47111</v>
      </c>
      <c r="J6326" t="s">
        <v>47112</v>
      </c>
      <c r="K6326" t="s">
        <v>47113</v>
      </c>
      <c r="L6326">
        <v>43.22</v>
      </c>
      <c r="M6326">
        <v>101</v>
      </c>
      <c r="N6326">
        <v>0</v>
      </c>
      <c r="O6326">
        <v>101</v>
      </c>
      <c r="P6326">
        <v>0</v>
      </c>
    </row>
    <row r="6327" spans="1:16" x14ac:dyDescent="0.25">
      <c r="A6327" t="s">
        <v>28742</v>
      </c>
      <c r="B6327" t="s">
        <v>5269</v>
      </c>
      <c r="C6327" t="s">
        <v>5270</v>
      </c>
      <c r="D6327" t="s">
        <v>5271</v>
      </c>
      <c r="E6327" t="s">
        <v>5272</v>
      </c>
      <c r="F6327" t="s">
        <v>56</v>
      </c>
      <c r="G6327" t="s">
        <v>16231</v>
      </c>
      <c r="H6327" t="s">
        <v>47054</v>
      </c>
      <c r="I6327" t="s">
        <v>47111</v>
      </c>
      <c r="J6327" t="s">
        <v>47112</v>
      </c>
      <c r="K6327" t="s">
        <v>47113</v>
      </c>
      <c r="L6327">
        <v>39.76</v>
      </c>
      <c r="M6327">
        <v>88</v>
      </c>
      <c r="N6327">
        <v>0</v>
      </c>
      <c r="O6327">
        <v>88</v>
      </c>
      <c r="P6327">
        <v>0</v>
      </c>
    </row>
    <row r="6328" spans="1:16" x14ac:dyDescent="0.25">
      <c r="A6328" t="s">
        <v>28743</v>
      </c>
      <c r="B6328" t="s">
        <v>5269</v>
      </c>
      <c r="C6328" t="s">
        <v>5270</v>
      </c>
      <c r="D6328" t="s">
        <v>983</v>
      </c>
      <c r="E6328" t="s">
        <v>984</v>
      </c>
      <c r="F6328" t="s">
        <v>7</v>
      </c>
      <c r="G6328" t="s">
        <v>16231</v>
      </c>
      <c r="H6328" t="s">
        <v>47054</v>
      </c>
      <c r="I6328" t="s">
        <v>47111</v>
      </c>
      <c r="J6328" t="s">
        <v>47112</v>
      </c>
      <c r="K6328" t="s">
        <v>47113</v>
      </c>
      <c r="L6328">
        <v>41.82</v>
      </c>
      <c r="M6328">
        <v>95</v>
      </c>
      <c r="N6328">
        <v>0</v>
      </c>
      <c r="O6328">
        <v>95</v>
      </c>
      <c r="P6328">
        <v>0</v>
      </c>
    </row>
    <row r="6329" spans="1:16" x14ac:dyDescent="0.25">
      <c r="A6329" t="s">
        <v>28744</v>
      </c>
      <c r="B6329" t="s">
        <v>5273</v>
      </c>
      <c r="C6329" t="s">
        <v>5274</v>
      </c>
      <c r="D6329" t="s">
        <v>2028</v>
      </c>
      <c r="E6329" t="s">
        <v>2029</v>
      </c>
      <c r="F6329" t="s">
        <v>7</v>
      </c>
      <c r="G6329" t="s">
        <v>16231</v>
      </c>
      <c r="H6329" t="s">
        <v>47054</v>
      </c>
      <c r="I6329" t="s">
        <v>47111</v>
      </c>
      <c r="J6329" t="s">
        <v>47112</v>
      </c>
      <c r="K6329" t="s">
        <v>47113</v>
      </c>
      <c r="L6329">
        <v>42.03</v>
      </c>
      <c r="M6329">
        <v>100</v>
      </c>
      <c r="N6329">
        <v>0</v>
      </c>
      <c r="O6329">
        <v>100</v>
      </c>
      <c r="P6329">
        <v>0</v>
      </c>
    </row>
    <row r="6330" spans="1:16" x14ac:dyDescent="0.25">
      <c r="A6330" t="s">
        <v>28745</v>
      </c>
      <c r="B6330" t="s">
        <v>5273</v>
      </c>
      <c r="C6330" t="s">
        <v>5274</v>
      </c>
      <c r="D6330" t="s">
        <v>5267</v>
      </c>
      <c r="E6330" t="s">
        <v>5268</v>
      </c>
      <c r="F6330" t="s">
        <v>56</v>
      </c>
      <c r="G6330" t="s">
        <v>16231</v>
      </c>
      <c r="H6330" t="s">
        <v>47054</v>
      </c>
      <c r="I6330" t="s">
        <v>47111</v>
      </c>
      <c r="J6330" t="s">
        <v>47112</v>
      </c>
      <c r="K6330" t="s">
        <v>47113</v>
      </c>
      <c r="L6330">
        <v>43.45</v>
      </c>
      <c r="M6330">
        <v>101</v>
      </c>
      <c r="N6330">
        <v>0</v>
      </c>
      <c r="O6330">
        <v>101</v>
      </c>
      <c r="P6330">
        <v>0</v>
      </c>
    </row>
    <row r="6331" spans="1:16" x14ac:dyDescent="0.25">
      <c r="A6331" t="s">
        <v>28746</v>
      </c>
      <c r="B6331" t="s">
        <v>5273</v>
      </c>
      <c r="C6331" t="s">
        <v>5274</v>
      </c>
      <c r="D6331" t="s">
        <v>5271</v>
      </c>
      <c r="E6331" t="s">
        <v>5272</v>
      </c>
      <c r="F6331" t="s">
        <v>56</v>
      </c>
      <c r="G6331" t="s">
        <v>16231</v>
      </c>
      <c r="H6331" t="s">
        <v>47054</v>
      </c>
      <c r="I6331" t="s">
        <v>47111</v>
      </c>
      <c r="J6331" t="s">
        <v>47112</v>
      </c>
      <c r="K6331" t="s">
        <v>47113</v>
      </c>
      <c r="L6331">
        <v>38.700000000000003</v>
      </c>
      <c r="M6331">
        <v>88</v>
      </c>
      <c r="N6331">
        <v>0</v>
      </c>
      <c r="O6331">
        <v>88</v>
      </c>
      <c r="P6331">
        <v>0</v>
      </c>
    </row>
    <row r="6332" spans="1:16" x14ac:dyDescent="0.25">
      <c r="A6332" t="s">
        <v>28747</v>
      </c>
      <c r="B6332" t="s">
        <v>5273</v>
      </c>
      <c r="C6332" t="s">
        <v>5274</v>
      </c>
      <c r="D6332" t="s">
        <v>5275</v>
      </c>
      <c r="E6332" t="s">
        <v>5276</v>
      </c>
      <c r="F6332" t="s">
        <v>296</v>
      </c>
      <c r="G6332" t="s">
        <v>16231</v>
      </c>
      <c r="H6332" t="s">
        <v>47054</v>
      </c>
      <c r="I6332" t="s">
        <v>47111</v>
      </c>
      <c r="J6332" t="s">
        <v>47112</v>
      </c>
      <c r="K6332" t="s">
        <v>47113</v>
      </c>
      <c r="L6332">
        <v>42.97</v>
      </c>
      <c r="M6332">
        <v>98</v>
      </c>
      <c r="N6332">
        <v>0</v>
      </c>
      <c r="O6332">
        <v>98</v>
      </c>
      <c r="P6332">
        <v>0</v>
      </c>
    </row>
    <row r="6333" spans="1:16" x14ac:dyDescent="0.25">
      <c r="A6333" t="s">
        <v>28748</v>
      </c>
      <c r="B6333" t="s">
        <v>5273</v>
      </c>
      <c r="C6333" t="s">
        <v>5274</v>
      </c>
      <c r="D6333" t="s">
        <v>983</v>
      </c>
      <c r="E6333" t="s">
        <v>984</v>
      </c>
      <c r="F6333" t="s">
        <v>7</v>
      </c>
      <c r="G6333" t="s">
        <v>16231</v>
      </c>
      <c r="H6333" t="s">
        <v>47054</v>
      </c>
      <c r="I6333" t="s">
        <v>47111</v>
      </c>
      <c r="J6333" t="s">
        <v>47112</v>
      </c>
      <c r="K6333" t="s">
        <v>47113</v>
      </c>
      <c r="L6333">
        <v>42.22</v>
      </c>
      <c r="M6333">
        <v>95</v>
      </c>
      <c r="N6333">
        <v>0</v>
      </c>
      <c r="O6333">
        <v>95</v>
      </c>
      <c r="P6333">
        <v>0</v>
      </c>
    </row>
    <row r="6334" spans="1:16" x14ac:dyDescent="0.25">
      <c r="A6334" t="s">
        <v>28749</v>
      </c>
      <c r="B6334" t="s">
        <v>5277</v>
      </c>
      <c r="C6334" t="s">
        <v>3416</v>
      </c>
      <c r="D6334" t="s">
        <v>1718</v>
      </c>
      <c r="E6334" t="s">
        <v>1719</v>
      </c>
      <c r="F6334" t="s">
        <v>56</v>
      </c>
      <c r="G6334" t="s">
        <v>16224</v>
      </c>
      <c r="H6334" t="s">
        <v>47054</v>
      </c>
      <c r="I6334" t="s">
        <v>47116</v>
      </c>
      <c r="J6334" t="s">
        <v>47117</v>
      </c>
      <c r="K6334" t="s">
        <v>47113</v>
      </c>
      <c r="L6334">
        <v>35.42</v>
      </c>
      <c r="M6334">
        <v>75</v>
      </c>
      <c r="N6334">
        <v>0</v>
      </c>
      <c r="O6334">
        <v>75</v>
      </c>
      <c r="P6334">
        <v>0</v>
      </c>
    </row>
    <row r="6335" spans="1:16" x14ac:dyDescent="0.25">
      <c r="A6335" t="s">
        <v>28750</v>
      </c>
      <c r="B6335" t="s">
        <v>5277</v>
      </c>
      <c r="C6335" t="s">
        <v>3416</v>
      </c>
      <c r="D6335" t="s">
        <v>5267</v>
      </c>
      <c r="E6335" t="s">
        <v>5268</v>
      </c>
      <c r="F6335" t="s">
        <v>56</v>
      </c>
      <c r="G6335" t="s">
        <v>16224</v>
      </c>
      <c r="H6335" t="s">
        <v>47054</v>
      </c>
      <c r="I6335" t="s">
        <v>47116</v>
      </c>
      <c r="J6335" t="s">
        <v>47117</v>
      </c>
      <c r="K6335" t="s">
        <v>47113</v>
      </c>
      <c r="L6335">
        <v>38.76</v>
      </c>
      <c r="M6335">
        <v>99</v>
      </c>
      <c r="N6335">
        <v>0</v>
      </c>
      <c r="O6335">
        <v>99</v>
      </c>
      <c r="P6335">
        <v>0</v>
      </c>
    </row>
    <row r="6336" spans="1:16" x14ac:dyDescent="0.25">
      <c r="A6336" t="s">
        <v>28751</v>
      </c>
      <c r="B6336" t="s">
        <v>5278</v>
      </c>
      <c r="C6336" t="s">
        <v>5279</v>
      </c>
      <c r="D6336" t="s">
        <v>1174</v>
      </c>
      <c r="E6336" t="s">
        <v>1175</v>
      </c>
      <c r="F6336" t="s">
        <v>7</v>
      </c>
      <c r="G6336" t="s">
        <v>16231</v>
      </c>
      <c r="H6336" t="s">
        <v>47054</v>
      </c>
      <c r="I6336" t="s">
        <v>47111</v>
      </c>
      <c r="J6336" t="s">
        <v>47112</v>
      </c>
      <c r="K6336" t="s">
        <v>47113</v>
      </c>
      <c r="L6336">
        <v>61.75</v>
      </c>
      <c r="M6336">
        <v>99</v>
      </c>
      <c r="N6336">
        <v>0</v>
      </c>
      <c r="O6336">
        <v>99</v>
      </c>
      <c r="P6336">
        <v>0</v>
      </c>
    </row>
    <row r="6337" spans="1:16" x14ac:dyDescent="0.25">
      <c r="A6337" t="s">
        <v>28752</v>
      </c>
      <c r="B6337" t="s">
        <v>5278</v>
      </c>
      <c r="C6337" t="s">
        <v>5279</v>
      </c>
      <c r="D6337" t="s">
        <v>5280</v>
      </c>
      <c r="E6337" t="s">
        <v>5281</v>
      </c>
      <c r="F6337" t="s">
        <v>296</v>
      </c>
      <c r="G6337" t="s">
        <v>16231</v>
      </c>
      <c r="H6337" t="s">
        <v>47054</v>
      </c>
      <c r="I6337" t="s">
        <v>47111</v>
      </c>
      <c r="J6337" t="s">
        <v>47112</v>
      </c>
      <c r="K6337" t="s">
        <v>47113</v>
      </c>
      <c r="L6337">
        <v>37.880000000000003</v>
      </c>
      <c r="M6337">
        <v>94</v>
      </c>
      <c r="N6337">
        <v>0</v>
      </c>
      <c r="O6337">
        <v>94</v>
      </c>
      <c r="P6337">
        <v>0</v>
      </c>
    </row>
    <row r="6338" spans="1:16" x14ac:dyDescent="0.25">
      <c r="A6338" t="s">
        <v>28753</v>
      </c>
      <c r="B6338" t="s">
        <v>5282</v>
      </c>
      <c r="C6338" t="s">
        <v>5283</v>
      </c>
      <c r="D6338" t="s">
        <v>1718</v>
      </c>
      <c r="E6338" t="s">
        <v>1719</v>
      </c>
      <c r="F6338" t="s">
        <v>56</v>
      </c>
      <c r="G6338" t="s">
        <v>16231</v>
      </c>
      <c r="H6338" t="s">
        <v>47054</v>
      </c>
      <c r="I6338" t="s">
        <v>47111</v>
      </c>
      <c r="J6338" t="s">
        <v>47112</v>
      </c>
      <c r="K6338" t="s">
        <v>47113</v>
      </c>
      <c r="L6338">
        <v>30.69</v>
      </c>
      <c r="M6338">
        <v>69</v>
      </c>
      <c r="N6338">
        <v>0</v>
      </c>
      <c r="O6338">
        <v>69</v>
      </c>
      <c r="P6338">
        <v>0</v>
      </c>
    </row>
    <row r="6339" spans="1:16" x14ac:dyDescent="0.25">
      <c r="A6339" t="s">
        <v>28754</v>
      </c>
      <c r="B6339" t="s">
        <v>5282</v>
      </c>
      <c r="C6339" t="s">
        <v>5283</v>
      </c>
      <c r="D6339" t="s">
        <v>2567</v>
      </c>
      <c r="E6339" t="s">
        <v>2568</v>
      </c>
      <c r="F6339" t="s">
        <v>56</v>
      </c>
      <c r="G6339" t="s">
        <v>16231</v>
      </c>
      <c r="H6339" t="s">
        <v>47054</v>
      </c>
      <c r="I6339" t="s">
        <v>47111</v>
      </c>
      <c r="J6339" t="s">
        <v>47112</v>
      </c>
      <c r="K6339" t="s">
        <v>47113</v>
      </c>
      <c r="L6339">
        <v>41.66</v>
      </c>
      <c r="M6339">
        <v>100</v>
      </c>
      <c r="N6339">
        <v>0</v>
      </c>
      <c r="O6339">
        <v>100</v>
      </c>
      <c r="P6339">
        <v>0</v>
      </c>
    </row>
    <row r="6340" spans="1:16" x14ac:dyDescent="0.25">
      <c r="A6340" t="s">
        <v>28755</v>
      </c>
      <c r="B6340" t="s">
        <v>5282</v>
      </c>
      <c r="C6340" t="s">
        <v>5283</v>
      </c>
      <c r="D6340" t="s">
        <v>1174</v>
      </c>
      <c r="E6340" t="s">
        <v>1175</v>
      </c>
      <c r="F6340" t="s">
        <v>7</v>
      </c>
      <c r="G6340" t="s">
        <v>16231</v>
      </c>
      <c r="H6340" t="s">
        <v>47054</v>
      </c>
      <c r="I6340" t="s">
        <v>47111</v>
      </c>
      <c r="J6340" t="s">
        <v>47112</v>
      </c>
      <c r="K6340" t="s">
        <v>47113</v>
      </c>
      <c r="L6340">
        <v>36.53</v>
      </c>
      <c r="M6340">
        <v>95</v>
      </c>
      <c r="N6340">
        <v>0</v>
      </c>
      <c r="O6340">
        <v>95</v>
      </c>
      <c r="P6340">
        <v>0</v>
      </c>
    </row>
    <row r="6341" spans="1:16" x14ac:dyDescent="0.25">
      <c r="A6341" t="s">
        <v>28756</v>
      </c>
      <c r="B6341" t="s">
        <v>5284</v>
      </c>
      <c r="C6341" t="s">
        <v>5285</v>
      </c>
      <c r="D6341" t="s">
        <v>2567</v>
      </c>
      <c r="E6341" t="s">
        <v>2568</v>
      </c>
      <c r="F6341" t="s">
        <v>56</v>
      </c>
      <c r="G6341" t="s">
        <v>16231</v>
      </c>
      <c r="H6341" t="s">
        <v>47054</v>
      </c>
      <c r="I6341" t="s">
        <v>47111</v>
      </c>
      <c r="J6341" t="s">
        <v>47112</v>
      </c>
      <c r="K6341" t="s">
        <v>47113</v>
      </c>
      <c r="L6341">
        <v>41.47</v>
      </c>
      <c r="M6341">
        <v>100</v>
      </c>
      <c r="N6341">
        <v>0</v>
      </c>
      <c r="O6341">
        <v>100</v>
      </c>
      <c r="P6341">
        <v>0</v>
      </c>
    </row>
    <row r="6342" spans="1:16" x14ac:dyDescent="0.25">
      <c r="A6342" t="s">
        <v>28757</v>
      </c>
      <c r="B6342" t="s">
        <v>5284</v>
      </c>
      <c r="C6342" t="s">
        <v>5285</v>
      </c>
      <c r="D6342" t="s">
        <v>1174</v>
      </c>
      <c r="E6342" t="s">
        <v>1175</v>
      </c>
      <c r="F6342" t="s">
        <v>7</v>
      </c>
      <c r="G6342" t="s">
        <v>16231</v>
      </c>
      <c r="H6342" t="s">
        <v>47054</v>
      </c>
      <c r="I6342" t="s">
        <v>47111</v>
      </c>
      <c r="J6342" t="s">
        <v>47112</v>
      </c>
      <c r="K6342" t="s">
        <v>47113</v>
      </c>
      <c r="L6342">
        <v>36.340000000000003</v>
      </c>
      <c r="M6342">
        <v>95</v>
      </c>
      <c r="N6342">
        <v>0</v>
      </c>
      <c r="O6342">
        <v>95</v>
      </c>
      <c r="P6342">
        <v>0</v>
      </c>
    </row>
    <row r="6343" spans="1:16" x14ac:dyDescent="0.25">
      <c r="A6343" t="s">
        <v>28758</v>
      </c>
      <c r="B6343" t="s">
        <v>5286</v>
      </c>
      <c r="C6343" t="s">
        <v>5287</v>
      </c>
      <c r="D6343" t="s">
        <v>1718</v>
      </c>
      <c r="E6343" t="s">
        <v>1719</v>
      </c>
      <c r="F6343" t="s">
        <v>56</v>
      </c>
      <c r="G6343" t="s">
        <v>16231</v>
      </c>
      <c r="H6343" t="s">
        <v>47054</v>
      </c>
      <c r="I6343" t="s">
        <v>47111</v>
      </c>
      <c r="J6343" t="s">
        <v>47112</v>
      </c>
      <c r="K6343" t="s">
        <v>47113</v>
      </c>
      <c r="L6343">
        <v>30</v>
      </c>
      <c r="M6343">
        <v>69</v>
      </c>
      <c r="N6343">
        <v>0</v>
      </c>
      <c r="O6343">
        <v>69</v>
      </c>
      <c r="P6343">
        <v>0</v>
      </c>
    </row>
    <row r="6344" spans="1:16" x14ac:dyDescent="0.25">
      <c r="A6344" t="s">
        <v>28759</v>
      </c>
      <c r="B6344" t="s">
        <v>5286</v>
      </c>
      <c r="C6344" t="s">
        <v>5287</v>
      </c>
      <c r="D6344" t="s">
        <v>2567</v>
      </c>
      <c r="E6344" t="s">
        <v>2568</v>
      </c>
      <c r="F6344" t="s">
        <v>56</v>
      </c>
      <c r="G6344" t="s">
        <v>16231</v>
      </c>
      <c r="H6344" t="s">
        <v>47054</v>
      </c>
      <c r="I6344" t="s">
        <v>47111</v>
      </c>
      <c r="J6344" t="s">
        <v>47112</v>
      </c>
      <c r="K6344" t="s">
        <v>47113</v>
      </c>
      <c r="L6344">
        <v>40.39</v>
      </c>
      <c r="M6344">
        <v>100</v>
      </c>
      <c r="N6344">
        <v>0</v>
      </c>
      <c r="O6344">
        <v>100</v>
      </c>
      <c r="P6344">
        <v>0</v>
      </c>
    </row>
    <row r="6345" spans="1:16" x14ac:dyDescent="0.25">
      <c r="A6345" t="s">
        <v>28760</v>
      </c>
      <c r="B6345" t="s">
        <v>5286</v>
      </c>
      <c r="C6345" t="s">
        <v>5287</v>
      </c>
      <c r="D6345" t="s">
        <v>5288</v>
      </c>
      <c r="E6345" t="s">
        <v>5289</v>
      </c>
      <c r="F6345" t="s">
        <v>56</v>
      </c>
      <c r="G6345" t="s">
        <v>16231</v>
      </c>
      <c r="H6345" t="s">
        <v>47054</v>
      </c>
      <c r="I6345" t="s">
        <v>47111</v>
      </c>
      <c r="J6345" t="s">
        <v>47112</v>
      </c>
      <c r="K6345" t="s">
        <v>47113</v>
      </c>
      <c r="L6345">
        <v>34.04</v>
      </c>
      <c r="M6345">
        <v>84</v>
      </c>
      <c r="N6345">
        <v>0</v>
      </c>
      <c r="O6345">
        <v>84</v>
      </c>
      <c r="P6345">
        <v>0</v>
      </c>
    </row>
    <row r="6346" spans="1:16" x14ac:dyDescent="0.25">
      <c r="A6346" t="s">
        <v>28761</v>
      </c>
      <c r="B6346" t="s">
        <v>5286</v>
      </c>
      <c r="C6346" t="s">
        <v>5287</v>
      </c>
      <c r="D6346" t="s">
        <v>5290</v>
      </c>
      <c r="E6346" t="s">
        <v>5291</v>
      </c>
      <c r="F6346" t="s">
        <v>296</v>
      </c>
      <c r="G6346" t="s">
        <v>16231</v>
      </c>
      <c r="H6346" t="s">
        <v>47054</v>
      </c>
      <c r="I6346" t="s">
        <v>47111</v>
      </c>
      <c r="J6346" t="s">
        <v>47112</v>
      </c>
      <c r="K6346" t="s">
        <v>47113</v>
      </c>
      <c r="L6346">
        <v>38.880000000000003</v>
      </c>
      <c r="M6346">
        <v>96</v>
      </c>
      <c r="N6346">
        <v>0</v>
      </c>
      <c r="O6346">
        <v>96</v>
      </c>
      <c r="P6346">
        <v>0</v>
      </c>
    </row>
    <row r="6347" spans="1:16" x14ac:dyDescent="0.25">
      <c r="A6347" t="s">
        <v>28762</v>
      </c>
      <c r="B6347" t="s">
        <v>5286</v>
      </c>
      <c r="C6347" t="s">
        <v>5287</v>
      </c>
      <c r="D6347" t="s">
        <v>1174</v>
      </c>
      <c r="E6347" t="s">
        <v>1175</v>
      </c>
      <c r="F6347" t="s">
        <v>7</v>
      </c>
      <c r="G6347" t="s">
        <v>16231</v>
      </c>
      <c r="H6347" t="s">
        <v>47054</v>
      </c>
      <c r="I6347" t="s">
        <v>47111</v>
      </c>
      <c r="J6347" t="s">
        <v>47112</v>
      </c>
      <c r="K6347" t="s">
        <v>47113</v>
      </c>
      <c r="L6347">
        <v>36.54</v>
      </c>
      <c r="M6347">
        <v>95</v>
      </c>
      <c r="N6347">
        <v>0</v>
      </c>
      <c r="O6347">
        <v>95</v>
      </c>
      <c r="P6347">
        <v>0</v>
      </c>
    </row>
    <row r="6348" spans="1:16" x14ac:dyDescent="0.25">
      <c r="A6348" t="s">
        <v>28763</v>
      </c>
      <c r="B6348" t="s">
        <v>5292</v>
      </c>
      <c r="C6348" t="s">
        <v>5293</v>
      </c>
      <c r="D6348" t="s">
        <v>294</v>
      </c>
      <c r="E6348" t="s">
        <v>295</v>
      </c>
      <c r="F6348" t="s">
        <v>7</v>
      </c>
      <c r="G6348" t="s">
        <v>16224</v>
      </c>
      <c r="H6348" t="s">
        <v>47054</v>
      </c>
      <c r="I6348" t="s">
        <v>47116</v>
      </c>
      <c r="J6348" t="s">
        <v>47117</v>
      </c>
      <c r="K6348" t="s">
        <v>47113</v>
      </c>
      <c r="L6348">
        <v>41.35</v>
      </c>
      <c r="M6348">
        <v>101</v>
      </c>
      <c r="N6348">
        <v>0</v>
      </c>
      <c r="O6348">
        <v>101</v>
      </c>
      <c r="P6348">
        <v>0</v>
      </c>
    </row>
    <row r="6349" spans="1:16" x14ac:dyDescent="0.25">
      <c r="A6349" t="s">
        <v>28764</v>
      </c>
      <c r="B6349" t="s">
        <v>5292</v>
      </c>
      <c r="C6349" t="s">
        <v>5293</v>
      </c>
      <c r="D6349" t="s">
        <v>2567</v>
      </c>
      <c r="E6349" t="s">
        <v>2568</v>
      </c>
      <c r="F6349" t="s">
        <v>56</v>
      </c>
      <c r="G6349" t="s">
        <v>16224</v>
      </c>
      <c r="H6349" t="s">
        <v>47054</v>
      </c>
      <c r="I6349" t="s">
        <v>47116</v>
      </c>
      <c r="J6349" t="s">
        <v>47117</v>
      </c>
      <c r="K6349" t="s">
        <v>47113</v>
      </c>
      <c r="L6349">
        <v>38.32</v>
      </c>
      <c r="M6349">
        <v>104</v>
      </c>
      <c r="N6349">
        <v>0</v>
      </c>
      <c r="O6349">
        <v>104</v>
      </c>
      <c r="P6349">
        <v>0</v>
      </c>
    </row>
    <row r="6350" spans="1:16" x14ac:dyDescent="0.25">
      <c r="A6350" t="s">
        <v>28765</v>
      </c>
      <c r="B6350" t="s">
        <v>5294</v>
      </c>
      <c r="C6350" t="s">
        <v>5295</v>
      </c>
      <c r="D6350" t="s">
        <v>2567</v>
      </c>
      <c r="E6350" t="s">
        <v>2568</v>
      </c>
      <c r="F6350" t="s">
        <v>56</v>
      </c>
      <c r="G6350" t="s">
        <v>16231</v>
      </c>
      <c r="H6350" t="s">
        <v>47054</v>
      </c>
      <c r="I6350" t="s">
        <v>47111</v>
      </c>
      <c r="J6350" t="s">
        <v>47112</v>
      </c>
      <c r="K6350" t="s">
        <v>47113</v>
      </c>
      <c r="L6350">
        <v>41.47</v>
      </c>
      <c r="M6350">
        <v>100</v>
      </c>
      <c r="N6350">
        <v>0</v>
      </c>
      <c r="O6350">
        <v>100</v>
      </c>
      <c r="P6350">
        <v>0</v>
      </c>
    </row>
    <row r="6351" spans="1:16" x14ac:dyDescent="0.25">
      <c r="A6351" t="s">
        <v>28766</v>
      </c>
      <c r="B6351" t="s">
        <v>5294</v>
      </c>
      <c r="C6351" t="s">
        <v>5295</v>
      </c>
      <c r="D6351" t="s">
        <v>1174</v>
      </c>
      <c r="E6351" t="s">
        <v>1175</v>
      </c>
      <c r="F6351" t="s">
        <v>7</v>
      </c>
      <c r="G6351" t="s">
        <v>16231</v>
      </c>
      <c r="H6351" t="s">
        <v>47054</v>
      </c>
      <c r="I6351" t="s">
        <v>47111</v>
      </c>
      <c r="J6351" t="s">
        <v>47112</v>
      </c>
      <c r="K6351" t="s">
        <v>47113</v>
      </c>
      <c r="L6351">
        <v>35.200000000000003</v>
      </c>
      <c r="M6351">
        <v>95</v>
      </c>
      <c r="N6351">
        <v>0</v>
      </c>
      <c r="O6351">
        <v>95</v>
      </c>
      <c r="P6351">
        <v>0</v>
      </c>
    </row>
    <row r="6352" spans="1:16" x14ac:dyDescent="0.25">
      <c r="A6352" t="s">
        <v>28767</v>
      </c>
      <c r="B6352" t="s">
        <v>5296</v>
      </c>
      <c r="C6352" t="s">
        <v>5297</v>
      </c>
      <c r="D6352" t="s">
        <v>294</v>
      </c>
      <c r="E6352" t="s">
        <v>295</v>
      </c>
      <c r="F6352" t="s">
        <v>7</v>
      </c>
      <c r="G6352" t="s">
        <v>16231</v>
      </c>
      <c r="H6352" t="s">
        <v>47054</v>
      </c>
      <c r="I6352" t="s">
        <v>47111</v>
      </c>
      <c r="J6352" t="s">
        <v>47112</v>
      </c>
      <c r="K6352" t="s">
        <v>47113</v>
      </c>
      <c r="L6352">
        <v>41.1</v>
      </c>
      <c r="M6352">
        <v>89</v>
      </c>
      <c r="N6352">
        <v>0</v>
      </c>
      <c r="O6352">
        <v>89</v>
      </c>
      <c r="P6352">
        <v>0</v>
      </c>
    </row>
    <row r="6353" spans="1:16" x14ac:dyDescent="0.25">
      <c r="A6353" t="s">
        <v>28768</v>
      </c>
      <c r="B6353" t="s">
        <v>5296</v>
      </c>
      <c r="C6353" t="s">
        <v>5297</v>
      </c>
      <c r="D6353" t="s">
        <v>1740</v>
      </c>
      <c r="E6353" t="s">
        <v>1741</v>
      </c>
      <c r="F6353" t="s">
        <v>7</v>
      </c>
      <c r="G6353" t="s">
        <v>16231</v>
      </c>
      <c r="H6353" t="s">
        <v>47054</v>
      </c>
      <c r="I6353" t="s">
        <v>47111</v>
      </c>
      <c r="J6353" t="s">
        <v>47112</v>
      </c>
      <c r="K6353" t="s">
        <v>47113</v>
      </c>
      <c r="L6353">
        <v>38.409999999999997</v>
      </c>
      <c r="M6353">
        <v>89</v>
      </c>
      <c r="N6353">
        <v>0</v>
      </c>
      <c r="O6353">
        <v>89</v>
      </c>
      <c r="P6353">
        <v>0</v>
      </c>
    </row>
    <row r="6354" spans="1:16" x14ac:dyDescent="0.25">
      <c r="A6354" t="s">
        <v>28769</v>
      </c>
      <c r="B6354" t="s">
        <v>5296</v>
      </c>
      <c r="C6354" t="s">
        <v>5297</v>
      </c>
      <c r="D6354" t="s">
        <v>2525</v>
      </c>
      <c r="E6354" t="s">
        <v>2526</v>
      </c>
      <c r="F6354" t="s">
        <v>6</v>
      </c>
      <c r="G6354" t="s">
        <v>16231</v>
      </c>
      <c r="H6354" t="s">
        <v>47054</v>
      </c>
      <c r="I6354" t="s">
        <v>47111</v>
      </c>
      <c r="J6354" t="s">
        <v>47112</v>
      </c>
      <c r="K6354" t="s">
        <v>47113</v>
      </c>
      <c r="L6354">
        <v>41.35</v>
      </c>
      <c r="M6354">
        <v>107</v>
      </c>
      <c r="N6354">
        <v>0</v>
      </c>
      <c r="O6354">
        <v>107</v>
      </c>
      <c r="P6354">
        <v>0</v>
      </c>
    </row>
    <row r="6355" spans="1:16" x14ac:dyDescent="0.25">
      <c r="A6355" t="s">
        <v>28770</v>
      </c>
      <c r="B6355" t="s">
        <v>5298</v>
      </c>
      <c r="C6355" t="s">
        <v>5299</v>
      </c>
      <c r="D6355" t="s">
        <v>2525</v>
      </c>
      <c r="E6355" t="s">
        <v>2526</v>
      </c>
      <c r="F6355" t="s">
        <v>2</v>
      </c>
      <c r="G6355" t="s">
        <v>16231</v>
      </c>
      <c r="H6355" t="s">
        <v>47054</v>
      </c>
      <c r="I6355" t="s">
        <v>47111</v>
      </c>
      <c r="J6355" t="s">
        <v>47112</v>
      </c>
      <c r="K6355" t="s">
        <v>47113</v>
      </c>
      <c r="L6355">
        <v>40.119999999999997</v>
      </c>
      <c r="M6355">
        <v>120</v>
      </c>
      <c r="N6355">
        <v>0</v>
      </c>
      <c r="O6355">
        <v>120</v>
      </c>
      <c r="P6355">
        <v>0</v>
      </c>
    </row>
    <row r="6356" spans="1:16" x14ac:dyDescent="0.25">
      <c r="A6356" t="s">
        <v>28771</v>
      </c>
      <c r="B6356" t="s">
        <v>5298</v>
      </c>
      <c r="C6356" t="s">
        <v>5299</v>
      </c>
      <c r="D6356" t="s">
        <v>5300</v>
      </c>
      <c r="E6356" t="s">
        <v>5301</v>
      </c>
      <c r="F6356" t="s">
        <v>2</v>
      </c>
      <c r="G6356" t="s">
        <v>16231</v>
      </c>
      <c r="H6356" t="s">
        <v>47054</v>
      </c>
      <c r="I6356" t="s">
        <v>47111</v>
      </c>
      <c r="J6356" t="s">
        <v>47112</v>
      </c>
      <c r="K6356" t="s">
        <v>47113</v>
      </c>
      <c r="L6356">
        <v>33.44</v>
      </c>
      <c r="M6356">
        <v>76</v>
      </c>
      <c r="N6356">
        <v>0</v>
      </c>
      <c r="O6356">
        <v>76</v>
      </c>
      <c r="P6356">
        <v>0</v>
      </c>
    </row>
    <row r="6357" spans="1:16" x14ac:dyDescent="0.25">
      <c r="A6357" t="s">
        <v>28772</v>
      </c>
      <c r="B6357" t="s">
        <v>5298</v>
      </c>
      <c r="C6357" t="s">
        <v>5299</v>
      </c>
      <c r="D6357" t="s">
        <v>5302</v>
      </c>
      <c r="E6357" t="s">
        <v>5303</v>
      </c>
      <c r="F6357" t="s">
        <v>2</v>
      </c>
      <c r="G6357" t="s">
        <v>16231</v>
      </c>
      <c r="H6357" t="s">
        <v>47054</v>
      </c>
      <c r="I6357" t="s">
        <v>47111</v>
      </c>
      <c r="J6357" t="s">
        <v>47112</v>
      </c>
      <c r="K6357" t="s">
        <v>47113</v>
      </c>
      <c r="L6357">
        <v>34.909999999999997</v>
      </c>
      <c r="M6357">
        <v>80</v>
      </c>
      <c r="N6357">
        <v>0</v>
      </c>
      <c r="O6357">
        <v>80</v>
      </c>
      <c r="P6357">
        <v>0</v>
      </c>
    </row>
    <row r="6358" spans="1:16" x14ac:dyDescent="0.25">
      <c r="A6358" t="s">
        <v>28773</v>
      </c>
      <c r="B6358" t="s">
        <v>5304</v>
      </c>
      <c r="C6358" t="s">
        <v>5305</v>
      </c>
      <c r="D6358" t="s">
        <v>294</v>
      </c>
      <c r="E6358" t="s">
        <v>295</v>
      </c>
      <c r="F6358" t="s">
        <v>7</v>
      </c>
      <c r="G6358" t="s">
        <v>16231</v>
      </c>
      <c r="H6358" t="s">
        <v>47054</v>
      </c>
      <c r="I6358" t="s">
        <v>47111</v>
      </c>
      <c r="J6358" t="s">
        <v>47112</v>
      </c>
      <c r="K6358" t="s">
        <v>47113</v>
      </c>
      <c r="L6358">
        <v>40.67</v>
      </c>
      <c r="M6358">
        <v>89</v>
      </c>
      <c r="N6358">
        <v>0</v>
      </c>
      <c r="O6358">
        <v>89</v>
      </c>
      <c r="P6358">
        <v>0</v>
      </c>
    </row>
    <row r="6359" spans="1:16" x14ac:dyDescent="0.25">
      <c r="A6359" t="s">
        <v>28774</v>
      </c>
      <c r="B6359" t="s">
        <v>5304</v>
      </c>
      <c r="C6359" t="s">
        <v>5305</v>
      </c>
      <c r="D6359" t="s">
        <v>1740</v>
      </c>
      <c r="E6359" t="s">
        <v>1741</v>
      </c>
      <c r="F6359" t="s">
        <v>7</v>
      </c>
      <c r="G6359" t="s">
        <v>16231</v>
      </c>
      <c r="H6359" t="s">
        <v>47054</v>
      </c>
      <c r="I6359" t="s">
        <v>47111</v>
      </c>
      <c r="J6359" t="s">
        <v>47112</v>
      </c>
      <c r="K6359" t="s">
        <v>47113</v>
      </c>
      <c r="L6359">
        <v>38.090000000000003</v>
      </c>
      <c r="M6359">
        <v>89</v>
      </c>
      <c r="N6359">
        <v>0</v>
      </c>
      <c r="O6359">
        <v>89</v>
      </c>
      <c r="P6359">
        <v>0</v>
      </c>
    </row>
    <row r="6360" spans="1:16" x14ac:dyDescent="0.25">
      <c r="A6360" t="s">
        <v>28775</v>
      </c>
      <c r="B6360" t="s">
        <v>5304</v>
      </c>
      <c r="C6360" t="s">
        <v>5305</v>
      </c>
      <c r="D6360" t="s">
        <v>2525</v>
      </c>
      <c r="E6360" t="s">
        <v>2526</v>
      </c>
      <c r="F6360" t="s">
        <v>6</v>
      </c>
      <c r="G6360" t="s">
        <v>16231</v>
      </c>
      <c r="H6360" t="s">
        <v>47054</v>
      </c>
      <c r="I6360" t="s">
        <v>47111</v>
      </c>
      <c r="J6360" t="s">
        <v>47112</v>
      </c>
      <c r="K6360" t="s">
        <v>47113</v>
      </c>
      <c r="L6360">
        <v>40.94</v>
      </c>
      <c r="M6360">
        <v>107</v>
      </c>
      <c r="N6360">
        <v>0</v>
      </c>
      <c r="O6360">
        <v>107</v>
      </c>
      <c r="P6360">
        <v>0</v>
      </c>
    </row>
    <row r="6361" spans="1:16" x14ac:dyDescent="0.25">
      <c r="A6361" t="s">
        <v>28776</v>
      </c>
      <c r="B6361" t="s">
        <v>5306</v>
      </c>
      <c r="C6361" t="s">
        <v>5299</v>
      </c>
      <c r="D6361" t="s">
        <v>2525</v>
      </c>
      <c r="E6361" t="s">
        <v>2526</v>
      </c>
      <c r="F6361" t="s">
        <v>2</v>
      </c>
      <c r="G6361" t="s">
        <v>16231</v>
      </c>
      <c r="I6361" t="s">
        <v>47111</v>
      </c>
      <c r="J6361" t="s">
        <v>47112</v>
      </c>
      <c r="K6361" t="s">
        <v>47113</v>
      </c>
      <c r="L6361">
        <v>40.35</v>
      </c>
      <c r="M6361">
        <v>120</v>
      </c>
      <c r="N6361">
        <v>0</v>
      </c>
      <c r="O6361">
        <v>120</v>
      </c>
      <c r="P6361">
        <v>0</v>
      </c>
    </row>
    <row r="6362" spans="1:16" x14ac:dyDescent="0.25">
      <c r="A6362" t="s">
        <v>28777</v>
      </c>
      <c r="B6362" t="s">
        <v>5306</v>
      </c>
      <c r="C6362" t="s">
        <v>5299</v>
      </c>
      <c r="D6362" t="s">
        <v>5300</v>
      </c>
      <c r="E6362" t="s">
        <v>5301</v>
      </c>
      <c r="F6362" t="s">
        <v>2</v>
      </c>
      <c r="G6362" t="s">
        <v>16231</v>
      </c>
      <c r="I6362" t="s">
        <v>47111</v>
      </c>
      <c r="J6362" t="s">
        <v>47112</v>
      </c>
      <c r="K6362" t="s">
        <v>47113</v>
      </c>
      <c r="L6362">
        <v>33.6</v>
      </c>
      <c r="M6362">
        <v>76</v>
      </c>
      <c r="N6362">
        <v>0</v>
      </c>
      <c r="O6362">
        <v>76</v>
      </c>
      <c r="P6362">
        <v>0</v>
      </c>
    </row>
    <row r="6363" spans="1:16" x14ac:dyDescent="0.25">
      <c r="A6363" t="s">
        <v>28778</v>
      </c>
      <c r="B6363" t="s">
        <v>5306</v>
      </c>
      <c r="C6363" t="s">
        <v>5299</v>
      </c>
      <c r="D6363" t="s">
        <v>5302</v>
      </c>
      <c r="E6363" t="s">
        <v>5303</v>
      </c>
      <c r="F6363" t="s">
        <v>2</v>
      </c>
      <c r="G6363" t="s">
        <v>16231</v>
      </c>
      <c r="I6363" t="s">
        <v>47111</v>
      </c>
      <c r="J6363" t="s">
        <v>47112</v>
      </c>
      <c r="K6363" t="s">
        <v>47113</v>
      </c>
      <c r="L6363">
        <v>34.72</v>
      </c>
      <c r="M6363">
        <v>80</v>
      </c>
      <c r="N6363">
        <v>0</v>
      </c>
      <c r="O6363">
        <v>80</v>
      </c>
      <c r="P6363">
        <v>0</v>
      </c>
    </row>
    <row r="6364" spans="1:16" x14ac:dyDescent="0.25">
      <c r="A6364" t="s">
        <v>28779</v>
      </c>
      <c r="B6364" t="s">
        <v>5307</v>
      </c>
      <c r="C6364" t="s">
        <v>5308</v>
      </c>
      <c r="D6364" t="s">
        <v>2567</v>
      </c>
      <c r="E6364" t="s">
        <v>2568</v>
      </c>
      <c r="F6364" t="s">
        <v>296</v>
      </c>
      <c r="G6364" t="s">
        <v>47122</v>
      </c>
      <c r="H6364" t="s">
        <v>47054</v>
      </c>
      <c r="I6364" t="s">
        <v>47111</v>
      </c>
      <c r="J6364" t="s">
        <v>47112</v>
      </c>
      <c r="K6364" t="s">
        <v>47113</v>
      </c>
      <c r="L6364">
        <v>32.35</v>
      </c>
      <c r="M6364">
        <v>70</v>
      </c>
      <c r="N6364">
        <v>0</v>
      </c>
      <c r="O6364">
        <v>70</v>
      </c>
      <c r="P6364">
        <v>0</v>
      </c>
    </row>
    <row r="6365" spans="1:16" x14ac:dyDescent="0.25">
      <c r="A6365" t="s">
        <v>28780</v>
      </c>
      <c r="B6365" t="s">
        <v>5307</v>
      </c>
      <c r="C6365" t="s">
        <v>5308</v>
      </c>
      <c r="D6365" t="s">
        <v>2030</v>
      </c>
      <c r="E6365" t="s">
        <v>2031</v>
      </c>
      <c r="F6365" t="s">
        <v>296</v>
      </c>
      <c r="G6365" t="s">
        <v>47122</v>
      </c>
      <c r="H6365" t="s">
        <v>47054</v>
      </c>
      <c r="I6365" t="s">
        <v>47111</v>
      </c>
      <c r="J6365" t="s">
        <v>47112</v>
      </c>
      <c r="K6365" t="s">
        <v>47113</v>
      </c>
      <c r="L6365">
        <v>30.99</v>
      </c>
      <c r="M6365">
        <v>70</v>
      </c>
      <c r="N6365">
        <v>0</v>
      </c>
      <c r="O6365">
        <v>70</v>
      </c>
      <c r="P6365">
        <v>0</v>
      </c>
    </row>
    <row r="6366" spans="1:16" x14ac:dyDescent="0.25">
      <c r="A6366" t="s">
        <v>28781</v>
      </c>
      <c r="B6366" t="s">
        <v>5309</v>
      </c>
      <c r="C6366" t="s">
        <v>5310</v>
      </c>
      <c r="D6366" t="s">
        <v>2038</v>
      </c>
      <c r="E6366" t="s">
        <v>2039</v>
      </c>
      <c r="F6366" t="s">
        <v>3</v>
      </c>
      <c r="G6366" t="s">
        <v>16231</v>
      </c>
      <c r="H6366" t="s">
        <v>47054</v>
      </c>
      <c r="I6366" t="s">
        <v>47111</v>
      </c>
      <c r="J6366" t="s">
        <v>47112</v>
      </c>
      <c r="K6366" t="s">
        <v>47113</v>
      </c>
      <c r="L6366">
        <v>38.54</v>
      </c>
      <c r="M6366">
        <v>84</v>
      </c>
      <c r="N6366">
        <v>0</v>
      </c>
      <c r="O6366">
        <v>84</v>
      </c>
      <c r="P6366">
        <v>0</v>
      </c>
    </row>
    <row r="6367" spans="1:16" x14ac:dyDescent="0.25">
      <c r="A6367" t="s">
        <v>28782</v>
      </c>
      <c r="B6367" t="s">
        <v>5311</v>
      </c>
      <c r="C6367" t="s">
        <v>5312</v>
      </c>
      <c r="D6367" t="s">
        <v>294</v>
      </c>
      <c r="E6367" t="s">
        <v>295</v>
      </c>
      <c r="F6367" t="s">
        <v>7</v>
      </c>
      <c r="G6367" t="s">
        <v>16231</v>
      </c>
      <c r="H6367" t="s">
        <v>47054</v>
      </c>
      <c r="I6367" t="s">
        <v>47111</v>
      </c>
      <c r="J6367" t="s">
        <v>47112</v>
      </c>
      <c r="K6367" t="s">
        <v>47113</v>
      </c>
      <c r="L6367">
        <v>40.880000000000003</v>
      </c>
      <c r="M6367">
        <v>89</v>
      </c>
      <c r="N6367">
        <v>0</v>
      </c>
      <c r="O6367">
        <v>89</v>
      </c>
      <c r="P6367">
        <v>0</v>
      </c>
    </row>
    <row r="6368" spans="1:16" x14ac:dyDescent="0.25">
      <c r="A6368" t="s">
        <v>28783</v>
      </c>
      <c r="B6368" t="s">
        <v>5311</v>
      </c>
      <c r="C6368" t="s">
        <v>5312</v>
      </c>
      <c r="D6368" t="s">
        <v>1740</v>
      </c>
      <c r="E6368" t="s">
        <v>1741</v>
      </c>
      <c r="F6368" t="s">
        <v>7</v>
      </c>
      <c r="G6368" t="s">
        <v>16231</v>
      </c>
      <c r="H6368" t="s">
        <v>47054</v>
      </c>
      <c r="I6368" t="s">
        <v>47111</v>
      </c>
      <c r="J6368" t="s">
        <v>47112</v>
      </c>
      <c r="K6368" t="s">
        <v>47113</v>
      </c>
      <c r="L6368">
        <v>37.35</v>
      </c>
      <c r="M6368">
        <v>89</v>
      </c>
      <c r="N6368">
        <v>0</v>
      </c>
      <c r="O6368">
        <v>89</v>
      </c>
      <c r="P6368">
        <v>0</v>
      </c>
    </row>
    <row r="6369" spans="1:16" x14ac:dyDescent="0.25">
      <c r="A6369" t="s">
        <v>28784</v>
      </c>
      <c r="B6369" t="s">
        <v>5311</v>
      </c>
      <c r="C6369" t="s">
        <v>5312</v>
      </c>
      <c r="D6369" t="s">
        <v>4877</v>
      </c>
      <c r="E6369" t="s">
        <v>4878</v>
      </c>
      <c r="F6369" t="s">
        <v>6</v>
      </c>
      <c r="G6369" t="s">
        <v>16231</v>
      </c>
      <c r="H6369" t="s">
        <v>47054</v>
      </c>
      <c r="I6369" t="s">
        <v>47114</v>
      </c>
      <c r="J6369" t="s">
        <v>47115</v>
      </c>
      <c r="K6369" t="s">
        <v>47113</v>
      </c>
      <c r="L6369">
        <v>40.659999999999997</v>
      </c>
      <c r="M6369">
        <v>106</v>
      </c>
      <c r="N6369">
        <v>0</v>
      </c>
      <c r="O6369">
        <v>106</v>
      </c>
      <c r="P6369">
        <v>0</v>
      </c>
    </row>
    <row r="6370" spans="1:16" x14ac:dyDescent="0.25">
      <c r="A6370" t="s">
        <v>28785</v>
      </c>
      <c r="B6370" t="s">
        <v>5311</v>
      </c>
      <c r="C6370" t="s">
        <v>5312</v>
      </c>
      <c r="D6370" t="s">
        <v>2525</v>
      </c>
      <c r="E6370" t="s">
        <v>2526</v>
      </c>
      <c r="F6370" t="s">
        <v>6</v>
      </c>
      <c r="G6370" t="s">
        <v>16231</v>
      </c>
      <c r="H6370" t="s">
        <v>47054</v>
      </c>
      <c r="I6370" t="s">
        <v>47111</v>
      </c>
      <c r="J6370" t="s">
        <v>47112</v>
      </c>
      <c r="K6370" t="s">
        <v>47113</v>
      </c>
      <c r="L6370">
        <v>41.01</v>
      </c>
      <c r="M6370">
        <v>103</v>
      </c>
      <c r="N6370">
        <v>0</v>
      </c>
      <c r="O6370">
        <v>103</v>
      </c>
      <c r="P6370">
        <v>0</v>
      </c>
    </row>
    <row r="6371" spans="1:16" x14ac:dyDescent="0.25">
      <c r="A6371" t="s">
        <v>28786</v>
      </c>
      <c r="B6371" t="s">
        <v>5313</v>
      </c>
      <c r="C6371" t="s">
        <v>5312</v>
      </c>
      <c r="D6371" t="s">
        <v>2525</v>
      </c>
      <c r="E6371" t="s">
        <v>2526</v>
      </c>
      <c r="F6371" t="s">
        <v>2</v>
      </c>
      <c r="G6371" t="s">
        <v>16231</v>
      </c>
      <c r="H6371" t="s">
        <v>47054</v>
      </c>
      <c r="I6371" t="s">
        <v>47111</v>
      </c>
      <c r="J6371" t="s">
        <v>47112</v>
      </c>
      <c r="K6371" t="s">
        <v>47113</v>
      </c>
      <c r="L6371">
        <v>40.35</v>
      </c>
      <c r="M6371">
        <v>120</v>
      </c>
      <c r="N6371">
        <v>0</v>
      </c>
      <c r="O6371">
        <v>120</v>
      </c>
      <c r="P6371">
        <v>0</v>
      </c>
    </row>
    <row r="6372" spans="1:16" x14ac:dyDescent="0.25">
      <c r="A6372" t="s">
        <v>28787</v>
      </c>
      <c r="B6372" t="s">
        <v>5313</v>
      </c>
      <c r="C6372" t="s">
        <v>5312</v>
      </c>
      <c r="D6372" t="s">
        <v>5300</v>
      </c>
      <c r="E6372" t="s">
        <v>5301</v>
      </c>
      <c r="F6372" t="s">
        <v>2</v>
      </c>
      <c r="G6372" t="s">
        <v>16231</v>
      </c>
      <c r="H6372" t="s">
        <v>47054</v>
      </c>
      <c r="I6372" t="s">
        <v>47111</v>
      </c>
      <c r="J6372" t="s">
        <v>47112</v>
      </c>
      <c r="K6372" t="s">
        <v>47113</v>
      </c>
      <c r="L6372">
        <v>33.14</v>
      </c>
      <c r="M6372">
        <v>76</v>
      </c>
      <c r="N6372">
        <v>0</v>
      </c>
      <c r="O6372">
        <v>76</v>
      </c>
      <c r="P6372">
        <v>0</v>
      </c>
    </row>
    <row r="6373" spans="1:16" x14ac:dyDescent="0.25">
      <c r="A6373" t="s">
        <v>28788</v>
      </c>
      <c r="B6373" t="s">
        <v>5313</v>
      </c>
      <c r="C6373" t="s">
        <v>5312</v>
      </c>
      <c r="D6373" t="s">
        <v>5302</v>
      </c>
      <c r="E6373" t="s">
        <v>5303</v>
      </c>
      <c r="F6373" t="s">
        <v>2</v>
      </c>
      <c r="G6373" t="s">
        <v>16231</v>
      </c>
      <c r="H6373" t="s">
        <v>47054</v>
      </c>
      <c r="I6373" t="s">
        <v>47111</v>
      </c>
      <c r="J6373" t="s">
        <v>47112</v>
      </c>
      <c r="K6373" t="s">
        <v>47113</v>
      </c>
      <c r="L6373">
        <v>34.61</v>
      </c>
      <c r="M6373">
        <v>80</v>
      </c>
      <c r="N6373">
        <v>0</v>
      </c>
      <c r="O6373">
        <v>80</v>
      </c>
      <c r="P6373">
        <v>0</v>
      </c>
    </row>
    <row r="6374" spans="1:16" x14ac:dyDescent="0.25">
      <c r="A6374" t="s">
        <v>28789</v>
      </c>
      <c r="B6374" t="s">
        <v>5314</v>
      </c>
      <c r="C6374" t="s">
        <v>5315</v>
      </c>
      <c r="D6374" t="s">
        <v>2981</v>
      </c>
      <c r="E6374" t="s">
        <v>2982</v>
      </c>
      <c r="F6374" t="s">
        <v>7</v>
      </c>
      <c r="G6374" t="s">
        <v>16224</v>
      </c>
      <c r="H6374" t="s">
        <v>47054</v>
      </c>
      <c r="I6374" t="s">
        <v>47120</v>
      </c>
      <c r="J6374" t="s">
        <v>47121</v>
      </c>
      <c r="K6374" t="s">
        <v>47113</v>
      </c>
      <c r="L6374">
        <v>46.97</v>
      </c>
      <c r="M6374">
        <v>115</v>
      </c>
      <c r="N6374">
        <v>0</v>
      </c>
      <c r="O6374">
        <v>115</v>
      </c>
      <c r="P6374">
        <v>0</v>
      </c>
    </row>
    <row r="6375" spans="1:16" x14ac:dyDescent="0.25">
      <c r="A6375" t="s">
        <v>28790</v>
      </c>
      <c r="B6375" t="s">
        <v>5314</v>
      </c>
      <c r="C6375" t="s">
        <v>5315</v>
      </c>
      <c r="D6375" t="s">
        <v>311</v>
      </c>
      <c r="E6375" t="s">
        <v>312</v>
      </c>
      <c r="F6375" t="s">
        <v>7</v>
      </c>
      <c r="G6375" t="s">
        <v>16224</v>
      </c>
      <c r="H6375" t="s">
        <v>47054</v>
      </c>
      <c r="I6375" t="s">
        <v>47111</v>
      </c>
      <c r="J6375" t="s">
        <v>47112</v>
      </c>
      <c r="K6375" t="s">
        <v>47113</v>
      </c>
      <c r="L6375">
        <v>4.72</v>
      </c>
      <c r="M6375">
        <v>86</v>
      </c>
      <c r="N6375">
        <v>0</v>
      </c>
      <c r="O6375">
        <v>86</v>
      </c>
      <c r="P6375">
        <v>0</v>
      </c>
    </row>
    <row r="6376" spans="1:16" x14ac:dyDescent="0.25">
      <c r="A6376" t="s">
        <v>28791</v>
      </c>
      <c r="B6376" t="s">
        <v>5316</v>
      </c>
      <c r="C6376" t="s">
        <v>5317</v>
      </c>
      <c r="D6376" t="s">
        <v>5318</v>
      </c>
      <c r="E6376" t="s">
        <v>5319</v>
      </c>
      <c r="F6376" t="s">
        <v>0</v>
      </c>
      <c r="G6376" t="s">
        <v>16224</v>
      </c>
      <c r="H6376" t="s">
        <v>47054</v>
      </c>
      <c r="I6376" t="s">
        <v>47116</v>
      </c>
      <c r="J6376" t="s">
        <v>47117</v>
      </c>
      <c r="K6376" t="s">
        <v>47113</v>
      </c>
      <c r="L6376">
        <v>53.01</v>
      </c>
      <c r="M6376">
        <v>122</v>
      </c>
      <c r="N6376">
        <v>0</v>
      </c>
      <c r="O6376">
        <v>122</v>
      </c>
      <c r="P6376">
        <v>0</v>
      </c>
    </row>
    <row r="6377" spans="1:16" x14ac:dyDescent="0.25">
      <c r="A6377" t="s">
        <v>28792</v>
      </c>
      <c r="B6377" t="s">
        <v>5320</v>
      </c>
      <c r="C6377" t="s">
        <v>5321</v>
      </c>
      <c r="D6377" t="s">
        <v>2028</v>
      </c>
      <c r="E6377" t="s">
        <v>2029</v>
      </c>
      <c r="F6377" t="s">
        <v>7</v>
      </c>
      <c r="G6377" t="s">
        <v>16231</v>
      </c>
      <c r="H6377" t="s">
        <v>47054</v>
      </c>
      <c r="I6377" t="s">
        <v>47111</v>
      </c>
      <c r="J6377" t="s">
        <v>47112</v>
      </c>
      <c r="K6377" t="s">
        <v>47113</v>
      </c>
      <c r="L6377">
        <v>43.44</v>
      </c>
      <c r="M6377">
        <v>100</v>
      </c>
      <c r="N6377">
        <v>0</v>
      </c>
      <c r="O6377">
        <v>100</v>
      </c>
      <c r="P6377">
        <v>0</v>
      </c>
    </row>
    <row r="6378" spans="1:16" x14ac:dyDescent="0.25">
      <c r="A6378" t="s">
        <v>28793</v>
      </c>
      <c r="B6378" t="s">
        <v>5320</v>
      </c>
      <c r="C6378" t="s">
        <v>5321</v>
      </c>
      <c r="D6378" t="s">
        <v>983</v>
      </c>
      <c r="E6378" t="s">
        <v>984</v>
      </c>
      <c r="F6378" t="s">
        <v>7</v>
      </c>
      <c r="G6378" t="s">
        <v>16231</v>
      </c>
      <c r="H6378" t="s">
        <v>47054</v>
      </c>
      <c r="I6378" t="s">
        <v>47111</v>
      </c>
      <c r="J6378" t="s">
        <v>47112</v>
      </c>
      <c r="K6378" t="s">
        <v>47113</v>
      </c>
      <c r="L6378">
        <v>39.6</v>
      </c>
      <c r="M6378">
        <v>95</v>
      </c>
      <c r="N6378">
        <v>0</v>
      </c>
      <c r="O6378">
        <v>95</v>
      </c>
      <c r="P6378">
        <v>0</v>
      </c>
    </row>
    <row r="6379" spans="1:16" x14ac:dyDescent="0.25">
      <c r="A6379" t="s">
        <v>28794</v>
      </c>
      <c r="B6379" t="s">
        <v>5322</v>
      </c>
      <c r="C6379" t="s">
        <v>5323</v>
      </c>
      <c r="D6379" t="s">
        <v>5103</v>
      </c>
      <c r="E6379" t="s">
        <v>5104</v>
      </c>
      <c r="F6379" t="s">
        <v>6</v>
      </c>
      <c r="G6379" t="s">
        <v>16231</v>
      </c>
      <c r="H6379" t="s">
        <v>47054</v>
      </c>
      <c r="I6379" t="s">
        <v>47111</v>
      </c>
      <c r="J6379" t="s">
        <v>47112</v>
      </c>
      <c r="K6379" t="s">
        <v>47113</v>
      </c>
      <c r="L6379">
        <v>47.78</v>
      </c>
      <c r="M6379">
        <v>112</v>
      </c>
      <c r="N6379">
        <v>0</v>
      </c>
      <c r="O6379">
        <v>112</v>
      </c>
      <c r="P6379">
        <v>0</v>
      </c>
    </row>
    <row r="6380" spans="1:16" x14ac:dyDescent="0.25">
      <c r="A6380" t="s">
        <v>28795</v>
      </c>
      <c r="B6380" t="s">
        <v>5324</v>
      </c>
      <c r="C6380" t="s">
        <v>5325</v>
      </c>
      <c r="D6380" t="s">
        <v>5103</v>
      </c>
      <c r="E6380" t="s">
        <v>5104</v>
      </c>
      <c r="F6380" t="s">
        <v>6</v>
      </c>
      <c r="G6380" t="s">
        <v>16231</v>
      </c>
      <c r="H6380" t="s">
        <v>47054</v>
      </c>
      <c r="I6380" t="s">
        <v>47111</v>
      </c>
      <c r="J6380" t="s">
        <v>47112</v>
      </c>
      <c r="K6380" t="s">
        <v>47113</v>
      </c>
      <c r="L6380">
        <v>47.57</v>
      </c>
      <c r="M6380">
        <v>112</v>
      </c>
      <c r="N6380">
        <v>0</v>
      </c>
      <c r="O6380">
        <v>112</v>
      </c>
      <c r="P6380">
        <v>0</v>
      </c>
    </row>
    <row r="6381" spans="1:16" x14ac:dyDescent="0.25">
      <c r="A6381" t="s">
        <v>28796</v>
      </c>
      <c r="B6381" t="s">
        <v>5326</v>
      </c>
      <c r="C6381" t="s">
        <v>5327</v>
      </c>
      <c r="D6381" t="s">
        <v>5328</v>
      </c>
      <c r="E6381" t="s">
        <v>284</v>
      </c>
      <c r="F6381" t="s">
        <v>6</v>
      </c>
      <c r="G6381" t="s">
        <v>16231</v>
      </c>
      <c r="H6381" t="s">
        <v>47054</v>
      </c>
      <c r="I6381" t="s">
        <v>47111</v>
      </c>
      <c r="J6381" t="s">
        <v>47112</v>
      </c>
      <c r="K6381" t="s">
        <v>47113</v>
      </c>
      <c r="L6381">
        <v>55.4</v>
      </c>
      <c r="M6381">
        <v>130</v>
      </c>
      <c r="N6381">
        <v>0</v>
      </c>
      <c r="O6381">
        <v>130</v>
      </c>
      <c r="P6381">
        <v>0</v>
      </c>
    </row>
    <row r="6382" spans="1:16" x14ac:dyDescent="0.25">
      <c r="A6382" t="s">
        <v>28797</v>
      </c>
      <c r="B6382" t="s">
        <v>5326</v>
      </c>
      <c r="C6382" t="s">
        <v>5327</v>
      </c>
      <c r="D6382" t="s">
        <v>5329</v>
      </c>
      <c r="E6382" t="s">
        <v>5330</v>
      </c>
      <c r="F6382" t="s">
        <v>6</v>
      </c>
      <c r="G6382" t="s">
        <v>16231</v>
      </c>
      <c r="H6382" t="s">
        <v>47054</v>
      </c>
      <c r="I6382" t="s">
        <v>47111</v>
      </c>
      <c r="J6382" t="s">
        <v>47112</v>
      </c>
      <c r="K6382" t="s">
        <v>47113</v>
      </c>
      <c r="L6382">
        <v>51.67</v>
      </c>
      <c r="M6382">
        <v>121</v>
      </c>
      <c r="N6382">
        <v>0</v>
      </c>
      <c r="O6382">
        <v>121</v>
      </c>
      <c r="P6382">
        <v>0</v>
      </c>
    </row>
    <row r="6383" spans="1:16" x14ac:dyDescent="0.25">
      <c r="A6383" t="s">
        <v>28798</v>
      </c>
      <c r="B6383" t="s">
        <v>5331</v>
      </c>
      <c r="C6383" t="s">
        <v>5327</v>
      </c>
      <c r="D6383" t="s">
        <v>5332</v>
      </c>
      <c r="E6383" t="s">
        <v>917</v>
      </c>
      <c r="F6383" t="s">
        <v>6</v>
      </c>
      <c r="G6383" t="s">
        <v>16231</v>
      </c>
      <c r="H6383" t="s">
        <v>47054</v>
      </c>
      <c r="I6383" t="s">
        <v>47111</v>
      </c>
      <c r="J6383" t="s">
        <v>47112</v>
      </c>
      <c r="K6383" t="s">
        <v>47113</v>
      </c>
      <c r="L6383">
        <v>53.29</v>
      </c>
      <c r="M6383">
        <v>133</v>
      </c>
      <c r="N6383">
        <v>0</v>
      </c>
      <c r="O6383">
        <v>133</v>
      </c>
      <c r="P6383">
        <v>0</v>
      </c>
    </row>
    <row r="6384" spans="1:16" x14ac:dyDescent="0.25">
      <c r="A6384" t="s">
        <v>28799</v>
      </c>
      <c r="B6384" t="s">
        <v>5333</v>
      </c>
      <c r="C6384" t="s">
        <v>5334</v>
      </c>
      <c r="D6384" t="s">
        <v>5329</v>
      </c>
      <c r="E6384" t="s">
        <v>5330</v>
      </c>
      <c r="F6384" t="s">
        <v>6</v>
      </c>
      <c r="G6384" t="s">
        <v>16231</v>
      </c>
      <c r="H6384" t="s">
        <v>47054</v>
      </c>
      <c r="I6384" t="s">
        <v>47111</v>
      </c>
      <c r="J6384" t="s">
        <v>47112</v>
      </c>
      <c r="K6384" t="s">
        <v>47113</v>
      </c>
      <c r="L6384">
        <v>47.89</v>
      </c>
      <c r="M6384">
        <v>121</v>
      </c>
      <c r="N6384">
        <v>0</v>
      </c>
      <c r="O6384">
        <v>121</v>
      </c>
      <c r="P6384">
        <v>0</v>
      </c>
    </row>
    <row r="6385" spans="1:16" x14ac:dyDescent="0.25">
      <c r="A6385" t="s">
        <v>28800</v>
      </c>
      <c r="B6385" t="s">
        <v>5335</v>
      </c>
      <c r="C6385" t="s">
        <v>5334</v>
      </c>
      <c r="D6385" t="s">
        <v>5332</v>
      </c>
      <c r="E6385" t="s">
        <v>917</v>
      </c>
      <c r="F6385" t="s">
        <v>6</v>
      </c>
      <c r="G6385" t="s">
        <v>16231</v>
      </c>
      <c r="H6385" t="s">
        <v>47054</v>
      </c>
      <c r="I6385" t="s">
        <v>47111</v>
      </c>
      <c r="J6385" t="s">
        <v>47112</v>
      </c>
      <c r="K6385" t="s">
        <v>47113</v>
      </c>
      <c r="L6385">
        <v>52.42</v>
      </c>
      <c r="M6385">
        <v>130</v>
      </c>
      <c r="N6385">
        <v>0</v>
      </c>
      <c r="O6385">
        <v>130</v>
      </c>
      <c r="P6385">
        <v>0</v>
      </c>
    </row>
    <row r="6386" spans="1:16" x14ac:dyDescent="0.25">
      <c r="A6386" t="s">
        <v>28801</v>
      </c>
      <c r="B6386" t="s">
        <v>5336</v>
      </c>
      <c r="C6386" t="s">
        <v>5337</v>
      </c>
      <c r="D6386" t="s">
        <v>283</v>
      </c>
      <c r="E6386" t="s">
        <v>284</v>
      </c>
      <c r="F6386" t="s">
        <v>6</v>
      </c>
      <c r="G6386" t="s">
        <v>16224</v>
      </c>
      <c r="H6386" t="s">
        <v>47054</v>
      </c>
      <c r="I6386" t="s">
        <v>47116</v>
      </c>
      <c r="J6386" t="s">
        <v>47117</v>
      </c>
      <c r="K6386" t="s">
        <v>47113</v>
      </c>
      <c r="L6386">
        <v>85.48</v>
      </c>
      <c r="M6386">
        <v>190</v>
      </c>
      <c r="N6386">
        <v>0</v>
      </c>
      <c r="O6386">
        <v>190</v>
      </c>
      <c r="P6386">
        <v>0</v>
      </c>
    </row>
    <row r="6387" spans="1:16" x14ac:dyDescent="0.25">
      <c r="A6387" t="s">
        <v>28802</v>
      </c>
      <c r="B6387" t="s">
        <v>5338</v>
      </c>
      <c r="C6387" t="s">
        <v>5337</v>
      </c>
      <c r="D6387" t="s">
        <v>916</v>
      </c>
      <c r="E6387" t="s">
        <v>917</v>
      </c>
      <c r="F6387" t="s">
        <v>6</v>
      </c>
      <c r="G6387" t="s">
        <v>16224</v>
      </c>
      <c r="H6387" t="s">
        <v>47054</v>
      </c>
      <c r="I6387" t="s">
        <v>47116</v>
      </c>
      <c r="J6387" t="s">
        <v>47117</v>
      </c>
      <c r="K6387" t="s">
        <v>47113</v>
      </c>
      <c r="L6387">
        <v>78.650000000000006</v>
      </c>
      <c r="M6387">
        <v>190</v>
      </c>
      <c r="N6387">
        <v>0</v>
      </c>
      <c r="O6387">
        <v>190</v>
      </c>
      <c r="P6387">
        <v>0</v>
      </c>
    </row>
    <row r="6388" spans="1:16" x14ac:dyDescent="0.25">
      <c r="A6388" t="s">
        <v>28803</v>
      </c>
      <c r="B6388" t="s">
        <v>5339</v>
      </c>
      <c r="C6388" t="s">
        <v>5340</v>
      </c>
      <c r="D6388" t="s">
        <v>2525</v>
      </c>
      <c r="E6388" t="s">
        <v>2526</v>
      </c>
      <c r="F6388" t="s">
        <v>6</v>
      </c>
      <c r="G6388" t="s">
        <v>16224</v>
      </c>
      <c r="H6388" t="s">
        <v>47054</v>
      </c>
      <c r="I6388" t="s">
        <v>47116</v>
      </c>
      <c r="J6388" t="s">
        <v>47117</v>
      </c>
      <c r="K6388" t="s">
        <v>47113</v>
      </c>
      <c r="L6388">
        <v>44.66</v>
      </c>
      <c r="M6388">
        <v>112</v>
      </c>
      <c r="N6388">
        <v>0</v>
      </c>
      <c r="O6388">
        <v>112</v>
      </c>
      <c r="P6388">
        <v>0</v>
      </c>
    </row>
    <row r="6389" spans="1:16" x14ac:dyDescent="0.25">
      <c r="A6389" t="s">
        <v>28804</v>
      </c>
      <c r="B6389" t="s">
        <v>5341</v>
      </c>
      <c r="C6389" t="s">
        <v>5342</v>
      </c>
      <c r="D6389" t="s">
        <v>5300</v>
      </c>
      <c r="E6389" t="s">
        <v>5301</v>
      </c>
      <c r="F6389" t="s">
        <v>2</v>
      </c>
      <c r="G6389" t="s">
        <v>16224</v>
      </c>
      <c r="H6389" t="s">
        <v>47054</v>
      </c>
      <c r="I6389" t="s">
        <v>47116</v>
      </c>
      <c r="J6389" t="s">
        <v>47117</v>
      </c>
      <c r="K6389" t="s">
        <v>47113</v>
      </c>
      <c r="L6389">
        <v>45.22</v>
      </c>
      <c r="M6389">
        <v>120</v>
      </c>
      <c r="N6389">
        <v>0</v>
      </c>
      <c r="O6389">
        <v>120</v>
      </c>
      <c r="P6389">
        <v>0</v>
      </c>
    </row>
    <row r="6390" spans="1:16" x14ac:dyDescent="0.25">
      <c r="A6390" t="s">
        <v>28805</v>
      </c>
      <c r="B6390" t="s">
        <v>5343</v>
      </c>
      <c r="C6390" t="s">
        <v>5344</v>
      </c>
      <c r="D6390" t="s">
        <v>311</v>
      </c>
      <c r="E6390" t="s">
        <v>312</v>
      </c>
      <c r="F6390" t="s">
        <v>6</v>
      </c>
      <c r="G6390" t="s">
        <v>16231</v>
      </c>
      <c r="H6390" t="s">
        <v>47054</v>
      </c>
      <c r="I6390" t="s">
        <v>47111</v>
      </c>
      <c r="J6390" t="s">
        <v>47112</v>
      </c>
      <c r="K6390" t="s">
        <v>47113</v>
      </c>
      <c r="L6390">
        <v>50.79</v>
      </c>
      <c r="M6390">
        <v>129</v>
      </c>
      <c r="N6390">
        <v>0</v>
      </c>
      <c r="O6390">
        <v>129</v>
      </c>
      <c r="P6390">
        <v>0</v>
      </c>
    </row>
    <row r="6391" spans="1:16" x14ac:dyDescent="0.25">
      <c r="A6391" t="s">
        <v>28806</v>
      </c>
      <c r="B6391" t="s">
        <v>5343</v>
      </c>
      <c r="C6391" t="s">
        <v>5344</v>
      </c>
      <c r="D6391" t="s">
        <v>2525</v>
      </c>
      <c r="E6391" t="s">
        <v>2526</v>
      </c>
      <c r="F6391" t="s">
        <v>6</v>
      </c>
      <c r="G6391" t="s">
        <v>16231</v>
      </c>
      <c r="H6391" t="s">
        <v>47054</v>
      </c>
      <c r="I6391" t="s">
        <v>47111</v>
      </c>
      <c r="J6391" t="s">
        <v>47112</v>
      </c>
      <c r="K6391" t="s">
        <v>47113</v>
      </c>
      <c r="L6391">
        <v>63.88</v>
      </c>
      <c r="M6391">
        <v>157</v>
      </c>
      <c r="N6391">
        <v>0</v>
      </c>
      <c r="O6391">
        <v>157</v>
      </c>
      <c r="P6391">
        <v>0</v>
      </c>
    </row>
    <row r="6392" spans="1:16" x14ac:dyDescent="0.25">
      <c r="A6392" t="s">
        <v>28807</v>
      </c>
      <c r="B6392" t="s">
        <v>5345</v>
      </c>
      <c r="C6392" t="s">
        <v>5346</v>
      </c>
      <c r="D6392" t="s">
        <v>2525</v>
      </c>
      <c r="E6392" t="s">
        <v>2526</v>
      </c>
      <c r="F6392" t="s">
        <v>6</v>
      </c>
      <c r="G6392" t="s">
        <v>16231</v>
      </c>
      <c r="H6392" t="s">
        <v>47054</v>
      </c>
      <c r="I6392" t="s">
        <v>47111</v>
      </c>
      <c r="J6392" t="s">
        <v>47112</v>
      </c>
      <c r="K6392" t="s">
        <v>47113</v>
      </c>
      <c r="L6392">
        <v>65.23</v>
      </c>
      <c r="M6392">
        <v>137</v>
      </c>
      <c r="N6392">
        <v>0</v>
      </c>
      <c r="O6392">
        <v>137</v>
      </c>
      <c r="P6392">
        <v>0</v>
      </c>
    </row>
    <row r="6393" spans="1:16" x14ac:dyDescent="0.25">
      <c r="A6393" t="s">
        <v>28808</v>
      </c>
      <c r="B6393" t="s">
        <v>5347</v>
      </c>
      <c r="C6393" t="s">
        <v>5348</v>
      </c>
      <c r="D6393" t="s">
        <v>2525</v>
      </c>
      <c r="E6393" t="s">
        <v>2526</v>
      </c>
      <c r="F6393" t="s">
        <v>2</v>
      </c>
      <c r="G6393" t="s">
        <v>16231</v>
      </c>
      <c r="H6393" t="s">
        <v>47054</v>
      </c>
      <c r="I6393" t="s">
        <v>47111</v>
      </c>
      <c r="J6393" t="s">
        <v>47112</v>
      </c>
      <c r="K6393" t="s">
        <v>47113</v>
      </c>
      <c r="L6393">
        <v>40.35</v>
      </c>
      <c r="M6393">
        <v>120</v>
      </c>
      <c r="N6393">
        <v>0</v>
      </c>
      <c r="O6393">
        <v>120</v>
      </c>
      <c r="P6393">
        <v>0</v>
      </c>
    </row>
    <row r="6394" spans="1:16" x14ac:dyDescent="0.25">
      <c r="A6394" t="s">
        <v>28809</v>
      </c>
      <c r="B6394" t="s">
        <v>5347</v>
      </c>
      <c r="C6394" t="s">
        <v>5348</v>
      </c>
      <c r="D6394" t="s">
        <v>5300</v>
      </c>
      <c r="E6394" t="s">
        <v>5301</v>
      </c>
      <c r="F6394" t="s">
        <v>2</v>
      </c>
      <c r="G6394" t="s">
        <v>16231</v>
      </c>
      <c r="H6394" t="s">
        <v>47054</v>
      </c>
      <c r="I6394" t="s">
        <v>47111</v>
      </c>
      <c r="J6394" t="s">
        <v>47112</v>
      </c>
      <c r="K6394" t="s">
        <v>47113</v>
      </c>
      <c r="L6394">
        <v>33.200000000000003</v>
      </c>
      <c r="M6394">
        <v>76</v>
      </c>
      <c r="N6394">
        <v>0</v>
      </c>
      <c r="O6394">
        <v>76</v>
      </c>
      <c r="P6394">
        <v>0</v>
      </c>
    </row>
    <row r="6395" spans="1:16" x14ac:dyDescent="0.25">
      <c r="A6395" t="s">
        <v>28810</v>
      </c>
      <c r="B6395" t="s">
        <v>5347</v>
      </c>
      <c r="C6395" t="s">
        <v>5348</v>
      </c>
      <c r="D6395" t="s">
        <v>5302</v>
      </c>
      <c r="E6395" t="s">
        <v>5303</v>
      </c>
      <c r="F6395" t="s">
        <v>2</v>
      </c>
      <c r="G6395" t="s">
        <v>16231</v>
      </c>
      <c r="H6395" t="s">
        <v>47054</v>
      </c>
      <c r="I6395" t="s">
        <v>47111</v>
      </c>
      <c r="J6395" t="s">
        <v>47112</v>
      </c>
      <c r="K6395" t="s">
        <v>47113</v>
      </c>
      <c r="L6395">
        <v>34.659999999999997</v>
      </c>
      <c r="M6395">
        <v>80</v>
      </c>
      <c r="N6395">
        <v>0</v>
      </c>
      <c r="O6395">
        <v>80</v>
      </c>
      <c r="P6395">
        <v>0</v>
      </c>
    </row>
    <row r="6396" spans="1:16" x14ac:dyDescent="0.25">
      <c r="A6396" t="s">
        <v>28811</v>
      </c>
      <c r="B6396" t="s">
        <v>5349</v>
      </c>
      <c r="C6396" t="s">
        <v>5350</v>
      </c>
      <c r="D6396" t="s">
        <v>5351</v>
      </c>
      <c r="E6396" t="s">
        <v>5352</v>
      </c>
      <c r="F6396" t="s">
        <v>5</v>
      </c>
      <c r="G6396" t="s">
        <v>16231</v>
      </c>
      <c r="H6396" t="s">
        <v>47054</v>
      </c>
      <c r="I6396" t="s">
        <v>47111</v>
      </c>
      <c r="J6396" t="s">
        <v>47112</v>
      </c>
      <c r="K6396" t="s">
        <v>47113</v>
      </c>
      <c r="L6396">
        <v>60.51</v>
      </c>
      <c r="M6396">
        <v>138</v>
      </c>
      <c r="N6396">
        <v>0</v>
      </c>
      <c r="O6396">
        <v>138</v>
      </c>
      <c r="P6396">
        <v>0</v>
      </c>
    </row>
    <row r="6397" spans="1:16" x14ac:dyDescent="0.25">
      <c r="A6397" t="s">
        <v>28812</v>
      </c>
      <c r="B6397" t="s">
        <v>5349</v>
      </c>
      <c r="C6397" t="s">
        <v>5350</v>
      </c>
      <c r="D6397" t="s">
        <v>311</v>
      </c>
      <c r="E6397" t="s">
        <v>3479</v>
      </c>
      <c r="F6397" t="s">
        <v>5</v>
      </c>
      <c r="G6397" t="s">
        <v>16231</v>
      </c>
      <c r="H6397" t="s">
        <v>47054</v>
      </c>
      <c r="I6397" t="s">
        <v>47111</v>
      </c>
      <c r="J6397" t="s">
        <v>47112</v>
      </c>
      <c r="K6397" t="s">
        <v>47113</v>
      </c>
      <c r="L6397">
        <v>50.68</v>
      </c>
      <c r="M6397">
        <v>115</v>
      </c>
      <c r="N6397">
        <v>0</v>
      </c>
      <c r="O6397">
        <v>115</v>
      </c>
      <c r="P6397">
        <v>0</v>
      </c>
    </row>
    <row r="6398" spans="1:16" x14ac:dyDescent="0.25">
      <c r="A6398" t="s">
        <v>28813</v>
      </c>
      <c r="B6398" t="s">
        <v>5349</v>
      </c>
      <c r="C6398" t="s">
        <v>5350</v>
      </c>
      <c r="D6398" t="s">
        <v>1046</v>
      </c>
      <c r="E6398" t="s">
        <v>1047</v>
      </c>
      <c r="F6398" t="s">
        <v>2</v>
      </c>
      <c r="G6398" t="s">
        <v>16231</v>
      </c>
      <c r="H6398" t="s">
        <v>47054</v>
      </c>
      <c r="I6398" t="s">
        <v>47111</v>
      </c>
      <c r="J6398" t="s">
        <v>47112</v>
      </c>
      <c r="K6398" t="s">
        <v>47113</v>
      </c>
      <c r="L6398">
        <v>60.07</v>
      </c>
      <c r="M6398">
        <v>115</v>
      </c>
      <c r="N6398">
        <v>0</v>
      </c>
      <c r="O6398">
        <v>115</v>
      </c>
      <c r="P6398">
        <v>0</v>
      </c>
    </row>
    <row r="6399" spans="1:16" x14ac:dyDescent="0.25">
      <c r="A6399" t="s">
        <v>28814</v>
      </c>
      <c r="B6399" t="s">
        <v>5353</v>
      </c>
      <c r="C6399" t="s">
        <v>5354</v>
      </c>
      <c r="D6399" t="s">
        <v>5355</v>
      </c>
      <c r="E6399" t="s">
        <v>5356</v>
      </c>
      <c r="F6399" t="s">
        <v>2068</v>
      </c>
      <c r="G6399" t="s">
        <v>16231</v>
      </c>
      <c r="H6399" t="s">
        <v>47054</v>
      </c>
      <c r="I6399" t="s">
        <v>47111</v>
      </c>
      <c r="J6399" t="s">
        <v>47112</v>
      </c>
      <c r="K6399" t="s">
        <v>47113</v>
      </c>
      <c r="L6399">
        <v>63.35</v>
      </c>
      <c r="M6399">
        <v>143</v>
      </c>
      <c r="N6399">
        <v>0</v>
      </c>
      <c r="O6399">
        <v>143</v>
      </c>
      <c r="P6399">
        <v>0</v>
      </c>
    </row>
    <row r="6400" spans="1:16" x14ac:dyDescent="0.25">
      <c r="A6400" t="s">
        <v>14938</v>
      </c>
      <c r="B6400" t="s">
        <v>5357</v>
      </c>
      <c r="C6400" t="s">
        <v>5358</v>
      </c>
      <c r="D6400" t="s">
        <v>5359</v>
      </c>
      <c r="E6400" t="s">
        <v>5360</v>
      </c>
      <c r="F6400" t="s">
        <v>2068</v>
      </c>
      <c r="G6400" t="s">
        <v>16231</v>
      </c>
      <c r="H6400" t="s">
        <v>47054</v>
      </c>
      <c r="I6400" t="s">
        <v>47111</v>
      </c>
      <c r="J6400" t="s">
        <v>47112</v>
      </c>
      <c r="K6400" t="s">
        <v>47113</v>
      </c>
      <c r="L6400">
        <v>65.06</v>
      </c>
      <c r="M6400">
        <v>147</v>
      </c>
      <c r="N6400">
        <v>0</v>
      </c>
      <c r="O6400">
        <v>147</v>
      </c>
      <c r="P6400">
        <v>0</v>
      </c>
    </row>
    <row r="6401" spans="1:16" x14ac:dyDescent="0.25">
      <c r="A6401" t="s">
        <v>28815</v>
      </c>
      <c r="B6401" t="s">
        <v>15182</v>
      </c>
      <c r="C6401" t="s">
        <v>16704</v>
      </c>
      <c r="D6401" t="s">
        <v>721</v>
      </c>
      <c r="E6401" t="s">
        <v>722</v>
      </c>
      <c r="F6401" t="s">
        <v>15183</v>
      </c>
      <c r="G6401" t="s">
        <v>16231</v>
      </c>
      <c r="H6401" t="s">
        <v>47054</v>
      </c>
      <c r="I6401" t="s">
        <v>47116</v>
      </c>
      <c r="J6401" t="s">
        <v>47117</v>
      </c>
      <c r="K6401" t="s">
        <v>47113</v>
      </c>
      <c r="L6401">
        <v>34.81</v>
      </c>
      <c r="M6401">
        <v>129</v>
      </c>
      <c r="N6401">
        <v>0</v>
      </c>
      <c r="O6401">
        <v>129</v>
      </c>
      <c r="P6401">
        <v>0</v>
      </c>
    </row>
    <row r="6402" spans="1:16" x14ac:dyDescent="0.25">
      <c r="A6402" t="s">
        <v>28816</v>
      </c>
      <c r="B6402" t="s">
        <v>15182</v>
      </c>
      <c r="C6402" t="s">
        <v>16704</v>
      </c>
      <c r="D6402" t="s">
        <v>27</v>
      </c>
      <c r="E6402" t="s">
        <v>28</v>
      </c>
      <c r="F6402" t="s">
        <v>15183</v>
      </c>
      <c r="G6402" t="s">
        <v>16231</v>
      </c>
      <c r="H6402" t="s">
        <v>47054</v>
      </c>
      <c r="I6402" t="s">
        <v>47116</v>
      </c>
      <c r="J6402" t="s">
        <v>47117</v>
      </c>
      <c r="K6402" t="s">
        <v>47113</v>
      </c>
      <c r="L6402">
        <v>39.36</v>
      </c>
      <c r="M6402">
        <v>133</v>
      </c>
      <c r="N6402">
        <v>0</v>
      </c>
      <c r="O6402">
        <v>133</v>
      </c>
      <c r="P6402">
        <v>0</v>
      </c>
    </row>
    <row r="6403" spans="1:16" x14ac:dyDescent="0.25">
      <c r="A6403" t="s">
        <v>28817</v>
      </c>
      <c r="B6403" t="s">
        <v>5361</v>
      </c>
      <c r="C6403" t="s">
        <v>5362</v>
      </c>
      <c r="D6403" t="s">
        <v>5351</v>
      </c>
      <c r="E6403" t="s">
        <v>5352</v>
      </c>
      <c r="F6403" t="s">
        <v>5</v>
      </c>
      <c r="G6403" t="s">
        <v>16231</v>
      </c>
      <c r="H6403" t="s">
        <v>47054</v>
      </c>
      <c r="I6403" t="s">
        <v>47111</v>
      </c>
      <c r="J6403" t="s">
        <v>47112</v>
      </c>
      <c r="K6403" t="s">
        <v>47113</v>
      </c>
      <c r="L6403">
        <v>57.85</v>
      </c>
      <c r="M6403">
        <v>138</v>
      </c>
      <c r="N6403">
        <v>0</v>
      </c>
      <c r="O6403">
        <v>138</v>
      </c>
      <c r="P6403">
        <v>0</v>
      </c>
    </row>
    <row r="6404" spans="1:16" x14ac:dyDescent="0.25">
      <c r="A6404" t="s">
        <v>28818</v>
      </c>
      <c r="B6404" t="s">
        <v>5361</v>
      </c>
      <c r="C6404" t="s">
        <v>5362</v>
      </c>
      <c r="D6404" t="s">
        <v>311</v>
      </c>
      <c r="E6404" t="s">
        <v>3479</v>
      </c>
      <c r="F6404" t="s">
        <v>5</v>
      </c>
      <c r="G6404" t="s">
        <v>16231</v>
      </c>
      <c r="H6404" t="s">
        <v>47054</v>
      </c>
      <c r="I6404" t="s">
        <v>47111</v>
      </c>
      <c r="J6404" t="s">
        <v>47112</v>
      </c>
      <c r="K6404" t="s">
        <v>47113</v>
      </c>
      <c r="L6404">
        <v>50.5</v>
      </c>
      <c r="M6404">
        <v>115</v>
      </c>
      <c r="N6404">
        <v>0</v>
      </c>
      <c r="O6404">
        <v>115</v>
      </c>
      <c r="P6404">
        <v>0</v>
      </c>
    </row>
    <row r="6405" spans="1:16" x14ac:dyDescent="0.25">
      <c r="A6405" t="s">
        <v>28819</v>
      </c>
      <c r="B6405" t="s">
        <v>5363</v>
      </c>
      <c r="C6405" t="s">
        <v>5364</v>
      </c>
      <c r="D6405" t="s">
        <v>5351</v>
      </c>
      <c r="E6405" t="s">
        <v>5352</v>
      </c>
      <c r="F6405" t="s">
        <v>5</v>
      </c>
      <c r="G6405" t="s">
        <v>16231</v>
      </c>
      <c r="H6405" t="s">
        <v>47054</v>
      </c>
      <c r="I6405" t="s">
        <v>47111</v>
      </c>
      <c r="J6405" t="s">
        <v>47112</v>
      </c>
      <c r="K6405" t="s">
        <v>47113</v>
      </c>
      <c r="L6405">
        <v>57.29</v>
      </c>
      <c r="M6405">
        <v>138</v>
      </c>
      <c r="N6405">
        <v>0</v>
      </c>
      <c r="O6405">
        <v>138</v>
      </c>
      <c r="P6405">
        <v>0</v>
      </c>
    </row>
    <row r="6406" spans="1:16" x14ac:dyDescent="0.25">
      <c r="A6406" t="s">
        <v>28820</v>
      </c>
      <c r="B6406" t="s">
        <v>5363</v>
      </c>
      <c r="C6406" t="s">
        <v>5364</v>
      </c>
      <c r="D6406" t="s">
        <v>311</v>
      </c>
      <c r="E6406" t="s">
        <v>3479</v>
      </c>
      <c r="F6406" t="s">
        <v>5</v>
      </c>
      <c r="G6406" t="s">
        <v>16231</v>
      </c>
      <c r="H6406" t="s">
        <v>47054</v>
      </c>
      <c r="I6406" t="s">
        <v>47111</v>
      </c>
      <c r="J6406" t="s">
        <v>47112</v>
      </c>
      <c r="K6406" t="s">
        <v>47113</v>
      </c>
      <c r="L6406">
        <v>50.5</v>
      </c>
      <c r="M6406">
        <v>115</v>
      </c>
      <c r="N6406">
        <v>0</v>
      </c>
      <c r="O6406">
        <v>115</v>
      </c>
      <c r="P6406">
        <v>0</v>
      </c>
    </row>
    <row r="6407" spans="1:16" x14ac:dyDescent="0.25">
      <c r="A6407" t="s">
        <v>28821</v>
      </c>
      <c r="B6407" t="s">
        <v>5363</v>
      </c>
      <c r="C6407" t="s">
        <v>5364</v>
      </c>
      <c r="D6407" t="s">
        <v>5123</v>
      </c>
      <c r="E6407" t="s">
        <v>5124</v>
      </c>
      <c r="F6407" t="s">
        <v>2</v>
      </c>
      <c r="G6407" t="s">
        <v>16231</v>
      </c>
      <c r="H6407" t="s">
        <v>47054</v>
      </c>
      <c r="I6407" t="s">
        <v>47111</v>
      </c>
      <c r="J6407" t="s">
        <v>47112</v>
      </c>
      <c r="K6407" t="s">
        <v>47113</v>
      </c>
      <c r="L6407">
        <v>60.08</v>
      </c>
      <c r="M6407">
        <v>138</v>
      </c>
      <c r="N6407">
        <v>0</v>
      </c>
      <c r="O6407">
        <v>138</v>
      </c>
      <c r="P6407">
        <v>0</v>
      </c>
    </row>
    <row r="6408" spans="1:16" x14ac:dyDescent="0.25">
      <c r="A6408" t="s">
        <v>28822</v>
      </c>
      <c r="B6408" t="s">
        <v>5365</v>
      </c>
      <c r="C6408" t="s">
        <v>5366</v>
      </c>
      <c r="D6408" t="s">
        <v>2038</v>
      </c>
      <c r="E6408" t="s">
        <v>2039</v>
      </c>
      <c r="F6408" t="s">
        <v>3</v>
      </c>
      <c r="G6408" t="s">
        <v>16231</v>
      </c>
      <c r="H6408" t="s">
        <v>47054</v>
      </c>
      <c r="I6408" t="s">
        <v>47111</v>
      </c>
      <c r="J6408" t="s">
        <v>47112</v>
      </c>
      <c r="K6408" t="s">
        <v>47113</v>
      </c>
      <c r="L6408">
        <v>36.39</v>
      </c>
      <c r="M6408">
        <v>84</v>
      </c>
      <c r="N6408">
        <v>0</v>
      </c>
      <c r="O6408">
        <v>84</v>
      </c>
      <c r="P6408">
        <v>0</v>
      </c>
    </row>
    <row r="6409" spans="1:16" x14ac:dyDescent="0.25">
      <c r="A6409" t="s">
        <v>28823</v>
      </c>
      <c r="B6409" t="s">
        <v>5367</v>
      </c>
      <c r="C6409" t="s">
        <v>5368</v>
      </c>
      <c r="D6409" t="s">
        <v>5369</v>
      </c>
      <c r="E6409" t="s">
        <v>5370</v>
      </c>
      <c r="F6409" t="s">
        <v>2</v>
      </c>
      <c r="G6409" t="s">
        <v>16231</v>
      </c>
      <c r="H6409" t="s">
        <v>47054</v>
      </c>
      <c r="I6409" t="s">
        <v>47111</v>
      </c>
      <c r="J6409" t="s">
        <v>47112</v>
      </c>
      <c r="K6409" t="s">
        <v>47113</v>
      </c>
      <c r="L6409">
        <v>47.47</v>
      </c>
      <c r="M6409">
        <v>103</v>
      </c>
      <c r="N6409">
        <v>0</v>
      </c>
      <c r="O6409">
        <v>103</v>
      </c>
      <c r="P6409">
        <v>0</v>
      </c>
    </row>
    <row r="6410" spans="1:16" x14ac:dyDescent="0.25">
      <c r="A6410" t="s">
        <v>28824</v>
      </c>
      <c r="B6410" t="s">
        <v>5371</v>
      </c>
      <c r="C6410" t="s">
        <v>5372</v>
      </c>
      <c r="D6410" t="s">
        <v>884</v>
      </c>
      <c r="E6410" t="s">
        <v>5373</v>
      </c>
      <c r="F6410" t="s">
        <v>3</v>
      </c>
      <c r="G6410" t="s">
        <v>16231</v>
      </c>
      <c r="H6410" t="s">
        <v>47054</v>
      </c>
      <c r="I6410" t="s">
        <v>47111</v>
      </c>
      <c r="J6410" t="s">
        <v>47112</v>
      </c>
      <c r="K6410" t="s">
        <v>47113</v>
      </c>
      <c r="L6410">
        <v>47.65</v>
      </c>
      <c r="M6410">
        <v>103</v>
      </c>
      <c r="N6410">
        <v>0</v>
      </c>
      <c r="O6410">
        <v>103</v>
      </c>
      <c r="P6410">
        <v>0</v>
      </c>
    </row>
    <row r="6411" spans="1:16" x14ac:dyDescent="0.25">
      <c r="A6411" t="s">
        <v>28825</v>
      </c>
      <c r="B6411" t="s">
        <v>5374</v>
      </c>
      <c r="C6411" t="s">
        <v>5375</v>
      </c>
      <c r="D6411" t="s">
        <v>5351</v>
      </c>
      <c r="E6411" t="s">
        <v>5352</v>
      </c>
      <c r="F6411" t="s">
        <v>5</v>
      </c>
      <c r="G6411" t="s">
        <v>16231</v>
      </c>
      <c r="H6411" t="s">
        <v>47054</v>
      </c>
      <c r="I6411" t="s">
        <v>47111</v>
      </c>
      <c r="J6411" t="s">
        <v>47112</v>
      </c>
      <c r="K6411" t="s">
        <v>47113</v>
      </c>
      <c r="L6411">
        <v>60.51</v>
      </c>
      <c r="M6411">
        <v>138</v>
      </c>
      <c r="N6411">
        <v>0</v>
      </c>
      <c r="O6411">
        <v>138</v>
      </c>
      <c r="P6411">
        <v>0</v>
      </c>
    </row>
    <row r="6412" spans="1:16" x14ac:dyDescent="0.25">
      <c r="A6412" t="s">
        <v>28826</v>
      </c>
      <c r="B6412" t="s">
        <v>5374</v>
      </c>
      <c r="C6412" t="s">
        <v>5375</v>
      </c>
      <c r="D6412" t="s">
        <v>311</v>
      </c>
      <c r="E6412" t="s">
        <v>3479</v>
      </c>
      <c r="F6412" t="s">
        <v>5</v>
      </c>
      <c r="G6412" t="s">
        <v>16231</v>
      </c>
      <c r="H6412" t="s">
        <v>47054</v>
      </c>
      <c r="I6412" t="s">
        <v>47111</v>
      </c>
      <c r="J6412" t="s">
        <v>47112</v>
      </c>
      <c r="K6412" t="s">
        <v>47113</v>
      </c>
      <c r="L6412">
        <v>50.5</v>
      </c>
      <c r="M6412">
        <v>115</v>
      </c>
      <c r="N6412">
        <v>0</v>
      </c>
      <c r="O6412">
        <v>115</v>
      </c>
      <c r="P6412">
        <v>0</v>
      </c>
    </row>
    <row r="6413" spans="1:16" x14ac:dyDescent="0.25">
      <c r="A6413" t="s">
        <v>28827</v>
      </c>
      <c r="B6413" t="s">
        <v>5376</v>
      </c>
      <c r="C6413" t="s">
        <v>5377</v>
      </c>
      <c r="D6413" t="s">
        <v>5378</v>
      </c>
      <c r="E6413" t="s">
        <v>5379</v>
      </c>
      <c r="F6413" t="s">
        <v>3</v>
      </c>
      <c r="G6413" t="s">
        <v>16231</v>
      </c>
      <c r="H6413" t="s">
        <v>47054</v>
      </c>
      <c r="I6413" t="s">
        <v>47111</v>
      </c>
      <c r="J6413" t="s">
        <v>47112</v>
      </c>
      <c r="K6413" t="s">
        <v>47113</v>
      </c>
      <c r="L6413">
        <v>34.31</v>
      </c>
      <c r="M6413">
        <v>87</v>
      </c>
      <c r="N6413">
        <v>0</v>
      </c>
      <c r="O6413">
        <v>87</v>
      </c>
      <c r="P6413">
        <v>0</v>
      </c>
    </row>
    <row r="6414" spans="1:16" x14ac:dyDescent="0.25">
      <c r="A6414" t="s">
        <v>28828</v>
      </c>
      <c r="B6414" t="s">
        <v>5380</v>
      </c>
      <c r="C6414" t="s">
        <v>5381</v>
      </c>
      <c r="D6414" t="s">
        <v>5382</v>
      </c>
      <c r="E6414" t="s">
        <v>5383</v>
      </c>
      <c r="F6414" t="s">
        <v>5</v>
      </c>
      <c r="G6414" t="s">
        <v>16224</v>
      </c>
      <c r="H6414" t="s">
        <v>47054</v>
      </c>
      <c r="I6414" t="s">
        <v>47116</v>
      </c>
      <c r="J6414" t="s">
        <v>47117</v>
      </c>
      <c r="K6414" t="s">
        <v>47113</v>
      </c>
      <c r="L6414">
        <v>35.79</v>
      </c>
      <c r="M6414">
        <v>84</v>
      </c>
      <c r="N6414">
        <v>0</v>
      </c>
      <c r="O6414">
        <v>84</v>
      </c>
      <c r="P6414">
        <v>0</v>
      </c>
    </row>
    <row r="6415" spans="1:16" x14ac:dyDescent="0.25">
      <c r="A6415" t="s">
        <v>28829</v>
      </c>
      <c r="B6415" t="s">
        <v>5380</v>
      </c>
      <c r="C6415" t="s">
        <v>5381</v>
      </c>
      <c r="D6415" t="s">
        <v>5300</v>
      </c>
      <c r="E6415" t="s">
        <v>5301</v>
      </c>
      <c r="F6415" t="s">
        <v>5</v>
      </c>
      <c r="G6415" t="s">
        <v>16224</v>
      </c>
      <c r="H6415" t="s">
        <v>47054</v>
      </c>
      <c r="I6415" t="s">
        <v>47116</v>
      </c>
      <c r="J6415" t="s">
        <v>47117</v>
      </c>
      <c r="K6415" t="s">
        <v>47113</v>
      </c>
      <c r="L6415">
        <v>42.95</v>
      </c>
      <c r="M6415">
        <v>100</v>
      </c>
      <c r="N6415">
        <v>0</v>
      </c>
      <c r="O6415">
        <v>100</v>
      </c>
      <c r="P6415">
        <v>0</v>
      </c>
    </row>
    <row r="6416" spans="1:16" x14ac:dyDescent="0.25">
      <c r="A6416" t="s">
        <v>28830</v>
      </c>
      <c r="B6416" t="s">
        <v>5384</v>
      </c>
      <c r="C6416" t="s">
        <v>5385</v>
      </c>
      <c r="D6416" t="s">
        <v>5386</v>
      </c>
      <c r="E6416" t="s">
        <v>5387</v>
      </c>
      <c r="F6416" t="s">
        <v>4</v>
      </c>
      <c r="G6416" t="s">
        <v>16224</v>
      </c>
      <c r="H6416" t="s">
        <v>47054</v>
      </c>
      <c r="I6416" t="s">
        <v>47116</v>
      </c>
      <c r="J6416" t="s">
        <v>47117</v>
      </c>
      <c r="K6416" t="s">
        <v>47113</v>
      </c>
      <c r="L6416">
        <v>53.01</v>
      </c>
      <c r="M6416">
        <v>129</v>
      </c>
      <c r="N6416">
        <v>0</v>
      </c>
      <c r="O6416">
        <v>129</v>
      </c>
      <c r="P6416">
        <v>0</v>
      </c>
    </row>
    <row r="6417" spans="1:16" x14ac:dyDescent="0.25">
      <c r="A6417" t="s">
        <v>28831</v>
      </c>
      <c r="B6417" t="s">
        <v>5388</v>
      </c>
      <c r="C6417" t="s">
        <v>5389</v>
      </c>
      <c r="D6417" t="s">
        <v>5390</v>
      </c>
      <c r="E6417" t="s">
        <v>5391</v>
      </c>
      <c r="F6417" t="s">
        <v>2068</v>
      </c>
      <c r="G6417" t="s">
        <v>16224</v>
      </c>
      <c r="H6417" t="s">
        <v>47054</v>
      </c>
      <c r="I6417" t="s">
        <v>47111</v>
      </c>
      <c r="J6417" t="s">
        <v>47112</v>
      </c>
      <c r="K6417" t="s">
        <v>47113</v>
      </c>
      <c r="L6417">
        <v>36.97</v>
      </c>
      <c r="M6417">
        <v>83</v>
      </c>
      <c r="N6417">
        <v>0</v>
      </c>
      <c r="O6417">
        <v>83</v>
      </c>
      <c r="P6417">
        <v>0</v>
      </c>
    </row>
    <row r="6418" spans="1:16" x14ac:dyDescent="0.25">
      <c r="A6418" t="s">
        <v>14939</v>
      </c>
      <c r="B6418" t="s">
        <v>5392</v>
      </c>
      <c r="C6418" t="s">
        <v>5393</v>
      </c>
      <c r="D6418" t="s">
        <v>5394</v>
      </c>
      <c r="E6418" t="s">
        <v>5395</v>
      </c>
      <c r="F6418" t="s">
        <v>3546</v>
      </c>
      <c r="G6418" t="s">
        <v>16224</v>
      </c>
      <c r="H6418" t="s">
        <v>47054</v>
      </c>
      <c r="I6418" t="s">
        <v>47116</v>
      </c>
      <c r="J6418" t="s">
        <v>47117</v>
      </c>
      <c r="K6418" t="s">
        <v>47113</v>
      </c>
      <c r="L6418">
        <v>48.89</v>
      </c>
      <c r="M6418">
        <v>113</v>
      </c>
      <c r="N6418">
        <v>0</v>
      </c>
      <c r="O6418">
        <v>113</v>
      </c>
      <c r="P6418">
        <v>0</v>
      </c>
    </row>
    <row r="6419" spans="1:16" x14ac:dyDescent="0.25">
      <c r="A6419" t="s">
        <v>28832</v>
      </c>
      <c r="B6419" t="s">
        <v>5396</v>
      </c>
      <c r="C6419" t="s">
        <v>5397</v>
      </c>
      <c r="D6419" t="s">
        <v>700</v>
      </c>
      <c r="E6419" t="s">
        <v>701</v>
      </c>
      <c r="F6419" t="s">
        <v>5</v>
      </c>
      <c r="G6419" t="s">
        <v>16231</v>
      </c>
      <c r="H6419" t="s">
        <v>47153</v>
      </c>
      <c r="I6419" t="s">
        <v>47132</v>
      </c>
      <c r="J6419" t="s">
        <v>47133</v>
      </c>
      <c r="K6419" t="s">
        <v>47113</v>
      </c>
      <c r="L6419">
        <v>50.64</v>
      </c>
      <c r="M6419">
        <v>84</v>
      </c>
      <c r="N6419">
        <v>0</v>
      </c>
      <c r="O6419">
        <v>84</v>
      </c>
      <c r="P6419">
        <v>0</v>
      </c>
    </row>
    <row r="6420" spans="1:16" x14ac:dyDescent="0.25">
      <c r="A6420" t="s">
        <v>28833</v>
      </c>
      <c r="B6420" t="s">
        <v>5396</v>
      </c>
      <c r="C6420" t="s">
        <v>5397</v>
      </c>
      <c r="D6420" t="s">
        <v>1483</v>
      </c>
      <c r="E6420" t="s">
        <v>3478</v>
      </c>
      <c r="F6420" t="s">
        <v>5</v>
      </c>
      <c r="G6420" t="s">
        <v>16231</v>
      </c>
      <c r="H6420" t="s">
        <v>47153</v>
      </c>
      <c r="I6420" t="s">
        <v>47132</v>
      </c>
      <c r="J6420" t="s">
        <v>47133</v>
      </c>
      <c r="K6420" t="s">
        <v>47113</v>
      </c>
      <c r="L6420">
        <v>51.7</v>
      </c>
      <c r="M6420">
        <v>80</v>
      </c>
      <c r="N6420">
        <v>0</v>
      </c>
      <c r="O6420">
        <v>80</v>
      </c>
      <c r="P6420">
        <v>0</v>
      </c>
    </row>
    <row r="6421" spans="1:16" x14ac:dyDescent="0.25">
      <c r="A6421" t="s">
        <v>28834</v>
      </c>
      <c r="B6421" t="s">
        <v>5396</v>
      </c>
      <c r="C6421" t="s">
        <v>5397</v>
      </c>
      <c r="D6421" t="s">
        <v>5398</v>
      </c>
      <c r="E6421" t="s">
        <v>5399</v>
      </c>
      <c r="F6421" t="s">
        <v>4</v>
      </c>
      <c r="G6421" t="s">
        <v>16231</v>
      </c>
      <c r="H6421" t="s">
        <v>47153</v>
      </c>
      <c r="I6421" t="s">
        <v>47132</v>
      </c>
      <c r="J6421" t="s">
        <v>47133</v>
      </c>
      <c r="K6421" t="s">
        <v>47113</v>
      </c>
      <c r="L6421">
        <v>45.67</v>
      </c>
      <c r="M6421">
        <v>92</v>
      </c>
      <c r="N6421">
        <v>0</v>
      </c>
      <c r="O6421">
        <v>92</v>
      </c>
      <c r="P6421">
        <v>0</v>
      </c>
    </row>
    <row r="6422" spans="1:16" x14ac:dyDescent="0.25">
      <c r="A6422" t="s">
        <v>28835</v>
      </c>
      <c r="B6422" t="s">
        <v>5396</v>
      </c>
      <c r="C6422" t="s">
        <v>5397</v>
      </c>
      <c r="D6422" t="s">
        <v>5400</v>
      </c>
      <c r="E6422" t="s">
        <v>5401</v>
      </c>
      <c r="F6422" t="s">
        <v>4</v>
      </c>
      <c r="G6422" t="s">
        <v>16231</v>
      </c>
      <c r="H6422" t="s">
        <v>47153</v>
      </c>
      <c r="I6422" t="s">
        <v>47132</v>
      </c>
      <c r="J6422" t="s">
        <v>47133</v>
      </c>
      <c r="K6422" t="s">
        <v>47113</v>
      </c>
      <c r="L6422">
        <v>49.19</v>
      </c>
      <c r="M6422">
        <v>88</v>
      </c>
      <c r="N6422">
        <v>0</v>
      </c>
      <c r="O6422">
        <v>88</v>
      </c>
      <c r="P6422">
        <v>0</v>
      </c>
    </row>
    <row r="6423" spans="1:16" x14ac:dyDescent="0.25">
      <c r="A6423" t="s">
        <v>28836</v>
      </c>
      <c r="B6423" t="s">
        <v>5396</v>
      </c>
      <c r="C6423" t="s">
        <v>5397</v>
      </c>
      <c r="D6423" t="s">
        <v>311</v>
      </c>
      <c r="E6423" t="s">
        <v>3479</v>
      </c>
      <c r="F6423" t="s">
        <v>5</v>
      </c>
      <c r="G6423" t="s">
        <v>16231</v>
      </c>
      <c r="H6423" t="s">
        <v>47153</v>
      </c>
      <c r="I6423" t="s">
        <v>47132</v>
      </c>
      <c r="J6423" t="s">
        <v>47133</v>
      </c>
      <c r="K6423" t="s">
        <v>47113</v>
      </c>
      <c r="L6423">
        <v>45.27</v>
      </c>
      <c r="M6423">
        <v>69</v>
      </c>
      <c r="N6423">
        <v>0</v>
      </c>
      <c r="O6423">
        <v>69</v>
      </c>
      <c r="P6423">
        <v>0</v>
      </c>
    </row>
    <row r="6424" spans="1:16" x14ac:dyDescent="0.25">
      <c r="A6424" t="s">
        <v>28837</v>
      </c>
      <c r="B6424" t="s">
        <v>5402</v>
      </c>
      <c r="C6424" t="s">
        <v>5403</v>
      </c>
      <c r="D6424" t="s">
        <v>700</v>
      </c>
      <c r="E6424" t="s">
        <v>701</v>
      </c>
      <c r="F6424" t="s">
        <v>5</v>
      </c>
      <c r="G6424" t="s">
        <v>16231</v>
      </c>
      <c r="H6424" t="s">
        <v>47153</v>
      </c>
      <c r="I6424" t="s">
        <v>47132</v>
      </c>
      <c r="J6424" t="s">
        <v>47133</v>
      </c>
      <c r="K6424" t="s">
        <v>47113</v>
      </c>
      <c r="L6424">
        <v>43.23</v>
      </c>
      <c r="M6424">
        <v>84</v>
      </c>
      <c r="N6424">
        <v>0</v>
      </c>
      <c r="O6424">
        <v>84</v>
      </c>
      <c r="P6424">
        <v>0</v>
      </c>
    </row>
    <row r="6425" spans="1:16" x14ac:dyDescent="0.25">
      <c r="A6425" t="s">
        <v>28838</v>
      </c>
      <c r="B6425" t="s">
        <v>5402</v>
      </c>
      <c r="C6425" t="s">
        <v>5403</v>
      </c>
      <c r="D6425" t="s">
        <v>1483</v>
      </c>
      <c r="E6425" t="s">
        <v>3478</v>
      </c>
      <c r="F6425" t="s">
        <v>5</v>
      </c>
      <c r="G6425" t="s">
        <v>16231</v>
      </c>
      <c r="H6425" t="s">
        <v>47153</v>
      </c>
      <c r="I6425" t="s">
        <v>47132</v>
      </c>
      <c r="J6425" t="s">
        <v>47133</v>
      </c>
      <c r="K6425" t="s">
        <v>47113</v>
      </c>
      <c r="L6425">
        <v>44.03</v>
      </c>
      <c r="M6425">
        <v>80</v>
      </c>
      <c r="N6425">
        <v>0</v>
      </c>
      <c r="O6425">
        <v>80</v>
      </c>
      <c r="P6425">
        <v>0</v>
      </c>
    </row>
    <row r="6426" spans="1:16" x14ac:dyDescent="0.25">
      <c r="A6426" t="s">
        <v>28839</v>
      </c>
      <c r="B6426" t="s">
        <v>5402</v>
      </c>
      <c r="C6426" t="s">
        <v>5403</v>
      </c>
      <c r="D6426" t="s">
        <v>5398</v>
      </c>
      <c r="E6426" t="s">
        <v>5399</v>
      </c>
      <c r="F6426" t="s">
        <v>4</v>
      </c>
      <c r="G6426" t="s">
        <v>16231</v>
      </c>
      <c r="H6426" t="s">
        <v>47153</v>
      </c>
      <c r="I6426" t="s">
        <v>47132</v>
      </c>
      <c r="J6426" t="s">
        <v>47133</v>
      </c>
      <c r="K6426" t="s">
        <v>47113</v>
      </c>
      <c r="L6426">
        <v>45.67</v>
      </c>
      <c r="M6426">
        <v>92</v>
      </c>
      <c r="N6426">
        <v>0</v>
      </c>
      <c r="O6426">
        <v>92</v>
      </c>
      <c r="P6426">
        <v>0</v>
      </c>
    </row>
    <row r="6427" spans="1:16" x14ac:dyDescent="0.25">
      <c r="A6427" t="s">
        <v>28840</v>
      </c>
      <c r="B6427" t="s">
        <v>5402</v>
      </c>
      <c r="C6427" t="s">
        <v>5403</v>
      </c>
      <c r="D6427" t="s">
        <v>5400</v>
      </c>
      <c r="E6427" t="s">
        <v>5401</v>
      </c>
      <c r="F6427" t="s">
        <v>4</v>
      </c>
      <c r="G6427" t="s">
        <v>16231</v>
      </c>
      <c r="H6427" t="s">
        <v>47153</v>
      </c>
      <c r="I6427" t="s">
        <v>47132</v>
      </c>
      <c r="J6427" t="s">
        <v>47133</v>
      </c>
      <c r="K6427" t="s">
        <v>47113</v>
      </c>
      <c r="L6427">
        <v>48.49</v>
      </c>
      <c r="M6427">
        <v>88</v>
      </c>
      <c r="N6427">
        <v>0</v>
      </c>
      <c r="O6427">
        <v>88</v>
      </c>
      <c r="P6427">
        <v>0</v>
      </c>
    </row>
    <row r="6428" spans="1:16" x14ac:dyDescent="0.25">
      <c r="A6428" t="s">
        <v>28841</v>
      </c>
      <c r="B6428" t="s">
        <v>5402</v>
      </c>
      <c r="C6428" t="s">
        <v>5403</v>
      </c>
      <c r="D6428" t="s">
        <v>311</v>
      </c>
      <c r="E6428" t="s">
        <v>3479</v>
      </c>
      <c r="F6428" t="s">
        <v>5</v>
      </c>
      <c r="G6428" t="s">
        <v>16231</v>
      </c>
      <c r="H6428" t="s">
        <v>47153</v>
      </c>
      <c r="I6428" t="s">
        <v>47132</v>
      </c>
      <c r="J6428" t="s">
        <v>47133</v>
      </c>
      <c r="K6428" t="s">
        <v>47113</v>
      </c>
      <c r="L6428">
        <v>38.979999999999997</v>
      </c>
      <c r="M6428">
        <v>69</v>
      </c>
      <c r="N6428">
        <v>0</v>
      </c>
      <c r="O6428">
        <v>69</v>
      </c>
      <c r="P6428">
        <v>0</v>
      </c>
    </row>
    <row r="6429" spans="1:16" x14ac:dyDescent="0.25">
      <c r="A6429" t="s">
        <v>28842</v>
      </c>
      <c r="B6429" t="s">
        <v>5404</v>
      </c>
      <c r="C6429" t="s">
        <v>5405</v>
      </c>
      <c r="D6429" t="s">
        <v>1483</v>
      </c>
      <c r="E6429" t="s">
        <v>3478</v>
      </c>
      <c r="F6429" t="s">
        <v>5</v>
      </c>
      <c r="G6429" t="s">
        <v>16231</v>
      </c>
      <c r="H6429" t="s">
        <v>47153</v>
      </c>
      <c r="I6429" t="s">
        <v>47132</v>
      </c>
      <c r="J6429" t="s">
        <v>47133</v>
      </c>
      <c r="K6429" t="s">
        <v>47113</v>
      </c>
      <c r="L6429">
        <v>50.8</v>
      </c>
      <c r="M6429">
        <v>80</v>
      </c>
      <c r="N6429">
        <v>0</v>
      </c>
      <c r="O6429">
        <v>80</v>
      </c>
      <c r="P6429">
        <v>0</v>
      </c>
    </row>
    <row r="6430" spans="1:16" x14ac:dyDescent="0.25">
      <c r="A6430" t="s">
        <v>28843</v>
      </c>
      <c r="B6430" t="s">
        <v>5404</v>
      </c>
      <c r="C6430" t="s">
        <v>5405</v>
      </c>
      <c r="D6430" t="s">
        <v>5398</v>
      </c>
      <c r="E6430" t="s">
        <v>5399</v>
      </c>
      <c r="F6430" t="s">
        <v>4</v>
      </c>
      <c r="G6430" t="s">
        <v>16231</v>
      </c>
      <c r="H6430" t="s">
        <v>47153</v>
      </c>
      <c r="I6430" t="s">
        <v>47132</v>
      </c>
      <c r="J6430" t="s">
        <v>47133</v>
      </c>
      <c r="K6430" t="s">
        <v>47113</v>
      </c>
      <c r="L6430">
        <v>45.67</v>
      </c>
      <c r="M6430">
        <v>92</v>
      </c>
      <c r="N6430">
        <v>0</v>
      </c>
      <c r="O6430">
        <v>92</v>
      </c>
      <c r="P6430">
        <v>0</v>
      </c>
    </row>
    <row r="6431" spans="1:16" x14ac:dyDescent="0.25">
      <c r="A6431" t="s">
        <v>28844</v>
      </c>
      <c r="B6431" t="s">
        <v>5404</v>
      </c>
      <c r="C6431" t="s">
        <v>5405</v>
      </c>
      <c r="D6431" t="s">
        <v>5400</v>
      </c>
      <c r="E6431" t="s">
        <v>5401</v>
      </c>
      <c r="F6431" t="s">
        <v>4</v>
      </c>
      <c r="G6431" t="s">
        <v>16231</v>
      </c>
      <c r="H6431" t="s">
        <v>47153</v>
      </c>
      <c r="I6431" t="s">
        <v>47132</v>
      </c>
      <c r="J6431" t="s">
        <v>47133</v>
      </c>
      <c r="K6431" t="s">
        <v>47113</v>
      </c>
      <c r="L6431">
        <v>48.49</v>
      </c>
      <c r="M6431">
        <v>88</v>
      </c>
      <c r="N6431">
        <v>0</v>
      </c>
      <c r="O6431">
        <v>88</v>
      </c>
      <c r="P6431">
        <v>0</v>
      </c>
    </row>
    <row r="6432" spans="1:16" x14ac:dyDescent="0.25">
      <c r="A6432" t="s">
        <v>28845</v>
      </c>
      <c r="B6432" t="s">
        <v>5404</v>
      </c>
      <c r="C6432" t="s">
        <v>5405</v>
      </c>
      <c r="D6432" t="s">
        <v>311</v>
      </c>
      <c r="E6432" t="s">
        <v>3479</v>
      </c>
      <c r="F6432" t="s">
        <v>5</v>
      </c>
      <c r="G6432" t="s">
        <v>16231</v>
      </c>
      <c r="H6432" t="s">
        <v>47153</v>
      </c>
      <c r="I6432" t="s">
        <v>47132</v>
      </c>
      <c r="J6432" t="s">
        <v>47133</v>
      </c>
      <c r="K6432" t="s">
        <v>47113</v>
      </c>
      <c r="L6432">
        <v>45.93</v>
      </c>
      <c r="M6432">
        <v>69</v>
      </c>
      <c r="N6432">
        <v>0</v>
      </c>
      <c r="O6432">
        <v>69</v>
      </c>
      <c r="P6432">
        <v>0</v>
      </c>
    </row>
    <row r="6433" spans="1:16" x14ac:dyDescent="0.25">
      <c r="A6433" t="s">
        <v>28846</v>
      </c>
      <c r="B6433" t="s">
        <v>5406</v>
      </c>
      <c r="C6433" t="s">
        <v>5407</v>
      </c>
      <c r="D6433" t="s">
        <v>311</v>
      </c>
      <c r="E6433" t="s">
        <v>3479</v>
      </c>
      <c r="F6433" t="s">
        <v>5</v>
      </c>
      <c r="G6433" t="s">
        <v>16224</v>
      </c>
      <c r="H6433" t="s">
        <v>47153</v>
      </c>
      <c r="I6433" t="s">
        <v>47132</v>
      </c>
      <c r="J6433" t="s">
        <v>47133</v>
      </c>
      <c r="K6433" t="s">
        <v>47113</v>
      </c>
      <c r="L6433">
        <v>50.47</v>
      </c>
      <c r="M6433">
        <v>96</v>
      </c>
      <c r="N6433">
        <v>0</v>
      </c>
      <c r="O6433">
        <v>96</v>
      </c>
      <c r="P6433">
        <v>0</v>
      </c>
    </row>
    <row r="6434" spans="1:16" x14ac:dyDescent="0.25">
      <c r="A6434" t="s">
        <v>28847</v>
      </c>
      <c r="B6434" t="s">
        <v>5408</v>
      </c>
      <c r="C6434" t="s">
        <v>5409</v>
      </c>
      <c r="D6434" t="s">
        <v>700</v>
      </c>
      <c r="E6434" t="s">
        <v>701</v>
      </c>
      <c r="F6434" t="s">
        <v>5</v>
      </c>
      <c r="G6434" t="s">
        <v>16231</v>
      </c>
      <c r="H6434" t="s">
        <v>47153</v>
      </c>
      <c r="I6434" t="s">
        <v>47132</v>
      </c>
      <c r="J6434" t="s">
        <v>47133</v>
      </c>
      <c r="K6434" t="s">
        <v>47113</v>
      </c>
      <c r="L6434">
        <v>42.43</v>
      </c>
      <c r="M6434">
        <v>84</v>
      </c>
      <c r="N6434">
        <v>0</v>
      </c>
      <c r="O6434">
        <v>84</v>
      </c>
      <c r="P6434">
        <v>0</v>
      </c>
    </row>
    <row r="6435" spans="1:16" x14ac:dyDescent="0.25">
      <c r="A6435" t="s">
        <v>28848</v>
      </c>
      <c r="B6435" t="s">
        <v>5408</v>
      </c>
      <c r="C6435" t="s">
        <v>5409</v>
      </c>
      <c r="D6435" t="s">
        <v>1483</v>
      </c>
      <c r="E6435" t="s">
        <v>3478</v>
      </c>
      <c r="F6435" t="s">
        <v>5</v>
      </c>
      <c r="G6435" t="s">
        <v>16231</v>
      </c>
      <c r="H6435" t="s">
        <v>47153</v>
      </c>
      <c r="I6435" t="s">
        <v>47132</v>
      </c>
      <c r="J6435" t="s">
        <v>47133</v>
      </c>
      <c r="K6435" t="s">
        <v>47113</v>
      </c>
      <c r="L6435">
        <v>42.76</v>
      </c>
      <c r="M6435">
        <v>80</v>
      </c>
      <c r="N6435">
        <v>0</v>
      </c>
      <c r="O6435">
        <v>80</v>
      </c>
      <c r="P6435">
        <v>0</v>
      </c>
    </row>
    <row r="6436" spans="1:16" x14ac:dyDescent="0.25">
      <c r="A6436" t="s">
        <v>28849</v>
      </c>
      <c r="B6436" t="s">
        <v>5408</v>
      </c>
      <c r="C6436" t="s">
        <v>5409</v>
      </c>
      <c r="D6436" t="s">
        <v>5398</v>
      </c>
      <c r="E6436" t="s">
        <v>5399</v>
      </c>
      <c r="F6436" t="s">
        <v>4</v>
      </c>
      <c r="G6436" t="s">
        <v>16231</v>
      </c>
      <c r="H6436" t="s">
        <v>47153</v>
      </c>
      <c r="I6436" t="s">
        <v>47132</v>
      </c>
      <c r="J6436" t="s">
        <v>47133</v>
      </c>
      <c r="K6436" t="s">
        <v>47113</v>
      </c>
      <c r="L6436">
        <v>45.67</v>
      </c>
      <c r="M6436">
        <v>92</v>
      </c>
      <c r="N6436">
        <v>0</v>
      </c>
      <c r="O6436">
        <v>92</v>
      </c>
      <c r="P6436">
        <v>0</v>
      </c>
    </row>
    <row r="6437" spans="1:16" x14ac:dyDescent="0.25">
      <c r="A6437" t="s">
        <v>28850</v>
      </c>
      <c r="B6437" t="s">
        <v>5408</v>
      </c>
      <c r="C6437" t="s">
        <v>5409</v>
      </c>
      <c r="D6437" t="s">
        <v>5400</v>
      </c>
      <c r="E6437" t="s">
        <v>5401</v>
      </c>
      <c r="F6437" t="s">
        <v>4</v>
      </c>
      <c r="G6437" t="s">
        <v>16231</v>
      </c>
      <c r="H6437" t="s">
        <v>47153</v>
      </c>
      <c r="I6437" t="s">
        <v>47132</v>
      </c>
      <c r="J6437" t="s">
        <v>47133</v>
      </c>
      <c r="K6437" t="s">
        <v>47113</v>
      </c>
      <c r="L6437">
        <v>48.84</v>
      </c>
      <c r="M6437">
        <v>88</v>
      </c>
      <c r="N6437">
        <v>0</v>
      </c>
      <c r="O6437">
        <v>88</v>
      </c>
      <c r="P6437">
        <v>0</v>
      </c>
    </row>
    <row r="6438" spans="1:16" x14ac:dyDescent="0.25">
      <c r="A6438" t="s">
        <v>28851</v>
      </c>
      <c r="B6438" t="s">
        <v>5408</v>
      </c>
      <c r="C6438" t="s">
        <v>5409</v>
      </c>
      <c r="D6438" t="s">
        <v>311</v>
      </c>
      <c r="E6438" t="s">
        <v>3479</v>
      </c>
      <c r="F6438" t="s">
        <v>5</v>
      </c>
      <c r="G6438" t="s">
        <v>16231</v>
      </c>
      <c r="H6438" t="s">
        <v>47153</v>
      </c>
      <c r="I6438" t="s">
        <v>47132</v>
      </c>
      <c r="J6438" t="s">
        <v>47133</v>
      </c>
      <c r="K6438" t="s">
        <v>47113</v>
      </c>
      <c r="L6438">
        <v>38.29</v>
      </c>
      <c r="M6438">
        <v>69</v>
      </c>
      <c r="N6438">
        <v>0</v>
      </c>
      <c r="O6438">
        <v>69</v>
      </c>
      <c r="P6438">
        <v>0</v>
      </c>
    </row>
    <row r="6439" spans="1:16" x14ac:dyDescent="0.25">
      <c r="A6439" t="s">
        <v>28852</v>
      </c>
      <c r="B6439" t="s">
        <v>5410</v>
      </c>
      <c r="C6439" t="s">
        <v>5411</v>
      </c>
      <c r="D6439" t="s">
        <v>700</v>
      </c>
      <c r="E6439" t="s">
        <v>701</v>
      </c>
      <c r="F6439" t="s">
        <v>5</v>
      </c>
      <c r="G6439" t="s">
        <v>16231</v>
      </c>
      <c r="H6439" t="s">
        <v>47153</v>
      </c>
      <c r="I6439" t="s">
        <v>47132</v>
      </c>
      <c r="J6439" t="s">
        <v>47133</v>
      </c>
      <c r="K6439" t="s">
        <v>47113</v>
      </c>
      <c r="L6439">
        <v>43</v>
      </c>
      <c r="M6439">
        <v>84</v>
      </c>
      <c r="N6439">
        <v>0</v>
      </c>
      <c r="O6439">
        <v>84</v>
      </c>
      <c r="P6439">
        <v>0</v>
      </c>
    </row>
    <row r="6440" spans="1:16" x14ac:dyDescent="0.25">
      <c r="A6440" t="s">
        <v>28853</v>
      </c>
      <c r="B6440" t="s">
        <v>5410</v>
      </c>
      <c r="C6440" t="s">
        <v>5411</v>
      </c>
      <c r="D6440" t="s">
        <v>1483</v>
      </c>
      <c r="E6440" t="s">
        <v>3478</v>
      </c>
      <c r="F6440" t="s">
        <v>5</v>
      </c>
      <c r="G6440" t="s">
        <v>16231</v>
      </c>
      <c r="H6440" t="s">
        <v>47153</v>
      </c>
      <c r="I6440" t="s">
        <v>47132</v>
      </c>
      <c r="J6440" t="s">
        <v>47133</v>
      </c>
      <c r="K6440" t="s">
        <v>47113</v>
      </c>
      <c r="L6440">
        <v>44.72</v>
      </c>
      <c r="M6440">
        <v>80</v>
      </c>
      <c r="N6440">
        <v>0</v>
      </c>
      <c r="O6440">
        <v>80</v>
      </c>
      <c r="P6440">
        <v>0</v>
      </c>
    </row>
    <row r="6441" spans="1:16" x14ac:dyDescent="0.25">
      <c r="A6441" t="s">
        <v>28854</v>
      </c>
      <c r="B6441" t="s">
        <v>5410</v>
      </c>
      <c r="C6441" t="s">
        <v>5411</v>
      </c>
      <c r="D6441" t="s">
        <v>5398</v>
      </c>
      <c r="E6441" t="s">
        <v>5399</v>
      </c>
      <c r="F6441" t="s">
        <v>4</v>
      </c>
      <c r="G6441" t="s">
        <v>16231</v>
      </c>
      <c r="H6441" t="s">
        <v>47153</v>
      </c>
      <c r="I6441" t="s">
        <v>47132</v>
      </c>
      <c r="J6441" t="s">
        <v>47133</v>
      </c>
      <c r="K6441" t="s">
        <v>47113</v>
      </c>
      <c r="L6441">
        <v>45.67</v>
      </c>
      <c r="M6441">
        <v>92</v>
      </c>
      <c r="N6441">
        <v>0</v>
      </c>
      <c r="O6441">
        <v>92</v>
      </c>
      <c r="P6441">
        <v>0</v>
      </c>
    </row>
    <row r="6442" spans="1:16" x14ac:dyDescent="0.25">
      <c r="A6442" t="s">
        <v>28855</v>
      </c>
      <c r="B6442" t="s">
        <v>5410</v>
      </c>
      <c r="C6442" t="s">
        <v>5411</v>
      </c>
      <c r="D6442" t="s">
        <v>5400</v>
      </c>
      <c r="E6442" t="s">
        <v>5401</v>
      </c>
      <c r="F6442" t="s">
        <v>4</v>
      </c>
      <c r="G6442" t="s">
        <v>16231</v>
      </c>
      <c r="H6442" t="s">
        <v>47153</v>
      </c>
      <c r="I6442" t="s">
        <v>47132</v>
      </c>
      <c r="J6442" t="s">
        <v>47133</v>
      </c>
      <c r="K6442" t="s">
        <v>47113</v>
      </c>
      <c r="L6442">
        <v>48.84</v>
      </c>
      <c r="M6442">
        <v>88</v>
      </c>
      <c r="N6442">
        <v>0</v>
      </c>
      <c r="O6442">
        <v>88</v>
      </c>
      <c r="P6442">
        <v>0</v>
      </c>
    </row>
    <row r="6443" spans="1:16" x14ac:dyDescent="0.25">
      <c r="A6443" t="s">
        <v>28856</v>
      </c>
      <c r="B6443" t="s">
        <v>5410</v>
      </c>
      <c r="C6443" t="s">
        <v>5411</v>
      </c>
      <c r="D6443" t="s">
        <v>311</v>
      </c>
      <c r="E6443" t="s">
        <v>3479</v>
      </c>
      <c r="F6443" t="s">
        <v>5</v>
      </c>
      <c r="G6443" t="s">
        <v>16231</v>
      </c>
      <c r="H6443" t="s">
        <v>47153</v>
      </c>
      <c r="I6443" t="s">
        <v>47132</v>
      </c>
      <c r="J6443" t="s">
        <v>47133</v>
      </c>
      <c r="K6443" t="s">
        <v>47113</v>
      </c>
      <c r="L6443">
        <v>38.979999999999997</v>
      </c>
      <c r="M6443">
        <v>69</v>
      </c>
      <c r="N6443">
        <v>0</v>
      </c>
      <c r="O6443">
        <v>69</v>
      </c>
      <c r="P6443">
        <v>0</v>
      </c>
    </row>
    <row r="6444" spans="1:16" x14ac:dyDescent="0.25">
      <c r="A6444" t="s">
        <v>28857</v>
      </c>
      <c r="B6444" t="s">
        <v>5412</v>
      </c>
      <c r="C6444" t="s">
        <v>5413</v>
      </c>
      <c r="D6444" t="s">
        <v>5414</v>
      </c>
      <c r="E6444" t="s">
        <v>5415</v>
      </c>
      <c r="F6444" t="s">
        <v>5</v>
      </c>
      <c r="G6444" t="s">
        <v>16231</v>
      </c>
      <c r="H6444" t="s">
        <v>47153</v>
      </c>
      <c r="I6444" t="s">
        <v>47132</v>
      </c>
      <c r="J6444" t="s">
        <v>47133</v>
      </c>
      <c r="K6444" t="s">
        <v>47113</v>
      </c>
      <c r="L6444">
        <v>43.58</v>
      </c>
      <c r="M6444">
        <v>80</v>
      </c>
      <c r="N6444">
        <v>0</v>
      </c>
      <c r="O6444">
        <v>80</v>
      </c>
      <c r="P6444">
        <v>0</v>
      </c>
    </row>
    <row r="6445" spans="1:16" x14ac:dyDescent="0.25">
      <c r="A6445" t="s">
        <v>28858</v>
      </c>
      <c r="B6445" t="s">
        <v>5412</v>
      </c>
      <c r="C6445" t="s">
        <v>5413</v>
      </c>
      <c r="D6445" t="s">
        <v>5416</v>
      </c>
      <c r="E6445" t="s">
        <v>5417</v>
      </c>
      <c r="F6445" t="s">
        <v>4</v>
      </c>
      <c r="G6445" t="s">
        <v>16231</v>
      </c>
      <c r="H6445" t="s">
        <v>47153</v>
      </c>
      <c r="I6445" t="s">
        <v>47132</v>
      </c>
      <c r="J6445" t="s">
        <v>47133</v>
      </c>
      <c r="K6445" t="s">
        <v>47113</v>
      </c>
      <c r="L6445">
        <v>45.67</v>
      </c>
      <c r="M6445">
        <v>92</v>
      </c>
      <c r="N6445">
        <v>0</v>
      </c>
      <c r="O6445">
        <v>92</v>
      </c>
      <c r="P6445">
        <v>0</v>
      </c>
    </row>
    <row r="6446" spans="1:16" x14ac:dyDescent="0.25">
      <c r="A6446" t="s">
        <v>28859</v>
      </c>
      <c r="B6446" t="s">
        <v>5412</v>
      </c>
      <c r="C6446" t="s">
        <v>5413</v>
      </c>
      <c r="D6446" t="s">
        <v>311</v>
      </c>
      <c r="E6446" t="s">
        <v>3479</v>
      </c>
      <c r="F6446" t="s">
        <v>5</v>
      </c>
      <c r="G6446" t="s">
        <v>16231</v>
      </c>
      <c r="H6446" t="s">
        <v>47153</v>
      </c>
      <c r="I6446" t="s">
        <v>47132</v>
      </c>
      <c r="J6446" t="s">
        <v>47133</v>
      </c>
      <c r="K6446" t="s">
        <v>47113</v>
      </c>
      <c r="L6446">
        <v>38.619999999999997</v>
      </c>
      <c r="M6446">
        <v>75</v>
      </c>
      <c r="N6446">
        <v>0</v>
      </c>
      <c r="O6446">
        <v>75</v>
      </c>
      <c r="P6446">
        <v>0</v>
      </c>
    </row>
    <row r="6447" spans="1:16" x14ac:dyDescent="0.25">
      <c r="A6447" t="s">
        <v>28860</v>
      </c>
      <c r="B6447" t="s">
        <v>5418</v>
      </c>
      <c r="C6447" t="s">
        <v>5419</v>
      </c>
      <c r="D6447" t="s">
        <v>5420</v>
      </c>
      <c r="E6447" t="s">
        <v>5421</v>
      </c>
      <c r="F6447" t="s">
        <v>5</v>
      </c>
      <c r="G6447" t="s">
        <v>16231</v>
      </c>
      <c r="H6447" t="s">
        <v>47153</v>
      </c>
      <c r="I6447" t="s">
        <v>47132</v>
      </c>
      <c r="J6447" t="s">
        <v>47133</v>
      </c>
      <c r="K6447" t="s">
        <v>47113</v>
      </c>
      <c r="L6447">
        <v>42.31</v>
      </c>
      <c r="M6447">
        <v>80</v>
      </c>
      <c r="N6447">
        <v>0</v>
      </c>
      <c r="O6447">
        <v>80</v>
      </c>
      <c r="P6447">
        <v>0</v>
      </c>
    </row>
    <row r="6448" spans="1:16" x14ac:dyDescent="0.25">
      <c r="A6448" t="s">
        <v>28861</v>
      </c>
      <c r="B6448" t="s">
        <v>5418</v>
      </c>
      <c r="C6448" t="s">
        <v>5419</v>
      </c>
      <c r="D6448" t="s">
        <v>5414</v>
      </c>
      <c r="E6448" t="s">
        <v>5415</v>
      </c>
      <c r="F6448" t="s">
        <v>5</v>
      </c>
      <c r="G6448" t="s">
        <v>16231</v>
      </c>
      <c r="H6448" t="s">
        <v>47153</v>
      </c>
      <c r="I6448" t="s">
        <v>47132</v>
      </c>
      <c r="J6448" t="s">
        <v>47133</v>
      </c>
      <c r="K6448" t="s">
        <v>47113</v>
      </c>
      <c r="L6448">
        <v>43.58</v>
      </c>
      <c r="M6448">
        <v>80</v>
      </c>
      <c r="N6448">
        <v>0</v>
      </c>
      <c r="O6448">
        <v>80</v>
      </c>
      <c r="P6448">
        <v>0</v>
      </c>
    </row>
    <row r="6449" spans="1:16" x14ac:dyDescent="0.25">
      <c r="A6449" t="s">
        <v>28862</v>
      </c>
      <c r="B6449" t="s">
        <v>5418</v>
      </c>
      <c r="C6449" t="s">
        <v>5419</v>
      </c>
      <c r="D6449" t="s">
        <v>5416</v>
      </c>
      <c r="E6449" t="s">
        <v>5417</v>
      </c>
      <c r="F6449" t="s">
        <v>4</v>
      </c>
      <c r="G6449" t="s">
        <v>16231</v>
      </c>
      <c r="H6449" t="s">
        <v>47153</v>
      </c>
      <c r="I6449" t="s">
        <v>47132</v>
      </c>
      <c r="J6449" t="s">
        <v>47133</v>
      </c>
      <c r="K6449" t="s">
        <v>47113</v>
      </c>
      <c r="L6449">
        <v>46.14</v>
      </c>
      <c r="M6449">
        <v>92</v>
      </c>
      <c r="N6449">
        <v>0</v>
      </c>
      <c r="O6449">
        <v>92</v>
      </c>
      <c r="P6449">
        <v>0</v>
      </c>
    </row>
    <row r="6450" spans="1:16" x14ac:dyDescent="0.25">
      <c r="A6450" t="s">
        <v>28863</v>
      </c>
      <c r="B6450" t="s">
        <v>5418</v>
      </c>
      <c r="C6450" t="s">
        <v>5419</v>
      </c>
      <c r="D6450" t="s">
        <v>311</v>
      </c>
      <c r="E6450" t="s">
        <v>3479</v>
      </c>
      <c r="F6450" t="s">
        <v>5</v>
      </c>
      <c r="G6450" t="s">
        <v>16231</v>
      </c>
      <c r="H6450" t="s">
        <v>47153</v>
      </c>
      <c r="I6450" t="s">
        <v>47132</v>
      </c>
      <c r="J6450" t="s">
        <v>47133</v>
      </c>
      <c r="K6450" t="s">
        <v>47113</v>
      </c>
      <c r="L6450">
        <v>38.979999999999997</v>
      </c>
      <c r="M6450">
        <v>75</v>
      </c>
      <c r="N6450">
        <v>0</v>
      </c>
      <c r="O6450">
        <v>75</v>
      </c>
      <c r="P6450">
        <v>0</v>
      </c>
    </row>
    <row r="6451" spans="1:16" x14ac:dyDescent="0.25">
      <c r="A6451" t="s">
        <v>28864</v>
      </c>
      <c r="B6451" t="s">
        <v>5422</v>
      </c>
      <c r="C6451" t="s">
        <v>5423</v>
      </c>
      <c r="D6451" t="s">
        <v>5420</v>
      </c>
      <c r="E6451" t="s">
        <v>5421</v>
      </c>
      <c r="F6451" t="s">
        <v>5</v>
      </c>
      <c r="G6451" t="s">
        <v>16231</v>
      </c>
      <c r="H6451" t="s">
        <v>47153</v>
      </c>
      <c r="I6451" t="s">
        <v>47132</v>
      </c>
      <c r="J6451" t="s">
        <v>47133</v>
      </c>
      <c r="K6451" t="s">
        <v>47113</v>
      </c>
      <c r="L6451">
        <v>48.55</v>
      </c>
      <c r="M6451">
        <v>92</v>
      </c>
      <c r="N6451">
        <v>0</v>
      </c>
      <c r="O6451">
        <v>92</v>
      </c>
      <c r="P6451">
        <v>0</v>
      </c>
    </row>
    <row r="6452" spans="1:16" x14ac:dyDescent="0.25">
      <c r="A6452" t="s">
        <v>28865</v>
      </c>
      <c r="B6452" t="s">
        <v>5422</v>
      </c>
      <c r="C6452" t="s">
        <v>5423</v>
      </c>
      <c r="D6452" t="s">
        <v>5414</v>
      </c>
      <c r="E6452" t="s">
        <v>5415</v>
      </c>
      <c r="F6452" t="s">
        <v>5</v>
      </c>
      <c r="G6452" t="s">
        <v>16231</v>
      </c>
      <c r="H6452" t="s">
        <v>47153</v>
      </c>
      <c r="I6452" t="s">
        <v>47132</v>
      </c>
      <c r="J6452" t="s">
        <v>47133</v>
      </c>
      <c r="K6452" t="s">
        <v>47113</v>
      </c>
      <c r="L6452">
        <v>50.52</v>
      </c>
      <c r="M6452">
        <v>80</v>
      </c>
      <c r="N6452">
        <v>0</v>
      </c>
      <c r="O6452">
        <v>80</v>
      </c>
      <c r="P6452">
        <v>0</v>
      </c>
    </row>
    <row r="6453" spans="1:16" x14ac:dyDescent="0.25">
      <c r="A6453" t="s">
        <v>28866</v>
      </c>
      <c r="B6453" t="s">
        <v>5422</v>
      </c>
      <c r="C6453" t="s">
        <v>5423</v>
      </c>
      <c r="D6453" t="s">
        <v>5416</v>
      </c>
      <c r="E6453" t="s">
        <v>5417</v>
      </c>
      <c r="F6453" t="s">
        <v>4</v>
      </c>
      <c r="G6453" t="s">
        <v>16231</v>
      </c>
      <c r="H6453" t="s">
        <v>47153</v>
      </c>
      <c r="I6453" t="s">
        <v>47132</v>
      </c>
      <c r="J6453" t="s">
        <v>47133</v>
      </c>
      <c r="K6453" t="s">
        <v>47113</v>
      </c>
      <c r="L6453">
        <v>45.67</v>
      </c>
      <c r="M6453">
        <v>92</v>
      </c>
      <c r="N6453">
        <v>0</v>
      </c>
      <c r="O6453">
        <v>92</v>
      </c>
      <c r="P6453">
        <v>0</v>
      </c>
    </row>
    <row r="6454" spans="1:16" x14ac:dyDescent="0.25">
      <c r="A6454" t="s">
        <v>28867</v>
      </c>
      <c r="B6454" t="s">
        <v>5422</v>
      </c>
      <c r="C6454" t="s">
        <v>5423</v>
      </c>
      <c r="D6454" t="s">
        <v>311</v>
      </c>
      <c r="E6454" t="s">
        <v>3479</v>
      </c>
      <c r="F6454" t="s">
        <v>5</v>
      </c>
      <c r="G6454" t="s">
        <v>16231</v>
      </c>
      <c r="H6454" t="s">
        <v>47153</v>
      </c>
      <c r="I6454" t="s">
        <v>47132</v>
      </c>
      <c r="J6454" t="s">
        <v>47133</v>
      </c>
      <c r="K6454" t="s">
        <v>47113</v>
      </c>
      <c r="L6454">
        <v>49.21</v>
      </c>
      <c r="M6454">
        <v>75</v>
      </c>
      <c r="N6454">
        <v>0</v>
      </c>
      <c r="O6454">
        <v>75</v>
      </c>
      <c r="P6454">
        <v>0</v>
      </c>
    </row>
    <row r="6455" spans="1:16" x14ac:dyDescent="0.25">
      <c r="A6455" t="s">
        <v>28868</v>
      </c>
      <c r="B6455" t="s">
        <v>5424</v>
      </c>
      <c r="C6455" t="s">
        <v>5425</v>
      </c>
      <c r="D6455" t="s">
        <v>5420</v>
      </c>
      <c r="E6455" t="s">
        <v>5421</v>
      </c>
      <c r="F6455" t="s">
        <v>5</v>
      </c>
      <c r="G6455" t="s">
        <v>16231</v>
      </c>
      <c r="H6455" t="s">
        <v>47153</v>
      </c>
      <c r="I6455" t="s">
        <v>47132</v>
      </c>
      <c r="J6455" t="s">
        <v>47133</v>
      </c>
      <c r="K6455" t="s">
        <v>47113</v>
      </c>
      <c r="L6455">
        <v>41.74</v>
      </c>
      <c r="M6455">
        <v>92</v>
      </c>
      <c r="N6455">
        <v>0</v>
      </c>
      <c r="O6455">
        <v>92</v>
      </c>
      <c r="P6455">
        <v>0</v>
      </c>
    </row>
    <row r="6456" spans="1:16" x14ac:dyDescent="0.25">
      <c r="A6456" t="s">
        <v>28869</v>
      </c>
      <c r="B6456" t="s">
        <v>5424</v>
      </c>
      <c r="C6456" t="s">
        <v>5425</v>
      </c>
      <c r="D6456" t="s">
        <v>5414</v>
      </c>
      <c r="E6456" t="s">
        <v>5415</v>
      </c>
      <c r="F6456" t="s">
        <v>5</v>
      </c>
      <c r="G6456" t="s">
        <v>16231</v>
      </c>
      <c r="H6456" t="s">
        <v>47153</v>
      </c>
      <c r="I6456" t="s">
        <v>47132</v>
      </c>
      <c r="J6456" t="s">
        <v>47133</v>
      </c>
      <c r="K6456" t="s">
        <v>47113</v>
      </c>
      <c r="L6456">
        <v>42.19</v>
      </c>
      <c r="M6456">
        <v>80</v>
      </c>
      <c r="N6456">
        <v>0</v>
      </c>
      <c r="O6456">
        <v>80</v>
      </c>
      <c r="P6456">
        <v>0</v>
      </c>
    </row>
    <row r="6457" spans="1:16" x14ac:dyDescent="0.25">
      <c r="A6457" t="s">
        <v>28870</v>
      </c>
      <c r="B6457" t="s">
        <v>5424</v>
      </c>
      <c r="C6457" t="s">
        <v>5425</v>
      </c>
      <c r="D6457" t="s">
        <v>5416</v>
      </c>
      <c r="E6457" t="s">
        <v>5417</v>
      </c>
      <c r="F6457" t="s">
        <v>4</v>
      </c>
      <c r="G6457" t="s">
        <v>16231</v>
      </c>
      <c r="H6457" t="s">
        <v>47153</v>
      </c>
      <c r="I6457" t="s">
        <v>47132</v>
      </c>
      <c r="J6457" t="s">
        <v>47133</v>
      </c>
      <c r="K6457" t="s">
        <v>47113</v>
      </c>
      <c r="L6457">
        <v>44.5</v>
      </c>
      <c r="M6457">
        <v>92</v>
      </c>
      <c r="N6457">
        <v>0</v>
      </c>
      <c r="O6457">
        <v>92</v>
      </c>
      <c r="P6457">
        <v>0</v>
      </c>
    </row>
    <row r="6458" spans="1:16" x14ac:dyDescent="0.25">
      <c r="A6458" t="s">
        <v>28871</v>
      </c>
      <c r="B6458" t="s">
        <v>5424</v>
      </c>
      <c r="C6458" t="s">
        <v>5425</v>
      </c>
      <c r="D6458" t="s">
        <v>311</v>
      </c>
      <c r="E6458" t="s">
        <v>3479</v>
      </c>
      <c r="F6458" t="s">
        <v>5</v>
      </c>
      <c r="G6458" t="s">
        <v>16231</v>
      </c>
      <c r="H6458" t="s">
        <v>47153</v>
      </c>
      <c r="I6458" t="s">
        <v>47132</v>
      </c>
      <c r="J6458" t="s">
        <v>47133</v>
      </c>
      <c r="K6458" t="s">
        <v>47113</v>
      </c>
      <c r="L6458">
        <v>36.68</v>
      </c>
      <c r="M6458">
        <v>75</v>
      </c>
      <c r="N6458">
        <v>0</v>
      </c>
      <c r="O6458">
        <v>75</v>
      </c>
      <c r="P6458">
        <v>0</v>
      </c>
    </row>
    <row r="6459" spans="1:16" x14ac:dyDescent="0.25">
      <c r="A6459" t="s">
        <v>28872</v>
      </c>
      <c r="B6459" t="s">
        <v>5426</v>
      </c>
      <c r="C6459" t="s">
        <v>5427</v>
      </c>
      <c r="D6459" t="s">
        <v>5420</v>
      </c>
      <c r="E6459" t="s">
        <v>5421</v>
      </c>
      <c r="F6459" t="s">
        <v>5</v>
      </c>
      <c r="G6459" t="s">
        <v>16231</v>
      </c>
      <c r="H6459" t="s">
        <v>47153</v>
      </c>
      <c r="I6459" t="s">
        <v>47132</v>
      </c>
      <c r="J6459" t="s">
        <v>47133</v>
      </c>
      <c r="K6459" t="s">
        <v>47113</v>
      </c>
      <c r="L6459">
        <v>43.07</v>
      </c>
      <c r="M6459">
        <v>80</v>
      </c>
      <c r="N6459">
        <v>0</v>
      </c>
      <c r="O6459">
        <v>80</v>
      </c>
      <c r="P6459">
        <v>0</v>
      </c>
    </row>
    <row r="6460" spans="1:16" x14ac:dyDescent="0.25">
      <c r="A6460" t="s">
        <v>28873</v>
      </c>
      <c r="B6460" t="s">
        <v>5426</v>
      </c>
      <c r="C6460" t="s">
        <v>5427</v>
      </c>
      <c r="D6460" t="s">
        <v>5414</v>
      </c>
      <c r="E6460" t="s">
        <v>5415</v>
      </c>
      <c r="F6460" t="s">
        <v>5</v>
      </c>
      <c r="G6460" t="s">
        <v>16231</v>
      </c>
      <c r="H6460" t="s">
        <v>47153</v>
      </c>
      <c r="I6460" t="s">
        <v>47132</v>
      </c>
      <c r="J6460" t="s">
        <v>47133</v>
      </c>
      <c r="K6460" t="s">
        <v>47113</v>
      </c>
      <c r="L6460">
        <v>43.92</v>
      </c>
      <c r="M6460">
        <v>80</v>
      </c>
      <c r="N6460">
        <v>0</v>
      </c>
      <c r="O6460">
        <v>80</v>
      </c>
      <c r="P6460">
        <v>0</v>
      </c>
    </row>
    <row r="6461" spans="1:16" x14ac:dyDescent="0.25">
      <c r="A6461" t="s">
        <v>28874</v>
      </c>
      <c r="B6461" t="s">
        <v>5426</v>
      </c>
      <c r="C6461" t="s">
        <v>5427</v>
      </c>
      <c r="D6461" t="s">
        <v>5416</v>
      </c>
      <c r="E6461" t="s">
        <v>5417</v>
      </c>
      <c r="F6461" t="s">
        <v>4</v>
      </c>
      <c r="G6461" t="s">
        <v>16231</v>
      </c>
      <c r="H6461" t="s">
        <v>47153</v>
      </c>
      <c r="I6461" t="s">
        <v>47132</v>
      </c>
      <c r="J6461" t="s">
        <v>47133</v>
      </c>
      <c r="K6461" t="s">
        <v>47113</v>
      </c>
      <c r="L6461">
        <v>45.67</v>
      </c>
      <c r="M6461">
        <v>92</v>
      </c>
      <c r="N6461">
        <v>0</v>
      </c>
      <c r="O6461">
        <v>92</v>
      </c>
      <c r="P6461">
        <v>0</v>
      </c>
    </row>
    <row r="6462" spans="1:16" x14ac:dyDescent="0.25">
      <c r="A6462" t="s">
        <v>28875</v>
      </c>
      <c r="B6462" t="s">
        <v>5426</v>
      </c>
      <c r="C6462" t="s">
        <v>5427</v>
      </c>
      <c r="D6462" t="s">
        <v>311</v>
      </c>
      <c r="E6462" t="s">
        <v>3479</v>
      </c>
      <c r="F6462" t="s">
        <v>5</v>
      </c>
      <c r="G6462" t="s">
        <v>16231</v>
      </c>
      <c r="H6462" t="s">
        <v>47153</v>
      </c>
      <c r="I6462" t="s">
        <v>47132</v>
      </c>
      <c r="J6462" t="s">
        <v>47133</v>
      </c>
      <c r="K6462" t="s">
        <v>47113</v>
      </c>
      <c r="L6462">
        <v>37.71</v>
      </c>
      <c r="M6462">
        <v>75</v>
      </c>
      <c r="N6462">
        <v>0</v>
      </c>
      <c r="O6462">
        <v>75</v>
      </c>
      <c r="P6462">
        <v>0</v>
      </c>
    </row>
    <row r="6463" spans="1:16" x14ac:dyDescent="0.25">
      <c r="A6463" t="s">
        <v>28876</v>
      </c>
      <c r="B6463" t="s">
        <v>5428</v>
      </c>
      <c r="C6463" t="s">
        <v>5429</v>
      </c>
      <c r="D6463" t="str">
        <f>"1117"</f>
        <v>1117</v>
      </c>
      <c r="E6463" t="s">
        <v>5430</v>
      </c>
      <c r="F6463" t="s">
        <v>5</v>
      </c>
      <c r="G6463" t="s">
        <v>16231</v>
      </c>
      <c r="H6463" t="s">
        <v>47153</v>
      </c>
      <c r="I6463" t="s">
        <v>47132</v>
      </c>
      <c r="J6463" t="s">
        <v>47133</v>
      </c>
      <c r="K6463" t="s">
        <v>47113</v>
      </c>
      <c r="L6463">
        <v>37.83</v>
      </c>
      <c r="M6463">
        <v>69</v>
      </c>
      <c r="N6463">
        <v>0</v>
      </c>
      <c r="O6463">
        <v>69</v>
      </c>
      <c r="P6463">
        <v>0</v>
      </c>
    </row>
    <row r="6464" spans="1:16" x14ac:dyDescent="0.25">
      <c r="A6464" t="s">
        <v>28877</v>
      </c>
      <c r="B6464" t="s">
        <v>5428</v>
      </c>
      <c r="C6464" t="s">
        <v>5429</v>
      </c>
      <c r="D6464" t="str">
        <f>"1287"</f>
        <v>1287</v>
      </c>
      <c r="E6464" t="s">
        <v>5431</v>
      </c>
      <c r="F6464" t="s">
        <v>5</v>
      </c>
      <c r="G6464" t="s">
        <v>16231</v>
      </c>
      <c r="H6464" t="s">
        <v>47153</v>
      </c>
      <c r="I6464" t="s">
        <v>47132</v>
      </c>
      <c r="J6464" t="s">
        <v>47133</v>
      </c>
      <c r="K6464" t="s">
        <v>47113</v>
      </c>
      <c r="L6464">
        <v>37.83</v>
      </c>
      <c r="M6464">
        <v>69</v>
      </c>
      <c r="N6464">
        <v>0</v>
      </c>
      <c r="O6464">
        <v>69</v>
      </c>
      <c r="P6464">
        <v>0</v>
      </c>
    </row>
    <row r="6465" spans="1:16" x14ac:dyDescent="0.25">
      <c r="A6465" t="s">
        <v>28878</v>
      </c>
      <c r="B6465" t="s">
        <v>5428</v>
      </c>
      <c r="C6465" t="s">
        <v>5429</v>
      </c>
      <c r="D6465" t="str">
        <f>"2648"</f>
        <v>2648</v>
      </c>
      <c r="E6465" t="s">
        <v>5432</v>
      </c>
      <c r="F6465" t="s">
        <v>5</v>
      </c>
      <c r="G6465" t="s">
        <v>16231</v>
      </c>
      <c r="H6465" t="s">
        <v>47153</v>
      </c>
      <c r="I6465" t="s">
        <v>47132</v>
      </c>
      <c r="J6465" t="s">
        <v>47133</v>
      </c>
      <c r="K6465" t="s">
        <v>47113</v>
      </c>
      <c r="L6465">
        <v>37.83</v>
      </c>
      <c r="M6465">
        <v>69</v>
      </c>
      <c r="N6465">
        <v>0</v>
      </c>
      <c r="O6465">
        <v>69</v>
      </c>
      <c r="P6465">
        <v>0</v>
      </c>
    </row>
    <row r="6466" spans="1:16" x14ac:dyDescent="0.25">
      <c r="A6466" t="s">
        <v>28879</v>
      </c>
      <c r="B6466" t="s">
        <v>5428</v>
      </c>
      <c r="C6466" t="s">
        <v>5429</v>
      </c>
      <c r="D6466" t="str">
        <f>"6327"</f>
        <v>6327</v>
      </c>
      <c r="E6466" t="s">
        <v>5433</v>
      </c>
      <c r="F6466" t="s">
        <v>5</v>
      </c>
      <c r="G6466" t="s">
        <v>16231</v>
      </c>
      <c r="H6466" t="s">
        <v>47153</v>
      </c>
      <c r="I6466" t="s">
        <v>47132</v>
      </c>
      <c r="J6466" t="s">
        <v>47133</v>
      </c>
      <c r="K6466" t="s">
        <v>47113</v>
      </c>
      <c r="L6466">
        <v>37.83</v>
      </c>
      <c r="M6466">
        <v>69</v>
      </c>
      <c r="N6466">
        <v>0</v>
      </c>
      <c r="O6466">
        <v>69</v>
      </c>
      <c r="P6466">
        <v>0</v>
      </c>
    </row>
    <row r="6467" spans="1:16" x14ac:dyDescent="0.25">
      <c r="A6467" t="s">
        <v>28880</v>
      </c>
      <c r="B6467" t="s">
        <v>5434</v>
      </c>
      <c r="C6467" t="s">
        <v>5435</v>
      </c>
      <c r="D6467" t="str">
        <f>"1117"</f>
        <v>1117</v>
      </c>
      <c r="E6467" t="s">
        <v>5430</v>
      </c>
      <c r="F6467" t="s">
        <v>5</v>
      </c>
      <c r="G6467" t="s">
        <v>16231</v>
      </c>
      <c r="H6467" t="s">
        <v>47153</v>
      </c>
      <c r="I6467" t="s">
        <v>47132</v>
      </c>
      <c r="J6467" t="s">
        <v>47133</v>
      </c>
      <c r="K6467" t="s">
        <v>47113</v>
      </c>
      <c r="L6467">
        <v>37.020000000000003</v>
      </c>
      <c r="M6467">
        <v>69</v>
      </c>
      <c r="N6467">
        <v>0</v>
      </c>
      <c r="O6467">
        <v>69</v>
      </c>
      <c r="P6467">
        <v>0</v>
      </c>
    </row>
    <row r="6468" spans="1:16" x14ac:dyDescent="0.25">
      <c r="A6468" t="s">
        <v>28881</v>
      </c>
      <c r="B6468" t="s">
        <v>5434</v>
      </c>
      <c r="C6468" t="s">
        <v>5435</v>
      </c>
      <c r="D6468" t="str">
        <f>"1287"</f>
        <v>1287</v>
      </c>
      <c r="E6468" t="s">
        <v>5431</v>
      </c>
      <c r="F6468" t="s">
        <v>5</v>
      </c>
      <c r="G6468" t="s">
        <v>16231</v>
      </c>
      <c r="H6468" t="s">
        <v>47153</v>
      </c>
      <c r="I6468" t="s">
        <v>47132</v>
      </c>
      <c r="J6468" t="s">
        <v>47133</v>
      </c>
      <c r="K6468" t="s">
        <v>47113</v>
      </c>
      <c r="L6468">
        <v>37.020000000000003</v>
      </c>
      <c r="M6468">
        <v>69</v>
      </c>
      <c r="N6468">
        <v>0</v>
      </c>
      <c r="O6468">
        <v>69</v>
      </c>
      <c r="P6468">
        <v>0</v>
      </c>
    </row>
    <row r="6469" spans="1:16" x14ac:dyDescent="0.25">
      <c r="A6469" t="s">
        <v>28882</v>
      </c>
      <c r="B6469" t="s">
        <v>5434</v>
      </c>
      <c r="C6469" t="s">
        <v>5435</v>
      </c>
      <c r="D6469" t="str">
        <f>"2648"</f>
        <v>2648</v>
      </c>
      <c r="E6469" t="s">
        <v>5432</v>
      </c>
      <c r="F6469" t="s">
        <v>5</v>
      </c>
      <c r="G6469" t="s">
        <v>16231</v>
      </c>
      <c r="H6469" t="s">
        <v>47153</v>
      </c>
      <c r="I6469" t="s">
        <v>47132</v>
      </c>
      <c r="J6469" t="s">
        <v>47133</v>
      </c>
      <c r="K6469" t="s">
        <v>47113</v>
      </c>
      <c r="L6469">
        <v>37.020000000000003</v>
      </c>
      <c r="M6469">
        <v>69</v>
      </c>
      <c r="N6469">
        <v>0</v>
      </c>
      <c r="O6469">
        <v>69</v>
      </c>
      <c r="P6469">
        <v>0</v>
      </c>
    </row>
    <row r="6470" spans="1:16" x14ac:dyDescent="0.25">
      <c r="A6470" t="s">
        <v>28883</v>
      </c>
      <c r="B6470" t="s">
        <v>5434</v>
      </c>
      <c r="C6470" t="s">
        <v>5435</v>
      </c>
      <c r="D6470" t="str">
        <f>"6327"</f>
        <v>6327</v>
      </c>
      <c r="E6470" t="s">
        <v>5433</v>
      </c>
      <c r="F6470" t="s">
        <v>5</v>
      </c>
      <c r="G6470" t="s">
        <v>16231</v>
      </c>
      <c r="H6470" t="s">
        <v>47153</v>
      </c>
      <c r="I6470" t="s">
        <v>47132</v>
      </c>
      <c r="J6470" t="s">
        <v>47133</v>
      </c>
      <c r="K6470" t="s">
        <v>47113</v>
      </c>
      <c r="L6470">
        <v>37.020000000000003</v>
      </c>
      <c r="M6470">
        <v>69</v>
      </c>
      <c r="N6470">
        <v>0</v>
      </c>
      <c r="O6470">
        <v>69</v>
      </c>
      <c r="P6470">
        <v>0</v>
      </c>
    </row>
    <row r="6471" spans="1:16" x14ac:dyDescent="0.25">
      <c r="A6471" t="s">
        <v>28884</v>
      </c>
      <c r="B6471" t="s">
        <v>5436</v>
      </c>
      <c r="C6471" t="s">
        <v>5437</v>
      </c>
      <c r="D6471" t="str">
        <f>"1117"</f>
        <v>1117</v>
      </c>
      <c r="E6471" t="s">
        <v>5430</v>
      </c>
      <c r="F6471" t="s">
        <v>5</v>
      </c>
      <c r="G6471" t="s">
        <v>16231</v>
      </c>
      <c r="H6471" t="s">
        <v>47153</v>
      </c>
      <c r="I6471" t="s">
        <v>47132</v>
      </c>
      <c r="J6471" t="s">
        <v>47133</v>
      </c>
      <c r="K6471" t="s">
        <v>47113</v>
      </c>
      <c r="L6471">
        <v>44.22</v>
      </c>
      <c r="M6471">
        <v>69</v>
      </c>
      <c r="N6471">
        <v>0</v>
      </c>
      <c r="O6471">
        <v>69</v>
      </c>
      <c r="P6471">
        <v>0</v>
      </c>
    </row>
    <row r="6472" spans="1:16" x14ac:dyDescent="0.25">
      <c r="A6472" t="s">
        <v>28885</v>
      </c>
      <c r="B6472" t="s">
        <v>5436</v>
      </c>
      <c r="C6472" t="s">
        <v>5437</v>
      </c>
      <c r="D6472" t="str">
        <f>"1287"</f>
        <v>1287</v>
      </c>
      <c r="E6472" t="s">
        <v>5431</v>
      </c>
      <c r="F6472" t="s">
        <v>5</v>
      </c>
      <c r="G6472" t="s">
        <v>16231</v>
      </c>
      <c r="H6472" t="s">
        <v>47153</v>
      </c>
      <c r="I6472" t="s">
        <v>47132</v>
      </c>
      <c r="J6472" t="s">
        <v>47133</v>
      </c>
      <c r="K6472" t="s">
        <v>47113</v>
      </c>
      <c r="L6472">
        <v>44.22</v>
      </c>
      <c r="M6472">
        <v>69</v>
      </c>
      <c r="N6472">
        <v>0</v>
      </c>
      <c r="O6472">
        <v>69</v>
      </c>
      <c r="P6472">
        <v>0</v>
      </c>
    </row>
    <row r="6473" spans="1:16" x14ac:dyDescent="0.25">
      <c r="A6473" t="s">
        <v>28886</v>
      </c>
      <c r="B6473" t="s">
        <v>5436</v>
      </c>
      <c r="C6473" t="s">
        <v>5437</v>
      </c>
      <c r="D6473" t="str">
        <f>"6327"</f>
        <v>6327</v>
      </c>
      <c r="E6473" t="s">
        <v>5433</v>
      </c>
      <c r="F6473" t="s">
        <v>5</v>
      </c>
      <c r="G6473" t="s">
        <v>16231</v>
      </c>
      <c r="H6473" t="s">
        <v>47153</v>
      </c>
      <c r="I6473" t="s">
        <v>47132</v>
      </c>
      <c r="J6473" t="s">
        <v>47133</v>
      </c>
      <c r="K6473" t="s">
        <v>47113</v>
      </c>
      <c r="L6473">
        <v>44.22</v>
      </c>
      <c r="M6473">
        <v>69</v>
      </c>
      <c r="N6473">
        <v>0</v>
      </c>
      <c r="O6473">
        <v>69</v>
      </c>
      <c r="P6473">
        <v>0</v>
      </c>
    </row>
    <row r="6474" spans="1:16" x14ac:dyDescent="0.25">
      <c r="A6474" t="s">
        <v>28887</v>
      </c>
      <c r="B6474" t="s">
        <v>5438</v>
      </c>
      <c r="C6474" t="s">
        <v>5439</v>
      </c>
      <c r="D6474" t="str">
        <f>"1117"</f>
        <v>1117</v>
      </c>
      <c r="E6474" t="s">
        <v>5430</v>
      </c>
      <c r="F6474" t="s">
        <v>5</v>
      </c>
      <c r="G6474" t="s">
        <v>16231</v>
      </c>
      <c r="H6474" t="s">
        <v>47153</v>
      </c>
      <c r="I6474" t="s">
        <v>47132</v>
      </c>
      <c r="J6474" t="s">
        <v>47133</v>
      </c>
      <c r="K6474" t="s">
        <v>47113</v>
      </c>
      <c r="L6474">
        <v>36.56</v>
      </c>
      <c r="M6474">
        <v>69</v>
      </c>
      <c r="N6474">
        <v>0</v>
      </c>
      <c r="O6474">
        <v>69</v>
      </c>
      <c r="P6474">
        <v>0</v>
      </c>
    </row>
    <row r="6475" spans="1:16" x14ac:dyDescent="0.25">
      <c r="A6475" t="s">
        <v>28888</v>
      </c>
      <c r="B6475" t="s">
        <v>5438</v>
      </c>
      <c r="C6475" t="s">
        <v>5439</v>
      </c>
      <c r="D6475" t="str">
        <f>"1287"</f>
        <v>1287</v>
      </c>
      <c r="E6475" t="s">
        <v>5431</v>
      </c>
      <c r="F6475" t="s">
        <v>5</v>
      </c>
      <c r="G6475" t="s">
        <v>16231</v>
      </c>
      <c r="H6475" t="s">
        <v>47153</v>
      </c>
      <c r="I6475" t="s">
        <v>47132</v>
      </c>
      <c r="J6475" t="s">
        <v>47133</v>
      </c>
      <c r="K6475" t="s">
        <v>47113</v>
      </c>
      <c r="L6475">
        <v>36.56</v>
      </c>
      <c r="M6475">
        <v>69</v>
      </c>
      <c r="N6475">
        <v>0</v>
      </c>
      <c r="O6475">
        <v>69</v>
      </c>
      <c r="P6475">
        <v>0</v>
      </c>
    </row>
    <row r="6476" spans="1:16" x14ac:dyDescent="0.25">
      <c r="A6476" t="s">
        <v>28889</v>
      </c>
      <c r="B6476" t="s">
        <v>5438</v>
      </c>
      <c r="C6476" t="s">
        <v>5439</v>
      </c>
      <c r="D6476" t="str">
        <f>"2648"</f>
        <v>2648</v>
      </c>
      <c r="E6476" t="s">
        <v>5432</v>
      </c>
      <c r="F6476" t="s">
        <v>5</v>
      </c>
      <c r="G6476" t="s">
        <v>16231</v>
      </c>
      <c r="H6476" t="s">
        <v>47153</v>
      </c>
      <c r="I6476" t="s">
        <v>47132</v>
      </c>
      <c r="J6476" t="s">
        <v>47133</v>
      </c>
      <c r="K6476" t="s">
        <v>47113</v>
      </c>
      <c r="L6476">
        <v>36.56</v>
      </c>
      <c r="M6476">
        <v>69</v>
      </c>
      <c r="N6476">
        <v>0</v>
      </c>
      <c r="O6476">
        <v>69</v>
      </c>
      <c r="P6476">
        <v>0</v>
      </c>
    </row>
    <row r="6477" spans="1:16" x14ac:dyDescent="0.25">
      <c r="A6477" t="s">
        <v>28890</v>
      </c>
      <c r="B6477" t="s">
        <v>5438</v>
      </c>
      <c r="C6477" t="s">
        <v>5439</v>
      </c>
      <c r="D6477" t="str">
        <f>"6327"</f>
        <v>6327</v>
      </c>
      <c r="E6477" t="s">
        <v>5433</v>
      </c>
      <c r="F6477" t="s">
        <v>5</v>
      </c>
      <c r="G6477" t="s">
        <v>16231</v>
      </c>
      <c r="H6477" t="s">
        <v>47153</v>
      </c>
      <c r="I6477" t="s">
        <v>47132</v>
      </c>
      <c r="J6477" t="s">
        <v>47133</v>
      </c>
      <c r="K6477" t="s">
        <v>47113</v>
      </c>
      <c r="L6477">
        <v>36.56</v>
      </c>
      <c r="M6477">
        <v>69</v>
      </c>
      <c r="N6477">
        <v>0</v>
      </c>
      <c r="O6477">
        <v>69</v>
      </c>
      <c r="P6477">
        <v>0</v>
      </c>
    </row>
    <row r="6478" spans="1:16" x14ac:dyDescent="0.25">
      <c r="A6478" t="s">
        <v>28891</v>
      </c>
      <c r="B6478" t="s">
        <v>5440</v>
      </c>
      <c r="C6478" t="s">
        <v>5441</v>
      </c>
      <c r="D6478" t="str">
        <f>"1117"</f>
        <v>1117</v>
      </c>
      <c r="E6478" t="s">
        <v>5430</v>
      </c>
      <c r="F6478" t="s">
        <v>5</v>
      </c>
      <c r="G6478" t="s">
        <v>16231</v>
      </c>
      <c r="H6478" t="s">
        <v>47153</v>
      </c>
      <c r="I6478" t="s">
        <v>47132</v>
      </c>
      <c r="J6478" t="s">
        <v>47133</v>
      </c>
      <c r="K6478" t="s">
        <v>47113</v>
      </c>
      <c r="L6478">
        <v>36.68</v>
      </c>
      <c r="M6478">
        <v>69</v>
      </c>
      <c r="N6478">
        <v>0</v>
      </c>
      <c r="O6478">
        <v>69</v>
      </c>
      <c r="P6478">
        <v>0</v>
      </c>
    </row>
    <row r="6479" spans="1:16" x14ac:dyDescent="0.25">
      <c r="A6479" t="s">
        <v>28892</v>
      </c>
      <c r="B6479" t="s">
        <v>5440</v>
      </c>
      <c r="C6479" t="s">
        <v>5441</v>
      </c>
      <c r="D6479" t="str">
        <f>"1287"</f>
        <v>1287</v>
      </c>
      <c r="E6479" t="s">
        <v>5431</v>
      </c>
      <c r="F6479" t="s">
        <v>5</v>
      </c>
      <c r="G6479" t="s">
        <v>16231</v>
      </c>
      <c r="H6479" t="s">
        <v>47153</v>
      </c>
      <c r="I6479" t="s">
        <v>47132</v>
      </c>
      <c r="J6479" t="s">
        <v>47133</v>
      </c>
      <c r="K6479" t="s">
        <v>47113</v>
      </c>
      <c r="L6479">
        <v>36.68</v>
      </c>
      <c r="M6479">
        <v>69</v>
      </c>
      <c r="N6479">
        <v>0</v>
      </c>
      <c r="O6479">
        <v>69</v>
      </c>
      <c r="P6479">
        <v>0</v>
      </c>
    </row>
    <row r="6480" spans="1:16" x14ac:dyDescent="0.25">
      <c r="A6480" t="s">
        <v>28893</v>
      </c>
      <c r="B6480" t="s">
        <v>5440</v>
      </c>
      <c r="C6480" t="s">
        <v>5441</v>
      </c>
      <c r="D6480" t="str">
        <f>"2648"</f>
        <v>2648</v>
      </c>
      <c r="E6480" t="s">
        <v>5432</v>
      </c>
      <c r="F6480" t="s">
        <v>5</v>
      </c>
      <c r="G6480" t="s">
        <v>16231</v>
      </c>
      <c r="H6480" t="s">
        <v>47153</v>
      </c>
      <c r="I6480" t="s">
        <v>47132</v>
      </c>
      <c r="J6480" t="s">
        <v>47133</v>
      </c>
      <c r="K6480" t="s">
        <v>47113</v>
      </c>
      <c r="L6480">
        <v>36.68</v>
      </c>
      <c r="M6480">
        <v>69</v>
      </c>
      <c r="N6480">
        <v>0</v>
      </c>
      <c r="O6480">
        <v>69</v>
      </c>
      <c r="P6480">
        <v>0</v>
      </c>
    </row>
    <row r="6481" spans="1:16" x14ac:dyDescent="0.25">
      <c r="A6481" t="s">
        <v>28894</v>
      </c>
      <c r="B6481" t="s">
        <v>5440</v>
      </c>
      <c r="C6481" t="s">
        <v>5441</v>
      </c>
      <c r="D6481" t="str">
        <f>"6327"</f>
        <v>6327</v>
      </c>
      <c r="E6481" t="s">
        <v>5433</v>
      </c>
      <c r="F6481" t="s">
        <v>5</v>
      </c>
      <c r="G6481" t="s">
        <v>16231</v>
      </c>
      <c r="H6481" t="s">
        <v>47153</v>
      </c>
      <c r="I6481" t="s">
        <v>47132</v>
      </c>
      <c r="J6481" t="s">
        <v>47133</v>
      </c>
      <c r="K6481" t="s">
        <v>47113</v>
      </c>
      <c r="L6481">
        <v>36.68</v>
      </c>
      <c r="M6481">
        <v>69</v>
      </c>
      <c r="N6481">
        <v>0</v>
      </c>
      <c r="O6481">
        <v>69</v>
      </c>
      <c r="P6481">
        <v>0</v>
      </c>
    </row>
    <row r="6482" spans="1:16" x14ac:dyDescent="0.25">
      <c r="A6482" t="s">
        <v>28895</v>
      </c>
      <c r="B6482" t="s">
        <v>5442</v>
      </c>
      <c r="C6482" t="s">
        <v>5443</v>
      </c>
      <c r="D6482" t="s">
        <v>5444</v>
      </c>
      <c r="E6482" t="s">
        <v>5445</v>
      </c>
      <c r="F6482" t="s">
        <v>5</v>
      </c>
      <c r="G6482" t="s">
        <v>16231</v>
      </c>
      <c r="H6482" t="s">
        <v>47153</v>
      </c>
      <c r="I6482" t="s">
        <v>47132</v>
      </c>
      <c r="J6482" t="s">
        <v>47133</v>
      </c>
      <c r="K6482" t="s">
        <v>47113</v>
      </c>
      <c r="L6482">
        <v>48.96</v>
      </c>
      <c r="M6482">
        <v>93</v>
      </c>
      <c r="N6482">
        <v>0</v>
      </c>
      <c r="O6482">
        <v>93</v>
      </c>
      <c r="P6482">
        <v>0</v>
      </c>
    </row>
    <row r="6483" spans="1:16" x14ac:dyDescent="0.25">
      <c r="A6483" t="s">
        <v>28896</v>
      </c>
      <c r="B6483" t="s">
        <v>5442</v>
      </c>
      <c r="C6483" t="s">
        <v>5443</v>
      </c>
      <c r="D6483" t="s">
        <v>1473</v>
      </c>
      <c r="E6483" t="s">
        <v>1474</v>
      </c>
      <c r="F6483" t="s">
        <v>5</v>
      </c>
      <c r="G6483" t="s">
        <v>16231</v>
      </c>
      <c r="H6483" t="s">
        <v>47153</v>
      </c>
      <c r="I6483" t="s">
        <v>47132</v>
      </c>
      <c r="J6483" t="s">
        <v>47133</v>
      </c>
      <c r="K6483" t="s">
        <v>47113</v>
      </c>
      <c r="L6483">
        <v>49.99</v>
      </c>
      <c r="M6483">
        <v>95</v>
      </c>
      <c r="N6483">
        <v>0</v>
      </c>
      <c r="O6483">
        <v>95</v>
      </c>
      <c r="P6483">
        <v>0</v>
      </c>
    </row>
    <row r="6484" spans="1:16" x14ac:dyDescent="0.25">
      <c r="A6484" t="s">
        <v>28897</v>
      </c>
      <c r="B6484" t="s">
        <v>5442</v>
      </c>
      <c r="C6484" t="s">
        <v>5443</v>
      </c>
      <c r="D6484" t="s">
        <v>5446</v>
      </c>
      <c r="E6484" t="s">
        <v>5447</v>
      </c>
      <c r="F6484" t="s">
        <v>5</v>
      </c>
      <c r="G6484" t="s">
        <v>16231</v>
      </c>
      <c r="H6484" t="s">
        <v>47153</v>
      </c>
      <c r="I6484" t="s">
        <v>47132</v>
      </c>
      <c r="J6484" t="s">
        <v>47133</v>
      </c>
      <c r="K6484" t="s">
        <v>47113</v>
      </c>
      <c r="L6484">
        <v>46.05</v>
      </c>
      <c r="M6484">
        <v>87</v>
      </c>
      <c r="N6484">
        <v>0</v>
      </c>
      <c r="O6484">
        <v>87</v>
      </c>
      <c r="P6484">
        <v>0</v>
      </c>
    </row>
    <row r="6485" spans="1:16" x14ac:dyDescent="0.25">
      <c r="A6485" t="s">
        <v>28898</v>
      </c>
      <c r="B6485" t="s">
        <v>5442</v>
      </c>
      <c r="C6485" t="s">
        <v>5443</v>
      </c>
      <c r="D6485" t="s">
        <v>5448</v>
      </c>
      <c r="E6485" t="s">
        <v>5449</v>
      </c>
      <c r="F6485" t="s">
        <v>4</v>
      </c>
      <c r="G6485" t="s">
        <v>16231</v>
      </c>
      <c r="H6485" t="s">
        <v>47153</v>
      </c>
      <c r="I6485" t="s">
        <v>47132</v>
      </c>
      <c r="J6485" t="s">
        <v>47133</v>
      </c>
      <c r="K6485" t="s">
        <v>47113</v>
      </c>
      <c r="L6485">
        <v>43.68</v>
      </c>
      <c r="M6485">
        <v>100</v>
      </c>
      <c r="N6485">
        <v>0</v>
      </c>
      <c r="O6485">
        <v>100</v>
      </c>
      <c r="P6485">
        <v>0</v>
      </c>
    </row>
    <row r="6486" spans="1:16" x14ac:dyDescent="0.25">
      <c r="A6486" t="s">
        <v>28899</v>
      </c>
      <c r="B6486" t="s">
        <v>5442</v>
      </c>
      <c r="C6486" t="s">
        <v>5443</v>
      </c>
      <c r="D6486" t="s">
        <v>5450</v>
      </c>
      <c r="E6486" t="s">
        <v>5451</v>
      </c>
      <c r="F6486" t="s">
        <v>4</v>
      </c>
      <c r="G6486" t="s">
        <v>16231</v>
      </c>
      <c r="H6486" t="s">
        <v>47153</v>
      </c>
      <c r="I6486" t="s">
        <v>47132</v>
      </c>
      <c r="J6486" t="s">
        <v>47133</v>
      </c>
      <c r="K6486" t="s">
        <v>47113</v>
      </c>
      <c r="L6486">
        <v>42.97</v>
      </c>
      <c r="M6486">
        <v>88</v>
      </c>
      <c r="N6486">
        <v>0</v>
      </c>
      <c r="O6486">
        <v>88</v>
      </c>
      <c r="P6486">
        <v>0</v>
      </c>
    </row>
    <row r="6487" spans="1:16" x14ac:dyDescent="0.25">
      <c r="A6487" t="s">
        <v>28900</v>
      </c>
      <c r="B6487" t="s">
        <v>5452</v>
      </c>
      <c r="C6487" t="s">
        <v>5453</v>
      </c>
      <c r="D6487" t="s">
        <v>5444</v>
      </c>
      <c r="E6487" t="s">
        <v>5445</v>
      </c>
      <c r="F6487" t="s">
        <v>5</v>
      </c>
      <c r="G6487" t="s">
        <v>16231</v>
      </c>
      <c r="H6487" t="s">
        <v>47153</v>
      </c>
      <c r="I6487" t="s">
        <v>47132</v>
      </c>
      <c r="J6487" t="s">
        <v>47133</v>
      </c>
      <c r="K6487" t="s">
        <v>47113</v>
      </c>
      <c r="L6487">
        <v>44.72</v>
      </c>
      <c r="M6487">
        <v>82</v>
      </c>
      <c r="N6487">
        <v>0</v>
      </c>
      <c r="O6487">
        <v>82</v>
      </c>
      <c r="P6487">
        <v>0</v>
      </c>
    </row>
    <row r="6488" spans="1:16" x14ac:dyDescent="0.25">
      <c r="A6488" t="s">
        <v>28901</v>
      </c>
      <c r="B6488" t="s">
        <v>5452</v>
      </c>
      <c r="C6488" t="s">
        <v>5453</v>
      </c>
      <c r="D6488" t="s">
        <v>1473</v>
      </c>
      <c r="E6488" t="s">
        <v>1474</v>
      </c>
      <c r="F6488" t="s">
        <v>5</v>
      </c>
      <c r="G6488" t="s">
        <v>16231</v>
      </c>
      <c r="H6488" t="s">
        <v>47153</v>
      </c>
      <c r="I6488" t="s">
        <v>47132</v>
      </c>
      <c r="J6488" t="s">
        <v>47133</v>
      </c>
      <c r="K6488" t="s">
        <v>47113</v>
      </c>
      <c r="L6488">
        <v>45.75</v>
      </c>
      <c r="M6488">
        <v>86</v>
      </c>
      <c r="N6488">
        <v>0</v>
      </c>
      <c r="O6488">
        <v>86</v>
      </c>
      <c r="P6488">
        <v>0</v>
      </c>
    </row>
    <row r="6489" spans="1:16" x14ac:dyDescent="0.25">
      <c r="A6489" t="s">
        <v>28902</v>
      </c>
      <c r="B6489" t="s">
        <v>5452</v>
      </c>
      <c r="C6489" t="s">
        <v>5453</v>
      </c>
      <c r="D6489" t="s">
        <v>5446</v>
      </c>
      <c r="E6489" t="s">
        <v>5447</v>
      </c>
      <c r="F6489" t="s">
        <v>5</v>
      </c>
      <c r="G6489" t="s">
        <v>16231</v>
      </c>
      <c r="H6489" t="s">
        <v>47153</v>
      </c>
      <c r="I6489" t="s">
        <v>47132</v>
      </c>
      <c r="J6489" t="s">
        <v>47133</v>
      </c>
      <c r="K6489" t="s">
        <v>47113</v>
      </c>
      <c r="L6489">
        <v>42.19</v>
      </c>
      <c r="M6489">
        <v>77</v>
      </c>
      <c r="N6489">
        <v>0</v>
      </c>
      <c r="O6489">
        <v>77</v>
      </c>
      <c r="P6489">
        <v>0</v>
      </c>
    </row>
    <row r="6490" spans="1:16" x14ac:dyDescent="0.25">
      <c r="A6490" t="s">
        <v>28903</v>
      </c>
      <c r="B6490" t="s">
        <v>5452</v>
      </c>
      <c r="C6490" t="s">
        <v>5453</v>
      </c>
      <c r="D6490" t="s">
        <v>5448</v>
      </c>
      <c r="E6490" t="s">
        <v>5449</v>
      </c>
      <c r="F6490" t="s">
        <v>4</v>
      </c>
      <c r="G6490" t="s">
        <v>16231</v>
      </c>
      <c r="H6490" t="s">
        <v>47153</v>
      </c>
      <c r="I6490" t="s">
        <v>47132</v>
      </c>
      <c r="J6490" t="s">
        <v>47133</v>
      </c>
      <c r="K6490" t="s">
        <v>47113</v>
      </c>
      <c r="L6490">
        <v>48.72</v>
      </c>
      <c r="M6490">
        <v>100</v>
      </c>
      <c r="N6490">
        <v>0</v>
      </c>
      <c r="O6490">
        <v>100</v>
      </c>
      <c r="P6490">
        <v>0</v>
      </c>
    </row>
    <row r="6491" spans="1:16" x14ac:dyDescent="0.25">
      <c r="A6491" t="s">
        <v>28904</v>
      </c>
      <c r="B6491" t="s">
        <v>5454</v>
      </c>
      <c r="C6491" t="s">
        <v>5455</v>
      </c>
      <c r="D6491" t="s">
        <v>5444</v>
      </c>
      <c r="E6491" t="s">
        <v>5445</v>
      </c>
      <c r="F6491" t="s">
        <v>5</v>
      </c>
      <c r="G6491" t="s">
        <v>16231</v>
      </c>
      <c r="H6491" t="s">
        <v>47153</v>
      </c>
      <c r="I6491" t="s">
        <v>47132</v>
      </c>
      <c r="J6491" t="s">
        <v>47133</v>
      </c>
      <c r="K6491" t="s">
        <v>47113</v>
      </c>
      <c r="L6491">
        <v>48.09</v>
      </c>
      <c r="M6491">
        <v>82</v>
      </c>
      <c r="N6491">
        <v>0</v>
      </c>
      <c r="O6491">
        <v>82</v>
      </c>
      <c r="P6491">
        <v>0</v>
      </c>
    </row>
    <row r="6492" spans="1:16" x14ac:dyDescent="0.25">
      <c r="A6492" t="s">
        <v>28905</v>
      </c>
      <c r="B6492" t="s">
        <v>5454</v>
      </c>
      <c r="C6492" t="s">
        <v>5455</v>
      </c>
      <c r="D6492" t="s">
        <v>1473</v>
      </c>
      <c r="E6492" t="s">
        <v>1474</v>
      </c>
      <c r="F6492" t="s">
        <v>5</v>
      </c>
      <c r="G6492" t="s">
        <v>16231</v>
      </c>
      <c r="H6492" t="s">
        <v>47153</v>
      </c>
      <c r="I6492" t="s">
        <v>47132</v>
      </c>
      <c r="J6492" t="s">
        <v>47133</v>
      </c>
      <c r="K6492" t="s">
        <v>47113</v>
      </c>
      <c r="L6492">
        <v>50.13</v>
      </c>
      <c r="M6492">
        <v>95</v>
      </c>
      <c r="N6492">
        <v>0</v>
      </c>
      <c r="O6492">
        <v>95</v>
      </c>
      <c r="P6492">
        <v>0</v>
      </c>
    </row>
    <row r="6493" spans="1:16" x14ac:dyDescent="0.25">
      <c r="A6493" t="s">
        <v>28906</v>
      </c>
      <c r="B6493" t="s">
        <v>5454</v>
      </c>
      <c r="C6493" t="s">
        <v>5455</v>
      </c>
      <c r="D6493" t="s">
        <v>5446</v>
      </c>
      <c r="E6493" t="s">
        <v>5447</v>
      </c>
      <c r="F6493" t="s">
        <v>5</v>
      </c>
      <c r="G6493" t="s">
        <v>16231</v>
      </c>
      <c r="H6493" t="s">
        <v>47153</v>
      </c>
      <c r="I6493" t="s">
        <v>47132</v>
      </c>
      <c r="J6493" t="s">
        <v>47133</v>
      </c>
      <c r="K6493" t="s">
        <v>47113</v>
      </c>
      <c r="L6493">
        <v>45.37</v>
      </c>
      <c r="M6493">
        <v>77</v>
      </c>
      <c r="N6493">
        <v>0</v>
      </c>
      <c r="O6493">
        <v>77</v>
      </c>
      <c r="P6493">
        <v>0</v>
      </c>
    </row>
    <row r="6494" spans="1:16" x14ac:dyDescent="0.25">
      <c r="A6494" t="s">
        <v>28907</v>
      </c>
      <c r="B6494" t="s">
        <v>5454</v>
      </c>
      <c r="C6494" t="s">
        <v>5455</v>
      </c>
      <c r="D6494" t="s">
        <v>5448</v>
      </c>
      <c r="E6494" t="s">
        <v>5449</v>
      </c>
      <c r="F6494" t="s">
        <v>4</v>
      </c>
      <c r="G6494" t="s">
        <v>16231</v>
      </c>
      <c r="H6494" t="s">
        <v>47153</v>
      </c>
      <c r="I6494" t="s">
        <v>47132</v>
      </c>
      <c r="J6494" t="s">
        <v>47133</v>
      </c>
      <c r="K6494" t="s">
        <v>47113</v>
      </c>
      <c r="L6494">
        <v>44.5</v>
      </c>
      <c r="M6494">
        <v>100</v>
      </c>
      <c r="N6494">
        <v>0</v>
      </c>
      <c r="O6494">
        <v>100</v>
      </c>
      <c r="P6494">
        <v>0</v>
      </c>
    </row>
    <row r="6495" spans="1:16" x14ac:dyDescent="0.25">
      <c r="A6495" t="s">
        <v>28908</v>
      </c>
      <c r="B6495" t="s">
        <v>5454</v>
      </c>
      <c r="C6495" t="s">
        <v>5455</v>
      </c>
      <c r="D6495" t="s">
        <v>5456</v>
      </c>
      <c r="E6495" t="s">
        <v>5457</v>
      </c>
      <c r="F6495" t="s">
        <v>4</v>
      </c>
      <c r="G6495" t="s">
        <v>16231</v>
      </c>
      <c r="H6495" t="s">
        <v>47153</v>
      </c>
      <c r="I6495" t="s">
        <v>47132</v>
      </c>
      <c r="J6495" t="s">
        <v>47133</v>
      </c>
      <c r="K6495" t="s">
        <v>47113</v>
      </c>
      <c r="L6495">
        <v>44.15</v>
      </c>
      <c r="M6495">
        <v>88</v>
      </c>
      <c r="N6495">
        <v>0</v>
      </c>
      <c r="O6495">
        <v>88</v>
      </c>
      <c r="P6495">
        <v>0</v>
      </c>
    </row>
    <row r="6496" spans="1:16" x14ac:dyDescent="0.25">
      <c r="A6496" t="s">
        <v>28909</v>
      </c>
      <c r="B6496" t="s">
        <v>5454</v>
      </c>
      <c r="C6496" t="s">
        <v>5455</v>
      </c>
      <c r="D6496" t="s">
        <v>5450</v>
      </c>
      <c r="E6496" t="s">
        <v>5451</v>
      </c>
      <c r="F6496" t="s">
        <v>4</v>
      </c>
      <c r="G6496" t="s">
        <v>16231</v>
      </c>
      <c r="H6496" t="s">
        <v>47153</v>
      </c>
      <c r="I6496" t="s">
        <v>47132</v>
      </c>
      <c r="J6496" t="s">
        <v>47133</v>
      </c>
      <c r="K6496" t="s">
        <v>47113</v>
      </c>
      <c r="L6496">
        <v>44.15</v>
      </c>
      <c r="M6496">
        <v>88</v>
      </c>
      <c r="N6496">
        <v>0</v>
      </c>
      <c r="O6496">
        <v>88</v>
      </c>
      <c r="P6496">
        <v>0</v>
      </c>
    </row>
    <row r="6497" spans="1:16" x14ac:dyDescent="0.25">
      <c r="A6497" t="s">
        <v>28910</v>
      </c>
      <c r="B6497" t="s">
        <v>5458</v>
      </c>
      <c r="C6497" t="s">
        <v>5459</v>
      </c>
      <c r="D6497" t="s">
        <v>5444</v>
      </c>
      <c r="E6497" t="s">
        <v>5445</v>
      </c>
      <c r="F6497" t="s">
        <v>5</v>
      </c>
      <c r="G6497" t="s">
        <v>16231</v>
      </c>
      <c r="H6497" t="s">
        <v>47153</v>
      </c>
      <c r="I6497" t="s">
        <v>47132</v>
      </c>
      <c r="J6497" t="s">
        <v>47133</v>
      </c>
      <c r="K6497" t="s">
        <v>47113</v>
      </c>
      <c r="L6497">
        <v>40.700000000000003</v>
      </c>
      <c r="M6497">
        <v>82</v>
      </c>
      <c r="N6497">
        <v>0</v>
      </c>
      <c r="O6497">
        <v>82</v>
      </c>
      <c r="P6497">
        <v>0</v>
      </c>
    </row>
    <row r="6498" spans="1:16" x14ac:dyDescent="0.25">
      <c r="A6498" t="s">
        <v>28911</v>
      </c>
      <c r="B6498" t="s">
        <v>5458</v>
      </c>
      <c r="C6498" t="s">
        <v>5459</v>
      </c>
      <c r="D6498" t="s">
        <v>1473</v>
      </c>
      <c r="E6498" t="s">
        <v>1474</v>
      </c>
      <c r="F6498" t="s">
        <v>5</v>
      </c>
      <c r="G6498" t="s">
        <v>16231</v>
      </c>
      <c r="H6498" t="s">
        <v>47153</v>
      </c>
      <c r="I6498" t="s">
        <v>47132</v>
      </c>
      <c r="J6498" t="s">
        <v>47133</v>
      </c>
      <c r="K6498" t="s">
        <v>47113</v>
      </c>
      <c r="L6498">
        <v>42.31</v>
      </c>
      <c r="M6498">
        <v>86</v>
      </c>
      <c r="N6498">
        <v>0</v>
      </c>
      <c r="O6498">
        <v>86</v>
      </c>
      <c r="P6498">
        <v>0</v>
      </c>
    </row>
    <row r="6499" spans="1:16" x14ac:dyDescent="0.25">
      <c r="A6499" t="s">
        <v>28912</v>
      </c>
      <c r="B6499" t="s">
        <v>5458</v>
      </c>
      <c r="C6499" t="s">
        <v>5459</v>
      </c>
      <c r="D6499" t="s">
        <v>5446</v>
      </c>
      <c r="E6499" t="s">
        <v>5447</v>
      </c>
      <c r="F6499" t="s">
        <v>5</v>
      </c>
      <c r="G6499" t="s">
        <v>16231</v>
      </c>
      <c r="H6499" t="s">
        <v>47153</v>
      </c>
      <c r="I6499" t="s">
        <v>47132</v>
      </c>
      <c r="J6499" t="s">
        <v>47133</v>
      </c>
      <c r="K6499" t="s">
        <v>47113</v>
      </c>
      <c r="L6499">
        <v>36.68</v>
      </c>
      <c r="M6499">
        <v>77</v>
      </c>
      <c r="N6499">
        <v>0</v>
      </c>
      <c r="O6499">
        <v>77</v>
      </c>
      <c r="P6499">
        <v>0</v>
      </c>
    </row>
    <row r="6500" spans="1:16" x14ac:dyDescent="0.25">
      <c r="A6500" t="s">
        <v>28913</v>
      </c>
      <c r="B6500" t="s">
        <v>5458</v>
      </c>
      <c r="C6500" t="s">
        <v>5459</v>
      </c>
      <c r="D6500" t="s">
        <v>5448</v>
      </c>
      <c r="E6500" t="s">
        <v>5449</v>
      </c>
      <c r="F6500" t="s">
        <v>4</v>
      </c>
      <c r="G6500" t="s">
        <v>16231</v>
      </c>
      <c r="H6500" t="s">
        <v>47153</v>
      </c>
      <c r="I6500" t="s">
        <v>47132</v>
      </c>
      <c r="J6500" t="s">
        <v>47133</v>
      </c>
      <c r="K6500" t="s">
        <v>47113</v>
      </c>
      <c r="L6500">
        <v>43.2</v>
      </c>
      <c r="M6500">
        <v>100</v>
      </c>
      <c r="N6500">
        <v>0</v>
      </c>
      <c r="O6500">
        <v>100</v>
      </c>
      <c r="P6500">
        <v>0</v>
      </c>
    </row>
    <row r="6501" spans="1:16" x14ac:dyDescent="0.25">
      <c r="A6501" t="s">
        <v>28914</v>
      </c>
      <c r="B6501" t="s">
        <v>5458</v>
      </c>
      <c r="C6501" t="s">
        <v>5459</v>
      </c>
      <c r="D6501" t="s">
        <v>5450</v>
      </c>
      <c r="E6501" t="s">
        <v>5451</v>
      </c>
      <c r="F6501" t="s">
        <v>4</v>
      </c>
      <c r="G6501" t="s">
        <v>16231</v>
      </c>
      <c r="H6501" t="s">
        <v>47153</v>
      </c>
      <c r="I6501" t="s">
        <v>47132</v>
      </c>
      <c r="J6501" t="s">
        <v>47133</v>
      </c>
      <c r="K6501" t="s">
        <v>47113</v>
      </c>
      <c r="L6501">
        <v>42.15</v>
      </c>
      <c r="M6501">
        <v>88</v>
      </c>
      <c r="N6501">
        <v>0</v>
      </c>
      <c r="O6501">
        <v>88</v>
      </c>
      <c r="P6501">
        <v>0</v>
      </c>
    </row>
    <row r="6502" spans="1:16" x14ac:dyDescent="0.25">
      <c r="A6502" t="s">
        <v>28915</v>
      </c>
      <c r="B6502" t="s">
        <v>5460</v>
      </c>
      <c r="C6502" t="s">
        <v>5461</v>
      </c>
      <c r="D6502" t="s">
        <v>5444</v>
      </c>
      <c r="E6502" t="s">
        <v>5445</v>
      </c>
      <c r="F6502" t="s">
        <v>5</v>
      </c>
      <c r="G6502" t="s">
        <v>16224</v>
      </c>
      <c r="H6502" t="s">
        <v>47153</v>
      </c>
      <c r="I6502" t="s">
        <v>47132</v>
      </c>
      <c r="J6502" t="s">
        <v>47133</v>
      </c>
      <c r="K6502" t="s">
        <v>47113</v>
      </c>
      <c r="L6502">
        <v>69.89</v>
      </c>
      <c r="M6502">
        <v>134</v>
      </c>
      <c r="N6502">
        <v>0</v>
      </c>
      <c r="O6502">
        <v>134</v>
      </c>
      <c r="P6502">
        <v>0</v>
      </c>
    </row>
    <row r="6503" spans="1:16" x14ac:dyDescent="0.25">
      <c r="A6503" t="s">
        <v>28916</v>
      </c>
      <c r="B6503" t="s">
        <v>5462</v>
      </c>
      <c r="C6503" t="s">
        <v>5463</v>
      </c>
      <c r="D6503" t="s">
        <v>5444</v>
      </c>
      <c r="E6503" t="s">
        <v>5445</v>
      </c>
      <c r="F6503" t="s">
        <v>5</v>
      </c>
      <c r="G6503" t="s">
        <v>16231</v>
      </c>
      <c r="H6503" t="s">
        <v>47153</v>
      </c>
      <c r="I6503" t="s">
        <v>47132</v>
      </c>
      <c r="J6503" t="s">
        <v>47133</v>
      </c>
      <c r="K6503" t="s">
        <v>47113</v>
      </c>
      <c r="L6503">
        <v>41.74</v>
      </c>
      <c r="M6503">
        <v>82</v>
      </c>
      <c r="N6503">
        <v>0</v>
      </c>
      <c r="O6503">
        <v>82</v>
      </c>
      <c r="P6503">
        <v>0</v>
      </c>
    </row>
    <row r="6504" spans="1:16" x14ac:dyDescent="0.25">
      <c r="A6504" t="s">
        <v>28917</v>
      </c>
      <c r="B6504" t="s">
        <v>5462</v>
      </c>
      <c r="C6504" t="s">
        <v>5463</v>
      </c>
      <c r="D6504" t="s">
        <v>5448</v>
      </c>
      <c r="E6504" t="s">
        <v>5449</v>
      </c>
      <c r="F6504" t="s">
        <v>4</v>
      </c>
      <c r="G6504" t="s">
        <v>16231</v>
      </c>
      <c r="H6504" t="s">
        <v>47153</v>
      </c>
      <c r="I6504" t="s">
        <v>47132</v>
      </c>
      <c r="J6504" t="s">
        <v>47133</v>
      </c>
      <c r="K6504" t="s">
        <v>47113</v>
      </c>
      <c r="L6504">
        <v>48.72</v>
      </c>
      <c r="M6504">
        <v>100</v>
      </c>
      <c r="N6504">
        <v>0</v>
      </c>
      <c r="O6504">
        <v>100</v>
      </c>
      <c r="P6504">
        <v>0</v>
      </c>
    </row>
    <row r="6505" spans="1:16" x14ac:dyDescent="0.25">
      <c r="A6505" t="s">
        <v>28918</v>
      </c>
      <c r="B6505" t="s">
        <v>5462</v>
      </c>
      <c r="C6505" t="s">
        <v>5463</v>
      </c>
      <c r="D6505" t="s">
        <v>5450</v>
      </c>
      <c r="E6505" t="s">
        <v>5451</v>
      </c>
      <c r="F6505" t="s">
        <v>4</v>
      </c>
      <c r="G6505" t="s">
        <v>16231</v>
      </c>
      <c r="H6505" t="s">
        <v>47153</v>
      </c>
      <c r="I6505" t="s">
        <v>47132</v>
      </c>
      <c r="J6505" t="s">
        <v>47133</v>
      </c>
      <c r="K6505" t="s">
        <v>47113</v>
      </c>
      <c r="L6505">
        <v>48.01</v>
      </c>
      <c r="M6505">
        <v>88</v>
      </c>
      <c r="N6505">
        <v>0</v>
      </c>
      <c r="O6505">
        <v>88</v>
      </c>
      <c r="P6505">
        <v>0</v>
      </c>
    </row>
    <row r="6506" spans="1:16" x14ac:dyDescent="0.25">
      <c r="A6506" t="s">
        <v>28919</v>
      </c>
      <c r="B6506" t="s">
        <v>5464</v>
      </c>
      <c r="C6506" t="s">
        <v>5465</v>
      </c>
      <c r="D6506" t="s">
        <v>5444</v>
      </c>
      <c r="E6506" t="s">
        <v>5445</v>
      </c>
      <c r="F6506" t="s">
        <v>5</v>
      </c>
      <c r="G6506" t="s">
        <v>16231</v>
      </c>
      <c r="H6506" t="s">
        <v>47153</v>
      </c>
      <c r="I6506" t="s">
        <v>47132</v>
      </c>
      <c r="J6506" t="s">
        <v>47133</v>
      </c>
      <c r="K6506" t="s">
        <v>47113</v>
      </c>
      <c r="L6506">
        <v>41.28</v>
      </c>
      <c r="M6506">
        <v>82</v>
      </c>
      <c r="N6506">
        <v>0</v>
      </c>
      <c r="O6506">
        <v>82</v>
      </c>
      <c r="P6506">
        <v>0</v>
      </c>
    </row>
    <row r="6507" spans="1:16" x14ac:dyDescent="0.25">
      <c r="A6507" t="s">
        <v>28920</v>
      </c>
      <c r="B6507" t="s">
        <v>5464</v>
      </c>
      <c r="C6507" t="s">
        <v>5465</v>
      </c>
      <c r="D6507" t="s">
        <v>1473</v>
      </c>
      <c r="E6507" t="s">
        <v>1474</v>
      </c>
      <c r="F6507" t="s">
        <v>5</v>
      </c>
      <c r="G6507" t="s">
        <v>16231</v>
      </c>
      <c r="H6507" t="s">
        <v>47153</v>
      </c>
      <c r="I6507" t="s">
        <v>47132</v>
      </c>
      <c r="J6507" t="s">
        <v>47133</v>
      </c>
      <c r="K6507" t="s">
        <v>47113</v>
      </c>
      <c r="L6507">
        <v>42.43</v>
      </c>
      <c r="M6507">
        <v>86</v>
      </c>
      <c r="N6507">
        <v>0</v>
      </c>
      <c r="O6507">
        <v>86</v>
      </c>
      <c r="P6507">
        <v>0</v>
      </c>
    </row>
    <row r="6508" spans="1:16" x14ac:dyDescent="0.25">
      <c r="A6508" t="s">
        <v>28921</v>
      </c>
      <c r="B6508" t="s">
        <v>5464</v>
      </c>
      <c r="C6508" t="s">
        <v>5465</v>
      </c>
      <c r="D6508" t="s">
        <v>5446</v>
      </c>
      <c r="E6508" t="s">
        <v>5447</v>
      </c>
      <c r="F6508" t="s">
        <v>5</v>
      </c>
      <c r="G6508" t="s">
        <v>16231</v>
      </c>
      <c r="H6508" t="s">
        <v>47153</v>
      </c>
      <c r="I6508" t="s">
        <v>47132</v>
      </c>
      <c r="J6508" t="s">
        <v>47133</v>
      </c>
      <c r="K6508" t="s">
        <v>47113</v>
      </c>
      <c r="L6508">
        <v>38.979999999999997</v>
      </c>
      <c r="M6508">
        <v>77</v>
      </c>
      <c r="N6508">
        <v>0</v>
      </c>
      <c r="O6508">
        <v>77</v>
      </c>
      <c r="P6508">
        <v>0</v>
      </c>
    </row>
    <row r="6509" spans="1:16" x14ac:dyDescent="0.25">
      <c r="A6509" t="s">
        <v>28922</v>
      </c>
      <c r="B6509" t="s">
        <v>5464</v>
      </c>
      <c r="C6509" t="s">
        <v>5465</v>
      </c>
      <c r="D6509" t="s">
        <v>5448</v>
      </c>
      <c r="E6509" t="s">
        <v>5449</v>
      </c>
      <c r="F6509" t="s">
        <v>4</v>
      </c>
      <c r="G6509" t="s">
        <v>16231</v>
      </c>
      <c r="H6509" t="s">
        <v>47153</v>
      </c>
      <c r="I6509" t="s">
        <v>47132</v>
      </c>
      <c r="J6509" t="s">
        <v>47133</v>
      </c>
      <c r="K6509" t="s">
        <v>47113</v>
      </c>
      <c r="L6509">
        <v>46.85</v>
      </c>
      <c r="M6509">
        <v>100</v>
      </c>
      <c r="N6509">
        <v>0</v>
      </c>
      <c r="O6509">
        <v>100</v>
      </c>
      <c r="P6509">
        <v>0</v>
      </c>
    </row>
    <row r="6510" spans="1:16" x14ac:dyDescent="0.25">
      <c r="A6510" t="s">
        <v>28923</v>
      </c>
      <c r="B6510" t="s">
        <v>5464</v>
      </c>
      <c r="C6510" t="s">
        <v>5465</v>
      </c>
      <c r="D6510" t="s">
        <v>5450</v>
      </c>
      <c r="E6510" t="s">
        <v>5451</v>
      </c>
      <c r="F6510" t="s">
        <v>4</v>
      </c>
      <c r="G6510" t="s">
        <v>16231</v>
      </c>
      <c r="H6510" t="s">
        <v>47153</v>
      </c>
      <c r="I6510" t="s">
        <v>47132</v>
      </c>
      <c r="J6510" t="s">
        <v>47133</v>
      </c>
      <c r="K6510" t="s">
        <v>47113</v>
      </c>
      <c r="L6510">
        <v>42.15</v>
      </c>
      <c r="M6510">
        <v>88</v>
      </c>
      <c r="N6510">
        <v>0</v>
      </c>
      <c r="O6510">
        <v>88</v>
      </c>
      <c r="P6510">
        <v>0</v>
      </c>
    </row>
    <row r="6511" spans="1:16" x14ac:dyDescent="0.25">
      <c r="A6511" t="s">
        <v>28924</v>
      </c>
      <c r="B6511" t="s">
        <v>5466</v>
      </c>
      <c r="C6511" t="s">
        <v>5467</v>
      </c>
      <c r="D6511" t="str">
        <f>"1001"</f>
        <v>1001</v>
      </c>
      <c r="E6511" t="s">
        <v>5468</v>
      </c>
      <c r="F6511" t="s">
        <v>2068</v>
      </c>
      <c r="G6511" t="s">
        <v>16233</v>
      </c>
      <c r="H6511" t="s">
        <v>47054</v>
      </c>
      <c r="I6511" t="s">
        <v>47136</v>
      </c>
      <c r="J6511" t="s">
        <v>47137</v>
      </c>
      <c r="K6511" t="s">
        <v>47113</v>
      </c>
      <c r="L6511">
        <v>29.14</v>
      </c>
      <c r="M6511">
        <v>72</v>
      </c>
      <c r="N6511">
        <v>0</v>
      </c>
      <c r="O6511">
        <v>72</v>
      </c>
      <c r="P6511">
        <v>0</v>
      </c>
    </row>
    <row r="6512" spans="1:16" x14ac:dyDescent="0.25">
      <c r="A6512" t="s">
        <v>28925</v>
      </c>
      <c r="B6512" t="s">
        <v>5466</v>
      </c>
      <c r="C6512" t="s">
        <v>5467</v>
      </c>
      <c r="D6512" t="str">
        <f>"2694"</f>
        <v>2694</v>
      </c>
      <c r="E6512" t="s">
        <v>5469</v>
      </c>
      <c r="F6512" t="s">
        <v>2068</v>
      </c>
      <c r="G6512" t="s">
        <v>16233</v>
      </c>
      <c r="H6512" t="s">
        <v>47054</v>
      </c>
      <c r="I6512" t="s">
        <v>47136</v>
      </c>
      <c r="J6512" t="s">
        <v>47137</v>
      </c>
      <c r="K6512" t="s">
        <v>47113</v>
      </c>
      <c r="L6512">
        <v>29.14</v>
      </c>
      <c r="M6512">
        <v>72</v>
      </c>
      <c r="N6512">
        <v>0</v>
      </c>
      <c r="O6512">
        <v>72</v>
      </c>
      <c r="P6512">
        <v>0</v>
      </c>
    </row>
    <row r="6513" spans="1:16" x14ac:dyDescent="0.25">
      <c r="A6513" t="s">
        <v>28926</v>
      </c>
      <c r="B6513" t="s">
        <v>5466</v>
      </c>
      <c r="C6513" t="s">
        <v>5467</v>
      </c>
      <c r="D6513" t="str">
        <f>"3516"</f>
        <v>3516</v>
      </c>
      <c r="E6513" t="s">
        <v>5470</v>
      </c>
      <c r="F6513" t="s">
        <v>2068</v>
      </c>
      <c r="G6513" t="s">
        <v>16233</v>
      </c>
      <c r="H6513" t="s">
        <v>47054</v>
      </c>
      <c r="I6513" t="s">
        <v>47136</v>
      </c>
      <c r="J6513" t="s">
        <v>47137</v>
      </c>
      <c r="K6513" t="s">
        <v>47113</v>
      </c>
      <c r="L6513">
        <v>29.79</v>
      </c>
      <c r="M6513">
        <v>67</v>
      </c>
      <c r="N6513">
        <v>0</v>
      </c>
      <c r="O6513">
        <v>67</v>
      </c>
      <c r="P6513">
        <v>0</v>
      </c>
    </row>
    <row r="6514" spans="1:16" x14ac:dyDescent="0.25">
      <c r="A6514" t="s">
        <v>28927</v>
      </c>
      <c r="B6514" t="s">
        <v>5466</v>
      </c>
      <c r="C6514" t="s">
        <v>5467</v>
      </c>
      <c r="D6514" t="str">
        <f>"4785"</f>
        <v>4785</v>
      </c>
      <c r="E6514" t="s">
        <v>5471</v>
      </c>
      <c r="F6514" t="s">
        <v>2068</v>
      </c>
      <c r="G6514" t="s">
        <v>16233</v>
      </c>
      <c r="H6514" t="s">
        <v>47054</v>
      </c>
      <c r="I6514" t="s">
        <v>47136</v>
      </c>
      <c r="J6514" t="s">
        <v>47137</v>
      </c>
      <c r="K6514" t="s">
        <v>47113</v>
      </c>
      <c r="L6514">
        <v>29.79</v>
      </c>
      <c r="M6514">
        <v>56</v>
      </c>
      <c r="N6514">
        <v>0</v>
      </c>
      <c r="O6514">
        <v>56</v>
      </c>
      <c r="P6514">
        <v>0</v>
      </c>
    </row>
    <row r="6515" spans="1:16" x14ac:dyDescent="0.25">
      <c r="A6515" t="s">
        <v>28928</v>
      </c>
      <c r="B6515" t="s">
        <v>5472</v>
      </c>
      <c r="C6515" t="s">
        <v>5473</v>
      </c>
      <c r="D6515" t="str">
        <f>"1001"</f>
        <v>1001</v>
      </c>
      <c r="E6515" t="s">
        <v>5468</v>
      </c>
      <c r="F6515" t="s">
        <v>2068</v>
      </c>
      <c r="G6515" t="s">
        <v>16234</v>
      </c>
      <c r="H6515" t="s">
        <v>47054</v>
      </c>
      <c r="I6515" t="s">
        <v>47136</v>
      </c>
      <c r="J6515" t="s">
        <v>47137</v>
      </c>
      <c r="K6515" t="s">
        <v>47113</v>
      </c>
      <c r="L6515">
        <v>33.06</v>
      </c>
      <c r="M6515">
        <v>62</v>
      </c>
      <c r="N6515">
        <v>0</v>
      </c>
      <c r="O6515">
        <v>62</v>
      </c>
      <c r="P6515">
        <v>0</v>
      </c>
    </row>
    <row r="6516" spans="1:16" x14ac:dyDescent="0.25">
      <c r="A6516" t="s">
        <v>28929</v>
      </c>
      <c r="B6516" t="s">
        <v>5472</v>
      </c>
      <c r="C6516" t="s">
        <v>5473</v>
      </c>
      <c r="D6516" t="str">
        <f>"2694"</f>
        <v>2694</v>
      </c>
      <c r="E6516" t="s">
        <v>5469</v>
      </c>
      <c r="F6516" t="s">
        <v>2068</v>
      </c>
      <c r="G6516" t="s">
        <v>16234</v>
      </c>
      <c r="H6516" t="s">
        <v>47054</v>
      </c>
      <c r="I6516" t="s">
        <v>47136</v>
      </c>
      <c r="J6516" t="s">
        <v>47137</v>
      </c>
      <c r="K6516" t="s">
        <v>47113</v>
      </c>
      <c r="L6516">
        <v>33.06</v>
      </c>
      <c r="M6516">
        <v>75</v>
      </c>
      <c r="N6516">
        <v>0</v>
      </c>
      <c r="O6516">
        <v>75</v>
      </c>
      <c r="P6516">
        <v>0</v>
      </c>
    </row>
    <row r="6517" spans="1:16" x14ac:dyDescent="0.25">
      <c r="A6517" t="s">
        <v>28930</v>
      </c>
      <c r="B6517" t="s">
        <v>15184</v>
      </c>
      <c r="C6517" t="s">
        <v>15185</v>
      </c>
      <c r="D6517" t="s">
        <v>15186</v>
      </c>
      <c r="E6517" t="s">
        <v>15187</v>
      </c>
      <c r="F6517" t="s">
        <v>3750</v>
      </c>
      <c r="G6517" t="s">
        <v>16231</v>
      </c>
      <c r="H6517" t="s">
        <v>47054</v>
      </c>
      <c r="I6517" t="s">
        <v>47116</v>
      </c>
      <c r="J6517" t="s">
        <v>47117</v>
      </c>
      <c r="K6517" t="s">
        <v>47113</v>
      </c>
      <c r="L6517">
        <v>19.13</v>
      </c>
      <c r="M6517">
        <v>54</v>
      </c>
      <c r="N6517">
        <v>0</v>
      </c>
      <c r="O6517">
        <v>54</v>
      </c>
      <c r="P6517">
        <v>0</v>
      </c>
    </row>
    <row r="6518" spans="1:16" x14ac:dyDescent="0.25">
      <c r="A6518" t="s">
        <v>28931</v>
      </c>
      <c r="B6518" t="s">
        <v>5474</v>
      </c>
      <c r="C6518" t="s">
        <v>5475</v>
      </c>
      <c r="D6518" t="s">
        <v>5476</v>
      </c>
      <c r="E6518" t="s">
        <v>5477</v>
      </c>
      <c r="F6518" t="s">
        <v>3750</v>
      </c>
      <c r="G6518" t="s">
        <v>16231</v>
      </c>
      <c r="H6518" t="s">
        <v>47054</v>
      </c>
      <c r="I6518" t="s">
        <v>47116</v>
      </c>
      <c r="J6518" t="s">
        <v>47117</v>
      </c>
      <c r="K6518" t="s">
        <v>47113</v>
      </c>
      <c r="L6518">
        <v>20.5</v>
      </c>
      <c r="M6518">
        <v>77</v>
      </c>
      <c r="N6518">
        <v>0</v>
      </c>
      <c r="O6518">
        <v>77</v>
      </c>
      <c r="P6518">
        <v>0</v>
      </c>
    </row>
    <row r="6519" spans="1:16" x14ac:dyDescent="0.25">
      <c r="A6519" t="s">
        <v>28932</v>
      </c>
      <c r="B6519" t="s">
        <v>19787</v>
      </c>
      <c r="C6519" t="s">
        <v>19788</v>
      </c>
      <c r="D6519" t="s">
        <v>721</v>
      </c>
      <c r="E6519" t="s">
        <v>722</v>
      </c>
      <c r="F6519" t="s">
        <v>3750</v>
      </c>
      <c r="G6519" t="s">
        <v>16231</v>
      </c>
      <c r="H6519" t="s">
        <v>47054</v>
      </c>
      <c r="I6519" t="s">
        <v>47116</v>
      </c>
      <c r="J6519" t="s">
        <v>47117</v>
      </c>
      <c r="K6519" t="s">
        <v>47113</v>
      </c>
      <c r="L6519">
        <v>15.91</v>
      </c>
      <c r="M6519">
        <v>34</v>
      </c>
      <c r="N6519">
        <v>0</v>
      </c>
      <c r="O6519">
        <v>34</v>
      </c>
      <c r="P6519">
        <v>0</v>
      </c>
    </row>
    <row r="6520" spans="1:16" x14ac:dyDescent="0.25">
      <c r="A6520" t="s">
        <v>28933</v>
      </c>
      <c r="B6520" t="s">
        <v>15188</v>
      </c>
      <c r="C6520" t="s">
        <v>15189</v>
      </c>
      <c r="D6520" t="str">
        <f>"11"</f>
        <v>11</v>
      </c>
      <c r="E6520" t="s">
        <v>288</v>
      </c>
      <c r="F6520" t="s">
        <v>3750</v>
      </c>
      <c r="G6520" t="s">
        <v>16231</v>
      </c>
      <c r="H6520" t="s">
        <v>47054</v>
      </c>
      <c r="I6520" t="s">
        <v>47116</v>
      </c>
      <c r="J6520" t="s">
        <v>47117</v>
      </c>
      <c r="K6520" t="s">
        <v>47113</v>
      </c>
      <c r="L6520">
        <v>16.350000000000001</v>
      </c>
      <c r="M6520">
        <v>69</v>
      </c>
      <c r="N6520">
        <v>0</v>
      </c>
      <c r="O6520">
        <v>69</v>
      </c>
      <c r="P6520">
        <v>0</v>
      </c>
    </row>
    <row r="6521" spans="1:16" x14ac:dyDescent="0.25">
      <c r="A6521" t="s">
        <v>28934</v>
      </c>
      <c r="B6521" t="s">
        <v>5478</v>
      </c>
      <c r="C6521" t="s">
        <v>5479</v>
      </c>
      <c r="D6521" t="s">
        <v>5480</v>
      </c>
      <c r="E6521" t="s">
        <v>5481</v>
      </c>
      <c r="F6521" t="s">
        <v>3750</v>
      </c>
      <c r="G6521" t="s">
        <v>16231</v>
      </c>
      <c r="H6521" t="s">
        <v>47054</v>
      </c>
      <c r="I6521" t="s">
        <v>47116</v>
      </c>
      <c r="J6521" t="s">
        <v>47117</v>
      </c>
      <c r="K6521" t="s">
        <v>47113</v>
      </c>
      <c r="L6521">
        <v>34.770000000000003</v>
      </c>
      <c r="M6521">
        <v>133</v>
      </c>
      <c r="N6521">
        <v>0</v>
      </c>
      <c r="O6521">
        <v>133</v>
      </c>
      <c r="P6521">
        <v>0</v>
      </c>
    </row>
    <row r="6522" spans="1:16" x14ac:dyDescent="0.25">
      <c r="A6522" t="s">
        <v>28935</v>
      </c>
      <c r="B6522" t="s">
        <v>16259</v>
      </c>
      <c r="C6522" t="s">
        <v>16260</v>
      </c>
      <c r="D6522" t="s">
        <v>16257</v>
      </c>
      <c r="E6522" t="s">
        <v>16258</v>
      </c>
      <c r="F6522" t="s">
        <v>3750</v>
      </c>
      <c r="G6522" t="s">
        <v>16231</v>
      </c>
      <c r="H6522" t="s">
        <v>47054</v>
      </c>
      <c r="I6522" t="s">
        <v>47116</v>
      </c>
      <c r="J6522" t="s">
        <v>47117</v>
      </c>
      <c r="K6522" t="s">
        <v>47113</v>
      </c>
      <c r="L6522">
        <v>27.81</v>
      </c>
      <c r="M6522">
        <v>78</v>
      </c>
      <c r="N6522">
        <v>0</v>
      </c>
      <c r="O6522">
        <v>78</v>
      </c>
      <c r="P6522">
        <v>0</v>
      </c>
    </row>
    <row r="6523" spans="1:16" x14ac:dyDescent="0.25">
      <c r="A6523" t="s">
        <v>28936</v>
      </c>
      <c r="B6523" t="s">
        <v>15190</v>
      </c>
      <c r="C6523" t="s">
        <v>15191</v>
      </c>
      <c r="D6523" t="s">
        <v>15192</v>
      </c>
      <c r="E6523" t="s">
        <v>15193</v>
      </c>
      <c r="F6523" t="s">
        <v>3750</v>
      </c>
      <c r="G6523" t="s">
        <v>16231</v>
      </c>
      <c r="H6523" t="s">
        <v>47054</v>
      </c>
      <c r="I6523" t="s">
        <v>47116</v>
      </c>
      <c r="J6523" t="s">
        <v>47117</v>
      </c>
      <c r="K6523" t="s">
        <v>47113</v>
      </c>
      <c r="L6523">
        <v>32.26</v>
      </c>
      <c r="M6523">
        <v>125</v>
      </c>
      <c r="N6523">
        <v>0</v>
      </c>
      <c r="O6523">
        <v>125</v>
      </c>
      <c r="P6523">
        <v>0</v>
      </c>
    </row>
    <row r="6524" spans="1:16" x14ac:dyDescent="0.25">
      <c r="A6524" t="s">
        <v>28937</v>
      </c>
      <c r="B6524" t="s">
        <v>16705</v>
      </c>
      <c r="C6524" t="s">
        <v>16706</v>
      </c>
      <c r="D6524" t="s">
        <v>16315</v>
      </c>
      <c r="E6524" t="s">
        <v>16316</v>
      </c>
      <c r="F6524" t="s">
        <v>3750</v>
      </c>
      <c r="G6524" t="s">
        <v>16231</v>
      </c>
      <c r="H6524" t="s">
        <v>47054</v>
      </c>
      <c r="I6524" t="s">
        <v>47116</v>
      </c>
      <c r="J6524" t="s">
        <v>47117</v>
      </c>
      <c r="K6524" t="s">
        <v>47113</v>
      </c>
      <c r="L6524">
        <v>25.84</v>
      </c>
      <c r="M6524">
        <v>72</v>
      </c>
      <c r="N6524">
        <v>0</v>
      </c>
      <c r="O6524">
        <v>72</v>
      </c>
      <c r="P6524">
        <v>0</v>
      </c>
    </row>
    <row r="6525" spans="1:16" x14ac:dyDescent="0.25">
      <c r="A6525" t="s">
        <v>28938</v>
      </c>
      <c r="B6525" t="s">
        <v>15194</v>
      </c>
      <c r="C6525" t="s">
        <v>15195</v>
      </c>
      <c r="D6525" t="s">
        <v>15196</v>
      </c>
      <c r="E6525" t="s">
        <v>15197</v>
      </c>
      <c r="F6525" t="s">
        <v>3750</v>
      </c>
      <c r="G6525" t="s">
        <v>16231</v>
      </c>
      <c r="H6525" t="s">
        <v>47054</v>
      </c>
      <c r="I6525" t="s">
        <v>47116</v>
      </c>
      <c r="J6525" t="s">
        <v>47117</v>
      </c>
      <c r="K6525" t="s">
        <v>47113</v>
      </c>
      <c r="L6525">
        <v>29.14</v>
      </c>
      <c r="M6525">
        <v>113</v>
      </c>
      <c r="N6525">
        <v>0</v>
      </c>
      <c r="O6525">
        <v>113</v>
      </c>
      <c r="P6525">
        <v>0</v>
      </c>
    </row>
    <row r="6526" spans="1:16" x14ac:dyDescent="0.25">
      <c r="A6526" t="s">
        <v>28939</v>
      </c>
      <c r="B6526" t="s">
        <v>16261</v>
      </c>
      <c r="C6526" t="s">
        <v>16262</v>
      </c>
      <c r="D6526" t="s">
        <v>27</v>
      </c>
      <c r="E6526" t="s">
        <v>28</v>
      </c>
      <c r="F6526" t="s">
        <v>3750</v>
      </c>
      <c r="G6526" t="s">
        <v>16231</v>
      </c>
      <c r="H6526" t="s">
        <v>47054</v>
      </c>
      <c r="I6526" t="s">
        <v>47116</v>
      </c>
      <c r="J6526" t="s">
        <v>47117</v>
      </c>
      <c r="K6526" t="s">
        <v>47113</v>
      </c>
      <c r="L6526">
        <v>18.39</v>
      </c>
      <c r="M6526">
        <v>54</v>
      </c>
      <c r="N6526">
        <v>0</v>
      </c>
      <c r="O6526">
        <v>54</v>
      </c>
      <c r="P6526">
        <v>0</v>
      </c>
    </row>
    <row r="6527" spans="1:16" x14ac:dyDescent="0.25">
      <c r="A6527" t="s">
        <v>28940</v>
      </c>
      <c r="B6527" t="s">
        <v>16707</v>
      </c>
      <c r="C6527" t="s">
        <v>16708</v>
      </c>
      <c r="D6527" t="s">
        <v>27</v>
      </c>
      <c r="E6527" t="s">
        <v>28</v>
      </c>
      <c r="F6527" t="s">
        <v>3750</v>
      </c>
      <c r="G6527" t="s">
        <v>16233</v>
      </c>
      <c r="H6527" t="s">
        <v>47054</v>
      </c>
      <c r="I6527" t="s">
        <v>47116</v>
      </c>
      <c r="J6527" t="s">
        <v>47117</v>
      </c>
      <c r="K6527" t="s">
        <v>47113</v>
      </c>
      <c r="L6527">
        <v>26.21</v>
      </c>
      <c r="M6527">
        <v>77</v>
      </c>
      <c r="N6527">
        <v>0</v>
      </c>
      <c r="O6527">
        <v>77</v>
      </c>
      <c r="P6527">
        <v>0</v>
      </c>
    </row>
    <row r="6528" spans="1:16" x14ac:dyDescent="0.25">
      <c r="A6528" t="s">
        <v>28941</v>
      </c>
      <c r="B6528" t="s">
        <v>5482</v>
      </c>
      <c r="C6528" t="s">
        <v>5483</v>
      </c>
      <c r="D6528" t="str">
        <f>"11"</f>
        <v>11</v>
      </c>
      <c r="E6528" t="s">
        <v>288</v>
      </c>
      <c r="F6528" t="s">
        <v>3750</v>
      </c>
      <c r="G6528" t="s">
        <v>16231</v>
      </c>
      <c r="H6528" t="s">
        <v>47054</v>
      </c>
      <c r="I6528" t="s">
        <v>47116</v>
      </c>
      <c r="J6528" t="s">
        <v>47117</v>
      </c>
      <c r="K6528" t="s">
        <v>47113</v>
      </c>
      <c r="L6528">
        <v>18.02</v>
      </c>
      <c r="M6528">
        <v>50</v>
      </c>
      <c r="N6528">
        <v>0</v>
      </c>
      <c r="O6528">
        <v>50</v>
      </c>
      <c r="P6528">
        <v>0</v>
      </c>
    </row>
    <row r="6529" spans="1:16" x14ac:dyDescent="0.25">
      <c r="A6529" t="s">
        <v>28942</v>
      </c>
      <c r="B6529" t="s">
        <v>5482</v>
      </c>
      <c r="C6529" t="s">
        <v>5483</v>
      </c>
      <c r="D6529" t="s">
        <v>6626</v>
      </c>
      <c r="E6529" t="s">
        <v>6627</v>
      </c>
      <c r="F6529" t="s">
        <v>3750</v>
      </c>
      <c r="G6529" t="s">
        <v>16231</v>
      </c>
      <c r="H6529" t="s">
        <v>47054</v>
      </c>
      <c r="I6529" t="s">
        <v>47116</v>
      </c>
      <c r="J6529" t="s">
        <v>47117</v>
      </c>
      <c r="K6529" t="s">
        <v>47113</v>
      </c>
      <c r="L6529">
        <v>17.52</v>
      </c>
      <c r="M6529">
        <v>52</v>
      </c>
      <c r="N6529">
        <v>0</v>
      </c>
      <c r="O6529">
        <v>52</v>
      </c>
      <c r="P6529">
        <v>0</v>
      </c>
    </row>
    <row r="6530" spans="1:16" x14ac:dyDescent="0.25">
      <c r="A6530" t="s">
        <v>16709</v>
      </c>
      <c r="B6530" t="s">
        <v>5482</v>
      </c>
      <c r="C6530" t="s">
        <v>5483</v>
      </c>
      <c r="D6530" t="s">
        <v>5572</v>
      </c>
      <c r="E6530" t="s">
        <v>5573</v>
      </c>
      <c r="F6530" t="s">
        <v>3750</v>
      </c>
      <c r="G6530" t="s">
        <v>16231</v>
      </c>
      <c r="H6530" t="s">
        <v>47054</v>
      </c>
      <c r="I6530" t="s">
        <v>47116</v>
      </c>
      <c r="J6530" t="s">
        <v>47117</v>
      </c>
      <c r="K6530" t="s">
        <v>47113</v>
      </c>
      <c r="L6530">
        <v>20.5</v>
      </c>
      <c r="M6530">
        <v>77</v>
      </c>
      <c r="N6530">
        <v>0</v>
      </c>
      <c r="O6530">
        <v>77</v>
      </c>
      <c r="P6530">
        <v>0</v>
      </c>
    </row>
    <row r="6531" spans="1:16" x14ac:dyDescent="0.25">
      <c r="A6531" t="s">
        <v>28943</v>
      </c>
      <c r="B6531" t="s">
        <v>5484</v>
      </c>
      <c r="C6531" t="s">
        <v>5485</v>
      </c>
      <c r="D6531" t="s">
        <v>721</v>
      </c>
      <c r="E6531" t="s">
        <v>722</v>
      </c>
      <c r="F6531" t="s">
        <v>3750</v>
      </c>
      <c r="G6531" t="s">
        <v>16231</v>
      </c>
      <c r="H6531" t="s">
        <v>47054</v>
      </c>
      <c r="I6531" t="s">
        <v>47116</v>
      </c>
      <c r="J6531" t="s">
        <v>47117</v>
      </c>
      <c r="K6531" t="s">
        <v>47113</v>
      </c>
      <c r="L6531">
        <v>17.53</v>
      </c>
      <c r="M6531">
        <v>91</v>
      </c>
      <c r="N6531">
        <v>0</v>
      </c>
      <c r="O6531">
        <v>91</v>
      </c>
      <c r="P6531">
        <v>0</v>
      </c>
    </row>
    <row r="6532" spans="1:16" x14ac:dyDescent="0.25">
      <c r="A6532" t="s">
        <v>28944</v>
      </c>
      <c r="B6532" t="s">
        <v>15198</v>
      </c>
      <c r="C6532" t="s">
        <v>15199</v>
      </c>
      <c r="D6532" t="s">
        <v>6626</v>
      </c>
      <c r="E6532" t="s">
        <v>15200</v>
      </c>
      <c r="F6532" t="s">
        <v>3750</v>
      </c>
      <c r="G6532" t="s">
        <v>16231</v>
      </c>
      <c r="H6532" t="s">
        <v>47054</v>
      </c>
      <c r="I6532" t="s">
        <v>47116</v>
      </c>
      <c r="J6532" t="s">
        <v>47117</v>
      </c>
      <c r="K6532" t="s">
        <v>47113</v>
      </c>
      <c r="L6532">
        <v>17.91</v>
      </c>
      <c r="M6532">
        <v>69</v>
      </c>
      <c r="N6532">
        <v>0</v>
      </c>
      <c r="O6532">
        <v>69</v>
      </c>
      <c r="P6532">
        <v>0</v>
      </c>
    </row>
    <row r="6533" spans="1:16" x14ac:dyDescent="0.25">
      <c r="A6533" t="s">
        <v>28945</v>
      </c>
      <c r="B6533" t="s">
        <v>19789</v>
      </c>
      <c r="C6533" t="s">
        <v>19790</v>
      </c>
      <c r="D6533" t="s">
        <v>721</v>
      </c>
      <c r="E6533" t="s">
        <v>722</v>
      </c>
      <c r="F6533" t="s">
        <v>3750</v>
      </c>
      <c r="G6533" t="s">
        <v>16231</v>
      </c>
      <c r="H6533" t="s">
        <v>47054</v>
      </c>
      <c r="I6533" t="s">
        <v>47116</v>
      </c>
      <c r="J6533" t="s">
        <v>47117</v>
      </c>
      <c r="K6533" t="s">
        <v>47113</v>
      </c>
      <c r="L6533">
        <v>17.38</v>
      </c>
      <c r="M6533">
        <v>80</v>
      </c>
      <c r="N6533">
        <v>0</v>
      </c>
      <c r="O6533">
        <v>80</v>
      </c>
      <c r="P6533">
        <v>0</v>
      </c>
    </row>
    <row r="6534" spans="1:16" x14ac:dyDescent="0.25">
      <c r="A6534" t="s">
        <v>28946</v>
      </c>
      <c r="B6534" t="s">
        <v>16710</v>
      </c>
      <c r="C6534" t="s">
        <v>16711</v>
      </c>
      <c r="D6534" t="s">
        <v>6626</v>
      </c>
      <c r="E6534" t="s">
        <v>6627</v>
      </c>
      <c r="F6534" t="s">
        <v>3750</v>
      </c>
      <c r="G6534" t="s">
        <v>47122</v>
      </c>
      <c r="H6534" t="s">
        <v>47054</v>
      </c>
      <c r="I6534" t="s">
        <v>47116</v>
      </c>
      <c r="J6534" t="s">
        <v>47117</v>
      </c>
      <c r="K6534" t="s">
        <v>47113</v>
      </c>
      <c r="L6534">
        <v>25.01</v>
      </c>
      <c r="M6534">
        <v>74</v>
      </c>
      <c r="N6534">
        <v>0</v>
      </c>
      <c r="O6534">
        <v>74</v>
      </c>
      <c r="P6534">
        <v>0</v>
      </c>
    </row>
    <row r="6535" spans="1:16" x14ac:dyDescent="0.25">
      <c r="A6535" t="s">
        <v>28947</v>
      </c>
      <c r="B6535" t="s">
        <v>16712</v>
      </c>
      <c r="C6535" t="s">
        <v>16713</v>
      </c>
      <c r="D6535" t="s">
        <v>27</v>
      </c>
      <c r="E6535" t="s">
        <v>28</v>
      </c>
      <c r="F6535" t="s">
        <v>3750</v>
      </c>
      <c r="G6535" t="s">
        <v>16231</v>
      </c>
      <c r="H6535" t="s">
        <v>47054</v>
      </c>
      <c r="I6535" t="s">
        <v>47116</v>
      </c>
      <c r="J6535" t="s">
        <v>47117</v>
      </c>
      <c r="K6535" t="s">
        <v>47113</v>
      </c>
      <c r="L6535">
        <v>23.96</v>
      </c>
      <c r="M6535">
        <v>71</v>
      </c>
      <c r="N6535">
        <v>0</v>
      </c>
      <c r="O6535">
        <v>71</v>
      </c>
      <c r="P6535">
        <v>0</v>
      </c>
    </row>
    <row r="6536" spans="1:16" x14ac:dyDescent="0.25">
      <c r="A6536" t="s">
        <v>28948</v>
      </c>
      <c r="B6536" t="s">
        <v>5486</v>
      </c>
      <c r="C6536" t="s">
        <v>5487</v>
      </c>
      <c r="D6536" t="s">
        <v>5488</v>
      </c>
      <c r="E6536" t="s">
        <v>5489</v>
      </c>
      <c r="F6536" t="s">
        <v>3750</v>
      </c>
      <c r="G6536" t="s">
        <v>16231</v>
      </c>
      <c r="H6536" t="s">
        <v>47054</v>
      </c>
      <c r="I6536" t="s">
        <v>47116</v>
      </c>
      <c r="J6536" t="s">
        <v>47117</v>
      </c>
      <c r="K6536" t="s">
        <v>47113</v>
      </c>
      <c r="L6536">
        <v>20.5</v>
      </c>
      <c r="M6536">
        <v>77</v>
      </c>
      <c r="N6536">
        <v>0</v>
      </c>
      <c r="O6536">
        <v>77</v>
      </c>
      <c r="P6536">
        <v>0</v>
      </c>
    </row>
    <row r="6537" spans="1:16" x14ac:dyDescent="0.25">
      <c r="A6537" t="s">
        <v>28949</v>
      </c>
      <c r="B6537" t="s">
        <v>19791</v>
      </c>
      <c r="C6537" t="s">
        <v>19792</v>
      </c>
      <c r="D6537" t="s">
        <v>5488</v>
      </c>
      <c r="E6537" t="s">
        <v>5489</v>
      </c>
      <c r="F6537" t="s">
        <v>3750</v>
      </c>
      <c r="G6537" t="s">
        <v>16231</v>
      </c>
      <c r="H6537" t="s">
        <v>47054</v>
      </c>
      <c r="I6537" t="s">
        <v>47116</v>
      </c>
      <c r="J6537" t="s">
        <v>47117</v>
      </c>
      <c r="K6537" t="s">
        <v>47113</v>
      </c>
      <c r="L6537">
        <v>20.59</v>
      </c>
      <c r="M6537">
        <v>80</v>
      </c>
      <c r="N6537">
        <v>0</v>
      </c>
      <c r="O6537">
        <v>80</v>
      </c>
      <c r="P6537">
        <v>0</v>
      </c>
    </row>
    <row r="6538" spans="1:16" x14ac:dyDescent="0.25">
      <c r="A6538" t="s">
        <v>28950</v>
      </c>
      <c r="B6538" t="s">
        <v>19793</v>
      </c>
      <c r="C6538" t="s">
        <v>19794</v>
      </c>
      <c r="D6538" t="s">
        <v>721</v>
      </c>
      <c r="E6538" t="s">
        <v>722</v>
      </c>
      <c r="F6538" t="s">
        <v>3750</v>
      </c>
      <c r="G6538" t="s">
        <v>16231</v>
      </c>
      <c r="H6538" t="s">
        <v>47054</v>
      </c>
      <c r="I6538" t="s">
        <v>47116</v>
      </c>
      <c r="J6538" t="s">
        <v>47117</v>
      </c>
      <c r="K6538" t="s">
        <v>47113</v>
      </c>
      <c r="L6538">
        <v>17.5</v>
      </c>
      <c r="M6538">
        <v>80</v>
      </c>
      <c r="N6538">
        <v>0</v>
      </c>
      <c r="O6538">
        <v>80</v>
      </c>
      <c r="P6538">
        <v>0</v>
      </c>
    </row>
    <row r="6539" spans="1:16" x14ac:dyDescent="0.25">
      <c r="A6539" t="s">
        <v>28951</v>
      </c>
      <c r="B6539" t="s">
        <v>16263</v>
      </c>
      <c r="C6539" t="s">
        <v>16264</v>
      </c>
      <c r="D6539" t="s">
        <v>16265</v>
      </c>
      <c r="E6539" t="s">
        <v>16266</v>
      </c>
      <c r="F6539" t="s">
        <v>3750</v>
      </c>
      <c r="G6539" t="s">
        <v>16231</v>
      </c>
      <c r="H6539" t="s">
        <v>47054</v>
      </c>
      <c r="I6539" t="s">
        <v>47116</v>
      </c>
      <c r="J6539" t="s">
        <v>47117</v>
      </c>
      <c r="K6539" t="s">
        <v>47113</v>
      </c>
      <c r="L6539">
        <v>27.42</v>
      </c>
      <c r="M6539">
        <v>77</v>
      </c>
      <c r="N6539">
        <v>0</v>
      </c>
      <c r="O6539">
        <v>77</v>
      </c>
      <c r="P6539">
        <v>0</v>
      </c>
    </row>
    <row r="6540" spans="1:16" x14ac:dyDescent="0.25">
      <c r="A6540" t="s">
        <v>28952</v>
      </c>
      <c r="B6540" t="s">
        <v>15201</v>
      </c>
      <c r="C6540" t="s">
        <v>15202</v>
      </c>
      <c r="D6540" t="str">
        <f>"11"</f>
        <v>11</v>
      </c>
      <c r="E6540" t="s">
        <v>288</v>
      </c>
      <c r="F6540" t="s">
        <v>3750</v>
      </c>
      <c r="G6540" t="s">
        <v>16231</v>
      </c>
      <c r="H6540" t="s">
        <v>47054</v>
      </c>
      <c r="I6540" t="s">
        <v>47116</v>
      </c>
      <c r="J6540" t="s">
        <v>47117</v>
      </c>
      <c r="K6540" t="s">
        <v>47113</v>
      </c>
      <c r="L6540">
        <v>18.77</v>
      </c>
      <c r="M6540">
        <v>77</v>
      </c>
      <c r="N6540">
        <v>0</v>
      </c>
      <c r="O6540">
        <v>77</v>
      </c>
      <c r="P6540">
        <v>0</v>
      </c>
    </row>
    <row r="6541" spans="1:16" x14ac:dyDescent="0.25">
      <c r="A6541" t="s">
        <v>16714</v>
      </c>
      <c r="B6541" t="s">
        <v>5490</v>
      </c>
      <c r="C6541" t="s">
        <v>5491</v>
      </c>
      <c r="D6541" t="s">
        <v>721</v>
      </c>
      <c r="E6541" t="s">
        <v>722</v>
      </c>
      <c r="F6541" t="s">
        <v>3750</v>
      </c>
      <c r="G6541" t="s">
        <v>16231</v>
      </c>
      <c r="H6541" t="s">
        <v>47054</v>
      </c>
      <c r="I6541" t="s">
        <v>47116</v>
      </c>
      <c r="J6541" t="s">
        <v>47117</v>
      </c>
      <c r="K6541" t="s">
        <v>47113</v>
      </c>
      <c r="L6541">
        <v>17.53</v>
      </c>
      <c r="M6541">
        <v>77</v>
      </c>
      <c r="N6541">
        <v>0</v>
      </c>
      <c r="O6541">
        <v>77</v>
      </c>
      <c r="P6541">
        <v>0</v>
      </c>
    </row>
    <row r="6542" spans="1:16" x14ac:dyDescent="0.25">
      <c r="A6542" t="s">
        <v>28953</v>
      </c>
      <c r="B6542" t="s">
        <v>5490</v>
      </c>
      <c r="C6542" t="s">
        <v>5491</v>
      </c>
      <c r="D6542" t="s">
        <v>5476</v>
      </c>
      <c r="E6542" t="s">
        <v>5477</v>
      </c>
      <c r="F6542" t="s">
        <v>3750</v>
      </c>
      <c r="G6542" t="s">
        <v>16231</v>
      </c>
      <c r="H6542" t="s">
        <v>47054</v>
      </c>
      <c r="I6542" t="s">
        <v>47116</v>
      </c>
      <c r="J6542" t="s">
        <v>47117</v>
      </c>
      <c r="K6542" t="s">
        <v>47113</v>
      </c>
      <c r="L6542">
        <v>18.010000000000002</v>
      </c>
      <c r="M6542">
        <v>68</v>
      </c>
      <c r="N6542">
        <v>0</v>
      </c>
      <c r="O6542">
        <v>68</v>
      </c>
      <c r="P6542">
        <v>0</v>
      </c>
    </row>
    <row r="6543" spans="1:16" x14ac:dyDescent="0.25">
      <c r="A6543" t="s">
        <v>28954</v>
      </c>
      <c r="B6543" t="s">
        <v>19795</v>
      </c>
      <c r="C6543" t="s">
        <v>19796</v>
      </c>
      <c r="D6543" t="s">
        <v>5488</v>
      </c>
      <c r="E6543" t="s">
        <v>5489</v>
      </c>
      <c r="F6543" t="s">
        <v>3750</v>
      </c>
      <c r="G6543" t="s">
        <v>16231</v>
      </c>
      <c r="H6543" t="s">
        <v>47054</v>
      </c>
      <c r="I6543" t="s">
        <v>47116</v>
      </c>
      <c r="J6543" t="s">
        <v>47117</v>
      </c>
      <c r="K6543" t="s">
        <v>47113</v>
      </c>
      <c r="L6543">
        <v>19.34</v>
      </c>
      <c r="M6543">
        <v>34</v>
      </c>
      <c r="N6543">
        <v>0</v>
      </c>
      <c r="O6543">
        <v>34</v>
      </c>
      <c r="P6543">
        <v>0</v>
      </c>
    </row>
    <row r="6544" spans="1:16" x14ac:dyDescent="0.25">
      <c r="A6544" t="s">
        <v>28955</v>
      </c>
      <c r="B6544" t="s">
        <v>19797</v>
      </c>
      <c r="C6544" t="s">
        <v>19798</v>
      </c>
      <c r="D6544" t="str">
        <f>"11"</f>
        <v>11</v>
      </c>
      <c r="E6544" t="s">
        <v>288</v>
      </c>
      <c r="F6544" t="s">
        <v>3750</v>
      </c>
      <c r="G6544" t="s">
        <v>16231</v>
      </c>
      <c r="H6544" t="s">
        <v>47054</v>
      </c>
      <c r="I6544" t="s">
        <v>47116</v>
      </c>
      <c r="J6544" t="s">
        <v>47117</v>
      </c>
      <c r="K6544" t="s">
        <v>47113</v>
      </c>
      <c r="L6544">
        <v>17.420000000000002</v>
      </c>
      <c r="M6544">
        <v>34</v>
      </c>
      <c r="N6544">
        <v>0</v>
      </c>
      <c r="O6544">
        <v>34</v>
      </c>
      <c r="P6544">
        <v>0</v>
      </c>
    </row>
    <row r="6545" spans="1:16" x14ac:dyDescent="0.25">
      <c r="A6545" t="s">
        <v>28956</v>
      </c>
      <c r="B6545" t="s">
        <v>19799</v>
      </c>
      <c r="C6545" t="s">
        <v>19800</v>
      </c>
      <c r="D6545" t="s">
        <v>721</v>
      </c>
      <c r="E6545" t="s">
        <v>722</v>
      </c>
      <c r="F6545" t="s">
        <v>3750</v>
      </c>
      <c r="G6545" t="s">
        <v>16231</v>
      </c>
      <c r="H6545" t="s">
        <v>47054</v>
      </c>
      <c r="I6545" t="s">
        <v>47116</v>
      </c>
      <c r="J6545" t="s">
        <v>47117</v>
      </c>
      <c r="K6545" t="s">
        <v>47113</v>
      </c>
      <c r="L6545">
        <v>15.91</v>
      </c>
      <c r="M6545">
        <v>34</v>
      </c>
      <c r="N6545">
        <v>0</v>
      </c>
      <c r="O6545">
        <v>34</v>
      </c>
      <c r="P6545">
        <v>0</v>
      </c>
    </row>
    <row r="6546" spans="1:16" x14ac:dyDescent="0.25">
      <c r="A6546" t="s">
        <v>28957</v>
      </c>
      <c r="B6546" t="s">
        <v>5492</v>
      </c>
      <c r="C6546" t="s">
        <v>5493</v>
      </c>
      <c r="D6546" t="str">
        <f>"1465"</f>
        <v>1465</v>
      </c>
      <c r="E6546" t="s">
        <v>5494</v>
      </c>
      <c r="F6546" t="s">
        <v>2068</v>
      </c>
      <c r="G6546" t="s">
        <v>16230</v>
      </c>
      <c r="H6546" t="s">
        <v>47054</v>
      </c>
      <c r="I6546" t="s">
        <v>47118</v>
      </c>
      <c r="J6546" t="s">
        <v>47119</v>
      </c>
      <c r="K6546" t="s">
        <v>47113</v>
      </c>
      <c r="L6546">
        <v>23.55</v>
      </c>
      <c r="M6546">
        <v>53</v>
      </c>
      <c r="N6546">
        <v>0</v>
      </c>
      <c r="O6546">
        <v>53</v>
      </c>
      <c r="P6546">
        <v>0</v>
      </c>
    </row>
    <row r="6547" spans="1:16" x14ac:dyDescent="0.25">
      <c r="A6547" t="s">
        <v>28958</v>
      </c>
      <c r="B6547" t="s">
        <v>5495</v>
      </c>
      <c r="C6547" t="s">
        <v>5496</v>
      </c>
      <c r="D6547" t="str">
        <f>"6478"</f>
        <v>6478</v>
      </c>
      <c r="E6547" t="s">
        <v>5497</v>
      </c>
      <c r="F6547" t="s">
        <v>2068</v>
      </c>
      <c r="G6547" t="s">
        <v>16230</v>
      </c>
      <c r="H6547" t="s">
        <v>47054</v>
      </c>
      <c r="I6547" t="s">
        <v>47118</v>
      </c>
      <c r="J6547" t="s">
        <v>47119</v>
      </c>
      <c r="K6547" t="s">
        <v>47113</v>
      </c>
      <c r="L6547">
        <v>20.3</v>
      </c>
      <c r="M6547">
        <v>46</v>
      </c>
      <c r="N6547">
        <v>0</v>
      </c>
      <c r="O6547">
        <v>46</v>
      </c>
      <c r="P6547">
        <v>0</v>
      </c>
    </row>
    <row r="6548" spans="1:16" x14ac:dyDescent="0.25">
      <c r="A6548" t="s">
        <v>28959</v>
      </c>
      <c r="B6548" t="s">
        <v>5498</v>
      </c>
      <c r="C6548" t="s">
        <v>5499</v>
      </c>
      <c r="D6548" t="str">
        <f>"1001"</f>
        <v>1001</v>
      </c>
      <c r="E6548" t="s">
        <v>5500</v>
      </c>
      <c r="F6548" t="s">
        <v>2068</v>
      </c>
      <c r="G6548" t="s">
        <v>46686</v>
      </c>
      <c r="H6548" t="s">
        <v>47054</v>
      </c>
      <c r="I6548" t="s">
        <v>47120</v>
      </c>
      <c r="J6548" t="s">
        <v>47121</v>
      </c>
      <c r="K6548" t="s">
        <v>47113</v>
      </c>
      <c r="L6548">
        <v>22.52</v>
      </c>
      <c r="M6548">
        <v>51</v>
      </c>
      <c r="N6548">
        <v>0</v>
      </c>
      <c r="O6548">
        <v>51</v>
      </c>
      <c r="P6548">
        <v>0</v>
      </c>
    </row>
    <row r="6549" spans="1:16" x14ac:dyDescent="0.25">
      <c r="A6549" t="s">
        <v>28960</v>
      </c>
      <c r="B6549" t="s">
        <v>5498</v>
      </c>
      <c r="C6549" t="s">
        <v>5499</v>
      </c>
      <c r="D6549" t="str">
        <f>"4874"</f>
        <v>4874</v>
      </c>
      <c r="E6549" t="s">
        <v>5501</v>
      </c>
      <c r="F6549" t="s">
        <v>2068</v>
      </c>
      <c r="G6549" t="s">
        <v>46686</v>
      </c>
      <c r="H6549" t="s">
        <v>47054</v>
      </c>
      <c r="I6549" t="s">
        <v>47120</v>
      </c>
      <c r="J6549" t="s">
        <v>47121</v>
      </c>
      <c r="K6549" t="s">
        <v>47113</v>
      </c>
      <c r="L6549">
        <v>22.52</v>
      </c>
      <c r="M6549">
        <v>51</v>
      </c>
      <c r="N6549">
        <v>0</v>
      </c>
      <c r="O6549">
        <v>51</v>
      </c>
      <c r="P6549">
        <v>0</v>
      </c>
    </row>
    <row r="6550" spans="1:16" x14ac:dyDescent="0.25">
      <c r="A6550" t="s">
        <v>28961</v>
      </c>
      <c r="B6550" t="s">
        <v>5502</v>
      </c>
      <c r="C6550" t="s">
        <v>15203</v>
      </c>
      <c r="D6550" t="s">
        <v>5503</v>
      </c>
      <c r="E6550" t="s">
        <v>5504</v>
      </c>
      <c r="F6550" t="s">
        <v>3670</v>
      </c>
      <c r="G6550" t="s">
        <v>16231</v>
      </c>
      <c r="H6550" t="s">
        <v>47054</v>
      </c>
      <c r="I6550" t="s">
        <v>47120</v>
      </c>
      <c r="J6550" t="s">
        <v>47121</v>
      </c>
      <c r="K6550" t="s">
        <v>47113</v>
      </c>
      <c r="L6550">
        <v>32.18</v>
      </c>
      <c r="M6550">
        <v>74</v>
      </c>
      <c r="N6550">
        <v>0</v>
      </c>
      <c r="O6550">
        <v>74</v>
      </c>
      <c r="P6550">
        <v>0</v>
      </c>
    </row>
    <row r="6551" spans="1:16" x14ac:dyDescent="0.25">
      <c r="A6551" t="s">
        <v>28962</v>
      </c>
      <c r="B6551" t="s">
        <v>5502</v>
      </c>
      <c r="C6551" t="s">
        <v>15203</v>
      </c>
      <c r="D6551" t="s">
        <v>5505</v>
      </c>
      <c r="E6551" t="s">
        <v>5506</v>
      </c>
      <c r="F6551" t="s">
        <v>3670</v>
      </c>
      <c r="G6551" t="s">
        <v>16231</v>
      </c>
      <c r="H6551" t="s">
        <v>47054</v>
      </c>
      <c r="I6551" t="s">
        <v>47120</v>
      </c>
      <c r="J6551" t="s">
        <v>47121</v>
      </c>
      <c r="K6551" t="s">
        <v>47113</v>
      </c>
      <c r="L6551">
        <v>32.18</v>
      </c>
      <c r="M6551">
        <v>74</v>
      </c>
      <c r="N6551">
        <v>0</v>
      </c>
      <c r="O6551">
        <v>74</v>
      </c>
      <c r="P6551">
        <v>0</v>
      </c>
    </row>
    <row r="6552" spans="1:16" x14ac:dyDescent="0.25">
      <c r="A6552" t="s">
        <v>28963</v>
      </c>
      <c r="B6552" t="s">
        <v>5507</v>
      </c>
      <c r="C6552" t="s">
        <v>5508</v>
      </c>
      <c r="D6552" t="str">
        <f>"4015"</f>
        <v>4015</v>
      </c>
      <c r="E6552" t="s">
        <v>5509</v>
      </c>
      <c r="F6552" t="s">
        <v>3670</v>
      </c>
      <c r="G6552" t="s">
        <v>16222</v>
      </c>
      <c r="H6552" t="s">
        <v>47054</v>
      </c>
      <c r="I6552" t="s">
        <v>47120</v>
      </c>
      <c r="J6552" t="s">
        <v>47121</v>
      </c>
      <c r="K6552" t="s">
        <v>47113</v>
      </c>
      <c r="L6552">
        <v>33.43</v>
      </c>
      <c r="M6552">
        <v>93</v>
      </c>
      <c r="N6552">
        <v>0</v>
      </c>
      <c r="O6552">
        <v>93</v>
      </c>
      <c r="P6552">
        <v>0</v>
      </c>
    </row>
    <row r="6553" spans="1:16" x14ac:dyDescent="0.25">
      <c r="A6553" t="s">
        <v>14940</v>
      </c>
      <c r="B6553" t="s">
        <v>5510</v>
      </c>
      <c r="C6553" t="s">
        <v>5511</v>
      </c>
      <c r="D6553" t="str">
        <f>"4866"</f>
        <v>4866</v>
      </c>
      <c r="E6553" t="s">
        <v>5512</v>
      </c>
      <c r="F6553" t="s">
        <v>2068</v>
      </c>
      <c r="G6553" t="s">
        <v>16222</v>
      </c>
      <c r="H6553" t="s">
        <v>47054</v>
      </c>
      <c r="I6553" t="s">
        <v>47120</v>
      </c>
      <c r="J6553" t="s">
        <v>47121</v>
      </c>
      <c r="K6553" t="s">
        <v>47113</v>
      </c>
      <c r="L6553">
        <v>32.39</v>
      </c>
      <c r="M6553">
        <v>73</v>
      </c>
      <c r="N6553">
        <v>0</v>
      </c>
      <c r="O6553">
        <v>73</v>
      </c>
      <c r="P6553">
        <v>0</v>
      </c>
    </row>
    <row r="6554" spans="1:16" x14ac:dyDescent="0.25">
      <c r="A6554" t="s">
        <v>28964</v>
      </c>
      <c r="B6554" t="s">
        <v>5513</v>
      </c>
      <c r="C6554" t="s">
        <v>16715</v>
      </c>
      <c r="D6554" t="s">
        <v>5514</v>
      </c>
      <c r="E6554" t="s">
        <v>5515</v>
      </c>
      <c r="F6554" t="s">
        <v>3558</v>
      </c>
      <c r="G6554" t="s">
        <v>16234</v>
      </c>
      <c r="H6554" t="s">
        <v>47054</v>
      </c>
      <c r="I6554" t="s">
        <v>47111</v>
      </c>
      <c r="J6554" t="s">
        <v>47112</v>
      </c>
      <c r="K6554" t="s">
        <v>47113</v>
      </c>
      <c r="L6554">
        <v>13.72</v>
      </c>
      <c r="M6554">
        <v>74</v>
      </c>
      <c r="N6554">
        <v>0</v>
      </c>
      <c r="O6554">
        <v>74</v>
      </c>
      <c r="P6554">
        <v>0</v>
      </c>
    </row>
    <row r="6555" spans="1:16" x14ac:dyDescent="0.25">
      <c r="A6555" t="s">
        <v>28965</v>
      </c>
      <c r="B6555" t="s">
        <v>5516</v>
      </c>
      <c r="C6555" t="s">
        <v>5517</v>
      </c>
      <c r="D6555" t="str">
        <f>"4866"</f>
        <v>4866</v>
      </c>
      <c r="E6555" t="s">
        <v>5512</v>
      </c>
      <c r="F6555" t="s">
        <v>2068</v>
      </c>
      <c r="G6555" t="s">
        <v>16224</v>
      </c>
      <c r="H6555" t="s">
        <v>47054</v>
      </c>
      <c r="I6555" t="s">
        <v>47120</v>
      </c>
      <c r="J6555" t="s">
        <v>47121</v>
      </c>
      <c r="K6555" t="s">
        <v>47113</v>
      </c>
      <c r="L6555">
        <v>28.55</v>
      </c>
      <c r="M6555">
        <v>76</v>
      </c>
      <c r="N6555">
        <v>0</v>
      </c>
      <c r="O6555">
        <v>76</v>
      </c>
      <c r="P6555">
        <v>0</v>
      </c>
    </row>
    <row r="6556" spans="1:16" x14ac:dyDescent="0.25">
      <c r="A6556" t="s">
        <v>28966</v>
      </c>
      <c r="B6556" t="s">
        <v>15204</v>
      </c>
      <c r="C6556" t="s">
        <v>15205</v>
      </c>
      <c r="D6556" t="str">
        <f>"4923"</f>
        <v>4923</v>
      </c>
      <c r="E6556" t="s">
        <v>15206</v>
      </c>
      <c r="F6556" t="s">
        <v>3546</v>
      </c>
      <c r="G6556" t="s">
        <v>16235</v>
      </c>
      <c r="H6556" t="s">
        <v>47054</v>
      </c>
      <c r="I6556" t="s">
        <v>47120</v>
      </c>
      <c r="J6556" t="s">
        <v>47121</v>
      </c>
      <c r="K6556" t="s">
        <v>47113</v>
      </c>
      <c r="L6556">
        <v>36.81</v>
      </c>
      <c r="M6556">
        <v>83</v>
      </c>
      <c r="N6556">
        <v>0</v>
      </c>
      <c r="O6556">
        <v>83</v>
      </c>
      <c r="P6556">
        <v>0</v>
      </c>
    </row>
    <row r="6557" spans="1:16" x14ac:dyDescent="0.25">
      <c r="A6557" t="s">
        <v>28967</v>
      </c>
      <c r="B6557" t="s">
        <v>5518</v>
      </c>
      <c r="C6557" t="s">
        <v>16477</v>
      </c>
      <c r="D6557" t="s">
        <v>721</v>
      </c>
      <c r="E6557" t="s">
        <v>722</v>
      </c>
      <c r="F6557" t="s">
        <v>3558</v>
      </c>
      <c r="G6557" t="s">
        <v>16233</v>
      </c>
      <c r="H6557" t="s">
        <v>47054</v>
      </c>
      <c r="I6557" t="s">
        <v>47120</v>
      </c>
      <c r="J6557" t="s">
        <v>47121</v>
      </c>
      <c r="K6557" t="s">
        <v>47113</v>
      </c>
      <c r="L6557">
        <v>16.399999999999999</v>
      </c>
      <c r="M6557">
        <v>63</v>
      </c>
      <c r="N6557">
        <v>0</v>
      </c>
      <c r="O6557">
        <v>63</v>
      </c>
      <c r="P6557">
        <v>0</v>
      </c>
    </row>
    <row r="6558" spans="1:16" x14ac:dyDescent="0.25">
      <c r="A6558" t="s">
        <v>28968</v>
      </c>
      <c r="B6558" t="s">
        <v>5518</v>
      </c>
      <c r="C6558" t="s">
        <v>16477</v>
      </c>
      <c r="D6558" t="s">
        <v>5519</v>
      </c>
      <c r="E6558" t="s">
        <v>5520</v>
      </c>
      <c r="F6558" t="s">
        <v>3558</v>
      </c>
      <c r="G6558" t="s">
        <v>16233</v>
      </c>
      <c r="H6558" t="s">
        <v>47054</v>
      </c>
      <c r="I6558" t="s">
        <v>47120</v>
      </c>
      <c r="J6558" t="s">
        <v>47121</v>
      </c>
      <c r="K6558" t="s">
        <v>47113</v>
      </c>
      <c r="L6558">
        <v>16.399999999999999</v>
      </c>
      <c r="M6558">
        <v>63</v>
      </c>
      <c r="N6558">
        <v>0</v>
      </c>
      <c r="O6558">
        <v>63</v>
      </c>
      <c r="P6558">
        <v>0</v>
      </c>
    </row>
    <row r="6559" spans="1:16" x14ac:dyDescent="0.25">
      <c r="A6559" t="s">
        <v>28969</v>
      </c>
      <c r="B6559" t="s">
        <v>19801</v>
      </c>
      <c r="C6559" t="s">
        <v>19802</v>
      </c>
      <c r="D6559" t="str">
        <f>"4143"</f>
        <v>4143</v>
      </c>
      <c r="E6559" t="s">
        <v>19803</v>
      </c>
      <c r="F6559" t="s">
        <v>3750</v>
      </c>
      <c r="G6559" t="s">
        <v>16235</v>
      </c>
      <c r="H6559" t="s">
        <v>47054</v>
      </c>
      <c r="I6559" t="s">
        <v>47120</v>
      </c>
      <c r="J6559" t="s">
        <v>47121</v>
      </c>
      <c r="K6559" t="s">
        <v>47113</v>
      </c>
      <c r="L6559">
        <v>25.43</v>
      </c>
      <c r="M6559">
        <v>67</v>
      </c>
      <c r="N6559">
        <v>0</v>
      </c>
      <c r="O6559">
        <v>67</v>
      </c>
      <c r="P6559">
        <v>0</v>
      </c>
    </row>
    <row r="6560" spans="1:16" x14ac:dyDescent="0.25">
      <c r="A6560" t="s">
        <v>28970</v>
      </c>
      <c r="B6560" t="s">
        <v>5521</v>
      </c>
      <c r="C6560" t="s">
        <v>5522</v>
      </c>
      <c r="D6560" t="str">
        <f>"4015"</f>
        <v>4015</v>
      </c>
      <c r="E6560" t="s">
        <v>5509</v>
      </c>
      <c r="F6560" t="s">
        <v>3670</v>
      </c>
      <c r="G6560" t="s">
        <v>16235</v>
      </c>
      <c r="H6560" t="s">
        <v>47054</v>
      </c>
      <c r="I6560" t="s">
        <v>47120</v>
      </c>
      <c r="J6560" t="s">
        <v>47121</v>
      </c>
      <c r="K6560" t="s">
        <v>47113</v>
      </c>
      <c r="L6560">
        <v>40.020000000000003</v>
      </c>
      <c r="M6560">
        <v>112</v>
      </c>
      <c r="N6560">
        <v>0</v>
      </c>
      <c r="O6560">
        <v>112</v>
      </c>
      <c r="P6560">
        <v>0</v>
      </c>
    </row>
    <row r="6561" spans="1:16" x14ac:dyDescent="0.25">
      <c r="A6561" t="s">
        <v>28971</v>
      </c>
      <c r="B6561" t="s">
        <v>19804</v>
      </c>
      <c r="C6561" t="s">
        <v>19805</v>
      </c>
      <c r="D6561" t="str">
        <f>"4143"</f>
        <v>4143</v>
      </c>
      <c r="E6561" t="s">
        <v>19803</v>
      </c>
      <c r="F6561" t="s">
        <v>3750</v>
      </c>
      <c r="G6561" t="s">
        <v>16222</v>
      </c>
      <c r="H6561" t="s">
        <v>47054</v>
      </c>
      <c r="I6561" t="s">
        <v>47120</v>
      </c>
      <c r="J6561" t="s">
        <v>47121</v>
      </c>
      <c r="K6561" t="s">
        <v>47113</v>
      </c>
      <c r="L6561">
        <v>25.43</v>
      </c>
      <c r="M6561">
        <v>59</v>
      </c>
      <c r="N6561">
        <v>0</v>
      </c>
      <c r="O6561">
        <v>59</v>
      </c>
      <c r="P6561">
        <v>0</v>
      </c>
    </row>
    <row r="6562" spans="1:16" x14ac:dyDescent="0.25">
      <c r="A6562" t="s">
        <v>28972</v>
      </c>
      <c r="B6562" t="s">
        <v>5523</v>
      </c>
      <c r="C6562" t="s">
        <v>19475</v>
      </c>
      <c r="D6562" t="s">
        <v>5503</v>
      </c>
      <c r="E6562" t="s">
        <v>5504</v>
      </c>
      <c r="F6562" t="s">
        <v>3670</v>
      </c>
      <c r="G6562" t="s">
        <v>16231</v>
      </c>
      <c r="H6562" t="s">
        <v>47054</v>
      </c>
      <c r="I6562" t="s">
        <v>47120</v>
      </c>
      <c r="J6562" t="s">
        <v>47121</v>
      </c>
      <c r="K6562" t="s">
        <v>47113</v>
      </c>
      <c r="L6562">
        <v>32.520000000000003</v>
      </c>
      <c r="M6562">
        <v>74</v>
      </c>
      <c r="N6562">
        <v>0</v>
      </c>
      <c r="O6562">
        <v>74</v>
      </c>
      <c r="P6562">
        <v>0</v>
      </c>
    </row>
    <row r="6563" spans="1:16" x14ac:dyDescent="0.25">
      <c r="A6563" t="s">
        <v>28973</v>
      </c>
      <c r="B6563" t="s">
        <v>5523</v>
      </c>
      <c r="C6563" t="s">
        <v>19475</v>
      </c>
      <c r="D6563" t="s">
        <v>5505</v>
      </c>
      <c r="E6563" t="s">
        <v>5506</v>
      </c>
      <c r="F6563" t="s">
        <v>3670</v>
      </c>
      <c r="G6563" t="s">
        <v>16231</v>
      </c>
      <c r="H6563" t="s">
        <v>47054</v>
      </c>
      <c r="I6563" t="s">
        <v>47120</v>
      </c>
      <c r="J6563" t="s">
        <v>47121</v>
      </c>
      <c r="K6563" t="s">
        <v>47113</v>
      </c>
      <c r="L6563">
        <v>32.520000000000003</v>
      </c>
      <c r="M6563">
        <v>74</v>
      </c>
      <c r="N6563">
        <v>0</v>
      </c>
      <c r="O6563">
        <v>74</v>
      </c>
      <c r="P6563">
        <v>0</v>
      </c>
    </row>
    <row r="6564" spans="1:16" x14ac:dyDescent="0.25">
      <c r="A6564" t="s">
        <v>28974</v>
      </c>
      <c r="B6564" t="s">
        <v>5523</v>
      </c>
      <c r="C6564" t="s">
        <v>19475</v>
      </c>
      <c r="D6564" t="s">
        <v>15207</v>
      </c>
      <c r="E6564" t="s">
        <v>15208</v>
      </c>
      <c r="F6564" t="s">
        <v>3670</v>
      </c>
      <c r="G6564" t="s">
        <v>16231</v>
      </c>
      <c r="H6564" t="s">
        <v>47054</v>
      </c>
      <c r="I6564" t="s">
        <v>47120</v>
      </c>
      <c r="J6564" t="s">
        <v>47121</v>
      </c>
      <c r="K6564" t="s">
        <v>47113</v>
      </c>
      <c r="L6564">
        <v>27.8</v>
      </c>
      <c r="M6564">
        <v>74</v>
      </c>
      <c r="N6564">
        <v>0</v>
      </c>
      <c r="O6564">
        <v>74</v>
      </c>
      <c r="P6564">
        <v>0</v>
      </c>
    </row>
    <row r="6565" spans="1:16" x14ac:dyDescent="0.25">
      <c r="A6565" t="s">
        <v>28975</v>
      </c>
      <c r="B6565" t="s">
        <v>5524</v>
      </c>
      <c r="C6565" t="s">
        <v>5525</v>
      </c>
      <c r="D6565" t="s">
        <v>5503</v>
      </c>
      <c r="E6565" t="s">
        <v>5504</v>
      </c>
      <c r="F6565" t="s">
        <v>3670</v>
      </c>
      <c r="G6565" t="s">
        <v>16224</v>
      </c>
      <c r="H6565" t="s">
        <v>47054</v>
      </c>
      <c r="I6565" t="s">
        <v>47120</v>
      </c>
      <c r="J6565" t="s">
        <v>47121</v>
      </c>
      <c r="K6565" t="s">
        <v>47113</v>
      </c>
      <c r="L6565">
        <v>38.51</v>
      </c>
      <c r="M6565">
        <v>92</v>
      </c>
      <c r="N6565">
        <v>0</v>
      </c>
      <c r="O6565">
        <v>92</v>
      </c>
      <c r="P6565">
        <v>0</v>
      </c>
    </row>
    <row r="6566" spans="1:16" x14ac:dyDescent="0.25">
      <c r="A6566" t="s">
        <v>28976</v>
      </c>
      <c r="B6566" t="s">
        <v>5524</v>
      </c>
      <c r="C6566" t="s">
        <v>5525</v>
      </c>
      <c r="D6566" t="s">
        <v>5505</v>
      </c>
      <c r="E6566" t="s">
        <v>5506</v>
      </c>
      <c r="F6566" t="s">
        <v>3670</v>
      </c>
      <c r="G6566" t="s">
        <v>16224</v>
      </c>
      <c r="H6566" t="s">
        <v>47054</v>
      </c>
      <c r="I6566" t="s">
        <v>47120</v>
      </c>
      <c r="J6566" t="s">
        <v>47121</v>
      </c>
      <c r="K6566" t="s">
        <v>47113</v>
      </c>
      <c r="L6566">
        <v>42.11</v>
      </c>
      <c r="M6566">
        <v>92</v>
      </c>
      <c r="N6566">
        <v>0</v>
      </c>
      <c r="O6566">
        <v>92</v>
      </c>
      <c r="P6566">
        <v>0</v>
      </c>
    </row>
    <row r="6567" spans="1:16" x14ac:dyDescent="0.25">
      <c r="A6567" t="s">
        <v>28977</v>
      </c>
      <c r="B6567" t="s">
        <v>5526</v>
      </c>
      <c r="C6567" t="s">
        <v>5527</v>
      </c>
      <c r="D6567" t="s">
        <v>5503</v>
      </c>
      <c r="E6567" t="s">
        <v>5504</v>
      </c>
      <c r="F6567" t="s">
        <v>3670</v>
      </c>
      <c r="G6567" t="s">
        <v>16224</v>
      </c>
      <c r="I6567" t="s">
        <v>47120</v>
      </c>
      <c r="J6567" t="s">
        <v>47121</v>
      </c>
      <c r="K6567" t="s">
        <v>47113</v>
      </c>
      <c r="L6567">
        <v>38.51</v>
      </c>
      <c r="M6567">
        <v>92</v>
      </c>
      <c r="N6567">
        <v>0</v>
      </c>
      <c r="O6567">
        <v>92</v>
      </c>
      <c r="P6567">
        <v>0</v>
      </c>
    </row>
    <row r="6568" spans="1:16" x14ac:dyDescent="0.25">
      <c r="A6568" t="s">
        <v>28978</v>
      </c>
      <c r="B6568" t="s">
        <v>5526</v>
      </c>
      <c r="C6568" t="s">
        <v>5527</v>
      </c>
      <c r="D6568" t="s">
        <v>5505</v>
      </c>
      <c r="E6568" t="s">
        <v>5506</v>
      </c>
      <c r="F6568" t="s">
        <v>3670</v>
      </c>
      <c r="G6568" t="s">
        <v>16224</v>
      </c>
      <c r="I6568" t="s">
        <v>47120</v>
      </c>
      <c r="J6568" t="s">
        <v>47121</v>
      </c>
      <c r="K6568" t="s">
        <v>47113</v>
      </c>
      <c r="L6568">
        <v>42.11</v>
      </c>
      <c r="M6568">
        <v>92</v>
      </c>
      <c r="N6568">
        <v>0</v>
      </c>
      <c r="O6568">
        <v>92</v>
      </c>
      <c r="P6568">
        <v>0</v>
      </c>
    </row>
    <row r="6569" spans="1:16" x14ac:dyDescent="0.25">
      <c r="A6569" t="s">
        <v>28979</v>
      </c>
      <c r="B6569" t="s">
        <v>5528</v>
      </c>
      <c r="C6569" t="s">
        <v>5529</v>
      </c>
      <c r="D6569" t="str">
        <f>"1151"</f>
        <v>1151</v>
      </c>
      <c r="E6569" t="s">
        <v>5530</v>
      </c>
      <c r="F6569" t="s">
        <v>1717</v>
      </c>
      <c r="G6569" t="s">
        <v>16234</v>
      </c>
      <c r="H6569" t="s">
        <v>47054</v>
      </c>
      <c r="I6569" t="s">
        <v>47136</v>
      </c>
      <c r="J6569" t="s">
        <v>47137</v>
      </c>
      <c r="K6569" t="s">
        <v>47113</v>
      </c>
      <c r="L6569">
        <v>35.049999999999997</v>
      </c>
      <c r="M6569">
        <v>87</v>
      </c>
      <c r="N6569">
        <v>0</v>
      </c>
      <c r="O6569">
        <v>87</v>
      </c>
      <c r="P6569">
        <v>0</v>
      </c>
    </row>
    <row r="6570" spans="1:16" x14ac:dyDescent="0.25">
      <c r="A6570" t="s">
        <v>28980</v>
      </c>
      <c r="B6570" t="s">
        <v>5528</v>
      </c>
      <c r="C6570" t="s">
        <v>5529</v>
      </c>
      <c r="D6570" t="str">
        <f>"2320"</f>
        <v>2320</v>
      </c>
      <c r="E6570" t="s">
        <v>5531</v>
      </c>
      <c r="F6570" t="s">
        <v>1717</v>
      </c>
      <c r="G6570" t="s">
        <v>16234</v>
      </c>
      <c r="H6570" t="s">
        <v>47054</v>
      </c>
      <c r="I6570" t="s">
        <v>47136</v>
      </c>
      <c r="J6570" t="s">
        <v>47137</v>
      </c>
      <c r="K6570" t="s">
        <v>47113</v>
      </c>
      <c r="L6570">
        <v>33.93</v>
      </c>
      <c r="M6570">
        <v>87</v>
      </c>
      <c r="N6570">
        <v>0</v>
      </c>
      <c r="O6570">
        <v>87</v>
      </c>
      <c r="P6570">
        <v>0</v>
      </c>
    </row>
    <row r="6571" spans="1:16" x14ac:dyDescent="0.25">
      <c r="A6571" t="s">
        <v>28981</v>
      </c>
      <c r="B6571" t="s">
        <v>5528</v>
      </c>
      <c r="C6571" t="s">
        <v>5529</v>
      </c>
      <c r="D6571" t="str">
        <f>"3018"</f>
        <v>3018</v>
      </c>
      <c r="E6571" t="s">
        <v>5532</v>
      </c>
      <c r="F6571" t="s">
        <v>56</v>
      </c>
      <c r="G6571" t="s">
        <v>16234</v>
      </c>
      <c r="H6571" t="s">
        <v>47054</v>
      </c>
      <c r="I6571" t="s">
        <v>47136</v>
      </c>
      <c r="J6571" t="s">
        <v>47137</v>
      </c>
      <c r="K6571" t="s">
        <v>47113</v>
      </c>
      <c r="L6571">
        <v>35.479999999999997</v>
      </c>
      <c r="M6571">
        <v>78</v>
      </c>
      <c r="N6571">
        <v>0</v>
      </c>
      <c r="O6571">
        <v>78</v>
      </c>
      <c r="P6571">
        <v>0</v>
      </c>
    </row>
    <row r="6572" spans="1:16" x14ac:dyDescent="0.25">
      <c r="A6572" t="s">
        <v>28982</v>
      </c>
      <c r="B6572" t="s">
        <v>5528</v>
      </c>
      <c r="C6572" t="s">
        <v>5529</v>
      </c>
      <c r="D6572" t="str">
        <f>"3172"</f>
        <v>3172</v>
      </c>
      <c r="E6572" t="s">
        <v>5533</v>
      </c>
      <c r="F6572" t="s">
        <v>1717</v>
      </c>
      <c r="G6572" t="s">
        <v>16234</v>
      </c>
      <c r="H6572" t="s">
        <v>47054</v>
      </c>
      <c r="I6572" t="s">
        <v>47111</v>
      </c>
      <c r="J6572" t="s">
        <v>47112</v>
      </c>
      <c r="K6572" t="s">
        <v>47113</v>
      </c>
      <c r="L6572">
        <v>34.020000000000003</v>
      </c>
      <c r="M6572">
        <v>87</v>
      </c>
      <c r="N6572">
        <v>0</v>
      </c>
      <c r="O6572">
        <v>87</v>
      </c>
      <c r="P6572">
        <v>0</v>
      </c>
    </row>
    <row r="6573" spans="1:16" x14ac:dyDescent="0.25">
      <c r="A6573" t="s">
        <v>28983</v>
      </c>
      <c r="B6573" t="s">
        <v>5528</v>
      </c>
      <c r="C6573" t="s">
        <v>5529</v>
      </c>
      <c r="D6573" t="str">
        <f>"5024"</f>
        <v>5024</v>
      </c>
      <c r="E6573" t="s">
        <v>5534</v>
      </c>
      <c r="F6573" t="s">
        <v>56</v>
      </c>
      <c r="G6573" t="s">
        <v>16234</v>
      </c>
      <c r="H6573" t="s">
        <v>47054</v>
      </c>
      <c r="I6573" t="s">
        <v>47136</v>
      </c>
      <c r="J6573" t="s">
        <v>47137</v>
      </c>
      <c r="K6573" t="s">
        <v>47113</v>
      </c>
      <c r="L6573">
        <v>34.89</v>
      </c>
      <c r="M6573">
        <v>78</v>
      </c>
      <c r="N6573">
        <v>0</v>
      </c>
      <c r="O6573">
        <v>78</v>
      </c>
      <c r="P6573">
        <v>0</v>
      </c>
    </row>
    <row r="6574" spans="1:16" x14ac:dyDescent="0.25">
      <c r="A6574" t="s">
        <v>28984</v>
      </c>
      <c r="B6574" t="s">
        <v>5528</v>
      </c>
      <c r="C6574" t="s">
        <v>5529</v>
      </c>
      <c r="D6574" t="str">
        <f>"7317"</f>
        <v>7317</v>
      </c>
      <c r="E6574" t="s">
        <v>5535</v>
      </c>
      <c r="F6574" t="s">
        <v>56</v>
      </c>
      <c r="G6574" t="s">
        <v>16234</v>
      </c>
      <c r="H6574" t="s">
        <v>47054</v>
      </c>
      <c r="I6574" t="s">
        <v>47136</v>
      </c>
      <c r="J6574" t="s">
        <v>47137</v>
      </c>
      <c r="K6574" t="s">
        <v>47113</v>
      </c>
      <c r="L6574">
        <v>35.479999999999997</v>
      </c>
      <c r="M6574">
        <v>78</v>
      </c>
      <c r="N6574">
        <v>0</v>
      </c>
      <c r="O6574">
        <v>78</v>
      </c>
      <c r="P6574">
        <v>0</v>
      </c>
    </row>
    <row r="6575" spans="1:16" x14ac:dyDescent="0.25">
      <c r="A6575" t="s">
        <v>28985</v>
      </c>
      <c r="B6575" t="s">
        <v>5536</v>
      </c>
      <c r="C6575" t="s">
        <v>5537</v>
      </c>
      <c r="D6575" t="str">
        <f>"1001"</f>
        <v>1001</v>
      </c>
      <c r="E6575" t="s">
        <v>42</v>
      </c>
      <c r="F6575" t="s">
        <v>4</v>
      </c>
      <c r="G6575" t="s">
        <v>16224</v>
      </c>
      <c r="H6575" t="s">
        <v>47054</v>
      </c>
      <c r="I6575" t="s">
        <v>47120</v>
      </c>
      <c r="J6575" t="s">
        <v>47121</v>
      </c>
      <c r="K6575" t="s">
        <v>47113</v>
      </c>
      <c r="L6575">
        <v>43.45</v>
      </c>
      <c r="M6575">
        <v>106</v>
      </c>
      <c r="N6575">
        <v>0</v>
      </c>
      <c r="O6575">
        <v>106</v>
      </c>
      <c r="P6575">
        <v>0</v>
      </c>
    </row>
    <row r="6576" spans="1:16" x14ac:dyDescent="0.25">
      <c r="A6576" t="s">
        <v>28986</v>
      </c>
      <c r="B6576" t="s">
        <v>5538</v>
      </c>
      <c r="C6576" t="s">
        <v>5539</v>
      </c>
      <c r="D6576" t="s">
        <v>5540</v>
      </c>
      <c r="E6576" t="s">
        <v>5541</v>
      </c>
      <c r="F6576" t="s">
        <v>3546</v>
      </c>
      <c r="G6576" t="s">
        <v>16231</v>
      </c>
      <c r="H6576" t="s">
        <v>47054</v>
      </c>
      <c r="I6576" t="s">
        <v>47111</v>
      </c>
      <c r="J6576" t="s">
        <v>47112</v>
      </c>
      <c r="K6576" t="s">
        <v>47113</v>
      </c>
      <c r="L6576">
        <v>51.19</v>
      </c>
      <c r="M6576">
        <v>126</v>
      </c>
      <c r="N6576">
        <v>0</v>
      </c>
      <c r="O6576">
        <v>126</v>
      </c>
      <c r="P6576">
        <v>0</v>
      </c>
    </row>
    <row r="6577" spans="1:16" x14ac:dyDescent="0.25">
      <c r="A6577" t="s">
        <v>28987</v>
      </c>
      <c r="B6577" t="s">
        <v>5542</v>
      </c>
      <c r="C6577" t="s">
        <v>5543</v>
      </c>
      <c r="D6577" t="s">
        <v>5544</v>
      </c>
      <c r="E6577" t="s">
        <v>5545</v>
      </c>
      <c r="F6577" t="s">
        <v>2068</v>
      </c>
      <c r="G6577" t="s">
        <v>16231</v>
      </c>
      <c r="H6577" t="s">
        <v>47054</v>
      </c>
      <c r="I6577" t="s">
        <v>47111</v>
      </c>
      <c r="J6577" t="s">
        <v>47112</v>
      </c>
      <c r="K6577" t="s">
        <v>47113</v>
      </c>
      <c r="L6577">
        <v>41.42</v>
      </c>
      <c r="M6577">
        <v>94</v>
      </c>
      <c r="N6577">
        <v>0</v>
      </c>
      <c r="O6577">
        <v>94</v>
      </c>
      <c r="P6577">
        <v>0</v>
      </c>
    </row>
    <row r="6578" spans="1:16" x14ac:dyDescent="0.25">
      <c r="A6578" t="s">
        <v>28988</v>
      </c>
      <c r="B6578" t="s">
        <v>5542</v>
      </c>
      <c r="C6578" t="s">
        <v>5543</v>
      </c>
      <c r="D6578" t="s">
        <v>5546</v>
      </c>
      <c r="E6578" t="s">
        <v>5547</v>
      </c>
      <c r="F6578" t="s">
        <v>2068</v>
      </c>
      <c r="G6578" t="s">
        <v>16231</v>
      </c>
      <c r="H6578" t="s">
        <v>47054</v>
      </c>
      <c r="I6578" t="s">
        <v>47111</v>
      </c>
      <c r="J6578" t="s">
        <v>47112</v>
      </c>
      <c r="K6578" t="s">
        <v>47113</v>
      </c>
      <c r="L6578">
        <v>47.93</v>
      </c>
      <c r="M6578">
        <v>90</v>
      </c>
      <c r="N6578">
        <v>0</v>
      </c>
      <c r="O6578">
        <v>90</v>
      </c>
      <c r="P6578">
        <v>0</v>
      </c>
    </row>
    <row r="6579" spans="1:16" x14ac:dyDescent="0.25">
      <c r="A6579" t="s">
        <v>28989</v>
      </c>
      <c r="B6579" t="s">
        <v>5542</v>
      </c>
      <c r="C6579" t="s">
        <v>5543</v>
      </c>
      <c r="D6579" t="s">
        <v>5548</v>
      </c>
      <c r="E6579" t="s">
        <v>5549</v>
      </c>
      <c r="F6579" t="s">
        <v>3546</v>
      </c>
      <c r="G6579" t="s">
        <v>16231</v>
      </c>
      <c r="H6579" t="s">
        <v>47054</v>
      </c>
      <c r="I6579" t="s">
        <v>47111</v>
      </c>
      <c r="J6579" t="s">
        <v>47112</v>
      </c>
      <c r="K6579" t="s">
        <v>47113</v>
      </c>
      <c r="L6579">
        <v>50.53</v>
      </c>
      <c r="M6579">
        <v>90</v>
      </c>
      <c r="N6579">
        <v>0</v>
      </c>
      <c r="O6579">
        <v>90</v>
      </c>
      <c r="P6579">
        <v>0</v>
      </c>
    </row>
    <row r="6580" spans="1:16" x14ac:dyDescent="0.25">
      <c r="A6580" t="s">
        <v>28990</v>
      </c>
      <c r="B6580" t="s">
        <v>5542</v>
      </c>
      <c r="C6580" t="s">
        <v>5543</v>
      </c>
      <c r="D6580" t="s">
        <v>5540</v>
      </c>
      <c r="E6580" t="s">
        <v>5541</v>
      </c>
      <c r="F6580" t="s">
        <v>3546</v>
      </c>
      <c r="G6580" t="s">
        <v>16231</v>
      </c>
      <c r="H6580" t="s">
        <v>47054</v>
      </c>
      <c r="I6580" t="s">
        <v>47111</v>
      </c>
      <c r="J6580" t="s">
        <v>47112</v>
      </c>
      <c r="K6580" t="s">
        <v>47113</v>
      </c>
      <c r="L6580">
        <v>50</v>
      </c>
      <c r="M6580">
        <v>90</v>
      </c>
      <c r="N6580">
        <v>0</v>
      </c>
      <c r="O6580">
        <v>90</v>
      </c>
      <c r="P6580">
        <v>0</v>
      </c>
    </row>
    <row r="6581" spans="1:16" x14ac:dyDescent="0.25">
      <c r="A6581" t="s">
        <v>28991</v>
      </c>
      <c r="B6581" t="s">
        <v>5542</v>
      </c>
      <c r="C6581" t="s">
        <v>5543</v>
      </c>
      <c r="D6581" t="s">
        <v>5550</v>
      </c>
      <c r="E6581" t="s">
        <v>5551</v>
      </c>
      <c r="F6581" t="s">
        <v>3670</v>
      </c>
      <c r="G6581" t="s">
        <v>16231</v>
      </c>
      <c r="H6581" t="s">
        <v>47054</v>
      </c>
      <c r="I6581" t="s">
        <v>47111</v>
      </c>
      <c r="J6581" t="s">
        <v>47112</v>
      </c>
      <c r="K6581" t="s">
        <v>47113</v>
      </c>
      <c r="L6581">
        <v>48.36</v>
      </c>
      <c r="M6581">
        <v>100</v>
      </c>
      <c r="N6581">
        <v>0</v>
      </c>
      <c r="O6581">
        <v>100</v>
      </c>
      <c r="P6581">
        <v>0</v>
      </c>
    </row>
    <row r="6582" spans="1:16" x14ac:dyDescent="0.25">
      <c r="A6582" t="s">
        <v>28992</v>
      </c>
      <c r="B6582" t="s">
        <v>5542</v>
      </c>
      <c r="C6582" t="s">
        <v>5543</v>
      </c>
      <c r="D6582" t="s">
        <v>5552</v>
      </c>
      <c r="E6582" t="s">
        <v>5553</v>
      </c>
      <c r="F6582" t="s">
        <v>3670</v>
      </c>
      <c r="G6582" t="s">
        <v>16231</v>
      </c>
      <c r="H6582" t="s">
        <v>47054</v>
      </c>
      <c r="I6582" t="s">
        <v>47111</v>
      </c>
      <c r="J6582" t="s">
        <v>47112</v>
      </c>
      <c r="K6582" t="s">
        <v>47113</v>
      </c>
      <c r="L6582">
        <v>66.62</v>
      </c>
      <c r="M6582">
        <v>100</v>
      </c>
      <c r="N6582">
        <v>0</v>
      </c>
      <c r="O6582">
        <v>100</v>
      </c>
      <c r="P6582">
        <v>0</v>
      </c>
    </row>
    <row r="6583" spans="1:16" x14ac:dyDescent="0.25">
      <c r="A6583" t="s">
        <v>28993</v>
      </c>
      <c r="B6583" t="s">
        <v>5542</v>
      </c>
      <c r="C6583" t="s">
        <v>5543</v>
      </c>
      <c r="D6583" t="s">
        <v>5554</v>
      </c>
      <c r="E6583" t="s">
        <v>5555</v>
      </c>
      <c r="F6583" t="s">
        <v>3670</v>
      </c>
      <c r="G6583" t="s">
        <v>16231</v>
      </c>
      <c r="H6583" t="s">
        <v>47054</v>
      </c>
      <c r="I6583" t="s">
        <v>47111</v>
      </c>
      <c r="J6583" t="s">
        <v>47112</v>
      </c>
      <c r="K6583" t="s">
        <v>47113</v>
      </c>
      <c r="L6583">
        <v>66.62</v>
      </c>
      <c r="M6583">
        <v>100</v>
      </c>
      <c r="N6583">
        <v>0</v>
      </c>
      <c r="O6583">
        <v>100</v>
      </c>
      <c r="P6583">
        <v>0</v>
      </c>
    </row>
    <row r="6584" spans="1:16" x14ac:dyDescent="0.25">
      <c r="A6584" t="s">
        <v>14941</v>
      </c>
      <c r="B6584" t="s">
        <v>5556</v>
      </c>
      <c r="C6584" t="s">
        <v>5557</v>
      </c>
      <c r="D6584" t="s">
        <v>5546</v>
      </c>
      <c r="E6584" t="s">
        <v>5547</v>
      </c>
      <c r="F6584" t="s">
        <v>2068</v>
      </c>
      <c r="G6584" t="s">
        <v>16231</v>
      </c>
      <c r="H6584" t="s">
        <v>47054</v>
      </c>
      <c r="I6584" t="s">
        <v>47111</v>
      </c>
      <c r="J6584" t="s">
        <v>47112</v>
      </c>
      <c r="K6584" t="s">
        <v>47113</v>
      </c>
      <c r="L6584">
        <v>50.47</v>
      </c>
      <c r="M6584">
        <v>114</v>
      </c>
      <c r="N6584">
        <v>0</v>
      </c>
      <c r="O6584">
        <v>114</v>
      </c>
      <c r="P6584">
        <v>0</v>
      </c>
    </row>
    <row r="6585" spans="1:16" x14ac:dyDescent="0.25">
      <c r="A6585" t="s">
        <v>28994</v>
      </c>
      <c r="B6585" t="s">
        <v>5558</v>
      </c>
      <c r="C6585" t="s">
        <v>5559</v>
      </c>
      <c r="D6585" t="s">
        <v>5560</v>
      </c>
      <c r="E6585" t="s">
        <v>5561</v>
      </c>
      <c r="F6585" t="s">
        <v>3546</v>
      </c>
      <c r="G6585" t="s">
        <v>16231</v>
      </c>
      <c r="H6585" t="s">
        <v>47054</v>
      </c>
      <c r="I6585" t="s">
        <v>47111</v>
      </c>
      <c r="J6585" t="s">
        <v>47112</v>
      </c>
      <c r="K6585" t="s">
        <v>47113</v>
      </c>
      <c r="L6585">
        <v>66.55</v>
      </c>
      <c r="M6585">
        <v>139</v>
      </c>
      <c r="N6585">
        <v>0</v>
      </c>
      <c r="O6585">
        <v>139</v>
      </c>
      <c r="P6585">
        <v>0</v>
      </c>
    </row>
    <row r="6586" spans="1:16" x14ac:dyDescent="0.25">
      <c r="A6586" t="s">
        <v>28995</v>
      </c>
      <c r="B6586" t="s">
        <v>5562</v>
      </c>
      <c r="C6586" t="s">
        <v>5563</v>
      </c>
      <c r="D6586" t="s">
        <v>5544</v>
      </c>
      <c r="E6586" t="s">
        <v>5545</v>
      </c>
      <c r="F6586" t="s">
        <v>2068</v>
      </c>
      <c r="G6586" t="s">
        <v>16224</v>
      </c>
      <c r="H6586" t="s">
        <v>47054</v>
      </c>
      <c r="I6586" t="s">
        <v>47116</v>
      </c>
      <c r="J6586" t="s">
        <v>47117</v>
      </c>
      <c r="K6586" t="s">
        <v>47113</v>
      </c>
      <c r="L6586">
        <v>41.7</v>
      </c>
      <c r="M6586">
        <v>98</v>
      </c>
      <c r="N6586">
        <v>0</v>
      </c>
      <c r="O6586">
        <v>98</v>
      </c>
      <c r="P6586">
        <v>0</v>
      </c>
    </row>
    <row r="6587" spans="1:16" x14ac:dyDescent="0.25">
      <c r="A6587" t="s">
        <v>28996</v>
      </c>
      <c r="B6587" t="s">
        <v>5564</v>
      </c>
      <c r="C6587" t="s">
        <v>5565</v>
      </c>
      <c r="D6587" t="s">
        <v>721</v>
      </c>
      <c r="E6587" t="s">
        <v>722</v>
      </c>
      <c r="F6587" t="s">
        <v>3750</v>
      </c>
      <c r="G6587" t="s">
        <v>16231</v>
      </c>
      <c r="H6587" t="s">
        <v>47054</v>
      </c>
      <c r="I6587" t="s">
        <v>47116</v>
      </c>
      <c r="J6587" t="s">
        <v>47117</v>
      </c>
      <c r="K6587" t="s">
        <v>47113</v>
      </c>
      <c r="L6587">
        <v>15.31</v>
      </c>
      <c r="M6587">
        <v>68</v>
      </c>
      <c r="N6587">
        <v>0</v>
      </c>
      <c r="O6587">
        <v>68</v>
      </c>
      <c r="P6587">
        <v>0</v>
      </c>
    </row>
    <row r="6588" spans="1:16" x14ac:dyDescent="0.25">
      <c r="A6588" t="s">
        <v>28997</v>
      </c>
      <c r="B6588" t="s">
        <v>16267</v>
      </c>
      <c r="C6588" t="s">
        <v>16268</v>
      </c>
      <c r="D6588" t="s">
        <v>27</v>
      </c>
      <c r="E6588" t="s">
        <v>28</v>
      </c>
      <c r="F6588" t="s">
        <v>3750</v>
      </c>
      <c r="G6588" t="s">
        <v>16231</v>
      </c>
      <c r="H6588" t="s">
        <v>47054</v>
      </c>
      <c r="I6588" t="s">
        <v>47116</v>
      </c>
      <c r="J6588" t="s">
        <v>47117</v>
      </c>
      <c r="K6588" t="s">
        <v>47113</v>
      </c>
      <c r="L6588">
        <v>19.13</v>
      </c>
      <c r="M6588">
        <v>54</v>
      </c>
      <c r="N6588">
        <v>0</v>
      </c>
      <c r="O6588">
        <v>54</v>
      </c>
      <c r="P6588">
        <v>0</v>
      </c>
    </row>
    <row r="6589" spans="1:16" x14ac:dyDescent="0.25">
      <c r="A6589" t="s">
        <v>28998</v>
      </c>
      <c r="B6589" t="s">
        <v>16269</v>
      </c>
      <c r="C6589" t="s">
        <v>16270</v>
      </c>
      <c r="D6589" t="str">
        <f>"1200"</f>
        <v>1200</v>
      </c>
      <c r="E6589" t="s">
        <v>16716</v>
      </c>
      <c r="F6589" t="s">
        <v>3750</v>
      </c>
      <c r="G6589" t="s">
        <v>16231</v>
      </c>
      <c r="H6589" t="s">
        <v>47054</v>
      </c>
      <c r="I6589" t="s">
        <v>47116</v>
      </c>
      <c r="J6589" t="s">
        <v>47117</v>
      </c>
      <c r="K6589" t="s">
        <v>47113</v>
      </c>
      <c r="L6589">
        <v>25.59</v>
      </c>
      <c r="M6589">
        <v>73</v>
      </c>
      <c r="N6589">
        <v>0</v>
      </c>
      <c r="O6589">
        <v>73</v>
      </c>
      <c r="P6589">
        <v>0</v>
      </c>
    </row>
    <row r="6590" spans="1:16" x14ac:dyDescent="0.25">
      <c r="A6590" t="s">
        <v>28999</v>
      </c>
      <c r="B6590" t="s">
        <v>16269</v>
      </c>
      <c r="C6590" t="s">
        <v>16270</v>
      </c>
      <c r="D6590" t="str">
        <f>"6000"</f>
        <v>6000</v>
      </c>
      <c r="E6590" t="s">
        <v>16717</v>
      </c>
      <c r="F6590" t="s">
        <v>3750</v>
      </c>
      <c r="G6590" t="s">
        <v>16231</v>
      </c>
      <c r="H6590" t="s">
        <v>47054</v>
      </c>
      <c r="I6590" t="s">
        <v>47116</v>
      </c>
      <c r="J6590" t="s">
        <v>47117</v>
      </c>
      <c r="K6590" t="s">
        <v>47113</v>
      </c>
      <c r="L6590">
        <v>25.59</v>
      </c>
      <c r="M6590">
        <v>73</v>
      </c>
      <c r="N6590">
        <v>0</v>
      </c>
      <c r="O6590">
        <v>73</v>
      </c>
      <c r="P6590">
        <v>0</v>
      </c>
    </row>
    <row r="6591" spans="1:16" x14ac:dyDescent="0.25">
      <c r="A6591" t="s">
        <v>29000</v>
      </c>
      <c r="B6591" t="s">
        <v>5566</v>
      </c>
      <c r="C6591" t="s">
        <v>5567</v>
      </c>
      <c r="D6591" t="s">
        <v>5568</v>
      </c>
      <c r="E6591" t="s">
        <v>5569</v>
      </c>
      <c r="F6591" t="s">
        <v>3750</v>
      </c>
      <c r="G6591" t="s">
        <v>16231</v>
      </c>
      <c r="H6591" t="s">
        <v>47054</v>
      </c>
      <c r="I6591" t="s">
        <v>47116</v>
      </c>
      <c r="J6591" t="s">
        <v>47117</v>
      </c>
      <c r="K6591" t="s">
        <v>47113</v>
      </c>
      <c r="L6591">
        <v>34.770000000000003</v>
      </c>
      <c r="M6591">
        <v>133</v>
      </c>
      <c r="N6591">
        <v>0</v>
      </c>
      <c r="O6591">
        <v>133</v>
      </c>
      <c r="P6591">
        <v>0</v>
      </c>
    </row>
    <row r="6592" spans="1:16" x14ac:dyDescent="0.25">
      <c r="A6592" t="s">
        <v>29001</v>
      </c>
      <c r="B6592" t="s">
        <v>15209</v>
      </c>
      <c r="C6592" t="s">
        <v>15210</v>
      </c>
      <c r="D6592" t="s">
        <v>15211</v>
      </c>
      <c r="E6592" t="s">
        <v>15212</v>
      </c>
      <c r="F6592" t="s">
        <v>3750</v>
      </c>
      <c r="G6592" t="s">
        <v>16231</v>
      </c>
      <c r="H6592" t="s">
        <v>47054</v>
      </c>
      <c r="I6592" t="s">
        <v>47116</v>
      </c>
      <c r="J6592" t="s">
        <v>47117</v>
      </c>
      <c r="K6592" t="s">
        <v>47113</v>
      </c>
      <c r="L6592">
        <v>23.13</v>
      </c>
      <c r="M6592">
        <v>90</v>
      </c>
      <c r="N6592">
        <v>0</v>
      </c>
      <c r="O6592">
        <v>90</v>
      </c>
      <c r="P6592">
        <v>0</v>
      </c>
    </row>
    <row r="6593" spans="1:16" x14ac:dyDescent="0.25">
      <c r="A6593" t="s">
        <v>29002</v>
      </c>
      <c r="B6593" t="s">
        <v>5570</v>
      </c>
      <c r="C6593" t="s">
        <v>5571</v>
      </c>
      <c r="D6593" t="s">
        <v>5572</v>
      </c>
      <c r="E6593" t="s">
        <v>5573</v>
      </c>
      <c r="F6593" t="s">
        <v>3750</v>
      </c>
      <c r="G6593" t="s">
        <v>16231</v>
      </c>
      <c r="H6593" t="s">
        <v>47054</v>
      </c>
      <c r="I6593" t="s">
        <v>47116</v>
      </c>
      <c r="J6593" t="s">
        <v>47117</v>
      </c>
      <c r="K6593" t="s">
        <v>47113</v>
      </c>
      <c r="L6593">
        <v>18.010000000000002</v>
      </c>
      <c r="M6593">
        <v>68</v>
      </c>
      <c r="N6593">
        <v>0</v>
      </c>
      <c r="O6593">
        <v>68</v>
      </c>
      <c r="P6593">
        <v>0</v>
      </c>
    </row>
    <row r="6594" spans="1:16" x14ac:dyDescent="0.25">
      <c r="A6594" t="s">
        <v>29003</v>
      </c>
      <c r="B6594" t="s">
        <v>5574</v>
      </c>
      <c r="C6594" t="s">
        <v>5483</v>
      </c>
      <c r="D6594" t="s">
        <v>5575</v>
      </c>
      <c r="E6594" t="s">
        <v>5576</v>
      </c>
      <c r="F6594" t="s">
        <v>3750</v>
      </c>
      <c r="G6594" t="s">
        <v>16231</v>
      </c>
      <c r="H6594" t="s">
        <v>47054</v>
      </c>
      <c r="I6594" t="s">
        <v>47116</v>
      </c>
      <c r="J6594" t="s">
        <v>47117</v>
      </c>
      <c r="K6594" t="s">
        <v>47113</v>
      </c>
      <c r="L6594">
        <v>25.13</v>
      </c>
      <c r="M6594">
        <v>97</v>
      </c>
      <c r="N6594">
        <v>0</v>
      </c>
      <c r="O6594">
        <v>97</v>
      </c>
      <c r="P6594">
        <v>0</v>
      </c>
    </row>
    <row r="6595" spans="1:16" x14ac:dyDescent="0.25">
      <c r="A6595" t="s">
        <v>29004</v>
      </c>
      <c r="B6595" t="s">
        <v>5577</v>
      </c>
      <c r="C6595" t="s">
        <v>5578</v>
      </c>
      <c r="D6595" t="s">
        <v>5579</v>
      </c>
      <c r="E6595" t="s">
        <v>5580</v>
      </c>
      <c r="F6595" t="s">
        <v>3750</v>
      </c>
      <c r="G6595" t="s">
        <v>16231</v>
      </c>
      <c r="H6595" t="s">
        <v>47054</v>
      </c>
      <c r="I6595" t="s">
        <v>47116</v>
      </c>
      <c r="J6595" t="s">
        <v>47117</v>
      </c>
      <c r="K6595" t="s">
        <v>47113</v>
      </c>
      <c r="L6595">
        <v>25.13</v>
      </c>
      <c r="M6595">
        <v>97</v>
      </c>
      <c r="N6595">
        <v>0</v>
      </c>
      <c r="O6595">
        <v>97</v>
      </c>
      <c r="P6595">
        <v>0</v>
      </c>
    </row>
    <row r="6596" spans="1:16" x14ac:dyDescent="0.25">
      <c r="A6596" t="s">
        <v>29005</v>
      </c>
      <c r="B6596" t="s">
        <v>19806</v>
      </c>
      <c r="C6596" t="s">
        <v>19807</v>
      </c>
      <c r="D6596" t="str">
        <f>"1001"</f>
        <v>1001</v>
      </c>
      <c r="E6596" t="s">
        <v>42</v>
      </c>
      <c r="F6596" t="s">
        <v>3750</v>
      </c>
      <c r="G6596" t="s">
        <v>16230</v>
      </c>
      <c r="H6596" t="s">
        <v>47054</v>
      </c>
      <c r="I6596" t="s">
        <v>47118</v>
      </c>
      <c r="J6596" t="s">
        <v>47119</v>
      </c>
      <c r="K6596" t="s">
        <v>47113</v>
      </c>
      <c r="L6596">
        <v>14.14</v>
      </c>
      <c r="M6596">
        <v>48</v>
      </c>
      <c r="N6596">
        <v>0</v>
      </c>
      <c r="O6596">
        <v>48</v>
      </c>
      <c r="P6596">
        <v>0</v>
      </c>
    </row>
    <row r="6597" spans="1:16" x14ac:dyDescent="0.25">
      <c r="A6597" t="s">
        <v>29006</v>
      </c>
      <c r="B6597" t="s">
        <v>19806</v>
      </c>
      <c r="C6597" t="s">
        <v>19807</v>
      </c>
      <c r="D6597" t="str">
        <f>"6433"</f>
        <v>6433</v>
      </c>
      <c r="E6597" t="s">
        <v>7168</v>
      </c>
      <c r="F6597" t="s">
        <v>3750</v>
      </c>
      <c r="G6597" t="s">
        <v>16230</v>
      </c>
      <c r="H6597" t="s">
        <v>47054</v>
      </c>
      <c r="I6597" t="s">
        <v>47118</v>
      </c>
      <c r="J6597" t="s">
        <v>47119</v>
      </c>
      <c r="K6597" t="s">
        <v>47113</v>
      </c>
      <c r="L6597">
        <v>14.14</v>
      </c>
      <c r="M6597">
        <v>48</v>
      </c>
      <c r="N6597">
        <v>0</v>
      </c>
      <c r="O6597">
        <v>48</v>
      </c>
      <c r="P6597">
        <v>0</v>
      </c>
    </row>
    <row r="6598" spans="1:16" x14ac:dyDescent="0.25">
      <c r="A6598" t="s">
        <v>29007</v>
      </c>
      <c r="B6598" t="s">
        <v>19808</v>
      </c>
      <c r="C6598" t="s">
        <v>19809</v>
      </c>
      <c r="D6598" t="str">
        <f>"1001"</f>
        <v>1001</v>
      </c>
      <c r="E6598" t="s">
        <v>42</v>
      </c>
      <c r="F6598" t="s">
        <v>3750</v>
      </c>
      <c r="G6598" t="s">
        <v>16230</v>
      </c>
      <c r="H6598" t="s">
        <v>47054</v>
      </c>
      <c r="I6598" t="s">
        <v>47118</v>
      </c>
      <c r="J6598" t="s">
        <v>47119</v>
      </c>
      <c r="K6598" t="s">
        <v>47113</v>
      </c>
      <c r="L6598">
        <v>12.82</v>
      </c>
      <c r="M6598">
        <v>47</v>
      </c>
      <c r="N6598">
        <v>0</v>
      </c>
      <c r="O6598">
        <v>47</v>
      </c>
      <c r="P6598">
        <v>0</v>
      </c>
    </row>
    <row r="6599" spans="1:16" x14ac:dyDescent="0.25">
      <c r="A6599" t="s">
        <v>29008</v>
      </c>
      <c r="B6599" t="s">
        <v>19808</v>
      </c>
      <c r="C6599" t="s">
        <v>19809</v>
      </c>
      <c r="D6599" t="str">
        <f>"1700"</f>
        <v>1700</v>
      </c>
      <c r="E6599" t="s">
        <v>60</v>
      </c>
      <c r="F6599" t="s">
        <v>3750</v>
      </c>
      <c r="G6599" t="s">
        <v>16230</v>
      </c>
      <c r="H6599" t="s">
        <v>47054</v>
      </c>
      <c r="I6599" t="s">
        <v>47118</v>
      </c>
      <c r="J6599" t="s">
        <v>47119</v>
      </c>
      <c r="K6599" t="s">
        <v>47113</v>
      </c>
      <c r="L6599">
        <v>12.82</v>
      </c>
      <c r="M6599">
        <v>47</v>
      </c>
      <c r="N6599">
        <v>0</v>
      </c>
      <c r="O6599">
        <v>47</v>
      </c>
      <c r="P6599">
        <v>0</v>
      </c>
    </row>
    <row r="6600" spans="1:16" x14ac:dyDescent="0.25">
      <c r="A6600" t="s">
        <v>29009</v>
      </c>
      <c r="B6600" t="s">
        <v>5581</v>
      </c>
      <c r="C6600" t="s">
        <v>5582</v>
      </c>
      <c r="D6600" t="str">
        <f>"1100"</f>
        <v>1100</v>
      </c>
      <c r="E6600" t="s">
        <v>54</v>
      </c>
      <c r="F6600" t="s">
        <v>3750</v>
      </c>
      <c r="G6600" t="s">
        <v>16230</v>
      </c>
      <c r="H6600" t="s">
        <v>47054</v>
      </c>
      <c r="I6600" t="s">
        <v>47118</v>
      </c>
      <c r="J6600" t="s">
        <v>47119</v>
      </c>
      <c r="K6600" t="s">
        <v>47113</v>
      </c>
      <c r="L6600">
        <v>15.8</v>
      </c>
      <c r="M6600">
        <v>48</v>
      </c>
      <c r="N6600">
        <v>0</v>
      </c>
      <c r="O6600">
        <v>48</v>
      </c>
      <c r="P6600">
        <v>0</v>
      </c>
    </row>
    <row r="6601" spans="1:16" x14ac:dyDescent="0.25">
      <c r="A6601" t="s">
        <v>29010</v>
      </c>
      <c r="B6601" t="s">
        <v>5581</v>
      </c>
      <c r="C6601" t="s">
        <v>5582</v>
      </c>
      <c r="D6601" t="str">
        <f>"2207"</f>
        <v>2207</v>
      </c>
      <c r="E6601" t="s">
        <v>259</v>
      </c>
      <c r="F6601" t="s">
        <v>3750</v>
      </c>
      <c r="G6601" t="s">
        <v>16230</v>
      </c>
      <c r="H6601" t="s">
        <v>47054</v>
      </c>
      <c r="I6601" t="s">
        <v>47118</v>
      </c>
      <c r="J6601" t="s">
        <v>47119</v>
      </c>
      <c r="K6601" t="s">
        <v>47113</v>
      </c>
      <c r="L6601">
        <v>15.8</v>
      </c>
      <c r="M6601">
        <v>48</v>
      </c>
      <c r="N6601">
        <v>0</v>
      </c>
      <c r="O6601">
        <v>48</v>
      </c>
      <c r="P6601">
        <v>0</v>
      </c>
    </row>
    <row r="6602" spans="1:16" x14ac:dyDescent="0.25">
      <c r="A6602" t="s">
        <v>29011</v>
      </c>
      <c r="B6602" t="s">
        <v>5581</v>
      </c>
      <c r="C6602" t="s">
        <v>5582</v>
      </c>
      <c r="D6602" t="str">
        <f>"4100"</f>
        <v>4100</v>
      </c>
      <c r="E6602" t="s">
        <v>2383</v>
      </c>
      <c r="F6602" t="s">
        <v>3750</v>
      </c>
      <c r="G6602" t="s">
        <v>16230</v>
      </c>
      <c r="H6602" t="s">
        <v>47054</v>
      </c>
      <c r="I6602" t="s">
        <v>47118</v>
      </c>
      <c r="J6602" t="s">
        <v>47119</v>
      </c>
      <c r="K6602" t="s">
        <v>47113</v>
      </c>
      <c r="L6602">
        <v>15.8</v>
      </c>
      <c r="M6602">
        <v>48</v>
      </c>
      <c r="N6602">
        <v>0</v>
      </c>
      <c r="O6602">
        <v>48</v>
      </c>
      <c r="P6602">
        <v>0</v>
      </c>
    </row>
    <row r="6603" spans="1:16" x14ac:dyDescent="0.25">
      <c r="A6603" t="s">
        <v>29012</v>
      </c>
      <c r="B6603" t="s">
        <v>5581</v>
      </c>
      <c r="C6603" t="s">
        <v>5582</v>
      </c>
      <c r="D6603" t="str">
        <f>"4918"</f>
        <v>4918</v>
      </c>
      <c r="E6603" t="s">
        <v>5583</v>
      </c>
      <c r="F6603" t="s">
        <v>3750</v>
      </c>
      <c r="G6603" t="s">
        <v>16230</v>
      </c>
      <c r="H6603" t="s">
        <v>47054</v>
      </c>
      <c r="I6603" t="s">
        <v>47118</v>
      </c>
      <c r="J6603" t="s">
        <v>47119</v>
      </c>
      <c r="K6603" t="s">
        <v>47113</v>
      </c>
      <c r="L6603">
        <v>14.9</v>
      </c>
      <c r="M6603">
        <v>48</v>
      </c>
      <c r="N6603">
        <v>0</v>
      </c>
      <c r="O6603">
        <v>48</v>
      </c>
      <c r="P6603">
        <v>0</v>
      </c>
    </row>
    <row r="6604" spans="1:16" x14ac:dyDescent="0.25">
      <c r="A6604" t="s">
        <v>47446</v>
      </c>
      <c r="B6604" t="s">
        <v>5584</v>
      </c>
      <c r="C6604" t="s">
        <v>16718</v>
      </c>
      <c r="D6604" t="str">
        <f>"1001"</f>
        <v>1001</v>
      </c>
      <c r="E6604" t="s">
        <v>42</v>
      </c>
      <c r="F6604" t="s">
        <v>2068</v>
      </c>
      <c r="G6604" t="s">
        <v>16230</v>
      </c>
      <c r="H6604" t="s">
        <v>47054</v>
      </c>
      <c r="I6604" t="s">
        <v>47118</v>
      </c>
      <c r="J6604" t="s">
        <v>47119</v>
      </c>
      <c r="K6604" t="s">
        <v>47113</v>
      </c>
      <c r="L6604">
        <v>52.26</v>
      </c>
      <c r="M6604">
        <v>92</v>
      </c>
      <c r="N6604">
        <v>249</v>
      </c>
      <c r="O6604">
        <v>92</v>
      </c>
      <c r="P6604">
        <v>249</v>
      </c>
    </row>
    <row r="6605" spans="1:16" x14ac:dyDescent="0.25">
      <c r="A6605" t="s">
        <v>29013</v>
      </c>
      <c r="B6605" t="s">
        <v>5584</v>
      </c>
      <c r="C6605" t="s">
        <v>16718</v>
      </c>
      <c r="D6605" t="str">
        <f>"1024"</f>
        <v>1024</v>
      </c>
      <c r="E6605" t="s">
        <v>717</v>
      </c>
      <c r="F6605" t="s">
        <v>2068</v>
      </c>
      <c r="G6605" t="s">
        <v>16230</v>
      </c>
      <c r="H6605" t="s">
        <v>47054</v>
      </c>
      <c r="I6605" t="s">
        <v>47118</v>
      </c>
      <c r="J6605" t="s">
        <v>47119</v>
      </c>
      <c r="K6605" t="s">
        <v>47113</v>
      </c>
      <c r="L6605">
        <v>15.83</v>
      </c>
      <c r="M6605">
        <v>39</v>
      </c>
      <c r="N6605">
        <v>0</v>
      </c>
      <c r="O6605">
        <v>39</v>
      </c>
      <c r="P6605">
        <v>0</v>
      </c>
    </row>
    <row r="6606" spans="1:16" x14ac:dyDescent="0.25">
      <c r="A6606" t="s">
        <v>47447</v>
      </c>
      <c r="B6606" t="s">
        <v>5584</v>
      </c>
      <c r="C6606" t="s">
        <v>16718</v>
      </c>
      <c r="D6606" t="str">
        <f>"1700"</f>
        <v>1700</v>
      </c>
      <c r="E6606" t="s">
        <v>60</v>
      </c>
      <c r="F6606" t="s">
        <v>2068</v>
      </c>
      <c r="G6606" t="s">
        <v>16230</v>
      </c>
      <c r="H6606" t="s">
        <v>47054</v>
      </c>
      <c r="I6606" t="s">
        <v>47118</v>
      </c>
      <c r="J6606" t="s">
        <v>47119</v>
      </c>
      <c r="K6606" t="s">
        <v>47113</v>
      </c>
      <c r="L6606">
        <v>52.26</v>
      </c>
      <c r="M6606">
        <v>92</v>
      </c>
      <c r="N6606">
        <v>249</v>
      </c>
      <c r="O6606">
        <v>92</v>
      </c>
      <c r="P6606">
        <v>249</v>
      </c>
    </row>
    <row r="6607" spans="1:16" x14ac:dyDescent="0.25">
      <c r="A6607" t="s">
        <v>29014</v>
      </c>
      <c r="B6607" t="s">
        <v>5584</v>
      </c>
      <c r="C6607" t="s">
        <v>16718</v>
      </c>
      <c r="D6607" t="str">
        <f>"1745"</f>
        <v>1745</v>
      </c>
      <c r="E6607" t="s">
        <v>1659</v>
      </c>
      <c r="F6607" t="s">
        <v>2068</v>
      </c>
      <c r="G6607" t="s">
        <v>16230</v>
      </c>
      <c r="H6607" t="s">
        <v>47054</v>
      </c>
      <c r="I6607" t="s">
        <v>47118</v>
      </c>
      <c r="J6607" t="s">
        <v>47119</v>
      </c>
      <c r="K6607" t="s">
        <v>47113</v>
      </c>
      <c r="L6607">
        <v>15.83</v>
      </c>
      <c r="M6607">
        <v>39</v>
      </c>
      <c r="N6607">
        <v>0</v>
      </c>
      <c r="O6607">
        <v>39</v>
      </c>
      <c r="P6607">
        <v>0</v>
      </c>
    </row>
    <row r="6608" spans="1:16" x14ac:dyDescent="0.25">
      <c r="A6608" t="s">
        <v>29015</v>
      </c>
      <c r="B6608" t="s">
        <v>5585</v>
      </c>
      <c r="C6608" t="s">
        <v>5493</v>
      </c>
      <c r="D6608" t="str">
        <f>"4150"</f>
        <v>4150</v>
      </c>
      <c r="E6608" t="s">
        <v>2888</v>
      </c>
      <c r="F6608" t="s">
        <v>2068</v>
      </c>
      <c r="G6608" t="s">
        <v>16230</v>
      </c>
      <c r="H6608" t="s">
        <v>47054</v>
      </c>
      <c r="I6608" t="s">
        <v>47118</v>
      </c>
      <c r="J6608" t="s">
        <v>47119</v>
      </c>
      <c r="K6608" t="s">
        <v>47113</v>
      </c>
      <c r="L6608">
        <v>19.350000000000001</v>
      </c>
      <c r="M6608">
        <v>33</v>
      </c>
      <c r="N6608">
        <v>0</v>
      </c>
      <c r="O6608">
        <v>33</v>
      </c>
      <c r="P6608">
        <v>0</v>
      </c>
    </row>
    <row r="6609" spans="1:16" x14ac:dyDescent="0.25">
      <c r="A6609" t="s">
        <v>29016</v>
      </c>
      <c r="B6609" t="s">
        <v>5586</v>
      </c>
      <c r="C6609" t="s">
        <v>5496</v>
      </c>
      <c r="D6609" t="str">
        <f>"8409"</f>
        <v>8409</v>
      </c>
      <c r="E6609" t="s">
        <v>5587</v>
      </c>
      <c r="F6609" t="s">
        <v>2068</v>
      </c>
      <c r="G6609" t="s">
        <v>16230</v>
      </c>
      <c r="H6609" t="s">
        <v>47054</v>
      </c>
      <c r="I6609" t="s">
        <v>47118</v>
      </c>
      <c r="J6609" t="s">
        <v>47119</v>
      </c>
      <c r="K6609" t="s">
        <v>47113</v>
      </c>
      <c r="L6609">
        <v>13.04</v>
      </c>
      <c r="M6609">
        <v>30</v>
      </c>
      <c r="N6609">
        <v>0</v>
      </c>
      <c r="O6609">
        <v>30</v>
      </c>
      <c r="P6609">
        <v>0</v>
      </c>
    </row>
    <row r="6610" spans="1:16" x14ac:dyDescent="0.25">
      <c r="A6610" t="s">
        <v>29017</v>
      </c>
      <c r="B6610" t="s">
        <v>5588</v>
      </c>
      <c r="C6610" t="s">
        <v>5589</v>
      </c>
      <c r="D6610" t="s">
        <v>5590</v>
      </c>
      <c r="E6610" t="s">
        <v>5591</v>
      </c>
      <c r="F6610" t="s">
        <v>3546</v>
      </c>
      <c r="G6610" t="s">
        <v>16231</v>
      </c>
      <c r="H6610" t="s">
        <v>47054</v>
      </c>
      <c r="I6610" t="s">
        <v>47111</v>
      </c>
      <c r="J6610" t="s">
        <v>47112</v>
      </c>
      <c r="K6610" t="s">
        <v>47113</v>
      </c>
      <c r="L6610">
        <v>37.159999999999997</v>
      </c>
      <c r="M6610">
        <v>91</v>
      </c>
      <c r="N6610">
        <v>0</v>
      </c>
      <c r="O6610">
        <v>91</v>
      </c>
      <c r="P6610">
        <v>0</v>
      </c>
    </row>
    <row r="6611" spans="1:16" x14ac:dyDescent="0.25">
      <c r="A6611" t="s">
        <v>29018</v>
      </c>
      <c r="B6611" t="s">
        <v>5592</v>
      </c>
      <c r="C6611" t="s">
        <v>5593</v>
      </c>
      <c r="D6611" t="s">
        <v>5594</v>
      </c>
      <c r="E6611" t="s">
        <v>5595</v>
      </c>
      <c r="F6611" t="s">
        <v>3546</v>
      </c>
      <c r="G6611" t="s">
        <v>16231</v>
      </c>
      <c r="H6611" t="s">
        <v>47054</v>
      </c>
      <c r="I6611" t="s">
        <v>47111</v>
      </c>
      <c r="J6611" t="s">
        <v>47112</v>
      </c>
      <c r="K6611" t="s">
        <v>47113</v>
      </c>
      <c r="L6611">
        <v>40.119999999999997</v>
      </c>
      <c r="M6611">
        <v>99</v>
      </c>
      <c r="N6611">
        <v>0</v>
      </c>
      <c r="O6611">
        <v>99</v>
      </c>
      <c r="P6611">
        <v>0</v>
      </c>
    </row>
    <row r="6612" spans="1:16" x14ac:dyDescent="0.25">
      <c r="A6612" t="s">
        <v>29019</v>
      </c>
      <c r="B6612" t="s">
        <v>5596</v>
      </c>
      <c r="C6612" t="s">
        <v>5597</v>
      </c>
      <c r="D6612" t="s">
        <v>5594</v>
      </c>
      <c r="E6612" t="s">
        <v>5595</v>
      </c>
      <c r="F6612" t="s">
        <v>3546</v>
      </c>
      <c r="G6612" t="s">
        <v>16231</v>
      </c>
      <c r="H6612" t="s">
        <v>47054</v>
      </c>
      <c r="I6612" t="s">
        <v>47111</v>
      </c>
      <c r="J6612" t="s">
        <v>47112</v>
      </c>
      <c r="K6612" t="s">
        <v>47113</v>
      </c>
      <c r="L6612">
        <v>38.18</v>
      </c>
      <c r="M6612">
        <v>94</v>
      </c>
      <c r="N6612">
        <v>0</v>
      </c>
      <c r="O6612">
        <v>94</v>
      </c>
      <c r="P6612">
        <v>0</v>
      </c>
    </row>
    <row r="6613" spans="1:16" x14ac:dyDescent="0.25">
      <c r="A6613" t="s">
        <v>29020</v>
      </c>
      <c r="B6613" t="s">
        <v>29021</v>
      </c>
      <c r="C6613" t="s">
        <v>19593</v>
      </c>
      <c r="D6613" t="str">
        <f>"6067"</f>
        <v>6067</v>
      </c>
      <c r="E6613" t="s">
        <v>11922</v>
      </c>
      <c r="F6613" t="s">
        <v>20496</v>
      </c>
      <c r="G6613" t="s">
        <v>16230</v>
      </c>
      <c r="H6613" t="s">
        <v>47054</v>
      </c>
      <c r="I6613" t="s">
        <v>47120</v>
      </c>
      <c r="J6613" t="s">
        <v>47121</v>
      </c>
      <c r="K6613" t="s">
        <v>47113</v>
      </c>
      <c r="L6613">
        <v>26.92</v>
      </c>
      <c r="M6613">
        <v>66</v>
      </c>
      <c r="N6613">
        <v>0</v>
      </c>
      <c r="O6613">
        <v>66</v>
      </c>
      <c r="P6613">
        <v>0</v>
      </c>
    </row>
    <row r="6614" spans="1:16" x14ac:dyDescent="0.25">
      <c r="A6614" t="s">
        <v>29022</v>
      </c>
      <c r="B6614" t="s">
        <v>29023</v>
      </c>
      <c r="C6614" t="s">
        <v>19593</v>
      </c>
      <c r="D6614" t="str">
        <f>"2500"</f>
        <v>2500</v>
      </c>
      <c r="E6614" t="s">
        <v>29024</v>
      </c>
      <c r="F6614" t="s">
        <v>21627</v>
      </c>
      <c r="G6614" t="s">
        <v>16230</v>
      </c>
      <c r="H6614" t="s">
        <v>47054</v>
      </c>
      <c r="I6614" t="s">
        <v>47120</v>
      </c>
      <c r="J6614" t="s">
        <v>47121</v>
      </c>
      <c r="K6614" t="s">
        <v>47113</v>
      </c>
      <c r="L6614">
        <v>33.83</v>
      </c>
      <c r="M6614">
        <v>85</v>
      </c>
      <c r="N6614">
        <v>0</v>
      </c>
      <c r="O6614">
        <v>85</v>
      </c>
      <c r="P6614">
        <v>0</v>
      </c>
    </row>
    <row r="6615" spans="1:16" x14ac:dyDescent="0.25">
      <c r="A6615" t="s">
        <v>29025</v>
      </c>
      <c r="B6615" t="s">
        <v>29026</v>
      </c>
      <c r="C6615" t="s">
        <v>29027</v>
      </c>
      <c r="D6615" t="str">
        <f>"4143"</f>
        <v>4143</v>
      </c>
      <c r="E6615" t="s">
        <v>261</v>
      </c>
      <c r="F6615" t="s">
        <v>21629</v>
      </c>
      <c r="G6615" t="s">
        <v>16232</v>
      </c>
      <c r="H6615" t="s">
        <v>47054</v>
      </c>
      <c r="I6615" t="s">
        <v>47120</v>
      </c>
      <c r="J6615" t="s">
        <v>47121</v>
      </c>
      <c r="K6615" t="s">
        <v>47113</v>
      </c>
      <c r="L6615">
        <v>16.38</v>
      </c>
      <c r="M6615">
        <v>44</v>
      </c>
      <c r="N6615">
        <v>0</v>
      </c>
      <c r="O6615">
        <v>44</v>
      </c>
      <c r="P6615">
        <v>0</v>
      </c>
    </row>
    <row r="6616" spans="1:16" x14ac:dyDescent="0.25">
      <c r="A6616" t="s">
        <v>29028</v>
      </c>
      <c r="B6616" t="s">
        <v>29029</v>
      </c>
      <c r="C6616" t="s">
        <v>29030</v>
      </c>
      <c r="D6616" t="str">
        <f>"1106"</f>
        <v>1106</v>
      </c>
      <c r="E6616" t="s">
        <v>460</v>
      </c>
      <c r="F6616" t="s">
        <v>21627</v>
      </c>
      <c r="G6616" t="s">
        <v>16232</v>
      </c>
      <c r="H6616" t="s">
        <v>47054</v>
      </c>
      <c r="I6616" t="s">
        <v>47120</v>
      </c>
      <c r="J6616" t="s">
        <v>47121</v>
      </c>
      <c r="K6616" t="s">
        <v>47113</v>
      </c>
      <c r="L6616">
        <v>14.94</v>
      </c>
      <c r="M6616">
        <v>37</v>
      </c>
      <c r="N6616">
        <v>0</v>
      </c>
      <c r="O6616">
        <v>37</v>
      </c>
      <c r="P6616">
        <v>0</v>
      </c>
    </row>
    <row r="6617" spans="1:16" x14ac:dyDescent="0.25">
      <c r="A6617" t="s">
        <v>29031</v>
      </c>
      <c r="B6617" t="s">
        <v>29029</v>
      </c>
      <c r="C6617" t="s">
        <v>29030</v>
      </c>
      <c r="D6617" t="str">
        <f>"1800"</f>
        <v>1800</v>
      </c>
      <c r="E6617" t="s">
        <v>1999</v>
      </c>
      <c r="F6617" t="s">
        <v>21627</v>
      </c>
      <c r="G6617" t="s">
        <v>16232</v>
      </c>
      <c r="H6617" t="s">
        <v>47054</v>
      </c>
      <c r="I6617" t="s">
        <v>47120</v>
      </c>
      <c r="J6617" t="s">
        <v>47121</v>
      </c>
      <c r="K6617" t="s">
        <v>47113</v>
      </c>
      <c r="L6617">
        <v>14.94</v>
      </c>
      <c r="M6617">
        <v>37</v>
      </c>
      <c r="N6617">
        <v>0</v>
      </c>
      <c r="O6617">
        <v>37</v>
      </c>
      <c r="P6617">
        <v>0</v>
      </c>
    </row>
    <row r="6618" spans="1:16" x14ac:dyDescent="0.25">
      <c r="A6618" t="s">
        <v>29032</v>
      </c>
      <c r="B6618" t="s">
        <v>29033</v>
      </c>
      <c r="C6618" t="s">
        <v>29034</v>
      </c>
      <c r="D6618" t="str">
        <f>"4100"</f>
        <v>4100</v>
      </c>
      <c r="E6618" t="s">
        <v>15303</v>
      </c>
      <c r="F6618" t="s">
        <v>20496</v>
      </c>
      <c r="G6618" t="s">
        <v>16221</v>
      </c>
      <c r="H6618" t="s">
        <v>47054</v>
      </c>
      <c r="I6618" t="s">
        <v>47118</v>
      </c>
      <c r="J6618" t="s">
        <v>47119</v>
      </c>
      <c r="K6618" t="s">
        <v>47113</v>
      </c>
      <c r="L6618">
        <v>16.809999999999999</v>
      </c>
      <c r="M6618">
        <v>41</v>
      </c>
      <c r="N6618">
        <v>0</v>
      </c>
      <c r="O6618">
        <v>41</v>
      </c>
      <c r="P6618">
        <v>0</v>
      </c>
    </row>
    <row r="6619" spans="1:16" x14ac:dyDescent="0.25">
      <c r="A6619" t="s">
        <v>29035</v>
      </c>
      <c r="B6619" t="s">
        <v>29033</v>
      </c>
      <c r="C6619" t="s">
        <v>29034</v>
      </c>
      <c r="D6619" t="str">
        <f>"6067"</f>
        <v>6067</v>
      </c>
      <c r="E6619" t="s">
        <v>11922</v>
      </c>
      <c r="F6619" t="s">
        <v>20496</v>
      </c>
      <c r="G6619" t="s">
        <v>16221</v>
      </c>
      <c r="H6619" t="s">
        <v>47054</v>
      </c>
      <c r="I6619" t="s">
        <v>47118</v>
      </c>
      <c r="J6619" t="s">
        <v>47119</v>
      </c>
      <c r="K6619" t="s">
        <v>47113</v>
      </c>
      <c r="L6619">
        <v>16.809999999999999</v>
      </c>
      <c r="M6619">
        <v>41</v>
      </c>
      <c r="N6619">
        <v>0</v>
      </c>
      <c r="O6619">
        <v>41</v>
      </c>
      <c r="P6619">
        <v>0</v>
      </c>
    </row>
    <row r="6620" spans="1:16" x14ac:dyDescent="0.25">
      <c r="A6620" t="s">
        <v>29036</v>
      </c>
      <c r="B6620" t="s">
        <v>29037</v>
      </c>
      <c r="C6620" t="s">
        <v>29038</v>
      </c>
      <c r="D6620" t="str">
        <f>"1557"</f>
        <v>1557</v>
      </c>
      <c r="E6620" t="s">
        <v>29039</v>
      </c>
      <c r="F6620" t="s">
        <v>20496</v>
      </c>
      <c r="G6620" t="s">
        <v>16221</v>
      </c>
      <c r="H6620" t="s">
        <v>47054</v>
      </c>
      <c r="I6620" t="s">
        <v>47120</v>
      </c>
      <c r="J6620" t="s">
        <v>47121</v>
      </c>
      <c r="K6620" t="s">
        <v>47113</v>
      </c>
      <c r="L6620">
        <v>15.59</v>
      </c>
      <c r="M6620">
        <v>41</v>
      </c>
      <c r="N6620">
        <v>0</v>
      </c>
      <c r="O6620">
        <v>41</v>
      </c>
      <c r="P6620">
        <v>0</v>
      </c>
    </row>
    <row r="6621" spans="1:16" x14ac:dyDescent="0.25">
      <c r="A6621" t="s">
        <v>29040</v>
      </c>
      <c r="B6621" t="s">
        <v>29041</v>
      </c>
      <c r="C6621" t="s">
        <v>29042</v>
      </c>
      <c r="D6621" t="str">
        <f>"1800"</f>
        <v>1800</v>
      </c>
      <c r="E6621" t="s">
        <v>1999</v>
      </c>
      <c r="F6621" t="s">
        <v>20496</v>
      </c>
      <c r="G6621" t="s">
        <v>16221</v>
      </c>
      <c r="H6621" t="s">
        <v>47054</v>
      </c>
      <c r="I6621" t="s">
        <v>47118</v>
      </c>
      <c r="J6621" t="s">
        <v>47119</v>
      </c>
      <c r="K6621" t="s">
        <v>47113</v>
      </c>
      <c r="L6621">
        <v>16.78</v>
      </c>
      <c r="M6621">
        <v>44</v>
      </c>
      <c r="N6621">
        <v>0</v>
      </c>
      <c r="O6621">
        <v>44</v>
      </c>
      <c r="P6621">
        <v>0</v>
      </c>
    </row>
    <row r="6622" spans="1:16" x14ac:dyDescent="0.25">
      <c r="A6622" t="s">
        <v>29043</v>
      </c>
      <c r="B6622" t="s">
        <v>29044</v>
      </c>
      <c r="C6622" t="s">
        <v>29045</v>
      </c>
      <c r="D6622" t="str">
        <f>"1101"</f>
        <v>1101</v>
      </c>
      <c r="E6622" t="s">
        <v>17350</v>
      </c>
      <c r="F6622" t="s">
        <v>20496</v>
      </c>
      <c r="G6622" t="s">
        <v>16221</v>
      </c>
      <c r="H6622" t="s">
        <v>47054</v>
      </c>
      <c r="I6622" t="s">
        <v>47118</v>
      </c>
      <c r="J6622" t="s">
        <v>47119</v>
      </c>
      <c r="K6622" t="s">
        <v>47113</v>
      </c>
      <c r="L6622">
        <v>18.399999999999999</v>
      </c>
      <c r="M6622">
        <v>41</v>
      </c>
      <c r="N6622">
        <v>0</v>
      </c>
      <c r="O6622">
        <v>41</v>
      </c>
      <c r="P6622">
        <v>0</v>
      </c>
    </row>
    <row r="6623" spans="1:16" x14ac:dyDescent="0.25">
      <c r="A6623" t="s">
        <v>29046</v>
      </c>
      <c r="B6623" t="s">
        <v>29044</v>
      </c>
      <c r="C6623" t="s">
        <v>29045</v>
      </c>
      <c r="D6623" t="str">
        <f>"6067"</f>
        <v>6067</v>
      </c>
      <c r="E6623" t="s">
        <v>11922</v>
      </c>
      <c r="F6623" t="s">
        <v>20496</v>
      </c>
      <c r="G6623" t="s">
        <v>16221</v>
      </c>
      <c r="H6623" t="s">
        <v>47054</v>
      </c>
      <c r="I6623" t="s">
        <v>47118</v>
      </c>
      <c r="J6623" t="s">
        <v>47119</v>
      </c>
      <c r="K6623" t="s">
        <v>47113</v>
      </c>
      <c r="L6623">
        <v>18.399999999999999</v>
      </c>
      <c r="M6623">
        <v>41</v>
      </c>
      <c r="N6623">
        <v>0</v>
      </c>
      <c r="O6623">
        <v>41</v>
      </c>
      <c r="P6623">
        <v>0</v>
      </c>
    </row>
    <row r="6624" spans="1:16" x14ac:dyDescent="0.25">
      <c r="A6624" t="s">
        <v>29047</v>
      </c>
      <c r="B6624" t="s">
        <v>29048</v>
      </c>
      <c r="C6624" t="s">
        <v>29049</v>
      </c>
      <c r="D6624" t="str">
        <f>"1101"</f>
        <v>1101</v>
      </c>
      <c r="E6624" t="s">
        <v>17350</v>
      </c>
      <c r="F6624" t="s">
        <v>20496</v>
      </c>
      <c r="G6624" t="s">
        <v>16221</v>
      </c>
      <c r="H6624" t="s">
        <v>47054</v>
      </c>
      <c r="I6624" t="s">
        <v>47118</v>
      </c>
      <c r="J6624" t="s">
        <v>47119</v>
      </c>
      <c r="K6624" t="s">
        <v>47113</v>
      </c>
      <c r="L6624">
        <v>15.91</v>
      </c>
      <c r="M6624">
        <v>41</v>
      </c>
      <c r="N6624">
        <v>0</v>
      </c>
      <c r="O6624">
        <v>41</v>
      </c>
      <c r="P6624">
        <v>0</v>
      </c>
    </row>
    <row r="6625" spans="1:16" x14ac:dyDescent="0.25">
      <c r="A6625" t="s">
        <v>29050</v>
      </c>
      <c r="B6625" t="s">
        <v>29051</v>
      </c>
      <c r="C6625" t="s">
        <v>29052</v>
      </c>
      <c r="D6625" t="str">
        <f>"1101"</f>
        <v>1101</v>
      </c>
      <c r="E6625" t="s">
        <v>17350</v>
      </c>
      <c r="F6625" t="s">
        <v>20496</v>
      </c>
      <c r="G6625" t="s">
        <v>16221</v>
      </c>
      <c r="H6625" t="s">
        <v>47054</v>
      </c>
      <c r="I6625" t="s">
        <v>47118</v>
      </c>
      <c r="J6625" t="s">
        <v>47119</v>
      </c>
      <c r="K6625" t="s">
        <v>47113</v>
      </c>
      <c r="L6625">
        <v>17.34</v>
      </c>
      <c r="M6625">
        <v>41</v>
      </c>
      <c r="N6625">
        <v>0</v>
      </c>
      <c r="O6625">
        <v>41</v>
      </c>
      <c r="P6625">
        <v>0</v>
      </c>
    </row>
    <row r="6626" spans="1:16" x14ac:dyDescent="0.25">
      <c r="A6626" t="s">
        <v>29053</v>
      </c>
      <c r="B6626" t="s">
        <v>29051</v>
      </c>
      <c r="C6626" t="s">
        <v>29052</v>
      </c>
      <c r="D6626" t="str">
        <f>"1496"</f>
        <v>1496</v>
      </c>
      <c r="E6626" t="s">
        <v>29054</v>
      </c>
      <c r="F6626" t="s">
        <v>20496</v>
      </c>
      <c r="G6626" t="s">
        <v>16221</v>
      </c>
      <c r="H6626" t="s">
        <v>47054</v>
      </c>
      <c r="I6626" t="s">
        <v>47118</v>
      </c>
      <c r="J6626" t="s">
        <v>47119</v>
      </c>
      <c r="K6626" t="s">
        <v>47113</v>
      </c>
      <c r="L6626">
        <v>17.34</v>
      </c>
      <c r="M6626">
        <v>41</v>
      </c>
      <c r="N6626">
        <v>0</v>
      </c>
      <c r="O6626">
        <v>41</v>
      </c>
      <c r="P6626">
        <v>0</v>
      </c>
    </row>
    <row r="6627" spans="1:16" x14ac:dyDescent="0.25">
      <c r="A6627" t="s">
        <v>29055</v>
      </c>
      <c r="B6627" t="s">
        <v>29056</v>
      </c>
      <c r="C6627" t="s">
        <v>29057</v>
      </c>
      <c r="D6627" t="str">
        <f>"1101"</f>
        <v>1101</v>
      </c>
      <c r="E6627" t="s">
        <v>17350</v>
      </c>
      <c r="F6627" t="s">
        <v>20496</v>
      </c>
      <c r="G6627" t="s">
        <v>16221</v>
      </c>
      <c r="H6627" t="s">
        <v>47054</v>
      </c>
      <c r="I6627" t="s">
        <v>47118</v>
      </c>
      <c r="J6627" t="s">
        <v>47119</v>
      </c>
      <c r="K6627" t="s">
        <v>47113</v>
      </c>
      <c r="L6627">
        <v>15.39</v>
      </c>
      <c r="M6627">
        <v>33</v>
      </c>
      <c r="N6627">
        <v>0</v>
      </c>
      <c r="O6627">
        <v>33</v>
      </c>
      <c r="P6627">
        <v>0</v>
      </c>
    </row>
    <row r="6628" spans="1:16" x14ac:dyDescent="0.25">
      <c r="A6628" t="s">
        <v>29058</v>
      </c>
      <c r="B6628" t="s">
        <v>29056</v>
      </c>
      <c r="C6628" t="s">
        <v>29057</v>
      </c>
      <c r="D6628" t="str">
        <f>"1800"</f>
        <v>1800</v>
      </c>
      <c r="E6628" t="s">
        <v>29059</v>
      </c>
      <c r="F6628" t="s">
        <v>20496</v>
      </c>
      <c r="G6628" t="s">
        <v>16221</v>
      </c>
      <c r="H6628" t="s">
        <v>47054</v>
      </c>
      <c r="I6628" t="s">
        <v>47118</v>
      </c>
      <c r="J6628" t="s">
        <v>47119</v>
      </c>
      <c r="K6628" t="s">
        <v>47113</v>
      </c>
      <c r="L6628">
        <v>15.39</v>
      </c>
      <c r="M6628">
        <v>33</v>
      </c>
      <c r="N6628">
        <v>0</v>
      </c>
      <c r="O6628">
        <v>33</v>
      </c>
      <c r="P6628">
        <v>0</v>
      </c>
    </row>
    <row r="6629" spans="1:16" x14ac:dyDescent="0.25">
      <c r="A6629" t="s">
        <v>29060</v>
      </c>
      <c r="B6629" t="s">
        <v>29061</v>
      </c>
      <c r="C6629" t="s">
        <v>29062</v>
      </c>
      <c r="D6629" t="str">
        <f>"1800"</f>
        <v>1800</v>
      </c>
      <c r="E6629" t="s">
        <v>29059</v>
      </c>
      <c r="F6629" t="s">
        <v>21629</v>
      </c>
      <c r="G6629" t="s">
        <v>16221</v>
      </c>
      <c r="H6629" t="s">
        <v>47054</v>
      </c>
      <c r="I6629" t="s">
        <v>47118</v>
      </c>
      <c r="J6629" t="s">
        <v>47119</v>
      </c>
      <c r="K6629" t="s">
        <v>47113</v>
      </c>
      <c r="L6629">
        <v>14.47</v>
      </c>
      <c r="M6629">
        <v>33</v>
      </c>
      <c r="N6629">
        <v>0</v>
      </c>
      <c r="O6629">
        <v>33</v>
      </c>
      <c r="P6629">
        <v>0</v>
      </c>
    </row>
    <row r="6630" spans="1:16" x14ac:dyDescent="0.25">
      <c r="A6630" t="s">
        <v>29063</v>
      </c>
      <c r="B6630" t="s">
        <v>29061</v>
      </c>
      <c r="C6630" t="s">
        <v>29062</v>
      </c>
      <c r="D6630" t="str">
        <f>"4100"</f>
        <v>4100</v>
      </c>
      <c r="E6630" t="s">
        <v>15303</v>
      </c>
      <c r="F6630" t="s">
        <v>21629</v>
      </c>
      <c r="G6630" t="s">
        <v>16221</v>
      </c>
      <c r="H6630" t="s">
        <v>47054</v>
      </c>
      <c r="I6630" t="s">
        <v>47118</v>
      </c>
      <c r="J6630" t="s">
        <v>47119</v>
      </c>
      <c r="K6630" t="s">
        <v>47113</v>
      </c>
      <c r="L6630">
        <v>14.47</v>
      </c>
      <c r="M6630">
        <v>33</v>
      </c>
      <c r="N6630">
        <v>0</v>
      </c>
      <c r="O6630">
        <v>33</v>
      </c>
      <c r="P6630">
        <v>0</v>
      </c>
    </row>
    <row r="6631" spans="1:16" x14ac:dyDescent="0.25">
      <c r="A6631" t="s">
        <v>29064</v>
      </c>
      <c r="B6631" t="s">
        <v>29065</v>
      </c>
      <c r="C6631" t="s">
        <v>20961</v>
      </c>
      <c r="D6631" t="str">
        <f>"1106"</f>
        <v>1106</v>
      </c>
      <c r="E6631" t="s">
        <v>42</v>
      </c>
      <c r="F6631" t="s">
        <v>21627</v>
      </c>
      <c r="G6631" t="s">
        <v>16221</v>
      </c>
      <c r="H6631" t="s">
        <v>47054</v>
      </c>
      <c r="I6631" t="s">
        <v>47154</v>
      </c>
      <c r="J6631" t="s">
        <v>47155</v>
      </c>
      <c r="K6631" t="s">
        <v>47113</v>
      </c>
      <c r="L6631">
        <v>8</v>
      </c>
      <c r="M6631">
        <v>26</v>
      </c>
      <c r="N6631">
        <v>0</v>
      </c>
      <c r="O6631">
        <v>26</v>
      </c>
      <c r="P6631">
        <v>0</v>
      </c>
    </row>
    <row r="6632" spans="1:16" x14ac:dyDescent="0.25">
      <c r="A6632" t="s">
        <v>29066</v>
      </c>
      <c r="B6632" t="s">
        <v>29065</v>
      </c>
      <c r="C6632" t="s">
        <v>20961</v>
      </c>
      <c r="D6632" t="str">
        <f>"1800"</f>
        <v>1800</v>
      </c>
      <c r="E6632" t="s">
        <v>1999</v>
      </c>
      <c r="F6632" t="s">
        <v>21627</v>
      </c>
      <c r="G6632" t="s">
        <v>16221</v>
      </c>
      <c r="H6632" t="s">
        <v>47054</v>
      </c>
      <c r="I6632" t="s">
        <v>47154</v>
      </c>
      <c r="J6632" t="s">
        <v>47155</v>
      </c>
      <c r="K6632" t="s">
        <v>47113</v>
      </c>
      <c r="L6632">
        <v>8</v>
      </c>
      <c r="M6632">
        <v>26</v>
      </c>
      <c r="N6632">
        <v>0</v>
      </c>
      <c r="O6632">
        <v>26</v>
      </c>
      <c r="P6632">
        <v>0</v>
      </c>
    </row>
    <row r="6633" spans="1:16" x14ac:dyDescent="0.25">
      <c r="A6633" t="s">
        <v>29067</v>
      </c>
      <c r="B6633" t="s">
        <v>29068</v>
      </c>
      <c r="C6633" t="s">
        <v>29069</v>
      </c>
      <c r="D6633" t="str">
        <f>"1101"</f>
        <v>1101</v>
      </c>
      <c r="E6633" t="s">
        <v>17350</v>
      </c>
      <c r="F6633" t="s">
        <v>21627</v>
      </c>
      <c r="G6633" t="s">
        <v>16221</v>
      </c>
      <c r="H6633" t="s">
        <v>47054</v>
      </c>
      <c r="I6633" t="s">
        <v>47154</v>
      </c>
      <c r="J6633" t="s">
        <v>47155</v>
      </c>
      <c r="K6633" t="s">
        <v>47113</v>
      </c>
      <c r="L6633">
        <v>7.75</v>
      </c>
      <c r="M6633">
        <v>26</v>
      </c>
      <c r="N6633">
        <v>0</v>
      </c>
      <c r="O6633">
        <v>26</v>
      </c>
      <c r="P6633">
        <v>0</v>
      </c>
    </row>
    <row r="6634" spans="1:16" x14ac:dyDescent="0.25">
      <c r="A6634" t="s">
        <v>29070</v>
      </c>
      <c r="B6634" t="s">
        <v>29071</v>
      </c>
      <c r="C6634" t="s">
        <v>29072</v>
      </c>
      <c r="D6634" t="str">
        <f>"1106"</f>
        <v>1106</v>
      </c>
      <c r="E6634" t="s">
        <v>17350</v>
      </c>
      <c r="F6634" t="s">
        <v>21629</v>
      </c>
      <c r="G6634" t="s">
        <v>16221</v>
      </c>
      <c r="H6634" t="s">
        <v>47054</v>
      </c>
      <c r="I6634" t="s">
        <v>47154</v>
      </c>
      <c r="J6634" t="s">
        <v>47155</v>
      </c>
      <c r="K6634" t="s">
        <v>47113</v>
      </c>
      <c r="L6634">
        <v>8</v>
      </c>
      <c r="M6634">
        <v>26</v>
      </c>
      <c r="N6634">
        <v>0</v>
      </c>
      <c r="O6634">
        <v>26</v>
      </c>
      <c r="P6634">
        <v>0</v>
      </c>
    </row>
    <row r="6635" spans="1:16" x14ac:dyDescent="0.25">
      <c r="A6635" t="s">
        <v>29073</v>
      </c>
      <c r="B6635" t="s">
        <v>29074</v>
      </c>
      <c r="C6635" t="s">
        <v>29075</v>
      </c>
      <c r="D6635" t="str">
        <f>"1106"</f>
        <v>1106</v>
      </c>
      <c r="E6635" t="s">
        <v>42</v>
      </c>
      <c r="F6635" t="s">
        <v>20496</v>
      </c>
      <c r="G6635" t="s">
        <v>16221</v>
      </c>
      <c r="H6635" t="s">
        <v>47054</v>
      </c>
      <c r="I6635" t="s">
        <v>47154</v>
      </c>
      <c r="J6635" t="s">
        <v>47155</v>
      </c>
      <c r="K6635" t="s">
        <v>47113</v>
      </c>
      <c r="L6635">
        <v>12.04</v>
      </c>
      <c r="M6635">
        <v>26</v>
      </c>
      <c r="N6635">
        <v>0</v>
      </c>
      <c r="O6635">
        <v>26</v>
      </c>
      <c r="P6635">
        <v>0</v>
      </c>
    </row>
    <row r="6636" spans="1:16" x14ac:dyDescent="0.25">
      <c r="A6636" t="s">
        <v>29076</v>
      </c>
      <c r="B6636" t="s">
        <v>29074</v>
      </c>
      <c r="C6636" t="s">
        <v>29075</v>
      </c>
      <c r="D6636" t="str">
        <f>"1800"</f>
        <v>1800</v>
      </c>
      <c r="E6636" t="s">
        <v>1999</v>
      </c>
      <c r="F6636" t="s">
        <v>20496</v>
      </c>
      <c r="G6636" t="s">
        <v>16221</v>
      </c>
      <c r="H6636" t="s">
        <v>47054</v>
      </c>
      <c r="I6636" t="s">
        <v>47154</v>
      </c>
      <c r="J6636" t="s">
        <v>47155</v>
      </c>
      <c r="K6636" t="s">
        <v>47113</v>
      </c>
      <c r="L6636">
        <v>12.04</v>
      </c>
      <c r="M6636">
        <v>26</v>
      </c>
      <c r="N6636">
        <v>0</v>
      </c>
      <c r="O6636">
        <v>26</v>
      </c>
      <c r="P6636">
        <v>0</v>
      </c>
    </row>
    <row r="6637" spans="1:16" x14ac:dyDescent="0.25">
      <c r="A6637" t="s">
        <v>29077</v>
      </c>
      <c r="B6637" t="s">
        <v>29078</v>
      </c>
      <c r="C6637" t="s">
        <v>29079</v>
      </c>
      <c r="D6637" t="str">
        <f>"1106"</f>
        <v>1106</v>
      </c>
      <c r="E6637" t="s">
        <v>42</v>
      </c>
      <c r="F6637" t="s">
        <v>20496</v>
      </c>
      <c r="G6637" t="s">
        <v>16221</v>
      </c>
      <c r="H6637" t="s">
        <v>47054</v>
      </c>
      <c r="I6637" t="s">
        <v>47154</v>
      </c>
      <c r="J6637" t="s">
        <v>47155</v>
      </c>
      <c r="K6637" t="s">
        <v>47113</v>
      </c>
      <c r="L6637">
        <v>7.42</v>
      </c>
      <c r="M6637">
        <v>26</v>
      </c>
      <c r="N6637">
        <v>0</v>
      </c>
      <c r="O6637">
        <v>26</v>
      </c>
      <c r="P6637">
        <v>0</v>
      </c>
    </row>
    <row r="6638" spans="1:16" x14ac:dyDescent="0.25">
      <c r="A6638" t="s">
        <v>29080</v>
      </c>
      <c r="B6638" t="s">
        <v>29078</v>
      </c>
      <c r="C6638" t="s">
        <v>29079</v>
      </c>
      <c r="D6638" t="str">
        <f>"1800"</f>
        <v>1800</v>
      </c>
      <c r="E6638" t="s">
        <v>29059</v>
      </c>
      <c r="F6638" t="s">
        <v>20496</v>
      </c>
      <c r="G6638" t="s">
        <v>16221</v>
      </c>
      <c r="H6638" t="s">
        <v>47054</v>
      </c>
      <c r="I6638" t="s">
        <v>47154</v>
      </c>
      <c r="J6638" t="s">
        <v>47155</v>
      </c>
      <c r="K6638" t="s">
        <v>47113</v>
      </c>
      <c r="L6638">
        <v>7.42</v>
      </c>
      <c r="M6638">
        <v>26</v>
      </c>
      <c r="N6638">
        <v>0</v>
      </c>
      <c r="O6638">
        <v>26</v>
      </c>
      <c r="P6638">
        <v>0</v>
      </c>
    </row>
    <row r="6639" spans="1:16" x14ac:dyDescent="0.25">
      <c r="A6639" t="s">
        <v>29081</v>
      </c>
      <c r="B6639" t="s">
        <v>29082</v>
      </c>
      <c r="C6639" t="s">
        <v>29083</v>
      </c>
      <c r="D6639" t="str">
        <f>"1101"</f>
        <v>1101</v>
      </c>
      <c r="E6639" t="s">
        <v>17350</v>
      </c>
      <c r="F6639" t="s">
        <v>21629</v>
      </c>
      <c r="G6639" t="s">
        <v>16221</v>
      </c>
      <c r="H6639" t="s">
        <v>47054</v>
      </c>
      <c r="I6639" t="s">
        <v>47154</v>
      </c>
      <c r="J6639" t="s">
        <v>47155</v>
      </c>
      <c r="K6639" t="s">
        <v>47113</v>
      </c>
      <c r="L6639">
        <v>11.37</v>
      </c>
      <c r="M6639">
        <v>33</v>
      </c>
      <c r="N6639">
        <v>0</v>
      </c>
      <c r="O6639">
        <v>33</v>
      </c>
      <c r="P6639">
        <v>0</v>
      </c>
    </row>
    <row r="6640" spans="1:16" x14ac:dyDescent="0.25">
      <c r="A6640" t="s">
        <v>29084</v>
      </c>
      <c r="B6640" t="s">
        <v>29082</v>
      </c>
      <c r="C6640" t="s">
        <v>29083</v>
      </c>
      <c r="D6640" t="str">
        <f>"1800"</f>
        <v>1800</v>
      </c>
      <c r="E6640" t="s">
        <v>1999</v>
      </c>
      <c r="F6640" t="s">
        <v>21629</v>
      </c>
      <c r="G6640" t="s">
        <v>16221</v>
      </c>
      <c r="H6640" t="s">
        <v>47054</v>
      </c>
      <c r="I6640" t="s">
        <v>47154</v>
      </c>
      <c r="J6640" t="s">
        <v>47155</v>
      </c>
      <c r="K6640" t="s">
        <v>47113</v>
      </c>
      <c r="L6640">
        <v>11.37</v>
      </c>
      <c r="M6640">
        <v>33</v>
      </c>
      <c r="N6640">
        <v>0</v>
      </c>
      <c r="O6640">
        <v>33</v>
      </c>
      <c r="P6640">
        <v>0</v>
      </c>
    </row>
    <row r="6641" spans="1:16" x14ac:dyDescent="0.25">
      <c r="A6641" t="s">
        <v>29085</v>
      </c>
      <c r="B6641" t="s">
        <v>29086</v>
      </c>
      <c r="C6641" t="s">
        <v>29087</v>
      </c>
      <c r="D6641" t="str">
        <f>"1800"</f>
        <v>1800</v>
      </c>
      <c r="E6641" t="s">
        <v>1999</v>
      </c>
      <c r="F6641" t="s">
        <v>21629</v>
      </c>
      <c r="G6641" t="s">
        <v>16221</v>
      </c>
      <c r="H6641" t="s">
        <v>47054</v>
      </c>
      <c r="I6641" t="s">
        <v>47154</v>
      </c>
      <c r="J6641" t="s">
        <v>47155</v>
      </c>
      <c r="K6641" t="s">
        <v>47113</v>
      </c>
      <c r="L6641">
        <v>9.8800000000000008</v>
      </c>
      <c r="M6641">
        <v>26</v>
      </c>
      <c r="N6641">
        <v>0</v>
      </c>
      <c r="O6641">
        <v>26</v>
      </c>
      <c r="P6641">
        <v>0</v>
      </c>
    </row>
    <row r="6642" spans="1:16" x14ac:dyDescent="0.25">
      <c r="A6642" t="s">
        <v>22683</v>
      </c>
      <c r="B6642" t="s">
        <v>22684</v>
      </c>
      <c r="C6642" t="s">
        <v>22685</v>
      </c>
      <c r="D6642" t="str">
        <f>"1106"</f>
        <v>1106</v>
      </c>
      <c r="E6642" t="s">
        <v>17350</v>
      </c>
      <c r="F6642" t="s">
        <v>20496</v>
      </c>
      <c r="G6642" t="s">
        <v>16221</v>
      </c>
      <c r="H6642" t="s">
        <v>47054</v>
      </c>
      <c r="I6642" t="s">
        <v>47154</v>
      </c>
      <c r="J6642" t="s">
        <v>47155</v>
      </c>
      <c r="K6642" t="s">
        <v>47113</v>
      </c>
      <c r="L6642">
        <v>8.77</v>
      </c>
      <c r="M6642">
        <v>26</v>
      </c>
      <c r="N6642">
        <v>0</v>
      </c>
      <c r="O6642">
        <v>26</v>
      </c>
      <c r="P6642">
        <v>0</v>
      </c>
    </row>
    <row r="6643" spans="1:16" x14ac:dyDescent="0.25">
      <c r="A6643" t="s">
        <v>29088</v>
      </c>
      <c r="B6643" t="s">
        <v>22684</v>
      </c>
      <c r="C6643" t="s">
        <v>22685</v>
      </c>
      <c r="D6643" t="str">
        <f>"1501"</f>
        <v>1501</v>
      </c>
      <c r="E6643" t="s">
        <v>46</v>
      </c>
      <c r="F6643" t="s">
        <v>20496</v>
      </c>
      <c r="G6643" t="s">
        <v>16221</v>
      </c>
      <c r="H6643" t="s">
        <v>47054</v>
      </c>
      <c r="I6643" t="s">
        <v>47154</v>
      </c>
      <c r="J6643" t="s">
        <v>47155</v>
      </c>
      <c r="K6643" t="s">
        <v>47113</v>
      </c>
      <c r="L6643">
        <v>8.77</v>
      </c>
      <c r="M6643">
        <v>26</v>
      </c>
      <c r="N6643">
        <v>0</v>
      </c>
      <c r="O6643">
        <v>26</v>
      </c>
      <c r="P6643">
        <v>0</v>
      </c>
    </row>
    <row r="6644" spans="1:16" x14ac:dyDescent="0.25">
      <c r="A6644" t="s">
        <v>29089</v>
      </c>
      <c r="B6644" t="s">
        <v>29090</v>
      </c>
      <c r="C6644" t="s">
        <v>29091</v>
      </c>
      <c r="D6644" t="str">
        <f>"4143"</f>
        <v>4143</v>
      </c>
      <c r="E6644" t="s">
        <v>261</v>
      </c>
      <c r="F6644" t="s">
        <v>21629</v>
      </c>
      <c r="G6644" t="s">
        <v>16221</v>
      </c>
      <c r="H6644" t="s">
        <v>47054</v>
      </c>
      <c r="I6644" t="s">
        <v>47120</v>
      </c>
      <c r="J6644" t="s">
        <v>47121</v>
      </c>
      <c r="K6644" t="s">
        <v>47113</v>
      </c>
      <c r="L6644">
        <v>19.03</v>
      </c>
      <c r="M6644">
        <v>44</v>
      </c>
      <c r="N6644">
        <v>0</v>
      </c>
      <c r="O6644">
        <v>44</v>
      </c>
      <c r="P6644">
        <v>0</v>
      </c>
    </row>
    <row r="6645" spans="1:16" x14ac:dyDescent="0.25">
      <c r="A6645" t="s">
        <v>29092</v>
      </c>
      <c r="B6645" t="s">
        <v>29093</v>
      </c>
      <c r="C6645" t="s">
        <v>16875</v>
      </c>
      <c r="D6645" t="str">
        <f>"1001"</f>
        <v>1001</v>
      </c>
      <c r="E6645" t="s">
        <v>42</v>
      </c>
      <c r="F6645" t="s">
        <v>20496</v>
      </c>
      <c r="G6645" t="s">
        <v>16221</v>
      </c>
      <c r="H6645" t="s">
        <v>47054</v>
      </c>
      <c r="I6645" t="s">
        <v>47120</v>
      </c>
      <c r="J6645" t="s">
        <v>47121</v>
      </c>
      <c r="K6645" t="s">
        <v>47113</v>
      </c>
      <c r="L6645">
        <v>13.01</v>
      </c>
      <c r="M6645">
        <v>33</v>
      </c>
      <c r="N6645">
        <v>0</v>
      </c>
      <c r="O6645">
        <v>33</v>
      </c>
      <c r="P6645">
        <v>0</v>
      </c>
    </row>
    <row r="6646" spans="1:16" x14ac:dyDescent="0.25">
      <c r="A6646" t="s">
        <v>29094</v>
      </c>
      <c r="B6646" t="s">
        <v>29093</v>
      </c>
      <c r="C6646" t="s">
        <v>16875</v>
      </c>
      <c r="D6646" t="str">
        <f>"4168"</f>
        <v>4168</v>
      </c>
      <c r="E6646" t="s">
        <v>4175</v>
      </c>
      <c r="F6646" t="s">
        <v>20496</v>
      </c>
      <c r="G6646" t="s">
        <v>16221</v>
      </c>
      <c r="H6646" t="s">
        <v>47054</v>
      </c>
      <c r="I6646" t="s">
        <v>47120</v>
      </c>
      <c r="J6646" t="s">
        <v>47121</v>
      </c>
      <c r="K6646" t="s">
        <v>47113</v>
      </c>
      <c r="L6646">
        <v>13.01</v>
      </c>
      <c r="M6646">
        <v>33</v>
      </c>
      <c r="N6646">
        <v>0</v>
      </c>
      <c r="O6646">
        <v>33</v>
      </c>
      <c r="P6646">
        <v>0</v>
      </c>
    </row>
    <row r="6647" spans="1:16" x14ac:dyDescent="0.25">
      <c r="A6647" t="s">
        <v>29095</v>
      </c>
      <c r="B6647" t="s">
        <v>29096</v>
      </c>
      <c r="C6647" t="s">
        <v>20297</v>
      </c>
      <c r="D6647" t="str">
        <f>"1106"</f>
        <v>1106</v>
      </c>
      <c r="E6647" t="s">
        <v>42</v>
      </c>
      <c r="F6647" t="s">
        <v>21629</v>
      </c>
      <c r="G6647" t="s">
        <v>16235</v>
      </c>
      <c r="H6647" t="s">
        <v>47054</v>
      </c>
      <c r="I6647" t="s">
        <v>47120</v>
      </c>
      <c r="J6647" t="s">
        <v>47121</v>
      </c>
      <c r="K6647" t="s">
        <v>47113</v>
      </c>
      <c r="L6647">
        <v>48.68</v>
      </c>
      <c r="M6647">
        <v>103</v>
      </c>
      <c r="N6647">
        <v>0</v>
      </c>
      <c r="O6647">
        <v>103</v>
      </c>
      <c r="P6647">
        <v>0</v>
      </c>
    </row>
    <row r="6648" spans="1:16" x14ac:dyDescent="0.25">
      <c r="A6648" t="s">
        <v>29097</v>
      </c>
      <c r="B6648" t="s">
        <v>29096</v>
      </c>
      <c r="C6648" t="s">
        <v>20297</v>
      </c>
      <c r="D6648" t="str">
        <f>"1700"</f>
        <v>1700</v>
      </c>
      <c r="E6648" t="s">
        <v>60</v>
      </c>
      <c r="F6648" t="s">
        <v>21629</v>
      </c>
      <c r="G6648" t="s">
        <v>16235</v>
      </c>
      <c r="H6648" t="s">
        <v>47054</v>
      </c>
      <c r="I6648" t="s">
        <v>47120</v>
      </c>
      <c r="J6648" t="s">
        <v>47121</v>
      </c>
      <c r="K6648" t="s">
        <v>47113</v>
      </c>
      <c r="L6648">
        <v>47.22</v>
      </c>
      <c r="M6648">
        <v>103</v>
      </c>
      <c r="N6648">
        <v>0</v>
      </c>
      <c r="O6648">
        <v>103</v>
      </c>
      <c r="P6648">
        <v>0</v>
      </c>
    </row>
    <row r="6649" spans="1:16" x14ac:dyDescent="0.25">
      <c r="A6649" t="s">
        <v>29098</v>
      </c>
      <c r="B6649" t="s">
        <v>29099</v>
      </c>
      <c r="C6649" t="s">
        <v>20300</v>
      </c>
      <c r="D6649" t="str">
        <f>"1106"</f>
        <v>1106</v>
      </c>
      <c r="E6649" t="s">
        <v>42</v>
      </c>
      <c r="F6649" t="s">
        <v>21629</v>
      </c>
      <c r="G6649" t="s">
        <v>16222</v>
      </c>
      <c r="H6649" t="s">
        <v>47054</v>
      </c>
      <c r="I6649" t="s">
        <v>47120</v>
      </c>
      <c r="J6649" t="s">
        <v>47121</v>
      </c>
      <c r="K6649" t="s">
        <v>47113</v>
      </c>
      <c r="L6649">
        <v>41.05</v>
      </c>
      <c r="M6649">
        <v>81</v>
      </c>
      <c r="N6649">
        <v>0</v>
      </c>
      <c r="O6649">
        <v>81</v>
      </c>
      <c r="P6649">
        <v>0</v>
      </c>
    </row>
    <row r="6650" spans="1:16" x14ac:dyDescent="0.25">
      <c r="A6650" t="s">
        <v>29100</v>
      </c>
      <c r="B6650" t="s">
        <v>29099</v>
      </c>
      <c r="C6650" t="s">
        <v>20300</v>
      </c>
      <c r="D6650" t="str">
        <f>"1700"</f>
        <v>1700</v>
      </c>
      <c r="E6650" t="s">
        <v>60</v>
      </c>
      <c r="F6650" t="s">
        <v>21629</v>
      </c>
      <c r="G6650" t="s">
        <v>16222</v>
      </c>
      <c r="H6650" t="s">
        <v>47054</v>
      </c>
      <c r="I6650" t="s">
        <v>47120</v>
      </c>
      <c r="J6650" t="s">
        <v>47121</v>
      </c>
      <c r="K6650" t="s">
        <v>47113</v>
      </c>
      <c r="L6650">
        <v>41.05</v>
      </c>
      <c r="M6650">
        <v>81</v>
      </c>
      <c r="N6650">
        <v>0</v>
      </c>
      <c r="O6650">
        <v>81</v>
      </c>
      <c r="P6650">
        <v>0</v>
      </c>
    </row>
    <row r="6651" spans="1:16" x14ac:dyDescent="0.25">
      <c r="A6651" t="s">
        <v>29101</v>
      </c>
      <c r="B6651" t="s">
        <v>29102</v>
      </c>
      <c r="C6651" t="s">
        <v>29103</v>
      </c>
      <c r="D6651" t="str">
        <f>"1501"</f>
        <v>1501</v>
      </c>
      <c r="E6651" t="s">
        <v>46</v>
      </c>
      <c r="F6651" t="s">
        <v>20496</v>
      </c>
      <c r="G6651" t="s">
        <v>16232</v>
      </c>
      <c r="H6651" t="s">
        <v>47054</v>
      </c>
      <c r="I6651" t="s">
        <v>47118</v>
      </c>
      <c r="J6651" t="s">
        <v>47119</v>
      </c>
      <c r="K6651" t="s">
        <v>47113</v>
      </c>
      <c r="L6651">
        <v>20.76</v>
      </c>
      <c r="M6651">
        <v>47</v>
      </c>
      <c r="N6651">
        <v>0</v>
      </c>
      <c r="O6651">
        <v>47</v>
      </c>
      <c r="P6651">
        <v>0</v>
      </c>
    </row>
    <row r="6652" spans="1:16" x14ac:dyDescent="0.25">
      <c r="A6652" t="s">
        <v>29104</v>
      </c>
      <c r="B6652" t="s">
        <v>29102</v>
      </c>
      <c r="C6652" t="s">
        <v>29103</v>
      </c>
      <c r="D6652" t="str">
        <f>"6067"</f>
        <v>6067</v>
      </c>
      <c r="E6652" t="s">
        <v>11922</v>
      </c>
      <c r="F6652" t="s">
        <v>20496</v>
      </c>
      <c r="G6652" t="s">
        <v>16232</v>
      </c>
      <c r="H6652" t="s">
        <v>47054</v>
      </c>
      <c r="I6652" t="s">
        <v>47118</v>
      </c>
      <c r="J6652" t="s">
        <v>47119</v>
      </c>
      <c r="K6652" t="s">
        <v>47113</v>
      </c>
      <c r="L6652">
        <v>20.76</v>
      </c>
      <c r="M6652">
        <v>47</v>
      </c>
      <c r="N6652">
        <v>0</v>
      </c>
      <c r="O6652">
        <v>47</v>
      </c>
      <c r="P6652">
        <v>0</v>
      </c>
    </row>
    <row r="6653" spans="1:16" x14ac:dyDescent="0.25">
      <c r="A6653" t="s">
        <v>29105</v>
      </c>
      <c r="B6653" t="s">
        <v>29106</v>
      </c>
      <c r="C6653" t="s">
        <v>29107</v>
      </c>
      <c r="D6653" t="str">
        <f>"1800"</f>
        <v>1800</v>
      </c>
      <c r="E6653" t="s">
        <v>1999</v>
      </c>
      <c r="F6653" t="s">
        <v>21627</v>
      </c>
      <c r="G6653" t="s">
        <v>16221</v>
      </c>
      <c r="H6653" t="s">
        <v>47054</v>
      </c>
      <c r="I6653" t="s">
        <v>47120</v>
      </c>
      <c r="J6653" t="s">
        <v>47121</v>
      </c>
      <c r="K6653" t="s">
        <v>47113</v>
      </c>
      <c r="L6653">
        <v>12.74</v>
      </c>
      <c r="M6653">
        <v>33</v>
      </c>
      <c r="N6653">
        <v>0</v>
      </c>
      <c r="O6653">
        <v>33</v>
      </c>
      <c r="P6653">
        <v>0</v>
      </c>
    </row>
    <row r="6654" spans="1:16" x14ac:dyDescent="0.25">
      <c r="A6654" t="s">
        <v>29108</v>
      </c>
      <c r="B6654" t="s">
        <v>29106</v>
      </c>
      <c r="C6654" t="s">
        <v>29107</v>
      </c>
      <c r="D6654" t="str">
        <f>"6000"</f>
        <v>6000</v>
      </c>
      <c r="E6654" t="s">
        <v>6279</v>
      </c>
      <c r="F6654" t="s">
        <v>21627</v>
      </c>
      <c r="G6654" t="s">
        <v>16221</v>
      </c>
      <c r="H6654" t="s">
        <v>47054</v>
      </c>
      <c r="I6654" t="s">
        <v>47120</v>
      </c>
      <c r="J6654" t="s">
        <v>47121</v>
      </c>
      <c r="K6654" t="s">
        <v>47113</v>
      </c>
      <c r="L6654">
        <v>13.98</v>
      </c>
      <c r="M6654">
        <v>33</v>
      </c>
      <c r="N6654">
        <v>0</v>
      </c>
      <c r="O6654">
        <v>33</v>
      </c>
      <c r="P6654">
        <v>0</v>
      </c>
    </row>
    <row r="6655" spans="1:16" x14ac:dyDescent="0.25">
      <c r="A6655" t="s">
        <v>29109</v>
      </c>
      <c r="B6655" t="s">
        <v>29110</v>
      </c>
      <c r="C6655" t="s">
        <v>29111</v>
      </c>
      <c r="D6655" t="str">
        <f>"1501"</f>
        <v>1501</v>
      </c>
      <c r="E6655" t="s">
        <v>46</v>
      </c>
      <c r="F6655" t="s">
        <v>21627</v>
      </c>
      <c r="G6655" t="s">
        <v>16222</v>
      </c>
      <c r="H6655" t="s">
        <v>47054</v>
      </c>
      <c r="I6655" t="s">
        <v>47120</v>
      </c>
      <c r="J6655" t="s">
        <v>47121</v>
      </c>
      <c r="K6655" t="s">
        <v>47113</v>
      </c>
      <c r="L6655">
        <v>22.16</v>
      </c>
      <c r="M6655">
        <v>55</v>
      </c>
      <c r="N6655">
        <v>0</v>
      </c>
      <c r="O6655">
        <v>55</v>
      </c>
      <c r="P6655">
        <v>0</v>
      </c>
    </row>
    <row r="6656" spans="1:16" x14ac:dyDescent="0.25">
      <c r="A6656" t="s">
        <v>29112</v>
      </c>
      <c r="B6656" t="s">
        <v>29113</v>
      </c>
      <c r="C6656" t="s">
        <v>29114</v>
      </c>
      <c r="D6656" t="str">
        <f>"4100"</f>
        <v>4100</v>
      </c>
      <c r="E6656" t="s">
        <v>15303</v>
      </c>
      <c r="F6656" t="s">
        <v>20496</v>
      </c>
      <c r="G6656" t="s">
        <v>16222</v>
      </c>
      <c r="H6656" t="s">
        <v>47054</v>
      </c>
      <c r="I6656" t="s">
        <v>47120</v>
      </c>
      <c r="J6656" t="s">
        <v>47121</v>
      </c>
      <c r="K6656" t="s">
        <v>47113</v>
      </c>
      <c r="L6656">
        <v>28.91</v>
      </c>
      <c r="M6656">
        <v>66</v>
      </c>
      <c r="N6656">
        <v>0</v>
      </c>
      <c r="O6656">
        <v>66</v>
      </c>
      <c r="P6656">
        <v>0</v>
      </c>
    </row>
    <row r="6657" spans="1:16" x14ac:dyDescent="0.25">
      <c r="A6657" t="s">
        <v>29115</v>
      </c>
      <c r="B6657" t="s">
        <v>29116</v>
      </c>
      <c r="C6657" t="s">
        <v>150</v>
      </c>
      <c r="D6657" t="str">
        <f>"1001"</f>
        <v>1001</v>
      </c>
      <c r="E6657" t="s">
        <v>42</v>
      </c>
      <c r="F6657" t="s">
        <v>21629</v>
      </c>
      <c r="G6657" t="s">
        <v>16222</v>
      </c>
      <c r="H6657" t="s">
        <v>47054</v>
      </c>
      <c r="I6657" t="s">
        <v>47120</v>
      </c>
      <c r="J6657" t="s">
        <v>47121</v>
      </c>
      <c r="K6657" t="s">
        <v>47113</v>
      </c>
      <c r="L6657">
        <v>36.619999999999997</v>
      </c>
      <c r="M6657">
        <v>55</v>
      </c>
      <c r="N6657">
        <v>0</v>
      </c>
      <c r="O6657">
        <v>55</v>
      </c>
      <c r="P6657">
        <v>0</v>
      </c>
    </row>
    <row r="6658" spans="1:16" x14ac:dyDescent="0.25">
      <c r="A6658" t="s">
        <v>29117</v>
      </c>
      <c r="B6658" t="s">
        <v>29116</v>
      </c>
      <c r="C6658" t="s">
        <v>150</v>
      </c>
      <c r="D6658" t="str">
        <f>"1700"</f>
        <v>1700</v>
      </c>
      <c r="E6658" t="s">
        <v>60</v>
      </c>
      <c r="F6658" t="s">
        <v>21629</v>
      </c>
      <c r="G6658" t="s">
        <v>16222</v>
      </c>
      <c r="H6658" t="s">
        <v>47054</v>
      </c>
      <c r="I6658" t="s">
        <v>47120</v>
      </c>
      <c r="J6658" t="s">
        <v>47121</v>
      </c>
      <c r="K6658" t="s">
        <v>47113</v>
      </c>
      <c r="L6658">
        <v>36.619999999999997</v>
      </c>
      <c r="M6658">
        <v>55</v>
      </c>
      <c r="N6658">
        <v>0</v>
      </c>
      <c r="O6658">
        <v>55</v>
      </c>
      <c r="P6658">
        <v>0</v>
      </c>
    </row>
    <row r="6659" spans="1:16" x14ac:dyDescent="0.25">
      <c r="A6659" t="s">
        <v>29118</v>
      </c>
      <c r="B6659" t="s">
        <v>29119</v>
      </c>
      <c r="C6659" t="s">
        <v>29120</v>
      </c>
      <c r="D6659" t="str">
        <f>"4002"</f>
        <v>4002</v>
      </c>
      <c r="E6659" t="s">
        <v>29121</v>
      </c>
      <c r="F6659" t="s">
        <v>20496</v>
      </c>
      <c r="G6659" t="s">
        <v>16448</v>
      </c>
      <c r="H6659" t="s">
        <v>47054</v>
      </c>
      <c r="I6659" t="s">
        <v>47120</v>
      </c>
      <c r="J6659" t="s">
        <v>47121</v>
      </c>
      <c r="K6659" t="s">
        <v>47113</v>
      </c>
      <c r="L6659">
        <v>158.78</v>
      </c>
      <c r="M6659">
        <v>333</v>
      </c>
      <c r="N6659">
        <v>0</v>
      </c>
      <c r="O6659">
        <v>333</v>
      </c>
      <c r="P6659">
        <v>0</v>
      </c>
    </row>
    <row r="6660" spans="1:16" x14ac:dyDescent="0.25">
      <c r="A6660" t="s">
        <v>29122</v>
      </c>
      <c r="B6660" t="s">
        <v>29119</v>
      </c>
      <c r="C6660" t="s">
        <v>29120</v>
      </c>
      <c r="D6660" t="str">
        <f>"6067"</f>
        <v>6067</v>
      </c>
      <c r="E6660" t="s">
        <v>29123</v>
      </c>
      <c r="F6660" t="s">
        <v>20496</v>
      </c>
      <c r="G6660" t="s">
        <v>16448</v>
      </c>
      <c r="H6660" t="s">
        <v>47054</v>
      </c>
      <c r="I6660" t="s">
        <v>47120</v>
      </c>
      <c r="J6660" t="s">
        <v>47121</v>
      </c>
      <c r="K6660" t="s">
        <v>47113</v>
      </c>
      <c r="L6660">
        <v>145.07</v>
      </c>
      <c r="M6660">
        <v>333</v>
      </c>
      <c r="N6660">
        <v>0</v>
      </c>
      <c r="O6660">
        <v>333</v>
      </c>
      <c r="P6660">
        <v>0</v>
      </c>
    </row>
    <row r="6661" spans="1:16" x14ac:dyDescent="0.25">
      <c r="A6661" t="s">
        <v>29124</v>
      </c>
      <c r="B6661" t="s">
        <v>29125</v>
      </c>
      <c r="C6661" t="s">
        <v>29126</v>
      </c>
      <c r="D6661" t="str">
        <f>"1106"</f>
        <v>1106</v>
      </c>
      <c r="E6661" t="s">
        <v>42</v>
      </c>
      <c r="F6661" t="s">
        <v>21629</v>
      </c>
      <c r="G6661" t="s">
        <v>16448</v>
      </c>
      <c r="H6661" t="s">
        <v>47054</v>
      </c>
      <c r="I6661" t="s">
        <v>47118</v>
      </c>
      <c r="J6661" t="s">
        <v>47119</v>
      </c>
      <c r="K6661" t="s">
        <v>47113</v>
      </c>
      <c r="L6661">
        <v>155.91</v>
      </c>
      <c r="M6661">
        <v>381</v>
      </c>
      <c r="N6661">
        <v>0</v>
      </c>
      <c r="O6661">
        <v>381</v>
      </c>
      <c r="P6661">
        <v>0</v>
      </c>
    </row>
    <row r="6662" spans="1:16" x14ac:dyDescent="0.25">
      <c r="A6662" t="s">
        <v>29127</v>
      </c>
      <c r="B6662" t="s">
        <v>29128</v>
      </c>
      <c r="C6662" t="s">
        <v>29129</v>
      </c>
      <c r="D6662" t="str">
        <f>"1001"</f>
        <v>1001</v>
      </c>
      <c r="E6662" t="s">
        <v>42</v>
      </c>
      <c r="F6662" t="s">
        <v>21629</v>
      </c>
      <c r="G6662" t="s">
        <v>16235</v>
      </c>
      <c r="H6662" t="s">
        <v>47054</v>
      </c>
      <c r="I6662" t="s">
        <v>47120</v>
      </c>
      <c r="J6662" t="s">
        <v>47121</v>
      </c>
      <c r="K6662" t="s">
        <v>47113</v>
      </c>
      <c r="L6662">
        <v>30.84</v>
      </c>
      <c r="M6662">
        <v>81</v>
      </c>
      <c r="N6662">
        <v>0</v>
      </c>
      <c r="O6662">
        <v>81</v>
      </c>
      <c r="P6662">
        <v>0</v>
      </c>
    </row>
    <row r="6663" spans="1:16" x14ac:dyDescent="0.25">
      <c r="A6663" t="s">
        <v>29130</v>
      </c>
      <c r="B6663" t="s">
        <v>29128</v>
      </c>
      <c r="C6663" t="s">
        <v>29129</v>
      </c>
      <c r="D6663" t="str">
        <f>"1700"</f>
        <v>1700</v>
      </c>
      <c r="E6663" t="s">
        <v>60</v>
      </c>
      <c r="F6663" t="s">
        <v>21629</v>
      </c>
      <c r="G6663" t="s">
        <v>16235</v>
      </c>
      <c r="H6663" t="s">
        <v>47054</v>
      </c>
      <c r="I6663" t="s">
        <v>47120</v>
      </c>
      <c r="J6663" t="s">
        <v>47121</v>
      </c>
      <c r="K6663" t="s">
        <v>47113</v>
      </c>
      <c r="L6663">
        <v>30.84</v>
      </c>
      <c r="M6663">
        <v>81</v>
      </c>
      <c r="N6663">
        <v>0</v>
      </c>
      <c r="O6663">
        <v>81</v>
      </c>
      <c r="P6663">
        <v>0</v>
      </c>
    </row>
    <row r="6664" spans="1:16" x14ac:dyDescent="0.25">
      <c r="A6664" t="s">
        <v>29131</v>
      </c>
      <c r="B6664" t="s">
        <v>29132</v>
      </c>
      <c r="C6664" t="s">
        <v>29133</v>
      </c>
      <c r="D6664" t="str">
        <f>"4100"</f>
        <v>4100</v>
      </c>
      <c r="E6664" t="s">
        <v>15303</v>
      </c>
      <c r="F6664" t="s">
        <v>20496</v>
      </c>
      <c r="G6664" t="s">
        <v>16235</v>
      </c>
      <c r="H6664" t="s">
        <v>47054</v>
      </c>
      <c r="I6664" t="s">
        <v>47120</v>
      </c>
      <c r="J6664" t="s">
        <v>47121</v>
      </c>
      <c r="K6664" t="s">
        <v>47113</v>
      </c>
      <c r="L6664">
        <v>37.590000000000003</v>
      </c>
      <c r="M6664">
        <v>88</v>
      </c>
      <c r="N6664">
        <v>0</v>
      </c>
      <c r="O6664">
        <v>88</v>
      </c>
      <c r="P6664">
        <v>0</v>
      </c>
    </row>
    <row r="6665" spans="1:16" x14ac:dyDescent="0.25">
      <c r="A6665" t="s">
        <v>29134</v>
      </c>
      <c r="B6665" t="s">
        <v>29135</v>
      </c>
      <c r="C6665" t="s">
        <v>29136</v>
      </c>
      <c r="D6665" t="str">
        <f>"1101"</f>
        <v>1101</v>
      </c>
      <c r="E6665" t="s">
        <v>17350</v>
      </c>
      <c r="F6665" t="s">
        <v>20496</v>
      </c>
      <c r="G6665" t="s">
        <v>16235</v>
      </c>
      <c r="H6665" t="s">
        <v>47054</v>
      </c>
      <c r="I6665" t="s">
        <v>47120</v>
      </c>
      <c r="J6665" t="s">
        <v>47121</v>
      </c>
      <c r="K6665" t="s">
        <v>47113</v>
      </c>
      <c r="L6665">
        <v>21.69</v>
      </c>
      <c r="M6665">
        <v>55</v>
      </c>
      <c r="N6665">
        <v>0</v>
      </c>
      <c r="O6665">
        <v>55</v>
      </c>
      <c r="P6665">
        <v>0</v>
      </c>
    </row>
    <row r="6666" spans="1:16" x14ac:dyDescent="0.25">
      <c r="A6666" t="s">
        <v>29137</v>
      </c>
      <c r="B6666" t="s">
        <v>29138</v>
      </c>
      <c r="C6666" t="s">
        <v>29139</v>
      </c>
      <c r="D6666" t="str">
        <f>"1101"</f>
        <v>1101</v>
      </c>
      <c r="E6666" t="s">
        <v>17350</v>
      </c>
      <c r="F6666" t="s">
        <v>21627</v>
      </c>
      <c r="G6666" t="s">
        <v>16235</v>
      </c>
      <c r="H6666" t="s">
        <v>47054</v>
      </c>
      <c r="I6666" t="s">
        <v>47118</v>
      </c>
      <c r="J6666" t="s">
        <v>47119</v>
      </c>
      <c r="K6666" t="s">
        <v>47113</v>
      </c>
      <c r="L6666">
        <v>24.77</v>
      </c>
      <c r="M6666">
        <v>55</v>
      </c>
      <c r="N6666">
        <v>0</v>
      </c>
      <c r="O6666">
        <v>55</v>
      </c>
      <c r="P6666">
        <v>0</v>
      </c>
    </row>
    <row r="6667" spans="1:16" x14ac:dyDescent="0.25">
      <c r="A6667" t="s">
        <v>29140</v>
      </c>
      <c r="B6667" t="s">
        <v>29141</v>
      </c>
      <c r="C6667" t="s">
        <v>17262</v>
      </c>
      <c r="D6667" t="str">
        <f>"1501"</f>
        <v>1501</v>
      </c>
      <c r="E6667" t="s">
        <v>46</v>
      </c>
      <c r="F6667" t="s">
        <v>21627</v>
      </c>
      <c r="G6667" t="s">
        <v>16235</v>
      </c>
      <c r="H6667" t="s">
        <v>47054</v>
      </c>
      <c r="I6667" t="s">
        <v>47120</v>
      </c>
      <c r="J6667" t="s">
        <v>47121</v>
      </c>
      <c r="K6667" t="s">
        <v>47113</v>
      </c>
      <c r="L6667">
        <v>22.16</v>
      </c>
      <c r="M6667">
        <v>55</v>
      </c>
      <c r="N6667">
        <v>0</v>
      </c>
      <c r="O6667">
        <v>55</v>
      </c>
      <c r="P6667">
        <v>0</v>
      </c>
    </row>
    <row r="6668" spans="1:16" x14ac:dyDescent="0.25">
      <c r="A6668" t="s">
        <v>29142</v>
      </c>
      <c r="B6668" t="s">
        <v>29143</v>
      </c>
      <c r="C6668" t="s">
        <v>29144</v>
      </c>
      <c r="D6668" t="str">
        <f>"1106"</f>
        <v>1106</v>
      </c>
      <c r="E6668" t="s">
        <v>42</v>
      </c>
      <c r="F6668" t="s">
        <v>21629</v>
      </c>
      <c r="G6668" t="s">
        <v>16448</v>
      </c>
      <c r="I6668" t="s">
        <v>47120</v>
      </c>
      <c r="J6668" t="s">
        <v>47121</v>
      </c>
      <c r="K6668" t="s">
        <v>47113</v>
      </c>
      <c r="L6668">
        <v>34.5</v>
      </c>
      <c r="M6668">
        <v>88</v>
      </c>
      <c r="N6668">
        <v>0</v>
      </c>
      <c r="O6668">
        <v>88</v>
      </c>
      <c r="P6668">
        <v>0</v>
      </c>
    </row>
    <row r="6669" spans="1:16" x14ac:dyDescent="0.25">
      <c r="A6669" t="s">
        <v>29145</v>
      </c>
      <c r="B6669" t="s">
        <v>29143</v>
      </c>
      <c r="C6669" t="s">
        <v>29144</v>
      </c>
      <c r="D6669" t="str">
        <f>"6000"</f>
        <v>6000</v>
      </c>
      <c r="E6669" t="s">
        <v>238</v>
      </c>
      <c r="F6669" t="s">
        <v>21629</v>
      </c>
      <c r="G6669" t="s">
        <v>16448</v>
      </c>
      <c r="I6669" t="s">
        <v>47120</v>
      </c>
      <c r="J6669" t="s">
        <v>47121</v>
      </c>
      <c r="K6669" t="s">
        <v>47113</v>
      </c>
      <c r="L6669">
        <v>34.5</v>
      </c>
      <c r="M6669">
        <v>88</v>
      </c>
      <c r="N6669">
        <v>0</v>
      </c>
      <c r="O6669">
        <v>88</v>
      </c>
      <c r="P6669">
        <v>0</v>
      </c>
    </row>
    <row r="6670" spans="1:16" x14ac:dyDescent="0.25">
      <c r="A6670" t="s">
        <v>29146</v>
      </c>
      <c r="B6670" t="s">
        <v>29147</v>
      </c>
      <c r="C6670" t="s">
        <v>29144</v>
      </c>
      <c r="D6670" t="str">
        <f>"1106"</f>
        <v>1106</v>
      </c>
      <c r="E6670" t="s">
        <v>42</v>
      </c>
      <c r="F6670" t="s">
        <v>21629</v>
      </c>
      <c r="G6670" t="s">
        <v>16448</v>
      </c>
      <c r="H6670" t="s">
        <v>47054</v>
      </c>
      <c r="I6670" t="s">
        <v>47120</v>
      </c>
      <c r="J6670" t="s">
        <v>47121</v>
      </c>
      <c r="K6670" t="s">
        <v>47113</v>
      </c>
      <c r="L6670">
        <v>34.5</v>
      </c>
      <c r="M6670">
        <v>85</v>
      </c>
      <c r="N6670">
        <v>0</v>
      </c>
      <c r="O6670">
        <v>85</v>
      </c>
      <c r="P6670">
        <v>0</v>
      </c>
    </row>
    <row r="6671" spans="1:16" x14ac:dyDescent="0.25">
      <c r="A6671" t="s">
        <v>29148</v>
      </c>
      <c r="B6671" t="s">
        <v>29147</v>
      </c>
      <c r="C6671" t="s">
        <v>29144</v>
      </c>
      <c r="D6671" t="str">
        <f>"6000"</f>
        <v>6000</v>
      </c>
      <c r="E6671" t="s">
        <v>238</v>
      </c>
      <c r="F6671" t="s">
        <v>21629</v>
      </c>
      <c r="G6671" t="s">
        <v>16448</v>
      </c>
      <c r="H6671" t="s">
        <v>47054</v>
      </c>
      <c r="I6671" t="s">
        <v>47120</v>
      </c>
      <c r="J6671" t="s">
        <v>47121</v>
      </c>
      <c r="K6671" t="s">
        <v>47113</v>
      </c>
      <c r="L6671">
        <v>34.5</v>
      </c>
      <c r="M6671">
        <v>85</v>
      </c>
      <c r="N6671">
        <v>0</v>
      </c>
      <c r="O6671">
        <v>85</v>
      </c>
      <c r="P6671">
        <v>0</v>
      </c>
    </row>
    <row r="6672" spans="1:16" x14ac:dyDescent="0.25">
      <c r="A6672" t="s">
        <v>29149</v>
      </c>
      <c r="B6672" t="s">
        <v>5598</v>
      </c>
      <c r="C6672" t="s">
        <v>5599</v>
      </c>
      <c r="D6672" t="str">
        <f>"3494"</f>
        <v>3494</v>
      </c>
      <c r="E6672" t="s">
        <v>5600</v>
      </c>
      <c r="F6672" t="s">
        <v>1</v>
      </c>
      <c r="G6672" t="s">
        <v>16233</v>
      </c>
      <c r="H6672" t="s">
        <v>47054</v>
      </c>
      <c r="I6672" t="s">
        <v>47136</v>
      </c>
      <c r="J6672" t="s">
        <v>47137</v>
      </c>
      <c r="K6672" t="s">
        <v>47113</v>
      </c>
      <c r="L6672">
        <v>30.75</v>
      </c>
      <c r="M6672">
        <v>76</v>
      </c>
      <c r="N6672">
        <v>0</v>
      </c>
      <c r="O6672">
        <v>76</v>
      </c>
      <c r="P6672">
        <v>0</v>
      </c>
    </row>
    <row r="6673" spans="1:16" x14ac:dyDescent="0.25">
      <c r="A6673" t="s">
        <v>29150</v>
      </c>
      <c r="B6673" t="s">
        <v>29151</v>
      </c>
      <c r="C6673" t="s">
        <v>29152</v>
      </c>
      <c r="D6673" t="str">
        <f>"4143"</f>
        <v>4143</v>
      </c>
      <c r="E6673" t="s">
        <v>20169</v>
      </c>
      <c r="F6673" t="s">
        <v>21629</v>
      </c>
      <c r="G6673" t="s">
        <v>16230</v>
      </c>
      <c r="H6673" t="s">
        <v>47054</v>
      </c>
      <c r="I6673" t="s">
        <v>47120</v>
      </c>
      <c r="J6673" t="s">
        <v>47121</v>
      </c>
      <c r="K6673" t="s">
        <v>47113</v>
      </c>
      <c r="L6673">
        <v>30.84</v>
      </c>
      <c r="M6673">
        <v>55</v>
      </c>
      <c r="N6673">
        <v>0</v>
      </c>
      <c r="O6673">
        <v>55</v>
      </c>
      <c r="P6673">
        <v>0</v>
      </c>
    </row>
    <row r="6674" spans="1:16" x14ac:dyDescent="0.25">
      <c r="A6674" t="s">
        <v>29153</v>
      </c>
      <c r="B6674" t="s">
        <v>5601</v>
      </c>
      <c r="C6674" t="s">
        <v>3630</v>
      </c>
      <c r="D6674" t="str">
        <f>"1118"</f>
        <v>1118</v>
      </c>
      <c r="E6674" t="s">
        <v>5602</v>
      </c>
      <c r="F6674" t="s">
        <v>3546</v>
      </c>
      <c r="G6674" t="s">
        <v>16234</v>
      </c>
      <c r="H6674" t="s">
        <v>47054</v>
      </c>
      <c r="I6674" t="s">
        <v>47111</v>
      </c>
      <c r="J6674" t="s">
        <v>47112</v>
      </c>
      <c r="K6674" t="s">
        <v>47113</v>
      </c>
      <c r="L6674">
        <v>49.08</v>
      </c>
      <c r="M6674">
        <v>121</v>
      </c>
      <c r="N6674">
        <v>0</v>
      </c>
      <c r="O6674">
        <v>121</v>
      </c>
      <c r="P6674">
        <v>0</v>
      </c>
    </row>
    <row r="6675" spans="1:16" x14ac:dyDescent="0.25">
      <c r="A6675" t="s">
        <v>29154</v>
      </c>
      <c r="B6675" t="s">
        <v>5603</v>
      </c>
      <c r="C6675" t="s">
        <v>3633</v>
      </c>
      <c r="D6675" t="str">
        <f>"1118"</f>
        <v>1118</v>
      </c>
      <c r="E6675" t="s">
        <v>5602</v>
      </c>
      <c r="F6675" t="s">
        <v>3546</v>
      </c>
      <c r="G6675" t="s">
        <v>16234</v>
      </c>
      <c r="H6675" t="s">
        <v>47054</v>
      </c>
      <c r="I6675" t="s">
        <v>47111</v>
      </c>
      <c r="J6675" t="s">
        <v>47112</v>
      </c>
      <c r="K6675" t="s">
        <v>47113</v>
      </c>
      <c r="L6675">
        <v>48.5</v>
      </c>
      <c r="M6675">
        <v>119</v>
      </c>
      <c r="N6675">
        <v>0</v>
      </c>
      <c r="O6675">
        <v>119</v>
      </c>
      <c r="P6675">
        <v>0</v>
      </c>
    </row>
    <row r="6676" spans="1:16" x14ac:dyDescent="0.25">
      <c r="A6676" t="s">
        <v>29155</v>
      </c>
      <c r="B6676" t="s">
        <v>5604</v>
      </c>
      <c r="C6676" t="s">
        <v>5605</v>
      </c>
      <c r="D6676" t="s">
        <v>5606</v>
      </c>
      <c r="E6676" t="s">
        <v>5607</v>
      </c>
      <c r="F6676" t="s">
        <v>3750</v>
      </c>
      <c r="G6676" t="s">
        <v>16231</v>
      </c>
      <c r="H6676" t="s">
        <v>47054</v>
      </c>
      <c r="I6676" t="s">
        <v>47111</v>
      </c>
      <c r="J6676" t="s">
        <v>47112</v>
      </c>
      <c r="K6676" t="s">
        <v>47113</v>
      </c>
      <c r="L6676">
        <v>37.46</v>
      </c>
      <c r="M6676">
        <v>91</v>
      </c>
      <c r="N6676">
        <v>0</v>
      </c>
      <c r="O6676">
        <v>91</v>
      </c>
      <c r="P6676">
        <v>0</v>
      </c>
    </row>
    <row r="6677" spans="1:16" x14ac:dyDescent="0.25">
      <c r="A6677" t="s">
        <v>29156</v>
      </c>
      <c r="B6677" t="s">
        <v>5608</v>
      </c>
      <c r="C6677" t="s">
        <v>5609</v>
      </c>
      <c r="D6677" t="s">
        <v>5610</v>
      </c>
      <c r="E6677" t="s">
        <v>5611</v>
      </c>
      <c r="F6677" t="s">
        <v>3750</v>
      </c>
      <c r="G6677" t="s">
        <v>16231</v>
      </c>
      <c r="H6677" t="s">
        <v>47054</v>
      </c>
      <c r="I6677" t="s">
        <v>47111</v>
      </c>
      <c r="J6677" t="s">
        <v>47112</v>
      </c>
      <c r="K6677" t="s">
        <v>47113</v>
      </c>
      <c r="L6677">
        <v>38.49</v>
      </c>
      <c r="M6677">
        <v>94</v>
      </c>
      <c r="N6677">
        <v>0</v>
      </c>
      <c r="O6677">
        <v>94</v>
      </c>
      <c r="P6677">
        <v>0</v>
      </c>
    </row>
    <row r="6678" spans="1:16" x14ac:dyDescent="0.25">
      <c r="A6678" t="s">
        <v>29157</v>
      </c>
      <c r="B6678" t="s">
        <v>5612</v>
      </c>
      <c r="C6678" t="s">
        <v>5613</v>
      </c>
      <c r="D6678" t="s">
        <v>5614</v>
      </c>
      <c r="E6678" t="s">
        <v>5615</v>
      </c>
      <c r="F6678" t="s">
        <v>3750</v>
      </c>
      <c r="G6678" t="s">
        <v>16231</v>
      </c>
      <c r="H6678" t="s">
        <v>47054</v>
      </c>
      <c r="I6678" t="s">
        <v>47111</v>
      </c>
      <c r="J6678" t="s">
        <v>47112</v>
      </c>
      <c r="K6678" t="s">
        <v>47113</v>
      </c>
      <c r="L6678">
        <v>38.49</v>
      </c>
      <c r="M6678">
        <v>94</v>
      </c>
      <c r="N6678">
        <v>0</v>
      </c>
      <c r="O6678">
        <v>94</v>
      </c>
      <c r="P6678">
        <v>0</v>
      </c>
    </row>
    <row r="6679" spans="1:16" x14ac:dyDescent="0.25">
      <c r="A6679" t="s">
        <v>29158</v>
      </c>
      <c r="B6679" t="s">
        <v>5616</v>
      </c>
      <c r="C6679" t="s">
        <v>5617</v>
      </c>
      <c r="D6679" t="str">
        <f>"01"</f>
        <v>01</v>
      </c>
      <c r="E6679" t="s">
        <v>2070</v>
      </c>
      <c r="F6679" t="s">
        <v>3750</v>
      </c>
      <c r="G6679" t="s">
        <v>16231</v>
      </c>
      <c r="H6679" t="s">
        <v>47054</v>
      </c>
      <c r="I6679" t="s">
        <v>47111</v>
      </c>
      <c r="J6679" t="s">
        <v>47112</v>
      </c>
      <c r="K6679" t="s">
        <v>47113</v>
      </c>
      <c r="L6679">
        <v>23.71</v>
      </c>
      <c r="M6679">
        <v>58</v>
      </c>
      <c r="N6679">
        <v>0</v>
      </c>
      <c r="O6679">
        <v>58</v>
      </c>
      <c r="P6679">
        <v>0</v>
      </c>
    </row>
    <row r="6680" spans="1:16" x14ac:dyDescent="0.25">
      <c r="A6680" t="s">
        <v>29159</v>
      </c>
      <c r="B6680" t="s">
        <v>5616</v>
      </c>
      <c r="C6680" t="s">
        <v>5617</v>
      </c>
      <c r="D6680" t="str">
        <f>"11"</f>
        <v>11</v>
      </c>
      <c r="E6680" t="s">
        <v>288</v>
      </c>
      <c r="F6680" t="s">
        <v>3750</v>
      </c>
      <c r="G6680" t="s">
        <v>16231</v>
      </c>
      <c r="H6680" t="s">
        <v>47054</v>
      </c>
      <c r="I6680" t="s">
        <v>47111</v>
      </c>
      <c r="J6680" t="s">
        <v>47112</v>
      </c>
      <c r="K6680" t="s">
        <v>47113</v>
      </c>
      <c r="L6680">
        <v>27.49</v>
      </c>
      <c r="M6680">
        <v>67</v>
      </c>
      <c r="N6680">
        <v>0</v>
      </c>
      <c r="O6680">
        <v>67</v>
      </c>
      <c r="P6680">
        <v>0</v>
      </c>
    </row>
    <row r="6681" spans="1:16" x14ac:dyDescent="0.25">
      <c r="A6681" t="s">
        <v>29160</v>
      </c>
      <c r="B6681" t="s">
        <v>5618</v>
      </c>
      <c r="C6681" t="s">
        <v>5619</v>
      </c>
      <c r="D6681" t="s">
        <v>5620</v>
      </c>
      <c r="E6681" t="s">
        <v>5621</v>
      </c>
      <c r="F6681" t="s">
        <v>3750</v>
      </c>
      <c r="G6681" t="s">
        <v>16231</v>
      </c>
      <c r="H6681" t="s">
        <v>47054</v>
      </c>
      <c r="I6681" t="s">
        <v>47111</v>
      </c>
      <c r="J6681" t="s">
        <v>47112</v>
      </c>
      <c r="K6681" t="s">
        <v>47113</v>
      </c>
      <c r="L6681">
        <v>38.26</v>
      </c>
      <c r="M6681">
        <v>93</v>
      </c>
      <c r="N6681">
        <v>0</v>
      </c>
      <c r="O6681">
        <v>93</v>
      </c>
      <c r="P6681">
        <v>0</v>
      </c>
    </row>
    <row r="6682" spans="1:16" x14ac:dyDescent="0.25">
      <c r="A6682" t="s">
        <v>29161</v>
      </c>
      <c r="B6682" t="s">
        <v>16719</v>
      </c>
      <c r="C6682" t="s">
        <v>13120</v>
      </c>
      <c r="D6682" t="str">
        <f>"1001"</f>
        <v>1001</v>
      </c>
      <c r="E6682" t="s">
        <v>42</v>
      </c>
      <c r="F6682" t="s">
        <v>3750</v>
      </c>
      <c r="G6682" t="s">
        <v>16232</v>
      </c>
      <c r="H6682" t="s">
        <v>47054</v>
      </c>
      <c r="I6682" t="s">
        <v>47116</v>
      </c>
      <c r="J6682" t="s">
        <v>47117</v>
      </c>
      <c r="K6682" t="s">
        <v>47113</v>
      </c>
      <c r="L6682">
        <v>8.32</v>
      </c>
      <c r="M6682">
        <v>25</v>
      </c>
      <c r="N6682">
        <v>0</v>
      </c>
      <c r="O6682">
        <v>25</v>
      </c>
      <c r="P6682">
        <v>0</v>
      </c>
    </row>
    <row r="6683" spans="1:16" x14ac:dyDescent="0.25">
      <c r="A6683" t="s">
        <v>29162</v>
      </c>
      <c r="B6683" t="s">
        <v>16719</v>
      </c>
      <c r="C6683" t="s">
        <v>13120</v>
      </c>
      <c r="D6683" t="str">
        <f>"1700"</f>
        <v>1700</v>
      </c>
      <c r="E6683" t="s">
        <v>60</v>
      </c>
      <c r="F6683" t="s">
        <v>3750</v>
      </c>
      <c r="G6683" t="s">
        <v>16232</v>
      </c>
      <c r="H6683" t="s">
        <v>47054</v>
      </c>
      <c r="I6683" t="s">
        <v>47116</v>
      </c>
      <c r="J6683" t="s">
        <v>47117</v>
      </c>
      <c r="K6683" t="s">
        <v>47113</v>
      </c>
      <c r="L6683">
        <v>9.09</v>
      </c>
      <c r="M6683">
        <v>26</v>
      </c>
      <c r="N6683">
        <v>0</v>
      </c>
      <c r="O6683">
        <v>26</v>
      </c>
      <c r="P6683">
        <v>0</v>
      </c>
    </row>
    <row r="6684" spans="1:16" x14ac:dyDescent="0.25">
      <c r="A6684" t="s">
        <v>29163</v>
      </c>
      <c r="B6684" t="s">
        <v>16719</v>
      </c>
      <c r="C6684" t="s">
        <v>13120</v>
      </c>
      <c r="D6684" t="str">
        <f>"1704"</f>
        <v>1704</v>
      </c>
      <c r="E6684" t="s">
        <v>7181</v>
      </c>
      <c r="F6684" t="s">
        <v>3750</v>
      </c>
      <c r="G6684" t="s">
        <v>16232</v>
      </c>
      <c r="H6684" t="s">
        <v>47054</v>
      </c>
      <c r="I6684" t="s">
        <v>47116</v>
      </c>
      <c r="J6684" t="s">
        <v>47117</v>
      </c>
      <c r="K6684" t="s">
        <v>47113</v>
      </c>
      <c r="L6684">
        <v>8.32</v>
      </c>
      <c r="M6684">
        <v>25</v>
      </c>
      <c r="N6684">
        <v>0</v>
      </c>
      <c r="O6684">
        <v>25</v>
      </c>
      <c r="P6684">
        <v>0</v>
      </c>
    </row>
    <row r="6685" spans="1:16" x14ac:dyDescent="0.25">
      <c r="A6685" t="s">
        <v>29164</v>
      </c>
      <c r="B6685" t="s">
        <v>22687</v>
      </c>
      <c r="C6685" t="s">
        <v>22688</v>
      </c>
      <c r="D6685" t="str">
        <f>"1700"</f>
        <v>1700</v>
      </c>
      <c r="E6685" t="s">
        <v>60</v>
      </c>
      <c r="F6685" t="s">
        <v>3750</v>
      </c>
      <c r="G6685" t="s">
        <v>16221</v>
      </c>
      <c r="H6685" t="s">
        <v>47054</v>
      </c>
      <c r="I6685" t="s">
        <v>47154</v>
      </c>
      <c r="J6685" t="s">
        <v>47155</v>
      </c>
      <c r="K6685" t="s">
        <v>47113</v>
      </c>
      <c r="L6685">
        <v>6.38</v>
      </c>
      <c r="M6685">
        <v>26</v>
      </c>
      <c r="N6685">
        <v>0</v>
      </c>
      <c r="O6685">
        <v>26</v>
      </c>
      <c r="P6685">
        <v>0</v>
      </c>
    </row>
    <row r="6686" spans="1:16" x14ac:dyDescent="0.25">
      <c r="A6686" t="s">
        <v>22686</v>
      </c>
      <c r="B6686" t="s">
        <v>22687</v>
      </c>
      <c r="C6686" t="s">
        <v>22688</v>
      </c>
      <c r="D6686" t="str">
        <f>"6003"</f>
        <v>6003</v>
      </c>
      <c r="E6686" t="s">
        <v>9711</v>
      </c>
      <c r="F6686" t="s">
        <v>3750</v>
      </c>
      <c r="G6686" t="s">
        <v>16221</v>
      </c>
      <c r="H6686" t="s">
        <v>47054</v>
      </c>
      <c r="I6686" t="s">
        <v>47154</v>
      </c>
      <c r="J6686" t="s">
        <v>47155</v>
      </c>
      <c r="K6686" t="s">
        <v>47113</v>
      </c>
      <c r="L6686">
        <v>6.38</v>
      </c>
      <c r="M6686">
        <v>26</v>
      </c>
      <c r="N6686">
        <v>0</v>
      </c>
      <c r="O6686">
        <v>26</v>
      </c>
      <c r="P6686">
        <v>0</v>
      </c>
    </row>
    <row r="6687" spans="1:16" x14ac:dyDescent="0.25">
      <c r="A6687" t="s">
        <v>22689</v>
      </c>
      <c r="B6687" t="s">
        <v>22690</v>
      </c>
      <c r="C6687" t="s">
        <v>22691</v>
      </c>
      <c r="D6687" t="str">
        <f>"1700"</f>
        <v>1700</v>
      </c>
      <c r="E6687" t="s">
        <v>60</v>
      </c>
      <c r="F6687" t="s">
        <v>3750</v>
      </c>
      <c r="G6687" t="s">
        <v>16221</v>
      </c>
      <c r="H6687" t="s">
        <v>47054</v>
      </c>
      <c r="I6687" t="s">
        <v>47154</v>
      </c>
      <c r="J6687" t="s">
        <v>47155</v>
      </c>
      <c r="K6687" t="s">
        <v>47113</v>
      </c>
      <c r="L6687">
        <v>7.66</v>
      </c>
      <c r="M6687">
        <v>26</v>
      </c>
      <c r="N6687">
        <v>0</v>
      </c>
      <c r="O6687">
        <v>26</v>
      </c>
      <c r="P6687">
        <v>0</v>
      </c>
    </row>
    <row r="6688" spans="1:16" x14ac:dyDescent="0.25">
      <c r="A6688" t="s">
        <v>29165</v>
      </c>
      <c r="B6688" t="s">
        <v>22693</v>
      </c>
      <c r="C6688" t="s">
        <v>22694</v>
      </c>
      <c r="D6688" t="str">
        <f>"1001"</f>
        <v>1001</v>
      </c>
      <c r="E6688" t="s">
        <v>42</v>
      </c>
      <c r="F6688" t="s">
        <v>3750</v>
      </c>
      <c r="G6688" t="s">
        <v>16221</v>
      </c>
      <c r="H6688" t="s">
        <v>47054</v>
      </c>
      <c r="I6688" t="s">
        <v>47154</v>
      </c>
      <c r="J6688" t="s">
        <v>47155</v>
      </c>
      <c r="K6688" t="s">
        <v>47113</v>
      </c>
      <c r="L6688">
        <v>7.07</v>
      </c>
      <c r="M6688">
        <v>26</v>
      </c>
      <c r="N6688">
        <v>0</v>
      </c>
      <c r="O6688">
        <v>26</v>
      </c>
      <c r="P6688">
        <v>0</v>
      </c>
    </row>
    <row r="6689" spans="1:16" x14ac:dyDescent="0.25">
      <c r="A6689" t="s">
        <v>22692</v>
      </c>
      <c r="B6689" t="s">
        <v>22693</v>
      </c>
      <c r="C6689" t="s">
        <v>22694</v>
      </c>
      <c r="D6689" t="str">
        <f>"6000"</f>
        <v>6000</v>
      </c>
      <c r="E6689" t="s">
        <v>6279</v>
      </c>
      <c r="F6689" t="s">
        <v>3750</v>
      </c>
      <c r="G6689" t="s">
        <v>16221</v>
      </c>
      <c r="H6689" t="s">
        <v>47054</v>
      </c>
      <c r="I6689" t="s">
        <v>47154</v>
      </c>
      <c r="J6689" t="s">
        <v>47155</v>
      </c>
      <c r="K6689" t="s">
        <v>47113</v>
      </c>
      <c r="L6689">
        <v>7.07</v>
      </c>
      <c r="M6689">
        <v>26</v>
      </c>
      <c r="N6689">
        <v>0</v>
      </c>
      <c r="O6689">
        <v>26</v>
      </c>
      <c r="P6689">
        <v>0</v>
      </c>
    </row>
    <row r="6690" spans="1:16" x14ac:dyDescent="0.25">
      <c r="A6690" t="s">
        <v>29166</v>
      </c>
      <c r="B6690" t="s">
        <v>29167</v>
      </c>
      <c r="C6690" t="s">
        <v>29168</v>
      </c>
      <c r="D6690" t="str">
        <f>"1078"</f>
        <v>1078</v>
      </c>
      <c r="E6690" t="s">
        <v>29169</v>
      </c>
      <c r="F6690" t="s">
        <v>3750</v>
      </c>
      <c r="G6690" t="s">
        <v>16221</v>
      </c>
      <c r="H6690" t="s">
        <v>47054</v>
      </c>
      <c r="I6690" t="s">
        <v>47154</v>
      </c>
      <c r="J6690" t="s">
        <v>47155</v>
      </c>
      <c r="K6690" t="s">
        <v>47113</v>
      </c>
      <c r="L6690">
        <v>7.47</v>
      </c>
      <c r="M6690">
        <v>29</v>
      </c>
      <c r="N6690">
        <v>79</v>
      </c>
      <c r="O6690">
        <v>29</v>
      </c>
      <c r="P6690">
        <v>79</v>
      </c>
    </row>
    <row r="6691" spans="1:16" x14ac:dyDescent="0.25">
      <c r="A6691" t="s">
        <v>29170</v>
      </c>
      <c r="B6691" t="s">
        <v>29171</v>
      </c>
      <c r="C6691" t="s">
        <v>29172</v>
      </c>
      <c r="D6691" t="str">
        <f>"1700"</f>
        <v>1700</v>
      </c>
      <c r="E6691" t="s">
        <v>60</v>
      </c>
      <c r="F6691" t="s">
        <v>3750</v>
      </c>
      <c r="G6691" t="s">
        <v>16221</v>
      </c>
      <c r="H6691" t="s">
        <v>47054</v>
      </c>
      <c r="I6691" t="s">
        <v>47154</v>
      </c>
      <c r="J6691" t="s">
        <v>47155</v>
      </c>
      <c r="K6691" t="s">
        <v>47113</v>
      </c>
      <c r="L6691">
        <v>6.28</v>
      </c>
      <c r="M6691">
        <v>29</v>
      </c>
      <c r="N6691">
        <v>79</v>
      </c>
      <c r="O6691">
        <v>29</v>
      </c>
      <c r="P6691">
        <v>79</v>
      </c>
    </row>
    <row r="6692" spans="1:16" x14ac:dyDescent="0.25">
      <c r="A6692" t="s">
        <v>29173</v>
      </c>
      <c r="B6692" t="s">
        <v>29171</v>
      </c>
      <c r="C6692" t="s">
        <v>29172</v>
      </c>
      <c r="D6692" t="str">
        <f>"6000"</f>
        <v>6000</v>
      </c>
      <c r="E6692" t="s">
        <v>6279</v>
      </c>
      <c r="F6692" t="s">
        <v>3750</v>
      </c>
      <c r="G6692" t="s">
        <v>16221</v>
      </c>
      <c r="H6692" t="s">
        <v>47054</v>
      </c>
      <c r="I6692" t="s">
        <v>47154</v>
      </c>
      <c r="J6692" t="s">
        <v>47155</v>
      </c>
      <c r="K6692" t="s">
        <v>47113</v>
      </c>
      <c r="L6692">
        <v>6.28</v>
      </c>
      <c r="M6692">
        <v>29</v>
      </c>
      <c r="N6692">
        <v>79</v>
      </c>
      <c r="O6692">
        <v>29</v>
      </c>
      <c r="P6692">
        <v>79</v>
      </c>
    </row>
    <row r="6693" spans="1:16" x14ac:dyDescent="0.25">
      <c r="A6693" t="s">
        <v>29174</v>
      </c>
      <c r="B6693" t="s">
        <v>29175</v>
      </c>
      <c r="C6693" t="s">
        <v>29176</v>
      </c>
      <c r="D6693" t="str">
        <f>"1001"</f>
        <v>1001</v>
      </c>
      <c r="E6693" t="s">
        <v>42</v>
      </c>
      <c r="F6693" t="s">
        <v>3750</v>
      </c>
      <c r="G6693" t="s">
        <v>16221</v>
      </c>
      <c r="H6693" t="s">
        <v>47054</v>
      </c>
      <c r="I6693" t="s">
        <v>47154</v>
      </c>
      <c r="J6693" t="s">
        <v>47155</v>
      </c>
      <c r="K6693" t="s">
        <v>47113</v>
      </c>
      <c r="L6693">
        <v>6.69</v>
      </c>
      <c r="M6693">
        <v>29</v>
      </c>
      <c r="N6693">
        <v>79</v>
      </c>
      <c r="O6693">
        <v>29</v>
      </c>
      <c r="P6693">
        <v>79</v>
      </c>
    </row>
    <row r="6694" spans="1:16" x14ac:dyDescent="0.25">
      <c r="A6694" t="s">
        <v>29177</v>
      </c>
      <c r="B6694" t="s">
        <v>29175</v>
      </c>
      <c r="C6694" t="s">
        <v>29176</v>
      </c>
      <c r="D6694" t="str">
        <f>"1700"</f>
        <v>1700</v>
      </c>
      <c r="E6694" t="s">
        <v>60</v>
      </c>
      <c r="F6694" t="s">
        <v>3750</v>
      </c>
      <c r="G6694" t="s">
        <v>16221</v>
      </c>
      <c r="H6694" t="s">
        <v>47054</v>
      </c>
      <c r="I6694" t="s">
        <v>47154</v>
      </c>
      <c r="J6694" t="s">
        <v>47155</v>
      </c>
      <c r="K6694" t="s">
        <v>47113</v>
      </c>
      <c r="L6694">
        <v>6.69</v>
      </c>
      <c r="M6694">
        <v>29</v>
      </c>
      <c r="N6694">
        <v>79</v>
      </c>
      <c r="O6694">
        <v>29</v>
      </c>
      <c r="P6694">
        <v>79</v>
      </c>
    </row>
    <row r="6695" spans="1:16" x14ac:dyDescent="0.25">
      <c r="A6695" t="s">
        <v>29178</v>
      </c>
      <c r="B6695" t="s">
        <v>29179</v>
      </c>
      <c r="C6695" t="s">
        <v>29180</v>
      </c>
      <c r="D6695" t="str">
        <f>"1700"</f>
        <v>1700</v>
      </c>
      <c r="E6695" t="s">
        <v>60</v>
      </c>
      <c r="F6695" t="s">
        <v>3750</v>
      </c>
      <c r="G6695" t="s">
        <v>16221</v>
      </c>
      <c r="H6695" t="s">
        <v>47054</v>
      </c>
      <c r="I6695" t="s">
        <v>47154</v>
      </c>
      <c r="J6695" t="s">
        <v>47155</v>
      </c>
      <c r="K6695" t="s">
        <v>47113</v>
      </c>
      <c r="L6695">
        <v>6.69</v>
      </c>
      <c r="M6695">
        <v>29</v>
      </c>
      <c r="N6695">
        <v>79</v>
      </c>
      <c r="O6695">
        <v>29</v>
      </c>
      <c r="P6695">
        <v>79</v>
      </c>
    </row>
    <row r="6696" spans="1:16" x14ac:dyDescent="0.25">
      <c r="A6696" t="s">
        <v>29181</v>
      </c>
      <c r="B6696" t="s">
        <v>29182</v>
      </c>
      <c r="C6696" t="s">
        <v>29183</v>
      </c>
      <c r="D6696" t="str">
        <f>"1001"</f>
        <v>1001</v>
      </c>
      <c r="E6696" t="s">
        <v>42</v>
      </c>
      <c r="F6696" t="s">
        <v>24617</v>
      </c>
      <c r="G6696" t="s">
        <v>16221</v>
      </c>
      <c r="H6696" t="s">
        <v>47054</v>
      </c>
      <c r="I6696" t="s">
        <v>47154</v>
      </c>
      <c r="J6696" t="s">
        <v>47155</v>
      </c>
      <c r="K6696" t="s">
        <v>47113</v>
      </c>
      <c r="L6696">
        <v>7.99</v>
      </c>
      <c r="M6696">
        <v>37</v>
      </c>
      <c r="N6696">
        <v>99</v>
      </c>
      <c r="O6696">
        <v>37</v>
      </c>
      <c r="P6696">
        <v>99</v>
      </c>
    </row>
    <row r="6697" spans="1:16" x14ac:dyDescent="0.25">
      <c r="A6697" t="s">
        <v>29184</v>
      </c>
      <c r="B6697" t="s">
        <v>29185</v>
      </c>
      <c r="C6697" t="s">
        <v>29186</v>
      </c>
      <c r="D6697" t="str">
        <f>"1700"</f>
        <v>1700</v>
      </c>
      <c r="E6697" t="s">
        <v>60</v>
      </c>
      <c r="F6697" t="s">
        <v>24622</v>
      </c>
      <c r="G6697" t="s">
        <v>16221</v>
      </c>
      <c r="H6697" t="s">
        <v>47054</v>
      </c>
      <c r="I6697" t="s">
        <v>47154</v>
      </c>
      <c r="J6697" t="s">
        <v>47155</v>
      </c>
      <c r="K6697" t="s">
        <v>47113</v>
      </c>
      <c r="L6697">
        <v>6.3</v>
      </c>
      <c r="M6697">
        <v>29</v>
      </c>
      <c r="N6697">
        <v>79</v>
      </c>
      <c r="O6697">
        <v>29</v>
      </c>
      <c r="P6697">
        <v>79</v>
      </c>
    </row>
    <row r="6698" spans="1:16" x14ac:dyDescent="0.25">
      <c r="A6698" t="s">
        <v>29187</v>
      </c>
      <c r="B6698" t="s">
        <v>29188</v>
      </c>
      <c r="C6698" t="s">
        <v>29189</v>
      </c>
      <c r="D6698" t="str">
        <f>"1700"</f>
        <v>1700</v>
      </c>
      <c r="E6698" t="s">
        <v>60</v>
      </c>
      <c r="F6698" t="s">
        <v>24622</v>
      </c>
      <c r="G6698" t="s">
        <v>16221</v>
      </c>
      <c r="H6698" t="s">
        <v>47054</v>
      </c>
      <c r="I6698" t="s">
        <v>47154</v>
      </c>
      <c r="J6698" t="s">
        <v>47155</v>
      </c>
      <c r="K6698" t="s">
        <v>47113</v>
      </c>
      <c r="L6698">
        <v>6.05</v>
      </c>
      <c r="M6698">
        <v>29</v>
      </c>
      <c r="N6698">
        <v>79</v>
      </c>
      <c r="O6698">
        <v>29</v>
      </c>
      <c r="P6698">
        <v>79</v>
      </c>
    </row>
    <row r="6699" spans="1:16" x14ac:dyDescent="0.25">
      <c r="A6699" t="s">
        <v>29190</v>
      </c>
      <c r="B6699" t="s">
        <v>29188</v>
      </c>
      <c r="C6699" t="s">
        <v>29189</v>
      </c>
      <c r="D6699" t="str">
        <f>"3000"</f>
        <v>3000</v>
      </c>
      <c r="E6699" t="s">
        <v>17026</v>
      </c>
      <c r="F6699" t="s">
        <v>24622</v>
      </c>
      <c r="G6699" t="s">
        <v>16221</v>
      </c>
      <c r="H6699" t="s">
        <v>47054</v>
      </c>
      <c r="I6699" t="s">
        <v>47154</v>
      </c>
      <c r="J6699" t="s">
        <v>47155</v>
      </c>
      <c r="K6699" t="s">
        <v>47113</v>
      </c>
      <c r="L6699">
        <v>6.05</v>
      </c>
      <c r="M6699">
        <v>29</v>
      </c>
      <c r="N6699">
        <v>79</v>
      </c>
      <c r="O6699">
        <v>29</v>
      </c>
      <c r="P6699">
        <v>79</v>
      </c>
    </row>
    <row r="6700" spans="1:16" x14ac:dyDescent="0.25">
      <c r="A6700" t="s">
        <v>29191</v>
      </c>
      <c r="B6700" t="s">
        <v>29192</v>
      </c>
      <c r="C6700" t="s">
        <v>29193</v>
      </c>
      <c r="D6700" t="str">
        <f>"1001"</f>
        <v>1001</v>
      </c>
      <c r="E6700" t="s">
        <v>42</v>
      </c>
      <c r="F6700" t="s">
        <v>24622</v>
      </c>
      <c r="G6700" t="s">
        <v>16221</v>
      </c>
      <c r="H6700" t="s">
        <v>47054</v>
      </c>
      <c r="I6700" t="s">
        <v>47154</v>
      </c>
      <c r="J6700" t="s">
        <v>47155</v>
      </c>
      <c r="K6700" t="s">
        <v>47113</v>
      </c>
      <c r="L6700">
        <v>6.54</v>
      </c>
      <c r="M6700">
        <v>29</v>
      </c>
      <c r="N6700">
        <v>79</v>
      </c>
      <c r="O6700">
        <v>29</v>
      </c>
      <c r="P6700">
        <v>79</v>
      </c>
    </row>
    <row r="6701" spans="1:16" x14ac:dyDescent="0.25">
      <c r="A6701" t="s">
        <v>29194</v>
      </c>
      <c r="B6701" t="s">
        <v>29192</v>
      </c>
      <c r="C6701" t="s">
        <v>29193</v>
      </c>
      <c r="D6701" t="str">
        <f>"1700"</f>
        <v>1700</v>
      </c>
      <c r="E6701" t="s">
        <v>60</v>
      </c>
      <c r="F6701" t="s">
        <v>24622</v>
      </c>
      <c r="G6701" t="s">
        <v>16221</v>
      </c>
      <c r="H6701" t="s">
        <v>47054</v>
      </c>
      <c r="I6701" t="s">
        <v>47154</v>
      </c>
      <c r="J6701" t="s">
        <v>47155</v>
      </c>
      <c r="K6701" t="s">
        <v>47113</v>
      </c>
      <c r="L6701">
        <v>6.54</v>
      </c>
      <c r="M6701">
        <v>29</v>
      </c>
      <c r="N6701">
        <v>79</v>
      </c>
      <c r="O6701">
        <v>29</v>
      </c>
      <c r="P6701">
        <v>79</v>
      </c>
    </row>
    <row r="6702" spans="1:16" x14ac:dyDescent="0.25">
      <c r="A6702" t="s">
        <v>29195</v>
      </c>
      <c r="B6702" t="s">
        <v>29196</v>
      </c>
      <c r="C6702" t="s">
        <v>29197</v>
      </c>
      <c r="D6702" t="str">
        <f>"1001"</f>
        <v>1001</v>
      </c>
      <c r="E6702" t="s">
        <v>42</v>
      </c>
      <c r="F6702" t="s">
        <v>27965</v>
      </c>
      <c r="G6702" t="s">
        <v>16221</v>
      </c>
      <c r="H6702" t="s">
        <v>47054</v>
      </c>
      <c r="I6702" t="s">
        <v>47154</v>
      </c>
      <c r="J6702" t="s">
        <v>47155</v>
      </c>
      <c r="K6702" t="s">
        <v>47113</v>
      </c>
      <c r="L6702">
        <v>7.06</v>
      </c>
      <c r="M6702">
        <v>29</v>
      </c>
      <c r="N6702">
        <v>79</v>
      </c>
      <c r="O6702">
        <v>29</v>
      </c>
      <c r="P6702">
        <v>79</v>
      </c>
    </row>
    <row r="6703" spans="1:16" x14ac:dyDescent="0.25">
      <c r="A6703" t="s">
        <v>29198</v>
      </c>
      <c r="B6703" t="s">
        <v>29199</v>
      </c>
      <c r="C6703" t="s">
        <v>47448</v>
      </c>
      <c r="D6703" t="str">
        <f>"1001"</f>
        <v>1001</v>
      </c>
      <c r="E6703" t="s">
        <v>42</v>
      </c>
      <c r="F6703" t="s">
        <v>24019</v>
      </c>
      <c r="G6703" t="s">
        <v>16221</v>
      </c>
      <c r="H6703" t="s">
        <v>47054</v>
      </c>
      <c r="I6703" t="s">
        <v>47154</v>
      </c>
      <c r="J6703" t="s">
        <v>47155</v>
      </c>
      <c r="K6703" t="s">
        <v>47113</v>
      </c>
      <c r="L6703">
        <v>6.73</v>
      </c>
      <c r="M6703">
        <v>29</v>
      </c>
      <c r="N6703">
        <v>79</v>
      </c>
      <c r="O6703">
        <v>29</v>
      </c>
      <c r="P6703">
        <v>79</v>
      </c>
    </row>
    <row r="6704" spans="1:16" x14ac:dyDescent="0.25">
      <c r="A6704" t="s">
        <v>47449</v>
      </c>
      <c r="B6704" t="s">
        <v>47450</v>
      </c>
      <c r="C6704" t="s">
        <v>47451</v>
      </c>
      <c r="D6704" t="str">
        <f>"1700"</f>
        <v>1700</v>
      </c>
      <c r="E6704" t="s">
        <v>60</v>
      </c>
      <c r="F6704" t="s">
        <v>31484</v>
      </c>
      <c r="G6704" t="s">
        <v>16221</v>
      </c>
      <c r="H6704" t="s">
        <v>47054</v>
      </c>
      <c r="I6704" t="s">
        <v>47154</v>
      </c>
      <c r="J6704" t="s">
        <v>47155</v>
      </c>
      <c r="K6704" t="s">
        <v>47113</v>
      </c>
      <c r="L6704">
        <v>8.5</v>
      </c>
      <c r="M6704">
        <v>29</v>
      </c>
      <c r="N6704">
        <v>79</v>
      </c>
      <c r="O6704">
        <v>29</v>
      </c>
      <c r="P6704">
        <v>79</v>
      </c>
    </row>
    <row r="6705" spans="1:16" x14ac:dyDescent="0.25">
      <c r="A6705" t="s">
        <v>47452</v>
      </c>
      <c r="B6705" t="s">
        <v>47450</v>
      </c>
      <c r="C6705" t="s">
        <v>47451</v>
      </c>
      <c r="D6705" t="str">
        <f>"4100"</f>
        <v>4100</v>
      </c>
      <c r="E6705" t="s">
        <v>17644</v>
      </c>
      <c r="F6705" t="s">
        <v>31484</v>
      </c>
      <c r="G6705" t="s">
        <v>16221</v>
      </c>
      <c r="H6705" t="s">
        <v>47054</v>
      </c>
      <c r="I6705" t="s">
        <v>47154</v>
      </c>
      <c r="J6705" t="s">
        <v>47155</v>
      </c>
      <c r="K6705" t="s">
        <v>47113</v>
      </c>
      <c r="L6705">
        <v>8.5</v>
      </c>
      <c r="M6705">
        <v>29</v>
      </c>
      <c r="N6705">
        <v>79</v>
      </c>
      <c r="O6705">
        <v>29</v>
      </c>
      <c r="P6705">
        <v>79</v>
      </c>
    </row>
    <row r="6706" spans="1:16" x14ac:dyDescent="0.25">
      <c r="A6706" t="s">
        <v>47453</v>
      </c>
      <c r="B6706" t="s">
        <v>47454</v>
      </c>
      <c r="C6706" t="s">
        <v>47455</v>
      </c>
      <c r="D6706" t="str">
        <f>"1001"</f>
        <v>1001</v>
      </c>
      <c r="E6706" t="s">
        <v>42</v>
      </c>
      <c r="F6706" t="s">
        <v>46687</v>
      </c>
      <c r="G6706" t="s">
        <v>16221</v>
      </c>
      <c r="H6706" t="s">
        <v>47054</v>
      </c>
      <c r="I6706" t="s">
        <v>47154</v>
      </c>
      <c r="J6706" t="s">
        <v>47155</v>
      </c>
      <c r="K6706" t="s">
        <v>47113</v>
      </c>
      <c r="L6706">
        <v>6.85</v>
      </c>
      <c r="M6706">
        <v>29</v>
      </c>
      <c r="N6706">
        <v>79</v>
      </c>
      <c r="O6706">
        <v>29</v>
      </c>
      <c r="P6706">
        <v>79</v>
      </c>
    </row>
    <row r="6707" spans="1:16" x14ac:dyDescent="0.25">
      <c r="A6707" t="s">
        <v>47456</v>
      </c>
      <c r="B6707" t="s">
        <v>47457</v>
      </c>
      <c r="C6707" t="s">
        <v>47458</v>
      </c>
      <c r="D6707" t="str">
        <f>"1700"</f>
        <v>1700</v>
      </c>
      <c r="E6707" t="s">
        <v>60</v>
      </c>
      <c r="F6707" t="s">
        <v>47163</v>
      </c>
      <c r="G6707" t="s">
        <v>16221</v>
      </c>
      <c r="H6707" t="s">
        <v>47054</v>
      </c>
      <c r="I6707" t="s">
        <v>47154</v>
      </c>
      <c r="J6707" t="s">
        <v>47155</v>
      </c>
      <c r="K6707" t="s">
        <v>47113</v>
      </c>
      <c r="L6707">
        <v>6.4</v>
      </c>
      <c r="M6707">
        <v>29</v>
      </c>
      <c r="N6707">
        <v>79</v>
      </c>
      <c r="O6707">
        <v>29</v>
      </c>
      <c r="P6707">
        <v>79</v>
      </c>
    </row>
    <row r="6708" spans="1:16" x14ac:dyDescent="0.25">
      <c r="A6708" t="s">
        <v>47459</v>
      </c>
      <c r="B6708" t="s">
        <v>47460</v>
      </c>
      <c r="C6708" t="s">
        <v>47461</v>
      </c>
      <c r="D6708" t="str">
        <f>"1001"</f>
        <v>1001</v>
      </c>
      <c r="E6708" t="s">
        <v>42</v>
      </c>
      <c r="F6708" t="s">
        <v>47185</v>
      </c>
      <c r="G6708" t="s">
        <v>16221</v>
      </c>
      <c r="H6708" t="s">
        <v>47054</v>
      </c>
      <c r="I6708" t="s">
        <v>47154</v>
      </c>
      <c r="J6708" t="s">
        <v>47155</v>
      </c>
      <c r="K6708" t="s">
        <v>47113</v>
      </c>
      <c r="L6708">
        <v>6.65</v>
      </c>
      <c r="M6708">
        <v>29</v>
      </c>
      <c r="N6708">
        <v>79</v>
      </c>
      <c r="O6708">
        <v>29</v>
      </c>
      <c r="P6708">
        <v>79</v>
      </c>
    </row>
    <row r="6709" spans="1:16" x14ac:dyDescent="0.25">
      <c r="A6709" t="s">
        <v>47462</v>
      </c>
      <c r="B6709" t="s">
        <v>47460</v>
      </c>
      <c r="C6709" t="s">
        <v>47461</v>
      </c>
      <c r="D6709" t="str">
        <f>"4100"</f>
        <v>4100</v>
      </c>
      <c r="E6709" t="s">
        <v>17644</v>
      </c>
      <c r="F6709" t="s">
        <v>47185</v>
      </c>
      <c r="G6709" t="s">
        <v>16221</v>
      </c>
      <c r="H6709" t="s">
        <v>47054</v>
      </c>
      <c r="I6709" t="s">
        <v>47154</v>
      </c>
      <c r="J6709" t="s">
        <v>47155</v>
      </c>
      <c r="K6709" t="s">
        <v>47113</v>
      </c>
      <c r="L6709">
        <v>6.65</v>
      </c>
      <c r="M6709">
        <v>29</v>
      </c>
      <c r="N6709">
        <v>79</v>
      </c>
      <c r="O6709">
        <v>29</v>
      </c>
      <c r="P6709">
        <v>79</v>
      </c>
    </row>
    <row r="6710" spans="1:16" x14ac:dyDescent="0.25">
      <c r="A6710" t="s">
        <v>47463</v>
      </c>
      <c r="B6710" t="s">
        <v>47464</v>
      </c>
      <c r="C6710" t="s">
        <v>47465</v>
      </c>
      <c r="D6710" t="str">
        <f>"1700"</f>
        <v>1700</v>
      </c>
      <c r="E6710" t="s">
        <v>60</v>
      </c>
      <c r="F6710" t="s">
        <v>47185</v>
      </c>
      <c r="G6710" t="s">
        <v>16221</v>
      </c>
      <c r="H6710" t="s">
        <v>47054</v>
      </c>
      <c r="I6710" t="s">
        <v>47154</v>
      </c>
      <c r="J6710" t="s">
        <v>47155</v>
      </c>
      <c r="K6710" t="s">
        <v>47113</v>
      </c>
      <c r="L6710">
        <v>7.01</v>
      </c>
      <c r="M6710">
        <v>29.26</v>
      </c>
      <c r="N6710">
        <v>79</v>
      </c>
      <c r="O6710">
        <v>29.26</v>
      </c>
      <c r="P6710">
        <v>79</v>
      </c>
    </row>
    <row r="6711" spans="1:16" x14ac:dyDescent="0.25">
      <c r="A6711" t="s">
        <v>47466</v>
      </c>
      <c r="B6711" t="s">
        <v>47467</v>
      </c>
      <c r="C6711" t="s">
        <v>47468</v>
      </c>
      <c r="D6711" t="str">
        <f>"1700"</f>
        <v>1700</v>
      </c>
      <c r="E6711" t="s">
        <v>60</v>
      </c>
      <c r="F6711" t="s">
        <v>47185</v>
      </c>
      <c r="G6711" t="s">
        <v>16221</v>
      </c>
      <c r="H6711" t="s">
        <v>47054</v>
      </c>
      <c r="I6711" t="s">
        <v>47154</v>
      </c>
      <c r="J6711" t="s">
        <v>47155</v>
      </c>
      <c r="K6711" t="s">
        <v>47113</v>
      </c>
      <c r="L6711">
        <v>0</v>
      </c>
      <c r="M6711">
        <v>29.26</v>
      </c>
      <c r="N6711">
        <v>79</v>
      </c>
      <c r="O6711">
        <v>29.26</v>
      </c>
      <c r="P6711">
        <v>79</v>
      </c>
    </row>
    <row r="6712" spans="1:16" x14ac:dyDescent="0.25">
      <c r="A6712" t="s">
        <v>47469</v>
      </c>
      <c r="B6712" t="s">
        <v>47470</v>
      </c>
      <c r="C6712" t="s">
        <v>47471</v>
      </c>
      <c r="D6712" t="str">
        <f>"1001"</f>
        <v>1001</v>
      </c>
      <c r="E6712" t="s">
        <v>42</v>
      </c>
      <c r="F6712" t="s">
        <v>47185</v>
      </c>
      <c r="G6712" t="s">
        <v>16221</v>
      </c>
      <c r="H6712" t="s">
        <v>47054</v>
      </c>
      <c r="I6712" t="s">
        <v>47154</v>
      </c>
      <c r="J6712" t="s">
        <v>47155</v>
      </c>
      <c r="K6712" t="s">
        <v>47113</v>
      </c>
      <c r="L6712">
        <v>6.65</v>
      </c>
      <c r="M6712">
        <v>29</v>
      </c>
      <c r="N6712">
        <v>79</v>
      </c>
      <c r="O6712">
        <v>29</v>
      </c>
      <c r="P6712">
        <v>79</v>
      </c>
    </row>
    <row r="6713" spans="1:16" x14ac:dyDescent="0.25">
      <c r="A6713" t="s">
        <v>47472</v>
      </c>
      <c r="B6713" t="s">
        <v>47470</v>
      </c>
      <c r="C6713" t="s">
        <v>47471</v>
      </c>
      <c r="D6713" t="str">
        <f>"1700"</f>
        <v>1700</v>
      </c>
      <c r="E6713" t="s">
        <v>60</v>
      </c>
      <c r="F6713" t="s">
        <v>47185</v>
      </c>
      <c r="G6713" t="s">
        <v>16221</v>
      </c>
      <c r="H6713" t="s">
        <v>47054</v>
      </c>
      <c r="I6713" t="s">
        <v>47154</v>
      </c>
      <c r="J6713" t="s">
        <v>47155</v>
      </c>
      <c r="K6713" t="s">
        <v>47113</v>
      </c>
      <c r="L6713">
        <v>6.65</v>
      </c>
      <c r="M6713">
        <v>29</v>
      </c>
      <c r="N6713">
        <v>79</v>
      </c>
      <c r="O6713">
        <v>29</v>
      </c>
      <c r="P6713">
        <v>79</v>
      </c>
    </row>
    <row r="6714" spans="1:16" x14ac:dyDescent="0.25">
      <c r="A6714" t="s">
        <v>47473</v>
      </c>
      <c r="B6714" t="s">
        <v>47474</v>
      </c>
      <c r="C6714" t="s">
        <v>47475</v>
      </c>
      <c r="D6714" t="str">
        <f>"1700"</f>
        <v>1700</v>
      </c>
      <c r="E6714" t="s">
        <v>60</v>
      </c>
      <c r="F6714" t="s">
        <v>31484</v>
      </c>
      <c r="G6714" t="s">
        <v>16221</v>
      </c>
      <c r="H6714" t="s">
        <v>47054</v>
      </c>
      <c r="I6714" t="s">
        <v>47154</v>
      </c>
      <c r="J6714" t="s">
        <v>47155</v>
      </c>
      <c r="K6714" t="s">
        <v>47113</v>
      </c>
      <c r="L6714">
        <v>7.3</v>
      </c>
      <c r="M6714">
        <v>29</v>
      </c>
      <c r="N6714">
        <v>79</v>
      </c>
      <c r="O6714">
        <v>29</v>
      </c>
      <c r="P6714">
        <v>79</v>
      </c>
    </row>
    <row r="6715" spans="1:16" x14ac:dyDescent="0.25">
      <c r="A6715" t="s">
        <v>47476</v>
      </c>
      <c r="B6715" t="s">
        <v>47477</v>
      </c>
      <c r="C6715" t="s">
        <v>47478</v>
      </c>
      <c r="D6715" t="str">
        <f>"1700"</f>
        <v>1700</v>
      </c>
      <c r="E6715" t="s">
        <v>60</v>
      </c>
      <c r="F6715" t="s">
        <v>47479</v>
      </c>
      <c r="G6715" t="s">
        <v>16221</v>
      </c>
      <c r="H6715" t="s">
        <v>47054</v>
      </c>
      <c r="I6715" t="s">
        <v>47154</v>
      </c>
      <c r="J6715" t="s">
        <v>47155</v>
      </c>
      <c r="K6715" t="s">
        <v>47113</v>
      </c>
      <c r="L6715">
        <v>6.38</v>
      </c>
      <c r="M6715">
        <v>29</v>
      </c>
      <c r="N6715">
        <v>79</v>
      </c>
      <c r="O6715">
        <v>29</v>
      </c>
      <c r="P6715">
        <v>79</v>
      </c>
    </row>
    <row r="6716" spans="1:16" x14ac:dyDescent="0.25">
      <c r="A6716" t="s">
        <v>47480</v>
      </c>
      <c r="B6716" t="s">
        <v>47477</v>
      </c>
      <c r="C6716" t="s">
        <v>47478</v>
      </c>
      <c r="D6716" t="str">
        <f>"4100"</f>
        <v>4100</v>
      </c>
      <c r="E6716" t="s">
        <v>17644</v>
      </c>
      <c r="F6716" t="s">
        <v>47479</v>
      </c>
      <c r="G6716" t="s">
        <v>16221</v>
      </c>
      <c r="H6716" t="s">
        <v>47054</v>
      </c>
      <c r="I6716" t="s">
        <v>47154</v>
      </c>
      <c r="J6716" t="s">
        <v>47155</v>
      </c>
      <c r="K6716" t="s">
        <v>47113</v>
      </c>
      <c r="L6716">
        <v>6.38</v>
      </c>
      <c r="M6716">
        <v>29</v>
      </c>
      <c r="N6716">
        <v>79</v>
      </c>
      <c r="O6716">
        <v>29</v>
      </c>
      <c r="P6716">
        <v>79</v>
      </c>
    </row>
    <row r="6717" spans="1:16" x14ac:dyDescent="0.25">
      <c r="A6717" t="s">
        <v>47481</v>
      </c>
      <c r="B6717" t="s">
        <v>47482</v>
      </c>
      <c r="C6717" t="s">
        <v>47483</v>
      </c>
      <c r="D6717" t="str">
        <f>"1001"</f>
        <v>1001</v>
      </c>
      <c r="E6717" t="s">
        <v>42</v>
      </c>
      <c r="F6717" t="s">
        <v>47479</v>
      </c>
      <c r="G6717" t="s">
        <v>16221</v>
      </c>
      <c r="H6717" t="s">
        <v>47054</v>
      </c>
      <c r="I6717" t="s">
        <v>47154</v>
      </c>
      <c r="J6717" t="s">
        <v>47155</v>
      </c>
      <c r="K6717" t="s">
        <v>47113</v>
      </c>
      <c r="L6717">
        <v>6.38</v>
      </c>
      <c r="M6717">
        <v>29</v>
      </c>
      <c r="N6717">
        <v>79</v>
      </c>
      <c r="O6717">
        <v>29</v>
      </c>
      <c r="P6717">
        <v>79</v>
      </c>
    </row>
    <row r="6718" spans="1:16" x14ac:dyDescent="0.25">
      <c r="A6718" t="s">
        <v>47484</v>
      </c>
      <c r="B6718" t="s">
        <v>47482</v>
      </c>
      <c r="C6718" t="s">
        <v>47483</v>
      </c>
      <c r="D6718" t="str">
        <f>"1700"</f>
        <v>1700</v>
      </c>
      <c r="E6718" t="s">
        <v>60</v>
      </c>
      <c r="F6718" t="s">
        <v>47479</v>
      </c>
      <c r="G6718" t="s">
        <v>16221</v>
      </c>
      <c r="H6718" t="s">
        <v>47054</v>
      </c>
      <c r="I6718" t="s">
        <v>47154</v>
      </c>
      <c r="J6718" t="s">
        <v>47155</v>
      </c>
      <c r="K6718" t="s">
        <v>47113</v>
      </c>
      <c r="L6718">
        <v>6.38</v>
      </c>
      <c r="M6718">
        <v>29</v>
      </c>
      <c r="N6718">
        <v>79</v>
      </c>
      <c r="O6718">
        <v>29</v>
      </c>
      <c r="P6718">
        <v>79</v>
      </c>
    </row>
    <row r="6719" spans="1:16" x14ac:dyDescent="0.25">
      <c r="A6719" t="s">
        <v>47485</v>
      </c>
      <c r="B6719" t="s">
        <v>47486</v>
      </c>
      <c r="C6719" t="s">
        <v>47487</v>
      </c>
      <c r="D6719" t="str">
        <f>"1001"</f>
        <v>1001</v>
      </c>
      <c r="E6719" t="s">
        <v>42</v>
      </c>
      <c r="F6719" t="s">
        <v>47488</v>
      </c>
      <c r="G6719" t="s">
        <v>16221</v>
      </c>
      <c r="H6719" t="s">
        <v>47054</v>
      </c>
      <c r="I6719" t="s">
        <v>47154</v>
      </c>
      <c r="J6719" t="s">
        <v>47155</v>
      </c>
      <c r="K6719" t="s">
        <v>47113</v>
      </c>
      <c r="L6719">
        <v>7.22</v>
      </c>
      <c r="M6719">
        <v>29</v>
      </c>
      <c r="N6719">
        <v>79</v>
      </c>
      <c r="O6719">
        <v>29</v>
      </c>
      <c r="P6719">
        <v>79</v>
      </c>
    </row>
    <row r="6720" spans="1:16" x14ac:dyDescent="0.25">
      <c r="A6720" t="s">
        <v>47489</v>
      </c>
      <c r="B6720" t="s">
        <v>47486</v>
      </c>
      <c r="C6720" t="s">
        <v>47487</v>
      </c>
      <c r="D6720" t="str">
        <f>"1700"</f>
        <v>1700</v>
      </c>
      <c r="E6720" t="s">
        <v>60</v>
      </c>
      <c r="F6720" t="s">
        <v>47488</v>
      </c>
      <c r="G6720" t="s">
        <v>16221</v>
      </c>
      <c r="H6720" t="s">
        <v>47054</v>
      </c>
      <c r="I6720" t="s">
        <v>47154</v>
      </c>
      <c r="J6720" t="s">
        <v>47155</v>
      </c>
      <c r="K6720" t="s">
        <v>47113</v>
      </c>
      <c r="L6720">
        <v>7.22</v>
      </c>
      <c r="M6720">
        <v>29</v>
      </c>
      <c r="N6720">
        <v>79</v>
      </c>
      <c r="O6720">
        <v>29</v>
      </c>
      <c r="P6720">
        <v>79</v>
      </c>
    </row>
    <row r="6721" spans="1:16" x14ac:dyDescent="0.25">
      <c r="A6721" t="s">
        <v>47490</v>
      </c>
      <c r="B6721" t="s">
        <v>47486</v>
      </c>
      <c r="C6721" t="s">
        <v>47487</v>
      </c>
      <c r="D6721" t="str">
        <f>"6000"</f>
        <v>6000</v>
      </c>
      <c r="E6721" t="s">
        <v>6279</v>
      </c>
      <c r="F6721" t="s">
        <v>47171</v>
      </c>
      <c r="G6721" t="s">
        <v>16221</v>
      </c>
      <c r="H6721" t="s">
        <v>47054</v>
      </c>
      <c r="I6721" t="s">
        <v>47154</v>
      </c>
      <c r="J6721" t="s">
        <v>47155</v>
      </c>
      <c r="K6721" t="s">
        <v>47113</v>
      </c>
      <c r="L6721">
        <v>7.22</v>
      </c>
      <c r="M6721">
        <v>29</v>
      </c>
      <c r="N6721">
        <v>79</v>
      </c>
      <c r="O6721">
        <v>29</v>
      </c>
      <c r="P6721">
        <v>79</v>
      </c>
    </row>
    <row r="6722" spans="1:16" x14ac:dyDescent="0.25">
      <c r="A6722" t="s">
        <v>47491</v>
      </c>
      <c r="B6722" t="s">
        <v>47492</v>
      </c>
      <c r="C6722" t="s">
        <v>47493</v>
      </c>
      <c r="D6722" t="str">
        <f>"1001"</f>
        <v>1001</v>
      </c>
      <c r="E6722" t="s">
        <v>42</v>
      </c>
      <c r="F6722" t="s">
        <v>47488</v>
      </c>
      <c r="G6722" t="s">
        <v>16221</v>
      </c>
      <c r="H6722" t="s">
        <v>47054</v>
      </c>
      <c r="I6722" t="s">
        <v>47154</v>
      </c>
      <c r="J6722" t="s">
        <v>47155</v>
      </c>
      <c r="K6722" t="s">
        <v>47113</v>
      </c>
      <c r="L6722">
        <v>7.03</v>
      </c>
      <c r="M6722">
        <v>29</v>
      </c>
      <c r="N6722">
        <v>79</v>
      </c>
      <c r="O6722">
        <v>29</v>
      </c>
      <c r="P6722">
        <v>79</v>
      </c>
    </row>
    <row r="6723" spans="1:16" x14ac:dyDescent="0.25">
      <c r="A6723" t="s">
        <v>47494</v>
      </c>
      <c r="B6723" t="s">
        <v>47492</v>
      </c>
      <c r="C6723" t="s">
        <v>47493</v>
      </c>
      <c r="D6723" t="str">
        <f>"1700"</f>
        <v>1700</v>
      </c>
      <c r="E6723" t="s">
        <v>60</v>
      </c>
      <c r="F6723" t="s">
        <v>47488</v>
      </c>
      <c r="G6723" t="s">
        <v>16221</v>
      </c>
      <c r="H6723" t="s">
        <v>47054</v>
      </c>
      <c r="I6723" t="s">
        <v>47154</v>
      </c>
      <c r="J6723" t="s">
        <v>47155</v>
      </c>
      <c r="K6723" t="s">
        <v>47113</v>
      </c>
      <c r="L6723">
        <v>7.03</v>
      </c>
      <c r="M6723">
        <v>29</v>
      </c>
      <c r="N6723">
        <v>79</v>
      </c>
      <c r="O6723">
        <v>29</v>
      </c>
      <c r="P6723">
        <v>79</v>
      </c>
    </row>
    <row r="6724" spans="1:16" x14ac:dyDescent="0.25">
      <c r="A6724" t="s">
        <v>47495</v>
      </c>
      <c r="B6724" t="s">
        <v>47496</v>
      </c>
      <c r="C6724" t="s">
        <v>47497</v>
      </c>
      <c r="D6724" t="str">
        <f>"1700"</f>
        <v>1700</v>
      </c>
      <c r="E6724" t="s">
        <v>60</v>
      </c>
      <c r="F6724" t="s">
        <v>47479</v>
      </c>
      <c r="G6724" t="s">
        <v>16221</v>
      </c>
      <c r="H6724" t="s">
        <v>47054</v>
      </c>
      <c r="I6724" t="s">
        <v>47154</v>
      </c>
      <c r="J6724" t="s">
        <v>47155</v>
      </c>
      <c r="K6724" t="s">
        <v>47113</v>
      </c>
      <c r="L6724">
        <v>6.68</v>
      </c>
      <c r="M6724">
        <v>29</v>
      </c>
      <c r="N6724">
        <v>79</v>
      </c>
      <c r="O6724">
        <v>29</v>
      </c>
      <c r="P6724">
        <v>79</v>
      </c>
    </row>
    <row r="6725" spans="1:16" x14ac:dyDescent="0.25">
      <c r="A6725" t="s">
        <v>47498</v>
      </c>
      <c r="B6725" t="s">
        <v>47496</v>
      </c>
      <c r="C6725" t="s">
        <v>47497</v>
      </c>
      <c r="D6725" t="str">
        <f>"4100"</f>
        <v>4100</v>
      </c>
      <c r="E6725" t="s">
        <v>17644</v>
      </c>
      <c r="F6725" t="s">
        <v>47171</v>
      </c>
      <c r="G6725" t="s">
        <v>16221</v>
      </c>
      <c r="H6725" t="s">
        <v>47054</v>
      </c>
      <c r="I6725" t="s">
        <v>47154</v>
      </c>
      <c r="J6725" t="s">
        <v>47155</v>
      </c>
      <c r="K6725" t="s">
        <v>47113</v>
      </c>
      <c r="L6725">
        <v>6.68</v>
      </c>
      <c r="M6725">
        <v>29</v>
      </c>
      <c r="N6725">
        <v>79</v>
      </c>
      <c r="O6725">
        <v>29</v>
      </c>
      <c r="P6725">
        <v>79</v>
      </c>
    </row>
    <row r="6726" spans="1:16" x14ac:dyDescent="0.25">
      <c r="A6726" t="s">
        <v>29200</v>
      </c>
      <c r="B6726" t="s">
        <v>19810</v>
      </c>
      <c r="C6726" t="s">
        <v>19811</v>
      </c>
      <c r="D6726" t="str">
        <f>"1001"</f>
        <v>1001</v>
      </c>
      <c r="E6726" t="s">
        <v>42</v>
      </c>
      <c r="F6726" t="s">
        <v>3750</v>
      </c>
      <c r="G6726" t="s">
        <v>16221</v>
      </c>
      <c r="H6726" t="s">
        <v>47054</v>
      </c>
      <c r="I6726" t="s">
        <v>47154</v>
      </c>
      <c r="J6726" t="s">
        <v>47155</v>
      </c>
      <c r="K6726" t="s">
        <v>47113</v>
      </c>
      <c r="L6726">
        <v>7.1</v>
      </c>
      <c r="M6726">
        <v>29</v>
      </c>
      <c r="N6726">
        <v>79</v>
      </c>
      <c r="O6726">
        <v>29</v>
      </c>
      <c r="P6726">
        <v>79</v>
      </c>
    </row>
    <row r="6727" spans="1:16" x14ac:dyDescent="0.25">
      <c r="A6727" t="s">
        <v>29201</v>
      </c>
      <c r="B6727" t="s">
        <v>19810</v>
      </c>
      <c r="C6727" t="s">
        <v>19811</v>
      </c>
      <c r="D6727" t="str">
        <f>"1406"</f>
        <v>1406</v>
      </c>
      <c r="E6727" t="s">
        <v>17197</v>
      </c>
      <c r="F6727" t="s">
        <v>21629</v>
      </c>
      <c r="G6727" t="s">
        <v>16221</v>
      </c>
      <c r="H6727" t="s">
        <v>47054</v>
      </c>
      <c r="I6727" t="s">
        <v>47154</v>
      </c>
      <c r="J6727" t="s">
        <v>47155</v>
      </c>
      <c r="K6727" t="s">
        <v>47113</v>
      </c>
      <c r="L6727">
        <v>7.67</v>
      </c>
      <c r="M6727">
        <v>29</v>
      </c>
      <c r="N6727">
        <v>79</v>
      </c>
      <c r="O6727">
        <v>29</v>
      </c>
      <c r="P6727">
        <v>79</v>
      </c>
    </row>
    <row r="6728" spans="1:16" x14ac:dyDescent="0.25">
      <c r="A6728" t="s">
        <v>29202</v>
      </c>
      <c r="B6728" t="s">
        <v>19810</v>
      </c>
      <c r="C6728" t="s">
        <v>19811</v>
      </c>
      <c r="D6728" t="str">
        <f>"1501"</f>
        <v>1501</v>
      </c>
      <c r="E6728" t="s">
        <v>46</v>
      </c>
      <c r="F6728" t="s">
        <v>3750</v>
      </c>
      <c r="G6728" t="s">
        <v>16221</v>
      </c>
      <c r="H6728" t="s">
        <v>47054</v>
      </c>
      <c r="I6728" t="s">
        <v>47154</v>
      </c>
      <c r="J6728" t="s">
        <v>47155</v>
      </c>
      <c r="K6728" t="s">
        <v>47113</v>
      </c>
      <c r="L6728">
        <v>7.67</v>
      </c>
      <c r="M6728">
        <v>29</v>
      </c>
      <c r="N6728">
        <v>79</v>
      </c>
      <c r="O6728">
        <v>29</v>
      </c>
      <c r="P6728">
        <v>79</v>
      </c>
    </row>
    <row r="6729" spans="1:16" x14ac:dyDescent="0.25">
      <c r="A6729" t="s">
        <v>29203</v>
      </c>
      <c r="B6729" t="s">
        <v>19810</v>
      </c>
      <c r="C6729" t="s">
        <v>19811</v>
      </c>
      <c r="D6729" t="str">
        <f>"1700"</f>
        <v>1700</v>
      </c>
      <c r="E6729" t="s">
        <v>60</v>
      </c>
      <c r="F6729" t="s">
        <v>3750</v>
      </c>
      <c r="G6729" t="s">
        <v>16221</v>
      </c>
      <c r="H6729" t="s">
        <v>47054</v>
      </c>
      <c r="I6729" t="s">
        <v>47154</v>
      </c>
      <c r="J6729" t="s">
        <v>47155</v>
      </c>
      <c r="K6729" t="s">
        <v>47113</v>
      </c>
      <c r="L6729">
        <v>7.32</v>
      </c>
      <c r="M6729">
        <v>29</v>
      </c>
      <c r="N6729">
        <v>79</v>
      </c>
      <c r="O6729">
        <v>29</v>
      </c>
      <c r="P6729">
        <v>79</v>
      </c>
    </row>
    <row r="6730" spans="1:16" x14ac:dyDescent="0.25">
      <c r="A6730" t="s">
        <v>29204</v>
      </c>
      <c r="B6730" t="s">
        <v>19810</v>
      </c>
      <c r="C6730" t="s">
        <v>19811</v>
      </c>
      <c r="D6730" t="str">
        <f>"4059"</f>
        <v>4059</v>
      </c>
      <c r="E6730" t="s">
        <v>17027</v>
      </c>
      <c r="F6730" t="s">
        <v>47488</v>
      </c>
      <c r="G6730" t="s">
        <v>16221</v>
      </c>
      <c r="H6730" t="s">
        <v>47054</v>
      </c>
      <c r="I6730" t="s">
        <v>47154</v>
      </c>
      <c r="J6730" t="s">
        <v>47155</v>
      </c>
      <c r="K6730" t="s">
        <v>47113</v>
      </c>
      <c r="L6730">
        <v>7.25</v>
      </c>
      <c r="M6730">
        <v>29</v>
      </c>
      <c r="N6730">
        <v>79</v>
      </c>
      <c r="O6730">
        <v>29</v>
      </c>
      <c r="P6730">
        <v>79</v>
      </c>
    </row>
    <row r="6731" spans="1:16" x14ac:dyDescent="0.25">
      <c r="A6731" t="s">
        <v>47499</v>
      </c>
      <c r="B6731" t="s">
        <v>19810</v>
      </c>
      <c r="C6731" t="s">
        <v>19811</v>
      </c>
      <c r="D6731" t="str">
        <f>"4100"</f>
        <v>4100</v>
      </c>
      <c r="E6731" t="s">
        <v>2383</v>
      </c>
      <c r="F6731" t="s">
        <v>47488</v>
      </c>
      <c r="G6731" t="s">
        <v>16221</v>
      </c>
      <c r="H6731" t="s">
        <v>47054</v>
      </c>
      <c r="I6731" t="s">
        <v>47154</v>
      </c>
      <c r="J6731" t="s">
        <v>47155</v>
      </c>
      <c r="K6731" t="s">
        <v>47113</v>
      </c>
      <c r="L6731">
        <v>7.4</v>
      </c>
      <c r="M6731">
        <v>29</v>
      </c>
      <c r="N6731">
        <v>79</v>
      </c>
      <c r="O6731">
        <v>29</v>
      </c>
      <c r="P6731">
        <v>79</v>
      </c>
    </row>
    <row r="6732" spans="1:16" x14ac:dyDescent="0.25">
      <c r="A6732" t="s">
        <v>29205</v>
      </c>
      <c r="B6732" t="s">
        <v>19810</v>
      </c>
      <c r="C6732" t="s">
        <v>19811</v>
      </c>
      <c r="D6732" t="str">
        <f>"4602"</f>
        <v>4602</v>
      </c>
      <c r="E6732" t="s">
        <v>19812</v>
      </c>
      <c r="F6732" t="s">
        <v>3750</v>
      </c>
      <c r="G6732" t="s">
        <v>16221</v>
      </c>
      <c r="H6732" t="s">
        <v>47054</v>
      </c>
      <c r="I6732" t="s">
        <v>47154</v>
      </c>
      <c r="J6732" t="s">
        <v>47155</v>
      </c>
      <c r="K6732" t="s">
        <v>47113</v>
      </c>
      <c r="L6732">
        <v>9.99</v>
      </c>
      <c r="M6732">
        <v>34</v>
      </c>
      <c r="N6732">
        <v>0</v>
      </c>
      <c r="O6732">
        <v>34</v>
      </c>
      <c r="P6732">
        <v>0</v>
      </c>
    </row>
    <row r="6733" spans="1:16" x14ac:dyDescent="0.25">
      <c r="A6733" t="s">
        <v>47500</v>
      </c>
      <c r="B6733" t="s">
        <v>19810</v>
      </c>
      <c r="C6733" t="s">
        <v>19811</v>
      </c>
      <c r="D6733" t="str">
        <f>"6000"</f>
        <v>6000</v>
      </c>
      <c r="E6733" t="s">
        <v>6279</v>
      </c>
      <c r="F6733" t="s">
        <v>3750</v>
      </c>
      <c r="G6733" t="s">
        <v>16221</v>
      </c>
      <c r="H6733" t="s">
        <v>47054</v>
      </c>
      <c r="I6733" t="s">
        <v>47154</v>
      </c>
      <c r="J6733" t="s">
        <v>47155</v>
      </c>
      <c r="K6733" t="s">
        <v>47113</v>
      </c>
      <c r="L6733">
        <v>7.4</v>
      </c>
      <c r="M6733">
        <v>29</v>
      </c>
      <c r="N6733">
        <v>79</v>
      </c>
      <c r="O6733">
        <v>29</v>
      </c>
      <c r="P6733">
        <v>79</v>
      </c>
    </row>
    <row r="6734" spans="1:16" x14ac:dyDescent="0.25">
      <c r="A6734" t="s">
        <v>47501</v>
      </c>
      <c r="B6734" t="s">
        <v>19810</v>
      </c>
      <c r="C6734" t="s">
        <v>19811</v>
      </c>
      <c r="D6734" t="str">
        <f>"6003"</f>
        <v>6003</v>
      </c>
      <c r="E6734" t="s">
        <v>9711</v>
      </c>
      <c r="F6734" t="s">
        <v>47488</v>
      </c>
      <c r="G6734" t="s">
        <v>16221</v>
      </c>
      <c r="H6734" t="s">
        <v>47054</v>
      </c>
      <c r="I6734" t="s">
        <v>47154</v>
      </c>
      <c r="J6734" t="s">
        <v>47155</v>
      </c>
      <c r="K6734" t="s">
        <v>47113</v>
      </c>
      <c r="L6734">
        <v>7.32</v>
      </c>
      <c r="M6734">
        <v>29</v>
      </c>
      <c r="N6734">
        <v>79</v>
      </c>
      <c r="O6734">
        <v>29</v>
      </c>
      <c r="P6734">
        <v>79</v>
      </c>
    </row>
    <row r="6735" spans="1:16" x14ac:dyDescent="0.25">
      <c r="A6735" t="s">
        <v>29206</v>
      </c>
      <c r="B6735" t="s">
        <v>19810</v>
      </c>
      <c r="C6735" t="s">
        <v>19811</v>
      </c>
      <c r="D6735" t="str">
        <f>"7003"</f>
        <v>7003</v>
      </c>
      <c r="E6735" t="s">
        <v>19813</v>
      </c>
      <c r="F6735" t="s">
        <v>3750</v>
      </c>
      <c r="G6735" t="s">
        <v>16221</v>
      </c>
      <c r="H6735" t="s">
        <v>47054</v>
      </c>
      <c r="I6735" t="s">
        <v>47154</v>
      </c>
      <c r="J6735" t="s">
        <v>47155</v>
      </c>
      <c r="K6735" t="s">
        <v>47113</v>
      </c>
      <c r="L6735">
        <v>7.35</v>
      </c>
      <c r="M6735">
        <v>28</v>
      </c>
      <c r="N6735">
        <v>0</v>
      </c>
      <c r="O6735">
        <v>28</v>
      </c>
      <c r="P6735">
        <v>0</v>
      </c>
    </row>
    <row r="6736" spans="1:16" x14ac:dyDescent="0.25">
      <c r="A6736" t="s">
        <v>29207</v>
      </c>
      <c r="B6736" t="s">
        <v>22696</v>
      </c>
      <c r="C6736" t="s">
        <v>19214</v>
      </c>
      <c r="D6736" t="str">
        <f>"1001"</f>
        <v>1001</v>
      </c>
      <c r="E6736" t="s">
        <v>42</v>
      </c>
      <c r="F6736" t="s">
        <v>3750</v>
      </c>
      <c r="G6736" t="s">
        <v>16221</v>
      </c>
      <c r="H6736" t="s">
        <v>47054</v>
      </c>
      <c r="I6736" t="s">
        <v>47154</v>
      </c>
      <c r="J6736" t="s">
        <v>47155</v>
      </c>
      <c r="K6736" t="s">
        <v>47113</v>
      </c>
      <c r="L6736">
        <v>6.19</v>
      </c>
      <c r="M6736">
        <v>29</v>
      </c>
      <c r="N6736">
        <v>79</v>
      </c>
      <c r="O6736">
        <v>29</v>
      </c>
      <c r="P6736">
        <v>79</v>
      </c>
    </row>
    <row r="6737" spans="1:16" x14ac:dyDescent="0.25">
      <c r="A6737" t="s">
        <v>22695</v>
      </c>
      <c r="B6737" t="s">
        <v>22696</v>
      </c>
      <c r="C6737" t="s">
        <v>19214</v>
      </c>
      <c r="D6737" t="str">
        <f>"6000"</f>
        <v>6000</v>
      </c>
      <c r="E6737" t="s">
        <v>6279</v>
      </c>
      <c r="F6737" t="s">
        <v>3750</v>
      </c>
      <c r="G6737" t="s">
        <v>16221</v>
      </c>
      <c r="H6737" t="s">
        <v>47054</v>
      </c>
      <c r="I6737" t="s">
        <v>47154</v>
      </c>
      <c r="J6737" t="s">
        <v>47155</v>
      </c>
      <c r="K6737" t="s">
        <v>47113</v>
      </c>
      <c r="L6737">
        <v>6.09</v>
      </c>
      <c r="M6737">
        <v>29</v>
      </c>
      <c r="N6737">
        <v>79</v>
      </c>
      <c r="O6737">
        <v>29</v>
      </c>
      <c r="P6737">
        <v>79</v>
      </c>
    </row>
    <row r="6738" spans="1:16" x14ac:dyDescent="0.25">
      <c r="A6738" t="s">
        <v>29208</v>
      </c>
      <c r="B6738" t="s">
        <v>19814</v>
      </c>
      <c r="C6738" t="s">
        <v>19815</v>
      </c>
      <c r="D6738" t="str">
        <f>"1700"</f>
        <v>1700</v>
      </c>
      <c r="E6738" t="s">
        <v>60</v>
      </c>
      <c r="F6738" t="s">
        <v>3750</v>
      </c>
      <c r="G6738" t="s">
        <v>16221</v>
      </c>
      <c r="H6738" t="s">
        <v>47054</v>
      </c>
      <c r="I6738" t="s">
        <v>47154</v>
      </c>
      <c r="J6738" t="s">
        <v>47155</v>
      </c>
      <c r="K6738" t="s">
        <v>47113</v>
      </c>
      <c r="L6738">
        <v>6.02</v>
      </c>
      <c r="M6738">
        <v>28</v>
      </c>
      <c r="N6738">
        <v>0</v>
      </c>
      <c r="O6738">
        <v>28</v>
      </c>
      <c r="P6738">
        <v>0</v>
      </c>
    </row>
    <row r="6739" spans="1:16" x14ac:dyDescent="0.25">
      <c r="A6739" t="s">
        <v>29209</v>
      </c>
      <c r="B6739" t="s">
        <v>29210</v>
      </c>
      <c r="C6739" t="s">
        <v>29211</v>
      </c>
      <c r="D6739" t="str">
        <f>"4100"</f>
        <v>4100</v>
      </c>
      <c r="E6739" t="s">
        <v>17644</v>
      </c>
      <c r="F6739" t="s">
        <v>19878</v>
      </c>
      <c r="G6739" t="s">
        <v>16221</v>
      </c>
      <c r="H6739" t="s">
        <v>47054</v>
      </c>
      <c r="I6739" t="s">
        <v>47154</v>
      </c>
      <c r="J6739" t="s">
        <v>47155</v>
      </c>
      <c r="K6739" t="s">
        <v>47113</v>
      </c>
      <c r="L6739">
        <v>6.39</v>
      </c>
      <c r="M6739">
        <v>29</v>
      </c>
      <c r="N6739">
        <v>79</v>
      </c>
      <c r="O6739">
        <v>29</v>
      </c>
      <c r="P6739">
        <v>79</v>
      </c>
    </row>
    <row r="6740" spans="1:16" x14ac:dyDescent="0.25">
      <c r="A6740" t="s">
        <v>29212</v>
      </c>
      <c r="B6740" t="s">
        <v>19816</v>
      </c>
      <c r="C6740" t="s">
        <v>19817</v>
      </c>
      <c r="D6740" t="str">
        <f>"1081"</f>
        <v>1081</v>
      </c>
      <c r="E6740" t="s">
        <v>19482</v>
      </c>
      <c r="F6740" t="s">
        <v>3750</v>
      </c>
      <c r="G6740" t="s">
        <v>16221</v>
      </c>
      <c r="H6740" t="s">
        <v>47054</v>
      </c>
      <c r="I6740" t="s">
        <v>47154</v>
      </c>
      <c r="J6740" t="s">
        <v>47155</v>
      </c>
      <c r="K6740" t="s">
        <v>47113</v>
      </c>
      <c r="L6740">
        <v>6.83</v>
      </c>
      <c r="M6740">
        <v>33</v>
      </c>
      <c r="N6740">
        <v>0</v>
      </c>
      <c r="O6740">
        <v>33</v>
      </c>
      <c r="P6740">
        <v>0</v>
      </c>
    </row>
    <row r="6741" spans="1:16" x14ac:dyDescent="0.25">
      <c r="A6741" t="s">
        <v>29213</v>
      </c>
      <c r="B6741" t="s">
        <v>19816</v>
      </c>
      <c r="C6741" t="s">
        <v>19817</v>
      </c>
      <c r="D6741" t="str">
        <f>"1708"</f>
        <v>1708</v>
      </c>
      <c r="E6741" t="s">
        <v>16240</v>
      </c>
      <c r="F6741" t="s">
        <v>3750</v>
      </c>
      <c r="G6741" t="s">
        <v>16221</v>
      </c>
      <c r="H6741" t="s">
        <v>47054</v>
      </c>
      <c r="I6741" t="s">
        <v>47154</v>
      </c>
      <c r="J6741" t="s">
        <v>47155</v>
      </c>
      <c r="K6741" t="s">
        <v>47113</v>
      </c>
      <c r="L6741">
        <v>6.83</v>
      </c>
      <c r="M6741">
        <v>33</v>
      </c>
      <c r="N6741">
        <v>0</v>
      </c>
      <c r="O6741">
        <v>33</v>
      </c>
      <c r="P6741">
        <v>0</v>
      </c>
    </row>
    <row r="6742" spans="1:16" x14ac:dyDescent="0.25">
      <c r="A6742" t="s">
        <v>29214</v>
      </c>
      <c r="B6742" t="s">
        <v>19818</v>
      </c>
      <c r="C6742" t="s">
        <v>19819</v>
      </c>
      <c r="D6742" t="str">
        <f>"1096"</f>
        <v>1096</v>
      </c>
      <c r="E6742" t="s">
        <v>4744</v>
      </c>
      <c r="F6742" t="s">
        <v>3750</v>
      </c>
      <c r="G6742" t="s">
        <v>16221</v>
      </c>
      <c r="H6742" t="s">
        <v>47054</v>
      </c>
      <c r="I6742" t="s">
        <v>47154</v>
      </c>
      <c r="J6742" t="s">
        <v>47155</v>
      </c>
      <c r="K6742" t="s">
        <v>47113</v>
      </c>
      <c r="L6742">
        <v>5.89</v>
      </c>
      <c r="M6742">
        <v>26</v>
      </c>
      <c r="N6742">
        <v>0</v>
      </c>
      <c r="O6742">
        <v>26</v>
      </c>
      <c r="P6742">
        <v>0</v>
      </c>
    </row>
    <row r="6743" spans="1:16" x14ac:dyDescent="0.25">
      <c r="A6743" t="s">
        <v>29215</v>
      </c>
      <c r="B6743" t="s">
        <v>19818</v>
      </c>
      <c r="C6743" t="s">
        <v>19819</v>
      </c>
      <c r="D6743" t="str">
        <f>"1862"</f>
        <v>1862</v>
      </c>
      <c r="E6743" t="s">
        <v>19820</v>
      </c>
      <c r="F6743" t="s">
        <v>3750</v>
      </c>
      <c r="G6743" t="s">
        <v>16221</v>
      </c>
      <c r="H6743" t="s">
        <v>47054</v>
      </c>
      <c r="I6743" t="s">
        <v>47154</v>
      </c>
      <c r="J6743" t="s">
        <v>47155</v>
      </c>
      <c r="K6743" t="s">
        <v>47113</v>
      </c>
      <c r="L6743">
        <v>5.89</v>
      </c>
      <c r="M6743">
        <v>26</v>
      </c>
      <c r="N6743">
        <v>0</v>
      </c>
      <c r="O6743">
        <v>26</v>
      </c>
      <c r="P6743">
        <v>0</v>
      </c>
    </row>
    <row r="6744" spans="1:16" x14ac:dyDescent="0.25">
      <c r="A6744" t="s">
        <v>29216</v>
      </c>
      <c r="B6744" t="s">
        <v>19821</v>
      </c>
      <c r="C6744" t="s">
        <v>19822</v>
      </c>
      <c r="D6744" t="str">
        <f>"4100"</f>
        <v>4100</v>
      </c>
      <c r="E6744" t="s">
        <v>17644</v>
      </c>
      <c r="F6744" t="s">
        <v>3750</v>
      </c>
      <c r="G6744" t="s">
        <v>16221</v>
      </c>
      <c r="H6744" t="s">
        <v>47054</v>
      </c>
      <c r="I6744" t="s">
        <v>47154</v>
      </c>
      <c r="J6744" t="s">
        <v>47155</v>
      </c>
      <c r="K6744" t="s">
        <v>47113</v>
      </c>
      <c r="L6744">
        <v>6.21</v>
      </c>
      <c r="M6744">
        <v>28</v>
      </c>
      <c r="N6744">
        <v>0</v>
      </c>
      <c r="O6744">
        <v>28</v>
      </c>
      <c r="P6744">
        <v>0</v>
      </c>
    </row>
    <row r="6745" spans="1:16" x14ac:dyDescent="0.25">
      <c r="A6745" t="s">
        <v>29217</v>
      </c>
      <c r="B6745" t="s">
        <v>19823</v>
      </c>
      <c r="C6745" t="s">
        <v>19824</v>
      </c>
      <c r="D6745" t="str">
        <f>"1700"</f>
        <v>1700</v>
      </c>
      <c r="E6745" t="s">
        <v>60</v>
      </c>
      <c r="F6745" t="s">
        <v>3750</v>
      </c>
      <c r="G6745" t="s">
        <v>16221</v>
      </c>
      <c r="H6745" t="s">
        <v>47054</v>
      </c>
      <c r="I6745" t="s">
        <v>47154</v>
      </c>
      <c r="J6745" t="s">
        <v>47155</v>
      </c>
      <c r="K6745" t="s">
        <v>47113</v>
      </c>
      <c r="L6745">
        <v>7.21</v>
      </c>
      <c r="M6745">
        <v>28</v>
      </c>
      <c r="N6745">
        <v>0</v>
      </c>
      <c r="O6745">
        <v>28</v>
      </c>
      <c r="P6745">
        <v>0</v>
      </c>
    </row>
    <row r="6746" spans="1:16" x14ac:dyDescent="0.25">
      <c r="A6746" t="s">
        <v>29218</v>
      </c>
      <c r="B6746" t="s">
        <v>19825</v>
      </c>
      <c r="C6746" t="s">
        <v>19826</v>
      </c>
      <c r="D6746" t="str">
        <f>"1001"</f>
        <v>1001</v>
      </c>
      <c r="E6746" t="s">
        <v>42</v>
      </c>
      <c r="F6746" t="s">
        <v>3750</v>
      </c>
      <c r="G6746" t="s">
        <v>16221</v>
      </c>
      <c r="H6746" t="s">
        <v>47054</v>
      </c>
      <c r="I6746" t="s">
        <v>47154</v>
      </c>
      <c r="J6746" t="s">
        <v>47155</v>
      </c>
      <c r="K6746" t="s">
        <v>47113</v>
      </c>
      <c r="L6746">
        <v>6.02</v>
      </c>
      <c r="M6746">
        <v>28</v>
      </c>
      <c r="N6746">
        <v>0</v>
      </c>
      <c r="O6746">
        <v>28</v>
      </c>
      <c r="P6746">
        <v>0</v>
      </c>
    </row>
    <row r="6747" spans="1:16" x14ac:dyDescent="0.25">
      <c r="A6747" t="s">
        <v>29219</v>
      </c>
      <c r="B6747" t="s">
        <v>19827</v>
      </c>
      <c r="C6747" t="s">
        <v>19828</v>
      </c>
      <c r="D6747" t="str">
        <f>"1700"</f>
        <v>1700</v>
      </c>
      <c r="E6747" t="s">
        <v>60</v>
      </c>
      <c r="F6747" t="s">
        <v>3750</v>
      </c>
      <c r="G6747" t="s">
        <v>16221</v>
      </c>
      <c r="H6747" t="s">
        <v>47054</v>
      </c>
      <c r="I6747" t="s">
        <v>47154</v>
      </c>
      <c r="J6747" t="s">
        <v>47155</v>
      </c>
      <c r="K6747" t="s">
        <v>47113</v>
      </c>
      <c r="L6747">
        <v>6.02</v>
      </c>
      <c r="M6747">
        <v>28</v>
      </c>
      <c r="N6747">
        <v>0</v>
      </c>
      <c r="O6747">
        <v>28</v>
      </c>
      <c r="P6747">
        <v>0</v>
      </c>
    </row>
    <row r="6748" spans="1:16" x14ac:dyDescent="0.25">
      <c r="A6748" t="s">
        <v>29220</v>
      </c>
      <c r="B6748" t="s">
        <v>19827</v>
      </c>
      <c r="C6748" t="s">
        <v>19828</v>
      </c>
      <c r="D6748" t="str">
        <f>"4100"</f>
        <v>4100</v>
      </c>
      <c r="E6748" t="s">
        <v>17644</v>
      </c>
      <c r="F6748" t="s">
        <v>3750</v>
      </c>
      <c r="G6748" t="s">
        <v>16221</v>
      </c>
      <c r="H6748" t="s">
        <v>47054</v>
      </c>
      <c r="I6748" t="s">
        <v>47154</v>
      </c>
      <c r="J6748" t="s">
        <v>47155</v>
      </c>
      <c r="K6748" t="s">
        <v>47113</v>
      </c>
      <c r="L6748">
        <v>6.02</v>
      </c>
      <c r="M6748">
        <v>28</v>
      </c>
      <c r="N6748">
        <v>0</v>
      </c>
      <c r="O6748">
        <v>28</v>
      </c>
      <c r="P6748">
        <v>0</v>
      </c>
    </row>
    <row r="6749" spans="1:16" x14ac:dyDescent="0.25">
      <c r="A6749" t="s">
        <v>29221</v>
      </c>
      <c r="B6749" t="s">
        <v>19829</v>
      </c>
      <c r="C6749" t="s">
        <v>19830</v>
      </c>
      <c r="D6749" t="str">
        <f>"1700"</f>
        <v>1700</v>
      </c>
      <c r="E6749" t="s">
        <v>60</v>
      </c>
      <c r="F6749" t="s">
        <v>3750</v>
      </c>
      <c r="G6749" t="s">
        <v>16221</v>
      </c>
      <c r="H6749" t="s">
        <v>47054</v>
      </c>
      <c r="I6749" t="s">
        <v>47154</v>
      </c>
      <c r="J6749" t="s">
        <v>47155</v>
      </c>
      <c r="K6749" t="s">
        <v>47113</v>
      </c>
      <c r="L6749">
        <v>6.36</v>
      </c>
      <c r="M6749">
        <v>28</v>
      </c>
      <c r="N6749">
        <v>0</v>
      </c>
      <c r="O6749">
        <v>28</v>
      </c>
      <c r="P6749">
        <v>0</v>
      </c>
    </row>
    <row r="6750" spans="1:16" x14ac:dyDescent="0.25">
      <c r="A6750" t="s">
        <v>29222</v>
      </c>
      <c r="B6750" t="s">
        <v>19831</v>
      </c>
      <c r="C6750" t="s">
        <v>19832</v>
      </c>
      <c r="D6750" t="str">
        <f>"1700"</f>
        <v>1700</v>
      </c>
      <c r="E6750" t="s">
        <v>60</v>
      </c>
      <c r="F6750" t="s">
        <v>3750</v>
      </c>
      <c r="G6750" t="s">
        <v>16221</v>
      </c>
      <c r="H6750" t="s">
        <v>47054</v>
      </c>
      <c r="I6750" t="s">
        <v>47154</v>
      </c>
      <c r="J6750" t="s">
        <v>47155</v>
      </c>
      <c r="K6750" t="s">
        <v>47113</v>
      </c>
      <c r="L6750">
        <v>6.47</v>
      </c>
      <c r="M6750">
        <v>28</v>
      </c>
      <c r="N6750">
        <v>0</v>
      </c>
      <c r="O6750">
        <v>28</v>
      </c>
      <c r="P6750">
        <v>0</v>
      </c>
    </row>
    <row r="6751" spans="1:16" x14ac:dyDescent="0.25">
      <c r="A6751" t="s">
        <v>29223</v>
      </c>
      <c r="B6751" t="s">
        <v>19831</v>
      </c>
      <c r="C6751" t="s">
        <v>19832</v>
      </c>
      <c r="D6751" t="str">
        <f>"6059"</f>
        <v>6059</v>
      </c>
      <c r="E6751" t="s">
        <v>6279</v>
      </c>
      <c r="F6751" t="s">
        <v>3750</v>
      </c>
      <c r="G6751" t="s">
        <v>16221</v>
      </c>
      <c r="H6751" t="s">
        <v>47054</v>
      </c>
      <c r="I6751" t="s">
        <v>47154</v>
      </c>
      <c r="J6751" t="s">
        <v>47155</v>
      </c>
      <c r="K6751" t="s">
        <v>47113</v>
      </c>
      <c r="L6751">
        <v>6.47</v>
      </c>
      <c r="M6751">
        <v>28</v>
      </c>
      <c r="N6751">
        <v>0</v>
      </c>
      <c r="O6751">
        <v>28</v>
      </c>
      <c r="P6751">
        <v>0</v>
      </c>
    </row>
    <row r="6752" spans="1:16" x14ac:dyDescent="0.25">
      <c r="A6752" t="s">
        <v>29224</v>
      </c>
      <c r="B6752" t="s">
        <v>19833</v>
      </c>
      <c r="C6752" t="s">
        <v>19834</v>
      </c>
      <c r="D6752" t="str">
        <f>"4100"</f>
        <v>4100</v>
      </c>
      <c r="E6752" t="s">
        <v>17644</v>
      </c>
      <c r="F6752" t="s">
        <v>3750</v>
      </c>
      <c r="G6752" t="s">
        <v>16221</v>
      </c>
      <c r="H6752" t="s">
        <v>47054</v>
      </c>
      <c r="I6752" t="s">
        <v>47154</v>
      </c>
      <c r="J6752" t="s">
        <v>47155</v>
      </c>
      <c r="K6752" t="s">
        <v>47113</v>
      </c>
      <c r="L6752">
        <v>8.89</v>
      </c>
      <c r="M6752">
        <v>34</v>
      </c>
      <c r="N6752">
        <v>0</v>
      </c>
      <c r="O6752">
        <v>34</v>
      </c>
      <c r="P6752">
        <v>0</v>
      </c>
    </row>
    <row r="6753" spans="1:16" x14ac:dyDescent="0.25">
      <c r="A6753" t="s">
        <v>29225</v>
      </c>
      <c r="B6753" t="s">
        <v>19835</v>
      </c>
      <c r="C6753" t="s">
        <v>19836</v>
      </c>
      <c r="D6753" t="str">
        <f>"1001"</f>
        <v>1001</v>
      </c>
      <c r="E6753" t="s">
        <v>42</v>
      </c>
      <c r="F6753" t="s">
        <v>3750</v>
      </c>
      <c r="G6753" t="s">
        <v>16221</v>
      </c>
      <c r="H6753" t="s">
        <v>47054</v>
      </c>
      <c r="I6753" t="s">
        <v>47154</v>
      </c>
      <c r="J6753" t="s">
        <v>47155</v>
      </c>
      <c r="K6753" t="s">
        <v>47113</v>
      </c>
      <c r="L6753">
        <v>6.02</v>
      </c>
      <c r="M6753">
        <v>28</v>
      </c>
      <c r="N6753">
        <v>0</v>
      </c>
      <c r="O6753">
        <v>28</v>
      </c>
      <c r="P6753">
        <v>0</v>
      </c>
    </row>
    <row r="6754" spans="1:16" x14ac:dyDescent="0.25">
      <c r="A6754" t="s">
        <v>29226</v>
      </c>
      <c r="B6754" t="s">
        <v>19837</v>
      </c>
      <c r="C6754" t="s">
        <v>19838</v>
      </c>
      <c r="D6754" t="str">
        <f>"6059"</f>
        <v>6059</v>
      </c>
      <c r="E6754" t="s">
        <v>6279</v>
      </c>
      <c r="F6754" t="s">
        <v>3750</v>
      </c>
      <c r="G6754" t="s">
        <v>16221</v>
      </c>
      <c r="H6754" t="s">
        <v>47054</v>
      </c>
      <c r="I6754" t="s">
        <v>47154</v>
      </c>
      <c r="J6754" t="s">
        <v>47155</v>
      </c>
      <c r="K6754" t="s">
        <v>47113</v>
      </c>
      <c r="L6754">
        <v>6.02</v>
      </c>
      <c r="M6754">
        <v>28</v>
      </c>
      <c r="N6754">
        <v>0</v>
      </c>
      <c r="O6754">
        <v>28</v>
      </c>
      <c r="P6754">
        <v>0</v>
      </c>
    </row>
    <row r="6755" spans="1:16" x14ac:dyDescent="0.25">
      <c r="A6755" t="s">
        <v>29227</v>
      </c>
      <c r="B6755" t="s">
        <v>19839</v>
      </c>
      <c r="C6755" t="s">
        <v>19840</v>
      </c>
      <c r="D6755" t="str">
        <f>"1700"</f>
        <v>1700</v>
      </c>
      <c r="E6755" t="s">
        <v>60</v>
      </c>
      <c r="F6755" t="s">
        <v>3750</v>
      </c>
      <c r="G6755" t="s">
        <v>16221</v>
      </c>
      <c r="H6755" t="s">
        <v>47054</v>
      </c>
      <c r="I6755" t="s">
        <v>47154</v>
      </c>
      <c r="J6755" t="s">
        <v>47155</v>
      </c>
      <c r="K6755" t="s">
        <v>47113</v>
      </c>
      <c r="L6755">
        <v>6.02</v>
      </c>
      <c r="M6755">
        <v>28</v>
      </c>
      <c r="N6755">
        <v>0</v>
      </c>
      <c r="O6755">
        <v>28</v>
      </c>
      <c r="P6755">
        <v>0</v>
      </c>
    </row>
    <row r="6756" spans="1:16" x14ac:dyDescent="0.25">
      <c r="A6756" t="s">
        <v>29228</v>
      </c>
      <c r="B6756" t="s">
        <v>19841</v>
      </c>
      <c r="C6756" t="s">
        <v>19842</v>
      </c>
      <c r="D6756" t="str">
        <f>"1700"</f>
        <v>1700</v>
      </c>
      <c r="E6756" t="s">
        <v>60</v>
      </c>
      <c r="F6756" t="s">
        <v>3750</v>
      </c>
      <c r="G6756" t="s">
        <v>16221</v>
      </c>
      <c r="H6756" t="s">
        <v>47054</v>
      </c>
      <c r="I6756" t="s">
        <v>47154</v>
      </c>
      <c r="J6756" t="s">
        <v>47155</v>
      </c>
      <c r="K6756" t="s">
        <v>47113</v>
      </c>
      <c r="L6756">
        <v>7.41</v>
      </c>
      <c r="M6756">
        <v>34</v>
      </c>
      <c r="N6756">
        <v>0</v>
      </c>
      <c r="O6756">
        <v>34</v>
      </c>
      <c r="P6756">
        <v>0</v>
      </c>
    </row>
    <row r="6757" spans="1:16" x14ac:dyDescent="0.25">
      <c r="A6757" t="s">
        <v>29229</v>
      </c>
      <c r="B6757" t="s">
        <v>29230</v>
      </c>
      <c r="C6757" t="s">
        <v>29231</v>
      </c>
      <c r="D6757" t="str">
        <f>"1001"</f>
        <v>1001</v>
      </c>
      <c r="E6757" t="s">
        <v>42</v>
      </c>
      <c r="F6757" t="s">
        <v>3750</v>
      </c>
      <c r="G6757" t="s">
        <v>16221</v>
      </c>
      <c r="H6757" t="s">
        <v>47054</v>
      </c>
      <c r="I6757" t="s">
        <v>47154</v>
      </c>
      <c r="J6757" t="s">
        <v>47155</v>
      </c>
      <c r="K6757" t="s">
        <v>47113</v>
      </c>
      <c r="L6757">
        <v>8.64</v>
      </c>
      <c r="M6757">
        <v>34</v>
      </c>
      <c r="N6757">
        <v>0</v>
      </c>
      <c r="O6757">
        <v>34</v>
      </c>
      <c r="P6757">
        <v>0</v>
      </c>
    </row>
    <row r="6758" spans="1:16" x14ac:dyDescent="0.25">
      <c r="A6758" t="s">
        <v>29232</v>
      </c>
      <c r="B6758" t="s">
        <v>29230</v>
      </c>
      <c r="C6758" t="s">
        <v>29231</v>
      </c>
      <c r="D6758" t="str">
        <f>"1406"</f>
        <v>1406</v>
      </c>
      <c r="E6758" t="s">
        <v>17197</v>
      </c>
      <c r="F6758" t="s">
        <v>3750</v>
      </c>
      <c r="G6758" t="s">
        <v>16221</v>
      </c>
      <c r="H6758" t="s">
        <v>47054</v>
      </c>
      <c r="I6758" t="s">
        <v>47154</v>
      </c>
      <c r="J6758" t="s">
        <v>47155</v>
      </c>
      <c r="K6758" t="s">
        <v>47113</v>
      </c>
      <c r="L6758">
        <v>8.6</v>
      </c>
      <c r="M6758">
        <v>29</v>
      </c>
      <c r="N6758">
        <v>79</v>
      </c>
      <c r="O6758">
        <v>29</v>
      </c>
      <c r="P6758">
        <v>79</v>
      </c>
    </row>
    <row r="6759" spans="1:16" x14ac:dyDescent="0.25">
      <c r="A6759" t="s">
        <v>29233</v>
      </c>
      <c r="B6759" t="s">
        <v>29230</v>
      </c>
      <c r="C6759" t="s">
        <v>29231</v>
      </c>
      <c r="D6759" t="str">
        <f>"3443"</f>
        <v>3443</v>
      </c>
      <c r="E6759" t="s">
        <v>9011</v>
      </c>
      <c r="F6759" t="s">
        <v>3750</v>
      </c>
      <c r="G6759" t="s">
        <v>16221</v>
      </c>
      <c r="H6759" t="s">
        <v>47054</v>
      </c>
      <c r="I6759" t="s">
        <v>47154</v>
      </c>
      <c r="J6759" t="s">
        <v>47155</v>
      </c>
      <c r="K6759" t="s">
        <v>47113</v>
      </c>
      <c r="L6759">
        <v>8.6</v>
      </c>
      <c r="M6759">
        <v>29</v>
      </c>
      <c r="N6759">
        <v>79</v>
      </c>
      <c r="O6759">
        <v>29</v>
      </c>
      <c r="P6759">
        <v>79</v>
      </c>
    </row>
    <row r="6760" spans="1:16" x14ac:dyDescent="0.25">
      <c r="A6760" t="s">
        <v>29234</v>
      </c>
      <c r="B6760" t="s">
        <v>19843</v>
      </c>
      <c r="C6760" t="s">
        <v>19844</v>
      </c>
      <c r="D6760" t="str">
        <f>"1001"</f>
        <v>1001</v>
      </c>
      <c r="E6760" t="s">
        <v>42</v>
      </c>
      <c r="F6760" t="s">
        <v>3750</v>
      </c>
      <c r="G6760" t="s">
        <v>16221</v>
      </c>
      <c r="H6760" t="s">
        <v>47054</v>
      </c>
      <c r="I6760" t="s">
        <v>47154</v>
      </c>
      <c r="J6760" t="s">
        <v>47155</v>
      </c>
      <c r="K6760" t="s">
        <v>47113</v>
      </c>
      <c r="L6760">
        <v>6.91</v>
      </c>
      <c r="M6760">
        <v>28</v>
      </c>
      <c r="N6760">
        <v>0</v>
      </c>
      <c r="O6760">
        <v>28</v>
      </c>
      <c r="P6760">
        <v>0</v>
      </c>
    </row>
    <row r="6761" spans="1:16" x14ac:dyDescent="0.25">
      <c r="A6761" t="s">
        <v>22697</v>
      </c>
      <c r="B6761" t="s">
        <v>22698</v>
      </c>
      <c r="C6761" t="s">
        <v>22699</v>
      </c>
      <c r="D6761" t="str">
        <f>"1708"</f>
        <v>1708</v>
      </c>
      <c r="E6761" t="s">
        <v>16240</v>
      </c>
      <c r="F6761" t="s">
        <v>3750</v>
      </c>
      <c r="G6761" t="s">
        <v>16221</v>
      </c>
      <c r="H6761" t="s">
        <v>47054</v>
      </c>
      <c r="I6761" t="s">
        <v>47154</v>
      </c>
      <c r="J6761" t="s">
        <v>47155</v>
      </c>
      <c r="K6761" t="s">
        <v>47113</v>
      </c>
      <c r="L6761">
        <v>7.42</v>
      </c>
      <c r="M6761">
        <v>34</v>
      </c>
      <c r="N6761">
        <v>0</v>
      </c>
      <c r="O6761">
        <v>34</v>
      </c>
      <c r="P6761">
        <v>0</v>
      </c>
    </row>
    <row r="6762" spans="1:16" x14ac:dyDescent="0.25">
      <c r="A6762" t="s">
        <v>29235</v>
      </c>
      <c r="B6762" t="s">
        <v>29236</v>
      </c>
      <c r="C6762" t="s">
        <v>29237</v>
      </c>
      <c r="D6762" t="str">
        <f>"1081"</f>
        <v>1081</v>
      </c>
      <c r="E6762" t="s">
        <v>29238</v>
      </c>
      <c r="F6762" t="s">
        <v>3750</v>
      </c>
      <c r="G6762" t="s">
        <v>16221</v>
      </c>
      <c r="H6762" t="s">
        <v>47054</v>
      </c>
      <c r="I6762" t="s">
        <v>47154</v>
      </c>
      <c r="J6762" t="s">
        <v>47155</v>
      </c>
      <c r="K6762" t="s">
        <v>47113</v>
      </c>
      <c r="L6762">
        <v>7.86</v>
      </c>
      <c r="M6762">
        <v>34</v>
      </c>
      <c r="N6762">
        <v>0</v>
      </c>
      <c r="O6762">
        <v>34</v>
      </c>
      <c r="P6762">
        <v>0</v>
      </c>
    </row>
    <row r="6763" spans="1:16" x14ac:dyDescent="0.25">
      <c r="A6763" t="s">
        <v>29239</v>
      </c>
      <c r="B6763" t="s">
        <v>29236</v>
      </c>
      <c r="C6763" t="s">
        <v>29237</v>
      </c>
      <c r="D6763" t="str">
        <f>"1710"</f>
        <v>1710</v>
      </c>
      <c r="E6763" t="s">
        <v>17712</v>
      </c>
      <c r="F6763" t="s">
        <v>3750</v>
      </c>
      <c r="G6763" t="s">
        <v>16221</v>
      </c>
      <c r="H6763" t="s">
        <v>47054</v>
      </c>
      <c r="I6763" t="s">
        <v>47154</v>
      </c>
      <c r="J6763" t="s">
        <v>47155</v>
      </c>
      <c r="K6763" t="s">
        <v>47113</v>
      </c>
      <c r="L6763">
        <v>7.86</v>
      </c>
      <c r="M6763">
        <v>34</v>
      </c>
      <c r="N6763">
        <v>0</v>
      </c>
      <c r="O6763">
        <v>34</v>
      </c>
      <c r="P6763">
        <v>0</v>
      </c>
    </row>
    <row r="6764" spans="1:16" x14ac:dyDescent="0.25">
      <c r="A6764" t="s">
        <v>47502</v>
      </c>
      <c r="B6764" t="s">
        <v>47503</v>
      </c>
      <c r="C6764" t="s">
        <v>47504</v>
      </c>
      <c r="D6764" t="str">
        <f>"1836"</f>
        <v>1836</v>
      </c>
      <c r="E6764" t="s">
        <v>47505</v>
      </c>
      <c r="F6764" t="s">
        <v>46687</v>
      </c>
      <c r="G6764" t="s">
        <v>16221</v>
      </c>
      <c r="H6764" t="s">
        <v>47054</v>
      </c>
      <c r="I6764" t="s">
        <v>47154</v>
      </c>
      <c r="J6764" t="s">
        <v>47155</v>
      </c>
      <c r="K6764" t="s">
        <v>47113</v>
      </c>
      <c r="L6764">
        <v>7.55</v>
      </c>
      <c r="M6764">
        <v>29.26</v>
      </c>
      <c r="N6764">
        <v>79</v>
      </c>
      <c r="O6764">
        <v>29.26</v>
      </c>
      <c r="P6764">
        <v>79</v>
      </c>
    </row>
    <row r="6765" spans="1:16" x14ac:dyDescent="0.25">
      <c r="A6765" t="s">
        <v>47506</v>
      </c>
      <c r="B6765" t="s">
        <v>47503</v>
      </c>
      <c r="C6765" t="s">
        <v>47504</v>
      </c>
      <c r="D6765" t="str">
        <f>"4193"</f>
        <v>4193</v>
      </c>
      <c r="E6765" t="s">
        <v>47507</v>
      </c>
      <c r="F6765" t="s">
        <v>46687</v>
      </c>
      <c r="G6765" t="s">
        <v>16221</v>
      </c>
      <c r="H6765" t="s">
        <v>47054</v>
      </c>
      <c r="I6765" t="s">
        <v>47154</v>
      </c>
      <c r="J6765" t="s">
        <v>47155</v>
      </c>
      <c r="K6765" t="s">
        <v>47113</v>
      </c>
      <c r="L6765">
        <v>7.55</v>
      </c>
      <c r="M6765">
        <v>29</v>
      </c>
      <c r="N6765">
        <v>79</v>
      </c>
      <c r="O6765">
        <v>29</v>
      </c>
      <c r="P6765">
        <v>79</v>
      </c>
    </row>
    <row r="6766" spans="1:16" x14ac:dyDescent="0.25">
      <c r="A6766" t="s">
        <v>47508</v>
      </c>
      <c r="B6766" t="s">
        <v>47509</v>
      </c>
      <c r="C6766" t="s">
        <v>47510</v>
      </c>
      <c r="D6766" t="str">
        <f>"1708"</f>
        <v>1708</v>
      </c>
      <c r="E6766" t="s">
        <v>16240</v>
      </c>
      <c r="F6766" t="s">
        <v>47171</v>
      </c>
      <c r="G6766" t="s">
        <v>16221</v>
      </c>
      <c r="H6766" t="s">
        <v>47054</v>
      </c>
      <c r="I6766" t="s">
        <v>47154</v>
      </c>
      <c r="J6766" t="s">
        <v>47155</v>
      </c>
      <c r="K6766" t="s">
        <v>47113</v>
      </c>
      <c r="L6766">
        <v>6.93</v>
      </c>
      <c r="M6766">
        <v>29</v>
      </c>
      <c r="N6766">
        <v>79</v>
      </c>
      <c r="O6766">
        <v>29</v>
      </c>
      <c r="P6766">
        <v>79</v>
      </c>
    </row>
    <row r="6767" spans="1:16" x14ac:dyDescent="0.25">
      <c r="A6767" t="s">
        <v>47511</v>
      </c>
      <c r="B6767" t="s">
        <v>47509</v>
      </c>
      <c r="C6767" t="s">
        <v>47510</v>
      </c>
      <c r="D6767" t="str">
        <f>"4193"</f>
        <v>4193</v>
      </c>
      <c r="E6767" t="s">
        <v>9354</v>
      </c>
      <c r="F6767" t="s">
        <v>47171</v>
      </c>
      <c r="G6767" t="s">
        <v>16221</v>
      </c>
      <c r="H6767" t="s">
        <v>47054</v>
      </c>
      <c r="I6767" t="s">
        <v>47154</v>
      </c>
      <c r="J6767" t="s">
        <v>47155</v>
      </c>
      <c r="K6767" t="s">
        <v>47113</v>
      </c>
      <c r="L6767">
        <v>6.93</v>
      </c>
      <c r="M6767">
        <v>29</v>
      </c>
      <c r="N6767">
        <v>79</v>
      </c>
      <c r="O6767">
        <v>29</v>
      </c>
      <c r="P6767">
        <v>79</v>
      </c>
    </row>
    <row r="6768" spans="1:16" x14ac:dyDescent="0.25">
      <c r="A6768" t="s">
        <v>47512</v>
      </c>
      <c r="B6768" t="s">
        <v>47513</v>
      </c>
      <c r="C6768" t="s">
        <v>47514</v>
      </c>
      <c r="D6768" t="str">
        <f>"1081"</f>
        <v>1081</v>
      </c>
      <c r="E6768" t="s">
        <v>17703</v>
      </c>
      <c r="F6768" t="s">
        <v>47488</v>
      </c>
      <c r="G6768" t="s">
        <v>16221</v>
      </c>
      <c r="H6768" t="s">
        <v>47054</v>
      </c>
      <c r="I6768" t="s">
        <v>47154</v>
      </c>
      <c r="J6768" t="s">
        <v>47155</v>
      </c>
      <c r="K6768" t="s">
        <v>47113</v>
      </c>
      <c r="L6768">
        <v>6.93</v>
      </c>
      <c r="M6768">
        <v>29</v>
      </c>
      <c r="N6768">
        <v>79</v>
      </c>
      <c r="O6768">
        <v>29</v>
      </c>
      <c r="P6768">
        <v>79</v>
      </c>
    </row>
    <row r="6769" spans="1:16" x14ac:dyDescent="0.25">
      <c r="A6769" t="s">
        <v>47515</v>
      </c>
      <c r="B6769" t="s">
        <v>47513</v>
      </c>
      <c r="C6769" t="s">
        <v>47514</v>
      </c>
      <c r="D6769" t="str">
        <f>"6069"</f>
        <v>6069</v>
      </c>
      <c r="E6769" t="s">
        <v>47516</v>
      </c>
      <c r="F6769" t="s">
        <v>47488</v>
      </c>
      <c r="G6769" t="s">
        <v>16221</v>
      </c>
      <c r="H6769" t="s">
        <v>47054</v>
      </c>
      <c r="I6769" t="s">
        <v>47154</v>
      </c>
      <c r="J6769" t="s">
        <v>47155</v>
      </c>
      <c r="K6769" t="s">
        <v>47113</v>
      </c>
      <c r="L6769">
        <v>6.93</v>
      </c>
      <c r="M6769">
        <v>29</v>
      </c>
      <c r="N6769">
        <v>79</v>
      </c>
      <c r="O6769">
        <v>29</v>
      </c>
      <c r="P6769">
        <v>79</v>
      </c>
    </row>
    <row r="6770" spans="1:16" x14ac:dyDescent="0.25">
      <c r="A6770" t="s">
        <v>29240</v>
      </c>
      <c r="B6770" t="s">
        <v>29241</v>
      </c>
      <c r="C6770" t="s">
        <v>29242</v>
      </c>
      <c r="D6770" t="str">
        <f>"1708"</f>
        <v>1708</v>
      </c>
      <c r="E6770" t="s">
        <v>16240</v>
      </c>
      <c r="F6770" t="s">
        <v>3750</v>
      </c>
      <c r="G6770" t="s">
        <v>16221</v>
      </c>
      <c r="H6770" t="s">
        <v>47054</v>
      </c>
      <c r="I6770" t="s">
        <v>47154</v>
      </c>
      <c r="J6770" t="s">
        <v>47155</v>
      </c>
      <c r="K6770" t="s">
        <v>47113</v>
      </c>
      <c r="L6770">
        <v>9.39</v>
      </c>
      <c r="M6770">
        <v>37</v>
      </c>
      <c r="N6770">
        <v>99</v>
      </c>
      <c r="O6770">
        <v>37</v>
      </c>
      <c r="P6770">
        <v>99</v>
      </c>
    </row>
    <row r="6771" spans="1:16" x14ac:dyDescent="0.25">
      <c r="A6771" t="s">
        <v>29243</v>
      </c>
      <c r="B6771" t="s">
        <v>29241</v>
      </c>
      <c r="C6771" t="s">
        <v>29242</v>
      </c>
      <c r="D6771" t="str">
        <f>"4193"</f>
        <v>4193</v>
      </c>
      <c r="E6771" t="s">
        <v>29244</v>
      </c>
      <c r="F6771" t="s">
        <v>3750</v>
      </c>
      <c r="G6771" t="s">
        <v>16221</v>
      </c>
      <c r="H6771" t="s">
        <v>47054</v>
      </c>
      <c r="I6771" t="s">
        <v>47154</v>
      </c>
      <c r="J6771" t="s">
        <v>47155</v>
      </c>
      <c r="K6771" t="s">
        <v>47113</v>
      </c>
      <c r="L6771">
        <v>9.39</v>
      </c>
      <c r="M6771">
        <v>37</v>
      </c>
      <c r="N6771">
        <v>99</v>
      </c>
      <c r="O6771">
        <v>37</v>
      </c>
      <c r="P6771">
        <v>99</v>
      </c>
    </row>
    <row r="6772" spans="1:16" x14ac:dyDescent="0.25">
      <c r="A6772" t="s">
        <v>29245</v>
      </c>
      <c r="B6772" t="s">
        <v>29241</v>
      </c>
      <c r="C6772" t="s">
        <v>29242</v>
      </c>
      <c r="D6772" t="str">
        <f>"6432"</f>
        <v>6432</v>
      </c>
      <c r="E6772" t="s">
        <v>29246</v>
      </c>
      <c r="F6772" t="s">
        <v>3750</v>
      </c>
      <c r="G6772" t="s">
        <v>16221</v>
      </c>
      <c r="H6772" t="s">
        <v>47054</v>
      </c>
      <c r="I6772" t="s">
        <v>47154</v>
      </c>
      <c r="J6772" t="s">
        <v>47155</v>
      </c>
      <c r="K6772" t="s">
        <v>47113</v>
      </c>
      <c r="L6772">
        <v>9.39</v>
      </c>
      <c r="M6772">
        <v>37</v>
      </c>
      <c r="N6772">
        <v>99</v>
      </c>
      <c r="O6772">
        <v>37</v>
      </c>
      <c r="P6772">
        <v>99</v>
      </c>
    </row>
    <row r="6773" spans="1:16" x14ac:dyDescent="0.25">
      <c r="A6773" t="s">
        <v>22700</v>
      </c>
      <c r="B6773" t="s">
        <v>22701</v>
      </c>
      <c r="C6773" t="s">
        <v>22702</v>
      </c>
      <c r="D6773" t="str">
        <f>"1708"</f>
        <v>1708</v>
      </c>
      <c r="E6773" t="s">
        <v>16240</v>
      </c>
      <c r="F6773" t="s">
        <v>3750</v>
      </c>
      <c r="G6773" t="s">
        <v>16221</v>
      </c>
      <c r="H6773" t="s">
        <v>47054</v>
      </c>
      <c r="I6773" t="s">
        <v>47154</v>
      </c>
      <c r="J6773" t="s">
        <v>47155</v>
      </c>
      <c r="K6773" t="s">
        <v>47113</v>
      </c>
      <c r="L6773">
        <v>7.32</v>
      </c>
      <c r="M6773">
        <v>34</v>
      </c>
      <c r="N6773">
        <v>0</v>
      </c>
      <c r="O6773">
        <v>34</v>
      </c>
      <c r="P6773">
        <v>0</v>
      </c>
    </row>
    <row r="6774" spans="1:16" x14ac:dyDescent="0.25">
      <c r="A6774" t="s">
        <v>29247</v>
      </c>
      <c r="B6774" t="s">
        <v>29248</v>
      </c>
      <c r="C6774" t="s">
        <v>22712</v>
      </c>
      <c r="D6774" t="str">
        <f>"1836"</f>
        <v>1836</v>
      </c>
      <c r="E6774" t="s">
        <v>17660</v>
      </c>
      <c r="F6774" t="s">
        <v>3750</v>
      </c>
      <c r="G6774" t="s">
        <v>16221</v>
      </c>
      <c r="H6774" t="s">
        <v>47054</v>
      </c>
      <c r="I6774" t="s">
        <v>47154</v>
      </c>
      <c r="J6774" t="s">
        <v>47155</v>
      </c>
      <c r="K6774" t="s">
        <v>47113</v>
      </c>
      <c r="L6774">
        <v>6.97</v>
      </c>
      <c r="M6774">
        <v>34</v>
      </c>
      <c r="N6774">
        <v>0</v>
      </c>
      <c r="O6774">
        <v>34</v>
      </c>
      <c r="P6774">
        <v>0</v>
      </c>
    </row>
    <row r="6775" spans="1:16" x14ac:dyDescent="0.25">
      <c r="A6775" t="s">
        <v>29249</v>
      </c>
      <c r="B6775" t="s">
        <v>29250</v>
      </c>
      <c r="C6775" t="s">
        <v>22715</v>
      </c>
      <c r="D6775" t="str">
        <f>"1712"</f>
        <v>1712</v>
      </c>
      <c r="E6775" t="s">
        <v>17712</v>
      </c>
      <c r="F6775" t="s">
        <v>3750</v>
      </c>
      <c r="G6775" t="s">
        <v>16221</v>
      </c>
      <c r="H6775" t="s">
        <v>47054</v>
      </c>
      <c r="I6775" t="s">
        <v>47154</v>
      </c>
      <c r="J6775" t="s">
        <v>47155</v>
      </c>
      <c r="K6775" t="s">
        <v>47113</v>
      </c>
      <c r="L6775">
        <v>6.88</v>
      </c>
      <c r="M6775">
        <v>34</v>
      </c>
      <c r="N6775">
        <v>0</v>
      </c>
      <c r="O6775">
        <v>34</v>
      </c>
      <c r="P6775">
        <v>0</v>
      </c>
    </row>
    <row r="6776" spans="1:16" x14ac:dyDescent="0.25">
      <c r="A6776" t="s">
        <v>29251</v>
      </c>
      <c r="B6776" t="s">
        <v>29252</v>
      </c>
      <c r="C6776" t="s">
        <v>29253</v>
      </c>
      <c r="D6776" t="str">
        <f>"1081"</f>
        <v>1081</v>
      </c>
      <c r="E6776" t="s">
        <v>29254</v>
      </c>
      <c r="F6776" t="s">
        <v>24627</v>
      </c>
      <c r="G6776" t="s">
        <v>16221</v>
      </c>
      <c r="H6776" t="s">
        <v>47054</v>
      </c>
      <c r="I6776" t="s">
        <v>47154</v>
      </c>
      <c r="J6776" t="s">
        <v>47155</v>
      </c>
      <c r="K6776" t="s">
        <v>47113</v>
      </c>
      <c r="L6776">
        <v>8.18</v>
      </c>
      <c r="M6776">
        <v>37</v>
      </c>
      <c r="N6776">
        <v>99</v>
      </c>
      <c r="O6776">
        <v>37</v>
      </c>
      <c r="P6776">
        <v>99</v>
      </c>
    </row>
    <row r="6777" spans="1:16" x14ac:dyDescent="0.25">
      <c r="A6777" t="s">
        <v>29255</v>
      </c>
      <c r="B6777" t="s">
        <v>29252</v>
      </c>
      <c r="C6777" t="s">
        <v>29253</v>
      </c>
      <c r="D6777" t="str">
        <f>"1779"</f>
        <v>1779</v>
      </c>
      <c r="E6777" t="s">
        <v>29256</v>
      </c>
      <c r="F6777" t="s">
        <v>24627</v>
      </c>
      <c r="G6777" t="s">
        <v>16221</v>
      </c>
      <c r="H6777" t="s">
        <v>47054</v>
      </c>
      <c r="I6777" t="s">
        <v>47154</v>
      </c>
      <c r="J6777" t="s">
        <v>47155</v>
      </c>
      <c r="K6777" t="s">
        <v>47113</v>
      </c>
      <c r="L6777">
        <v>8.18</v>
      </c>
      <c r="M6777">
        <v>37</v>
      </c>
      <c r="N6777">
        <v>99</v>
      </c>
      <c r="O6777">
        <v>37</v>
      </c>
      <c r="P6777">
        <v>99</v>
      </c>
    </row>
    <row r="6778" spans="1:16" x14ac:dyDescent="0.25">
      <c r="A6778" t="s">
        <v>47517</v>
      </c>
      <c r="B6778" t="s">
        <v>47518</v>
      </c>
      <c r="C6778" t="s">
        <v>47519</v>
      </c>
      <c r="D6778" t="str">
        <f>"1081"</f>
        <v>1081</v>
      </c>
      <c r="E6778" t="s">
        <v>17703</v>
      </c>
      <c r="F6778" t="s">
        <v>47163</v>
      </c>
      <c r="G6778" t="s">
        <v>16221</v>
      </c>
      <c r="H6778" t="s">
        <v>47054</v>
      </c>
      <c r="I6778" t="s">
        <v>47154</v>
      </c>
      <c r="J6778" t="s">
        <v>47155</v>
      </c>
      <c r="K6778" t="s">
        <v>47113</v>
      </c>
      <c r="L6778">
        <v>6.9</v>
      </c>
      <c r="M6778">
        <v>29</v>
      </c>
      <c r="N6778">
        <v>79</v>
      </c>
      <c r="O6778">
        <v>29</v>
      </c>
      <c r="P6778">
        <v>79</v>
      </c>
    </row>
    <row r="6779" spans="1:16" x14ac:dyDescent="0.25">
      <c r="A6779" t="s">
        <v>47520</v>
      </c>
      <c r="B6779" t="s">
        <v>47518</v>
      </c>
      <c r="C6779" t="s">
        <v>47519</v>
      </c>
      <c r="D6779" t="str">
        <f>"1712"</f>
        <v>1712</v>
      </c>
      <c r="E6779" t="s">
        <v>47521</v>
      </c>
      <c r="F6779" t="s">
        <v>47163</v>
      </c>
      <c r="G6779" t="s">
        <v>16221</v>
      </c>
      <c r="H6779" t="s">
        <v>47054</v>
      </c>
      <c r="I6779" t="s">
        <v>47154</v>
      </c>
      <c r="J6779" t="s">
        <v>47155</v>
      </c>
      <c r="K6779" t="s">
        <v>47113</v>
      </c>
      <c r="L6779">
        <v>6.9</v>
      </c>
      <c r="M6779">
        <v>37</v>
      </c>
      <c r="N6779">
        <v>99</v>
      </c>
      <c r="O6779">
        <v>37</v>
      </c>
      <c r="P6779">
        <v>99</v>
      </c>
    </row>
    <row r="6780" spans="1:16" x14ac:dyDescent="0.25">
      <c r="A6780" t="s">
        <v>47522</v>
      </c>
      <c r="B6780" t="s">
        <v>47523</v>
      </c>
      <c r="C6780" t="s">
        <v>47524</v>
      </c>
      <c r="D6780" t="str">
        <f>"1081"</f>
        <v>1081</v>
      </c>
      <c r="E6780" t="s">
        <v>17703</v>
      </c>
      <c r="F6780" t="s">
        <v>47479</v>
      </c>
      <c r="G6780" t="s">
        <v>16221</v>
      </c>
      <c r="H6780" t="s">
        <v>47054</v>
      </c>
      <c r="I6780" t="s">
        <v>47154</v>
      </c>
      <c r="J6780" t="s">
        <v>47155</v>
      </c>
      <c r="K6780" t="s">
        <v>47113</v>
      </c>
      <c r="L6780">
        <v>7.32</v>
      </c>
      <c r="M6780">
        <v>37</v>
      </c>
      <c r="N6780">
        <v>99</v>
      </c>
      <c r="O6780">
        <v>37</v>
      </c>
      <c r="P6780">
        <v>99</v>
      </c>
    </row>
    <row r="6781" spans="1:16" x14ac:dyDescent="0.25">
      <c r="A6781" t="s">
        <v>47525</v>
      </c>
      <c r="B6781" t="s">
        <v>47523</v>
      </c>
      <c r="C6781" t="s">
        <v>47524</v>
      </c>
      <c r="D6781" t="str">
        <f>"1712"</f>
        <v>1712</v>
      </c>
      <c r="E6781" t="s">
        <v>17712</v>
      </c>
      <c r="F6781" t="s">
        <v>47479</v>
      </c>
      <c r="G6781" t="s">
        <v>16221</v>
      </c>
      <c r="H6781" t="s">
        <v>47054</v>
      </c>
      <c r="I6781" t="s">
        <v>47154</v>
      </c>
      <c r="J6781" t="s">
        <v>47155</v>
      </c>
      <c r="K6781" t="s">
        <v>47113</v>
      </c>
      <c r="L6781">
        <v>7.32</v>
      </c>
      <c r="M6781">
        <v>37</v>
      </c>
      <c r="N6781">
        <v>99</v>
      </c>
      <c r="O6781">
        <v>37</v>
      </c>
      <c r="P6781">
        <v>99</v>
      </c>
    </row>
    <row r="6782" spans="1:16" x14ac:dyDescent="0.25">
      <c r="A6782" t="s">
        <v>22703</v>
      </c>
      <c r="B6782" t="s">
        <v>22704</v>
      </c>
      <c r="C6782" t="s">
        <v>22705</v>
      </c>
      <c r="D6782" t="str">
        <f>"4188"</f>
        <v>4188</v>
      </c>
      <c r="E6782" t="s">
        <v>22706</v>
      </c>
      <c r="F6782" t="s">
        <v>3750</v>
      </c>
      <c r="G6782" t="s">
        <v>16221</v>
      </c>
      <c r="H6782" t="s">
        <v>47054</v>
      </c>
      <c r="I6782" t="s">
        <v>47154</v>
      </c>
      <c r="J6782" t="s">
        <v>47155</v>
      </c>
      <c r="K6782" t="s">
        <v>47113</v>
      </c>
      <c r="L6782">
        <v>7.73</v>
      </c>
      <c r="M6782">
        <v>29</v>
      </c>
      <c r="N6782">
        <v>79</v>
      </c>
      <c r="O6782">
        <v>29</v>
      </c>
      <c r="P6782">
        <v>79</v>
      </c>
    </row>
    <row r="6783" spans="1:16" x14ac:dyDescent="0.25">
      <c r="A6783" t="s">
        <v>29257</v>
      </c>
      <c r="B6783" t="s">
        <v>29258</v>
      </c>
      <c r="C6783" t="s">
        <v>29259</v>
      </c>
      <c r="D6783" t="str">
        <f>"1836"</f>
        <v>1836</v>
      </c>
      <c r="E6783" t="s">
        <v>17660</v>
      </c>
      <c r="F6783" t="s">
        <v>24627</v>
      </c>
      <c r="G6783" t="s">
        <v>16221</v>
      </c>
      <c r="H6783" t="s">
        <v>47054</v>
      </c>
      <c r="I6783" t="s">
        <v>47154</v>
      </c>
      <c r="J6783" t="s">
        <v>47155</v>
      </c>
      <c r="K6783" t="s">
        <v>47113</v>
      </c>
      <c r="L6783">
        <v>7.58</v>
      </c>
      <c r="M6783">
        <v>37</v>
      </c>
      <c r="N6783">
        <v>99</v>
      </c>
      <c r="O6783">
        <v>37</v>
      </c>
      <c r="P6783">
        <v>99</v>
      </c>
    </row>
    <row r="6784" spans="1:16" x14ac:dyDescent="0.25">
      <c r="A6784" t="s">
        <v>29260</v>
      </c>
      <c r="B6784" t="s">
        <v>29258</v>
      </c>
      <c r="C6784" t="s">
        <v>29259</v>
      </c>
      <c r="D6784" t="str">
        <f>"4031"</f>
        <v>4031</v>
      </c>
      <c r="E6784" t="s">
        <v>29261</v>
      </c>
      <c r="F6784" t="s">
        <v>24627</v>
      </c>
      <c r="G6784" t="s">
        <v>16221</v>
      </c>
      <c r="H6784" t="s">
        <v>47054</v>
      </c>
      <c r="I6784" t="s">
        <v>47154</v>
      </c>
      <c r="J6784" t="s">
        <v>47155</v>
      </c>
      <c r="K6784" t="s">
        <v>47113</v>
      </c>
      <c r="L6784">
        <v>7.58</v>
      </c>
      <c r="M6784">
        <v>37</v>
      </c>
      <c r="N6784">
        <v>99</v>
      </c>
      <c r="O6784">
        <v>37</v>
      </c>
      <c r="P6784">
        <v>99</v>
      </c>
    </row>
    <row r="6785" spans="1:16" x14ac:dyDescent="0.25">
      <c r="A6785" t="s">
        <v>47526</v>
      </c>
      <c r="B6785" t="s">
        <v>47527</v>
      </c>
      <c r="C6785" t="s">
        <v>47528</v>
      </c>
      <c r="D6785" t="str">
        <f>"1700"</f>
        <v>1700</v>
      </c>
      <c r="E6785" t="s">
        <v>17670</v>
      </c>
      <c r="F6785" t="s">
        <v>47163</v>
      </c>
      <c r="G6785" t="s">
        <v>16221</v>
      </c>
      <c r="H6785" t="s">
        <v>47054</v>
      </c>
      <c r="I6785" t="s">
        <v>47154</v>
      </c>
      <c r="J6785" t="s">
        <v>47155</v>
      </c>
      <c r="K6785" t="s">
        <v>47113</v>
      </c>
      <c r="L6785">
        <v>7.45</v>
      </c>
      <c r="M6785">
        <v>37</v>
      </c>
      <c r="N6785">
        <v>99</v>
      </c>
      <c r="O6785">
        <v>37</v>
      </c>
      <c r="P6785">
        <v>99</v>
      </c>
    </row>
    <row r="6786" spans="1:16" x14ac:dyDescent="0.25">
      <c r="A6786" t="s">
        <v>47529</v>
      </c>
      <c r="B6786" t="s">
        <v>47527</v>
      </c>
      <c r="C6786" t="s">
        <v>47528</v>
      </c>
      <c r="D6786" t="str">
        <f>"4193"</f>
        <v>4193</v>
      </c>
      <c r="E6786" t="s">
        <v>47530</v>
      </c>
      <c r="F6786" t="s">
        <v>47163</v>
      </c>
      <c r="G6786" t="s">
        <v>16221</v>
      </c>
      <c r="H6786" t="s">
        <v>47054</v>
      </c>
      <c r="I6786" t="s">
        <v>47154</v>
      </c>
      <c r="J6786" t="s">
        <v>47155</v>
      </c>
      <c r="K6786" t="s">
        <v>47113</v>
      </c>
      <c r="L6786">
        <v>7.45</v>
      </c>
      <c r="M6786">
        <v>29</v>
      </c>
      <c r="N6786">
        <v>79</v>
      </c>
      <c r="O6786">
        <v>29</v>
      </c>
      <c r="P6786">
        <v>79</v>
      </c>
    </row>
    <row r="6787" spans="1:16" x14ac:dyDescent="0.25">
      <c r="A6787" t="s">
        <v>47531</v>
      </c>
      <c r="B6787" t="s">
        <v>47532</v>
      </c>
      <c r="C6787" t="s">
        <v>47533</v>
      </c>
      <c r="D6787" t="str">
        <f>"1779"</f>
        <v>1779</v>
      </c>
      <c r="E6787" t="s">
        <v>29256</v>
      </c>
      <c r="F6787" t="s">
        <v>47488</v>
      </c>
      <c r="G6787" t="s">
        <v>16221</v>
      </c>
      <c r="H6787" t="s">
        <v>47054</v>
      </c>
      <c r="I6787" t="s">
        <v>47154</v>
      </c>
      <c r="J6787" t="s">
        <v>47155</v>
      </c>
      <c r="K6787" t="s">
        <v>47113</v>
      </c>
      <c r="L6787">
        <v>7.91</v>
      </c>
      <c r="M6787">
        <v>29</v>
      </c>
      <c r="N6787">
        <v>79</v>
      </c>
      <c r="O6787">
        <v>29</v>
      </c>
      <c r="P6787">
        <v>79</v>
      </c>
    </row>
    <row r="6788" spans="1:16" x14ac:dyDescent="0.25">
      <c r="A6788" t="s">
        <v>29262</v>
      </c>
      <c r="B6788" t="s">
        <v>29263</v>
      </c>
      <c r="C6788" t="s">
        <v>29264</v>
      </c>
      <c r="D6788" t="str">
        <f>"1700"</f>
        <v>1700</v>
      </c>
      <c r="E6788" t="s">
        <v>60</v>
      </c>
      <c r="F6788" t="s">
        <v>24627</v>
      </c>
      <c r="G6788" t="s">
        <v>47534</v>
      </c>
      <c r="H6788" t="s">
        <v>47054</v>
      </c>
      <c r="I6788" t="s">
        <v>47154</v>
      </c>
      <c r="J6788" t="s">
        <v>47155</v>
      </c>
      <c r="K6788" t="s">
        <v>47113</v>
      </c>
      <c r="L6788">
        <v>6.76</v>
      </c>
      <c r="M6788">
        <v>37</v>
      </c>
      <c r="N6788">
        <v>99</v>
      </c>
      <c r="O6788">
        <v>37</v>
      </c>
      <c r="P6788">
        <v>99</v>
      </c>
    </row>
    <row r="6789" spans="1:16" x14ac:dyDescent="0.25">
      <c r="A6789" t="s">
        <v>29265</v>
      </c>
      <c r="B6789" t="s">
        <v>19845</v>
      </c>
      <c r="C6789" t="s">
        <v>19846</v>
      </c>
      <c r="D6789" t="str">
        <f>"1700"</f>
        <v>1700</v>
      </c>
      <c r="E6789" t="s">
        <v>60</v>
      </c>
      <c r="F6789" t="s">
        <v>19847</v>
      </c>
      <c r="G6789" t="s">
        <v>47534</v>
      </c>
      <c r="H6789" t="s">
        <v>47054</v>
      </c>
      <c r="I6789" t="s">
        <v>47154</v>
      </c>
      <c r="J6789" t="s">
        <v>47155</v>
      </c>
      <c r="K6789" t="s">
        <v>47113</v>
      </c>
      <c r="L6789">
        <v>5.97</v>
      </c>
      <c r="M6789">
        <v>28</v>
      </c>
      <c r="N6789">
        <v>0</v>
      </c>
      <c r="O6789">
        <v>28</v>
      </c>
      <c r="P6789">
        <v>0</v>
      </c>
    </row>
    <row r="6790" spans="1:16" x14ac:dyDescent="0.25">
      <c r="A6790" t="s">
        <v>29266</v>
      </c>
      <c r="B6790" t="s">
        <v>19848</v>
      </c>
      <c r="C6790" t="s">
        <v>19849</v>
      </c>
      <c r="D6790" t="str">
        <f>"1011"</f>
        <v>1011</v>
      </c>
      <c r="E6790" t="s">
        <v>19850</v>
      </c>
      <c r="F6790" t="s">
        <v>3750</v>
      </c>
      <c r="G6790" t="s">
        <v>47534</v>
      </c>
      <c r="H6790" t="s">
        <v>47054</v>
      </c>
      <c r="I6790" t="s">
        <v>47154</v>
      </c>
      <c r="J6790" t="s">
        <v>47155</v>
      </c>
      <c r="K6790" t="s">
        <v>47113</v>
      </c>
      <c r="L6790">
        <v>7.46</v>
      </c>
      <c r="M6790">
        <v>28</v>
      </c>
      <c r="N6790">
        <v>0</v>
      </c>
      <c r="O6790">
        <v>28</v>
      </c>
      <c r="P6790">
        <v>0</v>
      </c>
    </row>
    <row r="6791" spans="1:16" x14ac:dyDescent="0.25">
      <c r="A6791" t="s">
        <v>47535</v>
      </c>
      <c r="B6791" t="s">
        <v>47536</v>
      </c>
      <c r="C6791" t="s">
        <v>47537</v>
      </c>
      <c r="D6791" t="str">
        <f>"1700"</f>
        <v>1700</v>
      </c>
      <c r="E6791" t="s">
        <v>60</v>
      </c>
      <c r="F6791" t="s">
        <v>47185</v>
      </c>
      <c r="G6791" t="s">
        <v>16221</v>
      </c>
      <c r="H6791" t="s">
        <v>47054</v>
      </c>
      <c r="I6791" t="s">
        <v>47154</v>
      </c>
      <c r="J6791" t="s">
        <v>47155</v>
      </c>
      <c r="K6791" t="s">
        <v>47113</v>
      </c>
      <c r="L6791">
        <v>7.49</v>
      </c>
      <c r="M6791">
        <v>29</v>
      </c>
      <c r="N6791">
        <v>79</v>
      </c>
      <c r="O6791">
        <v>29</v>
      </c>
      <c r="P6791">
        <v>79</v>
      </c>
    </row>
    <row r="6792" spans="1:16" x14ac:dyDescent="0.25">
      <c r="A6792" t="s">
        <v>47538</v>
      </c>
      <c r="B6792" t="s">
        <v>47539</v>
      </c>
      <c r="C6792" t="s">
        <v>47468</v>
      </c>
      <c r="D6792" t="str">
        <f>"1700"</f>
        <v>1700</v>
      </c>
      <c r="E6792" t="s">
        <v>60</v>
      </c>
      <c r="F6792" t="s">
        <v>47185</v>
      </c>
      <c r="G6792" t="s">
        <v>16221</v>
      </c>
      <c r="H6792" t="s">
        <v>47054</v>
      </c>
      <c r="I6792" t="s">
        <v>47154</v>
      </c>
      <c r="J6792" t="s">
        <v>47155</v>
      </c>
      <c r="K6792" t="s">
        <v>47113</v>
      </c>
      <c r="L6792">
        <v>7.1</v>
      </c>
      <c r="M6792">
        <v>29</v>
      </c>
      <c r="N6792">
        <v>79</v>
      </c>
      <c r="O6792">
        <v>29</v>
      </c>
      <c r="P6792">
        <v>79</v>
      </c>
    </row>
    <row r="6793" spans="1:16" x14ac:dyDescent="0.25">
      <c r="A6793" t="s">
        <v>29267</v>
      </c>
      <c r="B6793" t="s">
        <v>19851</v>
      </c>
      <c r="C6793" t="s">
        <v>19852</v>
      </c>
      <c r="D6793" t="str">
        <f>"1001"</f>
        <v>1001</v>
      </c>
      <c r="E6793" t="s">
        <v>42</v>
      </c>
      <c r="F6793" t="s">
        <v>3750</v>
      </c>
      <c r="G6793" t="s">
        <v>16221</v>
      </c>
      <c r="H6793" t="s">
        <v>47054</v>
      </c>
      <c r="I6793" t="s">
        <v>47154</v>
      </c>
      <c r="J6793" t="s">
        <v>47155</v>
      </c>
      <c r="K6793" t="s">
        <v>47113</v>
      </c>
      <c r="L6793">
        <v>7.16</v>
      </c>
      <c r="M6793">
        <v>28</v>
      </c>
      <c r="N6793">
        <v>0</v>
      </c>
      <c r="O6793">
        <v>28</v>
      </c>
      <c r="P6793">
        <v>0</v>
      </c>
    </row>
    <row r="6794" spans="1:16" x14ac:dyDescent="0.25">
      <c r="A6794" t="s">
        <v>29268</v>
      </c>
      <c r="B6794" t="s">
        <v>19853</v>
      </c>
      <c r="C6794" t="s">
        <v>19854</v>
      </c>
      <c r="D6794" t="str">
        <f>"1001"</f>
        <v>1001</v>
      </c>
      <c r="E6794" t="s">
        <v>42</v>
      </c>
      <c r="F6794" t="s">
        <v>3750</v>
      </c>
      <c r="G6794" t="s">
        <v>16221</v>
      </c>
      <c r="H6794" t="s">
        <v>47054</v>
      </c>
      <c r="I6794" t="s">
        <v>47154</v>
      </c>
      <c r="J6794" t="s">
        <v>47155</v>
      </c>
      <c r="K6794" t="s">
        <v>47113</v>
      </c>
      <c r="L6794">
        <v>7.46</v>
      </c>
      <c r="M6794">
        <v>28</v>
      </c>
      <c r="N6794">
        <v>0</v>
      </c>
      <c r="O6794">
        <v>28</v>
      </c>
      <c r="P6794">
        <v>0</v>
      </c>
    </row>
    <row r="6795" spans="1:16" x14ac:dyDescent="0.25">
      <c r="A6795" t="s">
        <v>29269</v>
      </c>
      <c r="B6795" t="s">
        <v>19853</v>
      </c>
      <c r="C6795" t="s">
        <v>19854</v>
      </c>
      <c r="D6795" t="str">
        <f>"1700"</f>
        <v>1700</v>
      </c>
      <c r="E6795" t="s">
        <v>60</v>
      </c>
      <c r="F6795" t="s">
        <v>3750</v>
      </c>
      <c r="G6795" t="s">
        <v>16221</v>
      </c>
      <c r="H6795" t="s">
        <v>47054</v>
      </c>
      <c r="I6795" t="s">
        <v>47154</v>
      </c>
      <c r="J6795" t="s">
        <v>47155</v>
      </c>
      <c r="K6795" t="s">
        <v>47113</v>
      </c>
      <c r="L6795">
        <v>7.46</v>
      </c>
      <c r="M6795">
        <v>28</v>
      </c>
      <c r="N6795">
        <v>0</v>
      </c>
      <c r="O6795">
        <v>28</v>
      </c>
      <c r="P6795">
        <v>0</v>
      </c>
    </row>
    <row r="6796" spans="1:16" x14ac:dyDescent="0.25">
      <c r="A6796" t="s">
        <v>29270</v>
      </c>
      <c r="B6796" t="s">
        <v>19855</v>
      </c>
      <c r="C6796" t="s">
        <v>19856</v>
      </c>
      <c r="D6796" t="str">
        <f>"1700"</f>
        <v>1700</v>
      </c>
      <c r="E6796" t="s">
        <v>60</v>
      </c>
      <c r="F6796" t="s">
        <v>3750</v>
      </c>
      <c r="G6796" t="s">
        <v>47534</v>
      </c>
      <c r="H6796" t="s">
        <v>47054</v>
      </c>
      <c r="I6796" t="s">
        <v>47154</v>
      </c>
      <c r="J6796" t="s">
        <v>47155</v>
      </c>
      <c r="K6796" t="s">
        <v>47113</v>
      </c>
      <c r="L6796">
        <v>5.91</v>
      </c>
      <c r="M6796">
        <v>28</v>
      </c>
      <c r="N6796">
        <v>0</v>
      </c>
      <c r="O6796">
        <v>28</v>
      </c>
      <c r="P6796">
        <v>0</v>
      </c>
    </row>
    <row r="6797" spans="1:16" x14ac:dyDescent="0.25">
      <c r="A6797" t="s">
        <v>29271</v>
      </c>
      <c r="B6797" t="s">
        <v>19855</v>
      </c>
      <c r="C6797" t="s">
        <v>19856</v>
      </c>
      <c r="D6797" t="str">
        <f>"4100"</f>
        <v>4100</v>
      </c>
      <c r="E6797" t="s">
        <v>17644</v>
      </c>
      <c r="F6797" t="s">
        <v>3750</v>
      </c>
      <c r="G6797" t="s">
        <v>47534</v>
      </c>
      <c r="H6797" t="s">
        <v>47054</v>
      </c>
      <c r="I6797" t="s">
        <v>47154</v>
      </c>
      <c r="J6797" t="s">
        <v>47155</v>
      </c>
      <c r="K6797" t="s">
        <v>47113</v>
      </c>
      <c r="L6797">
        <v>5.91</v>
      </c>
      <c r="M6797">
        <v>28</v>
      </c>
      <c r="N6797">
        <v>0</v>
      </c>
      <c r="O6797">
        <v>28</v>
      </c>
      <c r="P6797">
        <v>0</v>
      </c>
    </row>
    <row r="6798" spans="1:16" x14ac:dyDescent="0.25">
      <c r="A6798" t="s">
        <v>47540</v>
      </c>
      <c r="B6798" t="s">
        <v>29273</v>
      </c>
      <c r="C6798" t="s">
        <v>29274</v>
      </c>
      <c r="D6798" t="str">
        <f>"1096"</f>
        <v>1096</v>
      </c>
      <c r="E6798" t="s">
        <v>4744</v>
      </c>
      <c r="F6798" t="s">
        <v>47479</v>
      </c>
      <c r="G6798" t="s">
        <v>16232</v>
      </c>
      <c r="H6798" t="s">
        <v>47054</v>
      </c>
      <c r="I6798" t="s">
        <v>47154</v>
      </c>
      <c r="J6798" t="s">
        <v>47155</v>
      </c>
      <c r="K6798" t="s">
        <v>47113</v>
      </c>
      <c r="L6798">
        <v>11.18</v>
      </c>
      <c r="M6798">
        <v>40</v>
      </c>
      <c r="N6798">
        <v>109</v>
      </c>
      <c r="O6798">
        <v>40</v>
      </c>
      <c r="P6798">
        <v>109</v>
      </c>
    </row>
    <row r="6799" spans="1:16" x14ac:dyDescent="0.25">
      <c r="A6799" t="s">
        <v>29272</v>
      </c>
      <c r="B6799" t="s">
        <v>29273</v>
      </c>
      <c r="C6799" t="s">
        <v>29274</v>
      </c>
      <c r="D6799" t="str">
        <f>"1708"</f>
        <v>1708</v>
      </c>
      <c r="E6799" t="s">
        <v>16240</v>
      </c>
      <c r="F6799" t="s">
        <v>3750</v>
      </c>
      <c r="G6799" t="s">
        <v>16232</v>
      </c>
      <c r="H6799" t="s">
        <v>47054</v>
      </c>
      <c r="I6799" t="s">
        <v>47154</v>
      </c>
      <c r="J6799" t="s">
        <v>47155</v>
      </c>
      <c r="K6799" t="s">
        <v>47113</v>
      </c>
      <c r="L6799">
        <v>11.39</v>
      </c>
      <c r="M6799">
        <v>40</v>
      </c>
      <c r="N6799">
        <v>0</v>
      </c>
      <c r="O6799">
        <v>40</v>
      </c>
      <c r="P6799">
        <v>0</v>
      </c>
    </row>
    <row r="6800" spans="1:16" x14ac:dyDescent="0.25">
      <c r="A6800" t="s">
        <v>47541</v>
      </c>
      <c r="B6800" t="s">
        <v>29273</v>
      </c>
      <c r="C6800" t="s">
        <v>29274</v>
      </c>
      <c r="D6800" t="str">
        <f>"1712"</f>
        <v>1712</v>
      </c>
      <c r="E6800" t="s">
        <v>47542</v>
      </c>
      <c r="F6800" t="s">
        <v>47479</v>
      </c>
      <c r="G6800" t="s">
        <v>16232</v>
      </c>
      <c r="H6800" t="s">
        <v>47054</v>
      </c>
      <c r="I6800" t="s">
        <v>47154</v>
      </c>
      <c r="J6800" t="s">
        <v>47155</v>
      </c>
      <c r="K6800" t="s">
        <v>47113</v>
      </c>
      <c r="L6800">
        <v>11.18</v>
      </c>
      <c r="M6800">
        <v>40</v>
      </c>
      <c r="N6800">
        <v>109</v>
      </c>
      <c r="O6800">
        <v>40</v>
      </c>
      <c r="P6800">
        <v>109</v>
      </c>
    </row>
    <row r="6801" spans="1:16" x14ac:dyDescent="0.25">
      <c r="A6801" t="s">
        <v>22707</v>
      </c>
      <c r="B6801" t="s">
        <v>22708</v>
      </c>
      <c r="C6801" t="s">
        <v>22709</v>
      </c>
      <c r="D6801" t="str">
        <f>"1001"</f>
        <v>1001</v>
      </c>
      <c r="E6801" t="s">
        <v>42</v>
      </c>
      <c r="F6801" t="s">
        <v>3750</v>
      </c>
      <c r="G6801" t="s">
        <v>16221</v>
      </c>
      <c r="H6801" t="s">
        <v>47054</v>
      </c>
      <c r="I6801" t="s">
        <v>47154</v>
      </c>
      <c r="J6801" t="s">
        <v>47155</v>
      </c>
      <c r="K6801" t="s">
        <v>47113</v>
      </c>
      <c r="L6801">
        <v>9.14</v>
      </c>
      <c r="M6801">
        <v>34</v>
      </c>
      <c r="N6801">
        <v>0</v>
      </c>
      <c r="O6801">
        <v>34</v>
      </c>
      <c r="P6801">
        <v>0</v>
      </c>
    </row>
    <row r="6802" spans="1:16" x14ac:dyDescent="0.25">
      <c r="A6802" t="s">
        <v>29275</v>
      </c>
      <c r="B6802" t="s">
        <v>29276</v>
      </c>
      <c r="C6802" t="s">
        <v>29277</v>
      </c>
      <c r="D6802" t="str">
        <f>"1001"</f>
        <v>1001</v>
      </c>
      <c r="E6802" t="s">
        <v>42</v>
      </c>
      <c r="F6802" t="s">
        <v>24617</v>
      </c>
      <c r="G6802" t="s">
        <v>16221</v>
      </c>
      <c r="H6802" t="s">
        <v>47054</v>
      </c>
      <c r="I6802" t="s">
        <v>47154</v>
      </c>
      <c r="J6802" t="s">
        <v>47155</v>
      </c>
      <c r="K6802" t="s">
        <v>47113</v>
      </c>
      <c r="L6802">
        <v>8.6199999999999992</v>
      </c>
      <c r="M6802">
        <v>37</v>
      </c>
      <c r="N6802">
        <v>99</v>
      </c>
      <c r="O6802">
        <v>37</v>
      </c>
      <c r="P6802">
        <v>99</v>
      </c>
    </row>
    <row r="6803" spans="1:16" x14ac:dyDescent="0.25">
      <c r="A6803" t="s">
        <v>29278</v>
      </c>
      <c r="B6803" t="s">
        <v>29276</v>
      </c>
      <c r="C6803" t="s">
        <v>29277</v>
      </c>
      <c r="D6803" t="str">
        <f>"1700"</f>
        <v>1700</v>
      </c>
      <c r="E6803" t="s">
        <v>60</v>
      </c>
      <c r="F6803" t="s">
        <v>24617</v>
      </c>
      <c r="G6803" t="s">
        <v>16221</v>
      </c>
      <c r="H6803" t="s">
        <v>47054</v>
      </c>
      <c r="I6803" t="s">
        <v>47154</v>
      </c>
      <c r="J6803" t="s">
        <v>47155</v>
      </c>
      <c r="K6803" t="s">
        <v>47113</v>
      </c>
      <c r="L6803">
        <v>8.6199999999999992</v>
      </c>
      <c r="M6803">
        <v>37</v>
      </c>
      <c r="N6803">
        <v>99</v>
      </c>
      <c r="O6803">
        <v>37</v>
      </c>
      <c r="P6803">
        <v>99</v>
      </c>
    </row>
    <row r="6804" spans="1:16" x14ac:dyDescent="0.25">
      <c r="A6804" t="s">
        <v>29279</v>
      </c>
      <c r="B6804" t="s">
        <v>29280</v>
      </c>
      <c r="C6804" t="s">
        <v>29281</v>
      </c>
      <c r="D6804" t="str">
        <f>"1700"</f>
        <v>1700</v>
      </c>
      <c r="E6804" t="s">
        <v>60</v>
      </c>
      <c r="F6804" t="s">
        <v>3750</v>
      </c>
      <c r="G6804" t="s">
        <v>16221</v>
      </c>
      <c r="H6804" t="s">
        <v>47054</v>
      </c>
      <c r="I6804" t="s">
        <v>47154</v>
      </c>
      <c r="J6804" t="s">
        <v>47155</v>
      </c>
      <c r="K6804" t="s">
        <v>47113</v>
      </c>
      <c r="L6804">
        <v>6.29</v>
      </c>
      <c r="M6804">
        <v>26</v>
      </c>
      <c r="N6804">
        <v>0</v>
      </c>
      <c r="O6804">
        <v>26</v>
      </c>
      <c r="P6804">
        <v>0</v>
      </c>
    </row>
    <row r="6805" spans="1:16" x14ac:dyDescent="0.25">
      <c r="A6805" t="s">
        <v>29282</v>
      </c>
      <c r="B6805" t="s">
        <v>29283</v>
      </c>
      <c r="C6805" t="s">
        <v>29284</v>
      </c>
      <c r="D6805" t="str">
        <f>"1001"</f>
        <v>1001</v>
      </c>
      <c r="E6805" t="s">
        <v>42</v>
      </c>
      <c r="F6805" t="s">
        <v>3750</v>
      </c>
      <c r="G6805" t="s">
        <v>16221</v>
      </c>
      <c r="H6805" t="s">
        <v>47054</v>
      </c>
      <c r="I6805" t="s">
        <v>47154</v>
      </c>
      <c r="J6805" t="s">
        <v>47155</v>
      </c>
      <c r="K6805" t="s">
        <v>47113</v>
      </c>
      <c r="L6805">
        <v>7.32</v>
      </c>
      <c r="M6805">
        <v>29</v>
      </c>
      <c r="N6805">
        <v>79</v>
      </c>
      <c r="O6805">
        <v>29</v>
      </c>
      <c r="P6805">
        <v>79</v>
      </c>
    </row>
    <row r="6806" spans="1:16" x14ac:dyDescent="0.25">
      <c r="A6806" t="s">
        <v>29285</v>
      </c>
      <c r="B6806" t="s">
        <v>29283</v>
      </c>
      <c r="C6806" t="s">
        <v>29284</v>
      </c>
      <c r="D6806" t="str">
        <f>"4100"</f>
        <v>4100</v>
      </c>
      <c r="E6806" t="s">
        <v>17644</v>
      </c>
      <c r="F6806" t="s">
        <v>3750</v>
      </c>
      <c r="G6806" t="s">
        <v>16221</v>
      </c>
      <c r="H6806" t="s">
        <v>47054</v>
      </c>
      <c r="I6806" t="s">
        <v>47154</v>
      </c>
      <c r="J6806" t="s">
        <v>47155</v>
      </c>
      <c r="K6806" t="s">
        <v>47113</v>
      </c>
      <c r="L6806">
        <v>7.32</v>
      </c>
      <c r="M6806">
        <v>29</v>
      </c>
      <c r="N6806">
        <v>79</v>
      </c>
      <c r="O6806">
        <v>29</v>
      </c>
      <c r="P6806">
        <v>79</v>
      </c>
    </row>
    <row r="6807" spans="1:16" x14ac:dyDescent="0.25">
      <c r="A6807" t="s">
        <v>29286</v>
      </c>
      <c r="B6807" t="s">
        <v>19857</v>
      </c>
      <c r="C6807" t="s">
        <v>19858</v>
      </c>
      <c r="D6807" t="str">
        <f>"1700"</f>
        <v>1700</v>
      </c>
      <c r="E6807" t="s">
        <v>60</v>
      </c>
      <c r="F6807" t="s">
        <v>3750</v>
      </c>
      <c r="G6807" t="s">
        <v>16221</v>
      </c>
      <c r="H6807" t="s">
        <v>47054</v>
      </c>
      <c r="I6807" t="s">
        <v>47154</v>
      </c>
      <c r="J6807" t="s">
        <v>47155</v>
      </c>
      <c r="K6807" t="s">
        <v>47113</v>
      </c>
      <c r="L6807">
        <v>6.61</v>
      </c>
      <c r="M6807">
        <v>28</v>
      </c>
      <c r="N6807">
        <v>0</v>
      </c>
      <c r="O6807">
        <v>28</v>
      </c>
      <c r="P6807">
        <v>0</v>
      </c>
    </row>
    <row r="6808" spans="1:16" x14ac:dyDescent="0.25">
      <c r="A6808" t="s">
        <v>29287</v>
      </c>
      <c r="B6808" t="s">
        <v>19857</v>
      </c>
      <c r="C6808" t="s">
        <v>19858</v>
      </c>
      <c r="D6808" t="str">
        <f>"4100"</f>
        <v>4100</v>
      </c>
      <c r="E6808" t="s">
        <v>17644</v>
      </c>
      <c r="F6808" t="s">
        <v>3750</v>
      </c>
      <c r="G6808" t="s">
        <v>16221</v>
      </c>
      <c r="H6808" t="s">
        <v>47054</v>
      </c>
      <c r="I6808" t="s">
        <v>47154</v>
      </c>
      <c r="J6808" t="s">
        <v>47155</v>
      </c>
      <c r="K6808" t="s">
        <v>47113</v>
      </c>
      <c r="L6808">
        <v>6.61</v>
      </c>
      <c r="M6808">
        <v>28</v>
      </c>
      <c r="N6808">
        <v>0</v>
      </c>
      <c r="O6808">
        <v>28</v>
      </c>
      <c r="P6808">
        <v>0</v>
      </c>
    </row>
    <row r="6809" spans="1:16" x14ac:dyDescent="0.25">
      <c r="A6809" t="s">
        <v>29288</v>
      </c>
      <c r="B6809" t="s">
        <v>19859</v>
      </c>
      <c r="C6809" t="s">
        <v>19860</v>
      </c>
      <c r="D6809" t="str">
        <f>"1001"</f>
        <v>1001</v>
      </c>
      <c r="E6809" t="s">
        <v>42</v>
      </c>
      <c r="F6809" t="s">
        <v>3750</v>
      </c>
      <c r="G6809" t="s">
        <v>16221</v>
      </c>
      <c r="H6809" t="s">
        <v>47054</v>
      </c>
      <c r="I6809" t="s">
        <v>47154</v>
      </c>
      <c r="J6809" t="s">
        <v>47155</v>
      </c>
      <c r="K6809" t="s">
        <v>47113</v>
      </c>
      <c r="L6809">
        <v>6.47</v>
      </c>
      <c r="M6809">
        <v>28</v>
      </c>
      <c r="N6809">
        <v>0</v>
      </c>
      <c r="O6809">
        <v>28</v>
      </c>
      <c r="P6809">
        <v>0</v>
      </c>
    </row>
    <row r="6810" spans="1:16" x14ac:dyDescent="0.25">
      <c r="A6810" t="s">
        <v>29289</v>
      </c>
      <c r="B6810" t="s">
        <v>19859</v>
      </c>
      <c r="C6810" t="s">
        <v>19860</v>
      </c>
      <c r="D6810" t="str">
        <f>"1700"</f>
        <v>1700</v>
      </c>
      <c r="E6810" t="s">
        <v>60</v>
      </c>
      <c r="F6810" t="s">
        <v>3750</v>
      </c>
      <c r="G6810" t="s">
        <v>16221</v>
      </c>
      <c r="H6810" t="s">
        <v>47054</v>
      </c>
      <c r="I6810" t="s">
        <v>47154</v>
      </c>
      <c r="J6810" t="s">
        <v>47155</v>
      </c>
      <c r="K6810" t="s">
        <v>47113</v>
      </c>
      <c r="L6810">
        <v>6.47</v>
      </c>
      <c r="M6810">
        <v>28</v>
      </c>
      <c r="N6810">
        <v>0</v>
      </c>
      <c r="O6810">
        <v>28</v>
      </c>
      <c r="P6810">
        <v>0</v>
      </c>
    </row>
    <row r="6811" spans="1:16" x14ac:dyDescent="0.25">
      <c r="A6811" t="s">
        <v>29290</v>
      </c>
      <c r="B6811" t="s">
        <v>29291</v>
      </c>
      <c r="C6811" t="s">
        <v>29292</v>
      </c>
      <c r="D6811" t="str">
        <f>"1001"</f>
        <v>1001</v>
      </c>
      <c r="E6811" t="s">
        <v>42</v>
      </c>
      <c r="F6811" t="s">
        <v>3750</v>
      </c>
      <c r="G6811" t="s">
        <v>16221</v>
      </c>
      <c r="H6811" t="s">
        <v>47054</v>
      </c>
      <c r="I6811" t="s">
        <v>47154</v>
      </c>
      <c r="J6811" t="s">
        <v>47155</v>
      </c>
      <c r="K6811" t="s">
        <v>47113</v>
      </c>
      <c r="L6811">
        <v>5.77</v>
      </c>
      <c r="M6811">
        <v>29</v>
      </c>
      <c r="N6811">
        <v>79</v>
      </c>
      <c r="O6811">
        <v>29</v>
      </c>
      <c r="P6811">
        <v>79</v>
      </c>
    </row>
    <row r="6812" spans="1:16" x14ac:dyDescent="0.25">
      <c r="A6812" t="s">
        <v>29293</v>
      </c>
      <c r="B6812" t="s">
        <v>29291</v>
      </c>
      <c r="C6812" t="s">
        <v>29292</v>
      </c>
      <c r="D6812" t="str">
        <f>"1700"</f>
        <v>1700</v>
      </c>
      <c r="E6812" t="s">
        <v>60</v>
      </c>
      <c r="F6812" t="s">
        <v>3750</v>
      </c>
      <c r="G6812" t="s">
        <v>16221</v>
      </c>
      <c r="H6812" t="s">
        <v>47054</v>
      </c>
      <c r="I6812" t="s">
        <v>47154</v>
      </c>
      <c r="J6812" t="s">
        <v>47155</v>
      </c>
      <c r="K6812" t="s">
        <v>47113</v>
      </c>
      <c r="L6812">
        <v>5.77</v>
      </c>
      <c r="M6812">
        <v>29</v>
      </c>
      <c r="N6812">
        <v>79</v>
      </c>
      <c r="O6812">
        <v>29</v>
      </c>
      <c r="P6812">
        <v>79</v>
      </c>
    </row>
    <row r="6813" spans="1:16" x14ac:dyDescent="0.25">
      <c r="A6813" t="s">
        <v>29294</v>
      </c>
      <c r="B6813" t="s">
        <v>29291</v>
      </c>
      <c r="C6813" t="s">
        <v>29292</v>
      </c>
      <c r="D6813" t="str">
        <f>"3071"</f>
        <v>3071</v>
      </c>
      <c r="E6813" t="s">
        <v>15402</v>
      </c>
      <c r="F6813" t="s">
        <v>3750</v>
      </c>
      <c r="G6813" t="s">
        <v>16221</v>
      </c>
      <c r="H6813" t="s">
        <v>47054</v>
      </c>
      <c r="I6813" t="s">
        <v>47154</v>
      </c>
      <c r="J6813" t="s">
        <v>47155</v>
      </c>
      <c r="K6813" t="s">
        <v>47113</v>
      </c>
      <c r="L6813">
        <v>6.09</v>
      </c>
      <c r="M6813">
        <v>26</v>
      </c>
      <c r="N6813">
        <v>0</v>
      </c>
      <c r="O6813">
        <v>26</v>
      </c>
      <c r="P6813">
        <v>0</v>
      </c>
    </row>
    <row r="6814" spans="1:16" x14ac:dyDescent="0.25">
      <c r="A6814" t="s">
        <v>29295</v>
      </c>
      <c r="B6814" t="s">
        <v>29291</v>
      </c>
      <c r="C6814" t="s">
        <v>29292</v>
      </c>
      <c r="D6814" t="str">
        <f>"8000"</f>
        <v>8000</v>
      </c>
      <c r="E6814" t="s">
        <v>29296</v>
      </c>
      <c r="F6814" t="s">
        <v>3750</v>
      </c>
      <c r="G6814" t="s">
        <v>16221</v>
      </c>
      <c r="H6814" t="s">
        <v>47054</v>
      </c>
      <c r="I6814" t="s">
        <v>47154</v>
      </c>
      <c r="J6814" t="s">
        <v>47155</v>
      </c>
      <c r="K6814" t="s">
        <v>47113</v>
      </c>
      <c r="L6814">
        <v>6.09</v>
      </c>
      <c r="M6814">
        <v>26</v>
      </c>
      <c r="N6814">
        <v>0</v>
      </c>
      <c r="O6814">
        <v>26</v>
      </c>
      <c r="P6814">
        <v>0</v>
      </c>
    </row>
    <row r="6815" spans="1:16" x14ac:dyDescent="0.25">
      <c r="A6815" t="s">
        <v>29297</v>
      </c>
      <c r="B6815" t="s">
        <v>29291</v>
      </c>
      <c r="C6815" t="s">
        <v>29292</v>
      </c>
      <c r="D6815" t="str">
        <f>"9614"</f>
        <v>9614</v>
      </c>
      <c r="E6815" t="s">
        <v>2314</v>
      </c>
      <c r="F6815" t="s">
        <v>20496</v>
      </c>
      <c r="G6815" t="s">
        <v>16221</v>
      </c>
      <c r="H6815" t="s">
        <v>47054</v>
      </c>
      <c r="I6815" t="s">
        <v>47154</v>
      </c>
      <c r="J6815" t="s">
        <v>47155</v>
      </c>
      <c r="K6815" t="s">
        <v>47113</v>
      </c>
      <c r="L6815">
        <v>6.12</v>
      </c>
      <c r="M6815">
        <v>29</v>
      </c>
      <c r="N6815">
        <v>79</v>
      </c>
      <c r="O6815">
        <v>29</v>
      </c>
      <c r="P6815">
        <v>79</v>
      </c>
    </row>
    <row r="6816" spans="1:16" x14ac:dyDescent="0.25">
      <c r="A6816" t="s">
        <v>29298</v>
      </c>
      <c r="B6816" t="s">
        <v>5622</v>
      </c>
      <c r="C6816" t="s">
        <v>5623</v>
      </c>
      <c r="D6816" t="str">
        <f>"1035"</f>
        <v>1035</v>
      </c>
      <c r="E6816" t="s">
        <v>5624</v>
      </c>
      <c r="F6816" t="s">
        <v>1</v>
      </c>
      <c r="G6816" t="s">
        <v>16224</v>
      </c>
      <c r="H6816" t="s">
        <v>47054</v>
      </c>
      <c r="I6816" t="s">
        <v>47120</v>
      </c>
      <c r="J6816" t="s">
        <v>47121</v>
      </c>
      <c r="K6816" t="s">
        <v>47113</v>
      </c>
      <c r="L6816">
        <v>40.619999999999997</v>
      </c>
      <c r="M6816">
        <v>100</v>
      </c>
      <c r="N6816">
        <v>0</v>
      </c>
      <c r="O6816">
        <v>100</v>
      </c>
      <c r="P6816">
        <v>0</v>
      </c>
    </row>
    <row r="6817" spans="1:16" x14ac:dyDescent="0.25">
      <c r="A6817" t="s">
        <v>29299</v>
      </c>
      <c r="B6817" t="s">
        <v>5622</v>
      </c>
      <c r="C6817" t="s">
        <v>5623</v>
      </c>
      <c r="D6817" t="str">
        <f>"2519"</f>
        <v>2519</v>
      </c>
      <c r="E6817" t="s">
        <v>1655</v>
      </c>
      <c r="F6817" t="s">
        <v>1</v>
      </c>
      <c r="G6817" t="s">
        <v>16224</v>
      </c>
      <c r="H6817" t="s">
        <v>47054</v>
      </c>
      <c r="I6817" t="s">
        <v>47120</v>
      </c>
      <c r="J6817" t="s">
        <v>47121</v>
      </c>
      <c r="K6817" t="s">
        <v>47113</v>
      </c>
      <c r="L6817">
        <v>40.619999999999997</v>
      </c>
      <c r="M6817">
        <v>100</v>
      </c>
      <c r="N6817">
        <v>0</v>
      </c>
      <c r="O6817">
        <v>100</v>
      </c>
      <c r="P6817">
        <v>0</v>
      </c>
    </row>
    <row r="6818" spans="1:16" x14ac:dyDescent="0.25">
      <c r="A6818" t="s">
        <v>29300</v>
      </c>
      <c r="B6818" t="s">
        <v>5625</v>
      </c>
      <c r="C6818" t="s">
        <v>5626</v>
      </c>
      <c r="D6818" t="str">
        <f>"4908"</f>
        <v>4908</v>
      </c>
      <c r="E6818" t="s">
        <v>5627</v>
      </c>
      <c r="F6818" t="s">
        <v>3546</v>
      </c>
      <c r="G6818" t="s">
        <v>16222</v>
      </c>
      <c r="H6818" t="s">
        <v>47054</v>
      </c>
      <c r="I6818" t="s">
        <v>47120</v>
      </c>
      <c r="J6818" t="s">
        <v>47121</v>
      </c>
      <c r="K6818" t="s">
        <v>47113</v>
      </c>
      <c r="L6818">
        <v>26.3</v>
      </c>
      <c r="M6818">
        <v>65</v>
      </c>
      <c r="N6818">
        <v>0</v>
      </c>
      <c r="O6818">
        <v>65</v>
      </c>
      <c r="P6818">
        <v>0</v>
      </c>
    </row>
    <row r="6819" spans="1:16" x14ac:dyDescent="0.25">
      <c r="A6819" t="s">
        <v>29301</v>
      </c>
      <c r="B6819" t="s">
        <v>5628</v>
      </c>
      <c r="C6819" t="s">
        <v>5629</v>
      </c>
      <c r="D6819" t="str">
        <f>"4789"</f>
        <v>4789</v>
      </c>
      <c r="E6819" t="s">
        <v>5630</v>
      </c>
      <c r="F6819" t="s">
        <v>2068</v>
      </c>
      <c r="G6819" t="s">
        <v>16232</v>
      </c>
      <c r="H6819" t="s">
        <v>47054</v>
      </c>
      <c r="I6819" t="s">
        <v>47118</v>
      </c>
      <c r="J6819" t="s">
        <v>47119</v>
      </c>
      <c r="K6819" t="s">
        <v>47113</v>
      </c>
      <c r="L6819">
        <v>13.46</v>
      </c>
      <c r="M6819">
        <v>23</v>
      </c>
      <c r="N6819">
        <v>0</v>
      </c>
      <c r="O6819">
        <v>23</v>
      </c>
      <c r="P6819">
        <v>0</v>
      </c>
    </row>
    <row r="6820" spans="1:16" x14ac:dyDescent="0.25">
      <c r="A6820" t="s">
        <v>29302</v>
      </c>
      <c r="B6820" t="s">
        <v>5628</v>
      </c>
      <c r="C6820" t="s">
        <v>5629</v>
      </c>
      <c r="D6820" t="str">
        <f>"8409"</f>
        <v>8409</v>
      </c>
      <c r="E6820" t="s">
        <v>5587</v>
      </c>
      <c r="F6820" t="s">
        <v>2068</v>
      </c>
      <c r="G6820" t="s">
        <v>16232</v>
      </c>
      <c r="H6820" t="s">
        <v>47054</v>
      </c>
      <c r="I6820" t="s">
        <v>47118</v>
      </c>
      <c r="J6820" t="s">
        <v>47119</v>
      </c>
      <c r="K6820" t="s">
        <v>47113</v>
      </c>
      <c r="L6820">
        <v>13.46</v>
      </c>
      <c r="M6820">
        <v>23</v>
      </c>
      <c r="N6820">
        <v>0</v>
      </c>
      <c r="O6820">
        <v>23</v>
      </c>
      <c r="P6820">
        <v>0</v>
      </c>
    </row>
    <row r="6821" spans="1:16" x14ac:dyDescent="0.25">
      <c r="A6821" t="s">
        <v>29303</v>
      </c>
      <c r="B6821" t="s">
        <v>5631</v>
      </c>
      <c r="C6821" t="s">
        <v>5493</v>
      </c>
      <c r="D6821" t="str">
        <f>"3520"</f>
        <v>3520</v>
      </c>
      <c r="E6821" t="s">
        <v>5632</v>
      </c>
      <c r="F6821" t="s">
        <v>2068</v>
      </c>
      <c r="G6821" t="s">
        <v>16230</v>
      </c>
      <c r="H6821" t="s">
        <v>47054</v>
      </c>
      <c r="I6821" t="s">
        <v>47118</v>
      </c>
      <c r="J6821" t="s">
        <v>47119</v>
      </c>
      <c r="K6821" t="s">
        <v>47113</v>
      </c>
      <c r="L6821">
        <v>23.2</v>
      </c>
      <c r="M6821">
        <v>50</v>
      </c>
      <c r="N6821">
        <v>0</v>
      </c>
      <c r="O6821">
        <v>50</v>
      </c>
      <c r="P6821">
        <v>0</v>
      </c>
    </row>
    <row r="6822" spans="1:16" x14ac:dyDescent="0.25">
      <c r="A6822" t="s">
        <v>29304</v>
      </c>
      <c r="B6822" t="s">
        <v>5633</v>
      </c>
      <c r="C6822" t="s">
        <v>5634</v>
      </c>
      <c r="D6822" t="str">
        <f>"4875"</f>
        <v>4875</v>
      </c>
      <c r="E6822" t="s">
        <v>5635</v>
      </c>
      <c r="F6822" t="s">
        <v>2068</v>
      </c>
      <c r="G6822" t="s">
        <v>16224</v>
      </c>
      <c r="H6822" t="s">
        <v>47054</v>
      </c>
      <c r="I6822" t="s">
        <v>47120</v>
      </c>
      <c r="J6822" t="s">
        <v>47121</v>
      </c>
      <c r="K6822" t="s">
        <v>47113</v>
      </c>
      <c r="L6822">
        <v>45.21</v>
      </c>
      <c r="M6822">
        <v>102</v>
      </c>
      <c r="N6822">
        <v>0</v>
      </c>
      <c r="O6822">
        <v>102</v>
      </c>
      <c r="P6822">
        <v>0</v>
      </c>
    </row>
    <row r="6823" spans="1:16" x14ac:dyDescent="0.25">
      <c r="A6823" t="s">
        <v>29305</v>
      </c>
      <c r="B6823" t="s">
        <v>29306</v>
      </c>
      <c r="C6823" t="s">
        <v>29307</v>
      </c>
      <c r="D6823" t="str">
        <f>"6001"</f>
        <v>6001</v>
      </c>
      <c r="E6823" t="s">
        <v>29308</v>
      </c>
      <c r="F6823" t="s">
        <v>3750</v>
      </c>
      <c r="G6823" t="s">
        <v>16235</v>
      </c>
      <c r="H6823" t="s">
        <v>47054</v>
      </c>
      <c r="I6823" t="s">
        <v>47120</v>
      </c>
      <c r="J6823" t="s">
        <v>47121</v>
      </c>
      <c r="K6823" t="s">
        <v>47113</v>
      </c>
      <c r="L6823">
        <v>17.79</v>
      </c>
      <c r="M6823">
        <v>70</v>
      </c>
      <c r="N6823">
        <v>189</v>
      </c>
      <c r="O6823">
        <v>70</v>
      </c>
      <c r="P6823">
        <v>189</v>
      </c>
    </row>
    <row r="6824" spans="1:16" x14ac:dyDescent="0.25">
      <c r="A6824" t="s">
        <v>14942</v>
      </c>
      <c r="B6824" t="s">
        <v>5636</v>
      </c>
      <c r="C6824" t="s">
        <v>5637</v>
      </c>
      <c r="D6824" t="s">
        <v>5638</v>
      </c>
      <c r="E6824" t="s">
        <v>5639</v>
      </c>
      <c r="F6824" t="s">
        <v>0</v>
      </c>
      <c r="G6824" t="s">
        <v>16230</v>
      </c>
      <c r="H6824" t="s">
        <v>47054</v>
      </c>
      <c r="I6824" t="s">
        <v>47120</v>
      </c>
      <c r="J6824" t="s">
        <v>47121</v>
      </c>
      <c r="K6824" t="s">
        <v>47113</v>
      </c>
      <c r="L6824">
        <v>23.6</v>
      </c>
      <c r="M6824">
        <v>57</v>
      </c>
      <c r="N6824">
        <v>0</v>
      </c>
      <c r="O6824">
        <v>57</v>
      </c>
      <c r="P6824">
        <v>0</v>
      </c>
    </row>
    <row r="6825" spans="1:16" x14ac:dyDescent="0.25">
      <c r="A6825" t="s">
        <v>29309</v>
      </c>
      <c r="B6825" t="s">
        <v>5640</v>
      </c>
      <c r="C6825" t="s">
        <v>5641</v>
      </c>
      <c r="D6825" t="s">
        <v>5642</v>
      </c>
      <c r="E6825" t="s">
        <v>5643</v>
      </c>
      <c r="F6825" t="s">
        <v>2068</v>
      </c>
      <c r="G6825" t="s">
        <v>16230</v>
      </c>
      <c r="H6825" t="s">
        <v>47054</v>
      </c>
      <c r="I6825" t="s">
        <v>47120</v>
      </c>
      <c r="J6825" t="s">
        <v>47121</v>
      </c>
      <c r="K6825" t="s">
        <v>47113</v>
      </c>
      <c r="L6825">
        <v>25.12</v>
      </c>
      <c r="M6825">
        <v>57</v>
      </c>
      <c r="N6825">
        <v>0</v>
      </c>
      <c r="O6825">
        <v>57</v>
      </c>
      <c r="P6825">
        <v>0</v>
      </c>
    </row>
    <row r="6826" spans="1:16" x14ac:dyDescent="0.25">
      <c r="A6826" t="s">
        <v>29310</v>
      </c>
      <c r="B6826" t="s">
        <v>15213</v>
      </c>
      <c r="C6826" t="s">
        <v>16720</v>
      </c>
      <c r="D6826" t="s">
        <v>15215</v>
      </c>
      <c r="E6826" t="s">
        <v>15216</v>
      </c>
      <c r="F6826" t="s">
        <v>15183</v>
      </c>
      <c r="G6826" t="s">
        <v>16234</v>
      </c>
      <c r="H6826" t="s">
        <v>47054</v>
      </c>
      <c r="I6826" t="s">
        <v>47111</v>
      </c>
      <c r="J6826" t="s">
        <v>47112</v>
      </c>
      <c r="K6826" t="s">
        <v>47113</v>
      </c>
      <c r="L6826">
        <v>28.13</v>
      </c>
      <c r="M6826">
        <v>74</v>
      </c>
      <c r="N6826">
        <v>0</v>
      </c>
      <c r="O6826">
        <v>74</v>
      </c>
      <c r="P6826">
        <v>0</v>
      </c>
    </row>
    <row r="6827" spans="1:16" x14ac:dyDescent="0.25">
      <c r="A6827" t="s">
        <v>29311</v>
      </c>
      <c r="B6827" t="s">
        <v>15217</v>
      </c>
      <c r="C6827" t="s">
        <v>15214</v>
      </c>
      <c r="D6827" t="s">
        <v>15218</v>
      </c>
      <c r="E6827" t="s">
        <v>15219</v>
      </c>
      <c r="F6827" t="s">
        <v>15183</v>
      </c>
      <c r="G6827" t="s">
        <v>16234</v>
      </c>
      <c r="H6827" t="s">
        <v>47054</v>
      </c>
      <c r="I6827" t="s">
        <v>47116</v>
      </c>
      <c r="J6827" t="s">
        <v>47117</v>
      </c>
      <c r="K6827" t="s">
        <v>47113</v>
      </c>
      <c r="L6827">
        <v>26.76</v>
      </c>
      <c r="M6827">
        <v>74</v>
      </c>
      <c r="N6827">
        <v>0</v>
      </c>
      <c r="O6827">
        <v>74</v>
      </c>
      <c r="P6827">
        <v>0</v>
      </c>
    </row>
    <row r="6828" spans="1:16" x14ac:dyDescent="0.25">
      <c r="A6828" t="s">
        <v>29312</v>
      </c>
      <c r="B6828" t="s">
        <v>15220</v>
      </c>
      <c r="C6828" t="s">
        <v>15221</v>
      </c>
      <c r="D6828" t="s">
        <v>15222</v>
      </c>
      <c r="E6828" t="s">
        <v>15223</v>
      </c>
      <c r="F6828" t="s">
        <v>15183</v>
      </c>
      <c r="G6828" t="s">
        <v>16234</v>
      </c>
      <c r="H6828" t="s">
        <v>47054</v>
      </c>
      <c r="I6828" t="s">
        <v>47116</v>
      </c>
      <c r="J6828" t="s">
        <v>47117</v>
      </c>
      <c r="K6828" t="s">
        <v>47113</v>
      </c>
      <c r="L6828">
        <v>27.61</v>
      </c>
      <c r="M6828">
        <v>74</v>
      </c>
      <c r="N6828">
        <v>0</v>
      </c>
      <c r="O6828">
        <v>74</v>
      </c>
      <c r="P6828">
        <v>0</v>
      </c>
    </row>
    <row r="6829" spans="1:16" x14ac:dyDescent="0.25">
      <c r="A6829" t="s">
        <v>29313</v>
      </c>
      <c r="B6829" t="s">
        <v>15224</v>
      </c>
      <c r="C6829" t="s">
        <v>16721</v>
      </c>
      <c r="D6829" t="s">
        <v>15222</v>
      </c>
      <c r="E6829" t="s">
        <v>15223</v>
      </c>
      <c r="F6829" t="s">
        <v>15183</v>
      </c>
      <c r="G6829" t="s">
        <v>16234</v>
      </c>
      <c r="H6829" t="s">
        <v>47054</v>
      </c>
      <c r="I6829" t="s">
        <v>47116</v>
      </c>
      <c r="J6829" t="s">
        <v>47117</v>
      </c>
      <c r="K6829" t="s">
        <v>47113</v>
      </c>
      <c r="L6829">
        <v>27.72</v>
      </c>
      <c r="M6829">
        <v>74</v>
      </c>
      <c r="N6829">
        <v>0</v>
      </c>
      <c r="O6829">
        <v>74</v>
      </c>
      <c r="P6829">
        <v>0</v>
      </c>
    </row>
    <row r="6830" spans="1:16" x14ac:dyDescent="0.25">
      <c r="A6830" t="s">
        <v>29314</v>
      </c>
      <c r="B6830" t="s">
        <v>15225</v>
      </c>
      <c r="C6830" t="s">
        <v>15214</v>
      </c>
      <c r="D6830" t="s">
        <v>15215</v>
      </c>
      <c r="E6830" t="s">
        <v>15216</v>
      </c>
      <c r="F6830" t="s">
        <v>15183</v>
      </c>
      <c r="G6830" t="s">
        <v>16234</v>
      </c>
      <c r="H6830" t="s">
        <v>47054</v>
      </c>
      <c r="I6830" t="s">
        <v>47111</v>
      </c>
      <c r="J6830" t="s">
        <v>47112</v>
      </c>
      <c r="K6830" t="s">
        <v>47113</v>
      </c>
      <c r="L6830">
        <v>33.15</v>
      </c>
      <c r="M6830">
        <v>74</v>
      </c>
      <c r="N6830">
        <v>0</v>
      </c>
      <c r="O6830">
        <v>74</v>
      </c>
      <c r="P6830">
        <v>0</v>
      </c>
    </row>
    <row r="6831" spans="1:16" x14ac:dyDescent="0.25">
      <c r="A6831" t="s">
        <v>29315</v>
      </c>
      <c r="B6831" t="s">
        <v>15226</v>
      </c>
      <c r="C6831" t="s">
        <v>16721</v>
      </c>
      <c r="D6831" t="s">
        <v>15227</v>
      </c>
      <c r="E6831" t="s">
        <v>15228</v>
      </c>
      <c r="F6831" t="s">
        <v>15183</v>
      </c>
      <c r="G6831" t="s">
        <v>16234</v>
      </c>
      <c r="H6831" t="s">
        <v>47054</v>
      </c>
      <c r="I6831" t="s">
        <v>47111</v>
      </c>
      <c r="J6831" t="s">
        <v>47112</v>
      </c>
      <c r="K6831" t="s">
        <v>47113</v>
      </c>
      <c r="L6831">
        <v>27.72</v>
      </c>
      <c r="M6831">
        <v>74</v>
      </c>
      <c r="N6831">
        <v>0</v>
      </c>
      <c r="O6831">
        <v>74</v>
      </c>
      <c r="P6831">
        <v>0</v>
      </c>
    </row>
    <row r="6832" spans="1:16" x14ac:dyDescent="0.25">
      <c r="A6832" t="s">
        <v>29316</v>
      </c>
      <c r="B6832" t="s">
        <v>15229</v>
      </c>
      <c r="C6832" t="s">
        <v>16722</v>
      </c>
      <c r="D6832" t="s">
        <v>15215</v>
      </c>
      <c r="E6832" t="s">
        <v>15231</v>
      </c>
      <c r="F6832" t="s">
        <v>15183</v>
      </c>
      <c r="G6832" t="s">
        <v>16234</v>
      </c>
      <c r="H6832" t="s">
        <v>47054</v>
      </c>
      <c r="I6832" t="s">
        <v>47116</v>
      </c>
      <c r="J6832" t="s">
        <v>47117</v>
      </c>
      <c r="K6832" t="s">
        <v>47113</v>
      </c>
      <c r="L6832">
        <v>28.13</v>
      </c>
      <c r="M6832">
        <v>74</v>
      </c>
      <c r="N6832">
        <v>0</v>
      </c>
      <c r="O6832">
        <v>74</v>
      </c>
      <c r="P6832">
        <v>0</v>
      </c>
    </row>
    <row r="6833" spans="1:16" x14ac:dyDescent="0.25">
      <c r="A6833" t="s">
        <v>29317</v>
      </c>
      <c r="B6833" t="s">
        <v>15232</v>
      </c>
      <c r="C6833" t="s">
        <v>15230</v>
      </c>
      <c r="D6833" t="s">
        <v>15222</v>
      </c>
      <c r="E6833" t="s">
        <v>15223</v>
      </c>
      <c r="F6833" t="s">
        <v>15183</v>
      </c>
      <c r="G6833" t="s">
        <v>16234</v>
      </c>
      <c r="H6833" t="s">
        <v>47054</v>
      </c>
      <c r="I6833" t="s">
        <v>47116</v>
      </c>
      <c r="J6833" t="s">
        <v>47117</v>
      </c>
      <c r="K6833" t="s">
        <v>47113</v>
      </c>
      <c r="L6833">
        <v>27.61</v>
      </c>
      <c r="M6833">
        <v>74</v>
      </c>
      <c r="N6833">
        <v>0</v>
      </c>
      <c r="O6833">
        <v>74</v>
      </c>
      <c r="P6833">
        <v>0</v>
      </c>
    </row>
    <row r="6834" spans="1:16" x14ac:dyDescent="0.25">
      <c r="A6834" t="s">
        <v>29318</v>
      </c>
      <c r="B6834" t="s">
        <v>15233</v>
      </c>
      <c r="C6834" t="s">
        <v>7986</v>
      </c>
      <c r="D6834" t="s">
        <v>15215</v>
      </c>
      <c r="E6834" t="s">
        <v>15216</v>
      </c>
      <c r="F6834" t="s">
        <v>15183</v>
      </c>
      <c r="G6834" t="s">
        <v>16231</v>
      </c>
      <c r="H6834" t="s">
        <v>47054</v>
      </c>
      <c r="I6834" t="s">
        <v>47116</v>
      </c>
      <c r="J6834" t="s">
        <v>47117</v>
      </c>
      <c r="K6834" t="s">
        <v>47113</v>
      </c>
      <c r="L6834">
        <v>26.19</v>
      </c>
      <c r="M6834">
        <v>74</v>
      </c>
      <c r="N6834">
        <v>0</v>
      </c>
      <c r="O6834">
        <v>74</v>
      </c>
      <c r="P6834">
        <v>0</v>
      </c>
    </row>
    <row r="6835" spans="1:16" x14ac:dyDescent="0.25">
      <c r="A6835" t="s">
        <v>29319</v>
      </c>
      <c r="B6835" t="s">
        <v>15234</v>
      </c>
      <c r="C6835" t="s">
        <v>15235</v>
      </c>
      <c r="D6835" t="s">
        <v>15215</v>
      </c>
      <c r="E6835" t="s">
        <v>15216</v>
      </c>
      <c r="F6835" t="s">
        <v>15183</v>
      </c>
      <c r="G6835" t="s">
        <v>16234</v>
      </c>
      <c r="H6835" t="s">
        <v>47054</v>
      </c>
      <c r="I6835" t="s">
        <v>47116</v>
      </c>
      <c r="J6835" t="s">
        <v>47117</v>
      </c>
      <c r="K6835" t="s">
        <v>47113</v>
      </c>
      <c r="L6835">
        <v>26.76</v>
      </c>
      <c r="M6835">
        <v>74</v>
      </c>
      <c r="N6835">
        <v>0</v>
      </c>
      <c r="O6835">
        <v>74</v>
      </c>
      <c r="P6835">
        <v>0</v>
      </c>
    </row>
    <row r="6836" spans="1:16" x14ac:dyDescent="0.25">
      <c r="A6836" t="s">
        <v>29320</v>
      </c>
      <c r="B6836" t="s">
        <v>15236</v>
      </c>
      <c r="C6836" t="s">
        <v>15237</v>
      </c>
      <c r="D6836" t="s">
        <v>15222</v>
      </c>
      <c r="E6836" t="s">
        <v>15223</v>
      </c>
      <c r="F6836" t="s">
        <v>15183</v>
      </c>
      <c r="G6836" t="s">
        <v>16234</v>
      </c>
      <c r="H6836" t="s">
        <v>47054</v>
      </c>
      <c r="I6836" t="s">
        <v>47116</v>
      </c>
      <c r="J6836" t="s">
        <v>47117</v>
      </c>
      <c r="K6836" t="s">
        <v>47113</v>
      </c>
      <c r="L6836">
        <v>27.61</v>
      </c>
      <c r="M6836">
        <v>74</v>
      </c>
      <c r="N6836">
        <v>0</v>
      </c>
      <c r="O6836">
        <v>74</v>
      </c>
      <c r="P6836">
        <v>0</v>
      </c>
    </row>
    <row r="6837" spans="1:16" x14ac:dyDescent="0.25">
      <c r="A6837" t="s">
        <v>29321</v>
      </c>
      <c r="B6837" t="s">
        <v>15238</v>
      </c>
      <c r="C6837" t="s">
        <v>17393</v>
      </c>
      <c r="D6837" t="s">
        <v>15239</v>
      </c>
      <c r="E6837" t="s">
        <v>15240</v>
      </c>
      <c r="F6837" t="s">
        <v>15183</v>
      </c>
      <c r="G6837" t="s">
        <v>16234</v>
      </c>
      <c r="H6837" t="s">
        <v>47054</v>
      </c>
      <c r="I6837" t="s">
        <v>47116</v>
      </c>
      <c r="J6837" t="s">
        <v>47117</v>
      </c>
      <c r="K6837" t="s">
        <v>47113</v>
      </c>
      <c r="L6837">
        <v>26.21</v>
      </c>
      <c r="M6837">
        <v>92</v>
      </c>
      <c r="N6837">
        <v>0</v>
      </c>
      <c r="O6837">
        <v>92</v>
      </c>
      <c r="P6837">
        <v>0</v>
      </c>
    </row>
    <row r="6838" spans="1:16" x14ac:dyDescent="0.25">
      <c r="A6838" t="s">
        <v>29322</v>
      </c>
      <c r="B6838" t="s">
        <v>15241</v>
      </c>
      <c r="C6838" t="s">
        <v>5237</v>
      </c>
      <c r="D6838" t="s">
        <v>15227</v>
      </c>
      <c r="E6838" t="s">
        <v>15228</v>
      </c>
      <c r="F6838" t="s">
        <v>15183</v>
      </c>
      <c r="G6838" t="s">
        <v>16234</v>
      </c>
      <c r="H6838" t="s">
        <v>47054</v>
      </c>
      <c r="I6838" t="s">
        <v>47116</v>
      </c>
      <c r="J6838" t="s">
        <v>47117</v>
      </c>
      <c r="K6838" t="s">
        <v>47113</v>
      </c>
      <c r="L6838">
        <v>27.15</v>
      </c>
      <c r="M6838">
        <v>74</v>
      </c>
      <c r="N6838">
        <v>0</v>
      </c>
      <c r="O6838">
        <v>74</v>
      </c>
      <c r="P6838">
        <v>0</v>
      </c>
    </row>
    <row r="6839" spans="1:16" x14ac:dyDescent="0.25">
      <c r="A6839" t="s">
        <v>29323</v>
      </c>
      <c r="B6839" t="s">
        <v>15242</v>
      </c>
      <c r="C6839" t="s">
        <v>5237</v>
      </c>
      <c r="D6839" t="s">
        <v>15239</v>
      </c>
      <c r="E6839" t="s">
        <v>15240</v>
      </c>
      <c r="F6839" t="s">
        <v>15183</v>
      </c>
      <c r="G6839" t="s">
        <v>16234</v>
      </c>
      <c r="H6839" t="s">
        <v>47054</v>
      </c>
      <c r="I6839" t="s">
        <v>47116</v>
      </c>
      <c r="J6839" t="s">
        <v>47117</v>
      </c>
      <c r="K6839" t="s">
        <v>47113</v>
      </c>
      <c r="L6839">
        <v>26.19</v>
      </c>
      <c r="M6839">
        <v>92</v>
      </c>
      <c r="N6839">
        <v>0</v>
      </c>
      <c r="O6839">
        <v>92</v>
      </c>
      <c r="P6839">
        <v>0</v>
      </c>
    </row>
    <row r="6840" spans="1:16" x14ac:dyDescent="0.25">
      <c r="A6840" t="s">
        <v>29324</v>
      </c>
      <c r="B6840" t="s">
        <v>5644</v>
      </c>
      <c r="C6840" t="s">
        <v>5645</v>
      </c>
      <c r="D6840" t="str">
        <f>"1100"</f>
        <v>1100</v>
      </c>
      <c r="E6840" t="s">
        <v>5646</v>
      </c>
      <c r="F6840" t="s">
        <v>4</v>
      </c>
      <c r="G6840" t="s">
        <v>16234</v>
      </c>
      <c r="H6840" t="s">
        <v>47153</v>
      </c>
      <c r="I6840" t="s">
        <v>47132</v>
      </c>
      <c r="J6840" t="s">
        <v>47133</v>
      </c>
      <c r="K6840" t="s">
        <v>47113</v>
      </c>
      <c r="L6840">
        <v>38.619999999999997</v>
      </c>
      <c r="M6840">
        <v>73</v>
      </c>
      <c r="N6840">
        <v>0</v>
      </c>
      <c r="O6840">
        <v>73</v>
      </c>
      <c r="P6840">
        <v>0</v>
      </c>
    </row>
    <row r="6841" spans="1:16" x14ac:dyDescent="0.25">
      <c r="A6841" t="s">
        <v>29325</v>
      </c>
      <c r="B6841" t="s">
        <v>5644</v>
      </c>
      <c r="C6841" t="s">
        <v>5645</v>
      </c>
      <c r="D6841" t="str">
        <f>"1398"</f>
        <v>1398</v>
      </c>
      <c r="E6841" t="s">
        <v>5647</v>
      </c>
      <c r="F6841" t="s">
        <v>4</v>
      </c>
      <c r="G6841" t="s">
        <v>16234</v>
      </c>
      <c r="H6841" t="s">
        <v>47153</v>
      </c>
      <c r="I6841" t="s">
        <v>47132</v>
      </c>
      <c r="J6841" t="s">
        <v>47133</v>
      </c>
      <c r="K6841" t="s">
        <v>47113</v>
      </c>
      <c r="L6841">
        <v>38.619999999999997</v>
      </c>
      <c r="M6841">
        <v>73</v>
      </c>
      <c r="N6841">
        <v>0</v>
      </c>
      <c r="O6841">
        <v>73</v>
      </c>
      <c r="P6841">
        <v>0</v>
      </c>
    </row>
    <row r="6842" spans="1:16" x14ac:dyDescent="0.25">
      <c r="A6842" t="s">
        <v>29326</v>
      </c>
      <c r="B6842" t="s">
        <v>5644</v>
      </c>
      <c r="C6842" t="s">
        <v>5645</v>
      </c>
      <c r="D6842" t="str">
        <f>"2170"</f>
        <v>2170</v>
      </c>
      <c r="E6842" t="s">
        <v>5648</v>
      </c>
      <c r="F6842" t="s">
        <v>4</v>
      </c>
      <c r="G6842" t="s">
        <v>16234</v>
      </c>
      <c r="H6842" t="s">
        <v>47153</v>
      </c>
      <c r="I6842" t="s">
        <v>47132</v>
      </c>
      <c r="J6842" t="s">
        <v>47133</v>
      </c>
      <c r="K6842" t="s">
        <v>47113</v>
      </c>
      <c r="L6842">
        <v>38.619999999999997</v>
      </c>
      <c r="M6842">
        <v>73</v>
      </c>
      <c r="N6842">
        <v>0</v>
      </c>
      <c r="O6842">
        <v>73</v>
      </c>
      <c r="P6842">
        <v>0</v>
      </c>
    </row>
    <row r="6843" spans="1:16" x14ac:dyDescent="0.25">
      <c r="A6843" t="s">
        <v>29327</v>
      </c>
      <c r="B6843" t="s">
        <v>5649</v>
      </c>
      <c r="C6843" t="s">
        <v>5650</v>
      </c>
      <c r="D6843" t="str">
        <f>"1001"</f>
        <v>1001</v>
      </c>
      <c r="E6843" t="s">
        <v>5651</v>
      </c>
      <c r="F6843" t="s">
        <v>2068</v>
      </c>
      <c r="G6843" t="s">
        <v>16231</v>
      </c>
      <c r="H6843" t="s">
        <v>47054</v>
      </c>
      <c r="I6843" t="s">
        <v>47111</v>
      </c>
      <c r="J6843" t="s">
        <v>47112</v>
      </c>
      <c r="K6843" t="s">
        <v>47113</v>
      </c>
      <c r="L6843">
        <v>40.54</v>
      </c>
      <c r="M6843">
        <v>92</v>
      </c>
      <c r="N6843">
        <v>0</v>
      </c>
      <c r="O6843">
        <v>92</v>
      </c>
      <c r="P6843">
        <v>0</v>
      </c>
    </row>
    <row r="6844" spans="1:16" x14ac:dyDescent="0.25">
      <c r="A6844" t="s">
        <v>29328</v>
      </c>
      <c r="B6844" t="s">
        <v>5649</v>
      </c>
      <c r="C6844" t="s">
        <v>5650</v>
      </c>
      <c r="D6844" t="str">
        <f>"3518"</f>
        <v>3518</v>
      </c>
      <c r="E6844" t="s">
        <v>5652</v>
      </c>
      <c r="F6844" t="s">
        <v>2068</v>
      </c>
      <c r="G6844" t="s">
        <v>16231</v>
      </c>
      <c r="H6844" t="s">
        <v>47054</v>
      </c>
      <c r="I6844" t="s">
        <v>47111</v>
      </c>
      <c r="J6844" t="s">
        <v>47112</v>
      </c>
      <c r="K6844" t="s">
        <v>47113</v>
      </c>
      <c r="L6844">
        <v>40.54</v>
      </c>
      <c r="M6844">
        <v>92</v>
      </c>
      <c r="N6844">
        <v>0</v>
      </c>
      <c r="O6844">
        <v>92</v>
      </c>
      <c r="P6844">
        <v>0</v>
      </c>
    </row>
    <row r="6845" spans="1:16" x14ac:dyDescent="0.25">
      <c r="A6845" t="s">
        <v>29329</v>
      </c>
      <c r="B6845" t="s">
        <v>5649</v>
      </c>
      <c r="C6845" t="s">
        <v>5650</v>
      </c>
      <c r="D6845" t="str">
        <f>"4786"</f>
        <v>4786</v>
      </c>
      <c r="E6845" t="s">
        <v>5653</v>
      </c>
      <c r="F6845" t="s">
        <v>2068</v>
      </c>
      <c r="G6845" t="s">
        <v>16231</v>
      </c>
      <c r="H6845" t="s">
        <v>47054</v>
      </c>
      <c r="I6845" t="s">
        <v>47111</v>
      </c>
      <c r="J6845" t="s">
        <v>47112</v>
      </c>
      <c r="K6845" t="s">
        <v>47113</v>
      </c>
      <c r="L6845">
        <v>40.54</v>
      </c>
      <c r="M6845">
        <v>92</v>
      </c>
      <c r="N6845">
        <v>0</v>
      </c>
      <c r="O6845">
        <v>92</v>
      </c>
      <c r="P6845">
        <v>0</v>
      </c>
    </row>
    <row r="6846" spans="1:16" x14ac:dyDescent="0.25">
      <c r="A6846" t="s">
        <v>29330</v>
      </c>
      <c r="B6846" t="s">
        <v>5654</v>
      </c>
      <c r="C6846" t="s">
        <v>5655</v>
      </c>
      <c r="D6846" t="s">
        <v>5656</v>
      </c>
      <c r="E6846" t="s">
        <v>5657</v>
      </c>
      <c r="F6846" t="s">
        <v>0</v>
      </c>
      <c r="G6846" t="s">
        <v>16233</v>
      </c>
      <c r="H6846" t="s">
        <v>47054</v>
      </c>
      <c r="I6846" t="s">
        <v>47120</v>
      </c>
      <c r="J6846" t="s">
        <v>47121</v>
      </c>
      <c r="K6846" t="s">
        <v>47113</v>
      </c>
      <c r="L6846">
        <v>35.25</v>
      </c>
      <c r="M6846">
        <v>81</v>
      </c>
      <c r="N6846">
        <v>0</v>
      </c>
      <c r="O6846">
        <v>81</v>
      </c>
      <c r="P6846">
        <v>0</v>
      </c>
    </row>
    <row r="6847" spans="1:16" x14ac:dyDescent="0.25">
      <c r="A6847" t="s">
        <v>29331</v>
      </c>
      <c r="B6847" t="s">
        <v>5658</v>
      </c>
      <c r="C6847" t="s">
        <v>5659</v>
      </c>
      <c r="D6847" t="s">
        <v>5660</v>
      </c>
      <c r="E6847" t="s">
        <v>5661</v>
      </c>
      <c r="F6847" t="s">
        <v>0</v>
      </c>
      <c r="G6847" t="s">
        <v>16231</v>
      </c>
      <c r="H6847" t="s">
        <v>47054</v>
      </c>
      <c r="I6847" t="s">
        <v>47111</v>
      </c>
      <c r="J6847" t="s">
        <v>47112</v>
      </c>
      <c r="K6847" t="s">
        <v>47113</v>
      </c>
      <c r="L6847">
        <v>38.07</v>
      </c>
      <c r="M6847">
        <v>84</v>
      </c>
      <c r="N6847">
        <v>0</v>
      </c>
      <c r="O6847">
        <v>84</v>
      </c>
      <c r="P6847">
        <v>0</v>
      </c>
    </row>
    <row r="6848" spans="1:16" x14ac:dyDescent="0.25">
      <c r="A6848" t="s">
        <v>29332</v>
      </c>
      <c r="B6848" t="s">
        <v>5662</v>
      </c>
      <c r="C6848" t="s">
        <v>5659</v>
      </c>
      <c r="D6848" t="s">
        <v>5663</v>
      </c>
      <c r="E6848" t="s">
        <v>5664</v>
      </c>
      <c r="F6848" t="s">
        <v>1</v>
      </c>
      <c r="G6848" t="s">
        <v>16231</v>
      </c>
      <c r="H6848" t="s">
        <v>47054</v>
      </c>
      <c r="I6848" t="s">
        <v>47111</v>
      </c>
      <c r="J6848" t="s">
        <v>47112</v>
      </c>
      <c r="K6848" t="s">
        <v>47113</v>
      </c>
      <c r="L6848">
        <v>39.99</v>
      </c>
      <c r="M6848">
        <v>98</v>
      </c>
      <c r="N6848">
        <v>0</v>
      </c>
      <c r="O6848">
        <v>98</v>
      </c>
      <c r="P6848">
        <v>0</v>
      </c>
    </row>
    <row r="6849" spans="1:16" x14ac:dyDescent="0.25">
      <c r="A6849" t="s">
        <v>29333</v>
      </c>
      <c r="B6849" t="s">
        <v>5665</v>
      </c>
      <c r="C6849" t="s">
        <v>5666</v>
      </c>
      <c r="D6849" t="s">
        <v>5667</v>
      </c>
      <c r="E6849" t="s">
        <v>5668</v>
      </c>
      <c r="F6849" t="s">
        <v>1</v>
      </c>
      <c r="G6849" t="s">
        <v>16231</v>
      </c>
      <c r="H6849" t="s">
        <v>47054</v>
      </c>
      <c r="I6849" t="s">
        <v>47111</v>
      </c>
      <c r="J6849" t="s">
        <v>47112</v>
      </c>
      <c r="K6849" t="s">
        <v>47113</v>
      </c>
      <c r="L6849">
        <v>37.799999999999997</v>
      </c>
      <c r="M6849">
        <v>92</v>
      </c>
      <c r="N6849">
        <v>0</v>
      </c>
      <c r="O6849">
        <v>92</v>
      </c>
      <c r="P6849">
        <v>0</v>
      </c>
    </row>
    <row r="6850" spans="1:16" x14ac:dyDescent="0.25">
      <c r="A6850" t="s">
        <v>29334</v>
      </c>
      <c r="B6850" t="s">
        <v>5669</v>
      </c>
      <c r="C6850" t="s">
        <v>5670</v>
      </c>
      <c r="D6850" t="s">
        <v>5671</v>
      </c>
      <c r="E6850" t="s">
        <v>5672</v>
      </c>
      <c r="F6850" t="s">
        <v>1</v>
      </c>
      <c r="G6850" t="s">
        <v>16233</v>
      </c>
      <c r="H6850" t="s">
        <v>47054</v>
      </c>
      <c r="I6850" t="s">
        <v>47111</v>
      </c>
      <c r="J6850" t="s">
        <v>47112</v>
      </c>
      <c r="K6850" t="s">
        <v>47113</v>
      </c>
      <c r="L6850">
        <v>53.18</v>
      </c>
      <c r="M6850">
        <v>130</v>
      </c>
      <c r="N6850">
        <v>0</v>
      </c>
      <c r="O6850">
        <v>130</v>
      </c>
      <c r="P6850">
        <v>0</v>
      </c>
    </row>
    <row r="6851" spans="1:16" x14ac:dyDescent="0.25">
      <c r="A6851" t="s">
        <v>29335</v>
      </c>
      <c r="B6851" t="s">
        <v>5673</v>
      </c>
      <c r="C6851" t="s">
        <v>5131</v>
      </c>
      <c r="D6851" t="s">
        <v>5674</v>
      </c>
      <c r="E6851" t="s">
        <v>5675</v>
      </c>
      <c r="F6851" t="s">
        <v>0</v>
      </c>
      <c r="G6851" t="s">
        <v>16231</v>
      </c>
      <c r="H6851" t="s">
        <v>47054</v>
      </c>
      <c r="I6851" t="s">
        <v>47111</v>
      </c>
      <c r="J6851" t="s">
        <v>47112</v>
      </c>
      <c r="K6851" t="s">
        <v>47113</v>
      </c>
      <c r="L6851">
        <v>37.11</v>
      </c>
      <c r="M6851">
        <v>91</v>
      </c>
      <c r="N6851">
        <v>0</v>
      </c>
      <c r="O6851">
        <v>91</v>
      </c>
      <c r="P6851">
        <v>0</v>
      </c>
    </row>
    <row r="6852" spans="1:16" x14ac:dyDescent="0.25">
      <c r="A6852" t="s">
        <v>29336</v>
      </c>
      <c r="B6852" t="s">
        <v>5676</v>
      </c>
      <c r="C6852" t="s">
        <v>5677</v>
      </c>
      <c r="D6852" t="s">
        <v>5663</v>
      </c>
      <c r="E6852" t="s">
        <v>5664</v>
      </c>
      <c r="F6852" t="s">
        <v>1</v>
      </c>
      <c r="G6852" t="s">
        <v>16231</v>
      </c>
      <c r="H6852" t="s">
        <v>47054</v>
      </c>
      <c r="I6852" t="s">
        <v>47111</v>
      </c>
      <c r="J6852" t="s">
        <v>47112</v>
      </c>
      <c r="K6852" t="s">
        <v>47113</v>
      </c>
      <c r="L6852">
        <v>40.340000000000003</v>
      </c>
      <c r="M6852">
        <v>98</v>
      </c>
      <c r="N6852">
        <v>0</v>
      </c>
      <c r="O6852">
        <v>98</v>
      </c>
      <c r="P6852">
        <v>0</v>
      </c>
    </row>
    <row r="6853" spans="1:16" x14ac:dyDescent="0.25">
      <c r="A6853" t="s">
        <v>29337</v>
      </c>
      <c r="B6853" t="s">
        <v>5678</v>
      </c>
      <c r="C6853" t="s">
        <v>5679</v>
      </c>
      <c r="D6853" t="s">
        <v>5663</v>
      </c>
      <c r="E6853" t="s">
        <v>5664</v>
      </c>
      <c r="F6853" t="s">
        <v>1</v>
      </c>
      <c r="G6853" t="s">
        <v>16231</v>
      </c>
      <c r="H6853" t="s">
        <v>47054</v>
      </c>
      <c r="I6853" t="s">
        <v>47111</v>
      </c>
      <c r="J6853" t="s">
        <v>47112</v>
      </c>
      <c r="K6853" t="s">
        <v>47113</v>
      </c>
      <c r="L6853">
        <v>40.340000000000003</v>
      </c>
      <c r="M6853">
        <v>92</v>
      </c>
      <c r="N6853">
        <v>0</v>
      </c>
      <c r="O6853">
        <v>92</v>
      </c>
      <c r="P6853">
        <v>0</v>
      </c>
    </row>
    <row r="6854" spans="1:16" x14ac:dyDescent="0.25">
      <c r="A6854" t="s">
        <v>29338</v>
      </c>
      <c r="B6854" t="s">
        <v>5678</v>
      </c>
      <c r="C6854" t="s">
        <v>5679</v>
      </c>
      <c r="D6854" t="s">
        <v>5667</v>
      </c>
      <c r="E6854" t="s">
        <v>5668</v>
      </c>
      <c r="F6854" t="s">
        <v>1</v>
      </c>
      <c r="G6854" t="s">
        <v>16231</v>
      </c>
      <c r="H6854" t="s">
        <v>47054</v>
      </c>
      <c r="I6854" t="s">
        <v>47111</v>
      </c>
      <c r="J6854" t="s">
        <v>47112</v>
      </c>
      <c r="K6854" t="s">
        <v>47113</v>
      </c>
      <c r="L6854">
        <v>40.340000000000003</v>
      </c>
      <c r="M6854">
        <v>92</v>
      </c>
      <c r="N6854">
        <v>0</v>
      </c>
      <c r="O6854">
        <v>92</v>
      </c>
      <c r="P6854">
        <v>0</v>
      </c>
    </row>
    <row r="6855" spans="1:16" x14ac:dyDescent="0.25">
      <c r="A6855" t="s">
        <v>29339</v>
      </c>
      <c r="B6855" t="s">
        <v>5680</v>
      </c>
      <c r="C6855" t="s">
        <v>5681</v>
      </c>
      <c r="D6855" t="s">
        <v>5682</v>
      </c>
      <c r="E6855" t="s">
        <v>5683</v>
      </c>
      <c r="F6855" t="s">
        <v>1</v>
      </c>
      <c r="G6855" t="s">
        <v>16231</v>
      </c>
      <c r="H6855" t="s">
        <v>47054</v>
      </c>
      <c r="I6855" t="s">
        <v>47111</v>
      </c>
      <c r="J6855" t="s">
        <v>47112</v>
      </c>
      <c r="K6855" t="s">
        <v>47113</v>
      </c>
      <c r="L6855">
        <v>56.51</v>
      </c>
      <c r="M6855">
        <v>138</v>
      </c>
      <c r="N6855">
        <v>0</v>
      </c>
      <c r="O6855">
        <v>138</v>
      </c>
      <c r="P6855">
        <v>0</v>
      </c>
    </row>
    <row r="6856" spans="1:16" x14ac:dyDescent="0.25">
      <c r="A6856" t="s">
        <v>29340</v>
      </c>
      <c r="B6856" t="s">
        <v>5684</v>
      </c>
      <c r="C6856" t="s">
        <v>5685</v>
      </c>
      <c r="D6856" t="s">
        <v>5686</v>
      </c>
      <c r="E6856" t="s">
        <v>5687</v>
      </c>
      <c r="F6856" t="s">
        <v>0</v>
      </c>
      <c r="G6856" t="s">
        <v>16224</v>
      </c>
      <c r="H6856" t="s">
        <v>47054</v>
      </c>
      <c r="I6856" t="s">
        <v>47116</v>
      </c>
      <c r="J6856" t="s">
        <v>47117</v>
      </c>
      <c r="K6856" t="s">
        <v>47113</v>
      </c>
      <c r="L6856">
        <v>45.72</v>
      </c>
      <c r="M6856">
        <v>103</v>
      </c>
      <c r="N6856">
        <v>0</v>
      </c>
      <c r="O6856">
        <v>103</v>
      </c>
      <c r="P6856">
        <v>0</v>
      </c>
    </row>
    <row r="6857" spans="1:16" x14ac:dyDescent="0.25">
      <c r="A6857" t="s">
        <v>29341</v>
      </c>
      <c r="B6857" t="s">
        <v>5688</v>
      </c>
      <c r="C6857" t="s">
        <v>5689</v>
      </c>
      <c r="D6857" t="str">
        <f>"1821"</f>
        <v>1821</v>
      </c>
      <c r="E6857" t="s">
        <v>590</v>
      </c>
      <c r="F6857" t="s">
        <v>4</v>
      </c>
      <c r="G6857" t="s">
        <v>16231</v>
      </c>
      <c r="H6857" t="s">
        <v>47054</v>
      </c>
      <c r="I6857" t="s">
        <v>47116</v>
      </c>
      <c r="J6857" t="s">
        <v>47117</v>
      </c>
      <c r="K6857" t="s">
        <v>47113</v>
      </c>
      <c r="L6857">
        <v>33.229999999999997</v>
      </c>
      <c r="M6857">
        <v>81</v>
      </c>
      <c r="N6857">
        <v>0</v>
      </c>
      <c r="O6857">
        <v>81</v>
      </c>
      <c r="P6857">
        <v>0</v>
      </c>
    </row>
    <row r="6858" spans="1:16" x14ac:dyDescent="0.25">
      <c r="A6858" t="s">
        <v>29342</v>
      </c>
      <c r="B6858" t="s">
        <v>5690</v>
      </c>
      <c r="C6858" t="s">
        <v>5691</v>
      </c>
      <c r="D6858" t="str">
        <f>"1873"</f>
        <v>1873</v>
      </c>
      <c r="E6858" t="s">
        <v>5692</v>
      </c>
      <c r="F6858" t="s">
        <v>56</v>
      </c>
      <c r="G6858" t="s">
        <v>16231</v>
      </c>
      <c r="H6858" t="s">
        <v>47054</v>
      </c>
      <c r="I6858" t="s">
        <v>47111</v>
      </c>
      <c r="J6858" t="s">
        <v>47112</v>
      </c>
      <c r="K6858" t="s">
        <v>47113</v>
      </c>
      <c r="L6858">
        <v>37.729999999999997</v>
      </c>
      <c r="M6858">
        <v>73</v>
      </c>
      <c r="N6858">
        <v>0</v>
      </c>
      <c r="O6858">
        <v>73</v>
      </c>
      <c r="P6858">
        <v>0</v>
      </c>
    </row>
    <row r="6859" spans="1:16" x14ac:dyDescent="0.25">
      <c r="A6859" t="s">
        <v>29343</v>
      </c>
      <c r="B6859" t="s">
        <v>5693</v>
      </c>
      <c r="C6859" t="s">
        <v>5694</v>
      </c>
      <c r="D6859" t="str">
        <f>"1177"</f>
        <v>1177</v>
      </c>
      <c r="E6859" t="s">
        <v>5695</v>
      </c>
      <c r="F6859" t="s">
        <v>8</v>
      </c>
      <c r="G6859" t="s">
        <v>16231</v>
      </c>
      <c r="H6859" t="s">
        <v>47054</v>
      </c>
      <c r="I6859" t="s">
        <v>47111</v>
      </c>
      <c r="J6859" t="s">
        <v>47112</v>
      </c>
      <c r="K6859" t="s">
        <v>47113</v>
      </c>
      <c r="L6859">
        <v>46.35</v>
      </c>
      <c r="M6859">
        <v>127</v>
      </c>
      <c r="N6859">
        <v>0</v>
      </c>
      <c r="O6859">
        <v>127</v>
      </c>
      <c r="P6859">
        <v>0</v>
      </c>
    </row>
    <row r="6860" spans="1:16" x14ac:dyDescent="0.25">
      <c r="A6860" t="s">
        <v>29344</v>
      </c>
      <c r="B6860" t="s">
        <v>5696</v>
      </c>
      <c r="C6860" t="s">
        <v>5697</v>
      </c>
      <c r="D6860" t="str">
        <f>"1277"</f>
        <v>1277</v>
      </c>
      <c r="E6860" t="s">
        <v>5698</v>
      </c>
      <c r="F6860" t="s">
        <v>2</v>
      </c>
      <c r="G6860" t="s">
        <v>16231</v>
      </c>
      <c r="H6860" t="s">
        <v>47054</v>
      </c>
      <c r="I6860" t="s">
        <v>47111</v>
      </c>
      <c r="J6860" t="s">
        <v>47112</v>
      </c>
      <c r="K6860" t="s">
        <v>47113</v>
      </c>
      <c r="L6860">
        <v>66.75</v>
      </c>
      <c r="M6860">
        <v>136</v>
      </c>
      <c r="N6860">
        <v>0</v>
      </c>
      <c r="O6860">
        <v>136</v>
      </c>
      <c r="P6860">
        <v>0</v>
      </c>
    </row>
    <row r="6861" spans="1:16" x14ac:dyDescent="0.25">
      <c r="A6861" t="s">
        <v>29345</v>
      </c>
      <c r="B6861" t="s">
        <v>5696</v>
      </c>
      <c r="C6861" t="s">
        <v>5697</v>
      </c>
      <c r="D6861" t="str">
        <f>"2155"</f>
        <v>2155</v>
      </c>
      <c r="E6861" t="s">
        <v>5699</v>
      </c>
      <c r="F6861" t="s">
        <v>2</v>
      </c>
      <c r="G6861" t="s">
        <v>16231</v>
      </c>
      <c r="H6861" t="s">
        <v>47054</v>
      </c>
      <c r="I6861" t="s">
        <v>47111</v>
      </c>
      <c r="J6861" t="s">
        <v>47112</v>
      </c>
      <c r="K6861" t="s">
        <v>47113</v>
      </c>
      <c r="L6861">
        <v>66.75</v>
      </c>
      <c r="M6861">
        <v>136</v>
      </c>
      <c r="N6861">
        <v>0</v>
      </c>
      <c r="O6861">
        <v>136</v>
      </c>
      <c r="P6861">
        <v>0</v>
      </c>
    </row>
    <row r="6862" spans="1:16" x14ac:dyDescent="0.25">
      <c r="A6862" t="s">
        <v>29346</v>
      </c>
      <c r="B6862" t="s">
        <v>5696</v>
      </c>
      <c r="C6862" t="s">
        <v>5697</v>
      </c>
      <c r="D6862" t="str">
        <f>"2640"</f>
        <v>2640</v>
      </c>
      <c r="E6862" t="s">
        <v>5700</v>
      </c>
      <c r="F6862" t="s">
        <v>2</v>
      </c>
      <c r="G6862" t="s">
        <v>16231</v>
      </c>
      <c r="H6862" t="s">
        <v>47054</v>
      </c>
      <c r="I6862" t="s">
        <v>47111</v>
      </c>
      <c r="J6862" t="s">
        <v>47112</v>
      </c>
      <c r="K6862" t="s">
        <v>47113</v>
      </c>
      <c r="L6862">
        <v>66.75</v>
      </c>
      <c r="M6862">
        <v>136</v>
      </c>
      <c r="N6862">
        <v>0</v>
      </c>
      <c r="O6862">
        <v>136</v>
      </c>
      <c r="P6862">
        <v>0</v>
      </c>
    </row>
    <row r="6863" spans="1:16" x14ac:dyDescent="0.25">
      <c r="A6863" t="s">
        <v>29347</v>
      </c>
      <c r="B6863" t="s">
        <v>5701</v>
      </c>
      <c r="C6863" t="s">
        <v>5702</v>
      </c>
      <c r="D6863" t="str">
        <f>"1821"</f>
        <v>1821</v>
      </c>
      <c r="E6863" t="s">
        <v>590</v>
      </c>
      <c r="F6863" t="s">
        <v>3</v>
      </c>
      <c r="G6863" t="s">
        <v>16231</v>
      </c>
      <c r="H6863" t="s">
        <v>47054</v>
      </c>
      <c r="I6863" t="s">
        <v>47111</v>
      </c>
      <c r="J6863" t="s">
        <v>47112</v>
      </c>
      <c r="K6863" t="s">
        <v>47113</v>
      </c>
      <c r="L6863">
        <v>52.12</v>
      </c>
      <c r="M6863">
        <v>125</v>
      </c>
      <c r="N6863">
        <v>0</v>
      </c>
      <c r="O6863">
        <v>125</v>
      </c>
      <c r="P6863">
        <v>0</v>
      </c>
    </row>
    <row r="6864" spans="1:16" x14ac:dyDescent="0.25">
      <c r="A6864" t="s">
        <v>29348</v>
      </c>
      <c r="B6864" t="s">
        <v>5703</v>
      </c>
      <c r="C6864" t="s">
        <v>5704</v>
      </c>
      <c r="D6864" t="str">
        <f>"1821"</f>
        <v>1821</v>
      </c>
      <c r="E6864" t="s">
        <v>590</v>
      </c>
      <c r="F6864" t="s">
        <v>3</v>
      </c>
      <c r="G6864" t="s">
        <v>16231</v>
      </c>
      <c r="H6864" t="s">
        <v>47054</v>
      </c>
      <c r="I6864" t="s">
        <v>47111</v>
      </c>
      <c r="J6864" t="s">
        <v>47112</v>
      </c>
      <c r="K6864" t="s">
        <v>47113</v>
      </c>
      <c r="L6864">
        <v>51.58</v>
      </c>
      <c r="M6864">
        <v>125</v>
      </c>
      <c r="N6864">
        <v>0</v>
      </c>
      <c r="O6864">
        <v>125</v>
      </c>
      <c r="P6864">
        <v>0</v>
      </c>
    </row>
    <row r="6865" spans="1:16" x14ac:dyDescent="0.25">
      <c r="A6865" t="s">
        <v>29349</v>
      </c>
      <c r="B6865" t="s">
        <v>5705</v>
      </c>
      <c r="C6865" t="s">
        <v>5706</v>
      </c>
      <c r="D6865" t="str">
        <f>"1289"</f>
        <v>1289</v>
      </c>
      <c r="E6865" t="s">
        <v>5707</v>
      </c>
      <c r="F6865" t="s">
        <v>5</v>
      </c>
      <c r="G6865" t="s">
        <v>16234</v>
      </c>
      <c r="H6865" t="s">
        <v>47054</v>
      </c>
      <c r="I6865" t="s">
        <v>47111</v>
      </c>
      <c r="J6865" t="s">
        <v>47112</v>
      </c>
      <c r="K6865" t="s">
        <v>47113</v>
      </c>
      <c r="L6865">
        <v>48.12</v>
      </c>
      <c r="M6865">
        <v>111</v>
      </c>
      <c r="N6865">
        <v>0</v>
      </c>
      <c r="O6865">
        <v>111</v>
      </c>
      <c r="P6865">
        <v>0</v>
      </c>
    </row>
    <row r="6866" spans="1:16" x14ac:dyDescent="0.25">
      <c r="A6866" t="s">
        <v>29350</v>
      </c>
      <c r="B6866" t="s">
        <v>5705</v>
      </c>
      <c r="C6866" t="s">
        <v>5706</v>
      </c>
      <c r="D6866" t="str">
        <f>"2649"</f>
        <v>2649</v>
      </c>
      <c r="E6866" t="s">
        <v>5708</v>
      </c>
      <c r="F6866" t="s">
        <v>5</v>
      </c>
      <c r="G6866" t="s">
        <v>16234</v>
      </c>
      <c r="H6866" t="s">
        <v>47054</v>
      </c>
      <c r="I6866" t="s">
        <v>47111</v>
      </c>
      <c r="J6866" t="s">
        <v>47112</v>
      </c>
      <c r="K6866" t="s">
        <v>47113</v>
      </c>
      <c r="L6866">
        <v>48.12</v>
      </c>
      <c r="M6866">
        <v>111</v>
      </c>
      <c r="N6866">
        <v>0</v>
      </c>
      <c r="O6866">
        <v>111</v>
      </c>
      <c r="P6866">
        <v>0</v>
      </c>
    </row>
    <row r="6867" spans="1:16" x14ac:dyDescent="0.25">
      <c r="A6867" t="s">
        <v>29351</v>
      </c>
      <c r="B6867" t="s">
        <v>5705</v>
      </c>
      <c r="C6867" t="s">
        <v>5706</v>
      </c>
      <c r="D6867" t="str">
        <f>"3490"</f>
        <v>3490</v>
      </c>
      <c r="E6867" t="s">
        <v>5709</v>
      </c>
      <c r="F6867" t="s">
        <v>5</v>
      </c>
      <c r="G6867" t="s">
        <v>16234</v>
      </c>
      <c r="H6867" t="s">
        <v>47054</v>
      </c>
      <c r="I6867" t="s">
        <v>47111</v>
      </c>
      <c r="J6867" t="s">
        <v>47112</v>
      </c>
      <c r="K6867" t="s">
        <v>47113</v>
      </c>
      <c r="L6867">
        <v>48.12</v>
      </c>
      <c r="M6867">
        <v>111</v>
      </c>
      <c r="N6867">
        <v>0</v>
      </c>
      <c r="O6867">
        <v>111</v>
      </c>
      <c r="P6867">
        <v>0</v>
      </c>
    </row>
    <row r="6868" spans="1:16" x14ac:dyDescent="0.25">
      <c r="A6868" t="s">
        <v>29352</v>
      </c>
      <c r="B6868" t="s">
        <v>5710</v>
      </c>
      <c r="C6868" t="s">
        <v>5711</v>
      </c>
      <c r="D6868" t="str">
        <f>"1821"</f>
        <v>1821</v>
      </c>
      <c r="E6868" t="s">
        <v>590</v>
      </c>
      <c r="F6868" t="s">
        <v>4</v>
      </c>
      <c r="G6868" t="s">
        <v>16231</v>
      </c>
      <c r="H6868" t="s">
        <v>47054</v>
      </c>
      <c r="I6868" t="s">
        <v>47111</v>
      </c>
      <c r="J6868" t="s">
        <v>47112</v>
      </c>
      <c r="K6868" t="s">
        <v>47113</v>
      </c>
      <c r="L6868">
        <v>33.229999999999997</v>
      </c>
      <c r="M6868">
        <v>81</v>
      </c>
      <c r="N6868">
        <v>0</v>
      </c>
      <c r="O6868">
        <v>81</v>
      </c>
      <c r="P6868">
        <v>0</v>
      </c>
    </row>
    <row r="6869" spans="1:16" x14ac:dyDescent="0.25">
      <c r="A6869" t="s">
        <v>29353</v>
      </c>
      <c r="B6869" t="s">
        <v>5712</v>
      </c>
      <c r="C6869" t="s">
        <v>5713</v>
      </c>
      <c r="D6869" t="str">
        <f>"3338"</f>
        <v>3338</v>
      </c>
      <c r="E6869" t="s">
        <v>5714</v>
      </c>
      <c r="F6869" t="s">
        <v>8</v>
      </c>
      <c r="G6869" t="s">
        <v>16231</v>
      </c>
      <c r="H6869" t="s">
        <v>47054</v>
      </c>
      <c r="I6869" t="s">
        <v>47111</v>
      </c>
      <c r="J6869" t="s">
        <v>47112</v>
      </c>
      <c r="K6869" t="s">
        <v>47113</v>
      </c>
      <c r="L6869">
        <v>46.36</v>
      </c>
      <c r="M6869">
        <v>127</v>
      </c>
      <c r="N6869">
        <v>0</v>
      </c>
      <c r="O6869">
        <v>127</v>
      </c>
      <c r="P6869">
        <v>0</v>
      </c>
    </row>
    <row r="6870" spans="1:16" x14ac:dyDescent="0.25">
      <c r="A6870" t="s">
        <v>29354</v>
      </c>
      <c r="B6870" t="s">
        <v>5715</v>
      </c>
      <c r="C6870" t="s">
        <v>5046</v>
      </c>
      <c r="D6870" t="str">
        <f>"1352"</f>
        <v>1352</v>
      </c>
      <c r="E6870" t="s">
        <v>5716</v>
      </c>
      <c r="F6870" t="s">
        <v>56</v>
      </c>
      <c r="G6870" t="s">
        <v>16231</v>
      </c>
      <c r="H6870" t="s">
        <v>47054</v>
      </c>
      <c r="I6870" t="s">
        <v>47111</v>
      </c>
      <c r="J6870" t="s">
        <v>47112</v>
      </c>
      <c r="K6870" t="s">
        <v>47113</v>
      </c>
      <c r="L6870">
        <v>58.42</v>
      </c>
      <c r="M6870">
        <v>122</v>
      </c>
      <c r="N6870">
        <v>0</v>
      </c>
      <c r="O6870">
        <v>122</v>
      </c>
      <c r="P6870">
        <v>0</v>
      </c>
    </row>
    <row r="6871" spans="1:16" x14ac:dyDescent="0.25">
      <c r="A6871" t="s">
        <v>29355</v>
      </c>
      <c r="B6871" t="s">
        <v>5715</v>
      </c>
      <c r="C6871" t="s">
        <v>5046</v>
      </c>
      <c r="D6871" t="str">
        <f>"2507"</f>
        <v>2507</v>
      </c>
      <c r="E6871" t="s">
        <v>5717</v>
      </c>
      <c r="F6871" t="s">
        <v>56</v>
      </c>
      <c r="G6871" t="s">
        <v>16231</v>
      </c>
      <c r="H6871" t="s">
        <v>47054</v>
      </c>
      <c r="I6871" t="s">
        <v>47111</v>
      </c>
      <c r="J6871" t="s">
        <v>47112</v>
      </c>
      <c r="K6871" t="s">
        <v>47113</v>
      </c>
      <c r="L6871">
        <v>55.67</v>
      </c>
      <c r="M6871">
        <v>122</v>
      </c>
      <c r="N6871">
        <v>0</v>
      </c>
      <c r="O6871">
        <v>122</v>
      </c>
      <c r="P6871">
        <v>0</v>
      </c>
    </row>
    <row r="6872" spans="1:16" x14ac:dyDescent="0.25">
      <c r="A6872" t="s">
        <v>29356</v>
      </c>
      <c r="B6872" t="s">
        <v>5718</v>
      </c>
      <c r="C6872" t="s">
        <v>5719</v>
      </c>
      <c r="D6872" t="str">
        <f>"1176"</f>
        <v>1176</v>
      </c>
      <c r="E6872" t="s">
        <v>5720</v>
      </c>
      <c r="F6872" t="s">
        <v>1717</v>
      </c>
      <c r="G6872" t="s">
        <v>16231</v>
      </c>
      <c r="H6872" t="s">
        <v>47054</v>
      </c>
      <c r="I6872" t="s">
        <v>47111</v>
      </c>
      <c r="J6872" t="s">
        <v>47112</v>
      </c>
      <c r="K6872" t="s">
        <v>47113</v>
      </c>
      <c r="L6872">
        <v>58.59</v>
      </c>
      <c r="M6872">
        <v>146</v>
      </c>
      <c r="N6872">
        <v>0</v>
      </c>
      <c r="O6872">
        <v>146</v>
      </c>
      <c r="P6872">
        <v>0</v>
      </c>
    </row>
    <row r="6873" spans="1:16" x14ac:dyDescent="0.25">
      <c r="A6873" t="s">
        <v>29357</v>
      </c>
      <c r="B6873" t="s">
        <v>5721</v>
      </c>
      <c r="C6873" t="s">
        <v>5722</v>
      </c>
      <c r="D6873" t="str">
        <f>"1001"</f>
        <v>1001</v>
      </c>
      <c r="E6873" t="s">
        <v>5723</v>
      </c>
      <c r="F6873" t="s">
        <v>3546</v>
      </c>
      <c r="G6873" t="s">
        <v>16231</v>
      </c>
      <c r="H6873" t="s">
        <v>47054</v>
      </c>
      <c r="I6873" t="s">
        <v>47116</v>
      </c>
      <c r="J6873" t="s">
        <v>47117</v>
      </c>
      <c r="K6873" t="s">
        <v>47113</v>
      </c>
      <c r="L6873">
        <v>52.91</v>
      </c>
      <c r="M6873">
        <v>130</v>
      </c>
      <c r="N6873">
        <v>0</v>
      </c>
      <c r="O6873">
        <v>130</v>
      </c>
      <c r="P6873">
        <v>0</v>
      </c>
    </row>
    <row r="6874" spans="1:16" x14ac:dyDescent="0.25">
      <c r="A6874" t="s">
        <v>29358</v>
      </c>
      <c r="B6874" t="s">
        <v>5721</v>
      </c>
      <c r="C6874" t="s">
        <v>5722</v>
      </c>
      <c r="D6874" t="str">
        <f>"1493"</f>
        <v>1493</v>
      </c>
      <c r="E6874" t="s">
        <v>5724</v>
      </c>
      <c r="F6874" t="s">
        <v>3546</v>
      </c>
      <c r="G6874" t="s">
        <v>16231</v>
      </c>
      <c r="H6874" t="s">
        <v>47054</v>
      </c>
      <c r="I6874" t="s">
        <v>47116</v>
      </c>
      <c r="J6874" t="s">
        <v>47117</v>
      </c>
      <c r="K6874" t="s">
        <v>47113</v>
      </c>
      <c r="L6874">
        <v>52.91</v>
      </c>
      <c r="M6874">
        <v>130</v>
      </c>
      <c r="N6874">
        <v>0</v>
      </c>
      <c r="O6874">
        <v>130</v>
      </c>
      <c r="P6874">
        <v>0</v>
      </c>
    </row>
    <row r="6875" spans="1:16" x14ac:dyDescent="0.25">
      <c r="A6875" t="s">
        <v>29359</v>
      </c>
      <c r="B6875" t="s">
        <v>5721</v>
      </c>
      <c r="C6875" t="s">
        <v>5722</v>
      </c>
      <c r="D6875" t="str">
        <f>"2005"</f>
        <v>2005</v>
      </c>
      <c r="E6875" t="s">
        <v>5725</v>
      </c>
      <c r="F6875" t="s">
        <v>3546</v>
      </c>
      <c r="G6875" t="s">
        <v>16231</v>
      </c>
      <c r="H6875" t="s">
        <v>47054</v>
      </c>
      <c r="I6875" t="s">
        <v>47116</v>
      </c>
      <c r="J6875" t="s">
        <v>47117</v>
      </c>
      <c r="K6875" t="s">
        <v>47113</v>
      </c>
      <c r="L6875">
        <v>52.91</v>
      </c>
      <c r="M6875">
        <v>130</v>
      </c>
      <c r="N6875">
        <v>0</v>
      </c>
      <c r="O6875">
        <v>130</v>
      </c>
      <c r="P6875">
        <v>0</v>
      </c>
    </row>
    <row r="6876" spans="1:16" x14ac:dyDescent="0.25">
      <c r="A6876" t="s">
        <v>29360</v>
      </c>
      <c r="B6876" t="s">
        <v>5721</v>
      </c>
      <c r="C6876" t="s">
        <v>5722</v>
      </c>
      <c r="D6876" t="str">
        <f>"3273"</f>
        <v>3273</v>
      </c>
      <c r="E6876" t="s">
        <v>5726</v>
      </c>
      <c r="F6876" t="s">
        <v>3546</v>
      </c>
      <c r="G6876" t="s">
        <v>16231</v>
      </c>
      <c r="H6876" t="s">
        <v>47054</v>
      </c>
      <c r="I6876" t="s">
        <v>47116</v>
      </c>
      <c r="J6876" t="s">
        <v>47117</v>
      </c>
      <c r="K6876" t="s">
        <v>47113</v>
      </c>
      <c r="L6876">
        <v>52.91</v>
      </c>
      <c r="M6876">
        <v>130</v>
      </c>
      <c r="N6876">
        <v>0</v>
      </c>
      <c r="O6876">
        <v>130</v>
      </c>
      <c r="P6876">
        <v>0</v>
      </c>
    </row>
    <row r="6877" spans="1:16" x14ac:dyDescent="0.25">
      <c r="A6877" t="s">
        <v>29361</v>
      </c>
      <c r="B6877" t="s">
        <v>5727</v>
      </c>
      <c r="C6877" t="s">
        <v>16723</v>
      </c>
      <c r="D6877" t="str">
        <f>"1821"</f>
        <v>1821</v>
      </c>
      <c r="E6877" t="s">
        <v>590</v>
      </c>
      <c r="F6877" t="s">
        <v>3670</v>
      </c>
      <c r="G6877" t="s">
        <v>16231</v>
      </c>
      <c r="H6877" t="s">
        <v>47054</v>
      </c>
      <c r="I6877" t="s">
        <v>47111</v>
      </c>
      <c r="J6877" t="s">
        <v>47112</v>
      </c>
      <c r="K6877" t="s">
        <v>47113</v>
      </c>
      <c r="L6877">
        <v>34.49</v>
      </c>
      <c r="M6877">
        <v>66</v>
      </c>
      <c r="N6877">
        <v>179</v>
      </c>
      <c r="O6877">
        <v>66</v>
      </c>
      <c r="P6877">
        <v>179</v>
      </c>
    </row>
    <row r="6878" spans="1:16" x14ac:dyDescent="0.25">
      <c r="A6878" t="s">
        <v>29362</v>
      </c>
      <c r="B6878" t="s">
        <v>5728</v>
      </c>
      <c r="C6878" t="s">
        <v>5729</v>
      </c>
      <c r="D6878" t="str">
        <f>"1874"</f>
        <v>1874</v>
      </c>
      <c r="E6878" t="s">
        <v>5730</v>
      </c>
      <c r="F6878" t="s">
        <v>631</v>
      </c>
      <c r="G6878" t="s">
        <v>16231</v>
      </c>
      <c r="H6878" t="s">
        <v>47054</v>
      </c>
      <c r="I6878" t="s">
        <v>47111</v>
      </c>
      <c r="J6878" t="s">
        <v>47112</v>
      </c>
      <c r="K6878" t="s">
        <v>47113</v>
      </c>
      <c r="L6878">
        <v>29.26</v>
      </c>
      <c r="M6878">
        <v>65</v>
      </c>
      <c r="N6878">
        <v>0</v>
      </c>
      <c r="O6878">
        <v>65</v>
      </c>
      <c r="P6878">
        <v>0</v>
      </c>
    </row>
    <row r="6879" spans="1:16" x14ac:dyDescent="0.25">
      <c r="A6879" t="s">
        <v>29363</v>
      </c>
      <c r="B6879" t="s">
        <v>5731</v>
      </c>
      <c r="C6879" t="s">
        <v>5732</v>
      </c>
      <c r="D6879" t="str">
        <f>"1873"</f>
        <v>1873</v>
      </c>
      <c r="E6879" t="s">
        <v>5692</v>
      </c>
      <c r="F6879" t="s">
        <v>56</v>
      </c>
      <c r="G6879" t="s">
        <v>16231</v>
      </c>
      <c r="H6879" t="s">
        <v>47054</v>
      </c>
      <c r="I6879" t="s">
        <v>47111</v>
      </c>
      <c r="J6879" t="s">
        <v>47112</v>
      </c>
      <c r="K6879" t="s">
        <v>47113</v>
      </c>
      <c r="L6879">
        <v>37.630000000000003</v>
      </c>
      <c r="M6879">
        <v>93</v>
      </c>
      <c r="N6879">
        <v>0</v>
      </c>
      <c r="O6879">
        <v>93</v>
      </c>
      <c r="P6879">
        <v>0</v>
      </c>
    </row>
    <row r="6880" spans="1:16" x14ac:dyDescent="0.25">
      <c r="A6880" t="s">
        <v>29364</v>
      </c>
      <c r="B6880" t="s">
        <v>5733</v>
      </c>
      <c r="C6880" t="s">
        <v>5086</v>
      </c>
      <c r="D6880" t="str">
        <f>"1536"</f>
        <v>1536</v>
      </c>
      <c r="E6880" t="s">
        <v>5734</v>
      </c>
      <c r="F6880" t="s">
        <v>2</v>
      </c>
      <c r="G6880" t="s">
        <v>16231</v>
      </c>
      <c r="H6880" t="s">
        <v>47054</v>
      </c>
      <c r="I6880" t="s">
        <v>47111</v>
      </c>
      <c r="J6880" t="s">
        <v>47112</v>
      </c>
      <c r="K6880" t="s">
        <v>47113</v>
      </c>
      <c r="L6880">
        <v>42.6</v>
      </c>
      <c r="M6880">
        <v>120</v>
      </c>
      <c r="N6880">
        <v>0</v>
      </c>
      <c r="O6880">
        <v>120</v>
      </c>
      <c r="P6880">
        <v>0</v>
      </c>
    </row>
    <row r="6881" spans="1:16" x14ac:dyDescent="0.25">
      <c r="A6881" t="s">
        <v>29365</v>
      </c>
      <c r="B6881" t="s">
        <v>5733</v>
      </c>
      <c r="C6881" t="s">
        <v>5086</v>
      </c>
      <c r="D6881" t="str">
        <f>"2639"</f>
        <v>2639</v>
      </c>
      <c r="E6881" t="s">
        <v>5735</v>
      </c>
      <c r="F6881" t="s">
        <v>2</v>
      </c>
      <c r="G6881" t="s">
        <v>16231</v>
      </c>
      <c r="H6881" t="s">
        <v>47054</v>
      </c>
      <c r="I6881" t="s">
        <v>47111</v>
      </c>
      <c r="J6881" t="s">
        <v>47112</v>
      </c>
      <c r="K6881" t="s">
        <v>47113</v>
      </c>
      <c r="L6881">
        <v>42.6</v>
      </c>
      <c r="M6881">
        <v>120</v>
      </c>
      <c r="N6881">
        <v>0</v>
      </c>
      <c r="O6881">
        <v>120</v>
      </c>
      <c r="P6881">
        <v>0</v>
      </c>
    </row>
    <row r="6882" spans="1:16" x14ac:dyDescent="0.25">
      <c r="A6882" t="s">
        <v>29366</v>
      </c>
      <c r="B6882" t="s">
        <v>5733</v>
      </c>
      <c r="C6882" t="s">
        <v>5086</v>
      </c>
      <c r="D6882" t="str">
        <f>"3242"</f>
        <v>3242</v>
      </c>
      <c r="E6882" t="s">
        <v>5736</v>
      </c>
      <c r="F6882" t="s">
        <v>2</v>
      </c>
      <c r="G6882" t="s">
        <v>16231</v>
      </c>
      <c r="H6882" t="s">
        <v>47054</v>
      </c>
      <c r="I6882" t="s">
        <v>47111</v>
      </c>
      <c r="J6882" t="s">
        <v>47112</v>
      </c>
      <c r="K6882" t="s">
        <v>47113</v>
      </c>
      <c r="L6882">
        <v>42.6</v>
      </c>
      <c r="M6882">
        <v>120</v>
      </c>
      <c r="N6882">
        <v>0</v>
      </c>
      <c r="O6882">
        <v>120</v>
      </c>
      <c r="P6882">
        <v>0</v>
      </c>
    </row>
    <row r="6883" spans="1:16" x14ac:dyDescent="0.25">
      <c r="A6883" t="s">
        <v>29367</v>
      </c>
      <c r="B6883" t="s">
        <v>5733</v>
      </c>
      <c r="C6883" t="s">
        <v>5086</v>
      </c>
      <c r="D6883" t="str">
        <f>"4617"</f>
        <v>4617</v>
      </c>
      <c r="E6883" t="s">
        <v>5737</v>
      </c>
      <c r="F6883" t="s">
        <v>2</v>
      </c>
      <c r="G6883" t="s">
        <v>16231</v>
      </c>
      <c r="H6883" t="s">
        <v>47054</v>
      </c>
      <c r="I6883" t="s">
        <v>47111</v>
      </c>
      <c r="J6883" t="s">
        <v>47112</v>
      </c>
      <c r="K6883" t="s">
        <v>47113</v>
      </c>
      <c r="L6883">
        <v>41.7</v>
      </c>
      <c r="M6883">
        <v>120</v>
      </c>
      <c r="N6883">
        <v>0</v>
      </c>
      <c r="O6883">
        <v>120</v>
      </c>
      <c r="P6883">
        <v>0</v>
      </c>
    </row>
    <row r="6884" spans="1:16" x14ac:dyDescent="0.25">
      <c r="A6884" t="s">
        <v>29368</v>
      </c>
      <c r="B6884" t="s">
        <v>5733</v>
      </c>
      <c r="C6884" t="s">
        <v>5086</v>
      </c>
      <c r="D6884" t="str">
        <f>"4618"</f>
        <v>4618</v>
      </c>
      <c r="E6884" t="s">
        <v>5738</v>
      </c>
      <c r="F6884" t="s">
        <v>2</v>
      </c>
      <c r="G6884" t="s">
        <v>16231</v>
      </c>
      <c r="H6884" t="s">
        <v>47054</v>
      </c>
      <c r="I6884" t="s">
        <v>47111</v>
      </c>
      <c r="J6884" t="s">
        <v>47112</v>
      </c>
      <c r="K6884" t="s">
        <v>47113</v>
      </c>
      <c r="L6884">
        <v>42.6</v>
      </c>
      <c r="M6884">
        <v>120</v>
      </c>
      <c r="N6884">
        <v>0</v>
      </c>
      <c r="O6884">
        <v>120</v>
      </c>
      <c r="P6884">
        <v>0</v>
      </c>
    </row>
    <row r="6885" spans="1:16" x14ac:dyDescent="0.25">
      <c r="A6885" t="s">
        <v>29369</v>
      </c>
      <c r="B6885" t="s">
        <v>5733</v>
      </c>
      <c r="C6885" t="s">
        <v>5086</v>
      </c>
      <c r="D6885" t="str">
        <f>"7350"</f>
        <v>7350</v>
      </c>
      <c r="E6885" t="s">
        <v>5739</v>
      </c>
      <c r="F6885" t="s">
        <v>2</v>
      </c>
      <c r="G6885" t="s">
        <v>16231</v>
      </c>
      <c r="H6885" t="s">
        <v>47054</v>
      </c>
      <c r="I6885" t="s">
        <v>47111</v>
      </c>
      <c r="J6885" t="s">
        <v>47112</v>
      </c>
      <c r="K6885" t="s">
        <v>47113</v>
      </c>
      <c r="L6885">
        <v>32.909999999999997</v>
      </c>
      <c r="M6885">
        <v>120</v>
      </c>
      <c r="N6885">
        <v>0</v>
      </c>
      <c r="O6885">
        <v>120</v>
      </c>
      <c r="P6885">
        <v>0</v>
      </c>
    </row>
    <row r="6886" spans="1:16" x14ac:dyDescent="0.25">
      <c r="A6886" t="s">
        <v>29370</v>
      </c>
      <c r="B6886" t="s">
        <v>5733</v>
      </c>
      <c r="C6886" t="s">
        <v>5086</v>
      </c>
      <c r="D6886" t="str">
        <f>"8341"</f>
        <v>8341</v>
      </c>
      <c r="E6886" t="s">
        <v>5740</v>
      </c>
      <c r="F6886" t="s">
        <v>2</v>
      </c>
      <c r="G6886" t="s">
        <v>16231</v>
      </c>
      <c r="H6886" t="s">
        <v>47054</v>
      </c>
      <c r="I6886" t="s">
        <v>47111</v>
      </c>
      <c r="J6886" t="s">
        <v>47112</v>
      </c>
      <c r="K6886" t="s">
        <v>47113</v>
      </c>
      <c r="L6886">
        <v>42.6</v>
      </c>
      <c r="M6886">
        <v>120</v>
      </c>
      <c r="N6886">
        <v>0</v>
      </c>
      <c r="O6886">
        <v>120</v>
      </c>
      <c r="P6886">
        <v>0</v>
      </c>
    </row>
    <row r="6887" spans="1:16" x14ac:dyDescent="0.25">
      <c r="A6887" t="s">
        <v>29371</v>
      </c>
      <c r="B6887" t="s">
        <v>5741</v>
      </c>
      <c r="C6887" t="s">
        <v>5117</v>
      </c>
      <c r="D6887" t="str">
        <f>"1352"</f>
        <v>1352</v>
      </c>
      <c r="E6887" t="s">
        <v>5716</v>
      </c>
      <c r="F6887" t="s">
        <v>56</v>
      </c>
      <c r="G6887" t="s">
        <v>16231</v>
      </c>
      <c r="H6887" t="s">
        <v>47054</v>
      </c>
      <c r="I6887" t="s">
        <v>47111</v>
      </c>
      <c r="J6887" t="s">
        <v>47112</v>
      </c>
      <c r="K6887" t="s">
        <v>47113</v>
      </c>
      <c r="L6887">
        <v>55.83</v>
      </c>
      <c r="M6887">
        <v>113</v>
      </c>
      <c r="N6887">
        <v>0</v>
      </c>
      <c r="O6887">
        <v>113</v>
      </c>
      <c r="P6887">
        <v>0</v>
      </c>
    </row>
    <row r="6888" spans="1:16" x14ac:dyDescent="0.25">
      <c r="A6888" t="s">
        <v>29372</v>
      </c>
      <c r="B6888" t="s">
        <v>5741</v>
      </c>
      <c r="C6888" t="s">
        <v>5117</v>
      </c>
      <c r="D6888" t="str">
        <f>"2507"</f>
        <v>2507</v>
      </c>
      <c r="E6888" t="s">
        <v>5717</v>
      </c>
      <c r="F6888" t="s">
        <v>56</v>
      </c>
      <c r="G6888" t="s">
        <v>16231</v>
      </c>
      <c r="H6888" t="s">
        <v>47054</v>
      </c>
      <c r="I6888" t="s">
        <v>47111</v>
      </c>
      <c r="J6888" t="s">
        <v>47112</v>
      </c>
      <c r="K6888" t="s">
        <v>47113</v>
      </c>
      <c r="L6888">
        <v>54.13</v>
      </c>
      <c r="M6888">
        <v>113</v>
      </c>
      <c r="N6888">
        <v>0</v>
      </c>
      <c r="O6888">
        <v>113</v>
      </c>
      <c r="P6888">
        <v>0</v>
      </c>
    </row>
    <row r="6889" spans="1:16" x14ac:dyDescent="0.25">
      <c r="A6889" t="s">
        <v>29373</v>
      </c>
      <c r="B6889" t="s">
        <v>5742</v>
      </c>
      <c r="C6889" t="s">
        <v>19861</v>
      </c>
      <c r="D6889" t="s">
        <v>5743</v>
      </c>
      <c r="E6889" t="s">
        <v>5744</v>
      </c>
      <c r="F6889" t="s">
        <v>3670</v>
      </c>
      <c r="G6889" t="s">
        <v>16233</v>
      </c>
      <c r="H6889" t="s">
        <v>47054</v>
      </c>
      <c r="I6889" t="s">
        <v>47111</v>
      </c>
      <c r="J6889" t="s">
        <v>47112</v>
      </c>
      <c r="K6889" t="s">
        <v>47113</v>
      </c>
      <c r="L6889">
        <v>41.47</v>
      </c>
      <c r="M6889">
        <v>74</v>
      </c>
      <c r="N6889">
        <v>0</v>
      </c>
      <c r="O6889">
        <v>74</v>
      </c>
      <c r="P6889">
        <v>0</v>
      </c>
    </row>
    <row r="6890" spans="1:16" x14ac:dyDescent="0.25">
      <c r="A6890" t="s">
        <v>29374</v>
      </c>
      <c r="B6890" t="s">
        <v>5745</v>
      </c>
      <c r="C6890" t="s">
        <v>5746</v>
      </c>
      <c r="D6890" t="str">
        <f>"1821"</f>
        <v>1821</v>
      </c>
      <c r="E6890" t="s">
        <v>590</v>
      </c>
      <c r="F6890" t="s">
        <v>3670</v>
      </c>
      <c r="G6890" t="s">
        <v>16233</v>
      </c>
      <c r="H6890" t="s">
        <v>47054</v>
      </c>
      <c r="I6890" t="s">
        <v>47111</v>
      </c>
      <c r="J6890" t="s">
        <v>47112</v>
      </c>
      <c r="K6890" t="s">
        <v>47113</v>
      </c>
      <c r="L6890">
        <v>31.07</v>
      </c>
      <c r="M6890">
        <v>59</v>
      </c>
      <c r="N6890">
        <v>0</v>
      </c>
      <c r="O6890">
        <v>59</v>
      </c>
      <c r="P6890">
        <v>0</v>
      </c>
    </row>
    <row r="6891" spans="1:16" x14ac:dyDescent="0.25">
      <c r="A6891" t="s">
        <v>29375</v>
      </c>
      <c r="B6891" t="s">
        <v>29376</v>
      </c>
      <c r="C6891" t="s">
        <v>29377</v>
      </c>
      <c r="D6891" t="str">
        <f>"1821"</f>
        <v>1821</v>
      </c>
      <c r="E6891" t="s">
        <v>590</v>
      </c>
      <c r="F6891" t="s">
        <v>3670</v>
      </c>
      <c r="G6891" t="s">
        <v>16233</v>
      </c>
      <c r="H6891" t="s">
        <v>47054</v>
      </c>
      <c r="I6891" t="s">
        <v>47111</v>
      </c>
      <c r="J6891" t="s">
        <v>47112</v>
      </c>
      <c r="K6891" t="s">
        <v>47113</v>
      </c>
      <c r="L6891">
        <v>39.479999999999997</v>
      </c>
      <c r="M6891">
        <v>55</v>
      </c>
      <c r="N6891">
        <v>149</v>
      </c>
      <c r="O6891">
        <v>55</v>
      </c>
      <c r="P6891">
        <v>149</v>
      </c>
    </row>
    <row r="6892" spans="1:16" x14ac:dyDescent="0.25">
      <c r="A6892" t="s">
        <v>29378</v>
      </c>
      <c r="B6892" t="s">
        <v>5747</v>
      </c>
      <c r="C6892" t="s">
        <v>5748</v>
      </c>
      <c r="D6892" t="str">
        <f>"1304"</f>
        <v>1304</v>
      </c>
      <c r="E6892" t="s">
        <v>5749</v>
      </c>
      <c r="F6892" t="s">
        <v>3558</v>
      </c>
      <c r="G6892" t="s">
        <v>16233</v>
      </c>
      <c r="H6892" t="s">
        <v>47054</v>
      </c>
      <c r="I6892" t="s">
        <v>47111</v>
      </c>
      <c r="J6892" t="s">
        <v>47112</v>
      </c>
      <c r="K6892" t="s">
        <v>47113</v>
      </c>
      <c r="L6892">
        <v>48.18</v>
      </c>
      <c r="M6892">
        <v>74</v>
      </c>
      <c r="N6892">
        <v>0</v>
      </c>
      <c r="O6892">
        <v>74</v>
      </c>
      <c r="P6892">
        <v>0</v>
      </c>
    </row>
    <row r="6893" spans="1:16" x14ac:dyDescent="0.25">
      <c r="A6893" t="s">
        <v>29379</v>
      </c>
      <c r="B6893" t="s">
        <v>5747</v>
      </c>
      <c r="C6893" t="s">
        <v>5748</v>
      </c>
      <c r="D6893" t="str">
        <f>"4146"</f>
        <v>4146</v>
      </c>
      <c r="E6893" t="s">
        <v>5750</v>
      </c>
      <c r="F6893" t="s">
        <v>3558</v>
      </c>
      <c r="G6893" t="s">
        <v>16233</v>
      </c>
      <c r="H6893" t="s">
        <v>47054</v>
      </c>
      <c r="I6893" t="s">
        <v>47111</v>
      </c>
      <c r="J6893" t="s">
        <v>47112</v>
      </c>
      <c r="K6893" t="s">
        <v>47113</v>
      </c>
      <c r="L6893">
        <v>48.18</v>
      </c>
      <c r="M6893">
        <v>74</v>
      </c>
      <c r="N6893">
        <v>0</v>
      </c>
      <c r="O6893">
        <v>74</v>
      </c>
      <c r="P6893">
        <v>0</v>
      </c>
    </row>
    <row r="6894" spans="1:16" x14ac:dyDescent="0.25">
      <c r="A6894" t="s">
        <v>29380</v>
      </c>
      <c r="B6894" t="s">
        <v>5747</v>
      </c>
      <c r="C6894" t="s">
        <v>5748</v>
      </c>
      <c r="D6894" t="str">
        <f>"6497"</f>
        <v>6497</v>
      </c>
      <c r="E6894" t="s">
        <v>5751</v>
      </c>
      <c r="F6894" t="s">
        <v>3558</v>
      </c>
      <c r="G6894" t="s">
        <v>16233</v>
      </c>
      <c r="H6894" t="s">
        <v>47054</v>
      </c>
      <c r="I6894" t="s">
        <v>47111</v>
      </c>
      <c r="J6894" t="s">
        <v>47112</v>
      </c>
      <c r="K6894" t="s">
        <v>47113</v>
      </c>
      <c r="L6894">
        <v>48.18</v>
      </c>
      <c r="M6894">
        <v>74</v>
      </c>
      <c r="N6894">
        <v>0</v>
      </c>
      <c r="O6894">
        <v>74</v>
      </c>
      <c r="P6894">
        <v>0</v>
      </c>
    </row>
    <row r="6895" spans="1:16" x14ac:dyDescent="0.25">
      <c r="A6895" t="s">
        <v>29381</v>
      </c>
      <c r="B6895" t="s">
        <v>5747</v>
      </c>
      <c r="C6895" t="s">
        <v>5748</v>
      </c>
      <c r="D6895" t="str">
        <f>"7026"</f>
        <v>7026</v>
      </c>
      <c r="E6895" t="s">
        <v>5752</v>
      </c>
      <c r="F6895" t="s">
        <v>3558</v>
      </c>
      <c r="G6895" t="s">
        <v>16233</v>
      </c>
      <c r="H6895" t="s">
        <v>47054</v>
      </c>
      <c r="I6895" t="s">
        <v>47111</v>
      </c>
      <c r="J6895" t="s">
        <v>47112</v>
      </c>
      <c r="K6895" t="s">
        <v>47113</v>
      </c>
      <c r="L6895">
        <v>48.18</v>
      </c>
      <c r="M6895">
        <v>74</v>
      </c>
      <c r="N6895">
        <v>0</v>
      </c>
      <c r="O6895">
        <v>74</v>
      </c>
      <c r="P6895">
        <v>0</v>
      </c>
    </row>
    <row r="6896" spans="1:16" x14ac:dyDescent="0.25">
      <c r="A6896" t="s">
        <v>29382</v>
      </c>
      <c r="B6896" t="s">
        <v>5753</v>
      </c>
      <c r="C6896" t="s">
        <v>5754</v>
      </c>
      <c r="D6896" t="str">
        <f>"3326"</f>
        <v>3326</v>
      </c>
      <c r="E6896" t="s">
        <v>5755</v>
      </c>
      <c r="F6896" t="s">
        <v>296</v>
      </c>
      <c r="G6896" t="s">
        <v>16231</v>
      </c>
      <c r="H6896" t="s">
        <v>47054</v>
      </c>
      <c r="I6896" t="s">
        <v>47111</v>
      </c>
      <c r="J6896" t="s">
        <v>47112</v>
      </c>
      <c r="K6896" t="s">
        <v>47113</v>
      </c>
      <c r="L6896">
        <v>56.39</v>
      </c>
      <c r="M6896">
        <v>122</v>
      </c>
      <c r="N6896">
        <v>0</v>
      </c>
      <c r="O6896">
        <v>122</v>
      </c>
      <c r="P6896">
        <v>0</v>
      </c>
    </row>
    <row r="6897" spans="1:16" x14ac:dyDescent="0.25">
      <c r="A6897" t="s">
        <v>29383</v>
      </c>
      <c r="B6897" t="s">
        <v>5756</v>
      </c>
      <c r="C6897" t="s">
        <v>5757</v>
      </c>
      <c r="D6897" t="str">
        <f>"1821"</f>
        <v>1821</v>
      </c>
      <c r="E6897" t="s">
        <v>590</v>
      </c>
      <c r="F6897" t="s">
        <v>3546</v>
      </c>
      <c r="G6897" t="s">
        <v>16231</v>
      </c>
      <c r="H6897" t="s">
        <v>47054</v>
      </c>
      <c r="I6897" t="s">
        <v>47111</v>
      </c>
      <c r="J6897" t="s">
        <v>47112</v>
      </c>
      <c r="K6897" t="s">
        <v>47113</v>
      </c>
      <c r="L6897">
        <v>35.71</v>
      </c>
      <c r="M6897">
        <v>66</v>
      </c>
      <c r="N6897">
        <v>0</v>
      </c>
      <c r="O6897">
        <v>66</v>
      </c>
      <c r="P6897">
        <v>0</v>
      </c>
    </row>
    <row r="6898" spans="1:16" x14ac:dyDescent="0.25">
      <c r="A6898" t="s">
        <v>29384</v>
      </c>
      <c r="B6898" t="s">
        <v>19862</v>
      </c>
      <c r="C6898" t="s">
        <v>16725</v>
      </c>
      <c r="D6898" t="str">
        <f>"1821"</f>
        <v>1821</v>
      </c>
      <c r="E6898" t="s">
        <v>590</v>
      </c>
      <c r="F6898" t="s">
        <v>3670</v>
      </c>
      <c r="G6898" t="s">
        <v>16231</v>
      </c>
      <c r="H6898" t="s">
        <v>47054</v>
      </c>
      <c r="I6898" t="s">
        <v>47111</v>
      </c>
      <c r="J6898" t="s">
        <v>47112</v>
      </c>
      <c r="K6898" t="s">
        <v>47113</v>
      </c>
      <c r="L6898">
        <v>41.08</v>
      </c>
      <c r="M6898">
        <v>92</v>
      </c>
      <c r="N6898">
        <v>0</v>
      </c>
      <c r="O6898">
        <v>92</v>
      </c>
      <c r="P6898">
        <v>0</v>
      </c>
    </row>
    <row r="6899" spans="1:16" x14ac:dyDescent="0.25">
      <c r="A6899" t="s">
        <v>29385</v>
      </c>
      <c r="B6899" t="s">
        <v>5758</v>
      </c>
      <c r="C6899" t="s">
        <v>5759</v>
      </c>
      <c r="D6899" t="str">
        <f>"1277"</f>
        <v>1277</v>
      </c>
      <c r="E6899" t="s">
        <v>5698</v>
      </c>
      <c r="F6899" t="s">
        <v>2</v>
      </c>
      <c r="G6899" t="s">
        <v>16231</v>
      </c>
      <c r="H6899" t="s">
        <v>47054</v>
      </c>
      <c r="I6899" t="s">
        <v>47111</v>
      </c>
      <c r="J6899" t="s">
        <v>47112</v>
      </c>
      <c r="K6899" t="s">
        <v>47113</v>
      </c>
      <c r="L6899">
        <v>66.75</v>
      </c>
      <c r="M6899">
        <v>136</v>
      </c>
      <c r="N6899">
        <v>0</v>
      </c>
      <c r="O6899">
        <v>136</v>
      </c>
      <c r="P6899">
        <v>0</v>
      </c>
    </row>
    <row r="6900" spans="1:16" x14ac:dyDescent="0.25">
      <c r="A6900" t="s">
        <v>29386</v>
      </c>
      <c r="B6900" t="s">
        <v>5758</v>
      </c>
      <c r="C6900" t="s">
        <v>5759</v>
      </c>
      <c r="D6900" t="str">
        <f>"2155"</f>
        <v>2155</v>
      </c>
      <c r="E6900" t="s">
        <v>5699</v>
      </c>
      <c r="F6900" t="s">
        <v>2</v>
      </c>
      <c r="G6900" t="s">
        <v>16231</v>
      </c>
      <c r="H6900" t="s">
        <v>47054</v>
      </c>
      <c r="I6900" t="s">
        <v>47111</v>
      </c>
      <c r="J6900" t="s">
        <v>47112</v>
      </c>
      <c r="K6900" t="s">
        <v>47113</v>
      </c>
      <c r="L6900">
        <v>66.75</v>
      </c>
      <c r="M6900">
        <v>136</v>
      </c>
      <c r="N6900">
        <v>0</v>
      </c>
      <c r="O6900">
        <v>136</v>
      </c>
      <c r="P6900">
        <v>0</v>
      </c>
    </row>
    <row r="6901" spans="1:16" x14ac:dyDescent="0.25">
      <c r="A6901" t="s">
        <v>29387</v>
      </c>
      <c r="B6901" t="s">
        <v>5758</v>
      </c>
      <c r="C6901" t="s">
        <v>5759</v>
      </c>
      <c r="D6901" t="str">
        <f>"2640"</f>
        <v>2640</v>
      </c>
      <c r="E6901" t="s">
        <v>5700</v>
      </c>
      <c r="F6901" t="s">
        <v>2</v>
      </c>
      <c r="G6901" t="s">
        <v>16231</v>
      </c>
      <c r="H6901" t="s">
        <v>47054</v>
      </c>
      <c r="I6901" t="s">
        <v>47111</v>
      </c>
      <c r="J6901" t="s">
        <v>47112</v>
      </c>
      <c r="K6901" t="s">
        <v>47113</v>
      </c>
      <c r="L6901">
        <v>66.75</v>
      </c>
      <c r="M6901">
        <v>136</v>
      </c>
      <c r="N6901">
        <v>0</v>
      </c>
      <c r="O6901">
        <v>136</v>
      </c>
      <c r="P6901">
        <v>0</v>
      </c>
    </row>
    <row r="6902" spans="1:16" x14ac:dyDescent="0.25">
      <c r="A6902" t="s">
        <v>29388</v>
      </c>
      <c r="B6902" t="s">
        <v>5760</v>
      </c>
      <c r="C6902" t="s">
        <v>5761</v>
      </c>
      <c r="D6902" t="str">
        <f>"1821"</f>
        <v>1821</v>
      </c>
      <c r="E6902" t="s">
        <v>590</v>
      </c>
      <c r="F6902" t="s">
        <v>3</v>
      </c>
      <c r="G6902" t="s">
        <v>16231</v>
      </c>
      <c r="H6902" t="s">
        <v>47054</v>
      </c>
      <c r="I6902" t="s">
        <v>47111</v>
      </c>
      <c r="J6902" t="s">
        <v>47112</v>
      </c>
      <c r="K6902" t="s">
        <v>47113</v>
      </c>
      <c r="L6902">
        <v>49.16</v>
      </c>
      <c r="M6902">
        <v>125</v>
      </c>
      <c r="N6902">
        <v>0</v>
      </c>
      <c r="O6902">
        <v>125</v>
      </c>
      <c r="P6902">
        <v>0</v>
      </c>
    </row>
    <row r="6903" spans="1:16" x14ac:dyDescent="0.25">
      <c r="A6903" t="s">
        <v>29389</v>
      </c>
      <c r="B6903" t="s">
        <v>5762</v>
      </c>
      <c r="C6903" t="s">
        <v>5763</v>
      </c>
      <c r="D6903" t="str">
        <f>"1289"</f>
        <v>1289</v>
      </c>
      <c r="E6903" t="s">
        <v>5707</v>
      </c>
      <c r="F6903" t="s">
        <v>5</v>
      </c>
      <c r="G6903" t="s">
        <v>16231</v>
      </c>
      <c r="H6903" t="s">
        <v>47054</v>
      </c>
      <c r="I6903" t="s">
        <v>47111</v>
      </c>
      <c r="J6903" t="s">
        <v>47112</v>
      </c>
      <c r="K6903" t="s">
        <v>47113</v>
      </c>
      <c r="L6903">
        <v>44.88</v>
      </c>
      <c r="M6903">
        <v>111</v>
      </c>
      <c r="N6903">
        <v>0</v>
      </c>
      <c r="O6903">
        <v>111</v>
      </c>
      <c r="P6903">
        <v>0</v>
      </c>
    </row>
    <row r="6904" spans="1:16" x14ac:dyDescent="0.25">
      <c r="A6904" t="s">
        <v>29390</v>
      </c>
      <c r="B6904" t="s">
        <v>5762</v>
      </c>
      <c r="C6904" t="s">
        <v>5763</v>
      </c>
      <c r="D6904" t="str">
        <f>"2649"</f>
        <v>2649</v>
      </c>
      <c r="E6904" t="s">
        <v>5708</v>
      </c>
      <c r="F6904" t="s">
        <v>5</v>
      </c>
      <c r="G6904" t="s">
        <v>16231</v>
      </c>
      <c r="H6904" t="s">
        <v>47054</v>
      </c>
      <c r="I6904" t="s">
        <v>47111</v>
      </c>
      <c r="J6904" t="s">
        <v>47112</v>
      </c>
      <c r="K6904" t="s">
        <v>47113</v>
      </c>
      <c r="L6904">
        <v>48.12</v>
      </c>
      <c r="M6904">
        <v>111</v>
      </c>
      <c r="N6904">
        <v>0</v>
      </c>
      <c r="O6904">
        <v>111</v>
      </c>
      <c r="P6904">
        <v>0</v>
      </c>
    </row>
    <row r="6905" spans="1:16" x14ac:dyDescent="0.25">
      <c r="A6905" t="s">
        <v>29391</v>
      </c>
      <c r="B6905" t="s">
        <v>5762</v>
      </c>
      <c r="C6905" t="s">
        <v>5763</v>
      </c>
      <c r="D6905" t="str">
        <f>"3490"</f>
        <v>3490</v>
      </c>
      <c r="E6905" t="s">
        <v>5709</v>
      </c>
      <c r="F6905" t="s">
        <v>5</v>
      </c>
      <c r="G6905" t="s">
        <v>16231</v>
      </c>
      <c r="H6905" t="s">
        <v>47054</v>
      </c>
      <c r="I6905" t="s">
        <v>47111</v>
      </c>
      <c r="J6905" t="s">
        <v>47112</v>
      </c>
      <c r="K6905" t="s">
        <v>47113</v>
      </c>
      <c r="L6905">
        <v>48.12</v>
      </c>
      <c r="M6905">
        <v>111</v>
      </c>
      <c r="N6905">
        <v>0</v>
      </c>
      <c r="O6905">
        <v>111</v>
      </c>
      <c r="P6905">
        <v>0</v>
      </c>
    </row>
    <row r="6906" spans="1:16" x14ac:dyDescent="0.25">
      <c r="A6906" t="s">
        <v>29392</v>
      </c>
      <c r="B6906" t="s">
        <v>5764</v>
      </c>
      <c r="C6906" t="s">
        <v>5765</v>
      </c>
      <c r="D6906" t="str">
        <f>"1493"</f>
        <v>1493</v>
      </c>
      <c r="E6906" t="s">
        <v>5724</v>
      </c>
      <c r="F6906" t="s">
        <v>3546</v>
      </c>
      <c r="G6906" t="s">
        <v>16231</v>
      </c>
      <c r="H6906" t="s">
        <v>47054</v>
      </c>
      <c r="I6906" t="s">
        <v>47111</v>
      </c>
      <c r="J6906" t="s">
        <v>47112</v>
      </c>
      <c r="K6906" t="s">
        <v>47113</v>
      </c>
      <c r="L6906">
        <v>50.88</v>
      </c>
      <c r="M6906">
        <v>125</v>
      </c>
      <c r="N6906">
        <v>0</v>
      </c>
      <c r="O6906">
        <v>125</v>
      </c>
      <c r="P6906">
        <v>0</v>
      </c>
    </row>
    <row r="6907" spans="1:16" x14ac:dyDescent="0.25">
      <c r="A6907" t="s">
        <v>29393</v>
      </c>
      <c r="B6907" t="s">
        <v>5764</v>
      </c>
      <c r="C6907" t="s">
        <v>5765</v>
      </c>
      <c r="D6907" t="str">
        <f>"3273"</f>
        <v>3273</v>
      </c>
      <c r="E6907" t="s">
        <v>5726</v>
      </c>
      <c r="F6907" t="s">
        <v>3546</v>
      </c>
      <c r="G6907" t="s">
        <v>16231</v>
      </c>
      <c r="H6907" t="s">
        <v>47054</v>
      </c>
      <c r="I6907" t="s">
        <v>47111</v>
      </c>
      <c r="J6907" t="s">
        <v>47112</v>
      </c>
      <c r="K6907" t="s">
        <v>47113</v>
      </c>
      <c r="L6907">
        <v>50.88</v>
      </c>
      <c r="M6907">
        <v>125</v>
      </c>
      <c r="N6907">
        <v>0</v>
      </c>
      <c r="O6907">
        <v>125</v>
      </c>
      <c r="P6907">
        <v>0</v>
      </c>
    </row>
    <row r="6908" spans="1:16" x14ac:dyDescent="0.25">
      <c r="A6908" t="s">
        <v>29394</v>
      </c>
      <c r="B6908" t="s">
        <v>5766</v>
      </c>
      <c r="C6908" t="s">
        <v>16724</v>
      </c>
      <c r="D6908" t="str">
        <f>"1821"</f>
        <v>1821</v>
      </c>
      <c r="E6908" t="s">
        <v>590</v>
      </c>
      <c r="F6908" t="s">
        <v>3670</v>
      </c>
      <c r="G6908" t="s">
        <v>16231</v>
      </c>
      <c r="H6908" t="s">
        <v>47054</v>
      </c>
      <c r="I6908" t="s">
        <v>47111</v>
      </c>
      <c r="J6908" t="s">
        <v>47112</v>
      </c>
      <c r="K6908" t="s">
        <v>47113</v>
      </c>
      <c r="L6908">
        <v>33.82</v>
      </c>
      <c r="M6908">
        <v>74</v>
      </c>
      <c r="N6908">
        <v>0</v>
      </c>
      <c r="O6908">
        <v>74</v>
      </c>
      <c r="P6908">
        <v>0</v>
      </c>
    </row>
    <row r="6909" spans="1:16" x14ac:dyDescent="0.25">
      <c r="A6909" t="s">
        <v>29395</v>
      </c>
      <c r="B6909" t="s">
        <v>5768</v>
      </c>
      <c r="C6909" t="s">
        <v>5769</v>
      </c>
      <c r="D6909" t="str">
        <f>"1001"</f>
        <v>1001</v>
      </c>
      <c r="E6909" t="s">
        <v>5770</v>
      </c>
      <c r="F6909" t="s">
        <v>1</v>
      </c>
      <c r="G6909" t="s">
        <v>16233</v>
      </c>
      <c r="H6909" t="s">
        <v>47054</v>
      </c>
      <c r="I6909" t="s">
        <v>47111</v>
      </c>
      <c r="J6909" t="s">
        <v>47112</v>
      </c>
      <c r="K6909" t="s">
        <v>47113</v>
      </c>
      <c r="L6909">
        <v>46.07</v>
      </c>
      <c r="M6909">
        <v>112</v>
      </c>
      <c r="N6909">
        <v>0</v>
      </c>
      <c r="O6909">
        <v>112</v>
      </c>
      <c r="P6909">
        <v>0</v>
      </c>
    </row>
    <row r="6910" spans="1:16" x14ac:dyDescent="0.25">
      <c r="A6910" t="s">
        <v>29396</v>
      </c>
      <c r="B6910" t="s">
        <v>5768</v>
      </c>
      <c r="C6910" t="s">
        <v>5769</v>
      </c>
      <c r="D6910" t="str">
        <f>"6428"</f>
        <v>6428</v>
      </c>
      <c r="E6910" t="s">
        <v>5771</v>
      </c>
      <c r="F6910" t="s">
        <v>1</v>
      </c>
      <c r="G6910" t="s">
        <v>16233</v>
      </c>
      <c r="H6910" t="s">
        <v>47054</v>
      </c>
      <c r="I6910" t="s">
        <v>47111</v>
      </c>
      <c r="J6910" t="s">
        <v>47112</v>
      </c>
      <c r="K6910" t="s">
        <v>47113</v>
      </c>
      <c r="L6910">
        <v>46.07</v>
      </c>
      <c r="M6910">
        <v>112</v>
      </c>
      <c r="N6910">
        <v>0</v>
      </c>
      <c r="O6910">
        <v>112</v>
      </c>
      <c r="P6910">
        <v>0</v>
      </c>
    </row>
    <row r="6911" spans="1:16" x14ac:dyDescent="0.25">
      <c r="A6911" t="s">
        <v>29397</v>
      </c>
      <c r="B6911" t="s">
        <v>5772</v>
      </c>
      <c r="C6911" t="s">
        <v>3404</v>
      </c>
      <c r="D6911" t="str">
        <f>"1180"</f>
        <v>1180</v>
      </c>
      <c r="E6911" t="s">
        <v>5773</v>
      </c>
      <c r="F6911" t="s">
        <v>7</v>
      </c>
      <c r="G6911" t="s">
        <v>16231</v>
      </c>
      <c r="H6911" t="s">
        <v>47054</v>
      </c>
      <c r="I6911" t="s">
        <v>47111</v>
      </c>
      <c r="J6911" t="s">
        <v>47112</v>
      </c>
      <c r="K6911" t="s">
        <v>47113</v>
      </c>
      <c r="L6911">
        <v>43.95</v>
      </c>
      <c r="M6911">
        <v>104</v>
      </c>
      <c r="N6911">
        <v>0</v>
      </c>
      <c r="O6911">
        <v>104</v>
      </c>
      <c r="P6911">
        <v>0</v>
      </c>
    </row>
    <row r="6912" spans="1:16" x14ac:dyDescent="0.25">
      <c r="A6912" t="s">
        <v>29398</v>
      </c>
      <c r="B6912" t="s">
        <v>5772</v>
      </c>
      <c r="C6912" t="s">
        <v>3404</v>
      </c>
      <c r="D6912" t="str">
        <f>"1181"</f>
        <v>1181</v>
      </c>
      <c r="E6912" t="s">
        <v>5774</v>
      </c>
      <c r="F6912" t="s">
        <v>7</v>
      </c>
      <c r="G6912" t="s">
        <v>16231</v>
      </c>
      <c r="H6912" t="s">
        <v>47054</v>
      </c>
      <c r="I6912" t="s">
        <v>47111</v>
      </c>
      <c r="J6912" t="s">
        <v>47112</v>
      </c>
      <c r="K6912" t="s">
        <v>47113</v>
      </c>
      <c r="L6912">
        <v>43.11</v>
      </c>
      <c r="M6912">
        <v>104</v>
      </c>
      <c r="N6912">
        <v>0</v>
      </c>
      <c r="O6912">
        <v>104</v>
      </c>
      <c r="P6912">
        <v>0</v>
      </c>
    </row>
    <row r="6913" spans="1:16" x14ac:dyDescent="0.25">
      <c r="A6913" t="s">
        <v>29399</v>
      </c>
      <c r="B6913" t="s">
        <v>5772</v>
      </c>
      <c r="C6913" t="s">
        <v>3404</v>
      </c>
      <c r="D6913" t="str">
        <f>"1536"</f>
        <v>1536</v>
      </c>
      <c r="E6913" t="s">
        <v>5734</v>
      </c>
      <c r="F6913" t="s">
        <v>2</v>
      </c>
      <c r="G6913" t="s">
        <v>16231</v>
      </c>
      <c r="H6913" t="s">
        <v>47054</v>
      </c>
      <c r="I6913" t="s">
        <v>47111</v>
      </c>
      <c r="J6913" t="s">
        <v>47112</v>
      </c>
      <c r="K6913" t="s">
        <v>47113</v>
      </c>
      <c r="L6913">
        <v>43.45</v>
      </c>
      <c r="M6913">
        <v>90</v>
      </c>
      <c r="N6913">
        <v>0</v>
      </c>
      <c r="O6913">
        <v>90</v>
      </c>
      <c r="P6913">
        <v>0</v>
      </c>
    </row>
    <row r="6914" spans="1:16" x14ac:dyDescent="0.25">
      <c r="A6914" t="s">
        <v>29400</v>
      </c>
      <c r="B6914" t="s">
        <v>5772</v>
      </c>
      <c r="C6914" t="s">
        <v>3404</v>
      </c>
      <c r="D6914" t="str">
        <f>"2217"</f>
        <v>2217</v>
      </c>
      <c r="E6914" t="s">
        <v>5775</v>
      </c>
      <c r="F6914" t="s">
        <v>7</v>
      </c>
      <c r="G6914" t="s">
        <v>16231</v>
      </c>
      <c r="H6914" t="s">
        <v>47054</v>
      </c>
      <c r="I6914" t="s">
        <v>47111</v>
      </c>
      <c r="J6914" t="s">
        <v>47112</v>
      </c>
      <c r="K6914" t="s">
        <v>47113</v>
      </c>
      <c r="L6914">
        <v>44.13</v>
      </c>
      <c r="M6914">
        <v>104</v>
      </c>
      <c r="N6914">
        <v>0</v>
      </c>
      <c r="O6914">
        <v>104</v>
      </c>
      <c r="P6914">
        <v>0</v>
      </c>
    </row>
    <row r="6915" spans="1:16" x14ac:dyDescent="0.25">
      <c r="A6915" t="s">
        <v>29401</v>
      </c>
      <c r="B6915" t="s">
        <v>5772</v>
      </c>
      <c r="C6915" t="s">
        <v>3404</v>
      </c>
      <c r="D6915" t="str">
        <f>"2344"</f>
        <v>2344</v>
      </c>
      <c r="E6915" t="s">
        <v>5776</v>
      </c>
      <c r="F6915" t="s">
        <v>7</v>
      </c>
      <c r="G6915" t="s">
        <v>16231</v>
      </c>
      <c r="H6915" t="s">
        <v>47054</v>
      </c>
      <c r="I6915" t="s">
        <v>47111</v>
      </c>
      <c r="J6915" t="s">
        <v>47112</v>
      </c>
      <c r="K6915" t="s">
        <v>47113</v>
      </c>
      <c r="L6915">
        <v>43.67</v>
      </c>
      <c r="M6915">
        <v>104</v>
      </c>
      <c r="N6915">
        <v>0</v>
      </c>
      <c r="O6915">
        <v>104</v>
      </c>
      <c r="P6915">
        <v>0</v>
      </c>
    </row>
    <row r="6916" spans="1:16" x14ac:dyDescent="0.25">
      <c r="A6916" t="s">
        <v>29402</v>
      </c>
      <c r="B6916" t="s">
        <v>5772</v>
      </c>
      <c r="C6916" t="s">
        <v>3404</v>
      </c>
      <c r="D6916" t="str">
        <f>"2639"</f>
        <v>2639</v>
      </c>
      <c r="E6916" t="s">
        <v>5735</v>
      </c>
      <c r="F6916" t="s">
        <v>2</v>
      </c>
      <c r="G6916" t="s">
        <v>16231</v>
      </c>
      <c r="H6916" t="s">
        <v>47054</v>
      </c>
      <c r="I6916" t="s">
        <v>47111</v>
      </c>
      <c r="J6916" t="s">
        <v>47112</v>
      </c>
      <c r="K6916" t="s">
        <v>47113</v>
      </c>
      <c r="L6916">
        <v>42.6</v>
      </c>
      <c r="M6916">
        <v>90</v>
      </c>
      <c r="N6916">
        <v>0</v>
      </c>
      <c r="O6916">
        <v>90</v>
      </c>
      <c r="P6916">
        <v>0</v>
      </c>
    </row>
    <row r="6917" spans="1:16" x14ac:dyDescent="0.25">
      <c r="A6917" t="s">
        <v>29403</v>
      </c>
      <c r="B6917" t="s">
        <v>5772</v>
      </c>
      <c r="C6917" t="s">
        <v>3404</v>
      </c>
      <c r="D6917" t="str">
        <f>"3229"</f>
        <v>3229</v>
      </c>
      <c r="E6917" t="s">
        <v>1579</v>
      </c>
      <c r="F6917" t="s">
        <v>7</v>
      </c>
      <c r="G6917" t="s">
        <v>16231</v>
      </c>
      <c r="H6917" t="s">
        <v>47054</v>
      </c>
      <c r="I6917" t="s">
        <v>47111</v>
      </c>
      <c r="J6917" t="s">
        <v>47112</v>
      </c>
      <c r="K6917" t="s">
        <v>47113</v>
      </c>
      <c r="L6917">
        <v>44.13</v>
      </c>
      <c r="M6917">
        <v>104</v>
      </c>
      <c r="N6917">
        <v>0</v>
      </c>
      <c r="O6917">
        <v>104</v>
      </c>
      <c r="P6917">
        <v>0</v>
      </c>
    </row>
    <row r="6918" spans="1:16" x14ac:dyDescent="0.25">
      <c r="A6918" t="s">
        <v>29404</v>
      </c>
      <c r="B6918" t="s">
        <v>5772</v>
      </c>
      <c r="C6918" t="s">
        <v>3404</v>
      </c>
      <c r="D6918" t="str">
        <f>"3242"</f>
        <v>3242</v>
      </c>
      <c r="E6918" t="s">
        <v>5736</v>
      </c>
      <c r="F6918" t="s">
        <v>2</v>
      </c>
      <c r="G6918" t="s">
        <v>16231</v>
      </c>
      <c r="H6918" t="s">
        <v>47054</v>
      </c>
      <c r="I6918" t="s">
        <v>47111</v>
      </c>
      <c r="J6918" t="s">
        <v>47112</v>
      </c>
      <c r="K6918" t="s">
        <v>47113</v>
      </c>
      <c r="L6918">
        <v>42.73</v>
      </c>
      <c r="M6918">
        <v>90</v>
      </c>
      <c r="N6918">
        <v>0</v>
      </c>
      <c r="O6918">
        <v>90</v>
      </c>
      <c r="P6918">
        <v>0</v>
      </c>
    </row>
    <row r="6919" spans="1:16" x14ac:dyDescent="0.25">
      <c r="A6919" t="s">
        <v>29405</v>
      </c>
      <c r="B6919" t="s">
        <v>5772</v>
      </c>
      <c r="C6919" t="s">
        <v>3404</v>
      </c>
      <c r="D6919" t="str">
        <f>"4292"</f>
        <v>4292</v>
      </c>
      <c r="E6919" t="s">
        <v>5777</v>
      </c>
      <c r="F6919" t="s">
        <v>7</v>
      </c>
      <c r="G6919" t="s">
        <v>16231</v>
      </c>
      <c r="H6919" t="s">
        <v>47054</v>
      </c>
      <c r="I6919" t="s">
        <v>47111</v>
      </c>
      <c r="J6919" t="s">
        <v>47112</v>
      </c>
      <c r="K6919" t="s">
        <v>47113</v>
      </c>
      <c r="L6919">
        <v>45.13</v>
      </c>
      <c r="M6919">
        <v>104</v>
      </c>
      <c r="N6919">
        <v>0</v>
      </c>
      <c r="O6919">
        <v>104</v>
      </c>
      <c r="P6919">
        <v>0</v>
      </c>
    </row>
    <row r="6920" spans="1:16" x14ac:dyDescent="0.25">
      <c r="A6920" t="s">
        <v>29406</v>
      </c>
      <c r="B6920" t="s">
        <v>5772</v>
      </c>
      <c r="C6920" t="s">
        <v>3404</v>
      </c>
      <c r="D6920" t="str">
        <f>"4472"</f>
        <v>4472</v>
      </c>
      <c r="E6920" t="s">
        <v>5778</v>
      </c>
      <c r="F6920" t="s">
        <v>7</v>
      </c>
      <c r="G6920" t="s">
        <v>16231</v>
      </c>
      <c r="H6920" t="s">
        <v>47054</v>
      </c>
      <c r="I6920" t="s">
        <v>47111</v>
      </c>
      <c r="J6920" t="s">
        <v>47112</v>
      </c>
      <c r="K6920" t="s">
        <v>47113</v>
      </c>
      <c r="L6920">
        <v>43.67</v>
      </c>
      <c r="M6920">
        <v>104</v>
      </c>
      <c r="N6920">
        <v>0</v>
      </c>
      <c r="O6920">
        <v>104</v>
      </c>
      <c r="P6920">
        <v>0</v>
      </c>
    </row>
    <row r="6921" spans="1:16" x14ac:dyDescent="0.25">
      <c r="A6921" t="s">
        <v>29407</v>
      </c>
      <c r="B6921" t="s">
        <v>5772</v>
      </c>
      <c r="C6921" t="s">
        <v>3404</v>
      </c>
      <c r="D6921" t="str">
        <f>"4617"</f>
        <v>4617</v>
      </c>
      <c r="E6921" t="s">
        <v>5737</v>
      </c>
      <c r="F6921" t="s">
        <v>2</v>
      </c>
      <c r="G6921" t="s">
        <v>16231</v>
      </c>
      <c r="H6921" t="s">
        <v>47054</v>
      </c>
      <c r="I6921" t="s">
        <v>47111</v>
      </c>
      <c r="J6921" t="s">
        <v>47112</v>
      </c>
      <c r="K6921" t="s">
        <v>47113</v>
      </c>
      <c r="L6921">
        <v>42.84</v>
      </c>
      <c r="M6921">
        <v>90</v>
      </c>
      <c r="N6921">
        <v>0</v>
      </c>
      <c r="O6921">
        <v>90</v>
      </c>
      <c r="P6921">
        <v>0</v>
      </c>
    </row>
    <row r="6922" spans="1:16" x14ac:dyDescent="0.25">
      <c r="A6922" t="s">
        <v>29408</v>
      </c>
      <c r="B6922" t="s">
        <v>5772</v>
      </c>
      <c r="C6922" t="s">
        <v>3404</v>
      </c>
      <c r="D6922" t="str">
        <f>"4618"</f>
        <v>4618</v>
      </c>
      <c r="E6922" t="s">
        <v>5738</v>
      </c>
      <c r="F6922" t="s">
        <v>2</v>
      </c>
      <c r="G6922" t="s">
        <v>16231</v>
      </c>
      <c r="H6922" t="s">
        <v>47054</v>
      </c>
      <c r="I6922" t="s">
        <v>47111</v>
      </c>
      <c r="J6922" t="s">
        <v>47112</v>
      </c>
      <c r="K6922" t="s">
        <v>47113</v>
      </c>
      <c r="L6922">
        <v>43.44</v>
      </c>
      <c r="M6922">
        <v>90</v>
      </c>
      <c r="N6922">
        <v>0</v>
      </c>
      <c r="O6922">
        <v>90</v>
      </c>
      <c r="P6922">
        <v>0</v>
      </c>
    </row>
    <row r="6923" spans="1:16" x14ac:dyDescent="0.25">
      <c r="A6923" t="s">
        <v>29409</v>
      </c>
      <c r="B6923" t="s">
        <v>5772</v>
      </c>
      <c r="C6923" t="s">
        <v>3404</v>
      </c>
      <c r="D6923" t="str">
        <f>"5072"</f>
        <v>5072</v>
      </c>
      <c r="E6923" t="s">
        <v>5779</v>
      </c>
      <c r="F6923" t="s">
        <v>7</v>
      </c>
      <c r="G6923" t="s">
        <v>16231</v>
      </c>
      <c r="H6923" t="s">
        <v>47054</v>
      </c>
      <c r="I6923" t="s">
        <v>47111</v>
      </c>
      <c r="J6923" t="s">
        <v>47112</v>
      </c>
      <c r="K6923" t="s">
        <v>47113</v>
      </c>
      <c r="L6923">
        <v>44.13</v>
      </c>
      <c r="M6923">
        <v>104</v>
      </c>
      <c r="N6923">
        <v>0</v>
      </c>
      <c r="O6923">
        <v>104</v>
      </c>
      <c r="P6923">
        <v>0</v>
      </c>
    </row>
    <row r="6924" spans="1:16" x14ac:dyDescent="0.25">
      <c r="A6924" t="s">
        <v>29410</v>
      </c>
      <c r="B6924" t="s">
        <v>5772</v>
      </c>
      <c r="C6924" t="s">
        <v>3404</v>
      </c>
      <c r="D6924" t="str">
        <f>"5073"</f>
        <v>5073</v>
      </c>
      <c r="E6924" t="s">
        <v>5780</v>
      </c>
      <c r="F6924" t="s">
        <v>7</v>
      </c>
      <c r="G6924" t="s">
        <v>16231</v>
      </c>
      <c r="H6924" t="s">
        <v>47054</v>
      </c>
      <c r="I6924" t="s">
        <v>47111</v>
      </c>
      <c r="J6924" t="s">
        <v>47112</v>
      </c>
      <c r="K6924" t="s">
        <v>47113</v>
      </c>
      <c r="L6924">
        <v>43.11</v>
      </c>
      <c r="M6924">
        <v>104</v>
      </c>
      <c r="N6924">
        <v>0</v>
      </c>
      <c r="O6924">
        <v>104</v>
      </c>
      <c r="P6924">
        <v>0</v>
      </c>
    </row>
    <row r="6925" spans="1:16" x14ac:dyDescent="0.25">
      <c r="A6925" t="s">
        <v>29411</v>
      </c>
      <c r="B6925" t="s">
        <v>5772</v>
      </c>
      <c r="C6925" t="s">
        <v>3404</v>
      </c>
      <c r="D6925" t="str">
        <f>"6248"</f>
        <v>6248</v>
      </c>
      <c r="E6925" t="s">
        <v>1580</v>
      </c>
      <c r="F6925" t="s">
        <v>7</v>
      </c>
      <c r="G6925" t="s">
        <v>16231</v>
      </c>
      <c r="H6925" t="s">
        <v>47054</v>
      </c>
      <c r="I6925" t="s">
        <v>47111</v>
      </c>
      <c r="J6925" t="s">
        <v>47112</v>
      </c>
      <c r="K6925" t="s">
        <v>47113</v>
      </c>
      <c r="L6925">
        <v>43.11</v>
      </c>
      <c r="M6925">
        <v>104</v>
      </c>
      <c r="N6925">
        <v>0</v>
      </c>
      <c r="O6925">
        <v>104</v>
      </c>
      <c r="P6925">
        <v>0</v>
      </c>
    </row>
    <row r="6926" spans="1:16" x14ac:dyDescent="0.25">
      <c r="A6926" t="s">
        <v>29412</v>
      </c>
      <c r="B6926" t="s">
        <v>5772</v>
      </c>
      <c r="C6926" t="s">
        <v>3404</v>
      </c>
      <c r="D6926" t="str">
        <f>"7019"</f>
        <v>7019</v>
      </c>
      <c r="E6926" t="s">
        <v>5781</v>
      </c>
      <c r="F6926" t="s">
        <v>7</v>
      </c>
      <c r="G6926" t="s">
        <v>16231</v>
      </c>
      <c r="H6926" t="s">
        <v>47054</v>
      </c>
      <c r="I6926" t="s">
        <v>47111</v>
      </c>
      <c r="J6926" t="s">
        <v>47112</v>
      </c>
      <c r="K6926" t="s">
        <v>47113</v>
      </c>
      <c r="L6926">
        <v>44.13</v>
      </c>
      <c r="M6926">
        <v>104</v>
      </c>
      <c r="N6926">
        <v>0</v>
      </c>
      <c r="O6926">
        <v>104</v>
      </c>
      <c r="P6926">
        <v>0</v>
      </c>
    </row>
    <row r="6927" spans="1:16" x14ac:dyDescent="0.25">
      <c r="A6927" t="s">
        <v>29413</v>
      </c>
      <c r="B6927" t="s">
        <v>5772</v>
      </c>
      <c r="C6927" t="s">
        <v>3404</v>
      </c>
      <c r="D6927" t="str">
        <f>"7350"</f>
        <v>7350</v>
      </c>
      <c r="E6927" t="s">
        <v>5739</v>
      </c>
      <c r="F6927" t="s">
        <v>2</v>
      </c>
      <c r="G6927" t="s">
        <v>16231</v>
      </c>
      <c r="H6927" t="s">
        <v>47054</v>
      </c>
      <c r="I6927" t="s">
        <v>47111</v>
      </c>
      <c r="J6927" t="s">
        <v>47112</v>
      </c>
      <c r="K6927" t="s">
        <v>47113</v>
      </c>
      <c r="L6927">
        <v>42.84</v>
      </c>
      <c r="M6927">
        <v>90</v>
      </c>
      <c r="N6927">
        <v>0</v>
      </c>
      <c r="O6927">
        <v>90</v>
      </c>
      <c r="P6927">
        <v>0</v>
      </c>
    </row>
    <row r="6928" spans="1:16" x14ac:dyDescent="0.25">
      <c r="A6928" t="s">
        <v>29414</v>
      </c>
      <c r="B6928" t="s">
        <v>5772</v>
      </c>
      <c r="C6928" t="s">
        <v>3404</v>
      </c>
      <c r="D6928" t="str">
        <f>"8341"</f>
        <v>8341</v>
      </c>
      <c r="E6928" t="s">
        <v>5740</v>
      </c>
      <c r="F6928" t="s">
        <v>2</v>
      </c>
      <c r="G6928" t="s">
        <v>16231</v>
      </c>
      <c r="H6928" t="s">
        <v>47054</v>
      </c>
      <c r="I6928" t="s">
        <v>47111</v>
      </c>
      <c r="J6928" t="s">
        <v>47112</v>
      </c>
      <c r="K6928" t="s">
        <v>47113</v>
      </c>
      <c r="L6928">
        <v>43.44</v>
      </c>
      <c r="M6928">
        <v>90</v>
      </c>
      <c r="N6928">
        <v>0</v>
      </c>
      <c r="O6928">
        <v>90</v>
      </c>
      <c r="P6928">
        <v>0</v>
      </c>
    </row>
    <row r="6929" spans="1:16" x14ac:dyDescent="0.25">
      <c r="A6929" t="s">
        <v>29415</v>
      </c>
      <c r="B6929" t="s">
        <v>5782</v>
      </c>
      <c r="C6929" t="s">
        <v>5783</v>
      </c>
      <c r="D6929" t="str">
        <f>"1821"</f>
        <v>1821</v>
      </c>
      <c r="E6929" t="s">
        <v>590</v>
      </c>
      <c r="F6929" t="s">
        <v>4</v>
      </c>
      <c r="G6929" t="s">
        <v>16231</v>
      </c>
      <c r="H6929" t="s">
        <v>47054</v>
      </c>
      <c r="I6929" t="s">
        <v>47116</v>
      </c>
      <c r="J6929" t="s">
        <v>47117</v>
      </c>
      <c r="K6929" t="s">
        <v>47113</v>
      </c>
      <c r="L6929">
        <v>33.229999999999997</v>
      </c>
      <c r="M6929">
        <v>81</v>
      </c>
      <c r="N6929">
        <v>0</v>
      </c>
      <c r="O6929">
        <v>81</v>
      </c>
      <c r="P6929">
        <v>0</v>
      </c>
    </row>
    <row r="6930" spans="1:16" x14ac:dyDescent="0.25">
      <c r="A6930" t="s">
        <v>29416</v>
      </c>
      <c r="B6930" t="s">
        <v>5784</v>
      </c>
      <c r="C6930" t="s">
        <v>16725</v>
      </c>
      <c r="D6930" t="str">
        <f>"1821"</f>
        <v>1821</v>
      </c>
      <c r="E6930" t="s">
        <v>590</v>
      </c>
      <c r="F6930" t="s">
        <v>3546</v>
      </c>
      <c r="G6930" t="s">
        <v>16231</v>
      </c>
      <c r="H6930" t="s">
        <v>47054</v>
      </c>
      <c r="I6930" t="s">
        <v>47111</v>
      </c>
      <c r="J6930" t="s">
        <v>47112</v>
      </c>
      <c r="K6930" t="s">
        <v>47113</v>
      </c>
      <c r="L6930">
        <v>33.82</v>
      </c>
      <c r="M6930">
        <v>66</v>
      </c>
      <c r="N6930">
        <v>0</v>
      </c>
      <c r="O6930">
        <v>66</v>
      </c>
      <c r="P6930">
        <v>0</v>
      </c>
    </row>
    <row r="6931" spans="1:16" x14ac:dyDescent="0.25">
      <c r="A6931" t="s">
        <v>29417</v>
      </c>
      <c r="B6931" t="s">
        <v>5785</v>
      </c>
      <c r="C6931" t="s">
        <v>5786</v>
      </c>
      <c r="D6931" t="str">
        <f>"1882"</f>
        <v>1882</v>
      </c>
      <c r="E6931" t="s">
        <v>5787</v>
      </c>
      <c r="F6931" t="s">
        <v>631</v>
      </c>
      <c r="G6931" t="s">
        <v>16231</v>
      </c>
      <c r="H6931" t="s">
        <v>47054</v>
      </c>
      <c r="I6931" t="s">
        <v>47111</v>
      </c>
      <c r="J6931" t="s">
        <v>47112</v>
      </c>
      <c r="K6931" t="s">
        <v>47113</v>
      </c>
      <c r="L6931">
        <v>35.200000000000003</v>
      </c>
      <c r="M6931">
        <v>79</v>
      </c>
      <c r="N6931">
        <v>0</v>
      </c>
      <c r="O6931">
        <v>79</v>
      </c>
      <c r="P6931">
        <v>0</v>
      </c>
    </row>
    <row r="6932" spans="1:16" x14ac:dyDescent="0.25">
      <c r="A6932" t="s">
        <v>29418</v>
      </c>
      <c r="B6932" t="s">
        <v>5788</v>
      </c>
      <c r="C6932" t="s">
        <v>5789</v>
      </c>
      <c r="D6932" t="str">
        <f>"1177"</f>
        <v>1177</v>
      </c>
      <c r="E6932" t="s">
        <v>5695</v>
      </c>
      <c r="F6932" t="s">
        <v>8</v>
      </c>
      <c r="G6932" t="s">
        <v>16231</v>
      </c>
      <c r="H6932" t="s">
        <v>47054</v>
      </c>
      <c r="I6932" t="s">
        <v>47111</v>
      </c>
      <c r="J6932" t="s">
        <v>47112</v>
      </c>
      <c r="K6932" t="s">
        <v>47113</v>
      </c>
      <c r="L6932">
        <v>47.41</v>
      </c>
      <c r="M6932">
        <v>127</v>
      </c>
      <c r="N6932">
        <v>0</v>
      </c>
      <c r="O6932">
        <v>127</v>
      </c>
      <c r="P6932">
        <v>0</v>
      </c>
    </row>
    <row r="6933" spans="1:16" x14ac:dyDescent="0.25">
      <c r="A6933" t="s">
        <v>29419</v>
      </c>
      <c r="B6933" t="s">
        <v>5790</v>
      </c>
      <c r="C6933" t="s">
        <v>5791</v>
      </c>
      <c r="D6933" t="str">
        <f>"1352"</f>
        <v>1352</v>
      </c>
      <c r="E6933" t="s">
        <v>5716</v>
      </c>
      <c r="F6933" t="s">
        <v>56</v>
      </c>
      <c r="G6933" t="s">
        <v>16231</v>
      </c>
      <c r="H6933" t="s">
        <v>47054</v>
      </c>
      <c r="I6933" t="s">
        <v>47111</v>
      </c>
      <c r="J6933" t="s">
        <v>47112</v>
      </c>
      <c r="K6933" t="s">
        <v>47113</v>
      </c>
      <c r="L6933">
        <v>55.55</v>
      </c>
      <c r="M6933">
        <v>122</v>
      </c>
      <c r="N6933">
        <v>0</v>
      </c>
      <c r="O6933">
        <v>122</v>
      </c>
      <c r="P6933">
        <v>0</v>
      </c>
    </row>
    <row r="6934" spans="1:16" x14ac:dyDescent="0.25">
      <c r="A6934" t="s">
        <v>29420</v>
      </c>
      <c r="B6934" t="s">
        <v>5790</v>
      </c>
      <c r="C6934" t="s">
        <v>5791</v>
      </c>
      <c r="D6934" t="str">
        <f>"2507"</f>
        <v>2507</v>
      </c>
      <c r="E6934" t="s">
        <v>5717</v>
      </c>
      <c r="F6934" t="s">
        <v>56</v>
      </c>
      <c r="G6934" t="s">
        <v>16231</v>
      </c>
      <c r="H6934" t="s">
        <v>47054</v>
      </c>
      <c r="I6934" t="s">
        <v>47111</v>
      </c>
      <c r="J6934" t="s">
        <v>47112</v>
      </c>
      <c r="K6934" t="s">
        <v>47113</v>
      </c>
      <c r="L6934">
        <v>55.55</v>
      </c>
      <c r="M6934">
        <v>122</v>
      </c>
      <c r="N6934">
        <v>0</v>
      </c>
      <c r="O6934">
        <v>122</v>
      </c>
      <c r="P6934">
        <v>0</v>
      </c>
    </row>
    <row r="6935" spans="1:16" x14ac:dyDescent="0.25">
      <c r="A6935" t="s">
        <v>29421</v>
      </c>
      <c r="B6935" t="s">
        <v>5792</v>
      </c>
      <c r="C6935" t="s">
        <v>5793</v>
      </c>
      <c r="D6935" t="str">
        <f>"1873"</f>
        <v>1873</v>
      </c>
      <c r="E6935" t="s">
        <v>5692</v>
      </c>
      <c r="F6935" t="s">
        <v>56</v>
      </c>
      <c r="G6935" t="s">
        <v>16231</v>
      </c>
      <c r="H6935" t="s">
        <v>47054</v>
      </c>
      <c r="I6935" t="s">
        <v>47111</v>
      </c>
      <c r="J6935" t="s">
        <v>47112</v>
      </c>
      <c r="K6935" t="s">
        <v>47113</v>
      </c>
      <c r="L6935">
        <v>37.61</v>
      </c>
      <c r="M6935">
        <v>79</v>
      </c>
      <c r="N6935">
        <v>0</v>
      </c>
      <c r="O6935">
        <v>79</v>
      </c>
      <c r="P6935">
        <v>0</v>
      </c>
    </row>
    <row r="6936" spans="1:16" x14ac:dyDescent="0.25">
      <c r="A6936" t="s">
        <v>29422</v>
      </c>
      <c r="B6936" t="s">
        <v>5794</v>
      </c>
      <c r="C6936" t="s">
        <v>5795</v>
      </c>
      <c r="D6936" t="str">
        <f>"1873"</f>
        <v>1873</v>
      </c>
      <c r="E6936" t="s">
        <v>5692</v>
      </c>
      <c r="F6936" t="s">
        <v>56</v>
      </c>
      <c r="G6936" t="s">
        <v>16231</v>
      </c>
      <c r="H6936" t="s">
        <v>47054</v>
      </c>
      <c r="I6936" t="s">
        <v>47111</v>
      </c>
      <c r="J6936" t="s">
        <v>47112</v>
      </c>
      <c r="K6936" t="s">
        <v>47113</v>
      </c>
      <c r="L6936">
        <v>34.729999999999997</v>
      </c>
      <c r="M6936">
        <v>73</v>
      </c>
      <c r="N6936">
        <v>0</v>
      </c>
      <c r="O6936">
        <v>73</v>
      </c>
      <c r="P6936">
        <v>0</v>
      </c>
    </row>
    <row r="6937" spans="1:16" x14ac:dyDescent="0.25">
      <c r="A6937" t="s">
        <v>29423</v>
      </c>
      <c r="B6937" t="s">
        <v>5796</v>
      </c>
      <c r="C6937" t="s">
        <v>5270</v>
      </c>
      <c r="D6937" t="str">
        <f>"2507"</f>
        <v>2507</v>
      </c>
      <c r="E6937" t="s">
        <v>5717</v>
      </c>
      <c r="F6937" t="s">
        <v>56</v>
      </c>
      <c r="G6937" t="s">
        <v>16231</v>
      </c>
      <c r="H6937" t="s">
        <v>47054</v>
      </c>
      <c r="I6937" t="s">
        <v>47114</v>
      </c>
      <c r="J6937" t="s">
        <v>47115</v>
      </c>
      <c r="K6937" t="s">
        <v>47113</v>
      </c>
      <c r="L6937">
        <v>35.4</v>
      </c>
      <c r="M6937">
        <v>81</v>
      </c>
      <c r="N6937">
        <v>0</v>
      </c>
      <c r="O6937">
        <v>81</v>
      </c>
      <c r="P6937">
        <v>0</v>
      </c>
    </row>
    <row r="6938" spans="1:16" x14ac:dyDescent="0.25">
      <c r="A6938" t="s">
        <v>29424</v>
      </c>
      <c r="B6938" t="s">
        <v>5797</v>
      </c>
      <c r="C6938" t="s">
        <v>5798</v>
      </c>
      <c r="D6938" t="str">
        <f>"1743"</f>
        <v>1743</v>
      </c>
      <c r="E6938" t="s">
        <v>5799</v>
      </c>
      <c r="F6938" t="s">
        <v>296</v>
      </c>
      <c r="G6938" t="s">
        <v>16231</v>
      </c>
      <c r="H6938" t="s">
        <v>47054</v>
      </c>
      <c r="I6938" t="s">
        <v>47114</v>
      </c>
      <c r="J6938" t="s">
        <v>47115</v>
      </c>
      <c r="K6938" t="s">
        <v>47113</v>
      </c>
      <c r="L6938">
        <v>36.81</v>
      </c>
      <c r="M6938">
        <v>80</v>
      </c>
      <c r="N6938">
        <v>0</v>
      </c>
      <c r="O6938">
        <v>80</v>
      </c>
      <c r="P6938">
        <v>0</v>
      </c>
    </row>
    <row r="6939" spans="1:16" x14ac:dyDescent="0.25">
      <c r="A6939" t="s">
        <v>29425</v>
      </c>
      <c r="B6939" t="s">
        <v>5797</v>
      </c>
      <c r="C6939" t="s">
        <v>5798</v>
      </c>
      <c r="D6939" t="str">
        <f>"2507"</f>
        <v>2507</v>
      </c>
      <c r="E6939" t="s">
        <v>5717</v>
      </c>
      <c r="F6939" t="s">
        <v>56</v>
      </c>
      <c r="G6939" t="s">
        <v>16231</v>
      </c>
      <c r="H6939" t="s">
        <v>47054</v>
      </c>
      <c r="I6939" t="s">
        <v>47114</v>
      </c>
      <c r="J6939" t="s">
        <v>47115</v>
      </c>
      <c r="K6939" t="s">
        <v>47113</v>
      </c>
      <c r="L6939">
        <v>35.28</v>
      </c>
      <c r="M6939">
        <v>81</v>
      </c>
      <c r="N6939">
        <v>0</v>
      </c>
      <c r="O6939">
        <v>81</v>
      </c>
      <c r="P6939">
        <v>0</v>
      </c>
    </row>
    <row r="6940" spans="1:16" x14ac:dyDescent="0.25">
      <c r="A6940" t="s">
        <v>29426</v>
      </c>
      <c r="B6940" t="s">
        <v>5797</v>
      </c>
      <c r="C6940" t="s">
        <v>5798</v>
      </c>
      <c r="D6940" t="str">
        <f>"3326"</f>
        <v>3326</v>
      </c>
      <c r="E6940" t="s">
        <v>5755</v>
      </c>
      <c r="F6940" t="s">
        <v>296</v>
      </c>
      <c r="G6940" t="s">
        <v>16231</v>
      </c>
      <c r="H6940" t="s">
        <v>47054</v>
      </c>
      <c r="I6940" t="s">
        <v>47114</v>
      </c>
      <c r="J6940" t="s">
        <v>47115</v>
      </c>
      <c r="K6940" t="s">
        <v>47113</v>
      </c>
      <c r="L6940">
        <v>36.81</v>
      </c>
      <c r="M6940">
        <v>80</v>
      </c>
      <c r="N6940">
        <v>0</v>
      </c>
      <c r="O6940">
        <v>80</v>
      </c>
      <c r="P6940">
        <v>0</v>
      </c>
    </row>
    <row r="6941" spans="1:16" x14ac:dyDescent="0.25">
      <c r="A6941" t="s">
        <v>29427</v>
      </c>
      <c r="B6941" t="s">
        <v>5800</v>
      </c>
      <c r="C6941" t="s">
        <v>3416</v>
      </c>
      <c r="D6941" t="str">
        <f>"2507"</f>
        <v>2507</v>
      </c>
      <c r="E6941" t="s">
        <v>5717</v>
      </c>
      <c r="F6941" t="s">
        <v>56</v>
      </c>
      <c r="G6941" t="s">
        <v>16224</v>
      </c>
      <c r="H6941" t="s">
        <v>47054</v>
      </c>
      <c r="I6941" t="s">
        <v>47116</v>
      </c>
      <c r="J6941" t="s">
        <v>47117</v>
      </c>
      <c r="K6941" t="s">
        <v>47113</v>
      </c>
      <c r="L6941">
        <v>33.950000000000003</v>
      </c>
      <c r="M6941">
        <v>98</v>
      </c>
      <c r="N6941">
        <v>0</v>
      </c>
      <c r="O6941">
        <v>98</v>
      </c>
      <c r="P6941">
        <v>0</v>
      </c>
    </row>
    <row r="6942" spans="1:16" x14ac:dyDescent="0.25">
      <c r="A6942" t="s">
        <v>29428</v>
      </c>
      <c r="B6942" t="s">
        <v>5801</v>
      </c>
      <c r="C6942" t="s">
        <v>5802</v>
      </c>
      <c r="D6942" t="str">
        <f>"1001"</f>
        <v>1001</v>
      </c>
      <c r="E6942" t="s">
        <v>5723</v>
      </c>
      <c r="F6942" t="s">
        <v>3546</v>
      </c>
      <c r="G6942" t="s">
        <v>16224</v>
      </c>
      <c r="H6942" t="s">
        <v>47054</v>
      </c>
      <c r="I6942" t="s">
        <v>47116</v>
      </c>
      <c r="J6942" t="s">
        <v>47117</v>
      </c>
      <c r="K6942" t="s">
        <v>47113</v>
      </c>
      <c r="L6942">
        <v>56</v>
      </c>
      <c r="M6942">
        <v>138</v>
      </c>
      <c r="N6942">
        <v>0</v>
      </c>
      <c r="O6942">
        <v>138</v>
      </c>
      <c r="P6942">
        <v>0</v>
      </c>
    </row>
    <row r="6943" spans="1:16" x14ac:dyDescent="0.25">
      <c r="A6943" t="s">
        <v>29429</v>
      </c>
      <c r="B6943" t="s">
        <v>5801</v>
      </c>
      <c r="C6943" t="s">
        <v>5802</v>
      </c>
      <c r="D6943" t="str">
        <f>"2005"</f>
        <v>2005</v>
      </c>
      <c r="E6943" t="s">
        <v>5725</v>
      </c>
      <c r="F6943" t="s">
        <v>3546</v>
      </c>
      <c r="G6943" t="s">
        <v>16224</v>
      </c>
      <c r="H6943" t="s">
        <v>47054</v>
      </c>
      <c r="I6943" t="s">
        <v>47116</v>
      </c>
      <c r="J6943" t="s">
        <v>47117</v>
      </c>
      <c r="K6943" t="s">
        <v>47113</v>
      </c>
      <c r="L6943">
        <v>56</v>
      </c>
      <c r="M6943">
        <v>138</v>
      </c>
      <c r="N6943">
        <v>0</v>
      </c>
      <c r="O6943">
        <v>138</v>
      </c>
      <c r="P6943">
        <v>0</v>
      </c>
    </row>
    <row r="6944" spans="1:16" x14ac:dyDescent="0.25">
      <c r="A6944" t="s">
        <v>29430</v>
      </c>
      <c r="B6944" t="s">
        <v>5803</v>
      </c>
      <c r="C6944" t="s">
        <v>3692</v>
      </c>
      <c r="D6944" t="str">
        <f>"1821"</f>
        <v>1821</v>
      </c>
      <c r="E6944" t="s">
        <v>590</v>
      </c>
      <c r="F6944" t="s">
        <v>3546</v>
      </c>
      <c r="G6944" t="s">
        <v>16224</v>
      </c>
      <c r="H6944" t="s">
        <v>47054</v>
      </c>
      <c r="I6944" t="s">
        <v>47116</v>
      </c>
      <c r="J6944" t="s">
        <v>47117</v>
      </c>
      <c r="K6944" t="s">
        <v>47113</v>
      </c>
      <c r="L6944">
        <v>35.57</v>
      </c>
      <c r="M6944">
        <v>74</v>
      </c>
      <c r="N6944">
        <v>0</v>
      </c>
      <c r="O6944">
        <v>74</v>
      </c>
      <c r="P6944">
        <v>0</v>
      </c>
    </row>
    <row r="6945" spans="1:16" x14ac:dyDescent="0.25">
      <c r="A6945" t="s">
        <v>29431</v>
      </c>
      <c r="B6945" t="s">
        <v>5804</v>
      </c>
      <c r="C6945" t="s">
        <v>5805</v>
      </c>
      <c r="D6945" t="str">
        <f>"1536"</f>
        <v>1536</v>
      </c>
      <c r="E6945" t="s">
        <v>5734</v>
      </c>
      <c r="F6945" t="s">
        <v>2</v>
      </c>
      <c r="G6945" t="s">
        <v>16224</v>
      </c>
      <c r="H6945" t="s">
        <v>47054</v>
      </c>
      <c r="I6945" t="s">
        <v>47116</v>
      </c>
      <c r="J6945" t="s">
        <v>47117</v>
      </c>
      <c r="K6945" t="s">
        <v>47113</v>
      </c>
      <c r="L6945">
        <v>46.82</v>
      </c>
      <c r="M6945">
        <v>120</v>
      </c>
      <c r="N6945">
        <v>0</v>
      </c>
      <c r="O6945">
        <v>120</v>
      </c>
      <c r="P6945">
        <v>0</v>
      </c>
    </row>
    <row r="6946" spans="1:16" x14ac:dyDescent="0.25">
      <c r="A6946" t="s">
        <v>29432</v>
      </c>
      <c r="B6946" t="s">
        <v>5804</v>
      </c>
      <c r="C6946" t="s">
        <v>5805</v>
      </c>
      <c r="D6946" t="str">
        <f>"2639"</f>
        <v>2639</v>
      </c>
      <c r="E6946" t="s">
        <v>5735</v>
      </c>
      <c r="F6946" t="s">
        <v>2</v>
      </c>
      <c r="G6946" t="s">
        <v>16224</v>
      </c>
      <c r="H6946" t="s">
        <v>47054</v>
      </c>
      <c r="I6946" t="s">
        <v>47116</v>
      </c>
      <c r="J6946" t="s">
        <v>47117</v>
      </c>
      <c r="K6946" t="s">
        <v>47113</v>
      </c>
      <c r="L6946">
        <v>46.82</v>
      </c>
      <c r="M6946">
        <v>120</v>
      </c>
      <c r="N6946">
        <v>0</v>
      </c>
      <c r="O6946">
        <v>120</v>
      </c>
      <c r="P6946">
        <v>0</v>
      </c>
    </row>
    <row r="6947" spans="1:16" x14ac:dyDescent="0.25">
      <c r="A6947" t="s">
        <v>29433</v>
      </c>
      <c r="B6947" t="s">
        <v>5804</v>
      </c>
      <c r="C6947" t="s">
        <v>5805</v>
      </c>
      <c r="D6947" t="str">
        <f>"3242"</f>
        <v>3242</v>
      </c>
      <c r="E6947" t="s">
        <v>5736</v>
      </c>
      <c r="F6947" t="s">
        <v>2</v>
      </c>
      <c r="G6947" t="s">
        <v>16224</v>
      </c>
      <c r="H6947" t="s">
        <v>47054</v>
      </c>
      <c r="I6947" t="s">
        <v>47116</v>
      </c>
      <c r="J6947" t="s">
        <v>47117</v>
      </c>
      <c r="K6947" t="s">
        <v>47113</v>
      </c>
      <c r="L6947">
        <v>46.82</v>
      </c>
      <c r="M6947">
        <v>120</v>
      </c>
      <c r="N6947">
        <v>0</v>
      </c>
      <c r="O6947">
        <v>120</v>
      </c>
      <c r="P6947">
        <v>0</v>
      </c>
    </row>
    <row r="6948" spans="1:16" x14ac:dyDescent="0.25">
      <c r="A6948" t="s">
        <v>29434</v>
      </c>
      <c r="B6948" t="s">
        <v>5804</v>
      </c>
      <c r="C6948" t="s">
        <v>5805</v>
      </c>
      <c r="D6948" t="str">
        <f>"4617"</f>
        <v>4617</v>
      </c>
      <c r="E6948" t="s">
        <v>5737</v>
      </c>
      <c r="F6948" t="s">
        <v>2</v>
      </c>
      <c r="G6948" t="s">
        <v>16224</v>
      </c>
      <c r="H6948" t="s">
        <v>47054</v>
      </c>
      <c r="I6948" t="s">
        <v>47116</v>
      </c>
      <c r="J6948" t="s">
        <v>47117</v>
      </c>
      <c r="K6948" t="s">
        <v>47113</v>
      </c>
      <c r="L6948">
        <v>46.82</v>
      </c>
      <c r="M6948">
        <v>120</v>
      </c>
      <c r="N6948">
        <v>0</v>
      </c>
      <c r="O6948">
        <v>120</v>
      </c>
      <c r="P6948">
        <v>0</v>
      </c>
    </row>
    <row r="6949" spans="1:16" x14ac:dyDescent="0.25">
      <c r="A6949" t="s">
        <v>29435</v>
      </c>
      <c r="B6949" t="s">
        <v>5804</v>
      </c>
      <c r="C6949" t="s">
        <v>5805</v>
      </c>
      <c r="D6949" t="str">
        <f>"4618"</f>
        <v>4618</v>
      </c>
      <c r="E6949" t="s">
        <v>5738</v>
      </c>
      <c r="F6949" t="s">
        <v>2</v>
      </c>
      <c r="G6949" t="s">
        <v>16224</v>
      </c>
      <c r="H6949" t="s">
        <v>47054</v>
      </c>
      <c r="I6949" t="s">
        <v>47116</v>
      </c>
      <c r="J6949" t="s">
        <v>47117</v>
      </c>
      <c r="K6949" t="s">
        <v>47113</v>
      </c>
      <c r="L6949">
        <v>46.82</v>
      </c>
      <c r="M6949">
        <v>120</v>
      </c>
      <c r="N6949">
        <v>0</v>
      </c>
      <c r="O6949">
        <v>120</v>
      </c>
      <c r="P6949">
        <v>0</v>
      </c>
    </row>
    <row r="6950" spans="1:16" x14ac:dyDescent="0.25">
      <c r="A6950" t="s">
        <v>29436</v>
      </c>
      <c r="B6950" t="s">
        <v>5804</v>
      </c>
      <c r="C6950" t="s">
        <v>5805</v>
      </c>
      <c r="D6950" t="str">
        <f>"7350"</f>
        <v>7350</v>
      </c>
      <c r="E6950" t="s">
        <v>5739</v>
      </c>
      <c r="F6950" t="s">
        <v>2</v>
      </c>
      <c r="G6950" t="s">
        <v>16224</v>
      </c>
      <c r="H6950" t="s">
        <v>47054</v>
      </c>
      <c r="I6950" t="s">
        <v>47116</v>
      </c>
      <c r="J6950" t="s">
        <v>47117</v>
      </c>
      <c r="K6950" t="s">
        <v>47113</v>
      </c>
      <c r="L6950">
        <v>46.82</v>
      </c>
      <c r="M6950">
        <v>120</v>
      </c>
      <c r="N6950">
        <v>0</v>
      </c>
      <c r="O6950">
        <v>120</v>
      </c>
      <c r="P6950">
        <v>0</v>
      </c>
    </row>
    <row r="6951" spans="1:16" x14ac:dyDescent="0.25">
      <c r="A6951" t="s">
        <v>29437</v>
      </c>
      <c r="B6951" t="s">
        <v>5804</v>
      </c>
      <c r="C6951" t="s">
        <v>5805</v>
      </c>
      <c r="D6951" t="str">
        <f>"8341"</f>
        <v>8341</v>
      </c>
      <c r="E6951" t="s">
        <v>5740</v>
      </c>
      <c r="F6951" t="s">
        <v>2</v>
      </c>
      <c r="G6951" t="s">
        <v>16224</v>
      </c>
      <c r="H6951" t="s">
        <v>47054</v>
      </c>
      <c r="I6951" t="s">
        <v>47116</v>
      </c>
      <c r="J6951" t="s">
        <v>47117</v>
      </c>
      <c r="K6951" t="s">
        <v>47113</v>
      </c>
      <c r="L6951">
        <v>46.82</v>
      </c>
      <c r="M6951">
        <v>120</v>
      </c>
      <c r="N6951">
        <v>0</v>
      </c>
      <c r="O6951">
        <v>120</v>
      </c>
      <c r="P6951">
        <v>0</v>
      </c>
    </row>
    <row r="6952" spans="1:16" x14ac:dyDescent="0.25">
      <c r="A6952" t="s">
        <v>29438</v>
      </c>
      <c r="B6952" t="s">
        <v>29439</v>
      </c>
      <c r="C6952" t="s">
        <v>29440</v>
      </c>
      <c r="D6952" t="str">
        <f>"1211"</f>
        <v>1211</v>
      </c>
      <c r="E6952" t="s">
        <v>29441</v>
      </c>
      <c r="F6952" t="s">
        <v>3750</v>
      </c>
      <c r="G6952" t="s">
        <v>16232</v>
      </c>
      <c r="H6952" t="s">
        <v>47054</v>
      </c>
      <c r="I6952" t="s">
        <v>47154</v>
      </c>
      <c r="J6952" t="s">
        <v>47155</v>
      </c>
      <c r="K6952" t="s">
        <v>47113</v>
      </c>
      <c r="L6952">
        <v>11.93</v>
      </c>
      <c r="M6952">
        <v>44</v>
      </c>
      <c r="N6952">
        <v>119</v>
      </c>
      <c r="O6952">
        <v>44</v>
      </c>
      <c r="P6952">
        <v>119</v>
      </c>
    </row>
    <row r="6953" spans="1:16" x14ac:dyDescent="0.25">
      <c r="A6953" t="s">
        <v>29442</v>
      </c>
      <c r="B6953" t="s">
        <v>29439</v>
      </c>
      <c r="C6953" t="s">
        <v>29440</v>
      </c>
      <c r="D6953" t="str">
        <f>"4100"</f>
        <v>4100</v>
      </c>
      <c r="E6953" t="s">
        <v>17644</v>
      </c>
      <c r="F6953" t="s">
        <v>3750</v>
      </c>
      <c r="G6953" t="s">
        <v>16232</v>
      </c>
      <c r="H6953" t="s">
        <v>47054</v>
      </c>
      <c r="I6953" t="s">
        <v>47154</v>
      </c>
      <c r="J6953" t="s">
        <v>47155</v>
      </c>
      <c r="K6953" t="s">
        <v>47113</v>
      </c>
      <c r="L6953">
        <v>12.44</v>
      </c>
      <c r="M6953">
        <v>44</v>
      </c>
      <c r="N6953">
        <v>119</v>
      </c>
      <c r="O6953">
        <v>44</v>
      </c>
      <c r="P6953">
        <v>119</v>
      </c>
    </row>
    <row r="6954" spans="1:16" x14ac:dyDescent="0.25">
      <c r="A6954" t="s">
        <v>29443</v>
      </c>
      <c r="B6954" t="s">
        <v>29439</v>
      </c>
      <c r="C6954" t="s">
        <v>29440</v>
      </c>
      <c r="D6954" t="str">
        <f>"6000"</f>
        <v>6000</v>
      </c>
      <c r="E6954" t="s">
        <v>6279</v>
      </c>
      <c r="F6954" t="s">
        <v>3750</v>
      </c>
      <c r="G6954" t="s">
        <v>16232</v>
      </c>
      <c r="H6954" t="s">
        <v>47054</v>
      </c>
      <c r="I6954" t="s">
        <v>47154</v>
      </c>
      <c r="J6954" t="s">
        <v>47155</v>
      </c>
      <c r="K6954" t="s">
        <v>47113</v>
      </c>
      <c r="L6954">
        <v>11.93</v>
      </c>
      <c r="M6954">
        <v>44</v>
      </c>
      <c r="N6954">
        <v>119</v>
      </c>
      <c r="O6954">
        <v>44</v>
      </c>
      <c r="P6954">
        <v>119</v>
      </c>
    </row>
    <row r="6955" spans="1:16" x14ac:dyDescent="0.25">
      <c r="A6955" t="s">
        <v>29444</v>
      </c>
      <c r="B6955" t="s">
        <v>5806</v>
      </c>
      <c r="C6955" t="s">
        <v>5807</v>
      </c>
      <c r="D6955" t="s">
        <v>5808</v>
      </c>
      <c r="E6955" t="s">
        <v>5809</v>
      </c>
      <c r="F6955" t="s">
        <v>1</v>
      </c>
      <c r="G6955" t="s">
        <v>16231</v>
      </c>
      <c r="H6955" t="s">
        <v>47054</v>
      </c>
      <c r="I6955" t="s">
        <v>47111</v>
      </c>
      <c r="J6955" t="s">
        <v>47112</v>
      </c>
      <c r="K6955" t="s">
        <v>47113</v>
      </c>
      <c r="L6955">
        <v>65.06</v>
      </c>
      <c r="M6955">
        <v>159</v>
      </c>
      <c r="N6955">
        <v>0</v>
      </c>
      <c r="O6955">
        <v>159</v>
      </c>
      <c r="P6955">
        <v>0</v>
      </c>
    </row>
    <row r="6956" spans="1:16" x14ac:dyDescent="0.25">
      <c r="A6956" t="s">
        <v>29445</v>
      </c>
      <c r="B6956" t="s">
        <v>5810</v>
      </c>
      <c r="C6956" t="s">
        <v>5681</v>
      </c>
      <c r="D6956" t="s">
        <v>5808</v>
      </c>
      <c r="E6956" t="s">
        <v>5809</v>
      </c>
      <c r="F6956" t="s">
        <v>1</v>
      </c>
      <c r="G6956" t="s">
        <v>16231</v>
      </c>
      <c r="H6956" t="s">
        <v>47054</v>
      </c>
      <c r="I6956" t="s">
        <v>47111</v>
      </c>
      <c r="J6956" t="s">
        <v>47112</v>
      </c>
      <c r="K6956" t="s">
        <v>47113</v>
      </c>
      <c r="L6956">
        <v>62.64</v>
      </c>
      <c r="M6956">
        <v>153</v>
      </c>
      <c r="N6956">
        <v>0</v>
      </c>
      <c r="O6956">
        <v>153</v>
      </c>
      <c r="P6956">
        <v>0</v>
      </c>
    </row>
    <row r="6957" spans="1:16" x14ac:dyDescent="0.25">
      <c r="A6957" t="s">
        <v>29446</v>
      </c>
      <c r="B6957" t="s">
        <v>5811</v>
      </c>
      <c r="C6957" t="s">
        <v>5812</v>
      </c>
      <c r="D6957" t="s">
        <v>5808</v>
      </c>
      <c r="E6957" t="s">
        <v>5809</v>
      </c>
      <c r="F6957" t="s">
        <v>1</v>
      </c>
      <c r="G6957" t="s">
        <v>16231</v>
      </c>
      <c r="H6957" t="s">
        <v>47054</v>
      </c>
      <c r="I6957" t="s">
        <v>47111</v>
      </c>
      <c r="J6957" t="s">
        <v>47112</v>
      </c>
      <c r="K6957" t="s">
        <v>47113</v>
      </c>
      <c r="L6957">
        <v>62.64</v>
      </c>
      <c r="M6957">
        <v>154</v>
      </c>
      <c r="N6957">
        <v>0</v>
      </c>
      <c r="O6957">
        <v>154</v>
      </c>
      <c r="P6957">
        <v>0</v>
      </c>
    </row>
    <row r="6958" spans="1:16" x14ac:dyDescent="0.25">
      <c r="A6958" t="s">
        <v>29447</v>
      </c>
      <c r="B6958" t="s">
        <v>5813</v>
      </c>
      <c r="C6958" t="s">
        <v>5814</v>
      </c>
      <c r="D6958" t="str">
        <f>"1745"</f>
        <v>1745</v>
      </c>
      <c r="E6958" t="s">
        <v>1659</v>
      </c>
      <c r="F6958" t="s">
        <v>1</v>
      </c>
      <c r="G6958" t="s">
        <v>16230</v>
      </c>
      <c r="H6958" t="s">
        <v>47054</v>
      </c>
      <c r="I6958" t="s">
        <v>47118</v>
      </c>
      <c r="J6958" t="s">
        <v>47119</v>
      </c>
      <c r="K6958" t="s">
        <v>47113</v>
      </c>
      <c r="L6958">
        <v>18.07</v>
      </c>
      <c r="M6958">
        <v>44</v>
      </c>
      <c r="N6958">
        <v>0</v>
      </c>
      <c r="O6958">
        <v>44</v>
      </c>
      <c r="P6958">
        <v>0</v>
      </c>
    </row>
    <row r="6959" spans="1:16" x14ac:dyDescent="0.25">
      <c r="A6959" t="s">
        <v>29448</v>
      </c>
      <c r="B6959" t="s">
        <v>5813</v>
      </c>
      <c r="C6959" t="s">
        <v>5814</v>
      </c>
      <c r="D6959" t="str">
        <f>"4857"</f>
        <v>4857</v>
      </c>
      <c r="E6959" t="s">
        <v>4775</v>
      </c>
      <c r="F6959" t="s">
        <v>1</v>
      </c>
      <c r="G6959" t="s">
        <v>16230</v>
      </c>
      <c r="H6959" t="s">
        <v>47054</v>
      </c>
      <c r="I6959" t="s">
        <v>47118</v>
      </c>
      <c r="J6959" t="s">
        <v>47119</v>
      </c>
      <c r="K6959" t="s">
        <v>47113</v>
      </c>
      <c r="L6959">
        <v>18.07</v>
      </c>
      <c r="M6959">
        <v>44</v>
      </c>
      <c r="N6959">
        <v>0</v>
      </c>
      <c r="O6959">
        <v>44</v>
      </c>
      <c r="P6959">
        <v>0</v>
      </c>
    </row>
    <row r="6960" spans="1:16" x14ac:dyDescent="0.25">
      <c r="A6960" t="s">
        <v>29449</v>
      </c>
      <c r="B6960" t="s">
        <v>5813</v>
      </c>
      <c r="C6960" t="s">
        <v>5814</v>
      </c>
      <c r="D6960" t="str">
        <f>"6439"</f>
        <v>6439</v>
      </c>
      <c r="E6960" t="s">
        <v>2880</v>
      </c>
      <c r="F6960" t="s">
        <v>1</v>
      </c>
      <c r="G6960" t="s">
        <v>16230</v>
      </c>
      <c r="H6960" t="s">
        <v>47054</v>
      </c>
      <c r="I6960" t="s">
        <v>47118</v>
      </c>
      <c r="J6960" t="s">
        <v>47119</v>
      </c>
      <c r="K6960" t="s">
        <v>47113</v>
      </c>
      <c r="L6960">
        <v>18.07</v>
      </c>
      <c r="M6960">
        <v>44</v>
      </c>
      <c r="N6960">
        <v>0</v>
      </c>
      <c r="O6960">
        <v>44</v>
      </c>
      <c r="P6960">
        <v>0</v>
      </c>
    </row>
    <row r="6961" spans="1:16" x14ac:dyDescent="0.25">
      <c r="A6961" t="s">
        <v>29450</v>
      </c>
      <c r="B6961" t="s">
        <v>5815</v>
      </c>
      <c r="C6961" t="s">
        <v>5816</v>
      </c>
      <c r="D6961" t="str">
        <f>"1430"</f>
        <v>1430</v>
      </c>
      <c r="E6961" t="s">
        <v>5817</v>
      </c>
      <c r="F6961" t="s">
        <v>1</v>
      </c>
      <c r="G6961" t="s">
        <v>16234</v>
      </c>
      <c r="H6961" t="s">
        <v>47054</v>
      </c>
      <c r="I6961" t="s">
        <v>47111</v>
      </c>
      <c r="J6961" t="s">
        <v>47112</v>
      </c>
      <c r="K6961" t="s">
        <v>47113</v>
      </c>
      <c r="L6961">
        <v>30.72</v>
      </c>
      <c r="M6961">
        <v>76</v>
      </c>
      <c r="N6961">
        <v>0</v>
      </c>
      <c r="O6961">
        <v>76</v>
      </c>
      <c r="P6961">
        <v>0</v>
      </c>
    </row>
    <row r="6962" spans="1:16" x14ac:dyDescent="0.25">
      <c r="A6962" t="s">
        <v>29451</v>
      </c>
      <c r="B6962" t="s">
        <v>5818</v>
      </c>
      <c r="C6962" t="s">
        <v>5819</v>
      </c>
      <c r="D6962" t="str">
        <f>"1430"</f>
        <v>1430</v>
      </c>
      <c r="E6962" t="s">
        <v>5817</v>
      </c>
      <c r="F6962" t="s">
        <v>1</v>
      </c>
      <c r="G6962" t="s">
        <v>16234</v>
      </c>
      <c r="H6962" t="s">
        <v>47054</v>
      </c>
      <c r="I6962" t="s">
        <v>47111</v>
      </c>
      <c r="J6962" t="s">
        <v>47112</v>
      </c>
      <c r="K6962" t="s">
        <v>47113</v>
      </c>
      <c r="L6962">
        <v>30.72</v>
      </c>
      <c r="M6962">
        <v>76</v>
      </c>
      <c r="N6962">
        <v>0</v>
      </c>
      <c r="O6962">
        <v>76</v>
      </c>
      <c r="P6962">
        <v>0</v>
      </c>
    </row>
    <row r="6963" spans="1:16" x14ac:dyDescent="0.25">
      <c r="A6963" t="s">
        <v>29452</v>
      </c>
      <c r="B6963" t="s">
        <v>5820</v>
      </c>
      <c r="C6963" t="s">
        <v>5821</v>
      </c>
      <c r="D6963" t="str">
        <f>"1842"</f>
        <v>1842</v>
      </c>
      <c r="E6963" t="s">
        <v>5822</v>
      </c>
      <c r="F6963" t="s">
        <v>1</v>
      </c>
      <c r="G6963" t="s">
        <v>16234</v>
      </c>
      <c r="H6963" t="s">
        <v>47054</v>
      </c>
      <c r="I6963" t="s">
        <v>47136</v>
      </c>
      <c r="J6963" t="s">
        <v>47137</v>
      </c>
      <c r="K6963" t="s">
        <v>47113</v>
      </c>
      <c r="L6963">
        <v>26.69</v>
      </c>
      <c r="M6963">
        <v>66</v>
      </c>
      <c r="N6963">
        <v>0</v>
      </c>
      <c r="O6963">
        <v>66</v>
      </c>
      <c r="P6963">
        <v>0</v>
      </c>
    </row>
    <row r="6964" spans="1:16" x14ac:dyDescent="0.25">
      <c r="A6964" t="s">
        <v>29453</v>
      </c>
      <c r="B6964" t="s">
        <v>5823</v>
      </c>
      <c r="C6964" t="s">
        <v>5824</v>
      </c>
      <c r="D6964" t="str">
        <f>"1505"</f>
        <v>1505</v>
      </c>
      <c r="E6964" t="s">
        <v>1667</v>
      </c>
      <c r="F6964" t="s">
        <v>1</v>
      </c>
      <c r="G6964" t="s">
        <v>16221</v>
      </c>
      <c r="H6964" t="s">
        <v>47054</v>
      </c>
      <c r="I6964" t="s">
        <v>47118</v>
      </c>
      <c r="J6964" t="s">
        <v>47119</v>
      </c>
      <c r="K6964" t="s">
        <v>47113</v>
      </c>
      <c r="L6964">
        <v>14.64</v>
      </c>
      <c r="M6964">
        <v>22</v>
      </c>
      <c r="N6964">
        <v>0</v>
      </c>
      <c r="O6964">
        <v>22</v>
      </c>
      <c r="P6964">
        <v>0</v>
      </c>
    </row>
    <row r="6965" spans="1:16" x14ac:dyDescent="0.25">
      <c r="A6965" t="s">
        <v>29454</v>
      </c>
      <c r="B6965" t="s">
        <v>5825</v>
      </c>
      <c r="C6965" t="s">
        <v>5826</v>
      </c>
      <c r="D6965" t="str">
        <f>"2722"</f>
        <v>2722</v>
      </c>
      <c r="E6965" t="s">
        <v>5827</v>
      </c>
      <c r="F6965" t="s">
        <v>1</v>
      </c>
      <c r="G6965" t="s">
        <v>16230</v>
      </c>
      <c r="H6965" t="s">
        <v>47054</v>
      </c>
      <c r="I6965" t="s">
        <v>47118</v>
      </c>
      <c r="J6965" t="s">
        <v>47119</v>
      </c>
      <c r="K6965" t="s">
        <v>47113</v>
      </c>
      <c r="L6965">
        <v>24.38</v>
      </c>
      <c r="M6965">
        <v>60</v>
      </c>
      <c r="N6965">
        <v>0</v>
      </c>
      <c r="O6965">
        <v>60</v>
      </c>
      <c r="P6965">
        <v>0</v>
      </c>
    </row>
    <row r="6966" spans="1:16" x14ac:dyDescent="0.25">
      <c r="A6966" t="s">
        <v>29455</v>
      </c>
      <c r="B6966" t="s">
        <v>5825</v>
      </c>
      <c r="C6966" t="s">
        <v>5826</v>
      </c>
      <c r="D6966" t="str">
        <f>"6439"</f>
        <v>6439</v>
      </c>
      <c r="E6966" t="s">
        <v>2880</v>
      </c>
      <c r="F6966" t="s">
        <v>1</v>
      </c>
      <c r="G6966" t="s">
        <v>16230</v>
      </c>
      <c r="H6966" t="s">
        <v>47054</v>
      </c>
      <c r="I6966" t="s">
        <v>47118</v>
      </c>
      <c r="J6966" t="s">
        <v>47119</v>
      </c>
      <c r="K6966" t="s">
        <v>47113</v>
      </c>
      <c r="L6966">
        <v>24.38</v>
      </c>
      <c r="M6966">
        <v>60</v>
      </c>
      <c r="N6966">
        <v>0</v>
      </c>
      <c r="O6966">
        <v>60</v>
      </c>
      <c r="P6966">
        <v>0</v>
      </c>
    </row>
    <row r="6967" spans="1:16" x14ac:dyDescent="0.25">
      <c r="A6967" t="s">
        <v>29456</v>
      </c>
      <c r="B6967" t="s">
        <v>5828</v>
      </c>
      <c r="C6967" t="s">
        <v>5829</v>
      </c>
      <c r="D6967" t="str">
        <f>"1491"</f>
        <v>1491</v>
      </c>
      <c r="E6967" t="s">
        <v>5830</v>
      </c>
      <c r="F6967" t="s">
        <v>3546</v>
      </c>
      <c r="G6967" t="s">
        <v>16232</v>
      </c>
      <c r="H6967" t="s">
        <v>47054</v>
      </c>
      <c r="I6967" t="s">
        <v>47118</v>
      </c>
      <c r="J6967" t="s">
        <v>47119</v>
      </c>
      <c r="K6967" t="s">
        <v>47113</v>
      </c>
      <c r="L6967">
        <v>13.91</v>
      </c>
      <c r="M6967">
        <v>34</v>
      </c>
      <c r="N6967">
        <v>0</v>
      </c>
      <c r="O6967">
        <v>34</v>
      </c>
      <c r="P6967">
        <v>0</v>
      </c>
    </row>
    <row r="6968" spans="1:16" x14ac:dyDescent="0.25">
      <c r="A6968" t="s">
        <v>29457</v>
      </c>
      <c r="B6968" t="s">
        <v>5828</v>
      </c>
      <c r="C6968" t="s">
        <v>5829</v>
      </c>
      <c r="D6968" t="str">
        <f>"1745"</f>
        <v>1745</v>
      </c>
      <c r="E6968" t="s">
        <v>5831</v>
      </c>
      <c r="F6968" t="s">
        <v>3546</v>
      </c>
      <c r="G6968" t="s">
        <v>16232</v>
      </c>
      <c r="H6968" t="s">
        <v>47054</v>
      </c>
      <c r="I6968" t="s">
        <v>47118</v>
      </c>
      <c r="J6968" t="s">
        <v>47119</v>
      </c>
      <c r="K6968" t="s">
        <v>47113</v>
      </c>
      <c r="L6968">
        <v>13.91</v>
      </c>
      <c r="M6968">
        <v>34</v>
      </c>
      <c r="N6968">
        <v>0</v>
      </c>
      <c r="O6968">
        <v>34</v>
      </c>
      <c r="P6968">
        <v>0</v>
      </c>
    </row>
    <row r="6969" spans="1:16" x14ac:dyDescent="0.25">
      <c r="A6969" t="s">
        <v>29458</v>
      </c>
      <c r="B6969" t="s">
        <v>5828</v>
      </c>
      <c r="C6969" t="s">
        <v>5829</v>
      </c>
      <c r="D6969" t="str">
        <f>"4886"</f>
        <v>4886</v>
      </c>
      <c r="E6969" t="s">
        <v>5832</v>
      </c>
      <c r="F6969" t="s">
        <v>3546</v>
      </c>
      <c r="G6969" t="s">
        <v>16232</v>
      </c>
      <c r="H6969" t="s">
        <v>47054</v>
      </c>
      <c r="I6969" t="s">
        <v>47118</v>
      </c>
      <c r="J6969" t="s">
        <v>47119</v>
      </c>
      <c r="K6969" t="s">
        <v>47113</v>
      </c>
      <c r="L6969">
        <v>13.91</v>
      </c>
      <c r="M6969">
        <v>34</v>
      </c>
      <c r="N6969">
        <v>0</v>
      </c>
      <c r="O6969">
        <v>34</v>
      </c>
      <c r="P6969">
        <v>0</v>
      </c>
    </row>
    <row r="6970" spans="1:16" x14ac:dyDescent="0.25">
      <c r="A6970" t="s">
        <v>29459</v>
      </c>
      <c r="B6970" t="s">
        <v>5833</v>
      </c>
      <c r="C6970" t="s">
        <v>5834</v>
      </c>
      <c r="D6970" t="str">
        <f>"1035"</f>
        <v>1035</v>
      </c>
      <c r="E6970" t="s">
        <v>758</v>
      </c>
      <c r="F6970" t="s">
        <v>3546</v>
      </c>
      <c r="G6970" t="s">
        <v>16232</v>
      </c>
      <c r="H6970" t="s">
        <v>47054</v>
      </c>
      <c r="I6970" t="s">
        <v>47118</v>
      </c>
      <c r="J6970" t="s">
        <v>47119</v>
      </c>
      <c r="K6970" t="s">
        <v>47113</v>
      </c>
      <c r="L6970">
        <v>13.65</v>
      </c>
      <c r="M6970">
        <v>27</v>
      </c>
      <c r="N6970">
        <v>0</v>
      </c>
      <c r="O6970">
        <v>27</v>
      </c>
      <c r="P6970">
        <v>0</v>
      </c>
    </row>
    <row r="6971" spans="1:16" x14ac:dyDescent="0.25">
      <c r="A6971" t="s">
        <v>29460</v>
      </c>
      <c r="B6971" t="s">
        <v>5833</v>
      </c>
      <c r="C6971" t="s">
        <v>5834</v>
      </c>
      <c r="D6971" t="str">
        <f>"1746"</f>
        <v>1746</v>
      </c>
      <c r="E6971" t="s">
        <v>807</v>
      </c>
      <c r="F6971" t="s">
        <v>3546</v>
      </c>
      <c r="G6971" t="s">
        <v>16232</v>
      </c>
      <c r="H6971" t="s">
        <v>47054</v>
      </c>
      <c r="I6971" t="s">
        <v>47118</v>
      </c>
      <c r="J6971" t="s">
        <v>47119</v>
      </c>
      <c r="K6971" t="s">
        <v>47113</v>
      </c>
      <c r="L6971">
        <v>15.06</v>
      </c>
      <c r="M6971">
        <v>27</v>
      </c>
      <c r="N6971">
        <v>0</v>
      </c>
      <c r="O6971">
        <v>27</v>
      </c>
      <c r="P6971">
        <v>0</v>
      </c>
    </row>
    <row r="6972" spans="1:16" x14ac:dyDescent="0.25">
      <c r="A6972" t="s">
        <v>29461</v>
      </c>
      <c r="B6972" t="s">
        <v>5833</v>
      </c>
      <c r="C6972" t="s">
        <v>5834</v>
      </c>
      <c r="D6972" t="str">
        <f>"2381"</f>
        <v>2381</v>
      </c>
      <c r="E6972" t="s">
        <v>5835</v>
      </c>
      <c r="F6972" t="s">
        <v>3546</v>
      </c>
      <c r="G6972" t="s">
        <v>16232</v>
      </c>
      <c r="H6972" t="s">
        <v>47054</v>
      </c>
      <c r="I6972" t="s">
        <v>47118</v>
      </c>
      <c r="J6972" t="s">
        <v>47119</v>
      </c>
      <c r="K6972" t="s">
        <v>47113</v>
      </c>
      <c r="L6972">
        <v>13.65</v>
      </c>
      <c r="M6972">
        <v>27</v>
      </c>
      <c r="N6972">
        <v>0</v>
      </c>
      <c r="O6972">
        <v>27</v>
      </c>
      <c r="P6972">
        <v>0</v>
      </c>
    </row>
    <row r="6973" spans="1:16" x14ac:dyDescent="0.25">
      <c r="A6973" t="s">
        <v>29462</v>
      </c>
      <c r="B6973" t="s">
        <v>5833</v>
      </c>
      <c r="C6973" t="s">
        <v>5834</v>
      </c>
      <c r="D6973" t="str">
        <f>"2704"</f>
        <v>2704</v>
      </c>
      <c r="E6973" t="s">
        <v>5836</v>
      </c>
      <c r="F6973" t="s">
        <v>3546</v>
      </c>
      <c r="G6973" t="s">
        <v>16232</v>
      </c>
      <c r="H6973" t="s">
        <v>47054</v>
      </c>
      <c r="I6973" t="s">
        <v>47118</v>
      </c>
      <c r="J6973" t="s">
        <v>47119</v>
      </c>
      <c r="K6973" t="s">
        <v>47113</v>
      </c>
      <c r="L6973">
        <v>13.65</v>
      </c>
      <c r="M6973">
        <v>27</v>
      </c>
      <c r="N6973">
        <v>0</v>
      </c>
      <c r="O6973">
        <v>27</v>
      </c>
      <c r="P6973">
        <v>0</v>
      </c>
    </row>
    <row r="6974" spans="1:16" x14ac:dyDescent="0.25">
      <c r="A6974" t="s">
        <v>29463</v>
      </c>
      <c r="B6974" t="s">
        <v>5833</v>
      </c>
      <c r="C6974" t="s">
        <v>5834</v>
      </c>
      <c r="D6974" t="str">
        <f>"6006"</f>
        <v>6006</v>
      </c>
      <c r="E6974" t="s">
        <v>5837</v>
      </c>
      <c r="F6974" t="s">
        <v>3546</v>
      </c>
      <c r="G6974" t="s">
        <v>16232</v>
      </c>
      <c r="H6974" t="s">
        <v>47054</v>
      </c>
      <c r="I6974" t="s">
        <v>47118</v>
      </c>
      <c r="J6974" t="s">
        <v>47119</v>
      </c>
      <c r="K6974" t="s">
        <v>47113</v>
      </c>
      <c r="L6974">
        <v>13.65</v>
      </c>
      <c r="M6974">
        <v>27</v>
      </c>
      <c r="N6974">
        <v>0</v>
      </c>
      <c r="O6974">
        <v>27</v>
      </c>
      <c r="P6974">
        <v>0</v>
      </c>
    </row>
    <row r="6975" spans="1:16" x14ac:dyDescent="0.25">
      <c r="A6975" t="s">
        <v>29464</v>
      </c>
      <c r="B6975" t="s">
        <v>15243</v>
      </c>
      <c r="C6975" t="s">
        <v>15244</v>
      </c>
      <c r="D6975" t="str">
        <f>"1024"</f>
        <v>1024</v>
      </c>
      <c r="E6975" t="s">
        <v>717</v>
      </c>
      <c r="F6975" t="s">
        <v>3546</v>
      </c>
      <c r="G6975" t="s">
        <v>16232</v>
      </c>
      <c r="H6975" t="s">
        <v>47054</v>
      </c>
      <c r="I6975" t="s">
        <v>47118</v>
      </c>
      <c r="J6975" t="s">
        <v>47119</v>
      </c>
      <c r="K6975" t="s">
        <v>47113</v>
      </c>
      <c r="L6975">
        <v>16.93</v>
      </c>
      <c r="M6975">
        <v>36</v>
      </c>
      <c r="N6975">
        <v>0</v>
      </c>
      <c r="O6975">
        <v>36</v>
      </c>
      <c r="P6975">
        <v>0</v>
      </c>
    </row>
    <row r="6976" spans="1:16" x14ac:dyDescent="0.25">
      <c r="A6976" t="s">
        <v>29465</v>
      </c>
      <c r="B6976" t="s">
        <v>5838</v>
      </c>
      <c r="C6976" t="s">
        <v>5496</v>
      </c>
      <c r="D6976" t="str">
        <f>"6380"</f>
        <v>6380</v>
      </c>
      <c r="E6976" t="s">
        <v>5839</v>
      </c>
      <c r="F6976" t="s">
        <v>1</v>
      </c>
      <c r="G6976" t="s">
        <v>16230</v>
      </c>
      <c r="H6976" t="s">
        <v>47054</v>
      </c>
      <c r="I6976" t="s">
        <v>47118</v>
      </c>
      <c r="J6976" t="s">
        <v>47119</v>
      </c>
      <c r="K6976" t="s">
        <v>47113</v>
      </c>
      <c r="L6976">
        <v>22.39</v>
      </c>
      <c r="M6976">
        <v>55</v>
      </c>
      <c r="N6976">
        <v>0</v>
      </c>
      <c r="O6976">
        <v>55</v>
      </c>
      <c r="P6976">
        <v>0</v>
      </c>
    </row>
    <row r="6977" spans="1:16" x14ac:dyDescent="0.25">
      <c r="A6977" t="s">
        <v>29466</v>
      </c>
      <c r="B6977" t="s">
        <v>5840</v>
      </c>
      <c r="C6977" t="s">
        <v>5826</v>
      </c>
      <c r="D6977" t="str">
        <f>"4856"</f>
        <v>4856</v>
      </c>
      <c r="E6977" t="s">
        <v>5841</v>
      </c>
      <c r="F6977" t="s">
        <v>1</v>
      </c>
      <c r="G6977" t="s">
        <v>16230</v>
      </c>
      <c r="H6977" t="s">
        <v>47054</v>
      </c>
      <c r="I6977" t="s">
        <v>47118</v>
      </c>
      <c r="J6977" t="s">
        <v>47119</v>
      </c>
      <c r="K6977" t="s">
        <v>47113</v>
      </c>
      <c r="L6977">
        <v>20.170000000000002</v>
      </c>
      <c r="M6977">
        <v>50</v>
      </c>
      <c r="N6977">
        <v>0</v>
      </c>
      <c r="O6977">
        <v>50</v>
      </c>
      <c r="P6977">
        <v>0</v>
      </c>
    </row>
    <row r="6978" spans="1:16" x14ac:dyDescent="0.25">
      <c r="A6978" t="s">
        <v>29467</v>
      </c>
      <c r="B6978" t="s">
        <v>5842</v>
      </c>
      <c r="C6978" t="s">
        <v>5843</v>
      </c>
      <c r="D6978" t="str">
        <f>"4749"</f>
        <v>4749</v>
      </c>
      <c r="E6978" t="s">
        <v>5844</v>
      </c>
      <c r="F6978" t="s">
        <v>1</v>
      </c>
      <c r="G6978" t="s">
        <v>16230</v>
      </c>
      <c r="H6978" t="s">
        <v>47054</v>
      </c>
      <c r="I6978" t="s">
        <v>47118</v>
      </c>
      <c r="J6978" t="s">
        <v>47119</v>
      </c>
      <c r="K6978" t="s">
        <v>47113</v>
      </c>
      <c r="L6978">
        <v>19.05</v>
      </c>
      <c r="M6978">
        <v>47</v>
      </c>
      <c r="N6978">
        <v>0</v>
      </c>
      <c r="O6978">
        <v>47</v>
      </c>
      <c r="P6978">
        <v>0</v>
      </c>
    </row>
    <row r="6979" spans="1:16" x14ac:dyDescent="0.25">
      <c r="A6979" t="s">
        <v>29468</v>
      </c>
      <c r="B6979" t="s">
        <v>5845</v>
      </c>
      <c r="C6979" t="s">
        <v>5846</v>
      </c>
      <c r="D6979" t="str">
        <f>"1484"</f>
        <v>1484</v>
      </c>
      <c r="E6979" t="s">
        <v>5847</v>
      </c>
      <c r="F6979" t="s">
        <v>3546</v>
      </c>
      <c r="G6979" t="s">
        <v>16235</v>
      </c>
      <c r="H6979" t="s">
        <v>47054</v>
      </c>
      <c r="I6979" t="s">
        <v>47118</v>
      </c>
      <c r="J6979" t="s">
        <v>47119</v>
      </c>
      <c r="K6979" t="s">
        <v>47113</v>
      </c>
      <c r="L6979">
        <v>21.33</v>
      </c>
      <c r="M6979">
        <v>45</v>
      </c>
      <c r="N6979">
        <v>0</v>
      </c>
      <c r="O6979">
        <v>45</v>
      </c>
      <c r="P6979">
        <v>0</v>
      </c>
    </row>
    <row r="6980" spans="1:16" x14ac:dyDescent="0.25">
      <c r="A6980" t="s">
        <v>29469</v>
      </c>
      <c r="B6980" t="s">
        <v>5848</v>
      </c>
      <c r="C6980" t="s">
        <v>5849</v>
      </c>
      <c r="D6980" t="str">
        <f>"1484"</f>
        <v>1484</v>
      </c>
      <c r="E6980" t="s">
        <v>5847</v>
      </c>
      <c r="F6980" t="s">
        <v>3546</v>
      </c>
      <c r="G6980" t="s">
        <v>16222</v>
      </c>
      <c r="H6980" t="s">
        <v>47054</v>
      </c>
      <c r="I6980" t="s">
        <v>47118</v>
      </c>
      <c r="J6980" t="s">
        <v>47119</v>
      </c>
      <c r="K6980" t="s">
        <v>47113</v>
      </c>
      <c r="L6980">
        <v>20.83</v>
      </c>
      <c r="M6980">
        <v>45</v>
      </c>
      <c r="N6980">
        <v>0</v>
      </c>
      <c r="O6980">
        <v>45</v>
      </c>
      <c r="P6980">
        <v>0</v>
      </c>
    </row>
    <row r="6981" spans="1:16" x14ac:dyDescent="0.25">
      <c r="A6981" t="s">
        <v>29470</v>
      </c>
      <c r="B6981" t="s">
        <v>5850</v>
      </c>
      <c r="C6981" t="s">
        <v>5851</v>
      </c>
      <c r="D6981" t="str">
        <f>"4892"</f>
        <v>4892</v>
      </c>
      <c r="E6981" t="s">
        <v>5852</v>
      </c>
      <c r="F6981" t="s">
        <v>3546</v>
      </c>
      <c r="G6981" t="s">
        <v>16235</v>
      </c>
      <c r="H6981" t="s">
        <v>47054</v>
      </c>
      <c r="I6981" t="s">
        <v>47118</v>
      </c>
      <c r="J6981" t="s">
        <v>47119</v>
      </c>
      <c r="K6981" t="s">
        <v>47113</v>
      </c>
      <c r="L6981">
        <v>24.04</v>
      </c>
      <c r="M6981">
        <v>52</v>
      </c>
      <c r="N6981">
        <v>0</v>
      </c>
      <c r="O6981">
        <v>52</v>
      </c>
      <c r="P6981">
        <v>0</v>
      </c>
    </row>
    <row r="6982" spans="1:16" x14ac:dyDescent="0.25">
      <c r="A6982" t="s">
        <v>29471</v>
      </c>
      <c r="B6982" t="s">
        <v>5850</v>
      </c>
      <c r="C6982" t="s">
        <v>5851</v>
      </c>
      <c r="D6982" t="str">
        <f>"6002"</f>
        <v>6002</v>
      </c>
      <c r="E6982" t="s">
        <v>5853</v>
      </c>
      <c r="F6982" t="s">
        <v>3546</v>
      </c>
      <c r="G6982" t="s">
        <v>16235</v>
      </c>
      <c r="H6982" t="s">
        <v>47054</v>
      </c>
      <c r="I6982" t="s">
        <v>47118</v>
      </c>
      <c r="J6982" t="s">
        <v>47119</v>
      </c>
      <c r="K6982" t="s">
        <v>47113</v>
      </c>
      <c r="L6982">
        <v>24.04</v>
      </c>
      <c r="M6982">
        <v>52</v>
      </c>
      <c r="N6982">
        <v>0</v>
      </c>
      <c r="O6982">
        <v>52</v>
      </c>
      <c r="P6982">
        <v>0</v>
      </c>
    </row>
    <row r="6983" spans="1:16" x14ac:dyDescent="0.25">
      <c r="A6983" t="s">
        <v>29472</v>
      </c>
      <c r="B6983" t="s">
        <v>5854</v>
      </c>
      <c r="C6983" t="s">
        <v>5855</v>
      </c>
      <c r="D6983" t="str">
        <f>"4748"</f>
        <v>4748</v>
      </c>
      <c r="E6983" t="s">
        <v>5856</v>
      </c>
      <c r="F6983" t="s">
        <v>1</v>
      </c>
      <c r="G6983" t="s">
        <v>16230</v>
      </c>
      <c r="H6983" t="s">
        <v>47054</v>
      </c>
      <c r="I6983" t="s">
        <v>47118</v>
      </c>
      <c r="J6983" t="s">
        <v>47119</v>
      </c>
      <c r="K6983" t="s">
        <v>47113</v>
      </c>
      <c r="L6983">
        <v>29.85</v>
      </c>
      <c r="M6983">
        <v>73</v>
      </c>
      <c r="N6983">
        <v>0</v>
      </c>
      <c r="O6983">
        <v>73</v>
      </c>
      <c r="P6983">
        <v>0</v>
      </c>
    </row>
    <row r="6984" spans="1:16" x14ac:dyDescent="0.25">
      <c r="A6984" t="s">
        <v>29473</v>
      </c>
      <c r="B6984" t="s">
        <v>5854</v>
      </c>
      <c r="C6984" t="s">
        <v>5855</v>
      </c>
      <c r="D6984" t="str">
        <f>"6440"</f>
        <v>6440</v>
      </c>
      <c r="E6984" t="s">
        <v>5857</v>
      </c>
      <c r="F6984" t="s">
        <v>1</v>
      </c>
      <c r="G6984" t="s">
        <v>16230</v>
      </c>
      <c r="H6984" t="s">
        <v>47054</v>
      </c>
      <c r="I6984" t="s">
        <v>47118</v>
      </c>
      <c r="J6984" t="s">
        <v>47119</v>
      </c>
      <c r="K6984" t="s">
        <v>47113</v>
      </c>
      <c r="L6984">
        <v>29.85</v>
      </c>
      <c r="M6984">
        <v>73</v>
      </c>
      <c r="N6984">
        <v>0</v>
      </c>
      <c r="O6984">
        <v>73</v>
      </c>
      <c r="P6984">
        <v>0</v>
      </c>
    </row>
    <row r="6985" spans="1:16" x14ac:dyDescent="0.25">
      <c r="A6985" t="s">
        <v>29474</v>
      </c>
      <c r="B6985" t="s">
        <v>5854</v>
      </c>
      <c r="C6985" t="s">
        <v>5855</v>
      </c>
      <c r="D6985" t="str">
        <f>"8406"</f>
        <v>8406</v>
      </c>
      <c r="E6985" t="s">
        <v>5858</v>
      </c>
      <c r="F6985" t="s">
        <v>1</v>
      </c>
      <c r="G6985" t="s">
        <v>16230</v>
      </c>
      <c r="H6985" t="s">
        <v>47054</v>
      </c>
      <c r="I6985" t="s">
        <v>47118</v>
      </c>
      <c r="J6985" t="s">
        <v>47119</v>
      </c>
      <c r="K6985" t="s">
        <v>47113</v>
      </c>
      <c r="L6985">
        <v>29.85</v>
      </c>
      <c r="M6985">
        <v>73</v>
      </c>
      <c r="N6985">
        <v>0</v>
      </c>
      <c r="O6985">
        <v>73</v>
      </c>
      <c r="P6985">
        <v>0</v>
      </c>
    </row>
    <row r="6986" spans="1:16" x14ac:dyDescent="0.25">
      <c r="A6986" t="s">
        <v>29475</v>
      </c>
      <c r="B6986" t="s">
        <v>29476</v>
      </c>
      <c r="C6986" t="s">
        <v>19811</v>
      </c>
      <c r="D6986" t="str">
        <f>"1501"</f>
        <v>1501</v>
      </c>
      <c r="E6986" t="s">
        <v>46</v>
      </c>
      <c r="F6986" t="s">
        <v>3750</v>
      </c>
      <c r="G6986" t="s">
        <v>16221</v>
      </c>
      <c r="H6986" t="s">
        <v>47054</v>
      </c>
      <c r="I6986" t="s">
        <v>47154</v>
      </c>
      <c r="J6986" t="s">
        <v>47155</v>
      </c>
      <c r="K6986" t="s">
        <v>47113</v>
      </c>
      <c r="L6986">
        <v>7.23</v>
      </c>
      <c r="M6986">
        <v>29</v>
      </c>
      <c r="N6986">
        <v>79</v>
      </c>
      <c r="O6986">
        <v>29</v>
      </c>
      <c r="P6986">
        <v>79</v>
      </c>
    </row>
    <row r="6987" spans="1:16" x14ac:dyDescent="0.25">
      <c r="A6987" t="s">
        <v>29477</v>
      </c>
      <c r="B6987" t="s">
        <v>19863</v>
      </c>
      <c r="C6987" t="s">
        <v>19822</v>
      </c>
      <c r="D6987" t="str">
        <f>"1501"</f>
        <v>1501</v>
      </c>
      <c r="E6987" t="s">
        <v>46</v>
      </c>
      <c r="F6987" t="s">
        <v>3750</v>
      </c>
      <c r="G6987" t="s">
        <v>16221</v>
      </c>
      <c r="H6987" t="s">
        <v>47054</v>
      </c>
      <c r="I6987" t="s">
        <v>47154</v>
      </c>
      <c r="J6987" t="s">
        <v>47155</v>
      </c>
      <c r="K6987" t="s">
        <v>47113</v>
      </c>
      <c r="L6987">
        <v>7.31</v>
      </c>
      <c r="M6987">
        <v>28</v>
      </c>
      <c r="N6987">
        <v>0</v>
      </c>
      <c r="O6987">
        <v>28</v>
      </c>
      <c r="P6987">
        <v>0</v>
      </c>
    </row>
    <row r="6988" spans="1:16" x14ac:dyDescent="0.25">
      <c r="A6988" t="s">
        <v>29478</v>
      </c>
      <c r="B6988" t="s">
        <v>19864</v>
      </c>
      <c r="C6988" t="s">
        <v>19836</v>
      </c>
      <c r="D6988" t="str">
        <f>"1501"</f>
        <v>1501</v>
      </c>
      <c r="E6988" t="s">
        <v>46</v>
      </c>
      <c r="F6988" t="s">
        <v>3750</v>
      </c>
      <c r="G6988" t="s">
        <v>16221</v>
      </c>
      <c r="H6988" t="s">
        <v>47054</v>
      </c>
      <c r="I6988" t="s">
        <v>47154</v>
      </c>
      <c r="J6988" t="s">
        <v>47155</v>
      </c>
      <c r="K6988" t="s">
        <v>47113</v>
      </c>
      <c r="L6988">
        <v>7.01</v>
      </c>
      <c r="M6988">
        <v>28</v>
      </c>
      <c r="N6988">
        <v>0</v>
      </c>
      <c r="O6988">
        <v>28</v>
      </c>
      <c r="P6988">
        <v>0</v>
      </c>
    </row>
    <row r="6989" spans="1:16" x14ac:dyDescent="0.25">
      <c r="A6989" t="s">
        <v>29479</v>
      </c>
      <c r="B6989" t="s">
        <v>19865</v>
      </c>
      <c r="C6989" t="s">
        <v>19838</v>
      </c>
      <c r="D6989" t="str">
        <f>"1501"</f>
        <v>1501</v>
      </c>
      <c r="E6989" t="s">
        <v>46</v>
      </c>
      <c r="F6989" t="s">
        <v>3750</v>
      </c>
      <c r="G6989" t="s">
        <v>16221</v>
      </c>
      <c r="H6989" t="s">
        <v>47054</v>
      </c>
      <c r="I6989" t="s">
        <v>47154</v>
      </c>
      <c r="J6989" t="s">
        <v>47155</v>
      </c>
      <c r="K6989" t="s">
        <v>47113</v>
      </c>
      <c r="L6989">
        <v>7.01</v>
      </c>
      <c r="M6989">
        <v>28</v>
      </c>
      <c r="N6989">
        <v>0</v>
      </c>
      <c r="O6989">
        <v>28</v>
      </c>
      <c r="P6989">
        <v>0</v>
      </c>
    </row>
    <row r="6990" spans="1:16" x14ac:dyDescent="0.25">
      <c r="A6990" t="s">
        <v>29480</v>
      </c>
      <c r="B6990" t="s">
        <v>29481</v>
      </c>
      <c r="C6990" t="s">
        <v>29231</v>
      </c>
      <c r="D6990" t="str">
        <f>"1501"</f>
        <v>1501</v>
      </c>
      <c r="E6990" t="s">
        <v>46</v>
      </c>
      <c r="F6990" t="s">
        <v>3750</v>
      </c>
      <c r="G6990" t="s">
        <v>16221</v>
      </c>
      <c r="H6990" t="s">
        <v>47054</v>
      </c>
      <c r="I6990" t="s">
        <v>47154</v>
      </c>
      <c r="J6990" t="s">
        <v>47155</v>
      </c>
      <c r="K6990" t="s">
        <v>47113</v>
      </c>
      <c r="L6990">
        <v>8.64</v>
      </c>
      <c r="M6990">
        <v>34</v>
      </c>
      <c r="N6990">
        <v>0</v>
      </c>
      <c r="O6990">
        <v>34</v>
      </c>
      <c r="P6990">
        <v>0</v>
      </c>
    </row>
    <row r="6991" spans="1:16" x14ac:dyDescent="0.25">
      <c r="A6991" t="s">
        <v>29482</v>
      </c>
      <c r="B6991" t="s">
        <v>29483</v>
      </c>
      <c r="C6991" t="s">
        <v>22699</v>
      </c>
      <c r="D6991" t="str">
        <f>"1213"</f>
        <v>1213</v>
      </c>
      <c r="E6991" t="s">
        <v>29484</v>
      </c>
      <c r="F6991" t="s">
        <v>3750</v>
      </c>
      <c r="G6991" t="s">
        <v>16221</v>
      </c>
      <c r="H6991" t="s">
        <v>47054</v>
      </c>
      <c r="I6991" t="s">
        <v>47154</v>
      </c>
      <c r="J6991" t="s">
        <v>47155</v>
      </c>
      <c r="K6991" t="s">
        <v>47113</v>
      </c>
      <c r="L6991">
        <v>8.3000000000000007</v>
      </c>
      <c r="M6991">
        <v>34</v>
      </c>
      <c r="N6991">
        <v>0</v>
      </c>
      <c r="O6991">
        <v>34</v>
      </c>
      <c r="P6991">
        <v>0</v>
      </c>
    </row>
    <row r="6992" spans="1:16" x14ac:dyDescent="0.25">
      <c r="A6992" t="s">
        <v>22710</v>
      </c>
      <c r="B6992" t="s">
        <v>22711</v>
      </c>
      <c r="C6992" t="s">
        <v>22712</v>
      </c>
      <c r="D6992" t="str">
        <f>"1518"</f>
        <v>1518</v>
      </c>
      <c r="E6992" t="s">
        <v>14461</v>
      </c>
      <c r="F6992" t="s">
        <v>3750</v>
      </c>
      <c r="G6992" t="s">
        <v>16221</v>
      </c>
      <c r="H6992" t="s">
        <v>47054</v>
      </c>
      <c r="I6992" t="s">
        <v>47154</v>
      </c>
      <c r="J6992" t="s">
        <v>47155</v>
      </c>
      <c r="K6992" t="s">
        <v>47113</v>
      </c>
      <c r="L6992">
        <v>7.81</v>
      </c>
      <c r="M6992">
        <v>34</v>
      </c>
      <c r="N6992">
        <v>0</v>
      </c>
      <c r="O6992">
        <v>34</v>
      </c>
      <c r="P6992">
        <v>0</v>
      </c>
    </row>
    <row r="6993" spans="1:16" x14ac:dyDescent="0.25">
      <c r="A6993" t="s">
        <v>22713</v>
      </c>
      <c r="B6993" t="s">
        <v>22714</v>
      </c>
      <c r="C6993" t="s">
        <v>22715</v>
      </c>
      <c r="D6993" t="str">
        <f>"3000"</f>
        <v>3000</v>
      </c>
      <c r="E6993" t="s">
        <v>22716</v>
      </c>
      <c r="F6993" t="s">
        <v>3750</v>
      </c>
      <c r="G6993" t="s">
        <v>16221</v>
      </c>
      <c r="H6993" t="s">
        <v>47054</v>
      </c>
      <c r="I6993" t="s">
        <v>47154</v>
      </c>
      <c r="J6993" t="s">
        <v>47155</v>
      </c>
      <c r="K6993" t="s">
        <v>47113</v>
      </c>
      <c r="L6993">
        <v>7.71</v>
      </c>
      <c r="M6993">
        <v>34</v>
      </c>
      <c r="N6993">
        <v>0</v>
      </c>
      <c r="O6993">
        <v>34</v>
      </c>
      <c r="P6993">
        <v>0</v>
      </c>
    </row>
    <row r="6994" spans="1:16" x14ac:dyDescent="0.25">
      <c r="A6994" t="s">
        <v>22717</v>
      </c>
      <c r="B6994" t="s">
        <v>22718</v>
      </c>
      <c r="C6994" t="s">
        <v>22705</v>
      </c>
      <c r="D6994" t="str">
        <f>"1518"</f>
        <v>1518</v>
      </c>
      <c r="E6994" t="s">
        <v>22719</v>
      </c>
      <c r="F6994" t="s">
        <v>3750</v>
      </c>
      <c r="G6994" t="s">
        <v>16221</v>
      </c>
      <c r="H6994" t="s">
        <v>47054</v>
      </c>
      <c r="I6994" t="s">
        <v>47154</v>
      </c>
      <c r="J6994" t="s">
        <v>47155</v>
      </c>
      <c r="K6994" t="s">
        <v>47113</v>
      </c>
      <c r="L6994">
        <v>8.5</v>
      </c>
      <c r="M6994">
        <v>29</v>
      </c>
      <c r="N6994">
        <v>79</v>
      </c>
      <c r="O6994">
        <v>29</v>
      </c>
      <c r="P6994">
        <v>79</v>
      </c>
    </row>
    <row r="6995" spans="1:16" x14ac:dyDescent="0.25">
      <c r="A6995" t="s">
        <v>29485</v>
      </c>
      <c r="B6995" t="s">
        <v>19866</v>
      </c>
      <c r="C6995" t="s">
        <v>19867</v>
      </c>
      <c r="D6995" t="str">
        <f>"1501"</f>
        <v>1501</v>
      </c>
      <c r="E6995" t="s">
        <v>46</v>
      </c>
      <c r="F6995" t="s">
        <v>3750</v>
      </c>
      <c r="G6995" t="s">
        <v>47534</v>
      </c>
      <c r="H6995" t="s">
        <v>47054</v>
      </c>
      <c r="I6995" t="s">
        <v>47154</v>
      </c>
      <c r="J6995" t="s">
        <v>47155</v>
      </c>
      <c r="K6995" t="s">
        <v>47113</v>
      </c>
      <c r="L6995">
        <v>7.71</v>
      </c>
      <c r="M6995">
        <v>28</v>
      </c>
      <c r="N6995">
        <v>0</v>
      </c>
      <c r="O6995">
        <v>28</v>
      </c>
      <c r="P6995">
        <v>0</v>
      </c>
    </row>
    <row r="6996" spans="1:16" x14ac:dyDescent="0.25">
      <c r="A6996" t="s">
        <v>29486</v>
      </c>
      <c r="B6996" t="s">
        <v>19868</v>
      </c>
      <c r="C6996" t="s">
        <v>19846</v>
      </c>
      <c r="D6996" t="str">
        <f>"1501"</f>
        <v>1501</v>
      </c>
      <c r="E6996" t="s">
        <v>46</v>
      </c>
      <c r="F6996" t="s">
        <v>3750</v>
      </c>
      <c r="G6996" t="s">
        <v>47534</v>
      </c>
      <c r="H6996" t="s">
        <v>47054</v>
      </c>
      <c r="I6996" t="s">
        <v>47154</v>
      </c>
      <c r="J6996" t="s">
        <v>47155</v>
      </c>
      <c r="K6996" t="s">
        <v>47113</v>
      </c>
      <c r="L6996">
        <v>6.96</v>
      </c>
      <c r="M6996">
        <v>28</v>
      </c>
      <c r="N6996">
        <v>0</v>
      </c>
      <c r="O6996">
        <v>28</v>
      </c>
      <c r="P6996">
        <v>0</v>
      </c>
    </row>
    <row r="6997" spans="1:16" x14ac:dyDescent="0.25">
      <c r="A6997" t="s">
        <v>29487</v>
      </c>
      <c r="B6997" t="s">
        <v>19869</v>
      </c>
      <c r="C6997" t="s">
        <v>19852</v>
      </c>
      <c r="D6997" t="str">
        <f>"1501"</f>
        <v>1501</v>
      </c>
      <c r="E6997" t="s">
        <v>46</v>
      </c>
      <c r="F6997" t="s">
        <v>3750</v>
      </c>
      <c r="G6997" t="s">
        <v>16221</v>
      </c>
      <c r="H6997" t="s">
        <v>47054</v>
      </c>
      <c r="I6997" t="s">
        <v>47154</v>
      </c>
      <c r="J6997" t="s">
        <v>47155</v>
      </c>
      <c r="K6997" t="s">
        <v>47113</v>
      </c>
      <c r="L6997">
        <v>8.0500000000000007</v>
      </c>
      <c r="M6997">
        <v>34</v>
      </c>
      <c r="N6997">
        <v>0</v>
      </c>
      <c r="O6997">
        <v>34</v>
      </c>
      <c r="P6997">
        <v>0</v>
      </c>
    </row>
    <row r="6998" spans="1:16" x14ac:dyDescent="0.25">
      <c r="A6998" t="s">
        <v>29488</v>
      </c>
      <c r="B6998" t="s">
        <v>29489</v>
      </c>
      <c r="C6998" t="s">
        <v>29274</v>
      </c>
      <c r="D6998" t="str">
        <f>"1427"</f>
        <v>1427</v>
      </c>
      <c r="E6998" t="s">
        <v>29490</v>
      </c>
      <c r="F6998" t="s">
        <v>3750</v>
      </c>
      <c r="G6998" t="s">
        <v>16232</v>
      </c>
      <c r="H6998" t="s">
        <v>47054</v>
      </c>
      <c r="I6998" t="s">
        <v>47154</v>
      </c>
      <c r="J6998" t="s">
        <v>47155</v>
      </c>
      <c r="K6998" t="s">
        <v>47113</v>
      </c>
      <c r="L6998">
        <v>12.52</v>
      </c>
      <c r="M6998">
        <v>40</v>
      </c>
      <c r="N6998">
        <v>0</v>
      </c>
      <c r="O6998">
        <v>40</v>
      </c>
      <c r="P6998">
        <v>0</v>
      </c>
    </row>
    <row r="6999" spans="1:16" x14ac:dyDescent="0.25">
      <c r="A6999" t="s">
        <v>22720</v>
      </c>
      <c r="B6999" t="s">
        <v>22721</v>
      </c>
      <c r="C6999" t="s">
        <v>22709</v>
      </c>
      <c r="D6999" t="str">
        <f>"1501"</f>
        <v>1501</v>
      </c>
      <c r="E6999" t="s">
        <v>46</v>
      </c>
      <c r="F6999" t="s">
        <v>3750</v>
      </c>
      <c r="G6999" t="s">
        <v>16221</v>
      </c>
      <c r="H6999" t="s">
        <v>47054</v>
      </c>
      <c r="I6999" t="s">
        <v>47154</v>
      </c>
      <c r="J6999" t="s">
        <v>47155</v>
      </c>
      <c r="K6999" t="s">
        <v>47113</v>
      </c>
      <c r="L6999">
        <v>10.45</v>
      </c>
      <c r="M6999">
        <v>34</v>
      </c>
      <c r="N6999">
        <v>0</v>
      </c>
      <c r="O6999">
        <v>34</v>
      </c>
      <c r="P6999">
        <v>0</v>
      </c>
    </row>
    <row r="7000" spans="1:16" x14ac:dyDescent="0.25">
      <c r="A7000" t="s">
        <v>29491</v>
      </c>
      <c r="B7000" t="s">
        <v>5859</v>
      </c>
      <c r="C7000" t="s">
        <v>5860</v>
      </c>
      <c r="D7000" t="str">
        <f>"1439"</f>
        <v>1439</v>
      </c>
      <c r="E7000" t="s">
        <v>2604</v>
      </c>
      <c r="F7000" t="s">
        <v>1</v>
      </c>
      <c r="G7000" t="s">
        <v>16221</v>
      </c>
      <c r="H7000" t="s">
        <v>47054</v>
      </c>
      <c r="I7000" t="s">
        <v>47118</v>
      </c>
      <c r="J7000" t="s">
        <v>47119</v>
      </c>
      <c r="K7000" t="s">
        <v>47113</v>
      </c>
      <c r="L7000">
        <v>15.99</v>
      </c>
      <c r="M7000">
        <v>39</v>
      </c>
      <c r="N7000">
        <v>0</v>
      </c>
      <c r="O7000">
        <v>39</v>
      </c>
      <c r="P7000">
        <v>0</v>
      </c>
    </row>
    <row r="7001" spans="1:16" x14ac:dyDescent="0.25">
      <c r="A7001" t="s">
        <v>14943</v>
      </c>
      <c r="B7001" t="s">
        <v>5861</v>
      </c>
      <c r="C7001" t="s">
        <v>5862</v>
      </c>
      <c r="D7001" t="str">
        <f>"7023"</f>
        <v>7023</v>
      </c>
      <c r="E7001" t="s">
        <v>5863</v>
      </c>
      <c r="F7001" t="s">
        <v>2068</v>
      </c>
      <c r="G7001" t="s">
        <v>16221</v>
      </c>
      <c r="H7001" t="s">
        <v>47054</v>
      </c>
      <c r="I7001" t="s">
        <v>47118</v>
      </c>
      <c r="J7001" t="s">
        <v>47119</v>
      </c>
      <c r="K7001" t="s">
        <v>47113</v>
      </c>
      <c r="L7001">
        <v>10.97</v>
      </c>
      <c r="M7001">
        <v>18</v>
      </c>
      <c r="N7001">
        <v>0</v>
      </c>
      <c r="O7001">
        <v>18</v>
      </c>
      <c r="P7001">
        <v>0</v>
      </c>
    </row>
    <row r="7002" spans="1:16" x14ac:dyDescent="0.25">
      <c r="A7002" t="s">
        <v>29492</v>
      </c>
      <c r="B7002" t="s">
        <v>5864</v>
      </c>
      <c r="C7002" t="s">
        <v>5865</v>
      </c>
      <c r="D7002" t="str">
        <f>"3476"</f>
        <v>3476</v>
      </c>
      <c r="E7002" t="s">
        <v>2713</v>
      </c>
      <c r="F7002" t="s">
        <v>3546</v>
      </c>
      <c r="G7002" t="s">
        <v>16221</v>
      </c>
      <c r="H7002" t="s">
        <v>47054</v>
      </c>
      <c r="I7002" t="s">
        <v>47118</v>
      </c>
      <c r="J7002" t="s">
        <v>47119</v>
      </c>
      <c r="K7002" t="s">
        <v>47113</v>
      </c>
      <c r="L7002">
        <v>10.93</v>
      </c>
      <c r="M7002">
        <v>27</v>
      </c>
      <c r="N7002">
        <v>0</v>
      </c>
      <c r="O7002">
        <v>27</v>
      </c>
      <c r="P7002">
        <v>0</v>
      </c>
    </row>
    <row r="7003" spans="1:16" x14ac:dyDescent="0.25">
      <c r="A7003" t="s">
        <v>29493</v>
      </c>
      <c r="B7003" t="s">
        <v>5866</v>
      </c>
      <c r="C7003" t="s">
        <v>5867</v>
      </c>
      <c r="D7003" t="str">
        <f>"1035"</f>
        <v>1035</v>
      </c>
      <c r="E7003" t="s">
        <v>758</v>
      </c>
      <c r="F7003" t="s">
        <v>3546</v>
      </c>
      <c r="G7003" t="s">
        <v>16221</v>
      </c>
      <c r="H7003" t="s">
        <v>47054</v>
      </c>
      <c r="I7003" t="s">
        <v>47116</v>
      </c>
      <c r="J7003" t="s">
        <v>47117</v>
      </c>
      <c r="K7003" t="s">
        <v>47113</v>
      </c>
      <c r="L7003">
        <v>11.16</v>
      </c>
      <c r="M7003">
        <v>25</v>
      </c>
      <c r="N7003">
        <v>0</v>
      </c>
      <c r="O7003">
        <v>25</v>
      </c>
      <c r="P7003">
        <v>0</v>
      </c>
    </row>
    <row r="7004" spans="1:16" x14ac:dyDescent="0.25">
      <c r="A7004" t="s">
        <v>29494</v>
      </c>
      <c r="B7004" t="s">
        <v>5866</v>
      </c>
      <c r="C7004" t="s">
        <v>5867</v>
      </c>
      <c r="D7004" t="str">
        <f>"1746"</f>
        <v>1746</v>
      </c>
      <c r="E7004" t="s">
        <v>807</v>
      </c>
      <c r="F7004" t="s">
        <v>3546</v>
      </c>
      <c r="G7004" t="s">
        <v>16221</v>
      </c>
      <c r="H7004" t="s">
        <v>47054</v>
      </c>
      <c r="I7004" t="s">
        <v>47116</v>
      </c>
      <c r="J7004" t="s">
        <v>47117</v>
      </c>
      <c r="K7004" t="s">
        <v>47113</v>
      </c>
      <c r="L7004">
        <v>11.16</v>
      </c>
      <c r="M7004">
        <v>25</v>
      </c>
      <c r="N7004">
        <v>0</v>
      </c>
      <c r="O7004">
        <v>25</v>
      </c>
      <c r="P7004">
        <v>0</v>
      </c>
    </row>
    <row r="7005" spans="1:16" x14ac:dyDescent="0.25">
      <c r="A7005" t="s">
        <v>29495</v>
      </c>
      <c r="B7005" t="s">
        <v>5868</v>
      </c>
      <c r="C7005" t="s">
        <v>5869</v>
      </c>
      <c r="D7005" t="str">
        <f>"1035"</f>
        <v>1035</v>
      </c>
      <c r="E7005" t="s">
        <v>758</v>
      </c>
      <c r="F7005" t="s">
        <v>3546</v>
      </c>
      <c r="G7005" t="s">
        <v>16221</v>
      </c>
      <c r="H7005" t="s">
        <v>47054</v>
      </c>
      <c r="I7005" t="s">
        <v>47118</v>
      </c>
      <c r="J7005" t="s">
        <v>47119</v>
      </c>
      <c r="K7005" t="s">
        <v>47113</v>
      </c>
      <c r="L7005">
        <v>10.93</v>
      </c>
      <c r="M7005">
        <v>27</v>
      </c>
      <c r="N7005">
        <v>0</v>
      </c>
      <c r="O7005">
        <v>27</v>
      </c>
      <c r="P7005">
        <v>0</v>
      </c>
    </row>
    <row r="7006" spans="1:16" x14ac:dyDescent="0.25">
      <c r="A7006" t="s">
        <v>29496</v>
      </c>
      <c r="B7006" t="s">
        <v>5870</v>
      </c>
      <c r="C7006" t="s">
        <v>5871</v>
      </c>
      <c r="D7006" t="str">
        <f>"1484"</f>
        <v>1484</v>
      </c>
      <c r="E7006" t="s">
        <v>5847</v>
      </c>
      <c r="F7006" t="s">
        <v>3546</v>
      </c>
      <c r="G7006" t="s">
        <v>16221</v>
      </c>
      <c r="H7006" t="s">
        <v>47054</v>
      </c>
      <c r="I7006" t="s">
        <v>47118</v>
      </c>
      <c r="J7006" t="s">
        <v>47119</v>
      </c>
      <c r="K7006" t="s">
        <v>47113</v>
      </c>
      <c r="L7006">
        <v>12.18</v>
      </c>
      <c r="M7006">
        <v>25</v>
      </c>
      <c r="N7006">
        <v>0</v>
      </c>
      <c r="O7006">
        <v>25</v>
      </c>
      <c r="P7006">
        <v>0</v>
      </c>
    </row>
    <row r="7007" spans="1:16" x14ac:dyDescent="0.25">
      <c r="A7007" t="s">
        <v>29497</v>
      </c>
      <c r="B7007" t="s">
        <v>5870</v>
      </c>
      <c r="C7007" t="s">
        <v>5871</v>
      </c>
      <c r="D7007" t="str">
        <f>"3084"</f>
        <v>3084</v>
      </c>
      <c r="E7007" t="s">
        <v>5872</v>
      </c>
      <c r="F7007" t="s">
        <v>3546</v>
      </c>
      <c r="G7007" t="s">
        <v>16221</v>
      </c>
      <c r="H7007" t="s">
        <v>47054</v>
      </c>
      <c r="I7007" t="s">
        <v>47118</v>
      </c>
      <c r="J7007" t="s">
        <v>47119</v>
      </c>
      <c r="K7007" t="s">
        <v>47113</v>
      </c>
      <c r="L7007">
        <v>12.18</v>
      </c>
      <c r="M7007">
        <v>25</v>
      </c>
      <c r="N7007">
        <v>0</v>
      </c>
      <c r="O7007">
        <v>25</v>
      </c>
      <c r="P7007">
        <v>0</v>
      </c>
    </row>
    <row r="7008" spans="1:16" x14ac:dyDescent="0.25">
      <c r="A7008" t="s">
        <v>29498</v>
      </c>
      <c r="B7008" t="s">
        <v>5873</v>
      </c>
      <c r="C7008" t="s">
        <v>5874</v>
      </c>
      <c r="D7008" t="str">
        <f>"4912"</f>
        <v>4912</v>
      </c>
      <c r="E7008" t="s">
        <v>5875</v>
      </c>
      <c r="F7008" t="s">
        <v>3546</v>
      </c>
      <c r="G7008" t="s">
        <v>16221</v>
      </c>
      <c r="H7008" t="s">
        <v>47054</v>
      </c>
      <c r="I7008" t="s">
        <v>47118</v>
      </c>
      <c r="J7008" t="s">
        <v>47119</v>
      </c>
      <c r="K7008" t="s">
        <v>47113</v>
      </c>
      <c r="L7008">
        <v>11.1</v>
      </c>
      <c r="M7008">
        <v>27</v>
      </c>
      <c r="N7008">
        <v>0</v>
      </c>
      <c r="O7008">
        <v>27</v>
      </c>
      <c r="P7008">
        <v>0</v>
      </c>
    </row>
    <row r="7009" spans="1:16" x14ac:dyDescent="0.25">
      <c r="A7009" t="s">
        <v>29499</v>
      </c>
      <c r="B7009" t="s">
        <v>5876</v>
      </c>
      <c r="C7009" t="s">
        <v>5877</v>
      </c>
      <c r="D7009" t="str">
        <f>"1035"</f>
        <v>1035</v>
      </c>
      <c r="E7009" t="s">
        <v>758</v>
      </c>
      <c r="F7009" t="s">
        <v>3670</v>
      </c>
      <c r="G7009" t="s">
        <v>16221</v>
      </c>
      <c r="H7009" t="s">
        <v>47054</v>
      </c>
      <c r="I7009" t="s">
        <v>47120</v>
      </c>
      <c r="J7009" t="s">
        <v>47121</v>
      </c>
      <c r="K7009" t="s">
        <v>47113</v>
      </c>
      <c r="L7009">
        <v>15.35</v>
      </c>
      <c r="M7009">
        <v>22</v>
      </c>
      <c r="N7009">
        <v>0</v>
      </c>
      <c r="O7009">
        <v>22</v>
      </c>
      <c r="P7009">
        <v>0</v>
      </c>
    </row>
    <row r="7010" spans="1:16" x14ac:dyDescent="0.25">
      <c r="A7010" t="s">
        <v>29500</v>
      </c>
      <c r="B7010" t="s">
        <v>5876</v>
      </c>
      <c r="C7010" t="s">
        <v>5877</v>
      </c>
      <c r="D7010" t="str">
        <f>"1486"</f>
        <v>1486</v>
      </c>
      <c r="E7010" t="s">
        <v>5878</v>
      </c>
      <c r="F7010" t="s">
        <v>3670</v>
      </c>
      <c r="G7010" t="s">
        <v>16221</v>
      </c>
      <c r="H7010" t="s">
        <v>47054</v>
      </c>
      <c r="I7010" t="s">
        <v>47120</v>
      </c>
      <c r="J7010" t="s">
        <v>47121</v>
      </c>
      <c r="K7010" t="s">
        <v>47113</v>
      </c>
      <c r="L7010">
        <v>13.06</v>
      </c>
      <c r="M7010">
        <v>22</v>
      </c>
      <c r="N7010">
        <v>0</v>
      </c>
      <c r="O7010">
        <v>22</v>
      </c>
      <c r="P7010">
        <v>0</v>
      </c>
    </row>
    <row r="7011" spans="1:16" x14ac:dyDescent="0.25">
      <c r="A7011" t="s">
        <v>14944</v>
      </c>
      <c r="B7011" t="s">
        <v>5879</v>
      </c>
      <c r="C7011" t="s">
        <v>5880</v>
      </c>
      <c r="D7011" t="str">
        <f>"4857"</f>
        <v>4857</v>
      </c>
      <c r="E7011" t="s">
        <v>4775</v>
      </c>
      <c r="F7011" t="s">
        <v>1</v>
      </c>
      <c r="G7011" t="s">
        <v>16232</v>
      </c>
      <c r="H7011" t="s">
        <v>47054</v>
      </c>
      <c r="I7011" t="s">
        <v>47118</v>
      </c>
      <c r="J7011" t="s">
        <v>47119</v>
      </c>
      <c r="K7011" t="s">
        <v>47113</v>
      </c>
      <c r="L7011">
        <v>15.39</v>
      </c>
      <c r="M7011">
        <v>38</v>
      </c>
      <c r="N7011">
        <v>0</v>
      </c>
      <c r="O7011">
        <v>38</v>
      </c>
      <c r="P7011">
        <v>0</v>
      </c>
    </row>
    <row r="7012" spans="1:16" x14ac:dyDescent="0.25">
      <c r="A7012" t="s">
        <v>29501</v>
      </c>
      <c r="B7012" t="s">
        <v>5881</v>
      </c>
      <c r="C7012" t="s">
        <v>5882</v>
      </c>
      <c r="D7012" t="str">
        <f>"4169"</f>
        <v>4169</v>
      </c>
      <c r="E7012" t="s">
        <v>5883</v>
      </c>
      <c r="F7012" t="s">
        <v>1</v>
      </c>
      <c r="G7012" t="s">
        <v>16221</v>
      </c>
      <c r="H7012" t="s">
        <v>47054</v>
      </c>
      <c r="I7012" t="s">
        <v>47118</v>
      </c>
      <c r="J7012" t="s">
        <v>47119</v>
      </c>
      <c r="K7012" t="s">
        <v>47113</v>
      </c>
      <c r="L7012">
        <v>15.35</v>
      </c>
      <c r="M7012">
        <v>38</v>
      </c>
      <c r="N7012">
        <v>0</v>
      </c>
      <c r="O7012">
        <v>38</v>
      </c>
      <c r="P7012">
        <v>0</v>
      </c>
    </row>
    <row r="7013" spans="1:16" x14ac:dyDescent="0.25">
      <c r="A7013" t="s">
        <v>29502</v>
      </c>
      <c r="B7013" t="s">
        <v>5884</v>
      </c>
      <c r="C7013" t="s">
        <v>5885</v>
      </c>
      <c r="D7013" t="str">
        <f>"4757"</f>
        <v>4757</v>
      </c>
      <c r="E7013" t="s">
        <v>5886</v>
      </c>
      <c r="F7013" t="s">
        <v>1</v>
      </c>
      <c r="G7013" t="s">
        <v>16221</v>
      </c>
      <c r="H7013" t="s">
        <v>47054</v>
      </c>
      <c r="I7013" t="s">
        <v>47120</v>
      </c>
      <c r="J7013" t="s">
        <v>47121</v>
      </c>
      <c r="K7013" t="s">
        <v>47113</v>
      </c>
      <c r="L7013">
        <v>20.399999999999999</v>
      </c>
      <c r="M7013">
        <v>50</v>
      </c>
      <c r="N7013">
        <v>0</v>
      </c>
      <c r="O7013">
        <v>50</v>
      </c>
      <c r="P7013">
        <v>0</v>
      </c>
    </row>
    <row r="7014" spans="1:16" x14ac:dyDescent="0.25">
      <c r="A7014" t="s">
        <v>29503</v>
      </c>
      <c r="B7014" t="s">
        <v>5887</v>
      </c>
      <c r="C7014" t="s">
        <v>5888</v>
      </c>
      <c r="D7014" t="str">
        <f>"2722"</f>
        <v>2722</v>
      </c>
      <c r="E7014" t="s">
        <v>5827</v>
      </c>
      <c r="F7014" t="s">
        <v>1</v>
      </c>
      <c r="G7014" t="s">
        <v>16221</v>
      </c>
      <c r="H7014" t="s">
        <v>47054</v>
      </c>
      <c r="I7014" t="s">
        <v>47178</v>
      </c>
      <c r="J7014" t="s">
        <v>47179</v>
      </c>
      <c r="K7014" t="s">
        <v>47113</v>
      </c>
      <c r="L7014">
        <v>15.63</v>
      </c>
      <c r="M7014">
        <v>38</v>
      </c>
      <c r="N7014">
        <v>0</v>
      </c>
      <c r="O7014">
        <v>38</v>
      </c>
      <c r="P7014">
        <v>0</v>
      </c>
    </row>
    <row r="7015" spans="1:16" x14ac:dyDescent="0.25">
      <c r="A7015" t="s">
        <v>29504</v>
      </c>
      <c r="B7015" t="s">
        <v>5889</v>
      </c>
      <c r="C7015" t="s">
        <v>5890</v>
      </c>
      <c r="D7015" t="str">
        <f>"3537"</f>
        <v>3537</v>
      </c>
      <c r="E7015" t="s">
        <v>5891</v>
      </c>
      <c r="F7015" t="s">
        <v>3546</v>
      </c>
      <c r="G7015" t="s">
        <v>16448</v>
      </c>
      <c r="H7015" t="s">
        <v>47054</v>
      </c>
      <c r="I7015" t="s">
        <v>47120</v>
      </c>
      <c r="J7015" t="s">
        <v>47121</v>
      </c>
      <c r="K7015" t="s">
        <v>47113</v>
      </c>
      <c r="L7015">
        <v>111.34</v>
      </c>
      <c r="M7015">
        <v>274</v>
      </c>
      <c r="N7015">
        <v>0</v>
      </c>
      <c r="O7015">
        <v>274</v>
      </c>
      <c r="P7015">
        <v>0</v>
      </c>
    </row>
    <row r="7016" spans="1:16" x14ac:dyDescent="0.25">
      <c r="A7016" t="s">
        <v>29505</v>
      </c>
      <c r="B7016" t="s">
        <v>5892</v>
      </c>
      <c r="C7016" t="s">
        <v>5893</v>
      </c>
      <c r="D7016" t="str">
        <f>"1436"</f>
        <v>1436</v>
      </c>
      <c r="E7016" t="s">
        <v>5894</v>
      </c>
      <c r="F7016" t="s">
        <v>1</v>
      </c>
      <c r="G7016" t="s">
        <v>16235</v>
      </c>
      <c r="H7016" t="s">
        <v>47054</v>
      </c>
      <c r="I7016" t="s">
        <v>47118</v>
      </c>
      <c r="J7016" t="s">
        <v>47119</v>
      </c>
      <c r="K7016" t="s">
        <v>47113</v>
      </c>
      <c r="L7016">
        <v>19.670000000000002</v>
      </c>
      <c r="M7016">
        <v>48</v>
      </c>
      <c r="N7016">
        <v>0</v>
      </c>
      <c r="O7016">
        <v>48</v>
      </c>
      <c r="P7016">
        <v>0</v>
      </c>
    </row>
    <row r="7017" spans="1:16" x14ac:dyDescent="0.25">
      <c r="A7017" t="s">
        <v>29506</v>
      </c>
      <c r="B7017" t="s">
        <v>5895</v>
      </c>
      <c r="C7017" t="s">
        <v>5896</v>
      </c>
      <c r="D7017" t="str">
        <f>"1747"</f>
        <v>1747</v>
      </c>
      <c r="E7017" t="s">
        <v>5897</v>
      </c>
      <c r="F7017" t="s">
        <v>1</v>
      </c>
      <c r="G7017" t="s">
        <v>16235</v>
      </c>
      <c r="H7017" t="s">
        <v>47054</v>
      </c>
      <c r="I7017" t="s">
        <v>47118</v>
      </c>
      <c r="J7017" t="s">
        <v>47119</v>
      </c>
      <c r="K7017" t="s">
        <v>47113</v>
      </c>
      <c r="L7017">
        <v>25.98</v>
      </c>
      <c r="M7017">
        <v>64</v>
      </c>
      <c r="N7017">
        <v>0</v>
      </c>
      <c r="O7017">
        <v>64</v>
      </c>
      <c r="P7017">
        <v>0</v>
      </c>
    </row>
    <row r="7018" spans="1:16" x14ac:dyDescent="0.25">
      <c r="A7018" t="s">
        <v>29507</v>
      </c>
      <c r="B7018" t="s">
        <v>5895</v>
      </c>
      <c r="C7018" t="s">
        <v>5896</v>
      </c>
      <c r="D7018" t="str">
        <f>"3484"</f>
        <v>3484</v>
      </c>
      <c r="E7018" t="s">
        <v>5898</v>
      </c>
      <c r="F7018" t="s">
        <v>1</v>
      </c>
      <c r="G7018" t="s">
        <v>16235</v>
      </c>
      <c r="H7018" t="s">
        <v>47054</v>
      </c>
      <c r="I7018" t="s">
        <v>47118</v>
      </c>
      <c r="J7018" t="s">
        <v>47119</v>
      </c>
      <c r="K7018" t="s">
        <v>47113</v>
      </c>
      <c r="L7018">
        <v>25.98</v>
      </c>
      <c r="M7018">
        <v>64</v>
      </c>
      <c r="N7018">
        <v>0</v>
      </c>
      <c r="O7018">
        <v>64</v>
      </c>
      <c r="P7018">
        <v>0</v>
      </c>
    </row>
    <row r="7019" spans="1:16" x14ac:dyDescent="0.25">
      <c r="A7019" t="s">
        <v>16457</v>
      </c>
      <c r="B7019" t="s">
        <v>5895</v>
      </c>
      <c r="C7019" t="s">
        <v>5896</v>
      </c>
      <c r="D7019" t="str">
        <f>"4855"</f>
        <v>4855</v>
      </c>
      <c r="E7019" t="s">
        <v>5899</v>
      </c>
      <c r="F7019" t="s">
        <v>1</v>
      </c>
      <c r="G7019" t="s">
        <v>16235</v>
      </c>
      <c r="H7019" t="s">
        <v>47054</v>
      </c>
      <c r="I7019" t="s">
        <v>47118</v>
      </c>
      <c r="J7019" t="s">
        <v>47119</v>
      </c>
      <c r="K7019" t="s">
        <v>47113</v>
      </c>
      <c r="L7019">
        <v>25.98</v>
      </c>
      <c r="M7019">
        <v>64</v>
      </c>
      <c r="N7019">
        <v>0</v>
      </c>
      <c r="O7019">
        <v>64</v>
      </c>
      <c r="P7019">
        <v>0</v>
      </c>
    </row>
    <row r="7020" spans="1:16" x14ac:dyDescent="0.25">
      <c r="A7020" t="s">
        <v>29508</v>
      </c>
      <c r="B7020" t="s">
        <v>5895</v>
      </c>
      <c r="C7020" t="s">
        <v>5896</v>
      </c>
      <c r="D7020" t="str">
        <f>"6310"</f>
        <v>6310</v>
      </c>
      <c r="E7020" t="s">
        <v>5900</v>
      </c>
      <c r="F7020" t="s">
        <v>1</v>
      </c>
      <c r="G7020" t="s">
        <v>16235</v>
      </c>
      <c r="H7020" t="s">
        <v>47054</v>
      </c>
      <c r="I7020" t="s">
        <v>47118</v>
      </c>
      <c r="J7020" t="s">
        <v>47119</v>
      </c>
      <c r="K7020" t="s">
        <v>47113</v>
      </c>
      <c r="L7020">
        <v>25.98</v>
      </c>
      <c r="M7020">
        <v>64</v>
      </c>
      <c r="N7020">
        <v>0</v>
      </c>
      <c r="O7020">
        <v>64</v>
      </c>
      <c r="P7020">
        <v>0</v>
      </c>
    </row>
    <row r="7021" spans="1:16" x14ac:dyDescent="0.25">
      <c r="A7021" t="s">
        <v>29509</v>
      </c>
      <c r="B7021" t="s">
        <v>5901</v>
      </c>
      <c r="C7021" t="s">
        <v>5902</v>
      </c>
      <c r="D7021" t="str">
        <f>"1859"</f>
        <v>1859</v>
      </c>
      <c r="E7021" t="s">
        <v>5903</v>
      </c>
      <c r="F7021" t="s">
        <v>1</v>
      </c>
      <c r="G7021" t="s">
        <v>16235</v>
      </c>
      <c r="H7021" t="s">
        <v>47054</v>
      </c>
      <c r="I7021" t="s">
        <v>47118</v>
      </c>
      <c r="J7021" t="s">
        <v>47119</v>
      </c>
      <c r="K7021" t="s">
        <v>47113</v>
      </c>
      <c r="L7021">
        <v>20.170000000000002</v>
      </c>
      <c r="M7021">
        <v>50</v>
      </c>
      <c r="N7021">
        <v>0</v>
      </c>
      <c r="O7021">
        <v>50</v>
      </c>
      <c r="P7021">
        <v>0</v>
      </c>
    </row>
    <row r="7022" spans="1:16" x14ac:dyDescent="0.25">
      <c r="A7022" t="s">
        <v>14945</v>
      </c>
      <c r="B7022" t="s">
        <v>5904</v>
      </c>
      <c r="C7022" t="s">
        <v>5902</v>
      </c>
      <c r="D7022" t="str">
        <f>"1859"</f>
        <v>1859</v>
      </c>
      <c r="E7022" t="s">
        <v>5903</v>
      </c>
      <c r="F7022" t="s">
        <v>1</v>
      </c>
      <c r="G7022" t="s">
        <v>16235</v>
      </c>
      <c r="H7022" t="s">
        <v>47054</v>
      </c>
      <c r="I7022" t="s">
        <v>47118</v>
      </c>
      <c r="J7022" t="s">
        <v>47119</v>
      </c>
      <c r="K7022" t="s">
        <v>47113</v>
      </c>
      <c r="L7022">
        <v>19.77</v>
      </c>
      <c r="M7022">
        <v>50</v>
      </c>
      <c r="N7022">
        <v>0</v>
      </c>
      <c r="O7022">
        <v>50</v>
      </c>
      <c r="P7022">
        <v>0</v>
      </c>
    </row>
    <row r="7023" spans="1:16" x14ac:dyDescent="0.25">
      <c r="A7023" t="s">
        <v>29510</v>
      </c>
      <c r="B7023" t="s">
        <v>5905</v>
      </c>
      <c r="C7023" t="s">
        <v>5906</v>
      </c>
      <c r="D7023" t="str">
        <f>"1859"</f>
        <v>1859</v>
      </c>
      <c r="E7023" t="s">
        <v>5903</v>
      </c>
      <c r="F7023" t="s">
        <v>1</v>
      </c>
      <c r="G7023" t="s">
        <v>16233</v>
      </c>
      <c r="H7023" t="s">
        <v>47054</v>
      </c>
      <c r="I7023" t="s">
        <v>47118</v>
      </c>
      <c r="J7023" t="s">
        <v>47119</v>
      </c>
      <c r="K7023" t="s">
        <v>47113</v>
      </c>
      <c r="L7023">
        <v>17.149999999999999</v>
      </c>
      <c r="M7023">
        <v>42</v>
      </c>
      <c r="N7023">
        <v>0</v>
      </c>
      <c r="O7023">
        <v>42</v>
      </c>
      <c r="P7023">
        <v>0</v>
      </c>
    </row>
    <row r="7024" spans="1:16" x14ac:dyDescent="0.25">
      <c r="A7024" t="s">
        <v>29511</v>
      </c>
      <c r="B7024" t="s">
        <v>5907</v>
      </c>
      <c r="C7024" t="s">
        <v>5908</v>
      </c>
      <c r="D7024" t="str">
        <f>"4761"</f>
        <v>4761</v>
      </c>
      <c r="E7024" t="s">
        <v>5909</v>
      </c>
      <c r="F7024" t="s">
        <v>1</v>
      </c>
      <c r="G7024" t="s">
        <v>16221</v>
      </c>
      <c r="H7024" t="s">
        <v>47054</v>
      </c>
      <c r="I7024" t="s">
        <v>47118</v>
      </c>
      <c r="J7024" t="s">
        <v>47119</v>
      </c>
      <c r="K7024" t="s">
        <v>47113</v>
      </c>
      <c r="L7024">
        <v>16.5</v>
      </c>
      <c r="M7024">
        <v>41</v>
      </c>
      <c r="N7024">
        <v>0</v>
      </c>
      <c r="O7024">
        <v>41</v>
      </c>
      <c r="P7024">
        <v>0</v>
      </c>
    </row>
    <row r="7025" spans="1:16" x14ac:dyDescent="0.25">
      <c r="A7025" t="s">
        <v>29512</v>
      </c>
      <c r="B7025" t="s">
        <v>5907</v>
      </c>
      <c r="C7025" t="s">
        <v>5908</v>
      </c>
      <c r="D7025" t="str">
        <f>"6443"</f>
        <v>6443</v>
      </c>
      <c r="E7025" t="s">
        <v>5910</v>
      </c>
      <c r="F7025" t="s">
        <v>1</v>
      </c>
      <c r="G7025" t="s">
        <v>16221</v>
      </c>
      <c r="H7025" t="s">
        <v>47054</v>
      </c>
      <c r="I7025" t="s">
        <v>47118</v>
      </c>
      <c r="J7025" t="s">
        <v>47119</v>
      </c>
      <c r="K7025" t="s">
        <v>47113</v>
      </c>
      <c r="L7025">
        <v>16.5</v>
      </c>
      <c r="M7025">
        <v>41</v>
      </c>
      <c r="N7025">
        <v>0</v>
      </c>
      <c r="O7025">
        <v>41</v>
      </c>
      <c r="P7025">
        <v>0</v>
      </c>
    </row>
    <row r="7026" spans="1:16" x14ac:dyDescent="0.25">
      <c r="A7026" t="s">
        <v>29513</v>
      </c>
      <c r="B7026" t="s">
        <v>5911</v>
      </c>
      <c r="C7026" t="s">
        <v>5912</v>
      </c>
      <c r="D7026" t="str">
        <f>"1024"</f>
        <v>1024</v>
      </c>
      <c r="E7026" t="s">
        <v>5913</v>
      </c>
      <c r="F7026" t="s">
        <v>3546</v>
      </c>
      <c r="G7026" t="s">
        <v>16235</v>
      </c>
      <c r="H7026" t="s">
        <v>47054</v>
      </c>
      <c r="I7026" t="s">
        <v>47120</v>
      </c>
      <c r="J7026" t="s">
        <v>47121</v>
      </c>
      <c r="K7026" t="s">
        <v>47113</v>
      </c>
      <c r="L7026">
        <v>40.9</v>
      </c>
      <c r="M7026">
        <v>101</v>
      </c>
      <c r="N7026">
        <v>0</v>
      </c>
      <c r="O7026">
        <v>101</v>
      </c>
      <c r="P7026">
        <v>0</v>
      </c>
    </row>
    <row r="7027" spans="1:16" x14ac:dyDescent="0.25">
      <c r="A7027" t="s">
        <v>29514</v>
      </c>
      <c r="B7027" t="s">
        <v>5911</v>
      </c>
      <c r="C7027" t="s">
        <v>5912</v>
      </c>
      <c r="D7027" t="str">
        <f>"2379"</f>
        <v>2379</v>
      </c>
      <c r="E7027" t="s">
        <v>5914</v>
      </c>
      <c r="F7027" t="s">
        <v>3546</v>
      </c>
      <c r="G7027" t="s">
        <v>16235</v>
      </c>
      <c r="H7027" t="s">
        <v>47054</v>
      </c>
      <c r="I7027" t="s">
        <v>47120</v>
      </c>
      <c r="J7027" t="s">
        <v>47121</v>
      </c>
      <c r="K7027" t="s">
        <v>47113</v>
      </c>
      <c r="L7027">
        <v>40.9</v>
      </c>
      <c r="M7027">
        <v>101</v>
      </c>
      <c r="N7027">
        <v>0</v>
      </c>
      <c r="O7027">
        <v>101</v>
      </c>
      <c r="P7027">
        <v>0</v>
      </c>
    </row>
    <row r="7028" spans="1:16" x14ac:dyDescent="0.25">
      <c r="A7028" t="s">
        <v>29515</v>
      </c>
      <c r="B7028" t="s">
        <v>5915</v>
      </c>
      <c r="C7028" t="s">
        <v>5860</v>
      </c>
      <c r="D7028" t="str">
        <f>"3502"</f>
        <v>3502</v>
      </c>
      <c r="E7028" t="s">
        <v>5916</v>
      </c>
      <c r="F7028" t="s">
        <v>1</v>
      </c>
      <c r="G7028" t="s">
        <v>16221</v>
      </c>
      <c r="H7028" t="s">
        <v>47054</v>
      </c>
      <c r="I7028" t="s">
        <v>47118</v>
      </c>
      <c r="J7028" t="s">
        <v>47119</v>
      </c>
      <c r="K7028" t="s">
        <v>47113</v>
      </c>
      <c r="L7028">
        <v>16.399999999999999</v>
      </c>
      <c r="M7028">
        <v>40</v>
      </c>
      <c r="N7028">
        <v>0</v>
      </c>
      <c r="O7028">
        <v>40</v>
      </c>
      <c r="P7028">
        <v>0</v>
      </c>
    </row>
    <row r="7029" spans="1:16" x14ac:dyDescent="0.25">
      <c r="A7029" t="s">
        <v>29516</v>
      </c>
      <c r="B7029" t="s">
        <v>5917</v>
      </c>
      <c r="C7029" t="s">
        <v>5918</v>
      </c>
      <c r="D7029" t="str">
        <f>"1505"</f>
        <v>1505</v>
      </c>
      <c r="E7029" t="s">
        <v>1667</v>
      </c>
      <c r="F7029" t="s">
        <v>1</v>
      </c>
      <c r="G7029" t="s">
        <v>16221</v>
      </c>
      <c r="H7029" t="s">
        <v>47054</v>
      </c>
      <c r="I7029" t="s">
        <v>47118</v>
      </c>
      <c r="J7029" t="s">
        <v>47119</v>
      </c>
      <c r="K7029" t="s">
        <v>47113</v>
      </c>
      <c r="L7029">
        <v>11.08</v>
      </c>
      <c r="M7029">
        <v>27</v>
      </c>
      <c r="N7029">
        <v>0</v>
      </c>
      <c r="O7029">
        <v>27</v>
      </c>
      <c r="P7029">
        <v>0</v>
      </c>
    </row>
    <row r="7030" spans="1:16" x14ac:dyDescent="0.25">
      <c r="A7030" t="s">
        <v>29517</v>
      </c>
      <c r="B7030" t="s">
        <v>5917</v>
      </c>
      <c r="C7030" t="s">
        <v>5918</v>
      </c>
      <c r="D7030" t="str">
        <f>"4750"</f>
        <v>4750</v>
      </c>
      <c r="E7030" t="s">
        <v>5919</v>
      </c>
      <c r="F7030" t="s">
        <v>1</v>
      </c>
      <c r="G7030" t="s">
        <v>16221</v>
      </c>
      <c r="H7030" t="s">
        <v>47054</v>
      </c>
      <c r="I7030" t="s">
        <v>47118</v>
      </c>
      <c r="J7030" t="s">
        <v>47119</v>
      </c>
      <c r="K7030" t="s">
        <v>47113</v>
      </c>
      <c r="L7030">
        <v>11.08</v>
      </c>
      <c r="M7030">
        <v>27</v>
      </c>
      <c r="N7030">
        <v>0</v>
      </c>
      <c r="O7030">
        <v>27</v>
      </c>
      <c r="P7030">
        <v>0</v>
      </c>
    </row>
    <row r="7031" spans="1:16" x14ac:dyDescent="0.25">
      <c r="A7031" t="s">
        <v>29518</v>
      </c>
      <c r="B7031" t="s">
        <v>5917</v>
      </c>
      <c r="C7031" t="s">
        <v>5918</v>
      </c>
      <c r="D7031" t="str">
        <f>"7118"</f>
        <v>7118</v>
      </c>
      <c r="E7031" t="s">
        <v>5920</v>
      </c>
      <c r="F7031" t="s">
        <v>1</v>
      </c>
      <c r="G7031" t="s">
        <v>16221</v>
      </c>
      <c r="H7031" t="s">
        <v>47054</v>
      </c>
      <c r="I7031" t="s">
        <v>47118</v>
      </c>
      <c r="J7031" t="s">
        <v>47119</v>
      </c>
      <c r="K7031" t="s">
        <v>47113</v>
      </c>
      <c r="L7031">
        <v>11.08</v>
      </c>
      <c r="M7031">
        <v>27</v>
      </c>
      <c r="N7031">
        <v>0</v>
      </c>
      <c r="O7031">
        <v>27</v>
      </c>
      <c r="P7031">
        <v>0</v>
      </c>
    </row>
    <row r="7032" spans="1:16" x14ac:dyDescent="0.25">
      <c r="A7032" t="s">
        <v>29519</v>
      </c>
      <c r="B7032" t="s">
        <v>5921</v>
      </c>
      <c r="C7032" t="s">
        <v>5922</v>
      </c>
      <c r="D7032" t="str">
        <f>"1505"</f>
        <v>1505</v>
      </c>
      <c r="E7032" t="s">
        <v>1667</v>
      </c>
      <c r="F7032" t="s">
        <v>1</v>
      </c>
      <c r="G7032" t="s">
        <v>16221</v>
      </c>
      <c r="H7032" t="s">
        <v>47054</v>
      </c>
      <c r="I7032" t="s">
        <v>47118</v>
      </c>
      <c r="J7032" t="s">
        <v>47119</v>
      </c>
      <c r="K7032" t="s">
        <v>47113</v>
      </c>
      <c r="L7032">
        <v>9.1</v>
      </c>
      <c r="M7032">
        <v>22</v>
      </c>
      <c r="N7032">
        <v>0</v>
      </c>
      <c r="O7032">
        <v>22</v>
      </c>
      <c r="P7032">
        <v>0</v>
      </c>
    </row>
    <row r="7033" spans="1:16" x14ac:dyDescent="0.25">
      <c r="A7033" t="s">
        <v>29520</v>
      </c>
      <c r="B7033" t="s">
        <v>5921</v>
      </c>
      <c r="C7033" t="s">
        <v>5922</v>
      </c>
      <c r="D7033" t="str">
        <f>"2661"</f>
        <v>2661</v>
      </c>
      <c r="E7033" t="s">
        <v>5923</v>
      </c>
      <c r="F7033" t="s">
        <v>1</v>
      </c>
      <c r="G7033" t="s">
        <v>16221</v>
      </c>
      <c r="H7033" t="s">
        <v>47054</v>
      </c>
      <c r="I7033" t="s">
        <v>47118</v>
      </c>
      <c r="J7033" t="s">
        <v>47119</v>
      </c>
      <c r="K7033" t="s">
        <v>47113</v>
      </c>
      <c r="L7033">
        <v>9.1</v>
      </c>
      <c r="M7033">
        <v>22</v>
      </c>
      <c r="N7033">
        <v>0</v>
      </c>
      <c r="O7033">
        <v>22</v>
      </c>
      <c r="P7033">
        <v>0</v>
      </c>
    </row>
    <row r="7034" spans="1:16" x14ac:dyDescent="0.25">
      <c r="A7034" t="s">
        <v>29521</v>
      </c>
      <c r="B7034" t="s">
        <v>5921</v>
      </c>
      <c r="C7034" t="s">
        <v>5922</v>
      </c>
      <c r="D7034" t="str">
        <f>"4750"</f>
        <v>4750</v>
      </c>
      <c r="E7034" t="s">
        <v>5919</v>
      </c>
      <c r="F7034" t="s">
        <v>1</v>
      </c>
      <c r="G7034" t="s">
        <v>16221</v>
      </c>
      <c r="H7034" t="s">
        <v>47054</v>
      </c>
      <c r="I7034" t="s">
        <v>47118</v>
      </c>
      <c r="J7034" t="s">
        <v>47119</v>
      </c>
      <c r="K7034" t="s">
        <v>47113</v>
      </c>
      <c r="L7034">
        <v>9.1</v>
      </c>
      <c r="M7034">
        <v>22</v>
      </c>
      <c r="N7034">
        <v>0</v>
      </c>
      <c r="O7034">
        <v>22</v>
      </c>
      <c r="P7034">
        <v>0</v>
      </c>
    </row>
    <row r="7035" spans="1:16" x14ac:dyDescent="0.25">
      <c r="A7035" t="s">
        <v>29522</v>
      </c>
      <c r="B7035" t="s">
        <v>5921</v>
      </c>
      <c r="C7035" t="s">
        <v>5922</v>
      </c>
      <c r="D7035" t="str">
        <f>"7118"</f>
        <v>7118</v>
      </c>
      <c r="E7035" t="s">
        <v>5920</v>
      </c>
      <c r="F7035" t="s">
        <v>1</v>
      </c>
      <c r="G7035" t="s">
        <v>16221</v>
      </c>
      <c r="H7035" t="s">
        <v>47054</v>
      </c>
      <c r="I7035" t="s">
        <v>47118</v>
      </c>
      <c r="J7035" t="s">
        <v>47119</v>
      </c>
      <c r="K7035" t="s">
        <v>47113</v>
      </c>
      <c r="L7035">
        <v>9.1</v>
      </c>
      <c r="M7035">
        <v>22</v>
      </c>
      <c r="N7035">
        <v>0</v>
      </c>
      <c r="O7035">
        <v>22</v>
      </c>
      <c r="P7035">
        <v>0</v>
      </c>
    </row>
    <row r="7036" spans="1:16" x14ac:dyDescent="0.25">
      <c r="A7036" t="s">
        <v>29523</v>
      </c>
      <c r="B7036" t="s">
        <v>5924</v>
      </c>
      <c r="C7036" t="s">
        <v>5925</v>
      </c>
      <c r="D7036" t="str">
        <f>"4888"</f>
        <v>4888</v>
      </c>
      <c r="E7036" t="s">
        <v>5926</v>
      </c>
      <c r="F7036" t="s">
        <v>3546</v>
      </c>
      <c r="G7036" t="s">
        <v>16230</v>
      </c>
      <c r="H7036" t="s">
        <v>47054</v>
      </c>
      <c r="I7036" t="s">
        <v>47120</v>
      </c>
      <c r="J7036" t="s">
        <v>47121</v>
      </c>
      <c r="K7036" t="s">
        <v>47113</v>
      </c>
      <c r="L7036">
        <v>31.64</v>
      </c>
      <c r="M7036">
        <v>64</v>
      </c>
      <c r="N7036">
        <v>0</v>
      </c>
      <c r="O7036">
        <v>64</v>
      </c>
      <c r="P7036">
        <v>0</v>
      </c>
    </row>
    <row r="7037" spans="1:16" x14ac:dyDescent="0.25">
      <c r="A7037" t="s">
        <v>29524</v>
      </c>
      <c r="B7037" t="s">
        <v>5927</v>
      </c>
      <c r="C7037" t="s">
        <v>5928</v>
      </c>
      <c r="D7037" t="str">
        <f>"1024"</f>
        <v>1024</v>
      </c>
      <c r="E7037" t="s">
        <v>5929</v>
      </c>
      <c r="F7037" t="s">
        <v>3546</v>
      </c>
      <c r="G7037" t="s">
        <v>16235</v>
      </c>
      <c r="H7037" t="s">
        <v>47054</v>
      </c>
      <c r="I7037" t="s">
        <v>47120</v>
      </c>
      <c r="J7037" t="s">
        <v>47121</v>
      </c>
      <c r="K7037" t="s">
        <v>47113</v>
      </c>
      <c r="L7037">
        <v>50.98</v>
      </c>
      <c r="M7037">
        <v>73</v>
      </c>
      <c r="N7037">
        <v>0</v>
      </c>
      <c r="O7037">
        <v>73</v>
      </c>
      <c r="P7037">
        <v>0</v>
      </c>
    </row>
    <row r="7038" spans="1:16" x14ac:dyDescent="0.25">
      <c r="A7038" t="s">
        <v>29525</v>
      </c>
      <c r="B7038" t="s">
        <v>5930</v>
      </c>
      <c r="C7038" t="s">
        <v>5931</v>
      </c>
      <c r="D7038" t="str">
        <f>"1024"</f>
        <v>1024</v>
      </c>
      <c r="E7038" t="s">
        <v>717</v>
      </c>
      <c r="F7038" t="s">
        <v>3546</v>
      </c>
      <c r="G7038" t="s">
        <v>16222</v>
      </c>
      <c r="H7038" t="s">
        <v>47054</v>
      </c>
      <c r="I7038" t="s">
        <v>47120</v>
      </c>
      <c r="J7038" t="s">
        <v>47121</v>
      </c>
      <c r="K7038" t="s">
        <v>47113</v>
      </c>
      <c r="L7038">
        <v>25.98</v>
      </c>
      <c r="M7038">
        <v>64</v>
      </c>
      <c r="N7038">
        <v>0</v>
      </c>
      <c r="O7038">
        <v>64</v>
      </c>
      <c r="P7038">
        <v>0</v>
      </c>
    </row>
    <row r="7039" spans="1:16" x14ac:dyDescent="0.25">
      <c r="A7039" t="s">
        <v>29526</v>
      </c>
      <c r="B7039" t="s">
        <v>5932</v>
      </c>
      <c r="C7039" t="s">
        <v>5933</v>
      </c>
      <c r="D7039" t="str">
        <f>"3152"</f>
        <v>3152</v>
      </c>
      <c r="E7039" t="s">
        <v>1840</v>
      </c>
      <c r="F7039" t="s">
        <v>687</v>
      </c>
      <c r="G7039" t="s">
        <v>16221</v>
      </c>
      <c r="H7039" t="s">
        <v>47054</v>
      </c>
      <c r="I7039" t="s">
        <v>47120</v>
      </c>
      <c r="J7039" t="s">
        <v>47121</v>
      </c>
      <c r="K7039" t="s">
        <v>47113</v>
      </c>
      <c r="L7039">
        <v>16.170000000000002</v>
      </c>
      <c r="M7039">
        <v>38</v>
      </c>
      <c r="N7039">
        <v>0</v>
      </c>
      <c r="O7039">
        <v>38</v>
      </c>
      <c r="P7039">
        <v>0</v>
      </c>
    </row>
    <row r="7040" spans="1:16" x14ac:dyDescent="0.25">
      <c r="A7040" t="s">
        <v>29527</v>
      </c>
      <c r="B7040" t="s">
        <v>5934</v>
      </c>
      <c r="C7040" t="s">
        <v>5933</v>
      </c>
      <c r="D7040" t="str">
        <f>"4059"</f>
        <v>4059</v>
      </c>
      <c r="E7040" t="s">
        <v>1847</v>
      </c>
      <c r="F7040" t="s">
        <v>687</v>
      </c>
      <c r="G7040" t="s">
        <v>16221</v>
      </c>
      <c r="H7040" t="s">
        <v>47054</v>
      </c>
      <c r="I7040" t="s">
        <v>47120</v>
      </c>
      <c r="J7040" t="s">
        <v>47121</v>
      </c>
      <c r="K7040" t="s">
        <v>47113</v>
      </c>
      <c r="L7040">
        <v>15.69</v>
      </c>
      <c r="M7040">
        <v>37</v>
      </c>
      <c r="N7040">
        <v>0</v>
      </c>
      <c r="O7040">
        <v>37</v>
      </c>
      <c r="P7040">
        <v>0</v>
      </c>
    </row>
    <row r="7041" spans="1:16" x14ac:dyDescent="0.25">
      <c r="A7041" t="s">
        <v>29528</v>
      </c>
      <c r="B7041" t="s">
        <v>5935</v>
      </c>
      <c r="C7041" t="s">
        <v>5936</v>
      </c>
      <c r="D7041" t="str">
        <f>"1001"</f>
        <v>1001</v>
      </c>
      <c r="E7041" t="s">
        <v>42</v>
      </c>
      <c r="F7041" t="s">
        <v>1401</v>
      </c>
      <c r="G7041" t="s">
        <v>16221</v>
      </c>
      <c r="H7041" t="s">
        <v>47054</v>
      </c>
      <c r="I7041" t="s">
        <v>47120</v>
      </c>
      <c r="J7041" t="s">
        <v>47121</v>
      </c>
      <c r="K7041" t="s">
        <v>47113</v>
      </c>
      <c r="L7041">
        <v>10.23</v>
      </c>
      <c r="M7041">
        <v>25</v>
      </c>
      <c r="N7041">
        <v>0</v>
      </c>
      <c r="O7041">
        <v>25</v>
      </c>
      <c r="P7041">
        <v>0</v>
      </c>
    </row>
    <row r="7042" spans="1:16" x14ac:dyDescent="0.25">
      <c r="A7042" t="s">
        <v>29529</v>
      </c>
      <c r="B7042" t="s">
        <v>5937</v>
      </c>
      <c r="C7042" t="s">
        <v>5938</v>
      </c>
      <c r="D7042" t="str">
        <f>"1001"</f>
        <v>1001</v>
      </c>
      <c r="E7042" t="s">
        <v>5939</v>
      </c>
      <c r="F7042" t="s">
        <v>3546</v>
      </c>
      <c r="G7042" t="s">
        <v>16230</v>
      </c>
      <c r="H7042" t="s">
        <v>47054</v>
      </c>
      <c r="I7042" t="s">
        <v>47120</v>
      </c>
      <c r="J7042" t="s">
        <v>47121</v>
      </c>
      <c r="K7042" t="s">
        <v>47113</v>
      </c>
      <c r="L7042">
        <v>34.880000000000003</v>
      </c>
      <c r="M7042">
        <v>86</v>
      </c>
      <c r="N7042">
        <v>0</v>
      </c>
      <c r="O7042">
        <v>86</v>
      </c>
      <c r="P7042">
        <v>0</v>
      </c>
    </row>
    <row r="7043" spans="1:16" x14ac:dyDescent="0.25">
      <c r="A7043" t="s">
        <v>29530</v>
      </c>
      <c r="B7043" t="s">
        <v>5940</v>
      </c>
      <c r="C7043" t="s">
        <v>4750</v>
      </c>
      <c r="D7043" t="str">
        <f>"6096"</f>
        <v>6096</v>
      </c>
      <c r="E7043" t="s">
        <v>5941</v>
      </c>
      <c r="F7043" t="s">
        <v>3546</v>
      </c>
      <c r="G7043" t="s">
        <v>16230</v>
      </c>
      <c r="H7043" t="s">
        <v>47054</v>
      </c>
      <c r="I7043" t="s">
        <v>47118</v>
      </c>
      <c r="J7043" t="s">
        <v>47119</v>
      </c>
      <c r="K7043" t="s">
        <v>47113</v>
      </c>
      <c r="L7043">
        <v>17.420000000000002</v>
      </c>
      <c r="M7043">
        <v>43</v>
      </c>
      <c r="N7043">
        <v>0</v>
      </c>
      <c r="O7043">
        <v>43</v>
      </c>
      <c r="P7043">
        <v>0</v>
      </c>
    </row>
    <row r="7044" spans="1:16" x14ac:dyDescent="0.25">
      <c r="A7044" t="s">
        <v>29531</v>
      </c>
      <c r="B7044" t="s">
        <v>5942</v>
      </c>
      <c r="C7044" t="s">
        <v>5943</v>
      </c>
      <c r="D7044" t="str">
        <f>"2692"</f>
        <v>2692</v>
      </c>
      <c r="E7044" t="s">
        <v>5944</v>
      </c>
      <c r="F7044" t="s">
        <v>2068</v>
      </c>
      <c r="G7044" t="s">
        <v>16231</v>
      </c>
      <c r="H7044" t="s">
        <v>47054</v>
      </c>
      <c r="I7044" t="s">
        <v>47111</v>
      </c>
      <c r="J7044" t="s">
        <v>47112</v>
      </c>
      <c r="K7044" t="s">
        <v>47113</v>
      </c>
      <c r="L7044">
        <v>66.02</v>
      </c>
      <c r="M7044">
        <v>149</v>
      </c>
      <c r="N7044">
        <v>0</v>
      </c>
      <c r="O7044">
        <v>149</v>
      </c>
      <c r="P7044">
        <v>0</v>
      </c>
    </row>
    <row r="7045" spans="1:16" x14ac:dyDescent="0.25">
      <c r="A7045" t="s">
        <v>29532</v>
      </c>
      <c r="B7045" t="s">
        <v>29533</v>
      </c>
      <c r="C7045" t="s">
        <v>29534</v>
      </c>
      <c r="D7045" t="str">
        <f>"1213"</f>
        <v>1213</v>
      </c>
      <c r="E7045" t="s">
        <v>29535</v>
      </c>
      <c r="F7045" t="s">
        <v>3750</v>
      </c>
      <c r="G7045" t="s">
        <v>16448</v>
      </c>
      <c r="H7045" t="s">
        <v>47054</v>
      </c>
      <c r="I7045" t="s">
        <v>47118</v>
      </c>
      <c r="J7045" t="s">
        <v>47119</v>
      </c>
      <c r="K7045" t="s">
        <v>47113</v>
      </c>
      <c r="L7045">
        <v>40.44</v>
      </c>
      <c r="M7045">
        <v>148</v>
      </c>
      <c r="N7045">
        <v>399</v>
      </c>
      <c r="O7045">
        <v>148</v>
      </c>
      <c r="P7045">
        <v>399</v>
      </c>
    </row>
    <row r="7046" spans="1:16" x14ac:dyDescent="0.25">
      <c r="A7046" t="s">
        <v>29536</v>
      </c>
      <c r="B7046" t="s">
        <v>29533</v>
      </c>
      <c r="C7046" t="s">
        <v>29534</v>
      </c>
      <c r="D7046" t="str">
        <f>"4877"</f>
        <v>4877</v>
      </c>
      <c r="E7046" t="s">
        <v>29537</v>
      </c>
      <c r="F7046" t="s">
        <v>3750</v>
      </c>
      <c r="G7046" t="s">
        <v>16448</v>
      </c>
      <c r="H7046" t="s">
        <v>47054</v>
      </c>
      <c r="I7046" t="s">
        <v>47118</v>
      </c>
      <c r="J7046" t="s">
        <v>47119</v>
      </c>
      <c r="K7046" t="s">
        <v>47113</v>
      </c>
      <c r="L7046">
        <v>40.44</v>
      </c>
      <c r="M7046">
        <v>148</v>
      </c>
      <c r="N7046">
        <v>399</v>
      </c>
      <c r="O7046">
        <v>148</v>
      </c>
      <c r="P7046">
        <v>399</v>
      </c>
    </row>
    <row r="7047" spans="1:16" x14ac:dyDescent="0.25">
      <c r="A7047" t="s">
        <v>29538</v>
      </c>
      <c r="B7047" t="s">
        <v>29539</v>
      </c>
      <c r="C7047" t="s">
        <v>29540</v>
      </c>
      <c r="D7047" t="str">
        <f>"1079"</f>
        <v>1079</v>
      </c>
      <c r="E7047" t="s">
        <v>29541</v>
      </c>
      <c r="F7047" t="s">
        <v>24617</v>
      </c>
      <c r="G7047" t="s">
        <v>16448</v>
      </c>
      <c r="H7047" t="s">
        <v>47054</v>
      </c>
      <c r="I7047" t="s">
        <v>47118</v>
      </c>
      <c r="J7047" t="s">
        <v>47119</v>
      </c>
      <c r="K7047" t="s">
        <v>47113</v>
      </c>
      <c r="L7047">
        <v>37</v>
      </c>
      <c r="M7047">
        <v>155</v>
      </c>
      <c r="N7047">
        <v>419</v>
      </c>
      <c r="O7047">
        <v>155</v>
      </c>
      <c r="P7047">
        <v>419</v>
      </c>
    </row>
    <row r="7048" spans="1:16" x14ac:dyDescent="0.25">
      <c r="A7048" t="s">
        <v>29542</v>
      </c>
      <c r="B7048" t="s">
        <v>29539</v>
      </c>
      <c r="C7048" t="s">
        <v>29540</v>
      </c>
      <c r="D7048" t="str">
        <f>"4920"</f>
        <v>4920</v>
      </c>
      <c r="E7048" t="s">
        <v>29543</v>
      </c>
      <c r="F7048" t="s">
        <v>24617</v>
      </c>
      <c r="G7048" t="s">
        <v>16448</v>
      </c>
      <c r="H7048" t="s">
        <v>47054</v>
      </c>
      <c r="I7048" t="s">
        <v>47118</v>
      </c>
      <c r="J7048" t="s">
        <v>47119</v>
      </c>
      <c r="K7048" t="s">
        <v>47113</v>
      </c>
      <c r="L7048">
        <v>37</v>
      </c>
      <c r="M7048">
        <v>155</v>
      </c>
      <c r="N7048">
        <v>419</v>
      </c>
      <c r="O7048">
        <v>155</v>
      </c>
      <c r="P7048">
        <v>419</v>
      </c>
    </row>
    <row r="7049" spans="1:16" x14ac:dyDescent="0.25">
      <c r="A7049" t="s">
        <v>29544</v>
      </c>
      <c r="B7049" t="s">
        <v>5945</v>
      </c>
      <c r="C7049" t="s">
        <v>5946</v>
      </c>
      <c r="D7049" t="str">
        <f>"2692"</f>
        <v>2692</v>
      </c>
      <c r="E7049" t="s">
        <v>5944</v>
      </c>
      <c r="F7049" t="s">
        <v>2068</v>
      </c>
      <c r="G7049" t="s">
        <v>16231</v>
      </c>
      <c r="H7049" t="s">
        <v>47054</v>
      </c>
      <c r="I7049" t="s">
        <v>47111</v>
      </c>
      <c r="J7049" t="s">
        <v>47112</v>
      </c>
      <c r="K7049" t="s">
        <v>47113</v>
      </c>
      <c r="L7049">
        <v>63.79</v>
      </c>
      <c r="M7049">
        <v>144</v>
      </c>
      <c r="N7049">
        <v>0</v>
      </c>
      <c r="O7049">
        <v>144</v>
      </c>
      <c r="P7049">
        <v>0</v>
      </c>
    </row>
    <row r="7050" spans="1:16" x14ac:dyDescent="0.25">
      <c r="A7050" t="s">
        <v>29545</v>
      </c>
      <c r="B7050" t="s">
        <v>5947</v>
      </c>
      <c r="C7050" t="s">
        <v>5948</v>
      </c>
      <c r="D7050" t="s">
        <v>5949</v>
      </c>
      <c r="E7050" t="s">
        <v>5950</v>
      </c>
      <c r="F7050" t="s">
        <v>2068</v>
      </c>
      <c r="G7050" t="s">
        <v>16230</v>
      </c>
      <c r="H7050" t="s">
        <v>47054</v>
      </c>
      <c r="I7050" t="s">
        <v>47120</v>
      </c>
      <c r="J7050" t="s">
        <v>47121</v>
      </c>
      <c r="K7050" t="s">
        <v>47113</v>
      </c>
      <c r="L7050">
        <v>21.21</v>
      </c>
      <c r="M7050">
        <v>48</v>
      </c>
      <c r="N7050">
        <v>0</v>
      </c>
      <c r="O7050">
        <v>48</v>
      </c>
      <c r="P7050">
        <v>0</v>
      </c>
    </row>
    <row r="7051" spans="1:16" x14ac:dyDescent="0.25">
      <c r="A7051" t="s">
        <v>29546</v>
      </c>
      <c r="B7051" t="s">
        <v>5951</v>
      </c>
      <c r="C7051" t="s">
        <v>5952</v>
      </c>
      <c r="D7051" t="str">
        <f>"1001"</f>
        <v>1001</v>
      </c>
      <c r="E7051" t="s">
        <v>5953</v>
      </c>
      <c r="F7051" t="s">
        <v>2068</v>
      </c>
      <c r="G7051" t="s">
        <v>16235</v>
      </c>
      <c r="H7051" t="s">
        <v>47054</v>
      </c>
      <c r="I7051" t="s">
        <v>47118</v>
      </c>
      <c r="J7051" t="s">
        <v>47119</v>
      </c>
      <c r="K7051" t="s">
        <v>47113</v>
      </c>
      <c r="L7051">
        <v>20.21</v>
      </c>
      <c r="M7051">
        <v>46</v>
      </c>
      <c r="N7051">
        <v>0</v>
      </c>
      <c r="O7051">
        <v>46</v>
      </c>
      <c r="P7051">
        <v>0</v>
      </c>
    </row>
    <row r="7052" spans="1:16" x14ac:dyDescent="0.25">
      <c r="A7052" t="s">
        <v>29547</v>
      </c>
      <c r="B7052" t="s">
        <v>5951</v>
      </c>
      <c r="C7052" t="s">
        <v>5952</v>
      </c>
      <c r="D7052" t="str">
        <f>"2373"</f>
        <v>2373</v>
      </c>
      <c r="E7052" t="s">
        <v>5954</v>
      </c>
      <c r="F7052" t="s">
        <v>2068</v>
      </c>
      <c r="G7052" t="s">
        <v>16235</v>
      </c>
      <c r="H7052" t="s">
        <v>47054</v>
      </c>
      <c r="I7052" t="s">
        <v>47118</v>
      </c>
      <c r="J7052" t="s">
        <v>47119</v>
      </c>
      <c r="K7052" t="s">
        <v>47113</v>
      </c>
      <c r="L7052">
        <v>20.21</v>
      </c>
      <c r="M7052">
        <v>46</v>
      </c>
      <c r="N7052">
        <v>0</v>
      </c>
      <c r="O7052">
        <v>46</v>
      </c>
      <c r="P7052">
        <v>0</v>
      </c>
    </row>
    <row r="7053" spans="1:16" x14ac:dyDescent="0.25">
      <c r="A7053" t="s">
        <v>14946</v>
      </c>
      <c r="B7053" t="s">
        <v>5955</v>
      </c>
      <c r="C7053" t="s">
        <v>5956</v>
      </c>
      <c r="D7053" t="str">
        <f>"1001"</f>
        <v>1001</v>
      </c>
      <c r="E7053" t="s">
        <v>5953</v>
      </c>
      <c r="F7053" t="s">
        <v>2068</v>
      </c>
      <c r="G7053" t="s">
        <v>16222</v>
      </c>
      <c r="H7053" t="s">
        <v>47054</v>
      </c>
      <c r="I7053" t="s">
        <v>47118</v>
      </c>
      <c r="J7053" t="s">
        <v>47119</v>
      </c>
      <c r="K7053" t="s">
        <v>47113</v>
      </c>
      <c r="L7053">
        <v>16.7</v>
      </c>
      <c r="M7053">
        <v>38</v>
      </c>
      <c r="N7053">
        <v>0</v>
      </c>
      <c r="O7053">
        <v>38</v>
      </c>
      <c r="P7053">
        <v>0</v>
      </c>
    </row>
    <row r="7054" spans="1:16" x14ac:dyDescent="0.25">
      <c r="A7054" t="s">
        <v>29548</v>
      </c>
      <c r="B7054" t="s">
        <v>5955</v>
      </c>
      <c r="C7054" t="s">
        <v>5956</v>
      </c>
      <c r="D7054" t="str">
        <f>"2373"</f>
        <v>2373</v>
      </c>
      <c r="E7054" t="s">
        <v>5954</v>
      </c>
      <c r="F7054" t="s">
        <v>2068</v>
      </c>
      <c r="G7054" t="s">
        <v>16222</v>
      </c>
      <c r="H7054" t="s">
        <v>47054</v>
      </c>
      <c r="I7054" t="s">
        <v>47118</v>
      </c>
      <c r="J7054" t="s">
        <v>47119</v>
      </c>
      <c r="K7054" t="s">
        <v>47113</v>
      </c>
      <c r="L7054">
        <v>16.7</v>
      </c>
      <c r="M7054">
        <v>38</v>
      </c>
      <c r="N7054">
        <v>0</v>
      </c>
      <c r="O7054">
        <v>38</v>
      </c>
      <c r="P7054">
        <v>0</v>
      </c>
    </row>
    <row r="7055" spans="1:16" x14ac:dyDescent="0.25">
      <c r="A7055" t="s">
        <v>29549</v>
      </c>
      <c r="B7055" t="s">
        <v>5957</v>
      </c>
      <c r="C7055" t="s">
        <v>5958</v>
      </c>
      <c r="D7055" t="str">
        <f>"4890"</f>
        <v>4890</v>
      </c>
      <c r="E7055" t="s">
        <v>5959</v>
      </c>
      <c r="F7055" t="s">
        <v>3546</v>
      </c>
      <c r="G7055" t="s">
        <v>16230</v>
      </c>
      <c r="H7055" t="s">
        <v>47054</v>
      </c>
      <c r="I7055" t="s">
        <v>47120</v>
      </c>
      <c r="J7055" t="s">
        <v>47121</v>
      </c>
      <c r="K7055" t="s">
        <v>47113</v>
      </c>
      <c r="L7055">
        <v>34.340000000000003</v>
      </c>
      <c r="M7055">
        <v>70</v>
      </c>
      <c r="N7055">
        <v>0</v>
      </c>
      <c r="O7055">
        <v>70</v>
      </c>
      <c r="P7055">
        <v>0</v>
      </c>
    </row>
    <row r="7056" spans="1:16" x14ac:dyDescent="0.25">
      <c r="A7056" t="s">
        <v>29550</v>
      </c>
      <c r="B7056" t="s">
        <v>5960</v>
      </c>
      <c r="C7056" t="s">
        <v>5961</v>
      </c>
      <c r="D7056" t="str">
        <f>"1744"</f>
        <v>1744</v>
      </c>
      <c r="E7056" t="s">
        <v>5831</v>
      </c>
      <c r="F7056" t="s">
        <v>3546</v>
      </c>
      <c r="G7056" t="s">
        <v>16230</v>
      </c>
      <c r="H7056" t="s">
        <v>47054</v>
      </c>
      <c r="I7056" t="s">
        <v>47120</v>
      </c>
      <c r="J7056" t="s">
        <v>47121</v>
      </c>
      <c r="K7056" t="s">
        <v>47113</v>
      </c>
      <c r="L7056">
        <v>35.01</v>
      </c>
      <c r="M7056">
        <v>70</v>
      </c>
      <c r="N7056">
        <v>0</v>
      </c>
      <c r="O7056">
        <v>70</v>
      </c>
      <c r="P7056">
        <v>0</v>
      </c>
    </row>
    <row r="7057" spans="1:16" x14ac:dyDescent="0.25">
      <c r="A7057" t="s">
        <v>29551</v>
      </c>
      <c r="B7057" t="s">
        <v>5962</v>
      </c>
      <c r="C7057" t="s">
        <v>5963</v>
      </c>
      <c r="D7057" t="str">
        <f>"4886"</f>
        <v>4886</v>
      </c>
      <c r="E7057" t="s">
        <v>5832</v>
      </c>
      <c r="F7057" t="s">
        <v>3546</v>
      </c>
      <c r="G7057" t="s">
        <v>16230</v>
      </c>
      <c r="H7057" t="s">
        <v>47054</v>
      </c>
      <c r="I7057" t="s">
        <v>47118</v>
      </c>
      <c r="J7057" t="s">
        <v>47119</v>
      </c>
      <c r="K7057" t="s">
        <v>47113</v>
      </c>
      <c r="L7057">
        <v>23.39</v>
      </c>
      <c r="M7057">
        <v>61</v>
      </c>
      <c r="N7057">
        <v>0</v>
      </c>
      <c r="O7057">
        <v>61</v>
      </c>
      <c r="P7057">
        <v>0</v>
      </c>
    </row>
    <row r="7058" spans="1:16" x14ac:dyDescent="0.25">
      <c r="A7058" t="s">
        <v>29552</v>
      </c>
      <c r="B7058" t="s">
        <v>5964</v>
      </c>
      <c r="C7058" t="s">
        <v>5965</v>
      </c>
      <c r="D7058" t="str">
        <f>"4891"</f>
        <v>4891</v>
      </c>
      <c r="E7058" t="s">
        <v>4770</v>
      </c>
      <c r="F7058" t="s">
        <v>3546</v>
      </c>
      <c r="G7058" t="s">
        <v>16230</v>
      </c>
      <c r="H7058" t="s">
        <v>47054</v>
      </c>
      <c r="I7058" t="s">
        <v>47120</v>
      </c>
      <c r="J7058" t="s">
        <v>47121</v>
      </c>
      <c r="K7058" t="s">
        <v>47113</v>
      </c>
      <c r="L7058">
        <v>28.52</v>
      </c>
      <c r="M7058">
        <v>57</v>
      </c>
      <c r="N7058">
        <v>0</v>
      </c>
      <c r="O7058">
        <v>57</v>
      </c>
      <c r="P7058">
        <v>0</v>
      </c>
    </row>
    <row r="7059" spans="1:16" x14ac:dyDescent="0.25">
      <c r="A7059" t="s">
        <v>14947</v>
      </c>
      <c r="B7059" t="s">
        <v>5966</v>
      </c>
      <c r="C7059" t="s">
        <v>5967</v>
      </c>
      <c r="D7059" t="str">
        <f>"1001"</f>
        <v>1001</v>
      </c>
      <c r="E7059" t="s">
        <v>5953</v>
      </c>
      <c r="F7059" t="s">
        <v>2068</v>
      </c>
      <c r="G7059" t="s">
        <v>16232</v>
      </c>
      <c r="H7059" t="s">
        <v>47054</v>
      </c>
      <c r="I7059" t="s">
        <v>47118</v>
      </c>
      <c r="J7059" t="s">
        <v>47119</v>
      </c>
      <c r="K7059" t="s">
        <v>47113</v>
      </c>
      <c r="L7059">
        <v>11.64</v>
      </c>
      <c r="M7059">
        <v>26</v>
      </c>
      <c r="N7059">
        <v>0</v>
      </c>
      <c r="O7059">
        <v>26</v>
      </c>
      <c r="P7059">
        <v>0</v>
      </c>
    </row>
    <row r="7060" spans="1:16" x14ac:dyDescent="0.25">
      <c r="A7060" t="s">
        <v>29553</v>
      </c>
      <c r="B7060" t="s">
        <v>5966</v>
      </c>
      <c r="C7060" t="s">
        <v>5967</v>
      </c>
      <c r="D7060" t="str">
        <f>"1461"</f>
        <v>1461</v>
      </c>
      <c r="E7060" t="s">
        <v>5968</v>
      </c>
      <c r="F7060" t="s">
        <v>2068</v>
      </c>
      <c r="G7060" t="s">
        <v>16232</v>
      </c>
      <c r="H7060" t="s">
        <v>47054</v>
      </c>
      <c r="I7060" t="s">
        <v>47118</v>
      </c>
      <c r="J7060" t="s">
        <v>47119</v>
      </c>
      <c r="K7060" t="s">
        <v>47113</v>
      </c>
      <c r="L7060">
        <v>11.64</v>
      </c>
      <c r="M7060">
        <v>26</v>
      </c>
      <c r="N7060">
        <v>0</v>
      </c>
      <c r="O7060">
        <v>26</v>
      </c>
      <c r="P7060">
        <v>0</v>
      </c>
    </row>
    <row r="7061" spans="1:16" x14ac:dyDescent="0.25">
      <c r="A7061" t="s">
        <v>29554</v>
      </c>
      <c r="B7061" t="s">
        <v>5966</v>
      </c>
      <c r="C7061" t="s">
        <v>5967</v>
      </c>
      <c r="D7061" t="str">
        <f>"6480"</f>
        <v>6480</v>
      </c>
      <c r="E7061" t="s">
        <v>5969</v>
      </c>
      <c r="F7061" t="s">
        <v>2068</v>
      </c>
      <c r="G7061" t="s">
        <v>16232</v>
      </c>
      <c r="H7061" t="s">
        <v>47054</v>
      </c>
      <c r="I7061" t="s">
        <v>47118</v>
      </c>
      <c r="J7061" t="s">
        <v>47119</v>
      </c>
      <c r="K7061" t="s">
        <v>47113</v>
      </c>
      <c r="L7061">
        <v>11.64</v>
      </c>
      <c r="M7061">
        <v>26</v>
      </c>
      <c r="N7061">
        <v>0</v>
      </c>
      <c r="O7061">
        <v>26</v>
      </c>
      <c r="P7061">
        <v>0</v>
      </c>
    </row>
    <row r="7062" spans="1:16" x14ac:dyDescent="0.25">
      <c r="A7062" t="s">
        <v>29555</v>
      </c>
      <c r="B7062" t="s">
        <v>5970</v>
      </c>
      <c r="C7062" t="s">
        <v>5496</v>
      </c>
      <c r="D7062" t="str">
        <f>"4871"</f>
        <v>4871</v>
      </c>
      <c r="E7062" t="s">
        <v>5971</v>
      </c>
      <c r="F7062" t="s">
        <v>2068</v>
      </c>
      <c r="G7062" t="s">
        <v>16230</v>
      </c>
      <c r="H7062" t="s">
        <v>47054</v>
      </c>
      <c r="I7062" t="s">
        <v>47118</v>
      </c>
      <c r="J7062" t="s">
        <v>47119</v>
      </c>
      <c r="K7062" t="s">
        <v>47113</v>
      </c>
      <c r="L7062">
        <v>22</v>
      </c>
      <c r="M7062">
        <v>47</v>
      </c>
      <c r="N7062">
        <v>0</v>
      </c>
      <c r="O7062">
        <v>47</v>
      </c>
      <c r="P7062">
        <v>0</v>
      </c>
    </row>
    <row r="7063" spans="1:16" x14ac:dyDescent="0.25">
      <c r="A7063" t="s">
        <v>29556</v>
      </c>
      <c r="B7063" t="s">
        <v>5972</v>
      </c>
      <c r="C7063" t="s">
        <v>5973</v>
      </c>
      <c r="D7063" t="str">
        <f>"4789"</f>
        <v>4789</v>
      </c>
      <c r="E7063" t="s">
        <v>5630</v>
      </c>
      <c r="F7063" t="s">
        <v>2068</v>
      </c>
      <c r="G7063" t="s">
        <v>16221</v>
      </c>
      <c r="H7063" t="s">
        <v>47054</v>
      </c>
      <c r="I7063" t="s">
        <v>47120</v>
      </c>
      <c r="J7063" t="s">
        <v>47121</v>
      </c>
      <c r="K7063" t="s">
        <v>47113</v>
      </c>
      <c r="L7063">
        <v>18.05</v>
      </c>
      <c r="M7063">
        <v>51</v>
      </c>
      <c r="N7063">
        <v>0</v>
      </c>
      <c r="O7063">
        <v>51</v>
      </c>
      <c r="P7063">
        <v>0</v>
      </c>
    </row>
    <row r="7064" spans="1:16" x14ac:dyDescent="0.25">
      <c r="A7064" t="s">
        <v>29557</v>
      </c>
      <c r="B7064" t="s">
        <v>5974</v>
      </c>
      <c r="C7064" t="s">
        <v>5975</v>
      </c>
      <c r="D7064" t="str">
        <f>"1001"</f>
        <v>1001</v>
      </c>
      <c r="E7064" t="s">
        <v>5500</v>
      </c>
      <c r="F7064" t="s">
        <v>2068</v>
      </c>
      <c r="G7064" t="s">
        <v>46686</v>
      </c>
      <c r="H7064" t="s">
        <v>47054</v>
      </c>
      <c r="I7064" t="s">
        <v>47118</v>
      </c>
      <c r="J7064" t="s">
        <v>47119</v>
      </c>
      <c r="K7064" t="s">
        <v>47113</v>
      </c>
      <c r="L7064">
        <v>17.100000000000001</v>
      </c>
      <c r="M7064">
        <v>39</v>
      </c>
      <c r="N7064">
        <v>0</v>
      </c>
      <c r="O7064">
        <v>39</v>
      </c>
      <c r="P7064">
        <v>0</v>
      </c>
    </row>
    <row r="7065" spans="1:16" x14ac:dyDescent="0.25">
      <c r="A7065" t="s">
        <v>29558</v>
      </c>
      <c r="B7065" t="s">
        <v>5974</v>
      </c>
      <c r="C7065" t="s">
        <v>5975</v>
      </c>
      <c r="D7065" t="str">
        <f>"6479"</f>
        <v>6479</v>
      </c>
      <c r="E7065" t="s">
        <v>5976</v>
      </c>
      <c r="F7065" t="s">
        <v>2068</v>
      </c>
      <c r="G7065" t="s">
        <v>46686</v>
      </c>
      <c r="H7065" t="s">
        <v>47054</v>
      </c>
      <c r="I7065" t="s">
        <v>47118</v>
      </c>
      <c r="J7065" t="s">
        <v>47119</v>
      </c>
      <c r="K7065" t="s">
        <v>47113</v>
      </c>
      <c r="L7065">
        <v>17.100000000000001</v>
      </c>
      <c r="M7065">
        <v>39</v>
      </c>
      <c r="N7065">
        <v>0</v>
      </c>
      <c r="O7065">
        <v>39</v>
      </c>
      <c r="P7065">
        <v>0</v>
      </c>
    </row>
    <row r="7066" spans="1:16" x14ac:dyDescent="0.25">
      <c r="A7066" t="s">
        <v>29559</v>
      </c>
      <c r="B7066" t="s">
        <v>5977</v>
      </c>
      <c r="C7066" t="s">
        <v>5978</v>
      </c>
      <c r="D7066" t="str">
        <f>"1001"</f>
        <v>1001</v>
      </c>
      <c r="E7066" t="s">
        <v>5979</v>
      </c>
      <c r="F7066" t="s">
        <v>2068</v>
      </c>
      <c r="G7066" t="s">
        <v>16224</v>
      </c>
      <c r="H7066" t="s">
        <v>47054</v>
      </c>
      <c r="I7066" t="s">
        <v>47120</v>
      </c>
      <c r="J7066" t="s">
        <v>47121</v>
      </c>
      <c r="K7066" t="s">
        <v>47113</v>
      </c>
      <c r="L7066">
        <v>117.3</v>
      </c>
      <c r="M7066">
        <v>265</v>
      </c>
      <c r="N7066">
        <v>0</v>
      </c>
      <c r="O7066">
        <v>265</v>
      </c>
      <c r="P7066">
        <v>0</v>
      </c>
    </row>
    <row r="7067" spans="1:16" x14ac:dyDescent="0.25">
      <c r="A7067" t="s">
        <v>29560</v>
      </c>
      <c r="B7067" t="s">
        <v>5980</v>
      </c>
      <c r="C7067" t="s">
        <v>5981</v>
      </c>
      <c r="D7067" t="str">
        <f>"1024"</f>
        <v>1024</v>
      </c>
      <c r="E7067" t="s">
        <v>5913</v>
      </c>
      <c r="F7067" t="s">
        <v>3546</v>
      </c>
      <c r="G7067" t="s">
        <v>16230</v>
      </c>
      <c r="H7067" t="s">
        <v>47054</v>
      </c>
      <c r="I7067" t="s">
        <v>47118</v>
      </c>
      <c r="J7067" t="s">
        <v>47119</v>
      </c>
      <c r="K7067" t="s">
        <v>47113</v>
      </c>
      <c r="L7067">
        <v>16.329999999999998</v>
      </c>
      <c r="M7067">
        <v>40</v>
      </c>
      <c r="N7067">
        <v>0</v>
      </c>
      <c r="O7067">
        <v>40</v>
      </c>
      <c r="P7067">
        <v>0</v>
      </c>
    </row>
    <row r="7068" spans="1:16" x14ac:dyDescent="0.25">
      <c r="A7068" t="s">
        <v>29561</v>
      </c>
      <c r="B7068" t="s">
        <v>5982</v>
      </c>
      <c r="C7068" t="s">
        <v>5973</v>
      </c>
      <c r="D7068" t="str">
        <f>"4759"</f>
        <v>4759</v>
      </c>
      <c r="E7068" t="s">
        <v>5983</v>
      </c>
      <c r="F7068" t="s">
        <v>1</v>
      </c>
      <c r="G7068" t="s">
        <v>16230</v>
      </c>
      <c r="H7068" t="s">
        <v>47054</v>
      </c>
      <c r="I7068" t="s">
        <v>47120</v>
      </c>
      <c r="J7068" t="s">
        <v>47121</v>
      </c>
      <c r="K7068" t="s">
        <v>47113</v>
      </c>
      <c r="L7068">
        <v>25.72</v>
      </c>
      <c r="M7068">
        <v>63</v>
      </c>
      <c r="N7068">
        <v>0</v>
      </c>
      <c r="O7068">
        <v>63</v>
      </c>
      <c r="P7068">
        <v>0</v>
      </c>
    </row>
    <row r="7069" spans="1:16" x14ac:dyDescent="0.25">
      <c r="A7069" t="s">
        <v>29562</v>
      </c>
      <c r="B7069" t="s">
        <v>5984</v>
      </c>
      <c r="C7069" t="s">
        <v>5985</v>
      </c>
      <c r="D7069" t="str">
        <f>"3515"</f>
        <v>3515</v>
      </c>
      <c r="E7069" t="s">
        <v>5986</v>
      </c>
      <c r="F7069" t="s">
        <v>2068</v>
      </c>
      <c r="G7069" t="s">
        <v>16231</v>
      </c>
      <c r="H7069" t="s">
        <v>47054</v>
      </c>
      <c r="I7069" t="s">
        <v>47111</v>
      </c>
      <c r="J7069" t="s">
        <v>47112</v>
      </c>
      <c r="K7069" t="s">
        <v>47113</v>
      </c>
      <c r="L7069">
        <v>66.03</v>
      </c>
      <c r="M7069">
        <v>149</v>
      </c>
      <c r="N7069">
        <v>0</v>
      </c>
      <c r="O7069">
        <v>149</v>
      </c>
      <c r="P7069">
        <v>0</v>
      </c>
    </row>
    <row r="7070" spans="1:16" x14ac:dyDescent="0.25">
      <c r="A7070" t="s">
        <v>29563</v>
      </c>
      <c r="B7070" t="s">
        <v>5987</v>
      </c>
      <c r="C7070" t="s">
        <v>5988</v>
      </c>
      <c r="D7070" t="str">
        <f>"3515"</f>
        <v>3515</v>
      </c>
      <c r="E7070" t="s">
        <v>5986</v>
      </c>
      <c r="F7070" t="s">
        <v>2068</v>
      </c>
      <c r="G7070" t="s">
        <v>16231</v>
      </c>
      <c r="H7070" t="s">
        <v>47054</v>
      </c>
      <c r="I7070" t="s">
        <v>47111</v>
      </c>
      <c r="J7070" t="s">
        <v>47112</v>
      </c>
      <c r="K7070" t="s">
        <v>47113</v>
      </c>
      <c r="L7070">
        <v>64.02</v>
      </c>
      <c r="M7070">
        <v>145</v>
      </c>
      <c r="N7070">
        <v>0</v>
      </c>
      <c r="O7070">
        <v>145</v>
      </c>
      <c r="P7070">
        <v>0</v>
      </c>
    </row>
    <row r="7071" spans="1:16" x14ac:dyDescent="0.25">
      <c r="A7071" t="s">
        <v>29564</v>
      </c>
      <c r="B7071" t="s">
        <v>14528</v>
      </c>
      <c r="C7071" t="s">
        <v>14527</v>
      </c>
      <c r="D7071" t="str">
        <f>"1323"</f>
        <v>1323</v>
      </c>
      <c r="E7071" t="s">
        <v>14529</v>
      </c>
      <c r="F7071" t="s">
        <v>3750</v>
      </c>
      <c r="G7071" t="s">
        <v>16234</v>
      </c>
      <c r="H7071" t="s">
        <v>47054</v>
      </c>
      <c r="I7071" t="s">
        <v>47120</v>
      </c>
      <c r="J7071" t="s">
        <v>47121</v>
      </c>
      <c r="K7071" t="s">
        <v>47113</v>
      </c>
      <c r="L7071">
        <v>21.68</v>
      </c>
      <c r="M7071">
        <v>69</v>
      </c>
      <c r="N7071">
        <v>0</v>
      </c>
      <c r="O7071">
        <v>69</v>
      </c>
      <c r="P7071">
        <v>0</v>
      </c>
    </row>
    <row r="7072" spans="1:16" x14ac:dyDescent="0.25">
      <c r="A7072" t="s">
        <v>29565</v>
      </c>
      <c r="B7072" t="s">
        <v>14528</v>
      </c>
      <c r="C7072" t="s">
        <v>14527</v>
      </c>
      <c r="D7072" t="str">
        <f>"6481"</f>
        <v>6481</v>
      </c>
      <c r="E7072" t="s">
        <v>14526</v>
      </c>
      <c r="F7072" t="s">
        <v>3750</v>
      </c>
      <c r="G7072" t="s">
        <v>16234</v>
      </c>
      <c r="H7072" t="s">
        <v>47054</v>
      </c>
      <c r="I7072" t="s">
        <v>47120</v>
      </c>
      <c r="J7072" t="s">
        <v>47121</v>
      </c>
      <c r="K7072" t="s">
        <v>47113</v>
      </c>
      <c r="L7072">
        <v>21.68</v>
      </c>
      <c r="M7072">
        <v>69</v>
      </c>
      <c r="N7072">
        <v>0</v>
      </c>
      <c r="O7072">
        <v>69</v>
      </c>
      <c r="P7072">
        <v>0</v>
      </c>
    </row>
    <row r="7073" spans="1:16" x14ac:dyDescent="0.25">
      <c r="A7073" t="s">
        <v>29566</v>
      </c>
      <c r="B7073" t="s">
        <v>15245</v>
      </c>
      <c r="C7073" t="s">
        <v>14527</v>
      </c>
      <c r="D7073" t="str">
        <f>"1001"</f>
        <v>1001</v>
      </c>
      <c r="E7073" t="s">
        <v>15246</v>
      </c>
      <c r="F7073" t="s">
        <v>3750</v>
      </c>
      <c r="G7073" t="s">
        <v>16234</v>
      </c>
      <c r="H7073" t="s">
        <v>47054</v>
      </c>
      <c r="I7073" t="s">
        <v>47120</v>
      </c>
      <c r="J7073" t="s">
        <v>47121</v>
      </c>
      <c r="K7073" t="s">
        <v>47113</v>
      </c>
      <c r="L7073">
        <v>14.33</v>
      </c>
      <c r="M7073">
        <v>69</v>
      </c>
      <c r="N7073">
        <v>0</v>
      </c>
      <c r="O7073">
        <v>69</v>
      </c>
      <c r="P7073">
        <v>0</v>
      </c>
    </row>
    <row r="7074" spans="1:16" x14ac:dyDescent="0.25">
      <c r="A7074" t="s">
        <v>29567</v>
      </c>
      <c r="B7074" t="s">
        <v>15247</v>
      </c>
      <c r="C7074" t="s">
        <v>15248</v>
      </c>
      <c r="D7074" t="str">
        <f>"4100"</f>
        <v>4100</v>
      </c>
      <c r="E7074" t="s">
        <v>15249</v>
      </c>
      <c r="F7074" t="s">
        <v>3750</v>
      </c>
      <c r="G7074" t="s">
        <v>16234</v>
      </c>
      <c r="H7074" t="s">
        <v>47054</v>
      </c>
      <c r="I7074" t="s">
        <v>47120</v>
      </c>
      <c r="J7074" t="s">
        <v>47121</v>
      </c>
      <c r="K7074" t="s">
        <v>47113</v>
      </c>
      <c r="L7074">
        <v>14.33</v>
      </c>
      <c r="M7074">
        <v>69</v>
      </c>
      <c r="N7074">
        <v>0</v>
      </c>
      <c r="O7074">
        <v>69</v>
      </c>
      <c r="P7074">
        <v>0</v>
      </c>
    </row>
    <row r="7075" spans="1:16" x14ac:dyDescent="0.25">
      <c r="A7075" t="s">
        <v>29568</v>
      </c>
      <c r="B7075" t="s">
        <v>5989</v>
      </c>
      <c r="C7075" t="s">
        <v>5990</v>
      </c>
      <c r="D7075" t="str">
        <f>"1001"</f>
        <v>1001</v>
      </c>
      <c r="E7075" t="s">
        <v>5991</v>
      </c>
      <c r="F7075" t="s">
        <v>2068</v>
      </c>
      <c r="G7075" t="s">
        <v>16234</v>
      </c>
      <c r="H7075" t="s">
        <v>47054</v>
      </c>
      <c r="I7075" t="s">
        <v>47120</v>
      </c>
      <c r="J7075" t="s">
        <v>47121</v>
      </c>
      <c r="K7075" t="s">
        <v>47113</v>
      </c>
      <c r="L7075">
        <v>25.45</v>
      </c>
      <c r="M7075">
        <v>58</v>
      </c>
      <c r="N7075">
        <v>0</v>
      </c>
      <c r="O7075">
        <v>58</v>
      </c>
      <c r="P7075">
        <v>0</v>
      </c>
    </row>
    <row r="7076" spans="1:16" x14ac:dyDescent="0.25">
      <c r="A7076" t="s">
        <v>29569</v>
      </c>
      <c r="B7076" t="s">
        <v>5989</v>
      </c>
      <c r="C7076" t="s">
        <v>5990</v>
      </c>
      <c r="D7076" t="str">
        <f>"2371"</f>
        <v>2371</v>
      </c>
      <c r="E7076" t="s">
        <v>5992</v>
      </c>
      <c r="F7076" t="s">
        <v>2068</v>
      </c>
      <c r="G7076" t="s">
        <v>16234</v>
      </c>
      <c r="H7076" t="s">
        <v>47054</v>
      </c>
      <c r="I7076" t="s">
        <v>47120</v>
      </c>
      <c r="J7076" t="s">
        <v>47121</v>
      </c>
      <c r="K7076" t="s">
        <v>47113</v>
      </c>
      <c r="L7076">
        <v>25.45</v>
      </c>
      <c r="M7076">
        <v>58</v>
      </c>
      <c r="N7076">
        <v>0</v>
      </c>
      <c r="O7076">
        <v>58</v>
      </c>
      <c r="P7076">
        <v>0</v>
      </c>
    </row>
    <row r="7077" spans="1:16" x14ac:dyDescent="0.25">
      <c r="A7077" t="s">
        <v>29570</v>
      </c>
      <c r="B7077" t="s">
        <v>5989</v>
      </c>
      <c r="C7077" t="s">
        <v>5990</v>
      </c>
      <c r="D7077" t="str">
        <f>"2372"</f>
        <v>2372</v>
      </c>
      <c r="E7077" t="s">
        <v>5993</v>
      </c>
      <c r="F7077" t="s">
        <v>2068</v>
      </c>
      <c r="G7077" t="s">
        <v>16234</v>
      </c>
      <c r="H7077" t="s">
        <v>47054</v>
      </c>
      <c r="I7077" t="s">
        <v>47120</v>
      </c>
      <c r="J7077" t="s">
        <v>47121</v>
      </c>
      <c r="K7077" t="s">
        <v>47113</v>
      </c>
      <c r="L7077">
        <v>25.45</v>
      </c>
      <c r="M7077">
        <v>58</v>
      </c>
      <c r="N7077">
        <v>0</v>
      </c>
      <c r="O7077">
        <v>58</v>
      </c>
      <c r="P7077">
        <v>0</v>
      </c>
    </row>
    <row r="7078" spans="1:16" x14ac:dyDescent="0.25">
      <c r="A7078" t="s">
        <v>29571</v>
      </c>
      <c r="B7078" t="s">
        <v>5989</v>
      </c>
      <c r="C7078" t="s">
        <v>5990</v>
      </c>
      <c r="D7078" t="str">
        <f>"6472"</f>
        <v>6472</v>
      </c>
      <c r="E7078" t="s">
        <v>5994</v>
      </c>
      <c r="F7078" t="s">
        <v>2068</v>
      </c>
      <c r="G7078" t="s">
        <v>16234</v>
      </c>
      <c r="H7078" t="s">
        <v>47054</v>
      </c>
      <c r="I7078" t="s">
        <v>47120</v>
      </c>
      <c r="J7078" t="s">
        <v>47121</v>
      </c>
      <c r="K7078" t="s">
        <v>47113</v>
      </c>
      <c r="L7078">
        <v>25.45</v>
      </c>
      <c r="M7078">
        <v>58</v>
      </c>
      <c r="N7078">
        <v>0</v>
      </c>
      <c r="O7078">
        <v>58</v>
      </c>
      <c r="P7078">
        <v>0</v>
      </c>
    </row>
    <row r="7079" spans="1:16" x14ac:dyDescent="0.25">
      <c r="A7079" t="s">
        <v>29572</v>
      </c>
      <c r="B7079" t="s">
        <v>5995</v>
      </c>
      <c r="C7079" t="s">
        <v>5996</v>
      </c>
      <c r="D7079" t="str">
        <f>"1001"</f>
        <v>1001</v>
      </c>
      <c r="E7079" t="s">
        <v>5991</v>
      </c>
      <c r="F7079" t="s">
        <v>2068</v>
      </c>
      <c r="G7079" t="s">
        <v>16234</v>
      </c>
      <c r="H7079" t="s">
        <v>47054</v>
      </c>
      <c r="I7079" t="s">
        <v>47120</v>
      </c>
      <c r="J7079" t="s">
        <v>47121</v>
      </c>
      <c r="K7079" t="s">
        <v>47113</v>
      </c>
      <c r="L7079">
        <v>24.37</v>
      </c>
      <c r="M7079">
        <v>55</v>
      </c>
      <c r="N7079">
        <v>0</v>
      </c>
      <c r="O7079">
        <v>55</v>
      </c>
      <c r="P7079">
        <v>0</v>
      </c>
    </row>
    <row r="7080" spans="1:16" x14ac:dyDescent="0.25">
      <c r="A7080" t="s">
        <v>29573</v>
      </c>
      <c r="B7080" t="s">
        <v>5995</v>
      </c>
      <c r="C7080" t="s">
        <v>5996</v>
      </c>
      <c r="D7080" t="str">
        <f>"2371"</f>
        <v>2371</v>
      </c>
      <c r="E7080" t="s">
        <v>5992</v>
      </c>
      <c r="F7080" t="s">
        <v>2068</v>
      </c>
      <c r="G7080" t="s">
        <v>16234</v>
      </c>
      <c r="H7080" t="s">
        <v>47054</v>
      </c>
      <c r="I7080" t="s">
        <v>47120</v>
      </c>
      <c r="J7080" t="s">
        <v>47121</v>
      </c>
      <c r="K7080" t="s">
        <v>47113</v>
      </c>
      <c r="L7080">
        <v>24.37</v>
      </c>
      <c r="M7080">
        <v>55</v>
      </c>
      <c r="N7080">
        <v>0</v>
      </c>
      <c r="O7080">
        <v>55</v>
      </c>
      <c r="P7080">
        <v>0</v>
      </c>
    </row>
    <row r="7081" spans="1:16" x14ac:dyDescent="0.25">
      <c r="A7081" t="s">
        <v>29574</v>
      </c>
      <c r="B7081" t="s">
        <v>5995</v>
      </c>
      <c r="C7081" t="s">
        <v>5996</v>
      </c>
      <c r="D7081" t="str">
        <f>"2372"</f>
        <v>2372</v>
      </c>
      <c r="E7081" t="s">
        <v>5993</v>
      </c>
      <c r="F7081" t="s">
        <v>2068</v>
      </c>
      <c r="G7081" t="s">
        <v>16234</v>
      </c>
      <c r="H7081" t="s">
        <v>47054</v>
      </c>
      <c r="I7081" t="s">
        <v>47120</v>
      </c>
      <c r="J7081" t="s">
        <v>47121</v>
      </c>
      <c r="K7081" t="s">
        <v>47113</v>
      </c>
      <c r="L7081">
        <v>24.37</v>
      </c>
      <c r="M7081">
        <v>55</v>
      </c>
      <c r="N7081">
        <v>0</v>
      </c>
      <c r="O7081">
        <v>55</v>
      </c>
      <c r="P7081">
        <v>0</v>
      </c>
    </row>
    <row r="7082" spans="1:16" x14ac:dyDescent="0.25">
      <c r="A7082" t="s">
        <v>29575</v>
      </c>
      <c r="B7082" t="s">
        <v>5995</v>
      </c>
      <c r="C7082" t="s">
        <v>5996</v>
      </c>
      <c r="D7082" t="str">
        <f>"6472"</f>
        <v>6472</v>
      </c>
      <c r="E7082" t="s">
        <v>5994</v>
      </c>
      <c r="F7082" t="s">
        <v>2068</v>
      </c>
      <c r="G7082" t="s">
        <v>16234</v>
      </c>
      <c r="H7082" t="s">
        <v>47054</v>
      </c>
      <c r="I7082" t="s">
        <v>47120</v>
      </c>
      <c r="J7082" t="s">
        <v>47121</v>
      </c>
      <c r="K7082" t="s">
        <v>47113</v>
      </c>
      <c r="L7082">
        <v>24.37</v>
      </c>
      <c r="M7082">
        <v>55</v>
      </c>
      <c r="N7082">
        <v>0</v>
      </c>
      <c r="O7082">
        <v>55</v>
      </c>
      <c r="P7082">
        <v>0</v>
      </c>
    </row>
    <row r="7083" spans="1:16" x14ac:dyDescent="0.25">
      <c r="A7083" t="s">
        <v>29576</v>
      </c>
      <c r="B7083" t="s">
        <v>5997</v>
      </c>
      <c r="C7083" t="s">
        <v>5998</v>
      </c>
      <c r="D7083" t="str">
        <f>"1001"</f>
        <v>1001</v>
      </c>
      <c r="E7083" t="s">
        <v>5991</v>
      </c>
      <c r="F7083" t="s">
        <v>2068</v>
      </c>
      <c r="G7083" t="s">
        <v>16234</v>
      </c>
      <c r="H7083" t="s">
        <v>47054</v>
      </c>
      <c r="I7083" t="s">
        <v>47120</v>
      </c>
      <c r="J7083" t="s">
        <v>47121</v>
      </c>
      <c r="K7083" t="s">
        <v>47113</v>
      </c>
      <c r="L7083">
        <v>24.36</v>
      </c>
      <c r="M7083">
        <v>60</v>
      </c>
      <c r="N7083">
        <v>0</v>
      </c>
      <c r="O7083">
        <v>60</v>
      </c>
      <c r="P7083">
        <v>0</v>
      </c>
    </row>
    <row r="7084" spans="1:16" x14ac:dyDescent="0.25">
      <c r="A7084" t="s">
        <v>29577</v>
      </c>
      <c r="B7084" t="s">
        <v>5997</v>
      </c>
      <c r="C7084" t="s">
        <v>5998</v>
      </c>
      <c r="D7084" t="str">
        <f>"2371"</f>
        <v>2371</v>
      </c>
      <c r="E7084" t="s">
        <v>5992</v>
      </c>
      <c r="F7084" t="s">
        <v>2068</v>
      </c>
      <c r="G7084" t="s">
        <v>16234</v>
      </c>
      <c r="H7084" t="s">
        <v>47054</v>
      </c>
      <c r="I7084" t="s">
        <v>47120</v>
      </c>
      <c r="J7084" t="s">
        <v>47121</v>
      </c>
      <c r="K7084" t="s">
        <v>47113</v>
      </c>
      <c r="L7084">
        <v>24.36</v>
      </c>
      <c r="M7084">
        <v>60</v>
      </c>
      <c r="N7084">
        <v>0</v>
      </c>
      <c r="O7084">
        <v>60</v>
      </c>
      <c r="P7084">
        <v>0</v>
      </c>
    </row>
    <row r="7085" spans="1:16" x14ac:dyDescent="0.25">
      <c r="A7085" t="s">
        <v>29578</v>
      </c>
      <c r="B7085" t="s">
        <v>5997</v>
      </c>
      <c r="C7085" t="s">
        <v>5998</v>
      </c>
      <c r="D7085" t="str">
        <f>"2372"</f>
        <v>2372</v>
      </c>
      <c r="E7085" t="s">
        <v>5993</v>
      </c>
      <c r="F7085" t="s">
        <v>2068</v>
      </c>
      <c r="G7085" t="s">
        <v>16234</v>
      </c>
      <c r="H7085" t="s">
        <v>47054</v>
      </c>
      <c r="I7085" t="s">
        <v>47120</v>
      </c>
      <c r="J7085" t="s">
        <v>47121</v>
      </c>
      <c r="K7085" t="s">
        <v>47113</v>
      </c>
      <c r="L7085">
        <v>24.36</v>
      </c>
      <c r="M7085">
        <v>60</v>
      </c>
      <c r="N7085">
        <v>0</v>
      </c>
      <c r="O7085">
        <v>60</v>
      </c>
      <c r="P7085">
        <v>0</v>
      </c>
    </row>
    <row r="7086" spans="1:16" x14ac:dyDescent="0.25">
      <c r="A7086" t="s">
        <v>29579</v>
      </c>
      <c r="B7086" t="s">
        <v>5997</v>
      </c>
      <c r="C7086" t="s">
        <v>5998</v>
      </c>
      <c r="D7086" t="str">
        <f>"6472"</f>
        <v>6472</v>
      </c>
      <c r="E7086" t="s">
        <v>5994</v>
      </c>
      <c r="F7086" t="s">
        <v>2068</v>
      </c>
      <c r="G7086" t="s">
        <v>16234</v>
      </c>
      <c r="H7086" t="s">
        <v>47054</v>
      </c>
      <c r="I7086" t="s">
        <v>47120</v>
      </c>
      <c r="J7086" t="s">
        <v>47121</v>
      </c>
      <c r="K7086" t="s">
        <v>47113</v>
      </c>
      <c r="L7086">
        <v>24.36</v>
      </c>
      <c r="M7086">
        <v>60</v>
      </c>
      <c r="N7086">
        <v>0</v>
      </c>
      <c r="O7086">
        <v>60</v>
      </c>
      <c r="P7086">
        <v>0</v>
      </c>
    </row>
    <row r="7087" spans="1:16" x14ac:dyDescent="0.25">
      <c r="A7087" t="s">
        <v>29580</v>
      </c>
      <c r="B7087" t="s">
        <v>5999</v>
      </c>
      <c r="C7087" t="s">
        <v>6000</v>
      </c>
      <c r="D7087" t="str">
        <f>"1001"</f>
        <v>1001</v>
      </c>
      <c r="E7087" t="s">
        <v>6001</v>
      </c>
      <c r="F7087" t="s">
        <v>3546</v>
      </c>
      <c r="G7087" t="s">
        <v>16235</v>
      </c>
      <c r="H7087" t="s">
        <v>47054</v>
      </c>
      <c r="I7087" t="s">
        <v>47120</v>
      </c>
      <c r="J7087" t="s">
        <v>47121</v>
      </c>
      <c r="K7087" t="s">
        <v>47113</v>
      </c>
      <c r="L7087">
        <v>24.83</v>
      </c>
      <c r="M7087">
        <v>57</v>
      </c>
      <c r="N7087">
        <v>0</v>
      </c>
      <c r="O7087">
        <v>57</v>
      </c>
      <c r="P7087">
        <v>0</v>
      </c>
    </row>
    <row r="7088" spans="1:16" x14ac:dyDescent="0.25">
      <c r="A7088" t="s">
        <v>29581</v>
      </c>
      <c r="B7088" t="s">
        <v>5999</v>
      </c>
      <c r="C7088" t="s">
        <v>6000</v>
      </c>
      <c r="D7088" t="str">
        <f>"1492"</f>
        <v>1492</v>
      </c>
      <c r="E7088" t="s">
        <v>6002</v>
      </c>
      <c r="F7088" t="s">
        <v>3546</v>
      </c>
      <c r="G7088" t="s">
        <v>16235</v>
      </c>
      <c r="H7088" t="s">
        <v>47054</v>
      </c>
      <c r="I7088" t="s">
        <v>47120</v>
      </c>
      <c r="J7088" t="s">
        <v>47121</v>
      </c>
      <c r="K7088" t="s">
        <v>47113</v>
      </c>
      <c r="L7088">
        <v>24.83</v>
      </c>
      <c r="M7088">
        <v>57</v>
      </c>
      <c r="N7088">
        <v>0</v>
      </c>
      <c r="O7088">
        <v>57</v>
      </c>
      <c r="P7088">
        <v>0</v>
      </c>
    </row>
    <row r="7089" spans="1:16" x14ac:dyDescent="0.25">
      <c r="A7089" t="s">
        <v>29582</v>
      </c>
      <c r="B7089" t="s">
        <v>6003</v>
      </c>
      <c r="C7089" t="s">
        <v>6004</v>
      </c>
      <c r="D7089" t="str">
        <f>"1001"</f>
        <v>1001</v>
      </c>
      <c r="E7089" t="s">
        <v>6005</v>
      </c>
      <c r="F7089" t="s">
        <v>3546</v>
      </c>
      <c r="G7089" t="s">
        <v>46686</v>
      </c>
      <c r="H7089" t="s">
        <v>47054</v>
      </c>
      <c r="I7089" t="s">
        <v>47120</v>
      </c>
      <c r="J7089" t="s">
        <v>47121</v>
      </c>
      <c r="K7089" t="s">
        <v>47113</v>
      </c>
      <c r="L7089">
        <v>33.630000000000003</v>
      </c>
      <c r="M7089">
        <v>61</v>
      </c>
      <c r="N7089">
        <v>0</v>
      </c>
      <c r="O7089">
        <v>61</v>
      </c>
      <c r="P7089">
        <v>0</v>
      </c>
    </row>
    <row r="7090" spans="1:16" x14ac:dyDescent="0.25">
      <c r="A7090" t="s">
        <v>29583</v>
      </c>
      <c r="B7090" t="s">
        <v>6003</v>
      </c>
      <c r="C7090" t="s">
        <v>6004</v>
      </c>
      <c r="D7090" t="str">
        <f>"1200"</f>
        <v>1200</v>
      </c>
      <c r="E7090" t="s">
        <v>6006</v>
      </c>
      <c r="F7090" t="s">
        <v>3546</v>
      </c>
      <c r="G7090" t="s">
        <v>46686</v>
      </c>
      <c r="H7090" t="s">
        <v>47054</v>
      </c>
      <c r="I7090" t="s">
        <v>47120</v>
      </c>
      <c r="J7090" t="s">
        <v>47121</v>
      </c>
      <c r="K7090" t="s">
        <v>47113</v>
      </c>
      <c r="L7090">
        <v>33.630000000000003</v>
      </c>
      <c r="M7090">
        <v>61</v>
      </c>
      <c r="N7090">
        <v>0</v>
      </c>
      <c r="O7090">
        <v>61</v>
      </c>
      <c r="P7090">
        <v>0</v>
      </c>
    </row>
    <row r="7091" spans="1:16" x14ac:dyDescent="0.25">
      <c r="A7091" t="s">
        <v>29584</v>
      </c>
      <c r="B7091" t="s">
        <v>6003</v>
      </c>
      <c r="C7091" t="s">
        <v>6004</v>
      </c>
      <c r="D7091" t="str">
        <f>"4031"</f>
        <v>4031</v>
      </c>
      <c r="E7091" t="s">
        <v>6007</v>
      </c>
      <c r="F7091" t="s">
        <v>3546</v>
      </c>
      <c r="G7091" t="s">
        <v>46686</v>
      </c>
      <c r="H7091" t="s">
        <v>47054</v>
      </c>
      <c r="I7091" t="s">
        <v>47120</v>
      </c>
      <c r="J7091" t="s">
        <v>47121</v>
      </c>
      <c r="K7091" t="s">
        <v>47113</v>
      </c>
      <c r="L7091">
        <v>33.630000000000003</v>
      </c>
      <c r="M7091">
        <v>61</v>
      </c>
      <c r="N7091">
        <v>0</v>
      </c>
      <c r="O7091">
        <v>61</v>
      </c>
      <c r="P7091">
        <v>0</v>
      </c>
    </row>
    <row r="7092" spans="1:16" x14ac:dyDescent="0.25">
      <c r="A7092" t="s">
        <v>29585</v>
      </c>
      <c r="B7092" t="s">
        <v>6008</v>
      </c>
      <c r="C7092" t="s">
        <v>6009</v>
      </c>
      <c r="D7092" t="str">
        <f>"2000"</f>
        <v>2000</v>
      </c>
      <c r="E7092" t="s">
        <v>248</v>
      </c>
      <c r="F7092" t="s">
        <v>3546</v>
      </c>
      <c r="G7092" t="s">
        <v>16224</v>
      </c>
      <c r="H7092" t="s">
        <v>47054</v>
      </c>
      <c r="I7092" t="s">
        <v>47120</v>
      </c>
      <c r="J7092" t="s">
        <v>47121</v>
      </c>
      <c r="K7092" t="s">
        <v>47113</v>
      </c>
      <c r="L7092">
        <v>173.97</v>
      </c>
      <c r="M7092">
        <v>307</v>
      </c>
      <c r="N7092">
        <v>0</v>
      </c>
      <c r="O7092">
        <v>307</v>
      </c>
      <c r="P7092">
        <v>0</v>
      </c>
    </row>
    <row r="7093" spans="1:16" x14ac:dyDescent="0.25">
      <c r="A7093" t="s">
        <v>29586</v>
      </c>
      <c r="B7093" t="s">
        <v>6008</v>
      </c>
      <c r="C7093" t="s">
        <v>6009</v>
      </c>
      <c r="D7093" t="str">
        <f>"6387"</f>
        <v>6387</v>
      </c>
      <c r="E7093" t="s">
        <v>6010</v>
      </c>
      <c r="F7093" t="s">
        <v>3546</v>
      </c>
      <c r="G7093" t="s">
        <v>16224</v>
      </c>
      <c r="H7093" t="s">
        <v>47054</v>
      </c>
      <c r="I7093" t="s">
        <v>47120</v>
      </c>
      <c r="J7093" t="s">
        <v>47121</v>
      </c>
      <c r="K7093" t="s">
        <v>47113</v>
      </c>
      <c r="L7093">
        <v>173.97</v>
      </c>
      <c r="M7093">
        <v>307</v>
      </c>
      <c r="N7093">
        <v>0</v>
      </c>
      <c r="O7093">
        <v>307</v>
      </c>
      <c r="P7093">
        <v>0</v>
      </c>
    </row>
    <row r="7094" spans="1:16" x14ac:dyDescent="0.25">
      <c r="A7094" t="s">
        <v>29587</v>
      </c>
      <c r="B7094" t="s">
        <v>6011</v>
      </c>
      <c r="C7094" t="s">
        <v>6012</v>
      </c>
      <c r="D7094" t="str">
        <f>"1001"</f>
        <v>1001</v>
      </c>
      <c r="E7094" t="s">
        <v>42</v>
      </c>
      <c r="F7094" t="s">
        <v>3546</v>
      </c>
      <c r="G7094" t="s">
        <v>16224</v>
      </c>
      <c r="H7094" t="s">
        <v>47054</v>
      </c>
      <c r="I7094" t="s">
        <v>47120</v>
      </c>
      <c r="J7094" t="s">
        <v>47121</v>
      </c>
      <c r="K7094" t="s">
        <v>47113</v>
      </c>
      <c r="L7094">
        <v>164.15</v>
      </c>
      <c r="M7094">
        <v>268</v>
      </c>
      <c r="N7094">
        <v>0</v>
      </c>
      <c r="O7094">
        <v>268</v>
      </c>
      <c r="P7094">
        <v>0</v>
      </c>
    </row>
    <row r="7095" spans="1:16" x14ac:dyDescent="0.25">
      <c r="A7095" t="s">
        <v>29588</v>
      </c>
      <c r="B7095" t="s">
        <v>6013</v>
      </c>
      <c r="C7095" t="s">
        <v>6014</v>
      </c>
      <c r="D7095" t="str">
        <f>"2389"</f>
        <v>2389</v>
      </c>
      <c r="E7095" t="s">
        <v>6015</v>
      </c>
      <c r="F7095" t="s">
        <v>3546</v>
      </c>
      <c r="G7095" t="s">
        <v>16224</v>
      </c>
      <c r="H7095" t="s">
        <v>47054</v>
      </c>
      <c r="I7095" t="s">
        <v>47120</v>
      </c>
      <c r="J7095" t="s">
        <v>47121</v>
      </c>
      <c r="K7095" t="s">
        <v>47113</v>
      </c>
      <c r="L7095">
        <v>152.44999999999999</v>
      </c>
      <c r="M7095">
        <v>268</v>
      </c>
      <c r="N7095">
        <v>0</v>
      </c>
      <c r="O7095">
        <v>268</v>
      </c>
      <c r="P7095">
        <v>0</v>
      </c>
    </row>
    <row r="7096" spans="1:16" x14ac:dyDescent="0.25">
      <c r="A7096" t="s">
        <v>29589</v>
      </c>
      <c r="B7096" t="s">
        <v>6013</v>
      </c>
      <c r="C7096" t="s">
        <v>6014</v>
      </c>
      <c r="D7096" t="str">
        <f>"6387"</f>
        <v>6387</v>
      </c>
      <c r="E7096" t="s">
        <v>6010</v>
      </c>
      <c r="F7096" t="s">
        <v>3546</v>
      </c>
      <c r="G7096" t="s">
        <v>16224</v>
      </c>
      <c r="H7096" t="s">
        <v>47054</v>
      </c>
      <c r="I7096" t="s">
        <v>47120</v>
      </c>
      <c r="J7096" t="s">
        <v>47121</v>
      </c>
      <c r="K7096" t="s">
        <v>47113</v>
      </c>
      <c r="L7096">
        <v>152.44999999999999</v>
      </c>
      <c r="M7096">
        <v>268</v>
      </c>
      <c r="N7096">
        <v>0</v>
      </c>
      <c r="O7096">
        <v>268</v>
      </c>
      <c r="P7096">
        <v>0</v>
      </c>
    </row>
    <row r="7097" spans="1:16" x14ac:dyDescent="0.25">
      <c r="A7097" t="s">
        <v>14948</v>
      </c>
      <c r="B7097" t="s">
        <v>6016</v>
      </c>
      <c r="C7097" t="s">
        <v>6017</v>
      </c>
      <c r="D7097" t="s">
        <v>6018</v>
      </c>
      <c r="E7097" t="s">
        <v>6019</v>
      </c>
      <c r="F7097" t="s">
        <v>2068</v>
      </c>
      <c r="G7097" t="s">
        <v>16224</v>
      </c>
      <c r="H7097" t="s">
        <v>47054</v>
      </c>
      <c r="I7097" t="s">
        <v>47120</v>
      </c>
      <c r="J7097" t="s">
        <v>47121</v>
      </c>
      <c r="K7097" t="s">
        <v>47113</v>
      </c>
      <c r="L7097">
        <v>50.62</v>
      </c>
      <c r="M7097">
        <v>115</v>
      </c>
      <c r="N7097">
        <v>0</v>
      </c>
      <c r="O7097">
        <v>115</v>
      </c>
      <c r="P7097">
        <v>0</v>
      </c>
    </row>
    <row r="7098" spans="1:16" x14ac:dyDescent="0.25">
      <c r="A7098" t="s">
        <v>29590</v>
      </c>
      <c r="B7098" t="s">
        <v>6020</v>
      </c>
      <c r="C7098" t="s">
        <v>6021</v>
      </c>
      <c r="D7098" t="str">
        <f>"1469"</f>
        <v>1469</v>
      </c>
      <c r="E7098" t="s">
        <v>6022</v>
      </c>
      <c r="F7098" t="s">
        <v>2068</v>
      </c>
      <c r="G7098" t="s">
        <v>16235</v>
      </c>
      <c r="H7098" t="s">
        <v>47054</v>
      </c>
      <c r="I7098" t="s">
        <v>47118</v>
      </c>
      <c r="J7098" t="s">
        <v>47119</v>
      </c>
      <c r="K7098" t="s">
        <v>47113</v>
      </c>
      <c r="L7098">
        <v>13.31</v>
      </c>
      <c r="M7098">
        <v>30</v>
      </c>
      <c r="N7098">
        <v>0</v>
      </c>
      <c r="O7098">
        <v>30</v>
      </c>
      <c r="P7098">
        <v>0</v>
      </c>
    </row>
    <row r="7099" spans="1:16" x14ac:dyDescent="0.25">
      <c r="A7099" t="s">
        <v>14949</v>
      </c>
      <c r="B7099" t="s">
        <v>6020</v>
      </c>
      <c r="C7099" t="s">
        <v>6021</v>
      </c>
      <c r="D7099" t="str">
        <f>"4044"</f>
        <v>4044</v>
      </c>
      <c r="E7099" t="s">
        <v>6023</v>
      </c>
      <c r="F7099" t="s">
        <v>2068</v>
      </c>
      <c r="G7099" t="s">
        <v>16235</v>
      </c>
      <c r="H7099" t="s">
        <v>47054</v>
      </c>
      <c r="I7099" t="s">
        <v>47118</v>
      </c>
      <c r="J7099" t="s">
        <v>47119</v>
      </c>
      <c r="K7099" t="s">
        <v>47113</v>
      </c>
      <c r="L7099">
        <v>13.31</v>
      </c>
      <c r="M7099">
        <v>30</v>
      </c>
      <c r="N7099">
        <v>0</v>
      </c>
      <c r="O7099">
        <v>30</v>
      </c>
      <c r="P7099">
        <v>0</v>
      </c>
    </row>
    <row r="7100" spans="1:16" x14ac:dyDescent="0.25">
      <c r="A7100" t="s">
        <v>29591</v>
      </c>
      <c r="B7100" t="s">
        <v>6020</v>
      </c>
      <c r="C7100" t="s">
        <v>6021</v>
      </c>
      <c r="D7100" t="str">
        <f>"4048"</f>
        <v>4048</v>
      </c>
      <c r="E7100" t="s">
        <v>710</v>
      </c>
      <c r="F7100" t="s">
        <v>2068</v>
      </c>
      <c r="G7100" t="s">
        <v>16235</v>
      </c>
      <c r="H7100" t="s">
        <v>47054</v>
      </c>
      <c r="I7100" t="s">
        <v>47118</v>
      </c>
      <c r="J7100" t="s">
        <v>47119</v>
      </c>
      <c r="K7100" t="s">
        <v>47113</v>
      </c>
      <c r="L7100">
        <v>13.31</v>
      </c>
      <c r="M7100">
        <v>30</v>
      </c>
      <c r="N7100">
        <v>0</v>
      </c>
      <c r="O7100">
        <v>30</v>
      </c>
      <c r="P7100">
        <v>0</v>
      </c>
    </row>
    <row r="7101" spans="1:16" x14ac:dyDescent="0.25">
      <c r="A7101" t="s">
        <v>29592</v>
      </c>
      <c r="B7101" t="s">
        <v>6024</v>
      </c>
      <c r="C7101" t="s">
        <v>6025</v>
      </c>
      <c r="D7101" t="str">
        <f>"1469"</f>
        <v>1469</v>
      </c>
      <c r="E7101" t="s">
        <v>6022</v>
      </c>
      <c r="F7101" t="s">
        <v>2068</v>
      </c>
      <c r="G7101" t="s">
        <v>16222</v>
      </c>
      <c r="H7101" t="s">
        <v>47054</v>
      </c>
      <c r="I7101" t="s">
        <v>47118</v>
      </c>
      <c r="J7101" t="s">
        <v>47119</v>
      </c>
      <c r="K7101" t="s">
        <v>47113</v>
      </c>
      <c r="L7101">
        <v>19.670000000000002</v>
      </c>
      <c r="M7101">
        <v>30</v>
      </c>
      <c r="N7101">
        <v>0</v>
      </c>
      <c r="O7101">
        <v>30</v>
      </c>
      <c r="P7101">
        <v>0</v>
      </c>
    </row>
    <row r="7102" spans="1:16" x14ac:dyDescent="0.25">
      <c r="A7102" t="s">
        <v>14950</v>
      </c>
      <c r="B7102" t="s">
        <v>6024</v>
      </c>
      <c r="C7102" t="s">
        <v>6025</v>
      </c>
      <c r="D7102" t="str">
        <f>"4044"</f>
        <v>4044</v>
      </c>
      <c r="E7102" t="s">
        <v>6023</v>
      </c>
      <c r="F7102" t="s">
        <v>2068</v>
      </c>
      <c r="G7102" t="s">
        <v>16222</v>
      </c>
      <c r="H7102" t="s">
        <v>47054</v>
      </c>
      <c r="I7102" t="s">
        <v>47118</v>
      </c>
      <c r="J7102" t="s">
        <v>47119</v>
      </c>
      <c r="K7102" t="s">
        <v>47113</v>
      </c>
      <c r="L7102">
        <v>19.670000000000002</v>
      </c>
      <c r="M7102">
        <v>30</v>
      </c>
      <c r="N7102">
        <v>0</v>
      </c>
      <c r="O7102">
        <v>30</v>
      </c>
      <c r="P7102">
        <v>0</v>
      </c>
    </row>
    <row r="7103" spans="1:16" x14ac:dyDescent="0.25">
      <c r="A7103" t="s">
        <v>29593</v>
      </c>
      <c r="B7103" t="s">
        <v>6026</v>
      </c>
      <c r="C7103" t="s">
        <v>6027</v>
      </c>
      <c r="D7103" t="str">
        <f>"1001"</f>
        <v>1001</v>
      </c>
      <c r="E7103" t="s">
        <v>5953</v>
      </c>
      <c r="F7103" t="s">
        <v>2068</v>
      </c>
      <c r="G7103" t="s">
        <v>16232</v>
      </c>
      <c r="H7103" t="s">
        <v>47054</v>
      </c>
      <c r="I7103" t="s">
        <v>47118</v>
      </c>
      <c r="J7103" t="s">
        <v>47119</v>
      </c>
      <c r="K7103" t="s">
        <v>47113</v>
      </c>
      <c r="L7103">
        <v>16.010000000000002</v>
      </c>
      <c r="M7103">
        <v>36</v>
      </c>
      <c r="N7103">
        <v>0</v>
      </c>
      <c r="O7103">
        <v>36</v>
      </c>
      <c r="P7103">
        <v>0</v>
      </c>
    </row>
    <row r="7104" spans="1:16" x14ac:dyDescent="0.25">
      <c r="A7104" t="s">
        <v>29594</v>
      </c>
      <c r="B7104" t="s">
        <v>6028</v>
      </c>
      <c r="C7104" t="s">
        <v>6029</v>
      </c>
      <c r="D7104" t="str">
        <f>"4912"</f>
        <v>4912</v>
      </c>
      <c r="E7104" t="s">
        <v>5875</v>
      </c>
      <c r="F7104" t="s">
        <v>3546</v>
      </c>
      <c r="G7104" t="s">
        <v>16235</v>
      </c>
      <c r="H7104" t="s">
        <v>47054</v>
      </c>
      <c r="I7104" t="s">
        <v>47118</v>
      </c>
      <c r="J7104" t="s">
        <v>47119</v>
      </c>
      <c r="K7104" t="s">
        <v>47113</v>
      </c>
      <c r="L7104">
        <v>16.559999999999999</v>
      </c>
      <c r="M7104">
        <v>45</v>
      </c>
      <c r="N7104">
        <v>0</v>
      </c>
      <c r="O7104">
        <v>45</v>
      </c>
      <c r="P7104">
        <v>0</v>
      </c>
    </row>
    <row r="7105" spans="1:16" x14ac:dyDescent="0.25">
      <c r="A7105" t="s">
        <v>29595</v>
      </c>
      <c r="B7105" t="s">
        <v>6030</v>
      </c>
      <c r="C7105" t="s">
        <v>5493</v>
      </c>
      <c r="D7105" t="str">
        <f>"4872"</f>
        <v>4872</v>
      </c>
      <c r="E7105" t="s">
        <v>6031</v>
      </c>
      <c r="F7105" t="s">
        <v>2068</v>
      </c>
      <c r="G7105" t="s">
        <v>16230</v>
      </c>
      <c r="H7105" t="s">
        <v>47054</v>
      </c>
      <c r="I7105" t="s">
        <v>47118</v>
      </c>
      <c r="J7105" t="s">
        <v>47119</v>
      </c>
      <c r="K7105" t="s">
        <v>47113</v>
      </c>
      <c r="L7105">
        <v>14.43</v>
      </c>
      <c r="M7105">
        <v>33</v>
      </c>
      <c r="N7105">
        <v>0</v>
      </c>
      <c r="O7105">
        <v>33</v>
      </c>
      <c r="P7105">
        <v>0</v>
      </c>
    </row>
    <row r="7106" spans="1:16" x14ac:dyDescent="0.25">
      <c r="A7106" t="s">
        <v>29596</v>
      </c>
      <c r="B7106" t="s">
        <v>6032</v>
      </c>
      <c r="C7106" t="s">
        <v>5973</v>
      </c>
      <c r="D7106" t="str">
        <f>"1466"</f>
        <v>1466</v>
      </c>
      <c r="E7106" t="s">
        <v>6033</v>
      </c>
      <c r="F7106" t="s">
        <v>2068</v>
      </c>
      <c r="G7106" t="s">
        <v>16230</v>
      </c>
      <c r="H7106" t="s">
        <v>47054</v>
      </c>
      <c r="I7106" t="s">
        <v>47118</v>
      </c>
      <c r="J7106" t="s">
        <v>47119</v>
      </c>
      <c r="K7106" t="s">
        <v>47113</v>
      </c>
      <c r="L7106">
        <v>14.62</v>
      </c>
      <c r="M7106">
        <v>33</v>
      </c>
      <c r="N7106">
        <v>0</v>
      </c>
      <c r="O7106">
        <v>33</v>
      </c>
      <c r="P7106">
        <v>0</v>
      </c>
    </row>
    <row r="7107" spans="1:16" x14ac:dyDescent="0.25">
      <c r="A7107" t="s">
        <v>29597</v>
      </c>
      <c r="B7107" t="s">
        <v>6034</v>
      </c>
      <c r="C7107" t="s">
        <v>6035</v>
      </c>
      <c r="D7107" t="str">
        <f>"1485"</f>
        <v>1485</v>
      </c>
      <c r="E7107" t="s">
        <v>6036</v>
      </c>
      <c r="F7107" t="s">
        <v>3546</v>
      </c>
      <c r="G7107" t="s">
        <v>46686</v>
      </c>
      <c r="H7107" t="s">
        <v>47054</v>
      </c>
      <c r="I7107" t="s">
        <v>47120</v>
      </c>
      <c r="J7107" t="s">
        <v>47121</v>
      </c>
      <c r="K7107" t="s">
        <v>47113</v>
      </c>
      <c r="L7107">
        <v>33.159999999999997</v>
      </c>
      <c r="M7107">
        <v>82</v>
      </c>
      <c r="N7107">
        <v>0</v>
      </c>
      <c r="O7107">
        <v>82</v>
      </c>
      <c r="P7107">
        <v>0</v>
      </c>
    </row>
    <row r="7108" spans="1:16" x14ac:dyDescent="0.25">
      <c r="A7108" t="s">
        <v>29598</v>
      </c>
      <c r="B7108" t="s">
        <v>6034</v>
      </c>
      <c r="C7108" t="s">
        <v>6035</v>
      </c>
      <c r="D7108" t="str">
        <f>"4082"</f>
        <v>4082</v>
      </c>
      <c r="E7108" t="s">
        <v>6037</v>
      </c>
      <c r="F7108" t="s">
        <v>3546</v>
      </c>
      <c r="G7108" t="s">
        <v>46686</v>
      </c>
      <c r="H7108" t="s">
        <v>47054</v>
      </c>
      <c r="I7108" t="s">
        <v>47120</v>
      </c>
      <c r="J7108" t="s">
        <v>47121</v>
      </c>
      <c r="K7108" t="s">
        <v>47113</v>
      </c>
      <c r="L7108">
        <v>33.159999999999997</v>
      </c>
      <c r="M7108">
        <v>82</v>
      </c>
      <c r="N7108">
        <v>0</v>
      </c>
      <c r="O7108">
        <v>82</v>
      </c>
      <c r="P7108">
        <v>0</v>
      </c>
    </row>
    <row r="7109" spans="1:16" x14ac:dyDescent="0.25">
      <c r="A7109" t="s">
        <v>29599</v>
      </c>
      <c r="B7109" t="s">
        <v>6038</v>
      </c>
      <c r="C7109" t="s">
        <v>6039</v>
      </c>
      <c r="D7109" t="str">
        <f>"4913"</f>
        <v>4913</v>
      </c>
      <c r="E7109" t="s">
        <v>6040</v>
      </c>
      <c r="F7109" t="s">
        <v>3546</v>
      </c>
      <c r="G7109" t="s">
        <v>46686</v>
      </c>
      <c r="H7109" t="s">
        <v>47054</v>
      </c>
      <c r="I7109" t="s">
        <v>47120</v>
      </c>
      <c r="J7109" t="s">
        <v>47121</v>
      </c>
      <c r="K7109" t="s">
        <v>47113</v>
      </c>
      <c r="L7109">
        <v>26.38</v>
      </c>
      <c r="M7109">
        <v>65</v>
      </c>
      <c r="N7109">
        <v>0</v>
      </c>
      <c r="O7109">
        <v>65</v>
      </c>
      <c r="P7109">
        <v>0</v>
      </c>
    </row>
    <row r="7110" spans="1:16" x14ac:dyDescent="0.25">
      <c r="A7110" t="s">
        <v>29600</v>
      </c>
      <c r="B7110" t="s">
        <v>15250</v>
      </c>
      <c r="C7110" t="s">
        <v>47543</v>
      </c>
      <c r="D7110" t="s">
        <v>15251</v>
      </c>
      <c r="E7110" t="s">
        <v>15252</v>
      </c>
      <c r="F7110" t="s">
        <v>15183</v>
      </c>
      <c r="G7110" t="s">
        <v>16231</v>
      </c>
      <c r="H7110" t="s">
        <v>47054</v>
      </c>
      <c r="I7110" t="s">
        <v>47111</v>
      </c>
      <c r="J7110" t="s">
        <v>47112</v>
      </c>
      <c r="K7110" t="s">
        <v>47113</v>
      </c>
      <c r="L7110">
        <v>45.68</v>
      </c>
      <c r="M7110">
        <v>90</v>
      </c>
      <c r="N7110">
        <v>0</v>
      </c>
      <c r="O7110">
        <v>90</v>
      </c>
      <c r="P7110">
        <v>0</v>
      </c>
    </row>
    <row r="7111" spans="1:16" x14ac:dyDescent="0.25">
      <c r="A7111" t="s">
        <v>29601</v>
      </c>
      <c r="B7111" t="s">
        <v>15250</v>
      </c>
      <c r="C7111" t="s">
        <v>47543</v>
      </c>
      <c r="D7111" t="s">
        <v>15253</v>
      </c>
      <c r="E7111" t="s">
        <v>15254</v>
      </c>
      <c r="F7111" t="s">
        <v>15183</v>
      </c>
      <c r="G7111" t="s">
        <v>16231</v>
      </c>
      <c r="H7111" t="s">
        <v>47054</v>
      </c>
      <c r="I7111" t="s">
        <v>47111</v>
      </c>
      <c r="J7111" t="s">
        <v>47112</v>
      </c>
      <c r="K7111" t="s">
        <v>47113</v>
      </c>
      <c r="L7111">
        <v>47.99</v>
      </c>
      <c r="M7111">
        <v>90</v>
      </c>
      <c r="N7111">
        <v>0</v>
      </c>
      <c r="O7111">
        <v>90</v>
      </c>
      <c r="P7111">
        <v>0</v>
      </c>
    </row>
    <row r="7112" spans="1:16" x14ac:dyDescent="0.25">
      <c r="A7112" t="s">
        <v>29602</v>
      </c>
      <c r="B7112" t="s">
        <v>15255</v>
      </c>
      <c r="C7112" t="s">
        <v>8146</v>
      </c>
      <c r="D7112" t="s">
        <v>15256</v>
      </c>
      <c r="E7112" t="s">
        <v>15257</v>
      </c>
      <c r="F7112" t="s">
        <v>15183</v>
      </c>
      <c r="G7112" t="s">
        <v>16231</v>
      </c>
      <c r="H7112" t="s">
        <v>47054</v>
      </c>
      <c r="I7112" t="s">
        <v>47111</v>
      </c>
      <c r="J7112" t="s">
        <v>47112</v>
      </c>
      <c r="K7112" t="s">
        <v>47113</v>
      </c>
      <c r="L7112">
        <v>62.51</v>
      </c>
      <c r="M7112">
        <v>119</v>
      </c>
      <c r="N7112">
        <v>0</v>
      </c>
      <c r="O7112">
        <v>119</v>
      </c>
      <c r="P7112">
        <v>0</v>
      </c>
    </row>
    <row r="7113" spans="1:16" x14ac:dyDescent="0.25">
      <c r="A7113" t="s">
        <v>29603</v>
      </c>
      <c r="B7113" t="s">
        <v>15258</v>
      </c>
      <c r="C7113" t="s">
        <v>14256</v>
      </c>
      <c r="D7113" t="s">
        <v>15259</v>
      </c>
      <c r="E7113" t="s">
        <v>15260</v>
      </c>
      <c r="F7113" t="s">
        <v>15183</v>
      </c>
      <c r="G7113" t="s">
        <v>16231</v>
      </c>
      <c r="H7113" t="s">
        <v>47054</v>
      </c>
      <c r="I7113" t="s">
        <v>47111</v>
      </c>
      <c r="J7113" t="s">
        <v>47112</v>
      </c>
      <c r="K7113" t="s">
        <v>47113</v>
      </c>
      <c r="L7113">
        <v>49.1</v>
      </c>
      <c r="M7113">
        <v>92</v>
      </c>
      <c r="N7113">
        <v>0</v>
      </c>
      <c r="O7113">
        <v>92</v>
      </c>
      <c r="P7113">
        <v>0</v>
      </c>
    </row>
    <row r="7114" spans="1:16" x14ac:dyDescent="0.25">
      <c r="A7114" t="s">
        <v>29604</v>
      </c>
      <c r="B7114" t="s">
        <v>16726</v>
      </c>
      <c r="C7114" t="s">
        <v>16727</v>
      </c>
      <c r="D7114" t="s">
        <v>16728</v>
      </c>
      <c r="E7114" t="s">
        <v>16729</v>
      </c>
      <c r="F7114" t="s">
        <v>16730</v>
      </c>
      <c r="G7114" t="s">
        <v>16231</v>
      </c>
      <c r="I7114" t="s">
        <v>47111</v>
      </c>
      <c r="J7114" t="s">
        <v>47112</v>
      </c>
      <c r="K7114" t="s">
        <v>47113</v>
      </c>
      <c r="L7114">
        <v>71.2</v>
      </c>
      <c r="M7114">
        <v>133</v>
      </c>
      <c r="N7114">
        <v>0</v>
      </c>
      <c r="O7114">
        <v>133</v>
      </c>
      <c r="P7114">
        <v>0</v>
      </c>
    </row>
    <row r="7115" spans="1:16" x14ac:dyDescent="0.25">
      <c r="A7115" t="s">
        <v>29605</v>
      </c>
      <c r="B7115" t="s">
        <v>16731</v>
      </c>
      <c r="C7115" t="s">
        <v>16727</v>
      </c>
      <c r="D7115" t="s">
        <v>16732</v>
      </c>
      <c r="E7115" t="s">
        <v>16733</v>
      </c>
      <c r="F7115" t="s">
        <v>16601</v>
      </c>
      <c r="G7115" t="s">
        <v>16231</v>
      </c>
      <c r="I7115" t="s">
        <v>47111</v>
      </c>
      <c r="J7115" t="s">
        <v>47112</v>
      </c>
      <c r="K7115" t="s">
        <v>47113</v>
      </c>
      <c r="L7115">
        <v>69.739999999999995</v>
      </c>
      <c r="M7115">
        <v>133</v>
      </c>
      <c r="N7115">
        <v>0</v>
      </c>
      <c r="O7115">
        <v>133</v>
      </c>
      <c r="P7115">
        <v>0</v>
      </c>
    </row>
    <row r="7116" spans="1:16" x14ac:dyDescent="0.25">
      <c r="A7116" t="s">
        <v>29606</v>
      </c>
      <c r="B7116" t="s">
        <v>16734</v>
      </c>
      <c r="C7116" t="s">
        <v>16727</v>
      </c>
      <c r="D7116" t="s">
        <v>16735</v>
      </c>
      <c r="E7116" t="s">
        <v>16736</v>
      </c>
      <c r="F7116" t="s">
        <v>16623</v>
      </c>
      <c r="G7116" t="s">
        <v>16231</v>
      </c>
      <c r="H7116" t="s">
        <v>47054</v>
      </c>
      <c r="I7116" t="s">
        <v>47111</v>
      </c>
      <c r="J7116" t="s">
        <v>47112</v>
      </c>
      <c r="K7116" t="s">
        <v>47113</v>
      </c>
      <c r="L7116">
        <v>85.1</v>
      </c>
      <c r="M7116">
        <v>129</v>
      </c>
      <c r="N7116">
        <v>0</v>
      </c>
      <c r="O7116">
        <v>129</v>
      </c>
      <c r="P7116">
        <v>0</v>
      </c>
    </row>
    <row r="7117" spans="1:16" x14ac:dyDescent="0.25">
      <c r="A7117" t="s">
        <v>29607</v>
      </c>
      <c r="B7117" t="s">
        <v>19870</v>
      </c>
      <c r="C7117" t="s">
        <v>19871</v>
      </c>
      <c r="D7117" t="s">
        <v>19872</v>
      </c>
      <c r="E7117" t="s">
        <v>19873</v>
      </c>
      <c r="F7117" t="s">
        <v>19552</v>
      </c>
      <c r="G7117" t="s">
        <v>16231</v>
      </c>
      <c r="H7117" t="s">
        <v>47054</v>
      </c>
      <c r="I7117" t="s">
        <v>47116</v>
      </c>
      <c r="J7117" t="s">
        <v>47117</v>
      </c>
      <c r="K7117" t="s">
        <v>47113</v>
      </c>
      <c r="L7117">
        <v>50.33</v>
      </c>
      <c r="M7117">
        <v>103</v>
      </c>
      <c r="N7117">
        <v>0</v>
      </c>
      <c r="O7117">
        <v>103</v>
      </c>
      <c r="P7117">
        <v>0</v>
      </c>
    </row>
    <row r="7118" spans="1:16" x14ac:dyDescent="0.25">
      <c r="A7118" t="s">
        <v>29608</v>
      </c>
      <c r="B7118" t="s">
        <v>19874</v>
      </c>
      <c r="C7118" t="s">
        <v>19875</v>
      </c>
      <c r="D7118" t="s">
        <v>19876</v>
      </c>
      <c r="E7118" t="s">
        <v>19877</v>
      </c>
      <c r="F7118" t="s">
        <v>19878</v>
      </c>
      <c r="G7118" t="s">
        <v>16231</v>
      </c>
      <c r="H7118" t="s">
        <v>47054</v>
      </c>
      <c r="I7118" t="s">
        <v>47116</v>
      </c>
      <c r="J7118" t="s">
        <v>47117</v>
      </c>
      <c r="K7118" t="s">
        <v>47113</v>
      </c>
      <c r="L7118">
        <v>43.16</v>
      </c>
      <c r="M7118">
        <v>103</v>
      </c>
      <c r="N7118">
        <v>0</v>
      </c>
      <c r="O7118">
        <v>103</v>
      </c>
      <c r="P7118">
        <v>0</v>
      </c>
    </row>
    <row r="7119" spans="1:16" x14ac:dyDescent="0.25">
      <c r="A7119" t="s">
        <v>29609</v>
      </c>
      <c r="B7119" t="s">
        <v>16737</v>
      </c>
      <c r="C7119" t="s">
        <v>16738</v>
      </c>
      <c r="D7119" t="s">
        <v>16732</v>
      </c>
      <c r="E7119" t="s">
        <v>16733</v>
      </c>
      <c r="F7119" t="s">
        <v>16601</v>
      </c>
      <c r="G7119" t="s">
        <v>16231</v>
      </c>
      <c r="H7119" t="s">
        <v>47054</v>
      </c>
      <c r="I7119" t="s">
        <v>47111</v>
      </c>
      <c r="J7119" t="s">
        <v>47112</v>
      </c>
      <c r="K7119" t="s">
        <v>47113</v>
      </c>
      <c r="L7119">
        <v>51.42</v>
      </c>
      <c r="M7119">
        <v>74</v>
      </c>
      <c r="N7119">
        <v>0</v>
      </c>
      <c r="O7119">
        <v>74</v>
      </c>
      <c r="P7119">
        <v>0</v>
      </c>
    </row>
    <row r="7120" spans="1:16" x14ac:dyDescent="0.25">
      <c r="A7120" t="s">
        <v>29610</v>
      </c>
      <c r="B7120" t="s">
        <v>16737</v>
      </c>
      <c r="C7120" t="s">
        <v>16738</v>
      </c>
      <c r="D7120" t="s">
        <v>16739</v>
      </c>
      <c r="E7120" t="s">
        <v>16740</v>
      </c>
      <c r="F7120" t="s">
        <v>16730</v>
      </c>
      <c r="G7120" t="s">
        <v>16231</v>
      </c>
      <c r="H7120" t="s">
        <v>47054</v>
      </c>
      <c r="I7120" t="s">
        <v>47111</v>
      </c>
      <c r="J7120" t="s">
        <v>47112</v>
      </c>
      <c r="K7120" t="s">
        <v>47113</v>
      </c>
      <c r="L7120">
        <v>53.39</v>
      </c>
      <c r="M7120">
        <v>92</v>
      </c>
      <c r="N7120">
        <v>0</v>
      </c>
      <c r="O7120">
        <v>92</v>
      </c>
      <c r="P7120">
        <v>0</v>
      </c>
    </row>
    <row r="7121" spans="1:16" x14ac:dyDescent="0.25">
      <c r="A7121" t="s">
        <v>29611</v>
      </c>
      <c r="B7121" t="s">
        <v>16737</v>
      </c>
      <c r="C7121" t="s">
        <v>16738</v>
      </c>
      <c r="D7121" t="s">
        <v>16741</v>
      </c>
      <c r="E7121" t="s">
        <v>16742</v>
      </c>
      <c r="F7121" t="s">
        <v>16730</v>
      </c>
      <c r="G7121" t="s">
        <v>16231</v>
      </c>
      <c r="H7121" t="s">
        <v>47054</v>
      </c>
      <c r="I7121" t="s">
        <v>47111</v>
      </c>
      <c r="J7121" t="s">
        <v>47112</v>
      </c>
      <c r="K7121" t="s">
        <v>47113</v>
      </c>
      <c r="L7121">
        <v>52.81</v>
      </c>
      <c r="M7121">
        <v>100</v>
      </c>
      <c r="N7121">
        <v>0</v>
      </c>
      <c r="O7121">
        <v>100</v>
      </c>
      <c r="P7121">
        <v>0</v>
      </c>
    </row>
    <row r="7122" spans="1:16" x14ac:dyDescent="0.25">
      <c r="A7122" t="s">
        <v>29612</v>
      </c>
      <c r="B7122" t="s">
        <v>16743</v>
      </c>
      <c r="C7122" t="s">
        <v>16738</v>
      </c>
      <c r="D7122" t="s">
        <v>16744</v>
      </c>
      <c r="E7122" t="s">
        <v>16745</v>
      </c>
      <c r="F7122" t="s">
        <v>16746</v>
      </c>
      <c r="G7122" t="s">
        <v>16231</v>
      </c>
      <c r="H7122" t="s">
        <v>47054</v>
      </c>
      <c r="I7122" t="s">
        <v>47111</v>
      </c>
      <c r="J7122" t="s">
        <v>47112</v>
      </c>
      <c r="K7122" t="s">
        <v>47113</v>
      </c>
      <c r="L7122">
        <v>55.19</v>
      </c>
      <c r="M7122">
        <v>111</v>
      </c>
      <c r="N7122">
        <v>0</v>
      </c>
      <c r="O7122">
        <v>111</v>
      </c>
      <c r="P7122">
        <v>0</v>
      </c>
    </row>
    <row r="7123" spans="1:16" x14ac:dyDescent="0.25">
      <c r="A7123" t="s">
        <v>29613</v>
      </c>
      <c r="B7123" t="s">
        <v>16743</v>
      </c>
      <c r="C7123" t="s">
        <v>16738</v>
      </c>
      <c r="D7123" t="s">
        <v>16747</v>
      </c>
      <c r="E7123" t="s">
        <v>16748</v>
      </c>
      <c r="F7123" t="s">
        <v>16746</v>
      </c>
      <c r="G7123" t="s">
        <v>16231</v>
      </c>
      <c r="H7123" t="s">
        <v>47054</v>
      </c>
      <c r="I7123" t="s">
        <v>47111</v>
      </c>
      <c r="J7123" t="s">
        <v>47112</v>
      </c>
      <c r="K7123" t="s">
        <v>47113</v>
      </c>
      <c r="L7123">
        <v>55.19</v>
      </c>
      <c r="M7123">
        <v>111</v>
      </c>
      <c r="N7123">
        <v>0</v>
      </c>
      <c r="O7123">
        <v>111</v>
      </c>
      <c r="P7123">
        <v>0</v>
      </c>
    </row>
    <row r="7124" spans="1:16" x14ac:dyDescent="0.25">
      <c r="A7124" t="s">
        <v>29614</v>
      </c>
      <c r="B7124" t="s">
        <v>19879</v>
      </c>
      <c r="C7124" t="s">
        <v>19880</v>
      </c>
      <c r="D7124" t="s">
        <v>19881</v>
      </c>
      <c r="E7124" t="s">
        <v>19882</v>
      </c>
      <c r="F7124" t="s">
        <v>16933</v>
      </c>
      <c r="G7124" t="s">
        <v>16231</v>
      </c>
      <c r="H7124" t="s">
        <v>47054</v>
      </c>
      <c r="I7124" t="s">
        <v>47111</v>
      </c>
      <c r="J7124" t="s">
        <v>47112</v>
      </c>
      <c r="K7124" t="s">
        <v>47113</v>
      </c>
      <c r="L7124">
        <v>75.5</v>
      </c>
      <c r="M7124">
        <v>148</v>
      </c>
      <c r="N7124">
        <v>0</v>
      </c>
      <c r="O7124">
        <v>148</v>
      </c>
      <c r="P7124">
        <v>0</v>
      </c>
    </row>
    <row r="7125" spans="1:16" x14ac:dyDescent="0.25">
      <c r="A7125" t="s">
        <v>29615</v>
      </c>
      <c r="B7125" t="s">
        <v>16749</v>
      </c>
      <c r="C7125" t="s">
        <v>16738</v>
      </c>
      <c r="D7125" t="s">
        <v>16750</v>
      </c>
      <c r="E7125" t="s">
        <v>16751</v>
      </c>
      <c r="F7125" t="s">
        <v>16623</v>
      </c>
      <c r="G7125" t="s">
        <v>16231</v>
      </c>
      <c r="H7125" t="s">
        <v>47054</v>
      </c>
      <c r="I7125" t="s">
        <v>47116</v>
      </c>
      <c r="J7125" t="s">
        <v>47117</v>
      </c>
      <c r="K7125" t="s">
        <v>47113</v>
      </c>
      <c r="L7125">
        <v>55.19</v>
      </c>
      <c r="M7125">
        <v>111</v>
      </c>
      <c r="N7125">
        <v>0</v>
      </c>
      <c r="O7125">
        <v>111</v>
      </c>
      <c r="P7125">
        <v>0</v>
      </c>
    </row>
    <row r="7126" spans="1:16" x14ac:dyDescent="0.25">
      <c r="A7126" t="s">
        <v>29616</v>
      </c>
      <c r="B7126" t="s">
        <v>29617</v>
      </c>
      <c r="C7126" t="s">
        <v>16738</v>
      </c>
      <c r="D7126" t="s">
        <v>29618</v>
      </c>
      <c r="E7126" t="s">
        <v>29619</v>
      </c>
      <c r="F7126" t="s">
        <v>24622</v>
      </c>
      <c r="G7126" t="s">
        <v>16231</v>
      </c>
      <c r="H7126" t="s">
        <v>47054</v>
      </c>
      <c r="I7126" t="s">
        <v>47544</v>
      </c>
      <c r="J7126" t="s">
        <v>47545</v>
      </c>
      <c r="K7126" t="s">
        <v>47113</v>
      </c>
      <c r="L7126">
        <v>31.25</v>
      </c>
      <c r="M7126">
        <v>85</v>
      </c>
      <c r="N7126">
        <v>229</v>
      </c>
      <c r="O7126">
        <v>85</v>
      </c>
      <c r="P7126">
        <v>229</v>
      </c>
    </row>
    <row r="7127" spans="1:16" x14ac:dyDescent="0.25">
      <c r="A7127" t="s">
        <v>29620</v>
      </c>
      <c r="B7127" t="s">
        <v>19883</v>
      </c>
      <c r="C7127" t="s">
        <v>19884</v>
      </c>
      <c r="D7127" t="s">
        <v>19885</v>
      </c>
      <c r="E7127" t="s">
        <v>19886</v>
      </c>
      <c r="F7127" t="s">
        <v>16839</v>
      </c>
      <c r="G7127" t="s">
        <v>16231</v>
      </c>
      <c r="H7127" t="s">
        <v>47054</v>
      </c>
      <c r="I7127" t="s">
        <v>47111</v>
      </c>
      <c r="J7127" t="s">
        <v>47112</v>
      </c>
      <c r="K7127" t="s">
        <v>47113</v>
      </c>
      <c r="L7127">
        <v>60.32</v>
      </c>
      <c r="M7127">
        <v>129</v>
      </c>
      <c r="N7127">
        <v>0</v>
      </c>
      <c r="O7127">
        <v>129</v>
      </c>
      <c r="P7127">
        <v>0</v>
      </c>
    </row>
    <row r="7128" spans="1:16" x14ac:dyDescent="0.25">
      <c r="A7128" t="s">
        <v>29621</v>
      </c>
      <c r="B7128" t="s">
        <v>19883</v>
      </c>
      <c r="C7128" t="s">
        <v>19884</v>
      </c>
      <c r="D7128" t="s">
        <v>19887</v>
      </c>
      <c r="E7128" t="s">
        <v>19888</v>
      </c>
      <c r="F7128" t="s">
        <v>16839</v>
      </c>
      <c r="G7128" t="s">
        <v>16231</v>
      </c>
      <c r="H7128" t="s">
        <v>47054</v>
      </c>
      <c r="I7128" t="s">
        <v>47111</v>
      </c>
      <c r="J7128" t="s">
        <v>47112</v>
      </c>
      <c r="K7128" t="s">
        <v>47113</v>
      </c>
      <c r="L7128">
        <v>59.69</v>
      </c>
      <c r="M7128">
        <v>129</v>
      </c>
      <c r="N7128">
        <v>0</v>
      </c>
      <c r="O7128">
        <v>129</v>
      </c>
      <c r="P7128">
        <v>0</v>
      </c>
    </row>
    <row r="7129" spans="1:16" x14ac:dyDescent="0.25">
      <c r="A7129" t="s">
        <v>29622</v>
      </c>
      <c r="B7129" t="s">
        <v>29623</v>
      </c>
      <c r="C7129" t="s">
        <v>16236</v>
      </c>
      <c r="D7129" t="s">
        <v>16917</v>
      </c>
      <c r="E7129" t="s">
        <v>16918</v>
      </c>
      <c r="F7129" t="s">
        <v>19559</v>
      </c>
      <c r="G7129" t="s">
        <v>16231</v>
      </c>
      <c r="H7129" t="s">
        <v>47054</v>
      </c>
      <c r="I7129" t="s">
        <v>47111</v>
      </c>
      <c r="J7129" t="s">
        <v>47112</v>
      </c>
      <c r="K7129" t="s">
        <v>47113</v>
      </c>
      <c r="L7129">
        <v>53.78</v>
      </c>
      <c r="M7129">
        <v>129</v>
      </c>
      <c r="N7129">
        <v>349</v>
      </c>
      <c r="O7129">
        <v>129</v>
      </c>
      <c r="P7129">
        <v>349</v>
      </c>
    </row>
    <row r="7130" spans="1:16" x14ac:dyDescent="0.25">
      <c r="A7130" t="s">
        <v>29624</v>
      </c>
      <c r="B7130" t="s">
        <v>29625</v>
      </c>
      <c r="C7130" t="s">
        <v>16236</v>
      </c>
      <c r="D7130" t="s">
        <v>29626</v>
      </c>
      <c r="E7130" t="s">
        <v>29627</v>
      </c>
      <c r="F7130" t="s">
        <v>24627</v>
      </c>
      <c r="G7130" t="s">
        <v>16231</v>
      </c>
      <c r="H7130" t="s">
        <v>47054</v>
      </c>
      <c r="I7130" t="s">
        <v>47116</v>
      </c>
      <c r="J7130" t="s">
        <v>47117</v>
      </c>
      <c r="K7130" t="s">
        <v>47113</v>
      </c>
      <c r="L7130">
        <v>52.2</v>
      </c>
      <c r="M7130">
        <v>111</v>
      </c>
      <c r="N7130">
        <v>299</v>
      </c>
      <c r="O7130">
        <v>111</v>
      </c>
      <c r="P7130">
        <v>299</v>
      </c>
    </row>
    <row r="7131" spans="1:16" x14ac:dyDescent="0.25">
      <c r="A7131" t="s">
        <v>29628</v>
      </c>
      <c r="B7131" t="s">
        <v>29629</v>
      </c>
      <c r="C7131" t="s">
        <v>16722</v>
      </c>
      <c r="D7131" t="s">
        <v>29630</v>
      </c>
      <c r="E7131" t="s">
        <v>29631</v>
      </c>
      <c r="F7131" t="s">
        <v>24617</v>
      </c>
      <c r="G7131" t="s">
        <v>16231</v>
      </c>
      <c r="H7131" t="s">
        <v>47054</v>
      </c>
      <c r="I7131" t="s">
        <v>47116</v>
      </c>
      <c r="J7131" t="s">
        <v>47117</v>
      </c>
      <c r="K7131" t="s">
        <v>47113</v>
      </c>
      <c r="L7131">
        <v>39.869999999999997</v>
      </c>
      <c r="M7131">
        <v>103</v>
      </c>
      <c r="N7131">
        <v>279</v>
      </c>
      <c r="O7131">
        <v>103</v>
      </c>
      <c r="P7131">
        <v>279</v>
      </c>
    </row>
    <row r="7132" spans="1:16" x14ac:dyDescent="0.25">
      <c r="A7132" t="s">
        <v>29632</v>
      </c>
      <c r="B7132" t="s">
        <v>29633</v>
      </c>
      <c r="C7132" t="s">
        <v>17861</v>
      </c>
      <c r="D7132" t="str">
        <f>"3443"</f>
        <v>3443</v>
      </c>
      <c r="E7132" t="s">
        <v>29634</v>
      </c>
      <c r="F7132" t="s">
        <v>24622</v>
      </c>
      <c r="G7132" t="s">
        <v>16234</v>
      </c>
      <c r="H7132" t="s">
        <v>47054</v>
      </c>
      <c r="I7132" t="s">
        <v>47120</v>
      </c>
      <c r="J7132" t="s">
        <v>47121</v>
      </c>
      <c r="K7132" t="s">
        <v>47113</v>
      </c>
      <c r="L7132">
        <v>26.01</v>
      </c>
      <c r="M7132">
        <v>74</v>
      </c>
      <c r="N7132">
        <v>199</v>
      </c>
      <c r="O7132">
        <v>74</v>
      </c>
      <c r="P7132">
        <v>199</v>
      </c>
    </row>
    <row r="7133" spans="1:16" x14ac:dyDescent="0.25">
      <c r="A7133" t="s">
        <v>29635</v>
      </c>
      <c r="B7133" t="s">
        <v>29636</v>
      </c>
      <c r="C7133" t="s">
        <v>17867</v>
      </c>
      <c r="D7133" t="s">
        <v>29637</v>
      </c>
      <c r="E7133" t="s">
        <v>29638</v>
      </c>
      <c r="F7133" t="s">
        <v>24617</v>
      </c>
      <c r="G7133" t="s">
        <v>16231</v>
      </c>
      <c r="H7133" t="s">
        <v>47054</v>
      </c>
      <c r="I7133" t="s">
        <v>47111</v>
      </c>
      <c r="J7133" t="s">
        <v>47112</v>
      </c>
      <c r="K7133" t="s">
        <v>47113</v>
      </c>
      <c r="L7133">
        <v>64.489999999999995</v>
      </c>
      <c r="M7133">
        <v>129</v>
      </c>
      <c r="N7133">
        <v>349</v>
      </c>
      <c r="O7133">
        <v>129</v>
      </c>
      <c r="P7133">
        <v>349</v>
      </c>
    </row>
    <row r="7134" spans="1:16" x14ac:dyDescent="0.25">
      <c r="A7134" t="s">
        <v>29639</v>
      </c>
      <c r="B7134" t="s">
        <v>15261</v>
      </c>
      <c r="C7134" t="s">
        <v>16752</v>
      </c>
      <c r="D7134" t="str">
        <f>"1200"</f>
        <v>1200</v>
      </c>
      <c r="E7134" t="s">
        <v>15262</v>
      </c>
      <c r="F7134" t="s">
        <v>15183</v>
      </c>
      <c r="G7134" t="s">
        <v>16234</v>
      </c>
      <c r="H7134" t="s">
        <v>47054</v>
      </c>
      <c r="I7134" t="s">
        <v>47120</v>
      </c>
      <c r="J7134" t="s">
        <v>47121</v>
      </c>
      <c r="K7134" t="s">
        <v>47113</v>
      </c>
      <c r="L7134">
        <v>27.85</v>
      </c>
      <c r="M7134">
        <v>74</v>
      </c>
      <c r="N7134">
        <v>0</v>
      </c>
      <c r="O7134">
        <v>74</v>
      </c>
      <c r="P7134">
        <v>0</v>
      </c>
    </row>
    <row r="7135" spans="1:16" x14ac:dyDescent="0.25">
      <c r="A7135" t="s">
        <v>29640</v>
      </c>
      <c r="B7135" t="s">
        <v>15261</v>
      </c>
      <c r="C7135" t="s">
        <v>16752</v>
      </c>
      <c r="D7135" t="str">
        <f>"2500"</f>
        <v>2500</v>
      </c>
      <c r="E7135" t="s">
        <v>15263</v>
      </c>
      <c r="F7135" t="s">
        <v>15183</v>
      </c>
      <c r="G7135" t="s">
        <v>16234</v>
      </c>
      <c r="H7135" t="s">
        <v>47054</v>
      </c>
      <c r="I7135" t="s">
        <v>47120</v>
      </c>
      <c r="J7135" t="s">
        <v>47121</v>
      </c>
      <c r="K7135" t="s">
        <v>47113</v>
      </c>
      <c r="L7135">
        <v>27.85</v>
      </c>
      <c r="M7135">
        <v>74</v>
      </c>
      <c r="N7135">
        <v>0</v>
      </c>
      <c r="O7135">
        <v>74</v>
      </c>
      <c r="P7135">
        <v>0</v>
      </c>
    </row>
    <row r="7136" spans="1:16" x14ac:dyDescent="0.25">
      <c r="A7136" t="s">
        <v>29641</v>
      </c>
      <c r="B7136" t="s">
        <v>15261</v>
      </c>
      <c r="C7136" t="s">
        <v>16752</v>
      </c>
      <c r="D7136" t="str">
        <f>"4100"</f>
        <v>4100</v>
      </c>
      <c r="E7136" t="s">
        <v>15264</v>
      </c>
      <c r="F7136" t="s">
        <v>15183</v>
      </c>
      <c r="G7136" t="s">
        <v>16234</v>
      </c>
      <c r="H7136" t="s">
        <v>47054</v>
      </c>
      <c r="I7136" t="s">
        <v>47120</v>
      </c>
      <c r="J7136" t="s">
        <v>47121</v>
      </c>
      <c r="K7136" t="s">
        <v>47113</v>
      </c>
      <c r="L7136">
        <v>27.85</v>
      </c>
      <c r="M7136">
        <v>74</v>
      </c>
      <c r="N7136">
        <v>0</v>
      </c>
      <c r="O7136">
        <v>74</v>
      </c>
      <c r="P7136">
        <v>0</v>
      </c>
    </row>
    <row r="7137" spans="1:16" x14ac:dyDescent="0.25">
      <c r="A7137" t="s">
        <v>29642</v>
      </c>
      <c r="B7137" t="s">
        <v>15265</v>
      </c>
      <c r="C7137" t="s">
        <v>16755</v>
      </c>
      <c r="D7137" t="s">
        <v>15266</v>
      </c>
      <c r="E7137" t="s">
        <v>15267</v>
      </c>
      <c r="F7137" t="s">
        <v>15183</v>
      </c>
      <c r="G7137" t="s">
        <v>16231</v>
      </c>
      <c r="H7137" t="s">
        <v>47054</v>
      </c>
      <c r="I7137" t="s">
        <v>47111</v>
      </c>
      <c r="J7137" t="s">
        <v>47112</v>
      </c>
      <c r="K7137" t="s">
        <v>47113</v>
      </c>
      <c r="L7137">
        <v>63.64</v>
      </c>
      <c r="M7137">
        <v>119</v>
      </c>
      <c r="N7137">
        <v>0</v>
      </c>
      <c r="O7137">
        <v>119</v>
      </c>
      <c r="P7137">
        <v>0</v>
      </c>
    </row>
    <row r="7138" spans="1:16" x14ac:dyDescent="0.25">
      <c r="A7138" t="s">
        <v>29643</v>
      </c>
      <c r="B7138" t="s">
        <v>15268</v>
      </c>
      <c r="C7138" t="s">
        <v>16753</v>
      </c>
      <c r="D7138" t="s">
        <v>15269</v>
      </c>
      <c r="E7138" t="s">
        <v>15270</v>
      </c>
      <c r="F7138" t="s">
        <v>15183</v>
      </c>
      <c r="G7138" t="s">
        <v>16231</v>
      </c>
      <c r="H7138" t="s">
        <v>47054</v>
      </c>
      <c r="I7138" t="s">
        <v>47111</v>
      </c>
      <c r="J7138" t="s">
        <v>47112</v>
      </c>
      <c r="K7138" t="s">
        <v>47113</v>
      </c>
      <c r="L7138">
        <v>63.01</v>
      </c>
      <c r="M7138">
        <v>100</v>
      </c>
      <c r="N7138">
        <v>0</v>
      </c>
      <c r="O7138">
        <v>100</v>
      </c>
      <c r="P7138">
        <v>0</v>
      </c>
    </row>
    <row r="7139" spans="1:16" x14ac:dyDescent="0.25">
      <c r="A7139" t="s">
        <v>29644</v>
      </c>
      <c r="B7139" t="s">
        <v>15268</v>
      </c>
      <c r="C7139" t="s">
        <v>16753</v>
      </c>
      <c r="D7139" t="s">
        <v>15271</v>
      </c>
      <c r="E7139" t="s">
        <v>15272</v>
      </c>
      <c r="F7139" t="s">
        <v>15183</v>
      </c>
      <c r="G7139" t="s">
        <v>16231</v>
      </c>
      <c r="H7139" t="s">
        <v>47054</v>
      </c>
      <c r="I7139" t="s">
        <v>47111</v>
      </c>
      <c r="J7139" t="s">
        <v>47112</v>
      </c>
      <c r="K7139" t="s">
        <v>47113</v>
      </c>
      <c r="L7139">
        <v>63.45</v>
      </c>
      <c r="M7139">
        <v>100</v>
      </c>
      <c r="N7139">
        <v>0</v>
      </c>
      <c r="O7139">
        <v>100</v>
      </c>
      <c r="P7139">
        <v>0</v>
      </c>
    </row>
    <row r="7140" spans="1:16" x14ac:dyDescent="0.25">
      <c r="A7140" t="s">
        <v>29645</v>
      </c>
      <c r="B7140" t="s">
        <v>15268</v>
      </c>
      <c r="C7140" t="s">
        <v>16753</v>
      </c>
      <c r="D7140" t="s">
        <v>15253</v>
      </c>
      <c r="E7140" t="s">
        <v>15254</v>
      </c>
      <c r="F7140" t="s">
        <v>15183</v>
      </c>
      <c r="G7140" t="s">
        <v>16231</v>
      </c>
      <c r="H7140" t="s">
        <v>47054</v>
      </c>
      <c r="I7140" t="s">
        <v>47111</v>
      </c>
      <c r="J7140" t="s">
        <v>47112</v>
      </c>
      <c r="K7140" t="s">
        <v>47113</v>
      </c>
      <c r="L7140">
        <v>62.13</v>
      </c>
      <c r="M7140">
        <v>90</v>
      </c>
      <c r="N7140">
        <v>0</v>
      </c>
      <c r="O7140">
        <v>90</v>
      </c>
      <c r="P7140">
        <v>0</v>
      </c>
    </row>
    <row r="7141" spans="1:16" x14ac:dyDescent="0.25">
      <c r="A7141" t="s">
        <v>29646</v>
      </c>
      <c r="B7141" t="s">
        <v>16754</v>
      </c>
      <c r="C7141" t="s">
        <v>16755</v>
      </c>
      <c r="D7141" t="s">
        <v>15256</v>
      </c>
      <c r="E7141" t="s">
        <v>15257</v>
      </c>
      <c r="F7141" t="s">
        <v>15183</v>
      </c>
      <c r="G7141" t="s">
        <v>16231</v>
      </c>
      <c r="H7141" t="s">
        <v>47054</v>
      </c>
      <c r="I7141" t="s">
        <v>47111</v>
      </c>
      <c r="J7141" t="s">
        <v>47112</v>
      </c>
      <c r="K7141" t="s">
        <v>47113</v>
      </c>
      <c r="L7141">
        <v>62.51</v>
      </c>
      <c r="M7141">
        <v>119</v>
      </c>
      <c r="N7141">
        <v>0</v>
      </c>
      <c r="O7141">
        <v>119</v>
      </c>
      <c r="P7141">
        <v>0</v>
      </c>
    </row>
    <row r="7142" spans="1:16" x14ac:dyDescent="0.25">
      <c r="A7142" t="s">
        <v>29647</v>
      </c>
      <c r="B7142" t="s">
        <v>16271</v>
      </c>
      <c r="C7142" t="s">
        <v>16756</v>
      </c>
      <c r="D7142" t="s">
        <v>5544</v>
      </c>
      <c r="E7142" t="s">
        <v>5545</v>
      </c>
      <c r="F7142" t="s">
        <v>15183</v>
      </c>
      <c r="G7142" t="s">
        <v>16231</v>
      </c>
      <c r="H7142" t="s">
        <v>47054</v>
      </c>
      <c r="I7142" t="s">
        <v>47111</v>
      </c>
      <c r="J7142" t="s">
        <v>47112</v>
      </c>
      <c r="K7142" t="s">
        <v>47113</v>
      </c>
      <c r="L7142">
        <v>43.21</v>
      </c>
      <c r="M7142">
        <v>100</v>
      </c>
      <c r="N7142">
        <v>0</v>
      </c>
      <c r="O7142">
        <v>100</v>
      </c>
      <c r="P7142">
        <v>0</v>
      </c>
    </row>
    <row r="7143" spans="1:16" x14ac:dyDescent="0.25">
      <c r="A7143" t="s">
        <v>29648</v>
      </c>
      <c r="B7143" t="s">
        <v>16271</v>
      </c>
      <c r="C7143" t="s">
        <v>16756</v>
      </c>
      <c r="D7143" t="s">
        <v>15326</v>
      </c>
      <c r="E7143" t="s">
        <v>15327</v>
      </c>
      <c r="F7143" t="s">
        <v>15183</v>
      </c>
      <c r="G7143" t="s">
        <v>16231</v>
      </c>
      <c r="H7143" t="s">
        <v>47054</v>
      </c>
      <c r="I7143" t="s">
        <v>47111</v>
      </c>
      <c r="J7143" t="s">
        <v>47112</v>
      </c>
      <c r="K7143" t="s">
        <v>47113</v>
      </c>
      <c r="L7143">
        <v>49.64</v>
      </c>
      <c r="M7143">
        <v>100</v>
      </c>
      <c r="N7143">
        <v>0</v>
      </c>
      <c r="O7143">
        <v>100</v>
      </c>
      <c r="P7143">
        <v>0</v>
      </c>
    </row>
    <row r="7144" spans="1:16" x14ac:dyDescent="0.25">
      <c r="A7144" t="s">
        <v>16757</v>
      </c>
      <c r="B7144" t="s">
        <v>15273</v>
      </c>
      <c r="C7144" t="s">
        <v>16758</v>
      </c>
      <c r="D7144" t="s">
        <v>15274</v>
      </c>
      <c r="E7144" t="s">
        <v>15275</v>
      </c>
      <c r="F7144" t="s">
        <v>15183</v>
      </c>
      <c r="G7144" t="s">
        <v>16231</v>
      </c>
      <c r="H7144" t="s">
        <v>47054</v>
      </c>
      <c r="I7144" t="s">
        <v>47111</v>
      </c>
      <c r="J7144" t="s">
        <v>47112</v>
      </c>
      <c r="K7144" t="s">
        <v>47113</v>
      </c>
      <c r="L7144">
        <v>65.849999999999994</v>
      </c>
      <c r="M7144">
        <v>100</v>
      </c>
      <c r="N7144">
        <v>0</v>
      </c>
      <c r="O7144">
        <v>100</v>
      </c>
      <c r="P7144">
        <v>0</v>
      </c>
    </row>
    <row r="7145" spans="1:16" x14ac:dyDescent="0.25">
      <c r="A7145" t="s">
        <v>29649</v>
      </c>
      <c r="B7145" t="s">
        <v>15273</v>
      </c>
      <c r="C7145" t="s">
        <v>16758</v>
      </c>
      <c r="D7145" t="s">
        <v>15276</v>
      </c>
      <c r="E7145" t="s">
        <v>15277</v>
      </c>
      <c r="F7145" t="s">
        <v>15183</v>
      </c>
      <c r="G7145" t="s">
        <v>16231</v>
      </c>
      <c r="H7145" t="s">
        <v>47054</v>
      </c>
      <c r="I7145" t="s">
        <v>47111</v>
      </c>
      <c r="J7145" t="s">
        <v>47112</v>
      </c>
      <c r="K7145" t="s">
        <v>47113</v>
      </c>
      <c r="L7145">
        <v>66.5</v>
      </c>
      <c r="M7145">
        <v>100</v>
      </c>
      <c r="N7145">
        <v>0</v>
      </c>
      <c r="O7145">
        <v>100</v>
      </c>
      <c r="P7145">
        <v>0</v>
      </c>
    </row>
    <row r="7146" spans="1:16" x14ac:dyDescent="0.25">
      <c r="A7146" t="s">
        <v>29650</v>
      </c>
      <c r="B7146" t="s">
        <v>15278</v>
      </c>
      <c r="C7146" t="s">
        <v>16755</v>
      </c>
      <c r="D7146" t="s">
        <v>15279</v>
      </c>
      <c r="E7146" t="s">
        <v>15280</v>
      </c>
      <c r="F7146" t="s">
        <v>15183</v>
      </c>
      <c r="G7146" t="s">
        <v>16231</v>
      </c>
      <c r="H7146" t="s">
        <v>47054</v>
      </c>
      <c r="I7146" t="s">
        <v>47111</v>
      </c>
      <c r="J7146" t="s">
        <v>47112</v>
      </c>
      <c r="K7146" t="s">
        <v>47113</v>
      </c>
      <c r="L7146">
        <v>66.62</v>
      </c>
      <c r="M7146">
        <v>129</v>
      </c>
      <c r="N7146">
        <v>0</v>
      </c>
      <c r="O7146">
        <v>129</v>
      </c>
      <c r="P7146">
        <v>0</v>
      </c>
    </row>
    <row r="7147" spans="1:16" x14ac:dyDescent="0.25">
      <c r="A7147" t="s">
        <v>16759</v>
      </c>
      <c r="B7147" t="s">
        <v>15281</v>
      </c>
      <c r="C7147" t="s">
        <v>16755</v>
      </c>
      <c r="D7147" t="s">
        <v>15282</v>
      </c>
      <c r="E7147" t="s">
        <v>15283</v>
      </c>
      <c r="F7147" t="s">
        <v>15183</v>
      </c>
      <c r="G7147" t="s">
        <v>16231</v>
      </c>
      <c r="H7147" t="s">
        <v>47054</v>
      </c>
      <c r="I7147" t="s">
        <v>47111</v>
      </c>
      <c r="J7147" t="s">
        <v>47112</v>
      </c>
      <c r="K7147" t="s">
        <v>47113</v>
      </c>
      <c r="L7147">
        <v>64.58</v>
      </c>
      <c r="M7147">
        <v>125</v>
      </c>
      <c r="N7147">
        <v>0</v>
      </c>
      <c r="O7147">
        <v>125</v>
      </c>
      <c r="P7147">
        <v>0</v>
      </c>
    </row>
    <row r="7148" spans="1:16" x14ac:dyDescent="0.25">
      <c r="A7148" t="s">
        <v>29651</v>
      </c>
      <c r="B7148" t="s">
        <v>15284</v>
      </c>
      <c r="C7148" t="s">
        <v>5073</v>
      </c>
      <c r="D7148" t="s">
        <v>15285</v>
      </c>
      <c r="E7148" t="s">
        <v>15286</v>
      </c>
      <c r="F7148" t="s">
        <v>15183</v>
      </c>
      <c r="G7148" t="s">
        <v>16231</v>
      </c>
      <c r="H7148" t="s">
        <v>47054</v>
      </c>
      <c r="I7148" t="s">
        <v>47111</v>
      </c>
      <c r="J7148" t="s">
        <v>47112</v>
      </c>
      <c r="K7148" t="s">
        <v>47113</v>
      </c>
      <c r="L7148">
        <v>44.51</v>
      </c>
      <c r="M7148">
        <v>103</v>
      </c>
      <c r="N7148">
        <v>0</v>
      </c>
      <c r="O7148">
        <v>103</v>
      </c>
      <c r="P7148">
        <v>0</v>
      </c>
    </row>
    <row r="7149" spans="1:16" x14ac:dyDescent="0.25">
      <c r="A7149" t="s">
        <v>29652</v>
      </c>
      <c r="B7149" t="s">
        <v>15287</v>
      </c>
      <c r="C7149" t="s">
        <v>16760</v>
      </c>
      <c r="D7149" t="s">
        <v>15288</v>
      </c>
      <c r="E7149" t="s">
        <v>15289</v>
      </c>
      <c r="F7149" t="s">
        <v>15183</v>
      </c>
      <c r="G7149" t="s">
        <v>16231</v>
      </c>
      <c r="H7149" t="s">
        <v>47054</v>
      </c>
      <c r="I7149" t="s">
        <v>47111</v>
      </c>
      <c r="J7149" t="s">
        <v>47112</v>
      </c>
      <c r="K7149" t="s">
        <v>47113</v>
      </c>
      <c r="L7149">
        <v>45.59</v>
      </c>
      <c r="M7149">
        <v>92</v>
      </c>
      <c r="N7149">
        <v>0</v>
      </c>
      <c r="O7149">
        <v>92</v>
      </c>
      <c r="P7149">
        <v>0</v>
      </c>
    </row>
    <row r="7150" spans="1:16" x14ac:dyDescent="0.25">
      <c r="A7150" t="s">
        <v>29653</v>
      </c>
      <c r="B7150" t="s">
        <v>15287</v>
      </c>
      <c r="C7150" t="s">
        <v>16760</v>
      </c>
      <c r="D7150" t="s">
        <v>15290</v>
      </c>
      <c r="E7150" t="s">
        <v>15291</v>
      </c>
      <c r="F7150" t="s">
        <v>15183</v>
      </c>
      <c r="G7150" t="s">
        <v>16231</v>
      </c>
      <c r="H7150" t="s">
        <v>47054</v>
      </c>
      <c r="I7150" t="s">
        <v>47111</v>
      </c>
      <c r="J7150" t="s">
        <v>47112</v>
      </c>
      <c r="K7150" t="s">
        <v>47113</v>
      </c>
      <c r="L7150">
        <v>45.06</v>
      </c>
      <c r="M7150">
        <v>90</v>
      </c>
      <c r="N7150">
        <v>0</v>
      </c>
      <c r="O7150">
        <v>90</v>
      </c>
      <c r="P7150">
        <v>0</v>
      </c>
    </row>
    <row r="7151" spans="1:16" x14ac:dyDescent="0.25">
      <c r="A7151" t="s">
        <v>29654</v>
      </c>
      <c r="B7151" t="s">
        <v>15287</v>
      </c>
      <c r="C7151" t="s">
        <v>16760</v>
      </c>
      <c r="D7151" t="s">
        <v>15292</v>
      </c>
      <c r="E7151" t="s">
        <v>15293</v>
      </c>
      <c r="F7151" t="s">
        <v>15183</v>
      </c>
      <c r="G7151" t="s">
        <v>16231</v>
      </c>
      <c r="H7151" t="s">
        <v>47054</v>
      </c>
      <c r="I7151" t="s">
        <v>47111</v>
      </c>
      <c r="J7151" t="s">
        <v>47112</v>
      </c>
      <c r="K7151" t="s">
        <v>47113</v>
      </c>
      <c r="L7151">
        <v>48.54</v>
      </c>
      <c r="M7151">
        <v>90</v>
      </c>
      <c r="N7151">
        <v>0</v>
      </c>
      <c r="O7151">
        <v>90</v>
      </c>
      <c r="P7151">
        <v>0</v>
      </c>
    </row>
    <row r="7152" spans="1:16" x14ac:dyDescent="0.25">
      <c r="A7152" t="s">
        <v>29655</v>
      </c>
      <c r="B7152" t="s">
        <v>15294</v>
      </c>
      <c r="C7152" t="s">
        <v>16755</v>
      </c>
      <c r="D7152" t="s">
        <v>8153</v>
      </c>
      <c r="E7152" t="s">
        <v>8154</v>
      </c>
      <c r="F7152" t="s">
        <v>3750</v>
      </c>
      <c r="G7152" t="s">
        <v>16231</v>
      </c>
      <c r="H7152" t="s">
        <v>47054</v>
      </c>
      <c r="I7152" t="s">
        <v>47111</v>
      </c>
      <c r="J7152" t="s">
        <v>47112</v>
      </c>
      <c r="K7152" t="s">
        <v>47113</v>
      </c>
      <c r="L7152">
        <v>53.45</v>
      </c>
      <c r="M7152">
        <v>119</v>
      </c>
      <c r="N7152">
        <v>0</v>
      </c>
      <c r="O7152">
        <v>119</v>
      </c>
      <c r="P7152">
        <v>0</v>
      </c>
    </row>
    <row r="7153" spans="1:16" x14ac:dyDescent="0.25">
      <c r="A7153" t="s">
        <v>29656</v>
      </c>
      <c r="B7153" t="s">
        <v>15295</v>
      </c>
      <c r="C7153" t="s">
        <v>16236</v>
      </c>
      <c r="D7153" t="s">
        <v>8153</v>
      </c>
      <c r="E7153" t="s">
        <v>8154</v>
      </c>
      <c r="F7153" t="s">
        <v>15183</v>
      </c>
      <c r="G7153" t="s">
        <v>16231</v>
      </c>
      <c r="H7153" t="s">
        <v>47054</v>
      </c>
      <c r="I7153" t="s">
        <v>47111</v>
      </c>
      <c r="J7153" t="s">
        <v>47112</v>
      </c>
      <c r="K7153" t="s">
        <v>47113</v>
      </c>
      <c r="L7153">
        <v>53.45</v>
      </c>
      <c r="M7153">
        <v>122</v>
      </c>
      <c r="N7153">
        <v>0</v>
      </c>
      <c r="O7153">
        <v>122</v>
      </c>
      <c r="P7153">
        <v>0</v>
      </c>
    </row>
    <row r="7154" spans="1:16" x14ac:dyDescent="0.25">
      <c r="A7154" t="s">
        <v>29657</v>
      </c>
      <c r="B7154" t="s">
        <v>16761</v>
      </c>
      <c r="C7154" t="s">
        <v>16722</v>
      </c>
      <c r="D7154" t="s">
        <v>15271</v>
      </c>
      <c r="E7154" t="s">
        <v>15272</v>
      </c>
      <c r="F7154" t="s">
        <v>16762</v>
      </c>
      <c r="G7154" t="s">
        <v>16231</v>
      </c>
      <c r="H7154" t="s">
        <v>47054</v>
      </c>
      <c r="I7154" t="s">
        <v>47111</v>
      </c>
      <c r="J7154" t="s">
        <v>47112</v>
      </c>
      <c r="K7154" t="s">
        <v>47113</v>
      </c>
      <c r="L7154">
        <v>53.69</v>
      </c>
      <c r="M7154">
        <v>92</v>
      </c>
      <c r="N7154">
        <v>0</v>
      </c>
      <c r="O7154">
        <v>92</v>
      </c>
      <c r="P7154">
        <v>0</v>
      </c>
    </row>
    <row r="7155" spans="1:16" x14ac:dyDescent="0.25">
      <c r="A7155" t="s">
        <v>29658</v>
      </c>
      <c r="B7155" t="s">
        <v>16761</v>
      </c>
      <c r="C7155" t="s">
        <v>16722</v>
      </c>
      <c r="D7155" t="s">
        <v>16763</v>
      </c>
      <c r="E7155" t="s">
        <v>16764</v>
      </c>
      <c r="F7155" t="s">
        <v>16762</v>
      </c>
      <c r="G7155" t="s">
        <v>16231</v>
      </c>
      <c r="H7155" t="s">
        <v>47054</v>
      </c>
      <c r="I7155" t="s">
        <v>47111</v>
      </c>
      <c r="J7155" t="s">
        <v>47112</v>
      </c>
      <c r="K7155" t="s">
        <v>47113</v>
      </c>
      <c r="L7155">
        <v>59.32</v>
      </c>
      <c r="M7155">
        <v>103</v>
      </c>
      <c r="N7155">
        <v>0</v>
      </c>
      <c r="O7155">
        <v>103</v>
      </c>
      <c r="P7155">
        <v>0</v>
      </c>
    </row>
    <row r="7156" spans="1:16" x14ac:dyDescent="0.25">
      <c r="A7156" t="s">
        <v>29659</v>
      </c>
      <c r="B7156" t="s">
        <v>16761</v>
      </c>
      <c r="C7156" t="s">
        <v>16722</v>
      </c>
      <c r="D7156" t="s">
        <v>16765</v>
      </c>
      <c r="E7156" t="s">
        <v>16766</v>
      </c>
      <c r="F7156" t="s">
        <v>16601</v>
      </c>
      <c r="G7156" t="s">
        <v>16231</v>
      </c>
      <c r="H7156" t="s">
        <v>47054</v>
      </c>
      <c r="I7156" t="s">
        <v>47111</v>
      </c>
      <c r="J7156" t="s">
        <v>47112</v>
      </c>
      <c r="K7156" t="s">
        <v>47113</v>
      </c>
      <c r="L7156">
        <v>58.19</v>
      </c>
      <c r="M7156">
        <v>92</v>
      </c>
      <c r="N7156">
        <v>0</v>
      </c>
      <c r="O7156">
        <v>92</v>
      </c>
      <c r="P7156">
        <v>0</v>
      </c>
    </row>
    <row r="7157" spans="1:16" x14ac:dyDescent="0.25">
      <c r="A7157" t="s">
        <v>29660</v>
      </c>
      <c r="B7157" t="s">
        <v>16767</v>
      </c>
      <c r="C7157" t="s">
        <v>16768</v>
      </c>
      <c r="D7157" t="s">
        <v>16769</v>
      </c>
      <c r="E7157" t="s">
        <v>16770</v>
      </c>
      <c r="F7157" t="s">
        <v>16771</v>
      </c>
      <c r="G7157" t="s">
        <v>16231</v>
      </c>
      <c r="H7157" t="s">
        <v>47054</v>
      </c>
      <c r="I7157" t="s">
        <v>47111</v>
      </c>
      <c r="J7157" t="s">
        <v>47112</v>
      </c>
      <c r="K7157" t="s">
        <v>47113</v>
      </c>
      <c r="L7157">
        <v>76.72</v>
      </c>
      <c r="M7157">
        <v>140</v>
      </c>
      <c r="N7157">
        <v>0</v>
      </c>
      <c r="O7157">
        <v>140</v>
      </c>
      <c r="P7157">
        <v>0</v>
      </c>
    </row>
    <row r="7158" spans="1:16" x14ac:dyDescent="0.25">
      <c r="A7158" t="s">
        <v>29661</v>
      </c>
      <c r="B7158" t="s">
        <v>16772</v>
      </c>
      <c r="C7158" t="s">
        <v>16755</v>
      </c>
      <c r="D7158" t="s">
        <v>16773</v>
      </c>
      <c r="E7158" t="s">
        <v>16774</v>
      </c>
      <c r="F7158" t="s">
        <v>16601</v>
      </c>
      <c r="G7158" t="s">
        <v>16231</v>
      </c>
      <c r="H7158" t="s">
        <v>47054</v>
      </c>
      <c r="I7158" t="s">
        <v>47111</v>
      </c>
      <c r="J7158" t="s">
        <v>47112</v>
      </c>
      <c r="K7158" t="s">
        <v>47113</v>
      </c>
      <c r="L7158">
        <v>70.459999999999994</v>
      </c>
      <c r="M7158">
        <v>129</v>
      </c>
      <c r="N7158">
        <v>0</v>
      </c>
      <c r="O7158">
        <v>129</v>
      </c>
      <c r="P7158">
        <v>0</v>
      </c>
    </row>
    <row r="7159" spans="1:16" x14ac:dyDescent="0.25">
      <c r="A7159" t="s">
        <v>29662</v>
      </c>
      <c r="B7159" t="s">
        <v>16775</v>
      </c>
      <c r="C7159" t="s">
        <v>16236</v>
      </c>
      <c r="D7159" t="s">
        <v>16728</v>
      </c>
      <c r="E7159" t="s">
        <v>16729</v>
      </c>
      <c r="F7159" t="s">
        <v>16730</v>
      </c>
      <c r="G7159" t="s">
        <v>16231</v>
      </c>
      <c r="H7159" t="s">
        <v>47054</v>
      </c>
      <c r="I7159" t="s">
        <v>47111</v>
      </c>
      <c r="J7159" t="s">
        <v>47112</v>
      </c>
      <c r="K7159" t="s">
        <v>47113</v>
      </c>
      <c r="L7159">
        <v>71.2</v>
      </c>
      <c r="M7159">
        <v>133</v>
      </c>
      <c r="N7159">
        <v>0</v>
      </c>
      <c r="O7159">
        <v>133</v>
      </c>
      <c r="P7159">
        <v>0</v>
      </c>
    </row>
    <row r="7160" spans="1:16" x14ac:dyDescent="0.25">
      <c r="A7160" t="s">
        <v>29663</v>
      </c>
      <c r="B7160" t="s">
        <v>16776</v>
      </c>
      <c r="C7160" t="s">
        <v>16236</v>
      </c>
      <c r="D7160" t="s">
        <v>16777</v>
      </c>
      <c r="E7160" t="s">
        <v>16778</v>
      </c>
      <c r="F7160" t="s">
        <v>16730</v>
      </c>
      <c r="G7160" t="s">
        <v>16231</v>
      </c>
      <c r="H7160" t="s">
        <v>47054</v>
      </c>
      <c r="I7160" t="s">
        <v>47111</v>
      </c>
      <c r="J7160" t="s">
        <v>47112</v>
      </c>
      <c r="K7160" t="s">
        <v>47113</v>
      </c>
      <c r="L7160">
        <v>76.599999999999994</v>
      </c>
      <c r="M7160">
        <v>137</v>
      </c>
      <c r="N7160">
        <v>0</v>
      </c>
      <c r="O7160">
        <v>137</v>
      </c>
      <c r="P7160">
        <v>0</v>
      </c>
    </row>
    <row r="7161" spans="1:16" x14ac:dyDescent="0.25">
      <c r="A7161" t="s">
        <v>29664</v>
      </c>
      <c r="B7161" t="s">
        <v>16779</v>
      </c>
      <c r="C7161" t="s">
        <v>17861</v>
      </c>
      <c r="D7161" t="str">
        <f>"1001"</f>
        <v>1001</v>
      </c>
      <c r="E7161" t="s">
        <v>16780</v>
      </c>
      <c r="F7161" t="s">
        <v>16730</v>
      </c>
      <c r="G7161" t="s">
        <v>16234</v>
      </c>
      <c r="H7161" t="s">
        <v>47054</v>
      </c>
      <c r="I7161" t="s">
        <v>47120</v>
      </c>
      <c r="J7161" t="s">
        <v>47121</v>
      </c>
      <c r="K7161" t="s">
        <v>47113</v>
      </c>
      <c r="L7161">
        <v>27.84</v>
      </c>
      <c r="M7161">
        <v>74</v>
      </c>
      <c r="N7161">
        <v>0</v>
      </c>
      <c r="O7161">
        <v>74</v>
      </c>
      <c r="P7161">
        <v>0</v>
      </c>
    </row>
    <row r="7162" spans="1:16" x14ac:dyDescent="0.25">
      <c r="A7162" t="s">
        <v>29665</v>
      </c>
      <c r="B7162" t="s">
        <v>16779</v>
      </c>
      <c r="C7162" t="s">
        <v>17861</v>
      </c>
      <c r="D7162" t="str">
        <f>"2000"</f>
        <v>2000</v>
      </c>
      <c r="E7162" t="s">
        <v>16781</v>
      </c>
      <c r="F7162" t="s">
        <v>16730</v>
      </c>
      <c r="G7162" t="s">
        <v>16234</v>
      </c>
      <c r="H7162" t="s">
        <v>47054</v>
      </c>
      <c r="I7162" t="s">
        <v>47120</v>
      </c>
      <c r="J7162" t="s">
        <v>47121</v>
      </c>
      <c r="K7162" t="s">
        <v>47113</v>
      </c>
      <c r="L7162">
        <v>27.84</v>
      </c>
      <c r="M7162">
        <v>74</v>
      </c>
      <c r="N7162">
        <v>0</v>
      </c>
      <c r="O7162">
        <v>74</v>
      </c>
      <c r="P7162">
        <v>0</v>
      </c>
    </row>
    <row r="7163" spans="1:16" x14ac:dyDescent="0.25">
      <c r="A7163" t="s">
        <v>29666</v>
      </c>
      <c r="B7163" t="s">
        <v>16779</v>
      </c>
      <c r="C7163" t="s">
        <v>17861</v>
      </c>
      <c r="D7163" t="str">
        <f>"4000"</f>
        <v>4000</v>
      </c>
      <c r="E7163" t="s">
        <v>29667</v>
      </c>
      <c r="F7163" t="s">
        <v>21629</v>
      </c>
      <c r="G7163" t="s">
        <v>16234</v>
      </c>
      <c r="H7163" t="s">
        <v>47054</v>
      </c>
      <c r="I7163" t="s">
        <v>47120</v>
      </c>
      <c r="J7163" t="s">
        <v>47121</v>
      </c>
      <c r="K7163" t="s">
        <v>47113</v>
      </c>
      <c r="L7163">
        <v>31.8</v>
      </c>
      <c r="M7163">
        <v>77</v>
      </c>
      <c r="N7163">
        <v>0</v>
      </c>
      <c r="O7163">
        <v>77</v>
      </c>
      <c r="P7163">
        <v>0</v>
      </c>
    </row>
    <row r="7164" spans="1:16" x14ac:dyDescent="0.25">
      <c r="A7164" t="s">
        <v>29668</v>
      </c>
      <c r="B7164" t="s">
        <v>16779</v>
      </c>
      <c r="C7164" t="s">
        <v>17861</v>
      </c>
      <c r="D7164" t="str">
        <f>"4100"</f>
        <v>4100</v>
      </c>
      <c r="E7164" t="s">
        <v>16782</v>
      </c>
      <c r="F7164" t="s">
        <v>16730</v>
      </c>
      <c r="G7164" t="s">
        <v>16234</v>
      </c>
      <c r="H7164" t="s">
        <v>47054</v>
      </c>
      <c r="I7164" t="s">
        <v>47120</v>
      </c>
      <c r="J7164" t="s">
        <v>47121</v>
      </c>
      <c r="K7164" t="s">
        <v>47113</v>
      </c>
      <c r="L7164">
        <v>27.84</v>
      </c>
      <c r="M7164">
        <v>74</v>
      </c>
      <c r="N7164">
        <v>0</v>
      </c>
      <c r="O7164">
        <v>74</v>
      </c>
      <c r="P7164">
        <v>0</v>
      </c>
    </row>
    <row r="7165" spans="1:16" x14ac:dyDescent="0.25">
      <c r="A7165" t="s">
        <v>29669</v>
      </c>
      <c r="B7165" t="s">
        <v>16779</v>
      </c>
      <c r="C7165" t="s">
        <v>17861</v>
      </c>
      <c r="D7165" t="str">
        <f>"6000"</f>
        <v>6000</v>
      </c>
      <c r="E7165" t="s">
        <v>16783</v>
      </c>
      <c r="F7165" t="s">
        <v>16730</v>
      </c>
      <c r="G7165" t="s">
        <v>16234</v>
      </c>
      <c r="H7165" t="s">
        <v>47054</v>
      </c>
      <c r="I7165" t="s">
        <v>47120</v>
      </c>
      <c r="J7165" t="s">
        <v>47121</v>
      </c>
      <c r="K7165" t="s">
        <v>47113</v>
      </c>
      <c r="L7165">
        <v>25.92</v>
      </c>
      <c r="M7165">
        <v>77</v>
      </c>
      <c r="N7165">
        <v>0</v>
      </c>
      <c r="O7165">
        <v>77</v>
      </c>
      <c r="P7165">
        <v>0</v>
      </c>
    </row>
    <row r="7166" spans="1:16" x14ac:dyDescent="0.25">
      <c r="A7166" t="s">
        <v>29670</v>
      </c>
      <c r="B7166" t="s">
        <v>16779</v>
      </c>
      <c r="C7166" t="s">
        <v>17861</v>
      </c>
      <c r="D7166" t="str">
        <f>"6001"</f>
        <v>6001</v>
      </c>
      <c r="E7166" t="s">
        <v>29671</v>
      </c>
      <c r="F7166" t="s">
        <v>21629</v>
      </c>
      <c r="G7166" t="s">
        <v>16234</v>
      </c>
      <c r="H7166" t="s">
        <v>47054</v>
      </c>
      <c r="I7166" t="s">
        <v>47120</v>
      </c>
      <c r="J7166" t="s">
        <v>47121</v>
      </c>
      <c r="K7166" t="s">
        <v>47113</v>
      </c>
      <c r="L7166">
        <v>34.6</v>
      </c>
      <c r="M7166">
        <v>95</v>
      </c>
      <c r="N7166">
        <v>0</v>
      </c>
      <c r="O7166">
        <v>95</v>
      </c>
      <c r="P7166">
        <v>0</v>
      </c>
    </row>
    <row r="7167" spans="1:16" x14ac:dyDescent="0.25">
      <c r="A7167" t="s">
        <v>29672</v>
      </c>
      <c r="B7167" t="s">
        <v>16784</v>
      </c>
      <c r="C7167" t="s">
        <v>16722</v>
      </c>
      <c r="D7167" t="s">
        <v>16785</v>
      </c>
      <c r="E7167" t="s">
        <v>16786</v>
      </c>
      <c r="F7167" t="s">
        <v>16601</v>
      </c>
      <c r="G7167" t="s">
        <v>16231</v>
      </c>
      <c r="I7167" t="s">
        <v>47111</v>
      </c>
      <c r="J7167" t="s">
        <v>47112</v>
      </c>
      <c r="K7167" t="s">
        <v>47113</v>
      </c>
      <c r="L7167">
        <v>59.69</v>
      </c>
      <c r="M7167">
        <v>107</v>
      </c>
      <c r="N7167">
        <v>0</v>
      </c>
      <c r="O7167">
        <v>107</v>
      </c>
      <c r="P7167">
        <v>0</v>
      </c>
    </row>
    <row r="7168" spans="1:16" x14ac:dyDescent="0.25">
      <c r="A7168" t="s">
        <v>29673</v>
      </c>
      <c r="B7168" t="s">
        <v>16787</v>
      </c>
      <c r="C7168" t="s">
        <v>16236</v>
      </c>
      <c r="D7168" t="s">
        <v>16788</v>
      </c>
      <c r="E7168" t="s">
        <v>16789</v>
      </c>
      <c r="F7168" t="s">
        <v>16601</v>
      </c>
      <c r="G7168" t="s">
        <v>16231</v>
      </c>
      <c r="H7168" t="s">
        <v>47054</v>
      </c>
      <c r="I7168" t="s">
        <v>47111</v>
      </c>
      <c r="J7168" t="s">
        <v>47112</v>
      </c>
      <c r="K7168" t="s">
        <v>47113</v>
      </c>
      <c r="L7168">
        <v>68.66</v>
      </c>
      <c r="M7168">
        <v>133</v>
      </c>
      <c r="N7168">
        <v>0</v>
      </c>
      <c r="O7168">
        <v>133</v>
      </c>
      <c r="P7168">
        <v>0</v>
      </c>
    </row>
    <row r="7169" spans="1:16" x14ac:dyDescent="0.25">
      <c r="A7169" t="s">
        <v>29674</v>
      </c>
      <c r="B7169" t="s">
        <v>16790</v>
      </c>
      <c r="C7169" t="s">
        <v>16236</v>
      </c>
      <c r="D7169" t="s">
        <v>16732</v>
      </c>
      <c r="E7169" t="s">
        <v>16733</v>
      </c>
      <c r="F7169" t="s">
        <v>16601</v>
      </c>
      <c r="G7169" t="s">
        <v>16231</v>
      </c>
      <c r="H7169" t="s">
        <v>47054</v>
      </c>
      <c r="I7169" t="s">
        <v>47111</v>
      </c>
      <c r="J7169" t="s">
        <v>47112</v>
      </c>
      <c r="K7169" t="s">
        <v>47113</v>
      </c>
      <c r="L7169">
        <v>71.13</v>
      </c>
      <c r="M7169">
        <v>137</v>
      </c>
      <c r="N7169">
        <v>0</v>
      </c>
      <c r="O7169">
        <v>137</v>
      </c>
      <c r="P7169">
        <v>0</v>
      </c>
    </row>
    <row r="7170" spans="1:16" x14ac:dyDescent="0.25">
      <c r="A7170" t="s">
        <v>29675</v>
      </c>
      <c r="B7170" t="s">
        <v>16791</v>
      </c>
      <c r="C7170" t="s">
        <v>16792</v>
      </c>
      <c r="D7170" t="s">
        <v>16793</v>
      </c>
      <c r="E7170" t="s">
        <v>16794</v>
      </c>
      <c r="F7170" t="s">
        <v>16762</v>
      </c>
      <c r="G7170" t="s">
        <v>16231</v>
      </c>
      <c r="H7170" t="s">
        <v>47054</v>
      </c>
      <c r="I7170" t="s">
        <v>47111</v>
      </c>
      <c r="J7170" t="s">
        <v>47112</v>
      </c>
      <c r="K7170" t="s">
        <v>47113</v>
      </c>
      <c r="L7170">
        <v>61.02</v>
      </c>
      <c r="M7170">
        <v>137</v>
      </c>
      <c r="N7170">
        <v>0</v>
      </c>
      <c r="O7170">
        <v>137</v>
      </c>
      <c r="P7170">
        <v>0</v>
      </c>
    </row>
    <row r="7171" spans="1:16" x14ac:dyDescent="0.25">
      <c r="A7171" t="s">
        <v>29676</v>
      </c>
      <c r="B7171" t="s">
        <v>16272</v>
      </c>
      <c r="C7171" t="s">
        <v>16722</v>
      </c>
      <c r="D7171" t="s">
        <v>15539</v>
      </c>
      <c r="E7171" t="s">
        <v>15540</v>
      </c>
      <c r="F7171" t="s">
        <v>15183</v>
      </c>
      <c r="G7171" t="s">
        <v>16231</v>
      </c>
      <c r="H7171" t="s">
        <v>47054</v>
      </c>
      <c r="I7171" t="s">
        <v>47111</v>
      </c>
      <c r="J7171" t="s">
        <v>47112</v>
      </c>
      <c r="K7171" t="s">
        <v>47113</v>
      </c>
      <c r="L7171">
        <v>48.65</v>
      </c>
      <c r="M7171">
        <v>74</v>
      </c>
      <c r="N7171">
        <v>0</v>
      </c>
      <c r="O7171">
        <v>74</v>
      </c>
      <c r="P7171">
        <v>0</v>
      </c>
    </row>
    <row r="7172" spans="1:16" x14ac:dyDescent="0.25">
      <c r="A7172" t="s">
        <v>29677</v>
      </c>
      <c r="B7172" t="s">
        <v>15296</v>
      </c>
      <c r="C7172" t="s">
        <v>16755</v>
      </c>
      <c r="D7172" t="s">
        <v>15274</v>
      </c>
      <c r="E7172" t="s">
        <v>15275</v>
      </c>
      <c r="F7172" t="s">
        <v>15183</v>
      </c>
      <c r="G7172" t="s">
        <v>16231</v>
      </c>
      <c r="H7172" t="s">
        <v>47054</v>
      </c>
      <c r="I7172" t="s">
        <v>47111</v>
      </c>
      <c r="J7172" t="s">
        <v>47112</v>
      </c>
      <c r="K7172" t="s">
        <v>47113</v>
      </c>
      <c r="L7172">
        <v>65.849999999999994</v>
      </c>
      <c r="M7172">
        <v>129</v>
      </c>
      <c r="N7172">
        <v>0</v>
      </c>
      <c r="O7172">
        <v>129</v>
      </c>
      <c r="P7172">
        <v>0</v>
      </c>
    </row>
    <row r="7173" spans="1:16" x14ac:dyDescent="0.25">
      <c r="A7173" t="s">
        <v>29678</v>
      </c>
      <c r="B7173" t="s">
        <v>16795</v>
      </c>
      <c r="C7173" t="s">
        <v>16236</v>
      </c>
      <c r="D7173" t="s">
        <v>16750</v>
      </c>
      <c r="E7173" t="s">
        <v>16751</v>
      </c>
      <c r="F7173" t="s">
        <v>16623</v>
      </c>
      <c r="G7173" t="s">
        <v>16231</v>
      </c>
      <c r="H7173" t="s">
        <v>47054</v>
      </c>
      <c r="I7173" t="s">
        <v>47111</v>
      </c>
      <c r="J7173" t="s">
        <v>47112</v>
      </c>
      <c r="K7173" t="s">
        <v>47113</v>
      </c>
      <c r="L7173">
        <v>79.67</v>
      </c>
      <c r="M7173">
        <v>166</v>
      </c>
      <c r="N7173">
        <v>0</v>
      </c>
      <c r="O7173">
        <v>166</v>
      </c>
      <c r="P7173">
        <v>0</v>
      </c>
    </row>
    <row r="7174" spans="1:16" x14ac:dyDescent="0.25">
      <c r="A7174" t="s">
        <v>29679</v>
      </c>
      <c r="B7174" t="s">
        <v>16796</v>
      </c>
      <c r="C7174" t="s">
        <v>16797</v>
      </c>
      <c r="D7174" t="s">
        <v>16750</v>
      </c>
      <c r="E7174" t="s">
        <v>16751</v>
      </c>
      <c r="F7174" t="s">
        <v>16623</v>
      </c>
      <c r="G7174" t="s">
        <v>16231</v>
      </c>
      <c r="H7174" t="s">
        <v>47054</v>
      </c>
      <c r="I7174" t="s">
        <v>47111</v>
      </c>
      <c r="J7174" t="s">
        <v>47112</v>
      </c>
      <c r="K7174" t="s">
        <v>47113</v>
      </c>
      <c r="L7174">
        <v>69.61</v>
      </c>
      <c r="M7174">
        <v>140</v>
      </c>
      <c r="N7174">
        <v>0</v>
      </c>
      <c r="O7174">
        <v>140</v>
      </c>
      <c r="P7174">
        <v>0</v>
      </c>
    </row>
    <row r="7175" spans="1:16" x14ac:dyDescent="0.25">
      <c r="A7175" t="s">
        <v>29680</v>
      </c>
      <c r="B7175" t="s">
        <v>16798</v>
      </c>
      <c r="C7175" t="s">
        <v>16236</v>
      </c>
      <c r="D7175" t="s">
        <v>16799</v>
      </c>
      <c r="E7175" t="s">
        <v>16800</v>
      </c>
      <c r="F7175" t="s">
        <v>16623</v>
      </c>
      <c r="G7175" t="s">
        <v>16231</v>
      </c>
      <c r="H7175" t="s">
        <v>47054</v>
      </c>
      <c r="I7175" t="s">
        <v>47111</v>
      </c>
      <c r="J7175" t="s">
        <v>47112</v>
      </c>
      <c r="K7175" t="s">
        <v>47113</v>
      </c>
      <c r="L7175">
        <v>64.14</v>
      </c>
      <c r="M7175">
        <v>129</v>
      </c>
      <c r="N7175">
        <v>0</v>
      </c>
      <c r="O7175">
        <v>129</v>
      </c>
      <c r="P7175">
        <v>0</v>
      </c>
    </row>
    <row r="7176" spans="1:16" x14ac:dyDescent="0.25">
      <c r="A7176" t="s">
        <v>29681</v>
      </c>
      <c r="B7176" t="s">
        <v>16801</v>
      </c>
      <c r="C7176" t="s">
        <v>16722</v>
      </c>
      <c r="D7176" t="s">
        <v>16802</v>
      </c>
      <c r="E7176" t="s">
        <v>16803</v>
      </c>
      <c r="F7176" t="s">
        <v>16623</v>
      </c>
      <c r="G7176" t="s">
        <v>16231</v>
      </c>
      <c r="H7176" t="s">
        <v>47054</v>
      </c>
      <c r="I7176" t="s">
        <v>47116</v>
      </c>
      <c r="J7176" t="s">
        <v>47117</v>
      </c>
      <c r="K7176" t="s">
        <v>47113</v>
      </c>
      <c r="L7176">
        <v>55.19</v>
      </c>
      <c r="M7176">
        <v>111</v>
      </c>
      <c r="N7176">
        <v>0</v>
      </c>
      <c r="O7176">
        <v>111</v>
      </c>
      <c r="P7176">
        <v>0</v>
      </c>
    </row>
    <row r="7177" spans="1:16" x14ac:dyDescent="0.25">
      <c r="A7177" t="s">
        <v>29682</v>
      </c>
      <c r="B7177" t="s">
        <v>16804</v>
      </c>
      <c r="C7177" t="s">
        <v>16722</v>
      </c>
      <c r="D7177" t="s">
        <v>16805</v>
      </c>
      <c r="E7177" t="s">
        <v>16806</v>
      </c>
      <c r="F7177" t="s">
        <v>16623</v>
      </c>
      <c r="G7177" t="s">
        <v>16231</v>
      </c>
      <c r="H7177" t="s">
        <v>47054</v>
      </c>
      <c r="I7177" t="s">
        <v>47111</v>
      </c>
      <c r="J7177" t="s">
        <v>47112</v>
      </c>
      <c r="K7177" t="s">
        <v>47113</v>
      </c>
      <c r="L7177">
        <v>51.21</v>
      </c>
      <c r="M7177">
        <v>103</v>
      </c>
      <c r="N7177">
        <v>0</v>
      </c>
      <c r="O7177">
        <v>103</v>
      </c>
      <c r="P7177">
        <v>0</v>
      </c>
    </row>
    <row r="7178" spans="1:16" x14ac:dyDescent="0.25">
      <c r="A7178" t="s">
        <v>29683</v>
      </c>
      <c r="B7178" t="s">
        <v>16807</v>
      </c>
      <c r="C7178" t="s">
        <v>16236</v>
      </c>
      <c r="D7178" t="s">
        <v>16808</v>
      </c>
      <c r="E7178" t="s">
        <v>16809</v>
      </c>
      <c r="F7178" t="s">
        <v>16810</v>
      </c>
      <c r="G7178" t="s">
        <v>16231</v>
      </c>
      <c r="H7178" t="s">
        <v>47054</v>
      </c>
      <c r="I7178" t="s">
        <v>47111</v>
      </c>
      <c r="J7178" t="s">
        <v>47112</v>
      </c>
      <c r="K7178" t="s">
        <v>47113</v>
      </c>
      <c r="L7178">
        <v>73.59</v>
      </c>
      <c r="M7178">
        <v>148</v>
      </c>
      <c r="N7178">
        <v>0</v>
      </c>
      <c r="O7178">
        <v>148</v>
      </c>
      <c r="P7178">
        <v>0</v>
      </c>
    </row>
    <row r="7179" spans="1:16" x14ac:dyDescent="0.25">
      <c r="A7179" t="s">
        <v>29684</v>
      </c>
      <c r="B7179" t="s">
        <v>16811</v>
      </c>
      <c r="C7179" t="s">
        <v>16236</v>
      </c>
      <c r="D7179" t="s">
        <v>16812</v>
      </c>
      <c r="E7179" t="s">
        <v>16813</v>
      </c>
      <c r="F7179" t="s">
        <v>16746</v>
      </c>
      <c r="G7179" t="s">
        <v>16231</v>
      </c>
      <c r="H7179" t="s">
        <v>47054</v>
      </c>
      <c r="I7179" t="s">
        <v>47111</v>
      </c>
      <c r="J7179" t="s">
        <v>47112</v>
      </c>
      <c r="K7179" t="s">
        <v>47113</v>
      </c>
      <c r="L7179">
        <v>69.61</v>
      </c>
      <c r="M7179">
        <v>140</v>
      </c>
      <c r="N7179">
        <v>0</v>
      </c>
      <c r="O7179">
        <v>140</v>
      </c>
      <c r="P7179">
        <v>0</v>
      </c>
    </row>
    <row r="7180" spans="1:16" x14ac:dyDescent="0.25">
      <c r="A7180" t="s">
        <v>29685</v>
      </c>
      <c r="B7180" t="s">
        <v>16814</v>
      </c>
      <c r="C7180" t="s">
        <v>16722</v>
      </c>
      <c r="D7180" t="s">
        <v>16815</v>
      </c>
      <c r="E7180" t="s">
        <v>16816</v>
      </c>
      <c r="F7180" t="s">
        <v>16746</v>
      </c>
      <c r="G7180" t="s">
        <v>16231</v>
      </c>
      <c r="H7180" t="s">
        <v>47054</v>
      </c>
      <c r="I7180" t="s">
        <v>47111</v>
      </c>
      <c r="J7180" t="s">
        <v>47112</v>
      </c>
      <c r="K7180" t="s">
        <v>47113</v>
      </c>
      <c r="L7180">
        <v>51.21</v>
      </c>
      <c r="M7180">
        <v>103</v>
      </c>
      <c r="N7180">
        <v>0</v>
      </c>
      <c r="O7180">
        <v>103</v>
      </c>
      <c r="P7180">
        <v>0</v>
      </c>
    </row>
    <row r="7181" spans="1:16" x14ac:dyDescent="0.25">
      <c r="A7181" t="s">
        <v>29686</v>
      </c>
      <c r="B7181" t="s">
        <v>16814</v>
      </c>
      <c r="C7181" t="s">
        <v>16722</v>
      </c>
      <c r="D7181" t="s">
        <v>16817</v>
      </c>
      <c r="E7181" t="s">
        <v>16818</v>
      </c>
      <c r="F7181" t="s">
        <v>16746</v>
      </c>
      <c r="G7181" t="s">
        <v>16231</v>
      </c>
      <c r="H7181" t="s">
        <v>47054</v>
      </c>
      <c r="I7181" t="s">
        <v>47111</v>
      </c>
      <c r="J7181" t="s">
        <v>47112</v>
      </c>
      <c r="K7181" t="s">
        <v>47113</v>
      </c>
      <c r="L7181">
        <v>55.19</v>
      </c>
      <c r="M7181">
        <v>111</v>
      </c>
      <c r="N7181">
        <v>0</v>
      </c>
      <c r="O7181">
        <v>111</v>
      </c>
      <c r="P7181">
        <v>0</v>
      </c>
    </row>
    <row r="7182" spans="1:16" x14ac:dyDescent="0.25">
      <c r="A7182" t="s">
        <v>29687</v>
      </c>
      <c r="B7182" t="s">
        <v>16819</v>
      </c>
      <c r="C7182" t="s">
        <v>16236</v>
      </c>
      <c r="D7182" t="s">
        <v>16820</v>
      </c>
      <c r="E7182" t="s">
        <v>16821</v>
      </c>
      <c r="F7182" t="s">
        <v>16822</v>
      </c>
      <c r="G7182" t="s">
        <v>16231</v>
      </c>
      <c r="H7182" t="s">
        <v>47054</v>
      </c>
      <c r="I7182" t="s">
        <v>47116</v>
      </c>
      <c r="J7182" t="s">
        <v>47117</v>
      </c>
      <c r="K7182" t="s">
        <v>47113</v>
      </c>
      <c r="L7182">
        <v>32.19</v>
      </c>
      <c r="M7182">
        <v>95</v>
      </c>
      <c r="N7182">
        <v>0</v>
      </c>
      <c r="O7182">
        <v>95</v>
      </c>
      <c r="P7182">
        <v>0</v>
      </c>
    </row>
    <row r="7183" spans="1:16" x14ac:dyDescent="0.25">
      <c r="A7183" t="s">
        <v>29688</v>
      </c>
      <c r="B7183" t="s">
        <v>16823</v>
      </c>
      <c r="C7183" t="s">
        <v>16722</v>
      </c>
      <c r="D7183" t="s">
        <v>3666</v>
      </c>
      <c r="E7183" t="s">
        <v>3667</v>
      </c>
      <c r="F7183" t="s">
        <v>15183</v>
      </c>
      <c r="G7183" t="s">
        <v>16231</v>
      </c>
      <c r="H7183" t="s">
        <v>47054</v>
      </c>
      <c r="I7183" t="s">
        <v>47111</v>
      </c>
      <c r="J7183" t="s">
        <v>47112</v>
      </c>
      <c r="K7183" t="s">
        <v>47113</v>
      </c>
      <c r="L7183">
        <v>42.49</v>
      </c>
      <c r="M7183">
        <v>112</v>
      </c>
      <c r="N7183">
        <v>0</v>
      </c>
      <c r="O7183">
        <v>112</v>
      </c>
      <c r="P7183">
        <v>0</v>
      </c>
    </row>
    <row r="7184" spans="1:16" x14ac:dyDescent="0.25">
      <c r="A7184" t="s">
        <v>29689</v>
      </c>
      <c r="B7184" t="s">
        <v>19889</v>
      </c>
      <c r="C7184" t="s">
        <v>16722</v>
      </c>
      <c r="D7184" t="s">
        <v>19890</v>
      </c>
      <c r="E7184" t="s">
        <v>19891</v>
      </c>
      <c r="F7184" t="s">
        <v>16933</v>
      </c>
      <c r="G7184" t="s">
        <v>16231</v>
      </c>
      <c r="H7184" t="s">
        <v>47054</v>
      </c>
      <c r="I7184" t="s">
        <v>47111</v>
      </c>
      <c r="J7184" t="s">
        <v>47112</v>
      </c>
      <c r="K7184" t="s">
        <v>47113</v>
      </c>
      <c r="L7184">
        <v>63.39</v>
      </c>
      <c r="M7184">
        <v>111</v>
      </c>
      <c r="N7184">
        <v>0</v>
      </c>
      <c r="O7184">
        <v>111</v>
      </c>
      <c r="P7184">
        <v>0</v>
      </c>
    </row>
    <row r="7185" spans="1:16" x14ac:dyDescent="0.25">
      <c r="A7185" t="s">
        <v>29690</v>
      </c>
      <c r="B7185" t="s">
        <v>19889</v>
      </c>
      <c r="C7185" t="s">
        <v>16722</v>
      </c>
      <c r="D7185" t="s">
        <v>19892</v>
      </c>
      <c r="E7185" t="s">
        <v>19893</v>
      </c>
      <c r="F7185" t="s">
        <v>16933</v>
      </c>
      <c r="G7185" t="s">
        <v>16231</v>
      </c>
      <c r="H7185" t="s">
        <v>47054</v>
      </c>
      <c r="I7185" t="s">
        <v>47111</v>
      </c>
      <c r="J7185" t="s">
        <v>47112</v>
      </c>
      <c r="K7185" t="s">
        <v>47113</v>
      </c>
      <c r="L7185">
        <v>57.03</v>
      </c>
      <c r="M7185">
        <v>111</v>
      </c>
      <c r="N7185">
        <v>0</v>
      </c>
      <c r="O7185">
        <v>111</v>
      </c>
      <c r="P7185">
        <v>0</v>
      </c>
    </row>
    <row r="7186" spans="1:16" x14ac:dyDescent="0.25">
      <c r="A7186" t="s">
        <v>29691</v>
      </c>
      <c r="B7186" t="s">
        <v>19894</v>
      </c>
      <c r="C7186" t="s">
        <v>16236</v>
      </c>
      <c r="D7186" t="s">
        <v>19881</v>
      </c>
      <c r="E7186" t="s">
        <v>19882</v>
      </c>
      <c r="F7186" t="s">
        <v>16933</v>
      </c>
      <c r="G7186" t="s">
        <v>16231</v>
      </c>
      <c r="H7186" t="s">
        <v>47054</v>
      </c>
      <c r="I7186" t="s">
        <v>47111</v>
      </c>
      <c r="J7186" t="s">
        <v>47112</v>
      </c>
      <c r="K7186" t="s">
        <v>47113</v>
      </c>
      <c r="L7186">
        <v>75.5</v>
      </c>
      <c r="M7186">
        <v>148</v>
      </c>
      <c r="N7186">
        <v>0</v>
      </c>
      <c r="O7186">
        <v>148</v>
      </c>
      <c r="P7186">
        <v>0</v>
      </c>
    </row>
    <row r="7187" spans="1:16" x14ac:dyDescent="0.25">
      <c r="A7187" t="s">
        <v>29692</v>
      </c>
      <c r="B7187" t="s">
        <v>19895</v>
      </c>
      <c r="C7187" t="s">
        <v>16236</v>
      </c>
      <c r="D7187" t="s">
        <v>19896</v>
      </c>
      <c r="E7187" t="s">
        <v>19897</v>
      </c>
      <c r="F7187" t="s">
        <v>16933</v>
      </c>
      <c r="G7187" t="s">
        <v>16231</v>
      </c>
      <c r="H7187" t="s">
        <v>47054</v>
      </c>
      <c r="I7187" t="s">
        <v>47111</v>
      </c>
      <c r="J7187" t="s">
        <v>47112</v>
      </c>
      <c r="K7187" t="s">
        <v>47113</v>
      </c>
      <c r="L7187">
        <v>82.61</v>
      </c>
      <c r="M7187">
        <v>148</v>
      </c>
      <c r="N7187">
        <v>0</v>
      </c>
      <c r="O7187">
        <v>148</v>
      </c>
      <c r="P7187">
        <v>0</v>
      </c>
    </row>
    <row r="7188" spans="1:16" x14ac:dyDescent="0.25">
      <c r="A7188" t="s">
        <v>29693</v>
      </c>
      <c r="B7188" t="s">
        <v>19898</v>
      </c>
      <c r="C7188" t="s">
        <v>16236</v>
      </c>
      <c r="D7188" t="s">
        <v>19899</v>
      </c>
      <c r="E7188" t="s">
        <v>19900</v>
      </c>
      <c r="F7188" t="s">
        <v>19847</v>
      </c>
      <c r="G7188" t="s">
        <v>16231</v>
      </c>
      <c r="H7188" t="s">
        <v>47054</v>
      </c>
      <c r="I7188" t="s">
        <v>47111</v>
      </c>
      <c r="J7188" t="s">
        <v>47112</v>
      </c>
      <c r="K7188" t="s">
        <v>47113</v>
      </c>
      <c r="L7188">
        <v>89.64</v>
      </c>
      <c r="M7188">
        <v>177</v>
      </c>
      <c r="N7188">
        <v>0</v>
      </c>
      <c r="O7188">
        <v>177</v>
      </c>
      <c r="P7188">
        <v>0</v>
      </c>
    </row>
    <row r="7189" spans="1:16" x14ac:dyDescent="0.25">
      <c r="A7189" t="s">
        <v>29694</v>
      </c>
      <c r="B7189" t="s">
        <v>19901</v>
      </c>
      <c r="C7189" t="s">
        <v>16236</v>
      </c>
      <c r="D7189" t="s">
        <v>19902</v>
      </c>
      <c r="E7189" t="s">
        <v>19903</v>
      </c>
      <c r="F7189" t="s">
        <v>19847</v>
      </c>
      <c r="G7189" t="s">
        <v>16231</v>
      </c>
      <c r="H7189" t="s">
        <v>47054</v>
      </c>
      <c r="I7189" t="s">
        <v>47111</v>
      </c>
      <c r="J7189" t="s">
        <v>47112</v>
      </c>
      <c r="K7189" t="s">
        <v>47113</v>
      </c>
      <c r="L7189">
        <v>85.22</v>
      </c>
      <c r="M7189">
        <v>177</v>
      </c>
      <c r="N7189">
        <v>0</v>
      </c>
      <c r="O7189">
        <v>177</v>
      </c>
      <c r="P7189">
        <v>0</v>
      </c>
    </row>
    <row r="7190" spans="1:16" x14ac:dyDescent="0.25">
      <c r="A7190" t="s">
        <v>29695</v>
      </c>
      <c r="B7190" t="s">
        <v>19904</v>
      </c>
      <c r="C7190" t="s">
        <v>16722</v>
      </c>
      <c r="D7190" t="s">
        <v>19905</v>
      </c>
      <c r="E7190" t="s">
        <v>19906</v>
      </c>
      <c r="F7190" t="s">
        <v>19847</v>
      </c>
      <c r="G7190" t="s">
        <v>16231</v>
      </c>
      <c r="H7190" t="s">
        <v>47054</v>
      </c>
      <c r="I7190" t="s">
        <v>47116</v>
      </c>
      <c r="J7190" t="s">
        <v>47117</v>
      </c>
      <c r="K7190" t="s">
        <v>47113</v>
      </c>
      <c r="L7190">
        <v>40.229999999999997</v>
      </c>
      <c r="M7190">
        <v>92</v>
      </c>
      <c r="N7190">
        <v>0</v>
      </c>
      <c r="O7190">
        <v>92</v>
      </c>
      <c r="P7190">
        <v>0</v>
      </c>
    </row>
    <row r="7191" spans="1:16" x14ac:dyDescent="0.25">
      <c r="A7191" t="s">
        <v>29696</v>
      </c>
      <c r="B7191" t="s">
        <v>19907</v>
      </c>
      <c r="C7191" t="s">
        <v>16722</v>
      </c>
      <c r="D7191" t="s">
        <v>19677</v>
      </c>
      <c r="E7191" t="s">
        <v>19678</v>
      </c>
      <c r="F7191" t="s">
        <v>19908</v>
      </c>
      <c r="G7191" t="s">
        <v>16231</v>
      </c>
      <c r="H7191" t="s">
        <v>47054</v>
      </c>
      <c r="I7191" t="s">
        <v>47111</v>
      </c>
      <c r="J7191" t="s">
        <v>47112</v>
      </c>
      <c r="K7191" t="s">
        <v>47113</v>
      </c>
      <c r="L7191">
        <v>62.08</v>
      </c>
      <c r="M7191">
        <v>148</v>
      </c>
      <c r="N7191">
        <v>0</v>
      </c>
      <c r="O7191">
        <v>148</v>
      </c>
      <c r="P7191">
        <v>0</v>
      </c>
    </row>
    <row r="7192" spans="1:16" x14ac:dyDescent="0.25">
      <c r="A7192" t="s">
        <v>29697</v>
      </c>
      <c r="B7192" t="s">
        <v>19909</v>
      </c>
      <c r="C7192" t="s">
        <v>16236</v>
      </c>
      <c r="D7192" t="s">
        <v>19677</v>
      </c>
      <c r="E7192" t="s">
        <v>19678</v>
      </c>
      <c r="F7192" t="s">
        <v>19908</v>
      </c>
      <c r="G7192" t="s">
        <v>16231</v>
      </c>
      <c r="H7192" t="s">
        <v>47054</v>
      </c>
      <c r="I7192" t="s">
        <v>47111</v>
      </c>
      <c r="J7192" t="s">
        <v>47112</v>
      </c>
      <c r="K7192" t="s">
        <v>47113</v>
      </c>
      <c r="L7192">
        <v>81.599999999999994</v>
      </c>
      <c r="M7192">
        <v>158</v>
      </c>
      <c r="N7192">
        <v>0</v>
      </c>
      <c r="O7192">
        <v>158</v>
      </c>
      <c r="P7192">
        <v>0</v>
      </c>
    </row>
    <row r="7193" spans="1:16" x14ac:dyDescent="0.25">
      <c r="A7193" t="s">
        <v>29698</v>
      </c>
      <c r="B7193" t="s">
        <v>16824</v>
      </c>
      <c r="C7193" t="s">
        <v>16825</v>
      </c>
      <c r="D7193" t="s">
        <v>27</v>
      </c>
      <c r="E7193" t="s">
        <v>16826</v>
      </c>
      <c r="F7193" t="s">
        <v>16601</v>
      </c>
      <c r="G7193" t="s">
        <v>16231</v>
      </c>
      <c r="H7193" t="s">
        <v>47054</v>
      </c>
      <c r="I7193" t="s">
        <v>47116</v>
      </c>
      <c r="J7193" t="s">
        <v>47117</v>
      </c>
      <c r="K7193" t="s">
        <v>47113</v>
      </c>
      <c r="L7193">
        <v>53.14</v>
      </c>
      <c r="M7193">
        <v>148</v>
      </c>
      <c r="N7193">
        <v>0</v>
      </c>
      <c r="O7193">
        <v>148</v>
      </c>
      <c r="P7193">
        <v>0</v>
      </c>
    </row>
    <row r="7194" spans="1:16" x14ac:dyDescent="0.25">
      <c r="A7194" t="s">
        <v>29699</v>
      </c>
      <c r="B7194" t="s">
        <v>16824</v>
      </c>
      <c r="C7194" t="s">
        <v>16825</v>
      </c>
      <c r="D7194" t="s">
        <v>6626</v>
      </c>
      <c r="E7194" t="s">
        <v>6627</v>
      </c>
      <c r="F7194" t="s">
        <v>16601</v>
      </c>
      <c r="G7194" t="s">
        <v>16231</v>
      </c>
      <c r="H7194" t="s">
        <v>47054</v>
      </c>
      <c r="I7194" t="s">
        <v>47116</v>
      </c>
      <c r="J7194" t="s">
        <v>47117</v>
      </c>
      <c r="K7194" t="s">
        <v>47113</v>
      </c>
      <c r="L7194">
        <v>53.14</v>
      </c>
      <c r="M7194">
        <v>148</v>
      </c>
      <c r="N7194">
        <v>0</v>
      </c>
      <c r="O7194">
        <v>148</v>
      </c>
      <c r="P7194">
        <v>0</v>
      </c>
    </row>
    <row r="7195" spans="1:16" x14ac:dyDescent="0.25">
      <c r="A7195" t="s">
        <v>29700</v>
      </c>
      <c r="B7195" t="s">
        <v>16827</v>
      </c>
      <c r="C7195" t="s">
        <v>16722</v>
      </c>
      <c r="D7195" t="s">
        <v>16750</v>
      </c>
      <c r="E7195" t="s">
        <v>16751</v>
      </c>
      <c r="F7195" t="s">
        <v>16623</v>
      </c>
      <c r="G7195" t="s">
        <v>16231</v>
      </c>
      <c r="H7195" t="s">
        <v>47054</v>
      </c>
      <c r="I7195" t="s">
        <v>47111</v>
      </c>
      <c r="J7195" t="s">
        <v>47112</v>
      </c>
      <c r="K7195" t="s">
        <v>47113</v>
      </c>
      <c r="L7195">
        <v>55.19</v>
      </c>
      <c r="M7195">
        <v>111</v>
      </c>
      <c r="N7195">
        <v>0</v>
      </c>
      <c r="O7195">
        <v>111</v>
      </c>
      <c r="P7195">
        <v>0</v>
      </c>
    </row>
    <row r="7196" spans="1:16" x14ac:dyDescent="0.25">
      <c r="A7196" t="s">
        <v>29701</v>
      </c>
      <c r="B7196" t="s">
        <v>16827</v>
      </c>
      <c r="C7196" t="s">
        <v>16722</v>
      </c>
      <c r="D7196" t="s">
        <v>29702</v>
      </c>
      <c r="E7196" t="s">
        <v>29703</v>
      </c>
      <c r="F7196" t="s">
        <v>20496</v>
      </c>
      <c r="G7196" t="s">
        <v>16231</v>
      </c>
      <c r="H7196" t="s">
        <v>47054</v>
      </c>
      <c r="I7196" t="s">
        <v>47111</v>
      </c>
      <c r="J7196" t="s">
        <v>47112</v>
      </c>
      <c r="K7196" t="s">
        <v>47113</v>
      </c>
      <c r="L7196">
        <v>45.65</v>
      </c>
      <c r="M7196">
        <v>92</v>
      </c>
      <c r="N7196">
        <v>0</v>
      </c>
      <c r="O7196">
        <v>92</v>
      </c>
      <c r="P7196">
        <v>0</v>
      </c>
    </row>
    <row r="7197" spans="1:16" x14ac:dyDescent="0.25">
      <c r="A7197" t="s">
        <v>29704</v>
      </c>
      <c r="B7197" t="s">
        <v>16828</v>
      </c>
      <c r="C7197" t="s">
        <v>16722</v>
      </c>
      <c r="D7197" t="s">
        <v>16735</v>
      </c>
      <c r="E7197" t="s">
        <v>16736</v>
      </c>
      <c r="F7197" t="s">
        <v>16623</v>
      </c>
      <c r="G7197" t="s">
        <v>16231</v>
      </c>
      <c r="H7197" t="s">
        <v>47054</v>
      </c>
      <c r="I7197" t="s">
        <v>47111</v>
      </c>
      <c r="J7197" t="s">
        <v>47112</v>
      </c>
      <c r="K7197" t="s">
        <v>47113</v>
      </c>
      <c r="L7197">
        <v>51.21</v>
      </c>
      <c r="M7197">
        <v>103</v>
      </c>
      <c r="N7197">
        <v>0</v>
      </c>
      <c r="O7197">
        <v>103</v>
      </c>
      <c r="P7197">
        <v>0</v>
      </c>
    </row>
    <row r="7198" spans="1:16" x14ac:dyDescent="0.25">
      <c r="A7198" t="s">
        <v>29705</v>
      </c>
      <c r="B7198" t="s">
        <v>16829</v>
      </c>
      <c r="C7198" t="s">
        <v>16830</v>
      </c>
      <c r="D7198" t="s">
        <v>16735</v>
      </c>
      <c r="E7198" t="s">
        <v>16736</v>
      </c>
      <c r="F7198" t="s">
        <v>16623</v>
      </c>
      <c r="G7198" t="s">
        <v>16231</v>
      </c>
      <c r="H7198" t="s">
        <v>47054</v>
      </c>
      <c r="I7198" t="s">
        <v>47111</v>
      </c>
      <c r="J7198" t="s">
        <v>47112</v>
      </c>
      <c r="K7198" t="s">
        <v>47113</v>
      </c>
      <c r="L7198">
        <v>51.21</v>
      </c>
      <c r="M7198">
        <v>103</v>
      </c>
      <c r="N7198">
        <v>0</v>
      </c>
      <c r="O7198">
        <v>103</v>
      </c>
      <c r="P7198">
        <v>0</v>
      </c>
    </row>
    <row r="7199" spans="1:16" x14ac:dyDescent="0.25">
      <c r="A7199" t="s">
        <v>29706</v>
      </c>
      <c r="B7199" t="s">
        <v>16831</v>
      </c>
      <c r="C7199" t="s">
        <v>16236</v>
      </c>
      <c r="D7199" t="s">
        <v>16750</v>
      </c>
      <c r="E7199" t="s">
        <v>16751</v>
      </c>
      <c r="F7199" t="s">
        <v>16623</v>
      </c>
      <c r="G7199" t="s">
        <v>16231</v>
      </c>
      <c r="H7199" t="s">
        <v>47054</v>
      </c>
      <c r="I7199" t="s">
        <v>47111</v>
      </c>
      <c r="J7199" t="s">
        <v>47112</v>
      </c>
      <c r="K7199" t="s">
        <v>47113</v>
      </c>
      <c r="L7199">
        <v>52.62</v>
      </c>
      <c r="M7199">
        <v>111</v>
      </c>
      <c r="N7199">
        <v>0</v>
      </c>
      <c r="O7199">
        <v>111</v>
      </c>
      <c r="P7199">
        <v>0</v>
      </c>
    </row>
    <row r="7200" spans="1:16" x14ac:dyDescent="0.25">
      <c r="A7200" t="s">
        <v>29707</v>
      </c>
      <c r="B7200" t="s">
        <v>16832</v>
      </c>
      <c r="C7200" t="s">
        <v>16236</v>
      </c>
      <c r="D7200" t="s">
        <v>16833</v>
      </c>
      <c r="E7200" t="s">
        <v>16834</v>
      </c>
      <c r="F7200" t="s">
        <v>16746</v>
      </c>
      <c r="G7200" t="s">
        <v>16231</v>
      </c>
      <c r="H7200" t="s">
        <v>47054</v>
      </c>
      <c r="I7200" t="s">
        <v>47111</v>
      </c>
      <c r="J7200" t="s">
        <v>47112</v>
      </c>
      <c r="K7200" t="s">
        <v>47113</v>
      </c>
      <c r="L7200">
        <v>69.61</v>
      </c>
      <c r="M7200">
        <v>140</v>
      </c>
      <c r="N7200">
        <v>0</v>
      </c>
      <c r="O7200">
        <v>140</v>
      </c>
      <c r="P7200">
        <v>0</v>
      </c>
    </row>
    <row r="7201" spans="1:16" x14ac:dyDescent="0.25">
      <c r="A7201" t="s">
        <v>29708</v>
      </c>
      <c r="B7201" t="s">
        <v>19910</v>
      </c>
      <c r="C7201" t="s">
        <v>16722</v>
      </c>
      <c r="D7201" t="s">
        <v>19911</v>
      </c>
      <c r="E7201" t="s">
        <v>19912</v>
      </c>
      <c r="F7201" t="s">
        <v>19559</v>
      </c>
      <c r="G7201" t="s">
        <v>16231</v>
      </c>
      <c r="H7201" t="s">
        <v>47054</v>
      </c>
      <c r="I7201" t="s">
        <v>47111</v>
      </c>
      <c r="J7201" t="s">
        <v>47112</v>
      </c>
      <c r="K7201" t="s">
        <v>47113</v>
      </c>
      <c r="L7201">
        <v>59.12</v>
      </c>
      <c r="M7201">
        <v>129</v>
      </c>
      <c r="N7201">
        <v>0</v>
      </c>
      <c r="O7201">
        <v>129</v>
      </c>
      <c r="P7201">
        <v>0</v>
      </c>
    </row>
    <row r="7202" spans="1:16" x14ac:dyDescent="0.25">
      <c r="A7202" t="s">
        <v>22722</v>
      </c>
      <c r="B7202" t="s">
        <v>19913</v>
      </c>
      <c r="C7202" t="s">
        <v>16236</v>
      </c>
      <c r="D7202" t="s">
        <v>19914</v>
      </c>
      <c r="E7202" t="s">
        <v>19915</v>
      </c>
      <c r="F7202" t="s">
        <v>19559</v>
      </c>
      <c r="G7202" t="s">
        <v>16231</v>
      </c>
      <c r="H7202" t="s">
        <v>47054</v>
      </c>
      <c r="I7202" t="s">
        <v>47116</v>
      </c>
      <c r="J7202" t="s">
        <v>47117</v>
      </c>
      <c r="K7202" t="s">
        <v>47113</v>
      </c>
      <c r="L7202">
        <v>85.65</v>
      </c>
      <c r="M7202">
        <v>148</v>
      </c>
      <c r="N7202">
        <v>0</v>
      </c>
      <c r="O7202">
        <v>148</v>
      </c>
      <c r="P7202">
        <v>0</v>
      </c>
    </row>
    <row r="7203" spans="1:16" x14ac:dyDescent="0.25">
      <c r="A7203" t="s">
        <v>29709</v>
      </c>
      <c r="B7203" t="s">
        <v>19916</v>
      </c>
      <c r="C7203" t="s">
        <v>16722</v>
      </c>
      <c r="D7203" t="s">
        <v>19917</v>
      </c>
      <c r="E7203" t="s">
        <v>19918</v>
      </c>
      <c r="F7203" t="s">
        <v>19559</v>
      </c>
      <c r="G7203" t="s">
        <v>16231</v>
      </c>
      <c r="H7203" t="s">
        <v>47054</v>
      </c>
      <c r="I7203" t="s">
        <v>47116</v>
      </c>
      <c r="J7203" t="s">
        <v>47117</v>
      </c>
      <c r="K7203" t="s">
        <v>47113</v>
      </c>
      <c r="L7203">
        <v>40.71</v>
      </c>
      <c r="M7203">
        <v>103</v>
      </c>
      <c r="N7203">
        <v>0</v>
      </c>
      <c r="O7203">
        <v>103</v>
      </c>
      <c r="P7203">
        <v>0</v>
      </c>
    </row>
    <row r="7204" spans="1:16" x14ac:dyDescent="0.25">
      <c r="A7204" t="s">
        <v>22723</v>
      </c>
      <c r="B7204" t="s">
        <v>19919</v>
      </c>
      <c r="C7204" t="s">
        <v>16236</v>
      </c>
      <c r="D7204" t="s">
        <v>19920</v>
      </c>
      <c r="E7204" t="s">
        <v>19921</v>
      </c>
      <c r="F7204" t="s">
        <v>19552</v>
      </c>
      <c r="G7204" t="s">
        <v>16231</v>
      </c>
      <c r="H7204" t="s">
        <v>47054</v>
      </c>
      <c r="I7204" t="s">
        <v>47111</v>
      </c>
      <c r="J7204" t="s">
        <v>47112</v>
      </c>
      <c r="K7204" t="s">
        <v>47113</v>
      </c>
      <c r="L7204">
        <v>88.33</v>
      </c>
      <c r="M7204">
        <v>148</v>
      </c>
      <c r="N7204">
        <v>0</v>
      </c>
      <c r="O7204">
        <v>148</v>
      </c>
      <c r="P7204">
        <v>0</v>
      </c>
    </row>
    <row r="7205" spans="1:16" x14ac:dyDescent="0.25">
      <c r="A7205" t="s">
        <v>22724</v>
      </c>
      <c r="B7205" t="s">
        <v>19922</v>
      </c>
      <c r="C7205" t="s">
        <v>16722</v>
      </c>
      <c r="D7205" t="str">
        <f>"1001"</f>
        <v>1001</v>
      </c>
      <c r="E7205" t="s">
        <v>19923</v>
      </c>
      <c r="F7205" t="s">
        <v>19552</v>
      </c>
      <c r="G7205" t="s">
        <v>16234</v>
      </c>
      <c r="H7205" t="s">
        <v>47054</v>
      </c>
      <c r="I7205" t="s">
        <v>47120</v>
      </c>
      <c r="J7205" t="s">
        <v>47121</v>
      </c>
      <c r="K7205" t="s">
        <v>47113</v>
      </c>
      <c r="L7205">
        <v>33.4</v>
      </c>
      <c r="M7205">
        <v>66</v>
      </c>
      <c r="N7205">
        <v>0</v>
      </c>
      <c r="O7205">
        <v>66</v>
      </c>
      <c r="P7205">
        <v>0</v>
      </c>
    </row>
    <row r="7206" spans="1:16" x14ac:dyDescent="0.25">
      <c r="A7206" t="s">
        <v>22725</v>
      </c>
      <c r="B7206" t="s">
        <v>19922</v>
      </c>
      <c r="C7206" t="s">
        <v>16722</v>
      </c>
      <c r="D7206" t="str">
        <f>"1200"</f>
        <v>1200</v>
      </c>
      <c r="E7206" t="s">
        <v>19924</v>
      </c>
      <c r="F7206" t="s">
        <v>19552</v>
      </c>
      <c r="G7206" t="s">
        <v>16234</v>
      </c>
      <c r="H7206" t="s">
        <v>47054</v>
      </c>
      <c r="I7206" t="s">
        <v>47120</v>
      </c>
      <c r="J7206" t="s">
        <v>47121</v>
      </c>
      <c r="K7206" t="s">
        <v>47113</v>
      </c>
      <c r="L7206">
        <v>33.4</v>
      </c>
      <c r="M7206">
        <v>66</v>
      </c>
      <c r="N7206">
        <v>0</v>
      </c>
      <c r="O7206">
        <v>66</v>
      </c>
      <c r="P7206">
        <v>0</v>
      </c>
    </row>
    <row r="7207" spans="1:16" x14ac:dyDescent="0.25">
      <c r="A7207" t="s">
        <v>22726</v>
      </c>
      <c r="B7207" t="s">
        <v>19925</v>
      </c>
      <c r="C7207" t="s">
        <v>16236</v>
      </c>
      <c r="D7207" t="s">
        <v>19890</v>
      </c>
      <c r="E7207" t="s">
        <v>19891</v>
      </c>
      <c r="F7207" t="s">
        <v>19878</v>
      </c>
      <c r="G7207" t="s">
        <v>16231</v>
      </c>
      <c r="H7207" t="s">
        <v>47054</v>
      </c>
      <c r="I7207" t="s">
        <v>47111</v>
      </c>
      <c r="J7207" t="s">
        <v>47112</v>
      </c>
      <c r="K7207" t="s">
        <v>47113</v>
      </c>
      <c r="L7207">
        <v>85.61</v>
      </c>
      <c r="M7207">
        <v>148</v>
      </c>
      <c r="N7207">
        <v>0</v>
      </c>
      <c r="O7207">
        <v>148</v>
      </c>
      <c r="P7207">
        <v>0</v>
      </c>
    </row>
    <row r="7208" spans="1:16" x14ac:dyDescent="0.25">
      <c r="A7208" t="s">
        <v>22727</v>
      </c>
      <c r="B7208" t="s">
        <v>19926</v>
      </c>
      <c r="C7208" t="s">
        <v>16236</v>
      </c>
      <c r="D7208" t="s">
        <v>19927</v>
      </c>
      <c r="E7208" t="s">
        <v>19928</v>
      </c>
      <c r="F7208" t="s">
        <v>19878</v>
      </c>
      <c r="G7208" t="s">
        <v>16231</v>
      </c>
      <c r="H7208" t="s">
        <v>47054</v>
      </c>
      <c r="I7208" t="s">
        <v>47111</v>
      </c>
      <c r="J7208" t="s">
        <v>47112</v>
      </c>
      <c r="K7208" t="s">
        <v>47113</v>
      </c>
      <c r="L7208">
        <v>88</v>
      </c>
      <c r="M7208">
        <v>148</v>
      </c>
      <c r="N7208">
        <v>0</v>
      </c>
      <c r="O7208">
        <v>148</v>
      </c>
      <c r="P7208">
        <v>0</v>
      </c>
    </row>
    <row r="7209" spans="1:16" x14ac:dyDescent="0.25">
      <c r="A7209" t="s">
        <v>29710</v>
      </c>
      <c r="B7209" t="s">
        <v>19929</v>
      </c>
      <c r="C7209" t="s">
        <v>16722</v>
      </c>
      <c r="D7209" t="s">
        <v>19930</v>
      </c>
      <c r="E7209" t="s">
        <v>19931</v>
      </c>
      <c r="F7209" t="s">
        <v>19559</v>
      </c>
      <c r="G7209" t="s">
        <v>16231</v>
      </c>
      <c r="H7209" t="s">
        <v>47054</v>
      </c>
      <c r="I7209" t="s">
        <v>47116</v>
      </c>
      <c r="J7209" t="s">
        <v>47117</v>
      </c>
      <c r="K7209" t="s">
        <v>47113</v>
      </c>
      <c r="L7209">
        <v>33.76</v>
      </c>
      <c r="M7209">
        <v>66</v>
      </c>
      <c r="N7209">
        <v>0</v>
      </c>
      <c r="O7209">
        <v>66</v>
      </c>
      <c r="P7209">
        <v>0</v>
      </c>
    </row>
    <row r="7210" spans="1:16" x14ac:dyDescent="0.25">
      <c r="A7210" t="s">
        <v>29711</v>
      </c>
      <c r="B7210" t="s">
        <v>19932</v>
      </c>
      <c r="C7210" t="s">
        <v>16722</v>
      </c>
      <c r="D7210" t="s">
        <v>721</v>
      </c>
      <c r="E7210" t="s">
        <v>722</v>
      </c>
      <c r="F7210" t="s">
        <v>19559</v>
      </c>
      <c r="G7210" t="s">
        <v>16231</v>
      </c>
      <c r="H7210" t="s">
        <v>47054</v>
      </c>
      <c r="I7210" t="s">
        <v>47116</v>
      </c>
      <c r="J7210" t="s">
        <v>47117</v>
      </c>
      <c r="K7210" t="s">
        <v>47113</v>
      </c>
      <c r="L7210">
        <v>33.619999999999997</v>
      </c>
      <c r="M7210">
        <v>66</v>
      </c>
      <c r="N7210">
        <v>0</v>
      </c>
      <c r="O7210">
        <v>66</v>
      </c>
      <c r="P7210">
        <v>0</v>
      </c>
    </row>
    <row r="7211" spans="1:16" x14ac:dyDescent="0.25">
      <c r="A7211" t="s">
        <v>29712</v>
      </c>
      <c r="B7211" t="s">
        <v>29713</v>
      </c>
      <c r="C7211" t="s">
        <v>16722</v>
      </c>
      <c r="D7211" t="str">
        <f>"1100"</f>
        <v>1100</v>
      </c>
      <c r="E7211" t="s">
        <v>29714</v>
      </c>
      <c r="F7211" t="s">
        <v>24617</v>
      </c>
      <c r="G7211" t="s">
        <v>16234</v>
      </c>
      <c r="H7211" t="s">
        <v>47054</v>
      </c>
      <c r="I7211" t="s">
        <v>47120</v>
      </c>
      <c r="J7211" t="s">
        <v>47121</v>
      </c>
      <c r="K7211" t="s">
        <v>47113</v>
      </c>
      <c r="L7211">
        <v>33.03</v>
      </c>
      <c r="M7211">
        <v>85</v>
      </c>
      <c r="N7211">
        <v>229</v>
      </c>
      <c r="O7211">
        <v>85</v>
      </c>
      <c r="P7211">
        <v>229</v>
      </c>
    </row>
    <row r="7212" spans="1:16" x14ac:dyDescent="0.25">
      <c r="A7212" t="s">
        <v>29715</v>
      </c>
      <c r="B7212" t="s">
        <v>29713</v>
      </c>
      <c r="C7212" t="s">
        <v>16722</v>
      </c>
      <c r="D7212" t="str">
        <f>"6000"</f>
        <v>6000</v>
      </c>
      <c r="E7212" t="s">
        <v>29716</v>
      </c>
      <c r="F7212" t="s">
        <v>24617</v>
      </c>
      <c r="G7212" t="s">
        <v>16234</v>
      </c>
      <c r="H7212" t="s">
        <v>47054</v>
      </c>
      <c r="I7212" t="s">
        <v>47120</v>
      </c>
      <c r="J7212" t="s">
        <v>47121</v>
      </c>
      <c r="K7212" t="s">
        <v>47113</v>
      </c>
      <c r="L7212">
        <v>33.03</v>
      </c>
      <c r="M7212">
        <v>85</v>
      </c>
      <c r="N7212">
        <v>229</v>
      </c>
      <c r="O7212">
        <v>85</v>
      </c>
      <c r="P7212">
        <v>229</v>
      </c>
    </row>
    <row r="7213" spans="1:16" x14ac:dyDescent="0.25">
      <c r="A7213" t="s">
        <v>29717</v>
      </c>
      <c r="B7213" t="s">
        <v>29718</v>
      </c>
      <c r="C7213" t="s">
        <v>29719</v>
      </c>
      <c r="D7213" t="str">
        <f>"4000"</f>
        <v>4000</v>
      </c>
      <c r="E7213" t="s">
        <v>29720</v>
      </c>
      <c r="F7213" t="s">
        <v>21629</v>
      </c>
      <c r="G7213" t="s">
        <v>16234</v>
      </c>
      <c r="H7213" t="s">
        <v>47054</v>
      </c>
      <c r="I7213" t="s">
        <v>47120</v>
      </c>
      <c r="J7213" t="s">
        <v>47121</v>
      </c>
      <c r="K7213" t="s">
        <v>47113</v>
      </c>
      <c r="L7213">
        <v>29.3</v>
      </c>
      <c r="M7213">
        <v>74</v>
      </c>
      <c r="N7213">
        <v>0</v>
      </c>
      <c r="O7213">
        <v>74</v>
      </c>
      <c r="P7213">
        <v>0</v>
      </c>
    </row>
    <row r="7214" spans="1:16" x14ac:dyDescent="0.25">
      <c r="A7214" t="s">
        <v>29721</v>
      </c>
      <c r="B7214" t="s">
        <v>29718</v>
      </c>
      <c r="C7214" t="s">
        <v>29719</v>
      </c>
      <c r="D7214" t="str">
        <f>"6497"</f>
        <v>6497</v>
      </c>
      <c r="E7214" t="s">
        <v>29722</v>
      </c>
      <c r="F7214" t="s">
        <v>21629</v>
      </c>
      <c r="G7214" t="s">
        <v>16234</v>
      </c>
      <c r="H7214" t="s">
        <v>47054</v>
      </c>
      <c r="I7214" t="s">
        <v>47120</v>
      </c>
      <c r="J7214" t="s">
        <v>47121</v>
      </c>
      <c r="K7214" t="s">
        <v>47113</v>
      </c>
      <c r="L7214">
        <v>29.3</v>
      </c>
      <c r="M7214">
        <v>74</v>
      </c>
      <c r="N7214">
        <v>0</v>
      </c>
      <c r="O7214">
        <v>74</v>
      </c>
      <c r="P7214">
        <v>0</v>
      </c>
    </row>
    <row r="7215" spans="1:16" x14ac:dyDescent="0.25">
      <c r="A7215" t="s">
        <v>29723</v>
      </c>
      <c r="B7215" t="s">
        <v>29724</v>
      </c>
      <c r="C7215" t="s">
        <v>16236</v>
      </c>
      <c r="D7215" t="s">
        <v>29725</v>
      </c>
      <c r="E7215" t="s">
        <v>29726</v>
      </c>
      <c r="F7215" t="s">
        <v>21629</v>
      </c>
      <c r="G7215" t="s">
        <v>16231</v>
      </c>
      <c r="H7215" t="s">
        <v>47054</v>
      </c>
      <c r="I7215" t="s">
        <v>47116</v>
      </c>
      <c r="J7215" t="s">
        <v>47117</v>
      </c>
      <c r="K7215" t="s">
        <v>47113</v>
      </c>
      <c r="L7215">
        <v>49.78</v>
      </c>
      <c r="M7215">
        <v>148</v>
      </c>
      <c r="N7215">
        <v>0</v>
      </c>
      <c r="O7215">
        <v>148</v>
      </c>
      <c r="P7215">
        <v>0</v>
      </c>
    </row>
    <row r="7216" spans="1:16" x14ac:dyDescent="0.25">
      <c r="A7216" t="s">
        <v>29727</v>
      </c>
      <c r="B7216" t="s">
        <v>29728</v>
      </c>
      <c r="C7216" t="s">
        <v>16236</v>
      </c>
      <c r="D7216" t="s">
        <v>29729</v>
      </c>
      <c r="E7216" t="s">
        <v>29730</v>
      </c>
      <c r="F7216" t="s">
        <v>20496</v>
      </c>
      <c r="G7216" t="s">
        <v>16231</v>
      </c>
      <c r="H7216" t="s">
        <v>47054</v>
      </c>
      <c r="I7216" t="s">
        <v>47116</v>
      </c>
      <c r="J7216" t="s">
        <v>47117</v>
      </c>
      <c r="K7216" t="s">
        <v>47113</v>
      </c>
      <c r="L7216">
        <v>48.65</v>
      </c>
      <c r="M7216">
        <v>148</v>
      </c>
      <c r="N7216">
        <v>0</v>
      </c>
      <c r="O7216">
        <v>148</v>
      </c>
      <c r="P7216">
        <v>0</v>
      </c>
    </row>
    <row r="7217" spans="1:16" x14ac:dyDescent="0.25">
      <c r="A7217" t="s">
        <v>29731</v>
      </c>
      <c r="B7217" t="s">
        <v>29732</v>
      </c>
      <c r="C7217" t="s">
        <v>29733</v>
      </c>
      <c r="D7217" t="s">
        <v>29734</v>
      </c>
      <c r="E7217" t="s">
        <v>29735</v>
      </c>
      <c r="F7217" t="s">
        <v>21629</v>
      </c>
      <c r="G7217" t="s">
        <v>16231</v>
      </c>
      <c r="H7217" t="s">
        <v>47054</v>
      </c>
      <c r="I7217" t="s">
        <v>47116</v>
      </c>
      <c r="J7217" t="s">
        <v>47117</v>
      </c>
      <c r="K7217" t="s">
        <v>47113</v>
      </c>
      <c r="L7217">
        <v>45.02</v>
      </c>
      <c r="M7217">
        <v>95</v>
      </c>
      <c r="N7217">
        <v>0</v>
      </c>
      <c r="O7217">
        <v>95</v>
      </c>
      <c r="P7217">
        <v>0</v>
      </c>
    </row>
    <row r="7218" spans="1:16" x14ac:dyDescent="0.25">
      <c r="A7218" t="s">
        <v>29736</v>
      </c>
      <c r="B7218" t="s">
        <v>29737</v>
      </c>
      <c r="C7218" t="s">
        <v>16722</v>
      </c>
      <c r="D7218" t="s">
        <v>27852</v>
      </c>
      <c r="E7218" t="s">
        <v>27853</v>
      </c>
      <c r="F7218" t="s">
        <v>21627</v>
      </c>
      <c r="G7218" t="s">
        <v>16231</v>
      </c>
      <c r="H7218" t="s">
        <v>47054</v>
      </c>
      <c r="I7218" t="s">
        <v>47116</v>
      </c>
      <c r="J7218" t="s">
        <v>47117</v>
      </c>
      <c r="K7218" t="s">
        <v>47113</v>
      </c>
      <c r="L7218">
        <v>41.48</v>
      </c>
      <c r="M7218">
        <v>95</v>
      </c>
      <c r="N7218">
        <v>0</v>
      </c>
      <c r="O7218">
        <v>95</v>
      </c>
      <c r="P7218">
        <v>0</v>
      </c>
    </row>
    <row r="7219" spans="1:16" x14ac:dyDescent="0.25">
      <c r="A7219" t="s">
        <v>29738</v>
      </c>
      <c r="B7219" t="s">
        <v>29739</v>
      </c>
      <c r="C7219" t="s">
        <v>16722</v>
      </c>
      <c r="D7219" t="s">
        <v>29740</v>
      </c>
      <c r="E7219" t="s">
        <v>29741</v>
      </c>
      <c r="F7219" t="s">
        <v>20496</v>
      </c>
      <c r="G7219" t="s">
        <v>16231</v>
      </c>
      <c r="H7219" t="s">
        <v>47054</v>
      </c>
      <c r="I7219" t="s">
        <v>47111</v>
      </c>
      <c r="J7219" t="s">
        <v>47112</v>
      </c>
      <c r="K7219" t="s">
        <v>47113</v>
      </c>
      <c r="L7219">
        <v>76.06</v>
      </c>
      <c r="M7219">
        <v>148</v>
      </c>
      <c r="N7219">
        <v>0</v>
      </c>
      <c r="O7219">
        <v>148</v>
      </c>
      <c r="P7219">
        <v>0</v>
      </c>
    </row>
    <row r="7220" spans="1:16" x14ac:dyDescent="0.25">
      <c r="A7220" t="s">
        <v>29742</v>
      </c>
      <c r="B7220" t="s">
        <v>29743</v>
      </c>
      <c r="C7220" t="s">
        <v>16236</v>
      </c>
      <c r="D7220" t="s">
        <v>20147</v>
      </c>
      <c r="E7220" t="s">
        <v>20148</v>
      </c>
      <c r="F7220" t="s">
        <v>20496</v>
      </c>
      <c r="G7220" t="s">
        <v>16231</v>
      </c>
      <c r="H7220" t="s">
        <v>47054</v>
      </c>
      <c r="I7220" t="s">
        <v>47111</v>
      </c>
      <c r="J7220" t="s">
        <v>47112</v>
      </c>
      <c r="K7220" t="s">
        <v>47113</v>
      </c>
      <c r="L7220">
        <v>82.72</v>
      </c>
      <c r="M7220">
        <v>166</v>
      </c>
      <c r="N7220">
        <v>0</v>
      </c>
      <c r="O7220">
        <v>166</v>
      </c>
      <c r="P7220">
        <v>0</v>
      </c>
    </row>
    <row r="7221" spans="1:16" x14ac:dyDescent="0.25">
      <c r="A7221" t="s">
        <v>29744</v>
      </c>
      <c r="B7221" t="s">
        <v>29745</v>
      </c>
      <c r="C7221" t="s">
        <v>16722</v>
      </c>
      <c r="D7221" t="s">
        <v>29746</v>
      </c>
      <c r="E7221" t="s">
        <v>29747</v>
      </c>
      <c r="F7221" t="s">
        <v>21629</v>
      </c>
      <c r="G7221" t="s">
        <v>16231</v>
      </c>
      <c r="H7221" t="s">
        <v>47054</v>
      </c>
      <c r="I7221" t="s">
        <v>47111</v>
      </c>
      <c r="J7221" t="s">
        <v>47112</v>
      </c>
      <c r="K7221" t="s">
        <v>47113</v>
      </c>
      <c r="L7221">
        <v>58.1</v>
      </c>
      <c r="M7221">
        <v>148</v>
      </c>
      <c r="N7221">
        <v>0</v>
      </c>
      <c r="O7221">
        <v>148</v>
      </c>
      <c r="P7221">
        <v>0</v>
      </c>
    </row>
    <row r="7222" spans="1:16" x14ac:dyDescent="0.25">
      <c r="A7222" t="s">
        <v>29748</v>
      </c>
      <c r="B7222" t="s">
        <v>29749</v>
      </c>
      <c r="C7222" t="s">
        <v>16722</v>
      </c>
      <c r="D7222" t="s">
        <v>29750</v>
      </c>
      <c r="E7222" t="s">
        <v>29751</v>
      </c>
      <c r="F7222" t="s">
        <v>21629</v>
      </c>
      <c r="G7222" t="s">
        <v>16231</v>
      </c>
      <c r="H7222" t="s">
        <v>47054</v>
      </c>
      <c r="I7222" t="s">
        <v>47111</v>
      </c>
      <c r="J7222" t="s">
        <v>47112</v>
      </c>
      <c r="K7222" t="s">
        <v>47113</v>
      </c>
      <c r="L7222">
        <v>63.58</v>
      </c>
      <c r="M7222">
        <v>129</v>
      </c>
      <c r="N7222">
        <v>0</v>
      </c>
      <c r="O7222">
        <v>129</v>
      </c>
      <c r="P7222">
        <v>0</v>
      </c>
    </row>
    <row r="7223" spans="1:16" x14ac:dyDescent="0.25">
      <c r="A7223" t="s">
        <v>29752</v>
      </c>
      <c r="B7223" t="s">
        <v>29753</v>
      </c>
      <c r="C7223" t="s">
        <v>16236</v>
      </c>
      <c r="D7223" t="s">
        <v>29754</v>
      </c>
      <c r="E7223" t="s">
        <v>29755</v>
      </c>
      <c r="F7223" t="s">
        <v>21627</v>
      </c>
      <c r="G7223" t="s">
        <v>16231</v>
      </c>
      <c r="H7223" t="s">
        <v>47054</v>
      </c>
      <c r="I7223" t="s">
        <v>47111</v>
      </c>
      <c r="J7223" t="s">
        <v>47112</v>
      </c>
      <c r="K7223" t="s">
        <v>47113</v>
      </c>
      <c r="L7223">
        <v>76.44</v>
      </c>
      <c r="M7223">
        <v>166</v>
      </c>
      <c r="N7223">
        <v>0</v>
      </c>
      <c r="O7223">
        <v>166</v>
      </c>
      <c r="P7223">
        <v>0</v>
      </c>
    </row>
    <row r="7224" spans="1:16" x14ac:dyDescent="0.25">
      <c r="A7224" t="s">
        <v>22728</v>
      </c>
      <c r="B7224" t="s">
        <v>22729</v>
      </c>
      <c r="C7224" t="s">
        <v>16236</v>
      </c>
      <c r="D7224" t="s">
        <v>22730</v>
      </c>
      <c r="E7224" t="s">
        <v>22731</v>
      </c>
      <c r="F7224" t="s">
        <v>21627</v>
      </c>
      <c r="G7224" t="s">
        <v>16231</v>
      </c>
      <c r="H7224" t="s">
        <v>47054</v>
      </c>
      <c r="I7224" t="s">
        <v>47111</v>
      </c>
      <c r="J7224" t="s">
        <v>47112</v>
      </c>
      <c r="K7224" t="s">
        <v>47113</v>
      </c>
      <c r="L7224">
        <v>100.9</v>
      </c>
      <c r="M7224">
        <v>166</v>
      </c>
      <c r="N7224">
        <v>0</v>
      </c>
      <c r="O7224">
        <v>166</v>
      </c>
      <c r="P7224">
        <v>0</v>
      </c>
    </row>
    <row r="7225" spans="1:16" x14ac:dyDescent="0.25">
      <c r="A7225" t="s">
        <v>29756</v>
      </c>
      <c r="B7225" t="s">
        <v>29757</v>
      </c>
      <c r="C7225" t="s">
        <v>16236</v>
      </c>
      <c r="D7225" t="s">
        <v>29758</v>
      </c>
      <c r="E7225" t="s">
        <v>29759</v>
      </c>
      <c r="F7225" t="s">
        <v>21629</v>
      </c>
      <c r="G7225" t="s">
        <v>16231</v>
      </c>
      <c r="H7225" t="s">
        <v>47054</v>
      </c>
      <c r="I7225" t="s">
        <v>47111</v>
      </c>
      <c r="J7225" t="s">
        <v>47112</v>
      </c>
      <c r="K7225" t="s">
        <v>47113</v>
      </c>
      <c r="L7225">
        <v>102.86</v>
      </c>
      <c r="M7225">
        <v>251</v>
      </c>
      <c r="N7225">
        <v>0</v>
      </c>
      <c r="O7225">
        <v>251</v>
      </c>
      <c r="P7225">
        <v>0</v>
      </c>
    </row>
    <row r="7226" spans="1:16" x14ac:dyDescent="0.25">
      <c r="A7226" t="s">
        <v>29760</v>
      </c>
      <c r="B7226" t="s">
        <v>29761</v>
      </c>
      <c r="C7226" t="s">
        <v>16236</v>
      </c>
      <c r="D7226" t="s">
        <v>721</v>
      </c>
      <c r="E7226" t="s">
        <v>722</v>
      </c>
      <c r="F7226" t="s">
        <v>19559</v>
      </c>
      <c r="G7226" t="s">
        <v>16231</v>
      </c>
      <c r="H7226" t="s">
        <v>47054</v>
      </c>
      <c r="I7226" t="s">
        <v>47116</v>
      </c>
      <c r="J7226" t="s">
        <v>47117</v>
      </c>
      <c r="K7226" t="s">
        <v>47113</v>
      </c>
      <c r="L7226">
        <v>38.11</v>
      </c>
      <c r="M7226">
        <v>111</v>
      </c>
      <c r="N7226">
        <v>299</v>
      </c>
      <c r="O7226">
        <v>111</v>
      </c>
      <c r="P7226">
        <v>299</v>
      </c>
    </row>
    <row r="7227" spans="1:16" x14ac:dyDescent="0.25">
      <c r="A7227" t="s">
        <v>29762</v>
      </c>
      <c r="B7227" t="s">
        <v>29763</v>
      </c>
      <c r="C7227" t="s">
        <v>16722</v>
      </c>
      <c r="D7227" t="s">
        <v>29764</v>
      </c>
      <c r="E7227" t="s">
        <v>29765</v>
      </c>
      <c r="F7227" t="s">
        <v>24617</v>
      </c>
      <c r="G7227" t="s">
        <v>16231</v>
      </c>
      <c r="H7227" t="s">
        <v>47054</v>
      </c>
      <c r="I7227" t="s">
        <v>47116</v>
      </c>
      <c r="J7227" t="s">
        <v>47117</v>
      </c>
      <c r="K7227" t="s">
        <v>47113</v>
      </c>
      <c r="L7227">
        <v>36.85</v>
      </c>
      <c r="M7227">
        <v>92</v>
      </c>
      <c r="N7227">
        <v>249</v>
      </c>
      <c r="O7227">
        <v>92</v>
      </c>
      <c r="P7227">
        <v>249</v>
      </c>
    </row>
    <row r="7228" spans="1:16" x14ac:dyDescent="0.25">
      <c r="A7228" t="s">
        <v>29766</v>
      </c>
      <c r="B7228" t="s">
        <v>29767</v>
      </c>
      <c r="C7228" t="s">
        <v>16722</v>
      </c>
      <c r="D7228" t="s">
        <v>29626</v>
      </c>
      <c r="E7228" t="s">
        <v>29627</v>
      </c>
      <c r="F7228" t="s">
        <v>24617</v>
      </c>
      <c r="G7228" t="s">
        <v>16231</v>
      </c>
      <c r="H7228" t="s">
        <v>47054</v>
      </c>
      <c r="I7228" t="s">
        <v>47544</v>
      </c>
      <c r="J7228" t="s">
        <v>47545</v>
      </c>
      <c r="K7228" t="s">
        <v>47113</v>
      </c>
      <c r="L7228">
        <v>34.31</v>
      </c>
      <c r="M7228">
        <v>85</v>
      </c>
      <c r="N7228">
        <v>229</v>
      </c>
      <c r="O7228">
        <v>85</v>
      </c>
      <c r="P7228">
        <v>229</v>
      </c>
    </row>
    <row r="7229" spans="1:16" x14ac:dyDescent="0.25">
      <c r="A7229" t="s">
        <v>29768</v>
      </c>
      <c r="B7229" t="s">
        <v>29769</v>
      </c>
      <c r="C7229" t="s">
        <v>16236</v>
      </c>
      <c r="D7229" t="s">
        <v>29770</v>
      </c>
      <c r="E7229" t="s">
        <v>29771</v>
      </c>
      <c r="F7229" t="s">
        <v>24617</v>
      </c>
      <c r="G7229" t="s">
        <v>16231</v>
      </c>
      <c r="H7229" t="s">
        <v>47054</v>
      </c>
      <c r="I7229" t="s">
        <v>47544</v>
      </c>
      <c r="J7229" t="s">
        <v>47545</v>
      </c>
      <c r="K7229" t="s">
        <v>47113</v>
      </c>
      <c r="L7229">
        <v>34.590000000000003</v>
      </c>
      <c r="M7229">
        <v>111</v>
      </c>
      <c r="N7229">
        <v>299</v>
      </c>
      <c r="O7229">
        <v>111</v>
      </c>
      <c r="P7229">
        <v>299</v>
      </c>
    </row>
    <row r="7230" spans="1:16" x14ac:dyDescent="0.25">
      <c r="A7230" t="s">
        <v>29772</v>
      </c>
      <c r="B7230" t="s">
        <v>29773</v>
      </c>
      <c r="C7230" t="s">
        <v>16792</v>
      </c>
      <c r="D7230" t="s">
        <v>29774</v>
      </c>
      <c r="E7230" t="s">
        <v>29775</v>
      </c>
      <c r="F7230" t="s">
        <v>24617</v>
      </c>
      <c r="G7230" t="s">
        <v>16231</v>
      </c>
      <c r="H7230" t="s">
        <v>47054</v>
      </c>
      <c r="I7230" t="s">
        <v>47120</v>
      </c>
      <c r="J7230" t="s">
        <v>47121</v>
      </c>
      <c r="K7230" t="s">
        <v>47113</v>
      </c>
      <c r="L7230">
        <v>42.44</v>
      </c>
      <c r="M7230">
        <v>111</v>
      </c>
      <c r="N7230">
        <v>299</v>
      </c>
      <c r="O7230">
        <v>111</v>
      </c>
      <c r="P7230">
        <v>299</v>
      </c>
    </row>
    <row r="7231" spans="1:16" x14ac:dyDescent="0.25">
      <c r="A7231" t="s">
        <v>29776</v>
      </c>
      <c r="B7231" t="s">
        <v>29777</v>
      </c>
      <c r="C7231" t="s">
        <v>16236</v>
      </c>
      <c r="D7231" t="s">
        <v>29778</v>
      </c>
      <c r="E7231" t="s">
        <v>29779</v>
      </c>
      <c r="F7231" t="s">
        <v>24617</v>
      </c>
      <c r="G7231" t="s">
        <v>16231</v>
      </c>
      <c r="H7231" t="s">
        <v>47054</v>
      </c>
      <c r="I7231" t="s">
        <v>47111</v>
      </c>
      <c r="J7231" t="s">
        <v>47112</v>
      </c>
      <c r="K7231" t="s">
        <v>47113</v>
      </c>
      <c r="L7231">
        <v>82.78</v>
      </c>
      <c r="M7231">
        <v>177</v>
      </c>
      <c r="N7231">
        <v>479</v>
      </c>
      <c r="O7231">
        <v>177</v>
      </c>
      <c r="P7231">
        <v>479</v>
      </c>
    </row>
    <row r="7232" spans="1:16" x14ac:dyDescent="0.25">
      <c r="A7232" t="s">
        <v>29780</v>
      </c>
      <c r="B7232" t="s">
        <v>29781</v>
      </c>
      <c r="C7232" t="s">
        <v>16236</v>
      </c>
      <c r="D7232" t="s">
        <v>29782</v>
      </c>
      <c r="E7232" t="s">
        <v>29783</v>
      </c>
      <c r="F7232" t="s">
        <v>20496</v>
      </c>
      <c r="G7232" t="s">
        <v>16231</v>
      </c>
      <c r="H7232" t="s">
        <v>47054</v>
      </c>
      <c r="I7232" t="s">
        <v>47120</v>
      </c>
      <c r="J7232" t="s">
        <v>47121</v>
      </c>
      <c r="K7232" t="s">
        <v>47113</v>
      </c>
      <c r="L7232">
        <v>44.41</v>
      </c>
      <c r="M7232">
        <v>166</v>
      </c>
      <c r="N7232">
        <v>0</v>
      </c>
      <c r="O7232">
        <v>166</v>
      </c>
      <c r="P7232">
        <v>0</v>
      </c>
    </row>
    <row r="7233" spans="1:16" x14ac:dyDescent="0.25">
      <c r="A7233" t="s">
        <v>29784</v>
      </c>
      <c r="B7233" t="s">
        <v>29785</v>
      </c>
      <c r="C7233" t="s">
        <v>16722</v>
      </c>
      <c r="D7233" t="s">
        <v>29786</v>
      </c>
      <c r="E7233" t="s">
        <v>29787</v>
      </c>
      <c r="F7233" t="s">
        <v>24622</v>
      </c>
      <c r="G7233" t="s">
        <v>16231</v>
      </c>
      <c r="H7233" t="s">
        <v>47054</v>
      </c>
      <c r="I7233" t="s">
        <v>47116</v>
      </c>
      <c r="J7233" t="s">
        <v>47117</v>
      </c>
      <c r="K7233" t="s">
        <v>47113</v>
      </c>
      <c r="L7233">
        <v>46.95</v>
      </c>
      <c r="M7233">
        <v>111</v>
      </c>
      <c r="N7233">
        <v>299</v>
      </c>
      <c r="O7233">
        <v>111</v>
      </c>
      <c r="P7233">
        <v>299</v>
      </c>
    </row>
    <row r="7234" spans="1:16" x14ac:dyDescent="0.25">
      <c r="A7234" t="s">
        <v>29788</v>
      </c>
      <c r="B7234" t="s">
        <v>29789</v>
      </c>
      <c r="C7234" t="s">
        <v>16236</v>
      </c>
      <c r="D7234" t="s">
        <v>29790</v>
      </c>
      <c r="E7234" t="s">
        <v>29791</v>
      </c>
      <c r="F7234" t="s">
        <v>24627</v>
      </c>
      <c r="G7234" t="s">
        <v>16231</v>
      </c>
      <c r="H7234" t="s">
        <v>47054</v>
      </c>
      <c r="I7234" t="s">
        <v>47120</v>
      </c>
      <c r="J7234" t="s">
        <v>47121</v>
      </c>
      <c r="K7234" t="s">
        <v>47113</v>
      </c>
      <c r="L7234">
        <v>35.229999999999997</v>
      </c>
      <c r="M7234">
        <v>111</v>
      </c>
      <c r="N7234">
        <v>299</v>
      </c>
      <c r="O7234">
        <v>111</v>
      </c>
      <c r="P7234">
        <v>299</v>
      </c>
    </row>
    <row r="7235" spans="1:16" x14ac:dyDescent="0.25">
      <c r="A7235" t="s">
        <v>29792</v>
      </c>
      <c r="B7235" t="s">
        <v>29793</v>
      </c>
      <c r="C7235" t="s">
        <v>16722</v>
      </c>
      <c r="D7235" t="s">
        <v>29794</v>
      </c>
      <c r="E7235" t="s">
        <v>29795</v>
      </c>
      <c r="F7235" t="s">
        <v>24617</v>
      </c>
      <c r="G7235" t="s">
        <v>16231</v>
      </c>
      <c r="H7235" t="s">
        <v>47054</v>
      </c>
      <c r="I7235" t="s">
        <v>47544</v>
      </c>
      <c r="J7235" t="s">
        <v>47545</v>
      </c>
      <c r="K7235" t="s">
        <v>47113</v>
      </c>
      <c r="L7235">
        <v>29.37</v>
      </c>
      <c r="M7235">
        <v>74</v>
      </c>
      <c r="N7235">
        <v>199</v>
      </c>
      <c r="O7235">
        <v>74</v>
      </c>
      <c r="P7235">
        <v>199</v>
      </c>
    </row>
    <row r="7236" spans="1:16" x14ac:dyDescent="0.25">
      <c r="A7236" t="s">
        <v>29796</v>
      </c>
      <c r="B7236" t="s">
        <v>29797</v>
      </c>
      <c r="C7236" t="s">
        <v>29798</v>
      </c>
      <c r="D7236" t="s">
        <v>29799</v>
      </c>
      <c r="E7236" t="s">
        <v>29800</v>
      </c>
      <c r="F7236" t="s">
        <v>24627</v>
      </c>
      <c r="G7236" t="s">
        <v>16231</v>
      </c>
      <c r="H7236" t="s">
        <v>47054</v>
      </c>
      <c r="I7236" t="s">
        <v>47120</v>
      </c>
      <c r="J7236" t="s">
        <v>47121</v>
      </c>
      <c r="K7236" t="s">
        <v>47113</v>
      </c>
      <c r="L7236">
        <v>34.79</v>
      </c>
      <c r="M7236">
        <v>92</v>
      </c>
      <c r="N7236">
        <v>249</v>
      </c>
      <c r="O7236">
        <v>92</v>
      </c>
      <c r="P7236">
        <v>249</v>
      </c>
    </row>
    <row r="7237" spans="1:16" x14ac:dyDescent="0.25">
      <c r="A7237" t="s">
        <v>29801</v>
      </c>
      <c r="B7237" t="s">
        <v>29802</v>
      </c>
      <c r="C7237" t="s">
        <v>16792</v>
      </c>
      <c r="D7237" t="s">
        <v>29803</v>
      </c>
      <c r="E7237" t="s">
        <v>29804</v>
      </c>
      <c r="F7237" t="s">
        <v>24627</v>
      </c>
      <c r="G7237" t="s">
        <v>16231</v>
      </c>
      <c r="H7237" t="s">
        <v>47054</v>
      </c>
      <c r="I7237" t="s">
        <v>47111</v>
      </c>
      <c r="J7237" t="s">
        <v>47112</v>
      </c>
      <c r="K7237" t="s">
        <v>47113</v>
      </c>
      <c r="L7237">
        <v>94.21</v>
      </c>
      <c r="M7237">
        <v>177</v>
      </c>
      <c r="N7237">
        <v>479</v>
      </c>
      <c r="O7237">
        <v>177</v>
      </c>
      <c r="P7237">
        <v>479</v>
      </c>
    </row>
    <row r="7238" spans="1:16" x14ac:dyDescent="0.25">
      <c r="A7238" t="s">
        <v>29805</v>
      </c>
      <c r="B7238" t="s">
        <v>29806</v>
      </c>
      <c r="C7238" t="s">
        <v>16236</v>
      </c>
      <c r="D7238" t="s">
        <v>29807</v>
      </c>
      <c r="E7238" t="s">
        <v>29808</v>
      </c>
      <c r="F7238" t="s">
        <v>24622</v>
      </c>
      <c r="G7238" t="s">
        <v>16231</v>
      </c>
      <c r="H7238" t="s">
        <v>47054</v>
      </c>
      <c r="I7238" t="s">
        <v>47116</v>
      </c>
      <c r="J7238" t="s">
        <v>47117</v>
      </c>
      <c r="K7238" t="s">
        <v>47113</v>
      </c>
      <c r="L7238">
        <v>48.29</v>
      </c>
      <c r="M7238">
        <v>129</v>
      </c>
      <c r="N7238">
        <v>349</v>
      </c>
      <c r="O7238">
        <v>129</v>
      </c>
      <c r="P7238">
        <v>349</v>
      </c>
    </row>
    <row r="7239" spans="1:16" x14ac:dyDescent="0.25">
      <c r="A7239" t="s">
        <v>29809</v>
      </c>
      <c r="B7239" t="s">
        <v>29810</v>
      </c>
      <c r="C7239" t="s">
        <v>16236</v>
      </c>
      <c r="D7239" t="str">
        <f>"1001"</f>
        <v>1001</v>
      </c>
      <c r="E7239" t="s">
        <v>29811</v>
      </c>
      <c r="F7239" t="s">
        <v>24627</v>
      </c>
      <c r="G7239" t="s">
        <v>16234</v>
      </c>
      <c r="H7239" t="s">
        <v>47054</v>
      </c>
      <c r="I7239" t="s">
        <v>47120</v>
      </c>
      <c r="J7239" t="s">
        <v>47121</v>
      </c>
      <c r="K7239" t="s">
        <v>47113</v>
      </c>
      <c r="L7239">
        <v>34.4</v>
      </c>
      <c r="M7239">
        <v>103</v>
      </c>
      <c r="N7239">
        <v>279</v>
      </c>
      <c r="O7239">
        <v>103</v>
      </c>
      <c r="P7239">
        <v>279</v>
      </c>
    </row>
    <row r="7240" spans="1:16" x14ac:dyDescent="0.25">
      <c r="A7240" t="s">
        <v>29812</v>
      </c>
      <c r="B7240" t="s">
        <v>29810</v>
      </c>
      <c r="C7240" t="s">
        <v>16236</v>
      </c>
      <c r="D7240" t="str">
        <f>"1700"</f>
        <v>1700</v>
      </c>
      <c r="E7240" t="s">
        <v>29813</v>
      </c>
      <c r="F7240" t="s">
        <v>24627</v>
      </c>
      <c r="G7240" t="s">
        <v>16234</v>
      </c>
      <c r="H7240" t="s">
        <v>47054</v>
      </c>
      <c r="I7240" t="s">
        <v>47120</v>
      </c>
      <c r="J7240" t="s">
        <v>47121</v>
      </c>
      <c r="K7240" t="s">
        <v>47113</v>
      </c>
      <c r="L7240">
        <v>34.4</v>
      </c>
      <c r="M7240">
        <v>103</v>
      </c>
      <c r="N7240">
        <v>279</v>
      </c>
      <c r="O7240">
        <v>103</v>
      </c>
      <c r="P7240">
        <v>279</v>
      </c>
    </row>
    <row r="7241" spans="1:16" x14ac:dyDescent="0.25">
      <c r="A7241" t="s">
        <v>29814</v>
      </c>
      <c r="B7241" t="s">
        <v>29810</v>
      </c>
      <c r="C7241" t="s">
        <v>16236</v>
      </c>
      <c r="D7241" t="str">
        <f>"6000"</f>
        <v>6000</v>
      </c>
      <c r="E7241" t="s">
        <v>29815</v>
      </c>
      <c r="F7241" t="s">
        <v>24627</v>
      </c>
      <c r="G7241" t="s">
        <v>16234</v>
      </c>
      <c r="H7241" t="s">
        <v>47054</v>
      </c>
      <c r="I7241" t="s">
        <v>47120</v>
      </c>
      <c r="J7241" t="s">
        <v>47121</v>
      </c>
      <c r="K7241" t="s">
        <v>47113</v>
      </c>
      <c r="L7241">
        <v>42.15</v>
      </c>
      <c r="M7241">
        <v>103</v>
      </c>
      <c r="N7241">
        <v>279</v>
      </c>
      <c r="O7241">
        <v>103</v>
      </c>
      <c r="P7241">
        <v>279</v>
      </c>
    </row>
    <row r="7242" spans="1:16" x14ac:dyDescent="0.25">
      <c r="A7242" t="s">
        <v>29816</v>
      </c>
      <c r="B7242" t="s">
        <v>6041</v>
      </c>
      <c r="C7242" t="s">
        <v>6042</v>
      </c>
      <c r="D7242" t="str">
        <f>"6439"</f>
        <v>6439</v>
      </c>
      <c r="E7242" t="s">
        <v>2880</v>
      </c>
      <c r="F7242" t="s">
        <v>1</v>
      </c>
      <c r="G7242" t="s">
        <v>16221</v>
      </c>
      <c r="H7242" t="s">
        <v>47054</v>
      </c>
      <c r="I7242" t="s">
        <v>47111</v>
      </c>
      <c r="J7242" t="s">
        <v>47112</v>
      </c>
      <c r="K7242" t="s">
        <v>47113</v>
      </c>
      <c r="L7242">
        <v>9.0299999999999994</v>
      </c>
      <c r="M7242">
        <v>22</v>
      </c>
      <c r="N7242">
        <v>0</v>
      </c>
      <c r="O7242">
        <v>22</v>
      </c>
      <c r="P7242">
        <v>0</v>
      </c>
    </row>
    <row r="7243" spans="1:16" x14ac:dyDescent="0.25">
      <c r="A7243" t="s">
        <v>29817</v>
      </c>
      <c r="B7243" t="s">
        <v>6043</v>
      </c>
      <c r="C7243" t="s">
        <v>6044</v>
      </c>
      <c r="D7243" t="str">
        <f>"1505"</f>
        <v>1505</v>
      </c>
      <c r="E7243" t="s">
        <v>1667</v>
      </c>
      <c r="F7243" t="s">
        <v>1</v>
      </c>
      <c r="G7243" t="s">
        <v>16221</v>
      </c>
      <c r="H7243" t="s">
        <v>47054</v>
      </c>
      <c r="I7243" t="s">
        <v>47111</v>
      </c>
      <c r="J7243" t="s">
        <v>47112</v>
      </c>
      <c r="K7243" t="s">
        <v>47113</v>
      </c>
      <c r="L7243">
        <v>8.4</v>
      </c>
      <c r="M7243">
        <v>21</v>
      </c>
      <c r="N7243">
        <v>0</v>
      </c>
      <c r="O7243">
        <v>21</v>
      </c>
      <c r="P7243">
        <v>0</v>
      </c>
    </row>
    <row r="7244" spans="1:16" x14ac:dyDescent="0.25">
      <c r="A7244" t="s">
        <v>29818</v>
      </c>
      <c r="B7244" t="s">
        <v>6045</v>
      </c>
      <c r="C7244" t="s">
        <v>6046</v>
      </c>
      <c r="D7244" t="str">
        <f>"1745"</f>
        <v>1745</v>
      </c>
      <c r="E7244" t="s">
        <v>1659</v>
      </c>
      <c r="F7244" t="s">
        <v>1</v>
      </c>
      <c r="G7244" t="s">
        <v>16221</v>
      </c>
      <c r="H7244" t="s">
        <v>47054</v>
      </c>
      <c r="I7244" t="s">
        <v>47111</v>
      </c>
      <c r="J7244" t="s">
        <v>47112</v>
      </c>
      <c r="K7244" t="s">
        <v>47113</v>
      </c>
      <c r="L7244">
        <v>9.0299999999999994</v>
      </c>
      <c r="M7244">
        <v>22</v>
      </c>
      <c r="N7244">
        <v>0</v>
      </c>
      <c r="O7244">
        <v>22</v>
      </c>
      <c r="P7244">
        <v>0</v>
      </c>
    </row>
    <row r="7245" spans="1:16" x14ac:dyDescent="0.25">
      <c r="A7245" t="s">
        <v>29819</v>
      </c>
      <c r="B7245" t="s">
        <v>6047</v>
      </c>
      <c r="C7245" t="s">
        <v>6048</v>
      </c>
      <c r="D7245" t="s">
        <v>6049</v>
      </c>
      <c r="E7245" t="s">
        <v>6050</v>
      </c>
      <c r="F7245" t="s">
        <v>2068</v>
      </c>
      <c r="G7245" t="s">
        <v>16231</v>
      </c>
      <c r="H7245" t="s">
        <v>47054</v>
      </c>
      <c r="I7245" t="s">
        <v>47111</v>
      </c>
      <c r="J7245" t="s">
        <v>47112</v>
      </c>
      <c r="K7245" t="s">
        <v>47113</v>
      </c>
      <c r="L7245">
        <v>49.69</v>
      </c>
      <c r="M7245">
        <v>112</v>
      </c>
      <c r="N7245">
        <v>0</v>
      </c>
      <c r="O7245">
        <v>112</v>
      </c>
      <c r="P7245">
        <v>0</v>
      </c>
    </row>
    <row r="7246" spans="1:16" x14ac:dyDescent="0.25">
      <c r="A7246" t="s">
        <v>29820</v>
      </c>
      <c r="B7246" t="s">
        <v>6047</v>
      </c>
      <c r="C7246" t="s">
        <v>6048</v>
      </c>
      <c r="D7246" t="s">
        <v>6051</v>
      </c>
      <c r="E7246" t="s">
        <v>6052</v>
      </c>
      <c r="F7246" t="s">
        <v>2068</v>
      </c>
      <c r="G7246" t="s">
        <v>16231</v>
      </c>
      <c r="H7246" t="s">
        <v>47054</v>
      </c>
      <c r="I7246" t="s">
        <v>47111</v>
      </c>
      <c r="J7246" t="s">
        <v>47112</v>
      </c>
      <c r="K7246" t="s">
        <v>47113</v>
      </c>
      <c r="L7246">
        <v>49.69</v>
      </c>
      <c r="M7246">
        <v>112</v>
      </c>
      <c r="N7246">
        <v>0</v>
      </c>
      <c r="O7246">
        <v>112</v>
      </c>
      <c r="P7246">
        <v>0</v>
      </c>
    </row>
    <row r="7247" spans="1:16" x14ac:dyDescent="0.25">
      <c r="A7247" t="s">
        <v>29821</v>
      </c>
      <c r="B7247" t="s">
        <v>6053</v>
      </c>
      <c r="C7247" t="s">
        <v>6054</v>
      </c>
      <c r="D7247" t="s">
        <v>6049</v>
      </c>
      <c r="E7247" t="s">
        <v>6050</v>
      </c>
      <c r="F7247" t="s">
        <v>2068</v>
      </c>
      <c r="G7247" t="s">
        <v>16231</v>
      </c>
      <c r="H7247" t="s">
        <v>47054</v>
      </c>
      <c r="I7247" t="s">
        <v>47111</v>
      </c>
      <c r="J7247" t="s">
        <v>47112</v>
      </c>
      <c r="K7247" t="s">
        <v>47113</v>
      </c>
      <c r="L7247">
        <v>47.28</v>
      </c>
      <c r="M7247">
        <v>116</v>
      </c>
      <c r="N7247">
        <v>0</v>
      </c>
      <c r="O7247">
        <v>116</v>
      </c>
      <c r="P7247">
        <v>0</v>
      </c>
    </row>
    <row r="7248" spans="1:16" x14ac:dyDescent="0.25">
      <c r="A7248" t="s">
        <v>29822</v>
      </c>
      <c r="B7248" t="s">
        <v>6053</v>
      </c>
      <c r="C7248" t="s">
        <v>6054</v>
      </c>
      <c r="D7248" t="s">
        <v>6051</v>
      </c>
      <c r="E7248" t="s">
        <v>6052</v>
      </c>
      <c r="F7248" t="s">
        <v>2068</v>
      </c>
      <c r="G7248" t="s">
        <v>16231</v>
      </c>
      <c r="H7248" t="s">
        <v>47054</v>
      </c>
      <c r="I7248" t="s">
        <v>47111</v>
      </c>
      <c r="J7248" t="s">
        <v>47112</v>
      </c>
      <c r="K7248" t="s">
        <v>47113</v>
      </c>
      <c r="L7248">
        <v>47.28</v>
      </c>
      <c r="M7248">
        <v>116</v>
      </c>
      <c r="N7248">
        <v>0</v>
      </c>
      <c r="O7248">
        <v>116</v>
      </c>
      <c r="P7248">
        <v>0</v>
      </c>
    </row>
    <row r="7249" spans="1:16" x14ac:dyDescent="0.25">
      <c r="A7249" t="s">
        <v>29823</v>
      </c>
      <c r="B7249" t="s">
        <v>6055</v>
      </c>
      <c r="C7249" t="s">
        <v>6056</v>
      </c>
      <c r="D7249" t="str">
        <f>"4681"</f>
        <v>4681</v>
      </c>
      <c r="E7249" t="s">
        <v>6057</v>
      </c>
      <c r="F7249" t="s">
        <v>2068</v>
      </c>
      <c r="G7249" t="s">
        <v>46686</v>
      </c>
      <c r="H7249" t="s">
        <v>47054</v>
      </c>
      <c r="I7249" t="s">
        <v>47118</v>
      </c>
      <c r="J7249" t="s">
        <v>47119</v>
      </c>
      <c r="K7249" t="s">
        <v>47113</v>
      </c>
      <c r="L7249">
        <v>17.82</v>
      </c>
      <c r="M7249">
        <v>40</v>
      </c>
      <c r="N7249">
        <v>0</v>
      </c>
      <c r="O7249">
        <v>40</v>
      </c>
      <c r="P7249">
        <v>0</v>
      </c>
    </row>
    <row r="7250" spans="1:16" x14ac:dyDescent="0.25">
      <c r="A7250" t="s">
        <v>29824</v>
      </c>
      <c r="B7250" t="s">
        <v>6055</v>
      </c>
      <c r="C7250" t="s">
        <v>6056</v>
      </c>
      <c r="D7250" t="str">
        <f>"6486"</f>
        <v>6486</v>
      </c>
      <c r="E7250" t="s">
        <v>6058</v>
      </c>
      <c r="F7250" t="s">
        <v>2068</v>
      </c>
      <c r="G7250" t="s">
        <v>46686</v>
      </c>
      <c r="H7250" t="s">
        <v>47054</v>
      </c>
      <c r="I7250" t="s">
        <v>47118</v>
      </c>
      <c r="J7250" t="s">
        <v>47119</v>
      </c>
      <c r="K7250" t="s">
        <v>47113</v>
      </c>
      <c r="L7250">
        <v>17.82</v>
      </c>
      <c r="M7250">
        <v>40</v>
      </c>
      <c r="N7250">
        <v>0</v>
      </c>
      <c r="O7250">
        <v>40</v>
      </c>
      <c r="P7250">
        <v>0</v>
      </c>
    </row>
    <row r="7251" spans="1:16" x14ac:dyDescent="0.25">
      <c r="A7251" t="s">
        <v>29825</v>
      </c>
      <c r="B7251" t="s">
        <v>6059</v>
      </c>
      <c r="C7251" t="s">
        <v>6060</v>
      </c>
      <c r="D7251" t="str">
        <f>"1024"</f>
        <v>1024</v>
      </c>
      <c r="E7251" t="s">
        <v>717</v>
      </c>
      <c r="F7251" t="s">
        <v>3546</v>
      </c>
      <c r="G7251" t="s">
        <v>16235</v>
      </c>
      <c r="H7251" t="s">
        <v>47054</v>
      </c>
      <c r="I7251" t="s">
        <v>47118</v>
      </c>
      <c r="J7251" t="s">
        <v>47119</v>
      </c>
      <c r="K7251" t="s">
        <v>47113</v>
      </c>
      <c r="L7251">
        <v>28.8</v>
      </c>
      <c r="M7251">
        <v>59</v>
      </c>
      <c r="N7251">
        <v>0</v>
      </c>
      <c r="O7251">
        <v>59</v>
      </c>
      <c r="P7251">
        <v>0</v>
      </c>
    </row>
    <row r="7252" spans="1:16" x14ac:dyDescent="0.25">
      <c r="A7252" t="s">
        <v>29826</v>
      </c>
      <c r="B7252" t="s">
        <v>6059</v>
      </c>
      <c r="C7252" t="s">
        <v>6060</v>
      </c>
      <c r="D7252" t="str">
        <f>"4887"</f>
        <v>4887</v>
      </c>
      <c r="E7252" t="s">
        <v>6061</v>
      </c>
      <c r="F7252" t="s">
        <v>3546</v>
      </c>
      <c r="G7252" t="s">
        <v>16235</v>
      </c>
      <c r="H7252" t="s">
        <v>47054</v>
      </c>
      <c r="I7252" t="s">
        <v>47118</v>
      </c>
      <c r="J7252" t="s">
        <v>47119</v>
      </c>
      <c r="K7252" t="s">
        <v>47113</v>
      </c>
      <c r="L7252">
        <v>28.8</v>
      </c>
      <c r="M7252">
        <v>59</v>
      </c>
      <c r="N7252">
        <v>0</v>
      </c>
      <c r="O7252">
        <v>59</v>
      </c>
      <c r="P7252">
        <v>0</v>
      </c>
    </row>
    <row r="7253" spans="1:16" x14ac:dyDescent="0.25">
      <c r="A7253" t="s">
        <v>16835</v>
      </c>
      <c r="B7253" t="s">
        <v>6062</v>
      </c>
      <c r="C7253" t="s">
        <v>6063</v>
      </c>
      <c r="D7253" t="str">
        <f>"1024"</f>
        <v>1024</v>
      </c>
      <c r="E7253" t="s">
        <v>717</v>
      </c>
      <c r="F7253" t="s">
        <v>3546</v>
      </c>
      <c r="G7253" t="s">
        <v>16222</v>
      </c>
      <c r="H7253" t="s">
        <v>47054</v>
      </c>
      <c r="I7253" t="s">
        <v>47118</v>
      </c>
      <c r="J7253" t="s">
        <v>47119</v>
      </c>
      <c r="K7253" t="s">
        <v>47113</v>
      </c>
      <c r="L7253">
        <v>21.82</v>
      </c>
      <c r="M7253">
        <v>52</v>
      </c>
      <c r="N7253">
        <v>0</v>
      </c>
      <c r="O7253">
        <v>52</v>
      </c>
      <c r="P7253">
        <v>0</v>
      </c>
    </row>
    <row r="7254" spans="1:16" x14ac:dyDescent="0.25">
      <c r="A7254" t="s">
        <v>29827</v>
      </c>
      <c r="B7254" t="s">
        <v>6062</v>
      </c>
      <c r="C7254" t="s">
        <v>6063</v>
      </c>
      <c r="D7254" t="str">
        <f>"4887"</f>
        <v>4887</v>
      </c>
      <c r="E7254" t="s">
        <v>6061</v>
      </c>
      <c r="F7254" t="s">
        <v>3546</v>
      </c>
      <c r="G7254" t="s">
        <v>16222</v>
      </c>
      <c r="H7254" t="s">
        <v>47054</v>
      </c>
      <c r="I7254" t="s">
        <v>47118</v>
      </c>
      <c r="J7254" t="s">
        <v>47119</v>
      </c>
      <c r="K7254" t="s">
        <v>47113</v>
      </c>
      <c r="L7254">
        <v>21.82</v>
      </c>
      <c r="M7254">
        <v>52</v>
      </c>
      <c r="N7254">
        <v>0</v>
      </c>
      <c r="O7254">
        <v>52</v>
      </c>
      <c r="P7254">
        <v>0</v>
      </c>
    </row>
    <row r="7255" spans="1:16" x14ac:dyDescent="0.25">
      <c r="A7255" t="s">
        <v>29828</v>
      </c>
      <c r="B7255" t="s">
        <v>6064</v>
      </c>
      <c r="C7255" t="s">
        <v>5973</v>
      </c>
      <c r="D7255" t="str">
        <f>"4873"</f>
        <v>4873</v>
      </c>
      <c r="E7255" t="s">
        <v>6065</v>
      </c>
      <c r="F7255" t="s">
        <v>2068</v>
      </c>
      <c r="G7255" t="s">
        <v>16230</v>
      </c>
      <c r="H7255" t="s">
        <v>47054</v>
      </c>
      <c r="I7255" t="s">
        <v>47118</v>
      </c>
      <c r="J7255" t="s">
        <v>47119</v>
      </c>
      <c r="K7255" t="s">
        <v>47113</v>
      </c>
      <c r="L7255">
        <v>22.33</v>
      </c>
      <c r="M7255">
        <v>51</v>
      </c>
      <c r="N7255">
        <v>0</v>
      </c>
      <c r="O7255">
        <v>51</v>
      </c>
      <c r="P7255">
        <v>0</v>
      </c>
    </row>
    <row r="7256" spans="1:16" x14ac:dyDescent="0.25">
      <c r="A7256" t="s">
        <v>29829</v>
      </c>
      <c r="B7256" t="s">
        <v>6066</v>
      </c>
      <c r="C7256" t="s">
        <v>6067</v>
      </c>
      <c r="D7256" t="str">
        <f>"2374"</f>
        <v>2374</v>
      </c>
      <c r="E7256" t="s">
        <v>6068</v>
      </c>
      <c r="F7256" t="s">
        <v>2068</v>
      </c>
      <c r="G7256" t="s">
        <v>16230</v>
      </c>
      <c r="H7256" t="s">
        <v>47054</v>
      </c>
      <c r="I7256" t="s">
        <v>47118</v>
      </c>
      <c r="J7256" t="s">
        <v>47119</v>
      </c>
      <c r="K7256" t="s">
        <v>47113</v>
      </c>
      <c r="L7256">
        <v>20.3</v>
      </c>
      <c r="M7256">
        <v>46</v>
      </c>
      <c r="N7256">
        <v>0</v>
      </c>
      <c r="O7256">
        <v>46</v>
      </c>
      <c r="P7256">
        <v>0</v>
      </c>
    </row>
    <row r="7257" spans="1:16" x14ac:dyDescent="0.25">
      <c r="A7257" t="s">
        <v>29830</v>
      </c>
      <c r="B7257" t="s">
        <v>6069</v>
      </c>
      <c r="C7257" t="s">
        <v>5493</v>
      </c>
      <c r="D7257" t="str">
        <f>"4858"</f>
        <v>4858</v>
      </c>
      <c r="E7257" t="s">
        <v>6070</v>
      </c>
      <c r="F7257" t="s">
        <v>1</v>
      </c>
      <c r="G7257" t="s">
        <v>16230</v>
      </c>
      <c r="H7257" t="s">
        <v>47054</v>
      </c>
      <c r="I7257" t="s">
        <v>47118</v>
      </c>
      <c r="J7257" t="s">
        <v>47119</v>
      </c>
      <c r="K7257" t="s">
        <v>47113</v>
      </c>
      <c r="L7257">
        <v>22.39</v>
      </c>
      <c r="M7257">
        <v>55</v>
      </c>
      <c r="N7257">
        <v>0</v>
      </c>
      <c r="O7257">
        <v>55</v>
      </c>
      <c r="P7257">
        <v>0</v>
      </c>
    </row>
    <row r="7258" spans="1:16" x14ac:dyDescent="0.25">
      <c r="A7258" t="s">
        <v>29831</v>
      </c>
      <c r="B7258" t="s">
        <v>6071</v>
      </c>
      <c r="C7258" t="s">
        <v>6072</v>
      </c>
      <c r="D7258" t="str">
        <f>"4100"</f>
        <v>4100</v>
      </c>
      <c r="E7258" t="s">
        <v>6073</v>
      </c>
      <c r="F7258" t="s">
        <v>3558</v>
      </c>
      <c r="G7258" t="s">
        <v>16230</v>
      </c>
      <c r="H7258" t="s">
        <v>47054</v>
      </c>
      <c r="I7258" t="s">
        <v>47120</v>
      </c>
      <c r="J7258" t="s">
        <v>47121</v>
      </c>
      <c r="K7258" t="s">
        <v>47113</v>
      </c>
      <c r="L7258">
        <v>18.149999999999999</v>
      </c>
      <c r="M7258">
        <v>55</v>
      </c>
      <c r="N7258">
        <v>0</v>
      </c>
      <c r="O7258">
        <v>55</v>
      </c>
      <c r="P7258">
        <v>0</v>
      </c>
    </row>
    <row r="7259" spans="1:16" x14ac:dyDescent="0.25">
      <c r="A7259" t="s">
        <v>29832</v>
      </c>
      <c r="B7259" t="s">
        <v>6074</v>
      </c>
      <c r="C7259" t="s">
        <v>6075</v>
      </c>
      <c r="D7259" t="str">
        <f>"4100"</f>
        <v>4100</v>
      </c>
      <c r="E7259" t="s">
        <v>6076</v>
      </c>
      <c r="F7259" t="s">
        <v>3558</v>
      </c>
      <c r="G7259" t="s">
        <v>16230</v>
      </c>
      <c r="H7259" t="s">
        <v>47054</v>
      </c>
      <c r="I7259" t="s">
        <v>47120</v>
      </c>
      <c r="J7259" t="s">
        <v>47121</v>
      </c>
      <c r="K7259" t="s">
        <v>47113</v>
      </c>
      <c r="L7259">
        <v>26.26</v>
      </c>
      <c r="M7259">
        <v>55</v>
      </c>
      <c r="N7259">
        <v>0</v>
      </c>
      <c r="O7259">
        <v>55</v>
      </c>
      <c r="P7259">
        <v>0</v>
      </c>
    </row>
    <row r="7260" spans="1:16" x14ac:dyDescent="0.25">
      <c r="A7260" t="s">
        <v>29833</v>
      </c>
      <c r="B7260" t="s">
        <v>6077</v>
      </c>
      <c r="C7260" t="s">
        <v>6078</v>
      </c>
      <c r="D7260" t="str">
        <f>"4100"</f>
        <v>4100</v>
      </c>
      <c r="E7260" t="s">
        <v>6079</v>
      </c>
      <c r="F7260" t="s">
        <v>3558</v>
      </c>
      <c r="G7260" t="s">
        <v>16230</v>
      </c>
      <c r="H7260" t="s">
        <v>47054</v>
      </c>
      <c r="I7260" t="s">
        <v>47120</v>
      </c>
      <c r="J7260" t="s">
        <v>47121</v>
      </c>
      <c r="K7260" t="s">
        <v>47113</v>
      </c>
      <c r="L7260">
        <v>17.77</v>
      </c>
      <c r="M7260">
        <v>55</v>
      </c>
      <c r="N7260">
        <v>0</v>
      </c>
      <c r="O7260">
        <v>55</v>
      </c>
      <c r="P7260">
        <v>0</v>
      </c>
    </row>
    <row r="7261" spans="1:16" x14ac:dyDescent="0.25">
      <c r="A7261" t="s">
        <v>29834</v>
      </c>
      <c r="B7261" t="s">
        <v>6080</v>
      </c>
      <c r="C7261" t="s">
        <v>6081</v>
      </c>
      <c r="D7261" t="str">
        <f>"4865"</f>
        <v>4865</v>
      </c>
      <c r="E7261" t="s">
        <v>6082</v>
      </c>
      <c r="F7261" t="s">
        <v>2068</v>
      </c>
      <c r="G7261" t="s">
        <v>16234</v>
      </c>
      <c r="H7261" t="s">
        <v>47054</v>
      </c>
      <c r="I7261" t="s">
        <v>47120</v>
      </c>
      <c r="J7261" t="s">
        <v>47121</v>
      </c>
      <c r="K7261" t="s">
        <v>47113</v>
      </c>
      <c r="L7261">
        <v>21.93</v>
      </c>
      <c r="M7261">
        <v>50</v>
      </c>
      <c r="N7261">
        <v>0</v>
      </c>
      <c r="O7261">
        <v>50</v>
      </c>
      <c r="P7261">
        <v>0</v>
      </c>
    </row>
    <row r="7262" spans="1:16" x14ac:dyDescent="0.25">
      <c r="A7262" t="s">
        <v>29835</v>
      </c>
      <c r="B7262" t="s">
        <v>6083</v>
      </c>
      <c r="C7262" t="s">
        <v>6081</v>
      </c>
      <c r="D7262" t="str">
        <f>"1001"</f>
        <v>1001</v>
      </c>
      <c r="E7262" t="s">
        <v>6084</v>
      </c>
      <c r="F7262" t="s">
        <v>2068</v>
      </c>
      <c r="G7262" t="s">
        <v>16234</v>
      </c>
      <c r="H7262" t="s">
        <v>47054</v>
      </c>
      <c r="I7262" t="s">
        <v>47120</v>
      </c>
      <c r="J7262" t="s">
        <v>47121</v>
      </c>
      <c r="K7262" t="s">
        <v>47113</v>
      </c>
      <c r="L7262">
        <v>21.93</v>
      </c>
      <c r="M7262">
        <v>50</v>
      </c>
      <c r="N7262">
        <v>0</v>
      </c>
      <c r="O7262">
        <v>50</v>
      </c>
      <c r="P7262">
        <v>0</v>
      </c>
    </row>
    <row r="7263" spans="1:16" x14ac:dyDescent="0.25">
      <c r="A7263" t="s">
        <v>29836</v>
      </c>
      <c r="B7263" t="s">
        <v>6085</v>
      </c>
      <c r="C7263" t="s">
        <v>6081</v>
      </c>
      <c r="D7263" t="str">
        <f>"4787"</f>
        <v>4787</v>
      </c>
      <c r="E7263" t="s">
        <v>6086</v>
      </c>
      <c r="F7263" t="s">
        <v>2068</v>
      </c>
      <c r="G7263" t="s">
        <v>16234</v>
      </c>
      <c r="H7263" t="s">
        <v>47054</v>
      </c>
      <c r="I7263" t="s">
        <v>47120</v>
      </c>
      <c r="J7263" t="s">
        <v>47121</v>
      </c>
      <c r="K7263" t="s">
        <v>47113</v>
      </c>
      <c r="L7263">
        <v>21.93</v>
      </c>
      <c r="M7263">
        <v>50</v>
      </c>
      <c r="N7263">
        <v>0</v>
      </c>
      <c r="O7263">
        <v>50</v>
      </c>
      <c r="P7263">
        <v>0</v>
      </c>
    </row>
    <row r="7264" spans="1:16" x14ac:dyDescent="0.25">
      <c r="A7264" t="s">
        <v>29837</v>
      </c>
      <c r="B7264" t="s">
        <v>6087</v>
      </c>
      <c r="C7264" t="s">
        <v>6081</v>
      </c>
      <c r="D7264" t="str">
        <f>"2696"</f>
        <v>2696</v>
      </c>
      <c r="E7264" t="s">
        <v>6088</v>
      </c>
      <c r="F7264" t="s">
        <v>2068</v>
      </c>
      <c r="G7264" t="s">
        <v>16234</v>
      </c>
      <c r="H7264" t="s">
        <v>47054</v>
      </c>
      <c r="I7264" t="s">
        <v>47120</v>
      </c>
      <c r="J7264" t="s">
        <v>47121</v>
      </c>
      <c r="K7264" t="s">
        <v>47113</v>
      </c>
      <c r="L7264">
        <v>21.93</v>
      </c>
      <c r="M7264">
        <v>50</v>
      </c>
      <c r="N7264">
        <v>0</v>
      </c>
      <c r="O7264">
        <v>50</v>
      </c>
      <c r="P7264">
        <v>0</v>
      </c>
    </row>
    <row r="7265" spans="1:16" x14ac:dyDescent="0.25">
      <c r="A7265" t="s">
        <v>29838</v>
      </c>
      <c r="B7265" t="s">
        <v>6089</v>
      </c>
      <c r="C7265" t="s">
        <v>6090</v>
      </c>
      <c r="D7265" t="str">
        <f>"1001"</f>
        <v>1001</v>
      </c>
      <c r="E7265" t="s">
        <v>6084</v>
      </c>
      <c r="F7265" t="s">
        <v>2068</v>
      </c>
      <c r="G7265" t="s">
        <v>16224</v>
      </c>
      <c r="H7265" t="s">
        <v>47054</v>
      </c>
      <c r="I7265" t="s">
        <v>47120</v>
      </c>
      <c r="J7265" t="s">
        <v>47121</v>
      </c>
      <c r="K7265" t="s">
        <v>47113</v>
      </c>
      <c r="L7265">
        <v>26.44</v>
      </c>
      <c r="M7265">
        <v>60</v>
      </c>
      <c r="N7265">
        <v>0</v>
      </c>
      <c r="O7265">
        <v>60</v>
      </c>
      <c r="P7265">
        <v>0</v>
      </c>
    </row>
    <row r="7266" spans="1:16" x14ac:dyDescent="0.25">
      <c r="A7266" t="s">
        <v>29839</v>
      </c>
      <c r="B7266" t="s">
        <v>6091</v>
      </c>
      <c r="C7266" t="s">
        <v>6090</v>
      </c>
      <c r="D7266" t="str">
        <f>"2696"</f>
        <v>2696</v>
      </c>
      <c r="E7266" t="s">
        <v>6088</v>
      </c>
      <c r="F7266" t="s">
        <v>2068</v>
      </c>
      <c r="G7266" t="s">
        <v>16224</v>
      </c>
      <c r="H7266" t="s">
        <v>47054</v>
      </c>
      <c r="I7266" t="s">
        <v>47120</v>
      </c>
      <c r="J7266" t="s">
        <v>47121</v>
      </c>
      <c r="K7266" t="s">
        <v>47113</v>
      </c>
      <c r="L7266">
        <v>26.44</v>
      </c>
      <c r="M7266">
        <v>60</v>
      </c>
      <c r="N7266">
        <v>0</v>
      </c>
      <c r="O7266">
        <v>60</v>
      </c>
      <c r="P7266">
        <v>0</v>
      </c>
    </row>
    <row r="7267" spans="1:16" x14ac:dyDescent="0.25">
      <c r="A7267" t="s">
        <v>29840</v>
      </c>
      <c r="B7267" t="s">
        <v>6092</v>
      </c>
      <c r="C7267" t="s">
        <v>6093</v>
      </c>
      <c r="D7267" t="str">
        <f>"01"</f>
        <v>01</v>
      </c>
      <c r="E7267" t="s">
        <v>2070</v>
      </c>
      <c r="F7267" t="s">
        <v>2068</v>
      </c>
      <c r="G7267" t="s">
        <v>16231</v>
      </c>
      <c r="H7267" t="s">
        <v>47054</v>
      </c>
      <c r="I7267" t="s">
        <v>47111</v>
      </c>
      <c r="J7267" t="s">
        <v>47112</v>
      </c>
      <c r="K7267" t="s">
        <v>47113</v>
      </c>
      <c r="L7267">
        <v>38.75</v>
      </c>
      <c r="M7267">
        <v>88</v>
      </c>
      <c r="N7267">
        <v>0</v>
      </c>
      <c r="O7267">
        <v>88</v>
      </c>
      <c r="P7267">
        <v>0</v>
      </c>
    </row>
    <row r="7268" spans="1:16" x14ac:dyDescent="0.25">
      <c r="A7268" t="s">
        <v>29841</v>
      </c>
      <c r="B7268" t="s">
        <v>6092</v>
      </c>
      <c r="C7268" t="s">
        <v>6093</v>
      </c>
      <c r="D7268" t="s">
        <v>6094</v>
      </c>
      <c r="E7268" t="s">
        <v>6095</v>
      </c>
      <c r="F7268" t="s">
        <v>2068</v>
      </c>
      <c r="G7268" t="s">
        <v>16231</v>
      </c>
      <c r="H7268" t="s">
        <v>47054</v>
      </c>
      <c r="I7268" t="s">
        <v>47111</v>
      </c>
      <c r="J7268" t="s">
        <v>47112</v>
      </c>
      <c r="K7268" t="s">
        <v>47113</v>
      </c>
      <c r="L7268">
        <v>54.45</v>
      </c>
      <c r="M7268">
        <v>123</v>
      </c>
      <c r="N7268">
        <v>0</v>
      </c>
      <c r="O7268">
        <v>123</v>
      </c>
      <c r="P7268">
        <v>0</v>
      </c>
    </row>
    <row r="7269" spans="1:16" x14ac:dyDescent="0.25">
      <c r="A7269" t="s">
        <v>29842</v>
      </c>
      <c r="B7269" t="s">
        <v>6096</v>
      </c>
      <c r="C7269" t="s">
        <v>6097</v>
      </c>
      <c r="D7269" t="str">
        <f>"1001"</f>
        <v>1001</v>
      </c>
      <c r="E7269" t="s">
        <v>6098</v>
      </c>
      <c r="F7269" t="s">
        <v>2068</v>
      </c>
      <c r="G7269" t="s">
        <v>16222</v>
      </c>
      <c r="H7269" t="s">
        <v>47054</v>
      </c>
      <c r="I7269" t="s">
        <v>47120</v>
      </c>
      <c r="J7269" t="s">
        <v>47121</v>
      </c>
      <c r="K7269" t="s">
        <v>47113</v>
      </c>
      <c r="L7269">
        <v>25.98</v>
      </c>
      <c r="M7269">
        <v>62</v>
      </c>
      <c r="N7269">
        <v>0</v>
      </c>
      <c r="O7269">
        <v>62</v>
      </c>
      <c r="P7269">
        <v>0</v>
      </c>
    </row>
    <row r="7270" spans="1:16" x14ac:dyDescent="0.25">
      <c r="A7270" t="s">
        <v>29843</v>
      </c>
      <c r="B7270" t="s">
        <v>6096</v>
      </c>
      <c r="C7270" t="s">
        <v>6097</v>
      </c>
      <c r="D7270" t="str">
        <f>"1460"</f>
        <v>1460</v>
      </c>
      <c r="E7270" t="s">
        <v>6099</v>
      </c>
      <c r="F7270" t="s">
        <v>2068</v>
      </c>
      <c r="G7270" t="s">
        <v>16222</v>
      </c>
      <c r="H7270" t="s">
        <v>47054</v>
      </c>
      <c r="I7270" t="s">
        <v>47120</v>
      </c>
      <c r="J7270" t="s">
        <v>47121</v>
      </c>
      <c r="K7270" t="s">
        <v>47113</v>
      </c>
      <c r="L7270">
        <v>25.98</v>
      </c>
      <c r="M7270">
        <v>62</v>
      </c>
      <c r="N7270">
        <v>0</v>
      </c>
      <c r="O7270">
        <v>62</v>
      </c>
      <c r="P7270">
        <v>0</v>
      </c>
    </row>
    <row r="7271" spans="1:16" x14ac:dyDescent="0.25">
      <c r="A7271" t="s">
        <v>29844</v>
      </c>
      <c r="B7271" t="s">
        <v>6096</v>
      </c>
      <c r="C7271" t="s">
        <v>6097</v>
      </c>
      <c r="D7271" t="str">
        <f>"6473"</f>
        <v>6473</v>
      </c>
      <c r="E7271" t="s">
        <v>6100</v>
      </c>
      <c r="F7271" t="s">
        <v>2068</v>
      </c>
      <c r="G7271" t="s">
        <v>16222</v>
      </c>
      <c r="H7271" t="s">
        <v>47054</v>
      </c>
      <c r="I7271" t="s">
        <v>47120</v>
      </c>
      <c r="J7271" t="s">
        <v>47121</v>
      </c>
      <c r="K7271" t="s">
        <v>47113</v>
      </c>
      <c r="L7271">
        <v>25.98</v>
      </c>
      <c r="M7271">
        <v>62</v>
      </c>
      <c r="N7271">
        <v>0</v>
      </c>
      <c r="O7271">
        <v>62</v>
      </c>
      <c r="P7271">
        <v>0</v>
      </c>
    </row>
    <row r="7272" spans="1:16" x14ac:dyDescent="0.25">
      <c r="A7272" t="s">
        <v>14951</v>
      </c>
      <c r="B7272" t="s">
        <v>6101</v>
      </c>
      <c r="C7272" t="s">
        <v>6102</v>
      </c>
      <c r="D7272" t="str">
        <f>"1001"</f>
        <v>1001</v>
      </c>
      <c r="E7272" t="s">
        <v>6103</v>
      </c>
      <c r="F7272" t="s">
        <v>3546</v>
      </c>
      <c r="G7272" t="s">
        <v>16222</v>
      </c>
      <c r="H7272" t="s">
        <v>47054</v>
      </c>
      <c r="I7272" t="s">
        <v>47120</v>
      </c>
      <c r="J7272" t="s">
        <v>47121</v>
      </c>
      <c r="K7272" t="s">
        <v>47113</v>
      </c>
      <c r="L7272">
        <v>31.68</v>
      </c>
      <c r="M7272">
        <v>72</v>
      </c>
      <c r="N7272">
        <v>0</v>
      </c>
      <c r="O7272">
        <v>72</v>
      </c>
      <c r="P7272">
        <v>0</v>
      </c>
    </row>
    <row r="7273" spans="1:16" x14ac:dyDescent="0.25">
      <c r="A7273" t="s">
        <v>14952</v>
      </c>
      <c r="B7273" t="s">
        <v>6101</v>
      </c>
      <c r="C7273" t="s">
        <v>6102</v>
      </c>
      <c r="D7273" t="str">
        <f>"1700"</f>
        <v>1700</v>
      </c>
      <c r="E7273" t="s">
        <v>6104</v>
      </c>
      <c r="F7273" t="s">
        <v>3546</v>
      </c>
      <c r="G7273" t="s">
        <v>16222</v>
      </c>
      <c r="H7273" t="s">
        <v>47054</v>
      </c>
      <c r="I7273" t="s">
        <v>47120</v>
      </c>
      <c r="J7273" t="s">
        <v>47121</v>
      </c>
      <c r="K7273" t="s">
        <v>47113</v>
      </c>
      <c r="L7273">
        <v>31.68</v>
      </c>
      <c r="M7273">
        <v>72</v>
      </c>
      <c r="N7273">
        <v>0</v>
      </c>
      <c r="O7273">
        <v>72</v>
      </c>
      <c r="P7273">
        <v>0</v>
      </c>
    </row>
    <row r="7274" spans="1:16" x14ac:dyDescent="0.25">
      <c r="A7274" t="s">
        <v>29845</v>
      </c>
      <c r="B7274" t="s">
        <v>6105</v>
      </c>
      <c r="C7274" t="s">
        <v>6106</v>
      </c>
      <c r="D7274" t="str">
        <f>"1001"</f>
        <v>1001</v>
      </c>
      <c r="E7274" t="s">
        <v>6098</v>
      </c>
      <c r="F7274" t="s">
        <v>2068</v>
      </c>
      <c r="G7274" t="s">
        <v>16224</v>
      </c>
      <c r="H7274" t="s">
        <v>47054</v>
      </c>
      <c r="I7274" t="s">
        <v>47120</v>
      </c>
      <c r="J7274" t="s">
        <v>47121</v>
      </c>
      <c r="K7274" t="s">
        <v>47113</v>
      </c>
      <c r="L7274">
        <v>35.1</v>
      </c>
      <c r="M7274">
        <v>84</v>
      </c>
      <c r="N7274">
        <v>0</v>
      </c>
      <c r="O7274">
        <v>84</v>
      </c>
      <c r="P7274">
        <v>0</v>
      </c>
    </row>
    <row r="7275" spans="1:16" x14ac:dyDescent="0.25">
      <c r="A7275" t="s">
        <v>29846</v>
      </c>
      <c r="B7275" t="s">
        <v>6105</v>
      </c>
      <c r="C7275" t="s">
        <v>6106</v>
      </c>
      <c r="D7275" t="str">
        <f>"1460"</f>
        <v>1460</v>
      </c>
      <c r="E7275" t="s">
        <v>6099</v>
      </c>
      <c r="F7275" t="s">
        <v>2068</v>
      </c>
      <c r="G7275" t="s">
        <v>16224</v>
      </c>
      <c r="H7275" t="s">
        <v>47054</v>
      </c>
      <c r="I7275" t="s">
        <v>47120</v>
      </c>
      <c r="J7275" t="s">
        <v>47121</v>
      </c>
      <c r="K7275" t="s">
        <v>47113</v>
      </c>
      <c r="L7275">
        <v>35.1</v>
      </c>
      <c r="M7275">
        <v>84</v>
      </c>
      <c r="N7275">
        <v>0</v>
      </c>
      <c r="O7275">
        <v>84</v>
      </c>
      <c r="P7275">
        <v>0</v>
      </c>
    </row>
    <row r="7276" spans="1:16" x14ac:dyDescent="0.25">
      <c r="A7276" t="s">
        <v>29847</v>
      </c>
      <c r="B7276" t="s">
        <v>6105</v>
      </c>
      <c r="C7276" t="s">
        <v>6106</v>
      </c>
      <c r="D7276" t="str">
        <f>"6473"</f>
        <v>6473</v>
      </c>
      <c r="E7276" t="s">
        <v>6100</v>
      </c>
      <c r="F7276" t="s">
        <v>2068</v>
      </c>
      <c r="G7276" t="s">
        <v>16224</v>
      </c>
      <c r="H7276" t="s">
        <v>47054</v>
      </c>
      <c r="I7276" t="s">
        <v>47120</v>
      </c>
      <c r="J7276" t="s">
        <v>47121</v>
      </c>
      <c r="K7276" t="s">
        <v>47113</v>
      </c>
      <c r="L7276">
        <v>35.1</v>
      </c>
      <c r="M7276">
        <v>84</v>
      </c>
      <c r="N7276">
        <v>0</v>
      </c>
      <c r="O7276">
        <v>84</v>
      </c>
      <c r="P7276">
        <v>0</v>
      </c>
    </row>
    <row r="7277" spans="1:16" x14ac:dyDescent="0.25">
      <c r="A7277" t="s">
        <v>29848</v>
      </c>
      <c r="B7277" t="s">
        <v>6107</v>
      </c>
      <c r="C7277" t="s">
        <v>6108</v>
      </c>
      <c r="D7277" t="str">
        <f>"1001"</f>
        <v>1001</v>
      </c>
      <c r="E7277" t="s">
        <v>6098</v>
      </c>
      <c r="F7277" t="s">
        <v>2068</v>
      </c>
      <c r="G7277" t="s">
        <v>16224</v>
      </c>
      <c r="H7277" t="s">
        <v>47054</v>
      </c>
      <c r="I7277" t="s">
        <v>47120</v>
      </c>
      <c r="J7277" t="s">
        <v>47121</v>
      </c>
      <c r="K7277" t="s">
        <v>47113</v>
      </c>
      <c r="L7277">
        <v>35.1</v>
      </c>
      <c r="M7277">
        <v>84</v>
      </c>
      <c r="N7277">
        <v>0</v>
      </c>
      <c r="O7277">
        <v>84</v>
      </c>
      <c r="P7277">
        <v>0</v>
      </c>
    </row>
    <row r="7278" spans="1:16" x14ac:dyDescent="0.25">
      <c r="A7278" t="s">
        <v>29849</v>
      </c>
      <c r="B7278" t="s">
        <v>6107</v>
      </c>
      <c r="C7278" t="s">
        <v>6108</v>
      </c>
      <c r="D7278" t="str">
        <f>"1460"</f>
        <v>1460</v>
      </c>
      <c r="E7278" t="s">
        <v>6099</v>
      </c>
      <c r="F7278" t="s">
        <v>2068</v>
      </c>
      <c r="G7278" t="s">
        <v>16224</v>
      </c>
      <c r="H7278" t="s">
        <v>47054</v>
      </c>
      <c r="I7278" t="s">
        <v>47120</v>
      </c>
      <c r="J7278" t="s">
        <v>47121</v>
      </c>
      <c r="K7278" t="s">
        <v>47113</v>
      </c>
      <c r="L7278">
        <v>35.1</v>
      </c>
      <c r="M7278">
        <v>84</v>
      </c>
      <c r="N7278">
        <v>0</v>
      </c>
      <c r="O7278">
        <v>84</v>
      </c>
      <c r="P7278">
        <v>0</v>
      </c>
    </row>
    <row r="7279" spans="1:16" x14ac:dyDescent="0.25">
      <c r="A7279" t="s">
        <v>29850</v>
      </c>
      <c r="B7279" t="s">
        <v>6107</v>
      </c>
      <c r="C7279" t="s">
        <v>6108</v>
      </c>
      <c r="D7279" t="str">
        <f>"6473"</f>
        <v>6473</v>
      </c>
      <c r="E7279" t="s">
        <v>6100</v>
      </c>
      <c r="F7279" t="s">
        <v>2068</v>
      </c>
      <c r="G7279" t="s">
        <v>16224</v>
      </c>
      <c r="H7279" t="s">
        <v>47054</v>
      </c>
      <c r="I7279" t="s">
        <v>47120</v>
      </c>
      <c r="J7279" t="s">
        <v>47121</v>
      </c>
      <c r="K7279" t="s">
        <v>47113</v>
      </c>
      <c r="L7279">
        <v>35.1</v>
      </c>
      <c r="M7279">
        <v>84</v>
      </c>
      <c r="N7279">
        <v>0</v>
      </c>
      <c r="O7279">
        <v>84</v>
      </c>
      <c r="P7279">
        <v>0</v>
      </c>
    </row>
    <row r="7280" spans="1:16" x14ac:dyDescent="0.25">
      <c r="A7280" t="s">
        <v>14953</v>
      </c>
      <c r="B7280" t="s">
        <v>6109</v>
      </c>
      <c r="C7280" t="s">
        <v>6110</v>
      </c>
      <c r="D7280" t="str">
        <f>"1001"</f>
        <v>1001</v>
      </c>
      <c r="E7280" t="s">
        <v>6103</v>
      </c>
      <c r="F7280" t="s">
        <v>3546</v>
      </c>
      <c r="G7280" t="s">
        <v>16235</v>
      </c>
      <c r="H7280" t="s">
        <v>47054</v>
      </c>
      <c r="I7280" t="s">
        <v>47120</v>
      </c>
      <c r="J7280" t="s">
        <v>47121</v>
      </c>
      <c r="K7280" t="s">
        <v>47113</v>
      </c>
      <c r="L7280">
        <v>42.02</v>
      </c>
      <c r="M7280">
        <v>79</v>
      </c>
      <c r="N7280">
        <v>0</v>
      </c>
      <c r="O7280">
        <v>79</v>
      </c>
      <c r="P7280">
        <v>0</v>
      </c>
    </row>
    <row r="7281" spans="1:16" x14ac:dyDescent="0.25">
      <c r="A7281" t="s">
        <v>29851</v>
      </c>
      <c r="B7281" t="s">
        <v>6109</v>
      </c>
      <c r="C7281" t="s">
        <v>6110</v>
      </c>
      <c r="D7281" t="str">
        <f>"1700"</f>
        <v>1700</v>
      </c>
      <c r="E7281" t="s">
        <v>6104</v>
      </c>
      <c r="F7281" t="s">
        <v>3546</v>
      </c>
      <c r="G7281" t="s">
        <v>16235</v>
      </c>
      <c r="H7281" t="s">
        <v>47054</v>
      </c>
      <c r="I7281" t="s">
        <v>47120</v>
      </c>
      <c r="J7281" t="s">
        <v>47121</v>
      </c>
      <c r="K7281" t="s">
        <v>47113</v>
      </c>
      <c r="L7281">
        <v>42.02</v>
      </c>
      <c r="M7281">
        <v>79</v>
      </c>
      <c r="N7281">
        <v>0</v>
      </c>
      <c r="O7281">
        <v>79</v>
      </c>
      <c r="P7281">
        <v>0</v>
      </c>
    </row>
    <row r="7282" spans="1:16" x14ac:dyDescent="0.25">
      <c r="A7282" t="s">
        <v>29852</v>
      </c>
      <c r="B7282" t="s">
        <v>6111</v>
      </c>
      <c r="C7282" t="s">
        <v>16836</v>
      </c>
      <c r="D7282" t="str">
        <f>"1024"</f>
        <v>1024</v>
      </c>
      <c r="E7282" t="s">
        <v>717</v>
      </c>
      <c r="F7282" t="s">
        <v>3546</v>
      </c>
      <c r="G7282" t="s">
        <v>16235</v>
      </c>
      <c r="H7282" t="s">
        <v>47054</v>
      </c>
      <c r="I7282" t="s">
        <v>47120</v>
      </c>
      <c r="J7282" t="s">
        <v>47121</v>
      </c>
      <c r="K7282" t="s">
        <v>47113</v>
      </c>
      <c r="L7282">
        <v>29.51</v>
      </c>
      <c r="M7282">
        <v>61</v>
      </c>
      <c r="N7282">
        <v>0</v>
      </c>
      <c r="O7282">
        <v>61</v>
      </c>
      <c r="P7282">
        <v>0</v>
      </c>
    </row>
    <row r="7283" spans="1:16" x14ac:dyDescent="0.25">
      <c r="A7283" t="s">
        <v>29853</v>
      </c>
      <c r="B7283" t="s">
        <v>6111</v>
      </c>
      <c r="C7283" t="s">
        <v>16836</v>
      </c>
      <c r="D7283" t="str">
        <f>"1035"</f>
        <v>1035</v>
      </c>
      <c r="E7283" t="s">
        <v>758</v>
      </c>
      <c r="F7283" t="s">
        <v>15183</v>
      </c>
      <c r="G7283" t="s">
        <v>16235</v>
      </c>
      <c r="H7283" t="s">
        <v>47054</v>
      </c>
      <c r="I7283" t="s">
        <v>47120</v>
      </c>
      <c r="J7283" t="s">
        <v>47121</v>
      </c>
      <c r="K7283" t="s">
        <v>47113</v>
      </c>
      <c r="L7283">
        <v>26.11</v>
      </c>
      <c r="M7283">
        <v>66</v>
      </c>
      <c r="N7283">
        <v>0</v>
      </c>
      <c r="O7283">
        <v>66</v>
      </c>
      <c r="P7283">
        <v>0</v>
      </c>
    </row>
    <row r="7284" spans="1:16" x14ac:dyDescent="0.25">
      <c r="A7284" t="s">
        <v>29854</v>
      </c>
      <c r="B7284" t="s">
        <v>6111</v>
      </c>
      <c r="C7284" t="s">
        <v>16836</v>
      </c>
      <c r="D7284" t="str">
        <f>"1106"</f>
        <v>1106</v>
      </c>
      <c r="E7284" t="s">
        <v>15297</v>
      </c>
      <c r="F7284" t="s">
        <v>3750</v>
      </c>
      <c r="G7284" t="s">
        <v>16235</v>
      </c>
      <c r="H7284" t="s">
        <v>47054</v>
      </c>
      <c r="I7284" t="s">
        <v>47120</v>
      </c>
      <c r="J7284" t="s">
        <v>47121</v>
      </c>
      <c r="K7284" t="s">
        <v>47113</v>
      </c>
      <c r="L7284">
        <v>26.11</v>
      </c>
      <c r="M7284">
        <v>66</v>
      </c>
      <c r="N7284">
        <v>0</v>
      </c>
      <c r="O7284">
        <v>66</v>
      </c>
      <c r="P7284">
        <v>0</v>
      </c>
    </row>
    <row r="7285" spans="1:16" x14ac:dyDescent="0.25">
      <c r="A7285" t="s">
        <v>29855</v>
      </c>
      <c r="B7285" t="s">
        <v>6111</v>
      </c>
      <c r="C7285" t="s">
        <v>16836</v>
      </c>
      <c r="D7285" t="str">
        <f>"1484"</f>
        <v>1484</v>
      </c>
      <c r="E7285" t="s">
        <v>5847</v>
      </c>
      <c r="F7285" t="s">
        <v>16601</v>
      </c>
      <c r="G7285" t="s">
        <v>16235</v>
      </c>
      <c r="H7285" t="s">
        <v>47054</v>
      </c>
      <c r="I7285" t="s">
        <v>47120</v>
      </c>
      <c r="J7285" t="s">
        <v>47121</v>
      </c>
      <c r="K7285" t="s">
        <v>47113</v>
      </c>
      <c r="L7285">
        <v>26.11</v>
      </c>
      <c r="M7285">
        <v>66</v>
      </c>
      <c r="N7285">
        <v>0</v>
      </c>
      <c r="O7285">
        <v>66</v>
      </c>
      <c r="P7285">
        <v>0</v>
      </c>
    </row>
    <row r="7286" spans="1:16" x14ac:dyDescent="0.25">
      <c r="A7286" t="s">
        <v>29856</v>
      </c>
      <c r="B7286" t="s">
        <v>6111</v>
      </c>
      <c r="C7286" t="s">
        <v>16836</v>
      </c>
      <c r="D7286" t="str">
        <f>"1491"</f>
        <v>1491</v>
      </c>
      <c r="E7286" t="s">
        <v>5830</v>
      </c>
      <c r="F7286" t="s">
        <v>3546</v>
      </c>
      <c r="G7286" t="s">
        <v>16235</v>
      </c>
      <c r="H7286" t="s">
        <v>47054</v>
      </c>
      <c r="I7286" t="s">
        <v>47120</v>
      </c>
      <c r="J7286" t="s">
        <v>47121</v>
      </c>
      <c r="K7286" t="s">
        <v>47113</v>
      </c>
      <c r="L7286">
        <v>29.51</v>
      </c>
      <c r="M7286">
        <v>61</v>
      </c>
      <c r="N7286">
        <v>0</v>
      </c>
      <c r="O7286">
        <v>61</v>
      </c>
      <c r="P7286">
        <v>0</v>
      </c>
    </row>
    <row r="7287" spans="1:16" x14ac:dyDescent="0.25">
      <c r="A7287" t="s">
        <v>29857</v>
      </c>
      <c r="B7287" t="s">
        <v>6111</v>
      </c>
      <c r="C7287" t="s">
        <v>16836</v>
      </c>
      <c r="D7287" t="str">
        <f>"1821"</f>
        <v>1821</v>
      </c>
      <c r="E7287" t="s">
        <v>590</v>
      </c>
      <c r="F7287" t="s">
        <v>15183</v>
      </c>
      <c r="G7287" t="s">
        <v>16235</v>
      </c>
      <c r="H7287" t="s">
        <v>47054</v>
      </c>
      <c r="I7287" t="s">
        <v>47120</v>
      </c>
      <c r="J7287" t="s">
        <v>47121</v>
      </c>
      <c r="K7287" t="s">
        <v>47113</v>
      </c>
      <c r="L7287">
        <v>26.11</v>
      </c>
      <c r="M7287">
        <v>66</v>
      </c>
      <c r="N7287">
        <v>0</v>
      </c>
      <c r="O7287">
        <v>66</v>
      </c>
      <c r="P7287">
        <v>0</v>
      </c>
    </row>
    <row r="7288" spans="1:16" x14ac:dyDescent="0.25">
      <c r="A7288" t="s">
        <v>29858</v>
      </c>
      <c r="B7288" t="s">
        <v>6111</v>
      </c>
      <c r="C7288" t="s">
        <v>16836</v>
      </c>
      <c r="D7288" t="str">
        <f>"3548"</f>
        <v>3548</v>
      </c>
      <c r="E7288" t="s">
        <v>4760</v>
      </c>
      <c r="F7288" t="s">
        <v>3558</v>
      </c>
      <c r="G7288" t="s">
        <v>16235</v>
      </c>
      <c r="H7288" t="s">
        <v>47054</v>
      </c>
      <c r="I7288" t="s">
        <v>47120</v>
      </c>
      <c r="J7288" t="s">
        <v>47121</v>
      </c>
      <c r="K7288" t="s">
        <v>47113</v>
      </c>
      <c r="L7288">
        <v>27.56</v>
      </c>
      <c r="M7288">
        <v>63</v>
      </c>
      <c r="N7288">
        <v>0</v>
      </c>
      <c r="O7288">
        <v>63</v>
      </c>
      <c r="P7288">
        <v>0</v>
      </c>
    </row>
    <row r="7289" spans="1:16" x14ac:dyDescent="0.25">
      <c r="A7289" t="s">
        <v>29859</v>
      </c>
      <c r="B7289" t="s">
        <v>6111</v>
      </c>
      <c r="C7289" t="s">
        <v>16836</v>
      </c>
      <c r="D7289" t="str">
        <f>"4814"</f>
        <v>4814</v>
      </c>
      <c r="E7289" t="s">
        <v>6112</v>
      </c>
      <c r="F7289" t="s">
        <v>16601</v>
      </c>
      <c r="G7289" t="s">
        <v>16235</v>
      </c>
      <c r="H7289" t="s">
        <v>47054</v>
      </c>
      <c r="I7289" t="s">
        <v>47120</v>
      </c>
      <c r="J7289" t="s">
        <v>47121</v>
      </c>
      <c r="K7289" t="s">
        <v>47113</v>
      </c>
      <c r="L7289">
        <v>30.46</v>
      </c>
      <c r="M7289">
        <v>66</v>
      </c>
      <c r="N7289">
        <v>0</v>
      </c>
      <c r="O7289">
        <v>66</v>
      </c>
      <c r="P7289">
        <v>0</v>
      </c>
    </row>
    <row r="7290" spans="1:16" x14ac:dyDescent="0.25">
      <c r="A7290" t="s">
        <v>29860</v>
      </c>
      <c r="B7290" t="s">
        <v>6111</v>
      </c>
      <c r="C7290" t="s">
        <v>16836</v>
      </c>
      <c r="D7290" t="str">
        <f>"6056"</f>
        <v>6056</v>
      </c>
      <c r="E7290" t="s">
        <v>6279</v>
      </c>
      <c r="F7290" t="s">
        <v>15183</v>
      </c>
      <c r="G7290" t="s">
        <v>16235</v>
      </c>
      <c r="H7290" t="s">
        <v>47054</v>
      </c>
      <c r="I7290" t="s">
        <v>47120</v>
      </c>
      <c r="J7290" t="s">
        <v>47121</v>
      </c>
      <c r="K7290" t="s">
        <v>47113</v>
      </c>
      <c r="L7290">
        <v>26.11</v>
      </c>
      <c r="M7290">
        <v>66</v>
      </c>
      <c r="N7290">
        <v>0</v>
      </c>
      <c r="O7290">
        <v>66</v>
      </c>
      <c r="P7290">
        <v>0</v>
      </c>
    </row>
    <row r="7291" spans="1:16" x14ac:dyDescent="0.25">
      <c r="A7291" t="s">
        <v>29861</v>
      </c>
      <c r="B7291" t="s">
        <v>6111</v>
      </c>
      <c r="C7291" t="s">
        <v>16836</v>
      </c>
      <c r="D7291" t="str">
        <f>"6135"</f>
        <v>6135</v>
      </c>
      <c r="E7291" t="s">
        <v>6114</v>
      </c>
      <c r="F7291" t="s">
        <v>3546</v>
      </c>
      <c r="G7291" t="s">
        <v>16235</v>
      </c>
      <c r="H7291" t="s">
        <v>47054</v>
      </c>
      <c r="I7291" t="s">
        <v>47120</v>
      </c>
      <c r="J7291" t="s">
        <v>47121</v>
      </c>
      <c r="K7291" t="s">
        <v>47113</v>
      </c>
      <c r="L7291">
        <v>26.11</v>
      </c>
      <c r="M7291">
        <v>66</v>
      </c>
      <c r="N7291">
        <v>0</v>
      </c>
      <c r="O7291">
        <v>66</v>
      </c>
      <c r="P7291">
        <v>0</v>
      </c>
    </row>
    <row r="7292" spans="1:16" x14ac:dyDescent="0.25">
      <c r="A7292" t="s">
        <v>29862</v>
      </c>
      <c r="B7292" t="s">
        <v>6115</v>
      </c>
      <c r="C7292" t="s">
        <v>6116</v>
      </c>
      <c r="D7292" t="str">
        <f>"1254"</f>
        <v>1254</v>
      </c>
      <c r="E7292" t="s">
        <v>6117</v>
      </c>
      <c r="F7292" t="s">
        <v>3670</v>
      </c>
      <c r="G7292" t="s">
        <v>16224</v>
      </c>
      <c r="I7292" t="s">
        <v>47120</v>
      </c>
      <c r="J7292" t="s">
        <v>47121</v>
      </c>
      <c r="K7292" t="s">
        <v>47113</v>
      </c>
      <c r="L7292">
        <v>40.82</v>
      </c>
      <c r="M7292">
        <v>92</v>
      </c>
      <c r="N7292">
        <v>0</v>
      </c>
      <c r="O7292">
        <v>92</v>
      </c>
      <c r="P7292">
        <v>0</v>
      </c>
    </row>
    <row r="7293" spans="1:16" x14ac:dyDescent="0.25">
      <c r="A7293" t="s">
        <v>29863</v>
      </c>
      <c r="B7293" t="s">
        <v>6118</v>
      </c>
      <c r="C7293" t="s">
        <v>6119</v>
      </c>
      <c r="D7293" t="str">
        <f>"1259"</f>
        <v>1259</v>
      </c>
      <c r="E7293" t="s">
        <v>6120</v>
      </c>
      <c r="F7293" t="s">
        <v>3670</v>
      </c>
      <c r="G7293" t="s">
        <v>16222</v>
      </c>
      <c r="I7293" t="s">
        <v>47120</v>
      </c>
      <c r="J7293" t="s">
        <v>47121</v>
      </c>
      <c r="K7293" t="s">
        <v>47113</v>
      </c>
      <c r="L7293">
        <v>32.25</v>
      </c>
      <c r="M7293">
        <v>66</v>
      </c>
      <c r="N7293">
        <v>0</v>
      </c>
      <c r="O7293">
        <v>66</v>
      </c>
      <c r="P7293">
        <v>0</v>
      </c>
    </row>
    <row r="7294" spans="1:16" x14ac:dyDescent="0.25">
      <c r="A7294" t="s">
        <v>29864</v>
      </c>
      <c r="B7294" t="s">
        <v>6121</v>
      </c>
      <c r="C7294" t="s">
        <v>4762</v>
      </c>
      <c r="D7294" t="str">
        <f>"1024"</f>
        <v>1024</v>
      </c>
      <c r="E7294" t="s">
        <v>717</v>
      </c>
      <c r="F7294" t="s">
        <v>3546</v>
      </c>
      <c r="G7294" t="s">
        <v>16222</v>
      </c>
      <c r="H7294" t="s">
        <v>47054</v>
      </c>
      <c r="I7294" t="s">
        <v>47120</v>
      </c>
      <c r="J7294" t="s">
        <v>47121</v>
      </c>
      <c r="K7294" t="s">
        <v>47113</v>
      </c>
      <c r="L7294">
        <v>22.13</v>
      </c>
      <c r="M7294">
        <v>44</v>
      </c>
      <c r="N7294">
        <v>0</v>
      </c>
      <c r="O7294">
        <v>44</v>
      </c>
      <c r="P7294">
        <v>0</v>
      </c>
    </row>
    <row r="7295" spans="1:16" x14ac:dyDescent="0.25">
      <c r="A7295" t="s">
        <v>29865</v>
      </c>
      <c r="B7295" t="s">
        <v>6121</v>
      </c>
      <c r="C7295" t="s">
        <v>4762</v>
      </c>
      <c r="D7295" t="str">
        <f>"1035"</f>
        <v>1035</v>
      </c>
      <c r="E7295" t="s">
        <v>758</v>
      </c>
      <c r="F7295" t="s">
        <v>15183</v>
      </c>
      <c r="G7295" t="s">
        <v>16222</v>
      </c>
      <c r="H7295" t="s">
        <v>47054</v>
      </c>
      <c r="I7295" t="s">
        <v>47120</v>
      </c>
      <c r="J7295" t="s">
        <v>47121</v>
      </c>
      <c r="K7295" t="s">
        <v>47113</v>
      </c>
      <c r="L7295">
        <v>26.11</v>
      </c>
      <c r="M7295">
        <v>55</v>
      </c>
      <c r="N7295">
        <v>0</v>
      </c>
      <c r="O7295">
        <v>55</v>
      </c>
      <c r="P7295">
        <v>0</v>
      </c>
    </row>
    <row r="7296" spans="1:16" x14ac:dyDescent="0.25">
      <c r="A7296" t="s">
        <v>29866</v>
      </c>
      <c r="B7296" t="s">
        <v>6121</v>
      </c>
      <c r="C7296" t="s">
        <v>4762</v>
      </c>
      <c r="D7296" t="str">
        <f>"1106"</f>
        <v>1106</v>
      </c>
      <c r="E7296" t="s">
        <v>15297</v>
      </c>
      <c r="F7296" t="s">
        <v>3750</v>
      </c>
      <c r="G7296" t="s">
        <v>16222</v>
      </c>
      <c r="H7296" t="s">
        <v>47054</v>
      </c>
      <c r="I7296" t="s">
        <v>47120</v>
      </c>
      <c r="J7296" t="s">
        <v>47121</v>
      </c>
      <c r="K7296" t="s">
        <v>47113</v>
      </c>
      <c r="L7296">
        <v>23.19</v>
      </c>
      <c r="M7296">
        <v>55</v>
      </c>
      <c r="N7296">
        <v>0</v>
      </c>
      <c r="O7296">
        <v>55</v>
      </c>
      <c r="P7296">
        <v>0</v>
      </c>
    </row>
    <row r="7297" spans="1:16" x14ac:dyDescent="0.25">
      <c r="A7297" t="s">
        <v>29867</v>
      </c>
      <c r="B7297" t="s">
        <v>6121</v>
      </c>
      <c r="C7297" t="s">
        <v>4762</v>
      </c>
      <c r="D7297" t="str">
        <f>"1484"</f>
        <v>1484</v>
      </c>
      <c r="E7297" t="s">
        <v>5847</v>
      </c>
      <c r="F7297" t="s">
        <v>3546</v>
      </c>
      <c r="G7297" t="s">
        <v>16222</v>
      </c>
      <c r="H7297" t="s">
        <v>47054</v>
      </c>
      <c r="I7297" t="s">
        <v>47120</v>
      </c>
      <c r="J7297" t="s">
        <v>47121</v>
      </c>
      <c r="K7297" t="s">
        <v>47113</v>
      </c>
      <c r="L7297">
        <v>23.19</v>
      </c>
      <c r="M7297">
        <v>55</v>
      </c>
      <c r="N7297">
        <v>0</v>
      </c>
      <c r="O7297">
        <v>55</v>
      </c>
      <c r="P7297">
        <v>0</v>
      </c>
    </row>
    <row r="7298" spans="1:16" x14ac:dyDescent="0.25">
      <c r="A7298" t="s">
        <v>29868</v>
      </c>
      <c r="B7298" t="s">
        <v>6121</v>
      </c>
      <c r="C7298" t="s">
        <v>4762</v>
      </c>
      <c r="D7298" t="str">
        <f>"1491"</f>
        <v>1491</v>
      </c>
      <c r="E7298" t="s">
        <v>5830</v>
      </c>
      <c r="F7298" t="s">
        <v>3546</v>
      </c>
      <c r="G7298" t="s">
        <v>16222</v>
      </c>
      <c r="H7298" t="s">
        <v>47054</v>
      </c>
      <c r="I7298" t="s">
        <v>47120</v>
      </c>
      <c r="J7298" t="s">
        <v>47121</v>
      </c>
      <c r="K7298" t="s">
        <v>47113</v>
      </c>
      <c r="L7298">
        <v>22.13</v>
      </c>
      <c r="M7298">
        <v>44</v>
      </c>
      <c r="N7298">
        <v>0</v>
      </c>
      <c r="O7298">
        <v>44</v>
      </c>
      <c r="P7298">
        <v>0</v>
      </c>
    </row>
    <row r="7299" spans="1:16" x14ac:dyDescent="0.25">
      <c r="A7299" t="s">
        <v>29869</v>
      </c>
      <c r="B7299" t="s">
        <v>6121</v>
      </c>
      <c r="C7299" t="s">
        <v>4762</v>
      </c>
      <c r="D7299" t="str">
        <f>"1821"</f>
        <v>1821</v>
      </c>
      <c r="E7299" t="s">
        <v>590</v>
      </c>
      <c r="F7299" t="s">
        <v>15183</v>
      </c>
      <c r="G7299" t="s">
        <v>16222</v>
      </c>
      <c r="H7299" t="s">
        <v>47054</v>
      </c>
      <c r="I7299" t="s">
        <v>47120</v>
      </c>
      <c r="J7299" t="s">
        <v>47121</v>
      </c>
      <c r="K7299" t="s">
        <v>47113</v>
      </c>
      <c r="L7299">
        <v>19.55</v>
      </c>
      <c r="M7299">
        <v>55</v>
      </c>
      <c r="N7299">
        <v>0</v>
      </c>
      <c r="O7299">
        <v>55</v>
      </c>
      <c r="P7299">
        <v>0</v>
      </c>
    </row>
    <row r="7300" spans="1:16" x14ac:dyDescent="0.25">
      <c r="A7300" t="s">
        <v>29870</v>
      </c>
      <c r="B7300" t="s">
        <v>6121</v>
      </c>
      <c r="C7300" t="s">
        <v>4762</v>
      </c>
      <c r="D7300" t="str">
        <f>"3548"</f>
        <v>3548</v>
      </c>
      <c r="E7300" t="s">
        <v>4760</v>
      </c>
      <c r="F7300" t="s">
        <v>3558</v>
      </c>
      <c r="G7300" t="s">
        <v>16222</v>
      </c>
      <c r="H7300" t="s">
        <v>47054</v>
      </c>
      <c r="I7300" t="s">
        <v>47120</v>
      </c>
      <c r="J7300" t="s">
        <v>47121</v>
      </c>
      <c r="K7300" t="s">
        <v>47113</v>
      </c>
      <c r="L7300">
        <v>20.63</v>
      </c>
      <c r="M7300">
        <v>55</v>
      </c>
      <c r="N7300">
        <v>0</v>
      </c>
      <c r="O7300">
        <v>55</v>
      </c>
      <c r="P7300">
        <v>0</v>
      </c>
    </row>
    <row r="7301" spans="1:16" x14ac:dyDescent="0.25">
      <c r="A7301" t="s">
        <v>29871</v>
      </c>
      <c r="B7301" t="s">
        <v>6121</v>
      </c>
      <c r="C7301" t="s">
        <v>4762</v>
      </c>
      <c r="D7301" t="str">
        <f>"4814"</f>
        <v>4814</v>
      </c>
      <c r="E7301" t="s">
        <v>6112</v>
      </c>
      <c r="F7301" t="s">
        <v>3670</v>
      </c>
      <c r="G7301" t="s">
        <v>16222</v>
      </c>
      <c r="H7301" t="s">
        <v>47054</v>
      </c>
      <c r="I7301" t="s">
        <v>47120</v>
      </c>
      <c r="J7301" t="s">
        <v>47121</v>
      </c>
      <c r="K7301" t="s">
        <v>47113</v>
      </c>
      <c r="L7301">
        <v>23.19</v>
      </c>
      <c r="M7301">
        <v>55</v>
      </c>
      <c r="N7301">
        <v>0</v>
      </c>
      <c r="O7301">
        <v>55</v>
      </c>
      <c r="P7301">
        <v>0</v>
      </c>
    </row>
    <row r="7302" spans="1:16" x14ac:dyDescent="0.25">
      <c r="A7302" t="s">
        <v>29872</v>
      </c>
      <c r="B7302" t="s">
        <v>6121</v>
      </c>
      <c r="C7302" t="s">
        <v>4762</v>
      </c>
      <c r="D7302" t="str">
        <f>"6056"</f>
        <v>6056</v>
      </c>
      <c r="E7302" t="s">
        <v>6113</v>
      </c>
      <c r="F7302" t="s">
        <v>3546</v>
      </c>
      <c r="G7302" t="s">
        <v>16222</v>
      </c>
      <c r="H7302" t="s">
        <v>47054</v>
      </c>
      <c r="I7302" t="s">
        <v>47120</v>
      </c>
      <c r="J7302" t="s">
        <v>47121</v>
      </c>
      <c r="K7302" t="s">
        <v>47113</v>
      </c>
      <c r="L7302">
        <v>19.55</v>
      </c>
      <c r="M7302">
        <v>55</v>
      </c>
      <c r="N7302">
        <v>0</v>
      </c>
      <c r="O7302">
        <v>55</v>
      </c>
      <c r="P7302">
        <v>0</v>
      </c>
    </row>
    <row r="7303" spans="1:16" x14ac:dyDescent="0.25">
      <c r="A7303" t="s">
        <v>29873</v>
      </c>
      <c r="B7303" t="s">
        <v>6121</v>
      </c>
      <c r="C7303" t="s">
        <v>4762</v>
      </c>
      <c r="D7303" t="str">
        <f>"6135"</f>
        <v>6135</v>
      </c>
      <c r="E7303" t="s">
        <v>6279</v>
      </c>
      <c r="F7303" t="s">
        <v>15183</v>
      </c>
      <c r="G7303" t="s">
        <v>16222</v>
      </c>
      <c r="H7303" t="s">
        <v>47054</v>
      </c>
      <c r="I7303" t="s">
        <v>47120</v>
      </c>
      <c r="J7303" t="s">
        <v>47121</v>
      </c>
      <c r="K7303" t="s">
        <v>47113</v>
      </c>
      <c r="L7303">
        <v>19.55</v>
      </c>
      <c r="M7303">
        <v>55</v>
      </c>
      <c r="N7303">
        <v>0</v>
      </c>
      <c r="O7303">
        <v>55</v>
      </c>
      <c r="P7303">
        <v>0</v>
      </c>
    </row>
    <row r="7304" spans="1:16" x14ac:dyDescent="0.25">
      <c r="A7304" t="s">
        <v>29874</v>
      </c>
      <c r="B7304" t="s">
        <v>6122</v>
      </c>
      <c r="C7304" t="s">
        <v>4764</v>
      </c>
      <c r="D7304" t="str">
        <f>"1035"</f>
        <v>1035</v>
      </c>
      <c r="E7304" t="s">
        <v>758</v>
      </c>
      <c r="F7304" t="s">
        <v>3670</v>
      </c>
      <c r="G7304" t="s">
        <v>16222</v>
      </c>
      <c r="H7304" t="s">
        <v>47054</v>
      </c>
      <c r="I7304" t="s">
        <v>47120</v>
      </c>
      <c r="J7304" t="s">
        <v>47121</v>
      </c>
      <c r="K7304" t="s">
        <v>47113</v>
      </c>
      <c r="L7304">
        <v>17.38</v>
      </c>
      <c r="M7304">
        <v>55</v>
      </c>
      <c r="N7304">
        <v>0</v>
      </c>
      <c r="O7304">
        <v>55</v>
      </c>
      <c r="P7304">
        <v>0</v>
      </c>
    </row>
    <row r="7305" spans="1:16" x14ac:dyDescent="0.25">
      <c r="A7305" t="s">
        <v>29875</v>
      </c>
      <c r="B7305" t="s">
        <v>6122</v>
      </c>
      <c r="C7305" t="s">
        <v>4764</v>
      </c>
      <c r="D7305" t="str">
        <f>"1106"</f>
        <v>1106</v>
      </c>
      <c r="E7305" t="s">
        <v>15297</v>
      </c>
      <c r="F7305" t="s">
        <v>3750</v>
      </c>
      <c r="G7305" t="s">
        <v>16222</v>
      </c>
      <c r="H7305" t="s">
        <v>47054</v>
      </c>
      <c r="I7305" t="s">
        <v>47120</v>
      </c>
      <c r="J7305" t="s">
        <v>47121</v>
      </c>
      <c r="K7305" t="s">
        <v>47113</v>
      </c>
      <c r="L7305">
        <v>17.38</v>
      </c>
      <c r="M7305">
        <v>55</v>
      </c>
      <c r="N7305">
        <v>0</v>
      </c>
      <c r="O7305">
        <v>55</v>
      </c>
      <c r="P7305">
        <v>0</v>
      </c>
    </row>
    <row r="7306" spans="1:16" x14ac:dyDescent="0.25">
      <c r="A7306" t="s">
        <v>29876</v>
      </c>
      <c r="B7306" t="s">
        <v>6122</v>
      </c>
      <c r="C7306" t="s">
        <v>4764</v>
      </c>
      <c r="D7306" t="str">
        <f>"1484"</f>
        <v>1484</v>
      </c>
      <c r="E7306" t="s">
        <v>5847</v>
      </c>
      <c r="F7306" t="s">
        <v>3670</v>
      </c>
      <c r="G7306" t="s">
        <v>16222</v>
      </c>
      <c r="H7306" t="s">
        <v>47054</v>
      </c>
      <c r="I7306" t="s">
        <v>47120</v>
      </c>
      <c r="J7306" t="s">
        <v>47121</v>
      </c>
      <c r="K7306" t="s">
        <v>47113</v>
      </c>
      <c r="L7306">
        <v>17.38</v>
      </c>
      <c r="M7306">
        <v>55</v>
      </c>
      <c r="N7306">
        <v>0</v>
      </c>
      <c r="O7306">
        <v>55</v>
      </c>
      <c r="P7306">
        <v>0</v>
      </c>
    </row>
    <row r="7307" spans="1:16" x14ac:dyDescent="0.25">
      <c r="A7307" t="s">
        <v>29877</v>
      </c>
      <c r="B7307" t="s">
        <v>6122</v>
      </c>
      <c r="C7307" t="s">
        <v>4764</v>
      </c>
      <c r="D7307" t="str">
        <f>"3548"</f>
        <v>3548</v>
      </c>
      <c r="E7307" t="s">
        <v>4760</v>
      </c>
      <c r="F7307" t="s">
        <v>3558</v>
      </c>
      <c r="G7307" t="s">
        <v>16222</v>
      </c>
      <c r="H7307" t="s">
        <v>47054</v>
      </c>
      <c r="I7307" t="s">
        <v>47120</v>
      </c>
      <c r="J7307" t="s">
        <v>47121</v>
      </c>
      <c r="K7307" t="s">
        <v>47113</v>
      </c>
      <c r="L7307">
        <v>18.34</v>
      </c>
      <c r="M7307">
        <v>55</v>
      </c>
      <c r="N7307">
        <v>0</v>
      </c>
      <c r="O7307">
        <v>55</v>
      </c>
      <c r="P7307">
        <v>0</v>
      </c>
    </row>
    <row r="7308" spans="1:16" x14ac:dyDescent="0.25">
      <c r="A7308" t="s">
        <v>29878</v>
      </c>
      <c r="B7308" t="s">
        <v>6122</v>
      </c>
      <c r="C7308" t="s">
        <v>4764</v>
      </c>
      <c r="D7308" t="str">
        <f>"4814"</f>
        <v>4814</v>
      </c>
      <c r="E7308" t="s">
        <v>6112</v>
      </c>
      <c r="F7308" t="s">
        <v>3670</v>
      </c>
      <c r="G7308" t="s">
        <v>16222</v>
      </c>
      <c r="H7308" t="s">
        <v>47054</v>
      </c>
      <c r="I7308" t="s">
        <v>47120</v>
      </c>
      <c r="J7308" t="s">
        <v>47121</v>
      </c>
      <c r="K7308" t="s">
        <v>47113</v>
      </c>
      <c r="L7308">
        <v>17.38</v>
      </c>
      <c r="M7308">
        <v>55</v>
      </c>
      <c r="N7308">
        <v>0</v>
      </c>
      <c r="O7308">
        <v>55</v>
      </c>
      <c r="P7308">
        <v>0</v>
      </c>
    </row>
    <row r="7309" spans="1:16" x14ac:dyDescent="0.25">
      <c r="A7309" t="s">
        <v>29879</v>
      </c>
      <c r="B7309" t="s">
        <v>6122</v>
      </c>
      <c r="C7309" t="s">
        <v>4764</v>
      </c>
      <c r="D7309" t="str">
        <f>"6056"</f>
        <v>6056</v>
      </c>
      <c r="E7309" t="s">
        <v>6113</v>
      </c>
      <c r="F7309" t="s">
        <v>3670</v>
      </c>
      <c r="G7309" t="s">
        <v>16222</v>
      </c>
      <c r="H7309" t="s">
        <v>47054</v>
      </c>
      <c r="I7309" t="s">
        <v>47120</v>
      </c>
      <c r="J7309" t="s">
        <v>47121</v>
      </c>
      <c r="K7309" t="s">
        <v>47113</v>
      </c>
      <c r="L7309">
        <v>17.38</v>
      </c>
      <c r="M7309">
        <v>55</v>
      </c>
      <c r="N7309">
        <v>0</v>
      </c>
      <c r="O7309">
        <v>55</v>
      </c>
      <c r="P7309">
        <v>0</v>
      </c>
    </row>
    <row r="7310" spans="1:16" x14ac:dyDescent="0.25">
      <c r="A7310" t="s">
        <v>29880</v>
      </c>
      <c r="B7310" t="s">
        <v>16837</v>
      </c>
      <c r="C7310" t="s">
        <v>16838</v>
      </c>
      <c r="D7310" t="str">
        <f>"1106"</f>
        <v>1106</v>
      </c>
      <c r="E7310" t="s">
        <v>460</v>
      </c>
      <c r="F7310" t="s">
        <v>16933</v>
      </c>
      <c r="G7310" t="s">
        <v>16222</v>
      </c>
      <c r="H7310" t="s">
        <v>47054</v>
      </c>
      <c r="I7310" t="s">
        <v>47120</v>
      </c>
      <c r="J7310" t="s">
        <v>47121</v>
      </c>
      <c r="K7310" t="s">
        <v>47113</v>
      </c>
      <c r="L7310">
        <v>22.99</v>
      </c>
      <c r="M7310">
        <v>48</v>
      </c>
      <c r="N7310">
        <v>0</v>
      </c>
      <c r="O7310">
        <v>48</v>
      </c>
      <c r="P7310">
        <v>0</v>
      </c>
    </row>
    <row r="7311" spans="1:16" x14ac:dyDescent="0.25">
      <c r="A7311" t="s">
        <v>29881</v>
      </c>
      <c r="B7311" t="s">
        <v>16837</v>
      </c>
      <c r="C7311" t="s">
        <v>16838</v>
      </c>
      <c r="D7311" t="str">
        <f>"1800"</f>
        <v>1800</v>
      </c>
      <c r="E7311" t="s">
        <v>1999</v>
      </c>
      <c r="F7311" t="s">
        <v>16933</v>
      </c>
      <c r="G7311" t="s">
        <v>16222</v>
      </c>
      <c r="H7311" t="s">
        <v>47054</v>
      </c>
      <c r="I7311" t="s">
        <v>47120</v>
      </c>
      <c r="J7311" t="s">
        <v>47121</v>
      </c>
      <c r="K7311" t="s">
        <v>47113</v>
      </c>
      <c r="L7311">
        <v>22.99</v>
      </c>
      <c r="M7311">
        <v>48</v>
      </c>
      <c r="N7311">
        <v>0</v>
      </c>
      <c r="O7311">
        <v>48</v>
      </c>
      <c r="P7311">
        <v>0</v>
      </c>
    </row>
    <row r="7312" spans="1:16" x14ac:dyDescent="0.25">
      <c r="A7312" t="s">
        <v>29882</v>
      </c>
      <c r="B7312" t="s">
        <v>16837</v>
      </c>
      <c r="C7312" t="s">
        <v>16838</v>
      </c>
      <c r="D7312" t="str">
        <f>"6064"</f>
        <v>6064</v>
      </c>
      <c r="E7312" t="s">
        <v>87</v>
      </c>
      <c r="F7312" t="s">
        <v>16933</v>
      </c>
      <c r="G7312" t="s">
        <v>16222</v>
      </c>
      <c r="H7312" t="s">
        <v>47054</v>
      </c>
      <c r="I7312" t="s">
        <v>47120</v>
      </c>
      <c r="J7312" t="s">
        <v>47121</v>
      </c>
      <c r="K7312" t="s">
        <v>47113</v>
      </c>
      <c r="L7312">
        <v>22.99</v>
      </c>
      <c r="M7312">
        <v>48</v>
      </c>
      <c r="N7312">
        <v>0</v>
      </c>
      <c r="O7312">
        <v>48</v>
      </c>
      <c r="P7312">
        <v>0</v>
      </c>
    </row>
    <row r="7313" spans="1:16" x14ac:dyDescent="0.25">
      <c r="A7313" t="s">
        <v>29883</v>
      </c>
      <c r="B7313" t="s">
        <v>16840</v>
      </c>
      <c r="C7313" t="s">
        <v>16841</v>
      </c>
      <c r="D7313" t="str">
        <f>"1106"</f>
        <v>1106</v>
      </c>
      <c r="E7313" t="s">
        <v>460</v>
      </c>
      <c r="F7313" t="s">
        <v>16839</v>
      </c>
      <c r="G7313" t="s">
        <v>16235</v>
      </c>
      <c r="H7313" t="s">
        <v>47054</v>
      </c>
      <c r="I7313" t="s">
        <v>47120</v>
      </c>
      <c r="J7313" t="s">
        <v>47121</v>
      </c>
      <c r="K7313" t="s">
        <v>47113</v>
      </c>
      <c r="L7313">
        <v>25.99</v>
      </c>
      <c r="M7313">
        <v>55</v>
      </c>
      <c r="N7313">
        <v>0</v>
      </c>
      <c r="O7313">
        <v>55</v>
      </c>
      <c r="P7313">
        <v>0</v>
      </c>
    </row>
    <row r="7314" spans="1:16" x14ac:dyDescent="0.25">
      <c r="A7314" t="s">
        <v>29884</v>
      </c>
      <c r="B7314" t="s">
        <v>16840</v>
      </c>
      <c r="C7314" t="s">
        <v>16841</v>
      </c>
      <c r="D7314" t="str">
        <f>"1800"</f>
        <v>1800</v>
      </c>
      <c r="E7314" t="s">
        <v>1999</v>
      </c>
      <c r="F7314" t="s">
        <v>16839</v>
      </c>
      <c r="G7314" t="s">
        <v>16235</v>
      </c>
      <c r="H7314" t="s">
        <v>47054</v>
      </c>
      <c r="I7314" t="s">
        <v>47120</v>
      </c>
      <c r="J7314" t="s">
        <v>47121</v>
      </c>
      <c r="K7314" t="s">
        <v>47113</v>
      </c>
      <c r="L7314">
        <v>25.99</v>
      </c>
      <c r="M7314">
        <v>55</v>
      </c>
      <c r="N7314">
        <v>0</v>
      </c>
      <c r="O7314">
        <v>55</v>
      </c>
      <c r="P7314">
        <v>0</v>
      </c>
    </row>
    <row r="7315" spans="1:16" x14ac:dyDescent="0.25">
      <c r="A7315" t="s">
        <v>29885</v>
      </c>
      <c r="B7315" t="s">
        <v>16840</v>
      </c>
      <c r="C7315" t="s">
        <v>16841</v>
      </c>
      <c r="D7315" t="str">
        <f>"6064"</f>
        <v>6064</v>
      </c>
      <c r="E7315" t="s">
        <v>87</v>
      </c>
      <c r="F7315" t="s">
        <v>16839</v>
      </c>
      <c r="G7315" t="s">
        <v>16235</v>
      </c>
      <c r="H7315" t="s">
        <v>47054</v>
      </c>
      <c r="I7315" t="s">
        <v>47120</v>
      </c>
      <c r="J7315" t="s">
        <v>47121</v>
      </c>
      <c r="K7315" t="s">
        <v>47113</v>
      </c>
      <c r="L7315">
        <v>25.99</v>
      </c>
      <c r="M7315">
        <v>55</v>
      </c>
      <c r="N7315">
        <v>0</v>
      </c>
      <c r="O7315">
        <v>55</v>
      </c>
      <c r="P7315">
        <v>0</v>
      </c>
    </row>
    <row r="7316" spans="1:16" x14ac:dyDescent="0.25">
      <c r="A7316" t="s">
        <v>29886</v>
      </c>
      <c r="B7316" t="s">
        <v>6123</v>
      </c>
      <c r="C7316" t="s">
        <v>6124</v>
      </c>
      <c r="D7316" t="s">
        <v>6125</v>
      </c>
      <c r="E7316" t="s">
        <v>6126</v>
      </c>
      <c r="F7316" t="s">
        <v>3558</v>
      </c>
      <c r="G7316" t="s">
        <v>16233</v>
      </c>
      <c r="H7316" t="s">
        <v>47054</v>
      </c>
      <c r="I7316" t="s">
        <v>47136</v>
      </c>
      <c r="J7316" t="s">
        <v>47137</v>
      </c>
      <c r="K7316" t="s">
        <v>47113</v>
      </c>
      <c r="L7316">
        <v>14.97</v>
      </c>
      <c r="M7316">
        <v>59</v>
      </c>
      <c r="N7316">
        <v>0</v>
      </c>
      <c r="O7316">
        <v>59</v>
      </c>
      <c r="P7316">
        <v>0</v>
      </c>
    </row>
    <row r="7317" spans="1:16" x14ac:dyDescent="0.25">
      <c r="A7317" t="s">
        <v>29887</v>
      </c>
      <c r="B7317" t="s">
        <v>6127</v>
      </c>
      <c r="C7317" t="s">
        <v>6128</v>
      </c>
      <c r="D7317" t="s">
        <v>6125</v>
      </c>
      <c r="E7317" t="s">
        <v>6126</v>
      </c>
      <c r="F7317" t="s">
        <v>3558</v>
      </c>
      <c r="G7317" t="s">
        <v>16234</v>
      </c>
      <c r="H7317" t="s">
        <v>47054</v>
      </c>
      <c r="I7317" t="s">
        <v>47136</v>
      </c>
      <c r="J7317" t="s">
        <v>47137</v>
      </c>
      <c r="K7317" t="s">
        <v>47113</v>
      </c>
      <c r="L7317">
        <v>25.91</v>
      </c>
      <c r="M7317">
        <v>66</v>
      </c>
      <c r="N7317">
        <v>0</v>
      </c>
      <c r="O7317">
        <v>66</v>
      </c>
      <c r="P7317">
        <v>0</v>
      </c>
    </row>
    <row r="7318" spans="1:16" x14ac:dyDescent="0.25">
      <c r="A7318" t="s">
        <v>29888</v>
      </c>
      <c r="B7318" t="s">
        <v>19480</v>
      </c>
      <c r="C7318" t="s">
        <v>19481</v>
      </c>
      <c r="D7318" t="str">
        <f>"1081"</f>
        <v>1081</v>
      </c>
      <c r="E7318" t="s">
        <v>19482</v>
      </c>
      <c r="F7318" t="s">
        <v>3750</v>
      </c>
      <c r="G7318" t="s">
        <v>16235</v>
      </c>
      <c r="H7318" t="s">
        <v>47054</v>
      </c>
      <c r="I7318" t="s">
        <v>47120</v>
      </c>
      <c r="J7318" t="s">
        <v>47121</v>
      </c>
      <c r="K7318" t="s">
        <v>47113</v>
      </c>
      <c r="L7318">
        <v>15.86</v>
      </c>
      <c r="M7318">
        <v>26</v>
      </c>
      <c r="N7318">
        <v>0</v>
      </c>
      <c r="O7318">
        <v>26</v>
      </c>
      <c r="P7318">
        <v>0</v>
      </c>
    </row>
    <row r="7319" spans="1:16" x14ac:dyDescent="0.25">
      <c r="A7319" t="s">
        <v>29889</v>
      </c>
      <c r="B7319" t="s">
        <v>19480</v>
      </c>
      <c r="C7319" t="s">
        <v>19481</v>
      </c>
      <c r="D7319" t="str">
        <f>"4193"</f>
        <v>4193</v>
      </c>
      <c r="E7319" t="s">
        <v>19933</v>
      </c>
      <c r="F7319" t="s">
        <v>3750</v>
      </c>
      <c r="G7319" t="s">
        <v>16235</v>
      </c>
      <c r="H7319" t="s">
        <v>47054</v>
      </c>
      <c r="I7319" t="s">
        <v>47120</v>
      </c>
      <c r="J7319" t="s">
        <v>47121</v>
      </c>
      <c r="K7319" t="s">
        <v>47113</v>
      </c>
      <c r="L7319">
        <v>15.86</v>
      </c>
      <c r="M7319">
        <v>26</v>
      </c>
      <c r="N7319">
        <v>0</v>
      </c>
      <c r="O7319">
        <v>26</v>
      </c>
      <c r="P7319">
        <v>0</v>
      </c>
    </row>
    <row r="7320" spans="1:16" x14ac:dyDescent="0.25">
      <c r="A7320" t="s">
        <v>29890</v>
      </c>
      <c r="B7320" t="s">
        <v>19934</v>
      </c>
      <c r="C7320" t="s">
        <v>19935</v>
      </c>
      <c r="D7320" t="str">
        <f>"1081"</f>
        <v>1081</v>
      </c>
      <c r="E7320" t="s">
        <v>19936</v>
      </c>
      <c r="F7320" t="s">
        <v>3750</v>
      </c>
      <c r="G7320" t="s">
        <v>16222</v>
      </c>
      <c r="H7320" t="s">
        <v>47054</v>
      </c>
      <c r="I7320" t="s">
        <v>47120</v>
      </c>
      <c r="J7320" t="s">
        <v>47121</v>
      </c>
      <c r="K7320" t="s">
        <v>47113</v>
      </c>
      <c r="L7320">
        <v>15.86</v>
      </c>
      <c r="M7320">
        <v>24</v>
      </c>
      <c r="N7320">
        <v>0</v>
      </c>
      <c r="O7320">
        <v>24</v>
      </c>
      <c r="P7320">
        <v>0</v>
      </c>
    </row>
    <row r="7321" spans="1:16" x14ac:dyDescent="0.25">
      <c r="A7321" t="s">
        <v>29891</v>
      </c>
      <c r="B7321" t="s">
        <v>19934</v>
      </c>
      <c r="C7321" t="s">
        <v>19935</v>
      </c>
      <c r="D7321" t="str">
        <f>"4193"</f>
        <v>4193</v>
      </c>
      <c r="E7321" t="s">
        <v>19933</v>
      </c>
      <c r="F7321" t="s">
        <v>3750</v>
      </c>
      <c r="G7321" t="s">
        <v>16222</v>
      </c>
      <c r="H7321" t="s">
        <v>47054</v>
      </c>
      <c r="I7321" t="s">
        <v>47120</v>
      </c>
      <c r="J7321" t="s">
        <v>47121</v>
      </c>
      <c r="K7321" t="s">
        <v>47113</v>
      </c>
      <c r="L7321">
        <v>15.86</v>
      </c>
      <c r="M7321">
        <v>24</v>
      </c>
      <c r="N7321">
        <v>0</v>
      </c>
      <c r="O7321">
        <v>24</v>
      </c>
      <c r="P7321">
        <v>0</v>
      </c>
    </row>
    <row r="7322" spans="1:16" x14ac:dyDescent="0.25">
      <c r="A7322" t="s">
        <v>29892</v>
      </c>
      <c r="B7322" t="s">
        <v>6129</v>
      </c>
      <c r="C7322" t="s">
        <v>5973</v>
      </c>
      <c r="D7322" t="str">
        <f>"4794"</f>
        <v>4794</v>
      </c>
      <c r="E7322" t="s">
        <v>6130</v>
      </c>
      <c r="F7322" t="s">
        <v>2068</v>
      </c>
      <c r="G7322" t="s">
        <v>16230</v>
      </c>
      <c r="H7322" t="s">
        <v>47054</v>
      </c>
      <c r="I7322" t="s">
        <v>47118</v>
      </c>
      <c r="J7322" t="s">
        <v>47119</v>
      </c>
      <c r="K7322" t="s">
        <v>47113</v>
      </c>
      <c r="L7322">
        <v>21.62</v>
      </c>
      <c r="M7322">
        <v>46</v>
      </c>
      <c r="N7322">
        <v>0</v>
      </c>
      <c r="O7322">
        <v>46</v>
      </c>
      <c r="P7322">
        <v>0</v>
      </c>
    </row>
    <row r="7323" spans="1:16" x14ac:dyDescent="0.25">
      <c r="A7323" t="s">
        <v>29893</v>
      </c>
      <c r="B7323" t="s">
        <v>6131</v>
      </c>
      <c r="C7323" t="s">
        <v>6132</v>
      </c>
      <c r="D7323" t="str">
        <f>"4867"</f>
        <v>4867</v>
      </c>
      <c r="E7323" t="s">
        <v>6133</v>
      </c>
      <c r="F7323" t="s">
        <v>2068</v>
      </c>
      <c r="G7323" t="s">
        <v>46686</v>
      </c>
      <c r="H7323" t="s">
        <v>47054</v>
      </c>
      <c r="I7323" t="s">
        <v>47120</v>
      </c>
      <c r="J7323" t="s">
        <v>47121</v>
      </c>
      <c r="K7323" t="s">
        <v>47113</v>
      </c>
      <c r="L7323">
        <v>25.76</v>
      </c>
      <c r="M7323">
        <v>58</v>
      </c>
      <c r="N7323">
        <v>0</v>
      </c>
      <c r="O7323">
        <v>58</v>
      </c>
      <c r="P7323">
        <v>0</v>
      </c>
    </row>
    <row r="7324" spans="1:16" x14ac:dyDescent="0.25">
      <c r="A7324" t="s">
        <v>14954</v>
      </c>
      <c r="B7324" t="s">
        <v>6131</v>
      </c>
      <c r="C7324" t="s">
        <v>6132</v>
      </c>
      <c r="D7324" t="str">
        <f>"6474"</f>
        <v>6474</v>
      </c>
      <c r="E7324" t="s">
        <v>6134</v>
      </c>
      <c r="F7324" t="s">
        <v>2068</v>
      </c>
      <c r="G7324" t="s">
        <v>46686</v>
      </c>
      <c r="H7324" t="s">
        <v>47054</v>
      </c>
      <c r="I7324" t="s">
        <v>47120</v>
      </c>
      <c r="J7324" t="s">
        <v>47121</v>
      </c>
      <c r="K7324" t="s">
        <v>47113</v>
      </c>
      <c r="L7324">
        <v>25.76</v>
      </c>
      <c r="M7324">
        <v>58</v>
      </c>
      <c r="N7324">
        <v>0</v>
      </c>
      <c r="O7324">
        <v>58</v>
      </c>
      <c r="P7324">
        <v>0</v>
      </c>
    </row>
    <row r="7325" spans="1:16" x14ac:dyDescent="0.25">
      <c r="A7325" t="s">
        <v>29894</v>
      </c>
      <c r="B7325" t="s">
        <v>6135</v>
      </c>
      <c r="C7325" t="s">
        <v>6136</v>
      </c>
      <c r="D7325" t="str">
        <f>"1118"</f>
        <v>1118</v>
      </c>
      <c r="E7325" t="s">
        <v>6137</v>
      </c>
      <c r="F7325" t="s">
        <v>3670</v>
      </c>
      <c r="G7325" t="s">
        <v>16230</v>
      </c>
      <c r="H7325" t="s">
        <v>47054</v>
      </c>
      <c r="I7325" t="s">
        <v>47544</v>
      </c>
      <c r="J7325" t="s">
        <v>47545</v>
      </c>
      <c r="K7325" t="s">
        <v>47113</v>
      </c>
      <c r="L7325">
        <v>25.17</v>
      </c>
      <c r="M7325">
        <v>59</v>
      </c>
      <c r="N7325">
        <v>0</v>
      </c>
      <c r="O7325">
        <v>59</v>
      </c>
      <c r="P7325">
        <v>0</v>
      </c>
    </row>
    <row r="7326" spans="1:16" x14ac:dyDescent="0.25">
      <c r="A7326" t="s">
        <v>29895</v>
      </c>
      <c r="B7326" t="s">
        <v>6135</v>
      </c>
      <c r="C7326" t="s">
        <v>6136</v>
      </c>
      <c r="D7326" t="str">
        <f>"4062"</f>
        <v>4062</v>
      </c>
      <c r="E7326" t="s">
        <v>6138</v>
      </c>
      <c r="F7326" t="s">
        <v>3670</v>
      </c>
      <c r="G7326" t="s">
        <v>16230</v>
      </c>
      <c r="H7326" t="s">
        <v>47054</v>
      </c>
      <c r="I7326" t="s">
        <v>47544</v>
      </c>
      <c r="J7326" t="s">
        <v>47545</v>
      </c>
      <c r="K7326" t="s">
        <v>47113</v>
      </c>
      <c r="L7326">
        <v>25.17</v>
      </c>
      <c r="M7326">
        <v>59</v>
      </c>
      <c r="N7326">
        <v>0</v>
      </c>
      <c r="O7326">
        <v>59</v>
      </c>
      <c r="P7326">
        <v>0</v>
      </c>
    </row>
    <row r="7327" spans="1:16" x14ac:dyDescent="0.25">
      <c r="A7327" t="s">
        <v>29896</v>
      </c>
      <c r="B7327" t="s">
        <v>6139</v>
      </c>
      <c r="C7327" t="s">
        <v>6140</v>
      </c>
      <c r="D7327" t="str">
        <f>"1800"</f>
        <v>1800</v>
      </c>
      <c r="E7327" t="s">
        <v>1999</v>
      </c>
      <c r="F7327" t="s">
        <v>3558</v>
      </c>
      <c r="G7327" t="s">
        <v>16221</v>
      </c>
      <c r="H7327" t="s">
        <v>47054</v>
      </c>
      <c r="I7327" t="s">
        <v>47111</v>
      </c>
      <c r="J7327" t="s">
        <v>47112</v>
      </c>
      <c r="K7327" t="s">
        <v>47113</v>
      </c>
      <c r="L7327">
        <v>25.49</v>
      </c>
      <c r="M7327">
        <v>26</v>
      </c>
      <c r="N7327">
        <v>0</v>
      </c>
      <c r="O7327">
        <v>26</v>
      </c>
      <c r="P7327">
        <v>0</v>
      </c>
    </row>
    <row r="7328" spans="1:16" x14ac:dyDescent="0.25">
      <c r="A7328" t="s">
        <v>29897</v>
      </c>
      <c r="B7328" t="s">
        <v>6139</v>
      </c>
      <c r="C7328" t="s">
        <v>6140</v>
      </c>
      <c r="D7328" t="str">
        <f>"4048"</f>
        <v>4048</v>
      </c>
      <c r="E7328" t="s">
        <v>710</v>
      </c>
      <c r="F7328" t="s">
        <v>3558</v>
      </c>
      <c r="G7328" t="s">
        <v>16221</v>
      </c>
      <c r="H7328" t="s">
        <v>47054</v>
      </c>
      <c r="I7328" t="s">
        <v>47111</v>
      </c>
      <c r="J7328" t="s">
        <v>47112</v>
      </c>
      <c r="K7328" t="s">
        <v>47113</v>
      </c>
      <c r="L7328">
        <v>25.49</v>
      </c>
      <c r="M7328">
        <v>26</v>
      </c>
      <c r="N7328">
        <v>0</v>
      </c>
      <c r="O7328">
        <v>26</v>
      </c>
      <c r="P7328">
        <v>0</v>
      </c>
    </row>
    <row r="7329" spans="1:16" x14ac:dyDescent="0.25">
      <c r="A7329" t="s">
        <v>29898</v>
      </c>
      <c r="B7329" t="s">
        <v>6141</v>
      </c>
      <c r="C7329" t="s">
        <v>6142</v>
      </c>
      <c r="D7329" t="str">
        <f>"1257"</f>
        <v>1257</v>
      </c>
      <c r="E7329" t="s">
        <v>6143</v>
      </c>
      <c r="F7329" t="s">
        <v>3670</v>
      </c>
      <c r="G7329" t="s">
        <v>16221</v>
      </c>
      <c r="I7329" t="s">
        <v>47111</v>
      </c>
      <c r="J7329" t="s">
        <v>47112</v>
      </c>
      <c r="K7329" t="s">
        <v>47113</v>
      </c>
      <c r="L7329">
        <v>15.31</v>
      </c>
      <c r="M7329">
        <v>26</v>
      </c>
      <c r="N7329">
        <v>0</v>
      </c>
      <c r="O7329">
        <v>26</v>
      </c>
      <c r="P7329">
        <v>0</v>
      </c>
    </row>
    <row r="7330" spans="1:16" x14ac:dyDescent="0.25">
      <c r="A7330" t="s">
        <v>29899</v>
      </c>
      <c r="B7330" t="s">
        <v>6141</v>
      </c>
      <c r="C7330" t="s">
        <v>6142</v>
      </c>
      <c r="D7330" t="str">
        <f>"1746"</f>
        <v>1746</v>
      </c>
      <c r="E7330" t="s">
        <v>807</v>
      </c>
      <c r="F7330" t="s">
        <v>3670</v>
      </c>
      <c r="G7330" t="s">
        <v>16221</v>
      </c>
      <c r="I7330" t="s">
        <v>47111</v>
      </c>
      <c r="J7330" t="s">
        <v>47112</v>
      </c>
      <c r="K7330" t="s">
        <v>47113</v>
      </c>
      <c r="L7330">
        <v>15.31</v>
      </c>
      <c r="M7330">
        <v>26</v>
      </c>
      <c r="N7330">
        <v>0</v>
      </c>
      <c r="O7330">
        <v>26</v>
      </c>
      <c r="P7330">
        <v>0</v>
      </c>
    </row>
    <row r="7331" spans="1:16" x14ac:dyDescent="0.25">
      <c r="A7331" t="s">
        <v>29900</v>
      </c>
      <c r="B7331" t="s">
        <v>6144</v>
      </c>
      <c r="C7331" t="s">
        <v>19937</v>
      </c>
      <c r="D7331" t="str">
        <f>"1143"</f>
        <v>1143</v>
      </c>
      <c r="E7331" t="s">
        <v>6146</v>
      </c>
      <c r="F7331" t="s">
        <v>3670</v>
      </c>
      <c r="G7331" t="s">
        <v>16232</v>
      </c>
      <c r="H7331" t="s">
        <v>47054</v>
      </c>
      <c r="I7331" t="s">
        <v>47111</v>
      </c>
      <c r="J7331" t="s">
        <v>47112</v>
      </c>
      <c r="K7331" t="s">
        <v>47113</v>
      </c>
      <c r="L7331">
        <v>17.649999999999999</v>
      </c>
      <c r="M7331">
        <v>33</v>
      </c>
      <c r="N7331">
        <v>0</v>
      </c>
      <c r="O7331">
        <v>33</v>
      </c>
      <c r="P7331">
        <v>0</v>
      </c>
    </row>
    <row r="7332" spans="1:16" x14ac:dyDescent="0.25">
      <c r="A7332" t="s">
        <v>29901</v>
      </c>
      <c r="B7332" t="s">
        <v>6144</v>
      </c>
      <c r="C7332" t="s">
        <v>19937</v>
      </c>
      <c r="D7332" t="str">
        <f>"1834"</f>
        <v>1834</v>
      </c>
      <c r="E7332" t="s">
        <v>6147</v>
      </c>
      <c r="F7332" t="s">
        <v>3670</v>
      </c>
      <c r="G7332" t="s">
        <v>16232</v>
      </c>
      <c r="H7332" t="s">
        <v>47054</v>
      </c>
      <c r="I7332" t="s">
        <v>47111</v>
      </c>
      <c r="J7332" t="s">
        <v>47112</v>
      </c>
      <c r="K7332" t="s">
        <v>47113</v>
      </c>
      <c r="L7332">
        <v>17.649999999999999</v>
      </c>
      <c r="M7332">
        <v>33</v>
      </c>
      <c r="N7332">
        <v>0</v>
      </c>
      <c r="O7332">
        <v>33</v>
      </c>
      <c r="P7332">
        <v>0</v>
      </c>
    </row>
    <row r="7333" spans="1:16" x14ac:dyDescent="0.25">
      <c r="A7333" t="s">
        <v>29902</v>
      </c>
      <c r="B7333" t="s">
        <v>6148</v>
      </c>
      <c r="C7333" t="s">
        <v>6145</v>
      </c>
      <c r="D7333" t="str">
        <f>"1001"</f>
        <v>1001</v>
      </c>
      <c r="E7333" t="s">
        <v>6149</v>
      </c>
      <c r="F7333" t="s">
        <v>3670</v>
      </c>
      <c r="G7333" t="s">
        <v>16221</v>
      </c>
      <c r="H7333" t="s">
        <v>47054</v>
      </c>
      <c r="I7333" t="s">
        <v>47111</v>
      </c>
      <c r="J7333" t="s">
        <v>47112</v>
      </c>
      <c r="K7333" t="s">
        <v>47113</v>
      </c>
      <c r="L7333">
        <v>9.9</v>
      </c>
      <c r="M7333">
        <v>33</v>
      </c>
      <c r="N7333">
        <v>0</v>
      </c>
      <c r="O7333">
        <v>33</v>
      </c>
      <c r="P7333">
        <v>0</v>
      </c>
    </row>
    <row r="7334" spans="1:16" x14ac:dyDescent="0.25">
      <c r="A7334" t="s">
        <v>29903</v>
      </c>
      <c r="B7334" t="s">
        <v>16273</v>
      </c>
      <c r="C7334" t="s">
        <v>8963</v>
      </c>
      <c r="D7334" t="str">
        <f>"4100"</f>
        <v>4100</v>
      </c>
      <c r="E7334" t="s">
        <v>8964</v>
      </c>
      <c r="F7334" t="s">
        <v>3558</v>
      </c>
      <c r="G7334" t="s">
        <v>16232</v>
      </c>
      <c r="H7334" t="s">
        <v>47054</v>
      </c>
      <c r="I7334" t="s">
        <v>47116</v>
      </c>
      <c r="J7334" t="s">
        <v>47117</v>
      </c>
      <c r="K7334" t="s">
        <v>47113</v>
      </c>
      <c r="L7334">
        <v>13.3</v>
      </c>
      <c r="M7334">
        <v>33</v>
      </c>
      <c r="N7334">
        <v>0</v>
      </c>
      <c r="O7334">
        <v>33</v>
      </c>
      <c r="P7334">
        <v>0</v>
      </c>
    </row>
    <row r="7335" spans="1:16" x14ac:dyDescent="0.25">
      <c r="A7335" t="s">
        <v>29904</v>
      </c>
      <c r="B7335" t="s">
        <v>15298</v>
      </c>
      <c r="C7335" t="s">
        <v>15299</v>
      </c>
      <c r="D7335" t="str">
        <f>"4048"</f>
        <v>4048</v>
      </c>
      <c r="E7335" t="s">
        <v>710</v>
      </c>
      <c r="F7335" t="s">
        <v>3558</v>
      </c>
      <c r="G7335" t="s">
        <v>16232</v>
      </c>
      <c r="I7335" t="s">
        <v>47116</v>
      </c>
      <c r="J7335" t="s">
        <v>47117</v>
      </c>
      <c r="K7335" t="s">
        <v>47113</v>
      </c>
      <c r="L7335">
        <v>11.41</v>
      </c>
      <c r="M7335">
        <v>29</v>
      </c>
      <c r="N7335">
        <v>0</v>
      </c>
      <c r="O7335">
        <v>29</v>
      </c>
      <c r="P7335">
        <v>0</v>
      </c>
    </row>
    <row r="7336" spans="1:16" x14ac:dyDescent="0.25">
      <c r="A7336" t="s">
        <v>47546</v>
      </c>
      <c r="B7336" t="s">
        <v>47547</v>
      </c>
      <c r="C7336" t="s">
        <v>47548</v>
      </c>
      <c r="D7336" t="str">
        <f>"1081"</f>
        <v>1081</v>
      </c>
      <c r="E7336" t="s">
        <v>47549</v>
      </c>
      <c r="F7336" t="s">
        <v>31484</v>
      </c>
      <c r="G7336" t="s">
        <v>16235</v>
      </c>
      <c r="H7336" t="s">
        <v>47054</v>
      </c>
      <c r="I7336" t="s">
        <v>47118</v>
      </c>
      <c r="J7336" t="s">
        <v>47119</v>
      </c>
      <c r="K7336" t="s">
        <v>47113</v>
      </c>
      <c r="L7336">
        <v>19.14</v>
      </c>
      <c r="M7336">
        <v>63</v>
      </c>
      <c r="N7336">
        <v>169</v>
      </c>
      <c r="O7336">
        <v>63</v>
      </c>
      <c r="P7336">
        <v>169</v>
      </c>
    </row>
    <row r="7337" spans="1:16" x14ac:dyDescent="0.25">
      <c r="A7337" t="s">
        <v>47550</v>
      </c>
      <c r="B7337" t="s">
        <v>47547</v>
      </c>
      <c r="C7337" t="s">
        <v>47548</v>
      </c>
      <c r="D7337" t="str">
        <f>"1767"</f>
        <v>1767</v>
      </c>
      <c r="E7337" t="s">
        <v>47551</v>
      </c>
      <c r="F7337" t="s">
        <v>31484</v>
      </c>
      <c r="G7337" t="s">
        <v>16235</v>
      </c>
      <c r="H7337" t="s">
        <v>47054</v>
      </c>
      <c r="I7337" t="s">
        <v>47118</v>
      </c>
      <c r="J7337" t="s">
        <v>47119</v>
      </c>
      <c r="K7337" t="s">
        <v>47113</v>
      </c>
      <c r="L7337">
        <v>19.329999999999998</v>
      </c>
      <c r="M7337">
        <v>62.59</v>
      </c>
      <c r="N7337">
        <v>169</v>
      </c>
      <c r="O7337">
        <v>62.59</v>
      </c>
      <c r="P7337">
        <v>169</v>
      </c>
    </row>
    <row r="7338" spans="1:16" x14ac:dyDescent="0.25">
      <c r="A7338" t="s">
        <v>47552</v>
      </c>
      <c r="B7338" t="s">
        <v>47547</v>
      </c>
      <c r="C7338" t="s">
        <v>47548</v>
      </c>
      <c r="D7338" t="str">
        <f>"3504"</f>
        <v>3504</v>
      </c>
      <c r="E7338" t="s">
        <v>47553</v>
      </c>
      <c r="F7338" t="s">
        <v>31484</v>
      </c>
      <c r="G7338" t="s">
        <v>16235</v>
      </c>
      <c r="H7338" t="s">
        <v>47054</v>
      </c>
      <c r="I7338" t="s">
        <v>47118</v>
      </c>
      <c r="J7338" t="s">
        <v>47119</v>
      </c>
      <c r="K7338" t="s">
        <v>47113</v>
      </c>
      <c r="L7338">
        <v>19.14</v>
      </c>
      <c r="M7338">
        <v>63</v>
      </c>
      <c r="N7338">
        <v>169</v>
      </c>
      <c r="O7338">
        <v>63</v>
      </c>
      <c r="P7338">
        <v>169</v>
      </c>
    </row>
    <row r="7339" spans="1:16" x14ac:dyDescent="0.25">
      <c r="A7339" t="s">
        <v>29905</v>
      </c>
      <c r="B7339" t="s">
        <v>29906</v>
      </c>
      <c r="C7339" t="s">
        <v>47056</v>
      </c>
      <c r="D7339" t="str">
        <f>"1001"</f>
        <v>1001</v>
      </c>
      <c r="E7339" t="s">
        <v>42</v>
      </c>
      <c r="F7339" t="s">
        <v>3750</v>
      </c>
      <c r="G7339" t="s">
        <v>16235</v>
      </c>
      <c r="H7339" t="s">
        <v>47054</v>
      </c>
      <c r="I7339" t="s">
        <v>47118</v>
      </c>
      <c r="J7339" t="s">
        <v>47119</v>
      </c>
      <c r="K7339" t="s">
        <v>47113</v>
      </c>
      <c r="L7339">
        <v>16.579999999999998</v>
      </c>
      <c r="M7339">
        <v>85</v>
      </c>
      <c r="N7339">
        <v>229</v>
      </c>
      <c r="O7339">
        <v>85</v>
      </c>
      <c r="P7339">
        <v>229</v>
      </c>
    </row>
    <row r="7340" spans="1:16" x14ac:dyDescent="0.25">
      <c r="A7340" t="s">
        <v>29908</v>
      </c>
      <c r="B7340" t="s">
        <v>29906</v>
      </c>
      <c r="C7340" t="s">
        <v>47056</v>
      </c>
      <c r="D7340" t="str">
        <f>"2707"</f>
        <v>2707</v>
      </c>
      <c r="E7340" t="s">
        <v>3019</v>
      </c>
      <c r="F7340" t="s">
        <v>3750</v>
      </c>
      <c r="G7340" t="s">
        <v>16235</v>
      </c>
      <c r="H7340" t="s">
        <v>47054</v>
      </c>
      <c r="I7340" t="s">
        <v>47118</v>
      </c>
      <c r="J7340" t="s">
        <v>47119</v>
      </c>
      <c r="K7340" t="s">
        <v>47113</v>
      </c>
      <c r="L7340">
        <v>15.39</v>
      </c>
      <c r="M7340">
        <v>85</v>
      </c>
      <c r="N7340">
        <v>229</v>
      </c>
      <c r="O7340">
        <v>85</v>
      </c>
      <c r="P7340">
        <v>229</v>
      </c>
    </row>
    <row r="7341" spans="1:16" x14ac:dyDescent="0.25">
      <c r="A7341" t="s">
        <v>29909</v>
      </c>
      <c r="B7341" t="s">
        <v>29906</v>
      </c>
      <c r="C7341" t="s">
        <v>47056</v>
      </c>
      <c r="D7341" t="str">
        <f>"3249"</f>
        <v>3249</v>
      </c>
      <c r="E7341" t="s">
        <v>29910</v>
      </c>
      <c r="F7341" t="s">
        <v>3750</v>
      </c>
      <c r="G7341" t="s">
        <v>16235</v>
      </c>
      <c r="H7341" t="s">
        <v>47054</v>
      </c>
      <c r="I7341" t="s">
        <v>47118</v>
      </c>
      <c r="J7341" t="s">
        <v>47119</v>
      </c>
      <c r="K7341" t="s">
        <v>47113</v>
      </c>
      <c r="L7341">
        <v>19.39</v>
      </c>
      <c r="M7341">
        <v>53</v>
      </c>
      <c r="N7341">
        <v>0</v>
      </c>
      <c r="O7341">
        <v>53</v>
      </c>
      <c r="P7341">
        <v>0</v>
      </c>
    </row>
    <row r="7342" spans="1:16" x14ac:dyDescent="0.25">
      <c r="A7342" t="s">
        <v>29911</v>
      </c>
      <c r="B7342" t="s">
        <v>29906</v>
      </c>
      <c r="C7342" t="s">
        <v>47056</v>
      </c>
      <c r="D7342" t="str">
        <f>"4100"</f>
        <v>4100</v>
      </c>
      <c r="E7342" t="s">
        <v>17644</v>
      </c>
      <c r="F7342" t="s">
        <v>3750</v>
      </c>
      <c r="G7342" t="s">
        <v>16235</v>
      </c>
      <c r="H7342" t="s">
        <v>47054</v>
      </c>
      <c r="I7342" t="s">
        <v>47118</v>
      </c>
      <c r="J7342" t="s">
        <v>47119</v>
      </c>
      <c r="K7342" t="s">
        <v>47113</v>
      </c>
      <c r="L7342">
        <v>16.760000000000002</v>
      </c>
      <c r="M7342">
        <v>85</v>
      </c>
      <c r="N7342">
        <v>229</v>
      </c>
      <c r="O7342">
        <v>85</v>
      </c>
      <c r="P7342">
        <v>229</v>
      </c>
    </row>
    <row r="7343" spans="1:16" x14ac:dyDescent="0.25">
      <c r="A7343" t="s">
        <v>47554</v>
      </c>
      <c r="B7343" t="s">
        <v>47555</v>
      </c>
      <c r="C7343" t="s">
        <v>47556</v>
      </c>
      <c r="D7343" t="str">
        <f>"1001"</f>
        <v>1001</v>
      </c>
      <c r="E7343" t="s">
        <v>42</v>
      </c>
      <c r="F7343" t="s">
        <v>47488</v>
      </c>
      <c r="G7343" t="s">
        <v>16222</v>
      </c>
      <c r="H7343" t="s">
        <v>47054</v>
      </c>
      <c r="I7343" t="s">
        <v>47118</v>
      </c>
      <c r="J7343" t="s">
        <v>47119</v>
      </c>
      <c r="K7343" t="s">
        <v>47113</v>
      </c>
      <c r="L7343">
        <v>16.82</v>
      </c>
      <c r="M7343">
        <v>70</v>
      </c>
      <c r="N7343">
        <v>189</v>
      </c>
      <c r="O7343">
        <v>70</v>
      </c>
      <c r="P7343">
        <v>189</v>
      </c>
    </row>
    <row r="7344" spans="1:16" x14ac:dyDescent="0.25">
      <c r="A7344" t="s">
        <v>29912</v>
      </c>
      <c r="B7344" t="s">
        <v>29913</v>
      </c>
      <c r="C7344" t="s">
        <v>29914</v>
      </c>
      <c r="D7344" t="str">
        <f>"1501"</f>
        <v>1501</v>
      </c>
      <c r="E7344" t="s">
        <v>46</v>
      </c>
      <c r="F7344" t="s">
        <v>3750</v>
      </c>
      <c r="G7344" t="s">
        <v>16235</v>
      </c>
      <c r="H7344" t="s">
        <v>47054</v>
      </c>
      <c r="I7344" t="s">
        <v>47118</v>
      </c>
      <c r="J7344" t="s">
        <v>47119</v>
      </c>
      <c r="K7344" t="s">
        <v>47113</v>
      </c>
      <c r="L7344">
        <v>18.79</v>
      </c>
      <c r="M7344">
        <v>53</v>
      </c>
      <c r="N7344">
        <v>0</v>
      </c>
      <c r="O7344">
        <v>53</v>
      </c>
      <c r="P7344">
        <v>0</v>
      </c>
    </row>
    <row r="7345" spans="1:16" x14ac:dyDescent="0.25">
      <c r="A7345" t="s">
        <v>29915</v>
      </c>
      <c r="B7345" t="s">
        <v>29916</v>
      </c>
      <c r="C7345" t="s">
        <v>29917</v>
      </c>
      <c r="D7345" t="str">
        <f>"1501"</f>
        <v>1501</v>
      </c>
      <c r="E7345" t="s">
        <v>46</v>
      </c>
      <c r="F7345" t="s">
        <v>3750</v>
      </c>
      <c r="G7345" t="s">
        <v>16235</v>
      </c>
      <c r="H7345" t="s">
        <v>47054</v>
      </c>
      <c r="I7345" t="s">
        <v>47118</v>
      </c>
      <c r="J7345" t="s">
        <v>47119</v>
      </c>
      <c r="K7345" t="s">
        <v>47113</v>
      </c>
      <c r="L7345">
        <v>20.48</v>
      </c>
      <c r="M7345">
        <v>70</v>
      </c>
      <c r="N7345">
        <v>189</v>
      </c>
      <c r="O7345">
        <v>70</v>
      </c>
      <c r="P7345">
        <v>189</v>
      </c>
    </row>
    <row r="7346" spans="1:16" x14ac:dyDescent="0.25">
      <c r="A7346" t="s">
        <v>29918</v>
      </c>
      <c r="B7346" t="s">
        <v>29916</v>
      </c>
      <c r="C7346" t="s">
        <v>29917</v>
      </c>
      <c r="D7346" t="str">
        <f>"4739"</f>
        <v>4739</v>
      </c>
      <c r="E7346" t="s">
        <v>29919</v>
      </c>
      <c r="F7346" t="s">
        <v>3750</v>
      </c>
      <c r="G7346" t="s">
        <v>16235</v>
      </c>
      <c r="H7346" t="s">
        <v>47054</v>
      </c>
      <c r="I7346" t="s">
        <v>47118</v>
      </c>
      <c r="J7346" t="s">
        <v>47119</v>
      </c>
      <c r="K7346" t="s">
        <v>47113</v>
      </c>
      <c r="L7346">
        <v>20.48</v>
      </c>
      <c r="M7346">
        <v>70</v>
      </c>
      <c r="N7346">
        <v>189</v>
      </c>
      <c r="O7346">
        <v>70</v>
      </c>
      <c r="P7346">
        <v>189</v>
      </c>
    </row>
    <row r="7347" spans="1:16" x14ac:dyDescent="0.25">
      <c r="A7347" t="s">
        <v>29920</v>
      </c>
      <c r="B7347" t="s">
        <v>29921</v>
      </c>
      <c r="C7347" t="s">
        <v>29922</v>
      </c>
      <c r="D7347" t="str">
        <f>"1700"</f>
        <v>1700</v>
      </c>
      <c r="E7347" t="s">
        <v>60</v>
      </c>
      <c r="F7347" t="s">
        <v>24622</v>
      </c>
      <c r="G7347" t="s">
        <v>16235</v>
      </c>
      <c r="H7347" t="s">
        <v>47054</v>
      </c>
      <c r="I7347" t="s">
        <v>47118</v>
      </c>
      <c r="J7347" t="s">
        <v>47119</v>
      </c>
      <c r="K7347" t="s">
        <v>47113</v>
      </c>
      <c r="L7347">
        <v>17.510000000000002</v>
      </c>
      <c r="M7347">
        <v>70</v>
      </c>
      <c r="N7347">
        <v>189</v>
      </c>
      <c r="O7347">
        <v>70</v>
      </c>
      <c r="P7347">
        <v>189</v>
      </c>
    </row>
    <row r="7348" spans="1:16" x14ac:dyDescent="0.25">
      <c r="A7348" t="s">
        <v>47557</v>
      </c>
      <c r="B7348" t="s">
        <v>47558</v>
      </c>
      <c r="C7348" t="s">
        <v>47559</v>
      </c>
      <c r="D7348" t="str">
        <f>"1081"</f>
        <v>1081</v>
      </c>
      <c r="E7348" t="s">
        <v>47549</v>
      </c>
      <c r="F7348" t="s">
        <v>31484</v>
      </c>
      <c r="G7348" t="s">
        <v>16222</v>
      </c>
      <c r="H7348" t="s">
        <v>47054</v>
      </c>
      <c r="I7348" t="s">
        <v>47118</v>
      </c>
      <c r="J7348" t="s">
        <v>47119</v>
      </c>
      <c r="K7348" t="s">
        <v>47113</v>
      </c>
      <c r="L7348">
        <v>15.98</v>
      </c>
      <c r="M7348">
        <v>40</v>
      </c>
      <c r="N7348">
        <v>109</v>
      </c>
      <c r="O7348">
        <v>40</v>
      </c>
      <c r="P7348">
        <v>109</v>
      </c>
    </row>
    <row r="7349" spans="1:16" x14ac:dyDescent="0.25">
      <c r="A7349" t="s">
        <v>47560</v>
      </c>
      <c r="B7349" t="s">
        <v>47558</v>
      </c>
      <c r="C7349" t="s">
        <v>47559</v>
      </c>
      <c r="D7349" t="str">
        <f>"1767"</f>
        <v>1767</v>
      </c>
      <c r="E7349" t="s">
        <v>47551</v>
      </c>
      <c r="F7349" t="s">
        <v>31484</v>
      </c>
      <c r="G7349" t="s">
        <v>16222</v>
      </c>
      <c r="H7349" t="s">
        <v>47054</v>
      </c>
      <c r="I7349" t="s">
        <v>47118</v>
      </c>
      <c r="J7349" t="s">
        <v>47119</v>
      </c>
      <c r="K7349" t="s">
        <v>47113</v>
      </c>
      <c r="L7349">
        <v>16.14</v>
      </c>
      <c r="M7349">
        <v>40.369999999999997</v>
      </c>
      <c r="N7349">
        <v>109</v>
      </c>
      <c r="O7349">
        <v>40.369999999999997</v>
      </c>
      <c r="P7349">
        <v>109</v>
      </c>
    </row>
    <row r="7350" spans="1:16" x14ac:dyDescent="0.25">
      <c r="A7350" t="s">
        <v>47561</v>
      </c>
      <c r="B7350" t="s">
        <v>47558</v>
      </c>
      <c r="C7350" t="s">
        <v>47559</v>
      </c>
      <c r="D7350" t="str">
        <f>"3504"</f>
        <v>3504</v>
      </c>
      <c r="E7350" t="s">
        <v>47553</v>
      </c>
      <c r="F7350" t="s">
        <v>31484</v>
      </c>
      <c r="G7350" t="s">
        <v>16222</v>
      </c>
      <c r="H7350" t="s">
        <v>47054</v>
      </c>
      <c r="I7350" t="s">
        <v>47118</v>
      </c>
      <c r="J7350" t="s">
        <v>47119</v>
      </c>
      <c r="K7350" t="s">
        <v>47113</v>
      </c>
      <c r="L7350">
        <v>15.98</v>
      </c>
      <c r="M7350">
        <v>40</v>
      </c>
      <c r="N7350">
        <v>109</v>
      </c>
      <c r="O7350">
        <v>40</v>
      </c>
      <c r="P7350">
        <v>109</v>
      </c>
    </row>
    <row r="7351" spans="1:16" x14ac:dyDescent="0.25">
      <c r="A7351" t="s">
        <v>29923</v>
      </c>
      <c r="B7351" t="s">
        <v>29924</v>
      </c>
      <c r="C7351" t="s">
        <v>29925</v>
      </c>
      <c r="D7351" t="str">
        <f>"4100"</f>
        <v>4100</v>
      </c>
      <c r="E7351" t="s">
        <v>17644</v>
      </c>
      <c r="F7351" t="s">
        <v>3750</v>
      </c>
      <c r="G7351" t="s">
        <v>16222</v>
      </c>
      <c r="H7351" t="s">
        <v>47054</v>
      </c>
      <c r="I7351" t="s">
        <v>47118</v>
      </c>
      <c r="J7351" t="s">
        <v>47119</v>
      </c>
      <c r="K7351" t="s">
        <v>47113</v>
      </c>
      <c r="L7351">
        <v>16.61</v>
      </c>
      <c r="M7351">
        <v>47</v>
      </c>
      <c r="N7351">
        <v>0</v>
      </c>
      <c r="O7351">
        <v>47</v>
      </c>
      <c r="P7351">
        <v>0</v>
      </c>
    </row>
    <row r="7352" spans="1:16" x14ac:dyDescent="0.25">
      <c r="A7352" t="s">
        <v>29926</v>
      </c>
      <c r="B7352" t="s">
        <v>29927</v>
      </c>
      <c r="C7352" t="s">
        <v>29928</v>
      </c>
      <c r="D7352" t="str">
        <f>"1001"</f>
        <v>1001</v>
      </c>
      <c r="E7352" t="s">
        <v>42</v>
      </c>
      <c r="F7352" t="s">
        <v>3750</v>
      </c>
      <c r="G7352" t="s">
        <v>16222</v>
      </c>
      <c r="H7352" t="s">
        <v>47054</v>
      </c>
      <c r="I7352" t="s">
        <v>47118</v>
      </c>
      <c r="J7352" t="s">
        <v>47119</v>
      </c>
      <c r="K7352" t="s">
        <v>47113</v>
      </c>
      <c r="L7352">
        <v>14.41</v>
      </c>
      <c r="M7352">
        <v>70</v>
      </c>
      <c r="N7352">
        <v>189</v>
      </c>
      <c r="O7352">
        <v>70</v>
      </c>
      <c r="P7352">
        <v>189</v>
      </c>
    </row>
    <row r="7353" spans="1:16" x14ac:dyDescent="0.25">
      <c r="A7353" t="s">
        <v>29929</v>
      </c>
      <c r="B7353" t="s">
        <v>29927</v>
      </c>
      <c r="C7353" t="s">
        <v>29928</v>
      </c>
      <c r="D7353" t="str">
        <f>"2707"</f>
        <v>2707</v>
      </c>
      <c r="E7353" t="s">
        <v>3019</v>
      </c>
      <c r="F7353" t="s">
        <v>3750</v>
      </c>
      <c r="G7353" t="s">
        <v>16222</v>
      </c>
      <c r="H7353" t="s">
        <v>47054</v>
      </c>
      <c r="I7353" t="s">
        <v>47118</v>
      </c>
      <c r="J7353" t="s">
        <v>47119</v>
      </c>
      <c r="K7353" t="s">
        <v>47113</v>
      </c>
      <c r="L7353">
        <v>18.55</v>
      </c>
      <c r="M7353">
        <v>70</v>
      </c>
      <c r="N7353">
        <v>189</v>
      </c>
      <c r="O7353">
        <v>70</v>
      </c>
      <c r="P7353">
        <v>189</v>
      </c>
    </row>
    <row r="7354" spans="1:16" x14ac:dyDescent="0.25">
      <c r="A7354" t="s">
        <v>29930</v>
      </c>
      <c r="B7354" t="s">
        <v>29927</v>
      </c>
      <c r="C7354" t="s">
        <v>29928</v>
      </c>
      <c r="D7354" t="str">
        <f>"3249"</f>
        <v>3249</v>
      </c>
      <c r="E7354" t="s">
        <v>29910</v>
      </c>
      <c r="F7354" t="s">
        <v>3750</v>
      </c>
      <c r="G7354" t="s">
        <v>16222</v>
      </c>
      <c r="H7354" t="s">
        <v>47054</v>
      </c>
      <c r="I7354" t="s">
        <v>47118</v>
      </c>
      <c r="J7354" t="s">
        <v>47119</v>
      </c>
      <c r="K7354" t="s">
        <v>47113</v>
      </c>
      <c r="L7354">
        <v>18.14</v>
      </c>
      <c r="M7354">
        <v>47</v>
      </c>
      <c r="N7354">
        <v>0</v>
      </c>
      <c r="O7354">
        <v>47</v>
      </c>
      <c r="P7354">
        <v>0</v>
      </c>
    </row>
    <row r="7355" spans="1:16" x14ac:dyDescent="0.25">
      <c r="A7355" t="s">
        <v>29931</v>
      </c>
      <c r="B7355" t="s">
        <v>29927</v>
      </c>
      <c r="C7355" t="s">
        <v>29928</v>
      </c>
      <c r="D7355" t="str">
        <f>"4100"</f>
        <v>4100</v>
      </c>
      <c r="E7355" t="s">
        <v>17644</v>
      </c>
      <c r="F7355" t="s">
        <v>20496</v>
      </c>
      <c r="G7355" t="s">
        <v>16222</v>
      </c>
      <c r="H7355" t="s">
        <v>47054</v>
      </c>
      <c r="I7355" t="s">
        <v>47118</v>
      </c>
      <c r="J7355" t="s">
        <v>47119</v>
      </c>
      <c r="K7355" t="s">
        <v>47113</v>
      </c>
      <c r="L7355">
        <v>19.91</v>
      </c>
      <c r="M7355">
        <v>70</v>
      </c>
      <c r="N7355">
        <v>189</v>
      </c>
      <c r="O7355">
        <v>70</v>
      </c>
      <c r="P7355">
        <v>189</v>
      </c>
    </row>
    <row r="7356" spans="1:16" x14ac:dyDescent="0.25">
      <c r="A7356" t="s">
        <v>29932</v>
      </c>
      <c r="B7356" t="s">
        <v>29933</v>
      </c>
      <c r="C7356" t="s">
        <v>29934</v>
      </c>
      <c r="D7356" t="str">
        <f>"4100"</f>
        <v>4100</v>
      </c>
      <c r="E7356" t="s">
        <v>17644</v>
      </c>
      <c r="F7356" t="s">
        <v>3750</v>
      </c>
      <c r="G7356" t="s">
        <v>16235</v>
      </c>
      <c r="H7356" t="s">
        <v>47054</v>
      </c>
      <c r="I7356" t="s">
        <v>47118</v>
      </c>
      <c r="J7356" t="s">
        <v>47119</v>
      </c>
      <c r="K7356" t="s">
        <v>47113</v>
      </c>
      <c r="L7356">
        <v>16.13</v>
      </c>
      <c r="M7356">
        <v>53</v>
      </c>
      <c r="N7356">
        <v>0</v>
      </c>
      <c r="O7356">
        <v>53</v>
      </c>
      <c r="P7356">
        <v>0</v>
      </c>
    </row>
    <row r="7357" spans="1:16" x14ac:dyDescent="0.25">
      <c r="A7357" t="s">
        <v>29935</v>
      </c>
      <c r="B7357" t="s">
        <v>29933</v>
      </c>
      <c r="C7357" t="s">
        <v>29934</v>
      </c>
      <c r="D7357" t="str">
        <f>"8038"</f>
        <v>8038</v>
      </c>
      <c r="E7357" t="s">
        <v>20199</v>
      </c>
      <c r="F7357" t="s">
        <v>3750</v>
      </c>
      <c r="G7357" t="s">
        <v>16235</v>
      </c>
      <c r="H7357" t="s">
        <v>47054</v>
      </c>
      <c r="I7357" t="s">
        <v>47118</v>
      </c>
      <c r="J7357" t="s">
        <v>47119</v>
      </c>
      <c r="K7357" t="s">
        <v>47113</v>
      </c>
      <c r="L7357">
        <v>16.13</v>
      </c>
      <c r="M7357">
        <v>53</v>
      </c>
      <c r="N7357">
        <v>0</v>
      </c>
      <c r="O7357">
        <v>53</v>
      </c>
      <c r="P7357">
        <v>0</v>
      </c>
    </row>
    <row r="7358" spans="1:16" x14ac:dyDescent="0.25">
      <c r="A7358" t="s">
        <v>29936</v>
      </c>
      <c r="B7358" t="s">
        <v>29937</v>
      </c>
      <c r="C7358" t="s">
        <v>29938</v>
      </c>
      <c r="D7358" t="str">
        <f>"1001"</f>
        <v>1001</v>
      </c>
      <c r="E7358" t="s">
        <v>42</v>
      </c>
      <c r="F7358" t="s">
        <v>24627</v>
      </c>
      <c r="G7358" t="s">
        <v>16235</v>
      </c>
      <c r="H7358" t="s">
        <v>47054</v>
      </c>
      <c r="I7358" t="s">
        <v>47118</v>
      </c>
      <c r="J7358" t="s">
        <v>47119</v>
      </c>
      <c r="K7358" t="s">
        <v>47113</v>
      </c>
      <c r="L7358">
        <v>17.850000000000001</v>
      </c>
      <c r="M7358">
        <v>85</v>
      </c>
      <c r="N7358">
        <v>229</v>
      </c>
      <c r="O7358">
        <v>85</v>
      </c>
      <c r="P7358">
        <v>229</v>
      </c>
    </row>
    <row r="7359" spans="1:16" x14ac:dyDescent="0.25">
      <c r="A7359" t="s">
        <v>47562</v>
      </c>
      <c r="B7359" t="s">
        <v>47563</v>
      </c>
      <c r="C7359" t="s">
        <v>47564</v>
      </c>
      <c r="D7359" t="str">
        <f>"4861"</f>
        <v>4861</v>
      </c>
      <c r="E7359" t="s">
        <v>47175</v>
      </c>
      <c r="F7359" t="s">
        <v>47171</v>
      </c>
      <c r="G7359" t="s">
        <v>16235</v>
      </c>
      <c r="H7359" t="s">
        <v>47054</v>
      </c>
      <c r="I7359" t="s">
        <v>47118</v>
      </c>
      <c r="J7359" t="s">
        <v>47119</v>
      </c>
      <c r="K7359" t="s">
        <v>47113</v>
      </c>
      <c r="L7359">
        <v>19.43</v>
      </c>
      <c r="M7359">
        <v>85</v>
      </c>
      <c r="N7359">
        <v>229</v>
      </c>
      <c r="O7359">
        <v>85</v>
      </c>
      <c r="P7359">
        <v>229</v>
      </c>
    </row>
    <row r="7360" spans="1:16" x14ac:dyDescent="0.25">
      <c r="A7360" t="s">
        <v>47565</v>
      </c>
      <c r="B7360" t="s">
        <v>47566</v>
      </c>
      <c r="C7360" t="s">
        <v>47567</v>
      </c>
      <c r="D7360" t="str">
        <f>"1096"</f>
        <v>1096</v>
      </c>
      <c r="E7360" t="s">
        <v>4744</v>
      </c>
      <c r="F7360" t="s">
        <v>47488</v>
      </c>
      <c r="G7360" t="s">
        <v>16235</v>
      </c>
      <c r="H7360" t="s">
        <v>47054</v>
      </c>
      <c r="I7360" t="s">
        <v>47118</v>
      </c>
      <c r="J7360" t="s">
        <v>47119</v>
      </c>
      <c r="K7360" t="s">
        <v>47113</v>
      </c>
      <c r="L7360">
        <v>17.82</v>
      </c>
      <c r="M7360">
        <v>85</v>
      </c>
      <c r="N7360">
        <v>229</v>
      </c>
      <c r="O7360">
        <v>85</v>
      </c>
      <c r="P7360">
        <v>229</v>
      </c>
    </row>
    <row r="7361" spans="1:16" x14ac:dyDescent="0.25">
      <c r="A7361" t="s">
        <v>47568</v>
      </c>
      <c r="B7361" t="s">
        <v>47566</v>
      </c>
      <c r="C7361" t="s">
        <v>47567</v>
      </c>
      <c r="D7361" t="str">
        <f>"1712"</f>
        <v>1712</v>
      </c>
      <c r="E7361" t="s">
        <v>17712</v>
      </c>
      <c r="F7361" t="s">
        <v>47488</v>
      </c>
      <c r="G7361" t="s">
        <v>16235</v>
      </c>
      <c r="H7361" t="s">
        <v>47054</v>
      </c>
      <c r="I7361" t="s">
        <v>47118</v>
      </c>
      <c r="J7361" t="s">
        <v>47119</v>
      </c>
      <c r="K7361" t="s">
        <v>47113</v>
      </c>
      <c r="L7361">
        <v>17.82</v>
      </c>
      <c r="M7361">
        <v>85</v>
      </c>
      <c r="N7361">
        <v>229</v>
      </c>
      <c r="O7361">
        <v>85</v>
      </c>
      <c r="P7361">
        <v>229</v>
      </c>
    </row>
    <row r="7362" spans="1:16" x14ac:dyDescent="0.25">
      <c r="A7362" t="s">
        <v>29939</v>
      </c>
      <c r="B7362" t="s">
        <v>16274</v>
      </c>
      <c r="C7362" t="s">
        <v>16842</v>
      </c>
      <c r="D7362" t="str">
        <f>"1254"</f>
        <v>1254</v>
      </c>
      <c r="E7362" t="s">
        <v>16843</v>
      </c>
      <c r="F7362" t="s">
        <v>15183</v>
      </c>
      <c r="G7362" t="s">
        <v>16230</v>
      </c>
      <c r="H7362" t="s">
        <v>47054</v>
      </c>
      <c r="I7362" t="s">
        <v>47120</v>
      </c>
      <c r="J7362" t="s">
        <v>47121</v>
      </c>
      <c r="K7362" t="s">
        <v>47113</v>
      </c>
      <c r="L7362">
        <v>28.02</v>
      </c>
      <c r="M7362">
        <v>63</v>
      </c>
      <c r="N7362">
        <v>0</v>
      </c>
      <c r="O7362">
        <v>63</v>
      </c>
      <c r="P7362">
        <v>0</v>
      </c>
    </row>
    <row r="7363" spans="1:16" x14ac:dyDescent="0.25">
      <c r="A7363" t="s">
        <v>29940</v>
      </c>
      <c r="B7363" t="s">
        <v>16274</v>
      </c>
      <c r="C7363" t="s">
        <v>16842</v>
      </c>
      <c r="D7363" t="str">
        <f>"2500"</f>
        <v>2500</v>
      </c>
      <c r="E7363" t="s">
        <v>15263</v>
      </c>
      <c r="F7363" t="s">
        <v>15183</v>
      </c>
      <c r="G7363" t="s">
        <v>16230</v>
      </c>
      <c r="H7363" t="s">
        <v>47054</v>
      </c>
      <c r="I7363" t="s">
        <v>47120</v>
      </c>
      <c r="J7363" t="s">
        <v>47121</v>
      </c>
      <c r="K7363" t="s">
        <v>47113</v>
      </c>
      <c r="L7363">
        <v>28.02</v>
      </c>
      <c r="M7363">
        <v>63</v>
      </c>
      <c r="N7363">
        <v>0</v>
      </c>
      <c r="O7363">
        <v>63</v>
      </c>
      <c r="P7363">
        <v>0</v>
      </c>
    </row>
    <row r="7364" spans="1:16" x14ac:dyDescent="0.25">
      <c r="A7364" t="s">
        <v>29941</v>
      </c>
      <c r="B7364" t="s">
        <v>16274</v>
      </c>
      <c r="C7364" t="s">
        <v>16842</v>
      </c>
      <c r="D7364" t="str">
        <f>"4100"</f>
        <v>4100</v>
      </c>
      <c r="E7364" t="s">
        <v>15264</v>
      </c>
      <c r="F7364" t="s">
        <v>15183</v>
      </c>
      <c r="G7364" t="s">
        <v>16230</v>
      </c>
      <c r="H7364" t="s">
        <v>47054</v>
      </c>
      <c r="I7364" t="s">
        <v>47120</v>
      </c>
      <c r="J7364" t="s">
        <v>47121</v>
      </c>
      <c r="K7364" t="s">
        <v>47113</v>
      </c>
      <c r="L7364">
        <v>28.02</v>
      </c>
      <c r="M7364">
        <v>63</v>
      </c>
      <c r="N7364">
        <v>0</v>
      </c>
      <c r="O7364">
        <v>63</v>
      </c>
      <c r="P7364">
        <v>0</v>
      </c>
    </row>
    <row r="7365" spans="1:16" x14ac:dyDescent="0.25">
      <c r="A7365" t="s">
        <v>29942</v>
      </c>
      <c r="B7365" t="s">
        <v>16844</v>
      </c>
      <c r="C7365" t="s">
        <v>16845</v>
      </c>
      <c r="D7365" t="s">
        <v>16846</v>
      </c>
      <c r="E7365" t="s">
        <v>16847</v>
      </c>
      <c r="F7365" t="s">
        <v>16601</v>
      </c>
      <c r="G7365" t="s">
        <v>16230</v>
      </c>
      <c r="H7365" t="s">
        <v>47054</v>
      </c>
      <c r="I7365" t="s">
        <v>47116</v>
      </c>
      <c r="J7365" t="s">
        <v>47117</v>
      </c>
      <c r="K7365" t="s">
        <v>47113</v>
      </c>
      <c r="L7365">
        <v>64.680000000000007</v>
      </c>
      <c r="M7365">
        <v>111</v>
      </c>
      <c r="N7365">
        <v>0</v>
      </c>
      <c r="O7365">
        <v>111</v>
      </c>
      <c r="P7365">
        <v>0</v>
      </c>
    </row>
    <row r="7366" spans="1:16" x14ac:dyDescent="0.25">
      <c r="A7366" t="s">
        <v>29943</v>
      </c>
      <c r="B7366" t="s">
        <v>19938</v>
      </c>
      <c r="C7366" t="s">
        <v>19939</v>
      </c>
      <c r="D7366" t="str">
        <f>"1800"</f>
        <v>1800</v>
      </c>
      <c r="E7366" t="s">
        <v>1999</v>
      </c>
      <c r="F7366" t="s">
        <v>19847</v>
      </c>
      <c r="G7366" t="s">
        <v>16221</v>
      </c>
      <c r="H7366" t="s">
        <v>47054</v>
      </c>
      <c r="I7366" t="s">
        <v>47111</v>
      </c>
      <c r="J7366" t="s">
        <v>47112</v>
      </c>
      <c r="K7366" t="s">
        <v>47113</v>
      </c>
      <c r="L7366">
        <v>14.35</v>
      </c>
      <c r="M7366">
        <v>29</v>
      </c>
      <c r="N7366">
        <v>0</v>
      </c>
      <c r="O7366">
        <v>29</v>
      </c>
      <c r="P7366">
        <v>0</v>
      </c>
    </row>
    <row r="7367" spans="1:16" x14ac:dyDescent="0.25">
      <c r="A7367" t="s">
        <v>29944</v>
      </c>
      <c r="B7367" t="s">
        <v>19940</v>
      </c>
      <c r="C7367" t="s">
        <v>19941</v>
      </c>
      <c r="D7367" t="str">
        <f>"1001"</f>
        <v>1001</v>
      </c>
      <c r="E7367" t="s">
        <v>42</v>
      </c>
      <c r="F7367" t="s">
        <v>16933</v>
      </c>
      <c r="G7367" t="s">
        <v>16232</v>
      </c>
      <c r="H7367" t="s">
        <v>47054</v>
      </c>
      <c r="I7367" t="s">
        <v>47154</v>
      </c>
      <c r="J7367" t="s">
        <v>47155</v>
      </c>
      <c r="K7367" t="s">
        <v>47113</v>
      </c>
      <c r="L7367">
        <v>10.39</v>
      </c>
      <c r="M7367">
        <v>26</v>
      </c>
      <c r="N7367">
        <v>0</v>
      </c>
      <c r="O7367">
        <v>26</v>
      </c>
      <c r="P7367">
        <v>0</v>
      </c>
    </row>
    <row r="7368" spans="1:16" x14ac:dyDescent="0.25">
      <c r="A7368" t="s">
        <v>29945</v>
      </c>
      <c r="B7368" t="s">
        <v>19940</v>
      </c>
      <c r="C7368" t="s">
        <v>19941</v>
      </c>
      <c r="D7368" t="str">
        <f>"1700"</f>
        <v>1700</v>
      </c>
      <c r="E7368" t="s">
        <v>1999</v>
      </c>
      <c r="F7368" t="s">
        <v>16933</v>
      </c>
      <c r="G7368" t="s">
        <v>16232</v>
      </c>
      <c r="H7368" t="s">
        <v>47054</v>
      </c>
      <c r="I7368" t="s">
        <v>47154</v>
      </c>
      <c r="J7368" t="s">
        <v>47155</v>
      </c>
      <c r="K7368" t="s">
        <v>47113</v>
      </c>
      <c r="L7368">
        <v>10.39</v>
      </c>
      <c r="M7368">
        <v>26</v>
      </c>
      <c r="N7368">
        <v>0</v>
      </c>
      <c r="O7368">
        <v>26</v>
      </c>
      <c r="P7368">
        <v>0</v>
      </c>
    </row>
    <row r="7369" spans="1:16" x14ac:dyDescent="0.25">
      <c r="A7369" t="s">
        <v>29946</v>
      </c>
      <c r="B7369" t="s">
        <v>19940</v>
      </c>
      <c r="C7369" t="s">
        <v>19941</v>
      </c>
      <c r="D7369" t="str">
        <f>"7000"</f>
        <v>7000</v>
      </c>
      <c r="E7369" t="s">
        <v>19942</v>
      </c>
      <c r="F7369" t="s">
        <v>16933</v>
      </c>
      <c r="G7369" t="s">
        <v>16232</v>
      </c>
      <c r="H7369" t="s">
        <v>47054</v>
      </c>
      <c r="I7369" t="s">
        <v>47154</v>
      </c>
      <c r="J7369" t="s">
        <v>47155</v>
      </c>
      <c r="K7369" t="s">
        <v>47113</v>
      </c>
      <c r="L7369">
        <v>10.39</v>
      </c>
      <c r="M7369">
        <v>26</v>
      </c>
      <c r="N7369">
        <v>0</v>
      </c>
      <c r="O7369">
        <v>26</v>
      </c>
      <c r="P7369">
        <v>0</v>
      </c>
    </row>
    <row r="7370" spans="1:16" x14ac:dyDescent="0.25">
      <c r="A7370" t="s">
        <v>29947</v>
      </c>
      <c r="B7370" t="s">
        <v>29948</v>
      </c>
      <c r="C7370" t="s">
        <v>16848</v>
      </c>
      <c r="D7370" t="s">
        <v>29626</v>
      </c>
      <c r="E7370" t="s">
        <v>29627</v>
      </c>
      <c r="F7370" t="s">
        <v>24617</v>
      </c>
      <c r="G7370" t="s">
        <v>16231</v>
      </c>
      <c r="H7370" t="s">
        <v>47054</v>
      </c>
      <c r="I7370" t="s">
        <v>47544</v>
      </c>
      <c r="J7370" t="s">
        <v>47545</v>
      </c>
      <c r="K7370" t="s">
        <v>47113</v>
      </c>
      <c r="L7370">
        <v>32.01</v>
      </c>
      <c r="M7370">
        <v>74</v>
      </c>
      <c r="N7370">
        <v>199</v>
      </c>
      <c r="O7370">
        <v>74</v>
      </c>
      <c r="P7370">
        <v>199</v>
      </c>
    </row>
    <row r="7371" spans="1:16" x14ac:dyDescent="0.25">
      <c r="A7371" t="s">
        <v>29949</v>
      </c>
      <c r="B7371" t="s">
        <v>15300</v>
      </c>
      <c r="C7371" t="s">
        <v>16848</v>
      </c>
      <c r="D7371" t="s">
        <v>5444</v>
      </c>
      <c r="E7371" t="s">
        <v>5445</v>
      </c>
      <c r="F7371" t="s">
        <v>16822</v>
      </c>
      <c r="G7371" t="s">
        <v>16231</v>
      </c>
      <c r="H7371" t="s">
        <v>47054</v>
      </c>
      <c r="I7371" t="s">
        <v>47120</v>
      </c>
      <c r="J7371" t="s">
        <v>47121</v>
      </c>
      <c r="K7371" t="s">
        <v>47113</v>
      </c>
      <c r="L7371">
        <v>48.99</v>
      </c>
      <c r="M7371">
        <v>100</v>
      </c>
      <c r="N7371">
        <v>0</v>
      </c>
      <c r="O7371">
        <v>100</v>
      </c>
      <c r="P7371">
        <v>0</v>
      </c>
    </row>
    <row r="7372" spans="1:16" x14ac:dyDescent="0.25">
      <c r="A7372" t="s">
        <v>29950</v>
      </c>
      <c r="B7372" t="s">
        <v>15300</v>
      </c>
      <c r="C7372" t="s">
        <v>16848</v>
      </c>
      <c r="D7372" t="s">
        <v>15288</v>
      </c>
      <c r="E7372" t="s">
        <v>15289</v>
      </c>
      <c r="F7372" t="s">
        <v>15183</v>
      </c>
      <c r="G7372" t="s">
        <v>16231</v>
      </c>
      <c r="H7372" t="s">
        <v>47054</v>
      </c>
      <c r="I7372" t="s">
        <v>47120</v>
      </c>
      <c r="J7372" t="s">
        <v>47121</v>
      </c>
      <c r="K7372" t="s">
        <v>47113</v>
      </c>
      <c r="L7372">
        <v>43.04</v>
      </c>
      <c r="M7372">
        <v>92</v>
      </c>
      <c r="N7372">
        <v>0</v>
      </c>
      <c r="O7372">
        <v>92</v>
      </c>
      <c r="P7372">
        <v>0</v>
      </c>
    </row>
    <row r="7373" spans="1:16" x14ac:dyDescent="0.25">
      <c r="A7373" t="s">
        <v>16849</v>
      </c>
      <c r="B7373" t="s">
        <v>15300</v>
      </c>
      <c r="C7373" t="s">
        <v>16848</v>
      </c>
      <c r="D7373" t="s">
        <v>15290</v>
      </c>
      <c r="E7373" t="s">
        <v>15291</v>
      </c>
      <c r="F7373" t="s">
        <v>15183</v>
      </c>
      <c r="G7373" t="s">
        <v>16231</v>
      </c>
      <c r="H7373" t="s">
        <v>47054</v>
      </c>
      <c r="I7373" t="s">
        <v>47120</v>
      </c>
      <c r="J7373" t="s">
        <v>47121</v>
      </c>
      <c r="K7373" t="s">
        <v>47113</v>
      </c>
      <c r="L7373">
        <v>43.04</v>
      </c>
      <c r="M7373">
        <v>90</v>
      </c>
      <c r="N7373">
        <v>0</v>
      </c>
      <c r="O7373">
        <v>90</v>
      </c>
      <c r="P7373">
        <v>0</v>
      </c>
    </row>
    <row r="7374" spans="1:16" x14ac:dyDescent="0.25">
      <c r="A7374" t="s">
        <v>29951</v>
      </c>
      <c r="B7374" t="s">
        <v>15300</v>
      </c>
      <c r="C7374" t="s">
        <v>16848</v>
      </c>
      <c r="D7374" t="s">
        <v>15292</v>
      </c>
      <c r="E7374" t="s">
        <v>15293</v>
      </c>
      <c r="F7374" t="s">
        <v>15183</v>
      </c>
      <c r="G7374" t="s">
        <v>16231</v>
      </c>
      <c r="H7374" t="s">
        <v>47054</v>
      </c>
      <c r="I7374" t="s">
        <v>47120</v>
      </c>
      <c r="J7374" t="s">
        <v>47121</v>
      </c>
      <c r="K7374" t="s">
        <v>47113</v>
      </c>
      <c r="L7374">
        <v>45.99</v>
      </c>
      <c r="M7374">
        <v>90</v>
      </c>
      <c r="N7374">
        <v>0</v>
      </c>
      <c r="O7374">
        <v>90</v>
      </c>
      <c r="P7374">
        <v>0</v>
      </c>
    </row>
    <row r="7375" spans="1:16" x14ac:dyDescent="0.25">
      <c r="A7375" t="s">
        <v>29952</v>
      </c>
      <c r="B7375" t="s">
        <v>15300</v>
      </c>
      <c r="C7375" t="s">
        <v>16848</v>
      </c>
      <c r="D7375" t="s">
        <v>16850</v>
      </c>
      <c r="E7375" t="s">
        <v>16851</v>
      </c>
      <c r="F7375" t="s">
        <v>16601</v>
      </c>
      <c r="G7375" t="s">
        <v>16231</v>
      </c>
      <c r="H7375" t="s">
        <v>47054</v>
      </c>
      <c r="I7375" t="s">
        <v>47120</v>
      </c>
      <c r="J7375" t="s">
        <v>47121</v>
      </c>
      <c r="K7375" t="s">
        <v>47113</v>
      </c>
      <c r="L7375">
        <v>51.01</v>
      </c>
      <c r="M7375">
        <v>92</v>
      </c>
      <c r="N7375">
        <v>0</v>
      </c>
      <c r="O7375">
        <v>92</v>
      </c>
      <c r="P7375">
        <v>0</v>
      </c>
    </row>
    <row r="7376" spans="1:16" x14ac:dyDescent="0.25">
      <c r="A7376" t="s">
        <v>29953</v>
      </c>
      <c r="B7376" t="s">
        <v>16852</v>
      </c>
      <c r="C7376" t="s">
        <v>16853</v>
      </c>
      <c r="D7376" t="str">
        <f>"1200"</f>
        <v>1200</v>
      </c>
      <c r="E7376" t="s">
        <v>16854</v>
      </c>
      <c r="F7376" t="s">
        <v>16601</v>
      </c>
      <c r="G7376" t="s">
        <v>16234</v>
      </c>
      <c r="I7376" t="s">
        <v>47136</v>
      </c>
      <c r="J7376" t="s">
        <v>47137</v>
      </c>
      <c r="K7376" t="s">
        <v>47113</v>
      </c>
      <c r="L7376">
        <v>28.7</v>
      </c>
      <c r="M7376">
        <v>66</v>
      </c>
      <c r="N7376">
        <v>0</v>
      </c>
      <c r="O7376">
        <v>66</v>
      </c>
      <c r="P7376">
        <v>0</v>
      </c>
    </row>
    <row r="7377" spans="1:16" x14ac:dyDescent="0.25">
      <c r="A7377" t="s">
        <v>29954</v>
      </c>
      <c r="B7377" t="s">
        <v>16852</v>
      </c>
      <c r="C7377" t="s">
        <v>16853</v>
      </c>
      <c r="D7377" t="str">
        <f>"4100"</f>
        <v>4100</v>
      </c>
      <c r="E7377" t="s">
        <v>16855</v>
      </c>
      <c r="F7377" t="s">
        <v>16601</v>
      </c>
      <c r="G7377" t="s">
        <v>16234</v>
      </c>
      <c r="I7377" t="s">
        <v>47136</v>
      </c>
      <c r="J7377" t="s">
        <v>47137</v>
      </c>
      <c r="K7377" t="s">
        <v>47113</v>
      </c>
      <c r="L7377">
        <v>28.7</v>
      </c>
      <c r="M7377">
        <v>66</v>
      </c>
      <c r="N7377">
        <v>0</v>
      </c>
      <c r="O7377">
        <v>66</v>
      </c>
      <c r="P7377">
        <v>0</v>
      </c>
    </row>
    <row r="7378" spans="1:16" x14ac:dyDescent="0.25">
      <c r="A7378" t="s">
        <v>29955</v>
      </c>
      <c r="B7378" t="s">
        <v>16856</v>
      </c>
      <c r="C7378" t="s">
        <v>16848</v>
      </c>
      <c r="D7378" t="s">
        <v>16773</v>
      </c>
      <c r="E7378" t="s">
        <v>16774</v>
      </c>
      <c r="F7378" t="s">
        <v>16771</v>
      </c>
      <c r="G7378" t="s">
        <v>16231</v>
      </c>
      <c r="H7378" t="s">
        <v>47054</v>
      </c>
      <c r="I7378" t="s">
        <v>47111</v>
      </c>
      <c r="J7378" t="s">
        <v>47112</v>
      </c>
      <c r="K7378" t="s">
        <v>47113</v>
      </c>
      <c r="L7378">
        <v>50.4</v>
      </c>
      <c r="M7378">
        <v>92</v>
      </c>
      <c r="N7378">
        <v>0</v>
      </c>
      <c r="O7378">
        <v>92</v>
      </c>
      <c r="P7378">
        <v>0</v>
      </c>
    </row>
    <row r="7379" spans="1:16" x14ac:dyDescent="0.25">
      <c r="A7379" t="s">
        <v>29956</v>
      </c>
      <c r="B7379" t="s">
        <v>16856</v>
      </c>
      <c r="C7379" t="s">
        <v>16848</v>
      </c>
      <c r="D7379" t="s">
        <v>16857</v>
      </c>
      <c r="E7379" t="s">
        <v>16858</v>
      </c>
      <c r="F7379" t="s">
        <v>16771</v>
      </c>
      <c r="G7379" t="s">
        <v>16231</v>
      </c>
      <c r="H7379" t="s">
        <v>47054</v>
      </c>
      <c r="I7379" t="s">
        <v>47111</v>
      </c>
      <c r="J7379" t="s">
        <v>47112</v>
      </c>
      <c r="K7379" t="s">
        <v>47113</v>
      </c>
      <c r="L7379">
        <v>52.09</v>
      </c>
      <c r="M7379">
        <v>100</v>
      </c>
      <c r="N7379">
        <v>0</v>
      </c>
      <c r="O7379">
        <v>100</v>
      </c>
      <c r="P7379">
        <v>0</v>
      </c>
    </row>
    <row r="7380" spans="1:16" x14ac:dyDescent="0.25">
      <c r="A7380" t="s">
        <v>29957</v>
      </c>
      <c r="B7380" t="s">
        <v>16859</v>
      </c>
      <c r="C7380" t="s">
        <v>16848</v>
      </c>
      <c r="D7380" t="s">
        <v>16860</v>
      </c>
      <c r="E7380" t="s">
        <v>16861</v>
      </c>
      <c r="F7380" t="s">
        <v>16771</v>
      </c>
      <c r="G7380" t="s">
        <v>16231</v>
      </c>
      <c r="H7380" t="s">
        <v>47054</v>
      </c>
      <c r="I7380" t="s">
        <v>47111</v>
      </c>
      <c r="J7380" t="s">
        <v>47112</v>
      </c>
      <c r="K7380" t="s">
        <v>47113</v>
      </c>
      <c r="L7380">
        <v>66.319999999999993</v>
      </c>
      <c r="M7380">
        <v>103</v>
      </c>
      <c r="N7380">
        <v>0</v>
      </c>
      <c r="O7380">
        <v>103</v>
      </c>
      <c r="P7380">
        <v>0</v>
      </c>
    </row>
    <row r="7381" spans="1:16" x14ac:dyDescent="0.25">
      <c r="A7381" t="s">
        <v>29958</v>
      </c>
      <c r="B7381" t="s">
        <v>16859</v>
      </c>
      <c r="C7381" t="s">
        <v>16848</v>
      </c>
      <c r="D7381" t="s">
        <v>16862</v>
      </c>
      <c r="E7381" t="s">
        <v>16863</v>
      </c>
      <c r="F7381" t="s">
        <v>16601</v>
      </c>
      <c r="G7381" t="s">
        <v>16231</v>
      </c>
      <c r="H7381" t="s">
        <v>47054</v>
      </c>
      <c r="I7381" t="s">
        <v>47111</v>
      </c>
      <c r="J7381" t="s">
        <v>47112</v>
      </c>
      <c r="K7381" t="s">
        <v>47113</v>
      </c>
      <c r="L7381">
        <v>58.86</v>
      </c>
      <c r="M7381">
        <v>111</v>
      </c>
      <c r="N7381">
        <v>0</v>
      </c>
      <c r="O7381">
        <v>111</v>
      </c>
      <c r="P7381">
        <v>0</v>
      </c>
    </row>
    <row r="7382" spans="1:16" x14ac:dyDescent="0.25">
      <c r="A7382" t="s">
        <v>29959</v>
      </c>
      <c r="B7382" t="s">
        <v>16864</v>
      </c>
      <c r="C7382" t="s">
        <v>16848</v>
      </c>
      <c r="D7382" t="s">
        <v>16741</v>
      </c>
      <c r="E7382" t="s">
        <v>16742</v>
      </c>
      <c r="F7382" t="s">
        <v>16601</v>
      </c>
      <c r="G7382" t="s">
        <v>16231</v>
      </c>
      <c r="H7382" t="s">
        <v>47054</v>
      </c>
      <c r="I7382" t="s">
        <v>47111</v>
      </c>
      <c r="J7382" t="s">
        <v>47112</v>
      </c>
      <c r="K7382" t="s">
        <v>47113</v>
      </c>
      <c r="L7382">
        <v>64.61</v>
      </c>
      <c r="M7382">
        <v>100</v>
      </c>
      <c r="N7382">
        <v>0</v>
      </c>
      <c r="O7382">
        <v>100</v>
      </c>
      <c r="P7382">
        <v>0</v>
      </c>
    </row>
    <row r="7383" spans="1:16" x14ac:dyDescent="0.25">
      <c r="A7383" t="s">
        <v>29960</v>
      </c>
      <c r="B7383" t="s">
        <v>16864</v>
      </c>
      <c r="C7383" t="s">
        <v>16848</v>
      </c>
      <c r="D7383" t="s">
        <v>16865</v>
      </c>
      <c r="E7383" t="s">
        <v>16866</v>
      </c>
      <c r="F7383" t="s">
        <v>16730</v>
      </c>
      <c r="G7383" t="s">
        <v>16231</v>
      </c>
      <c r="H7383" t="s">
        <v>47054</v>
      </c>
      <c r="I7383" t="s">
        <v>47111</v>
      </c>
      <c r="J7383" t="s">
        <v>47112</v>
      </c>
      <c r="K7383" t="s">
        <v>47113</v>
      </c>
      <c r="L7383">
        <v>61.23</v>
      </c>
      <c r="M7383">
        <v>74</v>
      </c>
      <c r="N7383">
        <v>0</v>
      </c>
      <c r="O7383">
        <v>74</v>
      </c>
      <c r="P7383">
        <v>0</v>
      </c>
    </row>
    <row r="7384" spans="1:16" x14ac:dyDescent="0.25">
      <c r="A7384" t="s">
        <v>29961</v>
      </c>
      <c r="B7384" t="s">
        <v>16867</v>
      </c>
      <c r="C7384" t="s">
        <v>16848</v>
      </c>
      <c r="D7384" t="s">
        <v>16750</v>
      </c>
      <c r="E7384" t="s">
        <v>16751</v>
      </c>
      <c r="F7384" t="s">
        <v>16623</v>
      </c>
      <c r="G7384" t="s">
        <v>16231</v>
      </c>
      <c r="H7384" t="s">
        <v>47054</v>
      </c>
      <c r="I7384" t="s">
        <v>47116</v>
      </c>
      <c r="J7384" t="s">
        <v>47117</v>
      </c>
      <c r="K7384" t="s">
        <v>47113</v>
      </c>
      <c r="L7384">
        <v>55.19</v>
      </c>
      <c r="M7384">
        <v>111</v>
      </c>
      <c r="N7384">
        <v>0</v>
      </c>
      <c r="O7384">
        <v>111</v>
      </c>
      <c r="P7384">
        <v>0</v>
      </c>
    </row>
    <row r="7385" spans="1:16" x14ac:dyDescent="0.25">
      <c r="A7385" t="s">
        <v>29962</v>
      </c>
      <c r="B7385" t="s">
        <v>19943</v>
      </c>
      <c r="C7385" t="s">
        <v>16848</v>
      </c>
      <c r="D7385" t="s">
        <v>19690</v>
      </c>
      <c r="E7385" t="s">
        <v>19691</v>
      </c>
      <c r="F7385" t="s">
        <v>19847</v>
      </c>
      <c r="G7385" t="s">
        <v>16231</v>
      </c>
      <c r="H7385" t="s">
        <v>47054</v>
      </c>
      <c r="I7385" t="s">
        <v>47116</v>
      </c>
      <c r="J7385" t="s">
        <v>47117</v>
      </c>
      <c r="K7385" t="s">
        <v>47113</v>
      </c>
      <c r="L7385">
        <v>37.01</v>
      </c>
      <c r="M7385">
        <v>92</v>
      </c>
      <c r="N7385">
        <v>0</v>
      </c>
      <c r="O7385">
        <v>92</v>
      </c>
      <c r="P7385">
        <v>0</v>
      </c>
    </row>
    <row r="7386" spans="1:16" x14ac:dyDescent="0.25">
      <c r="A7386" t="s">
        <v>29963</v>
      </c>
      <c r="B7386" t="s">
        <v>29964</v>
      </c>
      <c r="C7386" t="s">
        <v>16848</v>
      </c>
      <c r="D7386" t="s">
        <v>721</v>
      </c>
      <c r="E7386" t="s">
        <v>722</v>
      </c>
      <c r="F7386" t="s">
        <v>21629</v>
      </c>
      <c r="G7386" t="s">
        <v>16231</v>
      </c>
      <c r="I7386" t="s">
        <v>47544</v>
      </c>
      <c r="J7386" t="s">
        <v>47545</v>
      </c>
      <c r="K7386" t="s">
        <v>47113</v>
      </c>
      <c r="L7386">
        <v>29.69</v>
      </c>
      <c r="M7386">
        <v>74</v>
      </c>
      <c r="N7386">
        <v>0</v>
      </c>
      <c r="O7386">
        <v>74</v>
      </c>
      <c r="P7386">
        <v>0</v>
      </c>
    </row>
    <row r="7387" spans="1:16" x14ac:dyDescent="0.25">
      <c r="A7387" t="s">
        <v>29965</v>
      </c>
      <c r="B7387" t="s">
        <v>19944</v>
      </c>
      <c r="C7387" t="s">
        <v>19945</v>
      </c>
      <c r="D7387" t="str">
        <f>"1106"</f>
        <v>1106</v>
      </c>
      <c r="E7387" t="s">
        <v>42</v>
      </c>
      <c r="F7387" t="s">
        <v>19847</v>
      </c>
      <c r="G7387" t="s">
        <v>16221</v>
      </c>
      <c r="H7387" t="s">
        <v>47054</v>
      </c>
      <c r="I7387" t="s">
        <v>47111</v>
      </c>
      <c r="J7387" t="s">
        <v>47112</v>
      </c>
      <c r="K7387" t="s">
        <v>47113</v>
      </c>
      <c r="L7387">
        <v>10.83</v>
      </c>
      <c r="M7387">
        <v>29</v>
      </c>
      <c r="N7387">
        <v>0</v>
      </c>
      <c r="O7387">
        <v>29</v>
      </c>
      <c r="P7387">
        <v>0</v>
      </c>
    </row>
    <row r="7388" spans="1:16" x14ac:dyDescent="0.25">
      <c r="A7388" t="s">
        <v>29966</v>
      </c>
      <c r="B7388" t="s">
        <v>19944</v>
      </c>
      <c r="C7388" t="s">
        <v>19945</v>
      </c>
      <c r="D7388" t="str">
        <f>"6000"</f>
        <v>6000</v>
      </c>
      <c r="E7388" t="s">
        <v>8968</v>
      </c>
      <c r="F7388" t="s">
        <v>19847</v>
      </c>
      <c r="G7388" t="s">
        <v>16221</v>
      </c>
      <c r="H7388" t="s">
        <v>47054</v>
      </c>
      <c r="I7388" t="s">
        <v>47111</v>
      </c>
      <c r="J7388" t="s">
        <v>47112</v>
      </c>
      <c r="K7388" t="s">
        <v>47113</v>
      </c>
      <c r="L7388">
        <v>14.11</v>
      </c>
      <c r="M7388">
        <v>29</v>
      </c>
      <c r="N7388">
        <v>0</v>
      </c>
      <c r="O7388">
        <v>29</v>
      </c>
      <c r="P7388">
        <v>0</v>
      </c>
    </row>
    <row r="7389" spans="1:16" x14ac:dyDescent="0.25">
      <c r="A7389" t="s">
        <v>29967</v>
      </c>
      <c r="B7389" t="s">
        <v>16868</v>
      </c>
      <c r="C7389" t="s">
        <v>16869</v>
      </c>
      <c r="D7389" t="str">
        <f>"1106"</f>
        <v>1106</v>
      </c>
      <c r="E7389" t="s">
        <v>42</v>
      </c>
      <c r="F7389" t="s">
        <v>16810</v>
      </c>
      <c r="G7389" t="s">
        <v>16221</v>
      </c>
      <c r="H7389" t="s">
        <v>47054</v>
      </c>
      <c r="I7389" t="s">
        <v>47111</v>
      </c>
      <c r="J7389" t="s">
        <v>47112</v>
      </c>
      <c r="K7389" t="s">
        <v>47113</v>
      </c>
      <c r="L7389">
        <v>14.42</v>
      </c>
      <c r="M7389">
        <v>29</v>
      </c>
      <c r="N7389">
        <v>0</v>
      </c>
      <c r="O7389">
        <v>29</v>
      </c>
      <c r="P7389">
        <v>0</v>
      </c>
    </row>
    <row r="7390" spans="1:16" x14ac:dyDescent="0.25">
      <c r="A7390" t="s">
        <v>29968</v>
      </c>
      <c r="B7390" t="s">
        <v>16868</v>
      </c>
      <c r="C7390" t="s">
        <v>16869</v>
      </c>
      <c r="D7390" t="str">
        <f>"1800"</f>
        <v>1800</v>
      </c>
      <c r="E7390" t="s">
        <v>1999</v>
      </c>
      <c r="F7390" t="s">
        <v>16810</v>
      </c>
      <c r="G7390" t="s">
        <v>16221</v>
      </c>
      <c r="H7390" t="s">
        <v>47054</v>
      </c>
      <c r="I7390" t="s">
        <v>47111</v>
      </c>
      <c r="J7390" t="s">
        <v>47112</v>
      </c>
      <c r="K7390" t="s">
        <v>47113</v>
      </c>
      <c r="L7390">
        <v>14.55</v>
      </c>
      <c r="M7390">
        <v>29</v>
      </c>
      <c r="N7390">
        <v>0</v>
      </c>
      <c r="O7390">
        <v>29</v>
      </c>
      <c r="P7390">
        <v>0</v>
      </c>
    </row>
    <row r="7391" spans="1:16" x14ac:dyDescent="0.25">
      <c r="A7391" t="s">
        <v>29969</v>
      </c>
      <c r="B7391" t="s">
        <v>19946</v>
      </c>
      <c r="C7391" t="s">
        <v>19947</v>
      </c>
      <c r="D7391" t="str">
        <f>"1800"</f>
        <v>1800</v>
      </c>
      <c r="E7391" t="s">
        <v>1999</v>
      </c>
      <c r="F7391" t="s">
        <v>19847</v>
      </c>
      <c r="G7391" t="s">
        <v>16221</v>
      </c>
      <c r="H7391" t="s">
        <v>47054</v>
      </c>
      <c r="I7391" t="s">
        <v>47118</v>
      </c>
      <c r="J7391" t="s">
        <v>47119</v>
      </c>
      <c r="K7391" t="s">
        <v>47113</v>
      </c>
      <c r="L7391">
        <v>13.86</v>
      </c>
      <c r="M7391">
        <v>29</v>
      </c>
      <c r="N7391">
        <v>0</v>
      </c>
      <c r="O7391">
        <v>29</v>
      </c>
      <c r="P7391">
        <v>0</v>
      </c>
    </row>
    <row r="7392" spans="1:16" x14ac:dyDescent="0.25">
      <c r="A7392" t="s">
        <v>29970</v>
      </c>
      <c r="B7392" t="s">
        <v>19948</v>
      </c>
      <c r="C7392" t="s">
        <v>19949</v>
      </c>
      <c r="D7392" t="str">
        <f>"1106"</f>
        <v>1106</v>
      </c>
      <c r="E7392" t="s">
        <v>42</v>
      </c>
      <c r="F7392" t="s">
        <v>19908</v>
      </c>
      <c r="G7392" t="s">
        <v>16221</v>
      </c>
      <c r="H7392" t="s">
        <v>47054</v>
      </c>
      <c r="I7392" t="s">
        <v>47111</v>
      </c>
      <c r="J7392" t="s">
        <v>47112</v>
      </c>
      <c r="K7392" t="s">
        <v>47113</v>
      </c>
      <c r="L7392">
        <v>13.86</v>
      </c>
      <c r="M7392">
        <v>29</v>
      </c>
      <c r="N7392">
        <v>0</v>
      </c>
      <c r="O7392">
        <v>29</v>
      </c>
      <c r="P7392">
        <v>0</v>
      </c>
    </row>
    <row r="7393" spans="1:16" x14ac:dyDescent="0.25">
      <c r="A7393" t="s">
        <v>29971</v>
      </c>
      <c r="B7393" t="s">
        <v>19948</v>
      </c>
      <c r="C7393" t="s">
        <v>19949</v>
      </c>
      <c r="D7393" t="str">
        <f>"1800"</f>
        <v>1800</v>
      </c>
      <c r="E7393" t="s">
        <v>1999</v>
      </c>
      <c r="F7393" t="s">
        <v>19908</v>
      </c>
      <c r="G7393" t="s">
        <v>16221</v>
      </c>
      <c r="H7393" t="s">
        <v>47054</v>
      </c>
      <c r="I7393" t="s">
        <v>47111</v>
      </c>
      <c r="J7393" t="s">
        <v>47112</v>
      </c>
      <c r="K7393" t="s">
        <v>47113</v>
      </c>
      <c r="L7393">
        <v>13.86</v>
      </c>
      <c r="M7393">
        <v>29</v>
      </c>
      <c r="N7393">
        <v>0</v>
      </c>
      <c r="O7393">
        <v>29</v>
      </c>
      <c r="P7393">
        <v>0</v>
      </c>
    </row>
    <row r="7394" spans="1:16" x14ac:dyDescent="0.25">
      <c r="A7394" t="s">
        <v>29972</v>
      </c>
      <c r="B7394" t="s">
        <v>19950</v>
      </c>
      <c r="C7394" t="s">
        <v>19951</v>
      </c>
      <c r="D7394" t="str">
        <f>"1800"</f>
        <v>1800</v>
      </c>
      <c r="E7394" t="s">
        <v>1999</v>
      </c>
      <c r="F7394" t="s">
        <v>19847</v>
      </c>
      <c r="G7394" t="s">
        <v>16221</v>
      </c>
      <c r="H7394" t="s">
        <v>47054</v>
      </c>
      <c r="I7394" t="s">
        <v>47118</v>
      </c>
      <c r="J7394" t="s">
        <v>47119</v>
      </c>
      <c r="K7394" t="s">
        <v>47113</v>
      </c>
      <c r="L7394">
        <v>15.05</v>
      </c>
      <c r="M7394">
        <v>37</v>
      </c>
      <c r="N7394">
        <v>0</v>
      </c>
      <c r="O7394">
        <v>37</v>
      </c>
      <c r="P7394">
        <v>0</v>
      </c>
    </row>
    <row r="7395" spans="1:16" x14ac:dyDescent="0.25">
      <c r="A7395" t="s">
        <v>29973</v>
      </c>
      <c r="B7395" t="s">
        <v>19952</v>
      </c>
      <c r="C7395" t="s">
        <v>19953</v>
      </c>
      <c r="D7395" t="str">
        <f>"1800"</f>
        <v>1800</v>
      </c>
      <c r="E7395" t="s">
        <v>1999</v>
      </c>
      <c r="F7395" t="s">
        <v>19552</v>
      </c>
      <c r="G7395" t="s">
        <v>16221</v>
      </c>
      <c r="H7395" t="s">
        <v>47054</v>
      </c>
      <c r="I7395" t="s">
        <v>47118</v>
      </c>
      <c r="J7395" t="s">
        <v>47119</v>
      </c>
      <c r="K7395" t="s">
        <v>47113</v>
      </c>
      <c r="L7395">
        <v>17.170000000000002</v>
      </c>
      <c r="M7395">
        <v>37</v>
      </c>
      <c r="N7395">
        <v>0</v>
      </c>
      <c r="O7395">
        <v>37</v>
      </c>
      <c r="P7395">
        <v>0</v>
      </c>
    </row>
    <row r="7396" spans="1:16" x14ac:dyDescent="0.25">
      <c r="A7396" t="s">
        <v>29974</v>
      </c>
      <c r="B7396" t="s">
        <v>19954</v>
      </c>
      <c r="C7396" t="s">
        <v>19955</v>
      </c>
      <c r="D7396" t="str">
        <f>"1200"</f>
        <v>1200</v>
      </c>
      <c r="E7396" t="s">
        <v>19956</v>
      </c>
      <c r="F7396" t="s">
        <v>19552</v>
      </c>
      <c r="G7396" t="s">
        <v>16221</v>
      </c>
      <c r="H7396" t="s">
        <v>47054</v>
      </c>
      <c r="I7396" t="s">
        <v>47120</v>
      </c>
      <c r="J7396" t="s">
        <v>47121</v>
      </c>
      <c r="K7396" t="s">
        <v>47113</v>
      </c>
      <c r="L7396">
        <v>17.989999999999998</v>
      </c>
      <c r="M7396">
        <v>33</v>
      </c>
      <c r="N7396">
        <v>0</v>
      </c>
      <c r="O7396">
        <v>33</v>
      </c>
      <c r="P7396">
        <v>0</v>
      </c>
    </row>
    <row r="7397" spans="1:16" x14ac:dyDescent="0.25">
      <c r="A7397" t="s">
        <v>22732</v>
      </c>
      <c r="B7397" t="s">
        <v>19957</v>
      </c>
      <c r="C7397" t="s">
        <v>19958</v>
      </c>
      <c r="D7397" t="str">
        <f>"1106"</f>
        <v>1106</v>
      </c>
      <c r="E7397" t="s">
        <v>42</v>
      </c>
      <c r="F7397" t="s">
        <v>19552</v>
      </c>
      <c r="G7397" t="s">
        <v>16221</v>
      </c>
      <c r="H7397" t="s">
        <v>47054</v>
      </c>
      <c r="I7397" t="s">
        <v>47120</v>
      </c>
      <c r="J7397" t="s">
        <v>47121</v>
      </c>
      <c r="K7397" t="s">
        <v>47113</v>
      </c>
      <c r="L7397">
        <v>17.989999999999998</v>
      </c>
      <c r="M7397">
        <v>37</v>
      </c>
      <c r="N7397">
        <v>0</v>
      </c>
      <c r="O7397">
        <v>37</v>
      </c>
      <c r="P7397">
        <v>0</v>
      </c>
    </row>
    <row r="7398" spans="1:16" x14ac:dyDescent="0.25">
      <c r="A7398" t="s">
        <v>22733</v>
      </c>
      <c r="B7398" t="s">
        <v>19957</v>
      </c>
      <c r="C7398" t="s">
        <v>19958</v>
      </c>
      <c r="D7398" t="str">
        <f>"4000"</f>
        <v>4000</v>
      </c>
      <c r="E7398" t="s">
        <v>19959</v>
      </c>
      <c r="F7398" t="s">
        <v>19552</v>
      </c>
      <c r="G7398" t="s">
        <v>16221</v>
      </c>
      <c r="H7398" t="s">
        <v>47054</v>
      </c>
      <c r="I7398" t="s">
        <v>47120</v>
      </c>
      <c r="J7398" t="s">
        <v>47121</v>
      </c>
      <c r="K7398" t="s">
        <v>47113</v>
      </c>
      <c r="L7398">
        <v>17.989999999999998</v>
      </c>
      <c r="M7398">
        <v>37</v>
      </c>
      <c r="N7398">
        <v>0</v>
      </c>
      <c r="O7398">
        <v>37</v>
      </c>
      <c r="P7398">
        <v>0</v>
      </c>
    </row>
    <row r="7399" spans="1:16" x14ac:dyDescent="0.25">
      <c r="A7399" t="s">
        <v>22734</v>
      </c>
      <c r="B7399" t="s">
        <v>19960</v>
      </c>
      <c r="C7399" t="s">
        <v>19961</v>
      </c>
      <c r="D7399" t="str">
        <f>"1106"</f>
        <v>1106</v>
      </c>
      <c r="E7399" t="s">
        <v>42</v>
      </c>
      <c r="F7399" t="s">
        <v>19559</v>
      </c>
      <c r="G7399" t="s">
        <v>16221</v>
      </c>
      <c r="H7399" t="s">
        <v>47054</v>
      </c>
      <c r="I7399" t="s">
        <v>47154</v>
      </c>
      <c r="J7399" t="s">
        <v>47155</v>
      </c>
      <c r="K7399" t="s">
        <v>47113</v>
      </c>
      <c r="L7399">
        <v>16.579999999999998</v>
      </c>
      <c r="M7399">
        <v>37</v>
      </c>
      <c r="N7399">
        <v>0</v>
      </c>
      <c r="O7399">
        <v>37</v>
      </c>
      <c r="P7399">
        <v>0</v>
      </c>
    </row>
    <row r="7400" spans="1:16" x14ac:dyDescent="0.25">
      <c r="A7400" t="s">
        <v>22735</v>
      </c>
      <c r="B7400" t="s">
        <v>19962</v>
      </c>
      <c r="C7400" t="s">
        <v>19963</v>
      </c>
      <c r="D7400" t="str">
        <f>"1800"</f>
        <v>1800</v>
      </c>
      <c r="E7400" t="s">
        <v>1999</v>
      </c>
      <c r="F7400" t="s">
        <v>19559</v>
      </c>
      <c r="G7400" t="s">
        <v>16221</v>
      </c>
      <c r="H7400" t="s">
        <v>47054</v>
      </c>
      <c r="I7400" t="s">
        <v>47120</v>
      </c>
      <c r="J7400" t="s">
        <v>47121</v>
      </c>
      <c r="K7400" t="s">
        <v>47113</v>
      </c>
      <c r="L7400">
        <v>14.83</v>
      </c>
      <c r="M7400">
        <v>33</v>
      </c>
      <c r="N7400">
        <v>0</v>
      </c>
      <c r="O7400">
        <v>33</v>
      </c>
      <c r="P7400">
        <v>0</v>
      </c>
    </row>
    <row r="7401" spans="1:16" x14ac:dyDescent="0.25">
      <c r="A7401" t="s">
        <v>22736</v>
      </c>
      <c r="B7401" t="s">
        <v>19964</v>
      </c>
      <c r="C7401" t="s">
        <v>19965</v>
      </c>
      <c r="D7401" t="str">
        <f>"1106"</f>
        <v>1106</v>
      </c>
      <c r="E7401" t="s">
        <v>42</v>
      </c>
      <c r="F7401" t="s">
        <v>19878</v>
      </c>
      <c r="G7401" t="s">
        <v>16221</v>
      </c>
      <c r="H7401" t="s">
        <v>47054</v>
      </c>
      <c r="I7401" t="s">
        <v>47111</v>
      </c>
      <c r="J7401" t="s">
        <v>47112</v>
      </c>
      <c r="K7401" t="s">
        <v>47113</v>
      </c>
      <c r="L7401">
        <v>13.97</v>
      </c>
      <c r="M7401">
        <v>37</v>
      </c>
      <c r="N7401">
        <v>0</v>
      </c>
      <c r="O7401">
        <v>37</v>
      </c>
      <c r="P7401">
        <v>0</v>
      </c>
    </row>
    <row r="7402" spans="1:16" x14ac:dyDescent="0.25">
      <c r="A7402" t="s">
        <v>29975</v>
      </c>
      <c r="B7402" t="s">
        <v>19964</v>
      </c>
      <c r="C7402" t="s">
        <v>19965</v>
      </c>
      <c r="D7402" t="str">
        <f>"1700"</f>
        <v>1700</v>
      </c>
      <c r="E7402" t="s">
        <v>60</v>
      </c>
      <c r="F7402" t="s">
        <v>19878</v>
      </c>
      <c r="G7402" t="s">
        <v>16221</v>
      </c>
      <c r="H7402" t="s">
        <v>47054</v>
      </c>
      <c r="I7402" t="s">
        <v>47111</v>
      </c>
      <c r="J7402" t="s">
        <v>47112</v>
      </c>
      <c r="K7402" t="s">
        <v>47113</v>
      </c>
      <c r="L7402">
        <v>15.34</v>
      </c>
      <c r="M7402">
        <v>37</v>
      </c>
      <c r="N7402">
        <v>0</v>
      </c>
      <c r="O7402">
        <v>37</v>
      </c>
      <c r="P7402">
        <v>0</v>
      </c>
    </row>
    <row r="7403" spans="1:16" x14ac:dyDescent="0.25">
      <c r="A7403" t="s">
        <v>29976</v>
      </c>
      <c r="B7403" t="s">
        <v>19966</v>
      </c>
      <c r="C7403" t="s">
        <v>19967</v>
      </c>
      <c r="D7403" t="str">
        <f>"1106"</f>
        <v>1106</v>
      </c>
      <c r="E7403" t="s">
        <v>42</v>
      </c>
      <c r="F7403" t="s">
        <v>19878</v>
      </c>
      <c r="G7403" t="s">
        <v>16221</v>
      </c>
      <c r="H7403" t="s">
        <v>47054</v>
      </c>
      <c r="I7403" t="s">
        <v>47154</v>
      </c>
      <c r="J7403" t="s">
        <v>47155</v>
      </c>
      <c r="K7403" t="s">
        <v>47113</v>
      </c>
      <c r="L7403">
        <v>9.16</v>
      </c>
      <c r="M7403">
        <v>22</v>
      </c>
      <c r="N7403">
        <v>0</v>
      </c>
      <c r="O7403">
        <v>22</v>
      </c>
      <c r="P7403">
        <v>0</v>
      </c>
    </row>
    <row r="7404" spans="1:16" x14ac:dyDescent="0.25">
      <c r="A7404" t="s">
        <v>29977</v>
      </c>
      <c r="B7404" t="s">
        <v>19966</v>
      </c>
      <c r="C7404" t="s">
        <v>19967</v>
      </c>
      <c r="D7404" t="str">
        <f>"1800"</f>
        <v>1800</v>
      </c>
      <c r="E7404" t="s">
        <v>1999</v>
      </c>
      <c r="F7404" t="s">
        <v>19878</v>
      </c>
      <c r="G7404" t="s">
        <v>16221</v>
      </c>
      <c r="H7404" t="s">
        <v>47054</v>
      </c>
      <c r="I7404" t="s">
        <v>47154</v>
      </c>
      <c r="J7404" t="s">
        <v>47155</v>
      </c>
      <c r="K7404" t="s">
        <v>47113</v>
      </c>
      <c r="L7404">
        <v>7.52</v>
      </c>
      <c r="M7404">
        <v>22</v>
      </c>
      <c r="N7404">
        <v>0</v>
      </c>
      <c r="O7404">
        <v>22</v>
      </c>
      <c r="P7404">
        <v>0</v>
      </c>
    </row>
    <row r="7405" spans="1:16" x14ac:dyDescent="0.25">
      <c r="A7405" t="s">
        <v>29978</v>
      </c>
      <c r="B7405" t="s">
        <v>19968</v>
      </c>
      <c r="C7405" t="s">
        <v>19969</v>
      </c>
      <c r="D7405" t="str">
        <f>"4100"</f>
        <v>4100</v>
      </c>
      <c r="E7405" t="s">
        <v>710</v>
      </c>
      <c r="F7405" t="s">
        <v>19878</v>
      </c>
      <c r="G7405" t="s">
        <v>16221</v>
      </c>
      <c r="H7405" t="s">
        <v>47054</v>
      </c>
      <c r="I7405" t="s">
        <v>47118</v>
      </c>
      <c r="J7405" t="s">
        <v>47119</v>
      </c>
      <c r="K7405" t="s">
        <v>47113</v>
      </c>
      <c r="L7405">
        <v>18.02</v>
      </c>
      <c r="M7405">
        <v>37</v>
      </c>
      <c r="N7405">
        <v>0</v>
      </c>
      <c r="O7405">
        <v>37</v>
      </c>
      <c r="P7405">
        <v>0</v>
      </c>
    </row>
    <row r="7406" spans="1:16" x14ac:dyDescent="0.25">
      <c r="A7406" t="s">
        <v>29979</v>
      </c>
      <c r="B7406" t="s">
        <v>19970</v>
      </c>
      <c r="C7406" t="s">
        <v>19971</v>
      </c>
      <c r="D7406" t="str">
        <f>"1001"</f>
        <v>1001</v>
      </c>
      <c r="E7406" t="s">
        <v>42</v>
      </c>
      <c r="F7406" t="s">
        <v>16601</v>
      </c>
      <c r="G7406" t="s">
        <v>16221</v>
      </c>
      <c r="H7406" t="s">
        <v>47054</v>
      </c>
      <c r="I7406" t="s">
        <v>47120</v>
      </c>
      <c r="J7406" t="s">
        <v>47121</v>
      </c>
      <c r="K7406" t="s">
        <v>47113</v>
      </c>
      <c r="L7406">
        <v>5</v>
      </c>
      <c r="M7406">
        <v>43</v>
      </c>
      <c r="N7406">
        <v>0</v>
      </c>
      <c r="O7406">
        <v>43</v>
      </c>
      <c r="P7406">
        <v>0</v>
      </c>
    </row>
    <row r="7407" spans="1:16" x14ac:dyDescent="0.25">
      <c r="A7407" t="s">
        <v>16870</v>
      </c>
      <c r="B7407" t="s">
        <v>15301</v>
      </c>
      <c r="C7407" t="s">
        <v>15302</v>
      </c>
      <c r="D7407" t="str">
        <f>"4403"</f>
        <v>4403</v>
      </c>
      <c r="E7407" t="s">
        <v>15303</v>
      </c>
      <c r="F7407" t="s">
        <v>15183</v>
      </c>
      <c r="G7407" t="s">
        <v>16221</v>
      </c>
      <c r="H7407" t="s">
        <v>47054</v>
      </c>
      <c r="I7407" t="s">
        <v>47116</v>
      </c>
      <c r="J7407" t="s">
        <v>47117</v>
      </c>
      <c r="K7407" t="s">
        <v>47113</v>
      </c>
      <c r="L7407">
        <v>15.24</v>
      </c>
      <c r="M7407">
        <v>33</v>
      </c>
      <c r="N7407">
        <v>0</v>
      </c>
      <c r="O7407">
        <v>33</v>
      </c>
      <c r="P7407">
        <v>0</v>
      </c>
    </row>
    <row r="7408" spans="1:16" x14ac:dyDescent="0.25">
      <c r="A7408" t="s">
        <v>29980</v>
      </c>
      <c r="B7408" t="s">
        <v>15304</v>
      </c>
      <c r="C7408" t="s">
        <v>15305</v>
      </c>
      <c r="D7408" t="str">
        <f>"1106"</f>
        <v>1106</v>
      </c>
      <c r="E7408" t="s">
        <v>460</v>
      </c>
      <c r="F7408" t="s">
        <v>15183</v>
      </c>
      <c r="G7408" t="s">
        <v>16221</v>
      </c>
      <c r="H7408" t="s">
        <v>47054</v>
      </c>
      <c r="I7408" t="s">
        <v>47116</v>
      </c>
      <c r="J7408" t="s">
        <v>47117</v>
      </c>
      <c r="K7408" t="s">
        <v>47113</v>
      </c>
      <c r="L7408">
        <v>8.85</v>
      </c>
      <c r="M7408">
        <v>26</v>
      </c>
      <c r="N7408">
        <v>0</v>
      </c>
      <c r="O7408">
        <v>26</v>
      </c>
      <c r="P7408">
        <v>0</v>
      </c>
    </row>
    <row r="7409" spans="1:16" x14ac:dyDescent="0.25">
      <c r="A7409" t="s">
        <v>29981</v>
      </c>
      <c r="B7409" t="s">
        <v>15304</v>
      </c>
      <c r="C7409" t="s">
        <v>15305</v>
      </c>
      <c r="D7409" t="str">
        <f>"1800"</f>
        <v>1800</v>
      </c>
      <c r="E7409" t="s">
        <v>1999</v>
      </c>
      <c r="F7409" t="s">
        <v>15183</v>
      </c>
      <c r="G7409" t="s">
        <v>16221</v>
      </c>
      <c r="H7409" t="s">
        <v>47054</v>
      </c>
      <c r="I7409" t="s">
        <v>47116</v>
      </c>
      <c r="J7409" t="s">
        <v>47117</v>
      </c>
      <c r="K7409" t="s">
        <v>47113</v>
      </c>
      <c r="L7409">
        <v>8.85</v>
      </c>
      <c r="M7409">
        <v>26</v>
      </c>
      <c r="N7409">
        <v>0</v>
      </c>
      <c r="O7409">
        <v>26</v>
      </c>
      <c r="P7409">
        <v>0</v>
      </c>
    </row>
    <row r="7410" spans="1:16" x14ac:dyDescent="0.25">
      <c r="A7410" t="s">
        <v>16871</v>
      </c>
      <c r="B7410" t="s">
        <v>15306</v>
      </c>
      <c r="C7410" t="s">
        <v>15307</v>
      </c>
      <c r="D7410" t="str">
        <f>"4403"</f>
        <v>4403</v>
      </c>
      <c r="E7410" t="s">
        <v>15303</v>
      </c>
      <c r="F7410" t="s">
        <v>3750</v>
      </c>
      <c r="G7410" t="s">
        <v>16221</v>
      </c>
      <c r="H7410" t="s">
        <v>47054</v>
      </c>
      <c r="I7410" t="s">
        <v>47116</v>
      </c>
      <c r="J7410" t="s">
        <v>47117</v>
      </c>
      <c r="K7410" t="s">
        <v>47113</v>
      </c>
      <c r="L7410">
        <v>13.27</v>
      </c>
      <c r="M7410">
        <v>33</v>
      </c>
      <c r="N7410">
        <v>0</v>
      </c>
      <c r="O7410">
        <v>33</v>
      </c>
      <c r="P7410">
        <v>0</v>
      </c>
    </row>
    <row r="7411" spans="1:16" x14ac:dyDescent="0.25">
      <c r="A7411" t="s">
        <v>29982</v>
      </c>
      <c r="B7411" t="s">
        <v>16872</v>
      </c>
      <c r="C7411" t="s">
        <v>16873</v>
      </c>
      <c r="D7411" t="str">
        <f>"6000"</f>
        <v>6000</v>
      </c>
      <c r="E7411" t="s">
        <v>6279</v>
      </c>
      <c r="F7411" t="s">
        <v>16601</v>
      </c>
      <c r="G7411" t="s">
        <v>16221</v>
      </c>
      <c r="H7411" t="s">
        <v>47054</v>
      </c>
      <c r="I7411" t="s">
        <v>47569</v>
      </c>
      <c r="J7411" t="s">
        <v>47570</v>
      </c>
      <c r="K7411" t="s">
        <v>47113</v>
      </c>
      <c r="L7411">
        <v>12.39</v>
      </c>
      <c r="M7411">
        <v>29</v>
      </c>
      <c r="N7411">
        <v>0</v>
      </c>
      <c r="O7411">
        <v>29</v>
      </c>
      <c r="P7411">
        <v>0</v>
      </c>
    </row>
    <row r="7412" spans="1:16" x14ac:dyDescent="0.25">
      <c r="A7412" t="s">
        <v>29983</v>
      </c>
      <c r="B7412" t="s">
        <v>19972</v>
      </c>
      <c r="C7412" t="s">
        <v>19973</v>
      </c>
      <c r="D7412" t="str">
        <f>"1106"</f>
        <v>1106</v>
      </c>
      <c r="E7412" t="s">
        <v>460</v>
      </c>
      <c r="F7412" t="s">
        <v>19878</v>
      </c>
      <c r="G7412" t="s">
        <v>16221</v>
      </c>
      <c r="H7412" t="s">
        <v>47054</v>
      </c>
      <c r="I7412" t="s">
        <v>47118</v>
      </c>
      <c r="J7412" t="s">
        <v>47119</v>
      </c>
      <c r="K7412" t="s">
        <v>47113</v>
      </c>
      <c r="L7412">
        <v>15.78</v>
      </c>
      <c r="M7412">
        <v>37</v>
      </c>
      <c r="N7412">
        <v>0</v>
      </c>
      <c r="O7412">
        <v>37</v>
      </c>
      <c r="P7412">
        <v>0</v>
      </c>
    </row>
    <row r="7413" spans="1:16" x14ac:dyDescent="0.25">
      <c r="A7413" t="s">
        <v>29984</v>
      </c>
      <c r="B7413" t="s">
        <v>16874</v>
      </c>
      <c r="C7413" t="s">
        <v>16875</v>
      </c>
      <c r="D7413" t="str">
        <f>"1001"</f>
        <v>1001</v>
      </c>
      <c r="E7413" t="s">
        <v>42</v>
      </c>
      <c r="F7413" t="s">
        <v>16839</v>
      </c>
      <c r="G7413" t="s">
        <v>16232</v>
      </c>
      <c r="H7413" t="s">
        <v>47054</v>
      </c>
      <c r="I7413" t="s">
        <v>47111</v>
      </c>
      <c r="J7413" t="s">
        <v>47112</v>
      </c>
      <c r="K7413" t="s">
        <v>47113</v>
      </c>
      <c r="L7413">
        <v>12.71</v>
      </c>
      <c r="M7413">
        <v>26</v>
      </c>
      <c r="N7413">
        <v>0</v>
      </c>
      <c r="O7413">
        <v>26</v>
      </c>
      <c r="P7413">
        <v>0</v>
      </c>
    </row>
    <row r="7414" spans="1:16" x14ac:dyDescent="0.25">
      <c r="A7414" t="s">
        <v>29985</v>
      </c>
      <c r="B7414" t="s">
        <v>16874</v>
      </c>
      <c r="C7414" t="s">
        <v>16875</v>
      </c>
      <c r="D7414" t="str">
        <f>"1501"</f>
        <v>1501</v>
      </c>
      <c r="E7414" t="s">
        <v>46</v>
      </c>
      <c r="F7414" t="s">
        <v>16839</v>
      </c>
      <c r="G7414" t="s">
        <v>16232</v>
      </c>
      <c r="H7414" t="s">
        <v>47054</v>
      </c>
      <c r="I7414" t="s">
        <v>47111</v>
      </c>
      <c r="J7414" t="s">
        <v>47112</v>
      </c>
      <c r="K7414" t="s">
        <v>47113</v>
      </c>
      <c r="L7414">
        <v>12.93</v>
      </c>
      <c r="M7414">
        <v>26</v>
      </c>
      <c r="N7414">
        <v>0</v>
      </c>
      <c r="O7414">
        <v>26</v>
      </c>
      <c r="P7414">
        <v>0</v>
      </c>
    </row>
    <row r="7415" spans="1:16" x14ac:dyDescent="0.25">
      <c r="A7415" t="s">
        <v>29986</v>
      </c>
      <c r="B7415" t="s">
        <v>16874</v>
      </c>
      <c r="C7415" t="s">
        <v>16875</v>
      </c>
      <c r="D7415" t="str">
        <f>"3514"</f>
        <v>3514</v>
      </c>
      <c r="E7415" t="s">
        <v>16876</v>
      </c>
      <c r="F7415" t="s">
        <v>16839</v>
      </c>
      <c r="G7415" t="s">
        <v>16232</v>
      </c>
      <c r="H7415" t="s">
        <v>47054</v>
      </c>
      <c r="I7415" t="s">
        <v>47111</v>
      </c>
      <c r="J7415" t="s">
        <v>47112</v>
      </c>
      <c r="K7415" t="s">
        <v>47113</v>
      </c>
      <c r="L7415">
        <v>12.71</v>
      </c>
      <c r="M7415">
        <v>26</v>
      </c>
      <c r="N7415">
        <v>0</v>
      </c>
      <c r="O7415">
        <v>26</v>
      </c>
      <c r="P7415">
        <v>0</v>
      </c>
    </row>
    <row r="7416" spans="1:16" x14ac:dyDescent="0.25">
      <c r="A7416" t="s">
        <v>29987</v>
      </c>
      <c r="B7416" t="s">
        <v>16874</v>
      </c>
      <c r="C7416" t="s">
        <v>16875</v>
      </c>
      <c r="D7416" t="str">
        <f>"4168"</f>
        <v>4168</v>
      </c>
      <c r="E7416" t="s">
        <v>4175</v>
      </c>
      <c r="F7416" t="s">
        <v>16839</v>
      </c>
      <c r="G7416" t="s">
        <v>16232</v>
      </c>
      <c r="H7416" t="s">
        <v>47054</v>
      </c>
      <c r="I7416" t="s">
        <v>47111</v>
      </c>
      <c r="J7416" t="s">
        <v>47112</v>
      </c>
      <c r="K7416" t="s">
        <v>47113</v>
      </c>
      <c r="L7416">
        <v>12.71</v>
      </c>
      <c r="M7416">
        <v>26</v>
      </c>
      <c r="N7416">
        <v>0</v>
      </c>
      <c r="O7416">
        <v>26</v>
      </c>
      <c r="P7416">
        <v>0</v>
      </c>
    </row>
    <row r="7417" spans="1:16" x14ac:dyDescent="0.25">
      <c r="A7417" t="s">
        <v>29988</v>
      </c>
      <c r="B7417" t="s">
        <v>16874</v>
      </c>
      <c r="C7417" t="s">
        <v>16875</v>
      </c>
      <c r="D7417" t="str">
        <f>"6047"</f>
        <v>6047</v>
      </c>
      <c r="E7417" t="s">
        <v>9105</v>
      </c>
      <c r="F7417" t="s">
        <v>16839</v>
      </c>
      <c r="G7417" t="s">
        <v>16232</v>
      </c>
      <c r="H7417" t="s">
        <v>47054</v>
      </c>
      <c r="I7417" t="s">
        <v>47111</v>
      </c>
      <c r="J7417" t="s">
        <v>47112</v>
      </c>
      <c r="K7417" t="s">
        <v>47113</v>
      </c>
      <c r="L7417">
        <v>12.71</v>
      </c>
      <c r="M7417">
        <v>26</v>
      </c>
      <c r="N7417">
        <v>0</v>
      </c>
      <c r="O7417">
        <v>26</v>
      </c>
      <c r="P7417">
        <v>0</v>
      </c>
    </row>
    <row r="7418" spans="1:16" x14ac:dyDescent="0.25">
      <c r="A7418" t="s">
        <v>29989</v>
      </c>
      <c r="B7418" t="s">
        <v>19974</v>
      </c>
      <c r="C7418" t="s">
        <v>19975</v>
      </c>
      <c r="D7418" t="str">
        <f>"4100"</f>
        <v>4100</v>
      </c>
      <c r="E7418" t="s">
        <v>19976</v>
      </c>
      <c r="F7418" t="s">
        <v>16933</v>
      </c>
      <c r="G7418" t="s">
        <v>16221</v>
      </c>
      <c r="H7418" t="s">
        <v>47054</v>
      </c>
      <c r="I7418" t="s">
        <v>47118</v>
      </c>
      <c r="J7418" t="s">
        <v>47119</v>
      </c>
      <c r="K7418" t="s">
        <v>47113</v>
      </c>
      <c r="L7418">
        <v>17.760000000000002</v>
      </c>
      <c r="M7418">
        <v>33</v>
      </c>
      <c r="N7418">
        <v>0</v>
      </c>
      <c r="O7418">
        <v>33</v>
      </c>
      <c r="P7418">
        <v>0</v>
      </c>
    </row>
    <row r="7419" spans="1:16" x14ac:dyDescent="0.25">
      <c r="A7419" t="s">
        <v>29990</v>
      </c>
      <c r="B7419" t="s">
        <v>19974</v>
      </c>
      <c r="C7419" t="s">
        <v>19975</v>
      </c>
      <c r="D7419" t="str">
        <f>"7000"</f>
        <v>7000</v>
      </c>
      <c r="E7419" t="s">
        <v>19977</v>
      </c>
      <c r="F7419" t="s">
        <v>16933</v>
      </c>
      <c r="G7419" t="s">
        <v>16221</v>
      </c>
      <c r="H7419" t="s">
        <v>47054</v>
      </c>
      <c r="I7419" t="s">
        <v>47118</v>
      </c>
      <c r="J7419" t="s">
        <v>47119</v>
      </c>
      <c r="K7419" t="s">
        <v>47113</v>
      </c>
      <c r="L7419">
        <v>17.760000000000002</v>
      </c>
      <c r="M7419">
        <v>37</v>
      </c>
      <c r="N7419">
        <v>0</v>
      </c>
      <c r="O7419">
        <v>37</v>
      </c>
      <c r="P7419">
        <v>0</v>
      </c>
    </row>
    <row r="7420" spans="1:16" x14ac:dyDescent="0.25">
      <c r="A7420" t="s">
        <v>29991</v>
      </c>
      <c r="B7420" t="s">
        <v>19978</v>
      </c>
      <c r="C7420" t="s">
        <v>19979</v>
      </c>
      <c r="D7420" t="str">
        <f>"1800"</f>
        <v>1800</v>
      </c>
      <c r="E7420" t="s">
        <v>1999</v>
      </c>
      <c r="F7420" t="s">
        <v>16933</v>
      </c>
      <c r="G7420" t="s">
        <v>16221</v>
      </c>
      <c r="H7420" t="s">
        <v>47054</v>
      </c>
      <c r="I7420" t="s">
        <v>47118</v>
      </c>
      <c r="J7420" t="s">
        <v>47119</v>
      </c>
      <c r="K7420" t="s">
        <v>47113</v>
      </c>
      <c r="L7420">
        <v>17.579999999999998</v>
      </c>
      <c r="M7420">
        <v>33</v>
      </c>
      <c r="N7420">
        <v>0</v>
      </c>
      <c r="O7420">
        <v>33</v>
      </c>
      <c r="P7420">
        <v>0</v>
      </c>
    </row>
    <row r="7421" spans="1:16" x14ac:dyDescent="0.25">
      <c r="A7421" t="s">
        <v>29992</v>
      </c>
      <c r="B7421" t="s">
        <v>19978</v>
      </c>
      <c r="C7421" t="s">
        <v>19979</v>
      </c>
      <c r="D7421" t="str">
        <f>"4100"</f>
        <v>4100</v>
      </c>
      <c r="E7421" t="s">
        <v>2383</v>
      </c>
      <c r="F7421" t="s">
        <v>16933</v>
      </c>
      <c r="G7421" t="s">
        <v>16221</v>
      </c>
      <c r="H7421" t="s">
        <v>47054</v>
      </c>
      <c r="I7421" t="s">
        <v>47118</v>
      </c>
      <c r="J7421" t="s">
        <v>47119</v>
      </c>
      <c r="K7421" t="s">
        <v>47113</v>
      </c>
      <c r="L7421">
        <v>17.579999999999998</v>
      </c>
      <c r="M7421">
        <v>33</v>
      </c>
      <c r="N7421">
        <v>0</v>
      </c>
      <c r="O7421">
        <v>33</v>
      </c>
      <c r="P7421">
        <v>0</v>
      </c>
    </row>
    <row r="7422" spans="1:16" x14ac:dyDescent="0.25">
      <c r="A7422" t="s">
        <v>29993</v>
      </c>
      <c r="B7422" t="s">
        <v>19980</v>
      </c>
      <c r="C7422" t="s">
        <v>19981</v>
      </c>
      <c r="D7422" t="str">
        <f>"1501"</f>
        <v>1501</v>
      </c>
      <c r="E7422" t="s">
        <v>46</v>
      </c>
      <c r="F7422" t="s">
        <v>16933</v>
      </c>
      <c r="G7422" t="s">
        <v>16221</v>
      </c>
      <c r="H7422" t="s">
        <v>47054</v>
      </c>
      <c r="I7422" t="s">
        <v>47118</v>
      </c>
      <c r="J7422" t="s">
        <v>47119</v>
      </c>
      <c r="K7422" t="s">
        <v>47113</v>
      </c>
      <c r="L7422">
        <v>13.86</v>
      </c>
      <c r="M7422">
        <v>33</v>
      </c>
      <c r="N7422">
        <v>0</v>
      </c>
      <c r="O7422">
        <v>33</v>
      </c>
      <c r="P7422">
        <v>0</v>
      </c>
    </row>
    <row r="7423" spans="1:16" x14ac:dyDescent="0.25">
      <c r="A7423" t="s">
        <v>29994</v>
      </c>
      <c r="B7423" t="s">
        <v>19982</v>
      </c>
      <c r="C7423" t="s">
        <v>19983</v>
      </c>
      <c r="D7423" t="str">
        <f>"1800"</f>
        <v>1800</v>
      </c>
      <c r="E7423" t="s">
        <v>1999</v>
      </c>
      <c r="F7423" t="s">
        <v>19559</v>
      </c>
      <c r="G7423" t="s">
        <v>16221</v>
      </c>
      <c r="H7423" t="s">
        <v>47054</v>
      </c>
      <c r="I7423" t="s">
        <v>47154</v>
      </c>
      <c r="J7423" t="s">
        <v>47155</v>
      </c>
      <c r="K7423" t="s">
        <v>47113</v>
      </c>
      <c r="L7423">
        <v>10.84</v>
      </c>
      <c r="M7423">
        <v>26</v>
      </c>
      <c r="N7423">
        <v>0</v>
      </c>
      <c r="O7423">
        <v>26</v>
      </c>
      <c r="P7423">
        <v>0</v>
      </c>
    </row>
    <row r="7424" spans="1:16" x14ac:dyDescent="0.25">
      <c r="A7424" t="s">
        <v>29995</v>
      </c>
      <c r="B7424" t="s">
        <v>19984</v>
      </c>
      <c r="C7424" t="s">
        <v>19985</v>
      </c>
      <c r="D7424" t="str">
        <f>"1106"</f>
        <v>1106</v>
      </c>
      <c r="E7424" t="s">
        <v>17350</v>
      </c>
      <c r="F7424" t="s">
        <v>19552</v>
      </c>
      <c r="G7424" t="s">
        <v>16221</v>
      </c>
      <c r="H7424" t="s">
        <v>47054</v>
      </c>
      <c r="I7424" t="s">
        <v>47154</v>
      </c>
      <c r="J7424" t="s">
        <v>47155</v>
      </c>
      <c r="K7424" t="s">
        <v>47113</v>
      </c>
      <c r="L7424">
        <v>11.87</v>
      </c>
      <c r="M7424">
        <v>29</v>
      </c>
      <c r="N7424">
        <v>0</v>
      </c>
      <c r="O7424">
        <v>29</v>
      </c>
      <c r="P7424">
        <v>0</v>
      </c>
    </row>
    <row r="7425" spans="1:16" x14ac:dyDescent="0.25">
      <c r="A7425" t="s">
        <v>29996</v>
      </c>
      <c r="B7425" t="s">
        <v>19984</v>
      </c>
      <c r="C7425" t="s">
        <v>19985</v>
      </c>
      <c r="D7425" t="str">
        <f>"1800"</f>
        <v>1800</v>
      </c>
      <c r="E7425" t="s">
        <v>1999</v>
      </c>
      <c r="F7425" t="s">
        <v>19552</v>
      </c>
      <c r="G7425" t="s">
        <v>16221</v>
      </c>
      <c r="H7425" t="s">
        <v>47054</v>
      </c>
      <c r="I7425" t="s">
        <v>47154</v>
      </c>
      <c r="J7425" t="s">
        <v>47155</v>
      </c>
      <c r="K7425" t="s">
        <v>47113</v>
      </c>
      <c r="L7425">
        <v>9.6</v>
      </c>
      <c r="M7425">
        <v>22</v>
      </c>
      <c r="N7425">
        <v>0</v>
      </c>
      <c r="O7425">
        <v>22</v>
      </c>
      <c r="P7425">
        <v>0</v>
      </c>
    </row>
    <row r="7426" spans="1:16" x14ac:dyDescent="0.25">
      <c r="A7426" t="s">
        <v>29997</v>
      </c>
      <c r="B7426" t="s">
        <v>19986</v>
      </c>
      <c r="C7426" t="s">
        <v>19987</v>
      </c>
      <c r="D7426" t="str">
        <f>"1106"</f>
        <v>1106</v>
      </c>
      <c r="E7426" t="s">
        <v>42</v>
      </c>
      <c r="F7426" t="s">
        <v>19878</v>
      </c>
      <c r="G7426" t="s">
        <v>16221</v>
      </c>
      <c r="H7426" t="s">
        <v>47054</v>
      </c>
      <c r="I7426" t="s">
        <v>47154</v>
      </c>
      <c r="J7426" t="s">
        <v>47155</v>
      </c>
      <c r="K7426" t="s">
        <v>47113</v>
      </c>
      <c r="L7426">
        <v>10.69</v>
      </c>
      <c r="M7426">
        <v>22</v>
      </c>
      <c r="N7426">
        <v>0</v>
      </c>
      <c r="O7426">
        <v>22</v>
      </c>
      <c r="P7426">
        <v>0</v>
      </c>
    </row>
    <row r="7427" spans="1:16" x14ac:dyDescent="0.25">
      <c r="A7427" t="s">
        <v>29998</v>
      </c>
      <c r="B7427" t="s">
        <v>19986</v>
      </c>
      <c r="C7427" t="s">
        <v>19987</v>
      </c>
      <c r="D7427" t="str">
        <f>"1800"</f>
        <v>1800</v>
      </c>
      <c r="E7427" t="s">
        <v>1999</v>
      </c>
      <c r="F7427" t="s">
        <v>19878</v>
      </c>
      <c r="G7427" t="s">
        <v>16221</v>
      </c>
      <c r="H7427" t="s">
        <v>47054</v>
      </c>
      <c r="I7427" t="s">
        <v>47154</v>
      </c>
      <c r="J7427" t="s">
        <v>47155</v>
      </c>
      <c r="K7427" t="s">
        <v>47113</v>
      </c>
      <c r="L7427">
        <v>8.56</v>
      </c>
      <c r="M7427">
        <v>22</v>
      </c>
      <c r="N7427">
        <v>0</v>
      </c>
      <c r="O7427">
        <v>22</v>
      </c>
      <c r="P7427">
        <v>0</v>
      </c>
    </row>
    <row r="7428" spans="1:16" x14ac:dyDescent="0.25">
      <c r="A7428" t="s">
        <v>29999</v>
      </c>
      <c r="B7428" t="s">
        <v>19988</v>
      </c>
      <c r="C7428" t="s">
        <v>19989</v>
      </c>
      <c r="D7428" t="str">
        <f>"1106"</f>
        <v>1106</v>
      </c>
      <c r="E7428" t="s">
        <v>42</v>
      </c>
      <c r="F7428" t="s">
        <v>19878</v>
      </c>
      <c r="G7428" t="s">
        <v>16221</v>
      </c>
      <c r="H7428" t="s">
        <v>47054</v>
      </c>
      <c r="I7428" t="s">
        <v>47118</v>
      </c>
      <c r="J7428" t="s">
        <v>47119</v>
      </c>
      <c r="K7428" t="s">
        <v>47113</v>
      </c>
      <c r="L7428">
        <v>16.63</v>
      </c>
      <c r="M7428">
        <v>37</v>
      </c>
      <c r="N7428">
        <v>0</v>
      </c>
      <c r="O7428">
        <v>37</v>
      </c>
      <c r="P7428">
        <v>0</v>
      </c>
    </row>
    <row r="7429" spans="1:16" x14ac:dyDescent="0.25">
      <c r="A7429" t="s">
        <v>30000</v>
      </c>
      <c r="B7429" t="s">
        <v>19988</v>
      </c>
      <c r="C7429" t="s">
        <v>19989</v>
      </c>
      <c r="D7429" t="str">
        <f>"1501"</f>
        <v>1501</v>
      </c>
      <c r="E7429" t="s">
        <v>46</v>
      </c>
      <c r="F7429" t="s">
        <v>19878</v>
      </c>
      <c r="G7429" t="s">
        <v>16221</v>
      </c>
      <c r="H7429" t="s">
        <v>47054</v>
      </c>
      <c r="I7429" t="s">
        <v>47118</v>
      </c>
      <c r="J7429" t="s">
        <v>47119</v>
      </c>
      <c r="K7429" t="s">
        <v>47113</v>
      </c>
      <c r="L7429">
        <v>16.63</v>
      </c>
      <c r="M7429">
        <v>37</v>
      </c>
      <c r="N7429">
        <v>0</v>
      </c>
      <c r="O7429">
        <v>37</v>
      </c>
      <c r="P7429">
        <v>0</v>
      </c>
    </row>
    <row r="7430" spans="1:16" x14ac:dyDescent="0.25">
      <c r="A7430" t="s">
        <v>30001</v>
      </c>
      <c r="B7430" t="s">
        <v>15308</v>
      </c>
      <c r="C7430" t="s">
        <v>19990</v>
      </c>
      <c r="D7430" t="str">
        <f>"1106"</f>
        <v>1106</v>
      </c>
      <c r="E7430" t="s">
        <v>460</v>
      </c>
      <c r="F7430" t="s">
        <v>15183</v>
      </c>
      <c r="G7430" t="s">
        <v>16221</v>
      </c>
      <c r="H7430" t="s">
        <v>47054</v>
      </c>
      <c r="I7430" t="s">
        <v>47569</v>
      </c>
      <c r="J7430" t="s">
        <v>47570</v>
      </c>
      <c r="K7430" t="s">
        <v>47113</v>
      </c>
      <c r="L7430">
        <v>9.35</v>
      </c>
      <c r="M7430">
        <v>26</v>
      </c>
      <c r="N7430">
        <v>0</v>
      </c>
      <c r="O7430">
        <v>26</v>
      </c>
      <c r="P7430">
        <v>0</v>
      </c>
    </row>
    <row r="7431" spans="1:16" x14ac:dyDescent="0.25">
      <c r="A7431" t="s">
        <v>30002</v>
      </c>
      <c r="B7431" t="s">
        <v>15308</v>
      </c>
      <c r="C7431" t="s">
        <v>19990</v>
      </c>
      <c r="D7431" t="str">
        <f>"1800"</f>
        <v>1800</v>
      </c>
      <c r="E7431" t="s">
        <v>1999</v>
      </c>
      <c r="F7431" t="s">
        <v>15183</v>
      </c>
      <c r="G7431" t="s">
        <v>16221</v>
      </c>
      <c r="H7431" t="s">
        <v>47054</v>
      </c>
      <c r="I7431" t="s">
        <v>47569</v>
      </c>
      <c r="J7431" t="s">
        <v>47570</v>
      </c>
      <c r="K7431" t="s">
        <v>47113</v>
      </c>
      <c r="L7431">
        <v>9.35</v>
      </c>
      <c r="M7431">
        <v>26</v>
      </c>
      <c r="N7431">
        <v>0</v>
      </c>
      <c r="O7431">
        <v>26</v>
      </c>
      <c r="P7431">
        <v>0</v>
      </c>
    </row>
    <row r="7432" spans="1:16" x14ac:dyDescent="0.25">
      <c r="A7432" t="s">
        <v>30003</v>
      </c>
      <c r="B7432" t="s">
        <v>15308</v>
      </c>
      <c r="C7432" t="s">
        <v>19990</v>
      </c>
      <c r="D7432" t="str">
        <f>"4401"</f>
        <v>4401</v>
      </c>
      <c r="E7432" t="s">
        <v>1112</v>
      </c>
      <c r="F7432" t="s">
        <v>15183</v>
      </c>
      <c r="G7432" t="s">
        <v>16221</v>
      </c>
      <c r="H7432" t="s">
        <v>47054</v>
      </c>
      <c r="I7432" t="s">
        <v>47569</v>
      </c>
      <c r="J7432" t="s">
        <v>47570</v>
      </c>
      <c r="K7432" t="s">
        <v>47113</v>
      </c>
      <c r="L7432">
        <v>9.35</v>
      </c>
      <c r="M7432">
        <v>26</v>
      </c>
      <c r="N7432">
        <v>0</v>
      </c>
      <c r="O7432">
        <v>26</v>
      </c>
      <c r="P7432">
        <v>0</v>
      </c>
    </row>
    <row r="7433" spans="1:16" x14ac:dyDescent="0.25">
      <c r="A7433" t="s">
        <v>30004</v>
      </c>
      <c r="B7433" t="s">
        <v>15308</v>
      </c>
      <c r="C7433" t="s">
        <v>19990</v>
      </c>
      <c r="D7433" t="str">
        <f>"6003"</f>
        <v>6003</v>
      </c>
      <c r="E7433" t="s">
        <v>16275</v>
      </c>
      <c r="F7433" t="s">
        <v>15183</v>
      </c>
      <c r="G7433" t="s">
        <v>16221</v>
      </c>
      <c r="H7433" t="s">
        <v>47054</v>
      </c>
      <c r="I7433" t="s">
        <v>47569</v>
      </c>
      <c r="J7433" t="s">
        <v>47570</v>
      </c>
      <c r="K7433" t="s">
        <v>47113</v>
      </c>
      <c r="L7433">
        <v>9.35</v>
      </c>
      <c r="M7433">
        <v>26</v>
      </c>
      <c r="N7433">
        <v>0</v>
      </c>
      <c r="O7433">
        <v>26</v>
      </c>
      <c r="P7433">
        <v>0</v>
      </c>
    </row>
    <row r="7434" spans="1:16" x14ac:dyDescent="0.25">
      <c r="A7434" t="s">
        <v>30005</v>
      </c>
      <c r="B7434" t="s">
        <v>15308</v>
      </c>
      <c r="C7434" t="s">
        <v>19990</v>
      </c>
      <c r="D7434" t="str">
        <f>"6064"</f>
        <v>6064</v>
      </c>
      <c r="E7434" t="s">
        <v>87</v>
      </c>
      <c r="F7434" t="s">
        <v>15183</v>
      </c>
      <c r="G7434" t="s">
        <v>16221</v>
      </c>
      <c r="H7434" t="s">
        <v>47054</v>
      </c>
      <c r="I7434" t="s">
        <v>47569</v>
      </c>
      <c r="J7434" t="s">
        <v>47570</v>
      </c>
      <c r="K7434" t="s">
        <v>47113</v>
      </c>
      <c r="L7434">
        <v>9.35</v>
      </c>
      <c r="M7434">
        <v>26</v>
      </c>
      <c r="N7434">
        <v>0</v>
      </c>
      <c r="O7434">
        <v>26</v>
      </c>
      <c r="P7434">
        <v>0</v>
      </c>
    </row>
    <row r="7435" spans="1:16" x14ac:dyDescent="0.25">
      <c r="A7435" t="s">
        <v>30006</v>
      </c>
      <c r="B7435" t="s">
        <v>19991</v>
      </c>
      <c r="C7435" t="s">
        <v>19990</v>
      </c>
      <c r="D7435" t="str">
        <f>"1106"</f>
        <v>1106</v>
      </c>
      <c r="E7435" t="s">
        <v>42</v>
      </c>
      <c r="F7435" t="s">
        <v>15183</v>
      </c>
      <c r="G7435" t="s">
        <v>16221</v>
      </c>
      <c r="H7435" t="s">
        <v>47054</v>
      </c>
      <c r="I7435" t="s">
        <v>47111</v>
      </c>
      <c r="J7435" t="s">
        <v>47112</v>
      </c>
      <c r="K7435" t="s">
        <v>47113</v>
      </c>
      <c r="L7435">
        <v>15.34</v>
      </c>
      <c r="M7435">
        <v>37</v>
      </c>
      <c r="N7435">
        <v>0</v>
      </c>
      <c r="O7435">
        <v>37</v>
      </c>
      <c r="P7435">
        <v>0</v>
      </c>
    </row>
    <row r="7436" spans="1:16" x14ac:dyDescent="0.25">
      <c r="A7436" t="s">
        <v>22737</v>
      </c>
      <c r="B7436" t="s">
        <v>19991</v>
      </c>
      <c r="C7436" t="s">
        <v>19990</v>
      </c>
      <c r="D7436" t="str">
        <f>"6064"</f>
        <v>6064</v>
      </c>
      <c r="E7436" t="s">
        <v>87</v>
      </c>
      <c r="F7436" t="s">
        <v>19552</v>
      </c>
      <c r="G7436" t="s">
        <v>16221</v>
      </c>
      <c r="H7436" t="s">
        <v>47054</v>
      </c>
      <c r="I7436" t="s">
        <v>47111</v>
      </c>
      <c r="J7436" t="s">
        <v>47112</v>
      </c>
      <c r="K7436" t="s">
        <v>47113</v>
      </c>
      <c r="L7436">
        <v>15.34</v>
      </c>
      <c r="M7436">
        <v>37</v>
      </c>
      <c r="N7436">
        <v>0</v>
      </c>
      <c r="O7436">
        <v>37</v>
      </c>
      <c r="P7436">
        <v>0</v>
      </c>
    </row>
    <row r="7437" spans="1:16" x14ac:dyDescent="0.25">
      <c r="A7437" t="s">
        <v>30007</v>
      </c>
      <c r="B7437" t="s">
        <v>19992</v>
      </c>
      <c r="C7437" t="s">
        <v>19993</v>
      </c>
      <c r="D7437" t="str">
        <f>"1001"</f>
        <v>1001</v>
      </c>
      <c r="E7437" t="s">
        <v>42</v>
      </c>
      <c r="F7437" t="s">
        <v>19847</v>
      </c>
      <c r="G7437" t="s">
        <v>16221</v>
      </c>
      <c r="H7437" t="s">
        <v>47054</v>
      </c>
      <c r="I7437" t="s">
        <v>47118</v>
      </c>
      <c r="J7437" t="s">
        <v>47119</v>
      </c>
      <c r="K7437" t="s">
        <v>47113</v>
      </c>
      <c r="L7437">
        <v>20.03</v>
      </c>
      <c r="M7437">
        <v>37</v>
      </c>
      <c r="N7437">
        <v>0</v>
      </c>
      <c r="O7437">
        <v>37</v>
      </c>
      <c r="P7437">
        <v>0</v>
      </c>
    </row>
    <row r="7438" spans="1:16" x14ac:dyDescent="0.25">
      <c r="A7438" t="s">
        <v>30008</v>
      </c>
      <c r="B7438" t="s">
        <v>15309</v>
      </c>
      <c r="C7438" t="s">
        <v>15310</v>
      </c>
      <c r="D7438" t="str">
        <f>"1254"</f>
        <v>1254</v>
      </c>
      <c r="E7438" t="s">
        <v>6117</v>
      </c>
      <c r="F7438" t="s">
        <v>15183</v>
      </c>
      <c r="G7438" t="s">
        <v>16221</v>
      </c>
      <c r="H7438" t="s">
        <v>47054</v>
      </c>
      <c r="I7438" t="s">
        <v>47569</v>
      </c>
      <c r="J7438" t="s">
        <v>47570</v>
      </c>
      <c r="K7438" t="s">
        <v>47113</v>
      </c>
      <c r="L7438">
        <v>9.48</v>
      </c>
      <c r="M7438">
        <v>26</v>
      </c>
      <c r="N7438">
        <v>0</v>
      </c>
      <c r="O7438">
        <v>26</v>
      </c>
      <c r="P7438">
        <v>0</v>
      </c>
    </row>
    <row r="7439" spans="1:16" x14ac:dyDescent="0.25">
      <c r="A7439" t="s">
        <v>30009</v>
      </c>
      <c r="B7439" t="s">
        <v>15309</v>
      </c>
      <c r="C7439" t="s">
        <v>15310</v>
      </c>
      <c r="D7439" t="str">
        <f>"1800"</f>
        <v>1800</v>
      </c>
      <c r="E7439" t="s">
        <v>1999</v>
      </c>
      <c r="F7439" t="s">
        <v>15183</v>
      </c>
      <c r="G7439" t="s">
        <v>16221</v>
      </c>
      <c r="H7439" t="s">
        <v>47054</v>
      </c>
      <c r="I7439" t="s">
        <v>47569</v>
      </c>
      <c r="J7439" t="s">
        <v>47570</v>
      </c>
      <c r="K7439" t="s">
        <v>47113</v>
      </c>
      <c r="L7439">
        <v>9.48</v>
      </c>
      <c r="M7439">
        <v>26</v>
      </c>
      <c r="N7439">
        <v>0</v>
      </c>
      <c r="O7439">
        <v>26</v>
      </c>
      <c r="P7439">
        <v>0</v>
      </c>
    </row>
    <row r="7440" spans="1:16" x14ac:dyDescent="0.25">
      <c r="A7440" t="s">
        <v>30010</v>
      </c>
      <c r="B7440" t="s">
        <v>15311</v>
      </c>
      <c r="C7440" t="s">
        <v>15312</v>
      </c>
      <c r="D7440" t="str">
        <f>"1106"</f>
        <v>1106</v>
      </c>
      <c r="E7440" t="s">
        <v>460</v>
      </c>
      <c r="F7440" t="s">
        <v>15183</v>
      </c>
      <c r="G7440" t="s">
        <v>16221</v>
      </c>
      <c r="H7440" t="s">
        <v>47054</v>
      </c>
      <c r="I7440" t="s">
        <v>47569</v>
      </c>
      <c r="J7440" t="s">
        <v>47570</v>
      </c>
      <c r="K7440" t="s">
        <v>47113</v>
      </c>
      <c r="L7440">
        <v>8.15</v>
      </c>
      <c r="M7440">
        <v>26</v>
      </c>
      <c r="N7440">
        <v>0</v>
      </c>
      <c r="O7440">
        <v>26</v>
      </c>
      <c r="P7440">
        <v>0</v>
      </c>
    </row>
    <row r="7441" spans="1:16" x14ac:dyDescent="0.25">
      <c r="A7441" t="s">
        <v>30011</v>
      </c>
      <c r="B7441" t="s">
        <v>15313</v>
      </c>
      <c r="C7441" t="s">
        <v>15314</v>
      </c>
      <c r="D7441" t="str">
        <f>"1106"</f>
        <v>1106</v>
      </c>
      <c r="E7441" t="s">
        <v>460</v>
      </c>
      <c r="F7441" t="s">
        <v>15183</v>
      </c>
      <c r="G7441" t="s">
        <v>16221</v>
      </c>
      <c r="H7441" t="s">
        <v>47054</v>
      </c>
      <c r="I7441" t="s">
        <v>47111</v>
      </c>
      <c r="J7441" t="s">
        <v>47112</v>
      </c>
      <c r="K7441" t="s">
        <v>47113</v>
      </c>
      <c r="L7441">
        <v>8.1300000000000008</v>
      </c>
      <c r="M7441">
        <v>26</v>
      </c>
      <c r="N7441">
        <v>0</v>
      </c>
      <c r="O7441">
        <v>26</v>
      </c>
      <c r="P7441">
        <v>0</v>
      </c>
    </row>
    <row r="7442" spans="1:16" x14ac:dyDescent="0.25">
      <c r="A7442" t="s">
        <v>30012</v>
      </c>
      <c r="B7442" t="s">
        <v>15313</v>
      </c>
      <c r="C7442" t="s">
        <v>15314</v>
      </c>
      <c r="D7442" t="str">
        <f>"1800"</f>
        <v>1800</v>
      </c>
      <c r="E7442" t="s">
        <v>1999</v>
      </c>
      <c r="F7442" t="s">
        <v>15183</v>
      </c>
      <c r="G7442" t="s">
        <v>16221</v>
      </c>
      <c r="H7442" t="s">
        <v>47054</v>
      </c>
      <c r="I7442" t="s">
        <v>47111</v>
      </c>
      <c r="J7442" t="s">
        <v>47112</v>
      </c>
      <c r="K7442" t="s">
        <v>47113</v>
      </c>
      <c r="L7442">
        <v>8.1300000000000008</v>
      </c>
      <c r="M7442">
        <v>26</v>
      </c>
      <c r="N7442">
        <v>0</v>
      </c>
      <c r="O7442">
        <v>26</v>
      </c>
      <c r="P7442">
        <v>0</v>
      </c>
    </row>
    <row r="7443" spans="1:16" x14ac:dyDescent="0.25">
      <c r="A7443" t="s">
        <v>30013</v>
      </c>
      <c r="B7443" t="s">
        <v>15315</v>
      </c>
      <c r="C7443" t="s">
        <v>15316</v>
      </c>
      <c r="D7443" t="str">
        <f>"1106"</f>
        <v>1106</v>
      </c>
      <c r="E7443" t="s">
        <v>460</v>
      </c>
      <c r="F7443" t="s">
        <v>15183</v>
      </c>
      <c r="G7443" t="s">
        <v>16221</v>
      </c>
      <c r="H7443" t="s">
        <v>47054</v>
      </c>
      <c r="I7443" t="s">
        <v>47569</v>
      </c>
      <c r="J7443" t="s">
        <v>47570</v>
      </c>
      <c r="K7443" t="s">
        <v>47113</v>
      </c>
      <c r="L7443">
        <v>8.57</v>
      </c>
      <c r="M7443">
        <v>26</v>
      </c>
      <c r="N7443">
        <v>0</v>
      </c>
      <c r="O7443">
        <v>26</v>
      </c>
      <c r="P7443">
        <v>0</v>
      </c>
    </row>
    <row r="7444" spans="1:16" x14ac:dyDescent="0.25">
      <c r="A7444" t="s">
        <v>30014</v>
      </c>
      <c r="B7444" t="s">
        <v>19994</v>
      </c>
      <c r="C7444" t="s">
        <v>15316</v>
      </c>
      <c r="D7444" t="str">
        <f>"1001"</f>
        <v>1001</v>
      </c>
      <c r="E7444" t="s">
        <v>42</v>
      </c>
      <c r="F7444" t="s">
        <v>19552</v>
      </c>
      <c r="G7444" t="s">
        <v>16221</v>
      </c>
      <c r="H7444" t="s">
        <v>47054</v>
      </c>
      <c r="I7444" t="s">
        <v>47120</v>
      </c>
      <c r="J7444" t="s">
        <v>47121</v>
      </c>
      <c r="K7444" t="s">
        <v>47113</v>
      </c>
      <c r="L7444">
        <v>14.8</v>
      </c>
      <c r="M7444">
        <v>29</v>
      </c>
      <c r="N7444">
        <v>0</v>
      </c>
      <c r="O7444">
        <v>29</v>
      </c>
      <c r="P7444">
        <v>0</v>
      </c>
    </row>
    <row r="7445" spans="1:16" x14ac:dyDescent="0.25">
      <c r="A7445" t="s">
        <v>30015</v>
      </c>
      <c r="B7445" t="s">
        <v>19994</v>
      </c>
      <c r="C7445" t="s">
        <v>15316</v>
      </c>
      <c r="D7445" t="str">
        <f>"1800"</f>
        <v>1800</v>
      </c>
      <c r="E7445" t="s">
        <v>1999</v>
      </c>
      <c r="F7445" t="s">
        <v>19552</v>
      </c>
      <c r="G7445" t="s">
        <v>16221</v>
      </c>
      <c r="H7445" t="s">
        <v>47054</v>
      </c>
      <c r="I7445" t="s">
        <v>47120</v>
      </c>
      <c r="J7445" t="s">
        <v>47121</v>
      </c>
      <c r="K7445" t="s">
        <v>47113</v>
      </c>
      <c r="L7445">
        <v>14.8</v>
      </c>
      <c r="M7445">
        <v>29</v>
      </c>
      <c r="N7445">
        <v>0</v>
      </c>
      <c r="O7445">
        <v>29</v>
      </c>
      <c r="P7445">
        <v>0</v>
      </c>
    </row>
    <row r="7446" spans="1:16" x14ac:dyDescent="0.25">
      <c r="A7446" t="s">
        <v>30016</v>
      </c>
      <c r="B7446" t="s">
        <v>15317</v>
      </c>
      <c r="C7446" t="s">
        <v>15318</v>
      </c>
      <c r="D7446" t="str">
        <f>"1254"</f>
        <v>1254</v>
      </c>
      <c r="E7446" t="s">
        <v>6117</v>
      </c>
      <c r="F7446" t="s">
        <v>15183</v>
      </c>
      <c r="G7446" t="s">
        <v>16221</v>
      </c>
      <c r="H7446" t="s">
        <v>47054</v>
      </c>
      <c r="I7446" t="s">
        <v>47569</v>
      </c>
      <c r="J7446" t="s">
        <v>47570</v>
      </c>
      <c r="K7446" t="s">
        <v>47113</v>
      </c>
      <c r="L7446">
        <v>9.44</v>
      </c>
      <c r="M7446">
        <v>26</v>
      </c>
      <c r="N7446">
        <v>0</v>
      </c>
      <c r="O7446">
        <v>26</v>
      </c>
      <c r="P7446">
        <v>0</v>
      </c>
    </row>
    <row r="7447" spans="1:16" x14ac:dyDescent="0.25">
      <c r="A7447" t="s">
        <v>30017</v>
      </c>
      <c r="B7447" t="s">
        <v>15319</v>
      </c>
      <c r="C7447" t="s">
        <v>15320</v>
      </c>
      <c r="D7447" t="str">
        <f>"1800"</f>
        <v>1800</v>
      </c>
      <c r="E7447" t="s">
        <v>1999</v>
      </c>
      <c r="F7447" t="s">
        <v>15183</v>
      </c>
      <c r="G7447" t="s">
        <v>16221</v>
      </c>
      <c r="H7447" t="s">
        <v>47054</v>
      </c>
      <c r="I7447" t="s">
        <v>47116</v>
      </c>
      <c r="J7447" t="s">
        <v>47117</v>
      </c>
      <c r="K7447" t="s">
        <v>47113</v>
      </c>
      <c r="L7447">
        <v>8.2799999999999994</v>
      </c>
      <c r="M7447">
        <v>26</v>
      </c>
      <c r="N7447">
        <v>0</v>
      </c>
      <c r="O7447">
        <v>26</v>
      </c>
      <c r="P7447">
        <v>0</v>
      </c>
    </row>
    <row r="7448" spans="1:16" x14ac:dyDescent="0.25">
      <c r="A7448" t="s">
        <v>30018</v>
      </c>
      <c r="B7448" t="s">
        <v>15319</v>
      </c>
      <c r="C7448" t="s">
        <v>15320</v>
      </c>
      <c r="D7448" t="str">
        <f>"6000"</f>
        <v>6000</v>
      </c>
      <c r="E7448" t="s">
        <v>15321</v>
      </c>
      <c r="F7448" t="s">
        <v>15183</v>
      </c>
      <c r="G7448" t="s">
        <v>16221</v>
      </c>
      <c r="H7448" t="s">
        <v>47054</v>
      </c>
      <c r="I7448" t="s">
        <v>47116</v>
      </c>
      <c r="J7448" t="s">
        <v>47117</v>
      </c>
      <c r="K7448" t="s">
        <v>47113</v>
      </c>
      <c r="L7448">
        <v>8.2799999999999994</v>
      </c>
      <c r="M7448">
        <v>26</v>
      </c>
      <c r="N7448">
        <v>0</v>
      </c>
      <c r="O7448">
        <v>26</v>
      </c>
      <c r="P7448">
        <v>0</v>
      </c>
    </row>
    <row r="7449" spans="1:16" x14ac:dyDescent="0.25">
      <c r="A7449" t="s">
        <v>30019</v>
      </c>
      <c r="B7449" t="s">
        <v>15322</v>
      </c>
      <c r="C7449" t="s">
        <v>15323</v>
      </c>
      <c r="D7449" t="str">
        <f>"1106"</f>
        <v>1106</v>
      </c>
      <c r="E7449" t="s">
        <v>460</v>
      </c>
      <c r="F7449" t="s">
        <v>15183</v>
      </c>
      <c r="G7449" t="s">
        <v>16221</v>
      </c>
      <c r="H7449" t="s">
        <v>47054</v>
      </c>
      <c r="I7449" t="s">
        <v>47569</v>
      </c>
      <c r="J7449" t="s">
        <v>47570</v>
      </c>
      <c r="K7449" t="s">
        <v>47113</v>
      </c>
      <c r="L7449">
        <v>9.66</v>
      </c>
      <c r="M7449">
        <v>26</v>
      </c>
      <c r="N7449">
        <v>0</v>
      </c>
      <c r="O7449">
        <v>26</v>
      </c>
      <c r="P7449">
        <v>0</v>
      </c>
    </row>
    <row r="7450" spans="1:16" x14ac:dyDescent="0.25">
      <c r="A7450" t="s">
        <v>30020</v>
      </c>
      <c r="B7450" t="s">
        <v>19995</v>
      </c>
      <c r="C7450" t="s">
        <v>19996</v>
      </c>
      <c r="D7450" t="s">
        <v>14429</v>
      </c>
      <c r="E7450" t="s">
        <v>60</v>
      </c>
      <c r="F7450" t="s">
        <v>19847</v>
      </c>
      <c r="G7450" t="s">
        <v>16221</v>
      </c>
      <c r="H7450" t="s">
        <v>47054</v>
      </c>
      <c r="I7450" t="s">
        <v>47118</v>
      </c>
      <c r="J7450" t="s">
        <v>47119</v>
      </c>
      <c r="K7450" t="s">
        <v>47113</v>
      </c>
      <c r="L7450">
        <v>15.94</v>
      </c>
      <c r="M7450">
        <v>37</v>
      </c>
      <c r="N7450">
        <v>0</v>
      </c>
      <c r="O7450">
        <v>37</v>
      </c>
      <c r="P7450">
        <v>0</v>
      </c>
    </row>
    <row r="7451" spans="1:16" x14ac:dyDescent="0.25">
      <c r="A7451" t="s">
        <v>30021</v>
      </c>
      <c r="B7451" t="s">
        <v>16877</v>
      </c>
      <c r="C7451" t="s">
        <v>16878</v>
      </c>
      <c r="D7451" t="str">
        <f>"1106"</f>
        <v>1106</v>
      </c>
      <c r="E7451" t="s">
        <v>42</v>
      </c>
      <c r="F7451" t="s">
        <v>16623</v>
      </c>
      <c r="G7451" t="s">
        <v>16221</v>
      </c>
      <c r="H7451" t="s">
        <v>47054</v>
      </c>
      <c r="I7451" t="s">
        <v>47111</v>
      </c>
      <c r="J7451" t="s">
        <v>47112</v>
      </c>
      <c r="K7451" t="s">
        <v>47113</v>
      </c>
      <c r="L7451">
        <v>14.42</v>
      </c>
      <c r="M7451">
        <v>29</v>
      </c>
      <c r="N7451">
        <v>0</v>
      </c>
      <c r="O7451">
        <v>29</v>
      </c>
      <c r="P7451">
        <v>0</v>
      </c>
    </row>
    <row r="7452" spans="1:16" x14ac:dyDescent="0.25">
      <c r="A7452" t="s">
        <v>30022</v>
      </c>
      <c r="B7452" t="s">
        <v>19997</v>
      </c>
      <c r="C7452" t="s">
        <v>19998</v>
      </c>
      <c r="D7452" t="str">
        <f>"1106"</f>
        <v>1106</v>
      </c>
      <c r="E7452" t="s">
        <v>42</v>
      </c>
      <c r="F7452" t="s">
        <v>19908</v>
      </c>
      <c r="G7452" t="s">
        <v>16221</v>
      </c>
      <c r="H7452" t="s">
        <v>47054</v>
      </c>
      <c r="I7452" t="s">
        <v>47154</v>
      </c>
      <c r="J7452" t="s">
        <v>47155</v>
      </c>
      <c r="K7452" t="s">
        <v>47113</v>
      </c>
      <c r="L7452">
        <v>8.8000000000000007</v>
      </c>
      <c r="M7452">
        <v>22</v>
      </c>
      <c r="N7452">
        <v>59</v>
      </c>
      <c r="O7452">
        <v>22</v>
      </c>
      <c r="P7452">
        <v>59</v>
      </c>
    </row>
    <row r="7453" spans="1:16" x14ac:dyDescent="0.25">
      <c r="A7453" t="s">
        <v>30023</v>
      </c>
      <c r="B7453" t="s">
        <v>19997</v>
      </c>
      <c r="C7453" t="s">
        <v>19998</v>
      </c>
      <c r="D7453" t="str">
        <f>"1501"</f>
        <v>1501</v>
      </c>
      <c r="E7453" t="s">
        <v>46</v>
      </c>
      <c r="F7453" t="s">
        <v>19908</v>
      </c>
      <c r="G7453" t="s">
        <v>16221</v>
      </c>
      <c r="H7453" t="s">
        <v>47054</v>
      </c>
      <c r="I7453" t="s">
        <v>47154</v>
      </c>
      <c r="J7453" t="s">
        <v>47155</v>
      </c>
      <c r="K7453" t="s">
        <v>47113</v>
      </c>
      <c r="L7453">
        <v>8.8000000000000007</v>
      </c>
      <c r="M7453">
        <v>22</v>
      </c>
      <c r="N7453">
        <v>59</v>
      </c>
      <c r="O7453">
        <v>22</v>
      </c>
      <c r="P7453">
        <v>59</v>
      </c>
    </row>
    <row r="7454" spans="1:16" x14ac:dyDescent="0.25">
      <c r="A7454" t="s">
        <v>30024</v>
      </c>
      <c r="B7454" t="s">
        <v>19997</v>
      </c>
      <c r="C7454" t="s">
        <v>19998</v>
      </c>
      <c r="D7454" t="str">
        <f>"1800"</f>
        <v>1800</v>
      </c>
      <c r="E7454" t="s">
        <v>1999</v>
      </c>
      <c r="F7454" t="s">
        <v>19908</v>
      </c>
      <c r="G7454" t="s">
        <v>16221</v>
      </c>
      <c r="H7454" t="s">
        <v>47054</v>
      </c>
      <c r="I7454" t="s">
        <v>47154</v>
      </c>
      <c r="J7454" t="s">
        <v>47155</v>
      </c>
      <c r="K7454" t="s">
        <v>47113</v>
      </c>
      <c r="L7454">
        <v>8.8000000000000007</v>
      </c>
      <c r="M7454">
        <v>22</v>
      </c>
      <c r="N7454">
        <v>59</v>
      </c>
      <c r="O7454">
        <v>22</v>
      </c>
      <c r="P7454">
        <v>59</v>
      </c>
    </row>
    <row r="7455" spans="1:16" x14ac:dyDescent="0.25">
      <c r="A7455" t="s">
        <v>30025</v>
      </c>
      <c r="B7455" t="s">
        <v>19997</v>
      </c>
      <c r="C7455" t="s">
        <v>19998</v>
      </c>
      <c r="D7455" t="str">
        <f>"3106"</f>
        <v>3106</v>
      </c>
      <c r="E7455" t="s">
        <v>230</v>
      </c>
      <c r="F7455" t="s">
        <v>19908</v>
      </c>
      <c r="G7455" t="s">
        <v>16221</v>
      </c>
      <c r="H7455" t="s">
        <v>47054</v>
      </c>
      <c r="I7455" t="s">
        <v>47154</v>
      </c>
      <c r="J7455" t="s">
        <v>47155</v>
      </c>
      <c r="K7455" t="s">
        <v>47113</v>
      </c>
      <c r="L7455">
        <v>5.71</v>
      </c>
      <c r="M7455">
        <v>22</v>
      </c>
      <c r="N7455">
        <v>59</v>
      </c>
      <c r="O7455">
        <v>22</v>
      </c>
      <c r="P7455">
        <v>59</v>
      </c>
    </row>
    <row r="7456" spans="1:16" x14ac:dyDescent="0.25">
      <c r="A7456" t="s">
        <v>30026</v>
      </c>
      <c r="B7456" t="s">
        <v>19997</v>
      </c>
      <c r="C7456" t="s">
        <v>19998</v>
      </c>
      <c r="D7456" t="str">
        <f>"4002"</f>
        <v>4002</v>
      </c>
      <c r="E7456" t="s">
        <v>710</v>
      </c>
      <c r="F7456" t="s">
        <v>19908</v>
      </c>
      <c r="G7456" t="s">
        <v>16221</v>
      </c>
      <c r="H7456" t="s">
        <v>47054</v>
      </c>
      <c r="I7456" t="s">
        <v>47154</v>
      </c>
      <c r="J7456" t="s">
        <v>47155</v>
      </c>
      <c r="K7456" t="s">
        <v>47113</v>
      </c>
      <c r="L7456">
        <v>5.4</v>
      </c>
      <c r="M7456">
        <v>22</v>
      </c>
      <c r="N7456">
        <v>59</v>
      </c>
      <c r="O7456">
        <v>22</v>
      </c>
      <c r="P7456">
        <v>59</v>
      </c>
    </row>
    <row r="7457" spans="1:16" x14ac:dyDescent="0.25">
      <c r="A7457" t="s">
        <v>30027</v>
      </c>
      <c r="B7457" t="s">
        <v>19997</v>
      </c>
      <c r="C7457" t="s">
        <v>19998</v>
      </c>
      <c r="D7457" t="str">
        <f>"4302"</f>
        <v>4302</v>
      </c>
      <c r="E7457" t="s">
        <v>1949</v>
      </c>
      <c r="F7457" t="s">
        <v>19908</v>
      </c>
      <c r="G7457" t="s">
        <v>16221</v>
      </c>
      <c r="H7457" t="s">
        <v>47054</v>
      </c>
      <c r="I7457" t="s">
        <v>47154</v>
      </c>
      <c r="J7457" t="s">
        <v>47155</v>
      </c>
      <c r="K7457" t="s">
        <v>47113</v>
      </c>
      <c r="L7457">
        <v>8.8000000000000007</v>
      </c>
      <c r="M7457">
        <v>22</v>
      </c>
      <c r="N7457">
        <v>59</v>
      </c>
      <c r="O7457">
        <v>22</v>
      </c>
      <c r="P7457">
        <v>59</v>
      </c>
    </row>
    <row r="7458" spans="1:16" x14ac:dyDescent="0.25">
      <c r="A7458" t="s">
        <v>30028</v>
      </c>
      <c r="B7458" t="s">
        <v>19997</v>
      </c>
      <c r="C7458" t="s">
        <v>19998</v>
      </c>
      <c r="D7458" t="str">
        <f>"4400"</f>
        <v>4400</v>
      </c>
      <c r="E7458" t="s">
        <v>154</v>
      </c>
      <c r="F7458" t="s">
        <v>19908</v>
      </c>
      <c r="G7458" t="s">
        <v>16221</v>
      </c>
      <c r="H7458" t="s">
        <v>47054</v>
      </c>
      <c r="I7458" t="s">
        <v>47154</v>
      </c>
      <c r="J7458" t="s">
        <v>47155</v>
      </c>
      <c r="K7458" t="s">
        <v>47113</v>
      </c>
      <c r="L7458">
        <v>8.8000000000000007</v>
      </c>
      <c r="M7458">
        <v>22</v>
      </c>
      <c r="N7458">
        <v>59</v>
      </c>
      <c r="O7458">
        <v>22</v>
      </c>
      <c r="P7458">
        <v>59</v>
      </c>
    </row>
    <row r="7459" spans="1:16" x14ac:dyDescent="0.25">
      <c r="A7459" t="s">
        <v>30029</v>
      </c>
      <c r="B7459" t="s">
        <v>19997</v>
      </c>
      <c r="C7459" t="s">
        <v>19998</v>
      </c>
      <c r="D7459" t="str">
        <f>"6000"</f>
        <v>6000</v>
      </c>
      <c r="E7459" t="s">
        <v>6279</v>
      </c>
      <c r="F7459" t="s">
        <v>19908</v>
      </c>
      <c r="G7459" t="s">
        <v>16221</v>
      </c>
      <c r="H7459" t="s">
        <v>47054</v>
      </c>
      <c r="I7459" t="s">
        <v>47154</v>
      </c>
      <c r="J7459" t="s">
        <v>47155</v>
      </c>
      <c r="K7459" t="s">
        <v>47113</v>
      </c>
      <c r="L7459">
        <v>8.8000000000000007</v>
      </c>
      <c r="M7459">
        <v>22</v>
      </c>
      <c r="N7459">
        <v>59</v>
      </c>
      <c r="O7459">
        <v>22</v>
      </c>
      <c r="P7459">
        <v>59</v>
      </c>
    </row>
    <row r="7460" spans="1:16" x14ac:dyDescent="0.25">
      <c r="A7460" t="s">
        <v>30030</v>
      </c>
      <c r="B7460" t="s">
        <v>16879</v>
      </c>
      <c r="C7460" t="s">
        <v>16880</v>
      </c>
      <c r="D7460" t="str">
        <f>"1106"</f>
        <v>1106</v>
      </c>
      <c r="E7460" t="s">
        <v>460</v>
      </c>
      <c r="F7460" t="s">
        <v>16623</v>
      </c>
      <c r="G7460" t="s">
        <v>16232</v>
      </c>
      <c r="H7460" t="s">
        <v>47054</v>
      </c>
      <c r="I7460" t="s">
        <v>47569</v>
      </c>
      <c r="J7460" t="s">
        <v>47570</v>
      </c>
      <c r="K7460" t="s">
        <v>47113</v>
      </c>
      <c r="L7460">
        <v>9.59</v>
      </c>
      <c r="M7460">
        <v>22</v>
      </c>
      <c r="N7460">
        <v>0</v>
      </c>
      <c r="O7460">
        <v>22</v>
      </c>
      <c r="P7460">
        <v>0</v>
      </c>
    </row>
    <row r="7461" spans="1:16" x14ac:dyDescent="0.25">
      <c r="A7461" t="s">
        <v>30031</v>
      </c>
      <c r="B7461" t="s">
        <v>16879</v>
      </c>
      <c r="C7461" t="s">
        <v>16880</v>
      </c>
      <c r="D7461" t="str">
        <f>"1800"</f>
        <v>1800</v>
      </c>
      <c r="E7461" t="s">
        <v>1999</v>
      </c>
      <c r="F7461" t="s">
        <v>16623</v>
      </c>
      <c r="G7461" t="s">
        <v>16232</v>
      </c>
      <c r="H7461" t="s">
        <v>47054</v>
      </c>
      <c r="I7461" t="s">
        <v>47569</v>
      </c>
      <c r="J7461" t="s">
        <v>47570</v>
      </c>
      <c r="K7461" t="s">
        <v>47113</v>
      </c>
      <c r="L7461">
        <v>9.59</v>
      </c>
      <c r="M7461">
        <v>22</v>
      </c>
      <c r="N7461">
        <v>0</v>
      </c>
      <c r="O7461">
        <v>22</v>
      </c>
      <c r="P7461">
        <v>0</v>
      </c>
    </row>
    <row r="7462" spans="1:16" x14ac:dyDescent="0.25">
      <c r="A7462" t="s">
        <v>30032</v>
      </c>
      <c r="B7462" t="s">
        <v>16879</v>
      </c>
      <c r="C7462" t="s">
        <v>16880</v>
      </c>
      <c r="D7462" t="str">
        <f>"4403"</f>
        <v>4403</v>
      </c>
      <c r="E7462" t="s">
        <v>15303</v>
      </c>
      <c r="F7462" t="s">
        <v>16623</v>
      </c>
      <c r="G7462" t="s">
        <v>16232</v>
      </c>
      <c r="H7462" t="s">
        <v>47054</v>
      </c>
      <c r="I7462" t="s">
        <v>47569</v>
      </c>
      <c r="J7462" t="s">
        <v>47570</v>
      </c>
      <c r="K7462" t="s">
        <v>47113</v>
      </c>
      <c r="L7462">
        <v>9.59</v>
      </c>
      <c r="M7462">
        <v>22</v>
      </c>
      <c r="N7462">
        <v>0</v>
      </c>
      <c r="O7462">
        <v>22</v>
      </c>
      <c r="P7462">
        <v>0</v>
      </c>
    </row>
    <row r="7463" spans="1:16" x14ac:dyDescent="0.25">
      <c r="A7463" t="s">
        <v>30033</v>
      </c>
      <c r="B7463" t="s">
        <v>16879</v>
      </c>
      <c r="C7463" t="s">
        <v>16880</v>
      </c>
      <c r="D7463" t="str">
        <f>"5000"</f>
        <v>5000</v>
      </c>
      <c r="E7463" t="s">
        <v>16881</v>
      </c>
      <c r="F7463" t="s">
        <v>16730</v>
      </c>
      <c r="G7463" t="s">
        <v>16232</v>
      </c>
      <c r="H7463" t="s">
        <v>47054</v>
      </c>
      <c r="I7463" t="s">
        <v>47569</v>
      </c>
      <c r="J7463" t="s">
        <v>47570</v>
      </c>
      <c r="K7463" t="s">
        <v>47113</v>
      </c>
      <c r="L7463">
        <v>9.59</v>
      </c>
      <c r="M7463">
        <v>22</v>
      </c>
      <c r="N7463">
        <v>0</v>
      </c>
      <c r="O7463">
        <v>22</v>
      </c>
      <c r="P7463">
        <v>0</v>
      </c>
    </row>
    <row r="7464" spans="1:16" x14ac:dyDescent="0.25">
      <c r="A7464" t="s">
        <v>30034</v>
      </c>
      <c r="B7464" t="s">
        <v>16879</v>
      </c>
      <c r="C7464" t="s">
        <v>16880</v>
      </c>
      <c r="D7464" t="str">
        <f>"6000"</f>
        <v>6000</v>
      </c>
      <c r="E7464" t="s">
        <v>16882</v>
      </c>
      <c r="F7464" t="s">
        <v>16623</v>
      </c>
      <c r="G7464" t="s">
        <v>16232</v>
      </c>
      <c r="H7464" t="s">
        <v>47054</v>
      </c>
      <c r="I7464" t="s">
        <v>47569</v>
      </c>
      <c r="J7464" t="s">
        <v>47570</v>
      </c>
      <c r="K7464" t="s">
        <v>47113</v>
      </c>
      <c r="L7464">
        <v>9.59</v>
      </c>
      <c r="M7464">
        <v>22</v>
      </c>
      <c r="N7464">
        <v>0</v>
      </c>
      <c r="O7464">
        <v>22</v>
      </c>
      <c r="P7464">
        <v>0</v>
      </c>
    </row>
    <row r="7465" spans="1:16" x14ac:dyDescent="0.25">
      <c r="A7465" t="s">
        <v>30035</v>
      </c>
      <c r="B7465" t="s">
        <v>19999</v>
      </c>
      <c r="C7465" t="s">
        <v>20000</v>
      </c>
      <c r="D7465" t="str">
        <f>"1501"</f>
        <v>1501</v>
      </c>
      <c r="E7465" t="s">
        <v>46</v>
      </c>
      <c r="F7465" t="s">
        <v>16933</v>
      </c>
      <c r="G7465" t="s">
        <v>16221</v>
      </c>
      <c r="H7465" t="s">
        <v>47054</v>
      </c>
      <c r="I7465" t="s">
        <v>47154</v>
      </c>
      <c r="J7465" t="s">
        <v>47155</v>
      </c>
      <c r="K7465" t="s">
        <v>47113</v>
      </c>
      <c r="L7465">
        <v>11.66</v>
      </c>
      <c r="M7465">
        <v>29</v>
      </c>
      <c r="N7465">
        <v>0</v>
      </c>
      <c r="O7465">
        <v>29</v>
      </c>
      <c r="P7465">
        <v>0</v>
      </c>
    </row>
    <row r="7466" spans="1:16" x14ac:dyDescent="0.25">
      <c r="A7466" t="s">
        <v>30036</v>
      </c>
      <c r="B7466" t="s">
        <v>20001</v>
      </c>
      <c r="C7466" t="s">
        <v>20002</v>
      </c>
      <c r="D7466" t="str">
        <f>"1800"</f>
        <v>1800</v>
      </c>
      <c r="E7466" t="s">
        <v>1999</v>
      </c>
      <c r="F7466" t="s">
        <v>19908</v>
      </c>
      <c r="G7466" t="s">
        <v>16221</v>
      </c>
      <c r="H7466" t="s">
        <v>47054</v>
      </c>
      <c r="I7466" t="s">
        <v>47118</v>
      </c>
      <c r="J7466" t="s">
        <v>47119</v>
      </c>
      <c r="K7466" t="s">
        <v>47113</v>
      </c>
      <c r="L7466">
        <v>13.36</v>
      </c>
      <c r="M7466">
        <v>29</v>
      </c>
      <c r="N7466">
        <v>0</v>
      </c>
      <c r="O7466">
        <v>29</v>
      </c>
      <c r="P7466">
        <v>0</v>
      </c>
    </row>
    <row r="7467" spans="1:16" x14ac:dyDescent="0.25">
      <c r="A7467" t="s">
        <v>30037</v>
      </c>
      <c r="B7467" t="s">
        <v>20003</v>
      </c>
      <c r="C7467" t="s">
        <v>20004</v>
      </c>
      <c r="D7467" t="str">
        <f>"1800"</f>
        <v>1800</v>
      </c>
      <c r="E7467" t="s">
        <v>1999</v>
      </c>
      <c r="F7467" t="s">
        <v>19552</v>
      </c>
      <c r="G7467" t="s">
        <v>16221</v>
      </c>
      <c r="H7467" t="s">
        <v>47054</v>
      </c>
      <c r="I7467" t="s">
        <v>47154</v>
      </c>
      <c r="J7467" t="s">
        <v>47155</v>
      </c>
      <c r="K7467" t="s">
        <v>47113</v>
      </c>
      <c r="L7467">
        <v>6.93</v>
      </c>
      <c r="M7467">
        <v>29</v>
      </c>
      <c r="N7467">
        <v>0</v>
      </c>
      <c r="O7467">
        <v>29</v>
      </c>
      <c r="P7467">
        <v>0</v>
      </c>
    </row>
    <row r="7468" spans="1:16" x14ac:dyDescent="0.25">
      <c r="A7468" t="s">
        <v>30038</v>
      </c>
      <c r="B7468" t="s">
        <v>20003</v>
      </c>
      <c r="C7468" t="s">
        <v>20004</v>
      </c>
      <c r="D7468" t="str">
        <f>"3071"</f>
        <v>3071</v>
      </c>
      <c r="E7468" t="s">
        <v>20005</v>
      </c>
      <c r="F7468" t="s">
        <v>19552</v>
      </c>
      <c r="G7468" t="s">
        <v>16221</v>
      </c>
      <c r="H7468" t="s">
        <v>47054</v>
      </c>
      <c r="I7468" t="s">
        <v>47154</v>
      </c>
      <c r="J7468" t="s">
        <v>47155</v>
      </c>
      <c r="K7468" t="s">
        <v>47113</v>
      </c>
      <c r="L7468">
        <v>8.51</v>
      </c>
      <c r="M7468">
        <v>29</v>
      </c>
      <c r="N7468">
        <v>0</v>
      </c>
      <c r="O7468">
        <v>29</v>
      </c>
      <c r="P7468">
        <v>0</v>
      </c>
    </row>
    <row r="7469" spans="1:16" x14ac:dyDescent="0.25">
      <c r="A7469" t="s">
        <v>30039</v>
      </c>
      <c r="B7469" t="s">
        <v>20006</v>
      </c>
      <c r="C7469" t="s">
        <v>20007</v>
      </c>
      <c r="D7469" t="str">
        <f>"1106"</f>
        <v>1106</v>
      </c>
      <c r="E7469" t="s">
        <v>42</v>
      </c>
      <c r="F7469" t="s">
        <v>19552</v>
      </c>
      <c r="G7469" t="s">
        <v>16221</v>
      </c>
      <c r="H7469" t="s">
        <v>47054</v>
      </c>
      <c r="I7469" t="s">
        <v>47118</v>
      </c>
      <c r="J7469" t="s">
        <v>47119</v>
      </c>
      <c r="K7469" t="s">
        <v>47113</v>
      </c>
      <c r="L7469">
        <v>18.02</v>
      </c>
      <c r="M7469">
        <v>37</v>
      </c>
      <c r="N7469">
        <v>0</v>
      </c>
      <c r="O7469">
        <v>37</v>
      </c>
      <c r="P7469">
        <v>0</v>
      </c>
    </row>
    <row r="7470" spans="1:16" x14ac:dyDescent="0.25">
      <c r="A7470" t="s">
        <v>30040</v>
      </c>
      <c r="B7470" t="s">
        <v>20008</v>
      </c>
      <c r="C7470" t="s">
        <v>20009</v>
      </c>
      <c r="D7470" t="str">
        <f>"1106"</f>
        <v>1106</v>
      </c>
      <c r="E7470" t="s">
        <v>42</v>
      </c>
      <c r="F7470" t="s">
        <v>19559</v>
      </c>
      <c r="G7470" t="s">
        <v>16221</v>
      </c>
      <c r="H7470" t="s">
        <v>47054</v>
      </c>
      <c r="I7470" t="s">
        <v>47154</v>
      </c>
      <c r="J7470" t="s">
        <v>47155</v>
      </c>
      <c r="K7470" t="s">
        <v>47113</v>
      </c>
      <c r="L7470">
        <v>9.1999999999999993</v>
      </c>
      <c r="M7470">
        <v>29</v>
      </c>
      <c r="N7470">
        <v>0</v>
      </c>
      <c r="O7470">
        <v>29</v>
      </c>
      <c r="P7470">
        <v>0</v>
      </c>
    </row>
    <row r="7471" spans="1:16" x14ac:dyDescent="0.25">
      <c r="A7471" t="s">
        <v>30041</v>
      </c>
      <c r="B7471" t="s">
        <v>20008</v>
      </c>
      <c r="C7471" t="s">
        <v>20009</v>
      </c>
      <c r="D7471" t="str">
        <f>"1800"</f>
        <v>1800</v>
      </c>
      <c r="E7471" t="s">
        <v>1999</v>
      </c>
      <c r="F7471" t="s">
        <v>19559</v>
      </c>
      <c r="G7471" t="s">
        <v>16221</v>
      </c>
      <c r="H7471" t="s">
        <v>47054</v>
      </c>
      <c r="I7471" t="s">
        <v>47154</v>
      </c>
      <c r="J7471" t="s">
        <v>47155</v>
      </c>
      <c r="K7471" t="s">
        <v>47113</v>
      </c>
      <c r="L7471">
        <v>7.37</v>
      </c>
      <c r="M7471">
        <v>29</v>
      </c>
      <c r="N7471">
        <v>0</v>
      </c>
      <c r="O7471">
        <v>29</v>
      </c>
      <c r="P7471">
        <v>0</v>
      </c>
    </row>
    <row r="7472" spans="1:16" x14ac:dyDescent="0.25">
      <c r="A7472" t="s">
        <v>30042</v>
      </c>
      <c r="B7472" t="s">
        <v>16276</v>
      </c>
      <c r="C7472" t="s">
        <v>16277</v>
      </c>
      <c r="D7472" t="str">
        <f>"1106"</f>
        <v>1106</v>
      </c>
      <c r="E7472" t="s">
        <v>460</v>
      </c>
      <c r="F7472" t="s">
        <v>15183</v>
      </c>
      <c r="G7472" t="s">
        <v>16221</v>
      </c>
      <c r="I7472" t="s">
        <v>47116</v>
      </c>
      <c r="J7472" t="s">
        <v>47117</v>
      </c>
      <c r="K7472" t="s">
        <v>47113</v>
      </c>
      <c r="L7472">
        <v>9.89</v>
      </c>
      <c r="M7472">
        <v>26</v>
      </c>
      <c r="N7472">
        <v>0</v>
      </c>
      <c r="O7472">
        <v>26</v>
      </c>
      <c r="P7472">
        <v>0</v>
      </c>
    </row>
    <row r="7473" spans="1:16" x14ac:dyDescent="0.25">
      <c r="A7473" t="s">
        <v>30043</v>
      </c>
      <c r="B7473" t="s">
        <v>16278</v>
      </c>
      <c r="C7473" t="s">
        <v>16279</v>
      </c>
      <c r="D7473" t="str">
        <f>"4403"</f>
        <v>4403</v>
      </c>
      <c r="E7473" t="s">
        <v>15303</v>
      </c>
      <c r="F7473" t="s">
        <v>15183</v>
      </c>
      <c r="G7473" t="s">
        <v>16221</v>
      </c>
      <c r="I7473" t="s">
        <v>47111</v>
      </c>
      <c r="J7473" t="s">
        <v>47112</v>
      </c>
      <c r="K7473" t="s">
        <v>47113</v>
      </c>
      <c r="L7473">
        <v>9.4600000000000009</v>
      </c>
      <c r="M7473">
        <v>26</v>
      </c>
      <c r="N7473">
        <v>0</v>
      </c>
      <c r="O7473">
        <v>26</v>
      </c>
      <c r="P7473">
        <v>0</v>
      </c>
    </row>
    <row r="7474" spans="1:16" x14ac:dyDescent="0.25">
      <c r="A7474" t="s">
        <v>30044</v>
      </c>
      <c r="B7474" t="s">
        <v>16883</v>
      </c>
      <c r="C7474" t="s">
        <v>16884</v>
      </c>
      <c r="D7474" t="str">
        <f>"1501"</f>
        <v>1501</v>
      </c>
      <c r="E7474" t="s">
        <v>46</v>
      </c>
      <c r="F7474" t="s">
        <v>16762</v>
      </c>
      <c r="G7474" t="s">
        <v>16221</v>
      </c>
      <c r="H7474" t="s">
        <v>47054</v>
      </c>
      <c r="I7474" t="s">
        <v>47111</v>
      </c>
      <c r="J7474" t="s">
        <v>47112</v>
      </c>
      <c r="K7474" t="s">
        <v>47113</v>
      </c>
      <c r="L7474">
        <v>16.27</v>
      </c>
      <c r="M7474">
        <v>29</v>
      </c>
      <c r="N7474">
        <v>0</v>
      </c>
      <c r="O7474">
        <v>29</v>
      </c>
      <c r="P7474">
        <v>0</v>
      </c>
    </row>
    <row r="7475" spans="1:16" x14ac:dyDescent="0.25">
      <c r="A7475" t="s">
        <v>30045</v>
      </c>
      <c r="B7475" t="s">
        <v>20010</v>
      </c>
      <c r="C7475" t="s">
        <v>16875</v>
      </c>
      <c r="D7475" t="str">
        <f>"1001"</f>
        <v>1001</v>
      </c>
      <c r="E7475" t="s">
        <v>42</v>
      </c>
      <c r="F7475" t="s">
        <v>19559</v>
      </c>
      <c r="G7475" t="s">
        <v>16232</v>
      </c>
      <c r="H7475" t="s">
        <v>47054</v>
      </c>
      <c r="I7475" t="s">
        <v>47120</v>
      </c>
      <c r="J7475" t="s">
        <v>47121</v>
      </c>
      <c r="K7475" t="s">
        <v>47113</v>
      </c>
      <c r="L7475">
        <v>13.59</v>
      </c>
      <c r="M7475">
        <v>33</v>
      </c>
      <c r="N7475">
        <v>0</v>
      </c>
      <c r="O7475">
        <v>33</v>
      </c>
      <c r="P7475">
        <v>0</v>
      </c>
    </row>
    <row r="7476" spans="1:16" x14ac:dyDescent="0.25">
      <c r="A7476" t="s">
        <v>30046</v>
      </c>
      <c r="B7476" t="s">
        <v>20010</v>
      </c>
      <c r="C7476" t="s">
        <v>16875</v>
      </c>
      <c r="D7476" t="str">
        <f>"3071"</f>
        <v>3071</v>
      </c>
      <c r="E7476" t="s">
        <v>16876</v>
      </c>
      <c r="F7476" t="s">
        <v>20496</v>
      </c>
      <c r="G7476" t="s">
        <v>16232</v>
      </c>
      <c r="H7476" t="s">
        <v>47054</v>
      </c>
      <c r="I7476" t="s">
        <v>47120</v>
      </c>
      <c r="J7476" t="s">
        <v>47121</v>
      </c>
      <c r="K7476" t="s">
        <v>47113</v>
      </c>
      <c r="L7476">
        <v>11.08</v>
      </c>
      <c r="M7476">
        <v>33</v>
      </c>
      <c r="N7476">
        <v>0</v>
      </c>
      <c r="O7476">
        <v>33</v>
      </c>
      <c r="P7476">
        <v>0</v>
      </c>
    </row>
    <row r="7477" spans="1:16" x14ac:dyDescent="0.25">
      <c r="A7477" t="s">
        <v>30047</v>
      </c>
      <c r="B7477" t="s">
        <v>20010</v>
      </c>
      <c r="C7477" t="s">
        <v>16875</v>
      </c>
      <c r="D7477" t="str">
        <f>"3514"</f>
        <v>3514</v>
      </c>
      <c r="E7477" t="s">
        <v>20005</v>
      </c>
      <c r="F7477" t="s">
        <v>19559</v>
      </c>
      <c r="G7477" t="s">
        <v>16232</v>
      </c>
      <c r="H7477" t="s">
        <v>47054</v>
      </c>
      <c r="I7477" t="s">
        <v>47120</v>
      </c>
      <c r="J7477" t="s">
        <v>47121</v>
      </c>
      <c r="K7477" t="s">
        <v>47113</v>
      </c>
      <c r="L7477">
        <v>12.38</v>
      </c>
      <c r="M7477">
        <v>29</v>
      </c>
      <c r="N7477">
        <v>0</v>
      </c>
      <c r="O7477">
        <v>29</v>
      </c>
      <c r="P7477">
        <v>0</v>
      </c>
    </row>
    <row r="7478" spans="1:16" x14ac:dyDescent="0.25">
      <c r="A7478" t="s">
        <v>30048</v>
      </c>
      <c r="B7478" t="s">
        <v>20010</v>
      </c>
      <c r="C7478" t="s">
        <v>16875</v>
      </c>
      <c r="D7478" t="str">
        <f>"4168"</f>
        <v>4168</v>
      </c>
      <c r="E7478" t="s">
        <v>4175</v>
      </c>
      <c r="F7478" t="s">
        <v>19559</v>
      </c>
      <c r="G7478" t="s">
        <v>16232</v>
      </c>
      <c r="H7478" t="s">
        <v>47054</v>
      </c>
      <c r="I7478" t="s">
        <v>47120</v>
      </c>
      <c r="J7478" t="s">
        <v>47121</v>
      </c>
      <c r="K7478" t="s">
        <v>47113</v>
      </c>
      <c r="L7478">
        <v>13.59</v>
      </c>
      <c r="M7478">
        <v>33</v>
      </c>
      <c r="N7478">
        <v>0</v>
      </c>
      <c r="O7478">
        <v>33</v>
      </c>
      <c r="P7478">
        <v>0</v>
      </c>
    </row>
    <row r="7479" spans="1:16" x14ac:dyDescent="0.25">
      <c r="A7479" t="s">
        <v>30049</v>
      </c>
      <c r="B7479" t="s">
        <v>20010</v>
      </c>
      <c r="C7479" t="s">
        <v>16875</v>
      </c>
      <c r="D7479" t="str">
        <f>"6067"</f>
        <v>6067</v>
      </c>
      <c r="E7479" t="s">
        <v>11922</v>
      </c>
      <c r="F7479" t="s">
        <v>20496</v>
      </c>
      <c r="G7479" t="s">
        <v>16232</v>
      </c>
      <c r="H7479" t="s">
        <v>47054</v>
      </c>
      <c r="I7479" t="s">
        <v>47120</v>
      </c>
      <c r="J7479" t="s">
        <v>47121</v>
      </c>
      <c r="K7479" t="s">
        <v>47113</v>
      </c>
      <c r="L7479">
        <v>11.08</v>
      </c>
      <c r="M7479">
        <v>33</v>
      </c>
      <c r="N7479">
        <v>0</v>
      </c>
      <c r="O7479">
        <v>33</v>
      </c>
      <c r="P7479">
        <v>0</v>
      </c>
    </row>
    <row r="7480" spans="1:16" x14ac:dyDescent="0.25">
      <c r="A7480" t="s">
        <v>22738</v>
      </c>
      <c r="B7480" t="s">
        <v>20011</v>
      </c>
      <c r="C7480" t="s">
        <v>20012</v>
      </c>
      <c r="D7480" t="str">
        <f>"1501"</f>
        <v>1501</v>
      </c>
      <c r="E7480" t="s">
        <v>17312</v>
      </c>
      <c r="F7480" t="s">
        <v>19559</v>
      </c>
      <c r="G7480" t="s">
        <v>16221</v>
      </c>
      <c r="H7480" t="s">
        <v>47054</v>
      </c>
      <c r="I7480" t="s">
        <v>47118</v>
      </c>
      <c r="J7480" t="s">
        <v>47119</v>
      </c>
      <c r="K7480" t="s">
        <v>47113</v>
      </c>
      <c r="L7480">
        <v>15.47</v>
      </c>
      <c r="M7480">
        <v>29</v>
      </c>
      <c r="N7480">
        <v>0</v>
      </c>
      <c r="O7480">
        <v>29</v>
      </c>
      <c r="P7480">
        <v>0</v>
      </c>
    </row>
    <row r="7481" spans="1:16" x14ac:dyDescent="0.25">
      <c r="A7481" t="s">
        <v>30050</v>
      </c>
      <c r="B7481" t="s">
        <v>20011</v>
      </c>
      <c r="C7481" t="s">
        <v>20012</v>
      </c>
      <c r="D7481" t="str">
        <f>"1800"</f>
        <v>1800</v>
      </c>
      <c r="E7481" t="s">
        <v>20013</v>
      </c>
      <c r="F7481" t="s">
        <v>19559</v>
      </c>
      <c r="G7481" t="s">
        <v>16221</v>
      </c>
      <c r="H7481" t="s">
        <v>47054</v>
      </c>
      <c r="I7481" t="s">
        <v>47118</v>
      </c>
      <c r="J7481" t="s">
        <v>47119</v>
      </c>
      <c r="K7481" t="s">
        <v>47113</v>
      </c>
      <c r="L7481">
        <v>15.47</v>
      </c>
      <c r="M7481">
        <v>37</v>
      </c>
      <c r="N7481">
        <v>0</v>
      </c>
      <c r="O7481">
        <v>37</v>
      </c>
      <c r="P7481">
        <v>0</v>
      </c>
    </row>
    <row r="7482" spans="1:16" x14ac:dyDescent="0.25">
      <c r="A7482" t="s">
        <v>30051</v>
      </c>
      <c r="B7482" t="s">
        <v>16885</v>
      </c>
      <c r="C7482" t="s">
        <v>16886</v>
      </c>
      <c r="D7482" t="str">
        <f>"1541"</f>
        <v>1541</v>
      </c>
      <c r="E7482" t="s">
        <v>6246</v>
      </c>
      <c r="F7482" t="s">
        <v>16746</v>
      </c>
      <c r="G7482" t="s">
        <v>16221</v>
      </c>
      <c r="H7482" t="s">
        <v>47054</v>
      </c>
      <c r="I7482" t="s">
        <v>47111</v>
      </c>
      <c r="J7482" t="s">
        <v>47112</v>
      </c>
      <c r="K7482" t="s">
        <v>47113</v>
      </c>
      <c r="L7482">
        <v>12.93</v>
      </c>
      <c r="M7482">
        <v>26</v>
      </c>
      <c r="N7482">
        <v>0</v>
      </c>
      <c r="O7482">
        <v>26</v>
      </c>
      <c r="P7482">
        <v>0</v>
      </c>
    </row>
    <row r="7483" spans="1:16" x14ac:dyDescent="0.25">
      <c r="A7483" t="s">
        <v>30052</v>
      </c>
      <c r="B7483" t="s">
        <v>16885</v>
      </c>
      <c r="C7483" t="s">
        <v>16886</v>
      </c>
      <c r="D7483" t="str">
        <f>"1800"</f>
        <v>1800</v>
      </c>
      <c r="E7483" t="s">
        <v>1999</v>
      </c>
      <c r="F7483" t="s">
        <v>16746</v>
      </c>
      <c r="G7483" t="s">
        <v>16221</v>
      </c>
      <c r="H7483" t="s">
        <v>47054</v>
      </c>
      <c r="I7483" t="s">
        <v>47111</v>
      </c>
      <c r="J7483" t="s">
        <v>47112</v>
      </c>
      <c r="K7483" t="s">
        <v>47113</v>
      </c>
      <c r="L7483">
        <v>12.93</v>
      </c>
      <c r="M7483">
        <v>26</v>
      </c>
      <c r="N7483">
        <v>0</v>
      </c>
      <c r="O7483">
        <v>26</v>
      </c>
      <c r="P7483">
        <v>0</v>
      </c>
    </row>
    <row r="7484" spans="1:16" x14ac:dyDescent="0.25">
      <c r="A7484" t="s">
        <v>30053</v>
      </c>
      <c r="B7484" t="s">
        <v>20014</v>
      </c>
      <c r="C7484" t="s">
        <v>16886</v>
      </c>
      <c r="D7484" t="str">
        <f>"1541"</f>
        <v>1541</v>
      </c>
      <c r="E7484" t="s">
        <v>6246</v>
      </c>
      <c r="F7484" t="s">
        <v>16746</v>
      </c>
      <c r="G7484" t="s">
        <v>16221</v>
      </c>
      <c r="H7484" t="s">
        <v>47054</v>
      </c>
      <c r="I7484" t="s">
        <v>47111</v>
      </c>
      <c r="J7484" t="s">
        <v>47112</v>
      </c>
      <c r="K7484" t="s">
        <v>47113</v>
      </c>
      <c r="L7484">
        <v>13.31</v>
      </c>
      <c r="M7484">
        <v>26</v>
      </c>
      <c r="N7484">
        <v>0</v>
      </c>
      <c r="O7484">
        <v>26</v>
      </c>
      <c r="P7484">
        <v>0</v>
      </c>
    </row>
    <row r="7485" spans="1:16" x14ac:dyDescent="0.25">
      <c r="A7485" t="s">
        <v>30054</v>
      </c>
      <c r="B7485" t="s">
        <v>20014</v>
      </c>
      <c r="C7485" t="s">
        <v>16886</v>
      </c>
      <c r="D7485" t="str">
        <f>"1800"</f>
        <v>1800</v>
      </c>
      <c r="E7485" t="s">
        <v>1999</v>
      </c>
      <c r="F7485" t="s">
        <v>16746</v>
      </c>
      <c r="G7485" t="s">
        <v>16221</v>
      </c>
      <c r="H7485" t="s">
        <v>47054</v>
      </c>
      <c r="I7485" t="s">
        <v>47111</v>
      </c>
      <c r="J7485" t="s">
        <v>47112</v>
      </c>
      <c r="K7485" t="s">
        <v>47113</v>
      </c>
      <c r="L7485">
        <v>13.31</v>
      </c>
      <c r="M7485">
        <v>26</v>
      </c>
      <c r="N7485">
        <v>0</v>
      </c>
      <c r="O7485">
        <v>26</v>
      </c>
      <c r="P7485">
        <v>0</v>
      </c>
    </row>
    <row r="7486" spans="1:16" x14ac:dyDescent="0.25">
      <c r="A7486" t="s">
        <v>30055</v>
      </c>
      <c r="B7486" t="s">
        <v>30056</v>
      </c>
      <c r="C7486" t="s">
        <v>16469</v>
      </c>
      <c r="D7486" t="s">
        <v>29778</v>
      </c>
      <c r="E7486" t="s">
        <v>29779</v>
      </c>
      <c r="F7486" t="s">
        <v>24617</v>
      </c>
      <c r="G7486" t="s">
        <v>16231</v>
      </c>
      <c r="H7486" t="s">
        <v>47054</v>
      </c>
      <c r="I7486" t="s">
        <v>47111</v>
      </c>
      <c r="J7486" t="s">
        <v>47112</v>
      </c>
      <c r="K7486" t="s">
        <v>47113</v>
      </c>
      <c r="L7486">
        <v>58.94</v>
      </c>
      <c r="M7486">
        <v>129</v>
      </c>
      <c r="N7486">
        <v>349</v>
      </c>
      <c r="O7486">
        <v>129</v>
      </c>
      <c r="P7486">
        <v>349</v>
      </c>
    </row>
    <row r="7487" spans="1:16" x14ac:dyDescent="0.25">
      <c r="A7487" t="s">
        <v>16887</v>
      </c>
      <c r="B7487" t="s">
        <v>15324</v>
      </c>
      <c r="C7487" t="s">
        <v>16888</v>
      </c>
      <c r="D7487" t="s">
        <v>15251</v>
      </c>
      <c r="E7487" t="s">
        <v>15252</v>
      </c>
      <c r="F7487" t="s">
        <v>15183</v>
      </c>
      <c r="G7487" t="s">
        <v>16231</v>
      </c>
      <c r="H7487" t="s">
        <v>47054</v>
      </c>
      <c r="I7487" t="s">
        <v>47111</v>
      </c>
      <c r="J7487" t="s">
        <v>47112</v>
      </c>
      <c r="K7487" t="s">
        <v>47113</v>
      </c>
      <c r="L7487">
        <v>64.650000000000006</v>
      </c>
      <c r="M7487">
        <v>90</v>
      </c>
      <c r="N7487">
        <v>0</v>
      </c>
      <c r="O7487">
        <v>90</v>
      </c>
      <c r="P7487">
        <v>0</v>
      </c>
    </row>
    <row r="7488" spans="1:16" x14ac:dyDescent="0.25">
      <c r="A7488" t="s">
        <v>16889</v>
      </c>
      <c r="B7488" t="s">
        <v>15325</v>
      </c>
      <c r="C7488" t="s">
        <v>19483</v>
      </c>
      <c r="D7488" t="s">
        <v>5544</v>
      </c>
      <c r="E7488" t="s">
        <v>5545</v>
      </c>
      <c r="F7488" t="s">
        <v>15183</v>
      </c>
      <c r="G7488" t="s">
        <v>16231</v>
      </c>
      <c r="H7488" t="s">
        <v>47054</v>
      </c>
      <c r="I7488" t="s">
        <v>47111</v>
      </c>
      <c r="J7488" t="s">
        <v>47112</v>
      </c>
      <c r="K7488" t="s">
        <v>47113</v>
      </c>
      <c r="L7488">
        <v>43.21</v>
      </c>
      <c r="M7488">
        <v>90</v>
      </c>
      <c r="N7488">
        <v>0</v>
      </c>
      <c r="O7488">
        <v>90</v>
      </c>
      <c r="P7488">
        <v>0</v>
      </c>
    </row>
    <row r="7489" spans="1:16" x14ac:dyDescent="0.25">
      <c r="A7489" t="s">
        <v>30057</v>
      </c>
      <c r="B7489" t="s">
        <v>15325</v>
      </c>
      <c r="C7489" t="s">
        <v>19483</v>
      </c>
      <c r="D7489" t="s">
        <v>15326</v>
      </c>
      <c r="E7489" t="s">
        <v>15327</v>
      </c>
      <c r="F7489" t="s">
        <v>15183</v>
      </c>
      <c r="G7489" t="s">
        <v>16231</v>
      </c>
      <c r="H7489" t="s">
        <v>47054</v>
      </c>
      <c r="I7489" t="s">
        <v>47111</v>
      </c>
      <c r="J7489" t="s">
        <v>47112</v>
      </c>
      <c r="K7489" t="s">
        <v>47113</v>
      </c>
      <c r="L7489">
        <v>46.7</v>
      </c>
      <c r="M7489">
        <v>95</v>
      </c>
      <c r="N7489">
        <v>0</v>
      </c>
      <c r="O7489">
        <v>95</v>
      </c>
      <c r="P7489">
        <v>0</v>
      </c>
    </row>
    <row r="7490" spans="1:16" x14ac:dyDescent="0.25">
      <c r="A7490" t="s">
        <v>30058</v>
      </c>
      <c r="B7490" t="s">
        <v>16890</v>
      </c>
      <c r="C7490" t="s">
        <v>8168</v>
      </c>
      <c r="D7490" t="s">
        <v>16773</v>
      </c>
      <c r="E7490" t="s">
        <v>16774</v>
      </c>
      <c r="F7490" t="s">
        <v>16771</v>
      </c>
      <c r="G7490" t="s">
        <v>16231</v>
      </c>
      <c r="H7490" t="s">
        <v>47054</v>
      </c>
      <c r="I7490" t="s">
        <v>47111</v>
      </c>
      <c r="J7490" t="s">
        <v>47112</v>
      </c>
      <c r="K7490" t="s">
        <v>47113</v>
      </c>
      <c r="L7490">
        <v>50.4</v>
      </c>
      <c r="M7490">
        <v>92</v>
      </c>
      <c r="N7490">
        <v>0</v>
      </c>
      <c r="O7490">
        <v>92</v>
      </c>
      <c r="P7490">
        <v>0</v>
      </c>
    </row>
    <row r="7491" spans="1:16" x14ac:dyDescent="0.25">
      <c r="A7491" t="s">
        <v>30059</v>
      </c>
      <c r="B7491" t="s">
        <v>16890</v>
      </c>
      <c r="C7491" t="s">
        <v>8168</v>
      </c>
      <c r="D7491" t="s">
        <v>16857</v>
      </c>
      <c r="E7491" t="s">
        <v>16858</v>
      </c>
      <c r="F7491" t="s">
        <v>16771</v>
      </c>
      <c r="G7491" t="s">
        <v>16231</v>
      </c>
      <c r="H7491" t="s">
        <v>47054</v>
      </c>
      <c r="I7491" t="s">
        <v>47111</v>
      </c>
      <c r="J7491" t="s">
        <v>47112</v>
      </c>
      <c r="K7491" t="s">
        <v>47113</v>
      </c>
      <c r="L7491">
        <v>52.09</v>
      </c>
      <c r="M7491">
        <v>100</v>
      </c>
      <c r="N7491">
        <v>0</v>
      </c>
      <c r="O7491">
        <v>100</v>
      </c>
      <c r="P7491">
        <v>0</v>
      </c>
    </row>
    <row r="7492" spans="1:16" x14ac:dyDescent="0.25">
      <c r="A7492" t="s">
        <v>30060</v>
      </c>
      <c r="B7492" t="s">
        <v>16891</v>
      </c>
      <c r="C7492" t="s">
        <v>16469</v>
      </c>
      <c r="D7492" t="s">
        <v>16741</v>
      </c>
      <c r="E7492" t="s">
        <v>16742</v>
      </c>
      <c r="F7492" t="s">
        <v>16730</v>
      </c>
      <c r="G7492" t="s">
        <v>16231</v>
      </c>
      <c r="I7492" t="s">
        <v>47111</v>
      </c>
      <c r="J7492" t="s">
        <v>47112</v>
      </c>
      <c r="K7492" t="s">
        <v>47113</v>
      </c>
      <c r="L7492">
        <v>64.599999999999994</v>
      </c>
      <c r="M7492">
        <v>100</v>
      </c>
      <c r="N7492">
        <v>0</v>
      </c>
      <c r="O7492">
        <v>100</v>
      </c>
      <c r="P7492">
        <v>0</v>
      </c>
    </row>
    <row r="7493" spans="1:16" x14ac:dyDescent="0.25">
      <c r="A7493" t="s">
        <v>30061</v>
      </c>
      <c r="B7493" t="s">
        <v>16891</v>
      </c>
      <c r="C7493" t="s">
        <v>16469</v>
      </c>
      <c r="D7493" t="s">
        <v>16865</v>
      </c>
      <c r="E7493" t="s">
        <v>16866</v>
      </c>
      <c r="F7493" t="s">
        <v>16601</v>
      </c>
      <c r="G7493" t="s">
        <v>16231</v>
      </c>
      <c r="I7493" t="s">
        <v>47111</v>
      </c>
      <c r="J7493" t="s">
        <v>47112</v>
      </c>
      <c r="K7493" t="s">
        <v>47113</v>
      </c>
      <c r="L7493">
        <v>61.23</v>
      </c>
      <c r="M7493">
        <v>74</v>
      </c>
      <c r="N7493">
        <v>0</v>
      </c>
      <c r="O7493">
        <v>74</v>
      </c>
      <c r="P7493">
        <v>0</v>
      </c>
    </row>
    <row r="7494" spans="1:16" x14ac:dyDescent="0.25">
      <c r="A7494" t="s">
        <v>22739</v>
      </c>
      <c r="B7494" t="s">
        <v>20015</v>
      </c>
      <c r="C7494" t="s">
        <v>16469</v>
      </c>
      <c r="D7494" t="s">
        <v>19876</v>
      </c>
      <c r="E7494" t="s">
        <v>19877</v>
      </c>
      <c r="F7494" t="s">
        <v>19552</v>
      </c>
      <c r="G7494" t="s">
        <v>16231</v>
      </c>
      <c r="H7494" t="s">
        <v>47054</v>
      </c>
      <c r="I7494" t="s">
        <v>47111</v>
      </c>
      <c r="J7494" t="s">
        <v>47112</v>
      </c>
      <c r="K7494" t="s">
        <v>47113</v>
      </c>
      <c r="L7494">
        <v>72.930000000000007</v>
      </c>
      <c r="M7494">
        <v>129</v>
      </c>
      <c r="N7494">
        <v>0</v>
      </c>
      <c r="O7494">
        <v>129</v>
      </c>
      <c r="P7494">
        <v>0</v>
      </c>
    </row>
    <row r="7495" spans="1:16" x14ac:dyDescent="0.25">
      <c r="A7495" t="s">
        <v>30062</v>
      </c>
      <c r="B7495" t="s">
        <v>20015</v>
      </c>
      <c r="C7495" t="s">
        <v>16469</v>
      </c>
      <c r="D7495" t="s">
        <v>19920</v>
      </c>
      <c r="E7495" t="s">
        <v>19921</v>
      </c>
      <c r="F7495" t="s">
        <v>19552</v>
      </c>
      <c r="G7495" t="s">
        <v>16231</v>
      </c>
      <c r="H7495" t="s">
        <v>47054</v>
      </c>
      <c r="I7495" t="s">
        <v>47111</v>
      </c>
      <c r="J7495" t="s">
        <v>47112</v>
      </c>
      <c r="K7495" t="s">
        <v>47113</v>
      </c>
      <c r="L7495">
        <v>72.92</v>
      </c>
      <c r="M7495">
        <v>174</v>
      </c>
      <c r="N7495">
        <v>0</v>
      </c>
      <c r="O7495">
        <v>174</v>
      </c>
      <c r="P7495">
        <v>0</v>
      </c>
    </row>
    <row r="7496" spans="1:16" x14ac:dyDescent="0.25">
      <c r="A7496" t="s">
        <v>30063</v>
      </c>
      <c r="B7496" t="s">
        <v>16892</v>
      </c>
      <c r="C7496" t="s">
        <v>6151</v>
      </c>
      <c r="D7496" t="str">
        <f>"1106"</f>
        <v>1106</v>
      </c>
      <c r="E7496" t="s">
        <v>460</v>
      </c>
      <c r="F7496" t="s">
        <v>16771</v>
      </c>
      <c r="G7496" t="s">
        <v>16235</v>
      </c>
      <c r="H7496" t="s">
        <v>47054</v>
      </c>
      <c r="I7496" t="s">
        <v>47120</v>
      </c>
      <c r="J7496" t="s">
        <v>47121</v>
      </c>
      <c r="K7496" t="s">
        <v>47113</v>
      </c>
      <c r="L7496">
        <v>25.24</v>
      </c>
      <c r="M7496">
        <v>63</v>
      </c>
      <c r="N7496">
        <v>0</v>
      </c>
      <c r="O7496">
        <v>63</v>
      </c>
      <c r="P7496">
        <v>0</v>
      </c>
    </row>
    <row r="7497" spans="1:16" x14ac:dyDescent="0.25">
      <c r="A7497" t="s">
        <v>30064</v>
      </c>
      <c r="B7497" t="s">
        <v>20016</v>
      </c>
      <c r="C7497" t="s">
        <v>20017</v>
      </c>
      <c r="D7497" t="str">
        <f>"1501"</f>
        <v>1501</v>
      </c>
      <c r="E7497" t="s">
        <v>46</v>
      </c>
      <c r="F7497" t="s">
        <v>19908</v>
      </c>
      <c r="G7497" t="s">
        <v>16235</v>
      </c>
      <c r="H7497" t="s">
        <v>47054</v>
      </c>
      <c r="I7497" t="s">
        <v>47118</v>
      </c>
      <c r="J7497" t="s">
        <v>47119</v>
      </c>
      <c r="K7497" t="s">
        <v>47113</v>
      </c>
      <c r="L7497">
        <v>29.69</v>
      </c>
      <c r="M7497">
        <v>66</v>
      </c>
      <c r="N7497">
        <v>0</v>
      </c>
      <c r="O7497">
        <v>66</v>
      </c>
      <c r="P7497">
        <v>0</v>
      </c>
    </row>
    <row r="7498" spans="1:16" x14ac:dyDescent="0.25">
      <c r="A7498" t="s">
        <v>30065</v>
      </c>
      <c r="B7498" t="s">
        <v>20018</v>
      </c>
      <c r="C7498" t="s">
        <v>20019</v>
      </c>
      <c r="D7498" t="str">
        <f>"1001"</f>
        <v>1001</v>
      </c>
      <c r="E7498" t="s">
        <v>42</v>
      </c>
      <c r="F7498" t="s">
        <v>19908</v>
      </c>
      <c r="G7498" t="s">
        <v>16235</v>
      </c>
      <c r="H7498" t="s">
        <v>47054</v>
      </c>
      <c r="I7498" t="s">
        <v>47118</v>
      </c>
      <c r="J7498" t="s">
        <v>47119</v>
      </c>
      <c r="K7498" t="s">
        <v>47113</v>
      </c>
      <c r="L7498">
        <v>33.700000000000003</v>
      </c>
      <c r="M7498">
        <v>66</v>
      </c>
      <c r="N7498">
        <v>0</v>
      </c>
      <c r="O7498">
        <v>66</v>
      </c>
      <c r="P7498">
        <v>0</v>
      </c>
    </row>
    <row r="7499" spans="1:16" x14ac:dyDescent="0.25">
      <c r="A7499" t="s">
        <v>30066</v>
      </c>
      <c r="B7499" t="s">
        <v>15328</v>
      </c>
      <c r="C7499" t="s">
        <v>16893</v>
      </c>
      <c r="D7499" t="s">
        <v>15288</v>
      </c>
      <c r="E7499" t="s">
        <v>15289</v>
      </c>
      <c r="F7499" t="s">
        <v>15183</v>
      </c>
      <c r="G7499" t="s">
        <v>16231</v>
      </c>
      <c r="H7499" t="s">
        <v>47054</v>
      </c>
      <c r="I7499" t="s">
        <v>47111</v>
      </c>
      <c r="J7499" t="s">
        <v>47112</v>
      </c>
      <c r="K7499" t="s">
        <v>47113</v>
      </c>
      <c r="L7499">
        <v>53.02</v>
      </c>
      <c r="M7499">
        <v>103</v>
      </c>
      <c r="N7499">
        <v>0</v>
      </c>
      <c r="O7499">
        <v>103</v>
      </c>
      <c r="P7499">
        <v>0</v>
      </c>
    </row>
    <row r="7500" spans="1:16" x14ac:dyDescent="0.25">
      <c r="A7500" t="s">
        <v>30067</v>
      </c>
      <c r="B7500" t="s">
        <v>15328</v>
      </c>
      <c r="C7500" t="s">
        <v>16893</v>
      </c>
      <c r="D7500" t="s">
        <v>15329</v>
      </c>
      <c r="E7500" t="s">
        <v>15330</v>
      </c>
      <c r="F7500" t="s">
        <v>15183</v>
      </c>
      <c r="G7500" t="s">
        <v>16231</v>
      </c>
      <c r="H7500" t="s">
        <v>47054</v>
      </c>
      <c r="I7500" t="s">
        <v>47111</v>
      </c>
      <c r="J7500" t="s">
        <v>47112</v>
      </c>
      <c r="K7500" t="s">
        <v>47113</v>
      </c>
      <c r="L7500">
        <v>55.69</v>
      </c>
      <c r="M7500">
        <v>100</v>
      </c>
      <c r="N7500">
        <v>0</v>
      </c>
      <c r="O7500">
        <v>100</v>
      </c>
      <c r="P7500">
        <v>0</v>
      </c>
    </row>
    <row r="7501" spans="1:16" x14ac:dyDescent="0.25">
      <c r="A7501" t="s">
        <v>30068</v>
      </c>
      <c r="B7501" t="s">
        <v>15331</v>
      </c>
      <c r="C7501" t="s">
        <v>16894</v>
      </c>
      <c r="D7501" t="s">
        <v>15269</v>
      </c>
      <c r="E7501" t="s">
        <v>15270</v>
      </c>
      <c r="F7501" t="s">
        <v>15183</v>
      </c>
      <c r="G7501" t="s">
        <v>16231</v>
      </c>
      <c r="H7501" t="s">
        <v>47054</v>
      </c>
      <c r="I7501" t="s">
        <v>47111</v>
      </c>
      <c r="J7501" t="s">
        <v>47112</v>
      </c>
      <c r="K7501" t="s">
        <v>47113</v>
      </c>
      <c r="L7501">
        <v>61.26</v>
      </c>
      <c r="M7501">
        <v>100</v>
      </c>
      <c r="N7501">
        <v>0</v>
      </c>
      <c r="O7501">
        <v>100</v>
      </c>
      <c r="P7501">
        <v>0</v>
      </c>
    </row>
    <row r="7502" spans="1:16" x14ac:dyDescent="0.25">
      <c r="A7502" t="s">
        <v>30069</v>
      </c>
      <c r="B7502" t="s">
        <v>15331</v>
      </c>
      <c r="C7502" t="s">
        <v>16894</v>
      </c>
      <c r="D7502" t="s">
        <v>15271</v>
      </c>
      <c r="E7502" t="s">
        <v>15332</v>
      </c>
      <c r="F7502" t="s">
        <v>15183</v>
      </c>
      <c r="G7502" t="s">
        <v>16231</v>
      </c>
      <c r="H7502" t="s">
        <v>47054</v>
      </c>
      <c r="I7502" t="s">
        <v>47111</v>
      </c>
      <c r="J7502" t="s">
        <v>47112</v>
      </c>
      <c r="K7502" t="s">
        <v>47113</v>
      </c>
      <c r="L7502">
        <v>61.69</v>
      </c>
      <c r="M7502">
        <v>95</v>
      </c>
      <c r="N7502">
        <v>0</v>
      </c>
      <c r="O7502">
        <v>95</v>
      </c>
      <c r="P7502">
        <v>0</v>
      </c>
    </row>
    <row r="7503" spans="1:16" x14ac:dyDescent="0.25">
      <c r="A7503" t="s">
        <v>30070</v>
      </c>
      <c r="B7503" t="s">
        <v>15331</v>
      </c>
      <c r="C7503" t="s">
        <v>16894</v>
      </c>
      <c r="D7503" t="s">
        <v>15253</v>
      </c>
      <c r="E7503" t="s">
        <v>15254</v>
      </c>
      <c r="F7503" t="s">
        <v>15183</v>
      </c>
      <c r="G7503" t="s">
        <v>16231</v>
      </c>
      <c r="H7503" t="s">
        <v>47054</v>
      </c>
      <c r="I7503" t="s">
        <v>47111</v>
      </c>
      <c r="J7503" t="s">
        <v>47112</v>
      </c>
      <c r="K7503" t="s">
        <v>47113</v>
      </c>
      <c r="L7503">
        <v>60.38</v>
      </c>
      <c r="M7503">
        <v>90</v>
      </c>
      <c r="N7503">
        <v>0</v>
      </c>
      <c r="O7503">
        <v>90</v>
      </c>
      <c r="P7503">
        <v>0</v>
      </c>
    </row>
    <row r="7504" spans="1:16" x14ac:dyDescent="0.25">
      <c r="A7504" t="s">
        <v>30071</v>
      </c>
      <c r="B7504" t="s">
        <v>15333</v>
      </c>
      <c r="C7504" t="s">
        <v>7986</v>
      </c>
      <c r="D7504" t="s">
        <v>15274</v>
      </c>
      <c r="E7504" t="s">
        <v>15275</v>
      </c>
      <c r="F7504" t="s">
        <v>15183</v>
      </c>
      <c r="G7504" t="s">
        <v>16231</v>
      </c>
      <c r="H7504" t="s">
        <v>47054</v>
      </c>
      <c r="I7504" t="s">
        <v>47111</v>
      </c>
      <c r="J7504" t="s">
        <v>47112</v>
      </c>
      <c r="K7504" t="s">
        <v>47113</v>
      </c>
      <c r="L7504">
        <v>65.08</v>
      </c>
      <c r="M7504">
        <v>100</v>
      </c>
      <c r="N7504">
        <v>0</v>
      </c>
      <c r="O7504">
        <v>100</v>
      </c>
      <c r="P7504">
        <v>0</v>
      </c>
    </row>
    <row r="7505" spans="1:16" x14ac:dyDescent="0.25">
      <c r="A7505" t="s">
        <v>30072</v>
      </c>
      <c r="B7505" t="s">
        <v>15333</v>
      </c>
      <c r="C7505" t="s">
        <v>7986</v>
      </c>
      <c r="D7505" t="s">
        <v>15276</v>
      </c>
      <c r="E7505" t="s">
        <v>15277</v>
      </c>
      <c r="F7505" t="s">
        <v>15183</v>
      </c>
      <c r="G7505" t="s">
        <v>16231</v>
      </c>
      <c r="H7505" t="s">
        <v>47054</v>
      </c>
      <c r="I7505" t="s">
        <v>47111</v>
      </c>
      <c r="J7505" t="s">
        <v>47112</v>
      </c>
      <c r="K7505" t="s">
        <v>47113</v>
      </c>
      <c r="L7505">
        <v>65.739999999999995</v>
      </c>
      <c r="M7505">
        <v>100</v>
      </c>
      <c r="N7505">
        <v>0</v>
      </c>
      <c r="O7505">
        <v>100</v>
      </c>
      <c r="P7505">
        <v>0</v>
      </c>
    </row>
    <row r="7506" spans="1:16" x14ac:dyDescent="0.25">
      <c r="A7506" t="s">
        <v>30073</v>
      </c>
      <c r="B7506" t="s">
        <v>16895</v>
      </c>
      <c r="C7506" t="s">
        <v>16894</v>
      </c>
      <c r="D7506" t="s">
        <v>16896</v>
      </c>
      <c r="E7506" t="s">
        <v>16897</v>
      </c>
      <c r="F7506" t="s">
        <v>16623</v>
      </c>
      <c r="G7506" t="s">
        <v>16231</v>
      </c>
      <c r="I7506" t="s">
        <v>47111</v>
      </c>
      <c r="J7506" t="s">
        <v>47112</v>
      </c>
      <c r="K7506" t="s">
        <v>47113</v>
      </c>
      <c r="L7506">
        <v>51.21</v>
      </c>
      <c r="M7506">
        <v>103</v>
      </c>
      <c r="N7506">
        <v>0</v>
      </c>
      <c r="O7506">
        <v>103</v>
      </c>
      <c r="P7506">
        <v>0</v>
      </c>
    </row>
    <row r="7507" spans="1:16" x14ac:dyDescent="0.25">
      <c r="A7507" t="s">
        <v>30074</v>
      </c>
      <c r="B7507" t="s">
        <v>16898</v>
      </c>
      <c r="C7507" t="s">
        <v>16894</v>
      </c>
      <c r="D7507" t="s">
        <v>16741</v>
      </c>
      <c r="E7507" t="s">
        <v>16742</v>
      </c>
      <c r="F7507" t="s">
        <v>16730</v>
      </c>
      <c r="G7507" t="s">
        <v>16231</v>
      </c>
      <c r="I7507" t="s">
        <v>47111</v>
      </c>
      <c r="J7507" t="s">
        <v>47112</v>
      </c>
      <c r="K7507" t="s">
        <v>47113</v>
      </c>
      <c r="L7507">
        <v>64.599999999999994</v>
      </c>
      <c r="M7507">
        <v>100</v>
      </c>
      <c r="N7507">
        <v>0</v>
      </c>
      <c r="O7507">
        <v>100</v>
      </c>
      <c r="P7507">
        <v>0</v>
      </c>
    </row>
    <row r="7508" spans="1:16" x14ac:dyDescent="0.25">
      <c r="A7508" t="s">
        <v>30075</v>
      </c>
      <c r="B7508" t="s">
        <v>16898</v>
      </c>
      <c r="C7508" t="s">
        <v>16894</v>
      </c>
      <c r="D7508" t="s">
        <v>16865</v>
      </c>
      <c r="E7508" t="s">
        <v>16866</v>
      </c>
      <c r="F7508" t="s">
        <v>16730</v>
      </c>
      <c r="G7508" t="s">
        <v>16231</v>
      </c>
      <c r="I7508" t="s">
        <v>47111</v>
      </c>
      <c r="J7508" t="s">
        <v>47112</v>
      </c>
      <c r="K7508" t="s">
        <v>47113</v>
      </c>
      <c r="L7508">
        <v>61.23</v>
      </c>
      <c r="M7508">
        <v>74</v>
      </c>
      <c r="N7508">
        <v>0</v>
      </c>
      <c r="O7508">
        <v>74</v>
      </c>
      <c r="P7508">
        <v>0</v>
      </c>
    </row>
    <row r="7509" spans="1:16" x14ac:dyDescent="0.25">
      <c r="A7509" t="s">
        <v>30076</v>
      </c>
      <c r="B7509" t="s">
        <v>16899</v>
      </c>
      <c r="C7509" t="s">
        <v>16894</v>
      </c>
      <c r="D7509" t="s">
        <v>16900</v>
      </c>
      <c r="E7509" t="s">
        <v>16901</v>
      </c>
      <c r="F7509" t="s">
        <v>16746</v>
      </c>
      <c r="G7509" t="s">
        <v>16231</v>
      </c>
      <c r="H7509" t="s">
        <v>47054</v>
      </c>
      <c r="I7509" t="s">
        <v>47116</v>
      </c>
      <c r="J7509" t="s">
        <v>47117</v>
      </c>
      <c r="K7509" t="s">
        <v>47113</v>
      </c>
      <c r="L7509">
        <v>55.19</v>
      </c>
      <c r="M7509">
        <v>111</v>
      </c>
      <c r="N7509">
        <v>0</v>
      </c>
      <c r="O7509">
        <v>111</v>
      </c>
      <c r="P7509">
        <v>0</v>
      </c>
    </row>
    <row r="7510" spans="1:16" x14ac:dyDescent="0.25">
      <c r="A7510" t="s">
        <v>16902</v>
      </c>
      <c r="B7510" t="s">
        <v>16280</v>
      </c>
      <c r="C7510" t="s">
        <v>16903</v>
      </c>
      <c r="D7510" t="s">
        <v>15336</v>
      </c>
      <c r="E7510" t="s">
        <v>15337</v>
      </c>
      <c r="F7510" t="s">
        <v>15183</v>
      </c>
      <c r="G7510" t="s">
        <v>16234</v>
      </c>
      <c r="H7510" t="s">
        <v>47054</v>
      </c>
      <c r="I7510" t="s">
        <v>47120</v>
      </c>
      <c r="J7510" t="s">
        <v>47121</v>
      </c>
      <c r="K7510" t="s">
        <v>47113</v>
      </c>
      <c r="L7510">
        <v>32.74</v>
      </c>
      <c r="M7510">
        <v>69</v>
      </c>
      <c r="N7510">
        <v>0</v>
      </c>
      <c r="O7510">
        <v>69</v>
      </c>
      <c r="P7510">
        <v>0</v>
      </c>
    </row>
    <row r="7511" spans="1:16" x14ac:dyDescent="0.25">
      <c r="A7511" t="s">
        <v>30077</v>
      </c>
      <c r="B7511" t="s">
        <v>16280</v>
      </c>
      <c r="C7511" t="s">
        <v>16903</v>
      </c>
      <c r="D7511" t="s">
        <v>15338</v>
      </c>
      <c r="E7511" t="s">
        <v>15339</v>
      </c>
      <c r="F7511" t="s">
        <v>15183</v>
      </c>
      <c r="G7511" t="s">
        <v>16234</v>
      </c>
      <c r="H7511" t="s">
        <v>47054</v>
      </c>
      <c r="I7511" t="s">
        <v>47120</v>
      </c>
      <c r="J7511" t="s">
        <v>47121</v>
      </c>
      <c r="K7511" t="s">
        <v>47113</v>
      </c>
      <c r="L7511">
        <v>32.74</v>
      </c>
      <c r="M7511">
        <v>74</v>
      </c>
      <c r="N7511">
        <v>0</v>
      </c>
      <c r="O7511">
        <v>74</v>
      </c>
      <c r="P7511">
        <v>0</v>
      </c>
    </row>
    <row r="7512" spans="1:16" x14ac:dyDescent="0.25">
      <c r="A7512" t="s">
        <v>30078</v>
      </c>
      <c r="B7512" t="s">
        <v>16281</v>
      </c>
      <c r="C7512" t="s">
        <v>16904</v>
      </c>
      <c r="D7512" t="s">
        <v>15392</v>
      </c>
      <c r="E7512" t="s">
        <v>15393</v>
      </c>
      <c r="F7512" t="s">
        <v>15183</v>
      </c>
      <c r="G7512" t="s">
        <v>16234</v>
      </c>
      <c r="H7512" t="s">
        <v>47054</v>
      </c>
      <c r="I7512" t="s">
        <v>47120</v>
      </c>
      <c r="J7512" t="s">
        <v>47121</v>
      </c>
      <c r="K7512" t="s">
        <v>47113</v>
      </c>
      <c r="L7512">
        <v>35.03</v>
      </c>
      <c r="M7512">
        <v>92</v>
      </c>
      <c r="N7512">
        <v>0</v>
      </c>
      <c r="O7512">
        <v>92</v>
      </c>
      <c r="P7512">
        <v>0</v>
      </c>
    </row>
    <row r="7513" spans="1:16" x14ac:dyDescent="0.25">
      <c r="A7513" t="s">
        <v>30079</v>
      </c>
      <c r="B7513" t="s">
        <v>15334</v>
      </c>
      <c r="C7513" t="s">
        <v>16905</v>
      </c>
      <c r="D7513" t="s">
        <v>15336</v>
      </c>
      <c r="E7513" t="s">
        <v>15337</v>
      </c>
      <c r="F7513" t="s">
        <v>15183</v>
      </c>
      <c r="G7513" t="s">
        <v>16234</v>
      </c>
      <c r="H7513" t="s">
        <v>47054</v>
      </c>
      <c r="I7513" t="s">
        <v>47120</v>
      </c>
      <c r="J7513" t="s">
        <v>47121</v>
      </c>
      <c r="K7513" t="s">
        <v>47113</v>
      </c>
      <c r="L7513">
        <v>33.49</v>
      </c>
      <c r="M7513">
        <v>92</v>
      </c>
      <c r="N7513">
        <v>0</v>
      </c>
      <c r="O7513">
        <v>92</v>
      </c>
      <c r="P7513">
        <v>0</v>
      </c>
    </row>
    <row r="7514" spans="1:16" x14ac:dyDescent="0.25">
      <c r="A7514" t="s">
        <v>30080</v>
      </c>
      <c r="B7514" t="s">
        <v>15334</v>
      </c>
      <c r="C7514" t="s">
        <v>16905</v>
      </c>
      <c r="D7514" t="s">
        <v>15338</v>
      </c>
      <c r="E7514" t="s">
        <v>15339</v>
      </c>
      <c r="F7514" t="s">
        <v>15183</v>
      </c>
      <c r="G7514" t="s">
        <v>16234</v>
      </c>
      <c r="H7514" t="s">
        <v>47054</v>
      </c>
      <c r="I7514" t="s">
        <v>47120</v>
      </c>
      <c r="J7514" t="s">
        <v>47121</v>
      </c>
      <c r="K7514" t="s">
        <v>47113</v>
      </c>
      <c r="L7514">
        <v>33.49</v>
      </c>
      <c r="M7514">
        <v>92</v>
      </c>
      <c r="N7514">
        <v>0</v>
      </c>
      <c r="O7514">
        <v>92</v>
      </c>
      <c r="P7514">
        <v>0</v>
      </c>
    </row>
    <row r="7515" spans="1:16" x14ac:dyDescent="0.25">
      <c r="A7515" t="s">
        <v>30081</v>
      </c>
      <c r="B7515" t="s">
        <v>16282</v>
      </c>
      <c r="C7515" t="s">
        <v>15335</v>
      </c>
      <c r="D7515" t="str">
        <f>"2000"</f>
        <v>2000</v>
      </c>
      <c r="E7515" t="s">
        <v>15436</v>
      </c>
      <c r="F7515" t="s">
        <v>15183</v>
      </c>
      <c r="G7515" t="s">
        <v>16231</v>
      </c>
      <c r="H7515" t="s">
        <v>47054</v>
      </c>
      <c r="I7515" t="s">
        <v>47111</v>
      </c>
      <c r="J7515" t="s">
        <v>47112</v>
      </c>
      <c r="K7515" t="s">
        <v>47113</v>
      </c>
      <c r="L7515">
        <v>70.33</v>
      </c>
      <c r="M7515">
        <v>111</v>
      </c>
      <c r="N7515">
        <v>0</v>
      </c>
      <c r="O7515">
        <v>111</v>
      </c>
      <c r="P7515">
        <v>0</v>
      </c>
    </row>
    <row r="7516" spans="1:16" x14ac:dyDescent="0.25">
      <c r="A7516" t="s">
        <v>30082</v>
      </c>
      <c r="B7516" t="s">
        <v>16282</v>
      </c>
      <c r="C7516" t="s">
        <v>15335</v>
      </c>
      <c r="D7516" t="str">
        <f>"6012"</f>
        <v>6012</v>
      </c>
      <c r="E7516" t="s">
        <v>15437</v>
      </c>
      <c r="F7516" t="s">
        <v>15183</v>
      </c>
      <c r="G7516" t="s">
        <v>16231</v>
      </c>
      <c r="H7516" t="s">
        <v>47054</v>
      </c>
      <c r="I7516" t="s">
        <v>47111</v>
      </c>
      <c r="J7516" t="s">
        <v>47112</v>
      </c>
      <c r="K7516" t="s">
        <v>47113</v>
      </c>
      <c r="L7516">
        <v>70.33</v>
      </c>
      <c r="M7516">
        <v>111</v>
      </c>
      <c r="N7516">
        <v>0</v>
      </c>
      <c r="O7516">
        <v>111</v>
      </c>
      <c r="P7516">
        <v>0</v>
      </c>
    </row>
    <row r="7517" spans="1:16" x14ac:dyDescent="0.25">
      <c r="A7517" t="s">
        <v>30083</v>
      </c>
      <c r="B7517" t="s">
        <v>16283</v>
      </c>
      <c r="C7517" t="s">
        <v>16906</v>
      </c>
      <c r="D7517" t="str">
        <f>"1001"</f>
        <v>1001</v>
      </c>
      <c r="E7517" t="s">
        <v>16284</v>
      </c>
      <c r="F7517" t="s">
        <v>15183</v>
      </c>
      <c r="G7517" t="s">
        <v>16234</v>
      </c>
      <c r="H7517" t="s">
        <v>47054</v>
      </c>
      <c r="I7517" t="s">
        <v>47120</v>
      </c>
      <c r="J7517" t="s">
        <v>47121</v>
      </c>
      <c r="K7517" t="s">
        <v>47113</v>
      </c>
      <c r="L7517">
        <v>30.65</v>
      </c>
      <c r="M7517">
        <v>92</v>
      </c>
      <c r="N7517">
        <v>0</v>
      </c>
      <c r="O7517">
        <v>92</v>
      </c>
      <c r="P7517">
        <v>0</v>
      </c>
    </row>
    <row r="7518" spans="1:16" x14ac:dyDescent="0.25">
      <c r="A7518" t="s">
        <v>30084</v>
      </c>
      <c r="B7518" t="s">
        <v>16283</v>
      </c>
      <c r="C7518" t="s">
        <v>16906</v>
      </c>
      <c r="D7518" t="str">
        <f>"1200"</f>
        <v>1200</v>
      </c>
      <c r="E7518" t="s">
        <v>16285</v>
      </c>
      <c r="F7518" t="s">
        <v>15183</v>
      </c>
      <c r="G7518" t="s">
        <v>16234</v>
      </c>
      <c r="H7518" t="s">
        <v>47054</v>
      </c>
      <c r="I7518" t="s">
        <v>47120</v>
      </c>
      <c r="J7518" t="s">
        <v>47121</v>
      </c>
      <c r="K7518" t="s">
        <v>47113</v>
      </c>
      <c r="L7518">
        <v>30.65</v>
      </c>
      <c r="M7518">
        <v>92</v>
      </c>
      <c r="N7518">
        <v>0</v>
      </c>
      <c r="O7518">
        <v>92</v>
      </c>
      <c r="P7518">
        <v>0</v>
      </c>
    </row>
    <row r="7519" spans="1:16" x14ac:dyDescent="0.25">
      <c r="A7519" t="s">
        <v>30085</v>
      </c>
      <c r="B7519" t="s">
        <v>16907</v>
      </c>
      <c r="C7519" t="s">
        <v>16905</v>
      </c>
      <c r="D7519" t="s">
        <v>16908</v>
      </c>
      <c r="E7519" t="s">
        <v>16909</v>
      </c>
      <c r="F7519" t="s">
        <v>16601</v>
      </c>
      <c r="G7519" t="s">
        <v>16231</v>
      </c>
      <c r="H7519" t="s">
        <v>47054</v>
      </c>
      <c r="I7519" t="s">
        <v>47111</v>
      </c>
      <c r="J7519" t="s">
        <v>47112</v>
      </c>
      <c r="K7519" t="s">
        <v>47113</v>
      </c>
      <c r="L7519">
        <v>96.37</v>
      </c>
      <c r="M7519">
        <v>129</v>
      </c>
      <c r="N7519">
        <v>0</v>
      </c>
      <c r="O7519">
        <v>129</v>
      </c>
      <c r="P7519">
        <v>0</v>
      </c>
    </row>
    <row r="7520" spans="1:16" x14ac:dyDescent="0.25">
      <c r="A7520" t="s">
        <v>30086</v>
      </c>
      <c r="B7520" t="s">
        <v>16910</v>
      </c>
      <c r="C7520" t="s">
        <v>16905</v>
      </c>
      <c r="D7520" t="s">
        <v>16911</v>
      </c>
      <c r="E7520" t="s">
        <v>16912</v>
      </c>
      <c r="F7520" t="s">
        <v>16746</v>
      </c>
      <c r="G7520" t="s">
        <v>16231</v>
      </c>
      <c r="H7520" t="s">
        <v>47054</v>
      </c>
      <c r="I7520" t="s">
        <v>47111</v>
      </c>
      <c r="J7520" t="s">
        <v>47112</v>
      </c>
      <c r="K7520" t="s">
        <v>47113</v>
      </c>
      <c r="L7520">
        <v>73.59</v>
      </c>
      <c r="M7520">
        <v>148</v>
      </c>
      <c r="N7520">
        <v>0</v>
      </c>
      <c r="O7520">
        <v>148</v>
      </c>
      <c r="P7520">
        <v>0</v>
      </c>
    </row>
    <row r="7521" spans="1:16" x14ac:dyDescent="0.25">
      <c r="A7521" t="s">
        <v>30087</v>
      </c>
      <c r="B7521" t="s">
        <v>16913</v>
      </c>
      <c r="C7521" t="s">
        <v>16905</v>
      </c>
      <c r="D7521" t="s">
        <v>16914</v>
      </c>
      <c r="E7521" t="s">
        <v>16915</v>
      </c>
      <c r="F7521" t="s">
        <v>16810</v>
      </c>
      <c r="G7521" t="s">
        <v>16231</v>
      </c>
      <c r="H7521" t="s">
        <v>47054</v>
      </c>
      <c r="I7521" t="s">
        <v>47111</v>
      </c>
      <c r="J7521" t="s">
        <v>47112</v>
      </c>
      <c r="K7521" t="s">
        <v>47113</v>
      </c>
      <c r="L7521">
        <v>73.08</v>
      </c>
      <c r="M7521">
        <v>147</v>
      </c>
      <c r="N7521">
        <v>0</v>
      </c>
      <c r="O7521">
        <v>147</v>
      </c>
      <c r="P7521">
        <v>0</v>
      </c>
    </row>
    <row r="7522" spans="1:16" x14ac:dyDescent="0.25">
      <c r="A7522" t="s">
        <v>47571</v>
      </c>
      <c r="B7522" t="s">
        <v>16916</v>
      </c>
      <c r="C7522" t="s">
        <v>16905</v>
      </c>
      <c r="D7522" t="s">
        <v>311</v>
      </c>
      <c r="E7522" t="s">
        <v>47181</v>
      </c>
      <c r="F7522" t="s">
        <v>16601</v>
      </c>
      <c r="G7522" t="s">
        <v>16231</v>
      </c>
      <c r="H7522" t="s">
        <v>47054</v>
      </c>
      <c r="I7522" t="s">
        <v>47111</v>
      </c>
      <c r="J7522" t="s">
        <v>47112</v>
      </c>
      <c r="K7522" t="s">
        <v>47113</v>
      </c>
      <c r="L7522">
        <v>115.52</v>
      </c>
      <c r="M7522">
        <v>179</v>
      </c>
      <c r="N7522">
        <v>479</v>
      </c>
      <c r="O7522">
        <v>179</v>
      </c>
      <c r="P7522">
        <v>479</v>
      </c>
    </row>
    <row r="7523" spans="1:16" x14ac:dyDescent="0.25">
      <c r="A7523" t="s">
        <v>30088</v>
      </c>
      <c r="B7523" t="s">
        <v>16916</v>
      </c>
      <c r="C7523" t="s">
        <v>16905</v>
      </c>
      <c r="D7523" t="s">
        <v>16917</v>
      </c>
      <c r="E7523" t="s">
        <v>16918</v>
      </c>
      <c r="F7523" t="s">
        <v>16601</v>
      </c>
      <c r="G7523" t="s">
        <v>16231</v>
      </c>
      <c r="H7523" t="s">
        <v>47054</v>
      </c>
      <c r="I7523" t="s">
        <v>47111</v>
      </c>
      <c r="J7523" t="s">
        <v>47112</v>
      </c>
      <c r="K7523" t="s">
        <v>47113</v>
      </c>
      <c r="L7523">
        <v>79.08</v>
      </c>
      <c r="M7523">
        <v>122</v>
      </c>
      <c r="N7523">
        <v>0</v>
      </c>
      <c r="O7523">
        <v>122</v>
      </c>
      <c r="P7523">
        <v>0</v>
      </c>
    </row>
    <row r="7524" spans="1:16" x14ac:dyDescent="0.25">
      <c r="A7524" t="s">
        <v>30089</v>
      </c>
      <c r="B7524" t="s">
        <v>16919</v>
      </c>
      <c r="C7524" t="s">
        <v>16905</v>
      </c>
      <c r="D7524" t="s">
        <v>16741</v>
      </c>
      <c r="E7524" t="s">
        <v>16742</v>
      </c>
      <c r="F7524" t="s">
        <v>16601</v>
      </c>
      <c r="G7524" t="s">
        <v>16231</v>
      </c>
      <c r="H7524" t="s">
        <v>47054</v>
      </c>
      <c r="I7524" t="s">
        <v>47111</v>
      </c>
      <c r="J7524" t="s">
        <v>47112</v>
      </c>
      <c r="K7524" t="s">
        <v>47113</v>
      </c>
      <c r="L7524">
        <v>95.13</v>
      </c>
      <c r="M7524">
        <v>129</v>
      </c>
      <c r="N7524">
        <v>0</v>
      </c>
      <c r="O7524">
        <v>129</v>
      </c>
      <c r="P7524">
        <v>0</v>
      </c>
    </row>
    <row r="7525" spans="1:16" x14ac:dyDescent="0.25">
      <c r="A7525" t="s">
        <v>30090</v>
      </c>
      <c r="B7525" t="s">
        <v>20020</v>
      </c>
      <c r="C7525" t="s">
        <v>16905</v>
      </c>
      <c r="D7525" t="s">
        <v>20021</v>
      </c>
      <c r="E7525" t="s">
        <v>20022</v>
      </c>
      <c r="F7525" t="s">
        <v>19847</v>
      </c>
      <c r="G7525" t="s">
        <v>16231</v>
      </c>
      <c r="H7525" t="s">
        <v>47054</v>
      </c>
      <c r="I7525" t="s">
        <v>47544</v>
      </c>
      <c r="J7525" t="s">
        <v>47545</v>
      </c>
      <c r="K7525" t="s">
        <v>47113</v>
      </c>
      <c r="L7525">
        <v>41.54</v>
      </c>
      <c r="M7525">
        <v>92</v>
      </c>
      <c r="N7525">
        <v>0</v>
      </c>
      <c r="O7525">
        <v>92</v>
      </c>
      <c r="P7525">
        <v>0</v>
      </c>
    </row>
    <row r="7526" spans="1:16" x14ac:dyDescent="0.25">
      <c r="A7526" t="s">
        <v>30091</v>
      </c>
      <c r="B7526" t="s">
        <v>20023</v>
      </c>
      <c r="C7526" t="s">
        <v>16905</v>
      </c>
      <c r="D7526" t="s">
        <v>20024</v>
      </c>
      <c r="E7526" t="s">
        <v>20025</v>
      </c>
      <c r="F7526" t="s">
        <v>16933</v>
      </c>
      <c r="G7526" t="s">
        <v>16231</v>
      </c>
      <c r="H7526" t="s">
        <v>47054</v>
      </c>
      <c r="I7526" t="s">
        <v>47544</v>
      </c>
      <c r="J7526" t="s">
        <v>47545</v>
      </c>
      <c r="K7526" t="s">
        <v>47113</v>
      </c>
      <c r="L7526">
        <v>43.59</v>
      </c>
      <c r="M7526">
        <v>92</v>
      </c>
      <c r="N7526">
        <v>0</v>
      </c>
      <c r="O7526">
        <v>92</v>
      </c>
      <c r="P7526">
        <v>0</v>
      </c>
    </row>
    <row r="7527" spans="1:16" x14ac:dyDescent="0.25">
      <c r="A7527" t="s">
        <v>30092</v>
      </c>
      <c r="B7527" t="s">
        <v>20026</v>
      </c>
      <c r="C7527" t="s">
        <v>16905</v>
      </c>
      <c r="D7527" t="s">
        <v>19920</v>
      </c>
      <c r="E7527" t="s">
        <v>19921</v>
      </c>
      <c r="F7527" t="s">
        <v>19552</v>
      </c>
      <c r="G7527" t="s">
        <v>16231</v>
      </c>
      <c r="H7527" t="s">
        <v>47054</v>
      </c>
      <c r="I7527" t="s">
        <v>47544</v>
      </c>
      <c r="J7527" t="s">
        <v>47545</v>
      </c>
      <c r="K7527" t="s">
        <v>47113</v>
      </c>
      <c r="L7527">
        <v>26.24</v>
      </c>
      <c r="M7527">
        <v>92</v>
      </c>
      <c r="N7527">
        <v>0</v>
      </c>
      <c r="O7527">
        <v>92</v>
      </c>
      <c r="P7527">
        <v>0</v>
      </c>
    </row>
    <row r="7528" spans="1:16" x14ac:dyDescent="0.25">
      <c r="A7528" t="s">
        <v>30093</v>
      </c>
      <c r="B7528" t="s">
        <v>20027</v>
      </c>
      <c r="C7528" t="s">
        <v>16905</v>
      </c>
      <c r="D7528" t="s">
        <v>19911</v>
      </c>
      <c r="E7528" t="s">
        <v>19912</v>
      </c>
      <c r="F7528" t="s">
        <v>19878</v>
      </c>
      <c r="G7528" t="s">
        <v>16231</v>
      </c>
      <c r="H7528" t="s">
        <v>47054</v>
      </c>
      <c r="I7528" t="s">
        <v>47544</v>
      </c>
      <c r="J7528" t="s">
        <v>47545</v>
      </c>
      <c r="K7528" t="s">
        <v>47113</v>
      </c>
      <c r="L7528">
        <v>37.9</v>
      </c>
      <c r="M7528">
        <v>103</v>
      </c>
      <c r="N7528">
        <v>0</v>
      </c>
      <c r="O7528">
        <v>103</v>
      </c>
      <c r="P7528">
        <v>0</v>
      </c>
    </row>
    <row r="7529" spans="1:16" x14ac:dyDescent="0.25">
      <c r="A7529" t="s">
        <v>30094</v>
      </c>
      <c r="B7529" t="s">
        <v>20028</v>
      </c>
      <c r="C7529" t="s">
        <v>16905</v>
      </c>
      <c r="D7529" t="str">
        <f>"1167"</f>
        <v>1167</v>
      </c>
      <c r="E7529" t="s">
        <v>20029</v>
      </c>
      <c r="F7529" t="s">
        <v>19559</v>
      </c>
      <c r="G7529" t="s">
        <v>16234</v>
      </c>
      <c r="H7529" t="s">
        <v>47054</v>
      </c>
      <c r="I7529" t="s">
        <v>47120</v>
      </c>
      <c r="J7529" t="s">
        <v>47121</v>
      </c>
      <c r="K7529" t="s">
        <v>47113</v>
      </c>
      <c r="L7529">
        <v>35.79</v>
      </c>
      <c r="M7529">
        <v>92</v>
      </c>
      <c r="N7529">
        <v>0</v>
      </c>
      <c r="O7529">
        <v>92</v>
      </c>
      <c r="P7529">
        <v>0</v>
      </c>
    </row>
    <row r="7530" spans="1:16" x14ac:dyDescent="0.25">
      <c r="A7530" t="s">
        <v>30095</v>
      </c>
      <c r="B7530" t="s">
        <v>20028</v>
      </c>
      <c r="C7530" t="s">
        <v>16905</v>
      </c>
      <c r="D7530" t="str">
        <f>"6000"</f>
        <v>6000</v>
      </c>
      <c r="E7530" t="s">
        <v>20030</v>
      </c>
      <c r="F7530" t="s">
        <v>19559</v>
      </c>
      <c r="G7530" t="s">
        <v>16234</v>
      </c>
      <c r="H7530" t="s">
        <v>47054</v>
      </c>
      <c r="I7530" t="s">
        <v>47120</v>
      </c>
      <c r="J7530" t="s">
        <v>47121</v>
      </c>
      <c r="K7530" t="s">
        <v>47113</v>
      </c>
      <c r="L7530">
        <v>34.340000000000003</v>
      </c>
      <c r="M7530">
        <v>66</v>
      </c>
      <c r="N7530">
        <v>0</v>
      </c>
      <c r="O7530">
        <v>66</v>
      </c>
      <c r="P7530">
        <v>0</v>
      </c>
    </row>
    <row r="7531" spans="1:16" x14ac:dyDescent="0.25">
      <c r="A7531" t="s">
        <v>30096</v>
      </c>
      <c r="B7531" t="s">
        <v>30097</v>
      </c>
      <c r="C7531" t="s">
        <v>16905</v>
      </c>
      <c r="D7531" t="s">
        <v>30098</v>
      </c>
      <c r="E7531" t="s">
        <v>30099</v>
      </c>
      <c r="F7531" t="s">
        <v>20496</v>
      </c>
      <c r="G7531" t="s">
        <v>16231</v>
      </c>
      <c r="H7531" t="s">
        <v>47054</v>
      </c>
      <c r="I7531" t="s">
        <v>47544</v>
      </c>
      <c r="J7531" t="s">
        <v>47545</v>
      </c>
      <c r="K7531" t="s">
        <v>47113</v>
      </c>
      <c r="L7531">
        <v>58.68</v>
      </c>
      <c r="M7531">
        <v>129</v>
      </c>
      <c r="N7531">
        <v>0</v>
      </c>
      <c r="O7531">
        <v>129</v>
      </c>
      <c r="P7531">
        <v>0</v>
      </c>
    </row>
    <row r="7532" spans="1:16" x14ac:dyDescent="0.25">
      <c r="A7532" t="s">
        <v>30100</v>
      </c>
      <c r="B7532" t="s">
        <v>30101</v>
      </c>
      <c r="C7532" t="s">
        <v>16905</v>
      </c>
      <c r="D7532" t="str">
        <f>"6000"</f>
        <v>6000</v>
      </c>
      <c r="E7532" t="s">
        <v>30102</v>
      </c>
      <c r="F7532" t="s">
        <v>21629</v>
      </c>
      <c r="G7532" t="s">
        <v>16234</v>
      </c>
      <c r="H7532" t="s">
        <v>47054</v>
      </c>
      <c r="I7532" t="s">
        <v>47120</v>
      </c>
      <c r="J7532" t="s">
        <v>47121</v>
      </c>
      <c r="K7532" t="s">
        <v>47113</v>
      </c>
      <c r="L7532">
        <v>34.21</v>
      </c>
      <c r="M7532">
        <v>85</v>
      </c>
      <c r="N7532">
        <v>0</v>
      </c>
      <c r="O7532">
        <v>85</v>
      </c>
      <c r="P7532">
        <v>0</v>
      </c>
    </row>
    <row r="7533" spans="1:16" x14ac:dyDescent="0.25">
      <c r="A7533" t="s">
        <v>30103</v>
      </c>
      <c r="B7533" t="s">
        <v>20031</v>
      </c>
      <c r="C7533" t="s">
        <v>16905</v>
      </c>
      <c r="D7533" t="str">
        <f>"1001"</f>
        <v>1001</v>
      </c>
      <c r="E7533" t="s">
        <v>20032</v>
      </c>
      <c r="F7533" t="s">
        <v>19552</v>
      </c>
      <c r="G7533" t="s">
        <v>16234</v>
      </c>
      <c r="H7533" t="s">
        <v>47054</v>
      </c>
      <c r="I7533" t="s">
        <v>47120</v>
      </c>
      <c r="J7533" t="s">
        <v>47121</v>
      </c>
      <c r="K7533" t="s">
        <v>47113</v>
      </c>
      <c r="L7533">
        <v>36.619999999999997</v>
      </c>
      <c r="M7533">
        <v>66</v>
      </c>
      <c r="N7533">
        <v>0</v>
      </c>
      <c r="O7533">
        <v>66</v>
      </c>
      <c r="P7533">
        <v>0</v>
      </c>
    </row>
    <row r="7534" spans="1:16" x14ac:dyDescent="0.25">
      <c r="A7534" t="s">
        <v>30104</v>
      </c>
      <c r="B7534" t="s">
        <v>20031</v>
      </c>
      <c r="C7534" t="s">
        <v>16905</v>
      </c>
      <c r="D7534" t="str">
        <f>"3071"</f>
        <v>3071</v>
      </c>
      <c r="E7534" t="s">
        <v>20033</v>
      </c>
      <c r="F7534" t="s">
        <v>19552</v>
      </c>
      <c r="G7534" t="s">
        <v>16234</v>
      </c>
      <c r="H7534" t="s">
        <v>47054</v>
      </c>
      <c r="I7534" t="s">
        <v>47120</v>
      </c>
      <c r="J7534" t="s">
        <v>47121</v>
      </c>
      <c r="K7534" t="s">
        <v>47113</v>
      </c>
      <c r="L7534">
        <v>36.619999999999997</v>
      </c>
      <c r="M7534">
        <v>66</v>
      </c>
      <c r="N7534">
        <v>0</v>
      </c>
      <c r="O7534">
        <v>66</v>
      </c>
      <c r="P7534">
        <v>0</v>
      </c>
    </row>
    <row r="7535" spans="1:16" x14ac:dyDescent="0.25">
      <c r="A7535" t="s">
        <v>30105</v>
      </c>
      <c r="B7535" t="s">
        <v>20034</v>
      </c>
      <c r="C7535" t="s">
        <v>16905</v>
      </c>
      <c r="D7535" t="s">
        <v>20035</v>
      </c>
      <c r="E7535" t="s">
        <v>20036</v>
      </c>
      <c r="F7535" t="s">
        <v>19559</v>
      </c>
      <c r="G7535" t="s">
        <v>16234</v>
      </c>
      <c r="H7535" t="s">
        <v>47054</v>
      </c>
      <c r="I7535" t="s">
        <v>47120</v>
      </c>
      <c r="J7535" t="s">
        <v>47121</v>
      </c>
      <c r="K7535" t="s">
        <v>47113</v>
      </c>
      <c r="L7535">
        <v>33.46</v>
      </c>
      <c r="M7535">
        <v>66</v>
      </c>
      <c r="N7535">
        <v>0</v>
      </c>
      <c r="O7535">
        <v>66</v>
      </c>
      <c r="P7535">
        <v>0</v>
      </c>
    </row>
    <row r="7536" spans="1:16" x14ac:dyDescent="0.25">
      <c r="A7536" t="s">
        <v>30106</v>
      </c>
      <c r="B7536" t="s">
        <v>30107</v>
      </c>
      <c r="C7536" t="s">
        <v>16905</v>
      </c>
      <c r="D7536" t="s">
        <v>30108</v>
      </c>
      <c r="E7536" t="s">
        <v>30109</v>
      </c>
      <c r="F7536" t="s">
        <v>24617</v>
      </c>
      <c r="G7536" t="s">
        <v>16231</v>
      </c>
      <c r="H7536" t="s">
        <v>47054</v>
      </c>
      <c r="I7536" t="s">
        <v>47120</v>
      </c>
      <c r="J7536" t="s">
        <v>47121</v>
      </c>
      <c r="K7536" t="s">
        <v>47113</v>
      </c>
      <c r="L7536">
        <v>42.73</v>
      </c>
      <c r="M7536">
        <v>103</v>
      </c>
      <c r="N7536">
        <v>279</v>
      </c>
      <c r="O7536">
        <v>103</v>
      </c>
      <c r="P7536">
        <v>279</v>
      </c>
    </row>
    <row r="7537" spans="1:16" x14ac:dyDescent="0.25">
      <c r="A7537" t="s">
        <v>30110</v>
      </c>
      <c r="B7537" t="s">
        <v>30111</v>
      </c>
      <c r="C7537" t="s">
        <v>16905</v>
      </c>
      <c r="D7537" t="s">
        <v>657</v>
      </c>
      <c r="E7537" t="s">
        <v>658</v>
      </c>
      <c r="F7537" t="s">
        <v>24622</v>
      </c>
      <c r="G7537" t="s">
        <v>16231</v>
      </c>
      <c r="H7537" t="s">
        <v>47054</v>
      </c>
      <c r="I7537" t="s">
        <v>47544</v>
      </c>
      <c r="J7537" t="s">
        <v>47545</v>
      </c>
      <c r="K7537" t="s">
        <v>47113</v>
      </c>
      <c r="L7537">
        <v>36.89</v>
      </c>
      <c r="M7537">
        <v>92</v>
      </c>
      <c r="N7537">
        <v>249</v>
      </c>
      <c r="O7537">
        <v>92</v>
      </c>
      <c r="P7537">
        <v>249</v>
      </c>
    </row>
    <row r="7538" spans="1:16" x14ac:dyDescent="0.25">
      <c r="A7538" t="s">
        <v>30112</v>
      </c>
      <c r="B7538" t="s">
        <v>30113</v>
      </c>
      <c r="C7538" t="s">
        <v>16905</v>
      </c>
      <c r="D7538" t="s">
        <v>30114</v>
      </c>
      <c r="E7538" t="s">
        <v>30115</v>
      </c>
      <c r="F7538" t="s">
        <v>24622</v>
      </c>
      <c r="G7538" t="s">
        <v>16231</v>
      </c>
      <c r="H7538" t="s">
        <v>47054</v>
      </c>
      <c r="I7538" t="s">
        <v>47544</v>
      </c>
      <c r="J7538" t="s">
        <v>47545</v>
      </c>
      <c r="K7538" t="s">
        <v>47113</v>
      </c>
      <c r="L7538">
        <v>34.590000000000003</v>
      </c>
      <c r="M7538">
        <v>103</v>
      </c>
      <c r="N7538">
        <v>279</v>
      </c>
      <c r="O7538">
        <v>103</v>
      </c>
      <c r="P7538">
        <v>279</v>
      </c>
    </row>
    <row r="7539" spans="1:16" x14ac:dyDescent="0.25">
      <c r="A7539" t="s">
        <v>30116</v>
      </c>
      <c r="B7539" t="s">
        <v>30117</v>
      </c>
      <c r="C7539" t="s">
        <v>16905</v>
      </c>
      <c r="D7539" t="s">
        <v>30118</v>
      </c>
      <c r="E7539" t="s">
        <v>30119</v>
      </c>
      <c r="F7539" t="s">
        <v>24627</v>
      </c>
      <c r="G7539" t="s">
        <v>16231</v>
      </c>
      <c r="H7539" t="s">
        <v>47054</v>
      </c>
      <c r="I7539" t="s">
        <v>47544</v>
      </c>
      <c r="J7539" t="s">
        <v>47545</v>
      </c>
      <c r="K7539" t="s">
        <v>47113</v>
      </c>
      <c r="L7539">
        <v>39.17</v>
      </c>
      <c r="M7539">
        <v>103</v>
      </c>
      <c r="N7539">
        <v>279</v>
      </c>
      <c r="O7539">
        <v>103</v>
      </c>
      <c r="P7539">
        <v>279</v>
      </c>
    </row>
    <row r="7540" spans="1:16" x14ac:dyDescent="0.25">
      <c r="A7540" t="s">
        <v>30120</v>
      </c>
      <c r="B7540" t="s">
        <v>6150</v>
      </c>
      <c r="C7540" t="s">
        <v>6151</v>
      </c>
      <c r="D7540" t="str">
        <f>"1145"</f>
        <v>1145</v>
      </c>
      <c r="E7540" t="s">
        <v>6152</v>
      </c>
      <c r="F7540" t="s">
        <v>3670</v>
      </c>
      <c r="G7540" t="s">
        <v>16235</v>
      </c>
      <c r="H7540" t="s">
        <v>47054</v>
      </c>
      <c r="I7540" t="s">
        <v>47118</v>
      </c>
      <c r="J7540" t="s">
        <v>47119</v>
      </c>
      <c r="K7540" t="s">
        <v>47113</v>
      </c>
      <c r="L7540">
        <v>25.31</v>
      </c>
      <c r="M7540">
        <v>63</v>
      </c>
      <c r="N7540">
        <v>0</v>
      </c>
      <c r="O7540">
        <v>63</v>
      </c>
      <c r="P7540">
        <v>0</v>
      </c>
    </row>
    <row r="7541" spans="1:16" x14ac:dyDescent="0.25">
      <c r="A7541" t="s">
        <v>30121</v>
      </c>
      <c r="B7541" t="s">
        <v>6150</v>
      </c>
      <c r="C7541" t="s">
        <v>6151</v>
      </c>
      <c r="D7541" t="str">
        <f>"6497"</f>
        <v>6497</v>
      </c>
      <c r="E7541" t="s">
        <v>15340</v>
      </c>
      <c r="F7541" t="s">
        <v>3670</v>
      </c>
      <c r="G7541" t="s">
        <v>16235</v>
      </c>
      <c r="H7541" t="s">
        <v>47054</v>
      </c>
      <c r="I7541" t="s">
        <v>47118</v>
      </c>
      <c r="J7541" t="s">
        <v>47119</v>
      </c>
      <c r="K7541" t="s">
        <v>47113</v>
      </c>
      <c r="L7541">
        <v>25.31</v>
      </c>
      <c r="M7541">
        <v>63</v>
      </c>
      <c r="N7541">
        <v>0</v>
      </c>
      <c r="O7541">
        <v>63</v>
      </c>
      <c r="P7541">
        <v>0</v>
      </c>
    </row>
    <row r="7542" spans="1:16" x14ac:dyDescent="0.25">
      <c r="A7542" t="s">
        <v>30122</v>
      </c>
      <c r="B7542" t="s">
        <v>6153</v>
      </c>
      <c r="C7542" t="s">
        <v>6154</v>
      </c>
      <c r="D7542" t="str">
        <f>"1075"</f>
        <v>1075</v>
      </c>
      <c r="E7542" t="s">
        <v>15341</v>
      </c>
      <c r="F7542" t="s">
        <v>3670</v>
      </c>
      <c r="G7542" t="s">
        <v>16222</v>
      </c>
      <c r="H7542" t="s">
        <v>47054</v>
      </c>
      <c r="I7542" t="s">
        <v>47120</v>
      </c>
      <c r="J7542" t="s">
        <v>47121</v>
      </c>
      <c r="K7542" t="s">
        <v>47113</v>
      </c>
      <c r="L7542">
        <v>19.41</v>
      </c>
      <c r="M7542">
        <v>48</v>
      </c>
      <c r="N7542">
        <v>0</v>
      </c>
      <c r="O7542">
        <v>48</v>
      </c>
      <c r="P7542">
        <v>0</v>
      </c>
    </row>
    <row r="7543" spans="1:16" x14ac:dyDescent="0.25">
      <c r="A7543" t="s">
        <v>30123</v>
      </c>
      <c r="B7543" t="s">
        <v>6153</v>
      </c>
      <c r="C7543" t="s">
        <v>6154</v>
      </c>
      <c r="D7543" t="str">
        <f>"1145"</f>
        <v>1145</v>
      </c>
      <c r="E7543" t="s">
        <v>6155</v>
      </c>
      <c r="F7543" t="s">
        <v>3670</v>
      </c>
      <c r="G7543" t="s">
        <v>16222</v>
      </c>
      <c r="H7543" t="s">
        <v>47054</v>
      </c>
      <c r="I7543" t="s">
        <v>47120</v>
      </c>
      <c r="J7543" t="s">
        <v>47121</v>
      </c>
      <c r="K7543" t="s">
        <v>47113</v>
      </c>
      <c r="L7543">
        <v>19.41</v>
      </c>
      <c r="M7543">
        <v>48</v>
      </c>
      <c r="N7543">
        <v>0</v>
      </c>
      <c r="O7543">
        <v>48</v>
      </c>
      <c r="P7543">
        <v>0</v>
      </c>
    </row>
    <row r="7544" spans="1:16" x14ac:dyDescent="0.25">
      <c r="A7544" t="s">
        <v>30124</v>
      </c>
      <c r="B7544" t="s">
        <v>6153</v>
      </c>
      <c r="C7544" t="s">
        <v>6154</v>
      </c>
      <c r="D7544" t="str">
        <f>"6497"</f>
        <v>6497</v>
      </c>
      <c r="E7544" t="s">
        <v>15340</v>
      </c>
      <c r="F7544" t="s">
        <v>3670</v>
      </c>
      <c r="G7544" t="s">
        <v>16222</v>
      </c>
      <c r="H7544" t="s">
        <v>47054</v>
      </c>
      <c r="I7544" t="s">
        <v>47120</v>
      </c>
      <c r="J7544" t="s">
        <v>47121</v>
      </c>
      <c r="K7544" t="s">
        <v>47113</v>
      </c>
      <c r="L7544">
        <v>19.41</v>
      </c>
      <c r="M7544">
        <v>48</v>
      </c>
      <c r="N7544">
        <v>0</v>
      </c>
      <c r="O7544">
        <v>48</v>
      </c>
      <c r="P7544">
        <v>0</v>
      </c>
    </row>
    <row r="7545" spans="1:16" x14ac:dyDescent="0.25">
      <c r="A7545" t="s">
        <v>30125</v>
      </c>
      <c r="B7545" t="s">
        <v>6156</v>
      </c>
      <c r="C7545" t="s">
        <v>6157</v>
      </c>
      <c r="D7545" t="s">
        <v>6158</v>
      </c>
      <c r="E7545" t="s">
        <v>6159</v>
      </c>
      <c r="F7545" t="s">
        <v>8</v>
      </c>
      <c r="G7545" t="s">
        <v>16231</v>
      </c>
      <c r="H7545" t="s">
        <v>47054</v>
      </c>
      <c r="I7545" t="s">
        <v>47111</v>
      </c>
      <c r="J7545" t="s">
        <v>47112</v>
      </c>
      <c r="K7545" t="s">
        <v>47113</v>
      </c>
      <c r="L7545">
        <v>38.520000000000003</v>
      </c>
      <c r="M7545">
        <v>110</v>
      </c>
      <c r="N7545">
        <v>0</v>
      </c>
      <c r="O7545">
        <v>110</v>
      </c>
      <c r="P7545">
        <v>0</v>
      </c>
    </row>
    <row r="7546" spans="1:16" x14ac:dyDescent="0.25">
      <c r="A7546" t="s">
        <v>30126</v>
      </c>
      <c r="B7546" t="s">
        <v>6160</v>
      </c>
      <c r="C7546" t="s">
        <v>6161</v>
      </c>
      <c r="D7546" t="s">
        <v>6158</v>
      </c>
      <c r="E7546" t="s">
        <v>6159</v>
      </c>
      <c r="F7546" t="s">
        <v>8</v>
      </c>
      <c r="G7546" t="s">
        <v>16231</v>
      </c>
      <c r="H7546" t="s">
        <v>47054</v>
      </c>
      <c r="I7546" t="s">
        <v>47111</v>
      </c>
      <c r="J7546" t="s">
        <v>47112</v>
      </c>
      <c r="K7546" t="s">
        <v>47113</v>
      </c>
      <c r="L7546">
        <v>41.94</v>
      </c>
      <c r="M7546">
        <v>110</v>
      </c>
      <c r="N7546">
        <v>0</v>
      </c>
      <c r="O7546">
        <v>110</v>
      </c>
      <c r="P7546">
        <v>0</v>
      </c>
    </row>
    <row r="7547" spans="1:16" x14ac:dyDescent="0.25">
      <c r="A7547" t="s">
        <v>30127</v>
      </c>
      <c r="B7547" t="s">
        <v>6162</v>
      </c>
      <c r="C7547" t="s">
        <v>6163</v>
      </c>
      <c r="D7547" t="s">
        <v>6164</v>
      </c>
      <c r="E7547" t="s">
        <v>6165</v>
      </c>
      <c r="F7547" t="s">
        <v>4</v>
      </c>
      <c r="G7547" t="s">
        <v>16231</v>
      </c>
      <c r="H7547" t="s">
        <v>47054</v>
      </c>
      <c r="I7547" t="s">
        <v>47111</v>
      </c>
      <c r="J7547" t="s">
        <v>47112</v>
      </c>
      <c r="K7547" t="s">
        <v>47113</v>
      </c>
      <c r="L7547">
        <v>37.31</v>
      </c>
      <c r="M7547">
        <v>91</v>
      </c>
      <c r="N7547">
        <v>0</v>
      </c>
      <c r="O7547">
        <v>91</v>
      </c>
      <c r="P7547">
        <v>0</v>
      </c>
    </row>
    <row r="7548" spans="1:16" x14ac:dyDescent="0.25">
      <c r="A7548" t="s">
        <v>30128</v>
      </c>
      <c r="B7548" t="s">
        <v>6162</v>
      </c>
      <c r="C7548" t="s">
        <v>6163</v>
      </c>
      <c r="D7548" t="s">
        <v>6166</v>
      </c>
      <c r="E7548" t="s">
        <v>6167</v>
      </c>
      <c r="F7548" t="s">
        <v>4</v>
      </c>
      <c r="G7548" t="s">
        <v>16231</v>
      </c>
      <c r="H7548" t="s">
        <v>47054</v>
      </c>
      <c r="I7548" t="s">
        <v>47111</v>
      </c>
      <c r="J7548" t="s">
        <v>47112</v>
      </c>
      <c r="K7548" t="s">
        <v>47113</v>
      </c>
      <c r="L7548">
        <v>37.89</v>
      </c>
      <c r="M7548">
        <v>92</v>
      </c>
      <c r="N7548">
        <v>0</v>
      </c>
      <c r="O7548">
        <v>92</v>
      </c>
      <c r="P7548">
        <v>0</v>
      </c>
    </row>
    <row r="7549" spans="1:16" x14ac:dyDescent="0.25">
      <c r="A7549" t="s">
        <v>30129</v>
      </c>
      <c r="B7549" t="s">
        <v>6168</v>
      </c>
      <c r="C7549" t="s">
        <v>6169</v>
      </c>
      <c r="D7549" t="s">
        <v>6158</v>
      </c>
      <c r="E7549" t="s">
        <v>6159</v>
      </c>
      <c r="F7549" t="s">
        <v>1717</v>
      </c>
      <c r="G7549" t="s">
        <v>16231</v>
      </c>
      <c r="H7549" t="s">
        <v>47054</v>
      </c>
      <c r="I7549" t="s">
        <v>47111</v>
      </c>
      <c r="J7549" t="s">
        <v>47112</v>
      </c>
      <c r="K7549" t="s">
        <v>47113</v>
      </c>
      <c r="L7549">
        <v>39.29</v>
      </c>
      <c r="M7549">
        <v>96</v>
      </c>
      <c r="N7549">
        <v>0</v>
      </c>
      <c r="O7549">
        <v>96</v>
      </c>
      <c r="P7549">
        <v>0</v>
      </c>
    </row>
    <row r="7550" spans="1:16" x14ac:dyDescent="0.25">
      <c r="A7550" t="s">
        <v>30130</v>
      </c>
      <c r="B7550" t="s">
        <v>6170</v>
      </c>
      <c r="C7550" t="s">
        <v>6171</v>
      </c>
      <c r="D7550" t="s">
        <v>6164</v>
      </c>
      <c r="E7550" t="s">
        <v>6165</v>
      </c>
      <c r="F7550" t="s">
        <v>4</v>
      </c>
      <c r="G7550" t="s">
        <v>16231</v>
      </c>
      <c r="H7550" t="s">
        <v>47054</v>
      </c>
      <c r="I7550" t="s">
        <v>47111</v>
      </c>
      <c r="J7550" t="s">
        <v>47112</v>
      </c>
      <c r="K7550" t="s">
        <v>47113</v>
      </c>
      <c r="L7550">
        <v>40.229999999999997</v>
      </c>
      <c r="M7550">
        <v>98</v>
      </c>
      <c r="N7550">
        <v>0</v>
      </c>
      <c r="O7550">
        <v>98</v>
      </c>
      <c r="P7550">
        <v>0</v>
      </c>
    </row>
    <row r="7551" spans="1:16" x14ac:dyDescent="0.25">
      <c r="A7551" t="s">
        <v>30131</v>
      </c>
      <c r="B7551" t="s">
        <v>6170</v>
      </c>
      <c r="C7551" t="s">
        <v>6171</v>
      </c>
      <c r="D7551" t="s">
        <v>6166</v>
      </c>
      <c r="E7551" t="s">
        <v>6167</v>
      </c>
      <c r="F7551" t="s">
        <v>4</v>
      </c>
      <c r="G7551" t="s">
        <v>16231</v>
      </c>
      <c r="H7551" t="s">
        <v>47054</v>
      </c>
      <c r="I7551" t="s">
        <v>47111</v>
      </c>
      <c r="J7551" t="s">
        <v>47112</v>
      </c>
      <c r="K7551" t="s">
        <v>47113</v>
      </c>
      <c r="L7551">
        <v>40.81</v>
      </c>
      <c r="M7551">
        <v>100</v>
      </c>
      <c r="N7551">
        <v>0</v>
      </c>
      <c r="O7551">
        <v>100</v>
      </c>
      <c r="P7551">
        <v>0</v>
      </c>
    </row>
    <row r="7552" spans="1:16" x14ac:dyDescent="0.25">
      <c r="A7552" t="s">
        <v>30132</v>
      </c>
      <c r="B7552" t="s">
        <v>6172</v>
      </c>
      <c r="C7552" t="s">
        <v>6173</v>
      </c>
      <c r="D7552" t="str">
        <f>"7466"</f>
        <v>7466</v>
      </c>
      <c r="E7552" t="s">
        <v>6174</v>
      </c>
      <c r="F7552" t="s">
        <v>3670</v>
      </c>
      <c r="G7552" t="s">
        <v>16231</v>
      </c>
      <c r="I7552" t="s">
        <v>47111</v>
      </c>
      <c r="J7552" t="s">
        <v>47112</v>
      </c>
      <c r="K7552" t="s">
        <v>47113</v>
      </c>
      <c r="L7552">
        <v>51.52</v>
      </c>
      <c r="M7552">
        <v>100</v>
      </c>
      <c r="N7552">
        <v>0</v>
      </c>
      <c r="O7552">
        <v>100</v>
      </c>
      <c r="P7552">
        <v>0</v>
      </c>
    </row>
    <row r="7553" spans="1:16" x14ac:dyDescent="0.25">
      <c r="A7553" t="s">
        <v>30133</v>
      </c>
      <c r="B7553" t="s">
        <v>6175</v>
      </c>
      <c r="C7553" t="s">
        <v>6176</v>
      </c>
      <c r="D7553" t="s">
        <v>6158</v>
      </c>
      <c r="E7553" t="s">
        <v>6159</v>
      </c>
      <c r="F7553" t="s">
        <v>8</v>
      </c>
      <c r="G7553" t="s">
        <v>16224</v>
      </c>
      <c r="H7553" t="s">
        <v>47054</v>
      </c>
      <c r="I7553" t="s">
        <v>47116</v>
      </c>
      <c r="J7553" t="s">
        <v>47117</v>
      </c>
      <c r="K7553" t="s">
        <v>47113</v>
      </c>
      <c r="L7553">
        <v>41.28</v>
      </c>
      <c r="M7553">
        <v>110</v>
      </c>
      <c r="N7553">
        <v>0</v>
      </c>
      <c r="O7553">
        <v>110</v>
      </c>
      <c r="P7553">
        <v>0</v>
      </c>
    </row>
    <row r="7554" spans="1:16" x14ac:dyDescent="0.25">
      <c r="A7554" t="s">
        <v>30134</v>
      </c>
      <c r="B7554" t="s">
        <v>6177</v>
      </c>
      <c r="C7554" t="s">
        <v>6178</v>
      </c>
      <c r="D7554" t="str">
        <f>"4932"</f>
        <v>4932</v>
      </c>
      <c r="E7554" t="s">
        <v>6179</v>
      </c>
      <c r="F7554" t="s">
        <v>3670</v>
      </c>
      <c r="G7554" t="s">
        <v>16231</v>
      </c>
      <c r="I7554" t="s">
        <v>47111</v>
      </c>
      <c r="J7554" t="s">
        <v>47112</v>
      </c>
      <c r="K7554" t="s">
        <v>47113</v>
      </c>
      <c r="L7554">
        <v>49.41</v>
      </c>
      <c r="M7554">
        <v>100</v>
      </c>
      <c r="N7554">
        <v>0</v>
      </c>
      <c r="O7554">
        <v>100</v>
      </c>
      <c r="P7554">
        <v>0</v>
      </c>
    </row>
    <row r="7555" spans="1:16" x14ac:dyDescent="0.25">
      <c r="A7555" t="s">
        <v>30135</v>
      </c>
      <c r="B7555" t="s">
        <v>6180</v>
      </c>
      <c r="C7555" t="s">
        <v>6181</v>
      </c>
      <c r="D7555" t="s">
        <v>6164</v>
      </c>
      <c r="E7555" t="s">
        <v>6165</v>
      </c>
      <c r="F7555" t="s">
        <v>4</v>
      </c>
      <c r="G7555" t="s">
        <v>16231</v>
      </c>
      <c r="H7555" t="s">
        <v>47054</v>
      </c>
      <c r="I7555" t="s">
        <v>47111</v>
      </c>
      <c r="J7555" t="s">
        <v>47112</v>
      </c>
      <c r="K7555" t="s">
        <v>47113</v>
      </c>
      <c r="L7555">
        <v>37.31</v>
      </c>
      <c r="M7555">
        <v>91</v>
      </c>
      <c r="N7555">
        <v>0</v>
      </c>
      <c r="O7555">
        <v>91</v>
      </c>
      <c r="P7555">
        <v>0</v>
      </c>
    </row>
    <row r="7556" spans="1:16" x14ac:dyDescent="0.25">
      <c r="A7556" t="s">
        <v>30136</v>
      </c>
      <c r="B7556" t="s">
        <v>6180</v>
      </c>
      <c r="C7556" t="s">
        <v>6181</v>
      </c>
      <c r="D7556" t="s">
        <v>6166</v>
      </c>
      <c r="E7556" t="s">
        <v>6167</v>
      </c>
      <c r="F7556" t="s">
        <v>4</v>
      </c>
      <c r="G7556" t="s">
        <v>16231</v>
      </c>
      <c r="H7556" t="s">
        <v>47054</v>
      </c>
      <c r="I7556" t="s">
        <v>47111</v>
      </c>
      <c r="J7556" t="s">
        <v>47112</v>
      </c>
      <c r="K7556" t="s">
        <v>47113</v>
      </c>
      <c r="L7556">
        <v>37.89</v>
      </c>
      <c r="M7556">
        <v>92</v>
      </c>
      <c r="N7556">
        <v>0</v>
      </c>
      <c r="O7556">
        <v>92</v>
      </c>
      <c r="P7556">
        <v>0</v>
      </c>
    </row>
    <row r="7557" spans="1:16" x14ac:dyDescent="0.25">
      <c r="A7557" t="s">
        <v>30137</v>
      </c>
      <c r="B7557" t="s">
        <v>6182</v>
      </c>
      <c r="C7557" t="s">
        <v>6183</v>
      </c>
      <c r="D7557" t="s">
        <v>6164</v>
      </c>
      <c r="E7557" t="s">
        <v>6165</v>
      </c>
      <c r="F7557" t="s">
        <v>4</v>
      </c>
      <c r="G7557" t="s">
        <v>16231</v>
      </c>
      <c r="H7557" t="s">
        <v>47054</v>
      </c>
      <c r="I7557" t="s">
        <v>47111</v>
      </c>
      <c r="J7557" t="s">
        <v>47112</v>
      </c>
      <c r="K7557" t="s">
        <v>47113</v>
      </c>
      <c r="L7557">
        <v>37.31</v>
      </c>
      <c r="M7557">
        <v>91</v>
      </c>
      <c r="N7557">
        <v>0</v>
      </c>
      <c r="O7557">
        <v>91</v>
      </c>
      <c r="P7557">
        <v>0</v>
      </c>
    </row>
    <row r="7558" spans="1:16" x14ac:dyDescent="0.25">
      <c r="A7558" t="s">
        <v>30138</v>
      </c>
      <c r="B7558" t="s">
        <v>6182</v>
      </c>
      <c r="C7558" t="s">
        <v>6183</v>
      </c>
      <c r="D7558" t="s">
        <v>6166</v>
      </c>
      <c r="E7558" t="s">
        <v>6167</v>
      </c>
      <c r="F7558" t="s">
        <v>4</v>
      </c>
      <c r="G7558" t="s">
        <v>16231</v>
      </c>
      <c r="H7558" t="s">
        <v>47054</v>
      </c>
      <c r="I7558" t="s">
        <v>47111</v>
      </c>
      <c r="J7558" t="s">
        <v>47112</v>
      </c>
      <c r="K7558" t="s">
        <v>47113</v>
      </c>
      <c r="L7558">
        <v>37.89</v>
      </c>
      <c r="M7558">
        <v>92</v>
      </c>
      <c r="N7558">
        <v>0</v>
      </c>
      <c r="O7558">
        <v>92</v>
      </c>
      <c r="P7558">
        <v>0</v>
      </c>
    </row>
    <row r="7559" spans="1:16" x14ac:dyDescent="0.25">
      <c r="A7559" t="s">
        <v>30139</v>
      </c>
      <c r="B7559" t="s">
        <v>6184</v>
      </c>
      <c r="C7559" t="s">
        <v>6185</v>
      </c>
      <c r="D7559" t="s">
        <v>6186</v>
      </c>
      <c r="E7559" t="s">
        <v>6187</v>
      </c>
      <c r="F7559" t="s">
        <v>7</v>
      </c>
      <c r="G7559" t="s">
        <v>16231</v>
      </c>
      <c r="H7559" t="s">
        <v>47054</v>
      </c>
      <c r="I7559" t="s">
        <v>47111</v>
      </c>
      <c r="J7559" t="s">
        <v>47112</v>
      </c>
      <c r="K7559" t="s">
        <v>47113</v>
      </c>
      <c r="L7559">
        <v>41.62</v>
      </c>
      <c r="M7559">
        <v>109</v>
      </c>
      <c r="N7559">
        <v>0</v>
      </c>
      <c r="O7559">
        <v>109</v>
      </c>
      <c r="P7559">
        <v>0</v>
      </c>
    </row>
    <row r="7560" spans="1:16" x14ac:dyDescent="0.25">
      <c r="A7560" t="s">
        <v>30140</v>
      </c>
      <c r="B7560" t="s">
        <v>6188</v>
      </c>
      <c r="C7560" t="s">
        <v>5321</v>
      </c>
      <c r="D7560" t="s">
        <v>6158</v>
      </c>
      <c r="E7560" t="s">
        <v>6159</v>
      </c>
      <c r="F7560" t="s">
        <v>7</v>
      </c>
      <c r="G7560" t="s">
        <v>16231</v>
      </c>
      <c r="H7560" t="s">
        <v>47054</v>
      </c>
      <c r="I7560" t="s">
        <v>47111</v>
      </c>
      <c r="J7560" t="s">
        <v>47112</v>
      </c>
      <c r="K7560" t="s">
        <v>47113</v>
      </c>
      <c r="L7560">
        <v>36.24</v>
      </c>
      <c r="M7560">
        <v>90</v>
      </c>
      <c r="N7560">
        <v>0</v>
      </c>
      <c r="O7560">
        <v>90</v>
      </c>
      <c r="P7560">
        <v>0</v>
      </c>
    </row>
    <row r="7561" spans="1:16" x14ac:dyDescent="0.25">
      <c r="A7561" t="s">
        <v>30141</v>
      </c>
      <c r="B7561" t="s">
        <v>6188</v>
      </c>
      <c r="C7561" t="s">
        <v>5321</v>
      </c>
      <c r="D7561" t="s">
        <v>6186</v>
      </c>
      <c r="E7561" t="s">
        <v>6187</v>
      </c>
      <c r="F7561" t="s">
        <v>7</v>
      </c>
      <c r="G7561" t="s">
        <v>16231</v>
      </c>
      <c r="H7561" t="s">
        <v>47054</v>
      </c>
      <c r="I7561" t="s">
        <v>47111</v>
      </c>
      <c r="J7561" t="s">
        <v>47112</v>
      </c>
      <c r="K7561" t="s">
        <v>47113</v>
      </c>
      <c r="L7561">
        <v>38.31</v>
      </c>
      <c r="M7561">
        <v>105</v>
      </c>
      <c r="N7561">
        <v>0</v>
      </c>
      <c r="O7561">
        <v>105</v>
      </c>
      <c r="P7561">
        <v>0</v>
      </c>
    </row>
    <row r="7562" spans="1:16" x14ac:dyDescent="0.25">
      <c r="A7562" t="s">
        <v>30142</v>
      </c>
      <c r="B7562" t="s">
        <v>6189</v>
      </c>
      <c r="C7562" t="s">
        <v>6190</v>
      </c>
      <c r="D7562" t="s">
        <v>2020</v>
      </c>
      <c r="E7562" t="s">
        <v>2021</v>
      </c>
      <c r="F7562" t="s">
        <v>58</v>
      </c>
      <c r="G7562" t="s">
        <v>16231</v>
      </c>
      <c r="H7562" t="s">
        <v>47054</v>
      </c>
      <c r="I7562" t="s">
        <v>47111</v>
      </c>
      <c r="J7562" t="s">
        <v>47112</v>
      </c>
      <c r="K7562" t="s">
        <v>47113</v>
      </c>
      <c r="L7562">
        <v>56.28</v>
      </c>
      <c r="M7562">
        <v>125</v>
      </c>
      <c r="N7562">
        <v>0</v>
      </c>
      <c r="O7562">
        <v>125</v>
      </c>
      <c r="P7562">
        <v>0</v>
      </c>
    </row>
    <row r="7563" spans="1:16" x14ac:dyDescent="0.25">
      <c r="A7563" t="s">
        <v>30143</v>
      </c>
      <c r="B7563" t="s">
        <v>6191</v>
      </c>
      <c r="C7563" t="s">
        <v>6192</v>
      </c>
      <c r="D7563" t="s">
        <v>4855</v>
      </c>
      <c r="E7563" t="s">
        <v>4856</v>
      </c>
      <c r="F7563" t="s">
        <v>8</v>
      </c>
      <c r="G7563" t="s">
        <v>16231</v>
      </c>
      <c r="H7563" t="s">
        <v>47054</v>
      </c>
      <c r="I7563" t="s">
        <v>47111</v>
      </c>
      <c r="J7563" t="s">
        <v>47112</v>
      </c>
      <c r="K7563" t="s">
        <v>47113</v>
      </c>
      <c r="L7563">
        <v>50.97</v>
      </c>
      <c r="M7563">
        <v>103</v>
      </c>
      <c r="N7563">
        <v>0</v>
      </c>
      <c r="O7563">
        <v>103</v>
      </c>
      <c r="P7563">
        <v>0</v>
      </c>
    </row>
    <row r="7564" spans="1:16" x14ac:dyDescent="0.25">
      <c r="A7564" t="s">
        <v>30144</v>
      </c>
      <c r="B7564" t="s">
        <v>6191</v>
      </c>
      <c r="C7564" t="s">
        <v>6192</v>
      </c>
      <c r="D7564" t="s">
        <v>6193</v>
      </c>
      <c r="E7564" t="s">
        <v>6194</v>
      </c>
      <c r="F7564" t="s">
        <v>8</v>
      </c>
      <c r="G7564" t="s">
        <v>16231</v>
      </c>
      <c r="H7564" t="s">
        <v>47054</v>
      </c>
      <c r="I7564" t="s">
        <v>47111</v>
      </c>
      <c r="J7564" t="s">
        <v>47112</v>
      </c>
      <c r="K7564" t="s">
        <v>47113</v>
      </c>
      <c r="L7564">
        <v>55</v>
      </c>
      <c r="M7564">
        <v>135</v>
      </c>
      <c r="N7564">
        <v>0</v>
      </c>
      <c r="O7564">
        <v>135</v>
      </c>
      <c r="P7564">
        <v>0</v>
      </c>
    </row>
    <row r="7565" spans="1:16" x14ac:dyDescent="0.25">
      <c r="A7565" t="s">
        <v>30145</v>
      </c>
      <c r="B7565" t="s">
        <v>6191</v>
      </c>
      <c r="C7565" t="s">
        <v>6192</v>
      </c>
      <c r="D7565" t="s">
        <v>6195</v>
      </c>
      <c r="E7565" t="s">
        <v>6196</v>
      </c>
      <c r="F7565" t="s">
        <v>8</v>
      </c>
      <c r="G7565" t="s">
        <v>16231</v>
      </c>
      <c r="H7565" t="s">
        <v>47054</v>
      </c>
      <c r="I7565" t="s">
        <v>47111</v>
      </c>
      <c r="J7565" t="s">
        <v>47112</v>
      </c>
      <c r="K7565" t="s">
        <v>47113</v>
      </c>
      <c r="L7565">
        <v>73.98</v>
      </c>
      <c r="M7565">
        <v>148</v>
      </c>
      <c r="N7565">
        <v>0</v>
      </c>
      <c r="O7565">
        <v>148</v>
      </c>
      <c r="P7565">
        <v>0</v>
      </c>
    </row>
    <row r="7566" spans="1:16" x14ac:dyDescent="0.25">
      <c r="A7566" t="s">
        <v>30146</v>
      </c>
      <c r="B7566" t="s">
        <v>6191</v>
      </c>
      <c r="C7566" t="s">
        <v>6192</v>
      </c>
      <c r="D7566" t="s">
        <v>6197</v>
      </c>
      <c r="E7566" t="s">
        <v>6198</v>
      </c>
      <c r="F7566" t="s">
        <v>8</v>
      </c>
      <c r="G7566" t="s">
        <v>16231</v>
      </c>
      <c r="H7566" t="s">
        <v>47054</v>
      </c>
      <c r="I7566" t="s">
        <v>47111</v>
      </c>
      <c r="J7566" t="s">
        <v>47112</v>
      </c>
      <c r="K7566" t="s">
        <v>47113</v>
      </c>
      <c r="L7566">
        <v>55</v>
      </c>
      <c r="M7566">
        <v>113</v>
      </c>
      <c r="N7566">
        <v>0</v>
      </c>
      <c r="O7566">
        <v>113</v>
      </c>
      <c r="P7566">
        <v>0</v>
      </c>
    </row>
    <row r="7567" spans="1:16" x14ac:dyDescent="0.25">
      <c r="A7567" t="s">
        <v>30147</v>
      </c>
      <c r="B7567" t="s">
        <v>6191</v>
      </c>
      <c r="C7567" t="s">
        <v>6192</v>
      </c>
      <c r="D7567" t="s">
        <v>1792</v>
      </c>
      <c r="E7567" t="s">
        <v>1793</v>
      </c>
      <c r="F7567" t="s">
        <v>52</v>
      </c>
      <c r="G7567" t="s">
        <v>16231</v>
      </c>
      <c r="H7567" t="s">
        <v>47054</v>
      </c>
      <c r="I7567" t="s">
        <v>47111</v>
      </c>
      <c r="J7567" t="s">
        <v>47112</v>
      </c>
      <c r="K7567" t="s">
        <v>47113</v>
      </c>
      <c r="L7567">
        <v>50.8</v>
      </c>
      <c r="M7567">
        <v>103</v>
      </c>
      <c r="N7567">
        <v>0</v>
      </c>
      <c r="O7567">
        <v>103</v>
      </c>
      <c r="P7567">
        <v>0</v>
      </c>
    </row>
    <row r="7568" spans="1:16" x14ac:dyDescent="0.25">
      <c r="A7568" t="s">
        <v>30148</v>
      </c>
      <c r="B7568" t="s">
        <v>6191</v>
      </c>
      <c r="C7568" t="s">
        <v>6192</v>
      </c>
      <c r="D7568" t="s">
        <v>1774</v>
      </c>
      <c r="E7568" t="s">
        <v>1775</v>
      </c>
      <c r="F7568" t="s">
        <v>52</v>
      </c>
      <c r="G7568" t="s">
        <v>16231</v>
      </c>
      <c r="H7568" t="s">
        <v>47054</v>
      </c>
      <c r="I7568" t="s">
        <v>47111</v>
      </c>
      <c r="J7568" t="s">
        <v>47112</v>
      </c>
      <c r="K7568" t="s">
        <v>47113</v>
      </c>
      <c r="L7568">
        <v>54.25</v>
      </c>
      <c r="M7568">
        <v>111</v>
      </c>
      <c r="N7568">
        <v>0</v>
      </c>
      <c r="O7568">
        <v>111</v>
      </c>
      <c r="P7568">
        <v>0</v>
      </c>
    </row>
    <row r="7569" spans="1:16" x14ac:dyDescent="0.25">
      <c r="A7569" t="s">
        <v>30149</v>
      </c>
      <c r="B7569" t="s">
        <v>6199</v>
      </c>
      <c r="C7569" t="s">
        <v>6200</v>
      </c>
      <c r="D7569" t="s">
        <v>4855</v>
      </c>
      <c r="E7569" t="s">
        <v>4856</v>
      </c>
      <c r="F7569" t="s">
        <v>8</v>
      </c>
      <c r="G7569" t="s">
        <v>16231</v>
      </c>
      <c r="H7569" t="s">
        <v>47054</v>
      </c>
      <c r="I7569" t="s">
        <v>47111</v>
      </c>
      <c r="J7569" t="s">
        <v>47112</v>
      </c>
      <c r="K7569" t="s">
        <v>47113</v>
      </c>
      <c r="L7569">
        <v>45.92</v>
      </c>
      <c r="M7569">
        <v>123</v>
      </c>
      <c r="N7569">
        <v>0</v>
      </c>
      <c r="O7569">
        <v>123</v>
      </c>
      <c r="P7569">
        <v>0</v>
      </c>
    </row>
    <row r="7570" spans="1:16" x14ac:dyDescent="0.25">
      <c r="A7570" t="s">
        <v>30150</v>
      </c>
      <c r="B7570" t="s">
        <v>6199</v>
      </c>
      <c r="C7570" t="s">
        <v>6200</v>
      </c>
      <c r="D7570" t="s">
        <v>6195</v>
      </c>
      <c r="E7570" t="s">
        <v>6196</v>
      </c>
      <c r="F7570" t="s">
        <v>8</v>
      </c>
      <c r="G7570" t="s">
        <v>16231</v>
      </c>
      <c r="H7570" t="s">
        <v>47054</v>
      </c>
      <c r="I7570" t="s">
        <v>47111</v>
      </c>
      <c r="J7570" t="s">
        <v>47112</v>
      </c>
      <c r="K7570" t="s">
        <v>47113</v>
      </c>
      <c r="L7570">
        <v>73.98</v>
      </c>
      <c r="M7570">
        <v>154</v>
      </c>
      <c r="N7570">
        <v>0</v>
      </c>
      <c r="O7570">
        <v>154</v>
      </c>
      <c r="P7570">
        <v>0</v>
      </c>
    </row>
    <row r="7571" spans="1:16" x14ac:dyDescent="0.25">
      <c r="A7571" t="s">
        <v>30151</v>
      </c>
      <c r="B7571" t="s">
        <v>6199</v>
      </c>
      <c r="C7571" t="s">
        <v>6200</v>
      </c>
      <c r="D7571" t="s">
        <v>6197</v>
      </c>
      <c r="E7571" t="s">
        <v>6198</v>
      </c>
      <c r="F7571" t="s">
        <v>8</v>
      </c>
      <c r="G7571" t="s">
        <v>16231</v>
      </c>
      <c r="H7571" t="s">
        <v>47054</v>
      </c>
      <c r="I7571" t="s">
        <v>47111</v>
      </c>
      <c r="J7571" t="s">
        <v>47112</v>
      </c>
      <c r="K7571" t="s">
        <v>47113</v>
      </c>
      <c r="L7571">
        <v>60.71</v>
      </c>
      <c r="M7571">
        <v>118</v>
      </c>
      <c r="N7571">
        <v>0</v>
      </c>
      <c r="O7571">
        <v>118</v>
      </c>
      <c r="P7571">
        <v>0</v>
      </c>
    </row>
    <row r="7572" spans="1:16" x14ac:dyDescent="0.25">
      <c r="A7572" t="s">
        <v>30152</v>
      </c>
      <c r="B7572" t="s">
        <v>6199</v>
      </c>
      <c r="C7572" t="s">
        <v>6200</v>
      </c>
      <c r="D7572" t="s">
        <v>1792</v>
      </c>
      <c r="E7572" t="s">
        <v>1793</v>
      </c>
      <c r="F7572" t="s">
        <v>52</v>
      </c>
      <c r="G7572" t="s">
        <v>16231</v>
      </c>
      <c r="H7572" t="s">
        <v>47054</v>
      </c>
      <c r="I7572" t="s">
        <v>47111</v>
      </c>
      <c r="J7572" t="s">
        <v>47112</v>
      </c>
      <c r="K7572" t="s">
        <v>47113</v>
      </c>
      <c r="L7572">
        <v>56.67</v>
      </c>
      <c r="M7572">
        <v>109</v>
      </c>
      <c r="N7572">
        <v>0</v>
      </c>
      <c r="O7572">
        <v>109</v>
      </c>
      <c r="P7572">
        <v>0</v>
      </c>
    </row>
    <row r="7573" spans="1:16" x14ac:dyDescent="0.25">
      <c r="A7573" t="s">
        <v>30153</v>
      </c>
      <c r="B7573" t="s">
        <v>6199</v>
      </c>
      <c r="C7573" t="s">
        <v>6200</v>
      </c>
      <c r="D7573" t="s">
        <v>1774</v>
      </c>
      <c r="E7573" t="s">
        <v>1775</v>
      </c>
      <c r="F7573" t="s">
        <v>52</v>
      </c>
      <c r="G7573" t="s">
        <v>16231</v>
      </c>
      <c r="H7573" t="s">
        <v>47054</v>
      </c>
      <c r="I7573" t="s">
        <v>47111</v>
      </c>
      <c r="J7573" t="s">
        <v>47112</v>
      </c>
      <c r="K7573" t="s">
        <v>47113</v>
      </c>
      <c r="L7573">
        <v>47.69</v>
      </c>
      <c r="M7573">
        <v>117</v>
      </c>
      <c r="N7573">
        <v>0</v>
      </c>
      <c r="O7573">
        <v>117</v>
      </c>
      <c r="P7573">
        <v>0</v>
      </c>
    </row>
    <row r="7574" spans="1:16" x14ac:dyDescent="0.25">
      <c r="A7574" t="s">
        <v>30154</v>
      </c>
      <c r="B7574" t="s">
        <v>6201</v>
      </c>
      <c r="C7574" t="s">
        <v>6202</v>
      </c>
      <c r="D7574" t="s">
        <v>6203</v>
      </c>
      <c r="E7574" t="s">
        <v>6204</v>
      </c>
      <c r="F7574" t="s">
        <v>631</v>
      </c>
      <c r="G7574" t="s">
        <v>16231</v>
      </c>
      <c r="H7574" t="s">
        <v>47054</v>
      </c>
      <c r="I7574" t="s">
        <v>47111</v>
      </c>
      <c r="J7574" t="s">
        <v>47112</v>
      </c>
      <c r="K7574" t="s">
        <v>47113</v>
      </c>
      <c r="L7574">
        <v>59.13</v>
      </c>
      <c r="M7574">
        <v>166</v>
      </c>
      <c r="N7574">
        <v>0</v>
      </c>
      <c r="O7574">
        <v>166</v>
      </c>
      <c r="P7574">
        <v>0</v>
      </c>
    </row>
    <row r="7575" spans="1:16" x14ac:dyDescent="0.25">
      <c r="A7575" t="s">
        <v>30155</v>
      </c>
      <c r="B7575" t="s">
        <v>6201</v>
      </c>
      <c r="C7575" t="s">
        <v>6202</v>
      </c>
      <c r="D7575" t="s">
        <v>6205</v>
      </c>
      <c r="E7575" t="s">
        <v>6206</v>
      </c>
      <c r="F7575" t="s">
        <v>631</v>
      </c>
      <c r="G7575" t="s">
        <v>16231</v>
      </c>
      <c r="H7575" t="s">
        <v>47054</v>
      </c>
      <c r="I7575" t="s">
        <v>47111</v>
      </c>
      <c r="J7575" t="s">
        <v>47112</v>
      </c>
      <c r="K7575" t="s">
        <v>47113</v>
      </c>
      <c r="L7575">
        <v>61.58</v>
      </c>
      <c r="M7575">
        <v>140</v>
      </c>
      <c r="N7575">
        <v>0</v>
      </c>
      <c r="O7575">
        <v>140</v>
      </c>
      <c r="P7575">
        <v>0</v>
      </c>
    </row>
    <row r="7576" spans="1:16" x14ac:dyDescent="0.25">
      <c r="A7576" t="s">
        <v>30156</v>
      </c>
      <c r="B7576" t="s">
        <v>6201</v>
      </c>
      <c r="C7576" t="s">
        <v>6202</v>
      </c>
      <c r="D7576" t="s">
        <v>6207</v>
      </c>
      <c r="E7576" t="s">
        <v>6208</v>
      </c>
      <c r="F7576" t="s">
        <v>631</v>
      </c>
      <c r="G7576" t="s">
        <v>16231</v>
      </c>
      <c r="H7576" t="s">
        <v>47054</v>
      </c>
      <c r="I7576" t="s">
        <v>47111</v>
      </c>
      <c r="J7576" t="s">
        <v>47112</v>
      </c>
      <c r="K7576" t="s">
        <v>47113</v>
      </c>
      <c r="L7576">
        <v>61.15</v>
      </c>
      <c r="M7576">
        <v>136</v>
      </c>
      <c r="N7576">
        <v>0</v>
      </c>
      <c r="O7576">
        <v>136</v>
      </c>
      <c r="P7576">
        <v>0</v>
      </c>
    </row>
    <row r="7577" spans="1:16" x14ac:dyDescent="0.25">
      <c r="A7577" t="s">
        <v>30157</v>
      </c>
      <c r="B7577" t="s">
        <v>6201</v>
      </c>
      <c r="C7577" t="s">
        <v>6202</v>
      </c>
      <c r="D7577" t="s">
        <v>6209</v>
      </c>
      <c r="E7577" t="s">
        <v>6210</v>
      </c>
      <c r="F7577" t="s">
        <v>8</v>
      </c>
      <c r="G7577" t="s">
        <v>16231</v>
      </c>
      <c r="H7577" t="s">
        <v>47054</v>
      </c>
      <c r="I7577" t="s">
        <v>47111</v>
      </c>
      <c r="J7577" t="s">
        <v>47112</v>
      </c>
      <c r="K7577" t="s">
        <v>47113</v>
      </c>
      <c r="L7577">
        <v>66.52</v>
      </c>
      <c r="M7577">
        <v>146</v>
      </c>
      <c r="N7577">
        <v>0</v>
      </c>
      <c r="O7577">
        <v>146</v>
      </c>
      <c r="P7577">
        <v>0</v>
      </c>
    </row>
    <row r="7578" spans="1:16" x14ac:dyDescent="0.25">
      <c r="A7578" t="s">
        <v>30158</v>
      </c>
      <c r="B7578" t="s">
        <v>6201</v>
      </c>
      <c r="C7578" t="s">
        <v>6202</v>
      </c>
      <c r="D7578" t="s">
        <v>6193</v>
      </c>
      <c r="E7578" t="s">
        <v>6194</v>
      </c>
      <c r="F7578" t="s">
        <v>8</v>
      </c>
      <c r="G7578" t="s">
        <v>16231</v>
      </c>
      <c r="H7578" t="s">
        <v>47054</v>
      </c>
      <c r="I7578" t="s">
        <v>47111</v>
      </c>
      <c r="J7578" t="s">
        <v>47112</v>
      </c>
      <c r="K7578" t="s">
        <v>47113</v>
      </c>
      <c r="L7578">
        <v>48.17</v>
      </c>
      <c r="M7578">
        <v>136</v>
      </c>
      <c r="N7578">
        <v>0</v>
      </c>
      <c r="O7578">
        <v>136</v>
      </c>
      <c r="P7578">
        <v>0</v>
      </c>
    </row>
    <row r="7579" spans="1:16" x14ac:dyDescent="0.25">
      <c r="A7579" t="s">
        <v>30159</v>
      </c>
      <c r="B7579" t="s">
        <v>6201</v>
      </c>
      <c r="C7579" t="s">
        <v>6202</v>
      </c>
      <c r="D7579" t="s">
        <v>294</v>
      </c>
      <c r="E7579" t="s">
        <v>295</v>
      </c>
      <c r="F7579" t="s">
        <v>8</v>
      </c>
      <c r="G7579" t="s">
        <v>16231</v>
      </c>
      <c r="H7579" t="s">
        <v>47054</v>
      </c>
      <c r="I7579" t="s">
        <v>47111</v>
      </c>
      <c r="J7579" t="s">
        <v>47112</v>
      </c>
      <c r="K7579" t="s">
        <v>47113</v>
      </c>
      <c r="L7579">
        <v>59.83</v>
      </c>
      <c r="M7579">
        <v>141</v>
      </c>
      <c r="N7579">
        <v>0</v>
      </c>
      <c r="O7579">
        <v>141</v>
      </c>
      <c r="P7579">
        <v>0</v>
      </c>
    </row>
    <row r="7580" spans="1:16" x14ac:dyDescent="0.25">
      <c r="A7580" t="s">
        <v>30160</v>
      </c>
      <c r="B7580" t="s">
        <v>6201</v>
      </c>
      <c r="C7580" t="s">
        <v>6202</v>
      </c>
      <c r="D7580" t="s">
        <v>1774</v>
      </c>
      <c r="E7580" t="s">
        <v>1775</v>
      </c>
      <c r="F7580" t="s">
        <v>56</v>
      </c>
      <c r="G7580" t="s">
        <v>16231</v>
      </c>
      <c r="H7580" t="s">
        <v>47054</v>
      </c>
      <c r="I7580" t="s">
        <v>47111</v>
      </c>
      <c r="J7580" t="s">
        <v>47112</v>
      </c>
      <c r="K7580" t="s">
        <v>47113</v>
      </c>
      <c r="L7580">
        <v>56.99</v>
      </c>
      <c r="M7580">
        <v>129</v>
      </c>
      <c r="N7580">
        <v>0</v>
      </c>
      <c r="O7580">
        <v>129</v>
      </c>
      <c r="P7580">
        <v>0</v>
      </c>
    </row>
    <row r="7581" spans="1:16" x14ac:dyDescent="0.25">
      <c r="A7581" t="s">
        <v>30161</v>
      </c>
      <c r="B7581" t="s">
        <v>6201</v>
      </c>
      <c r="C7581" t="s">
        <v>6202</v>
      </c>
      <c r="D7581" t="s">
        <v>6211</v>
      </c>
      <c r="E7581" t="s">
        <v>6212</v>
      </c>
      <c r="F7581" t="s">
        <v>56</v>
      </c>
      <c r="G7581" t="s">
        <v>16231</v>
      </c>
      <c r="H7581" t="s">
        <v>47054</v>
      </c>
      <c r="I7581" t="s">
        <v>47111</v>
      </c>
      <c r="J7581" t="s">
        <v>47112</v>
      </c>
      <c r="K7581" t="s">
        <v>47113</v>
      </c>
      <c r="L7581">
        <v>55.31</v>
      </c>
      <c r="M7581">
        <v>148</v>
      </c>
      <c r="N7581">
        <v>0</v>
      </c>
      <c r="O7581">
        <v>148</v>
      </c>
      <c r="P7581">
        <v>0</v>
      </c>
    </row>
    <row r="7582" spans="1:16" x14ac:dyDescent="0.25">
      <c r="A7582" t="s">
        <v>30162</v>
      </c>
      <c r="B7582" t="s">
        <v>6201</v>
      </c>
      <c r="C7582" t="s">
        <v>6202</v>
      </c>
      <c r="D7582" t="s">
        <v>617</v>
      </c>
      <c r="E7582" t="s">
        <v>618</v>
      </c>
      <c r="F7582" t="s">
        <v>56</v>
      </c>
      <c r="G7582" t="s">
        <v>16231</v>
      </c>
      <c r="H7582" t="s">
        <v>47054</v>
      </c>
      <c r="I7582" t="s">
        <v>47111</v>
      </c>
      <c r="J7582" t="s">
        <v>47112</v>
      </c>
      <c r="K7582" t="s">
        <v>47113</v>
      </c>
      <c r="L7582">
        <v>54.73</v>
      </c>
      <c r="M7582">
        <v>146</v>
      </c>
      <c r="N7582">
        <v>0</v>
      </c>
      <c r="O7582">
        <v>146</v>
      </c>
      <c r="P7582">
        <v>0</v>
      </c>
    </row>
    <row r="7583" spans="1:16" x14ac:dyDescent="0.25">
      <c r="A7583" t="s">
        <v>30163</v>
      </c>
      <c r="B7583" t="s">
        <v>6213</v>
      </c>
      <c r="C7583" t="s">
        <v>6214</v>
      </c>
      <c r="D7583" t="s">
        <v>6215</v>
      </c>
      <c r="E7583" t="s">
        <v>6216</v>
      </c>
      <c r="F7583" t="s">
        <v>631</v>
      </c>
      <c r="G7583" t="s">
        <v>16231</v>
      </c>
      <c r="H7583" t="s">
        <v>47054</v>
      </c>
      <c r="I7583" t="s">
        <v>47111</v>
      </c>
      <c r="J7583" t="s">
        <v>47112</v>
      </c>
      <c r="K7583" t="s">
        <v>47113</v>
      </c>
      <c r="L7583">
        <v>69.010000000000005</v>
      </c>
      <c r="M7583">
        <v>168</v>
      </c>
      <c r="N7583">
        <v>0</v>
      </c>
      <c r="O7583">
        <v>168</v>
      </c>
      <c r="P7583">
        <v>0</v>
      </c>
    </row>
    <row r="7584" spans="1:16" x14ac:dyDescent="0.25">
      <c r="A7584" t="s">
        <v>30164</v>
      </c>
      <c r="B7584" t="s">
        <v>6213</v>
      </c>
      <c r="C7584" t="s">
        <v>6214</v>
      </c>
      <c r="D7584" t="s">
        <v>6203</v>
      </c>
      <c r="E7584" t="s">
        <v>6204</v>
      </c>
      <c r="F7584" t="s">
        <v>631</v>
      </c>
      <c r="G7584" t="s">
        <v>16231</v>
      </c>
      <c r="H7584" t="s">
        <v>47054</v>
      </c>
      <c r="I7584" t="s">
        <v>47111</v>
      </c>
      <c r="J7584" t="s">
        <v>47112</v>
      </c>
      <c r="K7584" t="s">
        <v>47113</v>
      </c>
      <c r="L7584">
        <v>73.78</v>
      </c>
      <c r="M7584">
        <v>146</v>
      </c>
      <c r="N7584">
        <v>0</v>
      </c>
      <c r="O7584">
        <v>146</v>
      </c>
      <c r="P7584">
        <v>0</v>
      </c>
    </row>
    <row r="7585" spans="1:16" x14ac:dyDescent="0.25">
      <c r="A7585" t="s">
        <v>30165</v>
      </c>
      <c r="B7585" t="s">
        <v>6213</v>
      </c>
      <c r="C7585" t="s">
        <v>6214</v>
      </c>
      <c r="D7585" t="s">
        <v>6205</v>
      </c>
      <c r="E7585" t="s">
        <v>6206</v>
      </c>
      <c r="F7585" t="s">
        <v>631</v>
      </c>
      <c r="G7585" t="s">
        <v>16231</v>
      </c>
      <c r="H7585" t="s">
        <v>47054</v>
      </c>
      <c r="I7585" t="s">
        <v>47111</v>
      </c>
      <c r="J7585" t="s">
        <v>47112</v>
      </c>
      <c r="K7585" t="s">
        <v>47113</v>
      </c>
      <c r="L7585">
        <v>66.62</v>
      </c>
      <c r="M7585">
        <v>148</v>
      </c>
      <c r="N7585">
        <v>0</v>
      </c>
      <c r="O7585">
        <v>148</v>
      </c>
      <c r="P7585">
        <v>0</v>
      </c>
    </row>
    <row r="7586" spans="1:16" x14ac:dyDescent="0.25">
      <c r="A7586" t="s">
        <v>30166</v>
      </c>
      <c r="B7586" t="s">
        <v>6213</v>
      </c>
      <c r="C7586" t="s">
        <v>6214</v>
      </c>
      <c r="D7586" t="s">
        <v>6217</v>
      </c>
      <c r="E7586" t="s">
        <v>6218</v>
      </c>
      <c r="F7586" t="s">
        <v>58</v>
      </c>
      <c r="G7586" t="s">
        <v>16231</v>
      </c>
      <c r="H7586" t="s">
        <v>47054</v>
      </c>
      <c r="I7586" t="s">
        <v>47111</v>
      </c>
      <c r="J7586" t="s">
        <v>47112</v>
      </c>
      <c r="K7586" t="s">
        <v>47113</v>
      </c>
      <c r="L7586">
        <v>67.37</v>
      </c>
      <c r="M7586">
        <v>146</v>
      </c>
      <c r="N7586">
        <v>0</v>
      </c>
      <c r="O7586">
        <v>146</v>
      </c>
      <c r="P7586">
        <v>0</v>
      </c>
    </row>
    <row r="7587" spans="1:16" x14ac:dyDescent="0.25">
      <c r="A7587" t="s">
        <v>30167</v>
      </c>
      <c r="B7587" t="s">
        <v>6213</v>
      </c>
      <c r="C7587" t="s">
        <v>6214</v>
      </c>
      <c r="D7587" t="s">
        <v>6209</v>
      </c>
      <c r="E7587" t="s">
        <v>6210</v>
      </c>
      <c r="F7587" t="s">
        <v>8</v>
      </c>
      <c r="G7587" t="s">
        <v>16231</v>
      </c>
      <c r="H7587" t="s">
        <v>47054</v>
      </c>
      <c r="I7587" t="s">
        <v>47111</v>
      </c>
      <c r="J7587" t="s">
        <v>47112</v>
      </c>
      <c r="K7587" t="s">
        <v>47113</v>
      </c>
      <c r="L7587">
        <v>64.459999999999994</v>
      </c>
      <c r="M7587">
        <v>146</v>
      </c>
      <c r="N7587">
        <v>0</v>
      </c>
      <c r="O7587">
        <v>146</v>
      </c>
      <c r="P7587">
        <v>0</v>
      </c>
    </row>
    <row r="7588" spans="1:16" x14ac:dyDescent="0.25">
      <c r="A7588" t="s">
        <v>30168</v>
      </c>
      <c r="B7588" t="s">
        <v>6213</v>
      </c>
      <c r="C7588" t="s">
        <v>6214</v>
      </c>
      <c r="D7588" t="s">
        <v>6193</v>
      </c>
      <c r="E7588" t="s">
        <v>6194</v>
      </c>
      <c r="F7588" t="s">
        <v>8</v>
      </c>
      <c r="G7588" t="s">
        <v>16231</v>
      </c>
      <c r="H7588" t="s">
        <v>47054</v>
      </c>
      <c r="I7588" t="s">
        <v>47111</v>
      </c>
      <c r="J7588" t="s">
        <v>47112</v>
      </c>
      <c r="K7588" t="s">
        <v>47113</v>
      </c>
      <c r="L7588">
        <v>63.5</v>
      </c>
      <c r="M7588">
        <v>157</v>
      </c>
      <c r="N7588">
        <v>0</v>
      </c>
      <c r="O7588">
        <v>157</v>
      </c>
      <c r="P7588">
        <v>0</v>
      </c>
    </row>
    <row r="7589" spans="1:16" x14ac:dyDescent="0.25">
      <c r="A7589" t="s">
        <v>30169</v>
      </c>
      <c r="B7589" t="s">
        <v>6213</v>
      </c>
      <c r="C7589" t="s">
        <v>6214</v>
      </c>
      <c r="D7589" t="s">
        <v>294</v>
      </c>
      <c r="E7589" t="s">
        <v>295</v>
      </c>
      <c r="F7589" t="s">
        <v>8</v>
      </c>
      <c r="G7589" t="s">
        <v>16231</v>
      </c>
      <c r="H7589" t="s">
        <v>47054</v>
      </c>
      <c r="I7589" t="s">
        <v>47111</v>
      </c>
      <c r="J7589" t="s">
        <v>47112</v>
      </c>
      <c r="K7589" t="s">
        <v>47113</v>
      </c>
      <c r="L7589">
        <v>65.8</v>
      </c>
      <c r="M7589">
        <v>115</v>
      </c>
      <c r="N7589">
        <v>0</v>
      </c>
      <c r="O7589">
        <v>115</v>
      </c>
      <c r="P7589">
        <v>0</v>
      </c>
    </row>
    <row r="7590" spans="1:16" x14ac:dyDescent="0.25">
      <c r="A7590" t="s">
        <v>30170</v>
      </c>
      <c r="B7590" t="s">
        <v>6213</v>
      </c>
      <c r="C7590" t="s">
        <v>6214</v>
      </c>
      <c r="D7590" t="s">
        <v>6219</v>
      </c>
      <c r="E7590" t="s">
        <v>6220</v>
      </c>
      <c r="F7590" t="s">
        <v>8</v>
      </c>
      <c r="G7590" t="s">
        <v>16231</v>
      </c>
      <c r="H7590" t="s">
        <v>47054</v>
      </c>
      <c r="I7590" t="s">
        <v>47111</v>
      </c>
      <c r="J7590" t="s">
        <v>47112</v>
      </c>
      <c r="K7590" t="s">
        <v>47113</v>
      </c>
      <c r="L7590">
        <v>71.16</v>
      </c>
      <c r="M7590">
        <v>126</v>
      </c>
      <c r="N7590">
        <v>0</v>
      </c>
      <c r="O7590">
        <v>126</v>
      </c>
      <c r="P7590">
        <v>0</v>
      </c>
    </row>
    <row r="7591" spans="1:16" x14ac:dyDescent="0.25">
      <c r="A7591" t="s">
        <v>30171</v>
      </c>
      <c r="B7591" t="s">
        <v>6213</v>
      </c>
      <c r="C7591" t="s">
        <v>6214</v>
      </c>
      <c r="D7591" t="s">
        <v>1381</v>
      </c>
      <c r="E7591" t="s">
        <v>6221</v>
      </c>
      <c r="F7591" t="s">
        <v>52</v>
      </c>
      <c r="G7591" t="s">
        <v>16231</v>
      </c>
      <c r="H7591" t="s">
        <v>47054</v>
      </c>
      <c r="I7591" t="s">
        <v>47111</v>
      </c>
      <c r="J7591" t="s">
        <v>47112</v>
      </c>
      <c r="K7591" t="s">
        <v>47113</v>
      </c>
      <c r="L7591">
        <v>77.760000000000005</v>
      </c>
      <c r="M7591">
        <v>194</v>
      </c>
      <c r="N7591">
        <v>0</v>
      </c>
      <c r="O7591">
        <v>194</v>
      </c>
      <c r="P7591">
        <v>0</v>
      </c>
    </row>
    <row r="7592" spans="1:16" x14ac:dyDescent="0.25">
      <c r="A7592" t="s">
        <v>30172</v>
      </c>
      <c r="B7592" t="s">
        <v>6213</v>
      </c>
      <c r="C7592" t="s">
        <v>6214</v>
      </c>
      <c r="D7592" t="s">
        <v>617</v>
      </c>
      <c r="E7592" t="s">
        <v>618</v>
      </c>
      <c r="F7592" t="s">
        <v>56</v>
      </c>
      <c r="G7592" t="s">
        <v>16231</v>
      </c>
      <c r="H7592" t="s">
        <v>47054</v>
      </c>
      <c r="I7592" t="s">
        <v>47111</v>
      </c>
      <c r="J7592" t="s">
        <v>47112</v>
      </c>
      <c r="K7592" t="s">
        <v>47113</v>
      </c>
      <c r="L7592">
        <v>60.26</v>
      </c>
      <c r="M7592">
        <v>147</v>
      </c>
      <c r="N7592">
        <v>0</v>
      </c>
      <c r="O7592">
        <v>147</v>
      </c>
      <c r="P7592">
        <v>0</v>
      </c>
    </row>
    <row r="7593" spans="1:16" x14ac:dyDescent="0.25">
      <c r="A7593" t="s">
        <v>30173</v>
      </c>
      <c r="B7593" t="s">
        <v>6222</v>
      </c>
      <c r="C7593" t="s">
        <v>5713</v>
      </c>
      <c r="D7593" t="s">
        <v>6203</v>
      </c>
      <c r="E7593" t="s">
        <v>6204</v>
      </c>
      <c r="F7593" t="s">
        <v>631</v>
      </c>
      <c r="G7593" t="s">
        <v>16231</v>
      </c>
      <c r="H7593" t="s">
        <v>47054</v>
      </c>
      <c r="I7593" t="s">
        <v>47111</v>
      </c>
      <c r="J7593" t="s">
        <v>47112</v>
      </c>
      <c r="K7593" t="s">
        <v>47113</v>
      </c>
      <c r="L7593">
        <v>54.95</v>
      </c>
      <c r="M7593">
        <v>166</v>
      </c>
      <c r="N7593">
        <v>0</v>
      </c>
      <c r="O7593">
        <v>166</v>
      </c>
      <c r="P7593">
        <v>0</v>
      </c>
    </row>
    <row r="7594" spans="1:16" x14ac:dyDescent="0.25">
      <c r="A7594" t="s">
        <v>30174</v>
      </c>
      <c r="B7594" t="s">
        <v>6222</v>
      </c>
      <c r="C7594" t="s">
        <v>5713</v>
      </c>
      <c r="D7594" t="s">
        <v>6205</v>
      </c>
      <c r="E7594" t="s">
        <v>6206</v>
      </c>
      <c r="F7594" t="s">
        <v>631</v>
      </c>
      <c r="G7594" t="s">
        <v>16231</v>
      </c>
      <c r="H7594" t="s">
        <v>47054</v>
      </c>
      <c r="I7594" t="s">
        <v>47111</v>
      </c>
      <c r="J7594" t="s">
        <v>47112</v>
      </c>
      <c r="K7594" t="s">
        <v>47113</v>
      </c>
      <c r="L7594">
        <v>68.930000000000007</v>
      </c>
      <c r="M7594">
        <v>140</v>
      </c>
      <c r="N7594">
        <v>0</v>
      </c>
      <c r="O7594">
        <v>140</v>
      </c>
      <c r="P7594">
        <v>0</v>
      </c>
    </row>
    <row r="7595" spans="1:16" x14ac:dyDescent="0.25">
      <c r="A7595" t="s">
        <v>30175</v>
      </c>
      <c r="B7595" t="s">
        <v>6222</v>
      </c>
      <c r="C7595" t="s">
        <v>5713</v>
      </c>
      <c r="D7595" t="s">
        <v>6217</v>
      </c>
      <c r="E7595" t="s">
        <v>6218</v>
      </c>
      <c r="F7595" t="s">
        <v>58</v>
      </c>
      <c r="G7595" t="s">
        <v>16231</v>
      </c>
      <c r="H7595" t="s">
        <v>47054</v>
      </c>
      <c r="I7595" t="s">
        <v>47111</v>
      </c>
      <c r="J7595" t="s">
        <v>47112</v>
      </c>
      <c r="K7595" t="s">
        <v>47113</v>
      </c>
      <c r="L7595">
        <v>63.07</v>
      </c>
      <c r="M7595">
        <v>146</v>
      </c>
      <c r="N7595">
        <v>0</v>
      </c>
      <c r="O7595">
        <v>146</v>
      </c>
      <c r="P7595">
        <v>0</v>
      </c>
    </row>
    <row r="7596" spans="1:16" x14ac:dyDescent="0.25">
      <c r="A7596" t="s">
        <v>30176</v>
      </c>
      <c r="B7596" t="s">
        <v>6222</v>
      </c>
      <c r="C7596" t="s">
        <v>5713</v>
      </c>
      <c r="D7596" t="s">
        <v>6209</v>
      </c>
      <c r="E7596" t="s">
        <v>6210</v>
      </c>
      <c r="F7596" t="s">
        <v>8</v>
      </c>
      <c r="G7596" t="s">
        <v>16231</v>
      </c>
      <c r="H7596" t="s">
        <v>47054</v>
      </c>
      <c r="I7596" t="s">
        <v>47111</v>
      </c>
      <c r="J7596" t="s">
        <v>47112</v>
      </c>
      <c r="K7596" t="s">
        <v>47113</v>
      </c>
      <c r="L7596">
        <v>64.459999999999994</v>
      </c>
      <c r="M7596">
        <v>146</v>
      </c>
      <c r="N7596">
        <v>0</v>
      </c>
      <c r="O7596">
        <v>146</v>
      </c>
      <c r="P7596">
        <v>0</v>
      </c>
    </row>
    <row r="7597" spans="1:16" x14ac:dyDescent="0.25">
      <c r="A7597" t="s">
        <v>30177</v>
      </c>
      <c r="B7597" t="s">
        <v>6222</v>
      </c>
      <c r="C7597" t="s">
        <v>5713</v>
      </c>
      <c r="D7597" t="s">
        <v>294</v>
      </c>
      <c r="E7597" t="s">
        <v>295</v>
      </c>
      <c r="F7597" t="s">
        <v>8</v>
      </c>
      <c r="G7597" t="s">
        <v>16231</v>
      </c>
      <c r="H7597" t="s">
        <v>47054</v>
      </c>
      <c r="I7597" t="s">
        <v>47111</v>
      </c>
      <c r="J7597" t="s">
        <v>47112</v>
      </c>
      <c r="K7597" t="s">
        <v>47113</v>
      </c>
      <c r="L7597">
        <v>63.27</v>
      </c>
      <c r="M7597">
        <v>151</v>
      </c>
      <c r="N7597">
        <v>0</v>
      </c>
      <c r="O7597">
        <v>151</v>
      </c>
      <c r="P7597">
        <v>0</v>
      </c>
    </row>
    <row r="7598" spans="1:16" x14ac:dyDescent="0.25">
      <c r="A7598" t="s">
        <v>30178</v>
      </c>
      <c r="B7598" t="s">
        <v>6222</v>
      </c>
      <c r="C7598" t="s">
        <v>5713</v>
      </c>
      <c r="D7598" t="s">
        <v>6219</v>
      </c>
      <c r="E7598" t="s">
        <v>6220</v>
      </c>
      <c r="F7598" t="s">
        <v>8</v>
      </c>
      <c r="G7598" t="s">
        <v>16231</v>
      </c>
      <c r="H7598" t="s">
        <v>47054</v>
      </c>
      <c r="I7598" t="s">
        <v>47111</v>
      </c>
      <c r="J7598" t="s">
        <v>47112</v>
      </c>
      <c r="K7598" t="s">
        <v>47113</v>
      </c>
      <c r="L7598">
        <v>71.2</v>
      </c>
      <c r="M7598">
        <v>146</v>
      </c>
      <c r="N7598">
        <v>0</v>
      </c>
      <c r="O7598">
        <v>146</v>
      </c>
      <c r="P7598">
        <v>0</v>
      </c>
    </row>
    <row r="7599" spans="1:16" x14ac:dyDescent="0.25">
      <c r="A7599" t="s">
        <v>30179</v>
      </c>
      <c r="B7599" t="s">
        <v>6222</v>
      </c>
      <c r="C7599" t="s">
        <v>5713</v>
      </c>
      <c r="D7599" t="s">
        <v>6211</v>
      </c>
      <c r="E7599" t="s">
        <v>6212</v>
      </c>
      <c r="F7599" t="s">
        <v>56</v>
      </c>
      <c r="G7599" t="s">
        <v>16231</v>
      </c>
      <c r="H7599" t="s">
        <v>47054</v>
      </c>
      <c r="I7599" t="s">
        <v>47111</v>
      </c>
      <c r="J7599" t="s">
        <v>47112</v>
      </c>
      <c r="K7599" t="s">
        <v>47113</v>
      </c>
      <c r="L7599">
        <v>60.05</v>
      </c>
      <c r="M7599">
        <v>148</v>
      </c>
      <c r="N7599">
        <v>0</v>
      </c>
      <c r="O7599">
        <v>148</v>
      </c>
      <c r="P7599">
        <v>0</v>
      </c>
    </row>
    <row r="7600" spans="1:16" x14ac:dyDescent="0.25">
      <c r="A7600" t="s">
        <v>30180</v>
      </c>
      <c r="B7600" t="s">
        <v>6223</v>
      </c>
      <c r="C7600" t="s">
        <v>6224</v>
      </c>
      <c r="D7600" t="s">
        <v>6209</v>
      </c>
      <c r="E7600" t="s">
        <v>6210</v>
      </c>
      <c r="F7600" t="s">
        <v>8</v>
      </c>
      <c r="G7600" t="s">
        <v>16224</v>
      </c>
      <c r="H7600" t="s">
        <v>47054</v>
      </c>
      <c r="I7600" t="s">
        <v>47116</v>
      </c>
      <c r="J7600" t="s">
        <v>47117</v>
      </c>
      <c r="K7600" t="s">
        <v>47113</v>
      </c>
      <c r="L7600">
        <v>62.28</v>
      </c>
      <c r="M7600">
        <v>170</v>
      </c>
      <c r="N7600">
        <v>0</v>
      </c>
      <c r="O7600">
        <v>170</v>
      </c>
      <c r="P7600">
        <v>0</v>
      </c>
    </row>
    <row r="7601" spans="1:16" x14ac:dyDescent="0.25">
      <c r="A7601" t="s">
        <v>30181</v>
      </c>
      <c r="B7601" t="s">
        <v>6225</v>
      </c>
      <c r="C7601" t="s">
        <v>6226</v>
      </c>
      <c r="D7601" t="s">
        <v>6193</v>
      </c>
      <c r="E7601" t="s">
        <v>6194</v>
      </c>
      <c r="F7601" t="s">
        <v>8</v>
      </c>
      <c r="G7601" t="s">
        <v>16224</v>
      </c>
      <c r="H7601" t="s">
        <v>47054</v>
      </c>
      <c r="I7601" t="s">
        <v>47111</v>
      </c>
      <c r="J7601" t="s">
        <v>47112</v>
      </c>
      <c r="K7601" t="s">
        <v>47113</v>
      </c>
      <c r="L7601">
        <v>37.93</v>
      </c>
      <c r="M7601">
        <v>185</v>
      </c>
      <c r="N7601">
        <v>0</v>
      </c>
      <c r="O7601">
        <v>185</v>
      </c>
      <c r="P7601">
        <v>0</v>
      </c>
    </row>
    <row r="7602" spans="1:16" x14ac:dyDescent="0.25">
      <c r="A7602" t="s">
        <v>30182</v>
      </c>
      <c r="B7602" t="s">
        <v>6227</v>
      </c>
      <c r="C7602" t="s">
        <v>6228</v>
      </c>
      <c r="D7602" t="s">
        <v>6229</v>
      </c>
      <c r="E7602" t="s">
        <v>6230</v>
      </c>
      <c r="F7602" t="s">
        <v>7</v>
      </c>
      <c r="G7602" t="s">
        <v>16231</v>
      </c>
      <c r="H7602" t="s">
        <v>47054</v>
      </c>
      <c r="I7602" t="s">
        <v>47111</v>
      </c>
      <c r="J7602" t="s">
        <v>47112</v>
      </c>
      <c r="K7602" t="s">
        <v>47113</v>
      </c>
      <c r="L7602">
        <v>57.44</v>
      </c>
      <c r="M7602">
        <v>148</v>
      </c>
      <c r="N7602">
        <v>0</v>
      </c>
      <c r="O7602">
        <v>148</v>
      </c>
      <c r="P7602">
        <v>0</v>
      </c>
    </row>
    <row r="7603" spans="1:16" x14ac:dyDescent="0.25">
      <c r="A7603" t="s">
        <v>30183</v>
      </c>
      <c r="B7603" t="s">
        <v>6231</v>
      </c>
      <c r="C7603" t="s">
        <v>6232</v>
      </c>
      <c r="D7603" t="s">
        <v>6203</v>
      </c>
      <c r="E7603" t="s">
        <v>6204</v>
      </c>
      <c r="F7603" t="s">
        <v>631</v>
      </c>
      <c r="G7603" t="s">
        <v>16231</v>
      </c>
      <c r="H7603" t="s">
        <v>47054</v>
      </c>
      <c r="I7603" t="s">
        <v>47111</v>
      </c>
      <c r="J7603" t="s">
        <v>47112</v>
      </c>
      <c r="K7603" t="s">
        <v>47113</v>
      </c>
      <c r="L7603">
        <v>64.58</v>
      </c>
      <c r="M7603">
        <v>166</v>
      </c>
      <c r="N7603">
        <v>0</v>
      </c>
      <c r="O7603">
        <v>166</v>
      </c>
      <c r="P7603">
        <v>0</v>
      </c>
    </row>
    <row r="7604" spans="1:16" x14ac:dyDescent="0.25">
      <c r="A7604" t="s">
        <v>30184</v>
      </c>
      <c r="B7604" t="s">
        <v>6231</v>
      </c>
      <c r="C7604" t="s">
        <v>6232</v>
      </c>
      <c r="D7604" t="s">
        <v>6205</v>
      </c>
      <c r="E7604" t="s">
        <v>6206</v>
      </c>
      <c r="F7604" t="s">
        <v>631</v>
      </c>
      <c r="G7604" t="s">
        <v>16231</v>
      </c>
      <c r="H7604" t="s">
        <v>47054</v>
      </c>
      <c r="I7604" t="s">
        <v>47111</v>
      </c>
      <c r="J7604" t="s">
        <v>47112</v>
      </c>
      <c r="K7604" t="s">
        <v>47113</v>
      </c>
      <c r="L7604">
        <v>70.53</v>
      </c>
      <c r="M7604">
        <v>176</v>
      </c>
      <c r="N7604">
        <v>0</v>
      </c>
      <c r="O7604">
        <v>176</v>
      </c>
      <c r="P7604">
        <v>0</v>
      </c>
    </row>
    <row r="7605" spans="1:16" x14ac:dyDescent="0.25">
      <c r="A7605" t="s">
        <v>30185</v>
      </c>
      <c r="B7605" t="s">
        <v>6231</v>
      </c>
      <c r="C7605" t="s">
        <v>6232</v>
      </c>
      <c r="D7605" t="s">
        <v>6217</v>
      </c>
      <c r="E7605" t="s">
        <v>6218</v>
      </c>
      <c r="F7605" t="s">
        <v>631</v>
      </c>
      <c r="G7605" t="s">
        <v>16231</v>
      </c>
      <c r="H7605" t="s">
        <v>47054</v>
      </c>
      <c r="I7605" t="s">
        <v>47111</v>
      </c>
      <c r="J7605" t="s">
        <v>47112</v>
      </c>
      <c r="K7605" t="s">
        <v>47113</v>
      </c>
      <c r="L7605">
        <v>75.010000000000005</v>
      </c>
      <c r="M7605">
        <v>146</v>
      </c>
      <c r="N7605">
        <v>0</v>
      </c>
      <c r="O7605">
        <v>146</v>
      </c>
      <c r="P7605">
        <v>0</v>
      </c>
    </row>
    <row r="7606" spans="1:16" x14ac:dyDescent="0.25">
      <c r="A7606" t="s">
        <v>30186</v>
      </c>
      <c r="B7606" t="s">
        <v>6231</v>
      </c>
      <c r="C7606" t="s">
        <v>6232</v>
      </c>
      <c r="D7606" t="s">
        <v>6209</v>
      </c>
      <c r="E7606" t="s">
        <v>6210</v>
      </c>
      <c r="F7606" t="s">
        <v>8</v>
      </c>
      <c r="G7606" t="s">
        <v>16231</v>
      </c>
      <c r="H7606" t="s">
        <v>47054</v>
      </c>
      <c r="I7606" t="s">
        <v>47111</v>
      </c>
      <c r="J7606" t="s">
        <v>47112</v>
      </c>
      <c r="K7606" t="s">
        <v>47113</v>
      </c>
      <c r="L7606">
        <v>73.290000000000006</v>
      </c>
      <c r="M7606">
        <v>146</v>
      </c>
      <c r="N7606">
        <v>0</v>
      </c>
      <c r="O7606">
        <v>146</v>
      </c>
      <c r="P7606">
        <v>0</v>
      </c>
    </row>
    <row r="7607" spans="1:16" x14ac:dyDescent="0.25">
      <c r="A7607" t="s">
        <v>30187</v>
      </c>
      <c r="B7607" t="s">
        <v>6231</v>
      </c>
      <c r="C7607" t="s">
        <v>6232</v>
      </c>
      <c r="D7607" t="s">
        <v>6193</v>
      </c>
      <c r="E7607" t="s">
        <v>6194</v>
      </c>
      <c r="F7607" t="s">
        <v>8</v>
      </c>
      <c r="G7607" t="s">
        <v>16231</v>
      </c>
      <c r="H7607" t="s">
        <v>47054</v>
      </c>
      <c r="I7607" t="s">
        <v>47111</v>
      </c>
      <c r="J7607" t="s">
        <v>47112</v>
      </c>
      <c r="K7607" t="s">
        <v>47113</v>
      </c>
      <c r="L7607">
        <v>52.39</v>
      </c>
      <c r="M7607">
        <v>136</v>
      </c>
      <c r="N7607">
        <v>0</v>
      </c>
      <c r="O7607">
        <v>136</v>
      </c>
      <c r="P7607">
        <v>0</v>
      </c>
    </row>
    <row r="7608" spans="1:16" x14ac:dyDescent="0.25">
      <c r="A7608" t="s">
        <v>30188</v>
      </c>
      <c r="B7608" t="s">
        <v>6231</v>
      </c>
      <c r="C7608" t="s">
        <v>6232</v>
      </c>
      <c r="D7608" t="s">
        <v>294</v>
      </c>
      <c r="E7608" t="s">
        <v>295</v>
      </c>
      <c r="F7608" t="s">
        <v>8</v>
      </c>
      <c r="G7608" t="s">
        <v>16231</v>
      </c>
      <c r="H7608" t="s">
        <v>47054</v>
      </c>
      <c r="I7608" t="s">
        <v>47111</v>
      </c>
      <c r="J7608" t="s">
        <v>47112</v>
      </c>
      <c r="K7608" t="s">
        <v>47113</v>
      </c>
      <c r="L7608">
        <v>66.61</v>
      </c>
      <c r="M7608">
        <v>141</v>
      </c>
      <c r="N7608">
        <v>0</v>
      </c>
      <c r="O7608">
        <v>141</v>
      </c>
      <c r="P7608">
        <v>0</v>
      </c>
    </row>
    <row r="7609" spans="1:16" x14ac:dyDescent="0.25">
      <c r="A7609" t="s">
        <v>30189</v>
      </c>
      <c r="B7609" t="s">
        <v>6231</v>
      </c>
      <c r="C7609" t="s">
        <v>6232</v>
      </c>
      <c r="D7609" t="s">
        <v>6219</v>
      </c>
      <c r="E7609" t="s">
        <v>6220</v>
      </c>
      <c r="F7609" t="s">
        <v>8</v>
      </c>
      <c r="G7609" t="s">
        <v>16231</v>
      </c>
      <c r="H7609" t="s">
        <v>47054</v>
      </c>
      <c r="I7609" t="s">
        <v>47111</v>
      </c>
      <c r="J7609" t="s">
        <v>47112</v>
      </c>
      <c r="K7609" t="s">
        <v>47113</v>
      </c>
      <c r="L7609">
        <v>61.7</v>
      </c>
      <c r="M7609">
        <v>146</v>
      </c>
      <c r="N7609">
        <v>0</v>
      </c>
      <c r="O7609">
        <v>146</v>
      </c>
      <c r="P7609">
        <v>0</v>
      </c>
    </row>
    <row r="7610" spans="1:16" x14ac:dyDescent="0.25">
      <c r="A7610" t="s">
        <v>30190</v>
      </c>
      <c r="B7610" t="s">
        <v>6231</v>
      </c>
      <c r="C7610" t="s">
        <v>6232</v>
      </c>
      <c r="D7610" t="s">
        <v>1381</v>
      </c>
      <c r="E7610" t="s">
        <v>6221</v>
      </c>
      <c r="F7610" t="s">
        <v>52</v>
      </c>
      <c r="G7610" t="s">
        <v>16231</v>
      </c>
      <c r="H7610" t="s">
        <v>47054</v>
      </c>
      <c r="I7610" t="s">
        <v>47111</v>
      </c>
      <c r="J7610" t="s">
        <v>47112</v>
      </c>
      <c r="K7610" t="s">
        <v>47113</v>
      </c>
      <c r="L7610">
        <v>79</v>
      </c>
      <c r="M7610">
        <v>172</v>
      </c>
      <c r="N7610">
        <v>0</v>
      </c>
      <c r="O7610">
        <v>172</v>
      </c>
      <c r="P7610">
        <v>0</v>
      </c>
    </row>
    <row r="7611" spans="1:16" x14ac:dyDescent="0.25">
      <c r="A7611" t="s">
        <v>30191</v>
      </c>
      <c r="B7611" t="s">
        <v>6231</v>
      </c>
      <c r="C7611" t="s">
        <v>6232</v>
      </c>
      <c r="D7611" t="s">
        <v>1774</v>
      </c>
      <c r="E7611" t="s">
        <v>1775</v>
      </c>
      <c r="F7611" t="s">
        <v>56</v>
      </c>
      <c r="G7611" t="s">
        <v>16231</v>
      </c>
      <c r="H7611" t="s">
        <v>47054</v>
      </c>
      <c r="I7611" t="s">
        <v>47111</v>
      </c>
      <c r="J7611" t="s">
        <v>47112</v>
      </c>
      <c r="K7611" t="s">
        <v>47113</v>
      </c>
      <c r="L7611">
        <v>63.71</v>
      </c>
      <c r="M7611">
        <v>129</v>
      </c>
      <c r="N7611">
        <v>0</v>
      </c>
      <c r="O7611">
        <v>129</v>
      </c>
      <c r="P7611">
        <v>0</v>
      </c>
    </row>
    <row r="7612" spans="1:16" x14ac:dyDescent="0.25">
      <c r="A7612" t="s">
        <v>30192</v>
      </c>
      <c r="B7612" t="s">
        <v>6231</v>
      </c>
      <c r="C7612" t="s">
        <v>6232</v>
      </c>
      <c r="D7612" t="s">
        <v>6211</v>
      </c>
      <c r="E7612" t="s">
        <v>6212</v>
      </c>
      <c r="F7612" t="s">
        <v>56</v>
      </c>
      <c r="G7612" t="s">
        <v>16231</v>
      </c>
      <c r="H7612" t="s">
        <v>47054</v>
      </c>
      <c r="I7612" t="s">
        <v>47111</v>
      </c>
      <c r="J7612" t="s">
        <v>47112</v>
      </c>
      <c r="K7612" t="s">
        <v>47113</v>
      </c>
      <c r="L7612">
        <v>59.83</v>
      </c>
      <c r="M7612">
        <v>148</v>
      </c>
      <c r="N7612">
        <v>0</v>
      </c>
      <c r="O7612">
        <v>148</v>
      </c>
      <c r="P7612">
        <v>0</v>
      </c>
    </row>
    <row r="7613" spans="1:16" x14ac:dyDescent="0.25">
      <c r="A7613" t="s">
        <v>30193</v>
      </c>
      <c r="B7613" t="s">
        <v>6233</v>
      </c>
      <c r="C7613" t="s">
        <v>6234</v>
      </c>
      <c r="D7613" t="s">
        <v>6203</v>
      </c>
      <c r="E7613" t="s">
        <v>6204</v>
      </c>
      <c r="F7613" t="s">
        <v>56</v>
      </c>
      <c r="G7613" t="s">
        <v>16231</v>
      </c>
      <c r="H7613" t="s">
        <v>47054</v>
      </c>
      <c r="I7613" t="s">
        <v>47111</v>
      </c>
      <c r="J7613" t="s">
        <v>47112</v>
      </c>
      <c r="K7613" t="s">
        <v>47113</v>
      </c>
      <c r="L7613">
        <v>69.11</v>
      </c>
      <c r="M7613">
        <v>166</v>
      </c>
      <c r="N7613">
        <v>0</v>
      </c>
      <c r="O7613">
        <v>166</v>
      </c>
      <c r="P7613">
        <v>0</v>
      </c>
    </row>
    <row r="7614" spans="1:16" x14ac:dyDescent="0.25">
      <c r="A7614" t="s">
        <v>30194</v>
      </c>
      <c r="B7614" t="s">
        <v>6233</v>
      </c>
      <c r="C7614" t="s">
        <v>6234</v>
      </c>
      <c r="D7614" t="s">
        <v>6205</v>
      </c>
      <c r="E7614" t="s">
        <v>6206</v>
      </c>
      <c r="F7614" t="s">
        <v>56</v>
      </c>
      <c r="G7614" t="s">
        <v>16231</v>
      </c>
      <c r="H7614" t="s">
        <v>47054</v>
      </c>
      <c r="I7614" t="s">
        <v>47111</v>
      </c>
      <c r="J7614" t="s">
        <v>47112</v>
      </c>
      <c r="K7614" t="s">
        <v>47113</v>
      </c>
      <c r="L7614">
        <v>74.3</v>
      </c>
      <c r="M7614">
        <v>140</v>
      </c>
      <c r="N7614">
        <v>0</v>
      </c>
      <c r="O7614">
        <v>140</v>
      </c>
      <c r="P7614">
        <v>0</v>
      </c>
    </row>
    <row r="7615" spans="1:16" x14ac:dyDescent="0.25">
      <c r="A7615" t="s">
        <v>30195</v>
      </c>
      <c r="B7615" t="s">
        <v>6233</v>
      </c>
      <c r="C7615" t="s">
        <v>6234</v>
      </c>
      <c r="D7615" t="s">
        <v>1774</v>
      </c>
      <c r="E7615" t="s">
        <v>1775</v>
      </c>
      <c r="F7615" t="s">
        <v>56</v>
      </c>
      <c r="G7615" t="s">
        <v>16231</v>
      </c>
      <c r="H7615" t="s">
        <v>47054</v>
      </c>
      <c r="I7615" t="s">
        <v>47111</v>
      </c>
      <c r="J7615" t="s">
        <v>47112</v>
      </c>
      <c r="K7615" t="s">
        <v>47113</v>
      </c>
      <c r="L7615">
        <v>56.99</v>
      </c>
      <c r="M7615">
        <v>129</v>
      </c>
      <c r="N7615">
        <v>0</v>
      </c>
      <c r="O7615">
        <v>129</v>
      </c>
      <c r="P7615">
        <v>0</v>
      </c>
    </row>
    <row r="7616" spans="1:16" x14ac:dyDescent="0.25">
      <c r="A7616" t="s">
        <v>30196</v>
      </c>
      <c r="B7616" t="s">
        <v>6233</v>
      </c>
      <c r="C7616" t="s">
        <v>6234</v>
      </c>
      <c r="D7616" t="s">
        <v>6211</v>
      </c>
      <c r="E7616" t="s">
        <v>6212</v>
      </c>
      <c r="F7616" t="s">
        <v>56</v>
      </c>
      <c r="G7616" t="s">
        <v>16231</v>
      </c>
      <c r="H7616" t="s">
        <v>47054</v>
      </c>
      <c r="I7616" t="s">
        <v>47111</v>
      </c>
      <c r="J7616" t="s">
        <v>47112</v>
      </c>
      <c r="K7616" t="s">
        <v>47113</v>
      </c>
      <c r="L7616">
        <v>62.77</v>
      </c>
      <c r="M7616">
        <v>148</v>
      </c>
      <c r="N7616">
        <v>0</v>
      </c>
      <c r="O7616">
        <v>148</v>
      </c>
      <c r="P7616">
        <v>0</v>
      </c>
    </row>
    <row r="7617" spans="1:16" x14ac:dyDescent="0.25">
      <c r="A7617" t="s">
        <v>30197</v>
      </c>
      <c r="B7617" t="s">
        <v>6235</v>
      </c>
      <c r="C7617" t="s">
        <v>6236</v>
      </c>
      <c r="D7617" t="s">
        <v>2028</v>
      </c>
      <c r="E7617" t="s">
        <v>2029</v>
      </c>
      <c r="F7617" t="s">
        <v>56</v>
      </c>
      <c r="G7617" t="s">
        <v>16231</v>
      </c>
      <c r="H7617" t="s">
        <v>47054</v>
      </c>
      <c r="I7617" t="s">
        <v>47111</v>
      </c>
      <c r="J7617" t="s">
        <v>47112</v>
      </c>
      <c r="K7617" t="s">
        <v>47113</v>
      </c>
      <c r="L7617">
        <v>52.51</v>
      </c>
      <c r="M7617">
        <v>132</v>
      </c>
      <c r="N7617">
        <v>0</v>
      </c>
      <c r="O7617">
        <v>132</v>
      </c>
      <c r="P7617">
        <v>0</v>
      </c>
    </row>
    <row r="7618" spans="1:16" x14ac:dyDescent="0.25">
      <c r="A7618" t="s">
        <v>30198</v>
      </c>
      <c r="B7618" t="s">
        <v>6235</v>
      </c>
      <c r="C7618" t="s">
        <v>6236</v>
      </c>
      <c r="D7618" t="s">
        <v>1737</v>
      </c>
      <c r="E7618" t="s">
        <v>1738</v>
      </c>
      <c r="F7618" t="s">
        <v>296</v>
      </c>
      <c r="G7618" t="s">
        <v>16231</v>
      </c>
      <c r="H7618" t="s">
        <v>47054</v>
      </c>
      <c r="I7618" t="s">
        <v>47111</v>
      </c>
      <c r="J7618" t="s">
        <v>47112</v>
      </c>
      <c r="K7618" t="s">
        <v>47113</v>
      </c>
      <c r="L7618">
        <v>49.45</v>
      </c>
      <c r="M7618">
        <v>115</v>
      </c>
      <c r="N7618">
        <v>0</v>
      </c>
      <c r="O7618">
        <v>115</v>
      </c>
      <c r="P7618">
        <v>0</v>
      </c>
    </row>
    <row r="7619" spans="1:16" x14ac:dyDescent="0.25">
      <c r="A7619" t="s">
        <v>30199</v>
      </c>
      <c r="B7619" t="s">
        <v>6237</v>
      </c>
      <c r="C7619" t="s">
        <v>6238</v>
      </c>
      <c r="D7619" t="s">
        <v>2028</v>
      </c>
      <c r="E7619" t="s">
        <v>2029</v>
      </c>
      <c r="F7619" t="s">
        <v>56</v>
      </c>
      <c r="G7619" t="s">
        <v>16231</v>
      </c>
      <c r="H7619" t="s">
        <v>47054</v>
      </c>
      <c r="I7619" t="s">
        <v>47111</v>
      </c>
      <c r="J7619" t="s">
        <v>47112</v>
      </c>
      <c r="K7619" t="s">
        <v>47113</v>
      </c>
      <c r="L7619">
        <v>54.22</v>
      </c>
      <c r="M7619">
        <v>132</v>
      </c>
      <c r="N7619">
        <v>0</v>
      </c>
      <c r="O7619">
        <v>132</v>
      </c>
      <c r="P7619">
        <v>0</v>
      </c>
    </row>
    <row r="7620" spans="1:16" x14ac:dyDescent="0.25">
      <c r="A7620" t="s">
        <v>30200</v>
      </c>
      <c r="B7620" t="s">
        <v>6237</v>
      </c>
      <c r="C7620" t="s">
        <v>6238</v>
      </c>
      <c r="D7620" t="s">
        <v>2981</v>
      </c>
      <c r="E7620" t="s">
        <v>2982</v>
      </c>
      <c r="F7620" t="s">
        <v>56</v>
      </c>
      <c r="G7620" t="s">
        <v>16231</v>
      </c>
      <c r="H7620" t="s">
        <v>47054</v>
      </c>
      <c r="I7620" t="s">
        <v>47111</v>
      </c>
      <c r="J7620" t="s">
        <v>47112</v>
      </c>
      <c r="K7620" t="s">
        <v>47113</v>
      </c>
      <c r="L7620">
        <v>59.59</v>
      </c>
      <c r="M7620">
        <v>152</v>
      </c>
      <c r="N7620">
        <v>0</v>
      </c>
      <c r="O7620">
        <v>152</v>
      </c>
      <c r="P7620">
        <v>0</v>
      </c>
    </row>
    <row r="7621" spans="1:16" x14ac:dyDescent="0.25">
      <c r="A7621" t="s">
        <v>30201</v>
      </c>
      <c r="B7621" t="s">
        <v>6239</v>
      </c>
      <c r="C7621" t="s">
        <v>6240</v>
      </c>
      <c r="D7621" t="s">
        <v>2028</v>
      </c>
      <c r="E7621" t="s">
        <v>2029</v>
      </c>
      <c r="F7621" t="s">
        <v>56</v>
      </c>
      <c r="G7621" t="s">
        <v>16231</v>
      </c>
      <c r="H7621" t="s">
        <v>47054</v>
      </c>
      <c r="I7621" t="s">
        <v>47111</v>
      </c>
      <c r="J7621" t="s">
        <v>47112</v>
      </c>
      <c r="K7621" t="s">
        <v>47113</v>
      </c>
      <c r="L7621">
        <v>54.42</v>
      </c>
      <c r="M7621">
        <v>132</v>
      </c>
      <c r="N7621">
        <v>0</v>
      </c>
      <c r="O7621">
        <v>132</v>
      </c>
      <c r="P7621">
        <v>0</v>
      </c>
    </row>
    <row r="7622" spans="1:16" x14ac:dyDescent="0.25">
      <c r="A7622" t="s">
        <v>30202</v>
      </c>
      <c r="B7622" t="s">
        <v>6241</v>
      </c>
      <c r="C7622" t="s">
        <v>6242</v>
      </c>
      <c r="D7622" t="s">
        <v>2028</v>
      </c>
      <c r="E7622" t="s">
        <v>2029</v>
      </c>
      <c r="F7622" t="s">
        <v>56</v>
      </c>
      <c r="G7622" t="s">
        <v>16224</v>
      </c>
      <c r="H7622" t="s">
        <v>47054</v>
      </c>
      <c r="I7622" t="s">
        <v>47116</v>
      </c>
      <c r="J7622" t="s">
        <v>47117</v>
      </c>
      <c r="K7622" t="s">
        <v>47113</v>
      </c>
      <c r="L7622">
        <v>55.73</v>
      </c>
      <c r="M7622">
        <v>125</v>
      </c>
      <c r="N7622">
        <v>0</v>
      </c>
      <c r="O7622">
        <v>125</v>
      </c>
      <c r="P7622">
        <v>0</v>
      </c>
    </row>
    <row r="7623" spans="1:16" x14ac:dyDescent="0.25">
      <c r="A7623" t="s">
        <v>30203</v>
      </c>
      <c r="B7623" t="s">
        <v>6243</v>
      </c>
      <c r="C7623" t="s">
        <v>6244</v>
      </c>
      <c r="D7623" t="s">
        <v>6211</v>
      </c>
      <c r="E7623" t="s">
        <v>6212</v>
      </c>
      <c r="F7623" t="s">
        <v>56</v>
      </c>
      <c r="G7623" t="s">
        <v>16231</v>
      </c>
      <c r="H7623" t="s">
        <v>47054</v>
      </c>
      <c r="I7623" t="s">
        <v>47111</v>
      </c>
      <c r="J7623" t="s">
        <v>47112</v>
      </c>
      <c r="K7623" t="s">
        <v>47113</v>
      </c>
      <c r="L7623">
        <v>61.79</v>
      </c>
      <c r="M7623">
        <v>148</v>
      </c>
      <c r="N7623">
        <v>0</v>
      </c>
      <c r="O7623">
        <v>148</v>
      </c>
      <c r="P7623">
        <v>0</v>
      </c>
    </row>
    <row r="7624" spans="1:16" x14ac:dyDescent="0.25">
      <c r="A7624" t="s">
        <v>30204</v>
      </c>
      <c r="B7624" t="s">
        <v>6245</v>
      </c>
      <c r="C7624" t="s">
        <v>47572</v>
      </c>
      <c r="D7624" t="str">
        <f>"1541"</f>
        <v>1541</v>
      </c>
      <c r="E7624" t="s">
        <v>6246</v>
      </c>
      <c r="F7624" t="s">
        <v>3670</v>
      </c>
      <c r="G7624" t="s">
        <v>16232</v>
      </c>
      <c r="H7624" t="s">
        <v>47054</v>
      </c>
      <c r="I7624" t="s">
        <v>47569</v>
      </c>
      <c r="J7624" t="s">
        <v>47570</v>
      </c>
      <c r="K7624" t="s">
        <v>47113</v>
      </c>
      <c r="L7624">
        <v>13.51</v>
      </c>
      <c r="M7624">
        <v>26</v>
      </c>
      <c r="N7624">
        <v>0</v>
      </c>
      <c r="O7624">
        <v>26</v>
      </c>
      <c r="P7624">
        <v>0</v>
      </c>
    </row>
    <row r="7625" spans="1:16" x14ac:dyDescent="0.25">
      <c r="A7625" t="s">
        <v>30205</v>
      </c>
      <c r="B7625" t="s">
        <v>6245</v>
      </c>
      <c r="C7625" t="s">
        <v>47572</v>
      </c>
      <c r="D7625" t="str">
        <f>"2002"</f>
        <v>2002</v>
      </c>
      <c r="E7625" t="s">
        <v>6247</v>
      </c>
      <c r="F7625" t="s">
        <v>3670</v>
      </c>
      <c r="G7625" t="s">
        <v>16232</v>
      </c>
      <c r="H7625" t="s">
        <v>47054</v>
      </c>
      <c r="I7625" t="s">
        <v>47569</v>
      </c>
      <c r="J7625" t="s">
        <v>47570</v>
      </c>
      <c r="K7625" t="s">
        <v>47113</v>
      </c>
      <c r="L7625">
        <v>13.51</v>
      </c>
      <c r="M7625">
        <v>26</v>
      </c>
      <c r="N7625">
        <v>0</v>
      </c>
      <c r="O7625">
        <v>26</v>
      </c>
      <c r="P7625">
        <v>0</v>
      </c>
    </row>
    <row r="7626" spans="1:16" x14ac:dyDescent="0.25">
      <c r="A7626" t="s">
        <v>16458</v>
      </c>
      <c r="B7626" t="s">
        <v>6245</v>
      </c>
      <c r="C7626" t="s">
        <v>47572</v>
      </c>
      <c r="D7626" t="str">
        <f>"4928"</f>
        <v>4928</v>
      </c>
      <c r="E7626" t="s">
        <v>6248</v>
      </c>
      <c r="F7626" t="s">
        <v>3670</v>
      </c>
      <c r="G7626" t="s">
        <v>16232</v>
      </c>
      <c r="H7626" t="s">
        <v>47054</v>
      </c>
      <c r="I7626" t="s">
        <v>47569</v>
      </c>
      <c r="J7626" t="s">
        <v>47570</v>
      </c>
      <c r="K7626" t="s">
        <v>47113</v>
      </c>
      <c r="L7626">
        <v>13.51</v>
      </c>
      <c r="M7626">
        <v>48</v>
      </c>
      <c r="N7626">
        <v>0</v>
      </c>
      <c r="O7626">
        <v>48</v>
      </c>
      <c r="P7626">
        <v>0</v>
      </c>
    </row>
    <row r="7627" spans="1:16" x14ac:dyDescent="0.25">
      <c r="A7627" t="s">
        <v>30206</v>
      </c>
      <c r="B7627" t="s">
        <v>6245</v>
      </c>
      <c r="C7627" t="s">
        <v>47572</v>
      </c>
      <c r="D7627" t="str">
        <f>"6056"</f>
        <v>6056</v>
      </c>
      <c r="E7627" t="s">
        <v>6113</v>
      </c>
      <c r="F7627" t="s">
        <v>3670</v>
      </c>
      <c r="G7627" t="s">
        <v>16232</v>
      </c>
      <c r="H7627" t="s">
        <v>47054</v>
      </c>
      <c r="I7627" t="s">
        <v>47569</v>
      </c>
      <c r="J7627" t="s">
        <v>47570</v>
      </c>
      <c r="K7627" t="s">
        <v>47113</v>
      </c>
      <c r="L7627">
        <v>15.13</v>
      </c>
      <c r="M7627">
        <v>26</v>
      </c>
      <c r="N7627">
        <v>0</v>
      </c>
      <c r="O7627">
        <v>26</v>
      </c>
      <c r="P7627">
        <v>0</v>
      </c>
    </row>
    <row r="7628" spans="1:16" x14ac:dyDescent="0.25">
      <c r="A7628" t="s">
        <v>16459</v>
      </c>
      <c r="B7628" t="s">
        <v>6249</v>
      </c>
      <c r="C7628" t="s">
        <v>6250</v>
      </c>
      <c r="D7628" t="str">
        <f>"1118"</f>
        <v>1118</v>
      </c>
      <c r="E7628" t="s">
        <v>6251</v>
      </c>
      <c r="F7628" t="s">
        <v>3670</v>
      </c>
      <c r="G7628" t="s">
        <v>16230</v>
      </c>
      <c r="H7628" t="s">
        <v>47054</v>
      </c>
      <c r="I7628" t="s">
        <v>47120</v>
      </c>
      <c r="J7628" t="s">
        <v>47121</v>
      </c>
      <c r="K7628" t="s">
        <v>47113</v>
      </c>
      <c r="L7628">
        <v>25.58</v>
      </c>
      <c r="M7628">
        <v>63</v>
      </c>
      <c r="N7628">
        <v>0</v>
      </c>
      <c r="O7628">
        <v>63</v>
      </c>
      <c r="P7628">
        <v>0</v>
      </c>
    </row>
    <row r="7629" spans="1:16" x14ac:dyDescent="0.25">
      <c r="A7629" t="s">
        <v>30207</v>
      </c>
      <c r="B7629" t="s">
        <v>6252</v>
      </c>
      <c r="C7629" t="s">
        <v>20037</v>
      </c>
      <c r="D7629" t="str">
        <f>"1812"</f>
        <v>1812</v>
      </c>
      <c r="E7629" t="s">
        <v>6253</v>
      </c>
      <c r="F7629" t="s">
        <v>3670</v>
      </c>
      <c r="G7629" t="s">
        <v>16230</v>
      </c>
      <c r="H7629" t="s">
        <v>47054</v>
      </c>
      <c r="I7629" t="s">
        <v>47120</v>
      </c>
      <c r="J7629" t="s">
        <v>47121</v>
      </c>
      <c r="K7629" t="s">
        <v>47113</v>
      </c>
      <c r="L7629">
        <v>30.54</v>
      </c>
      <c r="M7629">
        <v>59</v>
      </c>
      <c r="N7629">
        <v>0</v>
      </c>
      <c r="O7629">
        <v>59</v>
      </c>
      <c r="P7629">
        <v>0</v>
      </c>
    </row>
    <row r="7630" spans="1:16" x14ac:dyDescent="0.25">
      <c r="A7630" t="s">
        <v>30208</v>
      </c>
      <c r="B7630" t="s">
        <v>6252</v>
      </c>
      <c r="C7630" t="s">
        <v>20037</v>
      </c>
      <c r="D7630" t="str">
        <f>"2008"</f>
        <v>2008</v>
      </c>
      <c r="E7630" t="s">
        <v>6254</v>
      </c>
      <c r="F7630" t="s">
        <v>3670</v>
      </c>
      <c r="G7630" t="s">
        <v>16230</v>
      </c>
      <c r="H7630" t="s">
        <v>47054</v>
      </c>
      <c r="I7630" t="s">
        <v>47120</v>
      </c>
      <c r="J7630" t="s">
        <v>47121</v>
      </c>
      <c r="K7630" t="s">
        <v>47113</v>
      </c>
      <c r="L7630">
        <v>30.54</v>
      </c>
      <c r="M7630">
        <v>59</v>
      </c>
      <c r="N7630">
        <v>0</v>
      </c>
      <c r="O7630">
        <v>59</v>
      </c>
      <c r="P7630">
        <v>0</v>
      </c>
    </row>
    <row r="7631" spans="1:16" x14ac:dyDescent="0.25">
      <c r="A7631" t="s">
        <v>30209</v>
      </c>
      <c r="B7631" t="s">
        <v>6252</v>
      </c>
      <c r="C7631" t="s">
        <v>20037</v>
      </c>
      <c r="D7631" t="str">
        <f>"4068"</f>
        <v>4068</v>
      </c>
      <c r="E7631" t="s">
        <v>6255</v>
      </c>
      <c r="F7631" t="s">
        <v>3670</v>
      </c>
      <c r="G7631" t="s">
        <v>16230</v>
      </c>
      <c r="H7631" t="s">
        <v>47054</v>
      </c>
      <c r="I7631" t="s">
        <v>47120</v>
      </c>
      <c r="J7631" t="s">
        <v>47121</v>
      </c>
      <c r="K7631" t="s">
        <v>47113</v>
      </c>
      <c r="L7631">
        <v>30.54</v>
      </c>
      <c r="M7631">
        <v>59</v>
      </c>
      <c r="N7631">
        <v>0</v>
      </c>
      <c r="O7631">
        <v>59</v>
      </c>
      <c r="P7631">
        <v>0</v>
      </c>
    </row>
    <row r="7632" spans="1:16" x14ac:dyDescent="0.25">
      <c r="A7632" t="s">
        <v>30210</v>
      </c>
      <c r="B7632" t="s">
        <v>20038</v>
      </c>
      <c r="C7632" t="s">
        <v>20039</v>
      </c>
      <c r="D7632" t="str">
        <f>"1159"</f>
        <v>1159</v>
      </c>
      <c r="E7632" t="s">
        <v>20040</v>
      </c>
      <c r="F7632" t="s">
        <v>3750</v>
      </c>
      <c r="G7632" t="s">
        <v>16222</v>
      </c>
      <c r="H7632" t="s">
        <v>47054</v>
      </c>
      <c r="I7632" t="s">
        <v>47118</v>
      </c>
      <c r="J7632" t="s">
        <v>47119</v>
      </c>
      <c r="K7632" t="s">
        <v>47113</v>
      </c>
      <c r="L7632">
        <v>13.59</v>
      </c>
      <c r="M7632">
        <v>52</v>
      </c>
      <c r="N7632">
        <v>0</v>
      </c>
      <c r="O7632">
        <v>52</v>
      </c>
      <c r="P7632">
        <v>0</v>
      </c>
    </row>
    <row r="7633" spans="1:16" x14ac:dyDescent="0.25">
      <c r="A7633" t="s">
        <v>30211</v>
      </c>
      <c r="B7633" t="s">
        <v>20038</v>
      </c>
      <c r="C7633" t="s">
        <v>20039</v>
      </c>
      <c r="D7633" t="str">
        <f>"1422"</f>
        <v>1422</v>
      </c>
      <c r="E7633" t="s">
        <v>16445</v>
      </c>
      <c r="F7633" t="s">
        <v>3750</v>
      </c>
      <c r="G7633" t="s">
        <v>16222</v>
      </c>
      <c r="H7633" t="s">
        <v>47054</v>
      </c>
      <c r="I7633" t="s">
        <v>47118</v>
      </c>
      <c r="J7633" t="s">
        <v>47119</v>
      </c>
      <c r="K7633" t="s">
        <v>47113</v>
      </c>
      <c r="L7633">
        <v>13.59</v>
      </c>
      <c r="M7633">
        <v>52</v>
      </c>
      <c r="N7633">
        <v>0</v>
      </c>
      <c r="O7633">
        <v>52</v>
      </c>
      <c r="P7633">
        <v>0</v>
      </c>
    </row>
    <row r="7634" spans="1:16" x14ac:dyDescent="0.25">
      <c r="A7634" t="s">
        <v>30212</v>
      </c>
      <c r="B7634" t="s">
        <v>20041</v>
      </c>
      <c r="C7634" t="s">
        <v>20042</v>
      </c>
      <c r="D7634" t="str">
        <f>"2707"</f>
        <v>2707</v>
      </c>
      <c r="E7634" t="s">
        <v>3019</v>
      </c>
      <c r="F7634" t="s">
        <v>3750</v>
      </c>
      <c r="G7634" t="s">
        <v>16222</v>
      </c>
      <c r="H7634" t="s">
        <v>47054</v>
      </c>
      <c r="I7634" t="s">
        <v>47118</v>
      </c>
      <c r="J7634" t="s">
        <v>47119</v>
      </c>
      <c r="K7634" t="s">
        <v>47113</v>
      </c>
      <c r="L7634">
        <v>16.14</v>
      </c>
      <c r="M7634">
        <v>47</v>
      </c>
      <c r="N7634">
        <v>0</v>
      </c>
      <c r="O7634">
        <v>47</v>
      </c>
      <c r="P7634">
        <v>0</v>
      </c>
    </row>
    <row r="7635" spans="1:16" x14ac:dyDescent="0.25">
      <c r="A7635" t="s">
        <v>30213</v>
      </c>
      <c r="B7635" t="s">
        <v>20041</v>
      </c>
      <c r="C7635" t="s">
        <v>20042</v>
      </c>
      <c r="D7635" t="str">
        <f>"6059"</f>
        <v>6059</v>
      </c>
      <c r="E7635" t="s">
        <v>6279</v>
      </c>
      <c r="F7635" t="s">
        <v>3750</v>
      </c>
      <c r="G7635" t="s">
        <v>16222</v>
      </c>
      <c r="H7635" t="s">
        <v>47054</v>
      </c>
      <c r="I7635" t="s">
        <v>47118</v>
      </c>
      <c r="J7635" t="s">
        <v>47119</v>
      </c>
      <c r="K7635" t="s">
        <v>47113</v>
      </c>
      <c r="L7635">
        <v>14.88</v>
      </c>
      <c r="M7635">
        <v>47</v>
      </c>
      <c r="N7635">
        <v>0</v>
      </c>
      <c r="O7635">
        <v>47</v>
      </c>
      <c r="P7635">
        <v>0</v>
      </c>
    </row>
    <row r="7636" spans="1:16" x14ac:dyDescent="0.25">
      <c r="A7636" t="s">
        <v>30214</v>
      </c>
      <c r="B7636" t="s">
        <v>20043</v>
      </c>
      <c r="C7636" t="s">
        <v>20044</v>
      </c>
      <c r="D7636" t="str">
        <f>"1078"</f>
        <v>1078</v>
      </c>
      <c r="E7636" t="s">
        <v>20045</v>
      </c>
      <c r="F7636" t="s">
        <v>3750</v>
      </c>
      <c r="G7636" t="s">
        <v>16235</v>
      </c>
      <c r="H7636" t="s">
        <v>47054</v>
      </c>
      <c r="I7636" t="s">
        <v>47118</v>
      </c>
      <c r="J7636" t="s">
        <v>47119</v>
      </c>
      <c r="K7636" t="s">
        <v>47113</v>
      </c>
      <c r="L7636">
        <v>17.34</v>
      </c>
      <c r="M7636">
        <v>59</v>
      </c>
      <c r="N7636">
        <v>0</v>
      </c>
      <c r="O7636">
        <v>59</v>
      </c>
      <c r="P7636">
        <v>0</v>
      </c>
    </row>
    <row r="7637" spans="1:16" x14ac:dyDescent="0.25">
      <c r="A7637" t="s">
        <v>30215</v>
      </c>
      <c r="B7637" t="s">
        <v>20043</v>
      </c>
      <c r="C7637" t="s">
        <v>20044</v>
      </c>
      <c r="D7637" t="str">
        <f>"1787"</f>
        <v>1787</v>
      </c>
      <c r="E7637" t="s">
        <v>20046</v>
      </c>
      <c r="F7637" t="s">
        <v>3750</v>
      </c>
      <c r="G7637" t="s">
        <v>16235</v>
      </c>
      <c r="H7637" t="s">
        <v>47054</v>
      </c>
      <c r="I7637" t="s">
        <v>47118</v>
      </c>
      <c r="J7637" t="s">
        <v>47119</v>
      </c>
      <c r="K7637" t="s">
        <v>47113</v>
      </c>
      <c r="L7637">
        <v>17.34</v>
      </c>
      <c r="M7637">
        <v>59</v>
      </c>
      <c r="N7637">
        <v>0</v>
      </c>
      <c r="O7637">
        <v>59</v>
      </c>
      <c r="P7637">
        <v>0</v>
      </c>
    </row>
    <row r="7638" spans="1:16" x14ac:dyDescent="0.25">
      <c r="A7638" t="s">
        <v>30216</v>
      </c>
      <c r="B7638" t="s">
        <v>6256</v>
      </c>
      <c r="C7638" t="s">
        <v>6257</v>
      </c>
      <c r="D7638" t="str">
        <f>"1118"</f>
        <v>1118</v>
      </c>
      <c r="E7638" t="s">
        <v>6258</v>
      </c>
      <c r="F7638" t="s">
        <v>3670</v>
      </c>
      <c r="G7638" t="s">
        <v>16230</v>
      </c>
      <c r="I7638" t="s">
        <v>47118</v>
      </c>
      <c r="J7638" t="s">
        <v>47119</v>
      </c>
      <c r="K7638" t="s">
        <v>47113</v>
      </c>
      <c r="L7638">
        <v>19.989999999999998</v>
      </c>
      <c r="M7638">
        <v>59</v>
      </c>
      <c r="N7638">
        <v>0</v>
      </c>
      <c r="O7638">
        <v>59</v>
      </c>
      <c r="P7638">
        <v>0</v>
      </c>
    </row>
    <row r="7639" spans="1:16" x14ac:dyDescent="0.25">
      <c r="A7639" t="s">
        <v>30217</v>
      </c>
      <c r="B7639" t="s">
        <v>6259</v>
      </c>
      <c r="C7639" t="s">
        <v>6260</v>
      </c>
      <c r="D7639" t="str">
        <f>"1027"</f>
        <v>1027</v>
      </c>
      <c r="E7639" t="s">
        <v>6261</v>
      </c>
      <c r="F7639" t="s">
        <v>56</v>
      </c>
      <c r="G7639" t="s">
        <v>16234</v>
      </c>
      <c r="H7639" t="s">
        <v>47054</v>
      </c>
      <c r="I7639" t="s">
        <v>47136</v>
      </c>
      <c r="J7639" t="s">
        <v>47137</v>
      </c>
      <c r="K7639" t="s">
        <v>47113</v>
      </c>
      <c r="L7639">
        <v>33.450000000000003</v>
      </c>
      <c r="M7639">
        <v>76</v>
      </c>
      <c r="N7639">
        <v>0</v>
      </c>
      <c r="O7639">
        <v>76</v>
      </c>
      <c r="P7639">
        <v>0</v>
      </c>
    </row>
    <row r="7640" spans="1:16" x14ac:dyDescent="0.25">
      <c r="A7640" t="s">
        <v>30218</v>
      </c>
      <c r="B7640" t="s">
        <v>6259</v>
      </c>
      <c r="C7640" t="s">
        <v>6260</v>
      </c>
      <c r="D7640" t="str">
        <f>"1311"</f>
        <v>1311</v>
      </c>
      <c r="E7640" t="s">
        <v>2619</v>
      </c>
      <c r="F7640" t="s">
        <v>56</v>
      </c>
      <c r="G7640" t="s">
        <v>16234</v>
      </c>
      <c r="H7640" t="s">
        <v>47054</v>
      </c>
      <c r="I7640" t="s">
        <v>47136</v>
      </c>
      <c r="J7640" t="s">
        <v>47137</v>
      </c>
      <c r="K7640" t="s">
        <v>47113</v>
      </c>
      <c r="L7640">
        <v>34.06</v>
      </c>
      <c r="M7640">
        <v>76</v>
      </c>
      <c r="N7640">
        <v>0</v>
      </c>
      <c r="O7640">
        <v>76</v>
      </c>
      <c r="P7640">
        <v>0</v>
      </c>
    </row>
    <row r="7641" spans="1:16" x14ac:dyDescent="0.25">
      <c r="A7641" t="s">
        <v>30219</v>
      </c>
      <c r="B7641" t="s">
        <v>6259</v>
      </c>
      <c r="C7641" t="s">
        <v>6260</v>
      </c>
      <c r="D7641" t="str">
        <f>"1813"</f>
        <v>1813</v>
      </c>
      <c r="E7641" t="s">
        <v>6262</v>
      </c>
      <c r="F7641" t="s">
        <v>56</v>
      </c>
      <c r="G7641" t="s">
        <v>16234</v>
      </c>
      <c r="H7641" t="s">
        <v>47054</v>
      </c>
      <c r="I7641" t="s">
        <v>47136</v>
      </c>
      <c r="J7641" t="s">
        <v>47137</v>
      </c>
      <c r="K7641" t="s">
        <v>47113</v>
      </c>
      <c r="L7641">
        <v>32.729999999999997</v>
      </c>
      <c r="M7641">
        <v>76</v>
      </c>
      <c r="N7641">
        <v>0</v>
      </c>
      <c r="O7641">
        <v>76</v>
      </c>
      <c r="P7641">
        <v>0</v>
      </c>
    </row>
    <row r="7642" spans="1:16" x14ac:dyDescent="0.25">
      <c r="A7642" t="s">
        <v>30220</v>
      </c>
      <c r="B7642" t="s">
        <v>6259</v>
      </c>
      <c r="C7642" t="s">
        <v>6260</v>
      </c>
      <c r="D7642" t="str">
        <f>"2505"</f>
        <v>2505</v>
      </c>
      <c r="E7642" t="s">
        <v>2620</v>
      </c>
      <c r="F7642" t="s">
        <v>56</v>
      </c>
      <c r="G7642" t="s">
        <v>16234</v>
      </c>
      <c r="H7642" t="s">
        <v>47054</v>
      </c>
      <c r="I7642" t="s">
        <v>47136</v>
      </c>
      <c r="J7642" t="s">
        <v>47137</v>
      </c>
      <c r="K7642" t="s">
        <v>47113</v>
      </c>
      <c r="L7642">
        <v>34.06</v>
      </c>
      <c r="M7642">
        <v>76</v>
      </c>
      <c r="N7642">
        <v>0</v>
      </c>
      <c r="O7642">
        <v>76</v>
      </c>
      <c r="P7642">
        <v>0</v>
      </c>
    </row>
    <row r="7643" spans="1:16" x14ac:dyDescent="0.25">
      <c r="A7643" t="s">
        <v>30221</v>
      </c>
      <c r="B7643" t="s">
        <v>6259</v>
      </c>
      <c r="C7643" t="s">
        <v>6260</v>
      </c>
      <c r="D7643" t="str">
        <f>"3126"</f>
        <v>3126</v>
      </c>
      <c r="E7643" t="s">
        <v>2616</v>
      </c>
      <c r="F7643" t="s">
        <v>56</v>
      </c>
      <c r="G7643" t="s">
        <v>16234</v>
      </c>
      <c r="H7643" t="s">
        <v>47054</v>
      </c>
      <c r="I7643" t="s">
        <v>47136</v>
      </c>
      <c r="J7643" t="s">
        <v>47137</v>
      </c>
      <c r="K7643" t="s">
        <v>47113</v>
      </c>
      <c r="L7643">
        <v>34.06</v>
      </c>
      <c r="M7643">
        <v>76</v>
      </c>
      <c r="N7643">
        <v>0</v>
      </c>
      <c r="O7643">
        <v>76</v>
      </c>
      <c r="P7643">
        <v>0</v>
      </c>
    </row>
    <row r="7644" spans="1:16" x14ac:dyDescent="0.25">
      <c r="A7644" t="s">
        <v>30222</v>
      </c>
      <c r="B7644" t="s">
        <v>6263</v>
      </c>
      <c r="C7644" t="s">
        <v>6264</v>
      </c>
      <c r="D7644" t="str">
        <f>"1027"</f>
        <v>1027</v>
      </c>
      <c r="E7644" t="s">
        <v>6261</v>
      </c>
      <c r="F7644" t="s">
        <v>56</v>
      </c>
      <c r="G7644" t="s">
        <v>16233</v>
      </c>
      <c r="H7644" t="s">
        <v>47054</v>
      </c>
      <c r="I7644" t="s">
        <v>47136</v>
      </c>
      <c r="J7644" t="s">
        <v>47137</v>
      </c>
      <c r="K7644" t="s">
        <v>47113</v>
      </c>
      <c r="L7644">
        <v>29.56</v>
      </c>
      <c r="M7644">
        <v>69</v>
      </c>
      <c r="N7644">
        <v>0</v>
      </c>
      <c r="O7644">
        <v>69</v>
      </c>
      <c r="P7644">
        <v>0</v>
      </c>
    </row>
    <row r="7645" spans="1:16" x14ac:dyDescent="0.25">
      <c r="A7645" t="s">
        <v>30223</v>
      </c>
      <c r="B7645" t="s">
        <v>6263</v>
      </c>
      <c r="C7645" t="s">
        <v>6264</v>
      </c>
      <c r="D7645" t="str">
        <f>"1813"</f>
        <v>1813</v>
      </c>
      <c r="E7645" t="s">
        <v>6262</v>
      </c>
      <c r="F7645" t="s">
        <v>56</v>
      </c>
      <c r="G7645" t="s">
        <v>16233</v>
      </c>
      <c r="H7645" t="s">
        <v>47054</v>
      </c>
      <c r="I7645" t="s">
        <v>47136</v>
      </c>
      <c r="J7645" t="s">
        <v>47137</v>
      </c>
      <c r="K7645" t="s">
        <v>47113</v>
      </c>
      <c r="L7645">
        <v>29.56</v>
      </c>
      <c r="M7645">
        <v>69</v>
      </c>
      <c r="N7645">
        <v>0</v>
      </c>
      <c r="O7645">
        <v>69</v>
      </c>
      <c r="P7645">
        <v>0</v>
      </c>
    </row>
    <row r="7646" spans="1:16" x14ac:dyDescent="0.25">
      <c r="A7646" t="s">
        <v>30224</v>
      </c>
      <c r="B7646" t="s">
        <v>6263</v>
      </c>
      <c r="C7646" t="s">
        <v>6264</v>
      </c>
      <c r="D7646" t="str">
        <f>"2505"</f>
        <v>2505</v>
      </c>
      <c r="E7646" t="s">
        <v>2620</v>
      </c>
      <c r="F7646" t="s">
        <v>56</v>
      </c>
      <c r="G7646" t="s">
        <v>16233</v>
      </c>
      <c r="H7646" t="s">
        <v>47054</v>
      </c>
      <c r="I7646" t="s">
        <v>47136</v>
      </c>
      <c r="J7646" t="s">
        <v>47137</v>
      </c>
      <c r="K7646" t="s">
        <v>47113</v>
      </c>
      <c r="L7646">
        <v>29.81</v>
      </c>
      <c r="M7646">
        <v>69</v>
      </c>
      <c r="N7646">
        <v>0</v>
      </c>
      <c r="O7646">
        <v>69</v>
      </c>
      <c r="P7646">
        <v>0</v>
      </c>
    </row>
    <row r="7647" spans="1:16" x14ac:dyDescent="0.25">
      <c r="A7647" t="s">
        <v>30225</v>
      </c>
      <c r="B7647" t="s">
        <v>6263</v>
      </c>
      <c r="C7647" t="s">
        <v>6264</v>
      </c>
      <c r="D7647" t="str">
        <f>"3126"</f>
        <v>3126</v>
      </c>
      <c r="E7647" t="s">
        <v>2616</v>
      </c>
      <c r="F7647" t="s">
        <v>56</v>
      </c>
      <c r="G7647" t="s">
        <v>16233</v>
      </c>
      <c r="H7647" t="s">
        <v>47054</v>
      </c>
      <c r="I7647" t="s">
        <v>47136</v>
      </c>
      <c r="J7647" t="s">
        <v>47137</v>
      </c>
      <c r="K7647" t="s">
        <v>47113</v>
      </c>
      <c r="L7647">
        <v>29.81</v>
      </c>
      <c r="M7647">
        <v>69</v>
      </c>
      <c r="N7647">
        <v>0</v>
      </c>
      <c r="O7647">
        <v>69</v>
      </c>
      <c r="P7647">
        <v>0</v>
      </c>
    </row>
    <row r="7648" spans="1:16" x14ac:dyDescent="0.25">
      <c r="A7648" t="s">
        <v>30226</v>
      </c>
      <c r="B7648" t="s">
        <v>6265</v>
      </c>
      <c r="C7648" t="s">
        <v>6266</v>
      </c>
      <c r="D7648" t="str">
        <f>"1100"</f>
        <v>1100</v>
      </c>
      <c r="E7648" t="s">
        <v>54</v>
      </c>
      <c r="F7648" t="s">
        <v>52</v>
      </c>
      <c r="G7648" t="s">
        <v>16224</v>
      </c>
      <c r="H7648" t="s">
        <v>47054</v>
      </c>
      <c r="I7648" t="s">
        <v>47136</v>
      </c>
      <c r="J7648" t="s">
        <v>47137</v>
      </c>
      <c r="K7648" t="s">
        <v>47113</v>
      </c>
      <c r="L7648">
        <v>48.51</v>
      </c>
      <c r="M7648">
        <v>135</v>
      </c>
      <c r="N7648">
        <v>0</v>
      </c>
      <c r="O7648">
        <v>135</v>
      </c>
      <c r="P7648">
        <v>0</v>
      </c>
    </row>
    <row r="7649" spans="1:16" x14ac:dyDescent="0.25">
      <c r="A7649" t="s">
        <v>30227</v>
      </c>
      <c r="B7649" t="s">
        <v>6265</v>
      </c>
      <c r="C7649" t="s">
        <v>6266</v>
      </c>
      <c r="D7649" t="str">
        <f>"2000"</f>
        <v>2000</v>
      </c>
      <c r="E7649" t="s">
        <v>248</v>
      </c>
      <c r="F7649" t="s">
        <v>52</v>
      </c>
      <c r="G7649" t="s">
        <v>16224</v>
      </c>
      <c r="H7649" t="s">
        <v>47054</v>
      </c>
      <c r="I7649" t="s">
        <v>47136</v>
      </c>
      <c r="J7649" t="s">
        <v>47137</v>
      </c>
      <c r="K7649" t="s">
        <v>47113</v>
      </c>
      <c r="L7649">
        <v>48.51</v>
      </c>
      <c r="M7649">
        <v>135</v>
      </c>
      <c r="N7649">
        <v>0</v>
      </c>
      <c r="O7649">
        <v>135</v>
      </c>
      <c r="P7649">
        <v>0</v>
      </c>
    </row>
    <row r="7650" spans="1:16" x14ac:dyDescent="0.25">
      <c r="A7650" t="s">
        <v>30228</v>
      </c>
      <c r="B7650" t="s">
        <v>6267</v>
      </c>
      <c r="C7650" t="s">
        <v>6157</v>
      </c>
      <c r="D7650" t="s">
        <v>6164</v>
      </c>
      <c r="E7650" t="s">
        <v>6165</v>
      </c>
      <c r="F7650" t="s">
        <v>8</v>
      </c>
      <c r="G7650" t="s">
        <v>16231</v>
      </c>
      <c r="H7650" t="s">
        <v>47054</v>
      </c>
      <c r="I7650" t="s">
        <v>47111</v>
      </c>
      <c r="J7650" t="s">
        <v>47112</v>
      </c>
      <c r="K7650" t="s">
        <v>47113</v>
      </c>
      <c r="L7650">
        <v>40.340000000000003</v>
      </c>
      <c r="M7650">
        <v>110</v>
      </c>
      <c r="N7650">
        <v>0</v>
      </c>
      <c r="O7650">
        <v>110</v>
      </c>
      <c r="P7650">
        <v>0</v>
      </c>
    </row>
    <row r="7651" spans="1:16" x14ac:dyDescent="0.25">
      <c r="A7651" t="s">
        <v>30229</v>
      </c>
      <c r="B7651" t="s">
        <v>6268</v>
      </c>
      <c r="C7651" t="s">
        <v>6176</v>
      </c>
      <c r="D7651" t="s">
        <v>6164</v>
      </c>
      <c r="E7651" t="s">
        <v>6165</v>
      </c>
      <c r="F7651" t="s">
        <v>8</v>
      </c>
      <c r="G7651" t="s">
        <v>16224</v>
      </c>
      <c r="H7651" t="s">
        <v>47054</v>
      </c>
      <c r="I7651" t="s">
        <v>47111</v>
      </c>
      <c r="J7651" t="s">
        <v>47112</v>
      </c>
      <c r="K7651" t="s">
        <v>47113</v>
      </c>
      <c r="L7651">
        <v>40.299999999999997</v>
      </c>
      <c r="M7651">
        <v>110</v>
      </c>
      <c r="N7651">
        <v>0</v>
      </c>
      <c r="O7651">
        <v>110</v>
      </c>
      <c r="P7651">
        <v>0</v>
      </c>
    </row>
    <row r="7652" spans="1:16" x14ac:dyDescent="0.25">
      <c r="A7652" t="s">
        <v>30230</v>
      </c>
      <c r="B7652" t="s">
        <v>6269</v>
      </c>
      <c r="C7652" t="s">
        <v>6270</v>
      </c>
      <c r="D7652" t="str">
        <f>"1118"</f>
        <v>1118</v>
      </c>
      <c r="E7652" t="s">
        <v>6271</v>
      </c>
      <c r="F7652" t="s">
        <v>3670</v>
      </c>
      <c r="G7652" t="s">
        <v>16232</v>
      </c>
      <c r="H7652" t="s">
        <v>47054</v>
      </c>
      <c r="I7652" t="s">
        <v>47569</v>
      </c>
      <c r="J7652" t="s">
        <v>47570</v>
      </c>
      <c r="K7652" t="s">
        <v>47113</v>
      </c>
      <c r="L7652">
        <v>27.02</v>
      </c>
      <c r="M7652">
        <v>40</v>
      </c>
      <c r="N7652">
        <v>0</v>
      </c>
      <c r="O7652">
        <v>40</v>
      </c>
      <c r="P7652">
        <v>0</v>
      </c>
    </row>
    <row r="7653" spans="1:16" x14ac:dyDescent="0.25">
      <c r="A7653" t="s">
        <v>30231</v>
      </c>
      <c r="B7653" t="s">
        <v>6269</v>
      </c>
      <c r="C7653" t="s">
        <v>6270</v>
      </c>
      <c r="D7653" t="str">
        <f>"4017"</f>
        <v>4017</v>
      </c>
      <c r="E7653" t="s">
        <v>6272</v>
      </c>
      <c r="F7653" t="s">
        <v>3670</v>
      </c>
      <c r="G7653" t="s">
        <v>16232</v>
      </c>
      <c r="H7653" t="s">
        <v>47054</v>
      </c>
      <c r="I7653" t="s">
        <v>47569</v>
      </c>
      <c r="J7653" t="s">
        <v>47570</v>
      </c>
      <c r="K7653" t="s">
        <v>47113</v>
      </c>
      <c r="L7653">
        <v>27.02</v>
      </c>
      <c r="M7653">
        <v>40</v>
      </c>
      <c r="N7653">
        <v>0</v>
      </c>
      <c r="O7653">
        <v>40</v>
      </c>
      <c r="P7653">
        <v>0</v>
      </c>
    </row>
    <row r="7654" spans="1:16" x14ac:dyDescent="0.25">
      <c r="A7654" t="s">
        <v>30232</v>
      </c>
      <c r="B7654" t="s">
        <v>6273</v>
      </c>
      <c r="C7654" t="s">
        <v>6274</v>
      </c>
      <c r="D7654" t="str">
        <f>"1118"</f>
        <v>1118</v>
      </c>
      <c r="E7654" t="s">
        <v>6271</v>
      </c>
      <c r="F7654" t="s">
        <v>3670</v>
      </c>
      <c r="G7654" t="s">
        <v>16235</v>
      </c>
      <c r="I7654" t="s">
        <v>47569</v>
      </c>
      <c r="J7654" t="s">
        <v>47570</v>
      </c>
      <c r="K7654" t="s">
        <v>47113</v>
      </c>
      <c r="L7654">
        <v>22.61</v>
      </c>
      <c r="M7654">
        <v>37</v>
      </c>
      <c r="N7654">
        <v>0</v>
      </c>
      <c r="O7654">
        <v>37</v>
      </c>
      <c r="P7654">
        <v>0</v>
      </c>
    </row>
    <row r="7655" spans="1:16" x14ac:dyDescent="0.25">
      <c r="A7655" t="s">
        <v>30233</v>
      </c>
      <c r="B7655" t="s">
        <v>6273</v>
      </c>
      <c r="C7655" t="s">
        <v>6274</v>
      </c>
      <c r="D7655" t="str">
        <f>"1254"</f>
        <v>1254</v>
      </c>
      <c r="E7655" t="s">
        <v>6117</v>
      </c>
      <c r="F7655" t="s">
        <v>3558</v>
      </c>
      <c r="G7655" t="s">
        <v>16235</v>
      </c>
      <c r="I7655" t="s">
        <v>47569</v>
      </c>
      <c r="J7655" t="s">
        <v>47570</v>
      </c>
      <c r="K7655" t="s">
        <v>47113</v>
      </c>
      <c r="L7655">
        <v>9.48</v>
      </c>
      <c r="M7655">
        <v>37</v>
      </c>
      <c r="N7655">
        <v>0</v>
      </c>
      <c r="O7655">
        <v>37</v>
      </c>
      <c r="P7655">
        <v>0</v>
      </c>
    </row>
    <row r="7656" spans="1:16" x14ac:dyDescent="0.25">
      <c r="A7656" t="s">
        <v>30234</v>
      </c>
      <c r="B7656" t="s">
        <v>6273</v>
      </c>
      <c r="C7656" t="s">
        <v>6274</v>
      </c>
      <c r="D7656" t="str">
        <f>"1811"</f>
        <v>1811</v>
      </c>
      <c r="E7656" t="s">
        <v>6275</v>
      </c>
      <c r="F7656" t="s">
        <v>3670</v>
      </c>
      <c r="G7656" t="s">
        <v>16235</v>
      </c>
      <c r="I7656" t="s">
        <v>47569</v>
      </c>
      <c r="J7656" t="s">
        <v>47570</v>
      </c>
      <c r="K7656" t="s">
        <v>47113</v>
      </c>
      <c r="L7656">
        <v>22.61</v>
      </c>
      <c r="M7656">
        <v>37</v>
      </c>
      <c r="N7656">
        <v>0</v>
      </c>
      <c r="O7656">
        <v>37</v>
      </c>
      <c r="P7656">
        <v>0</v>
      </c>
    </row>
    <row r="7657" spans="1:16" x14ac:dyDescent="0.25">
      <c r="A7657" t="s">
        <v>30235</v>
      </c>
      <c r="B7657" t="s">
        <v>6273</v>
      </c>
      <c r="C7657" t="s">
        <v>6274</v>
      </c>
      <c r="D7657" t="str">
        <f>"4017"</f>
        <v>4017</v>
      </c>
      <c r="E7657" t="s">
        <v>6272</v>
      </c>
      <c r="F7657" t="s">
        <v>3670</v>
      </c>
      <c r="G7657" t="s">
        <v>16235</v>
      </c>
      <c r="I7657" t="s">
        <v>47569</v>
      </c>
      <c r="J7657" t="s">
        <v>47570</v>
      </c>
      <c r="K7657" t="s">
        <v>47113</v>
      </c>
      <c r="L7657">
        <v>22.61</v>
      </c>
      <c r="M7657">
        <v>37</v>
      </c>
      <c r="N7657">
        <v>0</v>
      </c>
      <c r="O7657">
        <v>37</v>
      </c>
      <c r="P7657">
        <v>0</v>
      </c>
    </row>
    <row r="7658" spans="1:16" x14ac:dyDescent="0.25">
      <c r="A7658" t="s">
        <v>30236</v>
      </c>
      <c r="B7658" t="s">
        <v>6273</v>
      </c>
      <c r="C7658" t="s">
        <v>6274</v>
      </c>
      <c r="D7658" t="str">
        <f>"4065"</f>
        <v>4065</v>
      </c>
      <c r="E7658" t="s">
        <v>6276</v>
      </c>
      <c r="F7658" t="s">
        <v>3670</v>
      </c>
      <c r="G7658" t="s">
        <v>16235</v>
      </c>
      <c r="I7658" t="s">
        <v>47569</v>
      </c>
      <c r="J7658" t="s">
        <v>47570</v>
      </c>
      <c r="K7658" t="s">
        <v>47113</v>
      </c>
      <c r="L7658">
        <v>22.61</v>
      </c>
      <c r="M7658">
        <v>37</v>
      </c>
      <c r="N7658">
        <v>0</v>
      </c>
      <c r="O7658">
        <v>37</v>
      </c>
      <c r="P7658">
        <v>0</v>
      </c>
    </row>
    <row r="7659" spans="1:16" x14ac:dyDescent="0.25">
      <c r="A7659" t="s">
        <v>30237</v>
      </c>
      <c r="B7659" t="s">
        <v>6273</v>
      </c>
      <c r="C7659" t="s">
        <v>6274</v>
      </c>
      <c r="D7659" t="str">
        <f>"4108"</f>
        <v>4108</v>
      </c>
      <c r="E7659" t="s">
        <v>6277</v>
      </c>
      <c r="F7659" t="s">
        <v>3558</v>
      </c>
      <c r="G7659" t="s">
        <v>16235</v>
      </c>
      <c r="I7659" t="s">
        <v>47569</v>
      </c>
      <c r="J7659" t="s">
        <v>47570</v>
      </c>
      <c r="K7659" t="s">
        <v>47113</v>
      </c>
      <c r="L7659">
        <v>9.48</v>
      </c>
      <c r="M7659">
        <v>37</v>
      </c>
      <c r="N7659">
        <v>0</v>
      </c>
      <c r="O7659">
        <v>37</v>
      </c>
      <c r="P7659">
        <v>0</v>
      </c>
    </row>
    <row r="7660" spans="1:16" x14ac:dyDescent="0.25">
      <c r="A7660" t="s">
        <v>30238</v>
      </c>
      <c r="B7660" t="s">
        <v>6273</v>
      </c>
      <c r="C7660" t="s">
        <v>6274</v>
      </c>
      <c r="D7660" t="str">
        <f>"6224"</f>
        <v>6224</v>
      </c>
      <c r="E7660" t="s">
        <v>6278</v>
      </c>
      <c r="F7660" t="s">
        <v>3670</v>
      </c>
      <c r="G7660" t="s">
        <v>16235</v>
      </c>
      <c r="I7660" t="s">
        <v>47569</v>
      </c>
      <c r="J7660" t="s">
        <v>47570</v>
      </c>
      <c r="K7660" t="s">
        <v>47113</v>
      </c>
      <c r="L7660">
        <v>22.61</v>
      </c>
      <c r="M7660">
        <v>37</v>
      </c>
      <c r="N7660">
        <v>0</v>
      </c>
      <c r="O7660">
        <v>37</v>
      </c>
      <c r="P7660">
        <v>0</v>
      </c>
    </row>
    <row r="7661" spans="1:16" x14ac:dyDescent="0.25">
      <c r="A7661" t="s">
        <v>30239</v>
      </c>
      <c r="B7661" t="s">
        <v>6273</v>
      </c>
      <c r="C7661" t="s">
        <v>6274</v>
      </c>
      <c r="D7661" t="str">
        <f>"6497"</f>
        <v>6497</v>
      </c>
      <c r="E7661" t="s">
        <v>6279</v>
      </c>
      <c r="F7661" t="s">
        <v>3558</v>
      </c>
      <c r="G7661" t="s">
        <v>16235</v>
      </c>
      <c r="I7661" t="s">
        <v>47569</v>
      </c>
      <c r="J7661" t="s">
        <v>47570</v>
      </c>
      <c r="K7661" t="s">
        <v>47113</v>
      </c>
      <c r="L7661">
        <v>9.48</v>
      </c>
      <c r="M7661">
        <v>37</v>
      </c>
      <c r="N7661">
        <v>0</v>
      </c>
      <c r="O7661">
        <v>37</v>
      </c>
      <c r="P7661">
        <v>0</v>
      </c>
    </row>
    <row r="7662" spans="1:16" x14ac:dyDescent="0.25">
      <c r="A7662" t="s">
        <v>47057</v>
      </c>
      <c r="B7662" t="s">
        <v>47058</v>
      </c>
      <c r="C7662" t="s">
        <v>34786</v>
      </c>
      <c r="D7662" t="s">
        <v>46694</v>
      </c>
      <c r="E7662" t="s">
        <v>46695</v>
      </c>
      <c r="F7662" t="s">
        <v>3750</v>
      </c>
      <c r="G7662" t="s">
        <v>16231</v>
      </c>
      <c r="H7662" t="s">
        <v>47054</v>
      </c>
      <c r="I7662" t="s">
        <v>47120</v>
      </c>
      <c r="J7662" t="s">
        <v>47121</v>
      </c>
      <c r="K7662" t="s">
        <v>47113</v>
      </c>
      <c r="L7662">
        <v>28.19</v>
      </c>
      <c r="M7662">
        <v>107</v>
      </c>
      <c r="N7662">
        <v>289</v>
      </c>
      <c r="O7662">
        <v>107</v>
      </c>
      <c r="P7662">
        <v>289</v>
      </c>
    </row>
    <row r="7663" spans="1:16" x14ac:dyDescent="0.25">
      <c r="A7663" t="s">
        <v>47573</v>
      </c>
      <c r="B7663" t="s">
        <v>47574</v>
      </c>
      <c r="C7663" t="s">
        <v>47575</v>
      </c>
      <c r="D7663" t="s">
        <v>47576</v>
      </c>
      <c r="E7663" t="s">
        <v>47577</v>
      </c>
      <c r="F7663" t="s">
        <v>47185</v>
      </c>
      <c r="G7663" t="s">
        <v>16231</v>
      </c>
      <c r="H7663" t="s">
        <v>47054</v>
      </c>
      <c r="I7663" t="s">
        <v>47120</v>
      </c>
      <c r="J7663" t="s">
        <v>47121</v>
      </c>
      <c r="K7663" t="s">
        <v>47113</v>
      </c>
      <c r="L7663">
        <v>29.99</v>
      </c>
      <c r="M7663">
        <v>155</v>
      </c>
      <c r="N7663">
        <v>419</v>
      </c>
      <c r="O7663">
        <v>155</v>
      </c>
      <c r="P7663">
        <v>419</v>
      </c>
    </row>
    <row r="7664" spans="1:16" x14ac:dyDescent="0.25">
      <c r="A7664" t="s">
        <v>47578</v>
      </c>
      <c r="B7664" t="s">
        <v>47579</v>
      </c>
      <c r="C7664" t="s">
        <v>47580</v>
      </c>
      <c r="D7664" t="s">
        <v>47576</v>
      </c>
      <c r="E7664" t="s">
        <v>47577</v>
      </c>
      <c r="F7664" t="s">
        <v>47163</v>
      </c>
      <c r="G7664" t="s">
        <v>16231</v>
      </c>
      <c r="H7664" t="s">
        <v>47054</v>
      </c>
      <c r="I7664" t="s">
        <v>47120</v>
      </c>
      <c r="J7664" t="s">
        <v>47121</v>
      </c>
      <c r="K7664" t="s">
        <v>47113</v>
      </c>
      <c r="L7664">
        <v>26.8</v>
      </c>
      <c r="M7664">
        <v>114</v>
      </c>
      <c r="N7664">
        <v>309</v>
      </c>
      <c r="O7664">
        <v>114</v>
      </c>
      <c r="P7664">
        <v>309</v>
      </c>
    </row>
    <row r="7665" spans="1:16" x14ac:dyDescent="0.25">
      <c r="A7665" t="s">
        <v>47581</v>
      </c>
      <c r="B7665" t="s">
        <v>47582</v>
      </c>
      <c r="C7665" t="s">
        <v>47583</v>
      </c>
      <c r="D7665" t="s">
        <v>46694</v>
      </c>
      <c r="E7665" t="s">
        <v>46695</v>
      </c>
      <c r="F7665" t="s">
        <v>47171</v>
      </c>
      <c r="G7665" t="s">
        <v>16231</v>
      </c>
      <c r="H7665" t="s">
        <v>47054</v>
      </c>
      <c r="I7665" t="s">
        <v>47120</v>
      </c>
      <c r="J7665" t="s">
        <v>47121</v>
      </c>
      <c r="K7665" t="s">
        <v>47113</v>
      </c>
      <c r="L7665">
        <v>26.18</v>
      </c>
      <c r="M7665">
        <v>114</v>
      </c>
      <c r="N7665">
        <v>309</v>
      </c>
      <c r="O7665">
        <v>114</v>
      </c>
      <c r="P7665">
        <v>309</v>
      </c>
    </row>
    <row r="7666" spans="1:16" x14ac:dyDescent="0.25">
      <c r="A7666" t="s">
        <v>30240</v>
      </c>
      <c r="B7666" t="s">
        <v>30241</v>
      </c>
      <c r="C7666" t="s">
        <v>30242</v>
      </c>
      <c r="D7666" t="str">
        <f>"1233"</f>
        <v>1233</v>
      </c>
      <c r="E7666" t="s">
        <v>30243</v>
      </c>
      <c r="F7666" t="s">
        <v>3750</v>
      </c>
      <c r="G7666" t="s">
        <v>16231</v>
      </c>
      <c r="H7666" t="s">
        <v>47054</v>
      </c>
      <c r="I7666" t="s">
        <v>47120</v>
      </c>
      <c r="J7666" t="s">
        <v>47121</v>
      </c>
      <c r="K7666" t="s">
        <v>47113</v>
      </c>
      <c r="L7666">
        <v>29.66</v>
      </c>
      <c r="M7666">
        <v>111</v>
      </c>
      <c r="N7666">
        <v>299</v>
      </c>
      <c r="O7666">
        <v>111</v>
      </c>
      <c r="P7666">
        <v>299</v>
      </c>
    </row>
    <row r="7667" spans="1:16" x14ac:dyDescent="0.25">
      <c r="A7667" t="s">
        <v>47584</v>
      </c>
      <c r="B7667" t="s">
        <v>47585</v>
      </c>
      <c r="C7667" t="s">
        <v>47586</v>
      </c>
      <c r="D7667" t="s">
        <v>47576</v>
      </c>
      <c r="E7667" t="s">
        <v>47577</v>
      </c>
      <c r="F7667" t="s">
        <v>47185</v>
      </c>
      <c r="G7667" t="s">
        <v>16231</v>
      </c>
      <c r="H7667" t="s">
        <v>47054</v>
      </c>
      <c r="I7667" t="s">
        <v>47120</v>
      </c>
      <c r="J7667" t="s">
        <v>47121</v>
      </c>
      <c r="K7667" t="s">
        <v>47113</v>
      </c>
      <c r="L7667">
        <v>26.8</v>
      </c>
      <c r="M7667">
        <v>85</v>
      </c>
      <c r="N7667">
        <v>229</v>
      </c>
      <c r="O7667">
        <v>85</v>
      </c>
      <c r="P7667">
        <v>229</v>
      </c>
    </row>
    <row r="7668" spans="1:16" x14ac:dyDescent="0.25">
      <c r="A7668" t="s">
        <v>47059</v>
      </c>
      <c r="B7668" t="s">
        <v>47060</v>
      </c>
      <c r="C7668" t="s">
        <v>33541</v>
      </c>
      <c r="D7668" t="s">
        <v>30253</v>
      </c>
      <c r="E7668" t="s">
        <v>30254</v>
      </c>
      <c r="F7668" t="s">
        <v>3750</v>
      </c>
      <c r="G7668" t="s">
        <v>16231</v>
      </c>
      <c r="H7668" t="s">
        <v>47054</v>
      </c>
      <c r="I7668" t="s">
        <v>47120</v>
      </c>
      <c r="J7668" t="s">
        <v>47121</v>
      </c>
      <c r="K7668" t="s">
        <v>47113</v>
      </c>
      <c r="L7668">
        <v>26.29</v>
      </c>
      <c r="M7668">
        <v>100</v>
      </c>
      <c r="N7668">
        <v>269</v>
      </c>
      <c r="O7668">
        <v>100</v>
      </c>
      <c r="P7668">
        <v>269</v>
      </c>
    </row>
    <row r="7669" spans="1:16" x14ac:dyDescent="0.25">
      <c r="A7669" t="s">
        <v>30244</v>
      </c>
      <c r="B7669" t="s">
        <v>6280</v>
      </c>
      <c r="C7669" t="s">
        <v>3507</v>
      </c>
      <c r="D7669" t="s">
        <v>6281</v>
      </c>
      <c r="E7669" t="s">
        <v>6282</v>
      </c>
      <c r="F7669" t="s">
        <v>0</v>
      </c>
      <c r="G7669" t="s">
        <v>16231</v>
      </c>
      <c r="H7669" t="s">
        <v>47054</v>
      </c>
      <c r="I7669" t="s">
        <v>47111</v>
      </c>
      <c r="J7669" t="s">
        <v>47112</v>
      </c>
      <c r="K7669" t="s">
        <v>47113</v>
      </c>
      <c r="L7669">
        <v>37.659999999999997</v>
      </c>
      <c r="M7669">
        <v>73</v>
      </c>
      <c r="N7669">
        <v>0</v>
      </c>
      <c r="O7669">
        <v>73</v>
      </c>
      <c r="P7669">
        <v>0</v>
      </c>
    </row>
    <row r="7670" spans="1:16" x14ac:dyDescent="0.25">
      <c r="A7670" t="s">
        <v>30245</v>
      </c>
      <c r="B7670" t="s">
        <v>6280</v>
      </c>
      <c r="C7670" t="s">
        <v>3507</v>
      </c>
      <c r="D7670" t="s">
        <v>311</v>
      </c>
      <c r="E7670" t="s">
        <v>3479</v>
      </c>
      <c r="F7670" t="s">
        <v>5</v>
      </c>
      <c r="G7670" t="s">
        <v>16231</v>
      </c>
      <c r="H7670" t="s">
        <v>47054</v>
      </c>
      <c r="I7670" t="s">
        <v>47111</v>
      </c>
      <c r="J7670" t="s">
        <v>47112</v>
      </c>
      <c r="K7670" t="s">
        <v>47113</v>
      </c>
      <c r="L7670">
        <v>32.520000000000003</v>
      </c>
      <c r="M7670">
        <v>77</v>
      </c>
      <c r="N7670">
        <v>0</v>
      </c>
      <c r="O7670">
        <v>77</v>
      </c>
      <c r="P7670">
        <v>0</v>
      </c>
    </row>
    <row r="7671" spans="1:16" x14ac:dyDescent="0.25">
      <c r="A7671" t="s">
        <v>30246</v>
      </c>
      <c r="B7671" t="s">
        <v>30247</v>
      </c>
      <c r="C7671" t="s">
        <v>30242</v>
      </c>
      <c r="D7671" t="s">
        <v>30248</v>
      </c>
      <c r="E7671" t="s">
        <v>30249</v>
      </c>
      <c r="F7671" t="s">
        <v>3750</v>
      </c>
      <c r="G7671" t="s">
        <v>16231</v>
      </c>
      <c r="H7671" t="s">
        <v>47054</v>
      </c>
      <c r="I7671" t="s">
        <v>47544</v>
      </c>
      <c r="J7671" t="s">
        <v>47545</v>
      </c>
      <c r="K7671" t="s">
        <v>47113</v>
      </c>
      <c r="L7671">
        <v>23.18</v>
      </c>
      <c r="M7671">
        <v>107</v>
      </c>
      <c r="N7671">
        <v>0</v>
      </c>
      <c r="O7671">
        <v>107</v>
      </c>
      <c r="P7671">
        <v>0</v>
      </c>
    </row>
    <row r="7672" spans="1:16" x14ac:dyDescent="0.25">
      <c r="A7672" t="s">
        <v>30250</v>
      </c>
      <c r="B7672" t="s">
        <v>30251</v>
      </c>
      <c r="C7672" t="s">
        <v>30252</v>
      </c>
      <c r="D7672" t="s">
        <v>30253</v>
      </c>
      <c r="E7672" t="s">
        <v>30254</v>
      </c>
      <c r="F7672" t="s">
        <v>3750</v>
      </c>
      <c r="G7672" t="s">
        <v>16231</v>
      </c>
      <c r="H7672" t="s">
        <v>47054</v>
      </c>
      <c r="I7672" t="s">
        <v>47120</v>
      </c>
      <c r="J7672" t="s">
        <v>47121</v>
      </c>
      <c r="K7672" t="s">
        <v>47113</v>
      </c>
      <c r="L7672">
        <v>34.75</v>
      </c>
      <c r="M7672">
        <v>140</v>
      </c>
      <c r="N7672">
        <v>379</v>
      </c>
      <c r="O7672">
        <v>140</v>
      </c>
      <c r="P7672">
        <v>379</v>
      </c>
    </row>
    <row r="7673" spans="1:16" x14ac:dyDescent="0.25">
      <c r="A7673" t="s">
        <v>30255</v>
      </c>
      <c r="B7673" t="s">
        <v>6283</v>
      </c>
      <c r="C7673" t="s">
        <v>6284</v>
      </c>
      <c r="D7673" t="s">
        <v>6285</v>
      </c>
      <c r="E7673" t="s">
        <v>6286</v>
      </c>
      <c r="F7673" t="s">
        <v>4</v>
      </c>
      <c r="G7673" t="s">
        <v>16231</v>
      </c>
      <c r="H7673" t="s">
        <v>47054</v>
      </c>
      <c r="I7673" t="s">
        <v>47111</v>
      </c>
      <c r="J7673" t="s">
        <v>47112</v>
      </c>
      <c r="K7673" t="s">
        <v>47113</v>
      </c>
      <c r="L7673">
        <v>62.51</v>
      </c>
      <c r="M7673">
        <v>138</v>
      </c>
      <c r="N7673">
        <v>0</v>
      </c>
      <c r="O7673">
        <v>138</v>
      </c>
      <c r="P7673">
        <v>0</v>
      </c>
    </row>
    <row r="7674" spans="1:16" x14ac:dyDescent="0.25">
      <c r="A7674" t="s">
        <v>30256</v>
      </c>
      <c r="B7674" t="s">
        <v>30257</v>
      </c>
      <c r="C7674" t="s">
        <v>30258</v>
      </c>
      <c r="D7674" t="s">
        <v>30259</v>
      </c>
      <c r="E7674" t="s">
        <v>30260</v>
      </c>
      <c r="F7674" t="s">
        <v>24622</v>
      </c>
      <c r="G7674" t="s">
        <v>16231</v>
      </c>
      <c r="H7674" t="s">
        <v>47054</v>
      </c>
      <c r="I7674" t="s">
        <v>47116</v>
      </c>
      <c r="J7674" t="s">
        <v>47117</v>
      </c>
      <c r="K7674" t="s">
        <v>47113</v>
      </c>
      <c r="L7674">
        <v>39.979999999999997</v>
      </c>
      <c r="M7674">
        <v>155</v>
      </c>
      <c r="N7674">
        <v>419</v>
      </c>
      <c r="O7674">
        <v>155</v>
      </c>
      <c r="P7674">
        <v>419</v>
      </c>
    </row>
    <row r="7675" spans="1:16" x14ac:dyDescent="0.25">
      <c r="A7675" t="s">
        <v>30261</v>
      </c>
      <c r="B7675" t="s">
        <v>6287</v>
      </c>
      <c r="C7675" t="s">
        <v>20047</v>
      </c>
      <c r="D7675" t="s">
        <v>6285</v>
      </c>
      <c r="E7675" t="s">
        <v>6286</v>
      </c>
      <c r="F7675" t="s">
        <v>4</v>
      </c>
      <c r="G7675" t="s">
        <v>16231</v>
      </c>
      <c r="H7675" t="s">
        <v>47054</v>
      </c>
      <c r="I7675" t="s">
        <v>47111</v>
      </c>
      <c r="J7675" t="s">
        <v>47112</v>
      </c>
      <c r="K7675" t="s">
        <v>47113</v>
      </c>
      <c r="L7675">
        <v>65.64</v>
      </c>
      <c r="M7675">
        <v>149</v>
      </c>
      <c r="N7675">
        <v>0</v>
      </c>
      <c r="O7675">
        <v>149</v>
      </c>
      <c r="P7675">
        <v>0</v>
      </c>
    </row>
    <row r="7676" spans="1:16" x14ac:dyDescent="0.25">
      <c r="A7676" t="s">
        <v>30262</v>
      </c>
      <c r="B7676" t="s">
        <v>6288</v>
      </c>
      <c r="C7676" t="s">
        <v>16460</v>
      </c>
      <c r="D7676" t="s">
        <v>6289</v>
      </c>
      <c r="E7676" t="s">
        <v>6290</v>
      </c>
      <c r="F7676" t="s">
        <v>2068</v>
      </c>
      <c r="G7676" t="s">
        <v>16231</v>
      </c>
      <c r="H7676" t="s">
        <v>47054</v>
      </c>
      <c r="I7676" t="s">
        <v>47111</v>
      </c>
      <c r="J7676" t="s">
        <v>47112</v>
      </c>
      <c r="K7676" t="s">
        <v>47113</v>
      </c>
      <c r="L7676">
        <v>42.42</v>
      </c>
      <c r="M7676">
        <v>74</v>
      </c>
      <c r="N7676">
        <v>0</v>
      </c>
      <c r="O7676">
        <v>74</v>
      </c>
      <c r="P7676">
        <v>0</v>
      </c>
    </row>
    <row r="7677" spans="1:16" x14ac:dyDescent="0.25">
      <c r="A7677" t="s">
        <v>30263</v>
      </c>
      <c r="B7677" t="s">
        <v>6288</v>
      </c>
      <c r="C7677" t="s">
        <v>16460</v>
      </c>
      <c r="D7677" t="s">
        <v>311</v>
      </c>
      <c r="E7677" t="s">
        <v>312</v>
      </c>
      <c r="F7677" t="s">
        <v>2068</v>
      </c>
      <c r="G7677" t="s">
        <v>16231</v>
      </c>
      <c r="H7677" t="s">
        <v>47054</v>
      </c>
      <c r="I7677" t="s">
        <v>47111</v>
      </c>
      <c r="J7677" t="s">
        <v>47112</v>
      </c>
      <c r="K7677" t="s">
        <v>47113</v>
      </c>
      <c r="L7677">
        <v>31.52</v>
      </c>
      <c r="M7677">
        <v>70</v>
      </c>
      <c r="N7677">
        <v>0</v>
      </c>
      <c r="O7677">
        <v>70</v>
      </c>
      <c r="P7677">
        <v>0</v>
      </c>
    </row>
    <row r="7678" spans="1:16" x14ac:dyDescent="0.25">
      <c r="A7678" t="s">
        <v>30264</v>
      </c>
      <c r="B7678" t="s">
        <v>6291</v>
      </c>
      <c r="C7678" t="s">
        <v>6292</v>
      </c>
      <c r="D7678" t="s">
        <v>6293</v>
      </c>
      <c r="E7678" t="s">
        <v>6294</v>
      </c>
      <c r="F7678" t="s">
        <v>2068</v>
      </c>
      <c r="G7678" t="s">
        <v>16231</v>
      </c>
      <c r="H7678" t="s">
        <v>47054</v>
      </c>
      <c r="I7678" t="s">
        <v>47111</v>
      </c>
      <c r="J7678" t="s">
        <v>47112</v>
      </c>
      <c r="K7678" t="s">
        <v>47113</v>
      </c>
      <c r="L7678">
        <v>42.3</v>
      </c>
      <c r="M7678">
        <v>96</v>
      </c>
      <c r="N7678">
        <v>0</v>
      </c>
      <c r="O7678">
        <v>96</v>
      </c>
      <c r="P7678">
        <v>0</v>
      </c>
    </row>
    <row r="7679" spans="1:16" x14ac:dyDescent="0.25">
      <c r="A7679" t="s">
        <v>30265</v>
      </c>
      <c r="B7679" t="s">
        <v>6291</v>
      </c>
      <c r="C7679" t="s">
        <v>6292</v>
      </c>
      <c r="D7679" t="s">
        <v>6295</v>
      </c>
      <c r="E7679" t="s">
        <v>6296</v>
      </c>
      <c r="F7679" t="s">
        <v>2068</v>
      </c>
      <c r="G7679" t="s">
        <v>16231</v>
      </c>
      <c r="H7679" t="s">
        <v>47054</v>
      </c>
      <c r="I7679" t="s">
        <v>47111</v>
      </c>
      <c r="J7679" t="s">
        <v>47112</v>
      </c>
      <c r="K7679" t="s">
        <v>47113</v>
      </c>
      <c r="L7679">
        <v>42.3</v>
      </c>
      <c r="M7679">
        <v>96</v>
      </c>
      <c r="N7679">
        <v>0</v>
      </c>
      <c r="O7679">
        <v>96</v>
      </c>
      <c r="P7679">
        <v>0</v>
      </c>
    </row>
    <row r="7680" spans="1:16" x14ac:dyDescent="0.25">
      <c r="A7680" t="s">
        <v>30266</v>
      </c>
      <c r="B7680" t="s">
        <v>6297</v>
      </c>
      <c r="C7680" t="s">
        <v>6298</v>
      </c>
      <c r="D7680" t="s">
        <v>6299</v>
      </c>
      <c r="E7680" t="s">
        <v>6300</v>
      </c>
      <c r="F7680" t="s">
        <v>3670</v>
      </c>
      <c r="G7680" t="s">
        <v>16231</v>
      </c>
      <c r="I7680" t="s">
        <v>47111</v>
      </c>
      <c r="J7680" t="s">
        <v>47112</v>
      </c>
      <c r="K7680" t="s">
        <v>47113</v>
      </c>
      <c r="L7680">
        <v>62.05</v>
      </c>
      <c r="M7680">
        <v>140</v>
      </c>
      <c r="N7680">
        <v>0</v>
      </c>
      <c r="O7680">
        <v>140</v>
      </c>
      <c r="P7680">
        <v>0</v>
      </c>
    </row>
    <row r="7681" spans="1:16" x14ac:dyDescent="0.25">
      <c r="A7681" t="s">
        <v>30267</v>
      </c>
      <c r="B7681" t="s">
        <v>6301</v>
      </c>
      <c r="C7681" t="s">
        <v>16252</v>
      </c>
      <c r="D7681" t="s">
        <v>6302</v>
      </c>
      <c r="E7681" t="s">
        <v>6303</v>
      </c>
      <c r="F7681" t="s">
        <v>3558</v>
      </c>
      <c r="G7681" t="s">
        <v>16231</v>
      </c>
      <c r="H7681" t="s">
        <v>47054</v>
      </c>
      <c r="I7681" t="s">
        <v>47111</v>
      </c>
      <c r="J7681" t="s">
        <v>47112</v>
      </c>
      <c r="K7681" t="s">
        <v>47113</v>
      </c>
      <c r="L7681">
        <v>54.95</v>
      </c>
      <c r="M7681">
        <v>138</v>
      </c>
      <c r="N7681">
        <v>0</v>
      </c>
      <c r="O7681">
        <v>138</v>
      </c>
      <c r="P7681">
        <v>0</v>
      </c>
    </row>
    <row r="7682" spans="1:16" x14ac:dyDescent="0.25">
      <c r="A7682" t="s">
        <v>30268</v>
      </c>
      <c r="B7682" t="s">
        <v>6304</v>
      </c>
      <c r="C7682" t="s">
        <v>17429</v>
      </c>
      <c r="D7682" t="s">
        <v>6305</v>
      </c>
      <c r="E7682" t="s">
        <v>6306</v>
      </c>
      <c r="F7682" t="s">
        <v>3558</v>
      </c>
      <c r="G7682" t="s">
        <v>16231</v>
      </c>
      <c r="H7682" t="s">
        <v>47054</v>
      </c>
      <c r="I7682" t="s">
        <v>47111</v>
      </c>
      <c r="J7682" t="s">
        <v>47112</v>
      </c>
      <c r="K7682" t="s">
        <v>47113</v>
      </c>
      <c r="L7682">
        <v>45.88</v>
      </c>
      <c r="M7682">
        <v>111</v>
      </c>
      <c r="N7682">
        <v>0</v>
      </c>
      <c r="O7682">
        <v>111</v>
      </c>
      <c r="P7682">
        <v>0</v>
      </c>
    </row>
    <row r="7683" spans="1:16" x14ac:dyDescent="0.25">
      <c r="A7683" t="s">
        <v>46937</v>
      </c>
      <c r="B7683" t="s">
        <v>46693</v>
      </c>
      <c r="C7683" t="s">
        <v>20607</v>
      </c>
      <c r="D7683" t="s">
        <v>46694</v>
      </c>
      <c r="E7683" t="s">
        <v>46695</v>
      </c>
      <c r="F7683" t="s">
        <v>24617</v>
      </c>
      <c r="G7683" t="s">
        <v>16231</v>
      </c>
      <c r="H7683" t="s">
        <v>47054</v>
      </c>
      <c r="I7683" t="s">
        <v>47544</v>
      </c>
      <c r="J7683" t="s">
        <v>47545</v>
      </c>
      <c r="K7683" t="s">
        <v>47113</v>
      </c>
      <c r="L7683">
        <v>25.85</v>
      </c>
      <c r="M7683">
        <v>70</v>
      </c>
      <c r="N7683">
        <v>189</v>
      </c>
      <c r="O7683">
        <v>70</v>
      </c>
      <c r="P7683">
        <v>189</v>
      </c>
    </row>
    <row r="7684" spans="1:16" x14ac:dyDescent="0.25">
      <c r="A7684" t="s">
        <v>30269</v>
      </c>
      <c r="B7684" t="s">
        <v>6307</v>
      </c>
      <c r="C7684" t="s">
        <v>6308</v>
      </c>
      <c r="D7684" t="s">
        <v>6293</v>
      </c>
      <c r="E7684" t="s">
        <v>6294</v>
      </c>
      <c r="F7684" t="s">
        <v>2068</v>
      </c>
      <c r="G7684" t="s">
        <v>16231</v>
      </c>
      <c r="H7684" t="s">
        <v>47054</v>
      </c>
      <c r="I7684" t="s">
        <v>47111</v>
      </c>
      <c r="J7684" t="s">
        <v>47112</v>
      </c>
      <c r="K7684" t="s">
        <v>47113</v>
      </c>
      <c r="L7684">
        <v>40.29</v>
      </c>
      <c r="M7684">
        <v>91</v>
      </c>
      <c r="N7684">
        <v>0</v>
      </c>
      <c r="O7684">
        <v>91</v>
      </c>
      <c r="P7684">
        <v>0</v>
      </c>
    </row>
    <row r="7685" spans="1:16" x14ac:dyDescent="0.25">
      <c r="A7685" t="s">
        <v>30270</v>
      </c>
      <c r="B7685" t="s">
        <v>6307</v>
      </c>
      <c r="C7685" t="s">
        <v>6308</v>
      </c>
      <c r="D7685" t="s">
        <v>6295</v>
      </c>
      <c r="E7685" t="s">
        <v>6296</v>
      </c>
      <c r="F7685" t="s">
        <v>2068</v>
      </c>
      <c r="G7685" t="s">
        <v>16231</v>
      </c>
      <c r="H7685" t="s">
        <v>47054</v>
      </c>
      <c r="I7685" t="s">
        <v>47111</v>
      </c>
      <c r="J7685" t="s">
        <v>47112</v>
      </c>
      <c r="K7685" t="s">
        <v>47113</v>
      </c>
      <c r="L7685">
        <v>40.29</v>
      </c>
      <c r="M7685">
        <v>91</v>
      </c>
      <c r="N7685">
        <v>0</v>
      </c>
      <c r="O7685">
        <v>91</v>
      </c>
      <c r="P7685">
        <v>0</v>
      </c>
    </row>
    <row r="7686" spans="1:16" x14ac:dyDescent="0.25">
      <c r="A7686" t="s">
        <v>30271</v>
      </c>
      <c r="B7686" t="s">
        <v>6309</v>
      </c>
      <c r="C7686" t="s">
        <v>14244</v>
      </c>
      <c r="D7686" t="s">
        <v>6311</v>
      </c>
      <c r="E7686" t="s">
        <v>6312</v>
      </c>
      <c r="F7686" t="s">
        <v>3546</v>
      </c>
      <c r="G7686" t="s">
        <v>16231</v>
      </c>
      <c r="H7686" t="s">
        <v>47054</v>
      </c>
      <c r="I7686" t="s">
        <v>47111</v>
      </c>
      <c r="J7686" t="s">
        <v>47112</v>
      </c>
      <c r="K7686" t="s">
        <v>47113</v>
      </c>
      <c r="L7686">
        <v>88.58</v>
      </c>
      <c r="M7686">
        <v>148</v>
      </c>
      <c r="N7686">
        <v>0</v>
      </c>
      <c r="O7686">
        <v>148</v>
      </c>
      <c r="P7686">
        <v>0</v>
      </c>
    </row>
    <row r="7687" spans="1:16" x14ac:dyDescent="0.25">
      <c r="A7687" t="s">
        <v>14955</v>
      </c>
      <c r="B7687" t="s">
        <v>6309</v>
      </c>
      <c r="C7687" t="s">
        <v>14244</v>
      </c>
      <c r="D7687" t="s">
        <v>6313</v>
      </c>
      <c r="E7687" t="s">
        <v>6314</v>
      </c>
      <c r="F7687" t="s">
        <v>3546</v>
      </c>
      <c r="G7687" t="s">
        <v>16231</v>
      </c>
      <c r="H7687" t="s">
        <v>47054</v>
      </c>
      <c r="I7687" t="s">
        <v>47111</v>
      </c>
      <c r="J7687" t="s">
        <v>47112</v>
      </c>
      <c r="K7687" t="s">
        <v>47113</v>
      </c>
      <c r="L7687">
        <v>78.400000000000006</v>
      </c>
      <c r="M7687">
        <v>140</v>
      </c>
      <c r="N7687">
        <v>0</v>
      </c>
      <c r="O7687">
        <v>140</v>
      </c>
      <c r="P7687">
        <v>0</v>
      </c>
    </row>
    <row r="7688" spans="1:16" x14ac:dyDescent="0.25">
      <c r="A7688" t="s">
        <v>30272</v>
      </c>
      <c r="B7688" t="s">
        <v>6315</v>
      </c>
      <c r="C7688" t="s">
        <v>16920</v>
      </c>
      <c r="D7688" t="s">
        <v>6316</v>
      </c>
      <c r="E7688" t="s">
        <v>6317</v>
      </c>
      <c r="F7688" t="s">
        <v>3558</v>
      </c>
      <c r="G7688" t="s">
        <v>16231</v>
      </c>
      <c r="H7688" t="s">
        <v>47054</v>
      </c>
      <c r="I7688" t="s">
        <v>47111</v>
      </c>
      <c r="J7688" t="s">
        <v>47112</v>
      </c>
      <c r="K7688" t="s">
        <v>47113</v>
      </c>
      <c r="L7688">
        <v>44.96</v>
      </c>
      <c r="M7688">
        <v>103</v>
      </c>
      <c r="N7688">
        <v>0</v>
      </c>
      <c r="O7688">
        <v>103</v>
      </c>
      <c r="P7688">
        <v>0</v>
      </c>
    </row>
    <row r="7689" spans="1:16" x14ac:dyDescent="0.25">
      <c r="A7689" t="s">
        <v>30273</v>
      </c>
      <c r="B7689" t="s">
        <v>20048</v>
      </c>
      <c r="C7689" t="s">
        <v>20049</v>
      </c>
      <c r="D7689" t="s">
        <v>311</v>
      </c>
      <c r="E7689" t="s">
        <v>3479</v>
      </c>
      <c r="F7689" t="s">
        <v>3750</v>
      </c>
      <c r="G7689" t="s">
        <v>16231</v>
      </c>
      <c r="H7689" t="s">
        <v>47054</v>
      </c>
      <c r="I7689" t="s">
        <v>47111</v>
      </c>
      <c r="J7689" t="s">
        <v>47112</v>
      </c>
      <c r="K7689" t="s">
        <v>47113</v>
      </c>
      <c r="L7689">
        <v>41.37</v>
      </c>
      <c r="M7689">
        <v>129</v>
      </c>
      <c r="N7689">
        <v>0</v>
      </c>
      <c r="O7689">
        <v>129</v>
      </c>
      <c r="P7689">
        <v>0</v>
      </c>
    </row>
    <row r="7690" spans="1:16" x14ac:dyDescent="0.25">
      <c r="A7690" t="s">
        <v>30274</v>
      </c>
      <c r="B7690" t="s">
        <v>16286</v>
      </c>
      <c r="C7690" t="s">
        <v>16921</v>
      </c>
      <c r="D7690" t="s">
        <v>311</v>
      </c>
      <c r="E7690" t="s">
        <v>16288</v>
      </c>
      <c r="F7690" t="s">
        <v>15183</v>
      </c>
      <c r="G7690" t="s">
        <v>16231</v>
      </c>
      <c r="H7690" t="s">
        <v>47054</v>
      </c>
      <c r="I7690" t="s">
        <v>47111</v>
      </c>
      <c r="J7690" t="s">
        <v>47112</v>
      </c>
      <c r="K7690" t="s">
        <v>47113</v>
      </c>
      <c r="L7690">
        <v>29.07</v>
      </c>
      <c r="M7690">
        <v>70</v>
      </c>
      <c r="N7690">
        <v>0</v>
      </c>
      <c r="O7690">
        <v>70</v>
      </c>
      <c r="P7690">
        <v>0</v>
      </c>
    </row>
    <row r="7691" spans="1:16" x14ac:dyDescent="0.25">
      <c r="A7691" t="s">
        <v>30275</v>
      </c>
      <c r="B7691" t="s">
        <v>6318</v>
      </c>
      <c r="C7691" t="s">
        <v>6319</v>
      </c>
      <c r="D7691" t="s">
        <v>6289</v>
      </c>
      <c r="E7691" t="s">
        <v>6290</v>
      </c>
      <c r="F7691" t="s">
        <v>3670</v>
      </c>
      <c r="G7691" t="s">
        <v>16224</v>
      </c>
      <c r="H7691" t="s">
        <v>47054</v>
      </c>
      <c r="I7691" t="s">
        <v>47116</v>
      </c>
      <c r="J7691" t="s">
        <v>47117</v>
      </c>
      <c r="K7691" t="s">
        <v>47113</v>
      </c>
      <c r="L7691">
        <v>36.92</v>
      </c>
      <c r="M7691">
        <v>92</v>
      </c>
      <c r="N7691">
        <v>0</v>
      </c>
      <c r="O7691">
        <v>92</v>
      </c>
      <c r="P7691">
        <v>0</v>
      </c>
    </row>
    <row r="7692" spans="1:16" x14ac:dyDescent="0.25">
      <c r="A7692" t="s">
        <v>30276</v>
      </c>
      <c r="B7692" t="s">
        <v>6320</v>
      </c>
      <c r="C7692" t="s">
        <v>6321</v>
      </c>
      <c r="D7692" t="s">
        <v>311</v>
      </c>
      <c r="E7692" t="s">
        <v>3479</v>
      </c>
      <c r="F7692" t="s">
        <v>3670</v>
      </c>
      <c r="G7692" t="s">
        <v>16233</v>
      </c>
      <c r="H7692" t="s">
        <v>47054</v>
      </c>
      <c r="I7692" t="s">
        <v>47111</v>
      </c>
      <c r="J7692" t="s">
        <v>47112</v>
      </c>
      <c r="K7692" t="s">
        <v>47113</v>
      </c>
      <c r="L7692">
        <v>31.88</v>
      </c>
      <c r="M7692">
        <v>63</v>
      </c>
      <c r="N7692">
        <v>0</v>
      </c>
      <c r="O7692">
        <v>63</v>
      </c>
      <c r="P7692">
        <v>0</v>
      </c>
    </row>
    <row r="7693" spans="1:16" x14ac:dyDescent="0.25">
      <c r="A7693" t="s">
        <v>30277</v>
      </c>
      <c r="B7693" t="s">
        <v>6322</v>
      </c>
      <c r="C7693" t="s">
        <v>15342</v>
      </c>
      <c r="D7693" t="s">
        <v>6289</v>
      </c>
      <c r="E7693" t="s">
        <v>6290</v>
      </c>
      <c r="F7693" t="s">
        <v>3670</v>
      </c>
      <c r="G7693" t="s">
        <v>16233</v>
      </c>
      <c r="H7693" t="s">
        <v>47054</v>
      </c>
      <c r="I7693" t="s">
        <v>47111</v>
      </c>
      <c r="J7693" t="s">
        <v>47112</v>
      </c>
      <c r="K7693" t="s">
        <v>47113</v>
      </c>
      <c r="L7693">
        <v>55.88</v>
      </c>
      <c r="M7693">
        <v>100</v>
      </c>
      <c r="N7693">
        <v>0</v>
      </c>
      <c r="O7693">
        <v>100</v>
      </c>
      <c r="P7693">
        <v>0</v>
      </c>
    </row>
    <row r="7694" spans="1:16" x14ac:dyDescent="0.25">
      <c r="A7694" t="s">
        <v>30278</v>
      </c>
      <c r="B7694" t="s">
        <v>6323</v>
      </c>
      <c r="C7694" t="s">
        <v>6324</v>
      </c>
      <c r="D7694" t="s">
        <v>6316</v>
      </c>
      <c r="E7694" t="s">
        <v>6317</v>
      </c>
      <c r="F7694" t="s">
        <v>3558</v>
      </c>
      <c r="G7694" t="s">
        <v>47122</v>
      </c>
      <c r="H7694" t="s">
        <v>47054</v>
      </c>
      <c r="I7694" t="s">
        <v>47116</v>
      </c>
      <c r="J7694" t="s">
        <v>47117</v>
      </c>
      <c r="K7694" t="s">
        <v>47113</v>
      </c>
      <c r="L7694">
        <v>43.87</v>
      </c>
      <c r="M7694">
        <v>100</v>
      </c>
      <c r="N7694">
        <v>0</v>
      </c>
      <c r="O7694">
        <v>100</v>
      </c>
      <c r="P7694">
        <v>0</v>
      </c>
    </row>
    <row r="7695" spans="1:16" x14ac:dyDescent="0.25">
      <c r="A7695" t="s">
        <v>30279</v>
      </c>
      <c r="B7695" t="s">
        <v>6325</v>
      </c>
      <c r="C7695" t="s">
        <v>3584</v>
      </c>
      <c r="D7695" t="s">
        <v>311</v>
      </c>
      <c r="E7695" t="s">
        <v>3479</v>
      </c>
      <c r="F7695" t="s">
        <v>5</v>
      </c>
      <c r="G7695" t="s">
        <v>16231</v>
      </c>
      <c r="H7695" t="s">
        <v>47054</v>
      </c>
      <c r="I7695" t="s">
        <v>47111</v>
      </c>
      <c r="J7695" t="s">
        <v>47112</v>
      </c>
      <c r="K7695" t="s">
        <v>47113</v>
      </c>
      <c r="L7695">
        <v>32.520000000000003</v>
      </c>
      <c r="M7695">
        <v>77</v>
      </c>
      <c r="N7695">
        <v>0</v>
      </c>
      <c r="O7695">
        <v>77</v>
      </c>
      <c r="P7695">
        <v>0</v>
      </c>
    </row>
    <row r="7696" spans="1:16" x14ac:dyDescent="0.25">
      <c r="A7696" t="s">
        <v>30280</v>
      </c>
      <c r="B7696" t="s">
        <v>6326</v>
      </c>
      <c r="C7696" t="s">
        <v>16461</v>
      </c>
      <c r="D7696" t="s">
        <v>6289</v>
      </c>
      <c r="E7696" t="s">
        <v>6290</v>
      </c>
      <c r="F7696" t="s">
        <v>2068</v>
      </c>
      <c r="G7696" t="s">
        <v>16231</v>
      </c>
      <c r="H7696" t="s">
        <v>47054</v>
      </c>
      <c r="I7696" t="s">
        <v>47111</v>
      </c>
      <c r="J7696" t="s">
        <v>47112</v>
      </c>
      <c r="K7696" t="s">
        <v>47113</v>
      </c>
      <c r="L7696">
        <v>42.42</v>
      </c>
      <c r="M7696">
        <v>100</v>
      </c>
      <c r="N7696">
        <v>0</v>
      </c>
      <c r="O7696">
        <v>100</v>
      </c>
      <c r="P7696">
        <v>0</v>
      </c>
    </row>
    <row r="7697" spans="1:16" x14ac:dyDescent="0.25">
      <c r="A7697" t="s">
        <v>30281</v>
      </c>
      <c r="B7697" t="s">
        <v>6326</v>
      </c>
      <c r="C7697" t="s">
        <v>16461</v>
      </c>
      <c r="D7697" t="s">
        <v>311</v>
      </c>
      <c r="E7697" t="s">
        <v>3479</v>
      </c>
      <c r="F7697" t="s">
        <v>2068</v>
      </c>
      <c r="G7697" t="s">
        <v>16231</v>
      </c>
      <c r="H7697" t="s">
        <v>47054</v>
      </c>
      <c r="I7697" t="s">
        <v>47111</v>
      </c>
      <c r="J7697" t="s">
        <v>47112</v>
      </c>
      <c r="K7697" t="s">
        <v>47113</v>
      </c>
      <c r="L7697">
        <v>31.21</v>
      </c>
      <c r="M7697">
        <v>70</v>
      </c>
      <c r="N7697">
        <v>0</v>
      </c>
      <c r="O7697">
        <v>70</v>
      </c>
      <c r="P7697">
        <v>0</v>
      </c>
    </row>
    <row r="7698" spans="1:16" x14ac:dyDescent="0.25">
      <c r="A7698" t="s">
        <v>30282</v>
      </c>
      <c r="B7698" t="s">
        <v>6327</v>
      </c>
      <c r="C7698" t="s">
        <v>6328</v>
      </c>
      <c r="D7698" t="s">
        <v>6329</v>
      </c>
      <c r="E7698" t="s">
        <v>6330</v>
      </c>
      <c r="F7698" t="s">
        <v>3546</v>
      </c>
      <c r="G7698" t="s">
        <v>16231</v>
      </c>
      <c r="H7698" t="s">
        <v>47054</v>
      </c>
      <c r="I7698" t="s">
        <v>47111</v>
      </c>
      <c r="J7698" t="s">
        <v>47112</v>
      </c>
      <c r="K7698" t="s">
        <v>47113</v>
      </c>
      <c r="L7698">
        <v>50.43</v>
      </c>
      <c r="M7698">
        <v>124</v>
      </c>
      <c r="N7698">
        <v>0</v>
      </c>
      <c r="O7698">
        <v>124</v>
      </c>
      <c r="P7698">
        <v>0</v>
      </c>
    </row>
    <row r="7699" spans="1:16" x14ac:dyDescent="0.25">
      <c r="A7699" t="s">
        <v>30283</v>
      </c>
      <c r="B7699" t="s">
        <v>6331</v>
      </c>
      <c r="C7699" t="s">
        <v>6332</v>
      </c>
      <c r="D7699" t="s">
        <v>6333</v>
      </c>
      <c r="E7699" t="s">
        <v>6334</v>
      </c>
      <c r="F7699" t="s">
        <v>3546</v>
      </c>
      <c r="G7699" t="s">
        <v>16231</v>
      </c>
      <c r="H7699" t="s">
        <v>47054</v>
      </c>
      <c r="I7699" t="s">
        <v>47111</v>
      </c>
      <c r="J7699" t="s">
        <v>47112</v>
      </c>
      <c r="K7699" t="s">
        <v>47113</v>
      </c>
      <c r="L7699">
        <v>55.25</v>
      </c>
      <c r="M7699">
        <v>130</v>
      </c>
      <c r="N7699">
        <v>0</v>
      </c>
      <c r="O7699">
        <v>130</v>
      </c>
      <c r="P7699">
        <v>0</v>
      </c>
    </row>
    <row r="7700" spans="1:16" x14ac:dyDescent="0.25">
      <c r="A7700" t="s">
        <v>30284</v>
      </c>
      <c r="B7700" t="s">
        <v>6335</v>
      </c>
      <c r="C7700" t="s">
        <v>6336</v>
      </c>
      <c r="D7700" t="s">
        <v>6337</v>
      </c>
      <c r="E7700" t="s">
        <v>6338</v>
      </c>
      <c r="F7700" t="s">
        <v>3670</v>
      </c>
      <c r="G7700" t="s">
        <v>16231</v>
      </c>
      <c r="I7700" t="s">
        <v>47111</v>
      </c>
      <c r="J7700" t="s">
        <v>47112</v>
      </c>
      <c r="K7700" t="s">
        <v>47113</v>
      </c>
      <c r="L7700">
        <v>58.27</v>
      </c>
      <c r="M7700">
        <v>140</v>
      </c>
      <c r="N7700">
        <v>0</v>
      </c>
      <c r="O7700">
        <v>140</v>
      </c>
      <c r="P7700">
        <v>0</v>
      </c>
    </row>
    <row r="7701" spans="1:16" x14ac:dyDescent="0.25">
      <c r="A7701" t="s">
        <v>30285</v>
      </c>
      <c r="B7701" t="s">
        <v>30286</v>
      </c>
      <c r="C7701" t="s">
        <v>30287</v>
      </c>
      <c r="D7701" t="s">
        <v>721</v>
      </c>
      <c r="E7701" t="s">
        <v>722</v>
      </c>
      <c r="F7701" t="s">
        <v>3750</v>
      </c>
      <c r="G7701" t="s">
        <v>16231</v>
      </c>
      <c r="H7701" t="s">
        <v>47054</v>
      </c>
      <c r="I7701" t="s">
        <v>47544</v>
      </c>
      <c r="J7701" t="s">
        <v>47545</v>
      </c>
      <c r="K7701" t="s">
        <v>47113</v>
      </c>
      <c r="L7701">
        <v>30.93</v>
      </c>
      <c r="M7701">
        <v>107</v>
      </c>
      <c r="N7701">
        <v>0</v>
      </c>
      <c r="O7701">
        <v>107</v>
      </c>
      <c r="P7701">
        <v>0</v>
      </c>
    </row>
    <row r="7702" spans="1:16" x14ac:dyDescent="0.25">
      <c r="A7702" t="s">
        <v>22740</v>
      </c>
      <c r="B7702" t="s">
        <v>22741</v>
      </c>
      <c r="C7702" t="s">
        <v>22742</v>
      </c>
      <c r="D7702" t="s">
        <v>721</v>
      </c>
      <c r="E7702" t="s">
        <v>722</v>
      </c>
      <c r="F7702" t="s">
        <v>3750</v>
      </c>
      <c r="G7702" t="s">
        <v>16224</v>
      </c>
      <c r="H7702" t="s">
        <v>47054</v>
      </c>
      <c r="I7702" t="s">
        <v>47544</v>
      </c>
      <c r="J7702" t="s">
        <v>47545</v>
      </c>
      <c r="K7702" t="s">
        <v>47113</v>
      </c>
      <c r="L7702">
        <v>44.14</v>
      </c>
      <c r="M7702">
        <v>107</v>
      </c>
      <c r="N7702">
        <v>0</v>
      </c>
      <c r="O7702">
        <v>107</v>
      </c>
      <c r="P7702">
        <v>0</v>
      </c>
    </row>
    <row r="7703" spans="1:16" x14ac:dyDescent="0.25">
      <c r="A7703" t="s">
        <v>47587</v>
      </c>
      <c r="B7703" t="s">
        <v>47588</v>
      </c>
      <c r="C7703" t="s">
        <v>47589</v>
      </c>
      <c r="D7703" t="s">
        <v>721</v>
      </c>
      <c r="E7703" t="s">
        <v>722</v>
      </c>
      <c r="F7703" t="s">
        <v>47479</v>
      </c>
      <c r="G7703" t="s">
        <v>16231</v>
      </c>
      <c r="H7703" t="s">
        <v>47054</v>
      </c>
      <c r="I7703" t="s">
        <v>47544</v>
      </c>
      <c r="J7703" t="s">
        <v>47545</v>
      </c>
      <c r="K7703" t="s">
        <v>47113</v>
      </c>
      <c r="L7703">
        <v>24.47</v>
      </c>
      <c r="M7703">
        <v>114</v>
      </c>
      <c r="N7703">
        <v>309</v>
      </c>
      <c r="O7703">
        <v>114</v>
      </c>
      <c r="P7703">
        <v>309</v>
      </c>
    </row>
    <row r="7704" spans="1:16" x14ac:dyDescent="0.25">
      <c r="A7704" t="s">
        <v>30288</v>
      </c>
      <c r="B7704" t="s">
        <v>6339</v>
      </c>
      <c r="C7704" t="s">
        <v>6340</v>
      </c>
      <c r="D7704" t="s">
        <v>311</v>
      </c>
      <c r="E7704" t="s">
        <v>3479</v>
      </c>
      <c r="F7704" t="s">
        <v>5</v>
      </c>
      <c r="G7704" t="s">
        <v>16231</v>
      </c>
      <c r="H7704" t="s">
        <v>47054</v>
      </c>
      <c r="I7704" t="s">
        <v>47111</v>
      </c>
      <c r="J7704" t="s">
        <v>47112</v>
      </c>
      <c r="K7704" t="s">
        <v>47113</v>
      </c>
      <c r="L7704">
        <v>32.520000000000003</v>
      </c>
      <c r="M7704">
        <v>77</v>
      </c>
      <c r="N7704">
        <v>0</v>
      </c>
      <c r="O7704">
        <v>77</v>
      </c>
      <c r="P7704">
        <v>0</v>
      </c>
    </row>
    <row r="7705" spans="1:16" x14ac:dyDescent="0.25">
      <c r="A7705" t="s">
        <v>30289</v>
      </c>
      <c r="B7705" t="s">
        <v>6341</v>
      </c>
      <c r="C7705" t="s">
        <v>6342</v>
      </c>
      <c r="D7705" t="s">
        <v>6285</v>
      </c>
      <c r="E7705" t="s">
        <v>6286</v>
      </c>
      <c r="F7705" t="s">
        <v>4</v>
      </c>
      <c r="G7705" t="s">
        <v>16231</v>
      </c>
      <c r="H7705" t="s">
        <v>47054</v>
      </c>
      <c r="I7705" t="s">
        <v>47111</v>
      </c>
      <c r="J7705" t="s">
        <v>47112</v>
      </c>
      <c r="K7705" t="s">
        <v>47113</v>
      </c>
      <c r="L7705">
        <v>62.51</v>
      </c>
      <c r="M7705">
        <v>149</v>
      </c>
      <c r="N7705">
        <v>0</v>
      </c>
      <c r="O7705">
        <v>149</v>
      </c>
      <c r="P7705">
        <v>0</v>
      </c>
    </row>
    <row r="7706" spans="1:16" x14ac:dyDescent="0.25">
      <c r="A7706" t="s">
        <v>30290</v>
      </c>
      <c r="B7706" t="s">
        <v>6343</v>
      </c>
      <c r="C7706" t="s">
        <v>6344</v>
      </c>
      <c r="D7706" t="s">
        <v>2624</v>
      </c>
      <c r="E7706" t="s">
        <v>6345</v>
      </c>
      <c r="F7706" t="s">
        <v>8</v>
      </c>
      <c r="G7706" t="s">
        <v>16231</v>
      </c>
      <c r="H7706" t="s">
        <v>47054</v>
      </c>
      <c r="I7706" t="s">
        <v>47111</v>
      </c>
      <c r="J7706" t="s">
        <v>47112</v>
      </c>
      <c r="K7706" t="s">
        <v>47113</v>
      </c>
      <c r="L7706">
        <v>39.56</v>
      </c>
      <c r="M7706">
        <v>80</v>
      </c>
      <c r="N7706">
        <v>0</v>
      </c>
      <c r="O7706">
        <v>80</v>
      </c>
      <c r="P7706">
        <v>0</v>
      </c>
    </row>
    <row r="7707" spans="1:16" x14ac:dyDescent="0.25">
      <c r="A7707" t="s">
        <v>30291</v>
      </c>
      <c r="B7707" t="s">
        <v>6343</v>
      </c>
      <c r="C7707" t="s">
        <v>6344</v>
      </c>
      <c r="D7707" t="s">
        <v>657</v>
      </c>
      <c r="E7707" t="s">
        <v>6346</v>
      </c>
      <c r="F7707" t="s">
        <v>8</v>
      </c>
      <c r="G7707" t="s">
        <v>16231</v>
      </c>
      <c r="H7707" t="s">
        <v>47054</v>
      </c>
      <c r="I7707" t="s">
        <v>47111</v>
      </c>
      <c r="J7707" t="s">
        <v>47112</v>
      </c>
      <c r="K7707" t="s">
        <v>47113</v>
      </c>
      <c r="L7707">
        <v>37.15</v>
      </c>
      <c r="M7707">
        <v>61</v>
      </c>
      <c r="N7707">
        <v>0</v>
      </c>
      <c r="O7707">
        <v>61</v>
      </c>
      <c r="P7707">
        <v>0</v>
      </c>
    </row>
    <row r="7708" spans="1:16" x14ac:dyDescent="0.25">
      <c r="A7708" t="s">
        <v>30292</v>
      </c>
      <c r="B7708" t="s">
        <v>6343</v>
      </c>
      <c r="C7708" t="s">
        <v>6344</v>
      </c>
      <c r="D7708" t="s">
        <v>1688</v>
      </c>
      <c r="E7708" t="s">
        <v>6347</v>
      </c>
      <c r="F7708" t="s">
        <v>8</v>
      </c>
      <c r="G7708" t="s">
        <v>16231</v>
      </c>
      <c r="H7708" t="s">
        <v>47054</v>
      </c>
      <c r="I7708" t="s">
        <v>47111</v>
      </c>
      <c r="J7708" t="s">
        <v>47112</v>
      </c>
      <c r="K7708" t="s">
        <v>47113</v>
      </c>
      <c r="L7708">
        <v>35.54</v>
      </c>
      <c r="M7708">
        <v>97</v>
      </c>
      <c r="N7708">
        <v>0</v>
      </c>
      <c r="O7708">
        <v>97</v>
      </c>
      <c r="P7708">
        <v>0</v>
      </c>
    </row>
    <row r="7709" spans="1:16" x14ac:dyDescent="0.25">
      <c r="A7709" t="s">
        <v>30293</v>
      </c>
      <c r="B7709" t="s">
        <v>6343</v>
      </c>
      <c r="C7709" t="s">
        <v>6344</v>
      </c>
      <c r="D7709" t="s">
        <v>6348</v>
      </c>
      <c r="E7709" t="s">
        <v>6349</v>
      </c>
      <c r="F7709" t="s">
        <v>631</v>
      </c>
      <c r="G7709" t="s">
        <v>16231</v>
      </c>
      <c r="H7709" t="s">
        <v>47054</v>
      </c>
      <c r="I7709" t="s">
        <v>47111</v>
      </c>
      <c r="J7709" t="s">
        <v>47112</v>
      </c>
      <c r="K7709" t="s">
        <v>47113</v>
      </c>
      <c r="L7709">
        <v>37.44</v>
      </c>
      <c r="M7709">
        <v>84</v>
      </c>
      <c r="N7709">
        <v>0</v>
      </c>
      <c r="O7709">
        <v>84</v>
      </c>
      <c r="P7709">
        <v>0</v>
      </c>
    </row>
    <row r="7710" spans="1:16" x14ac:dyDescent="0.25">
      <c r="A7710" t="s">
        <v>30294</v>
      </c>
      <c r="B7710" t="s">
        <v>20050</v>
      </c>
      <c r="C7710" t="s">
        <v>16923</v>
      </c>
      <c r="D7710" t="s">
        <v>311</v>
      </c>
      <c r="E7710" t="s">
        <v>3479</v>
      </c>
      <c r="F7710" t="s">
        <v>2068</v>
      </c>
      <c r="G7710" t="s">
        <v>16231</v>
      </c>
      <c r="H7710" t="s">
        <v>47054</v>
      </c>
      <c r="I7710" t="s">
        <v>47111</v>
      </c>
      <c r="J7710" t="s">
        <v>47112</v>
      </c>
      <c r="K7710" t="s">
        <v>47113</v>
      </c>
      <c r="L7710">
        <v>39.6</v>
      </c>
      <c r="M7710">
        <v>92</v>
      </c>
      <c r="N7710">
        <v>0</v>
      </c>
      <c r="O7710">
        <v>92</v>
      </c>
      <c r="P7710">
        <v>0</v>
      </c>
    </row>
    <row r="7711" spans="1:16" x14ac:dyDescent="0.25">
      <c r="A7711" t="s">
        <v>30295</v>
      </c>
      <c r="B7711" t="s">
        <v>6350</v>
      </c>
      <c r="C7711" t="s">
        <v>3594</v>
      </c>
      <c r="D7711" t="s">
        <v>311</v>
      </c>
      <c r="E7711" t="s">
        <v>3479</v>
      </c>
      <c r="F7711" t="s">
        <v>5</v>
      </c>
      <c r="G7711" t="s">
        <v>16231</v>
      </c>
      <c r="H7711" t="s">
        <v>47054</v>
      </c>
      <c r="I7711" t="s">
        <v>47111</v>
      </c>
      <c r="J7711" t="s">
        <v>47112</v>
      </c>
      <c r="K7711" t="s">
        <v>47113</v>
      </c>
      <c r="L7711">
        <v>32.520000000000003</v>
      </c>
      <c r="M7711">
        <v>77</v>
      </c>
      <c r="N7711">
        <v>0</v>
      </c>
      <c r="O7711">
        <v>77</v>
      </c>
      <c r="P7711">
        <v>0</v>
      </c>
    </row>
    <row r="7712" spans="1:16" x14ac:dyDescent="0.25">
      <c r="A7712" t="s">
        <v>30296</v>
      </c>
      <c r="B7712" t="s">
        <v>30297</v>
      </c>
      <c r="C7712" t="s">
        <v>30298</v>
      </c>
      <c r="D7712" t="s">
        <v>30299</v>
      </c>
      <c r="E7712" t="s">
        <v>30300</v>
      </c>
      <c r="F7712" t="s">
        <v>3750</v>
      </c>
      <c r="G7712" t="s">
        <v>16231</v>
      </c>
      <c r="H7712" t="s">
        <v>47054</v>
      </c>
      <c r="I7712" t="s">
        <v>47544</v>
      </c>
      <c r="J7712" t="s">
        <v>47545</v>
      </c>
      <c r="K7712" t="s">
        <v>47113</v>
      </c>
      <c r="L7712">
        <v>21.74</v>
      </c>
      <c r="M7712">
        <v>94</v>
      </c>
      <c r="N7712">
        <v>0</v>
      </c>
      <c r="O7712">
        <v>94</v>
      </c>
      <c r="P7712">
        <v>0</v>
      </c>
    </row>
    <row r="7713" spans="1:16" x14ac:dyDescent="0.25">
      <c r="A7713" t="s">
        <v>30301</v>
      </c>
      <c r="B7713" t="s">
        <v>6351</v>
      </c>
      <c r="C7713" t="s">
        <v>6352</v>
      </c>
      <c r="D7713" t="s">
        <v>6285</v>
      </c>
      <c r="E7713" t="s">
        <v>6286</v>
      </c>
      <c r="F7713" t="s">
        <v>4</v>
      </c>
      <c r="G7713" t="s">
        <v>16231</v>
      </c>
      <c r="H7713" t="s">
        <v>47054</v>
      </c>
      <c r="I7713" t="s">
        <v>47111</v>
      </c>
      <c r="J7713" t="s">
        <v>47112</v>
      </c>
      <c r="K7713" t="s">
        <v>47113</v>
      </c>
      <c r="L7713">
        <v>59.51</v>
      </c>
      <c r="M7713">
        <v>138</v>
      </c>
      <c r="N7713">
        <v>0</v>
      </c>
      <c r="O7713">
        <v>138</v>
      </c>
      <c r="P7713">
        <v>0</v>
      </c>
    </row>
    <row r="7714" spans="1:16" x14ac:dyDescent="0.25">
      <c r="A7714" t="s">
        <v>30302</v>
      </c>
      <c r="B7714" t="s">
        <v>6353</v>
      </c>
      <c r="C7714" t="s">
        <v>3610</v>
      </c>
      <c r="D7714" t="s">
        <v>6289</v>
      </c>
      <c r="E7714" t="s">
        <v>6290</v>
      </c>
      <c r="F7714" t="s">
        <v>2068</v>
      </c>
      <c r="G7714" t="s">
        <v>16231</v>
      </c>
      <c r="H7714" t="s">
        <v>47054</v>
      </c>
      <c r="I7714" t="s">
        <v>47111</v>
      </c>
      <c r="J7714" t="s">
        <v>47112</v>
      </c>
      <c r="K7714" t="s">
        <v>47113</v>
      </c>
      <c r="L7714">
        <v>40.31</v>
      </c>
      <c r="M7714">
        <v>74</v>
      </c>
      <c r="N7714">
        <v>0</v>
      </c>
      <c r="O7714">
        <v>74</v>
      </c>
      <c r="P7714">
        <v>0</v>
      </c>
    </row>
    <row r="7715" spans="1:16" x14ac:dyDescent="0.25">
      <c r="A7715" t="s">
        <v>30303</v>
      </c>
      <c r="B7715" t="s">
        <v>6353</v>
      </c>
      <c r="C7715" t="s">
        <v>3610</v>
      </c>
      <c r="D7715" t="s">
        <v>311</v>
      </c>
      <c r="E7715" t="s">
        <v>3479</v>
      </c>
      <c r="F7715" t="s">
        <v>2068</v>
      </c>
      <c r="G7715" t="s">
        <v>16231</v>
      </c>
      <c r="H7715" t="s">
        <v>47054</v>
      </c>
      <c r="I7715" t="s">
        <v>47111</v>
      </c>
      <c r="J7715" t="s">
        <v>47112</v>
      </c>
      <c r="K7715" t="s">
        <v>47113</v>
      </c>
      <c r="L7715">
        <v>29.09</v>
      </c>
      <c r="M7715">
        <v>70</v>
      </c>
      <c r="N7715">
        <v>0</v>
      </c>
      <c r="O7715">
        <v>70</v>
      </c>
      <c r="P7715">
        <v>0</v>
      </c>
    </row>
    <row r="7716" spans="1:16" x14ac:dyDescent="0.25">
      <c r="A7716" t="s">
        <v>30304</v>
      </c>
      <c r="B7716" t="s">
        <v>6354</v>
      </c>
      <c r="C7716" t="s">
        <v>6355</v>
      </c>
      <c r="D7716" t="s">
        <v>6356</v>
      </c>
      <c r="E7716" t="s">
        <v>6357</v>
      </c>
      <c r="F7716" t="s">
        <v>3546</v>
      </c>
      <c r="G7716" t="s">
        <v>16231</v>
      </c>
      <c r="H7716" t="s">
        <v>47054</v>
      </c>
      <c r="I7716" t="s">
        <v>47111</v>
      </c>
      <c r="J7716" t="s">
        <v>47112</v>
      </c>
      <c r="K7716" t="s">
        <v>47113</v>
      </c>
      <c r="L7716">
        <v>40.200000000000003</v>
      </c>
      <c r="M7716">
        <v>99</v>
      </c>
      <c r="N7716">
        <v>0</v>
      </c>
      <c r="O7716">
        <v>99</v>
      </c>
      <c r="P7716">
        <v>0</v>
      </c>
    </row>
    <row r="7717" spans="1:16" x14ac:dyDescent="0.25">
      <c r="A7717" t="s">
        <v>30305</v>
      </c>
      <c r="B7717" t="s">
        <v>6358</v>
      </c>
      <c r="C7717" t="s">
        <v>6359</v>
      </c>
      <c r="D7717" t="s">
        <v>6333</v>
      </c>
      <c r="E7717" t="s">
        <v>6334</v>
      </c>
      <c r="F7717" t="s">
        <v>3546</v>
      </c>
      <c r="G7717" t="s">
        <v>16231</v>
      </c>
      <c r="H7717" t="s">
        <v>47054</v>
      </c>
      <c r="I7717" t="s">
        <v>47111</v>
      </c>
      <c r="J7717" t="s">
        <v>47112</v>
      </c>
      <c r="K7717" t="s">
        <v>47113</v>
      </c>
      <c r="L7717">
        <v>52.82</v>
      </c>
      <c r="M7717">
        <v>130</v>
      </c>
      <c r="N7717">
        <v>0</v>
      </c>
      <c r="O7717">
        <v>130</v>
      </c>
      <c r="P7717">
        <v>0</v>
      </c>
    </row>
    <row r="7718" spans="1:16" x14ac:dyDescent="0.25">
      <c r="A7718" t="s">
        <v>30306</v>
      </c>
      <c r="B7718" t="s">
        <v>14525</v>
      </c>
      <c r="C7718" t="s">
        <v>16922</v>
      </c>
      <c r="D7718" t="s">
        <v>6305</v>
      </c>
      <c r="E7718" t="s">
        <v>6306</v>
      </c>
      <c r="F7718" t="s">
        <v>3558</v>
      </c>
      <c r="G7718" t="s">
        <v>16231</v>
      </c>
      <c r="H7718" t="s">
        <v>47054</v>
      </c>
      <c r="I7718" t="s">
        <v>47111</v>
      </c>
      <c r="J7718" t="s">
        <v>47112</v>
      </c>
      <c r="K7718" t="s">
        <v>47113</v>
      </c>
      <c r="L7718">
        <v>45.88</v>
      </c>
      <c r="M7718">
        <v>111</v>
      </c>
      <c r="N7718">
        <v>0</v>
      </c>
      <c r="O7718">
        <v>111</v>
      </c>
      <c r="P7718">
        <v>0</v>
      </c>
    </row>
    <row r="7719" spans="1:16" x14ac:dyDescent="0.25">
      <c r="A7719" t="s">
        <v>30307</v>
      </c>
      <c r="B7719" t="s">
        <v>6360</v>
      </c>
      <c r="C7719" t="s">
        <v>6361</v>
      </c>
      <c r="D7719" t="s">
        <v>311</v>
      </c>
      <c r="E7719" t="s">
        <v>3479</v>
      </c>
      <c r="F7719" t="s">
        <v>5</v>
      </c>
      <c r="G7719" t="s">
        <v>16231</v>
      </c>
      <c r="H7719" t="s">
        <v>47054</v>
      </c>
      <c r="I7719" t="s">
        <v>47111</v>
      </c>
      <c r="J7719" t="s">
        <v>47112</v>
      </c>
      <c r="K7719" t="s">
        <v>47113</v>
      </c>
      <c r="L7719">
        <v>32.520000000000003</v>
      </c>
      <c r="M7719">
        <v>77</v>
      </c>
      <c r="N7719">
        <v>0</v>
      </c>
      <c r="O7719">
        <v>77</v>
      </c>
      <c r="P7719">
        <v>0</v>
      </c>
    </row>
    <row r="7720" spans="1:16" x14ac:dyDescent="0.25">
      <c r="A7720" t="s">
        <v>14956</v>
      </c>
      <c r="B7720" t="s">
        <v>6362</v>
      </c>
      <c r="C7720" t="s">
        <v>5253</v>
      </c>
      <c r="D7720" t="s">
        <v>2624</v>
      </c>
      <c r="E7720" t="s">
        <v>2625</v>
      </c>
      <c r="F7720" t="s">
        <v>296</v>
      </c>
      <c r="G7720" t="s">
        <v>16231</v>
      </c>
      <c r="H7720" t="s">
        <v>47054</v>
      </c>
      <c r="I7720" t="s">
        <v>47111</v>
      </c>
      <c r="J7720" t="s">
        <v>47112</v>
      </c>
      <c r="K7720" t="s">
        <v>47113</v>
      </c>
      <c r="L7720">
        <v>37.090000000000003</v>
      </c>
      <c r="M7720">
        <v>83</v>
      </c>
      <c r="N7720">
        <v>0</v>
      </c>
      <c r="O7720">
        <v>83</v>
      </c>
      <c r="P7720">
        <v>0</v>
      </c>
    </row>
    <row r="7721" spans="1:16" x14ac:dyDescent="0.25">
      <c r="A7721" t="s">
        <v>30308</v>
      </c>
      <c r="B7721" t="s">
        <v>6362</v>
      </c>
      <c r="C7721" t="s">
        <v>5253</v>
      </c>
      <c r="D7721" t="s">
        <v>657</v>
      </c>
      <c r="E7721" t="s">
        <v>658</v>
      </c>
      <c r="F7721" t="s">
        <v>296</v>
      </c>
      <c r="G7721" t="s">
        <v>16231</v>
      </c>
      <c r="H7721" t="s">
        <v>47054</v>
      </c>
      <c r="I7721" t="s">
        <v>47111</v>
      </c>
      <c r="J7721" t="s">
        <v>47112</v>
      </c>
      <c r="K7721" t="s">
        <v>47113</v>
      </c>
      <c r="L7721">
        <v>30.03</v>
      </c>
      <c r="M7721">
        <v>63</v>
      </c>
      <c r="N7721">
        <v>0</v>
      </c>
      <c r="O7721">
        <v>63</v>
      </c>
      <c r="P7721">
        <v>0</v>
      </c>
    </row>
    <row r="7722" spans="1:16" x14ac:dyDescent="0.25">
      <c r="A7722" t="s">
        <v>30309</v>
      </c>
      <c r="B7722" t="s">
        <v>6363</v>
      </c>
      <c r="C7722" t="s">
        <v>16923</v>
      </c>
      <c r="D7722" t="s">
        <v>311</v>
      </c>
      <c r="E7722" t="s">
        <v>3479</v>
      </c>
      <c r="F7722" t="s">
        <v>2068</v>
      </c>
      <c r="G7722" t="s">
        <v>16231</v>
      </c>
      <c r="H7722" t="s">
        <v>47054</v>
      </c>
      <c r="I7722" t="s">
        <v>47111</v>
      </c>
      <c r="J7722" t="s">
        <v>47112</v>
      </c>
      <c r="K7722" t="s">
        <v>47113</v>
      </c>
      <c r="L7722">
        <v>38.880000000000003</v>
      </c>
      <c r="M7722">
        <v>70</v>
      </c>
      <c r="N7722">
        <v>0</v>
      </c>
      <c r="O7722">
        <v>70</v>
      </c>
      <c r="P7722">
        <v>0</v>
      </c>
    </row>
    <row r="7723" spans="1:16" x14ac:dyDescent="0.25">
      <c r="A7723" t="s">
        <v>30310</v>
      </c>
      <c r="B7723" t="s">
        <v>6364</v>
      </c>
      <c r="C7723" t="s">
        <v>16924</v>
      </c>
      <c r="D7723" t="s">
        <v>6302</v>
      </c>
      <c r="E7723" t="s">
        <v>6303</v>
      </c>
      <c r="F7723" t="s">
        <v>3558</v>
      </c>
      <c r="G7723" t="s">
        <v>16231</v>
      </c>
      <c r="H7723" t="s">
        <v>47054</v>
      </c>
      <c r="I7723" t="s">
        <v>47111</v>
      </c>
      <c r="J7723" t="s">
        <v>47112</v>
      </c>
      <c r="K7723" t="s">
        <v>47113</v>
      </c>
      <c r="L7723">
        <v>54.81</v>
      </c>
      <c r="M7723">
        <v>148</v>
      </c>
      <c r="N7723">
        <v>0</v>
      </c>
      <c r="O7723">
        <v>148</v>
      </c>
      <c r="P7723">
        <v>0</v>
      </c>
    </row>
    <row r="7724" spans="1:16" x14ac:dyDescent="0.25">
      <c r="A7724" t="s">
        <v>30311</v>
      </c>
      <c r="B7724" t="s">
        <v>6365</v>
      </c>
      <c r="C7724" t="s">
        <v>6366</v>
      </c>
      <c r="D7724" t="s">
        <v>657</v>
      </c>
      <c r="E7724" t="s">
        <v>658</v>
      </c>
      <c r="F7724" t="s">
        <v>8</v>
      </c>
      <c r="G7724" t="s">
        <v>16231</v>
      </c>
      <c r="H7724" t="s">
        <v>47054</v>
      </c>
      <c r="I7724" t="s">
        <v>47111</v>
      </c>
      <c r="J7724" t="s">
        <v>47112</v>
      </c>
      <c r="K7724" t="s">
        <v>47113</v>
      </c>
      <c r="L7724">
        <v>27.59</v>
      </c>
      <c r="M7724">
        <v>85</v>
      </c>
      <c r="N7724">
        <v>0</v>
      </c>
      <c r="O7724">
        <v>85</v>
      </c>
      <c r="P7724">
        <v>0</v>
      </c>
    </row>
    <row r="7725" spans="1:16" x14ac:dyDescent="0.25">
      <c r="A7725" t="s">
        <v>30312</v>
      </c>
      <c r="B7725" t="s">
        <v>6365</v>
      </c>
      <c r="C7725" t="s">
        <v>6366</v>
      </c>
      <c r="D7725" t="s">
        <v>1688</v>
      </c>
      <c r="E7725" t="s">
        <v>1689</v>
      </c>
      <c r="F7725" t="s">
        <v>8</v>
      </c>
      <c r="G7725" t="s">
        <v>16231</v>
      </c>
      <c r="H7725" t="s">
        <v>47054</v>
      </c>
      <c r="I7725" t="s">
        <v>47111</v>
      </c>
      <c r="J7725" t="s">
        <v>47112</v>
      </c>
      <c r="K7725" t="s">
        <v>47113</v>
      </c>
      <c r="L7725">
        <v>32.299999999999997</v>
      </c>
      <c r="M7725">
        <v>97</v>
      </c>
      <c r="N7725">
        <v>0</v>
      </c>
      <c r="O7725">
        <v>97</v>
      </c>
      <c r="P7725">
        <v>0</v>
      </c>
    </row>
    <row r="7726" spans="1:16" x14ac:dyDescent="0.25">
      <c r="A7726" t="s">
        <v>30313</v>
      </c>
      <c r="B7726" t="s">
        <v>6367</v>
      </c>
      <c r="C7726" t="s">
        <v>6368</v>
      </c>
      <c r="D7726" t="s">
        <v>6289</v>
      </c>
      <c r="E7726" t="s">
        <v>6290</v>
      </c>
      <c r="F7726" t="s">
        <v>3670</v>
      </c>
      <c r="G7726" t="s">
        <v>16224</v>
      </c>
      <c r="H7726" t="s">
        <v>47054</v>
      </c>
      <c r="I7726" t="s">
        <v>47116</v>
      </c>
      <c r="J7726" t="s">
        <v>47117</v>
      </c>
      <c r="K7726" t="s">
        <v>47113</v>
      </c>
      <c r="L7726">
        <v>37.090000000000003</v>
      </c>
      <c r="M7726">
        <v>92</v>
      </c>
      <c r="N7726">
        <v>0</v>
      </c>
      <c r="O7726">
        <v>92</v>
      </c>
      <c r="P7726">
        <v>0</v>
      </c>
    </row>
    <row r="7727" spans="1:16" x14ac:dyDescent="0.25">
      <c r="A7727" t="s">
        <v>30314</v>
      </c>
      <c r="B7727" t="s">
        <v>6369</v>
      </c>
      <c r="C7727" t="s">
        <v>6370</v>
      </c>
      <c r="D7727" t="s">
        <v>1679</v>
      </c>
      <c r="E7727" t="s">
        <v>1680</v>
      </c>
      <c r="F7727" t="s">
        <v>7</v>
      </c>
      <c r="G7727" t="s">
        <v>16231</v>
      </c>
      <c r="H7727" t="s">
        <v>47054</v>
      </c>
      <c r="I7727" t="s">
        <v>47111</v>
      </c>
      <c r="J7727" t="s">
        <v>47112</v>
      </c>
      <c r="K7727" t="s">
        <v>47113</v>
      </c>
      <c r="L7727">
        <v>38.119999999999997</v>
      </c>
      <c r="M7727">
        <v>98</v>
      </c>
      <c r="N7727">
        <v>0</v>
      </c>
      <c r="O7727">
        <v>98</v>
      </c>
      <c r="P7727">
        <v>0</v>
      </c>
    </row>
    <row r="7728" spans="1:16" x14ac:dyDescent="0.25">
      <c r="A7728" t="s">
        <v>30315</v>
      </c>
      <c r="B7728" t="s">
        <v>6369</v>
      </c>
      <c r="C7728" t="s">
        <v>6370</v>
      </c>
      <c r="D7728" t="s">
        <v>3405</v>
      </c>
      <c r="E7728" t="s">
        <v>3406</v>
      </c>
      <c r="F7728" t="s">
        <v>7</v>
      </c>
      <c r="G7728" t="s">
        <v>16231</v>
      </c>
      <c r="H7728" t="s">
        <v>47054</v>
      </c>
      <c r="I7728" t="s">
        <v>47111</v>
      </c>
      <c r="J7728" t="s">
        <v>47112</v>
      </c>
      <c r="K7728" t="s">
        <v>47113</v>
      </c>
      <c r="L7728">
        <v>30.79</v>
      </c>
      <c r="M7728">
        <v>74</v>
      </c>
      <c r="N7728">
        <v>0</v>
      </c>
      <c r="O7728">
        <v>74</v>
      </c>
      <c r="P7728">
        <v>0</v>
      </c>
    </row>
    <row r="7729" spans="1:16" x14ac:dyDescent="0.25">
      <c r="A7729" t="s">
        <v>30316</v>
      </c>
      <c r="B7729" t="s">
        <v>6371</v>
      </c>
      <c r="C7729" t="s">
        <v>6372</v>
      </c>
      <c r="D7729" t="s">
        <v>311</v>
      </c>
      <c r="E7729" t="s">
        <v>3479</v>
      </c>
      <c r="F7729" t="s">
        <v>5</v>
      </c>
      <c r="G7729" t="s">
        <v>16231</v>
      </c>
      <c r="H7729" t="s">
        <v>47054</v>
      </c>
      <c r="I7729" t="s">
        <v>47111</v>
      </c>
      <c r="J7729" t="s">
        <v>47112</v>
      </c>
      <c r="K7729" t="s">
        <v>47113</v>
      </c>
      <c r="L7729">
        <v>32.520000000000003</v>
      </c>
      <c r="M7729">
        <v>77</v>
      </c>
      <c r="N7729">
        <v>0</v>
      </c>
      <c r="O7729">
        <v>77</v>
      </c>
      <c r="P7729">
        <v>0</v>
      </c>
    </row>
    <row r="7730" spans="1:16" x14ac:dyDescent="0.25">
      <c r="A7730" t="s">
        <v>30317</v>
      </c>
      <c r="B7730" t="s">
        <v>6373</v>
      </c>
      <c r="C7730" t="s">
        <v>6374</v>
      </c>
      <c r="D7730" t="s">
        <v>6289</v>
      </c>
      <c r="E7730" t="s">
        <v>6290</v>
      </c>
      <c r="F7730" t="s">
        <v>2068</v>
      </c>
      <c r="G7730" t="s">
        <v>16224</v>
      </c>
      <c r="H7730" t="s">
        <v>47054</v>
      </c>
      <c r="I7730" t="s">
        <v>47116</v>
      </c>
      <c r="J7730" t="s">
        <v>47117</v>
      </c>
      <c r="K7730" t="s">
        <v>47113</v>
      </c>
      <c r="L7730">
        <v>35.78</v>
      </c>
      <c r="M7730">
        <v>81</v>
      </c>
      <c r="N7730">
        <v>0</v>
      </c>
      <c r="O7730">
        <v>81</v>
      </c>
      <c r="P7730">
        <v>0</v>
      </c>
    </row>
    <row r="7731" spans="1:16" x14ac:dyDescent="0.25">
      <c r="A7731" t="s">
        <v>30318</v>
      </c>
      <c r="B7731" t="s">
        <v>6373</v>
      </c>
      <c r="C7731" t="s">
        <v>6374</v>
      </c>
      <c r="D7731" t="s">
        <v>311</v>
      </c>
      <c r="E7731" t="s">
        <v>3479</v>
      </c>
      <c r="F7731" t="s">
        <v>5</v>
      </c>
      <c r="G7731" t="s">
        <v>16224</v>
      </c>
      <c r="H7731" t="s">
        <v>47054</v>
      </c>
      <c r="I7731" t="s">
        <v>47116</v>
      </c>
      <c r="J7731" t="s">
        <v>47117</v>
      </c>
      <c r="K7731" t="s">
        <v>47113</v>
      </c>
      <c r="L7731">
        <v>31.98</v>
      </c>
      <c r="M7731">
        <v>77</v>
      </c>
      <c r="N7731">
        <v>0</v>
      </c>
      <c r="O7731">
        <v>77</v>
      </c>
      <c r="P7731">
        <v>0</v>
      </c>
    </row>
    <row r="7732" spans="1:16" x14ac:dyDescent="0.25">
      <c r="A7732" t="s">
        <v>30319</v>
      </c>
      <c r="B7732" t="s">
        <v>20051</v>
      </c>
      <c r="C7732" t="s">
        <v>20052</v>
      </c>
      <c r="D7732" t="str">
        <f>"1106"</f>
        <v>1106</v>
      </c>
      <c r="E7732" t="s">
        <v>460</v>
      </c>
      <c r="F7732" t="s">
        <v>20053</v>
      </c>
      <c r="G7732" t="s">
        <v>16235</v>
      </c>
      <c r="H7732" t="s">
        <v>47054</v>
      </c>
      <c r="I7732" t="s">
        <v>47569</v>
      </c>
      <c r="J7732" t="s">
        <v>47570</v>
      </c>
      <c r="K7732" t="s">
        <v>47113</v>
      </c>
      <c r="L7732">
        <v>28.66</v>
      </c>
      <c r="M7732">
        <v>62</v>
      </c>
      <c r="N7732">
        <v>0</v>
      </c>
      <c r="O7732">
        <v>62</v>
      </c>
      <c r="P7732">
        <v>0</v>
      </c>
    </row>
    <row r="7733" spans="1:16" x14ac:dyDescent="0.25">
      <c r="A7733" t="s">
        <v>30320</v>
      </c>
      <c r="B7733" t="s">
        <v>20051</v>
      </c>
      <c r="C7733" t="s">
        <v>20052</v>
      </c>
      <c r="D7733" t="str">
        <f>"1501"</f>
        <v>1501</v>
      </c>
      <c r="E7733" t="s">
        <v>46</v>
      </c>
      <c r="F7733" t="s">
        <v>20053</v>
      </c>
      <c r="G7733" t="s">
        <v>16235</v>
      </c>
      <c r="H7733" t="s">
        <v>47054</v>
      </c>
      <c r="I7733" t="s">
        <v>47569</v>
      </c>
      <c r="J7733" t="s">
        <v>47570</v>
      </c>
      <c r="K7733" t="s">
        <v>47113</v>
      </c>
      <c r="L7733">
        <v>28.66</v>
      </c>
      <c r="M7733">
        <v>62</v>
      </c>
      <c r="N7733">
        <v>0</v>
      </c>
      <c r="O7733">
        <v>62</v>
      </c>
      <c r="P7733">
        <v>0</v>
      </c>
    </row>
    <row r="7734" spans="1:16" x14ac:dyDescent="0.25">
      <c r="A7734" t="s">
        <v>30321</v>
      </c>
      <c r="B7734" t="s">
        <v>20051</v>
      </c>
      <c r="C7734" t="s">
        <v>20052</v>
      </c>
      <c r="D7734" t="str">
        <f>"4002"</f>
        <v>4002</v>
      </c>
      <c r="E7734" t="s">
        <v>710</v>
      </c>
      <c r="F7734" t="s">
        <v>20053</v>
      </c>
      <c r="G7734" t="s">
        <v>16235</v>
      </c>
      <c r="H7734" t="s">
        <v>47054</v>
      </c>
      <c r="I7734" t="s">
        <v>47569</v>
      </c>
      <c r="J7734" t="s">
        <v>47570</v>
      </c>
      <c r="K7734" t="s">
        <v>47113</v>
      </c>
      <c r="L7734">
        <v>28.66</v>
      </c>
      <c r="M7734">
        <v>62</v>
      </c>
      <c r="N7734">
        <v>0</v>
      </c>
      <c r="O7734">
        <v>62</v>
      </c>
      <c r="P7734">
        <v>0</v>
      </c>
    </row>
    <row r="7735" spans="1:16" x14ac:dyDescent="0.25">
      <c r="A7735" t="s">
        <v>30322</v>
      </c>
      <c r="B7735" t="s">
        <v>20051</v>
      </c>
      <c r="C7735" t="s">
        <v>20052</v>
      </c>
      <c r="D7735" t="str">
        <f>"6000"</f>
        <v>6000</v>
      </c>
      <c r="E7735" t="s">
        <v>6279</v>
      </c>
      <c r="F7735" t="s">
        <v>20053</v>
      </c>
      <c r="G7735" t="s">
        <v>16235</v>
      </c>
      <c r="H7735" t="s">
        <v>47054</v>
      </c>
      <c r="I7735" t="s">
        <v>47569</v>
      </c>
      <c r="J7735" t="s">
        <v>47570</v>
      </c>
      <c r="K7735" t="s">
        <v>47113</v>
      </c>
      <c r="L7735">
        <v>28.66</v>
      </c>
      <c r="M7735">
        <v>62</v>
      </c>
      <c r="N7735">
        <v>0</v>
      </c>
      <c r="O7735">
        <v>62</v>
      </c>
      <c r="P7735">
        <v>0</v>
      </c>
    </row>
    <row r="7736" spans="1:16" x14ac:dyDescent="0.25">
      <c r="A7736" t="s">
        <v>30323</v>
      </c>
      <c r="B7736" t="s">
        <v>20054</v>
      </c>
      <c r="C7736" t="s">
        <v>20052</v>
      </c>
      <c r="D7736" t="str">
        <f>"1501"</f>
        <v>1501</v>
      </c>
      <c r="E7736" t="s">
        <v>46</v>
      </c>
      <c r="F7736" t="s">
        <v>16730</v>
      </c>
      <c r="G7736" t="s">
        <v>16235</v>
      </c>
      <c r="H7736" t="s">
        <v>47054</v>
      </c>
      <c r="I7736" t="s">
        <v>47569</v>
      </c>
      <c r="J7736" t="s">
        <v>47570</v>
      </c>
      <c r="K7736" t="s">
        <v>47113</v>
      </c>
      <c r="L7736">
        <v>28.66</v>
      </c>
      <c r="M7736">
        <v>62</v>
      </c>
      <c r="N7736">
        <v>0</v>
      </c>
      <c r="O7736">
        <v>62</v>
      </c>
      <c r="P7736">
        <v>0</v>
      </c>
    </row>
    <row r="7737" spans="1:16" x14ac:dyDescent="0.25">
      <c r="A7737" t="s">
        <v>30324</v>
      </c>
      <c r="B7737" t="s">
        <v>16289</v>
      </c>
      <c r="C7737" t="s">
        <v>15344</v>
      </c>
      <c r="D7737" t="str">
        <f>"1106"</f>
        <v>1106</v>
      </c>
      <c r="E7737" t="s">
        <v>460</v>
      </c>
      <c r="F7737" t="s">
        <v>15183</v>
      </c>
      <c r="G7737" t="s">
        <v>16235</v>
      </c>
      <c r="H7737" t="s">
        <v>47054</v>
      </c>
      <c r="I7737" t="s">
        <v>47118</v>
      </c>
      <c r="J7737" t="s">
        <v>47119</v>
      </c>
      <c r="K7737" t="s">
        <v>47113</v>
      </c>
      <c r="L7737">
        <v>27.53</v>
      </c>
      <c r="M7737">
        <v>66</v>
      </c>
      <c r="N7737">
        <v>0</v>
      </c>
      <c r="O7737">
        <v>66</v>
      </c>
      <c r="P7737">
        <v>0</v>
      </c>
    </row>
    <row r="7738" spans="1:16" x14ac:dyDescent="0.25">
      <c r="A7738" t="s">
        <v>30325</v>
      </c>
      <c r="B7738" t="s">
        <v>16289</v>
      </c>
      <c r="C7738" t="s">
        <v>15344</v>
      </c>
      <c r="D7738" t="str">
        <f>"5000"</f>
        <v>5000</v>
      </c>
      <c r="E7738" t="s">
        <v>15366</v>
      </c>
      <c r="F7738" t="s">
        <v>15183</v>
      </c>
      <c r="G7738" t="s">
        <v>16235</v>
      </c>
      <c r="H7738" t="s">
        <v>47054</v>
      </c>
      <c r="I7738" t="s">
        <v>47118</v>
      </c>
      <c r="J7738" t="s">
        <v>47119</v>
      </c>
      <c r="K7738" t="s">
        <v>47113</v>
      </c>
      <c r="L7738">
        <v>27.53</v>
      </c>
      <c r="M7738">
        <v>66</v>
      </c>
      <c r="N7738">
        <v>0</v>
      </c>
      <c r="O7738">
        <v>66</v>
      </c>
      <c r="P7738">
        <v>0</v>
      </c>
    </row>
    <row r="7739" spans="1:16" x14ac:dyDescent="0.25">
      <c r="A7739" t="s">
        <v>30326</v>
      </c>
      <c r="B7739" t="s">
        <v>15343</v>
      </c>
      <c r="C7739" t="s">
        <v>15344</v>
      </c>
      <c r="D7739" t="str">
        <f>"4100"</f>
        <v>4100</v>
      </c>
      <c r="E7739" t="s">
        <v>15303</v>
      </c>
      <c r="F7739" t="s">
        <v>15183</v>
      </c>
      <c r="G7739" t="s">
        <v>16235</v>
      </c>
      <c r="H7739" t="s">
        <v>47054</v>
      </c>
      <c r="I7739" t="s">
        <v>47118</v>
      </c>
      <c r="J7739" t="s">
        <v>47119</v>
      </c>
      <c r="K7739" t="s">
        <v>47113</v>
      </c>
      <c r="L7739">
        <v>27.53</v>
      </c>
      <c r="M7739">
        <v>59</v>
      </c>
      <c r="N7739">
        <v>0</v>
      </c>
      <c r="O7739">
        <v>59</v>
      </c>
      <c r="P7739">
        <v>0</v>
      </c>
    </row>
    <row r="7740" spans="1:16" x14ac:dyDescent="0.25">
      <c r="A7740" t="s">
        <v>30327</v>
      </c>
      <c r="B7740" t="s">
        <v>16925</v>
      </c>
      <c r="C7740" t="s">
        <v>15344</v>
      </c>
      <c r="D7740" t="str">
        <f>"1501"</f>
        <v>1501</v>
      </c>
      <c r="E7740" t="s">
        <v>16926</v>
      </c>
      <c r="F7740" t="s">
        <v>16623</v>
      </c>
      <c r="G7740" t="s">
        <v>16235</v>
      </c>
      <c r="H7740" t="s">
        <v>47054</v>
      </c>
      <c r="I7740" t="s">
        <v>47118</v>
      </c>
      <c r="J7740" t="s">
        <v>47119</v>
      </c>
      <c r="K7740" t="s">
        <v>47113</v>
      </c>
      <c r="L7740">
        <v>28.67</v>
      </c>
      <c r="M7740">
        <v>55</v>
      </c>
      <c r="N7740">
        <v>0</v>
      </c>
      <c r="O7740">
        <v>55</v>
      </c>
      <c r="P7740">
        <v>0</v>
      </c>
    </row>
    <row r="7741" spans="1:16" x14ac:dyDescent="0.25">
      <c r="A7741" t="s">
        <v>30328</v>
      </c>
      <c r="B7741" t="s">
        <v>20055</v>
      </c>
      <c r="C7741" t="s">
        <v>15344</v>
      </c>
      <c r="D7741" t="str">
        <f>"1427"</f>
        <v>1427</v>
      </c>
      <c r="E7741" t="s">
        <v>20056</v>
      </c>
      <c r="F7741" t="s">
        <v>19847</v>
      </c>
      <c r="G7741" t="s">
        <v>16235</v>
      </c>
      <c r="H7741" t="s">
        <v>47054</v>
      </c>
      <c r="I7741" t="s">
        <v>47118</v>
      </c>
      <c r="J7741" t="s">
        <v>47119</v>
      </c>
      <c r="K7741" t="s">
        <v>47113</v>
      </c>
      <c r="L7741">
        <v>29.23</v>
      </c>
      <c r="M7741">
        <v>66</v>
      </c>
      <c r="N7741">
        <v>0</v>
      </c>
      <c r="O7741">
        <v>66</v>
      </c>
      <c r="P7741">
        <v>0</v>
      </c>
    </row>
    <row r="7742" spans="1:16" x14ac:dyDescent="0.25">
      <c r="A7742" t="s">
        <v>30329</v>
      </c>
      <c r="B7742" t="s">
        <v>16927</v>
      </c>
      <c r="C7742" t="s">
        <v>15344</v>
      </c>
      <c r="D7742" t="str">
        <f>"1106"</f>
        <v>1106</v>
      </c>
      <c r="E7742" t="s">
        <v>16928</v>
      </c>
      <c r="F7742" t="s">
        <v>16839</v>
      </c>
      <c r="G7742" t="s">
        <v>16235</v>
      </c>
      <c r="H7742" t="s">
        <v>47054</v>
      </c>
      <c r="I7742" t="s">
        <v>47118</v>
      </c>
      <c r="J7742" t="s">
        <v>47119</v>
      </c>
      <c r="K7742" t="s">
        <v>47113</v>
      </c>
      <c r="L7742">
        <v>32.96</v>
      </c>
      <c r="M7742">
        <v>66</v>
      </c>
      <c r="N7742">
        <v>0</v>
      </c>
      <c r="O7742">
        <v>66</v>
      </c>
      <c r="P7742">
        <v>0</v>
      </c>
    </row>
    <row r="7743" spans="1:16" x14ac:dyDescent="0.25">
      <c r="A7743" t="s">
        <v>30330</v>
      </c>
      <c r="B7743" t="s">
        <v>16927</v>
      </c>
      <c r="C7743" t="s">
        <v>15344</v>
      </c>
      <c r="D7743" t="str">
        <f>"1501"</f>
        <v>1501</v>
      </c>
      <c r="E7743" t="s">
        <v>16926</v>
      </c>
      <c r="F7743" t="s">
        <v>16810</v>
      </c>
      <c r="G7743" t="s">
        <v>16235</v>
      </c>
      <c r="H7743" t="s">
        <v>47054</v>
      </c>
      <c r="I7743" t="s">
        <v>47118</v>
      </c>
      <c r="J7743" t="s">
        <v>47119</v>
      </c>
      <c r="K7743" t="s">
        <v>47113</v>
      </c>
      <c r="L7743">
        <v>27.35</v>
      </c>
      <c r="M7743">
        <v>55</v>
      </c>
      <c r="N7743">
        <v>0</v>
      </c>
      <c r="O7743">
        <v>55</v>
      </c>
      <c r="P7743">
        <v>0</v>
      </c>
    </row>
    <row r="7744" spans="1:16" x14ac:dyDescent="0.25">
      <c r="A7744" t="s">
        <v>30331</v>
      </c>
      <c r="B7744" t="s">
        <v>16927</v>
      </c>
      <c r="C7744" t="s">
        <v>15344</v>
      </c>
      <c r="D7744" t="str">
        <f>"6059"</f>
        <v>6059</v>
      </c>
      <c r="E7744" t="s">
        <v>16929</v>
      </c>
      <c r="F7744" t="s">
        <v>16839</v>
      </c>
      <c r="G7744" t="s">
        <v>16235</v>
      </c>
      <c r="H7744" t="s">
        <v>47054</v>
      </c>
      <c r="I7744" t="s">
        <v>47118</v>
      </c>
      <c r="J7744" t="s">
        <v>47119</v>
      </c>
      <c r="K7744" t="s">
        <v>47113</v>
      </c>
      <c r="L7744">
        <v>27.35</v>
      </c>
      <c r="M7744">
        <v>55</v>
      </c>
      <c r="N7744">
        <v>0</v>
      </c>
      <c r="O7744">
        <v>55</v>
      </c>
      <c r="P7744">
        <v>0</v>
      </c>
    </row>
    <row r="7745" spans="1:16" x14ac:dyDescent="0.25">
      <c r="A7745" t="s">
        <v>30332</v>
      </c>
      <c r="B7745" t="s">
        <v>16930</v>
      </c>
      <c r="C7745" t="s">
        <v>15344</v>
      </c>
      <c r="D7745" t="str">
        <f>"1501"</f>
        <v>1501</v>
      </c>
      <c r="E7745" t="s">
        <v>16926</v>
      </c>
      <c r="F7745" t="s">
        <v>16810</v>
      </c>
      <c r="G7745" t="s">
        <v>16235</v>
      </c>
      <c r="H7745" t="s">
        <v>47054</v>
      </c>
      <c r="I7745" t="s">
        <v>47118</v>
      </c>
      <c r="J7745" t="s">
        <v>47119</v>
      </c>
      <c r="K7745" t="s">
        <v>47113</v>
      </c>
      <c r="L7745">
        <v>27.35</v>
      </c>
      <c r="M7745">
        <v>55</v>
      </c>
      <c r="N7745">
        <v>0</v>
      </c>
      <c r="O7745">
        <v>55</v>
      </c>
      <c r="P7745">
        <v>0</v>
      </c>
    </row>
    <row r="7746" spans="1:16" x14ac:dyDescent="0.25">
      <c r="A7746" t="s">
        <v>30333</v>
      </c>
      <c r="B7746" t="s">
        <v>16931</v>
      </c>
      <c r="C7746" t="s">
        <v>16932</v>
      </c>
      <c r="D7746" t="str">
        <f>"1501"</f>
        <v>1501</v>
      </c>
      <c r="E7746" t="s">
        <v>20057</v>
      </c>
      <c r="F7746" t="s">
        <v>16933</v>
      </c>
      <c r="G7746" t="s">
        <v>16235</v>
      </c>
      <c r="H7746" t="s">
        <v>47054</v>
      </c>
      <c r="I7746" t="s">
        <v>47569</v>
      </c>
      <c r="J7746" t="s">
        <v>47570</v>
      </c>
      <c r="K7746" t="s">
        <v>47113</v>
      </c>
      <c r="L7746">
        <v>27.35</v>
      </c>
      <c r="M7746">
        <v>55</v>
      </c>
      <c r="N7746">
        <v>0</v>
      </c>
      <c r="O7746">
        <v>55</v>
      </c>
      <c r="P7746">
        <v>0</v>
      </c>
    </row>
    <row r="7747" spans="1:16" x14ac:dyDescent="0.25">
      <c r="A7747" t="s">
        <v>22743</v>
      </c>
      <c r="B7747" t="s">
        <v>22744</v>
      </c>
      <c r="C7747" t="s">
        <v>22745</v>
      </c>
      <c r="D7747" t="str">
        <f>"1106"</f>
        <v>1106</v>
      </c>
      <c r="E7747" t="s">
        <v>460</v>
      </c>
      <c r="F7747" t="s">
        <v>20053</v>
      </c>
      <c r="G7747" t="s">
        <v>16222</v>
      </c>
      <c r="H7747" t="s">
        <v>47054</v>
      </c>
      <c r="I7747" t="s">
        <v>47569</v>
      </c>
      <c r="J7747" t="s">
        <v>47570</v>
      </c>
      <c r="K7747" t="s">
        <v>47113</v>
      </c>
      <c r="L7747">
        <v>20.46</v>
      </c>
      <c r="M7747">
        <v>48</v>
      </c>
      <c r="N7747">
        <v>0</v>
      </c>
      <c r="O7747">
        <v>48</v>
      </c>
      <c r="P7747">
        <v>0</v>
      </c>
    </row>
    <row r="7748" spans="1:16" x14ac:dyDescent="0.25">
      <c r="A7748" t="s">
        <v>22746</v>
      </c>
      <c r="B7748" t="s">
        <v>22747</v>
      </c>
      <c r="C7748" t="s">
        <v>22745</v>
      </c>
      <c r="D7748" t="str">
        <f>"1501"</f>
        <v>1501</v>
      </c>
      <c r="E7748" t="s">
        <v>46</v>
      </c>
      <c r="F7748" t="s">
        <v>20053</v>
      </c>
      <c r="G7748" t="s">
        <v>16222</v>
      </c>
      <c r="H7748" t="s">
        <v>47054</v>
      </c>
      <c r="I7748" t="s">
        <v>47569</v>
      </c>
      <c r="J7748" t="s">
        <v>47570</v>
      </c>
      <c r="K7748" t="s">
        <v>47113</v>
      </c>
      <c r="L7748">
        <v>20.46</v>
      </c>
      <c r="M7748">
        <v>48</v>
      </c>
      <c r="N7748">
        <v>0</v>
      </c>
      <c r="O7748">
        <v>48</v>
      </c>
      <c r="P7748">
        <v>0</v>
      </c>
    </row>
    <row r="7749" spans="1:16" x14ac:dyDescent="0.25">
      <c r="A7749" t="s">
        <v>30334</v>
      </c>
      <c r="B7749" t="s">
        <v>16934</v>
      </c>
      <c r="C7749" t="s">
        <v>14466</v>
      </c>
      <c r="D7749" t="str">
        <f>"1106"</f>
        <v>1106</v>
      </c>
      <c r="E7749" t="s">
        <v>460</v>
      </c>
      <c r="F7749" t="s">
        <v>16771</v>
      </c>
      <c r="G7749" t="s">
        <v>16222</v>
      </c>
      <c r="H7749" t="s">
        <v>47054</v>
      </c>
      <c r="I7749" t="s">
        <v>47569</v>
      </c>
      <c r="J7749" t="s">
        <v>47570</v>
      </c>
      <c r="K7749" t="s">
        <v>47113</v>
      </c>
      <c r="L7749">
        <v>28.52</v>
      </c>
      <c r="M7749">
        <v>55</v>
      </c>
      <c r="N7749">
        <v>0</v>
      </c>
      <c r="O7749">
        <v>55</v>
      </c>
      <c r="P7749">
        <v>0</v>
      </c>
    </row>
    <row r="7750" spans="1:16" x14ac:dyDescent="0.25">
      <c r="A7750" t="s">
        <v>30335</v>
      </c>
      <c r="B7750" t="s">
        <v>15345</v>
      </c>
      <c r="C7750" t="s">
        <v>16935</v>
      </c>
      <c r="D7750" t="str">
        <f>"1106"</f>
        <v>1106</v>
      </c>
      <c r="E7750" t="s">
        <v>460</v>
      </c>
      <c r="F7750" t="s">
        <v>15183</v>
      </c>
      <c r="G7750" t="s">
        <v>16222</v>
      </c>
      <c r="H7750" t="s">
        <v>47054</v>
      </c>
      <c r="I7750" t="s">
        <v>47118</v>
      </c>
      <c r="J7750" t="s">
        <v>47119</v>
      </c>
      <c r="K7750" t="s">
        <v>47113</v>
      </c>
      <c r="L7750">
        <v>27.21</v>
      </c>
      <c r="M7750">
        <v>59</v>
      </c>
      <c r="N7750">
        <v>0</v>
      </c>
      <c r="O7750">
        <v>59</v>
      </c>
      <c r="P7750">
        <v>0</v>
      </c>
    </row>
    <row r="7751" spans="1:16" x14ac:dyDescent="0.25">
      <c r="A7751" t="s">
        <v>30336</v>
      </c>
      <c r="B7751" t="s">
        <v>15345</v>
      </c>
      <c r="C7751" t="s">
        <v>16935</v>
      </c>
      <c r="D7751" t="str">
        <f>"6003"</f>
        <v>6003</v>
      </c>
      <c r="E7751" t="s">
        <v>15346</v>
      </c>
      <c r="F7751" t="s">
        <v>15183</v>
      </c>
      <c r="G7751" t="s">
        <v>16222</v>
      </c>
      <c r="H7751" t="s">
        <v>47054</v>
      </c>
      <c r="I7751" t="s">
        <v>47118</v>
      </c>
      <c r="J7751" t="s">
        <v>47119</v>
      </c>
      <c r="K7751" t="s">
        <v>47113</v>
      </c>
      <c r="L7751">
        <v>27.21</v>
      </c>
      <c r="M7751">
        <v>59</v>
      </c>
      <c r="N7751">
        <v>0</v>
      </c>
      <c r="O7751">
        <v>59</v>
      </c>
      <c r="P7751">
        <v>0</v>
      </c>
    </row>
    <row r="7752" spans="1:16" x14ac:dyDescent="0.25">
      <c r="A7752" t="s">
        <v>16936</v>
      </c>
      <c r="B7752" t="s">
        <v>15347</v>
      </c>
      <c r="C7752" t="s">
        <v>14466</v>
      </c>
      <c r="D7752" t="str">
        <f>"4100"</f>
        <v>4100</v>
      </c>
      <c r="E7752" t="s">
        <v>15303</v>
      </c>
      <c r="F7752" t="s">
        <v>15183</v>
      </c>
      <c r="G7752" t="s">
        <v>16222</v>
      </c>
      <c r="H7752" t="s">
        <v>47054</v>
      </c>
      <c r="I7752" t="s">
        <v>47118</v>
      </c>
      <c r="J7752" t="s">
        <v>47119</v>
      </c>
      <c r="K7752" t="s">
        <v>47113</v>
      </c>
      <c r="L7752">
        <v>20.57</v>
      </c>
      <c r="M7752">
        <v>59</v>
      </c>
      <c r="N7752">
        <v>0</v>
      </c>
      <c r="O7752">
        <v>59</v>
      </c>
      <c r="P7752">
        <v>0</v>
      </c>
    </row>
    <row r="7753" spans="1:16" x14ac:dyDescent="0.25">
      <c r="A7753" t="s">
        <v>30337</v>
      </c>
      <c r="B7753" t="s">
        <v>20058</v>
      </c>
      <c r="C7753" t="s">
        <v>14466</v>
      </c>
      <c r="D7753" t="str">
        <f>"1427"</f>
        <v>1427</v>
      </c>
      <c r="E7753" t="s">
        <v>20056</v>
      </c>
      <c r="F7753" t="s">
        <v>19847</v>
      </c>
      <c r="G7753" t="s">
        <v>16222</v>
      </c>
      <c r="H7753" t="s">
        <v>47054</v>
      </c>
      <c r="I7753" t="s">
        <v>47118</v>
      </c>
      <c r="J7753" t="s">
        <v>47119</v>
      </c>
      <c r="K7753" t="s">
        <v>47113</v>
      </c>
      <c r="L7753">
        <v>24.27</v>
      </c>
      <c r="M7753">
        <v>55</v>
      </c>
      <c r="N7753">
        <v>0</v>
      </c>
      <c r="O7753">
        <v>55</v>
      </c>
      <c r="P7753">
        <v>0</v>
      </c>
    </row>
    <row r="7754" spans="1:16" x14ac:dyDescent="0.25">
      <c r="A7754" t="s">
        <v>30338</v>
      </c>
      <c r="B7754" t="s">
        <v>16937</v>
      </c>
      <c r="C7754" t="s">
        <v>14466</v>
      </c>
      <c r="D7754" t="str">
        <f>"1106"</f>
        <v>1106</v>
      </c>
      <c r="E7754" t="s">
        <v>16928</v>
      </c>
      <c r="F7754" t="s">
        <v>16839</v>
      </c>
      <c r="G7754" t="s">
        <v>16222</v>
      </c>
      <c r="H7754" t="s">
        <v>47054</v>
      </c>
      <c r="I7754" t="s">
        <v>47118</v>
      </c>
      <c r="J7754" t="s">
        <v>47119</v>
      </c>
      <c r="K7754" t="s">
        <v>47113</v>
      </c>
      <c r="L7754">
        <v>27.44</v>
      </c>
      <c r="M7754">
        <v>55</v>
      </c>
      <c r="N7754">
        <v>0</v>
      </c>
      <c r="O7754">
        <v>55</v>
      </c>
      <c r="P7754">
        <v>0</v>
      </c>
    </row>
    <row r="7755" spans="1:16" x14ac:dyDescent="0.25">
      <c r="A7755" t="s">
        <v>30339</v>
      </c>
      <c r="B7755" t="s">
        <v>16937</v>
      </c>
      <c r="C7755" t="s">
        <v>14466</v>
      </c>
      <c r="D7755" t="str">
        <f>"1501"</f>
        <v>1501</v>
      </c>
      <c r="E7755" t="s">
        <v>16926</v>
      </c>
      <c r="F7755" t="s">
        <v>16810</v>
      </c>
      <c r="G7755" t="s">
        <v>16222</v>
      </c>
      <c r="H7755" t="s">
        <v>47054</v>
      </c>
      <c r="I7755" t="s">
        <v>47118</v>
      </c>
      <c r="J7755" t="s">
        <v>47119</v>
      </c>
      <c r="K7755" t="s">
        <v>47113</v>
      </c>
      <c r="L7755">
        <v>23.86</v>
      </c>
      <c r="M7755">
        <v>48</v>
      </c>
      <c r="N7755">
        <v>0</v>
      </c>
      <c r="O7755">
        <v>48</v>
      </c>
      <c r="P7755">
        <v>0</v>
      </c>
    </row>
    <row r="7756" spans="1:16" x14ac:dyDescent="0.25">
      <c r="A7756" t="s">
        <v>30340</v>
      </c>
      <c r="B7756" t="s">
        <v>16937</v>
      </c>
      <c r="C7756" t="s">
        <v>14466</v>
      </c>
      <c r="D7756" t="str">
        <f>"6000"</f>
        <v>6000</v>
      </c>
      <c r="E7756" t="s">
        <v>16929</v>
      </c>
      <c r="F7756" t="s">
        <v>16839</v>
      </c>
      <c r="G7756" t="s">
        <v>16222</v>
      </c>
      <c r="H7756" t="s">
        <v>47054</v>
      </c>
      <c r="I7756" t="s">
        <v>47118</v>
      </c>
      <c r="J7756" t="s">
        <v>47119</v>
      </c>
      <c r="K7756" t="s">
        <v>47113</v>
      </c>
      <c r="L7756">
        <v>23.86</v>
      </c>
      <c r="M7756">
        <v>48</v>
      </c>
      <c r="N7756">
        <v>0</v>
      </c>
      <c r="O7756">
        <v>48</v>
      </c>
      <c r="P7756">
        <v>0</v>
      </c>
    </row>
    <row r="7757" spans="1:16" x14ac:dyDescent="0.25">
      <c r="A7757" t="s">
        <v>16938</v>
      </c>
      <c r="B7757" t="s">
        <v>15348</v>
      </c>
      <c r="C7757" t="s">
        <v>16939</v>
      </c>
      <c r="D7757" t="str">
        <f>"1254"</f>
        <v>1254</v>
      </c>
      <c r="E7757" t="s">
        <v>6117</v>
      </c>
      <c r="F7757" t="s">
        <v>15183</v>
      </c>
      <c r="G7757" t="s">
        <v>16230</v>
      </c>
      <c r="H7757" t="s">
        <v>47054</v>
      </c>
      <c r="I7757" t="s">
        <v>47120</v>
      </c>
      <c r="J7757" t="s">
        <v>47121</v>
      </c>
      <c r="K7757" t="s">
        <v>47113</v>
      </c>
      <c r="L7757">
        <v>26.21</v>
      </c>
      <c r="M7757">
        <v>59</v>
      </c>
      <c r="N7757">
        <v>0</v>
      </c>
      <c r="O7757">
        <v>59</v>
      </c>
      <c r="P7757">
        <v>0</v>
      </c>
    </row>
    <row r="7758" spans="1:16" x14ac:dyDescent="0.25">
      <c r="A7758" t="s">
        <v>30341</v>
      </c>
      <c r="B7758" t="s">
        <v>15348</v>
      </c>
      <c r="C7758" t="s">
        <v>16939</v>
      </c>
      <c r="D7758" t="str">
        <f>"6000"</f>
        <v>6000</v>
      </c>
      <c r="E7758" t="s">
        <v>15321</v>
      </c>
      <c r="F7758" t="s">
        <v>15183</v>
      </c>
      <c r="G7758" t="s">
        <v>16230</v>
      </c>
      <c r="H7758" t="s">
        <v>47054</v>
      </c>
      <c r="I7758" t="s">
        <v>47120</v>
      </c>
      <c r="J7758" t="s">
        <v>47121</v>
      </c>
      <c r="K7758" t="s">
        <v>47113</v>
      </c>
      <c r="L7758">
        <v>26.68</v>
      </c>
      <c r="M7758">
        <v>59</v>
      </c>
      <c r="N7758">
        <v>0</v>
      </c>
      <c r="O7758">
        <v>59</v>
      </c>
      <c r="P7758">
        <v>0</v>
      </c>
    </row>
    <row r="7759" spans="1:16" x14ac:dyDescent="0.25">
      <c r="A7759" t="s">
        <v>16940</v>
      </c>
      <c r="B7759" t="s">
        <v>15349</v>
      </c>
      <c r="C7759" t="s">
        <v>16939</v>
      </c>
      <c r="D7759" t="str">
        <f>"6003"</f>
        <v>6003</v>
      </c>
      <c r="E7759" t="s">
        <v>15350</v>
      </c>
      <c r="F7759" t="s">
        <v>15183</v>
      </c>
      <c r="G7759" t="s">
        <v>16230</v>
      </c>
      <c r="H7759" t="s">
        <v>47054</v>
      </c>
      <c r="I7759" t="s">
        <v>47120</v>
      </c>
      <c r="J7759" t="s">
        <v>47121</v>
      </c>
      <c r="K7759" t="s">
        <v>47113</v>
      </c>
      <c r="L7759">
        <v>30.29</v>
      </c>
      <c r="M7759">
        <v>59</v>
      </c>
      <c r="N7759">
        <v>0</v>
      </c>
      <c r="O7759">
        <v>59</v>
      </c>
      <c r="P7759">
        <v>0</v>
      </c>
    </row>
    <row r="7760" spans="1:16" x14ac:dyDescent="0.25">
      <c r="A7760" t="s">
        <v>30342</v>
      </c>
      <c r="B7760" t="s">
        <v>15351</v>
      </c>
      <c r="C7760" t="s">
        <v>16939</v>
      </c>
      <c r="D7760" t="str">
        <f>"4002"</f>
        <v>4002</v>
      </c>
      <c r="E7760" t="s">
        <v>15303</v>
      </c>
      <c r="F7760" t="s">
        <v>15183</v>
      </c>
      <c r="G7760" t="s">
        <v>16230</v>
      </c>
      <c r="H7760" t="s">
        <v>47054</v>
      </c>
      <c r="I7760" t="s">
        <v>47120</v>
      </c>
      <c r="J7760" t="s">
        <v>47121</v>
      </c>
      <c r="K7760" t="s">
        <v>47113</v>
      </c>
      <c r="L7760">
        <v>29.83</v>
      </c>
      <c r="M7760">
        <v>59</v>
      </c>
      <c r="N7760">
        <v>0</v>
      </c>
      <c r="O7760">
        <v>59</v>
      </c>
      <c r="P7760">
        <v>0</v>
      </c>
    </row>
    <row r="7761" spans="1:16" x14ac:dyDescent="0.25">
      <c r="A7761" t="s">
        <v>30343</v>
      </c>
      <c r="B7761" t="s">
        <v>15352</v>
      </c>
      <c r="C7761" t="s">
        <v>16939</v>
      </c>
      <c r="D7761" t="str">
        <f>"4403"</f>
        <v>4403</v>
      </c>
      <c r="E7761" t="s">
        <v>15303</v>
      </c>
      <c r="F7761" t="s">
        <v>15183</v>
      </c>
      <c r="G7761" t="s">
        <v>16230</v>
      </c>
      <c r="H7761" t="s">
        <v>47054</v>
      </c>
      <c r="I7761" t="s">
        <v>47120</v>
      </c>
      <c r="J7761" t="s">
        <v>47121</v>
      </c>
      <c r="K7761" t="s">
        <v>47113</v>
      </c>
      <c r="L7761">
        <v>33.03</v>
      </c>
      <c r="M7761">
        <v>63</v>
      </c>
      <c r="N7761">
        <v>0</v>
      </c>
      <c r="O7761">
        <v>63</v>
      </c>
      <c r="P7761">
        <v>0</v>
      </c>
    </row>
    <row r="7762" spans="1:16" x14ac:dyDescent="0.25">
      <c r="A7762" t="s">
        <v>30344</v>
      </c>
      <c r="B7762" t="s">
        <v>15353</v>
      </c>
      <c r="C7762" t="s">
        <v>20059</v>
      </c>
      <c r="D7762" t="s">
        <v>15354</v>
      </c>
      <c r="E7762" t="s">
        <v>15355</v>
      </c>
      <c r="F7762" t="s">
        <v>15183</v>
      </c>
      <c r="G7762" t="s">
        <v>16230</v>
      </c>
      <c r="H7762" t="s">
        <v>47054</v>
      </c>
      <c r="I7762" t="s">
        <v>47111</v>
      </c>
      <c r="J7762" t="s">
        <v>47112</v>
      </c>
      <c r="K7762" t="s">
        <v>47113</v>
      </c>
      <c r="L7762">
        <v>41.57</v>
      </c>
      <c r="M7762">
        <v>69</v>
      </c>
      <c r="N7762">
        <v>0</v>
      </c>
      <c r="O7762">
        <v>69</v>
      </c>
      <c r="P7762">
        <v>0</v>
      </c>
    </row>
    <row r="7763" spans="1:16" x14ac:dyDescent="0.25">
      <c r="A7763" t="s">
        <v>30345</v>
      </c>
      <c r="B7763" t="s">
        <v>15356</v>
      </c>
      <c r="C7763" t="s">
        <v>16939</v>
      </c>
      <c r="D7763" t="str">
        <f>"6000"</f>
        <v>6000</v>
      </c>
      <c r="E7763" t="s">
        <v>15357</v>
      </c>
      <c r="F7763" t="s">
        <v>15183</v>
      </c>
      <c r="G7763" t="s">
        <v>16230</v>
      </c>
      <c r="H7763" t="s">
        <v>47054</v>
      </c>
      <c r="I7763" t="s">
        <v>47120</v>
      </c>
      <c r="J7763" t="s">
        <v>47121</v>
      </c>
      <c r="K7763" t="s">
        <v>47113</v>
      </c>
      <c r="L7763">
        <v>32.07</v>
      </c>
      <c r="M7763">
        <v>59</v>
      </c>
      <c r="N7763">
        <v>0</v>
      </c>
      <c r="O7763">
        <v>59</v>
      </c>
      <c r="P7763">
        <v>0</v>
      </c>
    </row>
    <row r="7764" spans="1:16" x14ac:dyDescent="0.25">
      <c r="A7764" t="s">
        <v>30346</v>
      </c>
      <c r="B7764" t="s">
        <v>15358</v>
      </c>
      <c r="C7764" t="s">
        <v>15359</v>
      </c>
      <c r="D7764" t="str">
        <f>"1106"</f>
        <v>1106</v>
      </c>
      <c r="E7764" t="s">
        <v>460</v>
      </c>
      <c r="F7764" t="s">
        <v>15183</v>
      </c>
      <c r="G7764" t="s">
        <v>16448</v>
      </c>
      <c r="H7764" t="s">
        <v>47054</v>
      </c>
      <c r="I7764" t="s">
        <v>47120</v>
      </c>
      <c r="J7764" t="s">
        <v>47121</v>
      </c>
      <c r="K7764" t="s">
        <v>47113</v>
      </c>
      <c r="L7764">
        <v>129.44</v>
      </c>
      <c r="M7764">
        <v>185</v>
      </c>
      <c r="N7764">
        <v>0</v>
      </c>
      <c r="O7764">
        <v>185</v>
      </c>
      <c r="P7764">
        <v>0</v>
      </c>
    </row>
    <row r="7765" spans="1:16" x14ac:dyDescent="0.25">
      <c r="A7765" t="s">
        <v>30347</v>
      </c>
      <c r="B7765" t="s">
        <v>16941</v>
      </c>
      <c r="C7765" t="s">
        <v>16942</v>
      </c>
      <c r="D7765" t="str">
        <f>"1001"</f>
        <v>1001</v>
      </c>
      <c r="E7765" t="s">
        <v>42</v>
      </c>
      <c r="F7765" t="s">
        <v>16601</v>
      </c>
      <c r="G7765" t="s">
        <v>16235</v>
      </c>
      <c r="I7765" t="s">
        <v>47118</v>
      </c>
      <c r="J7765" t="s">
        <v>47119</v>
      </c>
      <c r="K7765" t="s">
        <v>47113</v>
      </c>
      <c r="L7765">
        <v>25.79</v>
      </c>
      <c r="M7765">
        <v>74</v>
      </c>
      <c r="N7765">
        <v>0</v>
      </c>
      <c r="O7765">
        <v>74</v>
      </c>
      <c r="P7765">
        <v>0</v>
      </c>
    </row>
    <row r="7766" spans="1:16" x14ac:dyDescent="0.25">
      <c r="A7766" t="s">
        <v>30348</v>
      </c>
      <c r="B7766" t="s">
        <v>16943</v>
      </c>
      <c r="C7766" t="s">
        <v>16944</v>
      </c>
      <c r="D7766" t="s">
        <v>16833</v>
      </c>
      <c r="E7766" t="s">
        <v>16834</v>
      </c>
      <c r="F7766" t="s">
        <v>16746</v>
      </c>
      <c r="G7766" t="s">
        <v>16231</v>
      </c>
      <c r="H7766" t="s">
        <v>47054</v>
      </c>
      <c r="I7766" t="s">
        <v>47116</v>
      </c>
      <c r="J7766" t="s">
        <v>47117</v>
      </c>
      <c r="K7766" t="s">
        <v>47113</v>
      </c>
      <c r="L7766">
        <v>73.47</v>
      </c>
      <c r="M7766">
        <v>148</v>
      </c>
      <c r="N7766">
        <v>0</v>
      </c>
      <c r="O7766">
        <v>148</v>
      </c>
      <c r="P7766">
        <v>0</v>
      </c>
    </row>
    <row r="7767" spans="1:16" x14ac:dyDescent="0.25">
      <c r="A7767" t="s">
        <v>30349</v>
      </c>
      <c r="B7767" t="s">
        <v>20060</v>
      </c>
      <c r="C7767" t="s">
        <v>16836</v>
      </c>
      <c r="D7767" t="str">
        <f>"1001"</f>
        <v>1001</v>
      </c>
      <c r="E7767" t="s">
        <v>42</v>
      </c>
      <c r="F7767" t="s">
        <v>19559</v>
      </c>
      <c r="G7767" t="s">
        <v>16235</v>
      </c>
      <c r="H7767" t="s">
        <v>47054</v>
      </c>
      <c r="I7767" t="s">
        <v>47120</v>
      </c>
      <c r="J7767" t="s">
        <v>47121</v>
      </c>
      <c r="K7767" t="s">
        <v>47113</v>
      </c>
      <c r="L7767">
        <v>31.97</v>
      </c>
      <c r="M7767">
        <v>62</v>
      </c>
      <c r="N7767">
        <v>0</v>
      </c>
      <c r="O7767">
        <v>62</v>
      </c>
      <c r="P7767">
        <v>0</v>
      </c>
    </row>
    <row r="7768" spans="1:16" x14ac:dyDescent="0.25">
      <c r="A7768" t="s">
        <v>30350</v>
      </c>
      <c r="B7768" t="s">
        <v>20060</v>
      </c>
      <c r="C7768" t="s">
        <v>16836</v>
      </c>
      <c r="D7768" t="str">
        <f>"1501"</f>
        <v>1501</v>
      </c>
      <c r="E7768" t="s">
        <v>46</v>
      </c>
      <c r="F7768" t="s">
        <v>19559</v>
      </c>
      <c r="G7768" t="s">
        <v>16235</v>
      </c>
      <c r="H7768" t="s">
        <v>47054</v>
      </c>
      <c r="I7768" t="s">
        <v>47120</v>
      </c>
      <c r="J7768" t="s">
        <v>47121</v>
      </c>
      <c r="K7768" t="s">
        <v>47113</v>
      </c>
      <c r="L7768">
        <v>31.97</v>
      </c>
      <c r="M7768">
        <v>62</v>
      </c>
      <c r="N7768">
        <v>0</v>
      </c>
      <c r="O7768">
        <v>62</v>
      </c>
      <c r="P7768">
        <v>0</v>
      </c>
    </row>
    <row r="7769" spans="1:16" x14ac:dyDescent="0.25">
      <c r="A7769" t="s">
        <v>30351</v>
      </c>
      <c r="B7769" t="s">
        <v>20060</v>
      </c>
      <c r="C7769" t="s">
        <v>16836</v>
      </c>
      <c r="D7769" t="str">
        <f>"6064"</f>
        <v>6064</v>
      </c>
      <c r="E7769" t="s">
        <v>87</v>
      </c>
      <c r="F7769" t="s">
        <v>19559</v>
      </c>
      <c r="G7769" t="s">
        <v>16235</v>
      </c>
      <c r="H7769" t="s">
        <v>47054</v>
      </c>
      <c r="I7769" t="s">
        <v>47120</v>
      </c>
      <c r="J7769" t="s">
        <v>47121</v>
      </c>
      <c r="K7769" t="s">
        <v>47113</v>
      </c>
      <c r="L7769">
        <v>31.97</v>
      </c>
      <c r="M7769">
        <v>62</v>
      </c>
      <c r="N7769">
        <v>0</v>
      </c>
      <c r="O7769">
        <v>62</v>
      </c>
      <c r="P7769">
        <v>0</v>
      </c>
    </row>
    <row r="7770" spans="1:16" x14ac:dyDescent="0.25">
      <c r="A7770" t="s">
        <v>30352</v>
      </c>
      <c r="B7770" t="s">
        <v>16945</v>
      </c>
      <c r="C7770" t="s">
        <v>16946</v>
      </c>
      <c r="D7770" t="str">
        <f>"1001"</f>
        <v>1001</v>
      </c>
      <c r="E7770" t="s">
        <v>16947</v>
      </c>
      <c r="F7770" t="s">
        <v>46687</v>
      </c>
      <c r="G7770" t="s">
        <v>16233</v>
      </c>
      <c r="H7770" t="s">
        <v>47054</v>
      </c>
      <c r="I7770" t="s">
        <v>47120</v>
      </c>
      <c r="J7770" t="s">
        <v>47121</v>
      </c>
      <c r="K7770" t="s">
        <v>47113</v>
      </c>
      <c r="L7770">
        <v>28.23</v>
      </c>
      <c r="M7770">
        <v>66</v>
      </c>
      <c r="N7770">
        <v>0</v>
      </c>
      <c r="O7770">
        <v>66</v>
      </c>
      <c r="P7770">
        <v>0</v>
      </c>
    </row>
    <row r="7771" spans="1:16" x14ac:dyDescent="0.25">
      <c r="A7771" t="s">
        <v>30353</v>
      </c>
      <c r="B7771" t="s">
        <v>16945</v>
      </c>
      <c r="C7771" t="s">
        <v>16946</v>
      </c>
      <c r="D7771" t="str">
        <f>"1700"</f>
        <v>1700</v>
      </c>
      <c r="E7771" t="s">
        <v>16948</v>
      </c>
      <c r="F7771" t="s">
        <v>46687</v>
      </c>
      <c r="G7771" t="s">
        <v>16233</v>
      </c>
      <c r="H7771" t="s">
        <v>47054</v>
      </c>
      <c r="I7771" t="s">
        <v>47120</v>
      </c>
      <c r="J7771" t="s">
        <v>47121</v>
      </c>
      <c r="K7771" t="s">
        <v>47113</v>
      </c>
      <c r="L7771">
        <v>28.23</v>
      </c>
      <c r="M7771">
        <v>66</v>
      </c>
      <c r="N7771">
        <v>0</v>
      </c>
      <c r="O7771">
        <v>66</v>
      </c>
      <c r="P7771">
        <v>0</v>
      </c>
    </row>
    <row r="7772" spans="1:16" x14ac:dyDescent="0.25">
      <c r="A7772" t="s">
        <v>30354</v>
      </c>
      <c r="B7772" t="s">
        <v>16945</v>
      </c>
      <c r="C7772" t="s">
        <v>16946</v>
      </c>
      <c r="D7772" t="str">
        <f>"4100"</f>
        <v>4100</v>
      </c>
      <c r="E7772" t="s">
        <v>16949</v>
      </c>
      <c r="F7772" t="s">
        <v>46687</v>
      </c>
      <c r="G7772" t="s">
        <v>16233</v>
      </c>
      <c r="H7772" t="s">
        <v>47054</v>
      </c>
      <c r="I7772" t="s">
        <v>47120</v>
      </c>
      <c r="J7772" t="s">
        <v>47121</v>
      </c>
      <c r="K7772" t="s">
        <v>47113</v>
      </c>
      <c r="L7772">
        <v>28.23</v>
      </c>
      <c r="M7772">
        <v>66</v>
      </c>
      <c r="N7772">
        <v>0</v>
      </c>
      <c r="O7772">
        <v>66</v>
      </c>
      <c r="P7772">
        <v>0</v>
      </c>
    </row>
    <row r="7773" spans="1:16" x14ac:dyDescent="0.25">
      <c r="A7773" t="s">
        <v>30355</v>
      </c>
      <c r="B7773" t="s">
        <v>16945</v>
      </c>
      <c r="C7773" t="s">
        <v>16946</v>
      </c>
      <c r="D7773" t="str">
        <f>"6000"</f>
        <v>6000</v>
      </c>
      <c r="E7773" t="s">
        <v>16950</v>
      </c>
      <c r="F7773" t="s">
        <v>46687</v>
      </c>
      <c r="G7773" t="s">
        <v>16233</v>
      </c>
      <c r="H7773" t="s">
        <v>47054</v>
      </c>
      <c r="I7773" t="s">
        <v>47120</v>
      </c>
      <c r="J7773" t="s">
        <v>47121</v>
      </c>
      <c r="K7773" t="s">
        <v>47113</v>
      </c>
      <c r="L7773">
        <v>28.23</v>
      </c>
      <c r="M7773">
        <v>66</v>
      </c>
      <c r="N7773">
        <v>0</v>
      </c>
      <c r="O7773">
        <v>66</v>
      </c>
      <c r="P7773">
        <v>0</v>
      </c>
    </row>
    <row r="7774" spans="1:16" x14ac:dyDescent="0.25">
      <c r="A7774" t="s">
        <v>30356</v>
      </c>
      <c r="B7774" t="s">
        <v>16951</v>
      </c>
      <c r="C7774" t="s">
        <v>16946</v>
      </c>
      <c r="D7774" t="str">
        <f>"3000"</f>
        <v>3000</v>
      </c>
      <c r="E7774" t="s">
        <v>16952</v>
      </c>
      <c r="F7774" t="s">
        <v>16623</v>
      </c>
      <c r="G7774" t="s">
        <v>16233</v>
      </c>
      <c r="H7774" t="s">
        <v>47054</v>
      </c>
      <c r="I7774" t="s">
        <v>47136</v>
      </c>
      <c r="J7774" t="s">
        <v>47137</v>
      </c>
      <c r="K7774" t="s">
        <v>47113</v>
      </c>
      <c r="L7774">
        <v>34.24</v>
      </c>
      <c r="M7774">
        <v>66</v>
      </c>
      <c r="N7774">
        <v>0</v>
      </c>
      <c r="O7774">
        <v>66</v>
      </c>
      <c r="P7774">
        <v>0</v>
      </c>
    </row>
    <row r="7775" spans="1:16" x14ac:dyDescent="0.25">
      <c r="A7775" t="s">
        <v>30357</v>
      </c>
      <c r="B7775" t="s">
        <v>20061</v>
      </c>
      <c r="C7775" t="s">
        <v>6697</v>
      </c>
      <c r="D7775" t="str">
        <f>"3000"</f>
        <v>3000</v>
      </c>
      <c r="E7775" t="s">
        <v>20062</v>
      </c>
      <c r="F7775" t="s">
        <v>16623</v>
      </c>
      <c r="G7775" t="s">
        <v>16233</v>
      </c>
      <c r="H7775" t="s">
        <v>47054</v>
      </c>
      <c r="I7775" t="s">
        <v>47136</v>
      </c>
      <c r="J7775" t="s">
        <v>47137</v>
      </c>
      <c r="K7775" t="s">
        <v>47113</v>
      </c>
      <c r="L7775">
        <v>34.24</v>
      </c>
      <c r="M7775">
        <v>66</v>
      </c>
      <c r="N7775">
        <v>0</v>
      </c>
      <c r="O7775">
        <v>66</v>
      </c>
      <c r="P7775">
        <v>0</v>
      </c>
    </row>
    <row r="7776" spans="1:16" x14ac:dyDescent="0.25">
      <c r="A7776" t="s">
        <v>30358</v>
      </c>
      <c r="B7776" t="s">
        <v>16953</v>
      </c>
      <c r="C7776" t="s">
        <v>16954</v>
      </c>
      <c r="D7776" t="str">
        <f>"1100"</f>
        <v>1100</v>
      </c>
      <c r="E7776" t="s">
        <v>16955</v>
      </c>
      <c r="F7776" t="s">
        <v>16623</v>
      </c>
      <c r="G7776" t="s">
        <v>16233</v>
      </c>
      <c r="H7776" t="s">
        <v>47054</v>
      </c>
      <c r="I7776" t="s">
        <v>47136</v>
      </c>
      <c r="J7776" t="s">
        <v>47137</v>
      </c>
      <c r="K7776" t="s">
        <v>47113</v>
      </c>
      <c r="L7776">
        <v>31.12</v>
      </c>
      <c r="M7776">
        <v>63</v>
      </c>
      <c r="N7776">
        <v>0</v>
      </c>
      <c r="O7776">
        <v>63</v>
      </c>
      <c r="P7776">
        <v>0</v>
      </c>
    </row>
    <row r="7777" spans="1:16" x14ac:dyDescent="0.25">
      <c r="A7777" t="s">
        <v>30359</v>
      </c>
      <c r="B7777" t="s">
        <v>16953</v>
      </c>
      <c r="C7777" t="s">
        <v>16954</v>
      </c>
      <c r="D7777" t="str">
        <f>"1700"</f>
        <v>1700</v>
      </c>
      <c r="E7777" t="s">
        <v>16956</v>
      </c>
      <c r="F7777" t="s">
        <v>16623</v>
      </c>
      <c r="G7777" t="s">
        <v>16233</v>
      </c>
      <c r="H7777" t="s">
        <v>47054</v>
      </c>
      <c r="I7777" t="s">
        <v>47136</v>
      </c>
      <c r="J7777" t="s">
        <v>47137</v>
      </c>
      <c r="K7777" t="s">
        <v>47113</v>
      </c>
      <c r="L7777">
        <v>29.34</v>
      </c>
      <c r="M7777">
        <v>59</v>
      </c>
      <c r="N7777">
        <v>0</v>
      </c>
      <c r="O7777">
        <v>59</v>
      </c>
      <c r="P7777">
        <v>0</v>
      </c>
    </row>
    <row r="7778" spans="1:16" x14ac:dyDescent="0.25">
      <c r="A7778" t="s">
        <v>30360</v>
      </c>
      <c r="B7778" t="s">
        <v>16953</v>
      </c>
      <c r="C7778" t="s">
        <v>16954</v>
      </c>
      <c r="D7778" t="str">
        <f>"2701"</f>
        <v>2701</v>
      </c>
      <c r="E7778" t="s">
        <v>16957</v>
      </c>
      <c r="F7778" t="s">
        <v>16623</v>
      </c>
      <c r="G7778" t="s">
        <v>16233</v>
      </c>
      <c r="H7778" t="s">
        <v>47054</v>
      </c>
      <c r="I7778" t="s">
        <v>47136</v>
      </c>
      <c r="J7778" t="s">
        <v>47137</v>
      </c>
      <c r="K7778" t="s">
        <v>47113</v>
      </c>
      <c r="L7778">
        <v>31.12</v>
      </c>
      <c r="M7778">
        <v>63</v>
      </c>
      <c r="N7778">
        <v>0</v>
      </c>
      <c r="O7778">
        <v>63</v>
      </c>
      <c r="P7778">
        <v>0</v>
      </c>
    </row>
    <row r="7779" spans="1:16" x14ac:dyDescent="0.25">
      <c r="A7779" t="s">
        <v>30361</v>
      </c>
      <c r="B7779" t="s">
        <v>16953</v>
      </c>
      <c r="C7779" t="s">
        <v>16954</v>
      </c>
      <c r="D7779" t="str">
        <f>"4000"</f>
        <v>4000</v>
      </c>
      <c r="E7779" t="s">
        <v>16958</v>
      </c>
      <c r="F7779" t="s">
        <v>16623</v>
      </c>
      <c r="G7779" t="s">
        <v>16233</v>
      </c>
      <c r="H7779" t="s">
        <v>47054</v>
      </c>
      <c r="I7779" t="s">
        <v>47136</v>
      </c>
      <c r="J7779" t="s">
        <v>47137</v>
      </c>
      <c r="K7779" t="s">
        <v>47113</v>
      </c>
      <c r="L7779">
        <v>31.12</v>
      </c>
      <c r="M7779">
        <v>63</v>
      </c>
      <c r="N7779">
        <v>0</v>
      </c>
      <c r="O7779">
        <v>63</v>
      </c>
      <c r="P7779">
        <v>0</v>
      </c>
    </row>
    <row r="7780" spans="1:16" x14ac:dyDescent="0.25">
      <c r="A7780" t="s">
        <v>30362</v>
      </c>
      <c r="B7780" t="s">
        <v>16953</v>
      </c>
      <c r="C7780" t="s">
        <v>16954</v>
      </c>
      <c r="D7780" t="str">
        <f>"6000"</f>
        <v>6000</v>
      </c>
      <c r="E7780" t="s">
        <v>16959</v>
      </c>
      <c r="F7780" t="s">
        <v>16623</v>
      </c>
      <c r="G7780" t="s">
        <v>16233</v>
      </c>
      <c r="H7780" t="s">
        <v>47054</v>
      </c>
      <c r="I7780" t="s">
        <v>47136</v>
      </c>
      <c r="J7780" t="s">
        <v>47137</v>
      </c>
      <c r="K7780" t="s">
        <v>47113</v>
      </c>
      <c r="L7780">
        <v>32.81</v>
      </c>
      <c r="M7780">
        <v>66</v>
      </c>
      <c r="N7780">
        <v>0</v>
      </c>
      <c r="O7780">
        <v>66</v>
      </c>
      <c r="P7780">
        <v>0</v>
      </c>
    </row>
    <row r="7781" spans="1:16" x14ac:dyDescent="0.25">
      <c r="A7781" t="s">
        <v>30363</v>
      </c>
      <c r="B7781" t="s">
        <v>20063</v>
      </c>
      <c r="C7781" t="s">
        <v>16961</v>
      </c>
      <c r="D7781" t="str">
        <f>"1100"</f>
        <v>1100</v>
      </c>
      <c r="E7781" t="s">
        <v>16955</v>
      </c>
      <c r="F7781" t="s">
        <v>16623</v>
      </c>
      <c r="G7781" t="s">
        <v>16233</v>
      </c>
      <c r="H7781" t="s">
        <v>47054</v>
      </c>
      <c r="I7781" t="s">
        <v>47136</v>
      </c>
      <c r="J7781" t="s">
        <v>47137</v>
      </c>
      <c r="K7781" t="s">
        <v>47113</v>
      </c>
      <c r="L7781">
        <v>29.73</v>
      </c>
      <c r="M7781">
        <v>63</v>
      </c>
      <c r="N7781">
        <v>0</v>
      </c>
      <c r="O7781">
        <v>63</v>
      </c>
      <c r="P7781">
        <v>0</v>
      </c>
    </row>
    <row r="7782" spans="1:16" x14ac:dyDescent="0.25">
      <c r="A7782" t="s">
        <v>30364</v>
      </c>
      <c r="B7782" t="s">
        <v>20063</v>
      </c>
      <c r="C7782" t="s">
        <v>16961</v>
      </c>
      <c r="D7782" t="str">
        <f>"1700"</f>
        <v>1700</v>
      </c>
      <c r="E7782" t="s">
        <v>16956</v>
      </c>
      <c r="F7782" t="s">
        <v>16623</v>
      </c>
      <c r="G7782" t="s">
        <v>16233</v>
      </c>
      <c r="H7782" t="s">
        <v>47054</v>
      </c>
      <c r="I7782" t="s">
        <v>47136</v>
      </c>
      <c r="J7782" t="s">
        <v>47137</v>
      </c>
      <c r="K7782" t="s">
        <v>47113</v>
      </c>
      <c r="L7782">
        <v>29.73</v>
      </c>
      <c r="M7782">
        <v>63</v>
      </c>
      <c r="N7782">
        <v>0</v>
      </c>
      <c r="O7782">
        <v>63</v>
      </c>
      <c r="P7782">
        <v>0</v>
      </c>
    </row>
    <row r="7783" spans="1:16" x14ac:dyDescent="0.25">
      <c r="A7783" t="s">
        <v>30365</v>
      </c>
      <c r="B7783" t="s">
        <v>20063</v>
      </c>
      <c r="C7783" t="s">
        <v>16961</v>
      </c>
      <c r="D7783" t="str">
        <f>"2701"</f>
        <v>2701</v>
      </c>
      <c r="E7783" t="s">
        <v>16957</v>
      </c>
      <c r="F7783" t="s">
        <v>16623</v>
      </c>
      <c r="G7783" t="s">
        <v>16233</v>
      </c>
      <c r="H7783" t="s">
        <v>47054</v>
      </c>
      <c r="I7783" t="s">
        <v>47136</v>
      </c>
      <c r="J7783" t="s">
        <v>47137</v>
      </c>
      <c r="K7783" t="s">
        <v>47113</v>
      </c>
      <c r="L7783">
        <v>29.73</v>
      </c>
      <c r="M7783">
        <v>63</v>
      </c>
      <c r="N7783">
        <v>0</v>
      </c>
      <c r="O7783">
        <v>63</v>
      </c>
      <c r="P7783">
        <v>0</v>
      </c>
    </row>
    <row r="7784" spans="1:16" x14ac:dyDescent="0.25">
      <c r="A7784" t="s">
        <v>30366</v>
      </c>
      <c r="B7784" t="s">
        <v>20063</v>
      </c>
      <c r="C7784" t="s">
        <v>16961</v>
      </c>
      <c r="D7784" t="str">
        <f>"4000"</f>
        <v>4000</v>
      </c>
      <c r="E7784" t="s">
        <v>16958</v>
      </c>
      <c r="F7784" t="s">
        <v>16623</v>
      </c>
      <c r="G7784" t="s">
        <v>16233</v>
      </c>
      <c r="H7784" t="s">
        <v>47054</v>
      </c>
      <c r="I7784" t="s">
        <v>47136</v>
      </c>
      <c r="J7784" t="s">
        <v>47137</v>
      </c>
      <c r="K7784" t="s">
        <v>47113</v>
      </c>
      <c r="L7784">
        <v>29.73</v>
      </c>
      <c r="M7784">
        <v>63</v>
      </c>
      <c r="N7784">
        <v>0</v>
      </c>
      <c r="O7784">
        <v>63</v>
      </c>
      <c r="P7784">
        <v>0</v>
      </c>
    </row>
    <row r="7785" spans="1:16" x14ac:dyDescent="0.25">
      <c r="A7785" t="s">
        <v>30367</v>
      </c>
      <c r="B7785" t="s">
        <v>20063</v>
      </c>
      <c r="C7785" t="s">
        <v>16961</v>
      </c>
      <c r="D7785" t="str">
        <f>"6000"</f>
        <v>6000</v>
      </c>
      <c r="E7785" t="s">
        <v>16959</v>
      </c>
      <c r="F7785" t="s">
        <v>16623</v>
      </c>
      <c r="G7785" t="s">
        <v>16233</v>
      </c>
      <c r="H7785" t="s">
        <v>47054</v>
      </c>
      <c r="I7785" t="s">
        <v>47136</v>
      </c>
      <c r="J7785" t="s">
        <v>47137</v>
      </c>
      <c r="K7785" t="s">
        <v>47113</v>
      </c>
      <c r="L7785">
        <v>29.73</v>
      </c>
      <c r="M7785">
        <v>63</v>
      </c>
      <c r="N7785">
        <v>0</v>
      </c>
      <c r="O7785">
        <v>63</v>
      </c>
      <c r="P7785">
        <v>0</v>
      </c>
    </row>
    <row r="7786" spans="1:16" x14ac:dyDescent="0.25">
      <c r="A7786" t="s">
        <v>30368</v>
      </c>
      <c r="B7786" t="s">
        <v>16960</v>
      </c>
      <c r="C7786" t="s">
        <v>16961</v>
      </c>
      <c r="D7786" t="str">
        <f>"1700"</f>
        <v>1700</v>
      </c>
      <c r="E7786" t="s">
        <v>16962</v>
      </c>
      <c r="F7786" t="s">
        <v>16623</v>
      </c>
      <c r="G7786" t="s">
        <v>16233</v>
      </c>
      <c r="H7786" t="s">
        <v>47054</v>
      </c>
      <c r="I7786" t="s">
        <v>47136</v>
      </c>
      <c r="J7786" t="s">
        <v>47137</v>
      </c>
      <c r="K7786" t="s">
        <v>47113</v>
      </c>
      <c r="L7786">
        <v>32.81</v>
      </c>
      <c r="M7786">
        <v>66</v>
      </c>
      <c r="N7786">
        <v>0</v>
      </c>
      <c r="O7786">
        <v>66</v>
      </c>
      <c r="P7786">
        <v>0</v>
      </c>
    </row>
    <row r="7787" spans="1:16" x14ac:dyDescent="0.25">
      <c r="A7787" t="s">
        <v>30369</v>
      </c>
      <c r="B7787" t="s">
        <v>20064</v>
      </c>
      <c r="C7787" t="s">
        <v>20065</v>
      </c>
      <c r="D7787" t="str">
        <f>"1307"</f>
        <v>1307</v>
      </c>
      <c r="E7787" t="s">
        <v>20066</v>
      </c>
      <c r="F7787" t="s">
        <v>19847</v>
      </c>
      <c r="G7787" t="s">
        <v>16233</v>
      </c>
      <c r="H7787" t="s">
        <v>47054</v>
      </c>
      <c r="I7787" t="s">
        <v>47136</v>
      </c>
      <c r="J7787" t="s">
        <v>47137</v>
      </c>
      <c r="K7787" t="s">
        <v>47113</v>
      </c>
      <c r="L7787">
        <v>33.65</v>
      </c>
      <c r="M7787">
        <v>66</v>
      </c>
      <c r="N7787">
        <v>0</v>
      </c>
      <c r="O7787">
        <v>66</v>
      </c>
      <c r="P7787">
        <v>0</v>
      </c>
    </row>
    <row r="7788" spans="1:16" x14ac:dyDescent="0.25">
      <c r="A7788" t="s">
        <v>30370</v>
      </c>
      <c r="B7788" t="s">
        <v>20064</v>
      </c>
      <c r="C7788" t="s">
        <v>20065</v>
      </c>
      <c r="D7788" t="str">
        <f>"4100"</f>
        <v>4100</v>
      </c>
      <c r="E7788" t="s">
        <v>20067</v>
      </c>
      <c r="F7788" t="s">
        <v>19847</v>
      </c>
      <c r="G7788" t="s">
        <v>16233</v>
      </c>
      <c r="H7788" t="s">
        <v>47054</v>
      </c>
      <c r="I7788" t="s">
        <v>47136</v>
      </c>
      <c r="J7788" t="s">
        <v>47137</v>
      </c>
      <c r="K7788" t="s">
        <v>47113</v>
      </c>
      <c r="L7788">
        <v>33.65</v>
      </c>
      <c r="M7788">
        <v>66</v>
      </c>
      <c r="N7788">
        <v>0</v>
      </c>
      <c r="O7788">
        <v>66</v>
      </c>
      <c r="P7788">
        <v>0</v>
      </c>
    </row>
    <row r="7789" spans="1:16" x14ac:dyDescent="0.25">
      <c r="A7789" t="s">
        <v>30371</v>
      </c>
      <c r="B7789" t="s">
        <v>15360</v>
      </c>
      <c r="C7789" t="s">
        <v>15361</v>
      </c>
      <c r="D7789" t="str">
        <f>"1001"</f>
        <v>1001</v>
      </c>
      <c r="E7789" t="s">
        <v>15362</v>
      </c>
      <c r="F7789" t="s">
        <v>15183</v>
      </c>
      <c r="G7789" t="s">
        <v>16233</v>
      </c>
      <c r="H7789" t="s">
        <v>47054</v>
      </c>
      <c r="I7789" t="s">
        <v>47120</v>
      </c>
      <c r="J7789" t="s">
        <v>47121</v>
      </c>
      <c r="K7789" t="s">
        <v>47113</v>
      </c>
      <c r="L7789">
        <v>23.65</v>
      </c>
      <c r="M7789">
        <v>63</v>
      </c>
      <c r="N7789">
        <v>0</v>
      </c>
      <c r="O7789">
        <v>63</v>
      </c>
      <c r="P7789">
        <v>0</v>
      </c>
    </row>
    <row r="7790" spans="1:16" x14ac:dyDescent="0.25">
      <c r="A7790" t="s">
        <v>30372</v>
      </c>
      <c r="B7790" t="s">
        <v>15360</v>
      </c>
      <c r="C7790" t="s">
        <v>15361</v>
      </c>
      <c r="D7790" t="str">
        <f>"4000"</f>
        <v>4000</v>
      </c>
      <c r="E7790" t="s">
        <v>15363</v>
      </c>
      <c r="F7790" t="s">
        <v>15183</v>
      </c>
      <c r="G7790" t="s">
        <v>16233</v>
      </c>
      <c r="H7790" t="s">
        <v>47054</v>
      </c>
      <c r="I7790" t="s">
        <v>47120</v>
      </c>
      <c r="J7790" t="s">
        <v>47121</v>
      </c>
      <c r="K7790" t="s">
        <v>47113</v>
      </c>
      <c r="L7790">
        <v>23.65</v>
      </c>
      <c r="M7790">
        <v>63</v>
      </c>
      <c r="N7790">
        <v>0</v>
      </c>
      <c r="O7790">
        <v>63</v>
      </c>
      <c r="P7790">
        <v>0</v>
      </c>
    </row>
    <row r="7791" spans="1:16" x14ac:dyDescent="0.25">
      <c r="A7791" t="s">
        <v>30373</v>
      </c>
      <c r="B7791" t="s">
        <v>15360</v>
      </c>
      <c r="C7791" t="s">
        <v>15361</v>
      </c>
      <c r="D7791" t="str">
        <f>"7233"</f>
        <v>7233</v>
      </c>
      <c r="E7791" t="s">
        <v>15364</v>
      </c>
      <c r="F7791" t="s">
        <v>15183</v>
      </c>
      <c r="G7791" t="s">
        <v>16233</v>
      </c>
      <c r="H7791" t="s">
        <v>47054</v>
      </c>
      <c r="I7791" t="s">
        <v>47120</v>
      </c>
      <c r="J7791" t="s">
        <v>47121</v>
      </c>
      <c r="K7791" t="s">
        <v>47113</v>
      </c>
      <c r="L7791">
        <v>23.65</v>
      </c>
      <c r="M7791">
        <v>63</v>
      </c>
      <c r="N7791">
        <v>0</v>
      </c>
      <c r="O7791">
        <v>63</v>
      </c>
      <c r="P7791">
        <v>0</v>
      </c>
    </row>
    <row r="7792" spans="1:16" x14ac:dyDescent="0.25">
      <c r="A7792" t="s">
        <v>30374</v>
      </c>
      <c r="B7792" t="s">
        <v>16963</v>
      </c>
      <c r="C7792" t="s">
        <v>16964</v>
      </c>
      <c r="D7792" t="str">
        <f>"3000"</f>
        <v>3000</v>
      </c>
      <c r="E7792" t="s">
        <v>16952</v>
      </c>
      <c r="F7792" t="s">
        <v>16623</v>
      </c>
      <c r="G7792" t="s">
        <v>16233</v>
      </c>
      <c r="H7792" t="s">
        <v>47054</v>
      </c>
      <c r="I7792" t="s">
        <v>47136</v>
      </c>
      <c r="J7792" t="s">
        <v>47137</v>
      </c>
      <c r="K7792" t="s">
        <v>47113</v>
      </c>
      <c r="L7792">
        <v>32.81</v>
      </c>
      <c r="M7792">
        <v>66</v>
      </c>
      <c r="N7792">
        <v>0</v>
      </c>
      <c r="O7792">
        <v>66</v>
      </c>
      <c r="P7792">
        <v>0</v>
      </c>
    </row>
    <row r="7793" spans="1:16" x14ac:dyDescent="0.25">
      <c r="A7793" t="s">
        <v>30375</v>
      </c>
      <c r="B7793" t="s">
        <v>16290</v>
      </c>
      <c r="C7793" t="s">
        <v>16291</v>
      </c>
      <c r="D7793" t="str">
        <f>"1200"</f>
        <v>1200</v>
      </c>
      <c r="E7793" t="s">
        <v>16292</v>
      </c>
      <c r="F7793" t="s">
        <v>15183</v>
      </c>
      <c r="G7793" t="s">
        <v>16233</v>
      </c>
      <c r="H7793" t="s">
        <v>47054</v>
      </c>
      <c r="I7793" t="s">
        <v>47120</v>
      </c>
      <c r="J7793" t="s">
        <v>47121</v>
      </c>
      <c r="K7793" t="s">
        <v>47113</v>
      </c>
      <c r="L7793">
        <v>21.45</v>
      </c>
      <c r="M7793">
        <v>63</v>
      </c>
      <c r="N7793">
        <v>0</v>
      </c>
      <c r="O7793">
        <v>63</v>
      </c>
      <c r="P7793">
        <v>0</v>
      </c>
    </row>
    <row r="7794" spans="1:16" x14ac:dyDescent="0.25">
      <c r="A7794" t="s">
        <v>30376</v>
      </c>
      <c r="B7794" t="s">
        <v>16290</v>
      </c>
      <c r="C7794" t="s">
        <v>16291</v>
      </c>
      <c r="D7794" t="str">
        <f>"2500"</f>
        <v>2500</v>
      </c>
      <c r="E7794" t="s">
        <v>16293</v>
      </c>
      <c r="F7794" t="s">
        <v>15183</v>
      </c>
      <c r="G7794" t="s">
        <v>16233</v>
      </c>
      <c r="H7794" t="s">
        <v>47054</v>
      </c>
      <c r="I7794" t="s">
        <v>47120</v>
      </c>
      <c r="J7794" t="s">
        <v>47121</v>
      </c>
      <c r="K7794" t="s">
        <v>47113</v>
      </c>
      <c r="L7794">
        <v>21.45</v>
      </c>
      <c r="M7794">
        <v>63</v>
      </c>
      <c r="N7794">
        <v>0</v>
      </c>
      <c r="O7794">
        <v>63</v>
      </c>
      <c r="P7794">
        <v>0</v>
      </c>
    </row>
    <row r="7795" spans="1:16" x14ac:dyDescent="0.25">
      <c r="A7795" t="s">
        <v>30377</v>
      </c>
      <c r="B7795" t="s">
        <v>16290</v>
      </c>
      <c r="C7795" t="s">
        <v>16291</v>
      </c>
      <c r="D7795" t="str">
        <f>"4000"</f>
        <v>4000</v>
      </c>
      <c r="E7795" t="s">
        <v>16294</v>
      </c>
      <c r="F7795" t="s">
        <v>15183</v>
      </c>
      <c r="G7795" t="s">
        <v>16233</v>
      </c>
      <c r="H7795" t="s">
        <v>47054</v>
      </c>
      <c r="I7795" t="s">
        <v>47120</v>
      </c>
      <c r="J7795" t="s">
        <v>47121</v>
      </c>
      <c r="K7795" t="s">
        <v>47113</v>
      </c>
      <c r="L7795">
        <v>21.45</v>
      </c>
      <c r="M7795">
        <v>63</v>
      </c>
      <c r="N7795">
        <v>0</v>
      </c>
      <c r="O7795">
        <v>63</v>
      </c>
      <c r="P7795">
        <v>0</v>
      </c>
    </row>
    <row r="7796" spans="1:16" x14ac:dyDescent="0.25">
      <c r="A7796" t="s">
        <v>30378</v>
      </c>
      <c r="B7796" t="s">
        <v>20068</v>
      </c>
      <c r="C7796" t="s">
        <v>20069</v>
      </c>
      <c r="D7796" t="str">
        <f>"1001"</f>
        <v>1001</v>
      </c>
      <c r="E7796" t="s">
        <v>42</v>
      </c>
      <c r="F7796" t="s">
        <v>19908</v>
      </c>
      <c r="G7796" t="s">
        <v>16221</v>
      </c>
      <c r="H7796" t="s">
        <v>47054</v>
      </c>
      <c r="I7796" t="s">
        <v>47120</v>
      </c>
      <c r="J7796" t="s">
        <v>47121</v>
      </c>
      <c r="K7796" t="s">
        <v>47113</v>
      </c>
      <c r="L7796">
        <v>16.329999999999998</v>
      </c>
      <c r="M7796">
        <v>37</v>
      </c>
      <c r="N7796">
        <v>0</v>
      </c>
      <c r="O7796">
        <v>37</v>
      </c>
      <c r="P7796">
        <v>0</v>
      </c>
    </row>
    <row r="7797" spans="1:16" x14ac:dyDescent="0.25">
      <c r="A7797" t="s">
        <v>30379</v>
      </c>
      <c r="B7797" t="s">
        <v>20068</v>
      </c>
      <c r="C7797" t="s">
        <v>20069</v>
      </c>
      <c r="D7797" t="str">
        <f>"6090"</f>
        <v>6090</v>
      </c>
      <c r="E7797" t="s">
        <v>1823</v>
      </c>
      <c r="F7797" t="s">
        <v>19908</v>
      </c>
      <c r="G7797" t="s">
        <v>16221</v>
      </c>
      <c r="H7797" t="s">
        <v>47054</v>
      </c>
      <c r="I7797" t="s">
        <v>47120</v>
      </c>
      <c r="J7797" t="s">
        <v>47121</v>
      </c>
      <c r="K7797" t="s">
        <v>47113</v>
      </c>
      <c r="L7797">
        <v>16.329999999999998</v>
      </c>
      <c r="M7797">
        <v>37</v>
      </c>
      <c r="N7797">
        <v>0</v>
      </c>
      <c r="O7797">
        <v>37</v>
      </c>
      <c r="P7797">
        <v>0</v>
      </c>
    </row>
    <row r="7798" spans="1:16" x14ac:dyDescent="0.25">
      <c r="A7798" t="s">
        <v>30380</v>
      </c>
      <c r="B7798" t="s">
        <v>15365</v>
      </c>
      <c r="C7798" t="s">
        <v>16965</v>
      </c>
      <c r="D7798" t="str">
        <f>"4100"</f>
        <v>4100</v>
      </c>
      <c r="E7798" t="s">
        <v>15303</v>
      </c>
      <c r="F7798" t="s">
        <v>15183</v>
      </c>
      <c r="G7798" t="s">
        <v>16221</v>
      </c>
      <c r="H7798" t="s">
        <v>47054</v>
      </c>
      <c r="I7798" t="s">
        <v>47569</v>
      </c>
      <c r="J7798" t="s">
        <v>47570</v>
      </c>
      <c r="K7798" t="s">
        <v>47113</v>
      </c>
      <c r="L7798">
        <v>17.190000000000001</v>
      </c>
      <c r="M7798">
        <v>33</v>
      </c>
      <c r="N7798">
        <v>0</v>
      </c>
      <c r="O7798">
        <v>33</v>
      </c>
      <c r="P7798">
        <v>0</v>
      </c>
    </row>
    <row r="7799" spans="1:16" x14ac:dyDescent="0.25">
      <c r="A7799" t="s">
        <v>30381</v>
      </c>
      <c r="B7799" t="s">
        <v>15365</v>
      </c>
      <c r="C7799" t="s">
        <v>16965</v>
      </c>
      <c r="D7799" t="str">
        <f>"6003"</f>
        <v>6003</v>
      </c>
      <c r="E7799" t="s">
        <v>15366</v>
      </c>
      <c r="F7799" t="s">
        <v>15183</v>
      </c>
      <c r="G7799" t="s">
        <v>16221</v>
      </c>
      <c r="H7799" t="s">
        <v>47054</v>
      </c>
      <c r="I7799" t="s">
        <v>47569</v>
      </c>
      <c r="J7799" t="s">
        <v>47570</v>
      </c>
      <c r="K7799" t="s">
        <v>47113</v>
      </c>
      <c r="L7799">
        <v>17.190000000000001</v>
      </c>
      <c r="M7799">
        <v>33</v>
      </c>
      <c r="N7799">
        <v>0</v>
      </c>
      <c r="O7799">
        <v>33</v>
      </c>
      <c r="P7799">
        <v>0</v>
      </c>
    </row>
    <row r="7800" spans="1:16" x14ac:dyDescent="0.25">
      <c r="A7800" t="s">
        <v>30382</v>
      </c>
      <c r="B7800" t="s">
        <v>15367</v>
      </c>
      <c r="C7800" t="s">
        <v>15368</v>
      </c>
      <c r="D7800" t="str">
        <f>"4100"</f>
        <v>4100</v>
      </c>
      <c r="E7800" t="s">
        <v>15303</v>
      </c>
      <c r="F7800" t="s">
        <v>15183</v>
      </c>
      <c r="G7800" t="s">
        <v>16221</v>
      </c>
      <c r="H7800" t="s">
        <v>47054</v>
      </c>
      <c r="I7800" t="s">
        <v>47111</v>
      </c>
      <c r="J7800" t="s">
        <v>47112</v>
      </c>
      <c r="K7800" t="s">
        <v>47113</v>
      </c>
      <c r="L7800">
        <v>13.14</v>
      </c>
      <c r="M7800">
        <v>29</v>
      </c>
      <c r="N7800">
        <v>0</v>
      </c>
      <c r="O7800">
        <v>29</v>
      </c>
      <c r="P7800">
        <v>0</v>
      </c>
    </row>
    <row r="7801" spans="1:16" x14ac:dyDescent="0.25">
      <c r="A7801" t="s">
        <v>30383</v>
      </c>
      <c r="B7801" t="s">
        <v>15367</v>
      </c>
      <c r="C7801" t="s">
        <v>15368</v>
      </c>
      <c r="D7801" t="str">
        <f>"6069"</f>
        <v>6069</v>
      </c>
      <c r="E7801" t="s">
        <v>15366</v>
      </c>
      <c r="F7801" t="s">
        <v>15183</v>
      </c>
      <c r="G7801" t="s">
        <v>16221</v>
      </c>
      <c r="H7801" t="s">
        <v>47054</v>
      </c>
      <c r="I7801" t="s">
        <v>47111</v>
      </c>
      <c r="J7801" t="s">
        <v>47112</v>
      </c>
      <c r="K7801" t="s">
        <v>47113</v>
      </c>
      <c r="L7801">
        <v>13.14</v>
      </c>
      <c r="M7801">
        <v>29</v>
      </c>
      <c r="N7801">
        <v>0</v>
      </c>
      <c r="O7801">
        <v>29</v>
      </c>
      <c r="P7801">
        <v>0</v>
      </c>
    </row>
    <row r="7802" spans="1:16" x14ac:dyDescent="0.25">
      <c r="A7802" t="s">
        <v>30384</v>
      </c>
      <c r="B7802" t="s">
        <v>15369</v>
      </c>
      <c r="C7802" t="s">
        <v>15370</v>
      </c>
      <c r="D7802" t="str">
        <f>"1106"</f>
        <v>1106</v>
      </c>
      <c r="E7802" t="s">
        <v>460</v>
      </c>
      <c r="F7802" t="s">
        <v>15183</v>
      </c>
      <c r="G7802" t="s">
        <v>16221</v>
      </c>
      <c r="H7802" t="s">
        <v>47054</v>
      </c>
      <c r="I7802" t="s">
        <v>47569</v>
      </c>
      <c r="J7802" t="s">
        <v>47570</v>
      </c>
      <c r="K7802" t="s">
        <v>47113</v>
      </c>
      <c r="L7802">
        <v>31.96</v>
      </c>
      <c r="M7802">
        <v>26</v>
      </c>
      <c r="N7802">
        <v>0</v>
      </c>
      <c r="O7802">
        <v>26</v>
      </c>
      <c r="P7802">
        <v>0</v>
      </c>
    </row>
    <row r="7803" spans="1:16" x14ac:dyDescent="0.25">
      <c r="A7803" t="s">
        <v>30385</v>
      </c>
      <c r="B7803" t="s">
        <v>15369</v>
      </c>
      <c r="C7803" t="s">
        <v>15370</v>
      </c>
      <c r="D7803" t="str">
        <f>"6059"</f>
        <v>6059</v>
      </c>
      <c r="E7803" t="s">
        <v>15321</v>
      </c>
      <c r="F7803" t="s">
        <v>15183</v>
      </c>
      <c r="G7803" t="s">
        <v>16221</v>
      </c>
      <c r="H7803" t="s">
        <v>47054</v>
      </c>
      <c r="I7803" t="s">
        <v>47569</v>
      </c>
      <c r="J7803" t="s">
        <v>47570</v>
      </c>
      <c r="K7803" t="s">
        <v>47113</v>
      </c>
      <c r="L7803">
        <v>31.96</v>
      </c>
      <c r="M7803">
        <v>26</v>
      </c>
      <c r="N7803">
        <v>0</v>
      </c>
      <c r="O7803">
        <v>26</v>
      </c>
      <c r="P7803">
        <v>0</v>
      </c>
    </row>
    <row r="7804" spans="1:16" x14ac:dyDescent="0.25">
      <c r="A7804" t="s">
        <v>30386</v>
      </c>
      <c r="B7804" t="s">
        <v>20070</v>
      </c>
      <c r="C7804" t="s">
        <v>20071</v>
      </c>
      <c r="D7804" t="str">
        <f>"4100"</f>
        <v>4100</v>
      </c>
      <c r="E7804" t="s">
        <v>2383</v>
      </c>
      <c r="F7804" t="s">
        <v>19847</v>
      </c>
      <c r="G7804" t="s">
        <v>16221</v>
      </c>
      <c r="H7804" t="s">
        <v>47054</v>
      </c>
      <c r="I7804" t="s">
        <v>47120</v>
      </c>
      <c r="J7804" t="s">
        <v>47121</v>
      </c>
      <c r="K7804" t="s">
        <v>47113</v>
      </c>
      <c r="L7804">
        <v>16.72</v>
      </c>
      <c r="M7804">
        <v>37</v>
      </c>
      <c r="N7804">
        <v>0</v>
      </c>
      <c r="O7804">
        <v>37</v>
      </c>
      <c r="P7804">
        <v>0</v>
      </c>
    </row>
    <row r="7805" spans="1:16" x14ac:dyDescent="0.25">
      <c r="A7805" t="s">
        <v>30387</v>
      </c>
      <c r="B7805" t="s">
        <v>20072</v>
      </c>
      <c r="C7805" t="s">
        <v>20073</v>
      </c>
      <c r="D7805" t="str">
        <f>"4100"</f>
        <v>4100</v>
      </c>
      <c r="E7805" t="s">
        <v>2383</v>
      </c>
      <c r="F7805" t="s">
        <v>19908</v>
      </c>
      <c r="G7805" t="s">
        <v>16221</v>
      </c>
      <c r="H7805" t="s">
        <v>47054</v>
      </c>
      <c r="I7805" t="s">
        <v>47569</v>
      </c>
      <c r="J7805" t="s">
        <v>47570</v>
      </c>
      <c r="K7805" t="s">
        <v>47113</v>
      </c>
      <c r="L7805">
        <v>12.16</v>
      </c>
      <c r="M7805">
        <v>26</v>
      </c>
      <c r="N7805">
        <v>0</v>
      </c>
      <c r="O7805">
        <v>26</v>
      </c>
      <c r="P7805">
        <v>0</v>
      </c>
    </row>
    <row r="7806" spans="1:16" x14ac:dyDescent="0.25">
      <c r="A7806" t="s">
        <v>30388</v>
      </c>
      <c r="B7806" t="s">
        <v>20072</v>
      </c>
      <c r="C7806" t="s">
        <v>20073</v>
      </c>
      <c r="D7806" t="str">
        <f>"6090"</f>
        <v>6090</v>
      </c>
      <c r="E7806" t="s">
        <v>1823</v>
      </c>
      <c r="F7806" t="s">
        <v>19908</v>
      </c>
      <c r="G7806" t="s">
        <v>16221</v>
      </c>
      <c r="H7806" t="s">
        <v>47054</v>
      </c>
      <c r="I7806" t="s">
        <v>47569</v>
      </c>
      <c r="J7806" t="s">
        <v>47570</v>
      </c>
      <c r="K7806" t="s">
        <v>47113</v>
      </c>
      <c r="L7806">
        <v>12.16</v>
      </c>
      <c r="M7806">
        <v>26</v>
      </c>
      <c r="N7806">
        <v>0</v>
      </c>
      <c r="O7806">
        <v>26</v>
      </c>
      <c r="P7806">
        <v>0</v>
      </c>
    </row>
    <row r="7807" spans="1:16" x14ac:dyDescent="0.25">
      <c r="A7807" t="s">
        <v>30389</v>
      </c>
      <c r="B7807" t="s">
        <v>16966</v>
      </c>
      <c r="C7807" t="s">
        <v>16967</v>
      </c>
      <c r="D7807" t="str">
        <f>"1106"</f>
        <v>1106</v>
      </c>
      <c r="E7807" t="s">
        <v>460</v>
      </c>
      <c r="F7807" t="s">
        <v>16730</v>
      </c>
      <c r="G7807" t="s">
        <v>16232</v>
      </c>
      <c r="H7807" t="s">
        <v>47054</v>
      </c>
      <c r="I7807" t="s">
        <v>47569</v>
      </c>
      <c r="J7807" t="s">
        <v>47570</v>
      </c>
      <c r="K7807" t="s">
        <v>47113</v>
      </c>
      <c r="L7807">
        <v>15.57</v>
      </c>
      <c r="M7807">
        <v>33</v>
      </c>
      <c r="N7807">
        <v>0</v>
      </c>
      <c r="O7807">
        <v>33</v>
      </c>
      <c r="P7807">
        <v>0</v>
      </c>
    </row>
    <row r="7808" spans="1:16" x14ac:dyDescent="0.25">
      <c r="A7808" t="s">
        <v>30390</v>
      </c>
      <c r="B7808" t="s">
        <v>16966</v>
      </c>
      <c r="C7808" t="s">
        <v>16967</v>
      </c>
      <c r="D7808" t="str">
        <f>"1800"</f>
        <v>1800</v>
      </c>
      <c r="E7808" t="s">
        <v>1999</v>
      </c>
      <c r="F7808" t="s">
        <v>16730</v>
      </c>
      <c r="G7808" t="s">
        <v>16232</v>
      </c>
      <c r="H7808" t="s">
        <v>47054</v>
      </c>
      <c r="I7808" t="s">
        <v>47569</v>
      </c>
      <c r="J7808" t="s">
        <v>47570</v>
      </c>
      <c r="K7808" t="s">
        <v>47113</v>
      </c>
      <c r="L7808">
        <v>15.57</v>
      </c>
      <c r="M7808">
        <v>33</v>
      </c>
      <c r="N7808">
        <v>0</v>
      </c>
      <c r="O7808">
        <v>33</v>
      </c>
      <c r="P7808">
        <v>0</v>
      </c>
    </row>
    <row r="7809" spans="1:16" x14ac:dyDescent="0.25">
      <c r="A7809" t="s">
        <v>30391</v>
      </c>
      <c r="B7809" t="s">
        <v>16966</v>
      </c>
      <c r="C7809" t="s">
        <v>16967</v>
      </c>
      <c r="D7809" t="str">
        <f>"4403"</f>
        <v>4403</v>
      </c>
      <c r="E7809" t="s">
        <v>15303</v>
      </c>
      <c r="F7809" t="s">
        <v>16730</v>
      </c>
      <c r="G7809" t="s">
        <v>16232</v>
      </c>
      <c r="H7809" t="s">
        <v>47054</v>
      </c>
      <c r="I7809" t="s">
        <v>47569</v>
      </c>
      <c r="J7809" t="s">
        <v>47570</v>
      </c>
      <c r="K7809" t="s">
        <v>47113</v>
      </c>
      <c r="L7809">
        <v>15.57</v>
      </c>
      <c r="M7809">
        <v>33</v>
      </c>
      <c r="N7809">
        <v>0</v>
      </c>
      <c r="O7809">
        <v>33</v>
      </c>
      <c r="P7809">
        <v>0</v>
      </c>
    </row>
    <row r="7810" spans="1:16" x14ac:dyDescent="0.25">
      <c r="A7810" t="s">
        <v>30392</v>
      </c>
      <c r="B7810" t="s">
        <v>16966</v>
      </c>
      <c r="C7810" t="s">
        <v>16967</v>
      </c>
      <c r="D7810" t="str">
        <f>"5000"</f>
        <v>5000</v>
      </c>
      <c r="E7810" t="s">
        <v>16881</v>
      </c>
      <c r="F7810" t="s">
        <v>16730</v>
      </c>
      <c r="G7810" t="s">
        <v>16232</v>
      </c>
      <c r="H7810" t="s">
        <v>47054</v>
      </c>
      <c r="I7810" t="s">
        <v>47569</v>
      </c>
      <c r="J7810" t="s">
        <v>47570</v>
      </c>
      <c r="K7810" t="s">
        <v>47113</v>
      </c>
      <c r="L7810">
        <v>15.57</v>
      </c>
      <c r="M7810">
        <v>33</v>
      </c>
      <c r="N7810">
        <v>0</v>
      </c>
      <c r="O7810">
        <v>33</v>
      </c>
      <c r="P7810">
        <v>0</v>
      </c>
    </row>
    <row r="7811" spans="1:16" x14ac:dyDescent="0.25">
      <c r="A7811" t="s">
        <v>30393</v>
      </c>
      <c r="B7811" t="s">
        <v>16966</v>
      </c>
      <c r="C7811" t="s">
        <v>16967</v>
      </c>
      <c r="D7811" t="str">
        <f>"6000"</f>
        <v>6000</v>
      </c>
      <c r="E7811" t="s">
        <v>16882</v>
      </c>
      <c r="F7811" t="s">
        <v>16730</v>
      </c>
      <c r="G7811" t="s">
        <v>16232</v>
      </c>
      <c r="H7811" t="s">
        <v>47054</v>
      </c>
      <c r="I7811" t="s">
        <v>47569</v>
      </c>
      <c r="J7811" t="s">
        <v>47570</v>
      </c>
      <c r="K7811" t="s">
        <v>47113</v>
      </c>
      <c r="L7811">
        <v>15.57</v>
      </c>
      <c r="M7811">
        <v>33</v>
      </c>
      <c r="N7811">
        <v>0</v>
      </c>
      <c r="O7811">
        <v>33</v>
      </c>
      <c r="P7811">
        <v>0</v>
      </c>
    </row>
    <row r="7812" spans="1:16" x14ac:dyDescent="0.25">
      <c r="A7812" t="s">
        <v>30394</v>
      </c>
      <c r="B7812" t="s">
        <v>16295</v>
      </c>
      <c r="C7812" t="s">
        <v>16296</v>
      </c>
      <c r="D7812" t="str">
        <f>"1200"</f>
        <v>1200</v>
      </c>
      <c r="E7812" t="s">
        <v>16297</v>
      </c>
      <c r="F7812" t="s">
        <v>15183</v>
      </c>
      <c r="G7812" t="s">
        <v>16232</v>
      </c>
      <c r="H7812" t="s">
        <v>47054</v>
      </c>
      <c r="I7812" t="s">
        <v>47120</v>
      </c>
      <c r="J7812" t="s">
        <v>47121</v>
      </c>
      <c r="K7812" t="s">
        <v>47113</v>
      </c>
      <c r="L7812">
        <v>13.58</v>
      </c>
      <c r="M7812">
        <v>37</v>
      </c>
      <c r="N7812">
        <v>0</v>
      </c>
      <c r="O7812">
        <v>37</v>
      </c>
      <c r="P7812">
        <v>0</v>
      </c>
    </row>
    <row r="7813" spans="1:16" x14ac:dyDescent="0.25">
      <c r="A7813" t="s">
        <v>30395</v>
      </c>
      <c r="B7813" t="s">
        <v>20074</v>
      </c>
      <c r="C7813" t="s">
        <v>20075</v>
      </c>
      <c r="D7813" t="str">
        <f>"1106"</f>
        <v>1106</v>
      </c>
      <c r="E7813" t="s">
        <v>42</v>
      </c>
      <c r="F7813" t="s">
        <v>19559</v>
      </c>
      <c r="G7813" t="s">
        <v>16232</v>
      </c>
      <c r="H7813" t="s">
        <v>47054</v>
      </c>
      <c r="I7813" t="s">
        <v>47120</v>
      </c>
      <c r="J7813" t="s">
        <v>47121</v>
      </c>
      <c r="K7813" t="s">
        <v>47113</v>
      </c>
      <c r="L7813">
        <v>15.62</v>
      </c>
      <c r="M7813">
        <v>37</v>
      </c>
      <c r="N7813">
        <v>0</v>
      </c>
      <c r="O7813">
        <v>37</v>
      </c>
      <c r="P7813">
        <v>0</v>
      </c>
    </row>
    <row r="7814" spans="1:16" x14ac:dyDescent="0.25">
      <c r="A7814" t="s">
        <v>30396</v>
      </c>
      <c r="B7814" t="s">
        <v>20074</v>
      </c>
      <c r="C7814" t="s">
        <v>20075</v>
      </c>
      <c r="D7814" t="str">
        <f>"3071"</f>
        <v>3071</v>
      </c>
      <c r="E7814" t="s">
        <v>20005</v>
      </c>
      <c r="F7814" t="s">
        <v>19559</v>
      </c>
      <c r="G7814" t="s">
        <v>16232</v>
      </c>
      <c r="H7814" t="s">
        <v>47054</v>
      </c>
      <c r="I7814" t="s">
        <v>47120</v>
      </c>
      <c r="J7814" t="s">
        <v>47121</v>
      </c>
      <c r="K7814" t="s">
        <v>47113</v>
      </c>
      <c r="L7814">
        <v>15.62</v>
      </c>
      <c r="M7814">
        <v>37</v>
      </c>
      <c r="N7814">
        <v>0</v>
      </c>
      <c r="O7814">
        <v>37</v>
      </c>
      <c r="P7814">
        <v>0</v>
      </c>
    </row>
    <row r="7815" spans="1:16" x14ac:dyDescent="0.25">
      <c r="A7815" t="s">
        <v>30397</v>
      </c>
      <c r="B7815" t="s">
        <v>20074</v>
      </c>
      <c r="C7815" t="s">
        <v>20075</v>
      </c>
      <c r="D7815" t="str">
        <f>"4002"</f>
        <v>4002</v>
      </c>
      <c r="E7815" t="s">
        <v>710</v>
      </c>
      <c r="F7815" t="s">
        <v>19559</v>
      </c>
      <c r="G7815" t="s">
        <v>16232</v>
      </c>
      <c r="H7815" t="s">
        <v>47054</v>
      </c>
      <c r="I7815" t="s">
        <v>47120</v>
      </c>
      <c r="J7815" t="s">
        <v>47121</v>
      </c>
      <c r="K7815" t="s">
        <v>47113</v>
      </c>
      <c r="L7815">
        <v>15.62</v>
      </c>
      <c r="M7815">
        <v>37</v>
      </c>
      <c r="N7815">
        <v>0</v>
      </c>
      <c r="O7815">
        <v>37</v>
      </c>
      <c r="P7815">
        <v>0</v>
      </c>
    </row>
    <row r="7816" spans="1:16" x14ac:dyDescent="0.25">
      <c r="A7816" t="s">
        <v>30398</v>
      </c>
      <c r="B7816" t="s">
        <v>20074</v>
      </c>
      <c r="C7816" t="s">
        <v>20075</v>
      </c>
      <c r="D7816" t="str">
        <f>"4168"</f>
        <v>4168</v>
      </c>
      <c r="E7816" t="s">
        <v>4175</v>
      </c>
      <c r="F7816" t="s">
        <v>19559</v>
      </c>
      <c r="G7816" t="s">
        <v>16232</v>
      </c>
      <c r="H7816" t="s">
        <v>47054</v>
      </c>
      <c r="I7816" t="s">
        <v>47120</v>
      </c>
      <c r="J7816" t="s">
        <v>47121</v>
      </c>
      <c r="K7816" t="s">
        <v>47113</v>
      </c>
      <c r="L7816">
        <v>15.62</v>
      </c>
      <c r="M7816">
        <v>37</v>
      </c>
      <c r="N7816">
        <v>0</v>
      </c>
      <c r="O7816">
        <v>37</v>
      </c>
      <c r="P7816">
        <v>0</v>
      </c>
    </row>
    <row r="7817" spans="1:16" x14ac:dyDescent="0.25">
      <c r="A7817" t="s">
        <v>30399</v>
      </c>
      <c r="B7817" t="s">
        <v>16968</v>
      </c>
      <c r="C7817" t="s">
        <v>16969</v>
      </c>
      <c r="D7817" t="str">
        <f>"7008"</f>
        <v>7008</v>
      </c>
      <c r="E7817" t="s">
        <v>16970</v>
      </c>
      <c r="F7817" t="s">
        <v>16746</v>
      </c>
      <c r="G7817" t="s">
        <v>16230</v>
      </c>
      <c r="H7817" t="s">
        <v>47054</v>
      </c>
      <c r="I7817" t="s">
        <v>47120</v>
      </c>
      <c r="J7817" t="s">
        <v>47121</v>
      </c>
      <c r="K7817" t="s">
        <v>47113</v>
      </c>
      <c r="L7817">
        <v>27.35</v>
      </c>
      <c r="M7817">
        <v>55</v>
      </c>
      <c r="N7817">
        <v>0</v>
      </c>
      <c r="O7817">
        <v>55</v>
      </c>
      <c r="P7817">
        <v>0</v>
      </c>
    </row>
    <row r="7818" spans="1:16" x14ac:dyDescent="0.25">
      <c r="A7818" t="s">
        <v>30400</v>
      </c>
      <c r="B7818" t="s">
        <v>20076</v>
      </c>
      <c r="C7818" t="s">
        <v>20077</v>
      </c>
      <c r="D7818" t="str">
        <f>"4000"</f>
        <v>4000</v>
      </c>
      <c r="E7818" t="s">
        <v>16567</v>
      </c>
      <c r="F7818" t="s">
        <v>19847</v>
      </c>
      <c r="G7818" t="s">
        <v>16230</v>
      </c>
      <c r="H7818" t="s">
        <v>47054</v>
      </c>
      <c r="I7818" t="s">
        <v>47120</v>
      </c>
      <c r="J7818" t="s">
        <v>47121</v>
      </c>
      <c r="K7818" t="s">
        <v>47113</v>
      </c>
      <c r="L7818">
        <v>26.4</v>
      </c>
      <c r="M7818">
        <v>57</v>
      </c>
      <c r="N7818">
        <v>0</v>
      </c>
      <c r="O7818">
        <v>57</v>
      </c>
      <c r="P7818">
        <v>0</v>
      </c>
    </row>
    <row r="7819" spans="1:16" x14ac:dyDescent="0.25">
      <c r="A7819" t="s">
        <v>30401</v>
      </c>
      <c r="B7819" t="s">
        <v>20076</v>
      </c>
      <c r="C7819" t="s">
        <v>20077</v>
      </c>
      <c r="D7819" t="str">
        <f>"4143"</f>
        <v>4143</v>
      </c>
      <c r="E7819" t="s">
        <v>20078</v>
      </c>
      <c r="F7819" t="s">
        <v>19847</v>
      </c>
      <c r="G7819" t="s">
        <v>16230</v>
      </c>
      <c r="H7819" t="s">
        <v>47054</v>
      </c>
      <c r="I7819" t="s">
        <v>47120</v>
      </c>
      <c r="J7819" t="s">
        <v>47121</v>
      </c>
      <c r="K7819" t="s">
        <v>47113</v>
      </c>
      <c r="L7819">
        <v>26.4</v>
      </c>
      <c r="M7819">
        <v>59</v>
      </c>
      <c r="N7819">
        <v>0</v>
      </c>
      <c r="O7819">
        <v>59</v>
      </c>
      <c r="P7819">
        <v>0</v>
      </c>
    </row>
    <row r="7820" spans="1:16" x14ac:dyDescent="0.25">
      <c r="A7820" t="s">
        <v>30402</v>
      </c>
      <c r="B7820" t="s">
        <v>20076</v>
      </c>
      <c r="C7820" t="s">
        <v>20077</v>
      </c>
      <c r="D7820" t="str">
        <f>"4935"</f>
        <v>4935</v>
      </c>
      <c r="E7820" t="s">
        <v>2383</v>
      </c>
      <c r="F7820" t="s">
        <v>19847</v>
      </c>
      <c r="G7820" t="s">
        <v>16230</v>
      </c>
      <c r="H7820" t="s">
        <v>47054</v>
      </c>
      <c r="I7820" t="s">
        <v>47120</v>
      </c>
      <c r="J7820" t="s">
        <v>47121</v>
      </c>
      <c r="K7820" t="s">
        <v>47113</v>
      </c>
      <c r="L7820">
        <v>26.4</v>
      </c>
      <c r="M7820">
        <v>59</v>
      </c>
      <c r="N7820">
        <v>0</v>
      </c>
      <c r="O7820">
        <v>59</v>
      </c>
      <c r="P7820">
        <v>0</v>
      </c>
    </row>
    <row r="7821" spans="1:16" x14ac:dyDescent="0.25">
      <c r="A7821" t="s">
        <v>30403</v>
      </c>
      <c r="B7821" t="s">
        <v>20079</v>
      </c>
      <c r="C7821" t="s">
        <v>20080</v>
      </c>
      <c r="D7821" t="str">
        <f>"4143"</f>
        <v>4143</v>
      </c>
      <c r="E7821" t="s">
        <v>2383</v>
      </c>
      <c r="F7821" t="s">
        <v>16933</v>
      </c>
      <c r="G7821" t="s">
        <v>16230</v>
      </c>
      <c r="H7821" t="s">
        <v>47054</v>
      </c>
      <c r="I7821" t="s">
        <v>47120</v>
      </c>
      <c r="J7821" t="s">
        <v>47121</v>
      </c>
      <c r="K7821" t="s">
        <v>47113</v>
      </c>
      <c r="L7821">
        <v>22.81</v>
      </c>
      <c r="M7821">
        <v>44</v>
      </c>
      <c r="N7821">
        <v>0</v>
      </c>
      <c r="O7821">
        <v>44</v>
      </c>
      <c r="P7821">
        <v>0</v>
      </c>
    </row>
    <row r="7822" spans="1:16" x14ac:dyDescent="0.25">
      <c r="A7822" t="s">
        <v>30404</v>
      </c>
      <c r="B7822" t="s">
        <v>20081</v>
      </c>
      <c r="C7822" t="s">
        <v>20082</v>
      </c>
      <c r="D7822" t="str">
        <f>"4100"</f>
        <v>4100</v>
      </c>
      <c r="E7822" t="s">
        <v>2383</v>
      </c>
      <c r="F7822" t="s">
        <v>16933</v>
      </c>
      <c r="G7822" t="s">
        <v>16221</v>
      </c>
      <c r="H7822" t="s">
        <v>47054</v>
      </c>
      <c r="I7822" t="s">
        <v>47118</v>
      </c>
      <c r="J7822" t="s">
        <v>47119</v>
      </c>
      <c r="K7822" t="s">
        <v>47113</v>
      </c>
      <c r="L7822">
        <v>13.64</v>
      </c>
      <c r="M7822">
        <v>29</v>
      </c>
      <c r="N7822">
        <v>0</v>
      </c>
      <c r="O7822">
        <v>29</v>
      </c>
      <c r="P7822">
        <v>0</v>
      </c>
    </row>
    <row r="7823" spans="1:16" x14ac:dyDescent="0.25">
      <c r="A7823" t="s">
        <v>30405</v>
      </c>
      <c r="B7823" t="s">
        <v>20081</v>
      </c>
      <c r="C7823" t="s">
        <v>20082</v>
      </c>
      <c r="D7823" t="str">
        <f>"6000"</f>
        <v>6000</v>
      </c>
      <c r="E7823" t="s">
        <v>6279</v>
      </c>
      <c r="F7823" t="s">
        <v>16933</v>
      </c>
      <c r="G7823" t="s">
        <v>16221</v>
      </c>
      <c r="H7823" t="s">
        <v>47054</v>
      </c>
      <c r="I7823" t="s">
        <v>47118</v>
      </c>
      <c r="J7823" t="s">
        <v>47119</v>
      </c>
      <c r="K7823" t="s">
        <v>47113</v>
      </c>
      <c r="L7823">
        <v>17.600000000000001</v>
      </c>
      <c r="M7823">
        <v>37</v>
      </c>
      <c r="N7823">
        <v>0</v>
      </c>
      <c r="O7823">
        <v>37</v>
      </c>
      <c r="P7823">
        <v>0</v>
      </c>
    </row>
    <row r="7824" spans="1:16" x14ac:dyDescent="0.25">
      <c r="A7824" t="s">
        <v>30406</v>
      </c>
      <c r="B7824" t="s">
        <v>16971</v>
      </c>
      <c r="C7824" t="s">
        <v>16972</v>
      </c>
      <c r="D7824" t="str">
        <f>"4143"</f>
        <v>4143</v>
      </c>
      <c r="E7824" t="s">
        <v>261</v>
      </c>
      <c r="F7824" t="s">
        <v>16746</v>
      </c>
      <c r="G7824" t="s">
        <v>16232</v>
      </c>
      <c r="H7824" t="s">
        <v>47054</v>
      </c>
      <c r="I7824" t="s">
        <v>47120</v>
      </c>
      <c r="J7824" t="s">
        <v>47121</v>
      </c>
      <c r="K7824" t="s">
        <v>47113</v>
      </c>
      <c r="L7824">
        <v>18.399999999999999</v>
      </c>
      <c r="M7824">
        <v>37</v>
      </c>
      <c r="N7824">
        <v>0</v>
      </c>
      <c r="O7824">
        <v>37</v>
      </c>
      <c r="P7824">
        <v>0</v>
      </c>
    </row>
    <row r="7825" spans="1:16" x14ac:dyDescent="0.25">
      <c r="A7825" t="s">
        <v>30407</v>
      </c>
      <c r="B7825" t="s">
        <v>15371</v>
      </c>
      <c r="C7825" t="s">
        <v>15372</v>
      </c>
      <c r="D7825" t="str">
        <f>"1501"</f>
        <v>1501</v>
      </c>
      <c r="E7825" t="s">
        <v>46</v>
      </c>
      <c r="F7825" t="s">
        <v>15183</v>
      </c>
      <c r="G7825" t="s">
        <v>16222</v>
      </c>
      <c r="H7825" t="s">
        <v>47054</v>
      </c>
      <c r="I7825" t="s">
        <v>47569</v>
      </c>
      <c r="J7825" t="s">
        <v>47570</v>
      </c>
      <c r="K7825" t="s">
        <v>47113</v>
      </c>
      <c r="L7825">
        <v>34.159999999999997</v>
      </c>
      <c r="M7825">
        <v>51</v>
      </c>
      <c r="N7825">
        <v>0</v>
      </c>
      <c r="O7825">
        <v>51</v>
      </c>
      <c r="P7825">
        <v>0</v>
      </c>
    </row>
    <row r="7826" spans="1:16" x14ac:dyDescent="0.25">
      <c r="A7826" t="s">
        <v>30408</v>
      </c>
      <c r="B7826" t="s">
        <v>20083</v>
      </c>
      <c r="C7826" t="s">
        <v>4762</v>
      </c>
      <c r="D7826" t="str">
        <f>"1001"</f>
        <v>1001</v>
      </c>
      <c r="E7826" t="s">
        <v>460</v>
      </c>
      <c r="F7826" t="s">
        <v>19559</v>
      </c>
      <c r="G7826" t="s">
        <v>16222</v>
      </c>
      <c r="H7826" t="s">
        <v>47054</v>
      </c>
      <c r="I7826" t="s">
        <v>47120</v>
      </c>
      <c r="J7826" t="s">
        <v>47121</v>
      </c>
      <c r="K7826" t="s">
        <v>47113</v>
      </c>
      <c r="L7826">
        <v>25.53</v>
      </c>
      <c r="M7826">
        <v>55</v>
      </c>
      <c r="N7826">
        <v>0</v>
      </c>
      <c r="O7826">
        <v>55</v>
      </c>
      <c r="P7826">
        <v>0</v>
      </c>
    </row>
    <row r="7827" spans="1:16" x14ac:dyDescent="0.25">
      <c r="A7827" t="s">
        <v>30409</v>
      </c>
      <c r="B7827" t="s">
        <v>20083</v>
      </c>
      <c r="C7827" t="s">
        <v>4762</v>
      </c>
      <c r="D7827" t="str">
        <f>"1501"</f>
        <v>1501</v>
      </c>
      <c r="E7827" t="s">
        <v>46</v>
      </c>
      <c r="F7827" t="s">
        <v>19559</v>
      </c>
      <c r="G7827" t="s">
        <v>16222</v>
      </c>
      <c r="H7827" t="s">
        <v>47054</v>
      </c>
      <c r="I7827" t="s">
        <v>47120</v>
      </c>
      <c r="J7827" t="s">
        <v>47121</v>
      </c>
      <c r="K7827" t="s">
        <v>47113</v>
      </c>
      <c r="L7827">
        <v>25.53</v>
      </c>
      <c r="M7827">
        <v>55</v>
      </c>
      <c r="N7827">
        <v>0</v>
      </c>
      <c r="O7827">
        <v>55</v>
      </c>
      <c r="P7827">
        <v>0</v>
      </c>
    </row>
    <row r="7828" spans="1:16" x14ac:dyDescent="0.25">
      <c r="A7828" t="s">
        <v>30410</v>
      </c>
      <c r="B7828" t="s">
        <v>20083</v>
      </c>
      <c r="C7828" t="s">
        <v>4762</v>
      </c>
      <c r="D7828" t="str">
        <f>"6064"</f>
        <v>6064</v>
      </c>
      <c r="E7828" t="s">
        <v>87</v>
      </c>
      <c r="F7828" t="s">
        <v>19559</v>
      </c>
      <c r="G7828" t="s">
        <v>16222</v>
      </c>
      <c r="H7828" t="s">
        <v>47054</v>
      </c>
      <c r="I7828" t="s">
        <v>47120</v>
      </c>
      <c r="J7828" t="s">
        <v>47121</v>
      </c>
      <c r="K7828" t="s">
        <v>47113</v>
      </c>
      <c r="L7828">
        <v>25.53</v>
      </c>
      <c r="M7828">
        <v>55</v>
      </c>
      <c r="N7828">
        <v>0</v>
      </c>
      <c r="O7828">
        <v>55</v>
      </c>
      <c r="P7828">
        <v>0</v>
      </c>
    </row>
    <row r="7829" spans="1:16" x14ac:dyDescent="0.25">
      <c r="A7829" t="s">
        <v>30411</v>
      </c>
      <c r="B7829" t="s">
        <v>16973</v>
      </c>
      <c r="C7829" t="s">
        <v>16944</v>
      </c>
      <c r="D7829" t="s">
        <v>16974</v>
      </c>
      <c r="E7829" t="s">
        <v>16975</v>
      </c>
      <c r="F7829" t="s">
        <v>16601</v>
      </c>
      <c r="G7829" t="s">
        <v>16231</v>
      </c>
      <c r="H7829" t="s">
        <v>47054</v>
      </c>
      <c r="I7829" t="s">
        <v>47116</v>
      </c>
      <c r="J7829" t="s">
        <v>47117</v>
      </c>
      <c r="K7829" t="s">
        <v>47113</v>
      </c>
      <c r="L7829">
        <v>72.59</v>
      </c>
      <c r="M7829">
        <v>137</v>
      </c>
      <c r="N7829">
        <v>0</v>
      </c>
      <c r="O7829">
        <v>137</v>
      </c>
      <c r="P7829">
        <v>0</v>
      </c>
    </row>
    <row r="7830" spans="1:16" x14ac:dyDescent="0.25">
      <c r="A7830" t="s">
        <v>30412</v>
      </c>
      <c r="B7830" t="s">
        <v>16976</v>
      </c>
      <c r="C7830" t="s">
        <v>16944</v>
      </c>
      <c r="D7830" t="str">
        <f>"1821"</f>
        <v>1821</v>
      </c>
      <c r="E7830" t="s">
        <v>590</v>
      </c>
      <c r="F7830" t="s">
        <v>16601</v>
      </c>
      <c r="G7830" t="s">
        <v>16231</v>
      </c>
      <c r="H7830" t="s">
        <v>47054</v>
      </c>
      <c r="I7830" t="s">
        <v>47116</v>
      </c>
      <c r="J7830" t="s">
        <v>47117</v>
      </c>
      <c r="K7830" t="s">
        <v>47113</v>
      </c>
      <c r="L7830">
        <v>57.79</v>
      </c>
      <c r="M7830">
        <v>133</v>
      </c>
      <c r="N7830">
        <v>0</v>
      </c>
      <c r="O7830">
        <v>133</v>
      </c>
      <c r="P7830">
        <v>0</v>
      </c>
    </row>
    <row r="7831" spans="1:16" x14ac:dyDescent="0.25">
      <c r="A7831" t="s">
        <v>30413</v>
      </c>
      <c r="B7831" t="s">
        <v>15373</v>
      </c>
      <c r="C7831" t="s">
        <v>16977</v>
      </c>
      <c r="D7831" t="s">
        <v>15251</v>
      </c>
      <c r="E7831" t="s">
        <v>15252</v>
      </c>
      <c r="F7831" t="s">
        <v>15183</v>
      </c>
      <c r="G7831" t="s">
        <v>16231</v>
      </c>
      <c r="H7831" t="s">
        <v>47054</v>
      </c>
      <c r="I7831" t="s">
        <v>47111</v>
      </c>
      <c r="J7831" t="s">
        <v>47112</v>
      </c>
      <c r="K7831" t="s">
        <v>47113</v>
      </c>
      <c r="L7831">
        <v>64.650000000000006</v>
      </c>
      <c r="M7831">
        <v>122</v>
      </c>
      <c r="N7831">
        <v>0</v>
      </c>
      <c r="O7831">
        <v>122</v>
      </c>
      <c r="P7831">
        <v>0</v>
      </c>
    </row>
    <row r="7832" spans="1:16" x14ac:dyDescent="0.25">
      <c r="A7832" t="s">
        <v>30414</v>
      </c>
      <c r="B7832" t="s">
        <v>15373</v>
      </c>
      <c r="C7832" t="s">
        <v>16977</v>
      </c>
      <c r="D7832" t="s">
        <v>15253</v>
      </c>
      <c r="E7832" t="s">
        <v>15254</v>
      </c>
      <c r="F7832" t="s">
        <v>15183</v>
      </c>
      <c r="G7832" t="s">
        <v>16231</v>
      </c>
      <c r="H7832" t="s">
        <v>47054</v>
      </c>
      <c r="I7832" t="s">
        <v>47111</v>
      </c>
      <c r="J7832" t="s">
        <v>47112</v>
      </c>
      <c r="K7832" t="s">
        <v>47113</v>
      </c>
      <c r="L7832">
        <v>66.040000000000006</v>
      </c>
      <c r="M7832">
        <v>122</v>
      </c>
      <c r="N7832">
        <v>0</v>
      </c>
      <c r="O7832">
        <v>122</v>
      </c>
      <c r="P7832">
        <v>0</v>
      </c>
    </row>
    <row r="7833" spans="1:16" x14ac:dyDescent="0.25">
      <c r="A7833" t="s">
        <v>30415</v>
      </c>
      <c r="B7833" t="s">
        <v>15374</v>
      </c>
      <c r="C7833" t="s">
        <v>16978</v>
      </c>
      <c r="D7833" t="s">
        <v>15375</v>
      </c>
      <c r="E7833" t="s">
        <v>15376</v>
      </c>
      <c r="F7833" t="s">
        <v>15183</v>
      </c>
      <c r="G7833" t="s">
        <v>16231</v>
      </c>
      <c r="H7833" t="s">
        <v>47054</v>
      </c>
      <c r="I7833" t="s">
        <v>47111</v>
      </c>
      <c r="J7833" t="s">
        <v>47112</v>
      </c>
      <c r="K7833" t="s">
        <v>47113</v>
      </c>
      <c r="L7833">
        <v>41.36</v>
      </c>
      <c r="M7833">
        <v>92</v>
      </c>
      <c r="N7833">
        <v>0</v>
      </c>
      <c r="O7833">
        <v>92</v>
      </c>
      <c r="P7833">
        <v>0</v>
      </c>
    </row>
    <row r="7834" spans="1:16" x14ac:dyDescent="0.25">
      <c r="A7834" t="s">
        <v>30416</v>
      </c>
      <c r="B7834" t="s">
        <v>15377</v>
      </c>
      <c r="C7834" t="s">
        <v>16979</v>
      </c>
      <c r="D7834" t="s">
        <v>15378</v>
      </c>
      <c r="E7834" t="s">
        <v>15379</v>
      </c>
      <c r="F7834" t="s">
        <v>15183</v>
      </c>
      <c r="G7834" t="s">
        <v>16231</v>
      </c>
      <c r="H7834" t="s">
        <v>47054</v>
      </c>
      <c r="I7834" t="s">
        <v>47111</v>
      </c>
      <c r="J7834" t="s">
        <v>47112</v>
      </c>
      <c r="K7834" t="s">
        <v>47113</v>
      </c>
      <c r="L7834">
        <v>54.44</v>
      </c>
      <c r="M7834">
        <v>103</v>
      </c>
      <c r="N7834">
        <v>0</v>
      </c>
      <c r="O7834">
        <v>103</v>
      </c>
      <c r="P7834">
        <v>0</v>
      </c>
    </row>
    <row r="7835" spans="1:16" x14ac:dyDescent="0.25">
      <c r="A7835" t="s">
        <v>30417</v>
      </c>
      <c r="B7835" t="s">
        <v>16980</v>
      </c>
      <c r="C7835" t="s">
        <v>16978</v>
      </c>
      <c r="D7835" t="s">
        <v>16773</v>
      </c>
      <c r="E7835" t="s">
        <v>16774</v>
      </c>
      <c r="F7835" t="s">
        <v>16601</v>
      </c>
      <c r="G7835" t="s">
        <v>16231</v>
      </c>
      <c r="H7835" t="s">
        <v>47054</v>
      </c>
      <c r="I7835" t="s">
        <v>47111</v>
      </c>
      <c r="J7835" t="s">
        <v>47112</v>
      </c>
      <c r="K7835" t="s">
        <v>47113</v>
      </c>
      <c r="L7835">
        <v>51.41</v>
      </c>
      <c r="M7835">
        <v>92</v>
      </c>
      <c r="N7835">
        <v>0</v>
      </c>
      <c r="O7835">
        <v>92</v>
      </c>
      <c r="P7835">
        <v>0</v>
      </c>
    </row>
    <row r="7836" spans="1:16" x14ac:dyDescent="0.25">
      <c r="A7836" t="s">
        <v>30418</v>
      </c>
      <c r="B7836" t="s">
        <v>16980</v>
      </c>
      <c r="C7836" t="s">
        <v>16978</v>
      </c>
      <c r="D7836" t="s">
        <v>16857</v>
      </c>
      <c r="E7836" t="s">
        <v>16858</v>
      </c>
      <c r="F7836" t="s">
        <v>16601</v>
      </c>
      <c r="G7836" t="s">
        <v>16231</v>
      </c>
      <c r="H7836" t="s">
        <v>47054</v>
      </c>
      <c r="I7836" t="s">
        <v>47111</v>
      </c>
      <c r="J7836" t="s">
        <v>47112</v>
      </c>
      <c r="K7836" t="s">
        <v>47113</v>
      </c>
      <c r="L7836">
        <v>53.17</v>
      </c>
      <c r="M7836">
        <v>100</v>
      </c>
      <c r="N7836">
        <v>0</v>
      </c>
      <c r="O7836">
        <v>100</v>
      </c>
      <c r="P7836">
        <v>0</v>
      </c>
    </row>
    <row r="7837" spans="1:16" x14ac:dyDescent="0.25">
      <c r="A7837" t="s">
        <v>30419</v>
      </c>
      <c r="B7837" t="s">
        <v>16981</v>
      </c>
      <c r="C7837" t="s">
        <v>16978</v>
      </c>
      <c r="D7837" t="s">
        <v>16860</v>
      </c>
      <c r="E7837" t="s">
        <v>16861</v>
      </c>
      <c r="F7837" t="s">
        <v>16601</v>
      </c>
      <c r="G7837" t="s">
        <v>16231</v>
      </c>
      <c r="H7837" t="s">
        <v>47054</v>
      </c>
      <c r="I7837" t="s">
        <v>47111</v>
      </c>
      <c r="J7837" t="s">
        <v>47112</v>
      </c>
      <c r="K7837" t="s">
        <v>47113</v>
      </c>
      <c r="L7837">
        <v>66.510000000000005</v>
      </c>
      <c r="M7837">
        <v>103</v>
      </c>
      <c r="N7837">
        <v>0</v>
      </c>
      <c r="O7837">
        <v>103</v>
      </c>
      <c r="P7837">
        <v>0</v>
      </c>
    </row>
    <row r="7838" spans="1:16" x14ac:dyDescent="0.25">
      <c r="A7838" t="s">
        <v>30420</v>
      </c>
      <c r="B7838" t="s">
        <v>16982</v>
      </c>
      <c r="C7838" t="s">
        <v>16978</v>
      </c>
      <c r="D7838" t="s">
        <v>16914</v>
      </c>
      <c r="E7838" t="s">
        <v>16915</v>
      </c>
      <c r="F7838" t="s">
        <v>16623</v>
      </c>
      <c r="G7838" t="s">
        <v>16231</v>
      </c>
      <c r="H7838" t="s">
        <v>47054</v>
      </c>
      <c r="I7838" t="s">
        <v>47111</v>
      </c>
      <c r="J7838" t="s">
        <v>47112</v>
      </c>
      <c r="K7838" t="s">
        <v>47113</v>
      </c>
      <c r="L7838">
        <v>67.98</v>
      </c>
      <c r="M7838">
        <v>130</v>
      </c>
      <c r="N7838">
        <v>0</v>
      </c>
      <c r="O7838">
        <v>130</v>
      </c>
      <c r="P7838">
        <v>0</v>
      </c>
    </row>
    <row r="7839" spans="1:16" x14ac:dyDescent="0.25">
      <c r="A7839" t="s">
        <v>30421</v>
      </c>
      <c r="B7839" t="s">
        <v>20084</v>
      </c>
      <c r="C7839" t="s">
        <v>16978</v>
      </c>
      <c r="D7839" t="s">
        <v>19890</v>
      </c>
      <c r="E7839" t="s">
        <v>19891</v>
      </c>
      <c r="F7839" t="s">
        <v>16933</v>
      </c>
      <c r="G7839" t="s">
        <v>16231</v>
      </c>
      <c r="H7839" t="s">
        <v>47054</v>
      </c>
      <c r="I7839" t="s">
        <v>47111</v>
      </c>
      <c r="J7839" t="s">
        <v>47112</v>
      </c>
      <c r="K7839" t="s">
        <v>47113</v>
      </c>
      <c r="L7839">
        <v>62.71</v>
      </c>
      <c r="M7839">
        <v>129</v>
      </c>
      <c r="N7839">
        <v>0</v>
      </c>
      <c r="O7839">
        <v>129</v>
      </c>
      <c r="P7839">
        <v>0</v>
      </c>
    </row>
    <row r="7840" spans="1:16" x14ac:dyDescent="0.25">
      <c r="A7840" t="s">
        <v>30422</v>
      </c>
      <c r="B7840" t="s">
        <v>20085</v>
      </c>
      <c r="C7840" t="s">
        <v>16978</v>
      </c>
      <c r="D7840" t="s">
        <v>20024</v>
      </c>
      <c r="E7840" t="s">
        <v>20025</v>
      </c>
      <c r="F7840" t="s">
        <v>16933</v>
      </c>
      <c r="G7840" t="s">
        <v>16231</v>
      </c>
      <c r="H7840" t="s">
        <v>47054</v>
      </c>
      <c r="I7840" t="s">
        <v>47111</v>
      </c>
      <c r="J7840" t="s">
        <v>47112</v>
      </c>
      <c r="K7840" t="s">
        <v>47113</v>
      </c>
      <c r="L7840">
        <v>64.53</v>
      </c>
      <c r="M7840">
        <v>129</v>
      </c>
      <c r="N7840">
        <v>0</v>
      </c>
      <c r="O7840">
        <v>129</v>
      </c>
      <c r="P7840">
        <v>0</v>
      </c>
    </row>
    <row r="7841" spans="1:16" x14ac:dyDescent="0.25">
      <c r="A7841" t="s">
        <v>30423</v>
      </c>
      <c r="B7841" t="s">
        <v>20086</v>
      </c>
      <c r="C7841" t="s">
        <v>16978</v>
      </c>
      <c r="D7841" t="s">
        <v>19562</v>
      </c>
      <c r="E7841" t="s">
        <v>19563</v>
      </c>
      <c r="F7841" t="s">
        <v>19559</v>
      </c>
      <c r="G7841" t="s">
        <v>16231</v>
      </c>
      <c r="H7841" t="s">
        <v>47054</v>
      </c>
      <c r="I7841" t="s">
        <v>47111</v>
      </c>
      <c r="J7841" t="s">
        <v>47112</v>
      </c>
      <c r="K7841" t="s">
        <v>47113</v>
      </c>
      <c r="L7841">
        <v>63.63</v>
      </c>
      <c r="M7841">
        <v>129</v>
      </c>
      <c r="N7841">
        <v>0</v>
      </c>
      <c r="O7841">
        <v>129</v>
      </c>
      <c r="P7841">
        <v>0</v>
      </c>
    </row>
    <row r="7842" spans="1:16" x14ac:dyDescent="0.25">
      <c r="A7842" t="s">
        <v>22748</v>
      </c>
      <c r="B7842" t="s">
        <v>20087</v>
      </c>
      <c r="C7842" t="s">
        <v>16978</v>
      </c>
      <c r="D7842" t="s">
        <v>19565</v>
      </c>
      <c r="E7842" t="s">
        <v>19566</v>
      </c>
      <c r="F7842" t="s">
        <v>19552</v>
      </c>
      <c r="G7842" t="s">
        <v>16231</v>
      </c>
      <c r="H7842" t="s">
        <v>47054</v>
      </c>
      <c r="I7842" t="s">
        <v>47116</v>
      </c>
      <c r="J7842" t="s">
        <v>47117</v>
      </c>
      <c r="K7842" t="s">
        <v>47113</v>
      </c>
      <c r="L7842">
        <v>40.119999999999997</v>
      </c>
      <c r="M7842">
        <v>85</v>
      </c>
      <c r="N7842">
        <v>0</v>
      </c>
      <c r="O7842">
        <v>85</v>
      </c>
      <c r="P7842">
        <v>0</v>
      </c>
    </row>
    <row r="7843" spans="1:16" x14ac:dyDescent="0.25">
      <c r="A7843" t="s">
        <v>30424</v>
      </c>
      <c r="B7843" t="s">
        <v>16983</v>
      </c>
      <c r="C7843" t="s">
        <v>16287</v>
      </c>
      <c r="D7843" t="s">
        <v>16984</v>
      </c>
      <c r="E7843" t="s">
        <v>16985</v>
      </c>
      <c r="F7843" t="s">
        <v>16601</v>
      </c>
      <c r="G7843" t="s">
        <v>16231</v>
      </c>
      <c r="I7843" t="s">
        <v>47111</v>
      </c>
      <c r="J7843" t="s">
        <v>47112</v>
      </c>
      <c r="K7843" t="s">
        <v>47113</v>
      </c>
      <c r="L7843">
        <v>57.05</v>
      </c>
      <c r="M7843">
        <v>100</v>
      </c>
      <c r="N7843">
        <v>0</v>
      </c>
      <c r="O7843">
        <v>100</v>
      </c>
      <c r="P7843">
        <v>0</v>
      </c>
    </row>
    <row r="7844" spans="1:16" x14ac:dyDescent="0.25">
      <c r="A7844" t="s">
        <v>30425</v>
      </c>
      <c r="B7844" t="s">
        <v>16983</v>
      </c>
      <c r="C7844" t="s">
        <v>16287</v>
      </c>
      <c r="D7844" t="s">
        <v>16986</v>
      </c>
      <c r="E7844" t="s">
        <v>16987</v>
      </c>
      <c r="F7844" t="s">
        <v>16762</v>
      </c>
      <c r="G7844" t="s">
        <v>16231</v>
      </c>
      <c r="I7844" t="s">
        <v>47111</v>
      </c>
      <c r="J7844" t="s">
        <v>47112</v>
      </c>
      <c r="K7844" t="s">
        <v>47113</v>
      </c>
      <c r="L7844">
        <v>57.89</v>
      </c>
      <c r="M7844">
        <v>100</v>
      </c>
      <c r="N7844">
        <v>0</v>
      </c>
      <c r="O7844">
        <v>100</v>
      </c>
      <c r="P7844">
        <v>0</v>
      </c>
    </row>
    <row r="7845" spans="1:16" x14ac:dyDescent="0.25">
      <c r="A7845" t="s">
        <v>30426</v>
      </c>
      <c r="B7845" t="s">
        <v>15380</v>
      </c>
      <c r="C7845" t="s">
        <v>16988</v>
      </c>
      <c r="D7845" t="s">
        <v>15288</v>
      </c>
      <c r="E7845" t="s">
        <v>15289</v>
      </c>
      <c r="F7845" t="s">
        <v>15183</v>
      </c>
      <c r="G7845" t="s">
        <v>16231</v>
      </c>
      <c r="H7845" t="s">
        <v>47054</v>
      </c>
      <c r="I7845" t="s">
        <v>47111</v>
      </c>
      <c r="J7845" t="s">
        <v>47112</v>
      </c>
      <c r="K7845" t="s">
        <v>47113</v>
      </c>
      <c r="L7845">
        <v>53.44</v>
      </c>
      <c r="M7845">
        <v>100</v>
      </c>
      <c r="N7845">
        <v>0</v>
      </c>
      <c r="O7845">
        <v>100</v>
      </c>
      <c r="P7845">
        <v>0</v>
      </c>
    </row>
    <row r="7846" spans="1:16" x14ac:dyDescent="0.25">
      <c r="A7846" t="s">
        <v>30427</v>
      </c>
      <c r="B7846" t="s">
        <v>15380</v>
      </c>
      <c r="C7846" t="s">
        <v>16988</v>
      </c>
      <c r="D7846" t="s">
        <v>15329</v>
      </c>
      <c r="E7846" t="s">
        <v>15330</v>
      </c>
      <c r="F7846" t="s">
        <v>15183</v>
      </c>
      <c r="G7846" t="s">
        <v>16231</v>
      </c>
      <c r="H7846" t="s">
        <v>47054</v>
      </c>
      <c r="I7846" t="s">
        <v>47111</v>
      </c>
      <c r="J7846" t="s">
        <v>47112</v>
      </c>
      <c r="K7846" t="s">
        <v>47113</v>
      </c>
      <c r="L7846">
        <v>56.12</v>
      </c>
      <c r="M7846">
        <v>100</v>
      </c>
      <c r="N7846">
        <v>0</v>
      </c>
      <c r="O7846">
        <v>100</v>
      </c>
      <c r="P7846">
        <v>0</v>
      </c>
    </row>
    <row r="7847" spans="1:16" x14ac:dyDescent="0.25">
      <c r="A7847" t="s">
        <v>30428</v>
      </c>
      <c r="B7847" t="s">
        <v>16298</v>
      </c>
      <c r="C7847" t="s">
        <v>16299</v>
      </c>
      <c r="D7847" t="s">
        <v>15253</v>
      </c>
      <c r="E7847" t="s">
        <v>15254</v>
      </c>
      <c r="F7847" t="s">
        <v>15183</v>
      </c>
      <c r="G7847" t="s">
        <v>16224</v>
      </c>
      <c r="H7847" t="s">
        <v>47054</v>
      </c>
      <c r="I7847" t="s">
        <v>47120</v>
      </c>
      <c r="J7847" t="s">
        <v>47121</v>
      </c>
      <c r="K7847" t="s">
        <v>47113</v>
      </c>
      <c r="L7847">
        <v>33.72</v>
      </c>
      <c r="M7847">
        <v>92</v>
      </c>
      <c r="N7847">
        <v>0</v>
      </c>
      <c r="O7847">
        <v>92</v>
      </c>
      <c r="P7847">
        <v>0</v>
      </c>
    </row>
    <row r="7848" spans="1:16" x14ac:dyDescent="0.25">
      <c r="A7848" t="s">
        <v>30429</v>
      </c>
      <c r="B7848" t="s">
        <v>16300</v>
      </c>
      <c r="C7848" t="s">
        <v>16301</v>
      </c>
      <c r="D7848" t="s">
        <v>15253</v>
      </c>
      <c r="E7848" t="s">
        <v>15254</v>
      </c>
      <c r="F7848" t="s">
        <v>15183</v>
      </c>
      <c r="G7848" t="s">
        <v>16224</v>
      </c>
      <c r="H7848" t="s">
        <v>47054</v>
      </c>
      <c r="I7848" t="s">
        <v>47116</v>
      </c>
      <c r="J7848" t="s">
        <v>47117</v>
      </c>
      <c r="K7848" t="s">
        <v>47113</v>
      </c>
      <c r="L7848">
        <v>33.72</v>
      </c>
      <c r="M7848">
        <v>92</v>
      </c>
      <c r="N7848">
        <v>0</v>
      </c>
      <c r="O7848">
        <v>92</v>
      </c>
      <c r="P7848">
        <v>0</v>
      </c>
    </row>
    <row r="7849" spans="1:16" x14ac:dyDescent="0.25">
      <c r="A7849" t="s">
        <v>30430</v>
      </c>
      <c r="B7849" t="s">
        <v>15381</v>
      </c>
      <c r="C7849" t="s">
        <v>8058</v>
      </c>
      <c r="D7849" t="s">
        <v>15354</v>
      </c>
      <c r="E7849" t="s">
        <v>15355</v>
      </c>
      <c r="F7849" t="s">
        <v>15183</v>
      </c>
      <c r="G7849" t="s">
        <v>16231</v>
      </c>
      <c r="H7849" t="s">
        <v>47054</v>
      </c>
      <c r="I7849" t="s">
        <v>47111</v>
      </c>
      <c r="J7849" t="s">
        <v>47112</v>
      </c>
      <c r="K7849" t="s">
        <v>47113</v>
      </c>
      <c r="L7849">
        <v>47.68</v>
      </c>
      <c r="M7849">
        <v>107</v>
      </c>
      <c r="N7849">
        <v>0</v>
      </c>
      <c r="O7849">
        <v>107</v>
      </c>
      <c r="P7849">
        <v>0</v>
      </c>
    </row>
    <row r="7850" spans="1:16" x14ac:dyDescent="0.25">
      <c r="A7850" t="s">
        <v>30431</v>
      </c>
      <c r="B7850" t="s">
        <v>15382</v>
      </c>
      <c r="C7850" t="s">
        <v>16989</v>
      </c>
      <c r="D7850" t="s">
        <v>15354</v>
      </c>
      <c r="E7850" t="s">
        <v>15355</v>
      </c>
      <c r="F7850" t="s">
        <v>15183</v>
      </c>
      <c r="G7850" t="s">
        <v>16231</v>
      </c>
      <c r="H7850" t="s">
        <v>47054</v>
      </c>
      <c r="I7850" t="s">
        <v>47111</v>
      </c>
      <c r="J7850" t="s">
        <v>47112</v>
      </c>
      <c r="K7850" t="s">
        <v>47113</v>
      </c>
      <c r="L7850">
        <v>50.41</v>
      </c>
      <c r="M7850">
        <v>100</v>
      </c>
      <c r="N7850">
        <v>0</v>
      </c>
      <c r="O7850">
        <v>100</v>
      </c>
      <c r="P7850">
        <v>0</v>
      </c>
    </row>
    <row r="7851" spans="1:16" x14ac:dyDescent="0.25">
      <c r="A7851" t="s">
        <v>30432</v>
      </c>
      <c r="B7851" t="s">
        <v>16990</v>
      </c>
      <c r="C7851" t="s">
        <v>15430</v>
      </c>
      <c r="D7851" t="str">
        <f>"1106"</f>
        <v>1106</v>
      </c>
      <c r="E7851" t="s">
        <v>460</v>
      </c>
      <c r="F7851" t="s">
        <v>15183</v>
      </c>
      <c r="G7851" t="s">
        <v>16232</v>
      </c>
      <c r="H7851" t="s">
        <v>47054</v>
      </c>
      <c r="I7851" t="s">
        <v>47120</v>
      </c>
      <c r="J7851" t="s">
        <v>47121</v>
      </c>
      <c r="K7851" t="s">
        <v>47113</v>
      </c>
      <c r="L7851">
        <v>11.82</v>
      </c>
      <c r="M7851">
        <v>33</v>
      </c>
      <c r="N7851">
        <v>0</v>
      </c>
      <c r="O7851">
        <v>33</v>
      </c>
      <c r="P7851">
        <v>0</v>
      </c>
    </row>
    <row r="7852" spans="1:16" x14ac:dyDescent="0.25">
      <c r="A7852" t="s">
        <v>30433</v>
      </c>
      <c r="B7852" t="s">
        <v>16990</v>
      </c>
      <c r="C7852" t="s">
        <v>15430</v>
      </c>
      <c r="D7852" t="str">
        <f>"1800"</f>
        <v>1800</v>
      </c>
      <c r="E7852" t="s">
        <v>1999</v>
      </c>
      <c r="F7852" t="s">
        <v>15183</v>
      </c>
      <c r="G7852" t="s">
        <v>16232</v>
      </c>
      <c r="H7852" t="s">
        <v>47054</v>
      </c>
      <c r="I7852" t="s">
        <v>47120</v>
      </c>
      <c r="J7852" t="s">
        <v>47121</v>
      </c>
      <c r="K7852" t="s">
        <v>47113</v>
      </c>
      <c r="L7852">
        <v>11.82</v>
      </c>
      <c r="M7852">
        <v>33</v>
      </c>
      <c r="N7852">
        <v>0</v>
      </c>
      <c r="O7852">
        <v>33</v>
      </c>
      <c r="P7852">
        <v>0</v>
      </c>
    </row>
    <row r="7853" spans="1:16" x14ac:dyDescent="0.25">
      <c r="A7853" t="s">
        <v>30434</v>
      </c>
      <c r="B7853" t="s">
        <v>16991</v>
      </c>
      <c r="C7853" t="s">
        <v>16992</v>
      </c>
      <c r="D7853" t="str">
        <f>"1106"</f>
        <v>1106</v>
      </c>
      <c r="E7853" t="s">
        <v>42</v>
      </c>
      <c r="F7853" t="s">
        <v>16810</v>
      </c>
      <c r="G7853" t="s">
        <v>16221</v>
      </c>
      <c r="H7853" t="s">
        <v>47054</v>
      </c>
      <c r="I7853" t="s">
        <v>47111</v>
      </c>
      <c r="J7853" t="s">
        <v>47112</v>
      </c>
      <c r="K7853" t="s">
        <v>47113</v>
      </c>
      <c r="L7853">
        <v>14.55</v>
      </c>
      <c r="M7853">
        <v>29</v>
      </c>
      <c r="N7853">
        <v>0</v>
      </c>
      <c r="O7853">
        <v>29</v>
      </c>
      <c r="P7853">
        <v>0</v>
      </c>
    </row>
    <row r="7854" spans="1:16" x14ac:dyDescent="0.25">
      <c r="A7854" t="s">
        <v>30435</v>
      </c>
      <c r="B7854" t="s">
        <v>16991</v>
      </c>
      <c r="C7854" t="s">
        <v>16992</v>
      </c>
      <c r="D7854" t="str">
        <f>"1700"</f>
        <v>1700</v>
      </c>
      <c r="E7854" t="s">
        <v>60</v>
      </c>
      <c r="F7854" t="s">
        <v>16810</v>
      </c>
      <c r="G7854" t="s">
        <v>16221</v>
      </c>
      <c r="H7854" t="s">
        <v>47054</v>
      </c>
      <c r="I7854" t="s">
        <v>47111</v>
      </c>
      <c r="J7854" t="s">
        <v>47112</v>
      </c>
      <c r="K7854" t="s">
        <v>47113</v>
      </c>
      <c r="L7854">
        <v>14.55</v>
      </c>
      <c r="M7854">
        <v>29</v>
      </c>
      <c r="N7854">
        <v>0</v>
      </c>
      <c r="O7854">
        <v>29</v>
      </c>
      <c r="P7854">
        <v>0</v>
      </c>
    </row>
    <row r="7855" spans="1:16" x14ac:dyDescent="0.25">
      <c r="A7855" t="s">
        <v>22749</v>
      </c>
      <c r="B7855" t="s">
        <v>20088</v>
      </c>
      <c r="C7855" t="s">
        <v>16848</v>
      </c>
      <c r="D7855" t="s">
        <v>19554</v>
      </c>
      <c r="E7855" t="s">
        <v>19555</v>
      </c>
      <c r="F7855" t="s">
        <v>19552</v>
      </c>
      <c r="G7855" t="s">
        <v>16231</v>
      </c>
      <c r="H7855" t="s">
        <v>47054</v>
      </c>
      <c r="I7855" t="s">
        <v>47111</v>
      </c>
      <c r="J7855" t="s">
        <v>47112</v>
      </c>
      <c r="K7855" t="s">
        <v>47113</v>
      </c>
      <c r="L7855">
        <v>80.28</v>
      </c>
      <c r="M7855">
        <v>111</v>
      </c>
      <c r="N7855">
        <v>0</v>
      </c>
      <c r="O7855">
        <v>111</v>
      </c>
      <c r="P7855">
        <v>0</v>
      </c>
    </row>
    <row r="7856" spans="1:16" x14ac:dyDescent="0.25">
      <c r="A7856" t="s">
        <v>30436</v>
      </c>
      <c r="B7856" t="s">
        <v>20088</v>
      </c>
      <c r="C7856" t="s">
        <v>16848</v>
      </c>
      <c r="D7856" t="s">
        <v>19911</v>
      </c>
      <c r="E7856" t="s">
        <v>19912</v>
      </c>
      <c r="F7856" t="s">
        <v>19552</v>
      </c>
      <c r="G7856" t="s">
        <v>16231</v>
      </c>
      <c r="H7856" t="s">
        <v>47054</v>
      </c>
      <c r="I7856" t="s">
        <v>47111</v>
      </c>
      <c r="J7856" t="s">
        <v>47112</v>
      </c>
      <c r="K7856" t="s">
        <v>47113</v>
      </c>
      <c r="L7856">
        <v>75.17</v>
      </c>
      <c r="M7856">
        <v>174</v>
      </c>
      <c r="N7856">
        <v>0</v>
      </c>
      <c r="O7856">
        <v>174</v>
      </c>
      <c r="P7856">
        <v>0</v>
      </c>
    </row>
    <row r="7857" spans="1:16" x14ac:dyDescent="0.25">
      <c r="A7857" t="s">
        <v>30437</v>
      </c>
      <c r="B7857" t="s">
        <v>30438</v>
      </c>
      <c r="C7857" t="s">
        <v>16848</v>
      </c>
      <c r="D7857" t="s">
        <v>20111</v>
      </c>
      <c r="E7857" t="s">
        <v>20112</v>
      </c>
      <c r="F7857" t="s">
        <v>20496</v>
      </c>
      <c r="G7857" t="s">
        <v>16231</v>
      </c>
      <c r="H7857" t="s">
        <v>47054</v>
      </c>
      <c r="I7857" t="s">
        <v>47544</v>
      </c>
      <c r="J7857" t="s">
        <v>47545</v>
      </c>
      <c r="K7857" t="s">
        <v>47113</v>
      </c>
      <c r="L7857">
        <v>29.08</v>
      </c>
      <c r="M7857">
        <v>66</v>
      </c>
      <c r="N7857">
        <v>0</v>
      </c>
      <c r="O7857">
        <v>66</v>
      </c>
      <c r="P7857">
        <v>0</v>
      </c>
    </row>
    <row r="7858" spans="1:16" x14ac:dyDescent="0.25">
      <c r="A7858" t="s">
        <v>30439</v>
      </c>
      <c r="B7858" t="s">
        <v>30438</v>
      </c>
      <c r="C7858" t="s">
        <v>16848</v>
      </c>
      <c r="D7858" t="s">
        <v>30440</v>
      </c>
      <c r="E7858" t="s">
        <v>30441</v>
      </c>
      <c r="F7858" t="s">
        <v>20496</v>
      </c>
      <c r="G7858" t="s">
        <v>16231</v>
      </c>
      <c r="H7858" t="s">
        <v>47054</v>
      </c>
      <c r="I7858" t="s">
        <v>47544</v>
      </c>
      <c r="J7858" t="s">
        <v>47545</v>
      </c>
      <c r="K7858" t="s">
        <v>47113</v>
      </c>
      <c r="L7858">
        <v>28.69</v>
      </c>
      <c r="M7858">
        <v>66</v>
      </c>
      <c r="N7858">
        <v>0</v>
      </c>
      <c r="O7858">
        <v>66</v>
      </c>
      <c r="P7858">
        <v>0</v>
      </c>
    </row>
    <row r="7859" spans="1:16" x14ac:dyDescent="0.25">
      <c r="A7859" t="s">
        <v>22750</v>
      </c>
      <c r="B7859" t="s">
        <v>20089</v>
      </c>
      <c r="C7859" t="s">
        <v>16469</v>
      </c>
      <c r="D7859" t="s">
        <v>19554</v>
      </c>
      <c r="E7859" t="s">
        <v>19555</v>
      </c>
      <c r="F7859" t="s">
        <v>19559</v>
      </c>
      <c r="G7859" t="s">
        <v>16231</v>
      </c>
      <c r="H7859" t="s">
        <v>47054</v>
      </c>
      <c r="I7859" t="s">
        <v>47111</v>
      </c>
      <c r="J7859" t="s">
        <v>47112</v>
      </c>
      <c r="K7859" t="s">
        <v>47113</v>
      </c>
      <c r="L7859">
        <v>80.28</v>
      </c>
      <c r="M7859">
        <v>111</v>
      </c>
      <c r="N7859">
        <v>0</v>
      </c>
      <c r="O7859">
        <v>111</v>
      </c>
      <c r="P7859">
        <v>0</v>
      </c>
    </row>
    <row r="7860" spans="1:16" x14ac:dyDescent="0.25">
      <c r="A7860" t="s">
        <v>30442</v>
      </c>
      <c r="B7860" t="s">
        <v>20089</v>
      </c>
      <c r="C7860" t="s">
        <v>16469</v>
      </c>
      <c r="D7860" t="s">
        <v>19911</v>
      </c>
      <c r="E7860" t="s">
        <v>19912</v>
      </c>
      <c r="F7860" t="s">
        <v>19559</v>
      </c>
      <c r="G7860" t="s">
        <v>16231</v>
      </c>
      <c r="H7860" t="s">
        <v>47054</v>
      </c>
      <c r="I7860" t="s">
        <v>47111</v>
      </c>
      <c r="J7860" t="s">
        <v>47112</v>
      </c>
      <c r="K7860" t="s">
        <v>47113</v>
      </c>
      <c r="L7860">
        <v>75.17</v>
      </c>
      <c r="M7860">
        <v>174</v>
      </c>
      <c r="N7860">
        <v>0</v>
      </c>
      <c r="O7860">
        <v>174</v>
      </c>
      <c r="P7860">
        <v>0</v>
      </c>
    </row>
    <row r="7861" spans="1:16" x14ac:dyDescent="0.25">
      <c r="A7861" t="s">
        <v>30443</v>
      </c>
      <c r="B7861" t="s">
        <v>30444</v>
      </c>
      <c r="C7861" t="s">
        <v>16469</v>
      </c>
      <c r="D7861" t="s">
        <v>20111</v>
      </c>
      <c r="E7861" t="s">
        <v>20112</v>
      </c>
      <c r="F7861" t="s">
        <v>20496</v>
      </c>
      <c r="G7861" t="s">
        <v>16231</v>
      </c>
      <c r="H7861" t="s">
        <v>47054</v>
      </c>
      <c r="I7861" t="s">
        <v>47111</v>
      </c>
      <c r="J7861" t="s">
        <v>47112</v>
      </c>
      <c r="K7861" t="s">
        <v>47113</v>
      </c>
      <c r="L7861">
        <v>29.08</v>
      </c>
      <c r="M7861">
        <v>66</v>
      </c>
      <c r="N7861">
        <v>0</v>
      </c>
      <c r="O7861">
        <v>66</v>
      </c>
      <c r="P7861">
        <v>0</v>
      </c>
    </row>
    <row r="7862" spans="1:16" x14ac:dyDescent="0.25">
      <c r="A7862" t="s">
        <v>30445</v>
      </c>
      <c r="B7862" t="s">
        <v>30444</v>
      </c>
      <c r="C7862" t="s">
        <v>16469</v>
      </c>
      <c r="D7862" t="s">
        <v>30440</v>
      </c>
      <c r="E7862" t="s">
        <v>30441</v>
      </c>
      <c r="F7862" t="s">
        <v>20496</v>
      </c>
      <c r="G7862" t="s">
        <v>16231</v>
      </c>
      <c r="H7862" t="s">
        <v>47054</v>
      </c>
      <c r="I7862" t="s">
        <v>47111</v>
      </c>
      <c r="J7862" t="s">
        <v>47112</v>
      </c>
      <c r="K7862" t="s">
        <v>47113</v>
      </c>
      <c r="L7862">
        <v>28.69</v>
      </c>
      <c r="M7862">
        <v>66</v>
      </c>
      <c r="N7862">
        <v>0</v>
      </c>
      <c r="O7862">
        <v>66</v>
      </c>
      <c r="P7862">
        <v>0</v>
      </c>
    </row>
    <row r="7863" spans="1:16" x14ac:dyDescent="0.25">
      <c r="A7863" t="s">
        <v>22751</v>
      </c>
      <c r="B7863" t="s">
        <v>20090</v>
      </c>
      <c r="C7863" t="s">
        <v>20091</v>
      </c>
      <c r="D7863" t="s">
        <v>20092</v>
      </c>
      <c r="E7863" t="s">
        <v>20093</v>
      </c>
      <c r="F7863" t="s">
        <v>19552</v>
      </c>
      <c r="G7863" t="s">
        <v>16230</v>
      </c>
      <c r="H7863" t="s">
        <v>47054</v>
      </c>
      <c r="I7863" t="s">
        <v>47116</v>
      </c>
      <c r="J7863" t="s">
        <v>47117</v>
      </c>
      <c r="K7863" t="s">
        <v>47113</v>
      </c>
      <c r="L7863">
        <v>46.23</v>
      </c>
      <c r="M7863">
        <v>96</v>
      </c>
      <c r="N7863">
        <v>0</v>
      </c>
      <c r="O7863">
        <v>96</v>
      </c>
      <c r="P7863">
        <v>0</v>
      </c>
    </row>
    <row r="7864" spans="1:16" x14ac:dyDescent="0.25">
      <c r="A7864" t="s">
        <v>30446</v>
      </c>
      <c r="B7864" t="s">
        <v>6375</v>
      </c>
      <c r="C7864" t="s">
        <v>3481</v>
      </c>
      <c r="D7864" t="s">
        <v>6376</v>
      </c>
      <c r="E7864" t="s">
        <v>6377</v>
      </c>
      <c r="F7864" t="s">
        <v>5</v>
      </c>
      <c r="G7864" t="s">
        <v>16231</v>
      </c>
      <c r="H7864" t="s">
        <v>47054</v>
      </c>
      <c r="I7864" t="s">
        <v>47111</v>
      </c>
      <c r="J7864" t="s">
        <v>47112</v>
      </c>
      <c r="K7864" t="s">
        <v>47113</v>
      </c>
      <c r="L7864">
        <v>40.71</v>
      </c>
      <c r="M7864">
        <v>96</v>
      </c>
      <c r="N7864">
        <v>0</v>
      </c>
      <c r="O7864">
        <v>96</v>
      </c>
      <c r="P7864">
        <v>0</v>
      </c>
    </row>
    <row r="7865" spans="1:16" x14ac:dyDescent="0.25">
      <c r="A7865" t="s">
        <v>30447</v>
      </c>
      <c r="B7865" t="s">
        <v>6375</v>
      </c>
      <c r="C7865" t="s">
        <v>3481</v>
      </c>
      <c r="D7865" t="s">
        <v>6378</v>
      </c>
      <c r="E7865" t="s">
        <v>6379</v>
      </c>
      <c r="F7865" t="s">
        <v>0</v>
      </c>
      <c r="G7865" t="s">
        <v>16231</v>
      </c>
      <c r="H7865" t="s">
        <v>47054</v>
      </c>
      <c r="I7865" t="s">
        <v>47111</v>
      </c>
      <c r="J7865" t="s">
        <v>47112</v>
      </c>
      <c r="K7865" t="s">
        <v>47113</v>
      </c>
      <c r="L7865">
        <v>38.24</v>
      </c>
      <c r="M7865">
        <v>94</v>
      </c>
      <c r="N7865">
        <v>0</v>
      </c>
      <c r="O7865">
        <v>94</v>
      </c>
      <c r="P7865">
        <v>0</v>
      </c>
    </row>
    <row r="7866" spans="1:16" x14ac:dyDescent="0.25">
      <c r="A7866" t="s">
        <v>30448</v>
      </c>
      <c r="B7866" t="s">
        <v>6375</v>
      </c>
      <c r="C7866" t="s">
        <v>3481</v>
      </c>
      <c r="D7866" t="s">
        <v>311</v>
      </c>
      <c r="E7866" t="s">
        <v>3479</v>
      </c>
      <c r="F7866" t="s">
        <v>5</v>
      </c>
      <c r="G7866" t="s">
        <v>16231</v>
      </c>
      <c r="H7866" t="s">
        <v>47054</v>
      </c>
      <c r="I7866" t="s">
        <v>47111</v>
      </c>
      <c r="J7866" t="s">
        <v>47112</v>
      </c>
      <c r="K7866" t="s">
        <v>47113</v>
      </c>
      <c r="L7866">
        <v>33.99</v>
      </c>
      <c r="M7866">
        <v>77</v>
      </c>
      <c r="N7866">
        <v>0</v>
      </c>
      <c r="O7866">
        <v>77</v>
      </c>
      <c r="P7866">
        <v>0</v>
      </c>
    </row>
    <row r="7867" spans="1:16" x14ac:dyDescent="0.25">
      <c r="A7867" t="s">
        <v>30449</v>
      </c>
      <c r="B7867" t="s">
        <v>6380</v>
      </c>
      <c r="C7867" t="s">
        <v>1676</v>
      </c>
      <c r="D7867" t="s">
        <v>721</v>
      </c>
      <c r="E7867" t="s">
        <v>722</v>
      </c>
      <c r="F7867" t="s">
        <v>6381</v>
      </c>
      <c r="G7867" t="s">
        <v>16231</v>
      </c>
      <c r="H7867" t="s">
        <v>47054</v>
      </c>
      <c r="I7867" t="s">
        <v>47111</v>
      </c>
      <c r="J7867" t="s">
        <v>47112</v>
      </c>
      <c r="K7867" t="s">
        <v>47113</v>
      </c>
      <c r="L7867">
        <v>28.69</v>
      </c>
      <c r="M7867">
        <v>68</v>
      </c>
      <c r="N7867">
        <v>0</v>
      </c>
      <c r="O7867">
        <v>68</v>
      </c>
      <c r="P7867">
        <v>0</v>
      </c>
    </row>
    <row r="7868" spans="1:16" x14ac:dyDescent="0.25">
      <c r="A7868" t="s">
        <v>30450</v>
      </c>
      <c r="B7868" t="s">
        <v>6380</v>
      </c>
      <c r="C7868" t="s">
        <v>1676</v>
      </c>
      <c r="D7868" t="s">
        <v>2054</v>
      </c>
      <c r="E7868" t="s">
        <v>6382</v>
      </c>
      <c r="F7868" t="s">
        <v>3</v>
      </c>
      <c r="G7868" t="s">
        <v>16231</v>
      </c>
      <c r="H7868" t="s">
        <v>47054</v>
      </c>
      <c r="I7868" t="s">
        <v>47111</v>
      </c>
      <c r="J7868" t="s">
        <v>47112</v>
      </c>
      <c r="K7868" t="s">
        <v>47113</v>
      </c>
      <c r="L7868">
        <v>31.79</v>
      </c>
      <c r="M7868">
        <v>73</v>
      </c>
      <c r="N7868">
        <v>0</v>
      </c>
      <c r="O7868">
        <v>73</v>
      </c>
      <c r="P7868">
        <v>0</v>
      </c>
    </row>
    <row r="7869" spans="1:16" x14ac:dyDescent="0.25">
      <c r="A7869" t="s">
        <v>30451</v>
      </c>
      <c r="B7869" t="s">
        <v>6380</v>
      </c>
      <c r="C7869" t="s">
        <v>1676</v>
      </c>
      <c r="D7869" t="s">
        <v>4855</v>
      </c>
      <c r="E7869" t="s">
        <v>4856</v>
      </c>
      <c r="F7869" t="s">
        <v>8</v>
      </c>
      <c r="G7869" t="s">
        <v>16231</v>
      </c>
      <c r="H7869" t="s">
        <v>47054</v>
      </c>
      <c r="I7869" t="s">
        <v>47111</v>
      </c>
      <c r="J7869" t="s">
        <v>47112</v>
      </c>
      <c r="K7869" t="s">
        <v>47113</v>
      </c>
      <c r="L7869">
        <v>39.42</v>
      </c>
      <c r="M7869">
        <v>101</v>
      </c>
      <c r="N7869">
        <v>0</v>
      </c>
      <c r="O7869">
        <v>101</v>
      </c>
      <c r="P7869">
        <v>0</v>
      </c>
    </row>
    <row r="7870" spans="1:16" x14ac:dyDescent="0.25">
      <c r="A7870" t="s">
        <v>30452</v>
      </c>
      <c r="B7870" t="s">
        <v>6380</v>
      </c>
      <c r="C7870" t="s">
        <v>1676</v>
      </c>
      <c r="D7870" t="s">
        <v>1722</v>
      </c>
      <c r="E7870" t="s">
        <v>1723</v>
      </c>
      <c r="F7870" t="s">
        <v>8</v>
      </c>
      <c r="G7870" t="s">
        <v>16231</v>
      </c>
      <c r="H7870" t="s">
        <v>47054</v>
      </c>
      <c r="I7870" t="s">
        <v>47111</v>
      </c>
      <c r="J7870" t="s">
        <v>47112</v>
      </c>
      <c r="K7870" t="s">
        <v>47113</v>
      </c>
      <c r="L7870">
        <v>40.03</v>
      </c>
      <c r="M7870">
        <v>111</v>
      </c>
      <c r="N7870">
        <v>0</v>
      </c>
      <c r="O7870">
        <v>111</v>
      </c>
      <c r="P7870">
        <v>0</v>
      </c>
    </row>
    <row r="7871" spans="1:16" x14ac:dyDescent="0.25">
      <c r="A7871" t="s">
        <v>30453</v>
      </c>
      <c r="B7871" t="s">
        <v>6383</v>
      </c>
      <c r="C7871" t="s">
        <v>3481</v>
      </c>
      <c r="D7871" t="s">
        <v>6376</v>
      </c>
      <c r="E7871" t="s">
        <v>6377</v>
      </c>
      <c r="F7871" t="s">
        <v>5</v>
      </c>
      <c r="G7871" t="s">
        <v>16231</v>
      </c>
      <c r="H7871" t="s">
        <v>47054</v>
      </c>
      <c r="I7871" t="s">
        <v>47111</v>
      </c>
      <c r="J7871" t="s">
        <v>47112</v>
      </c>
      <c r="K7871" t="s">
        <v>47113</v>
      </c>
      <c r="L7871">
        <v>39.159999999999997</v>
      </c>
      <c r="M7871">
        <v>96</v>
      </c>
      <c r="N7871">
        <v>0</v>
      </c>
      <c r="O7871">
        <v>96</v>
      </c>
      <c r="P7871">
        <v>0</v>
      </c>
    </row>
    <row r="7872" spans="1:16" x14ac:dyDescent="0.25">
      <c r="A7872" t="s">
        <v>30454</v>
      </c>
      <c r="B7872" t="s">
        <v>6383</v>
      </c>
      <c r="C7872" t="s">
        <v>3481</v>
      </c>
      <c r="D7872" t="s">
        <v>311</v>
      </c>
      <c r="E7872" t="s">
        <v>3479</v>
      </c>
      <c r="F7872" t="s">
        <v>5</v>
      </c>
      <c r="G7872" t="s">
        <v>16231</v>
      </c>
      <c r="H7872" t="s">
        <v>47054</v>
      </c>
      <c r="I7872" t="s">
        <v>47111</v>
      </c>
      <c r="J7872" t="s">
        <v>47112</v>
      </c>
      <c r="K7872" t="s">
        <v>47113</v>
      </c>
      <c r="L7872">
        <v>32.450000000000003</v>
      </c>
      <c r="M7872">
        <v>77</v>
      </c>
      <c r="N7872">
        <v>0</v>
      </c>
      <c r="O7872">
        <v>77</v>
      </c>
      <c r="P7872">
        <v>0</v>
      </c>
    </row>
    <row r="7873" spans="1:16" x14ac:dyDescent="0.25">
      <c r="A7873" t="s">
        <v>30455</v>
      </c>
      <c r="B7873" t="s">
        <v>30456</v>
      </c>
      <c r="C7873" t="s">
        <v>16317</v>
      </c>
      <c r="D7873" t="s">
        <v>16302</v>
      </c>
      <c r="E7873" t="s">
        <v>16303</v>
      </c>
      <c r="F7873" t="s">
        <v>3750</v>
      </c>
      <c r="G7873" t="s">
        <v>16231</v>
      </c>
      <c r="H7873" t="s">
        <v>47054</v>
      </c>
      <c r="I7873" t="s">
        <v>47111</v>
      </c>
      <c r="J7873" t="s">
        <v>47112</v>
      </c>
      <c r="K7873" t="s">
        <v>47113</v>
      </c>
      <c r="L7873">
        <v>32.92</v>
      </c>
      <c r="M7873">
        <v>111</v>
      </c>
      <c r="N7873">
        <v>299</v>
      </c>
      <c r="O7873">
        <v>111</v>
      </c>
      <c r="P7873">
        <v>299</v>
      </c>
    </row>
    <row r="7874" spans="1:16" x14ac:dyDescent="0.25">
      <c r="A7874" t="s">
        <v>30457</v>
      </c>
      <c r="B7874" t="s">
        <v>6384</v>
      </c>
      <c r="C7874" t="s">
        <v>4869</v>
      </c>
      <c r="D7874" t="s">
        <v>1373</v>
      </c>
      <c r="E7874" t="s">
        <v>1374</v>
      </c>
      <c r="F7874" t="s">
        <v>296</v>
      </c>
      <c r="G7874" t="s">
        <v>16231</v>
      </c>
      <c r="H7874" t="s">
        <v>47054</v>
      </c>
      <c r="I7874" t="s">
        <v>47111</v>
      </c>
      <c r="J7874" t="s">
        <v>47112</v>
      </c>
      <c r="K7874" t="s">
        <v>47113</v>
      </c>
      <c r="L7874">
        <v>60.52</v>
      </c>
      <c r="M7874">
        <v>152</v>
      </c>
      <c r="N7874">
        <v>0</v>
      </c>
      <c r="O7874">
        <v>152</v>
      </c>
      <c r="P7874">
        <v>0</v>
      </c>
    </row>
    <row r="7875" spans="1:16" x14ac:dyDescent="0.25">
      <c r="A7875" t="s">
        <v>30458</v>
      </c>
      <c r="B7875" t="s">
        <v>6385</v>
      </c>
      <c r="C7875" t="s">
        <v>6386</v>
      </c>
      <c r="D7875" t="s">
        <v>6387</v>
      </c>
      <c r="E7875" t="s">
        <v>6388</v>
      </c>
      <c r="F7875" t="s">
        <v>36</v>
      </c>
      <c r="G7875" t="s">
        <v>16231</v>
      </c>
      <c r="H7875" t="s">
        <v>47054</v>
      </c>
      <c r="I7875" t="s">
        <v>47111</v>
      </c>
      <c r="J7875" t="s">
        <v>47112</v>
      </c>
      <c r="K7875" t="s">
        <v>47113</v>
      </c>
      <c r="L7875">
        <v>37.85</v>
      </c>
      <c r="M7875">
        <v>85</v>
      </c>
      <c r="N7875">
        <v>0</v>
      </c>
      <c r="O7875">
        <v>85</v>
      </c>
      <c r="P7875">
        <v>0</v>
      </c>
    </row>
    <row r="7876" spans="1:16" x14ac:dyDescent="0.25">
      <c r="A7876" t="s">
        <v>30459</v>
      </c>
      <c r="B7876" t="s">
        <v>6385</v>
      </c>
      <c r="C7876" t="s">
        <v>6386</v>
      </c>
      <c r="D7876" t="s">
        <v>2018</v>
      </c>
      <c r="E7876" t="s">
        <v>2019</v>
      </c>
      <c r="F7876" t="s">
        <v>8</v>
      </c>
      <c r="G7876" t="s">
        <v>16231</v>
      </c>
      <c r="H7876" t="s">
        <v>47054</v>
      </c>
      <c r="I7876" t="s">
        <v>47111</v>
      </c>
      <c r="J7876" t="s">
        <v>47112</v>
      </c>
      <c r="K7876" t="s">
        <v>47113</v>
      </c>
      <c r="L7876">
        <v>41.29</v>
      </c>
      <c r="M7876">
        <v>116</v>
      </c>
      <c r="N7876">
        <v>0</v>
      </c>
      <c r="O7876">
        <v>116</v>
      </c>
      <c r="P7876">
        <v>0</v>
      </c>
    </row>
    <row r="7877" spans="1:16" x14ac:dyDescent="0.25">
      <c r="A7877" t="s">
        <v>30460</v>
      </c>
      <c r="B7877" t="s">
        <v>6389</v>
      </c>
      <c r="C7877" t="s">
        <v>6390</v>
      </c>
      <c r="D7877" t="s">
        <v>6376</v>
      </c>
      <c r="E7877" t="s">
        <v>6377</v>
      </c>
      <c r="F7877" t="s">
        <v>5</v>
      </c>
      <c r="G7877" t="s">
        <v>16231</v>
      </c>
      <c r="H7877" t="s">
        <v>47054</v>
      </c>
      <c r="I7877" t="s">
        <v>47111</v>
      </c>
      <c r="J7877" t="s">
        <v>47112</v>
      </c>
      <c r="K7877" t="s">
        <v>47113</v>
      </c>
      <c r="L7877">
        <v>40.71</v>
      </c>
      <c r="M7877">
        <v>96</v>
      </c>
      <c r="N7877">
        <v>0</v>
      </c>
      <c r="O7877">
        <v>96</v>
      </c>
      <c r="P7877">
        <v>0</v>
      </c>
    </row>
    <row r="7878" spans="1:16" x14ac:dyDescent="0.25">
      <c r="A7878" t="s">
        <v>30461</v>
      </c>
      <c r="B7878" t="s">
        <v>6389</v>
      </c>
      <c r="C7878" t="s">
        <v>6390</v>
      </c>
      <c r="D7878" t="s">
        <v>311</v>
      </c>
      <c r="E7878" t="s">
        <v>3479</v>
      </c>
      <c r="F7878" t="s">
        <v>5</v>
      </c>
      <c r="G7878" t="s">
        <v>16231</v>
      </c>
      <c r="H7878" t="s">
        <v>47054</v>
      </c>
      <c r="I7878" t="s">
        <v>47111</v>
      </c>
      <c r="J7878" t="s">
        <v>47112</v>
      </c>
      <c r="K7878" t="s">
        <v>47113</v>
      </c>
      <c r="L7878">
        <v>33.99</v>
      </c>
      <c r="M7878">
        <v>77</v>
      </c>
      <c r="N7878">
        <v>0</v>
      </c>
      <c r="O7878">
        <v>77</v>
      </c>
      <c r="P7878">
        <v>0</v>
      </c>
    </row>
    <row r="7879" spans="1:16" x14ac:dyDescent="0.25">
      <c r="A7879" t="s">
        <v>30462</v>
      </c>
      <c r="B7879" t="s">
        <v>6391</v>
      </c>
      <c r="C7879" t="s">
        <v>1693</v>
      </c>
      <c r="D7879" t="s">
        <v>4855</v>
      </c>
      <c r="E7879" t="s">
        <v>4856</v>
      </c>
      <c r="F7879" t="s">
        <v>8</v>
      </c>
      <c r="G7879" t="s">
        <v>16231</v>
      </c>
      <c r="H7879" t="s">
        <v>47054</v>
      </c>
      <c r="I7879" t="s">
        <v>47111</v>
      </c>
      <c r="J7879" t="s">
        <v>47112</v>
      </c>
      <c r="K7879" t="s">
        <v>47113</v>
      </c>
      <c r="L7879">
        <v>40.6</v>
      </c>
      <c r="M7879">
        <v>101</v>
      </c>
      <c r="N7879">
        <v>0</v>
      </c>
      <c r="O7879">
        <v>101</v>
      </c>
      <c r="P7879">
        <v>0</v>
      </c>
    </row>
    <row r="7880" spans="1:16" x14ac:dyDescent="0.25">
      <c r="A7880" t="s">
        <v>30463</v>
      </c>
      <c r="B7880" t="s">
        <v>6392</v>
      </c>
      <c r="C7880" t="s">
        <v>6390</v>
      </c>
      <c r="D7880" t="s">
        <v>6376</v>
      </c>
      <c r="E7880" t="s">
        <v>6377</v>
      </c>
      <c r="F7880" t="s">
        <v>5</v>
      </c>
      <c r="G7880" t="s">
        <v>16231</v>
      </c>
      <c r="H7880" t="s">
        <v>47054</v>
      </c>
      <c r="I7880" t="s">
        <v>47111</v>
      </c>
      <c r="J7880" t="s">
        <v>47112</v>
      </c>
      <c r="K7880" t="s">
        <v>47113</v>
      </c>
      <c r="L7880">
        <v>41.15</v>
      </c>
      <c r="M7880">
        <v>96</v>
      </c>
      <c r="N7880">
        <v>0</v>
      </c>
      <c r="O7880">
        <v>96</v>
      </c>
      <c r="P7880">
        <v>0</v>
      </c>
    </row>
    <row r="7881" spans="1:16" x14ac:dyDescent="0.25">
      <c r="A7881" t="s">
        <v>30464</v>
      </c>
      <c r="B7881" t="s">
        <v>6392</v>
      </c>
      <c r="C7881" t="s">
        <v>6390</v>
      </c>
      <c r="D7881" t="s">
        <v>311</v>
      </c>
      <c r="E7881" t="s">
        <v>3479</v>
      </c>
      <c r="F7881" t="s">
        <v>5</v>
      </c>
      <c r="G7881" t="s">
        <v>16231</v>
      </c>
      <c r="H7881" t="s">
        <v>47054</v>
      </c>
      <c r="I7881" t="s">
        <v>47111</v>
      </c>
      <c r="J7881" t="s">
        <v>47112</v>
      </c>
      <c r="K7881" t="s">
        <v>47113</v>
      </c>
      <c r="L7881">
        <v>34.43</v>
      </c>
      <c r="M7881">
        <v>77</v>
      </c>
      <c r="N7881">
        <v>0</v>
      </c>
      <c r="O7881">
        <v>77</v>
      </c>
      <c r="P7881">
        <v>0</v>
      </c>
    </row>
    <row r="7882" spans="1:16" x14ac:dyDescent="0.25">
      <c r="A7882" t="s">
        <v>30465</v>
      </c>
      <c r="B7882" t="s">
        <v>6393</v>
      </c>
      <c r="C7882" t="s">
        <v>6394</v>
      </c>
      <c r="D7882" t="s">
        <v>721</v>
      </c>
      <c r="E7882" t="s">
        <v>722</v>
      </c>
      <c r="F7882" t="s">
        <v>8</v>
      </c>
      <c r="G7882" t="s">
        <v>16231</v>
      </c>
      <c r="H7882" t="s">
        <v>47054</v>
      </c>
      <c r="I7882" t="s">
        <v>47111</v>
      </c>
      <c r="J7882" t="s">
        <v>47112</v>
      </c>
      <c r="K7882" t="s">
        <v>47113</v>
      </c>
      <c r="L7882">
        <v>46.79</v>
      </c>
      <c r="M7882">
        <v>134</v>
      </c>
      <c r="N7882">
        <v>0</v>
      </c>
      <c r="O7882">
        <v>134</v>
      </c>
      <c r="P7882">
        <v>0</v>
      </c>
    </row>
    <row r="7883" spans="1:16" x14ac:dyDescent="0.25">
      <c r="A7883" t="s">
        <v>30466</v>
      </c>
      <c r="B7883" t="s">
        <v>6393</v>
      </c>
      <c r="C7883" t="s">
        <v>6394</v>
      </c>
      <c r="D7883" t="s">
        <v>1718</v>
      </c>
      <c r="E7883" t="s">
        <v>1719</v>
      </c>
      <c r="F7883" t="s">
        <v>8</v>
      </c>
      <c r="G7883" t="s">
        <v>16231</v>
      </c>
      <c r="H7883" t="s">
        <v>47054</v>
      </c>
      <c r="I7883" t="s">
        <v>47111</v>
      </c>
      <c r="J7883" t="s">
        <v>47112</v>
      </c>
      <c r="K7883" t="s">
        <v>47113</v>
      </c>
      <c r="L7883">
        <v>51.58</v>
      </c>
      <c r="M7883">
        <v>144</v>
      </c>
      <c r="N7883">
        <v>0</v>
      </c>
      <c r="O7883">
        <v>144</v>
      </c>
      <c r="P7883">
        <v>0</v>
      </c>
    </row>
    <row r="7884" spans="1:16" x14ac:dyDescent="0.25">
      <c r="A7884" t="s">
        <v>30467</v>
      </c>
      <c r="B7884" t="s">
        <v>6395</v>
      </c>
      <c r="C7884" t="s">
        <v>6396</v>
      </c>
      <c r="D7884" t="s">
        <v>1363</v>
      </c>
      <c r="E7884" t="s">
        <v>1364</v>
      </c>
      <c r="F7884" t="s">
        <v>58</v>
      </c>
      <c r="G7884" t="s">
        <v>16231</v>
      </c>
      <c r="H7884" t="s">
        <v>47054</v>
      </c>
      <c r="I7884" t="s">
        <v>47111</v>
      </c>
      <c r="J7884" t="s">
        <v>47112</v>
      </c>
      <c r="K7884" t="s">
        <v>47113</v>
      </c>
      <c r="L7884">
        <v>60.08</v>
      </c>
      <c r="M7884">
        <v>134</v>
      </c>
      <c r="N7884">
        <v>0</v>
      </c>
      <c r="O7884">
        <v>134</v>
      </c>
      <c r="P7884">
        <v>0</v>
      </c>
    </row>
    <row r="7885" spans="1:16" x14ac:dyDescent="0.25">
      <c r="A7885" t="s">
        <v>30468</v>
      </c>
      <c r="B7885" t="s">
        <v>6397</v>
      </c>
      <c r="C7885" t="s">
        <v>6398</v>
      </c>
      <c r="D7885" t="s">
        <v>2020</v>
      </c>
      <c r="E7885" t="s">
        <v>2021</v>
      </c>
      <c r="F7885" t="s">
        <v>8</v>
      </c>
      <c r="G7885" t="s">
        <v>16231</v>
      </c>
      <c r="H7885" t="s">
        <v>47054</v>
      </c>
      <c r="I7885" t="s">
        <v>47111</v>
      </c>
      <c r="J7885" t="s">
        <v>47112</v>
      </c>
      <c r="K7885" t="s">
        <v>47113</v>
      </c>
      <c r="L7885">
        <v>41.74</v>
      </c>
      <c r="M7885">
        <v>108</v>
      </c>
      <c r="N7885">
        <v>0</v>
      </c>
      <c r="O7885">
        <v>108</v>
      </c>
      <c r="P7885">
        <v>0</v>
      </c>
    </row>
    <row r="7886" spans="1:16" x14ac:dyDescent="0.25">
      <c r="A7886" t="s">
        <v>30469</v>
      </c>
      <c r="B7886" t="s">
        <v>6399</v>
      </c>
      <c r="C7886" t="s">
        <v>3507</v>
      </c>
      <c r="D7886" t="s">
        <v>6376</v>
      </c>
      <c r="E7886" t="s">
        <v>6377</v>
      </c>
      <c r="F7886" t="s">
        <v>5</v>
      </c>
      <c r="G7886" t="s">
        <v>16231</v>
      </c>
      <c r="H7886" t="s">
        <v>47054</v>
      </c>
      <c r="I7886" t="s">
        <v>47111</v>
      </c>
      <c r="J7886" t="s">
        <v>47112</v>
      </c>
      <c r="K7886" t="s">
        <v>47113</v>
      </c>
      <c r="L7886">
        <v>40.71</v>
      </c>
      <c r="M7886">
        <v>96</v>
      </c>
      <c r="N7886">
        <v>0</v>
      </c>
      <c r="O7886">
        <v>96</v>
      </c>
      <c r="P7886">
        <v>0</v>
      </c>
    </row>
    <row r="7887" spans="1:16" x14ac:dyDescent="0.25">
      <c r="A7887" t="s">
        <v>30470</v>
      </c>
      <c r="B7887" t="s">
        <v>6399</v>
      </c>
      <c r="C7887" t="s">
        <v>3507</v>
      </c>
      <c r="D7887" t="s">
        <v>311</v>
      </c>
      <c r="E7887" t="s">
        <v>312</v>
      </c>
      <c r="F7887" t="s">
        <v>5</v>
      </c>
      <c r="G7887" t="s">
        <v>16231</v>
      </c>
      <c r="H7887" t="s">
        <v>47054</v>
      </c>
      <c r="I7887" t="s">
        <v>47111</v>
      </c>
      <c r="J7887" t="s">
        <v>47112</v>
      </c>
      <c r="K7887" t="s">
        <v>47113</v>
      </c>
      <c r="L7887">
        <v>33.99</v>
      </c>
      <c r="M7887">
        <v>77</v>
      </c>
      <c r="N7887">
        <v>0</v>
      </c>
      <c r="O7887">
        <v>77</v>
      </c>
      <c r="P7887">
        <v>0</v>
      </c>
    </row>
    <row r="7888" spans="1:16" x14ac:dyDescent="0.25">
      <c r="A7888" t="s">
        <v>30471</v>
      </c>
      <c r="B7888" t="s">
        <v>6400</v>
      </c>
      <c r="C7888" t="s">
        <v>6401</v>
      </c>
      <c r="D7888" t="s">
        <v>721</v>
      </c>
      <c r="E7888" t="s">
        <v>722</v>
      </c>
      <c r="F7888" t="s">
        <v>36</v>
      </c>
      <c r="G7888" t="s">
        <v>16231</v>
      </c>
      <c r="H7888" t="s">
        <v>47054</v>
      </c>
      <c r="I7888" t="s">
        <v>47111</v>
      </c>
      <c r="J7888" t="s">
        <v>47112</v>
      </c>
      <c r="K7888" t="s">
        <v>47113</v>
      </c>
      <c r="L7888">
        <v>26.76</v>
      </c>
      <c r="M7888">
        <v>83</v>
      </c>
      <c r="N7888">
        <v>0</v>
      </c>
      <c r="O7888">
        <v>83</v>
      </c>
      <c r="P7888">
        <v>0</v>
      </c>
    </row>
    <row r="7889" spans="1:16" x14ac:dyDescent="0.25">
      <c r="A7889" t="s">
        <v>30472</v>
      </c>
      <c r="B7889" t="s">
        <v>6400</v>
      </c>
      <c r="C7889" t="s">
        <v>6401</v>
      </c>
      <c r="D7889" t="s">
        <v>6402</v>
      </c>
      <c r="E7889" t="s">
        <v>6403</v>
      </c>
      <c r="F7889" t="s">
        <v>36</v>
      </c>
      <c r="G7889" t="s">
        <v>16231</v>
      </c>
      <c r="H7889" t="s">
        <v>47054</v>
      </c>
      <c r="I7889" t="s">
        <v>47111</v>
      </c>
      <c r="J7889" t="s">
        <v>47112</v>
      </c>
      <c r="K7889" t="s">
        <v>47113</v>
      </c>
      <c r="L7889">
        <v>34.270000000000003</v>
      </c>
      <c r="M7889">
        <v>73</v>
      </c>
      <c r="N7889">
        <v>0</v>
      </c>
      <c r="O7889">
        <v>73</v>
      </c>
      <c r="P7889">
        <v>0</v>
      </c>
    </row>
    <row r="7890" spans="1:16" x14ac:dyDescent="0.25">
      <c r="A7890" t="s">
        <v>30473</v>
      </c>
      <c r="B7890" t="s">
        <v>6400</v>
      </c>
      <c r="C7890" t="s">
        <v>6401</v>
      </c>
      <c r="D7890" t="s">
        <v>1703</v>
      </c>
      <c r="E7890" t="s">
        <v>1704</v>
      </c>
      <c r="F7890" t="s">
        <v>631</v>
      </c>
      <c r="G7890" t="s">
        <v>16231</v>
      </c>
      <c r="H7890" t="s">
        <v>47054</v>
      </c>
      <c r="I7890" t="s">
        <v>47111</v>
      </c>
      <c r="J7890" t="s">
        <v>47112</v>
      </c>
      <c r="K7890" t="s">
        <v>47113</v>
      </c>
      <c r="L7890">
        <v>37.96</v>
      </c>
      <c r="M7890">
        <v>101</v>
      </c>
      <c r="N7890">
        <v>0</v>
      </c>
      <c r="O7890">
        <v>101</v>
      </c>
      <c r="P7890">
        <v>0</v>
      </c>
    </row>
    <row r="7891" spans="1:16" x14ac:dyDescent="0.25">
      <c r="A7891" t="s">
        <v>30474</v>
      </c>
      <c r="B7891" t="s">
        <v>6404</v>
      </c>
      <c r="C7891" t="s">
        <v>3507</v>
      </c>
      <c r="D7891" t="s">
        <v>6376</v>
      </c>
      <c r="E7891" t="s">
        <v>6377</v>
      </c>
      <c r="F7891" t="s">
        <v>5</v>
      </c>
      <c r="G7891" t="s">
        <v>16231</v>
      </c>
      <c r="H7891" t="s">
        <v>47054</v>
      </c>
      <c r="I7891" t="s">
        <v>47111</v>
      </c>
      <c r="J7891" t="s">
        <v>47112</v>
      </c>
      <c r="K7891" t="s">
        <v>47113</v>
      </c>
      <c r="L7891">
        <v>40.71</v>
      </c>
      <c r="M7891">
        <v>96</v>
      </c>
      <c r="N7891">
        <v>0</v>
      </c>
      <c r="O7891">
        <v>96</v>
      </c>
      <c r="P7891">
        <v>0</v>
      </c>
    </row>
    <row r="7892" spans="1:16" x14ac:dyDescent="0.25">
      <c r="A7892" t="s">
        <v>30475</v>
      </c>
      <c r="B7892" t="s">
        <v>6404</v>
      </c>
      <c r="C7892" t="s">
        <v>3507</v>
      </c>
      <c r="D7892" t="s">
        <v>311</v>
      </c>
      <c r="E7892" t="s">
        <v>312</v>
      </c>
      <c r="F7892" t="s">
        <v>5</v>
      </c>
      <c r="G7892" t="s">
        <v>16231</v>
      </c>
      <c r="H7892" t="s">
        <v>47054</v>
      </c>
      <c r="I7892" t="s">
        <v>47111</v>
      </c>
      <c r="J7892" t="s">
        <v>47112</v>
      </c>
      <c r="K7892" t="s">
        <v>47113</v>
      </c>
      <c r="L7892">
        <v>33.99</v>
      </c>
      <c r="M7892">
        <v>77</v>
      </c>
      <c r="N7892">
        <v>0</v>
      </c>
      <c r="O7892">
        <v>77</v>
      </c>
      <c r="P7892">
        <v>0</v>
      </c>
    </row>
    <row r="7893" spans="1:16" x14ac:dyDescent="0.25">
      <c r="A7893" t="s">
        <v>30476</v>
      </c>
      <c r="B7893" t="s">
        <v>6405</v>
      </c>
      <c r="C7893" t="s">
        <v>6406</v>
      </c>
      <c r="D7893" t="s">
        <v>721</v>
      </c>
      <c r="E7893" t="s">
        <v>722</v>
      </c>
      <c r="F7893" t="s">
        <v>8</v>
      </c>
      <c r="G7893" t="s">
        <v>16231</v>
      </c>
      <c r="H7893" t="s">
        <v>47054</v>
      </c>
      <c r="I7893" t="s">
        <v>47111</v>
      </c>
      <c r="J7893" t="s">
        <v>47112</v>
      </c>
      <c r="K7893" t="s">
        <v>47113</v>
      </c>
      <c r="L7893">
        <v>46.43</v>
      </c>
      <c r="M7893">
        <v>134</v>
      </c>
      <c r="N7893">
        <v>0</v>
      </c>
      <c r="O7893">
        <v>134</v>
      </c>
      <c r="P7893">
        <v>0</v>
      </c>
    </row>
    <row r="7894" spans="1:16" x14ac:dyDescent="0.25">
      <c r="A7894" t="s">
        <v>30477</v>
      </c>
      <c r="B7894" t="s">
        <v>6405</v>
      </c>
      <c r="C7894" t="s">
        <v>6406</v>
      </c>
      <c r="D7894" t="s">
        <v>1718</v>
      </c>
      <c r="E7894" t="s">
        <v>1719</v>
      </c>
      <c r="F7894" t="s">
        <v>8</v>
      </c>
      <c r="G7894" t="s">
        <v>16231</v>
      </c>
      <c r="H7894" t="s">
        <v>47054</v>
      </c>
      <c r="I7894" t="s">
        <v>47111</v>
      </c>
      <c r="J7894" t="s">
        <v>47112</v>
      </c>
      <c r="K7894" t="s">
        <v>47113</v>
      </c>
      <c r="L7894">
        <v>51.23</v>
      </c>
      <c r="M7894">
        <v>144</v>
      </c>
      <c r="N7894">
        <v>0</v>
      </c>
      <c r="O7894">
        <v>144</v>
      </c>
      <c r="P7894">
        <v>0</v>
      </c>
    </row>
    <row r="7895" spans="1:16" x14ac:dyDescent="0.25">
      <c r="A7895" t="s">
        <v>30478</v>
      </c>
      <c r="B7895" t="s">
        <v>6405</v>
      </c>
      <c r="C7895" t="s">
        <v>6406</v>
      </c>
      <c r="D7895" t="s">
        <v>1722</v>
      </c>
      <c r="E7895" t="s">
        <v>1723</v>
      </c>
      <c r="F7895" t="s">
        <v>8</v>
      </c>
      <c r="G7895" t="s">
        <v>16231</v>
      </c>
      <c r="H7895" t="s">
        <v>47054</v>
      </c>
      <c r="I7895" t="s">
        <v>47111</v>
      </c>
      <c r="J7895" t="s">
        <v>47112</v>
      </c>
      <c r="K7895" t="s">
        <v>47113</v>
      </c>
      <c r="L7895">
        <v>58.73</v>
      </c>
      <c r="M7895">
        <v>164</v>
      </c>
      <c r="N7895">
        <v>0</v>
      </c>
      <c r="O7895">
        <v>164</v>
      </c>
      <c r="P7895">
        <v>0</v>
      </c>
    </row>
    <row r="7896" spans="1:16" x14ac:dyDescent="0.25">
      <c r="A7896" t="s">
        <v>30479</v>
      </c>
      <c r="B7896" t="s">
        <v>6407</v>
      </c>
      <c r="C7896" t="s">
        <v>6408</v>
      </c>
      <c r="D7896" t="s">
        <v>721</v>
      </c>
      <c r="E7896" t="s">
        <v>722</v>
      </c>
      <c r="F7896" t="s">
        <v>58</v>
      </c>
      <c r="G7896" t="s">
        <v>16231</v>
      </c>
      <c r="H7896" t="s">
        <v>47054</v>
      </c>
      <c r="I7896" t="s">
        <v>47111</v>
      </c>
      <c r="J7896" t="s">
        <v>47112</v>
      </c>
      <c r="K7896" t="s">
        <v>47113</v>
      </c>
      <c r="L7896">
        <v>47.98</v>
      </c>
      <c r="M7896">
        <v>107</v>
      </c>
      <c r="N7896">
        <v>0</v>
      </c>
      <c r="O7896">
        <v>107</v>
      </c>
      <c r="P7896">
        <v>0</v>
      </c>
    </row>
    <row r="7897" spans="1:16" x14ac:dyDescent="0.25">
      <c r="A7897" t="s">
        <v>30480</v>
      </c>
      <c r="B7897" t="s">
        <v>6409</v>
      </c>
      <c r="C7897" t="s">
        <v>5088</v>
      </c>
      <c r="D7897" t="s">
        <v>6410</v>
      </c>
      <c r="E7897" t="s">
        <v>6411</v>
      </c>
      <c r="F7897" t="s">
        <v>296</v>
      </c>
      <c r="G7897" t="s">
        <v>16231</v>
      </c>
      <c r="H7897" t="s">
        <v>47054</v>
      </c>
      <c r="I7897" t="s">
        <v>47111</v>
      </c>
      <c r="J7897" t="s">
        <v>47112</v>
      </c>
      <c r="K7897" t="s">
        <v>47113</v>
      </c>
      <c r="L7897">
        <v>67.5</v>
      </c>
      <c r="M7897">
        <v>148</v>
      </c>
      <c r="N7897">
        <v>0</v>
      </c>
      <c r="O7897">
        <v>148</v>
      </c>
      <c r="P7897">
        <v>0</v>
      </c>
    </row>
    <row r="7898" spans="1:16" x14ac:dyDescent="0.25">
      <c r="A7898" t="s">
        <v>30481</v>
      </c>
      <c r="B7898" t="s">
        <v>6409</v>
      </c>
      <c r="C7898" t="s">
        <v>5088</v>
      </c>
      <c r="D7898" t="s">
        <v>1373</v>
      </c>
      <c r="E7898" t="s">
        <v>1374</v>
      </c>
      <c r="F7898" t="s">
        <v>296</v>
      </c>
      <c r="G7898" t="s">
        <v>16231</v>
      </c>
      <c r="H7898" t="s">
        <v>47054</v>
      </c>
      <c r="I7898" t="s">
        <v>47111</v>
      </c>
      <c r="J7898" t="s">
        <v>47112</v>
      </c>
      <c r="K7898" t="s">
        <v>47113</v>
      </c>
      <c r="L7898">
        <v>63.84</v>
      </c>
      <c r="M7898">
        <v>141</v>
      </c>
      <c r="N7898">
        <v>0</v>
      </c>
      <c r="O7898">
        <v>141</v>
      </c>
      <c r="P7898">
        <v>0</v>
      </c>
    </row>
    <row r="7899" spans="1:16" x14ac:dyDescent="0.25">
      <c r="A7899" t="s">
        <v>30482</v>
      </c>
      <c r="B7899" t="s">
        <v>6412</v>
      </c>
      <c r="C7899" t="s">
        <v>6413</v>
      </c>
      <c r="D7899" t="s">
        <v>1706</v>
      </c>
      <c r="E7899" t="s">
        <v>1707</v>
      </c>
      <c r="F7899" t="s">
        <v>631</v>
      </c>
      <c r="G7899" t="s">
        <v>16231</v>
      </c>
      <c r="H7899" t="s">
        <v>47054</v>
      </c>
      <c r="I7899" t="s">
        <v>47111</v>
      </c>
      <c r="J7899" t="s">
        <v>47112</v>
      </c>
      <c r="K7899" t="s">
        <v>47113</v>
      </c>
      <c r="L7899">
        <v>41.72</v>
      </c>
      <c r="M7899">
        <v>88</v>
      </c>
      <c r="N7899">
        <v>0</v>
      </c>
      <c r="O7899">
        <v>88</v>
      </c>
      <c r="P7899">
        <v>0</v>
      </c>
    </row>
    <row r="7900" spans="1:16" x14ac:dyDescent="0.25">
      <c r="A7900" t="s">
        <v>30483</v>
      </c>
      <c r="B7900" t="s">
        <v>6412</v>
      </c>
      <c r="C7900" t="s">
        <v>6413</v>
      </c>
      <c r="D7900" t="s">
        <v>2018</v>
      </c>
      <c r="E7900" t="s">
        <v>2019</v>
      </c>
      <c r="F7900" t="s">
        <v>8</v>
      </c>
      <c r="G7900" t="s">
        <v>16231</v>
      </c>
      <c r="H7900" t="s">
        <v>47054</v>
      </c>
      <c r="I7900" t="s">
        <v>47111</v>
      </c>
      <c r="J7900" t="s">
        <v>47112</v>
      </c>
      <c r="K7900" t="s">
        <v>47113</v>
      </c>
      <c r="L7900">
        <v>46.02</v>
      </c>
      <c r="M7900">
        <v>116</v>
      </c>
      <c r="N7900">
        <v>0</v>
      </c>
      <c r="O7900">
        <v>116</v>
      </c>
      <c r="P7900">
        <v>0</v>
      </c>
    </row>
    <row r="7901" spans="1:16" x14ac:dyDescent="0.25">
      <c r="A7901" t="s">
        <v>30484</v>
      </c>
      <c r="B7901" t="s">
        <v>6412</v>
      </c>
      <c r="C7901" t="s">
        <v>6413</v>
      </c>
      <c r="D7901" t="s">
        <v>1703</v>
      </c>
      <c r="E7901" t="s">
        <v>1704</v>
      </c>
      <c r="F7901" t="s">
        <v>631</v>
      </c>
      <c r="G7901" t="s">
        <v>16231</v>
      </c>
      <c r="H7901" t="s">
        <v>47054</v>
      </c>
      <c r="I7901" t="s">
        <v>47111</v>
      </c>
      <c r="J7901" t="s">
        <v>47112</v>
      </c>
      <c r="K7901" t="s">
        <v>47113</v>
      </c>
      <c r="L7901">
        <v>41.14</v>
      </c>
      <c r="M7901">
        <v>97</v>
      </c>
      <c r="N7901">
        <v>0</v>
      </c>
      <c r="O7901">
        <v>97</v>
      </c>
      <c r="P7901">
        <v>0</v>
      </c>
    </row>
    <row r="7902" spans="1:16" x14ac:dyDescent="0.25">
      <c r="A7902" t="s">
        <v>30485</v>
      </c>
      <c r="B7902" t="s">
        <v>6414</v>
      </c>
      <c r="C7902" t="s">
        <v>6413</v>
      </c>
      <c r="D7902" t="s">
        <v>6415</v>
      </c>
      <c r="E7902" t="s">
        <v>6416</v>
      </c>
      <c r="F7902" t="s">
        <v>1697</v>
      </c>
      <c r="G7902" t="s">
        <v>16231</v>
      </c>
      <c r="H7902" t="s">
        <v>47054</v>
      </c>
      <c r="I7902" t="s">
        <v>47111</v>
      </c>
      <c r="J7902" t="s">
        <v>47112</v>
      </c>
      <c r="K7902" t="s">
        <v>47113</v>
      </c>
      <c r="L7902">
        <v>38.4</v>
      </c>
      <c r="M7902">
        <v>84</v>
      </c>
      <c r="N7902">
        <v>0</v>
      </c>
      <c r="O7902">
        <v>84</v>
      </c>
      <c r="P7902">
        <v>0</v>
      </c>
    </row>
    <row r="7903" spans="1:16" x14ac:dyDescent="0.25">
      <c r="A7903" t="s">
        <v>30486</v>
      </c>
      <c r="B7903" t="s">
        <v>6417</v>
      </c>
      <c r="C7903" t="s">
        <v>6418</v>
      </c>
      <c r="D7903" t="s">
        <v>6419</v>
      </c>
      <c r="E7903" t="s">
        <v>6420</v>
      </c>
      <c r="F7903" t="s">
        <v>3670</v>
      </c>
      <c r="G7903" t="s">
        <v>16231</v>
      </c>
      <c r="I7903" t="s">
        <v>47111</v>
      </c>
      <c r="J7903" t="s">
        <v>47112</v>
      </c>
      <c r="K7903" t="s">
        <v>47113</v>
      </c>
      <c r="L7903">
        <v>61.47</v>
      </c>
      <c r="M7903">
        <v>107</v>
      </c>
      <c r="N7903">
        <v>0</v>
      </c>
      <c r="O7903">
        <v>107</v>
      </c>
      <c r="P7903">
        <v>0</v>
      </c>
    </row>
    <row r="7904" spans="1:16" x14ac:dyDescent="0.25">
      <c r="A7904" t="s">
        <v>30487</v>
      </c>
      <c r="B7904" t="s">
        <v>6421</v>
      </c>
      <c r="C7904" t="s">
        <v>3584</v>
      </c>
      <c r="D7904" t="s">
        <v>6376</v>
      </c>
      <c r="E7904" t="s">
        <v>6377</v>
      </c>
      <c r="F7904" t="s">
        <v>5</v>
      </c>
      <c r="G7904" t="s">
        <v>16231</v>
      </c>
      <c r="H7904" t="s">
        <v>47054</v>
      </c>
      <c r="I7904" t="s">
        <v>47111</v>
      </c>
      <c r="J7904" t="s">
        <v>47112</v>
      </c>
      <c r="K7904" t="s">
        <v>47113</v>
      </c>
      <c r="L7904">
        <v>40.71</v>
      </c>
      <c r="M7904">
        <v>96</v>
      </c>
      <c r="N7904">
        <v>0</v>
      </c>
      <c r="O7904">
        <v>96</v>
      </c>
      <c r="P7904">
        <v>0</v>
      </c>
    </row>
    <row r="7905" spans="1:16" x14ac:dyDescent="0.25">
      <c r="A7905" t="s">
        <v>30488</v>
      </c>
      <c r="B7905" t="s">
        <v>6421</v>
      </c>
      <c r="C7905" t="s">
        <v>3584</v>
      </c>
      <c r="D7905" t="s">
        <v>311</v>
      </c>
      <c r="E7905" t="s">
        <v>3479</v>
      </c>
      <c r="F7905" t="s">
        <v>5</v>
      </c>
      <c r="G7905" t="s">
        <v>16231</v>
      </c>
      <c r="H7905" t="s">
        <v>47054</v>
      </c>
      <c r="I7905" t="s">
        <v>47111</v>
      </c>
      <c r="J7905" t="s">
        <v>47112</v>
      </c>
      <c r="K7905" t="s">
        <v>47113</v>
      </c>
      <c r="L7905">
        <v>33.99</v>
      </c>
      <c r="M7905">
        <v>77</v>
      </c>
      <c r="N7905">
        <v>0</v>
      </c>
      <c r="O7905">
        <v>77</v>
      </c>
      <c r="P7905">
        <v>0</v>
      </c>
    </row>
    <row r="7906" spans="1:16" x14ac:dyDescent="0.25">
      <c r="A7906" t="s">
        <v>30489</v>
      </c>
      <c r="B7906" t="s">
        <v>6422</v>
      </c>
      <c r="C7906" t="s">
        <v>1699</v>
      </c>
      <c r="D7906" t="s">
        <v>721</v>
      </c>
      <c r="E7906" t="s">
        <v>722</v>
      </c>
      <c r="F7906" t="s">
        <v>6381</v>
      </c>
      <c r="G7906" t="s">
        <v>16231</v>
      </c>
      <c r="H7906" t="s">
        <v>47054</v>
      </c>
      <c r="I7906" t="s">
        <v>47111</v>
      </c>
      <c r="J7906" t="s">
        <v>47112</v>
      </c>
      <c r="K7906" t="s">
        <v>47113</v>
      </c>
      <c r="L7906">
        <v>27.37</v>
      </c>
      <c r="M7906">
        <v>68</v>
      </c>
      <c r="N7906">
        <v>0</v>
      </c>
      <c r="O7906">
        <v>68</v>
      </c>
      <c r="P7906">
        <v>0</v>
      </c>
    </row>
    <row r="7907" spans="1:16" x14ac:dyDescent="0.25">
      <c r="A7907" t="s">
        <v>30490</v>
      </c>
      <c r="B7907" t="s">
        <v>6422</v>
      </c>
      <c r="C7907" t="s">
        <v>1699</v>
      </c>
      <c r="D7907" t="s">
        <v>2100</v>
      </c>
      <c r="E7907" t="s">
        <v>2101</v>
      </c>
      <c r="F7907" t="s">
        <v>3</v>
      </c>
      <c r="G7907" t="s">
        <v>16231</v>
      </c>
      <c r="H7907" t="s">
        <v>47054</v>
      </c>
      <c r="I7907" t="s">
        <v>47111</v>
      </c>
      <c r="J7907" t="s">
        <v>47112</v>
      </c>
      <c r="K7907" t="s">
        <v>47113</v>
      </c>
      <c r="L7907">
        <v>33.22</v>
      </c>
      <c r="M7907">
        <v>78</v>
      </c>
      <c r="N7907">
        <v>0</v>
      </c>
      <c r="O7907">
        <v>78</v>
      </c>
      <c r="P7907">
        <v>0</v>
      </c>
    </row>
    <row r="7908" spans="1:16" x14ac:dyDescent="0.25">
      <c r="A7908" t="s">
        <v>30491</v>
      </c>
      <c r="B7908" t="s">
        <v>6422</v>
      </c>
      <c r="C7908" t="s">
        <v>1699</v>
      </c>
      <c r="D7908" t="s">
        <v>2054</v>
      </c>
      <c r="E7908" t="s">
        <v>6382</v>
      </c>
      <c r="F7908" t="s">
        <v>3</v>
      </c>
      <c r="G7908" t="s">
        <v>16231</v>
      </c>
      <c r="H7908" t="s">
        <v>47054</v>
      </c>
      <c r="I7908" t="s">
        <v>47111</v>
      </c>
      <c r="J7908" t="s">
        <v>47112</v>
      </c>
      <c r="K7908" t="s">
        <v>47113</v>
      </c>
      <c r="L7908">
        <v>30.97</v>
      </c>
      <c r="M7908">
        <v>73</v>
      </c>
      <c r="N7908">
        <v>0</v>
      </c>
      <c r="O7908">
        <v>73</v>
      </c>
      <c r="P7908">
        <v>0</v>
      </c>
    </row>
    <row r="7909" spans="1:16" x14ac:dyDescent="0.25">
      <c r="A7909" t="s">
        <v>30492</v>
      </c>
      <c r="B7909" t="s">
        <v>6423</v>
      </c>
      <c r="C7909" t="s">
        <v>3584</v>
      </c>
      <c r="D7909" t="s">
        <v>6376</v>
      </c>
      <c r="E7909" t="s">
        <v>6377</v>
      </c>
      <c r="F7909" t="s">
        <v>5</v>
      </c>
      <c r="G7909" t="s">
        <v>16231</v>
      </c>
      <c r="H7909" t="s">
        <v>47054</v>
      </c>
      <c r="I7909" t="s">
        <v>47111</v>
      </c>
      <c r="J7909" t="s">
        <v>47112</v>
      </c>
      <c r="K7909" t="s">
        <v>47113</v>
      </c>
      <c r="L7909">
        <v>40.71</v>
      </c>
      <c r="M7909">
        <v>96</v>
      </c>
      <c r="N7909">
        <v>0</v>
      </c>
      <c r="O7909">
        <v>96</v>
      </c>
      <c r="P7909">
        <v>0</v>
      </c>
    </row>
    <row r="7910" spans="1:16" x14ac:dyDescent="0.25">
      <c r="A7910" t="s">
        <v>30493</v>
      </c>
      <c r="B7910" t="s">
        <v>6423</v>
      </c>
      <c r="C7910" t="s">
        <v>3584</v>
      </c>
      <c r="D7910" t="s">
        <v>311</v>
      </c>
      <c r="E7910" t="s">
        <v>3479</v>
      </c>
      <c r="F7910" t="s">
        <v>5</v>
      </c>
      <c r="G7910" t="s">
        <v>16231</v>
      </c>
      <c r="H7910" t="s">
        <v>47054</v>
      </c>
      <c r="I7910" t="s">
        <v>47111</v>
      </c>
      <c r="J7910" t="s">
        <v>47112</v>
      </c>
      <c r="K7910" t="s">
        <v>47113</v>
      </c>
      <c r="L7910">
        <v>33.99</v>
      </c>
      <c r="M7910">
        <v>77</v>
      </c>
      <c r="N7910">
        <v>0</v>
      </c>
      <c r="O7910">
        <v>77</v>
      </c>
      <c r="P7910">
        <v>0</v>
      </c>
    </row>
    <row r="7911" spans="1:16" x14ac:dyDescent="0.25">
      <c r="A7911" t="s">
        <v>30494</v>
      </c>
      <c r="B7911" t="s">
        <v>6424</v>
      </c>
      <c r="C7911" t="s">
        <v>3594</v>
      </c>
      <c r="D7911" t="s">
        <v>6376</v>
      </c>
      <c r="E7911" t="s">
        <v>6377</v>
      </c>
      <c r="F7911" t="s">
        <v>5</v>
      </c>
      <c r="G7911" t="s">
        <v>16231</v>
      </c>
      <c r="H7911" t="s">
        <v>47054</v>
      </c>
      <c r="I7911" t="s">
        <v>47111</v>
      </c>
      <c r="J7911" t="s">
        <v>47112</v>
      </c>
      <c r="K7911" t="s">
        <v>47113</v>
      </c>
      <c r="L7911">
        <v>40.71</v>
      </c>
      <c r="M7911">
        <v>96</v>
      </c>
      <c r="N7911">
        <v>0</v>
      </c>
      <c r="O7911">
        <v>96</v>
      </c>
      <c r="P7911">
        <v>0</v>
      </c>
    </row>
    <row r="7912" spans="1:16" x14ac:dyDescent="0.25">
      <c r="A7912" t="s">
        <v>30495</v>
      </c>
      <c r="B7912" t="s">
        <v>6424</v>
      </c>
      <c r="C7912" t="s">
        <v>3594</v>
      </c>
      <c r="D7912" t="s">
        <v>311</v>
      </c>
      <c r="E7912" t="s">
        <v>3479</v>
      </c>
      <c r="F7912" t="s">
        <v>5</v>
      </c>
      <c r="G7912" t="s">
        <v>16231</v>
      </c>
      <c r="H7912" t="s">
        <v>47054</v>
      </c>
      <c r="I7912" t="s">
        <v>47111</v>
      </c>
      <c r="J7912" t="s">
        <v>47112</v>
      </c>
      <c r="K7912" t="s">
        <v>47113</v>
      </c>
      <c r="L7912">
        <v>33.99</v>
      </c>
      <c r="M7912">
        <v>77</v>
      </c>
      <c r="N7912">
        <v>0</v>
      </c>
      <c r="O7912">
        <v>77</v>
      </c>
      <c r="P7912">
        <v>0</v>
      </c>
    </row>
    <row r="7913" spans="1:16" x14ac:dyDescent="0.25">
      <c r="A7913" t="s">
        <v>30496</v>
      </c>
      <c r="B7913" t="s">
        <v>6425</v>
      </c>
      <c r="C7913" t="s">
        <v>6426</v>
      </c>
      <c r="D7913" t="s">
        <v>721</v>
      </c>
      <c r="E7913" t="s">
        <v>722</v>
      </c>
      <c r="F7913" t="s">
        <v>3</v>
      </c>
      <c r="G7913" t="s">
        <v>16231</v>
      </c>
      <c r="H7913" t="s">
        <v>47054</v>
      </c>
      <c r="I7913" t="s">
        <v>47111</v>
      </c>
      <c r="J7913" t="s">
        <v>47112</v>
      </c>
      <c r="K7913" t="s">
        <v>47113</v>
      </c>
      <c r="L7913">
        <v>24.25</v>
      </c>
      <c r="M7913">
        <v>68</v>
      </c>
      <c r="N7913">
        <v>0</v>
      </c>
      <c r="O7913">
        <v>68</v>
      </c>
      <c r="P7913">
        <v>0</v>
      </c>
    </row>
    <row r="7914" spans="1:16" x14ac:dyDescent="0.25">
      <c r="A7914" t="s">
        <v>30497</v>
      </c>
      <c r="B7914" t="s">
        <v>6425</v>
      </c>
      <c r="C7914" t="s">
        <v>6426</v>
      </c>
      <c r="D7914" t="s">
        <v>2100</v>
      </c>
      <c r="E7914" t="s">
        <v>2101</v>
      </c>
      <c r="F7914" t="s">
        <v>3</v>
      </c>
      <c r="G7914" t="s">
        <v>16231</v>
      </c>
      <c r="H7914" t="s">
        <v>47054</v>
      </c>
      <c r="I7914" t="s">
        <v>47111</v>
      </c>
      <c r="J7914" t="s">
        <v>47112</v>
      </c>
      <c r="K7914" t="s">
        <v>47113</v>
      </c>
      <c r="L7914">
        <v>30.72</v>
      </c>
      <c r="M7914">
        <v>78</v>
      </c>
      <c r="N7914">
        <v>0</v>
      </c>
      <c r="O7914">
        <v>78</v>
      </c>
      <c r="P7914">
        <v>0</v>
      </c>
    </row>
    <row r="7915" spans="1:16" x14ac:dyDescent="0.25">
      <c r="A7915" t="s">
        <v>30498</v>
      </c>
      <c r="B7915" t="s">
        <v>6425</v>
      </c>
      <c r="C7915" t="s">
        <v>6426</v>
      </c>
      <c r="D7915" t="s">
        <v>2054</v>
      </c>
      <c r="E7915" t="s">
        <v>6427</v>
      </c>
      <c r="F7915" t="s">
        <v>3</v>
      </c>
      <c r="G7915" t="s">
        <v>16231</v>
      </c>
      <c r="H7915" t="s">
        <v>47054</v>
      </c>
      <c r="I7915" t="s">
        <v>47111</v>
      </c>
      <c r="J7915" t="s">
        <v>47112</v>
      </c>
      <c r="K7915" t="s">
        <v>47113</v>
      </c>
      <c r="L7915">
        <v>37.6</v>
      </c>
      <c r="M7915">
        <v>73</v>
      </c>
      <c r="N7915">
        <v>0</v>
      </c>
      <c r="O7915">
        <v>73</v>
      </c>
      <c r="P7915">
        <v>0</v>
      </c>
    </row>
    <row r="7916" spans="1:16" x14ac:dyDescent="0.25">
      <c r="A7916" t="s">
        <v>30499</v>
      </c>
      <c r="B7916" t="s">
        <v>6428</v>
      </c>
      <c r="C7916" t="s">
        <v>3594</v>
      </c>
      <c r="D7916" t="s">
        <v>6376</v>
      </c>
      <c r="E7916" t="s">
        <v>6377</v>
      </c>
      <c r="F7916" t="s">
        <v>5</v>
      </c>
      <c r="G7916" t="s">
        <v>16231</v>
      </c>
      <c r="H7916" t="s">
        <v>47054</v>
      </c>
      <c r="I7916" t="s">
        <v>47111</v>
      </c>
      <c r="J7916" t="s">
        <v>47112</v>
      </c>
      <c r="K7916" t="s">
        <v>47113</v>
      </c>
      <c r="L7916">
        <v>38.72</v>
      </c>
      <c r="M7916">
        <v>96</v>
      </c>
      <c r="N7916">
        <v>0</v>
      </c>
      <c r="O7916">
        <v>96</v>
      </c>
      <c r="P7916">
        <v>0</v>
      </c>
    </row>
    <row r="7917" spans="1:16" x14ac:dyDescent="0.25">
      <c r="A7917" t="s">
        <v>30500</v>
      </c>
      <c r="B7917" t="s">
        <v>6428</v>
      </c>
      <c r="C7917" t="s">
        <v>3594</v>
      </c>
      <c r="D7917" t="s">
        <v>311</v>
      </c>
      <c r="E7917" t="s">
        <v>3479</v>
      </c>
      <c r="F7917" t="s">
        <v>5</v>
      </c>
      <c r="G7917" t="s">
        <v>16231</v>
      </c>
      <c r="H7917" t="s">
        <v>47054</v>
      </c>
      <c r="I7917" t="s">
        <v>47111</v>
      </c>
      <c r="J7917" t="s">
        <v>47112</v>
      </c>
      <c r="K7917" t="s">
        <v>47113</v>
      </c>
      <c r="L7917">
        <v>32.01</v>
      </c>
      <c r="M7917">
        <v>77</v>
      </c>
      <c r="N7917">
        <v>0</v>
      </c>
      <c r="O7917">
        <v>77</v>
      </c>
      <c r="P7917">
        <v>0</v>
      </c>
    </row>
    <row r="7918" spans="1:16" x14ac:dyDescent="0.25">
      <c r="A7918" t="s">
        <v>30501</v>
      </c>
      <c r="B7918" t="s">
        <v>6429</v>
      </c>
      <c r="C7918" t="s">
        <v>6430</v>
      </c>
      <c r="D7918" t="s">
        <v>6410</v>
      </c>
      <c r="E7918" t="s">
        <v>6411</v>
      </c>
      <c r="F7918" t="s">
        <v>296</v>
      </c>
      <c r="G7918" t="s">
        <v>16231</v>
      </c>
      <c r="H7918" t="s">
        <v>47054</v>
      </c>
      <c r="I7918" t="s">
        <v>47111</v>
      </c>
      <c r="J7918" t="s">
        <v>47112</v>
      </c>
      <c r="K7918" t="s">
        <v>47113</v>
      </c>
      <c r="L7918">
        <v>66.06</v>
      </c>
      <c r="M7918">
        <v>144</v>
      </c>
      <c r="N7918">
        <v>0</v>
      </c>
      <c r="O7918">
        <v>144</v>
      </c>
      <c r="P7918">
        <v>0</v>
      </c>
    </row>
    <row r="7919" spans="1:16" x14ac:dyDescent="0.25">
      <c r="A7919" t="s">
        <v>30502</v>
      </c>
      <c r="B7919" t="s">
        <v>6429</v>
      </c>
      <c r="C7919" t="s">
        <v>6430</v>
      </c>
      <c r="D7919" t="s">
        <v>1373</v>
      </c>
      <c r="E7919" t="s">
        <v>1374</v>
      </c>
      <c r="F7919" t="s">
        <v>296</v>
      </c>
      <c r="G7919" t="s">
        <v>16231</v>
      </c>
      <c r="H7919" t="s">
        <v>47054</v>
      </c>
      <c r="I7919" t="s">
        <v>47111</v>
      </c>
      <c r="J7919" t="s">
        <v>47112</v>
      </c>
      <c r="K7919" t="s">
        <v>47113</v>
      </c>
      <c r="L7919">
        <v>62.43</v>
      </c>
      <c r="M7919">
        <v>136</v>
      </c>
      <c r="N7919">
        <v>0</v>
      </c>
      <c r="O7919">
        <v>136</v>
      </c>
      <c r="P7919">
        <v>0</v>
      </c>
    </row>
    <row r="7920" spans="1:16" x14ac:dyDescent="0.25">
      <c r="A7920" t="s">
        <v>30503</v>
      </c>
      <c r="B7920" t="s">
        <v>6431</v>
      </c>
      <c r="C7920" t="s">
        <v>6432</v>
      </c>
      <c r="D7920" t="s">
        <v>721</v>
      </c>
      <c r="E7920" t="s">
        <v>722</v>
      </c>
      <c r="F7920" t="s">
        <v>36</v>
      </c>
      <c r="G7920" t="s">
        <v>16231</v>
      </c>
      <c r="H7920" t="s">
        <v>47054</v>
      </c>
      <c r="I7920" t="s">
        <v>47111</v>
      </c>
      <c r="J7920" t="s">
        <v>47112</v>
      </c>
      <c r="K7920" t="s">
        <v>47113</v>
      </c>
      <c r="L7920">
        <v>24.25</v>
      </c>
      <c r="M7920">
        <v>68</v>
      </c>
      <c r="N7920">
        <v>0</v>
      </c>
      <c r="O7920">
        <v>68</v>
      </c>
      <c r="P7920">
        <v>0</v>
      </c>
    </row>
    <row r="7921" spans="1:16" x14ac:dyDescent="0.25">
      <c r="A7921" t="s">
        <v>30504</v>
      </c>
      <c r="B7921" t="s">
        <v>6431</v>
      </c>
      <c r="C7921" t="s">
        <v>6432</v>
      </c>
      <c r="D7921" t="s">
        <v>2100</v>
      </c>
      <c r="E7921" t="s">
        <v>2101</v>
      </c>
      <c r="F7921" t="s">
        <v>3</v>
      </c>
      <c r="G7921" t="s">
        <v>16231</v>
      </c>
      <c r="H7921" t="s">
        <v>47054</v>
      </c>
      <c r="I7921" t="s">
        <v>47111</v>
      </c>
      <c r="J7921" t="s">
        <v>47112</v>
      </c>
      <c r="K7921" t="s">
        <v>47113</v>
      </c>
      <c r="L7921">
        <v>30.24</v>
      </c>
      <c r="M7921">
        <v>78</v>
      </c>
      <c r="N7921">
        <v>0</v>
      </c>
      <c r="O7921">
        <v>78</v>
      </c>
      <c r="P7921">
        <v>0</v>
      </c>
    </row>
    <row r="7922" spans="1:16" x14ac:dyDescent="0.25">
      <c r="A7922" t="s">
        <v>30505</v>
      </c>
      <c r="B7922" t="s">
        <v>6431</v>
      </c>
      <c r="C7922" t="s">
        <v>6432</v>
      </c>
      <c r="D7922" t="s">
        <v>2054</v>
      </c>
      <c r="E7922" t="s">
        <v>6382</v>
      </c>
      <c r="F7922" t="s">
        <v>3</v>
      </c>
      <c r="G7922" t="s">
        <v>16231</v>
      </c>
      <c r="H7922" t="s">
        <v>47054</v>
      </c>
      <c r="I7922" t="s">
        <v>47111</v>
      </c>
      <c r="J7922" t="s">
        <v>47112</v>
      </c>
      <c r="K7922" t="s">
        <v>47113</v>
      </c>
      <c r="L7922">
        <v>31.36</v>
      </c>
      <c r="M7922">
        <v>73</v>
      </c>
      <c r="N7922">
        <v>0</v>
      </c>
      <c r="O7922">
        <v>73</v>
      </c>
      <c r="P7922">
        <v>0</v>
      </c>
    </row>
    <row r="7923" spans="1:16" x14ac:dyDescent="0.25">
      <c r="A7923" t="s">
        <v>30506</v>
      </c>
      <c r="B7923" t="s">
        <v>6433</v>
      </c>
      <c r="C7923" t="s">
        <v>6434</v>
      </c>
      <c r="D7923" t="s">
        <v>721</v>
      </c>
      <c r="E7923" t="s">
        <v>722</v>
      </c>
      <c r="F7923" t="s">
        <v>631</v>
      </c>
      <c r="G7923" t="s">
        <v>16231</v>
      </c>
      <c r="H7923" t="s">
        <v>47054</v>
      </c>
      <c r="I7923" t="s">
        <v>47111</v>
      </c>
      <c r="J7923" t="s">
        <v>47112</v>
      </c>
      <c r="K7923" t="s">
        <v>47113</v>
      </c>
      <c r="L7923">
        <v>25.91</v>
      </c>
      <c r="M7923">
        <v>83</v>
      </c>
      <c r="N7923">
        <v>0</v>
      </c>
      <c r="O7923">
        <v>83</v>
      </c>
      <c r="P7923">
        <v>0</v>
      </c>
    </row>
    <row r="7924" spans="1:16" x14ac:dyDescent="0.25">
      <c r="A7924" t="s">
        <v>30507</v>
      </c>
      <c r="B7924" t="s">
        <v>6433</v>
      </c>
      <c r="C7924" t="s">
        <v>6434</v>
      </c>
      <c r="D7924" t="s">
        <v>4855</v>
      </c>
      <c r="E7924" t="s">
        <v>4856</v>
      </c>
      <c r="F7924" t="s">
        <v>8</v>
      </c>
      <c r="G7924" t="s">
        <v>16231</v>
      </c>
      <c r="H7924" t="s">
        <v>47054</v>
      </c>
      <c r="I7924" t="s">
        <v>47111</v>
      </c>
      <c r="J7924" t="s">
        <v>47112</v>
      </c>
      <c r="K7924" t="s">
        <v>47113</v>
      </c>
      <c r="L7924">
        <v>35.78</v>
      </c>
      <c r="M7924">
        <v>101</v>
      </c>
      <c r="N7924">
        <v>0</v>
      </c>
      <c r="O7924">
        <v>101</v>
      </c>
      <c r="P7924">
        <v>0</v>
      </c>
    </row>
    <row r="7925" spans="1:16" x14ac:dyDescent="0.25">
      <c r="A7925" t="s">
        <v>30508</v>
      </c>
      <c r="B7925" t="s">
        <v>6433</v>
      </c>
      <c r="C7925" t="s">
        <v>6434</v>
      </c>
      <c r="D7925" t="s">
        <v>1703</v>
      </c>
      <c r="E7925" t="s">
        <v>1704</v>
      </c>
      <c r="F7925" t="s">
        <v>631</v>
      </c>
      <c r="G7925" t="s">
        <v>16231</v>
      </c>
      <c r="H7925" t="s">
        <v>47054</v>
      </c>
      <c r="I7925" t="s">
        <v>47111</v>
      </c>
      <c r="J7925" t="s">
        <v>47112</v>
      </c>
      <c r="K7925" t="s">
        <v>47113</v>
      </c>
      <c r="L7925">
        <v>34.159999999999997</v>
      </c>
      <c r="M7925">
        <v>101</v>
      </c>
      <c r="N7925">
        <v>0</v>
      </c>
      <c r="O7925">
        <v>101</v>
      </c>
      <c r="P7925">
        <v>0</v>
      </c>
    </row>
    <row r="7926" spans="1:16" x14ac:dyDescent="0.25">
      <c r="A7926" t="s">
        <v>30509</v>
      </c>
      <c r="B7926" t="s">
        <v>6433</v>
      </c>
      <c r="C7926" t="s">
        <v>6434</v>
      </c>
      <c r="D7926" t="s">
        <v>1722</v>
      </c>
      <c r="E7926" t="s">
        <v>1723</v>
      </c>
      <c r="F7926" t="s">
        <v>8</v>
      </c>
      <c r="G7926" t="s">
        <v>16231</v>
      </c>
      <c r="H7926" t="s">
        <v>47054</v>
      </c>
      <c r="I7926" t="s">
        <v>47111</v>
      </c>
      <c r="J7926" t="s">
        <v>47112</v>
      </c>
      <c r="K7926" t="s">
        <v>47113</v>
      </c>
      <c r="L7926">
        <v>39.83</v>
      </c>
      <c r="M7926">
        <v>111</v>
      </c>
      <c r="N7926">
        <v>0</v>
      </c>
      <c r="O7926">
        <v>111</v>
      </c>
      <c r="P7926">
        <v>0</v>
      </c>
    </row>
    <row r="7927" spans="1:16" x14ac:dyDescent="0.25">
      <c r="A7927" t="s">
        <v>30510</v>
      </c>
      <c r="B7927" t="s">
        <v>6433</v>
      </c>
      <c r="C7927" t="s">
        <v>6434</v>
      </c>
      <c r="D7927" t="s">
        <v>2030</v>
      </c>
      <c r="E7927" t="s">
        <v>2031</v>
      </c>
      <c r="F7927" t="s">
        <v>631</v>
      </c>
      <c r="G7927" t="s">
        <v>16231</v>
      </c>
      <c r="H7927" t="s">
        <v>47054</v>
      </c>
      <c r="I7927" t="s">
        <v>47111</v>
      </c>
      <c r="J7927" t="s">
        <v>47112</v>
      </c>
      <c r="K7927" t="s">
        <v>47113</v>
      </c>
      <c r="L7927">
        <v>37.619999999999997</v>
      </c>
      <c r="M7927">
        <v>85</v>
      </c>
      <c r="N7927">
        <v>0</v>
      </c>
      <c r="O7927">
        <v>85</v>
      </c>
      <c r="P7927">
        <v>0</v>
      </c>
    </row>
    <row r="7928" spans="1:16" x14ac:dyDescent="0.25">
      <c r="A7928" t="s">
        <v>30511</v>
      </c>
      <c r="B7928" t="s">
        <v>6435</v>
      </c>
      <c r="C7928" t="s">
        <v>6436</v>
      </c>
      <c r="D7928" t="s">
        <v>721</v>
      </c>
      <c r="E7928" t="s">
        <v>722</v>
      </c>
      <c r="F7928" t="s">
        <v>631</v>
      </c>
      <c r="G7928" t="s">
        <v>16231</v>
      </c>
      <c r="H7928" t="s">
        <v>47054</v>
      </c>
      <c r="I7928" t="s">
        <v>47111</v>
      </c>
      <c r="J7928" t="s">
        <v>47112</v>
      </c>
      <c r="K7928" t="s">
        <v>47113</v>
      </c>
      <c r="L7928">
        <v>25.94</v>
      </c>
      <c r="M7928">
        <v>83</v>
      </c>
      <c r="N7928">
        <v>0</v>
      </c>
      <c r="O7928">
        <v>83</v>
      </c>
      <c r="P7928">
        <v>0</v>
      </c>
    </row>
    <row r="7929" spans="1:16" x14ac:dyDescent="0.25">
      <c r="A7929" t="s">
        <v>30512</v>
      </c>
      <c r="B7929" t="s">
        <v>6435</v>
      </c>
      <c r="C7929" t="s">
        <v>6436</v>
      </c>
      <c r="D7929" t="s">
        <v>1706</v>
      </c>
      <c r="E7929" t="s">
        <v>1707</v>
      </c>
      <c r="F7929" t="s">
        <v>631</v>
      </c>
      <c r="G7929" t="s">
        <v>16231</v>
      </c>
      <c r="H7929" t="s">
        <v>47054</v>
      </c>
      <c r="I7929" t="s">
        <v>47111</v>
      </c>
      <c r="J7929" t="s">
        <v>47112</v>
      </c>
      <c r="K7929" t="s">
        <v>47113</v>
      </c>
      <c r="L7929">
        <v>39.75</v>
      </c>
      <c r="M7929">
        <v>88</v>
      </c>
      <c r="N7929">
        <v>0</v>
      </c>
      <c r="O7929">
        <v>88</v>
      </c>
      <c r="P7929">
        <v>0</v>
      </c>
    </row>
    <row r="7930" spans="1:16" x14ac:dyDescent="0.25">
      <c r="A7930" t="s">
        <v>30513</v>
      </c>
      <c r="B7930" t="s">
        <v>6435</v>
      </c>
      <c r="C7930" t="s">
        <v>6436</v>
      </c>
      <c r="D7930" t="s">
        <v>1703</v>
      </c>
      <c r="E7930" t="s">
        <v>1704</v>
      </c>
      <c r="F7930" t="s">
        <v>631</v>
      </c>
      <c r="G7930" t="s">
        <v>16231</v>
      </c>
      <c r="H7930" t="s">
        <v>47054</v>
      </c>
      <c r="I7930" t="s">
        <v>47111</v>
      </c>
      <c r="J7930" t="s">
        <v>47112</v>
      </c>
      <c r="K7930" t="s">
        <v>47113</v>
      </c>
      <c r="L7930">
        <v>33.590000000000003</v>
      </c>
      <c r="M7930">
        <v>89</v>
      </c>
      <c r="N7930">
        <v>0</v>
      </c>
      <c r="O7930">
        <v>89</v>
      </c>
      <c r="P7930">
        <v>0</v>
      </c>
    </row>
    <row r="7931" spans="1:16" x14ac:dyDescent="0.25">
      <c r="A7931" t="s">
        <v>30514</v>
      </c>
      <c r="B7931" t="s">
        <v>6437</v>
      </c>
      <c r="C7931" t="s">
        <v>6438</v>
      </c>
      <c r="D7931" t="s">
        <v>294</v>
      </c>
      <c r="E7931" t="s">
        <v>295</v>
      </c>
      <c r="F7931" t="s">
        <v>6</v>
      </c>
      <c r="G7931" t="s">
        <v>16231</v>
      </c>
      <c r="H7931" t="s">
        <v>47054</v>
      </c>
      <c r="I7931" t="s">
        <v>47111</v>
      </c>
      <c r="J7931" t="s">
        <v>47112</v>
      </c>
      <c r="K7931" t="s">
        <v>47113</v>
      </c>
      <c r="L7931">
        <v>54.41</v>
      </c>
      <c r="M7931">
        <v>115</v>
      </c>
      <c r="N7931">
        <v>0</v>
      </c>
      <c r="O7931">
        <v>115</v>
      </c>
      <c r="P7931">
        <v>0</v>
      </c>
    </row>
    <row r="7932" spans="1:16" x14ac:dyDescent="0.25">
      <c r="A7932" t="s">
        <v>16462</v>
      </c>
      <c r="B7932" t="s">
        <v>6439</v>
      </c>
      <c r="C7932" t="s">
        <v>6440</v>
      </c>
      <c r="D7932" t="str">
        <f>"1200"</f>
        <v>1200</v>
      </c>
      <c r="E7932" t="s">
        <v>241</v>
      </c>
      <c r="F7932" t="s">
        <v>3670</v>
      </c>
      <c r="G7932" t="s">
        <v>16222</v>
      </c>
      <c r="H7932" t="s">
        <v>47054</v>
      </c>
      <c r="I7932" t="s">
        <v>47118</v>
      </c>
      <c r="J7932" t="s">
        <v>47119</v>
      </c>
      <c r="K7932" t="s">
        <v>47113</v>
      </c>
      <c r="L7932">
        <v>30.34</v>
      </c>
      <c r="M7932">
        <v>70</v>
      </c>
      <c r="N7932">
        <v>0</v>
      </c>
      <c r="O7932">
        <v>70</v>
      </c>
      <c r="P7932">
        <v>0</v>
      </c>
    </row>
    <row r="7933" spans="1:16" x14ac:dyDescent="0.25">
      <c r="A7933" t="s">
        <v>30515</v>
      </c>
      <c r="B7933" t="s">
        <v>14524</v>
      </c>
      <c r="C7933" t="s">
        <v>14523</v>
      </c>
      <c r="D7933" t="str">
        <f>"4100"</f>
        <v>4100</v>
      </c>
      <c r="E7933" t="s">
        <v>2383</v>
      </c>
      <c r="F7933" t="s">
        <v>3750</v>
      </c>
      <c r="G7933" t="s">
        <v>47061</v>
      </c>
      <c r="H7933" t="s">
        <v>47054</v>
      </c>
      <c r="I7933" t="s">
        <v>47120</v>
      </c>
      <c r="J7933" t="s">
        <v>47121</v>
      </c>
      <c r="K7933" t="s">
        <v>47113</v>
      </c>
      <c r="L7933">
        <v>14.11</v>
      </c>
      <c r="M7933">
        <v>53</v>
      </c>
      <c r="N7933">
        <v>0</v>
      </c>
      <c r="O7933">
        <v>53</v>
      </c>
      <c r="P7933">
        <v>0</v>
      </c>
    </row>
    <row r="7934" spans="1:16" x14ac:dyDescent="0.25">
      <c r="A7934" t="s">
        <v>30516</v>
      </c>
      <c r="B7934" t="s">
        <v>20094</v>
      </c>
      <c r="C7934" t="s">
        <v>20095</v>
      </c>
      <c r="D7934" t="str">
        <f>"1001"</f>
        <v>1001</v>
      </c>
      <c r="E7934" t="s">
        <v>42</v>
      </c>
      <c r="F7934" t="s">
        <v>3750</v>
      </c>
      <c r="G7934" t="s">
        <v>47061</v>
      </c>
      <c r="H7934" t="s">
        <v>47052</v>
      </c>
      <c r="I7934" t="s">
        <v>47120</v>
      </c>
      <c r="J7934" t="s">
        <v>47121</v>
      </c>
      <c r="K7934" t="s">
        <v>47113</v>
      </c>
      <c r="L7934">
        <v>15.84</v>
      </c>
      <c r="M7934">
        <v>43</v>
      </c>
      <c r="N7934">
        <v>0</v>
      </c>
      <c r="O7934">
        <v>43</v>
      </c>
      <c r="P7934">
        <v>0</v>
      </c>
    </row>
    <row r="7935" spans="1:16" x14ac:dyDescent="0.25">
      <c r="A7935" t="s">
        <v>30517</v>
      </c>
      <c r="B7935" t="s">
        <v>20094</v>
      </c>
      <c r="C7935" t="s">
        <v>20095</v>
      </c>
      <c r="D7935" t="str">
        <f>"4143"</f>
        <v>4143</v>
      </c>
      <c r="E7935" t="s">
        <v>261</v>
      </c>
      <c r="F7935" t="s">
        <v>3750</v>
      </c>
      <c r="G7935" t="s">
        <v>47061</v>
      </c>
      <c r="H7935" t="s">
        <v>47052</v>
      </c>
      <c r="I7935" t="s">
        <v>47120</v>
      </c>
      <c r="J7935" t="s">
        <v>47121</v>
      </c>
      <c r="K7935" t="s">
        <v>47113</v>
      </c>
      <c r="L7935">
        <v>15.84</v>
      </c>
      <c r="M7935">
        <v>43</v>
      </c>
      <c r="N7935">
        <v>0</v>
      </c>
      <c r="O7935">
        <v>43</v>
      </c>
      <c r="P7935">
        <v>0</v>
      </c>
    </row>
    <row r="7936" spans="1:16" x14ac:dyDescent="0.25">
      <c r="A7936" t="s">
        <v>30518</v>
      </c>
      <c r="B7936" t="s">
        <v>20094</v>
      </c>
      <c r="C7936" t="s">
        <v>20095</v>
      </c>
      <c r="D7936" t="str">
        <f>"6000"</f>
        <v>6000</v>
      </c>
      <c r="E7936" t="s">
        <v>238</v>
      </c>
      <c r="F7936" t="s">
        <v>3750</v>
      </c>
      <c r="G7936" t="s">
        <v>47061</v>
      </c>
      <c r="H7936" t="s">
        <v>47052</v>
      </c>
      <c r="I7936" t="s">
        <v>47120</v>
      </c>
      <c r="J7936" t="s">
        <v>47121</v>
      </c>
      <c r="K7936" t="s">
        <v>47113</v>
      </c>
      <c r="L7936">
        <v>15.84</v>
      </c>
      <c r="M7936">
        <v>43</v>
      </c>
      <c r="N7936">
        <v>0</v>
      </c>
      <c r="O7936">
        <v>43</v>
      </c>
      <c r="P7936">
        <v>0</v>
      </c>
    </row>
    <row r="7937" spans="1:16" x14ac:dyDescent="0.25">
      <c r="A7937" t="s">
        <v>30519</v>
      </c>
      <c r="B7937" t="s">
        <v>6441</v>
      </c>
      <c r="C7937" t="s">
        <v>6442</v>
      </c>
      <c r="D7937" t="str">
        <f>"1113"</f>
        <v>1113</v>
      </c>
      <c r="E7937" t="s">
        <v>6443</v>
      </c>
      <c r="F7937" t="s">
        <v>2</v>
      </c>
      <c r="G7937" t="s">
        <v>16221</v>
      </c>
      <c r="H7937" t="s">
        <v>47054</v>
      </c>
      <c r="I7937" t="s">
        <v>47116</v>
      </c>
      <c r="J7937" t="s">
        <v>47117</v>
      </c>
      <c r="K7937" t="s">
        <v>47113</v>
      </c>
      <c r="L7937">
        <v>6.46</v>
      </c>
      <c r="M7937">
        <v>19</v>
      </c>
      <c r="N7937">
        <v>0</v>
      </c>
      <c r="O7937">
        <v>19</v>
      </c>
      <c r="P7937">
        <v>0</v>
      </c>
    </row>
    <row r="7938" spans="1:16" x14ac:dyDescent="0.25">
      <c r="A7938" t="s">
        <v>30520</v>
      </c>
      <c r="B7938" t="s">
        <v>6441</v>
      </c>
      <c r="C7938" t="s">
        <v>6442</v>
      </c>
      <c r="D7938" t="str">
        <f>"1746"</f>
        <v>1746</v>
      </c>
      <c r="E7938" t="s">
        <v>807</v>
      </c>
      <c r="F7938" t="s">
        <v>2</v>
      </c>
      <c r="G7938" t="s">
        <v>16221</v>
      </c>
      <c r="H7938" t="s">
        <v>47054</v>
      </c>
      <c r="I7938" t="s">
        <v>47116</v>
      </c>
      <c r="J7938" t="s">
        <v>47117</v>
      </c>
      <c r="K7938" t="s">
        <v>47113</v>
      </c>
      <c r="L7938">
        <v>6.39</v>
      </c>
      <c r="M7938">
        <v>19</v>
      </c>
      <c r="N7938">
        <v>0</v>
      </c>
      <c r="O7938">
        <v>19</v>
      </c>
      <c r="P7938">
        <v>0</v>
      </c>
    </row>
    <row r="7939" spans="1:16" x14ac:dyDescent="0.25">
      <c r="A7939" t="s">
        <v>30521</v>
      </c>
      <c r="B7939" t="s">
        <v>6441</v>
      </c>
      <c r="C7939" t="s">
        <v>6442</v>
      </c>
      <c r="D7939" t="str">
        <f>"4137"</f>
        <v>4137</v>
      </c>
      <c r="E7939" t="s">
        <v>2701</v>
      </c>
      <c r="F7939" t="s">
        <v>2</v>
      </c>
      <c r="G7939" t="s">
        <v>16221</v>
      </c>
      <c r="H7939" t="s">
        <v>47054</v>
      </c>
      <c r="I7939" t="s">
        <v>47116</v>
      </c>
      <c r="J7939" t="s">
        <v>47117</v>
      </c>
      <c r="K7939" t="s">
        <v>47113</v>
      </c>
      <c r="L7939">
        <v>6.46</v>
      </c>
      <c r="M7939">
        <v>19</v>
      </c>
      <c r="N7939">
        <v>0</v>
      </c>
      <c r="O7939">
        <v>19</v>
      </c>
      <c r="P7939">
        <v>0</v>
      </c>
    </row>
    <row r="7940" spans="1:16" x14ac:dyDescent="0.25">
      <c r="A7940" t="s">
        <v>30522</v>
      </c>
      <c r="B7940" t="s">
        <v>6444</v>
      </c>
      <c r="C7940" t="s">
        <v>6442</v>
      </c>
      <c r="D7940" t="str">
        <f>"1100"</f>
        <v>1100</v>
      </c>
      <c r="E7940" t="s">
        <v>54</v>
      </c>
      <c r="F7940" t="s">
        <v>2</v>
      </c>
      <c r="G7940" t="s">
        <v>16221</v>
      </c>
      <c r="H7940" t="s">
        <v>47054</v>
      </c>
      <c r="I7940" t="s">
        <v>47154</v>
      </c>
      <c r="J7940" t="s">
        <v>47155</v>
      </c>
      <c r="K7940" t="s">
        <v>47113</v>
      </c>
      <c r="L7940">
        <v>6.46</v>
      </c>
      <c r="M7940">
        <v>19</v>
      </c>
      <c r="N7940">
        <v>0</v>
      </c>
      <c r="O7940">
        <v>19</v>
      </c>
      <c r="P7940">
        <v>0</v>
      </c>
    </row>
    <row r="7941" spans="1:16" x14ac:dyDescent="0.25">
      <c r="A7941" t="s">
        <v>30523</v>
      </c>
      <c r="B7941" t="s">
        <v>6444</v>
      </c>
      <c r="C7941" t="s">
        <v>6442</v>
      </c>
      <c r="D7941" t="str">
        <f>"1113"</f>
        <v>1113</v>
      </c>
      <c r="E7941" t="s">
        <v>6443</v>
      </c>
      <c r="F7941" t="s">
        <v>2</v>
      </c>
      <c r="G7941" t="s">
        <v>16221</v>
      </c>
      <c r="H7941" t="s">
        <v>47054</v>
      </c>
      <c r="I7941" t="s">
        <v>47154</v>
      </c>
      <c r="J7941" t="s">
        <v>47155</v>
      </c>
      <c r="K7941" t="s">
        <v>47113</v>
      </c>
      <c r="L7941">
        <v>6.46</v>
      </c>
      <c r="M7941">
        <v>19</v>
      </c>
      <c r="N7941">
        <v>0</v>
      </c>
      <c r="O7941">
        <v>19</v>
      </c>
      <c r="P7941">
        <v>0</v>
      </c>
    </row>
    <row r="7942" spans="1:16" x14ac:dyDescent="0.25">
      <c r="A7942" t="s">
        <v>30524</v>
      </c>
      <c r="B7942" t="s">
        <v>6444</v>
      </c>
      <c r="C7942" t="s">
        <v>6442</v>
      </c>
      <c r="D7942" t="str">
        <f>"1700"</f>
        <v>1700</v>
      </c>
      <c r="E7942" t="s">
        <v>60</v>
      </c>
      <c r="F7942" t="s">
        <v>2</v>
      </c>
      <c r="G7942" t="s">
        <v>16221</v>
      </c>
      <c r="H7942" t="s">
        <v>47054</v>
      </c>
      <c r="I7942" t="s">
        <v>47154</v>
      </c>
      <c r="J7942" t="s">
        <v>47155</v>
      </c>
      <c r="K7942" t="s">
        <v>47113</v>
      </c>
      <c r="L7942">
        <v>6.46</v>
      </c>
      <c r="M7942">
        <v>19</v>
      </c>
      <c r="N7942">
        <v>0</v>
      </c>
      <c r="O7942">
        <v>19</v>
      </c>
      <c r="P7942">
        <v>0</v>
      </c>
    </row>
    <row r="7943" spans="1:16" x14ac:dyDescent="0.25">
      <c r="A7943" t="s">
        <v>30525</v>
      </c>
      <c r="B7943" t="s">
        <v>6444</v>
      </c>
      <c r="C7943" t="s">
        <v>6442</v>
      </c>
      <c r="D7943" t="str">
        <f>"1746"</f>
        <v>1746</v>
      </c>
      <c r="E7943" t="s">
        <v>807</v>
      </c>
      <c r="F7943" t="s">
        <v>2</v>
      </c>
      <c r="G7943" t="s">
        <v>16221</v>
      </c>
      <c r="H7943" t="s">
        <v>47054</v>
      </c>
      <c r="I7943" t="s">
        <v>47154</v>
      </c>
      <c r="J7943" t="s">
        <v>47155</v>
      </c>
      <c r="K7943" t="s">
        <v>47113</v>
      </c>
      <c r="L7943">
        <v>6.46</v>
      </c>
      <c r="M7943">
        <v>19</v>
      </c>
      <c r="N7943">
        <v>0</v>
      </c>
      <c r="O7943">
        <v>19</v>
      </c>
      <c r="P7943">
        <v>0</v>
      </c>
    </row>
    <row r="7944" spans="1:16" x14ac:dyDescent="0.25">
      <c r="A7944" t="s">
        <v>30526</v>
      </c>
      <c r="B7944" t="s">
        <v>6444</v>
      </c>
      <c r="C7944" t="s">
        <v>6442</v>
      </c>
      <c r="D7944" t="str">
        <f>"4100"</f>
        <v>4100</v>
      </c>
      <c r="E7944" t="s">
        <v>2383</v>
      </c>
      <c r="F7944" t="s">
        <v>2</v>
      </c>
      <c r="G7944" t="s">
        <v>16221</v>
      </c>
      <c r="H7944" t="s">
        <v>47054</v>
      </c>
      <c r="I7944" t="s">
        <v>47154</v>
      </c>
      <c r="J7944" t="s">
        <v>47155</v>
      </c>
      <c r="K7944" t="s">
        <v>47113</v>
      </c>
      <c r="L7944">
        <v>6.46</v>
      </c>
      <c r="M7944">
        <v>19</v>
      </c>
      <c r="N7944">
        <v>0</v>
      </c>
      <c r="O7944">
        <v>19</v>
      </c>
      <c r="P7944">
        <v>0</v>
      </c>
    </row>
    <row r="7945" spans="1:16" x14ac:dyDescent="0.25">
      <c r="A7945" t="s">
        <v>30527</v>
      </c>
      <c r="B7945" t="s">
        <v>6444</v>
      </c>
      <c r="C7945" t="s">
        <v>6442</v>
      </c>
      <c r="D7945" t="str">
        <f>"4137"</f>
        <v>4137</v>
      </c>
      <c r="E7945" t="s">
        <v>2701</v>
      </c>
      <c r="F7945" t="s">
        <v>2</v>
      </c>
      <c r="G7945" t="s">
        <v>16221</v>
      </c>
      <c r="H7945" t="s">
        <v>47054</v>
      </c>
      <c r="I7945" t="s">
        <v>47154</v>
      </c>
      <c r="J7945" t="s">
        <v>47155</v>
      </c>
      <c r="K7945" t="s">
        <v>47113</v>
      </c>
      <c r="L7945">
        <v>6.46</v>
      </c>
      <c r="M7945">
        <v>19</v>
      </c>
      <c r="N7945">
        <v>0</v>
      </c>
      <c r="O7945">
        <v>19</v>
      </c>
      <c r="P7945">
        <v>0</v>
      </c>
    </row>
    <row r="7946" spans="1:16" x14ac:dyDescent="0.25">
      <c r="A7946" t="s">
        <v>30528</v>
      </c>
      <c r="B7946" t="s">
        <v>30529</v>
      </c>
      <c r="C7946" t="s">
        <v>6446</v>
      </c>
      <c r="D7946" t="str">
        <f>"1746"</f>
        <v>1746</v>
      </c>
      <c r="E7946" t="s">
        <v>807</v>
      </c>
      <c r="F7946" t="s">
        <v>19559</v>
      </c>
      <c r="G7946" t="s">
        <v>16221</v>
      </c>
      <c r="H7946" t="s">
        <v>47054</v>
      </c>
      <c r="I7946" t="s">
        <v>47154</v>
      </c>
      <c r="J7946" t="s">
        <v>47155</v>
      </c>
      <c r="K7946" t="s">
        <v>47113</v>
      </c>
      <c r="L7946">
        <v>7.23</v>
      </c>
      <c r="M7946">
        <v>26</v>
      </c>
      <c r="N7946">
        <v>0</v>
      </c>
      <c r="O7946">
        <v>26</v>
      </c>
      <c r="P7946">
        <v>0</v>
      </c>
    </row>
    <row r="7947" spans="1:16" x14ac:dyDescent="0.25">
      <c r="A7947" t="s">
        <v>30530</v>
      </c>
      <c r="B7947" t="s">
        <v>30529</v>
      </c>
      <c r="C7947" t="s">
        <v>6446</v>
      </c>
      <c r="D7947" t="str">
        <f>"4137"</f>
        <v>4137</v>
      </c>
      <c r="E7947" t="s">
        <v>2701</v>
      </c>
      <c r="F7947" t="s">
        <v>19559</v>
      </c>
      <c r="G7947" t="s">
        <v>16221</v>
      </c>
      <c r="H7947" t="s">
        <v>47054</v>
      </c>
      <c r="I7947" t="s">
        <v>47154</v>
      </c>
      <c r="J7947" t="s">
        <v>47155</v>
      </c>
      <c r="K7947" t="s">
        <v>47113</v>
      </c>
      <c r="L7947">
        <v>7.23</v>
      </c>
      <c r="M7947">
        <v>26</v>
      </c>
      <c r="N7947">
        <v>0</v>
      </c>
      <c r="O7947">
        <v>26</v>
      </c>
      <c r="P7947">
        <v>0</v>
      </c>
    </row>
    <row r="7948" spans="1:16" x14ac:dyDescent="0.25">
      <c r="A7948" t="s">
        <v>30531</v>
      </c>
      <c r="B7948" t="s">
        <v>6445</v>
      </c>
      <c r="C7948" t="s">
        <v>6446</v>
      </c>
      <c r="D7948" t="str">
        <f>"1113"</f>
        <v>1113</v>
      </c>
      <c r="E7948" t="s">
        <v>6443</v>
      </c>
      <c r="F7948" t="s">
        <v>296</v>
      </c>
      <c r="G7948" t="s">
        <v>16221</v>
      </c>
      <c r="H7948" t="s">
        <v>47054</v>
      </c>
      <c r="I7948" t="s">
        <v>47590</v>
      </c>
      <c r="J7948" t="s">
        <v>47591</v>
      </c>
      <c r="K7948" t="s">
        <v>47113</v>
      </c>
      <c r="L7948">
        <v>7.05</v>
      </c>
      <c r="M7948">
        <v>22</v>
      </c>
      <c r="N7948">
        <v>0</v>
      </c>
      <c r="O7948">
        <v>22</v>
      </c>
      <c r="P7948">
        <v>0</v>
      </c>
    </row>
    <row r="7949" spans="1:16" x14ac:dyDescent="0.25">
      <c r="A7949" t="s">
        <v>30532</v>
      </c>
      <c r="B7949" t="s">
        <v>6445</v>
      </c>
      <c r="C7949" t="s">
        <v>6446</v>
      </c>
      <c r="D7949" t="str">
        <f>"1746"</f>
        <v>1746</v>
      </c>
      <c r="E7949" t="s">
        <v>807</v>
      </c>
      <c r="F7949" t="s">
        <v>296</v>
      </c>
      <c r="G7949" t="s">
        <v>16221</v>
      </c>
      <c r="H7949" t="s">
        <v>47054</v>
      </c>
      <c r="I7949" t="s">
        <v>47590</v>
      </c>
      <c r="J7949" t="s">
        <v>47591</v>
      </c>
      <c r="K7949" t="s">
        <v>47113</v>
      </c>
      <c r="L7949">
        <v>7.01</v>
      </c>
      <c r="M7949">
        <v>22</v>
      </c>
      <c r="N7949">
        <v>0</v>
      </c>
      <c r="O7949">
        <v>22</v>
      </c>
      <c r="P7949">
        <v>0</v>
      </c>
    </row>
    <row r="7950" spans="1:16" x14ac:dyDescent="0.25">
      <c r="A7950" t="s">
        <v>30533</v>
      </c>
      <c r="B7950" t="s">
        <v>6445</v>
      </c>
      <c r="C7950" t="s">
        <v>6446</v>
      </c>
      <c r="D7950" t="str">
        <f>"4137"</f>
        <v>4137</v>
      </c>
      <c r="E7950" t="s">
        <v>2701</v>
      </c>
      <c r="F7950" t="s">
        <v>296</v>
      </c>
      <c r="G7950" t="s">
        <v>16221</v>
      </c>
      <c r="H7950" t="s">
        <v>47054</v>
      </c>
      <c r="I7950" t="s">
        <v>47590</v>
      </c>
      <c r="J7950" t="s">
        <v>47591</v>
      </c>
      <c r="K7950" t="s">
        <v>47113</v>
      </c>
      <c r="L7950">
        <v>7.23</v>
      </c>
      <c r="M7950">
        <v>22</v>
      </c>
      <c r="N7950">
        <v>0</v>
      </c>
      <c r="O7950">
        <v>22</v>
      </c>
      <c r="P7950">
        <v>0</v>
      </c>
    </row>
    <row r="7951" spans="1:16" x14ac:dyDescent="0.25">
      <c r="A7951" t="s">
        <v>30534</v>
      </c>
      <c r="B7951" t="s">
        <v>6447</v>
      </c>
      <c r="C7951" t="s">
        <v>6446</v>
      </c>
      <c r="D7951" t="str">
        <f>"1100"</f>
        <v>1100</v>
      </c>
      <c r="E7951" t="s">
        <v>54</v>
      </c>
      <c r="F7951" t="s">
        <v>296</v>
      </c>
      <c r="G7951" t="s">
        <v>16221</v>
      </c>
      <c r="H7951" t="s">
        <v>47054</v>
      </c>
      <c r="I7951" t="s">
        <v>47154</v>
      </c>
      <c r="J7951" t="s">
        <v>47155</v>
      </c>
      <c r="K7951" t="s">
        <v>47113</v>
      </c>
      <c r="L7951">
        <v>7.23</v>
      </c>
      <c r="M7951">
        <v>26</v>
      </c>
      <c r="N7951">
        <v>0</v>
      </c>
      <c r="O7951">
        <v>26</v>
      </c>
      <c r="P7951">
        <v>0</v>
      </c>
    </row>
    <row r="7952" spans="1:16" x14ac:dyDescent="0.25">
      <c r="A7952" t="s">
        <v>30535</v>
      </c>
      <c r="B7952" t="s">
        <v>6447</v>
      </c>
      <c r="C7952" t="s">
        <v>6446</v>
      </c>
      <c r="D7952" t="str">
        <f>"1113"</f>
        <v>1113</v>
      </c>
      <c r="E7952" t="s">
        <v>6443</v>
      </c>
      <c r="F7952" t="s">
        <v>296</v>
      </c>
      <c r="G7952" t="s">
        <v>16221</v>
      </c>
      <c r="H7952" t="s">
        <v>47054</v>
      </c>
      <c r="I7952" t="s">
        <v>47590</v>
      </c>
      <c r="J7952" t="s">
        <v>47591</v>
      </c>
      <c r="K7952" t="s">
        <v>47113</v>
      </c>
      <c r="L7952">
        <v>7.23</v>
      </c>
      <c r="M7952">
        <v>26</v>
      </c>
      <c r="N7952">
        <v>0</v>
      </c>
      <c r="O7952">
        <v>26</v>
      </c>
      <c r="P7952">
        <v>0</v>
      </c>
    </row>
    <row r="7953" spans="1:16" x14ac:dyDescent="0.25">
      <c r="A7953" t="s">
        <v>30536</v>
      </c>
      <c r="B7953" t="s">
        <v>6447</v>
      </c>
      <c r="C7953" t="s">
        <v>6446</v>
      </c>
      <c r="D7953" t="str">
        <f>"1700"</f>
        <v>1700</v>
      </c>
      <c r="E7953" t="s">
        <v>60</v>
      </c>
      <c r="F7953" t="s">
        <v>296</v>
      </c>
      <c r="G7953" t="s">
        <v>16221</v>
      </c>
      <c r="H7953" t="s">
        <v>47054</v>
      </c>
      <c r="I7953" t="s">
        <v>47120</v>
      </c>
      <c r="J7953" t="s">
        <v>47121</v>
      </c>
      <c r="K7953" t="s">
        <v>47113</v>
      </c>
      <c r="L7953">
        <v>7.23</v>
      </c>
      <c r="M7953">
        <v>26</v>
      </c>
      <c r="N7953">
        <v>0</v>
      </c>
      <c r="O7953">
        <v>26</v>
      </c>
      <c r="P7953">
        <v>0</v>
      </c>
    </row>
    <row r="7954" spans="1:16" x14ac:dyDescent="0.25">
      <c r="A7954" t="s">
        <v>30537</v>
      </c>
      <c r="B7954" t="s">
        <v>6447</v>
      </c>
      <c r="C7954" t="s">
        <v>6446</v>
      </c>
      <c r="D7954" t="str">
        <f>"1746"</f>
        <v>1746</v>
      </c>
      <c r="E7954" t="s">
        <v>807</v>
      </c>
      <c r="F7954" t="s">
        <v>296</v>
      </c>
      <c r="G7954" t="s">
        <v>16221</v>
      </c>
      <c r="H7954" t="s">
        <v>47054</v>
      </c>
      <c r="I7954" t="s">
        <v>47590</v>
      </c>
      <c r="J7954" t="s">
        <v>47591</v>
      </c>
      <c r="K7954" t="s">
        <v>47113</v>
      </c>
      <c r="L7954">
        <v>7.23</v>
      </c>
      <c r="M7954">
        <v>26</v>
      </c>
      <c r="N7954">
        <v>0</v>
      </c>
      <c r="O7954">
        <v>26</v>
      </c>
      <c r="P7954">
        <v>0</v>
      </c>
    </row>
    <row r="7955" spans="1:16" x14ac:dyDescent="0.25">
      <c r="A7955" t="s">
        <v>30538</v>
      </c>
      <c r="B7955" t="s">
        <v>6447</v>
      </c>
      <c r="C7955" t="s">
        <v>6446</v>
      </c>
      <c r="D7955" t="str">
        <f>"4100"</f>
        <v>4100</v>
      </c>
      <c r="E7955" t="s">
        <v>2383</v>
      </c>
      <c r="F7955" t="s">
        <v>296</v>
      </c>
      <c r="G7955" t="s">
        <v>16221</v>
      </c>
      <c r="H7955" t="s">
        <v>47054</v>
      </c>
      <c r="I7955" t="s">
        <v>47120</v>
      </c>
      <c r="J7955" t="s">
        <v>47121</v>
      </c>
      <c r="K7955" t="s">
        <v>47113</v>
      </c>
      <c r="L7955">
        <v>7.23</v>
      </c>
      <c r="M7955">
        <v>26</v>
      </c>
      <c r="N7955">
        <v>0</v>
      </c>
      <c r="O7955">
        <v>26</v>
      </c>
      <c r="P7955">
        <v>0</v>
      </c>
    </row>
    <row r="7956" spans="1:16" x14ac:dyDescent="0.25">
      <c r="A7956" t="s">
        <v>30539</v>
      </c>
      <c r="B7956" t="s">
        <v>6447</v>
      </c>
      <c r="C7956" t="s">
        <v>6446</v>
      </c>
      <c r="D7956" t="str">
        <f>"4137"</f>
        <v>4137</v>
      </c>
      <c r="E7956" t="s">
        <v>2701</v>
      </c>
      <c r="F7956" t="s">
        <v>296</v>
      </c>
      <c r="G7956" t="s">
        <v>16221</v>
      </c>
      <c r="H7956" t="s">
        <v>47054</v>
      </c>
      <c r="I7956" t="s">
        <v>47590</v>
      </c>
      <c r="J7956" t="s">
        <v>47591</v>
      </c>
      <c r="K7956" t="s">
        <v>47113</v>
      </c>
      <c r="L7956">
        <v>7.23</v>
      </c>
      <c r="M7956">
        <v>26</v>
      </c>
      <c r="N7956">
        <v>0</v>
      </c>
      <c r="O7956">
        <v>26</v>
      </c>
      <c r="P7956">
        <v>0</v>
      </c>
    </row>
    <row r="7957" spans="1:16" x14ac:dyDescent="0.25">
      <c r="A7957" t="s">
        <v>30540</v>
      </c>
      <c r="B7957" t="s">
        <v>6448</v>
      </c>
      <c r="C7957" t="s">
        <v>6449</v>
      </c>
      <c r="D7957" t="str">
        <f>"4434"</f>
        <v>4434</v>
      </c>
      <c r="E7957" t="s">
        <v>6450</v>
      </c>
      <c r="F7957" t="s">
        <v>6</v>
      </c>
      <c r="G7957" t="s">
        <v>16221</v>
      </c>
      <c r="H7957" t="s">
        <v>47054</v>
      </c>
      <c r="I7957" t="s">
        <v>47590</v>
      </c>
      <c r="J7957" t="s">
        <v>47591</v>
      </c>
      <c r="K7957" t="s">
        <v>47113</v>
      </c>
      <c r="L7957">
        <v>8.58</v>
      </c>
      <c r="M7957">
        <v>21</v>
      </c>
      <c r="N7957">
        <v>0</v>
      </c>
      <c r="O7957">
        <v>21</v>
      </c>
      <c r="P7957">
        <v>0</v>
      </c>
    </row>
    <row r="7958" spans="1:16" x14ac:dyDescent="0.25">
      <c r="A7958" t="s">
        <v>30541</v>
      </c>
      <c r="B7958" t="s">
        <v>6451</v>
      </c>
      <c r="C7958" t="s">
        <v>6452</v>
      </c>
      <c r="D7958" t="str">
        <f>"6030"</f>
        <v>6030</v>
      </c>
      <c r="E7958" t="s">
        <v>2753</v>
      </c>
      <c r="F7958" t="s">
        <v>6</v>
      </c>
      <c r="G7958" t="s">
        <v>16221</v>
      </c>
      <c r="H7958" t="s">
        <v>47054</v>
      </c>
      <c r="I7958" t="s">
        <v>47590</v>
      </c>
      <c r="J7958" t="s">
        <v>47591</v>
      </c>
      <c r="K7958" t="s">
        <v>47113</v>
      </c>
      <c r="L7958">
        <v>8.58</v>
      </c>
      <c r="M7958">
        <v>21</v>
      </c>
      <c r="N7958">
        <v>0</v>
      </c>
      <c r="O7958">
        <v>21</v>
      </c>
      <c r="P7958">
        <v>0</v>
      </c>
    </row>
    <row r="7959" spans="1:16" x14ac:dyDescent="0.25">
      <c r="A7959" t="s">
        <v>30542</v>
      </c>
      <c r="B7959" t="s">
        <v>6453</v>
      </c>
      <c r="C7959" t="s">
        <v>6454</v>
      </c>
      <c r="D7959" t="str">
        <f>"4134"</f>
        <v>4134</v>
      </c>
      <c r="E7959" t="s">
        <v>6455</v>
      </c>
      <c r="F7959" t="s">
        <v>6</v>
      </c>
      <c r="G7959" t="s">
        <v>16221</v>
      </c>
      <c r="H7959" t="s">
        <v>47054</v>
      </c>
      <c r="I7959" t="s">
        <v>47590</v>
      </c>
      <c r="J7959" t="s">
        <v>47591</v>
      </c>
      <c r="K7959" t="s">
        <v>47113</v>
      </c>
      <c r="L7959">
        <v>8.85</v>
      </c>
      <c r="M7959">
        <v>22</v>
      </c>
      <c r="N7959">
        <v>0</v>
      </c>
      <c r="O7959">
        <v>22</v>
      </c>
      <c r="P7959">
        <v>0</v>
      </c>
    </row>
    <row r="7960" spans="1:16" x14ac:dyDescent="0.25">
      <c r="A7960" t="s">
        <v>30543</v>
      </c>
      <c r="B7960" t="s">
        <v>6456</v>
      </c>
      <c r="C7960" t="s">
        <v>6457</v>
      </c>
      <c r="D7960" t="str">
        <f>"1033"</f>
        <v>1033</v>
      </c>
      <c r="E7960" t="s">
        <v>1195</v>
      </c>
      <c r="F7960" t="s">
        <v>5</v>
      </c>
      <c r="G7960" t="s">
        <v>16221</v>
      </c>
      <c r="H7960" t="s">
        <v>47054</v>
      </c>
      <c r="I7960" t="s">
        <v>47590</v>
      </c>
      <c r="J7960" t="s">
        <v>47591</v>
      </c>
      <c r="K7960" t="s">
        <v>47113</v>
      </c>
      <c r="L7960">
        <v>8.75</v>
      </c>
      <c r="M7960">
        <v>22</v>
      </c>
      <c r="N7960">
        <v>0</v>
      </c>
      <c r="O7960">
        <v>22</v>
      </c>
      <c r="P7960">
        <v>0</v>
      </c>
    </row>
    <row r="7961" spans="1:16" x14ac:dyDescent="0.25">
      <c r="A7961" t="s">
        <v>30544</v>
      </c>
      <c r="B7961" t="s">
        <v>6456</v>
      </c>
      <c r="C7961" t="s">
        <v>6457</v>
      </c>
      <c r="D7961" t="str">
        <f>"4134"</f>
        <v>4134</v>
      </c>
      <c r="E7961" t="s">
        <v>6455</v>
      </c>
      <c r="F7961" t="s">
        <v>5</v>
      </c>
      <c r="G7961" t="s">
        <v>16221</v>
      </c>
      <c r="H7961" t="s">
        <v>47054</v>
      </c>
      <c r="I7961" t="s">
        <v>47590</v>
      </c>
      <c r="J7961" t="s">
        <v>47591</v>
      </c>
      <c r="K7961" t="s">
        <v>47113</v>
      </c>
      <c r="L7961">
        <v>8.75</v>
      </c>
      <c r="M7961">
        <v>22</v>
      </c>
      <c r="N7961">
        <v>0</v>
      </c>
      <c r="O7961">
        <v>22</v>
      </c>
      <c r="P7961">
        <v>0</v>
      </c>
    </row>
    <row r="7962" spans="1:16" x14ac:dyDescent="0.25">
      <c r="A7962" t="s">
        <v>30545</v>
      </c>
      <c r="B7962" t="s">
        <v>6456</v>
      </c>
      <c r="C7962" t="s">
        <v>6457</v>
      </c>
      <c r="D7962" t="str">
        <f>"6332"</f>
        <v>6332</v>
      </c>
      <c r="E7962" t="s">
        <v>6458</v>
      </c>
      <c r="F7962" t="s">
        <v>5</v>
      </c>
      <c r="G7962" t="s">
        <v>16221</v>
      </c>
      <c r="H7962" t="s">
        <v>47054</v>
      </c>
      <c r="I7962" t="s">
        <v>47590</v>
      </c>
      <c r="J7962" t="s">
        <v>47591</v>
      </c>
      <c r="K7962" t="s">
        <v>47113</v>
      </c>
      <c r="L7962">
        <v>8.75</v>
      </c>
      <c r="M7962">
        <v>22</v>
      </c>
      <c r="N7962">
        <v>0</v>
      </c>
      <c r="O7962">
        <v>22</v>
      </c>
      <c r="P7962">
        <v>0</v>
      </c>
    </row>
    <row r="7963" spans="1:16" x14ac:dyDescent="0.25">
      <c r="A7963" t="s">
        <v>30546</v>
      </c>
      <c r="B7963" t="s">
        <v>6459</v>
      </c>
      <c r="C7963" t="s">
        <v>6457</v>
      </c>
      <c r="D7963" t="str">
        <f>"1746"</f>
        <v>1746</v>
      </c>
      <c r="E7963" t="s">
        <v>807</v>
      </c>
      <c r="F7963" t="s">
        <v>5</v>
      </c>
      <c r="G7963" t="s">
        <v>16221</v>
      </c>
      <c r="H7963" t="s">
        <v>47054</v>
      </c>
      <c r="I7963" t="s">
        <v>47590</v>
      </c>
      <c r="J7963" t="s">
        <v>47591</v>
      </c>
      <c r="K7963" t="s">
        <v>47113</v>
      </c>
      <c r="L7963">
        <v>7.57</v>
      </c>
      <c r="M7963">
        <v>18</v>
      </c>
      <c r="N7963">
        <v>0</v>
      </c>
      <c r="O7963">
        <v>18</v>
      </c>
      <c r="P7963">
        <v>0</v>
      </c>
    </row>
    <row r="7964" spans="1:16" x14ac:dyDescent="0.25">
      <c r="A7964" t="s">
        <v>30547</v>
      </c>
      <c r="B7964" t="s">
        <v>6460</v>
      </c>
      <c r="C7964" t="s">
        <v>6461</v>
      </c>
      <c r="D7964" t="str">
        <f>"1317"</f>
        <v>1317</v>
      </c>
      <c r="E7964" t="s">
        <v>2693</v>
      </c>
      <c r="F7964" t="s">
        <v>5</v>
      </c>
      <c r="G7964" t="s">
        <v>16221</v>
      </c>
      <c r="H7964" t="s">
        <v>47054</v>
      </c>
      <c r="I7964" t="s">
        <v>47116</v>
      </c>
      <c r="J7964" t="s">
        <v>47117</v>
      </c>
      <c r="K7964" t="s">
        <v>47113</v>
      </c>
      <c r="L7964">
        <v>7.33</v>
      </c>
      <c r="M7964">
        <v>18</v>
      </c>
      <c r="N7964">
        <v>0</v>
      </c>
      <c r="O7964">
        <v>18</v>
      </c>
      <c r="P7964">
        <v>0</v>
      </c>
    </row>
    <row r="7965" spans="1:16" x14ac:dyDescent="0.25">
      <c r="A7965" t="s">
        <v>30548</v>
      </c>
      <c r="B7965" t="s">
        <v>6460</v>
      </c>
      <c r="C7965" t="s">
        <v>6461</v>
      </c>
      <c r="D7965" t="str">
        <f>"4060"</f>
        <v>4060</v>
      </c>
      <c r="E7965" t="s">
        <v>1612</v>
      </c>
      <c r="F7965" t="s">
        <v>5</v>
      </c>
      <c r="G7965" t="s">
        <v>16221</v>
      </c>
      <c r="H7965" t="s">
        <v>47054</v>
      </c>
      <c r="I7965" t="s">
        <v>47116</v>
      </c>
      <c r="J7965" t="s">
        <v>47117</v>
      </c>
      <c r="K7965" t="s">
        <v>47113</v>
      </c>
      <c r="L7965">
        <v>7.33</v>
      </c>
      <c r="M7965">
        <v>18</v>
      </c>
      <c r="N7965">
        <v>0</v>
      </c>
      <c r="O7965">
        <v>18</v>
      </c>
      <c r="P7965">
        <v>0</v>
      </c>
    </row>
    <row r="7966" spans="1:16" x14ac:dyDescent="0.25">
      <c r="A7966" t="s">
        <v>30549</v>
      </c>
      <c r="B7966" t="s">
        <v>6460</v>
      </c>
      <c r="C7966" t="s">
        <v>6461</v>
      </c>
      <c r="D7966" t="str">
        <f>"4435"</f>
        <v>4435</v>
      </c>
      <c r="E7966" t="s">
        <v>6462</v>
      </c>
      <c r="F7966" t="s">
        <v>5</v>
      </c>
      <c r="G7966" t="s">
        <v>16221</v>
      </c>
      <c r="H7966" t="s">
        <v>47054</v>
      </c>
      <c r="I7966" t="s">
        <v>47116</v>
      </c>
      <c r="J7966" t="s">
        <v>47117</v>
      </c>
      <c r="K7966" t="s">
        <v>47113</v>
      </c>
      <c r="L7966">
        <v>7.33</v>
      </c>
      <c r="M7966">
        <v>18</v>
      </c>
      <c r="N7966">
        <v>0</v>
      </c>
      <c r="O7966">
        <v>18</v>
      </c>
      <c r="P7966">
        <v>0</v>
      </c>
    </row>
    <row r="7967" spans="1:16" x14ac:dyDescent="0.25">
      <c r="A7967" t="s">
        <v>30550</v>
      </c>
      <c r="B7967" t="s">
        <v>6460</v>
      </c>
      <c r="C7967" t="s">
        <v>6461</v>
      </c>
      <c r="D7967" t="str">
        <f>"6035"</f>
        <v>6035</v>
      </c>
      <c r="E7967" t="s">
        <v>2598</v>
      </c>
      <c r="F7967" t="s">
        <v>5</v>
      </c>
      <c r="G7967" t="s">
        <v>16221</v>
      </c>
      <c r="H7967" t="s">
        <v>47054</v>
      </c>
      <c r="I7967" t="s">
        <v>47116</v>
      </c>
      <c r="J7967" t="s">
        <v>47117</v>
      </c>
      <c r="K7967" t="s">
        <v>47113</v>
      </c>
      <c r="L7967">
        <v>7.33</v>
      </c>
      <c r="M7967">
        <v>18</v>
      </c>
      <c r="N7967">
        <v>0</v>
      </c>
      <c r="O7967">
        <v>18</v>
      </c>
      <c r="P7967">
        <v>0</v>
      </c>
    </row>
    <row r="7968" spans="1:16" x14ac:dyDescent="0.25">
      <c r="A7968" t="s">
        <v>30551</v>
      </c>
      <c r="B7968" t="s">
        <v>6460</v>
      </c>
      <c r="C7968" t="s">
        <v>6461</v>
      </c>
      <c r="D7968" t="str">
        <f>"6366"</f>
        <v>6366</v>
      </c>
      <c r="E7968" t="s">
        <v>2658</v>
      </c>
      <c r="F7968" t="s">
        <v>5</v>
      </c>
      <c r="G7968" t="s">
        <v>16221</v>
      </c>
      <c r="H7968" t="s">
        <v>47054</v>
      </c>
      <c r="I7968" t="s">
        <v>47116</v>
      </c>
      <c r="J7968" t="s">
        <v>47117</v>
      </c>
      <c r="K7968" t="s">
        <v>47113</v>
      </c>
      <c r="L7968">
        <v>7.33</v>
      </c>
      <c r="M7968">
        <v>18</v>
      </c>
      <c r="N7968">
        <v>0</v>
      </c>
      <c r="O7968">
        <v>18</v>
      </c>
      <c r="P7968">
        <v>0</v>
      </c>
    </row>
    <row r="7969" spans="1:16" x14ac:dyDescent="0.25">
      <c r="A7969" t="s">
        <v>30552</v>
      </c>
      <c r="B7969" t="s">
        <v>6463</v>
      </c>
      <c r="C7969" t="s">
        <v>6461</v>
      </c>
      <c r="D7969" t="str">
        <f>"1317"</f>
        <v>1317</v>
      </c>
      <c r="E7969" t="s">
        <v>2693</v>
      </c>
      <c r="F7969" t="s">
        <v>5</v>
      </c>
      <c r="G7969" t="s">
        <v>16221</v>
      </c>
      <c r="H7969" t="s">
        <v>47054</v>
      </c>
      <c r="I7969" t="s">
        <v>47590</v>
      </c>
      <c r="J7969" t="s">
        <v>47591</v>
      </c>
      <c r="K7969" t="s">
        <v>47113</v>
      </c>
      <c r="L7969">
        <v>7.33</v>
      </c>
      <c r="M7969">
        <v>18</v>
      </c>
      <c r="N7969">
        <v>0</v>
      </c>
      <c r="O7969">
        <v>18</v>
      </c>
      <c r="P7969">
        <v>0</v>
      </c>
    </row>
    <row r="7970" spans="1:16" x14ac:dyDescent="0.25">
      <c r="A7970" t="s">
        <v>30553</v>
      </c>
      <c r="B7970" t="s">
        <v>6463</v>
      </c>
      <c r="C7970" t="s">
        <v>6461</v>
      </c>
      <c r="D7970" t="str">
        <f>"4060"</f>
        <v>4060</v>
      </c>
      <c r="E7970" t="s">
        <v>1612</v>
      </c>
      <c r="F7970" t="s">
        <v>5</v>
      </c>
      <c r="G7970" t="s">
        <v>16221</v>
      </c>
      <c r="H7970" t="s">
        <v>47054</v>
      </c>
      <c r="I7970" t="s">
        <v>47590</v>
      </c>
      <c r="J7970" t="s">
        <v>47591</v>
      </c>
      <c r="K7970" t="s">
        <v>47113</v>
      </c>
      <c r="L7970">
        <v>7.33</v>
      </c>
      <c r="M7970">
        <v>18</v>
      </c>
      <c r="N7970">
        <v>0</v>
      </c>
      <c r="O7970">
        <v>18</v>
      </c>
      <c r="P7970">
        <v>0</v>
      </c>
    </row>
    <row r="7971" spans="1:16" x14ac:dyDescent="0.25">
      <c r="A7971" t="s">
        <v>30554</v>
      </c>
      <c r="B7971" t="s">
        <v>6463</v>
      </c>
      <c r="C7971" t="s">
        <v>6461</v>
      </c>
      <c r="D7971" t="str">
        <f>"6366"</f>
        <v>6366</v>
      </c>
      <c r="E7971" t="s">
        <v>2658</v>
      </c>
      <c r="F7971" t="s">
        <v>5</v>
      </c>
      <c r="G7971" t="s">
        <v>16221</v>
      </c>
      <c r="H7971" t="s">
        <v>47054</v>
      </c>
      <c r="I7971" t="s">
        <v>47590</v>
      </c>
      <c r="J7971" t="s">
        <v>47591</v>
      </c>
      <c r="K7971" t="s">
        <v>47113</v>
      </c>
      <c r="L7971">
        <v>7.33</v>
      </c>
      <c r="M7971">
        <v>18</v>
      </c>
      <c r="N7971">
        <v>0</v>
      </c>
      <c r="O7971">
        <v>18</v>
      </c>
      <c r="P7971">
        <v>0</v>
      </c>
    </row>
    <row r="7972" spans="1:16" x14ac:dyDescent="0.25">
      <c r="A7972" t="s">
        <v>30555</v>
      </c>
      <c r="B7972" t="s">
        <v>6464</v>
      </c>
      <c r="C7972" t="s">
        <v>6465</v>
      </c>
      <c r="D7972" t="str">
        <f>"4134"</f>
        <v>4134</v>
      </c>
      <c r="E7972" t="s">
        <v>6455</v>
      </c>
      <c r="F7972" t="s">
        <v>3</v>
      </c>
      <c r="G7972" t="s">
        <v>16221</v>
      </c>
      <c r="H7972" t="s">
        <v>47054</v>
      </c>
      <c r="I7972" t="s">
        <v>47590</v>
      </c>
      <c r="J7972" t="s">
        <v>47591</v>
      </c>
      <c r="K7972" t="s">
        <v>47113</v>
      </c>
      <c r="L7972">
        <v>8.33</v>
      </c>
      <c r="M7972">
        <v>20</v>
      </c>
      <c r="N7972">
        <v>0</v>
      </c>
      <c r="O7972">
        <v>20</v>
      </c>
      <c r="P7972">
        <v>0</v>
      </c>
    </row>
    <row r="7973" spans="1:16" x14ac:dyDescent="0.25">
      <c r="A7973" t="s">
        <v>14957</v>
      </c>
      <c r="B7973" t="s">
        <v>6466</v>
      </c>
      <c r="C7973" t="s">
        <v>6467</v>
      </c>
      <c r="D7973" t="str">
        <f>"4134"</f>
        <v>4134</v>
      </c>
      <c r="E7973" t="s">
        <v>6455</v>
      </c>
      <c r="F7973" t="s">
        <v>5</v>
      </c>
      <c r="G7973" t="s">
        <v>16221</v>
      </c>
      <c r="H7973" t="s">
        <v>47054</v>
      </c>
      <c r="I7973" t="s">
        <v>47111</v>
      </c>
      <c r="J7973" t="s">
        <v>47112</v>
      </c>
      <c r="K7973" t="s">
        <v>47113</v>
      </c>
      <c r="L7973">
        <v>9.17</v>
      </c>
      <c r="M7973">
        <v>22</v>
      </c>
      <c r="N7973">
        <v>0</v>
      </c>
      <c r="O7973">
        <v>22</v>
      </c>
      <c r="P7973">
        <v>0</v>
      </c>
    </row>
    <row r="7974" spans="1:16" x14ac:dyDescent="0.25">
      <c r="A7974" t="s">
        <v>30556</v>
      </c>
      <c r="B7974" t="s">
        <v>6468</v>
      </c>
      <c r="C7974" t="s">
        <v>6469</v>
      </c>
      <c r="D7974" t="str">
        <f>"6332"</f>
        <v>6332</v>
      </c>
      <c r="E7974" t="s">
        <v>6458</v>
      </c>
      <c r="F7974" t="s">
        <v>5</v>
      </c>
      <c r="G7974" t="s">
        <v>16221</v>
      </c>
      <c r="H7974" t="s">
        <v>47054</v>
      </c>
      <c r="I7974" t="s">
        <v>47590</v>
      </c>
      <c r="J7974" t="s">
        <v>47591</v>
      </c>
      <c r="K7974" t="s">
        <v>47113</v>
      </c>
      <c r="L7974">
        <v>9</v>
      </c>
      <c r="M7974">
        <v>22</v>
      </c>
      <c r="N7974">
        <v>0</v>
      </c>
      <c r="O7974">
        <v>22</v>
      </c>
      <c r="P7974">
        <v>0</v>
      </c>
    </row>
    <row r="7975" spans="1:16" x14ac:dyDescent="0.25">
      <c r="A7975" t="s">
        <v>30557</v>
      </c>
      <c r="B7975" t="s">
        <v>6470</v>
      </c>
      <c r="C7975" t="s">
        <v>6471</v>
      </c>
      <c r="D7975" t="str">
        <f>"1746"</f>
        <v>1746</v>
      </c>
      <c r="E7975" t="s">
        <v>807</v>
      </c>
      <c r="F7975" t="s">
        <v>4</v>
      </c>
      <c r="G7975" t="s">
        <v>16221</v>
      </c>
      <c r="H7975" t="s">
        <v>47054</v>
      </c>
      <c r="I7975" t="s">
        <v>47590</v>
      </c>
      <c r="J7975" t="s">
        <v>47591</v>
      </c>
      <c r="K7975" t="s">
        <v>47113</v>
      </c>
      <c r="L7975">
        <v>7.3</v>
      </c>
      <c r="M7975">
        <v>18</v>
      </c>
      <c r="N7975">
        <v>0</v>
      </c>
      <c r="O7975">
        <v>18</v>
      </c>
      <c r="P7975">
        <v>0</v>
      </c>
    </row>
    <row r="7976" spans="1:16" x14ac:dyDescent="0.25">
      <c r="A7976" t="s">
        <v>14958</v>
      </c>
      <c r="B7976" t="s">
        <v>6472</v>
      </c>
      <c r="C7976" t="s">
        <v>6473</v>
      </c>
      <c r="D7976" t="str">
        <f>"1035"</f>
        <v>1035</v>
      </c>
      <c r="E7976" t="s">
        <v>758</v>
      </c>
      <c r="F7976" t="s">
        <v>4</v>
      </c>
      <c r="G7976" t="s">
        <v>16221</v>
      </c>
      <c r="H7976" t="s">
        <v>47054</v>
      </c>
      <c r="I7976" t="s">
        <v>47590</v>
      </c>
      <c r="J7976" t="s">
        <v>47591</v>
      </c>
      <c r="K7976" t="s">
        <v>47113</v>
      </c>
      <c r="L7976">
        <v>7.53</v>
      </c>
      <c r="M7976">
        <v>18</v>
      </c>
      <c r="N7976">
        <v>0</v>
      </c>
      <c r="O7976">
        <v>18</v>
      </c>
      <c r="P7976">
        <v>0</v>
      </c>
    </row>
    <row r="7977" spans="1:16" x14ac:dyDescent="0.25">
      <c r="A7977" t="s">
        <v>30558</v>
      </c>
      <c r="B7977" t="s">
        <v>6472</v>
      </c>
      <c r="C7977" t="s">
        <v>6473</v>
      </c>
      <c r="D7977" t="str">
        <f>"1746"</f>
        <v>1746</v>
      </c>
      <c r="E7977" t="s">
        <v>807</v>
      </c>
      <c r="F7977" t="s">
        <v>4</v>
      </c>
      <c r="G7977" t="s">
        <v>16221</v>
      </c>
      <c r="H7977" t="s">
        <v>47054</v>
      </c>
      <c r="I7977" t="s">
        <v>47590</v>
      </c>
      <c r="J7977" t="s">
        <v>47591</v>
      </c>
      <c r="K7977" t="s">
        <v>47113</v>
      </c>
      <c r="L7977">
        <v>7.3</v>
      </c>
      <c r="M7977">
        <v>18</v>
      </c>
      <c r="N7977">
        <v>0</v>
      </c>
      <c r="O7977">
        <v>18</v>
      </c>
      <c r="P7977">
        <v>0</v>
      </c>
    </row>
    <row r="7978" spans="1:16" x14ac:dyDescent="0.25">
      <c r="A7978" t="s">
        <v>30559</v>
      </c>
      <c r="B7978" t="s">
        <v>6474</v>
      </c>
      <c r="C7978" t="s">
        <v>6475</v>
      </c>
      <c r="D7978" t="str">
        <f>"1035"</f>
        <v>1035</v>
      </c>
      <c r="E7978" t="s">
        <v>758</v>
      </c>
      <c r="F7978" t="s">
        <v>4</v>
      </c>
      <c r="G7978" t="s">
        <v>16221</v>
      </c>
      <c r="H7978" t="s">
        <v>47054</v>
      </c>
      <c r="I7978" t="s">
        <v>47590</v>
      </c>
      <c r="J7978" t="s">
        <v>47591</v>
      </c>
      <c r="K7978" t="s">
        <v>47113</v>
      </c>
      <c r="L7978">
        <v>7.82</v>
      </c>
      <c r="M7978">
        <v>19</v>
      </c>
      <c r="N7978">
        <v>0</v>
      </c>
      <c r="O7978">
        <v>19</v>
      </c>
      <c r="P7978">
        <v>0</v>
      </c>
    </row>
    <row r="7979" spans="1:16" x14ac:dyDescent="0.25">
      <c r="A7979" t="s">
        <v>30560</v>
      </c>
      <c r="B7979" t="s">
        <v>6476</v>
      </c>
      <c r="C7979" t="s">
        <v>6477</v>
      </c>
      <c r="D7979" t="str">
        <f>"1746"</f>
        <v>1746</v>
      </c>
      <c r="E7979" t="s">
        <v>807</v>
      </c>
      <c r="F7979" t="s">
        <v>4</v>
      </c>
      <c r="G7979" t="s">
        <v>16221</v>
      </c>
      <c r="H7979" t="s">
        <v>47054</v>
      </c>
      <c r="I7979" t="s">
        <v>47111</v>
      </c>
      <c r="J7979" t="s">
        <v>47112</v>
      </c>
      <c r="K7979" t="s">
        <v>47113</v>
      </c>
      <c r="L7979">
        <v>7.19</v>
      </c>
      <c r="M7979">
        <v>18</v>
      </c>
      <c r="N7979">
        <v>0</v>
      </c>
      <c r="O7979">
        <v>18</v>
      </c>
      <c r="P7979">
        <v>0</v>
      </c>
    </row>
    <row r="7980" spans="1:16" x14ac:dyDescent="0.25">
      <c r="A7980" t="s">
        <v>30561</v>
      </c>
      <c r="B7980" t="s">
        <v>6478</v>
      </c>
      <c r="C7980" t="s">
        <v>6479</v>
      </c>
      <c r="D7980" t="str">
        <f>"2322"</f>
        <v>2322</v>
      </c>
      <c r="E7980" t="s">
        <v>6480</v>
      </c>
      <c r="F7980" t="s">
        <v>4</v>
      </c>
      <c r="G7980" t="s">
        <v>16221</v>
      </c>
      <c r="H7980" t="s">
        <v>47054</v>
      </c>
      <c r="I7980" t="s">
        <v>47111</v>
      </c>
      <c r="J7980" t="s">
        <v>47112</v>
      </c>
      <c r="K7980" t="s">
        <v>47113</v>
      </c>
      <c r="L7980">
        <v>7.48</v>
      </c>
      <c r="M7980">
        <v>18</v>
      </c>
      <c r="N7980">
        <v>0</v>
      </c>
      <c r="O7980">
        <v>18</v>
      </c>
      <c r="P7980">
        <v>0</v>
      </c>
    </row>
    <row r="7981" spans="1:16" x14ac:dyDescent="0.25">
      <c r="A7981" t="s">
        <v>30562</v>
      </c>
      <c r="B7981" t="s">
        <v>6481</v>
      </c>
      <c r="C7981" t="s">
        <v>6482</v>
      </c>
      <c r="D7981" t="str">
        <f>"1113"</f>
        <v>1113</v>
      </c>
      <c r="E7981" t="s">
        <v>6443</v>
      </c>
      <c r="F7981" t="s">
        <v>4</v>
      </c>
      <c r="G7981" t="s">
        <v>16221</v>
      </c>
      <c r="H7981" t="s">
        <v>47054</v>
      </c>
      <c r="I7981" t="s">
        <v>47111</v>
      </c>
      <c r="J7981" t="s">
        <v>47112</v>
      </c>
      <c r="K7981" t="s">
        <v>47113</v>
      </c>
      <c r="L7981">
        <v>7.53</v>
      </c>
      <c r="M7981">
        <v>18</v>
      </c>
      <c r="N7981">
        <v>0</v>
      </c>
      <c r="O7981">
        <v>18</v>
      </c>
      <c r="P7981">
        <v>0</v>
      </c>
    </row>
    <row r="7982" spans="1:16" x14ac:dyDescent="0.25">
      <c r="A7982" t="s">
        <v>30563</v>
      </c>
      <c r="B7982" t="s">
        <v>6481</v>
      </c>
      <c r="C7982" t="s">
        <v>6482</v>
      </c>
      <c r="D7982" t="str">
        <f>"1739"</f>
        <v>1739</v>
      </c>
      <c r="E7982" t="s">
        <v>2698</v>
      </c>
      <c r="F7982" t="s">
        <v>4</v>
      </c>
      <c r="G7982" t="s">
        <v>16221</v>
      </c>
      <c r="H7982" t="s">
        <v>47054</v>
      </c>
      <c r="I7982" t="s">
        <v>47111</v>
      </c>
      <c r="J7982" t="s">
        <v>47112</v>
      </c>
      <c r="K7982" t="s">
        <v>47113</v>
      </c>
      <c r="L7982">
        <v>7.53</v>
      </c>
      <c r="M7982">
        <v>18</v>
      </c>
      <c r="N7982">
        <v>0</v>
      </c>
      <c r="O7982">
        <v>18</v>
      </c>
      <c r="P7982">
        <v>0</v>
      </c>
    </row>
    <row r="7983" spans="1:16" x14ac:dyDescent="0.25">
      <c r="A7983" t="s">
        <v>30564</v>
      </c>
      <c r="B7983" t="s">
        <v>6481</v>
      </c>
      <c r="C7983" t="s">
        <v>6482</v>
      </c>
      <c r="D7983" t="str">
        <f>"4135"</f>
        <v>4135</v>
      </c>
      <c r="E7983" t="s">
        <v>2701</v>
      </c>
      <c r="F7983" t="s">
        <v>4</v>
      </c>
      <c r="G7983" t="s">
        <v>16221</v>
      </c>
      <c r="H7983" t="s">
        <v>47054</v>
      </c>
      <c r="I7983" t="s">
        <v>47111</v>
      </c>
      <c r="J7983" t="s">
        <v>47112</v>
      </c>
      <c r="K7983" t="s">
        <v>47113</v>
      </c>
      <c r="L7983">
        <v>7.53</v>
      </c>
      <c r="M7983">
        <v>18</v>
      </c>
      <c r="N7983">
        <v>0</v>
      </c>
      <c r="O7983">
        <v>18</v>
      </c>
      <c r="P7983">
        <v>0</v>
      </c>
    </row>
    <row r="7984" spans="1:16" x14ac:dyDescent="0.25">
      <c r="A7984" t="s">
        <v>30565</v>
      </c>
      <c r="B7984" t="s">
        <v>6481</v>
      </c>
      <c r="C7984" t="s">
        <v>6482</v>
      </c>
      <c r="D7984" t="str">
        <f>"4328"</f>
        <v>4328</v>
      </c>
      <c r="E7984" t="s">
        <v>6483</v>
      </c>
      <c r="F7984" t="s">
        <v>4</v>
      </c>
      <c r="G7984" t="s">
        <v>16221</v>
      </c>
      <c r="H7984" t="s">
        <v>47054</v>
      </c>
      <c r="I7984" t="s">
        <v>47111</v>
      </c>
      <c r="J7984" t="s">
        <v>47112</v>
      </c>
      <c r="K7984" t="s">
        <v>47113</v>
      </c>
      <c r="L7984">
        <v>7.53</v>
      </c>
      <c r="M7984">
        <v>18</v>
      </c>
      <c r="N7984">
        <v>0</v>
      </c>
      <c r="O7984">
        <v>18</v>
      </c>
      <c r="P7984">
        <v>0</v>
      </c>
    </row>
    <row r="7985" spans="1:16" x14ac:dyDescent="0.25">
      <c r="A7985" t="s">
        <v>30566</v>
      </c>
      <c r="B7985" t="s">
        <v>6481</v>
      </c>
      <c r="C7985" t="s">
        <v>6482</v>
      </c>
      <c r="D7985" t="str">
        <f>"6035"</f>
        <v>6035</v>
      </c>
      <c r="E7985" t="s">
        <v>2598</v>
      </c>
      <c r="F7985" t="s">
        <v>4</v>
      </c>
      <c r="G7985" t="s">
        <v>16221</v>
      </c>
      <c r="H7985" t="s">
        <v>47054</v>
      </c>
      <c r="I7985" t="s">
        <v>47111</v>
      </c>
      <c r="J7985" t="s">
        <v>47112</v>
      </c>
      <c r="K7985" t="s">
        <v>47113</v>
      </c>
      <c r="L7985">
        <v>7.53</v>
      </c>
      <c r="M7985">
        <v>18</v>
      </c>
      <c r="N7985">
        <v>0</v>
      </c>
      <c r="O7985">
        <v>18</v>
      </c>
      <c r="P7985">
        <v>0</v>
      </c>
    </row>
    <row r="7986" spans="1:16" x14ac:dyDescent="0.25">
      <c r="A7986" t="s">
        <v>30567</v>
      </c>
      <c r="B7986" t="s">
        <v>6484</v>
      </c>
      <c r="C7986" t="s">
        <v>6485</v>
      </c>
      <c r="D7986" t="str">
        <f>"1746"</f>
        <v>1746</v>
      </c>
      <c r="E7986" t="s">
        <v>807</v>
      </c>
      <c r="F7986" t="s">
        <v>4</v>
      </c>
      <c r="G7986" t="s">
        <v>16221</v>
      </c>
      <c r="H7986" t="s">
        <v>47054</v>
      </c>
      <c r="I7986" t="s">
        <v>47590</v>
      </c>
      <c r="J7986" t="s">
        <v>47591</v>
      </c>
      <c r="K7986" t="s">
        <v>47113</v>
      </c>
      <c r="L7986">
        <v>7.29</v>
      </c>
      <c r="M7986">
        <v>18</v>
      </c>
      <c r="N7986">
        <v>0</v>
      </c>
      <c r="O7986">
        <v>18</v>
      </c>
      <c r="P7986">
        <v>0</v>
      </c>
    </row>
    <row r="7987" spans="1:16" x14ac:dyDescent="0.25">
      <c r="A7987" t="s">
        <v>14959</v>
      </c>
      <c r="B7987" t="s">
        <v>6486</v>
      </c>
      <c r="C7987" t="s">
        <v>6487</v>
      </c>
      <c r="D7987" t="str">
        <f>"1746"</f>
        <v>1746</v>
      </c>
      <c r="E7987" t="s">
        <v>807</v>
      </c>
      <c r="F7987" t="s">
        <v>4</v>
      </c>
      <c r="G7987" t="s">
        <v>16221</v>
      </c>
      <c r="H7987" t="s">
        <v>47054</v>
      </c>
      <c r="I7987" t="s">
        <v>47590</v>
      </c>
      <c r="J7987" t="s">
        <v>47591</v>
      </c>
      <c r="K7987" t="s">
        <v>47113</v>
      </c>
      <c r="L7987">
        <v>7.09</v>
      </c>
      <c r="M7987">
        <v>17</v>
      </c>
      <c r="N7987">
        <v>0</v>
      </c>
      <c r="O7987">
        <v>17</v>
      </c>
      <c r="P7987">
        <v>0</v>
      </c>
    </row>
    <row r="7988" spans="1:16" x14ac:dyDescent="0.25">
      <c r="A7988" t="s">
        <v>14960</v>
      </c>
      <c r="B7988" t="s">
        <v>6488</v>
      </c>
      <c r="C7988" t="s">
        <v>6489</v>
      </c>
      <c r="D7988" t="str">
        <f>"1033"</f>
        <v>1033</v>
      </c>
      <c r="E7988" t="s">
        <v>1195</v>
      </c>
      <c r="F7988" t="s">
        <v>6</v>
      </c>
      <c r="G7988" t="s">
        <v>16221</v>
      </c>
      <c r="H7988" t="s">
        <v>47054</v>
      </c>
      <c r="I7988" t="s">
        <v>47590</v>
      </c>
      <c r="J7988" t="s">
        <v>47591</v>
      </c>
      <c r="K7988" t="s">
        <v>47113</v>
      </c>
      <c r="L7988">
        <v>8.9</v>
      </c>
      <c r="M7988">
        <v>22</v>
      </c>
      <c r="N7988">
        <v>0</v>
      </c>
      <c r="O7988">
        <v>22</v>
      </c>
      <c r="P7988">
        <v>0</v>
      </c>
    </row>
    <row r="7989" spans="1:16" x14ac:dyDescent="0.25">
      <c r="A7989" t="s">
        <v>30568</v>
      </c>
      <c r="B7989" t="s">
        <v>6488</v>
      </c>
      <c r="C7989" t="s">
        <v>6489</v>
      </c>
      <c r="D7989" t="str">
        <f>"1322"</f>
        <v>1322</v>
      </c>
      <c r="E7989" t="s">
        <v>6490</v>
      </c>
      <c r="F7989" t="s">
        <v>3</v>
      </c>
      <c r="G7989" t="s">
        <v>16221</v>
      </c>
      <c r="H7989" t="s">
        <v>47054</v>
      </c>
      <c r="I7989" t="s">
        <v>47590</v>
      </c>
      <c r="J7989" t="s">
        <v>47591</v>
      </c>
      <c r="K7989" t="s">
        <v>47113</v>
      </c>
      <c r="L7989">
        <v>8.9</v>
      </c>
      <c r="M7989">
        <v>22</v>
      </c>
      <c r="N7989">
        <v>0</v>
      </c>
      <c r="O7989">
        <v>22</v>
      </c>
      <c r="P7989">
        <v>0</v>
      </c>
    </row>
    <row r="7990" spans="1:16" x14ac:dyDescent="0.25">
      <c r="A7990" t="s">
        <v>30569</v>
      </c>
      <c r="B7990" t="s">
        <v>6488</v>
      </c>
      <c r="C7990" t="s">
        <v>6489</v>
      </c>
      <c r="D7990" t="str">
        <f>"1746"</f>
        <v>1746</v>
      </c>
      <c r="E7990" t="s">
        <v>807</v>
      </c>
      <c r="F7990" t="s">
        <v>6</v>
      </c>
      <c r="G7990" t="s">
        <v>16221</v>
      </c>
      <c r="H7990" t="s">
        <v>47054</v>
      </c>
      <c r="I7990" t="s">
        <v>47590</v>
      </c>
      <c r="J7990" t="s">
        <v>47591</v>
      </c>
      <c r="K7990" t="s">
        <v>47113</v>
      </c>
      <c r="L7990">
        <v>6.78</v>
      </c>
      <c r="M7990">
        <v>17</v>
      </c>
      <c r="N7990">
        <v>0</v>
      </c>
      <c r="O7990">
        <v>17</v>
      </c>
      <c r="P7990">
        <v>0</v>
      </c>
    </row>
    <row r="7991" spans="1:16" x14ac:dyDescent="0.25">
      <c r="A7991" t="s">
        <v>30570</v>
      </c>
      <c r="B7991" t="s">
        <v>6488</v>
      </c>
      <c r="C7991" t="s">
        <v>6489</v>
      </c>
      <c r="D7991" t="str">
        <f>"3045"</f>
        <v>3045</v>
      </c>
      <c r="E7991" t="s">
        <v>6491</v>
      </c>
      <c r="F7991" t="s">
        <v>6</v>
      </c>
      <c r="G7991" t="s">
        <v>16221</v>
      </c>
      <c r="H7991" t="s">
        <v>47054</v>
      </c>
      <c r="I7991" t="s">
        <v>47590</v>
      </c>
      <c r="J7991" t="s">
        <v>47591</v>
      </c>
      <c r="K7991" t="s">
        <v>47113</v>
      </c>
      <c r="L7991">
        <v>8.57</v>
      </c>
      <c r="M7991">
        <v>21</v>
      </c>
      <c r="N7991">
        <v>0</v>
      </c>
      <c r="O7991">
        <v>21</v>
      </c>
      <c r="P7991">
        <v>0</v>
      </c>
    </row>
    <row r="7992" spans="1:16" x14ac:dyDescent="0.25">
      <c r="A7992" t="s">
        <v>30571</v>
      </c>
      <c r="B7992" t="s">
        <v>6488</v>
      </c>
      <c r="C7992" t="s">
        <v>6489</v>
      </c>
      <c r="D7992" t="str">
        <f>"3347"</f>
        <v>3347</v>
      </c>
      <c r="E7992" t="s">
        <v>6492</v>
      </c>
      <c r="F7992" t="s">
        <v>3</v>
      </c>
      <c r="G7992" t="s">
        <v>16221</v>
      </c>
      <c r="H7992" t="s">
        <v>47054</v>
      </c>
      <c r="I7992" t="s">
        <v>47590</v>
      </c>
      <c r="J7992" t="s">
        <v>47591</v>
      </c>
      <c r="K7992" t="s">
        <v>47113</v>
      </c>
      <c r="L7992">
        <v>8.57</v>
      </c>
      <c r="M7992">
        <v>21</v>
      </c>
      <c r="N7992">
        <v>0</v>
      </c>
      <c r="O7992">
        <v>21</v>
      </c>
      <c r="P7992">
        <v>0</v>
      </c>
    </row>
    <row r="7993" spans="1:16" x14ac:dyDescent="0.25">
      <c r="A7993" t="s">
        <v>14961</v>
      </c>
      <c r="B7993" t="s">
        <v>6488</v>
      </c>
      <c r="C7993" t="s">
        <v>6489</v>
      </c>
      <c r="D7993" t="str">
        <f>"4061"</f>
        <v>4061</v>
      </c>
      <c r="E7993" t="s">
        <v>2809</v>
      </c>
      <c r="F7993" t="s">
        <v>3</v>
      </c>
      <c r="G7993" t="s">
        <v>16221</v>
      </c>
      <c r="H7993" t="s">
        <v>47054</v>
      </c>
      <c r="I7993" t="s">
        <v>47590</v>
      </c>
      <c r="J7993" t="s">
        <v>47591</v>
      </c>
      <c r="K7993" t="s">
        <v>47113</v>
      </c>
      <c r="L7993">
        <v>8.57</v>
      </c>
      <c r="M7993">
        <v>21</v>
      </c>
      <c r="N7993">
        <v>0</v>
      </c>
      <c r="O7993">
        <v>21</v>
      </c>
      <c r="P7993">
        <v>0</v>
      </c>
    </row>
    <row r="7994" spans="1:16" x14ac:dyDescent="0.25">
      <c r="A7994" t="s">
        <v>30572</v>
      </c>
      <c r="B7994" t="s">
        <v>6488</v>
      </c>
      <c r="C7994" t="s">
        <v>6489</v>
      </c>
      <c r="D7994" t="str">
        <f>"4434"</f>
        <v>4434</v>
      </c>
      <c r="E7994" t="s">
        <v>6450</v>
      </c>
      <c r="F7994" t="s">
        <v>6</v>
      </c>
      <c r="G7994" t="s">
        <v>16221</v>
      </c>
      <c r="H7994" t="s">
        <v>47054</v>
      </c>
      <c r="I7994" t="s">
        <v>47590</v>
      </c>
      <c r="J7994" t="s">
        <v>47591</v>
      </c>
      <c r="K7994" t="s">
        <v>47113</v>
      </c>
      <c r="L7994">
        <v>8.57</v>
      </c>
      <c r="M7994">
        <v>21</v>
      </c>
      <c r="N7994">
        <v>0</v>
      </c>
      <c r="O7994">
        <v>21</v>
      </c>
      <c r="P7994">
        <v>0</v>
      </c>
    </row>
    <row r="7995" spans="1:16" x14ac:dyDescent="0.25">
      <c r="A7995" t="s">
        <v>30573</v>
      </c>
      <c r="B7995" t="s">
        <v>6488</v>
      </c>
      <c r="C7995" t="s">
        <v>6489</v>
      </c>
      <c r="D7995" t="str">
        <f>"6030"</f>
        <v>6030</v>
      </c>
      <c r="E7995" t="s">
        <v>2753</v>
      </c>
      <c r="F7995" t="s">
        <v>3</v>
      </c>
      <c r="G7995" t="s">
        <v>16221</v>
      </c>
      <c r="H7995" t="s">
        <v>47054</v>
      </c>
      <c r="I7995" t="s">
        <v>47590</v>
      </c>
      <c r="J7995" t="s">
        <v>47591</v>
      </c>
      <c r="K7995" t="s">
        <v>47113</v>
      </c>
      <c r="L7995">
        <v>8.57</v>
      </c>
      <c r="M7995">
        <v>21</v>
      </c>
      <c r="N7995">
        <v>0</v>
      </c>
      <c r="O7995">
        <v>21</v>
      </c>
      <c r="P7995">
        <v>0</v>
      </c>
    </row>
    <row r="7996" spans="1:16" x14ac:dyDescent="0.25">
      <c r="A7996" t="s">
        <v>30574</v>
      </c>
      <c r="B7996" t="s">
        <v>6488</v>
      </c>
      <c r="C7996" t="s">
        <v>6489</v>
      </c>
      <c r="D7996" t="str">
        <f>"6205"</f>
        <v>6205</v>
      </c>
      <c r="E7996" t="s">
        <v>6493</v>
      </c>
      <c r="F7996" t="s">
        <v>6</v>
      </c>
      <c r="G7996" t="s">
        <v>16221</v>
      </c>
      <c r="H7996" t="s">
        <v>47054</v>
      </c>
      <c r="I7996" t="s">
        <v>47590</v>
      </c>
      <c r="J7996" t="s">
        <v>47591</v>
      </c>
      <c r="K7996" t="s">
        <v>47113</v>
      </c>
      <c r="L7996">
        <v>8.9</v>
      </c>
      <c r="M7996">
        <v>22</v>
      </c>
      <c r="N7996">
        <v>0</v>
      </c>
      <c r="O7996">
        <v>22</v>
      </c>
      <c r="P7996">
        <v>0</v>
      </c>
    </row>
    <row r="7997" spans="1:16" x14ac:dyDescent="0.25">
      <c r="A7997" t="s">
        <v>30575</v>
      </c>
      <c r="B7997" t="s">
        <v>6488</v>
      </c>
      <c r="C7997" t="s">
        <v>6489</v>
      </c>
      <c r="D7997" t="str">
        <f>"7323"</f>
        <v>7323</v>
      </c>
      <c r="E7997" t="s">
        <v>6494</v>
      </c>
      <c r="F7997" t="s">
        <v>6</v>
      </c>
      <c r="G7997" t="s">
        <v>16221</v>
      </c>
      <c r="H7997" t="s">
        <v>47054</v>
      </c>
      <c r="I7997" t="s">
        <v>47590</v>
      </c>
      <c r="J7997" t="s">
        <v>47591</v>
      </c>
      <c r="K7997" t="s">
        <v>47113</v>
      </c>
      <c r="L7997">
        <v>8.07</v>
      </c>
      <c r="M7997">
        <v>20</v>
      </c>
      <c r="N7997">
        <v>0</v>
      </c>
      <c r="O7997">
        <v>20</v>
      </c>
      <c r="P7997">
        <v>0</v>
      </c>
    </row>
    <row r="7998" spans="1:16" x14ac:dyDescent="0.25">
      <c r="A7998" t="s">
        <v>30576</v>
      </c>
      <c r="B7998" t="s">
        <v>6488</v>
      </c>
      <c r="C7998" t="s">
        <v>6489</v>
      </c>
      <c r="D7998" t="str">
        <f>"8315"</f>
        <v>8315</v>
      </c>
      <c r="E7998" t="s">
        <v>2750</v>
      </c>
      <c r="F7998" t="s">
        <v>6</v>
      </c>
      <c r="G7998" t="s">
        <v>16221</v>
      </c>
      <c r="H7998" t="s">
        <v>47054</v>
      </c>
      <c r="I7998" t="s">
        <v>47590</v>
      </c>
      <c r="J7998" t="s">
        <v>47591</v>
      </c>
      <c r="K7998" t="s">
        <v>47113</v>
      </c>
      <c r="L7998">
        <v>8.9</v>
      </c>
      <c r="M7998">
        <v>22</v>
      </c>
      <c r="N7998">
        <v>0</v>
      </c>
      <c r="O7998">
        <v>22</v>
      </c>
      <c r="P7998">
        <v>0</v>
      </c>
    </row>
    <row r="7999" spans="1:16" x14ac:dyDescent="0.25">
      <c r="A7999" t="s">
        <v>30577</v>
      </c>
      <c r="B7999" t="s">
        <v>6488</v>
      </c>
      <c r="C7999" t="s">
        <v>6489</v>
      </c>
      <c r="D7999" t="str">
        <f>"8380"</f>
        <v>8380</v>
      </c>
      <c r="E7999" t="s">
        <v>6495</v>
      </c>
      <c r="F7999" t="s">
        <v>3</v>
      </c>
      <c r="G7999" t="s">
        <v>16221</v>
      </c>
      <c r="H7999" t="s">
        <v>47054</v>
      </c>
      <c r="I7999" t="s">
        <v>47590</v>
      </c>
      <c r="J7999" t="s">
        <v>47591</v>
      </c>
      <c r="K7999" t="s">
        <v>47113</v>
      </c>
      <c r="L7999">
        <v>8.9</v>
      </c>
      <c r="M7999">
        <v>22</v>
      </c>
      <c r="N7999">
        <v>0</v>
      </c>
      <c r="O7999">
        <v>22</v>
      </c>
      <c r="P7999">
        <v>0</v>
      </c>
    </row>
    <row r="8000" spans="1:16" x14ac:dyDescent="0.25">
      <c r="A8000" t="s">
        <v>30578</v>
      </c>
      <c r="B8000" t="s">
        <v>6496</v>
      </c>
      <c r="C8000" t="s">
        <v>6497</v>
      </c>
      <c r="D8000" t="str">
        <f>"4434"</f>
        <v>4434</v>
      </c>
      <c r="E8000" t="s">
        <v>6450</v>
      </c>
      <c r="F8000" t="s">
        <v>2</v>
      </c>
      <c r="G8000" t="s">
        <v>16221</v>
      </c>
      <c r="H8000" t="s">
        <v>47054</v>
      </c>
      <c r="I8000" t="s">
        <v>47590</v>
      </c>
      <c r="J8000" t="s">
        <v>47591</v>
      </c>
      <c r="K8000" t="s">
        <v>47113</v>
      </c>
      <c r="L8000">
        <v>9.3699999999999992</v>
      </c>
      <c r="M8000">
        <v>23</v>
      </c>
      <c r="N8000">
        <v>0</v>
      </c>
      <c r="O8000">
        <v>23</v>
      </c>
      <c r="P8000">
        <v>0</v>
      </c>
    </row>
    <row r="8001" spans="1:16" x14ac:dyDescent="0.25">
      <c r="A8001" t="s">
        <v>30579</v>
      </c>
      <c r="B8001" t="s">
        <v>6498</v>
      </c>
      <c r="C8001" t="s">
        <v>6442</v>
      </c>
      <c r="D8001" t="str">
        <f>"1317"</f>
        <v>1317</v>
      </c>
      <c r="E8001" t="s">
        <v>2693</v>
      </c>
      <c r="F8001" t="s">
        <v>5</v>
      </c>
      <c r="G8001" t="s">
        <v>16221</v>
      </c>
      <c r="H8001" t="s">
        <v>47054</v>
      </c>
      <c r="I8001" t="s">
        <v>47116</v>
      </c>
      <c r="J8001" t="s">
        <v>47117</v>
      </c>
      <c r="K8001" t="s">
        <v>47113</v>
      </c>
      <c r="L8001">
        <v>8.07</v>
      </c>
      <c r="M8001">
        <v>20</v>
      </c>
      <c r="N8001">
        <v>0</v>
      </c>
      <c r="O8001">
        <v>20</v>
      </c>
      <c r="P8001">
        <v>0</v>
      </c>
    </row>
    <row r="8002" spans="1:16" x14ac:dyDescent="0.25">
      <c r="A8002" t="s">
        <v>30580</v>
      </c>
      <c r="B8002" t="s">
        <v>6498</v>
      </c>
      <c r="C8002" t="s">
        <v>6442</v>
      </c>
      <c r="D8002" t="str">
        <f>"4060"</f>
        <v>4060</v>
      </c>
      <c r="E8002" t="s">
        <v>1612</v>
      </c>
      <c r="F8002" t="s">
        <v>5</v>
      </c>
      <c r="G8002" t="s">
        <v>16221</v>
      </c>
      <c r="H8002" t="s">
        <v>47054</v>
      </c>
      <c r="I8002" t="s">
        <v>47116</v>
      </c>
      <c r="J8002" t="s">
        <v>47117</v>
      </c>
      <c r="K8002" t="s">
        <v>47113</v>
      </c>
      <c r="L8002">
        <v>8.07</v>
      </c>
      <c r="M8002">
        <v>20</v>
      </c>
      <c r="N8002">
        <v>0</v>
      </c>
      <c r="O8002">
        <v>20</v>
      </c>
      <c r="P8002">
        <v>0</v>
      </c>
    </row>
    <row r="8003" spans="1:16" x14ac:dyDescent="0.25">
      <c r="A8003" t="s">
        <v>30581</v>
      </c>
      <c r="B8003" t="s">
        <v>6498</v>
      </c>
      <c r="C8003" t="s">
        <v>6442</v>
      </c>
      <c r="D8003" t="str">
        <f>"4435"</f>
        <v>4435</v>
      </c>
      <c r="E8003" t="s">
        <v>6462</v>
      </c>
      <c r="F8003" t="s">
        <v>5</v>
      </c>
      <c r="G8003" t="s">
        <v>16221</v>
      </c>
      <c r="H8003" t="s">
        <v>47054</v>
      </c>
      <c r="I8003" t="s">
        <v>47116</v>
      </c>
      <c r="J8003" t="s">
        <v>47117</v>
      </c>
      <c r="K8003" t="s">
        <v>47113</v>
      </c>
      <c r="L8003">
        <v>8.07</v>
      </c>
      <c r="M8003">
        <v>20</v>
      </c>
      <c r="N8003">
        <v>0</v>
      </c>
      <c r="O8003">
        <v>20</v>
      </c>
      <c r="P8003">
        <v>0</v>
      </c>
    </row>
    <row r="8004" spans="1:16" x14ac:dyDescent="0.25">
      <c r="A8004" t="s">
        <v>30582</v>
      </c>
      <c r="B8004" t="s">
        <v>6498</v>
      </c>
      <c r="C8004" t="s">
        <v>6442</v>
      </c>
      <c r="D8004" t="str">
        <f>"6035"</f>
        <v>6035</v>
      </c>
      <c r="E8004" t="s">
        <v>2598</v>
      </c>
      <c r="F8004" t="s">
        <v>5</v>
      </c>
      <c r="G8004" t="s">
        <v>16221</v>
      </c>
      <c r="H8004" t="s">
        <v>47054</v>
      </c>
      <c r="I8004" t="s">
        <v>47116</v>
      </c>
      <c r="J8004" t="s">
        <v>47117</v>
      </c>
      <c r="K8004" t="s">
        <v>47113</v>
      </c>
      <c r="L8004">
        <v>8.07</v>
      </c>
      <c r="M8004">
        <v>20</v>
      </c>
      <c r="N8004">
        <v>0</v>
      </c>
      <c r="O8004">
        <v>20</v>
      </c>
      <c r="P8004">
        <v>0</v>
      </c>
    </row>
    <row r="8005" spans="1:16" x14ac:dyDescent="0.25">
      <c r="A8005" t="s">
        <v>30583</v>
      </c>
      <c r="B8005" t="s">
        <v>6498</v>
      </c>
      <c r="C8005" t="s">
        <v>6442</v>
      </c>
      <c r="D8005" t="str">
        <f>"6366"</f>
        <v>6366</v>
      </c>
      <c r="E8005" t="s">
        <v>2658</v>
      </c>
      <c r="F8005" t="s">
        <v>5</v>
      </c>
      <c r="G8005" t="s">
        <v>16221</v>
      </c>
      <c r="H8005" t="s">
        <v>47054</v>
      </c>
      <c r="I8005" t="s">
        <v>47116</v>
      </c>
      <c r="J8005" t="s">
        <v>47117</v>
      </c>
      <c r="K8005" t="s">
        <v>47113</v>
      </c>
      <c r="L8005">
        <v>8.07</v>
      </c>
      <c r="M8005">
        <v>20</v>
      </c>
      <c r="N8005">
        <v>0</v>
      </c>
      <c r="O8005">
        <v>20</v>
      </c>
      <c r="P8005">
        <v>0</v>
      </c>
    </row>
    <row r="8006" spans="1:16" x14ac:dyDescent="0.25">
      <c r="A8006" t="s">
        <v>30584</v>
      </c>
      <c r="B8006" t="s">
        <v>6499</v>
      </c>
      <c r="C8006" t="s">
        <v>6442</v>
      </c>
      <c r="D8006" t="str">
        <f>"1317"</f>
        <v>1317</v>
      </c>
      <c r="E8006" t="s">
        <v>2693</v>
      </c>
      <c r="F8006" t="s">
        <v>5</v>
      </c>
      <c r="G8006" t="s">
        <v>16221</v>
      </c>
      <c r="H8006" t="s">
        <v>47054</v>
      </c>
      <c r="I8006" t="s">
        <v>47590</v>
      </c>
      <c r="J8006" t="s">
        <v>47591</v>
      </c>
      <c r="K8006" t="s">
        <v>47113</v>
      </c>
      <c r="L8006">
        <v>8.07</v>
      </c>
      <c r="M8006">
        <v>20</v>
      </c>
      <c r="N8006">
        <v>0</v>
      </c>
      <c r="O8006">
        <v>20</v>
      </c>
      <c r="P8006">
        <v>0</v>
      </c>
    </row>
    <row r="8007" spans="1:16" x14ac:dyDescent="0.25">
      <c r="A8007" t="s">
        <v>30585</v>
      </c>
      <c r="B8007" t="s">
        <v>6499</v>
      </c>
      <c r="C8007" t="s">
        <v>6442</v>
      </c>
      <c r="D8007" t="str">
        <f>"4060"</f>
        <v>4060</v>
      </c>
      <c r="E8007" t="s">
        <v>1612</v>
      </c>
      <c r="F8007" t="s">
        <v>5</v>
      </c>
      <c r="G8007" t="s">
        <v>16221</v>
      </c>
      <c r="H8007" t="s">
        <v>47054</v>
      </c>
      <c r="I8007" t="s">
        <v>47590</v>
      </c>
      <c r="J8007" t="s">
        <v>47591</v>
      </c>
      <c r="K8007" t="s">
        <v>47113</v>
      </c>
      <c r="L8007">
        <v>8.07</v>
      </c>
      <c r="M8007">
        <v>20</v>
      </c>
      <c r="N8007">
        <v>0</v>
      </c>
      <c r="O8007">
        <v>20</v>
      </c>
      <c r="P8007">
        <v>0</v>
      </c>
    </row>
    <row r="8008" spans="1:16" x14ac:dyDescent="0.25">
      <c r="A8008" t="s">
        <v>30586</v>
      </c>
      <c r="B8008" t="s">
        <v>6499</v>
      </c>
      <c r="C8008" t="s">
        <v>6442</v>
      </c>
      <c r="D8008" t="str">
        <f>"6035"</f>
        <v>6035</v>
      </c>
      <c r="E8008" t="s">
        <v>2598</v>
      </c>
      <c r="F8008" t="s">
        <v>5</v>
      </c>
      <c r="G8008" t="s">
        <v>16221</v>
      </c>
      <c r="H8008" t="s">
        <v>47054</v>
      </c>
      <c r="I8008" t="s">
        <v>47590</v>
      </c>
      <c r="J8008" t="s">
        <v>47591</v>
      </c>
      <c r="K8008" t="s">
        <v>47113</v>
      </c>
      <c r="L8008">
        <v>8.07</v>
      </c>
      <c r="M8008">
        <v>20</v>
      </c>
      <c r="N8008">
        <v>0</v>
      </c>
      <c r="O8008">
        <v>20</v>
      </c>
      <c r="P8008">
        <v>0</v>
      </c>
    </row>
    <row r="8009" spans="1:16" x14ac:dyDescent="0.25">
      <c r="A8009" t="s">
        <v>30587</v>
      </c>
      <c r="B8009" t="s">
        <v>6499</v>
      </c>
      <c r="C8009" t="s">
        <v>6442</v>
      </c>
      <c r="D8009" t="str">
        <f>"6366"</f>
        <v>6366</v>
      </c>
      <c r="E8009" t="s">
        <v>2658</v>
      </c>
      <c r="F8009" t="s">
        <v>5</v>
      </c>
      <c r="G8009" t="s">
        <v>16221</v>
      </c>
      <c r="H8009" t="s">
        <v>47054</v>
      </c>
      <c r="I8009" t="s">
        <v>47590</v>
      </c>
      <c r="J8009" t="s">
        <v>47591</v>
      </c>
      <c r="K8009" t="s">
        <v>47113</v>
      </c>
      <c r="L8009">
        <v>8.07</v>
      </c>
      <c r="M8009">
        <v>20</v>
      </c>
      <c r="N8009">
        <v>0</v>
      </c>
      <c r="O8009">
        <v>20</v>
      </c>
      <c r="P8009">
        <v>0</v>
      </c>
    </row>
    <row r="8010" spans="1:16" x14ac:dyDescent="0.25">
      <c r="A8010" t="s">
        <v>30588</v>
      </c>
      <c r="B8010" t="s">
        <v>6500</v>
      </c>
      <c r="C8010" t="s">
        <v>20096</v>
      </c>
      <c r="D8010" t="str">
        <f>"4020"</f>
        <v>4020</v>
      </c>
      <c r="E8010" t="s">
        <v>6501</v>
      </c>
      <c r="F8010" t="s">
        <v>3670</v>
      </c>
      <c r="G8010" t="s">
        <v>16230</v>
      </c>
      <c r="H8010" t="s">
        <v>47054</v>
      </c>
      <c r="I8010" t="s">
        <v>47120</v>
      </c>
      <c r="J8010" t="s">
        <v>47121</v>
      </c>
      <c r="K8010" t="s">
        <v>47113</v>
      </c>
      <c r="L8010">
        <v>35.700000000000003</v>
      </c>
      <c r="M8010">
        <v>63</v>
      </c>
      <c r="N8010">
        <v>0</v>
      </c>
      <c r="O8010">
        <v>63</v>
      </c>
      <c r="P8010">
        <v>0</v>
      </c>
    </row>
    <row r="8011" spans="1:16" x14ac:dyDescent="0.25">
      <c r="A8011" t="s">
        <v>30589</v>
      </c>
      <c r="B8011" t="s">
        <v>6502</v>
      </c>
      <c r="C8011" t="s">
        <v>5973</v>
      </c>
      <c r="D8011" t="str">
        <f>"6227"</f>
        <v>6227</v>
      </c>
      <c r="E8011" t="s">
        <v>6503</v>
      </c>
      <c r="F8011" t="s">
        <v>3670</v>
      </c>
      <c r="G8011" t="s">
        <v>16230</v>
      </c>
      <c r="H8011" t="s">
        <v>47054</v>
      </c>
      <c r="I8011" t="s">
        <v>47118</v>
      </c>
      <c r="J8011" t="s">
        <v>47119</v>
      </c>
      <c r="K8011" t="s">
        <v>47113</v>
      </c>
      <c r="L8011">
        <v>25.23</v>
      </c>
      <c r="M8011">
        <v>59</v>
      </c>
      <c r="N8011">
        <v>0</v>
      </c>
      <c r="O8011">
        <v>59</v>
      </c>
      <c r="P8011">
        <v>0</v>
      </c>
    </row>
    <row r="8012" spans="1:16" x14ac:dyDescent="0.25">
      <c r="A8012" t="s">
        <v>30590</v>
      </c>
      <c r="B8012" t="s">
        <v>6504</v>
      </c>
      <c r="C8012" t="s">
        <v>6505</v>
      </c>
      <c r="D8012" t="str">
        <f>"4069"</f>
        <v>4069</v>
      </c>
      <c r="E8012" t="s">
        <v>6506</v>
      </c>
      <c r="F8012" t="s">
        <v>3670</v>
      </c>
      <c r="G8012" t="s">
        <v>16230</v>
      </c>
      <c r="H8012" t="s">
        <v>47054</v>
      </c>
      <c r="I8012" t="s">
        <v>47118</v>
      </c>
      <c r="J8012" t="s">
        <v>47119</v>
      </c>
      <c r="K8012" t="s">
        <v>47113</v>
      </c>
      <c r="L8012">
        <v>30.96</v>
      </c>
      <c r="M8012">
        <v>55</v>
      </c>
      <c r="N8012">
        <v>0</v>
      </c>
      <c r="O8012">
        <v>55</v>
      </c>
      <c r="P8012">
        <v>0</v>
      </c>
    </row>
    <row r="8013" spans="1:16" x14ac:dyDescent="0.25">
      <c r="A8013" t="s">
        <v>30591</v>
      </c>
      <c r="B8013" t="s">
        <v>30592</v>
      </c>
      <c r="C8013" t="s">
        <v>30593</v>
      </c>
      <c r="D8013" t="str">
        <f>"1106"</f>
        <v>1106</v>
      </c>
      <c r="E8013" t="s">
        <v>15297</v>
      </c>
      <c r="F8013" t="s">
        <v>16601</v>
      </c>
      <c r="G8013" t="s">
        <v>47131</v>
      </c>
      <c r="H8013" t="s">
        <v>47071</v>
      </c>
      <c r="I8013" t="s">
        <v>47120</v>
      </c>
      <c r="J8013" t="s">
        <v>47121</v>
      </c>
      <c r="K8013" t="s">
        <v>47113</v>
      </c>
      <c r="L8013">
        <v>4.0599999999999996</v>
      </c>
      <c r="M8013">
        <v>20</v>
      </c>
      <c r="N8013">
        <v>0</v>
      </c>
      <c r="O8013">
        <v>20</v>
      </c>
      <c r="P8013">
        <v>0</v>
      </c>
    </row>
    <row r="8014" spans="1:16" x14ac:dyDescent="0.25">
      <c r="A8014" t="s">
        <v>30594</v>
      </c>
      <c r="B8014" t="s">
        <v>30592</v>
      </c>
      <c r="C8014" t="s">
        <v>30593</v>
      </c>
      <c r="D8014" t="str">
        <f>"6064"</f>
        <v>6064</v>
      </c>
      <c r="E8014" t="s">
        <v>87</v>
      </c>
      <c r="F8014" t="s">
        <v>16601</v>
      </c>
      <c r="G8014" t="s">
        <v>47131</v>
      </c>
      <c r="H8014" t="s">
        <v>47071</v>
      </c>
      <c r="I8014" t="s">
        <v>47120</v>
      </c>
      <c r="J8014" t="s">
        <v>47121</v>
      </c>
      <c r="K8014" t="s">
        <v>47113</v>
      </c>
      <c r="L8014">
        <v>4.0599999999999996</v>
      </c>
      <c r="M8014">
        <v>20</v>
      </c>
      <c r="N8014">
        <v>0</v>
      </c>
      <c r="O8014">
        <v>20</v>
      </c>
      <c r="P8014">
        <v>0</v>
      </c>
    </row>
    <row r="8015" spans="1:16" x14ac:dyDescent="0.25">
      <c r="A8015" t="s">
        <v>30595</v>
      </c>
      <c r="B8015" t="s">
        <v>6507</v>
      </c>
      <c r="C8015" t="s">
        <v>6145</v>
      </c>
      <c r="D8015" t="str">
        <f>"1403"</f>
        <v>1403</v>
      </c>
      <c r="E8015" t="s">
        <v>224</v>
      </c>
      <c r="F8015" t="s">
        <v>3670</v>
      </c>
      <c r="G8015" t="s">
        <v>16232</v>
      </c>
      <c r="H8015" t="s">
        <v>47054</v>
      </c>
      <c r="I8015" t="s">
        <v>47111</v>
      </c>
      <c r="J8015" t="s">
        <v>47112</v>
      </c>
      <c r="K8015" t="s">
        <v>47113</v>
      </c>
      <c r="L8015">
        <v>15.94</v>
      </c>
      <c r="M8015">
        <v>29</v>
      </c>
      <c r="N8015">
        <v>0</v>
      </c>
      <c r="O8015">
        <v>29</v>
      </c>
      <c r="P8015">
        <v>0</v>
      </c>
    </row>
    <row r="8016" spans="1:16" x14ac:dyDescent="0.25">
      <c r="A8016" t="s">
        <v>30596</v>
      </c>
      <c r="B8016" t="s">
        <v>6507</v>
      </c>
      <c r="C8016" t="s">
        <v>6145</v>
      </c>
      <c r="D8016" t="str">
        <f>"2002"</f>
        <v>2002</v>
      </c>
      <c r="E8016" t="s">
        <v>6247</v>
      </c>
      <c r="F8016" t="s">
        <v>3670</v>
      </c>
      <c r="G8016" t="s">
        <v>16232</v>
      </c>
      <c r="H8016" t="s">
        <v>47054</v>
      </c>
      <c r="I8016" t="s">
        <v>47111</v>
      </c>
      <c r="J8016" t="s">
        <v>47112</v>
      </c>
      <c r="K8016" t="s">
        <v>47113</v>
      </c>
      <c r="L8016">
        <v>15.94</v>
      </c>
      <c r="M8016">
        <v>29</v>
      </c>
      <c r="N8016">
        <v>0</v>
      </c>
      <c r="O8016">
        <v>29</v>
      </c>
      <c r="P8016">
        <v>0</v>
      </c>
    </row>
    <row r="8017" spans="1:16" x14ac:dyDescent="0.25">
      <c r="A8017" t="s">
        <v>30597</v>
      </c>
      <c r="B8017" t="s">
        <v>6508</v>
      </c>
      <c r="C8017" t="s">
        <v>161</v>
      </c>
      <c r="D8017" t="str">
        <f>"1403"</f>
        <v>1403</v>
      </c>
      <c r="E8017" t="s">
        <v>224</v>
      </c>
      <c r="F8017" t="s">
        <v>3670</v>
      </c>
      <c r="G8017" t="s">
        <v>16230</v>
      </c>
      <c r="H8017" t="s">
        <v>47054</v>
      </c>
      <c r="I8017" t="s">
        <v>47111</v>
      </c>
      <c r="J8017" t="s">
        <v>47112</v>
      </c>
      <c r="K8017" t="s">
        <v>47113</v>
      </c>
      <c r="L8017">
        <v>15.13</v>
      </c>
      <c r="M8017">
        <v>26</v>
      </c>
      <c r="N8017">
        <v>0</v>
      </c>
      <c r="O8017">
        <v>26</v>
      </c>
      <c r="P8017">
        <v>0</v>
      </c>
    </row>
    <row r="8018" spans="1:16" x14ac:dyDescent="0.25">
      <c r="A8018" t="s">
        <v>30598</v>
      </c>
      <c r="B8018" t="s">
        <v>6508</v>
      </c>
      <c r="C8018" t="s">
        <v>161</v>
      </c>
      <c r="D8018" t="str">
        <f>"2002"</f>
        <v>2002</v>
      </c>
      <c r="E8018" t="s">
        <v>6247</v>
      </c>
      <c r="F8018" t="s">
        <v>3670</v>
      </c>
      <c r="G8018" t="s">
        <v>16230</v>
      </c>
      <c r="H8018" t="s">
        <v>47054</v>
      </c>
      <c r="I8018" t="s">
        <v>47111</v>
      </c>
      <c r="J8018" t="s">
        <v>47112</v>
      </c>
      <c r="K8018" t="s">
        <v>47113</v>
      </c>
      <c r="L8018">
        <v>15.13</v>
      </c>
      <c r="M8018">
        <v>26</v>
      </c>
      <c r="N8018">
        <v>0</v>
      </c>
      <c r="O8018">
        <v>26</v>
      </c>
      <c r="P8018">
        <v>0</v>
      </c>
    </row>
    <row r="8019" spans="1:16" x14ac:dyDescent="0.25">
      <c r="A8019" t="s">
        <v>30599</v>
      </c>
      <c r="B8019" t="s">
        <v>6509</v>
      </c>
      <c r="C8019" t="s">
        <v>6510</v>
      </c>
      <c r="D8019" t="str">
        <f>"3059"</f>
        <v>3059</v>
      </c>
      <c r="E8019" t="s">
        <v>6511</v>
      </c>
      <c r="F8019" t="s">
        <v>58</v>
      </c>
      <c r="G8019" t="s">
        <v>16234</v>
      </c>
      <c r="H8019" t="s">
        <v>47054</v>
      </c>
      <c r="I8019" t="s">
        <v>47136</v>
      </c>
      <c r="J8019" t="s">
        <v>47137</v>
      </c>
      <c r="K8019" t="s">
        <v>47113</v>
      </c>
      <c r="L8019">
        <v>37.83</v>
      </c>
      <c r="M8019">
        <v>89</v>
      </c>
      <c r="N8019">
        <v>0</v>
      </c>
      <c r="O8019">
        <v>89</v>
      </c>
      <c r="P8019">
        <v>0</v>
      </c>
    </row>
    <row r="8020" spans="1:16" x14ac:dyDescent="0.25">
      <c r="A8020" t="s">
        <v>30600</v>
      </c>
      <c r="B8020" t="s">
        <v>30601</v>
      </c>
      <c r="C8020" t="s">
        <v>30602</v>
      </c>
      <c r="D8020" t="str">
        <f>"1081"</f>
        <v>1081</v>
      </c>
      <c r="E8020" t="s">
        <v>14428</v>
      </c>
      <c r="F8020" t="s">
        <v>3750</v>
      </c>
      <c r="G8020" t="s">
        <v>47062</v>
      </c>
      <c r="H8020" t="s">
        <v>47052</v>
      </c>
      <c r="I8020" t="s">
        <v>47120</v>
      </c>
      <c r="J8020" t="s">
        <v>47121</v>
      </c>
      <c r="K8020" t="s">
        <v>47113</v>
      </c>
      <c r="L8020">
        <v>5.29</v>
      </c>
      <c r="M8020">
        <v>14</v>
      </c>
      <c r="N8020">
        <v>39</v>
      </c>
      <c r="O8020">
        <v>14</v>
      </c>
      <c r="P8020">
        <v>39</v>
      </c>
    </row>
    <row r="8021" spans="1:16" x14ac:dyDescent="0.25">
      <c r="A8021" t="s">
        <v>30603</v>
      </c>
      <c r="B8021" t="s">
        <v>30604</v>
      </c>
      <c r="C8021" t="s">
        <v>16995</v>
      </c>
      <c r="D8021" t="s">
        <v>30605</v>
      </c>
      <c r="E8021" t="s">
        <v>30606</v>
      </c>
      <c r="F8021" t="s">
        <v>24617</v>
      </c>
      <c r="G8021" t="s">
        <v>16233</v>
      </c>
      <c r="H8021" t="s">
        <v>47054</v>
      </c>
      <c r="I8021" t="s">
        <v>47116</v>
      </c>
      <c r="J8021" t="s">
        <v>47117</v>
      </c>
      <c r="K8021" t="s">
        <v>47113</v>
      </c>
      <c r="L8021">
        <v>37.74</v>
      </c>
      <c r="M8021">
        <v>92</v>
      </c>
      <c r="N8021">
        <v>249</v>
      </c>
      <c r="O8021">
        <v>92</v>
      </c>
      <c r="P8021">
        <v>249</v>
      </c>
    </row>
    <row r="8022" spans="1:16" x14ac:dyDescent="0.25">
      <c r="A8022" t="s">
        <v>30607</v>
      </c>
      <c r="B8022" t="s">
        <v>15383</v>
      </c>
      <c r="C8022" t="s">
        <v>16993</v>
      </c>
      <c r="D8022" t="str">
        <f>"1106"</f>
        <v>1106</v>
      </c>
      <c r="E8022" t="s">
        <v>15362</v>
      </c>
      <c r="F8022" t="s">
        <v>15183</v>
      </c>
      <c r="G8022" t="s">
        <v>16233</v>
      </c>
      <c r="H8022" t="s">
        <v>47054</v>
      </c>
      <c r="I8022" t="s">
        <v>47120</v>
      </c>
      <c r="J8022" t="s">
        <v>47121</v>
      </c>
      <c r="K8022" t="s">
        <v>47113</v>
      </c>
      <c r="L8022">
        <v>29.19</v>
      </c>
      <c r="M8022">
        <v>66</v>
      </c>
      <c r="N8022">
        <v>0</v>
      </c>
      <c r="O8022">
        <v>66</v>
      </c>
      <c r="P8022">
        <v>0</v>
      </c>
    </row>
    <row r="8023" spans="1:16" x14ac:dyDescent="0.25">
      <c r="A8023" t="s">
        <v>30608</v>
      </c>
      <c r="B8023" t="s">
        <v>15383</v>
      </c>
      <c r="C8023" t="s">
        <v>16993</v>
      </c>
      <c r="D8023" t="str">
        <f>"4000"</f>
        <v>4000</v>
      </c>
      <c r="E8023" t="s">
        <v>15363</v>
      </c>
      <c r="F8023" t="s">
        <v>15183</v>
      </c>
      <c r="G8023" t="s">
        <v>16233</v>
      </c>
      <c r="H8023" t="s">
        <v>47054</v>
      </c>
      <c r="I8023" t="s">
        <v>47120</v>
      </c>
      <c r="J8023" t="s">
        <v>47121</v>
      </c>
      <c r="K8023" t="s">
        <v>47113</v>
      </c>
      <c r="L8023">
        <v>29.19</v>
      </c>
      <c r="M8023">
        <v>66</v>
      </c>
      <c r="N8023">
        <v>0</v>
      </c>
      <c r="O8023">
        <v>66</v>
      </c>
      <c r="P8023">
        <v>0</v>
      </c>
    </row>
    <row r="8024" spans="1:16" x14ac:dyDescent="0.25">
      <c r="A8024" t="s">
        <v>30609</v>
      </c>
      <c r="B8024" t="s">
        <v>15383</v>
      </c>
      <c r="C8024" t="s">
        <v>16993</v>
      </c>
      <c r="D8024" t="str">
        <f>"7233"</f>
        <v>7233</v>
      </c>
      <c r="E8024" t="s">
        <v>15364</v>
      </c>
      <c r="F8024" t="s">
        <v>15183</v>
      </c>
      <c r="G8024" t="s">
        <v>16233</v>
      </c>
      <c r="H8024" t="s">
        <v>47054</v>
      </c>
      <c r="I8024" t="s">
        <v>47120</v>
      </c>
      <c r="J8024" t="s">
        <v>47121</v>
      </c>
      <c r="K8024" t="s">
        <v>47113</v>
      </c>
      <c r="L8024">
        <v>29.19</v>
      </c>
      <c r="M8024">
        <v>66</v>
      </c>
      <c r="N8024">
        <v>0</v>
      </c>
      <c r="O8024">
        <v>66</v>
      </c>
      <c r="P8024">
        <v>0</v>
      </c>
    </row>
    <row r="8025" spans="1:16" x14ac:dyDescent="0.25">
      <c r="A8025" t="s">
        <v>30610</v>
      </c>
      <c r="B8025" t="s">
        <v>16994</v>
      </c>
      <c r="C8025" t="s">
        <v>16995</v>
      </c>
      <c r="D8025" t="s">
        <v>16799</v>
      </c>
      <c r="E8025" t="s">
        <v>16800</v>
      </c>
      <c r="F8025" t="s">
        <v>16623</v>
      </c>
      <c r="G8025" t="s">
        <v>16233</v>
      </c>
      <c r="H8025" t="s">
        <v>47054</v>
      </c>
      <c r="I8025" t="s">
        <v>47111</v>
      </c>
      <c r="J8025" t="s">
        <v>47112</v>
      </c>
      <c r="K8025" t="s">
        <v>47113</v>
      </c>
      <c r="L8025">
        <v>45.74</v>
      </c>
      <c r="M8025">
        <v>92</v>
      </c>
      <c r="N8025">
        <v>0</v>
      </c>
      <c r="O8025">
        <v>92</v>
      </c>
      <c r="P8025">
        <v>0</v>
      </c>
    </row>
    <row r="8026" spans="1:16" x14ac:dyDescent="0.25">
      <c r="A8026" t="s">
        <v>30611</v>
      </c>
      <c r="B8026" t="s">
        <v>16996</v>
      </c>
      <c r="C8026" t="s">
        <v>16997</v>
      </c>
      <c r="D8026" t="s">
        <v>16808</v>
      </c>
      <c r="E8026" t="s">
        <v>16809</v>
      </c>
      <c r="F8026" t="s">
        <v>16810</v>
      </c>
      <c r="G8026" t="s">
        <v>16233</v>
      </c>
      <c r="H8026" t="s">
        <v>47054</v>
      </c>
      <c r="I8026" t="s">
        <v>47111</v>
      </c>
      <c r="J8026" t="s">
        <v>47112</v>
      </c>
      <c r="K8026" t="s">
        <v>47113</v>
      </c>
      <c r="L8026">
        <v>45.74</v>
      </c>
      <c r="M8026">
        <v>92</v>
      </c>
      <c r="N8026">
        <v>0</v>
      </c>
      <c r="O8026">
        <v>92</v>
      </c>
      <c r="P8026">
        <v>0</v>
      </c>
    </row>
    <row r="8027" spans="1:16" x14ac:dyDescent="0.25">
      <c r="A8027" t="s">
        <v>30612</v>
      </c>
      <c r="B8027" t="s">
        <v>16998</v>
      </c>
      <c r="C8027" t="s">
        <v>16995</v>
      </c>
      <c r="D8027" t="str">
        <f>"1001"</f>
        <v>1001</v>
      </c>
      <c r="E8027" t="s">
        <v>16999</v>
      </c>
      <c r="F8027" t="s">
        <v>16623</v>
      </c>
      <c r="G8027" t="s">
        <v>16233</v>
      </c>
      <c r="H8027" t="s">
        <v>47054</v>
      </c>
      <c r="I8027" t="s">
        <v>47120</v>
      </c>
      <c r="J8027" t="s">
        <v>47121</v>
      </c>
      <c r="K8027" t="s">
        <v>47113</v>
      </c>
      <c r="L8027">
        <v>27.35</v>
      </c>
      <c r="M8027">
        <v>55</v>
      </c>
      <c r="N8027">
        <v>0</v>
      </c>
      <c r="O8027">
        <v>55</v>
      </c>
      <c r="P8027">
        <v>0</v>
      </c>
    </row>
    <row r="8028" spans="1:16" x14ac:dyDescent="0.25">
      <c r="A8028" t="s">
        <v>30613</v>
      </c>
      <c r="B8028" t="s">
        <v>16998</v>
      </c>
      <c r="C8028" t="s">
        <v>16995</v>
      </c>
      <c r="D8028" t="str">
        <f>"1200"</f>
        <v>1200</v>
      </c>
      <c r="E8028" t="s">
        <v>17000</v>
      </c>
      <c r="F8028" t="s">
        <v>16623</v>
      </c>
      <c r="G8028" t="s">
        <v>16233</v>
      </c>
      <c r="H8028" t="s">
        <v>47054</v>
      </c>
      <c r="I8028" t="s">
        <v>47120</v>
      </c>
      <c r="J8028" t="s">
        <v>47121</v>
      </c>
      <c r="K8028" t="s">
        <v>47113</v>
      </c>
      <c r="L8028">
        <v>29.34</v>
      </c>
      <c r="M8028">
        <v>59</v>
      </c>
      <c r="N8028">
        <v>0</v>
      </c>
      <c r="O8028">
        <v>59</v>
      </c>
      <c r="P8028">
        <v>0</v>
      </c>
    </row>
    <row r="8029" spans="1:16" x14ac:dyDescent="0.25">
      <c r="A8029" t="s">
        <v>30614</v>
      </c>
      <c r="B8029" t="s">
        <v>16998</v>
      </c>
      <c r="C8029" t="s">
        <v>16995</v>
      </c>
      <c r="D8029" t="str">
        <f>"4143"</f>
        <v>4143</v>
      </c>
      <c r="E8029" t="s">
        <v>17001</v>
      </c>
      <c r="F8029" t="s">
        <v>16623</v>
      </c>
      <c r="G8029" t="s">
        <v>16233</v>
      </c>
      <c r="H8029" t="s">
        <v>47054</v>
      </c>
      <c r="I8029" t="s">
        <v>47120</v>
      </c>
      <c r="J8029" t="s">
        <v>47121</v>
      </c>
      <c r="K8029" t="s">
        <v>47113</v>
      </c>
      <c r="L8029">
        <v>29.34</v>
      </c>
      <c r="M8029">
        <v>59</v>
      </c>
      <c r="N8029">
        <v>0</v>
      </c>
      <c r="O8029">
        <v>59</v>
      </c>
      <c r="P8029">
        <v>0</v>
      </c>
    </row>
    <row r="8030" spans="1:16" x14ac:dyDescent="0.25">
      <c r="A8030" t="s">
        <v>30615</v>
      </c>
      <c r="B8030" t="s">
        <v>16998</v>
      </c>
      <c r="C8030" t="s">
        <v>16995</v>
      </c>
      <c r="D8030" t="str">
        <f>"6000"</f>
        <v>6000</v>
      </c>
      <c r="E8030" t="s">
        <v>17002</v>
      </c>
      <c r="F8030" t="s">
        <v>16623</v>
      </c>
      <c r="G8030" t="s">
        <v>16233</v>
      </c>
      <c r="H8030" t="s">
        <v>47054</v>
      </c>
      <c r="I8030" t="s">
        <v>47120</v>
      </c>
      <c r="J8030" t="s">
        <v>47121</v>
      </c>
      <c r="K8030" t="s">
        <v>47113</v>
      </c>
      <c r="L8030">
        <v>27.35</v>
      </c>
      <c r="M8030">
        <v>55</v>
      </c>
      <c r="N8030">
        <v>0</v>
      </c>
      <c r="O8030">
        <v>55</v>
      </c>
      <c r="P8030">
        <v>0</v>
      </c>
    </row>
    <row r="8031" spans="1:16" x14ac:dyDescent="0.25">
      <c r="A8031" t="s">
        <v>30616</v>
      </c>
      <c r="B8031" t="s">
        <v>20097</v>
      </c>
      <c r="C8031" t="s">
        <v>20098</v>
      </c>
      <c r="D8031" t="str">
        <f>"1001"</f>
        <v>1001</v>
      </c>
      <c r="E8031" t="s">
        <v>16999</v>
      </c>
      <c r="F8031" t="s">
        <v>16623</v>
      </c>
      <c r="G8031" t="s">
        <v>16233</v>
      </c>
      <c r="H8031" t="s">
        <v>47054</v>
      </c>
      <c r="I8031" t="s">
        <v>47120</v>
      </c>
      <c r="J8031" t="s">
        <v>47121</v>
      </c>
      <c r="K8031" t="s">
        <v>47113</v>
      </c>
      <c r="L8031">
        <v>26.62</v>
      </c>
      <c r="M8031">
        <v>55</v>
      </c>
      <c r="N8031">
        <v>0</v>
      </c>
      <c r="O8031">
        <v>55</v>
      </c>
      <c r="P8031">
        <v>0</v>
      </c>
    </row>
    <row r="8032" spans="1:16" x14ac:dyDescent="0.25">
      <c r="A8032" t="s">
        <v>30617</v>
      </c>
      <c r="B8032" t="s">
        <v>20097</v>
      </c>
      <c r="C8032" t="s">
        <v>20098</v>
      </c>
      <c r="D8032" t="str">
        <f>"1200"</f>
        <v>1200</v>
      </c>
      <c r="E8032" t="s">
        <v>17000</v>
      </c>
      <c r="F8032" t="s">
        <v>16623</v>
      </c>
      <c r="G8032" t="s">
        <v>16233</v>
      </c>
      <c r="H8032" t="s">
        <v>47054</v>
      </c>
      <c r="I8032" t="s">
        <v>47120</v>
      </c>
      <c r="J8032" t="s">
        <v>47121</v>
      </c>
      <c r="K8032" t="s">
        <v>47113</v>
      </c>
      <c r="L8032">
        <v>26.62</v>
      </c>
      <c r="M8032">
        <v>59</v>
      </c>
      <c r="N8032">
        <v>0</v>
      </c>
      <c r="O8032">
        <v>59</v>
      </c>
      <c r="P8032">
        <v>0</v>
      </c>
    </row>
    <row r="8033" spans="1:16" x14ac:dyDescent="0.25">
      <c r="A8033" t="s">
        <v>30618</v>
      </c>
      <c r="B8033" t="s">
        <v>20097</v>
      </c>
      <c r="C8033" t="s">
        <v>20098</v>
      </c>
      <c r="D8033" t="str">
        <f>"4143"</f>
        <v>4143</v>
      </c>
      <c r="E8033" t="s">
        <v>17001</v>
      </c>
      <c r="F8033" t="s">
        <v>16623</v>
      </c>
      <c r="G8033" t="s">
        <v>16233</v>
      </c>
      <c r="H8033" t="s">
        <v>47054</v>
      </c>
      <c r="I8033" t="s">
        <v>47120</v>
      </c>
      <c r="J8033" t="s">
        <v>47121</v>
      </c>
      <c r="K8033" t="s">
        <v>47113</v>
      </c>
      <c r="L8033">
        <v>26.62</v>
      </c>
      <c r="M8033">
        <v>59</v>
      </c>
      <c r="N8033">
        <v>0</v>
      </c>
      <c r="O8033">
        <v>59</v>
      </c>
      <c r="P8033">
        <v>0</v>
      </c>
    </row>
    <row r="8034" spans="1:16" x14ac:dyDescent="0.25">
      <c r="A8034" t="s">
        <v>30619</v>
      </c>
      <c r="B8034" t="s">
        <v>20097</v>
      </c>
      <c r="C8034" t="s">
        <v>20098</v>
      </c>
      <c r="D8034" t="str">
        <f>"6000"</f>
        <v>6000</v>
      </c>
      <c r="E8034" t="s">
        <v>17002</v>
      </c>
      <c r="F8034" t="s">
        <v>16623</v>
      </c>
      <c r="G8034" t="s">
        <v>16233</v>
      </c>
      <c r="H8034" t="s">
        <v>47054</v>
      </c>
      <c r="I8034" t="s">
        <v>47120</v>
      </c>
      <c r="J8034" t="s">
        <v>47121</v>
      </c>
      <c r="K8034" t="s">
        <v>47113</v>
      </c>
      <c r="L8034">
        <v>26.62</v>
      </c>
      <c r="M8034">
        <v>55</v>
      </c>
      <c r="N8034">
        <v>0</v>
      </c>
      <c r="O8034">
        <v>55</v>
      </c>
      <c r="P8034">
        <v>0</v>
      </c>
    </row>
    <row r="8035" spans="1:16" x14ac:dyDescent="0.25">
      <c r="A8035" t="s">
        <v>30620</v>
      </c>
      <c r="B8035" t="s">
        <v>20099</v>
      </c>
      <c r="C8035" t="s">
        <v>20100</v>
      </c>
      <c r="D8035" t="s">
        <v>20101</v>
      </c>
      <c r="E8035" t="s">
        <v>20102</v>
      </c>
      <c r="F8035" t="s">
        <v>19847</v>
      </c>
      <c r="G8035" t="s">
        <v>16233</v>
      </c>
      <c r="H8035" t="s">
        <v>47054</v>
      </c>
      <c r="I8035" t="s">
        <v>47116</v>
      </c>
      <c r="J8035" t="s">
        <v>47117</v>
      </c>
      <c r="K8035" t="s">
        <v>47113</v>
      </c>
      <c r="L8035">
        <v>39.99</v>
      </c>
      <c r="M8035">
        <v>92</v>
      </c>
      <c r="N8035">
        <v>0</v>
      </c>
      <c r="O8035">
        <v>92</v>
      </c>
      <c r="P8035">
        <v>0</v>
      </c>
    </row>
    <row r="8036" spans="1:16" x14ac:dyDescent="0.25">
      <c r="A8036" t="s">
        <v>30621</v>
      </c>
      <c r="B8036" t="s">
        <v>20103</v>
      </c>
      <c r="C8036" t="s">
        <v>17871</v>
      </c>
      <c r="D8036" t="s">
        <v>19899</v>
      </c>
      <c r="E8036" t="s">
        <v>19900</v>
      </c>
      <c r="F8036" t="s">
        <v>19847</v>
      </c>
      <c r="G8036" t="s">
        <v>16233</v>
      </c>
      <c r="H8036" t="s">
        <v>47054</v>
      </c>
      <c r="I8036" t="s">
        <v>47111</v>
      </c>
      <c r="J8036" t="s">
        <v>47112</v>
      </c>
      <c r="K8036" t="s">
        <v>47113</v>
      </c>
      <c r="L8036">
        <v>77.42</v>
      </c>
      <c r="M8036">
        <v>140</v>
      </c>
      <c r="N8036">
        <v>0</v>
      </c>
      <c r="O8036">
        <v>140</v>
      </c>
      <c r="P8036">
        <v>0</v>
      </c>
    </row>
    <row r="8037" spans="1:16" x14ac:dyDescent="0.25">
      <c r="A8037" t="s">
        <v>30622</v>
      </c>
      <c r="B8037" t="s">
        <v>20104</v>
      </c>
      <c r="C8037" t="s">
        <v>17871</v>
      </c>
      <c r="D8037" t="s">
        <v>20105</v>
      </c>
      <c r="E8037" t="s">
        <v>20106</v>
      </c>
      <c r="F8037" t="s">
        <v>19847</v>
      </c>
      <c r="G8037" t="s">
        <v>16233</v>
      </c>
      <c r="H8037" t="s">
        <v>47054</v>
      </c>
      <c r="I8037" t="s">
        <v>47111</v>
      </c>
      <c r="J8037" t="s">
        <v>47112</v>
      </c>
      <c r="K8037" t="s">
        <v>47113</v>
      </c>
      <c r="L8037">
        <v>73.77</v>
      </c>
      <c r="M8037">
        <v>140</v>
      </c>
      <c r="N8037">
        <v>0</v>
      </c>
      <c r="O8037">
        <v>140</v>
      </c>
      <c r="P8037">
        <v>0</v>
      </c>
    </row>
    <row r="8038" spans="1:16" x14ac:dyDescent="0.25">
      <c r="A8038" t="s">
        <v>30623</v>
      </c>
      <c r="B8038" t="s">
        <v>17003</v>
      </c>
      <c r="C8038" t="s">
        <v>17004</v>
      </c>
      <c r="D8038" t="str">
        <f>"1001"</f>
        <v>1001</v>
      </c>
      <c r="E8038" t="s">
        <v>17005</v>
      </c>
      <c r="F8038" t="s">
        <v>16623</v>
      </c>
      <c r="G8038" t="s">
        <v>16233</v>
      </c>
      <c r="H8038" t="s">
        <v>47054</v>
      </c>
      <c r="I8038" t="s">
        <v>47120</v>
      </c>
      <c r="J8038" t="s">
        <v>47121</v>
      </c>
      <c r="K8038" t="s">
        <v>47113</v>
      </c>
      <c r="L8038">
        <v>32.81</v>
      </c>
      <c r="M8038">
        <v>66</v>
      </c>
      <c r="N8038">
        <v>0</v>
      </c>
      <c r="O8038">
        <v>66</v>
      </c>
      <c r="P8038">
        <v>0</v>
      </c>
    </row>
    <row r="8039" spans="1:16" x14ac:dyDescent="0.25">
      <c r="A8039" t="s">
        <v>30624</v>
      </c>
      <c r="B8039" t="s">
        <v>17003</v>
      </c>
      <c r="C8039" t="s">
        <v>17004</v>
      </c>
      <c r="D8039" t="str">
        <f>"7233"</f>
        <v>7233</v>
      </c>
      <c r="E8039" t="s">
        <v>17006</v>
      </c>
      <c r="F8039" t="s">
        <v>16623</v>
      </c>
      <c r="G8039" t="s">
        <v>16233</v>
      </c>
      <c r="H8039" t="s">
        <v>47054</v>
      </c>
      <c r="I8039" t="s">
        <v>47120</v>
      </c>
      <c r="J8039" t="s">
        <v>47121</v>
      </c>
      <c r="K8039" t="s">
        <v>47113</v>
      </c>
      <c r="L8039">
        <v>32.81</v>
      </c>
      <c r="M8039">
        <v>66</v>
      </c>
      <c r="N8039">
        <v>0</v>
      </c>
      <c r="O8039">
        <v>66</v>
      </c>
      <c r="P8039">
        <v>0</v>
      </c>
    </row>
    <row r="8040" spans="1:16" x14ac:dyDescent="0.25">
      <c r="A8040" t="s">
        <v>30625</v>
      </c>
      <c r="B8040" t="s">
        <v>20107</v>
      </c>
      <c r="C8040" t="s">
        <v>16995</v>
      </c>
      <c r="D8040" t="s">
        <v>19914</v>
      </c>
      <c r="E8040" t="s">
        <v>19915</v>
      </c>
      <c r="F8040" t="s">
        <v>19559</v>
      </c>
      <c r="G8040" t="s">
        <v>16233</v>
      </c>
      <c r="H8040" t="s">
        <v>47054</v>
      </c>
      <c r="I8040" t="s">
        <v>47111</v>
      </c>
      <c r="J8040" t="s">
        <v>47112</v>
      </c>
      <c r="K8040" t="s">
        <v>47113</v>
      </c>
      <c r="L8040">
        <v>53.16</v>
      </c>
      <c r="M8040">
        <v>140</v>
      </c>
      <c r="N8040">
        <v>0</v>
      </c>
      <c r="O8040">
        <v>140</v>
      </c>
      <c r="P8040">
        <v>0</v>
      </c>
    </row>
    <row r="8041" spans="1:16" x14ac:dyDescent="0.25">
      <c r="A8041" t="s">
        <v>30626</v>
      </c>
      <c r="B8041" t="s">
        <v>20108</v>
      </c>
      <c r="C8041" t="s">
        <v>16995</v>
      </c>
      <c r="D8041" t="s">
        <v>19930</v>
      </c>
      <c r="E8041" t="s">
        <v>19931</v>
      </c>
      <c r="F8041" t="s">
        <v>19559</v>
      </c>
      <c r="G8041" t="s">
        <v>16233</v>
      </c>
      <c r="H8041" t="s">
        <v>47054</v>
      </c>
      <c r="I8041" t="s">
        <v>47116</v>
      </c>
      <c r="J8041" t="s">
        <v>47117</v>
      </c>
      <c r="K8041" t="s">
        <v>47113</v>
      </c>
      <c r="L8041">
        <v>31.78</v>
      </c>
      <c r="M8041">
        <v>81</v>
      </c>
      <c r="N8041">
        <v>0</v>
      </c>
      <c r="O8041">
        <v>81</v>
      </c>
      <c r="P8041">
        <v>0</v>
      </c>
    </row>
    <row r="8042" spans="1:16" x14ac:dyDescent="0.25">
      <c r="A8042" t="s">
        <v>30627</v>
      </c>
      <c r="B8042" t="s">
        <v>20109</v>
      </c>
      <c r="C8042" t="s">
        <v>16995</v>
      </c>
      <c r="D8042" t="s">
        <v>721</v>
      </c>
      <c r="E8042" t="s">
        <v>722</v>
      </c>
      <c r="F8042" t="s">
        <v>19559</v>
      </c>
      <c r="G8042" t="s">
        <v>16233</v>
      </c>
      <c r="H8042" t="s">
        <v>47054</v>
      </c>
      <c r="I8042" t="s">
        <v>47116</v>
      </c>
      <c r="J8042" t="s">
        <v>47117</v>
      </c>
      <c r="K8042" t="s">
        <v>47113</v>
      </c>
      <c r="L8042">
        <v>30.05</v>
      </c>
      <c r="M8042">
        <v>81</v>
      </c>
      <c r="N8042">
        <v>219</v>
      </c>
      <c r="O8042">
        <v>81</v>
      </c>
      <c r="P8042">
        <v>219</v>
      </c>
    </row>
    <row r="8043" spans="1:16" x14ac:dyDescent="0.25">
      <c r="A8043" t="s">
        <v>30628</v>
      </c>
      <c r="B8043" t="s">
        <v>30629</v>
      </c>
      <c r="C8043" t="s">
        <v>16997</v>
      </c>
      <c r="D8043" t="s">
        <v>22776</v>
      </c>
      <c r="E8043" t="s">
        <v>22777</v>
      </c>
      <c r="F8043" t="s">
        <v>21627</v>
      </c>
      <c r="G8043" t="s">
        <v>16233</v>
      </c>
      <c r="H8043" t="s">
        <v>47054</v>
      </c>
      <c r="I8043" t="s">
        <v>47116</v>
      </c>
      <c r="J8043" t="s">
        <v>47117</v>
      </c>
      <c r="K8043" t="s">
        <v>47113</v>
      </c>
      <c r="L8043">
        <v>32.24</v>
      </c>
      <c r="M8043">
        <v>84</v>
      </c>
      <c r="N8043">
        <v>0</v>
      </c>
      <c r="O8043">
        <v>84</v>
      </c>
      <c r="P8043">
        <v>0</v>
      </c>
    </row>
    <row r="8044" spans="1:16" x14ac:dyDescent="0.25">
      <c r="A8044" t="s">
        <v>30630</v>
      </c>
      <c r="B8044" t="s">
        <v>30631</v>
      </c>
      <c r="C8044" t="s">
        <v>16997</v>
      </c>
      <c r="D8044" t="s">
        <v>22781</v>
      </c>
      <c r="E8044" t="s">
        <v>22782</v>
      </c>
      <c r="F8044" t="s">
        <v>20496</v>
      </c>
      <c r="G8044" t="s">
        <v>16233</v>
      </c>
      <c r="H8044" t="s">
        <v>47054</v>
      </c>
      <c r="I8044" t="s">
        <v>47116</v>
      </c>
      <c r="J8044" t="s">
        <v>47117</v>
      </c>
      <c r="K8044" t="s">
        <v>47113</v>
      </c>
      <c r="L8044">
        <v>36.19</v>
      </c>
      <c r="M8044">
        <v>84</v>
      </c>
      <c r="N8044">
        <v>0</v>
      </c>
      <c r="O8044">
        <v>84</v>
      </c>
      <c r="P8044">
        <v>0</v>
      </c>
    </row>
    <row r="8045" spans="1:16" x14ac:dyDescent="0.25">
      <c r="A8045" t="s">
        <v>30632</v>
      </c>
      <c r="B8045" t="s">
        <v>30633</v>
      </c>
      <c r="C8045" t="s">
        <v>16995</v>
      </c>
      <c r="D8045" t="s">
        <v>29794</v>
      </c>
      <c r="E8045" t="s">
        <v>29795</v>
      </c>
      <c r="F8045" t="s">
        <v>24617</v>
      </c>
      <c r="G8045" t="s">
        <v>16233</v>
      </c>
      <c r="H8045" t="s">
        <v>47054</v>
      </c>
      <c r="I8045" t="s">
        <v>47544</v>
      </c>
      <c r="J8045" t="s">
        <v>47545</v>
      </c>
      <c r="K8045" t="s">
        <v>47113</v>
      </c>
      <c r="L8045">
        <v>21.35</v>
      </c>
      <c r="M8045">
        <v>55</v>
      </c>
      <c r="N8045">
        <v>149</v>
      </c>
      <c r="O8045">
        <v>55</v>
      </c>
      <c r="P8045">
        <v>149</v>
      </c>
    </row>
    <row r="8046" spans="1:16" x14ac:dyDescent="0.25">
      <c r="A8046" t="s">
        <v>30634</v>
      </c>
      <c r="B8046" t="s">
        <v>30635</v>
      </c>
      <c r="C8046" t="s">
        <v>17004</v>
      </c>
      <c r="D8046" t="s">
        <v>29807</v>
      </c>
      <c r="E8046" t="s">
        <v>29808</v>
      </c>
      <c r="F8046" t="s">
        <v>24622</v>
      </c>
      <c r="G8046" t="s">
        <v>16233</v>
      </c>
      <c r="H8046" t="s">
        <v>47054</v>
      </c>
      <c r="I8046" t="s">
        <v>47116</v>
      </c>
      <c r="J8046" t="s">
        <v>47117</v>
      </c>
      <c r="K8046" t="s">
        <v>47113</v>
      </c>
      <c r="L8046">
        <v>46.83</v>
      </c>
      <c r="M8046">
        <v>111</v>
      </c>
      <c r="N8046">
        <v>299</v>
      </c>
      <c r="O8046">
        <v>111</v>
      </c>
      <c r="P8046">
        <v>299</v>
      </c>
    </row>
    <row r="8047" spans="1:16" x14ac:dyDescent="0.25">
      <c r="A8047" t="s">
        <v>30636</v>
      </c>
      <c r="B8047" t="s">
        <v>15384</v>
      </c>
      <c r="C8047" t="s">
        <v>17007</v>
      </c>
      <c r="D8047" t="s">
        <v>15271</v>
      </c>
      <c r="E8047" t="s">
        <v>15272</v>
      </c>
      <c r="F8047" t="s">
        <v>15183</v>
      </c>
      <c r="G8047" t="s">
        <v>47122</v>
      </c>
      <c r="H8047" t="s">
        <v>47054</v>
      </c>
      <c r="I8047" t="s">
        <v>47116</v>
      </c>
      <c r="J8047" t="s">
        <v>47117</v>
      </c>
      <c r="K8047" t="s">
        <v>47113</v>
      </c>
      <c r="L8047">
        <v>46.45</v>
      </c>
      <c r="M8047">
        <v>100</v>
      </c>
      <c r="N8047">
        <v>0</v>
      </c>
      <c r="O8047">
        <v>100</v>
      </c>
      <c r="P8047">
        <v>0</v>
      </c>
    </row>
    <row r="8048" spans="1:16" x14ac:dyDescent="0.25">
      <c r="A8048" t="s">
        <v>30637</v>
      </c>
      <c r="B8048" t="s">
        <v>17008</v>
      </c>
      <c r="C8048" t="s">
        <v>17009</v>
      </c>
      <c r="D8048" t="s">
        <v>16799</v>
      </c>
      <c r="E8048" t="s">
        <v>16800</v>
      </c>
      <c r="F8048" t="s">
        <v>16623</v>
      </c>
      <c r="G8048" t="s">
        <v>47122</v>
      </c>
      <c r="H8048" t="s">
        <v>47054</v>
      </c>
      <c r="I8048" t="s">
        <v>47116</v>
      </c>
      <c r="J8048" t="s">
        <v>47117</v>
      </c>
      <c r="K8048" t="s">
        <v>47113</v>
      </c>
      <c r="L8048">
        <v>60.65</v>
      </c>
      <c r="M8048">
        <v>122</v>
      </c>
      <c r="N8048">
        <v>0</v>
      </c>
      <c r="O8048">
        <v>122</v>
      </c>
      <c r="P8048">
        <v>0</v>
      </c>
    </row>
    <row r="8049" spans="1:16" x14ac:dyDescent="0.25">
      <c r="A8049" t="s">
        <v>30638</v>
      </c>
      <c r="B8049" t="s">
        <v>17010</v>
      </c>
      <c r="C8049" t="s">
        <v>17011</v>
      </c>
      <c r="D8049" t="s">
        <v>16808</v>
      </c>
      <c r="E8049" t="s">
        <v>16809</v>
      </c>
      <c r="F8049" t="s">
        <v>16623</v>
      </c>
      <c r="G8049" t="s">
        <v>47122</v>
      </c>
      <c r="H8049" t="s">
        <v>47054</v>
      </c>
      <c r="I8049" t="s">
        <v>47116</v>
      </c>
      <c r="J8049" t="s">
        <v>47117</v>
      </c>
      <c r="K8049" t="s">
        <v>47113</v>
      </c>
      <c r="L8049">
        <v>51.21</v>
      </c>
      <c r="M8049">
        <v>103</v>
      </c>
      <c r="N8049">
        <v>0</v>
      </c>
      <c r="O8049">
        <v>103</v>
      </c>
      <c r="P8049">
        <v>0</v>
      </c>
    </row>
    <row r="8050" spans="1:16" x14ac:dyDescent="0.25">
      <c r="A8050" t="s">
        <v>22752</v>
      </c>
      <c r="B8050" t="s">
        <v>20110</v>
      </c>
      <c r="C8050" t="s">
        <v>17011</v>
      </c>
      <c r="D8050" t="s">
        <v>20111</v>
      </c>
      <c r="E8050" t="s">
        <v>20112</v>
      </c>
      <c r="F8050" t="s">
        <v>19878</v>
      </c>
      <c r="G8050" t="s">
        <v>47122</v>
      </c>
      <c r="H8050" t="s">
        <v>47054</v>
      </c>
      <c r="I8050" t="s">
        <v>47120</v>
      </c>
      <c r="J8050" t="s">
        <v>47121</v>
      </c>
      <c r="K8050" t="s">
        <v>47113</v>
      </c>
      <c r="L8050">
        <v>76.19</v>
      </c>
      <c r="M8050">
        <v>139</v>
      </c>
      <c r="N8050">
        <v>0</v>
      </c>
      <c r="O8050">
        <v>139</v>
      </c>
      <c r="P8050">
        <v>0</v>
      </c>
    </row>
    <row r="8051" spans="1:16" x14ac:dyDescent="0.25">
      <c r="A8051" t="s">
        <v>30639</v>
      </c>
      <c r="B8051" t="s">
        <v>30640</v>
      </c>
      <c r="C8051" t="s">
        <v>20274</v>
      </c>
      <c r="D8051" t="str">
        <f>"1001"</f>
        <v>1001</v>
      </c>
      <c r="E8051" t="s">
        <v>17350</v>
      </c>
      <c r="F8051" t="s">
        <v>19878</v>
      </c>
      <c r="G8051" t="s">
        <v>16232</v>
      </c>
      <c r="H8051" t="s">
        <v>47054</v>
      </c>
      <c r="I8051" t="s">
        <v>47120</v>
      </c>
      <c r="J8051" t="s">
        <v>47121</v>
      </c>
      <c r="K8051" t="s">
        <v>47113</v>
      </c>
      <c r="L8051">
        <v>24.26</v>
      </c>
      <c r="M8051">
        <v>29</v>
      </c>
      <c r="N8051">
        <v>0</v>
      </c>
      <c r="O8051">
        <v>29</v>
      </c>
      <c r="P8051">
        <v>0</v>
      </c>
    </row>
    <row r="8052" spans="1:16" x14ac:dyDescent="0.25">
      <c r="A8052" t="s">
        <v>30641</v>
      </c>
      <c r="B8052" t="s">
        <v>17012</v>
      </c>
      <c r="C8052" t="s">
        <v>20113</v>
      </c>
      <c r="D8052" t="s">
        <v>16812</v>
      </c>
      <c r="E8052" t="s">
        <v>16813</v>
      </c>
      <c r="F8052" t="s">
        <v>16746</v>
      </c>
      <c r="G8052" t="s">
        <v>16233</v>
      </c>
      <c r="H8052" t="s">
        <v>47054</v>
      </c>
      <c r="I8052" t="s">
        <v>47111</v>
      </c>
      <c r="J8052" t="s">
        <v>47112</v>
      </c>
      <c r="K8052" t="s">
        <v>47113</v>
      </c>
      <c r="L8052">
        <v>60.65</v>
      </c>
      <c r="M8052">
        <v>122</v>
      </c>
      <c r="N8052">
        <v>0</v>
      </c>
      <c r="O8052">
        <v>122</v>
      </c>
      <c r="P8052">
        <v>0</v>
      </c>
    </row>
    <row r="8053" spans="1:16" x14ac:dyDescent="0.25">
      <c r="A8053" t="s">
        <v>30642</v>
      </c>
      <c r="B8053" t="s">
        <v>20114</v>
      </c>
      <c r="C8053" t="s">
        <v>20115</v>
      </c>
      <c r="D8053" t="str">
        <f>"1307"</f>
        <v>1307</v>
      </c>
      <c r="E8053" t="s">
        <v>20116</v>
      </c>
      <c r="F8053" t="s">
        <v>19847</v>
      </c>
      <c r="G8053" t="s">
        <v>16234</v>
      </c>
      <c r="H8053" t="s">
        <v>47054</v>
      </c>
      <c r="I8053" t="s">
        <v>47136</v>
      </c>
      <c r="J8053" t="s">
        <v>47137</v>
      </c>
      <c r="K8053" t="s">
        <v>47113</v>
      </c>
      <c r="L8053">
        <v>35.630000000000003</v>
      </c>
      <c r="M8053">
        <v>81</v>
      </c>
      <c r="N8053">
        <v>0</v>
      </c>
      <c r="O8053">
        <v>81</v>
      </c>
      <c r="P8053">
        <v>0</v>
      </c>
    </row>
    <row r="8054" spans="1:16" x14ac:dyDescent="0.25">
      <c r="A8054" t="s">
        <v>30643</v>
      </c>
      <c r="B8054" t="s">
        <v>20114</v>
      </c>
      <c r="C8054" t="s">
        <v>20115</v>
      </c>
      <c r="D8054" t="str">
        <f>"1700"</f>
        <v>1700</v>
      </c>
      <c r="E8054" t="s">
        <v>20117</v>
      </c>
      <c r="F8054" t="s">
        <v>19847</v>
      </c>
      <c r="G8054" t="s">
        <v>16234</v>
      </c>
      <c r="H8054" t="s">
        <v>47054</v>
      </c>
      <c r="I8054" t="s">
        <v>47136</v>
      </c>
      <c r="J8054" t="s">
        <v>47137</v>
      </c>
      <c r="K8054" t="s">
        <v>47113</v>
      </c>
      <c r="L8054">
        <v>35.630000000000003</v>
      </c>
      <c r="M8054">
        <v>81</v>
      </c>
      <c r="N8054">
        <v>0</v>
      </c>
      <c r="O8054">
        <v>81</v>
      </c>
      <c r="P8054">
        <v>0</v>
      </c>
    </row>
    <row r="8055" spans="1:16" x14ac:dyDescent="0.25">
      <c r="A8055" t="s">
        <v>30644</v>
      </c>
      <c r="B8055" t="s">
        <v>20114</v>
      </c>
      <c r="C8055" t="s">
        <v>20115</v>
      </c>
      <c r="D8055" t="str">
        <f>"4100"</f>
        <v>4100</v>
      </c>
      <c r="E8055" t="s">
        <v>20118</v>
      </c>
      <c r="F8055" t="s">
        <v>19847</v>
      </c>
      <c r="G8055" t="s">
        <v>16234</v>
      </c>
      <c r="H8055" t="s">
        <v>47054</v>
      </c>
      <c r="I8055" t="s">
        <v>47136</v>
      </c>
      <c r="J8055" t="s">
        <v>47137</v>
      </c>
      <c r="K8055" t="s">
        <v>47113</v>
      </c>
      <c r="L8055">
        <v>35.630000000000003</v>
      </c>
      <c r="M8055">
        <v>81</v>
      </c>
      <c r="N8055">
        <v>0</v>
      </c>
      <c r="O8055">
        <v>81</v>
      </c>
      <c r="P8055">
        <v>0</v>
      </c>
    </row>
    <row r="8056" spans="1:16" x14ac:dyDescent="0.25">
      <c r="A8056" t="s">
        <v>30645</v>
      </c>
      <c r="B8056" t="s">
        <v>20119</v>
      </c>
      <c r="C8056" t="s">
        <v>20115</v>
      </c>
      <c r="D8056" t="s">
        <v>20120</v>
      </c>
      <c r="E8056" t="s">
        <v>20121</v>
      </c>
      <c r="F8056" t="s">
        <v>19847</v>
      </c>
      <c r="G8056" t="s">
        <v>16233</v>
      </c>
      <c r="H8056" t="s">
        <v>47054</v>
      </c>
      <c r="I8056" t="s">
        <v>47116</v>
      </c>
      <c r="J8056" t="s">
        <v>47117</v>
      </c>
      <c r="K8056" t="s">
        <v>47113</v>
      </c>
      <c r="L8056">
        <v>31.15</v>
      </c>
      <c r="M8056">
        <v>66</v>
      </c>
      <c r="N8056">
        <v>0</v>
      </c>
      <c r="O8056">
        <v>66</v>
      </c>
      <c r="P8056">
        <v>0</v>
      </c>
    </row>
    <row r="8057" spans="1:16" x14ac:dyDescent="0.25">
      <c r="A8057" t="s">
        <v>30646</v>
      </c>
      <c r="B8057" t="s">
        <v>20122</v>
      </c>
      <c r="C8057" t="s">
        <v>20115</v>
      </c>
      <c r="D8057" t="s">
        <v>20123</v>
      </c>
      <c r="E8057" t="s">
        <v>20124</v>
      </c>
      <c r="F8057" t="s">
        <v>19847</v>
      </c>
      <c r="G8057" t="s">
        <v>16233</v>
      </c>
      <c r="H8057" t="s">
        <v>47054</v>
      </c>
      <c r="I8057" t="s">
        <v>47116</v>
      </c>
      <c r="J8057" t="s">
        <v>47117</v>
      </c>
      <c r="K8057" t="s">
        <v>47113</v>
      </c>
      <c r="L8057">
        <v>32.17</v>
      </c>
      <c r="M8057">
        <v>66</v>
      </c>
      <c r="N8057">
        <v>0</v>
      </c>
      <c r="O8057">
        <v>66</v>
      </c>
      <c r="P8057">
        <v>0</v>
      </c>
    </row>
    <row r="8058" spans="1:16" x14ac:dyDescent="0.25">
      <c r="A8058" t="s">
        <v>30647</v>
      </c>
      <c r="B8058" t="s">
        <v>20125</v>
      </c>
      <c r="C8058" t="s">
        <v>20126</v>
      </c>
      <c r="D8058" t="str">
        <f>"1200"</f>
        <v>1200</v>
      </c>
      <c r="E8058" t="s">
        <v>20127</v>
      </c>
      <c r="F8058" t="s">
        <v>46687</v>
      </c>
      <c r="G8058" t="s">
        <v>16233</v>
      </c>
      <c r="H8058" t="s">
        <v>47054</v>
      </c>
      <c r="I8058" t="s">
        <v>47120</v>
      </c>
      <c r="J8058" t="s">
        <v>47121</v>
      </c>
      <c r="K8058" t="s">
        <v>47113</v>
      </c>
      <c r="L8058">
        <v>34.64</v>
      </c>
      <c r="M8058">
        <v>66</v>
      </c>
      <c r="N8058">
        <v>179</v>
      </c>
      <c r="O8058">
        <v>66</v>
      </c>
      <c r="P8058">
        <v>179</v>
      </c>
    </row>
    <row r="8059" spans="1:16" x14ac:dyDescent="0.25">
      <c r="A8059" t="s">
        <v>30648</v>
      </c>
      <c r="B8059" t="s">
        <v>20125</v>
      </c>
      <c r="C8059" t="s">
        <v>20126</v>
      </c>
      <c r="D8059" t="str">
        <f>"1700"</f>
        <v>1700</v>
      </c>
      <c r="E8059" t="s">
        <v>20128</v>
      </c>
      <c r="F8059" t="s">
        <v>46687</v>
      </c>
      <c r="G8059" t="s">
        <v>16233</v>
      </c>
      <c r="H8059" t="s">
        <v>47054</v>
      </c>
      <c r="I8059" t="s">
        <v>47120</v>
      </c>
      <c r="J8059" t="s">
        <v>47121</v>
      </c>
      <c r="K8059" t="s">
        <v>47113</v>
      </c>
      <c r="L8059">
        <v>34.64</v>
      </c>
      <c r="M8059">
        <v>66</v>
      </c>
      <c r="N8059">
        <v>0</v>
      </c>
      <c r="O8059">
        <v>66</v>
      </c>
      <c r="P8059">
        <v>0</v>
      </c>
    </row>
    <row r="8060" spans="1:16" x14ac:dyDescent="0.25">
      <c r="A8060" t="s">
        <v>30649</v>
      </c>
      <c r="B8060" t="s">
        <v>20125</v>
      </c>
      <c r="C8060" t="s">
        <v>20126</v>
      </c>
      <c r="D8060" t="str">
        <f>"2500"</f>
        <v>2500</v>
      </c>
      <c r="E8060" t="s">
        <v>20129</v>
      </c>
      <c r="F8060" t="s">
        <v>46687</v>
      </c>
      <c r="G8060" t="s">
        <v>16233</v>
      </c>
      <c r="H8060" t="s">
        <v>47054</v>
      </c>
      <c r="I8060" t="s">
        <v>47120</v>
      </c>
      <c r="J8060" t="s">
        <v>47121</v>
      </c>
      <c r="K8060" t="s">
        <v>47113</v>
      </c>
      <c r="L8060">
        <v>34.64</v>
      </c>
      <c r="M8060">
        <v>66</v>
      </c>
      <c r="N8060">
        <v>179</v>
      </c>
      <c r="O8060">
        <v>66</v>
      </c>
      <c r="P8060">
        <v>179</v>
      </c>
    </row>
    <row r="8061" spans="1:16" x14ac:dyDescent="0.25">
      <c r="A8061" t="s">
        <v>30650</v>
      </c>
      <c r="B8061" t="s">
        <v>17014</v>
      </c>
      <c r="C8061" t="s">
        <v>17015</v>
      </c>
      <c r="D8061" t="str">
        <f>"4000"</f>
        <v>4000</v>
      </c>
      <c r="E8061" t="s">
        <v>17016</v>
      </c>
      <c r="F8061" t="s">
        <v>16746</v>
      </c>
      <c r="G8061" t="s">
        <v>16232</v>
      </c>
      <c r="H8061" t="s">
        <v>47054</v>
      </c>
      <c r="I8061" t="s">
        <v>47120</v>
      </c>
      <c r="J8061" t="s">
        <v>47121</v>
      </c>
      <c r="K8061" t="s">
        <v>47113</v>
      </c>
      <c r="L8061">
        <v>18.399999999999999</v>
      </c>
      <c r="M8061">
        <v>37</v>
      </c>
      <c r="N8061">
        <v>0</v>
      </c>
      <c r="O8061">
        <v>37</v>
      </c>
      <c r="P8061">
        <v>0</v>
      </c>
    </row>
    <row r="8062" spans="1:16" x14ac:dyDescent="0.25">
      <c r="A8062" t="s">
        <v>30651</v>
      </c>
      <c r="B8062" t="s">
        <v>17014</v>
      </c>
      <c r="C8062" t="s">
        <v>17015</v>
      </c>
      <c r="D8062" t="str">
        <f>"4100"</f>
        <v>4100</v>
      </c>
      <c r="E8062" t="s">
        <v>17017</v>
      </c>
      <c r="F8062" t="s">
        <v>16810</v>
      </c>
      <c r="G8062" t="s">
        <v>16232</v>
      </c>
      <c r="H8062" t="s">
        <v>47054</v>
      </c>
      <c r="I8062" t="s">
        <v>47120</v>
      </c>
      <c r="J8062" t="s">
        <v>47121</v>
      </c>
      <c r="K8062" t="s">
        <v>47113</v>
      </c>
      <c r="L8062">
        <v>18.399999999999999</v>
      </c>
      <c r="M8062">
        <v>37</v>
      </c>
      <c r="N8062">
        <v>0</v>
      </c>
      <c r="O8062">
        <v>37</v>
      </c>
      <c r="P8062">
        <v>0</v>
      </c>
    </row>
    <row r="8063" spans="1:16" x14ac:dyDescent="0.25">
      <c r="A8063" t="s">
        <v>30652</v>
      </c>
      <c r="B8063" t="s">
        <v>20130</v>
      </c>
      <c r="C8063" t="s">
        <v>20131</v>
      </c>
      <c r="D8063" t="str">
        <f>"1451"</f>
        <v>1451</v>
      </c>
      <c r="E8063" t="s">
        <v>20132</v>
      </c>
      <c r="F8063" t="s">
        <v>16933</v>
      </c>
      <c r="G8063" t="s">
        <v>16232</v>
      </c>
      <c r="H8063" t="s">
        <v>47054</v>
      </c>
      <c r="I8063" t="s">
        <v>47118</v>
      </c>
      <c r="J8063" t="s">
        <v>47119</v>
      </c>
      <c r="K8063" t="s">
        <v>47113</v>
      </c>
      <c r="L8063">
        <v>19.440000000000001</v>
      </c>
      <c r="M8063">
        <v>37</v>
      </c>
      <c r="N8063">
        <v>0</v>
      </c>
      <c r="O8063">
        <v>37</v>
      </c>
      <c r="P8063">
        <v>0</v>
      </c>
    </row>
    <row r="8064" spans="1:16" x14ac:dyDescent="0.25">
      <c r="A8064" t="s">
        <v>30653</v>
      </c>
      <c r="B8064" t="s">
        <v>20130</v>
      </c>
      <c r="C8064" t="s">
        <v>20131</v>
      </c>
      <c r="D8064" t="str">
        <f>"4000"</f>
        <v>4000</v>
      </c>
      <c r="E8064" t="s">
        <v>20133</v>
      </c>
      <c r="F8064" t="s">
        <v>16933</v>
      </c>
      <c r="G8064" t="s">
        <v>16232</v>
      </c>
      <c r="H8064" t="s">
        <v>47054</v>
      </c>
      <c r="I8064" t="s">
        <v>47118</v>
      </c>
      <c r="J8064" t="s">
        <v>47119</v>
      </c>
      <c r="K8064" t="s">
        <v>47113</v>
      </c>
      <c r="L8064">
        <v>19.440000000000001</v>
      </c>
      <c r="M8064">
        <v>37</v>
      </c>
      <c r="N8064">
        <v>0</v>
      </c>
      <c r="O8064">
        <v>37</v>
      </c>
      <c r="P8064">
        <v>0</v>
      </c>
    </row>
    <row r="8065" spans="1:16" x14ac:dyDescent="0.25">
      <c r="A8065" t="s">
        <v>30654</v>
      </c>
      <c r="B8065" t="s">
        <v>20130</v>
      </c>
      <c r="C8065" t="s">
        <v>20131</v>
      </c>
      <c r="D8065" t="str">
        <f>"7000"</f>
        <v>7000</v>
      </c>
      <c r="E8065" t="s">
        <v>20134</v>
      </c>
      <c r="F8065" t="s">
        <v>16933</v>
      </c>
      <c r="G8065" t="s">
        <v>16232</v>
      </c>
      <c r="H8065" t="s">
        <v>47054</v>
      </c>
      <c r="I8065" t="s">
        <v>47118</v>
      </c>
      <c r="J8065" t="s">
        <v>47119</v>
      </c>
      <c r="K8065" t="s">
        <v>47113</v>
      </c>
      <c r="L8065">
        <v>19.440000000000001</v>
      </c>
      <c r="M8065">
        <v>37</v>
      </c>
      <c r="N8065">
        <v>0</v>
      </c>
      <c r="O8065">
        <v>37</v>
      </c>
      <c r="P8065">
        <v>0</v>
      </c>
    </row>
    <row r="8066" spans="1:16" x14ac:dyDescent="0.25">
      <c r="A8066" t="s">
        <v>30655</v>
      </c>
      <c r="B8066" t="s">
        <v>20135</v>
      </c>
      <c r="C8066" t="s">
        <v>20136</v>
      </c>
      <c r="D8066" t="str">
        <f>"1001"</f>
        <v>1001</v>
      </c>
      <c r="E8066" t="s">
        <v>42</v>
      </c>
      <c r="F8066" t="s">
        <v>19552</v>
      </c>
      <c r="G8066" t="s">
        <v>16232</v>
      </c>
      <c r="H8066" t="s">
        <v>47054</v>
      </c>
      <c r="I8066" t="s">
        <v>47569</v>
      </c>
      <c r="J8066" t="s">
        <v>47570</v>
      </c>
      <c r="K8066" t="s">
        <v>47113</v>
      </c>
      <c r="L8066">
        <v>21.13</v>
      </c>
      <c r="M8066">
        <v>44</v>
      </c>
      <c r="N8066">
        <v>0</v>
      </c>
      <c r="O8066">
        <v>44</v>
      </c>
      <c r="P8066">
        <v>0</v>
      </c>
    </row>
    <row r="8067" spans="1:16" x14ac:dyDescent="0.25">
      <c r="A8067" t="s">
        <v>30656</v>
      </c>
      <c r="B8067" t="s">
        <v>20135</v>
      </c>
      <c r="C8067" t="s">
        <v>20136</v>
      </c>
      <c r="D8067" t="str">
        <f>"1700"</f>
        <v>1700</v>
      </c>
      <c r="E8067" t="s">
        <v>241</v>
      </c>
      <c r="F8067" t="s">
        <v>19552</v>
      </c>
      <c r="G8067" t="s">
        <v>16232</v>
      </c>
      <c r="H8067" t="s">
        <v>47054</v>
      </c>
      <c r="I8067" t="s">
        <v>47569</v>
      </c>
      <c r="J8067" t="s">
        <v>47570</v>
      </c>
      <c r="K8067" t="s">
        <v>47113</v>
      </c>
      <c r="L8067">
        <v>21.13</v>
      </c>
      <c r="M8067">
        <v>44</v>
      </c>
      <c r="N8067">
        <v>0</v>
      </c>
      <c r="O8067">
        <v>44</v>
      </c>
      <c r="P8067">
        <v>0</v>
      </c>
    </row>
    <row r="8068" spans="1:16" x14ac:dyDescent="0.25">
      <c r="A8068" t="s">
        <v>30657</v>
      </c>
      <c r="B8068" t="s">
        <v>15385</v>
      </c>
      <c r="C8068" t="s">
        <v>15386</v>
      </c>
      <c r="D8068" t="str">
        <f>"4100"</f>
        <v>4100</v>
      </c>
      <c r="E8068" t="s">
        <v>15303</v>
      </c>
      <c r="F8068" t="s">
        <v>15183</v>
      </c>
      <c r="G8068" t="s">
        <v>16230</v>
      </c>
      <c r="H8068" t="s">
        <v>47054</v>
      </c>
      <c r="I8068" t="s">
        <v>47120</v>
      </c>
      <c r="J8068" t="s">
        <v>47121</v>
      </c>
      <c r="K8068" t="s">
        <v>47113</v>
      </c>
      <c r="L8068">
        <v>32.81</v>
      </c>
      <c r="M8068">
        <v>59</v>
      </c>
      <c r="N8068">
        <v>0</v>
      </c>
      <c r="O8068">
        <v>59</v>
      </c>
      <c r="P8068">
        <v>0</v>
      </c>
    </row>
    <row r="8069" spans="1:16" x14ac:dyDescent="0.25">
      <c r="A8069" t="s">
        <v>30658</v>
      </c>
      <c r="B8069" t="s">
        <v>15387</v>
      </c>
      <c r="C8069" t="s">
        <v>15388</v>
      </c>
      <c r="D8069" t="str">
        <f>"1501"</f>
        <v>1501</v>
      </c>
      <c r="E8069" t="s">
        <v>15389</v>
      </c>
      <c r="F8069" t="s">
        <v>15183</v>
      </c>
      <c r="G8069" t="s">
        <v>16235</v>
      </c>
      <c r="I8069" t="s">
        <v>47569</v>
      </c>
      <c r="J8069" t="s">
        <v>47570</v>
      </c>
      <c r="K8069" t="s">
        <v>47113</v>
      </c>
      <c r="L8069">
        <v>27.45</v>
      </c>
      <c r="M8069">
        <v>48</v>
      </c>
      <c r="N8069">
        <v>0</v>
      </c>
      <c r="O8069">
        <v>48</v>
      </c>
      <c r="P8069">
        <v>0</v>
      </c>
    </row>
    <row r="8070" spans="1:16" x14ac:dyDescent="0.25">
      <c r="A8070" t="s">
        <v>17018</v>
      </c>
      <c r="B8070" t="s">
        <v>16304</v>
      </c>
      <c r="C8070" t="s">
        <v>15391</v>
      </c>
      <c r="D8070" t="str">
        <f>"6003"</f>
        <v>6003</v>
      </c>
      <c r="E8070" t="s">
        <v>15366</v>
      </c>
      <c r="F8070" t="s">
        <v>15183</v>
      </c>
      <c r="G8070" t="s">
        <v>46686</v>
      </c>
      <c r="H8070" t="s">
        <v>47054</v>
      </c>
      <c r="I8070" t="s">
        <v>47120</v>
      </c>
      <c r="J8070" t="s">
        <v>47121</v>
      </c>
      <c r="K8070" t="s">
        <v>47113</v>
      </c>
      <c r="L8070">
        <v>59.42</v>
      </c>
      <c r="M8070">
        <v>105</v>
      </c>
      <c r="N8070">
        <v>0</v>
      </c>
      <c r="O8070">
        <v>105</v>
      </c>
      <c r="P8070">
        <v>0</v>
      </c>
    </row>
    <row r="8071" spans="1:16" x14ac:dyDescent="0.25">
      <c r="A8071" t="s">
        <v>30659</v>
      </c>
      <c r="B8071" t="s">
        <v>15390</v>
      </c>
      <c r="C8071" t="s">
        <v>15391</v>
      </c>
      <c r="D8071" t="s">
        <v>15392</v>
      </c>
      <c r="E8071" t="s">
        <v>15393</v>
      </c>
      <c r="F8071" t="s">
        <v>15183</v>
      </c>
      <c r="G8071" t="s">
        <v>16235</v>
      </c>
      <c r="H8071" t="s">
        <v>47054</v>
      </c>
      <c r="I8071" t="s">
        <v>47120</v>
      </c>
      <c r="J8071" t="s">
        <v>47121</v>
      </c>
      <c r="K8071" t="s">
        <v>47113</v>
      </c>
      <c r="L8071">
        <v>39.409999999999997</v>
      </c>
      <c r="M8071">
        <v>92</v>
      </c>
      <c r="N8071">
        <v>0</v>
      </c>
      <c r="O8071">
        <v>92</v>
      </c>
      <c r="P8071">
        <v>0</v>
      </c>
    </row>
    <row r="8072" spans="1:16" x14ac:dyDescent="0.25">
      <c r="A8072" t="s">
        <v>30660</v>
      </c>
      <c r="B8072" t="s">
        <v>17019</v>
      </c>
      <c r="C8072" t="s">
        <v>17020</v>
      </c>
      <c r="D8072" t="str">
        <f>"1501"</f>
        <v>1501</v>
      </c>
      <c r="E8072" t="s">
        <v>16926</v>
      </c>
      <c r="F8072" t="s">
        <v>16810</v>
      </c>
      <c r="G8072" t="s">
        <v>16235</v>
      </c>
      <c r="H8072" t="s">
        <v>47054</v>
      </c>
      <c r="I8072" t="s">
        <v>47118</v>
      </c>
      <c r="J8072" t="s">
        <v>47119</v>
      </c>
      <c r="K8072" t="s">
        <v>47113</v>
      </c>
      <c r="L8072">
        <v>32.96</v>
      </c>
      <c r="M8072">
        <v>66</v>
      </c>
      <c r="N8072">
        <v>0</v>
      </c>
      <c r="O8072">
        <v>66</v>
      </c>
      <c r="P8072">
        <v>0</v>
      </c>
    </row>
    <row r="8073" spans="1:16" x14ac:dyDescent="0.25">
      <c r="A8073" t="s">
        <v>30661</v>
      </c>
      <c r="B8073" t="s">
        <v>15394</v>
      </c>
      <c r="C8073" t="s">
        <v>15395</v>
      </c>
      <c r="D8073" t="str">
        <f>"2000"</f>
        <v>2000</v>
      </c>
      <c r="E8073" t="s">
        <v>15396</v>
      </c>
      <c r="F8073" t="s">
        <v>15183</v>
      </c>
      <c r="G8073" t="s">
        <v>16230</v>
      </c>
      <c r="H8073" t="s">
        <v>47054</v>
      </c>
      <c r="I8073" t="s">
        <v>47120</v>
      </c>
      <c r="J8073" t="s">
        <v>47121</v>
      </c>
      <c r="K8073" t="s">
        <v>47113</v>
      </c>
      <c r="L8073">
        <v>32.39</v>
      </c>
      <c r="M8073">
        <v>59</v>
      </c>
      <c r="N8073">
        <v>0</v>
      </c>
      <c r="O8073">
        <v>59</v>
      </c>
      <c r="P8073">
        <v>0</v>
      </c>
    </row>
    <row r="8074" spans="1:16" x14ac:dyDescent="0.25">
      <c r="A8074" t="s">
        <v>30662</v>
      </c>
      <c r="B8074" t="s">
        <v>16305</v>
      </c>
      <c r="C8074" t="s">
        <v>15395</v>
      </c>
      <c r="D8074" t="str">
        <f>"1254"</f>
        <v>1254</v>
      </c>
      <c r="E8074" t="s">
        <v>6117</v>
      </c>
      <c r="F8074" t="s">
        <v>15183</v>
      </c>
      <c r="G8074" t="s">
        <v>16230</v>
      </c>
      <c r="H8074" t="s">
        <v>47054</v>
      </c>
      <c r="I8074" t="s">
        <v>47120</v>
      </c>
      <c r="J8074" t="s">
        <v>47121</v>
      </c>
      <c r="K8074" t="s">
        <v>47113</v>
      </c>
      <c r="L8074">
        <v>22.54</v>
      </c>
      <c r="M8074">
        <v>59</v>
      </c>
      <c r="N8074">
        <v>0</v>
      </c>
      <c r="O8074">
        <v>59</v>
      </c>
      <c r="P8074">
        <v>0</v>
      </c>
    </row>
    <row r="8075" spans="1:16" x14ac:dyDescent="0.25">
      <c r="A8075" t="s">
        <v>30663</v>
      </c>
      <c r="B8075" t="s">
        <v>15397</v>
      </c>
      <c r="C8075" t="s">
        <v>15395</v>
      </c>
      <c r="D8075" t="str">
        <f>"6003"</f>
        <v>6003</v>
      </c>
      <c r="E8075" t="s">
        <v>15350</v>
      </c>
      <c r="F8075" t="s">
        <v>15183</v>
      </c>
      <c r="G8075" t="s">
        <v>16230</v>
      </c>
      <c r="H8075" t="s">
        <v>47054</v>
      </c>
      <c r="I8075" t="s">
        <v>47120</v>
      </c>
      <c r="J8075" t="s">
        <v>47121</v>
      </c>
      <c r="K8075" t="s">
        <v>47113</v>
      </c>
      <c r="L8075">
        <v>30.04</v>
      </c>
      <c r="M8075">
        <v>59</v>
      </c>
      <c r="N8075">
        <v>0</v>
      </c>
      <c r="O8075">
        <v>59</v>
      </c>
      <c r="P8075">
        <v>0</v>
      </c>
    </row>
    <row r="8076" spans="1:16" x14ac:dyDescent="0.25">
      <c r="A8076" t="s">
        <v>30664</v>
      </c>
      <c r="B8076" t="s">
        <v>15398</v>
      </c>
      <c r="C8076" t="s">
        <v>7976</v>
      </c>
      <c r="D8076" t="str">
        <f>"6000"</f>
        <v>6000</v>
      </c>
      <c r="E8076" t="s">
        <v>15357</v>
      </c>
      <c r="F8076" t="s">
        <v>15183</v>
      </c>
      <c r="G8076" t="s">
        <v>16230</v>
      </c>
      <c r="H8076" t="s">
        <v>47054</v>
      </c>
      <c r="I8076" t="s">
        <v>47120</v>
      </c>
      <c r="J8076" t="s">
        <v>47121</v>
      </c>
      <c r="K8076" t="s">
        <v>47113</v>
      </c>
      <c r="L8076">
        <v>36.75</v>
      </c>
      <c r="M8076">
        <v>59</v>
      </c>
      <c r="N8076">
        <v>0</v>
      </c>
      <c r="O8076">
        <v>59</v>
      </c>
      <c r="P8076">
        <v>0</v>
      </c>
    </row>
    <row r="8077" spans="1:16" x14ac:dyDescent="0.25">
      <c r="A8077" t="s">
        <v>30665</v>
      </c>
      <c r="B8077" t="s">
        <v>20137</v>
      </c>
      <c r="C8077" t="s">
        <v>7976</v>
      </c>
      <c r="D8077" t="str">
        <f>"6000"</f>
        <v>6000</v>
      </c>
      <c r="E8077" t="s">
        <v>20138</v>
      </c>
      <c r="F8077" t="s">
        <v>19878</v>
      </c>
      <c r="G8077" t="s">
        <v>16230</v>
      </c>
      <c r="H8077" t="s">
        <v>47054</v>
      </c>
      <c r="I8077" t="s">
        <v>47120</v>
      </c>
      <c r="J8077" t="s">
        <v>47121</v>
      </c>
      <c r="K8077" t="s">
        <v>47113</v>
      </c>
      <c r="L8077">
        <v>35.82</v>
      </c>
      <c r="M8077">
        <v>89</v>
      </c>
      <c r="N8077">
        <v>0</v>
      </c>
      <c r="O8077">
        <v>89</v>
      </c>
      <c r="P8077">
        <v>0</v>
      </c>
    </row>
    <row r="8078" spans="1:16" x14ac:dyDescent="0.25">
      <c r="A8078" t="s">
        <v>30666</v>
      </c>
      <c r="B8078" t="s">
        <v>15399</v>
      </c>
      <c r="C8078" t="s">
        <v>15400</v>
      </c>
      <c r="D8078" t="str">
        <f>"1106"</f>
        <v>1106</v>
      </c>
      <c r="E8078" t="s">
        <v>460</v>
      </c>
      <c r="F8078" t="s">
        <v>15183</v>
      </c>
      <c r="G8078" t="s">
        <v>16224</v>
      </c>
      <c r="H8078" t="s">
        <v>47054</v>
      </c>
      <c r="I8078" t="s">
        <v>47120</v>
      </c>
      <c r="J8078" t="s">
        <v>47121</v>
      </c>
      <c r="K8078" t="s">
        <v>47113</v>
      </c>
      <c r="L8078">
        <v>112.91</v>
      </c>
      <c r="M8078">
        <v>222</v>
      </c>
      <c r="N8078">
        <v>0</v>
      </c>
      <c r="O8078">
        <v>222</v>
      </c>
      <c r="P8078">
        <v>0</v>
      </c>
    </row>
    <row r="8079" spans="1:16" x14ac:dyDescent="0.25">
      <c r="A8079" t="s">
        <v>30667</v>
      </c>
      <c r="B8079" t="s">
        <v>17021</v>
      </c>
      <c r="C8079" t="s">
        <v>17022</v>
      </c>
      <c r="D8079" t="str">
        <f>"1106"</f>
        <v>1106</v>
      </c>
      <c r="E8079" t="s">
        <v>460</v>
      </c>
      <c r="F8079" t="s">
        <v>16771</v>
      </c>
      <c r="G8079" t="s">
        <v>16448</v>
      </c>
      <c r="H8079" t="s">
        <v>47054</v>
      </c>
      <c r="I8079" t="s">
        <v>47118</v>
      </c>
      <c r="J8079" t="s">
        <v>47119</v>
      </c>
      <c r="K8079" t="s">
        <v>47113</v>
      </c>
      <c r="L8079">
        <v>174.38</v>
      </c>
      <c r="M8079">
        <v>259</v>
      </c>
      <c r="N8079">
        <v>0</v>
      </c>
      <c r="O8079">
        <v>259</v>
      </c>
      <c r="P8079">
        <v>0</v>
      </c>
    </row>
    <row r="8080" spans="1:16" x14ac:dyDescent="0.25">
      <c r="A8080" t="s">
        <v>30668</v>
      </c>
      <c r="B8080" t="s">
        <v>20139</v>
      </c>
      <c r="C8080" t="s">
        <v>20140</v>
      </c>
      <c r="D8080" t="str">
        <f>"1106"</f>
        <v>1106</v>
      </c>
      <c r="E8080" t="s">
        <v>460</v>
      </c>
      <c r="F8080" t="s">
        <v>16623</v>
      </c>
      <c r="G8080" t="s">
        <v>16448</v>
      </c>
      <c r="H8080" t="s">
        <v>47054</v>
      </c>
      <c r="I8080" t="s">
        <v>47118</v>
      </c>
      <c r="J8080" t="s">
        <v>47119</v>
      </c>
      <c r="K8080" t="s">
        <v>47113</v>
      </c>
      <c r="L8080">
        <v>180.34</v>
      </c>
      <c r="M8080">
        <v>346</v>
      </c>
      <c r="N8080">
        <v>0</v>
      </c>
      <c r="O8080">
        <v>346</v>
      </c>
      <c r="P8080">
        <v>0</v>
      </c>
    </row>
    <row r="8081" spans="1:16" x14ac:dyDescent="0.25">
      <c r="A8081" t="s">
        <v>30669</v>
      </c>
      <c r="B8081" t="s">
        <v>15401</v>
      </c>
      <c r="C8081" t="s">
        <v>10466</v>
      </c>
      <c r="D8081" t="str">
        <f>"3000"</f>
        <v>3000</v>
      </c>
      <c r="E8081" t="s">
        <v>15402</v>
      </c>
      <c r="F8081" t="s">
        <v>15183</v>
      </c>
      <c r="G8081" t="s">
        <v>16448</v>
      </c>
      <c r="H8081" t="s">
        <v>47054</v>
      </c>
      <c r="I8081" t="s">
        <v>47120</v>
      </c>
      <c r="J8081" t="s">
        <v>47121</v>
      </c>
      <c r="K8081" t="s">
        <v>47113</v>
      </c>
      <c r="L8081">
        <v>41.75</v>
      </c>
      <c r="M8081">
        <v>111</v>
      </c>
      <c r="N8081">
        <v>0</v>
      </c>
      <c r="O8081">
        <v>111</v>
      </c>
      <c r="P8081">
        <v>0</v>
      </c>
    </row>
    <row r="8082" spans="1:16" x14ac:dyDescent="0.25">
      <c r="A8082" t="s">
        <v>30670</v>
      </c>
      <c r="B8082" t="s">
        <v>15403</v>
      </c>
      <c r="C8082" t="s">
        <v>15344</v>
      </c>
      <c r="D8082" t="str">
        <f>"1106"</f>
        <v>1106</v>
      </c>
      <c r="E8082" t="s">
        <v>460</v>
      </c>
      <c r="F8082" t="s">
        <v>15183</v>
      </c>
      <c r="G8082" t="s">
        <v>16235</v>
      </c>
      <c r="I8082" t="s">
        <v>47118</v>
      </c>
      <c r="J8082" t="s">
        <v>47119</v>
      </c>
      <c r="K8082" t="s">
        <v>47113</v>
      </c>
      <c r="L8082">
        <v>34.630000000000003</v>
      </c>
      <c r="M8082">
        <v>66</v>
      </c>
      <c r="N8082">
        <v>0</v>
      </c>
      <c r="O8082">
        <v>66</v>
      </c>
      <c r="P8082">
        <v>0</v>
      </c>
    </row>
    <row r="8083" spans="1:16" x14ac:dyDescent="0.25">
      <c r="A8083" t="s">
        <v>30671</v>
      </c>
      <c r="B8083" t="s">
        <v>15403</v>
      </c>
      <c r="C8083" t="s">
        <v>15344</v>
      </c>
      <c r="D8083" t="str">
        <f>"6003"</f>
        <v>6003</v>
      </c>
      <c r="E8083" t="s">
        <v>15366</v>
      </c>
      <c r="F8083" t="s">
        <v>15183</v>
      </c>
      <c r="G8083" t="s">
        <v>16235</v>
      </c>
      <c r="I8083" t="s">
        <v>47118</v>
      </c>
      <c r="J8083" t="s">
        <v>47119</v>
      </c>
      <c r="K8083" t="s">
        <v>47113</v>
      </c>
      <c r="L8083">
        <v>34.630000000000003</v>
      </c>
      <c r="M8083">
        <v>66</v>
      </c>
      <c r="N8083">
        <v>0</v>
      </c>
      <c r="O8083">
        <v>66</v>
      </c>
      <c r="P8083">
        <v>0</v>
      </c>
    </row>
    <row r="8084" spans="1:16" x14ac:dyDescent="0.25">
      <c r="A8084" t="s">
        <v>30672</v>
      </c>
      <c r="B8084" t="s">
        <v>15404</v>
      </c>
      <c r="C8084" t="s">
        <v>15405</v>
      </c>
      <c r="D8084" t="str">
        <f>"1106"</f>
        <v>1106</v>
      </c>
      <c r="E8084" t="s">
        <v>460</v>
      </c>
      <c r="F8084" t="s">
        <v>15183</v>
      </c>
      <c r="G8084" t="s">
        <v>16448</v>
      </c>
      <c r="H8084" t="s">
        <v>47054</v>
      </c>
      <c r="I8084" t="s">
        <v>47120</v>
      </c>
      <c r="J8084" t="s">
        <v>47121</v>
      </c>
      <c r="K8084" t="s">
        <v>47113</v>
      </c>
      <c r="L8084">
        <v>77.75</v>
      </c>
      <c r="M8084">
        <v>148</v>
      </c>
      <c r="N8084">
        <v>0</v>
      </c>
      <c r="O8084">
        <v>148</v>
      </c>
      <c r="P8084">
        <v>0</v>
      </c>
    </row>
    <row r="8085" spans="1:16" x14ac:dyDescent="0.25">
      <c r="A8085" t="s">
        <v>30673</v>
      </c>
      <c r="B8085" t="s">
        <v>15406</v>
      </c>
      <c r="C8085" t="s">
        <v>4772</v>
      </c>
      <c r="D8085" t="str">
        <f>"1106"</f>
        <v>1106</v>
      </c>
      <c r="E8085" t="s">
        <v>460</v>
      </c>
      <c r="F8085" t="s">
        <v>15183</v>
      </c>
      <c r="G8085" t="s">
        <v>16448</v>
      </c>
      <c r="H8085" t="s">
        <v>47054</v>
      </c>
      <c r="I8085" t="s">
        <v>47120</v>
      </c>
      <c r="J8085" t="s">
        <v>47121</v>
      </c>
      <c r="K8085" t="s">
        <v>47113</v>
      </c>
      <c r="L8085">
        <v>64.010000000000005</v>
      </c>
      <c r="M8085">
        <v>129</v>
      </c>
      <c r="N8085">
        <v>0</v>
      </c>
      <c r="O8085">
        <v>129</v>
      </c>
      <c r="P8085">
        <v>0</v>
      </c>
    </row>
    <row r="8086" spans="1:16" x14ac:dyDescent="0.25">
      <c r="A8086" t="s">
        <v>30674</v>
      </c>
      <c r="B8086" t="s">
        <v>15407</v>
      </c>
      <c r="C8086" t="s">
        <v>15408</v>
      </c>
      <c r="D8086" t="str">
        <f>"1501"</f>
        <v>1501</v>
      </c>
      <c r="E8086" t="s">
        <v>46</v>
      </c>
      <c r="F8086" t="s">
        <v>15183</v>
      </c>
      <c r="G8086" t="s">
        <v>16235</v>
      </c>
      <c r="H8086" t="s">
        <v>47054</v>
      </c>
      <c r="I8086" t="s">
        <v>47569</v>
      </c>
      <c r="J8086" t="s">
        <v>47570</v>
      </c>
      <c r="K8086" t="s">
        <v>47113</v>
      </c>
      <c r="L8086">
        <v>24.22</v>
      </c>
      <c r="M8086">
        <v>59</v>
      </c>
      <c r="N8086">
        <v>0</v>
      </c>
      <c r="O8086">
        <v>59</v>
      </c>
      <c r="P8086">
        <v>0</v>
      </c>
    </row>
    <row r="8087" spans="1:16" x14ac:dyDescent="0.25">
      <c r="A8087" t="s">
        <v>30675</v>
      </c>
      <c r="B8087" t="s">
        <v>17023</v>
      </c>
      <c r="C8087" t="s">
        <v>15408</v>
      </c>
      <c r="D8087" t="str">
        <f>"1501"</f>
        <v>1501</v>
      </c>
      <c r="E8087" t="s">
        <v>46</v>
      </c>
      <c r="F8087" t="s">
        <v>16746</v>
      </c>
      <c r="G8087" t="s">
        <v>16235</v>
      </c>
      <c r="H8087" t="s">
        <v>47054</v>
      </c>
      <c r="I8087" t="s">
        <v>47118</v>
      </c>
      <c r="J8087" t="s">
        <v>47119</v>
      </c>
      <c r="K8087" t="s">
        <v>47113</v>
      </c>
      <c r="L8087">
        <v>31.12</v>
      </c>
      <c r="M8087">
        <v>63</v>
      </c>
      <c r="N8087">
        <v>0</v>
      </c>
      <c r="O8087">
        <v>63</v>
      </c>
      <c r="P8087">
        <v>0</v>
      </c>
    </row>
    <row r="8088" spans="1:16" x14ac:dyDescent="0.25">
      <c r="A8088" t="s">
        <v>30676</v>
      </c>
      <c r="B8088" t="s">
        <v>17024</v>
      </c>
      <c r="C8088" t="s">
        <v>15408</v>
      </c>
      <c r="D8088" t="str">
        <f>"1001"</f>
        <v>1001</v>
      </c>
      <c r="E8088" t="s">
        <v>773</v>
      </c>
      <c r="F8088" t="s">
        <v>16746</v>
      </c>
      <c r="G8088" t="s">
        <v>16235</v>
      </c>
      <c r="H8088" t="s">
        <v>47054</v>
      </c>
      <c r="I8088" t="s">
        <v>47118</v>
      </c>
      <c r="J8088" t="s">
        <v>47119</v>
      </c>
      <c r="K8088" t="s">
        <v>47113</v>
      </c>
      <c r="L8088">
        <v>32.96</v>
      </c>
      <c r="M8088">
        <v>66</v>
      </c>
      <c r="N8088">
        <v>0</v>
      </c>
      <c r="O8088">
        <v>66</v>
      </c>
      <c r="P8088">
        <v>0</v>
      </c>
    </row>
    <row r="8089" spans="1:16" x14ac:dyDescent="0.25">
      <c r="A8089" t="s">
        <v>30677</v>
      </c>
      <c r="B8089" t="s">
        <v>17024</v>
      </c>
      <c r="C8089" t="s">
        <v>15408</v>
      </c>
      <c r="D8089" t="str">
        <f>"1700"</f>
        <v>1700</v>
      </c>
      <c r="E8089" t="s">
        <v>1999</v>
      </c>
      <c r="F8089" t="s">
        <v>16746</v>
      </c>
      <c r="G8089" t="s">
        <v>16235</v>
      </c>
      <c r="H8089" t="s">
        <v>47054</v>
      </c>
      <c r="I8089" t="s">
        <v>47118</v>
      </c>
      <c r="J8089" t="s">
        <v>47119</v>
      </c>
      <c r="K8089" t="s">
        <v>47113</v>
      </c>
      <c r="L8089">
        <v>32.96</v>
      </c>
      <c r="M8089">
        <v>66</v>
      </c>
      <c r="N8089">
        <v>0</v>
      </c>
      <c r="O8089">
        <v>66</v>
      </c>
      <c r="P8089">
        <v>0</v>
      </c>
    </row>
    <row r="8090" spans="1:16" x14ac:dyDescent="0.25">
      <c r="A8090" t="s">
        <v>30678</v>
      </c>
      <c r="B8090" t="s">
        <v>15409</v>
      </c>
      <c r="C8090" t="s">
        <v>15410</v>
      </c>
      <c r="D8090" t="str">
        <f>"1106"</f>
        <v>1106</v>
      </c>
      <c r="E8090" t="s">
        <v>460</v>
      </c>
      <c r="F8090" t="s">
        <v>15183</v>
      </c>
      <c r="G8090" t="s">
        <v>16235</v>
      </c>
      <c r="H8090" t="s">
        <v>47054</v>
      </c>
      <c r="I8090" t="s">
        <v>47569</v>
      </c>
      <c r="J8090" t="s">
        <v>47570</v>
      </c>
      <c r="K8090" t="s">
        <v>47113</v>
      </c>
      <c r="L8090">
        <v>25.26</v>
      </c>
      <c r="M8090">
        <v>59</v>
      </c>
      <c r="N8090">
        <v>0</v>
      </c>
      <c r="O8090">
        <v>59</v>
      </c>
      <c r="P8090">
        <v>0</v>
      </c>
    </row>
    <row r="8091" spans="1:16" x14ac:dyDescent="0.25">
      <c r="A8091" t="s">
        <v>30679</v>
      </c>
      <c r="B8091" t="s">
        <v>15411</v>
      </c>
      <c r="C8091" t="s">
        <v>15412</v>
      </c>
      <c r="D8091" t="str">
        <f>"4100"</f>
        <v>4100</v>
      </c>
      <c r="E8091" t="s">
        <v>15303</v>
      </c>
      <c r="F8091" t="s">
        <v>15183</v>
      </c>
      <c r="G8091" t="s">
        <v>16221</v>
      </c>
      <c r="H8091" t="s">
        <v>47054</v>
      </c>
      <c r="I8091" t="s">
        <v>47118</v>
      </c>
      <c r="J8091" t="s">
        <v>47119</v>
      </c>
      <c r="K8091" t="s">
        <v>47113</v>
      </c>
      <c r="L8091">
        <v>21.97</v>
      </c>
      <c r="M8091">
        <v>37</v>
      </c>
      <c r="N8091">
        <v>0</v>
      </c>
      <c r="O8091">
        <v>37</v>
      </c>
      <c r="P8091">
        <v>0</v>
      </c>
    </row>
    <row r="8092" spans="1:16" x14ac:dyDescent="0.25">
      <c r="A8092" t="s">
        <v>30680</v>
      </c>
      <c r="B8092" t="s">
        <v>30681</v>
      </c>
      <c r="C8092" t="s">
        <v>30682</v>
      </c>
      <c r="D8092" t="str">
        <f>"1001"</f>
        <v>1001</v>
      </c>
      <c r="E8092" t="s">
        <v>17350</v>
      </c>
      <c r="F8092" t="s">
        <v>19878</v>
      </c>
      <c r="G8092" t="s">
        <v>16232</v>
      </c>
      <c r="H8092" t="s">
        <v>47054</v>
      </c>
      <c r="I8092" t="s">
        <v>47120</v>
      </c>
      <c r="J8092" t="s">
        <v>47121</v>
      </c>
      <c r="K8092" t="s">
        <v>47113</v>
      </c>
      <c r="L8092">
        <v>13.3</v>
      </c>
      <c r="M8092">
        <v>29</v>
      </c>
      <c r="N8092">
        <v>0</v>
      </c>
      <c r="O8092">
        <v>29</v>
      </c>
      <c r="P8092">
        <v>0</v>
      </c>
    </row>
    <row r="8093" spans="1:16" x14ac:dyDescent="0.25">
      <c r="A8093" t="s">
        <v>30683</v>
      </c>
      <c r="B8093" t="s">
        <v>30681</v>
      </c>
      <c r="C8093" t="s">
        <v>30682</v>
      </c>
      <c r="D8093" t="str">
        <f>"1700"</f>
        <v>1700</v>
      </c>
      <c r="E8093" t="s">
        <v>30684</v>
      </c>
      <c r="F8093" t="s">
        <v>19878</v>
      </c>
      <c r="G8093" t="s">
        <v>16232</v>
      </c>
      <c r="H8093" t="s">
        <v>47054</v>
      </c>
      <c r="I8093" t="s">
        <v>47120</v>
      </c>
      <c r="J8093" t="s">
        <v>47121</v>
      </c>
      <c r="K8093" t="s">
        <v>47113</v>
      </c>
      <c r="L8093">
        <v>12.3</v>
      </c>
      <c r="M8093">
        <v>29</v>
      </c>
      <c r="N8093">
        <v>0</v>
      </c>
      <c r="O8093">
        <v>29</v>
      </c>
      <c r="P8093">
        <v>0</v>
      </c>
    </row>
    <row r="8094" spans="1:16" x14ac:dyDescent="0.25">
      <c r="A8094" t="s">
        <v>30685</v>
      </c>
      <c r="B8094" t="s">
        <v>30681</v>
      </c>
      <c r="C8094" t="s">
        <v>30682</v>
      </c>
      <c r="D8094" t="str">
        <f>"3196"</f>
        <v>3196</v>
      </c>
      <c r="E8094" t="s">
        <v>230</v>
      </c>
      <c r="F8094" t="s">
        <v>19878</v>
      </c>
      <c r="G8094" t="s">
        <v>16232</v>
      </c>
      <c r="H8094" t="s">
        <v>47054</v>
      </c>
      <c r="I8094" t="s">
        <v>47120</v>
      </c>
      <c r="J8094" t="s">
        <v>47121</v>
      </c>
      <c r="K8094" t="s">
        <v>47113</v>
      </c>
      <c r="L8094">
        <v>13.3</v>
      </c>
      <c r="M8094">
        <v>29</v>
      </c>
      <c r="N8094">
        <v>0</v>
      </c>
      <c r="O8094">
        <v>29</v>
      </c>
      <c r="P8094">
        <v>0</v>
      </c>
    </row>
    <row r="8095" spans="1:16" x14ac:dyDescent="0.25">
      <c r="A8095" t="s">
        <v>30686</v>
      </c>
      <c r="B8095" t="s">
        <v>30687</v>
      </c>
      <c r="C8095" t="s">
        <v>30688</v>
      </c>
      <c r="D8095" t="str">
        <f>"1001"</f>
        <v>1001</v>
      </c>
      <c r="E8095" t="s">
        <v>17350</v>
      </c>
      <c r="F8095" t="s">
        <v>19878</v>
      </c>
      <c r="G8095" t="s">
        <v>16235</v>
      </c>
      <c r="H8095" t="s">
        <v>47054</v>
      </c>
      <c r="I8095" t="s">
        <v>47120</v>
      </c>
      <c r="J8095" t="s">
        <v>47121</v>
      </c>
      <c r="K8095" t="s">
        <v>47113</v>
      </c>
      <c r="L8095">
        <v>37.47</v>
      </c>
      <c r="M8095">
        <v>66</v>
      </c>
      <c r="N8095">
        <v>0</v>
      </c>
      <c r="O8095">
        <v>66</v>
      </c>
      <c r="P8095">
        <v>0</v>
      </c>
    </row>
    <row r="8096" spans="1:16" x14ac:dyDescent="0.25">
      <c r="A8096" t="s">
        <v>30689</v>
      </c>
      <c r="B8096" t="s">
        <v>30687</v>
      </c>
      <c r="C8096" t="s">
        <v>30688</v>
      </c>
      <c r="D8096" t="str">
        <f>"1700"</f>
        <v>1700</v>
      </c>
      <c r="E8096" t="s">
        <v>30684</v>
      </c>
      <c r="F8096" t="s">
        <v>19878</v>
      </c>
      <c r="G8096" t="s">
        <v>16235</v>
      </c>
      <c r="H8096" t="s">
        <v>47054</v>
      </c>
      <c r="I8096" t="s">
        <v>47120</v>
      </c>
      <c r="J8096" t="s">
        <v>47121</v>
      </c>
      <c r="K8096" t="s">
        <v>47113</v>
      </c>
      <c r="L8096">
        <v>37.47</v>
      </c>
      <c r="M8096">
        <v>66</v>
      </c>
      <c r="N8096">
        <v>0</v>
      </c>
      <c r="O8096">
        <v>66</v>
      </c>
      <c r="P8096">
        <v>0</v>
      </c>
    </row>
    <row r="8097" spans="1:16" x14ac:dyDescent="0.25">
      <c r="A8097" t="s">
        <v>30690</v>
      </c>
      <c r="B8097" t="s">
        <v>30691</v>
      </c>
      <c r="C8097" t="s">
        <v>30692</v>
      </c>
      <c r="D8097" t="str">
        <f>"1001"</f>
        <v>1001</v>
      </c>
      <c r="E8097" t="s">
        <v>17350</v>
      </c>
      <c r="F8097" t="s">
        <v>19878</v>
      </c>
      <c r="G8097" t="s">
        <v>16232</v>
      </c>
      <c r="H8097" t="s">
        <v>47054</v>
      </c>
      <c r="I8097" t="s">
        <v>47120</v>
      </c>
      <c r="J8097" t="s">
        <v>47121</v>
      </c>
      <c r="K8097" t="s">
        <v>47113</v>
      </c>
      <c r="L8097">
        <v>25.13</v>
      </c>
      <c r="M8097">
        <v>43</v>
      </c>
      <c r="N8097">
        <v>0</v>
      </c>
      <c r="O8097">
        <v>43</v>
      </c>
      <c r="P8097">
        <v>0</v>
      </c>
    </row>
    <row r="8098" spans="1:16" x14ac:dyDescent="0.25">
      <c r="A8098" t="s">
        <v>30693</v>
      </c>
      <c r="B8098" t="s">
        <v>30691</v>
      </c>
      <c r="C8098" t="s">
        <v>30692</v>
      </c>
      <c r="D8098" t="str">
        <f>"3196"</f>
        <v>3196</v>
      </c>
      <c r="E8098" t="s">
        <v>230</v>
      </c>
      <c r="F8098" t="s">
        <v>19878</v>
      </c>
      <c r="G8098" t="s">
        <v>16232</v>
      </c>
      <c r="H8098" t="s">
        <v>47054</v>
      </c>
      <c r="I8098" t="s">
        <v>47120</v>
      </c>
      <c r="J8098" t="s">
        <v>47121</v>
      </c>
      <c r="K8098" t="s">
        <v>47113</v>
      </c>
      <c r="L8098">
        <v>25.13</v>
      </c>
      <c r="M8098">
        <v>43</v>
      </c>
      <c r="N8098">
        <v>0</v>
      </c>
      <c r="O8098">
        <v>43</v>
      </c>
      <c r="P8098">
        <v>0</v>
      </c>
    </row>
    <row r="8099" spans="1:16" x14ac:dyDescent="0.25">
      <c r="A8099" t="s">
        <v>30694</v>
      </c>
      <c r="B8099" t="s">
        <v>15413</v>
      </c>
      <c r="C8099" t="s">
        <v>15414</v>
      </c>
      <c r="D8099" t="str">
        <f>"4100"</f>
        <v>4100</v>
      </c>
      <c r="E8099" t="s">
        <v>15303</v>
      </c>
      <c r="F8099" t="s">
        <v>15183</v>
      </c>
      <c r="G8099" t="s">
        <v>16230</v>
      </c>
      <c r="I8099" t="s">
        <v>47120</v>
      </c>
      <c r="J8099" t="s">
        <v>47121</v>
      </c>
      <c r="K8099" t="s">
        <v>47113</v>
      </c>
      <c r="L8099">
        <v>40.36</v>
      </c>
      <c r="M8099">
        <v>66</v>
      </c>
      <c r="N8099">
        <v>0</v>
      </c>
      <c r="O8099">
        <v>66</v>
      </c>
      <c r="P8099">
        <v>0</v>
      </c>
    </row>
    <row r="8100" spans="1:16" x14ac:dyDescent="0.25">
      <c r="A8100" t="s">
        <v>30695</v>
      </c>
      <c r="B8100" t="s">
        <v>15415</v>
      </c>
      <c r="C8100" t="s">
        <v>15416</v>
      </c>
      <c r="D8100" t="str">
        <f>"4002"</f>
        <v>4002</v>
      </c>
      <c r="E8100" t="s">
        <v>15303</v>
      </c>
      <c r="F8100" t="s">
        <v>15183</v>
      </c>
      <c r="G8100" t="s">
        <v>16235</v>
      </c>
      <c r="H8100" t="s">
        <v>47054</v>
      </c>
      <c r="I8100" t="s">
        <v>47120</v>
      </c>
      <c r="J8100" t="s">
        <v>47121</v>
      </c>
      <c r="K8100" t="s">
        <v>47113</v>
      </c>
      <c r="L8100">
        <v>36.58</v>
      </c>
      <c r="M8100">
        <v>74</v>
      </c>
      <c r="N8100">
        <v>0</v>
      </c>
      <c r="O8100">
        <v>74</v>
      </c>
      <c r="P8100">
        <v>0</v>
      </c>
    </row>
    <row r="8101" spans="1:16" x14ac:dyDescent="0.25">
      <c r="A8101" t="s">
        <v>30696</v>
      </c>
      <c r="B8101" t="s">
        <v>15417</v>
      </c>
      <c r="C8101" t="s">
        <v>17025</v>
      </c>
      <c r="D8101" t="s">
        <v>15418</v>
      </c>
      <c r="E8101" t="s">
        <v>15419</v>
      </c>
      <c r="F8101" t="s">
        <v>15183</v>
      </c>
      <c r="G8101" t="s">
        <v>16231</v>
      </c>
      <c r="H8101" t="s">
        <v>47054</v>
      </c>
      <c r="I8101" t="s">
        <v>47111</v>
      </c>
      <c r="J8101" t="s">
        <v>47112</v>
      </c>
      <c r="K8101" t="s">
        <v>47113</v>
      </c>
      <c r="L8101">
        <v>41.14</v>
      </c>
      <c r="M8101">
        <v>95</v>
      </c>
      <c r="N8101">
        <v>0</v>
      </c>
      <c r="O8101">
        <v>95</v>
      </c>
      <c r="P8101">
        <v>0</v>
      </c>
    </row>
    <row r="8102" spans="1:16" x14ac:dyDescent="0.25">
      <c r="A8102" t="s">
        <v>30697</v>
      </c>
      <c r="B8102" t="s">
        <v>15420</v>
      </c>
      <c r="C8102" t="s">
        <v>15421</v>
      </c>
      <c r="D8102" t="s">
        <v>15256</v>
      </c>
      <c r="E8102" t="s">
        <v>15257</v>
      </c>
      <c r="F8102" t="s">
        <v>15183</v>
      </c>
      <c r="G8102" t="s">
        <v>16231</v>
      </c>
      <c r="H8102" t="s">
        <v>47054</v>
      </c>
      <c r="I8102" t="s">
        <v>47111</v>
      </c>
      <c r="J8102" t="s">
        <v>47112</v>
      </c>
      <c r="K8102" t="s">
        <v>47113</v>
      </c>
      <c r="L8102">
        <v>45.58</v>
      </c>
      <c r="M8102">
        <v>111</v>
      </c>
      <c r="N8102">
        <v>0</v>
      </c>
      <c r="O8102">
        <v>111</v>
      </c>
      <c r="P8102">
        <v>0</v>
      </c>
    </row>
    <row r="8103" spans="1:16" x14ac:dyDescent="0.25">
      <c r="A8103" t="s">
        <v>30698</v>
      </c>
      <c r="B8103" t="s">
        <v>15422</v>
      </c>
      <c r="C8103" t="s">
        <v>16411</v>
      </c>
      <c r="D8103" t="str">
        <f>"1106"</f>
        <v>1106</v>
      </c>
      <c r="E8103" t="s">
        <v>460</v>
      </c>
      <c r="F8103" t="s">
        <v>15183</v>
      </c>
      <c r="G8103" t="s">
        <v>16232</v>
      </c>
      <c r="H8103" t="s">
        <v>47054</v>
      </c>
      <c r="I8103" t="s">
        <v>47569</v>
      </c>
      <c r="J8103" t="s">
        <v>47570</v>
      </c>
      <c r="K8103" t="s">
        <v>47113</v>
      </c>
      <c r="L8103">
        <v>10.36</v>
      </c>
      <c r="M8103">
        <v>22</v>
      </c>
      <c r="N8103">
        <v>0</v>
      </c>
      <c r="O8103">
        <v>22</v>
      </c>
      <c r="P8103">
        <v>0</v>
      </c>
    </row>
    <row r="8104" spans="1:16" x14ac:dyDescent="0.25">
      <c r="A8104" t="s">
        <v>30699</v>
      </c>
      <c r="B8104" t="s">
        <v>15422</v>
      </c>
      <c r="C8104" t="s">
        <v>16411</v>
      </c>
      <c r="D8104" t="str">
        <f>"1800"</f>
        <v>1800</v>
      </c>
      <c r="E8104" t="s">
        <v>1999</v>
      </c>
      <c r="F8104" t="s">
        <v>15183</v>
      </c>
      <c r="G8104" t="s">
        <v>16232</v>
      </c>
      <c r="H8104" t="s">
        <v>47054</v>
      </c>
      <c r="I8104" t="s">
        <v>47569</v>
      </c>
      <c r="J8104" t="s">
        <v>47570</v>
      </c>
      <c r="K8104" t="s">
        <v>47113</v>
      </c>
      <c r="L8104">
        <v>10.36</v>
      </c>
      <c r="M8104">
        <v>22</v>
      </c>
      <c r="N8104">
        <v>0</v>
      </c>
      <c r="O8104">
        <v>22</v>
      </c>
      <c r="P8104">
        <v>0</v>
      </c>
    </row>
    <row r="8105" spans="1:16" x14ac:dyDescent="0.25">
      <c r="A8105" t="s">
        <v>30700</v>
      </c>
      <c r="B8105" t="s">
        <v>15422</v>
      </c>
      <c r="C8105" t="s">
        <v>16411</v>
      </c>
      <c r="D8105" t="str">
        <f>"3000"</f>
        <v>3000</v>
      </c>
      <c r="E8105" t="s">
        <v>17026</v>
      </c>
      <c r="F8105" t="s">
        <v>16810</v>
      </c>
      <c r="G8105" t="s">
        <v>16232</v>
      </c>
      <c r="H8105" t="s">
        <v>47054</v>
      </c>
      <c r="I8105" t="s">
        <v>47569</v>
      </c>
      <c r="J8105" t="s">
        <v>47570</v>
      </c>
      <c r="K8105" t="s">
        <v>47113</v>
      </c>
      <c r="L8105">
        <v>12.71</v>
      </c>
      <c r="M8105">
        <v>26</v>
      </c>
      <c r="N8105">
        <v>0</v>
      </c>
      <c r="O8105">
        <v>26</v>
      </c>
      <c r="P8105">
        <v>0</v>
      </c>
    </row>
    <row r="8106" spans="1:16" x14ac:dyDescent="0.25">
      <c r="A8106" t="s">
        <v>30701</v>
      </c>
      <c r="B8106" t="s">
        <v>15422</v>
      </c>
      <c r="C8106" t="s">
        <v>16411</v>
      </c>
      <c r="D8106" t="str">
        <f>"3071"</f>
        <v>3071</v>
      </c>
      <c r="E8106" t="s">
        <v>16876</v>
      </c>
      <c r="F8106" t="s">
        <v>16810</v>
      </c>
      <c r="G8106" t="s">
        <v>16232</v>
      </c>
      <c r="H8106" t="s">
        <v>47054</v>
      </c>
      <c r="I8106" t="s">
        <v>47569</v>
      </c>
      <c r="J8106" t="s">
        <v>47570</v>
      </c>
      <c r="K8106" t="s">
        <v>47113</v>
      </c>
      <c r="L8106">
        <v>12.71</v>
      </c>
      <c r="M8106">
        <v>26</v>
      </c>
      <c r="N8106">
        <v>0</v>
      </c>
      <c r="O8106">
        <v>26</v>
      </c>
      <c r="P8106">
        <v>0</v>
      </c>
    </row>
    <row r="8107" spans="1:16" x14ac:dyDescent="0.25">
      <c r="A8107" t="s">
        <v>30702</v>
      </c>
      <c r="B8107" t="s">
        <v>15422</v>
      </c>
      <c r="C8107" t="s">
        <v>16411</v>
      </c>
      <c r="D8107" t="str">
        <f>"4000"</f>
        <v>4000</v>
      </c>
      <c r="E8107" t="s">
        <v>220</v>
      </c>
      <c r="F8107" t="s">
        <v>16810</v>
      </c>
      <c r="G8107" t="s">
        <v>16232</v>
      </c>
      <c r="H8107" t="s">
        <v>47054</v>
      </c>
      <c r="I8107" t="s">
        <v>47569</v>
      </c>
      <c r="J8107" t="s">
        <v>47570</v>
      </c>
      <c r="K8107" t="s">
        <v>47113</v>
      </c>
      <c r="L8107">
        <v>12.93</v>
      </c>
      <c r="M8107">
        <v>26</v>
      </c>
      <c r="N8107">
        <v>0</v>
      </c>
      <c r="O8107">
        <v>26</v>
      </c>
      <c r="P8107">
        <v>0</v>
      </c>
    </row>
    <row r="8108" spans="1:16" x14ac:dyDescent="0.25">
      <c r="A8108" t="s">
        <v>30703</v>
      </c>
      <c r="B8108" t="s">
        <v>15422</v>
      </c>
      <c r="C8108" t="s">
        <v>16411</v>
      </c>
      <c r="D8108" t="str">
        <f>"4059"</f>
        <v>4059</v>
      </c>
      <c r="E8108" t="s">
        <v>17027</v>
      </c>
      <c r="F8108" t="s">
        <v>16810</v>
      </c>
      <c r="G8108" t="s">
        <v>16232</v>
      </c>
      <c r="H8108" t="s">
        <v>47054</v>
      </c>
      <c r="I8108" t="s">
        <v>47569</v>
      </c>
      <c r="J8108" t="s">
        <v>47570</v>
      </c>
      <c r="K8108" t="s">
        <v>47113</v>
      </c>
      <c r="L8108">
        <v>12.71</v>
      </c>
      <c r="M8108">
        <v>26</v>
      </c>
      <c r="N8108">
        <v>0</v>
      </c>
      <c r="O8108">
        <v>26</v>
      </c>
      <c r="P8108">
        <v>0</v>
      </c>
    </row>
    <row r="8109" spans="1:16" x14ac:dyDescent="0.25">
      <c r="A8109" t="s">
        <v>30704</v>
      </c>
      <c r="B8109" t="s">
        <v>15422</v>
      </c>
      <c r="C8109" t="s">
        <v>16411</v>
      </c>
      <c r="D8109" t="str">
        <f>"4403"</f>
        <v>4403</v>
      </c>
      <c r="E8109" t="s">
        <v>1112</v>
      </c>
      <c r="F8109" t="s">
        <v>15183</v>
      </c>
      <c r="G8109" t="s">
        <v>16232</v>
      </c>
      <c r="H8109" t="s">
        <v>47054</v>
      </c>
      <c r="I8109" t="s">
        <v>47569</v>
      </c>
      <c r="J8109" t="s">
        <v>47570</v>
      </c>
      <c r="K8109" t="s">
        <v>47113</v>
      </c>
      <c r="L8109">
        <v>10.36</v>
      </c>
      <c r="M8109">
        <v>22</v>
      </c>
      <c r="N8109">
        <v>0</v>
      </c>
      <c r="O8109">
        <v>22</v>
      </c>
      <c r="P8109">
        <v>0</v>
      </c>
    </row>
    <row r="8110" spans="1:16" x14ac:dyDescent="0.25">
      <c r="A8110" t="s">
        <v>30705</v>
      </c>
      <c r="B8110" t="s">
        <v>15422</v>
      </c>
      <c r="C8110" t="s">
        <v>16411</v>
      </c>
      <c r="D8110" t="str">
        <f>"6000"</f>
        <v>6000</v>
      </c>
      <c r="E8110" t="s">
        <v>7168</v>
      </c>
      <c r="F8110" t="s">
        <v>16810</v>
      </c>
      <c r="G8110" t="s">
        <v>16232</v>
      </c>
      <c r="H8110" t="s">
        <v>47054</v>
      </c>
      <c r="I8110" t="s">
        <v>47569</v>
      </c>
      <c r="J8110" t="s">
        <v>47570</v>
      </c>
      <c r="K8110" t="s">
        <v>47113</v>
      </c>
      <c r="L8110">
        <v>12.71</v>
      </c>
      <c r="M8110">
        <v>26</v>
      </c>
      <c r="N8110">
        <v>0</v>
      </c>
      <c r="O8110">
        <v>26</v>
      </c>
      <c r="P8110">
        <v>0</v>
      </c>
    </row>
    <row r="8111" spans="1:16" x14ac:dyDescent="0.25">
      <c r="A8111" t="s">
        <v>30706</v>
      </c>
      <c r="B8111" t="s">
        <v>15422</v>
      </c>
      <c r="C8111" t="s">
        <v>16411</v>
      </c>
      <c r="D8111" t="str">
        <f>"6003"</f>
        <v>6003</v>
      </c>
      <c r="E8111" t="s">
        <v>15366</v>
      </c>
      <c r="F8111" t="s">
        <v>15183</v>
      </c>
      <c r="G8111" t="s">
        <v>16232</v>
      </c>
      <c r="H8111" t="s">
        <v>47054</v>
      </c>
      <c r="I8111" t="s">
        <v>47569</v>
      </c>
      <c r="J8111" t="s">
        <v>47570</v>
      </c>
      <c r="K8111" t="s">
        <v>47113</v>
      </c>
      <c r="L8111">
        <v>10.36</v>
      </c>
      <c r="M8111">
        <v>22</v>
      </c>
      <c r="N8111">
        <v>0</v>
      </c>
      <c r="O8111">
        <v>22</v>
      </c>
      <c r="P8111">
        <v>0</v>
      </c>
    </row>
    <row r="8112" spans="1:16" x14ac:dyDescent="0.25">
      <c r="A8112" t="s">
        <v>30707</v>
      </c>
      <c r="B8112" t="s">
        <v>20141</v>
      </c>
      <c r="C8112" t="s">
        <v>16411</v>
      </c>
      <c r="D8112" t="str">
        <f>"1106"</f>
        <v>1106</v>
      </c>
      <c r="E8112" t="s">
        <v>42</v>
      </c>
      <c r="F8112" t="s">
        <v>19559</v>
      </c>
      <c r="G8112" t="s">
        <v>16232</v>
      </c>
      <c r="H8112" t="s">
        <v>47054</v>
      </c>
      <c r="I8112" t="s">
        <v>47154</v>
      </c>
      <c r="J8112" t="s">
        <v>47155</v>
      </c>
      <c r="K8112" t="s">
        <v>47113</v>
      </c>
      <c r="L8112">
        <v>9.16</v>
      </c>
      <c r="M8112">
        <v>37</v>
      </c>
      <c r="N8112">
        <v>0</v>
      </c>
      <c r="O8112">
        <v>37</v>
      </c>
      <c r="P8112">
        <v>0</v>
      </c>
    </row>
    <row r="8113" spans="1:16" x14ac:dyDescent="0.25">
      <c r="A8113" t="s">
        <v>30708</v>
      </c>
      <c r="B8113" t="s">
        <v>20141</v>
      </c>
      <c r="C8113" t="s">
        <v>16411</v>
      </c>
      <c r="D8113" t="str">
        <f>"1800"</f>
        <v>1800</v>
      </c>
      <c r="E8113" t="s">
        <v>1999</v>
      </c>
      <c r="F8113" t="s">
        <v>19559</v>
      </c>
      <c r="G8113" t="s">
        <v>16232</v>
      </c>
      <c r="H8113" t="s">
        <v>47054</v>
      </c>
      <c r="I8113" t="s">
        <v>47154</v>
      </c>
      <c r="J8113" t="s">
        <v>47155</v>
      </c>
      <c r="K8113" t="s">
        <v>47113</v>
      </c>
      <c r="L8113">
        <v>9.16</v>
      </c>
      <c r="M8113">
        <v>37</v>
      </c>
      <c r="N8113">
        <v>0</v>
      </c>
      <c r="O8113">
        <v>37</v>
      </c>
      <c r="P8113">
        <v>0</v>
      </c>
    </row>
    <row r="8114" spans="1:16" x14ac:dyDescent="0.25">
      <c r="A8114" t="s">
        <v>47592</v>
      </c>
      <c r="B8114" t="s">
        <v>20141</v>
      </c>
      <c r="C8114" t="s">
        <v>16411</v>
      </c>
      <c r="D8114" t="str">
        <f>"4343"</f>
        <v>4343</v>
      </c>
      <c r="E8114" t="s">
        <v>47593</v>
      </c>
      <c r="F8114" t="s">
        <v>31484</v>
      </c>
      <c r="G8114" t="s">
        <v>16232</v>
      </c>
      <c r="H8114" t="s">
        <v>47054</v>
      </c>
      <c r="I8114" t="s">
        <v>47154</v>
      </c>
      <c r="J8114" t="s">
        <v>47155</v>
      </c>
      <c r="K8114" t="s">
        <v>47113</v>
      </c>
      <c r="L8114">
        <v>11.48</v>
      </c>
      <c r="M8114">
        <v>26</v>
      </c>
      <c r="N8114">
        <v>69</v>
      </c>
      <c r="O8114">
        <v>26</v>
      </c>
      <c r="P8114">
        <v>69</v>
      </c>
    </row>
    <row r="8115" spans="1:16" x14ac:dyDescent="0.25">
      <c r="A8115" t="s">
        <v>30709</v>
      </c>
      <c r="B8115" t="s">
        <v>30710</v>
      </c>
      <c r="C8115" t="s">
        <v>30711</v>
      </c>
      <c r="D8115" t="str">
        <f>"3196"</f>
        <v>3196</v>
      </c>
      <c r="E8115" t="s">
        <v>24691</v>
      </c>
      <c r="F8115" t="s">
        <v>19878</v>
      </c>
      <c r="G8115" t="s">
        <v>16448</v>
      </c>
      <c r="H8115" t="s">
        <v>47054</v>
      </c>
      <c r="I8115" t="s">
        <v>47120</v>
      </c>
      <c r="J8115" t="s">
        <v>47121</v>
      </c>
      <c r="K8115" t="s">
        <v>47113</v>
      </c>
      <c r="L8115">
        <v>152.85</v>
      </c>
      <c r="M8115">
        <v>215</v>
      </c>
      <c r="N8115">
        <v>0</v>
      </c>
      <c r="O8115">
        <v>215</v>
      </c>
      <c r="P8115">
        <v>0</v>
      </c>
    </row>
    <row r="8116" spans="1:16" x14ac:dyDescent="0.25">
      <c r="A8116" t="s">
        <v>30712</v>
      </c>
      <c r="B8116" t="s">
        <v>17028</v>
      </c>
      <c r="C8116" t="s">
        <v>17029</v>
      </c>
      <c r="D8116" t="str">
        <f>"5000"</f>
        <v>5000</v>
      </c>
      <c r="E8116" t="s">
        <v>17030</v>
      </c>
      <c r="F8116" t="s">
        <v>16730</v>
      </c>
      <c r="G8116" t="s">
        <v>46686</v>
      </c>
      <c r="H8116" t="s">
        <v>47054</v>
      </c>
      <c r="I8116" t="s">
        <v>47120</v>
      </c>
      <c r="J8116" t="s">
        <v>47121</v>
      </c>
      <c r="K8116" t="s">
        <v>47113</v>
      </c>
      <c r="L8116">
        <v>84.27</v>
      </c>
      <c r="M8116">
        <v>111</v>
      </c>
      <c r="N8116">
        <v>0</v>
      </c>
      <c r="O8116">
        <v>111</v>
      </c>
      <c r="P8116">
        <v>0</v>
      </c>
    </row>
    <row r="8117" spans="1:16" x14ac:dyDescent="0.25">
      <c r="A8117" t="s">
        <v>30713</v>
      </c>
      <c r="B8117" t="s">
        <v>15423</v>
      </c>
      <c r="C8117" t="s">
        <v>17031</v>
      </c>
      <c r="D8117" t="s">
        <v>15418</v>
      </c>
      <c r="E8117" t="s">
        <v>15419</v>
      </c>
      <c r="F8117" t="s">
        <v>15183</v>
      </c>
      <c r="G8117" t="s">
        <v>16224</v>
      </c>
      <c r="H8117" t="s">
        <v>47054</v>
      </c>
      <c r="I8117" t="s">
        <v>47116</v>
      </c>
      <c r="J8117" t="s">
        <v>47117</v>
      </c>
      <c r="K8117" t="s">
        <v>47113</v>
      </c>
      <c r="L8117">
        <v>45.95</v>
      </c>
      <c r="M8117">
        <v>99</v>
      </c>
      <c r="N8117">
        <v>0</v>
      </c>
      <c r="O8117">
        <v>99</v>
      </c>
      <c r="P8117">
        <v>0</v>
      </c>
    </row>
    <row r="8118" spans="1:16" x14ac:dyDescent="0.25">
      <c r="A8118" t="s">
        <v>30714</v>
      </c>
      <c r="B8118" t="s">
        <v>15424</v>
      </c>
      <c r="C8118" t="s">
        <v>20142</v>
      </c>
      <c r="D8118" t="str">
        <f>"3537"</f>
        <v>3537</v>
      </c>
      <c r="E8118" t="s">
        <v>15425</v>
      </c>
      <c r="F8118" t="s">
        <v>15183</v>
      </c>
      <c r="G8118" t="s">
        <v>16224</v>
      </c>
      <c r="H8118" t="s">
        <v>47054</v>
      </c>
      <c r="I8118" t="s">
        <v>47111</v>
      </c>
      <c r="J8118" t="s">
        <v>47112</v>
      </c>
      <c r="K8118" t="s">
        <v>47113</v>
      </c>
      <c r="L8118">
        <v>65.95</v>
      </c>
      <c r="M8118">
        <v>107</v>
      </c>
      <c r="N8118">
        <v>0</v>
      </c>
      <c r="O8118">
        <v>107</v>
      </c>
      <c r="P8118">
        <v>0</v>
      </c>
    </row>
    <row r="8119" spans="1:16" x14ac:dyDescent="0.25">
      <c r="A8119" t="s">
        <v>30715</v>
      </c>
      <c r="B8119" t="s">
        <v>15424</v>
      </c>
      <c r="C8119" t="s">
        <v>20142</v>
      </c>
      <c r="D8119" t="str">
        <f>"6000"</f>
        <v>6000</v>
      </c>
      <c r="E8119" t="s">
        <v>17032</v>
      </c>
      <c r="F8119" t="s">
        <v>15183</v>
      </c>
      <c r="G8119" t="s">
        <v>16224</v>
      </c>
      <c r="H8119" t="s">
        <v>47054</v>
      </c>
      <c r="I8119" t="s">
        <v>47111</v>
      </c>
      <c r="J8119" t="s">
        <v>47112</v>
      </c>
      <c r="K8119" t="s">
        <v>47113</v>
      </c>
      <c r="L8119">
        <v>65.95</v>
      </c>
      <c r="M8119">
        <v>107</v>
      </c>
      <c r="N8119">
        <v>0</v>
      </c>
      <c r="O8119">
        <v>107</v>
      </c>
      <c r="P8119">
        <v>0</v>
      </c>
    </row>
    <row r="8120" spans="1:16" x14ac:dyDescent="0.25">
      <c r="A8120" t="s">
        <v>30716</v>
      </c>
      <c r="B8120" t="s">
        <v>30717</v>
      </c>
      <c r="C8120" t="s">
        <v>30718</v>
      </c>
      <c r="D8120" t="str">
        <f>"1001"</f>
        <v>1001</v>
      </c>
      <c r="E8120" t="s">
        <v>30719</v>
      </c>
      <c r="F8120" t="s">
        <v>24617</v>
      </c>
      <c r="G8120" t="s">
        <v>16224</v>
      </c>
      <c r="H8120" t="s">
        <v>47054</v>
      </c>
      <c r="I8120" t="s">
        <v>47120</v>
      </c>
      <c r="J8120" t="s">
        <v>47121</v>
      </c>
      <c r="K8120" t="s">
        <v>47113</v>
      </c>
      <c r="L8120">
        <v>39.99</v>
      </c>
      <c r="M8120">
        <v>92</v>
      </c>
      <c r="N8120">
        <v>249</v>
      </c>
      <c r="O8120">
        <v>92</v>
      </c>
      <c r="P8120">
        <v>249</v>
      </c>
    </row>
    <row r="8121" spans="1:16" x14ac:dyDescent="0.25">
      <c r="A8121" t="s">
        <v>30720</v>
      </c>
      <c r="B8121" t="s">
        <v>17033</v>
      </c>
      <c r="C8121" t="s">
        <v>17034</v>
      </c>
      <c r="D8121" t="str">
        <f>"1700"</f>
        <v>1700</v>
      </c>
      <c r="E8121" t="s">
        <v>60</v>
      </c>
      <c r="F8121" t="s">
        <v>16623</v>
      </c>
      <c r="G8121" t="s">
        <v>16221</v>
      </c>
      <c r="H8121" t="s">
        <v>47054</v>
      </c>
      <c r="I8121" t="s">
        <v>47111</v>
      </c>
      <c r="J8121" t="s">
        <v>47112</v>
      </c>
      <c r="K8121" t="s">
        <v>47113</v>
      </c>
      <c r="L8121">
        <v>13.92</v>
      </c>
      <c r="M8121">
        <v>29</v>
      </c>
      <c r="N8121">
        <v>0</v>
      </c>
      <c r="O8121">
        <v>29</v>
      </c>
      <c r="P8121">
        <v>0</v>
      </c>
    </row>
    <row r="8122" spans="1:16" x14ac:dyDescent="0.25">
      <c r="A8122" t="s">
        <v>30721</v>
      </c>
      <c r="B8122" t="s">
        <v>17035</v>
      </c>
      <c r="C8122" t="s">
        <v>17036</v>
      </c>
      <c r="D8122" t="str">
        <f>"1106"</f>
        <v>1106</v>
      </c>
      <c r="E8122" t="s">
        <v>42</v>
      </c>
      <c r="F8122" t="s">
        <v>16810</v>
      </c>
      <c r="G8122" t="s">
        <v>16221</v>
      </c>
      <c r="H8122" t="s">
        <v>47054</v>
      </c>
      <c r="I8122" t="s">
        <v>47111</v>
      </c>
      <c r="J8122" t="s">
        <v>47112</v>
      </c>
      <c r="K8122" t="s">
        <v>47113</v>
      </c>
      <c r="L8122">
        <v>14.55</v>
      </c>
      <c r="M8122">
        <v>29</v>
      </c>
      <c r="N8122">
        <v>0</v>
      </c>
      <c r="O8122">
        <v>29</v>
      </c>
      <c r="P8122">
        <v>0</v>
      </c>
    </row>
    <row r="8123" spans="1:16" x14ac:dyDescent="0.25">
      <c r="A8123" t="s">
        <v>30722</v>
      </c>
      <c r="B8123" t="s">
        <v>17035</v>
      </c>
      <c r="C8123" t="s">
        <v>17036</v>
      </c>
      <c r="D8123" t="str">
        <f>"1501"</f>
        <v>1501</v>
      </c>
      <c r="E8123" t="s">
        <v>46</v>
      </c>
      <c r="F8123" t="s">
        <v>16810</v>
      </c>
      <c r="G8123" t="s">
        <v>16221</v>
      </c>
      <c r="H8123" t="s">
        <v>47054</v>
      </c>
      <c r="I8123" t="s">
        <v>47111</v>
      </c>
      <c r="J8123" t="s">
        <v>47112</v>
      </c>
      <c r="K8123" t="s">
        <v>47113</v>
      </c>
      <c r="L8123">
        <v>12.93</v>
      </c>
      <c r="M8123">
        <v>26</v>
      </c>
      <c r="N8123">
        <v>0</v>
      </c>
      <c r="O8123">
        <v>26</v>
      </c>
      <c r="P8123">
        <v>0</v>
      </c>
    </row>
    <row r="8124" spans="1:16" x14ac:dyDescent="0.25">
      <c r="A8124" t="s">
        <v>30723</v>
      </c>
      <c r="B8124" t="s">
        <v>17037</v>
      </c>
      <c r="C8124" t="s">
        <v>17038</v>
      </c>
      <c r="D8124" t="str">
        <f>"1100"</f>
        <v>1100</v>
      </c>
      <c r="E8124" t="s">
        <v>54</v>
      </c>
      <c r="F8124" t="s">
        <v>16839</v>
      </c>
      <c r="G8124" t="s">
        <v>16221</v>
      </c>
      <c r="H8124" t="s">
        <v>47054</v>
      </c>
      <c r="I8124" t="s">
        <v>47118</v>
      </c>
      <c r="J8124" t="s">
        <v>47119</v>
      </c>
      <c r="K8124" t="s">
        <v>47113</v>
      </c>
      <c r="L8124">
        <v>15.2</v>
      </c>
      <c r="M8124">
        <v>29</v>
      </c>
      <c r="N8124">
        <v>0</v>
      </c>
      <c r="O8124">
        <v>29</v>
      </c>
      <c r="P8124">
        <v>0</v>
      </c>
    </row>
    <row r="8125" spans="1:16" x14ac:dyDescent="0.25">
      <c r="A8125" t="s">
        <v>30724</v>
      </c>
      <c r="B8125" t="s">
        <v>17037</v>
      </c>
      <c r="C8125" t="s">
        <v>17038</v>
      </c>
      <c r="D8125" t="str">
        <f>"1106"</f>
        <v>1106</v>
      </c>
      <c r="E8125" t="s">
        <v>42</v>
      </c>
      <c r="F8125" t="s">
        <v>16839</v>
      </c>
      <c r="G8125" t="s">
        <v>16221</v>
      </c>
      <c r="H8125" t="s">
        <v>47054</v>
      </c>
      <c r="I8125" t="s">
        <v>47118</v>
      </c>
      <c r="J8125" t="s">
        <v>47119</v>
      </c>
      <c r="K8125" t="s">
        <v>47113</v>
      </c>
      <c r="L8125">
        <v>15.2</v>
      </c>
      <c r="M8125">
        <v>29</v>
      </c>
      <c r="N8125">
        <v>0</v>
      </c>
      <c r="O8125">
        <v>29</v>
      </c>
      <c r="P8125">
        <v>0</v>
      </c>
    </row>
    <row r="8126" spans="1:16" x14ac:dyDescent="0.25">
      <c r="A8126" t="s">
        <v>30725</v>
      </c>
      <c r="B8126" t="s">
        <v>17037</v>
      </c>
      <c r="C8126" t="s">
        <v>17038</v>
      </c>
      <c r="D8126" t="str">
        <f>"1700"</f>
        <v>1700</v>
      </c>
      <c r="E8126" t="s">
        <v>60</v>
      </c>
      <c r="F8126" t="s">
        <v>16623</v>
      </c>
      <c r="G8126" t="s">
        <v>16221</v>
      </c>
      <c r="H8126" t="s">
        <v>47054</v>
      </c>
      <c r="I8126" t="s">
        <v>47118</v>
      </c>
      <c r="J8126" t="s">
        <v>47119</v>
      </c>
      <c r="K8126" t="s">
        <v>47113</v>
      </c>
      <c r="L8126">
        <v>15.2</v>
      </c>
      <c r="M8126">
        <v>29</v>
      </c>
      <c r="N8126">
        <v>0</v>
      </c>
      <c r="O8126">
        <v>29</v>
      </c>
      <c r="P8126">
        <v>0</v>
      </c>
    </row>
    <row r="8127" spans="1:16" x14ac:dyDescent="0.25">
      <c r="A8127" t="s">
        <v>30726</v>
      </c>
      <c r="B8127" t="s">
        <v>17037</v>
      </c>
      <c r="C8127" t="s">
        <v>17038</v>
      </c>
      <c r="D8127" t="str">
        <f>"4403"</f>
        <v>4403</v>
      </c>
      <c r="E8127" t="s">
        <v>2383</v>
      </c>
      <c r="F8127" t="s">
        <v>16623</v>
      </c>
      <c r="G8127" t="s">
        <v>16221</v>
      </c>
      <c r="H8127" t="s">
        <v>47054</v>
      </c>
      <c r="I8127" t="s">
        <v>47118</v>
      </c>
      <c r="J8127" t="s">
        <v>47119</v>
      </c>
      <c r="K8127" t="s">
        <v>47113</v>
      </c>
      <c r="L8127">
        <v>15.2</v>
      </c>
      <c r="M8127">
        <v>29</v>
      </c>
      <c r="N8127">
        <v>0</v>
      </c>
      <c r="O8127">
        <v>29</v>
      </c>
      <c r="P8127">
        <v>0</v>
      </c>
    </row>
    <row r="8128" spans="1:16" x14ac:dyDescent="0.25">
      <c r="A8128" t="s">
        <v>30727</v>
      </c>
      <c r="B8128" t="s">
        <v>17037</v>
      </c>
      <c r="C8128" t="s">
        <v>17038</v>
      </c>
      <c r="D8128" t="str">
        <f>"6064"</f>
        <v>6064</v>
      </c>
      <c r="E8128" t="s">
        <v>87</v>
      </c>
      <c r="F8128" t="s">
        <v>16839</v>
      </c>
      <c r="G8128" t="s">
        <v>16221</v>
      </c>
      <c r="H8128" t="s">
        <v>47054</v>
      </c>
      <c r="I8128" t="s">
        <v>47118</v>
      </c>
      <c r="J8128" t="s">
        <v>47119</v>
      </c>
      <c r="K8128" t="s">
        <v>47113</v>
      </c>
      <c r="L8128">
        <v>15.2</v>
      </c>
      <c r="M8128">
        <v>29</v>
      </c>
      <c r="N8128">
        <v>0</v>
      </c>
      <c r="O8128">
        <v>29</v>
      </c>
      <c r="P8128">
        <v>0</v>
      </c>
    </row>
    <row r="8129" spans="1:16" x14ac:dyDescent="0.25">
      <c r="A8129" t="s">
        <v>30728</v>
      </c>
      <c r="B8129" t="s">
        <v>17039</v>
      </c>
      <c r="C8129" t="s">
        <v>17040</v>
      </c>
      <c r="D8129" t="str">
        <f>"1106"</f>
        <v>1106</v>
      </c>
      <c r="E8129" t="s">
        <v>42</v>
      </c>
      <c r="F8129" t="s">
        <v>16839</v>
      </c>
      <c r="G8129" t="s">
        <v>16221</v>
      </c>
      <c r="H8129" t="s">
        <v>47054</v>
      </c>
      <c r="I8129" t="s">
        <v>47116</v>
      </c>
      <c r="J8129" t="s">
        <v>47117</v>
      </c>
      <c r="K8129" t="s">
        <v>47113</v>
      </c>
      <c r="L8129">
        <v>11.96</v>
      </c>
      <c r="M8129">
        <v>29</v>
      </c>
      <c r="N8129">
        <v>0</v>
      </c>
      <c r="O8129">
        <v>29</v>
      </c>
      <c r="P8129">
        <v>0</v>
      </c>
    </row>
    <row r="8130" spans="1:16" x14ac:dyDescent="0.25">
      <c r="A8130" t="s">
        <v>30729</v>
      </c>
      <c r="B8130" t="s">
        <v>17039</v>
      </c>
      <c r="C8130" t="s">
        <v>17040</v>
      </c>
      <c r="D8130" t="str">
        <f>"1700"</f>
        <v>1700</v>
      </c>
      <c r="E8130" t="s">
        <v>60</v>
      </c>
      <c r="F8130" t="s">
        <v>16839</v>
      </c>
      <c r="G8130" t="s">
        <v>16221</v>
      </c>
      <c r="H8130" t="s">
        <v>47054</v>
      </c>
      <c r="I8130" t="s">
        <v>47116</v>
      </c>
      <c r="J8130" t="s">
        <v>47117</v>
      </c>
      <c r="K8130" t="s">
        <v>47113</v>
      </c>
      <c r="L8130">
        <v>11.96</v>
      </c>
      <c r="M8130">
        <v>29</v>
      </c>
      <c r="N8130">
        <v>0</v>
      </c>
      <c r="O8130">
        <v>29</v>
      </c>
      <c r="P8130">
        <v>0</v>
      </c>
    </row>
    <row r="8131" spans="1:16" x14ac:dyDescent="0.25">
      <c r="A8131" t="s">
        <v>30730</v>
      </c>
      <c r="B8131" t="s">
        <v>17039</v>
      </c>
      <c r="C8131" t="s">
        <v>17040</v>
      </c>
      <c r="D8131" t="str">
        <f>"6000"</f>
        <v>6000</v>
      </c>
      <c r="E8131" t="s">
        <v>7168</v>
      </c>
      <c r="F8131" t="s">
        <v>16839</v>
      </c>
      <c r="G8131" t="s">
        <v>16221</v>
      </c>
      <c r="H8131" t="s">
        <v>47054</v>
      </c>
      <c r="I8131" t="s">
        <v>47116</v>
      </c>
      <c r="J8131" t="s">
        <v>47117</v>
      </c>
      <c r="K8131" t="s">
        <v>47113</v>
      </c>
      <c r="L8131">
        <v>11.96</v>
      </c>
      <c r="M8131">
        <v>29</v>
      </c>
      <c r="N8131">
        <v>0</v>
      </c>
      <c r="O8131">
        <v>29</v>
      </c>
      <c r="P8131">
        <v>0</v>
      </c>
    </row>
    <row r="8132" spans="1:16" x14ac:dyDescent="0.25">
      <c r="A8132" t="s">
        <v>30731</v>
      </c>
      <c r="B8132" t="s">
        <v>17039</v>
      </c>
      <c r="C8132" t="s">
        <v>17040</v>
      </c>
      <c r="D8132" t="str">
        <f>"8206"</f>
        <v>8206</v>
      </c>
      <c r="E8132" t="s">
        <v>14203</v>
      </c>
      <c r="F8132" t="s">
        <v>16839</v>
      </c>
      <c r="G8132" t="s">
        <v>16221</v>
      </c>
      <c r="H8132" t="s">
        <v>47054</v>
      </c>
      <c r="I8132" t="s">
        <v>47116</v>
      </c>
      <c r="J8132" t="s">
        <v>47117</v>
      </c>
      <c r="K8132" t="s">
        <v>47113</v>
      </c>
      <c r="L8132">
        <v>12.93</v>
      </c>
      <c r="M8132">
        <v>26</v>
      </c>
      <c r="N8132">
        <v>0</v>
      </c>
      <c r="O8132">
        <v>26</v>
      </c>
      <c r="P8132">
        <v>0</v>
      </c>
    </row>
    <row r="8133" spans="1:16" x14ac:dyDescent="0.25">
      <c r="A8133" t="s">
        <v>30732</v>
      </c>
      <c r="B8133" t="s">
        <v>17041</v>
      </c>
      <c r="C8133" t="s">
        <v>17042</v>
      </c>
      <c r="D8133" t="str">
        <f>"1700"</f>
        <v>1700</v>
      </c>
      <c r="E8133" t="s">
        <v>60</v>
      </c>
      <c r="F8133" t="s">
        <v>16839</v>
      </c>
      <c r="G8133" t="s">
        <v>16221</v>
      </c>
      <c r="H8133" t="s">
        <v>47054</v>
      </c>
      <c r="I8133" t="s">
        <v>47116</v>
      </c>
      <c r="J8133" t="s">
        <v>47117</v>
      </c>
      <c r="K8133" t="s">
        <v>47113</v>
      </c>
      <c r="L8133">
        <v>12.71</v>
      </c>
      <c r="M8133">
        <v>26</v>
      </c>
      <c r="N8133">
        <v>0</v>
      </c>
      <c r="O8133">
        <v>26</v>
      </c>
      <c r="P8133">
        <v>0</v>
      </c>
    </row>
    <row r="8134" spans="1:16" x14ac:dyDescent="0.25">
      <c r="A8134" t="s">
        <v>30733</v>
      </c>
      <c r="B8134" t="s">
        <v>17043</v>
      </c>
      <c r="C8134" t="s">
        <v>17044</v>
      </c>
      <c r="D8134" t="str">
        <f>"1001"</f>
        <v>1001</v>
      </c>
      <c r="E8134" t="s">
        <v>42</v>
      </c>
      <c r="F8134" t="s">
        <v>16810</v>
      </c>
      <c r="G8134" t="s">
        <v>16221</v>
      </c>
      <c r="H8134" t="s">
        <v>47054</v>
      </c>
      <c r="I8134" t="s">
        <v>47111</v>
      </c>
      <c r="J8134" t="s">
        <v>47112</v>
      </c>
      <c r="K8134" t="s">
        <v>47113</v>
      </c>
      <c r="L8134">
        <v>12.93</v>
      </c>
      <c r="M8134">
        <v>26</v>
      </c>
      <c r="N8134">
        <v>0</v>
      </c>
      <c r="O8134">
        <v>26</v>
      </c>
      <c r="P8134">
        <v>0</v>
      </c>
    </row>
    <row r="8135" spans="1:16" x14ac:dyDescent="0.25">
      <c r="A8135" t="s">
        <v>30734</v>
      </c>
      <c r="B8135" t="s">
        <v>17043</v>
      </c>
      <c r="C8135" t="s">
        <v>17044</v>
      </c>
      <c r="D8135" t="str">
        <f>"1501"</f>
        <v>1501</v>
      </c>
      <c r="E8135" t="s">
        <v>46</v>
      </c>
      <c r="F8135" t="s">
        <v>16810</v>
      </c>
      <c r="G8135" t="s">
        <v>16221</v>
      </c>
      <c r="H8135" t="s">
        <v>47054</v>
      </c>
      <c r="I8135" t="s">
        <v>47111</v>
      </c>
      <c r="J8135" t="s">
        <v>47112</v>
      </c>
      <c r="K8135" t="s">
        <v>47113</v>
      </c>
      <c r="L8135">
        <v>12.71</v>
      </c>
      <c r="M8135">
        <v>26</v>
      </c>
      <c r="N8135">
        <v>0</v>
      </c>
      <c r="O8135">
        <v>26</v>
      </c>
      <c r="P8135">
        <v>0</v>
      </c>
    </row>
    <row r="8136" spans="1:16" x14ac:dyDescent="0.25">
      <c r="A8136" t="s">
        <v>30735</v>
      </c>
      <c r="B8136" t="s">
        <v>15426</v>
      </c>
      <c r="C8136" t="s">
        <v>15427</v>
      </c>
      <c r="D8136" t="str">
        <f>"1001"</f>
        <v>1001</v>
      </c>
      <c r="E8136" t="s">
        <v>42</v>
      </c>
      <c r="F8136" t="s">
        <v>15183</v>
      </c>
      <c r="G8136" t="s">
        <v>16221</v>
      </c>
      <c r="H8136" t="s">
        <v>47054</v>
      </c>
      <c r="I8136" t="s">
        <v>47154</v>
      </c>
      <c r="J8136" t="s">
        <v>47155</v>
      </c>
      <c r="K8136" t="s">
        <v>47113</v>
      </c>
      <c r="L8136">
        <v>8.6199999999999992</v>
      </c>
      <c r="M8136">
        <v>26</v>
      </c>
      <c r="N8136">
        <v>0</v>
      </c>
      <c r="O8136">
        <v>26</v>
      </c>
      <c r="P8136">
        <v>0</v>
      </c>
    </row>
    <row r="8137" spans="1:16" x14ac:dyDescent="0.25">
      <c r="A8137" t="s">
        <v>30736</v>
      </c>
      <c r="B8137" t="s">
        <v>15426</v>
      </c>
      <c r="C8137" t="s">
        <v>15427</v>
      </c>
      <c r="D8137" t="str">
        <f>"1106"</f>
        <v>1106</v>
      </c>
      <c r="E8137" t="s">
        <v>460</v>
      </c>
      <c r="F8137" t="s">
        <v>15183</v>
      </c>
      <c r="G8137" t="s">
        <v>16221</v>
      </c>
      <c r="H8137" t="s">
        <v>47054</v>
      </c>
      <c r="I8137" t="s">
        <v>47154</v>
      </c>
      <c r="J8137" t="s">
        <v>47155</v>
      </c>
      <c r="K8137" t="s">
        <v>47113</v>
      </c>
      <c r="L8137">
        <v>8.6199999999999992</v>
      </c>
      <c r="M8137">
        <v>26</v>
      </c>
      <c r="N8137">
        <v>0</v>
      </c>
      <c r="O8137">
        <v>26</v>
      </c>
      <c r="P8137">
        <v>0</v>
      </c>
    </row>
    <row r="8138" spans="1:16" x14ac:dyDescent="0.25">
      <c r="A8138" t="s">
        <v>30737</v>
      </c>
      <c r="B8138" t="s">
        <v>15426</v>
      </c>
      <c r="C8138" t="s">
        <v>15427</v>
      </c>
      <c r="D8138" t="str">
        <f>"1700"</f>
        <v>1700</v>
      </c>
      <c r="E8138" t="s">
        <v>60</v>
      </c>
      <c r="F8138" t="s">
        <v>15183</v>
      </c>
      <c r="G8138" t="s">
        <v>16221</v>
      </c>
      <c r="H8138" t="s">
        <v>47054</v>
      </c>
      <c r="I8138" t="s">
        <v>47154</v>
      </c>
      <c r="J8138" t="s">
        <v>47155</v>
      </c>
      <c r="K8138" t="s">
        <v>47113</v>
      </c>
      <c r="L8138">
        <v>8.6199999999999992</v>
      </c>
      <c r="M8138">
        <v>26</v>
      </c>
      <c r="N8138">
        <v>0</v>
      </c>
      <c r="O8138">
        <v>26</v>
      </c>
      <c r="P8138">
        <v>0</v>
      </c>
    </row>
    <row r="8139" spans="1:16" x14ac:dyDescent="0.25">
      <c r="A8139" t="s">
        <v>30738</v>
      </c>
      <c r="B8139" t="s">
        <v>15426</v>
      </c>
      <c r="C8139" t="s">
        <v>15427</v>
      </c>
      <c r="D8139" t="str">
        <f>"1800"</f>
        <v>1800</v>
      </c>
      <c r="E8139" t="s">
        <v>1999</v>
      </c>
      <c r="F8139" t="s">
        <v>15183</v>
      </c>
      <c r="G8139" t="s">
        <v>16221</v>
      </c>
      <c r="H8139" t="s">
        <v>47054</v>
      </c>
      <c r="I8139" t="s">
        <v>47154</v>
      </c>
      <c r="J8139" t="s">
        <v>47155</v>
      </c>
      <c r="K8139" t="s">
        <v>47113</v>
      </c>
      <c r="L8139">
        <v>8.6199999999999992</v>
      </c>
      <c r="M8139">
        <v>26</v>
      </c>
      <c r="N8139">
        <v>0</v>
      </c>
      <c r="O8139">
        <v>26</v>
      </c>
      <c r="P8139">
        <v>0</v>
      </c>
    </row>
    <row r="8140" spans="1:16" x14ac:dyDescent="0.25">
      <c r="A8140" t="s">
        <v>30739</v>
      </c>
      <c r="B8140" t="s">
        <v>15426</v>
      </c>
      <c r="C8140" t="s">
        <v>15427</v>
      </c>
      <c r="D8140" t="str">
        <f>"4002"</f>
        <v>4002</v>
      </c>
      <c r="E8140" t="s">
        <v>710</v>
      </c>
      <c r="F8140" t="s">
        <v>15183</v>
      </c>
      <c r="G8140" t="s">
        <v>16221</v>
      </c>
      <c r="H8140" t="s">
        <v>47054</v>
      </c>
      <c r="I8140" t="s">
        <v>47154</v>
      </c>
      <c r="J8140" t="s">
        <v>47155</v>
      </c>
      <c r="K8140" t="s">
        <v>47113</v>
      </c>
      <c r="L8140">
        <v>8.6199999999999992</v>
      </c>
      <c r="M8140">
        <v>26</v>
      </c>
      <c r="N8140">
        <v>0</v>
      </c>
      <c r="O8140">
        <v>26</v>
      </c>
      <c r="P8140">
        <v>0</v>
      </c>
    </row>
    <row r="8141" spans="1:16" x14ac:dyDescent="0.25">
      <c r="A8141" t="s">
        <v>17045</v>
      </c>
      <c r="B8141" t="s">
        <v>15426</v>
      </c>
      <c r="C8141" t="s">
        <v>15427</v>
      </c>
      <c r="D8141" t="str">
        <f>"4403"</f>
        <v>4403</v>
      </c>
      <c r="E8141" t="s">
        <v>15428</v>
      </c>
      <c r="F8141" t="s">
        <v>15183</v>
      </c>
      <c r="G8141" t="s">
        <v>16221</v>
      </c>
      <c r="H8141" t="s">
        <v>47054</v>
      </c>
      <c r="I8141" t="s">
        <v>47154</v>
      </c>
      <c r="J8141" t="s">
        <v>47155</v>
      </c>
      <c r="K8141" t="s">
        <v>47113</v>
      </c>
      <c r="L8141">
        <v>8.6199999999999992</v>
      </c>
      <c r="M8141">
        <v>26</v>
      </c>
      <c r="N8141">
        <v>0</v>
      </c>
      <c r="O8141">
        <v>26</v>
      </c>
      <c r="P8141">
        <v>0</v>
      </c>
    </row>
    <row r="8142" spans="1:16" x14ac:dyDescent="0.25">
      <c r="A8142" t="s">
        <v>30740</v>
      </c>
      <c r="B8142" t="s">
        <v>15426</v>
      </c>
      <c r="C8142" t="s">
        <v>15427</v>
      </c>
      <c r="D8142" t="str">
        <f>"6064"</f>
        <v>6064</v>
      </c>
      <c r="E8142" t="s">
        <v>87</v>
      </c>
      <c r="F8142" t="s">
        <v>15183</v>
      </c>
      <c r="G8142" t="s">
        <v>16221</v>
      </c>
      <c r="H8142" t="s">
        <v>47054</v>
      </c>
      <c r="I8142" t="s">
        <v>47154</v>
      </c>
      <c r="J8142" t="s">
        <v>47155</v>
      </c>
      <c r="K8142" t="s">
        <v>47113</v>
      </c>
      <c r="L8142">
        <v>8.6199999999999992</v>
      </c>
      <c r="M8142">
        <v>26</v>
      </c>
      <c r="N8142">
        <v>0</v>
      </c>
      <c r="O8142">
        <v>26</v>
      </c>
      <c r="P8142">
        <v>0</v>
      </c>
    </row>
    <row r="8143" spans="1:16" x14ac:dyDescent="0.25">
      <c r="A8143" t="s">
        <v>30741</v>
      </c>
      <c r="B8143" t="s">
        <v>17046</v>
      </c>
      <c r="C8143" t="s">
        <v>17047</v>
      </c>
      <c r="D8143" t="str">
        <f>"1001"</f>
        <v>1001</v>
      </c>
      <c r="E8143" t="s">
        <v>42</v>
      </c>
      <c r="F8143" t="s">
        <v>16839</v>
      </c>
      <c r="G8143" t="s">
        <v>16221</v>
      </c>
      <c r="H8143" t="s">
        <v>47054</v>
      </c>
      <c r="I8143" t="s">
        <v>47116</v>
      </c>
      <c r="J8143" t="s">
        <v>47117</v>
      </c>
      <c r="K8143" t="s">
        <v>47113</v>
      </c>
      <c r="L8143">
        <v>14.42</v>
      </c>
      <c r="M8143">
        <v>29</v>
      </c>
      <c r="N8143">
        <v>0</v>
      </c>
      <c r="O8143">
        <v>29</v>
      </c>
      <c r="P8143">
        <v>0</v>
      </c>
    </row>
    <row r="8144" spans="1:16" x14ac:dyDescent="0.25">
      <c r="A8144" t="s">
        <v>30742</v>
      </c>
      <c r="B8144" t="s">
        <v>17046</v>
      </c>
      <c r="C8144" t="s">
        <v>17047</v>
      </c>
      <c r="D8144" t="str">
        <f>"1700"</f>
        <v>1700</v>
      </c>
      <c r="E8144" t="s">
        <v>60</v>
      </c>
      <c r="F8144" t="s">
        <v>16839</v>
      </c>
      <c r="G8144" t="s">
        <v>16221</v>
      </c>
      <c r="H8144" t="s">
        <v>47054</v>
      </c>
      <c r="I8144" t="s">
        <v>47116</v>
      </c>
      <c r="J8144" t="s">
        <v>47117</v>
      </c>
      <c r="K8144" t="s">
        <v>47113</v>
      </c>
      <c r="L8144">
        <v>14.55</v>
      </c>
      <c r="M8144">
        <v>29</v>
      </c>
      <c r="N8144">
        <v>0</v>
      </c>
      <c r="O8144">
        <v>29</v>
      </c>
      <c r="P8144">
        <v>0</v>
      </c>
    </row>
    <row r="8145" spans="1:16" x14ac:dyDescent="0.25">
      <c r="A8145" t="s">
        <v>30743</v>
      </c>
      <c r="B8145" t="s">
        <v>17046</v>
      </c>
      <c r="C8145" t="s">
        <v>17047</v>
      </c>
      <c r="D8145" t="str">
        <f>"3071"</f>
        <v>3071</v>
      </c>
      <c r="E8145" t="s">
        <v>16876</v>
      </c>
      <c r="F8145" t="s">
        <v>16839</v>
      </c>
      <c r="G8145" t="s">
        <v>16221</v>
      </c>
      <c r="H8145" t="s">
        <v>47054</v>
      </c>
      <c r="I8145" t="s">
        <v>47116</v>
      </c>
      <c r="J8145" t="s">
        <v>47117</v>
      </c>
      <c r="K8145" t="s">
        <v>47113</v>
      </c>
      <c r="L8145">
        <v>14.55</v>
      </c>
      <c r="M8145">
        <v>29</v>
      </c>
      <c r="N8145">
        <v>0</v>
      </c>
      <c r="O8145">
        <v>29</v>
      </c>
      <c r="P8145">
        <v>0</v>
      </c>
    </row>
    <row r="8146" spans="1:16" x14ac:dyDescent="0.25">
      <c r="A8146" t="s">
        <v>30744</v>
      </c>
      <c r="B8146" t="s">
        <v>17048</v>
      </c>
      <c r="C8146" t="s">
        <v>17049</v>
      </c>
      <c r="D8146" t="str">
        <f>"1106"</f>
        <v>1106</v>
      </c>
      <c r="E8146" t="s">
        <v>460</v>
      </c>
      <c r="F8146" t="s">
        <v>16762</v>
      </c>
      <c r="G8146" t="s">
        <v>16221</v>
      </c>
      <c r="H8146" t="s">
        <v>47054</v>
      </c>
      <c r="I8146" t="s">
        <v>47569</v>
      </c>
      <c r="J8146" t="s">
        <v>47570</v>
      </c>
      <c r="K8146" t="s">
        <v>47113</v>
      </c>
      <c r="L8146">
        <v>9.43</v>
      </c>
      <c r="M8146">
        <v>26</v>
      </c>
      <c r="N8146">
        <v>0</v>
      </c>
      <c r="O8146">
        <v>26</v>
      </c>
      <c r="P8146">
        <v>0</v>
      </c>
    </row>
    <row r="8147" spans="1:16" x14ac:dyDescent="0.25">
      <c r="A8147" t="s">
        <v>30745</v>
      </c>
      <c r="B8147" t="s">
        <v>17048</v>
      </c>
      <c r="C8147" t="s">
        <v>17049</v>
      </c>
      <c r="D8147" t="str">
        <f>"1501"</f>
        <v>1501</v>
      </c>
      <c r="E8147" t="s">
        <v>46</v>
      </c>
      <c r="F8147" t="s">
        <v>16762</v>
      </c>
      <c r="G8147" t="s">
        <v>16221</v>
      </c>
      <c r="H8147" t="s">
        <v>47054</v>
      </c>
      <c r="I8147" t="s">
        <v>47569</v>
      </c>
      <c r="J8147" t="s">
        <v>47570</v>
      </c>
      <c r="K8147" t="s">
        <v>47113</v>
      </c>
      <c r="L8147">
        <v>9.43</v>
      </c>
      <c r="M8147">
        <v>26</v>
      </c>
      <c r="N8147">
        <v>0</v>
      </c>
      <c r="O8147">
        <v>26</v>
      </c>
      <c r="P8147">
        <v>0</v>
      </c>
    </row>
    <row r="8148" spans="1:16" x14ac:dyDescent="0.25">
      <c r="A8148" t="s">
        <v>30746</v>
      </c>
      <c r="B8148" t="s">
        <v>17050</v>
      </c>
      <c r="C8148" t="s">
        <v>17051</v>
      </c>
      <c r="D8148" t="str">
        <f>"1106"</f>
        <v>1106</v>
      </c>
      <c r="E8148" t="s">
        <v>460</v>
      </c>
      <c r="F8148" t="s">
        <v>16771</v>
      </c>
      <c r="G8148" t="s">
        <v>16221</v>
      </c>
      <c r="I8148" t="s">
        <v>47569</v>
      </c>
      <c r="J8148" t="s">
        <v>47570</v>
      </c>
      <c r="K8148" t="s">
        <v>47113</v>
      </c>
      <c r="L8148">
        <v>11.27</v>
      </c>
      <c r="M8148">
        <v>26</v>
      </c>
      <c r="N8148">
        <v>0</v>
      </c>
      <c r="O8148">
        <v>26</v>
      </c>
      <c r="P8148">
        <v>0</v>
      </c>
    </row>
    <row r="8149" spans="1:16" x14ac:dyDescent="0.25">
      <c r="A8149" t="s">
        <v>30747</v>
      </c>
      <c r="B8149" t="s">
        <v>17052</v>
      </c>
      <c r="C8149" t="s">
        <v>17053</v>
      </c>
      <c r="D8149" t="str">
        <f>"1106"</f>
        <v>1106</v>
      </c>
      <c r="E8149" t="s">
        <v>460</v>
      </c>
      <c r="F8149" t="s">
        <v>16771</v>
      </c>
      <c r="G8149" t="s">
        <v>16221</v>
      </c>
      <c r="H8149" t="s">
        <v>47054</v>
      </c>
      <c r="I8149" t="s">
        <v>47116</v>
      </c>
      <c r="J8149" t="s">
        <v>47117</v>
      </c>
      <c r="K8149" t="s">
        <v>47113</v>
      </c>
      <c r="L8149">
        <v>9.6</v>
      </c>
      <c r="M8149">
        <v>26</v>
      </c>
      <c r="N8149">
        <v>0</v>
      </c>
      <c r="O8149">
        <v>26</v>
      </c>
      <c r="P8149">
        <v>0</v>
      </c>
    </row>
    <row r="8150" spans="1:16" x14ac:dyDescent="0.25">
      <c r="A8150" t="s">
        <v>30748</v>
      </c>
      <c r="B8150" t="s">
        <v>17052</v>
      </c>
      <c r="C8150" t="s">
        <v>17053</v>
      </c>
      <c r="D8150" t="str">
        <f>"1800"</f>
        <v>1800</v>
      </c>
      <c r="E8150" t="s">
        <v>1999</v>
      </c>
      <c r="F8150" t="s">
        <v>16771</v>
      </c>
      <c r="G8150" t="s">
        <v>16221</v>
      </c>
      <c r="H8150" t="s">
        <v>47054</v>
      </c>
      <c r="I8150" t="s">
        <v>47116</v>
      </c>
      <c r="J8150" t="s">
        <v>47117</v>
      </c>
      <c r="K8150" t="s">
        <v>47113</v>
      </c>
      <c r="L8150">
        <v>9.6</v>
      </c>
      <c r="M8150">
        <v>26</v>
      </c>
      <c r="N8150">
        <v>0</v>
      </c>
      <c r="O8150">
        <v>26</v>
      </c>
      <c r="P8150">
        <v>0</v>
      </c>
    </row>
    <row r="8151" spans="1:16" x14ac:dyDescent="0.25">
      <c r="A8151" t="s">
        <v>30749</v>
      </c>
      <c r="B8151" t="s">
        <v>17052</v>
      </c>
      <c r="C8151" t="s">
        <v>17053</v>
      </c>
      <c r="D8151" t="str">
        <f>"6000"</f>
        <v>6000</v>
      </c>
      <c r="E8151" t="s">
        <v>17054</v>
      </c>
      <c r="F8151" t="s">
        <v>16771</v>
      </c>
      <c r="G8151" t="s">
        <v>16221</v>
      </c>
      <c r="H8151" t="s">
        <v>47054</v>
      </c>
      <c r="I8151" t="s">
        <v>47116</v>
      </c>
      <c r="J8151" t="s">
        <v>47117</v>
      </c>
      <c r="K8151" t="s">
        <v>47113</v>
      </c>
      <c r="L8151">
        <v>9.6</v>
      </c>
      <c r="M8151">
        <v>26</v>
      </c>
      <c r="N8151">
        <v>0</v>
      </c>
      <c r="O8151">
        <v>26</v>
      </c>
      <c r="P8151">
        <v>0</v>
      </c>
    </row>
    <row r="8152" spans="1:16" x14ac:dyDescent="0.25">
      <c r="A8152" t="s">
        <v>30750</v>
      </c>
      <c r="B8152" t="s">
        <v>17055</v>
      </c>
      <c r="C8152" t="s">
        <v>17056</v>
      </c>
      <c r="D8152" t="str">
        <f>"1106"</f>
        <v>1106</v>
      </c>
      <c r="E8152" t="s">
        <v>460</v>
      </c>
      <c r="F8152" t="s">
        <v>16762</v>
      </c>
      <c r="G8152" t="s">
        <v>16221</v>
      </c>
      <c r="H8152" t="s">
        <v>47054</v>
      </c>
      <c r="I8152" t="s">
        <v>47116</v>
      </c>
      <c r="J8152" t="s">
        <v>47117</v>
      </c>
      <c r="K8152" t="s">
        <v>47113</v>
      </c>
      <c r="L8152">
        <v>10.06</v>
      </c>
      <c r="M8152">
        <v>26</v>
      </c>
      <c r="N8152">
        <v>0</v>
      </c>
      <c r="O8152">
        <v>26</v>
      </c>
      <c r="P8152">
        <v>0</v>
      </c>
    </row>
    <row r="8153" spans="1:16" x14ac:dyDescent="0.25">
      <c r="A8153" t="s">
        <v>30751</v>
      </c>
      <c r="B8153" t="s">
        <v>17055</v>
      </c>
      <c r="C8153" t="s">
        <v>17056</v>
      </c>
      <c r="D8153" t="str">
        <f>"4100"</f>
        <v>4100</v>
      </c>
      <c r="E8153" t="s">
        <v>15303</v>
      </c>
      <c r="F8153" t="s">
        <v>16762</v>
      </c>
      <c r="G8153" t="s">
        <v>16221</v>
      </c>
      <c r="H8153" t="s">
        <v>47054</v>
      </c>
      <c r="I8153" t="s">
        <v>47116</v>
      </c>
      <c r="J8153" t="s">
        <v>47117</v>
      </c>
      <c r="K8153" t="s">
        <v>47113</v>
      </c>
      <c r="L8153">
        <v>10.06</v>
      </c>
      <c r="M8153">
        <v>26</v>
      </c>
      <c r="N8153">
        <v>0</v>
      </c>
      <c r="O8153">
        <v>26</v>
      </c>
      <c r="P8153">
        <v>0</v>
      </c>
    </row>
    <row r="8154" spans="1:16" x14ac:dyDescent="0.25">
      <c r="A8154" t="s">
        <v>30752</v>
      </c>
      <c r="B8154" t="s">
        <v>17057</v>
      </c>
      <c r="C8154" t="s">
        <v>17058</v>
      </c>
      <c r="D8154" t="str">
        <f>"1106"</f>
        <v>1106</v>
      </c>
      <c r="E8154" t="s">
        <v>460</v>
      </c>
      <c r="F8154" t="s">
        <v>16730</v>
      </c>
      <c r="G8154" t="s">
        <v>16221</v>
      </c>
      <c r="H8154" t="s">
        <v>47054</v>
      </c>
      <c r="I8154" t="s">
        <v>47118</v>
      </c>
      <c r="J8154" t="s">
        <v>47119</v>
      </c>
      <c r="K8154" t="s">
        <v>47113</v>
      </c>
      <c r="L8154">
        <v>15.81</v>
      </c>
      <c r="M8154">
        <v>26</v>
      </c>
      <c r="N8154">
        <v>0</v>
      </c>
      <c r="O8154">
        <v>26</v>
      </c>
      <c r="P8154">
        <v>0</v>
      </c>
    </row>
    <row r="8155" spans="1:16" x14ac:dyDescent="0.25">
      <c r="A8155" t="s">
        <v>30753</v>
      </c>
      <c r="B8155" t="s">
        <v>17057</v>
      </c>
      <c r="C8155" t="s">
        <v>17058</v>
      </c>
      <c r="D8155" t="str">
        <f>"1800"</f>
        <v>1800</v>
      </c>
      <c r="E8155" t="s">
        <v>1999</v>
      </c>
      <c r="F8155" t="s">
        <v>16730</v>
      </c>
      <c r="G8155" t="s">
        <v>16221</v>
      </c>
      <c r="H8155" t="s">
        <v>47054</v>
      </c>
      <c r="I8155" t="s">
        <v>47118</v>
      </c>
      <c r="J8155" t="s">
        <v>47119</v>
      </c>
      <c r="K8155" t="s">
        <v>47113</v>
      </c>
      <c r="L8155">
        <v>15.81</v>
      </c>
      <c r="M8155">
        <v>26</v>
      </c>
      <c r="N8155">
        <v>0</v>
      </c>
      <c r="O8155">
        <v>26</v>
      </c>
      <c r="P8155">
        <v>0</v>
      </c>
    </row>
    <row r="8156" spans="1:16" x14ac:dyDescent="0.25">
      <c r="A8156" t="s">
        <v>30754</v>
      </c>
      <c r="B8156" t="s">
        <v>17057</v>
      </c>
      <c r="C8156" t="s">
        <v>17058</v>
      </c>
      <c r="D8156" t="str">
        <f>"6000"</f>
        <v>6000</v>
      </c>
      <c r="E8156" t="s">
        <v>17054</v>
      </c>
      <c r="F8156" t="s">
        <v>16730</v>
      </c>
      <c r="G8156" t="s">
        <v>16221</v>
      </c>
      <c r="H8156" t="s">
        <v>47054</v>
      </c>
      <c r="I8156" t="s">
        <v>47118</v>
      </c>
      <c r="J8156" t="s">
        <v>47119</v>
      </c>
      <c r="K8156" t="s">
        <v>47113</v>
      </c>
      <c r="L8156">
        <v>15.81</v>
      </c>
      <c r="M8156">
        <v>26</v>
      </c>
      <c r="N8156">
        <v>0</v>
      </c>
      <c r="O8156">
        <v>26</v>
      </c>
      <c r="P8156">
        <v>0</v>
      </c>
    </row>
    <row r="8157" spans="1:16" x14ac:dyDescent="0.25">
      <c r="A8157" t="s">
        <v>30755</v>
      </c>
      <c r="B8157" t="s">
        <v>17059</v>
      </c>
      <c r="C8157" t="s">
        <v>17060</v>
      </c>
      <c r="D8157" t="str">
        <f>"1106"</f>
        <v>1106</v>
      </c>
      <c r="E8157" t="s">
        <v>460</v>
      </c>
      <c r="F8157" t="s">
        <v>16771</v>
      </c>
      <c r="G8157" t="s">
        <v>16221</v>
      </c>
      <c r="I8157" t="s">
        <v>47116</v>
      </c>
      <c r="J8157" t="s">
        <v>47117</v>
      </c>
      <c r="K8157" t="s">
        <v>47113</v>
      </c>
      <c r="L8157">
        <v>11.44</v>
      </c>
      <c r="M8157">
        <v>26</v>
      </c>
      <c r="N8157">
        <v>0</v>
      </c>
      <c r="O8157">
        <v>26</v>
      </c>
      <c r="P8157">
        <v>0</v>
      </c>
    </row>
    <row r="8158" spans="1:16" x14ac:dyDescent="0.25">
      <c r="A8158" t="s">
        <v>30756</v>
      </c>
      <c r="B8158" t="s">
        <v>17059</v>
      </c>
      <c r="C8158" t="s">
        <v>17060</v>
      </c>
      <c r="D8158" t="str">
        <f>"1800"</f>
        <v>1800</v>
      </c>
      <c r="E8158" t="s">
        <v>1999</v>
      </c>
      <c r="F8158" t="s">
        <v>16771</v>
      </c>
      <c r="G8158" t="s">
        <v>16221</v>
      </c>
      <c r="I8158" t="s">
        <v>47116</v>
      </c>
      <c r="J8158" t="s">
        <v>47117</v>
      </c>
      <c r="K8158" t="s">
        <v>47113</v>
      </c>
      <c r="L8158">
        <v>11.44</v>
      </c>
      <c r="M8158">
        <v>26</v>
      </c>
      <c r="N8158">
        <v>0</v>
      </c>
      <c r="O8158">
        <v>26</v>
      </c>
      <c r="P8158">
        <v>0</v>
      </c>
    </row>
    <row r="8159" spans="1:16" x14ac:dyDescent="0.25">
      <c r="A8159" t="s">
        <v>30757</v>
      </c>
      <c r="B8159" t="s">
        <v>17061</v>
      </c>
      <c r="C8159" t="s">
        <v>17062</v>
      </c>
      <c r="D8159" t="str">
        <f>"1501"</f>
        <v>1501</v>
      </c>
      <c r="E8159" t="s">
        <v>46</v>
      </c>
      <c r="F8159" t="s">
        <v>16810</v>
      </c>
      <c r="G8159" t="s">
        <v>16221</v>
      </c>
      <c r="H8159" t="s">
        <v>47054</v>
      </c>
      <c r="I8159" t="s">
        <v>47111</v>
      </c>
      <c r="J8159" t="s">
        <v>47112</v>
      </c>
      <c r="K8159" t="s">
        <v>47113</v>
      </c>
      <c r="L8159">
        <v>12.87</v>
      </c>
      <c r="M8159">
        <v>29</v>
      </c>
      <c r="N8159">
        <v>0</v>
      </c>
      <c r="O8159">
        <v>29</v>
      </c>
      <c r="P8159">
        <v>0</v>
      </c>
    </row>
    <row r="8160" spans="1:16" x14ac:dyDescent="0.25">
      <c r="A8160" t="s">
        <v>30758</v>
      </c>
      <c r="B8160" t="s">
        <v>17063</v>
      </c>
      <c r="C8160" t="s">
        <v>17064</v>
      </c>
      <c r="D8160" t="str">
        <f>"1106"</f>
        <v>1106</v>
      </c>
      <c r="E8160" t="s">
        <v>460</v>
      </c>
      <c r="F8160" t="s">
        <v>16730</v>
      </c>
      <c r="G8160" t="s">
        <v>16221</v>
      </c>
      <c r="H8160" t="s">
        <v>47054</v>
      </c>
      <c r="I8160" t="s">
        <v>47116</v>
      </c>
      <c r="J8160" t="s">
        <v>47117</v>
      </c>
      <c r="K8160" t="s">
        <v>47113</v>
      </c>
      <c r="L8160">
        <v>9.6</v>
      </c>
      <c r="M8160">
        <v>26</v>
      </c>
      <c r="N8160">
        <v>0</v>
      </c>
      <c r="O8160">
        <v>26</v>
      </c>
      <c r="P8160">
        <v>0</v>
      </c>
    </row>
    <row r="8161" spans="1:16" x14ac:dyDescent="0.25">
      <c r="A8161" t="s">
        <v>30759</v>
      </c>
      <c r="B8161" t="s">
        <v>17063</v>
      </c>
      <c r="C8161" t="s">
        <v>17064</v>
      </c>
      <c r="D8161" t="str">
        <f>"1800"</f>
        <v>1800</v>
      </c>
      <c r="E8161" t="s">
        <v>1999</v>
      </c>
      <c r="F8161" t="s">
        <v>16730</v>
      </c>
      <c r="G8161" t="s">
        <v>16221</v>
      </c>
      <c r="H8161" t="s">
        <v>47054</v>
      </c>
      <c r="I8161" t="s">
        <v>47116</v>
      </c>
      <c r="J8161" t="s">
        <v>47117</v>
      </c>
      <c r="K8161" t="s">
        <v>47113</v>
      </c>
      <c r="L8161">
        <v>9.6</v>
      </c>
      <c r="M8161">
        <v>26</v>
      </c>
      <c r="N8161">
        <v>0</v>
      </c>
      <c r="O8161">
        <v>26</v>
      </c>
      <c r="P8161">
        <v>0</v>
      </c>
    </row>
    <row r="8162" spans="1:16" x14ac:dyDescent="0.25">
      <c r="A8162" t="s">
        <v>30760</v>
      </c>
      <c r="B8162" t="s">
        <v>17065</v>
      </c>
      <c r="C8162" t="s">
        <v>17066</v>
      </c>
      <c r="D8162" t="str">
        <f>"1106"</f>
        <v>1106</v>
      </c>
      <c r="E8162" t="s">
        <v>460</v>
      </c>
      <c r="F8162" t="s">
        <v>16730</v>
      </c>
      <c r="G8162" t="s">
        <v>16221</v>
      </c>
      <c r="H8162" t="s">
        <v>47054</v>
      </c>
      <c r="I8162" t="s">
        <v>47569</v>
      </c>
      <c r="J8162" t="s">
        <v>47570</v>
      </c>
      <c r="K8162" t="s">
        <v>47113</v>
      </c>
      <c r="L8162">
        <v>12.39</v>
      </c>
      <c r="M8162">
        <v>29</v>
      </c>
      <c r="N8162">
        <v>0</v>
      </c>
      <c r="O8162">
        <v>29</v>
      </c>
      <c r="P8162">
        <v>0</v>
      </c>
    </row>
    <row r="8163" spans="1:16" x14ac:dyDescent="0.25">
      <c r="A8163" t="s">
        <v>30761</v>
      </c>
      <c r="B8163" t="s">
        <v>17065</v>
      </c>
      <c r="C8163" t="s">
        <v>17066</v>
      </c>
      <c r="D8163" t="str">
        <f>"1501"</f>
        <v>1501</v>
      </c>
      <c r="E8163" t="s">
        <v>46</v>
      </c>
      <c r="F8163" t="s">
        <v>16730</v>
      </c>
      <c r="G8163" t="s">
        <v>16221</v>
      </c>
      <c r="H8163" t="s">
        <v>47054</v>
      </c>
      <c r="I8163" t="s">
        <v>47569</v>
      </c>
      <c r="J8163" t="s">
        <v>47570</v>
      </c>
      <c r="K8163" t="s">
        <v>47113</v>
      </c>
      <c r="L8163">
        <v>12.39</v>
      </c>
      <c r="M8163">
        <v>29</v>
      </c>
      <c r="N8163">
        <v>0</v>
      </c>
      <c r="O8163">
        <v>29</v>
      </c>
      <c r="P8163">
        <v>0</v>
      </c>
    </row>
    <row r="8164" spans="1:16" x14ac:dyDescent="0.25">
      <c r="A8164" t="s">
        <v>30762</v>
      </c>
      <c r="B8164" t="s">
        <v>17067</v>
      </c>
      <c r="C8164" t="s">
        <v>17068</v>
      </c>
      <c r="D8164" t="str">
        <f>"1106"</f>
        <v>1106</v>
      </c>
      <c r="E8164" t="s">
        <v>460</v>
      </c>
      <c r="F8164" t="s">
        <v>16730</v>
      </c>
      <c r="G8164" t="s">
        <v>16221</v>
      </c>
      <c r="H8164" t="s">
        <v>47054</v>
      </c>
      <c r="I8164" t="s">
        <v>47569</v>
      </c>
      <c r="J8164" t="s">
        <v>47570</v>
      </c>
      <c r="K8164" t="s">
        <v>47113</v>
      </c>
      <c r="L8164">
        <v>9.43</v>
      </c>
      <c r="M8164">
        <v>26</v>
      </c>
      <c r="N8164">
        <v>0</v>
      </c>
      <c r="O8164">
        <v>26</v>
      </c>
      <c r="P8164">
        <v>0</v>
      </c>
    </row>
    <row r="8165" spans="1:16" x14ac:dyDescent="0.25">
      <c r="A8165" t="s">
        <v>30763</v>
      </c>
      <c r="B8165" t="s">
        <v>17067</v>
      </c>
      <c r="C8165" t="s">
        <v>17068</v>
      </c>
      <c r="D8165" t="str">
        <f>"5000"</f>
        <v>5000</v>
      </c>
      <c r="E8165" t="s">
        <v>16881</v>
      </c>
      <c r="F8165" t="s">
        <v>16730</v>
      </c>
      <c r="G8165" t="s">
        <v>16221</v>
      </c>
      <c r="H8165" t="s">
        <v>47054</v>
      </c>
      <c r="I8165" t="s">
        <v>47569</v>
      </c>
      <c r="J8165" t="s">
        <v>47570</v>
      </c>
      <c r="K8165" t="s">
        <v>47113</v>
      </c>
      <c r="L8165">
        <v>9.43</v>
      </c>
      <c r="M8165">
        <v>26</v>
      </c>
      <c r="N8165">
        <v>0</v>
      </c>
      <c r="O8165">
        <v>26</v>
      </c>
      <c r="P8165">
        <v>0</v>
      </c>
    </row>
    <row r="8166" spans="1:16" x14ac:dyDescent="0.25">
      <c r="A8166" t="s">
        <v>30764</v>
      </c>
      <c r="B8166" t="s">
        <v>17069</v>
      </c>
      <c r="C8166" t="s">
        <v>17070</v>
      </c>
      <c r="D8166" t="str">
        <f>"1800"</f>
        <v>1800</v>
      </c>
      <c r="E8166" t="s">
        <v>1999</v>
      </c>
      <c r="F8166" t="s">
        <v>16762</v>
      </c>
      <c r="G8166" t="s">
        <v>16221</v>
      </c>
      <c r="H8166" t="s">
        <v>47054</v>
      </c>
      <c r="I8166" t="s">
        <v>47116</v>
      </c>
      <c r="J8166" t="s">
        <v>47117</v>
      </c>
      <c r="K8166" t="s">
        <v>47113</v>
      </c>
      <c r="L8166">
        <v>17.600000000000001</v>
      </c>
      <c r="M8166">
        <v>29</v>
      </c>
      <c r="N8166">
        <v>0</v>
      </c>
      <c r="O8166">
        <v>29</v>
      </c>
      <c r="P8166">
        <v>0</v>
      </c>
    </row>
    <row r="8167" spans="1:16" x14ac:dyDescent="0.25">
      <c r="A8167" t="s">
        <v>30765</v>
      </c>
      <c r="B8167" t="s">
        <v>17069</v>
      </c>
      <c r="C8167" t="s">
        <v>17070</v>
      </c>
      <c r="D8167" t="str">
        <f>"4100"</f>
        <v>4100</v>
      </c>
      <c r="E8167" t="s">
        <v>15303</v>
      </c>
      <c r="F8167" t="s">
        <v>16762</v>
      </c>
      <c r="G8167" t="s">
        <v>16221</v>
      </c>
      <c r="H8167" t="s">
        <v>47054</v>
      </c>
      <c r="I8167" t="s">
        <v>47116</v>
      </c>
      <c r="J8167" t="s">
        <v>47117</v>
      </c>
      <c r="K8167" t="s">
        <v>47113</v>
      </c>
      <c r="L8167">
        <v>17.600000000000001</v>
      </c>
      <c r="M8167">
        <v>29</v>
      </c>
      <c r="N8167">
        <v>0</v>
      </c>
      <c r="O8167">
        <v>29</v>
      </c>
      <c r="P8167">
        <v>0</v>
      </c>
    </row>
    <row r="8168" spans="1:16" x14ac:dyDescent="0.25">
      <c r="A8168" t="s">
        <v>30766</v>
      </c>
      <c r="B8168" t="s">
        <v>17071</v>
      </c>
      <c r="C8168" t="s">
        <v>17072</v>
      </c>
      <c r="D8168" t="str">
        <f>"1106"</f>
        <v>1106</v>
      </c>
      <c r="E8168" t="s">
        <v>460</v>
      </c>
      <c r="F8168" t="s">
        <v>16730</v>
      </c>
      <c r="G8168" t="s">
        <v>16221</v>
      </c>
      <c r="H8168" t="s">
        <v>47054</v>
      </c>
      <c r="I8168" t="s">
        <v>47116</v>
      </c>
      <c r="J8168" t="s">
        <v>47117</v>
      </c>
      <c r="K8168" t="s">
        <v>47113</v>
      </c>
      <c r="L8168">
        <v>9.74</v>
      </c>
      <c r="M8168">
        <v>29</v>
      </c>
      <c r="N8168">
        <v>0</v>
      </c>
      <c r="O8168">
        <v>29</v>
      </c>
      <c r="P8168">
        <v>0</v>
      </c>
    </row>
    <row r="8169" spans="1:16" x14ac:dyDescent="0.25">
      <c r="A8169" t="s">
        <v>30767</v>
      </c>
      <c r="B8169" t="s">
        <v>17073</v>
      </c>
      <c r="C8169" t="s">
        <v>17074</v>
      </c>
      <c r="D8169" t="str">
        <f>"3071"</f>
        <v>3071</v>
      </c>
      <c r="E8169" t="s">
        <v>17075</v>
      </c>
      <c r="F8169" t="s">
        <v>16839</v>
      </c>
      <c r="G8169" t="s">
        <v>16221</v>
      </c>
      <c r="H8169" t="s">
        <v>47054</v>
      </c>
      <c r="I8169" t="s">
        <v>47116</v>
      </c>
      <c r="J8169" t="s">
        <v>47117</v>
      </c>
      <c r="K8169" t="s">
        <v>47113</v>
      </c>
      <c r="L8169">
        <v>14.55</v>
      </c>
      <c r="M8169">
        <v>29</v>
      </c>
      <c r="N8169">
        <v>0</v>
      </c>
      <c r="O8169">
        <v>29</v>
      </c>
      <c r="P8169">
        <v>0</v>
      </c>
    </row>
    <row r="8170" spans="1:16" x14ac:dyDescent="0.25">
      <c r="A8170" t="s">
        <v>30768</v>
      </c>
      <c r="B8170" t="s">
        <v>17076</v>
      </c>
      <c r="C8170" t="s">
        <v>17077</v>
      </c>
      <c r="D8170" t="str">
        <f>"1106"</f>
        <v>1106</v>
      </c>
      <c r="E8170" t="s">
        <v>42</v>
      </c>
      <c r="F8170" t="s">
        <v>16839</v>
      </c>
      <c r="G8170" t="s">
        <v>16221</v>
      </c>
      <c r="H8170" t="s">
        <v>47054</v>
      </c>
      <c r="I8170" t="s">
        <v>47569</v>
      </c>
      <c r="J8170" t="s">
        <v>47570</v>
      </c>
      <c r="K8170" t="s">
        <v>47113</v>
      </c>
      <c r="L8170">
        <v>12.71</v>
      </c>
      <c r="M8170">
        <v>26</v>
      </c>
      <c r="N8170">
        <v>0</v>
      </c>
      <c r="O8170">
        <v>26</v>
      </c>
      <c r="P8170">
        <v>0</v>
      </c>
    </row>
    <row r="8171" spans="1:16" x14ac:dyDescent="0.25">
      <c r="A8171" t="s">
        <v>30769</v>
      </c>
      <c r="B8171" t="s">
        <v>17076</v>
      </c>
      <c r="C8171" t="s">
        <v>17077</v>
      </c>
      <c r="D8171" t="str">
        <f>"4100"</f>
        <v>4100</v>
      </c>
      <c r="E8171" t="s">
        <v>4175</v>
      </c>
      <c r="F8171" t="s">
        <v>16839</v>
      </c>
      <c r="G8171" t="s">
        <v>16221</v>
      </c>
      <c r="H8171" t="s">
        <v>47054</v>
      </c>
      <c r="I8171" t="s">
        <v>47569</v>
      </c>
      <c r="J8171" t="s">
        <v>47570</v>
      </c>
      <c r="K8171" t="s">
        <v>47113</v>
      </c>
      <c r="L8171">
        <v>12.71</v>
      </c>
      <c r="M8171">
        <v>26</v>
      </c>
      <c r="N8171">
        <v>0</v>
      </c>
      <c r="O8171">
        <v>26</v>
      </c>
      <c r="P8171">
        <v>0</v>
      </c>
    </row>
    <row r="8172" spans="1:16" x14ac:dyDescent="0.25">
      <c r="A8172" t="s">
        <v>30770</v>
      </c>
      <c r="B8172" t="s">
        <v>15429</v>
      </c>
      <c r="C8172" t="s">
        <v>15430</v>
      </c>
      <c r="D8172" t="str">
        <f>"1106"</f>
        <v>1106</v>
      </c>
      <c r="E8172" t="s">
        <v>460</v>
      </c>
      <c r="F8172" t="s">
        <v>15183</v>
      </c>
      <c r="G8172" t="s">
        <v>16232</v>
      </c>
      <c r="H8172" t="s">
        <v>47054</v>
      </c>
      <c r="I8172" t="s">
        <v>47120</v>
      </c>
      <c r="J8172" t="s">
        <v>47121</v>
      </c>
      <c r="K8172" t="s">
        <v>47113</v>
      </c>
      <c r="L8172">
        <v>12.78</v>
      </c>
      <c r="M8172">
        <v>33</v>
      </c>
      <c r="N8172">
        <v>0</v>
      </c>
      <c r="O8172">
        <v>33</v>
      </c>
      <c r="P8172">
        <v>0</v>
      </c>
    </row>
    <row r="8173" spans="1:16" x14ac:dyDescent="0.25">
      <c r="A8173" t="s">
        <v>30771</v>
      </c>
      <c r="B8173" t="s">
        <v>15429</v>
      </c>
      <c r="C8173" t="s">
        <v>15430</v>
      </c>
      <c r="D8173" t="str">
        <f>"1800"</f>
        <v>1800</v>
      </c>
      <c r="E8173" t="s">
        <v>1999</v>
      </c>
      <c r="F8173" t="s">
        <v>15183</v>
      </c>
      <c r="G8173" t="s">
        <v>16232</v>
      </c>
      <c r="H8173" t="s">
        <v>47054</v>
      </c>
      <c r="I8173" t="s">
        <v>47120</v>
      </c>
      <c r="J8173" t="s">
        <v>47121</v>
      </c>
      <c r="K8173" t="s">
        <v>47113</v>
      </c>
      <c r="L8173">
        <v>12.78</v>
      </c>
      <c r="M8173">
        <v>33</v>
      </c>
      <c r="N8173">
        <v>0</v>
      </c>
      <c r="O8173">
        <v>33</v>
      </c>
      <c r="P8173">
        <v>0</v>
      </c>
    </row>
    <row r="8174" spans="1:16" x14ac:dyDescent="0.25">
      <c r="A8174" t="s">
        <v>30772</v>
      </c>
      <c r="B8174" t="s">
        <v>15429</v>
      </c>
      <c r="C8174" t="s">
        <v>15430</v>
      </c>
      <c r="D8174" t="str">
        <f>"4100"</f>
        <v>4100</v>
      </c>
      <c r="E8174" t="s">
        <v>15303</v>
      </c>
      <c r="F8174" t="s">
        <v>15183</v>
      </c>
      <c r="G8174" t="s">
        <v>16232</v>
      </c>
      <c r="H8174" t="s">
        <v>47054</v>
      </c>
      <c r="I8174" t="s">
        <v>47120</v>
      </c>
      <c r="J8174" t="s">
        <v>47121</v>
      </c>
      <c r="K8174" t="s">
        <v>47113</v>
      </c>
      <c r="L8174">
        <v>12.78</v>
      </c>
      <c r="M8174">
        <v>33</v>
      </c>
      <c r="N8174">
        <v>0</v>
      </c>
      <c r="O8174">
        <v>33</v>
      </c>
      <c r="P8174">
        <v>0</v>
      </c>
    </row>
    <row r="8175" spans="1:16" x14ac:dyDescent="0.25">
      <c r="A8175" t="s">
        <v>30773</v>
      </c>
      <c r="B8175" t="s">
        <v>15429</v>
      </c>
      <c r="C8175" t="s">
        <v>15430</v>
      </c>
      <c r="D8175" t="str">
        <f>"6003"</f>
        <v>6003</v>
      </c>
      <c r="E8175" t="s">
        <v>15366</v>
      </c>
      <c r="F8175" t="s">
        <v>15183</v>
      </c>
      <c r="G8175" t="s">
        <v>16232</v>
      </c>
      <c r="H8175" t="s">
        <v>47054</v>
      </c>
      <c r="I8175" t="s">
        <v>47120</v>
      </c>
      <c r="J8175" t="s">
        <v>47121</v>
      </c>
      <c r="K8175" t="s">
        <v>47113</v>
      </c>
      <c r="L8175">
        <v>12.78</v>
      </c>
      <c r="M8175">
        <v>33</v>
      </c>
      <c r="N8175">
        <v>0</v>
      </c>
      <c r="O8175">
        <v>33</v>
      </c>
      <c r="P8175">
        <v>0</v>
      </c>
    </row>
    <row r="8176" spans="1:16" x14ac:dyDescent="0.25">
      <c r="A8176" t="s">
        <v>30774</v>
      </c>
      <c r="B8176" t="s">
        <v>15431</v>
      </c>
      <c r="C8176" t="s">
        <v>15432</v>
      </c>
      <c r="D8176" t="str">
        <f>"4143"</f>
        <v>4143</v>
      </c>
      <c r="E8176" t="s">
        <v>15303</v>
      </c>
      <c r="F8176" t="s">
        <v>15183</v>
      </c>
      <c r="G8176" t="s">
        <v>16222</v>
      </c>
      <c r="H8176" t="s">
        <v>47054</v>
      </c>
      <c r="I8176" t="s">
        <v>47120</v>
      </c>
      <c r="J8176" t="s">
        <v>47121</v>
      </c>
      <c r="K8176" t="s">
        <v>47113</v>
      </c>
      <c r="L8176">
        <v>41.81</v>
      </c>
      <c r="M8176">
        <v>66</v>
      </c>
      <c r="N8176">
        <v>0</v>
      </c>
      <c r="O8176">
        <v>66</v>
      </c>
      <c r="P8176">
        <v>0</v>
      </c>
    </row>
    <row r="8177" spans="1:16" x14ac:dyDescent="0.25">
      <c r="A8177" t="s">
        <v>30775</v>
      </c>
      <c r="B8177" t="s">
        <v>15433</v>
      </c>
      <c r="C8177" t="s">
        <v>15434</v>
      </c>
      <c r="D8177" t="str">
        <f>"1106"</f>
        <v>1106</v>
      </c>
      <c r="E8177" t="s">
        <v>460</v>
      </c>
      <c r="F8177" t="s">
        <v>15183</v>
      </c>
      <c r="G8177" t="s">
        <v>16222</v>
      </c>
      <c r="H8177" t="s">
        <v>47054</v>
      </c>
      <c r="I8177" t="s">
        <v>47569</v>
      </c>
      <c r="J8177" t="s">
        <v>47570</v>
      </c>
      <c r="K8177" t="s">
        <v>47113</v>
      </c>
      <c r="L8177">
        <v>32</v>
      </c>
      <c r="M8177">
        <v>51</v>
      </c>
      <c r="N8177">
        <v>0</v>
      </c>
      <c r="O8177">
        <v>51</v>
      </c>
      <c r="P8177">
        <v>0</v>
      </c>
    </row>
    <row r="8178" spans="1:16" x14ac:dyDescent="0.25">
      <c r="A8178" t="s">
        <v>30776</v>
      </c>
      <c r="B8178" t="s">
        <v>17078</v>
      </c>
      <c r="C8178" t="s">
        <v>17079</v>
      </c>
      <c r="D8178" t="str">
        <f>"1501"</f>
        <v>1501</v>
      </c>
      <c r="E8178" t="s">
        <v>16926</v>
      </c>
      <c r="F8178" t="s">
        <v>16810</v>
      </c>
      <c r="G8178" t="s">
        <v>16222</v>
      </c>
      <c r="H8178" t="s">
        <v>47054</v>
      </c>
      <c r="I8178" t="s">
        <v>47118</v>
      </c>
      <c r="J8178" t="s">
        <v>47119</v>
      </c>
      <c r="K8178" t="s">
        <v>47113</v>
      </c>
      <c r="L8178">
        <v>27.44</v>
      </c>
      <c r="M8178">
        <v>55</v>
      </c>
      <c r="N8178">
        <v>0</v>
      </c>
      <c r="O8178">
        <v>55</v>
      </c>
      <c r="P8178">
        <v>0</v>
      </c>
    </row>
    <row r="8179" spans="1:16" x14ac:dyDescent="0.25">
      <c r="A8179" t="s">
        <v>30777</v>
      </c>
      <c r="B8179" t="s">
        <v>15435</v>
      </c>
      <c r="C8179" t="s">
        <v>17080</v>
      </c>
      <c r="D8179" t="str">
        <f>"2000"</f>
        <v>2000</v>
      </c>
      <c r="E8179" t="s">
        <v>15436</v>
      </c>
      <c r="F8179" t="s">
        <v>15183</v>
      </c>
      <c r="G8179" t="s">
        <v>16231</v>
      </c>
      <c r="H8179" t="s">
        <v>47054</v>
      </c>
      <c r="I8179" t="s">
        <v>47544</v>
      </c>
      <c r="J8179" t="s">
        <v>47545</v>
      </c>
      <c r="K8179" t="s">
        <v>47113</v>
      </c>
      <c r="L8179">
        <v>70.33</v>
      </c>
      <c r="M8179">
        <v>111</v>
      </c>
      <c r="N8179">
        <v>0</v>
      </c>
      <c r="O8179">
        <v>111</v>
      </c>
      <c r="P8179">
        <v>0</v>
      </c>
    </row>
    <row r="8180" spans="1:16" x14ac:dyDescent="0.25">
      <c r="A8180" t="s">
        <v>30778</v>
      </c>
      <c r="B8180" t="s">
        <v>15435</v>
      </c>
      <c r="C8180" t="s">
        <v>17080</v>
      </c>
      <c r="D8180" t="str">
        <f>"6012"</f>
        <v>6012</v>
      </c>
      <c r="E8180" t="s">
        <v>15437</v>
      </c>
      <c r="F8180" t="s">
        <v>15183</v>
      </c>
      <c r="G8180" t="s">
        <v>16231</v>
      </c>
      <c r="H8180" t="s">
        <v>47054</v>
      </c>
      <c r="I8180" t="s">
        <v>47544</v>
      </c>
      <c r="J8180" t="s">
        <v>47545</v>
      </c>
      <c r="K8180" t="s">
        <v>47113</v>
      </c>
      <c r="L8180">
        <v>70.33</v>
      </c>
      <c r="M8180">
        <v>111</v>
      </c>
      <c r="N8180">
        <v>0</v>
      </c>
      <c r="O8180">
        <v>111</v>
      </c>
      <c r="P8180">
        <v>0</v>
      </c>
    </row>
    <row r="8181" spans="1:16" x14ac:dyDescent="0.25">
      <c r="A8181" t="s">
        <v>30779</v>
      </c>
      <c r="B8181" t="s">
        <v>17081</v>
      </c>
      <c r="C8181" t="s">
        <v>17082</v>
      </c>
      <c r="D8181" t="str">
        <f>"1001"</f>
        <v>1001</v>
      </c>
      <c r="E8181" t="s">
        <v>17083</v>
      </c>
      <c r="F8181" t="s">
        <v>16730</v>
      </c>
      <c r="G8181" t="s">
        <v>16234</v>
      </c>
      <c r="H8181" t="s">
        <v>47054</v>
      </c>
      <c r="I8181" t="s">
        <v>47120</v>
      </c>
      <c r="J8181" t="s">
        <v>47121</v>
      </c>
      <c r="K8181" t="s">
        <v>47113</v>
      </c>
      <c r="L8181">
        <v>28.7</v>
      </c>
      <c r="M8181">
        <v>92</v>
      </c>
      <c r="N8181">
        <v>0</v>
      </c>
      <c r="O8181">
        <v>92</v>
      </c>
      <c r="P8181">
        <v>0</v>
      </c>
    </row>
    <row r="8182" spans="1:16" x14ac:dyDescent="0.25">
      <c r="A8182" t="s">
        <v>30780</v>
      </c>
      <c r="B8182" t="s">
        <v>17081</v>
      </c>
      <c r="C8182" t="s">
        <v>17082</v>
      </c>
      <c r="D8182" t="str">
        <f>"1100"</f>
        <v>1100</v>
      </c>
      <c r="E8182" t="s">
        <v>17084</v>
      </c>
      <c r="F8182" t="s">
        <v>16730</v>
      </c>
      <c r="G8182" t="s">
        <v>16234</v>
      </c>
      <c r="H8182" t="s">
        <v>47054</v>
      </c>
      <c r="I8182" t="s">
        <v>47120</v>
      </c>
      <c r="J8182" t="s">
        <v>47121</v>
      </c>
      <c r="K8182" t="s">
        <v>47113</v>
      </c>
      <c r="L8182">
        <v>28.7</v>
      </c>
      <c r="M8182">
        <v>92</v>
      </c>
      <c r="N8182">
        <v>0</v>
      </c>
      <c r="O8182">
        <v>92</v>
      </c>
      <c r="P8182">
        <v>0</v>
      </c>
    </row>
    <row r="8183" spans="1:16" x14ac:dyDescent="0.25">
      <c r="A8183" t="s">
        <v>30781</v>
      </c>
      <c r="B8183" t="s">
        <v>17081</v>
      </c>
      <c r="C8183" t="s">
        <v>17082</v>
      </c>
      <c r="D8183" t="str">
        <f>"1700"</f>
        <v>1700</v>
      </c>
      <c r="E8183" t="s">
        <v>17085</v>
      </c>
      <c r="F8183" t="s">
        <v>16730</v>
      </c>
      <c r="G8183" t="s">
        <v>16234</v>
      </c>
      <c r="H8183" t="s">
        <v>47054</v>
      </c>
      <c r="I8183" t="s">
        <v>47120</v>
      </c>
      <c r="J8183" t="s">
        <v>47121</v>
      </c>
      <c r="K8183" t="s">
        <v>47113</v>
      </c>
      <c r="L8183">
        <v>28.7</v>
      </c>
      <c r="M8183">
        <v>92</v>
      </c>
      <c r="N8183">
        <v>0</v>
      </c>
      <c r="O8183">
        <v>92</v>
      </c>
      <c r="P8183">
        <v>0</v>
      </c>
    </row>
    <row r="8184" spans="1:16" x14ac:dyDescent="0.25">
      <c r="A8184" t="s">
        <v>30782</v>
      </c>
      <c r="B8184" t="s">
        <v>17086</v>
      </c>
      <c r="C8184" t="s">
        <v>17080</v>
      </c>
      <c r="D8184" t="s">
        <v>17087</v>
      </c>
      <c r="E8184" t="s">
        <v>17088</v>
      </c>
      <c r="F8184" t="s">
        <v>16730</v>
      </c>
      <c r="G8184" t="s">
        <v>16234</v>
      </c>
      <c r="H8184" t="s">
        <v>47054</v>
      </c>
      <c r="I8184" t="s">
        <v>47120</v>
      </c>
      <c r="J8184" t="s">
        <v>47121</v>
      </c>
      <c r="K8184" t="s">
        <v>47113</v>
      </c>
      <c r="L8184">
        <v>52.03</v>
      </c>
      <c r="M8184">
        <v>92</v>
      </c>
      <c r="N8184">
        <v>0</v>
      </c>
      <c r="O8184">
        <v>92</v>
      </c>
      <c r="P8184">
        <v>0</v>
      </c>
    </row>
    <row r="8185" spans="1:16" x14ac:dyDescent="0.25">
      <c r="A8185" t="s">
        <v>30783</v>
      </c>
      <c r="B8185" t="s">
        <v>20143</v>
      </c>
      <c r="C8185" t="s">
        <v>17082</v>
      </c>
      <c r="D8185" t="str">
        <f>"1821"</f>
        <v>1821</v>
      </c>
      <c r="E8185" t="s">
        <v>590</v>
      </c>
      <c r="F8185" t="s">
        <v>16933</v>
      </c>
      <c r="G8185" t="s">
        <v>16231</v>
      </c>
      <c r="H8185" t="s">
        <v>47054</v>
      </c>
      <c r="I8185" t="s">
        <v>47544</v>
      </c>
      <c r="J8185" t="s">
        <v>47545</v>
      </c>
      <c r="K8185" t="s">
        <v>47113</v>
      </c>
      <c r="L8185">
        <v>41.49</v>
      </c>
      <c r="M8185">
        <v>92</v>
      </c>
      <c r="N8185">
        <v>0</v>
      </c>
      <c r="O8185">
        <v>92</v>
      </c>
      <c r="P8185">
        <v>0</v>
      </c>
    </row>
    <row r="8186" spans="1:16" x14ac:dyDescent="0.25">
      <c r="A8186" t="s">
        <v>30784</v>
      </c>
      <c r="B8186" t="s">
        <v>20143</v>
      </c>
      <c r="C8186" t="s">
        <v>17082</v>
      </c>
      <c r="D8186" t="s">
        <v>20144</v>
      </c>
      <c r="E8186" t="s">
        <v>20145</v>
      </c>
      <c r="F8186" t="s">
        <v>16933</v>
      </c>
      <c r="G8186" t="s">
        <v>16231</v>
      </c>
      <c r="H8186" t="s">
        <v>47054</v>
      </c>
      <c r="I8186" t="s">
        <v>47544</v>
      </c>
      <c r="J8186" t="s">
        <v>47545</v>
      </c>
      <c r="K8186" t="s">
        <v>47113</v>
      </c>
      <c r="L8186">
        <v>41.49</v>
      </c>
      <c r="M8186">
        <v>92</v>
      </c>
      <c r="N8186">
        <v>0</v>
      </c>
      <c r="O8186">
        <v>92</v>
      </c>
      <c r="P8186">
        <v>0</v>
      </c>
    </row>
    <row r="8187" spans="1:16" x14ac:dyDescent="0.25">
      <c r="A8187" t="s">
        <v>30785</v>
      </c>
      <c r="B8187" t="s">
        <v>20146</v>
      </c>
      <c r="C8187" t="s">
        <v>17082</v>
      </c>
      <c r="D8187" t="s">
        <v>20147</v>
      </c>
      <c r="E8187" t="s">
        <v>20148</v>
      </c>
      <c r="F8187" t="s">
        <v>19878</v>
      </c>
      <c r="G8187" t="s">
        <v>16231</v>
      </c>
      <c r="H8187" t="s">
        <v>47054</v>
      </c>
      <c r="I8187" t="s">
        <v>47544</v>
      </c>
      <c r="J8187" t="s">
        <v>47545</v>
      </c>
      <c r="K8187" t="s">
        <v>47113</v>
      </c>
      <c r="L8187">
        <v>36.049999999999997</v>
      </c>
      <c r="M8187">
        <v>66</v>
      </c>
      <c r="N8187">
        <v>0</v>
      </c>
      <c r="O8187">
        <v>66</v>
      </c>
      <c r="P8187">
        <v>0</v>
      </c>
    </row>
    <row r="8188" spans="1:16" x14ac:dyDescent="0.25">
      <c r="A8188" t="s">
        <v>30786</v>
      </c>
      <c r="B8188" t="s">
        <v>20149</v>
      </c>
      <c r="C8188" t="s">
        <v>17082</v>
      </c>
      <c r="D8188" t="str">
        <f>"3535"</f>
        <v>3535</v>
      </c>
      <c r="E8188" t="s">
        <v>20150</v>
      </c>
      <c r="F8188" t="s">
        <v>19552</v>
      </c>
      <c r="G8188" t="s">
        <v>16234</v>
      </c>
      <c r="H8188" t="s">
        <v>47054</v>
      </c>
      <c r="I8188" t="s">
        <v>47120</v>
      </c>
      <c r="J8188" t="s">
        <v>47121</v>
      </c>
      <c r="K8188" t="s">
        <v>47113</v>
      </c>
      <c r="L8188">
        <v>37.61</v>
      </c>
      <c r="M8188">
        <v>92</v>
      </c>
      <c r="N8188">
        <v>0</v>
      </c>
      <c r="O8188">
        <v>92</v>
      </c>
      <c r="P8188">
        <v>0</v>
      </c>
    </row>
    <row r="8189" spans="1:16" x14ac:dyDescent="0.25">
      <c r="A8189" t="s">
        <v>30787</v>
      </c>
      <c r="B8189" t="s">
        <v>30788</v>
      </c>
      <c r="C8189" t="s">
        <v>17082</v>
      </c>
      <c r="D8189" t="str">
        <f>"1200"</f>
        <v>1200</v>
      </c>
      <c r="E8189" t="s">
        <v>30789</v>
      </c>
      <c r="F8189" t="s">
        <v>20496</v>
      </c>
      <c r="G8189" t="s">
        <v>16234</v>
      </c>
      <c r="H8189" t="s">
        <v>47054</v>
      </c>
      <c r="I8189" t="s">
        <v>47120</v>
      </c>
      <c r="J8189" t="s">
        <v>47121</v>
      </c>
      <c r="K8189" t="s">
        <v>47113</v>
      </c>
      <c r="L8189">
        <v>36.72</v>
      </c>
      <c r="M8189">
        <v>84</v>
      </c>
      <c r="N8189">
        <v>0</v>
      </c>
      <c r="O8189">
        <v>84</v>
      </c>
      <c r="P8189">
        <v>0</v>
      </c>
    </row>
    <row r="8190" spans="1:16" x14ac:dyDescent="0.25">
      <c r="A8190" t="s">
        <v>30790</v>
      </c>
      <c r="B8190" t="s">
        <v>30788</v>
      </c>
      <c r="C8190" t="s">
        <v>17082</v>
      </c>
      <c r="D8190" t="str">
        <f>"4000"</f>
        <v>4000</v>
      </c>
      <c r="E8190" t="s">
        <v>29720</v>
      </c>
      <c r="F8190" t="s">
        <v>20496</v>
      </c>
      <c r="G8190" t="s">
        <v>16234</v>
      </c>
      <c r="H8190" t="s">
        <v>47054</v>
      </c>
      <c r="I8190" t="s">
        <v>47120</v>
      </c>
      <c r="J8190" t="s">
        <v>47121</v>
      </c>
      <c r="K8190" t="s">
        <v>47113</v>
      </c>
      <c r="L8190">
        <v>36.72</v>
      </c>
      <c r="M8190">
        <v>84</v>
      </c>
      <c r="N8190">
        <v>0</v>
      </c>
      <c r="O8190">
        <v>84</v>
      </c>
      <c r="P8190">
        <v>0</v>
      </c>
    </row>
    <row r="8191" spans="1:16" x14ac:dyDescent="0.25">
      <c r="A8191" t="s">
        <v>30791</v>
      </c>
      <c r="B8191" t="s">
        <v>30792</v>
      </c>
      <c r="C8191" t="s">
        <v>17082</v>
      </c>
      <c r="D8191" t="s">
        <v>15259</v>
      </c>
      <c r="E8191" t="s">
        <v>15260</v>
      </c>
      <c r="F8191" t="s">
        <v>21629</v>
      </c>
      <c r="G8191" t="s">
        <v>16231</v>
      </c>
      <c r="H8191" t="s">
        <v>47054</v>
      </c>
      <c r="I8191" t="s">
        <v>47544</v>
      </c>
      <c r="J8191" t="s">
        <v>47545</v>
      </c>
      <c r="K8191" t="s">
        <v>47113</v>
      </c>
      <c r="L8191">
        <v>41.49</v>
      </c>
      <c r="M8191">
        <v>95</v>
      </c>
      <c r="N8191">
        <v>0</v>
      </c>
      <c r="O8191">
        <v>95</v>
      </c>
      <c r="P8191">
        <v>0</v>
      </c>
    </row>
    <row r="8192" spans="1:16" x14ac:dyDescent="0.25">
      <c r="A8192" t="s">
        <v>30793</v>
      </c>
      <c r="B8192" t="s">
        <v>30794</v>
      </c>
      <c r="C8192" t="s">
        <v>17082</v>
      </c>
      <c r="D8192" t="str">
        <f>"3000"</f>
        <v>3000</v>
      </c>
      <c r="E8192" t="s">
        <v>29634</v>
      </c>
      <c r="F8192" t="s">
        <v>20496</v>
      </c>
      <c r="G8192" t="s">
        <v>16234</v>
      </c>
      <c r="H8192" t="s">
        <v>47054</v>
      </c>
      <c r="I8192" t="s">
        <v>47120</v>
      </c>
      <c r="J8192" t="s">
        <v>47121</v>
      </c>
      <c r="K8192" t="s">
        <v>47113</v>
      </c>
      <c r="L8192">
        <v>40.96</v>
      </c>
      <c r="M8192">
        <v>84</v>
      </c>
      <c r="N8192">
        <v>0</v>
      </c>
      <c r="O8192">
        <v>84</v>
      </c>
      <c r="P8192">
        <v>0</v>
      </c>
    </row>
    <row r="8193" spans="1:16" x14ac:dyDescent="0.25">
      <c r="A8193" t="s">
        <v>30795</v>
      </c>
      <c r="B8193" t="s">
        <v>30796</v>
      </c>
      <c r="C8193" t="s">
        <v>17082</v>
      </c>
      <c r="D8193" t="str">
        <f>"1001"</f>
        <v>1001</v>
      </c>
      <c r="E8193" t="s">
        <v>30797</v>
      </c>
      <c r="F8193" t="s">
        <v>19559</v>
      </c>
      <c r="G8193" t="s">
        <v>16234</v>
      </c>
      <c r="H8193" t="s">
        <v>47054</v>
      </c>
      <c r="I8193" t="s">
        <v>47120</v>
      </c>
      <c r="J8193" t="s">
        <v>47121</v>
      </c>
      <c r="K8193" t="s">
        <v>47113</v>
      </c>
      <c r="L8193">
        <v>36.89</v>
      </c>
      <c r="M8193">
        <v>92</v>
      </c>
      <c r="N8193">
        <v>0</v>
      </c>
      <c r="O8193">
        <v>92</v>
      </c>
      <c r="P8193">
        <v>0</v>
      </c>
    </row>
    <row r="8194" spans="1:16" x14ac:dyDescent="0.25">
      <c r="A8194" t="s">
        <v>30798</v>
      </c>
      <c r="B8194" t="s">
        <v>17089</v>
      </c>
      <c r="C8194" t="s">
        <v>17090</v>
      </c>
      <c r="D8194" t="str">
        <f>"1106"</f>
        <v>1106</v>
      </c>
      <c r="E8194" t="s">
        <v>460</v>
      </c>
      <c r="F8194" t="s">
        <v>16601</v>
      </c>
      <c r="G8194" t="s">
        <v>16448</v>
      </c>
      <c r="H8194" t="s">
        <v>47054</v>
      </c>
      <c r="I8194" t="s">
        <v>47118</v>
      </c>
      <c r="J8194" t="s">
        <v>47119</v>
      </c>
      <c r="K8194" t="s">
        <v>47113</v>
      </c>
      <c r="L8194">
        <v>176.56</v>
      </c>
      <c r="M8194">
        <v>259</v>
      </c>
      <c r="N8194">
        <v>0</v>
      </c>
      <c r="O8194">
        <v>259</v>
      </c>
      <c r="P8194">
        <v>0</v>
      </c>
    </row>
    <row r="8195" spans="1:16" x14ac:dyDescent="0.25">
      <c r="A8195" t="s">
        <v>30799</v>
      </c>
      <c r="B8195" t="s">
        <v>17091</v>
      </c>
      <c r="C8195" t="s">
        <v>17092</v>
      </c>
      <c r="D8195" t="str">
        <f>"1106"</f>
        <v>1106</v>
      </c>
      <c r="E8195" t="s">
        <v>460</v>
      </c>
      <c r="F8195" t="s">
        <v>16730</v>
      </c>
      <c r="G8195" t="s">
        <v>16448</v>
      </c>
      <c r="H8195" t="s">
        <v>47054</v>
      </c>
      <c r="I8195" t="s">
        <v>47120</v>
      </c>
      <c r="J8195" t="s">
        <v>47121</v>
      </c>
      <c r="K8195" t="s">
        <v>47113</v>
      </c>
      <c r="L8195">
        <v>163.72999999999999</v>
      </c>
      <c r="M8195">
        <v>222</v>
      </c>
      <c r="N8195">
        <v>0</v>
      </c>
      <c r="O8195">
        <v>222</v>
      </c>
      <c r="P8195">
        <v>0</v>
      </c>
    </row>
    <row r="8196" spans="1:16" x14ac:dyDescent="0.25">
      <c r="A8196" t="s">
        <v>30800</v>
      </c>
      <c r="B8196" t="s">
        <v>17091</v>
      </c>
      <c r="C8196" t="s">
        <v>17092</v>
      </c>
      <c r="D8196" t="str">
        <f>"6000"</f>
        <v>6000</v>
      </c>
      <c r="E8196" t="s">
        <v>16882</v>
      </c>
      <c r="F8196" t="s">
        <v>16730</v>
      </c>
      <c r="G8196" t="s">
        <v>16448</v>
      </c>
      <c r="H8196" t="s">
        <v>47054</v>
      </c>
      <c r="I8196" t="s">
        <v>47120</v>
      </c>
      <c r="J8196" t="s">
        <v>47121</v>
      </c>
      <c r="K8196" t="s">
        <v>47113</v>
      </c>
      <c r="L8196">
        <v>163.72999999999999</v>
      </c>
      <c r="M8196">
        <v>222</v>
      </c>
      <c r="N8196">
        <v>0</v>
      </c>
      <c r="O8196">
        <v>222</v>
      </c>
      <c r="P8196">
        <v>0</v>
      </c>
    </row>
    <row r="8197" spans="1:16" x14ac:dyDescent="0.25">
      <c r="A8197" t="s">
        <v>30801</v>
      </c>
      <c r="B8197" t="s">
        <v>20151</v>
      </c>
      <c r="C8197" t="s">
        <v>17092</v>
      </c>
      <c r="D8197" t="str">
        <f>"1106"</f>
        <v>1106</v>
      </c>
      <c r="E8197" t="s">
        <v>42</v>
      </c>
      <c r="F8197" t="s">
        <v>19552</v>
      </c>
      <c r="G8197" t="s">
        <v>16448</v>
      </c>
      <c r="H8197" t="s">
        <v>47054</v>
      </c>
      <c r="I8197" t="s">
        <v>47120</v>
      </c>
      <c r="J8197" t="s">
        <v>47121</v>
      </c>
      <c r="K8197" t="s">
        <v>47113</v>
      </c>
      <c r="L8197">
        <v>170.54</v>
      </c>
      <c r="M8197">
        <v>346</v>
      </c>
      <c r="N8197">
        <v>0</v>
      </c>
      <c r="O8197">
        <v>346</v>
      </c>
      <c r="P8197">
        <v>0</v>
      </c>
    </row>
    <row r="8198" spans="1:16" x14ac:dyDescent="0.25">
      <c r="A8198" t="s">
        <v>30802</v>
      </c>
      <c r="B8198" t="s">
        <v>17093</v>
      </c>
      <c r="C8198" t="s">
        <v>17094</v>
      </c>
      <c r="D8198" t="str">
        <f>"3071"</f>
        <v>3071</v>
      </c>
      <c r="E8198" t="s">
        <v>17075</v>
      </c>
      <c r="F8198" t="s">
        <v>16839</v>
      </c>
      <c r="G8198" t="s">
        <v>16224</v>
      </c>
      <c r="H8198" t="s">
        <v>47054</v>
      </c>
      <c r="I8198" t="s">
        <v>47120</v>
      </c>
      <c r="J8198" t="s">
        <v>47121</v>
      </c>
      <c r="K8198" t="s">
        <v>47113</v>
      </c>
      <c r="L8198">
        <v>73.47</v>
      </c>
      <c r="M8198">
        <v>148</v>
      </c>
      <c r="N8198">
        <v>0</v>
      </c>
      <c r="O8198">
        <v>148</v>
      </c>
      <c r="P8198">
        <v>0</v>
      </c>
    </row>
    <row r="8199" spans="1:16" x14ac:dyDescent="0.25">
      <c r="A8199" t="s">
        <v>30803</v>
      </c>
      <c r="B8199" t="s">
        <v>17095</v>
      </c>
      <c r="C8199" t="s">
        <v>17096</v>
      </c>
      <c r="D8199" t="str">
        <f>"1106"</f>
        <v>1106</v>
      </c>
      <c r="E8199" t="s">
        <v>460</v>
      </c>
      <c r="F8199" t="s">
        <v>16730</v>
      </c>
      <c r="G8199" t="s">
        <v>16448</v>
      </c>
      <c r="H8199" t="s">
        <v>47054</v>
      </c>
      <c r="I8199" t="s">
        <v>47120</v>
      </c>
      <c r="J8199" t="s">
        <v>47121</v>
      </c>
      <c r="K8199" t="s">
        <v>47113</v>
      </c>
      <c r="L8199">
        <v>77.510000000000005</v>
      </c>
      <c r="M8199">
        <v>129</v>
      </c>
      <c r="N8199">
        <v>0</v>
      </c>
      <c r="O8199">
        <v>129</v>
      </c>
      <c r="P8199">
        <v>0</v>
      </c>
    </row>
    <row r="8200" spans="1:16" x14ac:dyDescent="0.25">
      <c r="A8200" t="s">
        <v>30804</v>
      </c>
      <c r="B8200" t="s">
        <v>17097</v>
      </c>
      <c r="C8200" t="s">
        <v>17098</v>
      </c>
      <c r="D8200" t="str">
        <f>"4403"</f>
        <v>4403</v>
      </c>
      <c r="E8200" t="s">
        <v>17099</v>
      </c>
      <c r="F8200" t="s">
        <v>16730</v>
      </c>
      <c r="G8200" t="s">
        <v>16230</v>
      </c>
      <c r="I8200" t="s">
        <v>47120</v>
      </c>
      <c r="J8200" t="s">
        <v>47121</v>
      </c>
      <c r="K8200" t="s">
        <v>47113</v>
      </c>
      <c r="L8200">
        <v>26.79</v>
      </c>
      <c r="M8200">
        <v>66</v>
      </c>
      <c r="N8200">
        <v>0</v>
      </c>
      <c r="O8200">
        <v>66</v>
      </c>
      <c r="P8200">
        <v>0</v>
      </c>
    </row>
    <row r="8201" spans="1:16" x14ac:dyDescent="0.25">
      <c r="A8201" t="s">
        <v>30805</v>
      </c>
      <c r="B8201" t="s">
        <v>17100</v>
      </c>
      <c r="C8201" t="s">
        <v>17101</v>
      </c>
      <c r="D8201" t="str">
        <f>"3443"</f>
        <v>3443</v>
      </c>
      <c r="E8201" t="s">
        <v>17102</v>
      </c>
      <c r="F8201" t="s">
        <v>16730</v>
      </c>
      <c r="G8201" t="s">
        <v>16230</v>
      </c>
      <c r="H8201" t="s">
        <v>47054</v>
      </c>
      <c r="I8201" t="s">
        <v>47120</v>
      </c>
      <c r="J8201" t="s">
        <v>47121</v>
      </c>
      <c r="K8201" t="s">
        <v>47113</v>
      </c>
      <c r="L8201">
        <v>37.979999999999997</v>
      </c>
      <c r="M8201">
        <v>66</v>
      </c>
      <c r="N8201">
        <v>0</v>
      </c>
      <c r="O8201">
        <v>66</v>
      </c>
      <c r="P8201">
        <v>0</v>
      </c>
    </row>
    <row r="8202" spans="1:16" x14ac:dyDescent="0.25">
      <c r="A8202" t="s">
        <v>30806</v>
      </c>
      <c r="B8202" t="s">
        <v>17103</v>
      </c>
      <c r="C8202" t="s">
        <v>46696</v>
      </c>
      <c r="D8202" t="str">
        <f>"1001"</f>
        <v>1001</v>
      </c>
      <c r="E8202" t="s">
        <v>17104</v>
      </c>
      <c r="F8202" t="s">
        <v>16771</v>
      </c>
      <c r="G8202" t="s">
        <v>16230</v>
      </c>
      <c r="I8202" t="s">
        <v>47120</v>
      </c>
      <c r="J8202" t="s">
        <v>47121</v>
      </c>
      <c r="K8202" t="s">
        <v>47113</v>
      </c>
      <c r="L8202">
        <v>32.64</v>
      </c>
      <c r="M8202">
        <v>66</v>
      </c>
      <c r="N8202">
        <v>0</v>
      </c>
      <c r="O8202">
        <v>66</v>
      </c>
      <c r="P8202">
        <v>0</v>
      </c>
    </row>
    <row r="8203" spans="1:16" x14ac:dyDescent="0.25">
      <c r="A8203" t="s">
        <v>30807</v>
      </c>
      <c r="B8203" t="s">
        <v>17105</v>
      </c>
      <c r="C8203" t="s">
        <v>17106</v>
      </c>
      <c r="D8203" t="str">
        <f>"1001"</f>
        <v>1001</v>
      </c>
      <c r="E8203" t="s">
        <v>773</v>
      </c>
      <c r="F8203" t="s">
        <v>16839</v>
      </c>
      <c r="G8203" t="s">
        <v>16230</v>
      </c>
      <c r="H8203" t="s">
        <v>47054</v>
      </c>
      <c r="I8203" t="s">
        <v>47120</v>
      </c>
      <c r="J8203" t="s">
        <v>47121</v>
      </c>
      <c r="K8203" t="s">
        <v>47113</v>
      </c>
      <c r="L8203">
        <v>31.12</v>
      </c>
      <c r="M8203">
        <v>63</v>
      </c>
      <c r="N8203">
        <v>0</v>
      </c>
      <c r="O8203">
        <v>63</v>
      </c>
      <c r="P8203">
        <v>0</v>
      </c>
    </row>
    <row r="8204" spans="1:16" x14ac:dyDescent="0.25">
      <c r="A8204" t="s">
        <v>30808</v>
      </c>
      <c r="B8204" t="s">
        <v>17105</v>
      </c>
      <c r="C8204" t="s">
        <v>17106</v>
      </c>
      <c r="D8204" t="str">
        <f>"3071"</f>
        <v>3071</v>
      </c>
      <c r="E8204" t="s">
        <v>16876</v>
      </c>
      <c r="F8204" t="s">
        <v>16839</v>
      </c>
      <c r="G8204" t="s">
        <v>16230</v>
      </c>
      <c r="H8204" t="s">
        <v>47054</v>
      </c>
      <c r="I8204" t="s">
        <v>47120</v>
      </c>
      <c r="J8204" t="s">
        <v>47121</v>
      </c>
      <c r="K8204" t="s">
        <v>47113</v>
      </c>
      <c r="L8204">
        <v>31.12</v>
      </c>
      <c r="M8204">
        <v>63</v>
      </c>
      <c r="N8204">
        <v>0</v>
      </c>
      <c r="O8204">
        <v>63</v>
      </c>
      <c r="P8204">
        <v>0</v>
      </c>
    </row>
    <row r="8205" spans="1:16" x14ac:dyDescent="0.25">
      <c r="A8205" t="s">
        <v>30809</v>
      </c>
      <c r="B8205" t="s">
        <v>17107</v>
      </c>
      <c r="C8205" t="s">
        <v>17108</v>
      </c>
      <c r="D8205" t="str">
        <f>"1106"</f>
        <v>1106</v>
      </c>
      <c r="E8205" t="s">
        <v>460</v>
      </c>
      <c r="F8205" t="s">
        <v>16771</v>
      </c>
      <c r="G8205" t="s">
        <v>16230</v>
      </c>
      <c r="I8205" t="s">
        <v>47120</v>
      </c>
      <c r="J8205" t="s">
        <v>47121</v>
      </c>
      <c r="K8205" t="s">
        <v>47113</v>
      </c>
      <c r="L8205">
        <v>29.21</v>
      </c>
      <c r="M8205">
        <v>66</v>
      </c>
      <c r="N8205">
        <v>0</v>
      </c>
      <c r="O8205">
        <v>66</v>
      </c>
      <c r="P8205">
        <v>0</v>
      </c>
    </row>
    <row r="8206" spans="1:16" x14ac:dyDescent="0.25">
      <c r="A8206" t="s">
        <v>30810</v>
      </c>
      <c r="B8206" t="s">
        <v>17107</v>
      </c>
      <c r="C8206" t="s">
        <v>17108</v>
      </c>
      <c r="D8206" t="str">
        <f>"2000"</f>
        <v>2000</v>
      </c>
      <c r="E8206" t="s">
        <v>17109</v>
      </c>
      <c r="F8206" t="s">
        <v>16771</v>
      </c>
      <c r="G8206" t="s">
        <v>16230</v>
      </c>
      <c r="I8206" t="s">
        <v>47120</v>
      </c>
      <c r="J8206" t="s">
        <v>47121</v>
      </c>
      <c r="K8206" t="s">
        <v>47113</v>
      </c>
      <c r="L8206">
        <v>29.21</v>
      </c>
      <c r="M8206">
        <v>66</v>
      </c>
      <c r="N8206">
        <v>0</v>
      </c>
      <c r="O8206">
        <v>66</v>
      </c>
      <c r="P8206">
        <v>0</v>
      </c>
    </row>
    <row r="8207" spans="1:16" x14ac:dyDescent="0.25">
      <c r="A8207" t="s">
        <v>30811</v>
      </c>
      <c r="B8207" t="s">
        <v>20152</v>
      </c>
      <c r="C8207" t="s">
        <v>20153</v>
      </c>
      <c r="D8207" t="str">
        <f>"4000"</f>
        <v>4000</v>
      </c>
      <c r="E8207" t="s">
        <v>20154</v>
      </c>
      <c r="F8207" t="s">
        <v>19847</v>
      </c>
      <c r="G8207" t="s">
        <v>16230</v>
      </c>
      <c r="H8207" t="s">
        <v>47054</v>
      </c>
      <c r="I8207" t="s">
        <v>47120</v>
      </c>
      <c r="J8207" t="s">
        <v>47121</v>
      </c>
      <c r="K8207" t="s">
        <v>47113</v>
      </c>
      <c r="L8207">
        <v>27.71</v>
      </c>
      <c r="M8207">
        <v>57</v>
      </c>
      <c r="N8207">
        <v>0</v>
      </c>
      <c r="O8207">
        <v>57</v>
      </c>
      <c r="P8207">
        <v>0</v>
      </c>
    </row>
    <row r="8208" spans="1:16" x14ac:dyDescent="0.25">
      <c r="A8208" t="s">
        <v>30812</v>
      </c>
      <c r="B8208" t="s">
        <v>20155</v>
      </c>
      <c r="C8208" t="s">
        <v>20156</v>
      </c>
      <c r="D8208" t="str">
        <f>"4100"</f>
        <v>4100</v>
      </c>
      <c r="E8208" t="s">
        <v>17256</v>
      </c>
      <c r="F8208" t="s">
        <v>19908</v>
      </c>
      <c r="G8208" t="s">
        <v>16230</v>
      </c>
      <c r="H8208" t="s">
        <v>47054</v>
      </c>
      <c r="I8208" t="s">
        <v>47120</v>
      </c>
      <c r="J8208" t="s">
        <v>47121</v>
      </c>
      <c r="K8208" t="s">
        <v>47113</v>
      </c>
      <c r="L8208">
        <v>29.97</v>
      </c>
      <c r="M8208">
        <v>62</v>
      </c>
      <c r="N8208">
        <v>0</v>
      </c>
      <c r="O8208">
        <v>62</v>
      </c>
      <c r="P8208">
        <v>0</v>
      </c>
    </row>
    <row r="8209" spans="1:16" x14ac:dyDescent="0.25">
      <c r="A8209" t="s">
        <v>22753</v>
      </c>
      <c r="B8209" t="s">
        <v>22754</v>
      </c>
      <c r="C8209" t="s">
        <v>17111</v>
      </c>
      <c r="D8209" t="str">
        <f>"1001"</f>
        <v>1001</v>
      </c>
      <c r="E8209" t="s">
        <v>20159</v>
      </c>
      <c r="F8209" t="s">
        <v>19878</v>
      </c>
      <c r="G8209" t="s">
        <v>16230</v>
      </c>
      <c r="H8209" t="s">
        <v>47054</v>
      </c>
      <c r="I8209" t="s">
        <v>47118</v>
      </c>
      <c r="J8209" t="s">
        <v>47119</v>
      </c>
      <c r="K8209" t="s">
        <v>47113</v>
      </c>
      <c r="L8209">
        <v>21.74</v>
      </c>
      <c r="M8209">
        <v>43</v>
      </c>
      <c r="N8209">
        <v>0</v>
      </c>
      <c r="O8209">
        <v>43</v>
      </c>
      <c r="P8209">
        <v>0</v>
      </c>
    </row>
    <row r="8210" spans="1:16" x14ac:dyDescent="0.25">
      <c r="A8210" t="s">
        <v>30813</v>
      </c>
      <c r="B8210" t="s">
        <v>17110</v>
      </c>
      <c r="C8210" t="s">
        <v>17111</v>
      </c>
      <c r="D8210" t="str">
        <f>"4100"</f>
        <v>4100</v>
      </c>
      <c r="E8210" t="s">
        <v>17112</v>
      </c>
      <c r="F8210" t="s">
        <v>16771</v>
      </c>
      <c r="G8210" t="s">
        <v>16230</v>
      </c>
      <c r="H8210" t="s">
        <v>47054</v>
      </c>
      <c r="I8210" t="s">
        <v>47120</v>
      </c>
      <c r="J8210" t="s">
        <v>47121</v>
      </c>
      <c r="K8210" t="s">
        <v>47113</v>
      </c>
      <c r="L8210">
        <v>22.97</v>
      </c>
      <c r="M8210">
        <v>63</v>
      </c>
      <c r="N8210">
        <v>0</v>
      </c>
      <c r="O8210">
        <v>63</v>
      </c>
      <c r="P8210">
        <v>0</v>
      </c>
    </row>
    <row r="8211" spans="1:16" x14ac:dyDescent="0.25">
      <c r="A8211" t="s">
        <v>30814</v>
      </c>
      <c r="B8211" t="s">
        <v>17113</v>
      </c>
      <c r="C8211" t="s">
        <v>17114</v>
      </c>
      <c r="D8211" t="str">
        <f>"4000"</f>
        <v>4000</v>
      </c>
      <c r="E8211" t="s">
        <v>15303</v>
      </c>
      <c r="F8211" t="s">
        <v>16762</v>
      </c>
      <c r="G8211" t="s">
        <v>16230</v>
      </c>
      <c r="I8211" t="s">
        <v>47120</v>
      </c>
      <c r="J8211" t="s">
        <v>47121</v>
      </c>
      <c r="K8211" t="s">
        <v>47113</v>
      </c>
      <c r="L8211">
        <v>20.45</v>
      </c>
      <c r="M8211">
        <v>63</v>
      </c>
      <c r="N8211">
        <v>0</v>
      </c>
      <c r="O8211">
        <v>63</v>
      </c>
      <c r="P8211">
        <v>0</v>
      </c>
    </row>
    <row r="8212" spans="1:16" x14ac:dyDescent="0.25">
      <c r="A8212" t="s">
        <v>30815</v>
      </c>
      <c r="B8212" t="s">
        <v>17115</v>
      </c>
      <c r="C8212" t="s">
        <v>17111</v>
      </c>
      <c r="D8212" t="str">
        <f>"8000"</f>
        <v>8000</v>
      </c>
      <c r="E8212" t="s">
        <v>17116</v>
      </c>
      <c r="F8212" t="s">
        <v>16839</v>
      </c>
      <c r="G8212" t="s">
        <v>16230</v>
      </c>
      <c r="H8212" t="s">
        <v>47054</v>
      </c>
      <c r="I8212" t="s">
        <v>47120</v>
      </c>
      <c r="J8212" t="s">
        <v>47121</v>
      </c>
      <c r="K8212" t="s">
        <v>47113</v>
      </c>
      <c r="L8212">
        <v>29.34</v>
      </c>
      <c r="M8212">
        <v>59</v>
      </c>
      <c r="N8212">
        <v>0</v>
      </c>
      <c r="O8212">
        <v>59</v>
      </c>
      <c r="P8212">
        <v>0</v>
      </c>
    </row>
    <row r="8213" spans="1:16" x14ac:dyDescent="0.25">
      <c r="A8213" t="s">
        <v>30816</v>
      </c>
      <c r="B8213" t="s">
        <v>17117</v>
      </c>
      <c r="C8213" t="s">
        <v>17118</v>
      </c>
      <c r="D8213" t="str">
        <f>"1106"</f>
        <v>1106</v>
      </c>
      <c r="E8213" t="s">
        <v>460</v>
      </c>
      <c r="F8213" t="s">
        <v>16730</v>
      </c>
      <c r="G8213" t="s">
        <v>16230</v>
      </c>
      <c r="H8213" t="s">
        <v>47054</v>
      </c>
      <c r="I8213" t="s">
        <v>47120</v>
      </c>
      <c r="J8213" t="s">
        <v>47121</v>
      </c>
      <c r="K8213" t="s">
        <v>47113</v>
      </c>
      <c r="L8213">
        <v>28.7</v>
      </c>
      <c r="M8213">
        <v>55</v>
      </c>
      <c r="N8213">
        <v>0</v>
      </c>
      <c r="O8213">
        <v>55</v>
      </c>
      <c r="P8213">
        <v>0</v>
      </c>
    </row>
    <row r="8214" spans="1:16" x14ac:dyDescent="0.25">
      <c r="A8214" t="s">
        <v>30817</v>
      </c>
      <c r="B8214" t="s">
        <v>17117</v>
      </c>
      <c r="C8214" t="s">
        <v>17118</v>
      </c>
      <c r="D8214" t="str">
        <f>"1800"</f>
        <v>1800</v>
      </c>
      <c r="E8214" t="s">
        <v>1999</v>
      </c>
      <c r="F8214" t="s">
        <v>16730</v>
      </c>
      <c r="G8214" t="s">
        <v>16230</v>
      </c>
      <c r="H8214" t="s">
        <v>47054</v>
      </c>
      <c r="I8214" t="s">
        <v>47120</v>
      </c>
      <c r="J8214" t="s">
        <v>47121</v>
      </c>
      <c r="K8214" t="s">
        <v>47113</v>
      </c>
      <c r="L8214">
        <v>28.7</v>
      </c>
      <c r="M8214">
        <v>55</v>
      </c>
      <c r="N8214">
        <v>0</v>
      </c>
      <c r="O8214">
        <v>55</v>
      </c>
      <c r="P8214">
        <v>0</v>
      </c>
    </row>
    <row r="8215" spans="1:16" x14ac:dyDescent="0.25">
      <c r="A8215" t="s">
        <v>30818</v>
      </c>
      <c r="B8215" t="s">
        <v>17117</v>
      </c>
      <c r="C8215" t="s">
        <v>17118</v>
      </c>
      <c r="D8215" t="str">
        <f>"4100"</f>
        <v>4100</v>
      </c>
      <c r="E8215" t="s">
        <v>15303</v>
      </c>
      <c r="F8215" t="s">
        <v>16730</v>
      </c>
      <c r="G8215" t="s">
        <v>16230</v>
      </c>
      <c r="H8215" t="s">
        <v>47054</v>
      </c>
      <c r="I8215" t="s">
        <v>47120</v>
      </c>
      <c r="J8215" t="s">
        <v>47121</v>
      </c>
      <c r="K8215" t="s">
        <v>47113</v>
      </c>
      <c r="L8215">
        <v>28.7</v>
      </c>
      <c r="M8215">
        <v>55</v>
      </c>
      <c r="N8215">
        <v>0</v>
      </c>
      <c r="O8215">
        <v>55</v>
      </c>
      <c r="P8215">
        <v>0</v>
      </c>
    </row>
    <row r="8216" spans="1:16" x14ac:dyDescent="0.25">
      <c r="A8216" t="s">
        <v>30819</v>
      </c>
      <c r="B8216" t="s">
        <v>20157</v>
      </c>
      <c r="C8216" t="s">
        <v>4045</v>
      </c>
      <c r="D8216" t="str">
        <f>"1001"</f>
        <v>1001</v>
      </c>
      <c r="E8216" t="s">
        <v>17350</v>
      </c>
      <c r="F8216" t="s">
        <v>19559</v>
      </c>
      <c r="G8216" t="s">
        <v>16230</v>
      </c>
      <c r="H8216" t="s">
        <v>47054</v>
      </c>
      <c r="I8216" t="s">
        <v>47120</v>
      </c>
      <c r="J8216" t="s">
        <v>47121</v>
      </c>
      <c r="K8216" t="s">
        <v>47113</v>
      </c>
      <c r="L8216">
        <v>29.69</v>
      </c>
      <c r="M8216">
        <v>59</v>
      </c>
      <c r="N8216">
        <v>0</v>
      </c>
      <c r="O8216">
        <v>59</v>
      </c>
      <c r="P8216">
        <v>0</v>
      </c>
    </row>
    <row r="8217" spans="1:16" x14ac:dyDescent="0.25">
      <c r="A8217" t="s">
        <v>30820</v>
      </c>
      <c r="B8217" t="s">
        <v>20157</v>
      </c>
      <c r="C8217" t="s">
        <v>4045</v>
      </c>
      <c r="D8217" t="str">
        <f>"1451"</f>
        <v>1451</v>
      </c>
      <c r="E8217" t="s">
        <v>20132</v>
      </c>
      <c r="F8217" t="s">
        <v>19559</v>
      </c>
      <c r="G8217" t="s">
        <v>16230</v>
      </c>
      <c r="H8217" t="s">
        <v>47054</v>
      </c>
      <c r="I8217" t="s">
        <v>47120</v>
      </c>
      <c r="J8217" t="s">
        <v>47121</v>
      </c>
      <c r="K8217" t="s">
        <v>47113</v>
      </c>
      <c r="L8217">
        <v>29.69</v>
      </c>
      <c r="M8217">
        <v>59</v>
      </c>
      <c r="N8217">
        <v>0</v>
      </c>
      <c r="O8217">
        <v>59</v>
      </c>
      <c r="P8217">
        <v>0</v>
      </c>
    </row>
    <row r="8218" spans="1:16" x14ac:dyDescent="0.25">
      <c r="A8218" t="s">
        <v>30821</v>
      </c>
      <c r="B8218" t="s">
        <v>20157</v>
      </c>
      <c r="C8218" t="s">
        <v>4045</v>
      </c>
      <c r="D8218" t="str">
        <f>"1700"</f>
        <v>1700</v>
      </c>
      <c r="E8218" t="s">
        <v>60</v>
      </c>
      <c r="F8218" t="s">
        <v>19559</v>
      </c>
      <c r="G8218" t="s">
        <v>16230</v>
      </c>
      <c r="H8218" t="s">
        <v>47054</v>
      </c>
      <c r="I8218" t="s">
        <v>47120</v>
      </c>
      <c r="J8218" t="s">
        <v>47121</v>
      </c>
      <c r="K8218" t="s">
        <v>47113</v>
      </c>
      <c r="L8218">
        <v>29.69</v>
      </c>
      <c r="M8218">
        <v>59</v>
      </c>
      <c r="N8218">
        <v>0</v>
      </c>
      <c r="O8218">
        <v>59</v>
      </c>
      <c r="P8218">
        <v>0</v>
      </c>
    </row>
    <row r="8219" spans="1:16" x14ac:dyDescent="0.25">
      <c r="A8219" t="s">
        <v>30822</v>
      </c>
      <c r="B8219" t="s">
        <v>20157</v>
      </c>
      <c r="C8219" t="s">
        <v>4045</v>
      </c>
      <c r="D8219" t="str">
        <f>"4100"</f>
        <v>4100</v>
      </c>
      <c r="E8219" t="s">
        <v>710</v>
      </c>
      <c r="F8219" t="s">
        <v>19559</v>
      </c>
      <c r="G8219" t="s">
        <v>16230</v>
      </c>
      <c r="H8219" t="s">
        <v>47054</v>
      </c>
      <c r="I8219" t="s">
        <v>47120</v>
      </c>
      <c r="J8219" t="s">
        <v>47121</v>
      </c>
      <c r="K8219" t="s">
        <v>47113</v>
      </c>
      <c r="L8219">
        <v>29.69</v>
      </c>
      <c r="M8219">
        <v>66</v>
      </c>
      <c r="N8219">
        <v>0</v>
      </c>
      <c r="O8219">
        <v>66</v>
      </c>
      <c r="P8219">
        <v>0</v>
      </c>
    </row>
    <row r="8220" spans="1:16" x14ac:dyDescent="0.25">
      <c r="A8220" t="s">
        <v>30823</v>
      </c>
      <c r="B8220" t="s">
        <v>17119</v>
      </c>
      <c r="C8220" t="s">
        <v>17111</v>
      </c>
      <c r="D8220" t="str">
        <f>"3000"</f>
        <v>3000</v>
      </c>
      <c r="E8220" t="s">
        <v>17120</v>
      </c>
      <c r="F8220" t="s">
        <v>16746</v>
      </c>
      <c r="G8220" t="s">
        <v>16230</v>
      </c>
      <c r="H8220" t="s">
        <v>47054</v>
      </c>
      <c r="I8220" t="s">
        <v>47120</v>
      </c>
      <c r="J8220" t="s">
        <v>47121</v>
      </c>
      <c r="K8220" t="s">
        <v>47113</v>
      </c>
      <c r="L8220">
        <v>27.35</v>
      </c>
      <c r="M8220">
        <v>55</v>
      </c>
      <c r="N8220">
        <v>0</v>
      </c>
      <c r="O8220">
        <v>55</v>
      </c>
      <c r="P8220">
        <v>0</v>
      </c>
    </row>
    <row r="8221" spans="1:16" x14ac:dyDescent="0.25">
      <c r="A8221" t="s">
        <v>30824</v>
      </c>
      <c r="B8221" t="s">
        <v>17121</v>
      </c>
      <c r="C8221" t="s">
        <v>17111</v>
      </c>
      <c r="D8221" t="str">
        <f>"4000"</f>
        <v>4000</v>
      </c>
      <c r="E8221" t="s">
        <v>17122</v>
      </c>
      <c r="F8221" t="s">
        <v>16810</v>
      </c>
      <c r="G8221" t="s">
        <v>16230</v>
      </c>
      <c r="H8221" t="s">
        <v>47054</v>
      </c>
      <c r="I8221" t="s">
        <v>47120</v>
      </c>
      <c r="J8221" t="s">
        <v>47121</v>
      </c>
      <c r="K8221" t="s">
        <v>47113</v>
      </c>
      <c r="L8221">
        <v>27.35</v>
      </c>
      <c r="M8221">
        <v>55</v>
      </c>
      <c r="N8221">
        <v>0</v>
      </c>
      <c r="O8221">
        <v>55</v>
      </c>
      <c r="P8221">
        <v>0</v>
      </c>
    </row>
    <row r="8222" spans="1:16" x14ac:dyDescent="0.25">
      <c r="A8222" t="s">
        <v>30825</v>
      </c>
      <c r="B8222" t="s">
        <v>20158</v>
      </c>
      <c r="C8222" t="s">
        <v>22756</v>
      </c>
      <c r="D8222" t="str">
        <f>"1001"</f>
        <v>1001</v>
      </c>
      <c r="E8222" t="s">
        <v>20159</v>
      </c>
      <c r="F8222" t="s">
        <v>19878</v>
      </c>
      <c r="G8222" t="s">
        <v>16230</v>
      </c>
      <c r="H8222" t="s">
        <v>47054</v>
      </c>
      <c r="I8222" t="s">
        <v>47120</v>
      </c>
      <c r="J8222" t="s">
        <v>47121</v>
      </c>
      <c r="K8222" t="s">
        <v>47113</v>
      </c>
      <c r="L8222">
        <v>23.4</v>
      </c>
      <c r="M8222">
        <v>55</v>
      </c>
      <c r="N8222">
        <v>0</v>
      </c>
      <c r="O8222">
        <v>55</v>
      </c>
      <c r="P8222">
        <v>0</v>
      </c>
    </row>
    <row r="8223" spans="1:16" x14ac:dyDescent="0.25">
      <c r="A8223" t="s">
        <v>22755</v>
      </c>
      <c r="B8223" t="s">
        <v>20158</v>
      </c>
      <c r="C8223" t="s">
        <v>22756</v>
      </c>
      <c r="D8223" t="str">
        <f>"6000"</f>
        <v>6000</v>
      </c>
      <c r="E8223" t="s">
        <v>16116</v>
      </c>
      <c r="F8223" t="s">
        <v>19878</v>
      </c>
      <c r="G8223" t="s">
        <v>16230</v>
      </c>
      <c r="H8223" t="s">
        <v>47054</v>
      </c>
      <c r="I8223" t="s">
        <v>47120</v>
      </c>
      <c r="J8223" t="s">
        <v>47121</v>
      </c>
      <c r="K8223" t="s">
        <v>47113</v>
      </c>
      <c r="L8223">
        <v>27.47</v>
      </c>
      <c r="M8223">
        <v>66</v>
      </c>
      <c r="N8223">
        <v>0</v>
      </c>
      <c r="O8223">
        <v>66</v>
      </c>
      <c r="P8223">
        <v>0</v>
      </c>
    </row>
    <row r="8224" spans="1:16" x14ac:dyDescent="0.25">
      <c r="A8224" t="s">
        <v>30826</v>
      </c>
      <c r="B8224" t="s">
        <v>20160</v>
      </c>
      <c r="C8224" t="s">
        <v>20161</v>
      </c>
      <c r="D8224" t="str">
        <f>"1001"</f>
        <v>1001</v>
      </c>
      <c r="E8224" t="s">
        <v>42</v>
      </c>
      <c r="F8224" t="s">
        <v>19847</v>
      </c>
      <c r="G8224" t="s">
        <v>16230</v>
      </c>
      <c r="H8224" t="s">
        <v>47054</v>
      </c>
      <c r="I8224" t="s">
        <v>47118</v>
      </c>
      <c r="J8224" t="s">
        <v>47119</v>
      </c>
      <c r="K8224" t="s">
        <v>47113</v>
      </c>
      <c r="L8224">
        <v>28.67</v>
      </c>
      <c r="M8224">
        <v>59</v>
      </c>
      <c r="N8224">
        <v>0</v>
      </c>
      <c r="O8224">
        <v>59</v>
      </c>
      <c r="P8224">
        <v>0</v>
      </c>
    </row>
    <row r="8225" spans="1:16" x14ac:dyDescent="0.25">
      <c r="A8225" t="s">
        <v>30827</v>
      </c>
      <c r="B8225" t="s">
        <v>20160</v>
      </c>
      <c r="C8225" t="s">
        <v>20161</v>
      </c>
      <c r="D8225" t="str">
        <f>"1100"</f>
        <v>1100</v>
      </c>
      <c r="E8225" t="s">
        <v>54</v>
      </c>
      <c r="F8225" t="s">
        <v>19847</v>
      </c>
      <c r="G8225" t="s">
        <v>16230</v>
      </c>
      <c r="H8225" t="s">
        <v>47054</v>
      </c>
      <c r="I8225" t="s">
        <v>47118</v>
      </c>
      <c r="J8225" t="s">
        <v>47119</v>
      </c>
      <c r="K8225" t="s">
        <v>47113</v>
      </c>
      <c r="L8225">
        <v>29.69</v>
      </c>
      <c r="M8225">
        <v>57</v>
      </c>
      <c r="N8225">
        <v>0</v>
      </c>
      <c r="O8225">
        <v>57</v>
      </c>
      <c r="P8225">
        <v>0</v>
      </c>
    </row>
    <row r="8226" spans="1:16" x14ac:dyDescent="0.25">
      <c r="A8226" t="s">
        <v>30828</v>
      </c>
      <c r="B8226" t="s">
        <v>20160</v>
      </c>
      <c r="C8226" t="s">
        <v>20161</v>
      </c>
      <c r="D8226" t="str">
        <f>"1700"</f>
        <v>1700</v>
      </c>
      <c r="E8226" t="s">
        <v>60</v>
      </c>
      <c r="F8226" t="s">
        <v>19847</v>
      </c>
      <c r="G8226" t="s">
        <v>16230</v>
      </c>
      <c r="H8226" t="s">
        <v>47054</v>
      </c>
      <c r="I8226" t="s">
        <v>47118</v>
      </c>
      <c r="J8226" t="s">
        <v>47119</v>
      </c>
      <c r="K8226" t="s">
        <v>47113</v>
      </c>
      <c r="L8226">
        <v>28.67</v>
      </c>
      <c r="M8226">
        <v>59</v>
      </c>
      <c r="N8226">
        <v>0</v>
      </c>
      <c r="O8226">
        <v>59</v>
      </c>
      <c r="P8226">
        <v>0</v>
      </c>
    </row>
    <row r="8227" spans="1:16" x14ac:dyDescent="0.25">
      <c r="A8227" t="s">
        <v>30829</v>
      </c>
      <c r="B8227" t="s">
        <v>20162</v>
      </c>
      <c r="C8227" t="s">
        <v>17111</v>
      </c>
      <c r="D8227" t="str">
        <f>"4000"</f>
        <v>4000</v>
      </c>
      <c r="E8227" t="s">
        <v>20163</v>
      </c>
      <c r="F8227" t="s">
        <v>19559</v>
      </c>
      <c r="G8227" t="s">
        <v>16230</v>
      </c>
      <c r="H8227" t="s">
        <v>47054</v>
      </c>
      <c r="I8227" t="s">
        <v>47118</v>
      </c>
      <c r="J8227" t="s">
        <v>47119</v>
      </c>
      <c r="K8227" t="s">
        <v>47113</v>
      </c>
      <c r="L8227">
        <v>23.4</v>
      </c>
      <c r="M8227">
        <v>55</v>
      </c>
      <c r="N8227">
        <v>0</v>
      </c>
      <c r="O8227">
        <v>55</v>
      </c>
      <c r="P8227">
        <v>0</v>
      </c>
    </row>
    <row r="8228" spans="1:16" x14ac:dyDescent="0.25">
      <c r="A8228" t="s">
        <v>30830</v>
      </c>
      <c r="B8228" t="s">
        <v>20164</v>
      </c>
      <c r="C8228" t="s">
        <v>17111</v>
      </c>
      <c r="D8228" t="str">
        <f>"3071"</f>
        <v>3071</v>
      </c>
      <c r="E8228" t="s">
        <v>20165</v>
      </c>
      <c r="F8228" t="s">
        <v>19552</v>
      </c>
      <c r="G8228" t="s">
        <v>16230</v>
      </c>
      <c r="H8228" t="s">
        <v>47054</v>
      </c>
      <c r="I8228" t="s">
        <v>47120</v>
      </c>
      <c r="J8228" t="s">
        <v>47121</v>
      </c>
      <c r="K8228" t="s">
        <v>47113</v>
      </c>
      <c r="L8228">
        <v>40.56</v>
      </c>
      <c r="M8228">
        <v>97</v>
      </c>
      <c r="N8228">
        <v>0</v>
      </c>
      <c r="O8228">
        <v>97</v>
      </c>
      <c r="P8228">
        <v>0</v>
      </c>
    </row>
    <row r="8229" spans="1:16" x14ac:dyDescent="0.25">
      <c r="A8229" t="s">
        <v>22757</v>
      </c>
      <c r="B8229" t="s">
        <v>20166</v>
      </c>
      <c r="C8229" t="s">
        <v>17111</v>
      </c>
      <c r="D8229" t="str">
        <f>"6000"</f>
        <v>6000</v>
      </c>
      <c r="E8229" t="s">
        <v>20138</v>
      </c>
      <c r="F8229" t="s">
        <v>19878</v>
      </c>
      <c r="G8229" t="s">
        <v>16230</v>
      </c>
      <c r="H8229" t="s">
        <v>47054</v>
      </c>
      <c r="I8229" t="s">
        <v>47120</v>
      </c>
      <c r="J8229" t="s">
        <v>47121</v>
      </c>
      <c r="K8229" t="s">
        <v>47113</v>
      </c>
      <c r="L8229">
        <v>31.16</v>
      </c>
      <c r="M8229">
        <v>55</v>
      </c>
      <c r="N8229">
        <v>0</v>
      </c>
      <c r="O8229">
        <v>55</v>
      </c>
      <c r="P8229">
        <v>0</v>
      </c>
    </row>
    <row r="8230" spans="1:16" x14ac:dyDescent="0.25">
      <c r="A8230" t="s">
        <v>30831</v>
      </c>
      <c r="B8230" t="s">
        <v>30832</v>
      </c>
      <c r="C8230" t="s">
        <v>19593</v>
      </c>
      <c r="D8230" t="str">
        <f>"6000"</f>
        <v>6000</v>
      </c>
      <c r="E8230" t="s">
        <v>20138</v>
      </c>
      <c r="F8230" t="s">
        <v>19878</v>
      </c>
      <c r="G8230" t="s">
        <v>16230</v>
      </c>
      <c r="H8230" t="s">
        <v>47054</v>
      </c>
      <c r="I8230" t="s">
        <v>47120</v>
      </c>
      <c r="J8230" t="s">
        <v>47121</v>
      </c>
      <c r="K8230" t="s">
        <v>47113</v>
      </c>
      <c r="L8230">
        <v>35.82</v>
      </c>
      <c r="M8230">
        <v>89</v>
      </c>
      <c r="N8230">
        <v>0</v>
      </c>
      <c r="O8230">
        <v>89</v>
      </c>
      <c r="P8230">
        <v>0</v>
      </c>
    </row>
    <row r="8231" spans="1:16" x14ac:dyDescent="0.25">
      <c r="A8231" t="s">
        <v>22758</v>
      </c>
      <c r="B8231" t="s">
        <v>20167</v>
      </c>
      <c r="C8231" t="s">
        <v>20168</v>
      </c>
      <c r="D8231" t="str">
        <f>"4143"</f>
        <v>4143</v>
      </c>
      <c r="E8231" t="s">
        <v>20169</v>
      </c>
      <c r="F8231" t="s">
        <v>19552</v>
      </c>
      <c r="G8231" t="s">
        <v>16230</v>
      </c>
      <c r="H8231" t="s">
        <v>47054</v>
      </c>
      <c r="I8231" t="s">
        <v>47120</v>
      </c>
      <c r="J8231" t="s">
        <v>47121</v>
      </c>
      <c r="K8231" t="s">
        <v>47113</v>
      </c>
      <c r="L8231">
        <v>30.1</v>
      </c>
      <c r="M8231">
        <v>55</v>
      </c>
      <c r="N8231">
        <v>0</v>
      </c>
      <c r="O8231">
        <v>55</v>
      </c>
      <c r="P8231">
        <v>0</v>
      </c>
    </row>
    <row r="8232" spans="1:16" x14ac:dyDescent="0.25">
      <c r="A8232" t="s">
        <v>30833</v>
      </c>
      <c r="B8232" t="s">
        <v>20170</v>
      </c>
      <c r="C8232" t="s">
        <v>17111</v>
      </c>
      <c r="D8232" t="str">
        <f>"7000"</f>
        <v>7000</v>
      </c>
      <c r="E8232" t="s">
        <v>20171</v>
      </c>
      <c r="F8232" t="s">
        <v>19552</v>
      </c>
      <c r="G8232" t="s">
        <v>16230</v>
      </c>
      <c r="H8232" t="s">
        <v>47054</v>
      </c>
      <c r="I8232" t="s">
        <v>47120</v>
      </c>
      <c r="J8232" t="s">
        <v>47121</v>
      </c>
      <c r="K8232" t="s">
        <v>47113</v>
      </c>
      <c r="L8232">
        <v>37.36</v>
      </c>
      <c r="M8232">
        <v>89</v>
      </c>
      <c r="N8232">
        <v>0</v>
      </c>
      <c r="O8232">
        <v>89</v>
      </c>
      <c r="P8232">
        <v>0</v>
      </c>
    </row>
    <row r="8233" spans="1:16" x14ac:dyDescent="0.25">
      <c r="A8233" t="s">
        <v>30834</v>
      </c>
      <c r="B8233" t="s">
        <v>17123</v>
      </c>
      <c r="C8233" t="s">
        <v>17124</v>
      </c>
      <c r="D8233" t="str">
        <f>"1800"</f>
        <v>1800</v>
      </c>
      <c r="E8233" t="s">
        <v>1999</v>
      </c>
      <c r="F8233" t="s">
        <v>16730</v>
      </c>
      <c r="G8233" t="s">
        <v>16232</v>
      </c>
      <c r="I8233" t="s">
        <v>47569</v>
      </c>
      <c r="J8233" t="s">
        <v>47570</v>
      </c>
      <c r="K8233" t="s">
        <v>47113</v>
      </c>
      <c r="L8233">
        <v>19.829999999999998</v>
      </c>
      <c r="M8233">
        <v>37</v>
      </c>
      <c r="N8233">
        <v>0</v>
      </c>
      <c r="O8233">
        <v>37</v>
      </c>
      <c r="P8233">
        <v>0</v>
      </c>
    </row>
    <row r="8234" spans="1:16" x14ac:dyDescent="0.25">
      <c r="A8234" t="s">
        <v>30835</v>
      </c>
      <c r="B8234" t="s">
        <v>17123</v>
      </c>
      <c r="C8234" t="s">
        <v>17124</v>
      </c>
      <c r="D8234" t="str">
        <f>"4100"</f>
        <v>4100</v>
      </c>
      <c r="E8234" t="s">
        <v>15303</v>
      </c>
      <c r="F8234" t="s">
        <v>16730</v>
      </c>
      <c r="G8234" t="s">
        <v>16232</v>
      </c>
      <c r="I8234" t="s">
        <v>47569</v>
      </c>
      <c r="J8234" t="s">
        <v>47570</v>
      </c>
      <c r="K8234" t="s">
        <v>47113</v>
      </c>
      <c r="L8234">
        <v>19.829999999999998</v>
      </c>
      <c r="M8234">
        <v>37</v>
      </c>
      <c r="N8234">
        <v>0</v>
      </c>
      <c r="O8234">
        <v>37</v>
      </c>
      <c r="P8234">
        <v>0</v>
      </c>
    </row>
    <row r="8235" spans="1:16" x14ac:dyDescent="0.25">
      <c r="A8235" t="s">
        <v>30836</v>
      </c>
      <c r="B8235" t="s">
        <v>17123</v>
      </c>
      <c r="C8235" t="s">
        <v>17124</v>
      </c>
      <c r="D8235" t="str">
        <f>"5000"</f>
        <v>5000</v>
      </c>
      <c r="E8235" t="s">
        <v>16881</v>
      </c>
      <c r="F8235" t="s">
        <v>16730</v>
      </c>
      <c r="G8235" t="s">
        <v>16232</v>
      </c>
      <c r="I8235" t="s">
        <v>47569</v>
      </c>
      <c r="J8235" t="s">
        <v>47570</v>
      </c>
      <c r="K8235" t="s">
        <v>47113</v>
      </c>
      <c r="L8235">
        <v>19.829999999999998</v>
      </c>
      <c r="M8235">
        <v>37</v>
      </c>
      <c r="N8235">
        <v>0</v>
      </c>
      <c r="O8235">
        <v>37</v>
      </c>
      <c r="P8235">
        <v>0</v>
      </c>
    </row>
    <row r="8236" spans="1:16" x14ac:dyDescent="0.25">
      <c r="A8236" t="s">
        <v>30837</v>
      </c>
      <c r="B8236" t="s">
        <v>17125</v>
      </c>
      <c r="C8236" t="s">
        <v>17126</v>
      </c>
      <c r="D8236" t="str">
        <f>"1106"</f>
        <v>1106</v>
      </c>
      <c r="E8236" t="s">
        <v>460</v>
      </c>
      <c r="F8236" t="s">
        <v>16730</v>
      </c>
      <c r="G8236" t="s">
        <v>16235</v>
      </c>
      <c r="H8236" t="s">
        <v>47054</v>
      </c>
      <c r="I8236" t="s">
        <v>47120</v>
      </c>
      <c r="J8236" t="s">
        <v>47121</v>
      </c>
      <c r="K8236" t="s">
        <v>47113</v>
      </c>
      <c r="L8236">
        <v>33.49</v>
      </c>
      <c r="M8236">
        <v>92</v>
      </c>
      <c r="N8236">
        <v>0</v>
      </c>
      <c r="O8236">
        <v>92</v>
      </c>
      <c r="P8236">
        <v>0</v>
      </c>
    </row>
    <row r="8237" spans="1:16" x14ac:dyDescent="0.25">
      <c r="A8237" t="s">
        <v>30838</v>
      </c>
      <c r="B8237" t="s">
        <v>17125</v>
      </c>
      <c r="C8237" t="s">
        <v>17126</v>
      </c>
      <c r="D8237" t="str">
        <f>"1800"</f>
        <v>1800</v>
      </c>
      <c r="E8237" t="s">
        <v>1999</v>
      </c>
      <c r="F8237" t="s">
        <v>16730</v>
      </c>
      <c r="G8237" t="s">
        <v>16235</v>
      </c>
      <c r="H8237" t="s">
        <v>47054</v>
      </c>
      <c r="I8237" t="s">
        <v>47120</v>
      </c>
      <c r="J8237" t="s">
        <v>47121</v>
      </c>
      <c r="K8237" t="s">
        <v>47113</v>
      </c>
      <c r="L8237">
        <v>33.49</v>
      </c>
      <c r="M8237">
        <v>92</v>
      </c>
      <c r="N8237">
        <v>0</v>
      </c>
      <c r="O8237">
        <v>92</v>
      </c>
      <c r="P8237">
        <v>0</v>
      </c>
    </row>
    <row r="8238" spans="1:16" x14ac:dyDescent="0.25">
      <c r="A8238" t="s">
        <v>30839</v>
      </c>
      <c r="B8238" t="s">
        <v>17127</v>
      </c>
      <c r="C8238" t="s">
        <v>17128</v>
      </c>
      <c r="D8238" t="str">
        <f>"1106"</f>
        <v>1106</v>
      </c>
      <c r="E8238" t="s">
        <v>460</v>
      </c>
      <c r="F8238" t="s">
        <v>16730</v>
      </c>
      <c r="G8238" t="s">
        <v>16222</v>
      </c>
      <c r="H8238" t="s">
        <v>47054</v>
      </c>
      <c r="I8238" t="s">
        <v>47120</v>
      </c>
      <c r="J8238" t="s">
        <v>47121</v>
      </c>
      <c r="K8238" t="s">
        <v>47113</v>
      </c>
      <c r="L8238">
        <v>28.7</v>
      </c>
      <c r="M8238">
        <v>92</v>
      </c>
      <c r="N8238">
        <v>0</v>
      </c>
      <c r="O8238">
        <v>92</v>
      </c>
      <c r="P8238">
        <v>0</v>
      </c>
    </row>
    <row r="8239" spans="1:16" x14ac:dyDescent="0.25">
      <c r="A8239" t="s">
        <v>30840</v>
      </c>
      <c r="B8239" t="s">
        <v>17127</v>
      </c>
      <c r="C8239" t="s">
        <v>17128</v>
      </c>
      <c r="D8239" t="str">
        <f>"1800"</f>
        <v>1800</v>
      </c>
      <c r="E8239" t="s">
        <v>1999</v>
      </c>
      <c r="F8239" t="s">
        <v>16730</v>
      </c>
      <c r="G8239" t="s">
        <v>16222</v>
      </c>
      <c r="H8239" t="s">
        <v>47054</v>
      </c>
      <c r="I8239" t="s">
        <v>47120</v>
      </c>
      <c r="J8239" t="s">
        <v>47121</v>
      </c>
      <c r="K8239" t="s">
        <v>47113</v>
      </c>
      <c r="L8239">
        <v>28.7</v>
      </c>
      <c r="M8239">
        <v>92</v>
      </c>
      <c r="N8239">
        <v>0</v>
      </c>
      <c r="O8239">
        <v>92</v>
      </c>
      <c r="P8239">
        <v>0</v>
      </c>
    </row>
    <row r="8240" spans="1:16" x14ac:dyDescent="0.25">
      <c r="A8240" t="s">
        <v>30841</v>
      </c>
      <c r="B8240" t="s">
        <v>17129</v>
      </c>
      <c r="C8240" t="s">
        <v>10647</v>
      </c>
      <c r="D8240" t="str">
        <f>"1501"</f>
        <v>1501</v>
      </c>
      <c r="E8240" t="s">
        <v>46</v>
      </c>
      <c r="F8240" t="s">
        <v>16730</v>
      </c>
      <c r="G8240" t="s">
        <v>16235</v>
      </c>
      <c r="H8240" t="s">
        <v>47054</v>
      </c>
      <c r="I8240" t="s">
        <v>47569</v>
      </c>
      <c r="J8240" t="s">
        <v>47570</v>
      </c>
      <c r="K8240" t="s">
        <v>47113</v>
      </c>
      <c r="L8240">
        <v>26.99</v>
      </c>
      <c r="M8240">
        <v>59</v>
      </c>
      <c r="N8240">
        <v>0</v>
      </c>
      <c r="O8240">
        <v>59</v>
      </c>
      <c r="P8240">
        <v>0</v>
      </c>
    </row>
    <row r="8241" spans="1:16" x14ac:dyDescent="0.25">
      <c r="A8241" t="s">
        <v>30842</v>
      </c>
      <c r="B8241" t="s">
        <v>17130</v>
      </c>
      <c r="C8241" t="s">
        <v>17131</v>
      </c>
      <c r="D8241" t="str">
        <f>"1501"</f>
        <v>1501</v>
      </c>
      <c r="E8241" t="s">
        <v>46</v>
      </c>
      <c r="F8241" t="s">
        <v>16730</v>
      </c>
      <c r="G8241" t="s">
        <v>16222</v>
      </c>
      <c r="H8241" t="s">
        <v>47054</v>
      </c>
      <c r="I8241" t="s">
        <v>47569</v>
      </c>
      <c r="J8241" t="s">
        <v>47570</v>
      </c>
      <c r="K8241" t="s">
        <v>47113</v>
      </c>
      <c r="L8241">
        <v>34.369999999999997</v>
      </c>
      <c r="M8241">
        <v>55</v>
      </c>
      <c r="N8241">
        <v>0</v>
      </c>
      <c r="O8241">
        <v>55</v>
      </c>
      <c r="P8241">
        <v>0</v>
      </c>
    </row>
    <row r="8242" spans="1:16" x14ac:dyDescent="0.25">
      <c r="A8242" t="s">
        <v>30843</v>
      </c>
      <c r="B8242" t="s">
        <v>17132</v>
      </c>
      <c r="C8242" t="s">
        <v>17133</v>
      </c>
      <c r="D8242" t="str">
        <f>"1501"</f>
        <v>1501</v>
      </c>
      <c r="E8242" t="s">
        <v>46</v>
      </c>
      <c r="F8242" t="s">
        <v>16623</v>
      </c>
      <c r="G8242" t="s">
        <v>16222</v>
      </c>
      <c r="H8242" t="s">
        <v>47054</v>
      </c>
      <c r="I8242" t="s">
        <v>47120</v>
      </c>
      <c r="J8242" t="s">
        <v>47121</v>
      </c>
      <c r="K8242" t="s">
        <v>47113</v>
      </c>
      <c r="L8242">
        <v>27.44</v>
      </c>
      <c r="M8242">
        <v>55</v>
      </c>
      <c r="N8242">
        <v>0</v>
      </c>
      <c r="O8242">
        <v>55</v>
      </c>
      <c r="P8242">
        <v>0</v>
      </c>
    </row>
    <row r="8243" spans="1:16" x14ac:dyDescent="0.25">
      <c r="A8243" t="s">
        <v>30844</v>
      </c>
      <c r="B8243" t="s">
        <v>17134</v>
      </c>
      <c r="C8243" t="s">
        <v>17133</v>
      </c>
      <c r="D8243" t="str">
        <f>"1001"</f>
        <v>1001</v>
      </c>
      <c r="E8243" t="s">
        <v>42</v>
      </c>
      <c r="F8243" t="s">
        <v>16746</v>
      </c>
      <c r="G8243" t="s">
        <v>16222</v>
      </c>
      <c r="H8243" t="s">
        <v>47054</v>
      </c>
      <c r="I8243" t="s">
        <v>47118</v>
      </c>
      <c r="J8243" t="s">
        <v>47119</v>
      </c>
      <c r="K8243" t="s">
        <v>47113</v>
      </c>
      <c r="L8243">
        <v>29.34</v>
      </c>
      <c r="M8243">
        <v>59</v>
      </c>
      <c r="N8243">
        <v>0</v>
      </c>
      <c r="O8243">
        <v>59</v>
      </c>
      <c r="P8243">
        <v>0</v>
      </c>
    </row>
    <row r="8244" spans="1:16" x14ac:dyDescent="0.25">
      <c r="A8244" t="s">
        <v>30845</v>
      </c>
      <c r="B8244" t="s">
        <v>17134</v>
      </c>
      <c r="C8244" t="s">
        <v>17133</v>
      </c>
      <c r="D8244" t="str">
        <f>"1800"</f>
        <v>1800</v>
      </c>
      <c r="E8244" t="s">
        <v>1999</v>
      </c>
      <c r="F8244" t="s">
        <v>16746</v>
      </c>
      <c r="G8244" t="s">
        <v>16222</v>
      </c>
      <c r="H8244" t="s">
        <v>47054</v>
      </c>
      <c r="I8244" t="s">
        <v>47118</v>
      </c>
      <c r="J8244" t="s">
        <v>47119</v>
      </c>
      <c r="K8244" t="s">
        <v>47113</v>
      </c>
      <c r="L8244">
        <v>23.86</v>
      </c>
      <c r="M8244">
        <v>48</v>
      </c>
      <c r="N8244">
        <v>0</v>
      </c>
      <c r="O8244">
        <v>48</v>
      </c>
      <c r="P8244">
        <v>0</v>
      </c>
    </row>
    <row r="8245" spans="1:16" x14ac:dyDescent="0.25">
      <c r="A8245" t="s">
        <v>30846</v>
      </c>
      <c r="B8245" t="s">
        <v>17135</v>
      </c>
      <c r="C8245" t="s">
        <v>17136</v>
      </c>
      <c r="D8245" t="str">
        <f>"1518"</f>
        <v>1518</v>
      </c>
      <c r="E8245" t="s">
        <v>17137</v>
      </c>
      <c r="F8245" t="s">
        <v>16730</v>
      </c>
      <c r="G8245" t="s">
        <v>16235</v>
      </c>
      <c r="H8245" t="s">
        <v>47054</v>
      </c>
      <c r="I8245" t="s">
        <v>47569</v>
      </c>
      <c r="J8245" t="s">
        <v>47570</v>
      </c>
      <c r="K8245" t="s">
        <v>47113</v>
      </c>
      <c r="L8245">
        <v>47.27</v>
      </c>
      <c r="M8245">
        <v>74</v>
      </c>
      <c r="N8245">
        <v>0</v>
      </c>
      <c r="O8245">
        <v>74</v>
      </c>
      <c r="P8245">
        <v>0</v>
      </c>
    </row>
    <row r="8246" spans="1:16" x14ac:dyDescent="0.25">
      <c r="A8246" t="s">
        <v>22759</v>
      </c>
      <c r="B8246" t="s">
        <v>20172</v>
      </c>
      <c r="C8246" t="s">
        <v>20173</v>
      </c>
      <c r="D8246" t="str">
        <f>"1001"</f>
        <v>1001</v>
      </c>
      <c r="E8246" t="s">
        <v>17350</v>
      </c>
      <c r="F8246" t="s">
        <v>19552</v>
      </c>
      <c r="G8246" t="s">
        <v>16221</v>
      </c>
      <c r="H8246" t="s">
        <v>47054</v>
      </c>
      <c r="I8246" t="s">
        <v>47154</v>
      </c>
      <c r="J8246" t="s">
        <v>47155</v>
      </c>
      <c r="K8246" t="s">
        <v>47113</v>
      </c>
      <c r="L8246">
        <v>9.4600000000000009</v>
      </c>
      <c r="M8246">
        <v>22</v>
      </c>
      <c r="N8246">
        <v>0</v>
      </c>
      <c r="O8246">
        <v>22</v>
      </c>
      <c r="P8246">
        <v>0</v>
      </c>
    </row>
    <row r="8247" spans="1:16" x14ac:dyDescent="0.25">
      <c r="A8247" t="s">
        <v>30847</v>
      </c>
      <c r="B8247" t="s">
        <v>20172</v>
      </c>
      <c r="C8247" t="s">
        <v>20173</v>
      </c>
      <c r="D8247" t="str">
        <f>"1800"</f>
        <v>1800</v>
      </c>
      <c r="E8247" t="s">
        <v>1999</v>
      </c>
      <c r="F8247" t="s">
        <v>19552</v>
      </c>
      <c r="G8247" t="s">
        <v>16221</v>
      </c>
      <c r="H8247" t="s">
        <v>47054</v>
      </c>
      <c r="I8247" t="s">
        <v>47154</v>
      </c>
      <c r="J8247" t="s">
        <v>47155</v>
      </c>
      <c r="K8247" t="s">
        <v>47113</v>
      </c>
      <c r="L8247">
        <v>7.77</v>
      </c>
      <c r="M8247">
        <v>26</v>
      </c>
      <c r="N8247">
        <v>0</v>
      </c>
      <c r="O8247">
        <v>26</v>
      </c>
      <c r="P8247">
        <v>0</v>
      </c>
    </row>
    <row r="8248" spans="1:16" x14ac:dyDescent="0.25">
      <c r="A8248" t="s">
        <v>30848</v>
      </c>
      <c r="B8248" t="s">
        <v>20172</v>
      </c>
      <c r="C8248" t="s">
        <v>20173</v>
      </c>
      <c r="D8248" t="str">
        <f>"6064"</f>
        <v>6064</v>
      </c>
      <c r="E8248" t="s">
        <v>87</v>
      </c>
      <c r="F8248" t="s">
        <v>19552</v>
      </c>
      <c r="G8248" t="s">
        <v>16221</v>
      </c>
      <c r="H8248" t="s">
        <v>47054</v>
      </c>
      <c r="I8248" t="s">
        <v>47154</v>
      </c>
      <c r="J8248" t="s">
        <v>47155</v>
      </c>
      <c r="K8248" t="s">
        <v>47113</v>
      </c>
      <c r="L8248">
        <v>9.31</v>
      </c>
      <c r="M8248">
        <v>26</v>
      </c>
      <c r="N8248">
        <v>0</v>
      </c>
      <c r="O8248">
        <v>26</v>
      </c>
      <c r="P8248">
        <v>0</v>
      </c>
    </row>
    <row r="8249" spans="1:16" x14ac:dyDescent="0.25">
      <c r="A8249" t="s">
        <v>30849</v>
      </c>
      <c r="B8249" t="s">
        <v>17138</v>
      </c>
      <c r="C8249" t="s">
        <v>17139</v>
      </c>
      <c r="D8249" t="str">
        <f>"1518"</f>
        <v>1518</v>
      </c>
      <c r="E8249" t="s">
        <v>17137</v>
      </c>
      <c r="F8249" t="s">
        <v>16730</v>
      </c>
      <c r="G8249" t="s">
        <v>16222</v>
      </c>
      <c r="H8249" t="s">
        <v>47054</v>
      </c>
      <c r="I8249" t="s">
        <v>47569</v>
      </c>
      <c r="J8249" t="s">
        <v>47570</v>
      </c>
      <c r="K8249" t="s">
        <v>47113</v>
      </c>
      <c r="L8249">
        <v>41.74</v>
      </c>
      <c r="M8249">
        <v>66</v>
      </c>
      <c r="N8249">
        <v>0</v>
      </c>
      <c r="O8249">
        <v>66</v>
      </c>
      <c r="P8249">
        <v>0</v>
      </c>
    </row>
    <row r="8250" spans="1:16" x14ac:dyDescent="0.25">
      <c r="A8250" t="s">
        <v>22760</v>
      </c>
      <c r="B8250" t="s">
        <v>20174</v>
      </c>
      <c r="C8250" t="s">
        <v>20175</v>
      </c>
      <c r="D8250" t="str">
        <f>"1106"</f>
        <v>1106</v>
      </c>
      <c r="E8250" t="s">
        <v>42</v>
      </c>
      <c r="F8250" t="s">
        <v>19559</v>
      </c>
      <c r="G8250" t="s">
        <v>16232</v>
      </c>
      <c r="H8250" t="s">
        <v>47054</v>
      </c>
      <c r="I8250" t="s">
        <v>47569</v>
      </c>
      <c r="J8250" t="s">
        <v>47570</v>
      </c>
      <c r="K8250" t="s">
        <v>47113</v>
      </c>
      <c r="L8250">
        <v>12.55</v>
      </c>
      <c r="M8250">
        <v>29</v>
      </c>
      <c r="N8250">
        <v>0</v>
      </c>
      <c r="O8250">
        <v>29</v>
      </c>
      <c r="P8250">
        <v>0</v>
      </c>
    </row>
    <row r="8251" spans="1:16" x14ac:dyDescent="0.25">
      <c r="A8251" t="s">
        <v>30850</v>
      </c>
      <c r="B8251" t="s">
        <v>17140</v>
      </c>
      <c r="C8251" t="s">
        <v>15410</v>
      </c>
      <c r="D8251" t="str">
        <f>"5000"</f>
        <v>5000</v>
      </c>
      <c r="E8251" t="s">
        <v>16881</v>
      </c>
      <c r="F8251" t="s">
        <v>16730</v>
      </c>
      <c r="G8251" t="s">
        <v>16235</v>
      </c>
      <c r="I8251" t="s">
        <v>47569</v>
      </c>
      <c r="J8251" t="s">
        <v>47570</v>
      </c>
      <c r="K8251" t="s">
        <v>47113</v>
      </c>
      <c r="L8251">
        <v>35.25</v>
      </c>
      <c r="M8251">
        <v>66</v>
      </c>
      <c r="N8251">
        <v>0</v>
      </c>
      <c r="O8251">
        <v>66</v>
      </c>
      <c r="P8251">
        <v>0</v>
      </c>
    </row>
    <row r="8252" spans="1:16" x14ac:dyDescent="0.25">
      <c r="A8252" t="s">
        <v>30851</v>
      </c>
      <c r="B8252" t="s">
        <v>17141</v>
      </c>
      <c r="C8252" t="s">
        <v>17142</v>
      </c>
      <c r="D8252" t="str">
        <f>"5000"</f>
        <v>5000</v>
      </c>
      <c r="E8252" t="s">
        <v>16881</v>
      </c>
      <c r="F8252" t="s">
        <v>16730</v>
      </c>
      <c r="G8252" t="s">
        <v>16222</v>
      </c>
      <c r="I8252" t="s">
        <v>47569</v>
      </c>
      <c r="J8252" t="s">
        <v>47570</v>
      </c>
      <c r="K8252" t="s">
        <v>47113</v>
      </c>
      <c r="L8252">
        <v>41.95</v>
      </c>
      <c r="M8252">
        <v>59</v>
      </c>
      <c r="N8252">
        <v>0</v>
      </c>
      <c r="O8252">
        <v>59</v>
      </c>
      <c r="P8252">
        <v>0</v>
      </c>
    </row>
    <row r="8253" spans="1:16" x14ac:dyDescent="0.25">
      <c r="A8253" t="s">
        <v>30852</v>
      </c>
      <c r="B8253" t="s">
        <v>17143</v>
      </c>
      <c r="C8253" t="s">
        <v>17144</v>
      </c>
      <c r="D8253" t="str">
        <f>"1106"</f>
        <v>1106</v>
      </c>
      <c r="E8253" t="s">
        <v>460</v>
      </c>
      <c r="F8253" t="s">
        <v>16771</v>
      </c>
      <c r="G8253" t="s">
        <v>16448</v>
      </c>
      <c r="H8253" t="s">
        <v>47054</v>
      </c>
      <c r="I8253" t="s">
        <v>47120</v>
      </c>
      <c r="J8253" t="s">
        <v>47121</v>
      </c>
      <c r="K8253" t="s">
        <v>47113</v>
      </c>
      <c r="L8253">
        <v>99.59</v>
      </c>
      <c r="M8253">
        <v>148</v>
      </c>
      <c r="N8253">
        <v>0</v>
      </c>
      <c r="O8253">
        <v>148</v>
      </c>
      <c r="P8253">
        <v>0</v>
      </c>
    </row>
    <row r="8254" spans="1:16" x14ac:dyDescent="0.25">
      <c r="A8254" t="s">
        <v>30853</v>
      </c>
      <c r="B8254" t="s">
        <v>17145</v>
      </c>
      <c r="C8254" t="s">
        <v>17146</v>
      </c>
      <c r="D8254" t="str">
        <f>"4100"</f>
        <v>4100</v>
      </c>
      <c r="E8254" t="s">
        <v>15303</v>
      </c>
      <c r="F8254" t="s">
        <v>16771</v>
      </c>
      <c r="G8254" t="s">
        <v>46686</v>
      </c>
      <c r="H8254" t="s">
        <v>47054</v>
      </c>
      <c r="I8254" t="s">
        <v>47120</v>
      </c>
      <c r="J8254" t="s">
        <v>47121</v>
      </c>
      <c r="K8254" t="s">
        <v>47113</v>
      </c>
      <c r="L8254">
        <v>51.4</v>
      </c>
      <c r="M8254">
        <v>92</v>
      </c>
      <c r="N8254">
        <v>0</v>
      </c>
      <c r="O8254">
        <v>92</v>
      </c>
      <c r="P8254">
        <v>0</v>
      </c>
    </row>
    <row r="8255" spans="1:16" x14ac:dyDescent="0.25">
      <c r="A8255" t="s">
        <v>30854</v>
      </c>
      <c r="B8255" t="s">
        <v>17147</v>
      </c>
      <c r="C8255" t="s">
        <v>17111</v>
      </c>
      <c r="D8255" t="str">
        <f>"6000"</f>
        <v>6000</v>
      </c>
      <c r="E8255" t="s">
        <v>17148</v>
      </c>
      <c r="F8255" t="s">
        <v>16771</v>
      </c>
      <c r="G8255" t="s">
        <v>16230</v>
      </c>
      <c r="H8255" t="s">
        <v>47054</v>
      </c>
      <c r="I8255" t="s">
        <v>47120</v>
      </c>
      <c r="J8255" t="s">
        <v>47121</v>
      </c>
      <c r="K8255" t="s">
        <v>47113</v>
      </c>
      <c r="L8255">
        <v>18.16</v>
      </c>
      <c r="M8255">
        <v>63</v>
      </c>
      <c r="N8255">
        <v>0</v>
      </c>
      <c r="O8255">
        <v>63</v>
      </c>
      <c r="P8255">
        <v>0</v>
      </c>
    </row>
    <row r="8256" spans="1:16" x14ac:dyDescent="0.25">
      <c r="A8256" t="s">
        <v>30855</v>
      </c>
      <c r="B8256" t="s">
        <v>17149</v>
      </c>
      <c r="C8256" t="s">
        <v>17150</v>
      </c>
      <c r="D8256" t="str">
        <f>"1700"</f>
        <v>1700</v>
      </c>
      <c r="E8256" t="s">
        <v>17151</v>
      </c>
      <c r="F8256" t="s">
        <v>16746</v>
      </c>
      <c r="G8256" t="s">
        <v>16222</v>
      </c>
      <c r="H8256" t="s">
        <v>47054</v>
      </c>
      <c r="I8256" t="s">
        <v>47120</v>
      </c>
      <c r="J8256" t="s">
        <v>47121</v>
      </c>
      <c r="K8256" t="s">
        <v>47113</v>
      </c>
      <c r="L8256">
        <v>27.35</v>
      </c>
      <c r="M8256">
        <v>55</v>
      </c>
      <c r="N8256">
        <v>0</v>
      </c>
      <c r="O8256">
        <v>55</v>
      </c>
      <c r="P8256">
        <v>0</v>
      </c>
    </row>
    <row r="8257" spans="1:16" x14ac:dyDescent="0.25">
      <c r="A8257" t="s">
        <v>30856</v>
      </c>
      <c r="B8257" t="s">
        <v>17152</v>
      </c>
      <c r="C8257" t="s">
        <v>17079</v>
      </c>
      <c r="D8257" t="str">
        <f>"4100"</f>
        <v>4100</v>
      </c>
      <c r="E8257" t="s">
        <v>15303</v>
      </c>
      <c r="F8257" t="s">
        <v>16771</v>
      </c>
      <c r="G8257" t="s">
        <v>16222</v>
      </c>
      <c r="H8257" t="s">
        <v>47054</v>
      </c>
      <c r="I8257" t="s">
        <v>47569</v>
      </c>
      <c r="J8257" t="s">
        <v>47570</v>
      </c>
      <c r="K8257" t="s">
        <v>47113</v>
      </c>
      <c r="L8257">
        <v>38.61</v>
      </c>
      <c r="M8257">
        <v>66</v>
      </c>
      <c r="N8257">
        <v>0</v>
      </c>
      <c r="O8257">
        <v>66</v>
      </c>
      <c r="P8257">
        <v>0</v>
      </c>
    </row>
    <row r="8258" spans="1:16" x14ac:dyDescent="0.25">
      <c r="A8258" t="s">
        <v>30857</v>
      </c>
      <c r="B8258" t="s">
        <v>17152</v>
      </c>
      <c r="C8258" t="s">
        <v>17079</v>
      </c>
      <c r="D8258" t="str">
        <f>"6000"</f>
        <v>6000</v>
      </c>
      <c r="E8258" t="s">
        <v>16882</v>
      </c>
      <c r="F8258" t="s">
        <v>16771</v>
      </c>
      <c r="G8258" t="s">
        <v>16222</v>
      </c>
      <c r="H8258" t="s">
        <v>47054</v>
      </c>
      <c r="I8258" t="s">
        <v>47569</v>
      </c>
      <c r="J8258" t="s">
        <v>47570</v>
      </c>
      <c r="K8258" t="s">
        <v>47113</v>
      </c>
      <c r="L8258">
        <v>38.61</v>
      </c>
      <c r="M8258">
        <v>66</v>
      </c>
      <c r="N8258">
        <v>0</v>
      </c>
      <c r="O8258">
        <v>66</v>
      </c>
      <c r="P8258">
        <v>0</v>
      </c>
    </row>
    <row r="8259" spans="1:16" x14ac:dyDescent="0.25">
      <c r="A8259" t="s">
        <v>30858</v>
      </c>
      <c r="B8259" t="s">
        <v>20176</v>
      </c>
      <c r="C8259" t="s">
        <v>17165</v>
      </c>
      <c r="D8259" t="str">
        <f>"4100"</f>
        <v>4100</v>
      </c>
      <c r="E8259" t="s">
        <v>2383</v>
      </c>
      <c r="F8259" t="s">
        <v>16933</v>
      </c>
      <c r="G8259" t="s">
        <v>16222</v>
      </c>
      <c r="H8259" t="s">
        <v>47054</v>
      </c>
      <c r="I8259" t="s">
        <v>47118</v>
      </c>
      <c r="J8259" t="s">
        <v>47119</v>
      </c>
      <c r="K8259" t="s">
        <v>47113</v>
      </c>
      <c r="L8259">
        <v>28.7</v>
      </c>
      <c r="M8259">
        <v>55</v>
      </c>
      <c r="N8259">
        <v>0</v>
      </c>
      <c r="O8259">
        <v>55</v>
      </c>
      <c r="P8259">
        <v>0</v>
      </c>
    </row>
    <row r="8260" spans="1:16" x14ac:dyDescent="0.25">
      <c r="A8260" t="s">
        <v>30859</v>
      </c>
      <c r="B8260" t="s">
        <v>17153</v>
      </c>
      <c r="C8260" t="s">
        <v>17154</v>
      </c>
      <c r="D8260" t="str">
        <f>"1700"</f>
        <v>1700</v>
      </c>
      <c r="E8260" t="s">
        <v>17151</v>
      </c>
      <c r="F8260" t="s">
        <v>16746</v>
      </c>
      <c r="G8260" t="s">
        <v>16235</v>
      </c>
      <c r="H8260" t="s">
        <v>47054</v>
      </c>
      <c r="I8260" t="s">
        <v>47120</v>
      </c>
      <c r="J8260" t="s">
        <v>47121</v>
      </c>
      <c r="K8260" t="s">
        <v>47113</v>
      </c>
      <c r="L8260">
        <v>32.81</v>
      </c>
      <c r="M8260">
        <v>66</v>
      </c>
      <c r="N8260">
        <v>0</v>
      </c>
      <c r="O8260">
        <v>66</v>
      </c>
      <c r="P8260">
        <v>0</v>
      </c>
    </row>
    <row r="8261" spans="1:16" x14ac:dyDescent="0.25">
      <c r="A8261" t="s">
        <v>30860</v>
      </c>
      <c r="B8261" t="s">
        <v>17155</v>
      </c>
      <c r="C8261" t="s">
        <v>17154</v>
      </c>
      <c r="D8261" t="str">
        <f>"4100"</f>
        <v>4100</v>
      </c>
      <c r="E8261" t="s">
        <v>15303</v>
      </c>
      <c r="F8261" t="s">
        <v>16771</v>
      </c>
      <c r="G8261" t="s">
        <v>16235</v>
      </c>
      <c r="H8261" t="s">
        <v>47054</v>
      </c>
      <c r="I8261" t="s">
        <v>47569</v>
      </c>
      <c r="J8261" t="s">
        <v>47570</v>
      </c>
      <c r="K8261" t="s">
        <v>47113</v>
      </c>
      <c r="L8261">
        <v>36.31</v>
      </c>
      <c r="M8261">
        <v>74</v>
      </c>
      <c r="N8261">
        <v>0</v>
      </c>
      <c r="O8261">
        <v>74</v>
      </c>
      <c r="P8261">
        <v>0</v>
      </c>
    </row>
    <row r="8262" spans="1:16" x14ac:dyDescent="0.25">
      <c r="A8262" t="s">
        <v>30861</v>
      </c>
      <c r="B8262" t="s">
        <v>17155</v>
      </c>
      <c r="C8262" t="s">
        <v>17154</v>
      </c>
      <c r="D8262" t="str">
        <f>"6000"</f>
        <v>6000</v>
      </c>
      <c r="E8262" t="s">
        <v>16882</v>
      </c>
      <c r="F8262" t="s">
        <v>16771</v>
      </c>
      <c r="G8262" t="s">
        <v>16235</v>
      </c>
      <c r="H8262" t="s">
        <v>47054</v>
      </c>
      <c r="I8262" t="s">
        <v>47569</v>
      </c>
      <c r="J8262" t="s">
        <v>47570</v>
      </c>
      <c r="K8262" t="s">
        <v>47113</v>
      </c>
      <c r="L8262">
        <v>36.31</v>
      </c>
      <c r="M8262">
        <v>74</v>
      </c>
      <c r="N8262">
        <v>0</v>
      </c>
      <c r="O8262">
        <v>74</v>
      </c>
      <c r="P8262">
        <v>0</v>
      </c>
    </row>
    <row r="8263" spans="1:16" x14ac:dyDescent="0.25">
      <c r="A8263" t="s">
        <v>30862</v>
      </c>
      <c r="B8263" t="s">
        <v>15438</v>
      </c>
      <c r="C8263" t="s">
        <v>15370</v>
      </c>
      <c r="D8263" t="str">
        <f>"1106"</f>
        <v>1106</v>
      </c>
      <c r="E8263" t="s">
        <v>460</v>
      </c>
      <c r="F8263" t="s">
        <v>15183</v>
      </c>
      <c r="G8263" t="s">
        <v>16221</v>
      </c>
      <c r="H8263" t="s">
        <v>47054</v>
      </c>
      <c r="I8263" t="s">
        <v>47569</v>
      </c>
      <c r="J8263" t="s">
        <v>47570</v>
      </c>
      <c r="K8263" t="s">
        <v>47113</v>
      </c>
      <c r="L8263">
        <v>19.46</v>
      </c>
      <c r="M8263">
        <v>37</v>
      </c>
      <c r="N8263">
        <v>0</v>
      </c>
      <c r="O8263">
        <v>37</v>
      </c>
      <c r="P8263">
        <v>0</v>
      </c>
    </row>
    <row r="8264" spans="1:16" x14ac:dyDescent="0.25">
      <c r="A8264" t="s">
        <v>30863</v>
      </c>
      <c r="B8264" t="s">
        <v>15438</v>
      </c>
      <c r="C8264" t="s">
        <v>15370</v>
      </c>
      <c r="D8264" t="str">
        <f>"6059"</f>
        <v>6059</v>
      </c>
      <c r="E8264" t="s">
        <v>15321</v>
      </c>
      <c r="F8264" t="s">
        <v>15183</v>
      </c>
      <c r="G8264" t="s">
        <v>16221</v>
      </c>
      <c r="H8264" t="s">
        <v>47054</v>
      </c>
      <c r="I8264" t="s">
        <v>47569</v>
      </c>
      <c r="J8264" t="s">
        <v>47570</v>
      </c>
      <c r="K8264" t="s">
        <v>47113</v>
      </c>
      <c r="L8264">
        <v>19.46</v>
      </c>
      <c r="M8264">
        <v>26</v>
      </c>
      <c r="N8264">
        <v>0</v>
      </c>
      <c r="O8264">
        <v>26</v>
      </c>
      <c r="P8264">
        <v>0</v>
      </c>
    </row>
    <row r="8265" spans="1:16" x14ac:dyDescent="0.25">
      <c r="A8265" t="s">
        <v>30864</v>
      </c>
      <c r="B8265" t="s">
        <v>17156</v>
      </c>
      <c r="C8265" t="s">
        <v>17157</v>
      </c>
      <c r="D8265" t="str">
        <f>"1106"</f>
        <v>1106</v>
      </c>
      <c r="E8265" t="s">
        <v>460</v>
      </c>
      <c r="F8265" t="s">
        <v>16771</v>
      </c>
      <c r="G8265" t="s">
        <v>16222</v>
      </c>
      <c r="H8265" t="s">
        <v>47054</v>
      </c>
      <c r="I8265" t="s">
        <v>47120</v>
      </c>
      <c r="J8265" t="s">
        <v>47121</v>
      </c>
      <c r="K8265" t="s">
        <v>47113</v>
      </c>
      <c r="L8265">
        <v>34.5</v>
      </c>
      <c r="M8265">
        <v>59</v>
      </c>
      <c r="N8265">
        <v>0</v>
      </c>
      <c r="O8265">
        <v>59</v>
      </c>
      <c r="P8265">
        <v>0</v>
      </c>
    </row>
    <row r="8266" spans="1:16" x14ac:dyDescent="0.25">
      <c r="A8266" t="s">
        <v>30865</v>
      </c>
      <c r="B8266" t="s">
        <v>17158</v>
      </c>
      <c r="C8266" t="s">
        <v>17159</v>
      </c>
      <c r="D8266" t="str">
        <f>"1200"</f>
        <v>1200</v>
      </c>
      <c r="E8266" t="s">
        <v>54</v>
      </c>
      <c r="F8266" t="s">
        <v>16839</v>
      </c>
      <c r="G8266" t="s">
        <v>16235</v>
      </c>
      <c r="H8266" t="s">
        <v>47054</v>
      </c>
      <c r="I8266" t="s">
        <v>47116</v>
      </c>
      <c r="J8266" t="s">
        <v>47117</v>
      </c>
      <c r="K8266" t="s">
        <v>47113</v>
      </c>
      <c r="L8266">
        <v>27.44</v>
      </c>
      <c r="M8266">
        <v>55</v>
      </c>
      <c r="N8266">
        <v>0</v>
      </c>
      <c r="O8266">
        <v>55</v>
      </c>
      <c r="P8266">
        <v>0</v>
      </c>
    </row>
    <row r="8267" spans="1:16" x14ac:dyDescent="0.25">
      <c r="A8267" t="s">
        <v>30866</v>
      </c>
      <c r="B8267" t="s">
        <v>17158</v>
      </c>
      <c r="C8267" t="s">
        <v>17159</v>
      </c>
      <c r="D8267" t="str">
        <f>"6000"</f>
        <v>6000</v>
      </c>
      <c r="E8267" t="s">
        <v>7168</v>
      </c>
      <c r="F8267" t="s">
        <v>16839</v>
      </c>
      <c r="G8267" t="s">
        <v>16235</v>
      </c>
      <c r="H8267" t="s">
        <v>47054</v>
      </c>
      <c r="I8267" t="s">
        <v>47116</v>
      </c>
      <c r="J8267" t="s">
        <v>47117</v>
      </c>
      <c r="K8267" t="s">
        <v>47113</v>
      </c>
      <c r="L8267">
        <v>29.34</v>
      </c>
      <c r="M8267">
        <v>59</v>
      </c>
      <c r="N8267">
        <v>0</v>
      </c>
      <c r="O8267">
        <v>59</v>
      </c>
      <c r="P8267">
        <v>0</v>
      </c>
    </row>
    <row r="8268" spans="1:16" x14ac:dyDescent="0.25">
      <c r="A8268" t="s">
        <v>30867</v>
      </c>
      <c r="B8268" t="s">
        <v>20177</v>
      </c>
      <c r="C8268" t="s">
        <v>20178</v>
      </c>
      <c r="D8268" t="str">
        <f>"4100"</f>
        <v>4100</v>
      </c>
      <c r="E8268" t="s">
        <v>2383</v>
      </c>
      <c r="F8268" t="s">
        <v>16933</v>
      </c>
      <c r="G8268" t="s">
        <v>16235</v>
      </c>
      <c r="H8268" t="s">
        <v>47054</v>
      </c>
      <c r="I8268" t="s">
        <v>47118</v>
      </c>
      <c r="J8268" t="s">
        <v>47119</v>
      </c>
      <c r="K8268" t="s">
        <v>47113</v>
      </c>
      <c r="L8268">
        <v>30.39</v>
      </c>
      <c r="M8268">
        <v>66</v>
      </c>
      <c r="N8268">
        <v>0</v>
      </c>
      <c r="O8268">
        <v>66</v>
      </c>
      <c r="P8268">
        <v>0</v>
      </c>
    </row>
    <row r="8269" spans="1:16" x14ac:dyDescent="0.25">
      <c r="A8269" t="s">
        <v>30868</v>
      </c>
      <c r="B8269" t="s">
        <v>17160</v>
      </c>
      <c r="C8269" t="s">
        <v>17161</v>
      </c>
      <c r="D8269" t="str">
        <f>"4143"</f>
        <v>4143</v>
      </c>
      <c r="E8269" t="s">
        <v>261</v>
      </c>
      <c r="F8269" t="s">
        <v>16746</v>
      </c>
      <c r="G8269" t="s">
        <v>16235</v>
      </c>
      <c r="H8269" t="s">
        <v>47054</v>
      </c>
      <c r="I8269" t="s">
        <v>47111</v>
      </c>
      <c r="J8269" t="s">
        <v>47112</v>
      </c>
      <c r="K8269" t="s">
        <v>47113</v>
      </c>
      <c r="L8269">
        <v>23.53</v>
      </c>
      <c r="M8269">
        <v>66</v>
      </c>
      <c r="N8269">
        <v>0</v>
      </c>
      <c r="O8269">
        <v>66</v>
      </c>
      <c r="P8269">
        <v>0</v>
      </c>
    </row>
    <row r="8270" spans="1:16" x14ac:dyDescent="0.25">
      <c r="A8270" t="s">
        <v>30869</v>
      </c>
      <c r="B8270" t="s">
        <v>17162</v>
      </c>
      <c r="C8270" t="s">
        <v>17163</v>
      </c>
      <c r="D8270" t="str">
        <f>"1106"</f>
        <v>1106</v>
      </c>
      <c r="E8270" t="s">
        <v>460</v>
      </c>
      <c r="F8270" t="s">
        <v>16771</v>
      </c>
      <c r="G8270" t="s">
        <v>16235</v>
      </c>
      <c r="H8270" t="s">
        <v>47054</v>
      </c>
      <c r="I8270" t="s">
        <v>47569</v>
      </c>
      <c r="J8270" t="s">
        <v>47570</v>
      </c>
      <c r="K8270" t="s">
        <v>47113</v>
      </c>
      <c r="L8270">
        <v>25.39</v>
      </c>
      <c r="M8270">
        <v>63</v>
      </c>
      <c r="N8270">
        <v>0</v>
      </c>
      <c r="O8270">
        <v>63</v>
      </c>
      <c r="P8270">
        <v>0</v>
      </c>
    </row>
    <row r="8271" spans="1:16" x14ac:dyDescent="0.25">
      <c r="A8271" t="s">
        <v>30870</v>
      </c>
      <c r="B8271" t="s">
        <v>17164</v>
      </c>
      <c r="C8271" t="s">
        <v>17165</v>
      </c>
      <c r="D8271" t="str">
        <f>"1106"</f>
        <v>1106</v>
      </c>
      <c r="E8271" t="s">
        <v>460</v>
      </c>
      <c r="F8271" t="s">
        <v>16771</v>
      </c>
      <c r="G8271" t="s">
        <v>16222</v>
      </c>
      <c r="H8271" t="s">
        <v>47054</v>
      </c>
      <c r="I8271" t="s">
        <v>47569</v>
      </c>
      <c r="J8271" t="s">
        <v>47570</v>
      </c>
      <c r="K8271" t="s">
        <v>47113</v>
      </c>
      <c r="L8271">
        <v>26.03</v>
      </c>
      <c r="M8271">
        <v>63</v>
      </c>
      <c r="N8271">
        <v>0</v>
      </c>
      <c r="O8271">
        <v>63</v>
      </c>
      <c r="P8271">
        <v>0</v>
      </c>
    </row>
    <row r="8272" spans="1:16" x14ac:dyDescent="0.25">
      <c r="A8272" t="s">
        <v>30871</v>
      </c>
      <c r="B8272" t="s">
        <v>17164</v>
      </c>
      <c r="C8272" t="s">
        <v>17165</v>
      </c>
      <c r="D8272" t="str">
        <f>"1800"</f>
        <v>1800</v>
      </c>
      <c r="E8272" t="s">
        <v>1999</v>
      </c>
      <c r="F8272" t="s">
        <v>16771</v>
      </c>
      <c r="G8272" t="s">
        <v>16222</v>
      </c>
      <c r="H8272" t="s">
        <v>47054</v>
      </c>
      <c r="I8272" t="s">
        <v>47569</v>
      </c>
      <c r="J8272" t="s">
        <v>47570</v>
      </c>
      <c r="K8272" t="s">
        <v>47113</v>
      </c>
      <c r="L8272">
        <v>26.03</v>
      </c>
      <c r="M8272">
        <v>63</v>
      </c>
      <c r="N8272">
        <v>0</v>
      </c>
      <c r="O8272">
        <v>63</v>
      </c>
      <c r="P8272">
        <v>0</v>
      </c>
    </row>
    <row r="8273" spans="1:16" x14ac:dyDescent="0.25">
      <c r="A8273" t="s">
        <v>30872</v>
      </c>
      <c r="B8273" t="s">
        <v>17166</v>
      </c>
      <c r="C8273" t="s">
        <v>17167</v>
      </c>
      <c r="D8273" t="str">
        <f>"1106"</f>
        <v>1106</v>
      </c>
      <c r="E8273" t="s">
        <v>460</v>
      </c>
      <c r="F8273" t="s">
        <v>16601</v>
      </c>
      <c r="G8273" t="s">
        <v>16221</v>
      </c>
      <c r="H8273" t="s">
        <v>47054</v>
      </c>
      <c r="I8273" t="s">
        <v>47111</v>
      </c>
      <c r="J8273" t="s">
        <v>47112</v>
      </c>
      <c r="K8273" t="s">
        <v>47113</v>
      </c>
      <c r="L8273">
        <v>17.940000000000001</v>
      </c>
      <c r="M8273">
        <v>47</v>
      </c>
      <c r="N8273">
        <v>0</v>
      </c>
      <c r="O8273">
        <v>47</v>
      </c>
      <c r="P8273">
        <v>0</v>
      </c>
    </row>
    <row r="8274" spans="1:16" x14ac:dyDescent="0.25">
      <c r="A8274" t="s">
        <v>30873</v>
      </c>
      <c r="B8274" t="s">
        <v>17168</v>
      </c>
      <c r="C8274" t="s">
        <v>17167</v>
      </c>
      <c r="D8274" t="str">
        <f>"1106"</f>
        <v>1106</v>
      </c>
      <c r="E8274" t="s">
        <v>460</v>
      </c>
      <c r="F8274" t="s">
        <v>16762</v>
      </c>
      <c r="G8274" t="s">
        <v>16232</v>
      </c>
      <c r="H8274" t="s">
        <v>47054</v>
      </c>
      <c r="I8274" t="s">
        <v>47116</v>
      </c>
      <c r="J8274" t="s">
        <v>47117</v>
      </c>
      <c r="K8274" t="s">
        <v>47113</v>
      </c>
      <c r="L8274">
        <v>18.73</v>
      </c>
      <c r="M8274">
        <v>33</v>
      </c>
      <c r="N8274">
        <v>0</v>
      </c>
      <c r="O8274">
        <v>33</v>
      </c>
      <c r="P8274">
        <v>0</v>
      </c>
    </row>
    <row r="8275" spans="1:16" x14ac:dyDescent="0.25">
      <c r="A8275" t="s">
        <v>30874</v>
      </c>
      <c r="B8275" t="s">
        <v>17169</v>
      </c>
      <c r="C8275" t="s">
        <v>17167</v>
      </c>
      <c r="D8275" t="str">
        <f>"1501"</f>
        <v>1501</v>
      </c>
      <c r="E8275" t="s">
        <v>46</v>
      </c>
      <c r="F8275" t="s">
        <v>16762</v>
      </c>
      <c r="G8275" t="s">
        <v>16232</v>
      </c>
      <c r="H8275" t="s">
        <v>47054</v>
      </c>
      <c r="I8275" t="s">
        <v>47116</v>
      </c>
      <c r="J8275" t="s">
        <v>47117</v>
      </c>
      <c r="K8275" t="s">
        <v>47113</v>
      </c>
      <c r="L8275">
        <v>18.73</v>
      </c>
      <c r="M8275">
        <v>33</v>
      </c>
      <c r="N8275">
        <v>0</v>
      </c>
      <c r="O8275">
        <v>33</v>
      </c>
      <c r="P8275">
        <v>0</v>
      </c>
    </row>
    <row r="8276" spans="1:16" x14ac:dyDescent="0.25">
      <c r="A8276" t="s">
        <v>30875</v>
      </c>
      <c r="B8276" t="s">
        <v>20179</v>
      </c>
      <c r="C8276" t="s">
        <v>20180</v>
      </c>
      <c r="D8276" t="str">
        <f>"1106"</f>
        <v>1106</v>
      </c>
      <c r="E8276" t="s">
        <v>42</v>
      </c>
      <c r="F8276" t="s">
        <v>19878</v>
      </c>
      <c r="G8276" t="s">
        <v>16221</v>
      </c>
      <c r="H8276" t="s">
        <v>47054</v>
      </c>
      <c r="I8276" t="s">
        <v>47118</v>
      </c>
      <c r="J8276" t="s">
        <v>47119</v>
      </c>
      <c r="K8276" t="s">
        <v>47113</v>
      </c>
      <c r="L8276">
        <v>18.28</v>
      </c>
      <c r="M8276">
        <v>37</v>
      </c>
      <c r="N8276">
        <v>0</v>
      </c>
      <c r="O8276">
        <v>37</v>
      </c>
      <c r="P8276">
        <v>0</v>
      </c>
    </row>
    <row r="8277" spans="1:16" x14ac:dyDescent="0.25">
      <c r="A8277" t="s">
        <v>30876</v>
      </c>
      <c r="B8277" t="s">
        <v>20179</v>
      </c>
      <c r="C8277" t="s">
        <v>20180</v>
      </c>
      <c r="D8277" t="str">
        <f>"1700"</f>
        <v>1700</v>
      </c>
      <c r="E8277" t="s">
        <v>60</v>
      </c>
      <c r="F8277" t="s">
        <v>19878</v>
      </c>
      <c r="G8277" t="s">
        <v>16221</v>
      </c>
      <c r="H8277" t="s">
        <v>47054</v>
      </c>
      <c r="I8277" t="s">
        <v>47118</v>
      </c>
      <c r="J8277" t="s">
        <v>47119</v>
      </c>
      <c r="K8277" t="s">
        <v>47113</v>
      </c>
      <c r="L8277">
        <v>18.28</v>
      </c>
      <c r="M8277">
        <v>37</v>
      </c>
      <c r="N8277">
        <v>0</v>
      </c>
      <c r="O8277">
        <v>37</v>
      </c>
      <c r="P8277">
        <v>0</v>
      </c>
    </row>
    <row r="8278" spans="1:16" x14ac:dyDescent="0.25">
      <c r="A8278" t="s">
        <v>30877</v>
      </c>
      <c r="B8278" t="s">
        <v>17170</v>
      </c>
      <c r="C8278" t="s">
        <v>17171</v>
      </c>
      <c r="D8278" t="str">
        <f>"4193"</f>
        <v>4193</v>
      </c>
      <c r="E8278" t="s">
        <v>17172</v>
      </c>
      <c r="F8278" t="s">
        <v>16762</v>
      </c>
      <c r="G8278" t="s">
        <v>16448</v>
      </c>
      <c r="H8278" t="s">
        <v>47054</v>
      </c>
      <c r="I8278" t="s">
        <v>47120</v>
      </c>
      <c r="J8278" t="s">
        <v>47121</v>
      </c>
      <c r="K8278" t="s">
        <v>47113</v>
      </c>
      <c r="L8278">
        <v>62.57</v>
      </c>
      <c r="M8278">
        <v>111</v>
      </c>
      <c r="N8278">
        <v>0</v>
      </c>
      <c r="O8278">
        <v>111</v>
      </c>
      <c r="P8278">
        <v>0</v>
      </c>
    </row>
    <row r="8279" spans="1:16" x14ac:dyDescent="0.25">
      <c r="A8279" t="s">
        <v>30878</v>
      </c>
      <c r="B8279" t="s">
        <v>17173</v>
      </c>
      <c r="C8279" t="s">
        <v>17174</v>
      </c>
      <c r="D8279" t="str">
        <f>"1501"</f>
        <v>1501</v>
      </c>
      <c r="E8279" t="s">
        <v>46</v>
      </c>
      <c r="F8279" t="s">
        <v>16762</v>
      </c>
      <c r="G8279" t="s">
        <v>47594</v>
      </c>
      <c r="H8279" t="s">
        <v>47054</v>
      </c>
      <c r="I8279" t="s">
        <v>47111</v>
      </c>
      <c r="J8279" t="s">
        <v>47112</v>
      </c>
      <c r="K8279" t="s">
        <v>47113</v>
      </c>
      <c r="L8279">
        <v>26.31</v>
      </c>
      <c r="M8279">
        <v>37</v>
      </c>
      <c r="N8279">
        <v>0</v>
      </c>
      <c r="O8279">
        <v>37</v>
      </c>
      <c r="P8279">
        <v>0</v>
      </c>
    </row>
    <row r="8280" spans="1:16" x14ac:dyDescent="0.25">
      <c r="A8280" t="s">
        <v>30879</v>
      </c>
      <c r="B8280" t="s">
        <v>17175</v>
      </c>
      <c r="C8280" t="s">
        <v>17176</v>
      </c>
      <c r="D8280" t="str">
        <f>"1106"</f>
        <v>1106</v>
      </c>
      <c r="E8280" t="s">
        <v>17177</v>
      </c>
      <c r="F8280" t="s">
        <v>16839</v>
      </c>
      <c r="G8280" t="s">
        <v>47594</v>
      </c>
      <c r="H8280" t="s">
        <v>47054</v>
      </c>
      <c r="I8280" t="s">
        <v>47111</v>
      </c>
      <c r="J8280" t="s">
        <v>47112</v>
      </c>
      <c r="K8280" t="s">
        <v>47113</v>
      </c>
      <c r="L8280">
        <v>25.6</v>
      </c>
      <c r="M8280">
        <v>51</v>
      </c>
      <c r="N8280">
        <v>0</v>
      </c>
      <c r="O8280">
        <v>51</v>
      </c>
      <c r="P8280">
        <v>0</v>
      </c>
    </row>
    <row r="8281" spans="1:16" x14ac:dyDescent="0.25">
      <c r="A8281" t="s">
        <v>30880</v>
      </c>
      <c r="B8281" t="s">
        <v>17175</v>
      </c>
      <c r="C8281" t="s">
        <v>17176</v>
      </c>
      <c r="D8281" t="str">
        <f>"1501"</f>
        <v>1501</v>
      </c>
      <c r="E8281" t="s">
        <v>46</v>
      </c>
      <c r="F8281" t="s">
        <v>16839</v>
      </c>
      <c r="G8281" t="s">
        <v>47594</v>
      </c>
      <c r="H8281" t="s">
        <v>47054</v>
      </c>
      <c r="I8281" t="s">
        <v>47111</v>
      </c>
      <c r="J8281" t="s">
        <v>47112</v>
      </c>
      <c r="K8281" t="s">
        <v>47113</v>
      </c>
      <c r="L8281">
        <v>25.36</v>
      </c>
      <c r="M8281">
        <v>51</v>
      </c>
      <c r="N8281">
        <v>0</v>
      </c>
      <c r="O8281">
        <v>51</v>
      </c>
      <c r="P8281">
        <v>0</v>
      </c>
    </row>
    <row r="8282" spans="1:16" x14ac:dyDescent="0.25">
      <c r="A8282" t="s">
        <v>30881</v>
      </c>
      <c r="B8282" t="s">
        <v>17178</v>
      </c>
      <c r="C8282" t="s">
        <v>17179</v>
      </c>
      <c r="D8282" t="str">
        <f>"1501"</f>
        <v>1501</v>
      </c>
      <c r="E8282" t="s">
        <v>46</v>
      </c>
      <c r="F8282" t="s">
        <v>16762</v>
      </c>
      <c r="G8282" t="s">
        <v>16232</v>
      </c>
      <c r="H8282" t="s">
        <v>47054</v>
      </c>
      <c r="I8282" t="s">
        <v>47116</v>
      </c>
      <c r="J8282" t="s">
        <v>47117</v>
      </c>
      <c r="K8282" t="s">
        <v>47113</v>
      </c>
      <c r="L8282">
        <v>26.79</v>
      </c>
      <c r="M8282">
        <v>37</v>
      </c>
      <c r="N8282">
        <v>0</v>
      </c>
      <c r="O8282">
        <v>37</v>
      </c>
      <c r="P8282">
        <v>0</v>
      </c>
    </row>
    <row r="8283" spans="1:16" x14ac:dyDescent="0.25">
      <c r="A8283" t="s">
        <v>30882</v>
      </c>
      <c r="B8283" t="s">
        <v>6512</v>
      </c>
      <c r="C8283" t="s">
        <v>6513</v>
      </c>
      <c r="D8283" t="str">
        <f>"1100"</f>
        <v>1100</v>
      </c>
      <c r="E8283" t="s">
        <v>54</v>
      </c>
      <c r="F8283" t="s">
        <v>8</v>
      </c>
      <c r="G8283" t="s">
        <v>47122</v>
      </c>
      <c r="H8283" t="s">
        <v>47054</v>
      </c>
      <c r="I8283" t="s">
        <v>47120</v>
      </c>
      <c r="J8283" t="s">
        <v>47121</v>
      </c>
      <c r="K8283" t="s">
        <v>47113</v>
      </c>
      <c r="L8283">
        <v>42.85</v>
      </c>
      <c r="M8283">
        <v>101</v>
      </c>
      <c r="N8283">
        <v>0</v>
      </c>
      <c r="O8283">
        <v>101</v>
      </c>
      <c r="P8283">
        <v>0</v>
      </c>
    </row>
    <row r="8284" spans="1:16" x14ac:dyDescent="0.25">
      <c r="A8284" t="s">
        <v>30883</v>
      </c>
      <c r="B8284" t="s">
        <v>6512</v>
      </c>
      <c r="C8284" t="s">
        <v>6513</v>
      </c>
      <c r="D8284" t="str">
        <f>"4100"</f>
        <v>4100</v>
      </c>
      <c r="E8284" t="s">
        <v>2383</v>
      </c>
      <c r="F8284" t="s">
        <v>8</v>
      </c>
      <c r="G8284" t="s">
        <v>47122</v>
      </c>
      <c r="H8284" t="s">
        <v>47054</v>
      </c>
      <c r="I8284" t="s">
        <v>47120</v>
      </c>
      <c r="J8284" t="s">
        <v>47121</v>
      </c>
      <c r="K8284" t="s">
        <v>47113</v>
      </c>
      <c r="L8284">
        <v>42.85</v>
      </c>
      <c r="M8284">
        <v>101</v>
      </c>
      <c r="N8284">
        <v>0</v>
      </c>
      <c r="O8284">
        <v>101</v>
      </c>
      <c r="P8284">
        <v>0</v>
      </c>
    </row>
    <row r="8285" spans="1:16" x14ac:dyDescent="0.25">
      <c r="A8285" t="s">
        <v>22761</v>
      </c>
      <c r="B8285" t="s">
        <v>22762</v>
      </c>
      <c r="C8285" t="s">
        <v>22763</v>
      </c>
      <c r="D8285" t="str">
        <f>"1001"</f>
        <v>1001</v>
      </c>
      <c r="E8285" t="s">
        <v>17350</v>
      </c>
      <c r="F8285" t="s">
        <v>19559</v>
      </c>
      <c r="G8285" t="s">
        <v>16235</v>
      </c>
      <c r="H8285" t="s">
        <v>47054</v>
      </c>
      <c r="I8285" t="s">
        <v>47111</v>
      </c>
      <c r="J8285" t="s">
        <v>47112</v>
      </c>
      <c r="K8285" t="s">
        <v>47113</v>
      </c>
      <c r="L8285">
        <v>31.54</v>
      </c>
      <c r="M8285">
        <v>66</v>
      </c>
      <c r="N8285">
        <v>0</v>
      </c>
      <c r="O8285">
        <v>66</v>
      </c>
      <c r="P8285">
        <v>0</v>
      </c>
    </row>
    <row r="8286" spans="1:16" x14ac:dyDescent="0.25">
      <c r="A8286" t="s">
        <v>30884</v>
      </c>
      <c r="B8286" t="s">
        <v>30885</v>
      </c>
      <c r="C8286" t="s">
        <v>30886</v>
      </c>
      <c r="D8286" t="str">
        <f>"4000"</f>
        <v>4000</v>
      </c>
      <c r="E8286" t="s">
        <v>19959</v>
      </c>
      <c r="F8286" t="s">
        <v>19552</v>
      </c>
      <c r="G8286" t="s">
        <v>16448</v>
      </c>
      <c r="H8286" t="s">
        <v>47054</v>
      </c>
      <c r="I8286" t="s">
        <v>47120</v>
      </c>
      <c r="J8286" t="s">
        <v>47121</v>
      </c>
      <c r="K8286" t="s">
        <v>47113</v>
      </c>
      <c r="L8286">
        <v>41.48</v>
      </c>
      <c r="M8286">
        <v>92</v>
      </c>
      <c r="N8286">
        <v>0</v>
      </c>
      <c r="O8286">
        <v>92</v>
      </c>
      <c r="P8286">
        <v>0</v>
      </c>
    </row>
    <row r="8287" spans="1:16" x14ac:dyDescent="0.25">
      <c r="A8287" t="s">
        <v>30887</v>
      </c>
      <c r="B8287" t="s">
        <v>17180</v>
      </c>
      <c r="C8287" t="s">
        <v>17181</v>
      </c>
      <c r="D8287" t="s">
        <v>16741</v>
      </c>
      <c r="E8287" t="s">
        <v>16742</v>
      </c>
      <c r="F8287" t="s">
        <v>16601</v>
      </c>
      <c r="G8287" t="s">
        <v>16448</v>
      </c>
      <c r="H8287" t="s">
        <v>47054</v>
      </c>
      <c r="I8287" t="s">
        <v>47116</v>
      </c>
      <c r="J8287" t="s">
        <v>47117</v>
      </c>
      <c r="K8287" t="s">
        <v>47113</v>
      </c>
      <c r="L8287">
        <v>64</v>
      </c>
      <c r="M8287">
        <v>100</v>
      </c>
      <c r="N8287">
        <v>0</v>
      </c>
      <c r="O8287">
        <v>100</v>
      </c>
      <c r="P8287">
        <v>0</v>
      </c>
    </row>
    <row r="8288" spans="1:16" x14ac:dyDescent="0.25">
      <c r="A8288" t="s">
        <v>30888</v>
      </c>
      <c r="B8288" t="s">
        <v>17182</v>
      </c>
      <c r="C8288" t="s">
        <v>17183</v>
      </c>
      <c r="D8288" t="s">
        <v>16805</v>
      </c>
      <c r="E8288" t="s">
        <v>16806</v>
      </c>
      <c r="F8288" t="s">
        <v>16623</v>
      </c>
      <c r="G8288" t="s">
        <v>16224</v>
      </c>
      <c r="H8288" t="s">
        <v>47054</v>
      </c>
      <c r="I8288" t="s">
        <v>47116</v>
      </c>
      <c r="J8288" t="s">
        <v>47117</v>
      </c>
      <c r="K8288" t="s">
        <v>47113</v>
      </c>
      <c r="L8288">
        <v>55.06</v>
      </c>
      <c r="M8288">
        <v>111</v>
      </c>
      <c r="N8288">
        <v>0</v>
      </c>
      <c r="O8288">
        <v>111</v>
      </c>
      <c r="P8288">
        <v>0</v>
      </c>
    </row>
    <row r="8289" spans="1:16" x14ac:dyDescent="0.25">
      <c r="A8289" t="s">
        <v>30889</v>
      </c>
      <c r="B8289" t="s">
        <v>20181</v>
      </c>
      <c r="C8289" t="s">
        <v>17183</v>
      </c>
      <c r="D8289" t="s">
        <v>19890</v>
      </c>
      <c r="E8289" t="s">
        <v>19891</v>
      </c>
      <c r="F8289" t="s">
        <v>16933</v>
      </c>
      <c r="G8289" t="s">
        <v>16448</v>
      </c>
      <c r="H8289" t="s">
        <v>47054</v>
      </c>
      <c r="I8289" t="s">
        <v>47116</v>
      </c>
      <c r="J8289" t="s">
        <v>47117</v>
      </c>
      <c r="K8289" t="s">
        <v>47113</v>
      </c>
      <c r="L8289">
        <v>67.41</v>
      </c>
      <c r="M8289">
        <v>122</v>
      </c>
      <c r="N8289">
        <v>0</v>
      </c>
      <c r="O8289">
        <v>122</v>
      </c>
      <c r="P8289">
        <v>0</v>
      </c>
    </row>
    <row r="8290" spans="1:16" x14ac:dyDescent="0.25">
      <c r="A8290" t="s">
        <v>30890</v>
      </c>
      <c r="B8290" t="s">
        <v>17184</v>
      </c>
      <c r="C8290" t="s">
        <v>17185</v>
      </c>
      <c r="D8290" t="str">
        <f>"1200"</f>
        <v>1200</v>
      </c>
      <c r="E8290" t="s">
        <v>17186</v>
      </c>
      <c r="F8290" t="s">
        <v>16601</v>
      </c>
      <c r="G8290" t="s">
        <v>16234</v>
      </c>
      <c r="H8290" t="s">
        <v>47054</v>
      </c>
      <c r="I8290" t="s">
        <v>47120</v>
      </c>
      <c r="J8290" t="s">
        <v>47121</v>
      </c>
      <c r="K8290" t="s">
        <v>47113</v>
      </c>
      <c r="L8290">
        <v>28.7</v>
      </c>
      <c r="M8290">
        <v>66</v>
      </c>
      <c r="N8290">
        <v>0</v>
      </c>
      <c r="O8290">
        <v>66</v>
      </c>
      <c r="P8290">
        <v>0</v>
      </c>
    </row>
    <row r="8291" spans="1:16" x14ac:dyDescent="0.25">
      <c r="A8291" t="s">
        <v>30891</v>
      </c>
      <c r="B8291" t="s">
        <v>17184</v>
      </c>
      <c r="C8291" t="s">
        <v>17185</v>
      </c>
      <c r="D8291" t="str">
        <f>"4100"</f>
        <v>4100</v>
      </c>
      <c r="E8291" t="s">
        <v>16855</v>
      </c>
      <c r="F8291" t="s">
        <v>16601</v>
      </c>
      <c r="G8291" t="s">
        <v>16234</v>
      </c>
      <c r="H8291" t="s">
        <v>47054</v>
      </c>
      <c r="I8291" t="s">
        <v>47120</v>
      </c>
      <c r="J8291" t="s">
        <v>47121</v>
      </c>
      <c r="K8291" t="s">
        <v>47113</v>
      </c>
      <c r="L8291">
        <v>28.7</v>
      </c>
      <c r="M8291">
        <v>66</v>
      </c>
      <c r="N8291">
        <v>0</v>
      </c>
      <c r="O8291">
        <v>66</v>
      </c>
      <c r="P8291">
        <v>0</v>
      </c>
    </row>
    <row r="8292" spans="1:16" x14ac:dyDescent="0.25">
      <c r="A8292" t="s">
        <v>30892</v>
      </c>
      <c r="B8292" t="s">
        <v>17187</v>
      </c>
      <c r="C8292" t="s">
        <v>17185</v>
      </c>
      <c r="D8292" t="s">
        <v>17087</v>
      </c>
      <c r="E8292" t="s">
        <v>17088</v>
      </c>
      <c r="F8292" t="s">
        <v>16601</v>
      </c>
      <c r="G8292" t="s">
        <v>16234</v>
      </c>
      <c r="H8292" t="s">
        <v>47054</v>
      </c>
      <c r="I8292" t="s">
        <v>47120</v>
      </c>
      <c r="J8292" t="s">
        <v>47121</v>
      </c>
      <c r="K8292" t="s">
        <v>47113</v>
      </c>
      <c r="L8292">
        <v>38.36</v>
      </c>
      <c r="M8292">
        <v>66</v>
      </c>
      <c r="N8292">
        <v>0</v>
      </c>
      <c r="O8292">
        <v>66</v>
      </c>
      <c r="P8292">
        <v>0</v>
      </c>
    </row>
    <row r="8293" spans="1:16" x14ac:dyDescent="0.25">
      <c r="A8293" t="s">
        <v>30893</v>
      </c>
      <c r="B8293" t="s">
        <v>17188</v>
      </c>
      <c r="C8293" t="s">
        <v>17189</v>
      </c>
      <c r="D8293" t="s">
        <v>17190</v>
      </c>
      <c r="E8293" t="s">
        <v>17191</v>
      </c>
      <c r="F8293" t="s">
        <v>16601</v>
      </c>
      <c r="G8293" t="s">
        <v>16234</v>
      </c>
      <c r="H8293" t="s">
        <v>47054</v>
      </c>
      <c r="I8293" t="s">
        <v>47120</v>
      </c>
      <c r="J8293" t="s">
        <v>47121</v>
      </c>
      <c r="K8293" t="s">
        <v>47113</v>
      </c>
      <c r="L8293">
        <v>29.65</v>
      </c>
      <c r="M8293">
        <v>66</v>
      </c>
      <c r="N8293">
        <v>0</v>
      </c>
      <c r="O8293">
        <v>66</v>
      </c>
      <c r="P8293">
        <v>0</v>
      </c>
    </row>
    <row r="8294" spans="1:16" x14ac:dyDescent="0.25">
      <c r="A8294" t="s">
        <v>30894</v>
      </c>
      <c r="B8294" t="s">
        <v>17192</v>
      </c>
      <c r="C8294" t="s">
        <v>17193</v>
      </c>
      <c r="D8294" t="str">
        <f>"4100"</f>
        <v>4100</v>
      </c>
      <c r="E8294" t="s">
        <v>17112</v>
      </c>
      <c r="F8294" t="s">
        <v>16730</v>
      </c>
      <c r="G8294" t="s">
        <v>16230</v>
      </c>
      <c r="H8294" t="s">
        <v>47054</v>
      </c>
      <c r="I8294" t="s">
        <v>47120</v>
      </c>
      <c r="J8294" t="s">
        <v>47121</v>
      </c>
      <c r="K8294" t="s">
        <v>47113</v>
      </c>
      <c r="L8294">
        <v>37.979999999999997</v>
      </c>
      <c r="M8294">
        <v>74</v>
      </c>
      <c r="N8294">
        <v>0</v>
      </c>
      <c r="O8294">
        <v>74</v>
      </c>
      <c r="P8294">
        <v>0</v>
      </c>
    </row>
    <row r="8295" spans="1:16" x14ac:dyDescent="0.25">
      <c r="A8295" t="s">
        <v>30895</v>
      </c>
      <c r="B8295" t="s">
        <v>17192</v>
      </c>
      <c r="C8295" t="s">
        <v>17193</v>
      </c>
      <c r="D8295" t="str">
        <f>"5000"</f>
        <v>5000</v>
      </c>
      <c r="E8295" t="s">
        <v>17194</v>
      </c>
      <c r="F8295" t="s">
        <v>16730</v>
      </c>
      <c r="G8295" t="s">
        <v>16230</v>
      </c>
      <c r="H8295" t="s">
        <v>47054</v>
      </c>
      <c r="I8295" t="s">
        <v>47120</v>
      </c>
      <c r="J8295" t="s">
        <v>47121</v>
      </c>
      <c r="K8295" t="s">
        <v>47113</v>
      </c>
      <c r="L8295">
        <v>37.979999999999997</v>
      </c>
      <c r="M8295">
        <v>74</v>
      </c>
      <c r="N8295">
        <v>0</v>
      </c>
      <c r="O8295">
        <v>74</v>
      </c>
      <c r="P8295">
        <v>0</v>
      </c>
    </row>
    <row r="8296" spans="1:16" x14ac:dyDescent="0.25">
      <c r="A8296" t="s">
        <v>30896</v>
      </c>
      <c r="B8296" t="s">
        <v>17195</v>
      </c>
      <c r="C8296" t="s">
        <v>17196</v>
      </c>
      <c r="D8296" t="str">
        <f>"1200"</f>
        <v>1200</v>
      </c>
      <c r="E8296" t="s">
        <v>17197</v>
      </c>
      <c r="F8296" t="s">
        <v>16730</v>
      </c>
      <c r="G8296" t="s">
        <v>16221</v>
      </c>
      <c r="H8296" t="s">
        <v>47054</v>
      </c>
      <c r="I8296" t="s">
        <v>47569</v>
      </c>
      <c r="J8296" t="s">
        <v>47570</v>
      </c>
      <c r="K8296" t="s">
        <v>47113</v>
      </c>
      <c r="L8296">
        <v>17.38</v>
      </c>
      <c r="M8296">
        <v>33</v>
      </c>
      <c r="N8296">
        <v>0</v>
      </c>
      <c r="O8296">
        <v>33</v>
      </c>
      <c r="P8296">
        <v>0</v>
      </c>
    </row>
    <row r="8297" spans="1:16" x14ac:dyDescent="0.25">
      <c r="A8297" t="s">
        <v>30897</v>
      </c>
      <c r="B8297" t="s">
        <v>17195</v>
      </c>
      <c r="C8297" t="s">
        <v>17196</v>
      </c>
      <c r="D8297" t="str">
        <f>"5000"</f>
        <v>5000</v>
      </c>
      <c r="E8297" t="s">
        <v>16493</v>
      </c>
      <c r="F8297" t="s">
        <v>16730</v>
      </c>
      <c r="G8297" t="s">
        <v>16221</v>
      </c>
      <c r="H8297" t="s">
        <v>47054</v>
      </c>
      <c r="I8297" t="s">
        <v>47569</v>
      </c>
      <c r="J8297" t="s">
        <v>47570</v>
      </c>
      <c r="K8297" t="s">
        <v>47113</v>
      </c>
      <c r="L8297">
        <v>17.38</v>
      </c>
      <c r="M8297">
        <v>33</v>
      </c>
      <c r="N8297">
        <v>0</v>
      </c>
      <c r="O8297">
        <v>33</v>
      </c>
      <c r="P8297">
        <v>0</v>
      </c>
    </row>
    <row r="8298" spans="1:16" x14ac:dyDescent="0.25">
      <c r="A8298" t="s">
        <v>30898</v>
      </c>
      <c r="B8298" t="s">
        <v>17198</v>
      </c>
      <c r="C8298" t="s">
        <v>17199</v>
      </c>
      <c r="D8298" t="str">
        <f>"1106"</f>
        <v>1106</v>
      </c>
      <c r="E8298" t="s">
        <v>460</v>
      </c>
      <c r="F8298" t="s">
        <v>16771</v>
      </c>
      <c r="G8298" t="s">
        <v>16235</v>
      </c>
      <c r="H8298" t="s">
        <v>47054</v>
      </c>
      <c r="I8298" t="s">
        <v>47569</v>
      </c>
      <c r="J8298" t="s">
        <v>47570</v>
      </c>
      <c r="K8298" t="s">
        <v>47113</v>
      </c>
      <c r="L8298">
        <v>36.869999999999997</v>
      </c>
      <c r="M8298">
        <v>74</v>
      </c>
      <c r="N8298">
        <v>0</v>
      </c>
      <c r="O8298">
        <v>74</v>
      </c>
      <c r="P8298">
        <v>0</v>
      </c>
    </row>
    <row r="8299" spans="1:16" x14ac:dyDescent="0.25">
      <c r="A8299" t="s">
        <v>30899</v>
      </c>
      <c r="B8299" t="s">
        <v>17198</v>
      </c>
      <c r="C8299" t="s">
        <v>17199</v>
      </c>
      <c r="D8299" t="str">
        <f>"1800"</f>
        <v>1800</v>
      </c>
      <c r="E8299" t="s">
        <v>1999</v>
      </c>
      <c r="F8299" t="s">
        <v>16771</v>
      </c>
      <c r="G8299" t="s">
        <v>16235</v>
      </c>
      <c r="H8299" t="s">
        <v>47054</v>
      </c>
      <c r="I8299" t="s">
        <v>47569</v>
      </c>
      <c r="J8299" t="s">
        <v>47570</v>
      </c>
      <c r="K8299" t="s">
        <v>47113</v>
      </c>
      <c r="L8299">
        <v>36.869999999999997</v>
      </c>
      <c r="M8299">
        <v>74</v>
      </c>
      <c r="N8299">
        <v>0</v>
      </c>
      <c r="O8299">
        <v>74</v>
      </c>
      <c r="P8299">
        <v>0</v>
      </c>
    </row>
    <row r="8300" spans="1:16" x14ac:dyDescent="0.25">
      <c r="A8300" t="s">
        <v>30900</v>
      </c>
      <c r="B8300" t="s">
        <v>17200</v>
      </c>
      <c r="C8300" t="s">
        <v>17201</v>
      </c>
      <c r="D8300" t="str">
        <f>"1501"</f>
        <v>1501</v>
      </c>
      <c r="E8300" t="s">
        <v>46</v>
      </c>
      <c r="F8300" t="s">
        <v>16762</v>
      </c>
      <c r="G8300" t="s">
        <v>16233</v>
      </c>
      <c r="H8300" t="s">
        <v>47054</v>
      </c>
      <c r="I8300" t="s">
        <v>47111</v>
      </c>
      <c r="J8300" t="s">
        <v>47112</v>
      </c>
      <c r="K8300" t="s">
        <v>47113</v>
      </c>
      <c r="L8300">
        <v>19.13</v>
      </c>
      <c r="M8300">
        <v>48</v>
      </c>
      <c r="N8300">
        <v>0</v>
      </c>
      <c r="O8300">
        <v>48</v>
      </c>
      <c r="P8300">
        <v>0</v>
      </c>
    </row>
    <row r="8301" spans="1:16" x14ac:dyDescent="0.25">
      <c r="A8301" t="s">
        <v>30901</v>
      </c>
      <c r="B8301" t="s">
        <v>17202</v>
      </c>
      <c r="C8301" t="s">
        <v>17203</v>
      </c>
      <c r="D8301" t="s">
        <v>17204</v>
      </c>
      <c r="E8301" t="s">
        <v>17205</v>
      </c>
      <c r="F8301" t="s">
        <v>16601</v>
      </c>
      <c r="G8301" t="s">
        <v>16231</v>
      </c>
      <c r="H8301" t="s">
        <v>47054</v>
      </c>
      <c r="I8301" t="s">
        <v>47111</v>
      </c>
      <c r="J8301" t="s">
        <v>47112</v>
      </c>
      <c r="K8301" t="s">
        <v>47113</v>
      </c>
      <c r="L8301">
        <v>82.43</v>
      </c>
      <c r="M8301">
        <v>129</v>
      </c>
      <c r="N8301">
        <v>0</v>
      </c>
      <c r="O8301">
        <v>129</v>
      </c>
      <c r="P8301">
        <v>0</v>
      </c>
    </row>
    <row r="8302" spans="1:16" x14ac:dyDescent="0.25">
      <c r="A8302" t="s">
        <v>30902</v>
      </c>
      <c r="B8302" t="s">
        <v>17206</v>
      </c>
      <c r="C8302" t="s">
        <v>17203</v>
      </c>
      <c r="D8302" t="s">
        <v>16846</v>
      </c>
      <c r="E8302" t="s">
        <v>16847</v>
      </c>
      <c r="F8302" t="s">
        <v>16771</v>
      </c>
      <c r="G8302" t="s">
        <v>16231</v>
      </c>
      <c r="I8302" t="s">
        <v>47116</v>
      </c>
      <c r="J8302" t="s">
        <v>47117</v>
      </c>
      <c r="K8302" t="s">
        <v>47113</v>
      </c>
      <c r="L8302">
        <v>96.37</v>
      </c>
      <c r="M8302">
        <v>129</v>
      </c>
      <c r="N8302">
        <v>0</v>
      </c>
      <c r="O8302">
        <v>129</v>
      </c>
      <c r="P8302">
        <v>0</v>
      </c>
    </row>
    <row r="8303" spans="1:16" x14ac:dyDescent="0.25">
      <c r="A8303" t="s">
        <v>30903</v>
      </c>
      <c r="B8303" t="s">
        <v>30904</v>
      </c>
      <c r="C8303" t="s">
        <v>30905</v>
      </c>
      <c r="D8303" t="s">
        <v>30906</v>
      </c>
      <c r="E8303" t="s">
        <v>30907</v>
      </c>
      <c r="F8303" t="s">
        <v>21629</v>
      </c>
      <c r="G8303" t="s">
        <v>16231</v>
      </c>
      <c r="H8303" t="s">
        <v>47054</v>
      </c>
      <c r="I8303" t="s">
        <v>47544</v>
      </c>
      <c r="J8303" t="s">
        <v>47545</v>
      </c>
      <c r="K8303" t="s">
        <v>47113</v>
      </c>
      <c r="L8303">
        <v>36.85</v>
      </c>
      <c r="M8303">
        <v>95</v>
      </c>
      <c r="N8303">
        <v>0</v>
      </c>
      <c r="O8303">
        <v>95</v>
      </c>
      <c r="P8303">
        <v>0</v>
      </c>
    </row>
    <row r="8304" spans="1:16" x14ac:dyDescent="0.25">
      <c r="A8304" t="s">
        <v>30908</v>
      </c>
      <c r="B8304" t="s">
        <v>17207</v>
      </c>
      <c r="C8304" t="s">
        <v>17208</v>
      </c>
      <c r="D8304" t="str">
        <f>"1106"</f>
        <v>1106</v>
      </c>
      <c r="E8304" t="s">
        <v>460</v>
      </c>
      <c r="F8304" t="s">
        <v>16730</v>
      </c>
      <c r="G8304" t="s">
        <v>16232</v>
      </c>
      <c r="H8304" t="s">
        <v>47054</v>
      </c>
      <c r="I8304" t="s">
        <v>47569</v>
      </c>
      <c r="J8304" t="s">
        <v>47570</v>
      </c>
      <c r="K8304" t="s">
        <v>47113</v>
      </c>
      <c r="L8304">
        <v>13.97</v>
      </c>
      <c r="M8304">
        <v>33</v>
      </c>
      <c r="N8304">
        <v>0</v>
      </c>
      <c r="O8304">
        <v>33</v>
      </c>
      <c r="P8304">
        <v>0</v>
      </c>
    </row>
    <row r="8305" spans="1:16" x14ac:dyDescent="0.25">
      <c r="A8305" t="s">
        <v>30909</v>
      </c>
      <c r="B8305" t="s">
        <v>17207</v>
      </c>
      <c r="C8305" t="s">
        <v>17208</v>
      </c>
      <c r="D8305" t="str">
        <f>"1800"</f>
        <v>1800</v>
      </c>
      <c r="E8305" t="s">
        <v>1999</v>
      </c>
      <c r="F8305" t="s">
        <v>16730</v>
      </c>
      <c r="G8305" t="s">
        <v>16232</v>
      </c>
      <c r="H8305" t="s">
        <v>47054</v>
      </c>
      <c r="I8305" t="s">
        <v>47569</v>
      </c>
      <c r="J8305" t="s">
        <v>47570</v>
      </c>
      <c r="K8305" t="s">
        <v>47113</v>
      </c>
      <c r="L8305">
        <v>13.97</v>
      </c>
      <c r="M8305">
        <v>33</v>
      </c>
      <c r="N8305">
        <v>0</v>
      </c>
      <c r="O8305">
        <v>33</v>
      </c>
      <c r="P8305">
        <v>0</v>
      </c>
    </row>
    <row r="8306" spans="1:16" x14ac:dyDescent="0.25">
      <c r="A8306" t="s">
        <v>17209</v>
      </c>
      <c r="B8306" t="s">
        <v>16306</v>
      </c>
      <c r="C8306" t="s">
        <v>17210</v>
      </c>
      <c r="D8306" t="s">
        <v>15336</v>
      </c>
      <c r="E8306" t="s">
        <v>15337</v>
      </c>
      <c r="F8306" t="s">
        <v>15183</v>
      </c>
      <c r="G8306" t="s">
        <v>16224</v>
      </c>
      <c r="H8306" t="s">
        <v>47054</v>
      </c>
      <c r="I8306" t="s">
        <v>47120</v>
      </c>
      <c r="J8306" t="s">
        <v>47121</v>
      </c>
      <c r="K8306" t="s">
        <v>47113</v>
      </c>
      <c r="L8306">
        <v>33.64</v>
      </c>
      <c r="M8306">
        <v>92</v>
      </c>
      <c r="N8306">
        <v>0</v>
      </c>
      <c r="O8306">
        <v>92</v>
      </c>
      <c r="P8306">
        <v>0</v>
      </c>
    </row>
    <row r="8307" spans="1:16" x14ac:dyDescent="0.25">
      <c r="A8307" t="s">
        <v>30910</v>
      </c>
      <c r="B8307" t="s">
        <v>16306</v>
      </c>
      <c r="C8307" t="s">
        <v>17210</v>
      </c>
      <c r="D8307" t="s">
        <v>15338</v>
      </c>
      <c r="E8307" t="s">
        <v>15339</v>
      </c>
      <c r="F8307" t="s">
        <v>15183</v>
      </c>
      <c r="G8307" t="s">
        <v>16224</v>
      </c>
      <c r="H8307" t="s">
        <v>47054</v>
      </c>
      <c r="I8307" t="s">
        <v>47120</v>
      </c>
      <c r="J8307" t="s">
        <v>47121</v>
      </c>
      <c r="K8307" t="s">
        <v>47113</v>
      </c>
      <c r="L8307">
        <v>33.64</v>
      </c>
      <c r="M8307">
        <v>92</v>
      </c>
      <c r="N8307">
        <v>0</v>
      </c>
      <c r="O8307">
        <v>92</v>
      </c>
      <c r="P8307">
        <v>0</v>
      </c>
    </row>
    <row r="8308" spans="1:16" x14ac:dyDescent="0.25">
      <c r="A8308" t="s">
        <v>30911</v>
      </c>
      <c r="B8308" t="s">
        <v>17211</v>
      </c>
      <c r="C8308" t="s">
        <v>17181</v>
      </c>
      <c r="D8308" t="s">
        <v>17087</v>
      </c>
      <c r="E8308" t="s">
        <v>17088</v>
      </c>
      <c r="F8308" t="s">
        <v>16730</v>
      </c>
      <c r="G8308" t="s">
        <v>16224</v>
      </c>
      <c r="H8308" t="s">
        <v>47054</v>
      </c>
      <c r="I8308" t="s">
        <v>47120</v>
      </c>
      <c r="J8308" t="s">
        <v>47121</v>
      </c>
      <c r="K8308" t="s">
        <v>47113</v>
      </c>
      <c r="L8308">
        <v>50.47</v>
      </c>
      <c r="M8308">
        <v>92</v>
      </c>
      <c r="N8308">
        <v>0</v>
      </c>
      <c r="O8308">
        <v>92</v>
      </c>
      <c r="P8308">
        <v>0</v>
      </c>
    </row>
    <row r="8309" spans="1:16" x14ac:dyDescent="0.25">
      <c r="A8309" t="s">
        <v>30912</v>
      </c>
      <c r="B8309" t="s">
        <v>17212</v>
      </c>
      <c r="C8309" t="s">
        <v>17181</v>
      </c>
      <c r="D8309" t="s">
        <v>17190</v>
      </c>
      <c r="E8309" t="s">
        <v>17191</v>
      </c>
      <c r="F8309" t="s">
        <v>16730</v>
      </c>
      <c r="G8309" t="s">
        <v>16224</v>
      </c>
      <c r="H8309" t="s">
        <v>47054</v>
      </c>
      <c r="I8309" t="s">
        <v>47120</v>
      </c>
      <c r="J8309" t="s">
        <v>47121</v>
      </c>
      <c r="K8309" t="s">
        <v>47113</v>
      </c>
      <c r="L8309">
        <v>27.26</v>
      </c>
      <c r="M8309">
        <v>92</v>
      </c>
      <c r="N8309">
        <v>0</v>
      </c>
      <c r="O8309">
        <v>92</v>
      </c>
      <c r="P8309">
        <v>0</v>
      </c>
    </row>
    <row r="8310" spans="1:16" x14ac:dyDescent="0.25">
      <c r="A8310" t="s">
        <v>30913</v>
      </c>
      <c r="B8310" t="s">
        <v>15439</v>
      </c>
      <c r="C8310" t="s">
        <v>17213</v>
      </c>
      <c r="D8310" t="str">
        <f>"1106"</f>
        <v>1106</v>
      </c>
      <c r="E8310" t="s">
        <v>15362</v>
      </c>
      <c r="F8310" t="s">
        <v>15183</v>
      </c>
      <c r="G8310" t="s">
        <v>16234</v>
      </c>
      <c r="H8310" t="s">
        <v>47054</v>
      </c>
      <c r="I8310" t="s">
        <v>47120</v>
      </c>
      <c r="J8310" t="s">
        <v>47121</v>
      </c>
      <c r="K8310" t="s">
        <v>47113</v>
      </c>
      <c r="L8310">
        <v>48.65</v>
      </c>
      <c r="M8310">
        <v>66</v>
      </c>
      <c r="N8310">
        <v>0</v>
      </c>
      <c r="O8310">
        <v>66</v>
      </c>
      <c r="P8310">
        <v>0</v>
      </c>
    </row>
    <row r="8311" spans="1:16" x14ac:dyDescent="0.25">
      <c r="A8311" t="s">
        <v>30914</v>
      </c>
      <c r="B8311" t="s">
        <v>15439</v>
      </c>
      <c r="C8311" t="s">
        <v>17213</v>
      </c>
      <c r="D8311" t="str">
        <f>"4000"</f>
        <v>4000</v>
      </c>
      <c r="E8311" t="s">
        <v>15363</v>
      </c>
      <c r="F8311" t="s">
        <v>15183</v>
      </c>
      <c r="G8311" t="s">
        <v>16234</v>
      </c>
      <c r="H8311" t="s">
        <v>47054</v>
      </c>
      <c r="I8311" t="s">
        <v>47120</v>
      </c>
      <c r="J8311" t="s">
        <v>47121</v>
      </c>
      <c r="K8311" t="s">
        <v>47113</v>
      </c>
      <c r="L8311">
        <v>48.65</v>
      </c>
      <c r="M8311">
        <v>66</v>
      </c>
      <c r="N8311">
        <v>0</v>
      </c>
      <c r="O8311">
        <v>66</v>
      </c>
      <c r="P8311">
        <v>0</v>
      </c>
    </row>
    <row r="8312" spans="1:16" x14ac:dyDescent="0.25">
      <c r="A8312" t="s">
        <v>30915</v>
      </c>
      <c r="B8312" t="s">
        <v>15439</v>
      </c>
      <c r="C8312" t="s">
        <v>17213</v>
      </c>
      <c r="D8312" t="str">
        <f>"7233"</f>
        <v>7233</v>
      </c>
      <c r="E8312" t="s">
        <v>15364</v>
      </c>
      <c r="F8312" t="s">
        <v>15183</v>
      </c>
      <c r="G8312" t="s">
        <v>16234</v>
      </c>
      <c r="H8312" t="s">
        <v>47054</v>
      </c>
      <c r="I8312" t="s">
        <v>47120</v>
      </c>
      <c r="J8312" t="s">
        <v>47121</v>
      </c>
      <c r="K8312" t="s">
        <v>47113</v>
      </c>
      <c r="L8312">
        <v>48.65</v>
      </c>
      <c r="M8312">
        <v>66</v>
      </c>
      <c r="N8312">
        <v>0</v>
      </c>
      <c r="O8312">
        <v>66</v>
      </c>
      <c r="P8312">
        <v>0</v>
      </c>
    </row>
    <row r="8313" spans="1:16" x14ac:dyDescent="0.25">
      <c r="A8313" t="s">
        <v>22764</v>
      </c>
      <c r="B8313" t="s">
        <v>20182</v>
      </c>
      <c r="C8313" t="s">
        <v>20183</v>
      </c>
      <c r="D8313" t="str">
        <f>"1106"</f>
        <v>1106</v>
      </c>
      <c r="E8313" t="s">
        <v>42</v>
      </c>
      <c r="F8313" t="s">
        <v>19559</v>
      </c>
      <c r="G8313" t="s">
        <v>16221</v>
      </c>
      <c r="H8313" t="s">
        <v>47054</v>
      </c>
      <c r="I8313" t="s">
        <v>47154</v>
      </c>
      <c r="J8313" t="s">
        <v>47155</v>
      </c>
      <c r="K8313" t="s">
        <v>47113</v>
      </c>
      <c r="L8313">
        <v>9.9499999999999993</v>
      </c>
      <c r="M8313">
        <v>22</v>
      </c>
      <c r="N8313">
        <v>0</v>
      </c>
      <c r="O8313">
        <v>22</v>
      </c>
      <c r="P8313">
        <v>0</v>
      </c>
    </row>
    <row r="8314" spans="1:16" x14ac:dyDescent="0.25">
      <c r="A8314" t="s">
        <v>22765</v>
      </c>
      <c r="B8314" t="s">
        <v>20182</v>
      </c>
      <c r="C8314" t="s">
        <v>20183</v>
      </c>
      <c r="D8314" t="str">
        <f>"1800"</f>
        <v>1800</v>
      </c>
      <c r="E8314" t="s">
        <v>1999</v>
      </c>
      <c r="F8314" t="s">
        <v>19559</v>
      </c>
      <c r="G8314" t="s">
        <v>16221</v>
      </c>
      <c r="H8314" t="s">
        <v>47054</v>
      </c>
      <c r="I8314" t="s">
        <v>47154</v>
      </c>
      <c r="J8314" t="s">
        <v>47155</v>
      </c>
      <c r="K8314" t="s">
        <v>47113</v>
      </c>
      <c r="L8314">
        <v>9.9499999999999993</v>
      </c>
      <c r="M8314">
        <v>22</v>
      </c>
      <c r="N8314">
        <v>0</v>
      </c>
      <c r="O8314">
        <v>22</v>
      </c>
      <c r="P8314">
        <v>0</v>
      </c>
    </row>
    <row r="8315" spans="1:16" x14ac:dyDescent="0.25">
      <c r="A8315" t="s">
        <v>30916</v>
      </c>
      <c r="B8315" t="s">
        <v>20184</v>
      </c>
      <c r="C8315" t="s">
        <v>20185</v>
      </c>
      <c r="D8315" t="str">
        <f>"1106"</f>
        <v>1106</v>
      </c>
      <c r="E8315" t="s">
        <v>42</v>
      </c>
      <c r="F8315" t="s">
        <v>19552</v>
      </c>
      <c r="G8315" t="s">
        <v>16221</v>
      </c>
      <c r="H8315" t="s">
        <v>47054</v>
      </c>
      <c r="I8315" t="s">
        <v>47154</v>
      </c>
      <c r="J8315" t="s">
        <v>47155</v>
      </c>
      <c r="K8315" t="s">
        <v>47113</v>
      </c>
      <c r="L8315">
        <v>11.38</v>
      </c>
      <c r="M8315">
        <v>29</v>
      </c>
      <c r="N8315">
        <v>0</v>
      </c>
      <c r="O8315">
        <v>29</v>
      </c>
      <c r="P8315">
        <v>0</v>
      </c>
    </row>
    <row r="8316" spans="1:16" x14ac:dyDescent="0.25">
      <c r="A8316" t="s">
        <v>30917</v>
      </c>
      <c r="B8316" t="s">
        <v>20184</v>
      </c>
      <c r="C8316" t="s">
        <v>20185</v>
      </c>
      <c r="D8316" t="str">
        <f>"3071"</f>
        <v>3071</v>
      </c>
      <c r="E8316" t="s">
        <v>20005</v>
      </c>
      <c r="F8316" t="s">
        <v>19552</v>
      </c>
      <c r="G8316" t="s">
        <v>16221</v>
      </c>
      <c r="H8316" t="s">
        <v>47054</v>
      </c>
      <c r="I8316" t="s">
        <v>47154</v>
      </c>
      <c r="J8316" t="s">
        <v>47155</v>
      </c>
      <c r="K8316" t="s">
        <v>47113</v>
      </c>
      <c r="L8316">
        <v>11.38</v>
      </c>
      <c r="M8316">
        <v>29</v>
      </c>
      <c r="N8316">
        <v>0</v>
      </c>
      <c r="O8316">
        <v>29</v>
      </c>
      <c r="P8316">
        <v>0</v>
      </c>
    </row>
    <row r="8317" spans="1:16" x14ac:dyDescent="0.25">
      <c r="A8317" t="s">
        <v>30918</v>
      </c>
      <c r="B8317" t="s">
        <v>17214</v>
      </c>
      <c r="C8317" t="s">
        <v>17215</v>
      </c>
      <c r="D8317" t="str">
        <f>"1700"</f>
        <v>1700</v>
      </c>
      <c r="E8317" t="s">
        <v>60</v>
      </c>
      <c r="F8317" t="s">
        <v>16810</v>
      </c>
      <c r="G8317" t="s">
        <v>16221</v>
      </c>
      <c r="H8317" t="s">
        <v>47054</v>
      </c>
      <c r="I8317" t="s">
        <v>47111</v>
      </c>
      <c r="J8317" t="s">
        <v>47112</v>
      </c>
      <c r="K8317" t="s">
        <v>47113</v>
      </c>
      <c r="L8317">
        <v>14.42</v>
      </c>
      <c r="M8317">
        <v>29</v>
      </c>
      <c r="N8317">
        <v>0</v>
      </c>
      <c r="O8317">
        <v>29</v>
      </c>
      <c r="P8317">
        <v>0</v>
      </c>
    </row>
    <row r="8318" spans="1:16" x14ac:dyDescent="0.25">
      <c r="A8318" t="s">
        <v>30919</v>
      </c>
      <c r="B8318" t="s">
        <v>17216</v>
      </c>
      <c r="C8318" t="s">
        <v>17217</v>
      </c>
      <c r="D8318" t="str">
        <f>"1001"</f>
        <v>1001</v>
      </c>
      <c r="E8318" t="s">
        <v>42</v>
      </c>
      <c r="F8318" t="s">
        <v>16601</v>
      </c>
      <c r="G8318" t="s">
        <v>16221</v>
      </c>
      <c r="H8318" t="s">
        <v>47054</v>
      </c>
      <c r="I8318" t="s">
        <v>47569</v>
      </c>
      <c r="J8318" t="s">
        <v>47570</v>
      </c>
      <c r="K8318" t="s">
        <v>47113</v>
      </c>
      <c r="L8318">
        <v>14.21</v>
      </c>
      <c r="M8318">
        <v>33</v>
      </c>
      <c r="N8318">
        <v>0</v>
      </c>
      <c r="O8318">
        <v>33</v>
      </c>
      <c r="P8318">
        <v>0</v>
      </c>
    </row>
    <row r="8319" spans="1:16" x14ac:dyDescent="0.25">
      <c r="A8319" t="s">
        <v>30920</v>
      </c>
      <c r="B8319" t="s">
        <v>17218</v>
      </c>
      <c r="C8319" t="s">
        <v>17219</v>
      </c>
      <c r="D8319" t="str">
        <f>"1106"</f>
        <v>1106</v>
      </c>
      <c r="E8319" t="s">
        <v>460</v>
      </c>
      <c r="F8319" t="s">
        <v>16839</v>
      </c>
      <c r="G8319" t="s">
        <v>16221</v>
      </c>
      <c r="H8319" t="s">
        <v>47054</v>
      </c>
      <c r="I8319" t="s">
        <v>47569</v>
      </c>
      <c r="J8319" t="s">
        <v>47570</v>
      </c>
      <c r="K8319" t="s">
        <v>47113</v>
      </c>
      <c r="L8319">
        <v>14.55</v>
      </c>
      <c r="M8319">
        <v>29</v>
      </c>
      <c r="N8319">
        <v>0</v>
      </c>
      <c r="O8319">
        <v>29</v>
      </c>
      <c r="P8319">
        <v>0</v>
      </c>
    </row>
    <row r="8320" spans="1:16" x14ac:dyDescent="0.25">
      <c r="A8320" t="s">
        <v>30921</v>
      </c>
      <c r="B8320" t="s">
        <v>17218</v>
      </c>
      <c r="C8320" t="s">
        <v>17219</v>
      </c>
      <c r="D8320" t="str">
        <f>"1501"</f>
        <v>1501</v>
      </c>
      <c r="E8320" t="s">
        <v>46</v>
      </c>
      <c r="F8320" t="s">
        <v>16839</v>
      </c>
      <c r="G8320" t="s">
        <v>16221</v>
      </c>
      <c r="H8320" t="s">
        <v>47054</v>
      </c>
      <c r="I8320" t="s">
        <v>47569</v>
      </c>
      <c r="J8320" t="s">
        <v>47570</v>
      </c>
      <c r="K8320" t="s">
        <v>47113</v>
      </c>
      <c r="L8320">
        <v>13.38</v>
      </c>
      <c r="M8320">
        <v>29</v>
      </c>
      <c r="N8320">
        <v>0</v>
      </c>
      <c r="O8320">
        <v>29</v>
      </c>
      <c r="P8320">
        <v>0</v>
      </c>
    </row>
    <row r="8321" spans="1:16" x14ac:dyDescent="0.25">
      <c r="A8321" t="s">
        <v>30922</v>
      </c>
      <c r="B8321" t="s">
        <v>17218</v>
      </c>
      <c r="C8321" t="s">
        <v>17219</v>
      </c>
      <c r="D8321" t="str">
        <f>"1800"</f>
        <v>1800</v>
      </c>
      <c r="E8321" t="s">
        <v>1999</v>
      </c>
      <c r="F8321" t="s">
        <v>16839</v>
      </c>
      <c r="G8321" t="s">
        <v>16221</v>
      </c>
      <c r="H8321" t="s">
        <v>47054</v>
      </c>
      <c r="I8321" t="s">
        <v>47569</v>
      </c>
      <c r="J8321" t="s">
        <v>47570</v>
      </c>
      <c r="K8321" t="s">
        <v>47113</v>
      </c>
      <c r="L8321">
        <v>13.38</v>
      </c>
      <c r="M8321">
        <v>29</v>
      </c>
      <c r="N8321">
        <v>0</v>
      </c>
      <c r="O8321">
        <v>29</v>
      </c>
      <c r="P8321">
        <v>0</v>
      </c>
    </row>
    <row r="8322" spans="1:16" x14ac:dyDescent="0.25">
      <c r="A8322" t="s">
        <v>30923</v>
      </c>
      <c r="B8322" t="s">
        <v>20186</v>
      </c>
      <c r="C8322" t="s">
        <v>19973</v>
      </c>
      <c r="D8322" t="str">
        <f>"1106"</f>
        <v>1106</v>
      </c>
      <c r="E8322" t="s">
        <v>42</v>
      </c>
      <c r="F8322" t="s">
        <v>19878</v>
      </c>
      <c r="G8322" t="s">
        <v>16221</v>
      </c>
      <c r="H8322" t="s">
        <v>47054</v>
      </c>
      <c r="I8322" t="s">
        <v>47118</v>
      </c>
      <c r="J8322" t="s">
        <v>47119</v>
      </c>
      <c r="K8322" t="s">
        <v>47113</v>
      </c>
      <c r="L8322">
        <v>17.170000000000002</v>
      </c>
      <c r="M8322">
        <v>37</v>
      </c>
      <c r="N8322">
        <v>0</v>
      </c>
      <c r="O8322">
        <v>37</v>
      </c>
      <c r="P8322">
        <v>0</v>
      </c>
    </row>
    <row r="8323" spans="1:16" x14ac:dyDescent="0.25">
      <c r="A8323" t="s">
        <v>30924</v>
      </c>
      <c r="B8323" t="s">
        <v>20187</v>
      </c>
      <c r="C8323" t="s">
        <v>20188</v>
      </c>
      <c r="D8323" t="str">
        <f>"1001"</f>
        <v>1001</v>
      </c>
      <c r="E8323" t="s">
        <v>42</v>
      </c>
      <c r="F8323" t="s">
        <v>16933</v>
      </c>
      <c r="G8323" t="s">
        <v>16221</v>
      </c>
      <c r="H8323" t="s">
        <v>47054</v>
      </c>
      <c r="I8323" t="s">
        <v>47118</v>
      </c>
      <c r="J8323" t="s">
        <v>47119</v>
      </c>
      <c r="K8323" t="s">
        <v>47113</v>
      </c>
      <c r="L8323">
        <v>10.39</v>
      </c>
      <c r="M8323">
        <v>26</v>
      </c>
      <c r="N8323">
        <v>0</v>
      </c>
      <c r="O8323">
        <v>26</v>
      </c>
      <c r="P8323">
        <v>0</v>
      </c>
    </row>
    <row r="8324" spans="1:16" x14ac:dyDescent="0.25">
      <c r="A8324" t="s">
        <v>30925</v>
      </c>
      <c r="B8324" t="s">
        <v>20189</v>
      </c>
      <c r="C8324" t="s">
        <v>20190</v>
      </c>
      <c r="D8324" t="str">
        <f>"1001"</f>
        <v>1001</v>
      </c>
      <c r="E8324" t="s">
        <v>42</v>
      </c>
      <c r="F8324" t="s">
        <v>16933</v>
      </c>
      <c r="G8324" t="s">
        <v>16221</v>
      </c>
      <c r="H8324" t="s">
        <v>47054</v>
      </c>
      <c r="I8324" t="s">
        <v>47154</v>
      </c>
      <c r="J8324" t="s">
        <v>47155</v>
      </c>
      <c r="K8324" t="s">
        <v>47113</v>
      </c>
      <c r="L8324">
        <v>10.88</v>
      </c>
      <c r="M8324">
        <v>29</v>
      </c>
      <c r="N8324">
        <v>0</v>
      </c>
      <c r="O8324">
        <v>29</v>
      </c>
      <c r="P8324">
        <v>0</v>
      </c>
    </row>
    <row r="8325" spans="1:16" x14ac:dyDescent="0.25">
      <c r="A8325" t="s">
        <v>30926</v>
      </c>
      <c r="B8325" t="s">
        <v>20189</v>
      </c>
      <c r="C8325" t="s">
        <v>20190</v>
      </c>
      <c r="D8325" t="str">
        <f>"1800"</f>
        <v>1800</v>
      </c>
      <c r="E8325" t="s">
        <v>1999</v>
      </c>
      <c r="F8325" t="s">
        <v>16933</v>
      </c>
      <c r="G8325" t="s">
        <v>16221</v>
      </c>
      <c r="H8325" t="s">
        <v>47054</v>
      </c>
      <c r="I8325" t="s">
        <v>47154</v>
      </c>
      <c r="J8325" t="s">
        <v>47155</v>
      </c>
      <c r="K8325" t="s">
        <v>47113</v>
      </c>
      <c r="L8325">
        <v>10.88</v>
      </c>
      <c r="M8325">
        <v>29</v>
      </c>
      <c r="N8325">
        <v>0</v>
      </c>
      <c r="O8325">
        <v>29</v>
      </c>
      <c r="P8325">
        <v>0</v>
      </c>
    </row>
    <row r="8326" spans="1:16" x14ac:dyDescent="0.25">
      <c r="A8326" t="s">
        <v>30927</v>
      </c>
      <c r="B8326" t="s">
        <v>20191</v>
      </c>
      <c r="C8326" t="s">
        <v>20192</v>
      </c>
      <c r="D8326" t="str">
        <f>"1001"</f>
        <v>1001</v>
      </c>
      <c r="E8326" t="s">
        <v>42</v>
      </c>
      <c r="F8326" t="s">
        <v>19908</v>
      </c>
      <c r="G8326" t="s">
        <v>16221</v>
      </c>
      <c r="H8326" t="s">
        <v>47054</v>
      </c>
      <c r="I8326" t="s">
        <v>47118</v>
      </c>
      <c r="J8326" t="s">
        <v>47119</v>
      </c>
      <c r="K8326" t="s">
        <v>47113</v>
      </c>
      <c r="L8326">
        <v>11.87</v>
      </c>
      <c r="M8326">
        <v>29</v>
      </c>
      <c r="N8326">
        <v>0</v>
      </c>
      <c r="O8326">
        <v>29</v>
      </c>
      <c r="P8326">
        <v>0</v>
      </c>
    </row>
    <row r="8327" spans="1:16" x14ac:dyDescent="0.25">
      <c r="A8327" t="s">
        <v>30928</v>
      </c>
      <c r="B8327" t="s">
        <v>20191</v>
      </c>
      <c r="C8327" t="s">
        <v>20192</v>
      </c>
      <c r="D8327" t="str">
        <f>"1800"</f>
        <v>1800</v>
      </c>
      <c r="E8327" t="s">
        <v>1999</v>
      </c>
      <c r="F8327" t="s">
        <v>19908</v>
      </c>
      <c r="G8327" t="s">
        <v>16221</v>
      </c>
      <c r="H8327" t="s">
        <v>47054</v>
      </c>
      <c r="I8327" t="s">
        <v>47118</v>
      </c>
      <c r="J8327" t="s">
        <v>47119</v>
      </c>
      <c r="K8327" t="s">
        <v>47113</v>
      </c>
      <c r="L8327">
        <v>11.87</v>
      </c>
      <c r="M8327">
        <v>26</v>
      </c>
      <c r="N8327">
        <v>0</v>
      </c>
      <c r="O8327">
        <v>26</v>
      </c>
      <c r="P8327">
        <v>0</v>
      </c>
    </row>
    <row r="8328" spans="1:16" x14ac:dyDescent="0.25">
      <c r="A8328" t="s">
        <v>30929</v>
      </c>
      <c r="B8328" t="s">
        <v>20193</v>
      </c>
      <c r="C8328" t="s">
        <v>20194</v>
      </c>
      <c r="D8328" t="str">
        <f>"1001"</f>
        <v>1001</v>
      </c>
      <c r="E8328" t="s">
        <v>42</v>
      </c>
      <c r="F8328" t="s">
        <v>24627</v>
      </c>
      <c r="G8328" t="s">
        <v>16221</v>
      </c>
      <c r="H8328" t="s">
        <v>47054</v>
      </c>
      <c r="I8328" t="s">
        <v>47118</v>
      </c>
      <c r="J8328" t="s">
        <v>47119</v>
      </c>
      <c r="K8328" t="s">
        <v>47113</v>
      </c>
      <c r="L8328">
        <v>13.15</v>
      </c>
      <c r="M8328">
        <v>29</v>
      </c>
      <c r="N8328">
        <v>0</v>
      </c>
      <c r="O8328">
        <v>29</v>
      </c>
      <c r="P8328">
        <v>0</v>
      </c>
    </row>
    <row r="8329" spans="1:16" x14ac:dyDescent="0.25">
      <c r="A8329" t="s">
        <v>30930</v>
      </c>
      <c r="B8329" t="s">
        <v>20195</v>
      </c>
      <c r="C8329" t="s">
        <v>20196</v>
      </c>
      <c r="D8329" t="str">
        <f>"1106"</f>
        <v>1106</v>
      </c>
      <c r="E8329" t="s">
        <v>42</v>
      </c>
      <c r="F8329" t="s">
        <v>19908</v>
      </c>
      <c r="G8329" t="s">
        <v>16221</v>
      </c>
      <c r="H8329" t="s">
        <v>47054</v>
      </c>
      <c r="I8329" t="s">
        <v>47154</v>
      </c>
      <c r="J8329" t="s">
        <v>47155</v>
      </c>
      <c r="K8329" t="s">
        <v>47113</v>
      </c>
      <c r="L8329">
        <v>13.36</v>
      </c>
      <c r="M8329">
        <v>29</v>
      </c>
      <c r="N8329">
        <v>0</v>
      </c>
      <c r="O8329">
        <v>29</v>
      </c>
      <c r="P8329">
        <v>0</v>
      </c>
    </row>
    <row r="8330" spans="1:16" x14ac:dyDescent="0.25">
      <c r="A8330" t="s">
        <v>30931</v>
      </c>
      <c r="B8330" t="s">
        <v>20195</v>
      </c>
      <c r="C8330" t="s">
        <v>20196</v>
      </c>
      <c r="D8330" t="str">
        <f>"4100"</f>
        <v>4100</v>
      </c>
      <c r="E8330" t="s">
        <v>2383</v>
      </c>
      <c r="F8330" t="s">
        <v>19908</v>
      </c>
      <c r="G8330" t="s">
        <v>16221</v>
      </c>
      <c r="H8330" t="s">
        <v>47054</v>
      </c>
      <c r="I8330" t="s">
        <v>47154</v>
      </c>
      <c r="J8330" t="s">
        <v>47155</v>
      </c>
      <c r="K8330" t="s">
        <v>47113</v>
      </c>
      <c r="L8330">
        <v>13.36</v>
      </c>
      <c r="M8330">
        <v>29</v>
      </c>
      <c r="N8330">
        <v>0</v>
      </c>
      <c r="O8330">
        <v>29</v>
      </c>
      <c r="P8330">
        <v>0</v>
      </c>
    </row>
    <row r="8331" spans="1:16" x14ac:dyDescent="0.25">
      <c r="A8331" t="s">
        <v>30932</v>
      </c>
      <c r="B8331" t="s">
        <v>15440</v>
      </c>
      <c r="C8331" t="s">
        <v>15441</v>
      </c>
      <c r="D8331" t="str">
        <f>"6003"</f>
        <v>6003</v>
      </c>
      <c r="E8331" t="s">
        <v>15366</v>
      </c>
      <c r="F8331" t="s">
        <v>15183</v>
      </c>
      <c r="G8331" t="s">
        <v>16221</v>
      </c>
      <c r="H8331" t="s">
        <v>47054</v>
      </c>
      <c r="I8331" t="s">
        <v>47116</v>
      </c>
      <c r="J8331" t="s">
        <v>47117</v>
      </c>
      <c r="K8331" t="s">
        <v>47113</v>
      </c>
      <c r="L8331">
        <v>9.11</v>
      </c>
      <c r="M8331">
        <v>26</v>
      </c>
      <c r="N8331">
        <v>0</v>
      </c>
      <c r="O8331">
        <v>26</v>
      </c>
      <c r="P8331">
        <v>0</v>
      </c>
    </row>
    <row r="8332" spans="1:16" x14ac:dyDescent="0.25">
      <c r="A8332" t="s">
        <v>30933</v>
      </c>
      <c r="B8332" t="s">
        <v>16307</v>
      </c>
      <c r="C8332" t="s">
        <v>16277</v>
      </c>
      <c r="D8332" t="str">
        <f>"1106"</f>
        <v>1106</v>
      </c>
      <c r="E8332" t="s">
        <v>460</v>
      </c>
      <c r="F8332" t="s">
        <v>15183</v>
      </c>
      <c r="G8332" t="s">
        <v>16221</v>
      </c>
      <c r="H8332" t="s">
        <v>47054</v>
      </c>
      <c r="I8332" t="s">
        <v>47116</v>
      </c>
      <c r="J8332" t="s">
        <v>47117</v>
      </c>
      <c r="K8332" t="s">
        <v>47113</v>
      </c>
      <c r="L8332">
        <v>9.89</v>
      </c>
      <c r="M8332">
        <v>33</v>
      </c>
      <c r="N8332">
        <v>0</v>
      </c>
      <c r="O8332">
        <v>33</v>
      </c>
      <c r="P8332">
        <v>0</v>
      </c>
    </row>
    <row r="8333" spans="1:16" x14ac:dyDescent="0.25">
      <c r="A8333" t="s">
        <v>30934</v>
      </c>
      <c r="B8333" t="s">
        <v>16308</v>
      </c>
      <c r="C8333" t="s">
        <v>16309</v>
      </c>
      <c r="D8333" t="str">
        <f>"1800"</f>
        <v>1800</v>
      </c>
      <c r="E8333" t="s">
        <v>1999</v>
      </c>
      <c r="F8333" t="s">
        <v>15183</v>
      </c>
      <c r="G8333" t="s">
        <v>16221</v>
      </c>
      <c r="H8333" t="s">
        <v>47054</v>
      </c>
      <c r="I8333" t="s">
        <v>47116</v>
      </c>
      <c r="J8333" t="s">
        <v>47117</v>
      </c>
      <c r="K8333" t="s">
        <v>47113</v>
      </c>
      <c r="L8333">
        <v>9.5500000000000007</v>
      </c>
      <c r="M8333">
        <v>26</v>
      </c>
      <c r="N8333">
        <v>0</v>
      </c>
      <c r="O8333">
        <v>26</v>
      </c>
      <c r="P8333">
        <v>0</v>
      </c>
    </row>
    <row r="8334" spans="1:16" x14ac:dyDescent="0.25">
      <c r="A8334" t="s">
        <v>30935</v>
      </c>
      <c r="B8334" t="s">
        <v>16310</v>
      </c>
      <c r="C8334" t="s">
        <v>16279</v>
      </c>
      <c r="D8334" t="str">
        <f>"4403"</f>
        <v>4403</v>
      </c>
      <c r="E8334" t="s">
        <v>15303</v>
      </c>
      <c r="F8334" t="s">
        <v>15183</v>
      </c>
      <c r="G8334" t="s">
        <v>16221</v>
      </c>
      <c r="H8334" t="s">
        <v>47054</v>
      </c>
      <c r="I8334" t="s">
        <v>47116</v>
      </c>
      <c r="J8334" t="s">
        <v>47117</v>
      </c>
      <c r="K8334" t="s">
        <v>47113</v>
      </c>
      <c r="L8334">
        <v>9.4600000000000009</v>
      </c>
      <c r="M8334">
        <v>26</v>
      </c>
      <c r="N8334">
        <v>0</v>
      </c>
      <c r="O8334">
        <v>26</v>
      </c>
      <c r="P8334">
        <v>0</v>
      </c>
    </row>
    <row r="8335" spans="1:16" x14ac:dyDescent="0.25">
      <c r="A8335" t="s">
        <v>30936</v>
      </c>
      <c r="B8335" t="s">
        <v>17220</v>
      </c>
      <c r="C8335" t="s">
        <v>17221</v>
      </c>
      <c r="D8335" t="str">
        <f>"1106"</f>
        <v>1106</v>
      </c>
      <c r="E8335" t="s">
        <v>460</v>
      </c>
      <c r="F8335" t="s">
        <v>16730</v>
      </c>
      <c r="G8335" t="s">
        <v>16221</v>
      </c>
      <c r="H8335" t="s">
        <v>47054</v>
      </c>
      <c r="I8335" t="s">
        <v>47569</v>
      </c>
      <c r="J8335" t="s">
        <v>47570</v>
      </c>
      <c r="K8335" t="s">
        <v>47113</v>
      </c>
      <c r="L8335">
        <v>12.05</v>
      </c>
      <c r="M8335">
        <v>26</v>
      </c>
      <c r="N8335">
        <v>0</v>
      </c>
      <c r="O8335">
        <v>26</v>
      </c>
      <c r="P8335">
        <v>0</v>
      </c>
    </row>
    <row r="8336" spans="1:16" x14ac:dyDescent="0.25">
      <c r="A8336" t="s">
        <v>30937</v>
      </c>
      <c r="B8336" t="s">
        <v>17220</v>
      </c>
      <c r="C8336" t="s">
        <v>17221</v>
      </c>
      <c r="D8336" t="str">
        <f>"1800"</f>
        <v>1800</v>
      </c>
      <c r="E8336" t="s">
        <v>30938</v>
      </c>
      <c r="F8336" t="s">
        <v>16730</v>
      </c>
      <c r="G8336" t="s">
        <v>16221</v>
      </c>
      <c r="H8336" t="s">
        <v>47054</v>
      </c>
      <c r="I8336" t="s">
        <v>47111</v>
      </c>
      <c r="J8336" t="s">
        <v>47112</v>
      </c>
      <c r="K8336" t="s">
        <v>47113</v>
      </c>
      <c r="L8336">
        <v>12.05</v>
      </c>
      <c r="M8336">
        <v>26</v>
      </c>
      <c r="N8336">
        <v>0</v>
      </c>
      <c r="O8336">
        <v>26</v>
      </c>
      <c r="P8336">
        <v>0</v>
      </c>
    </row>
    <row r="8337" spans="1:16" x14ac:dyDescent="0.25">
      <c r="A8337" t="s">
        <v>30939</v>
      </c>
      <c r="B8337" t="s">
        <v>17220</v>
      </c>
      <c r="C8337" t="s">
        <v>17221</v>
      </c>
      <c r="D8337" t="str">
        <f>"5000"</f>
        <v>5000</v>
      </c>
      <c r="E8337" t="s">
        <v>16881</v>
      </c>
      <c r="F8337" t="s">
        <v>16730</v>
      </c>
      <c r="G8337" t="s">
        <v>16221</v>
      </c>
      <c r="H8337" t="s">
        <v>47054</v>
      </c>
      <c r="I8337" t="s">
        <v>47111</v>
      </c>
      <c r="J8337" t="s">
        <v>47112</v>
      </c>
      <c r="K8337" t="s">
        <v>47113</v>
      </c>
      <c r="L8337">
        <v>12.05</v>
      </c>
      <c r="M8337">
        <v>26</v>
      </c>
      <c r="N8337">
        <v>0</v>
      </c>
      <c r="O8337">
        <v>26</v>
      </c>
      <c r="P8337">
        <v>0</v>
      </c>
    </row>
    <row r="8338" spans="1:16" x14ac:dyDescent="0.25">
      <c r="A8338" t="s">
        <v>30940</v>
      </c>
      <c r="B8338" t="s">
        <v>17222</v>
      </c>
      <c r="C8338" t="s">
        <v>17223</v>
      </c>
      <c r="D8338" t="str">
        <f>"1800"</f>
        <v>1800</v>
      </c>
      <c r="E8338" t="s">
        <v>1999</v>
      </c>
      <c r="F8338" t="s">
        <v>16762</v>
      </c>
      <c r="G8338" t="s">
        <v>16221</v>
      </c>
      <c r="H8338" t="s">
        <v>47054</v>
      </c>
      <c r="I8338" t="s">
        <v>47116</v>
      </c>
      <c r="J8338" t="s">
        <v>47117</v>
      </c>
      <c r="K8338" t="s">
        <v>47113</v>
      </c>
      <c r="L8338">
        <v>15.1</v>
      </c>
      <c r="M8338">
        <v>29</v>
      </c>
      <c r="N8338">
        <v>0</v>
      </c>
      <c r="O8338">
        <v>29</v>
      </c>
      <c r="P8338">
        <v>0</v>
      </c>
    </row>
    <row r="8339" spans="1:16" x14ac:dyDescent="0.25">
      <c r="A8339" t="s">
        <v>30941</v>
      </c>
      <c r="B8339" t="s">
        <v>17224</v>
      </c>
      <c r="C8339" t="s">
        <v>17225</v>
      </c>
      <c r="D8339" t="str">
        <f>"1106"</f>
        <v>1106</v>
      </c>
      <c r="E8339" t="s">
        <v>460</v>
      </c>
      <c r="F8339" t="s">
        <v>16762</v>
      </c>
      <c r="G8339" t="s">
        <v>16221</v>
      </c>
      <c r="H8339" t="s">
        <v>47054</v>
      </c>
      <c r="I8339" t="s">
        <v>47116</v>
      </c>
      <c r="J8339" t="s">
        <v>47117</v>
      </c>
      <c r="K8339" t="s">
        <v>47113</v>
      </c>
      <c r="L8339">
        <v>10.039999999999999</v>
      </c>
      <c r="M8339">
        <v>29</v>
      </c>
      <c r="N8339">
        <v>0</v>
      </c>
      <c r="O8339">
        <v>29</v>
      </c>
      <c r="P8339">
        <v>0</v>
      </c>
    </row>
    <row r="8340" spans="1:16" x14ac:dyDescent="0.25">
      <c r="A8340" t="s">
        <v>30942</v>
      </c>
      <c r="B8340" t="s">
        <v>17224</v>
      </c>
      <c r="C8340" t="s">
        <v>17225</v>
      </c>
      <c r="D8340" t="str">
        <f>"1800"</f>
        <v>1800</v>
      </c>
      <c r="E8340" t="s">
        <v>1999</v>
      </c>
      <c r="F8340" t="s">
        <v>16762</v>
      </c>
      <c r="G8340" t="s">
        <v>16221</v>
      </c>
      <c r="H8340" t="s">
        <v>47054</v>
      </c>
      <c r="I8340" t="s">
        <v>47116</v>
      </c>
      <c r="J8340" t="s">
        <v>47117</v>
      </c>
      <c r="K8340" t="s">
        <v>47113</v>
      </c>
      <c r="L8340">
        <v>10.039999999999999</v>
      </c>
      <c r="M8340">
        <v>29</v>
      </c>
      <c r="N8340">
        <v>0</v>
      </c>
      <c r="O8340">
        <v>29</v>
      </c>
      <c r="P8340">
        <v>0</v>
      </c>
    </row>
    <row r="8341" spans="1:16" x14ac:dyDescent="0.25">
      <c r="A8341" t="s">
        <v>17226</v>
      </c>
      <c r="B8341" t="s">
        <v>17227</v>
      </c>
      <c r="C8341" t="s">
        <v>17228</v>
      </c>
      <c r="D8341" t="str">
        <f>"1001"</f>
        <v>1001</v>
      </c>
      <c r="E8341" t="s">
        <v>42</v>
      </c>
      <c r="F8341" t="s">
        <v>15183</v>
      </c>
      <c r="G8341" t="s">
        <v>16221</v>
      </c>
      <c r="H8341" t="s">
        <v>47054</v>
      </c>
      <c r="I8341" t="s">
        <v>47569</v>
      </c>
      <c r="J8341" t="s">
        <v>47570</v>
      </c>
      <c r="K8341" t="s">
        <v>47113</v>
      </c>
      <c r="L8341">
        <v>15.91</v>
      </c>
      <c r="M8341">
        <v>36</v>
      </c>
      <c r="N8341">
        <v>0</v>
      </c>
      <c r="O8341">
        <v>36</v>
      </c>
      <c r="P8341">
        <v>0</v>
      </c>
    </row>
    <row r="8342" spans="1:16" x14ac:dyDescent="0.25">
      <c r="A8342" t="s">
        <v>30943</v>
      </c>
      <c r="B8342" t="s">
        <v>20197</v>
      </c>
      <c r="C8342" t="s">
        <v>17219</v>
      </c>
      <c r="D8342" t="str">
        <f>"1106"</f>
        <v>1106</v>
      </c>
      <c r="E8342" t="s">
        <v>42</v>
      </c>
      <c r="F8342" t="s">
        <v>19559</v>
      </c>
      <c r="G8342" t="s">
        <v>16221</v>
      </c>
      <c r="H8342" t="s">
        <v>47054</v>
      </c>
      <c r="I8342" t="s">
        <v>47569</v>
      </c>
      <c r="J8342" t="s">
        <v>47570</v>
      </c>
      <c r="K8342" t="s">
        <v>47113</v>
      </c>
      <c r="L8342">
        <v>15.28</v>
      </c>
      <c r="M8342">
        <v>29</v>
      </c>
      <c r="N8342">
        <v>0</v>
      </c>
      <c r="O8342">
        <v>29</v>
      </c>
      <c r="P8342">
        <v>0</v>
      </c>
    </row>
    <row r="8343" spans="1:16" x14ac:dyDescent="0.25">
      <c r="A8343" t="s">
        <v>30944</v>
      </c>
      <c r="B8343" t="s">
        <v>20197</v>
      </c>
      <c r="C8343" t="s">
        <v>17219</v>
      </c>
      <c r="D8343" t="str">
        <f>"4002"</f>
        <v>4002</v>
      </c>
      <c r="E8343" t="s">
        <v>710</v>
      </c>
      <c r="F8343" t="s">
        <v>19559</v>
      </c>
      <c r="G8343" t="s">
        <v>16221</v>
      </c>
      <c r="H8343" t="s">
        <v>47054</v>
      </c>
      <c r="I8343" t="s">
        <v>47569</v>
      </c>
      <c r="J8343" t="s">
        <v>47570</v>
      </c>
      <c r="K8343" t="s">
        <v>47113</v>
      </c>
      <c r="L8343">
        <v>15.28</v>
      </c>
      <c r="M8343">
        <v>37</v>
      </c>
      <c r="N8343">
        <v>0</v>
      </c>
      <c r="O8343">
        <v>37</v>
      </c>
      <c r="P8343">
        <v>0</v>
      </c>
    </row>
    <row r="8344" spans="1:16" x14ac:dyDescent="0.25">
      <c r="A8344" t="s">
        <v>30945</v>
      </c>
      <c r="B8344" t="s">
        <v>20197</v>
      </c>
      <c r="C8344" t="s">
        <v>17219</v>
      </c>
      <c r="D8344" t="str">
        <f>"6059"</f>
        <v>6059</v>
      </c>
      <c r="E8344" t="s">
        <v>20198</v>
      </c>
      <c r="F8344" t="s">
        <v>19559</v>
      </c>
      <c r="G8344" t="s">
        <v>16221</v>
      </c>
      <c r="H8344" t="s">
        <v>47054</v>
      </c>
      <c r="I8344" t="s">
        <v>47569</v>
      </c>
      <c r="J8344" t="s">
        <v>47570</v>
      </c>
      <c r="K8344" t="s">
        <v>47113</v>
      </c>
      <c r="L8344">
        <v>15.28</v>
      </c>
      <c r="M8344">
        <v>29</v>
      </c>
      <c r="N8344">
        <v>0</v>
      </c>
      <c r="O8344">
        <v>29</v>
      </c>
      <c r="P8344">
        <v>0</v>
      </c>
    </row>
    <row r="8345" spans="1:16" x14ac:dyDescent="0.25">
      <c r="A8345" t="s">
        <v>30946</v>
      </c>
      <c r="B8345" t="s">
        <v>20197</v>
      </c>
      <c r="C8345" t="s">
        <v>17219</v>
      </c>
      <c r="D8345" t="str">
        <f>"8000"</f>
        <v>8000</v>
      </c>
      <c r="E8345" t="s">
        <v>20199</v>
      </c>
      <c r="F8345" t="s">
        <v>19559</v>
      </c>
      <c r="G8345" t="s">
        <v>16221</v>
      </c>
      <c r="H8345" t="s">
        <v>47054</v>
      </c>
      <c r="I8345" t="s">
        <v>47569</v>
      </c>
      <c r="J8345" t="s">
        <v>47570</v>
      </c>
      <c r="K8345" t="s">
        <v>47113</v>
      </c>
      <c r="L8345">
        <v>15.28</v>
      </c>
      <c r="M8345">
        <v>29</v>
      </c>
      <c r="N8345">
        <v>0</v>
      </c>
      <c r="O8345">
        <v>29</v>
      </c>
      <c r="P8345">
        <v>0</v>
      </c>
    </row>
    <row r="8346" spans="1:16" x14ac:dyDescent="0.25">
      <c r="A8346" t="s">
        <v>30947</v>
      </c>
      <c r="B8346" t="s">
        <v>17229</v>
      </c>
      <c r="C8346" t="s">
        <v>17230</v>
      </c>
      <c r="D8346" t="s">
        <v>17231</v>
      </c>
      <c r="E8346" t="s">
        <v>17232</v>
      </c>
      <c r="F8346" t="s">
        <v>16601</v>
      </c>
      <c r="G8346" t="s">
        <v>16230</v>
      </c>
      <c r="H8346" t="s">
        <v>47054</v>
      </c>
      <c r="I8346" t="s">
        <v>47116</v>
      </c>
      <c r="J8346" t="s">
        <v>47117</v>
      </c>
      <c r="K8346" t="s">
        <v>47113</v>
      </c>
      <c r="L8346">
        <v>53.89</v>
      </c>
      <c r="M8346">
        <v>74</v>
      </c>
      <c r="N8346">
        <v>0</v>
      </c>
      <c r="O8346">
        <v>74</v>
      </c>
      <c r="P8346">
        <v>0</v>
      </c>
    </row>
    <row r="8347" spans="1:16" x14ac:dyDescent="0.25">
      <c r="A8347" t="s">
        <v>30948</v>
      </c>
      <c r="B8347" t="s">
        <v>17233</v>
      </c>
      <c r="C8347" t="s">
        <v>17234</v>
      </c>
      <c r="D8347" t="s">
        <v>16741</v>
      </c>
      <c r="E8347" t="s">
        <v>16742</v>
      </c>
      <c r="F8347" t="s">
        <v>16601</v>
      </c>
      <c r="G8347" t="s">
        <v>16230</v>
      </c>
      <c r="H8347" t="s">
        <v>47054</v>
      </c>
      <c r="I8347" t="s">
        <v>47116</v>
      </c>
      <c r="J8347" t="s">
        <v>47117</v>
      </c>
      <c r="K8347" t="s">
        <v>47113</v>
      </c>
      <c r="L8347">
        <v>55.7</v>
      </c>
      <c r="M8347">
        <v>70</v>
      </c>
      <c r="N8347">
        <v>0</v>
      </c>
      <c r="O8347">
        <v>70</v>
      </c>
      <c r="P8347">
        <v>0</v>
      </c>
    </row>
    <row r="8348" spans="1:16" x14ac:dyDescent="0.25">
      <c r="A8348" t="s">
        <v>30949</v>
      </c>
      <c r="B8348" t="s">
        <v>17235</v>
      </c>
      <c r="C8348" t="s">
        <v>17234</v>
      </c>
      <c r="D8348" t="s">
        <v>17236</v>
      </c>
      <c r="E8348" t="s">
        <v>17237</v>
      </c>
      <c r="F8348" t="s">
        <v>16601</v>
      </c>
      <c r="G8348" t="s">
        <v>16230</v>
      </c>
      <c r="H8348" t="s">
        <v>47054</v>
      </c>
      <c r="I8348" t="s">
        <v>47116</v>
      </c>
      <c r="J8348" t="s">
        <v>47117</v>
      </c>
      <c r="K8348" t="s">
        <v>47113</v>
      </c>
      <c r="L8348">
        <v>36.15</v>
      </c>
      <c r="M8348">
        <v>52</v>
      </c>
      <c r="N8348">
        <v>0</v>
      </c>
      <c r="O8348">
        <v>52</v>
      </c>
      <c r="P8348">
        <v>0</v>
      </c>
    </row>
    <row r="8349" spans="1:16" x14ac:dyDescent="0.25">
      <c r="A8349" t="s">
        <v>30950</v>
      </c>
      <c r="B8349" t="s">
        <v>20200</v>
      </c>
      <c r="C8349" t="s">
        <v>20201</v>
      </c>
      <c r="D8349" t="s">
        <v>19677</v>
      </c>
      <c r="E8349" t="s">
        <v>19678</v>
      </c>
      <c r="F8349" t="s">
        <v>19908</v>
      </c>
      <c r="G8349" t="s">
        <v>16230</v>
      </c>
      <c r="H8349" t="s">
        <v>47054</v>
      </c>
      <c r="I8349" t="s">
        <v>47116</v>
      </c>
      <c r="J8349" t="s">
        <v>47117</v>
      </c>
      <c r="K8349" t="s">
        <v>47113</v>
      </c>
      <c r="L8349">
        <v>47.08</v>
      </c>
      <c r="M8349">
        <v>96</v>
      </c>
      <c r="N8349">
        <v>0</v>
      </c>
      <c r="O8349">
        <v>96</v>
      </c>
      <c r="P8349">
        <v>0</v>
      </c>
    </row>
    <row r="8350" spans="1:16" x14ac:dyDescent="0.25">
      <c r="A8350" t="s">
        <v>22766</v>
      </c>
      <c r="B8350" t="s">
        <v>20202</v>
      </c>
      <c r="C8350" t="s">
        <v>20091</v>
      </c>
      <c r="D8350" t="s">
        <v>20203</v>
      </c>
      <c r="E8350" t="s">
        <v>20204</v>
      </c>
      <c r="F8350" t="s">
        <v>19552</v>
      </c>
      <c r="G8350" t="s">
        <v>16230</v>
      </c>
      <c r="H8350" t="s">
        <v>47054</v>
      </c>
      <c r="I8350" t="s">
        <v>47116</v>
      </c>
      <c r="J8350" t="s">
        <v>47117</v>
      </c>
      <c r="K8350" t="s">
        <v>47113</v>
      </c>
      <c r="L8350">
        <v>44.95</v>
      </c>
      <c r="M8350">
        <v>96</v>
      </c>
      <c r="N8350">
        <v>0</v>
      </c>
      <c r="O8350">
        <v>96</v>
      </c>
      <c r="P8350">
        <v>0</v>
      </c>
    </row>
    <row r="8351" spans="1:16" x14ac:dyDescent="0.25">
      <c r="A8351" t="s">
        <v>30951</v>
      </c>
      <c r="B8351" t="s">
        <v>17238</v>
      </c>
      <c r="C8351" t="s">
        <v>17239</v>
      </c>
      <c r="D8351" t="s">
        <v>16750</v>
      </c>
      <c r="E8351" t="s">
        <v>16751</v>
      </c>
      <c r="F8351" t="s">
        <v>16623</v>
      </c>
      <c r="G8351" t="s">
        <v>16231</v>
      </c>
      <c r="H8351" t="s">
        <v>47054</v>
      </c>
      <c r="I8351" t="s">
        <v>47116</v>
      </c>
      <c r="J8351" t="s">
        <v>47117</v>
      </c>
      <c r="K8351" t="s">
        <v>47113</v>
      </c>
      <c r="L8351">
        <v>73.47</v>
      </c>
      <c r="M8351">
        <v>148</v>
      </c>
      <c r="N8351">
        <v>0</v>
      </c>
      <c r="O8351">
        <v>148</v>
      </c>
      <c r="P8351">
        <v>0</v>
      </c>
    </row>
    <row r="8352" spans="1:16" x14ac:dyDescent="0.25">
      <c r="A8352" t="s">
        <v>30952</v>
      </c>
      <c r="B8352" t="s">
        <v>15442</v>
      </c>
      <c r="C8352" t="s">
        <v>15441</v>
      </c>
      <c r="D8352" t="str">
        <f>"6003"</f>
        <v>6003</v>
      </c>
      <c r="E8352" t="s">
        <v>15366</v>
      </c>
      <c r="F8352" t="s">
        <v>15183</v>
      </c>
      <c r="G8352" t="s">
        <v>16221</v>
      </c>
      <c r="H8352" t="s">
        <v>47054</v>
      </c>
      <c r="I8352" t="s">
        <v>47111</v>
      </c>
      <c r="J8352" t="s">
        <v>47112</v>
      </c>
      <c r="K8352" t="s">
        <v>47113</v>
      </c>
      <c r="L8352">
        <v>9.11</v>
      </c>
      <c r="M8352">
        <v>26</v>
      </c>
      <c r="N8352">
        <v>0</v>
      </c>
      <c r="O8352">
        <v>26</v>
      </c>
      <c r="P8352">
        <v>0</v>
      </c>
    </row>
    <row r="8353" spans="1:16" x14ac:dyDescent="0.25">
      <c r="A8353" t="s">
        <v>30953</v>
      </c>
      <c r="B8353" t="s">
        <v>17240</v>
      </c>
      <c r="C8353" t="s">
        <v>17241</v>
      </c>
      <c r="D8353" t="s">
        <v>17242</v>
      </c>
      <c r="E8353" t="s">
        <v>17243</v>
      </c>
      <c r="F8353" t="s">
        <v>16810</v>
      </c>
      <c r="G8353" t="s">
        <v>16231</v>
      </c>
      <c r="H8353" t="s">
        <v>47054</v>
      </c>
      <c r="I8353" t="s">
        <v>47116</v>
      </c>
      <c r="J8353" t="s">
        <v>47117</v>
      </c>
      <c r="K8353" t="s">
        <v>47113</v>
      </c>
      <c r="L8353">
        <v>64.260000000000005</v>
      </c>
      <c r="M8353">
        <v>129</v>
      </c>
      <c r="N8353">
        <v>0</v>
      </c>
      <c r="O8353">
        <v>129</v>
      </c>
      <c r="P8353">
        <v>0</v>
      </c>
    </row>
    <row r="8354" spans="1:16" x14ac:dyDescent="0.25">
      <c r="A8354" t="s">
        <v>30954</v>
      </c>
      <c r="B8354" t="s">
        <v>17240</v>
      </c>
      <c r="C8354" t="s">
        <v>17241</v>
      </c>
      <c r="D8354" t="s">
        <v>17244</v>
      </c>
      <c r="E8354" t="s">
        <v>17245</v>
      </c>
      <c r="F8354" t="s">
        <v>16623</v>
      </c>
      <c r="G8354" t="s">
        <v>16231</v>
      </c>
      <c r="H8354" t="s">
        <v>47054</v>
      </c>
      <c r="I8354" t="s">
        <v>47116</v>
      </c>
      <c r="J8354" t="s">
        <v>47117</v>
      </c>
      <c r="K8354" t="s">
        <v>47113</v>
      </c>
      <c r="L8354">
        <v>51.38</v>
      </c>
      <c r="M8354">
        <v>103</v>
      </c>
      <c r="N8354">
        <v>0</v>
      </c>
      <c r="O8354">
        <v>103</v>
      </c>
      <c r="P8354">
        <v>0</v>
      </c>
    </row>
    <row r="8355" spans="1:16" x14ac:dyDescent="0.25">
      <c r="A8355" t="s">
        <v>30955</v>
      </c>
      <c r="B8355" t="s">
        <v>17240</v>
      </c>
      <c r="C8355" t="s">
        <v>17241</v>
      </c>
      <c r="D8355" t="s">
        <v>16833</v>
      </c>
      <c r="E8355" t="s">
        <v>16834</v>
      </c>
      <c r="F8355" t="s">
        <v>16810</v>
      </c>
      <c r="G8355" t="s">
        <v>16231</v>
      </c>
      <c r="H8355" t="s">
        <v>47054</v>
      </c>
      <c r="I8355" t="s">
        <v>47116</v>
      </c>
      <c r="J8355" t="s">
        <v>47117</v>
      </c>
      <c r="K8355" t="s">
        <v>47113</v>
      </c>
      <c r="L8355">
        <v>51.21</v>
      </c>
      <c r="M8355">
        <v>103</v>
      </c>
      <c r="N8355">
        <v>0</v>
      </c>
      <c r="O8355">
        <v>103</v>
      </c>
      <c r="P8355">
        <v>0</v>
      </c>
    </row>
    <row r="8356" spans="1:16" x14ac:dyDescent="0.25">
      <c r="A8356" t="s">
        <v>30956</v>
      </c>
      <c r="B8356" t="s">
        <v>17246</v>
      </c>
      <c r="C8356" t="s">
        <v>17247</v>
      </c>
      <c r="D8356" t="s">
        <v>17244</v>
      </c>
      <c r="E8356" t="s">
        <v>17245</v>
      </c>
      <c r="F8356" t="s">
        <v>16623</v>
      </c>
      <c r="G8356" t="s">
        <v>16231</v>
      </c>
      <c r="H8356" t="s">
        <v>47054</v>
      </c>
      <c r="I8356" t="s">
        <v>47111</v>
      </c>
      <c r="J8356" t="s">
        <v>47112</v>
      </c>
      <c r="K8356" t="s">
        <v>47113</v>
      </c>
      <c r="L8356">
        <v>45.74</v>
      </c>
      <c r="M8356">
        <v>92</v>
      </c>
      <c r="N8356">
        <v>0</v>
      </c>
      <c r="O8356">
        <v>92</v>
      </c>
      <c r="P8356">
        <v>0</v>
      </c>
    </row>
    <row r="8357" spans="1:16" x14ac:dyDescent="0.25">
      <c r="A8357" t="s">
        <v>30957</v>
      </c>
      <c r="B8357" t="s">
        <v>17248</v>
      </c>
      <c r="C8357" t="s">
        <v>17249</v>
      </c>
      <c r="D8357" t="s">
        <v>17242</v>
      </c>
      <c r="E8357" t="s">
        <v>17243</v>
      </c>
      <c r="F8357" t="s">
        <v>16623</v>
      </c>
      <c r="G8357" t="s">
        <v>47122</v>
      </c>
      <c r="H8357" t="s">
        <v>47054</v>
      </c>
      <c r="I8357" t="s">
        <v>47116</v>
      </c>
      <c r="J8357" t="s">
        <v>47117</v>
      </c>
      <c r="K8357" t="s">
        <v>47113</v>
      </c>
      <c r="L8357">
        <v>52.67</v>
      </c>
      <c r="M8357">
        <v>111</v>
      </c>
      <c r="N8357">
        <v>0</v>
      </c>
      <c r="O8357">
        <v>111</v>
      </c>
      <c r="P8357">
        <v>0</v>
      </c>
    </row>
    <row r="8358" spans="1:16" x14ac:dyDescent="0.25">
      <c r="A8358" t="s">
        <v>30958</v>
      </c>
      <c r="B8358" t="s">
        <v>20205</v>
      </c>
      <c r="C8358" t="s">
        <v>17249</v>
      </c>
      <c r="D8358" t="s">
        <v>17420</v>
      </c>
      <c r="E8358" t="s">
        <v>17421</v>
      </c>
      <c r="F8358" t="s">
        <v>19847</v>
      </c>
      <c r="G8358" t="s">
        <v>47122</v>
      </c>
      <c r="H8358" t="s">
        <v>47054</v>
      </c>
      <c r="I8358" t="s">
        <v>47116</v>
      </c>
      <c r="J8358" t="s">
        <v>47117</v>
      </c>
      <c r="K8358" t="s">
        <v>47113</v>
      </c>
      <c r="L8358">
        <v>51.96</v>
      </c>
      <c r="M8358">
        <v>103</v>
      </c>
      <c r="N8358">
        <v>0</v>
      </c>
      <c r="O8358">
        <v>103</v>
      </c>
      <c r="P8358">
        <v>0</v>
      </c>
    </row>
    <row r="8359" spans="1:16" x14ac:dyDescent="0.25">
      <c r="A8359" t="s">
        <v>30959</v>
      </c>
      <c r="B8359" t="s">
        <v>17250</v>
      </c>
      <c r="C8359" t="s">
        <v>17251</v>
      </c>
      <c r="D8359" t="s">
        <v>16765</v>
      </c>
      <c r="E8359" t="s">
        <v>16766</v>
      </c>
      <c r="F8359" t="s">
        <v>16762</v>
      </c>
      <c r="G8359" t="s">
        <v>16231</v>
      </c>
      <c r="H8359" t="s">
        <v>47054</v>
      </c>
      <c r="I8359" t="s">
        <v>47111</v>
      </c>
      <c r="J8359" t="s">
        <v>47112</v>
      </c>
      <c r="K8359" t="s">
        <v>47113</v>
      </c>
      <c r="L8359">
        <v>82.52</v>
      </c>
      <c r="M8359">
        <v>107</v>
      </c>
      <c r="N8359">
        <v>0</v>
      </c>
      <c r="O8359">
        <v>107</v>
      </c>
      <c r="P8359">
        <v>0</v>
      </c>
    </row>
    <row r="8360" spans="1:16" x14ac:dyDescent="0.25">
      <c r="A8360" t="s">
        <v>30960</v>
      </c>
      <c r="B8360" t="s">
        <v>17252</v>
      </c>
      <c r="C8360" t="s">
        <v>17251</v>
      </c>
      <c r="D8360" t="s">
        <v>16765</v>
      </c>
      <c r="E8360" t="s">
        <v>16766</v>
      </c>
      <c r="F8360" t="s">
        <v>16601</v>
      </c>
      <c r="G8360" t="s">
        <v>16231</v>
      </c>
      <c r="H8360" t="s">
        <v>47054</v>
      </c>
      <c r="I8360" t="s">
        <v>47111</v>
      </c>
      <c r="J8360" t="s">
        <v>47112</v>
      </c>
      <c r="K8360" t="s">
        <v>47113</v>
      </c>
      <c r="L8360">
        <v>79.42</v>
      </c>
      <c r="M8360">
        <v>107</v>
      </c>
      <c r="N8360">
        <v>0</v>
      </c>
      <c r="O8360">
        <v>107</v>
      </c>
      <c r="P8360">
        <v>0</v>
      </c>
    </row>
    <row r="8361" spans="1:16" x14ac:dyDescent="0.25">
      <c r="A8361" t="s">
        <v>30961</v>
      </c>
      <c r="B8361" t="s">
        <v>17253</v>
      </c>
      <c r="C8361" t="s">
        <v>8168</v>
      </c>
      <c r="D8361" t="s">
        <v>16765</v>
      </c>
      <c r="E8361" t="s">
        <v>16766</v>
      </c>
      <c r="F8361" t="s">
        <v>16601</v>
      </c>
      <c r="G8361" t="s">
        <v>16231</v>
      </c>
      <c r="H8361" t="s">
        <v>47054</v>
      </c>
      <c r="I8361" t="s">
        <v>47111</v>
      </c>
      <c r="J8361" t="s">
        <v>47112</v>
      </c>
      <c r="K8361" t="s">
        <v>47113</v>
      </c>
      <c r="L8361">
        <v>82.52</v>
      </c>
      <c r="M8361">
        <v>107</v>
      </c>
      <c r="N8361">
        <v>0</v>
      </c>
      <c r="O8361">
        <v>107</v>
      </c>
      <c r="P8361">
        <v>0</v>
      </c>
    </row>
    <row r="8362" spans="1:16" x14ac:dyDescent="0.25">
      <c r="A8362" t="s">
        <v>30962</v>
      </c>
      <c r="B8362" t="s">
        <v>17254</v>
      </c>
      <c r="C8362" t="s">
        <v>8168</v>
      </c>
      <c r="D8362" t="s">
        <v>16765</v>
      </c>
      <c r="E8362" t="s">
        <v>16766</v>
      </c>
      <c r="F8362" t="s">
        <v>16762</v>
      </c>
      <c r="G8362" t="s">
        <v>16231</v>
      </c>
      <c r="H8362" t="s">
        <v>47054</v>
      </c>
      <c r="I8362" t="s">
        <v>47111</v>
      </c>
      <c r="J8362" t="s">
        <v>47112</v>
      </c>
      <c r="K8362" t="s">
        <v>47113</v>
      </c>
      <c r="L8362">
        <v>79.42</v>
      </c>
      <c r="M8362">
        <v>107</v>
      </c>
      <c r="N8362">
        <v>0</v>
      </c>
      <c r="O8362">
        <v>107</v>
      </c>
      <c r="P8362">
        <v>0</v>
      </c>
    </row>
    <row r="8363" spans="1:16" x14ac:dyDescent="0.25">
      <c r="A8363" t="s">
        <v>30963</v>
      </c>
      <c r="B8363" t="s">
        <v>17255</v>
      </c>
      <c r="C8363" t="s">
        <v>7423</v>
      </c>
      <c r="D8363" t="str">
        <f>"4100"</f>
        <v>4100</v>
      </c>
      <c r="E8363" t="s">
        <v>17256</v>
      </c>
      <c r="F8363" t="s">
        <v>16810</v>
      </c>
      <c r="G8363" t="s">
        <v>16230</v>
      </c>
      <c r="H8363" t="s">
        <v>47054</v>
      </c>
      <c r="I8363" t="s">
        <v>47118</v>
      </c>
      <c r="J8363" t="s">
        <v>47119</v>
      </c>
      <c r="K8363" t="s">
        <v>47113</v>
      </c>
      <c r="L8363">
        <v>23.77</v>
      </c>
      <c r="M8363">
        <v>63</v>
      </c>
      <c r="N8363">
        <v>0</v>
      </c>
      <c r="O8363">
        <v>63</v>
      </c>
      <c r="P8363">
        <v>0</v>
      </c>
    </row>
    <row r="8364" spans="1:16" x14ac:dyDescent="0.25">
      <c r="A8364" t="s">
        <v>30964</v>
      </c>
      <c r="B8364" t="s">
        <v>17257</v>
      </c>
      <c r="C8364" t="s">
        <v>17258</v>
      </c>
      <c r="D8364" t="str">
        <f>"1001"</f>
        <v>1001</v>
      </c>
      <c r="E8364" t="s">
        <v>17259</v>
      </c>
      <c r="F8364" t="s">
        <v>16810</v>
      </c>
      <c r="G8364" t="s">
        <v>16224</v>
      </c>
      <c r="H8364" t="s">
        <v>47054</v>
      </c>
      <c r="I8364" t="s">
        <v>47120</v>
      </c>
      <c r="J8364" t="s">
        <v>47121</v>
      </c>
      <c r="K8364" t="s">
        <v>47113</v>
      </c>
      <c r="L8364">
        <v>73.47</v>
      </c>
      <c r="M8364">
        <v>148</v>
      </c>
      <c r="N8364">
        <v>0</v>
      </c>
      <c r="O8364">
        <v>148</v>
      </c>
      <c r="P8364">
        <v>0</v>
      </c>
    </row>
    <row r="8365" spans="1:16" x14ac:dyDescent="0.25">
      <c r="A8365" t="s">
        <v>30965</v>
      </c>
      <c r="B8365" t="s">
        <v>17260</v>
      </c>
      <c r="C8365" t="s">
        <v>15430</v>
      </c>
      <c r="D8365" t="str">
        <f>"1501"</f>
        <v>1501</v>
      </c>
      <c r="E8365" t="s">
        <v>46</v>
      </c>
      <c r="F8365" t="s">
        <v>16839</v>
      </c>
      <c r="G8365" t="s">
        <v>16232</v>
      </c>
      <c r="H8365" t="s">
        <v>47054</v>
      </c>
      <c r="I8365" t="s">
        <v>47111</v>
      </c>
      <c r="J8365" t="s">
        <v>47112</v>
      </c>
      <c r="K8365" t="s">
        <v>47113</v>
      </c>
      <c r="L8365">
        <v>25.6</v>
      </c>
      <c r="M8365">
        <v>51</v>
      </c>
      <c r="N8365">
        <v>0</v>
      </c>
      <c r="O8365">
        <v>51</v>
      </c>
      <c r="P8365">
        <v>0</v>
      </c>
    </row>
    <row r="8366" spans="1:16" x14ac:dyDescent="0.25">
      <c r="A8366" t="s">
        <v>30966</v>
      </c>
      <c r="B8366" t="s">
        <v>17261</v>
      </c>
      <c r="C8366" t="s">
        <v>17262</v>
      </c>
      <c r="D8366" t="str">
        <f>"4100"</f>
        <v>4100</v>
      </c>
      <c r="E8366" t="s">
        <v>2383</v>
      </c>
      <c r="F8366" t="s">
        <v>16839</v>
      </c>
      <c r="G8366" t="s">
        <v>16235</v>
      </c>
      <c r="H8366" t="s">
        <v>47054</v>
      </c>
      <c r="I8366" t="s">
        <v>47120</v>
      </c>
      <c r="J8366" t="s">
        <v>47121</v>
      </c>
      <c r="K8366" t="s">
        <v>47113</v>
      </c>
      <c r="L8366">
        <v>36.64</v>
      </c>
      <c r="M8366">
        <v>74</v>
      </c>
      <c r="N8366">
        <v>0</v>
      </c>
      <c r="O8366">
        <v>74</v>
      </c>
      <c r="P8366">
        <v>0</v>
      </c>
    </row>
    <row r="8367" spans="1:16" x14ac:dyDescent="0.25">
      <c r="A8367" t="s">
        <v>30967</v>
      </c>
      <c r="B8367" t="s">
        <v>17263</v>
      </c>
      <c r="C8367" t="s">
        <v>17264</v>
      </c>
      <c r="D8367" t="str">
        <f>"4100"</f>
        <v>4100</v>
      </c>
      <c r="E8367" t="s">
        <v>2383</v>
      </c>
      <c r="F8367" t="s">
        <v>16810</v>
      </c>
      <c r="G8367" t="s">
        <v>16222</v>
      </c>
      <c r="H8367" t="s">
        <v>47054</v>
      </c>
      <c r="I8367" t="s">
        <v>47120</v>
      </c>
      <c r="J8367" t="s">
        <v>47121</v>
      </c>
      <c r="K8367" t="s">
        <v>47113</v>
      </c>
      <c r="L8367">
        <v>32.96</v>
      </c>
      <c r="M8367">
        <v>66</v>
      </c>
      <c r="N8367">
        <v>0</v>
      </c>
      <c r="O8367">
        <v>66</v>
      </c>
      <c r="P8367">
        <v>0</v>
      </c>
    </row>
    <row r="8368" spans="1:16" x14ac:dyDescent="0.25">
      <c r="A8368" t="s">
        <v>30968</v>
      </c>
      <c r="B8368" t="s">
        <v>17265</v>
      </c>
      <c r="C8368" t="s">
        <v>17266</v>
      </c>
      <c r="D8368" t="str">
        <f>"4100"</f>
        <v>4100</v>
      </c>
      <c r="E8368" t="s">
        <v>2383</v>
      </c>
      <c r="F8368" t="s">
        <v>16810</v>
      </c>
      <c r="G8368" t="s">
        <v>16235</v>
      </c>
      <c r="H8368" t="s">
        <v>47054</v>
      </c>
      <c r="I8368" t="s">
        <v>47120</v>
      </c>
      <c r="J8368" t="s">
        <v>47121</v>
      </c>
      <c r="K8368" t="s">
        <v>47113</v>
      </c>
      <c r="L8368">
        <v>36.64</v>
      </c>
      <c r="M8368">
        <v>74</v>
      </c>
      <c r="N8368">
        <v>0</v>
      </c>
      <c r="O8368">
        <v>74</v>
      </c>
      <c r="P8368">
        <v>0</v>
      </c>
    </row>
    <row r="8369" spans="1:16" x14ac:dyDescent="0.25">
      <c r="A8369" t="s">
        <v>30969</v>
      </c>
      <c r="B8369" t="s">
        <v>17267</v>
      </c>
      <c r="C8369" t="s">
        <v>17268</v>
      </c>
      <c r="D8369" t="str">
        <f>"1001"</f>
        <v>1001</v>
      </c>
      <c r="E8369" t="s">
        <v>42</v>
      </c>
      <c r="F8369" t="s">
        <v>16746</v>
      </c>
      <c r="G8369" t="s">
        <v>16222</v>
      </c>
      <c r="H8369" t="s">
        <v>47054</v>
      </c>
      <c r="I8369" t="s">
        <v>47118</v>
      </c>
      <c r="J8369" t="s">
        <v>47119</v>
      </c>
      <c r="K8369" t="s">
        <v>47113</v>
      </c>
      <c r="L8369">
        <v>27.44</v>
      </c>
      <c r="M8369">
        <v>55</v>
      </c>
      <c r="N8369">
        <v>0</v>
      </c>
      <c r="O8369">
        <v>55</v>
      </c>
      <c r="P8369">
        <v>0</v>
      </c>
    </row>
    <row r="8370" spans="1:16" x14ac:dyDescent="0.25">
      <c r="A8370" t="s">
        <v>30970</v>
      </c>
      <c r="B8370" t="s">
        <v>17269</v>
      </c>
      <c r="C8370" t="s">
        <v>17270</v>
      </c>
      <c r="D8370" t="str">
        <f>"1001"</f>
        <v>1001</v>
      </c>
      <c r="E8370" t="s">
        <v>42</v>
      </c>
      <c r="F8370" t="s">
        <v>16746</v>
      </c>
      <c r="G8370" t="s">
        <v>16235</v>
      </c>
      <c r="H8370" t="s">
        <v>47054</v>
      </c>
      <c r="I8370" t="s">
        <v>47118</v>
      </c>
      <c r="J8370" t="s">
        <v>47119</v>
      </c>
      <c r="K8370" t="s">
        <v>47113</v>
      </c>
      <c r="L8370">
        <v>23.86</v>
      </c>
      <c r="M8370">
        <v>48</v>
      </c>
      <c r="N8370">
        <v>0</v>
      </c>
      <c r="O8370">
        <v>48</v>
      </c>
      <c r="P8370">
        <v>0</v>
      </c>
    </row>
    <row r="8371" spans="1:16" x14ac:dyDescent="0.25">
      <c r="A8371" t="s">
        <v>30971</v>
      </c>
      <c r="B8371" t="s">
        <v>17271</v>
      </c>
      <c r="C8371" t="s">
        <v>17272</v>
      </c>
      <c r="D8371" t="str">
        <f>"4059"</f>
        <v>4059</v>
      </c>
      <c r="E8371" t="s">
        <v>17027</v>
      </c>
      <c r="F8371" t="s">
        <v>16746</v>
      </c>
      <c r="G8371" t="s">
        <v>16235</v>
      </c>
      <c r="H8371" t="s">
        <v>47054</v>
      </c>
      <c r="I8371" t="s">
        <v>47569</v>
      </c>
      <c r="J8371" t="s">
        <v>47570</v>
      </c>
      <c r="K8371" t="s">
        <v>47113</v>
      </c>
      <c r="L8371">
        <v>32.81</v>
      </c>
      <c r="M8371">
        <v>66</v>
      </c>
      <c r="N8371">
        <v>0</v>
      </c>
      <c r="O8371">
        <v>66</v>
      </c>
      <c r="P8371">
        <v>0</v>
      </c>
    </row>
    <row r="8372" spans="1:16" x14ac:dyDescent="0.25">
      <c r="A8372" t="s">
        <v>30972</v>
      </c>
      <c r="B8372" t="s">
        <v>17273</v>
      </c>
      <c r="C8372" t="s">
        <v>17274</v>
      </c>
      <c r="D8372" t="str">
        <f>"4059"</f>
        <v>4059</v>
      </c>
      <c r="E8372" t="s">
        <v>17027</v>
      </c>
      <c r="F8372" t="s">
        <v>16746</v>
      </c>
      <c r="G8372" t="s">
        <v>16222</v>
      </c>
      <c r="H8372" t="s">
        <v>47054</v>
      </c>
      <c r="I8372" t="s">
        <v>47569</v>
      </c>
      <c r="J8372" t="s">
        <v>47570</v>
      </c>
      <c r="K8372" t="s">
        <v>47113</v>
      </c>
      <c r="L8372">
        <v>36.64</v>
      </c>
      <c r="M8372">
        <v>74</v>
      </c>
      <c r="N8372">
        <v>0</v>
      </c>
      <c r="O8372">
        <v>74</v>
      </c>
      <c r="P8372">
        <v>0</v>
      </c>
    </row>
    <row r="8373" spans="1:16" x14ac:dyDescent="0.25">
      <c r="A8373" t="s">
        <v>30973</v>
      </c>
      <c r="B8373" t="s">
        <v>17275</v>
      </c>
      <c r="C8373" t="s">
        <v>17133</v>
      </c>
      <c r="D8373" t="str">
        <f>"4100"</f>
        <v>4100</v>
      </c>
      <c r="E8373" t="s">
        <v>2383</v>
      </c>
      <c r="F8373" t="s">
        <v>16839</v>
      </c>
      <c r="G8373" t="s">
        <v>16222</v>
      </c>
      <c r="H8373" t="s">
        <v>47054</v>
      </c>
      <c r="I8373" t="s">
        <v>47120</v>
      </c>
      <c r="J8373" t="s">
        <v>47121</v>
      </c>
      <c r="K8373" t="s">
        <v>47113</v>
      </c>
      <c r="L8373">
        <v>32.96</v>
      </c>
      <c r="M8373">
        <v>66</v>
      </c>
      <c r="N8373">
        <v>0</v>
      </c>
      <c r="O8373">
        <v>66</v>
      </c>
      <c r="P8373">
        <v>0</v>
      </c>
    </row>
    <row r="8374" spans="1:16" x14ac:dyDescent="0.25">
      <c r="A8374" t="s">
        <v>30974</v>
      </c>
      <c r="B8374" t="s">
        <v>17276</v>
      </c>
      <c r="C8374" t="s">
        <v>17277</v>
      </c>
      <c r="D8374" t="str">
        <f>"1001"</f>
        <v>1001</v>
      </c>
      <c r="E8374" t="s">
        <v>17278</v>
      </c>
      <c r="F8374" t="s">
        <v>16623</v>
      </c>
      <c r="G8374" t="s">
        <v>16234</v>
      </c>
      <c r="H8374" t="s">
        <v>47054</v>
      </c>
      <c r="I8374" t="s">
        <v>47120</v>
      </c>
      <c r="J8374" t="s">
        <v>47121</v>
      </c>
      <c r="K8374" t="s">
        <v>47113</v>
      </c>
      <c r="L8374">
        <v>32.81</v>
      </c>
      <c r="M8374">
        <v>66</v>
      </c>
      <c r="N8374">
        <v>0</v>
      </c>
      <c r="O8374">
        <v>66</v>
      </c>
      <c r="P8374">
        <v>0</v>
      </c>
    </row>
    <row r="8375" spans="1:16" x14ac:dyDescent="0.25">
      <c r="A8375" t="s">
        <v>30975</v>
      </c>
      <c r="B8375" t="s">
        <v>17276</v>
      </c>
      <c r="C8375" t="s">
        <v>17277</v>
      </c>
      <c r="D8375" t="str">
        <f>"1200"</f>
        <v>1200</v>
      </c>
      <c r="E8375" t="s">
        <v>17279</v>
      </c>
      <c r="F8375" t="s">
        <v>16623</v>
      </c>
      <c r="G8375" t="s">
        <v>16234</v>
      </c>
      <c r="H8375" t="s">
        <v>47054</v>
      </c>
      <c r="I8375" t="s">
        <v>47120</v>
      </c>
      <c r="J8375" t="s">
        <v>47121</v>
      </c>
      <c r="K8375" t="s">
        <v>47113</v>
      </c>
      <c r="L8375">
        <v>32.81</v>
      </c>
      <c r="M8375">
        <v>66</v>
      </c>
      <c r="N8375">
        <v>0</v>
      </c>
      <c r="O8375">
        <v>66</v>
      </c>
      <c r="P8375">
        <v>0</v>
      </c>
    </row>
    <row r="8376" spans="1:16" x14ac:dyDescent="0.25">
      <c r="A8376" t="s">
        <v>30976</v>
      </c>
      <c r="B8376" t="s">
        <v>17276</v>
      </c>
      <c r="C8376" t="s">
        <v>17277</v>
      </c>
      <c r="D8376" t="str">
        <f>"4143"</f>
        <v>4143</v>
      </c>
      <c r="E8376" t="s">
        <v>17280</v>
      </c>
      <c r="F8376" t="s">
        <v>16623</v>
      </c>
      <c r="G8376" t="s">
        <v>16234</v>
      </c>
      <c r="H8376" t="s">
        <v>47054</v>
      </c>
      <c r="I8376" t="s">
        <v>47120</v>
      </c>
      <c r="J8376" t="s">
        <v>47121</v>
      </c>
      <c r="K8376" t="s">
        <v>47113</v>
      </c>
      <c r="L8376">
        <v>32.81</v>
      </c>
      <c r="M8376">
        <v>66</v>
      </c>
      <c r="N8376">
        <v>0</v>
      </c>
      <c r="O8376">
        <v>66</v>
      </c>
      <c r="P8376">
        <v>0</v>
      </c>
    </row>
    <row r="8377" spans="1:16" x14ac:dyDescent="0.25">
      <c r="A8377" t="s">
        <v>30977</v>
      </c>
      <c r="B8377" t="s">
        <v>17276</v>
      </c>
      <c r="C8377" t="s">
        <v>17277</v>
      </c>
      <c r="D8377" t="str">
        <f>"6000"</f>
        <v>6000</v>
      </c>
      <c r="E8377" t="s">
        <v>17281</v>
      </c>
      <c r="F8377" t="s">
        <v>16623</v>
      </c>
      <c r="G8377" t="s">
        <v>16234</v>
      </c>
      <c r="H8377" t="s">
        <v>47054</v>
      </c>
      <c r="I8377" t="s">
        <v>47120</v>
      </c>
      <c r="J8377" t="s">
        <v>47121</v>
      </c>
      <c r="K8377" t="s">
        <v>47113</v>
      </c>
      <c r="L8377">
        <v>32.81</v>
      </c>
      <c r="M8377">
        <v>66</v>
      </c>
      <c r="N8377">
        <v>0</v>
      </c>
      <c r="O8377">
        <v>66</v>
      </c>
      <c r="P8377">
        <v>0</v>
      </c>
    </row>
    <row r="8378" spans="1:16" x14ac:dyDescent="0.25">
      <c r="A8378" t="s">
        <v>30978</v>
      </c>
      <c r="B8378" t="s">
        <v>20206</v>
      </c>
      <c r="C8378" t="s">
        <v>20207</v>
      </c>
      <c r="D8378" t="s">
        <v>17420</v>
      </c>
      <c r="E8378" t="s">
        <v>17421</v>
      </c>
      <c r="F8378" t="s">
        <v>19847</v>
      </c>
      <c r="G8378" t="s">
        <v>16231</v>
      </c>
      <c r="H8378" t="s">
        <v>47054</v>
      </c>
      <c r="I8378" t="s">
        <v>47111</v>
      </c>
      <c r="J8378" t="s">
        <v>47112</v>
      </c>
      <c r="K8378" t="s">
        <v>47113</v>
      </c>
      <c r="L8378">
        <v>56.21</v>
      </c>
      <c r="M8378">
        <v>129</v>
      </c>
      <c r="N8378">
        <v>0</v>
      </c>
      <c r="O8378">
        <v>129</v>
      </c>
      <c r="P8378">
        <v>0</v>
      </c>
    </row>
    <row r="8379" spans="1:16" x14ac:dyDescent="0.25">
      <c r="A8379" t="s">
        <v>30979</v>
      </c>
      <c r="B8379" t="s">
        <v>17282</v>
      </c>
      <c r="C8379" t="s">
        <v>16469</v>
      </c>
      <c r="D8379" t="s">
        <v>16805</v>
      </c>
      <c r="E8379" t="s">
        <v>16806</v>
      </c>
      <c r="F8379" t="s">
        <v>16810</v>
      </c>
      <c r="G8379" t="s">
        <v>16231</v>
      </c>
      <c r="H8379" t="s">
        <v>47054</v>
      </c>
      <c r="I8379" t="s">
        <v>47111</v>
      </c>
      <c r="J8379" t="s">
        <v>47112</v>
      </c>
      <c r="K8379" t="s">
        <v>47113</v>
      </c>
      <c r="L8379">
        <v>51.38</v>
      </c>
      <c r="M8379">
        <v>103</v>
      </c>
      <c r="N8379">
        <v>0</v>
      </c>
      <c r="O8379">
        <v>103</v>
      </c>
      <c r="P8379">
        <v>0</v>
      </c>
    </row>
    <row r="8380" spans="1:16" x14ac:dyDescent="0.25">
      <c r="A8380" t="s">
        <v>30980</v>
      </c>
      <c r="B8380" t="s">
        <v>17283</v>
      </c>
      <c r="C8380" t="s">
        <v>17284</v>
      </c>
      <c r="D8380" t="str">
        <f>"1001"</f>
        <v>1001</v>
      </c>
      <c r="E8380" t="s">
        <v>17285</v>
      </c>
      <c r="F8380" t="s">
        <v>16623</v>
      </c>
      <c r="G8380" t="s">
        <v>16234</v>
      </c>
      <c r="H8380" t="s">
        <v>47054</v>
      </c>
      <c r="I8380" t="s">
        <v>47136</v>
      </c>
      <c r="J8380" t="s">
        <v>47137</v>
      </c>
      <c r="K8380" t="s">
        <v>47113</v>
      </c>
      <c r="L8380">
        <v>34.799999999999997</v>
      </c>
      <c r="M8380">
        <v>70</v>
      </c>
      <c r="N8380">
        <v>0</v>
      </c>
      <c r="O8380">
        <v>70</v>
      </c>
      <c r="P8380">
        <v>0</v>
      </c>
    </row>
    <row r="8381" spans="1:16" x14ac:dyDescent="0.25">
      <c r="A8381" t="s">
        <v>30981</v>
      </c>
      <c r="B8381" t="s">
        <v>17283</v>
      </c>
      <c r="C8381" t="s">
        <v>17284</v>
      </c>
      <c r="D8381" t="str">
        <f>"1700"</f>
        <v>1700</v>
      </c>
      <c r="E8381" t="s">
        <v>17286</v>
      </c>
      <c r="F8381" t="s">
        <v>16623</v>
      </c>
      <c r="G8381" t="s">
        <v>16234</v>
      </c>
      <c r="H8381" t="s">
        <v>47054</v>
      </c>
      <c r="I8381" t="s">
        <v>47136</v>
      </c>
      <c r="J8381" t="s">
        <v>47137</v>
      </c>
      <c r="K8381" t="s">
        <v>47113</v>
      </c>
      <c r="L8381">
        <v>32.81</v>
      </c>
      <c r="M8381">
        <v>66</v>
      </c>
      <c r="N8381">
        <v>0</v>
      </c>
      <c r="O8381">
        <v>66</v>
      </c>
      <c r="P8381">
        <v>0</v>
      </c>
    </row>
    <row r="8382" spans="1:16" x14ac:dyDescent="0.25">
      <c r="A8382" t="s">
        <v>30982</v>
      </c>
      <c r="B8382" t="s">
        <v>17283</v>
      </c>
      <c r="C8382" t="s">
        <v>17284</v>
      </c>
      <c r="D8382" t="str">
        <f>"3071"</f>
        <v>3071</v>
      </c>
      <c r="E8382" t="s">
        <v>17287</v>
      </c>
      <c r="F8382" t="s">
        <v>16623</v>
      </c>
      <c r="G8382" t="s">
        <v>16234</v>
      </c>
      <c r="H8382" t="s">
        <v>47054</v>
      </c>
      <c r="I8382" t="s">
        <v>47136</v>
      </c>
      <c r="J8382" t="s">
        <v>47137</v>
      </c>
      <c r="K8382" t="s">
        <v>47113</v>
      </c>
      <c r="L8382">
        <v>34.799999999999997</v>
      </c>
      <c r="M8382">
        <v>70</v>
      </c>
      <c r="N8382">
        <v>0</v>
      </c>
      <c r="O8382">
        <v>70</v>
      </c>
      <c r="P8382">
        <v>0</v>
      </c>
    </row>
    <row r="8383" spans="1:16" x14ac:dyDescent="0.25">
      <c r="A8383" t="s">
        <v>30983</v>
      </c>
      <c r="B8383" t="s">
        <v>17283</v>
      </c>
      <c r="C8383" t="s">
        <v>17284</v>
      </c>
      <c r="D8383" t="str">
        <f>"8000"</f>
        <v>8000</v>
      </c>
      <c r="E8383" t="s">
        <v>17288</v>
      </c>
      <c r="F8383" t="s">
        <v>16623</v>
      </c>
      <c r="G8383" t="s">
        <v>16234</v>
      </c>
      <c r="H8383" t="s">
        <v>47054</v>
      </c>
      <c r="I8383" t="s">
        <v>47136</v>
      </c>
      <c r="J8383" t="s">
        <v>47137</v>
      </c>
      <c r="K8383" t="s">
        <v>47113</v>
      </c>
      <c r="L8383">
        <v>32.81</v>
      </c>
      <c r="M8383">
        <v>66</v>
      </c>
      <c r="N8383">
        <v>0</v>
      </c>
      <c r="O8383">
        <v>66</v>
      </c>
      <c r="P8383">
        <v>0</v>
      </c>
    </row>
    <row r="8384" spans="1:16" x14ac:dyDescent="0.25">
      <c r="A8384" t="s">
        <v>30984</v>
      </c>
      <c r="B8384" t="s">
        <v>17289</v>
      </c>
      <c r="C8384" t="s">
        <v>17284</v>
      </c>
      <c r="D8384" t="str">
        <f>"3071"</f>
        <v>3071</v>
      </c>
      <c r="E8384" t="s">
        <v>17290</v>
      </c>
      <c r="F8384" t="s">
        <v>16623</v>
      </c>
      <c r="G8384" t="s">
        <v>16234</v>
      </c>
      <c r="H8384" t="s">
        <v>47054</v>
      </c>
      <c r="I8384" t="s">
        <v>47136</v>
      </c>
      <c r="J8384" t="s">
        <v>47137</v>
      </c>
      <c r="K8384" t="s">
        <v>47113</v>
      </c>
      <c r="L8384">
        <v>36.64</v>
      </c>
      <c r="M8384">
        <v>74</v>
      </c>
      <c r="N8384">
        <v>0</v>
      </c>
      <c r="O8384">
        <v>74</v>
      </c>
      <c r="P8384">
        <v>0</v>
      </c>
    </row>
    <row r="8385" spans="1:16" x14ac:dyDescent="0.25">
      <c r="A8385" t="s">
        <v>30985</v>
      </c>
      <c r="B8385" t="s">
        <v>20208</v>
      </c>
      <c r="C8385" t="s">
        <v>17284</v>
      </c>
      <c r="D8385" t="str">
        <f>"1001"</f>
        <v>1001</v>
      </c>
      <c r="E8385" t="s">
        <v>20209</v>
      </c>
      <c r="F8385" t="s">
        <v>16933</v>
      </c>
      <c r="G8385" t="s">
        <v>16234</v>
      </c>
      <c r="H8385" t="s">
        <v>47054</v>
      </c>
      <c r="I8385" t="s">
        <v>47136</v>
      </c>
      <c r="J8385" t="s">
        <v>47137</v>
      </c>
      <c r="K8385" t="s">
        <v>47113</v>
      </c>
      <c r="L8385">
        <v>29.94</v>
      </c>
      <c r="M8385">
        <v>66</v>
      </c>
      <c r="N8385">
        <v>0</v>
      </c>
      <c r="O8385">
        <v>66</v>
      </c>
      <c r="P8385">
        <v>0</v>
      </c>
    </row>
    <row r="8386" spans="1:16" x14ac:dyDescent="0.25">
      <c r="A8386" t="s">
        <v>30986</v>
      </c>
      <c r="B8386" t="s">
        <v>20208</v>
      </c>
      <c r="C8386" t="s">
        <v>17284</v>
      </c>
      <c r="D8386" t="str">
        <f>"1307"</f>
        <v>1307</v>
      </c>
      <c r="E8386" t="s">
        <v>20210</v>
      </c>
      <c r="F8386" t="s">
        <v>16933</v>
      </c>
      <c r="G8386" t="s">
        <v>16234</v>
      </c>
      <c r="H8386" t="s">
        <v>47054</v>
      </c>
      <c r="I8386" t="s">
        <v>47136</v>
      </c>
      <c r="J8386" t="s">
        <v>47137</v>
      </c>
      <c r="K8386" t="s">
        <v>47113</v>
      </c>
      <c r="L8386">
        <v>29.94</v>
      </c>
      <c r="M8386">
        <v>66</v>
      </c>
      <c r="N8386">
        <v>0</v>
      </c>
      <c r="O8386">
        <v>66</v>
      </c>
      <c r="P8386">
        <v>0</v>
      </c>
    </row>
    <row r="8387" spans="1:16" x14ac:dyDescent="0.25">
      <c r="A8387" t="s">
        <v>30987</v>
      </c>
      <c r="B8387" t="s">
        <v>20208</v>
      </c>
      <c r="C8387" t="s">
        <v>17284</v>
      </c>
      <c r="D8387" t="str">
        <f>"1451"</f>
        <v>1451</v>
      </c>
      <c r="E8387" t="s">
        <v>20211</v>
      </c>
      <c r="F8387" t="s">
        <v>16933</v>
      </c>
      <c r="G8387" t="s">
        <v>16234</v>
      </c>
      <c r="H8387" t="s">
        <v>47054</v>
      </c>
      <c r="I8387" t="s">
        <v>47136</v>
      </c>
      <c r="J8387" t="s">
        <v>47137</v>
      </c>
      <c r="K8387" t="s">
        <v>47113</v>
      </c>
      <c r="L8387">
        <v>29.94</v>
      </c>
      <c r="M8387">
        <v>66</v>
      </c>
      <c r="N8387">
        <v>0</v>
      </c>
      <c r="O8387">
        <v>66</v>
      </c>
      <c r="P8387">
        <v>0</v>
      </c>
    </row>
    <row r="8388" spans="1:16" x14ac:dyDescent="0.25">
      <c r="A8388" t="s">
        <v>30988</v>
      </c>
      <c r="B8388" t="s">
        <v>20208</v>
      </c>
      <c r="C8388" t="s">
        <v>17284</v>
      </c>
      <c r="D8388" t="str">
        <f>"4000"</f>
        <v>4000</v>
      </c>
      <c r="E8388" t="s">
        <v>20212</v>
      </c>
      <c r="F8388" t="s">
        <v>16933</v>
      </c>
      <c r="G8388" t="s">
        <v>16234</v>
      </c>
      <c r="H8388" t="s">
        <v>47054</v>
      </c>
      <c r="I8388" t="s">
        <v>47136</v>
      </c>
      <c r="J8388" t="s">
        <v>47137</v>
      </c>
      <c r="K8388" t="s">
        <v>47113</v>
      </c>
      <c r="L8388">
        <v>29.94</v>
      </c>
      <c r="M8388">
        <v>66</v>
      </c>
      <c r="N8388">
        <v>0</v>
      </c>
      <c r="O8388">
        <v>66</v>
      </c>
      <c r="P8388">
        <v>0</v>
      </c>
    </row>
    <row r="8389" spans="1:16" x14ac:dyDescent="0.25">
      <c r="A8389" t="s">
        <v>30989</v>
      </c>
      <c r="B8389" t="s">
        <v>17291</v>
      </c>
      <c r="C8389" t="s">
        <v>17292</v>
      </c>
      <c r="D8389" t="str">
        <f>"1100"</f>
        <v>1100</v>
      </c>
      <c r="E8389" t="s">
        <v>54</v>
      </c>
      <c r="F8389" t="s">
        <v>16623</v>
      </c>
      <c r="G8389" t="s">
        <v>16233</v>
      </c>
      <c r="H8389" t="s">
        <v>47054</v>
      </c>
      <c r="I8389" t="s">
        <v>47136</v>
      </c>
      <c r="J8389" t="s">
        <v>47137</v>
      </c>
      <c r="K8389" t="s">
        <v>47113</v>
      </c>
      <c r="L8389">
        <v>27.35</v>
      </c>
      <c r="M8389">
        <v>55</v>
      </c>
      <c r="N8389">
        <v>0</v>
      </c>
      <c r="O8389">
        <v>55</v>
      </c>
      <c r="P8389">
        <v>0</v>
      </c>
    </row>
    <row r="8390" spans="1:16" x14ac:dyDescent="0.25">
      <c r="A8390" t="s">
        <v>30990</v>
      </c>
      <c r="B8390" t="s">
        <v>17291</v>
      </c>
      <c r="C8390" t="s">
        <v>17292</v>
      </c>
      <c r="D8390" t="str">
        <f>"1700"</f>
        <v>1700</v>
      </c>
      <c r="E8390" t="s">
        <v>60</v>
      </c>
      <c r="F8390" t="s">
        <v>16623</v>
      </c>
      <c r="G8390" t="s">
        <v>16233</v>
      </c>
      <c r="H8390" t="s">
        <v>47054</v>
      </c>
      <c r="I8390" t="s">
        <v>47136</v>
      </c>
      <c r="J8390" t="s">
        <v>47137</v>
      </c>
      <c r="K8390" t="s">
        <v>47113</v>
      </c>
      <c r="L8390">
        <v>27.35</v>
      </c>
      <c r="M8390">
        <v>55</v>
      </c>
      <c r="N8390">
        <v>0</v>
      </c>
      <c r="O8390">
        <v>55</v>
      </c>
      <c r="P8390">
        <v>0</v>
      </c>
    </row>
    <row r="8391" spans="1:16" x14ac:dyDescent="0.25">
      <c r="A8391" t="s">
        <v>30991</v>
      </c>
      <c r="B8391" t="s">
        <v>17291</v>
      </c>
      <c r="C8391" t="s">
        <v>17292</v>
      </c>
      <c r="D8391" t="str">
        <f>"2701"</f>
        <v>2701</v>
      </c>
      <c r="E8391" t="s">
        <v>11837</v>
      </c>
      <c r="F8391" t="s">
        <v>16623</v>
      </c>
      <c r="G8391" t="s">
        <v>16233</v>
      </c>
      <c r="H8391" t="s">
        <v>47054</v>
      </c>
      <c r="I8391" t="s">
        <v>47136</v>
      </c>
      <c r="J8391" t="s">
        <v>47137</v>
      </c>
      <c r="K8391" t="s">
        <v>47113</v>
      </c>
      <c r="L8391">
        <v>27.35</v>
      </c>
      <c r="M8391">
        <v>55</v>
      </c>
      <c r="N8391">
        <v>0</v>
      </c>
      <c r="O8391">
        <v>55</v>
      </c>
      <c r="P8391">
        <v>0</v>
      </c>
    </row>
    <row r="8392" spans="1:16" x14ac:dyDescent="0.25">
      <c r="A8392" t="s">
        <v>30992</v>
      </c>
      <c r="B8392" t="s">
        <v>17291</v>
      </c>
      <c r="C8392" t="s">
        <v>17292</v>
      </c>
      <c r="D8392" t="str">
        <f>"3000"</f>
        <v>3000</v>
      </c>
      <c r="E8392" t="s">
        <v>17026</v>
      </c>
      <c r="F8392" t="s">
        <v>16623</v>
      </c>
      <c r="G8392" t="s">
        <v>16233</v>
      </c>
      <c r="H8392" t="s">
        <v>47054</v>
      </c>
      <c r="I8392" t="s">
        <v>47136</v>
      </c>
      <c r="J8392" t="s">
        <v>47137</v>
      </c>
      <c r="K8392" t="s">
        <v>47113</v>
      </c>
      <c r="L8392">
        <v>27.35</v>
      </c>
      <c r="M8392">
        <v>55</v>
      </c>
      <c r="N8392">
        <v>0</v>
      </c>
      <c r="O8392">
        <v>55</v>
      </c>
      <c r="P8392">
        <v>0</v>
      </c>
    </row>
    <row r="8393" spans="1:16" x14ac:dyDescent="0.25">
      <c r="A8393" t="s">
        <v>30993</v>
      </c>
      <c r="B8393" t="s">
        <v>17291</v>
      </c>
      <c r="C8393" t="s">
        <v>17292</v>
      </c>
      <c r="D8393" t="str">
        <f>"4000"</f>
        <v>4000</v>
      </c>
      <c r="E8393" t="s">
        <v>17027</v>
      </c>
      <c r="F8393" t="s">
        <v>16623</v>
      </c>
      <c r="G8393" t="s">
        <v>16233</v>
      </c>
      <c r="H8393" t="s">
        <v>47054</v>
      </c>
      <c r="I8393" t="s">
        <v>47136</v>
      </c>
      <c r="J8393" t="s">
        <v>47137</v>
      </c>
      <c r="K8393" t="s">
        <v>47113</v>
      </c>
      <c r="L8393">
        <v>27.35</v>
      </c>
      <c r="M8393">
        <v>55</v>
      </c>
      <c r="N8393">
        <v>0</v>
      </c>
      <c r="O8393">
        <v>55</v>
      </c>
      <c r="P8393">
        <v>0</v>
      </c>
    </row>
    <row r="8394" spans="1:16" x14ac:dyDescent="0.25">
      <c r="A8394" t="s">
        <v>30994</v>
      </c>
      <c r="B8394" t="s">
        <v>17291</v>
      </c>
      <c r="C8394" t="s">
        <v>17292</v>
      </c>
      <c r="D8394" t="str">
        <f>"4502"</f>
        <v>4502</v>
      </c>
      <c r="E8394" t="s">
        <v>17293</v>
      </c>
      <c r="F8394" t="s">
        <v>16623</v>
      </c>
      <c r="G8394" t="s">
        <v>16233</v>
      </c>
      <c r="H8394" t="s">
        <v>47054</v>
      </c>
      <c r="I8394" t="s">
        <v>47136</v>
      </c>
      <c r="J8394" t="s">
        <v>47137</v>
      </c>
      <c r="K8394" t="s">
        <v>47113</v>
      </c>
      <c r="L8394">
        <v>27.35</v>
      </c>
      <c r="M8394">
        <v>55</v>
      </c>
      <c r="N8394">
        <v>0</v>
      </c>
      <c r="O8394">
        <v>55</v>
      </c>
      <c r="P8394">
        <v>0</v>
      </c>
    </row>
    <row r="8395" spans="1:16" x14ac:dyDescent="0.25">
      <c r="A8395" t="s">
        <v>30995</v>
      </c>
      <c r="B8395" t="s">
        <v>17294</v>
      </c>
      <c r="C8395" t="s">
        <v>17013</v>
      </c>
      <c r="D8395" t="s">
        <v>16747</v>
      </c>
      <c r="E8395" t="s">
        <v>16748</v>
      </c>
      <c r="F8395" t="s">
        <v>16623</v>
      </c>
      <c r="G8395" t="s">
        <v>16233</v>
      </c>
      <c r="H8395" t="s">
        <v>47054</v>
      </c>
      <c r="I8395" t="s">
        <v>47111</v>
      </c>
      <c r="J8395" t="s">
        <v>47112</v>
      </c>
      <c r="K8395" t="s">
        <v>47113</v>
      </c>
      <c r="L8395">
        <v>45.86</v>
      </c>
      <c r="M8395">
        <v>92</v>
      </c>
      <c r="N8395">
        <v>0</v>
      </c>
      <c r="O8395">
        <v>92</v>
      </c>
      <c r="P8395">
        <v>0</v>
      </c>
    </row>
    <row r="8396" spans="1:16" x14ac:dyDescent="0.25">
      <c r="A8396" t="s">
        <v>30996</v>
      </c>
      <c r="B8396" t="s">
        <v>17295</v>
      </c>
      <c r="C8396" t="s">
        <v>17296</v>
      </c>
      <c r="D8396" t="s">
        <v>17297</v>
      </c>
      <c r="E8396" t="s">
        <v>17298</v>
      </c>
      <c r="F8396" t="s">
        <v>16810</v>
      </c>
      <c r="G8396" t="s">
        <v>16231</v>
      </c>
      <c r="H8396" t="s">
        <v>47054</v>
      </c>
      <c r="I8396" t="s">
        <v>47111</v>
      </c>
      <c r="J8396" t="s">
        <v>47112</v>
      </c>
      <c r="K8396" t="s">
        <v>47113</v>
      </c>
      <c r="L8396">
        <v>55.06</v>
      </c>
      <c r="M8396">
        <v>111</v>
      </c>
      <c r="N8396">
        <v>0</v>
      </c>
      <c r="O8396">
        <v>111</v>
      </c>
      <c r="P8396">
        <v>0</v>
      </c>
    </row>
    <row r="8397" spans="1:16" x14ac:dyDescent="0.25">
      <c r="A8397" t="s">
        <v>30997</v>
      </c>
      <c r="B8397" t="s">
        <v>17299</v>
      </c>
      <c r="C8397" t="s">
        <v>17300</v>
      </c>
      <c r="D8397" t="str">
        <f>"1700"</f>
        <v>1700</v>
      </c>
      <c r="E8397" t="s">
        <v>16962</v>
      </c>
      <c r="F8397" t="s">
        <v>16623</v>
      </c>
      <c r="G8397" t="s">
        <v>16233</v>
      </c>
      <c r="H8397" t="s">
        <v>47054</v>
      </c>
      <c r="I8397" t="s">
        <v>47136</v>
      </c>
      <c r="J8397" t="s">
        <v>47137</v>
      </c>
      <c r="K8397" t="s">
        <v>47113</v>
      </c>
      <c r="L8397">
        <v>32.81</v>
      </c>
      <c r="M8397">
        <v>66</v>
      </c>
      <c r="N8397">
        <v>0</v>
      </c>
      <c r="O8397">
        <v>66</v>
      </c>
      <c r="P8397">
        <v>0</v>
      </c>
    </row>
    <row r="8398" spans="1:16" x14ac:dyDescent="0.25">
      <c r="A8398" t="s">
        <v>30998</v>
      </c>
      <c r="B8398" t="s">
        <v>17301</v>
      </c>
      <c r="C8398" t="s">
        <v>17302</v>
      </c>
      <c r="D8398" t="str">
        <f>"3071"</f>
        <v>3071</v>
      </c>
      <c r="E8398" t="s">
        <v>16876</v>
      </c>
      <c r="F8398" t="s">
        <v>16839</v>
      </c>
      <c r="G8398" t="s">
        <v>16224</v>
      </c>
      <c r="H8398" t="s">
        <v>47054</v>
      </c>
      <c r="I8398" t="s">
        <v>47120</v>
      </c>
      <c r="J8398" t="s">
        <v>47121</v>
      </c>
      <c r="K8398" t="s">
        <v>47113</v>
      </c>
      <c r="L8398">
        <v>91.89</v>
      </c>
      <c r="M8398">
        <v>185</v>
      </c>
      <c r="N8398">
        <v>0</v>
      </c>
      <c r="O8398">
        <v>185</v>
      </c>
      <c r="P8398">
        <v>0</v>
      </c>
    </row>
    <row r="8399" spans="1:16" x14ac:dyDescent="0.25">
      <c r="A8399" t="s">
        <v>30999</v>
      </c>
      <c r="B8399" t="s">
        <v>17303</v>
      </c>
      <c r="C8399" t="s">
        <v>17304</v>
      </c>
      <c r="D8399" t="str">
        <f>"4143"</f>
        <v>4143</v>
      </c>
      <c r="E8399" t="s">
        <v>261</v>
      </c>
      <c r="F8399" t="s">
        <v>3670</v>
      </c>
      <c r="G8399" t="s">
        <v>47595</v>
      </c>
      <c r="H8399" t="s">
        <v>47054</v>
      </c>
      <c r="I8399" t="s">
        <v>47111</v>
      </c>
      <c r="J8399" t="s">
        <v>47112</v>
      </c>
      <c r="K8399" t="s">
        <v>47113</v>
      </c>
      <c r="L8399">
        <v>17.52</v>
      </c>
      <c r="M8399">
        <v>55</v>
      </c>
      <c r="N8399">
        <v>0</v>
      </c>
      <c r="O8399">
        <v>55</v>
      </c>
      <c r="P8399">
        <v>0</v>
      </c>
    </row>
    <row r="8400" spans="1:16" x14ac:dyDescent="0.25">
      <c r="A8400" t="s">
        <v>31000</v>
      </c>
      <c r="B8400" t="s">
        <v>17305</v>
      </c>
      <c r="C8400" t="s">
        <v>17306</v>
      </c>
      <c r="D8400" t="str">
        <f>"1200"</f>
        <v>1200</v>
      </c>
      <c r="E8400" t="s">
        <v>17307</v>
      </c>
      <c r="F8400" t="s">
        <v>16623</v>
      </c>
      <c r="G8400" t="s">
        <v>16232</v>
      </c>
      <c r="H8400" t="s">
        <v>47054</v>
      </c>
      <c r="I8400" t="s">
        <v>47569</v>
      </c>
      <c r="J8400" t="s">
        <v>47570</v>
      </c>
      <c r="K8400" t="s">
        <v>47113</v>
      </c>
      <c r="L8400">
        <v>18.399999999999999</v>
      </c>
      <c r="M8400">
        <v>37</v>
      </c>
      <c r="N8400">
        <v>0</v>
      </c>
      <c r="O8400">
        <v>37</v>
      </c>
      <c r="P8400">
        <v>0</v>
      </c>
    </row>
    <row r="8401" spans="1:16" x14ac:dyDescent="0.25">
      <c r="A8401" t="s">
        <v>31001</v>
      </c>
      <c r="B8401" t="s">
        <v>17308</v>
      </c>
      <c r="C8401" t="s">
        <v>17309</v>
      </c>
      <c r="D8401" t="str">
        <f>"1501"</f>
        <v>1501</v>
      </c>
      <c r="E8401" t="s">
        <v>46</v>
      </c>
      <c r="F8401" t="s">
        <v>16746</v>
      </c>
      <c r="G8401" t="s">
        <v>16221</v>
      </c>
      <c r="H8401" t="s">
        <v>47054</v>
      </c>
      <c r="I8401" t="s">
        <v>47118</v>
      </c>
      <c r="J8401" t="s">
        <v>47119</v>
      </c>
      <c r="K8401" t="s">
        <v>47113</v>
      </c>
      <c r="L8401">
        <v>16.39</v>
      </c>
      <c r="M8401">
        <v>33</v>
      </c>
      <c r="N8401">
        <v>0</v>
      </c>
      <c r="O8401">
        <v>33</v>
      </c>
      <c r="P8401">
        <v>0</v>
      </c>
    </row>
    <row r="8402" spans="1:16" x14ac:dyDescent="0.25">
      <c r="A8402" t="s">
        <v>31002</v>
      </c>
      <c r="B8402" t="s">
        <v>17308</v>
      </c>
      <c r="C8402" t="s">
        <v>17309</v>
      </c>
      <c r="D8402" t="str">
        <f>"1800"</f>
        <v>1800</v>
      </c>
      <c r="E8402" t="s">
        <v>1999</v>
      </c>
      <c r="F8402" t="s">
        <v>16746</v>
      </c>
      <c r="G8402" t="s">
        <v>16221</v>
      </c>
      <c r="H8402" t="s">
        <v>47054</v>
      </c>
      <c r="I8402" t="s">
        <v>47118</v>
      </c>
      <c r="J8402" t="s">
        <v>47119</v>
      </c>
      <c r="K8402" t="s">
        <v>47113</v>
      </c>
      <c r="L8402">
        <v>16.39</v>
      </c>
      <c r="M8402">
        <v>33</v>
      </c>
      <c r="N8402">
        <v>0</v>
      </c>
      <c r="O8402">
        <v>33</v>
      </c>
      <c r="P8402">
        <v>0</v>
      </c>
    </row>
    <row r="8403" spans="1:16" x14ac:dyDescent="0.25">
      <c r="A8403" t="s">
        <v>31003</v>
      </c>
      <c r="B8403" t="s">
        <v>31004</v>
      </c>
      <c r="C8403" t="s">
        <v>31005</v>
      </c>
      <c r="D8403" t="str">
        <f>"1102"</f>
        <v>1102</v>
      </c>
      <c r="E8403" t="s">
        <v>31006</v>
      </c>
      <c r="F8403" t="s">
        <v>21629</v>
      </c>
      <c r="G8403" t="s">
        <v>16221</v>
      </c>
      <c r="H8403" t="s">
        <v>47054</v>
      </c>
      <c r="I8403" t="s">
        <v>47118</v>
      </c>
      <c r="J8403" t="s">
        <v>47119</v>
      </c>
      <c r="K8403" t="s">
        <v>47113</v>
      </c>
      <c r="L8403">
        <v>24.25</v>
      </c>
      <c r="M8403">
        <v>37</v>
      </c>
      <c r="N8403">
        <v>0</v>
      </c>
      <c r="O8403">
        <v>37</v>
      </c>
      <c r="P8403">
        <v>0</v>
      </c>
    </row>
    <row r="8404" spans="1:16" x14ac:dyDescent="0.25">
      <c r="A8404" t="s">
        <v>31007</v>
      </c>
      <c r="B8404" t="s">
        <v>17310</v>
      </c>
      <c r="C8404" t="s">
        <v>17311</v>
      </c>
      <c r="D8404" t="str">
        <f>"1501"</f>
        <v>1501</v>
      </c>
      <c r="E8404" t="s">
        <v>17312</v>
      </c>
      <c r="F8404" t="s">
        <v>16810</v>
      </c>
      <c r="G8404" t="s">
        <v>16221</v>
      </c>
      <c r="H8404" t="s">
        <v>47054</v>
      </c>
      <c r="I8404" t="s">
        <v>47118</v>
      </c>
      <c r="J8404" t="s">
        <v>47119</v>
      </c>
      <c r="K8404" t="s">
        <v>47113</v>
      </c>
      <c r="L8404">
        <v>18.399999999999999</v>
      </c>
      <c r="M8404">
        <v>37</v>
      </c>
      <c r="N8404">
        <v>0</v>
      </c>
      <c r="O8404">
        <v>37</v>
      </c>
      <c r="P8404">
        <v>0</v>
      </c>
    </row>
    <row r="8405" spans="1:16" x14ac:dyDescent="0.25">
      <c r="A8405" t="s">
        <v>31008</v>
      </c>
      <c r="B8405" t="s">
        <v>17313</v>
      </c>
      <c r="C8405" t="s">
        <v>17314</v>
      </c>
      <c r="D8405" t="str">
        <f>"1800"</f>
        <v>1800</v>
      </c>
      <c r="E8405" t="s">
        <v>17315</v>
      </c>
      <c r="F8405" t="s">
        <v>16810</v>
      </c>
      <c r="G8405" t="s">
        <v>16221</v>
      </c>
      <c r="H8405" t="s">
        <v>47054</v>
      </c>
      <c r="I8405" t="s">
        <v>47118</v>
      </c>
      <c r="J8405" t="s">
        <v>47119</v>
      </c>
      <c r="K8405" t="s">
        <v>47113</v>
      </c>
      <c r="L8405">
        <v>18.399999999999999</v>
      </c>
      <c r="M8405">
        <v>37</v>
      </c>
      <c r="N8405">
        <v>0</v>
      </c>
      <c r="O8405">
        <v>37</v>
      </c>
      <c r="P8405">
        <v>0</v>
      </c>
    </row>
    <row r="8406" spans="1:16" x14ac:dyDescent="0.25">
      <c r="A8406" t="s">
        <v>22767</v>
      </c>
      <c r="B8406" t="s">
        <v>17316</v>
      </c>
      <c r="C8406" t="s">
        <v>16905</v>
      </c>
      <c r="D8406" t="s">
        <v>16802</v>
      </c>
      <c r="E8406" t="s">
        <v>16803</v>
      </c>
      <c r="F8406" t="s">
        <v>16623</v>
      </c>
      <c r="G8406" t="s">
        <v>16231</v>
      </c>
      <c r="H8406" t="s">
        <v>47054</v>
      </c>
      <c r="I8406" t="s">
        <v>47111</v>
      </c>
      <c r="J8406" t="s">
        <v>47112</v>
      </c>
      <c r="K8406" t="s">
        <v>47113</v>
      </c>
      <c r="L8406">
        <v>78.56</v>
      </c>
      <c r="M8406">
        <v>158</v>
      </c>
      <c r="N8406">
        <v>0</v>
      </c>
      <c r="O8406">
        <v>158</v>
      </c>
      <c r="P8406">
        <v>0</v>
      </c>
    </row>
    <row r="8407" spans="1:16" x14ac:dyDescent="0.25">
      <c r="A8407" t="s">
        <v>31009</v>
      </c>
      <c r="B8407" t="s">
        <v>20213</v>
      </c>
      <c r="C8407" t="s">
        <v>20214</v>
      </c>
      <c r="D8407" t="str">
        <f>"1106"</f>
        <v>1106</v>
      </c>
      <c r="E8407" t="s">
        <v>17350</v>
      </c>
      <c r="F8407" t="s">
        <v>19552</v>
      </c>
      <c r="G8407" t="s">
        <v>16222</v>
      </c>
      <c r="H8407" t="s">
        <v>47054</v>
      </c>
      <c r="I8407" t="s">
        <v>47120</v>
      </c>
      <c r="J8407" t="s">
        <v>47121</v>
      </c>
      <c r="K8407" t="s">
        <v>47113</v>
      </c>
      <c r="L8407">
        <v>26.48</v>
      </c>
      <c r="M8407">
        <v>55</v>
      </c>
      <c r="N8407">
        <v>0</v>
      </c>
      <c r="O8407">
        <v>55</v>
      </c>
      <c r="P8407">
        <v>0</v>
      </c>
    </row>
    <row r="8408" spans="1:16" x14ac:dyDescent="0.25">
      <c r="A8408" t="s">
        <v>22768</v>
      </c>
      <c r="B8408" t="s">
        <v>20215</v>
      </c>
      <c r="C8408" t="s">
        <v>20216</v>
      </c>
      <c r="D8408" t="str">
        <f>"1501"</f>
        <v>1501</v>
      </c>
      <c r="E8408" t="s">
        <v>46</v>
      </c>
      <c r="F8408" t="s">
        <v>19559</v>
      </c>
      <c r="G8408" t="s">
        <v>16222</v>
      </c>
      <c r="H8408" t="s">
        <v>47054</v>
      </c>
      <c r="I8408" t="s">
        <v>47120</v>
      </c>
      <c r="J8408" t="s">
        <v>47121</v>
      </c>
      <c r="K8408" t="s">
        <v>47113</v>
      </c>
      <c r="L8408">
        <v>26.37</v>
      </c>
      <c r="M8408">
        <v>55</v>
      </c>
      <c r="N8408">
        <v>0</v>
      </c>
      <c r="O8408">
        <v>55</v>
      </c>
      <c r="P8408">
        <v>0</v>
      </c>
    </row>
    <row r="8409" spans="1:16" x14ac:dyDescent="0.25">
      <c r="A8409" t="s">
        <v>31010</v>
      </c>
      <c r="B8409" t="s">
        <v>17317</v>
      </c>
      <c r="C8409" t="s">
        <v>17318</v>
      </c>
      <c r="D8409" t="s">
        <v>17242</v>
      </c>
      <c r="E8409" t="s">
        <v>17243</v>
      </c>
      <c r="F8409" t="s">
        <v>16810</v>
      </c>
      <c r="G8409" t="s">
        <v>16231</v>
      </c>
      <c r="H8409" t="s">
        <v>47054</v>
      </c>
      <c r="I8409" t="s">
        <v>47111</v>
      </c>
      <c r="J8409" t="s">
        <v>47112</v>
      </c>
      <c r="K8409" t="s">
        <v>47113</v>
      </c>
      <c r="L8409">
        <v>64.14</v>
      </c>
      <c r="M8409">
        <v>129</v>
      </c>
      <c r="N8409">
        <v>0</v>
      </c>
      <c r="O8409">
        <v>129</v>
      </c>
      <c r="P8409">
        <v>0</v>
      </c>
    </row>
    <row r="8410" spans="1:16" x14ac:dyDescent="0.25">
      <c r="A8410" t="s">
        <v>31011</v>
      </c>
      <c r="B8410" t="s">
        <v>17317</v>
      </c>
      <c r="C8410" t="s">
        <v>17318</v>
      </c>
      <c r="D8410" t="s">
        <v>17244</v>
      </c>
      <c r="E8410" t="s">
        <v>17245</v>
      </c>
      <c r="F8410" t="s">
        <v>16810</v>
      </c>
      <c r="G8410" t="s">
        <v>16231</v>
      </c>
      <c r="H8410" t="s">
        <v>47054</v>
      </c>
      <c r="I8410" t="s">
        <v>47111</v>
      </c>
      <c r="J8410" t="s">
        <v>47112</v>
      </c>
      <c r="K8410" t="s">
        <v>47113</v>
      </c>
      <c r="L8410">
        <v>45.74</v>
      </c>
      <c r="M8410">
        <v>92</v>
      </c>
      <c r="N8410">
        <v>0</v>
      </c>
      <c r="O8410">
        <v>92</v>
      </c>
      <c r="P8410">
        <v>0</v>
      </c>
    </row>
    <row r="8411" spans="1:16" x14ac:dyDescent="0.25">
      <c r="A8411" t="s">
        <v>31012</v>
      </c>
      <c r="B8411" t="s">
        <v>17319</v>
      </c>
      <c r="C8411" t="s">
        <v>17241</v>
      </c>
      <c r="D8411" t="s">
        <v>17297</v>
      </c>
      <c r="E8411" t="s">
        <v>17298</v>
      </c>
      <c r="F8411" t="s">
        <v>16810</v>
      </c>
      <c r="G8411" t="s">
        <v>16231</v>
      </c>
      <c r="H8411" t="s">
        <v>47054</v>
      </c>
      <c r="I8411" t="s">
        <v>47111</v>
      </c>
      <c r="J8411" t="s">
        <v>47112</v>
      </c>
      <c r="K8411" t="s">
        <v>47113</v>
      </c>
      <c r="L8411">
        <v>55.19</v>
      </c>
      <c r="M8411">
        <v>111</v>
      </c>
      <c r="N8411">
        <v>0</v>
      </c>
      <c r="O8411">
        <v>111</v>
      </c>
      <c r="P8411">
        <v>0</v>
      </c>
    </row>
    <row r="8412" spans="1:16" x14ac:dyDescent="0.25">
      <c r="A8412" t="s">
        <v>31013</v>
      </c>
      <c r="B8412" t="s">
        <v>17319</v>
      </c>
      <c r="C8412" t="s">
        <v>17241</v>
      </c>
      <c r="D8412" t="s">
        <v>16833</v>
      </c>
      <c r="E8412" t="s">
        <v>16834</v>
      </c>
      <c r="F8412" t="s">
        <v>16810</v>
      </c>
      <c r="G8412" t="s">
        <v>16231</v>
      </c>
      <c r="H8412" t="s">
        <v>47054</v>
      </c>
      <c r="I8412" t="s">
        <v>47111</v>
      </c>
      <c r="J8412" t="s">
        <v>47112</v>
      </c>
      <c r="K8412" t="s">
        <v>47113</v>
      </c>
      <c r="L8412">
        <v>45.86</v>
      </c>
      <c r="M8412">
        <v>92</v>
      </c>
      <c r="N8412">
        <v>0</v>
      </c>
      <c r="O8412">
        <v>92</v>
      </c>
      <c r="P8412">
        <v>0</v>
      </c>
    </row>
    <row r="8413" spans="1:16" x14ac:dyDescent="0.25">
      <c r="A8413" t="s">
        <v>31014</v>
      </c>
      <c r="B8413" t="s">
        <v>20217</v>
      </c>
      <c r="C8413" t="s">
        <v>17241</v>
      </c>
      <c r="D8413" t="s">
        <v>19881</v>
      </c>
      <c r="E8413" t="s">
        <v>19882</v>
      </c>
      <c r="F8413" t="s">
        <v>16933</v>
      </c>
      <c r="G8413" t="s">
        <v>16231</v>
      </c>
      <c r="H8413" t="s">
        <v>47054</v>
      </c>
      <c r="I8413" t="s">
        <v>47111</v>
      </c>
      <c r="J8413" t="s">
        <v>47112</v>
      </c>
      <c r="K8413" t="s">
        <v>47113</v>
      </c>
      <c r="L8413">
        <v>52.05</v>
      </c>
      <c r="M8413">
        <v>111</v>
      </c>
      <c r="N8413">
        <v>0</v>
      </c>
      <c r="O8413">
        <v>111</v>
      </c>
      <c r="P8413">
        <v>0</v>
      </c>
    </row>
    <row r="8414" spans="1:16" x14ac:dyDescent="0.25">
      <c r="A8414" t="s">
        <v>31015</v>
      </c>
      <c r="B8414" t="s">
        <v>20217</v>
      </c>
      <c r="C8414" t="s">
        <v>17241</v>
      </c>
      <c r="D8414" t="s">
        <v>19892</v>
      </c>
      <c r="E8414" t="s">
        <v>19893</v>
      </c>
      <c r="F8414" t="s">
        <v>16933</v>
      </c>
      <c r="G8414" t="s">
        <v>16231</v>
      </c>
      <c r="H8414" t="s">
        <v>47054</v>
      </c>
      <c r="I8414" t="s">
        <v>47111</v>
      </c>
      <c r="J8414" t="s">
        <v>47112</v>
      </c>
      <c r="K8414" t="s">
        <v>47113</v>
      </c>
      <c r="L8414">
        <v>53.96</v>
      </c>
      <c r="M8414">
        <v>111</v>
      </c>
      <c r="N8414">
        <v>0</v>
      </c>
      <c r="O8414">
        <v>111</v>
      </c>
      <c r="P8414">
        <v>0</v>
      </c>
    </row>
    <row r="8415" spans="1:16" x14ac:dyDescent="0.25">
      <c r="A8415" t="s">
        <v>31016</v>
      </c>
      <c r="B8415" t="s">
        <v>17320</v>
      </c>
      <c r="C8415" t="s">
        <v>17321</v>
      </c>
      <c r="D8415" t="str">
        <f>"4542"</f>
        <v>4542</v>
      </c>
      <c r="E8415" t="s">
        <v>220</v>
      </c>
      <c r="F8415" t="s">
        <v>16746</v>
      </c>
      <c r="G8415" t="s">
        <v>16221</v>
      </c>
      <c r="H8415" t="s">
        <v>47054</v>
      </c>
      <c r="I8415" t="s">
        <v>47111</v>
      </c>
      <c r="J8415" t="s">
        <v>47112</v>
      </c>
      <c r="K8415" t="s">
        <v>47113</v>
      </c>
      <c r="L8415">
        <v>12.93</v>
      </c>
      <c r="M8415">
        <v>26</v>
      </c>
      <c r="N8415">
        <v>0</v>
      </c>
      <c r="O8415">
        <v>26</v>
      </c>
      <c r="P8415">
        <v>0</v>
      </c>
    </row>
    <row r="8416" spans="1:16" x14ac:dyDescent="0.25">
      <c r="A8416" t="s">
        <v>31017</v>
      </c>
      <c r="B8416" t="s">
        <v>17322</v>
      </c>
      <c r="C8416" t="s">
        <v>17323</v>
      </c>
      <c r="D8416" t="str">
        <f>"4403"</f>
        <v>4403</v>
      </c>
      <c r="E8416" t="s">
        <v>2383</v>
      </c>
      <c r="F8416" t="s">
        <v>16810</v>
      </c>
      <c r="G8416" t="s">
        <v>16221</v>
      </c>
      <c r="H8416" t="s">
        <v>47054</v>
      </c>
      <c r="I8416" t="s">
        <v>47569</v>
      </c>
      <c r="J8416" t="s">
        <v>47570</v>
      </c>
      <c r="K8416" t="s">
        <v>47113</v>
      </c>
      <c r="L8416">
        <v>8.81</v>
      </c>
      <c r="M8416">
        <v>29</v>
      </c>
      <c r="N8416">
        <v>0</v>
      </c>
      <c r="O8416">
        <v>29</v>
      </c>
      <c r="P8416">
        <v>0</v>
      </c>
    </row>
    <row r="8417" spans="1:16" x14ac:dyDescent="0.25">
      <c r="A8417" t="s">
        <v>31018</v>
      </c>
      <c r="B8417" t="s">
        <v>17322</v>
      </c>
      <c r="C8417" t="s">
        <v>17323</v>
      </c>
      <c r="D8417" t="str">
        <f>"6000"</f>
        <v>6000</v>
      </c>
      <c r="E8417" t="s">
        <v>7168</v>
      </c>
      <c r="F8417" t="s">
        <v>16810</v>
      </c>
      <c r="G8417" t="s">
        <v>16221</v>
      </c>
      <c r="H8417" t="s">
        <v>47054</v>
      </c>
      <c r="I8417" t="s">
        <v>47569</v>
      </c>
      <c r="J8417" t="s">
        <v>47570</v>
      </c>
      <c r="K8417" t="s">
        <v>47113</v>
      </c>
      <c r="L8417">
        <v>8.81</v>
      </c>
      <c r="M8417">
        <v>29</v>
      </c>
      <c r="N8417">
        <v>0</v>
      </c>
      <c r="O8417">
        <v>29</v>
      </c>
      <c r="P8417">
        <v>0</v>
      </c>
    </row>
    <row r="8418" spans="1:16" x14ac:dyDescent="0.25">
      <c r="A8418" t="s">
        <v>31019</v>
      </c>
      <c r="B8418" t="s">
        <v>17324</v>
      </c>
      <c r="C8418" t="s">
        <v>17325</v>
      </c>
      <c r="D8418" t="s">
        <v>17326</v>
      </c>
      <c r="E8418" t="s">
        <v>17327</v>
      </c>
      <c r="F8418" t="s">
        <v>16623</v>
      </c>
      <c r="G8418" t="s">
        <v>16230</v>
      </c>
      <c r="H8418" t="s">
        <v>47054</v>
      </c>
      <c r="I8418" t="s">
        <v>47116</v>
      </c>
      <c r="J8418" t="s">
        <v>47117</v>
      </c>
      <c r="K8418" t="s">
        <v>47113</v>
      </c>
      <c r="L8418">
        <v>64.260000000000005</v>
      </c>
      <c r="M8418">
        <v>129</v>
      </c>
      <c r="N8418">
        <v>0</v>
      </c>
      <c r="O8418">
        <v>129</v>
      </c>
      <c r="P8418">
        <v>0</v>
      </c>
    </row>
    <row r="8419" spans="1:16" x14ac:dyDescent="0.25">
      <c r="A8419" t="s">
        <v>31020</v>
      </c>
      <c r="B8419" t="s">
        <v>20218</v>
      </c>
      <c r="C8419" t="s">
        <v>17325</v>
      </c>
      <c r="D8419" t="s">
        <v>20219</v>
      </c>
      <c r="E8419" t="s">
        <v>20220</v>
      </c>
      <c r="F8419" t="s">
        <v>16933</v>
      </c>
      <c r="G8419" t="s">
        <v>16230</v>
      </c>
      <c r="H8419" t="s">
        <v>47054</v>
      </c>
      <c r="I8419" t="s">
        <v>47116</v>
      </c>
      <c r="J8419" t="s">
        <v>47117</v>
      </c>
      <c r="K8419" t="s">
        <v>47113</v>
      </c>
      <c r="L8419">
        <v>49.86</v>
      </c>
      <c r="M8419">
        <v>96</v>
      </c>
      <c r="N8419">
        <v>0</v>
      </c>
      <c r="O8419">
        <v>96</v>
      </c>
      <c r="P8419">
        <v>0</v>
      </c>
    </row>
    <row r="8420" spans="1:16" x14ac:dyDescent="0.25">
      <c r="A8420" t="s">
        <v>31021</v>
      </c>
      <c r="B8420" t="s">
        <v>17328</v>
      </c>
      <c r="C8420" t="s">
        <v>17329</v>
      </c>
      <c r="D8420" t="str">
        <f>"1106"</f>
        <v>1106</v>
      </c>
      <c r="E8420" t="s">
        <v>460</v>
      </c>
      <c r="F8420" t="s">
        <v>16771</v>
      </c>
      <c r="G8420" t="s">
        <v>16232</v>
      </c>
      <c r="H8420" t="s">
        <v>47054</v>
      </c>
      <c r="I8420" t="s">
        <v>47116</v>
      </c>
      <c r="J8420" t="s">
        <v>47117</v>
      </c>
      <c r="K8420" t="s">
        <v>47113</v>
      </c>
      <c r="L8420">
        <v>12.37</v>
      </c>
      <c r="M8420">
        <v>29</v>
      </c>
      <c r="N8420">
        <v>0</v>
      </c>
      <c r="O8420">
        <v>29</v>
      </c>
      <c r="P8420">
        <v>0</v>
      </c>
    </row>
    <row r="8421" spans="1:16" x14ac:dyDescent="0.25">
      <c r="A8421" t="s">
        <v>31022</v>
      </c>
      <c r="B8421" t="s">
        <v>17328</v>
      </c>
      <c r="C8421" t="s">
        <v>17329</v>
      </c>
      <c r="D8421" t="str">
        <f>"1800"</f>
        <v>1800</v>
      </c>
      <c r="E8421" t="s">
        <v>1999</v>
      </c>
      <c r="F8421" t="s">
        <v>16771</v>
      </c>
      <c r="G8421" t="s">
        <v>16232</v>
      </c>
      <c r="H8421" t="s">
        <v>47054</v>
      </c>
      <c r="I8421" t="s">
        <v>47116</v>
      </c>
      <c r="J8421" t="s">
        <v>47117</v>
      </c>
      <c r="K8421" t="s">
        <v>47113</v>
      </c>
      <c r="L8421">
        <v>12.37</v>
      </c>
      <c r="M8421">
        <v>29</v>
      </c>
      <c r="N8421">
        <v>0</v>
      </c>
      <c r="O8421">
        <v>29</v>
      </c>
      <c r="P8421">
        <v>0</v>
      </c>
    </row>
    <row r="8422" spans="1:16" x14ac:dyDescent="0.25">
      <c r="A8422" t="s">
        <v>31023</v>
      </c>
      <c r="B8422" t="s">
        <v>17328</v>
      </c>
      <c r="C8422" t="s">
        <v>17329</v>
      </c>
      <c r="D8422" t="str">
        <f>"6000"</f>
        <v>6000</v>
      </c>
      <c r="E8422" t="s">
        <v>16882</v>
      </c>
      <c r="F8422" t="s">
        <v>16771</v>
      </c>
      <c r="G8422" t="s">
        <v>16232</v>
      </c>
      <c r="H8422" t="s">
        <v>47054</v>
      </c>
      <c r="I8422" t="s">
        <v>47116</v>
      </c>
      <c r="J8422" t="s">
        <v>47117</v>
      </c>
      <c r="K8422" t="s">
        <v>47113</v>
      </c>
      <c r="L8422">
        <v>12.37</v>
      </c>
      <c r="M8422">
        <v>29</v>
      </c>
      <c r="N8422">
        <v>0</v>
      </c>
      <c r="O8422">
        <v>29</v>
      </c>
      <c r="P8422">
        <v>0</v>
      </c>
    </row>
    <row r="8423" spans="1:16" x14ac:dyDescent="0.25">
      <c r="A8423" t="s">
        <v>31024</v>
      </c>
      <c r="B8423" t="s">
        <v>17330</v>
      </c>
      <c r="C8423" t="s">
        <v>17331</v>
      </c>
      <c r="D8423" t="str">
        <f>"1001"</f>
        <v>1001</v>
      </c>
      <c r="E8423" t="s">
        <v>42</v>
      </c>
      <c r="F8423" t="s">
        <v>16839</v>
      </c>
      <c r="G8423" t="s">
        <v>16221</v>
      </c>
      <c r="H8423" t="s">
        <v>47054</v>
      </c>
      <c r="I8423" t="s">
        <v>47118</v>
      </c>
      <c r="J8423" t="s">
        <v>47119</v>
      </c>
      <c r="K8423" t="s">
        <v>47113</v>
      </c>
      <c r="L8423">
        <v>18.399999999999999</v>
      </c>
      <c r="M8423">
        <v>37</v>
      </c>
      <c r="N8423">
        <v>0</v>
      </c>
      <c r="O8423">
        <v>37</v>
      </c>
      <c r="P8423">
        <v>0</v>
      </c>
    </row>
    <row r="8424" spans="1:16" x14ac:dyDescent="0.25">
      <c r="A8424" t="s">
        <v>31025</v>
      </c>
      <c r="B8424" t="s">
        <v>17332</v>
      </c>
      <c r="C8424" t="s">
        <v>17333</v>
      </c>
      <c r="D8424" t="str">
        <f>"3071"</f>
        <v>3071</v>
      </c>
      <c r="E8424" t="s">
        <v>16876</v>
      </c>
      <c r="F8424" t="s">
        <v>16839</v>
      </c>
      <c r="G8424" t="s">
        <v>16235</v>
      </c>
      <c r="H8424" t="s">
        <v>47054</v>
      </c>
      <c r="I8424" t="s">
        <v>47120</v>
      </c>
      <c r="J8424" t="s">
        <v>47121</v>
      </c>
      <c r="K8424" t="s">
        <v>47113</v>
      </c>
      <c r="L8424">
        <v>41.48</v>
      </c>
      <c r="M8424">
        <v>55</v>
      </c>
      <c r="N8424">
        <v>0</v>
      </c>
      <c r="O8424">
        <v>55</v>
      </c>
      <c r="P8424">
        <v>0</v>
      </c>
    </row>
    <row r="8425" spans="1:16" x14ac:dyDescent="0.25">
      <c r="A8425" t="s">
        <v>31026</v>
      </c>
      <c r="B8425" t="s">
        <v>17334</v>
      </c>
      <c r="C8425" t="s">
        <v>17335</v>
      </c>
      <c r="D8425" t="str">
        <f>"3071"</f>
        <v>3071</v>
      </c>
      <c r="E8425" t="s">
        <v>16876</v>
      </c>
      <c r="F8425" t="s">
        <v>16839</v>
      </c>
      <c r="G8425" t="s">
        <v>16222</v>
      </c>
      <c r="H8425" t="s">
        <v>47054</v>
      </c>
      <c r="I8425" t="s">
        <v>47120</v>
      </c>
      <c r="J8425" t="s">
        <v>47121</v>
      </c>
      <c r="K8425" t="s">
        <v>47113</v>
      </c>
      <c r="L8425">
        <v>39.590000000000003</v>
      </c>
      <c r="M8425">
        <v>48</v>
      </c>
      <c r="N8425">
        <v>0</v>
      </c>
      <c r="O8425">
        <v>48</v>
      </c>
      <c r="P8425">
        <v>0</v>
      </c>
    </row>
    <row r="8426" spans="1:16" x14ac:dyDescent="0.25">
      <c r="A8426" t="s">
        <v>31027</v>
      </c>
      <c r="B8426" t="s">
        <v>17336</v>
      </c>
      <c r="C8426" t="s">
        <v>17337</v>
      </c>
      <c r="D8426" t="str">
        <f>"1501"</f>
        <v>1501</v>
      </c>
      <c r="E8426" t="s">
        <v>46</v>
      </c>
      <c r="F8426" t="s">
        <v>16746</v>
      </c>
      <c r="G8426" t="s">
        <v>16235</v>
      </c>
      <c r="H8426" t="s">
        <v>47054</v>
      </c>
      <c r="I8426" t="s">
        <v>47118</v>
      </c>
      <c r="J8426" t="s">
        <v>47119</v>
      </c>
      <c r="K8426" t="s">
        <v>47113</v>
      </c>
      <c r="L8426">
        <v>27.44</v>
      </c>
      <c r="M8426">
        <v>55</v>
      </c>
      <c r="N8426">
        <v>0</v>
      </c>
      <c r="O8426">
        <v>55</v>
      </c>
      <c r="P8426">
        <v>0</v>
      </c>
    </row>
    <row r="8427" spans="1:16" x14ac:dyDescent="0.25">
      <c r="A8427" t="s">
        <v>31028</v>
      </c>
      <c r="B8427" t="s">
        <v>17338</v>
      </c>
      <c r="C8427" t="s">
        <v>17337</v>
      </c>
      <c r="D8427" t="str">
        <f>"1001"</f>
        <v>1001</v>
      </c>
      <c r="E8427" t="s">
        <v>42</v>
      </c>
      <c r="F8427" t="s">
        <v>16746</v>
      </c>
      <c r="G8427" t="s">
        <v>16235</v>
      </c>
      <c r="H8427" t="s">
        <v>47054</v>
      </c>
      <c r="I8427" t="s">
        <v>47118</v>
      </c>
      <c r="J8427" t="s">
        <v>47119</v>
      </c>
      <c r="K8427" t="s">
        <v>47113</v>
      </c>
      <c r="L8427">
        <v>32.96</v>
      </c>
      <c r="M8427">
        <v>66</v>
      </c>
      <c r="N8427">
        <v>0</v>
      </c>
      <c r="O8427">
        <v>66</v>
      </c>
      <c r="P8427">
        <v>0</v>
      </c>
    </row>
    <row r="8428" spans="1:16" x14ac:dyDescent="0.25">
      <c r="A8428" t="s">
        <v>31029</v>
      </c>
      <c r="B8428" t="s">
        <v>17338</v>
      </c>
      <c r="C8428" t="s">
        <v>17337</v>
      </c>
      <c r="D8428" t="str">
        <f>"1700"</f>
        <v>1700</v>
      </c>
      <c r="E8428" t="s">
        <v>60</v>
      </c>
      <c r="F8428" t="s">
        <v>16746</v>
      </c>
      <c r="G8428" t="s">
        <v>16235</v>
      </c>
      <c r="H8428" t="s">
        <v>47054</v>
      </c>
      <c r="I8428" t="s">
        <v>47118</v>
      </c>
      <c r="J8428" t="s">
        <v>47119</v>
      </c>
      <c r="K8428" t="s">
        <v>47113</v>
      </c>
      <c r="L8428">
        <v>32.96</v>
      </c>
      <c r="M8428">
        <v>66</v>
      </c>
      <c r="N8428">
        <v>0</v>
      </c>
      <c r="O8428">
        <v>66</v>
      </c>
      <c r="P8428">
        <v>0</v>
      </c>
    </row>
    <row r="8429" spans="1:16" x14ac:dyDescent="0.25">
      <c r="A8429" t="s">
        <v>31030</v>
      </c>
      <c r="B8429" t="s">
        <v>17339</v>
      </c>
      <c r="C8429" t="s">
        <v>17262</v>
      </c>
      <c r="D8429" t="str">
        <f>"1001"</f>
        <v>1001</v>
      </c>
      <c r="E8429" t="s">
        <v>17177</v>
      </c>
      <c r="F8429" t="s">
        <v>16839</v>
      </c>
      <c r="G8429" t="s">
        <v>16232</v>
      </c>
      <c r="H8429" t="s">
        <v>47054</v>
      </c>
      <c r="I8429" t="s">
        <v>47111</v>
      </c>
      <c r="J8429" t="s">
        <v>47112</v>
      </c>
      <c r="K8429" t="s">
        <v>47113</v>
      </c>
      <c r="L8429">
        <v>29.28</v>
      </c>
      <c r="M8429">
        <v>59</v>
      </c>
      <c r="N8429">
        <v>0</v>
      </c>
      <c r="O8429">
        <v>59</v>
      </c>
      <c r="P8429">
        <v>0</v>
      </c>
    </row>
    <row r="8430" spans="1:16" x14ac:dyDescent="0.25">
      <c r="A8430" t="s">
        <v>31031</v>
      </c>
      <c r="B8430" t="s">
        <v>17340</v>
      </c>
      <c r="C8430" t="s">
        <v>17341</v>
      </c>
      <c r="D8430" t="s">
        <v>17342</v>
      </c>
      <c r="E8430" t="s">
        <v>17343</v>
      </c>
      <c r="F8430" t="s">
        <v>16623</v>
      </c>
      <c r="G8430" t="s">
        <v>16224</v>
      </c>
      <c r="H8430" t="s">
        <v>47054</v>
      </c>
      <c r="I8430" t="s">
        <v>47120</v>
      </c>
      <c r="J8430" t="s">
        <v>47121</v>
      </c>
      <c r="K8430" t="s">
        <v>47113</v>
      </c>
      <c r="L8430">
        <v>27.35</v>
      </c>
      <c r="M8430">
        <v>55</v>
      </c>
      <c r="N8430">
        <v>0</v>
      </c>
      <c r="O8430">
        <v>55</v>
      </c>
      <c r="P8430">
        <v>0</v>
      </c>
    </row>
    <row r="8431" spans="1:16" x14ac:dyDescent="0.25">
      <c r="A8431" t="s">
        <v>31032</v>
      </c>
      <c r="B8431" t="s">
        <v>17344</v>
      </c>
      <c r="C8431" t="s">
        <v>17345</v>
      </c>
      <c r="D8431" t="s">
        <v>17346</v>
      </c>
      <c r="E8431" t="s">
        <v>17347</v>
      </c>
      <c r="F8431" t="s">
        <v>16623</v>
      </c>
      <c r="G8431" t="s">
        <v>16230</v>
      </c>
      <c r="H8431" t="s">
        <v>47054</v>
      </c>
      <c r="I8431" t="s">
        <v>47120</v>
      </c>
      <c r="J8431" t="s">
        <v>47121</v>
      </c>
      <c r="K8431" t="s">
        <v>47113</v>
      </c>
      <c r="L8431">
        <v>27.44</v>
      </c>
      <c r="M8431">
        <v>55</v>
      </c>
      <c r="N8431">
        <v>0</v>
      </c>
      <c r="O8431">
        <v>55</v>
      </c>
      <c r="P8431">
        <v>0</v>
      </c>
    </row>
    <row r="8432" spans="1:16" x14ac:dyDescent="0.25">
      <c r="A8432" t="s">
        <v>31033</v>
      </c>
      <c r="B8432" t="s">
        <v>17348</v>
      </c>
      <c r="C8432" t="s">
        <v>17349</v>
      </c>
      <c r="D8432" t="str">
        <f>"1001"</f>
        <v>1001</v>
      </c>
      <c r="E8432" t="s">
        <v>17259</v>
      </c>
      <c r="F8432" t="s">
        <v>16623</v>
      </c>
      <c r="G8432" t="s">
        <v>16221</v>
      </c>
      <c r="H8432" t="s">
        <v>47054</v>
      </c>
      <c r="I8432" t="s">
        <v>47118</v>
      </c>
      <c r="J8432" t="s">
        <v>47119</v>
      </c>
      <c r="K8432" t="s">
        <v>47113</v>
      </c>
      <c r="L8432">
        <v>14.42</v>
      </c>
      <c r="M8432">
        <v>29</v>
      </c>
      <c r="N8432">
        <v>0</v>
      </c>
      <c r="O8432">
        <v>29</v>
      </c>
      <c r="P8432">
        <v>0</v>
      </c>
    </row>
    <row r="8433" spans="1:16" x14ac:dyDescent="0.25">
      <c r="A8433" t="s">
        <v>31034</v>
      </c>
      <c r="B8433" t="s">
        <v>17348</v>
      </c>
      <c r="C8433" t="s">
        <v>17349</v>
      </c>
      <c r="D8433" t="str">
        <f>"1075"</f>
        <v>1075</v>
      </c>
      <c r="E8433" t="s">
        <v>17350</v>
      </c>
      <c r="F8433" t="s">
        <v>17351</v>
      </c>
      <c r="G8433" t="s">
        <v>16221</v>
      </c>
      <c r="H8433" t="s">
        <v>47054</v>
      </c>
      <c r="I8433" t="s">
        <v>47118</v>
      </c>
      <c r="J8433" t="s">
        <v>47119</v>
      </c>
      <c r="K8433" t="s">
        <v>47113</v>
      </c>
      <c r="L8433">
        <v>14.42</v>
      </c>
      <c r="M8433">
        <v>29</v>
      </c>
      <c r="N8433">
        <v>0</v>
      </c>
      <c r="O8433">
        <v>29</v>
      </c>
      <c r="P8433">
        <v>0</v>
      </c>
    </row>
    <row r="8434" spans="1:16" x14ac:dyDescent="0.25">
      <c r="A8434" t="s">
        <v>31035</v>
      </c>
      <c r="B8434" t="s">
        <v>17348</v>
      </c>
      <c r="C8434" t="s">
        <v>17349</v>
      </c>
      <c r="D8434" t="str">
        <f>"1106"</f>
        <v>1106</v>
      </c>
      <c r="E8434" t="s">
        <v>460</v>
      </c>
      <c r="F8434" t="s">
        <v>16601</v>
      </c>
      <c r="G8434" t="s">
        <v>16221</v>
      </c>
      <c r="H8434" t="s">
        <v>47054</v>
      </c>
      <c r="I8434" t="s">
        <v>47118</v>
      </c>
      <c r="J8434" t="s">
        <v>47119</v>
      </c>
      <c r="K8434" t="s">
        <v>47113</v>
      </c>
      <c r="L8434">
        <v>14.55</v>
      </c>
      <c r="M8434">
        <v>29</v>
      </c>
      <c r="N8434">
        <v>0</v>
      </c>
      <c r="O8434">
        <v>29</v>
      </c>
      <c r="P8434">
        <v>0</v>
      </c>
    </row>
    <row r="8435" spans="1:16" x14ac:dyDescent="0.25">
      <c r="A8435" t="s">
        <v>31036</v>
      </c>
      <c r="B8435" t="s">
        <v>17348</v>
      </c>
      <c r="C8435" t="s">
        <v>17349</v>
      </c>
      <c r="D8435" t="str">
        <f>"1200"</f>
        <v>1200</v>
      </c>
      <c r="E8435" t="s">
        <v>46</v>
      </c>
      <c r="F8435" t="s">
        <v>16746</v>
      </c>
      <c r="G8435" t="s">
        <v>16221</v>
      </c>
      <c r="H8435" t="s">
        <v>47054</v>
      </c>
      <c r="I8435" t="s">
        <v>47118</v>
      </c>
      <c r="J8435" t="s">
        <v>47119</v>
      </c>
      <c r="K8435" t="s">
        <v>47113</v>
      </c>
      <c r="L8435">
        <v>0.93</v>
      </c>
      <c r="M8435">
        <v>1</v>
      </c>
      <c r="N8435">
        <v>0</v>
      </c>
      <c r="O8435">
        <v>1</v>
      </c>
      <c r="P8435">
        <v>0</v>
      </c>
    </row>
    <row r="8436" spans="1:16" x14ac:dyDescent="0.25">
      <c r="A8436" t="s">
        <v>31037</v>
      </c>
      <c r="B8436" t="s">
        <v>17348</v>
      </c>
      <c r="C8436" t="s">
        <v>17349</v>
      </c>
      <c r="D8436" t="str">
        <f>"1700"</f>
        <v>1700</v>
      </c>
      <c r="E8436" t="s">
        <v>1999</v>
      </c>
      <c r="F8436" t="s">
        <v>16601</v>
      </c>
      <c r="G8436" t="s">
        <v>16221</v>
      </c>
      <c r="H8436" t="s">
        <v>47054</v>
      </c>
      <c r="I8436" t="s">
        <v>47118</v>
      </c>
      <c r="J8436" t="s">
        <v>47119</v>
      </c>
      <c r="K8436" t="s">
        <v>47113</v>
      </c>
      <c r="L8436">
        <v>11.05</v>
      </c>
      <c r="M8436">
        <v>33</v>
      </c>
      <c r="N8436">
        <v>0</v>
      </c>
      <c r="O8436">
        <v>33</v>
      </c>
      <c r="P8436">
        <v>0</v>
      </c>
    </row>
    <row r="8437" spans="1:16" x14ac:dyDescent="0.25">
      <c r="A8437" t="s">
        <v>31038</v>
      </c>
      <c r="B8437" t="s">
        <v>17348</v>
      </c>
      <c r="C8437" t="s">
        <v>17349</v>
      </c>
      <c r="D8437" t="str">
        <f>"1704"</f>
        <v>1704</v>
      </c>
      <c r="E8437" t="s">
        <v>17352</v>
      </c>
      <c r="F8437" t="s">
        <v>16623</v>
      </c>
      <c r="G8437" t="s">
        <v>16221</v>
      </c>
      <c r="H8437" t="s">
        <v>47054</v>
      </c>
      <c r="I8437" t="s">
        <v>47118</v>
      </c>
      <c r="J8437" t="s">
        <v>47119</v>
      </c>
      <c r="K8437" t="s">
        <v>47113</v>
      </c>
      <c r="L8437">
        <v>14.55</v>
      </c>
      <c r="M8437">
        <v>29</v>
      </c>
      <c r="N8437">
        <v>0</v>
      </c>
      <c r="O8437">
        <v>29</v>
      </c>
      <c r="P8437">
        <v>0</v>
      </c>
    </row>
    <row r="8438" spans="1:16" x14ac:dyDescent="0.25">
      <c r="A8438" t="s">
        <v>31039</v>
      </c>
      <c r="B8438" t="s">
        <v>17348</v>
      </c>
      <c r="C8438" t="s">
        <v>17349</v>
      </c>
      <c r="D8438" t="str">
        <f>"4143"</f>
        <v>4143</v>
      </c>
      <c r="E8438" t="s">
        <v>20221</v>
      </c>
      <c r="F8438" t="s">
        <v>19847</v>
      </c>
      <c r="G8438" t="s">
        <v>16221</v>
      </c>
      <c r="H8438" t="s">
        <v>47054</v>
      </c>
      <c r="I8438" t="s">
        <v>47118</v>
      </c>
      <c r="J8438" t="s">
        <v>47119</v>
      </c>
      <c r="K8438" t="s">
        <v>47113</v>
      </c>
      <c r="L8438">
        <v>14.3</v>
      </c>
      <c r="M8438">
        <v>33</v>
      </c>
      <c r="N8438">
        <v>0</v>
      </c>
      <c r="O8438">
        <v>33</v>
      </c>
      <c r="P8438">
        <v>0</v>
      </c>
    </row>
    <row r="8439" spans="1:16" x14ac:dyDescent="0.25">
      <c r="A8439" t="s">
        <v>31040</v>
      </c>
      <c r="B8439" t="s">
        <v>17353</v>
      </c>
      <c r="C8439" t="s">
        <v>17349</v>
      </c>
      <c r="D8439" t="str">
        <f>"1200"</f>
        <v>1200</v>
      </c>
      <c r="E8439" t="s">
        <v>17354</v>
      </c>
      <c r="F8439" t="s">
        <v>16623</v>
      </c>
      <c r="G8439" t="s">
        <v>16221</v>
      </c>
      <c r="H8439" t="s">
        <v>47054</v>
      </c>
      <c r="I8439" t="s">
        <v>47118</v>
      </c>
      <c r="J8439" t="s">
        <v>47119</v>
      </c>
      <c r="K8439" t="s">
        <v>47113</v>
      </c>
      <c r="L8439">
        <v>14.42</v>
      </c>
      <c r="M8439">
        <v>29</v>
      </c>
      <c r="N8439">
        <v>0</v>
      </c>
      <c r="O8439">
        <v>29</v>
      </c>
      <c r="P8439">
        <v>0</v>
      </c>
    </row>
    <row r="8440" spans="1:16" x14ac:dyDescent="0.25">
      <c r="A8440" t="s">
        <v>31041</v>
      </c>
      <c r="B8440" t="s">
        <v>17353</v>
      </c>
      <c r="C8440" t="s">
        <v>17349</v>
      </c>
      <c r="D8440" t="str">
        <f>"1485"</f>
        <v>1485</v>
      </c>
      <c r="E8440" t="s">
        <v>20222</v>
      </c>
      <c r="F8440" t="s">
        <v>16933</v>
      </c>
      <c r="G8440" t="s">
        <v>16221</v>
      </c>
      <c r="H8440" t="s">
        <v>47054</v>
      </c>
      <c r="I8440" t="s">
        <v>47118</v>
      </c>
      <c r="J8440" t="s">
        <v>47119</v>
      </c>
      <c r="K8440" t="s">
        <v>47113</v>
      </c>
      <c r="L8440">
        <v>13.85</v>
      </c>
      <c r="M8440">
        <v>29</v>
      </c>
      <c r="N8440">
        <v>0</v>
      </c>
      <c r="O8440">
        <v>29</v>
      </c>
      <c r="P8440">
        <v>0</v>
      </c>
    </row>
    <row r="8441" spans="1:16" x14ac:dyDescent="0.25">
      <c r="A8441" t="s">
        <v>31042</v>
      </c>
      <c r="B8441" t="s">
        <v>17353</v>
      </c>
      <c r="C8441" t="s">
        <v>17349</v>
      </c>
      <c r="D8441" t="str">
        <f>"1501"</f>
        <v>1501</v>
      </c>
      <c r="E8441" t="s">
        <v>17355</v>
      </c>
      <c r="F8441" t="s">
        <v>16601</v>
      </c>
      <c r="G8441" t="s">
        <v>16221</v>
      </c>
      <c r="H8441" t="s">
        <v>47054</v>
      </c>
      <c r="I8441" t="s">
        <v>47118</v>
      </c>
      <c r="J8441" t="s">
        <v>47119</v>
      </c>
      <c r="K8441" t="s">
        <v>47113</v>
      </c>
      <c r="L8441">
        <v>14.42</v>
      </c>
      <c r="M8441">
        <v>29</v>
      </c>
      <c r="N8441">
        <v>0</v>
      </c>
      <c r="O8441">
        <v>29</v>
      </c>
      <c r="P8441">
        <v>0</v>
      </c>
    </row>
    <row r="8442" spans="1:16" x14ac:dyDescent="0.25">
      <c r="A8442" t="s">
        <v>31043</v>
      </c>
      <c r="B8442" t="s">
        <v>17353</v>
      </c>
      <c r="C8442" t="s">
        <v>17349</v>
      </c>
      <c r="D8442" t="str">
        <f>"3000"</f>
        <v>3000</v>
      </c>
      <c r="E8442" t="s">
        <v>20223</v>
      </c>
      <c r="F8442" t="s">
        <v>19908</v>
      </c>
      <c r="G8442" t="s">
        <v>16221</v>
      </c>
      <c r="H8442" t="s">
        <v>47054</v>
      </c>
      <c r="I8442" t="s">
        <v>47118</v>
      </c>
      <c r="J8442" t="s">
        <v>47119</v>
      </c>
      <c r="K8442" t="s">
        <v>47113</v>
      </c>
      <c r="L8442">
        <v>13.85</v>
      </c>
      <c r="M8442">
        <v>29</v>
      </c>
      <c r="N8442">
        <v>0</v>
      </c>
      <c r="O8442">
        <v>29</v>
      </c>
      <c r="P8442">
        <v>0</v>
      </c>
    </row>
    <row r="8443" spans="1:16" x14ac:dyDescent="0.25">
      <c r="A8443" t="s">
        <v>31044</v>
      </c>
      <c r="B8443" t="s">
        <v>20224</v>
      </c>
      <c r="C8443" t="s">
        <v>20225</v>
      </c>
      <c r="D8443" t="str">
        <f>"1200"</f>
        <v>1200</v>
      </c>
      <c r="E8443" t="s">
        <v>20132</v>
      </c>
      <c r="F8443" t="s">
        <v>16933</v>
      </c>
      <c r="G8443" t="s">
        <v>16448</v>
      </c>
      <c r="H8443" t="s">
        <v>47054</v>
      </c>
      <c r="I8443" t="s">
        <v>47120</v>
      </c>
      <c r="J8443" t="s">
        <v>47121</v>
      </c>
      <c r="K8443" t="s">
        <v>47113</v>
      </c>
      <c r="L8443">
        <v>82.92</v>
      </c>
      <c r="M8443">
        <v>174</v>
      </c>
      <c r="N8443">
        <v>0</v>
      </c>
      <c r="O8443">
        <v>174</v>
      </c>
      <c r="P8443">
        <v>0</v>
      </c>
    </row>
    <row r="8444" spans="1:16" x14ac:dyDescent="0.25">
      <c r="A8444" t="s">
        <v>31045</v>
      </c>
      <c r="B8444" t="s">
        <v>20226</v>
      </c>
      <c r="C8444" t="s">
        <v>20227</v>
      </c>
      <c r="D8444" t="str">
        <f>"1451"</f>
        <v>1451</v>
      </c>
      <c r="E8444" t="s">
        <v>20132</v>
      </c>
      <c r="F8444" t="s">
        <v>16933</v>
      </c>
      <c r="G8444" t="s">
        <v>16235</v>
      </c>
      <c r="H8444" t="s">
        <v>47054</v>
      </c>
      <c r="I8444" t="s">
        <v>47118</v>
      </c>
      <c r="J8444" t="s">
        <v>47119</v>
      </c>
      <c r="K8444" t="s">
        <v>47113</v>
      </c>
      <c r="L8444">
        <v>34.64</v>
      </c>
      <c r="M8444">
        <v>66</v>
      </c>
      <c r="N8444">
        <v>0</v>
      </c>
      <c r="O8444">
        <v>66</v>
      </c>
      <c r="P8444">
        <v>0</v>
      </c>
    </row>
    <row r="8445" spans="1:16" x14ac:dyDescent="0.25">
      <c r="A8445" t="s">
        <v>31046</v>
      </c>
      <c r="B8445" t="s">
        <v>20228</v>
      </c>
      <c r="C8445" t="s">
        <v>20229</v>
      </c>
      <c r="D8445" t="str">
        <f>"1451"</f>
        <v>1451</v>
      </c>
      <c r="E8445" t="s">
        <v>20132</v>
      </c>
      <c r="F8445" t="s">
        <v>16933</v>
      </c>
      <c r="G8445" t="s">
        <v>16222</v>
      </c>
      <c r="H8445" t="s">
        <v>47054</v>
      </c>
      <c r="I8445" t="s">
        <v>47118</v>
      </c>
      <c r="J8445" t="s">
        <v>47119</v>
      </c>
      <c r="K8445" t="s">
        <v>47113</v>
      </c>
      <c r="L8445">
        <v>28.31</v>
      </c>
      <c r="M8445">
        <v>55</v>
      </c>
      <c r="N8445">
        <v>0</v>
      </c>
      <c r="O8445">
        <v>55</v>
      </c>
      <c r="P8445">
        <v>0</v>
      </c>
    </row>
    <row r="8446" spans="1:16" x14ac:dyDescent="0.25">
      <c r="A8446" t="s">
        <v>31047</v>
      </c>
      <c r="B8446" t="s">
        <v>17356</v>
      </c>
      <c r="C8446" t="s">
        <v>17357</v>
      </c>
      <c r="D8446" t="s">
        <v>16732</v>
      </c>
      <c r="E8446" t="s">
        <v>16733</v>
      </c>
      <c r="F8446" t="s">
        <v>16601</v>
      </c>
      <c r="G8446" t="s">
        <v>16231</v>
      </c>
      <c r="H8446" t="s">
        <v>47054</v>
      </c>
      <c r="I8446" t="s">
        <v>47116</v>
      </c>
      <c r="J8446" t="s">
        <v>47117</v>
      </c>
      <c r="K8446" t="s">
        <v>47113</v>
      </c>
      <c r="L8446">
        <v>50.65</v>
      </c>
      <c r="M8446">
        <v>137</v>
      </c>
      <c r="N8446">
        <v>0</v>
      </c>
      <c r="O8446">
        <v>137</v>
      </c>
      <c r="P8446">
        <v>0</v>
      </c>
    </row>
    <row r="8447" spans="1:16" x14ac:dyDescent="0.25">
      <c r="A8447" t="s">
        <v>31048</v>
      </c>
      <c r="B8447" t="s">
        <v>20230</v>
      </c>
      <c r="C8447" t="s">
        <v>20231</v>
      </c>
      <c r="D8447" t="str">
        <f>"1501"</f>
        <v>1501</v>
      </c>
      <c r="E8447" t="s">
        <v>46</v>
      </c>
      <c r="F8447" t="s">
        <v>19847</v>
      </c>
      <c r="G8447" t="s">
        <v>16232</v>
      </c>
      <c r="H8447" t="s">
        <v>47054</v>
      </c>
      <c r="I8447" t="s">
        <v>47120</v>
      </c>
      <c r="J8447" t="s">
        <v>47121</v>
      </c>
      <c r="K8447" t="s">
        <v>47113</v>
      </c>
      <c r="L8447">
        <v>26.5</v>
      </c>
      <c r="M8447">
        <v>57</v>
      </c>
      <c r="N8447">
        <v>0</v>
      </c>
      <c r="O8447">
        <v>57</v>
      </c>
      <c r="P8447">
        <v>0</v>
      </c>
    </row>
    <row r="8448" spans="1:16" x14ac:dyDescent="0.25">
      <c r="A8448" t="s">
        <v>31049</v>
      </c>
      <c r="B8448" t="s">
        <v>6514</v>
      </c>
      <c r="C8448" t="s">
        <v>6515</v>
      </c>
      <c r="D8448" t="str">
        <f>"1001"</f>
        <v>1001</v>
      </c>
      <c r="E8448" t="s">
        <v>42</v>
      </c>
      <c r="F8448" t="s">
        <v>1401</v>
      </c>
      <c r="G8448" t="s">
        <v>16448</v>
      </c>
      <c r="H8448" t="s">
        <v>47054</v>
      </c>
      <c r="I8448" t="s">
        <v>47120</v>
      </c>
      <c r="J8448" t="s">
        <v>47121</v>
      </c>
      <c r="K8448" t="s">
        <v>47113</v>
      </c>
      <c r="L8448">
        <v>120.73</v>
      </c>
      <c r="M8448">
        <v>226</v>
      </c>
      <c r="N8448">
        <v>0</v>
      </c>
      <c r="O8448">
        <v>226</v>
      </c>
      <c r="P8448">
        <v>0</v>
      </c>
    </row>
    <row r="8449" spans="1:16" x14ac:dyDescent="0.25">
      <c r="A8449" t="s">
        <v>31050</v>
      </c>
      <c r="B8449" t="s">
        <v>6514</v>
      </c>
      <c r="C8449" t="s">
        <v>6515</v>
      </c>
      <c r="D8449" t="str">
        <f>"4101"</f>
        <v>4101</v>
      </c>
      <c r="E8449" t="s">
        <v>43</v>
      </c>
      <c r="F8449" t="s">
        <v>8</v>
      </c>
      <c r="G8449" t="s">
        <v>16448</v>
      </c>
      <c r="H8449" t="s">
        <v>47054</v>
      </c>
      <c r="I8449" t="s">
        <v>47120</v>
      </c>
      <c r="J8449" t="s">
        <v>47121</v>
      </c>
      <c r="K8449" t="s">
        <v>47113</v>
      </c>
      <c r="L8449">
        <v>129.57</v>
      </c>
      <c r="M8449">
        <v>318</v>
      </c>
      <c r="N8449">
        <v>0</v>
      </c>
      <c r="O8449">
        <v>318</v>
      </c>
      <c r="P8449">
        <v>0</v>
      </c>
    </row>
    <row r="8450" spans="1:16" x14ac:dyDescent="0.25">
      <c r="A8450" t="s">
        <v>31051</v>
      </c>
      <c r="B8450" t="s">
        <v>6516</v>
      </c>
      <c r="C8450" t="s">
        <v>6517</v>
      </c>
      <c r="D8450" t="str">
        <f>"1001"</f>
        <v>1001</v>
      </c>
      <c r="E8450" t="s">
        <v>42</v>
      </c>
      <c r="F8450" t="s">
        <v>5</v>
      </c>
      <c r="G8450" t="s">
        <v>16224</v>
      </c>
      <c r="H8450" t="s">
        <v>47054</v>
      </c>
      <c r="I8450" t="s">
        <v>47120</v>
      </c>
      <c r="J8450" t="s">
        <v>47121</v>
      </c>
      <c r="K8450" t="s">
        <v>47113</v>
      </c>
      <c r="L8450">
        <v>155.34</v>
      </c>
      <c r="M8450">
        <v>346</v>
      </c>
      <c r="N8450">
        <v>0</v>
      </c>
      <c r="O8450">
        <v>346</v>
      </c>
      <c r="P8450">
        <v>0</v>
      </c>
    </row>
    <row r="8451" spans="1:16" x14ac:dyDescent="0.25">
      <c r="A8451" t="s">
        <v>31052</v>
      </c>
      <c r="B8451" t="s">
        <v>6516</v>
      </c>
      <c r="C8451" t="s">
        <v>6517</v>
      </c>
      <c r="D8451" t="str">
        <f>"1100"</f>
        <v>1100</v>
      </c>
      <c r="E8451" t="s">
        <v>54</v>
      </c>
      <c r="F8451" t="s">
        <v>5</v>
      </c>
      <c r="G8451" t="s">
        <v>16224</v>
      </c>
      <c r="H8451" t="s">
        <v>47054</v>
      </c>
      <c r="I8451" t="s">
        <v>47120</v>
      </c>
      <c r="J8451" t="s">
        <v>47121</v>
      </c>
      <c r="K8451" t="s">
        <v>47113</v>
      </c>
      <c r="L8451">
        <v>155.34</v>
      </c>
      <c r="M8451">
        <v>346</v>
      </c>
      <c r="N8451">
        <v>0</v>
      </c>
      <c r="O8451">
        <v>346</v>
      </c>
      <c r="P8451">
        <v>0</v>
      </c>
    </row>
    <row r="8452" spans="1:16" x14ac:dyDescent="0.25">
      <c r="A8452" t="s">
        <v>31053</v>
      </c>
      <c r="B8452" t="s">
        <v>6516</v>
      </c>
      <c r="C8452" t="s">
        <v>6517</v>
      </c>
      <c r="D8452" t="str">
        <f>"4067"</f>
        <v>4067</v>
      </c>
      <c r="E8452" t="s">
        <v>1865</v>
      </c>
      <c r="F8452" t="s">
        <v>5</v>
      </c>
      <c r="G8452" t="s">
        <v>16224</v>
      </c>
      <c r="H8452" t="s">
        <v>47054</v>
      </c>
      <c r="I8452" t="s">
        <v>47120</v>
      </c>
      <c r="J8452" t="s">
        <v>47121</v>
      </c>
      <c r="K8452" t="s">
        <v>47113</v>
      </c>
      <c r="L8452">
        <v>155.34</v>
      </c>
      <c r="M8452">
        <v>346</v>
      </c>
      <c r="N8452">
        <v>0</v>
      </c>
      <c r="O8452">
        <v>346</v>
      </c>
      <c r="P8452">
        <v>0</v>
      </c>
    </row>
    <row r="8453" spans="1:16" x14ac:dyDescent="0.25">
      <c r="A8453" t="s">
        <v>31054</v>
      </c>
      <c r="B8453" t="s">
        <v>6516</v>
      </c>
      <c r="C8453" t="s">
        <v>6517</v>
      </c>
      <c r="D8453" t="str">
        <f>"6005"</f>
        <v>6005</v>
      </c>
      <c r="E8453" t="s">
        <v>1749</v>
      </c>
      <c r="F8453" t="s">
        <v>5</v>
      </c>
      <c r="G8453" t="s">
        <v>16224</v>
      </c>
      <c r="H8453" t="s">
        <v>47054</v>
      </c>
      <c r="I8453" t="s">
        <v>47120</v>
      </c>
      <c r="J8453" t="s">
        <v>47121</v>
      </c>
      <c r="K8453" t="s">
        <v>47113</v>
      </c>
      <c r="L8453">
        <v>155.34</v>
      </c>
      <c r="M8453">
        <v>346</v>
      </c>
      <c r="N8453">
        <v>0</v>
      </c>
      <c r="O8453">
        <v>346</v>
      </c>
      <c r="P8453">
        <v>0</v>
      </c>
    </row>
    <row r="8454" spans="1:16" x14ac:dyDescent="0.25">
      <c r="A8454" t="s">
        <v>31055</v>
      </c>
      <c r="B8454" t="s">
        <v>6518</v>
      </c>
      <c r="C8454" t="s">
        <v>6519</v>
      </c>
      <c r="D8454" t="str">
        <f>"1001"</f>
        <v>1001</v>
      </c>
      <c r="E8454" t="s">
        <v>42</v>
      </c>
      <c r="F8454" t="s">
        <v>7</v>
      </c>
      <c r="G8454" t="s">
        <v>16224</v>
      </c>
      <c r="H8454" t="s">
        <v>47054</v>
      </c>
      <c r="I8454" t="s">
        <v>47120</v>
      </c>
      <c r="J8454" t="s">
        <v>47121</v>
      </c>
      <c r="K8454" t="s">
        <v>47113</v>
      </c>
      <c r="L8454">
        <v>71.25</v>
      </c>
      <c r="M8454">
        <v>405</v>
      </c>
      <c r="N8454">
        <v>0</v>
      </c>
      <c r="O8454">
        <v>405</v>
      </c>
      <c r="P8454">
        <v>0</v>
      </c>
    </row>
    <row r="8455" spans="1:16" x14ac:dyDescent="0.25">
      <c r="A8455" t="s">
        <v>31056</v>
      </c>
      <c r="B8455" t="s">
        <v>6518</v>
      </c>
      <c r="C8455" t="s">
        <v>6519</v>
      </c>
      <c r="D8455" t="str">
        <f>"4101"</f>
        <v>4101</v>
      </c>
      <c r="E8455" t="s">
        <v>43</v>
      </c>
      <c r="F8455" t="s">
        <v>7</v>
      </c>
      <c r="G8455" t="s">
        <v>16224</v>
      </c>
      <c r="H8455" t="s">
        <v>47054</v>
      </c>
      <c r="I8455" t="s">
        <v>47120</v>
      </c>
      <c r="J8455" t="s">
        <v>47121</v>
      </c>
      <c r="K8455" t="s">
        <v>47113</v>
      </c>
      <c r="L8455">
        <v>71.25</v>
      </c>
      <c r="M8455">
        <v>405</v>
      </c>
      <c r="N8455">
        <v>0</v>
      </c>
      <c r="O8455">
        <v>405</v>
      </c>
      <c r="P8455">
        <v>0</v>
      </c>
    </row>
    <row r="8456" spans="1:16" x14ac:dyDescent="0.25">
      <c r="A8456" t="s">
        <v>31057</v>
      </c>
      <c r="B8456" t="s">
        <v>20232</v>
      </c>
      <c r="C8456" t="s">
        <v>20233</v>
      </c>
      <c r="D8456" t="str">
        <f>"1501"</f>
        <v>1501</v>
      </c>
      <c r="E8456" t="s">
        <v>46</v>
      </c>
      <c r="F8456" t="s">
        <v>19847</v>
      </c>
      <c r="G8456" t="s">
        <v>16232</v>
      </c>
      <c r="H8456" t="s">
        <v>47054</v>
      </c>
      <c r="I8456" t="s">
        <v>47120</v>
      </c>
      <c r="J8456" t="s">
        <v>47121</v>
      </c>
      <c r="K8456" t="s">
        <v>47113</v>
      </c>
      <c r="L8456">
        <v>20.22</v>
      </c>
      <c r="M8456">
        <v>48</v>
      </c>
      <c r="N8456">
        <v>0</v>
      </c>
      <c r="O8456">
        <v>48</v>
      </c>
      <c r="P8456">
        <v>0</v>
      </c>
    </row>
    <row r="8457" spans="1:16" x14ac:dyDescent="0.25">
      <c r="A8457" t="s">
        <v>31058</v>
      </c>
      <c r="B8457" t="s">
        <v>20232</v>
      </c>
      <c r="C8457" t="s">
        <v>20233</v>
      </c>
      <c r="D8457" t="str">
        <f>"4100"</f>
        <v>4100</v>
      </c>
      <c r="E8457" t="s">
        <v>2383</v>
      </c>
      <c r="F8457" t="s">
        <v>19847</v>
      </c>
      <c r="G8457" t="s">
        <v>16232</v>
      </c>
      <c r="H8457" t="s">
        <v>47054</v>
      </c>
      <c r="I8457" t="s">
        <v>47120</v>
      </c>
      <c r="J8457" t="s">
        <v>47121</v>
      </c>
      <c r="K8457" t="s">
        <v>47113</v>
      </c>
      <c r="L8457">
        <v>16.64</v>
      </c>
      <c r="M8457">
        <v>48</v>
      </c>
      <c r="N8457">
        <v>0</v>
      </c>
      <c r="O8457">
        <v>48</v>
      </c>
      <c r="P8457">
        <v>0</v>
      </c>
    </row>
    <row r="8458" spans="1:16" x14ac:dyDescent="0.25">
      <c r="A8458" t="s">
        <v>31059</v>
      </c>
      <c r="B8458" t="s">
        <v>20234</v>
      </c>
      <c r="C8458" t="s">
        <v>20235</v>
      </c>
      <c r="D8458" t="str">
        <f>"1001"</f>
        <v>1001</v>
      </c>
      <c r="E8458" t="s">
        <v>20236</v>
      </c>
      <c r="F8458" t="s">
        <v>19552</v>
      </c>
      <c r="G8458" t="s">
        <v>16221</v>
      </c>
      <c r="H8458" t="s">
        <v>47054</v>
      </c>
      <c r="I8458" t="s">
        <v>47569</v>
      </c>
      <c r="J8458" t="s">
        <v>47570</v>
      </c>
      <c r="K8458" t="s">
        <v>47113</v>
      </c>
      <c r="L8458">
        <v>19.03</v>
      </c>
      <c r="M8458">
        <v>44</v>
      </c>
      <c r="N8458">
        <v>0</v>
      </c>
      <c r="O8458">
        <v>44</v>
      </c>
      <c r="P8458">
        <v>0</v>
      </c>
    </row>
    <row r="8459" spans="1:16" x14ac:dyDescent="0.25">
      <c r="A8459" t="s">
        <v>31060</v>
      </c>
      <c r="B8459" t="s">
        <v>20237</v>
      </c>
      <c r="C8459" t="s">
        <v>20238</v>
      </c>
      <c r="D8459" t="str">
        <f>"1001"</f>
        <v>1001</v>
      </c>
      <c r="E8459" t="s">
        <v>42</v>
      </c>
      <c r="F8459" t="s">
        <v>19847</v>
      </c>
      <c r="G8459" t="s">
        <v>16235</v>
      </c>
      <c r="H8459" t="s">
        <v>47054</v>
      </c>
      <c r="I8459" t="s">
        <v>47118</v>
      </c>
      <c r="J8459" t="s">
        <v>47119</v>
      </c>
      <c r="K8459" t="s">
        <v>47113</v>
      </c>
      <c r="L8459">
        <v>28.7</v>
      </c>
      <c r="M8459">
        <v>55</v>
      </c>
      <c r="N8459">
        <v>0</v>
      </c>
      <c r="O8459">
        <v>55</v>
      </c>
      <c r="P8459">
        <v>0</v>
      </c>
    </row>
    <row r="8460" spans="1:16" x14ac:dyDescent="0.25">
      <c r="A8460" t="s">
        <v>31061</v>
      </c>
      <c r="B8460" t="s">
        <v>20239</v>
      </c>
      <c r="C8460" t="s">
        <v>20240</v>
      </c>
      <c r="D8460" t="str">
        <f>"1451"</f>
        <v>1451</v>
      </c>
      <c r="E8460" t="s">
        <v>20132</v>
      </c>
      <c r="F8460" t="s">
        <v>16933</v>
      </c>
      <c r="G8460" t="s">
        <v>16235</v>
      </c>
      <c r="H8460" t="s">
        <v>47054</v>
      </c>
      <c r="I8460" t="s">
        <v>47118</v>
      </c>
      <c r="J8460" t="s">
        <v>47119</v>
      </c>
      <c r="K8460" t="s">
        <v>47113</v>
      </c>
      <c r="L8460">
        <v>17.649999999999999</v>
      </c>
      <c r="M8460">
        <v>55</v>
      </c>
      <c r="N8460">
        <v>0</v>
      </c>
      <c r="O8460">
        <v>55</v>
      </c>
      <c r="P8460">
        <v>0</v>
      </c>
    </row>
    <row r="8461" spans="1:16" x14ac:dyDescent="0.25">
      <c r="A8461" t="s">
        <v>31062</v>
      </c>
      <c r="B8461" t="s">
        <v>20241</v>
      </c>
      <c r="C8461" t="s">
        <v>20242</v>
      </c>
      <c r="D8461" t="str">
        <f>"1001"</f>
        <v>1001</v>
      </c>
      <c r="E8461" t="s">
        <v>42</v>
      </c>
      <c r="F8461" t="s">
        <v>19847</v>
      </c>
      <c r="G8461" t="s">
        <v>16222</v>
      </c>
      <c r="H8461" t="s">
        <v>47054</v>
      </c>
      <c r="I8461" t="s">
        <v>47569</v>
      </c>
      <c r="J8461" t="s">
        <v>47570</v>
      </c>
      <c r="K8461" t="s">
        <v>47113</v>
      </c>
      <c r="L8461">
        <v>25.2</v>
      </c>
      <c r="M8461">
        <v>48</v>
      </c>
      <c r="N8461">
        <v>0</v>
      </c>
      <c r="O8461">
        <v>48</v>
      </c>
      <c r="P8461">
        <v>0</v>
      </c>
    </row>
    <row r="8462" spans="1:16" x14ac:dyDescent="0.25">
      <c r="A8462" t="s">
        <v>31063</v>
      </c>
      <c r="B8462" t="s">
        <v>20243</v>
      </c>
      <c r="C8462" t="s">
        <v>20244</v>
      </c>
      <c r="D8462" t="str">
        <f>"1001"</f>
        <v>1001</v>
      </c>
      <c r="E8462" t="s">
        <v>42</v>
      </c>
      <c r="F8462" t="s">
        <v>19847</v>
      </c>
      <c r="G8462" t="s">
        <v>16235</v>
      </c>
      <c r="H8462" t="s">
        <v>47054</v>
      </c>
      <c r="I8462" t="s">
        <v>47569</v>
      </c>
      <c r="J8462" t="s">
        <v>47570</v>
      </c>
      <c r="K8462" t="s">
        <v>47113</v>
      </c>
      <c r="L8462">
        <v>21.32</v>
      </c>
      <c r="M8462">
        <v>57</v>
      </c>
      <c r="N8462">
        <v>0</v>
      </c>
      <c r="O8462">
        <v>57</v>
      </c>
      <c r="P8462">
        <v>0</v>
      </c>
    </row>
    <row r="8463" spans="1:16" x14ac:dyDescent="0.25">
      <c r="A8463" t="s">
        <v>31064</v>
      </c>
      <c r="B8463" t="s">
        <v>20245</v>
      </c>
      <c r="C8463" t="s">
        <v>20246</v>
      </c>
      <c r="D8463" t="str">
        <f>"1001"</f>
        <v>1001</v>
      </c>
      <c r="E8463" t="s">
        <v>17350</v>
      </c>
      <c r="F8463" t="s">
        <v>19847</v>
      </c>
      <c r="G8463" t="s">
        <v>16221</v>
      </c>
      <c r="H8463" t="s">
        <v>47054</v>
      </c>
      <c r="I8463" t="s">
        <v>47118</v>
      </c>
      <c r="J8463" t="s">
        <v>47119</v>
      </c>
      <c r="K8463" t="s">
        <v>47113</v>
      </c>
      <c r="L8463">
        <v>14.19</v>
      </c>
      <c r="M8463">
        <v>29</v>
      </c>
      <c r="N8463">
        <v>0</v>
      </c>
      <c r="O8463">
        <v>29</v>
      </c>
      <c r="P8463">
        <v>0</v>
      </c>
    </row>
    <row r="8464" spans="1:16" x14ac:dyDescent="0.25">
      <c r="A8464" t="s">
        <v>31065</v>
      </c>
      <c r="B8464" t="s">
        <v>20245</v>
      </c>
      <c r="C8464" t="s">
        <v>20246</v>
      </c>
      <c r="D8464" t="str">
        <f>"1700"</f>
        <v>1700</v>
      </c>
      <c r="E8464" t="s">
        <v>1999</v>
      </c>
      <c r="F8464" t="s">
        <v>19847</v>
      </c>
      <c r="G8464" t="s">
        <v>16221</v>
      </c>
      <c r="H8464" t="s">
        <v>47054</v>
      </c>
      <c r="I8464" t="s">
        <v>47118</v>
      </c>
      <c r="J8464" t="s">
        <v>47119</v>
      </c>
      <c r="K8464" t="s">
        <v>47113</v>
      </c>
      <c r="L8464">
        <v>14.19</v>
      </c>
      <c r="M8464">
        <v>29</v>
      </c>
      <c r="N8464">
        <v>0</v>
      </c>
      <c r="O8464">
        <v>29</v>
      </c>
      <c r="P8464">
        <v>0</v>
      </c>
    </row>
    <row r="8465" spans="1:16" x14ac:dyDescent="0.25">
      <c r="A8465" t="s">
        <v>31066</v>
      </c>
      <c r="B8465" t="s">
        <v>20247</v>
      </c>
      <c r="C8465" t="s">
        <v>20248</v>
      </c>
      <c r="D8465" t="str">
        <f>"1001"</f>
        <v>1001</v>
      </c>
      <c r="E8465" t="s">
        <v>42</v>
      </c>
      <c r="F8465" t="s">
        <v>19847</v>
      </c>
      <c r="G8465" t="s">
        <v>47534</v>
      </c>
      <c r="H8465" t="s">
        <v>47054</v>
      </c>
      <c r="I8465" t="s">
        <v>47111</v>
      </c>
      <c r="J8465" t="s">
        <v>47112</v>
      </c>
      <c r="K8465" t="s">
        <v>47113</v>
      </c>
      <c r="L8465">
        <v>13.12</v>
      </c>
      <c r="M8465">
        <v>29</v>
      </c>
      <c r="N8465">
        <v>0</v>
      </c>
      <c r="O8465">
        <v>29</v>
      </c>
      <c r="P8465">
        <v>0</v>
      </c>
    </row>
    <row r="8466" spans="1:16" x14ac:dyDescent="0.25">
      <c r="A8466" t="s">
        <v>31067</v>
      </c>
      <c r="B8466" t="s">
        <v>20249</v>
      </c>
      <c r="C8466" t="s">
        <v>20250</v>
      </c>
      <c r="D8466" t="str">
        <f>"4000"</f>
        <v>4000</v>
      </c>
      <c r="E8466" t="s">
        <v>20133</v>
      </c>
      <c r="F8466" t="s">
        <v>16933</v>
      </c>
      <c r="G8466" t="s">
        <v>16230</v>
      </c>
      <c r="H8466" t="s">
        <v>47054</v>
      </c>
      <c r="I8466" t="s">
        <v>47120</v>
      </c>
      <c r="J8466" t="s">
        <v>47121</v>
      </c>
      <c r="K8466" t="s">
        <v>47113</v>
      </c>
      <c r="L8466">
        <v>31.67</v>
      </c>
      <c r="M8466">
        <v>66</v>
      </c>
      <c r="N8466">
        <v>0</v>
      </c>
      <c r="O8466">
        <v>66</v>
      </c>
      <c r="P8466">
        <v>0</v>
      </c>
    </row>
    <row r="8467" spans="1:16" x14ac:dyDescent="0.25">
      <c r="A8467" t="s">
        <v>31068</v>
      </c>
      <c r="B8467" t="s">
        <v>20251</v>
      </c>
      <c r="C8467" t="s">
        <v>20252</v>
      </c>
      <c r="D8467" t="str">
        <f>"1001"</f>
        <v>1001</v>
      </c>
      <c r="E8467" t="s">
        <v>42</v>
      </c>
      <c r="F8467" t="s">
        <v>16933</v>
      </c>
      <c r="G8467" t="s">
        <v>16232</v>
      </c>
      <c r="H8467" t="s">
        <v>47054</v>
      </c>
      <c r="I8467" t="s">
        <v>47118</v>
      </c>
      <c r="J8467" t="s">
        <v>47119</v>
      </c>
      <c r="K8467" t="s">
        <v>47113</v>
      </c>
      <c r="L8467">
        <v>18.36</v>
      </c>
      <c r="M8467">
        <v>37</v>
      </c>
      <c r="N8467">
        <v>0</v>
      </c>
      <c r="O8467">
        <v>37</v>
      </c>
      <c r="P8467">
        <v>0</v>
      </c>
    </row>
    <row r="8468" spans="1:16" x14ac:dyDescent="0.25">
      <c r="A8468" t="s">
        <v>31069</v>
      </c>
      <c r="B8468" t="s">
        <v>20251</v>
      </c>
      <c r="C8468" t="s">
        <v>20252</v>
      </c>
      <c r="D8468" t="str">
        <f>"1700"</f>
        <v>1700</v>
      </c>
      <c r="E8468" t="s">
        <v>60</v>
      </c>
      <c r="F8468" t="s">
        <v>16933</v>
      </c>
      <c r="G8468" t="s">
        <v>16232</v>
      </c>
      <c r="H8468" t="s">
        <v>47054</v>
      </c>
      <c r="I8468" t="s">
        <v>47118</v>
      </c>
      <c r="J8468" t="s">
        <v>47119</v>
      </c>
      <c r="K8468" t="s">
        <v>47113</v>
      </c>
      <c r="L8468">
        <v>18.36</v>
      </c>
      <c r="M8468">
        <v>37</v>
      </c>
      <c r="N8468">
        <v>0</v>
      </c>
      <c r="O8468">
        <v>37</v>
      </c>
      <c r="P8468">
        <v>0</v>
      </c>
    </row>
    <row r="8469" spans="1:16" x14ac:dyDescent="0.25">
      <c r="A8469" t="s">
        <v>31070</v>
      </c>
      <c r="B8469" t="s">
        <v>20251</v>
      </c>
      <c r="C8469" t="s">
        <v>20252</v>
      </c>
      <c r="D8469" t="str">
        <f>"4100"</f>
        <v>4100</v>
      </c>
      <c r="E8469" t="s">
        <v>2383</v>
      </c>
      <c r="F8469" t="s">
        <v>16933</v>
      </c>
      <c r="G8469" t="s">
        <v>16232</v>
      </c>
      <c r="H8469" t="s">
        <v>47054</v>
      </c>
      <c r="I8469" t="s">
        <v>47118</v>
      </c>
      <c r="J8469" t="s">
        <v>47119</v>
      </c>
      <c r="K8469" t="s">
        <v>47113</v>
      </c>
      <c r="L8469">
        <v>18.36</v>
      </c>
      <c r="M8469">
        <v>37</v>
      </c>
      <c r="N8469">
        <v>0</v>
      </c>
      <c r="O8469">
        <v>37</v>
      </c>
      <c r="P8469">
        <v>0</v>
      </c>
    </row>
    <row r="8470" spans="1:16" x14ac:dyDescent="0.25">
      <c r="A8470" t="s">
        <v>31071</v>
      </c>
      <c r="B8470" t="s">
        <v>20251</v>
      </c>
      <c r="C8470" t="s">
        <v>20252</v>
      </c>
      <c r="D8470" t="str">
        <f>"6000"</f>
        <v>6000</v>
      </c>
      <c r="E8470" t="s">
        <v>8968</v>
      </c>
      <c r="F8470" t="s">
        <v>16933</v>
      </c>
      <c r="G8470" t="s">
        <v>16232</v>
      </c>
      <c r="H8470" t="s">
        <v>47054</v>
      </c>
      <c r="I8470" t="s">
        <v>47118</v>
      </c>
      <c r="J8470" t="s">
        <v>47119</v>
      </c>
      <c r="K8470" t="s">
        <v>47113</v>
      </c>
      <c r="L8470">
        <v>18.36</v>
      </c>
      <c r="M8470">
        <v>37</v>
      </c>
      <c r="N8470">
        <v>0</v>
      </c>
      <c r="O8470">
        <v>37</v>
      </c>
      <c r="P8470">
        <v>0</v>
      </c>
    </row>
    <row r="8471" spans="1:16" x14ac:dyDescent="0.25">
      <c r="A8471" t="s">
        <v>31072</v>
      </c>
      <c r="B8471" t="s">
        <v>20253</v>
      </c>
      <c r="C8471" t="s">
        <v>20252</v>
      </c>
      <c r="D8471" t="str">
        <f>"3071"</f>
        <v>3071</v>
      </c>
      <c r="E8471" t="s">
        <v>20005</v>
      </c>
      <c r="F8471" t="s">
        <v>19559</v>
      </c>
      <c r="G8471" t="s">
        <v>16232</v>
      </c>
      <c r="H8471" t="s">
        <v>47054</v>
      </c>
      <c r="I8471" t="s">
        <v>47118</v>
      </c>
      <c r="J8471" t="s">
        <v>47119</v>
      </c>
      <c r="K8471" t="s">
        <v>47113</v>
      </c>
      <c r="L8471">
        <v>18.34</v>
      </c>
      <c r="M8471">
        <v>37</v>
      </c>
      <c r="N8471">
        <v>0</v>
      </c>
      <c r="O8471">
        <v>37</v>
      </c>
      <c r="P8471">
        <v>0</v>
      </c>
    </row>
    <row r="8472" spans="1:16" x14ac:dyDescent="0.25">
      <c r="A8472" t="s">
        <v>31073</v>
      </c>
      <c r="B8472" t="s">
        <v>20253</v>
      </c>
      <c r="C8472" t="s">
        <v>20252</v>
      </c>
      <c r="D8472" t="str">
        <f>"4100"</f>
        <v>4100</v>
      </c>
      <c r="E8472" t="s">
        <v>710</v>
      </c>
      <c r="F8472" t="s">
        <v>19559</v>
      </c>
      <c r="G8472" t="s">
        <v>16232</v>
      </c>
      <c r="H8472" t="s">
        <v>47054</v>
      </c>
      <c r="I8472" t="s">
        <v>47118</v>
      </c>
      <c r="J8472" t="s">
        <v>47119</v>
      </c>
      <c r="K8472" t="s">
        <v>47113</v>
      </c>
      <c r="L8472">
        <v>18.34</v>
      </c>
      <c r="M8472">
        <v>37</v>
      </c>
      <c r="N8472">
        <v>0</v>
      </c>
      <c r="O8472">
        <v>37</v>
      </c>
      <c r="P8472">
        <v>0</v>
      </c>
    </row>
    <row r="8473" spans="1:16" x14ac:dyDescent="0.25">
      <c r="A8473" t="s">
        <v>31074</v>
      </c>
      <c r="B8473" t="s">
        <v>20254</v>
      </c>
      <c r="C8473" t="s">
        <v>20255</v>
      </c>
      <c r="D8473" t="str">
        <f>"1307"</f>
        <v>1307</v>
      </c>
      <c r="E8473" t="s">
        <v>20256</v>
      </c>
      <c r="F8473" t="s">
        <v>19908</v>
      </c>
      <c r="G8473" t="s">
        <v>16233</v>
      </c>
      <c r="H8473" t="s">
        <v>47054</v>
      </c>
      <c r="I8473" t="s">
        <v>47136</v>
      </c>
      <c r="J8473" t="s">
        <v>47137</v>
      </c>
      <c r="K8473" t="s">
        <v>47113</v>
      </c>
      <c r="L8473">
        <v>26.72</v>
      </c>
      <c r="M8473">
        <v>66</v>
      </c>
      <c r="N8473">
        <v>0</v>
      </c>
      <c r="O8473">
        <v>66</v>
      </c>
      <c r="P8473">
        <v>0</v>
      </c>
    </row>
    <row r="8474" spans="1:16" x14ac:dyDescent="0.25">
      <c r="A8474" t="s">
        <v>31075</v>
      </c>
      <c r="B8474" t="s">
        <v>20254</v>
      </c>
      <c r="C8474" t="s">
        <v>20255</v>
      </c>
      <c r="D8474" t="str">
        <f>"4100"</f>
        <v>4100</v>
      </c>
      <c r="E8474" t="s">
        <v>20257</v>
      </c>
      <c r="F8474" t="s">
        <v>19908</v>
      </c>
      <c r="G8474" t="s">
        <v>16233</v>
      </c>
      <c r="H8474" t="s">
        <v>47054</v>
      </c>
      <c r="I8474" t="s">
        <v>47136</v>
      </c>
      <c r="J8474" t="s">
        <v>47137</v>
      </c>
      <c r="K8474" t="s">
        <v>47113</v>
      </c>
      <c r="L8474">
        <v>26.72</v>
      </c>
      <c r="M8474">
        <v>66</v>
      </c>
      <c r="N8474">
        <v>0</v>
      </c>
      <c r="O8474">
        <v>66</v>
      </c>
      <c r="P8474">
        <v>0</v>
      </c>
    </row>
    <row r="8475" spans="1:16" x14ac:dyDescent="0.25">
      <c r="A8475" t="s">
        <v>31076</v>
      </c>
      <c r="B8475" t="s">
        <v>20258</v>
      </c>
      <c r="C8475" t="s">
        <v>20259</v>
      </c>
      <c r="D8475" t="str">
        <f>"1451"</f>
        <v>1451</v>
      </c>
      <c r="E8475" t="s">
        <v>20132</v>
      </c>
      <c r="F8475" t="s">
        <v>16933</v>
      </c>
      <c r="G8475" t="s">
        <v>16221</v>
      </c>
      <c r="H8475" t="s">
        <v>47054</v>
      </c>
      <c r="I8475" t="s">
        <v>47118</v>
      </c>
      <c r="J8475" t="s">
        <v>47119</v>
      </c>
      <c r="K8475" t="s">
        <v>47113</v>
      </c>
      <c r="L8475">
        <v>21.4</v>
      </c>
      <c r="M8475">
        <v>44</v>
      </c>
      <c r="N8475">
        <v>0</v>
      </c>
      <c r="O8475">
        <v>44</v>
      </c>
      <c r="P8475">
        <v>0</v>
      </c>
    </row>
    <row r="8476" spans="1:16" x14ac:dyDescent="0.25">
      <c r="A8476" t="s">
        <v>31077</v>
      </c>
      <c r="B8476" t="s">
        <v>17358</v>
      </c>
      <c r="C8476" t="s">
        <v>17359</v>
      </c>
      <c r="D8476" t="str">
        <f>"1001"</f>
        <v>1001</v>
      </c>
      <c r="E8476" t="s">
        <v>17360</v>
      </c>
      <c r="F8476" t="s">
        <v>16746</v>
      </c>
      <c r="G8476" t="s">
        <v>16232</v>
      </c>
      <c r="H8476" t="s">
        <v>47054</v>
      </c>
      <c r="I8476" t="s">
        <v>47111</v>
      </c>
      <c r="J8476" t="s">
        <v>47112</v>
      </c>
      <c r="K8476" t="s">
        <v>47113</v>
      </c>
      <c r="L8476">
        <v>14.55</v>
      </c>
      <c r="M8476">
        <v>29</v>
      </c>
      <c r="N8476">
        <v>0</v>
      </c>
      <c r="O8476">
        <v>29</v>
      </c>
      <c r="P8476">
        <v>0</v>
      </c>
    </row>
    <row r="8477" spans="1:16" x14ac:dyDescent="0.25">
      <c r="A8477" t="s">
        <v>31078</v>
      </c>
      <c r="B8477" t="s">
        <v>17361</v>
      </c>
      <c r="C8477" t="s">
        <v>17362</v>
      </c>
      <c r="D8477" t="str">
        <f>"1001"</f>
        <v>1001</v>
      </c>
      <c r="E8477" t="s">
        <v>20260</v>
      </c>
      <c r="F8477" t="s">
        <v>16623</v>
      </c>
      <c r="G8477" t="s">
        <v>16234</v>
      </c>
      <c r="H8477" t="s">
        <v>47054</v>
      </c>
      <c r="I8477" t="s">
        <v>47120</v>
      </c>
      <c r="J8477" t="s">
        <v>47121</v>
      </c>
      <c r="K8477" t="s">
        <v>47113</v>
      </c>
      <c r="L8477">
        <v>32.96</v>
      </c>
      <c r="M8477">
        <v>66</v>
      </c>
      <c r="N8477">
        <v>0</v>
      </c>
      <c r="O8477">
        <v>66</v>
      </c>
      <c r="P8477">
        <v>0</v>
      </c>
    </row>
    <row r="8478" spans="1:16" x14ac:dyDescent="0.25">
      <c r="A8478" t="s">
        <v>31079</v>
      </c>
      <c r="B8478" t="s">
        <v>17361</v>
      </c>
      <c r="C8478" t="s">
        <v>17362</v>
      </c>
      <c r="D8478" t="str">
        <f>"1200"</f>
        <v>1200</v>
      </c>
      <c r="E8478" t="s">
        <v>20261</v>
      </c>
      <c r="F8478" t="s">
        <v>16623</v>
      </c>
      <c r="G8478" t="s">
        <v>16234</v>
      </c>
      <c r="H8478" t="s">
        <v>47054</v>
      </c>
      <c r="I8478" t="s">
        <v>47120</v>
      </c>
      <c r="J8478" t="s">
        <v>47121</v>
      </c>
      <c r="K8478" t="s">
        <v>47113</v>
      </c>
      <c r="L8478">
        <v>32.96</v>
      </c>
      <c r="M8478">
        <v>66</v>
      </c>
      <c r="N8478">
        <v>0</v>
      </c>
      <c r="O8478">
        <v>66</v>
      </c>
      <c r="P8478">
        <v>0</v>
      </c>
    </row>
    <row r="8479" spans="1:16" x14ac:dyDescent="0.25">
      <c r="A8479" t="s">
        <v>31080</v>
      </c>
      <c r="B8479" t="s">
        <v>17361</v>
      </c>
      <c r="C8479" t="s">
        <v>17362</v>
      </c>
      <c r="D8479" t="str">
        <f>"4143"</f>
        <v>4143</v>
      </c>
      <c r="E8479" t="s">
        <v>20262</v>
      </c>
      <c r="F8479" t="s">
        <v>16623</v>
      </c>
      <c r="G8479" t="s">
        <v>16234</v>
      </c>
      <c r="H8479" t="s">
        <v>47054</v>
      </c>
      <c r="I8479" t="s">
        <v>47120</v>
      </c>
      <c r="J8479" t="s">
        <v>47121</v>
      </c>
      <c r="K8479" t="s">
        <v>47113</v>
      </c>
      <c r="L8479">
        <v>32.96</v>
      </c>
      <c r="M8479">
        <v>66</v>
      </c>
      <c r="N8479">
        <v>0</v>
      </c>
      <c r="O8479">
        <v>66</v>
      </c>
      <c r="P8479">
        <v>0</v>
      </c>
    </row>
    <row r="8480" spans="1:16" x14ac:dyDescent="0.25">
      <c r="A8480" t="s">
        <v>31081</v>
      </c>
      <c r="B8480" t="s">
        <v>17361</v>
      </c>
      <c r="C8480" t="s">
        <v>17362</v>
      </c>
      <c r="D8480" t="str">
        <f>"6000"</f>
        <v>6000</v>
      </c>
      <c r="E8480" t="s">
        <v>20263</v>
      </c>
      <c r="F8480" t="s">
        <v>16623</v>
      </c>
      <c r="G8480" t="s">
        <v>16234</v>
      </c>
      <c r="H8480" t="s">
        <v>47054</v>
      </c>
      <c r="I8480" t="s">
        <v>47120</v>
      </c>
      <c r="J8480" t="s">
        <v>47121</v>
      </c>
      <c r="K8480" t="s">
        <v>47113</v>
      </c>
      <c r="L8480">
        <v>32.96</v>
      </c>
      <c r="M8480">
        <v>66</v>
      </c>
      <c r="N8480">
        <v>0</v>
      </c>
      <c r="O8480">
        <v>66</v>
      </c>
      <c r="P8480">
        <v>0</v>
      </c>
    </row>
    <row r="8481" spans="1:16" x14ac:dyDescent="0.25">
      <c r="A8481" t="s">
        <v>31082</v>
      </c>
      <c r="B8481" t="s">
        <v>20264</v>
      </c>
      <c r="C8481" t="s">
        <v>20265</v>
      </c>
      <c r="D8481" t="str">
        <f>"1001"</f>
        <v>1001</v>
      </c>
      <c r="E8481" t="s">
        <v>17350</v>
      </c>
      <c r="F8481" t="s">
        <v>16623</v>
      </c>
      <c r="G8481" t="s">
        <v>16232</v>
      </c>
      <c r="H8481" t="s">
        <v>47054</v>
      </c>
      <c r="I8481" t="s">
        <v>47111</v>
      </c>
      <c r="J8481" t="s">
        <v>47112</v>
      </c>
      <c r="K8481" t="s">
        <v>47113</v>
      </c>
      <c r="L8481">
        <v>23.66</v>
      </c>
      <c r="M8481">
        <v>55</v>
      </c>
      <c r="N8481">
        <v>0</v>
      </c>
      <c r="O8481">
        <v>55</v>
      </c>
      <c r="P8481">
        <v>0</v>
      </c>
    </row>
    <row r="8482" spans="1:16" x14ac:dyDescent="0.25">
      <c r="A8482" t="s">
        <v>31083</v>
      </c>
      <c r="B8482" t="s">
        <v>20264</v>
      </c>
      <c r="C8482" t="s">
        <v>20265</v>
      </c>
      <c r="D8482" t="str">
        <f>"1700"</f>
        <v>1700</v>
      </c>
      <c r="E8482" t="s">
        <v>60</v>
      </c>
      <c r="F8482" t="s">
        <v>16623</v>
      </c>
      <c r="G8482" t="s">
        <v>16232</v>
      </c>
      <c r="H8482" t="s">
        <v>47054</v>
      </c>
      <c r="I8482" t="s">
        <v>47111</v>
      </c>
      <c r="J8482" t="s">
        <v>47112</v>
      </c>
      <c r="K8482" t="s">
        <v>47113</v>
      </c>
      <c r="L8482">
        <v>23.66</v>
      </c>
      <c r="M8482">
        <v>55</v>
      </c>
      <c r="N8482">
        <v>0</v>
      </c>
      <c r="O8482">
        <v>55</v>
      </c>
      <c r="P8482">
        <v>0</v>
      </c>
    </row>
    <row r="8483" spans="1:16" x14ac:dyDescent="0.25">
      <c r="A8483" t="s">
        <v>31084</v>
      </c>
      <c r="B8483" t="s">
        <v>20266</v>
      </c>
      <c r="C8483" t="s">
        <v>20265</v>
      </c>
      <c r="D8483" t="str">
        <f>"4143"</f>
        <v>4143</v>
      </c>
      <c r="E8483" t="s">
        <v>261</v>
      </c>
      <c r="F8483" t="s">
        <v>16623</v>
      </c>
      <c r="G8483" t="s">
        <v>16232</v>
      </c>
      <c r="H8483" t="s">
        <v>47054</v>
      </c>
      <c r="I8483" t="s">
        <v>47120</v>
      </c>
      <c r="J8483" t="s">
        <v>47121</v>
      </c>
      <c r="K8483" t="s">
        <v>47113</v>
      </c>
      <c r="L8483">
        <v>17.79</v>
      </c>
      <c r="M8483">
        <v>29</v>
      </c>
      <c r="N8483">
        <v>0</v>
      </c>
      <c r="O8483">
        <v>29</v>
      </c>
      <c r="P8483">
        <v>0</v>
      </c>
    </row>
    <row r="8484" spans="1:16" x14ac:dyDescent="0.25">
      <c r="A8484" t="s">
        <v>31085</v>
      </c>
      <c r="B8484" t="s">
        <v>20267</v>
      </c>
      <c r="C8484" t="s">
        <v>20268</v>
      </c>
      <c r="D8484" t="str">
        <f>"1001"</f>
        <v>1001</v>
      </c>
      <c r="E8484" t="s">
        <v>17350</v>
      </c>
      <c r="F8484" t="s">
        <v>16623</v>
      </c>
      <c r="G8484" t="s">
        <v>16232</v>
      </c>
      <c r="H8484" t="s">
        <v>47054</v>
      </c>
      <c r="I8484" t="s">
        <v>47111</v>
      </c>
      <c r="J8484" t="s">
        <v>47112</v>
      </c>
      <c r="K8484" t="s">
        <v>47113</v>
      </c>
      <c r="L8484">
        <v>19.55</v>
      </c>
      <c r="M8484">
        <v>44</v>
      </c>
      <c r="N8484">
        <v>0</v>
      </c>
      <c r="O8484">
        <v>44</v>
      </c>
      <c r="P8484">
        <v>0</v>
      </c>
    </row>
    <row r="8485" spans="1:16" x14ac:dyDescent="0.25">
      <c r="A8485" t="s">
        <v>31086</v>
      </c>
      <c r="B8485" t="s">
        <v>20269</v>
      </c>
      <c r="C8485" t="s">
        <v>20268</v>
      </c>
      <c r="D8485" t="str">
        <f>"4143"</f>
        <v>4143</v>
      </c>
      <c r="E8485" t="s">
        <v>261</v>
      </c>
      <c r="F8485" t="s">
        <v>16623</v>
      </c>
      <c r="G8485" t="s">
        <v>16232</v>
      </c>
      <c r="H8485" t="s">
        <v>47054</v>
      </c>
      <c r="I8485" t="s">
        <v>47120</v>
      </c>
      <c r="J8485" t="s">
        <v>47121</v>
      </c>
      <c r="K8485" t="s">
        <v>47113</v>
      </c>
      <c r="L8485">
        <v>16.02</v>
      </c>
      <c r="M8485">
        <v>37</v>
      </c>
      <c r="N8485">
        <v>0</v>
      </c>
      <c r="O8485">
        <v>37</v>
      </c>
      <c r="P8485">
        <v>0</v>
      </c>
    </row>
    <row r="8486" spans="1:16" x14ac:dyDescent="0.25">
      <c r="A8486" t="s">
        <v>31087</v>
      </c>
      <c r="B8486" t="s">
        <v>20270</v>
      </c>
      <c r="C8486" t="s">
        <v>15408</v>
      </c>
      <c r="D8486" t="str">
        <f>"1001"</f>
        <v>1001</v>
      </c>
      <c r="E8486" t="s">
        <v>17350</v>
      </c>
      <c r="F8486" t="s">
        <v>16623</v>
      </c>
      <c r="G8486" t="s">
        <v>16235</v>
      </c>
      <c r="H8486" t="s">
        <v>47054</v>
      </c>
      <c r="I8486" t="s">
        <v>47111</v>
      </c>
      <c r="J8486" t="s">
        <v>47112</v>
      </c>
      <c r="K8486" t="s">
        <v>47113</v>
      </c>
      <c r="L8486">
        <v>39.1</v>
      </c>
      <c r="M8486">
        <v>62</v>
      </c>
      <c r="N8486">
        <v>0</v>
      </c>
      <c r="O8486">
        <v>62</v>
      </c>
      <c r="P8486">
        <v>0</v>
      </c>
    </row>
    <row r="8487" spans="1:16" x14ac:dyDescent="0.25">
      <c r="A8487" t="s">
        <v>31088</v>
      </c>
      <c r="B8487" t="s">
        <v>20271</v>
      </c>
      <c r="C8487" t="s">
        <v>20272</v>
      </c>
      <c r="D8487" t="str">
        <f>"1001"</f>
        <v>1001</v>
      </c>
      <c r="E8487" t="s">
        <v>20159</v>
      </c>
      <c r="F8487" t="s">
        <v>16623</v>
      </c>
      <c r="G8487" t="s">
        <v>16230</v>
      </c>
      <c r="H8487" t="s">
        <v>47054</v>
      </c>
      <c r="I8487" t="s">
        <v>47120</v>
      </c>
      <c r="J8487" t="s">
        <v>47121</v>
      </c>
      <c r="K8487" t="s">
        <v>47113</v>
      </c>
      <c r="L8487">
        <v>25.49</v>
      </c>
      <c r="M8487">
        <v>55</v>
      </c>
      <c r="N8487">
        <v>0</v>
      </c>
      <c r="O8487">
        <v>55</v>
      </c>
      <c r="P8487">
        <v>0</v>
      </c>
    </row>
    <row r="8488" spans="1:16" x14ac:dyDescent="0.25">
      <c r="A8488" t="s">
        <v>31089</v>
      </c>
      <c r="B8488" t="s">
        <v>20273</v>
      </c>
      <c r="C8488" t="s">
        <v>20274</v>
      </c>
      <c r="D8488" t="str">
        <f>"1001"</f>
        <v>1001</v>
      </c>
      <c r="E8488" t="s">
        <v>42</v>
      </c>
      <c r="F8488" t="s">
        <v>16623</v>
      </c>
      <c r="G8488" t="s">
        <v>16232</v>
      </c>
      <c r="H8488" t="s">
        <v>47054</v>
      </c>
      <c r="I8488" t="s">
        <v>47111</v>
      </c>
      <c r="J8488" t="s">
        <v>47112</v>
      </c>
      <c r="K8488" t="s">
        <v>47113</v>
      </c>
      <c r="L8488">
        <v>24.6</v>
      </c>
      <c r="M8488">
        <v>44</v>
      </c>
      <c r="N8488">
        <v>0</v>
      </c>
      <c r="O8488">
        <v>44</v>
      </c>
      <c r="P8488">
        <v>0</v>
      </c>
    </row>
    <row r="8489" spans="1:16" x14ac:dyDescent="0.25">
      <c r="A8489" t="s">
        <v>31090</v>
      </c>
      <c r="B8489" t="s">
        <v>17363</v>
      </c>
      <c r="C8489" t="s">
        <v>17364</v>
      </c>
      <c r="D8489" t="s">
        <v>721</v>
      </c>
      <c r="E8489" t="s">
        <v>722</v>
      </c>
      <c r="F8489" t="s">
        <v>16810</v>
      </c>
      <c r="G8489" t="s">
        <v>16231</v>
      </c>
      <c r="H8489" t="s">
        <v>47054</v>
      </c>
      <c r="I8489" t="s">
        <v>47111</v>
      </c>
      <c r="J8489" t="s">
        <v>47112</v>
      </c>
      <c r="K8489" t="s">
        <v>47113</v>
      </c>
      <c r="L8489">
        <v>32.81</v>
      </c>
      <c r="M8489">
        <v>66</v>
      </c>
      <c r="N8489">
        <v>0</v>
      </c>
      <c r="O8489">
        <v>66</v>
      </c>
      <c r="P8489">
        <v>0</v>
      </c>
    </row>
    <row r="8490" spans="1:16" x14ac:dyDescent="0.25">
      <c r="A8490" t="s">
        <v>31091</v>
      </c>
      <c r="B8490" t="s">
        <v>17363</v>
      </c>
      <c r="C8490" t="s">
        <v>17364</v>
      </c>
      <c r="D8490" t="s">
        <v>17365</v>
      </c>
      <c r="E8490" t="s">
        <v>17366</v>
      </c>
      <c r="F8490" t="s">
        <v>16810</v>
      </c>
      <c r="G8490" t="s">
        <v>16231</v>
      </c>
      <c r="H8490" t="s">
        <v>47054</v>
      </c>
      <c r="I8490" t="s">
        <v>47111</v>
      </c>
      <c r="J8490" t="s">
        <v>47112</v>
      </c>
      <c r="K8490" t="s">
        <v>47113</v>
      </c>
      <c r="L8490">
        <v>55.14</v>
      </c>
      <c r="M8490">
        <v>111</v>
      </c>
      <c r="N8490">
        <v>0</v>
      </c>
      <c r="O8490">
        <v>111</v>
      </c>
      <c r="P8490">
        <v>0</v>
      </c>
    </row>
    <row r="8491" spans="1:16" x14ac:dyDescent="0.25">
      <c r="A8491" t="s">
        <v>31092</v>
      </c>
      <c r="B8491" t="s">
        <v>17363</v>
      </c>
      <c r="C8491" t="s">
        <v>17364</v>
      </c>
      <c r="D8491" t="s">
        <v>19698</v>
      </c>
      <c r="E8491" t="s">
        <v>19699</v>
      </c>
      <c r="F8491" t="s">
        <v>16933</v>
      </c>
      <c r="G8491" t="s">
        <v>16231</v>
      </c>
      <c r="H8491" t="s">
        <v>47054</v>
      </c>
      <c r="I8491" t="s">
        <v>47111</v>
      </c>
      <c r="J8491" t="s">
        <v>47112</v>
      </c>
      <c r="K8491" t="s">
        <v>47113</v>
      </c>
      <c r="L8491">
        <v>54.44</v>
      </c>
      <c r="M8491">
        <v>92</v>
      </c>
      <c r="N8491">
        <v>0</v>
      </c>
      <c r="O8491">
        <v>92</v>
      </c>
      <c r="P8491">
        <v>0</v>
      </c>
    </row>
    <row r="8492" spans="1:16" x14ac:dyDescent="0.25">
      <c r="A8492" t="s">
        <v>31093</v>
      </c>
      <c r="B8492" t="s">
        <v>17363</v>
      </c>
      <c r="C8492" t="s">
        <v>17364</v>
      </c>
      <c r="D8492" t="s">
        <v>311</v>
      </c>
      <c r="E8492" t="s">
        <v>16288</v>
      </c>
      <c r="F8492" t="s">
        <v>16810</v>
      </c>
      <c r="G8492" t="s">
        <v>16231</v>
      </c>
      <c r="H8492" t="s">
        <v>47054</v>
      </c>
      <c r="I8492" t="s">
        <v>47111</v>
      </c>
      <c r="J8492" t="s">
        <v>47112</v>
      </c>
      <c r="K8492" t="s">
        <v>47113</v>
      </c>
      <c r="L8492">
        <v>25.98</v>
      </c>
      <c r="M8492">
        <v>92</v>
      </c>
      <c r="N8492">
        <v>0</v>
      </c>
      <c r="O8492">
        <v>92</v>
      </c>
      <c r="P8492">
        <v>0</v>
      </c>
    </row>
    <row r="8493" spans="1:16" x14ac:dyDescent="0.25">
      <c r="A8493" t="s">
        <v>31094</v>
      </c>
      <c r="B8493" t="s">
        <v>31095</v>
      </c>
      <c r="C8493" t="s">
        <v>31096</v>
      </c>
      <c r="D8493" t="s">
        <v>311</v>
      </c>
      <c r="E8493" t="s">
        <v>16288</v>
      </c>
      <c r="F8493" t="s">
        <v>24617</v>
      </c>
      <c r="G8493" t="s">
        <v>16231</v>
      </c>
      <c r="H8493" t="s">
        <v>47054</v>
      </c>
      <c r="I8493" t="s">
        <v>47544</v>
      </c>
      <c r="J8493" t="s">
        <v>47545</v>
      </c>
      <c r="K8493" t="s">
        <v>47113</v>
      </c>
      <c r="L8493">
        <v>0.93</v>
      </c>
      <c r="M8493">
        <v>74</v>
      </c>
      <c r="N8493">
        <v>0</v>
      </c>
      <c r="O8493">
        <v>74</v>
      </c>
      <c r="P8493">
        <v>0</v>
      </c>
    </row>
    <row r="8494" spans="1:16" x14ac:dyDescent="0.25">
      <c r="A8494" t="s">
        <v>31097</v>
      </c>
      <c r="B8494" t="s">
        <v>31098</v>
      </c>
      <c r="C8494" t="s">
        <v>31099</v>
      </c>
      <c r="D8494" t="s">
        <v>311</v>
      </c>
      <c r="E8494" t="s">
        <v>16288</v>
      </c>
      <c r="F8494" t="s">
        <v>24617</v>
      </c>
      <c r="G8494" t="s">
        <v>16231</v>
      </c>
      <c r="H8494" t="s">
        <v>47054</v>
      </c>
      <c r="I8494" t="s">
        <v>47544</v>
      </c>
      <c r="J8494" t="s">
        <v>47545</v>
      </c>
      <c r="K8494" t="s">
        <v>47113</v>
      </c>
      <c r="L8494">
        <v>0.93</v>
      </c>
      <c r="M8494">
        <v>74</v>
      </c>
      <c r="N8494">
        <v>0</v>
      </c>
      <c r="O8494">
        <v>74</v>
      </c>
      <c r="P8494">
        <v>0</v>
      </c>
    </row>
    <row r="8495" spans="1:16" x14ac:dyDescent="0.25">
      <c r="A8495" t="s">
        <v>31100</v>
      </c>
      <c r="B8495" t="s">
        <v>20275</v>
      </c>
      <c r="C8495" t="s">
        <v>17364</v>
      </c>
      <c r="D8495" t="s">
        <v>16917</v>
      </c>
      <c r="E8495" t="s">
        <v>16918</v>
      </c>
      <c r="F8495" t="s">
        <v>16933</v>
      </c>
      <c r="G8495" t="s">
        <v>16231</v>
      </c>
      <c r="H8495" t="s">
        <v>47054</v>
      </c>
      <c r="I8495" t="s">
        <v>47111</v>
      </c>
      <c r="J8495" t="s">
        <v>47112</v>
      </c>
      <c r="K8495" t="s">
        <v>47113</v>
      </c>
      <c r="L8495">
        <v>43.68</v>
      </c>
      <c r="M8495">
        <v>92</v>
      </c>
      <c r="N8495">
        <v>0</v>
      </c>
      <c r="O8495">
        <v>92</v>
      </c>
      <c r="P8495">
        <v>0</v>
      </c>
    </row>
    <row r="8496" spans="1:16" x14ac:dyDescent="0.25">
      <c r="A8496" t="s">
        <v>31101</v>
      </c>
      <c r="B8496" t="s">
        <v>20276</v>
      </c>
      <c r="C8496" t="s">
        <v>17364</v>
      </c>
      <c r="D8496" t="str">
        <f>"01"</f>
        <v>01</v>
      </c>
      <c r="E8496" t="s">
        <v>2070</v>
      </c>
      <c r="F8496" t="s">
        <v>19559</v>
      </c>
      <c r="G8496" t="s">
        <v>16231</v>
      </c>
      <c r="H8496" t="s">
        <v>47054</v>
      </c>
      <c r="I8496" t="s">
        <v>47111</v>
      </c>
      <c r="J8496" t="s">
        <v>47112</v>
      </c>
      <c r="K8496" t="s">
        <v>47113</v>
      </c>
      <c r="L8496">
        <v>39.22</v>
      </c>
      <c r="M8496">
        <v>70</v>
      </c>
      <c r="N8496">
        <v>0</v>
      </c>
      <c r="O8496">
        <v>70</v>
      </c>
      <c r="P8496">
        <v>0</v>
      </c>
    </row>
    <row r="8497" spans="1:16" x14ac:dyDescent="0.25">
      <c r="A8497" t="s">
        <v>31102</v>
      </c>
      <c r="B8497" t="s">
        <v>20276</v>
      </c>
      <c r="C8497" t="s">
        <v>17364</v>
      </c>
      <c r="D8497" t="s">
        <v>19562</v>
      </c>
      <c r="E8497" t="s">
        <v>19563</v>
      </c>
      <c r="F8497" t="s">
        <v>19559</v>
      </c>
      <c r="G8497" t="s">
        <v>16231</v>
      </c>
      <c r="H8497" t="s">
        <v>47054</v>
      </c>
      <c r="I8497" t="s">
        <v>47111</v>
      </c>
      <c r="J8497" t="s">
        <v>47112</v>
      </c>
      <c r="K8497" t="s">
        <v>47113</v>
      </c>
      <c r="L8497">
        <v>61.5</v>
      </c>
      <c r="M8497">
        <v>74</v>
      </c>
      <c r="N8497">
        <v>0</v>
      </c>
      <c r="O8497">
        <v>74</v>
      </c>
      <c r="P8497">
        <v>0</v>
      </c>
    </row>
    <row r="8498" spans="1:16" x14ac:dyDescent="0.25">
      <c r="A8498" t="s">
        <v>31103</v>
      </c>
      <c r="B8498" t="s">
        <v>20277</v>
      </c>
      <c r="C8498" t="s">
        <v>17364</v>
      </c>
      <c r="D8498" t="s">
        <v>19565</v>
      </c>
      <c r="E8498" t="s">
        <v>19566</v>
      </c>
      <c r="F8498" t="s">
        <v>19552</v>
      </c>
      <c r="G8498" t="s">
        <v>16231</v>
      </c>
      <c r="H8498" t="s">
        <v>47054</v>
      </c>
      <c r="I8498" t="s">
        <v>47116</v>
      </c>
      <c r="J8498" t="s">
        <v>47117</v>
      </c>
      <c r="K8498" t="s">
        <v>47113</v>
      </c>
      <c r="L8498">
        <v>40.03</v>
      </c>
      <c r="M8498">
        <v>129</v>
      </c>
      <c r="N8498">
        <v>0</v>
      </c>
      <c r="O8498">
        <v>129</v>
      </c>
      <c r="P8498">
        <v>0</v>
      </c>
    </row>
    <row r="8499" spans="1:16" x14ac:dyDescent="0.25">
      <c r="A8499" t="s">
        <v>31104</v>
      </c>
      <c r="B8499" t="s">
        <v>31105</v>
      </c>
      <c r="C8499" t="s">
        <v>17364</v>
      </c>
      <c r="D8499" t="s">
        <v>27816</v>
      </c>
      <c r="E8499" t="s">
        <v>27817</v>
      </c>
      <c r="F8499" t="s">
        <v>21627</v>
      </c>
      <c r="G8499" t="s">
        <v>16231</v>
      </c>
      <c r="H8499" t="s">
        <v>47054</v>
      </c>
      <c r="I8499" t="s">
        <v>47116</v>
      </c>
      <c r="J8499" t="s">
        <v>47117</v>
      </c>
      <c r="K8499" t="s">
        <v>47113</v>
      </c>
      <c r="L8499">
        <v>48.81</v>
      </c>
      <c r="M8499">
        <v>95</v>
      </c>
      <c r="N8499">
        <v>0</v>
      </c>
      <c r="O8499">
        <v>95</v>
      </c>
      <c r="P8499">
        <v>0</v>
      </c>
    </row>
    <row r="8500" spans="1:16" x14ac:dyDescent="0.25">
      <c r="A8500" t="s">
        <v>31106</v>
      </c>
      <c r="B8500" t="s">
        <v>31107</v>
      </c>
      <c r="C8500" t="s">
        <v>17364</v>
      </c>
      <c r="D8500" t="s">
        <v>20497</v>
      </c>
      <c r="E8500" t="s">
        <v>20498</v>
      </c>
      <c r="F8500" t="s">
        <v>20496</v>
      </c>
      <c r="G8500" t="s">
        <v>16231</v>
      </c>
      <c r="H8500" t="s">
        <v>47054</v>
      </c>
      <c r="I8500" t="s">
        <v>47111</v>
      </c>
      <c r="J8500" t="s">
        <v>47112</v>
      </c>
      <c r="K8500" t="s">
        <v>47113</v>
      </c>
      <c r="L8500">
        <v>49.46</v>
      </c>
      <c r="M8500">
        <v>111</v>
      </c>
      <c r="N8500">
        <v>0</v>
      </c>
      <c r="O8500">
        <v>111</v>
      </c>
      <c r="P8500">
        <v>0</v>
      </c>
    </row>
    <row r="8501" spans="1:16" x14ac:dyDescent="0.25">
      <c r="A8501" t="s">
        <v>31108</v>
      </c>
      <c r="B8501" t="s">
        <v>31109</v>
      </c>
      <c r="C8501" t="s">
        <v>17364</v>
      </c>
      <c r="D8501" t="s">
        <v>27842</v>
      </c>
      <c r="E8501" t="s">
        <v>27843</v>
      </c>
      <c r="F8501" t="s">
        <v>21629</v>
      </c>
      <c r="G8501" t="s">
        <v>16231</v>
      </c>
      <c r="H8501" t="s">
        <v>47054</v>
      </c>
      <c r="I8501" t="s">
        <v>47111</v>
      </c>
      <c r="J8501" t="s">
        <v>47112</v>
      </c>
      <c r="K8501" t="s">
        <v>47113</v>
      </c>
      <c r="L8501">
        <v>63.06</v>
      </c>
      <c r="M8501">
        <v>111</v>
      </c>
      <c r="N8501">
        <v>0</v>
      </c>
      <c r="O8501">
        <v>111</v>
      </c>
      <c r="P8501">
        <v>0</v>
      </c>
    </row>
    <row r="8502" spans="1:16" x14ac:dyDescent="0.25">
      <c r="A8502" t="s">
        <v>31110</v>
      </c>
      <c r="B8502" t="s">
        <v>31111</v>
      </c>
      <c r="C8502" t="s">
        <v>17364</v>
      </c>
      <c r="D8502" t="s">
        <v>30118</v>
      </c>
      <c r="E8502" t="s">
        <v>30119</v>
      </c>
      <c r="F8502" t="s">
        <v>24627</v>
      </c>
      <c r="G8502" t="s">
        <v>16231</v>
      </c>
      <c r="H8502" t="s">
        <v>47054</v>
      </c>
      <c r="I8502" t="s">
        <v>47544</v>
      </c>
      <c r="J8502" t="s">
        <v>47545</v>
      </c>
      <c r="K8502" t="s">
        <v>47113</v>
      </c>
      <c r="L8502">
        <v>32.58</v>
      </c>
      <c r="M8502">
        <v>85</v>
      </c>
      <c r="N8502">
        <v>229</v>
      </c>
      <c r="O8502">
        <v>85</v>
      </c>
      <c r="P8502">
        <v>229</v>
      </c>
    </row>
    <row r="8503" spans="1:16" x14ac:dyDescent="0.25">
      <c r="A8503" t="s">
        <v>31112</v>
      </c>
      <c r="B8503" t="s">
        <v>17367</v>
      </c>
      <c r="C8503" t="s">
        <v>17368</v>
      </c>
      <c r="D8503" t="s">
        <v>17242</v>
      </c>
      <c r="E8503" t="s">
        <v>17243</v>
      </c>
      <c r="F8503" t="s">
        <v>16810</v>
      </c>
      <c r="G8503" t="s">
        <v>16231</v>
      </c>
      <c r="H8503" t="s">
        <v>47054</v>
      </c>
      <c r="I8503" t="s">
        <v>47116</v>
      </c>
      <c r="J8503" t="s">
        <v>47117</v>
      </c>
      <c r="K8503" t="s">
        <v>47113</v>
      </c>
      <c r="L8503">
        <v>64.14</v>
      </c>
      <c r="M8503">
        <v>129</v>
      </c>
      <c r="N8503">
        <v>0</v>
      </c>
      <c r="O8503">
        <v>129</v>
      </c>
      <c r="P8503">
        <v>0</v>
      </c>
    </row>
    <row r="8504" spans="1:16" x14ac:dyDescent="0.25">
      <c r="A8504" t="s">
        <v>31113</v>
      </c>
      <c r="B8504" t="s">
        <v>17367</v>
      </c>
      <c r="C8504" t="s">
        <v>17368</v>
      </c>
      <c r="D8504" t="s">
        <v>17244</v>
      </c>
      <c r="E8504" t="s">
        <v>17245</v>
      </c>
      <c r="F8504" t="s">
        <v>16810</v>
      </c>
      <c r="G8504" t="s">
        <v>16231</v>
      </c>
      <c r="H8504" t="s">
        <v>47054</v>
      </c>
      <c r="I8504" t="s">
        <v>47116</v>
      </c>
      <c r="J8504" t="s">
        <v>47117</v>
      </c>
      <c r="K8504" t="s">
        <v>47113</v>
      </c>
      <c r="L8504">
        <v>45.74</v>
      </c>
      <c r="M8504">
        <v>92</v>
      </c>
      <c r="N8504">
        <v>0</v>
      </c>
      <c r="O8504">
        <v>92</v>
      </c>
      <c r="P8504">
        <v>0</v>
      </c>
    </row>
    <row r="8505" spans="1:16" x14ac:dyDescent="0.25">
      <c r="A8505" t="s">
        <v>31114</v>
      </c>
      <c r="B8505" t="s">
        <v>17369</v>
      </c>
      <c r="C8505" t="s">
        <v>17357</v>
      </c>
      <c r="D8505" t="s">
        <v>16750</v>
      </c>
      <c r="E8505" t="s">
        <v>16751</v>
      </c>
      <c r="F8505" t="s">
        <v>16623</v>
      </c>
      <c r="G8505" t="s">
        <v>16231</v>
      </c>
      <c r="H8505" t="s">
        <v>47054</v>
      </c>
      <c r="I8505" t="s">
        <v>47116</v>
      </c>
      <c r="J8505" t="s">
        <v>47117</v>
      </c>
      <c r="K8505" t="s">
        <v>47113</v>
      </c>
      <c r="L8505">
        <v>73.47</v>
      </c>
      <c r="M8505">
        <v>148</v>
      </c>
      <c r="N8505">
        <v>0</v>
      </c>
      <c r="O8505">
        <v>148</v>
      </c>
      <c r="P8505">
        <v>0</v>
      </c>
    </row>
    <row r="8506" spans="1:16" x14ac:dyDescent="0.25">
      <c r="A8506" t="s">
        <v>31115</v>
      </c>
      <c r="B8506" t="s">
        <v>17370</v>
      </c>
      <c r="C8506" t="s">
        <v>16848</v>
      </c>
      <c r="D8506" t="s">
        <v>17371</v>
      </c>
      <c r="E8506" t="s">
        <v>17372</v>
      </c>
      <c r="F8506" t="s">
        <v>16810</v>
      </c>
      <c r="G8506" t="s">
        <v>16231</v>
      </c>
      <c r="H8506" t="s">
        <v>47054</v>
      </c>
      <c r="I8506" t="s">
        <v>47111</v>
      </c>
      <c r="J8506" t="s">
        <v>47112</v>
      </c>
      <c r="K8506" t="s">
        <v>47113</v>
      </c>
      <c r="L8506">
        <v>51.21</v>
      </c>
      <c r="M8506">
        <v>103</v>
      </c>
      <c r="N8506">
        <v>0</v>
      </c>
      <c r="O8506">
        <v>103</v>
      </c>
      <c r="P8506">
        <v>0</v>
      </c>
    </row>
    <row r="8507" spans="1:16" x14ac:dyDescent="0.25">
      <c r="A8507" t="s">
        <v>31116</v>
      </c>
      <c r="B8507" t="s">
        <v>20278</v>
      </c>
      <c r="C8507" t="s">
        <v>20279</v>
      </c>
      <c r="D8507" t="str">
        <f>"1001"</f>
        <v>1001</v>
      </c>
      <c r="E8507" t="s">
        <v>20159</v>
      </c>
      <c r="F8507" t="s">
        <v>19878</v>
      </c>
      <c r="G8507" t="s">
        <v>16230</v>
      </c>
      <c r="H8507" t="s">
        <v>47054</v>
      </c>
      <c r="I8507" t="s">
        <v>47118</v>
      </c>
      <c r="J8507" t="s">
        <v>47119</v>
      </c>
      <c r="K8507" t="s">
        <v>47113</v>
      </c>
      <c r="L8507">
        <v>27.81</v>
      </c>
      <c r="M8507">
        <v>55</v>
      </c>
      <c r="N8507">
        <v>0</v>
      </c>
      <c r="O8507">
        <v>55</v>
      </c>
      <c r="P8507">
        <v>0</v>
      </c>
    </row>
    <row r="8508" spans="1:16" x14ac:dyDescent="0.25">
      <c r="A8508" t="s">
        <v>31117</v>
      </c>
      <c r="B8508" t="s">
        <v>20280</v>
      </c>
      <c r="C8508" t="s">
        <v>20281</v>
      </c>
      <c r="D8508" t="str">
        <f>"1078"</f>
        <v>1078</v>
      </c>
      <c r="E8508" t="s">
        <v>20282</v>
      </c>
      <c r="F8508" t="s">
        <v>19559</v>
      </c>
      <c r="G8508" t="s">
        <v>16232</v>
      </c>
      <c r="H8508" t="s">
        <v>47054</v>
      </c>
      <c r="I8508" t="s">
        <v>47118</v>
      </c>
      <c r="J8508" t="s">
        <v>47119</v>
      </c>
      <c r="K8508" t="s">
        <v>47113</v>
      </c>
      <c r="L8508">
        <v>17.170000000000002</v>
      </c>
      <c r="M8508">
        <v>37</v>
      </c>
      <c r="N8508">
        <v>0</v>
      </c>
      <c r="O8508">
        <v>37</v>
      </c>
      <c r="P8508">
        <v>0</v>
      </c>
    </row>
    <row r="8509" spans="1:16" x14ac:dyDescent="0.25">
      <c r="A8509" t="s">
        <v>31118</v>
      </c>
      <c r="B8509" t="s">
        <v>20280</v>
      </c>
      <c r="C8509" t="s">
        <v>20281</v>
      </c>
      <c r="D8509" t="str">
        <f>"2686"</f>
        <v>2686</v>
      </c>
      <c r="E8509" t="s">
        <v>20283</v>
      </c>
      <c r="F8509" t="s">
        <v>19559</v>
      </c>
      <c r="G8509" t="s">
        <v>16232</v>
      </c>
      <c r="H8509" t="s">
        <v>47054</v>
      </c>
      <c r="I8509" t="s">
        <v>47118</v>
      </c>
      <c r="J8509" t="s">
        <v>47119</v>
      </c>
      <c r="K8509" t="s">
        <v>47113</v>
      </c>
      <c r="L8509">
        <v>17.170000000000002</v>
      </c>
      <c r="M8509">
        <v>37</v>
      </c>
      <c r="N8509">
        <v>0</v>
      </c>
      <c r="O8509">
        <v>37</v>
      </c>
      <c r="P8509">
        <v>0</v>
      </c>
    </row>
    <row r="8510" spans="1:16" x14ac:dyDescent="0.25">
      <c r="A8510" t="s">
        <v>31119</v>
      </c>
      <c r="B8510" t="s">
        <v>20280</v>
      </c>
      <c r="C8510" t="s">
        <v>20281</v>
      </c>
      <c r="D8510" t="str">
        <f>"3071"</f>
        <v>3071</v>
      </c>
      <c r="E8510" t="s">
        <v>20284</v>
      </c>
      <c r="F8510" t="s">
        <v>19559</v>
      </c>
      <c r="G8510" t="s">
        <v>16232</v>
      </c>
      <c r="H8510" t="s">
        <v>47054</v>
      </c>
      <c r="I8510" t="s">
        <v>47118</v>
      </c>
      <c r="J8510" t="s">
        <v>47119</v>
      </c>
      <c r="K8510" t="s">
        <v>47113</v>
      </c>
      <c r="L8510">
        <v>17.170000000000002</v>
      </c>
      <c r="M8510">
        <v>37</v>
      </c>
      <c r="N8510">
        <v>0</v>
      </c>
      <c r="O8510">
        <v>37</v>
      </c>
      <c r="P8510">
        <v>0</v>
      </c>
    </row>
    <row r="8511" spans="1:16" x14ac:dyDescent="0.25">
      <c r="A8511" t="s">
        <v>31120</v>
      </c>
      <c r="B8511" t="s">
        <v>20285</v>
      </c>
      <c r="C8511" t="s">
        <v>20286</v>
      </c>
      <c r="D8511" t="str">
        <f>"1001"</f>
        <v>1001</v>
      </c>
      <c r="E8511" t="s">
        <v>42</v>
      </c>
      <c r="F8511" t="s">
        <v>19559</v>
      </c>
      <c r="G8511" t="s">
        <v>16235</v>
      </c>
      <c r="H8511" t="s">
        <v>47054</v>
      </c>
      <c r="I8511" t="s">
        <v>47118</v>
      </c>
      <c r="J8511" t="s">
        <v>47119</v>
      </c>
      <c r="K8511" t="s">
        <v>47113</v>
      </c>
      <c r="L8511">
        <v>28.48</v>
      </c>
      <c r="M8511">
        <v>62</v>
      </c>
      <c r="N8511">
        <v>0</v>
      </c>
      <c r="O8511">
        <v>62</v>
      </c>
      <c r="P8511">
        <v>0</v>
      </c>
    </row>
    <row r="8512" spans="1:16" x14ac:dyDescent="0.25">
      <c r="A8512" t="s">
        <v>31121</v>
      </c>
      <c r="B8512" t="s">
        <v>20285</v>
      </c>
      <c r="C8512" t="s">
        <v>20286</v>
      </c>
      <c r="D8512" t="str">
        <f>"6000"</f>
        <v>6000</v>
      </c>
      <c r="E8512" t="s">
        <v>8968</v>
      </c>
      <c r="F8512" t="s">
        <v>19559</v>
      </c>
      <c r="G8512" t="s">
        <v>16235</v>
      </c>
      <c r="H8512" t="s">
        <v>47054</v>
      </c>
      <c r="I8512" t="s">
        <v>47118</v>
      </c>
      <c r="J8512" t="s">
        <v>47119</v>
      </c>
      <c r="K8512" t="s">
        <v>47113</v>
      </c>
      <c r="L8512">
        <v>28.48</v>
      </c>
      <c r="M8512">
        <v>62</v>
      </c>
      <c r="N8512">
        <v>0</v>
      </c>
      <c r="O8512">
        <v>62</v>
      </c>
      <c r="P8512">
        <v>0</v>
      </c>
    </row>
    <row r="8513" spans="1:16" x14ac:dyDescent="0.25">
      <c r="A8513" t="s">
        <v>31122</v>
      </c>
      <c r="B8513" t="s">
        <v>20287</v>
      </c>
      <c r="C8513" t="s">
        <v>15344</v>
      </c>
      <c r="D8513" t="str">
        <f>"1001"</f>
        <v>1001</v>
      </c>
      <c r="E8513" t="s">
        <v>17350</v>
      </c>
      <c r="F8513" t="s">
        <v>19552</v>
      </c>
      <c r="G8513" t="s">
        <v>16235</v>
      </c>
      <c r="H8513" t="s">
        <v>47054</v>
      </c>
      <c r="I8513" t="s">
        <v>47120</v>
      </c>
      <c r="J8513" t="s">
        <v>47121</v>
      </c>
      <c r="K8513" t="s">
        <v>47113</v>
      </c>
      <c r="L8513">
        <v>33.159999999999997</v>
      </c>
      <c r="M8513">
        <v>66</v>
      </c>
      <c r="N8513">
        <v>0</v>
      </c>
      <c r="O8513">
        <v>66</v>
      </c>
      <c r="P8513">
        <v>0</v>
      </c>
    </row>
    <row r="8514" spans="1:16" x14ac:dyDescent="0.25">
      <c r="A8514" t="s">
        <v>31123</v>
      </c>
      <c r="B8514" t="s">
        <v>20288</v>
      </c>
      <c r="C8514" t="s">
        <v>15344</v>
      </c>
      <c r="D8514" t="str">
        <f>"1001"</f>
        <v>1001</v>
      </c>
      <c r="E8514" t="s">
        <v>20289</v>
      </c>
      <c r="F8514" t="s">
        <v>19878</v>
      </c>
      <c r="G8514" t="s">
        <v>16235</v>
      </c>
      <c r="H8514" t="s">
        <v>47054</v>
      </c>
      <c r="I8514" t="s">
        <v>47118</v>
      </c>
      <c r="J8514" t="s">
        <v>47119</v>
      </c>
      <c r="K8514" t="s">
        <v>47113</v>
      </c>
      <c r="L8514">
        <v>38.18</v>
      </c>
      <c r="M8514">
        <v>92</v>
      </c>
      <c r="N8514">
        <v>0</v>
      </c>
      <c r="O8514">
        <v>92</v>
      </c>
      <c r="P8514">
        <v>0</v>
      </c>
    </row>
    <row r="8515" spans="1:16" x14ac:dyDescent="0.25">
      <c r="A8515" t="s">
        <v>31124</v>
      </c>
      <c r="B8515" t="s">
        <v>20290</v>
      </c>
      <c r="C8515" t="s">
        <v>20291</v>
      </c>
      <c r="D8515" t="str">
        <f>"1001"</f>
        <v>1001</v>
      </c>
      <c r="E8515" t="s">
        <v>42</v>
      </c>
      <c r="F8515" t="s">
        <v>19559</v>
      </c>
      <c r="G8515" t="s">
        <v>16448</v>
      </c>
      <c r="H8515" t="s">
        <v>47054</v>
      </c>
      <c r="I8515" t="s">
        <v>47118</v>
      </c>
      <c r="J8515" t="s">
        <v>47119</v>
      </c>
      <c r="K8515" t="s">
        <v>47113</v>
      </c>
      <c r="L8515">
        <v>155.71</v>
      </c>
      <c r="M8515">
        <v>346</v>
      </c>
      <c r="N8515">
        <v>0</v>
      </c>
      <c r="O8515">
        <v>346</v>
      </c>
      <c r="P8515">
        <v>0</v>
      </c>
    </row>
    <row r="8516" spans="1:16" x14ac:dyDescent="0.25">
      <c r="A8516" t="s">
        <v>31125</v>
      </c>
      <c r="B8516" t="s">
        <v>20292</v>
      </c>
      <c r="C8516" t="s">
        <v>15405</v>
      </c>
      <c r="D8516" t="str">
        <f>"1001"</f>
        <v>1001</v>
      </c>
      <c r="E8516" t="s">
        <v>42</v>
      </c>
      <c r="F8516" t="s">
        <v>19878</v>
      </c>
      <c r="G8516" t="s">
        <v>16224</v>
      </c>
      <c r="H8516" t="s">
        <v>47054</v>
      </c>
      <c r="I8516" t="s">
        <v>47120</v>
      </c>
      <c r="J8516" t="s">
        <v>47121</v>
      </c>
      <c r="K8516" t="s">
        <v>47113</v>
      </c>
      <c r="L8516">
        <v>78.489999999999995</v>
      </c>
      <c r="M8516">
        <v>169</v>
      </c>
      <c r="N8516">
        <v>0</v>
      </c>
      <c r="O8516">
        <v>169</v>
      </c>
      <c r="P8516">
        <v>0</v>
      </c>
    </row>
    <row r="8517" spans="1:16" x14ac:dyDescent="0.25">
      <c r="A8517" t="s">
        <v>31126</v>
      </c>
      <c r="B8517" t="s">
        <v>20292</v>
      </c>
      <c r="C8517" t="s">
        <v>15405</v>
      </c>
      <c r="D8517" t="str">
        <f>"6000"</f>
        <v>6000</v>
      </c>
      <c r="E8517" t="s">
        <v>20293</v>
      </c>
      <c r="F8517" t="s">
        <v>19878</v>
      </c>
      <c r="G8517" t="s">
        <v>16224</v>
      </c>
      <c r="H8517" t="s">
        <v>47054</v>
      </c>
      <c r="I8517" t="s">
        <v>47120</v>
      </c>
      <c r="J8517" t="s">
        <v>47121</v>
      </c>
      <c r="K8517" t="s">
        <v>47113</v>
      </c>
      <c r="L8517">
        <v>78.489999999999995</v>
      </c>
      <c r="M8517">
        <v>169</v>
      </c>
      <c r="N8517">
        <v>0</v>
      </c>
      <c r="O8517">
        <v>169</v>
      </c>
      <c r="P8517">
        <v>0</v>
      </c>
    </row>
    <row r="8518" spans="1:16" x14ac:dyDescent="0.25">
      <c r="A8518" t="s">
        <v>31127</v>
      </c>
      <c r="B8518" t="s">
        <v>20294</v>
      </c>
      <c r="C8518" t="s">
        <v>4772</v>
      </c>
      <c r="D8518" t="str">
        <f>"4143"</f>
        <v>4143</v>
      </c>
      <c r="E8518" t="s">
        <v>20295</v>
      </c>
      <c r="F8518" t="s">
        <v>19878</v>
      </c>
      <c r="G8518" t="s">
        <v>16448</v>
      </c>
      <c r="H8518" t="s">
        <v>47054</v>
      </c>
      <c r="I8518" t="s">
        <v>47120</v>
      </c>
      <c r="J8518" t="s">
        <v>47121</v>
      </c>
      <c r="K8518" t="s">
        <v>47113</v>
      </c>
      <c r="L8518">
        <v>56.34</v>
      </c>
      <c r="M8518">
        <v>122</v>
      </c>
      <c r="N8518">
        <v>0</v>
      </c>
      <c r="O8518">
        <v>122</v>
      </c>
      <c r="P8518">
        <v>0</v>
      </c>
    </row>
    <row r="8519" spans="1:16" x14ac:dyDescent="0.25">
      <c r="A8519" t="s">
        <v>31128</v>
      </c>
      <c r="B8519" t="s">
        <v>20296</v>
      </c>
      <c r="C8519" t="s">
        <v>20297</v>
      </c>
      <c r="D8519" t="str">
        <f>"1200"</f>
        <v>1200</v>
      </c>
      <c r="E8519" t="s">
        <v>20298</v>
      </c>
      <c r="F8519" t="s">
        <v>19878</v>
      </c>
      <c r="G8519" t="s">
        <v>16235</v>
      </c>
      <c r="H8519" t="s">
        <v>47054</v>
      </c>
      <c r="I8519" t="s">
        <v>47120</v>
      </c>
      <c r="J8519" t="s">
        <v>47121</v>
      </c>
      <c r="K8519" t="s">
        <v>47113</v>
      </c>
      <c r="L8519">
        <v>48.3</v>
      </c>
      <c r="M8519">
        <v>85</v>
      </c>
      <c r="N8519">
        <v>0</v>
      </c>
      <c r="O8519">
        <v>85</v>
      </c>
      <c r="P8519">
        <v>0</v>
      </c>
    </row>
    <row r="8520" spans="1:16" x14ac:dyDescent="0.25">
      <c r="A8520" t="s">
        <v>31129</v>
      </c>
      <c r="B8520" t="s">
        <v>20299</v>
      </c>
      <c r="C8520" t="s">
        <v>20300</v>
      </c>
      <c r="D8520" t="str">
        <f>"1200"</f>
        <v>1200</v>
      </c>
      <c r="E8520" t="s">
        <v>20298</v>
      </c>
      <c r="F8520" t="s">
        <v>19878</v>
      </c>
      <c r="G8520" t="s">
        <v>16222</v>
      </c>
      <c r="H8520" t="s">
        <v>47054</v>
      </c>
      <c r="I8520" t="s">
        <v>47120</v>
      </c>
      <c r="J8520" t="s">
        <v>47121</v>
      </c>
      <c r="K8520" t="s">
        <v>47113</v>
      </c>
      <c r="L8520">
        <v>35.630000000000003</v>
      </c>
      <c r="M8520">
        <v>66</v>
      </c>
      <c r="N8520">
        <v>0</v>
      </c>
      <c r="O8520">
        <v>66</v>
      </c>
      <c r="P8520">
        <v>0</v>
      </c>
    </row>
    <row r="8521" spans="1:16" x14ac:dyDescent="0.25">
      <c r="A8521" t="s">
        <v>31130</v>
      </c>
      <c r="B8521" t="s">
        <v>20301</v>
      </c>
      <c r="C8521" t="s">
        <v>14246</v>
      </c>
      <c r="D8521" t="str">
        <f>"3071"</f>
        <v>3071</v>
      </c>
      <c r="E8521" t="s">
        <v>9011</v>
      </c>
      <c r="F8521" t="s">
        <v>3750</v>
      </c>
      <c r="G8521" t="s">
        <v>47053</v>
      </c>
      <c r="H8521" t="s">
        <v>47054</v>
      </c>
      <c r="I8521" t="s">
        <v>47120</v>
      </c>
      <c r="J8521" t="s">
        <v>47121</v>
      </c>
      <c r="K8521" t="s">
        <v>47113</v>
      </c>
      <c r="L8521">
        <v>17.25</v>
      </c>
      <c r="M8521">
        <v>43</v>
      </c>
      <c r="N8521">
        <v>0</v>
      </c>
      <c r="O8521">
        <v>43</v>
      </c>
      <c r="P8521">
        <v>0</v>
      </c>
    </row>
    <row r="8522" spans="1:16" x14ac:dyDescent="0.25">
      <c r="A8522" t="s">
        <v>31131</v>
      </c>
      <c r="B8522" t="s">
        <v>14245</v>
      </c>
      <c r="C8522" t="s">
        <v>14246</v>
      </c>
      <c r="D8522" t="str">
        <f>"1001"</f>
        <v>1001</v>
      </c>
      <c r="E8522" t="s">
        <v>42</v>
      </c>
      <c r="F8522" t="s">
        <v>3750</v>
      </c>
      <c r="G8522" t="s">
        <v>47061</v>
      </c>
      <c r="H8522" t="s">
        <v>47054</v>
      </c>
      <c r="I8522" t="s">
        <v>47120</v>
      </c>
      <c r="J8522" t="s">
        <v>47121</v>
      </c>
      <c r="K8522" t="s">
        <v>47113</v>
      </c>
      <c r="L8522">
        <v>15.55</v>
      </c>
      <c r="M8522">
        <v>54</v>
      </c>
      <c r="N8522">
        <v>0</v>
      </c>
      <c r="O8522">
        <v>54</v>
      </c>
      <c r="P8522">
        <v>0</v>
      </c>
    </row>
    <row r="8523" spans="1:16" x14ac:dyDescent="0.25">
      <c r="A8523" t="s">
        <v>31132</v>
      </c>
      <c r="B8523" t="s">
        <v>6520</v>
      </c>
      <c r="C8523" t="s">
        <v>6521</v>
      </c>
      <c r="D8523" t="str">
        <f>"1026"</f>
        <v>1026</v>
      </c>
      <c r="E8523" t="s">
        <v>6522</v>
      </c>
      <c r="F8523" t="s">
        <v>8</v>
      </c>
      <c r="G8523" t="s">
        <v>16234</v>
      </c>
      <c r="H8523" t="s">
        <v>47054</v>
      </c>
      <c r="I8523" t="s">
        <v>47120</v>
      </c>
      <c r="J8523" t="s">
        <v>47121</v>
      </c>
      <c r="K8523" t="s">
        <v>47113</v>
      </c>
      <c r="L8523">
        <v>26.69</v>
      </c>
      <c r="M8523">
        <v>91</v>
      </c>
      <c r="N8523">
        <v>0</v>
      </c>
      <c r="O8523">
        <v>91</v>
      </c>
      <c r="P8523">
        <v>0</v>
      </c>
    </row>
    <row r="8524" spans="1:16" x14ac:dyDescent="0.25">
      <c r="A8524" t="s">
        <v>31133</v>
      </c>
      <c r="B8524" t="s">
        <v>6523</v>
      </c>
      <c r="C8524" t="s">
        <v>6524</v>
      </c>
      <c r="D8524" t="str">
        <f>"1026"</f>
        <v>1026</v>
      </c>
      <c r="E8524" t="s">
        <v>6522</v>
      </c>
      <c r="F8524" t="s">
        <v>8</v>
      </c>
      <c r="G8524" t="s">
        <v>16234</v>
      </c>
      <c r="H8524" t="s">
        <v>47054</v>
      </c>
      <c r="I8524" t="s">
        <v>47120</v>
      </c>
      <c r="J8524" t="s">
        <v>47121</v>
      </c>
      <c r="K8524" t="s">
        <v>47113</v>
      </c>
      <c r="L8524">
        <v>28.77</v>
      </c>
      <c r="M8524">
        <v>91</v>
      </c>
      <c r="N8524">
        <v>0</v>
      </c>
      <c r="O8524">
        <v>91</v>
      </c>
      <c r="P8524">
        <v>0</v>
      </c>
    </row>
    <row r="8525" spans="1:16" x14ac:dyDescent="0.25">
      <c r="A8525" t="s">
        <v>31134</v>
      </c>
      <c r="B8525" t="s">
        <v>6523</v>
      </c>
      <c r="C8525" t="s">
        <v>6524</v>
      </c>
      <c r="D8525" t="str">
        <f>"1341"</f>
        <v>1341</v>
      </c>
      <c r="E8525" t="s">
        <v>6525</v>
      </c>
      <c r="F8525" t="s">
        <v>8</v>
      </c>
      <c r="G8525" t="s">
        <v>16234</v>
      </c>
      <c r="H8525" t="s">
        <v>47054</v>
      </c>
      <c r="I8525" t="s">
        <v>47120</v>
      </c>
      <c r="J8525" t="s">
        <v>47121</v>
      </c>
      <c r="K8525" t="s">
        <v>47113</v>
      </c>
      <c r="L8525">
        <v>28.77</v>
      </c>
      <c r="M8525">
        <v>91</v>
      </c>
      <c r="N8525">
        <v>0</v>
      </c>
      <c r="O8525">
        <v>91</v>
      </c>
      <c r="P8525">
        <v>0</v>
      </c>
    </row>
    <row r="8526" spans="1:16" x14ac:dyDescent="0.25">
      <c r="A8526" t="s">
        <v>31135</v>
      </c>
      <c r="B8526" t="s">
        <v>6523</v>
      </c>
      <c r="C8526" t="s">
        <v>6524</v>
      </c>
      <c r="D8526" t="str">
        <f>"2526"</f>
        <v>2526</v>
      </c>
      <c r="E8526" t="s">
        <v>6526</v>
      </c>
      <c r="F8526" t="s">
        <v>8</v>
      </c>
      <c r="G8526" t="s">
        <v>16234</v>
      </c>
      <c r="H8526" t="s">
        <v>47054</v>
      </c>
      <c r="I8526" t="s">
        <v>47120</v>
      </c>
      <c r="J8526" t="s">
        <v>47121</v>
      </c>
      <c r="K8526" t="s">
        <v>47113</v>
      </c>
      <c r="L8526">
        <v>28.77</v>
      </c>
      <c r="M8526">
        <v>91</v>
      </c>
      <c r="N8526">
        <v>0</v>
      </c>
      <c r="O8526">
        <v>91</v>
      </c>
      <c r="P8526">
        <v>0</v>
      </c>
    </row>
    <row r="8527" spans="1:16" x14ac:dyDescent="0.25">
      <c r="A8527" t="s">
        <v>31136</v>
      </c>
      <c r="B8527" t="s">
        <v>6527</v>
      </c>
      <c r="C8527" t="s">
        <v>6528</v>
      </c>
      <c r="D8527" t="str">
        <f>"1001"</f>
        <v>1001</v>
      </c>
      <c r="E8527" t="s">
        <v>6529</v>
      </c>
      <c r="F8527" t="s">
        <v>4</v>
      </c>
      <c r="G8527" t="s">
        <v>16234</v>
      </c>
      <c r="H8527" t="s">
        <v>47054</v>
      </c>
      <c r="I8527" t="s">
        <v>47120</v>
      </c>
      <c r="J8527" t="s">
        <v>47121</v>
      </c>
      <c r="K8527" t="s">
        <v>47113</v>
      </c>
      <c r="L8527">
        <v>27.39</v>
      </c>
      <c r="M8527">
        <v>68</v>
      </c>
      <c r="N8527">
        <v>0</v>
      </c>
      <c r="O8527">
        <v>68</v>
      </c>
      <c r="P8527">
        <v>0</v>
      </c>
    </row>
    <row r="8528" spans="1:16" x14ac:dyDescent="0.25">
      <c r="A8528" t="s">
        <v>31137</v>
      </c>
      <c r="B8528" t="s">
        <v>6527</v>
      </c>
      <c r="C8528" t="s">
        <v>6528</v>
      </c>
      <c r="D8528" t="str">
        <f>"1026"</f>
        <v>1026</v>
      </c>
      <c r="E8528" t="s">
        <v>6522</v>
      </c>
      <c r="F8528" t="s">
        <v>8</v>
      </c>
      <c r="G8528" t="s">
        <v>16234</v>
      </c>
      <c r="H8528" t="s">
        <v>47054</v>
      </c>
      <c r="I8528" t="s">
        <v>47120</v>
      </c>
      <c r="J8528" t="s">
        <v>47121</v>
      </c>
      <c r="K8528" t="s">
        <v>47113</v>
      </c>
      <c r="L8528">
        <v>23.68</v>
      </c>
      <c r="M8528">
        <v>91</v>
      </c>
      <c r="N8528">
        <v>0</v>
      </c>
      <c r="O8528">
        <v>91</v>
      </c>
      <c r="P8528">
        <v>0</v>
      </c>
    </row>
    <row r="8529" spans="1:16" x14ac:dyDescent="0.25">
      <c r="A8529" t="s">
        <v>31138</v>
      </c>
      <c r="B8529" t="s">
        <v>6527</v>
      </c>
      <c r="C8529" t="s">
        <v>6528</v>
      </c>
      <c r="D8529" t="str">
        <f>"1100"</f>
        <v>1100</v>
      </c>
      <c r="E8529" t="s">
        <v>6530</v>
      </c>
      <c r="F8529" t="s">
        <v>4</v>
      </c>
      <c r="G8529" t="s">
        <v>16234</v>
      </c>
      <c r="H8529" t="s">
        <v>47054</v>
      </c>
      <c r="I8529" t="s">
        <v>47120</v>
      </c>
      <c r="J8529" t="s">
        <v>47121</v>
      </c>
      <c r="K8529" t="s">
        <v>47113</v>
      </c>
      <c r="L8529">
        <v>27.39</v>
      </c>
      <c r="M8529">
        <v>68</v>
      </c>
      <c r="N8529">
        <v>0</v>
      </c>
      <c r="O8529">
        <v>68</v>
      </c>
      <c r="P8529">
        <v>0</v>
      </c>
    </row>
    <row r="8530" spans="1:16" x14ac:dyDescent="0.25">
      <c r="A8530" t="s">
        <v>31139</v>
      </c>
      <c r="B8530" t="s">
        <v>6527</v>
      </c>
      <c r="C8530" t="s">
        <v>6528</v>
      </c>
      <c r="D8530" t="str">
        <f>"1262"</f>
        <v>1262</v>
      </c>
      <c r="E8530" t="s">
        <v>6531</v>
      </c>
      <c r="F8530" t="s">
        <v>4</v>
      </c>
      <c r="G8530" t="s">
        <v>16234</v>
      </c>
      <c r="H8530" t="s">
        <v>47054</v>
      </c>
      <c r="I8530" t="s">
        <v>47120</v>
      </c>
      <c r="J8530" t="s">
        <v>47121</v>
      </c>
      <c r="K8530" t="s">
        <v>47113</v>
      </c>
      <c r="L8530">
        <v>27.39</v>
      </c>
      <c r="M8530">
        <v>67</v>
      </c>
      <c r="N8530">
        <v>0</v>
      </c>
      <c r="O8530">
        <v>67</v>
      </c>
      <c r="P8530">
        <v>0</v>
      </c>
    </row>
    <row r="8531" spans="1:16" x14ac:dyDescent="0.25">
      <c r="A8531" t="s">
        <v>31140</v>
      </c>
      <c r="B8531" t="s">
        <v>6527</v>
      </c>
      <c r="C8531" t="s">
        <v>6528</v>
      </c>
      <c r="D8531" t="str">
        <f>"1290"</f>
        <v>1290</v>
      </c>
      <c r="E8531" t="s">
        <v>6532</v>
      </c>
      <c r="F8531" t="s">
        <v>4</v>
      </c>
      <c r="G8531" t="s">
        <v>16234</v>
      </c>
      <c r="H8531" t="s">
        <v>47054</v>
      </c>
      <c r="I8531" t="s">
        <v>47120</v>
      </c>
      <c r="J8531" t="s">
        <v>47121</v>
      </c>
      <c r="K8531" t="s">
        <v>47113</v>
      </c>
      <c r="L8531">
        <v>27.39</v>
      </c>
      <c r="M8531">
        <v>68</v>
      </c>
      <c r="N8531">
        <v>0</v>
      </c>
      <c r="O8531">
        <v>68</v>
      </c>
      <c r="P8531">
        <v>0</v>
      </c>
    </row>
    <row r="8532" spans="1:16" x14ac:dyDescent="0.25">
      <c r="A8532" t="s">
        <v>31141</v>
      </c>
      <c r="B8532" t="s">
        <v>6527</v>
      </c>
      <c r="C8532" t="s">
        <v>6528</v>
      </c>
      <c r="D8532" t="str">
        <f>"1341"</f>
        <v>1341</v>
      </c>
      <c r="E8532" t="s">
        <v>6525</v>
      </c>
      <c r="F8532" t="s">
        <v>8</v>
      </c>
      <c r="G8532" t="s">
        <v>16234</v>
      </c>
      <c r="H8532" t="s">
        <v>47054</v>
      </c>
      <c r="I8532" t="s">
        <v>47120</v>
      </c>
      <c r="J8532" t="s">
        <v>47121</v>
      </c>
      <c r="K8532" t="s">
        <v>47113</v>
      </c>
      <c r="L8532">
        <v>29.05</v>
      </c>
      <c r="M8532">
        <v>91</v>
      </c>
      <c r="N8532">
        <v>0</v>
      </c>
      <c r="O8532">
        <v>91</v>
      </c>
      <c r="P8532">
        <v>0</v>
      </c>
    </row>
    <row r="8533" spans="1:16" x14ac:dyDescent="0.25">
      <c r="A8533" t="s">
        <v>31142</v>
      </c>
      <c r="B8533" t="s">
        <v>6527</v>
      </c>
      <c r="C8533" t="s">
        <v>6528</v>
      </c>
      <c r="D8533" t="str">
        <f>"2000"</f>
        <v>2000</v>
      </c>
      <c r="E8533" t="s">
        <v>6533</v>
      </c>
      <c r="F8533" t="s">
        <v>4</v>
      </c>
      <c r="G8533" t="s">
        <v>16234</v>
      </c>
      <c r="H8533" t="s">
        <v>47054</v>
      </c>
      <c r="I8533" t="s">
        <v>47120</v>
      </c>
      <c r="J8533" t="s">
        <v>47121</v>
      </c>
      <c r="K8533" t="s">
        <v>47113</v>
      </c>
      <c r="L8533">
        <v>27.39</v>
      </c>
      <c r="M8533">
        <v>68</v>
      </c>
      <c r="N8533">
        <v>0</v>
      </c>
      <c r="O8533">
        <v>68</v>
      </c>
      <c r="P8533">
        <v>0</v>
      </c>
    </row>
    <row r="8534" spans="1:16" x14ac:dyDescent="0.25">
      <c r="A8534" t="s">
        <v>31143</v>
      </c>
      <c r="B8534" t="s">
        <v>6527</v>
      </c>
      <c r="C8534" t="s">
        <v>6528</v>
      </c>
      <c r="D8534" t="str">
        <f>"3058"</f>
        <v>3058</v>
      </c>
      <c r="E8534" t="s">
        <v>6534</v>
      </c>
      <c r="F8534" t="s">
        <v>4</v>
      </c>
      <c r="G8534" t="s">
        <v>16234</v>
      </c>
      <c r="H8534" t="s">
        <v>47054</v>
      </c>
      <c r="I8534" t="s">
        <v>47120</v>
      </c>
      <c r="J8534" t="s">
        <v>47121</v>
      </c>
      <c r="K8534" t="s">
        <v>47113</v>
      </c>
      <c r="L8534">
        <v>27.39</v>
      </c>
      <c r="M8534">
        <v>67</v>
      </c>
      <c r="N8534">
        <v>0</v>
      </c>
      <c r="O8534">
        <v>67</v>
      </c>
      <c r="P8534">
        <v>0</v>
      </c>
    </row>
    <row r="8535" spans="1:16" x14ac:dyDescent="0.25">
      <c r="A8535" t="s">
        <v>31144</v>
      </c>
      <c r="B8535" t="s">
        <v>6527</v>
      </c>
      <c r="C8535" t="s">
        <v>6528</v>
      </c>
      <c r="D8535" t="str">
        <f>"4101"</f>
        <v>4101</v>
      </c>
      <c r="E8535" t="s">
        <v>6535</v>
      </c>
      <c r="F8535" t="s">
        <v>4</v>
      </c>
      <c r="G8535" t="s">
        <v>16234</v>
      </c>
      <c r="H8535" t="s">
        <v>47054</v>
      </c>
      <c r="I8535" t="s">
        <v>47120</v>
      </c>
      <c r="J8535" t="s">
        <v>47121</v>
      </c>
      <c r="K8535" t="s">
        <v>47113</v>
      </c>
      <c r="L8535">
        <v>27.39</v>
      </c>
      <c r="M8535">
        <v>67</v>
      </c>
      <c r="N8535">
        <v>0</v>
      </c>
      <c r="O8535">
        <v>67</v>
      </c>
      <c r="P8535">
        <v>0</v>
      </c>
    </row>
    <row r="8536" spans="1:16" x14ac:dyDescent="0.25">
      <c r="A8536" t="s">
        <v>31145</v>
      </c>
      <c r="B8536" t="s">
        <v>6527</v>
      </c>
      <c r="C8536" t="s">
        <v>6528</v>
      </c>
      <c r="D8536" t="str">
        <f>"4329"</f>
        <v>4329</v>
      </c>
      <c r="E8536" t="s">
        <v>6536</v>
      </c>
      <c r="F8536" t="s">
        <v>4</v>
      </c>
      <c r="G8536" t="s">
        <v>16234</v>
      </c>
      <c r="H8536" t="s">
        <v>47054</v>
      </c>
      <c r="I8536" t="s">
        <v>47120</v>
      </c>
      <c r="J8536" t="s">
        <v>47121</v>
      </c>
      <c r="K8536" t="s">
        <v>47113</v>
      </c>
      <c r="L8536">
        <v>27.39</v>
      </c>
      <c r="M8536">
        <v>67</v>
      </c>
      <c r="N8536">
        <v>0</v>
      </c>
      <c r="O8536">
        <v>67</v>
      </c>
      <c r="P8536">
        <v>0</v>
      </c>
    </row>
    <row r="8537" spans="1:16" x14ac:dyDescent="0.25">
      <c r="A8537" t="s">
        <v>31146</v>
      </c>
      <c r="B8537" t="s">
        <v>6527</v>
      </c>
      <c r="C8537" t="s">
        <v>6528</v>
      </c>
      <c r="D8537" t="str">
        <f>"6047"</f>
        <v>6047</v>
      </c>
      <c r="E8537" t="s">
        <v>6537</v>
      </c>
      <c r="F8537" t="s">
        <v>4</v>
      </c>
      <c r="G8537" t="s">
        <v>16234</v>
      </c>
      <c r="H8537" t="s">
        <v>47054</v>
      </c>
      <c r="I8537" t="s">
        <v>47120</v>
      </c>
      <c r="J8537" t="s">
        <v>47121</v>
      </c>
      <c r="K8537" t="s">
        <v>47113</v>
      </c>
      <c r="L8537">
        <v>27.39</v>
      </c>
      <c r="M8537">
        <v>67</v>
      </c>
      <c r="N8537">
        <v>0</v>
      </c>
      <c r="O8537">
        <v>67</v>
      </c>
      <c r="P8537">
        <v>0</v>
      </c>
    </row>
    <row r="8538" spans="1:16" x14ac:dyDescent="0.25">
      <c r="A8538" t="s">
        <v>31147</v>
      </c>
      <c r="B8538" t="s">
        <v>6527</v>
      </c>
      <c r="C8538" t="s">
        <v>6528</v>
      </c>
      <c r="D8538" t="str">
        <f>"8003"</f>
        <v>8003</v>
      </c>
      <c r="E8538" t="s">
        <v>6538</v>
      </c>
      <c r="F8538" t="s">
        <v>4</v>
      </c>
      <c r="G8538" t="s">
        <v>16234</v>
      </c>
      <c r="H8538" t="s">
        <v>47054</v>
      </c>
      <c r="I8538" t="s">
        <v>47120</v>
      </c>
      <c r="J8538" t="s">
        <v>47121</v>
      </c>
      <c r="K8538" t="s">
        <v>47113</v>
      </c>
      <c r="L8538">
        <v>27.39</v>
      </c>
      <c r="M8538">
        <v>68</v>
      </c>
      <c r="N8538">
        <v>0</v>
      </c>
      <c r="O8538">
        <v>68</v>
      </c>
      <c r="P8538">
        <v>0</v>
      </c>
    </row>
    <row r="8539" spans="1:16" x14ac:dyDescent="0.25">
      <c r="A8539" t="s">
        <v>31148</v>
      </c>
      <c r="B8539" t="s">
        <v>6539</v>
      </c>
      <c r="C8539" t="s">
        <v>6540</v>
      </c>
      <c r="D8539" t="str">
        <f>"1026"</f>
        <v>1026</v>
      </c>
      <c r="E8539" t="s">
        <v>6522</v>
      </c>
      <c r="F8539" t="s">
        <v>8</v>
      </c>
      <c r="G8539" t="s">
        <v>16234</v>
      </c>
      <c r="H8539" t="s">
        <v>47054</v>
      </c>
      <c r="I8539" t="s">
        <v>47120</v>
      </c>
      <c r="J8539" t="s">
        <v>47121</v>
      </c>
      <c r="K8539" t="s">
        <v>47113</v>
      </c>
      <c r="L8539">
        <v>26.26</v>
      </c>
      <c r="M8539">
        <v>61</v>
      </c>
      <c r="N8539">
        <v>0</v>
      </c>
      <c r="O8539">
        <v>61</v>
      </c>
      <c r="P8539">
        <v>0</v>
      </c>
    </row>
    <row r="8540" spans="1:16" x14ac:dyDescent="0.25">
      <c r="A8540" t="s">
        <v>31149</v>
      </c>
      <c r="B8540" t="s">
        <v>6539</v>
      </c>
      <c r="C8540" t="s">
        <v>6540</v>
      </c>
      <c r="D8540" t="str">
        <f>"1056"</f>
        <v>1056</v>
      </c>
      <c r="E8540" t="s">
        <v>1277</v>
      </c>
      <c r="F8540" t="s">
        <v>5</v>
      </c>
      <c r="G8540" t="s">
        <v>16234</v>
      </c>
      <c r="H8540" t="s">
        <v>47054</v>
      </c>
      <c r="I8540" t="s">
        <v>47120</v>
      </c>
      <c r="J8540" t="s">
        <v>47121</v>
      </c>
      <c r="K8540" t="s">
        <v>47113</v>
      </c>
      <c r="L8540">
        <v>28.42</v>
      </c>
      <c r="M8540">
        <v>61</v>
      </c>
      <c r="N8540">
        <v>0</v>
      </c>
      <c r="O8540">
        <v>61</v>
      </c>
      <c r="P8540">
        <v>0</v>
      </c>
    </row>
    <row r="8541" spans="1:16" x14ac:dyDescent="0.25">
      <c r="A8541" t="s">
        <v>31150</v>
      </c>
      <c r="B8541" t="s">
        <v>6539</v>
      </c>
      <c r="C8541" t="s">
        <v>6540</v>
      </c>
      <c r="D8541" t="str">
        <f>"1085"</f>
        <v>1085</v>
      </c>
      <c r="E8541" t="s">
        <v>6541</v>
      </c>
      <c r="F8541" t="s">
        <v>8</v>
      </c>
      <c r="G8541" t="s">
        <v>16234</v>
      </c>
      <c r="H8541" t="s">
        <v>47054</v>
      </c>
      <c r="I8541" t="s">
        <v>47120</v>
      </c>
      <c r="J8541" t="s">
        <v>47121</v>
      </c>
      <c r="K8541" t="s">
        <v>47113</v>
      </c>
      <c r="L8541">
        <v>26.5</v>
      </c>
      <c r="M8541">
        <v>61</v>
      </c>
      <c r="N8541">
        <v>0</v>
      </c>
      <c r="O8541">
        <v>61</v>
      </c>
      <c r="P8541">
        <v>0</v>
      </c>
    </row>
    <row r="8542" spans="1:16" x14ac:dyDescent="0.25">
      <c r="A8542" t="s">
        <v>31151</v>
      </c>
      <c r="B8542" t="s">
        <v>6539</v>
      </c>
      <c r="C8542" t="s">
        <v>6540</v>
      </c>
      <c r="D8542" t="str">
        <f>"1116"</f>
        <v>1116</v>
      </c>
      <c r="E8542" t="s">
        <v>6530</v>
      </c>
      <c r="F8542" t="s">
        <v>4</v>
      </c>
      <c r="G8542" t="s">
        <v>16234</v>
      </c>
      <c r="H8542" t="s">
        <v>47054</v>
      </c>
      <c r="I8542" t="s">
        <v>47120</v>
      </c>
      <c r="J8542" t="s">
        <v>47121</v>
      </c>
      <c r="K8542" t="s">
        <v>47113</v>
      </c>
      <c r="L8542">
        <v>29.19</v>
      </c>
      <c r="M8542">
        <v>71</v>
      </c>
      <c r="N8542">
        <v>0</v>
      </c>
      <c r="O8542">
        <v>71</v>
      </c>
      <c r="P8542">
        <v>0</v>
      </c>
    </row>
    <row r="8543" spans="1:16" x14ac:dyDescent="0.25">
      <c r="A8543" t="s">
        <v>31152</v>
      </c>
      <c r="B8543" t="s">
        <v>6539</v>
      </c>
      <c r="C8543" t="s">
        <v>6540</v>
      </c>
      <c r="D8543" t="str">
        <f>"1290"</f>
        <v>1290</v>
      </c>
      <c r="E8543" t="s">
        <v>6532</v>
      </c>
      <c r="F8543" t="s">
        <v>5</v>
      </c>
      <c r="G8543" t="s">
        <v>16234</v>
      </c>
      <c r="H8543" t="s">
        <v>47054</v>
      </c>
      <c r="I8543" t="s">
        <v>47120</v>
      </c>
      <c r="J8543" t="s">
        <v>47121</v>
      </c>
      <c r="K8543" t="s">
        <v>47113</v>
      </c>
      <c r="L8543">
        <v>28.42</v>
      </c>
      <c r="M8543">
        <v>61</v>
      </c>
      <c r="N8543">
        <v>0</v>
      </c>
      <c r="O8543">
        <v>61</v>
      </c>
      <c r="P8543">
        <v>0</v>
      </c>
    </row>
    <row r="8544" spans="1:16" x14ac:dyDescent="0.25">
      <c r="A8544" t="s">
        <v>31153</v>
      </c>
      <c r="B8544" t="s">
        <v>6539</v>
      </c>
      <c r="C8544" t="s">
        <v>6540</v>
      </c>
      <c r="D8544" t="str">
        <f>"1330"</f>
        <v>1330</v>
      </c>
      <c r="E8544" t="s">
        <v>6542</v>
      </c>
      <c r="F8544" t="s">
        <v>8</v>
      </c>
      <c r="G8544" t="s">
        <v>16234</v>
      </c>
      <c r="H8544" t="s">
        <v>47054</v>
      </c>
      <c r="I8544" t="s">
        <v>47120</v>
      </c>
      <c r="J8544" t="s">
        <v>47121</v>
      </c>
      <c r="K8544" t="s">
        <v>47113</v>
      </c>
      <c r="L8544">
        <v>26.5</v>
      </c>
      <c r="M8544">
        <v>61</v>
      </c>
      <c r="N8544">
        <v>0</v>
      </c>
      <c r="O8544">
        <v>61</v>
      </c>
      <c r="P8544">
        <v>0</v>
      </c>
    </row>
    <row r="8545" spans="1:16" x14ac:dyDescent="0.25">
      <c r="A8545" t="s">
        <v>31154</v>
      </c>
      <c r="B8545" t="s">
        <v>6539</v>
      </c>
      <c r="C8545" t="s">
        <v>6540</v>
      </c>
      <c r="D8545" t="str">
        <f>"1341"</f>
        <v>1341</v>
      </c>
      <c r="E8545" t="s">
        <v>6525</v>
      </c>
      <c r="F8545" t="s">
        <v>8</v>
      </c>
      <c r="G8545" t="s">
        <v>16234</v>
      </c>
      <c r="H8545" t="s">
        <v>47054</v>
      </c>
      <c r="I8545" t="s">
        <v>47120</v>
      </c>
      <c r="J8545" t="s">
        <v>47121</v>
      </c>
      <c r="K8545" t="s">
        <v>47113</v>
      </c>
      <c r="L8545">
        <v>27.16</v>
      </c>
      <c r="M8545">
        <v>91</v>
      </c>
      <c r="N8545">
        <v>0</v>
      </c>
      <c r="O8545">
        <v>91</v>
      </c>
      <c r="P8545">
        <v>0</v>
      </c>
    </row>
    <row r="8546" spans="1:16" x14ac:dyDescent="0.25">
      <c r="A8546" t="s">
        <v>31155</v>
      </c>
      <c r="B8546" t="s">
        <v>6539</v>
      </c>
      <c r="C8546" t="s">
        <v>6540</v>
      </c>
      <c r="D8546" t="str">
        <f>"2122"</f>
        <v>2122</v>
      </c>
      <c r="E8546" t="s">
        <v>6533</v>
      </c>
      <c r="F8546" t="s">
        <v>5</v>
      </c>
      <c r="G8546" t="s">
        <v>16234</v>
      </c>
      <c r="H8546" t="s">
        <v>47054</v>
      </c>
      <c r="I8546" t="s">
        <v>47120</v>
      </c>
      <c r="J8546" t="s">
        <v>47121</v>
      </c>
      <c r="K8546" t="s">
        <v>47113</v>
      </c>
      <c r="L8546">
        <v>28.42</v>
      </c>
      <c r="M8546">
        <v>61</v>
      </c>
      <c r="N8546">
        <v>0</v>
      </c>
      <c r="O8546">
        <v>61</v>
      </c>
      <c r="P8546">
        <v>0</v>
      </c>
    </row>
    <row r="8547" spans="1:16" x14ac:dyDescent="0.25">
      <c r="A8547" t="s">
        <v>31156</v>
      </c>
      <c r="B8547" t="s">
        <v>6539</v>
      </c>
      <c r="C8547" t="s">
        <v>6540</v>
      </c>
      <c r="D8547" t="str">
        <f>"2412"</f>
        <v>2412</v>
      </c>
      <c r="E8547" t="s">
        <v>6531</v>
      </c>
      <c r="F8547" t="s">
        <v>4</v>
      </c>
      <c r="G8547" t="s">
        <v>16234</v>
      </c>
      <c r="H8547" t="s">
        <v>47054</v>
      </c>
      <c r="I8547" t="s">
        <v>47120</v>
      </c>
      <c r="J8547" t="s">
        <v>47121</v>
      </c>
      <c r="K8547" t="s">
        <v>47113</v>
      </c>
      <c r="L8547">
        <v>29.19</v>
      </c>
      <c r="M8547">
        <v>71</v>
      </c>
      <c r="N8547">
        <v>0</v>
      </c>
      <c r="O8547">
        <v>71</v>
      </c>
      <c r="P8547">
        <v>0</v>
      </c>
    </row>
    <row r="8548" spans="1:16" x14ac:dyDescent="0.25">
      <c r="A8548" t="s">
        <v>31157</v>
      </c>
      <c r="B8548" t="s">
        <v>6539</v>
      </c>
      <c r="C8548" t="s">
        <v>6540</v>
      </c>
      <c r="D8548" t="str">
        <f>"2526"</f>
        <v>2526</v>
      </c>
      <c r="E8548" t="s">
        <v>6526</v>
      </c>
      <c r="F8548" t="s">
        <v>8</v>
      </c>
      <c r="G8548" t="s">
        <v>16234</v>
      </c>
      <c r="H8548" t="s">
        <v>47054</v>
      </c>
      <c r="I8548" t="s">
        <v>47120</v>
      </c>
      <c r="J8548" t="s">
        <v>47121</v>
      </c>
      <c r="K8548" t="s">
        <v>47113</v>
      </c>
      <c r="L8548">
        <v>27.16</v>
      </c>
      <c r="M8548">
        <v>91</v>
      </c>
      <c r="N8548">
        <v>0</v>
      </c>
      <c r="O8548">
        <v>91</v>
      </c>
      <c r="P8548">
        <v>0</v>
      </c>
    </row>
    <row r="8549" spans="1:16" x14ac:dyDescent="0.25">
      <c r="A8549" t="s">
        <v>31158</v>
      </c>
      <c r="B8549" t="s">
        <v>6539</v>
      </c>
      <c r="C8549" t="s">
        <v>6540</v>
      </c>
      <c r="D8549" t="str">
        <f>"3238"</f>
        <v>3238</v>
      </c>
      <c r="E8549" t="s">
        <v>6543</v>
      </c>
      <c r="F8549" t="s">
        <v>2</v>
      </c>
      <c r="G8549" t="s">
        <v>16234</v>
      </c>
      <c r="H8549" t="s">
        <v>47054</v>
      </c>
      <c r="I8549" t="s">
        <v>47120</v>
      </c>
      <c r="J8549" t="s">
        <v>47121</v>
      </c>
      <c r="K8549" t="s">
        <v>47113</v>
      </c>
      <c r="L8549">
        <v>28.42</v>
      </c>
      <c r="M8549">
        <v>120</v>
      </c>
      <c r="N8549">
        <v>0</v>
      </c>
      <c r="O8549">
        <v>120</v>
      </c>
      <c r="P8549">
        <v>0</v>
      </c>
    </row>
    <row r="8550" spans="1:16" x14ac:dyDescent="0.25">
      <c r="A8550" t="s">
        <v>31159</v>
      </c>
      <c r="B8550" t="s">
        <v>6539</v>
      </c>
      <c r="C8550" t="s">
        <v>6540</v>
      </c>
      <c r="D8550" t="str">
        <f>"3239"</f>
        <v>3239</v>
      </c>
      <c r="E8550" t="s">
        <v>6544</v>
      </c>
      <c r="F8550" t="s">
        <v>2</v>
      </c>
      <c r="G8550" t="s">
        <v>16234</v>
      </c>
      <c r="H8550" t="s">
        <v>47054</v>
      </c>
      <c r="I8550" t="s">
        <v>47120</v>
      </c>
      <c r="J8550" t="s">
        <v>47121</v>
      </c>
      <c r="K8550" t="s">
        <v>47113</v>
      </c>
      <c r="L8550">
        <v>28.42</v>
      </c>
      <c r="M8550">
        <v>120</v>
      </c>
      <c r="N8550">
        <v>0</v>
      </c>
      <c r="O8550">
        <v>120</v>
      </c>
      <c r="P8550">
        <v>0</v>
      </c>
    </row>
    <row r="8551" spans="1:16" x14ac:dyDescent="0.25">
      <c r="A8551" t="s">
        <v>31160</v>
      </c>
      <c r="B8551" t="s">
        <v>6539</v>
      </c>
      <c r="C8551" t="s">
        <v>6540</v>
      </c>
      <c r="D8551" t="str">
        <f>"3408"</f>
        <v>3408</v>
      </c>
      <c r="E8551" t="s">
        <v>2635</v>
      </c>
      <c r="F8551" t="s">
        <v>2</v>
      </c>
      <c r="G8551" t="s">
        <v>16234</v>
      </c>
      <c r="H8551" t="s">
        <v>47054</v>
      </c>
      <c r="I8551" t="s">
        <v>47120</v>
      </c>
      <c r="J8551" t="s">
        <v>47121</v>
      </c>
      <c r="K8551" t="s">
        <v>47113</v>
      </c>
      <c r="L8551">
        <v>28.42</v>
      </c>
      <c r="M8551">
        <v>120</v>
      </c>
      <c r="N8551">
        <v>0</v>
      </c>
      <c r="O8551">
        <v>120</v>
      </c>
      <c r="P8551">
        <v>0</v>
      </c>
    </row>
    <row r="8552" spans="1:16" x14ac:dyDescent="0.25">
      <c r="A8552" t="s">
        <v>31161</v>
      </c>
      <c r="B8552" t="s">
        <v>6539</v>
      </c>
      <c r="C8552" t="s">
        <v>6540</v>
      </c>
      <c r="D8552" t="str">
        <f>"3457"</f>
        <v>3457</v>
      </c>
      <c r="E8552" t="s">
        <v>6534</v>
      </c>
      <c r="F8552" t="s">
        <v>4</v>
      </c>
      <c r="G8552" t="s">
        <v>16234</v>
      </c>
      <c r="H8552" t="s">
        <v>47054</v>
      </c>
      <c r="I8552" t="s">
        <v>47120</v>
      </c>
      <c r="J8552" t="s">
        <v>47121</v>
      </c>
      <c r="K8552" t="s">
        <v>47113</v>
      </c>
      <c r="L8552">
        <v>29.19</v>
      </c>
      <c r="M8552">
        <v>71</v>
      </c>
      <c r="N8552">
        <v>0</v>
      </c>
      <c r="O8552">
        <v>71</v>
      </c>
      <c r="P8552">
        <v>0</v>
      </c>
    </row>
    <row r="8553" spans="1:16" x14ac:dyDescent="0.25">
      <c r="A8553" t="s">
        <v>31162</v>
      </c>
      <c r="B8553" t="s">
        <v>6539</v>
      </c>
      <c r="C8553" t="s">
        <v>6540</v>
      </c>
      <c r="D8553" t="str">
        <f>"4287"</f>
        <v>4287</v>
      </c>
      <c r="E8553" t="s">
        <v>6545</v>
      </c>
      <c r="F8553" t="s">
        <v>7</v>
      </c>
      <c r="G8553" t="s">
        <v>16234</v>
      </c>
      <c r="H8553" t="s">
        <v>47054</v>
      </c>
      <c r="I8553" t="s">
        <v>47120</v>
      </c>
      <c r="J8553" t="s">
        <v>47121</v>
      </c>
      <c r="K8553" t="s">
        <v>47113</v>
      </c>
      <c r="L8553">
        <v>26.5</v>
      </c>
      <c r="M8553">
        <v>61</v>
      </c>
      <c r="N8553">
        <v>0</v>
      </c>
      <c r="O8553">
        <v>61</v>
      </c>
      <c r="P8553">
        <v>0</v>
      </c>
    </row>
    <row r="8554" spans="1:16" x14ac:dyDescent="0.25">
      <c r="A8554" t="s">
        <v>31163</v>
      </c>
      <c r="B8554" t="s">
        <v>6539</v>
      </c>
      <c r="C8554" t="s">
        <v>6540</v>
      </c>
      <c r="D8554" t="str">
        <f>"4362"</f>
        <v>4362</v>
      </c>
      <c r="E8554" t="s">
        <v>6536</v>
      </c>
      <c r="F8554" t="s">
        <v>4</v>
      </c>
      <c r="G8554" t="s">
        <v>16234</v>
      </c>
      <c r="H8554" t="s">
        <v>47054</v>
      </c>
      <c r="I8554" t="s">
        <v>47120</v>
      </c>
      <c r="J8554" t="s">
        <v>47121</v>
      </c>
      <c r="K8554" t="s">
        <v>47113</v>
      </c>
      <c r="L8554">
        <v>29.19</v>
      </c>
      <c r="M8554">
        <v>71</v>
      </c>
      <c r="N8554">
        <v>0</v>
      </c>
      <c r="O8554">
        <v>71</v>
      </c>
      <c r="P8554">
        <v>0</v>
      </c>
    </row>
    <row r="8555" spans="1:16" x14ac:dyDescent="0.25">
      <c r="A8555" t="s">
        <v>31164</v>
      </c>
      <c r="B8555" t="s">
        <v>6539</v>
      </c>
      <c r="C8555" t="s">
        <v>6540</v>
      </c>
      <c r="D8555" t="str">
        <f>"4614"</f>
        <v>4614</v>
      </c>
      <c r="E8555" t="s">
        <v>6546</v>
      </c>
      <c r="F8555" t="s">
        <v>2</v>
      </c>
      <c r="G8555" t="s">
        <v>16234</v>
      </c>
      <c r="H8555" t="s">
        <v>47054</v>
      </c>
      <c r="I8555" t="s">
        <v>47120</v>
      </c>
      <c r="J8555" t="s">
        <v>47121</v>
      </c>
      <c r="K8555" t="s">
        <v>47113</v>
      </c>
      <c r="L8555">
        <v>28.42</v>
      </c>
      <c r="M8555">
        <v>120</v>
      </c>
      <c r="N8555">
        <v>0</v>
      </c>
      <c r="O8555">
        <v>120</v>
      </c>
      <c r="P8555">
        <v>0</v>
      </c>
    </row>
    <row r="8556" spans="1:16" x14ac:dyDescent="0.25">
      <c r="A8556" t="s">
        <v>31165</v>
      </c>
      <c r="B8556" t="s">
        <v>6539</v>
      </c>
      <c r="C8556" t="s">
        <v>6540</v>
      </c>
      <c r="D8556" t="str">
        <f>"4615"</f>
        <v>4615</v>
      </c>
      <c r="E8556" t="s">
        <v>6547</v>
      </c>
      <c r="F8556" t="s">
        <v>2</v>
      </c>
      <c r="G8556" t="s">
        <v>16234</v>
      </c>
      <c r="H8556" t="s">
        <v>47054</v>
      </c>
      <c r="I8556" t="s">
        <v>47120</v>
      </c>
      <c r="J8556" t="s">
        <v>47121</v>
      </c>
      <c r="K8556" t="s">
        <v>47113</v>
      </c>
      <c r="L8556">
        <v>28.42</v>
      </c>
      <c r="M8556">
        <v>120</v>
      </c>
      <c r="N8556">
        <v>0</v>
      </c>
      <c r="O8556">
        <v>120</v>
      </c>
      <c r="P8556">
        <v>0</v>
      </c>
    </row>
    <row r="8557" spans="1:16" x14ac:dyDescent="0.25">
      <c r="A8557" t="s">
        <v>31166</v>
      </c>
      <c r="B8557" t="s">
        <v>6539</v>
      </c>
      <c r="C8557" t="s">
        <v>6540</v>
      </c>
      <c r="D8557" t="str">
        <f>"4616"</f>
        <v>4616</v>
      </c>
      <c r="E8557" t="s">
        <v>6548</v>
      </c>
      <c r="F8557" t="s">
        <v>2</v>
      </c>
      <c r="G8557" t="s">
        <v>16234</v>
      </c>
      <c r="H8557" t="s">
        <v>47054</v>
      </c>
      <c r="I8557" t="s">
        <v>47120</v>
      </c>
      <c r="J8557" t="s">
        <v>47121</v>
      </c>
      <c r="K8557" t="s">
        <v>47113</v>
      </c>
      <c r="L8557">
        <v>28.42</v>
      </c>
      <c r="M8557">
        <v>120</v>
      </c>
      <c r="N8557">
        <v>0</v>
      </c>
      <c r="O8557">
        <v>120</v>
      </c>
      <c r="P8557">
        <v>0</v>
      </c>
    </row>
    <row r="8558" spans="1:16" x14ac:dyDescent="0.25">
      <c r="A8558" t="s">
        <v>31167</v>
      </c>
      <c r="B8558" t="s">
        <v>6539</v>
      </c>
      <c r="C8558" t="s">
        <v>6540</v>
      </c>
      <c r="D8558" t="str">
        <f>"4824"</f>
        <v>4824</v>
      </c>
      <c r="E8558" t="s">
        <v>6535</v>
      </c>
      <c r="F8558" t="s">
        <v>5</v>
      </c>
      <c r="G8558" t="s">
        <v>16234</v>
      </c>
      <c r="H8558" t="s">
        <v>47054</v>
      </c>
      <c r="I8558" t="s">
        <v>47120</v>
      </c>
      <c r="J8558" t="s">
        <v>47121</v>
      </c>
      <c r="K8558" t="s">
        <v>47113</v>
      </c>
      <c r="L8558">
        <v>28.42</v>
      </c>
      <c r="M8558">
        <v>61</v>
      </c>
      <c r="N8558">
        <v>0</v>
      </c>
      <c r="O8558">
        <v>61</v>
      </c>
      <c r="P8558">
        <v>0</v>
      </c>
    </row>
    <row r="8559" spans="1:16" x14ac:dyDescent="0.25">
      <c r="A8559" t="s">
        <v>31168</v>
      </c>
      <c r="B8559" t="s">
        <v>6539</v>
      </c>
      <c r="C8559" t="s">
        <v>6540</v>
      </c>
      <c r="D8559" t="str">
        <f>"5084"</f>
        <v>5084</v>
      </c>
      <c r="E8559" t="s">
        <v>6549</v>
      </c>
      <c r="F8559" t="s">
        <v>2</v>
      </c>
      <c r="G8559" t="s">
        <v>16234</v>
      </c>
      <c r="H8559" t="s">
        <v>47054</v>
      </c>
      <c r="I8559" t="s">
        <v>47120</v>
      </c>
      <c r="J8559" t="s">
        <v>47121</v>
      </c>
      <c r="K8559" t="s">
        <v>47113</v>
      </c>
      <c r="L8559">
        <v>32.909999999999997</v>
      </c>
      <c r="M8559">
        <v>120</v>
      </c>
      <c r="N8559">
        <v>0</v>
      </c>
      <c r="O8559">
        <v>120</v>
      </c>
      <c r="P8559">
        <v>0</v>
      </c>
    </row>
    <row r="8560" spans="1:16" x14ac:dyDescent="0.25">
      <c r="A8560" t="s">
        <v>31169</v>
      </c>
      <c r="B8560" t="s">
        <v>6539</v>
      </c>
      <c r="C8560" t="s">
        <v>6540</v>
      </c>
      <c r="D8560" t="str">
        <f>"6261"</f>
        <v>6261</v>
      </c>
      <c r="E8560" t="s">
        <v>6550</v>
      </c>
      <c r="F8560" t="s">
        <v>2</v>
      </c>
      <c r="G8560" t="s">
        <v>16234</v>
      </c>
      <c r="H8560" t="s">
        <v>47054</v>
      </c>
      <c r="I8560" t="s">
        <v>47120</v>
      </c>
      <c r="J8560" t="s">
        <v>47121</v>
      </c>
      <c r="K8560" t="s">
        <v>47113</v>
      </c>
      <c r="L8560">
        <v>28.42</v>
      </c>
      <c r="M8560">
        <v>120</v>
      </c>
      <c r="N8560">
        <v>0</v>
      </c>
      <c r="O8560">
        <v>120</v>
      </c>
      <c r="P8560">
        <v>0</v>
      </c>
    </row>
    <row r="8561" spans="1:16" x14ac:dyDescent="0.25">
      <c r="A8561" t="s">
        <v>31170</v>
      </c>
      <c r="B8561" t="s">
        <v>6539</v>
      </c>
      <c r="C8561" t="s">
        <v>6540</v>
      </c>
      <c r="D8561" t="str">
        <f>"6331"</f>
        <v>6331</v>
      </c>
      <c r="E8561" t="s">
        <v>6537</v>
      </c>
      <c r="F8561" t="s">
        <v>5</v>
      </c>
      <c r="G8561" t="s">
        <v>16234</v>
      </c>
      <c r="H8561" t="s">
        <v>47054</v>
      </c>
      <c r="I8561" t="s">
        <v>47120</v>
      </c>
      <c r="J8561" t="s">
        <v>47121</v>
      </c>
      <c r="K8561" t="s">
        <v>47113</v>
      </c>
      <c r="L8561">
        <v>28.42</v>
      </c>
      <c r="M8561">
        <v>61</v>
      </c>
      <c r="N8561">
        <v>0</v>
      </c>
      <c r="O8561">
        <v>61</v>
      </c>
      <c r="P8561">
        <v>0</v>
      </c>
    </row>
    <row r="8562" spans="1:16" x14ac:dyDescent="0.25">
      <c r="A8562" t="s">
        <v>31171</v>
      </c>
      <c r="B8562" t="s">
        <v>6539</v>
      </c>
      <c r="C8562" t="s">
        <v>6540</v>
      </c>
      <c r="D8562" t="str">
        <f>"7235"</f>
        <v>7235</v>
      </c>
      <c r="E8562" t="s">
        <v>6551</v>
      </c>
      <c r="F8562" t="s">
        <v>7</v>
      </c>
      <c r="G8562" t="s">
        <v>16234</v>
      </c>
      <c r="H8562" t="s">
        <v>47054</v>
      </c>
      <c r="I8562" t="s">
        <v>47120</v>
      </c>
      <c r="J8562" t="s">
        <v>47121</v>
      </c>
      <c r="K8562" t="s">
        <v>47113</v>
      </c>
      <c r="L8562">
        <v>26.5</v>
      </c>
      <c r="M8562">
        <v>61</v>
      </c>
      <c r="N8562">
        <v>0</v>
      </c>
      <c r="O8562">
        <v>61</v>
      </c>
      <c r="P8562">
        <v>0</v>
      </c>
    </row>
    <row r="8563" spans="1:16" x14ac:dyDescent="0.25">
      <c r="A8563" t="s">
        <v>31172</v>
      </c>
      <c r="B8563" t="s">
        <v>6539</v>
      </c>
      <c r="C8563" t="s">
        <v>6540</v>
      </c>
      <c r="D8563" t="str">
        <f>"7349"</f>
        <v>7349</v>
      </c>
      <c r="E8563" t="s">
        <v>6552</v>
      </c>
      <c r="F8563" t="s">
        <v>2</v>
      </c>
      <c r="G8563" t="s">
        <v>16234</v>
      </c>
      <c r="H8563" t="s">
        <v>47054</v>
      </c>
      <c r="I8563" t="s">
        <v>47120</v>
      </c>
      <c r="J8563" t="s">
        <v>47121</v>
      </c>
      <c r="K8563" t="s">
        <v>47113</v>
      </c>
      <c r="L8563">
        <v>28.42</v>
      </c>
      <c r="M8563">
        <v>120</v>
      </c>
      <c r="N8563">
        <v>0</v>
      </c>
      <c r="O8563">
        <v>120</v>
      </c>
      <c r="P8563">
        <v>0</v>
      </c>
    </row>
    <row r="8564" spans="1:16" x14ac:dyDescent="0.25">
      <c r="A8564" t="s">
        <v>31173</v>
      </c>
      <c r="B8564" t="s">
        <v>6539</v>
      </c>
      <c r="C8564" t="s">
        <v>6540</v>
      </c>
      <c r="D8564" t="str">
        <f>"8340"</f>
        <v>8340</v>
      </c>
      <c r="E8564" t="s">
        <v>6553</v>
      </c>
      <c r="F8564" t="s">
        <v>2</v>
      </c>
      <c r="G8564" t="s">
        <v>16234</v>
      </c>
      <c r="H8564" t="s">
        <v>47054</v>
      </c>
      <c r="I8564" t="s">
        <v>47120</v>
      </c>
      <c r="J8564" t="s">
        <v>47121</v>
      </c>
      <c r="K8564" t="s">
        <v>47113</v>
      </c>
      <c r="L8564">
        <v>28.42</v>
      </c>
      <c r="M8564">
        <v>120</v>
      </c>
      <c r="N8564">
        <v>0</v>
      </c>
      <c r="O8564">
        <v>120</v>
      </c>
      <c r="P8564">
        <v>0</v>
      </c>
    </row>
    <row r="8565" spans="1:16" x14ac:dyDescent="0.25">
      <c r="A8565" t="s">
        <v>14962</v>
      </c>
      <c r="B8565" t="s">
        <v>6554</v>
      </c>
      <c r="C8565" t="s">
        <v>17373</v>
      </c>
      <c r="D8565" t="str">
        <f>"1056"</f>
        <v>1056</v>
      </c>
      <c r="E8565" t="s">
        <v>1277</v>
      </c>
      <c r="F8565" t="s">
        <v>2068</v>
      </c>
      <c r="G8565" t="s">
        <v>16234</v>
      </c>
      <c r="H8565" t="s">
        <v>47054</v>
      </c>
      <c r="I8565" t="s">
        <v>47120</v>
      </c>
      <c r="J8565" t="s">
        <v>47121</v>
      </c>
      <c r="K8565" t="s">
        <v>47113</v>
      </c>
      <c r="L8565">
        <v>27.27</v>
      </c>
      <c r="M8565">
        <v>63</v>
      </c>
      <c r="N8565">
        <v>0</v>
      </c>
      <c r="O8565">
        <v>63</v>
      </c>
      <c r="P8565">
        <v>0</v>
      </c>
    </row>
    <row r="8566" spans="1:16" x14ac:dyDescent="0.25">
      <c r="A8566" t="s">
        <v>31174</v>
      </c>
      <c r="B8566" t="s">
        <v>6554</v>
      </c>
      <c r="C8566" t="s">
        <v>17373</v>
      </c>
      <c r="D8566" t="str">
        <f>"1300"</f>
        <v>1300</v>
      </c>
      <c r="E8566" t="s">
        <v>6555</v>
      </c>
      <c r="F8566" t="s">
        <v>3670</v>
      </c>
      <c r="G8566" t="s">
        <v>16234</v>
      </c>
      <c r="H8566" t="s">
        <v>47054</v>
      </c>
      <c r="I8566" t="s">
        <v>47120</v>
      </c>
      <c r="J8566" t="s">
        <v>47121</v>
      </c>
      <c r="K8566" t="s">
        <v>47113</v>
      </c>
      <c r="L8566">
        <v>29.56</v>
      </c>
      <c r="M8566">
        <v>83</v>
      </c>
      <c r="N8566">
        <v>0</v>
      </c>
      <c r="O8566">
        <v>83</v>
      </c>
      <c r="P8566">
        <v>0</v>
      </c>
    </row>
    <row r="8567" spans="1:16" x14ac:dyDescent="0.25">
      <c r="A8567" t="s">
        <v>31175</v>
      </c>
      <c r="B8567" t="s">
        <v>6554</v>
      </c>
      <c r="C8567" t="s">
        <v>17373</v>
      </c>
      <c r="D8567" t="str">
        <f>"1700"</f>
        <v>1700</v>
      </c>
      <c r="E8567" t="s">
        <v>6556</v>
      </c>
      <c r="F8567" t="s">
        <v>3670</v>
      </c>
      <c r="G8567" t="s">
        <v>16234</v>
      </c>
      <c r="H8567" t="s">
        <v>47054</v>
      </c>
      <c r="I8567" t="s">
        <v>47120</v>
      </c>
      <c r="J8567" t="s">
        <v>47121</v>
      </c>
      <c r="K8567" t="s">
        <v>47113</v>
      </c>
      <c r="L8567">
        <v>28.82</v>
      </c>
      <c r="M8567">
        <v>63</v>
      </c>
      <c r="N8567">
        <v>0</v>
      </c>
      <c r="O8567">
        <v>63</v>
      </c>
      <c r="P8567">
        <v>0</v>
      </c>
    </row>
    <row r="8568" spans="1:16" x14ac:dyDescent="0.25">
      <c r="A8568" t="s">
        <v>31176</v>
      </c>
      <c r="B8568" t="s">
        <v>6554</v>
      </c>
      <c r="C8568" t="s">
        <v>17373</v>
      </c>
      <c r="D8568" t="str">
        <f>"3524"</f>
        <v>3524</v>
      </c>
      <c r="E8568" t="s">
        <v>6557</v>
      </c>
      <c r="F8568" t="s">
        <v>2068</v>
      </c>
      <c r="G8568" t="s">
        <v>16234</v>
      </c>
      <c r="H8568" t="s">
        <v>47054</v>
      </c>
      <c r="I8568" t="s">
        <v>47120</v>
      </c>
      <c r="J8568" t="s">
        <v>47121</v>
      </c>
      <c r="K8568" t="s">
        <v>47113</v>
      </c>
      <c r="L8568">
        <v>27.88</v>
      </c>
      <c r="M8568">
        <v>63</v>
      </c>
      <c r="N8568">
        <v>0</v>
      </c>
      <c r="O8568">
        <v>63</v>
      </c>
      <c r="P8568">
        <v>0</v>
      </c>
    </row>
    <row r="8569" spans="1:16" x14ac:dyDescent="0.25">
      <c r="A8569" t="s">
        <v>31177</v>
      </c>
      <c r="B8569" t="s">
        <v>6554</v>
      </c>
      <c r="C8569" t="s">
        <v>17373</v>
      </c>
      <c r="D8569" t="str">
        <f>"4093"</f>
        <v>4093</v>
      </c>
      <c r="E8569" t="s">
        <v>6558</v>
      </c>
      <c r="F8569" t="s">
        <v>3670</v>
      </c>
      <c r="G8569" t="s">
        <v>16234</v>
      </c>
      <c r="H8569" t="s">
        <v>47054</v>
      </c>
      <c r="I8569" t="s">
        <v>47120</v>
      </c>
      <c r="J8569" t="s">
        <v>47121</v>
      </c>
      <c r="K8569" t="s">
        <v>47113</v>
      </c>
      <c r="L8569">
        <v>28.82</v>
      </c>
      <c r="M8569">
        <v>63</v>
      </c>
      <c r="N8569">
        <v>0</v>
      </c>
      <c r="O8569">
        <v>63</v>
      </c>
      <c r="P8569">
        <v>0</v>
      </c>
    </row>
    <row r="8570" spans="1:16" x14ac:dyDescent="0.25">
      <c r="A8570" t="s">
        <v>31178</v>
      </c>
      <c r="B8570" t="s">
        <v>6554</v>
      </c>
      <c r="C8570" t="s">
        <v>17373</v>
      </c>
      <c r="D8570" t="str">
        <f>"4679"</f>
        <v>4679</v>
      </c>
      <c r="E8570" t="s">
        <v>6559</v>
      </c>
      <c r="F8570" t="s">
        <v>2068</v>
      </c>
      <c r="G8570" t="s">
        <v>16234</v>
      </c>
      <c r="H8570" t="s">
        <v>47054</v>
      </c>
      <c r="I8570" t="s">
        <v>47120</v>
      </c>
      <c r="J8570" t="s">
        <v>47121</v>
      </c>
      <c r="K8570" t="s">
        <v>47113</v>
      </c>
      <c r="L8570">
        <v>27.88</v>
      </c>
      <c r="M8570">
        <v>63</v>
      </c>
      <c r="N8570">
        <v>0</v>
      </c>
      <c r="O8570">
        <v>63</v>
      </c>
      <c r="P8570">
        <v>0</v>
      </c>
    </row>
    <row r="8571" spans="1:16" x14ac:dyDescent="0.25">
      <c r="A8571" t="s">
        <v>31179</v>
      </c>
      <c r="B8571" t="s">
        <v>6554</v>
      </c>
      <c r="C8571" t="s">
        <v>17373</v>
      </c>
      <c r="D8571" t="str">
        <f>"6308"</f>
        <v>6308</v>
      </c>
      <c r="E8571" t="s">
        <v>6560</v>
      </c>
      <c r="F8571" t="s">
        <v>3670</v>
      </c>
      <c r="G8571" t="s">
        <v>16234</v>
      </c>
      <c r="H8571" t="s">
        <v>47054</v>
      </c>
      <c r="I8571" t="s">
        <v>47120</v>
      </c>
      <c r="J8571" t="s">
        <v>47121</v>
      </c>
      <c r="K8571" t="s">
        <v>47113</v>
      </c>
      <c r="L8571">
        <v>28.82</v>
      </c>
      <c r="M8571">
        <v>63</v>
      </c>
      <c r="N8571">
        <v>0</v>
      </c>
      <c r="O8571">
        <v>63</v>
      </c>
      <c r="P8571">
        <v>0</v>
      </c>
    </row>
    <row r="8572" spans="1:16" x14ac:dyDescent="0.25">
      <c r="A8572" t="s">
        <v>31180</v>
      </c>
      <c r="B8572" t="s">
        <v>6554</v>
      </c>
      <c r="C8572" t="s">
        <v>17373</v>
      </c>
      <c r="D8572" t="str">
        <f>"6477"</f>
        <v>6477</v>
      </c>
      <c r="E8572" t="s">
        <v>6561</v>
      </c>
      <c r="F8572" t="s">
        <v>2068</v>
      </c>
      <c r="G8572" t="s">
        <v>16234</v>
      </c>
      <c r="H8572" t="s">
        <v>47054</v>
      </c>
      <c r="I8572" t="s">
        <v>47120</v>
      </c>
      <c r="J8572" t="s">
        <v>47121</v>
      </c>
      <c r="K8572" t="s">
        <v>47113</v>
      </c>
      <c r="L8572">
        <v>27.88</v>
      </c>
      <c r="M8572">
        <v>63</v>
      </c>
      <c r="N8572">
        <v>0</v>
      </c>
      <c r="O8572">
        <v>63</v>
      </c>
      <c r="P8572">
        <v>0</v>
      </c>
    </row>
    <row r="8573" spans="1:16" x14ac:dyDescent="0.25">
      <c r="A8573" t="s">
        <v>31181</v>
      </c>
      <c r="B8573" t="s">
        <v>6554</v>
      </c>
      <c r="C8573" t="s">
        <v>17373</v>
      </c>
      <c r="D8573" t="str">
        <f>"7122"</f>
        <v>7122</v>
      </c>
      <c r="E8573" t="s">
        <v>6562</v>
      </c>
      <c r="F8573" t="s">
        <v>2068</v>
      </c>
      <c r="G8573" t="s">
        <v>16234</v>
      </c>
      <c r="H8573" t="s">
        <v>47054</v>
      </c>
      <c r="I8573" t="s">
        <v>47120</v>
      </c>
      <c r="J8573" t="s">
        <v>47121</v>
      </c>
      <c r="K8573" t="s">
        <v>47113</v>
      </c>
      <c r="L8573">
        <v>27.88</v>
      </c>
      <c r="M8573">
        <v>63</v>
      </c>
      <c r="N8573">
        <v>0</v>
      </c>
      <c r="O8573">
        <v>63</v>
      </c>
      <c r="P8573">
        <v>0</v>
      </c>
    </row>
    <row r="8574" spans="1:16" x14ac:dyDescent="0.25">
      <c r="A8574" t="s">
        <v>31182</v>
      </c>
      <c r="B8574" t="s">
        <v>6554</v>
      </c>
      <c r="C8574" t="s">
        <v>17373</v>
      </c>
      <c r="D8574" t="str">
        <f>"7226"</f>
        <v>7226</v>
      </c>
      <c r="E8574" t="s">
        <v>6563</v>
      </c>
      <c r="F8574" t="s">
        <v>2068</v>
      </c>
      <c r="G8574" t="s">
        <v>16234</v>
      </c>
      <c r="H8574" t="s">
        <v>47054</v>
      </c>
      <c r="I8574" t="s">
        <v>47120</v>
      </c>
      <c r="J8574" t="s">
        <v>47121</v>
      </c>
      <c r="K8574" t="s">
        <v>47113</v>
      </c>
      <c r="L8574">
        <v>27.27</v>
      </c>
      <c r="M8574">
        <v>63</v>
      </c>
      <c r="N8574">
        <v>0</v>
      </c>
      <c r="O8574">
        <v>63</v>
      </c>
      <c r="P8574">
        <v>0</v>
      </c>
    </row>
    <row r="8575" spans="1:16" x14ac:dyDescent="0.25">
      <c r="A8575" t="s">
        <v>31183</v>
      </c>
      <c r="B8575" t="s">
        <v>6554</v>
      </c>
      <c r="C8575" t="s">
        <v>17373</v>
      </c>
      <c r="D8575" t="str">
        <f>"8410"</f>
        <v>8410</v>
      </c>
      <c r="E8575" t="s">
        <v>6564</v>
      </c>
      <c r="F8575" t="s">
        <v>2068</v>
      </c>
      <c r="G8575" t="s">
        <v>16234</v>
      </c>
      <c r="H8575" t="s">
        <v>47054</v>
      </c>
      <c r="I8575" t="s">
        <v>47120</v>
      </c>
      <c r="J8575" t="s">
        <v>47121</v>
      </c>
      <c r="K8575" t="s">
        <v>47113</v>
      </c>
      <c r="L8575">
        <v>27.88</v>
      </c>
      <c r="M8575">
        <v>63</v>
      </c>
      <c r="N8575">
        <v>0</v>
      </c>
      <c r="O8575">
        <v>63</v>
      </c>
      <c r="P8575">
        <v>0</v>
      </c>
    </row>
    <row r="8576" spans="1:16" x14ac:dyDescent="0.25">
      <c r="A8576" t="s">
        <v>31184</v>
      </c>
      <c r="B8576" t="s">
        <v>6565</v>
      </c>
      <c r="C8576" t="s">
        <v>6566</v>
      </c>
      <c r="D8576" t="str">
        <f>"1025"</f>
        <v>1025</v>
      </c>
      <c r="E8576" t="s">
        <v>6567</v>
      </c>
      <c r="F8576" t="s">
        <v>8</v>
      </c>
      <c r="G8576" t="s">
        <v>16224</v>
      </c>
      <c r="H8576" t="s">
        <v>47054</v>
      </c>
      <c r="I8576" t="s">
        <v>47120</v>
      </c>
      <c r="J8576" t="s">
        <v>47121</v>
      </c>
      <c r="K8576" t="s">
        <v>47113</v>
      </c>
      <c r="L8576">
        <v>44.8</v>
      </c>
      <c r="M8576">
        <v>114</v>
      </c>
      <c r="N8576">
        <v>0</v>
      </c>
      <c r="O8576">
        <v>114</v>
      </c>
      <c r="P8576">
        <v>0</v>
      </c>
    </row>
    <row r="8577" spans="1:16" x14ac:dyDescent="0.25">
      <c r="A8577" t="s">
        <v>31185</v>
      </c>
      <c r="B8577" t="s">
        <v>6565</v>
      </c>
      <c r="C8577" t="s">
        <v>6566</v>
      </c>
      <c r="D8577" t="str">
        <f>"1308"</f>
        <v>1308</v>
      </c>
      <c r="E8577" t="s">
        <v>6568</v>
      </c>
      <c r="F8577" t="s">
        <v>8</v>
      </c>
      <c r="G8577" t="s">
        <v>16224</v>
      </c>
      <c r="H8577" t="s">
        <v>47054</v>
      </c>
      <c r="I8577" t="s">
        <v>47120</v>
      </c>
      <c r="J8577" t="s">
        <v>47121</v>
      </c>
      <c r="K8577" t="s">
        <v>47113</v>
      </c>
      <c r="L8577">
        <v>44.8</v>
      </c>
      <c r="M8577">
        <v>114</v>
      </c>
      <c r="N8577">
        <v>0</v>
      </c>
      <c r="O8577">
        <v>114</v>
      </c>
      <c r="P8577">
        <v>0</v>
      </c>
    </row>
    <row r="8578" spans="1:16" x14ac:dyDescent="0.25">
      <c r="A8578" t="s">
        <v>31186</v>
      </c>
      <c r="B8578" t="s">
        <v>6569</v>
      </c>
      <c r="C8578" t="s">
        <v>6570</v>
      </c>
      <c r="D8578" t="str">
        <f>"4128"</f>
        <v>4128</v>
      </c>
      <c r="E8578" t="s">
        <v>1284</v>
      </c>
      <c r="F8578" t="s">
        <v>7</v>
      </c>
      <c r="G8578" t="s">
        <v>16224</v>
      </c>
      <c r="H8578" t="s">
        <v>47054</v>
      </c>
      <c r="I8578" t="s">
        <v>47120</v>
      </c>
      <c r="J8578" t="s">
        <v>47121</v>
      </c>
      <c r="K8578" t="s">
        <v>47113</v>
      </c>
      <c r="L8578">
        <v>46.21</v>
      </c>
      <c r="M8578">
        <v>110</v>
      </c>
      <c r="N8578">
        <v>0</v>
      </c>
      <c r="O8578">
        <v>110</v>
      </c>
      <c r="P8578">
        <v>0</v>
      </c>
    </row>
    <row r="8579" spans="1:16" x14ac:dyDescent="0.25">
      <c r="A8579" t="s">
        <v>31187</v>
      </c>
      <c r="B8579" t="s">
        <v>6569</v>
      </c>
      <c r="C8579" t="s">
        <v>6570</v>
      </c>
      <c r="D8579" t="str">
        <f>"7223"</f>
        <v>7223</v>
      </c>
      <c r="E8579" t="s">
        <v>6571</v>
      </c>
      <c r="F8579" t="s">
        <v>7</v>
      </c>
      <c r="G8579" t="s">
        <v>16224</v>
      </c>
      <c r="H8579" t="s">
        <v>47054</v>
      </c>
      <c r="I8579" t="s">
        <v>47120</v>
      </c>
      <c r="J8579" t="s">
        <v>47121</v>
      </c>
      <c r="K8579" t="s">
        <v>47113</v>
      </c>
      <c r="L8579">
        <v>46.21</v>
      </c>
      <c r="M8579">
        <v>110</v>
      </c>
      <c r="N8579">
        <v>0</v>
      </c>
      <c r="O8579">
        <v>110</v>
      </c>
      <c r="P8579">
        <v>0</v>
      </c>
    </row>
    <row r="8580" spans="1:16" x14ac:dyDescent="0.25">
      <c r="A8580" t="s">
        <v>31188</v>
      </c>
      <c r="B8580" t="s">
        <v>15443</v>
      </c>
      <c r="C8580" t="s">
        <v>15444</v>
      </c>
      <c r="D8580" t="str">
        <f>"1056"</f>
        <v>1056</v>
      </c>
      <c r="E8580" t="s">
        <v>1277</v>
      </c>
      <c r="F8580" t="s">
        <v>2068</v>
      </c>
      <c r="G8580" t="s">
        <v>16233</v>
      </c>
      <c r="H8580" t="s">
        <v>47054</v>
      </c>
      <c r="I8580" t="s">
        <v>47120</v>
      </c>
      <c r="J8580" t="s">
        <v>47121</v>
      </c>
      <c r="K8580" t="s">
        <v>47113</v>
      </c>
      <c r="L8580">
        <v>22.97</v>
      </c>
      <c r="M8580">
        <v>55</v>
      </c>
      <c r="N8580">
        <v>0</v>
      </c>
      <c r="O8580">
        <v>55</v>
      </c>
      <c r="P8580">
        <v>0</v>
      </c>
    </row>
    <row r="8581" spans="1:16" x14ac:dyDescent="0.25">
      <c r="A8581" t="s">
        <v>31189</v>
      </c>
      <c r="B8581" t="s">
        <v>15443</v>
      </c>
      <c r="C8581" t="s">
        <v>15444</v>
      </c>
      <c r="D8581" t="str">
        <f>"1300"</f>
        <v>1300</v>
      </c>
      <c r="E8581" t="s">
        <v>6555</v>
      </c>
      <c r="F8581" t="s">
        <v>3670</v>
      </c>
      <c r="G8581" t="s">
        <v>16233</v>
      </c>
      <c r="H8581" t="s">
        <v>47054</v>
      </c>
      <c r="I8581" t="s">
        <v>47120</v>
      </c>
      <c r="J8581" t="s">
        <v>47121</v>
      </c>
      <c r="K8581" t="s">
        <v>47113</v>
      </c>
      <c r="L8581">
        <v>22.97</v>
      </c>
      <c r="M8581">
        <v>55</v>
      </c>
      <c r="N8581">
        <v>0</v>
      </c>
      <c r="O8581">
        <v>55</v>
      </c>
      <c r="P8581">
        <v>0</v>
      </c>
    </row>
    <row r="8582" spans="1:16" x14ac:dyDescent="0.25">
      <c r="A8582" t="s">
        <v>31190</v>
      </c>
      <c r="B8582" t="s">
        <v>15443</v>
      </c>
      <c r="C8582" t="s">
        <v>15444</v>
      </c>
      <c r="D8582" t="str">
        <f>"1700"</f>
        <v>1700</v>
      </c>
      <c r="E8582" t="s">
        <v>6556</v>
      </c>
      <c r="F8582" t="s">
        <v>3670</v>
      </c>
      <c r="G8582" t="s">
        <v>16233</v>
      </c>
      <c r="H8582" t="s">
        <v>47054</v>
      </c>
      <c r="I8582" t="s">
        <v>47120</v>
      </c>
      <c r="J8582" t="s">
        <v>47121</v>
      </c>
      <c r="K8582" t="s">
        <v>47113</v>
      </c>
      <c r="L8582">
        <v>22.97</v>
      </c>
      <c r="M8582">
        <v>55</v>
      </c>
      <c r="N8582">
        <v>0</v>
      </c>
      <c r="O8582">
        <v>55</v>
      </c>
      <c r="P8582">
        <v>0</v>
      </c>
    </row>
    <row r="8583" spans="1:16" x14ac:dyDescent="0.25">
      <c r="A8583" t="s">
        <v>31191</v>
      </c>
      <c r="B8583" t="s">
        <v>15443</v>
      </c>
      <c r="C8583" t="s">
        <v>15444</v>
      </c>
      <c r="D8583" t="str">
        <f>"4679"</f>
        <v>4679</v>
      </c>
      <c r="E8583" t="s">
        <v>6559</v>
      </c>
      <c r="F8583" t="s">
        <v>3670</v>
      </c>
      <c r="G8583" t="s">
        <v>16233</v>
      </c>
      <c r="H8583" t="s">
        <v>47054</v>
      </c>
      <c r="I8583" t="s">
        <v>47120</v>
      </c>
      <c r="J8583" t="s">
        <v>47121</v>
      </c>
      <c r="K8583" t="s">
        <v>47113</v>
      </c>
      <c r="L8583">
        <v>22.97</v>
      </c>
      <c r="M8583">
        <v>55</v>
      </c>
      <c r="N8583">
        <v>0</v>
      </c>
      <c r="O8583">
        <v>55</v>
      </c>
      <c r="P8583">
        <v>0</v>
      </c>
    </row>
    <row r="8584" spans="1:16" x14ac:dyDescent="0.25">
      <c r="A8584" t="s">
        <v>31192</v>
      </c>
      <c r="B8584" t="s">
        <v>15443</v>
      </c>
      <c r="C8584" t="s">
        <v>15444</v>
      </c>
      <c r="D8584" t="str">
        <f>"6308"</f>
        <v>6308</v>
      </c>
      <c r="E8584" t="s">
        <v>6560</v>
      </c>
      <c r="F8584" t="s">
        <v>3670</v>
      </c>
      <c r="G8584" t="s">
        <v>16233</v>
      </c>
      <c r="H8584" t="s">
        <v>47054</v>
      </c>
      <c r="I8584" t="s">
        <v>47120</v>
      </c>
      <c r="J8584" t="s">
        <v>47121</v>
      </c>
      <c r="K8584" t="s">
        <v>47113</v>
      </c>
      <c r="L8584">
        <v>22.97</v>
      </c>
      <c r="M8584">
        <v>55</v>
      </c>
      <c r="N8584">
        <v>0</v>
      </c>
      <c r="O8584">
        <v>55</v>
      </c>
      <c r="P8584">
        <v>0</v>
      </c>
    </row>
    <row r="8585" spans="1:16" x14ac:dyDescent="0.25">
      <c r="A8585" t="s">
        <v>31193</v>
      </c>
      <c r="B8585" t="s">
        <v>15443</v>
      </c>
      <c r="C8585" t="s">
        <v>15444</v>
      </c>
      <c r="D8585" t="str">
        <f>"7226"</f>
        <v>7226</v>
      </c>
      <c r="E8585" t="s">
        <v>6563</v>
      </c>
      <c r="F8585" t="s">
        <v>2068</v>
      </c>
      <c r="G8585" t="s">
        <v>16233</v>
      </c>
      <c r="H8585" t="s">
        <v>47054</v>
      </c>
      <c r="I8585" t="s">
        <v>47120</v>
      </c>
      <c r="J8585" t="s">
        <v>47121</v>
      </c>
      <c r="K8585" t="s">
        <v>47113</v>
      </c>
      <c r="L8585">
        <v>22.97</v>
      </c>
      <c r="M8585">
        <v>55</v>
      </c>
      <c r="N8585">
        <v>0</v>
      </c>
      <c r="O8585">
        <v>55</v>
      </c>
      <c r="P8585">
        <v>0</v>
      </c>
    </row>
    <row r="8586" spans="1:16" x14ac:dyDescent="0.25">
      <c r="A8586" t="s">
        <v>31194</v>
      </c>
      <c r="B8586" t="s">
        <v>6572</v>
      </c>
      <c r="C8586" t="s">
        <v>6573</v>
      </c>
      <c r="D8586" t="str">
        <f>"1056"</f>
        <v>1056</v>
      </c>
      <c r="E8586" t="s">
        <v>1277</v>
      </c>
      <c r="F8586" t="s">
        <v>5</v>
      </c>
      <c r="G8586" t="s">
        <v>16234</v>
      </c>
      <c r="H8586" t="s">
        <v>47054</v>
      </c>
      <c r="I8586" t="s">
        <v>47120</v>
      </c>
      <c r="J8586" t="s">
        <v>47121</v>
      </c>
      <c r="K8586" t="s">
        <v>47113</v>
      </c>
      <c r="L8586">
        <v>26.95</v>
      </c>
      <c r="M8586">
        <v>61</v>
      </c>
      <c r="N8586">
        <v>0</v>
      </c>
      <c r="O8586">
        <v>61</v>
      </c>
      <c r="P8586">
        <v>0</v>
      </c>
    </row>
    <row r="8587" spans="1:16" x14ac:dyDescent="0.25">
      <c r="A8587" t="s">
        <v>31195</v>
      </c>
      <c r="B8587" t="s">
        <v>6572</v>
      </c>
      <c r="C8587" t="s">
        <v>6573</v>
      </c>
      <c r="D8587" t="str">
        <f>"1116"</f>
        <v>1116</v>
      </c>
      <c r="E8587" t="s">
        <v>6530</v>
      </c>
      <c r="F8587" t="s">
        <v>4</v>
      </c>
      <c r="G8587" t="s">
        <v>16234</v>
      </c>
      <c r="H8587" t="s">
        <v>47054</v>
      </c>
      <c r="I8587" t="s">
        <v>47120</v>
      </c>
      <c r="J8587" t="s">
        <v>47121</v>
      </c>
      <c r="K8587" t="s">
        <v>47113</v>
      </c>
      <c r="L8587">
        <v>27.68</v>
      </c>
      <c r="M8587">
        <v>68</v>
      </c>
      <c r="N8587">
        <v>0</v>
      </c>
      <c r="O8587">
        <v>68</v>
      </c>
      <c r="P8587">
        <v>0</v>
      </c>
    </row>
    <row r="8588" spans="1:16" x14ac:dyDescent="0.25">
      <c r="A8588" t="s">
        <v>31196</v>
      </c>
      <c r="B8588" t="s">
        <v>6572</v>
      </c>
      <c r="C8588" t="s">
        <v>6573</v>
      </c>
      <c r="D8588" t="str">
        <f>"1290"</f>
        <v>1290</v>
      </c>
      <c r="E8588" t="s">
        <v>6532</v>
      </c>
      <c r="F8588" t="s">
        <v>5</v>
      </c>
      <c r="G8588" t="s">
        <v>16234</v>
      </c>
      <c r="H8588" t="s">
        <v>47054</v>
      </c>
      <c r="I8588" t="s">
        <v>47120</v>
      </c>
      <c r="J8588" t="s">
        <v>47121</v>
      </c>
      <c r="K8588" t="s">
        <v>47113</v>
      </c>
      <c r="L8588">
        <v>26.95</v>
      </c>
      <c r="M8588">
        <v>61</v>
      </c>
      <c r="N8588">
        <v>0</v>
      </c>
      <c r="O8588">
        <v>61</v>
      </c>
      <c r="P8588">
        <v>0</v>
      </c>
    </row>
    <row r="8589" spans="1:16" x14ac:dyDescent="0.25">
      <c r="A8589" t="s">
        <v>31197</v>
      </c>
      <c r="B8589" t="s">
        <v>6572</v>
      </c>
      <c r="C8589" t="s">
        <v>6573</v>
      </c>
      <c r="D8589" t="str">
        <f>"2122"</f>
        <v>2122</v>
      </c>
      <c r="E8589" t="s">
        <v>6533</v>
      </c>
      <c r="F8589" t="s">
        <v>5</v>
      </c>
      <c r="G8589" t="s">
        <v>16234</v>
      </c>
      <c r="H8589" t="s">
        <v>47054</v>
      </c>
      <c r="I8589" t="s">
        <v>47120</v>
      </c>
      <c r="J8589" t="s">
        <v>47121</v>
      </c>
      <c r="K8589" t="s">
        <v>47113</v>
      </c>
      <c r="L8589">
        <v>26.67</v>
      </c>
      <c r="M8589">
        <v>61</v>
      </c>
      <c r="N8589">
        <v>0</v>
      </c>
      <c r="O8589">
        <v>61</v>
      </c>
      <c r="P8589">
        <v>0</v>
      </c>
    </row>
    <row r="8590" spans="1:16" x14ac:dyDescent="0.25">
      <c r="A8590" t="s">
        <v>31198</v>
      </c>
      <c r="B8590" t="s">
        <v>6572</v>
      </c>
      <c r="C8590" t="s">
        <v>6573</v>
      </c>
      <c r="D8590" t="str">
        <f>"2412"</f>
        <v>2412</v>
      </c>
      <c r="E8590" t="s">
        <v>6531</v>
      </c>
      <c r="F8590" t="s">
        <v>4</v>
      </c>
      <c r="G8590" t="s">
        <v>16234</v>
      </c>
      <c r="H8590" t="s">
        <v>47054</v>
      </c>
      <c r="I8590" t="s">
        <v>47120</v>
      </c>
      <c r="J8590" t="s">
        <v>47121</v>
      </c>
      <c r="K8590" t="s">
        <v>47113</v>
      </c>
      <c r="L8590">
        <v>27.39</v>
      </c>
      <c r="M8590">
        <v>69</v>
      </c>
      <c r="N8590">
        <v>0</v>
      </c>
      <c r="O8590">
        <v>69</v>
      </c>
      <c r="P8590">
        <v>0</v>
      </c>
    </row>
    <row r="8591" spans="1:16" x14ac:dyDescent="0.25">
      <c r="A8591" t="s">
        <v>31199</v>
      </c>
      <c r="B8591" t="s">
        <v>6572</v>
      </c>
      <c r="C8591" t="s">
        <v>6573</v>
      </c>
      <c r="D8591" t="str">
        <f>"3238"</f>
        <v>3238</v>
      </c>
      <c r="E8591" t="s">
        <v>6543</v>
      </c>
      <c r="F8591" t="s">
        <v>2</v>
      </c>
      <c r="G8591" t="s">
        <v>16234</v>
      </c>
      <c r="H8591" t="s">
        <v>47054</v>
      </c>
      <c r="I8591" t="s">
        <v>47120</v>
      </c>
      <c r="J8591" t="s">
        <v>47121</v>
      </c>
      <c r="K8591" t="s">
        <v>47113</v>
      </c>
      <c r="L8591">
        <v>26.95</v>
      </c>
      <c r="M8591">
        <v>120</v>
      </c>
      <c r="N8591">
        <v>0</v>
      </c>
      <c r="O8591">
        <v>120</v>
      </c>
      <c r="P8591">
        <v>0</v>
      </c>
    </row>
    <row r="8592" spans="1:16" x14ac:dyDescent="0.25">
      <c r="A8592" t="s">
        <v>31200</v>
      </c>
      <c r="B8592" t="s">
        <v>6572</v>
      </c>
      <c r="C8592" t="s">
        <v>6573</v>
      </c>
      <c r="D8592" t="str">
        <f>"3239"</f>
        <v>3239</v>
      </c>
      <c r="E8592" t="s">
        <v>6544</v>
      </c>
      <c r="F8592" t="s">
        <v>2</v>
      </c>
      <c r="G8592" t="s">
        <v>16234</v>
      </c>
      <c r="H8592" t="s">
        <v>47054</v>
      </c>
      <c r="I8592" t="s">
        <v>47120</v>
      </c>
      <c r="J8592" t="s">
        <v>47121</v>
      </c>
      <c r="K8592" t="s">
        <v>47113</v>
      </c>
      <c r="L8592">
        <v>26.95</v>
      </c>
      <c r="M8592">
        <v>120</v>
      </c>
      <c r="N8592">
        <v>0</v>
      </c>
      <c r="O8592">
        <v>120</v>
      </c>
      <c r="P8592">
        <v>0</v>
      </c>
    </row>
    <row r="8593" spans="1:16" x14ac:dyDescent="0.25">
      <c r="A8593" t="s">
        <v>31201</v>
      </c>
      <c r="B8593" t="s">
        <v>6572</v>
      </c>
      <c r="C8593" t="s">
        <v>6573</v>
      </c>
      <c r="D8593" t="str">
        <f>"3408"</f>
        <v>3408</v>
      </c>
      <c r="E8593" t="s">
        <v>2635</v>
      </c>
      <c r="F8593" t="s">
        <v>2</v>
      </c>
      <c r="G8593" t="s">
        <v>16234</v>
      </c>
      <c r="H8593" t="s">
        <v>47054</v>
      </c>
      <c r="I8593" t="s">
        <v>47120</v>
      </c>
      <c r="J8593" t="s">
        <v>47121</v>
      </c>
      <c r="K8593" t="s">
        <v>47113</v>
      </c>
      <c r="L8593">
        <v>27.3</v>
      </c>
      <c r="M8593">
        <v>60</v>
      </c>
      <c r="N8593">
        <v>0</v>
      </c>
      <c r="O8593">
        <v>60</v>
      </c>
      <c r="P8593">
        <v>0</v>
      </c>
    </row>
    <row r="8594" spans="1:16" x14ac:dyDescent="0.25">
      <c r="A8594" t="s">
        <v>31202</v>
      </c>
      <c r="B8594" t="s">
        <v>6572</v>
      </c>
      <c r="C8594" t="s">
        <v>6573</v>
      </c>
      <c r="D8594" t="str">
        <f>"3457"</f>
        <v>3457</v>
      </c>
      <c r="E8594" t="s">
        <v>6534</v>
      </c>
      <c r="F8594" t="s">
        <v>4</v>
      </c>
      <c r="G8594" t="s">
        <v>16234</v>
      </c>
      <c r="H8594" t="s">
        <v>47054</v>
      </c>
      <c r="I8594" t="s">
        <v>47120</v>
      </c>
      <c r="J8594" t="s">
        <v>47121</v>
      </c>
      <c r="K8594" t="s">
        <v>47113</v>
      </c>
      <c r="L8594">
        <v>27.68</v>
      </c>
      <c r="M8594">
        <v>69</v>
      </c>
      <c r="N8594">
        <v>0</v>
      </c>
      <c r="O8594">
        <v>69</v>
      </c>
      <c r="P8594">
        <v>0</v>
      </c>
    </row>
    <row r="8595" spans="1:16" x14ac:dyDescent="0.25">
      <c r="A8595" t="s">
        <v>31203</v>
      </c>
      <c r="B8595" t="s">
        <v>6572</v>
      </c>
      <c r="C8595" t="s">
        <v>6573</v>
      </c>
      <c r="D8595" t="str">
        <f>"4362"</f>
        <v>4362</v>
      </c>
      <c r="E8595" t="s">
        <v>6536</v>
      </c>
      <c r="F8595" t="s">
        <v>4</v>
      </c>
      <c r="G8595" t="s">
        <v>16234</v>
      </c>
      <c r="H8595" t="s">
        <v>47054</v>
      </c>
      <c r="I8595" t="s">
        <v>47120</v>
      </c>
      <c r="J8595" t="s">
        <v>47121</v>
      </c>
      <c r="K8595" t="s">
        <v>47113</v>
      </c>
      <c r="L8595">
        <v>27.39</v>
      </c>
      <c r="M8595">
        <v>69</v>
      </c>
      <c r="N8595">
        <v>0</v>
      </c>
      <c r="O8595">
        <v>69</v>
      </c>
      <c r="P8595">
        <v>0</v>
      </c>
    </row>
    <row r="8596" spans="1:16" x14ac:dyDescent="0.25">
      <c r="A8596" t="s">
        <v>31204</v>
      </c>
      <c r="B8596" t="s">
        <v>6572</v>
      </c>
      <c r="C8596" t="s">
        <v>6573</v>
      </c>
      <c r="D8596" t="str">
        <f>"4614"</f>
        <v>4614</v>
      </c>
      <c r="E8596" t="s">
        <v>6546</v>
      </c>
      <c r="F8596" t="s">
        <v>2</v>
      </c>
      <c r="G8596" t="s">
        <v>16234</v>
      </c>
      <c r="H8596" t="s">
        <v>47054</v>
      </c>
      <c r="I8596" t="s">
        <v>47120</v>
      </c>
      <c r="J8596" t="s">
        <v>47121</v>
      </c>
      <c r="K8596" t="s">
        <v>47113</v>
      </c>
      <c r="L8596">
        <v>26.95</v>
      </c>
      <c r="M8596">
        <v>120</v>
      </c>
      <c r="N8596">
        <v>0</v>
      </c>
      <c r="O8596">
        <v>120</v>
      </c>
      <c r="P8596">
        <v>0</v>
      </c>
    </row>
    <row r="8597" spans="1:16" x14ac:dyDescent="0.25">
      <c r="A8597" t="s">
        <v>31205</v>
      </c>
      <c r="B8597" t="s">
        <v>6572</v>
      </c>
      <c r="C8597" t="s">
        <v>6573</v>
      </c>
      <c r="D8597" t="str">
        <f>"4615"</f>
        <v>4615</v>
      </c>
      <c r="E8597" t="s">
        <v>6547</v>
      </c>
      <c r="F8597" t="s">
        <v>2</v>
      </c>
      <c r="G8597" t="s">
        <v>16234</v>
      </c>
      <c r="H8597" t="s">
        <v>47054</v>
      </c>
      <c r="I8597" t="s">
        <v>47120</v>
      </c>
      <c r="J8597" t="s">
        <v>47121</v>
      </c>
      <c r="K8597" t="s">
        <v>47113</v>
      </c>
      <c r="L8597">
        <v>26.95</v>
      </c>
      <c r="M8597">
        <v>120</v>
      </c>
      <c r="N8597">
        <v>0</v>
      </c>
      <c r="O8597">
        <v>120</v>
      </c>
      <c r="P8597">
        <v>0</v>
      </c>
    </row>
    <row r="8598" spans="1:16" x14ac:dyDescent="0.25">
      <c r="A8598" t="s">
        <v>31206</v>
      </c>
      <c r="B8598" t="s">
        <v>6572</v>
      </c>
      <c r="C8598" t="s">
        <v>6573</v>
      </c>
      <c r="D8598" t="str">
        <f>"4616"</f>
        <v>4616</v>
      </c>
      <c r="E8598" t="s">
        <v>6548</v>
      </c>
      <c r="F8598" t="s">
        <v>2</v>
      </c>
      <c r="G8598" t="s">
        <v>16234</v>
      </c>
      <c r="H8598" t="s">
        <v>47054</v>
      </c>
      <c r="I8598" t="s">
        <v>47120</v>
      </c>
      <c r="J8598" t="s">
        <v>47121</v>
      </c>
      <c r="K8598" t="s">
        <v>47113</v>
      </c>
      <c r="L8598">
        <v>27.3</v>
      </c>
      <c r="M8598">
        <v>60</v>
      </c>
      <c r="N8598">
        <v>0</v>
      </c>
      <c r="O8598">
        <v>60</v>
      </c>
      <c r="P8598">
        <v>0</v>
      </c>
    </row>
    <row r="8599" spans="1:16" x14ac:dyDescent="0.25">
      <c r="A8599" t="s">
        <v>31207</v>
      </c>
      <c r="B8599" t="s">
        <v>6572</v>
      </c>
      <c r="C8599" t="s">
        <v>6573</v>
      </c>
      <c r="D8599" t="str">
        <f>"4824"</f>
        <v>4824</v>
      </c>
      <c r="E8599" t="s">
        <v>6535</v>
      </c>
      <c r="F8599" t="s">
        <v>0</v>
      </c>
      <c r="G8599" t="s">
        <v>16234</v>
      </c>
      <c r="H8599" t="s">
        <v>47054</v>
      </c>
      <c r="I8599" t="s">
        <v>47120</v>
      </c>
      <c r="J8599" t="s">
        <v>47121</v>
      </c>
      <c r="K8599" t="s">
        <v>47113</v>
      </c>
      <c r="L8599">
        <v>26.67</v>
      </c>
      <c r="M8599">
        <v>61</v>
      </c>
      <c r="N8599">
        <v>0</v>
      </c>
      <c r="O8599">
        <v>61</v>
      </c>
      <c r="P8599">
        <v>0</v>
      </c>
    </row>
    <row r="8600" spans="1:16" x14ac:dyDescent="0.25">
      <c r="A8600" t="s">
        <v>31208</v>
      </c>
      <c r="B8600" t="s">
        <v>6572</v>
      </c>
      <c r="C8600" t="s">
        <v>6573</v>
      </c>
      <c r="D8600" t="str">
        <f>"5084"</f>
        <v>5084</v>
      </c>
      <c r="E8600" t="s">
        <v>6549</v>
      </c>
      <c r="F8600" t="s">
        <v>2</v>
      </c>
      <c r="G8600" t="s">
        <v>16234</v>
      </c>
      <c r="H8600" t="s">
        <v>47054</v>
      </c>
      <c r="I8600" t="s">
        <v>47120</v>
      </c>
      <c r="J8600" t="s">
        <v>47121</v>
      </c>
      <c r="K8600" t="s">
        <v>47113</v>
      </c>
      <c r="L8600">
        <v>26.95</v>
      </c>
      <c r="M8600">
        <v>120</v>
      </c>
      <c r="N8600">
        <v>0</v>
      </c>
      <c r="O8600">
        <v>120</v>
      </c>
      <c r="P8600">
        <v>0</v>
      </c>
    </row>
    <row r="8601" spans="1:16" x14ac:dyDescent="0.25">
      <c r="A8601" t="s">
        <v>31209</v>
      </c>
      <c r="B8601" t="s">
        <v>6572</v>
      </c>
      <c r="C8601" t="s">
        <v>6573</v>
      </c>
      <c r="D8601" t="str">
        <f>"6261"</f>
        <v>6261</v>
      </c>
      <c r="E8601" t="s">
        <v>6550</v>
      </c>
      <c r="F8601" t="s">
        <v>2</v>
      </c>
      <c r="G8601" t="s">
        <v>16234</v>
      </c>
      <c r="H8601" t="s">
        <v>47054</v>
      </c>
      <c r="I8601" t="s">
        <v>47120</v>
      </c>
      <c r="J8601" t="s">
        <v>47121</v>
      </c>
      <c r="K8601" t="s">
        <v>47113</v>
      </c>
      <c r="L8601">
        <v>26.74</v>
      </c>
      <c r="M8601">
        <v>120</v>
      </c>
      <c r="N8601">
        <v>0</v>
      </c>
      <c r="O8601">
        <v>120</v>
      </c>
      <c r="P8601">
        <v>0</v>
      </c>
    </row>
    <row r="8602" spans="1:16" x14ac:dyDescent="0.25">
      <c r="A8602" t="s">
        <v>31210</v>
      </c>
      <c r="B8602" t="s">
        <v>6572</v>
      </c>
      <c r="C8602" t="s">
        <v>6573</v>
      </c>
      <c r="D8602" t="str">
        <f>"6331"</f>
        <v>6331</v>
      </c>
      <c r="E8602" t="s">
        <v>6537</v>
      </c>
      <c r="F8602" t="s">
        <v>5</v>
      </c>
      <c r="G8602" t="s">
        <v>16234</v>
      </c>
      <c r="H8602" t="s">
        <v>47054</v>
      </c>
      <c r="I8602" t="s">
        <v>47120</v>
      </c>
      <c r="J8602" t="s">
        <v>47121</v>
      </c>
      <c r="K8602" t="s">
        <v>47113</v>
      </c>
      <c r="L8602">
        <v>26.95</v>
      </c>
      <c r="M8602">
        <v>61</v>
      </c>
      <c r="N8602">
        <v>0</v>
      </c>
      <c r="O8602">
        <v>61</v>
      </c>
      <c r="P8602">
        <v>0</v>
      </c>
    </row>
    <row r="8603" spans="1:16" x14ac:dyDescent="0.25">
      <c r="A8603" t="s">
        <v>31211</v>
      </c>
      <c r="B8603" t="s">
        <v>6572</v>
      </c>
      <c r="C8603" t="s">
        <v>6573</v>
      </c>
      <c r="D8603" t="str">
        <f>"7235"</f>
        <v>7235</v>
      </c>
      <c r="E8603" t="s">
        <v>6551</v>
      </c>
      <c r="F8603" t="s">
        <v>4</v>
      </c>
      <c r="G8603" t="s">
        <v>16234</v>
      </c>
      <c r="H8603" t="s">
        <v>47054</v>
      </c>
      <c r="I8603" t="s">
        <v>47120</v>
      </c>
      <c r="J8603" t="s">
        <v>47121</v>
      </c>
      <c r="K8603" t="s">
        <v>47113</v>
      </c>
      <c r="L8603">
        <v>23.73</v>
      </c>
      <c r="M8603">
        <v>58</v>
      </c>
      <c r="N8603">
        <v>0</v>
      </c>
      <c r="O8603">
        <v>58</v>
      </c>
      <c r="P8603">
        <v>0</v>
      </c>
    </row>
    <row r="8604" spans="1:16" x14ac:dyDescent="0.25">
      <c r="A8604" t="s">
        <v>31212</v>
      </c>
      <c r="B8604" t="s">
        <v>6572</v>
      </c>
      <c r="C8604" t="s">
        <v>6573</v>
      </c>
      <c r="D8604" t="str">
        <f>"7349"</f>
        <v>7349</v>
      </c>
      <c r="E8604" t="s">
        <v>6552</v>
      </c>
      <c r="F8604" t="s">
        <v>2</v>
      </c>
      <c r="G8604" t="s">
        <v>16234</v>
      </c>
      <c r="H8604" t="s">
        <v>47054</v>
      </c>
      <c r="I8604" t="s">
        <v>47120</v>
      </c>
      <c r="J8604" t="s">
        <v>47121</v>
      </c>
      <c r="K8604" t="s">
        <v>47113</v>
      </c>
      <c r="L8604">
        <v>26.95</v>
      </c>
      <c r="M8604">
        <v>120</v>
      </c>
      <c r="N8604">
        <v>0</v>
      </c>
      <c r="O8604">
        <v>120</v>
      </c>
      <c r="P8604">
        <v>0</v>
      </c>
    </row>
    <row r="8605" spans="1:16" x14ac:dyDescent="0.25">
      <c r="A8605" t="s">
        <v>31213</v>
      </c>
      <c r="B8605" t="s">
        <v>6572</v>
      </c>
      <c r="C8605" t="s">
        <v>6573</v>
      </c>
      <c r="D8605" t="str">
        <f>"8340"</f>
        <v>8340</v>
      </c>
      <c r="E8605" t="s">
        <v>6553</v>
      </c>
      <c r="F8605" t="s">
        <v>2</v>
      </c>
      <c r="G8605" t="s">
        <v>16234</v>
      </c>
      <c r="H8605" t="s">
        <v>47054</v>
      </c>
      <c r="I8605" t="s">
        <v>47120</v>
      </c>
      <c r="J8605" t="s">
        <v>47121</v>
      </c>
      <c r="K8605" t="s">
        <v>47113</v>
      </c>
      <c r="L8605">
        <v>26.95</v>
      </c>
      <c r="M8605">
        <v>120</v>
      </c>
      <c r="N8605">
        <v>0</v>
      </c>
      <c r="O8605">
        <v>120</v>
      </c>
      <c r="P8605">
        <v>0</v>
      </c>
    </row>
    <row r="8606" spans="1:16" x14ac:dyDescent="0.25">
      <c r="A8606" t="s">
        <v>31214</v>
      </c>
      <c r="B8606" t="s">
        <v>6574</v>
      </c>
      <c r="C8606" t="s">
        <v>6575</v>
      </c>
      <c r="D8606" t="str">
        <f>"1035"</f>
        <v>1035</v>
      </c>
      <c r="E8606" t="s">
        <v>758</v>
      </c>
      <c r="F8606" t="s">
        <v>4</v>
      </c>
      <c r="G8606" t="s">
        <v>16234</v>
      </c>
      <c r="H8606" t="s">
        <v>47054</v>
      </c>
      <c r="I8606" t="s">
        <v>47120</v>
      </c>
      <c r="J8606" t="s">
        <v>47121</v>
      </c>
      <c r="K8606" t="s">
        <v>47113</v>
      </c>
      <c r="L8606">
        <v>32.299999999999997</v>
      </c>
      <c r="M8606">
        <v>68</v>
      </c>
      <c r="N8606">
        <v>0</v>
      </c>
      <c r="O8606">
        <v>68</v>
      </c>
      <c r="P8606">
        <v>0</v>
      </c>
    </row>
    <row r="8607" spans="1:16" x14ac:dyDescent="0.25">
      <c r="A8607" t="s">
        <v>31215</v>
      </c>
      <c r="B8607" t="s">
        <v>6576</v>
      </c>
      <c r="C8607" t="s">
        <v>6577</v>
      </c>
      <c r="D8607" t="str">
        <f>"1056"</f>
        <v>1056</v>
      </c>
      <c r="E8607" t="s">
        <v>1277</v>
      </c>
      <c r="F8607" t="s">
        <v>2068</v>
      </c>
      <c r="G8607" t="s">
        <v>16234</v>
      </c>
      <c r="H8607" t="s">
        <v>47054</v>
      </c>
      <c r="I8607" t="s">
        <v>47120</v>
      </c>
      <c r="J8607" t="s">
        <v>47121</v>
      </c>
      <c r="K8607" t="s">
        <v>47113</v>
      </c>
      <c r="L8607">
        <v>26.21</v>
      </c>
      <c r="M8607">
        <v>86</v>
      </c>
      <c r="N8607">
        <v>0</v>
      </c>
      <c r="O8607">
        <v>86</v>
      </c>
      <c r="P8607">
        <v>0</v>
      </c>
    </row>
    <row r="8608" spans="1:16" x14ac:dyDescent="0.25">
      <c r="A8608" t="s">
        <v>31216</v>
      </c>
      <c r="B8608" t="s">
        <v>6576</v>
      </c>
      <c r="C8608" t="s">
        <v>6577</v>
      </c>
      <c r="D8608" t="str">
        <f>"1300"</f>
        <v>1300</v>
      </c>
      <c r="E8608" t="s">
        <v>6555</v>
      </c>
      <c r="F8608" t="s">
        <v>3670</v>
      </c>
      <c r="G8608" t="s">
        <v>16234</v>
      </c>
      <c r="H8608" t="s">
        <v>47054</v>
      </c>
      <c r="I8608" t="s">
        <v>47120</v>
      </c>
      <c r="J8608" t="s">
        <v>47121</v>
      </c>
      <c r="K8608" t="s">
        <v>47113</v>
      </c>
      <c r="L8608">
        <v>26.21</v>
      </c>
      <c r="M8608">
        <v>86</v>
      </c>
      <c r="N8608">
        <v>0</v>
      </c>
      <c r="O8608">
        <v>86</v>
      </c>
      <c r="P8608">
        <v>0</v>
      </c>
    </row>
    <row r="8609" spans="1:16" x14ac:dyDescent="0.25">
      <c r="A8609" t="s">
        <v>31217</v>
      </c>
      <c r="B8609" t="s">
        <v>6576</v>
      </c>
      <c r="C8609" t="s">
        <v>6577</v>
      </c>
      <c r="D8609" t="str">
        <f>"1700"</f>
        <v>1700</v>
      </c>
      <c r="E8609" t="s">
        <v>6556</v>
      </c>
      <c r="F8609" t="s">
        <v>3670</v>
      </c>
      <c r="G8609" t="s">
        <v>16234</v>
      </c>
      <c r="H8609" t="s">
        <v>47054</v>
      </c>
      <c r="I8609" t="s">
        <v>47120</v>
      </c>
      <c r="J8609" t="s">
        <v>47121</v>
      </c>
      <c r="K8609" t="s">
        <v>47113</v>
      </c>
      <c r="L8609">
        <v>26.21</v>
      </c>
      <c r="M8609">
        <v>63</v>
      </c>
      <c r="N8609">
        <v>0</v>
      </c>
      <c r="O8609">
        <v>63</v>
      </c>
      <c r="P8609">
        <v>0</v>
      </c>
    </row>
    <row r="8610" spans="1:16" x14ac:dyDescent="0.25">
      <c r="A8610" t="s">
        <v>31218</v>
      </c>
      <c r="B8610" t="s">
        <v>6576</v>
      </c>
      <c r="C8610" t="s">
        <v>6577</v>
      </c>
      <c r="D8610" t="str">
        <f>"3524"</f>
        <v>3524</v>
      </c>
      <c r="E8610" t="s">
        <v>6557</v>
      </c>
      <c r="F8610" t="s">
        <v>2068</v>
      </c>
      <c r="G8610" t="s">
        <v>16234</v>
      </c>
      <c r="H8610" t="s">
        <v>47054</v>
      </c>
      <c r="I8610" t="s">
        <v>47120</v>
      </c>
      <c r="J8610" t="s">
        <v>47121</v>
      </c>
      <c r="K8610" t="s">
        <v>47113</v>
      </c>
      <c r="L8610">
        <v>26.25</v>
      </c>
      <c r="M8610">
        <v>59</v>
      </c>
      <c r="N8610">
        <v>0</v>
      </c>
      <c r="O8610">
        <v>59</v>
      </c>
      <c r="P8610">
        <v>0</v>
      </c>
    </row>
    <row r="8611" spans="1:16" x14ac:dyDescent="0.25">
      <c r="A8611" t="s">
        <v>31219</v>
      </c>
      <c r="B8611" t="s">
        <v>6576</v>
      </c>
      <c r="C8611" t="s">
        <v>6577</v>
      </c>
      <c r="D8611" t="str">
        <f>"4093"</f>
        <v>4093</v>
      </c>
      <c r="E8611" t="s">
        <v>6558</v>
      </c>
      <c r="F8611" t="s">
        <v>3670</v>
      </c>
      <c r="G8611" t="s">
        <v>16234</v>
      </c>
      <c r="H8611" t="s">
        <v>47054</v>
      </c>
      <c r="I8611" t="s">
        <v>47120</v>
      </c>
      <c r="J8611" t="s">
        <v>47121</v>
      </c>
      <c r="K8611" t="s">
        <v>47113</v>
      </c>
      <c r="L8611">
        <v>26.21</v>
      </c>
      <c r="M8611">
        <v>63</v>
      </c>
      <c r="N8611">
        <v>0</v>
      </c>
      <c r="O8611">
        <v>63</v>
      </c>
      <c r="P8611">
        <v>0</v>
      </c>
    </row>
    <row r="8612" spans="1:16" x14ac:dyDescent="0.25">
      <c r="A8612" t="s">
        <v>31220</v>
      </c>
      <c r="B8612" t="s">
        <v>6576</v>
      </c>
      <c r="C8612" t="s">
        <v>6577</v>
      </c>
      <c r="D8612" t="str">
        <f>"4679"</f>
        <v>4679</v>
      </c>
      <c r="E8612" t="s">
        <v>6559</v>
      </c>
      <c r="F8612" t="s">
        <v>2068</v>
      </c>
      <c r="G8612" t="s">
        <v>16234</v>
      </c>
      <c r="H8612" t="s">
        <v>47054</v>
      </c>
      <c r="I8612" t="s">
        <v>47120</v>
      </c>
      <c r="J8612" t="s">
        <v>47121</v>
      </c>
      <c r="K8612" t="s">
        <v>47113</v>
      </c>
      <c r="L8612">
        <v>26.25</v>
      </c>
      <c r="M8612">
        <v>59</v>
      </c>
      <c r="N8612">
        <v>0</v>
      </c>
      <c r="O8612">
        <v>59</v>
      </c>
      <c r="P8612">
        <v>0</v>
      </c>
    </row>
    <row r="8613" spans="1:16" x14ac:dyDescent="0.25">
      <c r="A8613" t="s">
        <v>31221</v>
      </c>
      <c r="B8613" t="s">
        <v>6576</v>
      </c>
      <c r="C8613" t="s">
        <v>6577</v>
      </c>
      <c r="D8613" t="str">
        <f>"6308"</f>
        <v>6308</v>
      </c>
      <c r="E8613" t="s">
        <v>6560</v>
      </c>
      <c r="F8613" t="s">
        <v>3670</v>
      </c>
      <c r="G8613" t="s">
        <v>16234</v>
      </c>
      <c r="H8613" t="s">
        <v>47054</v>
      </c>
      <c r="I8613" t="s">
        <v>47120</v>
      </c>
      <c r="J8613" t="s">
        <v>47121</v>
      </c>
      <c r="K8613" t="s">
        <v>47113</v>
      </c>
      <c r="L8613">
        <v>26.21</v>
      </c>
      <c r="M8613">
        <v>63</v>
      </c>
      <c r="N8613">
        <v>0</v>
      </c>
      <c r="O8613">
        <v>63</v>
      </c>
      <c r="P8613">
        <v>0</v>
      </c>
    </row>
    <row r="8614" spans="1:16" x14ac:dyDescent="0.25">
      <c r="A8614" t="s">
        <v>31222</v>
      </c>
      <c r="B8614" t="s">
        <v>6576</v>
      </c>
      <c r="C8614" t="s">
        <v>6577</v>
      </c>
      <c r="D8614" t="str">
        <f>"6331"</f>
        <v>6331</v>
      </c>
      <c r="E8614" t="s">
        <v>15445</v>
      </c>
      <c r="F8614" t="s">
        <v>2068</v>
      </c>
      <c r="G8614" t="s">
        <v>16234</v>
      </c>
      <c r="H8614" t="s">
        <v>47054</v>
      </c>
      <c r="I8614" t="s">
        <v>47120</v>
      </c>
      <c r="J8614" t="s">
        <v>47121</v>
      </c>
      <c r="K8614" t="s">
        <v>47113</v>
      </c>
      <c r="L8614">
        <v>26.21</v>
      </c>
      <c r="M8614">
        <v>86</v>
      </c>
      <c r="N8614">
        <v>0</v>
      </c>
      <c r="O8614">
        <v>86</v>
      </c>
      <c r="P8614">
        <v>0</v>
      </c>
    </row>
    <row r="8615" spans="1:16" x14ac:dyDescent="0.25">
      <c r="A8615" t="s">
        <v>31223</v>
      </c>
      <c r="B8615" t="s">
        <v>6576</v>
      </c>
      <c r="C8615" t="s">
        <v>6577</v>
      </c>
      <c r="D8615" t="str">
        <f>"6477"</f>
        <v>6477</v>
      </c>
      <c r="E8615" t="s">
        <v>6561</v>
      </c>
      <c r="F8615" t="s">
        <v>2068</v>
      </c>
      <c r="G8615" t="s">
        <v>16234</v>
      </c>
      <c r="H8615" t="s">
        <v>47054</v>
      </c>
      <c r="I8615" t="s">
        <v>47120</v>
      </c>
      <c r="J8615" t="s">
        <v>47121</v>
      </c>
      <c r="K8615" t="s">
        <v>47113</v>
      </c>
      <c r="L8615">
        <v>26.25</v>
      </c>
      <c r="M8615">
        <v>59</v>
      </c>
      <c r="N8615">
        <v>0</v>
      </c>
      <c r="O8615">
        <v>59</v>
      </c>
      <c r="P8615">
        <v>0</v>
      </c>
    </row>
    <row r="8616" spans="1:16" x14ac:dyDescent="0.25">
      <c r="A8616" t="s">
        <v>31224</v>
      </c>
      <c r="B8616" t="s">
        <v>6576</v>
      </c>
      <c r="C8616" t="s">
        <v>6577</v>
      </c>
      <c r="D8616" t="str">
        <f>"7122"</f>
        <v>7122</v>
      </c>
      <c r="E8616" t="s">
        <v>6562</v>
      </c>
      <c r="F8616" t="s">
        <v>2068</v>
      </c>
      <c r="G8616" t="s">
        <v>16234</v>
      </c>
      <c r="H8616" t="s">
        <v>47054</v>
      </c>
      <c r="I8616" t="s">
        <v>47120</v>
      </c>
      <c r="J8616" t="s">
        <v>47121</v>
      </c>
      <c r="K8616" t="s">
        <v>47113</v>
      </c>
      <c r="L8616">
        <v>26.25</v>
      </c>
      <c r="M8616">
        <v>59</v>
      </c>
      <c r="N8616">
        <v>0</v>
      </c>
      <c r="O8616">
        <v>59</v>
      </c>
      <c r="P8616">
        <v>0</v>
      </c>
    </row>
    <row r="8617" spans="1:16" x14ac:dyDescent="0.25">
      <c r="A8617" t="s">
        <v>31225</v>
      </c>
      <c r="B8617" t="s">
        <v>6576</v>
      </c>
      <c r="C8617" t="s">
        <v>6577</v>
      </c>
      <c r="D8617" t="str">
        <f>"7226"</f>
        <v>7226</v>
      </c>
      <c r="E8617" t="s">
        <v>6563</v>
      </c>
      <c r="F8617" t="s">
        <v>2068</v>
      </c>
      <c r="G8617" t="s">
        <v>16234</v>
      </c>
      <c r="H8617" t="s">
        <v>47054</v>
      </c>
      <c r="I8617" t="s">
        <v>47120</v>
      </c>
      <c r="J8617" t="s">
        <v>47121</v>
      </c>
      <c r="K8617" t="s">
        <v>47113</v>
      </c>
      <c r="L8617">
        <v>26.21</v>
      </c>
      <c r="M8617">
        <v>86</v>
      </c>
      <c r="N8617">
        <v>0</v>
      </c>
      <c r="O8617">
        <v>86</v>
      </c>
      <c r="P8617">
        <v>0</v>
      </c>
    </row>
    <row r="8618" spans="1:16" x14ac:dyDescent="0.25">
      <c r="A8618" t="s">
        <v>31226</v>
      </c>
      <c r="B8618" t="s">
        <v>6576</v>
      </c>
      <c r="C8618" t="s">
        <v>6577</v>
      </c>
      <c r="D8618" t="str">
        <f>"8410"</f>
        <v>8410</v>
      </c>
      <c r="E8618" t="s">
        <v>6564</v>
      </c>
      <c r="F8618" t="s">
        <v>2068</v>
      </c>
      <c r="G8618" t="s">
        <v>16234</v>
      </c>
      <c r="H8618" t="s">
        <v>47054</v>
      </c>
      <c r="I8618" t="s">
        <v>47120</v>
      </c>
      <c r="J8618" t="s">
        <v>47121</v>
      </c>
      <c r="K8618" t="s">
        <v>47113</v>
      </c>
      <c r="L8618">
        <v>26.25</v>
      </c>
      <c r="M8618">
        <v>59</v>
      </c>
      <c r="N8618">
        <v>0</v>
      </c>
      <c r="O8618">
        <v>59</v>
      </c>
      <c r="P8618">
        <v>0</v>
      </c>
    </row>
    <row r="8619" spans="1:16" x14ac:dyDescent="0.25">
      <c r="A8619" t="s">
        <v>31227</v>
      </c>
      <c r="B8619" t="s">
        <v>6578</v>
      </c>
      <c r="C8619" t="s">
        <v>6579</v>
      </c>
      <c r="D8619" t="str">
        <f>"1056"</f>
        <v>1056</v>
      </c>
      <c r="E8619" t="s">
        <v>1277</v>
      </c>
      <c r="F8619" t="s">
        <v>7</v>
      </c>
      <c r="G8619" t="s">
        <v>16234</v>
      </c>
      <c r="H8619" t="s">
        <v>47054</v>
      </c>
      <c r="I8619" t="s">
        <v>47120</v>
      </c>
      <c r="J8619" t="s">
        <v>47121</v>
      </c>
      <c r="K8619" t="s">
        <v>47113</v>
      </c>
      <c r="L8619">
        <v>30.75</v>
      </c>
      <c r="M8619">
        <v>79</v>
      </c>
      <c r="N8619">
        <v>0</v>
      </c>
      <c r="O8619">
        <v>79</v>
      </c>
      <c r="P8619">
        <v>0</v>
      </c>
    </row>
    <row r="8620" spans="1:16" x14ac:dyDescent="0.25">
      <c r="A8620" t="s">
        <v>31228</v>
      </c>
      <c r="B8620" t="s">
        <v>6578</v>
      </c>
      <c r="C8620" t="s">
        <v>6579</v>
      </c>
      <c r="D8620" t="str">
        <f>"4170"</f>
        <v>4170</v>
      </c>
      <c r="E8620" t="s">
        <v>6535</v>
      </c>
      <c r="F8620" t="s">
        <v>7</v>
      </c>
      <c r="G8620" t="s">
        <v>16234</v>
      </c>
      <c r="H8620" t="s">
        <v>47054</v>
      </c>
      <c r="I8620" t="s">
        <v>47120</v>
      </c>
      <c r="J8620" t="s">
        <v>47121</v>
      </c>
      <c r="K8620" t="s">
        <v>47113</v>
      </c>
      <c r="L8620">
        <v>30.75</v>
      </c>
      <c r="M8620">
        <v>79</v>
      </c>
      <c r="N8620">
        <v>0</v>
      </c>
      <c r="O8620">
        <v>79</v>
      </c>
      <c r="P8620">
        <v>0</v>
      </c>
    </row>
    <row r="8621" spans="1:16" x14ac:dyDescent="0.25">
      <c r="A8621" t="s">
        <v>31229</v>
      </c>
      <c r="B8621" t="s">
        <v>6580</v>
      </c>
      <c r="C8621" t="s">
        <v>6581</v>
      </c>
      <c r="D8621" t="str">
        <f>"1024"</f>
        <v>1024</v>
      </c>
      <c r="E8621" t="s">
        <v>717</v>
      </c>
      <c r="F8621" t="s">
        <v>7</v>
      </c>
      <c r="G8621" t="s">
        <v>16234</v>
      </c>
      <c r="H8621" t="s">
        <v>47054</v>
      </c>
      <c r="I8621" t="s">
        <v>47120</v>
      </c>
      <c r="J8621" t="s">
        <v>47121</v>
      </c>
      <c r="K8621" t="s">
        <v>47113</v>
      </c>
      <c r="L8621">
        <v>28.86</v>
      </c>
      <c r="M8621">
        <v>74</v>
      </c>
      <c r="N8621">
        <v>0</v>
      </c>
      <c r="O8621">
        <v>74</v>
      </c>
      <c r="P8621">
        <v>0</v>
      </c>
    </row>
    <row r="8622" spans="1:16" x14ac:dyDescent="0.25">
      <c r="A8622" t="s">
        <v>31230</v>
      </c>
      <c r="B8622" t="s">
        <v>6580</v>
      </c>
      <c r="C8622" t="s">
        <v>6581</v>
      </c>
      <c r="D8622" t="str">
        <f>"1056"</f>
        <v>1056</v>
      </c>
      <c r="E8622" t="s">
        <v>1277</v>
      </c>
      <c r="F8622" t="s">
        <v>7</v>
      </c>
      <c r="G8622" t="s">
        <v>16234</v>
      </c>
      <c r="H8622" t="s">
        <v>47054</v>
      </c>
      <c r="I8622" t="s">
        <v>47120</v>
      </c>
      <c r="J8622" t="s">
        <v>47121</v>
      </c>
      <c r="K8622" t="s">
        <v>47113</v>
      </c>
      <c r="L8622">
        <v>30.75</v>
      </c>
      <c r="M8622">
        <v>79</v>
      </c>
      <c r="N8622">
        <v>0</v>
      </c>
      <c r="O8622">
        <v>79</v>
      </c>
      <c r="P8622">
        <v>0</v>
      </c>
    </row>
    <row r="8623" spans="1:16" x14ac:dyDescent="0.25">
      <c r="A8623" t="s">
        <v>31231</v>
      </c>
      <c r="B8623" t="s">
        <v>6580</v>
      </c>
      <c r="C8623" t="s">
        <v>6581</v>
      </c>
      <c r="D8623" t="str">
        <f>"1108"</f>
        <v>1108</v>
      </c>
      <c r="E8623" t="s">
        <v>6582</v>
      </c>
      <c r="F8623" t="s">
        <v>7</v>
      </c>
      <c r="G8623" t="s">
        <v>16234</v>
      </c>
      <c r="H8623" t="s">
        <v>47054</v>
      </c>
      <c r="I8623" t="s">
        <v>47120</v>
      </c>
      <c r="J8623" t="s">
        <v>47121</v>
      </c>
      <c r="K8623" t="s">
        <v>47113</v>
      </c>
      <c r="L8623">
        <v>28.86</v>
      </c>
      <c r="M8623">
        <v>74</v>
      </c>
      <c r="N8623">
        <v>0</v>
      </c>
      <c r="O8623">
        <v>74</v>
      </c>
      <c r="P8623">
        <v>0</v>
      </c>
    </row>
    <row r="8624" spans="1:16" x14ac:dyDescent="0.25">
      <c r="A8624" t="s">
        <v>31232</v>
      </c>
      <c r="B8624" t="s">
        <v>6580</v>
      </c>
      <c r="C8624" t="s">
        <v>6581</v>
      </c>
      <c r="D8624" t="str">
        <f>"1116"</f>
        <v>1116</v>
      </c>
      <c r="E8624" t="s">
        <v>6530</v>
      </c>
      <c r="F8624" t="s">
        <v>7</v>
      </c>
      <c r="G8624" t="s">
        <v>16234</v>
      </c>
      <c r="H8624" t="s">
        <v>47054</v>
      </c>
      <c r="I8624" t="s">
        <v>47120</v>
      </c>
      <c r="J8624" t="s">
        <v>47121</v>
      </c>
      <c r="K8624" t="s">
        <v>47113</v>
      </c>
      <c r="L8624">
        <v>30.75</v>
      </c>
      <c r="M8624">
        <v>79</v>
      </c>
      <c r="N8624">
        <v>0</v>
      </c>
      <c r="O8624">
        <v>79</v>
      </c>
      <c r="P8624">
        <v>0</v>
      </c>
    </row>
    <row r="8625" spans="1:16" x14ac:dyDescent="0.25">
      <c r="A8625" t="s">
        <v>31233</v>
      </c>
      <c r="B8625" t="s">
        <v>6580</v>
      </c>
      <c r="C8625" t="s">
        <v>6581</v>
      </c>
      <c r="D8625" t="str">
        <f>"1509"</f>
        <v>1509</v>
      </c>
      <c r="E8625" t="s">
        <v>1270</v>
      </c>
      <c r="F8625" t="s">
        <v>7</v>
      </c>
      <c r="G8625" t="s">
        <v>16234</v>
      </c>
      <c r="H8625" t="s">
        <v>47054</v>
      </c>
      <c r="I8625" t="s">
        <v>47120</v>
      </c>
      <c r="J8625" t="s">
        <v>47121</v>
      </c>
      <c r="K8625" t="s">
        <v>47113</v>
      </c>
      <c r="L8625">
        <v>30.75</v>
      </c>
      <c r="M8625">
        <v>79</v>
      </c>
      <c r="N8625">
        <v>0</v>
      </c>
      <c r="O8625">
        <v>79</v>
      </c>
      <c r="P8625">
        <v>0</v>
      </c>
    </row>
    <row r="8626" spans="1:16" x14ac:dyDescent="0.25">
      <c r="A8626" t="s">
        <v>31234</v>
      </c>
      <c r="B8626" t="s">
        <v>6580</v>
      </c>
      <c r="C8626" t="s">
        <v>6581</v>
      </c>
      <c r="D8626" t="str">
        <f>"1511"</f>
        <v>1511</v>
      </c>
      <c r="E8626" t="s">
        <v>6583</v>
      </c>
      <c r="F8626" t="s">
        <v>7</v>
      </c>
      <c r="G8626" t="s">
        <v>16234</v>
      </c>
      <c r="H8626" t="s">
        <v>47054</v>
      </c>
      <c r="I8626" t="s">
        <v>47120</v>
      </c>
      <c r="J8626" t="s">
        <v>47121</v>
      </c>
      <c r="K8626" t="s">
        <v>47113</v>
      </c>
      <c r="L8626">
        <v>28.86</v>
      </c>
      <c r="M8626">
        <v>74</v>
      </c>
      <c r="N8626">
        <v>0</v>
      </c>
      <c r="O8626">
        <v>74</v>
      </c>
      <c r="P8626">
        <v>0</v>
      </c>
    </row>
    <row r="8627" spans="1:16" x14ac:dyDescent="0.25">
      <c r="A8627" t="s">
        <v>31235</v>
      </c>
      <c r="B8627" t="s">
        <v>6580</v>
      </c>
      <c r="C8627" t="s">
        <v>6581</v>
      </c>
      <c r="D8627" t="str">
        <f>"2118"</f>
        <v>2118</v>
      </c>
      <c r="E8627" t="s">
        <v>6584</v>
      </c>
      <c r="F8627" t="s">
        <v>7</v>
      </c>
      <c r="G8627" t="s">
        <v>16234</v>
      </c>
      <c r="H8627" t="s">
        <v>47054</v>
      </c>
      <c r="I8627" t="s">
        <v>47120</v>
      </c>
      <c r="J8627" t="s">
        <v>47121</v>
      </c>
      <c r="K8627" t="s">
        <v>47113</v>
      </c>
      <c r="L8627">
        <v>28.86</v>
      </c>
      <c r="M8627">
        <v>74</v>
      </c>
      <c r="N8627">
        <v>0</v>
      </c>
      <c r="O8627">
        <v>74</v>
      </c>
      <c r="P8627">
        <v>0</v>
      </c>
    </row>
    <row r="8628" spans="1:16" x14ac:dyDescent="0.25">
      <c r="A8628" t="s">
        <v>31236</v>
      </c>
      <c r="B8628" t="s">
        <v>6580</v>
      </c>
      <c r="C8628" t="s">
        <v>6581</v>
      </c>
      <c r="D8628" t="str">
        <f>"2122"</f>
        <v>2122</v>
      </c>
      <c r="E8628" t="s">
        <v>6533</v>
      </c>
      <c r="F8628" t="s">
        <v>7</v>
      </c>
      <c r="G8628" t="s">
        <v>16234</v>
      </c>
      <c r="H8628" t="s">
        <v>47054</v>
      </c>
      <c r="I8628" t="s">
        <v>47120</v>
      </c>
      <c r="J8628" t="s">
        <v>47121</v>
      </c>
      <c r="K8628" t="s">
        <v>47113</v>
      </c>
      <c r="L8628">
        <v>30.75</v>
      </c>
      <c r="M8628">
        <v>79</v>
      </c>
      <c r="N8628">
        <v>0</v>
      </c>
      <c r="O8628">
        <v>79</v>
      </c>
      <c r="P8628">
        <v>0</v>
      </c>
    </row>
    <row r="8629" spans="1:16" x14ac:dyDescent="0.25">
      <c r="A8629" t="s">
        <v>31237</v>
      </c>
      <c r="B8629" t="s">
        <v>6580</v>
      </c>
      <c r="C8629" t="s">
        <v>6581</v>
      </c>
      <c r="D8629" t="str">
        <f>"3024"</f>
        <v>3024</v>
      </c>
      <c r="E8629" t="s">
        <v>6585</v>
      </c>
      <c r="F8629" t="s">
        <v>7</v>
      </c>
      <c r="G8629" t="s">
        <v>16234</v>
      </c>
      <c r="H8629" t="s">
        <v>47054</v>
      </c>
      <c r="I8629" t="s">
        <v>47120</v>
      </c>
      <c r="J8629" t="s">
        <v>47121</v>
      </c>
      <c r="K8629" t="s">
        <v>47113</v>
      </c>
      <c r="L8629">
        <v>28.86</v>
      </c>
      <c r="M8629">
        <v>74</v>
      </c>
      <c r="N8629">
        <v>0</v>
      </c>
      <c r="O8629">
        <v>74</v>
      </c>
      <c r="P8629">
        <v>0</v>
      </c>
    </row>
    <row r="8630" spans="1:16" x14ac:dyDescent="0.25">
      <c r="A8630" t="s">
        <v>31238</v>
      </c>
      <c r="B8630" t="s">
        <v>6580</v>
      </c>
      <c r="C8630" t="s">
        <v>6581</v>
      </c>
      <c r="D8630" t="str">
        <f>"3026"</f>
        <v>3026</v>
      </c>
      <c r="E8630" t="s">
        <v>6586</v>
      </c>
      <c r="F8630" t="s">
        <v>7</v>
      </c>
      <c r="G8630" t="s">
        <v>16234</v>
      </c>
      <c r="H8630" t="s">
        <v>47054</v>
      </c>
      <c r="I8630" t="s">
        <v>47120</v>
      </c>
      <c r="J8630" t="s">
        <v>47121</v>
      </c>
      <c r="K8630" t="s">
        <v>47113</v>
      </c>
      <c r="L8630">
        <v>30.75</v>
      </c>
      <c r="M8630">
        <v>79</v>
      </c>
      <c r="N8630">
        <v>0</v>
      </c>
      <c r="O8630">
        <v>79</v>
      </c>
      <c r="P8630">
        <v>0</v>
      </c>
    </row>
    <row r="8631" spans="1:16" x14ac:dyDescent="0.25">
      <c r="A8631" t="s">
        <v>31239</v>
      </c>
      <c r="B8631" t="s">
        <v>6580</v>
      </c>
      <c r="C8631" t="s">
        <v>6581</v>
      </c>
      <c r="D8631" t="str">
        <f>"3063"</f>
        <v>3063</v>
      </c>
      <c r="E8631" t="s">
        <v>6587</v>
      </c>
      <c r="F8631" t="s">
        <v>7</v>
      </c>
      <c r="G8631" t="s">
        <v>16234</v>
      </c>
      <c r="H8631" t="s">
        <v>47054</v>
      </c>
      <c r="I8631" t="s">
        <v>47120</v>
      </c>
      <c r="J8631" t="s">
        <v>47121</v>
      </c>
      <c r="K8631" t="s">
        <v>47113</v>
      </c>
      <c r="L8631">
        <v>31.2</v>
      </c>
      <c r="M8631">
        <v>80</v>
      </c>
      <c r="N8631">
        <v>0</v>
      </c>
      <c r="O8631">
        <v>80</v>
      </c>
      <c r="P8631">
        <v>0</v>
      </c>
    </row>
    <row r="8632" spans="1:16" x14ac:dyDescent="0.25">
      <c r="A8632" t="s">
        <v>31240</v>
      </c>
      <c r="B8632" t="s">
        <v>6580</v>
      </c>
      <c r="C8632" t="s">
        <v>6581</v>
      </c>
      <c r="D8632" t="str">
        <f>"4128"</f>
        <v>4128</v>
      </c>
      <c r="E8632" t="s">
        <v>1284</v>
      </c>
      <c r="F8632" t="s">
        <v>7</v>
      </c>
      <c r="G8632" t="s">
        <v>16234</v>
      </c>
      <c r="H8632" t="s">
        <v>47054</v>
      </c>
      <c r="I8632" t="s">
        <v>47120</v>
      </c>
      <c r="J8632" t="s">
        <v>47121</v>
      </c>
      <c r="K8632" t="s">
        <v>47113</v>
      </c>
      <c r="L8632">
        <v>28.86</v>
      </c>
      <c r="M8632">
        <v>74</v>
      </c>
      <c r="N8632">
        <v>0</v>
      </c>
      <c r="O8632">
        <v>74</v>
      </c>
      <c r="P8632">
        <v>0</v>
      </c>
    </row>
    <row r="8633" spans="1:16" x14ac:dyDescent="0.25">
      <c r="A8633" t="s">
        <v>31241</v>
      </c>
      <c r="B8633" t="s">
        <v>6580</v>
      </c>
      <c r="C8633" t="s">
        <v>6581</v>
      </c>
      <c r="D8633" t="str">
        <f>"4158"</f>
        <v>4158</v>
      </c>
      <c r="E8633" t="s">
        <v>6588</v>
      </c>
      <c r="F8633" t="s">
        <v>7</v>
      </c>
      <c r="G8633" t="s">
        <v>16234</v>
      </c>
      <c r="H8633" t="s">
        <v>47054</v>
      </c>
      <c r="I8633" t="s">
        <v>47120</v>
      </c>
      <c r="J8633" t="s">
        <v>47121</v>
      </c>
      <c r="K8633" t="s">
        <v>47113</v>
      </c>
      <c r="L8633">
        <v>30.75</v>
      </c>
      <c r="M8633">
        <v>79</v>
      </c>
      <c r="N8633">
        <v>0</v>
      </c>
      <c r="O8633">
        <v>79</v>
      </c>
      <c r="P8633">
        <v>0</v>
      </c>
    </row>
    <row r="8634" spans="1:16" x14ac:dyDescent="0.25">
      <c r="A8634" t="s">
        <v>31242</v>
      </c>
      <c r="B8634" t="s">
        <v>6580</v>
      </c>
      <c r="C8634" t="s">
        <v>6581</v>
      </c>
      <c r="D8634" t="str">
        <f>"6039"</f>
        <v>6039</v>
      </c>
      <c r="E8634" t="s">
        <v>6589</v>
      </c>
      <c r="F8634" t="s">
        <v>7</v>
      </c>
      <c r="G8634" t="s">
        <v>16234</v>
      </c>
      <c r="H8634" t="s">
        <v>47054</v>
      </c>
      <c r="I8634" t="s">
        <v>47120</v>
      </c>
      <c r="J8634" t="s">
        <v>47121</v>
      </c>
      <c r="K8634" t="s">
        <v>47113</v>
      </c>
      <c r="L8634">
        <v>31.31</v>
      </c>
      <c r="M8634">
        <v>80</v>
      </c>
      <c r="N8634">
        <v>0</v>
      </c>
      <c r="O8634">
        <v>80</v>
      </c>
      <c r="P8634">
        <v>0</v>
      </c>
    </row>
    <row r="8635" spans="1:16" x14ac:dyDescent="0.25">
      <c r="A8635" t="s">
        <v>31243</v>
      </c>
      <c r="B8635" t="s">
        <v>6580</v>
      </c>
      <c r="C8635" t="s">
        <v>6581</v>
      </c>
      <c r="D8635" t="str">
        <f>"6097"</f>
        <v>6097</v>
      </c>
      <c r="E8635" t="s">
        <v>6590</v>
      </c>
      <c r="F8635" t="s">
        <v>7</v>
      </c>
      <c r="G8635" t="s">
        <v>16234</v>
      </c>
      <c r="H8635" t="s">
        <v>47054</v>
      </c>
      <c r="I8635" t="s">
        <v>47120</v>
      </c>
      <c r="J8635" t="s">
        <v>47121</v>
      </c>
      <c r="K8635" t="s">
        <v>47113</v>
      </c>
      <c r="L8635">
        <v>30.75</v>
      </c>
      <c r="M8635">
        <v>79</v>
      </c>
      <c r="N8635">
        <v>0</v>
      </c>
      <c r="O8635">
        <v>79</v>
      </c>
      <c r="P8635">
        <v>0</v>
      </c>
    </row>
    <row r="8636" spans="1:16" x14ac:dyDescent="0.25">
      <c r="A8636" t="s">
        <v>31244</v>
      </c>
      <c r="B8636" t="s">
        <v>6580</v>
      </c>
      <c r="C8636" t="s">
        <v>6581</v>
      </c>
      <c r="D8636" t="str">
        <f>"7223"</f>
        <v>7223</v>
      </c>
      <c r="E8636" t="s">
        <v>6571</v>
      </c>
      <c r="F8636" t="s">
        <v>7</v>
      </c>
      <c r="G8636" t="s">
        <v>16234</v>
      </c>
      <c r="H8636" t="s">
        <v>47054</v>
      </c>
      <c r="I8636" t="s">
        <v>47120</v>
      </c>
      <c r="J8636" t="s">
        <v>47121</v>
      </c>
      <c r="K8636" t="s">
        <v>47113</v>
      </c>
      <c r="L8636">
        <v>28.86</v>
      </c>
      <c r="M8636">
        <v>74</v>
      </c>
      <c r="N8636">
        <v>0</v>
      </c>
      <c r="O8636">
        <v>74</v>
      </c>
      <c r="P8636">
        <v>0</v>
      </c>
    </row>
    <row r="8637" spans="1:16" x14ac:dyDescent="0.25">
      <c r="A8637" t="s">
        <v>31245</v>
      </c>
      <c r="B8637" t="s">
        <v>6580</v>
      </c>
      <c r="C8637" t="s">
        <v>6581</v>
      </c>
      <c r="D8637" t="str">
        <f>"7226"</f>
        <v>7226</v>
      </c>
      <c r="E8637" t="s">
        <v>6563</v>
      </c>
      <c r="F8637" t="s">
        <v>7</v>
      </c>
      <c r="G8637" t="s">
        <v>16234</v>
      </c>
      <c r="H8637" t="s">
        <v>47054</v>
      </c>
      <c r="I8637" t="s">
        <v>47120</v>
      </c>
      <c r="J8637" t="s">
        <v>47121</v>
      </c>
      <c r="K8637" t="s">
        <v>47113</v>
      </c>
      <c r="L8637">
        <v>30.75</v>
      </c>
      <c r="M8637">
        <v>79</v>
      </c>
      <c r="N8637">
        <v>0</v>
      </c>
      <c r="O8637">
        <v>79</v>
      </c>
      <c r="P8637">
        <v>0</v>
      </c>
    </row>
    <row r="8638" spans="1:16" x14ac:dyDescent="0.25">
      <c r="A8638" t="s">
        <v>31246</v>
      </c>
      <c r="B8638" t="s">
        <v>6591</v>
      </c>
      <c r="C8638" t="s">
        <v>6592</v>
      </c>
      <c r="D8638" t="str">
        <f>"1024"</f>
        <v>1024</v>
      </c>
      <c r="E8638" t="s">
        <v>717</v>
      </c>
      <c r="F8638" t="s">
        <v>7</v>
      </c>
      <c r="G8638" t="s">
        <v>16234</v>
      </c>
      <c r="H8638" t="s">
        <v>47054</v>
      </c>
      <c r="I8638" t="s">
        <v>47120</v>
      </c>
      <c r="J8638" t="s">
        <v>47121</v>
      </c>
      <c r="K8638" t="s">
        <v>47113</v>
      </c>
      <c r="L8638">
        <v>28.29</v>
      </c>
      <c r="M8638">
        <v>69</v>
      </c>
      <c r="N8638">
        <v>0</v>
      </c>
      <c r="O8638">
        <v>69</v>
      </c>
      <c r="P8638">
        <v>0</v>
      </c>
    </row>
    <row r="8639" spans="1:16" x14ac:dyDescent="0.25">
      <c r="A8639" t="s">
        <v>31247</v>
      </c>
      <c r="B8639" t="s">
        <v>6591</v>
      </c>
      <c r="C8639" t="s">
        <v>6592</v>
      </c>
      <c r="D8639" t="str">
        <f>"1116"</f>
        <v>1116</v>
      </c>
      <c r="E8639" t="s">
        <v>6530</v>
      </c>
      <c r="F8639" t="s">
        <v>7</v>
      </c>
      <c r="G8639" t="s">
        <v>16234</v>
      </c>
      <c r="H8639" t="s">
        <v>47054</v>
      </c>
      <c r="I8639" t="s">
        <v>47120</v>
      </c>
      <c r="J8639" t="s">
        <v>47121</v>
      </c>
      <c r="K8639" t="s">
        <v>47113</v>
      </c>
      <c r="L8639">
        <v>30.18</v>
      </c>
      <c r="M8639">
        <v>73</v>
      </c>
      <c r="N8639">
        <v>0</v>
      </c>
      <c r="O8639">
        <v>73</v>
      </c>
      <c r="P8639">
        <v>0</v>
      </c>
    </row>
    <row r="8640" spans="1:16" x14ac:dyDescent="0.25">
      <c r="A8640" t="s">
        <v>31248</v>
      </c>
      <c r="B8640" t="s">
        <v>6591</v>
      </c>
      <c r="C8640" t="s">
        <v>6592</v>
      </c>
      <c r="D8640" t="str">
        <f>"3024"</f>
        <v>3024</v>
      </c>
      <c r="E8640" t="s">
        <v>6585</v>
      </c>
      <c r="F8640" t="s">
        <v>7</v>
      </c>
      <c r="G8640" t="s">
        <v>16234</v>
      </c>
      <c r="H8640" t="s">
        <v>47054</v>
      </c>
      <c r="I8640" t="s">
        <v>47120</v>
      </c>
      <c r="J8640" t="s">
        <v>47121</v>
      </c>
      <c r="K8640" t="s">
        <v>47113</v>
      </c>
      <c r="L8640">
        <v>28.29</v>
      </c>
      <c r="M8640">
        <v>69</v>
      </c>
      <c r="N8640">
        <v>0</v>
      </c>
      <c r="O8640">
        <v>69</v>
      </c>
      <c r="P8640">
        <v>0</v>
      </c>
    </row>
    <row r="8641" spans="1:16" x14ac:dyDescent="0.25">
      <c r="A8641" t="s">
        <v>31249</v>
      </c>
      <c r="B8641" t="s">
        <v>6591</v>
      </c>
      <c r="C8641" t="s">
        <v>6592</v>
      </c>
      <c r="D8641" t="str">
        <f>"3026"</f>
        <v>3026</v>
      </c>
      <c r="E8641" t="s">
        <v>6586</v>
      </c>
      <c r="F8641" t="s">
        <v>7</v>
      </c>
      <c r="G8641" t="s">
        <v>16234</v>
      </c>
      <c r="H8641" t="s">
        <v>47054</v>
      </c>
      <c r="I8641" t="s">
        <v>47120</v>
      </c>
      <c r="J8641" t="s">
        <v>47121</v>
      </c>
      <c r="K8641" t="s">
        <v>47113</v>
      </c>
      <c r="L8641">
        <v>30.18</v>
      </c>
      <c r="M8641">
        <v>73</v>
      </c>
      <c r="N8641">
        <v>0</v>
      </c>
      <c r="O8641">
        <v>73</v>
      </c>
      <c r="P8641">
        <v>0</v>
      </c>
    </row>
    <row r="8642" spans="1:16" x14ac:dyDescent="0.25">
      <c r="A8642" t="s">
        <v>31250</v>
      </c>
      <c r="B8642" t="s">
        <v>6591</v>
      </c>
      <c r="C8642" t="s">
        <v>6592</v>
      </c>
      <c r="D8642" t="str">
        <f>"4128"</f>
        <v>4128</v>
      </c>
      <c r="E8642" t="s">
        <v>1284</v>
      </c>
      <c r="F8642" t="s">
        <v>7</v>
      </c>
      <c r="G8642" t="s">
        <v>16234</v>
      </c>
      <c r="H8642" t="s">
        <v>47054</v>
      </c>
      <c r="I8642" t="s">
        <v>47120</v>
      </c>
      <c r="J8642" t="s">
        <v>47121</v>
      </c>
      <c r="K8642" t="s">
        <v>47113</v>
      </c>
      <c r="L8642">
        <v>28.29</v>
      </c>
      <c r="M8642">
        <v>69</v>
      </c>
      <c r="N8642">
        <v>0</v>
      </c>
      <c r="O8642">
        <v>69</v>
      </c>
      <c r="P8642">
        <v>0</v>
      </c>
    </row>
    <row r="8643" spans="1:16" x14ac:dyDescent="0.25">
      <c r="A8643" t="s">
        <v>31251</v>
      </c>
      <c r="B8643" t="s">
        <v>6591</v>
      </c>
      <c r="C8643" t="s">
        <v>6592</v>
      </c>
      <c r="D8643" t="str">
        <f>"4158"</f>
        <v>4158</v>
      </c>
      <c r="E8643" t="s">
        <v>6588</v>
      </c>
      <c r="F8643" t="s">
        <v>7</v>
      </c>
      <c r="G8643" t="s">
        <v>16234</v>
      </c>
      <c r="H8643" t="s">
        <v>47054</v>
      </c>
      <c r="I8643" t="s">
        <v>47120</v>
      </c>
      <c r="J8643" t="s">
        <v>47121</v>
      </c>
      <c r="K8643" t="s">
        <v>47113</v>
      </c>
      <c r="L8643">
        <v>25.69</v>
      </c>
      <c r="M8643">
        <v>76</v>
      </c>
      <c r="N8643">
        <v>0</v>
      </c>
      <c r="O8643">
        <v>76</v>
      </c>
      <c r="P8643">
        <v>0</v>
      </c>
    </row>
    <row r="8644" spans="1:16" x14ac:dyDescent="0.25">
      <c r="A8644" t="s">
        <v>31252</v>
      </c>
      <c r="B8644" t="s">
        <v>6591</v>
      </c>
      <c r="C8644" t="s">
        <v>6592</v>
      </c>
      <c r="D8644" t="str">
        <f>"4169"</f>
        <v>4169</v>
      </c>
      <c r="E8644" t="s">
        <v>5883</v>
      </c>
      <c r="F8644" t="s">
        <v>7</v>
      </c>
      <c r="G8644" t="s">
        <v>16234</v>
      </c>
      <c r="H8644" t="s">
        <v>47054</v>
      </c>
      <c r="I8644" t="s">
        <v>47120</v>
      </c>
      <c r="J8644" t="s">
        <v>47121</v>
      </c>
      <c r="K8644" t="s">
        <v>47113</v>
      </c>
      <c r="L8644">
        <v>24.13</v>
      </c>
      <c r="M8644">
        <v>69</v>
      </c>
      <c r="N8644">
        <v>0</v>
      </c>
      <c r="O8644">
        <v>69</v>
      </c>
      <c r="P8644">
        <v>0</v>
      </c>
    </row>
    <row r="8645" spans="1:16" x14ac:dyDescent="0.25">
      <c r="A8645" t="s">
        <v>31253</v>
      </c>
      <c r="B8645" t="s">
        <v>6591</v>
      </c>
      <c r="C8645" t="s">
        <v>6592</v>
      </c>
      <c r="D8645" t="str">
        <f>"7223"</f>
        <v>7223</v>
      </c>
      <c r="E8645" t="s">
        <v>6571</v>
      </c>
      <c r="F8645" t="s">
        <v>7</v>
      </c>
      <c r="G8645" t="s">
        <v>16234</v>
      </c>
      <c r="H8645" t="s">
        <v>47054</v>
      </c>
      <c r="I8645" t="s">
        <v>47120</v>
      </c>
      <c r="J8645" t="s">
        <v>47121</v>
      </c>
      <c r="K8645" t="s">
        <v>47113</v>
      </c>
      <c r="L8645">
        <v>28.29</v>
      </c>
      <c r="M8645">
        <v>69</v>
      </c>
      <c r="N8645">
        <v>0</v>
      </c>
      <c r="O8645">
        <v>69</v>
      </c>
      <c r="P8645">
        <v>0</v>
      </c>
    </row>
    <row r="8646" spans="1:16" x14ac:dyDescent="0.25">
      <c r="A8646" t="s">
        <v>31254</v>
      </c>
      <c r="B8646" t="s">
        <v>6591</v>
      </c>
      <c r="C8646" t="s">
        <v>6592</v>
      </c>
      <c r="D8646" t="str">
        <f>"7226"</f>
        <v>7226</v>
      </c>
      <c r="E8646" t="s">
        <v>6563</v>
      </c>
      <c r="F8646" t="s">
        <v>7</v>
      </c>
      <c r="G8646" t="s">
        <v>16234</v>
      </c>
      <c r="H8646" t="s">
        <v>47054</v>
      </c>
      <c r="I8646" t="s">
        <v>47120</v>
      </c>
      <c r="J8646" t="s">
        <v>47121</v>
      </c>
      <c r="K8646" t="s">
        <v>47113</v>
      </c>
      <c r="L8646">
        <v>25.69</v>
      </c>
      <c r="M8646">
        <v>73</v>
      </c>
      <c r="N8646">
        <v>0</v>
      </c>
      <c r="O8646">
        <v>73</v>
      </c>
      <c r="P8646">
        <v>0</v>
      </c>
    </row>
    <row r="8647" spans="1:16" x14ac:dyDescent="0.25">
      <c r="A8647" t="s">
        <v>31255</v>
      </c>
      <c r="B8647" t="s">
        <v>6593</v>
      </c>
      <c r="C8647" t="s">
        <v>6594</v>
      </c>
      <c r="D8647" t="str">
        <f>"1116"</f>
        <v>1116</v>
      </c>
      <c r="E8647" t="s">
        <v>6530</v>
      </c>
      <c r="F8647" t="s">
        <v>7</v>
      </c>
      <c r="G8647" t="s">
        <v>16234</v>
      </c>
      <c r="H8647" t="s">
        <v>47054</v>
      </c>
      <c r="I8647" t="s">
        <v>47120</v>
      </c>
      <c r="J8647" t="s">
        <v>47121</v>
      </c>
      <c r="K8647" t="s">
        <v>47113</v>
      </c>
      <c r="L8647">
        <v>30.36</v>
      </c>
      <c r="M8647">
        <v>78</v>
      </c>
      <c r="N8647">
        <v>0</v>
      </c>
      <c r="O8647">
        <v>78</v>
      </c>
      <c r="P8647">
        <v>0</v>
      </c>
    </row>
    <row r="8648" spans="1:16" x14ac:dyDescent="0.25">
      <c r="A8648" t="s">
        <v>31256</v>
      </c>
      <c r="B8648" t="s">
        <v>6593</v>
      </c>
      <c r="C8648" t="s">
        <v>6594</v>
      </c>
      <c r="D8648" t="str">
        <f>"3026"</f>
        <v>3026</v>
      </c>
      <c r="E8648" t="s">
        <v>6586</v>
      </c>
      <c r="F8648" t="s">
        <v>7</v>
      </c>
      <c r="G8648" t="s">
        <v>16234</v>
      </c>
      <c r="H8648" t="s">
        <v>47054</v>
      </c>
      <c r="I8648" t="s">
        <v>47120</v>
      </c>
      <c r="J8648" t="s">
        <v>47121</v>
      </c>
      <c r="K8648" t="s">
        <v>47113</v>
      </c>
      <c r="L8648">
        <v>30.36</v>
      </c>
      <c r="M8648">
        <v>78</v>
      </c>
      <c r="N8648">
        <v>0</v>
      </c>
      <c r="O8648">
        <v>78</v>
      </c>
      <c r="P8648">
        <v>0</v>
      </c>
    </row>
    <row r="8649" spans="1:16" x14ac:dyDescent="0.25">
      <c r="A8649" t="s">
        <v>31257</v>
      </c>
      <c r="B8649" t="s">
        <v>6595</v>
      </c>
      <c r="C8649" t="s">
        <v>6594</v>
      </c>
      <c r="D8649" t="str">
        <f>"1024"</f>
        <v>1024</v>
      </c>
      <c r="E8649" t="s">
        <v>717</v>
      </c>
      <c r="F8649" t="s">
        <v>7</v>
      </c>
      <c r="G8649" t="s">
        <v>16234</v>
      </c>
      <c r="H8649" t="s">
        <v>47054</v>
      </c>
      <c r="I8649" t="s">
        <v>47120</v>
      </c>
      <c r="J8649" t="s">
        <v>47121</v>
      </c>
      <c r="K8649" t="s">
        <v>47113</v>
      </c>
      <c r="L8649">
        <v>25.89</v>
      </c>
      <c r="M8649">
        <v>72</v>
      </c>
      <c r="N8649">
        <v>0</v>
      </c>
      <c r="O8649">
        <v>72</v>
      </c>
      <c r="P8649">
        <v>0</v>
      </c>
    </row>
    <row r="8650" spans="1:16" x14ac:dyDescent="0.25">
      <c r="A8650" t="s">
        <v>31258</v>
      </c>
      <c r="B8650" t="s">
        <v>6595</v>
      </c>
      <c r="C8650" t="s">
        <v>6594</v>
      </c>
      <c r="D8650" t="str">
        <f>"1056"</f>
        <v>1056</v>
      </c>
      <c r="E8650" t="s">
        <v>1277</v>
      </c>
      <c r="F8650" t="s">
        <v>7</v>
      </c>
      <c r="G8650" t="s">
        <v>16234</v>
      </c>
      <c r="H8650" t="s">
        <v>47054</v>
      </c>
      <c r="I8650" t="s">
        <v>47120</v>
      </c>
      <c r="J8650" t="s">
        <v>47121</v>
      </c>
      <c r="K8650" t="s">
        <v>47113</v>
      </c>
      <c r="L8650">
        <v>30.36</v>
      </c>
      <c r="M8650">
        <v>76</v>
      </c>
      <c r="N8650">
        <v>0</v>
      </c>
      <c r="O8650">
        <v>76</v>
      </c>
      <c r="P8650">
        <v>0</v>
      </c>
    </row>
    <row r="8651" spans="1:16" x14ac:dyDescent="0.25">
      <c r="A8651" t="s">
        <v>31259</v>
      </c>
      <c r="B8651" t="s">
        <v>6595</v>
      </c>
      <c r="C8651" t="s">
        <v>6594</v>
      </c>
      <c r="D8651" t="str">
        <f>"1108"</f>
        <v>1108</v>
      </c>
      <c r="E8651" t="s">
        <v>6582</v>
      </c>
      <c r="F8651" t="s">
        <v>7</v>
      </c>
      <c r="G8651" t="s">
        <v>16234</v>
      </c>
      <c r="H8651" t="s">
        <v>47054</v>
      </c>
      <c r="I8651" t="s">
        <v>47120</v>
      </c>
      <c r="J8651" t="s">
        <v>47121</v>
      </c>
      <c r="K8651" t="s">
        <v>47113</v>
      </c>
      <c r="L8651">
        <v>28.48</v>
      </c>
      <c r="M8651">
        <v>72</v>
      </c>
      <c r="N8651">
        <v>0</v>
      </c>
      <c r="O8651">
        <v>72</v>
      </c>
      <c r="P8651">
        <v>0</v>
      </c>
    </row>
    <row r="8652" spans="1:16" x14ac:dyDescent="0.25">
      <c r="A8652" t="s">
        <v>31260</v>
      </c>
      <c r="B8652" t="s">
        <v>6595</v>
      </c>
      <c r="C8652" t="s">
        <v>6594</v>
      </c>
      <c r="D8652" t="str">
        <f>"1116"</f>
        <v>1116</v>
      </c>
      <c r="E8652" t="s">
        <v>6530</v>
      </c>
      <c r="F8652" t="s">
        <v>7</v>
      </c>
      <c r="G8652" t="s">
        <v>16234</v>
      </c>
      <c r="H8652" t="s">
        <v>47054</v>
      </c>
      <c r="I8652" t="s">
        <v>47120</v>
      </c>
      <c r="J8652" t="s">
        <v>47121</v>
      </c>
      <c r="K8652" t="s">
        <v>47113</v>
      </c>
      <c r="L8652">
        <v>30.36</v>
      </c>
      <c r="M8652">
        <v>76</v>
      </c>
      <c r="N8652">
        <v>0</v>
      </c>
      <c r="O8652">
        <v>76</v>
      </c>
      <c r="P8652">
        <v>0</v>
      </c>
    </row>
    <row r="8653" spans="1:16" x14ac:dyDescent="0.25">
      <c r="A8653" t="s">
        <v>31261</v>
      </c>
      <c r="B8653" t="s">
        <v>6595</v>
      </c>
      <c r="C8653" t="s">
        <v>6594</v>
      </c>
      <c r="D8653" t="str">
        <f>"1509"</f>
        <v>1509</v>
      </c>
      <c r="E8653" t="s">
        <v>1270</v>
      </c>
      <c r="F8653" t="s">
        <v>7</v>
      </c>
      <c r="G8653" t="s">
        <v>16234</v>
      </c>
      <c r="H8653" t="s">
        <v>47054</v>
      </c>
      <c r="I8653" t="s">
        <v>47120</v>
      </c>
      <c r="J8653" t="s">
        <v>47121</v>
      </c>
      <c r="K8653" t="s">
        <v>47113</v>
      </c>
      <c r="L8653">
        <v>30.36</v>
      </c>
      <c r="M8653">
        <v>76</v>
      </c>
      <c r="N8653">
        <v>0</v>
      </c>
      <c r="O8653">
        <v>76</v>
      </c>
      <c r="P8653">
        <v>0</v>
      </c>
    </row>
    <row r="8654" spans="1:16" x14ac:dyDescent="0.25">
      <c r="A8654" t="s">
        <v>31262</v>
      </c>
      <c r="B8654" t="s">
        <v>6595</v>
      </c>
      <c r="C8654" t="s">
        <v>6594</v>
      </c>
      <c r="D8654" t="str">
        <f>"1511"</f>
        <v>1511</v>
      </c>
      <c r="E8654" t="s">
        <v>6583</v>
      </c>
      <c r="F8654" t="s">
        <v>7</v>
      </c>
      <c r="G8654" t="s">
        <v>16234</v>
      </c>
      <c r="H8654" t="s">
        <v>47054</v>
      </c>
      <c r="I8654" t="s">
        <v>47120</v>
      </c>
      <c r="J8654" t="s">
        <v>47121</v>
      </c>
      <c r="K8654" t="s">
        <v>47113</v>
      </c>
      <c r="L8654">
        <v>28.48</v>
      </c>
      <c r="M8654">
        <v>72</v>
      </c>
      <c r="N8654">
        <v>0</v>
      </c>
      <c r="O8654">
        <v>72</v>
      </c>
      <c r="P8654">
        <v>0</v>
      </c>
    </row>
    <row r="8655" spans="1:16" x14ac:dyDescent="0.25">
      <c r="A8655" t="s">
        <v>31263</v>
      </c>
      <c r="B8655" t="s">
        <v>6595</v>
      </c>
      <c r="C8655" t="s">
        <v>6594</v>
      </c>
      <c r="D8655" t="str">
        <f>"2118"</f>
        <v>2118</v>
      </c>
      <c r="E8655" t="s">
        <v>6584</v>
      </c>
      <c r="F8655" t="s">
        <v>7</v>
      </c>
      <c r="G8655" t="s">
        <v>16234</v>
      </c>
      <c r="H8655" t="s">
        <v>47054</v>
      </c>
      <c r="I8655" t="s">
        <v>47120</v>
      </c>
      <c r="J8655" t="s">
        <v>47121</v>
      </c>
      <c r="K8655" t="s">
        <v>47113</v>
      </c>
      <c r="L8655">
        <v>28.48</v>
      </c>
      <c r="M8655">
        <v>72</v>
      </c>
      <c r="N8655">
        <v>0</v>
      </c>
      <c r="O8655">
        <v>72</v>
      </c>
      <c r="P8655">
        <v>0</v>
      </c>
    </row>
    <row r="8656" spans="1:16" x14ac:dyDescent="0.25">
      <c r="A8656" t="s">
        <v>31264</v>
      </c>
      <c r="B8656" t="s">
        <v>6595</v>
      </c>
      <c r="C8656" t="s">
        <v>6594</v>
      </c>
      <c r="D8656" t="str">
        <f>"2122"</f>
        <v>2122</v>
      </c>
      <c r="E8656" t="s">
        <v>6533</v>
      </c>
      <c r="F8656" t="s">
        <v>7</v>
      </c>
      <c r="G8656" t="s">
        <v>16234</v>
      </c>
      <c r="H8656" t="s">
        <v>47054</v>
      </c>
      <c r="I8656" t="s">
        <v>47120</v>
      </c>
      <c r="J8656" t="s">
        <v>47121</v>
      </c>
      <c r="K8656" t="s">
        <v>47113</v>
      </c>
      <c r="L8656">
        <v>30.36</v>
      </c>
      <c r="M8656">
        <v>76</v>
      </c>
      <c r="N8656">
        <v>0</v>
      </c>
      <c r="O8656">
        <v>76</v>
      </c>
      <c r="P8656">
        <v>0</v>
      </c>
    </row>
    <row r="8657" spans="1:16" x14ac:dyDescent="0.25">
      <c r="A8657" t="s">
        <v>31265</v>
      </c>
      <c r="B8657" t="s">
        <v>6595</v>
      </c>
      <c r="C8657" t="s">
        <v>6594</v>
      </c>
      <c r="D8657" t="str">
        <f>"3024"</f>
        <v>3024</v>
      </c>
      <c r="E8657" t="s">
        <v>6585</v>
      </c>
      <c r="F8657" t="s">
        <v>7</v>
      </c>
      <c r="G8657" t="s">
        <v>16234</v>
      </c>
      <c r="H8657" t="s">
        <v>47054</v>
      </c>
      <c r="I8657" t="s">
        <v>47120</v>
      </c>
      <c r="J8657" t="s">
        <v>47121</v>
      </c>
      <c r="K8657" t="s">
        <v>47113</v>
      </c>
      <c r="L8657">
        <v>28.48</v>
      </c>
      <c r="M8657">
        <v>72</v>
      </c>
      <c r="N8657">
        <v>0</v>
      </c>
      <c r="O8657">
        <v>72</v>
      </c>
      <c r="P8657">
        <v>0</v>
      </c>
    </row>
    <row r="8658" spans="1:16" x14ac:dyDescent="0.25">
      <c r="A8658" t="s">
        <v>31266</v>
      </c>
      <c r="B8658" t="s">
        <v>6595</v>
      </c>
      <c r="C8658" t="s">
        <v>6594</v>
      </c>
      <c r="D8658" t="str">
        <f>"3026"</f>
        <v>3026</v>
      </c>
      <c r="E8658" t="s">
        <v>6586</v>
      </c>
      <c r="F8658" t="s">
        <v>7</v>
      </c>
      <c r="G8658" t="s">
        <v>16234</v>
      </c>
      <c r="H8658" t="s">
        <v>47054</v>
      </c>
      <c r="I8658" t="s">
        <v>47120</v>
      </c>
      <c r="J8658" t="s">
        <v>47121</v>
      </c>
      <c r="K8658" t="s">
        <v>47113</v>
      </c>
      <c r="L8658">
        <v>30.36</v>
      </c>
      <c r="M8658">
        <v>76</v>
      </c>
      <c r="N8658">
        <v>0</v>
      </c>
      <c r="O8658">
        <v>76</v>
      </c>
      <c r="P8658">
        <v>0</v>
      </c>
    </row>
    <row r="8659" spans="1:16" x14ac:dyDescent="0.25">
      <c r="A8659" t="s">
        <v>31267</v>
      </c>
      <c r="B8659" t="s">
        <v>6595</v>
      </c>
      <c r="C8659" t="s">
        <v>6594</v>
      </c>
      <c r="D8659" t="str">
        <f>"4128"</f>
        <v>4128</v>
      </c>
      <c r="E8659" t="s">
        <v>1284</v>
      </c>
      <c r="F8659" t="s">
        <v>7</v>
      </c>
      <c r="G8659" t="s">
        <v>16234</v>
      </c>
      <c r="H8659" t="s">
        <v>47054</v>
      </c>
      <c r="I8659" t="s">
        <v>47120</v>
      </c>
      <c r="J8659" t="s">
        <v>47121</v>
      </c>
      <c r="K8659" t="s">
        <v>47113</v>
      </c>
      <c r="L8659">
        <v>28.48</v>
      </c>
      <c r="M8659">
        <v>72</v>
      </c>
      <c r="N8659">
        <v>0</v>
      </c>
      <c r="O8659">
        <v>72</v>
      </c>
      <c r="P8659">
        <v>0</v>
      </c>
    </row>
    <row r="8660" spans="1:16" x14ac:dyDescent="0.25">
      <c r="A8660" t="s">
        <v>31268</v>
      </c>
      <c r="B8660" t="s">
        <v>6595</v>
      </c>
      <c r="C8660" t="s">
        <v>6594</v>
      </c>
      <c r="D8660" t="str">
        <f>"4158"</f>
        <v>4158</v>
      </c>
      <c r="E8660" t="s">
        <v>6588</v>
      </c>
      <c r="F8660" t="s">
        <v>7</v>
      </c>
      <c r="G8660" t="s">
        <v>16234</v>
      </c>
      <c r="H8660" t="s">
        <v>47054</v>
      </c>
      <c r="I8660" t="s">
        <v>47120</v>
      </c>
      <c r="J8660" t="s">
        <v>47121</v>
      </c>
      <c r="K8660" t="s">
        <v>47113</v>
      </c>
      <c r="L8660">
        <v>30.36</v>
      </c>
      <c r="M8660">
        <v>76</v>
      </c>
      <c r="N8660">
        <v>0</v>
      </c>
      <c r="O8660">
        <v>76</v>
      </c>
      <c r="P8660">
        <v>0</v>
      </c>
    </row>
    <row r="8661" spans="1:16" x14ac:dyDescent="0.25">
      <c r="A8661" t="s">
        <v>31269</v>
      </c>
      <c r="B8661" t="s">
        <v>6595</v>
      </c>
      <c r="C8661" t="s">
        <v>6594</v>
      </c>
      <c r="D8661" t="str">
        <f>"7223"</f>
        <v>7223</v>
      </c>
      <c r="E8661" t="s">
        <v>6571</v>
      </c>
      <c r="F8661" t="s">
        <v>7</v>
      </c>
      <c r="G8661" t="s">
        <v>16234</v>
      </c>
      <c r="H8661" t="s">
        <v>47054</v>
      </c>
      <c r="I8661" t="s">
        <v>47120</v>
      </c>
      <c r="J8661" t="s">
        <v>47121</v>
      </c>
      <c r="K8661" t="s">
        <v>47113</v>
      </c>
      <c r="L8661">
        <v>28.48</v>
      </c>
      <c r="M8661">
        <v>72</v>
      </c>
      <c r="N8661">
        <v>0</v>
      </c>
      <c r="O8661">
        <v>72</v>
      </c>
      <c r="P8661">
        <v>0</v>
      </c>
    </row>
    <row r="8662" spans="1:16" x14ac:dyDescent="0.25">
      <c r="A8662" t="s">
        <v>31270</v>
      </c>
      <c r="B8662" t="s">
        <v>6595</v>
      </c>
      <c r="C8662" t="s">
        <v>6594</v>
      </c>
      <c r="D8662" t="str">
        <f>"7226"</f>
        <v>7226</v>
      </c>
      <c r="E8662" t="s">
        <v>6563</v>
      </c>
      <c r="F8662" t="s">
        <v>7</v>
      </c>
      <c r="G8662" t="s">
        <v>16234</v>
      </c>
      <c r="H8662" t="s">
        <v>47054</v>
      </c>
      <c r="I8662" t="s">
        <v>47120</v>
      </c>
      <c r="J8662" t="s">
        <v>47121</v>
      </c>
      <c r="K8662" t="s">
        <v>47113</v>
      </c>
      <c r="L8662">
        <v>30.36</v>
      </c>
      <c r="M8662">
        <v>76</v>
      </c>
      <c r="N8662">
        <v>0</v>
      </c>
      <c r="O8662">
        <v>76</v>
      </c>
      <c r="P8662">
        <v>0</v>
      </c>
    </row>
    <row r="8663" spans="1:16" x14ac:dyDescent="0.25">
      <c r="A8663" t="s">
        <v>31271</v>
      </c>
      <c r="B8663" t="s">
        <v>6596</v>
      </c>
      <c r="C8663" t="s">
        <v>6597</v>
      </c>
      <c r="D8663" t="str">
        <f>"3240"</f>
        <v>3240</v>
      </c>
      <c r="E8663" t="s">
        <v>6598</v>
      </c>
      <c r="F8663" t="s">
        <v>2</v>
      </c>
      <c r="G8663" t="s">
        <v>16234</v>
      </c>
      <c r="H8663" t="s">
        <v>47054</v>
      </c>
      <c r="I8663" t="s">
        <v>47120</v>
      </c>
      <c r="J8663" t="s">
        <v>47121</v>
      </c>
      <c r="K8663" t="s">
        <v>47113</v>
      </c>
      <c r="L8663">
        <v>44.88</v>
      </c>
      <c r="M8663">
        <v>120</v>
      </c>
      <c r="N8663">
        <v>0</v>
      </c>
      <c r="O8663">
        <v>120</v>
      </c>
      <c r="P8663">
        <v>0</v>
      </c>
    </row>
    <row r="8664" spans="1:16" x14ac:dyDescent="0.25">
      <c r="A8664" t="s">
        <v>31272</v>
      </c>
      <c r="B8664" t="s">
        <v>6596</v>
      </c>
      <c r="C8664" t="s">
        <v>6597</v>
      </c>
      <c r="D8664" t="str">
        <f>"3346"</f>
        <v>3346</v>
      </c>
      <c r="E8664" t="s">
        <v>6599</v>
      </c>
      <c r="F8664" t="s">
        <v>2</v>
      </c>
      <c r="G8664" t="s">
        <v>16234</v>
      </c>
      <c r="H8664" t="s">
        <v>47054</v>
      </c>
      <c r="I8664" t="s">
        <v>47120</v>
      </c>
      <c r="J8664" t="s">
        <v>47121</v>
      </c>
      <c r="K8664" t="s">
        <v>47113</v>
      </c>
      <c r="L8664">
        <v>44.35</v>
      </c>
      <c r="M8664">
        <v>120</v>
      </c>
      <c r="N8664">
        <v>0</v>
      </c>
      <c r="O8664">
        <v>120</v>
      </c>
      <c r="P8664">
        <v>0</v>
      </c>
    </row>
    <row r="8665" spans="1:16" x14ac:dyDescent="0.25">
      <c r="A8665" t="s">
        <v>31273</v>
      </c>
      <c r="B8665" t="s">
        <v>6596</v>
      </c>
      <c r="C8665" t="s">
        <v>6597</v>
      </c>
      <c r="D8665" t="str">
        <f>"3414"</f>
        <v>3414</v>
      </c>
      <c r="E8665" t="s">
        <v>6600</v>
      </c>
      <c r="F8665" t="s">
        <v>2</v>
      </c>
      <c r="G8665" t="s">
        <v>16234</v>
      </c>
      <c r="H8665" t="s">
        <v>47054</v>
      </c>
      <c r="I8665" t="s">
        <v>47120</v>
      </c>
      <c r="J8665" t="s">
        <v>47121</v>
      </c>
      <c r="K8665" t="s">
        <v>47113</v>
      </c>
      <c r="L8665">
        <v>44.88</v>
      </c>
      <c r="M8665">
        <v>120</v>
      </c>
      <c r="N8665">
        <v>0</v>
      </c>
      <c r="O8665">
        <v>120</v>
      </c>
      <c r="P8665">
        <v>0</v>
      </c>
    </row>
    <row r="8666" spans="1:16" x14ac:dyDescent="0.25">
      <c r="A8666" t="s">
        <v>31274</v>
      </c>
      <c r="B8666" t="s">
        <v>6596</v>
      </c>
      <c r="C8666" t="s">
        <v>6597</v>
      </c>
      <c r="D8666" t="str">
        <f>"4623"</f>
        <v>4623</v>
      </c>
      <c r="E8666" t="s">
        <v>6601</v>
      </c>
      <c r="F8666" t="s">
        <v>2</v>
      </c>
      <c r="G8666" t="s">
        <v>16234</v>
      </c>
      <c r="H8666" t="s">
        <v>47054</v>
      </c>
      <c r="I8666" t="s">
        <v>47120</v>
      </c>
      <c r="J8666" t="s">
        <v>47121</v>
      </c>
      <c r="K8666" t="s">
        <v>47113</v>
      </c>
      <c r="L8666">
        <v>44.88</v>
      </c>
      <c r="M8666">
        <v>120</v>
      </c>
      <c r="N8666">
        <v>0</v>
      </c>
      <c r="O8666">
        <v>120</v>
      </c>
      <c r="P8666">
        <v>0</v>
      </c>
    </row>
    <row r="8667" spans="1:16" x14ac:dyDescent="0.25">
      <c r="A8667" t="s">
        <v>31275</v>
      </c>
      <c r="B8667" t="s">
        <v>6596</v>
      </c>
      <c r="C8667" t="s">
        <v>6597</v>
      </c>
      <c r="D8667" t="str">
        <f>"4624"</f>
        <v>4624</v>
      </c>
      <c r="E8667" t="s">
        <v>6602</v>
      </c>
      <c r="F8667" t="s">
        <v>2</v>
      </c>
      <c r="G8667" t="s">
        <v>16234</v>
      </c>
      <c r="H8667" t="s">
        <v>47054</v>
      </c>
      <c r="I8667" t="s">
        <v>47120</v>
      </c>
      <c r="J8667" t="s">
        <v>47121</v>
      </c>
      <c r="K8667" t="s">
        <v>47113</v>
      </c>
      <c r="L8667">
        <v>44.88</v>
      </c>
      <c r="M8667">
        <v>120</v>
      </c>
      <c r="N8667">
        <v>0</v>
      </c>
      <c r="O8667">
        <v>120</v>
      </c>
      <c r="P8667">
        <v>0</v>
      </c>
    </row>
    <row r="8668" spans="1:16" x14ac:dyDescent="0.25">
      <c r="A8668" t="s">
        <v>31276</v>
      </c>
      <c r="B8668" t="s">
        <v>6596</v>
      </c>
      <c r="C8668" t="s">
        <v>6597</v>
      </c>
      <c r="D8668" t="str">
        <f>"4625"</f>
        <v>4625</v>
      </c>
      <c r="E8668" t="s">
        <v>6603</v>
      </c>
      <c r="F8668" t="s">
        <v>2</v>
      </c>
      <c r="G8668" t="s">
        <v>16234</v>
      </c>
      <c r="H8668" t="s">
        <v>47054</v>
      </c>
      <c r="I8668" t="s">
        <v>47120</v>
      </c>
      <c r="J8668" t="s">
        <v>47121</v>
      </c>
      <c r="K8668" t="s">
        <v>47113</v>
      </c>
      <c r="L8668">
        <v>44.88</v>
      </c>
      <c r="M8668">
        <v>120</v>
      </c>
      <c r="N8668">
        <v>0</v>
      </c>
      <c r="O8668">
        <v>120</v>
      </c>
      <c r="P8668">
        <v>0</v>
      </c>
    </row>
    <row r="8669" spans="1:16" x14ac:dyDescent="0.25">
      <c r="A8669" t="s">
        <v>31277</v>
      </c>
      <c r="B8669" t="s">
        <v>6596</v>
      </c>
      <c r="C8669" t="s">
        <v>6597</v>
      </c>
      <c r="D8669" t="str">
        <f>"5089"</f>
        <v>5089</v>
      </c>
      <c r="E8669" t="s">
        <v>6604</v>
      </c>
      <c r="F8669" t="s">
        <v>2</v>
      </c>
      <c r="G8669" t="s">
        <v>16234</v>
      </c>
      <c r="H8669" t="s">
        <v>47054</v>
      </c>
      <c r="I8669" t="s">
        <v>47120</v>
      </c>
      <c r="J8669" t="s">
        <v>47121</v>
      </c>
      <c r="K8669" t="s">
        <v>47113</v>
      </c>
      <c r="L8669">
        <v>44.88</v>
      </c>
      <c r="M8669">
        <v>120</v>
      </c>
      <c r="N8669">
        <v>0</v>
      </c>
      <c r="O8669">
        <v>120</v>
      </c>
      <c r="P8669">
        <v>0</v>
      </c>
    </row>
    <row r="8670" spans="1:16" x14ac:dyDescent="0.25">
      <c r="A8670" t="s">
        <v>31278</v>
      </c>
      <c r="B8670" t="s">
        <v>6596</v>
      </c>
      <c r="C8670" t="s">
        <v>6597</v>
      </c>
      <c r="D8670" t="str">
        <f>"6264"</f>
        <v>6264</v>
      </c>
      <c r="E8670" t="s">
        <v>6605</v>
      </c>
      <c r="F8670" t="s">
        <v>2</v>
      </c>
      <c r="G8670" t="s">
        <v>16234</v>
      </c>
      <c r="H8670" t="s">
        <v>47054</v>
      </c>
      <c r="I8670" t="s">
        <v>47120</v>
      </c>
      <c r="J8670" t="s">
        <v>47121</v>
      </c>
      <c r="K8670" t="s">
        <v>47113</v>
      </c>
      <c r="L8670">
        <v>44.88</v>
      </c>
      <c r="M8670">
        <v>120</v>
      </c>
      <c r="N8670">
        <v>0</v>
      </c>
      <c r="O8670">
        <v>120</v>
      </c>
      <c r="P8670">
        <v>0</v>
      </c>
    </row>
    <row r="8671" spans="1:16" x14ac:dyDescent="0.25">
      <c r="A8671" t="s">
        <v>31279</v>
      </c>
      <c r="B8671" t="s">
        <v>6596</v>
      </c>
      <c r="C8671" t="s">
        <v>6597</v>
      </c>
      <c r="D8671" t="str">
        <f>"7353"</f>
        <v>7353</v>
      </c>
      <c r="E8671" t="s">
        <v>6606</v>
      </c>
      <c r="F8671" t="s">
        <v>2</v>
      </c>
      <c r="G8671" t="s">
        <v>16234</v>
      </c>
      <c r="H8671" t="s">
        <v>47054</v>
      </c>
      <c r="I8671" t="s">
        <v>47120</v>
      </c>
      <c r="J8671" t="s">
        <v>47121</v>
      </c>
      <c r="K8671" t="s">
        <v>47113</v>
      </c>
      <c r="L8671">
        <v>44.88</v>
      </c>
      <c r="M8671">
        <v>120</v>
      </c>
      <c r="N8671">
        <v>0</v>
      </c>
      <c r="O8671">
        <v>120</v>
      </c>
      <c r="P8671">
        <v>0</v>
      </c>
    </row>
    <row r="8672" spans="1:16" x14ac:dyDescent="0.25">
      <c r="A8672" t="s">
        <v>31280</v>
      </c>
      <c r="B8672" t="s">
        <v>6596</v>
      </c>
      <c r="C8672" t="s">
        <v>6597</v>
      </c>
      <c r="D8672" t="str">
        <f>"8344"</f>
        <v>8344</v>
      </c>
      <c r="E8672" t="s">
        <v>6607</v>
      </c>
      <c r="F8672" t="s">
        <v>2</v>
      </c>
      <c r="G8672" t="s">
        <v>16234</v>
      </c>
      <c r="H8672" t="s">
        <v>47054</v>
      </c>
      <c r="I8672" t="s">
        <v>47120</v>
      </c>
      <c r="J8672" t="s">
        <v>47121</v>
      </c>
      <c r="K8672" t="s">
        <v>47113</v>
      </c>
      <c r="L8672">
        <v>44.88</v>
      </c>
      <c r="M8672">
        <v>120</v>
      </c>
      <c r="N8672">
        <v>0</v>
      </c>
      <c r="O8672">
        <v>120</v>
      </c>
      <c r="P8672">
        <v>0</v>
      </c>
    </row>
    <row r="8673" spans="1:16" x14ac:dyDescent="0.25">
      <c r="A8673" t="s">
        <v>31281</v>
      </c>
      <c r="B8673" t="s">
        <v>6608</v>
      </c>
      <c r="C8673" t="s">
        <v>6609</v>
      </c>
      <c r="D8673" t="str">
        <f>"1100"</f>
        <v>1100</v>
      </c>
      <c r="E8673" t="s">
        <v>6610</v>
      </c>
      <c r="F8673" t="s">
        <v>5</v>
      </c>
      <c r="G8673" t="s">
        <v>16234</v>
      </c>
      <c r="H8673" t="s">
        <v>47054</v>
      </c>
      <c r="I8673" t="s">
        <v>47120</v>
      </c>
      <c r="J8673" t="s">
        <v>47121</v>
      </c>
      <c r="K8673" t="s">
        <v>47113</v>
      </c>
      <c r="L8673">
        <v>39</v>
      </c>
      <c r="M8673">
        <v>92</v>
      </c>
      <c r="N8673">
        <v>0</v>
      </c>
      <c r="O8673">
        <v>92</v>
      </c>
      <c r="P8673">
        <v>0</v>
      </c>
    </row>
    <row r="8674" spans="1:16" x14ac:dyDescent="0.25">
      <c r="A8674" t="s">
        <v>31282</v>
      </c>
      <c r="B8674" t="s">
        <v>6608</v>
      </c>
      <c r="C8674" t="s">
        <v>6609</v>
      </c>
      <c r="D8674" t="str">
        <f>"2164"</f>
        <v>2164</v>
      </c>
      <c r="E8674" t="s">
        <v>6611</v>
      </c>
      <c r="F8674" t="s">
        <v>5</v>
      </c>
      <c r="G8674" t="s">
        <v>16234</v>
      </c>
      <c r="H8674" t="s">
        <v>47054</v>
      </c>
      <c r="I8674" t="s">
        <v>47120</v>
      </c>
      <c r="J8674" t="s">
        <v>47121</v>
      </c>
      <c r="K8674" t="s">
        <v>47113</v>
      </c>
      <c r="L8674">
        <v>39</v>
      </c>
      <c r="M8674">
        <v>92</v>
      </c>
      <c r="N8674">
        <v>0</v>
      </c>
      <c r="O8674">
        <v>92</v>
      </c>
      <c r="P8674">
        <v>0</v>
      </c>
    </row>
    <row r="8675" spans="1:16" x14ac:dyDescent="0.25">
      <c r="A8675" t="s">
        <v>31283</v>
      </c>
      <c r="B8675" t="s">
        <v>6608</v>
      </c>
      <c r="C8675" t="s">
        <v>6609</v>
      </c>
      <c r="D8675" t="str">
        <f>"3447"</f>
        <v>3447</v>
      </c>
      <c r="E8675" t="s">
        <v>6612</v>
      </c>
      <c r="F8675" t="s">
        <v>5</v>
      </c>
      <c r="G8675" t="s">
        <v>16234</v>
      </c>
      <c r="H8675" t="s">
        <v>47054</v>
      </c>
      <c r="I8675" t="s">
        <v>47120</v>
      </c>
      <c r="J8675" t="s">
        <v>47121</v>
      </c>
      <c r="K8675" t="s">
        <v>47113</v>
      </c>
      <c r="L8675">
        <v>39</v>
      </c>
      <c r="M8675">
        <v>92</v>
      </c>
      <c r="N8675">
        <v>0</v>
      </c>
      <c r="O8675">
        <v>92</v>
      </c>
      <c r="P8675">
        <v>0</v>
      </c>
    </row>
    <row r="8676" spans="1:16" x14ac:dyDescent="0.25">
      <c r="A8676" t="s">
        <v>31284</v>
      </c>
      <c r="B8676" t="s">
        <v>6608</v>
      </c>
      <c r="C8676" t="s">
        <v>6609</v>
      </c>
      <c r="D8676" t="str">
        <f>"4815"</f>
        <v>4815</v>
      </c>
      <c r="E8676" t="s">
        <v>6613</v>
      </c>
      <c r="F8676" t="s">
        <v>5</v>
      </c>
      <c r="G8676" t="s">
        <v>16234</v>
      </c>
      <c r="H8676" t="s">
        <v>47054</v>
      </c>
      <c r="I8676" t="s">
        <v>47120</v>
      </c>
      <c r="J8676" t="s">
        <v>47121</v>
      </c>
      <c r="K8676" t="s">
        <v>47113</v>
      </c>
      <c r="L8676">
        <v>39</v>
      </c>
      <c r="M8676">
        <v>92</v>
      </c>
      <c r="N8676">
        <v>0</v>
      </c>
      <c r="O8676">
        <v>92</v>
      </c>
      <c r="P8676">
        <v>0</v>
      </c>
    </row>
    <row r="8677" spans="1:16" x14ac:dyDescent="0.25">
      <c r="A8677" t="s">
        <v>31285</v>
      </c>
      <c r="B8677" t="s">
        <v>6614</v>
      </c>
      <c r="C8677" t="s">
        <v>6615</v>
      </c>
      <c r="D8677" t="str">
        <f>"3240"</f>
        <v>3240</v>
      </c>
      <c r="E8677" t="s">
        <v>6598</v>
      </c>
      <c r="F8677" t="s">
        <v>2</v>
      </c>
      <c r="G8677" t="s">
        <v>16233</v>
      </c>
      <c r="H8677" t="s">
        <v>47054</v>
      </c>
      <c r="I8677" t="s">
        <v>47120</v>
      </c>
      <c r="J8677" t="s">
        <v>47121</v>
      </c>
      <c r="K8677" t="s">
        <v>47113</v>
      </c>
      <c r="L8677">
        <v>33.11</v>
      </c>
      <c r="M8677">
        <v>120</v>
      </c>
      <c r="N8677">
        <v>0</v>
      </c>
      <c r="O8677">
        <v>120</v>
      </c>
      <c r="P8677">
        <v>0</v>
      </c>
    </row>
    <row r="8678" spans="1:16" x14ac:dyDescent="0.25">
      <c r="A8678" t="s">
        <v>31286</v>
      </c>
      <c r="B8678" t="s">
        <v>6614</v>
      </c>
      <c r="C8678" t="s">
        <v>6615</v>
      </c>
      <c r="D8678" t="str">
        <f>"3346"</f>
        <v>3346</v>
      </c>
      <c r="E8678" t="s">
        <v>6599</v>
      </c>
      <c r="F8678" t="s">
        <v>2</v>
      </c>
      <c r="G8678" t="s">
        <v>16233</v>
      </c>
      <c r="H8678" t="s">
        <v>47054</v>
      </c>
      <c r="I8678" t="s">
        <v>47120</v>
      </c>
      <c r="J8678" t="s">
        <v>47121</v>
      </c>
      <c r="K8678" t="s">
        <v>47113</v>
      </c>
      <c r="L8678">
        <v>33.08</v>
      </c>
      <c r="M8678">
        <v>120</v>
      </c>
      <c r="N8678">
        <v>0</v>
      </c>
      <c r="O8678">
        <v>120</v>
      </c>
      <c r="P8678">
        <v>0</v>
      </c>
    </row>
    <row r="8679" spans="1:16" x14ac:dyDescent="0.25">
      <c r="A8679" t="s">
        <v>31287</v>
      </c>
      <c r="B8679" t="s">
        <v>6614</v>
      </c>
      <c r="C8679" t="s">
        <v>6615</v>
      </c>
      <c r="D8679" t="str">
        <f>"3414"</f>
        <v>3414</v>
      </c>
      <c r="E8679" t="s">
        <v>6600</v>
      </c>
      <c r="F8679" t="s">
        <v>2</v>
      </c>
      <c r="G8679" t="s">
        <v>16233</v>
      </c>
      <c r="H8679" t="s">
        <v>47054</v>
      </c>
      <c r="I8679" t="s">
        <v>47120</v>
      </c>
      <c r="J8679" t="s">
        <v>47121</v>
      </c>
      <c r="K8679" t="s">
        <v>47113</v>
      </c>
      <c r="L8679">
        <v>33.11</v>
      </c>
      <c r="M8679">
        <v>120</v>
      </c>
      <c r="N8679">
        <v>0</v>
      </c>
      <c r="O8679">
        <v>120</v>
      </c>
      <c r="P8679">
        <v>0</v>
      </c>
    </row>
    <row r="8680" spans="1:16" x14ac:dyDescent="0.25">
      <c r="A8680" t="s">
        <v>31288</v>
      </c>
      <c r="B8680" t="s">
        <v>6614</v>
      </c>
      <c r="C8680" t="s">
        <v>6615</v>
      </c>
      <c r="D8680" t="str">
        <f>"4623"</f>
        <v>4623</v>
      </c>
      <c r="E8680" t="s">
        <v>6601</v>
      </c>
      <c r="F8680" t="s">
        <v>2</v>
      </c>
      <c r="G8680" t="s">
        <v>16233</v>
      </c>
      <c r="H8680" t="s">
        <v>47054</v>
      </c>
      <c r="I8680" t="s">
        <v>47120</v>
      </c>
      <c r="J8680" t="s">
        <v>47121</v>
      </c>
      <c r="K8680" t="s">
        <v>47113</v>
      </c>
      <c r="L8680">
        <v>33.11</v>
      </c>
      <c r="M8680">
        <v>120</v>
      </c>
      <c r="N8680">
        <v>0</v>
      </c>
      <c r="O8680">
        <v>120</v>
      </c>
      <c r="P8680">
        <v>0</v>
      </c>
    </row>
    <row r="8681" spans="1:16" x14ac:dyDescent="0.25">
      <c r="A8681" t="s">
        <v>31289</v>
      </c>
      <c r="B8681" t="s">
        <v>6614</v>
      </c>
      <c r="C8681" t="s">
        <v>6615</v>
      </c>
      <c r="D8681" t="str">
        <f>"4624"</f>
        <v>4624</v>
      </c>
      <c r="E8681" t="s">
        <v>6602</v>
      </c>
      <c r="F8681" t="s">
        <v>2</v>
      </c>
      <c r="G8681" t="s">
        <v>16233</v>
      </c>
      <c r="H8681" t="s">
        <v>47054</v>
      </c>
      <c r="I8681" t="s">
        <v>47120</v>
      </c>
      <c r="J8681" t="s">
        <v>47121</v>
      </c>
      <c r="K8681" t="s">
        <v>47113</v>
      </c>
      <c r="L8681">
        <v>33.11</v>
      </c>
      <c r="M8681">
        <v>120</v>
      </c>
      <c r="N8681">
        <v>0</v>
      </c>
      <c r="O8681">
        <v>120</v>
      </c>
      <c r="P8681">
        <v>0</v>
      </c>
    </row>
    <row r="8682" spans="1:16" x14ac:dyDescent="0.25">
      <c r="A8682" t="s">
        <v>31290</v>
      </c>
      <c r="B8682" t="s">
        <v>6614</v>
      </c>
      <c r="C8682" t="s">
        <v>6615</v>
      </c>
      <c r="D8682" t="str">
        <f>"4625"</f>
        <v>4625</v>
      </c>
      <c r="E8682" t="s">
        <v>6603</v>
      </c>
      <c r="F8682" t="s">
        <v>2</v>
      </c>
      <c r="G8682" t="s">
        <v>16233</v>
      </c>
      <c r="H8682" t="s">
        <v>47054</v>
      </c>
      <c r="I8682" t="s">
        <v>47120</v>
      </c>
      <c r="J8682" t="s">
        <v>47121</v>
      </c>
      <c r="K8682" t="s">
        <v>47113</v>
      </c>
      <c r="L8682">
        <v>33.11</v>
      </c>
      <c r="M8682">
        <v>120</v>
      </c>
      <c r="N8682">
        <v>0</v>
      </c>
      <c r="O8682">
        <v>120</v>
      </c>
      <c r="P8682">
        <v>0</v>
      </c>
    </row>
    <row r="8683" spans="1:16" x14ac:dyDescent="0.25">
      <c r="A8683" t="s">
        <v>31291</v>
      </c>
      <c r="B8683" t="s">
        <v>6614</v>
      </c>
      <c r="C8683" t="s">
        <v>6615</v>
      </c>
      <c r="D8683" t="str">
        <f>"5089"</f>
        <v>5089</v>
      </c>
      <c r="E8683" t="s">
        <v>6604</v>
      </c>
      <c r="F8683" t="s">
        <v>2</v>
      </c>
      <c r="G8683" t="s">
        <v>16233</v>
      </c>
      <c r="H8683" t="s">
        <v>47054</v>
      </c>
      <c r="I8683" t="s">
        <v>47120</v>
      </c>
      <c r="J8683" t="s">
        <v>47121</v>
      </c>
      <c r="K8683" t="s">
        <v>47113</v>
      </c>
      <c r="L8683">
        <v>33.11</v>
      </c>
      <c r="M8683">
        <v>120</v>
      </c>
      <c r="N8683">
        <v>0</v>
      </c>
      <c r="O8683">
        <v>120</v>
      </c>
      <c r="P8683">
        <v>0</v>
      </c>
    </row>
    <row r="8684" spans="1:16" x14ac:dyDescent="0.25">
      <c r="A8684" t="s">
        <v>31292</v>
      </c>
      <c r="B8684" t="s">
        <v>6614</v>
      </c>
      <c r="C8684" t="s">
        <v>6615</v>
      </c>
      <c r="D8684" t="str">
        <f>"6264"</f>
        <v>6264</v>
      </c>
      <c r="E8684" t="s">
        <v>6605</v>
      </c>
      <c r="F8684" t="s">
        <v>2</v>
      </c>
      <c r="G8684" t="s">
        <v>16233</v>
      </c>
      <c r="H8684" t="s">
        <v>47054</v>
      </c>
      <c r="I8684" t="s">
        <v>47120</v>
      </c>
      <c r="J8684" t="s">
        <v>47121</v>
      </c>
      <c r="K8684" t="s">
        <v>47113</v>
      </c>
      <c r="L8684">
        <v>33.11</v>
      </c>
      <c r="M8684">
        <v>120</v>
      </c>
      <c r="N8684">
        <v>0</v>
      </c>
      <c r="O8684">
        <v>120</v>
      </c>
      <c r="P8684">
        <v>0</v>
      </c>
    </row>
    <row r="8685" spans="1:16" x14ac:dyDescent="0.25">
      <c r="A8685" t="s">
        <v>31293</v>
      </c>
      <c r="B8685" t="s">
        <v>6614</v>
      </c>
      <c r="C8685" t="s">
        <v>6615</v>
      </c>
      <c r="D8685" t="str">
        <f>"7353"</f>
        <v>7353</v>
      </c>
      <c r="E8685" t="s">
        <v>6606</v>
      </c>
      <c r="F8685" t="s">
        <v>2</v>
      </c>
      <c r="G8685" t="s">
        <v>16233</v>
      </c>
      <c r="H8685" t="s">
        <v>47054</v>
      </c>
      <c r="I8685" t="s">
        <v>47120</v>
      </c>
      <c r="J8685" t="s">
        <v>47121</v>
      </c>
      <c r="K8685" t="s">
        <v>47113</v>
      </c>
      <c r="L8685">
        <v>33.11</v>
      </c>
      <c r="M8685">
        <v>120</v>
      </c>
      <c r="N8685">
        <v>0</v>
      </c>
      <c r="O8685">
        <v>120</v>
      </c>
      <c r="P8685">
        <v>0</v>
      </c>
    </row>
    <row r="8686" spans="1:16" x14ac:dyDescent="0.25">
      <c r="A8686" t="s">
        <v>31294</v>
      </c>
      <c r="B8686" t="s">
        <v>6614</v>
      </c>
      <c r="C8686" t="s">
        <v>6615</v>
      </c>
      <c r="D8686" t="str">
        <f>"8344"</f>
        <v>8344</v>
      </c>
      <c r="E8686" t="s">
        <v>6607</v>
      </c>
      <c r="F8686" t="s">
        <v>2</v>
      </c>
      <c r="G8686" t="s">
        <v>16233</v>
      </c>
      <c r="H8686" t="s">
        <v>47054</v>
      </c>
      <c r="I8686" t="s">
        <v>47120</v>
      </c>
      <c r="J8686" t="s">
        <v>47121</v>
      </c>
      <c r="K8686" t="s">
        <v>47113</v>
      </c>
      <c r="L8686">
        <v>33.11</v>
      </c>
      <c r="M8686">
        <v>120</v>
      </c>
      <c r="N8686">
        <v>0</v>
      </c>
      <c r="O8686">
        <v>120</v>
      </c>
      <c r="P8686">
        <v>0</v>
      </c>
    </row>
    <row r="8687" spans="1:16" x14ac:dyDescent="0.25">
      <c r="A8687" t="s">
        <v>31295</v>
      </c>
      <c r="B8687" t="s">
        <v>6616</v>
      </c>
      <c r="C8687" t="s">
        <v>6617</v>
      </c>
      <c r="D8687" t="str">
        <f>"1100"</f>
        <v>1100</v>
      </c>
      <c r="E8687" t="s">
        <v>6610</v>
      </c>
      <c r="F8687" t="s">
        <v>5</v>
      </c>
      <c r="G8687" t="s">
        <v>16233</v>
      </c>
      <c r="H8687" t="s">
        <v>47054</v>
      </c>
      <c r="I8687" t="s">
        <v>47120</v>
      </c>
      <c r="J8687" t="s">
        <v>47121</v>
      </c>
      <c r="K8687" t="s">
        <v>47113</v>
      </c>
      <c r="L8687">
        <v>33.479999999999997</v>
      </c>
      <c r="M8687">
        <v>77</v>
      </c>
      <c r="N8687">
        <v>0</v>
      </c>
      <c r="O8687">
        <v>77</v>
      </c>
      <c r="P8687">
        <v>0</v>
      </c>
    </row>
    <row r="8688" spans="1:16" x14ac:dyDescent="0.25">
      <c r="A8688" t="s">
        <v>31296</v>
      </c>
      <c r="B8688" t="s">
        <v>6616</v>
      </c>
      <c r="C8688" t="s">
        <v>6617</v>
      </c>
      <c r="D8688" t="str">
        <f>"2164"</f>
        <v>2164</v>
      </c>
      <c r="E8688" t="s">
        <v>6611</v>
      </c>
      <c r="F8688" t="s">
        <v>5</v>
      </c>
      <c r="G8688" t="s">
        <v>16233</v>
      </c>
      <c r="H8688" t="s">
        <v>47054</v>
      </c>
      <c r="I8688" t="s">
        <v>47120</v>
      </c>
      <c r="J8688" t="s">
        <v>47121</v>
      </c>
      <c r="K8688" t="s">
        <v>47113</v>
      </c>
      <c r="L8688">
        <v>33.479999999999997</v>
      </c>
      <c r="M8688">
        <v>77</v>
      </c>
      <c r="N8688">
        <v>0</v>
      </c>
      <c r="O8688">
        <v>77</v>
      </c>
      <c r="P8688">
        <v>0</v>
      </c>
    </row>
    <row r="8689" spans="1:16" x14ac:dyDescent="0.25">
      <c r="A8689" t="s">
        <v>31297</v>
      </c>
      <c r="B8689" t="s">
        <v>6616</v>
      </c>
      <c r="C8689" t="s">
        <v>6617</v>
      </c>
      <c r="D8689" t="str">
        <f>"3447"</f>
        <v>3447</v>
      </c>
      <c r="E8689" t="s">
        <v>6612</v>
      </c>
      <c r="F8689" t="s">
        <v>5</v>
      </c>
      <c r="G8689" t="s">
        <v>16233</v>
      </c>
      <c r="H8689" t="s">
        <v>47054</v>
      </c>
      <c r="I8689" t="s">
        <v>47120</v>
      </c>
      <c r="J8689" t="s">
        <v>47121</v>
      </c>
      <c r="K8689" t="s">
        <v>47113</v>
      </c>
      <c r="L8689">
        <v>33.479999999999997</v>
      </c>
      <c r="M8689">
        <v>77</v>
      </c>
      <c r="N8689">
        <v>0</v>
      </c>
      <c r="O8689">
        <v>77</v>
      </c>
      <c r="P8689">
        <v>0</v>
      </c>
    </row>
    <row r="8690" spans="1:16" x14ac:dyDescent="0.25">
      <c r="A8690" t="s">
        <v>31298</v>
      </c>
      <c r="B8690" t="s">
        <v>6616</v>
      </c>
      <c r="C8690" t="s">
        <v>6617</v>
      </c>
      <c r="D8690" t="str">
        <f>"4815"</f>
        <v>4815</v>
      </c>
      <c r="E8690" t="s">
        <v>6613</v>
      </c>
      <c r="F8690" t="s">
        <v>5</v>
      </c>
      <c r="G8690" t="s">
        <v>16233</v>
      </c>
      <c r="H8690" t="s">
        <v>47054</v>
      </c>
      <c r="I8690" t="s">
        <v>47120</v>
      </c>
      <c r="J8690" t="s">
        <v>47121</v>
      </c>
      <c r="K8690" t="s">
        <v>47113</v>
      </c>
      <c r="L8690">
        <v>33.479999999999997</v>
      </c>
      <c r="M8690">
        <v>77</v>
      </c>
      <c r="N8690">
        <v>0</v>
      </c>
      <c r="O8690">
        <v>77</v>
      </c>
      <c r="P8690">
        <v>0</v>
      </c>
    </row>
    <row r="8691" spans="1:16" x14ac:dyDescent="0.25">
      <c r="A8691" t="s">
        <v>31299</v>
      </c>
      <c r="B8691" t="s">
        <v>6618</v>
      </c>
      <c r="C8691" t="s">
        <v>6619</v>
      </c>
      <c r="D8691" t="str">
        <f>"3238"</f>
        <v>3238</v>
      </c>
      <c r="E8691" t="s">
        <v>6543</v>
      </c>
      <c r="F8691" t="s">
        <v>2</v>
      </c>
      <c r="G8691" t="s">
        <v>16233</v>
      </c>
      <c r="H8691" t="s">
        <v>47054</v>
      </c>
      <c r="I8691" t="s">
        <v>47120</v>
      </c>
      <c r="J8691" t="s">
        <v>47121</v>
      </c>
      <c r="K8691" t="s">
        <v>47113</v>
      </c>
      <c r="L8691">
        <v>24.19</v>
      </c>
      <c r="M8691">
        <v>120</v>
      </c>
      <c r="N8691">
        <v>0</v>
      </c>
      <c r="O8691">
        <v>120</v>
      </c>
      <c r="P8691">
        <v>0</v>
      </c>
    </row>
    <row r="8692" spans="1:16" x14ac:dyDescent="0.25">
      <c r="A8692" t="s">
        <v>31300</v>
      </c>
      <c r="B8692" t="s">
        <v>6618</v>
      </c>
      <c r="C8692" t="s">
        <v>6619</v>
      </c>
      <c r="D8692" t="str">
        <f>"3239"</f>
        <v>3239</v>
      </c>
      <c r="E8692" t="s">
        <v>6544</v>
      </c>
      <c r="F8692" t="s">
        <v>2</v>
      </c>
      <c r="G8692" t="s">
        <v>16233</v>
      </c>
      <c r="H8692" t="s">
        <v>47054</v>
      </c>
      <c r="I8692" t="s">
        <v>47120</v>
      </c>
      <c r="J8692" t="s">
        <v>47121</v>
      </c>
      <c r="K8692" t="s">
        <v>47113</v>
      </c>
      <c r="L8692">
        <v>24.19</v>
      </c>
      <c r="M8692">
        <v>120</v>
      </c>
      <c r="N8692">
        <v>0</v>
      </c>
      <c r="O8692">
        <v>120</v>
      </c>
      <c r="P8692">
        <v>0</v>
      </c>
    </row>
    <row r="8693" spans="1:16" x14ac:dyDescent="0.25">
      <c r="A8693" t="s">
        <v>31301</v>
      </c>
      <c r="B8693" t="s">
        <v>6618</v>
      </c>
      <c r="C8693" t="s">
        <v>6619</v>
      </c>
      <c r="D8693" t="str">
        <f>"3408"</f>
        <v>3408</v>
      </c>
      <c r="E8693" t="s">
        <v>2635</v>
      </c>
      <c r="F8693" t="s">
        <v>2</v>
      </c>
      <c r="G8693" t="s">
        <v>16233</v>
      </c>
      <c r="H8693" t="s">
        <v>47054</v>
      </c>
      <c r="I8693" t="s">
        <v>47120</v>
      </c>
      <c r="J8693" t="s">
        <v>47121</v>
      </c>
      <c r="K8693" t="s">
        <v>47113</v>
      </c>
      <c r="L8693">
        <v>24.19</v>
      </c>
      <c r="M8693">
        <v>120</v>
      </c>
      <c r="N8693">
        <v>0</v>
      </c>
      <c r="O8693">
        <v>120</v>
      </c>
      <c r="P8693">
        <v>0</v>
      </c>
    </row>
    <row r="8694" spans="1:16" x14ac:dyDescent="0.25">
      <c r="A8694" t="s">
        <v>31302</v>
      </c>
      <c r="B8694" t="s">
        <v>6618</v>
      </c>
      <c r="C8694" t="s">
        <v>6619</v>
      </c>
      <c r="D8694" t="str">
        <f>"4614"</f>
        <v>4614</v>
      </c>
      <c r="E8694" t="s">
        <v>6546</v>
      </c>
      <c r="F8694" t="s">
        <v>2</v>
      </c>
      <c r="G8694" t="s">
        <v>16233</v>
      </c>
      <c r="H8694" t="s">
        <v>47054</v>
      </c>
      <c r="I8694" t="s">
        <v>47120</v>
      </c>
      <c r="J8694" t="s">
        <v>47121</v>
      </c>
      <c r="K8694" t="s">
        <v>47113</v>
      </c>
      <c r="L8694">
        <v>24.19</v>
      </c>
      <c r="M8694">
        <v>120</v>
      </c>
      <c r="N8694">
        <v>0</v>
      </c>
      <c r="O8694">
        <v>120</v>
      </c>
      <c r="P8694">
        <v>0</v>
      </c>
    </row>
    <row r="8695" spans="1:16" x14ac:dyDescent="0.25">
      <c r="A8695" t="s">
        <v>31303</v>
      </c>
      <c r="B8695" t="s">
        <v>6618</v>
      </c>
      <c r="C8695" t="s">
        <v>6619</v>
      </c>
      <c r="D8695" t="str">
        <f>"4615"</f>
        <v>4615</v>
      </c>
      <c r="E8695" t="s">
        <v>6547</v>
      </c>
      <c r="F8695" t="s">
        <v>2</v>
      </c>
      <c r="G8695" t="s">
        <v>16233</v>
      </c>
      <c r="H8695" t="s">
        <v>47054</v>
      </c>
      <c r="I8695" t="s">
        <v>47120</v>
      </c>
      <c r="J8695" t="s">
        <v>47121</v>
      </c>
      <c r="K8695" t="s">
        <v>47113</v>
      </c>
      <c r="L8695">
        <v>24.19</v>
      </c>
      <c r="M8695">
        <v>120</v>
      </c>
      <c r="N8695">
        <v>0</v>
      </c>
      <c r="O8695">
        <v>120</v>
      </c>
      <c r="P8695">
        <v>0</v>
      </c>
    </row>
    <row r="8696" spans="1:16" x14ac:dyDescent="0.25">
      <c r="A8696" t="s">
        <v>31304</v>
      </c>
      <c r="B8696" t="s">
        <v>6618</v>
      </c>
      <c r="C8696" t="s">
        <v>6619</v>
      </c>
      <c r="D8696" t="str">
        <f>"4616"</f>
        <v>4616</v>
      </c>
      <c r="E8696" t="s">
        <v>6548</v>
      </c>
      <c r="F8696" t="s">
        <v>2</v>
      </c>
      <c r="G8696" t="s">
        <v>16233</v>
      </c>
      <c r="H8696" t="s">
        <v>47054</v>
      </c>
      <c r="I8696" t="s">
        <v>47120</v>
      </c>
      <c r="J8696" t="s">
        <v>47121</v>
      </c>
      <c r="K8696" t="s">
        <v>47113</v>
      </c>
      <c r="L8696">
        <v>24.19</v>
      </c>
      <c r="M8696">
        <v>120</v>
      </c>
      <c r="N8696">
        <v>0</v>
      </c>
      <c r="O8696">
        <v>120</v>
      </c>
      <c r="P8696">
        <v>0</v>
      </c>
    </row>
    <row r="8697" spans="1:16" x14ac:dyDescent="0.25">
      <c r="A8697" t="s">
        <v>31305</v>
      </c>
      <c r="B8697" t="s">
        <v>6618</v>
      </c>
      <c r="C8697" t="s">
        <v>6619</v>
      </c>
      <c r="D8697" t="str">
        <f>"5084"</f>
        <v>5084</v>
      </c>
      <c r="E8697" t="s">
        <v>6549</v>
      </c>
      <c r="F8697" t="s">
        <v>2</v>
      </c>
      <c r="G8697" t="s">
        <v>16233</v>
      </c>
      <c r="H8697" t="s">
        <v>47054</v>
      </c>
      <c r="I8697" t="s">
        <v>47120</v>
      </c>
      <c r="J8697" t="s">
        <v>47121</v>
      </c>
      <c r="K8697" t="s">
        <v>47113</v>
      </c>
      <c r="L8697">
        <v>24.19</v>
      </c>
      <c r="M8697">
        <v>120</v>
      </c>
      <c r="N8697">
        <v>0</v>
      </c>
      <c r="O8697">
        <v>120</v>
      </c>
      <c r="P8697">
        <v>0</v>
      </c>
    </row>
    <row r="8698" spans="1:16" x14ac:dyDescent="0.25">
      <c r="A8698" t="s">
        <v>31306</v>
      </c>
      <c r="B8698" t="s">
        <v>6618</v>
      </c>
      <c r="C8698" t="s">
        <v>6619</v>
      </c>
      <c r="D8698" t="str">
        <f>"6261"</f>
        <v>6261</v>
      </c>
      <c r="E8698" t="s">
        <v>6550</v>
      </c>
      <c r="F8698" t="s">
        <v>2</v>
      </c>
      <c r="G8698" t="s">
        <v>16233</v>
      </c>
      <c r="H8698" t="s">
        <v>47054</v>
      </c>
      <c r="I8698" t="s">
        <v>47120</v>
      </c>
      <c r="J8698" t="s">
        <v>47121</v>
      </c>
      <c r="K8698" t="s">
        <v>47113</v>
      </c>
      <c r="L8698">
        <v>32.909999999999997</v>
      </c>
      <c r="M8698">
        <v>120</v>
      </c>
      <c r="N8698">
        <v>0</v>
      </c>
      <c r="O8698">
        <v>120</v>
      </c>
      <c r="P8698">
        <v>0</v>
      </c>
    </row>
    <row r="8699" spans="1:16" x14ac:dyDescent="0.25">
      <c r="A8699" t="s">
        <v>31307</v>
      </c>
      <c r="B8699" t="s">
        <v>6618</v>
      </c>
      <c r="C8699" t="s">
        <v>6619</v>
      </c>
      <c r="D8699" t="str">
        <f>"7349"</f>
        <v>7349</v>
      </c>
      <c r="E8699" t="s">
        <v>6552</v>
      </c>
      <c r="F8699" t="s">
        <v>2</v>
      </c>
      <c r="G8699" t="s">
        <v>16233</v>
      </c>
      <c r="H8699" t="s">
        <v>47054</v>
      </c>
      <c r="I8699" t="s">
        <v>47120</v>
      </c>
      <c r="J8699" t="s">
        <v>47121</v>
      </c>
      <c r="K8699" t="s">
        <v>47113</v>
      </c>
      <c r="L8699">
        <v>32.909999999999997</v>
      </c>
      <c r="M8699">
        <v>120</v>
      </c>
      <c r="N8699">
        <v>0</v>
      </c>
      <c r="O8699">
        <v>120</v>
      </c>
      <c r="P8699">
        <v>0</v>
      </c>
    </row>
    <row r="8700" spans="1:16" x14ac:dyDescent="0.25">
      <c r="A8700" t="s">
        <v>31308</v>
      </c>
      <c r="B8700" t="s">
        <v>6618</v>
      </c>
      <c r="C8700" t="s">
        <v>6619</v>
      </c>
      <c r="D8700" t="str">
        <f>"8340"</f>
        <v>8340</v>
      </c>
      <c r="E8700" t="s">
        <v>6553</v>
      </c>
      <c r="F8700" t="s">
        <v>2</v>
      </c>
      <c r="G8700" t="s">
        <v>16233</v>
      </c>
      <c r="H8700" t="s">
        <v>47054</v>
      </c>
      <c r="I8700" t="s">
        <v>47120</v>
      </c>
      <c r="J8700" t="s">
        <v>47121</v>
      </c>
      <c r="K8700" t="s">
        <v>47113</v>
      </c>
      <c r="L8700">
        <v>24.19</v>
      </c>
      <c r="M8700">
        <v>120</v>
      </c>
      <c r="N8700">
        <v>0</v>
      </c>
      <c r="O8700">
        <v>120</v>
      </c>
      <c r="P8700">
        <v>0</v>
      </c>
    </row>
    <row r="8701" spans="1:16" x14ac:dyDescent="0.25">
      <c r="A8701" t="s">
        <v>31309</v>
      </c>
      <c r="B8701" t="s">
        <v>6620</v>
      </c>
      <c r="C8701" t="s">
        <v>6621</v>
      </c>
      <c r="D8701" t="str">
        <f>"1056"</f>
        <v>1056</v>
      </c>
      <c r="E8701" t="s">
        <v>1277</v>
      </c>
      <c r="F8701" t="s">
        <v>5</v>
      </c>
      <c r="G8701" t="s">
        <v>16234</v>
      </c>
      <c r="H8701" t="s">
        <v>47054</v>
      </c>
      <c r="I8701" t="s">
        <v>47120</v>
      </c>
      <c r="J8701" t="s">
        <v>47121</v>
      </c>
      <c r="K8701" t="s">
        <v>47113</v>
      </c>
      <c r="L8701">
        <v>26.67</v>
      </c>
      <c r="M8701">
        <v>61</v>
      </c>
      <c r="N8701">
        <v>0</v>
      </c>
      <c r="O8701">
        <v>61</v>
      </c>
      <c r="P8701">
        <v>0</v>
      </c>
    </row>
    <row r="8702" spans="1:16" x14ac:dyDescent="0.25">
      <c r="A8702" t="s">
        <v>31310</v>
      </c>
      <c r="B8702" t="s">
        <v>6620</v>
      </c>
      <c r="C8702" t="s">
        <v>6621</v>
      </c>
      <c r="D8702" t="str">
        <f>"1290"</f>
        <v>1290</v>
      </c>
      <c r="E8702" t="s">
        <v>6532</v>
      </c>
      <c r="F8702" t="s">
        <v>5</v>
      </c>
      <c r="G8702" t="s">
        <v>16234</v>
      </c>
      <c r="H8702" t="s">
        <v>47054</v>
      </c>
      <c r="I8702" t="s">
        <v>47120</v>
      </c>
      <c r="J8702" t="s">
        <v>47121</v>
      </c>
      <c r="K8702" t="s">
        <v>47113</v>
      </c>
      <c r="L8702">
        <v>26.67</v>
      </c>
      <c r="M8702">
        <v>61</v>
      </c>
      <c r="N8702">
        <v>0</v>
      </c>
      <c r="O8702">
        <v>61</v>
      </c>
      <c r="P8702">
        <v>0</v>
      </c>
    </row>
    <row r="8703" spans="1:16" x14ac:dyDescent="0.25">
      <c r="A8703" t="s">
        <v>31311</v>
      </c>
      <c r="B8703" t="s">
        <v>6620</v>
      </c>
      <c r="C8703" t="s">
        <v>6621</v>
      </c>
      <c r="D8703" t="str">
        <f>"2122"</f>
        <v>2122</v>
      </c>
      <c r="E8703" t="s">
        <v>6533</v>
      </c>
      <c r="F8703" t="s">
        <v>5</v>
      </c>
      <c r="G8703" t="s">
        <v>16234</v>
      </c>
      <c r="H8703" t="s">
        <v>47054</v>
      </c>
      <c r="I8703" t="s">
        <v>47120</v>
      </c>
      <c r="J8703" t="s">
        <v>47121</v>
      </c>
      <c r="K8703" t="s">
        <v>47113</v>
      </c>
      <c r="L8703">
        <v>26.67</v>
      </c>
      <c r="M8703">
        <v>61</v>
      </c>
      <c r="N8703">
        <v>0</v>
      </c>
      <c r="O8703">
        <v>61</v>
      </c>
      <c r="P8703">
        <v>0</v>
      </c>
    </row>
    <row r="8704" spans="1:16" x14ac:dyDescent="0.25">
      <c r="A8704" t="s">
        <v>31312</v>
      </c>
      <c r="B8704" t="s">
        <v>6620</v>
      </c>
      <c r="C8704" t="s">
        <v>6621</v>
      </c>
      <c r="D8704" t="str">
        <f>"2412"</f>
        <v>2412</v>
      </c>
      <c r="E8704" t="s">
        <v>6531</v>
      </c>
      <c r="F8704" t="s">
        <v>4</v>
      </c>
      <c r="G8704" t="s">
        <v>16234</v>
      </c>
      <c r="H8704" t="s">
        <v>47054</v>
      </c>
      <c r="I8704" t="s">
        <v>47120</v>
      </c>
      <c r="J8704" t="s">
        <v>47121</v>
      </c>
      <c r="K8704" t="s">
        <v>47113</v>
      </c>
      <c r="L8704">
        <v>27.39</v>
      </c>
      <c r="M8704">
        <v>67</v>
      </c>
      <c r="N8704">
        <v>0</v>
      </c>
      <c r="O8704">
        <v>67</v>
      </c>
      <c r="P8704">
        <v>0</v>
      </c>
    </row>
    <row r="8705" spans="1:16" x14ac:dyDescent="0.25">
      <c r="A8705" t="s">
        <v>31313</v>
      </c>
      <c r="B8705" t="s">
        <v>6620</v>
      </c>
      <c r="C8705" t="s">
        <v>6621</v>
      </c>
      <c r="D8705" t="str">
        <f>"3457"</f>
        <v>3457</v>
      </c>
      <c r="E8705" t="s">
        <v>6534</v>
      </c>
      <c r="F8705" t="s">
        <v>4</v>
      </c>
      <c r="G8705" t="s">
        <v>16234</v>
      </c>
      <c r="H8705" t="s">
        <v>47054</v>
      </c>
      <c r="I8705" t="s">
        <v>47120</v>
      </c>
      <c r="J8705" t="s">
        <v>47121</v>
      </c>
      <c r="K8705" t="s">
        <v>47113</v>
      </c>
      <c r="L8705">
        <v>27.39</v>
      </c>
      <c r="M8705">
        <v>67</v>
      </c>
      <c r="N8705">
        <v>0</v>
      </c>
      <c r="O8705">
        <v>67</v>
      </c>
      <c r="P8705">
        <v>0</v>
      </c>
    </row>
    <row r="8706" spans="1:16" x14ac:dyDescent="0.25">
      <c r="A8706" t="s">
        <v>31314</v>
      </c>
      <c r="B8706" t="s">
        <v>6620</v>
      </c>
      <c r="C8706" t="s">
        <v>6621</v>
      </c>
      <c r="D8706" t="str">
        <f>"4362"</f>
        <v>4362</v>
      </c>
      <c r="E8706" t="s">
        <v>6536</v>
      </c>
      <c r="F8706" t="s">
        <v>4</v>
      </c>
      <c r="G8706" t="s">
        <v>16234</v>
      </c>
      <c r="H8706" t="s">
        <v>47054</v>
      </c>
      <c r="I8706" t="s">
        <v>47120</v>
      </c>
      <c r="J8706" t="s">
        <v>47121</v>
      </c>
      <c r="K8706" t="s">
        <v>47113</v>
      </c>
      <c r="L8706">
        <v>27.39</v>
      </c>
      <c r="M8706">
        <v>67</v>
      </c>
      <c r="N8706">
        <v>0</v>
      </c>
      <c r="O8706">
        <v>67</v>
      </c>
      <c r="P8706">
        <v>0</v>
      </c>
    </row>
    <row r="8707" spans="1:16" x14ac:dyDescent="0.25">
      <c r="A8707" t="s">
        <v>31315</v>
      </c>
      <c r="B8707" t="s">
        <v>6620</v>
      </c>
      <c r="C8707" t="s">
        <v>6621</v>
      </c>
      <c r="D8707" t="str">
        <f>"4824"</f>
        <v>4824</v>
      </c>
      <c r="E8707" t="s">
        <v>6535</v>
      </c>
      <c r="F8707" t="s">
        <v>5</v>
      </c>
      <c r="G8707" t="s">
        <v>16234</v>
      </c>
      <c r="H8707" t="s">
        <v>47054</v>
      </c>
      <c r="I8707" t="s">
        <v>47120</v>
      </c>
      <c r="J8707" t="s">
        <v>47121</v>
      </c>
      <c r="K8707" t="s">
        <v>47113</v>
      </c>
      <c r="L8707">
        <v>26.67</v>
      </c>
      <c r="M8707">
        <v>61</v>
      </c>
      <c r="N8707">
        <v>0</v>
      </c>
      <c r="O8707">
        <v>61</v>
      </c>
      <c r="P8707">
        <v>0</v>
      </c>
    </row>
    <row r="8708" spans="1:16" x14ac:dyDescent="0.25">
      <c r="A8708" t="s">
        <v>31316</v>
      </c>
      <c r="B8708" t="s">
        <v>6620</v>
      </c>
      <c r="C8708" t="s">
        <v>6621</v>
      </c>
      <c r="D8708" t="str">
        <f>"6331"</f>
        <v>6331</v>
      </c>
      <c r="E8708" t="s">
        <v>6537</v>
      </c>
      <c r="F8708" t="s">
        <v>5</v>
      </c>
      <c r="G8708" t="s">
        <v>16234</v>
      </c>
      <c r="H8708" t="s">
        <v>47054</v>
      </c>
      <c r="I8708" t="s">
        <v>47120</v>
      </c>
      <c r="J8708" t="s">
        <v>47121</v>
      </c>
      <c r="K8708" t="s">
        <v>47113</v>
      </c>
      <c r="L8708">
        <v>26.67</v>
      </c>
      <c r="M8708">
        <v>61</v>
      </c>
      <c r="N8708">
        <v>0</v>
      </c>
      <c r="O8708">
        <v>61</v>
      </c>
      <c r="P8708">
        <v>0</v>
      </c>
    </row>
    <row r="8709" spans="1:16" x14ac:dyDescent="0.25">
      <c r="A8709" t="s">
        <v>31317</v>
      </c>
      <c r="B8709" t="s">
        <v>6622</v>
      </c>
      <c r="C8709" t="s">
        <v>6623</v>
      </c>
      <c r="D8709" t="str">
        <f>"1025"</f>
        <v>1025</v>
      </c>
      <c r="E8709" t="s">
        <v>6567</v>
      </c>
      <c r="F8709" t="s">
        <v>8</v>
      </c>
      <c r="G8709" t="s">
        <v>16230</v>
      </c>
      <c r="H8709" t="s">
        <v>47054</v>
      </c>
      <c r="I8709" t="s">
        <v>47120</v>
      </c>
      <c r="J8709" t="s">
        <v>47121</v>
      </c>
      <c r="K8709" t="s">
        <v>47113</v>
      </c>
      <c r="L8709">
        <v>31.69</v>
      </c>
      <c r="M8709">
        <v>58</v>
      </c>
      <c r="N8709">
        <v>0</v>
      </c>
      <c r="O8709">
        <v>58</v>
      </c>
      <c r="P8709">
        <v>0</v>
      </c>
    </row>
    <row r="8710" spans="1:16" x14ac:dyDescent="0.25">
      <c r="A8710" t="s">
        <v>31318</v>
      </c>
      <c r="B8710" t="s">
        <v>6622</v>
      </c>
      <c r="C8710" t="s">
        <v>6623</v>
      </c>
      <c r="D8710" t="str">
        <f>"1308"</f>
        <v>1308</v>
      </c>
      <c r="E8710" t="s">
        <v>6568</v>
      </c>
      <c r="F8710" t="s">
        <v>8</v>
      </c>
      <c r="G8710" t="s">
        <v>16230</v>
      </c>
      <c r="H8710" t="s">
        <v>47054</v>
      </c>
      <c r="I8710" t="s">
        <v>47120</v>
      </c>
      <c r="J8710" t="s">
        <v>47121</v>
      </c>
      <c r="K8710" t="s">
        <v>47113</v>
      </c>
      <c r="L8710">
        <v>31.69</v>
      </c>
      <c r="M8710">
        <v>87</v>
      </c>
      <c r="N8710">
        <v>0</v>
      </c>
      <c r="O8710">
        <v>87</v>
      </c>
      <c r="P8710">
        <v>0</v>
      </c>
    </row>
    <row r="8711" spans="1:16" x14ac:dyDescent="0.25">
      <c r="A8711" t="s">
        <v>31319</v>
      </c>
      <c r="B8711" t="s">
        <v>6622</v>
      </c>
      <c r="C8711" t="s">
        <v>6623</v>
      </c>
      <c r="D8711" t="str">
        <f>"1509"</f>
        <v>1509</v>
      </c>
      <c r="E8711" t="s">
        <v>1270</v>
      </c>
      <c r="F8711" t="s">
        <v>7</v>
      </c>
      <c r="G8711" t="s">
        <v>16230</v>
      </c>
      <c r="H8711" t="s">
        <v>47054</v>
      </c>
      <c r="I8711" t="s">
        <v>47120</v>
      </c>
      <c r="J8711" t="s">
        <v>47121</v>
      </c>
      <c r="K8711" t="s">
        <v>47113</v>
      </c>
      <c r="L8711">
        <v>34.520000000000003</v>
      </c>
      <c r="M8711">
        <v>79</v>
      </c>
      <c r="N8711">
        <v>0</v>
      </c>
      <c r="O8711">
        <v>79</v>
      </c>
      <c r="P8711">
        <v>0</v>
      </c>
    </row>
    <row r="8712" spans="1:16" x14ac:dyDescent="0.25">
      <c r="A8712" t="s">
        <v>31320</v>
      </c>
      <c r="B8712" t="s">
        <v>6622</v>
      </c>
      <c r="C8712" t="s">
        <v>6623</v>
      </c>
      <c r="D8712" t="str">
        <f>"1511"</f>
        <v>1511</v>
      </c>
      <c r="E8712" t="s">
        <v>6583</v>
      </c>
      <c r="F8712" t="s">
        <v>7</v>
      </c>
      <c r="G8712" t="s">
        <v>16230</v>
      </c>
      <c r="H8712" t="s">
        <v>47054</v>
      </c>
      <c r="I8712" t="s">
        <v>47120</v>
      </c>
      <c r="J8712" t="s">
        <v>47121</v>
      </c>
      <c r="K8712" t="s">
        <v>47113</v>
      </c>
      <c r="L8712">
        <v>32.25</v>
      </c>
      <c r="M8712">
        <v>79</v>
      </c>
      <c r="N8712">
        <v>0</v>
      </c>
      <c r="O8712">
        <v>79</v>
      </c>
      <c r="P8712">
        <v>0</v>
      </c>
    </row>
    <row r="8713" spans="1:16" x14ac:dyDescent="0.25">
      <c r="A8713" t="s">
        <v>31321</v>
      </c>
      <c r="B8713" t="s">
        <v>6622</v>
      </c>
      <c r="C8713" t="s">
        <v>6623</v>
      </c>
      <c r="D8713" t="str">
        <f>"2118"</f>
        <v>2118</v>
      </c>
      <c r="E8713" t="s">
        <v>6584</v>
      </c>
      <c r="F8713" t="s">
        <v>7</v>
      </c>
      <c r="G8713" t="s">
        <v>16230</v>
      </c>
      <c r="H8713" t="s">
        <v>47054</v>
      </c>
      <c r="I8713" t="s">
        <v>47120</v>
      </c>
      <c r="J8713" t="s">
        <v>47121</v>
      </c>
      <c r="K8713" t="s">
        <v>47113</v>
      </c>
      <c r="L8713">
        <v>32.25</v>
      </c>
      <c r="M8713">
        <v>79</v>
      </c>
      <c r="N8713">
        <v>0</v>
      </c>
      <c r="O8713">
        <v>79</v>
      </c>
      <c r="P8713">
        <v>0</v>
      </c>
    </row>
    <row r="8714" spans="1:16" x14ac:dyDescent="0.25">
      <c r="A8714" t="s">
        <v>31322</v>
      </c>
      <c r="B8714" t="s">
        <v>6622</v>
      </c>
      <c r="C8714" t="s">
        <v>6623</v>
      </c>
      <c r="D8714" t="str">
        <f>"2122"</f>
        <v>2122</v>
      </c>
      <c r="E8714" t="s">
        <v>6533</v>
      </c>
      <c r="F8714" t="s">
        <v>7</v>
      </c>
      <c r="G8714" t="s">
        <v>16230</v>
      </c>
      <c r="H8714" t="s">
        <v>47054</v>
      </c>
      <c r="I8714" t="s">
        <v>47120</v>
      </c>
      <c r="J8714" t="s">
        <v>47121</v>
      </c>
      <c r="K8714" t="s">
        <v>47113</v>
      </c>
      <c r="L8714">
        <v>34.520000000000003</v>
      </c>
      <c r="M8714">
        <v>79</v>
      </c>
      <c r="N8714">
        <v>0</v>
      </c>
      <c r="O8714">
        <v>79</v>
      </c>
      <c r="P8714">
        <v>0</v>
      </c>
    </row>
    <row r="8715" spans="1:16" x14ac:dyDescent="0.25">
      <c r="A8715" t="s">
        <v>31323</v>
      </c>
      <c r="B8715" t="s">
        <v>6622</v>
      </c>
      <c r="C8715" t="s">
        <v>6623</v>
      </c>
      <c r="D8715" t="str">
        <f>"7223"</f>
        <v>7223</v>
      </c>
      <c r="E8715" t="s">
        <v>6571</v>
      </c>
      <c r="F8715" t="s">
        <v>7</v>
      </c>
      <c r="G8715" t="s">
        <v>16230</v>
      </c>
      <c r="H8715" t="s">
        <v>47054</v>
      </c>
      <c r="I8715" t="s">
        <v>47120</v>
      </c>
      <c r="J8715" t="s">
        <v>47121</v>
      </c>
      <c r="K8715" t="s">
        <v>47113</v>
      </c>
      <c r="L8715">
        <v>32.25</v>
      </c>
      <c r="M8715">
        <v>82</v>
      </c>
      <c r="N8715">
        <v>0</v>
      </c>
      <c r="O8715">
        <v>82</v>
      </c>
      <c r="P8715">
        <v>0</v>
      </c>
    </row>
    <row r="8716" spans="1:16" x14ac:dyDescent="0.25">
      <c r="A8716" t="s">
        <v>31324</v>
      </c>
      <c r="B8716" t="s">
        <v>6624</v>
      </c>
      <c r="C8716" t="s">
        <v>6625</v>
      </c>
      <c r="D8716" t="str">
        <f>"01"</f>
        <v>01</v>
      </c>
      <c r="E8716" t="s">
        <v>2070</v>
      </c>
      <c r="F8716" t="s">
        <v>3750</v>
      </c>
      <c r="G8716" t="s">
        <v>16231</v>
      </c>
      <c r="H8716" t="s">
        <v>47054</v>
      </c>
      <c r="I8716" t="s">
        <v>47111</v>
      </c>
      <c r="J8716" t="s">
        <v>47112</v>
      </c>
      <c r="K8716" t="s">
        <v>47113</v>
      </c>
      <c r="L8716">
        <v>20.29</v>
      </c>
      <c r="M8716">
        <v>78</v>
      </c>
      <c r="N8716">
        <v>0</v>
      </c>
      <c r="O8716">
        <v>78</v>
      </c>
      <c r="P8716">
        <v>0</v>
      </c>
    </row>
    <row r="8717" spans="1:16" x14ac:dyDescent="0.25">
      <c r="A8717" t="s">
        <v>31325</v>
      </c>
      <c r="B8717" t="s">
        <v>6624</v>
      </c>
      <c r="C8717" t="s">
        <v>6625</v>
      </c>
      <c r="D8717" t="s">
        <v>6626</v>
      </c>
      <c r="E8717" t="s">
        <v>6627</v>
      </c>
      <c r="F8717" t="s">
        <v>3750</v>
      </c>
      <c r="G8717" t="s">
        <v>16231</v>
      </c>
      <c r="H8717" t="s">
        <v>47054</v>
      </c>
      <c r="I8717" t="s">
        <v>47111</v>
      </c>
      <c r="J8717" t="s">
        <v>47112</v>
      </c>
      <c r="K8717" t="s">
        <v>47113</v>
      </c>
      <c r="L8717">
        <v>38.86</v>
      </c>
      <c r="M8717">
        <v>118</v>
      </c>
      <c r="N8717">
        <v>0</v>
      </c>
      <c r="O8717">
        <v>118</v>
      </c>
      <c r="P8717">
        <v>0</v>
      </c>
    </row>
    <row r="8718" spans="1:16" x14ac:dyDescent="0.25">
      <c r="A8718" t="s">
        <v>31326</v>
      </c>
      <c r="B8718" t="s">
        <v>6628</v>
      </c>
      <c r="C8718" t="s">
        <v>6629</v>
      </c>
      <c r="D8718" t="s">
        <v>721</v>
      </c>
      <c r="E8718" t="s">
        <v>722</v>
      </c>
      <c r="F8718" t="s">
        <v>8</v>
      </c>
      <c r="G8718" t="s">
        <v>16231</v>
      </c>
      <c r="H8718" t="s">
        <v>47054</v>
      </c>
      <c r="I8718" t="s">
        <v>47111</v>
      </c>
      <c r="J8718" t="s">
        <v>47112</v>
      </c>
      <c r="K8718" t="s">
        <v>47113</v>
      </c>
      <c r="L8718">
        <v>48.3</v>
      </c>
      <c r="M8718">
        <v>119</v>
      </c>
      <c r="N8718">
        <v>0</v>
      </c>
      <c r="O8718">
        <v>119</v>
      </c>
      <c r="P8718">
        <v>0</v>
      </c>
    </row>
    <row r="8719" spans="1:16" x14ac:dyDescent="0.25">
      <c r="A8719" t="s">
        <v>31327</v>
      </c>
      <c r="B8719" t="s">
        <v>6628</v>
      </c>
      <c r="C8719" t="s">
        <v>6629</v>
      </c>
      <c r="D8719" t="s">
        <v>6630</v>
      </c>
      <c r="E8719" t="s">
        <v>6631</v>
      </c>
      <c r="F8719" t="s">
        <v>8</v>
      </c>
      <c r="G8719" t="s">
        <v>16231</v>
      </c>
      <c r="H8719" t="s">
        <v>47054</v>
      </c>
      <c r="I8719" t="s">
        <v>47111</v>
      </c>
      <c r="J8719" t="s">
        <v>47112</v>
      </c>
      <c r="K8719" t="s">
        <v>47113</v>
      </c>
      <c r="L8719">
        <v>68.069999999999993</v>
      </c>
      <c r="M8719">
        <v>136</v>
      </c>
      <c r="N8719">
        <v>0</v>
      </c>
      <c r="O8719">
        <v>136</v>
      </c>
      <c r="P8719">
        <v>0</v>
      </c>
    </row>
    <row r="8720" spans="1:16" x14ac:dyDescent="0.25">
      <c r="A8720" t="s">
        <v>31328</v>
      </c>
      <c r="B8720" t="s">
        <v>6628</v>
      </c>
      <c r="C8720" t="s">
        <v>6629</v>
      </c>
      <c r="D8720" t="s">
        <v>2108</v>
      </c>
      <c r="E8720" t="s">
        <v>2109</v>
      </c>
      <c r="F8720" t="s">
        <v>52</v>
      </c>
      <c r="G8720" t="s">
        <v>16231</v>
      </c>
      <c r="H8720" t="s">
        <v>47054</v>
      </c>
      <c r="I8720" t="s">
        <v>47111</v>
      </c>
      <c r="J8720" t="s">
        <v>47112</v>
      </c>
      <c r="K8720" t="s">
        <v>47113</v>
      </c>
      <c r="L8720">
        <v>62.01</v>
      </c>
      <c r="M8720">
        <v>152</v>
      </c>
      <c r="N8720">
        <v>0</v>
      </c>
      <c r="O8720">
        <v>152</v>
      </c>
      <c r="P8720">
        <v>0</v>
      </c>
    </row>
    <row r="8721" spans="1:16" x14ac:dyDescent="0.25">
      <c r="A8721" t="s">
        <v>31329</v>
      </c>
      <c r="B8721" t="s">
        <v>6628</v>
      </c>
      <c r="C8721" t="s">
        <v>6629</v>
      </c>
      <c r="D8721" t="s">
        <v>1734</v>
      </c>
      <c r="E8721" t="s">
        <v>1735</v>
      </c>
      <c r="F8721" t="s">
        <v>52</v>
      </c>
      <c r="G8721" t="s">
        <v>16231</v>
      </c>
      <c r="H8721" t="s">
        <v>47054</v>
      </c>
      <c r="I8721" t="s">
        <v>47111</v>
      </c>
      <c r="J8721" t="s">
        <v>47112</v>
      </c>
      <c r="K8721" t="s">
        <v>47113</v>
      </c>
      <c r="L8721">
        <v>58.63</v>
      </c>
      <c r="M8721">
        <v>144</v>
      </c>
      <c r="N8721">
        <v>0</v>
      </c>
      <c r="O8721">
        <v>144</v>
      </c>
      <c r="P8721">
        <v>0</v>
      </c>
    </row>
    <row r="8722" spans="1:16" x14ac:dyDescent="0.25">
      <c r="A8722" t="s">
        <v>31330</v>
      </c>
      <c r="B8722" t="s">
        <v>6628</v>
      </c>
      <c r="C8722" t="s">
        <v>6629</v>
      </c>
      <c r="D8722" t="s">
        <v>6632</v>
      </c>
      <c r="E8722" t="s">
        <v>6633</v>
      </c>
      <c r="F8722" t="s">
        <v>56</v>
      </c>
      <c r="G8722" t="s">
        <v>16231</v>
      </c>
      <c r="H8722" t="s">
        <v>47054</v>
      </c>
      <c r="I8722" t="s">
        <v>47111</v>
      </c>
      <c r="J8722" t="s">
        <v>47112</v>
      </c>
      <c r="K8722" t="s">
        <v>47113</v>
      </c>
      <c r="L8722">
        <v>68.040000000000006</v>
      </c>
      <c r="M8722">
        <v>154</v>
      </c>
      <c r="N8722">
        <v>0</v>
      </c>
      <c r="O8722">
        <v>154</v>
      </c>
      <c r="P8722">
        <v>0</v>
      </c>
    </row>
    <row r="8723" spans="1:16" x14ac:dyDescent="0.25">
      <c r="A8723" t="s">
        <v>31331</v>
      </c>
      <c r="B8723" t="s">
        <v>6634</v>
      </c>
      <c r="C8723" t="s">
        <v>6635</v>
      </c>
      <c r="D8723" t="s">
        <v>721</v>
      </c>
      <c r="E8723" t="s">
        <v>722</v>
      </c>
      <c r="F8723" t="s">
        <v>8</v>
      </c>
      <c r="G8723" t="s">
        <v>16231</v>
      </c>
      <c r="H8723" t="s">
        <v>47054</v>
      </c>
      <c r="I8723" t="s">
        <v>47111</v>
      </c>
      <c r="J8723" t="s">
        <v>47112</v>
      </c>
      <c r="K8723" t="s">
        <v>47113</v>
      </c>
      <c r="L8723">
        <v>48.99</v>
      </c>
      <c r="M8723">
        <v>119</v>
      </c>
      <c r="N8723">
        <v>0</v>
      </c>
      <c r="O8723">
        <v>119</v>
      </c>
      <c r="P8723">
        <v>0</v>
      </c>
    </row>
    <row r="8724" spans="1:16" x14ac:dyDescent="0.25">
      <c r="A8724" t="s">
        <v>31332</v>
      </c>
      <c r="B8724" t="s">
        <v>6634</v>
      </c>
      <c r="C8724" t="s">
        <v>6635</v>
      </c>
      <c r="D8724" t="s">
        <v>1718</v>
      </c>
      <c r="E8724" t="s">
        <v>1719</v>
      </c>
      <c r="F8724" t="s">
        <v>8</v>
      </c>
      <c r="G8724" t="s">
        <v>16231</v>
      </c>
      <c r="H8724" t="s">
        <v>47054</v>
      </c>
      <c r="I8724" t="s">
        <v>47111</v>
      </c>
      <c r="J8724" t="s">
        <v>47112</v>
      </c>
      <c r="K8724" t="s">
        <v>47113</v>
      </c>
      <c r="L8724">
        <v>54.46</v>
      </c>
      <c r="M8724">
        <v>104</v>
      </c>
      <c r="N8724">
        <v>0</v>
      </c>
      <c r="O8724">
        <v>104</v>
      </c>
      <c r="P8724">
        <v>0</v>
      </c>
    </row>
    <row r="8725" spans="1:16" x14ac:dyDescent="0.25">
      <c r="A8725" t="s">
        <v>31333</v>
      </c>
      <c r="B8725" t="s">
        <v>6634</v>
      </c>
      <c r="C8725" t="s">
        <v>6635</v>
      </c>
      <c r="D8725" t="s">
        <v>6630</v>
      </c>
      <c r="E8725" t="s">
        <v>6631</v>
      </c>
      <c r="F8725" t="s">
        <v>8</v>
      </c>
      <c r="G8725" t="s">
        <v>16231</v>
      </c>
      <c r="H8725" t="s">
        <v>47054</v>
      </c>
      <c r="I8725" t="s">
        <v>47111</v>
      </c>
      <c r="J8725" t="s">
        <v>47112</v>
      </c>
      <c r="K8725" t="s">
        <v>47113</v>
      </c>
      <c r="L8725">
        <v>67.930000000000007</v>
      </c>
      <c r="M8725">
        <v>136</v>
      </c>
      <c r="N8725">
        <v>0</v>
      </c>
      <c r="O8725">
        <v>136</v>
      </c>
      <c r="P8725">
        <v>0</v>
      </c>
    </row>
    <row r="8726" spans="1:16" x14ac:dyDescent="0.25">
      <c r="A8726" t="s">
        <v>31334</v>
      </c>
      <c r="B8726" t="s">
        <v>6634</v>
      </c>
      <c r="C8726" t="s">
        <v>6635</v>
      </c>
      <c r="D8726" t="s">
        <v>2108</v>
      </c>
      <c r="E8726" t="s">
        <v>2109</v>
      </c>
      <c r="F8726" t="s">
        <v>52</v>
      </c>
      <c r="G8726" t="s">
        <v>16231</v>
      </c>
      <c r="H8726" t="s">
        <v>47054</v>
      </c>
      <c r="I8726" t="s">
        <v>47111</v>
      </c>
      <c r="J8726" t="s">
        <v>47112</v>
      </c>
      <c r="K8726" t="s">
        <v>47113</v>
      </c>
      <c r="L8726">
        <v>63.47</v>
      </c>
      <c r="M8726">
        <v>136</v>
      </c>
      <c r="N8726">
        <v>0</v>
      </c>
      <c r="O8726">
        <v>136</v>
      </c>
      <c r="P8726">
        <v>0</v>
      </c>
    </row>
    <row r="8727" spans="1:16" x14ac:dyDescent="0.25">
      <c r="A8727" t="s">
        <v>31335</v>
      </c>
      <c r="B8727" t="s">
        <v>6634</v>
      </c>
      <c r="C8727" t="s">
        <v>6635</v>
      </c>
      <c r="D8727" t="s">
        <v>1734</v>
      </c>
      <c r="E8727" t="s">
        <v>1735</v>
      </c>
      <c r="F8727" t="s">
        <v>52</v>
      </c>
      <c r="G8727" t="s">
        <v>16231</v>
      </c>
      <c r="H8727" t="s">
        <v>47054</v>
      </c>
      <c r="I8727" t="s">
        <v>47111</v>
      </c>
      <c r="J8727" t="s">
        <v>47112</v>
      </c>
      <c r="K8727" t="s">
        <v>47113</v>
      </c>
      <c r="L8727">
        <v>60.08</v>
      </c>
      <c r="M8727">
        <v>144</v>
      </c>
      <c r="N8727">
        <v>0</v>
      </c>
      <c r="O8727">
        <v>144</v>
      </c>
      <c r="P8727">
        <v>0</v>
      </c>
    </row>
    <row r="8728" spans="1:16" x14ac:dyDescent="0.25">
      <c r="A8728" t="s">
        <v>31336</v>
      </c>
      <c r="B8728" t="s">
        <v>6634</v>
      </c>
      <c r="C8728" t="s">
        <v>6635</v>
      </c>
      <c r="D8728" t="s">
        <v>6636</v>
      </c>
      <c r="E8728" t="s">
        <v>6637</v>
      </c>
      <c r="F8728" t="s">
        <v>56</v>
      </c>
      <c r="G8728" t="s">
        <v>16231</v>
      </c>
      <c r="H8728" t="s">
        <v>47054</v>
      </c>
      <c r="I8728" t="s">
        <v>47111</v>
      </c>
      <c r="J8728" t="s">
        <v>47112</v>
      </c>
      <c r="K8728" t="s">
        <v>47113</v>
      </c>
      <c r="L8728">
        <v>58.66</v>
      </c>
      <c r="M8728">
        <v>127</v>
      </c>
      <c r="N8728">
        <v>0</v>
      </c>
      <c r="O8728">
        <v>127</v>
      </c>
      <c r="P8728">
        <v>0</v>
      </c>
    </row>
    <row r="8729" spans="1:16" x14ac:dyDescent="0.25">
      <c r="A8729" t="s">
        <v>31337</v>
      </c>
      <c r="B8729" t="s">
        <v>6634</v>
      </c>
      <c r="C8729" t="s">
        <v>6635</v>
      </c>
      <c r="D8729" t="s">
        <v>6632</v>
      </c>
      <c r="E8729" t="s">
        <v>6633</v>
      </c>
      <c r="F8729" t="s">
        <v>56</v>
      </c>
      <c r="G8729" t="s">
        <v>16231</v>
      </c>
      <c r="H8729" t="s">
        <v>47054</v>
      </c>
      <c r="I8729" t="s">
        <v>47111</v>
      </c>
      <c r="J8729" t="s">
        <v>47112</v>
      </c>
      <c r="K8729" t="s">
        <v>47113</v>
      </c>
      <c r="L8729">
        <v>69.459999999999994</v>
      </c>
      <c r="M8729">
        <v>154</v>
      </c>
      <c r="N8729">
        <v>0</v>
      </c>
      <c r="O8729">
        <v>154</v>
      </c>
      <c r="P8729">
        <v>0</v>
      </c>
    </row>
    <row r="8730" spans="1:16" x14ac:dyDescent="0.25">
      <c r="A8730" t="s">
        <v>31338</v>
      </c>
      <c r="B8730" t="s">
        <v>6638</v>
      </c>
      <c r="C8730" t="s">
        <v>6639</v>
      </c>
      <c r="D8730" t="str">
        <f>"01"</f>
        <v>01</v>
      </c>
      <c r="E8730" t="s">
        <v>2070</v>
      </c>
      <c r="F8730" t="s">
        <v>8</v>
      </c>
      <c r="G8730" t="s">
        <v>16231</v>
      </c>
      <c r="H8730" t="s">
        <v>47054</v>
      </c>
      <c r="I8730" t="s">
        <v>47111</v>
      </c>
      <c r="J8730" t="s">
        <v>47112</v>
      </c>
      <c r="K8730" t="s">
        <v>47113</v>
      </c>
      <c r="L8730">
        <v>46.82</v>
      </c>
      <c r="M8730">
        <v>104</v>
      </c>
      <c r="N8730">
        <v>0</v>
      </c>
      <c r="O8730">
        <v>104</v>
      </c>
      <c r="P8730">
        <v>0</v>
      </c>
    </row>
    <row r="8731" spans="1:16" x14ac:dyDescent="0.25">
      <c r="A8731" t="s">
        <v>31339</v>
      </c>
      <c r="B8731" t="s">
        <v>6638</v>
      </c>
      <c r="C8731" t="s">
        <v>6639</v>
      </c>
      <c r="D8731" t="s">
        <v>721</v>
      </c>
      <c r="E8731" t="s">
        <v>722</v>
      </c>
      <c r="F8731" t="s">
        <v>8</v>
      </c>
      <c r="G8731" t="s">
        <v>16231</v>
      </c>
      <c r="H8731" t="s">
        <v>47054</v>
      </c>
      <c r="I8731" t="s">
        <v>47111</v>
      </c>
      <c r="J8731" t="s">
        <v>47112</v>
      </c>
      <c r="K8731" t="s">
        <v>47113</v>
      </c>
      <c r="L8731">
        <v>49.75</v>
      </c>
      <c r="M8731">
        <v>119</v>
      </c>
      <c r="N8731">
        <v>0</v>
      </c>
      <c r="O8731">
        <v>119</v>
      </c>
      <c r="P8731">
        <v>0</v>
      </c>
    </row>
    <row r="8732" spans="1:16" x14ac:dyDescent="0.25">
      <c r="A8732" t="s">
        <v>31340</v>
      </c>
      <c r="B8732" t="s">
        <v>6638</v>
      </c>
      <c r="C8732" t="s">
        <v>6639</v>
      </c>
      <c r="D8732" t="s">
        <v>1718</v>
      </c>
      <c r="E8732" t="s">
        <v>1719</v>
      </c>
      <c r="F8732" t="s">
        <v>8</v>
      </c>
      <c r="G8732" t="s">
        <v>16231</v>
      </c>
      <c r="H8732" t="s">
        <v>47054</v>
      </c>
      <c r="I8732" t="s">
        <v>47111</v>
      </c>
      <c r="J8732" t="s">
        <v>47112</v>
      </c>
      <c r="K8732" t="s">
        <v>47113</v>
      </c>
      <c r="L8732">
        <v>54.14</v>
      </c>
      <c r="M8732">
        <v>116</v>
      </c>
      <c r="N8732">
        <v>0</v>
      </c>
      <c r="O8732">
        <v>116</v>
      </c>
      <c r="P8732">
        <v>0</v>
      </c>
    </row>
    <row r="8733" spans="1:16" x14ac:dyDescent="0.25">
      <c r="A8733" t="s">
        <v>31341</v>
      </c>
      <c r="B8733" t="s">
        <v>6638</v>
      </c>
      <c r="C8733" t="s">
        <v>6639</v>
      </c>
      <c r="D8733" t="s">
        <v>6630</v>
      </c>
      <c r="E8733" t="s">
        <v>6631</v>
      </c>
      <c r="F8733" t="s">
        <v>8</v>
      </c>
      <c r="G8733" t="s">
        <v>16231</v>
      </c>
      <c r="H8733" t="s">
        <v>47054</v>
      </c>
      <c r="I8733" t="s">
        <v>47111</v>
      </c>
      <c r="J8733" t="s">
        <v>47112</v>
      </c>
      <c r="K8733" t="s">
        <v>47113</v>
      </c>
      <c r="L8733">
        <v>67.760000000000005</v>
      </c>
      <c r="M8733">
        <v>148</v>
      </c>
      <c r="N8733">
        <v>0</v>
      </c>
      <c r="O8733">
        <v>148</v>
      </c>
      <c r="P8733">
        <v>0</v>
      </c>
    </row>
    <row r="8734" spans="1:16" x14ac:dyDescent="0.25">
      <c r="A8734" t="s">
        <v>31342</v>
      </c>
      <c r="B8734" t="s">
        <v>6638</v>
      </c>
      <c r="C8734" t="s">
        <v>6639</v>
      </c>
      <c r="D8734" t="s">
        <v>2108</v>
      </c>
      <c r="E8734" t="s">
        <v>2109</v>
      </c>
      <c r="F8734" t="s">
        <v>52</v>
      </c>
      <c r="G8734" t="s">
        <v>16231</v>
      </c>
      <c r="H8734" t="s">
        <v>47054</v>
      </c>
      <c r="I8734" t="s">
        <v>47111</v>
      </c>
      <c r="J8734" t="s">
        <v>47112</v>
      </c>
      <c r="K8734" t="s">
        <v>47113</v>
      </c>
      <c r="L8734">
        <v>62.01</v>
      </c>
      <c r="M8734">
        <v>152</v>
      </c>
      <c r="N8734">
        <v>0</v>
      </c>
      <c r="O8734">
        <v>152</v>
      </c>
      <c r="P8734">
        <v>0</v>
      </c>
    </row>
    <row r="8735" spans="1:16" x14ac:dyDescent="0.25">
      <c r="A8735" t="s">
        <v>31343</v>
      </c>
      <c r="B8735" t="s">
        <v>6638</v>
      </c>
      <c r="C8735" t="s">
        <v>6639</v>
      </c>
      <c r="D8735" t="s">
        <v>1734</v>
      </c>
      <c r="E8735" t="s">
        <v>1735</v>
      </c>
      <c r="F8735" t="s">
        <v>52</v>
      </c>
      <c r="G8735" t="s">
        <v>16231</v>
      </c>
      <c r="H8735" t="s">
        <v>47054</v>
      </c>
      <c r="I8735" t="s">
        <v>47111</v>
      </c>
      <c r="J8735" t="s">
        <v>47112</v>
      </c>
      <c r="K8735" t="s">
        <v>47113</v>
      </c>
      <c r="L8735">
        <v>60.08</v>
      </c>
      <c r="M8735">
        <v>131</v>
      </c>
      <c r="N8735">
        <v>0</v>
      </c>
      <c r="O8735">
        <v>131</v>
      </c>
      <c r="P8735">
        <v>0</v>
      </c>
    </row>
    <row r="8736" spans="1:16" x14ac:dyDescent="0.25">
      <c r="A8736" t="s">
        <v>31344</v>
      </c>
      <c r="B8736" t="s">
        <v>6638</v>
      </c>
      <c r="C8736" t="s">
        <v>6639</v>
      </c>
      <c r="D8736" t="s">
        <v>6632</v>
      </c>
      <c r="E8736" t="s">
        <v>6633</v>
      </c>
      <c r="F8736" t="s">
        <v>56</v>
      </c>
      <c r="G8736" t="s">
        <v>16231</v>
      </c>
      <c r="H8736" t="s">
        <v>47054</v>
      </c>
      <c r="I8736" t="s">
        <v>47111</v>
      </c>
      <c r="J8736" t="s">
        <v>47112</v>
      </c>
      <c r="K8736" t="s">
        <v>47113</v>
      </c>
      <c r="L8736">
        <v>69.459999999999994</v>
      </c>
      <c r="M8736">
        <v>154</v>
      </c>
      <c r="N8736">
        <v>0</v>
      </c>
      <c r="O8736">
        <v>154</v>
      </c>
      <c r="P8736">
        <v>0</v>
      </c>
    </row>
    <row r="8737" spans="1:16" x14ac:dyDescent="0.25">
      <c r="A8737" t="s">
        <v>31345</v>
      </c>
      <c r="B8737" t="s">
        <v>6640</v>
      </c>
      <c r="C8737" t="s">
        <v>6641</v>
      </c>
      <c r="D8737" t="s">
        <v>3432</v>
      </c>
      <c r="E8737" t="s">
        <v>3433</v>
      </c>
      <c r="F8737" t="s">
        <v>8</v>
      </c>
      <c r="G8737" t="s">
        <v>16224</v>
      </c>
      <c r="H8737" t="s">
        <v>47054</v>
      </c>
      <c r="I8737" t="s">
        <v>47116</v>
      </c>
      <c r="J8737" t="s">
        <v>47117</v>
      </c>
      <c r="K8737" t="s">
        <v>47113</v>
      </c>
      <c r="L8737">
        <v>57.12</v>
      </c>
      <c r="M8737">
        <v>138</v>
      </c>
      <c r="N8737">
        <v>0</v>
      </c>
      <c r="O8737">
        <v>138</v>
      </c>
      <c r="P8737">
        <v>0</v>
      </c>
    </row>
    <row r="8738" spans="1:16" x14ac:dyDescent="0.25">
      <c r="A8738" t="s">
        <v>31346</v>
      </c>
      <c r="B8738" t="s">
        <v>6642</v>
      </c>
      <c r="C8738" t="s">
        <v>6643</v>
      </c>
      <c r="D8738" t="s">
        <v>6644</v>
      </c>
      <c r="E8738" t="s">
        <v>6645</v>
      </c>
      <c r="F8738" t="s">
        <v>7</v>
      </c>
      <c r="G8738" t="s">
        <v>16231</v>
      </c>
      <c r="H8738" t="s">
        <v>47054</v>
      </c>
      <c r="I8738" t="s">
        <v>47111</v>
      </c>
      <c r="J8738" t="s">
        <v>47112</v>
      </c>
      <c r="K8738" t="s">
        <v>47113</v>
      </c>
      <c r="L8738">
        <v>67.790000000000006</v>
      </c>
      <c r="M8738">
        <v>149</v>
      </c>
      <c r="N8738">
        <v>0</v>
      </c>
      <c r="O8738">
        <v>149</v>
      </c>
      <c r="P8738">
        <v>0</v>
      </c>
    </row>
    <row r="8739" spans="1:16" x14ac:dyDescent="0.25">
      <c r="A8739" t="s">
        <v>31347</v>
      </c>
      <c r="B8739" t="s">
        <v>6646</v>
      </c>
      <c r="C8739" t="s">
        <v>6647</v>
      </c>
      <c r="D8739" t="s">
        <v>5275</v>
      </c>
      <c r="E8739" t="s">
        <v>5276</v>
      </c>
      <c r="F8739" t="s">
        <v>296</v>
      </c>
      <c r="G8739" t="s">
        <v>16231</v>
      </c>
      <c r="H8739" t="s">
        <v>47054</v>
      </c>
      <c r="I8739" t="s">
        <v>47111</v>
      </c>
      <c r="J8739" t="s">
        <v>47112</v>
      </c>
      <c r="K8739" t="s">
        <v>47113</v>
      </c>
      <c r="L8739">
        <v>65.83</v>
      </c>
      <c r="M8739">
        <v>144</v>
      </c>
      <c r="N8739">
        <v>0</v>
      </c>
      <c r="O8739">
        <v>144</v>
      </c>
      <c r="P8739">
        <v>0</v>
      </c>
    </row>
    <row r="8740" spans="1:16" x14ac:dyDescent="0.25">
      <c r="A8740" t="s">
        <v>31348</v>
      </c>
      <c r="B8740" t="s">
        <v>6646</v>
      </c>
      <c r="C8740" t="s">
        <v>6647</v>
      </c>
      <c r="D8740" t="s">
        <v>6644</v>
      </c>
      <c r="E8740" t="s">
        <v>6645</v>
      </c>
      <c r="F8740" t="s">
        <v>7</v>
      </c>
      <c r="G8740" t="s">
        <v>16231</v>
      </c>
      <c r="H8740" t="s">
        <v>47054</v>
      </c>
      <c r="I8740" t="s">
        <v>47111</v>
      </c>
      <c r="J8740" t="s">
        <v>47112</v>
      </c>
      <c r="K8740" t="s">
        <v>47113</v>
      </c>
      <c r="L8740">
        <v>67.900000000000006</v>
      </c>
      <c r="M8740">
        <v>149</v>
      </c>
      <c r="N8740">
        <v>0</v>
      </c>
      <c r="O8740">
        <v>149</v>
      </c>
      <c r="P8740">
        <v>0</v>
      </c>
    </row>
    <row r="8741" spans="1:16" x14ac:dyDescent="0.25">
      <c r="A8741" t="s">
        <v>31349</v>
      </c>
      <c r="B8741" t="s">
        <v>6648</v>
      </c>
      <c r="C8741" t="s">
        <v>3427</v>
      </c>
      <c r="D8741" t="s">
        <v>6649</v>
      </c>
      <c r="E8741" t="s">
        <v>6650</v>
      </c>
      <c r="F8741" t="s">
        <v>8</v>
      </c>
      <c r="G8741" t="s">
        <v>16230</v>
      </c>
      <c r="H8741" t="s">
        <v>47054</v>
      </c>
      <c r="I8741" t="s">
        <v>47118</v>
      </c>
      <c r="J8741" t="s">
        <v>47119</v>
      </c>
      <c r="K8741" t="s">
        <v>47113</v>
      </c>
      <c r="L8741">
        <v>44.87</v>
      </c>
      <c r="M8741">
        <v>116</v>
      </c>
      <c r="N8741">
        <v>0</v>
      </c>
      <c r="O8741">
        <v>116</v>
      </c>
      <c r="P8741">
        <v>0</v>
      </c>
    </row>
    <row r="8742" spans="1:16" x14ac:dyDescent="0.25">
      <c r="A8742" t="s">
        <v>31350</v>
      </c>
      <c r="B8742" t="s">
        <v>6651</v>
      </c>
      <c r="C8742" t="s">
        <v>6652</v>
      </c>
      <c r="D8742" t="s">
        <v>6653</v>
      </c>
      <c r="E8742" t="s">
        <v>6654</v>
      </c>
      <c r="F8742" t="s">
        <v>3670</v>
      </c>
      <c r="G8742" t="s">
        <v>16230</v>
      </c>
      <c r="H8742" t="s">
        <v>47054</v>
      </c>
      <c r="I8742" t="s">
        <v>47120</v>
      </c>
      <c r="J8742" t="s">
        <v>47121</v>
      </c>
      <c r="K8742" t="s">
        <v>47113</v>
      </c>
      <c r="L8742">
        <v>35.93</v>
      </c>
      <c r="M8742">
        <v>59</v>
      </c>
      <c r="N8742">
        <v>0</v>
      </c>
      <c r="O8742">
        <v>59</v>
      </c>
      <c r="P8742">
        <v>0</v>
      </c>
    </row>
    <row r="8743" spans="1:16" x14ac:dyDescent="0.25">
      <c r="A8743" t="s">
        <v>31351</v>
      </c>
      <c r="B8743" t="s">
        <v>20302</v>
      </c>
      <c r="C8743" t="s">
        <v>20303</v>
      </c>
      <c r="D8743" t="str">
        <f>"1001"</f>
        <v>1001</v>
      </c>
      <c r="E8743" t="s">
        <v>15448</v>
      </c>
      <c r="F8743" t="s">
        <v>3750</v>
      </c>
      <c r="G8743" t="s">
        <v>16231</v>
      </c>
      <c r="H8743" t="s">
        <v>47054</v>
      </c>
      <c r="I8743" t="s">
        <v>47116</v>
      </c>
      <c r="J8743" t="s">
        <v>47117</v>
      </c>
      <c r="K8743" t="s">
        <v>47113</v>
      </c>
      <c r="L8743">
        <v>21.31</v>
      </c>
      <c r="M8743">
        <v>34</v>
      </c>
      <c r="N8743">
        <v>0</v>
      </c>
      <c r="O8743">
        <v>34</v>
      </c>
      <c r="P8743">
        <v>0</v>
      </c>
    </row>
    <row r="8744" spans="1:16" x14ac:dyDescent="0.25">
      <c r="A8744" t="s">
        <v>17374</v>
      </c>
      <c r="B8744" t="s">
        <v>15446</v>
      </c>
      <c r="C8744" t="s">
        <v>15447</v>
      </c>
      <c r="D8744" t="str">
        <f>"1106"</f>
        <v>1106</v>
      </c>
      <c r="E8744" t="s">
        <v>15448</v>
      </c>
      <c r="F8744" t="s">
        <v>3750</v>
      </c>
      <c r="G8744" t="s">
        <v>16231</v>
      </c>
      <c r="H8744" t="s">
        <v>47054</v>
      </c>
      <c r="I8744" t="s">
        <v>47116</v>
      </c>
      <c r="J8744" t="s">
        <v>47117</v>
      </c>
      <c r="K8744" t="s">
        <v>47113</v>
      </c>
      <c r="L8744">
        <v>22.58</v>
      </c>
      <c r="M8744">
        <v>91</v>
      </c>
      <c r="N8744">
        <v>0</v>
      </c>
      <c r="O8744">
        <v>91</v>
      </c>
      <c r="P8744">
        <v>0</v>
      </c>
    </row>
    <row r="8745" spans="1:16" x14ac:dyDescent="0.25">
      <c r="A8745" t="s">
        <v>31352</v>
      </c>
      <c r="B8745" t="s">
        <v>17375</v>
      </c>
      <c r="C8745" t="s">
        <v>17376</v>
      </c>
      <c r="D8745" t="str">
        <f>"1100"</f>
        <v>1100</v>
      </c>
      <c r="E8745" t="s">
        <v>17377</v>
      </c>
      <c r="F8745" t="s">
        <v>3750</v>
      </c>
      <c r="G8745" t="s">
        <v>16231</v>
      </c>
      <c r="H8745" t="s">
        <v>47054</v>
      </c>
      <c r="I8745" t="s">
        <v>47116</v>
      </c>
      <c r="J8745" t="s">
        <v>47117</v>
      </c>
      <c r="K8745" t="s">
        <v>47113</v>
      </c>
      <c r="L8745">
        <v>25.06</v>
      </c>
      <c r="M8745">
        <v>70</v>
      </c>
      <c r="N8745">
        <v>0</v>
      </c>
      <c r="O8745">
        <v>70</v>
      </c>
      <c r="P8745">
        <v>0</v>
      </c>
    </row>
    <row r="8746" spans="1:16" x14ac:dyDescent="0.25">
      <c r="A8746" t="s">
        <v>31353</v>
      </c>
      <c r="B8746" t="s">
        <v>17378</v>
      </c>
      <c r="C8746" t="s">
        <v>17379</v>
      </c>
      <c r="D8746" t="str">
        <f>"4000"</f>
        <v>4000</v>
      </c>
      <c r="E8746" t="s">
        <v>17380</v>
      </c>
      <c r="F8746" t="s">
        <v>3750</v>
      </c>
      <c r="G8746" t="s">
        <v>16231</v>
      </c>
      <c r="H8746" t="s">
        <v>47054</v>
      </c>
      <c r="I8746" t="s">
        <v>47116</v>
      </c>
      <c r="J8746" t="s">
        <v>47117</v>
      </c>
      <c r="K8746" t="s">
        <v>47113</v>
      </c>
      <c r="L8746">
        <v>24.82</v>
      </c>
      <c r="M8746">
        <v>69</v>
      </c>
      <c r="N8746">
        <v>0</v>
      </c>
      <c r="O8746">
        <v>69</v>
      </c>
      <c r="P8746">
        <v>0</v>
      </c>
    </row>
    <row r="8747" spans="1:16" x14ac:dyDescent="0.25">
      <c r="A8747" t="s">
        <v>31354</v>
      </c>
      <c r="B8747" t="s">
        <v>15449</v>
      </c>
      <c r="C8747" t="s">
        <v>15450</v>
      </c>
      <c r="D8747" t="str">
        <f>"1826"</f>
        <v>1826</v>
      </c>
      <c r="E8747" t="s">
        <v>1074</v>
      </c>
      <c r="F8747" t="s">
        <v>3750</v>
      </c>
      <c r="G8747" t="s">
        <v>16231</v>
      </c>
      <c r="H8747" t="s">
        <v>47054</v>
      </c>
      <c r="I8747" t="s">
        <v>47116</v>
      </c>
      <c r="J8747" t="s">
        <v>47117</v>
      </c>
      <c r="K8747" t="s">
        <v>47113</v>
      </c>
      <c r="L8747">
        <v>21.22</v>
      </c>
      <c r="M8747">
        <v>77</v>
      </c>
      <c r="N8747">
        <v>0</v>
      </c>
      <c r="O8747">
        <v>77</v>
      </c>
      <c r="P8747">
        <v>0</v>
      </c>
    </row>
    <row r="8748" spans="1:16" x14ac:dyDescent="0.25">
      <c r="A8748" t="s">
        <v>31355</v>
      </c>
      <c r="B8748" t="s">
        <v>15451</v>
      </c>
      <c r="C8748" t="s">
        <v>15452</v>
      </c>
      <c r="D8748" t="str">
        <f>"8000"</f>
        <v>8000</v>
      </c>
      <c r="E8748" t="s">
        <v>15453</v>
      </c>
      <c r="F8748" t="s">
        <v>3750</v>
      </c>
      <c r="G8748" t="s">
        <v>16231</v>
      </c>
      <c r="H8748" t="s">
        <v>47054</v>
      </c>
      <c r="I8748" t="s">
        <v>47116</v>
      </c>
      <c r="J8748" t="s">
        <v>47117</v>
      </c>
      <c r="K8748" t="s">
        <v>47113</v>
      </c>
      <c r="L8748">
        <v>24.93</v>
      </c>
      <c r="M8748">
        <v>98</v>
      </c>
      <c r="N8748">
        <v>0</v>
      </c>
      <c r="O8748">
        <v>98</v>
      </c>
      <c r="P8748">
        <v>0</v>
      </c>
    </row>
    <row r="8749" spans="1:16" x14ac:dyDescent="0.25">
      <c r="A8749" t="s">
        <v>31356</v>
      </c>
      <c r="B8749" t="s">
        <v>15454</v>
      </c>
      <c r="C8749" t="s">
        <v>15191</v>
      </c>
      <c r="D8749" t="str">
        <f>"1826"</f>
        <v>1826</v>
      </c>
      <c r="E8749" t="s">
        <v>1074</v>
      </c>
      <c r="F8749" t="s">
        <v>3750</v>
      </c>
      <c r="G8749" t="s">
        <v>16231</v>
      </c>
      <c r="H8749" t="s">
        <v>47054</v>
      </c>
      <c r="I8749" t="s">
        <v>47116</v>
      </c>
      <c r="J8749" t="s">
        <v>47117</v>
      </c>
      <c r="K8749" t="s">
        <v>47113</v>
      </c>
      <c r="L8749">
        <v>27.09</v>
      </c>
      <c r="M8749">
        <v>107</v>
      </c>
      <c r="N8749">
        <v>0</v>
      </c>
      <c r="O8749">
        <v>107</v>
      </c>
      <c r="P8749">
        <v>0</v>
      </c>
    </row>
    <row r="8750" spans="1:16" x14ac:dyDescent="0.25">
      <c r="A8750" t="s">
        <v>31357</v>
      </c>
      <c r="B8750" t="s">
        <v>15455</v>
      </c>
      <c r="C8750" t="s">
        <v>15456</v>
      </c>
      <c r="D8750" t="str">
        <f>"4000"</f>
        <v>4000</v>
      </c>
      <c r="E8750" t="s">
        <v>15457</v>
      </c>
      <c r="F8750" t="s">
        <v>3750</v>
      </c>
      <c r="G8750" t="s">
        <v>16231</v>
      </c>
      <c r="H8750" t="s">
        <v>47054</v>
      </c>
      <c r="I8750" t="s">
        <v>47116</v>
      </c>
      <c r="J8750" t="s">
        <v>47117</v>
      </c>
      <c r="K8750" t="s">
        <v>47113</v>
      </c>
      <c r="L8750">
        <v>19.75</v>
      </c>
      <c r="M8750">
        <v>77</v>
      </c>
      <c r="N8750">
        <v>0</v>
      </c>
      <c r="O8750">
        <v>77</v>
      </c>
      <c r="P8750">
        <v>0</v>
      </c>
    </row>
    <row r="8751" spans="1:16" x14ac:dyDescent="0.25">
      <c r="A8751" t="s">
        <v>31358</v>
      </c>
      <c r="B8751" t="s">
        <v>15455</v>
      </c>
      <c r="C8751" t="s">
        <v>15456</v>
      </c>
      <c r="D8751" t="str">
        <f>"6000"</f>
        <v>6000</v>
      </c>
      <c r="E8751" t="s">
        <v>15458</v>
      </c>
      <c r="F8751" t="s">
        <v>3750</v>
      </c>
      <c r="G8751" t="s">
        <v>16231</v>
      </c>
      <c r="H8751" t="s">
        <v>47054</v>
      </c>
      <c r="I8751" t="s">
        <v>47116</v>
      </c>
      <c r="J8751" t="s">
        <v>47117</v>
      </c>
      <c r="K8751" t="s">
        <v>47113</v>
      </c>
      <c r="L8751">
        <v>22.64</v>
      </c>
      <c r="M8751">
        <v>77</v>
      </c>
      <c r="N8751">
        <v>0</v>
      </c>
      <c r="O8751">
        <v>77</v>
      </c>
      <c r="P8751">
        <v>0</v>
      </c>
    </row>
    <row r="8752" spans="1:16" x14ac:dyDescent="0.25">
      <c r="A8752" t="s">
        <v>31359</v>
      </c>
      <c r="B8752" t="s">
        <v>17381</v>
      </c>
      <c r="C8752" t="s">
        <v>17382</v>
      </c>
      <c r="D8752" t="str">
        <f>"1826"</f>
        <v>1826</v>
      </c>
      <c r="E8752" t="s">
        <v>1074</v>
      </c>
      <c r="F8752" t="s">
        <v>3750</v>
      </c>
      <c r="G8752" t="s">
        <v>16231</v>
      </c>
      <c r="H8752" t="s">
        <v>47054</v>
      </c>
      <c r="I8752" t="s">
        <v>47116</v>
      </c>
      <c r="J8752" t="s">
        <v>47117</v>
      </c>
      <c r="K8752" t="s">
        <v>47113</v>
      </c>
      <c r="L8752">
        <v>26.59</v>
      </c>
      <c r="M8752">
        <v>74</v>
      </c>
      <c r="N8752">
        <v>0</v>
      </c>
      <c r="O8752">
        <v>74</v>
      </c>
      <c r="P8752">
        <v>0</v>
      </c>
    </row>
    <row r="8753" spans="1:16" x14ac:dyDescent="0.25">
      <c r="A8753" t="s">
        <v>19484</v>
      </c>
      <c r="B8753" t="s">
        <v>19485</v>
      </c>
      <c r="C8753" t="s">
        <v>19486</v>
      </c>
      <c r="D8753" t="str">
        <f>"1106"</f>
        <v>1106</v>
      </c>
      <c r="E8753" t="s">
        <v>460</v>
      </c>
      <c r="F8753" t="s">
        <v>3750</v>
      </c>
      <c r="G8753" t="s">
        <v>16231</v>
      </c>
      <c r="H8753" t="s">
        <v>47054</v>
      </c>
      <c r="I8753" t="s">
        <v>47116</v>
      </c>
      <c r="J8753" t="s">
        <v>47117</v>
      </c>
      <c r="K8753" t="s">
        <v>47113</v>
      </c>
      <c r="L8753">
        <v>21.31</v>
      </c>
      <c r="M8753">
        <v>37</v>
      </c>
      <c r="N8753">
        <v>0</v>
      </c>
      <c r="O8753">
        <v>37</v>
      </c>
      <c r="P8753">
        <v>0</v>
      </c>
    </row>
    <row r="8754" spans="1:16" x14ac:dyDescent="0.25">
      <c r="A8754" t="s">
        <v>31360</v>
      </c>
      <c r="B8754" t="s">
        <v>15459</v>
      </c>
      <c r="C8754" t="s">
        <v>15460</v>
      </c>
      <c r="D8754" t="str">
        <f>"1826"</f>
        <v>1826</v>
      </c>
      <c r="E8754" t="s">
        <v>1074</v>
      </c>
      <c r="F8754" t="s">
        <v>3750</v>
      </c>
      <c r="G8754" t="s">
        <v>16224</v>
      </c>
      <c r="H8754" t="s">
        <v>47054</v>
      </c>
      <c r="I8754" t="s">
        <v>47116</v>
      </c>
      <c r="J8754" t="s">
        <v>47117</v>
      </c>
      <c r="K8754" t="s">
        <v>47113</v>
      </c>
      <c r="L8754">
        <v>23.92</v>
      </c>
      <c r="M8754">
        <v>93</v>
      </c>
      <c r="N8754">
        <v>0</v>
      </c>
      <c r="O8754">
        <v>93</v>
      </c>
      <c r="P8754">
        <v>0</v>
      </c>
    </row>
    <row r="8755" spans="1:16" x14ac:dyDescent="0.25">
      <c r="A8755" t="s">
        <v>31361</v>
      </c>
      <c r="B8755" t="s">
        <v>20304</v>
      </c>
      <c r="C8755" t="s">
        <v>20178</v>
      </c>
      <c r="D8755" t="str">
        <f>"1001"</f>
        <v>1001</v>
      </c>
      <c r="E8755" t="s">
        <v>42</v>
      </c>
      <c r="F8755" t="s">
        <v>19552</v>
      </c>
      <c r="G8755" t="s">
        <v>16235</v>
      </c>
      <c r="H8755" t="s">
        <v>47054</v>
      </c>
      <c r="I8755" t="s">
        <v>47118</v>
      </c>
      <c r="J8755" t="s">
        <v>47119</v>
      </c>
      <c r="K8755" t="s">
        <v>47113</v>
      </c>
      <c r="L8755">
        <v>22.78</v>
      </c>
      <c r="M8755">
        <v>66</v>
      </c>
      <c r="N8755">
        <v>0</v>
      </c>
      <c r="O8755">
        <v>66</v>
      </c>
      <c r="P8755">
        <v>0</v>
      </c>
    </row>
    <row r="8756" spans="1:16" x14ac:dyDescent="0.25">
      <c r="A8756" t="s">
        <v>22769</v>
      </c>
      <c r="B8756" t="s">
        <v>20305</v>
      </c>
      <c r="C8756" t="s">
        <v>20178</v>
      </c>
      <c r="D8756" t="str">
        <f>"1501"</f>
        <v>1501</v>
      </c>
      <c r="E8756" t="s">
        <v>46</v>
      </c>
      <c r="F8756" t="s">
        <v>19559</v>
      </c>
      <c r="G8756" t="s">
        <v>16235</v>
      </c>
      <c r="H8756" t="s">
        <v>47054</v>
      </c>
      <c r="I8756" t="s">
        <v>47120</v>
      </c>
      <c r="J8756" t="s">
        <v>47121</v>
      </c>
      <c r="K8756" t="s">
        <v>47113</v>
      </c>
      <c r="L8756">
        <v>25.89</v>
      </c>
      <c r="M8756">
        <v>66</v>
      </c>
      <c r="N8756">
        <v>0</v>
      </c>
      <c r="O8756">
        <v>66</v>
      </c>
      <c r="P8756">
        <v>0</v>
      </c>
    </row>
    <row r="8757" spans="1:16" x14ac:dyDescent="0.25">
      <c r="A8757" t="s">
        <v>31362</v>
      </c>
      <c r="B8757" t="s">
        <v>20306</v>
      </c>
      <c r="C8757" t="s">
        <v>20307</v>
      </c>
      <c r="D8757" t="str">
        <f>"1200"</f>
        <v>1200</v>
      </c>
      <c r="E8757" t="s">
        <v>20298</v>
      </c>
      <c r="F8757" t="s">
        <v>19878</v>
      </c>
      <c r="G8757" t="s">
        <v>16230</v>
      </c>
      <c r="H8757" t="s">
        <v>47054</v>
      </c>
      <c r="I8757" t="s">
        <v>47120</v>
      </c>
      <c r="J8757" t="s">
        <v>47121</v>
      </c>
      <c r="K8757" t="s">
        <v>47113</v>
      </c>
      <c r="L8757">
        <v>30.68</v>
      </c>
      <c r="M8757">
        <v>55</v>
      </c>
      <c r="N8757">
        <v>0</v>
      </c>
      <c r="O8757">
        <v>55</v>
      </c>
      <c r="P8757">
        <v>0</v>
      </c>
    </row>
    <row r="8758" spans="1:16" x14ac:dyDescent="0.25">
      <c r="A8758" t="s">
        <v>31363</v>
      </c>
      <c r="B8758" t="s">
        <v>20308</v>
      </c>
      <c r="C8758" t="s">
        <v>31364</v>
      </c>
      <c r="D8758" t="str">
        <f>"1501"</f>
        <v>1501</v>
      </c>
      <c r="E8758" t="s">
        <v>46</v>
      </c>
      <c r="F8758" t="s">
        <v>19878</v>
      </c>
      <c r="G8758" t="s">
        <v>16221</v>
      </c>
      <c r="H8758" t="s">
        <v>47054</v>
      </c>
      <c r="I8758" t="s">
        <v>47154</v>
      </c>
      <c r="J8758" t="s">
        <v>47155</v>
      </c>
      <c r="K8758" t="s">
        <v>47113</v>
      </c>
      <c r="L8758">
        <v>10.74</v>
      </c>
      <c r="M8758">
        <v>22</v>
      </c>
      <c r="N8758">
        <v>0</v>
      </c>
      <c r="O8758">
        <v>22</v>
      </c>
      <c r="P8758">
        <v>0</v>
      </c>
    </row>
    <row r="8759" spans="1:16" x14ac:dyDescent="0.25">
      <c r="A8759" t="s">
        <v>31365</v>
      </c>
      <c r="B8759" t="s">
        <v>20308</v>
      </c>
      <c r="C8759" t="s">
        <v>31364</v>
      </c>
      <c r="D8759" t="str">
        <f>"6000"</f>
        <v>6000</v>
      </c>
      <c r="E8759" t="s">
        <v>20198</v>
      </c>
      <c r="F8759" t="s">
        <v>19878</v>
      </c>
      <c r="G8759" t="s">
        <v>16221</v>
      </c>
      <c r="H8759" t="s">
        <v>47054</v>
      </c>
      <c r="I8759" t="s">
        <v>47154</v>
      </c>
      <c r="J8759" t="s">
        <v>47155</v>
      </c>
      <c r="K8759" t="s">
        <v>47113</v>
      </c>
      <c r="L8759">
        <v>11.18</v>
      </c>
      <c r="M8759">
        <v>29</v>
      </c>
      <c r="N8759">
        <v>0</v>
      </c>
      <c r="O8759">
        <v>29</v>
      </c>
      <c r="P8759">
        <v>0</v>
      </c>
    </row>
    <row r="8760" spans="1:16" x14ac:dyDescent="0.25">
      <c r="A8760" t="s">
        <v>31366</v>
      </c>
      <c r="B8760" t="s">
        <v>20309</v>
      </c>
      <c r="C8760" t="s">
        <v>20310</v>
      </c>
      <c r="D8760" t="s">
        <v>20311</v>
      </c>
      <c r="E8760" t="s">
        <v>20312</v>
      </c>
      <c r="F8760" t="s">
        <v>16839</v>
      </c>
      <c r="G8760" t="s">
        <v>16231</v>
      </c>
      <c r="H8760" t="s">
        <v>47054</v>
      </c>
      <c r="I8760" t="s">
        <v>47111</v>
      </c>
      <c r="J8760" t="s">
        <v>47112</v>
      </c>
      <c r="K8760" t="s">
        <v>47113</v>
      </c>
      <c r="L8760">
        <v>62.71</v>
      </c>
      <c r="M8760">
        <v>129</v>
      </c>
      <c r="N8760">
        <v>0</v>
      </c>
      <c r="O8760">
        <v>129</v>
      </c>
      <c r="P8760">
        <v>0</v>
      </c>
    </row>
    <row r="8761" spans="1:16" x14ac:dyDescent="0.25">
      <c r="A8761" t="s">
        <v>31367</v>
      </c>
      <c r="B8761" t="s">
        <v>20313</v>
      </c>
      <c r="C8761" t="s">
        <v>20310</v>
      </c>
      <c r="D8761" t="s">
        <v>20314</v>
      </c>
      <c r="E8761" t="s">
        <v>20315</v>
      </c>
      <c r="F8761" t="s">
        <v>16839</v>
      </c>
      <c r="G8761" t="s">
        <v>16231</v>
      </c>
      <c r="H8761" t="s">
        <v>47054</v>
      </c>
      <c r="I8761" t="s">
        <v>47111</v>
      </c>
      <c r="J8761" t="s">
        <v>47112</v>
      </c>
      <c r="K8761" t="s">
        <v>47113</v>
      </c>
      <c r="L8761">
        <v>58.25</v>
      </c>
      <c r="M8761">
        <v>129</v>
      </c>
      <c r="N8761">
        <v>0</v>
      </c>
      <c r="O8761">
        <v>129</v>
      </c>
      <c r="P8761">
        <v>0</v>
      </c>
    </row>
    <row r="8762" spans="1:16" x14ac:dyDescent="0.25">
      <c r="A8762" t="s">
        <v>31368</v>
      </c>
      <c r="B8762" t="s">
        <v>20316</v>
      </c>
      <c r="C8762" t="s">
        <v>20310</v>
      </c>
      <c r="D8762" t="s">
        <v>16917</v>
      </c>
      <c r="E8762" t="s">
        <v>16918</v>
      </c>
      <c r="F8762" t="s">
        <v>16839</v>
      </c>
      <c r="G8762" t="s">
        <v>16231</v>
      </c>
      <c r="H8762" t="s">
        <v>47054</v>
      </c>
      <c r="I8762" t="s">
        <v>47111</v>
      </c>
      <c r="J8762" t="s">
        <v>47112</v>
      </c>
      <c r="K8762" t="s">
        <v>47113</v>
      </c>
      <c r="L8762">
        <v>46.11</v>
      </c>
      <c r="M8762">
        <v>129</v>
      </c>
      <c r="N8762">
        <v>0</v>
      </c>
      <c r="O8762">
        <v>129</v>
      </c>
      <c r="P8762">
        <v>0</v>
      </c>
    </row>
    <row r="8763" spans="1:16" x14ac:dyDescent="0.25">
      <c r="A8763" t="s">
        <v>31369</v>
      </c>
      <c r="B8763" t="s">
        <v>20317</v>
      </c>
      <c r="C8763" t="s">
        <v>20310</v>
      </c>
      <c r="D8763" t="s">
        <v>20318</v>
      </c>
      <c r="E8763" t="s">
        <v>20319</v>
      </c>
      <c r="F8763" t="s">
        <v>16839</v>
      </c>
      <c r="G8763" t="s">
        <v>16231</v>
      </c>
      <c r="H8763" t="s">
        <v>47054</v>
      </c>
      <c r="I8763" t="s">
        <v>47111</v>
      </c>
      <c r="J8763" t="s">
        <v>47112</v>
      </c>
      <c r="K8763" t="s">
        <v>47113</v>
      </c>
      <c r="L8763">
        <v>55.2</v>
      </c>
      <c r="M8763">
        <v>129</v>
      </c>
      <c r="N8763">
        <v>0</v>
      </c>
      <c r="O8763">
        <v>129</v>
      </c>
      <c r="P8763">
        <v>0</v>
      </c>
    </row>
    <row r="8764" spans="1:16" x14ac:dyDescent="0.25">
      <c r="A8764" t="s">
        <v>31370</v>
      </c>
      <c r="B8764" t="s">
        <v>20320</v>
      </c>
      <c r="C8764" t="s">
        <v>20310</v>
      </c>
      <c r="D8764" t="s">
        <v>20321</v>
      </c>
      <c r="E8764" t="s">
        <v>20322</v>
      </c>
      <c r="F8764" t="s">
        <v>19878</v>
      </c>
      <c r="G8764" t="s">
        <v>16231</v>
      </c>
      <c r="H8764" t="s">
        <v>47054</v>
      </c>
      <c r="I8764" t="s">
        <v>47111</v>
      </c>
      <c r="J8764" t="s">
        <v>47112</v>
      </c>
      <c r="K8764" t="s">
        <v>47113</v>
      </c>
      <c r="L8764">
        <v>63.89</v>
      </c>
      <c r="M8764">
        <v>129</v>
      </c>
      <c r="N8764">
        <v>0</v>
      </c>
      <c r="O8764">
        <v>129</v>
      </c>
      <c r="P8764">
        <v>0</v>
      </c>
    </row>
    <row r="8765" spans="1:16" x14ac:dyDescent="0.25">
      <c r="A8765" t="s">
        <v>31371</v>
      </c>
      <c r="B8765" t="s">
        <v>20320</v>
      </c>
      <c r="C8765" t="s">
        <v>20310</v>
      </c>
      <c r="D8765" t="s">
        <v>20323</v>
      </c>
      <c r="E8765" t="s">
        <v>20324</v>
      </c>
      <c r="F8765" t="s">
        <v>19878</v>
      </c>
      <c r="G8765" t="s">
        <v>16231</v>
      </c>
      <c r="H8765" t="s">
        <v>47054</v>
      </c>
      <c r="I8765" t="s">
        <v>47111</v>
      </c>
      <c r="J8765" t="s">
        <v>47112</v>
      </c>
      <c r="K8765" t="s">
        <v>47113</v>
      </c>
      <c r="L8765">
        <v>60.7</v>
      </c>
      <c r="M8765">
        <v>129</v>
      </c>
      <c r="N8765">
        <v>0</v>
      </c>
      <c r="O8765">
        <v>129</v>
      </c>
      <c r="P8765">
        <v>0</v>
      </c>
    </row>
    <row r="8766" spans="1:16" x14ac:dyDescent="0.25">
      <c r="A8766" t="s">
        <v>31372</v>
      </c>
      <c r="B8766" t="s">
        <v>20320</v>
      </c>
      <c r="C8766" t="s">
        <v>20310</v>
      </c>
      <c r="D8766" t="s">
        <v>20338</v>
      </c>
      <c r="E8766" t="s">
        <v>20339</v>
      </c>
      <c r="F8766" t="s">
        <v>19878</v>
      </c>
      <c r="G8766" t="s">
        <v>16231</v>
      </c>
      <c r="H8766" t="s">
        <v>47054</v>
      </c>
      <c r="I8766" t="s">
        <v>47111</v>
      </c>
      <c r="J8766" t="s">
        <v>47112</v>
      </c>
      <c r="K8766" t="s">
        <v>47113</v>
      </c>
      <c r="L8766">
        <v>63.9</v>
      </c>
      <c r="M8766">
        <v>92</v>
      </c>
      <c r="N8766">
        <v>0</v>
      </c>
      <c r="O8766">
        <v>92</v>
      </c>
      <c r="P8766">
        <v>0</v>
      </c>
    </row>
    <row r="8767" spans="1:16" x14ac:dyDescent="0.25">
      <c r="A8767" t="s">
        <v>31373</v>
      </c>
      <c r="B8767" t="s">
        <v>20320</v>
      </c>
      <c r="C8767" t="s">
        <v>20310</v>
      </c>
      <c r="D8767" t="s">
        <v>31374</v>
      </c>
      <c r="E8767" t="s">
        <v>31375</v>
      </c>
      <c r="F8767" t="s">
        <v>19878</v>
      </c>
      <c r="G8767" t="s">
        <v>16231</v>
      </c>
      <c r="H8767" t="s">
        <v>47054</v>
      </c>
      <c r="I8767" t="s">
        <v>47111</v>
      </c>
      <c r="J8767" t="s">
        <v>47112</v>
      </c>
      <c r="K8767" t="s">
        <v>47113</v>
      </c>
      <c r="L8767">
        <v>73.260000000000005</v>
      </c>
      <c r="M8767">
        <v>92</v>
      </c>
      <c r="N8767">
        <v>0</v>
      </c>
      <c r="O8767">
        <v>92</v>
      </c>
      <c r="P8767">
        <v>0</v>
      </c>
    </row>
    <row r="8768" spans="1:16" x14ac:dyDescent="0.25">
      <c r="A8768" t="s">
        <v>31376</v>
      </c>
      <c r="B8768" t="s">
        <v>31377</v>
      </c>
      <c r="C8768" t="s">
        <v>20310</v>
      </c>
      <c r="D8768" t="s">
        <v>31378</v>
      </c>
      <c r="E8768" t="s">
        <v>31379</v>
      </c>
      <c r="F8768" t="s">
        <v>19878</v>
      </c>
      <c r="G8768" t="s">
        <v>16231</v>
      </c>
      <c r="H8768" t="s">
        <v>47054</v>
      </c>
      <c r="I8768" t="s">
        <v>47111</v>
      </c>
      <c r="J8768" t="s">
        <v>47112</v>
      </c>
      <c r="K8768" t="s">
        <v>47113</v>
      </c>
      <c r="L8768">
        <v>73.81</v>
      </c>
      <c r="M8768">
        <v>92</v>
      </c>
      <c r="N8768">
        <v>0</v>
      </c>
      <c r="O8768">
        <v>92</v>
      </c>
      <c r="P8768">
        <v>0</v>
      </c>
    </row>
    <row r="8769" spans="1:16" x14ac:dyDescent="0.25">
      <c r="A8769" t="s">
        <v>31380</v>
      </c>
      <c r="B8769" t="s">
        <v>31381</v>
      </c>
      <c r="C8769" t="s">
        <v>20310</v>
      </c>
      <c r="D8769" t="s">
        <v>20497</v>
      </c>
      <c r="E8769" t="s">
        <v>20498</v>
      </c>
      <c r="F8769" t="s">
        <v>19878</v>
      </c>
      <c r="G8769" t="s">
        <v>16231</v>
      </c>
      <c r="H8769" t="s">
        <v>47054</v>
      </c>
      <c r="I8769" t="s">
        <v>47111</v>
      </c>
      <c r="J8769" t="s">
        <v>47112</v>
      </c>
      <c r="K8769" t="s">
        <v>47113</v>
      </c>
      <c r="L8769">
        <v>53.71</v>
      </c>
      <c r="M8769">
        <v>92</v>
      </c>
      <c r="N8769">
        <v>0</v>
      </c>
      <c r="O8769">
        <v>92</v>
      </c>
      <c r="P8769">
        <v>0</v>
      </c>
    </row>
    <row r="8770" spans="1:16" x14ac:dyDescent="0.25">
      <c r="A8770" t="s">
        <v>31382</v>
      </c>
      <c r="B8770" t="s">
        <v>20325</v>
      </c>
      <c r="C8770" t="s">
        <v>20326</v>
      </c>
      <c r="D8770" t="str">
        <f>"1001"</f>
        <v>1001</v>
      </c>
      <c r="E8770" t="s">
        <v>20327</v>
      </c>
      <c r="F8770" t="s">
        <v>16933</v>
      </c>
      <c r="G8770" t="s">
        <v>16233</v>
      </c>
      <c r="H8770" t="s">
        <v>47054</v>
      </c>
      <c r="I8770" t="s">
        <v>47136</v>
      </c>
      <c r="J8770" t="s">
        <v>47137</v>
      </c>
      <c r="K8770" t="s">
        <v>47113</v>
      </c>
      <c r="L8770">
        <v>29.2</v>
      </c>
      <c r="M8770">
        <v>55</v>
      </c>
      <c r="N8770">
        <v>0</v>
      </c>
      <c r="O8770">
        <v>55</v>
      </c>
      <c r="P8770">
        <v>0</v>
      </c>
    </row>
    <row r="8771" spans="1:16" x14ac:dyDescent="0.25">
      <c r="A8771" t="s">
        <v>31383</v>
      </c>
      <c r="B8771" t="s">
        <v>20325</v>
      </c>
      <c r="C8771" t="s">
        <v>20326</v>
      </c>
      <c r="D8771" t="str">
        <f>"4100"</f>
        <v>4100</v>
      </c>
      <c r="E8771" t="s">
        <v>20328</v>
      </c>
      <c r="F8771" t="s">
        <v>16933</v>
      </c>
      <c r="G8771" t="s">
        <v>16233</v>
      </c>
      <c r="H8771" t="s">
        <v>47054</v>
      </c>
      <c r="I8771" t="s">
        <v>47136</v>
      </c>
      <c r="J8771" t="s">
        <v>47137</v>
      </c>
      <c r="K8771" t="s">
        <v>47113</v>
      </c>
      <c r="L8771">
        <v>29.2</v>
      </c>
      <c r="M8771">
        <v>66</v>
      </c>
      <c r="N8771">
        <v>0</v>
      </c>
      <c r="O8771">
        <v>66</v>
      </c>
      <c r="P8771">
        <v>0</v>
      </c>
    </row>
    <row r="8772" spans="1:16" x14ac:dyDescent="0.25">
      <c r="A8772" t="s">
        <v>31384</v>
      </c>
      <c r="B8772" t="s">
        <v>31385</v>
      </c>
      <c r="C8772" t="s">
        <v>20326</v>
      </c>
      <c r="D8772" t="str">
        <f>"1001"</f>
        <v>1001</v>
      </c>
      <c r="E8772" t="s">
        <v>31386</v>
      </c>
      <c r="F8772" t="s">
        <v>24617</v>
      </c>
      <c r="G8772" t="s">
        <v>16233</v>
      </c>
      <c r="H8772" t="s">
        <v>47054</v>
      </c>
      <c r="I8772" t="s">
        <v>47120</v>
      </c>
      <c r="J8772" t="s">
        <v>47121</v>
      </c>
      <c r="K8772" t="s">
        <v>47113</v>
      </c>
      <c r="L8772">
        <v>34.049999999999997</v>
      </c>
      <c r="M8772">
        <v>74</v>
      </c>
      <c r="N8772">
        <v>199</v>
      </c>
      <c r="O8772">
        <v>74</v>
      </c>
      <c r="P8772">
        <v>199</v>
      </c>
    </row>
    <row r="8773" spans="1:16" x14ac:dyDescent="0.25">
      <c r="A8773" t="s">
        <v>31387</v>
      </c>
      <c r="B8773" t="s">
        <v>31385</v>
      </c>
      <c r="C8773" t="s">
        <v>20326</v>
      </c>
      <c r="D8773" t="str">
        <f>"1307"</f>
        <v>1307</v>
      </c>
      <c r="E8773" t="s">
        <v>31388</v>
      </c>
      <c r="F8773" t="s">
        <v>24617</v>
      </c>
      <c r="G8773" t="s">
        <v>16233</v>
      </c>
      <c r="H8773" t="s">
        <v>47054</v>
      </c>
      <c r="I8773" t="s">
        <v>47120</v>
      </c>
      <c r="J8773" t="s">
        <v>47121</v>
      </c>
      <c r="K8773" t="s">
        <v>47113</v>
      </c>
      <c r="L8773">
        <v>34.049999999999997</v>
      </c>
      <c r="M8773">
        <v>74</v>
      </c>
      <c r="N8773">
        <v>199</v>
      </c>
      <c r="O8773">
        <v>74</v>
      </c>
      <c r="P8773">
        <v>199</v>
      </c>
    </row>
    <row r="8774" spans="1:16" x14ac:dyDescent="0.25">
      <c r="A8774" t="s">
        <v>31389</v>
      </c>
      <c r="B8774" t="s">
        <v>31385</v>
      </c>
      <c r="C8774" t="s">
        <v>20326</v>
      </c>
      <c r="D8774" t="str">
        <f>"3196"</f>
        <v>3196</v>
      </c>
      <c r="E8774" t="s">
        <v>31390</v>
      </c>
      <c r="F8774" t="s">
        <v>24617</v>
      </c>
      <c r="G8774" t="s">
        <v>16233</v>
      </c>
      <c r="H8774" t="s">
        <v>47054</v>
      </c>
      <c r="I8774" t="s">
        <v>47120</v>
      </c>
      <c r="J8774" t="s">
        <v>47121</v>
      </c>
      <c r="K8774" t="s">
        <v>47113</v>
      </c>
      <c r="L8774">
        <v>34.049999999999997</v>
      </c>
      <c r="M8774">
        <v>74</v>
      </c>
      <c r="N8774">
        <v>199</v>
      </c>
      <c r="O8774">
        <v>74</v>
      </c>
      <c r="P8774">
        <v>199</v>
      </c>
    </row>
    <row r="8775" spans="1:16" x14ac:dyDescent="0.25">
      <c r="A8775" t="s">
        <v>31391</v>
      </c>
      <c r="B8775" t="s">
        <v>31385</v>
      </c>
      <c r="C8775" t="s">
        <v>20326</v>
      </c>
      <c r="D8775" t="str">
        <f>"6000"</f>
        <v>6000</v>
      </c>
      <c r="E8775" t="s">
        <v>31392</v>
      </c>
      <c r="F8775" t="s">
        <v>24617</v>
      </c>
      <c r="G8775" t="s">
        <v>16233</v>
      </c>
      <c r="H8775" t="s">
        <v>47054</v>
      </c>
      <c r="I8775" t="s">
        <v>47120</v>
      </c>
      <c r="J8775" t="s">
        <v>47121</v>
      </c>
      <c r="K8775" t="s">
        <v>47113</v>
      </c>
      <c r="L8775">
        <v>34.049999999999997</v>
      </c>
      <c r="M8775">
        <v>74</v>
      </c>
      <c r="N8775">
        <v>199</v>
      </c>
      <c r="O8775">
        <v>74</v>
      </c>
      <c r="P8775">
        <v>199</v>
      </c>
    </row>
    <row r="8776" spans="1:16" x14ac:dyDescent="0.25">
      <c r="A8776" t="s">
        <v>31393</v>
      </c>
      <c r="B8776" t="s">
        <v>20329</v>
      </c>
      <c r="C8776" t="s">
        <v>20330</v>
      </c>
      <c r="D8776" t="str">
        <f>"1451"</f>
        <v>1451</v>
      </c>
      <c r="E8776" t="s">
        <v>20331</v>
      </c>
      <c r="F8776" t="s">
        <v>19552</v>
      </c>
      <c r="G8776" t="s">
        <v>16234</v>
      </c>
      <c r="H8776" t="s">
        <v>47054</v>
      </c>
      <c r="I8776" t="s">
        <v>47136</v>
      </c>
      <c r="J8776" t="s">
        <v>47137</v>
      </c>
      <c r="K8776" t="s">
        <v>47113</v>
      </c>
      <c r="L8776">
        <v>33.97</v>
      </c>
      <c r="M8776">
        <v>66</v>
      </c>
      <c r="N8776">
        <v>0</v>
      </c>
      <c r="O8776">
        <v>66</v>
      </c>
      <c r="P8776">
        <v>0</v>
      </c>
    </row>
    <row r="8777" spans="1:16" x14ac:dyDescent="0.25">
      <c r="A8777" t="s">
        <v>31394</v>
      </c>
      <c r="B8777" t="s">
        <v>20329</v>
      </c>
      <c r="C8777" t="s">
        <v>20330</v>
      </c>
      <c r="D8777" t="str">
        <f>"3071"</f>
        <v>3071</v>
      </c>
      <c r="E8777" t="s">
        <v>20332</v>
      </c>
      <c r="F8777" t="s">
        <v>19552</v>
      </c>
      <c r="G8777" t="s">
        <v>16234</v>
      </c>
      <c r="H8777" t="s">
        <v>47054</v>
      </c>
      <c r="I8777" t="s">
        <v>47136</v>
      </c>
      <c r="J8777" t="s">
        <v>47137</v>
      </c>
      <c r="K8777" t="s">
        <v>47113</v>
      </c>
      <c r="L8777">
        <v>33.97</v>
      </c>
      <c r="M8777">
        <v>66</v>
      </c>
      <c r="N8777">
        <v>0</v>
      </c>
      <c r="O8777">
        <v>66</v>
      </c>
      <c r="P8777">
        <v>0</v>
      </c>
    </row>
    <row r="8778" spans="1:16" x14ac:dyDescent="0.25">
      <c r="A8778" t="s">
        <v>31395</v>
      </c>
      <c r="B8778" t="s">
        <v>20333</v>
      </c>
      <c r="C8778" t="s">
        <v>20180</v>
      </c>
      <c r="D8778" t="str">
        <f>"4143"</f>
        <v>4143</v>
      </c>
      <c r="E8778" t="s">
        <v>261</v>
      </c>
      <c r="F8778" t="s">
        <v>19878</v>
      </c>
      <c r="G8778" t="s">
        <v>16232</v>
      </c>
      <c r="H8778" t="s">
        <v>47054</v>
      </c>
      <c r="I8778" t="s">
        <v>47120</v>
      </c>
      <c r="J8778" t="s">
        <v>47121</v>
      </c>
      <c r="K8778" t="s">
        <v>47113</v>
      </c>
      <c r="L8778">
        <v>27.94</v>
      </c>
      <c r="M8778">
        <v>55</v>
      </c>
      <c r="N8778">
        <v>0</v>
      </c>
      <c r="O8778">
        <v>55</v>
      </c>
      <c r="P8778">
        <v>0</v>
      </c>
    </row>
    <row r="8779" spans="1:16" x14ac:dyDescent="0.25">
      <c r="A8779" t="s">
        <v>31396</v>
      </c>
      <c r="B8779" t="s">
        <v>20334</v>
      </c>
      <c r="C8779" t="s">
        <v>16469</v>
      </c>
      <c r="D8779" t="s">
        <v>20335</v>
      </c>
      <c r="E8779" t="s">
        <v>20336</v>
      </c>
      <c r="F8779" t="s">
        <v>16746</v>
      </c>
      <c r="G8779" t="s">
        <v>16231</v>
      </c>
      <c r="H8779" t="s">
        <v>47054</v>
      </c>
      <c r="I8779" t="s">
        <v>47111</v>
      </c>
      <c r="J8779" t="s">
        <v>47112</v>
      </c>
      <c r="K8779" t="s">
        <v>47113</v>
      </c>
      <c r="L8779">
        <v>58.94</v>
      </c>
      <c r="M8779">
        <v>129</v>
      </c>
      <c r="N8779">
        <v>0</v>
      </c>
      <c r="O8779">
        <v>129</v>
      </c>
      <c r="P8779">
        <v>0</v>
      </c>
    </row>
    <row r="8780" spans="1:16" x14ac:dyDescent="0.25">
      <c r="A8780" t="s">
        <v>31397</v>
      </c>
      <c r="B8780" t="s">
        <v>20337</v>
      </c>
      <c r="C8780" t="s">
        <v>16848</v>
      </c>
      <c r="D8780" t="s">
        <v>20338</v>
      </c>
      <c r="E8780" t="s">
        <v>20339</v>
      </c>
      <c r="F8780" t="s">
        <v>16746</v>
      </c>
      <c r="G8780" t="s">
        <v>16231</v>
      </c>
      <c r="H8780" t="s">
        <v>47054</v>
      </c>
      <c r="I8780" t="s">
        <v>47111</v>
      </c>
      <c r="J8780" t="s">
        <v>47112</v>
      </c>
      <c r="K8780" t="s">
        <v>47113</v>
      </c>
      <c r="L8780">
        <v>61.3</v>
      </c>
      <c r="M8780">
        <v>129</v>
      </c>
      <c r="N8780">
        <v>0</v>
      </c>
      <c r="O8780">
        <v>129</v>
      </c>
      <c r="P8780">
        <v>0</v>
      </c>
    </row>
    <row r="8781" spans="1:16" x14ac:dyDescent="0.25">
      <c r="A8781" t="s">
        <v>22770</v>
      </c>
      <c r="B8781" t="s">
        <v>20340</v>
      </c>
      <c r="C8781" t="s">
        <v>16848</v>
      </c>
      <c r="D8781" t="s">
        <v>20341</v>
      </c>
      <c r="E8781" t="s">
        <v>20342</v>
      </c>
      <c r="F8781" t="s">
        <v>19552</v>
      </c>
      <c r="G8781" t="s">
        <v>16231</v>
      </c>
      <c r="H8781" t="s">
        <v>47054</v>
      </c>
      <c r="I8781" t="s">
        <v>47116</v>
      </c>
      <c r="J8781" t="s">
        <v>47117</v>
      </c>
      <c r="K8781" t="s">
        <v>47113</v>
      </c>
      <c r="L8781">
        <v>44.55</v>
      </c>
      <c r="M8781">
        <v>111</v>
      </c>
      <c r="N8781">
        <v>0</v>
      </c>
      <c r="O8781">
        <v>111</v>
      </c>
      <c r="P8781">
        <v>0</v>
      </c>
    </row>
    <row r="8782" spans="1:16" x14ac:dyDescent="0.25">
      <c r="A8782" t="s">
        <v>22771</v>
      </c>
      <c r="B8782" t="s">
        <v>20343</v>
      </c>
      <c r="C8782" t="s">
        <v>16848</v>
      </c>
      <c r="D8782" t="s">
        <v>20344</v>
      </c>
      <c r="E8782" t="s">
        <v>20345</v>
      </c>
      <c r="F8782" t="s">
        <v>19552</v>
      </c>
      <c r="G8782" t="s">
        <v>16231</v>
      </c>
      <c r="H8782" t="s">
        <v>47054</v>
      </c>
      <c r="I8782" t="s">
        <v>47111</v>
      </c>
      <c r="J8782" t="s">
        <v>47112</v>
      </c>
      <c r="K8782" t="s">
        <v>47113</v>
      </c>
      <c r="L8782">
        <v>65.03</v>
      </c>
      <c r="M8782">
        <v>129</v>
      </c>
      <c r="N8782">
        <v>0</v>
      </c>
      <c r="O8782">
        <v>129</v>
      </c>
      <c r="P8782">
        <v>0</v>
      </c>
    </row>
    <row r="8783" spans="1:16" x14ac:dyDescent="0.25">
      <c r="A8783" t="s">
        <v>31398</v>
      </c>
      <c r="B8783" t="s">
        <v>31399</v>
      </c>
      <c r="C8783" t="s">
        <v>31400</v>
      </c>
      <c r="D8783" t="s">
        <v>20111</v>
      </c>
      <c r="E8783" t="s">
        <v>20112</v>
      </c>
      <c r="F8783" t="s">
        <v>19878</v>
      </c>
      <c r="G8783" t="s">
        <v>16231</v>
      </c>
      <c r="H8783" t="s">
        <v>47054</v>
      </c>
      <c r="I8783" t="s">
        <v>47544</v>
      </c>
      <c r="J8783" t="s">
        <v>47545</v>
      </c>
      <c r="K8783" t="s">
        <v>47113</v>
      </c>
      <c r="L8783">
        <v>28.23</v>
      </c>
      <c r="M8783">
        <v>92</v>
      </c>
      <c r="N8783">
        <v>0</v>
      </c>
      <c r="O8783">
        <v>92</v>
      </c>
      <c r="P8783">
        <v>0</v>
      </c>
    </row>
    <row r="8784" spans="1:16" x14ac:dyDescent="0.25">
      <c r="A8784" t="s">
        <v>31401</v>
      </c>
      <c r="B8784" t="s">
        <v>31402</v>
      </c>
      <c r="C8784" t="s">
        <v>31400</v>
      </c>
      <c r="D8784" t="s">
        <v>19562</v>
      </c>
      <c r="E8784" t="s">
        <v>19563</v>
      </c>
      <c r="F8784" t="s">
        <v>19878</v>
      </c>
      <c r="G8784" t="s">
        <v>16231</v>
      </c>
      <c r="H8784" t="s">
        <v>47054</v>
      </c>
      <c r="I8784" t="s">
        <v>47544</v>
      </c>
      <c r="J8784" t="s">
        <v>47545</v>
      </c>
      <c r="K8784" t="s">
        <v>47113</v>
      </c>
      <c r="L8784">
        <v>31.94</v>
      </c>
      <c r="M8784">
        <v>92</v>
      </c>
      <c r="N8784">
        <v>0</v>
      </c>
      <c r="O8784">
        <v>92</v>
      </c>
      <c r="P8784">
        <v>0</v>
      </c>
    </row>
    <row r="8785" spans="1:16" x14ac:dyDescent="0.25">
      <c r="A8785" t="s">
        <v>31403</v>
      </c>
      <c r="B8785" t="s">
        <v>31404</v>
      </c>
      <c r="C8785" t="s">
        <v>31400</v>
      </c>
      <c r="D8785" t="s">
        <v>29786</v>
      </c>
      <c r="E8785" t="s">
        <v>29787</v>
      </c>
      <c r="F8785" t="s">
        <v>24622</v>
      </c>
      <c r="G8785" t="s">
        <v>16231</v>
      </c>
      <c r="H8785" t="s">
        <v>47054</v>
      </c>
      <c r="I8785" t="s">
        <v>47116</v>
      </c>
      <c r="J8785" t="s">
        <v>47117</v>
      </c>
      <c r="K8785" t="s">
        <v>47113</v>
      </c>
      <c r="L8785">
        <v>53.17</v>
      </c>
      <c r="M8785">
        <v>111</v>
      </c>
      <c r="N8785">
        <v>299</v>
      </c>
      <c r="O8785">
        <v>111</v>
      </c>
      <c r="P8785">
        <v>299</v>
      </c>
    </row>
    <row r="8786" spans="1:16" x14ac:dyDescent="0.25">
      <c r="A8786" t="s">
        <v>31405</v>
      </c>
      <c r="B8786" t="s">
        <v>31406</v>
      </c>
      <c r="C8786" t="s">
        <v>31400</v>
      </c>
      <c r="D8786" t="s">
        <v>31407</v>
      </c>
      <c r="E8786" t="s">
        <v>31408</v>
      </c>
      <c r="F8786" t="s">
        <v>24627</v>
      </c>
      <c r="G8786" t="s">
        <v>16231</v>
      </c>
      <c r="H8786" t="s">
        <v>47054</v>
      </c>
      <c r="I8786" t="s">
        <v>47544</v>
      </c>
      <c r="J8786" t="s">
        <v>47545</v>
      </c>
      <c r="K8786" t="s">
        <v>47113</v>
      </c>
      <c r="L8786">
        <v>30.01</v>
      </c>
      <c r="M8786">
        <v>92</v>
      </c>
      <c r="N8786">
        <v>249</v>
      </c>
      <c r="O8786">
        <v>92</v>
      </c>
      <c r="P8786">
        <v>249</v>
      </c>
    </row>
    <row r="8787" spans="1:16" x14ac:dyDescent="0.25">
      <c r="A8787" t="s">
        <v>31409</v>
      </c>
      <c r="B8787" t="s">
        <v>31410</v>
      </c>
      <c r="C8787" t="s">
        <v>31400</v>
      </c>
      <c r="D8787" t="str">
        <f>"1001"</f>
        <v>1001</v>
      </c>
      <c r="E8787" t="s">
        <v>31411</v>
      </c>
      <c r="F8787" t="s">
        <v>24622</v>
      </c>
      <c r="G8787" t="s">
        <v>16234</v>
      </c>
      <c r="H8787" t="s">
        <v>47054</v>
      </c>
      <c r="I8787" t="s">
        <v>47120</v>
      </c>
      <c r="J8787" t="s">
        <v>47121</v>
      </c>
      <c r="K8787" t="s">
        <v>47113</v>
      </c>
      <c r="L8787">
        <v>28.07</v>
      </c>
      <c r="M8787">
        <v>74</v>
      </c>
      <c r="N8787">
        <v>199</v>
      </c>
      <c r="O8787">
        <v>74</v>
      </c>
      <c r="P8787">
        <v>199</v>
      </c>
    </row>
    <row r="8788" spans="1:16" x14ac:dyDescent="0.25">
      <c r="A8788" t="s">
        <v>31412</v>
      </c>
      <c r="B8788" t="s">
        <v>31410</v>
      </c>
      <c r="C8788" t="s">
        <v>31400</v>
      </c>
      <c r="D8788" t="str">
        <f>"1700"</f>
        <v>1700</v>
      </c>
      <c r="E8788" t="s">
        <v>31413</v>
      </c>
      <c r="F8788" t="s">
        <v>24622</v>
      </c>
      <c r="G8788" t="s">
        <v>16234</v>
      </c>
      <c r="H8788" t="s">
        <v>47054</v>
      </c>
      <c r="I8788" t="s">
        <v>47120</v>
      </c>
      <c r="J8788" t="s">
        <v>47121</v>
      </c>
      <c r="K8788" t="s">
        <v>47113</v>
      </c>
      <c r="L8788">
        <v>32.54</v>
      </c>
      <c r="M8788">
        <v>74</v>
      </c>
      <c r="N8788">
        <v>199</v>
      </c>
      <c r="O8788">
        <v>74</v>
      </c>
      <c r="P8788">
        <v>199</v>
      </c>
    </row>
    <row r="8789" spans="1:16" x14ac:dyDescent="0.25">
      <c r="A8789" t="s">
        <v>31414</v>
      </c>
      <c r="B8789" t="s">
        <v>31410</v>
      </c>
      <c r="C8789" t="s">
        <v>31400</v>
      </c>
      <c r="D8789" t="str">
        <f>"3196"</f>
        <v>3196</v>
      </c>
      <c r="E8789" t="s">
        <v>31415</v>
      </c>
      <c r="F8789" t="s">
        <v>24622</v>
      </c>
      <c r="G8789" t="s">
        <v>16234</v>
      </c>
      <c r="H8789" t="s">
        <v>47054</v>
      </c>
      <c r="I8789" t="s">
        <v>47120</v>
      </c>
      <c r="J8789" t="s">
        <v>47121</v>
      </c>
      <c r="K8789" t="s">
        <v>47113</v>
      </c>
      <c r="L8789">
        <v>28.07</v>
      </c>
      <c r="M8789">
        <v>74</v>
      </c>
      <c r="N8789">
        <v>199</v>
      </c>
      <c r="O8789">
        <v>74</v>
      </c>
      <c r="P8789">
        <v>199</v>
      </c>
    </row>
    <row r="8790" spans="1:16" x14ac:dyDescent="0.25">
      <c r="A8790" t="s">
        <v>31416</v>
      </c>
      <c r="B8790" t="s">
        <v>31410</v>
      </c>
      <c r="C8790" t="s">
        <v>31400</v>
      </c>
      <c r="D8790" t="str">
        <f>"6000"</f>
        <v>6000</v>
      </c>
      <c r="E8790" t="s">
        <v>31417</v>
      </c>
      <c r="F8790" t="s">
        <v>24622</v>
      </c>
      <c r="G8790" t="s">
        <v>16234</v>
      </c>
      <c r="H8790" t="s">
        <v>47054</v>
      </c>
      <c r="I8790" t="s">
        <v>47120</v>
      </c>
      <c r="J8790" t="s">
        <v>47121</v>
      </c>
      <c r="K8790" t="s">
        <v>47113</v>
      </c>
      <c r="L8790">
        <v>32.54</v>
      </c>
      <c r="M8790">
        <v>74</v>
      </c>
      <c r="N8790">
        <v>199</v>
      </c>
      <c r="O8790">
        <v>74</v>
      </c>
      <c r="P8790">
        <v>199</v>
      </c>
    </row>
    <row r="8791" spans="1:16" x14ac:dyDescent="0.25">
      <c r="A8791" t="s">
        <v>31418</v>
      </c>
      <c r="B8791" t="s">
        <v>31419</v>
      </c>
      <c r="C8791" t="s">
        <v>31420</v>
      </c>
      <c r="D8791" t="s">
        <v>31421</v>
      </c>
      <c r="E8791" t="s">
        <v>31422</v>
      </c>
      <c r="F8791" t="s">
        <v>21627</v>
      </c>
      <c r="G8791" t="s">
        <v>16230</v>
      </c>
      <c r="H8791" t="s">
        <v>47054</v>
      </c>
      <c r="I8791" t="s">
        <v>47116</v>
      </c>
      <c r="J8791" t="s">
        <v>47117</v>
      </c>
      <c r="K8791" t="s">
        <v>47113</v>
      </c>
      <c r="L8791">
        <v>48.14</v>
      </c>
      <c r="M8791">
        <v>103</v>
      </c>
      <c r="N8791">
        <v>0</v>
      </c>
      <c r="O8791">
        <v>103</v>
      </c>
      <c r="P8791">
        <v>0</v>
      </c>
    </row>
    <row r="8792" spans="1:16" x14ac:dyDescent="0.25">
      <c r="A8792" t="s">
        <v>31423</v>
      </c>
      <c r="B8792" t="s">
        <v>31424</v>
      </c>
      <c r="C8792" t="s">
        <v>31425</v>
      </c>
      <c r="D8792" t="str">
        <f>"1106"</f>
        <v>1106</v>
      </c>
      <c r="E8792" t="s">
        <v>42</v>
      </c>
      <c r="F8792" t="s">
        <v>16771</v>
      </c>
      <c r="G8792" t="s">
        <v>16221</v>
      </c>
      <c r="H8792" t="s">
        <v>47054</v>
      </c>
      <c r="I8792" t="s">
        <v>47120</v>
      </c>
      <c r="J8792" t="s">
        <v>47121</v>
      </c>
      <c r="K8792" t="s">
        <v>47113</v>
      </c>
      <c r="L8792">
        <v>7.17</v>
      </c>
      <c r="M8792">
        <v>37</v>
      </c>
      <c r="N8792">
        <v>99</v>
      </c>
      <c r="O8792">
        <v>37</v>
      </c>
      <c r="P8792">
        <v>99</v>
      </c>
    </row>
    <row r="8793" spans="1:16" x14ac:dyDescent="0.25">
      <c r="A8793" t="s">
        <v>31426</v>
      </c>
      <c r="B8793" t="s">
        <v>31424</v>
      </c>
      <c r="C8793" t="s">
        <v>31425</v>
      </c>
      <c r="D8793" t="str">
        <f>"1800"</f>
        <v>1800</v>
      </c>
      <c r="E8793" t="s">
        <v>1999</v>
      </c>
      <c r="F8793" t="s">
        <v>16771</v>
      </c>
      <c r="G8793" t="s">
        <v>16221</v>
      </c>
      <c r="H8793" t="s">
        <v>47054</v>
      </c>
      <c r="I8793" t="s">
        <v>47120</v>
      </c>
      <c r="J8793" t="s">
        <v>47121</v>
      </c>
      <c r="K8793" t="s">
        <v>47113</v>
      </c>
      <c r="L8793">
        <v>7.17</v>
      </c>
      <c r="M8793">
        <v>37</v>
      </c>
      <c r="N8793">
        <v>99</v>
      </c>
      <c r="O8793">
        <v>37</v>
      </c>
      <c r="P8793">
        <v>99</v>
      </c>
    </row>
    <row r="8794" spans="1:16" x14ac:dyDescent="0.25">
      <c r="A8794" t="s">
        <v>31427</v>
      </c>
      <c r="B8794" t="s">
        <v>31428</v>
      </c>
      <c r="C8794" t="s">
        <v>31425</v>
      </c>
      <c r="D8794" t="str">
        <f>"1106"</f>
        <v>1106</v>
      </c>
      <c r="E8794" t="s">
        <v>42</v>
      </c>
      <c r="F8794" t="s">
        <v>19878</v>
      </c>
      <c r="G8794" t="s">
        <v>16221</v>
      </c>
      <c r="H8794" t="s">
        <v>47054</v>
      </c>
      <c r="I8794" t="s">
        <v>47154</v>
      </c>
      <c r="J8794" t="s">
        <v>47155</v>
      </c>
      <c r="K8794" t="s">
        <v>47113</v>
      </c>
      <c r="L8794">
        <v>7.39</v>
      </c>
      <c r="M8794">
        <v>37</v>
      </c>
      <c r="N8794">
        <v>0</v>
      </c>
      <c r="O8794">
        <v>37</v>
      </c>
      <c r="P8794">
        <v>0</v>
      </c>
    </row>
    <row r="8795" spans="1:16" x14ac:dyDescent="0.25">
      <c r="A8795" t="s">
        <v>31429</v>
      </c>
      <c r="B8795" t="s">
        <v>31428</v>
      </c>
      <c r="C8795" t="s">
        <v>31425</v>
      </c>
      <c r="D8795" t="str">
        <f>"1800"</f>
        <v>1800</v>
      </c>
      <c r="E8795" t="s">
        <v>1999</v>
      </c>
      <c r="F8795" t="s">
        <v>19878</v>
      </c>
      <c r="G8795" t="s">
        <v>16221</v>
      </c>
      <c r="H8795" t="s">
        <v>47054</v>
      </c>
      <c r="I8795" t="s">
        <v>47154</v>
      </c>
      <c r="J8795" t="s">
        <v>47155</v>
      </c>
      <c r="K8795" t="s">
        <v>47113</v>
      </c>
      <c r="L8795">
        <v>7.17</v>
      </c>
      <c r="M8795">
        <v>37</v>
      </c>
      <c r="N8795">
        <v>0</v>
      </c>
      <c r="O8795">
        <v>37</v>
      </c>
      <c r="P8795">
        <v>0</v>
      </c>
    </row>
    <row r="8796" spans="1:16" x14ac:dyDescent="0.25">
      <c r="A8796" t="s">
        <v>47596</v>
      </c>
      <c r="B8796" t="s">
        <v>31428</v>
      </c>
      <c r="C8796" t="s">
        <v>31425</v>
      </c>
      <c r="D8796" t="str">
        <f>"4100"</f>
        <v>4100</v>
      </c>
      <c r="E8796" t="s">
        <v>2383</v>
      </c>
      <c r="F8796" t="s">
        <v>19878</v>
      </c>
      <c r="G8796" t="s">
        <v>16221</v>
      </c>
      <c r="H8796" t="s">
        <v>47054</v>
      </c>
      <c r="I8796" t="s">
        <v>47154</v>
      </c>
      <c r="J8796" t="s">
        <v>47155</v>
      </c>
      <c r="K8796" t="s">
        <v>47113</v>
      </c>
      <c r="L8796">
        <v>7.07</v>
      </c>
      <c r="M8796">
        <v>22</v>
      </c>
      <c r="N8796">
        <v>59</v>
      </c>
      <c r="O8796">
        <v>22</v>
      </c>
      <c r="P8796">
        <v>59</v>
      </c>
    </row>
    <row r="8797" spans="1:16" x14ac:dyDescent="0.25">
      <c r="A8797" t="s">
        <v>47597</v>
      </c>
      <c r="B8797" t="s">
        <v>31428</v>
      </c>
      <c r="C8797" t="s">
        <v>31425</v>
      </c>
      <c r="D8797" t="str">
        <f>"6000"</f>
        <v>6000</v>
      </c>
      <c r="E8797" t="s">
        <v>6279</v>
      </c>
      <c r="F8797" t="s">
        <v>19878</v>
      </c>
      <c r="G8797" t="s">
        <v>16221</v>
      </c>
      <c r="H8797" t="s">
        <v>47054</v>
      </c>
      <c r="I8797" t="s">
        <v>47154</v>
      </c>
      <c r="J8797" t="s">
        <v>47155</v>
      </c>
      <c r="K8797" t="s">
        <v>47113</v>
      </c>
      <c r="L8797">
        <v>7.72</v>
      </c>
      <c r="M8797">
        <v>37</v>
      </c>
      <c r="N8797">
        <v>99</v>
      </c>
      <c r="O8797">
        <v>37</v>
      </c>
      <c r="P8797">
        <v>99</v>
      </c>
    </row>
    <row r="8798" spans="1:16" x14ac:dyDescent="0.25">
      <c r="A8798" t="s">
        <v>31430</v>
      </c>
      <c r="B8798" t="s">
        <v>20346</v>
      </c>
      <c r="C8798" t="s">
        <v>20347</v>
      </c>
      <c r="D8798" t="str">
        <f>"1700"</f>
        <v>1700</v>
      </c>
      <c r="E8798" t="s">
        <v>60</v>
      </c>
      <c r="F8798" t="s">
        <v>16810</v>
      </c>
      <c r="G8798" t="s">
        <v>16221</v>
      </c>
      <c r="H8798" t="s">
        <v>47054</v>
      </c>
      <c r="I8798" t="s">
        <v>47120</v>
      </c>
      <c r="J8798" t="s">
        <v>47121</v>
      </c>
      <c r="K8798" t="s">
        <v>47113</v>
      </c>
      <c r="L8798">
        <v>4.8499999999999996</v>
      </c>
      <c r="M8798">
        <v>43</v>
      </c>
      <c r="N8798">
        <v>0</v>
      </c>
      <c r="O8798">
        <v>43</v>
      </c>
      <c r="P8798">
        <v>0</v>
      </c>
    </row>
    <row r="8799" spans="1:16" x14ac:dyDescent="0.25">
      <c r="A8799" t="s">
        <v>31431</v>
      </c>
      <c r="B8799" t="s">
        <v>20348</v>
      </c>
      <c r="C8799" t="s">
        <v>20349</v>
      </c>
      <c r="D8799" t="s">
        <v>19698</v>
      </c>
      <c r="E8799" t="s">
        <v>19699</v>
      </c>
      <c r="F8799" t="s">
        <v>16730</v>
      </c>
      <c r="G8799" t="s">
        <v>16231</v>
      </c>
      <c r="H8799" t="s">
        <v>47054</v>
      </c>
      <c r="I8799" t="s">
        <v>47544</v>
      </c>
      <c r="J8799" t="s">
        <v>47545</v>
      </c>
      <c r="K8799" t="s">
        <v>47113</v>
      </c>
      <c r="L8799">
        <v>32.69</v>
      </c>
      <c r="M8799">
        <v>92</v>
      </c>
      <c r="N8799">
        <v>0</v>
      </c>
      <c r="O8799">
        <v>92</v>
      </c>
      <c r="P8799">
        <v>0</v>
      </c>
    </row>
    <row r="8800" spans="1:16" x14ac:dyDescent="0.25">
      <c r="A8800" t="s">
        <v>31432</v>
      </c>
      <c r="B8800" t="s">
        <v>20348</v>
      </c>
      <c r="C8800" t="s">
        <v>20349</v>
      </c>
      <c r="D8800" t="s">
        <v>20350</v>
      </c>
      <c r="E8800" t="s">
        <v>20351</v>
      </c>
      <c r="F8800" t="s">
        <v>16730</v>
      </c>
      <c r="G8800" t="s">
        <v>16231</v>
      </c>
      <c r="H8800" t="s">
        <v>47054</v>
      </c>
      <c r="I8800" t="s">
        <v>47544</v>
      </c>
      <c r="J8800" t="s">
        <v>47545</v>
      </c>
      <c r="K8800" t="s">
        <v>47113</v>
      </c>
      <c r="L8800">
        <v>32.69</v>
      </c>
      <c r="M8800">
        <v>66</v>
      </c>
      <c r="N8800">
        <v>0</v>
      </c>
      <c r="O8800">
        <v>66</v>
      </c>
      <c r="P8800">
        <v>0</v>
      </c>
    </row>
    <row r="8801" spans="1:16" x14ac:dyDescent="0.25">
      <c r="A8801" t="s">
        <v>31433</v>
      </c>
      <c r="B8801" t="s">
        <v>31434</v>
      </c>
      <c r="C8801" t="s">
        <v>31435</v>
      </c>
      <c r="D8801" t="s">
        <v>31436</v>
      </c>
      <c r="E8801" t="s">
        <v>31437</v>
      </c>
      <c r="F8801" t="s">
        <v>19878</v>
      </c>
      <c r="G8801" t="s">
        <v>16231</v>
      </c>
      <c r="H8801" t="s">
        <v>47054</v>
      </c>
      <c r="I8801" t="s">
        <v>47111</v>
      </c>
      <c r="J8801" t="s">
        <v>47112</v>
      </c>
      <c r="K8801" t="s">
        <v>47113</v>
      </c>
      <c r="L8801">
        <v>74.13</v>
      </c>
      <c r="M8801">
        <v>129</v>
      </c>
      <c r="N8801">
        <v>0</v>
      </c>
      <c r="O8801">
        <v>129</v>
      </c>
      <c r="P8801">
        <v>0</v>
      </c>
    </row>
    <row r="8802" spans="1:16" x14ac:dyDescent="0.25">
      <c r="A8802" t="s">
        <v>31438</v>
      </c>
      <c r="B8802" t="s">
        <v>31434</v>
      </c>
      <c r="C8802" t="s">
        <v>31435</v>
      </c>
      <c r="D8802" t="s">
        <v>31439</v>
      </c>
      <c r="E8802" t="s">
        <v>31440</v>
      </c>
      <c r="F8802" t="s">
        <v>19878</v>
      </c>
      <c r="G8802" t="s">
        <v>16231</v>
      </c>
      <c r="H8802" t="s">
        <v>47054</v>
      </c>
      <c r="I8802" t="s">
        <v>47111</v>
      </c>
      <c r="J8802" t="s">
        <v>47112</v>
      </c>
      <c r="K8802" t="s">
        <v>47113</v>
      </c>
      <c r="L8802">
        <v>74.13</v>
      </c>
      <c r="M8802">
        <v>129</v>
      </c>
      <c r="N8802">
        <v>0</v>
      </c>
      <c r="O8802">
        <v>129</v>
      </c>
      <c r="P8802">
        <v>0</v>
      </c>
    </row>
    <row r="8803" spans="1:16" x14ac:dyDescent="0.25">
      <c r="A8803" t="s">
        <v>31441</v>
      </c>
      <c r="B8803" t="s">
        <v>20352</v>
      </c>
      <c r="C8803" t="s">
        <v>20353</v>
      </c>
      <c r="D8803" t="str">
        <f>"1001"</f>
        <v>1001</v>
      </c>
      <c r="E8803" t="s">
        <v>16284</v>
      </c>
      <c r="F8803" t="s">
        <v>19847</v>
      </c>
      <c r="G8803" t="s">
        <v>16233</v>
      </c>
      <c r="H8803" t="s">
        <v>47054</v>
      </c>
      <c r="I8803" t="s">
        <v>47120</v>
      </c>
      <c r="J8803" t="s">
        <v>47121</v>
      </c>
      <c r="K8803" t="s">
        <v>47113</v>
      </c>
      <c r="L8803">
        <v>33.06</v>
      </c>
      <c r="M8803">
        <v>66</v>
      </c>
      <c r="N8803">
        <v>0</v>
      </c>
      <c r="O8803">
        <v>66</v>
      </c>
      <c r="P8803">
        <v>0</v>
      </c>
    </row>
    <row r="8804" spans="1:16" x14ac:dyDescent="0.25">
      <c r="A8804" t="s">
        <v>31442</v>
      </c>
      <c r="B8804" t="s">
        <v>20352</v>
      </c>
      <c r="C8804" t="s">
        <v>20353</v>
      </c>
      <c r="D8804" t="str">
        <f>"1700"</f>
        <v>1700</v>
      </c>
      <c r="E8804" t="s">
        <v>20354</v>
      </c>
      <c r="F8804" t="s">
        <v>19847</v>
      </c>
      <c r="G8804" t="s">
        <v>16233</v>
      </c>
      <c r="H8804" t="s">
        <v>47054</v>
      </c>
      <c r="I8804" t="s">
        <v>47120</v>
      </c>
      <c r="J8804" t="s">
        <v>47121</v>
      </c>
      <c r="K8804" t="s">
        <v>47113</v>
      </c>
      <c r="L8804">
        <v>33.06</v>
      </c>
      <c r="M8804">
        <v>66</v>
      </c>
      <c r="N8804">
        <v>0</v>
      </c>
      <c r="O8804">
        <v>66</v>
      </c>
      <c r="P8804">
        <v>0</v>
      </c>
    </row>
    <row r="8805" spans="1:16" x14ac:dyDescent="0.25">
      <c r="A8805" t="s">
        <v>31443</v>
      </c>
      <c r="B8805" t="s">
        <v>20355</v>
      </c>
      <c r="C8805" t="s">
        <v>20356</v>
      </c>
      <c r="D8805" t="s">
        <v>16741</v>
      </c>
      <c r="E8805" t="s">
        <v>16742</v>
      </c>
      <c r="F8805" t="s">
        <v>19847</v>
      </c>
      <c r="G8805" t="s">
        <v>16233</v>
      </c>
      <c r="H8805" t="s">
        <v>47054</v>
      </c>
      <c r="I8805" t="s">
        <v>47111</v>
      </c>
      <c r="J8805" t="s">
        <v>47112</v>
      </c>
      <c r="K8805" t="s">
        <v>47113</v>
      </c>
      <c r="L8805">
        <v>94.37</v>
      </c>
      <c r="M8805">
        <v>177</v>
      </c>
      <c r="N8805">
        <v>0</v>
      </c>
      <c r="O8805">
        <v>177</v>
      </c>
      <c r="P8805">
        <v>0</v>
      </c>
    </row>
    <row r="8806" spans="1:16" x14ac:dyDescent="0.25">
      <c r="A8806" t="s">
        <v>31444</v>
      </c>
      <c r="B8806" t="s">
        <v>20357</v>
      </c>
      <c r="C8806" t="s">
        <v>20358</v>
      </c>
      <c r="D8806" t="str">
        <f>"1001"</f>
        <v>1001</v>
      </c>
      <c r="E8806" t="s">
        <v>16284</v>
      </c>
      <c r="F8806" t="s">
        <v>19847</v>
      </c>
      <c r="G8806" t="s">
        <v>16233</v>
      </c>
      <c r="H8806" t="s">
        <v>47054</v>
      </c>
      <c r="I8806" t="s">
        <v>47120</v>
      </c>
      <c r="J8806" t="s">
        <v>47121</v>
      </c>
      <c r="K8806" t="s">
        <v>47113</v>
      </c>
      <c r="L8806">
        <v>33.06</v>
      </c>
      <c r="M8806">
        <v>63</v>
      </c>
      <c r="N8806">
        <v>0</v>
      </c>
      <c r="O8806">
        <v>63</v>
      </c>
      <c r="P8806">
        <v>0</v>
      </c>
    </row>
    <row r="8807" spans="1:16" x14ac:dyDescent="0.25">
      <c r="A8807" t="s">
        <v>31445</v>
      </c>
      <c r="B8807" t="s">
        <v>20357</v>
      </c>
      <c r="C8807" t="s">
        <v>20358</v>
      </c>
      <c r="D8807" t="str">
        <f>"1700"</f>
        <v>1700</v>
      </c>
      <c r="E8807" t="s">
        <v>20354</v>
      </c>
      <c r="F8807" t="s">
        <v>19847</v>
      </c>
      <c r="G8807" t="s">
        <v>16233</v>
      </c>
      <c r="H8807" t="s">
        <v>47054</v>
      </c>
      <c r="I8807" t="s">
        <v>47120</v>
      </c>
      <c r="J8807" t="s">
        <v>47121</v>
      </c>
      <c r="K8807" t="s">
        <v>47113</v>
      </c>
      <c r="L8807">
        <v>33.06</v>
      </c>
      <c r="M8807">
        <v>63</v>
      </c>
      <c r="N8807">
        <v>0</v>
      </c>
      <c r="O8807">
        <v>63</v>
      </c>
      <c r="P8807">
        <v>0</v>
      </c>
    </row>
    <row r="8808" spans="1:16" x14ac:dyDescent="0.25">
      <c r="A8808" t="s">
        <v>31446</v>
      </c>
      <c r="B8808" t="s">
        <v>31447</v>
      </c>
      <c r="C8808" t="s">
        <v>20356</v>
      </c>
      <c r="D8808" t="s">
        <v>31448</v>
      </c>
      <c r="E8808" t="s">
        <v>31449</v>
      </c>
      <c r="F8808" t="s">
        <v>24627</v>
      </c>
      <c r="G8808" t="s">
        <v>16233</v>
      </c>
      <c r="H8808" t="s">
        <v>47054</v>
      </c>
      <c r="I8808" t="s">
        <v>47120</v>
      </c>
      <c r="J8808" t="s">
        <v>47121</v>
      </c>
      <c r="K8808" t="s">
        <v>47113</v>
      </c>
      <c r="L8808">
        <v>34.31</v>
      </c>
      <c r="M8808">
        <v>92</v>
      </c>
      <c r="N8808">
        <v>249</v>
      </c>
      <c r="O8808">
        <v>92</v>
      </c>
      <c r="P8808">
        <v>249</v>
      </c>
    </row>
    <row r="8809" spans="1:16" x14ac:dyDescent="0.25">
      <c r="A8809" t="s">
        <v>31450</v>
      </c>
      <c r="B8809" t="s">
        <v>31451</v>
      </c>
      <c r="C8809" t="s">
        <v>31452</v>
      </c>
      <c r="D8809" t="str">
        <f>"3000"</f>
        <v>3000</v>
      </c>
      <c r="E8809" t="s">
        <v>29634</v>
      </c>
      <c r="F8809" t="s">
        <v>20496</v>
      </c>
      <c r="G8809" t="s">
        <v>16234</v>
      </c>
      <c r="H8809" t="s">
        <v>47054</v>
      </c>
      <c r="I8809" t="s">
        <v>47120</v>
      </c>
      <c r="J8809" t="s">
        <v>47121</v>
      </c>
      <c r="K8809" t="s">
        <v>47113</v>
      </c>
      <c r="L8809">
        <v>35.65</v>
      </c>
      <c r="M8809">
        <v>85</v>
      </c>
      <c r="N8809">
        <v>0</v>
      </c>
      <c r="O8809">
        <v>85</v>
      </c>
      <c r="P8809">
        <v>0</v>
      </c>
    </row>
    <row r="8810" spans="1:16" x14ac:dyDescent="0.25">
      <c r="A8810" t="s">
        <v>31453</v>
      </c>
      <c r="B8810" t="s">
        <v>31454</v>
      </c>
      <c r="C8810" t="s">
        <v>31455</v>
      </c>
      <c r="D8810" t="s">
        <v>31456</v>
      </c>
      <c r="E8810" t="s">
        <v>31457</v>
      </c>
      <c r="F8810" t="s">
        <v>19559</v>
      </c>
      <c r="G8810" t="s">
        <v>16231</v>
      </c>
      <c r="H8810" t="s">
        <v>47054</v>
      </c>
      <c r="I8810" t="s">
        <v>47120</v>
      </c>
      <c r="J8810" t="s">
        <v>47121</v>
      </c>
      <c r="K8810" t="s">
        <v>47113</v>
      </c>
      <c r="L8810">
        <v>45.18</v>
      </c>
      <c r="M8810">
        <v>103</v>
      </c>
      <c r="N8810">
        <v>0</v>
      </c>
      <c r="O8810">
        <v>103</v>
      </c>
      <c r="P8810">
        <v>0</v>
      </c>
    </row>
    <row r="8811" spans="1:16" x14ac:dyDescent="0.25">
      <c r="A8811" t="s">
        <v>31458</v>
      </c>
      <c r="B8811" t="s">
        <v>31459</v>
      </c>
      <c r="C8811" t="s">
        <v>31455</v>
      </c>
      <c r="D8811" t="str">
        <f>"1001"</f>
        <v>1001</v>
      </c>
      <c r="E8811" t="s">
        <v>30719</v>
      </c>
      <c r="F8811" t="s">
        <v>24617</v>
      </c>
      <c r="G8811" t="s">
        <v>16234</v>
      </c>
      <c r="H8811" t="s">
        <v>47054</v>
      </c>
      <c r="I8811" t="s">
        <v>47120</v>
      </c>
      <c r="J8811" t="s">
        <v>47121</v>
      </c>
      <c r="K8811" t="s">
        <v>47113</v>
      </c>
      <c r="L8811">
        <v>39.01</v>
      </c>
      <c r="M8811">
        <v>92</v>
      </c>
      <c r="N8811">
        <v>249</v>
      </c>
      <c r="O8811">
        <v>92</v>
      </c>
      <c r="P8811">
        <v>249</v>
      </c>
    </row>
    <row r="8812" spans="1:16" x14ac:dyDescent="0.25">
      <c r="A8812" t="s">
        <v>31460</v>
      </c>
      <c r="B8812" t="s">
        <v>31459</v>
      </c>
      <c r="C8812" t="s">
        <v>31455</v>
      </c>
      <c r="D8812" t="str">
        <f>"3106"</f>
        <v>3106</v>
      </c>
      <c r="E8812" t="s">
        <v>31461</v>
      </c>
      <c r="F8812" t="s">
        <v>24617</v>
      </c>
      <c r="G8812" t="s">
        <v>16234</v>
      </c>
      <c r="H8812" t="s">
        <v>47054</v>
      </c>
      <c r="I8812" t="s">
        <v>47120</v>
      </c>
      <c r="J8812" t="s">
        <v>47121</v>
      </c>
      <c r="K8812" t="s">
        <v>47113</v>
      </c>
      <c r="L8812">
        <v>39.01</v>
      </c>
      <c r="M8812">
        <v>92</v>
      </c>
      <c r="N8812">
        <v>249</v>
      </c>
      <c r="O8812">
        <v>92</v>
      </c>
      <c r="P8812">
        <v>249</v>
      </c>
    </row>
    <row r="8813" spans="1:16" x14ac:dyDescent="0.25">
      <c r="A8813" t="s">
        <v>31462</v>
      </c>
      <c r="B8813" t="s">
        <v>31463</v>
      </c>
      <c r="C8813" t="s">
        <v>15761</v>
      </c>
      <c r="D8813" t="str">
        <f>"3000"</f>
        <v>3000</v>
      </c>
      <c r="E8813" t="s">
        <v>31464</v>
      </c>
      <c r="F8813" t="s">
        <v>24627</v>
      </c>
      <c r="G8813" t="s">
        <v>16233</v>
      </c>
      <c r="H8813" t="s">
        <v>47054</v>
      </c>
      <c r="I8813" t="s">
        <v>47120</v>
      </c>
      <c r="J8813" t="s">
        <v>47121</v>
      </c>
      <c r="K8813" t="s">
        <v>47113</v>
      </c>
      <c r="L8813">
        <v>38.96</v>
      </c>
      <c r="M8813">
        <v>74</v>
      </c>
      <c r="N8813">
        <v>199</v>
      </c>
      <c r="O8813">
        <v>74</v>
      </c>
      <c r="P8813">
        <v>199</v>
      </c>
    </row>
    <row r="8814" spans="1:16" x14ac:dyDescent="0.25">
      <c r="A8814" t="s">
        <v>31465</v>
      </c>
      <c r="B8814" t="s">
        <v>31466</v>
      </c>
      <c r="C8814" t="s">
        <v>31467</v>
      </c>
      <c r="D8814" t="s">
        <v>16917</v>
      </c>
      <c r="E8814" t="s">
        <v>16918</v>
      </c>
      <c r="F8814" t="s">
        <v>20496</v>
      </c>
      <c r="G8814" t="s">
        <v>16231</v>
      </c>
      <c r="H8814" t="s">
        <v>47054</v>
      </c>
      <c r="I8814" t="s">
        <v>47120</v>
      </c>
      <c r="J8814" t="s">
        <v>47121</v>
      </c>
      <c r="K8814" t="s">
        <v>47113</v>
      </c>
      <c r="L8814">
        <v>42.79</v>
      </c>
      <c r="M8814">
        <v>95</v>
      </c>
      <c r="N8814">
        <v>0</v>
      </c>
      <c r="O8814">
        <v>95</v>
      </c>
      <c r="P8814">
        <v>0</v>
      </c>
    </row>
    <row r="8815" spans="1:16" x14ac:dyDescent="0.25">
      <c r="A8815" t="s">
        <v>31468</v>
      </c>
      <c r="B8815" t="s">
        <v>31469</v>
      </c>
      <c r="C8815" t="s">
        <v>31467</v>
      </c>
      <c r="D8815" t="s">
        <v>20350</v>
      </c>
      <c r="E8815" t="s">
        <v>20351</v>
      </c>
      <c r="F8815" t="s">
        <v>24617</v>
      </c>
      <c r="G8815" t="s">
        <v>16231</v>
      </c>
      <c r="H8815" t="s">
        <v>47054</v>
      </c>
      <c r="I8815" t="s">
        <v>47544</v>
      </c>
      <c r="J8815" t="s">
        <v>47545</v>
      </c>
      <c r="K8815" t="s">
        <v>47113</v>
      </c>
      <c r="L8815">
        <v>49.28</v>
      </c>
      <c r="M8815">
        <v>111</v>
      </c>
      <c r="N8815">
        <v>299</v>
      </c>
      <c r="O8815">
        <v>111</v>
      </c>
      <c r="P8815">
        <v>299</v>
      </c>
    </row>
    <row r="8816" spans="1:16" x14ac:dyDescent="0.25">
      <c r="A8816" t="s">
        <v>31470</v>
      </c>
      <c r="B8816" t="s">
        <v>31471</v>
      </c>
      <c r="C8816" t="s">
        <v>31472</v>
      </c>
      <c r="D8816" t="s">
        <v>31473</v>
      </c>
      <c r="E8816" t="s">
        <v>31474</v>
      </c>
      <c r="F8816" t="s">
        <v>24627</v>
      </c>
      <c r="G8816" t="s">
        <v>16231</v>
      </c>
      <c r="H8816" t="s">
        <v>47054</v>
      </c>
      <c r="I8816" t="s">
        <v>47544</v>
      </c>
      <c r="J8816" t="s">
        <v>47545</v>
      </c>
      <c r="K8816" t="s">
        <v>47113</v>
      </c>
      <c r="L8816">
        <v>33.82</v>
      </c>
      <c r="M8816">
        <v>103</v>
      </c>
      <c r="N8816">
        <v>279</v>
      </c>
      <c r="O8816">
        <v>103</v>
      </c>
      <c r="P8816">
        <v>279</v>
      </c>
    </row>
    <row r="8817" spans="1:16" x14ac:dyDescent="0.25">
      <c r="A8817" t="s">
        <v>31475</v>
      </c>
      <c r="B8817" t="s">
        <v>31476</v>
      </c>
      <c r="C8817" t="s">
        <v>31477</v>
      </c>
      <c r="D8817" t="s">
        <v>31421</v>
      </c>
      <c r="E8817" t="s">
        <v>31422</v>
      </c>
      <c r="F8817" t="s">
        <v>24622</v>
      </c>
      <c r="G8817" t="s">
        <v>16230</v>
      </c>
      <c r="H8817" t="s">
        <v>47054</v>
      </c>
      <c r="I8817" t="s">
        <v>47116</v>
      </c>
      <c r="J8817" t="s">
        <v>47117</v>
      </c>
      <c r="K8817" t="s">
        <v>47113</v>
      </c>
      <c r="L8817">
        <v>36.26</v>
      </c>
      <c r="M8817">
        <v>92</v>
      </c>
      <c r="N8817">
        <v>249</v>
      </c>
      <c r="O8817">
        <v>92</v>
      </c>
      <c r="P8817">
        <v>249</v>
      </c>
    </row>
    <row r="8818" spans="1:16" x14ac:dyDescent="0.25">
      <c r="A8818" t="s">
        <v>31478</v>
      </c>
      <c r="B8818" t="s">
        <v>31479</v>
      </c>
      <c r="C8818" t="s">
        <v>16236</v>
      </c>
      <c r="D8818" t="s">
        <v>31480</v>
      </c>
      <c r="E8818" t="s">
        <v>31481</v>
      </c>
      <c r="F8818" t="s">
        <v>19559</v>
      </c>
      <c r="G8818" t="s">
        <v>16231</v>
      </c>
      <c r="H8818" t="s">
        <v>47054</v>
      </c>
      <c r="I8818" t="s">
        <v>47111</v>
      </c>
      <c r="J8818" t="s">
        <v>47112</v>
      </c>
      <c r="K8818" t="s">
        <v>47113</v>
      </c>
      <c r="L8818">
        <v>129.63</v>
      </c>
      <c r="M8818">
        <v>222</v>
      </c>
      <c r="N8818">
        <v>599</v>
      </c>
      <c r="O8818">
        <v>222</v>
      </c>
      <c r="P8818">
        <v>599</v>
      </c>
    </row>
    <row r="8819" spans="1:16" x14ac:dyDescent="0.25">
      <c r="A8819" t="s">
        <v>47598</v>
      </c>
      <c r="B8819" t="s">
        <v>47599</v>
      </c>
      <c r="C8819" t="s">
        <v>16236</v>
      </c>
      <c r="D8819" t="s">
        <v>47600</v>
      </c>
      <c r="E8819" t="s">
        <v>47601</v>
      </c>
      <c r="F8819" t="s">
        <v>47171</v>
      </c>
      <c r="G8819" t="s">
        <v>16231</v>
      </c>
      <c r="H8819" t="s">
        <v>47054</v>
      </c>
      <c r="I8819" t="s">
        <v>47544</v>
      </c>
      <c r="J8819" t="s">
        <v>47545</v>
      </c>
      <c r="K8819" t="s">
        <v>47113</v>
      </c>
      <c r="L8819">
        <v>39.450000000000003</v>
      </c>
      <c r="M8819">
        <v>111</v>
      </c>
      <c r="N8819">
        <v>299</v>
      </c>
      <c r="O8819">
        <v>111</v>
      </c>
      <c r="P8819">
        <v>299</v>
      </c>
    </row>
    <row r="8820" spans="1:16" x14ac:dyDescent="0.25">
      <c r="A8820" t="s">
        <v>31482</v>
      </c>
      <c r="B8820" t="s">
        <v>31483</v>
      </c>
      <c r="C8820" t="s">
        <v>16722</v>
      </c>
      <c r="D8820" t="s">
        <v>721</v>
      </c>
      <c r="E8820" t="s">
        <v>722</v>
      </c>
      <c r="F8820" t="s">
        <v>31484</v>
      </c>
      <c r="G8820" t="s">
        <v>16231</v>
      </c>
      <c r="H8820" t="s">
        <v>47054</v>
      </c>
      <c r="I8820" t="s">
        <v>47544</v>
      </c>
      <c r="J8820" t="s">
        <v>47545</v>
      </c>
      <c r="K8820" t="s">
        <v>47113</v>
      </c>
      <c r="L8820">
        <v>27.87</v>
      </c>
      <c r="M8820">
        <v>74</v>
      </c>
      <c r="N8820">
        <v>199</v>
      </c>
      <c r="O8820">
        <v>74</v>
      </c>
      <c r="P8820">
        <v>199</v>
      </c>
    </row>
    <row r="8821" spans="1:16" x14ac:dyDescent="0.25">
      <c r="A8821" t="s">
        <v>47602</v>
      </c>
      <c r="B8821" t="s">
        <v>47603</v>
      </c>
      <c r="C8821" t="s">
        <v>16236</v>
      </c>
      <c r="D8821" t="s">
        <v>47604</v>
      </c>
      <c r="E8821" t="s">
        <v>47605</v>
      </c>
      <c r="F8821" t="s">
        <v>46687</v>
      </c>
      <c r="G8821" t="s">
        <v>16231</v>
      </c>
      <c r="H8821" t="s">
        <v>47054</v>
      </c>
      <c r="I8821" t="s">
        <v>47116</v>
      </c>
      <c r="J8821" t="s">
        <v>47117</v>
      </c>
      <c r="K8821" t="s">
        <v>47113</v>
      </c>
      <c r="L8821">
        <v>46</v>
      </c>
      <c r="M8821">
        <v>111</v>
      </c>
      <c r="N8821">
        <v>299</v>
      </c>
      <c r="O8821">
        <v>111</v>
      </c>
      <c r="P8821">
        <v>299</v>
      </c>
    </row>
    <row r="8822" spans="1:16" x14ac:dyDescent="0.25">
      <c r="A8822" t="s">
        <v>47606</v>
      </c>
      <c r="B8822" t="s">
        <v>47607</v>
      </c>
      <c r="C8822" t="s">
        <v>16792</v>
      </c>
      <c r="D8822" t="s">
        <v>47608</v>
      </c>
      <c r="E8822" t="s">
        <v>47609</v>
      </c>
      <c r="F8822" t="s">
        <v>47163</v>
      </c>
      <c r="G8822" t="s">
        <v>16231</v>
      </c>
      <c r="H8822" t="s">
        <v>47054</v>
      </c>
      <c r="I8822" t="s">
        <v>47116</v>
      </c>
      <c r="J8822" t="s">
        <v>47117</v>
      </c>
      <c r="K8822" t="s">
        <v>47113</v>
      </c>
      <c r="L8822">
        <v>48.72</v>
      </c>
      <c r="M8822">
        <v>129</v>
      </c>
      <c r="N8822">
        <v>349</v>
      </c>
      <c r="O8822">
        <v>129</v>
      </c>
      <c r="P8822">
        <v>349</v>
      </c>
    </row>
    <row r="8823" spans="1:16" x14ac:dyDescent="0.25">
      <c r="A8823" t="s">
        <v>31485</v>
      </c>
      <c r="B8823" t="s">
        <v>31486</v>
      </c>
      <c r="C8823" t="s">
        <v>16236</v>
      </c>
      <c r="D8823" t="s">
        <v>31487</v>
      </c>
      <c r="E8823" t="s">
        <v>31488</v>
      </c>
      <c r="F8823" t="s">
        <v>19559</v>
      </c>
      <c r="G8823" t="s">
        <v>16231</v>
      </c>
      <c r="H8823" t="s">
        <v>47054</v>
      </c>
      <c r="I8823" t="s">
        <v>47111</v>
      </c>
      <c r="J8823" t="s">
        <v>47112</v>
      </c>
      <c r="K8823" t="s">
        <v>47113</v>
      </c>
      <c r="L8823">
        <v>129.63</v>
      </c>
      <c r="M8823">
        <v>222</v>
      </c>
      <c r="N8823">
        <v>599</v>
      </c>
      <c r="O8823">
        <v>222</v>
      </c>
      <c r="P8823">
        <v>599</v>
      </c>
    </row>
    <row r="8824" spans="1:16" x14ac:dyDescent="0.25">
      <c r="A8824" t="s">
        <v>47610</v>
      </c>
      <c r="B8824" t="s">
        <v>47611</v>
      </c>
      <c r="C8824" t="s">
        <v>16236</v>
      </c>
      <c r="D8824" t="s">
        <v>47612</v>
      </c>
      <c r="E8824" t="s">
        <v>47613</v>
      </c>
      <c r="F8824" t="s">
        <v>47163</v>
      </c>
      <c r="G8824" t="s">
        <v>16231</v>
      </c>
      <c r="H8824" t="s">
        <v>47054</v>
      </c>
      <c r="I8824" t="s">
        <v>47120</v>
      </c>
      <c r="J8824" t="s">
        <v>47121</v>
      </c>
      <c r="K8824" t="s">
        <v>47113</v>
      </c>
      <c r="L8824">
        <v>41.45</v>
      </c>
      <c r="M8824">
        <v>111</v>
      </c>
      <c r="N8824">
        <v>299</v>
      </c>
      <c r="O8824">
        <v>111</v>
      </c>
      <c r="P8824">
        <v>299</v>
      </c>
    </row>
    <row r="8825" spans="1:16" x14ac:dyDescent="0.25">
      <c r="A8825" t="s">
        <v>47614</v>
      </c>
      <c r="B8825" t="s">
        <v>47615</v>
      </c>
      <c r="C8825" t="s">
        <v>16236</v>
      </c>
      <c r="D8825" t="s">
        <v>47616</v>
      </c>
      <c r="E8825" t="s">
        <v>47617</v>
      </c>
      <c r="F8825" t="s">
        <v>47488</v>
      </c>
      <c r="G8825" t="s">
        <v>16231</v>
      </c>
      <c r="H8825" t="s">
        <v>47054</v>
      </c>
      <c r="I8825" t="s">
        <v>47544</v>
      </c>
      <c r="J8825" t="s">
        <v>47545</v>
      </c>
      <c r="K8825" t="s">
        <v>47113</v>
      </c>
      <c r="L8825">
        <v>44.18</v>
      </c>
      <c r="M8825">
        <v>111</v>
      </c>
      <c r="N8825">
        <v>299</v>
      </c>
      <c r="O8825">
        <v>111</v>
      </c>
      <c r="P8825">
        <v>299</v>
      </c>
    </row>
    <row r="8826" spans="1:16" x14ac:dyDescent="0.25">
      <c r="A8826" t="s">
        <v>47618</v>
      </c>
      <c r="B8826" t="s">
        <v>47619</v>
      </c>
      <c r="C8826" t="s">
        <v>16236</v>
      </c>
      <c r="D8826" t="s">
        <v>47620</v>
      </c>
      <c r="E8826" t="s">
        <v>47621</v>
      </c>
      <c r="F8826" t="s">
        <v>47479</v>
      </c>
      <c r="G8826" t="s">
        <v>16231</v>
      </c>
      <c r="H8826" t="s">
        <v>47054</v>
      </c>
      <c r="I8826" t="s">
        <v>47544</v>
      </c>
      <c r="J8826" t="s">
        <v>47545</v>
      </c>
      <c r="K8826" t="s">
        <v>47113</v>
      </c>
      <c r="L8826">
        <v>43.59</v>
      </c>
      <c r="M8826">
        <v>111</v>
      </c>
      <c r="N8826">
        <v>299</v>
      </c>
      <c r="O8826">
        <v>111</v>
      </c>
      <c r="P8826">
        <v>299</v>
      </c>
    </row>
    <row r="8827" spans="1:16" x14ac:dyDescent="0.25">
      <c r="A8827" t="s">
        <v>47622</v>
      </c>
      <c r="B8827" t="s">
        <v>47623</v>
      </c>
      <c r="C8827" t="s">
        <v>16236</v>
      </c>
      <c r="D8827" t="s">
        <v>47624</v>
      </c>
      <c r="E8827" t="s">
        <v>47625</v>
      </c>
      <c r="F8827" t="s">
        <v>47488</v>
      </c>
      <c r="G8827" t="s">
        <v>16231</v>
      </c>
      <c r="H8827" t="s">
        <v>47054</v>
      </c>
      <c r="I8827" t="s">
        <v>47116</v>
      </c>
      <c r="J8827" t="s">
        <v>47117</v>
      </c>
      <c r="K8827" t="s">
        <v>47113</v>
      </c>
      <c r="L8827">
        <v>66.48</v>
      </c>
      <c r="M8827">
        <v>166</v>
      </c>
      <c r="N8827">
        <v>449</v>
      </c>
      <c r="O8827">
        <v>166</v>
      </c>
      <c r="P8827">
        <v>449</v>
      </c>
    </row>
    <row r="8828" spans="1:16" x14ac:dyDescent="0.25">
      <c r="A8828" t="s">
        <v>31489</v>
      </c>
      <c r="B8828" t="s">
        <v>31490</v>
      </c>
      <c r="C8828" t="s">
        <v>16236</v>
      </c>
      <c r="D8828" t="s">
        <v>31491</v>
      </c>
      <c r="E8828" t="s">
        <v>31492</v>
      </c>
      <c r="F8828" t="s">
        <v>19559</v>
      </c>
      <c r="G8828" t="s">
        <v>16231</v>
      </c>
      <c r="H8828" t="s">
        <v>47054</v>
      </c>
      <c r="I8828" t="s">
        <v>47111</v>
      </c>
      <c r="J8828" t="s">
        <v>47112</v>
      </c>
      <c r="K8828" t="s">
        <v>47113</v>
      </c>
      <c r="L8828">
        <v>129.63</v>
      </c>
      <c r="M8828">
        <v>222</v>
      </c>
      <c r="N8828">
        <v>599</v>
      </c>
      <c r="O8828">
        <v>222</v>
      </c>
      <c r="P8828">
        <v>599</v>
      </c>
    </row>
    <row r="8829" spans="1:16" x14ac:dyDescent="0.25">
      <c r="A8829" t="s">
        <v>47626</v>
      </c>
      <c r="B8829" t="s">
        <v>47627</v>
      </c>
      <c r="C8829" t="s">
        <v>16825</v>
      </c>
      <c r="D8829" t="s">
        <v>47628</v>
      </c>
      <c r="E8829" t="s">
        <v>47629</v>
      </c>
      <c r="F8829" t="s">
        <v>46687</v>
      </c>
      <c r="G8829" t="s">
        <v>16231</v>
      </c>
      <c r="H8829" t="s">
        <v>47054</v>
      </c>
      <c r="I8829" t="s">
        <v>47544</v>
      </c>
      <c r="J8829" t="s">
        <v>47545</v>
      </c>
      <c r="K8829" t="s">
        <v>47113</v>
      </c>
      <c r="L8829">
        <v>36.619999999999997</v>
      </c>
      <c r="M8829">
        <v>111</v>
      </c>
      <c r="N8829">
        <v>299</v>
      </c>
      <c r="O8829">
        <v>111</v>
      </c>
      <c r="P8829">
        <v>299</v>
      </c>
    </row>
    <row r="8830" spans="1:16" x14ac:dyDescent="0.25">
      <c r="A8830" t="s">
        <v>47630</v>
      </c>
      <c r="B8830" t="s">
        <v>47631</v>
      </c>
      <c r="C8830" t="s">
        <v>16236</v>
      </c>
      <c r="D8830" t="s">
        <v>47632</v>
      </c>
      <c r="E8830" t="s">
        <v>47633</v>
      </c>
      <c r="F8830" t="s">
        <v>31484</v>
      </c>
      <c r="G8830" t="s">
        <v>16231</v>
      </c>
      <c r="H8830" t="s">
        <v>47054</v>
      </c>
      <c r="I8830" t="s">
        <v>47116</v>
      </c>
      <c r="J8830" t="s">
        <v>47117</v>
      </c>
      <c r="K8830" t="s">
        <v>47113</v>
      </c>
      <c r="L8830">
        <v>52.65</v>
      </c>
      <c r="M8830">
        <v>129</v>
      </c>
      <c r="N8830">
        <v>349</v>
      </c>
      <c r="O8830">
        <v>129</v>
      </c>
      <c r="P8830">
        <v>349</v>
      </c>
    </row>
    <row r="8831" spans="1:16" x14ac:dyDescent="0.25">
      <c r="A8831" t="s">
        <v>47634</v>
      </c>
      <c r="B8831" t="s">
        <v>47635</v>
      </c>
      <c r="C8831" t="s">
        <v>16722</v>
      </c>
      <c r="D8831" t="str">
        <f>"1700"</f>
        <v>1700</v>
      </c>
      <c r="E8831" t="s">
        <v>47636</v>
      </c>
      <c r="F8831" t="s">
        <v>31484</v>
      </c>
      <c r="G8831" t="s">
        <v>16231</v>
      </c>
      <c r="H8831" t="s">
        <v>47054</v>
      </c>
      <c r="I8831" t="s">
        <v>47120</v>
      </c>
      <c r="J8831" t="s">
        <v>47121</v>
      </c>
      <c r="K8831" t="s">
        <v>47113</v>
      </c>
      <c r="L8831">
        <v>24.33</v>
      </c>
      <c r="M8831">
        <v>70</v>
      </c>
      <c r="N8831">
        <v>189</v>
      </c>
      <c r="O8831">
        <v>70</v>
      </c>
      <c r="P8831">
        <v>189</v>
      </c>
    </row>
    <row r="8832" spans="1:16" x14ac:dyDescent="0.25">
      <c r="A8832" t="s">
        <v>47637</v>
      </c>
      <c r="B8832" t="s">
        <v>47638</v>
      </c>
      <c r="C8832" t="s">
        <v>16722</v>
      </c>
      <c r="D8832" t="s">
        <v>47639</v>
      </c>
      <c r="E8832" t="s">
        <v>47640</v>
      </c>
      <c r="F8832" t="s">
        <v>31484</v>
      </c>
      <c r="G8832" t="s">
        <v>16231</v>
      </c>
      <c r="H8832" t="s">
        <v>47054</v>
      </c>
      <c r="I8832" t="s">
        <v>47116</v>
      </c>
      <c r="J8832" t="s">
        <v>47117</v>
      </c>
      <c r="K8832" t="s">
        <v>47113</v>
      </c>
      <c r="L8832">
        <v>35.520000000000003</v>
      </c>
      <c r="M8832">
        <v>92</v>
      </c>
      <c r="N8832">
        <v>249</v>
      </c>
      <c r="O8832">
        <v>92</v>
      </c>
      <c r="P8832">
        <v>249</v>
      </c>
    </row>
    <row r="8833" spans="1:16" x14ac:dyDescent="0.25">
      <c r="A8833" t="s">
        <v>47641</v>
      </c>
      <c r="B8833" t="s">
        <v>47642</v>
      </c>
      <c r="C8833" t="s">
        <v>16236</v>
      </c>
      <c r="D8833" t="s">
        <v>47643</v>
      </c>
      <c r="E8833" t="s">
        <v>47644</v>
      </c>
      <c r="F8833" t="s">
        <v>47479</v>
      </c>
      <c r="G8833" t="s">
        <v>16231</v>
      </c>
      <c r="H8833" t="s">
        <v>47054</v>
      </c>
      <c r="I8833" t="s">
        <v>47116</v>
      </c>
      <c r="J8833" t="s">
        <v>47117</v>
      </c>
      <c r="K8833" t="s">
        <v>47113</v>
      </c>
      <c r="L8833">
        <v>53.2</v>
      </c>
      <c r="M8833">
        <v>129</v>
      </c>
      <c r="N8833">
        <v>349</v>
      </c>
      <c r="O8833">
        <v>129</v>
      </c>
      <c r="P8833">
        <v>349</v>
      </c>
    </row>
    <row r="8834" spans="1:16" x14ac:dyDescent="0.25">
      <c r="A8834" t="s">
        <v>47645</v>
      </c>
      <c r="B8834" t="s">
        <v>47646</v>
      </c>
      <c r="C8834" t="s">
        <v>16722</v>
      </c>
      <c r="D8834" t="s">
        <v>47647</v>
      </c>
      <c r="E8834" t="s">
        <v>47648</v>
      </c>
      <c r="F8834" t="s">
        <v>47479</v>
      </c>
      <c r="G8834" t="s">
        <v>16231</v>
      </c>
      <c r="H8834" t="s">
        <v>47054</v>
      </c>
      <c r="I8834" t="s">
        <v>47116</v>
      </c>
      <c r="J8834" t="s">
        <v>47117</v>
      </c>
      <c r="K8834" t="s">
        <v>47113</v>
      </c>
      <c r="L8834">
        <v>51.01</v>
      </c>
      <c r="M8834">
        <v>129</v>
      </c>
      <c r="N8834">
        <v>349</v>
      </c>
      <c r="O8834">
        <v>129</v>
      </c>
      <c r="P8834">
        <v>349</v>
      </c>
    </row>
    <row r="8835" spans="1:16" x14ac:dyDescent="0.25">
      <c r="A8835" t="s">
        <v>47649</v>
      </c>
      <c r="B8835" t="s">
        <v>47650</v>
      </c>
      <c r="C8835" t="s">
        <v>16768</v>
      </c>
      <c r="D8835" t="s">
        <v>47651</v>
      </c>
      <c r="E8835" t="s">
        <v>47652</v>
      </c>
      <c r="F8835" t="s">
        <v>47171</v>
      </c>
      <c r="G8835" t="s">
        <v>16231</v>
      </c>
      <c r="H8835" t="s">
        <v>47054</v>
      </c>
      <c r="I8835" t="s">
        <v>47120</v>
      </c>
      <c r="J8835" t="s">
        <v>47121</v>
      </c>
      <c r="K8835" t="s">
        <v>47113</v>
      </c>
      <c r="L8835">
        <v>49.63</v>
      </c>
      <c r="M8835">
        <v>129</v>
      </c>
      <c r="N8835">
        <v>349</v>
      </c>
      <c r="O8835">
        <v>129</v>
      </c>
      <c r="P8835">
        <v>349</v>
      </c>
    </row>
    <row r="8836" spans="1:16" x14ac:dyDescent="0.25">
      <c r="A8836" t="s">
        <v>31493</v>
      </c>
      <c r="B8836" t="s">
        <v>31494</v>
      </c>
      <c r="C8836" t="s">
        <v>16722</v>
      </c>
      <c r="D8836" t="s">
        <v>31495</v>
      </c>
      <c r="E8836" t="s">
        <v>31496</v>
      </c>
      <c r="F8836" t="s">
        <v>20496</v>
      </c>
      <c r="G8836" t="s">
        <v>16231</v>
      </c>
      <c r="H8836" t="s">
        <v>47054</v>
      </c>
      <c r="I8836" t="s">
        <v>47544</v>
      </c>
      <c r="J8836" t="s">
        <v>47545</v>
      </c>
      <c r="K8836" t="s">
        <v>47113</v>
      </c>
      <c r="L8836">
        <v>19.41</v>
      </c>
      <c r="M8836">
        <v>70</v>
      </c>
      <c r="N8836">
        <v>189</v>
      </c>
      <c r="O8836">
        <v>70</v>
      </c>
      <c r="P8836">
        <v>189</v>
      </c>
    </row>
    <row r="8837" spans="1:16" x14ac:dyDescent="0.25">
      <c r="A8837" t="s">
        <v>47653</v>
      </c>
      <c r="B8837" t="s">
        <v>47654</v>
      </c>
      <c r="C8837" t="s">
        <v>29733</v>
      </c>
      <c r="D8837" t="s">
        <v>47655</v>
      </c>
      <c r="E8837" t="s">
        <v>47656</v>
      </c>
      <c r="F8837" t="s">
        <v>47163</v>
      </c>
      <c r="G8837" t="s">
        <v>16231</v>
      </c>
      <c r="H8837" t="s">
        <v>47054</v>
      </c>
      <c r="I8837" t="s">
        <v>47116</v>
      </c>
      <c r="J8837" t="s">
        <v>47117</v>
      </c>
      <c r="K8837" t="s">
        <v>47113</v>
      </c>
      <c r="L8837">
        <v>42.31</v>
      </c>
      <c r="M8837">
        <v>111</v>
      </c>
      <c r="N8837">
        <v>299</v>
      </c>
      <c r="O8837">
        <v>111</v>
      </c>
      <c r="P8837">
        <v>299</v>
      </c>
    </row>
    <row r="8838" spans="1:16" x14ac:dyDescent="0.25">
      <c r="A8838" t="s">
        <v>47657</v>
      </c>
      <c r="B8838" t="s">
        <v>47658</v>
      </c>
      <c r="C8838" t="s">
        <v>47659</v>
      </c>
      <c r="D8838" t="s">
        <v>47651</v>
      </c>
      <c r="E8838" t="s">
        <v>47652</v>
      </c>
      <c r="F8838" t="s">
        <v>47171</v>
      </c>
      <c r="G8838" t="s">
        <v>16231</v>
      </c>
      <c r="H8838" t="s">
        <v>47054</v>
      </c>
      <c r="I8838" t="s">
        <v>47120</v>
      </c>
      <c r="J8838" t="s">
        <v>47121</v>
      </c>
      <c r="K8838" t="s">
        <v>47113</v>
      </c>
      <c r="L8838">
        <v>37.979999999999997</v>
      </c>
      <c r="M8838">
        <v>111</v>
      </c>
      <c r="N8838">
        <v>299</v>
      </c>
      <c r="O8838">
        <v>111</v>
      </c>
      <c r="P8838">
        <v>299</v>
      </c>
    </row>
    <row r="8839" spans="1:16" x14ac:dyDescent="0.25">
      <c r="A8839" t="s">
        <v>47660</v>
      </c>
      <c r="B8839" t="s">
        <v>47661</v>
      </c>
      <c r="C8839" t="s">
        <v>47662</v>
      </c>
      <c r="D8839" t="s">
        <v>47628</v>
      </c>
      <c r="E8839" t="s">
        <v>47629</v>
      </c>
      <c r="F8839" t="s">
        <v>46687</v>
      </c>
      <c r="G8839" t="s">
        <v>16231</v>
      </c>
      <c r="H8839" t="s">
        <v>47054</v>
      </c>
      <c r="I8839" t="s">
        <v>47544</v>
      </c>
      <c r="J8839" t="s">
        <v>47545</v>
      </c>
      <c r="K8839" t="s">
        <v>47113</v>
      </c>
      <c r="L8839">
        <v>30.5</v>
      </c>
      <c r="M8839">
        <v>103</v>
      </c>
      <c r="N8839">
        <v>279</v>
      </c>
      <c r="O8839">
        <v>103</v>
      </c>
      <c r="P8839">
        <v>279</v>
      </c>
    </row>
    <row r="8840" spans="1:16" x14ac:dyDescent="0.25">
      <c r="A8840" t="s">
        <v>47663</v>
      </c>
      <c r="B8840" t="s">
        <v>47664</v>
      </c>
      <c r="C8840" t="s">
        <v>47665</v>
      </c>
      <c r="D8840" t="s">
        <v>47666</v>
      </c>
      <c r="E8840" t="s">
        <v>47667</v>
      </c>
      <c r="F8840" t="s">
        <v>46687</v>
      </c>
      <c r="G8840" t="s">
        <v>16231</v>
      </c>
      <c r="H8840" t="s">
        <v>47054</v>
      </c>
      <c r="I8840" t="s">
        <v>47544</v>
      </c>
      <c r="J8840" t="s">
        <v>47545</v>
      </c>
      <c r="K8840" t="s">
        <v>47113</v>
      </c>
      <c r="L8840">
        <v>48.32</v>
      </c>
      <c r="M8840">
        <v>111</v>
      </c>
      <c r="N8840">
        <v>299</v>
      </c>
      <c r="O8840">
        <v>111</v>
      </c>
      <c r="P8840">
        <v>299</v>
      </c>
    </row>
    <row r="8841" spans="1:16" x14ac:dyDescent="0.25">
      <c r="A8841" t="s">
        <v>47668</v>
      </c>
      <c r="B8841" t="s">
        <v>47669</v>
      </c>
      <c r="C8841" t="s">
        <v>47665</v>
      </c>
      <c r="D8841" t="str">
        <f>"1700"</f>
        <v>1700</v>
      </c>
      <c r="E8841" t="s">
        <v>47636</v>
      </c>
      <c r="F8841" t="s">
        <v>31484</v>
      </c>
      <c r="G8841" t="s">
        <v>16233</v>
      </c>
      <c r="H8841" t="s">
        <v>47054</v>
      </c>
      <c r="I8841" t="s">
        <v>47120</v>
      </c>
      <c r="J8841" t="s">
        <v>47121</v>
      </c>
      <c r="K8841" t="s">
        <v>47113</v>
      </c>
      <c r="L8841">
        <v>28.87</v>
      </c>
      <c r="M8841">
        <v>92</v>
      </c>
      <c r="N8841">
        <v>249</v>
      </c>
      <c r="O8841">
        <v>92</v>
      </c>
      <c r="P8841">
        <v>249</v>
      </c>
    </row>
    <row r="8842" spans="1:16" x14ac:dyDescent="0.25">
      <c r="A8842" t="s">
        <v>47670</v>
      </c>
      <c r="B8842" t="s">
        <v>47671</v>
      </c>
      <c r="C8842" t="s">
        <v>47672</v>
      </c>
      <c r="D8842" t="s">
        <v>47600</v>
      </c>
      <c r="E8842" t="s">
        <v>47601</v>
      </c>
      <c r="F8842" t="s">
        <v>47488</v>
      </c>
      <c r="G8842" t="s">
        <v>16231</v>
      </c>
      <c r="H8842" t="s">
        <v>47054</v>
      </c>
      <c r="I8842" t="s">
        <v>47544</v>
      </c>
      <c r="J8842" t="s">
        <v>47545</v>
      </c>
      <c r="K8842" t="s">
        <v>47113</v>
      </c>
      <c r="L8842">
        <v>43.88</v>
      </c>
      <c r="M8842">
        <v>111</v>
      </c>
      <c r="N8842">
        <v>299</v>
      </c>
      <c r="O8842">
        <v>111</v>
      </c>
      <c r="P8842">
        <v>299</v>
      </c>
    </row>
    <row r="8843" spans="1:16" x14ac:dyDescent="0.25">
      <c r="A8843" t="s">
        <v>47673</v>
      </c>
      <c r="B8843" t="s">
        <v>47674</v>
      </c>
      <c r="C8843" t="s">
        <v>16894</v>
      </c>
      <c r="D8843" t="s">
        <v>47675</v>
      </c>
      <c r="E8843" t="s">
        <v>47676</v>
      </c>
      <c r="F8843" t="s">
        <v>31484</v>
      </c>
      <c r="G8843" t="s">
        <v>16231</v>
      </c>
      <c r="H8843" t="s">
        <v>47054</v>
      </c>
      <c r="I8843" t="s">
        <v>47544</v>
      </c>
      <c r="J8843" t="s">
        <v>47545</v>
      </c>
      <c r="K8843" t="s">
        <v>47113</v>
      </c>
      <c r="L8843">
        <v>30.5</v>
      </c>
      <c r="M8843">
        <v>74</v>
      </c>
      <c r="N8843">
        <v>199</v>
      </c>
      <c r="O8843">
        <v>74</v>
      </c>
      <c r="P8843">
        <v>199</v>
      </c>
    </row>
    <row r="8844" spans="1:16" x14ac:dyDescent="0.25">
      <c r="A8844" t="s">
        <v>47677</v>
      </c>
      <c r="B8844" t="s">
        <v>47678</v>
      </c>
      <c r="C8844" t="s">
        <v>47679</v>
      </c>
      <c r="D8844" t="s">
        <v>47680</v>
      </c>
      <c r="E8844" t="s">
        <v>47681</v>
      </c>
      <c r="F8844" t="s">
        <v>46687</v>
      </c>
      <c r="G8844" t="s">
        <v>16231</v>
      </c>
      <c r="H8844" t="s">
        <v>47054</v>
      </c>
      <c r="I8844" t="s">
        <v>47120</v>
      </c>
      <c r="J8844" t="s">
        <v>47121</v>
      </c>
      <c r="K8844" t="s">
        <v>47113</v>
      </c>
      <c r="L8844">
        <v>36.01</v>
      </c>
      <c r="M8844">
        <v>92</v>
      </c>
      <c r="N8844">
        <v>249</v>
      </c>
      <c r="O8844">
        <v>92</v>
      </c>
      <c r="P8844">
        <v>249</v>
      </c>
    </row>
    <row r="8845" spans="1:16" x14ac:dyDescent="0.25">
      <c r="A8845" t="s">
        <v>47682</v>
      </c>
      <c r="B8845" t="s">
        <v>47683</v>
      </c>
      <c r="C8845" t="s">
        <v>47679</v>
      </c>
      <c r="D8845" t="s">
        <v>20314</v>
      </c>
      <c r="E8845" t="s">
        <v>20315</v>
      </c>
      <c r="F8845" t="s">
        <v>46687</v>
      </c>
      <c r="G8845" t="s">
        <v>16231</v>
      </c>
      <c r="H8845" t="s">
        <v>47054</v>
      </c>
      <c r="I8845" t="s">
        <v>47120</v>
      </c>
      <c r="J8845" t="s">
        <v>47121</v>
      </c>
      <c r="K8845" t="s">
        <v>47113</v>
      </c>
      <c r="L8845">
        <v>34.18</v>
      </c>
      <c r="M8845">
        <v>103</v>
      </c>
      <c r="N8845">
        <v>279</v>
      </c>
      <c r="O8845">
        <v>103</v>
      </c>
      <c r="P8845">
        <v>279</v>
      </c>
    </row>
    <row r="8846" spans="1:16" x14ac:dyDescent="0.25">
      <c r="A8846" t="s">
        <v>47684</v>
      </c>
      <c r="B8846" t="s">
        <v>47685</v>
      </c>
      <c r="C8846" t="s">
        <v>47686</v>
      </c>
      <c r="D8846" t="str">
        <f>"1001"</f>
        <v>1001</v>
      </c>
      <c r="E8846" t="s">
        <v>47687</v>
      </c>
      <c r="F8846" t="s">
        <v>31484</v>
      </c>
      <c r="G8846" t="s">
        <v>16233</v>
      </c>
      <c r="H8846" t="s">
        <v>47054</v>
      </c>
      <c r="I8846" t="s">
        <v>47120</v>
      </c>
      <c r="J8846" t="s">
        <v>47121</v>
      </c>
      <c r="K8846" t="s">
        <v>47113</v>
      </c>
      <c r="L8846">
        <v>23.29</v>
      </c>
      <c r="M8846">
        <v>63</v>
      </c>
      <c r="N8846">
        <v>169</v>
      </c>
      <c r="O8846">
        <v>63</v>
      </c>
      <c r="P8846">
        <v>169</v>
      </c>
    </row>
    <row r="8847" spans="1:16" x14ac:dyDescent="0.25">
      <c r="A8847" t="s">
        <v>47688</v>
      </c>
      <c r="B8847" t="s">
        <v>47685</v>
      </c>
      <c r="C8847" t="s">
        <v>47686</v>
      </c>
      <c r="D8847" t="str">
        <f>"2000"</f>
        <v>2000</v>
      </c>
      <c r="E8847" t="s">
        <v>47689</v>
      </c>
      <c r="F8847" t="s">
        <v>31484</v>
      </c>
      <c r="G8847" t="s">
        <v>16233</v>
      </c>
      <c r="H8847" t="s">
        <v>47054</v>
      </c>
      <c r="I8847" t="s">
        <v>47120</v>
      </c>
      <c r="J8847" t="s">
        <v>47121</v>
      </c>
      <c r="K8847" t="s">
        <v>47113</v>
      </c>
      <c r="L8847">
        <v>23.29</v>
      </c>
      <c r="M8847">
        <v>63</v>
      </c>
      <c r="N8847">
        <v>169</v>
      </c>
      <c r="O8847">
        <v>63</v>
      </c>
      <c r="P8847">
        <v>169</v>
      </c>
    </row>
    <row r="8848" spans="1:16" x14ac:dyDescent="0.25">
      <c r="A8848" t="s">
        <v>47690</v>
      </c>
      <c r="B8848" t="s">
        <v>47691</v>
      </c>
      <c r="C8848" t="s">
        <v>47692</v>
      </c>
      <c r="D8848" t="s">
        <v>47693</v>
      </c>
      <c r="E8848" t="s">
        <v>47694</v>
      </c>
      <c r="F8848" t="s">
        <v>46687</v>
      </c>
      <c r="G8848" t="s">
        <v>16233</v>
      </c>
      <c r="H8848" t="s">
        <v>47054</v>
      </c>
      <c r="I8848" t="s">
        <v>47544</v>
      </c>
      <c r="J8848" t="s">
        <v>47545</v>
      </c>
      <c r="K8848" t="s">
        <v>47113</v>
      </c>
      <c r="L8848">
        <v>30.22</v>
      </c>
      <c r="M8848">
        <v>74</v>
      </c>
      <c r="N8848">
        <v>199</v>
      </c>
      <c r="O8848">
        <v>74</v>
      </c>
      <c r="P8848">
        <v>199</v>
      </c>
    </row>
    <row r="8849" spans="1:16" x14ac:dyDescent="0.25">
      <c r="A8849" t="s">
        <v>47695</v>
      </c>
      <c r="B8849" t="s">
        <v>47696</v>
      </c>
      <c r="C8849" t="s">
        <v>17884</v>
      </c>
      <c r="D8849" t="s">
        <v>47604</v>
      </c>
      <c r="E8849" t="s">
        <v>47605</v>
      </c>
      <c r="F8849" t="s">
        <v>31484</v>
      </c>
      <c r="G8849" t="s">
        <v>16224</v>
      </c>
      <c r="H8849" t="s">
        <v>47054</v>
      </c>
      <c r="I8849" t="s">
        <v>47116</v>
      </c>
      <c r="J8849" t="s">
        <v>47117</v>
      </c>
      <c r="K8849" t="s">
        <v>47113</v>
      </c>
      <c r="L8849">
        <v>53.07</v>
      </c>
      <c r="M8849">
        <v>129</v>
      </c>
      <c r="N8849">
        <v>349</v>
      </c>
      <c r="O8849">
        <v>129</v>
      </c>
      <c r="P8849">
        <v>349</v>
      </c>
    </row>
    <row r="8850" spans="1:16" x14ac:dyDescent="0.25">
      <c r="A8850" t="s">
        <v>47697</v>
      </c>
      <c r="B8850" t="s">
        <v>47698</v>
      </c>
      <c r="C8850" t="s">
        <v>47699</v>
      </c>
      <c r="D8850" t="s">
        <v>47700</v>
      </c>
      <c r="E8850" t="s">
        <v>47701</v>
      </c>
      <c r="F8850" t="s">
        <v>47171</v>
      </c>
      <c r="G8850" t="s">
        <v>16231</v>
      </c>
      <c r="H8850" t="s">
        <v>47054</v>
      </c>
      <c r="I8850" t="s">
        <v>47116</v>
      </c>
      <c r="J8850" t="s">
        <v>47117</v>
      </c>
      <c r="K8850" t="s">
        <v>47113</v>
      </c>
      <c r="L8850">
        <v>69.78</v>
      </c>
      <c r="M8850">
        <v>166</v>
      </c>
      <c r="N8850">
        <v>449</v>
      </c>
      <c r="O8850">
        <v>166</v>
      </c>
      <c r="P8850">
        <v>449</v>
      </c>
    </row>
    <row r="8851" spans="1:16" x14ac:dyDescent="0.25">
      <c r="A8851" t="s">
        <v>47702</v>
      </c>
      <c r="B8851" t="s">
        <v>47703</v>
      </c>
      <c r="C8851" t="s">
        <v>16848</v>
      </c>
      <c r="D8851" t="s">
        <v>47704</v>
      </c>
      <c r="E8851" t="s">
        <v>47705</v>
      </c>
      <c r="F8851" t="s">
        <v>47171</v>
      </c>
      <c r="G8851" t="s">
        <v>16231</v>
      </c>
      <c r="H8851" t="s">
        <v>47054</v>
      </c>
      <c r="I8851" t="s">
        <v>47544</v>
      </c>
      <c r="J8851" t="s">
        <v>47545</v>
      </c>
      <c r="K8851" t="s">
        <v>47113</v>
      </c>
      <c r="L8851">
        <v>35.64</v>
      </c>
      <c r="M8851">
        <v>92</v>
      </c>
      <c r="N8851">
        <v>249</v>
      </c>
      <c r="O8851">
        <v>92</v>
      </c>
      <c r="P8851">
        <v>249</v>
      </c>
    </row>
    <row r="8852" spans="1:16" x14ac:dyDescent="0.25">
      <c r="A8852" t="s">
        <v>47706</v>
      </c>
      <c r="B8852" t="s">
        <v>47707</v>
      </c>
      <c r="C8852" t="s">
        <v>47708</v>
      </c>
      <c r="D8852" t="s">
        <v>17570</v>
      </c>
      <c r="E8852" t="s">
        <v>17571</v>
      </c>
      <c r="F8852" t="s">
        <v>47163</v>
      </c>
      <c r="G8852" t="s">
        <v>16231</v>
      </c>
      <c r="H8852" t="s">
        <v>47054</v>
      </c>
      <c r="I8852" t="s">
        <v>47544</v>
      </c>
      <c r="J8852" t="s">
        <v>47545</v>
      </c>
      <c r="K8852" t="s">
        <v>47113</v>
      </c>
      <c r="L8852">
        <v>28.16</v>
      </c>
      <c r="M8852">
        <v>74</v>
      </c>
      <c r="N8852">
        <v>199</v>
      </c>
      <c r="O8852">
        <v>74</v>
      </c>
      <c r="P8852">
        <v>199</v>
      </c>
    </row>
    <row r="8853" spans="1:16" x14ac:dyDescent="0.25">
      <c r="A8853" t="s">
        <v>47709</v>
      </c>
      <c r="B8853" t="s">
        <v>47707</v>
      </c>
      <c r="C8853" t="s">
        <v>47708</v>
      </c>
      <c r="D8853" t="s">
        <v>47710</v>
      </c>
      <c r="E8853" t="s">
        <v>47711</v>
      </c>
      <c r="F8853" t="s">
        <v>47163</v>
      </c>
      <c r="G8853" t="s">
        <v>16231</v>
      </c>
      <c r="H8853" t="s">
        <v>47054</v>
      </c>
      <c r="I8853" t="s">
        <v>47544</v>
      </c>
      <c r="J8853" t="s">
        <v>47545</v>
      </c>
      <c r="K8853" t="s">
        <v>47113</v>
      </c>
      <c r="L8853">
        <v>29.58</v>
      </c>
      <c r="M8853">
        <v>85</v>
      </c>
      <c r="N8853">
        <v>229</v>
      </c>
      <c r="O8853">
        <v>85</v>
      </c>
      <c r="P8853">
        <v>229</v>
      </c>
    </row>
    <row r="8854" spans="1:16" x14ac:dyDescent="0.25">
      <c r="A8854" t="s">
        <v>47712</v>
      </c>
      <c r="B8854" t="s">
        <v>47713</v>
      </c>
      <c r="C8854" t="s">
        <v>47714</v>
      </c>
      <c r="D8854" t="s">
        <v>47715</v>
      </c>
      <c r="E8854" t="s">
        <v>47716</v>
      </c>
      <c r="F8854" t="s">
        <v>47171</v>
      </c>
      <c r="G8854" t="s">
        <v>16231</v>
      </c>
      <c r="H8854" t="s">
        <v>47054</v>
      </c>
      <c r="I8854" t="s">
        <v>47116</v>
      </c>
      <c r="J8854" t="s">
        <v>47117</v>
      </c>
      <c r="K8854" t="s">
        <v>47113</v>
      </c>
      <c r="L8854">
        <v>51.28</v>
      </c>
      <c r="M8854">
        <v>129</v>
      </c>
      <c r="N8854">
        <v>349</v>
      </c>
      <c r="O8854">
        <v>129</v>
      </c>
      <c r="P8854">
        <v>349</v>
      </c>
    </row>
    <row r="8855" spans="1:16" x14ac:dyDescent="0.25">
      <c r="A8855" t="s">
        <v>47717</v>
      </c>
      <c r="B8855" t="s">
        <v>47718</v>
      </c>
      <c r="C8855" t="s">
        <v>47719</v>
      </c>
      <c r="D8855" t="str">
        <f>"2000"</f>
        <v>2000</v>
      </c>
      <c r="E8855" t="s">
        <v>47720</v>
      </c>
      <c r="F8855" t="s">
        <v>47171</v>
      </c>
      <c r="G8855" t="s">
        <v>16231</v>
      </c>
      <c r="H8855" t="s">
        <v>47054</v>
      </c>
      <c r="I8855" t="s">
        <v>47116</v>
      </c>
      <c r="J8855" t="s">
        <v>47117</v>
      </c>
      <c r="K8855" t="s">
        <v>47113</v>
      </c>
      <c r="L8855">
        <v>49.09</v>
      </c>
      <c r="M8855">
        <v>129</v>
      </c>
      <c r="N8855">
        <v>349</v>
      </c>
      <c r="O8855">
        <v>129</v>
      </c>
      <c r="P8855">
        <v>349</v>
      </c>
    </row>
    <row r="8856" spans="1:16" x14ac:dyDescent="0.25">
      <c r="A8856" t="s">
        <v>47721</v>
      </c>
      <c r="B8856" t="s">
        <v>47718</v>
      </c>
      <c r="C8856" t="s">
        <v>47719</v>
      </c>
      <c r="D8856" t="str">
        <f>"4100"</f>
        <v>4100</v>
      </c>
      <c r="E8856" t="s">
        <v>47722</v>
      </c>
      <c r="F8856" t="s">
        <v>47171</v>
      </c>
      <c r="G8856" t="s">
        <v>16231</v>
      </c>
      <c r="H8856" t="s">
        <v>47054</v>
      </c>
      <c r="I8856" t="s">
        <v>47116</v>
      </c>
      <c r="J8856" t="s">
        <v>47117</v>
      </c>
      <c r="K8856" t="s">
        <v>47113</v>
      </c>
      <c r="L8856">
        <v>49.09</v>
      </c>
      <c r="M8856">
        <v>129</v>
      </c>
      <c r="N8856">
        <v>349</v>
      </c>
      <c r="O8856">
        <v>129</v>
      </c>
      <c r="P8856">
        <v>349</v>
      </c>
    </row>
    <row r="8857" spans="1:16" x14ac:dyDescent="0.25">
      <c r="A8857" t="s">
        <v>47723</v>
      </c>
      <c r="B8857" t="s">
        <v>47724</v>
      </c>
      <c r="C8857" t="s">
        <v>47725</v>
      </c>
      <c r="D8857" t="s">
        <v>47726</v>
      </c>
      <c r="E8857" t="s">
        <v>47727</v>
      </c>
      <c r="F8857" t="s">
        <v>47479</v>
      </c>
      <c r="G8857" t="s">
        <v>16231</v>
      </c>
      <c r="H8857" t="s">
        <v>47054</v>
      </c>
      <c r="I8857" t="s">
        <v>47116</v>
      </c>
      <c r="J8857" t="s">
        <v>47117</v>
      </c>
      <c r="K8857" t="s">
        <v>47113</v>
      </c>
      <c r="L8857">
        <v>83.24</v>
      </c>
      <c r="M8857">
        <v>129</v>
      </c>
      <c r="N8857">
        <v>349</v>
      </c>
      <c r="O8857">
        <v>129</v>
      </c>
      <c r="P8857">
        <v>349</v>
      </c>
    </row>
    <row r="8858" spans="1:16" x14ac:dyDescent="0.25">
      <c r="A8858" t="s">
        <v>47728</v>
      </c>
      <c r="B8858" t="s">
        <v>47729</v>
      </c>
      <c r="C8858" t="s">
        <v>20467</v>
      </c>
      <c r="D8858" t="s">
        <v>47730</v>
      </c>
      <c r="E8858" t="s">
        <v>47731</v>
      </c>
      <c r="F8858" t="s">
        <v>47479</v>
      </c>
      <c r="G8858" t="s">
        <v>16231</v>
      </c>
      <c r="H8858" t="s">
        <v>47054</v>
      </c>
      <c r="I8858" t="s">
        <v>47116</v>
      </c>
      <c r="J8858" t="s">
        <v>47117</v>
      </c>
      <c r="K8858" t="s">
        <v>47113</v>
      </c>
      <c r="L8858">
        <v>77.78</v>
      </c>
      <c r="M8858">
        <v>129</v>
      </c>
      <c r="N8858">
        <v>349</v>
      </c>
      <c r="O8858">
        <v>129</v>
      </c>
      <c r="P8858">
        <v>349</v>
      </c>
    </row>
    <row r="8859" spans="1:16" x14ac:dyDescent="0.25">
      <c r="A8859" t="s">
        <v>47732</v>
      </c>
      <c r="B8859" t="s">
        <v>47733</v>
      </c>
      <c r="C8859" t="s">
        <v>47734</v>
      </c>
      <c r="D8859" t="s">
        <v>47735</v>
      </c>
      <c r="E8859" t="s">
        <v>47736</v>
      </c>
      <c r="F8859" t="s">
        <v>47171</v>
      </c>
      <c r="G8859" t="s">
        <v>16231</v>
      </c>
      <c r="H8859" t="s">
        <v>47054</v>
      </c>
      <c r="I8859" t="s">
        <v>47116</v>
      </c>
      <c r="J8859" t="s">
        <v>47117</v>
      </c>
      <c r="K8859" t="s">
        <v>47113</v>
      </c>
      <c r="L8859">
        <v>71.03</v>
      </c>
      <c r="M8859">
        <v>166</v>
      </c>
      <c r="N8859">
        <v>449</v>
      </c>
      <c r="O8859">
        <v>166</v>
      </c>
      <c r="P8859">
        <v>449</v>
      </c>
    </row>
    <row r="8860" spans="1:16" x14ac:dyDescent="0.25">
      <c r="A8860" t="s">
        <v>47737</v>
      </c>
      <c r="B8860" t="s">
        <v>47738</v>
      </c>
      <c r="C8860" t="s">
        <v>47739</v>
      </c>
      <c r="D8860" t="s">
        <v>47740</v>
      </c>
      <c r="E8860" t="s">
        <v>47741</v>
      </c>
      <c r="F8860" t="s">
        <v>47171</v>
      </c>
      <c r="G8860" t="s">
        <v>16231</v>
      </c>
      <c r="H8860" t="s">
        <v>47054</v>
      </c>
      <c r="I8860" t="s">
        <v>47120</v>
      </c>
      <c r="J8860" t="s">
        <v>47121</v>
      </c>
      <c r="K8860" t="s">
        <v>47113</v>
      </c>
      <c r="L8860">
        <v>62.26</v>
      </c>
      <c r="M8860">
        <v>148</v>
      </c>
      <c r="N8860">
        <v>399</v>
      </c>
      <c r="O8860">
        <v>148</v>
      </c>
      <c r="P8860">
        <v>399</v>
      </c>
    </row>
    <row r="8861" spans="1:16" x14ac:dyDescent="0.25">
      <c r="A8861" t="s">
        <v>47742</v>
      </c>
      <c r="B8861" t="s">
        <v>47743</v>
      </c>
      <c r="C8861" t="s">
        <v>20100</v>
      </c>
      <c r="D8861" t="s">
        <v>47744</v>
      </c>
      <c r="E8861" t="s">
        <v>47745</v>
      </c>
      <c r="F8861" t="s">
        <v>31484</v>
      </c>
      <c r="G8861" t="s">
        <v>16231</v>
      </c>
      <c r="H8861" t="s">
        <v>47054</v>
      </c>
      <c r="I8861" t="s">
        <v>47116</v>
      </c>
      <c r="J8861" t="s">
        <v>47117</v>
      </c>
      <c r="K8861" t="s">
        <v>47113</v>
      </c>
      <c r="L8861">
        <v>48.64</v>
      </c>
      <c r="M8861">
        <v>111</v>
      </c>
      <c r="N8861">
        <v>299</v>
      </c>
      <c r="O8861">
        <v>111</v>
      </c>
      <c r="P8861">
        <v>299</v>
      </c>
    </row>
    <row r="8862" spans="1:16" x14ac:dyDescent="0.25">
      <c r="A8862" t="s">
        <v>47746</v>
      </c>
      <c r="B8862" t="s">
        <v>47747</v>
      </c>
      <c r="C8862" t="s">
        <v>17004</v>
      </c>
      <c r="D8862" t="s">
        <v>47632</v>
      </c>
      <c r="E8862" t="s">
        <v>47748</v>
      </c>
      <c r="F8862" t="s">
        <v>31484</v>
      </c>
      <c r="G8862" t="s">
        <v>16231</v>
      </c>
      <c r="H8862" t="s">
        <v>47054</v>
      </c>
      <c r="I8862" t="s">
        <v>47116</v>
      </c>
      <c r="J8862" t="s">
        <v>47117</v>
      </c>
      <c r="K8862" t="s">
        <v>47113</v>
      </c>
      <c r="L8862">
        <v>50.47</v>
      </c>
      <c r="M8862">
        <v>129</v>
      </c>
      <c r="N8862">
        <v>349</v>
      </c>
      <c r="O8862">
        <v>129</v>
      </c>
      <c r="P8862">
        <v>349</v>
      </c>
    </row>
    <row r="8863" spans="1:16" x14ac:dyDescent="0.25">
      <c r="A8863" t="s">
        <v>47749</v>
      </c>
      <c r="B8863" t="s">
        <v>47750</v>
      </c>
      <c r="C8863" t="s">
        <v>47751</v>
      </c>
      <c r="D8863" t="s">
        <v>47604</v>
      </c>
      <c r="E8863" t="s">
        <v>47605</v>
      </c>
      <c r="F8863" t="s">
        <v>46687</v>
      </c>
      <c r="G8863" t="s">
        <v>16233</v>
      </c>
      <c r="H8863" t="s">
        <v>47054</v>
      </c>
      <c r="I8863" t="s">
        <v>47116</v>
      </c>
      <c r="J8863" t="s">
        <v>47117</v>
      </c>
      <c r="K8863" t="s">
        <v>47113</v>
      </c>
      <c r="L8863">
        <v>35.880000000000003</v>
      </c>
      <c r="M8863">
        <v>92</v>
      </c>
      <c r="N8863">
        <v>249</v>
      </c>
      <c r="O8863">
        <v>92</v>
      </c>
      <c r="P8863">
        <v>249</v>
      </c>
    </row>
    <row r="8864" spans="1:16" x14ac:dyDescent="0.25">
      <c r="A8864" t="s">
        <v>47752</v>
      </c>
      <c r="B8864" t="s">
        <v>47753</v>
      </c>
      <c r="C8864" t="s">
        <v>47754</v>
      </c>
      <c r="D8864" t="s">
        <v>47755</v>
      </c>
      <c r="E8864" t="s">
        <v>47756</v>
      </c>
      <c r="F8864" t="s">
        <v>47479</v>
      </c>
      <c r="G8864" t="s">
        <v>16231</v>
      </c>
      <c r="H8864" t="s">
        <v>47054</v>
      </c>
      <c r="I8864" t="s">
        <v>47120</v>
      </c>
      <c r="J8864" t="s">
        <v>47121</v>
      </c>
      <c r="K8864" t="s">
        <v>47113</v>
      </c>
      <c r="L8864">
        <v>35.14</v>
      </c>
      <c r="M8864">
        <v>100</v>
      </c>
      <c r="N8864">
        <v>269</v>
      </c>
      <c r="O8864">
        <v>100</v>
      </c>
      <c r="P8864">
        <v>269</v>
      </c>
    </row>
    <row r="8865" spans="1:16" x14ac:dyDescent="0.25">
      <c r="A8865" t="s">
        <v>47757</v>
      </c>
      <c r="B8865" t="s">
        <v>47758</v>
      </c>
      <c r="C8865" t="s">
        <v>31400</v>
      </c>
      <c r="D8865" t="s">
        <v>47759</v>
      </c>
      <c r="E8865" t="s">
        <v>47760</v>
      </c>
      <c r="F8865" t="s">
        <v>47479</v>
      </c>
      <c r="G8865" t="s">
        <v>16231</v>
      </c>
      <c r="H8865" t="s">
        <v>47054</v>
      </c>
      <c r="I8865" t="s">
        <v>47544</v>
      </c>
      <c r="J8865" t="s">
        <v>47545</v>
      </c>
      <c r="K8865" t="s">
        <v>47113</v>
      </c>
      <c r="L8865">
        <v>70.83</v>
      </c>
      <c r="M8865">
        <v>166</v>
      </c>
      <c r="N8865">
        <v>449</v>
      </c>
      <c r="O8865">
        <v>166</v>
      </c>
      <c r="P8865">
        <v>449</v>
      </c>
    </row>
    <row r="8866" spans="1:16" x14ac:dyDescent="0.25">
      <c r="A8866" t="s">
        <v>47761</v>
      </c>
      <c r="B8866" t="s">
        <v>47762</v>
      </c>
      <c r="C8866" t="s">
        <v>47763</v>
      </c>
      <c r="D8866" t="s">
        <v>30118</v>
      </c>
      <c r="E8866" t="s">
        <v>30119</v>
      </c>
      <c r="F8866" t="s">
        <v>31484</v>
      </c>
      <c r="G8866" t="s">
        <v>16233</v>
      </c>
      <c r="H8866" t="s">
        <v>47054</v>
      </c>
      <c r="I8866" t="s">
        <v>47544</v>
      </c>
      <c r="J8866" t="s">
        <v>47545</v>
      </c>
      <c r="K8866" t="s">
        <v>47113</v>
      </c>
      <c r="L8866">
        <v>35.619999999999997</v>
      </c>
      <c r="M8866">
        <v>92</v>
      </c>
      <c r="N8866">
        <v>249</v>
      </c>
      <c r="O8866">
        <v>92</v>
      </c>
      <c r="P8866">
        <v>249</v>
      </c>
    </row>
    <row r="8867" spans="1:16" x14ac:dyDescent="0.25">
      <c r="A8867" t="s">
        <v>47764</v>
      </c>
      <c r="B8867" t="s">
        <v>47765</v>
      </c>
      <c r="C8867" t="s">
        <v>16978</v>
      </c>
      <c r="D8867" t="s">
        <v>47766</v>
      </c>
      <c r="E8867" t="s">
        <v>47767</v>
      </c>
      <c r="F8867" t="s">
        <v>47488</v>
      </c>
      <c r="G8867" t="s">
        <v>16231</v>
      </c>
      <c r="H8867" t="s">
        <v>47054</v>
      </c>
      <c r="I8867" t="s">
        <v>47120</v>
      </c>
      <c r="J8867" t="s">
        <v>47121</v>
      </c>
      <c r="K8867" t="s">
        <v>47113</v>
      </c>
      <c r="L8867">
        <v>55</v>
      </c>
      <c r="M8867">
        <v>129</v>
      </c>
      <c r="N8867">
        <v>349</v>
      </c>
      <c r="O8867">
        <v>129</v>
      </c>
      <c r="P8867">
        <v>349</v>
      </c>
    </row>
    <row r="8868" spans="1:16" x14ac:dyDescent="0.25">
      <c r="A8868" t="s">
        <v>47768</v>
      </c>
      <c r="B8868" t="s">
        <v>47769</v>
      </c>
      <c r="C8868" t="s">
        <v>47770</v>
      </c>
      <c r="D8868" t="s">
        <v>47771</v>
      </c>
      <c r="E8868" t="s">
        <v>47772</v>
      </c>
      <c r="F8868" t="s">
        <v>47479</v>
      </c>
      <c r="G8868" t="s">
        <v>16231</v>
      </c>
      <c r="H8868" t="s">
        <v>47054</v>
      </c>
      <c r="I8868" t="s">
        <v>47120</v>
      </c>
      <c r="J8868" t="s">
        <v>47121</v>
      </c>
      <c r="K8868" t="s">
        <v>47113</v>
      </c>
      <c r="L8868">
        <v>33.630000000000003</v>
      </c>
      <c r="M8868">
        <v>100</v>
      </c>
      <c r="N8868">
        <v>269</v>
      </c>
      <c r="O8868">
        <v>100</v>
      </c>
      <c r="P8868">
        <v>269</v>
      </c>
    </row>
    <row r="8869" spans="1:16" x14ac:dyDescent="0.25">
      <c r="A8869" t="s">
        <v>47773</v>
      </c>
      <c r="B8869" t="s">
        <v>47774</v>
      </c>
      <c r="C8869" t="s">
        <v>16472</v>
      </c>
      <c r="D8869" t="s">
        <v>47775</v>
      </c>
      <c r="E8869" t="s">
        <v>47776</v>
      </c>
      <c r="F8869" t="s">
        <v>47163</v>
      </c>
      <c r="G8869" t="s">
        <v>16231</v>
      </c>
      <c r="H8869" t="s">
        <v>47054</v>
      </c>
      <c r="I8869" t="s">
        <v>47116</v>
      </c>
      <c r="J8869" t="s">
        <v>47117</v>
      </c>
      <c r="K8869" t="s">
        <v>47113</v>
      </c>
      <c r="L8869">
        <v>44.97</v>
      </c>
      <c r="M8869">
        <v>111</v>
      </c>
      <c r="N8869">
        <v>299</v>
      </c>
      <c r="O8869">
        <v>111</v>
      </c>
      <c r="P8869">
        <v>299</v>
      </c>
    </row>
    <row r="8870" spans="1:16" x14ac:dyDescent="0.25">
      <c r="A8870" t="s">
        <v>31497</v>
      </c>
      <c r="B8870" t="s">
        <v>31498</v>
      </c>
      <c r="C8870" t="s">
        <v>31499</v>
      </c>
      <c r="D8870" t="s">
        <v>31500</v>
      </c>
      <c r="E8870" t="s">
        <v>31501</v>
      </c>
      <c r="F8870" t="s">
        <v>21629</v>
      </c>
      <c r="G8870" t="s">
        <v>16231</v>
      </c>
      <c r="H8870" t="s">
        <v>47054</v>
      </c>
      <c r="I8870" t="s">
        <v>47111</v>
      </c>
      <c r="J8870" t="s">
        <v>47112</v>
      </c>
      <c r="K8870" t="s">
        <v>47113</v>
      </c>
      <c r="L8870">
        <v>51.85</v>
      </c>
      <c r="M8870">
        <v>92</v>
      </c>
      <c r="N8870">
        <v>249</v>
      </c>
      <c r="O8870">
        <v>92</v>
      </c>
      <c r="P8870">
        <v>249</v>
      </c>
    </row>
    <row r="8871" spans="1:16" x14ac:dyDescent="0.25">
      <c r="A8871" t="s">
        <v>47777</v>
      </c>
      <c r="B8871" t="s">
        <v>47778</v>
      </c>
      <c r="C8871" t="s">
        <v>31499</v>
      </c>
      <c r="D8871" t="s">
        <v>47744</v>
      </c>
      <c r="E8871" t="s">
        <v>47745</v>
      </c>
      <c r="F8871" t="s">
        <v>31484</v>
      </c>
      <c r="G8871" t="s">
        <v>16231</v>
      </c>
      <c r="H8871" t="s">
        <v>47054</v>
      </c>
      <c r="I8871" t="s">
        <v>47116</v>
      </c>
      <c r="J8871" t="s">
        <v>47117</v>
      </c>
      <c r="K8871" t="s">
        <v>47113</v>
      </c>
      <c r="L8871">
        <v>37.72</v>
      </c>
      <c r="M8871">
        <v>103</v>
      </c>
      <c r="N8871">
        <v>279</v>
      </c>
      <c r="O8871">
        <v>103</v>
      </c>
      <c r="P8871">
        <v>279</v>
      </c>
    </row>
    <row r="8872" spans="1:16" x14ac:dyDescent="0.25">
      <c r="A8872" t="s">
        <v>47779</v>
      </c>
      <c r="B8872" t="s">
        <v>47780</v>
      </c>
      <c r="C8872" t="s">
        <v>31499</v>
      </c>
      <c r="D8872" t="s">
        <v>47781</v>
      </c>
      <c r="E8872" t="s">
        <v>47782</v>
      </c>
      <c r="F8872" t="s">
        <v>46687</v>
      </c>
      <c r="G8872" t="s">
        <v>16234</v>
      </c>
      <c r="H8872" t="s">
        <v>47054</v>
      </c>
      <c r="I8872" t="s">
        <v>47120</v>
      </c>
      <c r="J8872" t="s">
        <v>47121</v>
      </c>
      <c r="K8872" t="s">
        <v>47113</v>
      </c>
      <c r="L8872">
        <v>59.38</v>
      </c>
      <c r="M8872">
        <v>129</v>
      </c>
      <c r="N8872">
        <v>349</v>
      </c>
      <c r="O8872">
        <v>129</v>
      </c>
      <c r="P8872">
        <v>349</v>
      </c>
    </row>
    <row r="8873" spans="1:16" x14ac:dyDescent="0.25">
      <c r="A8873" t="s">
        <v>47783</v>
      </c>
      <c r="B8873" t="s">
        <v>47784</v>
      </c>
      <c r="C8873" t="s">
        <v>47785</v>
      </c>
      <c r="D8873" t="s">
        <v>47786</v>
      </c>
      <c r="E8873" t="s">
        <v>47787</v>
      </c>
      <c r="F8873" t="s">
        <v>47479</v>
      </c>
      <c r="G8873" t="s">
        <v>16231</v>
      </c>
      <c r="H8873" t="s">
        <v>47054</v>
      </c>
      <c r="I8873" t="s">
        <v>47544</v>
      </c>
      <c r="J8873" t="s">
        <v>47545</v>
      </c>
      <c r="K8873" t="s">
        <v>47113</v>
      </c>
      <c r="L8873">
        <v>41.52</v>
      </c>
      <c r="M8873">
        <v>111</v>
      </c>
      <c r="N8873">
        <v>299</v>
      </c>
      <c r="O8873">
        <v>111</v>
      </c>
      <c r="P8873">
        <v>299</v>
      </c>
    </row>
    <row r="8874" spans="1:16" x14ac:dyDescent="0.25">
      <c r="A8874" t="s">
        <v>47788</v>
      </c>
      <c r="B8874" t="s">
        <v>47789</v>
      </c>
      <c r="C8874" t="s">
        <v>16472</v>
      </c>
      <c r="D8874" t="s">
        <v>1688</v>
      </c>
      <c r="E8874" t="s">
        <v>1689</v>
      </c>
      <c r="F8874" t="s">
        <v>47163</v>
      </c>
      <c r="G8874" t="s">
        <v>16231</v>
      </c>
      <c r="H8874" t="s">
        <v>47054</v>
      </c>
      <c r="I8874" t="s">
        <v>47116</v>
      </c>
      <c r="J8874" t="s">
        <v>47117</v>
      </c>
      <c r="K8874" t="s">
        <v>47113</v>
      </c>
      <c r="L8874">
        <v>55.8</v>
      </c>
      <c r="M8874">
        <v>111</v>
      </c>
      <c r="N8874">
        <v>299</v>
      </c>
      <c r="O8874">
        <v>111</v>
      </c>
      <c r="P8874">
        <v>299</v>
      </c>
    </row>
    <row r="8875" spans="1:16" x14ac:dyDescent="0.25">
      <c r="A8875" t="s">
        <v>47790</v>
      </c>
      <c r="B8875" t="s">
        <v>47791</v>
      </c>
      <c r="C8875" t="s">
        <v>16472</v>
      </c>
      <c r="D8875" t="s">
        <v>47792</v>
      </c>
      <c r="E8875" t="s">
        <v>47793</v>
      </c>
      <c r="F8875" t="s">
        <v>31484</v>
      </c>
      <c r="G8875" t="s">
        <v>16231</v>
      </c>
      <c r="H8875" t="s">
        <v>47054</v>
      </c>
      <c r="I8875" t="s">
        <v>47111</v>
      </c>
      <c r="J8875" t="s">
        <v>47112</v>
      </c>
      <c r="K8875" t="s">
        <v>47113</v>
      </c>
      <c r="L8875">
        <v>33.57</v>
      </c>
      <c r="M8875">
        <v>129</v>
      </c>
      <c r="N8875">
        <v>349</v>
      </c>
      <c r="O8875">
        <v>129</v>
      </c>
      <c r="P8875">
        <v>349</v>
      </c>
    </row>
    <row r="8876" spans="1:16" x14ac:dyDescent="0.25">
      <c r="A8876" t="s">
        <v>47794</v>
      </c>
      <c r="B8876" t="s">
        <v>47795</v>
      </c>
      <c r="C8876" t="s">
        <v>47785</v>
      </c>
      <c r="D8876" t="s">
        <v>47796</v>
      </c>
      <c r="E8876" t="s">
        <v>47797</v>
      </c>
      <c r="F8876" t="s">
        <v>47488</v>
      </c>
      <c r="G8876" t="s">
        <v>16231</v>
      </c>
      <c r="H8876" t="s">
        <v>47054</v>
      </c>
      <c r="I8876" t="s">
        <v>47116</v>
      </c>
      <c r="J8876" t="s">
        <v>47117</v>
      </c>
      <c r="K8876" t="s">
        <v>47113</v>
      </c>
      <c r="L8876">
        <v>63.32</v>
      </c>
      <c r="M8876">
        <v>148</v>
      </c>
      <c r="N8876">
        <v>399</v>
      </c>
      <c r="O8876">
        <v>148</v>
      </c>
      <c r="P8876">
        <v>399</v>
      </c>
    </row>
    <row r="8877" spans="1:16" x14ac:dyDescent="0.25">
      <c r="A8877" t="s">
        <v>31502</v>
      </c>
      <c r="B8877" t="s">
        <v>31503</v>
      </c>
      <c r="C8877" t="s">
        <v>17396</v>
      </c>
      <c r="D8877" t="s">
        <v>31504</v>
      </c>
      <c r="E8877" t="s">
        <v>31505</v>
      </c>
      <c r="F8877" t="s">
        <v>20496</v>
      </c>
      <c r="G8877" t="s">
        <v>16231</v>
      </c>
      <c r="H8877" t="s">
        <v>47054</v>
      </c>
      <c r="I8877" t="s">
        <v>47544</v>
      </c>
      <c r="J8877" t="s">
        <v>47545</v>
      </c>
      <c r="K8877" t="s">
        <v>47113</v>
      </c>
      <c r="L8877">
        <v>19.41</v>
      </c>
      <c r="M8877">
        <v>70</v>
      </c>
      <c r="N8877">
        <v>189</v>
      </c>
      <c r="O8877">
        <v>70</v>
      </c>
      <c r="P8877">
        <v>189</v>
      </c>
    </row>
    <row r="8878" spans="1:16" x14ac:dyDescent="0.25">
      <c r="A8878" t="s">
        <v>47798</v>
      </c>
      <c r="B8878" t="s">
        <v>47799</v>
      </c>
      <c r="C8878" t="s">
        <v>47800</v>
      </c>
      <c r="D8878" t="s">
        <v>47693</v>
      </c>
      <c r="E8878" t="s">
        <v>47694</v>
      </c>
      <c r="F8878" t="s">
        <v>46687</v>
      </c>
      <c r="G8878" t="s">
        <v>16231</v>
      </c>
      <c r="H8878" t="s">
        <v>47054</v>
      </c>
      <c r="I8878" t="s">
        <v>47544</v>
      </c>
      <c r="J8878" t="s">
        <v>47545</v>
      </c>
      <c r="K8878" t="s">
        <v>47113</v>
      </c>
      <c r="L8878">
        <v>27.98</v>
      </c>
      <c r="M8878">
        <v>92</v>
      </c>
      <c r="N8878">
        <v>249</v>
      </c>
      <c r="O8878">
        <v>92</v>
      </c>
      <c r="P8878">
        <v>249</v>
      </c>
    </row>
    <row r="8879" spans="1:16" x14ac:dyDescent="0.25">
      <c r="A8879" t="s">
        <v>47801</v>
      </c>
      <c r="B8879" t="s">
        <v>47802</v>
      </c>
      <c r="C8879" t="s">
        <v>17396</v>
      </c>
      <c r="D8879" t="s">
        <v>47803</v>
      </c>
      <c r="E8879" t="s">
        <v>47804</v>
      </c>
      <c r="F8879" t="s">
        <v>47479</v>
      </c>
      <c r="G8879" t="s">
        <v>16231</v>
      </c>
      <c r="H8879" t="s">
        <v>47054</v>
      </c>
      <c r="I8879" t="s">
        <v>47544</v>
      </c>
      <c r="J8879" t="s">
        <v>47545</v>
      </c>
      <c r="K8879" t="s">
        <v>47113</v>
      </c>
      <c r="L8879">
        <v>34.47</v>
      </c>
      <c r="M8879">
        <v>92</v>
      </c>
      <c r="N8879">
        <v>249</v>
      </c>
      <c r="O8879">
        <v>92</v>
      </c>
      <c r="P8879">
        <v>249</v>
      </c>
    </row>
    <row r="8880" spans="1:16" x14ac:dyDescent="0.25">
      <c r="A8880" t="s">
        <v>31506</v>
      </c>
      <c r="B8880" t="s">
        <v>31507</v>
      </c>
      <c r="C8880" t="s">
        <v>20407</v>
      </c>
      <c r="D8880" t="s">
        <v>31480</v>
      </c>
      <c r="E8880" t="s">
        <v>31481</v>
      </c>
      <c r="F8880" t="s">
        <v>19559</v>
      </c>
      <c r="G8880" t="s">
        <v>16231</v>
      </c>
      <c r="H8880" t="s">
        <v>47054</v>
      </c>
      <c r="I8880" t="s">
        <v>47111</v>
      </c>
      <c r="J8880" t="s">
        <v>47112</v>
      </c>
      <c r="K8880" t="s">
        <v>47113</v>
      </c>
      <c r="L8880">
        <v>129.63</v>
      </c>
      <c r="M8880">
        <v>222</v>
      </c>
      <c r="N8880">
        <v>599</v>
      </c>
      <c r="O8880">
        <v>222</v>
      </c>
      <c r="P8880">
        <v>599</v>
      </c>
    </row>
    <row r="8881" spans="1:16" x14ac:dyDescent="0.25">
      <c r="A8881" t="s">
        <v>47805</v>
      </c>
      <c r="B8881" t="s">
        <v>47806</v>
      </c>
      <c r="C8881" t="s">
        <v>47807</v>
      </c>
      <c r="D8881" t="s">
        <v>47632</v>
      </c>
      <c r="E8881" t="s">
        <v>47748</v>
      </c>
      <c r="F8881" t="s">
        <v>31484</v>
      </c>
      <c r="G8881" t="s">
        <v>16231</v>
      </c>
      <c r="H8881" t="s">
        <v>47054</v>
      </c>
      <c r="I8881" t="s">
        <v>47116</v>
      </c>
      <c r="J8881" t="s">
        <v>47117</v>
      </c>
      <c r="K8881" t="s">
        <v>47113</v>
      </c>
      <c r="L8881">
        <v>42.53</v>
      </c>
      <c r="M8881">
        <v>103</v>
      </c>
      <c r="N8881">
        <v>279</v>
      </c>
      <c r="O8881">
        <v>103</v>
      </c>
      <c r="P8881">
        <v>279</v>
      </c>
    </row>
    <row r="8882" spans="1:16" x14ac:dyDescent="0.25">
      <c r="A8882" t="s">
        <v>31508</v>
      </c>
      <c r="B8882" t="s">
        <v>31509</v>
      </c>
      <c r="C8882" t="s">
        <v>20407</v>
      </c>
      <c r="D8882" t="s">
        <v>31480</v>
      </c>
      <c r="E8882" t="s">
        <v>31481</v>
      </c>
      <c r="F8882" t="s">
        <v>19559</v>
      </c>
      <c r="G8882" t="s">
        <v>16231</v>
      </c>
      <c r="H8882" t="s">
        <v>47054</v>
      </c>
      <c r="I8882" t="s">
        <v>47116</v>
      </c>
      <c r="J8882" t="s">
        <v>47117</v>
      </c>
      <c r="K8882" t="s">
        <v>47113</v>
      </c>
      <c r="L8882">
        <v>64.47</v>
      </c>
      <c r="M8882">
        <v>111</v>
      </c>
      <c r="N8882">
        <v>299</v>
      </c>
      <c r="O8882">
        <v>111</v>
      </c>
      <c r="P8882">
        <v>299</v>
      </c>
    </row>
    <row r="8883" spans="1:16" x14ac:dyDescent="0.25">
      <c r="A8883" t="s">
        <v>47808</v>
      </c>
      <c r="B8883" t="s">
        <v>47809</v>
      </c>
      <c r="C8883" t="s">
        <v>16469</v>
      </c>
      <c r="D8883" t="s">
        <v>47744</v>
      </c>
      <c r="E8883" t="s">
        <v>47745</v>
      </c>
      <c r="F8883" t="s">
        <v>31484</v>
      </c>
      <c r="G8883" t="s">
        <v>16231</v>
      </c>
      <c r="H8883" t="s">
        <v>47054</v>
      </c>
      <c r="I8883" t="s">
        <v>47116</v>
      </c>
      <c r="J8883" t="s">
        <v>47117</v>
      </c>
      <c r="K8883" t="s">
        <v>47113</v>
      </c>
      <c r="L8883">
        <v>50.9</v>
      </c>
      <c r="M8883">
        <v>129</v>
      </c>
      <c r="N8883">
        <v>349</v>
      </c>
      <c r="O8883">
        <v>129</v>
      </c>
      <c r="P8883">
        <v>349</v>
      </c>
    </row>
    <row r="8884" spans="1:16" x14ac:dyDescent="0.25">
      <c r="A8884" t="s">
        <v>47810</v>
      </c>
      <c r="B8884" t="s">
        <v>47811</v>
      </c>
      <c r="C8884" t="s">
        <v>16469</v>
      </c>
      <c r="D8884" t="s">
        <v>47608</v>
      </c>
      <c r="E8884" t="s">
        <v>47609</v>
      </c>
      <c r="F8884" t="s">
        <v>47163</v>
      </c>
      <c r="G8884" t="s">
        <v>16231</v>
      </c>
      <c r="H8884" t="s">
        <v>47054</v>
      </c>
      <c r="I8884" t="s">
        <v>47116</v>
      </c>
      <c r="J8884" t="s">
        <v>47117</v>
      </c>
      <c r="K8884" t="s">
        <v>47113</v>
      </c>
      <c r="L8884">
        <v>38.6</v>
      </c>
      <c r="M8884">
        <v>103</v>
      </c>
      <c r="N8884">
        <v>279</v>
      </c>
      <c r="O8884">
        <v>103</v>
      </c>
      <c r="P8884">
        <v>279</v>
      </c>
    </row>
    <row r="8885" spans="1:16" x14ac:dyDescent="0.25">
      <c r="A8885" t="s">
        <v>31510</v>
      </c>
      <c r="B8885" t="s">
        <v>31511</v>
      </c>
      <c r="C8885" t="s">
        <v>20467</v>
      </c>
      <c r="D8885" t="s">
        <v>721</v>
      </c>
      <c r="E8885" t="s">
        <v>722</v>
      </c>
      <c r="F8885" t="s">
        <v>19559</v>
      </c>
      <c r="G8885" t="s">
        <v>16231</v>
      </c>
      <c r="H8885" t="s">
        <v>47054</v>
      </c>
      <c r="I8885" t="s">
        <v>47544</v>
      </c>
      <c r="J8885" t="s">
        <v>47545</v>
      </c>
      <c r="K8885" t="s">
        <v>47113</v>
      </c>
      <c r="L8885">
        <v>23.32</v>
      </c>
      <c r="M8885">
        <v>74</v>
      </c>
      <c r="N8885">
        <v>199</v>
      </c>
      <c r="O8885">
        <v>74</v>
      </c>
      <c r="P8885">
        <v>199</v>
      </c>
    </row>
    <row r="8886" spans="1:16" x14ac:dyDescent="0.25">
      <c r="A8886" t="s">
        <v>47812</v>
      </c>
      <c r="B8886" t="s">
        <v>47813</v>
      </c>
      <c r="C8886" t="s">
        <v>16469</v>
      </c>
      <c r="D8886" t="s">
        <v>47814</v>
      </c>
      <c r="E8886" t="s">
        <v>47815</v>
      </c>
      <c r="F8886" t="s">
        <v>47488</v>
      </c>
      <c r="G8886" t="s">
        <v>16231</v>
      </c>
      <c r="H8886" t="s">
        <v>47054</v>
      </c>
      <c r="I8886" t="s">
        <v>47116</v>
      </c>
      <c r="J8886" t="s">
        <v>47117</v>
      </c>
      <c r="K8886" t="s">
        <v>47113</v>
      </c>
      <c r="L8886">
        <v>33.979999999999997</v>
      </c>
      <c r="M8886">
        <v>92</v>
      </c>
      <c r="N8886">
        <v>249</v>
      </c>
      <c r="O8886">
        <v>92</v>
      </c>
      <c r="P8886">
        <v>249</v>
      </c>
    </row>
    <row r="8887" spans="1:16" x14ac:dyDescent="0.25">
      <c r="A8887" t="s">
        <v>31512</v>
      </c>
      <c r="B8887" t="s">
        <v>31513</v>
      </c>
      <c r="C8887" t="s">
        <v>16469</v>
      </c>
      <c r="D8887" t="s">
        <v>1688</v>
      </c>
      <c r="E8887" t="s">
        <v>1689</v>
      </c>
      <c r="F8887" t="s">
        <v>21629</v>
      </c>
      <c r="G8887" t="s">
        <v>16231</v>
      </c>
      <c r="H8887" t="s">
        <v>47054</v>
      </c>
      <c r="I8887" t="s">
        <v>47111</v>
      </c>
      <c r="J8887" t="s">
        <v>47112</v>
      </c>
      <c r="K8887" t="s">
        <v>47113</v>
      </c>
      <c r="L8887">
        <v>59.05</v>
      </c>
      <c r="M8887">
        <v>111</v>
      </c>
      <c r="N8887">
        <v>299</v>
      </c>
      <c r="O8887">
        <v>111</v>
      </c>
      <c r="P8887">
        <v>299</v>
      </c>
    </row>
    <row r="8888" spans="1:16" x14ac:dyDescent="0.25">
      <c r="A8888" t="s">
        <v>47816</v>
      </c>
      <c r="B8888" t="s">
        <v>47817</v>
      </c>
      <c r="C8888" t="s">
        <v>16469</v>
      </c>
      <c r="D8888" t="s">
        <v>47818</v>
      </c>
      <c r="E8888" t="s">
        <v>47819</v>
      </c>
      <c r="F8888" t="s">
        <v>47171</v>
      </c>
      <c r="G8888" t="s">
        <v>16231</v>
      </c>
      <c r="H8888" t="s">
        <v>47054</v>
      </c>
      <c r="I8888" t="s">
        <v>47544</v>
      </c>
      <c r="J8888" t="s">
        <v>47545</v>
      </c>
      <c r="K8888" t="s">
        <v>47113</v>
      </c>
      <c r="L8888">
        <v>39.799999999999997</v>
      </c>
      <c r="M8888">
        <v>111</v>
      </c>
      <c r="N8888">
        <v>299</v>
      </c>
      <c r="O8888">
        <v>111</v>
      </c>
      <c r="P8888">
        <v>299</v>
      </c>
    </row>
    <row r="8889" spans="1:16" x14ac:dyDescent="0.25">
      <c r="A8889" t="s">
        <v>47820</v>
      </c>
      <c r="B8889" t="s">
        <v>47821</v>
      </c>
      <c r="C8889" t="s">
        <v>17523</v>
      </c>
      <c r="D8889" t="s">
        <v>47822</v>
      </c>
      <c r="E8889" t="s">
        <v>47823</v>
      </c>
      <c r="F8889" t="s">
        <v>47171</v>
      </c>
      <c r="G8889" t="s">
        <v>16231</v>
      </c>
      <c r="H8889" t="s">
        <v>47054</v>
      </c>
      <c r="I8889" t="s">
        <v>47544</v>
      </c>
      <c r="J8889" t="s">
        <v>47545</v>
      </c>
      <c r="K8889" t="s">
        <v>47113</v>
      </c>
      <c r="L8889">
        <v>41.82</v>
      </c>
      <c r="M8889">
        <v>111</v>
      </c>
      <c r="N8889">
        <v>299</v>
      </c>
      <c r="O8889">
        <v>111</v>
      </c>
      <c r="P8889">
        <v>299</v>
      </c>
    </row>
    <row r="8890" spans="1:16" x14ac:dyDescent="0.25">
      <c r="A8890" t="s">
        <v>47824</v>
      </c>
      <c r="B8890" t="s">
        <v>47825</v>
      </c>
      <c r="C8890" t="s">
        <v>17523</v>
      </c>
      <c r="D8890" t="s">
        <v>47632</v>
      </c>
      <c r="E8890" t="s">
        <v>47748</v>
      </c>
      <c r="F8890" t="s">
        <v>31484</v>
      </c>
      <c r="G8890" t="s">
        <v>16231</v>
      </c>
      <c r="H8890" t="s">
        <v>47054</v>
      </c>
      <c r="I8890" t="s">
        <v>47116</v>
      </c>
      <c r="J8890" t="s">
        <v>47117</v>
      </c>
      <c r="K8890" t="s">
        <v>47113</v>
      </c>
      <c r="L8890">
        <v>52.65</v>
      </c>
      <c r="M8890">
        <v>129</v>
      </c>
      <c r="N8890">
        <v>349</v>
      </c>
      <c r="O8890">
        <v>129</v>
      </c>
      <c r="P8890">
        <v>349</v>
      </c>
    </row>
    <row r="8891" spans="1:16" x14ac:dyDescent="0.25">
      <c r="A8891" t="s">
        <v>31514</v>
      </c>
      <c r="B8891" t="s">
        <v>31515</v>
      </c>
      <c r="C8891" t="s">
        <v>17523</v>
      </c>
      <c r="D8891" t="s">
        <v>31480</v>
      </c>
      <c r="E8891" t="s">
        <v>31481</v>
      </c>
      <c r="F8891" t="s">
        <v>19559</v>
      </c>
      <c r="G8891" t="s">
        <v>16231</v>
      </c>
      <c r="H8891" t="s">
        <v>47054</v>
      </c>
      <c r="I8891" t="s">
        <v>47111</v>
      </c>
      <c r="J8891" t="s">
        <v>47112</v>
      </c>
      <c r="K8891" t="s">
        <v>47113</v>
      </c>
      <c r="L8891">
        <v>129.63</v>
      </c>
      <c r="M8891">
        <v>222</v>
      </c>
      <c r="N8891">
        <v>599</v>
      </c>
      <c r="O8891">
        <v>222</v>
      </c>
      <c r="P8891">
        <v>599</v>
      </c>
    </row>
    <row r="8892" spans="1:16" x14ac:dyDescent="0.25">
      <c r="A8892" t="s">
        <v>31516</v>
      </c>
      <c r="B8892" t="s">
        <v>31517</v>
      </c>
      <c r="C8892" t="s">
        <v>17523</v>
      </c>
      <c r="D8892" t="s">
        <v>31480</v>
      </c>
      <c r="E8892" t="s">
        <v>31481</v>
      </c>
      <c r="F8892" t="s">
        <v>19559</v>
      </c>
      <c r="G8892" t="s">
        <v>16231</v>
      </c>
      <c r="H8892" t="s">
        <v>47054</v>
      </c>
      <c r="I8892" t="s">
        <v>47116</v>
      </c>
      <c r="J8892" t="s">
        <v>47117</v>
      </c>
      <c r="K8892" t="s">
        <v>47113</v>
      </c>
      <c r="L8892">
        <v>64.47</v>
      </c>
      <c r="M8892">
        <v>111</v>
      </c>
      <c r="N8892">
        <v>299</v>
      </c>
      <c r="O8892">
        <v>111</v>
      </c>
      <c r="P8892">
        <v>299</v>
      </c>
    </row>
    <row r="8893" spans="1:16" x14ac:dyDescent="0.25">
      <c r="A8893" t="s">
        <v>47826</v>
      </c>
      <c r="B8893" t="s">
        <v>47827</v>
      </c>
      <c r="C8893" t="s">
        <v>16469</v>
      </c>
      <c r="D8893" t="s">
        <v>47828</v>
      </c>
      <c r="E8893" t="s">
        <v>47829</v>
      </c>
      <c r="F8893" t="s">
        <v>47171</v>
      </c>
      <c r="G8893" t="s">
        <v>16231</v>
      </c>
      <c r="H8893" t="s">
        <v>47054</v>
      </c>
      <c r="I8893" t="s">
        <v>47120</v>
      </c>
      <c r="J8893" t="s">
        <v>47121</v>
      </c>
      <c r="K8893" t="s">
        <v>47113</v>
      </c>
      <c r="L8893">
        <v>36.76</v>
      </c>
      <c r="M8893">
        <v>111</v>
      </c>
      <c r="N8893">
        <v>299</v>
      </c>
      <c r="O8893">
        <v>111</v>
      </c>
      <c r="P8893">
        <v>299</v>
      </c>
    </row>
    <row r="8894" spans="1:16" x14ac:dyDescent="0.25">
      <c r="A8894" t="s">
        <v>47830</v>
      </c>
      <c r="B8894" t="s">
        <v>47831</v>
      </c>
      <c r="C8894" t="s">
        <v>47832</v>
      </c>
      <c r="D8894" t="s">
        <v>30118</v>
      </c>
      <c r="E8894" t="s">
        <v>30119</v>
      </c>
      <c r="F8894" t="s">
        <v>47163</v>
      </c>
      <c r="G8894" t="s">
        <v>16231</v>
      </c>
      <c r="H8894" t="s">
        <v>47054</v>
      </c>
      <c r="I8894" t="s">
        <v>47544</v>
      </c>
      <c r="J8894" t="s">
        <v>47545</v>
      </c>
      <c r="K8894" t="s">
        <v>47113</v>
      </c>
      <c r="L8894">
        <v>37.01</v>
      </c>
      <c r="M8894">
        <v>111</v>
      </c>
      <c r="N8894">
        <v>299</v>
      </c>
      <c r="O8894">
        <v>111</v>
      </c>
      <c r="P8894">
        <v>299</v>
      </c>
    </row>
    <row r="8895" spans="1:16" x14ac:dyDescent="0.25">
      <c r="A8895" t="s">
        <v>47833</v>
      </c>
      <c r="B8895" t="s">
        <v>47834</v>
      </c>
      <c r="C8895" t="s">
        <v>47832</v>
      </c>
      <c r="D8895" t="s">
        <v>47675</v>
      </c>
      <c r="E8895" t="s">
        <v>47676</v>
      </c>
      <c r="F8895" t="s">
        <v>31484</v>
      </c>
      <c r="G8895" t="s">
        <v>16231</v>
      </c>
      <c r="H8895" t="s">
        <v>47054</v>
      </c>
      <c r="I8895" t="s">
        <v>47111</v>
      </c>
      <c r="J8895" t="s">
        <v>47112</v>
      </c>
      <c r="K8895" t="s">
        <v>47113</v>
      </c>
      <c r="L8895">
        <v>32.549999999999997</v>
      </c>
      <c r="M8895">
        <v>111</v>
      </c>
      <c r="N8895">
        <v>299</v>
      </c>
      <c r="O8895">
        <v>111</v>
      </c>
      <c r="P8895">
        <v>299</v>
      </c>
    </row>
    <row r="8896" spans="1:16" x14ac:dyDescent="0.25">
      <c r="A8896" t="s">
        <v>47835</v>
      </c>
      <c r="B8896" t="s">
        <v>47836</v>
      </c>
      <c r="C8896" t="s">
        <v>16848</v>
      </c>
      <c r="D8896" t="s">
        <v>47740</v>
      </c>
      <c r="E8896" t="s">
        <v>47741</v>
      </c>
      <c r="F8896" t="s">
        <v>47171</v>
      </c>
      <c r="G8896" t="s">
        <v>16231</v>
      </c>
      <c r="H8896" t="s">
        <v>47054</v>
      </c>
      <c r="I8896" t="s">
        <v>47116</v>
      </c>
      <c r="J8896" t="s">
        <v>47117</v>
      </c>
      <c r="K8896" t="s">
        <v>47113</v>
      </c>
      <c r="L8896">
        <v>62.26</v>
      </c>
      <c r="M8896">
        <v>148</v>
      </c>
      <c r="N8896">
        <v>399</v>
      </c>
      <c r="O8896">
        <v>148</v>
      </c>
      <c r="P8896">
        <v>399</v>
      </c>
    </row>
    <row r="8897" spans="1:16" x14ac:dyDescent="0.25">
      <c r="A8897" t="s">
        <v>31518</v>
      </c>
      <c r="B8897" t="s">
        <v>31519</v>
      </c>
      <c r="C8897" t="s">
        <v>16848</v>
      </c>
      <c r="D8897" t="s">
        <v>31500</v>
      </c>
      <c r="E8897" t="s">
        <v>31501</v>
      </c>
      <c r="F8897" t="s">
        <v>21629</v>
      </c>
      <c r="G8897" t="s">
        <v>16231</v>
      </c>
      <c r="H8897" t="s">
        <v>47054</v>
      </c>
      <c r="I8897" t="s">
        <v>47111</v>
      </c>
      <c r="J8897" t="s">
        <v>47112</v>
      </c>
      <c r="K8897" t="s">
        <v>47113</v>
      </c>
      <c r="L8897">
        <v>41.08</v>
      </c>
      <c r="M8897">
        <v>92</v>
      </c>
      <c r="N8897">
        <v>249</v>
      </c>
      <c r="O8897">
        <v>92</v>
      </c>
      <c r="P8897">
        <v>249</v>
      </c>
    </row>
    <row r="8898" spans="1:16" x14ac:dyDescent="0.25">
      <c r="A8898" t="s">
        <v>31520</v>
      </c>
      <c r="B8898" t="s">
        <v>31521</v>
      </c>
      <c r="C8898" t="s">
        <v>16848</v>
      </c>
      <c r="D8898" t="s">
        <v>31522</v>
      </c>
      <c r="E8898" t="s">
        <v>31523</v>
      </c>
      <c r="F8898" t="s">
        <v>24622</v>
      </c>
      <c r="G8898" t="s">
        <v>16231</v>
      </c>
      <c r="H8898" t="s">
        <v>47054</v>
      </c>
      <c r="I8898" t="s">
        <v>47111</v>
      </c>
      <c r="J8898" t="s">
        <v>47112</v>
      </c>
      <c r="K8898" t="s">
        <v>47113</v>
      </c>
      <c r="L8898">
        <v>60.35</v>
      </c>
      <c r="M8898">
        <v>111</v>
      </c>
      <c r="N8898">
        <v>299</v>
      </c>
      <c r="O8898">
        <v>111</v>
      </c>
      <c r="P8898">
        <v>299</v>
      </c>
    </row>
    <row r="8899" spans="1:16" x14ac:dyDescent="0.25">
      <c r="A8899" t="s">
        <v>47837</v>
      </c>
      <c r="B8899" t="s">
        <v>47838</v>
      </c>
      <c r="C8899" t="s">
        <v>47839</v>
      </c>
      <c r="D8899" t="s">
        <v>47632</v>
      </c>
      <c r="E8899" t="s">
        <v>47748</v>
      </c>
      <c r="F8899" t="s">
        <v>31484</v>
      </c>
      <c r="G8899" t="s">
        <v>16231</v>
      </c>
      <c r="H8899" t="s">
        <v>47054</v>
      </c>
      <c r="I8899" t="s">
        <v>47116</v>
      </c>
      <c r="J8899" t="s">
        <v>47117</v>
      </c>
      <c r="K8899" t="s">
        <v>47113</v>
      </c>
      <c r="L8899">
        <v>42.53</v>
      </c>
      <c r="M8899">
        <v>111</v>
      </c>
      <c r="N8899">
        <v>299</v>
      </c>
      <c r="O8899">
        <v>111</v>
      </c>
      <c r="P8899">
        <v>299</v>
      </c>
    </row>
    <row r="8900" spans="1:16" x14ac:dyDescent="0.25">
      <c r="A8900" t="s">
        <v>47840</v>
      </c>
      <c r="B8900" t="s">
        <v>47841</v>
      </c>
      <c r="C8900" t="s">
        <v>16924</v>
      </c>
      <c r="D8900" t="s">
        <v>47775</v>
      </c>
      <c r="E8900" t="s">
        <v>47776</v>
      </c>
      <c r="F8900" t="s">
        <v>47185</v>
      </c>
      <c r="G8900" t="s">
        <v>16231</v>
      </c>
      <c r="H8900" t="s">
        <v>47054</v>
      </c>
      <c r="I8900" t="s">
        <v>47116</v>
      </c>
      <c r="J8900" t="s">
        <v>47117</v>
      </c>
      <c r="K8900" t="s">
        <v>47113</v>
      </c>
      <c r="L8900">
        <v>53.67</v>
      </c>
      <c r="M8900">
        <v>129</v>
      </c>
      <c r="N8900">
        <v>349</v>
      </c>
      <c r="O8900">
        <v>129</v>
      </c>
      <c r="P8900">
        <v>349</v>
      </c>
    </row>
    <row r="8901" spans="1:16" x14ac:dyDescent="0.25">
      <c r="A8901" t="s">
        <v>31524</v>
      </c>
      <c r="B8901" t="s">
        <v>31525</v>
      </c>
      <c r="C8901" t="s">
        <v>16924</v>
      </c>
      <c r="D8901" t="s">
        <v>31526</v>
      </c>
      <c r="E8901" t="s">
        <v>31527</v>
      </c>
      <c r="F8901" t="s">
        <v>19559</v>
      </c>
      <c r="G8901" t="s">
        <v>16231</v>
      </c>
      <c r="H8901" t="s">
        <v>47054</v>
      </c>
      <c r="I8901" t="s">
        <v>47111</v>
      </c>
      <c r="J8901" t="s">
        <v>47112</v>
      </c>
      <c r="K8901" t="s">
        <v>47113</v>
      </c>
      <c r="L8901">
        <v>129.63</v>
      </c>
      <c r="M8901">
        <v>222</v>
      </c>
      <c r="N8901">
        <v>599</v>
      </c>
      <c r="O8901">
        <v>222</v>
      </c>
      <c r="P8901">
        <v>599</v>
      </c>
    </row>
    <row r="8902" spans="1:16" x14ac:dyDescent="0.25">
      <c r="A8902" t="s">
        <v>47842</v>
      </c>
      <c r="B8902" t="s">
        <v>47843</v>
      </c>
      <c r="C8902" t="s">
        <v>16848</v>
      </c>
      <c r="D8902" t="s">
        <v>47844</v>
      </c>
      <c r="E8902" t="s">
        <v>47845</v>
      </c>
      <c r="F8902" t="s">
        <v>47163</v>
      </c>
      <c r="G8902" t="s">
        <v>16231</v>
      </c>
      <c r="H8902" t="s">
        <v>47054</v>
      </c>
      <c r="I8902" t="s">
        <v>47120</v>
      </c>
      <c r="J8902" t="s">
        <v>47121</v>
      </c>
      <c r="K8902" t="s">
        <v>47113</v>
      </c>
      <c r="L8902">
        <v>27.26</v>
      </c>
      <c r="M8902">
        <v>92</v>
      </c>
      <c r="N8902">
        <v>249</v>
      </c>
      <c r="O8902">
        <v>92</v>
      </c>
      <c r="P8902">
        <v>249</v>
      </c>
    </row>
    <row r="8903" spans="1:16" x14ac:dyDescent="0.25">
      <c r="A8903" t="s">
        <v>47846</v>
      </c>
      <c r="B8903" t="s">
        <v>47847</v>
      </c>
      <c r="C8903" t="s">
        <v>16924</v>
      </c>
      <c r="D8903" t="s">
        <v>47822</v>
      </c>
      <c r="E8903" t="s">
        <v>47823</v>
      </c>
      <c r="F8903" t="s">
        <v>47171</v>
      </c>
      <c r="G8903" t="s">
        <v>16231</v>
      </c>
      <c r="H8903" t="s">
        <v>47054</v>
      </c>
      <c r="I8903" t="s">
        <v>47544</v>
      </c>
      <c r="J8903" t="s">
        <v>47545</v>
      </c>
      <c r="K8903" t="s">
        <v>47113</v>
      </c>
      <c r="L8903">
        <v>40.630000000000003</v>
      </c>
      <c r="M8903">
        <v>111</v>
      </c>
      <c r="N8903">
        <v>299</v>
      </c>
      <c r="O8903">
        <v>111</v>
      </c>
      <c r="P8903">
        <v>299</v>
      </c>
    </row>
    <row r="8904" spans="1:16" x14ac:dyDescent="0.25">
      <c r="A8904" t="s">
        <v>47848</v>
      </c>
      <c r="B8904" t="s">
        <v>47849</v>
      </c>
      <c r="C8904" t="s">
        <v>16924</v>
      </c>
      <c r="D8904" t="str">
        <f>"1700"</f>
        <v>1700</v>
      </c>
      <c r="E8904" t="s">
        <v>47636</v>
      </c>
      <c r="F8904" t="s">
        <v>31484</v>
      </c>
      <c r="G8904" t="s">
        <v>16231</v>
      </c>
      <c r="H8904" t="s">
        <v>47054</v>
      </c>
      <c r="I8904" t="s">
        <v>47120</v>
      </c>
      <c r="J8904" t="s">
        <v>47121</v>
      </c>
      <c r="K8904" t="s">
        <v>47113</v>
      </c>
      <c r="L8904">
        <v>28.25</v>
      </c>
      <c r="M8904">
        <v>129</v>
      </c>
      <c r="N8904">
        <v>349</v>
      </c>
      <c r="O8904">
        <v>129</v>
      </c>
      <c r="P8904">
        <v>349</v>
      </c>
    </row>
    <row r="8905" spans="1:16" x14ac:dyDescent="0.25">
      <c r="A8905" t="s">
        <v>47850</v>
      </c>
      <c r="B8905" t="s">
        <v>47851</v>
      </c>
      <c r="C8905" t="s">
        <v>19549</v>
      </c>
      <c r="D8905" t="s">
        <v>47852</v>
      </c>
      <c r="E8905" t="s">
        <v>47853</v>
      </c>
      <c r="F8905" t="s">
        <v>47488</v>
      </c>
      <c r="G8905" t="s">
        <v>16231</v>
      </c>
      <c r="H8905" t="s">
        <v>47054</v>
      </c>
      <c r="I8905" t="s">
        <v>47116</v>
      </c>
      <c r="J8905" t="s">
        <v>47117</v>
      </c>
      <c r="K8905" t="s">
        <v>47113</v>
      </c>
      <c r="L8905">
        <v>42.83</v>
      </c>
      <c r="M8905">
        <v>111</v>
      </c>
      <c r="N8905">
        <v>299</v>
      </c>
      <c r="O8905">
        <v>111</v>
      </c>
      <c r="P8905">
        <v>299</v>
      </c>
    </row>
    <row r="8906" spans="1:16" x14ac:dyDescent="0.25">
      <c r="A8906" t="s">
        <v>47854</v>
      </c>
      <c r="B8906" t="s">
        <v>47855</v>
      </c>
      <c r="C8906" t="s">
        <v>16848</v>
      </c>
      <c r="D8906" t="s">
        <v>47856</v>
      </c>
      <c r="E8906" t="s">
        <v>47857</v>
      </c>
      <c r="F8906" t="s">
        <v>47185</v>
      </c>
      <c r="G8906" t="s">
        <v>16231</v>
      </c>
      <c r="H8906" t="s">
        <v>47054</v>
      </c>
      <c r="I8906" t="s">
        <v>47116</v>
      </c>
      <c r="J8906" t="s">
        <v>47117</v>
      </c>
      <c r="K8906" t="s">
        <v>47113</v>
      </c>
      <c r="L8906">
        <v>39.4</v>
      </c>
      <c r="M8906">
        <v>103</v>
      </c>
      <c r="N8906">
        <v>279</v>
      </c>
      <c r="O8906">
        <v>103</v>
      </c>
      <c r="P8906">
        <v>279</v>
      </c>
    </row>
    <row r="8907" spans="1:16" x14ac:dyDescent="0.25">
      <c r="A8907" t="s">
        <v>31528</v>
      </c>
      <c r="B8907" t="s">
        <v>31529</v>
      </c>
      <c r="C8907" t="s">
        <v>16924</v>
      </c>
      <c r="D8907" t="s">
        <v>31526</v>
      </c>
      <c r="E8907" t="s">
        <v>31527</v>
      </c>
      <c r="F8907" t="s">
        <v>19559</v>
      </c>
      <c r="G8907" t="s">
        <v>16231</v>
      </c>
      <c r="H8907" t="s">
        <v>47054</v>
      </c>
      <c r="I8907" t="s">
        <v>47116</v>
      </c>
      <c r="J8907" t="s">
        <v>47117</v>
      </c>
      <c r="K8907" t="s">
        <v>47113</v>
      </c>
      <c r="L8907">
        <v>64.47</v>
      </c>
      <c r="M8907">
        <v>111</v>
      </c>
      <c r="N8907">
        <v>299</v>
      </c>
      <c r="O8907">
        <v>111</v>
      </c>
      <c r="P8907">
        <v>299</v>
      </c>
    </row>
    <row r="8908" spans="1:16" x14ac:dyDescent="0.25">
      <c r="A8908" t="s">
        <v>47858</v>
      </c>
      <c r="B8908" t="s">
        <v>47859</v>
      </c>
      <c r="C8908" t="s">
        <v>16848</v>
      </c>
      <c r="D8908" t="s">
        <v>47860</v>
      </c>
      <c r="E8908" t="s">
        <v>47861</v>
      </c>
      <c r="F8908" t="s">
        <v>47488</v>
      </c>
      <c r="G8908" t="s">
        <v>16231</v>
      </c>
      <c r="H8908" t="s">
        <v>47054</v>
      </c>
      <c r="I8908" t="s">
        <v>47120</v>
      </c>
      <c r="J8908" t="s">
        <v>47121</v>
      </c>
      <c r="K8908" t="s">
        <v>47113</v>
      </c>
      <c r="L8908">
        <v>53.35</v>
      </c>
      <c r="M8908">
        <v>129</v>
      </c>
      <c r="N8908">
        <v>349</v>
      </c>
      <c r="O8908">
        <v>129</v>
      </c>
      <c r="P8908">
        <v>349</v>
      </c>
    </row>
    <row r="8909" spans="1:16" x14ac:dyDescent="0.25">
      <c r="A8909" t="s">
        <v>47862</v>
      </c>
      <c r="B8909" t="s">
        <v>47863</v>
      </c>
      <c r="C8909" t="s">
        <v>16848</v>
      </c>
      <c r="D8909" t="s">
        <v>47792</v>
      </c>
      <c r="E8909" t="s">
        <v>47793</v>
      </c>
      <c r="F8909" t="s">
        <v>31484</v>
      </c>
      <c r="G8909" t="s">
        <v>16231</v>
      </c>
      <c r="H8909" t="s">
        <v>47054</v>
      </c>
      <c r="I8909" t="s">
        <v>47111</v>
      </c>
      <c r="J8909" t="s">
        <v>47112</v>
      </c>
      <c r="K8909" t="s">
        <v>47113</v>
      </c>
      <c r="L8909">
        <v>26.45</v>
      </c>
      <c r="M8909">
        <v>92</v>
      </c>
      <c r="N8909">
        <v>249</v>
      </c>
      <c r="O8909">
        <v>92</v>
      </c>
      <c r="P8909">
        <v>249</v>
      </c>
    </row>
    <row r="8910" spans="1:16" x14ac:dyDescent="0.25">
      <c r="A8910" t="s">
        <v>47864</v>
      </c>
      <c r="B8910" t="s">
        <v>47865</v>
      </c>
      <c r="C8910" t="s">
        <v>16848</v>
      </c>
      <c r="D8910" t="s">
        <v>47866</v>
      </c>
      <c r="E8910" t="s">
        <v>47867</v>
      </c>
      <c r="F8910" t="s">
        <v>46687</v>
      </c>
      <c r="G8910" t="s">
        <v>16231</v>
      </c>
      <c r="H8910" t="s">
        <v>47054</v>
      </c>
      <c r="I8910" t="s">
        <v>47544</v>
      </c>
      <c r="J8910" t="s">
        <v>47545</v>
      </c>
      <c r="K8910" t="s">
        <v>47113</v>
      </c>
      <c r="L8910">
        <v>52.12</v>
      </c>
      <c r="M8910">
        <v>129</v>
      </c>
      <c r="N8910">
        <v>349</v>
      </c>
      <c r="O8910">
        <v>129</v>
      </c>
      <c r="P8910">
        <v>349</v>
      </c>
    </row>
    <row r="8911" spans="1:16" x14ac:dyDescent="0.25">
      <c r="A8911" t="s">
        <v>47868</v>
      </c>
      <c r="B8911" t="s">
        <v>47869</v>
      </c>
      <c r="C8911" t="s">
        <v>16792</v>
      </c>
      <c r="D8911" t="s">
        <v>47870</v>
      </c>
      <c r="E8911" t="s">
        <v>47871</v>
      </c>
      <c r="F8911" t="s">
        <v>46687</v>
      </c>
      <c r="G8911" t="s">
        <v>16231</v>
      </c>
      <c r="H8911" t="s">
        <v>47054</v>
      </c>
      <c r="I8911" t="s">
        <v>47120</v>
      </c>
      <c r="J8911" t="s">
        <v>47121</v>
      </c>
      <c r="K8911" t="s">
        <v>47113</v>
      </c>
      <c r="L8911">
        <v>37.840000000000003</v>
      </c>
      <c r="M8911">
        <v>111</v>
      </c>
      <c r="N8911">
        <v>299</v>
      </c>
      <c r="O8911">
        <v>111</v>
      </c>
      <c r="P8911">
        <v>299</v>
      </c>
    </row>
    <row r="8912" spans="1:16" x14ac:dyDescent="0.25">
      <c r="A8912" t="s">
        <v>47872</v>
      </c>
      <c r="B8912" t="s">
        <v>47873</v>
      </c>
      <c r="C8912" t="s">
        <v>47874</v>
      </c>
      <c r="D8912" t="s">
        <v>47875</v>
      </c>
      <c r="E8912" t="s">
        <v>47876</v>
      </c>
      <c r="F8912" t="s">
        <v>47479</v>
      </c>
      <c r="G8912" t="s">
        <v>16234</v>
      </c>
      <c r="H8912" t="s">
        <v>47054</v>
      </c>
      <c r="I8912" t="s">
        <v>47120</v>
      </c>
      <c r="J8912" t="s">
        <v>47121</v>
      </c>
      <c r="K8912" t="s">
        <v>47113</v>
      </c>
      <c r="L8912">
        <v>32.71</v>
      </c>
      <c r="M8912">
        <v>74</v>
      </c>
      <c r="N8912">
        <v>199</v>
      </c>
      <c r="O8912">
        <v>74</v>
      </c>
      <c r="P8912">
        <v>199</v>
      </c>
    </row>
    <row r="8913" spans="1:16" x14ac:dyDescent="0.25">
      <c r="A8913" t="s">
        <v>47877</v>
      </c>
      <c r="B8913" t="s">
        <v>47878</v>
      </c>
      <c r="C8913" t="s">
        <v>47672</v>
      </c>
      <c r="D8913" t="str">
        <f>"3071"</f>
        <v>3071</v>
      </c>
      <c r="E8913" t="s">
        <v>47879</v>
      </c>
      <c r="F8913" t="s">
        <v>47171</v>
      </c>
      <c r="G8913" t="s">
        <v>16234</v>
      </c>
      <c r="H8913" t="s">
        <v>47054</v>
      </c>
      <c r="I8913" t="s">
        <v>47120</v>
      </c>
      <c r="J8913" t="s">
        <v>47121</v>
      </c>
      <c r="K8913" t="s">
        <v>47113</v>
      </c>
      <c r="L8913">
        <v>38.99</v>
      </c>
      <c r="M8913">
        <v>111</v>
      </c>
      <c r="N8913">
        <v>299</v>
      </c>
      <c r="O8913">
        <v>111</v>
      </c>
      <c r="P8913">
        <v>299</v>
      </c>
    </row>
    <row r="8914" spans="1:16" x14ac:dyDescent="0.25">
      <c r="A8914" t="s">
        <v>47880</v>
      </c>
      <c r="B8914" t="s">
        <v>47881</v>
      </c>
      <c r="C8914" t="s">
        <v>47679</v>
      </c>
      <c r="D8914" t="s">
        <v>47875</v>
      </c>
      <c r="E8914" t="s">
        <v>47876</v>
      </c>
      <c r="F8914" t="s">
        <v>47479</v>
      </c>
      <c r="G8914" t="s">
        <v>16234</v>
      </c>
      <c r="H8914" t="s">
        <v>47054</v>
      </c>
      <c r="I8914" t="s">
        <v>47120</v>
      </c>
      <c r="J8914" t="s">
        <v>47121</v>
      </c>
      <c r="K8914" t="s">
        <v>47113</v>
      </c>
      <c r="L8914">
        <v>46.08</v>
      </c>
      <c r="M8914">
        <v>100</v>
      </c>
      <c r="N8914">
        <v>269</v>
      </c>
      <c r="O8914">
        <v>100</v>
      </c>
      <c r="P8914">
        <v>269</v>
      </c>
    </row>
    <row r="8915" spans="1:16" x14ac:dyDescent="0.25">
      <c r="A8915" t="s">
        <v>47882</v>
      </c>
      <c r="B8915" t="s">
        <v>47883</v>
      </c>
      <c r="C8915" t="s">
        <v>47884</v>
      </c>
      <c r="D8915" t="s">
        <v>47885</v>
      </c>
      <c r="E8915" t="s">
        <v>47886</v>
      </c>
      <c r="F8915" t="s">
        <v>47488</v>
      </c>
      <c r="G8915" t="s">
        <v>16234</v>
      </c>
      <c r="H8915" t="s">
        <v>47054</v>
      </c>
      <c r="I8915" t="s">
        <v>47120</v>
      </c>
      <c r="J8915" t="s">
        <v>47121</v>
      </c>
      <c r="K8915" t="s">
        <v>47113</v>
      </c>
      <c r="L8915">
        <v>36.15</v>
      </c>
      <c r="M8915">
        <v>92</v>
      </c>
      <c r="N8915">
        <v>249</v>
      </c>
      <c r="O8915">
        <v>92</v>
      </c>
      <c r="P8915">
        <v>249</v>
      </c>
    </row>
    <row r="8916" spans="1:16" x14ac:dyDescent="0.25">
      <c r="A8916" t="s">
        <v>47887</v>
      </c>
      <c r="B8916" t="s">
        <v>47888</v>
      </c>
      <c r="C8916" t="s">
        <v>17131</v>
      </c>
      <c r="D8916" t="s">
        <v>47889</v>
      </c>
      <c r="E8916" t="s">
        <v>47890</v>
      </c>
      <c r="F8916" t="s">
        <v>47185</v>
      </c>
      <c r="G8916" t="s">
        <v>16234</v>
      </c>
      <c r="H8916" t="s">
        <v>47054</v>
      </c>
      <c r="I8916" t="s">
        <v>47120</v>
      </c>
      <c r="J8916" t="s">
        <v>47121</v>
      </c>
      <c r="K8916" t="s">
        <v>47113</v>
      </c>
      <c r="L8916">
        <v>28.79</v>
      </c>
      <c r="M8916">
        <v>92</v>
      </c>
      <c r="N8916">
        <v>249</v>
      </c>
      <c r="O8916">
        <v>92</v>
      </c>
      <c r="P8916">
        <v>249</v>
      </c>
    </row>
    <row r="8917" spans="1:16" x14ac:dyDescent="0.25">
      <c r="A8917" t="s">
        <v>47891</v>
      </c>
      <c r="B8917" t="s">
        <v>47892</v>
      </c>
      <c r="C8917" t="s">
        <v>47893</v>
      </c>
      <c r="D8917" t="s">
        <v>721</v>
      </c>
      <c r="E8917" t="s">
        <v>13856</v>
      </c>
      <c r="F8917" t="s">
        <v>47171</v>
      </c>
      <c r="G8917" t="s">
        <v>16234</v>
      </c>
      <c r="H8917" t="s">
        <v>47054</v>
      </c>
      <c r="I8917" t="s">
        <v>47120</v>
      </c>
      <c r="J8917" t="s">
        <v>47121</v>
      </c>
      <c r="K8917" t="s">
        <v>47113</v>
      </c>
      <c r="L8917">
        <v>27.46</v>
      </c>
      <c r="M8917">
        <v>92</v>
      </c>
      <c r="N8917">
        <v>249</v>
      </c>
      <c r="O8917">
        <v>92</v>
      </c>
      <c r="P8917">
        <v>249</v>
      </c>
    </row>
    <row r="8918" spans="1:16" x14ac:dyDescent="0.25">
      <c r="A8918" t="s">
        <v>47894</v>
      </c>
      <c r="B8918" t="s">
        <v>47895</v>
      </c>
      <c r="C8918" t="s">
        <v>47896</v>
      </c>
      <c r="D8918" t="str">
        <f>"1001"</f>
        <v>1001</v>
      </c>
      <c r="E8918" t="s">
        <v>47897</v>
      </c>
      <c r="F8918" t="s">
        <v>47185</v>
      </c>
      <c r="G8918" t="s">
        <v>16234</v>
      </c>
      <c r="H8918" t="s">
        <v>47054</v>
      </c>
      <c r="I8918" t="s">
        <v>47120</v>
      </c>
      <c r="J8918" t="s">
        <v>47121</v>
      </c>
      <c r="K8918" t="s">
        <v>47113</v>
      </c>
      <c r="L8918">
        <v>28.69</v>
      </c>
      <c r="M8918">
        <v>74</v>
      </c>
      <c r="N8918">
        <v>199</v>
      </c>
      <c r="O8918">
        <v>74</v>
      </c>
      <c r="P8918">
        <v>199</v>
      </c>
    </row>
    <row r="8919" spans="1:16" x14ac:dyDescent="0.25">
      <c r="A8919" t="s">
        <v>47898</v>
      </c>
      <c r="B8919" t="s">
        <v>47899</v>
      </c>
      <c r="C8919" t="s">
        <v>47900</v>
      </c>
      <c r="D8919" t="str">
        <f>"1001"</f>
        <v>1001</v>
      </c>
      <c r="E8919" t="s">
        <v>47897</v>
      </c>
      <c r="F8919" t="s">
        <v>47163</v>
      </c>
      <c r="G8919" t="s">
        <v>16448</v>
      </c>
      <c r="H8919" t="s">
        <v>47054</v>
      </c>
      <c r="I8919" t="s">
        <v>47120</v>
      </c>
      <c r="J8919" t="s">
        <v>47121</v>
      </c>
      <c r="K8919" t="s">
        <v>47113</v>
      </c>
      <c r="L8919">
        <v>43.04</v>
      </c>
      <c r="M8919">
        <v>96</v>
      </c>
      <c r="N8919">
        <v>259</v>
      </c>
      <c r="O8919">
        <v>96</v>
      </c>
      <c r="P8919">
        <v>259</v>
      </c>
    </row>
    <row r="8920" spans="1:16" x14ac:dyDescent="0.25">
      <c r="A8920" t="s">
        <v>47901</v>
      </c>
      <c r="B8920" t="s">
        <v>47902</v>
      </c>
      <c r="C8920" t="s">
        <v>47903</v>
      </c>
      <c r="D8920" t="str">
        <f>"3071"</f>
        <v>3071</v>
      </c>
      <c r="E8920" t="s">
        <v>47904</v>
      </c>
      <c r="F8920" t="s">
        <v>47488</v>
      </c>
      <c r="G8920" t="s">
        <v>16234</v>
      </c>
      <c r="H8920" t="s">
        <v>47054</v>
      </c>
      <c r="I8920" t="s">
        <v>47120</v>
      </c>
      <c r="J8920" t="s">
        <v>47121</v>
      </c>
      <c r="K8920" t="s">
        <v>47113</v>
      </c>
      <c r="L8920">
        <v>31.7</v>
      </c>
      <c r="M8920">
        <v>74</v>
      </c>
      <c r="N8920">
        <v>199</v>
      </c>
      <c r="O8920">
        <v>74</v>
      </c>
      <c r="P8920">
        <v>199</v>
      </c>
    </row>
    <row r="8921" spans="1:16" x14ac:dyDescent="0.25">
      <c r="A8921" t="s">
        <v>47905</v>
      </c>
      <c r="B8921" t="s">
        <v>47906</v>
      </c>
      <c r="C8921" t="s">
        <v>47907</v>
      </c>
      <c r="D8921" t="s">
        <v>47870</v>
      </c>
      <c r="E8921" t="s">
        <v>47871</v>
      </c>
      <c r="F8921" t="s">
        <v>46687</v>
      </c>
      <c r="G8921" t="s">
        <v>16233</v>
      </c>
      <c r="H8921" t="s">
        <v>47054</v>
      </c>
      <c r="I8921" t="s">
        <v>47120</v>
      </c>
      <c r="J8921" t="s">
        <v>47121</v>
      </c>
      <c r="K8921" t="s">
        <v>47113</v>
      </c>
      <c r="L8921">
        <v>29.09</v>
      </c>
      <c r="M8921">
        <v>74</v>
      </c>
      <c r="N8921">
        <v>199</v>
      </c>
      <c r="O8921">
        <v>74</v>
      </c>
      <c r="P8921">
        <v>199</v>
      </c>
    </row>
    <row r="8922" spans="1:16" x14ac:dyDescent="0.25">
      <c r="A8922" t="s">
        <v>47908</v>
      </c>
      <c r="B8922" t="s">
        <v>47909</v>
      </c>
      <c r="C8922" t="s">
        <v>47910</v>
      </c>
      <c r="D8922" t="str">
        <f>"1200"</f>
        <v>1200</v>
      </c>
      <c r="E8922" t="s">
        <v>47911</v>
      </c>
      <c r="F8922" t="s">
        <v>31484</v>
      </c>
      <c r="G8922" t="s">
        <v>16233</v>
      </c>
      <c r="H8922" t="s">
        <v>47054</v>
      </c>
      <c r="I8922" t="s">
        <v>47120</v>
      </c>
      <c r="J8922" t="s">
        <v>47121</v>
      </c>
      <c r="K8922" t="s">
        <v>47113</v>
      </c>
      <c r="L8922">
        <v>24.41</v>
      </c>
      <c r="M8922">
        <v>70</v>
      </c>
      <c r="N8922">
        <v>189</v>
      </c>
      <c r="O8922">
        <v>70</v>
      </c>
      <c r="P8922">
        <v>189</v>
      </c>
    </row>
    <row r="8923" spans="1:16" x14ac:dyDescent="0.25">
      <c r="A8923" t="s">
        <v>47912</v>
      </c>
      <c r="B8923" t="s">
        <v>47909</v>
      </c>
      <c r="C8923" t="s">
        <v>47910</v>
      </c>
      <c r="D8923" t="str">
        <f>"3000"</f>
        <v>3000</v>
      </c>
      <c r="E8923" t="s">
        <v>47913</v>
      </c>
      <c r="F8923" t="s">
        <v>31484</v>
      </c>
      <c r="G8923" t="s">
        <v>16233</v>
      </c>
      <c r="H8923" t="s">
        <v>47054</v>
      </c>
      <c r="I8923" t="s">
        <v>47120</v>
      </c>
      <c r="J8923" t="s">
        <v>47121</v>
      </c>
      <c r="K8923" t="s">
        <v>47113</v>
      </c>
      <c r="L8923">
        <v>30.26</v>
      </c>
      <c r="M8923">
        <v>70</v>
      </c>
      <c r="N8923">
        <v>189</v>
      </c>
      <c r="O8923">
        <v>70</v>
      </c>
      <c r="P8923">
        <v>189</v>
      </c>
    </row>
    <row r="8924" spans="1:16" x14ac:dyDescent="0.25">
      <c r="A8924" t="s">
        <v>47914</v>
      </c>
      <c r="B8924" t="s">
        <v>47909</v>
      </c>
      <c r="C8924" t="s">
        <v>47910</v>
      </c>
      <c r="D8924" t="str">
        <f>"4000"</f>
        <v>4000</v>
      </c>
      <c r="E8924" t="s">
        <v>47915</v>
      </c>
      <c r="F8924" t="s">
        <v>31484</v>
      </c>
      <c r="G8924" t="s">
        <v>16233</v>
      </c>
      <c r="H8924" t="s">
        <v>47054</v>
      </c>
      <c r="I8924" t="s">
        <v>47120</v>
      </c>
      <c r="J8924" t="s">
        <v>47121</v>
      </c>
      <c r="K8924" t="s">
        <v>47113</v>
      </c>
      <c r="L8924">
        <v>24.41</v>
      </c>
      <c r="M8924">
        <v>70</v>
      </c>
      <c r="N8924">
        <v>189</v>
      </c>
      <c r="O8924">
        <v>70</v>
      </c>
      <c r="P8924">
        <v>189</v>
      </c>
    </row>
    <row r="8925" spans="1:16" x14ac:dyDescent="0.25">
      <c r="A8925" t="s">
        <v>47916</v>
      </c>
      <c r="B8925" t="s">
        <v>47909</v>
      </c>
      <c r="C8925" t="s">
        <v>47910</v>
      </c>
      <c r="D8925" t="str">
        <f>"7000"</f>
        <v>7000</v>
      </c>
      <c r="E8925" t="s">
        <v>47917</v>
      </c>
      <c r="F8925" t="s">
        <v>31484</v>
      </c>
      <c r="G8925" t="s">
        <v>16233</v>
      </c>
      <c r="H8925" t="s">
        <v>47054</v>
      </c>
      <c r="I8925" t="s">
        <v>47120</v>
      </c>
      <c r="J8925" t="s">
        <v>47121</v>
      </c>
      <c r="K8925" t="s">
        <v>47113</v>
      </c>
      <c r="L8925">
        <v>30.26</v>
      </c>
      <c r="M8925">
        <v>70</v>
      </c>
      <c r="N8925">
        <v>189</v>
      </c>
      <c r="O8925">
        <v>70</v>
      </c>
      <c r="P8925">
        <v>189</v>
      </c>
    </row>
    <row r="8926" spans="1:16" x14ac:dyDescent="0.25">
      <c r="A8926" t="s">
        <v>47918</v>
      </c>
      <c r="B8926" t="s">
        <v>47919</v>
      </c>
      <c r="C8926" t="s">
        <v>47920</v>
      </c>
      <c r="D8926" t="s">
        <v>47781</v>
      </c>
      <c r="E8926" t="s">
        <v>47782</v>
      </c>
      <c r="F8926" t="s">
        <v>46687</v>
      </c>
      <c r="G8926" t="s">
        <v>16233</v>
      </c>
      <c r="H8926" t="s">
        <v>47054</v>
      </c>
      <c r="I8926" t="s">
        <v>47120</v>
      </c>
      <c r="J8926" t="s">
        <v>47121</v>
      </c>
      <c r="K8926" t="s">
        <v>47113</v>
      </c>
      <c r="L8926">
        <v>37.49</v>
      </c>
      <c r="M8926">
        <v>103</v>
      </c>
      <c r="N8926">
        <v>279</v>
      </c>
      <c r="O8926">
        <v>103</v>
      </c>
      <c r="P8926">
        <v>279</v>
      </c>
    </row>
    <row r="8927" spans="1:16" x14ac:dyDescent="0.25">
      <c r="A8927" t="s">
        <v>47921</v>
      </c>
      <c r="B8927" t="s">
        <v>47922</v>
      </c>
      <c r="C8927" t="s">
        <v>47923</v>
      </c>
      <c r="D8927" t="str">
        <f>"2000"</f>
        <v>2000</v>
      </c>
      <c r="E8927" t="s">
        <v>47924</v>
      </c>
      <c r="F8927" t="s">
        <v>47488</v>
      </c>
      <c r="G8927" t="s">
        <v>16234</v>
      </c>
      <c r="H8927" t="s">
        <v>47054</v>
      </c>
      <c r="I8927" t="s">
        <v>47120</v>
      </c>
      <c r="J8927" t="s">
        <v>47121</v>
      </c>
      <c r="K8927" t="s">
        <v>47113</v>
      </c>
      <c r="L8927">
        <v>37.67</v>
      </c>
      <c r="M8927">
        <v>84</v>
      </c>
      <c r="N8927">
        <v>226</v>
      </c>
      <c r="O8927">
        <v>84</v>
      </c>
      <c r="P8927">
        <v>226</v>
      </c>
    </row>
    <row r="8928" spans="1:16" x14ac:dyDescent="0.25">
      <c r="A8928" t="s">
        <v>47925</v>
      </c>
      <c r="B8928" t="s">
        <v>47922</v>
      </c>
      <c r="C8928" t="s">
        <v>47923</v>
      </c>
      <c r="D8928" t="str">
        <f>"3000"</f>
        <v>3000</v>
      </c>
      <c r="E8928" t="s">
        <v>47926</v>
      </c>
      <c r="F8928" t="s">
        <v>47488</v>
      </c>
      <c r="G8928" t="s">
        <v>16234</v>
      </c>
      <c r="H8928" t="s">
        <v>47054</v>
      </c>
      <c r="I8928" t="s">
        <v>47120</v>
      </c>
      <c r="J8928" t="s">
        <v>47121</v>
      </c>
      <c r="K8928" t="s">
        <v>47113</v>
      </c>
      <c r="L8928">
        <v>37.67</v>
      </c>
      <c r="M8928">
        <v>84</v>
      </c>
      <c r="N8928">
        <v>226</v>
      </c>
      <c r="O8928">
        <v>84</v>
      </c>
      <c r="P8928">
        <v>226</v>
      </c>
    </row>
    <row r="8929" spans="1:16" x14ac:dyDescent="0.25">
      <c r="A8929" t="s">
        <v>47927</v>
      </c>
      <c r="B8929" t="s">
        <v>47928</v>
      </c>
      <c r="C8929" t="s">
        <v>16469</v>
      </c>
      <c r="D8929" t="str">
        <f>"1001"</f>
        <v>1001</v>
      </c>
      <c r="E8929" t="s">
        <v>47929</v>
      </c>
      <c r="F8929" t="s">
        <v>47488</v>
      </c>
      <c r="G8929" t="s">
        <v>16234</v>
      </c>
      <c r="H8929" t="s">
        <v>47054</v>
      </c>
      <c r="I8929" t="s">
        <v>47120</v>
      </c>
      <c r="J8929" t="s">
        <v>47121</v>
      </c>
      <c r="K8929" t="s">
        <v>47113</v>
      </c>
      <c r="L8929">
        <v>27.85</v>
      </c>
      <c r="M8929">
        <v>70</v>
      </c>
      <c r="N8929">
        <v>189</v>
      </c>
      <c r="O8929">
        <v>70</v>
      </c>
      <c r="P8929">
        <v>189</v>
      </c>
    </row>
    <row r="8930" spans="1:16" x14ac:dyDescent="0.25">
      <c r="A8930" t="s">
        <v>47930</v>
      </c>
      <c r="B8930" t="s">
        <v>47928</v>
      </c>
      <c r="C8930" t="s">
        <v>16469</v>
      </c>
      <c r="D8930" t="str">
        <f>"1200"</f>
        <v>1200</v>
      </c>
      <c r="E8930" t="s">
        <v>47931</v>
      </c>
      <c r="F8930" t="s">
        <v>47488</v>
      </c>
      <c r="G8930" t="s">
        <v>16234</v>
      </c>
      <c r="H8930" t="s">
        <v>47054</v>
      </c>
      <c r="I8930" t="s">
        <v>47120</v>
      </c>
      <c r="J8930" t="s">
        <v>47121</v>
      </c>
      <c r="K8930" t="s">
        <v>47113</v>
      </c>
      <c r="L8930">
        <v>27.85</v>
      </c>
      <c r="M8930">
        <v>70</v>
      </c>
      <c r="N8930">
        <v>189</v>
      </c>
      <c r="O8930">
        <v>70</v>
      </c>
      <c r="P8930">
        <v>189</v>
      </c>
    </row>
    <row r="8931" spans="1:16" x14ac:dyDescent="0.25">
      <c r="A8931" t="s">
        <v>47932</v>
      </c>
      <c r="B8931" t="s">
        <v>47928</v>
      </c>
      <c r="C8931" t="s">
        <v>16469</v>
      </c>
      <c r="D8931" t="str">
        <f>"4000"</f>
        <v>4000</v>
      </c>
      <c r="E8931" t="s">
        <v>47933</v>
      </c>
      <c r="F8931" t="s">
        <v>47488</v>
      </c>
      <c r="G8931" t="s">
        <v>16234</v>
      </c>
      <c r="H8931" t="s">
        <v>47054</v>
      </c>
      <c r="I8931" t="s">
        <v>47120</v>
      </c>
      <c r="J8931" t="s">
        <v>47121</v>
      </c>
      <c r="K8931" t="s">
        <v>47113</v>
      </c>
      <c r="L8931">
        <v>27.85</v>
      </c>
      <c r="M8931">
        <v>74</v>
      </c>
      <c r="N8931">
        <v>199</v>
      </c>
      <c r="O8931">
        <v>74</v>
      </c>
      <c r="P8931">
        <v>199</v>
      </c>
    </row>
    <row r="8932" spans="1:16" x14ac:dyDescent="0.25">
      <c r="A8932" t="s">
        <v>47934</v>
      </c>
      <c r="B8932" t="s">
        <v>47928</v>
      </c>
      <c r="C8932" t="s">
        <v>16469</v>
      </c>
      <c r="D8932" t="str">
        <f>"6000"</f>
        <v>6000</v>
      </c>
      <c r="E8932" t="s">
        <v>47935</v>
      </c>
      <c r="F8932" t="s">
        <v>47488</v>
      </c>
      <c r="G8932" t="s">
        <v>16234</v>
      </c>
      <c r="H8932" t="s">
        <v>47054</v>
      </c>
      <c r="I8932" t="s">
        <v>47120</v>
      </c>
      <c r="J8932" t="s">
        <v>47121</v>
      </c>
      <c r="K8932" t="s">
        <v>47113</v>
      </c>
      <c r="L8932">
        <v>27.85</v>
      </c>
      <c r="M8932">
        <v>74</v>
      </c>
      <c r="N8932">
        <v>199</v>
      </c>
      <c r="O8932">
        <v>74</v>
      </c>
      <c r="P8932">
        <v>199</v>
      </c>
    </row>
    <row r="8933" spans="1:16" x14ac:dyDescent="0.25">
      <c r="A8933" t="s">
        <v>47936</v>
      </c>
      <c r="B8933" t="s">
        <v>47937</v>
      </c>
      <c r="C8933" t="s">
        <v>16469</v>
      </c>
      <c r="D8933" t="s">
        <v>47875</v>
      </c>
      <c r="E8933" t="s">
        <v>47876</v>
      </c>
      <c r="F8933" t="s">
        <v>47479</v>
      </c>
      <c r="G8933" t="s">
        <v>16234</v>
      </c>
      <c r="H8933" t="s">
        <v>47054</v>
      </c>
      <c r="I8933" t="s">
        <v>47120</v>
      </c>
      <c r="J8933" t="s">
        <v>47121</v>
      </c>
      <c r="K8933" t="s">
        <v>47113</v>
      </c>
      <c r="L8933">
        <v>31.39</v>
      </c>
      <c r="M8933">
        <v>74</v>
      </c>
      <c r="N8933">
        <v>199</v>
      </c>
      <c r="O8933">
        <v>74</v>
      </c>
      <c r="P8933">
        <v>199</v>
      </c>
    </row>
    <row r="8934" spans="1:16" x14ac:dyDescent="0.25">
      <c r="A8934" t="s">
        <v>47938</v>
      </c>
      <c r="B8934" t="s">
        <v>47939</v>
      </c>
      <c r="C8934" t="s">
        <v>16848</v>
      </c>
      <c r="D8934" t="str">
        <f>"1200"</f>
        <v>1200</v>
      </c>
      <c r="E8934" t="s">
        <v>47911</v>
      </c>
      <c r="F8934" t="s">
        <v>31484</v>
      </c>
      <c r="G8934" t="s">
        <v>16231</v>
      </c>
      <c r="H8934" t="s">
        <v>47054</v>
      </c>
      <c r="I8934" t="s">
        <v>47120</v>
      </c>
      <c r="J8934" t="s">
        <v>47121</v>
      </c>
      <c r="K8934" t="s">
        <v>47113</v>
      </c>
      <c r="L8934">
        <v>26.96</v>
      </c>
      <c r="M8934">
        <v>74</v>
      </c>
      <c r="N8934">
        <v>199</v>
      </c>
      <c r="O8934">
        <v>74</v>
      </c>
      <c r="P8934">
        <v>199</v>
      </c>
    </row>
    <row r="8935" spans="1:16" x14ac:dyDescent="0.25">
      <c r="A8935" t="s">
        <v>47940</v>
      </c>
      <c r="B8935" t="s">
        <v>47939</v>
      </c>
      <c r="C8935" t="s">
        <v>16848</v>
      </c>
      <c r="D8935" t="str">
        <f>"4000"</f>
        <v>4000</v>
      </c>
      <c r="E8935" t="s">
        <v>47915</v>
      </c>
      <c r="F8935" t="s">
        <v>31484</v>
      </c>
      <c r="G8935" t="s">
        <v>16231</v>
      </c>
      <c r="H8935" t="s">
        <v>47054</v>
      </c>
      <c r="I8935" t="s">
        <v>47120</v>
      </c>
      <c r="J8935" t="s">
        <v>47121</v>
      </c>
      <c r="K8935" t="s">
        <v>47113</v>
      </c>
      <c r="L8935">
        <v>26.96</v>
      </c>
      <c r="M8935">
        <v>74</v>
      </c>
      <c r="N8935">
        <v>199</v>
      </c>
      <c r="O8935">
        <v>74</v>
      </c>
      <c r="P8935">
        <v>199</v>
      </c>
    </row>
    <row r="8936" spans="1:16" x14ac:dyDescent="0.25">
      <c r="A8936" t="s">
        <v>47941</v>
      </c>
      <c r="B8936" t="s">
        <v>47942</v>
      </c>
      <c r="C8936" t="s">
        <v>16848</v>
      </c>
      <c r="D8936" t="str">
        <f>"1200"</f>
        <v>1200</v>
      </c>
      <c r="E8936" t="s">
        <v>47943</v>
      </c>
      <c r="F8936" t="s">
        <v>47488</v>
      </c>
      <c r="G8936" t="s">
        <v>16231</v>
      </c>
      <c r="H8936" t="s">
        <v>47054</v>
      </c>
      <c r="I8936" t="s">
        <v>47120</v>
      </c>
      <c r="J8936" t="s">
        <v>47121</v>
      </c>
      <c r="K8936" t="s">
        <v>47113</v>
      </c>
      <c r="L8936">
        <v>31.91</v>
      </c>
      <c r="M8936">
        <v>92</v>
      </c>
      <c r="N8936">
        <v>249</v>
      </c>
      <c r="O8936">
        <v>92</v>
      </c>
      <c r="P8936">
        <v>249</v>
      </c>
    </row>
    <row r="8937" spans="1:16" x14ac:dyDescent="0.25">
      <c r="A8937" t="s">
        <v>47944</v>
      </c>
      <c r="B8937" t="s">
        <v>47942</v>
      </c>
      <c r="C8937" t="s">
        <v>16848</v>
      </c>
      <c r="D8937" t="str">
        <f>"6000"</f>
        <v>6000</v>
      </c>
      <c r="E8937" t="s">
        <v>47945</v>
      </c>
      <c r="F8937" t="s">
        <v>47488</v>
      </c>
      <c r="G8937" t="s">
        <v>16231</v>
      </c>
      <c r="H8937" t="s">
        <v>47054</v>
      </c>
      <c r="I8937" t="s">
        <v>47120</v>
      </c>
      <c r="J8937" t="s">
        <v>47121</v>
      </c>
      <c r="K8937" t="s">
        <v>47113</v>
      </c>
      <c r="L8937">
        <v>31.91</v>
      </c>
      <c r="M8937">
        <v>92</v>
      </c>
      <c r="N8937">
        <v>249</v>
      </c>
      <c r="O8937">
        <v>92</v>
      </c>
      <c r="P8937">
        <v>249</v>
      </c>
    </row>
    <row r="8938" spans="1:16" x14ac:dyDescent="0.25">
      <c r="A8938" t="s">
        <v>47946</v>
      </c>
      <c r="B8938" t="s">
        <v>47947</v>
      </c>
      <c r="C8938" t="s">
        <v>16848</v>
      </c>
      <c r="D8938" t="str">
        <f>"3000"</f>
        <v>3000</v>
      </c>
      <c r="E8938" t="s">
        <v>47948</v>
      </c>
      <c r="F8938" t="s">
        <v>47171</v>
      </c>
      <c r="G8938" t="s">
        <v>16234</v>
      </c>
      <c r="H8938" t="s">
        <v>47054</v>
      </c>
      <c r="I8938" t="s">
        <v>47120</v>
      </c>
      <c r="J8938" t="s">
        <v>47121</v>
      </c>
      <c r="K8938" t="s">
        <v>47113</v>
      </c>
      <c r="L8938">
        <v>29.88</v>
      </c>
      <c r="M8938">
        <v>74</v>
      </c>
      <c r="N8938">
        <v>199</v>
      </c>
      <c r="O8938">
        <v>74</v>
      </c>
      <c r="P8938">
        <v>199</v>
      </c>
    </row>
    <row r="8939" spans="1:16" x14ac:dyDescent="0.25">
      <c r="A8939" t="s">
        <v>47949</v>
      </c>
      <c r="B8939" t="s">
        <v>47950</v>
      </c>
      <c r="C8939" t="s">
        <v>47951</v>
      </c>
      <c r="D8939" t="str">
        <f>"1215"</f>
        <v>1215</v>
      </c>
      <c r="E8939" t="s">
        <v>47952</v>
      </c>
      <c r="F8939" t="s">
        <v>31484</v>
      </c>
      <c r="G8939" t="s">
        <v>16233</v>
      </c>
      <c r="H8939" t="s">
        <v>47054</v>
      </c>
      <c r="I8939" t="s">
        <v>47120</v>
      </c>
      <c r="J8939" t="s">
        <v>47121</v>
      </c>
      <c r="K8939" t="s">
        <v>47113</v>
      </c>
      <c r="L8939">
        <v>29.38</v>
      </c>
      <c r="M8939">
        <v>70</v>
      </c>
      <c r="N8939">
        <v>189</v>
      </c>
      <c r="O8939">
        <v>70</v>
      </c>
      <c r="P8939">
        <v>189</v>
      </c>
    </row>
    <row r="8940" spans="1:16" x14ac:dyDescent="0.25">
      <c r="A8940" t="s">
        <v>47953</v>
      </c>
      <c r="B8940" t="s">
        <v>47950</v>
      </c>
      <c r="C8940" t="s">
        <v>47951</v>
      </c>
      <c r="D8940" t="str">
        <f>"2000"</f>
        <v>2000</v>
      </c>
      <c r="E8940" t="s">
        <v>11837</v>
      </c>
      <c r="F8940" t="s">
        <v>31484</v>
      </c>
      <c r="G8940" t="s">
        <v>16233</v>
      </c>
      <c r="H8940" t="s">
        <v>47054</v>
      </c>
      <c r="I8940" t="s">
        <v>47120</v>
      </c>
      <c r="J8940" t="s">
        <v>47121</v>
      </c>
      <c r="K8940" t="s">
        <v>47113</v>
      </c>
      <c r="L8940">
        <v>29.38</v>
      </c>
      <c r="M8940">
        <v>70</v>
      </c>
      <c r="N8940">
        <v>189</v>
      </c>
      <c r="O8940">
        <v>70</v>
      </c>
      <c r="P8940">
        <v>189</v>
      </c>
    </row>
    <row r="8941" spans="1:16" x14ac:dyDescent="0.25">
      <c r="A8941" t="s">
        <v>47954</v>
      </c>
      <c r="B8941" t="s">
        <v>47950</v>
      </c>
      <c r="C8941" t="s">
        <v>47951</v>
      </c>
      <c r="D8941" t="str">
        <f>"4100"</f>
        <v>4100</v>
      </c>
      <c r="E8941" t="s">
        <v>47955</v>
      </c>
      <c r="F8941" t="s">
        <v>31484</v>
      </c>
      <c r="G8941" t="s">
        <v>16233</v>
      </c>
      <c r="H8941" t="s">
        <v>47054</v>
      </c>
      <c r="I8941" t="s">
        <v>47120</v>
      </c>
      <c r="J8941" t="s">
        <v>47121</v>
      </c>
      <c r="K8941" t="s">
        <v>47113</v>
      </c>
      <c r="L8941">
        <v>29.38</v>
      </c>
      <c r="M8941">
        <v>70</v>
      </c>
      <c r="N8941">
        <v>189</v>
      </c>
      <c r="O8941">
        <v>70</v>
      </c>
      <c r="P8941">
        <v>189</v>
      </c>
    </row>
    <row r="8942" spans="1:16" x14ac:dyDescent="0.25">
      <c r="A8942" t="s">
        <v>47956</v>
      </c>
      <c r="B8942" t="s">
        <v>47957</v>
      </c>
      <c r="C8942" t="s">
        <v>47958</v>
      </c>
      <c r="D8942" t="str">
        <f>"3071"</f>
        <v>3071</v>
      </c>
      <c r="E8942" t="s">
        <v>47959</v>
      </c>
      <c r="F8942" t="s">
        <v>31484</v>
      </c>
      <c r="G8942" t="s">
        <v>16233</v>
      </c>
      <c r="H8942" t="s">
        <v>47054</v>
      </c>
      <c r="I8942" t="s">
        <v>47120</v>
      </c>
      <c r="J8942" t="s">
        <v>47121</v>
      </c>
      <c r="K8942" t="s">
        <v>47113</v>
      </c>
      <c r="L8942">
        <v>27.73</v>
      </c>
      <c r="M8942">
        <v>70</v>
      </c>
      <c r="N8942">
        <v>189</v>
      </c>
      <c r="O8942">
        <v>70</v>
      </c>
      <c r="P8942">
        <v>189</v>
      </c>
    </row>
    <row r="8943" spans="1:16" x14ac:dyDescent="0.25">
      <c r="A8943" t="s">
        <v>47960</v>
      </c>
      <c r="B8943" t="s">
        <v>47961</v>
      </c>
      <c r="C8943" t="s">
        <v>17004</v>
      </c>
      <c r="D8943" t="s">
        <v>47962</v>
      </c>
      <c r="E8943" t="s">
        <v>47963</v>
      </c>
      <c r="F8943" t="s">
        <v>31484</v>
      </c>
      <c r="G8943" t="s">
        <v>16233</v>
      </c>
      <c r="H8943" t="s">
        <v>47054</v>
      </c>
      <c r="I8943" t="s">
        <v>47116</v>
      </c>
      <c r="J8943" t="s">
        <v>47117</v>
      </c>
      <c r="K8943" t="s">
        <v>47113</v>
      </c>
      <c r="L8943">
        <v>49.12</v>
      </c>
      <c r="M8943">
        <v>111</v>
      </c>
      <c r="N8943">
        <v>299</v>
      </c>
      <c r="O8943">
        <v>111</v>
      </c>
      <c r="P8943">
        <v>299</v>
      </c>
    </row>
    <row r="8944" spans="1:16" x14ac:dyDescent="0.25">
      <c r="A8944" t="s">
        <v>31530</v>
      </c>
      <c r="B8944" t="s">
        <v>6655</v>
      </c>
      <c r="C8944" t="s">
        <v>6656</v>
      </c>
      <c r="D8944" t="str">
        <f>"11"</f>
        <v>11</v>
      </c>
      <c r="E8944" t="s">
        <v>288</v>
      </c>
      <c r="F8944" t="s">
        <v>4</v>
      </c>
      <c r="G8944" t="s">
        <v>16231</v>
      </c>
      <c r="H8944" t="s">
        <v>47054</v>
      </c>
      <c r="I8944" t="s">
        <v>47111</v>
      </c>
      <c r="J8944" t="s">
        <v>47112</v>
      </c>
      <c r="K8944" t="s">
        <v>47113</v>
      </c>
      <c r="L8944">
        <v>40.119999999999997</v>
      </c>
      <c r="M8944">
        <v>98</v>
      </c>
      <c r="N8944">
        <v>0</v>
      </c>
      <c r="O8944">
        <v>98</v>
      </c>
      <c r="P8944">
        <v>0</v>
      </c>
    </row>
    <row r="8945" spans="1:16" x14ac:dyDescent="0.25">
      <c r="A8945" t="s">
        <v>31531</v>
      </c>
      <c r="B8945" t="s">
        <v>6655</v>
      </c>
      <c r="C8945" t="s">
        <v>6656</v>
      </c>
      <c r="D8945" t="s">
        <v>6657</v>
      </c>
      <c r="E8945" t="s">
        <v>6658</v>
      </c>
      <c r="F8945" t="s">
        <v>4</v>
      </c>
      <c r="G8945" t="s">
        <v>16231</v>
      </c>
      <c r="H8945" t="s">
        <v>47054</v>
      </c>
      <c r="I8945" t="s">
        <v>47111</v>
      </c>
      <c r="J8945" t="s">
        <v>47112</v>
      </c>
      <c r="K8945" t="s">
        <v>47113</v>
      </c>
      <c r="L8945">
        <v>36.81</v>
      </c>
      <c r="M8945">
        <v>90</v>
      </c>
      <c r="N8945">
        <v>0</v>
      </c>
      <c r="O8945">
        <v>90</v>
      </c>
      <c r="P8945">
        <v>0</v>
      </c>
    </row>
    <row r="8946" spans="1:16" x14ac:dyDescent="0.25">
      <c r="A8946" t="s">
        <v>31532</v>
      </c>
      <c r="B8946" t="s">
        <v>15461</v>
      </c>
      <c r="C8946" t="s">
        <v>15462</v>
      </c>
      <c r="D8946" t="s">
        <v>15463</v>
      </c>
      <c r="E8946" t="s">
        <v>15464</v>
      </c>
      <c r="F8946" t="s">
        <v>3750</v>
      </c>
      <c r="G8946" t="s">
        <v>16231</v>
      </c>
      <c r="H8946" t="s">
        <v>47054</v>
      </c>
      <c r="I8946" t="s">
        <v>47116</v>
      </c>
      <c r="J8946" t="s">
        <v>47117</v>
      </c>
      <c r="K8946" t="s">
        <v>47113</v>
      </c>
      <c r="L8946">
        <v>25.92</v>
      </c>
      <c r="M8946">
        <v>101</v>
      </c>
      <c r="N8946">
        <v>0</v>
      </c>
      <c r="O8946">
        <v>101</v>
      </c>
      <c r="P8946">
        <v>0</v>
      </c>
    </row>
    <row r="8947" spans="1:16" x14ac:dyDescent="0.25">
      <c r="A8947" t="s">
        <v>31533</v>
      </c>
      <c r="B8947" t="s">
        <v>6659</v>
      </c>
      <c r="C8947" t="s">
        <v>6660</v>
      </c>
      <c r="D8947" t="s">
        <v>6661</v>
      </c>
      <c r="E8947" t="s">
        <v>6662</v>
      </c>
      <c r="F8947" t="s">
        <v>3750</v>
      </c>
      <c r="G8947" t="s">
        <v>16231</v>
      </c>
      <c r="H8947" t="s">
        <v>47054</v>
      </c>
      <c r="I8947" t="s">
        <v>47111</v>
      </c>
      <c r="J8947" t="s">
        <v>47112</v>
      </c>
      <c r="K8947" t="s">
        <v>47113</v>
      </c>
      <c r="L8947">
        <v>32.49</v>
      </c>
      <c r="M8947">
        <v>79</v>
      </c>
      <c r="N8947">
        <v>0</v>
      </c>
      <c r="O8947">
        <v>79</v>
      </c>
      <c r="P8947">
        <v>0</v>
      </c>
    </row>
    <row r="8948" spans="1:16" x14ac:dyDescent="0.25">
      <c r="A8948" t="s">
        <v>31534</v>
      </c>
      <c r="B8948" t="s">
        <v>6663</v>
      </c>
      <c r="C8948" t="s">
        <v>6664</v>
      </c>
      <c r="D8948" t="str">
        <f>"11"</f>
        <v>11</v>
      </c>
      <c r="E8948" t="s">
        <v>288</v>
      </c>
      <c r="F8948" t="s">
        <v>3750</v>
      </c>
      <c r="G8948" t="s">
        <v>16231</v>
      </c>
      <c r="H8948" t="s">
        <v>47054</v>
      </c>
      <c r="I8948" t="s">
        <v>47111</v>
      </c>
      <c r="J8948" t="s">
        <v>47112</v>
      </c>
      <c r="K8948" t="s">
        <v>47113</v>
      </c>
      <c r="L8948">
        <v>27.51</v>
      </c>
      <c r="M8948">
        <v>67</v>
      </c>
      <c r="N8948">
        <v>0</v>
      </c>
      <c r="O8948">
        <v>67</v>
      </c>
      <c r="P8948">
        <v>0</v>
      </c>
    </row>
    <row r="8949" spans="1:16" x14ac:dyDescent="0.25">
      <c r="A8949" t="s">
        <v>31535</v>
      </c>
      <c r="B8949" t="s">
        <v>6665</v>
      </c>
      <c r="C8949" t="s">
        <v>6666</v>
      </c>
      <c r="D8949" t="s">
        <v>6667</v>
      </c>
      <c r="E8949" t="s">
        <v>6668</v>
      </c>
      <c r="F8949" t="s">
        <v>3750</v>
      </c>
      <c r="G8949" t="s">
        <v>16231</v>
      </c>
      <c r="H8949" t="s">
        <v>47054</v>
      </c>
      <c r="I8949" t="s">
        <v>47111</v>
      </c>
      <c r="J8949" t="s">
        <v>47112</v>
      </c>
      <c r="K8949" t="s">
        <v>47113</v>
      </c>
      <c r="L8949">
        <v>32.76</v>
      </c>
      <c r="M8949">
        <v>80</v>
      </c>
      <c r="N8949">
        <v>0</v>
      </c>
      <c r="O8949">
        <v>80</v>
      </c>
      <c r="P8949">
        <v>0</v>
      </c>
    </row>
    <row r="8950" spans="1:16" x14ac:dyDescent="0.25">
      <c r="A8950" t="s">
        <v>31536</v>
      </c>
      <c r="B8950" t="s">
        <v>6669</v>
      </c>
      <c r="C8950" t="s">
        <v>6670</v>
      </c>
      <c r="D8950" t="s">
        <v>5606</v>
      </c>
      <c r="E8950" t="s">
        <v>5607</v>
      </c>
      <c r="F8950" t="s">
        <v>4</v>
      </c>
      <c r="G8950" t="s">
        <v>16231</v>
      </c>
      <c r="H8950" t="s">
        <v>47054</v>
      </c>
      <c r="I8950" t="s">
        <v>47111</v>
      </c>
      <c r="J8950" t="s">
        <v>47112</v>
      </c>
      <c r="K8950" t="s">
        <v>47113</v>
      </c>
      <c r="L8950">
        <v>42.65</v>
      </c>
      <c r="M8950">
        <v>104</v>
      </c>
      <c r="N8950">
        <v>0</v>
      </c>
      <c r="O8950">
        <v>104</v>
      </c>
      <c r="P8950">
        <v>0</v>
      </c>
    </row>
    <row r="8951" spans="1:16" x14ac:dyDescent="0.25">
      <c r="A8951" t="s">
        <v>31537</v>
      </c>
      <c r="B8951" t="s">
        <v>16322</v>
      </c>
      <c r="C8951" t="s">
        <v>16323</v>
      </c>
      <c r="D8951" t="s">
        <v>16320</v>
      </c>
      <c r="E8951" t="s">
        <v>16321</v>
      </c>
      <c r="F8951" t="s">
        <v>3750</v>
      </c>
      <c r="G8951" t="s">
        <v>16231</v>
      </c>
      <c r="H8951" t="s">
        <v>47054</v>
      </c>
      <c r="I8951" t="s">
        <v>47116</v>
      </c>
      <c r="J8951" t="s">
        <v>47117</v>
      </c>
      <c r="K8951" t="s">
        <v>47113</v>
      </c>
      <c r="L8951">
        <v>34.869999999999997</v>
      </c>
      <c r="M8951">
        <v>98</v>
      </c>
      <c r="N8951">
        <v>0</v>
      </c>
      <c r="O8951">
        <v>98</v>
      </c>
      <c r="P8951">
        <v>0</v>
      </c>
    </row>
    <row r="8952" spans="1:16" x14ac:dyDescent="0.25">
      <c r="A8952" t="s">
        <v>31538</v>
      </c>
      <c r="B8952" t="s">
        <v>6671</v>
      </c>
      <c r="C8952" t="s">
        <v>17383</v>
      </c>
      <c r="D8952" t="s">
        <v>5606</v>
      </c>
      <c r="E8952" t="s">
        <v>5607</v>
      </c>
      <c r="F8952" t="s">
        <v>3750</v>
      </c>
      <c r="G8952" t="s">
        <v>16231</v>
      </c>
      <c r="H8952" t="s">
        <v>47054</v>
      </c>
      <c r="I8952" t="s">
        <v>47111</v>
      </c>
      <c r="J8952" t="s">
        <v>47112</v>
      </c>
      <c r="K8952" t="s">
        <v>47113</v>
      </c>
      <c r="L8952">
        <v>43.42</v>
      </c>
      <c r="M8952">
        <v>106</v>
      </c>
      <c r="N8952">
        <v>0</v>
      </c>
      <c r="O8952">
        <v>106</v>
      </c>
      <c r="P8952">
        <v>0</v>
      </c>
    </row>
    <row r="8953" spans="1:16" x14ac:dyDescent="0.25">
      <c r="A8953" t="s">
        <v>31539</v>
      </c>
      <c r="B8953" t="s">
        <v>6671</v>
      </c>
      <c r="C8953" t="s">
        <v>17383</v>
      </c>
      <c r="D8953" t="s">
        <v>6657</v>
      </c>
      <c r="E8953" t="s">
        <v>6658</v>
      </c>
      <c r="F8953" t="s">
        <v>3750</v>
      </c>
      <c r="G8953" t="s">
        <v>16231</v>
      </c>
      <c r="H8953" t="s">
        <v>47054</v>
      </c>
      <c r="I8953" t="s">
        <v>47111</v>
      </c>
      <c r="J8953" t="s">
        <v>47112</v>
      </c>
      <c r="K8953" t="s">
        <v>47113</v>
      </c>
      <c r="L8953">
        <v>36.81</v>
      </c>
      <c r="M8953">
        <v>90</v>
      </c>
      <c r="N8953">
        <v>0</v>
      </c>
      <c r="O8953">
        <v>90</v>
      </c>
      <c r="P8953">
        <v>0</v>
      </c>
    </row>
    <row r="8954" spans="1:16" x14ac:dyDescent="0.25">
      <c r="A8954" t="s">
        <v>31540</v>
      </c>
      <c r="B8954" t="s">
        <v>6673</v>
      </c>
      <c r="C8954" t="s">
        <v>6672</v>
      </c>
      <c r="D8954" t="s">
        <v>6674</v>
      </c>
      <c r="E8954" t="s">
        <v>6675</v>
      </c>
      <c r="F8954" t="s">
        <v>4</v>
      </c>
      <c r="G8954" t="s">
        <v>16231</v>
      </c>
      <c r="H8954" t="s">
        <v>47054</v>
      </c>
      <c r="I8954" t="s">
        <v>47111</v>
      </c>
      <c r="J8954" t="s">
        <v>47112</v>
      </c>
      <c r="K8954" t="s">
        <v>47113</v>
      </c>
      <c r="L8954">
        <v>42.47</v>
      </c>
      <c r="M8954">
        <v>104</v>
      </c>
      <c r="N8954">
        <v>0</v>
      </c>
      <c r="O8954">
        <v>104</v>
      </c>
      <c r="P8954">
        <v>0</v>
      </c>
    </row>
    <row r="8955" spans="1:16" x14ac:dyDescent="0.25">
      <c r="A8955" t="s">
        <v>31541</v>
      </c>
      <c r="B8955" t="s">
        <v>6673</v>
      </c>
      <c r="C8955" t="s">
        <v>6672</v>
      </c>
      <c r="D8955" t="s">
        <v>6657</v>
      </c>
      <c r="E8955" t="s">
        <v>6658</v>
      </c>
      <c r="F8955" t="s">
        <v>4</v>
      </c>
      <c r="G8955" t="s">
        <v>16231</v>
      </c>
      <c r="H8955" t="s">
        <v>47054</v>
      </c>
      <c r="I8955" t="s">
        <v>47111</v>
      </c>
      <c r="J8955" t="s">
        <v>47112</v>
      </c>
      <c r="K8955" t="s">
        <v>47113</v>
      </c>
      <c r="L8955">
        <v>36.81</v>
      </c>
      <c r="M8955">
        <v>90</v>
      </c>
      <c r="N8955">
        <v>0</v>
      </c>
      <c r="O8955">
        <v>90</v>
      </c>
      <c r="P8955">
        <v>0</v>
      </c>
    </row>
    <row r="8956" spans="1:16" x14ac:dyDescent="0.25">
      <c r="A8956" t="s">
        <v>31542</v>
      </c>
      <c r="B8956" t="s">
        <v>6676</v>
      </c>
      <c r="C8956" t="s">
        <v>6672</v>
      </c>
      <c r="D8956" t="s">
        <v>6677</v>
      </c>
      <c r="E8956" t="s">
        <v>6678</v>
      </c>
      <c r="F8956" t="s">
        <v>4</v>
      </c>
      <c r="G8956" t="s">
        <v>16231</v>
      </c>
      <c r="H8956" t="s">
        <v>47054</v>
      </c>
      <c r="I8956" t="s">
        <v>47111</v>
      </c>
      <c r="J8956" t="s">
        <v>47112</v>
      </c>
      <c r="K8956" t="s">
        <v>47113</v>
      </c>
      <c r="L8956">
        <v>42.95</v>
      </c>
      <c r="M8956">
        <v>105</v>
      </c>
      <c r="N8956">
        <v>0</v>
      </c>
      <c r="O8956">
        <v>105</v>
      </c>
      <c r="P8956">
        <v>0</v>
      </c>
    </row>
    <row r="8957" spans="1:16" x14ac:dyDescent="0.25">
      <c r="A8957" t="s">
        <v>31543</v>
      </c>
      <c r="B8957" t="s">
        <v>6676</v>
      </c>
      <c r="C8957" t="s">
        <v>6672</v>
      </c>
      <c r="D8957" t="s">
        <v>6657</v>
      </c>
      <c r="E8957" t="s">
        <v>6658</v>
      </c>
      <c r="F8957" t="s">
        <v>4</v>
      </c>
      <c r="G8957" t="s">
        <v>16231</v>
      </c>
      <c r="H8957" t="s">
        <v>47054</v>
      </c>
      <c r="I8957" t="s">
        <v>47111</v>
      </c>
      <c r="J8957" t="s">
        <v>47112</v>
      </c>
      <c r="K8957" t="s">
        <v>47113</v>
      </c>
      <c r="L8957">
        <v>36.81</v>
      </c>
      <c r="M8957">
        <v>90</v>
      </c>
      <c r="N8957">
        <v>0</v>
      </c>
      <c r="O8957">
        <v>90</v>
      </c>
      <c r="P8957">
        <v>0</v>
      </c>
    </row>
    <row r="8958" spans="1:16" x14ac:dyDescent="0.25">
      <c r="A8958" t="s">
        <v>31544</v>
      </c>
      <c r="B8958" t="s">
        <v>31545</v>
      </c>
      <c r="C8958" t="s">
        <v>31546</v>
      </c>
      <c r="D8958" t="s">
        <v>721</v>
      </c>
      <c r="E8958" t="s">
        <v>722</v>
      </c>
      <c r="F8958" t="s">
        <v>3750</v>
      </c>
      <c r="G8958" t="s">
        <v>16231</v>
      </c>
      <c r="H8958" t="s">
        <v>47054</v>
      </c>
      <c r="I8958" t="s">
        <v>47111</v>
      </c>
      <c r="J8958" t="s">
        <v>47112</v>
      </c>
      <c r="K8958" t="s">
        <v>47113</v>
      </c>
      <c r="L8958">
        <v>27.46</v>
      </c>
      <c r="M8958">
        <v>100</v>
      </c>
      <c r="N8958">
        <v>269</v>
      </c>
      <c r="O8958">
        <v>100</v>
      </c>
      <c r="P8958">
        <v>269</v>
      </c>
    </row>
    <row r="8959" spans="1:16" x14ac:dyDescent="0.25">
      <c r="A8959" t="s">
        <v>31547</v>
      </c>
      <c r="B8959" t="s">
        <v>15465</v>
      </c>
      <c r="C8959" t="s">
        <v>15466</v>
      </c>
      <c r="D8959" t="s">
        <v>15467</v>
      </c>
      <c r="E8959" t="s">
        <v>15468</v>
      </c>
      <c r="F8959" t="s">
        <v>3750</v>
      </c>
      <c r="G8959" t="s">
        <v>16231</v>
      </c>
      <c r="H8959" t="s">
        <v>47054</v>
      </c>
      <c r="I8959" t="s">
        <v>47116</v>
      </c>
      <c r="J8959" t="s">
        <v>47117</v>
      </c>
      <c r="K8959" t="s">
        <v>47113</v>
      </c>
      <c r="L8959">
        <v>34.92</v>
      </c>
      <c r="M8959">
        <v>126</v>
      </c>
      <c r="N8959">
        <v>0</v>
      </c>
      <c r="O8959">
        <v>126</v>
      </c>
      <c r="P8959">
        <v>0</v>
      </c>
    </row>
    <row r="8960" spans="1:16" x14ac:dyDescent="0.25">
      <c r="A8960" t="s">
        <v>31548</v>
      </c>
      <c r="B8960" t="s">
        <v>16324</v>
      </c>
      <c r="C8960" t="s">
        <v>16325</v>
      </c>
      <c r="D8960" t="s">
        <v>16315</v>
      </c>
      <c r="E8960" t="s">
        <v>16316</v>
      </c>
      <c r="F8960" t="s">
        <v>3750</v>
      </c>
      <c r="G8960" t="s">
        <v>16231</v>
      </c>
      <c r="H8960" t="s">
        <v>47054</v>
      </c>
      <c r="I8960" t="s">
        <v>47116</v>
      </c>
      <c r="J8960" t="s">
        <v>47117</v>
      </c>
      <c r="K8960" t="s">
        <v>47113</v>
      </c>
      <c r="L8960">
        <v>24.87</v>
      </c>
      <c r="M8960">
        <v>70</v>
      </c>
      <c r="N8960">
        <v>0</v>
      </c>
      <c r="O8960">
        <v>70</v>
      </c>
      <c r="P8960">
        <v>0</v>
      </c>
    </row>
    <row r="8961" spans="1:16" x14ac:dyDescent="0.25">
      <c r="A8961" t="s">
        <v>31549</v>
      </c>
      <c r="B8961" t="s">
        <v>15469</v>
      </c>
      <c r="C8961" t="s">
        <v>15470</v>
      </c>
      <c r="D8961" t="s">
        <v>15471</v>
      </c>
      <c r="E8961" t="s">
        <v>15472</v>
      </c>
      <c r="F8961" t="s">
        <v>3750</v>
      </c>
      <c r="G8961" t="s">
        <v>16231</v>
      </c>
      <c r="H8961" t="s">
        <v>47054</v>
      </c>
      <c r="I8961" t="s">
        <v>47116</v>
      </c>
      <c r="J8961" t="s">
        <v>47117</v>
      </c>
      <c r="K8961" t="s">
        <v>47113</v>
      </c>
      <c r="L8961">
        <v>27.16</v>
      </c>
      <c r="M8961">
        <v>101</v>
      </c>
      <c r="N8961">
        <v>0</v>
      </c>
      <c r="O8961">
        <v>101</v>
      </c>
      <c r="P8961">
        <v>0</v>
      </c>
    </row>
    <row r="8962" spans="1:16" x14ac:dyDescent="0.25">
      <c r="A8962" t="s">
        <v>31550</v>
      </c>
      <c r="B8962" t="s">
        <v>16327</v>
      </c>
      <c r="C8962" t="s">
        <v>16326</v>
      </c>
      <c r="D8962" t="s">
        <v>15196</v>
      </c>
      <c r="E8962" t="s">
        <v>15197</v>
      </c>
      <c r="F8962" t="s">
        <v>3750</v>
      </c>
      <c r="G8962" t="s">
        <v>16231</v>
      </c>
      <c r="H8962" t="s">
        <v>47054</v>
      </c>
      <c r="I8962" t="s">
        <v>47116</v>
      </c>
      <c r="J8962" t="s">
        <v>47117</v>
      </c>
      <c r="K8962" t="s">
        <v>47113</v>
      </c>
      <c r="L8962">
        <v>35.64</v>
      </c>
      <c r="M8962">
        <v>100</v>
      </c>
      <c r="N8962">
        <v>0</v>
      </c>
      <c r="O8962">
        <v>100</v>
      </c>
      <c r="P8962">
        <v>0</v>
      </c>
    </row>
    <row r="8963" spans="1:16" x14ac:dyDescent="0.25">
      <c r="A8963" t="s">
        <v>31551</v>
      </c>
      <c r="B8963" t="s">
        <v>16328</v>
      </c>
      <c r="C8963" t="s">
        <v>16329</v>
      </c>
      <c r="D8963" t="s">
        <v>16313</v>
      </c>
      <c r="E8963" t="s">
        <v>16314</v>
      </c>
      <c r="F8963" t="s">
        <v>3750</v>
      </c>
      <c r="G8963" t="s">
        <v>16231</v>
      </c>
      <c r="H8963" t="s">
        <v>47054</v>
      </c>
      <c r="I8963" t="s">
        <v>47116</v>
      </c>
      <c r="J8963" t="s">
        <v>47117</v>
      </c>
      <c r="K8963" t="s">
        <v>47113</v>
      </c>
      <c r="L8963">
        <v>25.7</v>
      </c>
      <c r="M8963">
        <v>72</v>
      </c>
      <c r="N8963">
        <v>0</v>
      </c>
      <c r="O8963">
        <v>72</v>
      </c>
      <c r="P8963">
        <v>0</v>
      </c>
    </row>
    <row r="8964" spans="1:16" x14ac:dyDescent="0.25">
      <c r="A8964" t="s">
        <v>31552</v>
      </c>
      <c r="B8964" t="s">
        <v>17384</v>
      </c>
      <c r="C8964" t="s">
        <v>17385</v>
      </c>
      <c r="D8964" t="s">
        <v>17386</v>
      </c>
      <c r="E8964" t="s">
        <v>17387</v>
      </c>
      <c r="F8964" t="s">
        <v>3750</v>
      </c>
      <c r="G8964" t="s">
        <v>16231</v>
      </c>
      <c r="H8964" t="s">
        <v>47054</v>
      </c>
      <c r="I8964" t="s">
        <v>47116</v>
      </c>
      <c r="J8964" t="s">
        <v>47117</v>
      </c>
      <c r="K8964" t="s">
        <v>47113</v>
      </c>
      <c r="L8964">
        <v>19.46</v>
      </c>
      <c r="M8964">
        <v>57</v>
      </c>
      <c r="N8964">
        <v>0</v>
      </c>
      <c r="O8964">
        <v>57</v>
      </c>
      <c r="P8964">
        <v>0</v>
      </c>
    </row>
    <row r="8965" spans="1:16" x14ac:dyDescent="0.25">
      <c r="A8965" t="s">
        <v>31553</v>
      </c>
      <c r="B8965" t="s">
        <v>15473</v>
      </c>
      <c r="C8965" t="s">
        <v>15474</v>
      </c>
      <c r="D8965" t="s">
        <v>721</v>
      </c>
      <c r="E8965" t="s">
        <v>722</v>
      </c>
      <c r="F8965" t="s">
        <v>3750</v>
      </c>
      <c r="G8965" t="s">
        <v>16231</v>
      </c>
      <c r="H8965" t="s">
        <v>47054</v>
      </c>
      <c r="I8965" t="s">
        <v>47964</v>
      </c>
      <c r="J8965" t="s">
        <v>47965</v>
      </c>
      <c r="K8965" t="s">
        <v>47113</v>
      </c>
      <c r="L8965">
        <v>15.91</v>
      </c>
      <c r="M8965">
        <v>69</v>
      </c>
      <c r="N8965">
        <v>0</v>
      </c>
      <c r="O8965">
        <v>69</v>
      </c>
      <c r="P8965">
        <v>0</v>
      </c>
    </row>
    <row r="8966" spans="1:16" x14ac:dyDescent="0.25">
      <c r="A8966" t="s">
        <v>31554</v>
      </c>
      <c r="B8966" t="s">
        <v>6679</v>
      </c>
      <c r="C8966" t="s">
        <v>6680</v>
      </c>
      <c r="D8966" t="s">
        <v>6681</v>
      </c>
      <c r="E8966" t="s">
        <v>6682</v>
      </c>
      <c r="F8966" t="s">
        <v>3750</v>
      </c>
      <c r="G8966" t="s">
        <v>16231</v>
      </c>
      <c r="H8966" t="s">
        <v>47054</v>
      </c>
      <c r="I8966" t="s">
        <v>47111</v>
      </c>
      <c r="J8966" t="s">
        <v>47112</v>
      </c>
      <c r="K8966" t="s">
        <v>47113</v>
      </c>
      <c r="L8966">
        <v>33.15</v>
      </c>
      <c r="M8966">
        <v>81</v>
      </c>
      <c r="N8966">
        <v>0</v>
      </c>
      <c r="O8966">
        <v>81</v>
      </c>
      <c r="P8966">
        <v>0</v>
      </c>
    </row>
    <row r="8967" spans="1:16" x14ac:dyDescent="0.25">
      <c r="A8967" t="s">
        <v>31555</v>
      </c>
      <c r="B8967" t="s">
        <v>17388</v>
      </c>
      <c r="C8967" t="s">
        <v>15199</v>
      </c>
      <c r="D8967" t="s">
        <v>721</v>
      </c>
      <c r="E8967" t="s">
        <v>722</v>
      </c>
      <c r="F8967" t="s">
        <v>3750</v>
      </c>
      <c r="G8967" t="s">
        <v>16231</v>
      </c>
      <c r="H8967" t="s">
        <v>47054</v>
      </c>
      <c r="I8967" t="s">
        <v>47116</v>
      </c>
      <c r="J8967" t="s">
        <v>47117</v>
      </c>
      <c r="K8967" t="s">
        <v>47113</v>
      </c>
      <c r="L8967">
        <v>17.68</v>
      </c>
      <c r="M8967">
        <v>52</v>
      </c>
      <c r="N8967">
        <v>0</v>
      </c>
      <c r="O8967">
        <v>52</v>
      </c>
      <c r="P8967">
        <v>0</v>
      </c>
    </row>
    <row r="8968" spans="1:16" x14ac:dyDescent="0.25">
      <c r="A8968" t="s">
        <v>31556</v>
      </c>
      <c r="B8968" t="s">
        <v>15475</v>
      </c>
      <c r="C8968" t="s">
        <v>15476</v>
      </c>
      <c r="D8968" t="s">
        <v>6626</v>
      </c>
      <c r="E8968" t="s">
        <v>6627</v>
      </c>
      <c r="F8968" t="s">
        <v>3750</v>
      </c>
      <c r="G8968" t="s">
        <v>16231</v>
      </c>
      <c r="H8968" t="s">
        <v>47054</v>
      </c>
      <c r="I8968" t="s">
        <v>47116</v>
      </c>
      <c r="J8968" t="s">
        <v>47117</v>
      </c>
      <c r="K8968" t="s">
        <v>47113</v>
      </c>
      <c r="L8968">
        <v>17.91</v>
      </c>
      <c r="M8968">
        <v>69</v>
      </c>
      <c r="N8968">
        <v>0</v>
      </c>
      <c r="O8968">
        <v>69</v>
      </c>
      <c r="P8968">
        <v>0</v>
      </c>
    </row>
    <row r="8969" spans="1:16" x14ac:dyDescent="0.25">
      <c r="A8969" t="s">
        <v>31557</v>
      </c>
      <c r="B8969" t="s">
        <v>6683</v>
      </c>
      <c r="C8969" t="s">
        <v>6684</v>
      </c>
      <c r="D8969" t="s">
        <v>6685</v>
      </c>
      <c r="E8969" t="s">
        <v>6686</v>
      </c>
      <c r="F8969" t="s">
        <v>5</v>
      </c>
      <c r="G8969" t="s">
        <v>16231</v>
      </c>
      <c r="H8969" t="s">
        <v>47054</v>
      </c>
      <c r="I8969" t="s">
        <v>47111</v>
      </c>
      <c r="J8969" t="s">
        <v>47112</v>
      </c>
      <c r="K8969" t="s">
        <v>47113</v>
      </c>
      <c r="L8969">
        <v>28.53</v>
      </c>
      <c r="M8969">
        <v>70</v>
      </c>
      <c r="N8969">
        <v>0</v>
      </c>
      <c r="O8969">
        <v>70</v>
      </c>
      <c r="P8969">
        <v>0</v>
      </c>
    </row>
    <row r="8970" spans="1:16" x14ac:dyDescent="0.25">
      <c r="A8970" t="s">
        <v>31558</v>
      </c>
      <c r="B8970" t="s">
        <v>16330</v>
      </c>
      <c r="C8970" t="s">
        <v>16331</v>
      </c>
      <c r="D8970" t="s">
        <v>16313</v>
      </c>
      <c r="E8970" t="s">
        <v>16314</v>
      </c>
      <c r="F8970" t="s">
        <v>3750</v>
      </c>
      <c r="G8970" t="s">
        <v>16231</v>
      </c>
      <c r="H8970" t="s">
        <v>47054</v>
      </c>
      <c r="I8970" t="s">
        <v>47116</v>
      </c>
      <c r="J8970" t="s">
        <v>47117</v>
      </c>
      <c r="K8970" t="s">
        <v>47113</v>
      </c>
      <c r="L8970">
        <v>27.37</v>
      </c>
      <c r="M8970">
        <v>77</v>
      </c>
      <c r="N8970">
        <v>0</v>
      </c>
      <c r="O8970">
        <v>77</v>
      </c>
      <c r="P8970">
        <v>0</v>
      </c>
    </row>
    <row r="8971" spans="1:16" x14ac:dyDescent="0.25">
      <c r="A8971" t="s">
        <v>31559</v>
      </c>
      <c r="B8971" t="s">
        <v>17389</v>
      </c>
      <c r="C8971" t="s">
        <v>15605</v>
      </c>
      <c r="D8971" t="s">
        <v>17386</v>
      </c>
      <c r="E8971" t="s">
        <v>17387</v>
      </c>
      <c r="F8971" t="s">
        <v>3750</v>
      </c>
      <c r="G8971" t="s">
        <v>16231</v>
      </c>
      <c r="H8971" t="s">
        <v>47054</v>
      </c>
      <c r="I8971" t="s">
        <v>47116</v>
      </c>
      <c r="J8971" t="s">
        <v>47117</v>
      </c>
      <c r="K8971" t="s">
        <v>47113</v>
      </c>
      <c r="L8971">
        <v>19.46</v>
      </c>
      <c r="M8971">
        <v>57</v>
      </c>
      <c r="N8971">
        <v>0</v>
      </c>
      <c r="O8971">
        <v>57</v>
      </c>
      <c r="P8971">
        <v>0</v>
      </c>
    </row>
    <row r="8972" spans="1:16" x14ac:dyDescent="0.25">
      <c r="A8972" t="s">
        <v>31560</v>
      </c>
      <c r="B8972" t="s">
        <v>6687</v>
      </c>
      <c r="C8972" t="s">
        <v>6688</v>
      </c>
      <c r="D8972" t="str">
        <f>"1270"</f>
        <v>1270</v>
      </c>
      <c r="E8972" t="s">
        <v>6689</v>
      </c>
      <c r="F8972" t="s">
        <v>8</v>
      </c>
      <c r="G8972" t="s">
        <v>16231</v>
      </c>
      <c r="H8972" t="s">
        <v>47054</v>
      </c>
      <c r="I8972" t="s">
        <v>47111</v>
      </c>
      <c r="J8972" t="s">
        <v>47112</v>
      </c>
      <c r="K8972" t="s">
        <v>47113</v>
      </c>
      <c r="L8972">
        <v>40.31</v>
      </c>
      <c r="M8972">
        <v>80</v>
      </c>
      <c r="N8972">
        <v>0</v>
      </c>
      <c r="O8972">
        <v>80</v>
      </c>
      <c r="P8972">
        <v>0</v>
      </c>
    </row>
    <row r="8973" spans="1:16" x14ac:dyDescent="0.25">
      <c r="A8973" t="s">
        <v>47966</v>
      </c>
      <c r="B8973" t="s">
        <v>47967</v>
      </c>
      <c r="C8973" t="s">
        <v>47968</v>
      </c>
      <c r="D8973" t="s">
        <v>17231</v>
      </c>
      <c r="E8973" t="s">
        <v>17232</v>
      </c>
      <c r="F8973" t="s">
        <v>47163</v>
      </c>
      <c r="G8973" t="s">
        <v>16230</v>
      </c>
      <c r="H8973" t="s">
        <v>47054</v>
      </c>
      <c r="I8973" t="s">
        <v>47116</v>
      </c>
      <c r="J8973" t="s">
        <v>47117</v>
      </c>
      <c r="K8973" t="s">
        <v>47113</v>
      </c>
      <c r="L8973">
        <v>93.01</v>
      </c>
      <c r="M8973">
        <v>74</v>
      </c>
      <c r="N8973">
        <v>199</v>
      </c>
      <c r="O8973">
        <v>74</v>
      </c>
      <c r="P8973">
        <v>199</v>
      </c>
    </row>
    <row r="8974" spans="1:16" x14ac:dyDescent="0.25">
      <c r="A8974" t="s">
        <v>47969</v>
      </c>
      <c r="B8974" t="s">
        <v>47970</v>
      </c>
      <c r="C8974" t="s">
        <v>20091</v>
      </c>
      <c r="D8974" t="s">
        <v>47971</v>
      </c>
      <c r="E8974" t="s">
        <v>47972</v>
      </c>
      <c r="F8974" t="s">
        <v>47479</v>
      </c>
      <c r="G8974" t="s">
        <v>16230</v>
      </c>
      <c r="H8974" t="s">
        <v>47054</v>
      </c>
      <c r="I8974" t="s">
        <v>47120</v>
      </c>
      <c r="J8974" t="s">
        <v>47121</v>
      </c>
      <c r="K8974" t="s">
        <v>47113</v>
      </c>
      <c r="L8974">
        <v>36.15</v>
      </c>
      <c r="M8974">
        <v>92</v>
      </c>
      <c r="N8974">
        <v>249</v>
      </c>
      <c r="O8974">
        <v>92</v>
      </c>
      <c r="P8974">
        <v>249</v>
      </c>
    </row>
    <row r="8975" spans="1:16" x14ac:dyDescent="0.25">
      <c r="A8975" t="s">
        <v>47973</v>
      </c>
      <c r="B8975" t="s">
        <v>47974</v>
      </c>
      <c r="C8975" t="s">
        <v>20091</v>
      </c>
      <c r="D8975" t="s">
        <v>47975</v>
      </c>
      <c r="E8975" t="s">
        <v>47976</v>
      </c>
      <c r="F8975" t="s">
        <v>47488</v>
      </c>
      <c r="G8975" t="s">
        <v>16230</v>
      </c>
      <c r="H8975" t="s">
        <v>47054</v>
      </c>
      <c r="I8975" t="s">
        <v>47116</v>
      </c>
      <c r="J8975" t="s">
        <v>47117</v>
      </c>
      <c r="K8975" t="s">
        <v>47113</v>
      </c>
      <c r="L8975">
        <v>57.76</v>
      </c>
      <c r="M8975">
        <v>148</v>
      </c>
      <c r="N8975">
        <v>399</v>
      </c>
      <c r="O8975">
        <v>148</v>
      </c>
      <c r="P8975">
        <v>399</v>
      </c>
    </row>
    <row r="8976" spans="1:16" x14ac:dyDescent="0.25">
      <c r="A8976" t="s">
        <v>47977</v>
      </c>
      <c r="B8976" t="s">
        <v>47978</v>
      </c>
      <c r="C8976" t="s">
        <v>47979</v>
      </c>
      <c r="D8976" t="s">
        <v>47980</v>
      </c>
      <c r="E8976" t="s">
        <v>47981</v>
      </c>
      <c r="F8976" t="s">
        <v>46687</v>
      </c>
      <c r="G8976" t="s">
        <v>16230</v>
      </c>
      <c r="H8976" t="s">
        <v>47054</v>
      </c>
      <c r="I8976" t="s">
        <v>47544</v>
      </c>
      <c r="J8976" t="s">
        <v>47545</v>
      </c>
      <c r="K8976" t="s">
        <v>47113</v>
      </c>
      <c r="L8976">
        <v>29.5</v>
      </c>
      <c r="M8976">
        <v>74</v>
      </c>
      <c r="N8976">
        <v>199</v>
      </c>
      <c r="O8976">
        <v>74</v>
      </c>
      <c r="P8976">
        <v>199</v>
      </c>
    </row>
    <row r="8977" spans="1:16" x14ac:dyDescent="0.25">
      <c r="A8977" t="s">
        <v>31561</v>
      </c>
      <c r="B8977" t="s">
        <v>6690</v>
      </c>
      <c r="C8977" t="s">
        <v>6691</v>
      </c>
      <c r="D8977" t="str">
        <f>"1701"</f>
        <v>1701</v>
      </c>
      <c r="E8977" t="s">
        <v>55</v>
      </c>
      <c r="F8977" t="s">
        <v>8</v>
      </c>
      <c r="G8977" t="s">
        <v>46686</v>
      </c>
      <c r="H8977" t="s">
        <v>47054</v>
      </c>
      <c r="I8977" t="s">
        <v>47120</v>
      </c>
      <c r="J8977" t="s">
        <v>47121</v>
      </c>
      <c r="K8977" t="s">
        <v>47113</v>
      </c>
      <c r="L8977">
        <v>67.760000000000005</v>
      </c>
      <c r="M8977">
        <v>165</v>
      </c>
      <c r="N8977">
        <v>0</v>
      </c>
      <c r="O8977">
        <v>165</v>
      </c>
      <c r="P8977">
        <v>0</v>
      </c>
    </row>
    <row r="8978" spans="1:16" x14ac:dyDescent="0.25">
      <c r="A8978" t="s">
        <v>31562</v>
      </c>
      <c r="B8978" t="s">
        <v>6690</v>
      </c>
      <c r="C8978" t="s">
        <v>6691</v>
      </c>
      <c r="D8978" t="str">
        <f>"2000"</f>
        <v>2000</v>
      </c>
      <c r="E8978" t="s">
        <v>248</v>
      </c>
      <c r="F8978" t="s">
        <v>8</v>
      </c>
      <c r="G8978" t="s">
        <v>46686</v>
      </c>
      <c r="H8978" t="s">
        <v>47054</v>
      </c>
      <c r="I8978" t="s">
        <v>47120</v>
      </c>
      <c r="J8978" t="s">
        <v>47121</v>
      </c>
      <c r="K8978" t="s">
        <v>47113</v>
      </c>
      <c r="L8978">
        <v>67.760000000000005</v>
      </c>
      <c r="M8978">
        <v>165</v>
      </c>
      <c r="N8978">
        <v>0</v>
      </c>
      <c r="O8978">
        <v>165</v>
      </c>
      <c r="P8978">
        <v>0</v>
      </c>
    </row>
    <row r="8979" spans="1:16" x14ac:dyDescent="0.25">
      <c r="A8979" t="s">
        <v>31563</v>
      </c>
      <c r="B8979" t="s">
        <v>6690</v>
      </c>
      <c r="C8979" t="s">
        <v>6691</v>
      </c>
      <c r="D8979" t="str">
        <f>"4101"</f>
        <v>4101</v>
      </c>
      <c r="E8979" t="s">
        <v>43</v>
      </c>
      <c r="F8979" t="s">
        <v>8</v>
      </c>
      <c r="G8979" t="s">
        <v>46686</v>
      </c>
      <c r="H8979" t="s">
        <v>47054</v>
      </c>
      <c r="I8979" t="s">
        <v>47120</v>
      </c>
      <c r="J8979" t="s">
        <v>47121</v>
      </c>
      <c r="K8979" t="s">
        <v>47113</v>
      </c>
      <c r="L8979">
        <v>67.760000000000005</v>
      </c>
      <c r="M8979">
        <v>165</v>
      </c>
      <c r="N8979">
        <v>0</v>
      </c>
      <c r="O8979">
        <v>165</v>
      </c>
      <c r="P8979">
        <v>0</v>
      </c>
    </row>
    <row r="8980" spans="1:16" x14ac:dyDescent="0.25">
      <c r="A8980" t="s">
        <v>31564</v>
      </c>
      <c r="B8980" t="s">
        <v>6690</v>
      </c>
      <c r="C8980" t="s">
        <v>6691</v>
      </c>
      <c r="D8980" t="str">
        <f>"6000"</f>
        <v>6000</v>
      </c>
      <c r="E8980" t="s">
        <v>238</v>
      </c>
      <c r="F8980" t="s">
        <v>8</v>
      </c>
      <c r="G8980" t="s">
        <v>46686</v>
      </c>
      <c r="H8980" t="s">
        <v>47054</v>
      </c>
      <c r="I8980" t="s">
        <v>47120</v>
      </c>
      <c r="J8980" t="s">
        <v>47121</v>
      </c>
      <c r="K8980" t="s">
        <v>47113</v>
      </c>
      <c r="L8980">
        <v>67.760000000000005</v>
      </c>
      <c r="M8980">
        <v>165</v>
      </c>
      <c r="N8980">
        <v>0</v>
      </c>
      <c r="O8980">
        <v>165</v>
      </c>
      <c r="P8980">
        <v>0</v>
      </c>
    </row>
    <row r="8981" spans="1:16" x14ac:dyDescent="0.25">
      <c r="A8981" t="s">
        <v>31565</v>
      </c>
      <c r="B8981" t="s">
        <v>6692</v>
      </c>
      <c r="C8981" t="s">
        <v>6693</v>
      </c>
      <c r="D8981" t="s">
        <v>6694</v>
      </c>
      <c r="E8981" t="s">
        <v>6695</v>
      </c>
      <c r="F8981" t="s">
        <v>52</v>
      </c>
      <c r="G8981" t="s">
        <v>16231</v>
      </c>
      <c r="H8981" t="s">
        <v>47054</v>
      </c>
      <c r="I8981" t="s">
        <v>47111</v>
      </c>
      <c r="J8981" t="s">
        <v>47112</v>
      </c>
      <c r="K8981" t="s">
        <v>47113</v>
      </c>
      <c r="L8981">
        <v>64.08</v>
      </c>
      <c r="M8981">
        <v>172</v>
      </c>
      <c r="N8981">
        <v>0</v>
      </c>
      <c r="O8981">
        <v>172</v>
      </c>
      <c r="P8981">
        <v>0</v>
      </c>
    </row>
    <row r="8982" spans="1:16" x14ac:dyDescent="0.25">
      <c r="A8982" t="s">
        <v>31566</v>
      </c>
      <c r="B8982" t="s">
        <v>6696</v>
      </c>
      <c r="C8982" t="s">
        <v>6697</v>
      </c>
      <c r="D8982" t="str">
        <f>"4092"</f>
        <v>4092</v>
      </c>
      <c r="E8982" t="s">
        <v>6698</v>
      </c>
      <c r="F8982" t="s">
        <v>3670</v>
      </c>
      <c r="G8982" t="s">
        <v>16233</v>
      </c>
      <c r="I8982" t="s">
        <v>47120</v>
      </c>
      <c r="J8982" t="s">
        <v>47121</v>
      </c>
      <c r="K8982" t="s">
        <v>47113</v>
      </c>
      <c r="L8982">
        <v>33.159999999999997</v>
      </c>
      <c r="M8982">
        <v>48</v>
      </c>
      <c r="N8982">
        <v>0</v>
      </c>
      <c r="O8982">
        <v>48</v>
      </c>
      <c r="P8982">
        <v>0</v>
      </c>
    </row>
    <row r="8983" spans="1:16" x14ac:dyDescent="0.25">
      <c r="A8983" t="s">
        <v>31567</v>
      </c>
      <c r="B8983" t="s">
        <v>20359</v>
      </c>
      <c r="C8983" t="s">
        <v>20360</v>
      </c>
      <c r="D8983" t="str">
        <f>"1001"</f>
        <v>1001</v>
      </c>
      <c r="E8983" t="s">
        <v>20361</v>
      </c>
      <c r="F8983" t="s">
        <v>3750</v>
      </c>
      <c r="G8983" t="s">
        <v>16232</v>
      </c>
      <c r="H8983" t="s">
        <v>47054</v>
      </c>
      <c r="I8983" t="s">
        <v>47154</v>
      </c>
      <c r="J8983" t="s">
        <v>47155</v>
      </c>
      <c r="K8983" t="s">
        <v>47113</v>
      </c>
      <c r="L8983">
        <v>9.89</v>
      </c>
      <c r="M8983">
        <v>33</v>
      </c>
      <c r="N8983">
        <v>0</v>
      </c>
      <c r="O8983">
        <v>33</v>
      </c>
      <c r="P8983">
        <v>0</v>
      </c>
    </row>
    <row r="8984" spans="1:16" x14ac:dyDescent="0.25">
      <c r="A8984" t="s">
        <v>31568</v>
      </c>
      <c r="B8984" t="s">
        <v>20359</v>
      </c>
      <c r="C8984" t="s">
        <v>20360</v>
      </c>
      <c r="D8984" t="str">
        <f>"1118"</f>
        <v>1118</v>
      </c>
      <c r="E8984" t="s">
        <v>42</v>
      </c>
      <c r="F8984" t="s">
        <v>3750</v>
      </c>
      <c r="G8984" t="s">
        <v>16232</v>
      </c>
      <c r="H8984" t="s">
        <v>47054</v>
      </c>
      <c r="I8984" t="s">
        <v>47154</v>
      </c>
      <c r="J8984" t="s">
        <v>47155</v>
      </c>
      <c r="K8984" t="s">
        <v>47113</v>
      </c>
      <c r="L8984">
        <v>9.9700000000000006</v>
      </c>
      <c r="M8984">
        <v>34</v>
      </c>
      <c r="N8984">
        <v>0</v>
      </c>
      <c r="O8984">
        <v>34</v>
      </c>
      <c r="P8984">
        <v>0</v>
      </c>
    </row>
    <row r="8985" spans="1:16" x14ac:dyDescent="0.25">
      <c r="A8985" t="s">
        <v>31569</v>
      </c>
      <c r="B8985" t="s">
        <v>20359</v>
      </c>
      <c r="C8985" t="s">
        <v>20360</v>
      </c>
      <c r="D8985" t="str">
        <f>"1700"</f>
        <v>1700</v>
      </c>
      <c r="E8985" t="s">
        <v>60</v>
      </c>
      <c r="F8985" t="s">
        <v>3750</v>
      </c>
      <c r="G8985" t="s">
        <v>16232</v>
      </c>
      <c r="H8985" t="s">
        <v>47054</v>
      </c>
      <c r="I8985" t="s">
        <v>47154</v>
      </c>
      <c r="J8985" t="s">
        <v>47155</v>
      </c>
      <c r="K8985" t="s">
        <v>47113</v>
      </c>
      <c r="L8985">
        <v>10.09</v>
      </c>
      <c r="M8985">
        <v>34</v>
      </c>
      <c r="N8985">
        <v>0</v>
      </c>
      <c r="O8985">
        <v>34</v>
      </c>
      <c r="P8985">
        <v>0</v>
      </c>
    </row>
    <row r="8986" spans="1:16" x14ac:dyDescent="0.25">
      <c r="A8986" t="s">
        <v>31570</v>
      </c>
      <c r="B8986" t="s">
        <v>20359</v>
      </c>
      <c r="C8986" t="s">
        <v>20360</v>
      </c>
      <c r="D8986" t="str">
        <f>"3071"</f>
        <v>3071</v>
      </c>
      <c r="E8986" t="s">
        <v>15402</v>
      </c>
      <c r="F8986" t="s">
        <v>3750</v>
      </c>
      <c r="G8986" t="s">
        <v>16232</v>
      </c>
      <c r="H8986" t="s">
        <v>47054</v>
      </c>
      <c r="I8986" t="s">
        <v>47154</v>
      </c>
      <c r="J8986" t="s">
        <v>47155</v>
      </c>
      <c r="K8986" t="s">
        <v>47113</v>
      </c>
      <c r="L8986">
        <v>9.9700000000000006</v>
      </c>
      <c r="M8986">
        <v>34</v>
      </c>
      <c r="N8986">
        <v>0</v>
      </c>
      <c r="O8986">
        <v>34</v>
      </c>
      <c r="P8986">
        <v>0</v>
      </c>
    </row>
    <row r="8987" spans="1:16" x14ac:dyDescent="0.25">
      <c r="A8987" t="s">
        <v>31571</v>
      </c>
      <c r="B8987" t="s">
        <v>20359</v>
      </c>
      <c r="C8987" t="s">
        <v>20360</v>
      </c>
      <c r="D8987" t="str">
        <f>"4401"</f>
        <v>4401</v>
      </c>
      <c r="E8987" t="s">
        <v>20362</v>
      </c>
      <c r="F8987" t="s">
        <v>3750</v>
      </c>
      <c r="G8987" t="s">
        <v>16232</v>
      </c>
      <c r="H8987" t="s">
        <v>47054</v>
      </c>
      <c r="I8987" t="s">
        <v>47154</v>
      </c>
      <c r="J8987" t="s">
        <v>47155</v>
      </c>
      <c r="K8987" t="s">
        <v>47113</v>
      </c>
      <c r="L8987">
        <v>9.89</v>
      </c>
      <c r="M8987">
        <v>33</v>
      </c>
      <c r="N8987">
        <v>0</v>
      </c>
      <c r="O8987">
        <v>33</v>
      </c>
      <c r="P8987">
        <v>0</v>
      </c>
    </row>
    <row r="8988" spans="1:16" x14ac:dyDescent="0.25">
      <c r="A8988" t="s">
        <v>31572</v>
      </c>
      <c r="B8988" t="s">
        <v>20359</v>
      </c>
      <c r="C8988" t="s">
        <v>20360</v>
      </c>
      <c r="D8988" t="str">
        <f>"6000"</f>
        <v>6000</v>
      </c>
      <c r="E8988" t="s">
        <v>20363</v>
      </c>
      <c r="F8988" t="s">
        <v>3750</v>
      </c>
      <c r="G8988" t="s">
        <v>16232</v>
      </c>
      <c r="H8988" t="s">
        <v>47054</v>
      </c>
      <c r="I8988" t="s">
        <v>47154</v>
      </c>
      <c r="J8988" t="s">
        <v>47155</v>
      </c>
      <c r="K8988" t="s">
        <v>47113</v>
      </c>
      <c r="L8988">
        <v>9.89</v>
      </c>
      <c r="M8988">
        <v>33</v>
      </c>
      <c r="N8988">
        <v>0</v>
      </c>
      <c r="O8988">
        <v>33</v>
      </c>
      <c r="P8988">
        <v>0</v>
      </c>
    </row>
    <row r="8989" spans="1:16" x14ac:dyDescent="0.25">
      <c r="A8989" t="s">
        <v>31573</v>
      </c>
      <c r="B8989" t="s">
        <v>20359</v>
      </c>
      <c r="C8989" t="s">
        <v>20360</v>
      </c>
      <c r="D8989" t="str">
        <f>"6059"</f>
        <v>6059</v>
      </c>
      <c r="E8989" t="s">
        <v>6279</v>
      </c>
      <c r="F8989" t="s">
        <v>3750</v>
      </c>
      <c r="G8989" t="s">
        <v>16232</v>
      </c>
      <c r="H8989" t="s">
        <v>47054</v>
      </c>
      <c r="I8989" t="s">
        <v>47154</v>
      </c>
      <c r="J8989" t="s">
        <v>47155</v>
      </c>
      <c r="K8989" t="s">
        <v>47113</v>
      </c>
      <c r="L8989">
        <v>10.09</v>
      </c>
      <c r="M8989">
        <v>34</v>
      </c>
      <c r="N8989">
        <v>0</v>
      </c>
      <c r="O8989">
        <v>34</v>
      </c>
      <c r="P8989">
        <v>0</v>
      </c>
    </row>
    <row r="8990" spans="1:16" x14ac:dyDescent="0.25">
      <c r="A8990" t="s">
        <v>31574</v>
      </c>
      <c r="B8990" t="s">
        <v>6699</v>
      </c>
      <c r="C8990" t="s">
        <v>4788</v>
      </c>
      <c r="D8990" t="s">
        <v>4789</v>
      </c>
      <c r="E8990" t="s">
        <v>4790</v>
      </c>
      <c r="F8990" t="s">
        <v>3546</v>
      </c>
      <c r="G8990" t="s">
        <v>16230</v>
      </c>
      <c r="H8990" t="s">
        <v>47054</v>
      </c>
      <c r="I8990" t="s">
        <v>47120</v>
      </c>
      <c r="J8990" t="s">
        <v>47121</v>
      </c>
      <c r="K8990" t="s">
        <v>47113</v>
      </c>
      <c r="L8990">
        <v>41.36</v>
      </c>
      <c r="M8990">
        <v>102</v>
      </c>
      <c r="N8990">
        <v>0</v>
      </c>
      <c r="O8990">
        <v>102</v>
      </c>
      <c r="P8990">
        <v>0</v>
      </c>
    </row>
    <row r="8991" spans="1:16" x14ac:dyDescent="0.25">
      <c r="A8991" t="s">
        <v>47982</v>
      </c>
      <c r="B8991" t="s">
        <v>47983</v>
      </c>
      <c r="C8991" t="s">
        <v>47984</v>
      </c>
      <c r="D8991" t="str">
        <f>"3000"</f>
        <v>3000</v>
      </c>
      <c r="E8991" t="s">
        <v>47985</v>
      </c>
      <c r="F8991" t="s">
        <v>47171</v>
      </c>
      <c r="G8991" t="s">
        <v>16224</v>
      </c>
      <c r="H8991" t="s">
        <v>47054</v>
      </c>
      <c r="I8991" t="s">
        <v>47544</v>
      </c>
      <c r="J8991" t="s">
        <v>47545</v>
      </c>
      <c r="K8991" t="s">
        <v>47113</v>
      </c>
      <c r="L8991">
        <v>52.18</v>
      </c>
      <c r="M8991">
        <v>129</v>
      </c>
      <c r="N8991">
        <v>349</v>
      </c>
      <c r="O8991">
        <v>129</v>
      </c>
      <c r="P8991">
        <v>349</v>
      </c>
    </row>
    <row r="8992" spans="1:16" x14ac:dyDescent="0.25">
      <c r="A8992" t="s">
        <v>47986</v>
      </c>
      <c r="B8992" t="s">
        <v>47987</v>
      </c>
      <c r="C8992" t="s">
        <v>17885</v>
      </c>
      <c r="D8992" t="s">
        <v>47704</v>
      </c>
      <c r="E8992" t="s">
        <v>47705</v>
      </c>
      <c r="F8992" t="s">
        <v>47171</v>
      </c>
      <c r="G8992" t="s">
        <v>16224</v>
      </c>
      <c r="H8992" t="s">
        <v>47054</v>
      </c>
      <c r="I8992" t="s">
        <v>47544</v>
      </c>
      <c r="J8992" t="s">
        <v>47545</v>
      </c>
      <c r="K8992" t="s">
        <v>47113</v>
      </c>
      <c r="L8992">
        <v>55.44</v>
      </c>
      <c r="M8992">
        <v>122</v>
      </c>
      <c r="N8992">
        <v>329</v>
      </c>
      <c r="O8992">
        <v>122</v>
      </c>
      <c r="P8992">
        <v>329</v>
      </c>
    </row>
    <row r="8993" spans="1:16" x14ac:dyDescent="0.25">
      <c r="A8993" t="s">
        <v>47988</v>
      </c>
      <c r="B8993" t="s">
        <v>47989</v>
      </c>
      <c r="C8993" t="s">
        <v>17884</v>
      </c>
      <c r="D8993" t="s">
        <v>47726</v>
      </c>
      <c r="E8993" t="s">
        <v>47727</v>
      </c>
      <c r="F8993" t="s">
        <v>47479</v>
      </c>
      <c r="G8993" t="s">
        <v>16224</v>
      </c>
      <c r="H8993" t="s">
        <v>47054</v>
      </c>
      <c r="I8993" t="s">
        <v>47116</v>
      </c>
      <c r="J8993" t="s">
        <v>47117</v>
      </c>
      <c r="K8993" t="s">
        <v>47113</v>
      </c>
      <c r="L8993">
        <v>89.91</v>
      </c>
      <c r="M8993">
        <v>111</v>
      </c>
      <c r="N8993">
        <v>299</v>
      </c>
      <c r="O8993">
        <v>111</v>
      </c>
      <c r="P8993">
        <v>299</v>
      </c>
    </row>
    <row r="8994" spans="1:16" x14ac:dyDescent="0.25">
      <c r="A8994" t="s">
        <v>31575</v>
      </c>
      <c r="B8994" t="s">
        <v>6700</v>
      </c>
      <c r="C8994" t="s">
        <v>6701</v>
      </c>
      <c r="D8994" t="str">
        <f>"1001"</f>
        <v>1001</v>
      </c>
      <c r="E8994" t="s">
        <v>42</v>
      </c>
      <c r="F8994" t="s">
        <v>52</v>
      </c>
      <c r="G8994" t="s">
        <v>16230</v>
      </c>
      <c r="H8994" t="s">
        <v>47054</v>
      </c>
      <c r="I8994" t="s">
        <v>47136</v>
      </c>
      <c r="J8994" t="s">
        <v>47137</v>
      </c>
      <c r="K8994" t="s">
        <v>47113</v>
      </c>
      <c r="L8994">
        <v>20.85</v>
      </c>
      <c r="M8994">
        <v>53</v>
      </c>
      <c r="N8994">
        <v>0</v>
      </c>
      <c r="O8994">
        <v>53</v>
      </c>
      <c r="P8994">
        <v>0</v>
      </c>
    </row>
    <row r="8995" spans="1:16" x14ac:dyDescent="0.25">
      <c r="A8995" t="s">
        <v>31576</v>
      </c>
      <c r="B8995" t="s">
        <v>6700</v>
      </c>
      <c r="C8995" t="s">
        <v>6701</v>
      </c>
      <c r="D8995" t="str">
        <f>"1202"</f>
        <v>1202</v>
      </c>
      <c r="E8995" t="s">
        <v>1834</v>
      </c>
      <c r="F8995" t="s">
        <v>52</v>
      </c>
      <c r="G8995" t="s">
        <v>16230</v>
      </c>
      <c r="H8995" t="s">
        <v>47054</v>
      </c>
      <c r="I8995" t="s">
        <v>47136</v>
      </c>
      <c r="J8995" t="s">
        <v>47137</v>
      </c>
      <c r="K8995" t="s">
        <v>47113</v>
      </c>
      <c r="L8995">
        <v>20.85</v>
      </c>
      <c r="M8995">
        <v>53</v>
      </c>
      <c r="N8995">
        <v>0</v>
      </c>
      <c r="O8995">
        <v>53</v>
      </c>
      <c r="P8995">
        <v>0</v>
      </c>
    </row>
    <row r="8996" spans="1:16" x14ac:dyDescent="0.25">
      <c r="A8996" t="s">
        <v>31577</v>
      </c>
      <c r="B8996" t="s">
        <v>6700</v>
      </c>
      <c r="C8996" t="s">
        <v>6701</v>
      </c>
      <c r="D8996" t="str">
        <f>"2500"</f>
        <v>2500</v>
      </c>
      <c r="E8996" t="s">
        <v>1747</v>
      </c>
      <c r="F8996" t="s">
        <v>52</v>
      </c>
      <c r="G8996" t="s">
        <v>16230</v>
      </c>
      <c r="H8996" t="s">
        <v>47054</v>
      </c>
      <c r="I8996" t="s">
        <v>47136</v>
      </c>
      <c r="J8996" t="s">
        <v>47137</v>
      </c>
      <c r="K8996" t="s">
        <v>47113</v>
      </c>
      <c r="L8996">
        <v>20.85</v>
      </c>
      <c r="M8996">
        <v>53</v>
      </c>
      <c r="N8996">
        <v>0</v>
      </c>
      <c r="O8996">
        <v>53</v>
      </c>
      <c r="P8996">
        <v>0</v>
      </c>
    </row>
    <row r="8997" spans="1:16" x14ac:dyDescent="0.25">
      <c r="A8997" t="s">
        <v>31578</v>
      </c>
      <c r="B8997" t="s">
        <v>6700</v>
      </c>
      <c r="C8997" t="s">
        <v>6701</v>
      </c>
      <c r="D8997" t="str">
        <f>"3152"</f>
        <v>3152</v>
      </c>
      <c r="E8997" t="s">
        <v>1840</v>
      </c>
      <c r="F8997" t="s">
        <v>52</v>
      </c>
      <c r="G8997" t="s">
        <v>16230</v>
      </c>
      <c r="H8997" t="s">
        <v>47054</v>
      </c>
      <c r="I8997" t="s">
        <v>47136</v>
      </c>
      <c r="J8997" t="s">
        <v>47137</v>
      </c>
      <c r="K8997" t="s">
        <v>47113</v>
      </c>
      <c r="L8997">
        <v>22.86</v>
      </c>
      <c r="M8997">
        <v>53</v>
      </c>
      <c r="N8997">
        <v>0</v>
      </c>
      <c r="O8997">
        <v>53</v>
      </c>
      <c r="P8997">
        <v>0</v>
      </c>
    </row>
    <row r="8998" spans="1:16" x14ac:dyDescent="0.25">
      <c r="A8998" t="s">
        <v>31579</v>
      </c>
      <c r="B8998" t="s">
        <v>6700</v>
      </c>
      <c r="C8998" t="s">
        <v>6701</v>
      </c>
      <c r="D8998" t="str">
        <f>"4101"</f>
        <v>4101</v>
      </c>
      <c r="E8998" t="s">
        <v>43</v>
      </c>
      <c r="F8998" t="s">
        <v>52</v>
      </c>
      <c r="G8998" t="s">
        <v>16230</v>
      </c>
      <c r="H8998" t="s">
        <v>47054</v>
      </c>
      <c r="I8998" t="s">
        <v>47136</v>
      </c>
      <c r="J8998" t="s">
        <v>47137</v>
      </c>
      <c r="K8998" t="s">
        <v>47113</v>
      </c>
      <c r="L8998">
        <v>20.85</v>
      </c>
      <c r="M8998">
        <v>53</v>
      </c>
      <c r="N8998">
        <v>0</v>
      </c>
      <c r="O8998">
        <v>53</v>
      </c>
      <c r="P8998">
        <v>0</v>
      </c>
    </row>
    <row r="8999" spans="1:16" x14ac:dyDescent="0.25">
      <c r="A8999" t="s">
        <v>47990</v>
      </c>
      <c r="B8999" t="s">
        <v>47991</v>
      </c>
      <c r="C8999" t="s">
        <v>14561</v>
      </c>
      <c r="D8999" t="s">
        <v>47700</v>
      </c>
      <c r="E8999" t="s">
        <v>47701</v>
      </c>
      <c r="F8999" t="s">
        <v>47171</v>
      </c>
      <c r="G8999" t="s">
        <v>16224</v>
      </c>
      <c r="H8999" t="s">
        <v>47054</v>
      </c>
      <c r="I8999" t="s">
        <v>47116</v>
      </c>
      <c r="J8999" t="s">
        <v>47117</v>
      </c>
      <c r="K8999" t="s">
        <v>47113</v>
      </c>
      <c r="L8999">
        <v>73.66</v>
      </c>
      <c r="M8999">
        <v>111</v>
      </c>
      <c r="N8999">
        <v>299</v>
      </c>
      <c r="O8999">
        <v>111</v>
      </c>
      <c r="P8999">
        <v>299</v>
      </c>
    </row>
    <row r="9000" spans="1:16" x14ac:dyDescent="0.25">
      <c r="A9000" t="s">
        <v>47992</v>
      </c>
      <c r="B9000" t="s">
        <v>47993</v>
      </c>
      <c r="C9000" t="s">
        <v>17884</v>
      </c>
      <c r="D9000" t="s">
        <v>47860</v>
      </c>
      <c r="E9000" t="s">
        <v>47861</v>
      </c>
      <c r="F9000" t="s">
        <v>47488</v>
      </c>
      <c r="G9000" t="s">
        <v>16233</v>
      </c>
      <c r="H9000" t="s">
        <v>47054</v>
      </c>
      <c r="I9000" t="s">
        <v>47120</v>
      </c>
      <c r="J9000" t="s">
        <v>47121</v>
      </c>
      <c r="K9000" t="s">
        <v>47113</v>
      </c>
      <c r="L9000">
        <v>52.61</v>
      </c>
      <c r="M9000">
        <v>129</v>
      </c>
      <c r="N9000">
        <v>349</v>
      </c>
      <c r="O9000">
        <v>129</v>
      </c>
      <c r="P9000">
        <v>349</v>
      </c>
    </row>
    <row r="9001" spans="1:16" x14ac:dyDescent="0.25">
      <c r="A9001" t="s">
        <v>31580</v>
      </c>
      <c r="B9001" t="s">
        <v>6702</v>
      </c>
      <c r="C9001" t="s">
        <v>6703</v>
      </c>
      <c r="D9001" t="str">
        <f>"1056"</f>
        <v>1056</v>
      </c>
      <c r="E9001" t="s">
        <v>1277</v>
      </c>
      <c r="F9001" t="s">
        <v>52</v>
      </c>
      <c r="G9001" t="s">
        <v>16234</v>
      </c>
      <c r="H9001" t="s">
        <v>47054</v>
      </c>
      <c r="I9001" t="s">
        <v>47120</v>
      </c>
      <c r="J9001" t="s">
        <v>47121</v>
      </c>
      <c r="K9001" t="s">
        <v>47113</v>
      </c>
      <c r="L9001">
        <v>33.479999999999997</v>
      </c>
      <c r="M9001">
        <v>86</v>
      </c>
      <c r="N9001">
        <v>0</v>
      </c>
      <c r="O9001">
        <v>86</v>
      </c>
      <c r="P9001">
        <v>0</v>
      </c>
    </row>
    <row r="9002" spans="1:16" x14ac:dyDescent="0.25">
      <c r="A9002" t="s">
        <v>31581</v>
      </c>
      <c r="B9002" t="s">
        <v>6702</v>
      </c>
      <c r="C9002" t="s">
        <v>6703</v>
      </c>
      <c r="D9002" t="str">
        <f>"2122"</f>
        <v>2122</v>
      </c>
      <c r="E9002" t="s">
        <v>6533</v>
      </c>
      <c r="F9002" t="s">
        <v>52</v>
      </c>
      <c r="G9002" t="s">
        <v>16234</v>
      </c>
      <c r="H9002" t="s">
        <v>47054</v>
      </c>
      <c r="I9002" t="s">
        <v>47120</v>
      </c>
      <c r="J9002" t="s">
        <v>47121</v>
      </c>
      <c r="K9002" t="s">
        <v>47113</v>
      </c>
      <c r="L9002">
        <v>33.479999999999997</v>
      </c>
      <c r="M9002">
        <v>86</v>
      </c>
      <c r="N9002">
        <v>0</v>
      </c>
      <c r="O9002">
        <v>86</v>
      </c>
      <c r="P9002">
        <v>0</v>
      </c>
    </row>
    <row r="9003" spans="1:16" x14ac:dyDescent="0.25">
      <c r="A9003" t="s">
        <v>31582</v>
      </c>
      <c r="B9003" t="s">
        <v>6702</v>
      </c>
      <c r="C9003" t="s">
        <v>6703</v>
      </c>
      <c r="D9003" t="str">
        <f>"4170"</f>
        <v>4170</v>
      </c>
      <c r="E9003" t="s">
        <v>6535</v>
      </c>
      <c r="F9003" t="s">
        <v>52</v>
      </c>
      <c r="G9003" t="s">
        <v>16234</v>
      </c>
      <c r="H9003" t="s">
        <v>47054</v>
      </c>
      <c r="I9003" t="s">
        <v>47120</v>
      </c>
      <c r="J9003" t="s">
        <v>47121</v>
      </c>
      <c r="K9003" t="s">
        <v>47113</v>
      </c>
      <c r="L9003">
        <v>33.479999999999997</v>
      </c>
      <c r="M9003">
        <v>86</v>
      </c>
      <c r="N9003">
        <v>0</v>
      </c>
      <c r="O9003">
        <v>86</v>
      </c>
      <c r="P9003">
        <v>0</v>
      </c>
    </row>
    <row r="9004" spans="1:16" x14ac:dyDescent="0.25">
      <c r="A9004" t="s">
        <v>31583</v>
      </c>
      <c r="B9004" t="s">
        <v>6704</v>
      </c>
      <c r="C9004" t="s">
        <v>6703</v>
      </c>
      <c r="D9004" t="str">
        <f>"2122"</f>
        <v>2122</v>
      </c>
      <c r="E9004" t="s">
        <v>6533</v>
      </c>
      <c r="F9004" t="s">
        <v>7</v>
      </c>
      <c r="G9004" t="s">
        <v>16234</v>
      </c>
      <c r="H9004" t="s">
        <v>47054</v>
      </c>
      <c r="I9004" t="s">
        <v>47120</v>
      </c>
      <c r="J9004" t="s">
        <v>47121</v>
      </c>
      <c r="K9004" t="s">
        <v>47113</v>
      </c>
      <c r="L9004">
        <v>33.479999999999997</v>
      </c>
      <c r="M9004">
        <v>84</v>
      </c>
      <c r="N9004">
        <v>0</v>
      </c>
      <c r="O9004">
        <v>84</v>
      </c>
      <c r="P9004">
        <v>0</v>
      </c>
    </row>
    <row r="9005" spans="1:16" x14ac:dyDescent="0.25">
      <c r="A9005" t="s">
        <v>31584</v>
      </c>
      <c r="B9005" t="s">
        <v>6705</v>
      </c>
      <c r="C9005" t="s">
        <v>6706</v>
      </c>
      <c r="D9005" t="str">
        <f>"1026"</f>
        <v>1026</v>
      </c>
      <c r="E9005" t="s">
        <v>6522</v>
      </c>
      <c r="F9005" t="s">
        <v>52</v>
      </c>
      <c r="G9005" t="s">
        <v>16234</v>
      </c>
      <c r="H9005" t="s">
        <v>47054</v>
      </c>
      <c r="I9005" t="s">
        <v>47120</v>
      </c>
      <c r="J9005" t="s">
        <v>47121</v>
      </c>
      <c r="K9005" t="s">
        <v>47113</v>
      </c>
      <c r="L9005">
        <v>32.25</v>
      </c>
      <c r="M9005">
        <v>77</v>
      </c>
      <c r="N9005">
        <v>0</v>
      </c>
      <c r="O9005">
        <v>77</v>
      </c>
      <c r="P9005">
        <v>0</v>
      </c>
    </row>
    <row r="9006" spans="1:16" x14ac:dyDescent="0.25">
      <c r="A9006" t="s">
        <v>31585</v>
      </c>
      <c r="B9006" t="s">
        <v>6705</v>
      </c>
      <c r="C9006" t="s">
        <v>6706</v>
      </c>
      <c r="D9006" t="str">
        <f>"1056"</f>
        <v>1056</v>
      </c>
      <c r="E9006" t="s">
        <v>1277</v>
      </c>
      <c r="F9006" t="s">
        <v>52</v>
      </c>
      <c r="G9006" t="s">
        <v>16234</v>
      </c>
      <c r="H9006" t="s">
        <v>47054</v>
      </c>
      <c r="I9006" t="s">
        <v>47120</v>
      </c>
      <c r="J9006" t="s">
        <v>47121</v>
      </c>
      <c r="K9006" t="s">
        <v>47113</v>
      </c>
      <c r="L9006">
        <v>34.33</v>
      </c>
      <c r="M9006">
        <v>88</v>
      </c>
      <c r="N9006">
        <v>0</v>
      </c>
      <c r="O9006">
        <v>88</v>
      </c>
      <c r="P9006">
        <v>0</v>
      </c>
    </row>
    <row r="9007" spans="1:16" x14ac:dyDescent="0.25">
      <c r="A9007" t="s">
        <v>31586</v>
      </c>
      <c r="B9007" t="s">
        <v>6705</v>
      </c>
      <c r="C9007" t="s">
        <v>6706</v>
      </c>
      <c r="D9007" t="str">
        <f>"1110"</f>
        <v>1110</v>
      </c>
      <c r="E9007" t="s">
        <v>6707</v>
      </c>
      <c r="F9007" t="s">
        <v>52</v>
      </c>
      <c r="G9007" t="s">
        <v>16234</v>
      </c>
      <c r="H9007" t="s">
        <v>47054</v>
      </c>
      <c r="I9007" t="s">
        <v>47120</v>
      </c>
      <c r="J9007" t="s">
        <v>47121</v>
      </c>
      <c r="K9007" t="s">
        <v>47113</v>
      </c>
      <c r="L9007">
        <v>31.31</v>
      </c>
      <c r="M9007">
        <v>70</v>
      </c>
      <c r="N9007">
        <v>0</v>
      </c>
      <c r="O9007">
        <v>70</v>
      </c>
      <c r="P9007">
        <v>0</v>
      </c>
    </row>
    <row r="9008" spans="1:16" x14ac:dyDescent="0.25">
      <c r="A9008" t="s">
        <v>31587</v>
      </c>
      <c r="B9008" t="s">
        <v>6705</v>
      </c>
      <c r="C9008" t="s">
        <v>6706</v>
      </c>
      <c r="D9008" t="str">
        <f>"2019"</f>
        <v>2019</v>
      </c>
      <c r="E9008" t="s">
        <v>6708</v>
      </c>
      <c r="F9008" t="s">
        <v>52</v>
      </c>
      <c r="G9008" t="s">
        <v>16234</v>
      </c>
      <c r="H9008" t="s">
        <v>47054</v>
      </c>
      <c r="I9008" t="s">
        <v>47120</v>
      </c>
      <c r="J9008" t="s">
        <v>47121</v>
      </c>
      <c r="K9008" t="s">
        <v>47113</v>
      </c>
      <c r="L9008">
        <v>31.31</v>
      </c>
      <c r="M9008">
        <v>70</v>
      </c>
      <c r="N9008">
        <v>0</v>
      </c>
      <c r="O9008">
        <v>70</v>
      </c>
      <c r="P9008">
        <v>0</v>
      </c>
    </row>
    <row r="9009" spans="1:16" x14ac:dyDescent="0.25">
      <c r="A9009" t="s">
        <v>31588</v>
      </c>
      <c r="B9009" t="s">
        <v>6709</v>
      </c>
      <c r="C9009" t="s">
        <v>6706</v>
      </c>
      <c r="D9009" t="str">
        <f>"1024"</f>
        <v>1024</v>
      </c>
      <c r="E9009" t="s">
        <v>717</v>
      </c>
      <c r="F9009" t="s">
        <v>7</v>
      </c>
      <c r="G9009" t="s">
        <v>16234</v>
      </c>
      <c r="H9009" t="s">
        <v>47054</v>
      </c>
      <c r="I9009" t="s">
        <v>47120</v>
      </c>
      <c r="J9009" t="s">
        <v>47121</v>
      </c>
      <c r="K9009" t="s">
        <v>47113</v>
      </c>
      <c r="L9009">
        <v>32.44</v>
      </c>
      <c r="M9009">
        <v>78</v>
      </c>
      <c r="N9009">
        <v>0</v>
      </c>
      <c r="O9009">
        <v>78</v>
      </c>
      <c r="P9009">
        <v>0</v>
      </c>
    </row>
    <row r="9010" spans="1:16" x14ac:dyDescent="0.25">
      <c r="A9010" t="s">
        <v>31589</v>
      </c>
      <c r="B9010" t="s">
        <v>6709</v>
      </c>
      <c r="C9010" t="s">
        <v>6706</v>
      </c>
      <c r="D9010" t="str">
        <f>"4158"</f>
        <v>4158</v>
      </c>
      <c r="E9010" t="s">
        <v>6588</v>
      </c>
      <c r="F9010" t="s">
        <v>7</v>
      </c>
      <c r="G9010" t="s">
        <v>16234</v>
      </c>
      <c r="H9010" t="s">
        <v>47054</v>
      </c>
      <c r="I9010" t="s">
        <v>47120</v>
      </c>
      <c r="J9010" t="s">
        <v>47121</v>
      </c>
      <c r="K9010" t="s">
        <v>47113</v>
      </c>
      <c r="L9010">
        <v>34.33</v>
      </c>
      <c r="M9010">
        <v>86</v>
      </c>
      <c r="N9010">
        <v>0</v>
      </c>
      <c r="O9010">
        <v>86</v>
      </c>
      <c r="P9010">
        <v>0</v>
      </c>
    </row>
    <row r="9011" spans="1:16" x14ac:dyDescent="0.25">
      <c r="A9011" t="s">
        <v>31590</v>
      </c>
      <c r="B9011" t="s">
        <v>6710</v>
      </c>
      <c r="C9011" t="s">
        <v>6711</v>
      </c>
      <c r="D9011" t="str">
        <f>"1001"</f>
        <v>1001</v>
      </c>
      <c r="E9011" t="s">
        <v>42</v>
      </c>
      <c r="F9011" t="s">
        <v>52</v>
      </c>
      <c r="G9011" t="s">
        <v>16224</v>
      </c>
      <c r="H9011" t="s">
        <v>47054</v>
      </c>
      <c r="I9011" t="s">
        <v>47120</v>
      </c>
      <c r="J9011" t="s">
        <v>47121</v>
      </c>
      <c r="K9011" t="s">
        <v>47113</v>
      </c>
      <c r="L9011">
        <v>41.31</v>
      </c>
      <c r="M9011">
        <v>91</v>
      </c>
      <c r="N9011">
        <v>0</v>
      </c>
      <c r="O9011">
        <v>91</v>
      </c>
      <c r="P9011">
        <v>0</v>
      </c>
    </row>
    <row r="9012" spans="1:16" x14ac:dyDescent="0.25">
      <c r="A9012" t="s">
        <v>31591</v>
      </c>
      <c r="B9012" t="s">
        <v>6710</v>
      </c>
      <c r="C9012" t="s">
        <v>6711</v>
      </c>
      <c r="D9012" t="str">
        <f>"1025"</f>
        <v>1025</v>
      </c>
      <c r="E9012" t="s">
        <v>6567</v>
      </c>
      <c r="F9012" t="s">
        <v>52</v>
      </c>
      <c r="G9012" t="s">
        <v>16224</v>
      </c>
      <c r="H9012" t="s">
        <v>47054</v>
      </c>
      <c r="I9012" t="s">
        <v>47120</v>
      </c>
      <c r="J9012" t="s">
        <v>47121</v>
      </c>
      <c r="K9012" t="s">
        <v>47113</v>
      </c>
      <c r="L9012">
        <v>39.89</v>
      </c>
      <c r="M9012">
        <v>88</v>
      </c>
      <c r="N9012">
        <v>0</v>
      </c>
      <c r="O9012">
        <v>88</v>
      </c>
      <c r="P9012">
        <v>0</v>
      </c>
    </row>
    <row r="9013" spans="1:16" x14ac:dyDescent="0.25">
      <c r="A9013" t="s">
        <v>31592</v>
      </c>
      <c r="B9013" t="s">
        <v>6710</v>
      </c>
      <c r="C9013" t="s">
        <v>6711</v>
      </c>
      <c r="D9013" t="str">
        <f>"1026"</f>
        <v>1026</v>
      </c>
      <c r="E9013" t="s">
        <v>6522</v>
      </c>
      <c r="F9013" t="s">
        <v>52</v>
      </c>
      <c r="G9013" t="s">
        <v>16224</v>
      </c>
      <c r="H9013" t="s">
        <v>47054</v>
      </c>
      <c r="I9013" t="s">
        <v>47120</v>
      </c>
      <c r="J9013" t="s">
        <v>47121</v>
      </c>
      <c r="K9013" t="s">
        <v>47113</v>
      </c>
      <c r="L9013">
        <v>41.31</v>
      </c>
      <c r="M9013">
        <v>91</v>
      </c>
      <c r="N9013">
        <v>0</v>
      </c>
      <c r="O9013">
        <v>91</v>
      </c>
      <c r="P9013">
        <v>0</v>
      </c>
    </row>
    <row r="9014" spans="1:16" x14ac:dyDescent="0.25">
      <c r="A9014" t="s">
        <v>31593</v>
      </c>
      <c r="B9014" t="s">
        <v>6712</v>
      </c>
      <c r="C9014" t="s">
        <v>6713</v>
      </c>
      <c r="D9014" t="str">
        <f>"1026"</f>
        <v>1026</v>
      </c>
      <c r="E9014" t="s">
        <v>6522</v>
      </c>
      <c r="F9014" t="s">
        <v>52</v>
      </c>
      <c r="G9014" t="s">
        <v>16234</v>
      </c>
      <c r="H9014" t="s">
        <v>47054</v>
      </c>
      <c r="I9014" t="s">
        <v>47120</v>
      </c>
      <c r="J9014" t="s">
        <v>47121</v>
      </c>
      <c r="K9014" t="s">
        <v>47113</v>
      </c>
      <c r="L9014">
        <v>29.25</v>
      </c>
      <c r="M9014">
        <v>68</v>
      </c>
      <c r="N9014">
        <v>0</v>
      </c>
      <c r="O9014">
        <v>68</v>
      </c>
      <c r="P9014">
        <v>0</v>
      </c>
    </row>
    <row r="9015" spans="1:16" x14ac:dyDescent="0.25">
      <c r="A9015" t="s">
        <v>31594</v>
      </c>
      <c r="B9015" t="s">
        <v>6712</v>
      </c>
      <c r="C9015" t="s">
        <v>6713</v>
      </c>
      <c r="D9015" t="str">
        <f>"1110"</f>
        <v>1110</v>
      </c>
      <c r="E9015" t="s">
        <v>6707</v>
      </c>
      <c r="F9015" t="s">
        <v>52</v>
      </c>
      <c r="G9015" t="s">
        <v>16234</v>
      </c>
      <c r="H9015" t="s">
        <v>47054</v>
      </c>
      <c r="I9015" t="s">
        <v>47120</v>
      </c>
      <c r="J9015" t="s">
        <v>47121</v>
      </c>
      <c r="K9015" t="s">
        <v>47113</v>
      </c>
      <c r="L9015">
        <v>29.14</v>
      </c>
      <c r="M9015">
        <v>65</v>
      </c>
      <c r="N9015">
        <v>0</v>
      </c>
      <c r="O9015">
        <v>65</v>
      </c>
      <c r="P9015">
        <v>0</v>
      </c>
    </row>
    <row r="9016" spans="1:16" x14ac:dyDescent="0.25">
      <c r="A9016" t="s">
        <v>31595</v>
      </c>
      <c r="B9016" t="s">
        <v>6712</v>
      </c>
      <c r="C9016" t="s">
        <v>6713</v>
      </c>
      <c r="D9016" t="str">
        <f>"2019"</f>
        <v>2019</v>
      </c>
      <c r="E9016" t="s">
        <v>6708</v>
      </c>
      <c r="F9016" t="s">
        <v>52</v>
      </c>
      <c r="G9016" t="s">
        <v>16234</v>
      </c>
      <c r="H9016" t="s">
        <v>47054</v>
      </c>
      <c r="I9016" t="s">
        <v>47120</v>
      </c>
      <c r="J9016" t="s">
        <v>47121</v>
      </c>
      <c r="K9016" t="s">
        <v>47113</v>
      </c>
      <c r="L9016">
        <v>29.14</v>
      </c>
      <c r="M9016">
        <v>65</v>
      </c>
      <c r="N9016">
        <v>0</v>
      </c>
      <c r="O9016">
        <v>65</v>
      </c>
      <c r="P9016">
        <v>0</v>
      </c>
    </row>
    <row r="9017" spans="1:16" x14ac:dyDescent="0.25">
      <c r="A9017" t="s">
        <v>31596</v>
      </c>
      <c r="B9017" t="s">
        <v>6714</v>
      </c>
      <c r="C9017" t="s">
        <v>6713</v>
      </c>
      <c r="D9017" t="str">
        <f>"1511"</f>
        <v>1511</v>
      </c>
      <c r="E9017" t="s">
        <v>6583</v>
      </c>
      <c r="F9017" t="s">
        <v>7</v>
      </c>
      <c r="G9017" t="s">
        <v>16234</v>
      </c>
      <c r="H9017" t="s">
        <v>47054</v>
      </c>
      <c r="I9017" t="s">
        <v>47120</v>
      </c>
      <c r="J9017" t="s">
        <v>47121</v>
      </c>
      <c r="K9017" t="s">
        <v>47113</v>
      </c>
      <c r="L9017">
        <v>31.12</v>
      </c>
      <c r="M9017">
        <v>78</v>
      </c>
      <c r="N9017">
        <v>0</v>
      </c>
      <c r="O9017">
        <v>78</v>
      </c>
      <c r="P9017">
        <v>0</v>
      </c>
    </row>
    <row r="9018" spans="1:16" x14ac:dyDescent="0.25">
      <c r="A9018" t="s">
        <v>31597</v>
      </c>
      <c r="B9018" t="s">
        <v>6714</v>
      </c>
      <c r="C9018" t="s">
        <v>6713</v>
      </c>
      <c r="D9018" t="str">
        <f>"4128"</f>
        <v>4128</v>
      </c>
      <c r="E9018" t="s">
        <v>1284</v>
      </c>
      <c r="F9018" t="s">
        <v>7</v>
      </c>
      <c r="G9018" t="s">
        <v>16234</v>
      </c>
      <c r="H9018" t="s">
        <v>47054</v>
      </c>
      <c r="I9018" t="s">
        <v>47120</v>
      </c>
      <c r="J9018" t="s">
        <v>47121</v>
      </c>
      <c r="K9018" t="s">
        <v>47113</v>
      </c>
      <c r="L9018">
        <v>31.12</v>
      </c>
      <c r="M9018">
        <v>78</v>
      </c>
      <c r="N9018">
        <v>0</v>
      </c>
      <c r="O9018">
        <v>78</v>
      </c>
      <c r="P9018">
        <v>0</v>
      </c>
    </row>
    <row r="9019" spans="1:16" x14ac:dyDescent="0.25">
      <c r="A9019" t="s">
        <v>31598</v>
      </c>
      <c r="B9019" t="s">
        <v>6715</v>
      </c>
      <c r="C9019" t="str">
        <f>"OVERDYE - RICKY W/FLAP 34"""</f>
        <v>OVERDYE - RICKY W/FLAP 34"</v>
      </c>
      <c r="D9019" t="str">
        <f>"1001"</f>
        <v>1001</v>
      </c>
      <c r="E9019" t="s">
        <v>6716</v>
      </c>
      <c r="F9019" t="s">
        <v>3670</v>
      </c>
      <c r="G9019" t="s">
        <v>16231</v>
      </c>
      <c r="I9019" t="s">
        <v>47120</v>
      </c>
      <c r="J9019" t="s">
        <v>47121</v>
      </c>
      <c r="K9019" t="s">
        <v>47113</v>
      </c>
      <c r="L9019">
        <v>26.84</v>
      </c>
      <c r="M9019">
        <v>66</v>
      </c>
      <c r="N9019">
        <v>0</v>
      </c>
      <c r="O9019">
        <v>66</v>
      </c>
      <c r="P9019">
        <v>0</v>
      </c>
    </row>
    <row r="9020" spans="1:16" x14ac:dyDescent="0.25">
      <c r="A9020" t="s">
        <v>31599</v>
      </c>
      <c r="B9020" t="s">
        <v>6717</v>
      </c>
      <c r="C9020" t="str">
        <f>"OVERDYE - RICKY W/ FLAP 34"""</f>
        <v>OVERDYE - RICKY W/ FLAP 34"</v>
      </c>
      <c r="D9020" t="str">
        <f>"4933"</f>
        <v>4933</v>
      </c>
      <c r="E9020" t="s">
        <v>6718</v>
      </c>
      <c r="F9020" t="s">
        <v>3670</v>
      </c>
      <c r="G9020" t="s">
        <v>16231</v>
      </c>
      <c r="I9020" t="s">
        <v>47120</v>
      </c>
      <c r="J9020" t="s">
        <v>47121</v>
      </c>
      <c r="K9020" t="s">
        <v>47113</v>
      </c>
      <c r="L9020">
        <v>26.84</v>
      </c>
      <c r="M9020">
        <v>66</v>
      </c>
      <c r="N9020">
        <v>0</v>
      </c>
      <c r="O9020">
        <v>66</v>
      </c>
      <c r="P9020">
        <v>0</v>
      </c>
    </row>
    <row r="9021" spans="1:16" x14ac:dyDescent="0.25">
      <c r="A9021" t="s">
        <v>31600</v>
      </c>
      <c r="B9021" t="s">
        <v>6719</v>
      </c>
      <c r="C9021" t="str">
        <f>"OVERDYE - RICKY W/ FLAP 34"""</f>
        <v>OVERDYE - RICKY W/ FLAP 34"</v>
      </c>
      <c r="D9021" t="str">
        <f>"2501"</f>
        <v>2501</v>
      </c>
      <c r="E9021" t="s">
        <v>6720</v>
      </c>
      <c r="F9021" t="s">
        <v>3670</v>
      </c>
      <c r="G9021" t="s">
        <v>16231</v>
      </c>
      <c r="I9021" t="s">
        <v>47120</v>
      </c>
      <c r="J9021" t="s">
        <v>47121</v>
      </c>
      <c r="K9021" t="s">
        <v>47113</v>
      </c>
      <c r="L9021">
        <v>26.84</v>
      </c>
      <c r="M9021">
        <v>66</v>
      </c>
      <c r="N9021">
        <v>0</v>
      </c>
      <c r="O9021">
        <v>66</v>
      </c>
      <c r="P9021">
        <v>0</v>
      </c>
    </row>
    <row r="9022" spans="1:16" x14ac:dyDescent="0.25">
      <c r="A9022" t="s">
        <v>31601</v>
      </c>
      <c r="B9022" t="s">
        <v>6721</v>
      </c>
      <c r="C9022" t="str">
        <f>"OVERDYE - RICKY W/ FLAP 34"""</f>
        <v>OVERDYE - RICKY W/ FLAP 34"</v>
      </c>
      <c r="D9022" t="str">
        <f>"6113"</f>
        <v>6113</v>
      </c>
      <c r="E9022" t="s">
        <v>6722</v>
      </c>
      <c r="F9022" t="s">
        <v>3670</v>
      </c>
      <c r="G9022" t="s">
        <v>16231</v>
      </c>
      <c r="I9022" t="s">
        <v>47120</v>
      </c>
      <c r="J9022" t="s">
        <v>47121</v>
      </c>
      <c r="K9022" t="s">
        <v>47113</v>
      </c>
      <c r="L9022">
        <v>26.84</v>
      </c>
      <c r="M9022">
        <v>66</v>
      </c>
      <c r="N9022">
        <v>0</v>
      </c>
      <c r="O9022">
        <v>66</v>
      </c>
      <c r="P9022">
        <v>0</v>
      </c>
    </row>
    <row r="9023" spans="1:16" x14ac:dyDescent="0.25">
      <c r="A9023" t="s">
        <v>31602</v>
      </c>
      <c r="B9023" t="s">
        <v>6723</v>
      </c>
      <c r="C9023" t="s">
        <v>16250</v>
      </c>
      <c r="D9023" t="str">
        <f>"1310"</f>
        <v>1310</v>
      </c>
      <c r="E9023" t="s">
        <v>6724</v>
      </c>
      <c r="F9023" t="s">
        <v>3558</v>
      </c>
      <c r="G9023" t="s">
        <v>16231</v>
      </c>
      <c r="H9023" t="s">
        <v>47054</v>
      </c>
      <c r="I9023" t="s">
        <v>47120</v>
      </c>
      <c r="J9023" t="s">
        <v>47121</v>
      </c>
      <c r="K9023" t="s">
        <v>47113</v>
      </c>
      <c r="L9023">
        <v>25.73</v>
      </c>
      <c r="M9023">
        <v>59</v>
      </c>
      <c r="N9023">
        <v>0</v>
      </c>
      <c r="O9023">
        <v>59</v>
      </c>
      <c r="P9023">
        <v>0</v>
      </c>
    </row>
    <row r="9024" spans="1:16" x14ac:dyDescent="0.25">
      <c r="A9024" t="s">
        <v>31603</v>
      </c>
      <c r="B9024" t="s">
        <v>6725</v>
      </c>
      <c r="C9024" t="s">
        <v>16722</v>
      </c>
      <c r="D9024" t="str">
        <f>"6497"</f>
        <v>6497</v>
      </c>
      <c r="E9024" t="s">
        <v>6726</v>
      </c>
      <c r="F9024" t="s">
        <v>3558</v>
      </c>
      <c r="G9024" t="s">
        <v>16231</v>
      </c>
      <c r="H9024" t="s">
        <v>47054</v>
      </c>
      <c r="I9024" t="s">
        <v>47120</v>
      </c>
      <c r="J9024" t="s">
        <v>47121</v>
      </c>
      <c r="K9024" t="s">
        <v>47113</v>
      </c>
      <c r="L9024">
        <v>25.73</v>
      </c>
      <c r="M9024">
        <v>59</v>
      </c>
      <c r="N9024">
        <v>0</v>
      </c>
      <c r="O9024">
        <v>59</v>
      </c>
      <c r="P9024">
        <v>0</v>
      </c>
    </row>
    <row r="9025" spans="1:16" x14ac:dyDescent="0.25">
      <c r="A9025" t="s">
        <v>31604</v>
      </c>
      <c r="B9025" t="s">
        <v>6727</v>
      </c>
      <c r="C9025" t="s">
        <v>16722</v>
      </c>
      <c r="D9025" t="str">
        <f>"1991"</f>
        <v>1991</v>
      </c>
      <c r="E9025" t="s">
        <v>6728</v>
      </c>
      <c r="F9025" t="s">
        <v>3558</v>
      </c>
      <c r="G9025" t="s">
        <v>16231</v>
      </c>
      <c r="H9025" t="s">
        <v>47054</v>
      </c>
      <c r="I9025" t="s">
        <v>47120</v>
      </c>
      <c r="J9025" t="s">
        <v>47121</v>
      </c>
      <c r="K9025" t="s">
        <v>47113</v>
      </c>
      <c r="L9025">
        <v>16.829999999999998</v>
      </c>
      <c r="M9025">
        <v>29</v>
      </c>
      <c r="N9025">
        <v>0</v>
      </c>
      <c r="O9025">
        <v>29</v>
      </c>
      <c r="P9025">
        <v>0</v>
      </c>
    </row>
    <row r="9026" spans="1:16" x14ac:dyDescent="0.25">
      <c r="A9026" t="s">
        <v>31605</v>
      </c>
      <c r="B9026" t="s">
        <v>16476</v>
      </c>
      <c r="C9026" t="s">
        <v>6097</v>
      </c>
      <c r="D9026" t="str">
        <f>"1310"</f>
        <v>1310</v>
      </c>
      <c r="E9026" t="s">
        <v>6724</v>
      </c>
      <c r="F9026" t="s">
        <v>3670</v>
      </c>
      <c r="G9026" t="s">
        <v>16234</v>
      </c>
      <c r="H9026" t="s">
        <v>47054</v>
      </c>
      <c r="I9026" t="s">
        <v>47120</v>
      </c>
      <c r="J9026" t="s">
        <v>47121</v>
      </c>
      <c r="K9026" t="s">
        <v>47113</v>
      </c>
      <c r="L9026">
        <v>26.79</v>
      </c>
      <c r="M9026">
        <v>66</v>
      </c>
      <c r="N9026">
        <v>0</v>
      </c>
      <c r="O9026">
        <v>66</v>
      </c>
      <c r="P9026">
        <v>0</v>
      </c>
    </row>
    <row r="9027" spans="1:16" x14ac:dyDescent="0.25">
      <c r="A9027" t="s">
        <v>31606</v>
      </c>
      <c r="B9027" t="s">
        <v>16476</v>
      </c>
      <c r="C9027" t="s">
        <v>6097</v>
      </c>
      <c r="D9027" t="str">
        <f>"2501"</f>
        <v>2501</v>
      </c>
      <c r="E9027" t="s">
        <v>6720</v>
      </c>
      <c r="F9027" t="s">
        <v>3670</v>
      </c>
      <c r="G9027" t="s">
        <v>16234</v>
      </c>
      <c r="H9027" t="s">
        <v>47054</v>
      </c>
      <c r="I9027" t="s">
        <v>47120</v>
      </c>
      <c r="J9027" t="s">
        <v>47121</v>
      </c>
      <c r="K9027" t="s">
        <v>47113</v>
      </c>
      <c r="L9027">
        <v>26.79</v>
      </c>
      <c r="M9027">
        <v>66</v>
      </c>
      <c r="N9027">
        <v>0</v>
      </c>
      <c r="O9027">
        <v>66</v>
      </c>
      <c r="P9027">
        <v>0</v>
      </c>
    </row>
    <row r="9028" spans="1:16" x14ac:dyDescent="0.25">
      <c r="A9028" t="s">
        <v>31607</v>
      </c>
      <c r="B9028" t="s">
        <v>15477</v>
      </c>
      <c r="C9028" t="s">
        <v>15478</v>
      </c>
      <c r="D9028" t="str">
        <f>"1128"</f>
        <v>1128</v>
      </c>
      <c r="E9028" t="s">
        <v>6716</v>
      </c>
      <c r="F9028" t="s">
        <v>3670</v>
      </c>
      <c r="G9028" t="s">
        <v>16233</v>
      </c>
      <c r="H9028" t="s">
        <v>47054</v>
      </c>
      <c r="I9028" t="s">
        <v>47120</v>
      </c>
      <c r="J9028" t="s">
        <v>47121</v>
      </c>
      <c r="K9028" t="s">
        <v>47113</v>
      </c>
      <c r="L9028">
        <v>25.67</v>
      </c>
      <c r="M9028">
        <v>66</v>
      </c>
      <c r="N9028">
        <v>0</v>
      </c>
      <c r="O9028">
        <v>66</v>
      </c>
      <c r="P9028">
        <v>0</v>
      </c>
    </row>
    <row r="9029" spans="1:16" x14ac:dyDescent="0.25">
      <c r="A9029" t="s">
        <v>31608</v>
      </c>
      <c r="B9029" t="s">
        <v>15479</v>
      </c>
      <c r="C9029" t="s">
        <v>15478</v>
      </c>
      <c r="D9029" t="str">
        <f>"4933"</f>
        <v>4933</v>
      </c>
      <c r="E9029" t="s">
        <v>6718</v>
      </c>
      <c r="F9029" t="s">
        <v>3670</v>
      </c>
      <c r="G9029" t="s">
        <v>16233</v>
      </c>
      <c r="H9029" t="s">
        <v>47054</v>
      </c>
      <c r="I9029" t="s">
        <v>47120</v>
      </c>
      <c r="J9029" t="s">
        <v>47121</v>
      </c>
      <c r="K9029" t="s">
        <v>47113</v>
      </c>
      <c r="L9029">
        <v>25.67</v>
      </c>
      <c r="M9029">
        <v>66</v>
      </c>
      <c r="N9029">
        <v>0</v>
      </c>
      <c r="O9029">
        <v>66</v>
      </c>
      <c r="P9029">
        <v>0</v>
      </c>
    </row>
    <row r="9030" spans="1:16" x14ac:dyDescent="0.25">
      <c r="A9030" t="s">
        <v>31609</v>
      </c>
      <c r="B9030" t="s">
        <v>15480</v>
      </c>
      <c r="C9030" t="s">
        <v>15478</v>
      </c>
      <c r="D9030" t="str">
        <f>"2501"</f>
        <v>2501</v>
      </c>
      <c r="E9030" t="s">
        <v>6720</v>
      </c>
      <c r="F9030" t="s">
        <v>3670</v>
      </c>
      <c r="G9030" t="s">
        <v>16233</v>
      </c>
      <c r="H9030" t="s">
        <v>47054</v>
      </c>
      <c r="I9030" t="s">
        <v>47120</v>
      </c>
      <c r="J9030" t="s">
        <v>47121</v>
      </c>
      <c r="K9030" t="s">
        <v>47113</v>
      </c>
      <c r="L9030">
        <v>25.67</v>
      </c>
      <c r="M9030">
        <v>66</v>
      </c>
      <c r="N9030">
        <v>0</v>
      </c>
      <c r="O9030">
        <v>66</v>
      </c>
      <c r="P9030">
        <v>0</v>
      </c>
    </row>
    <row r="9031" spans="1:16" x14ac:dyDescent="0.25">
      <c r="A9031" t="s">
        <v>31610</v>
      </c>
      <c r="B9031" t="s">
        <v>6729</v>
      </c>
      <c r="C9031" t="s">
        <v>17390</v>
      </c>
      <c r="D9031" t="str">
        <f>"1001"</f>
        <v>1001</v>
      </c>
      <c r="E9031" t="s">
        <v>6716</v>
      </c>
      <c r="F9031" t="s">
        <v>3670</v>
      </c>
      <c r="G9031" t="s">
        <v>16231</v>
      </c>
      <c r="H9031" t="s">
        <v>47054</v>
      </c>
      <c r="I9031" t="s">
        <v>47120</v>
      </c>
      <c r="J9031" t="s">
        <v>47121</v>
      </c>
      <c r="K9031" t="s">
        <v>47113</v>
      </c>
      <c r="L9031">
        <v>26.84</v>
      </c>
      <c r="M9031">
        <v>66</v>
      </c>
      <c r="N9031">
        <v>0</v>
      </c>
      <c r="O9031">
        <v>66</v>
      </c>
      <c r="P9031">
        <v>0</v>
      </c>
    </row>
    <row r="9032" spans="1:16" x14ac:dyDescent="0.25">
      <c r="A9032" t="s">
        <v>31611</v>
      </c>
      <c r="B9032" t="s">
        <v>6730</v>
      </c>
      <c r="C9032" t="s">
        <v>17391</v>
      </c>
      <c r="D9032" t="str">
        <f>"4933"</f>
        <v>4933</v>
      </c>
      <c r="E9032" t="s">
        <v>6718</v>
      </c>
      <c r="F9032" t="s">
        <v>3670</v>
      </c>
      <c r="G9032" t="s">
        <v>16231</v>
      </c>
      <c r="H9032" t="s">
        <v>47054</v>
      </c>
      <c r="I9032" t="s">
        <v>47120</v>
      </c>
      <c r="J9032" t="s">
        <v>47121</v>
      </c>
      <c r="K9032" t="s">
        <v>47113</v>
      </c>
      <c r="L9032">
        <v>26.84</v>
      </c>
      <c r="M9032">
        <v>66</v>
      </c>
      <c r="N9032">
        <v>0</v>
      </c>
      <c r="O9032">
        <v>66</v>
      </c>
      <c r="P9032">
        <v>0</v>
      </c>
    </row>
    <row r="9033" spans="1:16" x14ac:dyDescent="0.25">
      <c r="A9033" t="s">
        <v>31612</v>
      </c>
      <c r="B9033" t="s">
        <v>6731</v>
      </c>
      <c r="C9033" t="s">
        <v>17390</v>
      </c>
      <c r="D9033" t="str">
        <f>"2501"</f>
        <v>2501</v>
      </c>
      <c r="E9033" t="s">
        <v>6720</v>
      </c>
      <c r="F9033" t="s">
        <v>3670</v>
      </c>
      <c r="G9033" t="s">
        <v>16231</v>
      </c>
      <c r="H9033" t="s">
        <v>47054</v>
      </c>
      <c r="I9033" t="s">
        <v>47120</v>
      </c>
      <c r="J9033" t="s">
        <v>47121</v>
      </c>
      <c r="K9033" t="s">
        <v>47113</v>
      </c>
      <c r="L9033">
        <v>26.84</v>
      </c>
      <c r="M9033">
        <v>66</v>
      </c>
      <c r="N9033">
        <v>0</v>
      </c>
      <c r="O9033">
        <v>66</v>
      </c>
      <c r="P9033">
        <v>0</v>
      </c>
    </row>
    <row r="9034" spans="1:16" x14ac:dyDescent="0.25">
      <c r="A9034" t="s">
        <v>31613</v>
      </c>
      <c r="B9034" t="s">
        <v>6732</v>
      </c>
      <c r="C9034" t="s">
        <v>14247</v>
      </c>
      <c r="D9034" t="str">
        <f>"6113"</f>
        <v>6113</v>
      </c>
      <c r="E9034" t="s">
        <v>6722</v>
      </c>
      <c r="F9034" t="s">
        <v>3670</v>
      </c>
      <c r="G9034" t="s">
        <v>16231</v>
      </c>
      <c r="H9034" t="s">
        <v>47054</v>
      </c>
      <c r="I9034" t="s">
        <v>47120</v>
      </c>
      <c r="J9034" t="s">
        <v>47121</v>
      </c>
      <c r="K9034" t="s">
        <v>47113</v>
      </c>
      <c r="L9034">
        <v>26.84</v>
      </c>
      <c r="M9034">
        <v>66</v>
      </c>
      <c r="N9034">
        <v>0</v>
      </c>
      <c r="O9034">
        <v>66</v>
      </c>
      <c r="P9034">
        <v>0</v>
      </c>
    </row>
    <row r="9035" spans="1:16" x14ac:dyDescent="0.25">
      <c r="A9035" t="s">
        <v>31614</v>
      </c>
      <c r="B9035" t="s">
        <v>6733</v>
      </c>
      <c r="C9035" t="s">
        <v>17392</v>
      </c>
      <c r="D9035" t="str">
        <f>"6497"</f>
        <v>6497</v>
      </c>
      <c r="E9035" t="s">
        <v>6726</v>
      </c>
      <c r="F9035" t="s">
        <v>3558</v>
      </c>
      <c r="G9035" t="s">
        <v>16231</v>
      </c>
      <c r="H9035" t="s">
        <v>47054</v>
      </c>
      <c r="I9035" t="s">
        <v>47120</v>
      </c>
      <c r="J9035" t="s">
        <v>47121</v>
      </c>
      <c r="K9035" t="s">
        <v>47113</v>
      </c>
      <c r="L9035">
        <v>28.02</v>
      </c>
      <c r="M9035">
        <v>33</v>
      </c>
      <c r="N9035">
        <v>0</v>
      </c>
      <c r="O9035">
        <v>33</v>
      </c>
      <c r="P9035">
        <v>0</v>
      </c>
    </row>
    <row r="9036" spans="1:16" x14ac:dyDescent="0.25">
      <c r="A9036" t="s">
        <v>31615</v>
      </c>
      <c r="B9036" t="s">
        <v>6734</v>
      </c>
      <c r="C9036" t="s">
        <v>17392</v>
      </c>
      <c r="D9036" t="str">
        <f>"1991"</f>
        <v>1991</v>
      </c>
      <c r="E9036" t="s">
        <v>6728</v>
      </c>
      <c r="F9036" t="s">
        <v>3558</v>
      </c>
      <c r="G9036" t="s">
        <v>16231</v>
      </c>
      <c r="H9036" t="s">
        <v>47054</v>
      </c>
      <c r="I9036" t="s">
        <v>47120</v>
      </c>
      <c r="J9036" t="s">
        <v>47121</v>
      </c>
      <c r="K9036" t="s">
        <v>47113</v>
      </c>
      <c r="L9036">
        <v>26.36</v>
      </c>
      <c r="M9036">
        <v>33</v>
      </c>
      <c r="N9036">
        <v>0</v>
      </c>
      <c r="O9036">
        <v>33</v>
      </c>
      <c r="P9036">
        <v>0</v>
      </c>
    </row>
    <row r="9037" spans="1:16" x14ac:dyDescent="0.25">
      <c r="A9037" t="s">
        <v>31616</v>
      </c>
      <c r="B9037" t="s">
        <v>6735</v>
      </c>
      <c r="C9037" t="s">
        <v>6736</v>
      </c>
      <c r="D9037" t="s">
        <v>6737</v>
      </c>
      <c r="E9037" t="s">
        <v>6738</v>
      </c>
      <c r="F9037" t="s">
        <v>3670</v>
      </c>
      <c r="G9037" t="s">
        <v>16233</v>
      </c>
      <c r="H9037" t="s">
        <v>47054</v>
      </c>
      <c r="I9037" t="s">
        <v>47120</v>
      </c>
      <c r="J9037" t="s">
        <v>47121</v>
      </c>
      <c r="K9037" t="s">
        <v>47113</v>
      </c>
      <c r="L9037">
        <v>37.909999999999997</v>
      </c>
      <c r="M9037">
        <v>63</v>
      </c>
      <c r="N9037">
        <v>0</v>
      </c>
      <c r="O9037">
        <v>63</v>
      </c>
      <c r="P9037">
        <v>0</v>
      </c>
    </row>
    <row r="9038" spans="1:16" x14ac:dyDescent="0.25">
      <c r="A9038" t="s">
        <v>31617</v>
      </c>
      <c r="B9038" t="s">
        <v>6739</v>
      </c>
      <c r="C9038" t="s">
        <v>15481</v>
      </c>
      <c r="D9038" t="s">
        <v>6737</v>
      </c>
      <c r="E9038" t="s">
        <v>6738</v>
      </c>
      <c r="F9038" t="s">
        <v>3670</v>
      </c>
      <c r="G9038" t="s">
        <v>16234</v>
      </c>
      <c r="H9038" t="s">
        <v>47054</v>
      </c>
      <c r="I9038" t="s">
        <v>47111</v>
      </c>
      <c r="J9038" t="s">
        <v>47112</v>
      </c>
      <c r="K9038" t="s">
        <v>47113</v>
      </c>
      <c r="L9038">
        <v>37.909999999999997</v>
      </c>
      <c r="M9038">
        <v>74</v>
      </c>
      <c r="N9038">
        <v>0</v>
      </c>
      <c r="O9038">
        <v>74</v>
      </c>
      <c r="P9038">
        <v>0</v>
      </c>
    </row>
    <row r="9039" spans="1:16" x14ac:dyDescent="0.25">
      <c r="A9039" t="s">
        <v>31618</v>
      </c>
      <c r="B9039" t="s">
        <v>6739</v>
      </c>
      <c r="C9039" t="s">
        <v>15481</v>
      </c>
      <c r="D9039" t="s">
        <v>5554</v>
      </c>
      <c r="E9039" t="s">
        <v>6740</v>
      </c>
      <c r="F9039" t="s">
        <v>3670</v>
      </c>
      <c r="G9039" t="s">
        <v>16234</v>
      </c>
      <c r="H9039" t="s">
        <v>47054</v>
      </c>
      <c r="I9039" t="s">
        <v>47111</v>
      </c>
      <c r="J9039" t="s">
        <v>47112</v>
      </c>
      <c r="K9039" t="s">
        <v>47113</v>
      </c>
      <c r="L9039">
        <v>37.909999999999997</v>
      </c>
      <c r="M9039">
        <v>74</v>
      </c>
      <c r="N9039">
        <v>0</v>
      </c>
      <c r="O9039">
        <v>74</v>
      </c>
      <c r="P9039">
        <v>0</v>
      </c>
    </row>
    <row r="9040" spans="1:16" x14ac:dyDescent="0.25">
      <c r="A9040" t="s">
        <v>31619</v>
      </c>
      <c r="B9040" t="s">
        <v>6741</v>
      </c>
      <c r="C9040" t="s">
        <v>6742</v>
      </c>
      <c r="D9040" t="str">
        <f>"1203"</f>
        <v>1203</v>
      </c>
      <c r="E9040" t="s">
        <v>6743</v>
      </c>
      <c r="F9040" t="s">
        <v>3670</v>
      </c>
      <c r="G9040" t="s">
        <v>16233</v>
      </c>
      <c r="H9040" t="s">
        <v>47054</v>
      </c>
      <c r="I9040" t="s">
        <v>47136</v>
      </c>
      <c r="J9040" t="s">
        <v>47137</v>
      </c>
      <c r="K9040" t="s">
        <v>47113</v>
      </c>
      <c r="L9040">
        <v>27.65</v>
      </c>
      <c r="M9040">
        <v>63</v>
      </c>
      <c r="N9040">
        <v>0</v>
      </c>
      <c r="O9040">
        <v>63</v>
      </c>
      <c r="P9040">
        <v>0</v>
      </c>
    </row>
    <row r="9041" spans="1:16" x14ac:dyDescent="0.25">
      <c r="A9041" t="s">
        <v>31620</v>
      </c>
      <c r="B9041" t="s">
        <v>6741</v>
      </c>
      <c r="C9041" t="s">
        <v>6742</v>
      </c>
      <c r="D9041" t="str">
        <f>"3551"</f>
        <v>3551</v>
      </c>
      <c r="E9041" t="s">
        <v>6744</v>
      </c>
      <c r="F9041" t="s">
        <v>3670</v>
      </c>
      <c r="G9041" t="s">
        <v>16233</v>
      </c>
      <c r="H9041" t="s">
        <v>47054</v>
      </c>
      <c r="I9041" t="s">
        <v>47136</v>
      </c>
      <c r="J9041" t="s">
        <v>47137</v>
      </c>
      <c r="K9041" t="s">
        <v>47113</v>
      </c>
      <c r="L9041">
        <v>27.65</v>
      </c>
      <c r="M9041">
        <v>63</v>
      </c>
      <c r="N9041">
        <v>0</v>
      </c>
      <c r="O9041">
        <v>63</v>
      </c>
      <c r="P9041">
        <v>0</v>
      </c>
    </row>
    <row r="9042" spans="1:16" x14ac:dyDescent="0.25">
      <c r="A9042" t="s">
        <v>31621</v>
      </c>
      <c r="B9042" t="s">
        <v>6741</v>
      </c>
      <c r="C9042" t="s">
        <v>6742</v>
      </c>
      <c r="D9042" t="str">
        <f>"6119"</f>
        <v>6119</v>
      </c>
      <c r="E9042" t="s">
        <v>6745</v>
      </c>
      <c r="F9042" t="s">
        <v>3670</v>
      </c>
      <c r="G9042" t="s">
        <v>16233</v>
      </c>
      <c r="H9042" t="s">
        <v>47054</v>
      </c>
      <c r="I9042" t="s">
        <v>47136</v>
      </c>
      <c r="J9042" t="s">
        <v>47137</v>
      </c>
      <c r="K9042" t="s">
        <v>47113</v>
      </c>
      <c r="L9042">
        <v>27.65</v>
      </c>
      <c r="M9042">
        <v>86</v>
      </c>
      <c r="N9042">
        <v>0</v>
      </c>
      <c r="O9042">
        <v>86</v>
      </c>
      <c r="P9042">
        <v>0</v>
      </c>
    </row>
    <row r="9043" spans="1:16" x14ac:dyDescent="0.25">
      <c r="A9043" t="s">
        <v>31622</v>
      </c>
      <c r="B9043" t="s">
        <v>6746</v>
      </c>
      <c r="C9043" t="s">
        <v>6747</v>
      </c>
      <c r="D9043" t="str">
        <f>"3553"</f>
        <v>3553</v>
      </c>
      <c r="E9043" t="s">
        <v>6748</v>
      </c>
      <c r="F9043" t="s">
        <v>3670</v>
      </c>
      <c r="G9043" t="s">
        <v>16234</v>
      </c>
      <c r="H9043" t="s">
        <v>47054</v>
      </c>
      <c r="I9043" t="s">
        <v>47120</v>
      </c>
      <c r="J9043" t="s">
        <v>47121</v>
      </c>
      <c r="K9043" t="s">
        <v>47113</v>
      </c>
      <c r="L9043">
        <v>27.09</v>
      </c>
      <c r="M9043">
        <v>74</v>
      </c>
      <c r="N9043">
        <v>0</v>
      </c>
      <c r="O9043">
        <v>74</v>
      </c>
      <c r="P9043">
        <v>0</v>
      </c>
    </row>
    <row r="9044" spans="1:16" x14ac:dyDescent="0.25">
      <c r="A9044" t="s">
        <v>31623</v>
      </c>
      <c r="B9044" t="s">
        <v>6749</v>
      </c>
      <c r="C9044" t="s">
        <v>6747</v>
      </c>
      <c r="D9044" t="str">
        <f>"4003"</f>
        <v>4003</v>
      </c>
      <c r="E9044" t="s">
        <v>6750</v>
      </c>
      <c r="F9044" t="s">
        <v>3670</v>
      </c>
      <c r="G9044" t="s">
        <v>16234</v>
      </c>
      <c r="I9044" t="s">
        <v>47120</v>
      </c>
      <c r="J9044" t="s">
        <v>47121</v>
      </c>
      <c r="K9044" t="s">
        <v>47113</v>
      </c>
      <c r="L9044">
        <v>27.09</v>
      </c>
      <c r="M9044">
        <v>74</v>
      </c>
      <c r="N9044">
        <v>0</v>
      </c>
      <c r="O9044">
        <v>74</v>
      </c>
      <c r="P9044">
        <v>0</v>
      </c>
    </row>
    <row r="9045" spans="1:16" x14ac:dyDescent="0.25">
      <c r="A9045" t="s">
        <v>31624</v>
      </c>
      <c r="B9045" t="s">
        <v>31625</v>
      </c>
      <c r="C9045" t="s">
        <v>16472</v>
      </c>
      <c r="D9045" t="s">
        <v>31626</v>
      </c>
      <c r="E9045" t="s">
        <v>31627</v>
      </c>
      <c r="F9045" t="s">
        <v>19559</v>
      </c>
      <c r="G9045" t="s">
        <v>16231</v>
      </c>
      <c r="H9045" t="s">
        <v>47054</v>
      </c>
      <c r="I9045" t="s">
        <v>47544</v>
      </c>
      <c r="J9045" t="s">
        <v>47545</v>
      </c>
      <c r="K9045" t="s">
        <v>47113</v>
      </c>
      <c r="L9045">
        <v>30.54</v>
      </c>
      <c r="M9045">
        <v>111</v>
      </c>
      <c r="N9045">
        <v>299</v>
      </c>
      <c r="O9045">
        <v>111</v>
      </c>
      <c r="P9045">
        <v>299</v>
      </c>
    </row>
    <row r="9046" spans="1:16" x14ac:dyDescent="0.25">
      <c r="A9046" t="s">
        <v>31628</v>
      </c>
      <c r="B9046" t="s">
        <v>31629</v>
      </c>
      <c r="C9046" t="s">
        <v>17396</v>
      </c>
      <c r="D9046" t="s">
        <v>30605</v>
      </c>
      <c r="E9046" t="s">
        <v>30606</v>
      </c>
      <c r="F9046" t="s">
        <v>24617</v>
      </c>
      <c r="G9046" t="s">
        <v>16231</v>
      </c>
      <c r="H9046" t="s">
        <v>47054</v>
      </c>
      <c r="I9046" t="s">
        <v>47116</v>
      </c>
      <c r="J9046" t="s">
        <v>47117</v>
      </c>
      <c r="K9046" t="s">
        <v>47113</v>
      </c>
      <c r="L9046">
        <v>45.15</v>
      </c>
      <c r="M9046">
        <v>111</v>
      </c>
      <c r="N9046">
        <v>299</v>
      </c>
      <c r="O9046">
        <v>111</v>
      </c>
      <c r="P9046">
        <v>299</v>
      </c>
    </row>
    <row r="9047" spans="1:16" x14ac:dyDescent="0.25">
      <c r="A9047" t="s">
        <v>31630</v>
      </c>
      <c r="B9047" t="s">
        <v>31631</v>
      </c>
      <c r="C9047" t="s">
        <v>31499</v>
      </c>
      <c r="D9047" t="s">
        <v>29807</v>
      </c>
      <c r="E9047" t="s">
        <v>29808</v>
      </c>
      <c r="F9047" t="s">
        <v>24622</v>
      </c>
      <c r="G9047" t="s">
        <v>16231</v>
      </c>
      <c r="H9047" t="s">
        <v>47054</v>
      </c>
      <c r="I9047" t="s">
        <v>47116</v>
      </c>
      <c r="J9047" t="s">
        <v>47117</v>
      </c>
      <c r="K9047" t="s">
        <v>47113</v>
      </c>
      <c r="L9047">
        <v>38.1</v>
      </c>
      <c r="M9047">
        <v>92</v>
      </c>
      <c r="N9047">
        <v>249</v>
      </c>
      <c r="O9047">
        <v>92</v>
      </c>
      <c r="P9047">
        <v>249</v>
      </c>
    </row>
    <row r="9048" spans="1:16" x14ac:dyDescent="0.25">
      <c r="A9048" t="s">
        <v>31632</v>
      </c>
      <c r="B9048" t="s">
        <v>15482</v>
      </c>
      <c r="C9048" t="s">
        <v>17393</v>
      </c>
      <c r="D9048" t="str">
        <f>"1200"</f>
        <v>1200</v>
      </c>
      <c r="E9048" t="s">
        <v>15262</v>
      </c>
      <c r="F9048" t="s">
        <v>15183</v>
      </c>
      <c r="G9048" t="s">
        <v>16234</v>
      </c>
      <c r="H9048" t="s">
        <v>47054</v>
      </c>
      <c r="I9048" t="s">
        <v>47120</v>
      </c>
      <c r="J9048" t="s">
        <v>47121</v>
      </c>
      <c r="K9048" t="s">
        <v>47113</v>
      </c>
      <c r="L9048">
        <v>27.85</v>
      </c>
      <c r="M9048">
        <v>74</v>
      </c>
      <c r="N9048">
        <v>0</v>
      </c>
      <c r="O9048">
        <v>74</v>
      </c>
      <c r="P9048">
        <v>0</v>
      </c>
    </row>
    <row r="9049" spans="1:16" x14ac:dyDescent="0.25">
      <c r="A9049" t="s">
        <v>31633</v>
      </c>
      <c r="B9049" t="s">
        <v>15482</v>
      </c>
      <c r="C9049" t="s">
        <v>17393</v>
      </c>
      <c r="D9049" t="str">
        <f>"2500"</f>
        <v>2500</v>
      </c>
      <c r="E9049" t="s">
        <v>15263</v>
      </c>
      <c r="F9049" t="s">
        <v>15183</v>
      </c>
      <c r="G9049" t="s">
        <v>16234</v>
      </c>
      <c r="H9049" t="s">
        <v>47054</v>
      </c>
      <c r="I9049" t="s">
        <v>47120</v>
      </c>
      <c r="J9049" t="s">
        <v>47121</v>
      </c>
      <c r="K9049" t="s">
        <v>47113</v>
      </c>
      <c r="L9049">
        <v>27.85</v>
      </c>
      <c r="M9049">
        <v>74</v>
      </c>
      <c r="N9049">
        <v>0</v>
      </c>
      <c r="O9049">
        <v>74</v>
      </c>
      <c r="P9049">
        <v>0</v>
      </c>
    </row>
    <row r="9050" spans="1:16" x14ac:dyDescent="0.25">
      <c r="A9050" t="s">
        <v>31634</v>
      </c>
      <c r="B9050" t="s">
        <v>15482</v>
      </c>
      <c r="C9050" t="s">
        <v>17393</v>
      </c>
      <c r="D9050" t="str">
        <f>"4100"</f>
        <v>4100</v>
      </c>
      <c r="E9050" t="s">
        <v>15264</v>
      </c>
      <c r="F9050" t="s">
        <v>15183</v>
      </c>
      <c r="G9050" t="s">
        <v>16234</v>
      </c>
      <c r="H9050" t="s">
        <v>47054</v>
      </c>
      <c r="I9050" t="s">
        <v>47120</v>
      </c>
      <c r="J9050" t="s">
        <v>47121</v>
      </c>
      <c r="K9050" t="s">
        <v>47113</v>
      </c>
      <c r="L9050">
        <v>27.85</v>
      </c>
      <c r="M9050">
        <v>74</v>
      </c>
      <c r="N9050">
        <v>0</v>
      </c>
      <c r="O9050">
        <v>74</v>
      </c>
      <c r="P9050">
        <v>0</v>
      </c>
    </row>
    <row r="9051" spans="1:16" x14ac:dyDescent="0.25">
      <c r="A9051" t="s">
        <v>31635</v>
      </c>
      <c r="B9051" t="s">
        <v>15483</v>
      </c>
      <c r="C9051" t="s">
        <v>17394</v>
      </c>
      <c r="D9051" t="str">
        <f>"1001"</f>
        <v>1001</v>
      </c>
      <c r="E9051" t="s">
        <v>1277</v>
      </c>
      <c r="F9051" t="s">
        <v>15183</v>
      </c>
      <c r="G9051" t="s">
        <v>16234</v>
      </c>
      <c r="H9051" t="s">
        <v>47054</v>
      </c>
      <c r="I9051" t="s">
        <v>47120</v>
      </c>
      <c r="J9051" t="s">
        <v>47121</v>
      </c>
      <c r="K9051" t="s">
        <v>47113</v>
      </c>
      <c r="L9051">
        <v>39.880000000000003</v>
      </c>
      <c r="M9051">
        <v>111</v>
      </c>
      <c r="N9051">
        <v>0</v>
      </c>
      <c r="O9051">
        <v>111</v>
      </c>
      <c r="P9051">
        <v>0</v>
      </c>
    </row>
    <row r="9052" spans="1:16" x14ac:dyDescent="0.25">
      <c r="A9052" t="s">
        <v>17395</v>
      </c>
      <c r="B9052" t="s">
        <v>15483</v>
      </c>
      <c r="C9052" t="s">
        <v>17394</v>
      </c>
      <c r="D9052" t="str">
        <f>"1200"</f>
        <v>1200</v>
      </c>
      <c r="E9052" t="s">
        <v>6555</v>
      </c>
      <c r="F9052" t="s">
        <v>15183</v>
      </c>
      <c r="G9052" t="s">
        <v>16234</v>
      </c>
      <c r="H9052" t="s">
        <v>47054</v>
      </c>
      <c r="I9052" t="s">
        <v>47120</v>
      </c>
      <c r="J9052" t="s">
        <v>47121</v>
      </c>
      <c r="K9052" t="s">
        <v>47113</v>
      </c>
      <c r="L9052">
        <v>39.880000000000003</v>
      </c>
      <c r="M9052">
        <v>111</v>
      </c>
      <c r="N9052">
        <v>0</v>
      </c>
      <c r="O9052">
        <v>111</v>
      </c>
      <c r="P9052">
        <v>0</v>
      </c>
    </row>
    <row r="9053" spans="1:16" x14ac:dyDescent="0.25">
      <c r="A9053" t="s">
        <v>31636</v>
      </c>
      <c r="B9053" t="s">
        <v>15483</v>
      </c>
      <c r="C9053" t="s">
        <v>17394</v>
      </c>
      <c r="D9053" t="str">
        <f>"4100"</f>
        <v>4100</v>
      </c>
      <c r="E9053" t="s">
        <v>15485</v>
      </c>
      <c r="F9053" t="s">
        <v>15183</v>
      </c>
      <c r="G9053" t="s">
        <v>16234</v>
      </c>
      <c r="H9053" t="s">
        <v>47054</v>
      </c>
      <c r="I9053" t="s">
        <v>47120</v>
      </c>
      <c r="J9053" t="s">
        <v>47121</v>
      </c>
      <c r="K9053" t="s">
        <v>47113</v>
      </c>
      <c r="L9053">
        <v>39.880000000000003</v>
      </c>
      <c r="M9053">
        <v>111</v>
      </c>
      <c r="N9053">
        <v>0</v>
      </c>
      <c r="O9053">
        <v>111</v>
      </c>
      <c r="P9053">
        <v>0</v>
      </c>
    </row>
    <row r="9054" spans="1:16" x14ac:dyDescent="0.25">
      <c r="A9054" t="s">
        <v>31637</v>
      </c>
      <c r="B9054" t="s">
        <v>15483</v>
      </c>
      <c r="C9054" t="s">
        <v>17394</v>
      </c>
      <c r="D9054" t="str">
        <f>"7233"</f>
        <v>7233</v>
      </c>
      <c r="E9054" t="s">
        <v>15486</v>
      </c>
      <c r="F9054" t="s">
        <v>15183</v>
      </c>
      <c r="G9054" t="s">
        <v>16234</v>
      </c>
      <c r="H9054" t="s">
        <v>47054</v>
      </c>
      <c r="I9054" t="s">
        <v>47120</v>
      </c>
      <c r="J9054" t="s">
        <v>47121</v>
      </c>
      <c r="K9054" t="s">
        <v>47113</v>
      </c>
      <c r="L9054">
        <v>39.880000000000003</v>
      </c>
      <c r="M9054">
        <v>111</v>
      </c>
      <c r="N9054">
        <v>0</v>
      </c>
      <c r="O9054">
        <v>111</v>
      </c>
      <c r="P9054">
        <v>0</v>
      </c>
    </row>
    <row r="9055" spans="1:16" x14ac:dyDescent="0.25">
      <c r="A9055" t="s">
        <v>31638</v>
      </c>
      <c r="B9055" t="s">
        <v>16332</v>
      </c>
      <c r="C9055" t="s">
        <v>17393</v>
      </c>
      <c r="D9055" t="str">
        <f>"6000"</f>
        <v>6000</v>
      </c>
      <c r="E9055" t="s">
        <v>16333</v>
      </c>
      <c r="F9055" t="s">
        <v>15183</v>
      </c>
      <c r="G9055" t="s">
        <v>16231</v>
      </c>
      <c r="H9055" t="s">
        <v>47054</v>
      </c>
      <c r="I9055" t="s">
        <v>47120</v>
      </c>
      <c r="J9055" t="s">
        <v>47121</v>
      </c>
      <c r="K9055" t="s">
        <v>47113</v>
      </c>
      <c r="L9055">
        <v>25.75</v>
      </c>
      <c r="M9055">
        <v>66</v>
      </c>
      <c r="N9055">
        <v>0</v>
      </c>
      <c r="O9055">
        <v>66</v>
      </c>
      <c r="P9055">
        <v>0</v>
      </c>
    </row>
    <row r="9056" spans="1:16" x14ac:dyDescent="0.25">
      <c r="A9056" t="s">
        <v>31639</v>
      </c>
      <c r="B9056" t="s">
        <v>15487</v>
      </c>
      <c r="C9056" t="s">
        <v>15237</v>
      </c>
      <c r="D9056" t="str">
        <f>"1200"</f>
        <v>1200</v>
      </c>
      <c r="E9056" t="s">
        <v>15488</v>
      </c>
      <c r="F9056" t="s">
        <v>15183</v>
      </c>
      <c r="G9056" t="s">
        <v>16231</v>
      </c>
      <c r="H9056" t="s">
        <v>47054</v>
      </c>
      <c r="I9056" t="s">
        <v>47120</v>
      </c>
      <c r="J9056" t="s">
        <v>47121</v>
      </c>
      <c r="K9056" t="s">
        <v>47113</v>
      </c>
      <c r="L9056">
        <v>25.75</v>
      </c>
      <c r="M9056">
        <v>66</v>
      </c>
      <c r="N9056">
        <v>0</v>
      </c>
      <c r="O9056">
        <v>66</v>
      </c>
      <c r="P9056">
        <v>0</v>
      </c>
    </row>
    <row r="9057" spans="1:16" x14ac:dyDescent="0.25">
      <c r="A9057" t="s">
        <v>31640</v>
      </c>
      <c r="B9057" t="s">
        <v>15489</v>
      </c>
      <c r="C9057" t="s">
        <v>17396</v>
      </c>
      <c r="D9057" t="str">
        <f>"4000"</f>
        <v>4000</v>
      </c>
      <c r="E9057" t="s">
        <v>15490</v>
      </c>
      <c r="F9057" t="s">
        <v>15183</v>
      </c>
      <c r="G9057" t="s">
        <v>16231</v>
      </c>
      <c r="H9057" t="s">
        <v>47054</v>
      </c>
      <c r="I9057" t="s">
        <v>47120</v>
      </c>
      <c r="J9057" t="s">
        <v>47121</v>
      </c>
      <c r="K9057" t="s">
        <v>47113</v>
      </c>
      <c r="L9057">
        <v>25.75</v>
      </c>
      <c r="M9057">
        <v>66</v>
      </c>
      <c r="N9057">
        <v>0</v>
      </c>
      <c r="O9057">
        <v>66</v>
      </c>
      <c r="P9057">
        <v>0</v>
      </c>
    </row>
    <row r="9058" spans="1:16" x14ac:dyDescent="0.25">
      <c r="A9058" t="s">
        <v>31641</v>
      </c>
      <c r="B9058" t="s">
        <v>15491</v>
      </c>
      <c r="C9058" t="s">
        <v>16472</v>
      </c>
      <c r="D9058" t="s">
        <v>15256</v>
      </c>
      <c r="E9058" t="s">
        <v>15257</v>
      </c>
      <c r="F9058" t="s">
        <v>15183</v>
      </c>
      <c r="G9058" t="s">
        <v>16231</v>
      </c>
      <c r="H9058" t="s">
        <v>47054</v>
      </c>
      <c r="I9058" t="s">
        <v>47111</v>
      </c>
      <c r="J9058" t="s">
        <v>47112</v>
      </c>
      <c r="K9058" t="s">
        <v>47113</v>
      </c>
      <c r="L9058">
        <v>65.930000000000007</v>
      </c>
      <c r="M9058">
        <v>125</v>
      </c>
      <c r="N9058">
        <v>0</v>
      </c>
      <c r="O9058">
        <v>125</v>
      </c>
      <c r="P9058">
        <v>0</v>
      </c>
    </row>
    <row r="9059" spans="1:16" x14ac:dyDescent="0.25">
      <c r="A9059" t="s">
        <v>31642</v>
      </c>
      <c r="B9059" t="s">
        <v>15492</v>
      </c>
      <c r="C9059" t="s">
        <v>17396</v>
      </c>
      <c r="D9059" t="s">
        <v>15259</v>
      </c>
      <c r="E9059" t="s">
        <v>15260</v>
      </c>
      <c r="F9059" t="s">
        <v>15183</v>
      </c>
      <c r="G9059" t="s">
        <v>16231</v>
      </c>
      <c r="H9059" t="s">
        <v>47054</v>
      </c>
      <c r="I9059" t="s">
        <v>47111</v>
      </c>
      <c r="J9059" t="s">
        <v>47112</v>
      </c>
      <c r="K9059" t="s">
        <v>47113</v>
      </c>
      <c r="L9059">
        <v>51.24</v>
      </c>
      <c r="M9059">
        <v>92</v>
      </c>
      <c r="N9059">
        <v>0</v>
      </c>
      <c r="O9059">
        <v>92</v>
      </c>
      <c r="P9059">
        <v>0</v>
      </c>
    </row>
    <row r="9060" spans="1:16" x14ac:dyDescent="0.25">
      <c r="A9060" t="s">
        <v>31643</v>
      </c>
      <c r="B9060" t="s">
        <v>15493</v>
      </c>
      <c r="C9060" t="s">
        <v>17397</v>
      </c>
      <c r="D9060" t="s">
        <v>15494</v>
      </c>
      <c r="E9060" t="s">
        <v>15495</v>
      </c>
      <c r="F9060" t="s">
        <v>15183</v>
      </c>
      <c r="G9060" t="s">
        <v>16231</v>
      </c>
      <c r="H9060" t="s">
        <v>47054</v>
      </c>
      <c r="I9060" t="s">
        <v>47111</v>
      </c>
      <c r="J9060" t="s">
        <v>47112</v>
      </c>
      <c r="K9060" t="s">
        <v>47113</v>
      </c>
      <c r="L9060">
        <v>77.89</v>
      </c>
      <c r="M9060">
        <v>129</v>
      </c>
      <c r="N9060">
        <v>0</v>
      </c>
      <c r="O9060">
        <v>129</v>
      </c>
      <c r="P9060">
        <v>0</v>
      </c>
    </row>
    <row r="9061" spans="1:16" x14ac:dyDescent="0.25">
      <c r="A9061" t="s">
        <v>17398</v>
      </c>
      <c r="B9061" t="s">
        <v>15496</v>
      </c>
      <c r="C9061" t="s">
        <v>17393</v>
      </c>
      <c r="D9061" t="s">
        <v>15274</v>
      </c>
      <c r="E9061" t="s">
        <v>15275</v>
      </c>
      <c r="F9061" t="s">
        <v>15183</v>
      </c>
      <c r="G9061" t="s">
        <v>16231</v>
      </c>
      <c r="H9061" t="s">
        <v>47054</v>
      </c>
      <c r="I9061" t="s">
        <v>47111</v>
      </c>
      <c r="J9061" t="s">
        <v>47112</v>
      </c>
      <c r="K9061" t="s">
        <v>47113</v>
      </c>
      <c r="L9061">
        <v>65.849999999999994</v>
      </c>
      <c r="M9061">
        <v>100</v>
      </c>
      <c r="N9061">
        <v>0</v>
      </c>
      <c r="O9061">
        <v>100</v>
      </c>
      <c r="P9061">
        <v>0</v>
      </c>
    </row>
    <row r="9062" spans="1:16" x14ac:dyDescent="0.25">
      <c r="A9062" t="s">
        <v>31644</v>
      </c>
      <c r="B9062" t="s">
        <v>15496</v>
      </c>
      <c r="C9062" t="s">
        <v>17393</v>
      </c>
      <c r="D9062" t="s">
        <v>15276</v>
      </c>
      <c r="E9062" t="s">
        <v>15277</v>
      </c>
      <c r="F9062" t="s">
        <v>3750</v>
      </c>
      <c r="G9062" t="s">
        <v>16231</v>
      </c>
      <c r="H9062" t="s">
        <v>47054</v>
      </c>
      <c r="I9062" t="s">
        <v>47111</v>
      </c>
      <c r="J9062" t="s">
        <v>47112</v>
      </c>
      <c r="K9062" t="s">
        <v>47113</v>
      </c>
      <c r="L9062">
        <v>66.5</v>
      </c>
      <c r="M9062">
        <v>100</v>
      </c>
      <c r="N9062">
        <v>0</v>
      </c>
      <c r="O9062">
        <v>100</v>
      </c>
      <c r="P9062">
        <v>0</v>
      </c>
    </row>
    <row r="9063" spans="1:16" x14ac:dyDescent="0.25">
      <c r="A9063" t="s">
        <v>31645</v>
      </c>
      <c r="B9063" t="s">
        <v>15497</v>
      </c>
      <c r="C9063" t="s">
        <v>16472</v>
      </c>
      <c r="D9063" t="s">
        <v>15279</v>
      </c>
      <c r="E9063" t="s">
        <v>15280</v>
      </c>
      <c r="F9063" t="s">
        <v>15183</v>
      </c>
      <c r="G9063" t="s">
        <v>16231</v>
      </c>
      <c r="H9063" t="s">
        <v>47054</v>
      </c>
      <c r="I9063" t="s">
        <v>47111</v>
      </c>
      <c r="J9063" t="s">
        <v>47112</v>
      </c>
      <c r="K9063" t="s">
        <v>47113</v>
      </c>
      <c r="L9063">
        <v>66.62</v>
      </c>
      <c r="M9063">
        <v>129</v>
      </c>
      <c r="N9063">
        <v>0</v>
      </c>
      <c r="O9063">
        <v>129</v>
      </c>
      <c r="P9063">
        <v>0</v>
      </c>
    </row>
    <row r="9064" spans="1:16" x14ac:dyDescent="0.25">
      <c r="A9064" t="s">
        <v>31646</v>
      </c>
      <c r="B9064" t="s">
        <v>15498</v>
      </c>
      <c r="C9064" t="s">
        <v>17396</v>
      </c>
      <c r="D9064" t="str">
        <f>"1200"</f>
        <v>1200</v>
      </c>
      <c r="E9064" t="s">
        <v>16334</v>
      </c>
      <c r="F9064" t="s">
        <v>15183</v>
      </c>
      <c r="G9064" t="s">
        <v>16231</v>
      </c>
      <c r="H9064" t="s">
        <v>47054</v>
      </c>
      <c r="I9064" t="s">
        <v>47111</v>
      </c>
      <c r="J9064" t="s">
        <v>47112</v>
      </c>
      <c r="K9064" t="s">
        <v>47113</v>
      </c>
      <c r="L9064">
        <v>51.56</v>
      </c>
      <c r="M9064">
        <v>107</v>
      </c>
      <c r="N9064">
        <v>0</v>
      </c>
      <c r="O9064">
        <v>107</v>
      </c>
      <c r="P9064">
        <v>0</v>
      </c>
    </row>
    <row r="9065" spans="1:16" x14ac:dyDescent="0.25">
      <c r="A9065" t="s">
        <v>31647</v>
      </c>
      <c r="B9065" t="s">
        <v>15498</v>
      </c>
      <c r="C9065" t="s">
        <v>17396</v>
      </c>
      <c r="D9065" t="str">
        <f>"6000"</f>
        <v>6000</v>
      </c>
      <c r="E9065" t="s">
        <v>16335</v>
      </c>
      <c r="F9065" t="s">
        <v>15183</v>
      </c>
      <c r="G9065" t="s">
        <v>16231</v>
      </c>
      <c r="H9065" t="s">
        <v>47054</v>
      </c>
      <c r="I9065" t="s">
        <v>47111</v>
      </c>
      <c r="J9065" t="s">
        <v>47112</v>
      </c>
      <c r="K9065" t="s">
        <v>47113</v>
      </c>
      <c r="L9065">
        <v>51.56</v>
      </c>
      <c r="M9065">
        <v>107</v>
      </c>
      <c r="N9065">
        <v>0</v>
      </c>
      <c r="O9065">
        <v>107</v>
      </c>
      <c r="P9065">
        <v>0</v>
      </c>
    </row>
    <row r="9066" spans="1:16" x14ac:dyDescent="0.25">
      <c r="A9066" t="s">
        <v>31648</v>
      </c>
      <c r="B9066" t="s">
        <v>15499</v>
      </c>
      <c r="C9066" t="s">
        <v>17399</v>
      </c>
      <c r="D9066" t="s">
        <v>15282</v>
      </c>
      <c r="E9066" t="s">
        <v>15283</v>
      </c>
      <c r="F9066" t="s">
        <v>15183</v>
      </c>
      <c r="G9066" t="s">
        <v>16231</v>
      </c>
      <c r="H9066" t="s">
        <v>47054</v>
      </c>
      <c r="I9066" t="s">
        <v>47111</v>
      </c>
      <c r="J9066" t="s">
        <v>47112</v>
      </c>
      <c r="K9066" t="s">
        <v>47113</v>
      </c>
      <c r="L9066">
        <v>48.64</v>
      </c>
      <c r="M9066">
        <v>98</v>
      </c>
      <c r="N9066">
        <v>0</v>
      </c>
      <c r="O9066">
        <v>98</v>
      </c>
      <c r="P9066">
        <v>0</v>
      </c>
    </row>
    <row r="9067" spans="1:16" x14ac:dyDescent="0.25">
      <c r="A9067" t="s">
        <v>31649</v>
      </c>
      <c r="B9067" t="s">
        <v>15500</v>
      </c>
      <c r="C9067" t="s">
        <v>15484</v>
      </c>
      <c r="D9067" t="s">
        <v>15285</v>
      </c>
      <c r="E9067" t="s">
        <v>15286</v>
      </c>
      <c r="F9067" t="s">
        <v>15183</v>
      </c>
      <c r="G9067" t="s">
        <v>16231</v>
      </c>
      <c r="H9067" t="s">
        <v>47054</v>
      </c>
      <c r="I9067" t="s">
        <v>47111</v>
      </c>
      <c r="J9067" t="s">
        <v>47112</v>
      </c>
      <c r="K9067" t="s">
        <v>47113</v>
      </c>
      <c r="L9067">
        <v>60.96</v>
      </c>
      <c r="M9067">
        <v>133</v>
      </c>
      <c r="N9067">
        <v>0</v>
      </c>
      <c r="O9067">
        <v>133</v>
      </c>
      <c r="P9067">
        <v>0</v>
      </c>
    </row>
    <row r="9068" spans="1:16" x14ac:dyDescent="0.25">
      <c r="A9068" t="s">
        <v>31650</v>
      </c>
      <c r="B9068" t="s">
        <v>15501</v>
      </c>
      <c r="C9068" t="s">
        <v>14257</v>
      </c>
      <c r="D9068" t="s">
        <v>15285</v>
      </c>
      <c r="E9068" t="s">
        <v>15286</v>
      </c>
      <c r="F9068" t="s">
        <v>15183</v>
      </c>
      <c r="G9068" t="s">
        <v>16231</v>
      </c>
      <c r="H9068" t="s">
        <v>47054</v>
      </c>
      <c r="I9068" t="s">
        <v>47111</v>
      </c>
      <c r="J9068" t="s">
        <v>47112</v>
      </c>
      <c r="K9068" t="s">
        <v>47113</v>
      </c>
      <c r="L9068">
        <v>44.51</v>
      </c>
      <c r="M9068">
        <v>103</v>
      </c>
      <c r="N9068">
        <v>0</v>
      </c>
      <c r="O9068">
        <v>103</v>
      </c>
      <c r="P9068">
        <v>0</v>
      </c>
    </row>
    <row r="9069" spans="1:16" x14ac:dyDescent="0.25">
      <c r="A9069" t="s">
        <v>31651</v>
      </c>
      <c r="B9069" t="s">
        <v>15502</v>
      </c>
      <c r="C9069" t="s">
        <v>17394</v>
      </c>
      <c r="D9069" t="s">
        <v>1718</v>
      </c>
      <c r="E9069" t="s">
        <v>1719</v>
      </c>
      <c r="F9069" t="s">
        <v>3750</v>
      </c>
      <c r="G9069" t="s">
        <v>16231</v>
      </c>
      <c r="H9069" t="s">
        <v>47054</v>
      </c>
      <c r="I9069" t="s">
        <v>47111</v>
      </c>
      <c r="J9069" t="s">
        <v>47112</v>
      </c>
      <c r="K9069" t="s">
        <v>47113</v>
      </c>
      <c r="L9069">
        <v>50.51</v>
      </c>
      <c r="M9069">
        <v>119</v>
      </c>
      <c r="N9069">
        <v>0</v>
      </c>
      <c r="O9069">
        <v>119</v>
      </c>
      <c r="P9069">
        <v>0</v>
      </c>
    </row>
    <row r="9070" spans="1:16" x14ac:dyDescent="0.25">
      <c r="A9070" t="s">
        <v>31652</v>
      </c>
      <c r="B9070" t="s">
        <v>15503</v>
      </c>
      <c r="C9070" t="s">
        <v>17399</v>
      </c>
      <c r="D9070" t="s">
        <v>15504</v>
      </c>
      <c r="E9070" t="s">
        <v>15505</v>
      </c>
      <c r="F9070" t="s">
        <v>15183</v>
      </c>
      <c r="G9070" t="s">
        <v>16231</v>
      </c>
      <c r="H9070" t="s">
        <v>47054</v>
      </c>
      <c r="I9070" t="s">
        <v>47111</v>
      </c>
      <c r="J9070" t="s">
        <v>47112</v>
      </c>
      <c r="K9070" t="s">
        <v>47113</v>
      </c>
      <c r="L9070">
        <v>57.96</v>
      </c>
      <c r="M9070">
        <v>107</v>
      </c>
      <c r="N9070">
        <v>0</v>
      </c>
      <c r="O9070">
        <v>107</v>
      </c>
      <c r="P9070">
        <v>0</v>
      </c>
    </row>
    <row r="9071" spans="1:16" x14ac:dyDescent="0.25">
      <c r="A9071" t="s">
        <v>31653</v>
      </c>
      <c r="B9071" t="s">
        <v>15506</v>
      </c>
      <c r="C9071" t="s">
        <v>14257</v>
      </c>
      <c r="D9071" t="str">
        <f>"2500"</f>
        <v>2500</v>
      </c>
      <c r="E9071" t="s">
        <v>15507</v>
      </c>
      <c r="F9071" t="s">
        <v>15183</v>
      </c>
      <c r="G9071" t="s">
        <v>16231</v>
      </c>
      <c r="H9071" t="s">
        <v>47054</v>
      </c>
      <c r="I9071" t="s">
        <v>47120</v>
      </c>
      <c r="J9071" t="s">
        <v>47121</v>
      </c>
      <c r="K9071" t="s">
        <v>47113</v>
      </c>
      <c r="L9071">
        <v>25.75</v>
      </c>
      <c r="M9071">
        <v>66</v>
      </c>
      <c r="N9071">
        <v>0</v>
      </c>
      <c r="O9071">
        <v>66</v>
      </c>
      <c r="P9071">
        <v>0</v>
      </c>
    </row>
    <row r="9072" spans="1:16" x14ac:dyDescent="0.25">
      <c r="A9072" t="s">
        <v>31654</v>
      </c>
      <c r="B9072" t="s">
        <v>17400</v>
      </c>
      <c r="C9072" t="s">
        <v>17396</v>
      </c>
      <c r="D9072" t="s">
        <v>1718</v>
      </c>
      <c r="E9072" t="s">
        <v>1719</v>
      </c>
      <c r="F9072" t="s">
        <v>16601</v>
      </c>
      <c r="G9072" t="s">
        <v>16231</v>
      </c>
      <c r="H9072" t="s">
        <v>47054</v>
      </c>
      <c r="I9072" t="s">
        <v>47111</v>
      </c>
      <c r="J9072" t="s">
        <v>47112</v>
      </c>
      <c r="K9072" t="s">
        <v>47113</v>
      </c>
      <c r="L9072">
        <v>48.95</v>
      </c>
      <c r="M9072">
        <v>103</v>
      </c>
      <c r="N9072">
        <v>0</v>
      </c>
      <c r="O9072">
        <v>103</v>
      </c>
      <c r="P9072">
        <v>0</v>
      </c>
    </row>
    <row r="9073" spans="1:16" x14ac:dyDescent="0.25">
      <c r="A9073" t="s">
        <v>31655</v>
      </c>
      <c r="B9073" t="s">
        <v>17401</v>
      </c>
      <c r="C9073" t="s">
        <v>15237</v>
      </c>
      <c r="D9073" t="str">
        <f>"1001"</f>
        <v>1001</v>
      </c>
      <c r="E9073" t="s">
        <v>17402</v>
      </c>
      <c r="F9073" t="s">
        <v>16601</v>
      </c>
      <c r="G9073" t="s">
        <v>16234</v>
      </c>
      <c r="I9073" t="s">
        <v>47136</v>
      </c>
      <c r="J9073" t="s">
        <v>47137</v>
      </c>
      <c r="K9073" t="s">
        <v>47113</v>
      </c>
      <c r="L9073">
        <v>32.909999999999997</v>
      </c>
      <c r="M9073">
        <v>70</v>
      </c>
      <c r="N9073">
        <v>0</v>
      </c>
      <c r="O9073">
        <v>70</v>
      </c>
      <c r="P9073">
        <v>0</v>
      </c>
    </row>
    <row r="9074" spans="1:16" x14ac:dyDescent="0.25">
      <c r="A9074" t="s">
        <v>31656</v>
      </c>
      <c r="B9074" t="s">
        <v>17401</v>
      </c>
      <c r="C9074" t="s">
        <v>15237</v>
      </c>
      <c r="D9074" t="str">
        <f>"4100"</f>
        <v>4100</v>
      </c>
      <c r="E9074" t="s">
        <v>17403</v>
      </c>
      <c r="F9074" t="s">
        <v>16601</v>
      </c>
      <c r="G9074" t="s">
        <v>16234</v>
      </c>
      <c r="I9074" t="s">
        <v>47136</v>
      </c>
      <c r="J9074" t="s">
        <v>47137</v>
      </c>
      <c r="K9074" t="s">
        <v>47113</v>
      </c>
      <c r="L9074">
        <v>41.51</v>
      </c>
      <c r="M9074">
        <v>70</v>
      </c>
      <c r="N9074">
        <v>0</v>
      </c>
      <c r="O9074">
        <v>70</v>
      </c>
      <c r="P9074">
        <v>0</v>
      </c>
    </row>
    <row r="9075" spans="1:16" x14ac:dyDescent="0.25">
      <c r="A9075" t="s">
        <v>31657</v>
      </c>
      <c r="B9075" t="s">
        <v>17401</v>
      </c>
      <c r="C9075" t="s">
        <v>15237</v>
      </c>
      <c r="D9075" t="str">
        <f>"6003"</f>
        <v>6003</v>
      </c>
      <c r="E9075" t="s">
        <v>17404</v>
      </c>
      <c r="F9075" t="s">
        <v>16601</v>
      </c>
      <c r="G9075" t="s">
        <v>16234</v>
      </c>
      <c r="I9075" t="s">
        <v>47136</v>
      </c>
      <c r="J9075" t="s">
        <v>47137</v>
      </c>
      <c r="K9075" t="s">
        <v>47113</v>
      </c>
      <c r="L9075">
        <v>32.909999999999997</v>
      </c>
      <c r="M9075">
        <v>70</v>
      </c>
      <c r="N9075">
        <v>0</v>
      </c>
      <c r="O9075">
        <v>70</v>
      </c>
      <c r="P9075">
        <v>0</v>
      </c>
    </row>
    <row r="9076" spans="1:16" x14ac:dyDescent="0.25">
      <c r="A9076" t="s">
        <v>31658</v>
      </c>
      <c r="B9076" t="s">
        <v>17405</v>
      </c>
      <c r="C9076" t="s">
        <v>17396</v>
      </c>
      <c r="D9076" t="s">
        <v>16773</v>
      </c>
      <c r="E9076" t="s">
        <v>16774</v>
      </c>
      <c r="F9076" t="s">
        <v>16601</v>
      </c>
      <c r="G9076" t="s">
        <v>16231</v>
      </c>
      <c r="H9076" t="s">
        <v>47054</v>
      </c>
      <c r="I9076" t="s">
        <v>47111</v>
      </c>
      <c r="J9076" t="s">
        <v>47112</v>
      </c>
      <c r="K9076" t="s">
        <v>47113</v>
      </c>
      <c r="L9076">
        <v>50.4</v>
      </c>
      <c r="M9076">
        <v>92</v>
      </c>
      <c r="N9076">
        <v>0</v>
      </c>
      <c r="O9076">
        <v>92</v>
      </c>
      <c r="P9076">
        <v>0</v>
      </c>
    </row>
    <row r="9077" spans="1:16" x14ac:dyDescent="0.25">
      <c r="A9077" t="s">
        <v>31659</v>
      </c>
      <c r="B9077" t="s">
        <v>17405</v>
      </c>
      <c r="C9077" t="s">
        <v>17396</v>
      </c>
      <c r="D9077" t="s">
        <v>16857</v>
      </c>
      <c r="E9077" t="s">
        <v>16858</v>
      </c>
      <c r="F9077" t="s">
        <v>16771</v>
      </c>
      <c r="G9077" t="s">
        <v>16231</v>
      </c>
      <c r="H9077" t="s">
        <v>47054</v>
      </c>
      <c r="I9077" t="s">
        <v>47111</v>
      </c>
      <c r="J9077" t="s">
        <v>47112</v>
      </c>
      <c r="K9077" t="s">
        <v>47113</v>
      </c>
      <c r="L9077">
        <v>52.09</v>
      </c>
      <c r="M9077">
        <v>100</v>
      </c>
      <c r="N9077">
        <v>0</v>
      </c>
      <c r="O9077">
        <v>100</v>
      </c>
      <c r="P9077">
        <v>0</v>
      </c>
    </row>
    <row r="9078" spans="1:16" x14ac:dyDescent="0.25">
      <c r="A9078" t="s">
        <v>31660</v>
      </c>
      <c r="B9078" t="s">
        <v>17406</v>
      </c>
      <c r="C9078" t="s">
        <v>15484</v>
      </c>
      <c r="D9078" t="s">
        <v>16728</v>
      </c>
      <c r="E9078" t="s">
        <v>16729</v>
      </c>
      <c r="F9078" t="s">
        <v>16601</v>
      </c>
      <c r="G9078" t="s">
        <v>16231</v>
      </c>
      <c r="I9078" t="s">
        <v>47111</v>
      </c>
      <c r="J9078" t="s">
        <v>47112</v>
      </c>
      <c r="K9078" t="s">
        <v>47113</v>
      </c>
      <c r="L9078">
        <v>71.989999999999995</v>
      </c>
      <c r="M9078">
        <v>133</v>
      </c>
      <c r="N9078">
        <v>0</v>
      </c>
      <c r="O9078">
        <v>133</v>
      </c>
      <c r="P9078">
        <v>0</v>
      </c>
    </row>
    <row r="9079" spans="1:16" x14ac:dyDescent="0.25">
      <c r="A9079" t="s">
        <v>31661</v>
      </c>
      <c r="B9079" t="s">
        <v>17407</v>
      </c>
      <c r="C9079" t="s">
        <v>17396</v>
      </c>
      <c r="D9079" t="s">
        <v>16732</v>
      </c>
      <c r="E9079" t="s">
        <v>16733</v>
      </c>
      <c r="F9079" t="s">
        <v>16730</v>
      </c>
      <c r="G9079" t="s">
        <v>16231</v>
      </c>
      <c r="H9079" t="s">
        <v>47054</v>
      </c>
      <c r="I9079" t="s">
        <v>47111</v>
      </c>
      <c r="J9079" t="s">
        <v>47112</v>
      </c>
      <c r="K9079" t="s">
        <v>47113</v>
      </c>
      <c r="L9079">
        <v>51.42</v>
      </c>
      <c r="M9079">
        <v>74</v>
      </c>
      <c r="N9079">
        <v>0</v>
      </c>
      <c r="O9079">
        <v>74</v>
      </c>
      <c r="P9079">
        <v>0</v>
      </c>
    </row>
    <row r="9080" spans="1:16" x14ac:dyDescent="0.25">
      <c r="A9080" t="s">
        <v>31662</v>
      </c>
      <c r="B9080" t="s">
        <v>17407</v>
      </c>
      <c r="C9080" t="s">
        <v>17396</v>
      </c>
      <c r="D9080" t="s">
        <v>16739</v>
      </c>
      <c r="E9080" t="s">
        <v>16740</v>
      </c>
      <c r="F9080" t="s">
        <v>16601</v>
      </c>
      <c r="G9080" t="s">
        <v>16231</v>
      </c>
      <c r="H9080" t="s">
        <v>47054</v>
      </c>
      <c r="I9080" t="s">
        <v>47111</v>
      </c>
      <c r="J9080" t="s">
        <v>47112</v>
      </c>
      <c r="K9080" t="s">
        <v>47113</v>
      </c>
      <c r="L9080">
        <v>53.45</v>
      </c>
      <c r="M9080">
        <v>92</v>
      </c>
      <c r="N9080">
        <v>0</v>
      </c>
      <c r="O9080">
        <v>92</v>
      </c>
      <c r="P9080">
        <v>0</v>
      </c>
    </row>
    <row r="9081" spans="1:16" x14ac:dyDescent="0.25">
      <c r="A9081" t="s">
        <v>31663</v>
      </c>
      <c r="B9081" t="s">
        <v>17407</v>
      </c>
      <c r="C9081" t="s">
        <v>17396</v>
      </c>
      <c r="D9081" t="s">
        <v>16741</v>
      </c>
      <c r="E9081" t="s">
        <v>16742</v>
      </c>
      <c r="F9081" t="s">
        <v>16730</v>
      </c>
      <c r="G9081" t="s">
        <v>16231</v>
      </c>
      <c r="H9081" t="s">
        <v>47054</v>
      </c>
      <c r="I9081" t="s">
        <v>47111</v>
      </c>
      <c r="J9081" t="s">
        <v>47112</v>
      </c>
      <c r="K9081" t="s">
        <v>47113</v>
      </c>
      <c r="L9081">
        <v>51.41</v>
      </c>
      <c r="M9081">
        <v>100</v>
      </c>
      <c r="N9081">
        <v>0</v>
      </c>
      <c r="O9081">
        <v>100</v>
      </c>
      <c r="P9081">
        <v>0</v>
      </c>
    </row>
    <row r="9082" spans="1:16" x14ac:dyDescent="0.25">
      <c r="A9082" t="s">
        <v>31664</v>
      </c>
      <c r="B9082" t="s">
        <v>17408</v>
      </c>
      <c r="C9082" t="s">
        <v>17409</v>
      </c>
      <c r="D9082" t="str">
        <f>"2000"</f>
        <v>2000</v>
      </c>
      <c r="E9082" t="s">
        <v>16781</v>
      </c>
      <c r="F9082" t="s">
        <v>16730</v>
      </c>
      <c r="G9082" t="s">
        <v>16234</v>
      </c>
      <c r="H9082" t="s">
        <v>47054</v>
      </c>
      <c r="I9082" t="s">
        <v>47120</v>
      </c>
      <c r="J9082" t="s">
        <v>47121</v>
      </c>
      <c r="K9082" t="s">
        <v>47113</v>
      </c>
      <c r="L9082">
        <v>27.75</v>
      </c>
      <c r="M9082">
        <v>74</v>
      </c>
      <c r="N9082">
        <v>0</v>
      </c>
      <c r="O9082">
        <v>74</v>
      </c>
      <c r="P9082">
        <v>0</v>
      </c>
    </row>
    <row r="9083" spans="1:16" x14ac:dyDescent="0.25">
      <c r="A9083" t="s">
        <v>31665</v>
      </c>
      <c r="B9083" t="s">
        <v>17408</v>
      </c>
      <c r="C9083" t="s">
        <v>17409</v>
      </c>
      <c r="D9083" t="str">
        <f>"6000"</f>
        <v>6000</v>
      </c>
      <c r="E9083" t="s">
        <v>17410</v>
      </c>
      <c r="F9083" t="s">
        <v>16730</v>
      </c>
      <c r="G9083" t="s">
        <v>16234</v>
      </c>
      <c r="H9083" t="s">
        <v>47054</v>
      </c>
      <c r="I9083" t="s">
        <v>47120</v>
      </c>
      <c r="J9083" t="s">
        <v>47121</v>
      </c>
      <c r="K9083" t="s">
        <v>47113</v>
      </c>
      <c r="L9083">
        <v>27.75</v>
      </c>
      <c r="M9083">
        <v>74</v>
      </c>
      <c r="N9083">
        <v>0</v>
      </c>
      <c r="O9083">
        <v>74</v>
      </c>
      <c r="P9083">
        <v>0</v>
      </c>
    </row>
    <row r="9084" spans="1:16" x14ac:dyDescent="0.25">
      <c r="A9084" t="s">
        <v>31666</v>
      </c>
      <c r="B9084" t="s">
        <v>17411</v>
      </c>
      <c r="C9084" t="s">
        <v>17396</v>
      </c>
      <c r="D9084" t="s">
        <v>16846</v>
      </c>
      <c r="E9084" t="s">
        <v>16847</v>
      </c>
      <c r="F9084" t="s">
        <v>16601</v>
      </c>
      <c r="G9084" t="s">
        <v>16231</v>
      </c>
      <c r="H9084" t="s">
        <v>47054</v>
      </c>
      <c r="I9084" t="s">
        <v>47111</v>
      </c>
      <c r="J9084" t="s">
        <v>47112</v>
      </c>
      <c r="K9084" t="s">
        <v>47113</v>
      </c>
      <c r="L9084">
        <v>63.44</v>
      </c>
      <c r="M9084">
        <v>111</v>
      </c>
      <c r="N9084">
        <v>0</v>
      </c>
      <c r="O9084">
        <v>111</v>
      </c>
      <c r="P9084">
        <v>0</v>
      </c>
    </row>
    <row r="9085" spans="1:16" x14ac:dyDescent="0.25">
      <c r="A9085" t="s">
        <v>31667</v>
      </c>
      <c r="B9085" t="s">
        <v>17412</v>
      </c>
      <c r="C9085" t="s">
        <v>17413</v>
      </c>
      <c r="D9085" t="s">
        <v>16732</v>
      </c>
      <c r="E9085" t="s">
        <v>16733</v>
      </c>
      <c r="F9085" t="s">
        <v>16730</v>
      </c>
      <c r="G9085" t="s">
        <v>16231</v>
      </c>
      <c r="H9085" t="s">
        <v>47054</v>
      </c>
      <c r="I9085" t="s">
        <v>47111</v>
      </c>
      <c r="J9085" t="s">
        <v>47112</v>
      </c>
      <c r="K9085" t="s">
        <v>47113</v>
      </c>
      <c r="L9085">
        <v>70.52</v>
      </c>
      <c r="M9085">
        <v>133</v>
      </c>
      <c r="N9085">
        <v>0</v>
      </c>
      <c r="O9085">
        <v>133</v>
      </c>
      <c r="P9085">
        <v>0</v>
      </c>
    </row>
    <row r="9086" spans="1:16" x14ac:dyDescent="0.25">
      <c r="A9086" t="s">
        <v>31668</v>
      </c>
      <c r="B9086" t="s">
        <v>17414</v>
      </c>
      <c r="C9086" t="s">
        <v>17396</v>
      </c>
      <c r="D9086" t="s">
        <v>16799</v>
      </c>
      <c r="E9086" t="s">
        <v>16800</v>
      </c>
      <c r="F9086" t="s">
        <v>16623</v>
      </c>
      <c r="G9086" t="s">
        <v>16231</v>
      </c>
      <c r="H9086" t="s">
        <v>47054</v>
      </c>
      <c r="I9086" t="s">
        <v>47111</v>
      </c>
      <c r="J9086" t="s">
        <v>47112</v>
      </c>
      <c r="K9086" t="s">
        <v>47113</v>
      </c>
      <c r="L9086">
        <v>51.21</v>
      </c>
      <c r="M9086">
        <v>103</v>
      </c>
      <c r="N9086">
        <v>0</v>
      </c>
      <c r="O9086">
        <v>103</v>
      </c>
      <c r="P9086">
        <v>0</v>
      </c>
    </row>
    <row r="9087" spans="1:16" x14ac:dyDescent="0.25">
      <c r="A9087" t="s">
        <v>31669</v>
      </c>
      <c r="B9087" t="s">
        <v>17415</v>
      </c>
      <c r="C9087" t="s">
        <v>17396</v>
      </c>
      <c r="D9087" t="s">
        <v>16914</v>
      </c>
      <c r="E9087" t="s">
        <v>16915</v>
      </c>
      <c r="F9087" t="s">
        <v>16623</v>
      </c>
      <c r="G9087" t="s">
        <v>16231</v>
      </c>
      <c r="H9087" t="s">
        <v>47054</v>
      </c>
      <c r="I9087" t="s">
        <v>47111</v>
      </c>
      <c r="J9087" t="s">
        <v>47112</v>
      </c>
      <c r="K9087" t="s">
        <v>47113</v>
      </c>
      <c r="L9087">
        <v>64.14</v>
      </c>
      <c r="M9087">
        <v>129</v>
      </c>
      <c r="N9087">
        <v>0</v>
      </c>
      <c r="O9087">
        <v>129</v>
      </c>
      <c r="P9087">
        <v>0</v>
      </c>
    </row>
    <row r="9088" spans="1:16" x14ac:dyDescent="0.25">
      <c r="A9088" t="s">
        <v>31670</v>
      </c>
      <c r="B9088" t="s">
        <v>17416</v>
      </c>
      <c r="C9088" t="s">
        <v>16472</v>
      </c>
      <c r="D9088" t="s">
        <v>16914</v>
      </c>
      <c r="E9088" t="s">
        <v>16915</v>
      </c>
      <c r="F9088" t="s">
        <v>16623</v>
      </c>
      <c r="G9088" t="s">
        <v>16231</v>
      </c>
      <c r="H9088" t="s">
        <v>47054</v>
      </c>
      <c r="I9088" t="s">
        <v>47111</v>
      </c>
      <c r="J9088" t="s">
        <v>47112</v>
      </c>
      <c r="K9088" t="s">
        <v>47113</v>
      </c>
      <c r="L9088">
        <v>82.68</v>
      </c>
      <c r="M9088">
        <v>166</v>
      </c>
      <c r="N9088">
        <v>0</v>
      </c>
      <c r="O9088">
        <v>166</v>
      </c>
      <c r="P9088">
        <v>0</v>
      </c>
    </row>
    <row r="9089" spans="1:16" x14ac:dyDescent="0.25">
      <c r="A9089" t="s">
        <v>31671</v>
      </c>
      <c r="B9089" t="s">
        <v>17417</v>
      </c>
      <c r="C9089" t="s">
        <v>17396</v>
      </c>
      <c r="D9089" t="s">
        <v>16808</v>
      </c>
      <c r="E9089" t="s">
        <v>16809</v>
      </c>
      <c r="F9089" t="s">
        <v>16810</v>
      </c>
      <c r="G9089" t="s">
        <v>16231</v>
      </c>
      <c r="H9089" t="s">
        <v>47054</v>
      </c>
      <c r="I9089" t="s">
        <v>47111</v>
      </c>
      <c r="J9089" t="s">
        <v>47112</v>
      </c>
      <c r="K9089" t="s">
        <v>47113</v>
      </c>
      <c r="L9089">
        <v>64.14</v>
      </c>
      <c r="M9089">
        <v>129</v>
      </c>
      <c r="N9089">
        <v>0</v>
      </c>
      <c r="O9089">
        <v>129</v>
      </c>
      <c r="P9089">
        <v>0</v>
      </c>
    </row>
    <row r="9090" spans="1:16" x14ac:dyDescent="0.25">
      <c r="A9090" t="s">
        <v>31672</v>
      </c>
      <c r="B9090" t="s">
        <v>17418</v>
      </c>
      <c r="C9090" t="s">
        <v>17396</v>
      </c>
      <c r="D9090" t="str">
        <f>"1200"</f>
        <v>1200</v>
      </c>
      <c r="E9090" t="s">
        <v>17307</v>
      </c>
      <c r="F9090" t="s">
        <v>16810</v>
      </c>
      <c r="G9090" t="s">
        <v>16234</v>
      </c>
      <c r="H9090" t="s">
        <v>47054</v>
      </c>
      <c r="I9090" t="s">
        <v>47120</v>
      </c>
      <c r="J9090" t="s">
        <v>47121</v>
      </c>
      <c r="K9090" t="s">
        <v>47113</v>
      </c>
      <c r="L9090">
        <v>32.81</v>
      </c>
      <c r="M9090">
        <v>66</v>
      </c>
      <c r="N9090">
        <v>0</v>
      </c>
      <c r="O9090">
        <v>66</v>
      </c>
      <c r="P9090">
        <v>0</v>
      </c>
    </row>
    <row r="9091" spans="1:16" x14ac:dyDescent="0.25">
      <c r="A9091" t="s">
        <v>31673</v>
      </c>
      <c r="B9091" t="s">
        <v>17418</v>
      </c>
      <c r="C9091" t="s">
        <v>17396</v>
      </c>
      <c r="D9091" t="str">
        <f>"2701"</f>
        <v>2701</v>
      </c>
      <c r="E9091" t="s">
        <v>11837</v>
      </c>
      <c r="F9091" t="s">
        <v>16810</v>
      </c>
      <c r="G9091" t="s">
        <v>16234</v>
      </c>
      <c r="H9091" t="s">
        <v>47054</v>
      </c>
      <c r="I9091" t="s">
        <v>47120</v>
      </c>
      <c r="J9091" t="s">
        <v>47121</v>
      </c>
      <c r="K9091" t="s">
        <v>47113</v>
      </c>
      <c r="L9091">
        <v>32.81</v>
      </c>
      <c r="M9091">
        <v>66</v>
      </c>
      <c r="N9091">
        <v>0</v>
      </c>
      <c r="O9091">
        <v>66</v>
      </c>
      <c r="P9091">
        <v>0</v>
      </c>
    </row>
    <row r="9092" spans="1:16" x14ac:dyDescent="0.25">
      <c r="A9092" t="s">
        <v>31674</v>
      </c>
      <c r="B9092" t="s">
        <v>17418</v>
      </c>
      <c r="C9092" t="s">
        <v>17396</v>
      </c>
      <c r="D9092" t="str">
        <f>"6000"</f>
        <v>6000</v>
      </c>
      <c r="E9092" t="s">
        <v>7168</v>
      </c>
      <c r="F9092" t="s">
        <v>16810</v>
      </c>
      <c r="G9092" t="s">
        <v>16234</v>
      </c>
      <c r="H9092" t="s">
        <v>47054</v>
      </c>
      <c r="I9092" t="s">
        <v>47120</v>
      </c>
      <c r="J9092" t="s">
        <v>47121</v>
      </c>
      <c r="K9092" t="s">
        <v>47113</v>
      </c>
      <c r="L9092">
        <v>32.81</v>
      </c>
      <c r="M9092">
        <v>66</v>
      </c>
      <c r="N9092">
        <v>0</v>
      </c>
      <c r="O9092">
        <v>66</v>
      </c>
      <c r="P9092">
        <v>0</v>
      </c>
    </row>
    <row r="9093" spans="1:16" x14ac:dyDescent="0.25">
      <c r="A9093" t="s">
        <v>31675</v>
      </c>
      <c r="B9093" t="s">
        <v>17419</v>
      </c>
      <c r="C9093" t="s">
        <v>17396</v>
      </c>
      <c r="D9093" t="s">
        <v>17420</v>
      </c>
      <c r="E9093" t="s">
        <v>17421</v>
      </c>
      <c r="F9093" t="s">
        <v>16810</v>
      </c>
      <c r="G9093" t="s">
        <v>16231</v>
      </c>
      <c r="H9093" t="s">
        <v>47054</v>
      </c>
      <c r="I9093" t="s">
        <v>47111</v>
      </c>
      <c r="J9093" t="s">
        <v>47112</v>
      </c>
      <c r="K9093" t="s">
        <v>47113</v>
      </c>
      <c r="L9093">
        <v>51.21</v>
      </c>
      <c r="M9093">
        <v>103</v>
      </c>
      <c r="N9093">
        <v>0</v>
      </c>
      <c r="O9093">
        <v>103</v>
      </c>
      <c r="P9093">
        <v>0</v>
      </c>
    </row>
    <row r="9094" spans="1:16" x14ac:dyDescent="0.25">
      <c r="A9094" t="s">
        <v>31676</v>
      </c>
      <c r="B9094" t="s">
        <v>17422</v>
      </c>
      <c r="C9094" t="s">
        <v>17396</v>
      </c>
      <c r="D9094" t="s">
        <v>16747</v>
      </c>
      <c r="E9094" t="s">
        <v>16748</v>
      </c>
      <c r="F9094" t="s">
        <v>16746</v>
      </c>
      <c r="G9094" t="s">
        <v>16231</v>
      </c>
      <c r="H9094" t="s">
        <v>47054</v>
      </c>
      <c r="I9094" t="s">
        <v>47111</v>
      </c>
      <c r="J9094" t="s">
        <v>47112</v>
      </c>
      <c r="K9094" t="s">
        <v>47113</v>
      </c>
      <c r="L9094">
        <v>55.19</v>
      </c>
      <c r="M9094">
        <v>111</v>
      </c>
      <c r="N9094">
        <v>0</v>
      </c>
      <c r="O9094">
        <v>111</v>
      </c>
      <c r="P9094">
        <v>0</v>
      </c>
    </row>
    <row r="9095" spans="1:16" x14ac:dyDescent="0.25">
      <c r="A9095" t="s">
        <v>31677</v>
      </c>
      <c r="B9095" t="s">
        <v>17423</v>
      </c>
      <c r="C9095" t="s">
        <v>16472</v>
      </c>
      <c r="D9095" t="s">
        <v>16817</v>
      </c>
      <c r="E9095" t="s">
        <v>16818</v>
      </c>
      <c r="F9095" t="s">
        <v>16746</v>
      </c>
      <c r="G9095" t="s">
        <v>16231</v>
      </c>
      <c r="H9095" t="s">
        <v>47054</v>
      </c>
      <c r="I9095" t="s">
        <v>47111</v>
      </c>
      <c r="J9095" t="s">
        <v>47112</v>
      </c>
      <c r="K9095" t="s">
        <v>47113</v>
      </c>
      <c r="L9095">
        <v>73.47</v>
      </c>
      <c r="M9095">
        <v>148</v>
      </c>
      <c r="N9095">
        <v>0</v>
      </c>
      <c r="O9095">
        <v>148</v>
      </c>
      <c r="P9095">
        <v>0</v>
      </c>
    </row>
    <row r="9096" spans="1:16" x14ac:dyDescent="0.25">
      <c r="A9096" t="s">
        <v>31678</v>
      </c>
      <c r="B9096" t="s">
        <v>17424</v>
      </c>
      <c r="C9096" t="s">
        <v>16472</v>
      </c>
      <c r="D9096" t="s">
        <v>16744</v>
      </c>
      <c r="E9096" t="s">
        <v>16745</v>
      </c>
      <c r="F9096" t="s">
        <v>16746</v>
      </c>
      <c r="G9096" t="s">
        <v>16231</v>
      </c>
      <c r="H9096" t="s">
        <v>47054</v>
      </c>
      <c r="I9096" t="s">
        <v>47111</v>
      </c>
      <c r="J9096" t="s">
        <v>47112</v>
      </c>
      <c r="K9096" t="s">
        <v>47113</v>
      </c>
      <c r="L9096">
        <v>73.47</v>
      </c>
      <c r="M9096">
        <v>148</v>
      </c>
      <c r="N9096">
        <v>0</v>
      </c>
      <c r="O9096">
        <v>148</v>
      </c>
      <c r="P9096">
        <v>0</v>
      </c>
    </row>
    <row r="9097" spans="1:16" x14ac:dyDescent="0.25">
      <c r="A9097" t="s">
        <v>31679</v>
      </c>
      <c r="B9097" t="s">
        <v>17425</v>
      </c>
      <c r="C9097" t="s">
        <v>16472</v>
      </c>
      <c r="D9097" t="s">
        <v>3664</v>
      </c>
      <c r="E9097" t="s">
        <v>3665</v>
      </c>
      <c r="F9097" t="s">
        <v>15183</v>
      </c>
      <c r="G9097" t="s">
        <v>16231</v>
      </c>
      <c r="H9097" t="s">
        <v>47054</v>
      </c>
      <c r="I9097" t="s">
        <v>47111</v>
      </c>
      <c r="J9097" t="s">
        <v>47112</v>
      </c>
      <c r="K9097" t="s">
        <v>47113</v>
      </c>
      <c r="L9097">
        <v>62.08</v>
      </c>
      <c r="M9097">
        <v>164</v>
      </c>
      <c r="N9097">
        <v>0</v>
      </c>
      <c r="O9097">
        <v>164</v>
      </c>
      <c r="P9097">
        <v>0</v>
      </c>
    </row>
    <row r="9098" spans="1:16" x14ac:dyDescent="0.25">
      <c r="A9098" t="s">
        <v>31680</v>
      </c>
      <c r="B9098" t="s">
        <v>17426</v>
      </c>
      <c r="C9098" t="s">
        <v>17396</v>
      </c>
      <c r="D9098" t="s">
        <v>16728</v>
      </c>
      <c r="E9098" t="s">
        <v>16729</v>
      </c>
      <c r="F9098" t="s">
        <v>16730</v>
      </c>
      <c r="G9098" t="s">
        <v>16231</v>
      </c>
      <c r="H9098" t="s">
        <v>47054</v>
      </c>
      <c r="I9098" t="s">
        <v>47111</v>
      </c>
      <c r="J9098" t="s">
        <v>47112</v>
      </c>
      <c r="K9098" t="s">
        <v>47113</v>
      </c>
      <c r="L9098">
        <v>62.27</v>
      </c>
      <c r="M9098">
        <v>122</v>
      </c>
      <c r="N9098">
        <v>0</v>
      </c>
      <c r="O9098">
        <v>122</v>
      </c>
      <c r="P9098">
        <v>0</v>
      </c>
    </row>
    <row r="9099" spans="1:16" x14ac:dyDescent="0.25">
      <c r="A9099" t="s">
        <v>31681</v>
      </c>
      <c r="B9099" t="s">
        <v>20364</v>
      </c>
      <c r="C9099" t="s">
        <v>17396</v>
      </c>
      <c r="D9099" t="s">
        <v>19896</v>
      </c>
      <c r="E9099" t="s">
        <v>19897</v>
      </c>
      <c r="F9099" t="s">
        <v>16933</v>
      </c>
      <c r="G9099" t="s">
        <v>16231</v>
      </c>
      <c r="H9099" t="s">
        <v>47054</v>
      </c>
      <c r="I9099" t="s">
        <v>47111</v>
      </c>
      <c r="J9099" t="s">
        <v>47112</v>
      </c>
      <c r="K9099" t="s">
        <v>47113</v>
      </c>
      <c r="L9099">
        <v>56.02</v>
      </c>
      <c r="M9099">
        <v>111</v>
      </c>
      <c r="N9099">
        <v>0</v>
      </c>
      <c r="O9099">
        <v>111</v>
      </c>
      <c r="P9099">
        <v>0</v>
      </c>
    </row>
    <row r="9100" spans="1:16" x14ac:dyDescent="0.25">
      <c r="A9100" t="s">
        <v>31682</v>
      </c>
      <c r="B9100" t="s">
        <v>20365</v>
      </c>
      <c r="C9100" t="s">
        <v>17396</v>
      </c>
      <c r="D9100" t="s">
        <v>20101</v>
      </c>
      <c r="E9100" t="s">
        <v>20102</v>
      </c>
      <c r="F9100" t="s">
        <v>19847</v>
      </c>
      <c r="G9100" t="s">
        <v>16231</v>
      </c>
      <c r="H9100" t="s">
        <v>47054</v>
      </c>
      <c r="I9100" t="s">
        <v>47116</v>
      </c>
      <c r="J9100" t="s">
        <v>47117</v>
      </c>
      <c r="K9100" t="s">
        <v>47113</v>
      </c>
      <c r="L9100">
        <v>47.61</v>
      </c>
      <c r="M9100">
        <v>129</v>
      </c>
      <c r="N9100">
        <v>0</v>
      </c>
      <c r="O9100">
        <v>129</v>
      </c>
      <c r="P9100">
        <v>0</v>
      </c>
    </row>
    <row r="9101" spans="1:16" x14ac:dyDescent="0.25">
      <c r="A9101" t="s">
        <v>31683</v>
      </c>
      <c r="B9101" t="s">
        <v>20366</v>
      </c>
      <c r="C9101" t="s">
        <v>16470</v>
      </c>
      <c r="D9101" t="s">
        <v>20120</v>
      </c>
      <c r="E9101" t="s">
        <v>20121</v>
      </c>
      <c r="F9101" t="s">
        <v>19847</v>
      </c>
      <c r="G9101" t="s">
        <v>16231</v>
      </c>
      <c r="H9101" t="s">
        <v>47054</v>
      </c>
      <c r="I9101" t="s">
        <v>47116</v>
      </c>
      <c r="J9101" t="s">
        <v>47117</v>
      </c>
      <c r="K9101" t="s">
        <v>47113</v>
      </c>
      <c r="L9101">
        <v>37.630000000000003</v>
      </c>
      <c r="M9101">
        <v>92</v>
      </c>
      <c r="N9101">
        <v>0</v>
      </c>
      <c r="O9101">
        <v>92</v>
      </c>
      <c r="P9101">
        <v>0</v>
      </c>
    </row>
    <row r="9102" spans="1:16" x14ac:dyDescent="0.25">
      <c r="A9102" t="s">
        <v>31684</v>
      </c>
      <c r="B9102" t="s">
        <v>20367</v>
      </c>
      <c r="C9102" t="s">
        <v>17396</v>
      </c>
      <c r="D9102" t="s">
        <v>20341</v>
      </c>
      <c r="E9102" t="s">
        <v>20342</v>
      </c>
      <c r="F9102" t="s">
        <v>19908</v>
      </c>
      <c r="G9102" t="s">
        <v>16231</v>
      </c>
      <c r="H9102" t="s">
        <v>47054</v>
      </c>
      <c r="I9102" t="s">
        <v>47116</v>
      </c>
      <c r="J9102" t="s">
        <v>47117</v>
      </c>
      <c r="K9102" t="s">
        <v>47113</v>
      </c>
      <c r="L9102">
        <v>45</v>
      </c>
      <c r="M9102">
        <v>92</v>
      </c>
      <c r="N9102">
        <v>0</v>
      </c>
      <c r="O9102">
        <v>92</v>
      </c>
      <c r="P9102">
        <v>0</v>
      </c>
    </row>
    <row r="9103" spans="1:16" x14ac:dyDescent="0.25">
      <c r="A9103" t="s">
        <v>31685</v>
      </c>
      <c r="B9103" t="s">
        <v>20368</v>
      </c>
      <c r="C9103" t="s">
        <v>17396</v>
      </c>
      <c r="D9103" t="s">
        <v>19677</v>
      </c>
      <c r="E9103" t="s">
        <v>19678</v>
      </c>
      <c r="F9103" t="s">
        <v>19908</v>
      </c>
      <c r="G9103" t="s">
        <v>16231</v>
      </c>
      <c r="H9103" t="s">
        <v>47054</v>
      </c>
      <c r="I9103" t="s">
        <v>47111</v>
      </c>
      <c r="J9103" t="s">
        <v>47112</v>
      </c>
      <c r="K9103" t="s">
        <v>47113</v>
      </c>
      <c r="L9103">
        <v>62.08</v>
      </c>
      <c r="M9103">
        <v>107</v>
      </c>
      <c r="N9103">
        <v>0</v>
      </c>
      <c r="O9103">
        <v>107</v>
      </c>
      <c r="P9103">
        <v>0</v>
      </c>
    </row>
    <row r="9104" spans="1:16" x14ac:dyDescent="0.25">
      <c r="A9104" t="s">
        <v>31686</v>
      </c>
      <c r="B9104" t="s">
        <v>20369</v>
      </c>
      <c r="C9104" t="s">
        <v>16472</v>
      </c>
      <c r="D9104" t="s">
        <v>20105</v>
      </c>
      <c r="E9104" t="s">
        <v>20106</v>
      </c>
      <c r="F9104" t="s">
        <v>19908</v>
      </c>
      <c r="G9104" t="s">
        <v>16231</v>
      </c>
      <c r="H9104" t="s">
        <v>47054</v>
      </c>
      <c r="I9104" t="s">
        <v>47111</v>
      </c>
      <c r="J9104" t="s">
        <v>47112</v>
      </c>
      <c r="K9104" t="s">
        <v>47113</v>
      </c>
      <c r="L9104">
        <v>78.540000000000006</v>
      </c>
      <c r="M9104">
        <v>148</v>
      </c>
      <c r="N9104">
        <v>0</v>
      </c>
      <c r="O9104">
        <v>148</v>
      </c>
      <c r="P9104">
        <v>0</v>
      </c>
    </row>
    <row r="9105" spans="1:16" x14ac:dyDescent="0.25">
      <c r="A9105" t="s">
        <v>31687</v>
      </c>
      <c r="B9105" t="s">
        <v>20370</v>
      </c>
      <c r="C9105" t="s">
        <v>16472</v>
      </c>
      <c r="D9105" t="s">
        <v>7164</v>
      </c>
      <c r="E9105" t="s">
        <v>7165</v>
      </c>
      <c r="F9105" t="s">
        <v>16601</v>
      </c>
      <c r="G9105" t="s">
        <v>16231</v>
      </c>
      <c r="H9105" t="s">
        <v>47054</v>
      </c>
      <c r="I9105" t="s">
        <v>47116</v>
      </c>
      <c r="J9105" t="s">
        <v>47117</v>
      </c>
      <c r="K9105" t="s">
        <v>47113</v>
      </c>
      <c r="L9105">
        <v>35</v>
      </c>
      <c r="M9105">
        <v>148</v>
      </c>
      <c r="N9105">
        <v>0</v>
      </c>
      <c r="O9105">
        <v>148</v>
      </c>
      <c r="P9105">
        <v>0</v>
      </c>
    </row>
    <row r="9106" spans="1:16" x14ac:dyDescent="0.25">
      <c r="A9106" t="s">
        <v>31688</v>
      </c>
      <c r="B9106" t="s">
        <v>17427</v>
      </c>
      <c r="C9106" t="s">
        <v>16469</v>
      </c>
      <c r="D9106" t="s">
        <v>16735</v>
      </c>
      <c r="E9106" t="s">
        <v>16736</v>
      </c>
      <c r="F9106" t="s">
        <v>16623</v>
      </c>
      <c r="G9106" t="s">
        <v>16231</v>
      </c>
      <c r="H9106" t="s">
        <v>47054</v>
      </c>
      <c r="I9106" t="s">
        <v>47111</v>
      </c>
      <c r="J9106" t="s">
        <v>47112</v>
      </c>
      <c r="K9106" t="s">
        <v>47113</v>
      </c>
      <c r="L9106">
        <v>52.62</v>
      </c>
      <c r="M9106">
        <v>103</v>
      </c>
      <c r="N9106">
        <v>0</v>
      </c>
      <c r="O9106">
        <v>103</v>
      </c>
      <c r="P9106">
        <v>0</v>
      </c>
    </row>
    <row r="9107" spans="1:16" x14ac:dyDescent="0.25">
      <c r="A9107" t="s">
        <v>31689</v>
      </c>
      <c r="B9107" t="s">
        <v>17428</v>
      </c>
      <c r="C9107" t="s">
        <v>16472</v>
      </c>
      <c r="D9107" t="s">
        <v>16735</v>
      </c>
      <c r="E9107" t="s">
        <v>16736</v>
      </c>
      <c r="F9107" t="s">
        <v>16623</v>
      </c>
      <c r="G9107" t="s">
        <v>16231</v>
      </c>
      <c r="H9107" t="s">
        <v>47054</v>
      </c>
      <c r="I9107" t="s">
        <v>47111</v>
      </c>
      <c r="J9107" t="s">
        <v>47112</v>
      </c>
      <c r="K9107" t="s">
        <v>47113</v>
      </c>
      <c r="L9107">
        <v>85.1</v>
      </c>
      <c r="M9107">
        <v>129</v>
      </c>
      <c r="N9107">
        <v>0</v>
      </c>
      <c r="O9107">
        <v>129</v>
      </c>
      <c r="P9107">
        <v>0</v>
      </c>
    </row>
    <row r="9108" spans="1:16" x14ac:dyDescent="0.25">
      <c r="A9108" t="s">
        <v>31690</v>
      </c>
      <c r="B9108" t="s">
        <v>20371</v>
      </c>
      <c r="C9108" t="s">
        <v>17396</v>
      </c>
      <c r="D9108" t="s">
        <v>20123</v>
      </c>
      <c r="E9108" t="s">
        <v>20124</v>
      </c>
      <c r="F9108" t="s">
        <v>19847</v>
      </c>
      <c r="G9108" t="s">
        <v>16231</v>
      </c>
      <c r="H9108" t="s">
        <v>47054</v>
      </c>
      <c r="I9108" t="s">
        <v>47116</v>
      </c>
      <c r="J9108" t="s">
        <v>47117</v>
      </c>
      <c r="K9108" t="s">
        <v>47113</v>
      </c>
      <c r="L9108">
        <v>41.73</v>
      </c>
      <c r="M9108">
        <v>92</v>
      </c>
      <c r="N9108">
        <v>0</v>
      </c>
      <c r="O9108">
        <v>92</v>
      </c>
      <c r="P9108">
        <v>0</v>
      </c>
    </row>
    <row r="9109" spans="1:16" x14ac:dyDescent="0.25">
      <c r="A9109" t="s">
        <v>31691</v>
      </c>
      <c r="B9109" t="s">
        <v>20372</v>
      </c>
      <c r="C9109" t="s">
        <v>17396</v>
      </c>
      <c r="D9109" t="s">
        <v>19554</v>
      </c>
      <c r="E9109" t="s">
        <v>19555</v>
      </c>
      <c r="F9109" t="s">
        <v>19559</v>
      </c>
      <c r="G9109" t="s">
        <v>16231</v>
      </c>
      <c r="H9109" t="s">
        <v>47054</v>
      </c>
      <c r="I9109" t="s">
        <v>47111</v>
      </c>
      <c r="J9109" t="s">
        <v>47112</v>
      </c>
      <c r="K9109" t="s">
        <v>47113</v>
      </c>
      <c r="L9109">
        <v>64.209999999999994</v>
      </c>
      <c r="M9109">
        <v>129</v>
      </c>
      <c r="N9109">
        <v>0</v>
      </c>
      <c r="O9109">
        <v>129</v>
      </c>
      <c r="P9109">
        <v>0</v>
      </c>
    </row>
    <row r="9110" spans="1:16" x14ac:dyDescent="0.25">
      <c r="A9110" t="s">
        <v>31692</v>
      </c>
      <c r="B9110" t="s">
        <v>20373</v>
      </c>
      <c r="C9110" t="s">
        <v>17396</v>
      </c>
      <c r="D9110" t="s">
        <v>19914</v>
      </c>
      <c r="E9110" t="s">
        <v>19915</v>
      </c>
      <c r="F9110" t="s">
        <v>19559</v>
      </c>
      <c r="G9110" t="s">
        <v>16231</v>
      </c>
      <c r="H9110" t="s">
        <v>47054</v>
      </c>
      <c r="I9110" t="s">
        <v>47111</v>
      </c>
      <c r="J9110" t="s">
        <v>47112</v>
      </c>
      <c r="K9110" t="s">
        <v>47113</v>
      </c>
      <c r="L9110">
        <v>64.790000000000006</v>
      </c>
      <c r="M9110">
        <v>92</v>
      </c>
      <c r="N9110">
        <v>0</v>
      </c>
      <c r="O9110">
        <v>92</v>
      </c>
      <c r="P9110">
        <v>0</v>
      </c>
    </row>
    <row r="9111" spans="1:16" x14ac:dyDescent="0.25">
      <c r="A9111" t="s">
        <v>31693</v>
      </c>
      <c r="B9111" t="s">
        <v>20374</v>
      </c>
      <c r="C9111" t="s">
        <v>17413</v>
      </c>
      <c r="D9111" t="s">
        <v>19562</v>
      </c>
      <c r="E9111" t="s">
        <v>19563</v>
      </c>
      <c r="F9111" t="s">
        <v>19559</v>
      </c>
      <c r="G9111" t="s">
        <v>16231</v>
      </c>
      <c r="H9111" t="s">
        <v>47054</v>
      </c>
      <c r="I9111" t="s">
        <v>47111</v>
      </c>
      <c r="J9111" t="s">
        <v>47112</v>
      </c>
      <c r="K9111" t="s">
        <v>47113</v>
      </c>
      <c r="L9111">
        <v>84.35</v>
      </c>
      <c r="M9111">
        <v>148</v>
      </c>
      <c r="N9111">
        <v>0</v>
      </c>
      <c r="O9111">
        <v>148</v>
      </c>
      <c r="P9111">
        <v>0</v>
      </c>
    </row>
    <row r="9112" spans="1:16" x14ac:dyDescent="0.25">
      <c r="A9112" t="s">
        <v>31694</v>
      </c>
      <c r="B9112" t="s">
        <v>20375</v>
      </c>
      <c r="C9112" t="s">
        <v>17396</v>
      </c>
      <c r="D9112" t="s">
        <v>19927</v>
      </c>
      <c r="E9112" t="s">
        <v>19928</v>
      </c>
      <c r="F9112" t="s">
        <v>19878</v>
      </c>
      <c r="G9112" t="s">
        <v>16231</v>
      </c>
      <c r="H9112" t="s">
        <v>47054</v>
      </c>
      <c r="I9112" t="s">
        <v>47111</v>
      </c>
      <c r="J9112" t="s">
        <v>47112</v>
      </c>
      <c r="K9112" t="s">
        <v>47113</v>
      </c>
      <c r="L9112">
        <v>69.17</v>
      </c>
      <c r="M9112">
        <v>174</v>
      </c>
      <c r="N9112">
        <v>0</v>
      </c>
      <c r="O9112">
        <v>174</v>
      </c>
      <c r="P9112">
        <v>0</v>
      </c>
    </row>
    <row r="9113" spans="1:16" x14ac:dyDescent="0.25">
      <c r="A9113" t="s">
        <v>22772</v>
      </c>
      <c r="B9113" t="s">
        <v>20376</v>
      </c>
      <c r="C9113" t="s">
        <v>16472</v>
      </c>
      <c r="D9113" t="s">
        <v>20377</v>
      </c>
      <c r="E9113" t="s">
        <v>20378</v>
      </c>
      <c r="F9113" t="s">
        <v>19552</v>
      </c>
      <c r="G9113" t="s">
        <v>16231</v>
      </c>
      <c r="H9113" t="s">
        <v>47054</v>
      </c>
      <c r="I9113" t="s">
        <v>47111</v>
      </c>
      <c r="J9113" t="s">
        <v>47112</v>
      </c>
      <c r="K9113" t="s">
        <v>47113</v>
      </c>
      <c r="L9113">
        <v>103.3</v>
      </c>
      <c r="M9113">
        <v>166</v>
      </c>
      <c r="N9113">
        <v>0</v>
      </c>
      <c r="O9113">
        <v>166</v>
      </c>
      <c r="P9113">
        <v>0</v>
      </c>
    </row>
    <row r="9114" spans="1:16" x14ac:dyDescent="0.25">
      <c r="A9114" t="s">
        <v>22773</v>
      </c>
      <c r="B9114" t="s">
        <v>20379</v>
      </c>
      <c r="C9114" t="s">
        <v>17396</v>
      </c>
      <c r="D9114" t="s">
        <v>19550</v>
      </c>
      <c r="E9114" t="s">
        <v>19551</v>
      </c>
      <c r="F9114" t="s">
        <v>19552</v>
      </c>
      <c r="G9114" t="s">
        <v>16231</v>
      </c>
      <c r="H9114" t="s">
        <v>47054</v>
      </c>
      <c r="I9114" t="s">
        <v>47111</v>
      </c>
      <c r="J9114" t="s">
        <v>47112</v>
      </c>
      <c r="K9114" t="s">
        <v>47113</v>
      </c>
      <c r="L9114">
        <v>66.319999999999993</v>
      </c>
      <c r="M9114">
        <v>129</v>
      </c>
      <c r="N9114">
        <v>0</v>
      </c>
      <c r="O9114">
        <v>129</v>
      </c>
      <c r="P9114">
        <v>0</v>
      </c>
    </row>
    <row r="9115" spans="1:16" x14ac:dyDescent="0.25">
      <c r="A9115" t="s">
        <v>31695</v>
      </c>
      <c r="B9115" t="s">
        <v>20379</v>
      </c>
      <c r="C9115" t="s">
        <v>17396</v>
      </c>
      <c r="D9115" t="s">
        <v>20147</v>
      </c>
      <c r="E9115" t="s">
        <v>20148</v>
      </c>
      <c r="F9115" t="s">
        <v>19878</v>
      </c>
      <c r="G9115" t="s">
        <v>16231</v>
      </c>
      <c r="H9115" t="s">
        <v>47054</v>
      </c>
      <c r="I9115" t="s">
        <v>47111</v>
      </c>
      <c r="J9115" t="s">
        <v>47112</v>
      </c>
      <c r="K9115" t="s">
        <v>47113</v>
      </c>
      <c r="L9115">
        <v>64.08</v>
      </c>
      <c r="M9115">
        <v>129</v>
      </c>
      <c r="N9115">
        <v>0</v>
      </c>
      <c r="O9115">
        <v>129</v>
      </c>
      <c r="P9115">
        <v>0</v>
      </c>
    </row>
    <row r="9116" spans="1:16" x14ac:dyDescent="0.25">
      <c r="A9116" t="s">
        <v>31696</v>
      </c>
      <c r="B9116" t="s">
        <v>20380</v>
      </c>
      <c r="C9116" t="s">
        <v>16472</v>
      </c>
      <c r="D9116" t="s">
        <v>20111</v>
      </c>
      <c r="E9116" t="s">
        <v>20112</v>
      </c>
      <c r="F9116" t="s">
        <v>19878</v>
      </c>
      <c r="G9116" t="s">
        <v>16231</v>
      </c>
      <c r="H9116" t="s">
        <v>47054</v>
      </c>
      <c r="I9116" t="s">
        <v>47111</v>
      </c>
      <c r="J9116" t="s">
        <v>47112</v>
      </c>
      <c r="K9116" t="s">
        <v>47113</v>
      </c>
      <c r="L9116">
        <v>78.58</v>
      </c>
      <c r="M9116">
        <v>148</v>
      </c>
      <c r="N9116">
        <v>0</v>
      </c>
      <c r="O9116">
        <v>148</v>
      </c>
      <c r="P9116">
        <v>0</v>
      </c>
    </row>
    <row r="9117" spans="1:16" x14ac:dyDescent="0.25">
      <c r="A9117" t="s">
        <v>22774</v>
      </c>
      <c r="B9117" t="s">
        <v>22775</v>
      </c>
      <c r="C9117" t="s">
        <v>17396</v>
      </c>
      <c r="D9117" t="s">
        <v>22776</v>
      </c>
      <c r="E9117" t="s">
        <v>22777</v>
      </c>
      <c r="F9117" t="s">
        <v>20496</v>
      </c>
      <c r="G9117" t="s">
        <v>16231</v>
      </c>
      <c r="H9117" t="s">
        <v>47054</v>
      </c>
      <c r="I9117" t="s">
        <v>47116</v>
      </c>
      <c r="J9117" t="s">
        <v>47117</v>
      </c>
      <c r="K9117" t="s">
        <v>47113</v>
      </c>
      <c r="L9117">
        <v>34.090000000000003</v>
      </c>
      <c r="M9117">
        <v>74</v>
      </c>
      <c r="N9117">
        <v>0</v>
      </c>
      <c r="O9117">
        <v>74</v>
      </c>
      <c r="P9117">
        <v>0</v>
      </c>
    </row>
    <row r="9118" spans="1:16" x14ac:dyDescent="0.25">
      <c r="A9118" t="s">
        <v>31697</v>
      </c>
      <c r="B9118" t="s">
        <v>31698</v>
      </c>
      <c r="C9118" t="s">
        <v>17396</v>
      </c>
      <c r="D9118" t="s">
        <v>29725</v>
      </c>
      <c r="E9118" t="s">
        <v>29726</v>
      </c>
      <c r="F9118" t="s">
        <v>21629</v>
      </c>
      <c r="G9118" t="s">
        <v>16231</v>
      </c>
      <c r="H9118" t="s">
        <v>47054</v>
      </c>
      <c r="I9118" t="s">
        <v>47116</v>
      </c>
      <c r="J9118" t="s">
        <v>47117</v>
      </c>
      <c r="K9118" t="s">
        <v>47113</v>
      </c>
      <c r="L9118">
        <v>39.18</v>
      </c>
      <c r="M9118">
        <v>95</v>
      </c>
      <c r="N9118">
        <v>0</v>
      </c>
      <c r="O9118">
        <v>95</v>
      </c>
      <c r="P9118">
        <v>0</v>
      </c>
    </row>
    <row r="9119" spans="1:16" x14ac:dyDescent="0.25">
      <c r="A9119" t="s">
        <v>31699</v>
      </c>
      <c r="B9119" t="s">
        <v>31700</v>
      </c>
      <c r="C9119" t="s">
        <v>17396</v>
      </c>
      <c r="D9119" t="s">
        <v>31701</v>
      </c>
      <c r="E9119" t="s">
        <v>31702</v>
      </c>
      <c r="F9119" t="s">
        <v>21627</v>
      </c>
      <c r="G9119" t="s">
        <v>16231</v>
      </c>
      <c r="H9119" t="s">
        <v>47054</v>
      </c>
      <c r="I9119" t="s">
        <v>47116</v>
      </c>
      <c r="J9119" t="s">
        <v>47117</v>
      </c>
      <c r="K9119" t="s">
        <v>47113</v>
      </c>
      <c r="L9119">
        <v>37.83</v>
      </c>
      <c r="M9119">
        <v>95</v>
      </c>
      <c r="N9119">
        <v>0</v>
      </c>
      <c r="O9119">
        <v>95</v>
      </c>
      <c r="P9119">
        <v>0</v>
      </c>
    </row>
    <row r="9120" spans="1:16" x14ac:dyDescent="0.25">
      <c r="A9120" t="s">
        <v>31703</v>
      </c>
      <c r="B9120" t="s">
        <v>31704</v>
      </c>
      <c r="C9120" t="s">
        <v>16472</v>
      </c>
      <c r="D9120" t="s">
        <v>31705</v>
      </c>
      <c r="E9120" t="s">
        <v>31706</v>
      </c>
      <c r="F9120" t="s">
        <v>21629</v>
      </c>
      <c r="G9120" t="s">
        <v>16231</v>
      </c>
      <c r="H9120" t="s">
        <v>47054</v>
      </c>
      <c r="I9120" t="s">
        <v>47111</v>
      </c>
      <c r="J9120" t="s">
        <v>47112</v>
      </c>
      <c r="K9120" t="s">
        <v>47113</v>
      </c>
      <c r="L9120">
        <v>102.86</v>
      </c>
      <c r="M9120">
        <v>251</v>
      </c>
      <c r="N9120">
        <v>0</v>
      </c>
      <c r="O9120">
        <v>251</v>
      </c>
      <c r="P9120">
        <v>0</v>
      </c>
    </row>
    <row r="9121" spans="1:16" x14ac:dyDescent="0.25">
      <c r="A9121" t="s">
        <v>31707</v>
      </c>
      <c r="B9121" t="s">
        <v>31708</v>
      </c>
      <c r="C9121" t="s">
        <v>31709</v>
      </c>
      <c r="D9121" t="s">
        <v>29774</v>
      </c>
      <c r="E9121" t="s">
        <v>29775</v>
      </c>
      <c r="F9121" t="s">
        <v>24617</v>
      </c>
      <c r="G9121" t="s">
        <v>16231</v>
      </c>
      <c r="H9121" t="s">
        <v>47054</v>
      </c>
      <c r="I9121" t="s">
        <v>47120</v>
      </c>
      <c r="J9121" t="s">
        <v>47121</v>
      </c>
      <c r="K9121" t="s">
        <v>47113</v>
      </c>
      <c r="L9121">
        <v>31.17</v>
      </c>
      <c r="M9121">
        <v>74</v>
      </c>
      <c r="N9121">
        <v>229</v>
      </c>
      <c r="O9121">
        <v>74</v>
      </c>
      <c r="P9121">
        <v>229</v>
      </c>
    </row>
    <row r="9122" spans="1:16" x14ac:dyDescent="0.25">
      <c r="A9122" t="s">
        <v>31710</v>
      </c>
      <c r="B9122" t="s">
        <v>31711</v>
      </c>
      <c r="C9122" t="s">
        <v>17396</v>
      </c>
      <c r="D9122" t="s">
        <v>29764</v>
      </c>
      <c r="E9122" t="s">
        <v>29765</v>
      </c>
      <c r="F9122" t="s">
        <v>24622</v>
      </c>
      <c r="G9122" t="s">
        <v>16231</v>
      </c>
      <c r="H9122" t="s">
        <v>47054</v>
      </c>
      <c r="I9122" t="s">
        <v>47116</v>
      </c>
      <c r="J9122" t="s">
        <v>47117</v>
      </c>
      <c r="K9122" t="s">
        <v>47113</v>
      </c>
      <c r="L9122">
        <v>36.21</v>
      </c>
      <c r="M9122">
        <v>92</v>
      </c>
      <c r="N9122">
        <v>249</v>
      </c>
      <c r="O9122">
        <v>92</v>
      </c>
      <c r="P9122">
        <v>249</v>
      </c>
    </row>
    <row r="9123" spans="1:16" x14ac:dyDescent="0.25">
      <c r="A9123" t="s">
        <v>31712</v>
      </c>
      <c r="B9123" t="s">
        <v>31713</v>
      </c>
      <c r="C9123" t="s">
        <v>16472</v>
      </c>
      <c r="D9123" t="s">
        <v>29637</v>
      </c>
      <c r="E9123" t="s">
        <v>29638</v>
      </c>
      <c r="F9123" t="s">
        <v>24617</v>
      </c>
      <c r="G9123" t="s">
        <v>16231</v>
      </c>
      <c r="H9123" t="s">
        <v>47054</v>
      </c>
      <c r="I9123" t="s">
        <v>47111</v>
      </c>
      <c r="J9123" t="s">
        <v>47112</v>
      </c>
      <c r="K9123" t="s">
        <v>47113</v>
      </c>
      <c r="L9123">
        <v>85.02</v>
      </c>
      <c r="M9123">
        <v>177</v>
      </c>
      <c r="N9123">
        <v>479</v>
      </c>
      <c r="O9123">
        <v>177</v>
      </c>
      <c r="P9123">
        <v>479</v>
      </c>
    </row>
    <row r="9124" spans="1:16" x14ac:dyDescent="0.25">
      <c r="A9124" t="s">
        <v>31714</v>
      </c>
      <c r="B9124" t="s">
        <v>31715</v>
      </c>
      <c r="C9124" t="s">
        <v>16472</v>
      </c>
      <c r="D9124" t="s">
        <v>30605</v>
      </c>
      <c r="E9124" t="s">
        <v>30606</v>
      </c>
      <c r="F9124" t="s">
        <v>24617</v>
      </c>
      <c r="G9124" t="s">
        <v>16231</v>
      </c>
      <c r="H9124" t="s">
        <v>47054</v>
      </c>
      <c r="I9124" t="s">
        <v>47116</v>
      </c>
      <c r="J9124" t="s">
        <v>47117</v>
      </c>
      <c r="K9124" t="s">
        <v>47113</v>
      </c>
      <c r="L9124">
        <v>55.35</v>
      </c>
      <c r="M9124">
        <v>129</v>
      </c>
      <c r="N9124">
        <v>349</v>
      </c>
      <c r="O9124">
        <v>129</v>
      </c>
      <c r="P9124">
        <v>349</v>
      </c>
    </row>
    <row r="9125" spans="1:16" x14ac:dyDescent="0.25">
      <c r="A9125" t="s">
        <v>31716</v>
      </c>
      <c r="B9125" t="s">
        <v>31717</v>
      </c>
      <c r="C9125" t="s">
        <v>16472</v>
      </c>
      <c r="D9125" t="s">
        <v>31718</v>
      </c>
      <c r="E9125" t="s">
        <v>31719</v>
      </c>
      <c r="F9125" t="s">
        <v>24622</v>
      </c>
      <c r="G9125" t="s">
        <v>16231</v>
      </c>
      <c r="H9125" t="s">
        <v>47054</v>
      </c>
      <c r="I9125" t="s">
        <v>47111</v>
      </c>
      <c r="J9125" t="s">
        <v>47112</v>
      </c>
      <c r="K9125" t="s">
        <v>47113</v>
      </c>
      <c r="L9125">
        <v>88.15</v>
      </c>
      <c r="M9125">
        <v>177</v>
      </c>
      <c r="N9125">
        <v>479</v>
      </c>
      <c r="O9125">
        <v>177</v>
      </c>
      <c r="P9125">
        <v>479</v>
      </c>
    </row>
    <row r="9126" spans="1:16" x14ac:dyDescent="0.25">
      <c r="A9126" t="s">
        <v>31720</v>
      </c>
      <c r="B9126" t="s">
        <v>31721</v>
      </c>
      <c r="C9126" t="s">
        <v>31499</v>
      </c>
      <c r="D9126" t="s">
        <v>29803</v>
      </c>
      <c r="E9126" t="s">
        <v>29804</v>
      </c>
      <c r="F9126" t="s">
        <v>24627</v>
      </c>
      <c r="G9126" t="s">
        <v>16231</v>
      </c>
      <c r="H9126" t="s">
        <v>47054</v>
      </c>
      <c r="I9126" t="s">
        <v>47111</v>
      </c>
      <c r="J9126" t="s">
        <v>47112</v>
      </c>
      <c r="K9126" t="s">
        <v>47113</v>
      </c>
      <c r="L9126">
        <v>71.930000000000007</v>
      </c>
      <c r="M9126">
        <v>166</v>
      </c>
      <c r="N9126">
        <v>449</v>
      </c>
      <c r="O9126">
        <v>166</v>
      </c>
      <c r="P9126">
        <v>449</v>
      </c>
    </row>
    <row r="9127" spans="1:16" x14ac:dyDescent="0.25">
      <c r="A9127" t="s">
        <v>31722</v>
      </c>
      <c r="B9127" t="s">
        <v>31723</v>
      </c>
      <c r="C9127" t="s">
        <v>16472</v>
      </c>
      <c r="D9127" t="s">
        <v>31473</v>
      </c>
      <c r="E9127" t="s">
        <v>31474</v>
      </c>
      <c r="F9127" t="s">
        <v>24622</v>
      </c>
      <c r="G9127" t="s">
        <v>16231</v>
      </c>
      <c r="H9127" t="s">
        <v>47054</v>
      </c>
      <c r="I9127" t="s">
        <v>47544</v>
      </c>
      <c r="J9127" t="s">
        <v>47545</v>
      </c>
      <c r="K9127" t="s">
        <v>47113</v>
      </c>
      <c r="L9127">
        <v>33.06</v>
      </c>
      <c r="M9127">
        <v>111</v>
      </c>
      <c r="N9127">
        <v>299</v>
      </c>
      <c r="O9127">
        <v>111</v>
      </c>
      <c r="P9127">
        <v>299</v>
      </c>
    </row>
    <row r="9128" spans="1:16" x14ac:dyDescent="0.25">
      <c r="A9128" t="s">
        <v>31724</v>
      </c>
      <c r="B9128" t="s">
        <v>31725</v>
      </c>
      <c r="C9128" t="s">
        <v>31726</v>
      </c>
      <c r="D9128" t="str">
        <f>"1473"</f>
        <v>1473</v>
      </c>
      <c r="E9128" t="s">
        <v>9579</v>
      </c>
      <c r="F9128" t="s">
        <v>24617</v>
      </c>
      <c r="G9128" t="s">
        <v>16232</v>
      </c>
      <c r="H9128" t="s">
        <v>47054</v>
      </c>
      <c r="I9128" t="s">
        <v>47154</v>
      </c>
      <c r="J9128" t="s">
        <v>47155</v>
      </c>
      <c r="K9128" t="s">
        <v>47113</v>
      </c>
      <c r="L9128">
        <v>8.5500000000000007</v>
      </c>
      <c r="M9128">
        <v>37</v>
      </c>
      <c r="N9128">
        <v>99</v>
      </c>
      <c r="O9128">
        <v>37</v>
      </c>
      <c r="P9128">
        <v>99</v>
      </c>
    </row>
    <row r="9129" spans="1:16" x14ac:dyDescent="0.25">
      <c r="A9129" t="s">
        <v>31727</v>
      </c>
      <c r="B9129" t="s">
        <v>31725</v>
      </c>
      <c r="C9129" t="s">
        <v>31726</v>
      </c>
      <c r="D9129" t="str">
        <f>"4100"</f>
        <v>4100</v>
      </c>
      <c r="E9129" t="s">
        <v>17644</v>
      </c>
      <c r="F9129" t="s">
        <v>24617</v>
      </c>
      <c r="G9129" t="s">
        <v>16232</v>
      </c>
      <c r="H9129" t="s">
        <v>47054</v>
      </c>
      <c r="I9129" t="s">
        <v>47154</v>
      </c>
      <c r="J9129" t="s">
        <v>47155</v>
      </c>
      <c r="K9129" t="s">
        <v>47113</v>
      </c>
      <c r="L9129">
        <v>8.5500000000000007</v>
      </c>
      <c r="M9129">
        <v>37</v>
      </c>
      <c r="N9129">
        <v>99</v>
      </c>
      <c r="O9129">
        <v>37</v>
      </c>
      <c r="P9129">
        <v>99</v>
      </c>
    </row>
    <row r="9130" spans="1:16" x14ac:dyDescent="0.25">
      <c r="A9130" t="s">
        <v>31728</v>
      </c>
      <c r="B9130" t="s">
        <v>31725</v>
      </c>
      <c r="C9130" t="s">
        <v>31726</v>
      </c>
      <c r="D9130" t="str">
        <f>"6000"</f>
        <v>6000</v>
      </c>
      <c r="E9130" t="s">
        <v>6279</v>
      </c>
      <c r="F9130" t="s">
        <v>24617</v>
      </c>
      <c r="G9130" t="s">
        <v>16232</v>
      </c>
      <c r="H9130" t="s">
        <v>47054</v>
      </c>
      <c r="I9130" t="s">
        <v>47154</v>
      </c>
      <c r="J9130" t="s">
        <v>47155</v>
      </c>
      <c r="K9130" t="s">
        <v>47113</v>
      </c>
      <c r="L9130">
        <v>8.5500000000000007</v>
      </c>
      <c r="M9130">
        <v>37</v>
      </c>
      <c r="N9130">
        <v>99</v>
      </c>
      <c r="O9130">
        <v>37</v>
      </c>
      <c r="P9130">
        <v>99</v>
      </c>
    </row>
    <row r="9131" spans="1:16" x14ac:dyDescent="0.25">
      <c r="A9131" t="s">
        <v>31729</v>
      </c>
      <c r="B9131" t="s">
        <v>6751</v>
      </c>
      <c r="C9131" t="s">
        <v>6752</v>
      </c>
      <c r="D9131" t="str">
        <f>"1001"</f>
        <v>1001</v>
      </c>
      <c r="E9131" t="s">
        <v>42</v>
      </c>
      <c r="F9131" t="s">
        <v>3546</v>
      </c>
      <c r="G9131" t="s">
        <v>46686</v>
      </c>
      <c r="H9131" t="s">
        <v>47054</v>
      </c>
      <c r="I9131" t="s">
        <v>47120</v>
      </c>
      <c r="J9131" t="s">
        <v>47121</v>
      </c>
      <c r="K9131" t="s">
        <v>47113</v>
      </c>
      <c r="L9131">
        <v>43.44</v>
      </c>
      <c r="M9131">
        <v>107</v>
      </c>
      <c r="N9131">
        <v>0</v>
      </c>
      <c r="O9131">
        <v>107</v>
      </c>
      <c r="P9131">
        <v>0</v>
      </c>
    </row>
    <row r="9132" spans="1:16" x14ac:dyDescent="0.25">
      <c r="A9132" t="s">
        <v>31730</v>
      </c>
      <c r="B9132" t="s">
        <v>6753</v>
      </c>
      <c r="C9132" t="s">
        <v>3481</v>
      </c>
      <c r="D9132" t="s">
        <v>311</v>
      </c>
      <c r="E9132" t="s">
        <v>3479</v>
      </c>
      <c r="F9132" t="s">
        <v>5</v>
      </c>
      <c r="G9132" t="s">
        <v>16231</v>
      </c>
      <c r="H9132" t="s">
        <v>47054</v>
      </c>
      <c r="I9132" t="s">
        <v>47111</v>
      </c>
      <c r="J9132" t="s">
        <v>47112</v>
      </c>
      <c r="K9132" t="s">
        <v>47113</v>
      </c>
      <c r="L9132">
        <v>30.95</v>
      </c>
      <c r="M9132">
        <v>73</v>
      </c>
      <c r="N9132">
        <v>0</v>
      </c>
      <c r="O9132">
        <v>73</v>
      </c>
      <c r="P9132">
        <v>0</v>
      </c>
    </row>
    <row r="9133" spans="1:16" x14ac:dyDescent="0.25">
      <c r="A9133" t="s">
        <v>31731</v>
      </c>
      <c r="B9133" t="s">
        <v>6753</v>
      </c>
      <c r="C9133" t="s">
        <v>3481</v>
      </c>
      <c r="D9133" t="s">
        <v>921</v>
      </c>
      <c r="E9133" t="s">
        <v>922</v>
      </c>
      <c r="F9133" t="s">
        <v>5</v>
      </c>
      <c r="G9133" t="s">
        <v>16231</v>
      </c>
      <c r="H9133" t="s">
        <v>47054</v>
      </c>
      <c r="I9133" t="s">
        <v>47111</v>
      </c>
      <c r="J9133" t="s">
        <v>47112</v>
      </c>
      <c r="K9133" t="s">
        <v>47113</v>
      </c>
      <c r="L9133">
        <v>36.57</v>
      </c>
      <c r="M9133">
        <v>84</v>
      </c>
      <c r="N9133">
        <v>0</v>
      </c>
      <c r="O9133">
        <v>84</v>
      </c>
      <c r="P9133">
        <v>0</v>
      </c>
    </row>
    <row r="9134" spans="1:16" x14ac:dyDescent="0.25">
      <c r="A9134" t="s">
        <v>31732</v>
      </c>
      <c r="B9134" t="s">
        <v>6754</v>
      </c>
      <c r="C9134" t="s">
        <v>3507</v>
      </c>
      <c r="D9134" t="s">
        <v>311</v>
      </c>
      <c r="E9134" t="s">
        <v>3479</v>
      </c>
      <c r="F9134" t="s">
        <v>5</v>
      </c>
      <c r="G9134" t="s">
        <v>16231</v>
      </c>
      <c r="H9134" t="s">
        <v>47054</v>
      </c>
      <c r="I9134" t="s">
        <v>47111</v>
      </c>
      <c r="J9134" t="s">
        <v>47112</v>
      </c>
      <c r="K9134" t="s">
        <v>47113</v>
      </c>
      <c r="L9134">
        <v>30.95</v>
      </c>
      <c r="M9134">
        <v>73</v>
      </c>
      <c r="N9134">
        <v>0</v>
      </c>
      <c r="O9134">
        <v>73</v>
      </c>
      <c r="P9134">
        <v>0</v>
      </c>
    </row>
    <row r="9135" spans="1:16" x14ac:dyDescent="0.25">
      <c r="A9135" t="s">
        <v>31733</v>
      </c>
      <c r="B9135" t="s">
        <v>6754</v>
      </c>
      <c r="C9135" t="s">
        <v>3507</v>
      </c>
      <c r="D9135" t="s">
        <v>921</v>
      </c>
      <c r="E9135" t="s">
        <v>922</v>
      </c>
      <c r="F9135" t="s">
        <v>5</v>
      </c>
      <c r="G9135" t="s">
        <v>16231</v>
      </c>
      <c r="H9135" t="s">
        <v>47054</v>
      </c>
      <c r="I9135" t="s">
        <v>47111</v>
      </c>
      <c r="J9135" t="s">
        <v>47112</v>
      </c>
      <c r="K9135" t="s">
        <v>47113</v>
      </c>
      <c r="L9135">
        <v>36.57</v>
      </c>
      <c r="M9135">
        <v>84</v>
      </c>
      <c r="N9135">
        <v>0</v>
      </c>
      <c r="O9135">
        <v>84</v>
      </c>
      <c r="P9135">
        <v>0</v>
      </c>
    </row>
    <row r="9136" spans="1:16" x14ac:dyDescent="0.25">
      <c r="A9136" t="s">
        <v>31734</v>
      </c>
      <c r="B9136" t="s">
        <v>6755</v>
      </c>
      <c r="C9136" t="s">
        <v>6756</v>
      </c>
      <c r="D9136" t="s">
        <v>2454</v>
      </c>
      <c r="E9136" t="s">
        <v>2455</v>
      </c>
      <c r="F9136" t="s">
        <v>4</v>
      </c>
      <c r="G9136" t="s">
        <v>16231</v>
      </c>
      <c r="H9136" t="s">
        <v>47054</v>
      </c>
      <c r="I9136" t="s">
        <v>47111</v>
      </c>
      <c r="J9136" t="s">
        <v>47112</v>
      </c>
      <c r="K9136" t="s">
        <v>47113</v>
      </c>
      <c r="L9136">
        <v>63.3</v>
      </c>
      <c r="M9136">
        <v>138</v>
      </c>
      <c r="N9136">
        <v>0</v>
      </c>
      <c r="O9136">
        <v>138</v>
      </c>
      <c r="P9136">
        <v>0</v>
      </c>
    </row>
    <row r="9137" spans="1:16" x14ac:dyDescent="0.25">
      <c r="A9137" t="s">
        <v>31735</v>
      </c>
      <c r="B9137" t="s">
        <v>6757</v>
      </c>
      <c r="C9137" t="s">
        <v>6758</v>
      </c>
      <c r="D9137" t="str">
        <f>"1001"</f>
        <v>1001</v>
      </c>
      <c r="E9137" t="s">
        <v>6759</v>
      </c>
      <c r="F9137" t="s">
        <v>4</v>
      </c>
      <c r="G9137" t="s">
        <v>16231</v>
      </c>
      <c r="H9137" t="s">
        <v>47054</v>
      </c>
      <c r="I9137" t="s">
        <v>47111</v>
      </c>
      <c r="J9137" t="s">
        <v>47112</v>
      </c>
      <c r="K9137" t="s">
        <v>47113</v>
      </c>
      <c r="L9137">
        <v>50.29</v>
      </c>
      <c r="M9137">
        <v>123</v>
      </c>
      <c r="N9137">
        <v>0</v>
      </c>
      <c r="O9137">
        <v>123</v>
      </c>
      <c r="P9137">
        <v>0</v>
      </c>
    </row>
    <row r="9138" spans="1:16" x14ac:dyDescent="0.25">
      <c r="A9138" t="s">
        <v>31736</v>
      </c>
      <c r="B9138" t="s">
        <v>6757</v>
      </c>
      <c r="C9138" t="s">
        <v>6758</v>
      </c>
      <c r="D9138" t="str">
        <f>"2537"</f>
        <v>2537</v>
      </c>
      <c r="E9138" t="s">
        <v>6760</v>
      </c>
      <c r="F9138" t="s">
        <v>4</v>
      </c>
      <c r="G9138" t="s">
        <v>16231</v>
      </c>
      <c r="H9138" t="s">
        <v>47054</v>
      </c>
      <c r="I9138" t="s">
        <v>47111</v>
      </c>
      <c r="J9138" t="s">
        <v>47112</v>
      </c>
      <c r="K9138" t="s">
        <v>47113</v>
      </c>
      <c r="L9138">
        <v>50.29</v>
      </c>
      <c r="M9138">
        <v>123</v>
      </c>
      <c r="N9138">
        <v>0</v>
      </c>
      <c r="O9138">
        <v>123</v>
      </c>
      <c r="P9138">
        <v>0</v>
      </c>
    </row>
    <row r="9139" spans="1:16" x14ac:dyDescent="0.25">
      <c r="A9139" t="s">
        <v>31737</v>
      </c>
      <c r="B9139" t="s">
        <v>6757</v>
      </c>
      <c r="C9139" t="s">
        <v>6758</v>
      </c>
      <c r="D9139" t="str">
        <f>"6387"</f>
        <v>6387</v>
      </c>
      <c r="E9139" t="s">
        <v>6761</v>
      </c>
      <c r="F9139" t="s">
        <v>4</v>
      </c>
      <c r="G9139" t="s">
        <v>16231</v>
      </c>
      <c r="H9139" t="s">
        <v>47054</v>
      </c>
      <c r="I9139" t="s">
        <v>47111</v>
      </c>
      <c r="J9139" t="s">
        <v>47112</v>
      </c>
      <c r="K9139" t="s">
        <v>47113</v>
      </c>
      <c r="L9139">
        <v>50.29</v>
      </c>
      <c r="M9139">
        <v>123</v>
      </c>
      <c r="N9139">
        <v>0</v>
      </c>
      <c r="O9139">
        <v>123</v>
      </c>
      <c r="P9139">
        <v>0</v>
      </c>
    </row>
    <row r="9140" spans="1:16" x14ac:dyDescent="0.25">
      <c r="A9140" t="s">
        <v>14963</v>
      </c>
      <c r="B9140" t="s">
        <v>6762</v>
      </c>
      <c r="C9140" t="s">
        <v>6763</v>
      </c>
      <c r="D9140" t="s">
        <v>6764</v>
      </c>
      <c r="E9140" t="s">
        <v>6765</v>
      </c>
      <c r="F9140" t="s">
        <v>2068</v>
      </c>
      <c r="G9140" t="s">
        <v>16231</v>
      </c>
      <c r="H9140" t="s">
        <v>47054</v>
      </c>
      <c r="I9140" t="s">
        <v>47111</v>
      </c>
      <c r="J9140" t="s">
        <v>47112</v>
      </c>
      <c r="K9140" t="s">
        <v>47113</v>
      </c>
      <c r="L9140">
        <v>59.54</v>
      </c>
      <c r="M9140">
        <v>135</v>
      </c>
      <c r="N9140">
        <v>0</v>
      </c>
      <c r="O9140">
        <v>135</v>
      </c>
      <c r="P9140">
        <v>0</v>
      </c>
    </row>
    <row r="9141" spans="1:16" x14ac:dyDescent="0.25">
      <c r="A9141" t="s">
        <v>31738</v>
      </c>
      <c r="B9141" t="s">
        <v>6766</v>
      </c>
      <c r="C9141" t="s">
        <v>6767</v>
      </c>
      <c r="D9141" t="s">
        <v>6768</v>
      </c>
      <c r="E9141" t="s">
        <v>6769</v>
      </c>
      <c r="F9141" t="s">
        <v>3546</v>
      </c>
      <c r="G9141" t="s">
        <v>16231</v>
      </c>
      <c r="H9141" t="s">
        <v>47054</v>
      </c>
      <c r="I9141" t="s">
        <v>47111</v>
      </c>
      <c r="J9141" t="s">
        <v>47112</v>
      </c>
      <c r="K9141" t="s">
        <v>47113</v>
      </c>
      <c r="L9141">
        <v>61.87</v>
      </c>
      <c r="M9141">
        <v>152</v>
      </c>
      <c r="N9141">
        <v>0</v>
      </c>
      <c r="O9141">
        <v>152</v>
      </c>
      <c r="P9141">
        <v>0</v>
      </c>
    </row>
    <row r="9142" spans="1:16" x14ac:dyDescent="0.25">
      <c r="A9142" t="s">
        <v>31739</v>
      </c>
      <c r="B9142" t="s">
        <v>6770</v>
      </c>
      <c r="C9142" t="s">
        <v>16236</v>
      </c>
      <c r="D9142" t="s">
        <v>6771</v>
      </c>
      <c r="E9142" t="s">
        <v>6772</v>
      </c>
      <c r="F9142" t="s">
        <v>3558</v>
      </c>
      <c r="G9142" t="s">
        <v>16231</v>
      </c>
      <c r="H9142" t="s">
        <v>47054</v>
      </c>
      <c r="I9142" t="s">
        <v>47111</v>
      </c>
      <c r="J9142" t="s">
        <v>47112</v>
      </c>
      <c r="K9142" t="s">
        <v>47113</v>
      </c>
      <c r="L9142">
        <v>66.66</v>
      </c>
      <c r="M9142">
        <v>148</v>
      </c>
      <c r="N9142">
        <v>0</v>
      </c>
      <c r="O9142">
        <v>148</v>
      </c>
      <c r="P9142">
        <v>0</v>
      </c>
    </row>
    <row r="9143" spans="1:16" x14ac:dyDescent="0.25">
      <c r="A9143" t="s">
        <v>31740</v>
      </c>
      <c r="B9143" t="s">
        <v>6773</v>
      </c>
      <c r="C9143" t="s">
        <v>17429</v>
      </c>
      <c r="D9143" t="s">
        <v>6774</v>
      </c>
      <c r="E9143" t="s">
        <v>6775</v>
      </c>
      <c r="F9143" t="s">
        <v>3558</v>
      </c>
      <c r="G9143" t="s">
        <v>16231</v>
      </c>
      <c r="H9143" t="s">
        <v>47054</v>
      </c>
      <c r="I9143" t="s">
        <v>47111</v>
      </c>
      <c r="J9143" t="s">
        <v>47112</v>
      </c>
      <c r="K9143" t="s">
        <v>47113</v>
      </c>
      <c r="L9143">
        <v>55.4</v>
      </c>
      <c r="M9143">
        <v>111</v>
      </c>
      <c r="N9143">
        <v>0</v>
      </c>
      <c r="O9143">
        <v>111</v>
      </c>
      <c r="P9143">
        <v>0</v>
      </c>
    </row>
    <row r="9144" spans="1:16" x14ac:dyDescent="0.25">
      <c r="A9144" t="s">
        <v>31741</v>
      </c>
      <c r="B9144" t="s">
        <v>6776</v>
      </c>
      <c r="C9144" t="s">
        <v>6777</v>
      </c>
      <c r="D9144" t="s">
        <v>6778</v>
      </c>
      <c r="E9144" t="s">
        <v>6779</v>
      </c>
      <c r="F9144" t="s">
        <v>0</v>
      </c>
      <c r="G9144" t="s">
        <v>16231</v>
      </c>
      <c r="H9144" t="s">
        <v>47054</v>
      </c>
      <c r="I9144" t="s">
        <v>47111</v>
      </c>
      <c r="J9144" t="s">
        <v>47112</v>
      </c>
      <c r="K9144" t="s">
        <v>47113</v>
      </c>
      <c r="L9144">
        <v>59.16</v>
      </c>
      <c r="M9144">
        <v>140</v>
      </c>
      <c r="N9144">
        <v>0</v>
      </c>
      <c r="O9144">
        <v>140</v>
      </c>
      <c r="P9144">
        <v>0</v>
      </c>
    </row>
    <row r="9145" spans="1:16" x14ac:dyDescent="0.25">
      <c r="A9145" t="s">
        <v>31742</v>
      </c>
      <c r="B9145" t="s">
        <v>6780</v>
      </c>
      <c r="C9145" t="s">
        <v>5807</v>
      </c>
      <c r="D9145" t="s">
        <v>6781</v>
      </c>
      <c r="E9145" t="s">
        <v>6782</v>
      </c>
      <c r="F9145" t="s">
        <v>1</v>
      </c>
      <c r="G9145" t="s">
        <v>16231</v>
      </c>
      <c r="H9145" t="s">
        <v>47054</v>
      </c>
      <c r="I9145" t="s">
        <v>47111</v>
      </c>
      <c r="J9145" t="s">
        <v>47112</v>
      </c>
      <c r="K9145" t="s">
        <v>47113</v>
      </c>
      <c r="L9145">
        <v>63.08</v>
      </c>
      <c r="M9145">
        <v>154</v>
      </c>
      <c r="N9145">
        <v>0</v>
      </c>
      <c r="O9145">
        <v>154</v>
      </c>
      <c r="P9145">
        <v>0</v>
      </c>
    </row>
    <row r="9146" spans="1:16" x14ac:dyDescent="0.25">
      <c r="A9146" t="s">
        <v>31743</v>
      </c>
      <c r="B9146" t="s">
        <v>6783</v>
      </c>
      <c r="C9146" t="s">
        <v>6784</v>
      </c>
      <c r="D9146" t="s">
        <v>2454</v>
      </c>
      <c r="E9146" t="s">
        <v>2455</v>
      </c>
      <c r="F9146" t="s">
        <v>4</v>
      </c>
      <c r="G9146" t="s">
        <v>16231</v>
      </c>
      <c r="H9146" t="s">
        <v>47054</v>
      </c>
      <c r="I9146" t="s">
        <v>47111</v>
      </c>
      <c r="J9146" t="s">
        <v>47112</v>
      </c>
      <c r="K9146" t="s">
        <v>47113</v>
      </c>
      <c r="L9146">
        <v>60.66</v>
      </c>
      <c r="M9146">
        <v>149</v>
      </c>
      <c r="N9146">
        <v>0</v>
      </c>
      <c r="O9146">
        <v>149</v>
      </c>
      <c r="P9146">
        <v>0</v>
      </c>
    </row>
    <row r="9147" spans="1:16" x14ac:dyDescent="0.25">
      <c r="A9147" t="s">
        <v>31744</v>
      </c>
      <c r="B9147" t="s">
        <v>6785</v>
      </c>
      <c r="C9147" t="s">
        <v>6786</v>
      </c>
      <c r="D9147" t="s">
        <v>6787</v>
      </c>
      <c r="E9147" t="s">
        <v>6788</v>
      </c>
      <c r="F9147" t="s">
        <v>0</v>
      </c>
      <c r="G9147" t="s">
        <v>16231</v>
      </c>
      <c r="H9147" t="s">
        <v>47054</v>
      </c>
      <c r="I9147" t="s">
        <v>47111</v>
      </c>
      <c r="J9147" t="s">
        <v>47112</v>
      </c>
      <c r="K9147" t="s">
        <v>47113</v>
      </c>
      <c r="L9147">
        <v>45.8</v>
      </c>
      <c r="M9147">
        <v>100</v>
      </c>
      <c r="N9147">
        <v>0</v>
      </c>
      <c r="O9147">
        <v>100</v>
      </c>
      <c r="P9147">
        <v>0</v>
      </c>
    </row>
    <row r="9148" spans="1:16" x14ac:dyDescent="0.25">
      <c r="A9148" t="s">
        <v>31745</v>
      </c>
      <c r="B9148" t="s">
        <v>6785</v>
      </c>
      <c r="C9148" t="s">
        <v>6786</v>
      </c>
      <c r="D9148" t="s">
        <v>6789</v>
      </c>
      <c r="E9148" t="s">
        <v>6790</v>
      </c>
      <c r="F9148" t="s">
        <v>0</v>
      </c>
      <c r="G9148" t="s">
        <v>16231</v>
      </c>
      <c r="H9148" t="s">
        <v>47054</v>
      </c>
      <c r="I9148" t="s">
        <v>47111</v>
      </c>
      <c r="J9148" t="s">
        <v>47112</v>
      </c>
      <c r="K9148" t="s">
        <v>47113</v>
      </c>
      <c r="L9148">
        <v>43.49</v>
      </c>
      <c r="M9148">
        <v>95</v>
      </c>
      <c r="N9148">
        <v>0</v>
      </c>
      <c r="O9148">
        <v>95</v>
      </c>
      <c r="P9148">
        <v>0</v>
      </c>
    </row>
    <row r="9149" spans="1:16" x14ac:dyDescent="0.25">
      <c r="A9149" t="s">
        <v>31746</v>
      </c>
      <c r="B9149" t="s">
        <v>6791</v>
      </c>
      <c r="C9149" t="s">
        <v>6792</v>
      </c>
      <c r="D9149" t="s">
        <v>1718</v>
      </c>
      <c r="E9149" t="s">
        <v>1719</v>
      </c>
      <c r="F9149" t="s">
        <v>4</v>
      </c>
      <c r="G9149" t="s">
        <v>16231</v>
      </c>
      <c r="H9149" t="s">
        <v>47054</v>
      </c>
      <c r="I9149" t="s">
        <v>47111</v>
      </c>
      <c r="J9149" t="s">
        <v>47112</v>
      </c>
      <c r="K9149" t="s">
        <v>47113</v>
      </c>
      <c r="L9149">
        <v>39.119999999999997</v>
      </c>
      <c r="M9149">
        <v>96</v>
      </c>
      <c r="N9149">
        <v>0</v>
      </c>
      <c r="O9149">
        <v>96</v>
      </c>
      <c r="P9149">
        <v>0</v>
      </c>
    </row>
    <row r="9150" spans="1:16" x14ac:dyDescent="0.25">
      <c r="A9150" t="s">
        <v>14964</v>
      </c>
      <c r="B9150" t="s">
        <v>6793</v>
      </c>
      <c r="C9150" t="s">
        <v>6310</v>
      </c>
      <c r="D9150" t="str">
        <f>"6201"</f>
        <v>6201</v>
      </c>
      <c r="E9150" t="s">
        <v>14522</v>
      </c>
      <c r="F9150" t="s">
        <v>3546</v>
      </c>
      <c r="G9150" t="s">
        <v>16231</v>
      </c>
      <c r="H9150" t="s">
        <v>47054</v>
      </c>
      <c r="I9150" t="s">
        <v>47111</v>
      </c>
      <c r="J9150" t="s">
        <v>47112</v>
      </c>
      <c r="K9150" t="s">
        <v>47113</v>
      </c>
      <c r="L9150">
        <v>96.5</v>
      </c>
      <c r="M9150">
        <v>148</v>
      </c>
      <c r="N9150">
        <v>0</v>
      </c>
      <c r="O9150">
        <v>148</v>
      </c>
      <c r="P9150">
        <v>0</v>
      </c>
    </row>
    <row r="9151" spans="1:16" x14ac:dyDescent="0.25">
      <c r="A9151" t="s">
        <v>31747</v>
      </c>
      <c r="B9151" t="s">
        <v>6793</v>
      </c>
      <c r="C9151" t="s">
        <v>6310</v>
      </c>
      <c r="D9151" t="s">
        <v>6311</v>
      </c>
      <c r="E9151" t="s">
        <v>6312</v>
      </c>
      <c r="F9151" t="s">
        <v>3546</v>
      </c>
      <c r="G9151" t="s">
        <v>16231</v>
      </c>
      <c r="H9151" t="s">
        <v>47054</v>
      </c>
      <c r="I9151" t="s">
        <v>47111</v>
      </c>
      <c r="J9151" t="s">
        <v>47112</v>
      </c>
      <c r="K9151" t="s">
        <v>47113</v>
      </c>
      <c r="L9151">
        <v>84.33</v>
      </c>
      <c r="M9151">
        <v>207</v>
      </c>
      <c r="N9151">
        <v>0</v>
      </c>
      <c r="O9151">
        <v>207</v>
      </c>
      <c r="P9151">
        <v>0</v>
      </c>
    </row>
    <row r="9152" spans="1:16" x14ac:dyDescent="0.25">
      <c r="A9152" t="s">
        <v>31748</v>
      </c>
      <c r="B9152" t="s">
        <v>6794</v>
      </c>
      <c r="C9152" t="s">
        <v>14608</v>
      </c>
      <c r="D9152" t="s">
        <v>6795</v>
      </c>
      <c r="E9152" t="s">
        <v>14248</v>
      </c>
      <c r="F9152" t="s">
        <v>3670</v>
      </c>
      <c r="G9152" t="s">
        <v>16231</v>
      </c>
      <c r="H9152" t="s">
        <v>47054</v>
      </c>
      <c r="I9152" t="s">
        <v>47111</v>
      </c>
      <c r="J9152" t="s">
        <v>47112</v>
      </c>
      <c r="K9152" t="s">
        <v>47113</v>
      </c>
      <c r="L9152">
        <v>86.73</v>
      </c>
      <c r="M9152">
        <v>148</v>
      </c>
      <c r="N9152">
        <v>0</v>
      </c>
      <c r="O9152">
        <v>148</v>
      </c>
      <c r="P9152">
        <v>0</v>
      </c>
    </row>
    <row r="9153" spans="1:16" x14ac:dyDescent="0.25">
      <c r="A9153" t="s">
        <v>31749</v>
      </c>
      <c r="B9153" t="s">
        <v>6794</v>
      </c>
      <c r="C9153" t="s">
        <v>14608</v>
      </c>
      <c r="D9153" t="s">
        <v>6796</v>
      </c>
      <c r="E9153" t="s">
        <v>6797</v>
      </c>
      <c r="F9153" t="s">
        <v>3558</v>
      </c>
      <c r="G9153" t="s">
        <v>16231</v>
      </c>
      <c r="H9153" t="s">
        <v>47054</v>
      </c>
      <c r="I9153" t="s">
        <v>47111</v>
      </c>
      <c r="J9153" t="s">
        <v>47112</v>
      </c>
      <c r="K9153" t="s">
        <v>47113</v>
      </c>
      <c r="L9153">
        <v>72.12</v>
      </c>
      <c r="M9153">
        <v>140</v>
      </c>
      <c r="N9153">
        <v>0</v>
      </c>
      <c r="O9153">
        <v>140</v>
      </c>
      <c r="P9153">
        <v>0</v>
      </c>
    </row>
    <row r="9154" spans="1:16" x14ac:dyDescent="0.25">
      <c r="A9154" t="s">
        <v>31750</v>
      </c>
      <c r="B9154" t="s">
        <v>6798</v>
      </c>
      <c r="C9154" t="s">
        <v>6799</v>
      </c>
      <c r="D9154" t="s">
        <v>6800</v>
      </c>
      <c r="E9154" t="s">
        <v>6801</v>
      </c>
      <c r="F9154" t="s">
        <v>2068</v>
      </c>
      <c r="G9154" t="s">
        <v>16231</v>
      </c>
      <c r="H9154" t="s">
        <v>47054</v>
      </c>
      <c r="I9154" t="s">
        <v>47111</v>
      </c>
      <c r="J9154" t="s">
        <v>47112</v>
      </c>
      <c r="K9154" t="s">
        <v>47113</v>
      </c>
      <c r="L9154">
        <v>61.4</v>
      </c>
      <c r="M9154">
        <v>145</v>
      </c>
      <c r="N9154">
        <v>0</v>
      </c>
      <c r="O9154">
        <v>145</v>
      </c>
      <c r="P9154">
        <v>0</v>
      </c>
    </row>
    <row r="9155" spans="1:16" x14ac:dyDescent="0.25">
      <c r="A9155" t="s">
        <v>17430</v>
      </c>
      <c r="B9155" t="s">
        <v>6802</v>
      </c>
      <c r="C9155" t="s">
        <v>6803</v>
      </c>
      <c r="D9155" t="s">
        <v>6771</v>
      </c>
      <c r="E9155" t="s">
        <v>6772</v>
      </c>
      <c r="F9155" t="s">
        <v>3558</v>
      </c>
      <c r="G9155" t="s">
        <v>47122</v>
      </c>
      <c r="H9155" t="s">
        <v>47054</v>
      </c>
      <c r="I9155" t="s">
        <v>47116</v>
      </c>
      <c r="J9155" t="s">
        <v>47117</v>
      </c>
      <c r="K9155" t="s">
        <v>47113</v>
      </c>
      <c r="L9155">
        <v>67.72</v>
      </c>
      <c r="M9155">
        <v>140</v>
      </c>
      <c r="N9155">
        <v>0</v>
      </c>
      <c r="O9155">
        <v>140</v>
      </c>
      <c r="P9155">
        <v>0</v>
      </c>
    </row>
    <row r="9156" spans="1:16" x14ac:dyDescent="0.25">
      <c r="A9156" t="s">
        <v>31751</v>
      </c>
      <c r="B9156" t="s">
        <v>6804</v>
      </c>
      <c r="C9156" t="s">
        <v>6805</v>
      </c>
      <c r="D9156" t="s">
        <v>6771</v>
      </c>
      <c r="E9156" t="s">
        <v>6772</v>
      </c>
      <c r="F9156" t="s">
        <v>3558</v>
      </c>
      <c r="G9156" t="s">
        <v>16233</v>
      </c>
      <c r="H9156" t="s">
        <v>47054</v>
      </c>
      <c r="I9156" t="s">
        <v>47111</v>
      </c>
      <c r="J9156" t="s">
        <v>47112</v>
      </c>
      <c r="K9156" t="s">
        <v>47113</v>
      </c>
      <c r="L9156">
        <v>64.23</v>
      </c>
      <c r="M9156">
        <v>137</v>
      </c>
      <c r="N9156">
        <v>0</v>
      </c>
      <c r="O9156">
        <v>137</v>
      </c>
      <c r="P9156">
        <v>0</v>
      </c>
    </row>
    <row r="9157" spans="1:16" x14ac:dyDescent="0.25">
      <c r="A9157" t="s">
        <v>31752</v>
      </c>
      <c r="B9157" t="s">
        <v>17431</v>
      </c>
      <c r="C9157" t="s">
        <v>17432</v>
      </c>
      <c r="D9157" t="s">
        <v>6796</v>
      </c>
      <c r="E9157" t="s">
        <v>6797</v>
      </c>
      <c r="F9157" t="s">
        <v>3558</v>
      </c>
      <c r="G9157" t="s">
        <v>16231</v>
      </c>
      <c r="H9157" t="s">
        <v>47054</v>
      </c>
      <c r="I9157" t="s">
        <v>47111</v>
      </c>
      <c r="J9157" t="s">
        <v>47112</v>
      </c>
      <c r="K9157" t="s">
        <v>47113</v>
      </c>
      <c r="L9157">
        <v>69.13</v>
      </c>
      <c r="M9157">
        <v>140</v>
      </c>
      <c r="N9157">
        <v>0</v>
      </c>
      <c r="O9157">
        <v>140</v>
      </c>
      <c r="P9157">
        <v>0</v>
      </c>
    </row>
    <row r="9158" spans="1:16" x14ac:dyDescent="0.25">
      <c r="A9158" t="s">
        <v>31753</v>
      </c>
      <c r="B9158" t="s">
        <v>6806</v>
      </c>
      <c r="C9158" t="s">
        <v>3584</v>
      </c>
      <c r="D9158" t="s">
        <v>311</v>
      </c>
      <c r="E9158" t="s">
        <v>3479</v>
      </c>
      <c r="F9158" t="s">
        <v>5</v>
      </c>
      <c r="G9158" t="s">
        <v>16231</v>
      </c>
      <c r="H9158" t="s">
        <v>47054</v>
      </c>
      <c r="I9158" t="s">
        <v>47111</v>
      </c>
      <c r="J9158" t="s">
        <v>47112</v>
      </c>
      <c r="K9158" t="s">
        <v>47113</v>
      </c>
      <c r="L9158">
        <v>30.95</v>
      </c>
      <c r="M9158">
        <v>73</v>
      </c>
      <c r="N9158">
        <v>0</v>
      </c>
      <c r="O9158">
        <v>73</v>
      </c>
      <c r="P9158">
        <v>0</v>
      </c>
    </row>
    <row r="9159" spans="1:16" x14ac:dyDescent="0.25">
      <c r="A9159" t="s">
        <v>31754</v>
      </c>
      <c r="B9159" t="s">
        <v>6806</v>
      </c>
      <c r="C9159" t="s">
        <v>3584</v>
      </c>
      <c r="D9159" t="s">
        <v>921</v>
      </c>
      <c r="E9159" t="s">
        <v>922</v>
      </c>
      <c r="F9159" t="s">
        <v>5</v>
      </c>
      <c r="G9159" t="s">
        <v>16231</v>
      </c>
      <c r="H9159" t="s">
        <v>47054</v>
      </c>
      <c r="I9159" t="s">
        <v>47111</v>
      </c>
      <c r="J9159" t="s">
        <v>47112</v>
      </c>
      <c r="K9159" t="s">
        <v>47113</v>
      </c>
      <c r="L9159">
        <v>36.57</v>
      </c>
      <c r="M9159">
        <v>84</v>
      </c>
      <c r="N9159">
        <v>0</v>
      </c>
      <c r="O9159">
        <v>84</v>
      </c>
      <c r="P9159">
        <v>0</v>
      </c>
    </row>
    <row r="9160" spans="1:16" x14ac:dyDescent="0.25">
      <c r="A9160" t="s">
        <v>31755</v>
      </c>
      <c r="B9160" t="s">
        <v>6807</v>
      </c>
      <c r="C9160" t="s">
        <v>6808</v>
      </c>
      <c r="D9160" t="s">
        <v>6768</v>
      </c>
      <c r="E9160" t="s">
        <v>6769</v>
      </c>
      <c r="F9160" t="s">
        <v>3546</v>
      </c>
      <c r="G9160" t="s">
        <v>16231</v>
      </c>
      <c r="H9160" t="s">
        <v>47054</v>
      </c>
      <c r="I9160" t="s">
        <v>47111</v>
      </c>
      <c r="J9160" t="s">
        <v>47112</v>
      </c>
      <c r="K9160" t="s">
        <v>47113</v>
      </c>
      <c r="L9160">
        <v>61.87</v>
      </c>
      <c r="M9160">
        <v>152</v>
      </c>
      <c r="N9160">
        <v>0</v>
      </c>
      <c r="O9160">
        <v>152</v>
      </c>
      <c r="P9160">
        <v>0</v>
      </c>
    </row>
    <row r="9161" spans="1:16" x14ac:dyDescent="0.25">
      <c r="A9161" t="s">
        <v>31756</v>
      </c>
      <c r="B9161" t="s">
        <v>6809</v>
      </c>
      <c r="C9161" t="s">
        <v>17433</v>
      </c>
      <c r="D9161" t="s">
        <v>6810</v>
      </c>
      <c r="E9161" t="s">
        <v>6811</v>
      </c>
      <c r="F9161" t="s">
        <v>3558</v>
      </c>
      <c r="G9161" t="s">
        <v>16231</v>
      </c>
      <c r="H9161" t="s">
        <v>47054</v>
      </c>
      <c r="I9161" t="s">
        <v>47111</v>
      </c>
      <c r="J9161" t="s">
        <v>47112</v>
      </c>
      <c r="K9161" t="s">
        <v>47113</v>
      </c>
      <c r="L9161">
        <v>56.81</v>
      </c>
      <c r="M9161">
        <v>133</v>
      </c>
      <c r="N9161">
        <v>0</v>
      </c>
      <c r="O9161">
        <v>133</v>
      </c>
      <c r="P9161">
        <v>0</v>
      </c>
    </row>
    <row r="9162" spans="1:16" x14ac:dyDescent="0.25">
      <c r="A9162" t="s">
        <v>14965</v>
      </c>
      <c r="B9162" t="s">
        <v>6812</v>
      </c>
      <c r="C9162" t="s">
        <v>6813</v>
      </c>
      <c r="D9162" t="str">
        <f>"89"</f>
        <v>89</v>
      </c>
      <c r="E9162" t="s">
        <v>1732</v>
      </c>
      <c r="F9162" t="s">
        <v>2</v>
      </c>
      <c r="G9162" t="s">
        <v>16231</v>
      </c>
      <c r="H9162" t="s">
        <v>47054</v>
      </c>
      <c r="I9162" t="s">
        <v>47111</v>
      </c>
      <c r="J9162" t="s">
        <v>47112</v>
      </c>
      <c r="K9162" t="s">
        <v>47113</v>
      </c>
      <c r="L9162">
        <v>31.85</v>
      </c>
      <c r="M9162">
        <v>81</v>
      </c>
      <c r="N9162">
        <v>0</v>
      </c>
      <c r="O9162">
        <v>81</v>
      </c>
      <c r="P9162">
        <v>0</v>
      </c>
    </row>
    <row r="9163" spans="1:16" x14ac:dyDescent="0.25">
      <c r="A9163" t="s">
        <v>14966</v>
      </c>
      <c r="B9163" t="s">
        <v>6812</v>
      </c>
      <c r="C9163" t="s">
        <v>6813</v>
      </c>
      <c r="D9163" t="s">
        <v>294</v>
      </c>
      <c r="E9163" t="s">
        <v>295</v>
      </c>
      <c r="F9163" t="s">
        <v>2</v>
      </c>
      <c r="G9163" t="s">
        <v>16231</v>
      </c>
      <c r="H9163" t="s">
        <v>47054</v>
      </c>
      <c r="I9163" t="s">
        <v>47111</v>
      </c>
      <c r="J9163" t="s">
        <v>47112</v>
      </c>
      <c r="K9163" t="s">
        <v>47113</v>
      </c>
      <c r="L9163">
        <v>40.01</v>
      </c>
      <c r="M9163">
        <v>87</v>
      </c>
      <c r="N9163">
        <v>0</v>
      </c>
      <c r="O9163">
        <v>87</v>
      </c>
      <c r="P9163">
        <v>0</v>
      </c>
    </row>
    <row r="9164" spans="1:16" x14ac:dyDescent="0.25">
      <c r="A9164" t="s">
        <v>31757</v>
      </c>
      <c r="B9164" t="s">
        <v>6812</v>
      </c>
      <c r="C9164" t="s">
        <v>6813</v>
      </c>
      <c r="D9164" t="s">
        <v>6814</v>
      </c>
      <c r="E9164" t="s">
        <v>6815</v>
      </c>
      <c r="F9164" t="s">
        <v>2</v>
      </c>
      <c r="G9164" t="s">
        <v>16231</v>
      </c>
      <c r="H9164" t="s">
        <v>47054</v>
      </c>
      <c r="I9164" t="s">
        <v>47111</v>
      </c>
      <c r="J9164" t="s">
        <v>47112</v>
      </c>
      <c r="K9164" t="s">
        <v>47113</v>
      </c>
      <c r="L9164">
        <v>37.35</v>
      </c>
      <c r="M9164">
        <v>91</v>
      </c>
      <c r="N9164">
        <v>0</v>
      </c>
      <c r="O9164">
        <v>91</v>
      </c>
      <c r="P9164">
        <v>0</v>
      </c>
    </row>
    <row r="9165" spans="1:16" x14ac:dyDescent="0.25">
      <c r="A9165" t="s">
        <v>31758</v>
      </c>
      <c r="B9165" t="s">
        <v>6812</v>
      </c>
      <c r="C9165" t="s">
        <v>6813</v>
      </c>
      <c r="D9165" t="s">
        <v>6816</v>
      </c>
      <c r="E9165" t="s">
        <v>6817</v>
      </c>
      <c r="F9165" t="s">
        <v>2</v>
      </c>
      <c r="G9165" t="s">
        <v>16231</v>
      </c>
      <c r="H9165" t="s">
        <v>47054</v>
      </c>
      <c r="I9165" t="s">
        <v>47111</v>
      </c>
      <c r="J9165" t="s">
        <v>47112</v>
      </c>
      <c r="K9165" t="s">
        <v>47113</v>
      </c>
      <c r="L9165">
        <v>35.67</v>
      </c>
      <c r="M9165">
        <v>87</v>
      </c>
      <c r="N9165">
        <v>0</v>
      </c>
      <c r="O9165">
        <v>87</v>
      </c>
      <c r="P9165">
        <v>0</v>
      </c>
    </row>
    <row r="9166" spans="1:16" x14ac:dyDescent="0.25">
      <c r="A9166" t="s">
        <v>31759</v>
      </c>
      <c r="B9166" t="s">
        <v>6812</v>
      </c>
      <c r="C9166" t="s">
        <v>6813</v>
      </c>
      <c r="D9166" t="s">
        <v>976</v>
      </c>
      <c r="E9166" t="s">
        <v>977</v>
      </c>
      <c r="F9166" t="s">
        <v>2</v>
      </c>
      <c r="G9166" t="s">
        <v>16231</v>
      </c>
      <c r="H9166" t="s">
        <v>47054</v>
      </c>
      <c r="I9166" t="s">
        <v>47111</v>
      </c>
      <c r="J9166" t="s">
        <v>47112</v>
      </c>
      <c r="K9166" t="s">
        <v>47113</v>
      </c>
      <c r="L9166">
        <v>36.54</v>
      </c>
      <c r="M9166">
        <v>89</v>
      </c>
      <c r="N9166">
        <v>0</v>
      </c>
      <c r="O9166">
        <v>89</v>
      </c>
      <c r="P9166">
        <v>0</v>
      </c>
    </row>
    <row r="9167" spans="1:16" x14ac:dyDescent="0.25">
      <c r="A9167" t="s">
        <v>31760</v>
      </c>
      <c r="B9167" t="s">
        <v>6812</v>
      </c>
      <c r="C9167" t="s">
        <v>6813</v>
      </c>
      <c r="D9167" t="s">
        <v>6818</v>
      </c>
      <c r="E9167" t="s">
        <v>6819</v>
      </c>
      <c r="F9167" t="s">
        <v>2</v>
      </c>
      <c r="G9167" t="s">
        <v>16231</v>
      </c>
      <c r="H9167" t="s">
        <v>47054</v>
      </c>
      <c r="I9167" t="s">
        <v>47111</v>
      </c>
      <c r="J9167" t="s">
        <v>47112</v>
      </c>
      <c r="K9167" t="s">
        <v>47113</v>
      </c>
      <c r="L9167">
        <v>35.67</v>
      </c>
      <c r="M9167">
        <v>87</v>
      </c>
      <c r="N9167">
        <v>0</v>
      </c>
      <c r="O9167">
        <v>87</v>
      </c>
      <c r="P9167">
        <v>0</v>
      </c>
    </row>
    <row r="9168" spans="1:16" x14ac:dyDescent="0.25">
      <c r="A9168" t="s">
        <v>31761</v>
      </c>
      <c r="B9168" t="s">
        <v>6812</v>
      </c>
      <c r="C9168" t="s">
        <v>6813</v>
      </c>
      <c r="D9168" t="s">
        <v>921</v>
      </c>
      <c r="E9168" t="s">
        <v>922</v>
      </c>
      <c r="F9168" t="s">
        <v>2</v>
      </c>
      <c r="G9168" t="s">
        <v>16231</v>
      </c>
      <c r="H9168" t="s">
        <v>47054</v>
      </c>
      <c r="I9168" t="s">
        <v>47111</v>
      </c>
      <c r="J9168" t="s">
        <v>47112</v>
      </c>
      <c r="K9168" t="s">
        <v>47113</v>
      </c>
      <c r="L9168">
        <v>37.35</v>
      </c>
      <c r="M9168">
        <v>91</v>
      </c>
      <c r="N9168">
        <v>0</v>
      </c>
      <c r="O9168">
        <v>91</v>
      </c>
      <c r="P9168">
        <v>0</v>
      </c>
    </row>
    <row r="9169" spans="1:16" x14ac:dyDescent="0.25">
      <c r="A9169" t="s">
        <v>31762</v>
      </c>
      <c r="B9169" t="s">
        <v>6820</v>
      </c>
      <c r="C9169" t="s">
        <v>6340</v>
      </c>
      <c r="D9169" t="s">
        <v>311</v>
      </c>
      <c r="E9169" t="s">
        <v>3479</v>
      </c>
      <c r="F9169" t="s">
        <v>5</v>
      </c>
      <c r="G9169" t="s">
        <v>16231</v>
      </c>
      <c r="H9169" t="s">
        <v>47054</v>
      </c>
      <c r="I9169" t="s">
        <v>47111</v>
      </c>
      <c r="J9169" t="s">
        <v>47112</v>
      </c>
      <c r="K9169" t="s">
        <v>47113</v>
      </c>
      <c r="L9169">
        <v>30.95</v>
      </c>
      <c r="M9169">
        <v>73</v>
      </c>
      <c r="N9169">
        <v>0</v>
      </c>
      <c r="O9169">
        <v>73</v>
      </c>
      <c r="P9169">
        <v>0</v>
      </c>
    </row>
    <row r="9170" spans="1:16" x14ac:dyDescent="0.25">
      <c r="A9170" t="s">
        <v>31763</v>
      </c>
      <c r="B9170" t="s">
        <v>6820</v>
      </c>
      <c r="C9170" t="s">
        <v>6340</v>
      </c>
      <c r="D9170" t="s">
        <v>921</v>
      </c>
      <c r="E9170" t="s">
        <v>922</v>
      </c>
      <c r="F9170" t="s">
        <v>5</v>
      </c>
      <c r="G9170" t="s">
        <v>16231</v>
      </c>
      <c r="H9170" t="s">
        <v>47054</v>
      </c>
      <c r="I9170" t="s">
        <v>47111</v>
      </c>
      <c r="J9170" t="s">
        <v>47112</v>
      </c>
      <c r="K9170" t="s">
        <v>47113</v>
      </c>
      <c r="L9170">
        <v>36.57</v>
      </c>
      <c r="M9170">
        <v>84</v>
      </c>
      <c r="N9170">
        <v>0</v>
      </c>
      <c r="O9170">
        <v>84</v>
      </c>
      <c r="P9170">
        <v>0</v>
      </c>
    </row>
    <row r="9171" spans="1:16" x14ac:dyDescent="0.25">
      <c r="A9171" t="s">
        <v>31764</v>
      </c>
      <c r="B9171" t="s">
        <v>6821</v>
      </c>
      <c r="C9171" t="s">
        <v>6822</v>
      </c>
      <c r="D9171" t="s">
        <v>27</v>
      </c>
      <c r="E9171" t="s">
        <v>1043</v>
      </c>
      <c r="F9171" t="s">
        <v>7</v>
      </c>
      <c r="G9171" t="s">
        <v>16231</v>
      </c>
      <c r="H9171" t="s">
        <v>47054</v>
      </c>
      <c r="I9171" t="s">
        <v>47111</v>
      </c>
      <c r="J9171" t="s">
        <v>47112</v>
      </c>
      <c r="K9171" t="s">
        <v>47113</v>
      </c>
      <c r="L9171">
        <v>37.57</v>
      </c>
      <c r="M9171">
        <v>97</v>
      </c>
      <c r="N9171">
        <v>0</v>
      </c>
      <c r="O9171">
        <v>97</v>
      </c>
      <c r="P9171">
        <v>0</v>
      </c>
    </row>
    <row r="9172" spans="1:16" x14ac:dyDescent="0.25">
      <c r="A9172" t="s">
        <v>31765</v>
      </c>
      <c r="B9172" t="s">
        <v>6821</v>
      </c>
      <c r="C9172" t="s">
        <v>6822</v>
      </c>
      <c r="D9172" t="s">
        <v>6626</v>
      </c>
      <c r="E9172" t="s">
        <v>6627</v>
      </c>
      <c r="F9172" t="s">
        <v>7</v>
      </c>
      <c r="G9172" t="s">
        <v>16231</v>
      </c>
      <c r="H9172" t="s">
        <v>47054</v>
      </c>
      <c r="I9172" t="s">
        <v>47111</v>
      </c>
      <c r="J9172" t="s">
        <v>47112</v>
      </c>
      <c r="K9172" t="s">
        <v>47113</v>
      </c>
      <c r="L9172">
        <v>37.96</v>
      </c>
      <c r="M9172">
        <v>97</v>
      </c>
      <c r="N9172">
        <v>0</v>
      </c>
      <c r="O9172">
        <v>97</v>
      </c>
      <c r="P9172">
        <v>0</v>
      </c>
    </row>
    <row r="9173" spans="1:16" x14ac:dyDescent="0.25">
      <c r="A9173" t="s">
        <v>31766</v>
      </c>
      <c r="B9173" t="s">
        <v>6821</v>
      </c>
      <c r="C9173" t="s">
        <v>6822</v>
      </c>
      <c r="D9173" t="s">
        <v>970</v>
      </c>
      <c r="E9173" t="s">
        <v>971</v>
      </c>
      <c r="F9173" t="s">
        <v>2</v>
      </c>
      <c r="G9173" t="s">
        <v>16231</v>
      </c>
      <c r="H9173" t="s">
        <v>47054</v>
      </c>
      <c r="I9173" t="s">
        <v>47111</v>
      </c>
      <c r="J9173" t="s">
        <v>47112</v>
      </c>
      <c r="K9173" t="s">
        <v>47113</v>
      </c>
      <c r="L9173">
        <v>41.31</v>
      </c>
      <c r="M9173">
        <v>90</v>
      </c>
      <c r="N9173">
        <v>0</v>
      </c>
      <c r="O9173">
        <v>90</v>
      </c>
      <c r="P9173">
        <v>0</v>
      </c>
    </row>
    <row r="9174" spans="1:16" x14ac:dyDescent="0.25">
      <c r="A9174" t="s">
        <v>31767</v>
      </c>
      <c r="B9174" t="s">
        <v>6821</v>
      </c>
      <c r="C9174" t="s">
        <v>6822</v>
      </c>
      <c r="D9174" t="s">
        <v>2407</v>
      </c>
      <c r="E9174" t="s">
        <v>2408</v>
      </c>
      <c r="F9174" t="s">
        <v>2</v>
      </c>
      <c r="G9174" t="s">
        <v>16231</v>
      </c>
      <c r="H9174" t="s">
        <v>47054</v>
      </c>
      <c r="I9174" t="s">
        <v>47111</v>
      </c>
      <c r="J9174" t="s">
        <v>47112</v>
      </c>
      <c r="K9174" t="s">
        <v>47113</v>
      </c>
      <c r="L9174">
        <v>36.14</v>
      </c>
      <c r="M9174">
        <v>80</v>
      </c>
      <c r="N9174">
        <v>0</v>
      </c>
      <c r="O9174">
        <v>80</v>
      </c>
      <c r="P9174">
        <v>0</v>
      </c>
    </row>
    <row r="9175" spans="1:16" x14ac:dyDescent="0.25">
      <c r="A9175" t="s">
        <v>31768</v>
      </c>
      <c r="B9175" t="s">
        <v>6821</v>
      </c>
      <c r="C9175" t="s">
        <v>6822</v>
      </c>
      <c r="D9175" t="s">
        <v>6823</v>
      </c>
      <c r="E9175" t="s">
        <v>6824</v>
      </c>
      <c r="F9175" t="s">
        <v>2</v>
      </c>
      <c r="G9175" t="s">
        <v>16231</v>
      </c>
      <c r="H9175" t="s">
        <v>47054</v>
      </c>
      <c r="I9175" t="s">
        <v>47111</v>
      </c>
      <c r="J9175" t="s">
        <v>47112</v>
      </c>
      <c r="K9175" t="s">
        <v>47113</v>
      </c>
      <c r="L9175">
        <v>40.07</v>
      </c>
      <c r="M9175">
        <v>90</v>
      </c>
      <c r="N9175">
        <v>0</v>
      </c>
      <c r="O9175">
        <v>90</v>
      </c>
      <c r="P9175">
        <v>0</v>
      </c>
    </row>
    <row r="9176" spans="1:16" x14ac:dyDescent="0.25">
      <c r="A9176" t="s">
        <v>14967</v>
      </c>
      <c r="B9176" t="s">
        <v>6825</v>
      </c>
      <c r="C9176" t="s">
        <v>6822</v>
      </c>
      <c r="D9176" t="s">
        <v>721</v>
      </c>
      <c r="E9176" t="s">
        <v>722</v>
      </c>
      <c r="F9176" t="s">
        <v>7</v>
      </c>
      <c r="G9176" t="s">
        <v>16231</v>
      </c>
      <c r="H9176" t="s">
        <v>47054</v>
      </c>
      <c r="I9176" t="s">
        <v>47111</v>
      </c>
      <c r="J9176" t="s">
        <v>47112</v>
      </c>
      <c r="K9176" t="s">
        <v>47113</v>
      </c>
      <c r="L9176">
        <v>28.81</v>
      </c>
      <c r="M9176">
        <v>60</v>
      </c>
      <c r="N9176">
        <v>0</v>
      </c>
      <c r="O9176">
        <v>60</v>
      </c>
      <c r="P9176">
        <v>0</v>
      </c>
    </row>
    <row r="9177" spans="1:16" x14ac:dyDescent="0.25">
      <c r="A9177" t="s">
        <v>31769</v>
      </c>
      <c r="B9177" t="s">
        <v>6825</v>
      </c>
      <c r="C9177" t="s">
        <v>6822</v>
      </c>
      <c r="D9177" t="s">
        <v>970</v>
      </c>
      <c r="E9177" t="s">
        <v>971</v>
      </c>
      <c r="F9177" t="s">
        <v>2</v>
      </c>
      <c r="G9177" t="s">
        <v>16231</v>
      </c>
      <c r="H9177" t="s">
        <v>47054</v>
      </c>
      <c r="I9177" t="s">
        <v>47111</v>
      </c>
      <c r="J9177" t="s">
        <v>47112</v>
      </c>
      <c r="K9177" t="s">
        <v>47113</v>
      </c>
      <c r="L9177">
        <v>41.61</v>
      </c>
      <c r="M9177">
        <v>90</v>
      </c>
      <c r="N9177">
        <v>0</v>
      </c>
      <c r="O9177">
        <v>90</v>
      </c>
      <c r="P9177">
        <v>0</v>
      </c>
    </row>
    <row r="9178" spans="1:16" x14ac:dyDescent="0.25">
      <c r="A9178" t="s">
        <v>31770</v>
      </c>
      <c r="B9178" t="s">
        <v>6825</v>
      </c>
      <c r="C9178" t="s">
        <v>6822</v>
      </c>
      <c r="D9178" t="s">
        <v>2407</v>
      </c>
      <c r="E9178" t="s">
        <v>2408</v>
      </c>
      <c r="F9178" t="s">
        <v>2</v>
      </c>
      <c r="G9178" t="s">
        <v>16231</v>
      </c>
      <c r="H9178" t="s">
        <v>47054</v>
      </c>
      <c r="I9178" t="s">
        <v>47111</v>
      </c>
      <c r="J9178" t="s">
        <v>47112</v>
      </c>
      <c r="K9178" t="s">
        <v>47113</v>
      </c>
      <c r="L9178">
        <v>36.1</v>
      </c>
      <c r="M9178">
        <v>80</v>
      </c>
      <c r="N9178">
        <v>0</v>
      </c>
      <c r="O9178">
        <v>80</v>
      </c>
      <c r="P9178">
        <v>0</v>
      </c>
    </row>
    <row r="9179" spans="1:16" x14ac:dyDescent="0.25">
      <c r="A9179" t="s">
        <v>31771</v>
      </c>
      <c r="B9179" t="s">
        <v>6825</v>
      </c>
      <c r="C9179" t="s">
        <v>6822</v>
      </c>
      <c r="D9179" t="s">
        <v>6823</v>
      </c>
      <c r="E9179" t="s">
        <v>6824</v>
      </c>
      <c r="F9179" t="s">
        <v>2</v>
      </c>
      <c r="G9179" t="s">
        <v>16231</v>
      </c>
      <c r="H9179" t="s">
        <v>47054</v>
      </c>
      <c r="I9179" t="s">
        <v>47111</v>
      </c>
      <c r="J9179" t="s">
        <v>47112</v>
      </c>
      <c r="K9179" t="s">
        <v>47113</v>
      </c>
      <c r="L9179">
        <v>40.07</v>
      </c>
      <c r="M9179">
        <v>90</v>
      </c>
      <c r="N9179">
        <v>0</v>
      </c>
      <c r="O9179">
        <v>90</v>
      </c>
      <c r="P9179">
        <v>0</v>
      </c>
    </row>
    <row r="9180" spans="1:16" x14ac:dyDescent="0.25">
      <c r="A9180" t="s">
        <v>31772</v>
      </c>
      <c r="B9180" t="s">
        <v>6825</v>
      </c>
      <c r="C9180" t="s">
        <v>6822</v>
      </c>
      <c r="D9180" t="s">
        <v>6814</v>
      </c>
      <c r="E9180" t="s">
        <v>6815</v>
      </c>
      <c r="F9180" t="s">
        <v>2</v>
      </c>
      <c r="G9180" t="s">
        <v>16231</v>
      </c>
      <c r="H9180" t="s">
        <v>47054</v>
      </c>
      <c r="I9180" t="s">
        <v>47111</v>
      </c>
      <c r="J9180" t="s">
        <v>47112</v>
      </c>
      <c r="K9180" t="s">
        <v>47113</v>
      </c>
      <c r="L9180">
        <v>37.35</v>
      </c>
      <c r="M9180">
        <v>91</v>
      </c>
      <c r="N9180">
        <v>0</v>
      </c>
      <c r="O9180">
        <v>91</v>
      </c>
      <c r="P9180">
        <v>0</v>
      </c>
    </row>
    <row r="9181" spans="1:16" x14ac:dyDescent="0.25">
      <c r="A9181" t="s">
        <v>31773</v>
      </c>
      <c r="B9181" t="s">
        <v>6825</v>
      </c>
      <c r="C9181" t="s">
        <v>6822</v>
      </c>
      <c r="D9181" t="s">
        <v>6816</v>
      </c>
      <c r="E9181" t="s">
        <v>6817</v>
      </c>
      <c r="F9181" t="s">
        <v>2</v>
      </c>
      <c r="G9181" t="s">
        <v>16231</v>
      </c>
      <c r="H9181" t="s">
        <v>47054</v>
      </c>
      <c r="I9181" t="s">
        <v>47111</v>
      </c>
      <c r="J9181" t="s">
        <v>47112</v>
      </c>
      <c r="K9181" t="s">
        <v>47113</v>
      </c>
      <c r="L9181">
        <v>35.67</v>
      </c>
      <c r="M9181">
        <v>87</v>
      </c>
      <c r="N9181">
        <v>0</v>
      </c>
      <c r="O9181">
        <v>87</v>
      </c>
      <c r="P9181">
        <v>0</v>
      </c>
    </row>
    <row r="9182" spans="1:16" x14ac:dyDescent="0.25">
      <c r="A9182" t="s">
        <v>31774</v>
      </c>
      <c r="B9182" t="s">
        <v>6825</v>
      </c>
      <c r="C9182" t="s">
        <v>6822</v>
      </c>
      <c r="D9182" t="s">
        <v>976</v>
      </c>
      <c r="E9182" t="s">
        <v>977</v>
      </c>
      <c r="F9182" t="s">
        <v>2</v>
      </c>
      <c r="G9182" t="s">
        <v>16231</v>
      </c>
      <c r="H9182" t="s">
        <v>47054</v>
      </c>
      <c r="I9182" t="s">
        <v>47111</v>
      </c>
      <c r="J9182" t="s">
        <v>47112</v>
      </c>
      <c r="K9182" t="s">
        <v>47113</v>
      </c>
      <c r="L9182">
        <v>36.54</v>
      </c>
      <c r="M9182">
        <v>89</v>
      </c>
      <c r="N9182">
        <v>0</v>
      </c>
      <c r="O9182">
        <v>89</v>
      </c>
      <c r="P9182">
        <v>0</v>
      </c>
    </row>
    <row r="9183" spans="1:16" x14ac:dyDescent="0.25">
      <c r="A9183" t="s">
        <v>31775</v>
      </c>
      <c r="B9183" t="s">
        <v>6825</v>
      </c>
      <c r="C9183" t="s">
        <v>6822</v>
      </c>
      <c r="D9183" t="s">
        <v>6818</v>
      </c>
      <c r="E9183" t="s">
        <v>6819</v>
      </c>
      <c r="F9183" t="s">
        <v>2</v>
      </c>
      <c r="G9183" t="s">
        <v>16231</v>
      </c>
      <c r="H9183" t="s">
        <v>47054</v>
      </c>
      <c r="I9183" t="s">
        <v>47111</v>
      </c>
      <c r="J9183" t="s">
        <v>47112</v>
      </c>
      <c r="K9183" t="s">
        <v>47113</v>
      </c>
      <c r="L9183">
        <v>35.67</v>
      </c>
      <c r="M9183">
        <v>87</v>
      </c>
      <c r="N9183">
        <v>0</v>
      </c>
      <c r="O9183">
        <v>87</v>
      </c>
      <c r="P9183">
        <v>0</v>
      </c>
    </row>
    <row r="9184" spans="1:16" x14ac:dyDescent="0.25">
      <c r="A9184" t="s">
        <v>31776</v>
      </c>
      <c r="B9184" t="s">
        <v>6825</v>
      </c>
      <c r="C9184" t="s">
        <v>6822</v>
      </c>
      <c r="D9184" t="s">
        <v>921</v>
      </c>
      <c r="E9184" t="s">
        <v>922</v>
      </c>
      <c r="F9184" t="s">
        <v>2</v>
      </c>
      <c r="G9184" t="s">
        <v>16231</v>
      </c>
      <c r="H9184" t="s">
        <v>47054</v>
      </c>
      <c r="I9184" t="s">
        <v>47111</v>
      </c>
      <c r="J9184" t="s">
        <v>47112</v>
      </c>
      <c r="K9184" t="s">
        <v>47113</v>
      </c>
      <c r="L9184">
        <v>37.35</v>
      </c>
      <c r="M9184">
        <v>91</v>
      </c>
      <c r="N9184">
        <v>0</v>
      </c>
      <c r="O9184">
        <v>91</v>
      </c>
      <c r="P9184">
        <v>0</v>
      </c>
    </row>
    <row r="9185" spans="1:16" x14ac:dyDescent="0.25">
      <c r="A9185" t="s">
        <v>14968</v>
      </c>
      <c r="B9185" t="s">
        <v>6826</v>
      </c>
      <c r="C9185" t="s">
        <v>5171</v>
      </c>
      <c r="D9185" t="str">
        <f>"11"</f>
        <v>11</v>
      </c>
      <c r="E9185" t="s">
        <v>288</v>
      </c>
      <c r="F9185" t="s">
        <v>2</v>
      </c>
      <c r="G9185" t="s">
        <v>16231</v>
      </c>
      <c r="H9185" t="s">
        <v>47054</v>
      </c>
      <c r="I9185" t="s">
        <v>47111</v>
      </c>
      <c r="J9185" t="s">
        <v>47112</v>
      </c>
      <c r="K9185" t="s">
        <v>47113</v>
      </c>
      <c r="L9185">
        <v>30.28</v>
      </c>
      <c r="M9185">
        <v>65</v>
      </c>
      <c r="N9185">
        <v>0</v>
      </c>
      <c r="O9185">
        <v>65</v>
      </c>
      <c r="P9185">
        <v>0</v>
      </c>
    </row>
    <row r="9186" spans="1:16" x14ac:dyDescent="0.25">
      <c r="A9186" t="s">
        <v>31777</v>
      </c>
      <c r="B9186" t="s">
        <v>6826</v>
      </c>
      <c r="C9186" t="s">
        <v>5171</v>
      </c>
      <c r="D9186" t="s">
        <v>2054</v>
      </c>
      <c r="E9186" t="s">
        <v>6827</v>
      </c>
      <c r="F9186" t="s">
        <v>2</v>
      </c>
      <c r="G9186" t="s">
        <v>16231</v>
      </c>
      <c r="H9186" t="s">
        <v>47054</v>
      </c>
      <c r="I9186" t="s">
        <v>47111</v>
      </c>
      <c r="J9186" t="s">
        <v>47112</v>
      </c>
      <c r="K9186" t="s">
        <v>47113</v>
      </c>
      <c r="L9186">
        <v>35.35</v>
      </c>
      <c r="M9186">
        <v>77</v>
      </c>
      <c r="N9186">
        <v>0</v>
      </c>
      <c r="O9186">
        <v>77</v>
      </c>
      <c r="P9186">
        <v>0</v>
      </c>
    </row>
    <row r="9187" spans="1:16" x14ac:dyDescent="0.25">
      <c r="A9187" t="s">
        <v>31778</v>
      </c>
      <c r="B9187" t="s">
        <v>6828</v>
      </c>
      <c r="C9187" t="s">
        <v>5171</v>
      </c>
      <c r="D9187" t="s">
        <v>311</v>
      </c>
      <c r="E9187" t="s">
        <v>312</v>
      </c>
      <c r="F9187" t="s">
        <v>7</v>
      </c>
      <c r="G9187" t="s">
        <v>16231</v>
      </c>
      <c r="H9187" t="s">
        <v>47054</v>
      </c>
      <c r="I9187" t="s">
        <v>47111</v>
      </c>
      <c r="J9187" t="s">
        <v>47112</v>
      </c>
      <c r="K9187" t="s">
        <v>47113</v>
      </c>
      <c r="L9187">
        <v>32.950000000000003</v>
      </c>
      <c r="M9187">
        <v>85</v>
      </c>
      <c r="N9187">
        <v>0</v>
      </c>
      <c r="O9187">
        <v>85</v>
      </c>
      <c r="P9187">
        <v>0</v>
      </c>
    </row>
    <row r="9188" spans="1:16" x14ac:dyDescent="0.25">
      <c r="A9188" t="s">
        <v>31779</v>
      </c>
      <c r="B9188" t="s">
        <v>6829</v>
      </c>
      <c r="C9188" t="s">
        <v>3404</v>
      </c>
      <c r="D9188" t="s">
        <v>721</v>
      </c>
      <c r="E9188" t="s">
        <v>722</v>
      </c>
      <c r="F9188" t="s">
        <v>6</v>
      </c>
      <c r="G9188" t="s">
        <v>16231</v>
      </c>
      <c r="H9188" t="s">
        <v>47054</v>
      </c>
      <c r="I9188" t="s">
        <v>47111</v>
      </c>
      <c r="J9188" t="s">
        <v>47112</v>
      </c>
      <c r="K9188" t="s">
        <v>47113</v>
      </c>
      <c r="L9188">
        <v>26.96</v>
      </c>
      <c r="M9188">
        <v>71</v>
      </c>
      <c r="N9188">
        <v>0</v>
      </c>
      <c r="O9188">
        <v>71</v>
      </c>
      <c r="P9188">
        <v>0</v>
      </c>
    </row>
    <row r="9189" spans="1:16" x14ac:dyDescent="0.25">
      <c r="A9189" t="s">
        <v>31780</v>
      </c>
      <c r="B9189" t="s">
        <v>6829</v>
      </c>
      <c r="C9189" t="s">
        <v>3404</v>
      </c>
      <c r="D9189" t="s">
        <v>294</v>
      </c>
      <c r="E9189" t="s">
        <v>295</v>
      </c>
      <c r="F9189" t="s">
        <v>6</v>
      </c>
      <c r="G9189" t="s">
        <v>16231</v>
      </c>
      <c r="H9189" t="s">
        <v>47054</v>
      </c>
      <c r="I9189" t="s">
        <v>47111</v>
      </c>
      <c r="J9189" t="s">
        <v>47112</v>
      </c>
      <c r="K9189" t="s">
        <v>47113</v>
      </c>
      <c r="L9189">
        <v>39.79</v>
      </c>
      <c r="M9189">
        <v>104</v>
      </c>
      <c r="N9189">
        <v>0</v>
      </c>
      <c r="O9189">
        <v>104</v>
      </c>
      <c r="P9189">
        <v>0</v>
      </c>
    </row>
    <row r="9190" spans="1:16" x14ac:dyDescent="0.25">
      <c r="A9190" t="s">
        <v>31781</v>
      </c>
      <c r="B9190" t="s">
        <v>6830</v>
      </c>
      <c r="C9190" t="s">
        <v>3594</v>
      </c>
      <c r="D9190" t="s">
        <v>311</v>
      </c>
      <c r="E9190" t="s">
        <v>3479</v>
      </c>
      <c r="F9190" t="s">
        <v>5</v>
      </c>
      <c r="G9190" t="s">
        <v>16231</v>
      </c>
      <c r="H9190" t="s">
        <v>47054</v>
      </c>
      <c r="I9190" t="s">
        <v>47111</v>
      </c>
      <c r="J9190" t="s">
        <v>47112</v>
      </c>
      <c r="K9190" t="s">
        <v>47113</v>
      </c>
      <c r="L9190">
        <v>30.95</v>
      </c>
      <c r="M9190">
        <v>73</v>
      </c>
      <c r="N9190">
        <v>0</v>
      </c>
      <c r="O9190">
        <v>73</v>
      </c>
      <c r="P9190">
        <v>0</v>
      </c>
    </row>
    <row r="9191" spans="1:16" x14ac:dyDescent="0.25">
      <c r="A9191" t="s">
        <v>31782</v>
      </c>
      <c r="B9191" t="s">
        <v>6830</v>
      </c>
      <c r="C9191" t="s">
        <v>3594</v>
      </c>
      <c r="D9191" t="s">
        <v>921</v>
      </c>
      <c r="E9191" t="s">
        <v>922</v>
      </c>
      <c r="F9191" t="s">
        <v>5</v>
      </c>
      <c r="G9191" t="s">
        <v>16231</v>
      </c>
      <c r="H9191" t="s">
        <v>47054</v>
      </c>
      <c r="I9191" t="s">
        <v>47111</v>
      </c>
      <c r="J9191" t="s">
        <v>47112</v>
      </c>
      <c r="K9191" t="s">
        <v>47113</v>
      </c>
      <c r="L9191">
        <v>36.57</v>
      </c>
      <c r="M9191">
        <v>84</v>
      </c>
      <c r="N9191">
        <v>0</v>
      </c>
      <c r="O9191">
        <v>84</v>
      </c>
      <c r="P9191">
        <v>0</v>
      </c>
    </row>
    <row r="9192" spans="1:16" x14ac:dyDescent="0.25">
      <c r="A9192" t="s">
        <v>31783</v>
      </c>
      <c r="B9192" t="s">
        <v>6831</v>
      </c>
      <c r="C9192" t="s">
        <v>6832</v>
      </c>
      <c r="D9192" t="str">
        <f>"1001"</f>
        <v>1001</v>
      </c>
      <c r="E9192" t="s">
        <v>6759</v>
      </c>
      <c r="F9192" t="s">
        <v>4</v>
      </c>
      <c r="G9192" t="s">
        <v>16231</v>
      </c>
      <c r="H9192" t="s">
        <v>47054</v>
      </c>
      <c r="I9192" t="s">
        <v>47111</v>
      </c>
      <c r="J9192" t="s">
        <v>47112</v>
      </c>
      <c r="K9192" t="s">
        <v>47113</v>
      </c>
      <c r="L9192">
        <v>47.7</v>
      </c>
      <c r="M9192">
        <v>116</v>
      </c>
      <c r="N9192">
        <v>0</v>
      </c>
      <c r="O9192">
        <v>116</v>
      </c>
      <c r="P9192">
        <v>0</v>
      </c>
    </row>
    <row r="9193" spans="1:16" x14ac:dyDescent="0.25">
      <c r="A9193" t="s">
        <v>31784</v>
      </c>
      <c r="B9193" t="s">
        <v>6831</v>
      </c>
      <c r="C9193" t="s">
        <v>6832</v>
      </c>
      <c r="D9193" t="str">
        <f>"2537"</f>
        <v>2537</v>
      </c>
      <c r="E9193" t="s">
        <v>6760</v>
      </c>
      <c r="F9193" t="s">
        <v>4</v>
      </c>
      <c r="G9193" t="s">
        <v>16231</v>
      </c>
      <c r="H9193" t="s">
        <v>47054</v>
      </c>
      <c r="I9193" t="s">
        <v>47111</v>
      </c>
      <c r="J9193" t="s">
        <v>47112</v>
      </c>
      <c r="K9193" t="s">
        <v>47113</v>
      </c>
      <c r="L9193">
        <v>47.7</v>
      </c>
      <c r="M9193">
        <v>116</v>
      </c>
      <c r="N9193">
        <v>0</v>
      </c>
      <c r="O9193">
        <v>116</v>
      </c>
      <c r="P9193">
        <v>0</v>
      </c>
    </row>
    <row r="9194" spans="1:16" x14ac:dyDescent="0.25">
      <c r="A9194" t="s">
        <v>31785</v>
      </c>
      <c r="B9194" t="s">
        <v>6831</v>
      </c>
      <c r="C9194" t="s">
        <v>6832</v>
      </c>
      <c r="D9194" t="str">
        <f>"6387"</f>
        <v>6387</v>
      </c>
      <c r="E9194" t="s">
        <v>6761</v>
      </c>
      <c r="F9194" t="s">
        <v>4</v>
      </c>
      <c r="G9194" t="s">
        <v>16231</v>
      </c>
      <c r="H9194" t="s">
        <v>47054</v>
      </c>
      <c r="I9194" t="s">
        <v>47111</v>
      </c>
      <c r="J9194" t="s">
        <v>47112</v>
      </c>
      <c r="K9194" t="s">
        <v>47113</v>
      </c>
      <c r="L9194">
        <v>47.7</v>
      </c>
      <c r="M9194">
        <v>116</v>
      </c>
      <c r="N9194">
        <v>0</v>
      </c>
      <c r="O9194">
        <v>116</v>
      </c>
      <c r="P9194">
        <v>0</v>
      </c>
    </row>
    <row r="9195" spans="1:16" x14ac:dyDescent="0.25">
      <c r="A9195" t="s">
        <v>14969</v>
      </c>
      <c r="B9195" t="s">
        <v>6833</v>
      </c>
      <c r="C9195" t="s">
        <v>6834</v>
      </c>
      <c r="D9195" t="s">
        <v>6764</v>
      </c>
      <c r="E9195" t="s">
        <v>6765</v>
      </c>
      <c r="F9195" t="s">
        <v>2068</v>
      </c>
      <c r="G9195" t="s">
        <v>16231</v>
      </c>
      <c r="H9195" t="s">
        <v>47054</v>
      </c>
      <c r="I9195" t="s">
        <v>47111</v>
      </c>
      <c r="J9195" t="s">
        <v>47112</v>
      </c>
      <c r="K9195" t="s">
        <v>47113</v>
      </c>
      <c r="L9195">
        <v>57.75</v>
      </c>
      <c r="M9195">
        <v>131</v>
      </c>
      <c r="N9195">
        <v>0</v>
      </c>
      <c r="O9195">
        <v>131</v>
      </c>
      <c r="P9195">
        <v>0</v>
      </c>
    </row>
    <row r="9196" spans="1:16" x14ac:dyDescent="0.25">
      <c r="A9196" t="s">
        <v>31786</v>
      </c>
      <c r="B9196" t="s">
        <v>6835</v>
      </c>
      <c r="C9196" t="s">
        <v>6834</v>
      </c>
      <c r="D9196" t="s">
        <v>6836</v>
      </c>
      <c r="E9196" t="s">
        <v>6837</v>
      </c>
      <c r="F9196" t="s">
        <v>2068</v>
      </c>
      <c r="G9196" t="s">
        <v>16231</v>
      </c>
      <c r="H9196" t="s">
        <v>47054</v>
      </c>
      <c r="I9196" t="s">
        <v>47111</v>
      </c>
      <c r="J9196" t="s">
        <v>47112</v>
      </c>
      <c r="K9196" t="s">
        <v>47113</v>
      </c>
      <c r="L9196">
        <v>57.25</v>
      </c>
      <c r="M9196">
        <v>130</v>
      </c>
      <c r="N9196">
        <v>0</v>
      </c>
      <c r="O9196">
        <v>130</v>
      </c>
      <c r="P9196">
        <v>0</v>
      </c>
    </row>
    <row r="9197" spans="1:16" x14ac:dyDescent="0.25">
      <c r="A9197" t="s">
        <v>14970</v>
      </c>
      <c r="B9197" t="s">
        <v>6838</v>
      </c>
      <c r="C9197" t="s">
        <v>6839</v>
      </c>
      <c r="D9197" t="s">
        <v>6840</v>
      </c>
      <c r="E9197" t="s">
        <v>6841</v>
      </c>
      <c r="F9197" t="s">
        <v>2068</v>
      </c>
      <c r="G9197" t="s">
        <v>16231</v>
      </c>
      <c r="H9197" t="s">
        <v>47054</v>
      </c>
      <c r="I9197" t="s">
        <v>47111</v>
      </c>
      <c r="J9197" t="s">
        <v>47112</v>
      </c>
      <c r="K9197" t="s">
        <v>47113</v>
      </c>
      <c r="L9197">
        <v>46.99</v>
      </c>
      <c r="M9197">
        <v>106</v>
      </c>
      <c r="N9197">
        <v>0</v>
      </c>
      <c r="O9197">
        <v>106</v>
      </c>
      <c r="P9197">
        <v>0</v>
      </c>
    </row>
    <row r="9198" spans="1:16" x14ac:dyDescent="0.25">
      <c r="A9198" t="s">
        <v>31787</v>
      </c>
      <c r="B9198" t="s">
        <v>6842</v>
      </c>
      <c r="C9198" t="s">
        <v>6843</v>
      </c>
      <c r="D9198" t="s">
        <v>6768</v>
      </c>
      <c r="E9198" t="s">
        <v>6769</v>
      </c>
      <c r="F9198" t="s">
        <v>3546</v>
      </c>
      <c r="G9198" t="s">
        <v>16231</v>
      </c>
      <c r="H9198" t="s">
        <v>47054</v>
      </c>
      <c r="I9198" t="s">
        <v>47111</v>
      </c>
      <c r="J9198" t="s">
        <v>47112</v>
      </c>
      <c r="K9198" t="s">
        <v>47113</v>
      </c>
      <c r="L9198">
        <v>59.09</v>
      </c>
      <c r="M9198">
        <v>145</v>
      </c>
      <c r="N9198">
        <v>0</v>
      </c>
      <c r="O9198">
        <v>145</v>
      </c>
      <c r="P9198">
        <v>0</v>
      </c>
    </row>
    <row r="9199" spans="1:16" x14ac:dyDescent="0.25">
      <c r="A9199" t="s">
        <v>31788</v>
      </c>
      <c r="B9199" t="s">
        <v>6844</v>
      </c>
      <c r="C9199" t="s">
        <v>5681</v>
      </c>
      <c r="D9199" t="s">
        <v>6778</v>
      </c>
      <c r="E9199" t="s">
        <v>6779</v>
      </c>
      <c r="F9199" t="s">
        <v>0</v>
      </c>
      <c r="G9199" t="s">
        <v>16231</v>
      </c>
      <c r="H9199" t="s">
        <v>47054</v>
      </c>
      <c r="I9199" t="s">
        <v>47111</v>
      </c>
      <c r="J9199" t="s">
        <v>47112</v>
      </c>
      <c r="K9199" t="s">
        <v>47113</v>
      </c>
      <c r="L9199">
        <v>77.52</v>
      </c>
      <c r="M9199">
        <v>140</v>
      </c>
      <c r="N9199">
        <v>0</v>
      </c>
      <c r="O9199">
        <v>140</v>
      </c>
      <c r="P9199">
        <v>0</v>
      </c>
    </row>
    <row r="9200" spans="1:16" x14ac:dyDescent="0.25">
      <c r="A9200" t="s">
        <v>31789</v>
      </c>
      <c r="B9200" t="s">
        <v>6845</v>
      </c>
      <c r="C9200" t="s">
        <v>6846</v>
      </c>
      <c r="D9200" t="s">
        <v>6847</v>
      </c>
      <c r="E9200" t="s">
        <v>6848</v>
      </c>
      <c r="F9200" t="s">
        <v>1</v>
      </c>
      <c r="G9200" t="s">
        <v>16231</v>
      </c>
      <c r="H9200" t="s">
        <v>47054</v>
      </c>
      <c r="I9200" t="s">
        <v>47111</v>
      </c>
      <c r="J9200" t="s">
        <v>47112</v>
      </c>
      <c r="K9200" t="s">
        <v>47113</v>
      </c>
      <c r="L9200">
        <v>61.13</v>
      </c>
      <c r="M9200">
        <v>150</v>
      </c>
      <c r="N9200">
        <v>0</v>
      </c>
      <c r="O9200">
        <v>150</v>
      </c>
      <c r="P9200">
        <v>0</v>
      </c>
    </row>
    <row r="9201" spans="1:16" x14ac:dyDescent="0.25">
      <c r="A9201" t="s">
        <v>14971</v>
      </c>
      <c r="B9201" t="s">
        <v>6849</v>
      </c>
      <c r="C9201" t="s">
        <v>2097</v>
      </c>
      <c r="D9201" t="str">
        <f>"89"</f>
        <v>89</v>
      </c>
      <c r="E9201" t="s">
        <v>1732</v>
      </c>
      <c r="F9201" t="s">
        <v>2</v>
      </c>
      <c r="G9201" t="s">
        <v>16231</v>
      </c>
      <c r="H9201" t="s">
        <v>47054</v>
      </c>
      <c r="I9201" t="s">
        <v>47111</v>
      </c>
      <c r="J9201" t="s">
        <v>47112</v>
      </c>
      <c r="K9201" t="s">
        <v>47113</v>
      </c>
      <c r="L9201">
        <v>29.3</v>
      </c>
      <c r="M9201">
        <v>81</v>
      </c>
      <c r="N9201">
        <v>0</v>
      </c>
      <c r="O9201">
        <v>81</v>
      </c>
      <c r="P9201">
        <v>0</v>
      </c>
    </row>
    <row r="9202" spans="1:16" x14ac:dyDescent="0.25">
      <c r="A9202" t="s">
        <v>14972</v>
      </c>
      <c r="B9202" t="s">
        <v>6849</v>
      </c>
      <c r="C9202" t="s">
        <v>2097</v>
      </c>
      <c r="D9202" t="s">
        <v>294</v>
      </c>
      <c r="E9202" t="s">
        <v>295</v>
      </c>
      <c r="F9202" t="s">
        <v>2</v>
      </c>
      <c r="G9202" t="s">
        <v>16231</v>
      </c>
      <c r="H9202" t="s">
        <v>47054</v>
      </c>
      <c r="I9202" t="s">
        <v>47111</v>
      </c>
      <c r="J9202" t="s">
        <v>47112</v>
      </c>
      <c r="K9202" t="s">
        <v>47113</v>
      </c>
      <c r="L9202">
        <v>37.46</v>
      </c>
      <c r="M9202">
        <v>87</v>
      </c>
      <c r="N9202">
        <v>0</v>
      </c>
      <c r="O9202">
        <v>87</v>
      </c>
      <c r="P9202">
        <v>0</v>
      </c>
    </row>
    <row r="9203" spans="1:16" x14ac:dyDescent="0.25">
      <c r="A9203" t="s">
        <v>31790</v>
      </c>
      <c r="B9203" t="s">
        <v>6849</v>
      </c>
      <c r="C9203" t="s">
        <v>2097</v>
      </c>
      <c r="D9203" t="s">
        <v>6814</v>
      </c>
      <c r="E9203" t="s">
        <v>6815</v>
      </c>
      <c r="F9203" t="s">
        <v>2</v>
      </c>
      <c r="G9203" t="s">
        <v>16231</v>
      </c>
      <c r="H9203" t="s">
        <v>47054</v>
      </c>
      <c r="I9203" t="s">
        <v>47111</v>
      </c>
      <c r="J9203" t="s">
        <v>47112</v>
      </c>
      <c r="K9203" t="s">
        <v>47113</v>
      </c>
      <c r="L9203">
        <v>33.29</v>
      </c>
      <c r="M9203">
        <v>80</v>
      </c>
      <c r="N9203">
        <v>0</v>
      </c>
      <c r="O9203">
        <v>80</v>
      </c>
      <c r="P9203">
        <v>0</v>
      </c>
    </row>
    <row r="9204" spans="1:16" x14ac:dyDescent="0.25">
      <c r="A9204" t="s">
        <v>31791</v>
      </c>
      <c r="B9204" t="s">
        <v>6849</v>
      </c>
      <c r="C9204" t="s">
        <v>2097</v>
      </c>
      <c r="D9204" t="s">
        <v>6816</v>
      </c>
      <c r="E9204" t="s">
        <v>6817</v>
      </c>
      <c r="F9204" t="s">
        <v>2</v>
      </c>
      <c r="G9204" t="s">
        <v>16231</v>
      </c>
      <c r="H9204" t="s">
        <v>47054</v>
      </c>
      <c r="I9204" t="s">
        <v>47111</v>
      </c>
      <c r="J9204" t="s">
        <v>47112</v>
      </c>
      <c r="K9204" t="s">
        <v>47113</v>
      </c>
      <c r="L9204">
        <v>31.78</v>
      </c>
      <c r="M9204">
        <v>73</v>
      </c>
      <c r="N9204">
        <v>0</v>
      </c>
      <c r="O9204">
        <v>73</v>
      </c>
      <c r="P9204">
        <v>0</v>
      </c>
    </row>
    <row r="9205" spans="1:16" x14ac:dyDescent="0.25">
      <c r="A9205" t="s">
        <v>31792</v>
      </c>
      <c r="B9205" t="s">
        <v>6849</v>
      </c>
      <c r="C9205" t="s">
        <v>2097</v>
      </c>
      <c r="D9205" t="s">
        <v>976</v>
      </c>
      <c r="E9205" t="s">
        <v>977</v>
      </c>
      <c r="F9205" t="s">
        <v>2</v>
      </c>
      <c r="G9205" t="s">
        <v>16231</v>
      </c>
      <c r="H9205" t="s">
        <v>47054</v>
      </c>
      <c r="I9205" t="s">
        <v>47111</v>
      </c>
      <c r="J9205" t="s">
        <v>47112</v>
      </c>
      <c r="K9205" t="s">
        <v>47113</v>
      </c>
      <c r="L9205">
        <v>32.68</v>
      </c>
      <c r="M9205">
        <v>75</v>
      </c>
      <c r="N9205">
        <v>0</v>
      </c>
      <c r="O9205">
        <v>75</v>
      </c>
      <c r="P9205">
        <v>0</v>
      </c>
    </row>
    <row r="9206" spans="1:16" x14ac:dyDescent="0.25">
      <c r="A9206" t="s">
        <v>31793</v>
      </c>
      <c r="B9206" t="s">
        <v>6849</v>
      </c>
      <c r="C9206" t="s">
        <v>2097</v>
      </c>
      <c r="D9206" t="s">
        <v>6818</v>
      </c>
      <c r="E9206" t="s">
        <v>6819</v>
      </c>
      <c r="F9206" t="s">
        <v>2</v>
      </c>
      <c r="G9206" t="s">
        <v>16231</v>
      </c>
      <c r="H9206" t="s">
        <v>47054</v>
      </c>
      <c r="I9206" t="s">
        <v>47111</v>
      </c>
      <c r="J9206" t="s">
        <v>47112</v>
      </c>
      <c r="K9206" t="s">
        <v>47113</v>
      </c>
      <c r="L9206">
        <v>31.78</v>
      </c>
      <c r="M9206">
        <v>75</v>
      </c>
      <c r="N9206">
        <v>0</v>
      </c>
      <c r="O9206">
        <v>75</v>
      </c>
      <c r="P9206">
        <v>0</v>
      </c>
    </row>
    <row r="9207" spans="1:16" x14ac:dyDescent="0.25">
      <c r="A9207" t="s">
        <v>31794</v>
      </c>
      <c r="B9207" t="s">
        <v>6849</v>
      </c>
      <c r="C9207" t="s">
        <v>2097</v>
      </c>
      <c r="D9207" t="s">
        <v>921</v>
      </c>
      <c r="E9207" t="s">
        <v>922</v>
      </c>
      <c r="F9207" t="s">
        <v>2</v>
      </c>
      <c r="G9207" t="s">
        <v>16231</v>
      </c>
      <c r="H9207" t="s">
        <v>47054</v>
      </c>
      <c r="I9207" t="s">
        <v>47111</v>
      </c>
      <c r="J9207" t="s">
        <v>47112</v>
      </c>
      <c r="K9207" t="s">
        <v>47113</v>
      </c>
      <c r="L9207">
        <v>33.29</v>
      </c>
      <c r="M9207">
        <v>78</v>
      </c>
      <c r="N9207">
        <v>0</v>
      </c>
      <c r="O9207">
        <v>78</v>
      </c>
      <c r="P9207">
        <v>0</v>
      </c>
    </row>
    <row r="9208" spans="1:16" x14ac:dyDescent="0.25">
      <c r="A9208" t="s">
        <v>14973</v>
      </c>
      <c r="B9208" t="s">
        <v>6850</v>
      </c>
      <c r="C9208" t="s">
        <v>3404</v>
      </c>
      <c r="D9208" t="str">
        <f>"11"</f>
        <v>11</v>
      </c>
      <c r="E9208" t="s">
        <v>288</v>
      </c>
      <c r="F9208" t="s">
        <v>2</v>
      </c>
      <c r="G9208" t="s">
        <v>16231</v>
      </c>
      <c r="H9208" t="s">
        <v>47054</v>
      </c>
      <c r="I9208" t="s">
        <v>47111</v>
      </c>
      <c r="J9208" t="s">
        <v>47112</v>
      </c>
      <c r="K9208" t="s">
        <v>47113</v>
      </c>
      <c r="L9208">
        <v>27.62</v>
      </c>
      <c r="M9208">
        <v>72</v>
      </c>
      <c r="N9208">
        <v>0</v>
      </c>
      <c r="O9208">
        <v>72</v>
      </c>
      <c r="P9208">
        <v>0</v>
      </c>
    </row>
    <row r="9209" spans="1:16" x14ac:dyDescent="0.25">
      <c r="A9209" t="s">
        <v>31795</v>
      </c>
      <c r="B9209" t="s">
        <v>6850</v>
      </c>
      <c r="C9209" t="s">
        <v>3404</v>
      </c>
      <c r="D9209" t="s">
        <v>2054</v>
      </c>
      <c r="E9209" t="s">
        <v>6827</v>
      </c>
      <c r="F9209" t="s">
        <v>2</v>
      </c>
      <c r="G9209" t="s">
        <v>16231</v>
      </c>
      <c r="H9209" t="s">
        <v>47054</v>
      </c>
      <c r="I9209" t="s">
        <v>47111</v>
      </c>
      <c r="J9209" t="s">
        <v>47112</v>
      </c>
      <c r="K9209" t="s">
        <v>47113</v>
      </c>
      <c r="L9209">
        <v>32.68</v>
      </c>
      <c r="M9209">
        <v>84</v>
      </c>
      <c r="N9209">
        <v>0</v>
      </c>
      <c r="O9209">
        <v>84</v>
      </c>
      <c r="P9209">
        <v>0</v>
      </c>
    </row>
    <row r="9210" spans="1:16" x14ac:dyDescent="0.25">
      <c r="A9210" t="s">
        <v>31796</v>
      </c>
      <c r="B9210" t="s">
        <v>6851</v>
      </c>
      <c r="C9210" t="s">
        <v>6361</v>
      </c>
      <c r="D9210" t="s">
        <v>311</v>
      </c>
      <c r="E9210" t="s">
        <v>3479</v>
      </c>
      <c r="F9210" t="s">
        <v>5</v>
      </c>
      <c r="G9210" t="s">
        <v>16231</v>
      </c>
      <c r="H9210" t="s">
        <v>47054</v>
      </c>
      <c r="I9210" t="s">
        <v>47111</v>
      </c>
      <c r="J9210" t="s">
        <v>47112</v>
      </c>
      <c r="K9210" t="s">
        <v>47113</v>
      </c>
      <c r="L9210">
        <v>30.95</v>
      </c>
      <c r="M9210">
        <v>73</v>
      </c>
      <c r="N9210">
        <v>0</v>
      </c>
      <c r="O9210">
        <v>73</v>
      </c>
      <c r="P9210">
        <v>0</v>
      </c>
    </row>
    <row r="9211" spans="1:16" x14ac:dyDescent="0.25">
      <c r="A9211" t="s">
        <v>31797</v>
      </c>
      <c r="B9211" t="s">
        <v>6851</v>
      </c>
      <c r="C9211" t="s">
        <v>6361</v>
      </c>
      <c r="D9211" t="s">
        <v>921</v>
      </c>
      <c r="E9211" t="s">
        <v>922</v>
      </c>
      <c r="F9211" t="s">
        <v>5</v>
      </c>
      <c r="G9211" t="s">
        <v>16231</v>
      </c>
      <c r="H9211" t="s">
        <v>47054</v>
      </c>
      <c r="I9211" t="s">
        <v>47111</v>
      </c>
      <c r="J9211" t="s">
        <v>47112</v>
      </c>
      <c r="K9211" t="s">
        <v>47113</v>
      </c>
      <c r="L9211">
        <v>36.57</v>
      </c>
      <c r="M9211">
        <v>84</v>
      </c>
      <c r="N9211">
        <v>0</v>
      </c>
      <c r="O9211">
        <v>84</v>
      </c>
      <c r="P9211">
        <v>0</v>
      </c>
    </row>
    <row r="9212" spans="1:16" x14ac:dyDescent="0.25">
      <c r="A9212" t="s">
        <v>31798</v>
      </c>
      <c r="B9212" t="s">
        <v>6852</v>
      </c>
      <c r="C9212" t="s">
        <v>6853</v>
      </c>
      <c r="D9212" t="s">
        <v>2454</v>
      </c>
      <c r="E9212" t="s">
        <v>2455</v>
      </c>
      <c r="F9212" t="s">
        <v>4</v>
      </c>
      <c r="G9212" t="s">
        <v>16231</v>
      </c>
      <c r="H9212" t="s">
        <v>47054</v>
      </c>
      <c r="I9212" t="s">
        <v>47111</v>
      </c>
      <c r="J9212" t="s">
        <v>47112</v>
      </c>
      <c r="K9212" t="s">
        <v>47113</v>
      </c>
      <c r="L9212">
        <v>60.66</v>
      </c>
      <c r="M9212">
        <v>138</v>
      </c>
      <c r="N9212">
        <v>0</v>
      </c>
      <c r="O9212">
        <v>138</v>
      </c>
      <c r="P9212">
        <v>0</v>
      </c>
    </row>
    <row r="9213" spans="1:16" x14ac:dyDescent="0.25">
      <c r="A9213" t="s">
        <v>31799</v>
      </c>
      <c r="B9213" t="s">
        <v>6854</v>
      </c>
      <c r="C9213" t="s">
        <v>6855</v>
      </c>
      <c r="D9213" t="s">
        <v>721</v>
      </c>
      <c r="E9213" t="s">
        <v>722</v>
      </c>
      <c r="F9213" t="s">
        <v>2</v>
      </c>
      <c r="G9213" t="s">
        <v>16231</v>
      </c>
      <c r="H9213" t="s">
        <v>47054</v>
      </c>
      <c r="I9213" t="s">
        <v>47111</v>
      </c>
      <c r="J9213" t="s">
        <v>47112</v>
      </c>
      <c r="K9213" t="s">
        <v>47113</v>
      </c>
      <c r="L9213">
        <v>24.39</v>
      </c>
      <c r="M9213">
        <v>75</v>
      </c>
      <c r="N9213">
        <v>0</v>
      </c>
      <c r="O9213">
        <v>75</v>
      </c>
      <c r="P9213">
        <v>0</v>
      </c>
    </row>
    <row r="9214" spans="1:16" x14ac:dyDescent="0.25">
      <c r="A9214" t="s">
        <v>31800</v>
      </c>
      <c r="B9214" t="s">
        <v>6854</v>
      </c>
      <c r="C9214" t="s">
        <v>6855</v>
      </c>
      <c r="D9214" t="s">
        <v>970</v>
      </c>
      <c r="E9214" t="s">
        <v>971</v>
      </c>
      <c r="F9214" t="s">
        <v>2</v>
      </c>
      <c r="G9214" t="s">
        <v>16231</v>
      </c>
      <c r="H9214" t="s">
        <v>47054</v>
      </c>
      <c r="I9214" t="s">
        <v>47111</v>
      </c>
      <c r="J9214" t="s">
        <v>47112</v>
      </c>
      <c r="K9214" t="s">
        <v>47113</v>
      </c>
      <c r="L9214">
        <v>41.31</v>
      </c>
      <c r="M9214">
        <v>90</v>
      </c>
      <c r="N9214">
        <v>0</v>
      </c>
      <c r="O9214">
        <v>90</v>
      </c>
      <c r="P9214">
        <v>0</v>
      </c>
    </row>
    <row r="9215" spans="1:16" x14ac:dyDescent="0.25">
      <c r="A9215" t="s">
        <v>31801</v>
      </c>
      <c r="B9215" t="s">
        <v>6854</v>
      </c>
      <c r="C9215" t="s">
        <v>6855</v>
      </c>
      <c r="D9215" t="s">
        <v>2407</v>
      </c>
      <c r="E9215" t="s">
        <v>2408</v>
      </c>
      <c r="F9215" t="s">
        <v>2</v>
      </c>
      <c r="G9215" t="s">
        <v>16231</v>
      </c>
      <c r="H9215" t="s">
        <v>47054</v>
      </c>
      <c r="I9215" t="s">
        <v>47111</v>
      </c>
      <c r="J9215" t="s">
        <v>47112</v>
      </c>
      <c r="K9215" t="s">
        <v>47113</v>
      </c>
      <c r="L9215">
        <v>36.14</v>
      </c>
      <c r="M9215">
        <v>80</v>
      </c>
      <c r="N9215">
        <v>0</v>
      </c>
      <c r="O9215">
        <v>80</v>
      </c>
      <c r="P9215">
        <v>0</v>
      </c>
    </row>
    <row r="9216" spans="1:16" x14ac:dyDescent="0.25">
      <c r="A9216" t="s">
        <v>31802</v>
      </c>
      <c r="B9216" t="s">
        <v>6854</v>
      </c>
      <c r="C9216" t="s">
        <v>6855</v>
      </c>
      <c r="D9216" t="s">
        <v>6823</v>
      </c>
      <c r="E9216" t="s">
        <v>6824</v>
      </c>
      <c r="F9216" t="s">
        <v>2</v>
      </c>
      <c r="G9216" t="s">
        <v>16231</v>
      </c>
      <c r="H9216" t="s">
        <v>47054</v>
      </c>
      <c r="I9216" t="s">
        <v>47111</v>
      </c>
      <c r="J9216" t="s">
        <v>47112</v>
      </c>
      <c r="K9216" t="s">
        <v>47113</v>
      </c>
      <c r="L9216">
        <v>40.07</v>
      </c>
      <c r="M9216">
        <v>90</v>
      </c>
      <c r="N9216">
        <v>0</v>
      </c>
      <c r="O9216">
        <v>90</v>
      </c>
      <c r="P9216">
        <v>0</v>
      </c>
    </row>
    <row r="9217" spans="1:16" x14ac:dyDescent="0.25">
      <c r="A9217" t="s">
        <v>31803</v>
      </c>
      <c r="B9217" t="s">
        <v>6856</v>
      </c>
      <c r="C9217" t="s">
        <v>17434</v>
      </c>
      <c r="D9217" t="s">
        <v>6810</v>
      </c>
      <c r="E9217" t="s">
        <v>6811</v>
      </c>
      <c r="F9217" t="s">
        <v>3558</v>
      </c>
      <c r="G9217" t="s">
        <v>16231</v>
      </c>
      <c r="H9217" t="s">
        <v>47054</v>
      </c>
      <c r="I9217" t="s">
        <v>47111</v>
      </c>
      <c r="J9217" t="s">
        <v>47112</v>
      </c>
      <c r="K9217" t="s">
        <v>47113</v>
      </c>
      <c r="L9217">
        <v>55.9</v>
      </c>
      <c r="M9217">
        <v>133</v>
      </c>
      <c r="N9217">
        <v>0</v>
      </c>
      <c r="O9217">
        <v>133</v>
      </c>
      <c r="P9217">
        <v>0</v>
      </c>
    </row>
    <row r="9218" spans="1:16" x14ac:dyDescent="0.25">
      <c r="A9218" t="s">
        <v>31804</v>
      </c>
      <c r="B9218" t="s">
        <v>6857</v>
      </c>
      <c r="C9218" t="s">
        <v>17435</v>
      </c>
      <c r="D9218" t="s">
        <v>6774</v>
      </c>
      <c r="E9218" t="s">
        <v>6775</v>
      </c>
      <c r="F9218" t="s">
        <v>3558</v>
      </c>
      <c r="G9218" t="s">
        <v>16231</v>
      </c>
      <c r="H9218" t="s">
        <v>47054</v>
      </c>
      <c r="I9218" t="s">
        <v>47111</v>
      </c>
      <c r="J9218" t="s">
        <v>47112</v>
      </c>
      <c r="K9218" t="s">
        <v>47113</v>
      </c>
      <c r="L9218">
        <v>54.16</v>
      </c>
      <c r="M9218">
        <v>111</v>
      </c>
      <c r="N9218">
        <v>0</v>
      </c>
      <c r="O9218">
        <v>111</v>
      </c>
      <c r="P9218">
        <v>0</v>
      </c>
    </row>
    <row r="9219" spans="1:16" x14ac:dyDescent="0.25">
      <c r="A9219" t="s">
        <v>31805</v>
      </c>
      <c r="B9219" t="s">
        <v>6858</v>
      </c>
      <c r="C9219" t="s">
        <v>6859</v>
      </c>
      <c r="D9219" t="s">
        <v>6778</v>
      </c>
      <c r="E9219" t="s">
        <v>6779</v>
      </c>
      <c r="F9219" t="s">
        <v>0</v>
      </c>
      <c r="G9219" t="s">
        <v>16231</v>
      </c>
      <c r="H9219" t="s">
        <v>47054</v>
      </c>
      <c r="I9219" t="s">
        <v>47111</v>
      </c>
      <c r="J9219" t="s">
        <v>47112</v>
      </c>
      <c r="K9219" t="s">
        <v>47113</v>
      </c>
      <c r="L9219">
        <v>60.64</v>
      </c>
      <c r="M9219">
        <v>140</v>
      </c>
      <c r="N9219">
        <v>0</v>
      </c>
      <c r="O9219">
        <v>140</v>
      </c>
      <c r="P9219">
        <v>0</v>
      </c>
    </row>
    <row r="9220" spans="1:16" x14ac:dyDescent="0.25">
      <c r="A9220" t="s">
        <v>31806</v>
      </c>
      <c r="B9220" t="s">
        <v>6860</v>
      </c>
      <c r="C9220" t="s">
        <v>6861</v>
      </c>
      <c r="D9220" t="s">
        <v>721</v>
      </c>
      <c r="E9220" t="s">
        <v>722</v>
      </c>
      <c r="F9220" t="s">
        <v>7</v>
      </c>
      <c r="G9220" t="s">
        <v>16231</v>
      </c>
      <c r="H9220" t="s">
        <v>47054</v>
      </c>
      <c r="I9220" t="s">
        <v>47111</v>
      </c>
      <c r="J9220" t="s">
        <v>47112</v>
      </c>
      <c r="K9220" t="s">
        <v>47113</v>
      </c>
      <c r="L9220">
        <v>26.09</v>
      </c>
      <c r="M9220">
        <v>72</v>
      </c>
      <c r="N9220">
        <v>0</v>
      </c>
      <c r="O9220">
        <v>72</v>
      </c>
      <c r="P9220">
        <v>0</v>
      </c>
    </row>
    <row r="9221" spans="1:16" x14ac:dyDescent="0.25">
      <c r="A9221" t="s">
        <v>31807</v>
      </c>
      <c r="B9221" t="s">
        <v>6860</v>
      </c>
      <c r="C9221" t="s">
        <v>6861</v>
      </c>
      <c r="D9221" t="s">
        <v>27</v>
      </c>
      <c r="E9221" t="s">
        <v>1043</v>
      </c>
      <c r="F9221" t="s">
        <v>7</v>
      </c>
      <c r="G9221" t="s">
        <v>16231</v>
      </c>
      <c r="H9221" t="s">
        <v>47054</v>
      </c>
      <c r="I9221" t="s">
        <v>47111</v>
      </c>
      <c r="J9221" t="s">
        <v>47112</v>
      </c>
      <c r="K9221" t="s">
        <v>47113</v>
      </c>
      <c r="L9221">
        <v>35.58</v>
      </c>
      <c r="M9221">
        <v>91</v>
      </c>
      <c r="N9221">
        <v>0</v>
      </c>
      <c r="O9221">
        <v>91</v>
      </c>
      <c r="P9221">
        <v>0</v>
      </c>
    </row>
    <row r="9222" spans="1:16" x14ac:dyDescent="0.25">
      <c r="A9222" t="s">
        <v>31808</v>
      </c>
      <c r="B9222" t="s">
        <v>6860</v>
      </c>
      <c r="C9222" t="s">
        <v>6861</v>
      </c>
      <c r="D9222" t="s">
        <v>2020</v>
      </c>
      <c r="E9222" t="s">
        <v>2021</v>
      </c>
      <c r="F9222" t="s">
        <v>7</v>
      </c>
      <c r="G9222" t="s">
        <v>16231</v>
      </c>
      <c r="H9222" t="s">
        <v>47054</v>
      </c>
      <c r="I9222" t="s">
        <v>47111</v>
      </c>
      <c r="J9222" t="s">
        <v>47112</v>
      </c>
      <c r="K9222" t="s">
        <v>47113</v>
      </c>
      <c r="L9222">
        <v>35.19</v>
      </c>
      <c r="M9222">
        <v>94</v>
      </c>
      <c r="N9222">
        <v>0</v>
      </c>
      <c r="O9222">
        <v>94</v>
      </c>
      <c r="P9222">
        <v>0</v>
      </c>
    </row>
    <row r="9223" spans="1:16" x14ac:dyDescent="0.25">
      <c r="A9223" t="s">
        <v>31809</v>
      </c>
      <c r="B9223" t="s">
        <v>6860</v>
      </c>
      <c r="C9223" t="s">
        <v>6861</v>
      </c>
      <c r="D9223" t="s">
        <v>970</v>
      </c>
      <c r="E9223" t="s">
        <v>971</v>
      </c>
      <c r="F9223" t="s">
        <v>2</v>
      </c>
      <c r="G9223" t="s">
        <v>16231</v>
      </c>
      <c r="H9223" t="s">
        <v>47054</v>
      </c>
      <c r="I9223" t="s">
        <v>47111</v>
      </c>
      <c r="J9223" t="s">
        <v>47112</v>
      </c>
      <c r="K9223" t="s">
        <v>47113</v>
      </c>
      <c r="L9223">
        <v>41.31</v>
      </c>
      <c r="M9223">
        <v>90</v>
      </c>
      <c r="N9223">
        <v>0</v>
      </c>
      <c r="O9223">
        <v>90</v>
      </c>
      <c r="P9223">
        <v>0</v>
      </c>
    </row>
    <row r="9224" spans="1:16" x14ac:dyDescent="0.25">
      <c r="A9224" t="s">
        <v>31810</v>
      </c>
      <c r="B9224" t="s">
        <v>6860</v>
      </c>
      <c r="C9224" t="s">
        <v>6861</v>
      </c>
      <c r="D9224" t="s">
        <v>2407</v>
      </c>
      <c r="E9224" t="s">
        <v>2408</v>
      </c>
      <c r="F9224" t="s">
        <v>2</v>
      </c>
      <c r="G9224" t="s">
        <v>16231</v>
      </c>
      <c r="H9224" t="s">
        <v>47054</v>
      </c>
      <c r="I9224" t="s">
        <v>47111</v>
      </c>
      <c r="J9224" t="s">
        <v>47112</v>
      </c>
      <c r="K9224" t="s">
        <v>47113</v>
      </c>
      <c r="L9224">
        <v>36.14</v>
      </c>
      <c r="M9224">
        <v>80</v>
      </c>
      <c r="N9224">
        <v>0</v>
      </c>
      <c r="O9224">
        <v>80</v>
      </c>
      <c r="P9224">
        <v>0</v>
      </c>
    </row>
    <row r="9225" spans="1:16" x14ac:dyDescent="0.25">
      <c r="A9225" t="s">
        <v>31811</v>
      </c>
      <c r="B9225" t="s">
        <v>6860</v>
      </c>
      <c r="C9225" t="s">
        <v>6861</v>
      </c>
      <c r="D9225" t="s">
        <v>6823</v>
      </c>
      <c r="E9225" t="s">
        <v>6824</v>
      </c>
      <c r="F9225" t="s">
        <v>2</v>
      </c>
      <c r="G9225" t="s">
        <v>16231</v>
      </c>
      <c r="H9225" t="s">
        <v>47054</v>
      </c>
      <c r="I9225" t="s">
        <v>47111</v>
      </c>
      <c r="J9225" t="s">
        <v>47112</v>
      </c>
      <c r="K9225" t="s">
        <v>47113</v>
      </c>
      <c r="L9225">
        <v>40.07</v>
      </c>
      <c r="M9225">
        <v>90</v>
      </c>
      <c r="N9225">
        <v>0</v>
      </c>
      <c r="O9225">
        <v>90</v>
      </c>
      <c r="P9225">
        <v>0</v>
      </c>
    </row>
    <row r="9226" spans="1:16" x14ac:dyDescent="0.25">
      <c r="A9226" t="s">
        <v>31812</v>
      </c>
      <c r="B9226" t="s">
        <v>6860</v>
      </c>
      <c r="C9226" t="s">
        <v>6861</v>
      </c>
      <c r="D9226" t="s">
        <v>6814</v>
      </c>
      <c r="E9226" t="s">
        <v>6815</v>
      </c>
      <c r="F9226" t="s">
        <v>2</v>
      </c>
      <c r="G9226" t="s">
        <v>16231</v>
      </c>
      <c r="H9226" t="s">
        <v>47054</v>
      </c>
      <c r="I9226" t="s">
        <v>47111</v>
      </c>
      <c r="J9226" t="s">
        <v>47112</v>
      </c>
      <c r="K9226" t="s">
        <v>47113</v>
      </c>
      <c r="L9226">
        <v>33.29</v>
      </c>
      <c r="M9226">
        <v>80</v>
      </c>
      <c r="N9226">
        <v>0</v>
      </c>
      <c r="O9226">
        <v>80</v>
      </c>
      <c r="P9226">
        <v>0</v>
      </c>
    </row>
    <row r="9227" spans="1:16" x14ac:dyDescent="0.25">
      <c r="A9227" t="s">
        <v>31813</v>
      </c>
      <c r="B9227" t="s">
        <v>6860</v>
      </c>
      <c r="C9227" t="s">
        <v>6861</v>
      </c>
      <c r="D9227" t="s">
        <v>6816</v>
      </c>
      <c r="E9227" t="s">
        <v>6817</v>
      </c>
      <c r="F9227" t="s">
        <v>2</v>
      </c>
      <c r="G9227" t="s">
        <v>16231</v>
      </c>
      <c r="H9227" t="s">
        <v>47054</v>
      </c>
      <c r="I9227" t="s">
        <v>47111</v>
      </c>
      <c r="J9227" t="s">
        <v>47112</v>
      </c>
      <c r="K9227" t="s">
        <v>47113</v>
      </c>
      <c r="L9227">
        <v>31.78</v>
      </c>
      <c r="M9227">
        <v>73</v>
      </c>
      <c r="N9227">
        <v>0</v>
      </c>
      <c r="O9227">
        <v>73</v>
      </c>
      <c r="P9227">
        <v>0</v>
      </c>
    </row>
    <row r="9228" spans="1:16" x14ac:dyDescent="0.25">
      <c r="A9228" t="s">
        <v>31814</v>
      </c>
      <c r="B9228" t="s">
        <v>6860</v>
      </c>
      <c r="C9228" t="s">
        <v>6861</v>
      </c>
      <c r="D9228" t="s">
        <v>976</v>
      </c>
      <c r="E9228" t="s">
        <v>977</v>
      </c>
      <c r="F9228" t="s">
        <v>2</v>
      </c>
      <c r="G9228" t="s">
        <v>16231</v>
      </c>
      <c r="H9228" t="s">
        <v>47054</v>
      </c>
      <c r="I9228" t="s">
        <v>47111</v>
      </c>
      <c r="J9228" t="s">
        <v>47112</v>
      </c>
      <c r="K9228" t="s">
        <v>47113</v>
      </c>
      <c r="L9228">
        <v>32.619999999999997</v>
      </c>
      <c r="M9228">
        <v>75</v>
      </c>
      <c r="N9228">
        <v>0</v>
      </c>
      <c r="O9228">
        <v>75</v>
      </c>
      <c r="P9228">
        <v>0</v>
      </c>
    </row>
    <row r="9229" spans="1:16" x14ac:dyDescent="0.25">
      <c r="A9229" t="s">
        <v>31815</v>
      </c>
      <c r="B9229" t="s">
        <v>6860</v>
      </c>
      <c r="C9229" t="s">
        <v>6861</v>
      </c>
      <c r="D9229" t="s">
        <v>6818</v>
      </c>
      <c r="E9229" t="s">
        <v>6819</v>
      </c>
      <c r="F9229" t="s">
        <v>2</v>
      </c>
      <c r="G9229" t="s">
        <v>16231</v>
      </c>
      <c r="H9229" t="s">
        <v>47054</v>
      </c>
      <c r="I9229" t="s">
        <v>47111</v>
      </c>
      <c r="J9229" t="s">
        <v>47112</v>
      </c>
      <c r="K9229" t="s">
        <v>47113</v>
      </c>
      <c r="L9229">
        <v>31.59</v>
      </c>
      <c r="M9229">
        <v>75</v>
      </c>
      <c r="N9229">
        <v>0</v>
      </c>
      <c r="O9229">
        <v>75</v>
      </c>
      <c r="P9229">
        <v>0</v>
      </c>
    </row>
    <row r="9230" spans="1:16" x14ac:dyDescent="0.25">
      <c r="A9230" t="s">
        <v>31816</v>
      </c>
      <c r="B9230" t="s">
        <v>6860</v>
      </c>
      <c r="C9230" t="s">
        <v>6861</v>
      </c>
      <c r="D9230" t="s">
        <v>921</v>
      </c>
      <c r="E9230" t="s">
        <v>922</v>
      </c>
      <c r="F9230" t="s">
        <v>2</v>
      </c>
      <c r="G9230" t="s">
        <v>16231</v>
      </c>
      <c r="H9230" t="s">
        <v>47054</v>
      </c>
      <c r="I9230" t="s">
        <v>47111</v>
      </c>
      <c r="J9230" t="s">
        <v>47112</v>
      </c>
      <c r="K9230" t="s">
        <v>47113</v>
      </c>
      <c r="L9230">
        <v>33.29</v>
      </c>
      <c r="M9230">
        <v>78</v>
      </c>
      <c r="N9230">
        <v>0</v>
      </c>
      <c r="O9230">
        <v>78</v>
      </c>
      <c r="P9230">
        <v>0</v>
      </c>
    </row>
    <row r="9231" spans="1:16" x14ac:dyDescent="0.25">
      <c r="A9231" t="s">
        <v>31817</v>
      </c>
      <c r="B9231" t="s">
        <v>6862</v>
      </c>
      <c r="C9231" t="s">
        <v>6863</v>
      </c>
      <c r="D9231" t="str">
        <f>"11"</f>
        <v>11</v>
      </c>
      <c r="E9231" t="s">
        <v>288</v>
      </c>
      <c r="F9231" t="s">
        <v>2</v>
      </c>
      <c r="G9231" t="s">
        <v>16231</v>
      </c>
      <c r="H9231" t="s">
        <v>47054</v>
      </c>
      <c r="I9231" t="s">
        <v>47111</v>
      </c>
      <c r="J9231" t="s">
        <v>47112</v>
      </c>
      <c r="K9231" t="s">
        <v>47113</v>
      </c>
      <c r="L9231">
        <v>27.37</v>
      </c>
      <c r="M9231">
        <v>65</v>
      </c>
      <c r="N9231">
        <v>0</v>
      </c>
      <c r="O9231">
        <v>65</v>
      </c>
      <c r="P9231">
        <v>0</v>
      </c>
    </row>
    <row r="9232" spans="1:16" x14ac:dyDescent="0.25">
      <c r="A9232" t="s">
        <v>31818</v>
      </c>
      <c r="B9232" t="s">
        <v>6862</v>
      </c>
      <c r="C9232" t="s">
        <v>6863</v>
      </c>
      <c r="D9232" t="s">
        <v>2054</v>
      </c>
      <c r="E9232" t="s">
        <v>6827</v>
      </c>
      <c r="F9232" t="s">
        <v>2</v>
      </c>
      <c r="G9232" t="s">
        <v>16231</v>
      </c>
      <c r="H9232" t="s">
        <v>47054</v>
      </c>
      <c r="I9232" t="s">
        <v>47111</v>
      </c>
      <c r="J9232" t="s">
        <v>47112</v>
      </c>
      <c r="K9232" t="s">
        <v>47113</v>
      </c>
      <c r="L9232">
        <v>33.020000000000003</v>
      </c>
      <c r="M9232">
        <v>77</v>
      </c>
      <c r="N9232">
        <v>0</v>
      </c>
      <c r="O9232">
        <v>77</v>
      </c>
      <c r="P9232">
        <v>0</v>
      </c>
    </row>
    <row r="9233" spans="1:16" x14ac:dyDescent="0.25">
      <c r="A9233" t="s">
        <v>31819</v>
      </c>
      <c r="B9233" t="s">
        <v>6864</v>
      </c>
      <c r="C9233" t="s">
        <v>5253</v>
      </c>
      <c r="D9233" t="s">
        <v>1349</v>
      </c>
      <c r="E9233" t="s">
        <v>1350</v>
      </c>
      <c r="F9233" t="s">
        <v>7</v>
      </c>
      <c r="G9233" t="s">
        <v>16231</v>
      </c>
      <c r="H9233" t="s">
        <v>47054</v>
      </c>
      <c r="I9233" t="s">
        <v>47111</v>
      </c>
      <c r="J9233" t="s">
        <v>47112</v>
      </c>
      <c r="K9233" t="s">
        <v>47113</v>
      </c>
      <c r="L9233">
        <v>35.979999999999997</v>
      </c>
      <c r="M9233">
        <v>99</v>
      </c>
      <c r="N9233">
        <v>0</v>
      </c>
      <c r="O9233">
        <v>99</v>
      </c>
      <c r="P9233">
        <v>0</v>
      </c>
    </row>
    <row r="9234" spans="1:16" x14ac:dyDescent="0.25">
      <c r="A9234" t="s">
        <v>31820</v>
      </c>
      <c r="B9234" t="s">
        <v>6864</v>
      </c>
      <c r="C9234" t="s">
        <v>5253</v>
      </c>
      <c r="D9234" t="s">
        <v>311</v>
      </c>
      <c r="E9234" t="s">
        <v>312</v>
      </c>
      <c r="F9234" t="s">
        <v>7</v>
      </c>
      <c r="G9234" t="s">
        <v>16231</v>
      </c>
      <c r="H9234" t="s">
        <v>47054</v>
      </c>
      <c r="I9234" t="s">
        <v>47111</v>
      </c>
      <c r="J9234" t="s">
        <v>47112</v>
      </c>
      <c r="K9234" t="s">
        <v>47113</v>
      </c>
      <c r="L9234">
        <v>29.64</v>
      </c>
      <c r="M9234">
        <v>85</v>
      </c>
      <c r="N9234">
        <v>0</v>
      </c>
      <c r="O9234">
        <v>85</v>
      </c>
      <c r="P9234">
        <v>0</v>
      </c>
    </row>
    <row r="9235" spans="1:16" x14ac:dyDescent="0.25">
      <c r="A9235" t="s">
        <v>31821</v>
      </c>
      <c r="B9235" t="s">
        <v>6865</v>
      </c>
      <c r="C9235" t="s">
        <v>5403</v>
      </c>
      <c r="D9235" t="str">
        <f>"1001"</f>
        <v>1001</v>
      </c>
      <c r="E9235" t="s">
        <v>6759</v>
      </c>
      <c r="F9235" t="s">
        <v>4</v>
      </c>
      <c r="G9235" t="s">
        <v>16231</v>
      </c>
      <c r="H9235" t="s">
        <v>47054</v>
      </c>
      <c r="I9235" t="s">
        <v>47111</v>
      </c>
      <c r="J9235" t="s">
        <v>47112</v>
      </c>
      <c r="K9235" t="s">
        <v>47113</v>
      </c>
      <c r="L9235">
        <v>47.75</v>
      </c>
      <c r="M9235">
        <v>116</v>
      </c>
      <c r="N9235">
        <v>0</v>
      </c>
      <c r="O9235">
        <v>116</v>
      </c>
      <c r="P9235">
        <v>0</v>
      </c>
    </row>
    <row r="9236" spans="1:16" x14ac:dyDescent="0.25">
      <c r="A9236" t="s">
        <v>31822</v>
      </c>
      <c r="B9236" t="s">
        <v>6865</v>
      </c>
      <c r="C9236" t="s">
        <v>5403</v>
      </c>
      <c r="D9236" t="str">
        <f>"2537"</f>
        <v>2537</v>
      </c>
      <c r="E9236" t="s">
        <v>6760</v>
      </c>
      <c r="F9236" t="s">
        <v>4</v>
      </c>
      <c r="G9236" t="s">
        <v>16231</v>
      </c>
      <c r="H9236" t="s">
        <v>47054</v>
      </c>
      <c r="I9236" t="s">
        <v>47111</v>
      </c>
      <c r="J9236" t="s">
        <v>47112</v>
      </c>
      <c r="K9236" t="s">
        <v>47113</v>
      </c>
      <c r="L9236">
        <v>47.75</v>
      </c>
      <c r="M9236">
        <v>116</v>
      </c>
      <c r="N9236">
        <v>0</v>
      </c>
      <c r="O9236">
        <v>116</v>
      </c>
      <c r="P9236">
        <v>0</v>
      </c>
    </row>
    <row r="9237" spans="1:16" x14ac:dyDescent="0.25">
      <c r="A9237" t="s">
        <v>31823</v>
      </c>
      <c r="B9237" t="s">
        <v>6865</v>
      </c>
      <c r="C9237" t="s">
        <v>5403</v>
      </c>
      <c r="D9237" t="s">
        <v>2652</v>
      </c>
      <c r="E9237" t="s">
        <v>2653</v>
      </c>
      <c r="F9237" t="s">
        <v>5</v>
      </c>
      <c r="G9237" t="s">
        <v>16231</v>
      </c>
      <c r="H9237" t="s">
        <v>47054</v>
      </c>
      <c r="I9237" t="s">
        <v>47111</v>
      </c>
      <c r="J9237" t="s">
        <v>47112</v>
      </c>
      <c r="K9237" t="s">
        <v>47113</v>
      </c>
      <c r="L9237">
        <v>39.700000000000003</v>
      </c>
      <c r="M9237">
        <v>103</v>
      </c>
      <c r="N9237">
        <v>0</v>
      </c>
      <c r="O9237">
        <v>103</v>
      </c>
      <c r="P9237">
        <v>0</v>
      </c>
    </row>
    <row r="9238" spans="1:16" x14ac:dyDescent="0.25">
      <c r="A9238" t="s">
        <v>31824</v>
      </c>
      <c r="B9238" t="s">
        <v>6865</v>
      </c>
      <c r="C9238" t="s">
        <v>5403</v>
      </c>
      <c r="D9238" t="s">
        <v>1718</v>
      </c>
      <c r="E9238" t="s">
        <v>1719</v>
      </c>
      <c r="F9238" t="s">
        <v>5</v>
      </c>
      <c r="G9238" t="s">
        <v>16231</v>
      </c>
      <c r="H9238" t="s">
        <v>47054</v>
      </c>
      <c r="I9238" t="s">
        <v>47111</v>
      </c>
      <c r="J9238" t="s">
        <v>47112</v>
      </c>
      <c r="K9238" t="s">
        <v>47113</v>
      </c>
      <c r="L9238">
        <v>33.51</v>
      </c>
      <c r="M9238">
        <v>87</v>
      </c>
      <c r="N9238">
        <v>0</v>
      </c>
      <c r="O9238">
        <v>87</v>
      </c>
      <c r="P9238">
        <v>0</v>
      </c>
    </row>
    <row r="9239" spans="1:16" x14ac:dyDescent="0.25">
      <c r="A9239" t="s">
        <v>31825</v>
      </c>
      <c r="B9239" t="s">
        <v>6866</v>
      </c>
      <c r="C9239" t="s">
        <v>5405</v>
      </c>
      <c r="D9239" t="str">
        <f>"1001"</f>
        <v>1001</v>
      </c>
      <c r="E9239" t="s">
        <v>6759</v>
      </c>
      <c r="F9239" t="s">
        <v>4</v>
      </c>
      <c r="G9239" t="s">
        <v>16231</v>
      </c>
      <c r="H9239" t="s">
        <v>47054</v>
      </c>
      <c r="I9239" t="s">
        <v>47111</v>
      </c>
      <c r="J9239" t="s">
        <v>47112</v>
      </c>
      <c r="K9239" t="s">
        <v>47113</v>
      </c>
      <c r="L9239">
        <v>47.95</v>
      </c>
      <c r="M9239">
        <v>117</v>
      </c>
      <c r="N9239">
        <v>0</v>
      </c>
      <c r="O9239">
        <v>117</v>
      </c>
      <c r="P9239">
        <v>0</v>
      </c>
    </row>
    <row r="9240" spans="1:16" x14ac:dyDescent="0.25">
      <c r="A9240" t="s">
        <v>31826</v>
      </c>
      <c r="B9240" t="s">
        <v>6866</v>
      </c>
      <c r="C9240" t="s">
        <v>5405</v>
      </c>
      <c r="D9240" t="str">
        <f>"2537"</f>
        <v>2537</v>
      </c>
      <c r="E9240" t="s">
        <v>6760</v>
      </c>
      <c r="F9240" t="s">
        <v>4</v>
      </c>
      <c r="G9240" t="s">
        <v>16231</v>
      </c>
      <c r="H9240" t="s">
        <v>47054</v>
      </c>
      <c r="I9240" t="s">
        <v>47111</v>
      </c>
      <c r="J9240" t="s">
        <v>47112</v>
      </c>
      <c r="K9240" t="s">
        <v>47113</v>
      </c>
      <c r="L9240">
        <v>47.95</v>
      </c>
      <c r="M9240">
        <v>117</v>
      </c>
      <c r="N9240">
        <v>0</v>
      </c>
      <c r="O9240">
        <v>117</v>
      </c>
      <c r="P9240">
        <v>0</v>
      </c>
    </row>
    <row r="9241" spans="1:16" x14ac:dyDescent="0.25">
      <c r="A9241" t="s">
        <v>31827</v>
      </c>
      <c r="B9241" t="s">
        <v>6866</v>
      </c>
      <c r="C9241" t="s">
        <v>5405</v>
      </c>
      <c r="D9241" t="str">
        <f>"6387"</f>
        <v>6387</v>
      </c>
      <c r="E9241" t="s">
        <v>6010</v>
      </c>
      <c r="F9241" t="s">
        <v>4</v>
      </c>
      <c r="G9241" t="s">
        <v>16231</v>
      </c>
      <c r="H9241" t="s">
        <v>47054</v>
      </c>
      <c r="I9241" t="s">
        <v>47111</v>
      </c>
      <c r="J9241" t="s">
        <v>47112</v>
      </c>
      <c r="K9241" t="s">
        <v>47113</v>
      </c>
      <c r="L9241">
        <v>47.12</v>
      </c>
      <c r="M9241">
        <v>115</v>
      </c>
      <c r="N9241">
        <v>0</v>
      </c>
      <c r="O9241">
        <v>115</v>
      </c>
      <c r="P9241">
        <v>0</v>
      </c>
    </row>
    <row r="9242" spans="1:16" x14ac:dyDescent="0.25">
      <c r="A9242" t="s">
        <v>31828</v>
      </c>
      <c r="B9242" t="s">
        <v>6866</v>
      </c>
      <c r="C9242" t="s">
        <v>5405</v>
      </c>
      <c r="D9242" t="s">
        <v>2652</v>
      </c>
      <c r="E9242" t="s">
        <v>2653</v>
      </c>
      <c r="F9242" t="s">
        <v>5</v>
      </c>
      <c r="G9242" t="s">
        <v>16231</v>
      </c>
      <c r="H9242" t="s">
        <v>47054</v>
      </c>
      <c r="I9242" t="s">
        <v>47111</v>
      </c>
      <c r="J9242" t="s">
        <v>47112</v>
      </c>
      <c r="K9242" t="s">
        <v>47113</v>
      </c>
      <c r="L9242">
        <v>39.700000000000003</v>
      </c>
      <c r="M9242">
        <v>92</v>
      </c>
      <c r="N9242">
        <v>0</v>
      </c>
      <c r="O9242">
        <v>92</v>
      </c>
      <c r="P9242">
        <v>0</v>
      </c>
    </row>
    <row r="9243" spans="1:16" x14ac:dyDescent="0.25">
      <c r="A9243" t="s">
        <v>31829</v>
      </c>
      <c r="B9243" t="s">
        <v>6866</v>
      </c>
      <c r="C9243" t="s">
        <v>5405</v>
      </c>
      <c r="D9243" t="s">
        <v>1718</v>
      </c>
      <c r="E9243" t="s">
        <v>1719</v>
      </c>
      <c r="F9243" t="s">
        <v>5</v>
      </c>
      <c r="G9243" t="s">
        <v>16231</v>
      </c>
      <c r="H9243" t="s">
        <v>47054</v>
      </c>
      <c r="I9243" t="s">
        <v>47111</v>
      </c>
      <c r="J9243" t="s">
        <v>47112</v>
      </c>
      <c r="K9243" t="s">
        <v>47113</v>
      </c>
      <c r="L9243">
        <v>33.51</v>
      </c>
      <c r="M9243">
        <v>87</v>
      </c>
      <c r="N9243">
        <v>0</v>
      </c>
      <c r="O9243">
        <v>87</v>
      </c>
      <c r="P9243">
        <v>0</v>
      </c>
    </row>
    <row r="9244" spans="1:16" x14ac:dyDescent="0.25">
      <c r="A9244" t="s">
        <v>31830</v>
      </c>
      <c r="B9244" t="s">
        <v>6867</v>
      </c>
      <c r="C9244" t="s">
        <v>6868</v>
      </c>
      <c r="D9244" t="str">
        <f>"11"</f>
        <v>11</v>
      </c>
      <c r="E9244" t="s">
        <v>288</v>
      </c>
      <c r="F9244" t="s">
        <v>7</v>
      </c>
      <c r="G9244" t="s">
        <v>16231</v>
      </c>
      <c r="H9244" t="s">
        <v>47054</v>
      </c>
      <c r="I9244" t="s">
        <v>47111</v>
      </c>
      <c r="J9244" t="s">
        <v>47112</v>
      </c>
      <c r="K9244" t="s">
        <v>47113</v>
      </c>
      <c r="L9244">
        <v>31.48</v>
      </c>
      <c r="M9244">
        <v>73</v>
      </c>
      <c r="N9244">
        <v>0</v>
      </c>
      <c r="O9244">
        <v>73</v>
      </c>
      <c r="P9244">
        <v>0</v>
      </c>
    </row>
    <row r="9245" spans="1:16" x14ac:dyDescent="0.25">
      <c r="A9245" t="s">
        <v>31831</v>
      </c>
      <c r="B9245" t="s">
        <v>6867</v>
      </c>
      <c r="C9245" t="s">
        <v>6868</v>
      </c>
      <c r="D9245" t="s">
        <v>694</v>
      </c>
      <c r="E9245" t="s">
        <v>695</v>
      </c>
      <c r="F9245" t="s">
        <v>7</v>
      </c>
      <c r="G9245" t="s">
        <v>16231</v>
      </c>
      <c r="H9245" t="s">
        <v>47054</v>
      </c>
      <c r="I9245" t="s">
        <v>47111</v>
      </c>
      <c r="J9245" t="s">
        <v>47112</v>
      </c>
      <c r="K9245" t="s">
        <v>47113</v>
      </c>
      <c r="L9245">
        <v>31.28</v>
      </c>
      <c r="M9245">
        <v>78</v>
      </c>
      <c r="N9245">
        <v>0</v>
      </c>
      <c r="O9245">
        <v>78</v>
      </c>
      <c r="P9245">
        <v>0</v>
      </c>
    </row>
    <row r="9246" spans="1:16" x14ac:dyDescent="0.25">
      <c r="A9246" t="s">
        <v>31832</v>
      </c>
      <c r="B9246" t="s">
        <v>6867</v>
      </c>
      <c r="C9246" t="s">
        <v>6868</v>
      </c>
      <c r="D9246" t="s">
        <v>2054</v>
      </c>
      <c r="E9246" t="s">
        <v>6382</v>
      </c>
      <c r="F9246" t="s">
        <v>3</v>
      </c>
      <c r="G9246" t="s">
        <v>16231</v>
      </c>
      <c r="H9246" t="s">
        <v>47054</v>
      </c>
      <c r="I9246" t="s">
        <v>47111</v>
      </c>
      <c r="J9246" t="s">
        <v>47112</v>
      </c>
      <c r="K9246" t="s">
        <v>47113</v>
      </c>
      <c r="L9246">
        <v>35.119999999999997</v>
      </c>
      <c r="M9246">
        <v>78</v>
      </c>
      <c r="N9246">
        <v>0</v>
      </c>
      <c r="O9246">
        <v>78</v>
      </c>
      <c r="P9246">
        <v>0</v>
      </c>
    </row>
    <row r="9247" spans="1:16" x14ac:dyDescent="0.25">
      <c r="A9247" t="s">
        <v>31833</v>
      </c>
      <c r="B9247" t="s">
        <v>6869</v>
      </c>
      <c r="C9247" t="s">
        <v>6370</v>
      </c>
      <c r="D9247" t="str">
        <f>"11"</f>
        <v>11</v>
      </c>
      <c r="E9247" t="s">
        <v>288</v>
      </c>
      <c r="F9247" t="s">
        <v>7</v>
      </c>
      <c r="G9247" t="s">
        <v>16231</v>
      </c>
      <c r="H9247" t="s">
        <v>47054</v>
      </c>
      <c r="I9247" t="s">
        <v>47111</v>
      </c>
      <c r="J9247" t="s">
        <v>47112</v>
      </c>
      <c r="K9247" t="s">
        <v>47113</v>
      </c>
      <c r="L9247">
        <v>32.979999999999997</v>
      </c>
      <c r="M9247">
        <v>78</v>
      </c>
      <c r="N9247">
        <v>0</v>
      </c>
      <c r="O9247">
        <v>78</v>
      </c>
      <c r="P9247">
        <v>0</v>
      </c>
    </row>
    <row r="9248" spans="1:16" x14ac:dyDescent="0.25">
      <c r="A9248" t="s">
        <v>31834</v>
      </c>
      <c r="B9248" t="s">
        <v>6869</v>
      </c>
      <c r="C9248" t="s">
        <v>6370</v>
      </c>
      <c r="D9248" t="s">
        <v>694</v>
      </c>
      <c r="E9248" t="s">
        <v>695</v>
      </c>
      <c r="F9248" t="s">
        <v>7</v>
      </c>
      <c r="G9248" t="s">
        <v>16231</v>
      </c>
      <c r="H9248" t="s">
        <v>47054</v>
      </c>
      <c r="I9248" t="s">
        <v>47111</v>
      </c>
      <c r="J9248" t="s">
        <v>47112</v>
      </c>
      <c r="K9248" t="s">
        <v>47113</v>
      </c>
      <c r="L9248">
        <v>30.88</v>
      </c>
      <c r="M9248">
        <v>78</v>
      </c>
      <c r="N9248">
        <v>0</v>
      </c>
      <c r="O9248">
        <v>78</v>
      </c>
      <c r="P9248">
        <v>0</v>
      </c>
    </row>
    <row r="9249" spans="1:16" x14ac:dyDescent="0.25">
      <c r="A9249" t="s">
        <v>31835</v>
      </c>
      <c r="B9249" t="s">
        <v>6869</v>
      </c>
      <c r="C9249" t="s">
        <v>6370</v>
      </c>
      <c r="D9249" t="s">
        <v>2054</v>
      </c>
      <c r="E9249" t="s">
        <v>6870</v>
      </c>
      <c r="F9249" t="s">
        <v>6</v>
      </c>
      <c r="G9249" t="s">
        <v>16231</v>
      </c>
      <c r="H9249" t="s">
        <v>47054</v>
      </c>
      <c r="I9249" t="s">
        <v>47111</v>
      </c>
      <c r="J9249" t="s">
        <v>47112</v>
      </c>
      <c r="K9249" t="s">
        <v>47113</v>
      </c>
      <c r="L9249">
        <v>38.049999999999997</v>
      </c>
      <c r="M9249">
        <v>83</v>
      </c>
      <c r="N9249">
        <v>0</v>
      </c>
      <c r="O9249">
        <v>83</v>
      </c>
      <c r="P9249">
        <v>0</v>
      </c>
    </row>
    <row r="9250" spans="1:16" x14ac:dyDescent="0.25">
      <c r="A9250" t="s">
        <v>31836</v>
      </c>
      <c r="B9250" t="s">
        <v>6871</v>
      </c>
      <c r="C9250" t="s">
        <v>5407</v>
      </c>
      <c r="D9250" t="s">
        <v>1718</v>
      </c>
      <c r="E9250" t="s">
        <v>1719</v>
      </c>
      <c r="F9250" t="s">
        <v>5</v>
      </c>
      <c r="G9250" t="s">
        <v>16224</v>
      </c>
      <c r="H9250" t="s">
        <v>47054</v>
      </c>
      <c r="I9250" t="s">
        <v>47111</v>
      </c>
      <c r="J9250" t="s">
        <v>47112</v>
      </c>
      <c r="K9250" t="s">
        <v>47113</v>
      </c>
      <c r="L9250">
        <v>48.19</v>
      </c>
      <c r="M9250">
        <v>125</v>
      </c>
      <c r="N9250">
        <v>0</v>
      </c>
      <c r="O9250">
        <v>125</v>
      </c>
      <c r="P9250">
        <v>0</v>
      </c>
    </row>
    <row r="9251" spans="1:16" x14ac:dyDescent="0.25">
      <c r="A9251" t="s">
        <v>31837</v>
      </c>
      <c r="B9251" t="s">
        <v>6872</v>
      </c>
      <c r="C9251" t="s">
        <v>6873</v>
      </c>
      <c r="D9251" t="s">
        <v>6800</v>
      </c>
      <c r="E9251" t="s">
        <v>6801</v>
      </c>
      <c r="F9251" t="s">
        <v>2068</v>
      </c>
      <c r="G9251" t="s">
        <v>16224</v>
      </c>
      <c r="H9251" t="s">
        <v>47054</v>
      </c>
      <c r="I9251" t="s">
        <v>47116</v>
      </c>
      <c r="J9251" t="s">
        <v>47117</v>
      </c>
      <c r="K9251" t="s">
        <v>47113</v>
      </c>
      <c r="L9251">
        <v>52.45</v>
      </c>
      <c r="M9251">
        <v>124</v>
      </c>
      <c r="N9251">
        <v>0</v>
      </c>
      <c r="O9251">
        <v>124</v>
      </c>
      <c r="P9251">
        <v>0</v>
      </c>
    </row>
    <row r="9252" spans="1:16" x14ac:dyDescent="0.25">
      <c r="A9252" t="s">
        <v>31838</v>
      </c>
      <c r="B9252" t="s">
        <v>6874</v>
      </c>
      <c r="C9252" t="s">
        <v>5689</v>
      </c>
      <c r="D9252" t="str">
        <f>"11"</f>
        <v>11</v>
      </c>
      <c r="E9252" t="s">
        <v>288</v>
      </c>
      <c r="F9252" t="s">
        <v>7</v>
      </c>
      <c r="G9252" t="s">
        <v>16231</v>
      </c>
      <c r="H9252" t="s">
        <v>47054</v>
      </c>
      <c r="I9252" t="s">
        <v>47111</v>
      </c>
      <c r="J9252" t="s">
        <v>47112</v>
      </c>
      <c r="K9252" t="s">
        <v>47113</v>
      </c>
      <c r="L9252">
        <v>30.05</v>
      </c>
      <c r="M9252">
        <v>78</v>
      </c>
      <c r="N9252">
        <v>0</v>
      </c>
      <c r="O9252">
        <v>78</v>
      </c>
      <c r="P9252">
        <v>0</v>
      </c>
    </row>
    <row r="9253" spans="1:16" x14ac:dyDescent="0.25">
      <c r="A9253" t="s">
        <v>31839</v>
      </c>
      <c r="B9253" t="s">
        <v>6874</v>
      </c>
      <c r="C9253" t="s">
        <v>5689</v>
      </c>
      <c r="D9253" t="s">
        <v>2054</v>
      </c>
      <c r="E9253" t="s">
        <v>6870</v>
      </c>
      <c r="F9253" t="s">
        <v>6</v>
      </c>
      <c r="G9253" t="s">
        <v>16231</v>
      </c>
      <c r="H9253" t="s">
        <v>47054</v>
      </c>
      <c r="I9253" t="s">
        <v>47111</v>
      </c>
      <c r="J9253" t="s">
        <v>47112</v>
      </c>
      <c r="K9253" t="s">
        <v>47113</v>
      </c>
      <c r="L9253">
        <v>35.07</v>
      </c>
      <c r="M9253">
        <v>83</v>
      </c>
      <c r="N9253">
        <v>0</v>
      </c>
      <c r="O9253">
        <v>83</v>
      </c>
      <c r="P9253">
        <v>0</v>
      </c>
    </row>
    <row r="9254" spans="1:16" x14ac:dyDescent="0.25">
      <c r="A9254" t="s">
        <v>31840</v>
      </c>
      <c r="B9254" t="s">
        <v>6875</v>
      </c>
      <c r="C9254" t="s">
        <v>6876</v>
      </c>
      <c r="D9254" t="str">
        <f>"1001"</f>
        <v>1001</v>
      </c>
      <c r="E9254" t="s">
        <v>6759</v>
      </c>
      <c r="F9254" t="s">
        <v>4</v>
      </c>
      <c r="G9254" t="s">
        <v>16231</v>
      </c>
      <c r="H9254" t="s">
        <v>47054</v>
      </c>
      <c r="I9254" t="s">
        <v>47111</v>
      </c>
      <c r="J9254" t="s">
        <v>47112</v>
      </c>
      <c r="K9254" t="s">
        <v>47113</v>
      </c>
      <c r="L9254">
        <v>47.95</v>
      </c>
      <c r="M9254">
        <v>117</v>
      </c>
      <c r="N9254">
        <v>0</v>
      </c>
      <c r="O9254">
        <v>117</v>
      </c>
      <c r="P9254">
        <v>0</v>
      </c>
    </row>
    <row r="9255" spans="1:16" x14ac:dyDescent="0.25">
      <c r="A9255" t="s">
        <v>31841</v>
      </c>
      <c r="B9255" t="s">
        <v>6875</v>
      </c>
      <c r="C9255" t="s">
        <v>6876</v>
      </c>
      <c r="D9255" t="str">
        <f>"2537"</f>
        <v>2537</v>
      </c>
      <c r="E9255" t="s">
        <v>6760</v>
      </c>
      <c r="F9255" t="s">
        <v>4</v>
      </c>
      <c r="G9255" t="s">
        <v>16231</v>
      </c>
      <c r="H9255" t="s">
        <v>47054</v>
      </c>
      <c r="I9255" t="s">
        <v>47111</v>
      </c>
      <c r="J9255" t="s">
        <v>47112</v>
      </c>
      <c r="K9255" t="s">
        <v>47113</v>
      </c>
      <c r="L9255">
        <v>47.95</v>
      </c>
      <c r="M9255">
        <v>117</v>
      </c>
      <c r="N9255">
        <v>0</v>
      </c>
      <c r="O9255">
        <v>117</v>
      </c>
      <c r="P9255">
        <v>0</v>
      </c>
    </row>
    <row r="9256" spans="1:16" x14ac:dyDescent="0.25">
      <c r="A9256" t="s">
        <v>31842</v>
      </c>
      <c r="B9256" t="s">
        <v>6875</v>
      </c>
      <c r="C9256" t="s">
        <v>6876</v>
      </c>
      <c r="D9256" t="s">
        <v>2652</v>
      </c>
      <c r="E9256" t="s">
        <v>2653</v>
      </c>
      <c r="F9256" t="s">
        <v>5</v>
      </c>
      <c r="G9256" t="s">
        <v>16231</v>
      </c>
      <c r="H9256" t="s">
        <v>47054</v>
      </c>
      <c r="I9256" t="s">
        <v>47111</v>
      </c>
      <c r="J9256" t="s">
        <v>47112</v>
      </c>
      <c r="K9256" t="s">
        <v>47113</v>
      </c>
      <c r="L9256">
        <v>39.700000000000003</v>
      </c>
      <c r="M9256">
        <v>103</v>
      </c>
      <c r="N9256">
        <v>0</v>
      </c>
      <c r="O9256">
        <v>103</v>
      </c>
      <c r="P9256">
        <v>0</v>
      </c>
    </row>
    <row r="9257" spans="1:16" x14ac:dyDescent="0.25">
      <c r="A9257" t="s">
        <v>31843</v>
      </c>
      <c r="B9257" t="s">
        <v>6875</v>
      </c>
      <c r="C9257" t="s">
        <v>6876</v>
      </c>
      <c r="D9257" t="s">
        <v>1718</v>
      </c>
      <c r="E9257" t="s">
        <v>1719</v>
      </c>
      <c r="F9257" t="s">
        <v>5</v>
      </c>
      <c r="G9257" t="s">
        <v>16231</v>
      </c>
      <c r="H9257" t="s">
        <v>47054</v>
      </c>
      <c r="I9257" t="s">
        <v>47111</v>
      </c>
      <c r="J9257" t="s">
        <v>47112</v>
      </c>
      <c r="K9257" t="s">
        <v>47113</v>
      </c>
      <c r="L9257">
        <v>33.51</v>
      </c>
      <c r="M9257">
        <v>87</v>
      </c>
      <c r="N9257">
        <v>0</v>
      </c>
      <c r="O9257">
        <v>87</v>
      </c>
      <c r="P9257">
        <v>0</v>
      </c>
    </row>
    <row r="9258" spans="1:16" x14ac:dyDescent="0.25">
      <c r="A9258" t="s">
        <v>31844</v>
      </c>
      <c r="B9258" t="s">
        <v>6877</v>
      </c>
      <c r="C9258" t="s">
        <v>6878</v>
      </c>
      <c r="D9258" t="s">
        <v>311</v>
      </c>
      <c r="E9258" t="s">
        <v>3479</v>
      </c>
      <c r="F9258" t="s">
        <v>5</v>
      </c>
      <c r="G9258" t="s">
        <v>16231</v>
      </c>
      <c r="H9258" t="s">
        <v>47054</v>
      </c>
      <c r="I9258" t="s">
        <v>47111</v>
      </c>
      <c r="J9258" t="s">
        <v>47112</v>
      </c>
      <c r="K9258" t="s">
        <v>47113</v>
      </c>
      <c r="L9258">
        <v>30.95</v>
      </c>
      <c r="M9258">
        <v>73</v>
      </c>
      <c r="N9258">
        <v>0</v>
      </c>
      <c r="O9258">
        <v>73</v>
      </c>
      <c r="P9258">
        <v>0</v>
      </c>
    </row>
    <row r="9259" spans="1:16" x14ac:dyDescent="0.25">
      <c r="A9259" t="s">
        <v>31845</v>
      </c>
      <c r="B9259" t="s">
        <v>6877</v>
      </c>
      <c r="C9259" t="s">
        <v>6878</v>
      </c>
      <c r="D9259" t="s">
        <v>921</v>
      </c>
      <c r="E9259" t="s">
        <v>922</v>
      </c>
      <c r="F9259" t="s">
        <v>5</v>
      </c>
      <c r="G9259" t="s">
        <v>16231</v>
      </c>
      <c r="H9259" t="s">
        <v>47054</v>
      </c>
      <c r="I9259" t="s">
        <v>47111</v>
      </c>
      <c r="J9259" t="s">
        <v>47112</v>
      </c>
      <c r="K9259" t="s">
        <v>47113</v>
      </c>
      <c r="L9259">
        <v>36.57</v>
      </c>
      <c r="M9259">
        <v>84</v>
      </c>
      <c r="N9259">
        <v>0</v>
      </c>
      <c r="O9259">
        <v>84</v>
      </c>
      <c r="P9259">
        <v>0</v>
      </c>
    </row>
    <row r="9260" spans="1:16" x14ac:dyDescent="0.25">
      <c r="A9260" t="s">
        <v>31846</v>
      </c>
      <c r="B9260" t="s">
        <v>6879</v>
      </c>
      <c r="C9260" t="s">
        <v>6880</v>
      </c>
      <c r="D9260" t="s">
        <v>970</v>
      </c>
      <c r="E9260" t="s">
        <v>971</v>
      </c>
      <c r="F9260" t="s">
        <v>2</v>
      </c>
      <c r="G9260" t="s">
        <v>16231</v>
      </c>
      <c r="H9260" t="s">
        <v>47054</v>
      </c>
      <c r="I9260" t="s">
        <v>47111</v>
      </c>
      <c r="J9260" t="s">
        <v>47112</v>
      </c>
      <c r="K9260" t="s">
        <v>47113</v>
      </c>
      <c r="L9260">
        <v>37.799999999999997</v>
      </c>
      <c r="M9260">
        <v>90</v>
      </c>
      <c r="N9260">
        <v>0</v>
      </c>
      <c r="O9260">
        <v>90</v>
      </c>
      <c r="P9260">
        <v>0</v>
      </c>
    </row>
    <row r="9261" spans="1:16" x14ac:dyDescent="0.25">
      <c r="A9261" t="s">
        <v>31847</v>
      </c>
      <c r="B9261" t="s">
        <v>6879</v>
      </c>
      <c r="C9261" t="s">
        <v>6880</v>
      </c>
      <c r="D9261" t="s">
        <v>2407</v>
      </c>
      <c r="E9261" t="s">
        <v>2408</v>
      </c>
      <c r="F9261" t="s">
        <v>2</v>
      </c>
      <c r="G9261" t="s">
        <v>16231</v>
      </c>
      <c r="H9261" t="s">
        <v>47054</v>
      </c>
      <c r="I9261" t="s">
        <v>47111</v>
      </c>
      <c r="J9261" t="s">
        <v>47112</v>
      </c>
      <c r="K9261" t="s">
        <v>47113</v>
      </c>
      <c r="L9261">
        <v>32.69</v>
      </c>
      <c r="M9261">
        <v>80</v>
      </c>
      <c r="N9261">
        <v>0</v>
      </c>
      <c r="O9261">
        <v>80</v>
      </c>
      <c r="P9261">
        <v>0</v>
      </c>
    </row>
    <row r="9262" spans="1:16" x14ac:dyDescent="0.25">
      <c r="A9262" t="s">
        <v>31848</v>
      </c>
      <c r="B9262" t="s">
        <v>6879</v>
      </c>
      <c r="C9262" t="s">
        <v>6880</v>
      </c>
      <c r="D9262" t="s">
        <v>6823</v>
      </c>
      <c r="E9262" t="s">
        <v>6824</v>
      </c>
      <c r="F9262" t="s">
        <v>2</v>
      </c>
      <c r="G9262" t="s">
        <v>16231</v>
      </c>
      <c r="H9262" t="s">
        <v>47054</v>
      </c>
      <c r="I9262" t="s">
        <v>47111</v>
      </c>
      <c r="J9262" t="s">
        <v>47112</v>
      </c>
      <c r="K9262" t="s">
        <v>47113</v>
      </c>
      <c r="L9262">
        <v>36.56</v>
      </c>
      <c r="M9262">
        <v>90</v>
      </c>
      <c r="N9262">
        <v>0</v>
      </c>
      <c r="O9262">
        <v>90</v>
      </c>
      <c r="P9262">
        <v>0</v>
      </c>
    </row>
    <row r="9263" spans="1:16" x14ac:dyDescent="0.25">
      <c r="A9263" t="s">
        <v>31849</v>
      </c>
      <c r="B9263" t="s">
        <v>6881</v>
      </c>
      <c r="C9263" t="s">
        <v>6882</v>
      </c>
      <c r="D9263" t="s">
        <v>970</v>
      </c>
      <c r="E9263" t="s">
        <v>971</v>
      </c>
      <c r="F9263" t="s">
        <v>2</v>
      </c>
      <c r="G9263" t="s">
        <v>16231</v>
      </c>
      <c r="H9263" t="s">
        <v>47054</v>
      </c>
      <c r="I9263" t="s">
        <v>47111</v>
      </c>
      <c r="J9263" t="s">
        <v>47112</v>
      </c>
      <c r="K9263" t="s">
        <v>47113</v>
      </c>
      <c r="L9263">
        <v>37.880000000000003</v>
      </c>
      <c r="M9263">
        <v>90</v>
      </c>
      <c r="N9263">
        <v>0</v>
      </c>
      <c r="O9263">
        <v>90</v>
      </c>
      <c r="P9263">
        <v>0</v>
      </c>
    </row>
    <row r="9264" spans="1:16" x14ac:dyDescent="0.25">
      <c r="A9264" t="s">
        <v>31850</v>
      </c>
      <c r="B9264" t="s">
        <v>6881</v>
      </c>
      <c r="C9264" t="s">
        <v>6882</v>
      </c>
      <c r="D9264" t="s">
        <v>2407</v>
      </c>
      <c r="E9264" t="s">
        <v>2408</v>
      </c>
      <c r="F9264" t="s">
        <v>2</v>
      </c>
      <c r="G9264" t="s">
        <v>16231</v>
      </c>
      <c r="H9264" t="s">
        <v>47054</v>
      </c>
      <c r="I9264" t="s">
        <v>47111</v>
      </c>
      <c r="J9264" t="s">
        <v>47112</v>
      </c>
      <c r="K9264" t="s">
        <v>47113</v>
      </c>
      <c r="L9264">
        <v>32.76</v>
      </c>
      <c r="M9264">
        <v>80</v>
      </c>
      <c r="N9264">
        <v>0</v>
      </c>
      <c r="O9264">
        <v>80</v>
      </c>
      <c r="P9264">
        <v>0</v>
      </c>
    </row>
    <row r="9265" spans="1:16" x14ac:dyDescent="0.25">
      <c r="A9265" t="s">
        <v>31851</v>
      </c>
      <c r="B9265" t="s">
        <v>6881</v>
      </c>
      <c r="C9265" t="s">
        <v>6882</v>
      </c>
      <c r="D9265" t="s">
        <v>6823</v>
      </c>
      <c r="E9265" t="s">
        <v>6824</v>
      </c>
      <c r="F9265" t="s">
        <v>2</v>
      </c>
      <c r="G9265" t="s">
        <v>16231</v>
      </c>
      <c r="H9265" t="s">
        <v>47054</v>
      </c>
      <c r="I9265" t="s">
        <v>47111</v>
      </c>
      <c r="J9265" t="s">
        <v>47112</v>
      </c>
      <c r="K9265" t="s">
        <v>47113</v>
      </c>
      <c r="L9265">
        <v>40.07</v>
      </c>
      <c r="M9265">
        <v>90</v>
      </c>
      <c r="N9265">
        <v>0</v>
      </c>
      <c r="O9265">
        <v>90</v>
      </c>
      <c r="P9265">
        <v>0</v>
      </c>
    </row>
    <row r="9266" spans="1:16" x14ac:dyDescent="0.25">
      <c r="A9266" t="s">
        <v>31852</v>
      </c>
      <c r="B9266" t="s">
        <v>6881</v>
      </c>
      <c r="C9266" t="s">
        <v>6882</v>
      </c>
      <c r="D9266" t="s">
        <v>6814</v>
      </c>
      <c r="E9266" t="s">
        <v>6815</v>
      </c>
      <c r="F9266" t="s">
        <v>2</v>
      </c>
      <c r="G9266" t="s">
        <v>16231</v>
      </c>
      <c r="H9266" t="s">
        <v>47054</v>
      </c>
      <c r="I9266" t="s">
        <v>47111</v>
      </c>
      <c r="J9266" t="s">
        <v>47112</v>
      </c>
      <c r="K9266" t="s">
        <v>47113</v>
      </c>
      <c r="L9266">
        <v>32.86</v>
      </c>
      <c r="M9266">
        <v>80</v>
      </c>
      <c r="N9266">
        <v>0</v>
      </c>
      <c r="O9266">
        <v>80</v>
      </c>
      <c r="P9266">
        <v>0</v>
      </c>
    </row>
    <row r="9267" spans="1:16" x14ac:dyDescent="0.25">
      <c r="A9267" t="s">
        <v>31853</v>
      </c>
      <c r="B9267" t="s">
        <v>6881</v>
      </c>
      <c r="C9267" t="s">
        <v>6882</v>
      </c>
      <c r="D9267" t="s">
        <v>6816</v>
      </c>
      <c r="E9267" t="s">
        <v>6817</v>
      </c>
      <c r="F9267" t="s">
        <v>2</v>
      </c>
      <c r="G9267" t="s">
        <v>16231</v>
      </c>
      <c r="H9267" t="s">
        <v>47054</v>
      </c>
      <c r="I9267" t="s">
        <v>47111</v>
      </c>
      <c r="J9267" t="s">
        <v>47112</v>
      </c>
      <c r="K9267" t="s">
        <v>47113</v>
      </c>
      <c r="L9267">
        <v>31.34</v>
      </c>
      <c r="M9267">
        <v>73</v>
      </c>
      <c r="N9267">
        <v>0</v>
      </c>
      <c r="O9267">
        <v>73</v>
      </c>
      <c r="P9267">
        <v>0</v>
      </c>
    </row>
    <row r="9268" spans="1:16" x14ac:dyDescent="0.25">
      <c r="A9268" t="s">
        <v>31854</v>
      </c>
      <c r="B9268" t="s">
        <v>6881</v>
      </c>
      <c r="C9268" t="s">
        <v>6882</v>
      </c>
      <c r="D9268" t="s">
        <v>976</v>
      </c>
      <c r="E9268" t="s">
        <v>977</v>
      </c>
      <c r="F9268" t="s">
        <v>2</v>
      </c>
      <c r="G9268" t="s">
        <v>16231</v>
      </c>
      <c r="H9268" t="s">
        <v>47054</v>
      </c>
      <c r="I9268" t="s">
        <v>47111</v>
      </c>
      <c r="J9268" t="s">
        <v>47112</v>
      </c>
      <c r="K9268" t="s">
        <v>47113</v>
      </c>
      <c r="L9268">
        <v>32.090000000000003</v>
      </c>
      <c r="M9268">
        <v>75</v>
      </c>
      <c r="N9268">
        <v>0</v>
      </c>
      <c r="O9268">
        <v>75</v>
      </c>
      <c r="P9268">
        <v>0</v>
      </c>
    </row>
    <row r="9269" spans="1:16" x14ac:dyDescent="0.25">
      <c r="A9269" t="s">
        <v>31855</v>
      </c>
      <c r="B9269" t="s">
        <v>6881</v>
      </c>
      <c r="C9269" t="s">
        <v>6882</v>
      </c>
      <c r="D9269" t="s">
        <v>6818</v>
      </c>
      <c r="E9269" t="s">
        <v>6819</v>
      </c>
      <c r="F9269" t="s">
        <v>2</v>
      </c>
      <c r="G9269" t="s">
        <v>16231</v>
      </c>
      <c r="H9269" t="s">
        <v>47054</v>
      </c>
      <c r="I9269" t="s">
        <v>47111</v>
      </c>
      <c r="J9269" t="s">
        <v>47112</v>
      </c>
      <c r="K9269" t="s">
        <v>47113</v>
      </c>
      <c r="L9269">
        <v>31.34</v>
      </c>
      <c r="M9269">
        <v>75</v>
      </c>
      <c r="N9269">
        <v>0</v>
      </c>
      <c r="O9269">
        <v>75</v>
      </c>
      <c r="P9269">
        <v>0</v>
      </c>
    </row>
    <row r="9270" spans="1:16" x14ac:dyDescent="0.25">
      <c r="A9270" t="s">
        <v>31856</v>
      </c>
      <c r="B9270" t="s">
        <v>6881</v>
      </c>
      <c r="C9270" t="s">
        <v>6882</v>
      </c>
      <c r="D9270" t="s">
        <v>921</v>
      </c>
      <c r="E9270" t="s">
        <v>922</v>
      </c>
      <c r="F9270" t="s">
        <v>2</v>
      </c>
      <c r="G9270" t="s">
        <v>16231</v>
      </c>
      <c r="H9270" t="s">
        <v>47054</v>
      </c>
      <c r="I9270" t="s">
        <v>47111</v>
      </c>
      <c r="J9270" t="s">
        <v>47112</v>
      </c>
      <c r="K9270" t="s">
        <v>47113</v>
      </c>
      <c r="L9270">
        <v>32.86</v>
      </c>
      <c r="M9270">
        <v>78</v>
      </c>
      <c r="N9270">
        <v>0</v>
      </c>
      <c r="O9270">
        <v>78</v>
      </c>
      <c r="P9270">
        <v>0</v>
      </c>
    </row>
    <row r="9271" spans="1:16" x14ac:dyDescent="0.25">
      <c r="A9271" t="s">
        <v>31857</v>
      </c>
      <c r="B9271" t="s">
        <v>6883</v>
      </c>
      <c r="C9271" t="s">
        <v>6884</v>
      </c>
      <c r="D9271" t="s">
        <v>6885</v>
      </c>
      <c r="E9271" t="s">
        <v>6886</v>
      </c>
      <c r="F9271" t="s">
        <v>3670</v>
      </c>
      <c r="G9271" t="s">
        <v>16231</v>
      </c>
      <c r="I9271" t="s">
        <v>47111</v>
      </c>
      <c r="J9271" t="s">
        <v>47112</v>
      </c>
      <c r="K9271" t="s">
        <v>47113</v>
      </c>
      <c r="L9271">
        <v>67.23</v>
      </c>
      <c r="M9271">
        <v>137</v>
      </c>
      <c r="N9271">
        <v>0</v>
      </c>
      <c r="O9271">
        <v>137</v>
      </c>
      <c r="P9271">
        <v>0</v>
      </c>
    </row>
    <row r="9272" spans="1:16" x14ac:dyDescent="0.25">
      <c r="A9272" t="s">
        <v>31858</v>
      </c>
      <c r="B9272" t="s">
        <v>6887</v>
      </c>
      <c r="C9272" t="s">
        <v>6888</v>
      </c>
      <c r="D9272" t="str">
        <f>"1165"</f>
        <v>1165</v>
      </c>
      <c r="E9272" t="s">
        <v>1153</v>
      </c>
      <c r="F9272" t="s">
        <v>5</v>
      </c>
      <c r="G9272" t="s">
        <v>16235</v>
      </c>
      <c r="H9272" t="s">
        <v>47054</v>
      </c>
      <c r="I9272" t="s">
        <v>47111</v>
      </c>
      <c r="J9272" t="s">
        <v>47112</v>
      </c>
      <c r="K9272" t="s">
        <v>47113</v>
      </c>
      <c r="L9272">
        <v>29.96</v>
      </c>
      <c r="M9272">
        <v>65</v>
      </c>
      <c r="N9272">
        <v>0</v>
      </c>
      <c r="O9272">
        <v>65</v>
      </c>
      <c r="P9272">
        <v>0</v>
      </c>
    </row>
    <row r="9273" spans="1:16" x14ac:dyDescent="0.25">
      <c r="A9273" t="s">
        <v>31859</v>
      </c>
      <c r="B9273" t="s">
        <v>6887</v>
      </c>
      <c r="C9273" t="s">
        <v>6888</v>
      </c>
      <c r="D9273" t="str">
        <f>"1746"</f>
        <v>1746</v>
      </c>
      <c r="E9273" t="s">
        <v>807</v>
      </c>
      <c r="F9273" t="s">
        <v>5</v>
      </c>
      <c r="G9273" t="s">
        <v>16235</v>
      </c>
      <c r="H9273" t="s">
        <v>47054</v>
      </c>
      <c r="I9273" t="s">
        <v>47111</v>
      </c>
      <c r="J9273" t="s">
        <v>47112</v>
      </c>
      <c r="K9273" t="s">
        <v>47113</v>
      </c>
      <c r="L9273">
        <v>29.96</v>
      </c>
      <c r="M9273">
        <v>65</v>
      </c>
      <c r="N9273">
        <v>0</v>
      </c>
      <c r="O9273">
        <v>65</v>
      </c>
      <c r="P9273">
        <v>0</v>
      </c>
    </row>
    <row r="9274" spans="1:16" x14ac:dyDescent="0.25">
      <c r="A9274" t="s">
        <v>31860</v>
      </c>
      <c r="B9274" t="s">
        <v>6887</v>
      </c>
      <c r="C9274" t="s">
        <v>6888</v>
      </c>
      <c r="D9274" t="str">
        <f>"4433"</f>
        <v>4433</v>
      </c>
      <c r="E9274" t="s">
        <v>6889</v>
      </c>
      <c r="F9274" t="s">
        <v>5</v>
      </c>
      <c r="G9274" t="s">
        <v>16235</v>
      </c>
      <c r="H9274" t="s">
        <v>47054</v>
      </c>
      <c r="I9274" t="s">
        <v>47111</v>
      </c>
      <c r="J9274" t="s">
        <v>47112</v>
      </c>
      <c r="K9274" t="s">
        <v>47113</v>
      </c>
      <c r="L9274">
        <v>29.96</v>
      </c>
      <c r="M9274">
        <v>65</v>
      </c>
      <c r="N9274">
        <v>0</v>
      </c>
      <c r="O9274">
        <v>65</v>
      </c>
      <c r="P9274">
        <v>0</v>
      </c>
    </row>
    <row r="9275" spans="1:16" x14ac:dyDescent="0.25">
      <c r="A9275" t="s">
        <v>31861</v>
      </c>
      <c r="B9275" t="s">
        <v>6887</v>
      </c>
      <c r="C9275" t="s">
        <v>6888</v>
      </c>
      <c r="D9275" t="str">
        <f>"6050"</f>
        <v>6050</v>
      </c>
      <c r="E9275" t="s">
        <v>6890</v>
      </c>
      <c r="F9275" t="s">
        <v>5</v>
      </c>
      <c r="G9275" t="s">
        <v>16235</v>
      </c>
      <c r="H9275" t="s">
        <v>47054</v>
      </c>
      <c r="I9275" t="s">
        <v>47111</v>
      </c>
      <c r="J9275" t="s">
        <v>47112</v>
      </c>
      <c r="K9275" t="s">
        <v>47113</v>
      </c>
      <c r="L9275">
        <v>29.96</v>
      </c>
      <c r="M9275">
        <v>65</v>
      </c>
      <c r="N9275">
        <v>0</v>
      </c>
      <c r="O9275">
        <v>65</v>
      </c>
      <c r="P9275">
        <v>0</v>
      </c>
    </row>
    <row r="9276" spans="1:16" x14ac:dyDescent="0.25">
      <c r="A9276" t="s">
        <v>31862</v>
      </c>
      <c r="B9276" t="s">
        <v>6891</v>
      </c>
      <c r="C9276" t="s">
        <v>6892</v>
      </c>
      <c r="D9276" t="str">
        <f>"3556"</f>
        <v>3556</v>
      </c>
      <c r="E9276" t="s">
        <v>6893</v>
      </c>
      <c r="F9276" t="s">
        <v>4</v>
      </c>
      <c r="G9276" t="s">
        <v>16232</v>
      </c>
      <c r="H9276" t="s">
        <v>47054</v>
      </c>
      <c r="I9276" t="s">
        <v>47111</v>
      </c>
      <c r="J9276" t="s">
        <v>47112</v>
      </c>
      <c r="K9276" t="s">
        <v>47113</v>
      </c>
      <c r="L9276">
        <v>20.69</v>
      </c>
      <c r="M9276">
        <v>50</v>
      </c>
      <c r="N9276">
        <v>0</v>
      </c>
      <c r="O9276">
        <v>50</v>
      </c>
      <c r="P9276">
        <v>0</v>
      </c>
    </row>
    <row r="9277" spans="1:16" x14ac:dyDescent="0.25">
      <c r="A9277" t="s">
        <v>31863</v>
      </c>
      <c r="B9277" t="s">
        <v>6894</v>
      </c>
      <c r="C9277" t="s">
        <v>6895</v>
      </c>
      <c r="D9277" t="str">
        <f>"1033"</f>
        <v>1033</v>
      </c>
      <c r="E9277" t="s">
        <v>1195</v>
      </c>
      <c r="F9277" t="s">
        <v>4</v>
      </c>
      <c r="G9277" t="s">
        <v>16232</v>
      </c>
      <c r="H9277" t="s">
        <v>47054</v>
      </c>
      <c r="I9277" t="s">
        <v>47111</v>
      </c>
      <c r="J9277" t="s">
        <v>47112</v>
      </c>
      <c r="K9277" t="s">
        <v>47113</v>
      </c>
      <c r="L9277">
        <v>19.04</v>
      </c>
      <c r="M9277">
        <v>46</v>
      </c>
      <c r="N9277">
        <v>0</v>
      </c>
      <c r="O9277">
        <v>46</v>
      </c>
      <c r="P9277">
        <v>0</v>
      </c>
    </row>
    <row r="9278" spans="1:16" x14ac:dyDescent="0.25">
      <c r="A9278" t="s">
        <v>31864</v>
      </c>
      <c r="B9278" t="s">
        <v>6896</v>
      </c>
      <c r="C9278" t="s">
        <v>6897</v>
      </c>
      <c r="D9278" t="str">
        <f>"1746"</f>
        <v>1746</v>
      </c>
      <c r="E9278" t="s">
        <v>807</v>
      </c>
      <c r="F9278" t="s">
        <v>4</v>
      </c>
      <c r="G9278" t="s">
        <v>16232</v>
      </c>
      <c r="H9278" t="s">
        <v>47054</v>
      </c>
      <c r="I9278" t="s">
        <v>47111</v>
      </c>
      <c r="J9278" t="s">
        <v>47112</v>
      </c>
      <c r="K9278" t="s">
        <v>47113</v>
      </c>
      <c r="L9278">
        <v>18.100000000000001</v>
      </c>
      <c r="M9278">
        <v>44</v>
      </c>
      <c r="N9278">
        <v>0</v>
      </c>
      <c r="O9278">
        <v>44</v>
      </c>
      <c r="P9278">
        <v>0</v>
      </c>
    </row>
    <row r="9279" spans="1:16" x14ac:dyDescent="0.25">
      <c r="A9279" t="s">
        <v>31865</v>
      </c>
      <c r="B9279" t="s">
        <v>6898</v>
      </c>
      <c r="C9279" t="s">
        <v>6899</v>
      </c>
      <c r="D9279" t="str">
        <f>"4248"</f>
        <v>4248</v>
      </c>
      <c r="E9279" t="s">
        <v>6900</v>
      </c>
      <c r="F9279" t="s">
        <v>4</v>
      </c>
      <c r="G9279" t="s">
        <v>16232</v>
      </c>
      <c r="H9279" t="s">
        <v>47054</v>
      </c>
      <c r="I9279" t="s">
        <v>47111</v>
      </c>
      <c r="J9279" t="s">
        <v>47112</v>
      </c>
      <c r="K9279" t="s">
        <v>47113</v>
      </c>
      <c r="L9279">
        <v>19.5</v>
      </c>
      <c r="M9279">
        <v>48</v>
      </c>
      <c r="N9279">
        <v>0</v>
      </c>
      <c r="O9279">
        <v>48</v>
      </c>
      <c r="P9279">
        <v>0</v>
      </c>
    </row>
    <row r="9280" spans="1:16" x14ac:dyDescent="0.25">
      <c r="A9280" t="s">
        <v>31866</v>
      </c>
      <c r="B9280" t="s">
        <v>6901</v>
      </c>
      <c r="C9280" t="s">
        <v>6902</v>
      </c>
      <c r="D9280" t="str">
        <f>"1033"</f>
        <v>1033</v>
      </c>
      <c r="E9280" t="s">
        <v>1195</v>
      </c>
      <c r="F9280" t="s">
        <v>4</v>
      </c>
      <c r="G9280" t="s">
        <v>16232</v>
      </c>
      <c r="H9280" t="s">
        <v>47054</v>
      </c>
      <c r="I9280" t="s">
        <v>47111</v>
      </c>
      <c r="J9280" t="s">
        <v>47112</v>
      </c>
      <c r="K9280" t="s">
        <v>47113</v>
      </c>
      <c r="L9280">
        <v>33.46</v>
      </c>
      <c r="M9280">
        <v>82</v>
      </c>
      <c r="N9280">
        <v>0</v>
      </c>
      <c r="O9280">
        <v>82</v>
      </c>
      <c r="P9280">
        <v>0</v>
      </c>
    </row>
    <row r="9281" spans="1:16" x14ac:dyDescent="0.25">
      <c r="A9281" t="s">
        <v>31867</v>
      </c>
      <c r="B9281" t="s">
        <v>6903</v>
      </c>
      <c r="C9281" t="s">
        <v>6904</v>
      </c>
      <c r="D9281" t="str">
        <f>"3556"</f>
        <v>3556</v>
      </c>
      <c r="E9281" t="s">
        <v>6893</v>
      </c>
      <c r="F9281" t="s">
        <v>4</v>
      </c>
      <c r="G9281" t="s">
        <v>16232</v>
      </c>
      <c r="H9281" t="s">
        <v>47054</v>
      </c>
      <c r="I9281" t="s">
        <v>47111</v>
      </c>
      <c r="J9281" t="s">
        <v>47112</v>
      </c>
      <c r="K9281" t="s">
        <v>47113</v>
      </c>
      <c r="L9281">
        <v>31.85</v>
      </c>
      <c r="M9281">
        <v>78</v>
      </c>
      <c r="N9281">
        <v>0</v>
      </c>
      <c r="O9281">
        <v>78</v>
      </c>
      <c r="P9281">
        <v>0</v>
      </c>
    </row>
    <row r="9282" spans="1:16" x14ac:dyDescent="0.25">
      <c r="A9282" t="s">
        <v>31868</v>
      </c>
      <c r="B9282" t="s">
        <v>6903</v>
      </c>
      <c r="C9282" t="s">
        <v>6904</v>
      </c>
      <c r="D9282" t="str">
        <f>"6332"</f>
        <v>6332</v>
      </c>
      <c r="E9282" t="s">
        <v>6458</v>
      </c>
      <c r="F9282" t="s">
        <v>4</v>
      </c>
      <c r="G9282" t="s">
        <v>16232</v>
      </c>
      <c r="H9282" t="s">
        <v>47054</v>
      </c>
      <c r="I9282" t="s">
        <v>47111</v>
      </c>
      <c r="J9282" t="s">
        <v>47112</v>
      </c>
      <c r="K9282" t="s">
        <v>47113</v>
      </c>
      <c r="L9282">
        <v>31.85</v>
      </c>
      <c r="M9282">
        <v>78</v>
      </c>
      <c r="N9282">
        <v>0</v>
      </c>
      <c r="O9282">
        <v>78</v>
      </c>
      <c r="P9282">
        <v>0</v>
      </c>
    </row>
    <row r="9283" spans="1:16" x14ac:dyDescent="0.25">
      <c r="A9283" t="s">
        <v>31869</v>
      </c>
      <c r="B9283" t="s">
        <v>6905</v>
      </c>
      <c r="C9283" t="s">
        <v>6906</v>
      </c>
      <c r="D9283" t="str">
        <f>"1740"</f>
        <v>1740</v>
      </c>
      <c r="E9283" t="s">
        <v>2747</v>
      </c>
      <c r="F9283" t="s">
        <v>4</v>
      </c>
      <c r="G9283" t="s">
        <v>16232</v>
      </c>
      <c r="H9283" t="s">
        <v>47054</v>
      </c>
      <c r="I9283" t="s">
        <v>47111</v>
      </c>
      <c r="J9283" t="s">
        <v>47112</v>
      </c>
      <c r="K9283" t="s">
        <v>47113</v>
      </c>
      <c r="L9283">
        <v>18.21</v>
      </c>
      <c r="M9283">
        <v>44</v>
      </c>
      <c r="N9283">
        <v>0</v>
      </c>
      <c r="O9283">
        <v>44</v>
      </c>
      <c r="P9283">
        <v>0</v>
      </c>
    </row>
    <row r="9284" spans="1:16" x14ac:dyDescent="0.25">
      <c r="A9284" t="s">
        <v>31870</v>
      </c>
      <c r="B9284" t="s">
        <v>6907</v>
      </c>
      <c r="C9284" t="s">
        <v>6908</v>
      </c>
      <c r="D9284" t="str">
        <f>"1033"</f>
        <v>1033</v>
      </c>
      <c r="E9284" t="s">
        <v>1195</v>
      </c>
      <c r="F9284" t="s">
        <v>4</v>
      </c>
      <c r="G9284" t="s">
        <v>16232</v>
      </c>
      <c r="H9284" t="s">
        <v>47054</v>
      </c>
      <c r="I9284" t="s">
        <v>47111</v>
      </c>
      <c r="J9284" t="s">
        <v>47112</v>
      </c>
      <c r="K9284" t="s">
        <v>47113</v>
      </c>
      <c r="L9284">
        <v>19.21</v>
      </c>
      <c r="M9284">
        <v>47</v>
      </c>
      <c r="N9284">
        <v>0</v>
      </c>
      <c r="O9284">
        <v>47</v>
      </c>
      <c r="P9284">
        <v>0</v>
      </c>
    </row>
    <row r="9285" spans="1:16" x14ac:dyDescent="0.25">
      <c r="A9285" t="s">
        <v>31871</v>
      </c>
      <c r="B9285" t="s">
        <v>6909</v>
      </c>
      <c r="C9285" t="s">
        <v>6910</v>
      </c>
      <c r="D9285" t="str">
        <f>"1033"</f>
        <v>1033</v>
      </c>
      <c r="E9285" t="s">
        <v>1195</v>
      </c>
      <c r="F9285" t="s">
        <v>4</v>
      </c>
      <c r="G9285" t="s">
        <v>16232</v>
      </c>
      <c r="H9285" t="s">
        <v>47054</v>
      </c>
      <c r="I9285" t="s">
        <v>47111</v>
      </c>
      <c r="J9285" t="s">
        <v>47112</v>
      </c>
      <c r="K9285" t="s">
        <v>47113</v>
      </c>
      <c r="L9285">
        <v>18.32</v>
      </c>
      <c r="M9285">
        <v>45</v>
      </c>
      <c r="N9285">
        <v>0</v>
      </c>
      <c r="O9285">
        <v>45</v>
      </c>
      <c r="P9285">
        <v>0</v>
      </c>
    </row>
    <row r="9286" spans="1:16" x14ac:dyDescent="0.25">
      <c r="A9286" t="s">
        <v>31872</v>
      </c>
      <c r="B9286" t="s">
        <v>6911</v>
      </c>
      <c r="C9286" t="s">
        <v>6912</v>
      </c>
      <c r="D9286" t="str">
        <f>"1746"</f>
        <v>1746</v>
      </c>
      <c r="E9286" t="s">
        <v>807</v>
      </c>
      <c r="F9286" t="s">
        <v>2</v>
      </c>
      <c r="G9286" t="s">
        <v>16232</v>
      </c>
      <c r="H9286" t="s">
        <v>47054</v>
      </c>
      <c r="I9286" t="s">
        <v>47111</v>
      </c>
      <c r="J9286" t="s">
        <v>47112</v>
      </c>
      <c r="K9286" t="s">
        <v>47113</v>
      </c>
      <c r="L9286">
        <v>17.420000000000002</v>
      </c>
      <c r="M9286">
        <v>46</v>
      </c>
      <c r="N9286">
        <v>0</v>
      </c>
      <c r="O9286">
        <v>46</v>
      </c>
      <c r="P9286">
        <v>0</v>
      </c>
    </row>
    <row r="9287" spans="1:16" x14ac:dyDescent="0.25">
      <c r="A9287" t="s">
        <v>31873</v>
      </c>
      <c r="B9287" t="s">
        <v>6913</v>
      </c>
      <c r="C9287" t="s">
        <v>6914</v>
      </c>
      <c r="D9287" t="str">
        <f>"1907"</f>
        <v>1907</v>
      </c>
      <c r="E9287" t="s">
        <v>6915</v>
      </c>
      <c r="F9287" t="s">
        <v>2</v>
      </c>
      <c r="G9287" t="s">
        <v>16232</v>
      </c>
      <c r="H9287" t="s">
        <v>47054</v>
      </c>
      <c r="I9287" t="s">
        <v>47111</v>
      </c>
      <c r="J9287" t="s">
        <v>47112</v>
      </c>
      <c r="K9287" t="s">
        <v>47113</v>
      </c>
      <c r="L9287">
        <v>18.98</v>
      </c>
      <c r="M9287">
        <v>50</v>
      </c>
      <c r="N9287">
        <v>0</v>
      </c>
      <c r="O9287">
        <v>50</v>
      </c>
      <c r="P9287">
        <v>0</v>
      </c>
    </row>
    <row r="9288" spans="1:16" x14ac:dyDescent="0.25">
      <c r="A9288" t="s">
        <v>31874</v>
      </c>
      <c r="B9288" t="s">
        <v>6916</v>
      </c>
      <c r="C9288" t="s">
        <v>6917</v>
      </c>
      <c r="D9288" t="str">
        <f>"4555"</f>
        <v>4555</v>
      </c>
      <c r="E9288" t="s">
        <v>6918</v>
      </c>
      <c r="F9288" t="s">
        <v>2</v>
      </c>
      <c r="G9288" t="s">
        <v>16232</v>
      </c>
      <c r="H9288" t="s">
        <v>47054</v>
      </c>
      <c r="I9288" t="s">
        <v>47111</v>
      </c>
      <c r="J9288" t="s">
        <v>47112</v>
      </c>
      <c r="K9288" t="s">
        <v>47113</v>
      </c>
      <c r="L9288">
        <v>18.079999999999998</v>
      </c>
      <c r="M9288">
        <v>48</v>
      </c>
      <c r="N9288">
        <v>0</v>
      </c>
      <c r="O9288">
        <v>48</v>
      </c>
      <c r="P9288">
        <v>0</v>
      </c>
    </row>
    <row r="9289" spans="1:16" x14ac:dyDescent="0.25">
      <c r="A9289" t="s">
        <v>31875</v>
      </c>
      <c r="B9289" t="s">
        <v>6919</v>
      </c>
      <c r="C9289" t="s">
        <v>6920</v>
      </c>
      <c r="D9289" t="str">
        <f>"3097"</f>
        <v>3097</v>
      </c>
      <c r="E9289" t="s">
        <v>6921</v>
      </c>
      <c r="F9289" t="s">
        <v>2</v>
      </c>
      <c r="G9289" t="s">
        <v>16232</v>
      </c>
      <c r="H9289" t="s">
        <v>47054</v>
      </c>
      <c r="I9289" t="s">
        <v>47111</v>
      </c>
      <c r="J9289" t="s">
        <v>47112</v>
      </c>
      <c r="K9289" t="s">
        <v>47113</v>
      </c>
      <c r="L9289">
        <v>18.39</v>
      </c>
      <c r="M9289">
        <v>47</v>
      </c>
      <c r="N9289">
        <v>0</v>
      </c>
      <c r="O9289">
        <v>47</v>
      </c>
      <c r="P9289">
        <v>0</v>
      </c>
    </row>
    <row r="9290" spans="1:16" x14ac:dyDescent="0.25">
      <c r="A9290" t="s">
        <v>31876</v>
      </c>
      <c r="B9290" t="s">
        <v>6922</v>
      </c>
      <c r="C9290" t="s">
        <v>6923</v>
      </c>
      <c r="D9290" t="str">
        <f>"1027"</f>
        <v>1027</v>
      </c>
      <c r="E9290" t="s">
        <v>6261</v>
      </c>
      <c r="F9290" t="s">
        <v>56</v>
      </c>
      <c r="G9290" t="s">
        <v>16233</v>
      </c>
      <c r="H9290" t="s">
        <v>47054</v>
      </c>
      <c r="I9290" t="s">
        <v>47136</v>
      </c>
      <c r="J9290" t="s">
        <v>47137</v>
      </c>
      <c r="K9290" t="s">
        <v>47113</v>
      </c>
      <c r="L9290">
        <v>29.8</v>
      </c>
      <c r="M9290">
        <v>69</v>
      </c>
      <c r="N9290">
        <v>0</v>
      </c>
      <c r="O9290">
        <v>69</v>
      </c>
      <c r="P9290">
        <v>0</v>
      </c>
    </row>
    <row r="9291" spans="1:16" x14ac:dyDescent="0.25">
      <c r="A9291" t="s">
        <v>31877</v>
      </c>
      <c r="B9291" t="s">
        <v>6922</v>
      </c>
      <c r="C9291" t="s">
        <v>6923</v>
      </c>
      <c r="D9291" t="str">
        <f>"1311"</f>
        <v>1311</v>
      </c>
      <c r="E9291" t="s">
        <v>2619</v>
      </c>
      <c r="F9291" t="s">
        <v>56</v>
      </c>
      <c r="G9291" t="s">
        <v>16233</v>
      </c>
      <c r="H9291" t="s">
        <v>47054</v>
      </c>
      <c r="I9291" t="s">
        <v>47136</v>
      </c>
      <c r="J9291" t="s">
        <v>47137</v>
      </c>
      <c r="K9291" t="s">
        <v>47113</v>
      </c>
      <c r="L9291">
        <v>28.82</v>
      </c>
      <c r="M9291">
        <v>69</v>
      </c>
      <c r="N9291">
        <v>0</v>
      </c>
      <c r="O9291">
        <v>69</v>
      </c>
      <c r="P9291">
        <v>0</v>
      </c>
    </row>
    <row r="9292" spans="1:16" x14ac:dyDescent="0.25">
      <c r="A9292" t="s">
        <v>31878</v>
      </c>
      <c r="B9292" t="s">
        <v>6922</v>
      </c>
      <c r="C9292" t="s">
        <v>6923</v>
      </c>
      <c r="D9292" t="str">
        <f>"1813"</f>
        <v>1813</v>
      </c>
      <c r="E9292" t="s">
        <v>6262</v>
      </c>
      <c r="F9292" t="s">
        <v>56</v>
      </c>
      <c r="G9292" t="s">
        <v>16233</v>
      </c>
      <c r="H9292" t="s">
        <v>47054</v>
      </c>
      <c r="I9292" t="s">
        <v>47120</v>
      </c>
      <c r="J9292" t="s">
        <v>47121</v>
      </c>
      <c r="K9292" t="s">
        <v>47113</v>
      </c>
      <c r="L9292">
        <v>29.8</v>
      </c>
      <c r="M9292">
        <v>69</v>
      </c>
      <c r="N9292">
        <v>0</v>
      </c>
      <c r="O9292">
        <v>69</v>
      </c>
      <c r="P9292">
        <v>0</v>
      </c>
    </row>
    <row r="9293" spans="1:16" x14ac:dyDescent="0.25">
      <c r="A9293" t="s">
        <v>31879</v>
      </c>
      <c r="B9293" t="s">
        <v>6922</v>
      </c>
      <c r="C9293" t="s">
        <v>6923</v>
      </c>
      <c r="D9293" t="str">
        <f>"2505"</f>
        <v>2505</v>
      </c>
      <c r="E9293" t="s">
        <v>2620</v>
      </c>
      <c r="F9293" t="s">
        <v>56</v>
      </c>
      <c r="G9293" t="s">
        <v>16233</v>
      </c>
      <c r="H9293" t="s">
        <v>47054</v>
      </c>
      <c r="I9293" t="s">
        <v>47136</v>
      </c>
      <c r="J9293" t="s">
        <v>47137</v>
      </c>
      <c r="K9293" t="s">
        <v>47113</v>
      </c>
      <c r="L9293">
        <v>28.82</v>
      </c>
      <c r="M9293">
        <v>69</v>
      </c>
      <c r="N9293">
        <v>0</v>
      </c>
      <c r="O9293">
        <v>69</v>
      </c>
      <c r="P9293">
        <v>0</v>
      </c>
    </row>
    <row r="9294" spans="1:16" x14ac:dyDescent="0.25">
      <c r="A9294" t="s">
        <v>31880</v>
      </c>
      <c r="B9294" t="s">
        <v>6922</v>
      </c>
      <c r="C9294" t="s">
        <v>6923</v>
      </c>
      <c r="D9294" t="str">
        <f>"3126"</f>
        <v>3126</v>
      </c>
      <c r="E9294" t="s">
        <v>2616</v>
      </c>
      <c r="F9294" t="s">
        <v>56</v>
      </c>
      <c r="G9294" t="s">
        <v>16233</v>
      </c>
      <c r="H9294" t="s">
        <v>47054</v>
      </c>
      <c r="I9294" t="s">
        <v>47136</v>
      </c>
      <c r="J9294" t="s">
        <v>47137</v>
      </c>
      <c r="K9294" t="s">
        <v>47113</v>
      </c>
      <c r="L9294">
        <v>29.8</v>
      </c>
      <c r="M9294">
        <v>69</v>
      </c>
      <c r="N9294">
        <v>0</v>
      </c>
      <c r="O9294">
        <v>69</v>
      </c>
      <c r="P9294">
        <v>0</v>
      </c>
    </row>
    <row r="9295" spans="1:16" x14ac:dyDescent="0.25">
      <c r="A9295" t="s">
        <v>31881</v>
      </c>
      <c r="B9295" t="s">
        <v>6922</v>
      </c>
      <c r="C9295" t="s">
        <v>6923</v>
      </c>
      <c r="D9295" t="str">
        <f>"3310"</f>
        <v>3310</v>
      </c>
      <c r="E9295" t="s">
        <v>6924</v>
      </c>
      <c r="F9295" t="s">
        <v>56</v>
      </c>
      <c r="G9295" t="s">
        <v>16233</v>
      </c>
      <c r="H9295" t="s">
        <v>47054</v>
      </c>
      <c r="I9295" t="s">
        <v>47136</v>
      </c>
      <c r="J9295" t="s">
        <v>47137</v>
      </c>
      <c r="K9295" t="s">
        <v>47113</v>
      </c>
      <c r="L9295">
        <v>32.07</v>
      </c>
      <c r="M9295">
        <v>120</v>
      </c>
      <c r="N9295">
        <v>0</v>
      </c>
      <c r="O9295">
        <v>120</v>
      </c>
      <c r="P9295">
        <v>0</v>
      </c>
    </row>
    <row r="9296" spans="1:16" x14ac:dyDescent="0.25">
      <c r="A9296" t="s">
        <v>31882</v>
      </c>
      <c r="B9296" t="s">
        <v>6922</v>
      </c>
      <c r="C9296" t="s">
        <v>6923</v>
      </c>
      <c r="D9296" t="str">
        <f>"6605"</f>
        <v>6605</v>
      </c>
      <c r="E9296" t="s">
        <v>6925</v>
      </c>
      <c r="F9296" t="s">
        <v>56</v>
      </c>
      <c r="G9296" t="s">
        <v>16233</v>
      </c>
      <c r="H9296" t="s">
        <v>47054</v>
      </c>
      <c r="I9296" t="s">
        <v>47136</v>
      </c>
      <c r="J9296" t="s">
        <v>47137</v>
      </c>
      <c r="K9296" t="s">
        <v>47113</v>
      </c>
      <c r="L9296">
        <v>28.82</v>
      </c>
      <c r="M9296">
        <v>69</v>
      </c>
      <c r="N9296">
        <v>0</v>
      </c>
      <c r="O9296">
        <v>69</v>
      </c>
      <c r="P9296">
        <v>0</v>
      </c>
    </row>
    <row r="9297" spans="1:16" x14ac:dyDescent="0.25">
      <c r="A9297" t="s">
        <v>31883</v>
      </c>
      <c r="B9297" t="s">
        <v>20381</v>
      </c>
      <c r="C9297" t="s">
        <v>20382</v>
      </c>
      <c r="D9297" t="str">
        <f>"1701"</f>
        <v>1701</v>
      </c>
      <c r="E9297" t="s">
        <v>20383</v>
      </c>
      <c r="F9297" t="s">
        <v>3750</v>
      </c>
      <c r="G9297" t="s">
        <v>16234</v>
      </c>
      <c r="H9297" t="s">
        <v>47054</v>
      </c>
      <c r="I9297" t="s">
        <v>47120</v>
      </c>
      <c r="J9297" t="s">
        <v>47121</v>
      </c>
      <c r="K9297" t="s">
        <v>47113</v>
      </c>
      <c r="L9297">
        <v>20.58</v>
      </c>
      <c r="M9297">
        <v>108</v>
      </c>
      <c r="N9297">
        <v>0</v>
      </c>
      <c r="O9297">
        <v>108</v>
      </c>
      <c r="P9297">
        <v>0</v>
      </c>
    </row>
    <row r="9298" spans="1:16" x14ac:dyDescent="0.25">
      <c r="A9298" t="s">
        <v>31884</v>
      </c>
      <c r="B9298" t="s">
        <v>20381</v>
      </c>
      <c r="C9298" t="s">
        <v>20382</v>
      </c>
      <c r="D9298" t="str">
        <f>"4100"</f>
        <v>4100</v>
      </c>
      <c r="E9298" t="s">
        <v>20384</v>
      </c>
      <c r="F9298" t="s">
        <v>3750</v>
      </c>
      <c r="G9298" t="s">
        <v>16234</v>
      </c>
      <c r="H9298" t="s">
        <v>47054</v>
      </c>
      <c r="I9298" t="s">
        <v>47120</v>
      </c>
      <c r="J9298" t="s">
        <v>47121</v>
      </c>
      <c r="K9298" t="s">
        <v>47113</v>
      </c>
      <c r="L9298">
        <v>20.58</v>
      </c>
      <c r="M9298">
        <v>108</v>
      </c>
      <c r="N9298">
        <v>0</v>
      </c>
      <c r="O9298">
        <v>108</v>
      </c>
      <c r="P9298">
        <v>0</v>
      </c>
    </row>
    <row r="9299" spans="1:16" x14ac:dyDescent="0.25">
      <c r="A9299" t="s">
        <v>31885</v>
      </c>
      <c r="B9299" t="s">
        <v>6926</v>
      </c>
      <c r="C9299" t="s">
        <v>6927</v>
      </c>
      <c r="D9299" t="str">
        <f>"1066"</f>
        <v>1066</v>
      </c>
      <c r="E9299" t="s">
        <v>6928</v>
      </c>
      <c r="F9299" t="s">
        <v>7</v>
      </c>
      <c r="G9299" t="s">
        <v>16234</v>
      </c>
      <c r="H9299" t="s">
        <v>47054</v>
      </c>
      <c r="I9299" t="s">
        <v>47120</v>
      </c>
      <c r="J9299" t="s">
        <v>47121</v>
      </c>
      <c r="K9299" t="s">
        <v>47113</v>
      </c>
      <c r="L9299">
        <v>32.64</v>
      </c>
      <c r="M9299">
        <v>65</v>
      </c>
      <c r="N9299">
        <v>0</v>
      </c>
      <c r="O9299">
        <v>65</v>
      </c>
      <c r="P9299">
        <v>0</v>
      </c>
    </row>
    <row r="9300" spans="1:16" x14ac:dyDescent="0.25">
      <c r="A9300" t="s">
        <v>31886</v>
      </c>
      <c r="B9300" t="s">
        <v>6926</v>
      </c>
      <c r="C9300" t="s">
        <v>6927</v>
      </c>
      <c r="D9300" t="str">
        <f>"2131"</f>
        <v>2131</v>
      </c>
      <c r="E9300" t="s">
        <v>6929</v>
      </c>
      <c r="F9300" t="s">
        <v>7</v>
      </c>
      <c r="G9300" t="s">
        <v>16234</v>
      </c>
      <c r="H9300" t="s">
        <v>47054</v>
      </c>
      <c r="I9300" t="s">
        <v>47120</v>
      </c>
      <c r="J9300" t="s">
        <v>47121</v>
      </c>
      <c r="K9300" t="s">
        <v>47113</v>
      </c>
      <c r="L9300">
        <v>29.23</v>
      </c>
      <c r="M9300">
        <v>65</v>
      </c>
      <c r="N9300">
        <v>0</v>
      </c>
      <c r="O9300">
        <v>65</v>
      </c>
      <c r="P9300">
        <v>0</v>
      </c>
    </row>
    <row r="9301" spans="1:16" x14ac:dyDescent="0.25">
      <c r="A9301" t="s">
        <v>31887</v>
      </c>
      <c r="B9301" t="s">
        <v>6926</v>
      </c>
      <c r="C9301" t="s">
        <v>6927</v>
      </c>
      <c r="D9301" t="str">
        <f>"7017"</f>
        <v>7017</v>
      </c>
      <c r="E9301" t="s">
        <v>6930</v>
      </c>
      <c r="F9301" t="s">
        <v>7</v>
      </c>
      <c r="G9301" t="s">
        <v>16234</v>
      </c>
      <c r="H9301" t="s">
        <v>47054</v>
      </c>
      <c r="I9301" t="s">
        <v>47120</v>
      </c>
      <c r="J9301" t="s">
        <v>47121</v>
      </c>
      <c r="K9301" t="s">
        <v>47113</v>
      </c>
      <c r="L9301">
        <v>33.86</v>
      </c>
      <c r="M9301">
        <v>65</v>
      </c>
      <c r="N9301">
        <v>0</v>
      </c>
      <c r="O9301">
        <v>65</v>
      </c>
      <c r="P9301">
        <v>0</v>
      </c>
    </row>
    <row r="9302" spans="1:16" x14ac:dyDescent="0.25">
      <c r="A9302" t="s">
        <v>31888</v>
      </c>
      <c r="B9302" t="s">
        <v>6931</v>
      </c>
      <c r="C9302" t="s">
        <v>6932</v>
      </c>
      <c r="D9302" t="str">
        <f>"1186"</f>
        <v>1186</v>
      </c>
      <c r="E9302" t="s">
        <v>6933</v>
      </c>
      <c r="F9302" t="s">
        <v>7</v>
      </c>
      <c r="G9302" t="s">
        <v>16233</v>
      </c>
      <c r="H9302" t="s">
        <v>47054</v>
      </c>
      <c r="I9302" t="s">
        <v>47120</v>
      </c>
      <c r="J9302" t="s">
        <v>47121</v>
      </c>
      <c r="K9302" t="s">
        <v>47113</v>
      </c>
      <c r="L9302">
        <v>29.25</v>
      </c>
      <c r="M9302">
        <v>69</v>
      </c>
      <c r="N9302">
        <v>0</v>
      </c>
      <c r="O9302">
        <v>69</v>
      </c>
      <c r="P9302">
        <v>0</v>
      </c>
    </row>
    <row r="9303" spans="1:16" x14ac:dyDescent="0.25">
      <c r="A9303" t="s">
        <v>31889</v>
      </c>
      <c r="B9303" t="s">
        <v>6931</v>
      </c>
      <c r="C9303" t="s">
        <v>6932</v>
      </c>
      <c r="D9303" t="str">
        <f>"1894"</f>
        <v>1894</v>
      </c>
      <c r="E9303" t="s">
        <v>6934</v>
      </c>
      <c r="F9303" t="s">
        <v>7</v>
      </c>
      <c r="G9303" t="s">
        <v>16233</v>
      </c>
      <c r="H9303" t="s">
        <v>47054</v>
      </c>
      <c r="I9303" t="s">
        <v>47120</v>
      </c>
      <c r="J9303" t="s">
        <v>47121</v>
      </c>
      <c r="K9303" t="s">
        <v>47113</v>
      </c>
      <c r="L9303">
        <v>29.25</v>
      </c>
      <c r="M9303">
        <v>65</v>
      </c>
      <c r="N9303">
        <v>0</v>
      </c>
      <c r="O9303">
        <v>65</v>
      </c>
      <c r="P9303">
        <v>0</v>
      </c>
    </row>
    <row r="9304" spans="1:16" x14ac:dyDescent="0.25">
      <c r="A9304" t="s">
        <v>31890</v>
      </c>
      <c r="B9304" t="s">
        <v>6931</v>
      </c>
      <c r="C9304" t="s">
        <v>6932</v>
      </c>
      <c r="D9304" t="str">
        <f>"3092"</f>
        <v>3092</v>
      </c>
      <c r="E9304" t="s">
        <v>6935</v>
      </c>
      <c r="F9304" t="s">
        <v>7</v>
      </c>
      <c r="G9304" t="s">
        <v>16233</v>
      </c>
      <c r="H9304" t="s">
        <v>47054</v>
      </c>
      <c r="I9304" t="s">
        <v>47120</v>
      </c>
      <c r="J9304" t="s">
        <v>47121</v>
      </c>
      <c r="K9304" t="s">
        <v>47113</v>
      </c>
      <c r="L9304">
        <v>29.25</v>
      </c>
      <c r="M9304">
        <v>69</v>
      </c>
      <c r="N9304">
        <v>0</v>
      </c>
      <c r="O9304">
        <v>69</v>
      </c>
      <c r="P9304">
        <v>0</v>
      </c>
    </row>
    <row r="9305" spans="1:16" x14ac:dyDescent="0.25">
      <c r="A9305" t="s">
        <v>31891</v>
      </c>
      <c r="B9305" t="s">
        <v>6931</v>
      </c>
      <c r="C9305" t="s">
        <v>6932</v>
      </c>
      <c r="D9305" t="str">
        <f>"3244"</f>
        <v>3244</v>
      </c>
      <c r="E9305" t="s">
        <v>6936</v>
      </c>
      <c r="F9305" t="s">
        <v>2</v>
      </c>
      <c r="G9305" t="s">
        <v>16233</v>
      </c>
      <c r="H9305" t="s">
        <v>47054</v>
      </c>
      <c r="I9305" t="s">
        <v>47120</v>
      </c>
      <c r="J9305" t="s">
        <v>47121</v>
      </c>
      <c r="K9305" t="s">
        <v>47113</v>
      </c>
      <c r="L9305">
        <v>30.72</v>
      </c>
      <c r="M9305">
        <v>120</v>
      </c>
      <c r="N9305">
        <v>0</v>
      </c>
      <c r="O9305">
        <v>120</v>
      </c>
      <c r="P9305">
        <v>0</v>
      </c>
    </row>
    <row r="9306" spans="1:16" x14ac:dyDescent="0.25">
      <c r="A9306" t="s">
        <v>31892</v>
      </c>
      <c r="B9306" t="s">
        <v>6931</v>
      </c>
      <c r="C9306" t="s">
        <v>6932</v>
      </c>
      <c r="D9306" t="str">
        <f>"3245"</f>
        <v>3245</v>
      </c>
      <c r="E9306" t="s">
        <v>6937</v>
      </c>
      <c r="F9306" t="s">
        <v>2</v>
      </c>
      <c r="G9306" t="s">
        <v>16233</v>
      </c>
      <c r="H9306" t="s">
        <v>47054</v>
      </c>
      <c r="I9306" t="s">
        <v>47120</v>
      </c>
      <c r="J9306" t="s">
        <v>47121</v>
      </c>
      <c r="K9306" t="s">
        <v>47113</v>
      </c>
      <c r="L9306">
        <v>30.72</v>
      </c>
      <c r="M9306">
        <v>120</v>
      </c>
      <c r="N9306">
        <v>0</v>
      </c>
      <c r="O9306">
        <v>120</v>
      </c>
      <c r="P9306">
        <v>0</v>
      </c>
    </row>
    <row r="9307" spans="1:16" x14ac:dyDescent="0.25">
      <c r="A9307" t="s">
        <v>31893</v>
      </c>
      <c r="B9307" t="s">
        <v>6931</v>
      </c>
      <c r="C9307" t="s">
        <v>6932</v>
      </c>
      <c r="D9307" t="str">
        <f>"3412"</f>
        <v>3412</v>
      </c>
      <c r="E9307" t="s">
        <v>6938</v>
      </c>
      <c r="F9307" t="s">
        <v>2</v>
      </c>
      <c r="G9307" t="s">
        <v>16233</v>
      </c>
      <c r="H9307" t="s">
        <v>47054</v>
      </c>
      <c r="I9307" t="s">
        <v>47120</v>
      </c>
      <c r="J9307" t="s">
        <v>47121</v>
      </c>
      <c r="K9307" t="s">
        <v>47113</v>
      </c>
      <c r="L9307">
        <v>30.72</v>
      </c>
      <c r="M9307">
        <v>120</v>
      </c>
      <c r="N9307">
        <v>0</v>
      </c>
      <c r="O9307">
        <v>120</v>
      </c>
      <c r="P9307">
        <v>0</v>
      </c>
    </row>
    <row r="9308" spans="1:16" x14ac:dyDescent="0.25">
      <c r="A9308" t="s">
        <v>31894</v>
      </c>
      <c r="B9308" t="s">
        <v>6931</v>
      </c>
      <c r="C9308" t="s">
        <v>6932</v>
      </c>
      <c r="D9308" t="str">
        <f>"4299"</f>
        <v>4299</v>
      </c>
      <c r="E9308" t="s">
        <v>6939</v>
      </c>
      <c r="F9308" t="s">
        <v>7</v>
      </c>
      <c r="G9308" t="s">
        <v>16233</v>
      </c>
      <c r="H9308" t="s">
        <v>47054</v>
      </c>
      <c r="I9308" t="s">
        <v>47120</v>
      </c>
      <c r="J9308" t="s">
        <v>47121</v>
      </c>
      <c r="K9308" t="s">
        <v>47113</v>
      </c>
      <c r="L9308">
        <v>29.25</v>
      </c>
      <c r="M9308">
        <v>69</v>
      </c>
      <c r="N9308">
        <v>0</v>
      </c>
      <c r="O9308">
        <v>69</v>
      </c>
      <c r="P9308">
        <v>0</v>
      </c>
    </row>
    <row r="9309" spans="1:16" x14ac:dyDescent="0.25">
      <c r="A9309" t="s">
        <v>31895</v>
      </c>
      <c r="B9309" t="s">
        <v>6931</v>
      </c>
      <c r="C9309" t="s">
        <v>6932</v>
      </c>
      <c r="D9309" t="str">
        <f>"4620"</f>
        <v>4620</v>
      </c>
      <c r="E9309" t="s">
        <v>6940</v>
      </c>
      <c r="F9309" t="s">
        <v>2</v>
      </c>
      <c r="G9309" t="s">
        <v>16233</v>
      </c>
      <c r="H9309" t="s">
        <v>47054</v>
      </c>
      <c r="I9309" t="s">
        <v>47120</v>
      </c>
      <c r="J9309" t="s">
        <v>47121</v>
      </c>
      <c r="K9309" t="s">
        <v>47113</v>
      </c>
      <c r="L9309">
        <v>30.72</v>
      </c>
      <c r="M9309">
        <v>120</v>
      </c>
      <c r="N9309">
        <v>0</v>
      </c>
      <c r="O9309">
        <v>120</v>
      </c>
      <c r="P9309">
        <v>0</v>
      </c>
    </row>
    <row r="9310" spans="1:16" x14ac:dyDescent="0.25">
      <c r="A9310" t="s">
        <v>31896</v>
      </c>
      <c r="B9310" t="s">
        <v>6931</v>
      </c>
      <c r="C9310" t="s">
        <v>6932</v>
      </c>
      <c r="D9310" t="str">
        <f>"4621"</f>
        <v>4621</v>
      </c>
      <c r="E9310" t="s">
        <v>6941</v>
      </c>
      <c r="F9310" t="s">
        <v>2</v>
      </c>
      <c r="G9310" t="s">
        <v>16233</v>
      </c>
      <c r="H9310" t="s">
        <v>47054</v>
      </c>
      <c r="I9310" t="s">
        <v>47120</v>
      </c>
      <c r="J9310" t="s">
        <v>47121</v>
      </c>
      <c r="K9310" t="s">
        <v>47113</v>
      </c>
      <c r="L9310">
        <v>30.72</v>
      </c>
      <c r="M9310">
        <v>120</v>
      </c>
      <c r="N9310">
        <v>0</v>
      </c>
      <c r="O9310">
        <v>120</v>
      </c>
      <c r="P9310">
        <v>0</v>
      </c>
    </row>
    <row r="9311" spans="1:16" x14ac:dyDescent="0.25">
      <c r="A9311" t="s">
        <v>31897</v>
      </c>
      <c r="B9311" t="s">
        <v>6931</v>
      </c>
      <c r="C9311" t="s">
        <v>6932</v>
      </c>
      <c r="D9311" t="str">
        <f>"4622"</f>
        <v>4622</v>
      </c>
      <c r="E9311" t="s">
        <v>6942</v>
      </c>
      <c r="F9311" t="s">
        <v>2</v>
      </c>
      <c r="G9311" t="s">
        <v>16233</v>
      </c>
      <c r="H9311" t="s">
        <v>47054</v>
      </c>
      <c r="I9311" t="s">
        <v>47120</v>
      </c>
      <c r="J9311" t="s">
        <v>47121</v>
      </c>
      <c r="K9311" t="s">
        <v>47113</v>
      </c>
      <c r="L9311">
        <v>30.72</v>
      </c>
      <c r="M9311">
        <v>120</v>
      </c>
      <c r="N9311">
        <v>0</v>
      </c>
      <c r="O9311">
        <v>120</v>
      </c>
      <c r="P9311">
        <v>0</v>
      </c>
    </row>
    <row r="9312" spans="1:16" x14ac:dyDescent="0.25">
      <c r="A9312" t="s">
        <v>31898</v>
      </c>
      <c r="B9312" t="s">
        <v>6931</v>
      </c>
      <c r="C9312" t="s">
        <v>6932</v>
      </c>
      <c r="D9312" t="str">
        <f>"5085"</f>
        <v>5085</v>
      </c>
      <c r="E9312" t="s">
        <v>6943</v>
      </c>
      <c r="F9312" t="s">
        <v>2</v>
      </c>
      <c r="G9312" t="s">
        <v>16233</v>
      </c>
      <c r="H9312" t="s">
        <v>47054</v>
      </c>
      <c r="I9312" t="s">
        <v>47120</v>
      </c>
      <c r="J9312" t="s">
        <v>47121</v>
      </c>
      <c r="K9312" t="s">
        <v>47113</v>
      </c>
      <c r="L9312">
        <v>30.72</v>
      </c>
      <c r="M9312">
        <v>120</v>
      </c>
      <c r="N9312">
        <v>0</v>
      </c>
      <c r="O9312">
        <v>120</v>
      </c>
      <c r="P9312">
        <v>0</v>
      </c>
    </row>
    <row r="9313" spans="1:16" x14ac:dyDescent="0.25">
      <c r="A9313" t="s">
        <v>31899</v>
      </c>
      <c r="B9313" t="s">
        <v>6931</v>
      </c>
      <c r="C9313" t="s">
        <v>6932</v>
      </c>
      <c r="D9313" t="str">
        <f>"6262"</f>
        <v>6262</v>
      </c>
      <c r="E9313" t="s">
        <v>6944</v>
      </c>
      <c r="F9313" t="s">
        <v>2</v>
      </c>
      <c r="G9313" t="s">
        <v>16233</v>
      </c>
      <c r="H9313" t="s">
        <v>47054</v>
      </c>
      <c r="I9313" t="s">
        <v>47120</v>
      </c>
      <c r="J9313" t="s">
        <v>47121</v>
      </c>
      <c r="K9313" t="s">
        <v>47113</v>
      </c>
      <c r="L9313">
        <v>30.72</v>
      </c>
      <c r="M9313">
        <v>120</v>
      </c>
      <c r="N9313">
        <v>0</v>
      </c>
      <c r="O9313">
        <v>120</v>
      </c>
      <c r="P9313">
        <v>0</v>
      </c>
    </row>
    <row r="9314" spans="1:16" x14ac:dyDescent="0.25">
      <c r="A9314" t="s">
        <v>31900</v>
      </c>
      <c r="B9314" t="s">
        <v>6931</v>
      </c>
      <c r="C9314" t="s">
        <v>6932</v>
      </c>
      <c r="D9314" t="str">
        <f>"7360"</f>
        <v>7360</v>
      </c>
      <c r="E9314" t="s">
        <v>6945</v>
      </c>
      <c r="F9314" t="s">
        <v>2</v>
      </c>
      <c r="G9314" t="s">
        <v>16233</v>
      </c>
      <c r="H9314" t="s">
        <v>47054</v>
      </c>
      <c r="I9314" t="s">
        <v>47120</v>
      </c>
      <c r="J9314" t="s">
        <v>47121</v>
      </c>
      <c r="K9314" t="s">
        <v>47113</v>
      </c>
      <c r="L9314">
        <v>30.72</v>
      </c>
      <c r="M9314">
        <v>120</v>
      </c>
      <c r="N9314">
        <v>0</v>
      </c>
      <c r="O9314">
        <v>120</v>
      </c>
      <c r="P9314">
        <v>0</v>
      </c>
    </row>
    <row r="9315" spans="1:16" x14ac:dyDescent="0.25">
      <c r="A9315" t="s">
        <v>31901</v>
      </c>
      <c r="B9315" t="s">
        <v>6931</v>
      </c>
      <c r="C9315" t="s">
        <v>6932</v>
      </c>
      <c r="D9315" t="str">
        <f>"8342"</f>
        <v>8342</v>
      </c>
      <c r="E9315" t="s">
        <v>6946</v>
      </c>
      <c r="F9315" t="s">
        <v>2</v>
      </c>
      <c r="G9315" t="s">
        <v>16233</v>
      </c>
      <c r="H9315" t="s">
        <v>47054</v>
      </c>
      <c r="I9315" t="s">
        <v>47120</v>
      </c>
      <c r="J9315" t="s">
        <v>47121</v>
      </c>
      <c r="K9315" t="s">
        <v>47113</v>
      </c>
      <c r="L9315">
        <v>30.72</v>
      </c>
      <c r="M9315">
        <v>120</v>
      </c>
      <c r="N9315">
        <v>0</v>
      </c>
      <c r="O9315">
        <v>120</v>
      </c>
      <c r="P9315">
        <v>0</v>
      </c>
    </row>
    <row r="9316" spans="1:16" x14ac:dyDescent="0.25">
      <c r="A9316" t="s">
        <v>31902</v>
      </c>
      <c r="B9316" t="s">
        <v>6947</v>
      </c>
      <c r="C9316" t="s">
        <v>6948</v>
      </c>
      <c r="D9316" t="str">
        <f>"1409"</f>
        <v>1409</v>
      </c>
      <c r="E9316" t="s">
        <v>6949</v>
      </c>
      <c r="F9316" t="s">
        <v>0</v>
      </c>
      <c r="G9316" t="s">
        <v>16233</v>
      </c>
      <c r="H9316" t="s">
        <v>47054</v>
      </c>
      <c r="I9316" t="s">
        <v>47120</v>
      </c>
      <c r="J9316" t="s">
        <v>47121</v>
      </c>
      <c r="K9316" t="s">
        <v>47113</v>
      </c>
      <c r="L9316">
        <v>31.64</v>
      </c>
      <c r="M9316">
        <v>78</v>
      </c>
      <c r="N9316">
        <v>0</v>
      </c>
      <c r="O9316">
        <v>78</v>
      </c>
      <c r="P9316">
        <v>0</v>
      </c>
    </row>
    <row r="9317" spans="1:16" x14ac:dyDescent="0.25">
      <c r="A9317" t="s">
        <v>31903</v>
      </c>
      <c r="B9317" t="s">
        <v>6947</v>
      </c>
      <c r="C9317" t="s">
        <v>6948</v>
      </c>
      <c r="D9317" t="str">
        <f>"1925"</f>
        <v>1925</v>
      </c>
      <c r="E9317" t="s">
        <v>6950</v>
      </c>
      <c r="F9317" t="s">
        <v>0</v>
      </c>
      <c r="G9317" t="s">
        <v>16233</v>
      </c>
      <c r="H9317" t="s">
        <v>47054</v>
      </c>
      <c r="I9317" t="s">
        <v>47120</v>
      </c>
      <c r="J9317" t="s">
        <v>47121</v>
      </c>
      <c r="K9317" t="s">
        <v>47113</v>
      </c>
      <c r="L9317">
        <v>31.64</v>
      </c>
      <c r="M9317">
        <v>78</v>
      </c>
      <c r="N9317">
        <v>0</v>
      </c>
      <c r="O9317">
        <v>78</v>
      </c>
      <c r="P9317">
        <v>0</v>
      </c>
    </row>
    <row r="9318" spans="1:16" x14ac:dyDescent="0.25">
      <c r="A9318" t="s">
        <v>31904</v>
      </c>
      <c r="B9318" t="s">
        <v>6947</v>
      </c>
      <c r="C9318" t="s">
        <v>6948</v>
      </c>
      <c r="D9318" t="str">
        <f>"3472"</f>
        <v>3472</v>
      </c>
      <c r="E9318" t="s">
        <v>6951</v>
      </c>
      <c r="F9318" t="s">
        <v>0</v>
      </c>
      <c r="G9318" t="s">
        <v>16233</v>
      </c>
      <c r="H9318" t="s">
        <v>47054</v>
      </c>
      <c r="I9318" t="s">
        <v>47120</v>
      </c>
      <c r="J9318" t="s">
        <v>47121</v>
      </c>
      <c r="K9318" t="s">
        <v>47113</v>
      </c>
      <c r="L9318">
        <v>31.64</v>
      </c>
      <c r="M9318">
        <v>78</v>
      </c>
      <c r="N9318">
        <v>0</v>
      </c>
      <c r="O9318">
        <v>78</v>
      </c>
      <c r="P9318">
        <v>0</v>
      </c>
    </row>
    <row r="9319" spans="1:16" x14ac:dyDescent="0.25">
      <c r="A9319" t="s">
        <v>31905</v>
      </c>
      <c r="B9319" t="s">
        <v>6947</v>
      </c>
      <c r="C9319" t="s">
        <v>6948</v>
      </c>
      <c r="D9319" t="str">
        <f>"7232"</f>
        <v>7232</v>
      </c>
      <c r="E9319" t="s">
        <v>6952</v>
      </c>
      <c r="F9319" t="s">
        <v>0</v>
      </c>
      <c r="G9319" t="s">
        <v>16233</v>
      </c>
      <c r="H9319" t="s">
        <v>47054</v>
      </c>
      <c r="I9319" t="s">
        <v>47120</v>
      </c>
      <c r="J9319" t="s">
        <v>47121</v>
      </c>
      <c r="K9319" t="s">
        <v>47113</v>
      </c>
      <c r="L9319">
        <v>31.64</v>
      </c>
      <c r="M9319">
        <v>78</v>
      </c>
      <c r="N9319">
        <v>0</v>
      </c>
      <c r="O9319">
        <v>78</v>
      </c>
      <c r="P9319">
        <v>0</v>
      </c>
    </row>
    <row r="9320" spans="1:16" x14ac:dyDescent="0.25">
      <c r="A9320" t="s">
        <v>31906</v>
      </c>
      <c r="B9320" t="s">
        <v>6947</v>
      </c>
      <c r="C9320" t="s">
        <v>6948</v>
      </c>
      <c r="D9320" t="str">
        <f>"8390"</f>
        <v>8390</v>
      </c>
      <c r="E9320" t="s">
        <v>6953</v>
      </c>
      <c r="F9320" t="s">
        <v>0</v>
      </c>
      <c r="G9320" t="s">
        <v>16233</v>
      </c>
      <c r="H9320" t="s">
        <v>47054</v>
      </c>
      <c r="I9320" t="s">
        <v>47120</v>
      </c>
      <c r="J9320" t="s">
        <v>47121</v>
      </c>
      <c r="K9320" t="s">
        <v>47113</v>
      </c>
      <c r="L9320">
        <v>31.64</v>
      </c>
      <c r="M9320">
        <v>78</v>
      </c>
      <c r="N9320">
        <v>0</v>
      </c>
      <c r="O9320">
        <v>78</v>
      </c>
      <c r="P9320">
        <v>0</v>
      </c>
    </row>
    <row r="9321" spans="1:16" x14ac:dyDescent="0.25">
      <c r="A9321" t="s">
        <v>31907</v>
      </c>
      <c r="B9321" t="s">
        <v>6954</v>
      </c>
      <c r="C9321" t="s">
        <v>6955</v>
      </c>
      <c r="D9321" t="str">
        <f>"1001"</f>
        <v>1001</v>
      </c>
      <c r="E9321" t="s">
        <v>6956</v>
      </c>
      <c r="F9321" t="s">
        <v>1</v>
      </c>
      <c r="G9321" t="s">
        <v>16233</v>
      </c>
      <c r="H9321" t="s">
        <v>47054</v>
      </c>
      <c r="I9321" t="s">
        <v>47120</v>
      </c>
      <c r="J9321" t="s">
        <v>47121</v>
      </c>
      <c r="K9321" t="s">
        <v>47113</v>
      </c>
      <c r="L9321">
        <v>33.08</v>
      </c>
      <c r="M9321">
        <v>109</v>
      </c>
      <c r="N9321">
        <v>0</v>
      </c>
      <c r="O9321">
        <v>109</v>
      </c>
      <c r="P9321">
        <v>0</v>
      </c>
    </row>
    <row r="9322" spans="1:16" x14ac:dyDescent="0.25">
      <c r="A9322" t="s">
        <v>31908</v>
      </c>
      <c r="B9322" t="s">
        <v>6954</v>
      </c>
      <c r="C9322" t="s">
        <v>6955</v>
      </c>
      <c r="D9322" t="str">
        <f>"1408"</f>
        <v>1408</v>
      </c>
      <c r="E9322" t="s">
        <v>6957</v>
      </c>
      <c r="F9322" t="s">
        <v>0</v>
      </c>
      <c r="G9322" t="s">
        <v>16233</v>
      </c>
      <c r="H9322" t="s">
        <v>47054</v>
      </c>
      <c r="I9322" t="s">
        <v>47120</v>
      </c>
      <c r="J9322" t="s">
        <v>47121</v>
      </c>
      <c r="K9322" t="s">
        <v>47113</v>
      </c>
      <c r="L9322">
        <v>33.08</v>
      </c>
      <c r="M9322">
        <v>109</v>
      </c>
      <c r="N9322">
        <v>0</v>
      </c>
      <c r="O9322">
        <v>109</v>
      </c>
      <c r="P9322">
        <v>0</v>
      </c>
    </row>
    <row r="9323" spans="1:16" x14ac:dyDescent="0.25">
      <c r="A9323" t="s">
        <v>31909</v>
      </c>
      <c r="B9323" t="s">
        <v>6954</v>
      </c>
      <c r="C9323" t="s">
        <v>6955</v>
      </c>
      <c r="D9323" t="str">
        <f>"1409"</f>
        <v>1409</v>
      </c>
      <c r="E9323" t="s">
        <v>6949</v>
      </c>
      <c r="F9323" t="s">
        <v>0</v>
      </c>
      <c r="G9323" t="s">
        <v>16233</v>
      </c>
      <c r="H9323" t="s">
        <v>47054</v>
      </c>
      <c r="I9323" t="s">
        <v>47120</v>
      </c>
      <c r="J9323" t="s">
        <v>47121</v>
      </c>
      <c r="K9323" t="s">
        <v>47113</v>
      </c>
      <c r="L9323">
        <v>33.08</v>
      </c>
      <c r="M9323">
        <v>109</v>
      </c>
      <c r="N9323">
        <v>0</v>
      </c>
      <c r="O9323">
        <v>109</v>
      </c>
      <c r="P9323">
        <v>0</v>
      </c>
    </row>
    <row r="9324" spans="1:16" x14ac:dyDescent="0.25">
      <c r="A9324" t="s">
        <v>31910</v>
      </c>
      <c r="B9324" t="s">
        <v>6954</v>
      </c>
      <c r="C9324" t="s">
        <v>6955</v>
      </c>
      <c r="D9324" t="str">
        <f>"1925"</f>
        <v>1925</v>
      </c>
      <c r="E9324" t="s">
        <v>6950</v>
      </c>
      <c r="F9324" t="s">
        <v>0</v>
      </c>
      <c r="G9324" t="s">
        <v>16233</v>
      </c>
      <c r="H9324" t="s">
        <v>47054</v>
      </c>
      <c r="I9324" t="s">
        <v>47120</v>
      </c>
      <c r="J9324" t="s">
        <v>47121</v>
      </c>
      <c r="K9324" t="s">
        <v>47113</v>
      </c>
      <c r="L9324">
        <v>33.08</v>
      </c>
      <c r="M9324">
        <v>109</v>
      </c>
      <c r="N9324">
        <v>0</v>
      </c>
      <c r="O9324">
        <v>109</v>
      </c>
      <c r="P9324">
        <v>0</v>
      </c>
    </row>
    <row r="9325" spans="1:16" x14ac:dyDescent="0.25">
      <c r="A9325" t="s">
        <v>31911</v>
      </c>
      <c r="B9325" t="s">
        <v>6954</v>
      </c>
      <c r="C9325" t="s">
        <v>6955</v>
      </c>
      <c r="D9325" t="str">
        <f>"3472"</f>
        <v>3472</v>
      </c>
      <c r="E9325" t="s">
        <v>6951</v>
      </c>
      <c r="F9325" t="s">
        <v>0</v>
      </c>
      <c r="G9325" t="s">
        <v>16233</v>
      </c>
      <c r="H9325" t="s">
        <v>47054</v>
      </c>
      <c r="I9325" t="s">
        <v>47120</v>
      </c>
      <c r="J9325" t="s">
        <v>47121</v>
      </c>
      <c r="K9325" t="s">
        <v>47113</v>
      </c>
      <c r="L9325">
        <v>33.08</v>
      </c>
      <c r="M9325">
        <v>109</v>
      </c>
      <c r="N9325">
        <v>0</v>
      </c>
      <c r="O9325">
        <v>109</v>
      </c>
      <c r="P9325">
        <v>0</v>
      </c>
    </row>
    <row r="9326" spans="1:16" x14ac:dyDescent="0.25">
      <c r="A9326" t="s">
        <v>31912</v>
      </c>
      <c r="B9326" t="s">
        <v>6954</v>
      </c>
      <c r="C9326" t="s">
        <v>6955</v>
      </c>
      <c r="D9326" t="str">
        <f>"7226"</f>
        <v>7226</v>
      </c>
      <c r="E9326" t="s">
        <v>6563</v>
      </c>
      <c r="F9326" t="s">
        <v>0</v>
      </c>
      <c r="G9326" t="s">
        <v>16233</v>
      </c>
      <c r="H9326" t="s">
        <v>47054</v>
      </c>
      <c r="I9326" t="s">
        <v>47120</v>
      </c>
      <c r="J9326" t="s">
        <v>47121</v>
      </c>
      <c r="K9326" t="s">
        <v>47113</v>
      </c>
      <c r="L9326">
        <v>33.08</v>
      </c>
      <c r="M9326">
        <v>109</v>
      </c>
      <c r="N9326">
        <v>0</v>
      </c>
      <c r="O9326">
        <v>109</v>
      </c>
      <c r="P9326">
        <v>0</v>
      </c>
    </row>
    <row r="9327" spans="1:16" x14ac:dyDescent="0.25">
      <c r="A9327" t="s">
        <v>14974</v>
      </c>
      <c r="B9327" t="s">
        <v>6954</v>
      </c>
      <c r="C9327" t="s">
        <v>6955</v>
      </c>
      <c r="D9327" t="str">
        <f>"7232"</f>
        <v>7232</v>
      </c>
      <c r="E9327" t="s">
        <v>6952</v>
      </c>
      <c r="F9327" t="s">
        <v>0</v>
      </c>
      <c r="G9327" t="s">
        <v>16233</v>
      </c>
      <c r="H9327" t="s">
        <v>47054</v>
      </c>
      <c r="I9327" t="s">
        <v>47120</v>
      </c>
      <c r="J9327" t="s">
        <v>47121</v>
      </c>
      <c r="K9327" t="s">
        <v>47113</v>
      </c>
      <c r="L9327">
        <v>33.08</v>
      </c>
      <c r="M9327">
        <v>109</v>
      </c>
      <c r="N9327">
        <v>0</v>
      </c>
      <c r="O9327">
        <v>109</v>
      </c>
      <c r="P9327">
        <v>0</v>
      </c>
    </row>
    <row r="9328" spans="1:16" x14ac:dyDescent="0.25">
      <c r="A9328" t="s">
        <v>31913</v>
      </c>
      <c r="B9328" t="s">
        <v>6954</v>
      </c>
      <c r="C9328" t="s">
        <v>6955</v>
      </c>
      <c r="D9328" t="str">
        <f>"8390"</f>
        <v>8390</v>
      </c>
      <c r="E9328" t="s">
        <v>6953</v>
      </c>
      <c r="F9328" t="s">
        <v>0</v>
      </c>
      <c r="G9328" t="s">
        <v>16233</v>
      </c>
      <c r="H9328" t="s">
        <v>47054</v>
      </c>
      <c r="I9328" t="s">
        <v>47120</v>
      </c>
      <c r="J9328" t="s">
        <v>47121</v>
      </c>
      <c r="K9328" t="s">
        <v>47113</v>
      </c>
      <c r="L9328">
        <v>33.08</v>
      </c>
      <c r="M9328">
        <v>109</v>
      </c>
      <c r="N9328">
        <v>0</v>
      </c>
      <c r="O9328">
        <v>109</v>
      </c>
      <c r="P9328">
        <v>0</v>
      </c>
    </row>
    <row r="9329" spans="1:16" x14ac:dyDescent="0.25">
      <c r="A9329" t="s">
        <v>31914</v>
      </c>
      <c r="B9329" t="s">
        <v>6958</v>
      </c>
      <c r="C9329" t="s">
        <v>6955</v>
      </c>
      <c r="D9329" t="str">
        <f>"1409"</f>
        <v>1409</v>
      </c>
      <c r="E9329" t="s">
        <v>6949</v>
      </c>
      <c r="F9329" t="s">
        <v>0</v>
      </c>
      <c r="G9329" t="s">
        <v>16233</v>
      </c>
      <c r="H9329" t="s">
        <v>47054</v>
      </c>
      <c r="I9329" t="s">
        <v>47120</v>
      </c>
      <c r="J9329" t="s">
        <v>47121</v>
      </c>
      <c r="K9329" t="s">
        <v>47113</v>
      </c>
      <c r="L9329">
        <v>31.64</v>
      </c>
      <c r="M9329">
        <v>78</v>
      </c>
      <c r="N9329">
        <v>0</v>
      </c>
      <c r="O9329">
        <v>78</v>
      </c>
      <c r="P9329">
        <v>0</v>
      </c>
    </row>
    <row r="9330" spans="1:16" x14ac:dyDescent="0.25">
      <c r="A9330" t="s">
        <v>31915</v>
      </c>
      <c r="B9330" t="s">
        <v>6958</v>
      </c>
      <c r="C9330" t="s">
        <v>6955</v>
      </c>
      <c r="D9330" t="str">
        <f>"1925"</f>
        <v>1925</v>
      </c>
      <c r="E9330" t="s">
        <v>6950</v>
      </c>
      <c r="F9330" t="s">
        <v>0</v>
      </c>
      <c r="G9330" t="s">
        <v>16233</v>
      </c>
      <c r="H9330" t="s">
        <v>47054</v>
      </c>
      <c r="I9330" t="s">
        <v>47120</v>
      </c>
      <c r="J9330" t="s">
        <v>47121</v>
      </c>
      <c r="K9330" t="s">
        <v>47113</v>
      </c>
      <c r="L9330">
        <v>31.64</v>
      </c>
      <c r="M9330">
        <v>78</v>
      </c>
      <c r="N9330">
        <v>0</v>
      </c>
      <c r="O9330">
        <v>78</v>
      </c>
      <c r="P9330">
        <v>0</v>
      </c>
    </row>
    <row r="9331" spans="1:16" x14ac:dyDescent="0.25">
      <c r="A9331" t="s">
        <v>31916</v>
      </c>
      <c r="B9331" t="s">
        <v>6958</v>
      </c>
      <c r="C9331" t="s">
        <v>6955</v>
      </c>
      <c r="D9331" t="str">
        <f>"7232"</f>
        <v>7232</v>
      </c>
      <c r="E9331" t="s">
        <v>6952</v>
      </c>
      <c r="F9331" t="s">
        <v>0</v>
      </c>
      <c r="G9331" t="s">
        <v>16233</v>
      </c>
      <c r="H9331" t="s">
        <v>47054</v>
      </c>
      <c r="I9331" t="s">
        <v>47120</v>
      </c>
      <c r="J9331" t="s">
        <v>47121</v>
      </c>
      <c r="K9331" t="s">
        <v>47113</v>
      </c>
      <c r="L9331">
        <v>31.64</v>
      </c>
      <c r="M9331">
        <v>78</v>
      </c>
      <c r="N9331">
        <v>0</v>
      </c>
      <c r="O9331">
        <v>78</v>
      </c>
      <c r="P9331">
        <v>0</v>
      </c>
    </row>
    <row r="9332" spans="1:16" x14ac:dyDescent="0.25">
      <c r="A9332" t="s">
        <v>31917</v>
      </c>
      <c r="B9332" t="s">
        <v>6958</v>
      </c>
      <c r="C9332" t="s">
        <v>6955</v>
      </c>
      <c r="D9332" t="str">
        <f>"8390"</f>
        <v>8390</v>
      </c>
      <c r="E9332" t="s">
        <v>6953</v>
      </c>
      <c r="F9332" t="s">
        <v>0</v>
      </c>
      <c r="G9332" t="s">
        <v>16233</v>
      </c>
      <c r="H9332" t="s">
        <v>47054</v>
      </c>
      <c r="I9332" t="s">
        <v>47120</v>
      </c>
      <c r="J9332" t="s">
        <v>47121</v>
      </c>
      <c r="K9332" t="s">
        <v>47113</v>
      </c>
      <c r="L9332">
        <v>31.64</v>
      </c>
      <c r="M9332">
        <v>78</v>
      </c>
      <c r="N9332">
        <v>0</v>
      </c>
      <c r="O9332">
        <v>78</v>
      </c>
      <c r="P9332">
        <v>0</v>
      </c>
    </row>
    <row r="9333" spans="1:16" x14ac:dyDescent="0.25">
      <c r="A9333" t="s">
        <v>31918</v>
      </c>
      <c r="B9333" t="s">
        <v>20385</v>
      </c>
      <c r="C9333" t="s">
        <v>20386</v>
      </c>
      <c r="D9333" t="str">
        <f>"3071"</f>
        <v>3071</v>
      </c>
      <c r="E9333" t="s">
        <v>20387</v>
      </c>
      <c r="F9333" t="s">
        <v>3750</v>
      </c>
      <c r="G9333" t="s">
        <v>16234</v>
      </c>
      <c r="H9333" t="s">
        <v>47054</v>
      </c>
      <c r="I9333" t="s">
        <v>47120</v>
      </c>
      <c r="J9333" t="s">
        <v>47121</v>
      </c>
      <c r="K9333" t="s">
        <v>47113</v>
      </c>
      <c r="L9333">
        <v>20.58</v>
      </c>
      <c r="M9333">
        <v>108</v>
      </c>
      <c r="N9333">
        <v>0</v>
      </c>
      <c r="O9333">
        <v>108</v>
      </c>
      <c r="P9333">
        <v>0</v>
      </c>
    </row>
    <row r="9334" spans="1:16" x14ac:dyDescent="0.25">
      <c r="A9334" t="s">
        <v>31919</v>
      </c>
      <c r="B9334" t="s">
        <v>20385</v>
      </c>
      <c r="C9334" t="s">
        <v>20386</v>
      </c>
      <c r="D9334" t="str">
        <f>"6003"</f>
        <v>6003</v>
      </c>
      <c r="E9334" t="s">
        <v>20388</v>
      </c>
      <c r="F9334" t="s">
        <v>3750</v>
      </c>
      <c r="G9334" t="s">
        <v>16234</v>
      </c>
      <c r="H9334" t="s">
        <v>47054</v>
      </c>
      <c r="I9334" t="s">
        <v>47120</v>
      </c>
      <c r="J9334" t="s">
        <v>47121</v>
      </c>
      <c r="K9334" t="s">
        <v>47113</v>
      </c>
      <c r="L9334">
        <v>20.58</v>
      </c>
      <c r="M9334">
        <v>108</v>
      </c>
      <c r="N9334">
        <v>0</v>
      </c>
      <c r="O9334">
        <v>108</v>
      </c>
      <c r="P9334">
        <v>0</v>
      </c>
    </row>
    <row r="9335" spans="1:16" x14ac:dyDescent="0.25">
      <c r="A9335" t="s">
        <v>31920</v>
      </c>
      <c r="B9335" t="s">
        <v>31921</v>
      </c>
      <c r="C9335" t="s">
        <v>31922</v>
      </c>
      <c r="D9335" t="str">
        <f>"3501"</f>
        <v>3501</v>
      </c>
      <c r="E9335" t="s">
        <v>31923</v>
      </c>
      <c r="F9335" t="s">
        <v>3750</v>
      </c>
      <c r="G9335" t="s">
        <v>16234</v>
      </c>
      <c r="H9335" t="s">
        <v>47054</v>
      </c>
      <c r="I9335" t="s">
        <v>47120</v>
      </c>
      <c r="J9335" t="s">
        <v>47121</v>
      </c>
      <c r="K9335" t="s">
        <v>47113</v>
      </c>
      <c r="L9335">
        <v>21.95</v>
      </c>
      <c r="M9335">
        <v>96</v>
      </c>
      <c r="N9335">
        <v>259</v>
      </c>
      <c r="O9335">
        <v>96</v>
      </c>
      <c r="P9335">
        <v>259</v>
      </c>
    </row>
    <row r="9336" spans="1:16" x14ac:dyDescent="0.25">
      <c r="A9336" t="s">
        <v>47063</v>
      </c>
      <c r="B9336" t="s">
        <v>47064</v>
      </c>
      <c r="C9336" t="s">
        <v>47065</v>
      </c>
      <c r="D9336" t="str">
        <f>"7233"</f>
        <v>7233</v>
      </c>
      <c r="E9336" t="s">
        <v>20783</v>
      </c>
      <c r="F9336" t="s">
        <v>3750</v>
      </c>
      <c r="G9336" t="s">
        <v>16234</v>
      </c>
      <c r="H9336" t="s">
        <v>47054</v>
      </c>
      <c r="I9336" t="s">
        <v>47120</v>
      </c>
      <c r="J9336" t="s">
        <v>47121</v>
      </c>
      <c r="K9336" t="s">
        <v>47113</v>
      </c>
      <c r="L9336">
        <v>25.29</v>
      </c>
      <c r="M9336">
        <v>92</v>
      </c>
      <c r="N9336">
        <v>249</v>
      </c>
      <c r="O9336">
        <v>92</v>
      </c>
      <c r="P9336">
        <v>249</v>
      </c>
    </row>
    <row r="9337" spans="1:16" x14ac:dyDescent="0.25">
      <c r="A9337" t="s">
        <v>31924</v>
      </c>
      <c r="B9337" t="s">
        <v>31925</v>
      </c>
      <c r="C9337" t="s">
        <v>31926</v>
      </c>
      <c r="D9337" t="str">
        <f>"4100"</f>
        <v>4100</v>
      </c>
      <c r="E9337" t="s">
        <v>31927</v>
      </c>
      <c r="F9337" t="s">
        <v>3750</v>
      </c>
      <c r="G9337" t="s">
        <v>16234</v>
      </c>
      <c r="H9337" t="s">
        <v>47054</v>
      </c>
      <c r="I9337" t="s">
        <v>47120</v>
      </c>
      <c r="J9337" t="s">
        <v>47121</v>
      </c>
      <c r="K9337" t="s">
        <v>47113</v>
      </c>
      <c r="L9337">
        <v>26.24</v>
      </c>
      <c r="M9337">
        <v>100</v>
      </c>
      <c r="N9337">
        <v>269</v>
      </c>
      <c r="O9337">
        <v>100</v>
      </c>
      <c r="P9337">
        <v>269</v>
      </c>
    </row>
    <row r="9338" spans="1:16" x14ac:dyDescent="0.25">
      <c r="A9338" t="s">
        <v>31928</v>
      </c>
      <c r="B9338" t="s">
        <v>31929</v>
      </c>
      <c r="C9338" t="s">
        <v>31930</v>
      </c>
      <c r="D9338" t="str">
        <f>"1233"</f>
        <v>1233</v>
      </c>
      <c r="E9338" t="s">
        <v>31931</v>
      </c>
      <c r="F9338" t="s">
        <v>3750</v>
      </c>
      <c r="G9338" t="s">
        <v>16234</v>
      </c>
      <c r="H9338" t="s">
        <v>47054</v>
      </c>
      <c r="I9338" t="s">
        <v>47120</v>
      </c>
      <c r="J9338" t="s">
        <v>47121</v>
      </c>
      <c r="K9338" t="s">
        <v>47113</v>
      </c>
      <c r="L9338">
        <v>26.24</v>
      </c>
      <c r="M9338">
        <v>100</v>
      </c>
      <c r="N9338">
        <v>269</v>
      </c>
      <c r="O9338">
        <v>100</v>
      </c>
      <c r="P9338">
        <v>269</v>
      </c>
    </row>
    <row r="9339" spans="1:16" x14ac:dyDescent="0.25">
      <c r="A9339" t="s">
        <v>31932</v>
      </c>
      <c r="B9339" t="s">
        <v>31933</v>
      </c>
      <c r="C9339" t="s">
        <v>31934</v>
      </c>
      <c r="D9339" t="str">
        <f>"1704"</f>
        <v>1704</v>
      </c>
      <c r="E9339" t="s">
        <v>31935</v>
      </c>
      <c r="F9339" t="s">
        <v>3750</v>
      </c>
      <c r="G9339" t="s">
        <v>16234</v>
      </c>
      <c r="H9339" t="s">
        <v>47054</v>
      </c>
      <c r="I9339" t="s">
        <v>47120</v>
      </c>
      <c r="J9339" t="s">
        <v>47121</v>
      </c>
      <c r="K9339" t="s">
        <v>47113</v>
      </c>
      <c r="L9339">
        <v>26.24</v>
      </c>
      <c r="M9339">
        <v>100</v>
      </c>
      <c r="N9339">
        <v>269</v>
      </c>
      <c r="O9339">
        <v>100</v>
      </c>
      <c r="P9339">
        <v>269</v>
      </c>
    </row>
    <row r="9340" spans="1:16" x14ac:dyDescent="0.25">
      <c r="A9340" t="s">
        <v>31936</v>
      </c>
      <c r="B9340" t="s">
        <v>6959</v>
      </c>
      <c r="C9340" t="s">
        <v>6960</v>
      </c>
      <c r="D9340" t="str">
        <f>"1058"</f>
        <v>1058</v>
      </c>
      <c r="E9340" t="s">
        <v>6961</v>
      </c>
      <c r="F9340" t="s">
        <v>7</v>
      </c>
      <c r="G9340" t="s">
        <v>16234</v>
      </c>
      <c r="H9340" t="s">
        <v>47054</v>
      </c>
      <c r="I9340" t="s">
        <v>47120</v>
      </c>
      <c r="J9340" t="s">
        <v>47121</v>
      </c>
      <c r="K9340" t="s">
        <v>47113</v>
      </c>
      <c r="L9340">
        <v>24.83</v>
      </c>
      <c r="M9340">
        <v>61</v>
      </c>
      <c r="N9340">
        <v>0</v>
      </c>
      <c r="O9340">
        <v>61</v>
      </c>
      <c r="P9340">
        <v>0</v>
      </c>
    </row>
    <row r="9341" spans="1:16" x14ac:dyDescent="0.25">
      <c r="A9341" t="s">
        <v>31937</v>
      </c>
      <c r="B9341" t="s">
        <v>6959</v>
      </c>
      <c r="C9341" t="s">
        <v>6960</v>
      </c>
      <c r="D9341" t="str">
        <f>"2126"</f>
        <v>2126</v>
      </c>
      <c r="E9341" t="s">
        <v>6962</v>
      </c>
      <c r="F9341" t="s">
        <v>5</v>
      </c>
      <c r="G9341" t="s">
        <v>16234</v>
      </c>
      <c r="H9341" t="s">
        <v>47054</v>
      </c>
      <c r="I9341" t="s">
        <v>47120</v>
      </c>
      <c r="J9341" t="s">
        <v>47121</v>
      </c>
      <c r="K9341" t="s">
        <v>47113</v>
      </c>
      <c r="L9341">
        <v>24.83</v>
      </c>
      <c r="M9341">
        <v>61</v>
      </c>
      <c r="N9341">
        <v>0</v>
      </c>
      <c r="O9341">
        <v>61</v>
      </c>
      <c r="P9341">
        <v>0</v>
      </c>
    </row>
    <row r="9342" spans="1:16" x14ac:dyDescent="0.25">
      <c r="A9342" t="s">
        <v>31938</v>
      </c>
      <c r="B9342" t="s">
        <v>6959</v>
      </c>
      <c r="C9342" t="s">
        <v>6960</v>
      </c>
      <c r="D9342" t="str">
        <f>"3442"</f>
        <v>3442</v>
      </c>
      <c r="E9342" t="s">
        <v>6963</v>
      </c>
      <c r="F9342" t="s">
        <v>5</v>
      </c>
      <c r="G9342" t="s">
        <v>16234</v>
      </c>
      <c r="H9342" t="s">
        <v>47054</v>
      </c>
      <c r="I9342" t="s">
        <v>47120</v>
      </c>
      <c r="J9342" t="s">
        <v>47121</v>
      </c>
      <c r="K9342" t="s">
        <v>47113</v>
      </c>
      <c r="L9342">
        <v>24.83</v>
      </c>
      <c r="M9342">
        <v>61</v>
      </c>
      <c r="N9342">
        <v>0</v>
      </c>
      <c r="O9342">
        <v>61</v>
      </c>
      <c r="P9342">
        <v>0</v>
      </c>
    </row>
    <row r="9343" spans="1:16" x14ac:dyDescent="0.25">
      <c r="A9343" t="s">
        <v>31939</v>
      </c>
      <c r="B9343" t="s">
        <v>6959</v>
      </c>
      <c r="C9343" t="s">
        <v>6960</v>
      </c>
      <c r="D9343" t="str">
        <f>"4334"</f>
        <v>4334</v>
      </c>
      <c r="E9343" t="s">
        <v>6964</v>
      </c>
      <c r="F9343" t="s">
        <v>7</v>
      </c>
      <c r="G9343" t="s">
        <v>16234</v>
      </c>
      <c r="H9343" t="s">
        <v>47054</v>
      </c>
      <c r="I9343" t="s">
        <v>47120</v>
      </c>
      <c r="J9343" t="s">
        <v>47121</v>
      </c>
      <c r="K9343" t="s">
        <v>47113</v>
      </c>
      <c r="L9343">
        <v>24.83</v>
      </c>
      <c r="M9343">
        <v>61</v>
      </c>
      <c r="N9343">
        <v>0</v>
      </c>
      <c r="O9343">
        <v>61</v>
      </c>
      <c r="P9343">
        <v>0</v>
      </c>
    </row>
    <row r="9344" spans="1:16" x14ac:dyDescent="0.25">
      <c r="A9344" t="s">
        <v>31940</v>
      </c>
      <c r="B9344" t="s">
        <v>6959</v>
      </c>
      <c r="C9344" t="s">
        <v>6960</v>
      </c>
      <c r="D9344" t="str">
        <f>"7232"</f>
        <v>7232</v>
      </c>
      <c r="E9344" t="s">
        <v>6952</v>
      </c>
      <c r="F9344" t="s">
        <v>7</v>
      </c>
      <c r="G9344" t="s">
        <v>16234</v>
      </c>
      <c r="H9344" t="s">
        <v>47054</v>
      </c>
      <c r="I9344" t="s">
        <v>47120</v>
      </c>
      <c r="J9344" t="s">
        <v>47121</v>
      </c>
      <c r="K9344" t="s">
        <v>47113</v>
      </c>
      <c r="L9344">
        <v>24.83</v>
      </c>
      <c r="M9344">
        <v>61</v>
      </c>
      <c r="N9344">
        <v>0</v>
      </c>
      <c r="O9344">
        <v>61</v>
      </c>
      <c r="P9344">
        <v>0</v>
      </c>
    </row>
    <row r="9345" spans="1:16" x14ac:dyDescent="0.25">
      <c r="A9345" t="s">
        <v>31941</v>
      </c>
      <c r="B9345" t="s">
        <v>31942</v>
      </c>
      <c r="C9345" t="s">
        <v>31943</v>
      </c>
      <c r="D9345" t="str">
        <f>"1406"</f>
        <v>1406</v>
      </c>
      <c r="E9345" t="s">
        <v>31944</v>
      </c>
      <c r="F9345" t="s">
        <v>3750</v>
      </c>
      <c r="G9345" t="s">
        <v>16234</v>
      </c>
      <c r="H9345" t="s">
        <v>47054</v>
      </c>
      <c r="I9345" t="s">
        <v>47120</v>
      </c>
      <c r="J9345" t="s">
        <v>47121</v>
      </c>
      <c r="K9345" t="s">
        <v>47113</v>
      </c>
      <c r="L9345">
        <v>26.96</v>
      </c>
      <c r="M9345">
        <v>100</v>
      </c>
      <c r="N9345">
        <v>269</v>
      </c>
      <c r="O9345">
        <v>100</v>
      </c>
      <c r="P9345">
        <v>269</v>
      </c>
    </row>
    <row r="9346" spans="1:16" x14ac:dyDescent="0.25">
      <c r="A9346" t="s">
        <v>31945</v>
      </c>
      <c r="B9346" t="s">
        <v>31946</v>
      </c>
      <c r="C9346" t="s">
        <v>31947</v>
      </c>
      <c r="D9346" t="str">
        <f>"3071"</f>
        <v>3071</v>
      </c>
      <c r="E9346" t="s">
        <v>31948</v>
      </c>
      <c r="F9346" t="s">
        <v>3750</v>
      </c>
      <c r="G9346" t="s">
        <v>16234</v>
      </c>
      <c r="H9346" t="s">
        <v>47054</v>
      </c>
      <c r="I9346" t="s">
        <v>47120</v>
      </c>
      <c r="J9346" t="s">
        <v>47121</v>
      </c>
      <c r="K9346" t="s">
        <v>47113</v>
      </c>
      <c r="L9346">
        <v>20.82</v>
      </c>
      <c r="M9346">
        <v>80</v>
      </c>
      <c r="N9346">
        <v>0</v>
      </c>
      <c r="O9346">
        <v>80</v>
      </c>
      <c r="P9346">
        <v>0</v>
      </c>
    </row>
    <row r="9347" spans="1:16" x14ac:dyDescent="0.25">
      <c r="A9347" t="s">
        <v>31949</v>
      </c>
      <c r="B9347" t="s">
        <v>31950</v>
      </c>
      <c r="C9347" t="s">
        <v>31951</v>
      </c>
      <c r="D9347" t="str">
        <f>"6003"</f>
        <v>6003</v>
      </c>
      <c r="E9347" t="s">
        <v>31952</v>
      </c>
      <c r="F9347" t="s">
        <v>3750</v>
      </c>
      <c r="G9347" t="s">
        <v>16234</v>
      </c>
      <c r="H9347" t="s">
        <v>47054</v>
      </c>
      <c r="I9347" t="s">
        <v>47120</v>
      </c>
      <c r="J9347" t="s">
        <v>47121</v>
      </c>
      <c r="K9347" t="s">
        <v>47113</v>
      </c>
      <c r="L9347">
        <v>21.07</v>
      </c>
      <c r="M9347">
        <v>85</v>
      </c>
      <c r="N9347">
        <v>229</v>
      </c>
      <c r="O9347">
        <v>85</v>
      </c>
      <c r="P9347">
        <v>229</v>
      </c>
    </row>
    <row r="9348" spans="1:16" x14ac:dyDescent="0.25">
      <c r="A9348" t="s">
        <v>31953</v>
      </c>
      <c r="B9348" t="s">
        <v>31954</v>
      </c>
      <c r="C9348" t="s">
        <v>31955</v>
      </c>
      <c r="D9348" t="str">
        <f>"7233"</f>
        <v>7233</v>
      </c>
      <c r="E9348" t="s">
        <v>20783</v>
      </c>
      <c r="F9348" t="s">
        <v>3750</v>
      </c>
      <c r="G9348" t="s">
        <v>16234</v>
      </c>
      <c r="H9348" t="s">
        <v>47054</v>
      </c>
      <c r="I9348" t="s">
        <v>47120</v>
      </c>
      <c r="J9348" t="s">
        <v>47121</v>
      </c>
      <c r="K9348" t="s">
        <v>47113</v>
      </c>
      <c r="L9348">
        <v>21.07</v>
      </c>
      <c r="M9348">
        <v>85</v>
      </c>
      <c r="N9348">
        <v>229</v>
      </c>
      <c r="O9348">
        <v>85</v>
      </c>
      <c r="P9348">
        <v>229</v>
      </c>
    </row>
    <row r="9349" spans="1:16" x14ac:dyDescent="0.25">
      <c r="A9349" t="s">
        <v>31956</v>
      </c>
      <c r="B9349" t="s">
        <v>6965</v>
      </c>
      <c r="C9349" t="s">
        <v>6966</v>
      </c>
      <c r="D9349" t="str">
        <f>"1058"</f>
        <v>1058</v>
      </c>
      <c r="E9349" t="s">
        <v>6961</v>
      </c>
      <c r="F9349" t="s">
        <v>5</v>
      </c>
      <c r="G9349" t="s">
        <v>16234</v>
      </c>
      <c r="H9349" t="s">
        <v>47054</v>
      </c>
      <c r="I9349" t="s">
        <v>47120</v>
      </c>
      <c r="J9349" t="s">
        <v>47121</v>
      </c>
      <c r="K9349" t="s">
        <v>47113</v>
      </c>
      <c r="L9349">
        <v>24.83</v>
      </c>
      <c r="M9349">
        <v>61</v>
      </c>
      <c r="N9349">
        <v>0</v>
      </c>
      <c r="O9349">
        <v>61</v>
      </c>
      <c r="P9349">
        <v>0</v>
      </c>
    </row>
    <row r="9350" spans="1:16" x14ac:dyDescent="0.25">
      <c r="A9350" t="s">
        <v>31957</v>
      </c>
      <c r="B9350" t="s">
        <v>6965</v>
      </c>
      <c r="C9350" t="s">
        <v>6966</v>
      </c>
      <c r="D9350" t="str">
        <f>"2126"</f>
        <v>2126</v>
      </c>
      <c r="E9350" t="s">
        <v>6962</v>
      </c>
      <c r="F9350" t="s">
        <v>5</v>
      </c>
      <c r="G9350" t="s">
        <v>16234</v>
      </c>
      <c r="H9350" t="s">
        <v>47054</v>
      </c>
      <c r="I9350" t="s">
        <v>47120</v>
      </c>
      <c r="J9350" t="s">
        <v>47121</v>
      </c>
      <c r="K9350" t="s">
        <v>47113</v>
      </c>
      <c r="L9350">
        <v>24.83</v>
      </c>
      <c r="M9350">
        <v>61</v>
      </c>
      <c r="N9350">
        <v>0</v>
      </c>
      <c r="O9350">
        <v>61</v>
      </c>
      <c r="P9350">
        <v>0</v>
      </c>
    </row>
    <row r="9351" spans="1:16" x14ac:dyDescent="0.25">
      <c r="A9351" t="s">
        <v>31958</v>
      </c>
      <c r="B9351" t="s">
        <v>6965</v>
      </c>
      <c r="C9351" t="s">
        <v>6966</v>
      </c>
      <c r="D9351" t="str">
        <f>"3442"</f>
        <v>3442</v>
      </c>
      <c r="E9351" t="s">
        <v>6963</v>
      </c>
      <c r="F9351" t="s">
        <v>5</v>
      </c>
      <c r="G9351" t="s">
        <v>16234</v>
      </c>
      <c r="H9351" t="s">
        <v>47054</v>
      </c>
      <c r="I9351" t="s">
        <v>47120</v>
      </c>
      <c r="J9351" t="s">
        <v>47121</v>
      </c>
      <c r="K9351" t="s">
        <v>47113</v>
      </c>
      <c r="L9351">
        <v>24.83</v>
      </c>
      <c r="M9351">
        <v>61</v>
      </c>
      <c r="N9351">
        <v>0</v>
      </c>
      <c r="O9351">
        <v>61</v>
      </c>
      <c r="P9351">
        <v>0</v>
      </c>
    </row>
    <row r="9352" spans="1:16" x14ac:dyDescent="0.25">
      <c r="A9352" t="s">
        <v>31959</v>
      </c>
      <c r="B9352" t="s">
        <v>6965</v>
      </c>
      <c r="C9352" t="s">
        <v>6966</v>
      </c>
      <c r="D9352" t="str">
        <f>"4334"</f>
        <v>4334</v>
      </c>
      <c r="E9352" t="s">
        <v>6964</v>
      </c>
      <c r="F9352" t="s">
        <v>5</v>
      </c>
      <c r="G9352" t="s">
        <v>16234</v>
      </c>
      <c r="H9352" t="s">
        <v>47054</v>
      </c>
      <c r="I9352" t="s">
        <v>47120</v>
      </c>
      <c r="J9352" t="s">
        <v>47121</v>
      </c>
      <c r="K9352" t="s">
        <v>47113</v>
      </c>
      <c r="L9352">
        <v>24.83</v>
      </c>
      <c r="M9352">
        <v>61</v>
      </c>
      <c r="N9352">
        <v>0</v>
      </c>
      <c r="O9352">
        <v>61</v>
      </c>
      <c r="P9352">
        <v>0</v>
      </c>
    </row>
    <row r="9353" spans="1:16" x14ac:dyDescent="0.25">
      <c r="A9353" t="s">
        <v>31960</v>
      </c>
      <c r="B9353" t="s">
        <v>6967</v>
      </c>
      <c r="C9353" t="s">
        <v>6968</v>
      </c>
      <c r="D9353" t="str">
        <f>"1058"</f>
        <v>1058</v>
      </c>
      <c r="E9353" t="s">
        <v>6961</v>
      </c>
      <c r="F9353" t="s">
        <v>7</v>
      </c>
      <c r="G9353" t="s">
        <v>16234</v>
      </c>
      <c r="H9353" t="s">
        <v>47054</v>
      </c>
      <c r="I9353" t="s">
        <v>47111</v>
      </c>
      <c r="J9353" t="s">
        <v>47112</v>
      </c>
      <c r="K9353" t="s">
        <v>47113</v>
      </c>
      <c r="L9353">
        <v>24.1</v>
      </c>
      <c r="M9353">
        <v>61</v>
      </c>
      <c r="N9353">
        <v>0</v>
      </c>
      <c r="O9353">
        <v>61</v>
      </c>
      <c r="P9353">
        <v>0</v>
      </c>
    </row>
    <row r="9354" spans="1:16" x14ac:dyDescent="0.25">
      <c r="A9354" t="s">
        <v>31961</v>
      </c>
      <c r="B9354" t="s">
        <v>6967</v>
      </c>
      <c r="C9354" t="s">
        <v>6968</v>
      </c>
      <c r="D9354" t="str">
        <f>"1514"</f>
        <v>1514</v>
      </c>
      <c r="E9354" t="s">
        <v>6969</v>
      </c>
      <c r="F9354" t="s">
        <v>7</v>
      </c>
      <c r="G9354" t="s">
        <v>16234</v>
      </c>
      <c r="H9354" t="s">
        <v>47054</v>
      </c>
      <c r="I9354" t="s">
        <v>47120</v>
      </c>
      <c r="J9354" t="s">
        <v>47121</v>
      </c>
      <c r="K9354" t="s">
        <v>47113</v>
      </c>
      <c r="L9354">
        <v>21.31</v>
      </c>
      <c r="M9354">
        <v>61</v>
      </c>
      <c r="N9354">
        <v>0</v>
      </c>
      <c r="O9354">
        <v>61</v>
      </c>
      <c r="P9354">
        <v>0</v>
      </c>
    </row>
    <row r="9355" spans="1:16" x14ac:dyDescent="0.25">
      <c r="A9355" t="s">
        <v>31962</v>
      </c>
      <c r="B9355" t="s">
        <v>6967</v>
      </c>
      <c r="C9355" t="s">
        <v>6968</v>
      </c>
      <c r="D9355" t="str">
        <f>"2017"</f>
        <v>2017</v>
      </c>
      <c r="E9355" t="s">
        <v>6970</v>
      </c>
      <c r="F9355" t="s">
        <v>7</v>
      </c>
      <c r="G9355" t="s">
        <v>16234</v>
      </c>
      <c r="H9355" t="s">
        <v>47054</v>
      </c>
      <c r="I9355" t="s">
        <v>47120</v>
      </c>
      <c r="J9355" t="s">
        <v>47121</v>
      </c>
      <c r="K9355" t="s">
        <v>47113</v>
      </c>
      <c r="L9355">
        <v>21.31</v>
      </c>
      <c r="M9355">
        <v>60</v>
      </c>
      <c r="N9355">
        <v>0</v>
      </c>
      <c r="O9355">
        <v>60</v>
      </c>
      <c r="P9355">
        <v>0</v>
      </c>
    </row>
    <row r="9356" spans="1:16" x14ac:dyDescent="0.25">
      <c r="A9356" t="s">
        <v>31963</v>
      </c>
      <c r="B9356" t="s">
        <v>6967</v>
      </c>
      <c r="C9356" t="s">
        <v>6968</v>
      </c>
      <c r="D9356" t="str">
        <f>"3159"</f>
        <v>3159</v>
      </c>
      <c r="E9356" t="s">
        <v>6971</v>
      </c>
      <c r="F9356" t="s">
        <v>7</v>
      </c>
      <c r="G9356" t="s">
        <v>16234</v>
      </c>
      <c r="H9356" t="s">
        <v>47054</v>
      </c>
      <c r="I9356" t="s">
        <v>47120</v>
      </c>
      <c r="J9356" t="s">
        <v>47121</v>
      </c>
      <c r="K9356" t="s">
        <v>47113</v>
      </c>
      <c r="L9356">
        <v>24.71</v>
      </c>
      <c r="M9356">
        <v>60</v>
      </c>
      <c r="N9356">
        <v>0</v>
      </c>
      <c r="O9356">
        <v>60</v>
      </c>
      <c r="P9356">
        <v>0</v>
      </c>
    </row>
    <row r="9357" spans="1:16" x14ac:dyDescent="0.25">
      <c r="A9357" t="s">
        <v>31964</v>
      </c>
      <c r="B9357" t="s">
        <v>6967</v>
      </c>
      <c r="C9357" t="s">
        <v>6968</v>
      </c>
      <c r="D9357" t="str">
        <f>"3356"</f>
        <v>3356</v>
      </c>
      <c r="E9357" t="s">
        <v>6972</v>
      </c>
      <c r="F9357" t="s">
        <v>2</v>
      </c>
      <c r="G9357" t="s">
        <v>16234</v>
      </c>
      <c r="H9357" t="s">
        <v>47054</v>
      </c>
      <c r="I9357" t="s">
        <v>47111</v>
      </c>
      <c r="J9357" t="s">
        <v>47112</v>
      </c>
      <c r="K9357" t="s">
        <v>47113</v>
      </c>
      <c r="L9357">
        <v>24.1</v>
      </c>
      <c r="M9357">
        <v>63</v>
      </c>
      <c r="N9357">
        <v>0</v>
      </c>
      <c r="O9357">
        <v>63</v>
      </c>
      <c r="P9357">
        <v>0</v>
      </c>
    </row>
    <row r="9358" spans="1:16" x14ac:dyDescent="0.25">
      <c r="A9358" t="s">
        <v>31965</v>
      </c>
      <c r="B9358" t="s">
        <v>6967</v>
      </c>
      <c r="C9358" t="s">
        <v>6968</v>
      </c>
      <c r="D9358" t="str">
        <f>"4166"</f>
        <v>4166</v>
      </c>
      <c r="E9358" t="s">
        <v>6973</v>
      </c>
      <c r="F9358" t="s">
        <v>7</v>
      </c>
      <c r="G9358" t="s">
        <v>16234</v>
      </c>
      <c r="H9358" t="s">
        <v>47054</v>
      </c>
      <c r="I9358" t="s">
        <v>47120</v>
      </c>
      <c r="J9358" t="s">
        <v>47121</v>
      </c>
      <c r="K9358" t="s">
        <v>47113</v>
      </c>
      <c r="L9358">
        <v>21.31</v>
      </c>
      <c r="M9358">
        <v>63</v>
      </c>
      <c r="N9358">
        <v>0</v>
      </c>
      <c r="O9358">
        <v>63</v>
      </c>
      <c r="P9358">
        <v>0</v>
      </c>
    </row>
    <row r="9359" spans="1:16" x14ac:dyDescent="0.25">
      <c r="A9359" t="s">
        <v>31966</v>
      </c>
      <c r="B9359" t="s">
        <v>6967</v>
      </c>
      <c r="C9359" t="s">
        <v>6968</v>
      </c>
      <c r="D9359" t="str">
        <f>"4172"</f>
        <v>4172</v>
      </c>
      <c r="E9359" t="s">
        <v>6974</v>
      </c>
      <c r="F9359" t="s">
        <v>2</v>
      </c>
      <c r="G9359" t="s">
        <v>16234</v>
      </c>
      <c r="H9359" t="s">
        <v>47054</v>
      </c>
      <c r="I9359" t="s">
        <v>47111</v>
      </c>
      <c r="J9359" t="s">
        <v>47112</v>
      </c>
      <c r="K9359" t="s">
        <v>47113</v>
      </c>
      <c r="L9359">
        <v>24.1</v>
      </c>
      <c r="M9359">
        <v>61</v>
      </c>
      <c r="N9359">
        <v>0</v>
      </c>
      <c r="O9359">
        <v>61</v>
      </c>
      <c r="P9359">
        <v>0</v>
      </c>
    </row>
    <row r="9360" spans="1:16" x14ac:dyDescent="0.25">
      <c r="A9360" t="s">
        <v>31967</v>
      </c>
      <c r="B9360" t="s">
        <v>6967</v>
      </c>
      <c r="C9360" t="s">
        <v>6968</v>
      </c>
      <c r="D9360" t="str">
        <f>"4567"</f>
        <v>4567</v>
      </c>
      <c r="E9360" t="s">
        <v>6975</v>
      </c>
      <c r="F9360" t="s">
        <v>2</v>
      </c>
      <c r="G9360" t="s">
        <v>16234</v>
      </c>
      <c r="H9360" t="s">
        <v>47054</v>
      </c>
      <c r="I9360" t="s">
        <v>47111</v>
      </c>
      <c r="J9360" t="s">
        <v>47112</v>
      </c>
      <c r="K9360" t="s">
        <v>47113</v>
      </c>
      <c r="L9360">
        <v>24.1</v>
      </c>
      <c r="M9360">
        <v>63</v>
      </c>
      <c r="N9360">
        <v>0</v>
      </c>
      <c r="O9360">
        <v>63</v>
      </c>
      <c r="P9360">
        <v>0</v>
      </c>
    </row>
    <row r="9361" spans="1:16" x14ac:dyDescent="0.25">
      <c r="A9361" t="s">
        <v>31968</v>
      </c>
      <c r="B9361" t="s">
        <v>6967</v>
      </c>
      <c r="C9361" t="s">
        <v>6968</v>
      </c>
      <c r="D9361" t="str">
        <f>"4639"</f>
        <v>4639</v>
      </c>
      <c r="E9361" t="s">
        <v>6976</v>
      </c>
      <c r="F9361" t="s">
        <v>2</v>
      </c>
      <c r="G9361" t="s">
        <v>16234</v>
      </c>
      <c r="H9361" t="s">
        <v>47054</v>
      </c>
      <c r="I9361" t="s">
        <v>47111</v>
      </c>
      <c r="J9361" t="s">
        <v>47112</v>
      </c>
      <c r="K9361" t="s">
        <v>47113</v>
      </c>
      <c r="L9361">
        <v>24.1</v>
      </c>
      <c r="M9361">
        <v>63</v>
      </c>
      <c r="N9361">
        <v>0</v>
      </c>
      <c r="O9361">
        <v>63</v>
      </c>
      <c r="P9361">
        <v>0</v>
      </c>
    </row>
    <row r="9362" spans="1:16" x14ac:dyDescent="0.25">
      <c r="A9362" t="s">
        <v>31969</v>
      </c>
      <c r="B9362" t="s">
        <v>6967</v>
      </c>
      <c r="C9362" t="s">
        <v>6968</v>
      </c>
      <c r="D9362" t="str">
        <f>"6184"</f>
        <v>6184</v>
      </c>
      <c r="E9362" t="s">
        <v>6977</v>
      </c>
      <c r="F9362" t="s">
        <v>2</v>
      </c>
      <c r="G9362" t="s">
        <v>16234</v>
      </c>
      <c r="H9362" t="s">
        <v>47054</v>
      </c>
      <c r="I9362" t="s">
        <v>47111</v>
      </c>
      <c r="J9362" t="s">
        <v>47112</v>
      </c>
      <c r="K9362" t="s">
        <v>47113</v>
      </c>
      <c r="L9362">
        <v>24.1</v>
      </c>
      <c r="M9362">
        <v>63</v>
      </c>
      <c r="N9362">
        <v>0</v>
      </c>
      <c r="O9362">
        <v>63</v>
      </c>
      <c r="P9362">
        <v>0</v>
      </c>
    </row>
    <row r="9363" spans="1:16" x14ac:dyDescent="0.25">
      <c r="A9363" t="s">
        <v>31970</v>
      </c>
      <c r="B9363" t="s">
        <v>6967</v>
      </c>
      <c r="C9363" t="s">
        <v>6968</v>
      </c>
      <c r="D9363" t="str">
        <f>"6281"</f>
        <v>6281</v>
      </c>
      <c r="E9363" t="s">
        <v>6978</v>
      </c>
      <c r="F9363" t="s">
        <v>2</v>
      </c>
      <c r="G9363" t="s">
        <v>16234</v>
      </c>
      <c r="H9363" t="s">
        <v>47054</v>
      </c>
      <c r="I9363" t="s">
        <v>47111</v>
      </c>
      <c r="J9363" t="s">
        <v>47112</v>
      </c>
      <c r="K9363" t="s">
        <v>47113</v>
      </c>
      <c r="L9363">
        <v>24.1</v>
      </c>
      <c r="M9363">
        <v>63</v>
      </c>
      <c r="N9363">
        <v>0</v>
      </c>
      <c r="O9363">
        <v>63</v>
      </c>
      <c r="P9363">
        <v>0</v>
      </c>
    </row>
    <row r="9364" spans="1:16" x14ac:dyDescent="0.25">
      <c r="A9364" t="s">
        <v>31971</v>
      </c>
      <c r="B9364" t="s">
        <v>6979</v>
      </c>
      <c r="C9364" t="s">
        <v>6980</v>
      </c>
      <c r="D9364" t="str">
        <f>"1166"</f>
        <v>1166</v>
      </c>
      <c r="E9364" t="s">
        <v>6981</v>
      </c>
      <c r="F9364" t="s">
        <v>6</v>
      </c>
      <c r="G9364" t="s">
        <v>16234</v>
      </c>
      <c r="H9364" t="s">
        <v>47054</v>
      </c>
      <c r="I9364" t="s">
        <v>47120</v>
      </c>
      <c r="J9364" t="s">
        <v>47121</v>
      </c>
      <c r="K9364" t="s">
        <v>47113</v>
      </c>
      <c r="L9364">
        <v>27.07</v>
      </c>
      <c r="M9364">
        <v>66</v>
      </c>
      <c r="N9364">
        <v>0</v>
      </c>
      <c r="O9364">
        <v>66</v>
      </c>
      <c r="P9364">
        <v>0</v>
      </c>
    </row>
    <row r="9365" spans="1:16" x14ac:dyDescent="0.25">
      <c r="A9365" t="s">
        <v>31972</v>
      </c>
      <c r="B9365" t="s">
        <v>6979</v>
      </c>
      <c r="C9365" t="s">
        <v>6980</v>
      </c>
      <c r="D9365" t="str">
        <f>"1313"</f>
        <v>1313</v>
      </c>
      <c r="E9365" t="s">
        <v>6982</v>
      </c>
      <c r="F9365" t="s">
        <v>56</v>
      </c>
      <c r="G9365" t="s">
        <v>16234</v>
      </c>
      <c r="H9365" t="s">
        <v>47054</v>
      </c>
      <c r="I9365" t="s">
        <v>47120</v>
      </c>
      <c r="J9365" t="s">
        <v>47121</v>
      </c>
      <c r="K9365" t="s">
        <v>47113</v>
      </c>
      <c r="L9365">
        <v>23.91</v>
      </c>
      <c r="M9365">
        <v>56</v>
      </c>
      <c r="N9365">
        <v>0</v>
      </c>
      <c r="O9365">
        <v>56</v>
      </c>
      <c r="P9365">
        <v>0</v>
      </c>
    </row>
    <row r="9366" spans="1:16" x14ac:dyDescent="0.25">
      <c r="A9366" t="s">
        <v>31973</v>
      </c>
      <c r="B9366" t="s">
        <v>6979</v>
      </c>
      <c r="C9366" t="s">
        <v>6980</v>
      </c>
      <c r="D9366" t="str">
        <f>"1342"</f>
        <v>1342</v>
      </c>
      <c r="E9366" t="s">
        <v>6983</v>
      </c>
      <c r="F9366" t="s">
        <v>56</v>
      </c>
      <c r="G9366" t="s">
        <v>16234</v>
      </c>
      <c r="H9366" t="s">
        <v>47054</v>
      </c>
      <c r="I9366" t="s">
        <v>47120</v>
      </c>
      <c r="J9366" t="s">
        <v>47121</v>
      </c>
      <c r="K9366" t="s">
        <v>47113</v>
      </c>
      <c r="L9366">
        <v>26.67</v>
      </c>
      <c r="M9366">
        <v>62</v>
      </c>
      <c r="N9366">
        <v>0</v>
      </c>
      <c r="O9366">
        <v>62</v>
      </c>
      <c r="P9366">
        <v>0</v>
      </c>
    </row>
    <row r="9367" spans="1:16" x14ac:dyDescent="0.25">
      <c r="A9367" t="s">
        <v>31974</v>
      </c>
      <c r="B9367" t="s">
        <v>6979</v>
      </c>
      <c r="C9367" t="s">
        <v>6980</v>
      </c>
      <c r="D9367" t="str">
        <f>"1524"</f>
        <v>1524</v>
      </c>
      <c r="E9367" t="s">
        <v>6984</v>
      </c>
      <c r="F9367" t="s">
        <v>6</v>
      </c>
      <c r="G9367" t="s">
        <v>16234</v>
      </c>
      <c r="H9367" t="s">
        <v>47054</v>
      </c>
      <c r="I9367" t="s">
        <v>47120</v>
      </c>
      <c r="J9367" t="s">
        <v>47121</v>
      </c>
      <c r="K9367" t="s">
        <v>47113</v>
      </c>
      <c r="L9367">
        <v>27.07</v>
      </c>
      <c r="M9367">
        <v>66</v>
      </c>
      <c r="N9367">
        <v>0</v>
      </c>
      <c r="O9367">
        <v>66</v>
      </c>
      <c r="P9367">
        <v>0</v>
      </c>
    </row>
    <row r="9368" spans="1:16" x14ac:dyDescent="0.25">
      <c r="A9368" t="s">
        <v>31975</v>
      </c>
      <c r="B9368" t="s">
        <v>6979</v>
      </c>
      <c r="C9368" t="s">
        <v>6980</v>
      </c>
      <c r="D9368" t="str">
        <f>"2509"</f>
        <v>2509</v>
      </c>
      <c r="E9368" t="s">
        <v>6985</v>
      </c>
      <c r="F9368" t="s">
        <v>56</v>
      </c>
      <c r="G9368" t="s">
        <v>16234</v>
      </c>
      <c r="H9368" t="s">
        <v>47054</v>
      </c>
      <c r="I9368" t="s">
        <v>47120</v>
      </c>
      <c r="J9368" t="s">
        <v>47121</v>
      </c>
      <c r="K9368" t="s">
        <v>47113</v>
      </c>
      <c r="L9368">
        <v>23.91</v>
      </c>
      <c r="M9368">
        <v>56</v>
      </c>
      <c r="N9368">
        <v>0</v>
      </c>
      <c r="O9368">
        <v>56</v>
      </c>
      <c r="P9368">
        <v>0</v>
      </c>
    </row>
    <row r="9369" spans="1:16" x14ac:dyDescent="0.25">
      <c r="A9369" t="s">
        <v>31976</v>
      </c>
      <c r="B9369" t="s">
        <v>6979</v>
      </c>
      <c r="C9369" t="s">
        <v>6980</v>
      </c>
      <c r="D9369" t="str">
        <f>"2511"</f>
        <v>2511</v>
      </c>
      <c r="E9369" t="s">
        <v>6986</v>
      </c>
      <c r="F9369" t="s">
        <v>56</v>
      </c>
      <c r="G9369" t="s">
        <v>16234</v>
      </c>
      <c r="H9369" t="s">
        <v>47054</v>
      </c>
      <c r="I9369" t="s">
        <v>47120</v>
      </c>
      <c r="J9369" t="s">
        <v>47121</v>
      </c>
      <c r="K9369" t="s">
        <v>47113</v>
      </c>
      <c r="L9369">
        <v>26.67</v>
      </c>
      <c r="M9369">
        <v>62</v>
      </c>
      <c r="N9369">
        <v>0</v>
      </c>
      <c r="O9369">
        <v>62</v>
      </c>
      <c r="P9369">
        <v>0</v>
      </c>
    </row>
    <row r="9370" spans="1:16" x14ac:dyDescent="0.25">
      <c r="A9370" t="s">
        <v>31977</v>
      </c>
      <c r="B9370" t="s">
        <v>6979</v>
      </c>
      <c r="C9370" t="s">
        <v>6980</v>
      </c>
      <c r="D9370" t="str">
        <f>"3145"</f>
        <v>3145</v>
      </c>
      <c r="E9370" t="s">
        <v>6987</v>
      </c>
      <c r="F9370" t="s">
        <v>56</v>
      </c>
      <c r="G9370" t="s">
        <v>16234</v>
      </c>
      <c r="H9370" t="s">
        <v>47054</v>
      </c>
      <c r="I9370" t="s">
        <v>47120</v>
      </c>
      <c r="J9370" t="s">
        <v>47121</v>
      </c>
      <c r="K9370" t="s">
        <v>47113</v>
      </c>
      <c r="L9370">
        <v>26.67</v>
      </c>
      <c r="M9370">
        <v>62</v>
      </c>
      <c r="N9370">
        <v>0</v>
      </c>
      <c r="O9370">
        <v>62</v>
      </c>
      <c r="P9370">
        <v>0</v>
      </c>
    </row>
    <row r="9371" spans="1:16" x14ac:dyDescent="0.25">
      <c r="A9371" t="s">
        <v>31978</v>
      </c>
      <c r="B9371" t="s">
        <v>6979</v>
      </c>
      <c r="C9371" t="s">
        <v>6980</v>
      </c>
      <c r="D9371" t="str">
        <f>"3146"</f>
        <v>3146</v>
      </c>
      <c r="E9371" t="s">
        <v>6988</v>
      </c>
      <c r="F9371" t="s">
        <v>56</v>
      </c>
      <c r="G9371" t="s">
        <v>16234</v>
      </c>
      <c r="H9371" t="s">
        <v>47054</v>
      </c>
      <c r="I9371" t="s">
        <v>47120</v>
      </c>
      <c r="J9371" t="s">
        <v>47121</v>
      </c>
      <c r="K9371" t="s">
        <v>47113</v>
      </c>
      <c r="L9371">
        <v>24.53</v>
      </c>
      <c r="M9371">
        <v>56</v>
      </c>
      <c r="N9371">
        <v>0</v>
      </c>
      <c r="O9371">
        <v>56</v>
      </c>
      <c r="P9371">
        <v>0</v>
      </c>
    </row>
    <row r="9372" spans="1:16" x14ac:dyDescent="0.25">
      <c r="A9372" t="s">
        <v>31979</v>
      </c>
      <c r="B9372" t="s">
        <v>6979</v>
      </c>
      <c r="C9372" t="s">
        <v>6980</v>
      </c>
      <c r="D9372" t="str">
        <f>"3219"</f>
        <v>3219</v>
      </c>
      <c r="E9372" t="s">
        <v>6989</v>
      </c>
      <c r="F9372" t="s">
        <v>6</v>
      </c>
      <c r="G9372" t="s">
        <v>16234</v>
      </c>
      <c r="H9372" t="s">
        <v>47054</v>
      </c>
      <c r="I9372" t="s">
        <v>47120</v>
      </c>
      <c r="J9372" t="s">
        <v>47121</v>
      </c>
      <c r="K9372" t="s">
        <v>47113</v>
      </c>
      <c r="L9372">
        <v>27.07</v>
      </c>
      <c r="M9372">
        <v>66</v>
      </c>
      <c r="N9372">
        <v>0</v>
      </c>
      <c r="O9372">
        <v>66</v>
      </c>
      <c r="P9372">
        <v>0</v>
      </c>
    </row>
    <row r="9373" spans="1:16" x14ac:dyDescent="0.25">
      <c r="A9373" t="s">
        <v>31980</v>
      </c>
      <c r="B9373" t="s">
        <v>6979</v>
      </c>
      <c r="C9373" t="s">
        <v>6980</v>
      </c>
      <c r="D9373" t="str">
        <f>"4270"</f>
        <v>4270</v>
      </c>
      <c r="E9373" t="s">
        <v>6990</v>
      </c>
      <c r="F9373" t="s">
        <v>6</v>
      </c>
      <c r="G9373" t="s">
        <v>16234</v>
      </c>
      <c r="H9373" t="s">
        <v>47054</v>
      </c>
      <c r="I9373" t="s">
        <v>47120</v>
      </c>
      <c r="J9373" t="s">
        <v>47121</v>
      </c>
      <c r="K9373" t="s">
        <v>47113</v>
      </c>
      <c r="L9373">
        <v>27.07</v>
      </c>
      <c r="M9373">
        <v>66</v>
      </c>
      <c r="N9373">
        <v>0</v>
      </c>
      <c r="O9373">
        <v>66</v>
      </c>
      <c r="P9373">
        <v>0</v>
      </c>
    </row>
    <row r="9374" spans="1:16" x14ac:dyDescent="0.25">
      <c r="A9374" t="s">
        <v>31981</v>
      </c>
      <c r="B9374" t="s">
        <v>6991</v>
      </c>
      <c r="C9374" t="s">
        <v>6992</v>
      </c>
      <c r="D9374" t="str">
        <f>"1029"</f>
        <v>1029</v>
      </c>
      <c r="E9374" t="s">
        <v>6993</v>
      </c>
      <c r="F9374" t="s">
        <v>56</v>
      </c>
      <c r="G9374" t="s">
        <v>16233</v>
      </c>
      <c r="H9374" t="s">
        <v>47054</v>
      </c>
      <c r="I9374" t="s">
        <v>47120</v>
      </c>
      <c r="J9374" t="s">
        <v>47121</v>
      </c>
      <c r="K9374" t="s">
        <v>47113</v>
      </c>
      <c r="L9374">
        <v>20.99</v>
      </c>
      <c r="M9374">
        <v>52</v>
      </c>
      <c r="N9374">
        <v>0</v>
      </c>
      <c r="O9374">
        <v>52</v>
      </c>
      <c r="P9374">
        <v>0</v>
      </c>
    </row>
    <row r="9375" spans="1:16" x14ac:dyDescent="0.25">
      <c r="A9375" t="s">
        <v>31982</v>
      </c>
      <c r="B9375" t="s">
        <v>6991</v>
      </c>
      <c r="C9375" t="s">
        <v>6992</v>
      </c>
      <c r="D9375" t="str">
        <f>"1313"</f>
        <v>1313</v>
      </c>
      <c r="E9375" t="s">
        <v>6982</v>
      </c>
      <c r="F9375" t="s">
        <v>56</v>
      </c>
      <c r="G9375" t="s">
        <v>16233</v>
      </c>
      <c r="H9375" t="s">
        <v>47054</v>
      </c>
      <c r="I9375" t="s">
        <v>47120</v>
      </c>
      <c r="J9375" t="s">
        <v>47121</v>
      </c>
      <c r="K9375" t="s">
        <v>47113</v>
      </c>
      <c r="L9375">
        <v>22.54</v>
      </c>
      <c r="M9375">
        <v>52</v>
      </c>
      <c r="N9375">
        <v>0</v>
      </c>
      <c r="O9375">
        <v>52</v>
      </c>
      <c r="P9375">
        <v>0</v>
      </c>
    </row>
    <row r="9376" spans="1:16" x14ac:dyDescent="0.25">
      <c r="A9376" t="s">
        <v>31983</v>
      </c>
      <c r="B9376" t="s">
        <v>6991</v>
      </c>
      <c r="C9376" t="s">
        <v>6992</v>
      </c>
      <c r="D9376" t="str">
        <f>"1342"</f>
        <v>1342</v>
      </c>
      <c r="E9376" t="s">
        <v>6983</v>
      </c>
      <c r="F9376" t="s">
        <v>56</v>
      </c>
      <c r="G9376" t="s">
        <v>16233</v>
      </c>
      <c r="H9376" t="s">
        <v>47054</v>
      </c>
      <c r="I9376" t="s">
        <v>47120</v>
      </c>
      <c r="J9376" t="s">
        <v>47121</v>
      </c>
      <c r="K9376" t="s">
        <v>47113</v>
      </c>
      <c r="L9376">
        <v>24.9</v>
      </c>
      <c r="M9376">
        <v>56</v>
      </c>
      <c r="N9376">
        <v>0</v>
      </c>
      <c r="O9376">
        <v>56</v>
      </c>
      <c r="P9376">
        <v>0</v>
      </c>
    </row>
    <row r="9377" spans="1:16" x14ac:dyDescent="0.25">
      <c r="A9377" t="s">
        <v>31984</v>
      </c>
      <c r="B9377" t="s">
        <v>6991</v>
      </c>
      <c r="C9377" t="s">
        <v>6992</v>
      </c>
      <c r="D9377" t="str">
        <f>"1815"</f>
        <v>1815</v>
      </c>
      <c r="E9377" t="s">
        <v>6994</v>
      </c>
      <c r="F9377" t="s">
        <v>56</v>
      </c>
      <c r="G9377" t="s">
        <v>16233</v>
      </c>
      <c r="H9377" t="s">
        <v>47054</v>
      </c>
      <c r="I9377" t="s">
        <v>47120</v>
      </c>
      <c r="J9377" t="s">
        <v>47121</v>
      </c>
      <c r="K9377" t="s">
        <v>47113</v>
      </c>
      <c r="L9377">
        <v>21.98</v>
      </c>
      <c r="M9377">
        <v>52</v>
      </c>
      <c r="N9377">
        <v>0</v>
      </c>
      <c r="O9377">
        <v>52</v>
      </c>
      <c r="P9377">
        <v>0</v>
      </c>
    </row>
    <row r="9378" spans="1:16" x14ac:dyDescent="0.25">
      <c r="A9378" t="s">
        <v>31985</v>
      </c>
      <c r="B9378" t="s">
        <v>6991</v>
      </c>
      <c r="C9378" t="s">
        <v>6992</v>
      </c>
      <c r="D9378" t="str">
        <f>"2509"</f>
        <v>2509</v>
      </c>
      <c r="E9378" t="s">
        <v>6985</v>
      </c>
      <c r="F9378" t="s">
        <v>56</v>
      </c>
      <c r="G9378" t="s">
        <v>16233</v>
      </c>
      <c r="H9378" t="s">
        <v>47054</v>
      </c>
      <c r="I9378" t="s">
        <v>47120</v>
      </c>
      <c r="J9378" t="s">
        <v>47121</v>
      </c>
      <c r="K9378" t="s">
        <v>47113</v>
      </c>
      <c r="L9378">
        <v>22.54</v>
      </c>
      <c r="M9378">
        <v>52</v>
      </c>
      <c r="N9378">
        <v>0</v>
      </c>
      <c r="O9378">
        <v>52</v>
      </c>
      <c r="P9378">
        <v>0</v>
      </c>
    </row>
    <row r="9379" spans="1:16" x14ac:dyDescent="0.25">
      <c r="A9379" t="s">
        <v>31986</v>
      </c>
      <c r="B9379" t="s">
        <v>6991</v>
      </c>
      <c r="C9379" t="s">
        <v>6992</v>
      </c>
      <c r="D9379" t="str">
        <f>"2511"</f>
        <v>2511</v>
      </c>
      <c r="E9379" t="s">
        <v>6986</v>
      </c>
      <c r="F9379" t="s">
        <v>56</v>
      </c>
      <c r="G9379" t="s">
        <v>16233</v>
      </c>
      <c r="H9379" t="s">
        <v>47054</v>
      </c>
      <c r="I9379" t="s">
        <v>47120</v>
      </c>
      <c r="J9379" t="s">
        <v>47121</v>
      </c>
      <c r="K9379" t="s">
        <v>47113</v>
      </c>
      <c r="L9379">
        <v>24.9</v>
      </c>
      <c r="M9379">
        <v>56</v>
      </c>
      <c r="N9379">
        <v>0</v>
      </c>
      <c r="O9379">
        <v>56</v>
      </c>
      <c r="P9379">
        <v>0</v>
      </c>
    </row>
    <row r="9380" spans="1:16" x14ac:dyDescent="0.25">
      <c r="A9380" t="s">
        <v>31987</v>
      </c>
      <c r="B9380" t="s">
        <v>6991</v>
      </c>
      <c r="C9380" t="s">
        <v>6992</v>
      </c>
      <c r="D9380" t="str">
        <f>"3145"</f>
        <v>3145</v>
      </c>
      <c r="E9380" t="s">
        <v>6987</v>
      </c>
      <c r="F9380" t="s">
        <v>56</v>
      </c>
      <c r="G9380" t="s">
        <v>16233</v>
      </c>
      <c r="H9380" t="s">
        <v>47054</v>
      </c>
      <c r="I9380" t="s">
        <v>47120</v>
      </c>
      <c r="J9380" t="s">
        <v>47121</v>
      </c>
      <c r="K9380" t="s">
        <v>47113</v>
      </c>
      <c r="L9380">
        <v>24.9</v>
      </c>
      <c r="M9380">
        <v>56</v>
      </c>
      <c r="N9380">
        <v>0</v>
      </c>
      <c r="O9380">
        <v>56</v>
      </c>
      <c r="P9380">
        <v>0</v>
      </c>
    </row>
    <row r="9381" spans="1:16" x14ac:dyDescent="0.25">
      <c r="A9381" t="s">
        <v>31988</v>
      </c>
      <c r="B9381" t="s">
        <v>6991</v>
      </c>
      <c r="C9381" t="s">
        <v>6992</v>
      </c>
      <c r="D9381" t="str">
        <f>"3146"</f>
        <v>3146</v>
      </c>
      <c r="E9381" t="s">
        <v>6988</v>
      </c>
      <c r="F9381" t="s">
        <v>56</v>
      </c>
      <c r="G9381" t="s">
        <v>16233</v>
      </c>
      <c r="H9381" t="s">
        <v>47054</v>
      </c>
      <c r="I9381" t="s">
        <v>47120</v>
      </c>
      <c r="J9381" t="s">
        <v>47121</v>
      </c>
      <c r="K9381" t="s">
        <v>47113</v>
      </c>
      <c r="L9381">
        <v>22.54</v>
      </c>
      <c r="M9381">
        <v>52</v>
      </c>
      <c r="N9381">
        <v>0</v>
      </c>
      <c r="O9381">
        <v>52</v>
      </c>
      <c r="P9381">
        <v>0</v>
      </c>
    </row>
    <row r="9382" spans="1:16" x14ac:dyDescent="0.25">
      <c r="A9382" t="s">
        <v>31989</v>
      </c>
      <c r="B9382" t="s">
        <v>6991</v>
      </c>
      <c r="C9382" t="s">
        <v>6992</v>
      </c>
      <c r="D9382" t="str">
        <f>"4119"</f>
        <v>4119</v>
      </c>
      <c r="E9382" t="s">
        <v>6995</v>
      </c>
      <c r="F9382" t="s">
        <v>296</v>
      </c>
      <c r="G9382" t="s">
        <v>16233</v>
      </c>
      <c r="H9382" t="s">
        <v>47054</v>
      </c>
      <c r="I9382" t="s">
        <v>47120</v>
      </c>
      <c r="J9382" t="s">
        <v>47121</v>
      </c>
      <c r="K9382" t="s">
        <v>47113</v>
      </c>
      <c r="L9382">
        <v>20.99</v>
      </c>
      <c r="M9382">
        <v>52</v>
      </c>
      <c r="N9382">
        <v>0</v>
      </c>
      <c r="O9382">
        <v>52</v>
      </c>
      <c r="P9382">
        <v>0</v>
      </c>
    </row>
    <row r="9383" spans="1:16" x14ac:dyDescent="0.25">
      <c r="A9383" t="s">
        <v>31990</v>
      </c>
      <c r="B9383" t="s">
        <v>6996</v>
      </c>
      <c r="C9383" t="s">
        <v>6997</v>
      </c>
      <c r="D9383" t="str">
        <f>"1029"</f>
        <v>1029</v>
      </c>
      <c r="E9383" t="s">
        <v>6993</v>
      </c>
      <c r="F9383" t="s">
        <v>296</v>
      </c>
      <c r="G9383" t="s">
        <v>16234</v>
      </c>
      <c r="H9383" t="s">
        <v>47054</v>
      </c>
      <c r="I9383" t="s">
        <v>47120</v>
      </c>
      <c r="J9383" t="s">
        <v>47121</v>
      </c>
      <c r="K9383" t="s">
        <v>47113</v>
      </c>
      <c r="L9383">
        <v>22.54</v>
      </c>
      <c r="M9383">
        <v>56</v>
      </c>
      <c r="N9383">
        <v>0</v>
      </c>
      <c r="O9383">
        <v>56</v>
      </c>
      <c r="P9383">
        <v>0</v>
      </c>
    </row>
    <row r="9384" spans="1:16" x14ac:dyDescent="0.25">
      <c r="A9384" t="s">
        <v>31991</v>
      </c>
      <c r="B9384" t="s">
        <v>6996</v>
      </c>
      <c r="C9384" t="s">
        <v>6997</v>
      </c>
      <c r="D9384" t="str">
        <f>"1815"</f>
        <v>1815</v>
      </c>
      <c r="E9384" t="s">
        <v>6994</v>
      </c>
      <c r="F9384" t="s">
        <v>296</v>
      </c>
      <c r="G9384" t="s">
        <v>16234</v>
      </c>
      <c r="H9384" t="s">
        <v>47054</v>
      </c>
      <c r="I9384" t="s">
        <v>47120</v>
      </c>
      <c r="J9384" t="s">
        <v>47121</v>
      </c>
      <c r="K9384" t="s">
        <v>47113</v>
      </c>
      <c r="L9384">
        <v>22.52</v>
      </c>
      <c r="M9384">
        <v>56</v>
      </c>
      <c r="N9384">
        <v>0</v>
      </c>
      <c r="O9384">
        <v>56</v>
      </c>
      <c r="P9384">
        <v>0</v>
      </c>
    </row>
    <row r="9385" spans="1:16" x14ac:dyDescent="0.25">
      <c r="A9385" t="s">
        <v>31992</v>
      </c>
      <c r="B9385" t="s">
        <v>6996</v>
      </c>
      <c r="C9385" t="s">
        <v>6997</v>
      </c>
      <c r="D9385" t="str">
        <f>"4119"</f>
        <v>4119</v>
      </c>
      <c r="E9385" t="s">
        <v>6995</v>
      </c>
      <c r="F9385" t="s">
        <v>296</v>
      </c>
      <c r="G9385" t="s">
        <v>16234</v>
      </c>
      <c r="H9385" t="s">
        <v>47054</v>
      </c>
      <c r="I9385" t="s">
        <v>47120</v>
      </c>
      <c r="J9385" t="s">
        <v>47121</v>
      </c>
      <c r="K9385" t="s">
        <v>47113</v>
      </c>
      <c r="L9385">
        <v>22.51</v>
      </c>
      <c r="M9385">
        <v>56</v>
      </c>
      <c r="N9385">
        <v>0</v>
      </c>
      <c r="O9385">
        <v>56</v>
      </c>
      <c r="P9385">
        <v>0</v>
      </c>
    </row>
    <row r="9386" spans="1:16" x14ac:dyDescent="0.25">
      <c r="A9386" t="s">
        <v>31993</v>
      </c>
      <c r="B9386" t="s">
        <v>6996</v>
      </c>
      <c r="C9386" t="s">
        <v>6997</v>
      </c>
      <c r="D9386" t="str">
        <f>"6025"</f>
        <v>6025</v>
      </c>
      <c r="E9386" t="s">
        <v>6998</v>
      </c>
      <c r="F9386" t="s">
        <v>296</v>
      </c>
      <c r="G9386" t="s">
        <v>16234</v>
      </c>
      <c r="H9386" t="s">
        <v>47054</v>
      </c>
      <c r="I9386" t="s">
        <v>47120</v>
      </c>
      <c r="J9386" t="s">
        <v>47121</v>
      </c>
      <c r="K9386" t="s">
        <v>47113</v>
      </c>
      <c r="L9386">
        <v>24.24</v>
      </c>
      <c r="M9386">
        <v>56</v>
      </c>
      <c r="N9386">
        <v>0</v>
      </c>
      <c r="O9386">
        <v>56</v>
      </c>
      <c r="P9386">
        <v>0</v>
      </c>
    </row>
    <row r="9387" spans="1:16" x14ac:dyDescent="0.25">
      <c r="A9387" t="s">
        <v>31994</v>
      </c>
      <c r="B9387" t="s">
        <v>6996</v>
      </c>
      <c r="C9387" t="s">
        <v>6997</v>
      </c>
      <c r="D9387" t="str">
        <f>"7210"</f>
        <v>7210</v>
      </c>
      <c r="E9387" t="s">
        <v>6999</v>
      </c>
      <c r="F9387" t="s">
        <v>296</v>
      </c>
      <c r="G9387" t="s">
        <v>16234</v>
      </c>
      <c r="H9387" t="s">
        <v>47054</v>
      </c>
      <c r="I9387" t="s">
        <v>47120</v>
      </c>
      <c r="J9387" t="s">
        <v>47121</v>
      </c>
      <c r="K9387" t="s">
        <v>47113</v>
      </c>
      <c r="L9387">
        <v>24.24</v>
      </c>
      <c r="M9387">
        <v>56</v>
      </c>
      <c r="N9387">
        <v>0</v>
      </c>
      <c r="O9387">
        <v>56</v>
      </c>
      <c r="P9387">
        <v>0</v>
      </c>
    </row>
    <row r="9388" spans="1:16" x14ac:dyDescent="0.25">
      <c r="A9388" t="s">
        <v>31995</v>
      </c>
      <c r="B9388" t="s">
        <v>7000</v>
      </c>
      <c r="C9388" t="s">
        <v>7001</v>
      </c>
      <c r="D9388" t="str">
        <f>"1030"</f>
        <v>1030</v>
      </c>
      <c r="E9388" t="s">
        <v>7002</v>
      </c>
      <c r="F9388" t="s">
        <v>6</v>
      </c>
      <c r="G9388" t="s">
        <v>16234</v>
      </c>
      <c r="H9388" t="s">
        <v>47054</v>
      </c>
      <c r="I9388" t="s">
        <v>47120</v>
      </c>
      <c r="J9388" t="s">
        <v>47121</v>
      </c>
      <c r="K9388" t="s">
        <v>47113</v>
      </c>
      <c r="L9388">
        <v>25.31</v>
      </c>
      <c r="M9388">
        <v>62</v>
      </c>
      <c r="N9388">
        <v>0</v>
      </c>
      <c r="O9388">
        <v>62</v>
      </c>
      <c r="P9388">
        <v>0</v>
      </c>
    </row>
    <row r="9389" spans="1:16" x14ac:dyDescent="0.25">
      <c r="A9389" t="s">
        <v>31996</v>
      </c>
      <c r="B9389" t="s">
        <v>7000</v>
      </c>
      <c r="C9389" t="s">
        <v>7001</v>
      </c>
      <c r="D9389" t="str">
        <f>"4267"</f>
        <v>4267</v>
      </c>
      <c r="E9389" t="s">
        <v>7003</v>
      </c>
      <c r="F9389" t="s">
        <v>6</v>
      </c>
      <c r="G9389" t="s">
        <v>16234</v>
      </c>
      <c r="H9389" t="s">
        <v>47054</v>
      </c>
      <c r="I9389" t="s">
        <v>47120</v>
      </c>
      <c r="J9389" t="s">
        <v>47121</v>
      </c>
      <c r="K9389" t="s">
        <v>47113</v>
      </c>
      <c r="L9389">
        <v>25.31</v>
      </c>
      <c r="M9389">
        <v>62</v>
      </c>
      <c r="N9389">
        <v>0</v>
      </c>
      <c r="O9389">
        <v>62</v>
      </c>
      <c r="P9389">
        <v>0</v>
      </c>
    </row>
    <row r="9390" spans="1:16" x14ac:dyDescent="0.25">
      <c r="A9390" t="s">
        <v>31997</v>
      </c>
      <c r="B9390" t="s">
        <v>7004</v>
      </c>
      <c r="C9390" t="s">
        <v>7005</v>
      </c>
      <c r="D9390" t="s">
        <v>1718</v>
      </c>
      <c r="E9390" t="s">
        <v>1719</v>
      </c>
      <c r="F9390" t="s">
        <v>3670</v>
      </c>
      <c r="G9390" t="s">
        <v>16231</v>
      </c>
      <c r="H9390" t="s">
        <v>47054</v>
      </c>
      <c r="I9390" t="s">
        <v>47111</v>
      </c>
      <c r="J9390" t="s">
        <v>47112</v>
      </c>
      <c r="K9390" t="s">
        <v>47113</v>
      </c>
      <c r="L9390">
        <v>48.1</v>
      </c>
      <c r="M9390">
        <v>92</v>
      </c>
      <c r="N9390">
        <v>0</v>
      </c>
      <c r="O9390">
        <v>92</v>
      </c>
      <c r="P9390">
        <v>0</v>
      </c>
    </row>
    <row r="9391" spans="1:16" x14ac:dyDescent="0.25">
      <c r="A9391" t="s">
        <v>31998</v>
      </c>
      <c r="B9391" t="s">
        <v>7006</v>
      </c>
      <c r="C9391" t="s">
        <v>14521</v>
      </c>
      <c r="D9391" t="s">
        <v>1718</v>
      </c>
      <c r="E9391" t="s">
        <v>1719</v>
      </c>
      <c r="F9391" t="s">
        <v>3670</v>
      </c>
      <c r="G9391" t="s">
        <v>16231</v>
      </c>
      <c r="H9391" t="s">
        <v>47054</v>
      </c>
      <c r="I9391" t="s">
        <v>47111</v>
      </c>
      <c r="J9391" t="s">
        <v>47112</v>
      </c>
      <c r="K9391" t="s">
        <v>47113</v>
      </c>
      <c r="L9391">
        <v>45.48</v>
      </c>
      <c r="M9391">
        <v>92</v>
      </c>
      <c r="N9391">
        <v>0</v>
      </c>
      <c r="O9391">
        <v>92</v>
      </c>
      <c r="P9391">
        <v>0</v>
      </c>
    </row>
    <row r="9392" spans="1:16" x14ac:dyDescent="0.25">
      <c r="A9392" t="s">
        <v>31999</v>
      </c>
      <c r="B9392" t="s">
        <v>7007</v>
      </c>
      <c r="C9392" t="s">
        <v>7008</v>
      </c>
      <c r="D9392" t="s">
        <v>7009</v>
      </c>
      <c r="E9392" t="s">
        <v>7010</v>
      </c>
      <c r="F9392" t="s">
        <v>3670</v>
      </c>
      <c r="G9392" t="s">
        <v>16231</v>
      </c>
      <c r="I9392" t="s">
        <v>47111</v>
      </c>
      <c r="J9392" t="s">
        <v>47112</v>
      </c>
      <c r="K9392" t="s">
        <v>47113</v>
      </c>
      <c r="L9392">
        <v>51.87</v>
      </c>
      <c r="M9392">
        <v>100</v>
      </c>
      <c r="N9392">
        <v>0</v>
      </c>
      <c r="O9392">
        <v>100</v>
      </c>
      <c r="P9392">
        <v>0</v>
      </c>
    </row>
    <row r="9393" spans="1:16" x14ac:dyDescent="0.25">
      <c r="A9393" t="s">
        <v>32000</v>
      </c>
      <c r="B9393" t="s">
        <v>7011</v>
      </c>
      <c r="C9393" t="s">
        <v>20389</v>
      </c>
      <c r="D9393" t="s">
        <v>7012</v>
      </c>
      <c r="E9393" t="s">
        <v>7013</v>
      </c>
      <c r="F9393" t="s">
        <v>3670</v>
      </c>
      <c r="G9393" t="s">
        <v>16231</v>
      </c>
      <c r="H9393" t="s">
        <v>47054</v>
      </c>
      <c r="I9393" t="s">
        <v>47111</v>
      </c>
      <c r="J9393" t="s">
        <v>47112</v>
      </c>
      <c r="K9393" t="s">
        <v>47113</v>
      </c>
      <c r="L9393">
        <v>70.88</v>
      </c>
      <c r="M9393">
        <v>137</v>
      </c>
      <c r="N9393">
        <v>0</v>
      </c>
      <c r="O9393">
        <v>137</v>
      </c>
      <c r="P9393">
        <v>0</v>
      </c>
    </row>
    <row r="9394" spans="1:16" x14ac:dyDescent="0.25">
      <c r="A9394" t="s">
        <v>32001</v>
      </c>
      <c r="B9394" t="s">
        <v>7014</v>
      </c>
      <c r="C9394" t="s">
        <v>16449</v>
      </c>
      <c r="D9394" t="s">
        <v>7015</v>
      </c>
      <c r="E9394" t="s">
        <v>7016</v>
      </c>
      <c r="F9394" t="s">
        <v>3670</v>
      </c>
      <c r="G9394" t="s">
        <v>16231</v>
      </c>
      <c r="H9394" t="s">
        <v>47054</v>
      </c>
      <c r="I9394" t="s">
        <v>47111</v>
      </c>
      <c r="J9394" t="s">
        <v>47112</v>
      </c>
      <c r="K9394" t="s">
        <v>47113</v>
      </c>
      <c r="L9394">
        <v>53.59</v>
      </c>
      <c r="M9394">
        <v>100</v>
      </c>
      <c r="N9394">
        <v>0</v>
      </c>
      <c r="O9394">
        <v>100</v>
      </c>
      <c r="P9394">
        <v>0</v>
      </c>
    </row>
    <row r="9395" spans="1:16" x14ac:dyDescent="0.25">
      <c r="A9395" t="s">
        <v>32002</v>
      </c>
      <c r="B9395" t="s">
        <v>7017</v>
      </c>
      <c r="C9395" t="s">
        <v>14520</v>
      </c>
      <c r="D9395" t="s">
        <v>7012</v>
      </c>
      <c r="E9395" t="s">
        <v>7013</v>
      </c>
      <c r="F9395" t="s">
        <v>3670</v>
      </c>
      <c r="G9395" t="s">
        <v>16231</v>
      </c>
      <c r="H9395" t="s">
        <v>47054</v>
      </c>
      <c r="I9395" t="s">
        <v>47111</v>
      </c>
      <c r="J9395" t="s">
        <v>47112</v>
      </c>
      <c r="K9395" t="s">
        <v>47113</v>
      </c>
      <c r="L9395">
        <v>66.34</v>
      </c>
      <c r="M9395">
        <v>137</v>
      </c>
      <c r="N9395">
        <v>0</v>
      </c>
      <c r="O9395">
        <v>137</v>
      </c>
      <c r="P9395">
        <v>0</v>
      </c>
    </row>
    <row r="9396" spans="1:16" x14ac:dyDescent="0.25">
      <c r="A9396" t="s">
        <v>32003</v>
      </c>
      <c r="B9396" t="s">
        <v>7018</v>
      </c>
      <c r="C9396" t="s">
        <v>20390</v>
      </c>
      <c r="D9396" t="s">
        <v>7019</v>
      </c>
      <c r="E9396" t="s">
        <v>7020</v>
      </c>
      <c r="F9396" t="s">
        <v>3670</v>
      </c>
      <c r="G9396" t="s">
        <v>16231</v>
      </c>
      <c r="H9396" t="s">
        <v>47054</v>
      </c>
      <c r="I9396" t="s">
        <v>47111</v>
      </c>
      <c r="J9396" t="s">
        <v>47112</v>
      </c>
      <c r="K9396" t="s">
        <v>47113</v>
      </c>
      <c r="L9396">
        <v>50.93</v>
      </c>
      <c r="M9396">
        <v>92</v>
      </c>
      <c r="N9396">
        <v>0</v>
      </c>
      <c r="O9396">
        <v>92</v>
      </c>
      <c r="P9396">
        <v>0</v>
      </c>
    </row>
    <row r="9397" spans="1:16" x14ac:dyDescent="0.25">
      <c r="A9397" t="s">
        <v>32004</v>
      </c>
      <c r="B9397" t="s">
        <v>7021</v>
      </c>
      <c r="C9397" t="s">
        <v>17436</v>
      </c>
      <c r="D9397" t="s">
        <v>7022</v>
      </c>
      <c r="E9397" t="s">
        <v>7023</v>
      </c>
      <c r="F9397" t="s">
        <v>3670</v>
      </c>
      <c r="G9397" t="s">
        <v>16231</v>
      </c>
      <c r="H9397" t="s">
        <v>47054</v>
      </c>
      <c r="I9397" t="s">
        <v>47111</v>
      </c>
      <c r="J9397" t="s">
        <v>47112</v>
      </c>
      <c r="K9397" t="s">
        <v>47113</v>
      </c>
      <c r="L9397">
        <v>47.24</v>
      </c>
      <c r="M9397">
        <v>92</v>
      </c>
      <c r="N9397">
        <v>0</v>
      </c>
      <c r="O9397">
        <v>92</v>
      </c>
      <c r="P9397">
        <v>0</v>
      </c>
    </row>
    <row r="9398" spans="1:16" x14ac:dyDescent="0.25">
      <c r="A9398" t="s">
        <v>32005</v>
      </c>
      <c r="B9398" t="s">
        <v>7021</v>
      </c>
      <c r="C9398" t="s">
        <v>17436</v>
      </c>
      <c r="D9398" t="s">
        <v>7019</v>
      </c>
      <c r="E9398" t="s">
        <v>7020</v>
      </c>
      <c r="F9398" t="s">
        <v>3670</v>
      </c>
      <c r="G9398" t="s">
        <v>16231</v>
      </c>
      <c r="H9398" t="s">
        <v>47054</v>
      </c>
      <c r="I9398" t="s">
        <v>47111</v>
      </c>
      <c r="J9398" t="s">
        <v>47112</v>
      </c>
      <c r="K9398" t="s">
        <v>47113</v>
      </c>
      <c r="L9398">
        <v>47.24</v>
      </c>
      <c r="M9398">
        <v>92</v>
      </c>
      <c r="N9398">
        <v>0</v>
      </c>
      <c r="O9398">
        <v>92</v>
      </c>
      <c r="P9398">
        <v>0</v>
      </c>
    </row>
    <row r="9399" spans="1:16" x14ac:dyDescent="0.25">
      <c r="A9399" t="s">
        <v>32006</v>
      </c>
      <c r="B9399" t="s">
        <v>7024</v>
      </c>
      <c r="C9399" t="s">
        <v>7025</v>
      </c>
      <c r="D9399" t="s">
        <v>7019</v>
      </c>
      <c r="E9399" t="s">
        <v>7020</v>
      </c>
      <c r="F9399" t="s">
        <v>3670</v>
      </c>
      <c r="G9399" t="s">
        <v>16233</v>
      </c>
      <c r="H9399" t="s">
        <v>47054</v>
      </c>
      <c r="I9399" t="s">
        <v>47111</v>
      </c>
      <c r="J9399" t="s">
        <v>47112</v>
      </c>
      <c r="K9399" t="s">
        <v>47113</v>
      </c>
      <c r="L9399">
        <v>43.63</v>
      </c>
      <c r="M9399">
        <v>66</v>
      </c>
      <c r="N9399">
        <v>0</v>
      </c>
      <c r="O9399">
        <v>66</v>
      </c>
      <c r="P9399">
        <v>0</v>
      </c>
    </row>
    <row r="9400" spans="1:16" x14ac:dyDescent="0.25">
      <c r="A9400" t="s">
        <v>32007</v>
      </c>
      <c r="B9400" t="s">
        <v>7026</v>
      </c>
      <c r="C9400" t="s">
        <v>17437</v>
      </c>
      <c r="D9400" t="s">
        <v>7027</v>
      </c>
      <c r="E9400" t="s">
        <v>7028</v>
      </c>
      <c r="F9400" t="s">
        <v>3670</v>
      </c>
      <c r="G9400" t="s">
        <v>16233</v>
      </c>
      <c r="H9400" t="s">
        <v>47054</v>
      </c>
      <c r="I9400" t="s">
        <v>47111</v>
      </c>
      <c r="J9400" t="s">
        <v>47112</v>
      </c>
      <c r="K9400" t="s">
        <v>47113</v>
      </c>
      <c r="L9400">
        <v>46.29</v>
      </c>
      <c r="M9400">
        <v>92</v>
      </c>
      <c r="N9400">
        <v>0</v>
      </c>
      <c r="O9400">
        <v>92</v>
      </c>
      <c r="P9400">
        <v>0</v>
      </c>
    </row>
    <row r="9401" spans="1:16" x14ac:dyDescent="0.25">
      <c r="A9401" t="s">
        <v>32008</v>
      </c>
      <c r="B9401" t="s">
        <v>7029</v>
      </c>
      <c r="C9401" t="s">
        <v>7030</v>
      </c>
      <c r="D9401" t="s">
        <v>6205</v>
      </c>
      <c r="E9401" t="s">
        <v>6206</v>
      </c>
      <c r="F9401" t="s">
        <v>56</v>
      </c>
      <c r="G9401" t="s">
        <v>16230</v>
      </c>
      <c r="H9401" t="s">
        <v>47054</v>
      </c>
      <c r="I9401" t="s">
        <v>47114</v>
      </c>
      <c r="J9401" t="s">
        <v>47115</v>
      </c>
      <c r="K9401" t="s">
        <v>47113</v>
      </c>
      <c r="L9401">
        <v>52.07</v>
      </c>
      <c r="M9401">
        <v>113</v>
      </c>
      <c r="N9401">
        <v>0</v>
      </c>
      <c r="O9401">
        <v>113</v>
      </c>
      <c r="P9401">
        <v>0</v>
      </c>
    </row>
    <row r="9402" spans="1:16" x14ac:dyDescent="0.25">
      <c r="A9402" t="s">
        <v>32009</v>
      </c>
      <c r="B9402" t="s">
        <v>7031</v>
      </c>
      <c r="C9402" t="s">
        <v>7032</v>
      </c>
      <c r="D9402" t="s">
        <v>7033</v>
      </c>
      <c r="E9402" t="s">
        <v>7034</v>
      </c>
      <c r="F9402" t="s">
        <v>56</v>
      </c>
      <c r="G9402" t="s">
        <v>16230</v>
      </c>
      <c r="H9402" t="s">
        <v>47054</v>
      </c>
      <c r="I9402" t="s">
        <v>47116</v>
      </c>
      <c r="J9402" t="s">
        <v>47117</v>
      </c>
      <c r="K9402" t="s">
        <v>47113</v>
      </c>
      <c r="L9402">
        <v>40.74</v>
      </c>
      <c r="M9402">
        <v>95</v>
      </c>
      <c r="N9402">
        <v>0</v>
      </c>
      <c r="O9402">
        <v>95</v>
      </c>
      <c r="P9402">
        <v>0</v>
      </c>
    </row>
    <row r="9403" spans="1:16" x14ac:dyDescent="0.25">
      <c r="A9403" t="s">
        <v>32010</v>
      </c>
      <c r="B9403" t="s">
        <v>7035</v>
      </c>
      <c r="C9403" t="s">
        <v>2800</v>
      </c>
      <c r="D9403" t="s">
        <v>7036</v>
      </c>
      <c r="E9403" t="s">
        <v>7037</v>
      </c>
      <c r="F9403" t="s">
        <v>56</v>
      </c>
      <c r="G9403" t="s">
        <v>16230</v>
      </c>
      <c r="H9403" t="s">
        <v>47054</v>
      </c>
      <c r="I9403" t="s">
        <v>47116</v>
      </c>
      <c r="J9403" t="s">
        <v>47117</v>
      </c>
      <c r="K9403" t="s">
        <v>47113</v>
      </c>
      <c r="L9403">
        <v>38.03</v>
      </c>
      <c r="M9403">
        <v>97</v>
      </c>
      <c r="N9403">
        <v>0</v>
      </c>
      <c r="O9403">
        <v>97</v>
      </c>
      <c r="P9403">
        <v>0</v>
      </c>
    </row>
    <row r="9404" spans="1:16" x14ac:dyDescent="0.25">
      <c r="A9404" t="s">
        <v>32011</v>
      </c>
      <c r="B9404" t="s">
        <v>7038</v>
      </c>
      <c r="C9404" t="s">
        <v>7039</v>
      </c>
      <c r="D9404" t="s">
        <v>7040</v>
      </c>
      <c r="E9404" t="s">
        <v>7041</v>
      </c>
      <c r="F9404" t="s">
        <v>56</v>
      </c>
      <c r="G9404" t="s">
        <v>16231</v>
      </c>
      <c r="H9404" t="s">
        <v>47054</v>
      </c>
      <c r="I9404" t="s">
        <v>47111</v>
      </c>
      <c r="J9404" t="s">
        <v>47112</v>
      </c>
      <c r="K9404" t="s">
        <v>47113</v>
      </c>
      <c r="L9404">
        <v>43.5</v>
      </c>
      <c r="M9404">
        <v>98</v>
      </c>
      <c r="N9404">
        <v>0</v>
      </c>
      <c r="O9404">
        <v>98</v>
      </c>
      <c r="P9404">
        <v>0</v>
      </c>
    </row>
    <row r="9405" spans="1:16" x14ac:dyDescent="0.25">
      <c r="A9405" t="s">
        <v>32012</v>
      </c>
      <c r="B9405" t="s">
        <v>7042</v>
      </c>
      <c r="C9405" t="s">
        <v>7043</v>
      </c>
      <c r="D9405" t="s">
        <v>7040</v>
      </c>
      <c r="E9405" t="s">
        <v>7041</v>
      </c>
      <c r="F9405" t="s">
        <v>56</v>
      </c>
      <c r="G9405" t="s">
        <v>16233</v>
      </c>
      <c r="H9405" t="s">
        <v>47054</v>
      </c>
      <c r="I9405" t="s">
        <v>47116</v>
      </c>
      <c r="J9405" t="s">
        <v>47117</v>
      </c>
      <c r="K9405" t="s">
        <v>47113</v>
      </c>
      <c r="L9405">
        <v>36.5</v>
      </c>
      <c r="M9405">
        <v>76</v>
      </c>
      <c r="N9405">
        <v>0</v>
      </c>
      <c r="O9405">
        <v>76</v>
      </c>
      <c r="P9405">
        <v>0</v>
      </c>
    </row>
    <row r="9406" spans="1:16" x14ac:dyDescent="0.25">
      <c r="A9406" t="s">
        <v>32013</v>
      </c>
      <c r="B9406" t="s">
        <v>7042</v>
      </c>
      <c r="C9406" t="s">
        <v>7043</v>
      </c>
      <c r="D9406" t="s">
        <v>7044</v>
      </c>
      <c r="E9406" t="s">
        <v>7045</v>
      </c>
      <c r="F9406" t="s">
        <v>56</v>
      </c>
      <c r="G9406" t="s">
        <v>16233</v>
      </c>
      <c r="H9406" t="s">
        <v>47054</v>
      </c>
      <c r="I9406" t="s">
        <v>47116</v>
      </c>
      <c r="J9406" t="s">
        <v>47117</v>
      </c>
      <c r="K9406" t="s">
        <v>47113</v>
      </c>
      <c r="L9406">
        <v>36.72</v>
      </c>
      <c r="M9406">
        <v>89</v>
      </c>
      <c r="N9406">
        <v>0</v>
      </c>
      <c r="O9406">
        <v>89</v>
      </c>
      <c r="P9406">
        <v>0</v>
      </c>
    </row>
    <row r="9407" spans="1:16" x14ac:dyDescent="0.25">
      <c r="A9407" t="s">
        <v>32014</v>
      </c>
      <c r="B9407" t="s">
        <v>17438</v>
      </c>
      <c r="C9407" t="s">
        <v>17439</v>
      </c>
      <c r="D9407" t="str">
        <f>"1011"</f>
        <v>1011</v>
      </c>
      <c r="E9407" t="s">
        <v>17440</v>
      </c>
      <c r="F9407" t="s">
        <v>3750</v>
      </c>
      <c r="G9407" t="s">
        <v>16231</v>
      </c>
      <c r="H9407" t="s">
        <v>47054</v>
      </c>
      <c r="I9407" t="s">
        <v>47116</v>
      </c>
      <c r="J9407" t="s">
        <v>47117</v>
      </c>
      <c r="K9407" t="s">
        <v>47113</v>
      </c>
      <c r="L9407">
        <v>23.48</v>
      </c>
      <c r="M9407">
        <v>66</v>
      </c>
      <c r="N9407">
        <v>0</v>
      </c>
      <c r="O9407">
        <v>66</v>
      </c>
      <c r="P9407">
        <v>0</v>
      </c>
    </row>
    <row r="9408" spans="1:16" x14ac:dyDescent="0.25">
      <c r="A9408" t="s">
        <v>32015</v>
      </c>
      <c r="B9408" t="s">
        <v>17441</v>
      </c>
      <c r="C9408" t="s">
        <v>17442</v>
      </c>
      <c r="D9408" t="s">
        <v>17443</v>
      </c>
      <c r="E9408" t="s">
        <v>17444</v>
      </c>
      <c r="F9408" t="s">
        <v>3750</v>
      </c>
      <c r="G9408" t="s">
        <v>16231</v>
      </c>
      <c r="H9408" t="s">
        <v>47054</v>
      </c>
      <c r="I9408" t="s">
        <v>47116</v>
      </c>
      <c r="J9408" t="s">
        <v>47117</v>
      </c>
      <c r="K9408" t="s">
        <v>47113</v>
      </c>
      <c r="L9408">
        <v>26.85</v>
      </c>
      <c r="M9408">
        <v>79</v>
      </c>
      <c r="N9408">
        <v>0</v>
      </c>
      <c r="O9408">
        <v>79</v>
      </c>
      <c r="P9408">
        <v>0</v>
      </c>
    </row>
    <row r="9409" spans="1:16" x14ac:dyDescent="0.25">
      <c r="A9409" t="s">
        <v>32016</v>
      </c>
      <c r="B9409" t="s">
        <v>17441</v>
      </c>
      <c r="C9409" t="s">
        <v>17442</v>
      </c>
      <c r="D9409" t="s">
        <v>17445</v>
      </c>
      <c r="E9409" t="s">
        <v>17446</v>
      </c>
      <c r="F9409" t="s">
        <v>3750</v>
      </c>
      <c r="G9409" t="s">
        <v>16231</v>
      </c>
      <c r="H9409" t="s">
        <v>47054</v>
      </c>
      <c r="I9409" t="s">
        <v>47116</v>
      </c>
      <c r="J9409" t="s">
        <v>47117</v>
      </c>
      <c r="K9409" t="s">
        <v>47113</v>
      </c>
      <c r="L9409">
        <v>26.85</v>
      </c>
      <c r="M9409">
        <v>79</v>
      </c>
      <c r="N9409">
        <v>0</v>
      </c>
      <c r="O9409">
        <v>79</v>
      </c>
      <c r="P9409">
        <v>0</v>
      </c>
    </row>
    <row r="9410" spans="1:16" x14ac:dyDescent="0.25">
      <c r="A9410" t="s">
        <v>32017</v>
      </c>
      <c r="B9410" t="s">
        <v>17447</v>
      </c>
      <c r="C9410" t="s">
        <v>17448</v>
      </c>
      <c r="D9410" t="str">
        <f>"11"</f>
        <v>11</v>
      </c>
      <c r="E9410" t="s">
        <v>288</v>
      </c>
      <c r="F9410" t="s">
        <v>3750</v>
      </c>
      <c r="G9410" t="s">
        <v>16233</v>
      </c>
      <c r="H9410" t="s">
        <v>47054</v>
      </c>
      <c r="I9410" t="s">
        <v>47116</v>
      </c>
      <c r="J9410" t="s">
        <v>47117</v>
      </c>
      <c r="K9410" t="s">
        <v>47113</v>
      </c>
      <c r="L9410">
        <v>16.899999999999999</v>
      </c>
      <c r="M9410">
        <v>47</v>
      </c>
      <c r="N9410">
        <v>0</v>
      </c>
      <c r="O9410">
        <v>47</v>
      </c>
      <c r="P9410">
        <v>0</v>
      </c>
    </row>
    <row r="9411" spans="1:16" x14ac:dyDescent="0.25">
      <c r="A9411" t="s">
        <v>32018</v>
      </c>
      <c r="B9411" t="s">
        <v>17447</v>
      </c>
      <c r="C9411" t="s">
        <v>17448</v>
      </c>
      <c r="D9411" t="s">
        <v>17449</v>
      </c>
      <c r="E9411" t="s">
        <v>17450</v>
      </c>
      <c r="F9411" t="s">
        <v>3750</v>
      </c>
      <c r="G9411" t="s">
        <v>16233</v>
      </c>
      <c r="H9411" t="s">
        <v>47054</v>
      </c>
      <c r="I9411" t="s">
        <v>47116</v>
      </c>
      <c r="J9411" t="s">
        <v>47117</v>
      </c>
      <c r="K9411" t="s">
        <v>47113</v>
      </c>
      <c r="L9411">
        <v>20.88</v>
      </c>
      <c r="M9411">
        <v>58</v>
      </c>
      <c r="N9411">
        <v>0</v>
      </c>
      <c r="O9411">
        <v>58</v>
      </c>
      <c r="P9411">
        <v>0</v>
      </c>
    </row>
    <row r="9412" spans="1:16" x14ac:dyDescent="0.25">
      <c r="A9412" t="s">
        <v>32019</v>
      </c>
      <c r="B9412" t="s">
        <v>20391</v>
      </c>
      <c r="C9412" t="s">
        <v>20392</v>
      </c>
      <c r="D9412" t="s">
        <v>721</v>
      </c>
      <c r="E9412" t="s">
        <v>722</v>
      </c>
      <c r="F9412" t="s">
        <v>3750</v>
      </c>
      <c r="G9412" t="s">
        <v>16233</v>
      </c>
      <c r="H9412" t="s">
        <v>47054</v>
      </c>
      <c r="I9412" t="s">
        <v>47116</v>
      </c>
      <c r="J9412" t="s">
        <v>47117</v>
      </c>
      <c r="K9412" t="s">
        <v>47113</v>
      </c>
      <c r="L9412">
        <v>22.58</v>
      </c>
      <c r="M9412">
        <v>95</v>
      </c>
      <c r="N9412">
        <v>0</v>
      </c>
      <c r="O9412">
        <v>95</v>
      </c>
      <c r="P9412">
        <v>0</v>
      </c>
    </row>
    <row r="9413" spans="1:16" x14ac:dyDescent="0.25">
      <c r="A9413" t="s">
        <v>32020</v>
      </c>
      <c r="B9413" t="s">
        <v>20393</v>
      </c>
      <c r="C9413" t="s">
        <v>20392</v>
      </c>
      <c r="D9413" t="s">
        <v>20394</v>
      </c>
      <c r="E9413" t="s">
        <v>20395</v>
      </c>
      <c r="F9413" t="s">
        <v>3750</v>
      </c>
      <c r="G9413" t="s">
        <v>16233</v>
      </c>
      <c r="H9413" t="s">
        <v>47054</v>
      </c>
      <c r="I9413" t="s">
        <v>47116</v>
      </c>
      <c r="J9413" t="s">
        <v>47117</v>
      </c>
      <c r="K9413" t="s">
        <v>47113</v>
      </c>
      <c r="L9413">
        <v>22.58</v>
      </c>
      <c r="M9413">
        <v>95</v>
      </c>
      <c r="N9413">
        <v>0</v>
      </c>
      <c r="O9413">
        <v>95</v>
      </c>
      <c r="P9413">
        <v>0</v>
      </c>
    </row>
    <row r="9414" spans="1:16" x14ac:dyDescent="0.25">
      <c r="A9414" t="s">
        <v>32021</v>
      </c>
      <c r="B9414" t="s">
        <v>15508</v>
      </c>
      <c r="C9414" t="s">
        <v>15509</v>
      </c>
      <c r="D9414" t="s">
        <v>15510</v>
      </c>
      <c r="E9414" t="s">
        <v>15511</v>
      </c>
      <c r="F9414" t="s">
        <v>3750</v>
      </c>
      <c r="G9414" t="s">
        <v>16233</v>
      </c>
      <c r="H9414" t="s">
        <v>47054</v>
      </c>
      <c r="I9414" t="s">
        <v>47116</v>
      </c>
      <c r="J9414" t="s">
        <v>47117</v>
      </c>
      <c r="K9414" t="s">
        <v>47113</v>
      </c>
      <c r="L9414">
        <v>19.7</v>
      </c>
      <c r="M9414">
        <v>77</v>
      </c>
      <c r="N9414">
        <v>0</v>
      </c>
      <c r="O9414">
        <v>77</v>
      </c>
      <c r="P9414">
        <v>0</v>
      </c>
    </row>
    <row r="9415" spans="1:16" x14ac:dyDescent="0.25">
      <c r="A9415" t="s">
        <v>32022</v>
      </c>
      <c r="B9415" t="s">
        <v>15512</v>
      </c>
      <c r="C9415" t="s">
        <v>15509</v>
      </c>
      <c r="D9415" t="s">
        <v>721</v>
      </c>
      <c r="E9415" t="s">
        <v>722</v>
      </c>
      <c r="F9415" t="s">
        <v>3750</v>
      </c>
      <c r="G9415" t="s">
        <v>16233</v>
      </c>
      <c r="H9415" t="s">
        <v>47054</v>
      </c>
      <c r="I9415" t="s">
        <v>47116</v>
      </c>
      <c r="J9415" t="s">
        <v>47117</v>
      </c>
      <c r="K9415" t="s">
        <v>47113</v>
      </c>
      <c r="L9415">
        <v>19.260000000000002</v>
      </c>
      <c r="M9415">
        <v>75</v>
      </c>
      <c r="N9415">
        <v>0</v>
      </c>
      <c r="O9415">
        <v>75</v>
      </c>
      <c r="P9415">
        <v>0</v>
      </c>
    </row>
    <row r="9416" spans="1:16" x14ac:dyDescent="0.25">
      <c r="A9416" t="s">
        <v>32023</v>
      </c>
      <c r="B9416" t="s">
        <v>20396</v>
      </c>
      <c r="C9416" t="s">
        <v>20397</v>
      </c>
      <c r="D9416" t="s">
        <v>20398</v>
      </c>
      <c r="E9416" t="s">
        <v>20399</v>
      </c>
      <c r="F9416" t="s">
        <v>3750</v>
      </c>
      <c r="G9416" t="s">
        <v>16230</v>
      </c>
      <c r="H9416" t="s">
        <v>47054</v>
      </c>
      <c r="I9416" t="s">
        <v>47116</v>
      </c>
      <c r="J9416" t="s">
        <v>47117</v>
      </c>
      <c r="K9416" t="s">
        <v>47113</v>
      </c>
      <c r="L9416">
        <v>32.18</v>
      </c>
      <c r="M9416">
        <v>95</v>
      </c>
      <c r="N9416">
        <v>0</v>
      </c>
      <c r="O9416">
        <v>95</v>
      </c>
      <c r="P9416">
        <v>0</v>
      </c>
    </row>
    <row r="9417" spans="1:16" x14ac:dyDescent="0.25">
      <c r="A9417" t="s">
        <v>32024</v>
      </c>
      <c r="B9417" t="s">
        <v>32025</v>
      </c>
      <c r="C9417" t="s">
        <v>32026</v>
      </c>
      <c r="D9417" t="s">
        <v>32027</v>
      </c>
      <c r="E9417" t="s">
        <v>32028</v>
      </c>
      <c r="F9417" t="s">
        <v>3750</v>
      </c>
      <c r="G9417" t="s">
        <v>16230</v>
      </c>
      <c r="H9417" t="s">
        <v>47054</v>
      </c>
      <c r="I9417" t="s">
        <v>47116</v>
      </c>
      <c r="J9417" t="s">
        <v>47117</v>
      </c>
      <c r="K9417" t="s">
        <v>47113</v>
      </c>
      <c r="L9417">
        <v>29.85</v>
      </c>
      <c r="M9417">
        <v>60</v>
      </c>
      <c r="N9417">
        <v>0</v>
      </c>
      <c r="O9417">
        <v>60</v>
      </c>
      <c r="P9417">
        <v>0</v>
      </c>
    </row>
    <row r="9418" spans="1:16" x14ac:dyDescent="0.25">
      <c r="A9418" t="s">
        <v>32029</v>
      </c>
      <c r="B9418" t="s">
        <v>20400</v>
      </c>
      <c r="C9418" t="s">
        <v>20401</v>
      </c>
      <c r="D9418" t="s">
        <v>20402</v>
      </c>
      <c r="E9418" t="s">
        <v>20403</v>
      </c>
      <c r="F9418" t="s">
        <v>3750</v>
      </c>
      <c r="G9418" t="s">
        <v>16230</v>
      </c>
      <c r="H9418" t="s">
        <v>47054</v>
      </c>
      <c r="I9418" t="s">
        <v>47116</v>
      </c>
      <c r="J9418" t="s">
        <v>47117</v>
      </c>
      <c r="K9418" t="s">
        <v>47113</v>
      </c>
      <c r="L9418">
        <v>30.98</v>
      </c>
      <c r="M9418">
        <v>80</v>
      </c>
      <c r="N9418">
        <v>0</v>
      </c>
      <c r="O9418">
        <v>80</v>
      </c>
      <c r="P9418">
        <v>0</v>
      </c>
    </row>
    <row r="9419" spans="1:16" x14ac:dyDescent="0.25">
      <c r="A9419" t="s">
        <v>32030</v>
      </c>
      <c r="B9419" t="s">
        <v>17451</v>
      </c>
      <c r="C9419" t="s">
        <v>17452</v>
      </c>
      <c r="D9419" t="s">
        <v>5476</v>
      </c>
      <c r="E9419" t="s">
        <v>5477</v>
      </c>
      <c r="F9419" t="s">
        <v>3750</v>
      </c>
      <c r="G9419" t="s">
        <v>16231</v>
      </c>
      <c r="H9419" t="s">
        <v>47054</v>
      </c>
      <c r="I9419" t="s">
        <v>47116</v>
      </c>
      <c r="J9419" t="s">
        <v>47117</v>
      </c>
      <c r="K9419" t="s">
        <v>47113</v>
      </c>
      <c r="L9419">
        <v>21.55</v>
      </c>
      <c r="M9419">
        <v>64</v>
      </c>
      <c r="N9419">
        <v>0</v>
      </c>
      <c r="O9419">
        <v>64</v>
      </c>
      <c r="P9419">
        <v>0</v>
      </c>
    </row>
    <row r="9420" spans="1:16" x14ac:dyDescent="0.25">
      <c r="A9420" t="s">
        <v>32031</v>
      </c>
      <c r="B9420" t="s">
        <v>7046</v>
      </c>
      <c r="C9420" t="s">
        <v>7047</v>
      </c>
      <c r="D9420" t="s">
        <v>1718</v>
      </c>
      <c r="E9420" t="s">
        <v>1719</v>
      </c>
      <c r="F9420" t="s">
        <v>56</v>
      </c>
      <c r="G9420" t="s">
        <v>16230</v>
      </c>
      <c r="H9420" t="s">
        <v>47054</v>
      </c>
      <c r="I9420" t="s">
        <v>47116</v>
      </c>
      <c r="J9420" t="s">
        <v>47117</v>
      </c>
      <c r="K9420" t="s">
        <v>47113</v>
      </c>
      <c r="L9420">
        <v>31.64</v>
      </c>
      <c r="M9420">
        <v>70</v>
      </c>
      <c r="N9420">
        <v>0</v>
      </c>
      <c r="O9420">
        <v>70</v>
      </c>
      <c r="P9420">
        <v>0</v>
      </c>
    </row>
    <row r="9421" spans="1:16" x14ac:dyDescent="0.25">
      <c r="A9421" t="s">
        <v>32032</v>
      </c>
      <c r="B9421" t="s">
        <v>7046</v>
      </c>
      <c r="C9421" t="s">
        <v>7047</v>
      </c>
      <c r="D9421" t="s">
        <v>6636</v>
      </c>
      <c r="E9421" t="s">
        <v>6637</v>
      </c>
      <c r="F9421" t="s">
        <v>56</v>
      </c>
      <c r="G9421" t="s">
        <v>16230</v>
      </c>
      <c r="H9421" t="s">
        <v>47054</v>
      </c>
      <c r="I9421" t="s">
        <v>47116</v>
      </c>
      <c r="J9421" t="s">
        <v>47117</v>
      </c>
      <c r="K9421" t="s">
        <v>47113</v>
      </c>
      <c r="L9421">
        <v>31.64</v>
      </c>
      <c r="M9421">
        <v>72</v>
      </c>
      <c r="N9421">
        <v>0</v>
      </c>
      <c r="O9421">
        <v>72</v>
      </c>
      <c r="P9421">
        <v>0</v>
      </c>
    </row>
    <row r="9422" spans="1:16" x14ac:dyDescent="0.25">
      <c r="A9422" t="s">
        <v>32033</v>
      </c>
      <c r="B9422" t="s">
        <v>7046</v>
      </c>
      <c r="C9422" t="s">
        <v>7047</v>
      </c>
      <c r="D9422" t="s">
        <v>6632</v>
      </c>
      <c r="E9422" t="s">
        <v>6633</v>
      </c>
      <c r="F9422" t="s">
        <v>56</v>
      </c>
      <c r="G9422" t="s">
        <v>16230</v>
      </c>
      <c r="H9422" t="s">
        <v>47054</v>
      </c>
      <c r="I9422" t="s">
        <v>47116</v>
      </c>
      <c r="J9422" t="s">
        <v>47117</v>
      </c>
      <c r="K9422" t="s">
        <v>47113</v>
      </c>
      <c r="L9422">
        <v>35.08</v>
      </c>
      <c r="M9422">
        <v>101</v>
      </c>
      <c r="N9422">
        <v>0</v>
      </c>
      <c r="O9422">
        <v>101</v>
      </c>
      <c r="P9422">
        <v>0</v>
      </c>
    </row>
    <row r="9423" spans="1:16" x14ac:dyDescent="0.25">
      <c r="A9423" t="s">
        <v>32034</v>
      </c>
      <c r="B9423" t="s">
        <v>7048</v>
      </c>
      <c r="C9423" t="s">
        <v>7049</v>
      </c>
      <c r="D9423" t="s">
        <v>7040</v>
      </c>
      <c r="E9423" t="s">
        <v>7041</v>
      </c>
      <c r="F9423" t="s">
        <v>56</v>
      </c>
      <c r="G9423" t="s">
        <v>16234</v>
      </c>
      <c r="H9423" t="s">
        <v>47054</v>
      </c>
      <c r="I9423" t="s">
        <v>47111</v>
      </c>
      <c r="J9423" t="s">
        <v>47112</v>
      </c>
      <c r="K9423" t="s">
        <v>47113</v>
      </c>
      <c r="L9423">
        <v>36.92</v>
      </c>
      <c r="M9423">
        <v>76</v>
      </c>
      <c r="N9423">
        <v>0</v>
      </c>
      <c r="O9423">
        <v>76</v>
      </c>
      <c r="P9423">
        <v>0</v>
      </c>
    </row>
    <row r="9424" spans="1:16" x14ac:dyDescent="0.25">
      <c r="A9424" t="s">
        <v>32035</v>
      </c>
      <c r="B9424" t="s">
        <v>7050</v>
      </c>
      <c r="C9424" t="s">
        <v>7051</v>
      </c>
      <c r="D9424" t="s">
        <v>7040</v>
      </c>
      <c r="E9424" t="s">
        <v>7041</v>
      </c>
      <c r="F9424" t="s">
        <v>56</v>
      </c>
      <c r="G9424" t="s">
        <v>16233</v>
      </c>
      <c r="H9424" t="s">
        <v>47054</v>
      </c>
      <c r="I9424" t="s">
        <v>47111</v>
      </c>
      <c r="J9424" t="s">
        <v>47112</v>
      </c>
      <c r="K9424" t="s">
        <v>47113</v>
      </c>
      <c r="L9424">
        <v>33.49</v>
      </c>
      <c r="M9424">
        <v>64</v>
      </c>
      <c r="N9424">
        <v>0</v>
      </c>
      <c r="O9424">
        <v>64</v>
      </c>
      <c r="P9424">
        <v>0</v>
      </c>
    </row>
    <row r="9425" spans="1:16" x14ac:dyDescent="0.25">
      <c r="A9425" t="s">
        <v>32036</v>
      </c>
      <c r="B9425" t="s">
        <v>7052</v>
      </c>
      <c r="C9425" t="s">
        <v>3441</v>
      </c>
      <c r="D9425" t="s">
        <v>5267</v>
      </c>
      <c r="E9425" t="s">
        <v>5268</v>
      </c>
      <c r="F9425" t="s">
        <v>56</v>
      </c>
      <c r="G9425" t="s">
        <v>16230</v>
      </c>
      <c r="H9425" t="s">
        <v>47054</v>
      </c>
      <c r="I9425" t="s">
        <v>47116</v>
      </c>
      <c r="J9425" t="s">
        <v>47117</v>
      </c>
      <c r="K9425" t="s">
        <v>47113</v>
      </c>
      <c r="L9425">
        <v>42.9</v>
      </c>
      <c r="M9425">
        <v>95</v>
      </c>
      <c r="N9425">
        <v>0</v>
      </c>
      <c r="O9425">
        <v>95</v>
      </c>
      <c r="P9425">
        <v>0</v>
      </c>
    </row>
    <row r="9426" spans="1:16" x14ac:dyDescent="0.25">
      <c r="A9426" t="s">
        <v>32037</v>
      </c>
      <c r="B9426" t="s">
        <v>7053</v>
      </c>
      <c r="C9426" t="s">
        <v>7054</v>
      </c>
      <c r="D9426" t="s">
        <v>753</v>
      </c>
      <c r="E9426" t="s">
        <v>754</v>
      </c>
      <c r="F9426" t="s">
        <v>56</v>
      </c>
      <c r="G9426" t="s">
        <v>16230</v>
      </c>
      <c r="H9426" t="s">
        <v>47054</v>
      </c>
      <c r="I9426" t="s">
        <v>47116</v>
      </c>
      <c r="J9426" t="s">
        <v>47117</v>
      </c>
      <c r="K9426" t="s">
        <v>47113</v>
      </c>
      <c r="L9426">
        <v>38.619999999999997</v>
      </c>
      <c r="M9426">
        <v>92</v>
      </c>
      <c r="N9426">
        <v>0</v>
      </c>
      <c r="O9426">
        <v>92</v>
      </c>
      <c r="P9426">
        <v>0</v>
      </c>
    </row>
    <row r="9427" spans="1:16" x14ac:dyDescent="0.25">
      <c r="A9427" t="s">
        <v>32038</v>
      </c>
      <c r="B9427" t="s">
        <v>7053</v>
      </c>
      <c r="C9427" t="s">
        <v>7054</v>
      </c>
      <c r="D9427" t="s">
        <v>7033</v>
      </c>
      <c r="E9427" t="s">
        <v>7034</v>
      </c>
      <c r="F9427" t="s">
        <v>296</v>
      </c>
      <c r="G9427" t="s">
        <v>16230</v>
      </c>
      <c r="H9427" t="s">
        <v>47054</v>
      </c>
      <c r="I9427" t="s">
        <v>47116</v>
      </c>
      <c r="J9427" t="s">
        <v>47117</v>
      </c>
      <c r="K9427" t="s">
        <v>47113</v>
      </c>
      <c r="L9427">
        <v>37.659999999999997</v>
      </c>
      <c r="M9427">
        <v>83</v>
      </c>
      <c r="N9427">
        <v>0</v>
      </c>
      <c r="O9427">
        <v>83</v>
      </c>
      <c r="P9427">
        <v>0</v>
      </c>
    </row>
    <row r="9428" spans="1:16" x14ac:dyDescent="0.25">
      <c r="A9428" t="s">
        <v>32039</v>
      </c>
      <c r="B9428" t="s">
        <v>7055</v>
      </c>
      <c r="C9428" t="s">
        <v>7056</v>
      </c>
      <c r="D9428" t="s">
        <v>2567</v>
      </c>
      <c r="E9428" t="s">
        <v>2568</v>
      </c>
      <c r="F9428" t="s">
        <v>56</v>
      </c>
      <c r="G9428" t="s">
        <v>16230</v>
      </c>
      <c r="H9428" t="s">
        <v>47054</v>
      </c>
      <c r="I9428" t="s">
        <v>47116</v>
      </c>
      <c r="J9428" t="s">
        <v>47117</v>
      </c>
      <c r="K9428" t="s">
        <v>47113</v>
      </c>
      <c r="L9428">
        <v>36.56</v>
      </c>
      <c r="M9428">
        <v>92</v>
      </c>
      <c r="N9428">
        <v>0</v>
      </c>
      <c r="O9428">
        <v>92</v>
      </c>
      <c r="P9428">
        <v>0</v>
      </c>
    </row>
    <row r="9429" spans="1:16" x14ac:dyDescent="0.25">
      <c r="A9429" t="s">
        <v>32040</v>
      </c>
      <c r="B9429" t="s">
        <v>7055</v>
      </c>
      <c r="C9429" t="s">
        <v>7056</v>
      </c>
      <c r="D9429" t="s">
        <v>5288</v>
      </c>
      <c r="E9429" t="s">
        <v>5289</v>
      </c>
      <c r="F9429" t="s">
        <v>56</v>
      </c>
      <c r="G9429" t="s">
        <v>16230</v>
      </c>
      <c r="H9429" t="s">
        <v>47054</v>
      </c>
      <c r="I9429" t="s">
        <v>47116</v>
      </c>
      <c r="J9429" t="s">
        <v>47117</v>
      </c>
      <c r="K9429" t="s">
        <v>47113</v>
      </c>
      <c r="L9429">
        <v>37.630000000000003</v>
      </c>
      <c r="M9429">
        <v>88</v>
      </c>
      <c r="N9429">
        <v>0</v>
      </c>
      <c r="O9429">
        <v>88</v>
      </c>
      <c r="P9429">
        <v>0</v>
      </c>
    </row>
    <row r="9430" spans="1:16" x14ac:dyDescent="0.25">
      <c r="A9430" t="s">
        <v>32041</v>
      </c>
      <c r="B9430" t="s">
        <v>7057</v>
      </c>
      <c r="C9430" t="s">
        <v>7058</v>
      </c>
      <c r="D9430" t="s">
        <v>2030</v>
      </c>
      <c r="E9430" t="s">
        <v>2031</v>
      </c>
      <c r="F9430" t="s">
        <v>296</v>
      </c>
      <c r="G9430" t="s">
        <v>16230</v>
      </c>
      <c r="H9430" t="s">
        <v>47054</v>
      </c>
      <c r="I9430" t="s">
        <v>47116</v>
      </c>
      <c r="J9430" t="s">
        <v>47117</v>
      </c>
      <c r="K9430" t="s">
        <v>47113</v>
      </c>
      <c r="L9430">
        <v>27.81</v>
      </c>
      <c r="M9430">
        <v>63</v>
      </c>
      <c r="N9430">
        <v>0</v>
      </c>
      <c r="O9430">
        <v>63</v>
      </c>
      <c r="P9430">
        <v>0</v>
      </c>
    </row>
    <row r="9431" spans="1:16" x14ac:dyDescent="0.25">
      <c r="A9431" t="s">
        <v>32042</v>
      </c>
      <c r="B9431" t="s">
        <v>7059</v>
      </c>
      <c r="C9431" t="s">
        <v>7060</v>
      </c>
      <c r="D9431" t="s">
        <v>2567</v>
      </c>
      <c r="E9431" t="s">
        <v>2568</v>
      </c>
      <c r="F9431" t="s">
        <v>7</v>
      </c>
      <c r="G9431" t="s">
        <v>16224</v>
      </c>
      <c r="H9431" t="s">
        <v>47054</v>
      </c>
      <c r="I9431" t="s">
        <v>47116</v>
      </c>
      <c r="J9431" t="s">
        <v>47117</v>
      </c>
      <c r="K9431" t="s">
        <v>47113</v>
      </c>
      <c r="L9431">
        <v>39.49</v>
      </c>
      <c r="M9431">
        <v>92</v>
      </c>
      <c r="N9431">
        <v>0</v>
      </c>
      <c r="O9431">
        <v>92</v>
      </c>
      <c r="P9431">
        <v>0</v>
      </c>
    </row>
    <row r="9432" spans="1:16" x14ac:dyDescent="0.25">
      <c r="A9432" t="s">
        <v>32043</v>
      </c>
      <c r="B9432" t="s">
        <v>7061</v>
      </c>
      <c r="C9432" t="s">
        <v>7062</v>
      </c>
      <c r="D9432" t="s">
        <v>6219</v>
      </c>
      <c r="E9432" t="s">
        <v>6220</v>
      </c>
      <c r="F9432" t="s">
        <v>7</v>
      </c>
      <c r="G9432" t="s">
        <v>16231</v>
      </c>
      <c r="H9432" t="s">
        <v>47054</v>
      </c>
      <c r="I9432" t="s">
        <v>47111</v>
      </c>
      <c r="J9432" t="s">
        <v>47112</v>
      </c>
      <c r="K9432" t="s">
        <v>47113</v>
      </c>
      <c r="L9432">
        <v>46.95</v>
      </c>
      <c r="M9432">
        <v>118</v>
      </c>
      <c r="N9432">
        <v>0</v>
      </c>
      <c r="O9432">
        <v>118</v>
      </c>
      <c r="P9432">
        <v>0</v>
      </c>
    </row>
    <row r="9433" spans="1:16" x14ac:dyDescent="0.25">
      <c r="A9433" t="s">
        <v>32044</v>
      </c>
      <c r="B9433" t="s">
        <v>7063</v>
      </c>
      <c r="C9433" t="s">
        <v>6643</v>
      </c>
      <c r="D9433" t="s">
        <v>6219</v>
      </c>
      <c r="E9433" t="s">
        <v>6220</v>
      </c>
      <c r="F9433" t="s">
        <v>7</v>
      </c>
      <c r="G9433" t="s">
        <v>16231</v>
      </c>
      <c r="H9433" t="s">
        <v>47054</v>
      </c>
      <c r="I9433" t="s">
        <v>47111</v>
      </c>
      <c r="J9433" t="s">
        <v>47112</v>
      </c>
      <c r="K9433" t="s">
        <v>47113</v>
      </c>
      <c r="L9433">
        <v>54.6</v>
      </c>
      <c r="M9433">
        <v>118</v>
      </c>
      <c r="N9433">
        <v>0</v>
      </c>
      <c r="O9433">
        <v>118</v>
      </c>
      <c r="P9433">
        <v>0</v>
      </c>
    </row>
    <row r="9434" spans="1:16" x14ac:dyDescent="0.25">
      <c r="A9434" t="s">
        <v>32045</v>
      </c>
      <c r="B9434" t="s">
        <v>7063</v>
      </c>
      <c r="C9434" t="s">
        <v>6643</v>
      </c>
      <c r="D9434" t="s">
        <v>311</v>
      </c>
      <c r="E9434" t="s">
        <v>312</v>
      </c>
      <c r="F9434" t="s">
        <v>7</v>
      </c>
      <c r="G9434" t="s">
        <v>16231</v>
      </c>
      <c r="H9434" t="s">
        <v>47054</v>
      </c>
      <c r="I9434" t="s">
        <v>47111</v>
      </c>
      <c r="J9434" t="s">
        <v>47112</v>
      </c>
      <c r="K9434" t="s">
        <v>47113</v>
      </c>
      <c r="L9434">
        <v>32.14</v>
      </c>
      <c r="M9434">
        <v>95</v>
      </c>
      <c r="N9434">
        <v>0</v>
      </c>
      <c r="O9434">
        <v>95</v>
      </c>
      <c r="P9434">
        <v>0</v>
      </c>
    </row>
    <row r="9435" spans="1:16" x14ac:dyDescent="0.25">
      <c r="A9435" t="s">
        <v>32046</v>
      </c>
      <c r="B9435" t="s">
        <v>7064</v>
      </c>
      <c r="C9435" t="s">
        <v>6647</v>
      </c>
      <c r="D9435" t="s">
        <v>6219</v>
      </c>
      <c r="E9435" t="s">
        <v>6220</v>
      </c>
      <c r="F9435" t="s">
        <v>7</v>
      </c>
      <c r="G9435" t="s">
        <v>16231</v>
      </c>
      <c r="H9435" t="s">
        <v>47054</v>
      </c>
      <c r="I9435" t="s">
        <v>47111</v>
      </c>
      <c r="J9435" t="s">
        <v>47112</v>
      </c>
      <c r="K9435" t="s">
        <v>47113</v>
      </c>
      <c r="L9435">
        <v>47.86</v>
      </c>
      <c r="M9435">
        <v>118</v>
      </c>
      <c r="N9435">
        <v>0</v>
      </c>
      <c r="O9435">
        <v>118</v>
      </c>
      <c r="P9435">
        <v>0</v>
      </c>
    </row>
    <row r="9436" spans="1:16" x14ac:dyDescent="0.25">
      <c r="A9436" t="s">
        <v>32047</v>
      </c>
      <c r="B9436" t="s">
        <v>7064</v>
      </c>
      <c r="C9436" t="s">
        <v>6647</v>
      </c>
      <c r="D9436" t="s">
        <v>311</v>
      </c>
      <c r="E9436" t="s">
        <v>312</v>
      </c>
      <c r="F9436" t="s">
        <v>7</v>
      </c>
      <c r="G9436" t="s">
        <v>16231</v>
      </c>
      <c r="H9436" t="s">
        <v>47054</v>
      </c>
      <c r="I9436" t="s">
        <v>47111</v>
      </c>
      <c r="J9436" t="s">
        <v>47112</v>
      </c>
      <c r="K9436" t="s">
        <v>47113</v>
      </c>
      <c r="L9436">
        <v>32.28</v>
      </c>
      <c r="M9436">
        <v>95</v>
      </c>
      <c r="N9436">
        <v>0</v>
      </c>
      <c r="O9436">
        <v>95</v>
      </c>
      <c r="P9436">
        <v>0</v>
      </c>
    </row>
    <row r="9437" spans="1:16" x14ac:dyDescent="0.25">
      <c r="A9437" t="s">
        <v>32048</v>
      </c>
      <c r="B9437" t="s">
        <v>7065</v>
      </c>
      <c r="C9437" t="s">
        <v>7066</v>
      </c>
      <c r="D9437" t="str">
        <f>"1501"</f>
        <v>1501</v>
      </c>
      <c r="E9437" t="s">
        <v>46</v>
      </c>
      <c r="F9437" t="s">
        <v>7</v>
      </c>
      <c r="G9437" t="s">
        <v>46686</v>
      </c>
      <c r="H9437" t="s">
        <v>47054</v>
      </c>
      <c r="I9437" t="s">
        <v>47120</v>
      </c>
      <c r="J9437" t="s">
        <v>47121</v>
      </c>
      <c r="K9437" t="s">
        <v>47113</v>
      </c>
      <c r="L9437">
        <v>32.26</v>
      </c>
      <c r="M9437">
        <v>83</v>
      </c>
      <c r="N9437">
        <v>0</v>
      </c>
      <c r="O9437">
        <v>83</v>
      </c>
      <c r="P9437">
        <v>0</v>
      </c>
    </row>
    <row r="9438" spans="1:16" x14ac:dyDescent="0.25">
      <c r="A9438" t="s">
        <v>32049</v>
      </c>
      <c r="B9438" t="s">
        <v>7067</v>
      </c>
      <c r="C9438" t="s">
        <v>7068</v>
      </c>
      <c r="D9438" t="str">
        <f>"1501"</f>
        <v>1501</v>
      </c>
      <c r="E9438" t="s">
        <v>46</v>
      </c>
      <c r="F9438" t="s">
        <v>7</v>
      </c>
      <c r="G9438" t="s">
        <v>16235</v>
      </c>
      <c r="H9438" t="s">
        <v>47054</v>
      </c>
      <c r="I9438" t="s">
        <v>47120</v>
      </c>
      <c r="J9438" t="s">
        <v>47121</v>
      </c>
      <c r="K9438" t="s">
        <v>47113</v>
      </c>
      <c r="L9438">
        <v>33.79</v>
      </c>
      <c r="M9438">
        <v>78</v>
      </c>
      <c r="N9438">
        <v>0</v>
      </c>
      <c r="O9438">
        <v>78</v>
      </c>
      <c r="P9438">
        <v>0</v>
      </c>
    </row>
    <row r="9439" spans="1:16" x14ac:dyDescent="0.25">
      <c r="A9439" t="s">
        <v>32050</v>
      </c>
      <c r="B9439" t="s">
        <v>7069</v>
      </c>
      <c r="C9439" t="s">
        <v>32051</v>
      </c>
      <c r="D9439" t="str">
        <f>"1746"</f>
        <v>1746</v>
      </c>
      <c r="E9439" t="s">
        <v>807</v>
      </c>
      <c r="F9439" t="s">
        <v>3670</v>
      </c>
      <c r="G9439" t="s">
        <v>16221</v>
      </c>
      <c r="I9439" t="s">
        <v>47111</v>
      </c>
      <c r="J9439" t="s">
        <v>47112</v>
      </c>
      <c r="K9439" t="s">
        <v>47113</v>
      </c>
      <c r="L9439">
        <v>15.4</v>
      </c>
      <c r="M9439">
        <v>26</v>
      </c>
      <c r="N9439">
        <v>0</v>
      </c>
      <c r="O9439">
        <v>26</v>
      </c>
      <c r="P9439">
        <v>0</v>
      </c>
    </row>
    <row r="9440" spans="1:16" x14ac:dyDescent="0.25">
      <c r="A9440" t="s">
        <v>32052</v>
      </c>
      <c r="B9440" t="s">
        <v>7069</v>
      </c>
      <c r="C9440" t="s">
        <v>32051</v>
      </c>
      <c r="D9440" t="str">
        <f>"4044"</f>
        <v>4044</v>
      </c>
      <c r="E9440" t="s">
        <v>7070</v>
      </c>
      <c r="F9440" t="s">
        <v>3670</v>
      </c>
      <c r="G9440" t="s">
        <v>16221</v>
      </c>
      <c r="I9440" t="s">
        <v>47111</v>
      </c>
      <c r="J9440" t="s">
        <v>47112</v>
      </c>
      <c r="K9440" t="s">
        <v>47113</v>
      </c>
      <c r="L9440">
        <v>15.4</v>
      </c>
      <c r="M9440">
        <v>26</v>
      </c>
      <c r="N9440">
        <v>0</v>
      </c>
      <c r="O9440">
        <v>26</v>
      </c>
      <c r="P9440">
        <v>0</v>
      </c>
    </row>
    <row r="9441" spans="1:16" x14ac:dyDescent="0.25">
      <c r="A9441" t="s">
        <v>32053</v>
      </c>
      <c r="B9441" t="s">
        <v>7071</v>
      </c>
      <c r="C9441" t="s">
        <v>17453</v>
      </c>
      <c r="D9441" t="str">
        <f>"1118"</f>
        <v>1118</v>
      </c>
      <c r="E9441" t="s">
        <v>7072</v>
      </c>
      <c r="F9441" t="s">
        <v>3670</v>
      </c>
      <c r="G9441" t="s">
        <v>16221</v>
      </c>
      <c r="H9441" t="s">
        <v>47054</v>
      </c>
      <c r="I9441" t="s">
        <v>47111</v>
      </c>
      <c r="J9441" t="s">
        <v>47112</v>
      </c>
      <c r="K9441" t="s">
        <v>47113</v>
      </c>
      <c r="L9441">
        <v>17.920000000000002</v>
      </c>
      <c r="M9441">
        <v>26</v>
      </c>
      <c r="N9441">
        <v>0</v>
      </c>
      <c r="O9441">
        <v>26</v>
      </c>
      <c r="P9441">
        <v>0</v>
      </c>
    </row>
    <row r="9442" spans="1:16" x14ac:dyDescent="0.25">
      <c r="A9442" t="s">
        <v>32054</v>
      </c>
      <c r="B9442" t="s">
        <v>7071</v>
      </c>
      <c r="C9442" t="s">
        <v>17453</v>
      </c>
      <c r="D9442" t="str">
        <f>"1257"</f>
        <v>1257</v>
      </c>
      <c r="E9442" t="s">
        <v>17454</v>
      </c>
      <c r="F9442" t="s">
        <v>3670</v>
      </c>
      <c r="G9442" t="s">
        <v>16221</v>
      </c>
      <c r="H9442" t="s">
        <v>47054</v>
      </c>
      <c r="I9442" t="s">
        <v>47111</v>
      </c>
      <c r="J9442" t="s">
        <v>47112</v>
      </c>
      <c r="K9442" t="s">
        <v>47113</v>
      </c>
      <c r="L9442">
        <v>17.920000000000002</v>
      </c>
      <c r="M9442">
        <v>26</v>
      </c>
      <c r="N9442">
        <v>0</v>
      </c>
      <c r="O9442">
        <v>26</v>
      </c>
      <c r="P9442">
        <v>0</v>
      </c>
    </row>
    <row r="9443" spans="1:16" x14ac:dyDescent="0.25">
      <c r="A9443" t="s">
        <v>32055</v>
      </c>
      <c r="B9443" t="s">
        <v>7073</v>
      </c>
      <c r="C9443" t="s">
        <v>7074</v>
      </c>
      <c r="D9443" t="str">
        <f>"2419"</f>
        <v>2419</v>
      </c>
      <c r="E9443" t="s">
        <v>7075</v>
      </c>
      <c r="F9443" t="s">
        <v>3670</v>
      </c>
      <c r="G9443" t="s">
        <v>16221</v>
      </c>
      <c r="I9443" t="s">
        <v>47111</v>
      </c>
      <c r="J9443" t="s">
        <v>47112</v>
      </c>
      <c r="K9443" t="s">
        <v>47113</v>
      </c>
      <c r="L9443">
        <v>16.66</v>
      </c>
      <c r="M9443">
        <v>26</v>
      </c>
      <c r="N9443">
        <v>0</v>
      </c>
      <c r="O9443">
        <v>26</v>
      </c>
      <c r="P9443">
        <v>0</v>
      </c>
    </row>
    <row r="9444" spans="1:16" x14ac:dyDescent="0.25">
      <c r="A9444" t="s">
        <v>32056</v>
      </c>
      <c r="B9444" t="s">
        <v>7076</v>
      </c>
      <c r="C9444" t="s">
        <v>6145</v>
      </c>
      <c r="D9444" t="str">
        <f>"1001"</f>
        <v>1001</v>
      </c>
      <c r="E9444" t="s">
        <v>7077</v>
      </c>
      <c r="F9444" t="s">
        <v>3670</v>
      </c>
      <c r="G9444" t="s">
        <v>16232</v>
      </c>
      <c r="H9444" t="s">
        <v>47054</v>
      </c>
      <c r="I9444" t="s">
        <v>47111</v>
      </c>
      <c r="J9444" t="s">
        <v>47112</v>
      </c>
      <c r="K9444" t="s">
        <v>47113</v>
      </c>
      <c r="L9444">
        <v>25.89</v>
      </c>
      <c r="M9444">
        <v>37</v>
      </c>
      <c r="N9444">
        <v>0</v>
      </c>
      <c r="O9444">
        <v>37</v>
      </c>
      <c r="P9444">
        <v>0</v>
      </c>
    </row>
    <row r="9445" spans="1:16" x14ac:dyDescent="0.25">
      <c r="A9445" t="s">
        <v>32057</v>
      </c>
      <c r="B9445" t="s">
        <v>7076</v>
      </c>
      <c r="C9445" t="s">
        <v>6145</v>
      </c>
      <c r="D9445" t="str">
        <f>"4018"</f>
        <v>4018</v>
      </c>
      <c r="E9445" t="s">
        <v>7078</v>
      </c>
      <c r="F9445" t="s">
        <v>3670</v>
      </c>
      <c r="G9445" t="s">
        <v>16232</v>
      </c>
      <c r="H9445" t="s">
        <v>47054</v>
      </c>
      <c r="I9445" t="s">
        <v>47111</v>
      </c>
      <c r="J9445" t="s">
        <v>47112</v>
      </c>
      <c r="K9445" t="s">
        <v>47113</v>
      </c>
      <c r="L9445">
        <v>25.89</v>
      </c>
      <c r="M9445">
        <v>37</v>
      </c>
      <c r="N9445">
        <v>0</v>
      </c>
      <c r="O9445">
        <v>37</v>
      </c>
      <c r="P9445">
        <v>0</v>
      </c>
    </row>
    <row r="9446" spans="1:16" x14ac:dyDescent="0.25">
      <c r="A9446" t="s">
        <v>32058</v>
      </c>
      <c r="B9446" t="s">
        <v>7079</v>
      </c>
      <c r="C9446" t="s">
        <v>7080</v>
      </c>
      <c r="D9446" t="str">
        <f>"2009"</f>
        <v>2009</v>
      </c>
      <c r="E9446" t="s">
        <v>7081</v>
      </c>
      <c r="F9446" t="s">
        <v>3670</v>
      </c>
      <c r="G9446" t="s">
        <v>16221</v>
      </c>
      <c r="I9446" t="s">
        <v>47111</v>
      </c>
      <c r="J9446" t="s">
        <v>47112</v>
      </c>
      <c r="K9446" t="s">
        <v>47113</v>
      </c>
      <c r="L9446">
        <v>24.23</v>
      </c>
      <c r="M9446">
        <v>37</v>
      </c>
      <c r="N9446">
        <v>0</v>
      </c>
      <c r="O9446">
        <v>37</v>
      </c>
      <c r="P9446">
        <v>0</v>
      </c>
    </row>
    <row r="9447" spans="1:16" x14ac:dyDescent="0.25">
      <c r="A9447" t="s">
        <v>32059</v>
      </c>
      <c r="B9447" t="s">
        <v>7082</v>
      </c>
      <c r="C9447" t="s">
        <v>7083</v>
      </c>
      <c r="D9447" t="str">
        <f>"1916"</f>
        <v>1916</v>
      </c>
      <c r="E9447" t="s">
        <v>7084</v>
      </c>
      <c r="F9447" t="s">
        <v>2</v>
      </c>
      <c r="G9447" t="s">
        <v>16232</v>
      </c>
      <c r="H9447" t="s">
        <v>47054</v>
      </c>
      <c r="I9447" t="s">
        <v>47111</v>
      </c>
      <c r="J9447" t="s">
        <v>47112</v>
      </c>
      <c r="K9447" t="s">
        <v>47113</v>
      </c>
      <c r="L9447">
        <v>17.18</v>
      </c>
      <c r="M9447">
        <v>41</v>
      </c>
      <c r="N9447">
        <v>0</v>
      </c>
      <c r="O9447">
        <v>41</v>
      </c>
      <c r="P9447">
        <v>0</v>
      </c>
    </row>
    <row r="9448" spans="1:16" x14ac:dyDescent="0.25">
      <c r="A9448" t="s">
        <v>32060</v>
      </c>
      <c r="B9448" t="s">
        <v>7085</v>
      </c>
      <c r="C9448" t="s">
        <v>7086</v>
      </c>
      <c r="D9448" t="str">
        <f>"1913"</f>
        <v>1913</v>
      </c>
      <c r="E9448" t="s">
        <v>7087</v>
      </c>
      <c r="F9448" t="s">
        <v>2</v>
      </c>
      <c r="G9448" t="s">
        <v>16232</v>
      </c>
      <c r="H9448" t="s">
        <v>47054</v>
      </c>
      <c r="I9448" t="s">
        <v>47111</v>
      </c>
      <c r="J9448" t="s">
        <v>47112</v>
      </c>
      <c r="K9448" t="s">
        <v>47113</v>
      </c>
      <c r="L9448">
        <v>16.53</v>
      </c>
      <c r="M9448">
        <v>39</v>
      </c>
      <c r="N9448">
        <v>0</v>
      </c>
      <c r="O9448">
        <v>39</v>
      </c>
      <c r="P9448">
        <v>0</v>
      </c>
    </row>
    <row r="9449" spans="1:16" x14ac:dyDescent="0.25">
      <c r="A9449" t="s">
        <v>32061</v>
      </c>
      <c r="B9449" t="s">
        <v>7088</v>
      </c>
      <c r="C9449" t="s">
        <v>7089</v>
      </c>
      <c r="D9449" t="str">
        <f>"1746"</f>
        <v>1746</v>
      </c>
      <c r="E9449" t="s">
        <v>807</v>
      </c>
      <c r="F9449" t="s">
        <v>7</v>
      </c>
      <c r="G9449" t="s">
        <v>16232</v>
      </c>
      <c r="H9449" t="s">
        <v>47054</v>
      </c>
      <c r="I9449" t="s">
        <v>47120</v>
      </c>
      <c r="J9449" t="s">
        <v>47121</v>
      </c>
      <c r="K9449" t="s">
        <v>47113</v>
      </c>
      <c r="L9449">
        <v>19.12</v>
      </c>
      <c r="M9449">
        <v>48</v>
      </c>
      <c r="N9449">
        <v>0</v>
      </c>
      <c r="O9449">
        <v>48</v>
      </c>
      <c r="P9449">
        <v>0</v>
      </c>
    </row>
    <row r="9450" spans="1:16" x14ac:dyDescent="0.25">
      <c r="A9450" t="s">
        <v>32062</v>
      </c>
      <c r="B9450" t="s">
        <v>7088</v>
      </c>
      <c r="C9450" t="s">
        <v>7089</v>
      </c>
      <c r="D9450" t="str">
        <f>"7321"</f>
        <v>7321</v>
      </c>
      <c r="E9450" t="s">
        <v>7090</v>
      </c>
      <c r="F9450" t="s">
        <v>7</v>
      </c>
      <c r="G9450" t="s">
        <v>16232</v>
      </c>
      <c r="H9450" t="s">
        <v>47054</v>
      </c>
      <c r="I9450" t="s">
        <v>47111</v>
      </c>
      <c r="J9450" t="s">
        <v>47112</v>
      </c>
      <c r="K9450" t="s">
        <v>47113</v>
      </c>
      <c r="L9450">
        <v>19.34</v>
      </c>
      <c r="M9450">
        <v>50</v>
      </c>
      <c r="N9450">
        <v>0</v>
      </c>
      <c r="O9450">
        <v>50</v>
      </c>
      <c r="P9450">
        <v>0</v>
      </c>
    </row>
    <row r="9451" spans="1:16" x14ac:dyDescent="0.25">
      <c r="A9451" t="s">
        <v>32063</v>
      </c>
      <c r="B9451" t="s">
        <v>7091</v>
      </c>
      <c r="C9451" t="s">
        <v>7092</v>
      </c>
      <c r="D9451" t="str">
        <f>"1201"</f>
        <v>1201</v>
      </c>
      <c r="E9451" t="s">
        <v>7093</v>
      </c>
      <c r="F9451" t="s">
        <v>3670</v>
      </c>
      <c r="G9451" t="s">
        <v>16233</v>
      </c>
      <c r="H9451" t="s">
        <v>47054</v>
      </c>
      <c r="I9451" t="s">
        <v>47136</v>
      </c>
      <c r="J9451" t="s">
        <v>47137</v>
      </c>
      <c r="K9451" t="s">
        <v>47113</v>
      </c>
      <c r="L9451">
        <v>31.92</v>
      </c>
      <c r="M9451">
        <v>66</v>
      </c>
      <c r="N9451">
        <v>0</v>
      </c>
      <c r="O9451">
        <v>66</v>
      </c>
      <c r="P9451">
        <v>0</v>
      </c>
    </row>
    <row r="9452" spans="1:16" x14ac:dyDescent="0.25">
      <c r="A9452" t="s">
        <v>32064</v>
      </c>
      <c r="B9452" t="s">
        <v>7094</v>
      </c>
      <c r="C9452" t="s">
        <v>20404</v>
      </c>
      <c r="D9452" t="str">
        <f>"1541"</f>
        <v>1541</v>
      </c>
      <c r="E9452" t="s">
        <v>6246</v>
      </c>
      <c r="F9452" t="s">
        <v>3670</v>
      </c>
      <c r="G9452" t="s">
        <v>16221</v>
      </c>
      <c r="H9452" t="s">
        <v>47054</v>
      </c>
      <c r="I9452" t="s">
        <v>47111</v>
      </c>
      <c r="J9452" t="s">
        <v>47112</v>
      </c>
      <c r="K9452" t="s">
        <v>47113</v>
      </c>
      <c r="L9452">
        <v>16.850000000000001</v>
      </c>
      <c r="M9452">
        <v>26</v>
      </c>
      <c r="N9452">
        <v>0</v>
      </c>
      <c r="O9452">
        <v>26</v>
      </c>
      <c r="P9452">
        <v>0</v>
      </c>
    </row>
    <row r="9453" spans="1:16" x14ac:dyDescent="0.25">
      <c r="A9453" t="s">
        <v>32065</v>
      </c>
      <c r="B9453" t="s">
        <v>7094</v>
      </c>
      <c r="C9453" t="s">
        <v>20404</v>
      </c>
      <c r="D9453" t="str">
        <f>"1746"</f>
        <v>1746</v>
      </c>
      <c r="E9453" t="s">
        <v>807</v>
      </c>
      <c r="F9453" t="s">
        <v>3670</v>
      </c>
      <c r="G9453" t="s">
        <v>16221</v>
      </c>
      <c r="H9453" t="s">
        <v>47054</v>
      </c>
      <c r="I9453" t="s">
        <v>47111</v>
      </c>
      <c r="J9453" t="s">
        <v>47112</v>
      </c>
      <c r="K9453" t="s">
        <v>47113</v>
      </c>
      <c r="L9453">
        <v>17.2</v>
      </c>
      <c r="M9453">
        <v>26</v>
      </c>
      <c r="N9453">
        <v>0</v>
      </c>
      <c r="O9453">
        <v>26</v>
      </c>
      <c r="P9453">
        <v>0</v>
      </c>
    </row>
    <row r="9454" spans="1:16" x14ac:dyDescent="0.25">
      <c r="A9454" t="s">
        <v>32066</v>
      </c>
      <c r="B9454" t="s">
        <v>7094</v>
      </c>
      <c r="C9454" t="s">
        <v>20404</v>
      </c>
      <c r="D9454" t="str">
        <f>"6104"</f>
        <v>6104</v>
      </c>
      <c r="E9454" t="s">
        <v>7095</v>
      </c>
      <c r="F9454" t="s">
        <v>3670</v>
      </c>
      <c r="G9454" t="s">
        <v>16221</v>
      </c>
      <c r="H9454" t="s">
        <v>47054</v>
      </c>
      <c r="I9454" t="s">
        <v>47111</v>
      </c>
      <c r="J9454" t="s">
        <v>47112</v>
      </c>
      <c r="K9454" t="s">
        <v>47113</v>
      </c>
      <c r="L9454">
        <v>17.2</v>
      </c>
      <c r="M9454">
        <v>26</v>
      </c>
      <c r="N9454">
        <v>0</v>
      </c>
      <c r="O9454">
        <v>26</v>
      </c>
      <c r="P9454">
        <v>0</v>
      </c>
    </row>
    <row r="9455" spans="1:16" x14ac:dyDescent="0.25">
      <c r="A9455" t="s">
        <v>32067</v>
      </c>
      <c r="B9455" t="s">
        <v>7096</v>
      </c>
      <c r="C9455" t="s">
        <v>7097</v>
      </c>
      <c r="D9455" t="str">
        <f>"1496"</f>
        <v>1496</v>
      </c>
      <c r="E9455" t="s">
        <v>7098</v>
      </c>
      <c r="F9455" t="s">
        <v>3558</v>
      </c>
      <c r="G9455" t="s">
        <v>47534</v>
      </c>
      <c r="H9455" t="s">
        <v>47054</v>
      </c>
      <c r="I9455" t="s">
        <v>47111</v>
      </c>
      <c r="J9455" t="s">
        <v>47112</v>
      </c>
      <c r="K9455" t="s">
        <v>47113</v>
      </c>
      <c r="L9455">
        <v>18.149999999999999</v>
      </c>
      <c r="M9455">
        <v>22</v>
      </c>
      <c r="N9455">
        <v>0</v>
      </c>
      <c r="O9455">
        <v>22</v>
      </c>
      <c r="P9455">
        <v>0</v>
      </c>
    </row>
    <row r="9456" spans="1:16" x14ac:dyDescent="0.25">
      <c r="A9456" t="s">
        <v>32068</v>
      </c>
      <c r="B9456" t="s">
        <v>7099</v>
      </c>
      <c r="C9456" t="s">
        <v>20405</v>
      </c>
      <c r="D9456" t="str">
        <f>"1746"</f>
        <v>1746</v>
      </c>
      <c r="E9456" t="s">
        <v>807</v>
      </c>
      <c r="F9456" t="s">
        <v>3670</v>
      </c>
      <c r="G9456" t="s">
        <v>16221</v>
      </c>
      <c r="H9456" t="s">
        <v>47054</v>
      </c>
      <c r="I9456" t="s">
        <v>47111</v>
      </c>
      <c r="J9456" t="s">
        <v>47112</v>
      </c>
      <c r="K9456" t="s">
        <v>47113</v>
      </c>
      <c r="L9456">
        <v>14.14</v>
      </c>
      <c r="M9456">
        <v>26</v>
      </c>
      <c r="N9456">
        <v>0</v>
      </c>
      <c r="O9456">
        <v>26</v>
      </c>
      <c r="P9456">
        <v>0</v>
      </c>
    </row>
    <row r="9457" spans="1:16" x14ac:dyDescent="0.25">
      <c r="A9457" t="s">
        <v>32069</v>
      </c>
      <c r="B9457" t="s">
        <v>7100</v>
      </c>
      <c r="C9457" t="s">
        <v>7097</v>
      </c>
      <c r="D9457" t="str">
        <f>"1889"</f>
        <v>1889</v>
      </c>
      <c r="E9457" t="s">
        <v>7101</v>
      </c>
      <c r="F9457" t="s">
        <v>3558</v>
      </c>
      <c r="G9457" t="s">
        <v>47534</v>
      </c>
      <c r="H9457" t="s">
        <v>47054</v>
      </c>
      <c r="I9457" t="s">
        <v>47111</v>
      </c>
      <c r="J9457" t="s">
        <v>47112</v>
      </c>
      <c r="K9457" t="s">
        <v>47113</v>
      </c>
      <c r="L9457">
        <v>17.77</v>
      </c>
      <c r="M9457">
        <v>22</v>
      </c>
      <c r="N9457">
        <v>0</v>
      </c>
      <c r="O9457">
        <v>22</v>
      </c>
      <c r="P9457">
        <v>0</v>
      </c>
    </row>
    <row r="9458" spans="1:16" x14ac:dyDescent="0.25">
      <c r="A9458" t="s">
        <v>32070</v>
      </c>
      <c r="B9458" t="s">
        <v>7102</v>
      </c>
      <c r="C9458" t="s">
        <v>7103</v>
      </c>
      <c r="D9458" t="str">
        <f>"1501"</f>
        <v>1501</v>
      </c>
      <c r="E9458" t="s">
        <v>46</v>
      </c>
      <c r="F9458" t="s">
        <v>1</v>
      </c>
      <c r="G9458" t="s">
        <v>16235</v>
      </c>
      <c r="H9458" t="s">
        <v>47054</v>
      </c>
      <c r="I9458" t="s">
        <v>47111</v>
      </c>
      <c r="J9458" t="s">
        <v>47112</v>
      </c>
      <c r="K9458" t="s">
        <v>47113</v>
      </c>
      <c r="L9458">
        <v>34.869999999999997</v>
      </c>
      <c r="M9458">
        <v>86</v>
      </c>
      <c r="N9458">
        <v>0</v>
      </c>
      <c r="O9458">
        <v>86</v>
      </c>
      <c r="P9458">
        <v>0</v>
      </c>
    </row>
    <row r="9459" spans="1:16" x14ac:dyDescent="0.25">
      <c r="A9459" t="s">
        <v>32071</v>
      </c>
      <c r="B9459" t="s">
        <v>7104</v>
      </c>
      <c r="C9459" t="s">
        <v>7105</v>
      </c>
      <c r="D9459" t="str">
        <f>"1501"</f>
        <v>1501</v>
      </c>
      <c r="E9459" t="s">
        <v>46</v>
      </c>
      <c r="F9459" t="s">
        <v>1</v>
      </c>
      <c r="G9459" t="s">
        <v>16222</v>
      </c>
      <c r="H9459" t="s">
        <v>47054</v>
      </c>
      <c r="I9459" t="s">
        <v>47111</v>
      </c>
      <c r="J9459" t="s">
        <v>47112</v>
      </c>
      <c r="K9459" t="s">
        <v>47113</v>
      </c>
      <c r="L9459">
        <v>28.24</v>
      </c>
      <c r="M9459">
        <v>69</v>
      </c>
      <c r="N9459">
        <v>0</v>
      </c>
      <c r="O9459">
        <v>69</v>
      </c>
      <c r="P9459">
        <v>0</v>
      </c>
    </row>
    <row r="9460" spans="1:16" x14ac:dyDescent="0.25">
      <c r="A9460" t="s">
        <v>32072</v>
      </c>
      <c r="B9460" t="s">
        <v>7106</v>
      </c>
      <c r="C9460" t="s">
        <v>7107</v>
      </c>
      <c r="D9460" t="str">
        <f>"1001"</f>
        <v>1001</v>
      </c>
      <c r="E9460" t="s">
        <v>42</v>
      </c>
      <c r="F9460" t="s">
        <v>1</v>
      </c>
      <c r="G9460" t="s">
        <v>16235</v>
      </c>
      <c r="H9460" t="s">
        <v>47054</v>
      </c>
      <c r="I9460" t="s">
        <v>47111</v>
      </c>
      <c r="J9460" t="s">
        <v>47112</v>
      </c>
      <c r="K9460" t="s">
        <v>47113</v>
      </c>
      <c r="L9460">
        <v>29.13</v>
      </c>
      <c r="M9460">
        <v>72</v>
      </c>
      <c r="N9460">
        <v>0</v>
      </c>
      <c r="O9460">
        <v>72</v>
      </c>
      <c r="P9460">
        <v>0</v>
      </c>
    </row>
    <row r="9461" spans="1:16" x14ac:dyDescent="0.25">
      <c r="A9461" t="s">
        <v>32073</v>
      </c>
      <c r="B9461" t="s">
        <v>7108</v>
      </c>
      <c r="C9461" t="s">
        <v>7109</v>
      </c>
      <c r="D9461" t="str">
        <f>"1505"</f>
        <v>1505</v>
      </c>
      <c r="E9461" t="s">
        <v>1667</v>
      </c>
      <c r="F9461" t="s">
        <v>296</v>
      </c>
      <c r="G9461" t="s">
        <v>16221</v>
      </c>
      <c r="H9461" t="s">
        <v>47054</v>
      </c>
      <c r="I9461" t="s">
        <v>47111</v>
      </c>
      <c r="J9461" t="s">
        <v>47112</v>
      </c>
      <c r="K9461" t="s">
        <v>47113</v>
      </c>
      <c r="L9461">
        <v>8.84</v>
      </c>
      <c r="M9461">
        <v>25</v>
      </c>
      <c r="N9461">
        <v>0</v>
      </c>
      <c r="O9461">
        <v>25</v>
      </c>
      <c r="P9461">
        <v>0</v>
      </c>
    </row>
    <row r="9462" spans="1:16" x14ac:dyDescent="0.25">
      <c r="A9462" t="s">
        <v>32074</v>
      </c>
      <c r="B9462" t="s">
        <v>7110</v>
      </c>
      <c r="C9462" t="s">
        <v>7111</v>
      </c>
      <c r="D9462" t="str">
        <f>"1505"</f>
        <v>1505</v>
      </c>
      <c r="E9462" t="s">
        <v>1667</v>
      </c>
      <c r="F9462" t="s">
        <v>7</v>
      </c>
      <c r="G9462" t="s">
        <v>16221</v>
      </c>
      <c r="H9462" t="s">
        <v>47054</v>
      </c>
      <c r="I9462" t="s">
        <v>47111</v>
      </c>
      <c r="J9462" t="s">
        <v>47112</v>
      </c>
      <c r="K9462" t="s">
        <v>47113</v>
      </c>
      <c r="L9462">
        <v>8.7100000000000009</v>
      </c>
      <c r="M9462">
        <v>22</v>
      </c>
      <c r="N9462">
        <v>0</v>
      </c>
      <c r="O9462">
        <v>22</v>
      </c>
      <c r="P9462">
        <v>0</v>
      </c>
    </row>
    <row r="9463" spans="1:16" x14ac:dyDescent="0.25">
      <c r="A9463" t="s">
        <v>32075</v>
      </c>
      <c r="B9463" t="s">
        <v>7112</v>
      </c>
      <c r="C9463" t="s">
        <v>7113</v>
      </c>
      <c r="D9463" t="str">
        <f>"1505"</f>
        <v>1505</v>
      </c>
      <c r="E9463" t="s">
        <v>1667</v>
      </c>
      <c r="F9463" t="s">
        <v>7</v>
      </c>
      <c r="G9463" t="s">
        <v>16221</v>
      </c>
      <c r="H9463" t="s">
        <v>47054</v>
      </c>
      <c r="I9463" t="s">
        <v>47111</v>
      </c>
      <c r="J9463" t="s">
        <v>47112</v>
      </c>
      <c r="K9463" t="s">
        <v>47113</v>
      </c>
      <c r="L9463">
        <v>14.25</v>
      </c>
      <c r="M9463">
        <v>23</v>
      </c>
      <c r="N9463">
        <v>0</v>
      </c>
      <c r="O9463">
        <v>23</v>
      </c>
      <c r="P9463">
        <v>0</v>
      </c>
    </row>
    <row r="9464" spans="1:16" x14ac:dyDescent="0.25">
      <c r="A9464" t="s">
        <v>32076</v>
      </c>
      <c r="B9464" t="s">
        <v>7114</v>
      </c>
      <c r="C9464" t="s">
        <v>7115</v>
      </c>
      <c r="D9464" t="str">
        <f>"1505"</f>
        <v>1505</v>
      </c>
      <c r="E9464" t="s">
        <v>1667</v>
      </c>
      <c r="F9464" t="s">
        <v>7</v>
      </c>
      <c r="G9464" t="s">
        <v>16221</v>
      </c>
      <c r="H9464" t="s">
        <v>47054</v>
      </c>
      <c r="I9464" t="s">
        <v>47111</v>
      </c>
      <c r="J9464" t="s">
        <v>47112</v>
      </c>
      <c r="K9464" t="s">
        <v>47113</v>
      </c>
      <c r="L9464">
        <v>11.01</v>
      </c>
      <c r="M9464">
        <v>28</v>
      </c>
      <c r="N9464">
        <v>0</v>
      </c>
      <c r="O9464">
        <v>28</v>
      </c>
      <c r="P9464">
        <v>0</v>
      </c>
    </row>
    <row r="9465" spans="1:16" x14ac:dyDescent="0.25">
      <c r="A9465" t="s">
        <v>32077</v>
      </c>
      <c r="B9465" t="s">
        <v>7116</v>
      </c>
      <c r="C9465" t="s">
        <v>7117</v>
      </c>
      <c r="D9465" t="str">
        <f>"1819"</f>
        <v>1819</v>
      </c>
      <c r="E9465" t="s">
        <v>7118</v>
      </c>
      <c r="F9465" t="s">
        <v>631</v>
      </c>
      <c r="G9465" t="s">
        <v>16233</v>
      </c>
      <c r="H9465" t="s">
        <v>47054</v>
      </c>
      <c r="I9465" t="s">
        <v>47136</v>
      </c>
      <c r="J9465" t="s">
        <v>47137</v>
      </c>
      <c r="K9465" t="s">
        <v>47113</v>
      </c>
      <c r="L9465">
        <v>27.99</v>
      </c>
      <c r="M9465">
        <v>71</v>
      </c>
      <c r="N9465">
        <v>0</v>
      </c>
      <c r="O9465">
        <v>71</v>
      </c>
      <c r="P9465">
        <v>0</v>
      </c>
    </row>
    <row r="9466" spans="1:16" x14ac:dyDescent="0.25">
      <c r="A9466" t="s">
        <v>32078</v>
      </c>
      <c r="B9466" t="s">
        <v>7116</v>
      </c>
      <c r="C9466" t="s">
        <v>7117</v>
      </c>
      <c r="D9466" t="str">
        <f>"2533"</f>
        <v>2533</v>
      </c>
      <c r="E9466" t="s">
        <v>7119</v>
      </c>
      <c r="F9466" t="s">
        <v>631</v>
      </c>
      <c r="G9466" t="s">
        <v>16233</v>
      </c>
      <c r="H9466" t="s">
        <v>47054</v>
      </c>
      <c r="I9466" t="s">
        <v>47136</v>
      </c>
      <c r="J9466" t="s">
        <v>47137</v>
      </c>
      <c r="K9466" t="s">
        <v>47113</v>
      </c>
      <c r="L9466">
        <v>27.99</v>
      </c>
      <c r="M9466">
        <v>71</v>
      </c>
      <c r="N9466">
        <v>0</v>
      </c>
      <c r="O9466">
        <v>71</v>
      </c>
      <c r="P9466">
        <v>0</v>
      </c>
    </row>
    <row r="9467" spans="1:16" x14ac:dyDescent="0.25">
      <c r="A9467" t="s">
        <v>32079</v>
      </c>
      <c r="B9467" t="s">
        <v>7116</v>
      </c>
      <c r="C9467" t="s">
        <v>7117</v>
      </c>
      <c r="D9467" t="str">
        <f>"3046"</f>
        <v>3046</v>
      </c>
      <c r="E9467" t="s">
        <v>7120</v>
      </c>
      <c r="F9467" t="s">
        <v>631</v>
      </c>
      <c r="G9467" t="s">
        <v>16233</v>
      </c>
      <c r="H9467" t="s">
        <v>47054</v>
      </c>
      <c r="I9467" t="s">
        <v>47136</v>
      </c>
      <c r="J9467" t="s">
        <v>47137</v>
      </c>
      <c r="K9467" t="s">
        <v>47113</v>
      </c>
      <c r="L9467">
        <v>27.99</v>
      </c>
      <c r="M9467">
        <v>71</v>
      </c>
      <c r="N9467">
        <v>0</v>
      </c>
      <c r="O9467">
        <v>71</v>
      </c>
      <c r="P9467">
        <v>0</v>
      </c>
    </row>
    <row r="9468" spans="1:16" x14ac:dyDescent="0.25">
      <c r="A9468" t="s">
        <v>32080</v>
      </c>
      <c r="B9468" t="s">
        <v>7116</v>
      </c>
      <c r="C9468" t="s">
        <v>7117</v>
      </c>
      <c r="D9468" t="str">
        <f>"3179"</f>
        <v>3179</v>
      </c>
      <c r="E9468" t="s">
        <v>7121</v>
      </c>
      <c r="F9468" t="s">
        <v>631</v>
      </c>
      <c r="G9468" t="s">
        <v>16233</v>
      </c>
      <c r="H9468" t="s">
        <v>47054</v>
      </c>
      <c r="I9468" t="s">
        <v>47136</v>
      </c>
      <c r="J9468" t="s">
        <v>47137</v>
      </c>
      <c r="K9468" t="s">
        <v>47113</v>
      </c>
      <c r="L9468">
        <v>27.99</v>
      </c>
      <c r="M9468">
        <v>71</v>
      </c>
      <c r="N9468">
        <v>0</v>
      </c>
      <c r="O9468">
        <v>71</v>
      </c>
      <c r="P9468">
        <v>0</v>
      </c>
    </row>
    <row r="9469" spans="1:16" x14ac:dyDescent="0.25">
      <c r="A9469" t="s">
        <v>32081</v>
      </c>
      <c r="B9469" t="s">
        <v>7116</v>
      </c>
      <c r="C9469" t="s">
        <v>7117</v>
      </c>
      <c r="D9469" t="str">
        <f>"4409"</f>
        <v>4409</v>
      </c>
      <c r="E9469" t="s">
        <v>7122</v>
      </c>
      <c r="F9469" t="s">
        <v>631</v>
      </c>
      <c r="G9469" t="s">
        <v>16233</v>
      </c>
      <c r="H9469" t="s">
        <v>47054</v>
      </c>
      <c r="I9469" t="s">
        <v>47136</v>
      </c>
      <c r="J9469" t="s">
        <v>47137</v>
      </c>
      <c r="K9469" t="s">
        <v>47113</v>
      </c>
      <c r="L9469">
        <v>27.99</v>
      </c>
      <c r="M9469">
        <v>71</v>
      </c>
      <c r="N9469">
        <v>0</v>
      </c>
      <c r="O9469">
        <v>71</v>
      </c>
      <c r="P9469">
        <v>0</v>
      </c>
    </row>
    <row r="9470" spans="1:16" x14ac:dyDescent="0.25">
      <c r="A9470" t="s">
        <v>32082</v>
      </c>
      <c r="B9470" t="s">
        <v>7116</v>
      </c>
      <c r="C9470" t="s">
        <v>7117</v>
      </c>
      <c r="D9470" t="str">
        <f>"6607"</f>
        <v>6607</v>
      </c>
      <c r="E9470" t="s">
        <v>7123</v>
      </c>
      <c r="F9470" t="s">
        <v>631</v>
      </c>
      <c r="G9470" t="s">
        <v>16233</v>
      </c>
      <c r="H9470" t="s">
        <v>47054</v>
      </c>
      <c r="I9470" t="s">
        <v>47136</v>
      </c>
      <c r="J9470" t="s">
        <v>47137</v>
      </c>
      <c r="K9470" t="s">
        <v>47113</v>
      </c>
      <c r="L9470">
        <v>27.27</v>
      </c>
      <c r="M9470">
        <v>71</v>
      </c>
      <c r="N9470">
        <v>0</v>
      </c>
      <c r="O9470">
        <v>71</v>
      </c>
      <c r="P9470">
        <v>0</v>
      </c>
    </row>
    <row r="9471" spans="1:16" x14ac:dyDescent="0.25">
      <c r="A9471" t="s">
        <v>32083</v>
      </c>
      <c r="B9471" t="s">
        <v>7116</v>
      </c>
      <c r="C9471" t="s">
        <v>7117</v>
      </c>
      <c r="D9471" t="str">
        <f>"7311"</f>
        <v>7311</v>
      </c>
      <c r="E9471" t="s">
        <v>7124</v>
      </c>
      <c r="F9471" t="s">
        <v>631</v>
      </c>
      <c r="G9471" t="s">
        <v>16233</v>
      </c>
      <c r="H9471" t="s">
        <v>47054</v>
      </c>
      <c r="I9471" t="s">
        <v>47136</v>
      </c>
      <c r="J9471" t="s">
        <v>47137</v>
      </c>
      <c r="K9471" t="s">
        <v>47113</v>
      </c>
      <c r="L9471">
        <v>27.99</v>
      </c>
      <c r="M9471">
        <v>71</v>
      </c>
      <c r="N9471">
        <v>0</v>
      </c>
      <c r="O9471">
        <v>71</v>
      </c>
      <c r="P9471">
        <v>0</v>
      </c>
    </row>
    <row r="9472" spans="1:16" x14ac:dyDescent="0.25">
      <c r="A9472" t="s">
        <v>32084</v>
      </c>
      <c r="B9472" t="s">
        <v>7125</v>
      </c>
      <c r="C9472" t="s">
        <v>7126</v>
      </c>
      <c r="D9472" t="str">
        <f>"2513"</f>
        <v>2513</v>
      </c>
      <c r="E9472" t="s">
        <v>7127</v>
      </c>
      <c r="F9472" t="s">
        <v>296</v>
      </c>
      <c r="G9472" t="s">
        <v>16233</v>
      </c>
      <c r="H9472" t="s">
        <v>47054</v>
      </c>
      <c r="I9472" t="s">
        <v>47136</v>
      </c>
      <c r="J9472" t="s">
        <v>47137</v>
      </c>
      <c r="K9472" t="s">
        <v>47113</v>
      </c>
      <c r="L9472">
        <v>29.37</v>
      </c>
      <c r="M9472">
        <v>68</v>
      </c>
      <c r="N9472">
        <v>0</v>
      </c>
      <c r="O9472">
        <v>68</v>
      </c>
      <c r="P9472">
        <v>0</v>
      </c>
    </row>
    <row r="9473" spans="1:16" x14ac:dyDescent="0.25">
      <c r="A9473" t="s">
        <v>32085</v>
      </c>
      <c r="B9473" t="s">
        <v>7125</v>
      </c>
      <c r="C9473" t="s">
        <v>7126</v>
      </c>
      <c r="D9473" t="str">
        <f>"4120"</f>
        <v>4120</v>
      </c>
      <c r="E9473" t="s">
        <v>7128</v>
      </c>
      <c r="F9473" t="s">
        <v>296</v>
      </c>
      <c r="G9473" t="s">
        <v>16233</v>
      </c>
      <c r="H9473" t="s">
        <v>47054</v>
      </c>
      <c r="I9473" t="s">
        <v>47136</v>
      </c>
      <c r="J9473" t="s">
        <v>47137</v>
      </c>
      <c r="K9473" t="s">
        <v>47113</v>
      </c>
      <c r="L9473">
        <v>29.37</v>
      </c>
      <c r="M9473">
        <v>68</v>
      </c>
      <c r="N9473">
        <v>0</v>
      </c>
      <c r="O9473">
        <v>68</v>
      </c>
      <c r="P9473">
        <v>0</v>
      </c>
    </row>
    <row r="9474" spans="1:16" x14ac:dyDescent="0.25">
      <c r="A9474" t="s">
        <v>32086</v>
      </c>
      <c r="B9474" t="s">
        <v>7125</v>
      </c>
      <c r="C9474" t="s">
        <v>7126</v>
      </c>
      <c r="D9474" t="str">
        <f>"6027"</f>
        <v>6027</v>
      </c>
      <c r="E9474" t="s">
        <v>7129</v>
      </c>
      <c r="F9474" t="s">
        <v>296</v>
      </c>
      <c r="G9474" t="s">
        <v>16233</v>
      </c>
      <c r="H9474" t="s">
        <v>47054</v>
      </c>
      <c r="I9474" t="s">
        <v>47136</v>
      </c>
      <c r="J9474" t="s">
        <v>47137</v>
      </c>
      <c r="K9474" t="s">
        <v>47113</v>
      </c>
      <c r="L9474">
        <v>28.65</v>
      </c>
      <c r="M9474">
        <v>68</v>
      </c>
      <c r="N9474">
        <v>0</v>
      </c>
      <c r="O9474">
        <v>68</v>
      </c>
      <c r="P9474">
        <v>0</v>
      </c>
    </row>
    <row r="9475" spans="1:16" x14ac:dyDescent="0.25">
      <c r="A9475" t="s">
        <v>32087</v>
      </c>
      <c r="B9475" t="s">
        <v>7125</v>
      </c>
      <c r="C9475" t="s">
        <v>7126</v>
      </c>
      <c r="D9475" t="str">
        <f>"7311"</f>
        <v>7311</v>
      </c>
      <c r="E9475" t="s">
        <v>7124</v>
      </c>
      <c r="F9475" t="s">
        <v>296</v>
      </c>
      <c r="G9475" t="s">
        <v>16233</v>
      </c>
      <c r="H9475" t="s">
        <v>47054</v>
      </c>
      <c r="I9475" t="s">
        <v>47136</v>
      </c>
      <c r="J9475" t="s">
        <v>47137</v>
      </c>
      <c r="K9475" t="s">
        <v>47113</v>
      </c>
      <c r="L9475">
        <v>28.26</v>
      </c>
      <c r="M9475">
        <v>68</v>
      </c>
      <c r="N9475">
        <v>0</v>
      </c>
      <c r="O9475">
        <v>68</v>
      </c>
      <c r="P9475">
        <v>0</v>
      </c>
    </row>
    <row r="9476" spans="1:16" x14ac:dyDescent="0.25">
      <c r="A9476" t="s">
        <v>47994</v>
      </c>
      <c r="B9476" t="s">
        <v>47995</v>
      </c>
      <c r="C9476" t="s">
        <v>47996</v>
      </c>
      <c r="D9476" t="s">
        <v>47997</v>
      </c>
      <c r="E9476" t="s">
        <v>47998</v>
      </c>
      <c r="F9476" t="s">
        <v>47488</v>
      </c>
      <c r="G9476" t="s">
        <v>16231</v>
      </c>
      <c r="H9476" t="s">
        <v>47054</v>
      </c>
      <c r="I9476" t="s">
        <v>47116</v>
      </c>
      <c r="J9476" t="s">
        <v>47117</v>
      </c>
      <c r="K9476" t="s">
        <v>47113</v>
      </c>
      <c r="L9476">
        <v>25.01</v>
      </c>
      <c r="M9476">
        <v>85</v>
      </c>
      <c r="N9476">
        <v>229</v>
      </c>
      <c r="O9476">
        <v>85</v>
      </c>
      <c r="P9476">
        <v>229</v>
      </c>
    </row>
    <row r="9477" spans="1:16" x14ac:dyDescent="0.25">
      <c r="A9477" t="s">
        <v>46938</v>
      </c>
      <c r="B9477" t="s">
        <v>46697</v>
      </c>
      <c r="C9477" t="s">
        <v>46698</v>
      </c>
      <c r="D9477" t="s">
        <v>33614</v>
      </c>
      <c r="E9477" t="s">
        <v>33615</v>
      </c>
      <c r="F9477" t="s">
        <v>24622</v>
      </c>
      <c r="G9477" t="s">
        <v>16231</v>
      </c>
      <c r="H9477" t="s">
        <v>47054</v>
      </c>
      <c r="I9477" t="s">
        <v>47116</v>
      </c>
      <c r="J9477" t="s">
        <v>47117</v>
      </c>
      <c r="K9477" t="s">
        <v>47113</v>
      </c>
      <c r="L9477">
        <v>29.07</v>
      </c>
      <c r="M9477">
        <v>137</v>
      </c>
      <c r="N9477">
        <v>369</v>
      </c>
      <c r="O9477">
        <v>137</v>
      </c>
      <c r="P9477">
        <v>369</v>
      </c>
    </row>
    <row r="9478" spans="1:16" x14ac:dyDescent="0.25">
      <c r="A9478" t="s">
        <v>47999</v>
      </c>
      <c r="B9478" t="s">
        <v>48000</v>
      </c>
      <c r="C9478" t="s">
        <v>33686</v>
      </c>
      <c r="D9478" t="s">
        <v>47997</v>
      </c>
      <c r="E9478" t="s">
        <v>47998</v>
      </c>
      <c r="F9478" t="s">
        <v>47479</v>
      </c>
      <c r="G9478" t="s">
        <v>16231</v>
      </c>
      <c r="H9478" t="s">
        <v>47054</v>
      </c>
      <c r="I9478" t="s">
        <v>47116</v>
      </c>
      <c r="J9478" t="s">
        <v>47117</v>
      </c>
      <c r="K9478" t="s">
        <v>47113</v>
      </c>
      <c r="L9478">
        <v>24.31</v>
      </c>
      <c r="M9478">
        <v>96</v>
      </c>
      <c r="N9478">
        <v>259</v>
      </c>
      <c r="O9478">
        <v>96</v>
      </c>
      <c r="P9478">
        <v>259</v>
      </c>
    </row>
    <row r="9479" spans="1:16" x14ac:dyDescent="0.25">
      <c r="A9479" t="s">
        <v>48001</v>
      </c>
      <c r="B9479" t="s">
        <v>48002</v>
      </c>
      <c r="C9479" t="s">
        <v>48003</v>
      </c>
      <c r="D9479" t="s">
        <v>48004</v>
      </c>
      <c r="E9479" t="s">
        <v>48005</v>
      </c>
      <c r="F9479" t="s">
        <v>46687</v>
      </c>
      <c r="G9479" t="s">
        <v>16231</v>
      </c>
      <c r="H9479" t="s">
        <v>47054</v>
      </c>
      <c r="I9479" t="s">
        <v>47116</v>
      </c>
      <c r="J9479" t="s">
        <v>47117</v>
      </c>
      <c r="K9479" t="s">
        <v>47113</v>
      </c>
      <c r="L9479">
        <v>28.14</v>
      </c>
      <c r="M9479">
        <v>114.44</v>
      </c>
      <c r="N9479">
        <v>309</v>
      </c>
      <c r="O9479">
        <v>114.44</v>
      </c>
      <c r="P9479">
        <v>309</v>
      </c>
    </row>
    <row r="9480" spans="1:16" x14ac:dyDescent="0.25">
      <c r="A9480" t="s">
        <v>48006</v>
      </c>
      <c r="B9480" t="s">
        <v>48007</v>
      </c>
      <c r="C9480" t="s">
        <v>48008</v>
      </c>
      <c r="D9480" t="s">
        <v>48009</v>
      </c>
      <c r="E9480" t="s">
        <v>48010</v>
      </c>
      <c r="F9480" t="s">
        <v>47185</v>
      </c>
      <c r="G9480" t="s">
        <v>16231</v>
      </c>
      <c r="H9480" t="s">
        <v>47054</v>
      </c>
      <c r="I9480" t="s">
        <v>47116</v>
      </c>
      <c r="J9480" t="s">
        <v>47117</v>
      </c>
      <c r="K9480" t="s">
        <v>47113</v>
      </c>
      <c r="L9480">
        <v>28.72</v>
      </c>
      <c r="M9480">
        <v>114.44</v>
      </c>
      <c r="N9480">
        <v>309</v>
      </c>
      <c r="O9480">
        <v>114.44</v>
      </c>
      <c r="P9480">
        <v>309</v>
      </c>
    </row>
    <row r="9481" spans="1:16" x14ac:dyDescent="0.25">
      <c r="A9481" t="s">
        <v>48011</v>
      </c>
      <c r="B9481" t="s">
        <v>48012</v>
      </c>
      <c r="C9481" t="s">
        <v>48013</v>
      </c>
      <c r="D9481" t="s">
        <v>33629</v>
      </c>
      <c r="E9481" t="s">
        <v>33630</v>
      </c>
      <c r="F9481" t="s">
        <v>24617</v>
      </c>
      <c r="G9481" t="s">
        <v>16231</v>
      </c>
      <c r="H9481" t="s">
        <v>47054</v>
      </c>
      <c r="I9481" t="s">
        <v>47116</v>
      </c>
      <c r="J9481" t="s">
        <v>47117</v>
      </c>
      <c r="K9481" t="s">
        <v>47113</v>
      </c>
      <c r="L9481">
        <v>28.14</v>
      </c>
      <c r="M9481">
        <v>137</v>
      </c>
      <c r="N9481">
        <v>369</v>
      </c>
      <c r="O9481">
        <v>137</v>
      </c>
      <c r="P9481">
        <v>369</v>
      </c>
    </row>
    <row r="9482" spans="1:16" x14ac:dyDescent="0.25">
      <c r="A9482" t="s">
        <v>48014</v>
      </c>
      <c r="B9482" t="s">
        <v>48015</v>
      </c>
      <c r="C9482" t="s">
        <v>48016</v>
      </c>
      <c r="D9482" t="s">
        <v>48004</v>
      </c>
      <c r="E9482" t="s">
        <v>48005</v>
      </c>
      <c r="F9482" t="s">
        <v>46687</v>
      </c>
      <c r="G9482" t="s">
        <v>16231</v>
      </c>
      <c r="H9482" t="s">
        <v>47054</v>
      </c>
      <c r="I9482" t="s">
        <v>47116</v>
      </c>
      <c r="J9482" t="s">
        <v>47117</v>
      </c>
      <c r="K9482" t="s">
        <v>47113</v>
      </c>
      <c r="L9482">
        <v>24.97</v>
      </c>
      <c r="M9482">
        <v>85</v>
      </c>
      <c r="N9482">
        <v>229</v>
      </c>
      <c r="O9482">
        <v>85</v>
      </c>
      <c r="P9482">
        <v>229</v>
      </c>
    </row>
    <row r="9483" spans="1:16" x14ac:dyDescent="0.25">
      <c r="A9483" t="s">
        <v>14975</v>
      </c>
      <c r="B9483" t="s">
        <v>7130</v>
      </c>
      <c r="C9483" t="s">
        <v>7131</v>
      </c>
      <c r="D9483" t="str">
        <f>"1001"</f>
        <v>1001</v>
      </c>
      <c r="E9483" t="s">
        <v>42</v>
      </c>
      <c r="F9483" t="s">
        <v>3546</v>
      </c>
      <c r="G9483" t="s">
        <v>16221</v>
      </c>
      <c r="H9483" t="s">
        <v>47054</v>
      </c>
      <c r="I9483" t="s">
        <v>47176</v>
      </c>
      <c r="J9483" t="s">
        <v>47177</v>
      </c>
      <c r="K9483" t="s">
        <v>47113</v>
      </c>
      <c r="L9483">
        <v>3.01</v>
      </c>
      <c r="M9483">
        <v>25</v>
      </c>
      <c r="N9483">
        <v>0</v>
      </c>
      <c r="O9483">
        <v>25</v>
      </c>
      <c r="P9483">
        <v>0</v>
      </c>
    </row>
    <row r="9484" spans="1:16" x14ac:dyDescent="0.25">
      <c r="A9484" t="s">
        <v>32088</v>
      </c>
      <c r="B9484" t="s">
        <v>7132</v>
      </c>
      <c r="C9484" t="s">
        <v>14249</v>
      </c>
      <c r="D9484" t="str">
        <f>"2548"</f>
        <v>2548</v>
      </c>
      <c r="E9484" t="s">
        <v>7133</v>
      </c>
      <c r="F9484" t="s">
        <v>3558</v>
      </c>
      <c r="G9484" t="s">
        <v>16233</v>
      </c>
      <c r="H9484" t="s">
        <v>47054</v>
      </c>
      <c r="I9484" t="s">
        <v>47136</v>
      </c>
      <c r="J9484" t="s">
        <v>47137</v>
      </c>
      <c r="K9484" t="s">
        <v>47113</v>
      </c>
      <c r="L9484">
        <v>24.48</v>
      </c>
      <c r="M9484">
        <v>63</v>
      </c>
      <c r="N9484">
        <v>0</v>
      </c>
      <c r="O9484">
        <v>63</v>
      </c>
      <c r="P9484">
        <v>0</v>
      </c>
    </row>
    <row r="9485" spans="1:16" x14ac:dyDescent="0.25">
      <c r="A9485" t="s">
        <v>48017</v>
      </c>
      <c r="B9485" t="s">
        <v>48018</v>
      </c>
      <c r="C9485" t="s">
        <v>48019</v>
      </c>
      <c r="D9485" t="s">
        <v>48020</v>
      </c>
      <c r="E9485" t="s">
        <v>48021</v>
      </c>
      <c r="F9485" t="s">
        <v>24617</v>
      </c>
      <c r="G9485" t="s">
        <v>16231</v>
      </c>
      <c r="H9485" t="s">
        <v>47054</v>
      </c>
      <c r="I9485" t="s">
        <v>47544</v>
      </c>
      <c r="J9485" t="s">
        <v>47545</v>
      </c>
      <c r="K9485" t="s">
        <v>47113</v>
      </c>
      <c r="L9485">
        <v>28</v>
      </c>
      <c r="M9485">
        <v>137</v>
      </c>
      <c r="N9485">
        <v>369</v>
      </c>
      <c r="O9485">
        <v>137</v>
      </c>
      <c r="P9485">
        <v>369</v>
      </c>
    </row>
    <row r="9486" spans="1:16" x14ac:dyDescent="0.25">
      <c r="A9486" t="s">
        <v>32089</v>
      </c>
      <c r="B9486" t="s">
        <v>15513</v>
      </c>
      <c r="C9486" t="s">
        <v>17455</v>
      </c>
      <c r="D9486" t="s">
        <v>15251</v>
      </c>
      <c r="E9486" t="s">
        <v>15252</v>
      </c>
      <c r="F9486" t="s">
        <v>15183</v>
      </c>
      <c r="G9486" t="s">
        <v>16231</v>
      </c>
      <c r="H9486" t="s">
        <v>47054</v>
      </c>
      <c r="I9486" t="s">
        <v>47111</v>
      </c>
      <c r="J9486" t="s">
        <v>47112</v>
      </c>
      <c r="K9486" t="s">
        <v>47113</v>
      </c>
      <c r="L9486">
        <v>46.21</v>
      </c>
      <c r="M9486">
        <v>90</v>
      </c>
      <c r="N9486">
        <v>0</v>
      </c>
      <c r="O9486">
        <v>90</v>
      </c>
      <c r="P9486">
        <v>0</v>
      </c>
    </row>
    <row r="9487" spans="1:16" x14ac:dyDescent="0.25">
      <c r="A9487" t="s">
        <v>32090</v>
      </c>
      <c r="B9487" t="s">
        <v>15513</v>
      </c>
      <c r="C9487" t="s">
        <v>17455</v>
      </c>
      <c r="D9487" t="s">
        <v>15253</v>
      </c>
      <c r="E9487" t="s">
        <v>15254</v>
      </c>
      <c r="F9487" t="s">
        <v>15183</v>
      </c>
      <c r="G9487" t="s">
        <v>16231</v>
      </c>
      <c r="H9487" t="s">
        <v>47054</v>
      </c>
      <c r="I9487" t="s">
        <v>47111</v>
      </c>
      <c r="J9487" t="s">
        <v>47112</v>
      </c>
      <c r="K9487" t="s">
        <v>47113</v>
      </c>
      <c r="L9487">
        <v>49.85</v>
      </c>
      <c r="M9487">
        <v>100</v>
      </c>
      <c r="N9487">
        <v>0</v>
      </c>
      <c r="O9487">
        <v>100</v>
      </c>
      <c r="P9487">
        <v>0</v>
      </c>
    </row>
    <row r="9488" spans="1:16" x14ac:dyDescent="0.25">
      <c r="A9488" t="s">
        <v>17456</v>
      </c>
      <c r="B9488" t="s">
        <v>15514</v>
      </c>
      <c r="C9488" t="s">
        <v>17457</v>
      </c>
      <c r="D9488" t="s">
        <v>15282</v>
      </c>
      <c r="E9488" t="s">
        <v>15283</v>
      </c>
      <c r="F9488" t="s">
        <v>15183</v>
      </c>
      <c r="G9488" t="s">
        <v>16231</v>
      </c>
      <c r="H9488" t="s">
        <v>47054</v>
      </c>
      <c r="I9488" t="s">
        <v>47111</v>
      </c>
      <c r="J9488" t="s">
        <v>47112</v>
      </c>
      <c r="K9488" t="s">
        <v>47113</v>
      </c>
      <c r="L9488">
        <v>48.64</v>
      </c>
      <c r="M9488">
        <v>103</v>
      </c>
      <c r="N9488">
        <v>0</v>
      </c>
      <c r="O9488">
        <v>103</v>
      </c>
      <c r="P9488">
        <v>0</v>
      </c>
    </row>
    <row r="9489" spans="1:16" x14ac:dyDescent="0.25">
      <c r="A9489" t="s">
        <v>32091</v>
      </c>
      <c r="B9489" t="s">
        <v>15516</v>
      </c>
      <c r="C9489" t="s">
        <v>15515</v>
      </c>
      <c r="D9489" t="s">
        <v>15517</v>
      </c>
      <c r="E9489" t="s">
        <v>15518</v>
      </c>
      <c r="F9489" t="s">
        <v>15183</v>
      </c>
      <c r="G9489" t="s">
        <v>16231</v>
      </c>
      <c r="H9489" t="s">
        <v>47054</v>
      </c>
      <c r="I9489" t="s">
        <v>47111</v>
      </c>
      <c r="J9489" t="s">
        <v>47112</v>
      </c>
      <c r="K9489" t="s">
        <v>47113</v>
      </c>
      <c r="L9489">
        <v>55.8</v>
      </c>
      <c r="M9489">
        <v>107</v>
      </c>
      <c r="N9489">
        <v>0</v>
      </c>
      <c r="O9489">
        <v>107</v>
      </c>
      <c r="P9489">
        <v>0</v>
      </c>
    </row>
    <row r="9490" spans="1:16" x14ac:dyDescent="0.25">
      <c r="A9490" t="s">
        <v>32092</v>
      </c>
      <c r="B9490" t="s">
        <v>17458</v>
      </c>
      <c r="C9490" t="s">
        <v>17455</v>
      </c>
      <c r="D9490" t="s">
        <v>16773</v>
      </c>
      <c r="E9490" t="s">
        <v>16774</v>
      </c>
      <c r="F9490" t="s">
        <v>16601</v>
      </c>
      <c r="G9490" t="s">
        <v>16231</v>
      </c>
      <c r="I9490" t="s">
        <v>47111</v>
      </c>
      <c r="J9490" t="s">
        <v>47112</v>
      </c>
      <c r="K9490" t="s">
        <v>47113</v>
      </c>
      <c r="L9490">
        <v>50.76</v>
      </c>
      <c r="M9490">
        <v>92</v>
      </c>
      <c r="N9490">
        <v>0</v>
      </c>
      <c r="O9490">
        <v>92</v>
      </c>
      <c r="P9490">
        <v>0</v>
      </c>
    </row>
    <row r="9491" spans="1:16" x14ac:dyDescent="0.25">
      <c r="A9491" t="s">
        <v>32093</v>
      </c>
      <c r="B9491" t="s">
        <v>17458</v>
      </c>
      <c r="C9491" t="s">
        <v>17455</v>
      </c>
      <c r="D9491" t="s">
        <v>16857</v>
      </c>
      <c r="E9491" t="s">
        <v>16858</v>
      </c>
      <c r="F9491" t="s">
        <v>16771</v>
      </c>
      <c r="G9491" t="s">
        <v>16231</v>
      </c>
      <c r="I9491" t="s">
        <v>47111</v>
      </c>
      <c r="J9491" t="s">
        <v>47112</v>
      </c>
      <c r="K9491" t="s">
        <v>47113</v>
      </c>
      <c r="L9491">
        <v>52.09</v>
      </c>
      <c r="M9491">
        <v>100</v>
      </c>
      <c r="N9491">
        <v>0</v>
      </c>
      <c r="O9491">
        <v>100</v>
      </c>
      <c r="P9491">
        <v>0</v>
      </c>
    </row>
    <row r="9492" spans="1:16" x14ac:dyDescent="0.25">
      <c r="A9492" t="s">
        <v>32094</v>
      </c>
      <c r="B9492" t="s">
        <v>17459</v>
      </c>
      <c r="C9492" t="s">
        <v>17460</v>
      </c>
      <c r="D9492" t="s">
        <v>3666</v>
      </c>
      <c r="E9492" t="s">
        <v>3667</v>
      </c>
      <c r="F9492" t="s">
        <v>15183</v>
      </c>
      <c r="G9492" t="s">
        <v>16231</v>
      </c>
      <c r="H9492" t="s">
        <v>47054</v>
      </c>
      <c r="I9492" t="s">
        <v>47111</v>
      </c>
      <c r="J9492" t="s">
        <v>47112</v>
      </c>
      <c r="K9492" t="s">
        <v>47113</v>
      </c>
      <c r="L9492">
        <v>42.59</v>
      </c>
      <c r="M9492">
        <v>112</v>
      </c>
      <c r="N9492">
        <v>0</v>
      </c>
      <c r="O9492">
        <v>112</v>
      </c>
      <c r="P9492">
        <v>0</v>
      </c>
    </row>
    <row r="9493" spans="1:16" x14ac:dyDescent="0.25">
      <c r="A9493" t="s">
        <v>32095</v>
      </c>
      <c r="B9493" t="s">
        <v>20406</v>
      </c>
      <c r="C9493" t="s">
        <v>20407</v>
      </c>
      <c r="D9493" t="s">
        <v>20105</v>
      </c>
      <c r="E9493" t="s">
        <v>20106</v>
      </c>
      <c r="F9493" t="s">
        <v>19908</v>
      </c>
      <c r="G9493" t="s">
        <v>16231</v>
      </c>
      <c r="H9493" t="s">
        <v>47054</v>
      </c>
      <c r="I9493" t="s">
        <v>47111</v>
      </c>
      <c r="J9493" t="s">
        <v>47112</v>
      </c>
      <c r="K9493" t="s">
        <v>47113</v>
      </c>
      <c r="L9493">
        <v>78.540000000000006</v>
      </c>
      <c r="M9493">
        <v>148</v>
      </c>
      <c r="N9493">
        <v>0</v>
      </c>
      <c r="O9493">
        <v>148</v>
      </c>
      <c r="P9493">
        <v>0</v>
      </c>
    </row>
    <row r="9494" spans="1:16" x14ac:dyDescent="0.25">
      <c r="A9494" t="s">
        <v>32096</v>
      </c>
      <c r="B9494" t="s">
        <v>17461</v>
      </c>
      <c r="C9494" t="s">
        <v>17460</v>
      </c>
      <c r="D9494" t="s">
        <v>16750</v>
      </c>
      <c r="E9494" t="s">
        <v>16751</v>
      </c>
      <c r="F9494" t="s">
        <v>16623</v>
      </c>
      <c r="G9494" t="s">
        <v>16231</v>
      </c>
      <c r="H9494" t="s">
        <v>47054</v>
      </c>
      <c r="I9494" t="s">
        <v>47116</v>
      </c>
      <c r="J9494" t="s">
        <v>47117</v>
      </c>
      <c r="K9494" t="s">
        <v>47113</v>
      </c>
      <c r="L9494">
        <v>55.19</v>
      </c>
      <c r="M9494">
        <v>111</v>
      </c>
      <c r="N9494">
        <v>0</v>
      </c>
      <c r="O9494">
        <v>111</v>
      </c>
      <c r="P9494">
        <v>0</v>
      </c>
    </row>
    <row r="9495" spans="1:16" x14ac:dyDescent="0.25">
      <c r="A9495" t="s">
        <v>32097</v>
      </c>
      <c r="B9495" t="s">
        <v>20408</v>
      </c>
      <c r="C9495" t="s">
        <v>20409</v>
      </c>
      <c r="D9495" t="s">
        <v>16750</v>
      </c>
      <c r="E9495" t="s">
        <v>16751</v>
      </c>
      <c r="F9495" t="s">
        <v>16623</v>
      </c>
      <c r="G9495" t="s">
        <v>16231</v>
      </c>
      <c r="H9495" t="s">
        <v>47054</v>
      </c>
      <c r="I9495" t="s">
        <v>47116</v>
      </c>
      <c r="J9495" t="s">
        <v>47117</v>
      </c>
      <c r="K9495" t="s">
        <v>47113</v>
      </c>
      <c r="L9495">
        <v>34.299999999999997</v>
      </c>
      <c r="M9495">
        <v>92</v>
      </c>
      <c r="N9495">
        <v>0</v>
      </c>
      <c r="O9495">
        <v>92</v>
      </c>
      <c r="P9495">
        <v>0</v>
      </c>
    </row>
    <row r="9496" spans="1:16" x14ac:dyDescent="0.25">
      <c r="A9496" t="s">
        <v>32098</v>
      </c>
      <c r="B9496" t="s">
        <v>20410</v>
      </c>
      <c r="C9496" t="s">
        <v>17460</v>
      </c>
      <c r="D9496" t="str">
        <f>"01"</f>
        <v>01</v>
      </c>
      <c r="E9496" t="s">
        <v>2070</v>
      </c>
      <c r="F9496" t="s">
        <v>19559</v>
      </c>
      <c r="G9496" t="s">
        <v>16231</v>
      </c>
      <c r="H9496" t="s">
        <v>47054</v>
      </c>
      <c r="I9496" t="s">
        <v>47111</v>
      </c>
      <c r="J9496" t="s">
        <v>47112</v>
      </c>
      <c r="K9496" t="s">
        <v>47113</v>
      </c>
      <c r="L9496">
        <v>43.16</v>
      </c>
      <c r="M9496">
        <v>92</v>
      </c>
      <c r="N9496">
        <v>0</v>
      </c>
      <c r="O9496">
        <v>92</v>
      </c>
      <c r="P9496">
        <v>0</v>
      </c>
    </row>
    <row r="9497" spans="1:16" x14ac:dyDescent="0.25">
      <c r="A9497" t="s">
        <v>32099</v>
      </c>
      <c r="B9497" t="s">
        <v>20410</v>
      </c>
      <c r="C9497" t="s">
        <v>17460</v>
      </c>
      <c r="D9497" t="s">
        <v>19562</v>
      </c>
      <c r="E9497" t="s">
        <v>19563</v>
      </c>
      <c r="F9497" t="s">
        <v>19559</v>
      </c>
      <c r="G9497" t="s">
        <v>16231</v>
      </c>
      <c r="H9497" t="s">
        <v>47054</v>
      </c>
      <c r="I9497" t="s">
        <v>47111</v>
      </c>
      <c r="J9497" t="s">
        <v>47112</v>
      </c>
      <c r="K9497" t="s">
        <v>47113</v>
      </c>
      <c r="L9497">
        <v>65.45</v>
      </c>
      <c r="M9497">
        <v>111</v>
      </c>
      <c r="N9497">
        <v>0</v>
      </c>
      <c r="O9497">
        <v>111</v>
      </c>
      <c r="P9497">
        <v>0</v>
      </c>
    </row>
    <row r="9498" spans="1:16" x14ac:dyDescent="0.25">
      <c r="A9498" t="s">
        <v>32100</v>
      </c>
      <c r="B9498" t="s">
        <v>20411</v>
      </c>
      <c r="C9498" t="s">
        <v>17460</v>
      </c>
      <c r="D9498" t="str">
        <f>"01"</f>
        <v>01</v>
      </c>
      <c r="E9498" t="s">
        <v>2070</v>
      </c>
      <c r="F9498" t="s">
        <v>19559</v>
      </c>
      <c r="G9498" t="s">
        <v>16231</v>
      </c>
      <c r="H9498" t="s">
        <v>47054</v>
      </c>
      <c r="I9498" t="s">
        <v>47111</v>
      </c>
      <c r="J9498" t="s">
        <v>47112</v>
      </c>
      <c r="K9498" t="s">
        <v>47113</v>
      </c>
      <c r="L9498">
        <v>43.16</v>
      </c>
      <c r="M9498">
        <v>92</v>
      </c>
      <c r="N9498">
        <v>0</v>
      </c>
      <c r="O9498">
        <v>92</v>
      </c>
      <c r="P9498">
        <v>0</v>
      </c>
    </row>
    <row r="9499" spans="1:16" x14ac:dyDescent="0.25">
      <c r="A9499" t="s">
        <v>32101</v>
      </c>
      <c r="B9499" t="s">
        <v>20411</v>
      </c>
      <c r="C9499" t="s">
        <v>17460</v>
      </c>
      <c r="D9499" t="s">
        <v>19562</v>
      </c>
      <c r="E9499" t="s">
        <v>19563</v>
      </c>
      <c r="F9499" t="s">
        <v>19559</v>
      </c>
      <c r="G9499" t="s">
        <v>16231</v>
      </c>
      <c r="H9499" t="s">
        <v>47054</v>
      </c>
      <c r="I9499" t="s">
        <v>47111</v>
      </c>
      <c r="J9499" t="s">
        <v>47112</v>
      </c>
      <c r="K9499" t="s">
        <v>47113</v>
      </c>
      <c r="L9499">
        <v>65.45</v>
      </c>
      <c r="M9499">
        <v>111</v>
      </c>
      <c r="N9499">
        <v>0</v>
      </c>
      <c r="O9499">
        <v>111</v>
      </c>
      <c r="P9499">
        <v>0</v>
      </c>
    </row>
    <row r="9500" spans="1:16" x14ac:dyDescent="0.25">
      <c r="A9500" t="s">
        <v>32102</v>
      </c>
      <c r="B9500" t="s">
        <v>20412</v>
      </c>
      <c r="C9500" t="s">
        <v>17460</v>
      </c>
      <c r="D9500" t="s">
        <v>19920</v>
      </c>
      <c r="E9500" t="s">
        <v>19921</v>
      </c>
      <c r="F9500" t="s">
        <v>19552</v>
      </c>
      <c r="G9500" t="s">
        <v>16231</v>
      </c>
      <c r="H9500" t="s">
        <v>47054</v>
      </c>
      <c r="I9500" t="s">
        <v>47111</v>
      </c>
      <c r="J9500" t="s">
        <v>47112</v>
      </c>
      <c r="K9500" t="s">
        <v>47113</v>
      </c>
      <c r="L9500">
        <v>67.63</v>
      </c>
      <c r="M9500">
        <v>174</v>
      </c>
      <c r="N9500">
        <v>0</v>
      </c>
      <c r="O9500">
        <v>174</v>
      </c>
      <c r="P9500">
        <v>0</v>
      </c>
    </row>
    <row r="9501" spans="1:16" x14ac:dyDescent="0.25">
      <c r="A9501" t="s">
        <v>32103</v>
      </c>
      <c r="B9501" t="s">
        <v>20413</v>
      </c>
      <c r="C9501" t="s">
        <v>17460</v>
      </c>
      <c r="D9501" t="s">
        <v>19565</v>
      </c>
      <c r="E9501" t="s">
        <v>19566</v>
      </c>
      <c r="F9501" t="s">
        <v>19552</v>
      </c>
      <c r="G9501" t="s">
        <v>16231</v>
      </c>
      <c r="H9501" t="s">
        <v>47054</v>
      </c>
      <c r="I9501" t="s">
        <v>47116</v>
      </c>
      <c r="J9501" t="s">
        <v>47117</v>
      </c>
      <c r="K9501" t="s">
        <v>47113</v>
      </c>
      <c r="L9501">
        <v>42.06</v>
      </c>
      <c r="M9501">
        <v>103</v>
      </c>
      <c r="N9501">
        <v>0</v>
      </c>
      <c r="O9501">
        <v>103</v>
      </c>
      <c r="P9501">
        <v>0</v>
      </c>
    </row>
    <row r="9502" spans="1:16" x14ac:dyDescent="0.25">
      <c r="A9502" t="s">
        <v>32104</v>
      </c>
      <c r="B9502" t="s">
        <v>32105</v>
      </c>
      <c r="C9502" t="s">
        <v>20407</v>
      </c>
      <c r="D9502" t="s">
        <v>22776</v>
      </c>
      <c r="E9502" t="s">
        <v>22777</v>
      </c>
      <c r="F9502" t="s">
        <v>20496</v>
      </c>
      <c r="G9502" t="s">
        <v>16231</v>
      </c>
      <c r="H9502" t="s">
        <v>47054</v>
      </c>
      <c r="I9502" t="s">
        <v>47116</v>
      </c>
      <c r="J9502" t="s">
        <v>47117</v>
      </c>
      <c r="K9502" t="s">
        <v>47113</v>
      </c>
      <c r="L9502">
        <v>44.58</v>
      </c>
      <c r="M9502">
        <v>148</v>
      </c>
      <c r="N9502">
        <v>0</v>
      </c>
      <c r="O9502">
        <v>148</v>
      </c>
      <c r="P9502">
        <v>0</v>
      </c>
    </row>
    <row r="9503" spans="1:16" x14ac:dyDescent="0.25">
      <c r="A9503" t="s">
        <v>32106</v>
      </c>
      <c r="B9503" t="s">
        <v>32107</v>
      </c>
      <c r="C9503" t="s">
        <v>32108</v>
      </c>
      <c r="D9503" t="s">
        <v>22776</v>
      </c>
      <c r="E9503" t="s">
        <v>22777</v>
      </c>
      <c r="F9503" t="s">
        <v>21627</v>
      </c>
      <c r="G9503" t="s">
        <v>16231</v>
      </c>
      <c r="I9503" t="s">
        <v>47116</v>
      </c>
      <c r="J9503" t="s">
        <v>47117</v>
      </c>
      <c r="K9503" t="s">
        <v>47113</v>
      </c>
      <c r="L9503">
        <v>33.75</v>
      </c>
      <c r="M9503">
        <v>74</v>
      </c>
      <c r="N9503">
        <v>0</v>
      </c>
      <c r="O9503">
        <v>74</v>
      </c>
      <c r="P9503">
        <v>0</v>
      </c>
    </row>
    <row r="9504" spans="1:16" x14ac:dyDescent="0.25">
      <c r="A9504" t="s">
        <v>32109</v>
      </c>
      <c r="B9504" t="s">
        <v>32110</v>
      </c>
      <c r="C9504" t="s">
        <v>20407</v>
      </c>
      <c r="D9504" t="s">
        <v>29746</v>
      </c>
      <c r="E9504" t="s">
        <v>29747</v>
      </c>
      <c r="F9504" t="s">
        <v>21629</v>
      </c>
      <c r="G9504" t="s">
        <v>16231</v>
      </c>
      <c r="H9504" t="s">
        <v>47054</v>
      </c>
      <c r="I9504" t="s">
        <v>47111</v>
      </c>
      <c r="J9504" t="s">
        <v>47112</v>
      </c>
      <c r="K9504" t="s">
        <v>47113</v>
      </c>
      <c r="L9504">
        <v>80.25</v>
      </c>
      <c r="M9504">
        <v>166</v>
      </c>
      <c r="N9504">
        <v>0</v>
      </c>
      <c r="O9504">
        <v>166</v>
      </c>
      <c r="P9504">
        <v>0</v>
      </c>
    </row>
    <row r="9505" spans="1:16" x14ac:dyDescent="0.25">
      <c r="A9505" t="s">
        <v>32111</v>
      </c>
      <c r="B9505" t="s">
        <v>32112</v>
      </c>
      <c r="C9505" t="s">
        <v>32113</v>
      </c>
      <c r="D9505" t="s">
        <v>29782</v>
      </c>
      <c r="E9505" t="s">
        <v>29783</v>
      </c>
      <c r="F9505" t="s">
        <v>21629</v>
      </c>
      <c r="G9505" t="s">
        <v>16231</v>
      </c>
      <c r="H9505" t="s">
        <v>47054</v>
      </c>
      <c r="I9505" t="s">
        <v>47120</v>
      </c>
      <c r="J9505" t="s">
        <v>47121</v>
      </c>
      <c r="K9505" t="s">
        <v>47113</v>
      </c>
      <c r="L9505">
        <v>43.07</v>
      </c>
      <c r="M9505">
        <v>166</v>
      </c>
      <c r="N9505">
        <v>0</v>
      </c>
      <c r="O9505">
        <v>166</v>
      </c>
      <c r="P9505">
        <v>0</v>
      </c>
    </row>
    <row r="9506" spans="1:16" x14ac:dyDescent="0.25">
      <c r="A9506" t="s">
        <v>32114</v>
      </c>
      <c r="B9506" t="s">
        <v>32115</v>
      </c>
      <c r="C9506" t="s">
        <v>17460</v>
      </c>
      <c r="D9506" t="s">
        <v>31718</v>
      </c>
      <c r="E9506" t="s">
        <v>31719</v>
      </c>
      <c r="F9506" t="s">
        <v>24622</v>
      </c>
      <c r="G9506" t="s">
        <v>16231</v>
      </c>
      <c r="H9506" t="s">
        <v>47054</v>
      </c>
      <c r="I9506" t="s">
        <v>47111</v>
      </c>
      <c r="J9506" t="s">
        <v>47112</v>
      </c>
      <c r="K9506" t="s">
        <v>47113</v>
      </c>
      <c r="L9506">
        <v>67.59</v>
      </c>
      <c r="M9506">
        <v>166</v>
      </c>
      <c r="N9506">
        <v>449</v>
      </c>
      <c r="O9506">
        <v>166</v>
      </c>
      <c r="P9506">
        <v>449</v>
      </c>
    </row>
    <row r="9507" spans="1:16" x14ac:dyDescent="0.25">
      <c r="A9507" t="s">
        <v>32116</v>
      </c>
      <c r="B9507" t="s">
        <v>32117</v>
      </c>
      <c r="C9507" t="s">
        <v>20407</v>
      </c>
      <c r="D9507" t="s">
        <v>29790</v>
      </c>
      <c r="E9507" t="s">
        <v>29791</v>
      </c>
      <c r="F9507" t="s">
        <v>24627</v>
      </c>
      <c r="G9507" t="s">
        <v>16231</v>
      </c>
      <c r="H9507" t="s">
        <v>47054</v>
      </c>
      <c r="I9507" t="s">
        <v>47120</v>
      </c>
      <c r="J9507" t="s">
        <v>47121</v>
      </c>
      <c r="K9507" t="s">
        <v>47113</v>
      </c>
      <c r="L9507">
        <v>34.11</v>
      </c>
      <c r="M9507">
        <v>111</v>
      </c>
      <c r="N9507">
        <v>299</v>
      </c>
      <c r="O9507">
        <v>111</v>
      </c>
      <c r="P9507">
        <v>299</v>
      </c>
    </row>
    <row r="9508" spans="1:16" x14ac:dyDescent="0.25">
      <c r="A9508" t="s">
        <v>32118</v>
      </c>
      <c r="B9508" t="s">
        <v>32119</v>
      </c>
      <c r="C9508" t="s">
        <v>32120</v>
      </c>
      <c r="D9508" t="str">
        <f>"1001"</f>
        <v>1001</v>
      </c>
      <c r="E9508" t="s">
        <v>29811</v>
      </c>
      <c r="F9508" t="s">
        <v>24617</v>
      </c>
      <c r="G9508" t="s">
        <v>16234</v>
      </c>
      <c r="H9508" t="s">
        <v>47054</v>
      </c>
      <c r="I9508" t="s">
        <v>47120</v>
      </c>
      <c r="J9508" t="s">
        <v>47121</v>
      </c>
      <c r="K9508" t="s">
        <v>47113</v>
      </c>
      <c r="L9508">
        <v>36.770000000000003</v>
      </c>
      <c r="M9508">
        <v>103</v>
      </c>
      <c r="N9508">
        <v>279</v>
      </c>
      <c r="O9508">
        <v>103</v>
      </c>
      <c r="P9508">
        <v>279</v>
      </c>
    </row>
    <row r="9509" spans="1:16" x14ac:dyDescent="0.25">
      <c r="A9509" t="s">
        <v>32121</v>
      </c>
      <c r="B9509" t="s">
        <v>32119</v>
      </c>
      <c r="C9509" t="s">
        <v>32120</v>
      </c>
      <c r="D9509" t="str">
        <f>"4000"</f>
        <v>4000</v>
      </c>
      <c r="E9509" t="s">
        <v>29720</v>
      </c>
      <c r="F9509" t="s">
        <v>24617</v>
      </c>
      <c r="G9509" t="s">
        <v>16234</v>
      </c>
      <c r="H9509" t="s">
        <v>47054</v>
      </c>
      <c r="I9509" t="s">
        <v>47120</v>
      </c>
      <c r="J9509" t="s">
        <v>47121</v>
      </c>
      <c r="K9509" t="s">
        <v>47113</v>
      </c>
      <c r="L9509">
        <v>36.07</v>
      </c>
      <c r="M9509">
        <v>103</v>
      </c>
      <c r="N9509">
        <v>279</v>
      </c>
      <c r="O9509">
        <v>103</v>
      </c>
      <c r="P9509">
        <v>279</v>
      </c>
    </row>
    <row r="9510" spans="1:16" x14ac:dyDescent="0.25">
      <c r="A9510" t="s">
        <v>32122</v>
      </c>
      <c r="B9510" t="s">
        <v>7134</v>
      </c>
      <c r="C9510" t="s">
        <v>5171</v>
      </c>
      <c r="D9510" t="s">
        <v>27</v>
      </c>
      <c r="E9510" t="s">
        <v>622</v>
      </c>
      <c r="F9510" t="s">
        <v>56</v>
      </c>
      <c r="G9510" t="s">
        <v>16231</v>
      </c>
      <c r="H9510" t="s">
        <v>47054</v>
      </c>
      <c r="I9510" t="s">
        <v>47111</v>
      </c>
      <c r="J9510" t="s">
        <v>47112</v>
      </c>
      <c r="K9510" t="s">
        <v>47113</v>
      </c>
      <c r="L9510">
        <v>38.92</v>
      </c>
      <c r="M9510">
        <v>97</v>
      </c>
      <c r="N9510">
        <v>0</v>
      </c>
      <c r="O9510">
        <v>97</v>
      </c>
      <c r="P9510">
        <v>0</v>
      </c>
    </row>
    <row r="9511" spans="1:16" x14ac:dyDescent="0.25">
      <c r="A9511" t="s">
        <v>32123</v>
      </c>
      <c r="B9511" t="s">
        <v>7134</v>
      </c>
      <c r="C9511" t="s">
        <v>5171</v>
      </c>
      <c r="D9511" t="s">
        <v>6626</v>
      </c>
      <c r="E9511" t="s">
        <v>7135</v>
      </c>
      <c r="F9511" t="s">
        <v>56</v>
      </c>
      <c r="G9511" t="s">
        <v>16231</v>
      </c>
      <c r="H9511" t="s">
        <v>47054</v>
      </c>
      <c r="I9511" t="s">
        <v>47111</v>
      </c>
      <c r="J9511" t="s">
        <v>47112</v>
      </c>
      <c r="K9511" t="s">
        <v>47113</v>
      </c>
      <c r="L9511">
        <v>39.11</v>
      </c>
      <c r="M9511">
        <v>97</v>
      </c>
      <c r="N9511">
        <v>0</v>
      </c>
      <c r="O9511">
        <v>97</v>
      </c>
      <c r="P9511">
        <v>0</v>
      </c>
    </row>
    <row r="9512" spans="1:16" x14ac:dyDescent="0.25">
      <c r="A9512" t="s">
        <v>32124</v>
      </c>
      <c r="B9512" t="s">
        <v>7136</v>
      </c>
      <c r="C9512" t="s">
        <v>7137</v>
      </c>
      <c r="D9512" t="s">
        <v>721</v>
      </c>
      <c r="E9512" t="s">
        <v>722</v>
      </c>
      <c r="F9512" t="s">
        <v>1697</v>
      </c>
      <c r="G9512" t="s">
        <v>16231</v>
      </c>
      <c r="H9512" t="s">
        <v>47054</v>
      </c>
      <c r="I9512" t="s">
        <v>47111</v>
      </c>
      <c r="J9512" t="s">
        <v>47112</v>
      </c>
      <c r="K9512" t="s">
        <v>47113</v>
      </c>
      <c r="L9512">
        <v>30.46</v>
      </c>
      <c r="M9512">
        <v>60</v>
      </c>
      <c r="N9512">
        <v>0</v>
      </c>
      <c r="O9512">
        <v>60</v>
      </c>
      <c r="P9512">
        <v>0</v>
      </c>
    </row>
    <row r="9513" spans="1:16" x14ac:dyDescent="0.25">
      <c r="A9513" t="s">
        <v>32125</v>
      </c>
      <c r="B9513" t="s">
        <v>7138</v>
      </c>
      <c r="C9513" t="s">
        <v>7139</v>
      </c>
      <c r="D9513" t="s">
        <v>721</v>
      </c>
      <c r="E9513" t="s">
        <v>722</v>
      </c>
      <c r="F9513" t="s">
        <v>687</v>
      </c>
      <c r="G9513" t="s">
        <v>16231</v>
      </c>
      <c r="H9513" t="s">
        <v>47054</v>
      </c>
      <c r="I9513" t="s">
        <v>47111</v>
      </c>
      <c r="J9513" t="s">
        <v>47112</v>
      </c>
      <c r="K9513" t="s">
        <v>47113</v>
      </c>
      <c r="L9513">
        <v>28.17</v>
      </c>
      <c r="M9513">
        <v>72</v>
      </c>
      <c r="N9513">
        <v>0</v>
      </c>
      <c r="O9513">
        <v>72</v>
      </c>
      <c r="P9513">
        <v>0</v>
      </c>
    </row>
    <row r="9514" spans="1:16" x14ac:dyDescent="0.25">
      <c r="A9514" t="s">
        <v>32126</v>
      </c>
      <c r="B9514" t="s">
        <v>7138</v>
      </c>
      <c r="C9514" t="s">
        <v>7139</v>
      </c>
      <c r="D9514" t="s">
        <v>27</v>
      </c>
      <c r="E9514" t="s">
        <v>622</v>
      </c>
      <c r="F9514" t="s">
        <v>56</v>
      </c>
      <c r="G9514" t="s">
        <v>16231</v>
      </c>
      <c r="H9514" t="s">
        <v>47054</v>
      </c>
      <c r="I9514" t="s">
        <v>47111</v>
      </c>
      <c r="J9514" t="s">
        <v>47112</v>
      </c>
      <c r="K9514" t="s">
        <v>47113</v>
      </c>
      <c r="L9514">
        <v>36</v>
      </c>
      <c r="M9514">
        <v>91</v>
      </c>
      <c r="N9514">
        <v>0</v>
      </c>
      <c r="O9514">
        <v>91</v>
      </c>
      <c r="P9514">
        <v>0</v>
      </c>
    </row>
    <row r="9515" spans="1:16" x14ac:dyDescent="0.25">
      <c r="A9515" t="s">
        <v>32127</v>
      </c>
      <c r="B9515" t="s">
        <v>7138</v>
      </c>
      <c r="C9515" t="s">
        <v>7139</v>
      </c>
      <c r="D9515" t="s">
        <v>2020</v>
      </c>
      <c r="E9515" t="s">
        <v>2021</v>
      </c>
      <c r="F9515" t="s">
        <v>56</v>
      </c>
      <c r="G9515" t="s">
        <v>16231</v>
      </c>
      <c r="H9515" t="s">
        <v>47054</v>
      </c>
      <c r="I9515" t="s">
        <v>47111</v>
      </c>
      <c r="J9515" t="s">
        <v>47112</v>
      </c>
      <c r="K9515" t="s">
        <v>47113</v>
      </c>
      <c r="L9515">
        <v>37.67</v>
      </c>
      <c r="M9515">
        <v>94</v>
      </c>
      <c r="N9515">
        <v>0</v>
      </c>
      <c r="O9515">
        <v>94</v>
      </c>
      <c r="P9515">
        <v>0</v>
      </c>
    </row>
    <row r="9516" spans="1:16" x14ac:dyDescent="0.25">
      <c r="A9516" t="s">
        <v>32128</v>
      </c>
      <c r="B9516" t="s">
        <v>7140</v>
      </c>
      <c r="C9516" t="s">
        <v>6643</v>
      </c>
      <c r="D9516" t="str">
        <f>"2732"</f>
        <v>2732</v>
      </c>
      <c r="E9516" t="s">
        <v>7141</v>
      </c>
      <c r="F9516" t="s">
        <v>296</v>
      </c>
      <c r="G9516" t="s">
        <v>16231</v>
      </c>
      <c r="H9516" t="s">
        <v>47054</v>
      </c>
      <c r="I9516" t="s">
        <v>47114</v>
      </c>
      <c r="J9516" t="s">
        <v>47115</v>
      </c>
      <c r="K9516" t="s">
        <v>47113</v>
      </c>
      <c r="L9516">
        <v>52.2</v>
      </c>
      <c r="M9516">
        <v>114</v>
      </c>
      <c r="N9516">
        <v>0</v>
      </c>
      <c r="O9516">
        <v>114</v>
      </c>
      <c r="P9516">
        <v>0</v>
      </c>
    </row>
    <row r="9517" spans="1:16" x14ac:dyDescent="0.25">
      <c r="A9517" t="s">
        <v>32129</v>
      </c>
      <c r="B9517" t="s">
        <v>7142</v>
      </c>
      <c r="C9517" t="s">
        <v>6647</v>
      </c>
      <c r="D9517" t="str">
        <f>"1874"</f>
        <v>1874</v>
      </c>
      <c r="E9517" t="s">
        <v>5730</v>
      </c>
      <c r="F9517" t="s">
        <v>296</v>
      </c>
      <c r="G9517" t="s">
        <v>16231</v>
      </c>
      <c r="H9517" t="s">
        <v>47054</v>
      </c>
      <c r="I9517" t="s">
        <v>47114</v>
      </c>
      <c r="J9517" t="s">
        <v>47115</v>
      </c>
      <c r="K9517" t="s">
        <v>47113</v>
      </c>
      <c r="L9517">
        <v>52.75</v>
      </c>
      <c r="M9517">
        <v>114</v>
      </c>
      <c r="N9517">
        <v>0</v>
      </c>
      <c r="O9517">
        <v>114</v>
      </c>
      <c r="P9517">
        <v>0</v>
      </c>
    </row>
    <row r="9518" spans="1:16" x14ac:dyDescent="0.25">
      <c r="A9518" t="s">
        <v>32130</v>
      </c>
      <c r="B9518" t="s">
        <v>14250</v>
      </c>
      <c r="C9518" t="s">
        <v>14251</v>
      </c>
      <c r="D9518" t="str">
        <f>"1001"</f>
        <v>1001</v>
      </c>
      <c r="E9518" t="s">
        <v>42</v>
      </c>
      <c r="F9518" t="s">
        <v>3750</v>
      </c>
      <c r="G9518" t="s">
        <v>46686</v>
      </c>
      <c r="H9518" t="s">
        <v>47054</v>
      </c>
      <c r="I9518" t="s">
        <v>47120</v>
      </c>
      <c r="J9518" t="s">
        <v>47121</v>
      </c>
      <c r="K9518" t="s">
        <v>47113</v>
      </c>
      <c r="L9518">
        <v>15.57</v>
      </c>
      <c r="M9518">
        <v>65</v>
      </c>
      <c r="N9518">
        <v>0</v>
      </c>
      <c r="O9518">
        <v>65</v>
      </c>
      <c r="P9518">
        <v>0</v>
      </c>
    </row>
    <row r="9519" spans="1:16" x14ac:dyDescent="0.25">
      <c r="A9519" t="s">
        <v>32131</v>
      </c>
      <c r="B9519" t="s">
        <v>14250</v>
      </c>
      <c r="C9519" t="s">
        <v>14251</v>
      </c>
      <c r="D9519" t="str">
        <f>"1702"</f>
        <v>1702</v>
      </c>
      <c r="E9519" t="s">
        <v>1956</v>
      </c>
      <c r="F9519" t="s">
        <v>3750</v>
      </c>
      <c r="G9519" t="s">
        <v>46686</v>
      </c>
      <c r="H9519" t="s">
        <v>47054</v>
      </c>
      <c r="I9519" t="s">
        <v>47120</v>
      </c>
      <c r="J9519" t="s">
        <v>47121</v>
      </c>
      <c r="K9519" t="s">
        <v>47113</v>
      </c>
      <c r="L9519">
        <v>15.57</v>
      </c>
      <c r="M9519">
        <v>65</v>
      </c>
      <c r="N9519">
        <v>0</v>
      </c>
      <c r="O9519">
        <v>65</v>
      </c>
      <c r="P9519">
        <v>0</v>
      </c>
    </row>
    <row r="9520" spans="1:16" x14ac:dyDescent="0.25">
      <c r="A9520" t="s">
        <v>32132</v>
      </c>
      <c r="B9520" t="s">
        <v>7143</v>
      </c>
      <c r="C9520" t="s">
        <v>7144</v>
      </c>
      <c r="D9520" t="s">
        <v>7145</v>
      </c>
      <c r="E9520" t="s">
        <v>7146</v>
      </c>
      <c r="F9520" t="s">
        <v>3670</v>
      </c>
      <c r="G9520" t="s">
        <v>16231</v>
      </c>
      <c r="H9520" t="s">
        <v>47054</v>
      </c>
      <c r="I9520" t="s">
        <v>47111</v>
      </c>
      <c r="J9520" t="s">
        <v>47112</v>
      </c>
      <c r="K9520" t="s">
        <v>47113</v>
      </c>
      <c r="L9520">
        <v>55.53</v>
      </c>
      <c r="M9520">
        <v>122</v>
      </c>
      <c r="N9520">
        <v>0</v>
      </c>
      <c r="O9520">
        <v>122</v>
      </c>
      <c r="P9520">
        <v>0</v>
      </c>
    </row>
    <row r="9521" spans="1:16" x14ac:dyDescent="0.25">
      <c r="A9521" t="s">
        <v>32133</v>
      </c>
      <c r="B9521" t="s">
        <v>7147</v>
      </c>
      <c r="C9521" t="s">
        <v>7148</v>
      </c>
      <c r="D9521" t="s">
        <v>7149</v>
      </c>
      <c r="E9521" t="s">
        <v>7150</v>
      </c>
      <c r="F9521" t="s">
        <v>3670</v>
      </c>
      <c r="G9521" t="s">
        <v>16231</v>
      </c>
      <c r="H9521" t="s">
        <v>47054</v>
      </c>
      <c r="I9521" t="s">
        <v>47111</v>
      </c>
      <c r="J9521" t="s">
        <v>47112</v>
      </c>
      <c r="K9521" t="s">
        <v>47113</v>
      </c>
      <c r="L9521">
        <v>55.22</v>
      </c>
      <c r="M9521">
        <v>122</v>
      </c>
      <c r="N9521">
        <v>0</v>
      </c>
      <c r="O9521">
        <v>122</v>
      </c>
      <c r="P9521">
        <v>0</v>
      </c>
    </row>
    <row r="9522" spans="1:16" x14ac:dyDescent="0.25">
      <c r="A9522" t="s">
        <v>32134</v>
      </c>
      <c r="B9522" t="s">
        <v>7151</v>
      </c>
      <c r="C9522" t="s">
        <v>20414</v>
      </c>
      <c r="D9522" t="s">
        <v>3664</v>
      </c>
      <c r="E9522" t="s">
        <v>3665</v>
      </c>
      <c r="F9522" t="s">
        <v>3670</v>
      </c>
      <c r="G9522" t="s">
        <v>16231</v>
      </c>
      <c r="H9522" t="s">
        <v>47054</v>
      </c>
      <c r="I9522" t="s">
        <v>47111</v>
      </c>
      <c r="J9522" t="s">
        <v>47112</v>
      </c>
      <c r="K9522" t="s">
        <v>47113</v>
      </c>
      <c r="L9522">
        <v>52.64</v>
      </c>
      <c r="M9522">
        <v>111</v>
      </c>
      <c r="N9522">
        <v>0</v>
      </c>
      <c r="O9522">
        <v>111</v>
      </c>
      <c r="P9522">
        <v>0</v>
      </c>
    </row>
    <row r="9523" spans="1:16" x14ac:dyDescent="0.25">
      <c r="A9523" t="s">
        <v>32135</v>
      </c>
      <c r="B9523" t="s">
        <v>7151</v>
      </c>
      <c r="C9523" t="s">
        <v>20414</v>
      </c>
      <c r="D9523" t="s">
        <v>7149</v>
      </c>
      <c r="E9523" t="s">
        <v>7150</v>
      </c>
      <c r="F9523" t="s">
        <v>3670</v>
      </c>
      <c r="G9523" t="s">
        <v>16231</v>
      </c>
      <c r="H9523" t="s">
        <v>47054</v>
      </c>
      <c r="I9523" t="s">
        <v>47111</v>
      </c>
      <c r="J9523" t="s">
        <v>47112</v>
      </c>
      <c r="K9523" t="s">
        <v>47113</v>
      </c>
      <c r="L9523">
        <v>53.72</v>
      </c>
      <c r="M9523">
        <v>111</v>
      </c>
      <c r="N9523">
        <v>0</v>
      </c>
      <c r="O9523">
        <v>111</v>
      </c>
      <c r="P9523">
        <v>0</v>
      </c>
    </row>
    <row r="9524" spans="1:16" x14ac:dyDescent="0.25">
      <c r="A9524" t="s">
        <v>32136</v>
      </c>
      <c r="B9524" t="s">
        <v>7152</v>
      </c>
      <c r="C9524" t="s">
        <v>7153</v>
      </c>
      <c r="D9524" t="s">
        <v>7145</v>
      </c>
      <c r="E9524" t="s">
        <v>7146</v>
      </c>
      <c r="F9524" t="s">
        <v>3670</v>
      </c>
      <c r="G9524" t="s">
        <v>16231</v>
      </c>
      <c r="H9524" t="s">
        <v>47054</v>
      </c>
      <c r="I9524" t="s">
        <v>47116</v>
      </c>
      <c r="J9524" t="s">
        <v>47117</v>
      </c>
      <c r="K9524" t="s">
        <v>47113</v>
      </c>
      <c r="L9524">
        <v>55.53</v>
      </c>
      <c r="M9524">
        <v>122</v>
      </c>
      <c r="N9524">
        <v>0</v>
      </c>
      <c r="O9524">
        <v>122</v>
      </c>
      <c r="P9524">
        <v>0</v>
      </c>
    </row>
    <row r="9525" spans="1:16" x14ac:dyDescent="0.25">
      <c r="A9525" t="s">
        <v>32137</v>
      </c>
      <c r="B9525" t="s">
        <v>7154</v>
      </c>
      <c r="C9525" t="s">
        <v>7155</v>
      </c>
      <c r="D9525" t="s">
        <v>7156</v>
      </c>
      <c r="E9525" t="s">
        <v>7157</v>
      </c>
      <c r="F9525" t="s">
        <v>3670</v>
      </c>
      <c r="G9525" t="s">
        <v>16231</v>
      </c>
      <c r="H9525" t="s">
        <v>47054</v>
      </c>
      <c r="I9525" t="s">
        <v>47111</v>
      </c>
      <c r="J9525" t="s">
        <v>47112</v>
      </c>
      <c r="K9525" t="s">
        <v>47113</v>
      </c>
      <c r="L9525">
        <v>54.44</v>
      </c>
      <c r="M9525">
        <v>122</v>
      </c>
      <c r="N9525">
        <v>0</v>
      </c>
      <c r="O9525">
        <v>122</v>
      </c>
      <c r="P9525">
        <v>0</v>
      </c>
    </row>
    <row r="9526" spans="1:16" x14ac:dyDescent="0.25">
      <c r="A9526" t="s">
        <v>32138</v>
      </c>
      <c r="B9526" t="s">
        <v>7158</v>
      </c>
      <c r="C9526" t="s">
        <v>15519</v>
      </c>
      <c r="D9526" t="s">
        <v>7159</v>
      </c>
      <c r="E9526" t="s">
        <v>7160</v>
      </c>
      <c r="F9526" t="s">
        <v>3670</v>
      </c>
      <c r="G9526" t="s">
        <v>16231</v>
      </c>
      <c r="H9526" t="s">
        <v>47054</v>
      </c>
      <c r="I9526" t="s">
        <v>47116</v>
      </c>
      <c r="J9526" t="s">
        <v>47117</v>
      </c>
      <c r="K9526" t="s">
        <v>47113</v>
      </c>
      <c r="L9526">
        <v>54.76</v>
      </c>
      <c r="M9526">
        <v>111</v>
      </c>
      <c r="N9526">
        <v>0</v>
      </c>
      <c r="O9526">
        <v>111</v>
      </c>
      <c r="P9526">
        <v>0</v>
      </c>
    </row>
    <row r="9527" spans="1:16" x14ac:dyDescent="0.25">
      <c r="A9527" t="s">
        <v>32139</v>
      </c>
      <c r="B9527" t="s">
        <v>7158</v>
      </c>
      <c r="C9527" t="s">
        <v>15519</v>
      </c>
      <c r="D9527" t="s">
        <v>7156</v>
      </c>
      <c r="E9527" t="s">
        <v>7157</v>
      </c>
      <c r="F9527" t="s">
        <v>3670</v>
      </c>
      <c r="G9527" t="s">
        <v>16231</v>
      </c>
      <c r="H9527" t="s">
        <v>47054</v>
      </c>
      <c r="I9527" t="s">
        <v>47116</v>
      </c>
      <c r="J9527" t="s">
        <v>47117</v>
      </c>
      <c r="K9527" t="s">
        <v>47113</v>
      </c>
      <c r="L9527">
        <v>52.64</v>
      </c>
      <c r="M9527">
        <v>111</v>
      </c>
      <c r="N9527">
        <v>0</v>
      </c>
      <c r="O9527">
        <v>111</v>
      </c>
      <c r="P9527">
        <v>0</v>
      </c>
    </row>
    <row r="9528" spans="1:16" x14ac:dyDescent="0.25">
      <c r="A9528" t="s">
        <v>32140</v>
      </c>
      <c r="B9528" t="s">
        <v>7161</v>
      </c>
      <c r="C9528" t="s">
        <v>7162</v>
      </c>
      <c r="D9528" t="s">
        <v>7149</v>
      </c>
      <c r="E9528" t="s">
        <v>7150</v>
      </c>
      <c r="F9528" t="s">
        <v>3670</v>
      </c>
      <c r="G9528" t="s">
        <v>16231</v>
      </c>
      <c r="H9528" t="s">
        <v>47054</v>
      </c>
      <c r="I9528" t="s">
        <v>47116</v>
      </c>
      <c r="J9528" t="s">
        <v>47117</v>
      </c>
      <c r="K9528" t="s">
        <v>47113</v>
      </c>
      <c r="L9528">
        <v>34.42</v>
      </c>
      <c r="M9528">
        <v>122</v>
      </c>
      <c r="N9528">
        <v>0</v>
      </c>
      <c r="O9528">
        <v>122</v>
      </c>
      <c r="P9528">
        <v>0</v>
      </c>
    </row>
    <row r="9529" spans="1:16" x14ac:dyDescent="0.25">
      <c r="A9529" t="s">
        <v>32141</v>
      </c>
      <c r="B9529" t="s">
        <v>7163</v>
      </c>
      <c r="C9529" t="s">
        <v>17462</v>
      </c>
      <c r="D9529" t="s">
        <v>7164</v>
      </c>
      <c r="E9529" t="s">
        <v>7165</v>
      </c>
      <c r="F9529" t="s">
        <v>3670</v>
      </c>
      <c r="G9529" t="s">
        <v>16231</v>
      </c>
      <c r="I9529" t="s">
        <v>47111</v>
      </c>
      <c r="J9529" t="s">
        <v>47112</v>
      </c>
      <c r="K9529" t="s">
        <v>47113</v>
      </c>
      <c r="L9529">
        <v>50.98</v>
      </c>
      <c r="M9529">
        <v>122</v>
      </c>
      <c r="N9529">
        <v>0</v>
      </c>
      <c r="O9529">
        <v>122</v>
      </c>
      <c r="P9529">
        <v>0</v>
      </c>
    </row>
    <row r="9530" spans="1:16" x14ac:dyDescent="0.25">
      <c r="A9530" t="s">
        <v>32142</v>
      </c>
      <c r="B9530" t="s">
        <v>7166</v>
      </c>
      <c r="C9530" t="s">
        <v>7167</v>
      </c>
      <c r="D9530" t="str">
        <f>"1001"</f>
        <v>1001</v>
      </c>
      <c r="E9530" t="s">
        <v>42</v>
      </c>
      <c r="F9530" t="s">
        <v>3750</v>
      </c>
      <c r="G9530" t="s">
        <v>47122</v>
      </c>
      <c r="H9530" t="s">
        <v>47054</v>
      </c>
      <c r="I9530" t="s">
        <v>47120</v>
      </c>
      <c r="J9530" t="s">
        <v>47121</v>
      </c>
      <c r="K9530" t="s">
        <v>47113</v>
      </c>
      <c r="L9530">
        <v>22.09</v>
      </c>
      <c r="M9530">
        <v>108</v>
      </c>
      <c r="N9530">
        <v>0</v>
      </c>
      <c r="O9530">
        <v>108</v>
      </c>
      <c r="P9530">
        <v>0</v>
      </c>
    </row>
    <row r="9531" spans="1:16" x14ac:dyDescent="0.25">
      <c r="A9531" t="s">
        <v>32143</v>
      </c>
      <c r="B9531" t="s">
        <v>7166</v>
      </c>
      <c r="C9531" t="s">
        <v>7167</v>
      </c>
      <c r="D9531" t="str">
        <f>"6433"</f>
        <v>6433</v>
      </c>
      <c r="E9531" t="s">
        <v>7168</v>
      </c>
      <c r="F9531" t="s">
        <v>3546</v>
      </c>
      <c r="G9531" t="s">
        <v>47122</v>
      </c>
      <c r="H9531" t="s">
        <v>47054</v>
      </c>
      <c r="I9531" t="s">
        <v>47120</v>
      </c>
      <c r="J9531" t="s">
        <v>47121</v>
      </c>
      <c r="K9531" t="s">
        <v>47113</v>
      </c>
      <c r="L9531">
        <v>22.09</v>
      </c>
      <c r="M9531">
        <v>108</v>
      </c>
      <c r="N9531">
        <v>0</v>
      </c>
      <c r="O9531">
        <v>108</v>
      </c>
      <c r="P9531">
        <v>0</v>
      </c>
    </row>
    <row r="9532" spans="1:16" x14ac:dyDescent="0.25">
      <c r="A9532" t="s">
        <v>32144</v>
      </c>
      <c r="B9532" t="s">
        <v>7169</v>
      </c>
      <c r="C9532" t="s">
        <v>7170</v>
      </c>
      <c r="D9532" t="str">
        <f>"1001"</f>
        <v>1001</v>
      </c>
      <c r="E9532" t="s">
        <v>42</v>
      </c>
      <c r="F9532" t="s">
        <v>3750</v>
      </c>
      <c r="G9532" t="s">
        <v>16448</v>
      </c>
      <c r="H9532" t="s">
        <v>47054</v>
      </c>
      <c r="I9532" t="s">
        <v>47120</v>
      </c>
      <c r="J9532" t="s">
        <v>47121</v>
      </c>
      <c r="K9532" t="s">
        <v>47113</v>
      </c>
      <c r="L9532">
        <v>33.33</v>
      </c>
      <c r="M9532">
        <v>108</v>
      </c>
      <c r="N9532">
        <v>0</v>
      </c>
      <c r="O9532">
        <v>108</v>
      </c>
      <c r="P9532">
        <v>0</v>
      </c>
    </row>
    <row r="9533" spans="1:16" x14ac:dyDescent="0.25">
      <c r="A9533" t="s">
        <v>32145</v>
      </c>
      <c r="B9533" t="s">
        <v>7169</v>
      </c>
      <c r="C9533" t="s">
        <v>7170</v>
      </c>
      <c r="D9533" t="str">
        <f>"6433"</f>
        <v>6433</v>
      </c>
      <c r="E9533" t="s">
        <v>7168</v>
      </c>
      <c r="F9533" t="s">
        <v>3546</v>
      </c>
      <c r="G9533" t="s">
        <v>16448</v>
      </c>
      <c r="H9533" t="s">
        <v>47054</v>
      </c>
      <c r="I9533" t="s">
        <v>47120</v>
      </c>
      <c r="J9533" t="s">
        <v>47121</v>
      </c>
      <c r="K9533" t="s">
        <v>47113</v>
      </c>
      <c r="L9533">
        <v>33.33</v>
      </c>
      <c r="M9533">
        <v>108</v>
      </c>
      <c r="N9533">
        <v>0</v>
      </c>
      <c r="O9533">
        <v>108</v>
      </c>
      <c r="P9533">
        <v>0</v>
      </c>
    </row>
    <row r="9534" spans="1:16" x14ac:dyDescent="0.25">
      <c r="A9534" t="s">
        <v>32146</v>
      </c>
      <c r="B9534" t="s">
        <v>7171</v>
      </c>
      <c r="C9534" t="s">
        <v>7172</v>
      </c>
      <c r="D9534" t="s">
        <v>7173</v>
      </c>
      <c r="E9534" t="s">
        <v>7174</v>
      </c>
      <c r="F9534" t="s">
        <v>7</v>
      </c>
      <c r="G9534" t="s">
        <v>16232</v>
      </c>
      <c r="H9534" t="s">
        <v>47054</v>
      </c>
      <c r="I9534" t="s">
        <v>47120</v>
      </c>
      <c r="J9534" t="s">
        <v>47121</v>
      </c>
      <c r="K9534" t="s">
        <v>47113</v>
      </c>
      <c r="L9534">
        <v>22.01</v>
      </c>
      <c r="M9534">
        <v>74</v>
      </c>
      <c r="N9534">
        <v>0</v>
      </c>
      <c r="O9534">
        <v>74</v>
      </c>
      <c r="P9534">
        <v>0</v>
      </c>
    </row>
    <row r="9535" spans="1:16" x14ac:dyDescent="0.25">
      <c r="A9535" t="s">
        <v>32147</v>
      </c>
      <c r="B9535" t="s">
        <v>16336</v>
      </c>
      <c r="C9535" t="s">
        <v>16337</v>
      </c>
      <c r="D9535" t="str">
        <f>"1001"</f>
        <v>1001</v>
      </c>
      <c r="E9535" t="s">
        <v>42</v>
      </c>
      <c r="F9535" t="s">
        <v>3750</v>
      </c>
      <c r="G9535" t="s">
        <v>16232</v>
      </c>
      <c r="H9535" t="s">
        <v>47054</v>
      </c>
      <c r="I9535" t="s">
        <v>47116</v>
      </c>
      <c r="J9535" t="s">
        <v>47117</v>
      </c>
      <c r="K9535" t="s">
        <v>47113</v>
      </c>
      <c r="L9535">
        <v>11.51</v>
      </c>
      <c r="M9535">
        <v>36</v>
      </c>
      <c r="N9535">
        <v>0</v>
      </c>
      <c r="O9535">
        <v>36</v>
      </c>
      <c r="P9535">
        <v>0</v>
      </c>
    </row>
    <row r="9536" spans="1:16" x14ac:dyDescent="0.25">
      <c r="A9536" t="s">
        <v>32148</v>
      </c>
      <c r="B9536" t="s">
        <v>16336</v>
      </c>
      <c r="C9536" t="s">
        <v>16337</v>
      </c>
      <c r="D9536" t="str">
        <f>"1702"</f>
        <v>1702</v>
      </c>
      <c r="E9536" t="s">
        <v>1956</v>
      </c>
      <c r="F9536" t="s">
        <v>3750</v>
      </c>
      <c r="G9536" t="s">
        <v>16232</v>
      </c>
      <c r="H9536" t="s">
        <v>47054</v>
      </c>
      <c r="I9536" t="s">
        <v>47116</v>
      </c>
      <c r="J9536" t="s">
        <v>47117</v>
      </c>
      <c r="K9536" t="s">
        <v>47113</v>
      </c>
      <c r="L9536">
        <v>11.51</v>
      </c>
      <c r="M9536">
        <v>36</v>
      </c>
      <c r="N9536">
        <v>0</v>
      </c>
      <c r="O9536">
        <v>36</v>
      </c>
      <c r="P9536">
        <v>0</v>
      </c>
    </row>
    <row r="9537" spans="1:16" x14ac:dyDescent="0.25">
      <c r="A9537" t="s">
        <v>32149</v>
      </c>
      <c r="B9537" t="s">
        <v>14518</v>
      </c>
      <c r="C9537" t="s">
        <v>5582</v>
      </c>
      <c r="D9537" t="str">
        <f>"1001"</f>
        <v>1001</v>
      </c>
      <c r="E9537" t="s">
        <v>42</v>
      </c>
      <c r="F9537" t="s">
        <v>3750</v>
      </c>
      <c r="G9537" t="s">
        <v>16230</v>
      </c>
      <c r="H9537" t="s">
        <v>47054</v>
      </c>
      <c r="I9537" t="s">
        <v>47118</v>
      </c>
      <c r="J9537" t="s">
        <v>47119</v>
      </c>
      <c r="K9537" t="s">
        <v>47113</v>
      </c>
      <c r="L9537">
        <v>10.45</v>
      </c>
      <c r="M9537">
        <v>48</v>
      </c>
      <c r="N9537">
        <v>0</v>
      </c>
      <c r="O9537">
        <v>48</v>
      </c>
      <c r="P9537">
        <v>0</v>
      </c>
    </row>
    <row r="9538" spans="1:16" x14ac:dyDescent="0.25">
      <c r="A9538" t="s">
        <v>32150</v>
      </c>
      <c r="B9538" t="s">
        <v>14518</v>
      </c>
      <c r="C9538" t="s">
        <v>5582</v>
      </c>
      <c r="D9538" t="str">
        <f>"1700"</f>
        <v>1700</v>
      </c>
      <c r="E9538" t="s">
        <v>60</v>
      </c>
      <c r="F9538" t="s">
        <v>3750</v>
      </c>
      <c r="G9538" t="s">
        <v>16230</v>
      </c>
      <c r="H9538" t="s">
        <v>47054</v>
      </c>
      <c r="I9538" t="s">
        <v>47118</v>
      </c>
      <c r="J9538" t="s">
        <v>47119</v>
      </c>
      <c r="K9538" t="s">
        <v>47113</v>
      </c>
      <c r="L9538">
        <v>10.45</v>
      </c>
      <c r="M9538">
        <v>48</v>
      </c>
      <c r="N9538">
        <v>0</v>
      </c>
      <c r="O9538">
        <v>48</v>
      </c>
      <c r="P9538">
        <v>0</v>
      </c>
    </row>
    <row r="9539" spans="1:16" x14ac:dyDescent="0.25">
      <c r="A9539" t="s">
        <v>32151</v>
      </c>
      <c r="B9539" t="s">
        <v>14518</v>
      </c>
      <c r="C9539" t="s">
        <v>5582</v>
      </c>
      <c r="D9539" t="str">
        <f>"2388"</f>
        <v>2388</v>
      </c>
      <c r="E9539" t="s">
        <v>12724</v>
      </c>
      <c r="F9539" t="s">
        <v>3750</v>
      </c>
      <c r="G9539" t="s">
        <v>16230</v>
      </c>
      <c r="H9539" t="s">
        <v>47054</v>
      </c>
      <c r="I9539" t="s">
        <v>47118</v>
      </c>
      <c r="J9539" t="s">
        <v>47119</v>
      </c>
      <c r="K9539" t="s">
        <v>47113</v>
      </c>
      <c r="L9539">
        <v>13.82</v>
      </c>
      <c r="M9539">
        <v>48</v>
      </c>
      <c r="N9539">
        <v>0</v>
      </c>
      <c r="O9539">
        <v>48</v>
      </c>
      <c r="P9539">
        <v>0</v>
      </c>
    </row>
    <row r="9540" spans="1:16" x14ac:dyDescent="0.25">
      <c r="A9540" t="s">
        <v>32152</v>
      </c>
      <c r="B9540" t="s">
        <v>14518</v>
      </c>
      <c r="C9540" t="s">
        <v>5582</v>
      </c>
      <c r="D9540" t="str">
        <f>"4094"</f>
        <v>4094</v>
      </c>
      <c r="E9540" t="s">
        <v>14519</v>
      </c>
      <c r="F9540" t="s">
        <v>3750</v>
      </c>
      <c r="G9540" t="s">
        <v>16230</v>
      </c>
      <c r="H9540" t="s">
        <v>47054</v>
      </c>
      <c r="I9540" t="s">
        <v>47118</v>
      </c>
      <c r="J9540" t="s">
        <v>47119</v>
      </c>
      <c r="K9540" t="s">
        <v>47113</v>
      </c>
      <c r="L9540">
        <v>14.39</v>
      </c>
      <c r="M9540">
        <v>48</v>
      </c>
      <c r="N9540">
        <v>0</v>
      </c>
      <c r="O9540">
        <v>48</v>
      </c>
      <c r="P9540">
        <v>0</v>
      </c>
    </row>
    <row r="9541" spans="1:16" x14ac:dyDescent="0.25">
      <c r="A9541" t="s">
        <v>32153</v>
      </c>
      <c r="B9541" t="s">
        <v>14518</v>
      </c>
      <c r="C9541" t="s">
        <v>5582</v>
      </c>
      <c r="D9541" t="str">
        <f>"4095"</f>
        <v>4095</v>
      </c>
      <c r="E9541" t="s">
        <v>14517</v>
      </c>
      <c r="F9541" t="s">
        <v>3750</v>
      </c>
      <c r="G9541" t="s">
        <v>16230</v>
      </c>
      <c r="H9541" t="s">
        <v>47054</v>
      </c>
      <c r="I9541" t="s">
        <v>47118</v>
      </c>
      <c r="J9541" t="s">
        <v>47119</v>
      </c>
      <c r="K9541" t="s">
        <v>47113</v>
      </c>
      <c r="L9541">
        <v>14.1</v>
      </c>
      <c r="M9541">
        <v>48</v>
      </c>
      <c r="N9541">
        <v>0</v>
      </c>
      <c r="O9541">
        <v>48</v>
      </c>
      <c r="P9541">
        <v>0</v>
      </c>
    </row>
    <row r="9542" spans="1:16" x14ac:dyDescent="0.25">
      <c r="A9542" t="s">
        <v>32154</v>
      </c>
      <c r="B9542" t="s">
        <v>14518</v>
      </c>
      <c r="C9542" t="s">
        <v>5582</v>
      </c>
      <c r="D9542" t="str">
        <f>"4191"</f>
        <v>4191</v>
      </c>
      <c r="E9542" t="s">
        <v>15520</v>
      </c>
      <c r="F9542" t="s">
        <v>3750</v>
      </c>
      <c r="G9542" t="s">
        <v>16230</v>
      </c>
      <c r="H9542" t="s">
        <v>47054</v>
      </c>
      <c r="I9542" t="s">
        <v>47118</v>
      </c>
      <c r="J9542" t="s">
        <v>47119</v>
      </c>
      <c r="K9542" t="s">
        <v>47113</v>
      </c>
      <c r="L9542">
        <v>10.45</v>
      </c>
      <c r="M9542">
        <v>48</v>
      </c>
      <c r="N9542">
        <v>0</v>
      </c>
      <c r="O9542">
        <v>48</v>
      </c>
      <c r="P9542">
        <v>0</v>
      </c>
    </row>
    <row r="9543" spans="1:16" x14ac:dyDescent="0.25">
      <c r="A9543" t="s">
        <v>32155</v>
      </c>
      <c r="B9543" t="s">
        <v>14518</v>
      </c>
      <c r="C9543" t="s">
        <v>5582</v>
      </c>
      <c r="D9543" t="str">
        <f>"6497"</f>
        <v>6497</v>
      </c>
      <c r="E9543" t="s">
        <v>15521</v>
      </c>
      <c r="F9543" t="s">
        <v>3750</v>
      </c>
      <c r="G9543" t="s">
        <v>16230</v>
      </c>
      <c r="H9543" t="s">
        <v>47054</v>
      </c>
      <c r="I9543" t="s">
        <v>47118</v>
      </c>
      <c r="J9543" t="s">
        <v>47119</v>
      </c>
      <c r="K9543" t="s">
        <v>47113</v>
      </c>
      <c r="L9543">
        <v>10.45</v>
      </c>
      <c r="M9543">
        <v>48</v>
      </c>
      <c r="N9543">
        <v>0</v>
      </c>
      <c r="O9543">
        <v>48</v>
      </c>
      <c r="P9543">
        <v>0</v>
      </c>
    </row>
    <row r="9544" spans="1:16" x14ac:dyDescent="0.25">
      <c r="A9544" t="s">
        <v>32156</v>
      </c>
      <c r="B9544" t="s">
        <v>15522</v>
      </c>
      <c r="C9544" t="s">
        <v>15523</v>
      </c>
      <c r="D9544" t="str">
        <f>"1001"</f>
        <v>1001</v>
      </c>
      <c r="E9544" t="s">
        <v>42</v>
      </c>
      <c r="F9544" t="s">
        <v>3750</v>
      </c>
      <c r="G9544" t="s">
        <v>16230</v>
      </c>
      <c r="H9544" t="s">
        <v>47054</v>
      </c>
      <c r="I9544" t="s">
        <v>47118</v>
      </c>
      <c r="J9544" t="s">
        <v>47119</v>
      </c>
      <c r="K9544" t="s">
        <v>47113</v>
      </c>
      <c r="L9544">
        <v>11.34</v>
      </c>
      <c r="M9544">
        <v>48</v>
      </c>
      <c r="N9544">
        <v>0</v>
      </c>
      <c r="O9544">
        <v>48</v>
      </c>
      <c r="P9544">
        <v>0</v>
      </c>
    </row>
    <row r="9545" spans="1:16" x14ac:dyDescent="0.25">
      <c r="A9545" t="s">
        <v>32157</v>
      </c>
      <c r="B9545" t="s">
        <v>15522</v>
      </c>
      <c r="C9545" t="s">
        <v>15523</v>
      </c>
      <c r="D9545" t="str">
        <f>"1700"</f>
        <v>1700</v>
      </c>
      <c r="E9545" t="s">
        <v>60</v>
      </c>
      <c r="F9545" t="s">
        <v>3750</v>
      </c>
      <c r="G9545" t="s">
        <v>16230</v>
      </c>
      <c r="H9545" t="s">
        <v>47054</v>
      </c>
      <c r="I9545" t="s">
        <v>47118</v>
      </c>
      <c r="J9545" t="s">
        <v>47119</v>
      </c>
      <c r="K9545" t="s">
        <v>47113</v>
      </c>
      <c r="L9545">
        <v>11.34</v>
      </c>
      <c r="M9545">
        <v>48</v>
      </c>
      <c r="N9545">
        <v>0</v>
      </c>
      <c r="O9545">
        <v>48</v>
      </c>
      <c r="P9545">
        <v>0</v>
      </c>
    </row>
    <row r="9546" spans="1:16" x14ac:dyDescent="0.25">
      <c r="A9546" t="s">
        <v>32158</v>
      </c>
      <c r="B9546" t="s">
        <v>20415</v>
      </c>
      <c r="C9546" t="s">
        <v>20416</v>
      </c>
      <c r="D9546" t="str">
        <f>"1001"</f>
        <v>1001</v>
      </c>
      <c r="E9546" t="s">
        <v>42</v>
      </c>
      <c r="F9546" t="s">
        <v>3750</v>
      </c>
      <c r="G9546" t="s">
        <v>16222</v>
      </c>
      <c r="H9546" t="s">
        <v>47054</v>
      </c>
      <c r="I9546" t="s">
        <v>47118</v>
      </c>
      <c r="J9546" t="s">
        <v>47119</v>
      </c>
      <c r="K9546" t="s">
        <v>47113</v>
      </c>
      <c r="L9546">
        <v>13.53</v>
      </c>
      <c r="M9546">
        <v>63</v>
      </c>
      <c r="N9546">
        <v>169</v>
      </c>
      <c r="O9546">
        <v>63</v>
      </c>
      <c r="P9546">
        <v>169</v>
      </c>
    </row>
    <row r="9547" spans="1:16" x14ac:dyDescent="0.25">
      <c r="A9547" t="s">
        <v>32159</v>
      </c>
      <c r="B9547" t="s">
        <v>20415</v>
      </c>
      <c r="C9547" t="s">
        <v>20416</v>
      </c>
      <c r="D9547" t="str">
        <f>"4100"</f>
        <v>4100</v>
      </c>
      <c r="E9547" t="s">
        <v>17644</v>
      </c>
      <c r="F9547" t="s">
        <v>3750</v>
      </c>
      <c r="G9547" t="s">
        <v>16222</v>
      </c>
      <c r="H9547" t="s">
        <v>47054</v>
      </c>
      <c r="I9547" t="s">
        <v>47118</v>
      </c>
      <c r="J9547" t="s">
        <v>47119</v>
      </c>
      <c r="K9547" t="s">
        <v>47113</v>
      </c>
      <c r="L9547">
        <v>16.239999999999998</v>
      </c>
      <c r="M9547">
        <v>60</v>
      </c>
      <c r="N9547">
        <v>0</v>
      </c>
      <c r="O9547">
        <v>60</v>
      </c>
      <c r="P9547">
        <v>0</v>
      </c>
    </row>
    <row r="9548" spans="1:16" x14ac:dyDescent="0.25">
      <c r="A9548" t="s">
        <v>32160</v>
      </c>
      <c r="B9548" t="s">
        <v>20415</v>
      </c>
      <c r="C9548" t="s">
        <v>20416</v>
      </c>
      <c r="D9548" t="str">
        <f>"6000"</f>
        <v>6000</v>
      </c>
      <c r="E9548" t="s">
        <v>6279</v>
      </c>
      <c r="F9548" t="s">
        <v>3750</v>
      </c>
      <c r="G9548" t="s">
        <v>16222</v>
      </c>
      <c r="H9548" t="s">
        <v>47054</v>
      </c>
      <c r="I9548" t="s">
        <v>47118</v>
      </c>
      <c r="J9548" t="s">
        <v>47119</v>
      </c>
      <c r="K9548" t="s">
        <v>47113</v>
      </c>
      <c r="L9548">
        <v>17.149999999999999</v>
      </c>
      <c r="M9548">
        <v>63</v>
      </c>
      <c r="N9548">
        <v>169</v>
      </c>
      <c r="O9548">
        <v>63</v>
      </c>
      <c r="P9548">
        <v>169</v>
      </c>
    </row>
    <row r="9549" spans="1:16" x14ac:dyDescent="0.25">
      <c r="A9549" t="s">
        <v>32161</v>
      </c>
      <c r="B9549" t="s">
        <v>20415</v>
      </c>
      <c r="C9549" t="s">
        <v>20416</v>
      </c>
      <c r="D9549" t="str">
        <f>"6433"</f>
        <v>6433</v>
      </c>
      <c r="E9549" t="s">
        <v>7168</v>
      </c>
      <c r="F9549" t="s">
        <v>3750</v>
      </c>
      <c r="G9549" t="s">
        <v>16222</v>
      </c>
      <c r="H9549" t="s">
        <v>47054</v>
      </c>
      <c r="I9549" t="s">
        <v>47118</v>
      </c>
      <c r="J9549" t="s">
        <v>47119</v>
      </c>
      <c r="K9549" t="s">
        <v>47113</v>
      </c>
      <c r="L9549">
        <v>17.63</v>
      </c>
      <c r="M9549">
        <v>59</v>
      </c>
      <c r="N9549">
        <v>0</v>
      </c>
      <c r="O9549">
        <v>59</v>
      </c>
      <c r="P9549">
        <v>0</v>
      </c>
    </row>
    <row r="9550" spans="1:16" x14ac:dyDescent="0.25">
      <c r="A9550" t="s">
        <v>32162</v>
      </c>
      <c r="B9550" t="s">
        <v>20417</v>
      </c>
      <c r="C9550" t="s">
        <v>20418</v>
      </c>
      <c r="D9550" t="str">
        <f>"1501"</f>
        <v>1501</v>
      </c>
      <c r="E9550" t="s">
        <v>46</v>
      </c>
      <c r="F9550" t="s">
        <v>3750</v>
      </c>
      <c r="G9550" t="s">
        <v>16222</v>
      </c>
      <c r="H9550" t="s">
        <v>47054</v>
      </c>
      <c r="I9550" t="s">
        <v>47118</v>
      </c>
      <c r="J9550" t="s">
        <v>47119</v>
      </c>
      <c r="K9550" t="s">
        <v>47113</v>
      </c>
      <c r="L9550">
        <v>16.71</v>
      </c>
      <c r="M9550">
        <v>52</v>
      </c>
      <c r="N9550">
        <v>0</v>
      </c>
      <c r="O9550">
        <v>52</v>
      </c>
      <c r="P9550">
        <v>0</v>
      </c>
    </row>
    <row r="9551" spans="1:16" x14ac:dyDescent="0.25">
      <c r="A9551" t="s">
        <v>32163</v>
      </c>
      <c r="B9551" t="s">
        <v>20417</v>
      </c>
      <c r="C9551" t="s">
        <v>20418</v>
      </c>
      <c r="D9551" t="str">
        <f>"4100"</f>
        <v>4100</v>
      </c>
      <c r="E9551" t="s">
        <v>17644</v>
      </c>
      <c r="F9551" t="s">
        <v>3750</v>
      </c>
      <c r="G9551" t="s">
        <v>16222</v>
      </c>
      <c r="H9551" t="s">
        <v>47054</v>
      </c>
      <c r="I9551" t="s">
        <v>47118</v>
      </c>
      <c r="J9551" t="s">
        <v>47119</v>
      </c>
      <c r="K9551" t="s">
        <v>47113</v>
      </c>
      <c r="L9551">
        <v>16.71</v>
      </c>
      <c r="M9551">
        <v>52</v>
      </c>
      <c r="N9551">
        <v>0</v>
      </c>
      <c r="O9551">
        <v>52</v>
      </c>
      <c r="P9551">
        <v>0</v>
      </c>
    </row>
    <row r="9552" spans="1:16" x14ac:dyDescent="0.25">
      <c r="A9552" t="s">
        <v>32164</v>
      </c>
      <c r="B9552" t="s">
        <v>32165</v>
      </c>
      <c r="C9552" t="s">
        <v>32166</v>
      </c>
      <c r="D9552" t="str">
        <f>"1427"</f>
        <v>1427</v>
      </c>
      <c r="E9552" t="s">
        <v>32167</v>
      </c>
      <c r="F9552" t="s">
        <v>3750</v>
      </c>
      <c r="G9552" t="s">
        <v>16235</v>
      </c>
      <c r="H9552" t="s">
        <v>47054</v>
      </c>
      <c r="I9552" t="s">
        <v>47118</v>
      </c>
      <c r="J9552" t="s">
        <v>47119</v>
      </c>
      <c r="K9552" t="s">
        <v>47113</v>
      </c>
      <c r="L9552">
        <v>19.45</v>
      </c>
      <c r="M9552">
        <v>70</v>
      </c>
      <c r="N9552">
        <v>189</v>
      </c>
      <c r="O9552">
        <v>70</v>
      </c>
      <c r="P9552">
        <v>189</v>
      </c>
    </row>
    <row r="9553" spans="1:16" x14ac:dyDescent="0.25">
      <c r="A9553" t="s">
        <v>32168</v>
      </c>
      <c r="B9553" t="s">
        <v>32165</v>
      </c>
      <c r="C9553" t="s">
        <v>32166</v>
      </c>
      <c r="D9553" t="str">
        <f>"6432"</f>
        <v>6432</v>
      </c>
      <c r="E9553" t="s">
        <v>32169</v>
      </c>
      <c r="F9553" t="s">
        <v>3750</v>
      </c>
      <c r="G9553" t="s">
        <v>16235</v>
      </c>
      <c r="H9553" t="s">
        <v>47054</v>
      </c>
      <c r="I9553" t="s">
        <v>47118</v>
      </c>
      <c r="J9553" t="s">
        <v>47119</v>
      </c>
      <c r="K9553" t="s">
        <v>47113</v>
      </c>
      <c r="L9553">
        <v>19.45</v>
      </c>
      <c r="M9553">
        <v>70</v>
      </c>
      <c r="N9553">
        <v>189</v>
      </c>
      <c r="O9553">
        <v>70</v>
      </c>
      <c r="P9553">
        <v>189</v>
      </c>
    </row>
    <row r="9554" spans="1:16" x14ac:dyDescent="0.25">
      <c r="A9554" t="s">
        <v>32170</v>
      </c>
      <c r="B9554" t="s">
        <v>32171</v>
      </c>
      <c r="C9554" t="s">
        <v>32172</v>
      </c>
      <c r="D9554" t="str">
        <f>"1518"</f>
        <v>1518</v>
      </c>
      <c r="E9554" t="s">
        <v>32173</v>
      </c>
      <c r="F9554" t="s">
        <v>24617</v>
      </c>
      <c r="G9554" t="s">
        <v>16235</v>
      </c>
      <c r="H9554" t="s">
        <v>47054</v>
      </c>
      <c r="I9554" t="s">
        <v>47118</v>
      </c>
      <c r="J9554" t="s">
        <v>47119</v>
      </c>
      <c r="K9554" t="s">
        <v>47113</v>
      </c>
      <c r="L9554">
        <v>18.14</v>
      </c>
      <c r="M9554">
        <v>70</v>
      </c>
      <c r="N9554">
        <v>189</v>
      </c>
      <c r="O9554">
        <v>70</v>
      </c>
      <c r="P9554">
        <v>189</v>
      </c>
    </row>
    <row r="9555" spans="1:16" x14ac:dyDescent="0.25">
      <c r="A9555" t="s">
        <v>32174</v>
      </c>
      <c r="B9555" t="s">
        <v>32171</v>
      </c>
      <c r="C9555" t="s">
        <v>32172</v>
      </c>
      <c r="D9555" t="str">
        <f>"4767"</f>
        <v>4767</v>
      </c>
      <c r="E9555" t="s">
        <v>32175</v>
      </c>
      <c r="F9555" t="s">
        <v>24617</v>
      </c>
      <c r="G9555" t="s">
        <v>16235</v>
      </c>
      <c r="H9555" t="s">
        <v>47054</v>
      </c>
      <c r="I9555" t="s">
        <v>47118</v>
      </c>
      <c r="J9555" t="s">
        <v>47119</v>
      </c>
      <c r="K9555" t="s">
        <v>47113</v>
      </c>
      <c r="L9555">
        <v>18.14</v>
      </c>
      <c r="M9555">
        <v>70</v>
      </c>
      <c r="N9555">
        <v>189</v>
      </c>
      <c r="O9555">
        <v>70</v>
      </c>
      <c r="P9555">
        <v>189</v>
      </c>
    </row>
    <row r="9556" spans="1:16" x14ac:dyDescent="0.25">
      <c r="A9556" t="s">
        <v>32176</v>
      </c>
      <c r="B9556" t="s">
        <v>17463</v>
      </c>
      <c r="C9556" t="s">
        <v>17464</v>
      </c>
      <c r="D9556" t="str">
        <f>"1518"</f>
        <v>1518</v>
      </c>
      <c r="E9556" t="s">
        <v>17137</v>
      </c>
      <c r="F9556" t="s">
        <v>3750</v>
      </c>
      <c r="G9556" t="s">
        <v>16235</v>
      </c>
      <c r="H9556" t="s">
        <v>47054</v>
      </c>
      <c r="I9556" t="s">
        <v>47116</v>
      </c>
      <c r="J9556" t="s">
        <v>47117</v>
      </c>
      <c r="K9556" t="s">
        <v>47113</v>
      </c>
      <c r="L9556">
        <v>16.84</v>
      </c>
      <c r="M9556">
        <v>47</v>
      </c>
      <c r="N9556">
        <v>0</v>
      </c>
      <c r="O9556">
        <v>47</v>
      </c>
      <c r="P9556">
        <v>0</v>
      </c>
    </row>
    <row r="9557" spans="1:16" x14ac:dyDescent="0.25">
      <c r="A9557" t="s">
        <v>32177</v>
      </c>
      <c r="B9557" t="s">
        <v>17463</v>
      </c>
      <c r="C9557" t="s">
        <v>17464</v>
      </c>
      <c r="D9557" t="str">
        <f>"2551"</f>
        <v>2551</v>
      </c>
      <c r="E9557" t="s">
        <v>17465</v>
      </c>
      <c r="F9557" t="s">
        <v>3750</v>
      </c>
      <c r="G9557" t="s">
        <v>16235</v>
      </c>
      <c r="H9557" t="s">
        <v>47054</v>
      </c>
      <c r="I9557" t="s">
        <v>47116</v>
      </c>
      <c r="J9557" t="s">
        <v>47117</v>
      </c>
      <c r="K9557" t="s">
        <v>47113</v>
      </c>
      <c r="L9557">
        <v>16.84</v>
      </c>
      <c r="M9557">
        <v>47</v>
      </c>
      <c r="N9557">
        <v>0</v>
      </c>
      <c r="O9557">
        <v>47</v>
      </c>
      <c r="P9557">
        <v>0</v>
      </c>
    </row>
    <row r="9558" spans="1:16" x14ac:dyDescent="0.25">
      <c r="A9558" t="s">
        <v>32178</v>
      </c>
      <c r="B9558" t="s">
        <v>17466</v>
      </c>
      <c r="C9558" t="s">
        <v>17467</v>
      </c>
      <c r="D9558" t="str">
        <f>"1096"</f>
        <v>1096</v>
      </c>
      <c r="E9558" t="s">
        <v>4744</v>
      </c>
      <c r="F9558" t="s">
        <v>3750</v>
      </c>
      <c r="G9558" t="s">
        <v>16235</v>
      </c>
      <c r="H9558" t="s">
        <v>47054</v>
      </c>
      <c r="I9558" t="s">
        <v>47118</v>
      </c>
      <c r="J9558" t="s">
        <v>47119</v>
      </c>
      <c r="K9558" t="s">
        <v>47113</v>
      </c>
      <c r="L9558">
        <v>15.42</v>
      </c>
      <c r="M9558">
        <v>45</v>
      </c>
      <c r="N9558">
        <v>0</v>
      </c>
      <c r="O9558">
        <v>45</v>
      </c>
      <c r="P9558">
        <v>0</v>
      </c>
    </row>
    <row r="9559" spans="1:16" x14ac:dyDescent="0.25">
      <c r="A9559" t="s">
        <v>32179</v>
      </c>
      <c r="B9559" t="s">
        <v>17466</v>
      </c>
      <c r="C9559" t="s">
        <v>17467</v>
      </c>
      <c r="D9559" t="str">
        <f>"1427"</f>
        <v>1427</v>
      </c>
      <c r="E9559" t="s">
        <v>17468</v>
      </c>
      <c r="F9559" t="s">
        <v>3750</v>
      </c>
      <c r="G9559" t="s">
        <v>16235</v>
      </c>
      <c r="H9559" t="s">
        <v>47054</v>
      </c>
      <c r="I9559" t="s">
        <v>47118</v>
      </c>
      <c r="J9559" t="s">
        <v>47119</v>
      </c>
      <c r="K9559" t="s">
        <v>47113</v>
      </c>
      <c r="L9559">
        <v>15.42</v>
      </c>
      <c r="M9559">
        <v>45</v>
      </c>
      <c r="N9559">
        <v>0</v>
      </c>
      <c r="O9559">
        <v>45</v>
      </c>
      <c r="P9559">
        <v>0</v>
      </c>
    </row>
    <row r="9560" spans="1:16" x14ac:dyDescent="0.25">
      <c r="A9560" t="s">
        <v>46699</v>
      </c>
      <c r="B9560" t="s">
        <v>46700</v>
      </c>
      <c r="C9560" t="s">
        <v>46701</v>
      </c>
      <c r="D9560" t="str">
        <f>"1494"</f>
        <v>1494</v>
      </c>
      <c r="E9560" t="s">
        <v>46702</v>
      </c>
      <c r="F9560" t="s">
        <v>3750</v>
      </c>
      <c r="G9560" t="s">
        <v>16222</v>
      </c>
      <c r="H9560" t="s">
        <v>47054</v>
      </c>
      <c r="I9560" t="s">
        <v>47116</v>
      </c>
      <c r="J9560" t="s">
        <v>47117</v>
      </c>
      <c r="K9560" t="s">
        <v>47113</v>
      </c>
      <c r="L9560">
        <v>17.64</v>
      </c>
      <c r="M9560">
        <v>59</v>
      </c>
      <c r="N9560">
        <v>159</v>
      </c>
      <c r="O9560">
        <v>59</v>
      </c>
      <c r="P9560">
        <v>159</v>
      </c>
    </row>
    <row r="9561" spans="1:16" x14ac:dyDescent="0.25">
      <c r="A9561" t="s">
        <v>32180</v>
      </c>
      <c r="B9561" t="s">
        <v>17469</v>
      </c>
      <c r="C9561" t="s">
        <v>17470</v>
      </c>
      <c r="D9561" t="str">
        <f>"1518"</f>
        <v>1518</v>
      </c>
      <c r="E9561" t="s">
        <v>17137</v>
      </c>
      <c r="F9561" t="s">
        <v>3750</v>
      </c>
      <c r="G9561" t="s">
        <v>16222</v>
      </c>
      <c r="H9561" t="s">
        <v>47054</v>
      </c>
      <c r="I9561" t="s">
        <v>47116</v>
      </c>
      <c r="J9561" t="s">
        <v>47117</v>
      </c>
      <c r="K9561" t="s">
        <v>47113</v>
      </c>
      <c r="L9561">
        <v>12.91</v>
      </c>
      <c r="M9561">
        <v>36</v>
      </c>
      <c r="N9561">
        <v>0</v>
      </c>
      <c r="O9561">
        <v>36</v>
      </c>
      <c r="P9561">
        <v>0</v>
      </c>
    </row>
    <row r="9562" spans="1:16" x14ac:dyDescent="0.25">
      <c r="A9562" t="s">
        <v>32181</v>
      </c>
      <c r="B9562" t="s">
        <v>17469</v>
      </c>
      <c r="C9562" t="s">
        <v>17470</v>
      </c>
      <c r="D9562" t="str">
        <f>"2551"</f>
        <v>2551</v>
      </c>
      <c r="E9562" t="s">
        <v>17465</v>
      </c>
      <c r="F9562" t="s">
        <v>3750</v>
      </c>
      <c r="G9562" t="s">
        <v>16222</v>
      </c>
      <c r="H9562" t="s">
        <v>47054</v>
      </c>
      <c r="I9562" t="s">
        <v>47116</v>
      </c>
      <c r="J9562" t="s">
        <v>47117</v>
      </c>
      <c r="K9562" t="s">
        <v>47113</v>
      </c>
      <c r="L9562">
        <v>12.91</v>
      </c>
      <c r="M9562">
        <v>36</v>
      </c>
      <c r="N9562">
        <v>0</v>
      </c>
      <c r="O9562">
        <v>36</v>
      </c>
      <c r="P9562">
        <v>0</v>
      </c>
    </row>
    <row r="9563" spans="1:16" x14ac:dyDescent="0.25">
      <c r="A9563" t="s">
        <v>32182</v>
      </c>
      <c r="B9563" t="s">
        <v>14516</v>
      </c>
      <c r="C9563" t="s">
        <v>14515</v>
      </c>
      <c r="D9563" t="str">
        <f>"1001"</f>
        <v>1001</v>
      </c>
      <c r="E9563" t="s">
        <v>42</v>
      </c>
      <c r="F9563" t="s">
        <v>3750</v>
      </c>
      <c r="G9563" t="s">
        <v>16235</v>
      </c>
      <c r="H9563" t="s">
        <v>47054</v>
      </c>
      <c r="I9563" t="s">
        <v>47116</v>
      </c>
      <c r="J9563" t="s">
        <v>47117</v>
      </c>
      <c r="K9563" t="s">
        <v>47113</v>
      </c>
      <c r="L9563">
        <v>20.65</v>
      </c>
      <c r="M9563">
        <v>67</v>
      </c>
      <c r="N9563">
        <v>0</v>
      </c>
      <c r="O9563">
        <v>67</v>
      </c>
      <c r="P9563">
        <v>0</v>
      </c>
    </row>
    <row r="9564" spans="1:16" x14ac:dyDescent="0.25">
      <c r="A9564" t="s">
        <v>32183</v>
      </c>
      <c r="B9564" t="s">
        <v>14516</v>
      </c>
      <c r="C9564" t="s">
        <v>14515</v>
      </c>
      <c r="D9564" t="str">
        <f>"2707"</f>
        <v>2707</v>
      </c>
      <c r="E9564" t="s">
        <v>3019</v>
      </c>
      <c r="F9564" t="s">
        <v>3750</v>
      </c>
      <c r="G9564" t="s">
        <v>16235</v>
      </c>
      <c r="H9564" t="s">
        <v>47054</v>
      </c>
      <c r="I9564" t="s">
        <v>47116</v>
      </c>
      <c r="J9564" t="s">
        <v>47117</v>
      </c>
      <c r="K9564" t="s">
        <v>47113</v>
      </c>
      <c r="L9564">
        <v>20.65</v>
      </c>
      <c r="M9564">
        <v>67</v>
      </c>
      <c r="N9564">
        <v>0</v>
      </c>
      <c r="O9564">
        <v>67</v>
      </c>
      <c r="P9564">
        <v>0</v>
      </c>
    </row>
    <row r="9565" spans="1:16" x14ac:dyDescent="0.25">
      <c r="A9565" t="s">
        <v>32184</v>
      </c>
      <c r="B9565" t="s">
        <v>14516</v>
      </c>
      <c r="C9565" t="s">
        <v>14515</v>
      </c>
      <c r="D9565" t="str">
        <f>"4100"</f>
        <v>4100</v>
      </c>
      <c r="E9565" t="s">
        <v>2383</v>
      </c>
      <c r="F9565" t="s">
        <v>3750</v>
      </c>
      <c r="G9565" t="s">
        <v>16235</v>
      </c>
      <c r="H9565" t="s">
        <v>47054</v>
      </c>
      <c r="I9565" t="s">
        <v>47116</v>
      </c>
      <c r="J9565" t="s">
        <v>47117</v>
      </c>
      <c r="K9565" t="s">
        <v>47113</v>
      </c>
      <c r="L9565">
        <v>21.5</v>
      </c>
      <c r="M9565">
        <v>60</v>
      </c>
      <c r="N9565">
        <v>0</v>
      </c>
      <c r="O9565">
        <v>60</v>
      </c>
      <c r="P9565">
        <v>0</v>
      </c>
    </row>
    <row r="9566" spans="1:16" x14ac:dyDescent="0.25">
      <c r="A9566" t="s">
        <v>32185</v>
      </c>
      <c r="B9566" t="s">
        <v>14516</v>
      </c>
      <c r="C9566" t="s">
        <v>14515</v>
      </c>
      <c r="D9566" t="str">
        <f>"6000"</f>
        <v>6000</v>
      </c>
      <c r="E9566" t="s">
        <v>238</v>
      </c>
      <c r="F9566" t="s">
        <v>3750</v>
      </c>
      <c r="G9566" t="s">
        <v>16235</v>
      </c>
      <c r="H9566" t="s">
        <v>47054</v>
      </c>
      <c r="I9566" t="s">
        <v>47116</v>
      </c>
      <c r="J9566" t="s">
        <v>47117</v>
      </c>
      <c r="K9566" t="s">
        <v>47113</v>
      </c>
      <c r="L9566">
        <v>21.5</v>
      </c>
      <c r="M9566">
        <v>60</v>
      </c>
      <c r="N9566">
        <v>0</v>
      </c>
      <c r="O9566">
        <v>60</v>
      </c>
      <c r="P9566">
        <v>0</v>
      </c>
    </row>
    <row r="9567" spans="1:16" x14ac:dyDescent="0.25">
      <c r="A9567" t="s">
        <v>32186</v>
      </c>
      <c r="B9567" t="s">
        <v>14252</v>
      </c>
      <c r="C9567" t="s">
        <v>14253</v>
      </c>
      <c r="D9567" t="str">
        <f>"1100"</f>
        <v>1100</v>
      </c>
      <c r="E9567" t="s">
        <v>54</v>
      </c>
      <c r="F9567" t="s">
        <v>3750</v>
      </c>
      <c r="G9567" t="s">
        <v>16235</v>
      </c>
      <c r="H9567" t="s">
        <v>47054</v>
      </c>
      <c r="I9567" t="s">
        <v>47116</v>
      </c>
      <c r="J9567" t="s">
        <v>47117</v>
      </c>
      <c r="K9567" t="s">
        <v>47113</v>
      </c>
      <c r="L9567">
        <v>21.94</v>
      </c>
      <c r="M9567">
        <v>60</v>
      </c>
      <c r="N9567">
        <v>0</v>
      </c>
      <c r="O9567">
        <v>60</v>
      </c>
      <c r="P9567">
        <v>0</v>
      </c>
    </row>
    <row r="9568" spans="1:16" x14ac:dyDescent="0.25">
      <c r="A9568" t="s">
        <v>32187</v>
      </c>
      <c r="B9568" t="s">
        <v>7175</v>
      </c>
      <c r="C9568" t="s">
        <v>7176</v>
      </c>
      <c r="D9568" t="str">
        <f>"1001"</f>
        <v>1001</v>
      </c>
      <c r="E9568" t="s">
        <v>42</v>
      </c>
      <c r="F9568" t="s">
        <v>3750</v>
      </c>
      <c r="G9568" t="s">
        <v>16235</v>
      </c>
      <c r="H9568" t="s">
        <v>47054</v>
      </c>
      <c r="I9568" t="s">
        <v>47116</v>
      </c>
      <c r="J9568" t="s">
        <v>47117</v>
      </c>
      <c r="K9568" t="s">
        <v>47113</v>
      </c>
      <c r="L9568">
        <v>21.62</v>
      </c>
      <c r="M9568">
        <v>59</v>
      </c>
      <c r="N9568">
        <v>0</v>
      </c>
      <c r="O9568">
        <v>59</v>
      </c>
      <c r="P9568">
        <v>0</v>
      </c>
    </row>
    <row r="9569" spans="1:16" x14ac:dyDescent="0.25">
      <c r="A9569" t="s">
        <v>32188</v>
      </c>
      <c r="B9569" t="s">
        <v>7175</v>
      </c>
      <c r="C9569" t="s">
        <v>7176</v>
      </c>
      <c r="D9569" t="str">
        <f>"6433"</f>
        <v>6433</v>
      </c>
      <c r="E9569" t="s">
        <v>7168</v>
      </c>
      <c r="F9569" t="s">
        <v>3750</v>
      </c>
      <c r="G9569" t="s">
        <v>16235</v>
      </c>
      <c r="H9569" t="s">
        <v>47054</v>
      </c>
      <c r="I9569" t="s">
        <v>47116</v>
      </c>
      <c r="J9569" t="s">
        <v>47117</v>
      </c>
      <c r="K9569" t="s">
        <v>47113</v>
      </c>
      <c r="L9569">
        <v>21.62</v>
      </c>
      <c r="M9569">
        <v>59</v>
      </c>
      <c r="N9569">
        <v>0</v>
      </c>
      <c r="O9569">
        <v>59</v>
      </c>
      <c r="P9569">
        <v>0</v>
      </c>
    </row>
    <row r="9570" spans="1:16" x14ac:dyDescent="0.25">
      <c r="A9570" t="s">
        <v>32189</v>
      </c>
      <c r="B9570" t="s">
        <v>15524</v>
      </c>
      <c r="C9570" t="s">
        <v>15525</v>
      </c>
      <c r="D9570" t="str">
        <f>"1001"</f>
        <v>1001</v>
      </c>
      <c r="E9570" t="s">
        <v>42</v>
      </c>
      <c r="F9570" t="s">
        <v>3750</v>
      </c>
      <c r="G9570" t="s">
        <v>16235</v>
      </c>
      <c r="H9570" t="s">
        <v>47054</v>
      </c>
      <c r="I9570" t="s">
        <v>47111</v>
      </c>
      <c r="J9570" t="s">
        <v>47112</v>
      </c>
      <c r="K9570" t="s">
        <v>47113</v>
      </c>
      <c r="L9570">
        <v>20.87</v>
      </c>
      <c r="M9570">
        <v>60</v>
      </c>
      <c r="N9570">
        <v>0</v>
      </c>
      <c r="O9570">
        <v>60</v>
      </c>
      <c r="P9570">
        <v>0</v>
      </c>
    </row>
    <row r="9571" spans="1:16" x14ac:dyDescent="0.25">
      <c r="A9571" t="s">
        <v>32190</v>
      </c>
      <c r="B9571" t="s">
        <v>15524</v>
      </c>
      <c r="C9571" t="s">
        <v>15525</v>
      </c>
      <c r="D9571" t="str">
        <f>"6000"</f>
        <v>6000</v>
      </c>
      <c r="E9571" t="s">
        <v>238</v>
      </c>
      <c r="F9571" t="s">
        <v>3750</v>
      </c>
      <c r="G9571" t="s">
        <v>16235</v>
      </c>
      <c r="H9571" t="s">
        <v>47054</v>
      </c>
      <c r="I9571" t="s">
        <v>47111</v>
      </c>
      <c r="J9571" t="s">
        <v>47112</v>
      </c>
      <c r="K9571" t="s">
        <v>47113</v>
      </c>
      <c r="L9571">
        <v>20.87</v>
      </c>
      <c r="M9571">
        <v>60</v>
      </c>
      <c r="N9571">
        <v>0</v>
      </c>
      <c r="O9571">
        <v>60</v>
      </c>
      <c r="P9571">
        <v>0</v>
      </c>
    </row>
    <row r="9572" spans="1:16" x14ac:dyDescent="0.25">
      <c r="A9572" t="s">
        <v>32191</v>
      </c>
      <c r="B9572" t="s">
        <v>17471</v>
      </c>
      <c r="C9572" t="s">
        <v>17472</v>
      </c>
      <c r="D9572" t="str">
        <f>"1106"</f>
        <v>1106</v>
      </c>
      <c r="E9572" t="s">
        <v>460</v>
      </c>
      <c r="F9572" t="s">
        <v>17473</v>
      </c>
      <c r="G9572" t="s">
        <v>16235</v>
      </c>
      <c r="H9572" t="s">
        <v>47054</v>
      </c>
      <c r="I9572" t="s">
        <v>47116</v>
      </c>
      <c r="J9572" t="s">
        <v>47117</v>
      </c>
      <c r="K9572" t="s">
        <v>47113</v>
      </c>
      <c r="L9572">
        <v>18.66</v>
      </c>
      <c r="M9572">
        <v>53</v>
      </c>
      <c r="N9572">
        <v>0</v>
      </c>
      <c r="O9572">
        <v>53</v>
      </c>
      <c r="P9572">
        <v>0</v>
      </c>
    </row>
    <row r="9573" spans="1:16" x14ac:dyDescent="0.25">
      <c r="A9573" t="s">
        <v>32192</v>
      </c>
      <c r="B9573" t="s">
        <v>17471</v>
      </c>
      <c r="C9573" t="s">
        <v>17472</v>
      </c>
      <c r="D9573" t="str">
        <f>"6000"</f>
        <v>6000</v>
      </c>
      <c r="E9573" t="s">
        <v>6279</v>
      </c>
      <c r="F9573" t="s">
        <v>3750</v>
      </c>
      <c r="G9573" t="s">
        <v>16235</v>
      </c>
      <c r="H9573" t="s">
        <v>47054</v>
      </c>
      <c r="I9573" t="s">
        <v>47116</v>
      </c>
      <c r="J9573" t="s">
        <v>47117</v>
      </c>
      <c r="K9573" t="s">
        <v>47113</v>
      </c>
      <c r="L9573">
        <v>18.66</v>
      </c>
      <c r="M9573">
        <v>53</v>
      </c>
      <c r="N9573">
        <v>0</v>
      </c>
      <c r="O9573">
        <v>53</v>
      </c>
      <c r="P9573">
        <v>0</v>
      </c>
    </row>
    <row r="9574" spans="1:16" x14ac:dyDescent="0.25">
      <c r="A9574" t="s">
        <v>32193</v>
      </c>
      <c r="B9574" t="s">
        <v>17474</v>
      </c>
      <c r="C9574" t="s">
        <v>17475</v>
      </c>
      <c r="D9574" t="str">
        <f>"2707"</f>
        <v>2707</v>
      </c>
      <c r="E9574" t="s">
        <v>3019</v>
      </c>
      <c r="F9574" t="s">
        <v>17473</v>
      </c>
      <c r="G9574" t="s">
        <v>16235</v>
      </c>
      <c r="H9574" t="s">
        <v>47054</v>
      </c>
      <c r="I9574" t="s">
        <v>47116</v>
      </c>
      <c r="J9574" t="s">
        <v>47117</v>
      </c>
      <c r="K9574" t="s">
        <v>47113</v>
      </c>
      <c r="L9574">
        <v>18.079999999999998</v>
      </c>
      <c r="M9574">
        <v>51</v>
      </c>
      <c r="N9574">
        <v>0</v>
      </c>
      <c r="O9574">
        <v>51</v>
      </c>
      <c r="P9574">
        <v>0</v>
      </c>
    </row>
    <row r="9575" spans="1:16" x14ac:dyDescent="0.25">
      <c r="A9575" t="s">
        <v>32194</v>
      </c>
      <c r="B9575" t="s">
        <v>17474</v>
      </c>
      <c r="C9575" t="s">
        <v>17475</v>
      </c>
      <c r="D9575" t="str">
        <f>"4739"</f>
        <v>4739</v>
      </c>
      <c r="E9575" t="s">
        <v>16515</v>
      </c>
      <c r="F9575" t="s">
        <v>17473</v>
      </c>
      <c r="G9575" t="s">
        <v>16235</v>
      </c>
      <c r="H9575" t="s">
        <v>47054</v>
      </c>
      <c r="I9575" t="s">
        <v>47116</v>
      </c>
      <c r="J9575" t="s">
        <v>47117</v>
      </c>
      <c r="K9575" t="s">
        <v>47113</v>
      </c>
      <c r="L9575">
        <v>18.079999999999998</v>
      </c>
      <c r="M9575">
        <v>51</v>
      </c>
      <c r="N9575">
        <v>0</v>
      </c>
      <c r="O9575">
        <v>51</v>
      </c>
      <c r="P9575">
        <v>0</v>
      </c>
    </row>
    <row r="9576" spans="1:16" x14ac:dyDescent="0.25">
      <c r="A9576" t="s">
        <v>32195</v>
      </c>
      <c r="B9576" t="s">
        <v>20419</v>
      </c>
      <c r="C9576" t="s">
        <v>20420</v>
      </c>
      <c r="D9576" t="str">
        <f>"1001"</f>
        <v>1001</v>
      </c>
      <c r="E9576" t="s">
        <v>42</v>
      </c>
      <c r="F9576" t="s">
        <v>3750</v>
      </c>
      <c r="G9576" t="s">
        <v>16235</v>
      </c>
      <c r="H9576" t="s">
        <v>47054</v>
      </c>
      <c r="I9576" t="s">
        <v>47118</v>
      </c>
      <c r="J9576" t="s">
        <v>47119</v>
      </c>
      <c r="K9576" t="s">
        <v>47113</v>
      </c>
      <c r="L9576">
        <v>15.63</v>
      </c>
      <c r="M9576">
        <v>70</v>
      </c>
      <c r="N9576">
        <v>189</v>
      </c>
      <c r="O9576">
        <v>70</v>
      </c>
      <c r="P9576">
        <v>189</v>
      </c>
    </row>
    <row r="9577" spans="1:16" x14ac:dyDescent="0.25">
      <c r="A9577" t="s">
        <v>32196</v>
      </c>
      <c r="B9577" t="s">
        <v>20419</v>
      </c>
      <c r="C9577" t="s">
        <v>20420</v>
      </c>
      <c r="D9577" t="str">
        <f>"4100"</f>
        <v>4100</v>
      </c>
      <c r="E9577" t="s">
        <v>17644</v>
      </c>
      <c r="F9577" t="s">
        <v>3750</v>
      </c>
      <c r="G9577" t="s">
        <v>16235</v>
      </c>
      <c r="H9577" t="s">
        <v>47054</v>
      </c>
      <c r="I9577" t="s">
        <v>47118</v>
      </c>
      <c r="J9577" t="s">
        <v>47119</v>
      </c>
      <c r="K9577" t="s">
        <v>47113</v>
      </c>
      <c r="L9577">
        <v>20</v>
      </c>
      <c r="M9577">
        <v>67</v>
      </c>
      <c r="N9577">
        <v>0</v>
      </c>
      <c r="O9577">
        <v>67</v>
      </c>
      <c r="P9577">
        <v>0</v>
      </c>
    </row>
    <row r="9578" spans="1:16" x14ac:dyDescent="0.25">
      <c r="A9578" t="s">
        <v>32197</v>
      </c>
      <c r="B9578" t="s">
        <v>20419</v>
      </c>
      <c r="C9578" t="s">
        <v>20420</v>
      </c>
      <c r="D9578" t="str">
        <f>"6000"</f>
        <v>6000</v>
      </c>
      <c r="E9578" t="s">
        <v>6279</v>
      </c>
      <c r="F9578" t="s">
        <v>3750</v>
      </c>
      <c r="G9578" t="s">
        <v>16235</v>
      </c>
      <c r="H9578" t="s">
        <v>47054</v>
      </c>
      <c r="I9578" t="s">
        <v>47118</v>
      </c>
      <c r="J9578" t="s">
        <v>47119</v>
      </c>
      <c r="K9578" t="s">
        <v>47113</v>
      </c>
      <c r="L9578">
        <v>21.12</v>
      </c>
      <c r="M9578">
        <v>70</v>
      </c>
      <c r="N9578">
        <v>189</v>
      </c>
      <c r="O9578">
        <v>70</v>
      </c>
      <c r="P9578">
        <v>189</v>
      </c>
    </row>
    <row r="9579" spans="1:16" x14ac:dyDescent="0.25">
      <c r="A9579" t="s">
        <v>32198</v>
      </c>
      <c r="B9579" t="s">
        <v>20419</v>
      </c>
      <c r="C9579" t="s">
        <v>20420</v>
      </c>
      <c r="D9579" t="str">
        <f>"6433"</f>
        <v>6433</v>
      </c>
      <c r="E9579" t="s">
        <v>7168</v>
      </c>
      <c r="F9579" t="s">
        <v>3750</v>
      </c>
      <c r="G9579" t="s">
        <v>16235</v>
      </c>
      <c r="H9579" t="s">
        <v>47054</v>
      </c>
      <c r="I9579" t="s">
        <v>47118</v>
      </c>
      <c r="J9579" t="s">
        <v>47119</v>
      </c>
      <c r="K9579" t="s">
        <v>47113</v>
      </c>
      <c r="L9579">
        <v>21.12</v>
      </c>
      <c r="M9579">
        <v>70</v>
      </c>
      <c r="N9579">
        <v>189</v>
      </c>
      <c r="O9579">
        <v>70</v>
      </c>
      <c r="P9579">
        <v>189</v>
      </c>
    </row>
    <row r="9580" spans="1:16" x14ac:dyDescent="0.25">
      <c r="A9580" t="s">
        <v>32199</v>
      </c>
      <c r="B9580" t="s">
        <v>32200</v>
      </c>
      <c r="C9580" t="s">
        <v>32201</v>
      </c>
      <c r="D9580" t="str">
        <f>"1406"</f>
        <v>1406</v>
      </c>
      <c r="E9580" t="s">
        <v>17197</v>
      </c>
      <c r="F9580" t="s">
        <v>3750</v>
      </c>
      <c r="G9580" t="s">
        <v>16222</v>
      </c>
      <c r="H9580" t="s">
        <v>47054</v>
      </c>
      <c r="I9580" t="s">
        <v>47118</v>
      </c>
      <c r="J9580" t="s">
        <v>47119</v>
      </c>
      <c r="K9580" t="s">
        <v>47113</v>
      </c>
      <c r="L9580">
        <v>18.350000000000001</v>
      </c>
      <c r="M9580">
        <v>63</v>
      </c>
      <c r="N9580">
        <v>169</v>
      </c>
      <c r="O9580">
        <v>63</v>
      </c>
      <c r="P9580">
        <v>169</v>
      </c>
    </row>
    <row r="9581" spans="1:16" x14ac:dyDescent="0.25">
      <c r="A9581" t="s">
        <v>32202</v>
      </c>
      <c r="B9581" t="s">
        <v>32203</v>
      </c>
      <c r="C9581" t="s">
        <v>32204</v>
      </c>
      <c r="D9581" t="str">
        <f>"1518"</f>
        <v>1518</v>
      </c>
      <c r="E9581" t="s">
        <v>32205</v>
      </c>
      <c r="F9581" t="s">
        <v>24617</v>
      </c>
      <c r="G9581" t="s">
        <v>16222</v>
      </c>
      <c r="H9581" t="s">
        <v>47054</v>
      </c>
      <c r="I9581" t="s">
        <v>47118</v>
      </c>
      <c r="J9581" t="s">
        <v>47119</v>
      </c>
      <c r="K9581" t="s">
        <v>47113</v>
      </c>
      <c r="L9581">
        <v>15.54</v>
      </c>
      <c r="M9581">
        <v>63</v>
      </c>
      <c r="N9581">
        <v>169</v>
      </c>
      <c r="O9581">
        <v>63</v>
      </c>
      <c r="P9581">
        <v>169</v>
      </c>
    </row>
    <row r="9582" spans="1:16" x14ac:dyDescent="0.25">
      <c r="A9582" t="s">
        <v>32206</v>
      </c>
      <c r="B9582" t="s">
        <v>32203</v>
      </c>
      <c r="C9582" t="s">
        <v>32204</v>
      </c>
      <c r="D9582" t="str">
        <f>"4767"</f>
        <v>4767</v>
      </c>
      <c r="E9582" t="s">
        <v>32175</v>
      </c>
      <c r="F9582" t="s">
        <v>24617</v>
      </c>
      <c r="G9582" t="s">
        <v>16222</v>
      </c>
      <c r="H9582" t="s">
        <v>47054</v>
      </c>
      <c r="I9582" t="s">
        <v>47118</v>
      </c>
      <c r="J9582" t="s">
        <v>47119</v>
      </c>
      <c r="K9582" t="s">
        <v>47113</v>
      </c>
      <c r="L9582">
        <v>14.96</v>
      </c>
      <c r="M9582">
        <v>63</v>
      </c>
      <c r="N9582">
        <v>169</v>
      </c>
      <c r="O9582">
        <v>63</v>
      </c>
      <c r="P9582">
        <v>169</v>
      </c>
    </row>
    <row r="9583" spans="1:16" x14ac:dyDescent="0.25">
      <c r="A9583" t="s">
        <v>32207</v>
      </c>
      <c r="B9583" t="s">
        <v>14514</v>
      </c>
      <c r="C9583" t="s">
        <v>14513</v>
      </c>
      <c r="D9583" t="str">
        <f>"3105"</f>
        <v>3105</v>
      </c>
      <c r="E9583" t="s">
        <v>8217</v>
      </c>
      <c r="F9583" t="s">
        <v>3750</v>
      </c>
      <c r="G9583" t="s">
        <v>16222</v>
      </c>
      <c r="H9583" t="s">
        <v>47054</v>
      </c>
      <c r="I9583" t="s">
        <v>47116</v>
      </c>
      <c r="J9583" t="s">
        <v>47117</v>
      </c>
      <c r="K9583" t="s">
        <v>47113</v>
      </c>
      <c r="L9583">
        <v>17.64</v>
      </c>
      <c r="M9583">
        <v>63</v>
      </c>
      <c r="N9583">
        <v>169</v>
      </c>
      <c r="O9583">
        <v>63</v>
      </c>
      <c r="P9583">
        <v>169</v>
      </c>
    </row>
    <row r="9584" spans="1:16" x14ac:dyDescent="0.25">
      <c r="A9584" t="s">
        <v>32208</v>
      </c>
      <c r="B9584" t="s">
        <v>14514</v>
      </c>
      <c r="C9584" t="s">
        <v>14513</v>
      </c>
      <c r="D9584" t="str">
        <f>"4100"</f>
        <v>4100</v>
      </c>
      <c r="E9584" t="s">
        <v>2383</v>
      </c>
      <c r="F9584" t="s">
        <v>3750</v>
      </c>
      <c r="G9584" t="s">
        <v>16222</v>
      </c>
      <c r="H9584" t="s">
        <v>47054</v>
      </c>
      <c r="I9584" t="s">
        <v>47116</v>
      </c>
      <c r="J9584" t="s">
        <v>47117</v>
      </c>
      <c r="K9584" t="s">
        <v>47113</v>
      </c>
      <c r="L9584">
        <v>16.13</v>
      </c>
      <c r="M9584">
        <v>44</v>
      </c>
      <c r="N9584">
        <v>0</v>
      </c>
      <c r="O9584">
        <v>44</v>
      </c>
      <c r="P9584">
        <v>0</v>
      </c>
    </row>
    <row r="9585" spans="1:16" x14ac:dyDescent="0.25">
      <c r="A9585" t="s">
        <v>32209</v>
      </c>
      <c r="B9585" t="s">
        <v>14514</v>
      </c>
      <c r="C9585" t="s">
        <v>14513</v>
      </c>
      <c r="D9585" t="str">
        <f>"6000"</f>
        <v>6000</v>
      </c>
      <c r="E9585" t="s">
        <v>238</v>
      </c>
      <c r="F9585" t="s">
        <v>3750</v>
      </c>
      <c r="G9585" t="s">
        <v>16222</v>
      </c>
      <c r="H9585" t="s">
        <v>47054</v>
      </c>
      <c r="I9585" t="s">
        <v>47116</v>
      </c>
      <c r="J9585" t="s">
        <v>47117</v>
      </c>
      <c r="K9585" t="s">
        <v>47113</v>
      </c>
      <c r="L9585">
        <v>16.13</v>
      </c>
      <c r="M9585">
        <v>44</v>
      </c>
      <c r="N9585">
        <v>0</v>
      </c>
      <c r="O9585">
        <v>44</v>
      </c>
      <c r="P9585">
        <v>0</v>
      </c>
    </row>
    <row r="9586" spans="1:16" x14ac:dyDescent="0.25">
      <c r="A9586" t="s">
        <v>32210</v>
      </c>
      <c r="B9586" t="s">
        <v>14254</v>
      </c>
      <c r="C9586" t="s">
        <v>14255</v>
      </c>
      <c r="D9586" t="str">
        <f>"1001"</f>
        <v>1001</v>
      </c>
      <c r="E9586" t="s">
        <v>42</v>
      </c>
      <c r="F9586" t="s">
        <v>3750</v>
      </c>
      <c r="G9586" t="s">
        <v>16222</v>
      </c>
      <c r="H9586" t="s">
        <v>47054</v>
      </c>
      <c r="I9586" t="s">
        <v>47116</v>
      </c>
      <c r="J9586" t="s">
        <v>47117</v>
      </c>
      <c r="K9586" t="s">
        <v>47113</v>
      </c>
      <c r="L9586">
        <v>16.23</v>
      </c>
      <c r="M9586">
        <v>44</v>
      </c>
      <c r="N9586">
        <v>0</v>
      </c>
      <c r="O9586">
        <v>44</v>
      </c>
      <c r="P9586">
        <v>0</v>
      </c>
    </row>
    <row r="9587" spans="1:16" x14ac:dyDescent="0.25">
      <c r="A9587" t="s">
        <v>32211</v>
      </c>
      <c r="B9587" t="s">
        <v>14254</v>
      </c>
      <c r="C9587" t="s">
        <v>14255</v>
      </c>
      <c r="D9587" t="str">
        <f>"6433"</f>
        <v>6433</v>
      </c>
      <c r="E9587" t="s">
        <v>7168</v>
      </c>
      <c r="F9587" t="s">
        <v>3750</v>
      </c>
      <c r="G9587" t="s">
        <v>16222</v>
      </c>
      <c r="H9587" t="s">
        <v>47054</v>
      </c>
      <c r="I9587" t="s">
        <v>47116</v>
      </c>
      <c r="J9587" t="s">
        <v>47117</v>
      </c>
      <c r="K9587" t="s">
        <v>47113</v>
      </c>
      <c r="L9587">
        <v>16.23</v>
      </c>
      <c r="M9587">
        <v>44</v>
      </c>
      <c r="N9587">
        <v>0</v>
      </c>
      <c r="O9587">
        <v>44</v>
      </c>
      <c r="P9587">
        <v>0</v>
      </c>
    </row>
    <row r="9588" spans="1:16" x14ac:dyDescent="0.25">
      <c r="A9588" t="s">
        <v>32212</v>
      </c>
      <c r="B9588" t="s">
        <v>17476</v>
      </c>
      <c r="C9588" t="s">
        <v>17477</v>
      </c>
      <c r="D9588" t="str">
        <f>"1106"</f>
        <v>1106</v>
      </c>
      <c r="E9588" t="s">
        <v>460</v>
      </c>
      <c r="F9588" t="s">
        <v>17473</v>
      </c>
      <c r="G9588" t="s">
        <v>16222</v>
      </c>
      <c r="H9588" t="s">
        <v>47054</v>
      </c>
      <c r="I9588" t="s">
        <v>47116</v>
      </c>
      <c r="J9588" t="s">
        <v>47117</v>
      </c>
      <c r="K9588" t="s">
        <v>47113</v>
      </c>
      <c r="L9588">
        <v>15.3</v>
      </c>
      <c r="M9588">
        <v>43</v>
      </c>
      <c r="N9588">
        <v>0</v>
      </c>
      <c r="O9588">
        <v>43</v>
      </c>
      <c r="P9588">
        <v>0</v>
      </c>
    </row>
    <row r="9589" spans="1:16" x14ac:dyDescent="0.25">
      <c r="A9589" t="s">
        <v>32213</v>
      </c>
      <c r="B9589" t="s">
        <v>17476</v>
      </c>
      <c r="C9589" t="s">
        <v>17477</v>
      </c>
      <c r="D9589" t="str">
        <f>"6000"</f>
        <v>6000</v>
      </c>
      <c r="E9589" t="s">
        <v>6279</v>
      </c>
      <c r="F9589" t="s">
        <v>3750</v>
      </c>
      <c r="G9589" t="s">
        <v>16222</v>
      </c>
      <c r="H9589" t="s">
        <v>47054</v>
      </c>
      <c r="I9589" t="s">
        <v>47116</v>
      </c>
      <c r="J9589" t="s">
        <v>47117</v>
      </c>
      <c r="K9589" t="s">
        <v>47113</v>
      </c>
      <c r="L9589">
        <v>15.3</v>
      </c>
      <c r="M9589">
        <v>43</v>
      </c>
      <c r="N9589">
        <v>0</v>
      </c>
      <c r="O9589">
        <v>43</v>
      </c>
      <c r="P9589">
        <v>0</v>
      </c>
    </row>
    <row r="9590" spans="1:16" x14ac:dyDescent="0.25">
      <c r="A9590" t="s">
        <v>32214</v>
      </c>
      <c r="B9590" t="s">
        <v>17478</v>
      </c>
      <c r="C9590" t="s">
        <v>17479</v>
      </c>
      <c r="D9590" t="str">
        <f>"1096"</f>
        <v>1096</v>
      </c>
      <c r="E9590" t="s">
        <v>4744</v>
      </c>
      <c r="F9590" t="s">
        <v>3750</v>
      </c>
      <c r="G9590" t="s">
        <v>16222</v>
      </c>
      <c r="H9590" t="s">
        <v>47054</v>
      </c>
      <c r="I9590" t="s">
        <v>47116</v>
      </c>
      <c r="J9590" t="s">
        <v>47117</v>
      </c>
      <c r="K9590" t="s">
        <v>47113</v>
      </c>
      <c r="L9590">
        <v>10.95</v>
      </c>
      <c r="M9590">
        <v>32</v>
      </c>
      <c r="N9590">
        <v>0</v>
      </c>
      <c r="O9590">
        <v>32</v>
      </c>
      <c r="P9590">
        <v>0</v>
      </c>
    </row>
    <row r="9591" spans="1:16" x14ac:dyDescent="0.25">
      <c r="A9591" t="s">
        <v>32215</v>
      </c>
      <c r="B9591" t="s">
        <v>17478</v>
      </c>
      <c r="C9591" t="s">
        <v>17479</v>
      </c>
      <c r="D9591" t="str">
        <f>"1427"</f>
        <v>1427</v>
      </c>
      <c r="E9591" t="s">
        <v>17468</v>
      </c>
      <c r="F9591" t="s">
        <v>3750</v>
      </c>
      <c r="G9591" t="s">
        <v>16222</v>
      </c>
      <c r="H9591" t="s">
        <v>47054</v>
      </c>
      <c r="I9591" t="s">
        <v>47116</v>
      </c>
      <c r="J9591" t="s">
        <v>47117</v>
      </c>
      <c r="K9591" t="s">
        <v>47113</v>
      </c>
      <c r="L9591">
        <v>10.95</v>
      </c>
      <c r="M9591">
        <v>32</v>
      </c>
      <c r="N9591">
        <v>0</v>
      </c>
      <c r="O9591">
        <v>32</v>
      </c>
      <c r="P9591">
        <v>0</v>
      </c>
    </row>
    <row r="9592" spans="1:16" x14ac:dyDescent="0.25">
      <c r="A9592" t="s">
        <v>32216</v>
      </c>
      <c r="B9592" t="s">
        <v>17480</v>
      </c>
      <c r="C9592" t="s">
        <v>17481</v>
      </c>
      <c r="D9592" t="str">
        <f>"2707"</f>
        <v>2707</v>
      </c>
      <c r="E9592" t="s">
        <v>3019</v>
      </c>
      <c r="F9592" t="s">
        <v>17473</v>
      </c>
      <c r="G9592" t="s">
        <v>16222</v>
      </c>
      <c r="H9592" t="s">
        <v>47054</v>
      </c>
      <c r="I9592" t="s">
        <v>47116</v>
      </c>
      <c r="J9592" t="s">
        <v>47117</v>
      </c>
      <c r="K9592" t="s">
        <v>47113</v>
      </c>
      <c r="L9592">
        <v>14.83</v>
      </c>
      <c r="M9592">
        <v>42</v>
      </c>
      <c r="N9592">
        <v>0</v>
      </c>
      <c r="O9592">
        <v>42</v>
      </c>
      <c r="P9592">
        <v>0</v>
      </c>
    </row>
    <row r="9593" spans="1:16" x14ac:dyDescent="0.25">
      <c r="A9593" t="s">
        <v>32217</v>
      </c>
      <c r="B9593" t="s">
        <v>17480</v>
      </c>
      <c r="C9593" t="s">
        <v>17481</v>
      </c>
      <c r="D9593" t="str">
        <f>"4739"</f>
        <v>4739</v>
      </c>
      <c r="E9593" t="s">
        <v>16515</v>
      </c>
      <c r="F9593" t="s">
        <v>17473</v>
      </c>
      <c r="G9593" t="s">
        <v>16222</v>
      </c>
      <c r="H9593" t="s">
        <v>47054</v>
      </c>
      <c r="I9593" t="s">
        <v>47116</v>
      </c>
      <c r="J9593" t="s">
        <v>47117</v>
      </c>
      <c r="K9593" t="s">
        <v>47113</v>
      </c>
      <c r="L9593">
        <v>14.83</v>
      </c>
      <c r="M9593">
        <v>42</v>
      </c>
      <c r="N9593">
        <v>0</v>
      </c>
      <c r="O9593">
        <v>42</v>
      </c>
      <c r="P9593">
        <v>0</v>
      </c>
    </row>
    <row r="9594" spans="1:16" x14ac:dyDescent="0.25">
      <c r="A9594" t="s">
        <v>32218</v>
      </c>
      <c r="B9594" t="s">
        <v>17482</v>
      </c>
      <c r="C9594" t="s">
        <v>17483</v>
      </c>
      <c r="D9594" t="str">
        <f>"1001"</f>
        <v>1001</v>
      </c>
      <c r="E9594" t="s">
        <v>42</v>
      </c>
      <c r="F9594" t="s">
        <v>3750</v>
      </c>
      <c r="G9594" t="s">
        <v>16222</v>
      </c>
      <c r="H9594" t="s">
        <v>47054</v>
      </c>
      <c r="I9594" t="s">
        <v>47111</v>
      </c>
      <c r="J9594" t="s">
        <v>47112</v>
      </c>
      <c r="K9594" t="s">
        <v>47113</v>
      </c>
      <c r="L9594">
        <v>20.63</v>
      </c>
      <c r="M9594">
        <v>46</v>
      </c>
      <c r="N9594">
        <v>0</v>
      </c>
      <c r="O9594">
        <v>46</v>
      </c>
      <c r="P9594">
        <v>0</v>
      </c>
    </row>
    <row r="9595" spans="1:16" x14ac:dyDescent="0.25">
      <c r="A9595" t="s">
        <v>32219</v>
      </c>
      <c r="B9595" t="s">
        <v>17482</v>
      </c>
      <c r="C9595" t="s">
        <v>17483</v>
      </c>
      <c r="D9595" t="str">
        <f>"1501"</f>
        <v>1501</v>
      </c>
      <c r="E9595" t="s">
        <v>46</v>
      </c>
      <c r="F9595" t="s">
        <v>3750</v>
      </c>
      <c r="G9595" t="s">
        <v>16222</v>
      </c>
      <c r="H9595" t="s">
        <v>47054</v>
      </c>
      <c r="I9595" t="s">
        <v>47111</v>
      </c>
      <c r="J9595" t="s">
        <v>47112</v>
      </c>
      <c r="K9595" t="s">
        <v>47113</v>
      </c>
      <c r="L9595">
        <v>20.63</v>
      </c>
      <c r="M9595">
        <v>46</v>
      </c>
      <c r="N9595">
        <v>0</v>
      </c>
      <c r="O9595">
        <v>46</v>
      </c>
      <c r="P9595">
        <v>0</v>
      </c>
    </row>
    <row r="9596" spans="1:16" x14ac:dyDescent="0.25">
      <c r="A9596" t="s">
        <v>32220</v>
      </c>
      <c r="B9596" t="s">
        <v>20421</v>
      </c>
      <c r="C9596" t="s">
        <v>20422</v>
      </c>
      <c r="D9596" t="str">
        <f>"1100"</f>
        <v>1100</v>
      </c>
      <c r="E9596" t="s">
        <v>20423</v>
      </c>
      <c r="F9596" t="s">
        <v>15183</v>
      </c>
      <c r="G9596" t="s">
        <v>16222</v>
      </c>
      <c r="H9596" t="s">
        <v>47054</v>
      </c>
      <c r="I9596" t="s">
        <v>47116</v>
      </c>
      <c r="J9596" t="s">
        <v>47117</v>
      </c>
      <c r="K9596" t="s">
        <v>47113</v>
      </c>
      <c r="L9596">
        <v>14.81</v>
      </c>
      <c r="M9596">
        <v>21</v>
      </c>
      <c r="N9596">
        <v>0</v>
      </c>
      <c r="O9596">
        <v>21</v>
      </c>
      <c r="P9596">
        <v>0</v>
      </c>
    </row>
    <row r="9597" spans="1:16" x14ac:dyDescent="0.25">
      <c r="A9597" t="s">
        <v>32221</v>
      </c>
      <c r="B9597" t="s">
        <v>20421</v>
      </c>
      <c r="C9597" t="s">
        <v>20422</v>
      </c>
      <c r="D9597" t="str">
        <f>"2707"</f>
        <v>2707</v>
      </c>
      <c r="E9597" t="s">
        <v>20424</v>
      </c>
      <c r="F9597" t="s">
        <v>15183</v>
      </c>
      <c r="G9597" t="s">
        <v>16222</v>
      </c>
      <c r="H9597" t="s">
        <v>47054</v>
      </c>
      <c r="I9597" t="s">
        <v>47116</v>
      </c>
      <c r="J9597" t="s">
        <v>47117</v>
      </c>
      <c r="K9597" t="s">
        <v>47113</v>
      </c>
      <c r="L9597">
        <v>14.81</v>
      </c>
      <c r="M9597">
        <v>21</v>
      </c>
      <c r="N9597">
        <v>0</v>
      </c>
      <c r="O9597">
        <v>21</v>
      </c>
      <c r="P9597">
        <v>0</v>
      </c>
    </row>
    <row r="9598" spans="1:16" x14ac:dyDescent="0.25">
      <c r="A9598" t="s">
        <v>32222</v>
      </c>
      <c r="B9598" t="s">
        <v>17484</v>
      </c>
      <c r="C9598" t="s">
        <v>17485</v>
      </c>
      <c r="D9598" t="str">
        <f>"1001"</f>
        <v>1001</v>
      </c>
      <c r="E9598" t="s">
        <v>42</v>
      </c>
      <c r="F9598" t="s">
        <v>3750</v>
      </c>
      <c r="G9598" t="s">
        <v>16222</v>
      </c>
      <c r="H9598" t="s">
        <v>47054</v>
      </c>
      <c r="I9598" t="s">
        <v>47116</v>
      </c>
      <c r="J9598" t="s">
        <v>47117</v>
      </c>
      <c r="K9598" t="s">
        <v>47113</v>
      </c>
      <c r="L9598">
        <v>10.95</v>
      </c>
      <c r="M9598">
        <v>32</v>
      </c>
      <c r="N9598">
        <v>0</v>
      </c>
      <c r="O9598">
        <v>32</v>
      </c>
      <c r="P9598">
        <v>0</v>
      </c>
    </row>
    <row r="9599" spans="1:16" x14ac:dyDescent="0.25">
      <c r="A9599" t="s">
        <v>32223</v>
      </c>
      <c r="B9599" t="s">
        <v>17484</v>
      </c>
      <c r="C9599" t="s">
        <v>17485</v>
      </c>
      <c r="D9599" t="str">
        <f>"1501"</f>
        <v>1501</v>
      </c>
      <c r="E9599" t="s">
        <v>46</v>
      </c>
      <c r="F9599" t="s">
        <v>3750</v>
      </c>
      <c r="G9599" t="s">
        <v>16222</v>
      </c>
      <c r="H9599" t="s">
        <v>47054</v>
      </c>
      <c r="I9599" t="s">
        <v>47116</v>
      </c>
      <c r="J9599" t="s">
        <v>47117</v>
      </c>
      <c r="K9599" t="s">
        <v>47113</v>
      </c>
      <c r="L9599">
        <v>11.96</v>
      </c>
      <c r="M9599">
        <v>34</v>
      </c>
      <c r="N9599">
        <v>0</v>
      </c>
      <c r="O9599">
        <v>34</v>
      </c>
      <c r="P9599">
        <v>0</v>
      </c>
    </row>
    <row r="9600" spans="1:16" x14ac:dyDescent="0.25">
      <c r="A9600" t="s">
        <v>32224</v>
      </c>
      <c r="B9600" t="s">
        <v>17484</v>
      </c>
      <c r="C9600" t="s">
        <v>17485</v>
      </c>
      <c r="D9600" t="str">
        <f>"6000"</f>
        <v>6000</v>
      </c>
      <c r="E9600" t="s">
        <v>238</v>
      </c>
      <c r="F9600" t="s">
        <v>3750</v>
      </c>
      <c r="G9600" t="s">
        <v>16222</v>
      </c>
      <c r="H9600" t="s">
        <v>47054</v>
      </c>
      <c r="I9600" t="s">
        <v>47116</v>
      </c>
      <c r="J9600" t="s">
        <v>47117</v>
      </c>
      <c r="K9600" t="s">
        <v>47113</v>
      </c>
      <c r="L9600">
        <v>10.95</v>
      </c>
      <c r="M9600">
        <v>32</v>
      </c>
      <c r="N9600">
        <v>0</v>
      </c>
      <c r="O9600">
        <v>32</v>
      </c>
      <c r="P9600">
        <v>0</v>
      </c>
    </row>
    <row r="9601" spans="1:16" x14ac:dyDescent="0.25">
      <c r="A9601" t="s">
        <v>32225</v>
      </c>
      <c r="B9601" t="s">
        <v>17486</v>
      </c>
      <c r="C9601" t="s">
        <v>17487</v>
      </c>
      <c r="D9601" t="str">
        <f>"1001"</f>
        <v>1001</v>
      </c>
      <c r="E9601" t="s">
        <v>42</v>
      </c>
      <c r="F9601" t="s">
        <v>15183</v>
      </c>
      <c r="G9601" t="s">
        <v>16222</v>
      </c>
      <c r="H9601" t="s">
        <v>47054</v>
      </c>
      <c r="I9601" t="s">
        <v>47116</v>
      </c>
      <c r="J9601" t="s">
        <v>47117</v>
      </c>
      <c r="K9601" t="s">
        <v>47113</v>
      </c>
      <c r="L9601">
        <v>16.350000000000001</v>
      </c>
      <c r="M9601">
        <v>53</v>
      </c>
      <c r="N9601">
        <v>0</v>
      </c>
      <c r="O9601">
        <v>53</v>
      </c>
      <c r="P9601">
        <v>0</v>
      </c>
    </row>
    <row r="9602" spans="1:16" x14ac:dyDescent="0.25">
      <c r="A9602" t="s">
        <v>32226</v>
      </c>
      <c r="B9602" t="s">
        <v>17486</v>
      </c>
      <c r="C9602" t="s">
        <v>17487</v>
      </c>
      <c r="D9602" t="str">
        <f>"6000"</f>
        <v>6000</v>
      </c>
      <c r="E9602" t="s">
        <v>6279</v>
      </c>
      <c r="F9602" t="s">
        <v>15183</v>
      </c>
      <c r="G9602" t="s">
        <v>16222</v>
      </c>
      <c r="H9602" t="s">
        <v>47054</v>
      </c>
      <c r="I9602" t="s">
        <v>47116</v>
      </c>
      <c r="J9602" t="s">
        <v>47117</v>
      </c>
      <c r="K9602" t="s">
        <v>47113</v>
      </c>
      <c r="L9602">
        <v>16.350000000000001</v>
      </c>
      <c r="M9602">
        <v>53</v>
      </c>
      <c r="N9602">
        <v>0</v>
      </c>
      <c r="O9602">
        <v>53</v>
      </c>
      <c r="P9602">
        <v>0</v>
      </c>
    </row>
    <row r="9603" spans="1:16" x14ac:dyDescent="0.25">
      <c r="A9603" t="s">
        <v>32227</v>
      </c>
      <c r="B9603" t="s">
        <v>17488</v>
      </c>
      <c r="C9603" t="s">
        <v>17489</v>
      </c>
      <c r="D9603" t="str">
        <f>"1001"</f>
        <v>1001</v>
      </c>
      <c r="E9603" t="s">
        <v>42</v>
      </c>
      <c r="F9603" t="s">
        <v>15183</v>
      </c>
      <c r="G9603" t="s">
        <v>16235</v>
      </c>
      <c r="H9603" t="s">
        <v>47054</v>
      </c>
      <c r="I9603" t="s">
        <v>47116</v>
      </c>
      <c r="J9603" t="s">
        <v>47117</v>
      </c>
      <c r="K9603" t="s">
        <v>47113</v>
      </c>
      <c r="L9603">
        <v>19.47</v>
      </c>
      <c r="M9603">
        <v>60</v>
      </c>
      <c r="N9603">
        <v>0</v>
      </c>
      <c r="O9603">
        <v>60</v>
      </c>
      <c r="P9603">
        <v>0</v>
      </c>
    </row>
    <row r="9604" spans="1:16" x14ac:dyDescent="0.25">
      <c r="A9604" t="s">
        <v>32228</v>
      </c>
      <c r="B9604" t="s">
        <v>17488</v>
      </c>
      <c r="C9604" t="s">
        <v>17489</v>
      </c>
      <c r="D9604" t="str">
        <f>"6000"</f>
        <v>6000</v>
      </c>
      <c r="E9604" t="s">
        <v>6279</v>
      </c>
      <c r="F9604" t="s">
        <v>15183</v>
      </c>
      <c r="G9604" t="s">
        <v>16235</v>
      </c>
      <c r="H9604" t="s">
        <v>47054</v>
      </c>
      <c r="I9604" t="s">
        <v>47116</v>
      </c>
      <c r="J9604" t="s">
        <v>47117</v>
      </c>
      <c r="K9604" t="s">
        <v>47113</v>
      </c>
      <c r="L9604">
        <v>19.47</v>
      </c>
      <c r="M9604">
        <v>60</v>
      </c>
      <c r="N9604">
        <v>0</v>
      </c>
      <c r="O9604">
        <v>60</v>
      </c>
      <c r="P9604">
        <v>0</v>
      </c>
    </row>
    <row r="9605" spans="1:16" x14ac:dyDescent="0.25">
      <c r="A9605" t="s">
        <v>32229</v>
      </c>
      <c r="B9605" t="s">
        <v>32230</v>
      </c>
      <c r="C9605" t="s">
        <v>32231</v>
      </c>
      <c r="D9605" t="str">
        <f>"1001"</f>
        <v>1001</v>
      </c>
      <c r="E9605" t="s">
        <v>42</v>
      </c>
      <c r="F9605" t="s">
        <v>3750</v>
      </c>
      <c r="G9605" t="s">
        <v>16235</v>
      </c>
      <c r="H9605" t="s">
        <v>47054</v>
      </c>
      <c r="I9605" t="s">
        <v>47118</v>
      </c>
      <c r="J9605" t="s">
        <v>47119</v>
      </c>
      <c r="K9605" t="s">
        <v>47113</v>
      </c>
      <c r="L9605">
        <v>19.86</v>
      </c>
      <c r="M9605">
        <v>70</v>
      </c>
      <c r="N9605">
        <v>189</v>
      </c>
      <c r="O9605">
        <v>70</v>
      </c>
      <c r="P9605">
        <v>189</v>
      </c>
    </row>
    <row r="9606" spans="1:16" x14ac:dyDescent="0.25">
      <c r="A9606" t="s">
        <v>32232</v>
      </c>
      <c r="B9606" t="s">
        <v>32230</v>
      </c>
      <c r="C9606" t="s">
        <v>32231</v>
      </c>
      <c r="D9606" t="str">
        <f>"6000"</f>
        <v>6000</v>
      </c>
      <c r="E9606" t="s">
        <v>6279</v>
      </c>
      <c r="F9606" t="s">
        <v>3750</v>
      </c>
      <c r="G9606" t="s">
        <v>16235</v>
      </c>
      <c r="H9606" t="s">
        <v>47054</v>
      </c>
      <c r="I9606" t="s">
        <v>47118</v>
      </c>
      <c r="J9606" t="s">
        <v>47119</v>
      </c>
      <c r="K9606" t="s">
        <v>47113</v>
      </c>
      <c r="L9606">
        <v>19.86</v>
      </c>
      <c r="M9606">
        <v>70</v>
      </c>
      <c r="N9606">
        <v>189</v>
      </c>
      <c r="O9606">
        <v>70</v>
      </c>
      <c r="P9606">
        <v>189</v>
      </c>
    </row>
    <row r="9607" spans="1:16" x14ac:dyDescent="0.25">
      <c r="A9607" t="s">
        <v>32233</v>
      </c>
      <c r="B9607" t="s">
        <v>17490</v>
      </c>
      <c r="C9607" t="s">
        <v>17491</v>
      </c>
      <c r="D9607" t="str">
        <f>"1001"</f>
        <v>1001</v>
      </c>
      <c r="E9607" t="s">
        <v>42</v>
      </c>
      <c r="F9607" t="s">
        <v>3750</v>
      </c>
      <c r="G9607" t="s">
        <v>16235</v>
      </c>
      <c r="H9607" t="s">
        <v>47054</v>
      </c>
      <c r="I9607" t="s">
        <v>47111</v>
      </c>
      <c r="J9607" t="s">
        <v>47112</v>
      </c>
      <c r="K9607" t="s">
        <v>47113</v>
      </c>
      <c r="L9607">
        <v>19.420000000000002</v>
      </c>
      <c r="M9607">
        <v>54</v>
      </c>
      <c r="N9607">
        <v>0</v>
      </c>
      <c r="O9607">
        <v>54</v>
      </c>
      <c r="P9607">
        <v>0</v>
      </c>
    </row>
    <row r="9608" spans="1:16" x14ac:dyDescent="0.25">
      <c r="A9608" t="s">
        <v>32234</v>
      </c>
      <c r="B9608" t="s">
        <v>17490</v>
      </c>
      <c r="C9608" t="s">
        <v>17491</v>
      </c>
      <c r="D9608" t="str">
        <f>"1501"</f>
        <v>1501</v>
      </c>
      <c r="E9608" t="s">
        <v>46</v>
      </c>
      <c r="F9608" t="s">
        <v>3750</v>
      </c>
      <c r="G9608" t="s">
        <v>16235</v>
      </c>
      <c r="H9608" t="s">
        <v>47054</v>
      </c>
      <c r="I9608" t="s">
        <v>47111</v>
      </c>
      <c r="J9608" t="s">
        <v>47112</v>
      </c>
      <c r="K9608" t="s">
        <v>47113</v>
      </c>
      <c r="L9608">
        <v>19.420000000000002</v>
      </c>
      <c r="M9608">
        <v>54</v>
      </c>
      <c r="N9608">
        <v>0</v>
      </c>
      <c r="O9608">
        <v>54</v>
      </c>
      <c r="P9608">
        <v>0</v>
      </c>
    </row>
    <row r="9609" spans="1:16" x14ac:dyDescent="0.25">
      <c r="A9609" t="s">
        <v>32235</v>
      </c>
      <c r="B9609" t="s">
        <v>20425</v>
      </c>
      <c r="C9609" t="s">
        <v>20426</v>
      </c>
      <c r="D9609" t="str">
        <f>"1095"</f>
        <v>1095</v>
      </c>
      <c r="E9609" t="s">
        <v>20427</v>
      </c>
      <c r="F9609" t="s">
        <v>3750</v>
      </c>
      <c r="G9609" t="s">
        <v>16235</v>
      </c>
      <c r="H9609" t="s">
        <v>47054</v>
      </c>
      <c r="I9609" t="s">
        <v>47118</v>
      </c>
      <c r="J9609" t="s">
        <v>47119</v>
      </c>
      <c r="K9609" t="s">
        <v>47113</v>
      </c>
      <c r="L9609">
        <v>19.239999999999998</v>
      </c>
      <c r="M9609">
        <v>60</v>
      </c>
      <c r="N9609">
        <v>0</v>
      </c>
      <c r="O9609">
        <v>60</v>
      </c>
      <c r="P9609">
        <v>0</v>
      </c>
    </row>
    <row r="9610" spans="1:16" x14ac:dyDescent="0.25">
      <c r="A9610" t="s">
        <v>32236</v>
      </c>
      <c r="B9610" t="s">
        <v>20425</v>
      </c>
      <c r="C9610" t="s">
        <v>20426</v>
      </c>
      <c r="D9610" t="str">
        <f>"1475"</f>
        <v>1475</v>
      </c>
      <c r="E9610" t="s">
        <v>20428</v>
      </c>
      <c r="F9610" t="s">
        <v>3750</v>
      </c>
      <c r="G9610" t="s">
        <v>16235</v>
      </c>
      <c r="H9610" t="s">
        <v>47054</v>
      </c>
      <c r="I9610" t="s">
        <v>47118</v>
      </c>
      <c r="J9610" t="s">
        <v>47119</v>
      </c>
      <c r="K9610" t="s">
        <v>47113</v>
      </c>
      <c r="L9610">
        <v>19.239999999999998</v>
      </c>
      <c r="M9610">
        <v>60</v>
      </c>
      <c r="N9610">
        <v>0</v>
      </c>
      <c r="O9610">
        <v>60</v>
      </c>
      <c r="P9610">
        <v>0</v>
      </c>
    </row>
    <row r="9611" spans="1:16" x14ac:dyDescent="0.25">
      <c r="A9611" t="s">
        <v>32237</v>
      </c>
      <c r="B9611" t="s">
        <v>20429</v>
      </c>
      <c r="C9611" t="s">
        <v>20430</v>
      </c>
      <c r="D9611" t="str">
        <f>"1078"</f>
        <v>1078</v>
      </c>
      <c r="E9611" t="s">
        <v>20431</v>
      </c>
      <c r="F9611" t="s">
        <v>3750</v>
      </c>
      <c r="G9611" t="s">
        <v>16222</v>
      </c>
      <c r="H9611" t="s">
        <v>47054</v>
      </c>
      <c r="I9611" t="s">
        <v>47118</v>
      </c>
      <c r="J9611" t="s">
        <v>47119</v>
      </c>
      <c r="K9611" t="s">
        <v>47113</v>
      </c>
      <c r="L9611">
        <v>16.010000000000002</v>
      </c>
      <c r="M9611">
        <v>54</v>
      </c>
      <c r="N9611">
        <v>0</v>
      </c>
      <c r="O9611">
        <v>54</v>
      </c>
      <c r="P9611">
        <v>0</v>
      </c>
    </row>
    <row r="9612" spans="1:16" x14ac:dyDescent="0.25">
      <c r="A9612" t="s">
        <v>32238</v>
      </c>
      <c r="B9612" t="s">
        <v>20429</v>
      </c>
      <c r="C9612" t="s">
        <v>20430</v>
      </c>
      <c r="D9612" t="str">
        <f>"1475"</f>
        <v>1475</v>
      </c>
      <c r="E9612" t="s">
        <v>20428</v>
      </c>
      <c r="F9612" t="s">
        <v>3750</v>
      </c>
      <c r="G9612" t="s">
        <v>16222</v>
      </c>
      <c r="H9612" t="s">
        <v>47054</v>
      </c>
      <c r="I9612" t="s">
        <v>47118</v>
      </c>
      <c r="J9612" t="s">
        <v>47119</v>
      </c>
      <c r="K9612" t="s">
        <v>47113</v>
      </c>
      <c r="L9612">
        <v>16.010000000000002</v>
      </c>
      <c r="M9612">
        <v>54</v>
      </c>
      <c r="N9612">
        <v>0</v>
      </c>
      <c r="O9612">
        <v>54</v>
      </c>
      <c r="P9612">
        <v>0</v>
      </c>
    </row>
    <row r="9613" spans="1:16" x14ac:dyDescent="0.25">
      <c r="A9613" t="s">
        <v>32239</v>
      </c>
      <c r="B9613" t="s">
        <v>20432</v>
      </c>
      <c r="C9613" t="s">
        <v>20433</v>
      </c>
      <c r="D9613" t="str">
        <f>"1501"</f>
        <v>1501</v>
      </c>
      <c r="E9613" t="s">
        <v>46</v>
      </c>
      <c r="F9613" t="s">
        <v>3750</v>
      </c>
      <c r="G9613" t="s">
        <v>16235</v>
      </c>
      <c r="H9613" t="s">
        <v>47054</v>
      </c>
      <c r="I9613" t="s">
        <v>47118</v>
      </c>
      <c r="J9613" t="s">
        <v>47119</v>
      </c>
      <c r="K9613" t="s">
        <v>47113</v>
      </c>
      <c r="L9613">
        <v>18.03</v>
      </c>
      <c r="M9613">
        <v>52</v>
      </c>
      <c r="N9613">
        <v>0</v>
      </c>
      <c r="O9613">
        <v>52</v>
      </c>
      <c r="P9613">
        <v>0</v>
      </c>
    </row>
    <row r="9614" spans="1:16" x14ac:dyDescent="0.25">
      <c r="A9614" t="s">
        <v>32240</v>
      </c>
      <c r="B9614" t="s">
        <v>20432</v>
      </c>
      <c r="C9614" t="s">
        <v>20433</v>
      </c>
      <c r="D9614" t="str">
        <f>"4100"</f>
        <v>4100</v>
      </c>
      <c r="E9614" t="s">
        <v>17644</v>
      </c>
      <c r="F9614" t="s">
        <v>3750</v>
      </c>
      <c r="G9614" t="s">
        <v>16235</v>
      </c>
      <c r="H9614" t="s">
        <v>47054</v>
      </c>
      <c r="I9614" t="s">
        <v>47118</v>
      </c>
      <c r="J9614" t="s">
        <v>47119</v>
      </c>
      <c r="K9614" t="s">
        <v>47113</v>
      </c>
      <c r="L9614">
        <v>18.03</v>
      </c>
      <c r="M9614">
        <v>52</v>
      </c>
      <c r="N9614">
        <v>0</v>
      </c>
      <c r="O9614">
        <v>52</v>
      </c>
      <c r="P9614">
        <v>0</v>
      </c>
    </row>
    <row r="9615" spans="1:16" x14ac:dyDescent="0.25">
      <c r="A9615" t="s">
        <v>32241</v>
      </c>
      <c r="B9615" t="s">
        <v>32242</v>
      </c>
      <c r="C9615" t="s">
        <v>32243</v>
      </c>
      <c r="D9615" t="str">
        <f>"1427"</f>
        <v>1427</v>
      </c>
      <c r="E9615" t="s">
        <v>32167</v>
      </c>
      <c r="F9615" t="s">
        <v>3750</v>
      </c>
      <c r="G9615" t="s">
        <v>16222</v>
      </c>
      <c r="H9615" t="s">
        <v>47054</v>
      </c>
      <c r="I9615" t="s">
        <v>47118</v>
      </c>
      <c r="J9615" t="s">
        <v>47119</v>
      </c>
      <c r="K9615" t="s">
        <v>47113</v>
      </c>
      <c r="L9615">
        <v>16.850000000000001</v>
      </c>
      <c r="M9615">
        <v>63</v>
      </c>
      <c r="N9615">
        <v>169</v>
      </c>
      <c r="O9615">
        <v>63</v>
      </c>
      <c r="P9615">
        <v>169</v>
      </c>
    </row>
    <row r="9616" spans="1:16" x14ac:dyDescent="0.25">
      <c r="A9616" t="s">
        <v>32244</v>
      </c>
      <c r="B9616" t="s">
        <v>32242</v>
      </c>
      <c r="C9616" t="s">
        <v>32243</v>
      </c>
      <c r="D9616" t="str">
        <f>"6432"</f>
        <v>6432</v>
      </c>
      <c r="E9616" t="s">
        <v>32169</v>
      </c>
      <c r="F9616" t="s">
        <v>3750</v>
      </c>
      <c r="G9616" t="s">
        <v>16222</v>
      </c>
      <c r="H9616" t="s">
        <v>47054</v>
      </c>
      <c r="I9616" t="s">
        <v>47118</v>
      </c>
      <c r="J9616" t="s">
        <v>47119</v>
      </c>
      <c r="K9616" t="s">
        <v>47113</v>
      </c>
      <c r="L9616">
        <v>16.850000000000001</v>
      </c>
      <c r="M9616">
        <v>63</v>
      </c>
      <c r="N9616">
        <v>169</v>
      </c>
      <c r="O9616">
        <v>63</v>
      </c>
      <c r="P9616">
        <v>169</v>
      </c>
    </row>
    <row r="9617" spans="1:16" x14ac:dyDescent="0.25">
      <c r="A9617" t="s">
        <v>48022</v>
      </c>
      <c r="B9617" t="s">
        <v>48023</v>
      </c>
      <c r="C9617" t="s">
        <v>48024</v>
      </c>
      <c r="D9617" t="str">
        <f>"1096"</f>
        <v>1096</v>
      </c>
      <c r="E9617" t="s">
        <v>4744</v>
      </c>
      <c r="F9617" t="s">
        <v>47185</v>
      </c>
      <c r="G9617" t="s">
        <v>16222</v>
      </c>
      <c r="H9617" t="s">
        <v>47054</v>
      </c>
      <c r="I9617" t="s">
        <v>47118</v>
      </c>
      <c r="J9617" t="s">
        <v>47119</v>
      </c>
      <c r="K9617" t="s">
        <v>47113</v>
      </c>
      <c r="L9617">
        <v>16.04</v>
      </c>
      <c r="M9617">
        <v>59</v>
      </c>
      <c r="N9617">
        <v>159</v>
      </c>
      <c r="O9617">
        <v>59</v>
      </c>
      <c r="P9617">
        <v>159</v>
      </c>
    </row>
    <row r="9618" spans="1:16" x14ac:dyDescent="0.25">
      <c r="A9618" t="s">
        <v>32245</v>
      </c>
      <c r="B9618" t="s">
        <v>32246</v>
      </c>
      <c r="C9618" t="s">
        <v>32247</v>
      </c>
      <c r="D9618" t="str">
        <f>"1200"</f>
        <v>1200</v>
      </c>
      <c r="E9618" t="s">
        <v>32248</v>
      </c>
      <c r="F9618" t="s">
        <v>3750</v>
      </c>
      <c r="G9618" t="s">
        <v>16235</v>
      </c>
      <c r="H9618" t="s">
        <v>47054</v>
      </c>
      <c r="I9618" t="s">
        <v>47118</v>
      </c>
      <c r="J9618" t="s">
        <v>47119</v>
      </c>
      <c r="K9618" t="s">
        <v>47113</v>
      </c>
      <c r="L9618">
        <v>17.559999999999999</v>
      </c>
      <c r="M9618">
        <v>70</v>
      </c>
      <c r="N9618">
        <v>189</v>
      </c>
      <c r="O9618">
        <v>70</v>
      </c>
      <c r="P9618">
        <v>189</v>
      </c>
    </row>
    <row r="9619" spans="1:16" x14ac:dyDescent="0.25">
      <c r="A9619" t="s">
        <v>32249</v>
      </c>
      <c r="B9619" t="s">
        <v>32246</v>
      </c>
      <c r="C9619" t="s">
        <v>32247</v>
      </c>
      <c r="D9619" t="str">
        <f>"1406"</f>
        <v>1406</v>
      </c>
      <c r="E9619" t="s">
        <v>17197</v>
      </c>
      <c r="F9619" t="s">
        <v>3750</v>
      </c>
      <c r="G9619" t="s">
        <v>16235</v>
      </c>
      <c r="H9619" t="s">
        <v>47054</v>
      </c>
      <c r="I9619" t="s">
        <v>47118</v>
      </c>
      <c r="J9619" t="s">
        <v>47119</v>
      </c>
      <c r="K9619" t="s">
        <v>47113</v>
      </c>
      <c r="L9619">
        <v>17.73</v>
      </c>
      <c r="M9619">
        <v>70</v>
      </c>
      <c r="N9619">
        <v>189</v>
      </c>
      <c r="O9619">
        <v>70</v>
      </c>
      <c r="P9619">
        <v>189</v>
      </c>
    </row>
    <row r="9620" spans="1:16" x14ac:dyDescent="0.25">
      <c r="A9620" t="s">
        <v>48025</v>
      </c>
      <c r="B9620" t="s">
        <v>48026</v>
      </c>
      <c r="C9620" t="s">
        <v>48027</v>
      </c>
      <c r="D9620" t="str">
        <f>"1096"</f>
        <v>1096</v>
      </c>
      <c r="E9620" t="s">
        <v>4744</v>
      </c>
      <c r="F9620" t="s">
        <v>47185</v>
      </c>
      <c r="G9620" t="s">
        <v>16235</v>
      </c>
      <c r="H9620" t="s">
        <v>47054</v>
      </c>
      <c r="I9620" t="s">
        <v>47118</v>
      </c>
      <c r="J9620" t="s">
        <v>47119</v>
      </c>
      <c r="K9620" t="s">
        <v>47113</v>
      </c>
      <c r="L9620">
        <v>17.260000000000002</v>
      </c>
      <c r="M9620">
        <v>63</v>
      </c>
      <c r="N9620">
        <v>169</v>
      </c>
      <c r="O9620">
        <v>63</v>
      </c>
      <c r="P9620">
        <v>169</v>
      </c>
    </row>
    <row r="9621" spans="1:16" x14ac:dyDescent="0.25">
      <c r="A9621" t="s">
        <v>48028</v>
      </c>
      <c r="B9621" t="s">
        <v>48029</v>
      </c>
      <c r="C9621" t="s">
        <v>48030</v>
      </c>
      <c r="D9621" t="str">
        <f>"1001"</f>
        <v>1001</v>
      </c>
      <c r="E9621" t="s">
        <v>42</v>
      </c>
      <c r="F9621" t="s">
        <v>47171</v>
      </c>
      <c r="G9621" t="s">
        <v>16235</v>
      </c>
      <c r="H9621" t="s">
        <v>47054</v>
      </c>
      <c r="I9621" t="s">
        <v>47118</v>
      </c>
      <c r="J9621" t="s">
        <v>47119</v>
      </c>
      <c r="K9621" t="s">
        <v>47113</v>
      </c>
      <c r="L9621">
        <v>18.34</v>
      </c>
      <c r="M9621">
        <v>85</v>
      </c>
      <c r="N9621">
        <v>229</v>
      </c>
      <c r="O9621">
        <v>85</v>
      </c>
      <c r="P9621">
        <v>229</v>
      </c>
    </row>
    <row r="9622" spans="1:16" x14ac:dyDescent="0.25">
      <c r="A9622" t="s">
        <v>48031</v>
      </c>
      <c r="B9622" t="s">
        <v>48029</v>
      </c>
      <c r="C9622" t="s">
        <v>48030</v>
      </c>
      <c r="D9622" t="str">
        <f>"3106"</f>
        <v>3106</v>
      </c>
      <c r="E9622" t="s">
        <v>230</v>
      </c>
      <c r="F9622" t="s">
        <v>47171</v>
      </c>
      <c r="G9622" t="s">
        <v>16235</v>
      </c>
      <c r="H9622" t="s">
        <v>47054</v>
      </c>
      <c r="I9622" t="s">
        <v>47118</v>
      </c>
      <c r="J9622" t="s">
        <v>47119</v>
      </c>
      <c r="K9622" t="s">
        <v>47113</v>
      </c>
      <c r="L9622">
        <v>18.34</v>
      </c>
      <c r="M9622">
        <v>85</v>
      </c>
      <c r="N9622">
        <v>229</v>
      </c>
      <c r="O9622">
        <v>85</v>
      </c>
      <c r="P9622">
        <v>229</v>
      </c>
    </row>
    <row r="9623" spans="1:16" x14ac:dyDescent="0.25">
      <c r="A9623" t="s">
        <v>32250</v>
      </c>
      <c r="B9623" t="s">
        <v>14512</v>
      </c>
      <c r="C9623" t="s">
        <v>14511</v>
      </c>
      <c r="D9623" t="str">
        <f>"4143"</f>
        <v>4143</v>
      </c>
      <c r="E9623" t="s">
        <v>261</v>
      </c>
      <c r="F9623" t="s">
        <v>3750</v>
      </c>
      <c r="G9623" t="s">
        <v>16230</v>
      </c>
      <c r="H9623" t="s">
        <v>47054</v>
      </c>
      <c r="I9623" t="s">
        <v>47118</v>
      </c>
      <c r="J9623" t="s">
        <v>47119</v>
      </c>
      <c r="K9623" t="s">
        <v>47113</v>
      </c>
      <c r="L9623">
        <v>12.96</v>
      </c>
      <c r="M9623">
        <v>48</v>
      </c>
      <c r="N9623">
        <v>0</v>
      </c>
      <c r="O9623">
        <v>48</v>
      </c>
      <c r="P9623">
        <v>0</v>
      </c>
    </row>
    <row r="9624" spans="1:16" x14ac:dyDescent="0.25">
      <c r="A9624" t="s">
        <v>32251</v>
      </c>
      <c r="B9624" t="s">
        <v>14510</v>
      </c>
      <c r="C9624" t="s">
        <v>14509</v>
      </c>
      <c r="D9624" t="str">
        <f>"1001"</f>
        <v>1001</v>
      </c>
      <c r="E9624" t="s">
        <v>42</v>
      </c>
      <c r="F9624" t="s">
        <v>3750</v>
      </c>
      <c r="G9624" t="s">
        <v>16230</v>
      </c>
      <c r="H9624" t="s">
        <v>47054</v>
      </c>
      <c r="I9624" t="s">
        <v>47118</v>
      </c>
      <c r="J9624" t="s">
        <v>47119</v>
      </c>
      <c r="K9624" t="s">
        <v>47113</v>
      </c>
      <c r="L9624">
        <v>12.62</v>
      </c>
      <c r="M9624">
        <v>48</v>
      </c>
      <c r="N9624">
        <v>0</v>
      </c>
      <c r="O9624">
        <v>48</v>
      </c>
      <c r="P9624">
        <v>0</v>
      </c>
    </row>
    <row r="9625" spans="1:16" x14ac:dyDescent="0.25">
      <c r="A9625" t="s">
        <v>32252</v>
      </c>
      <c r="B9625" t="s">
        <v>7177</v>
      </c>
      <c r="C9625" t="s">
        <v>7178</v>
      </c>
      <c r="D9625" t="str">
        <f>"1001"</f>
        <v>1001</v>
      </c>
      <c r="E9625" t="s">
        <v>42</v>
      </c>
      <c r="F9625" t="s">
        <v>1</v>
      </c>
      <c r="G9625" t="s">
        <v>16221</v>
      </c>
      <c r="H9625" t="s">
        <v>47054</v>
      </c>
      <c r="I9625" t="s">
        <v>47111</v>
      </c>
      <c r="J9625" t="s">
        <v>47112</v>
      </c>
      <c r="K9625" t="s">
        <v>47113</v>
      </c>
      <c r="L9625">
        <v>7.68</v>
      </c>
      <c r="M9625">
        <v>19</v>
      </c>
      <c r="N9625">
        <v>0</v>
      </c>
      <c r="O9625">
        <v>19</v>
      </c>
      <c r="P9625">
        <v>0</v>
      </c>
    </row>
    <row r="9626" spans="1:16" x14ac:dyDescent="0.25">
      <c r="A9626" t="s">
        <v>32253</v>
      </c>
      <c r="B9626" t="s">
        <v>7177</v>
      </c>
      <c r="C9626" t="s">
        <v>7178</v>
      </c>
      <c r="D9626" t="str">
        <f>"1700"</f>
        <v>1700</v>
      </c>
      <c r="E9626" t="s">
        <v>60</v>
      </c>
      <c r="F9626" t="s">
        <v>1</v>
      </c>
      <c r="G9626" t="s">
        <v>16221</v>
      </c>
      <c r="H9626" t="s">
        <v>47054</v>
      </c>
      <c r="I9626" t="s">
        <v>47111</v>
      </c>
      <c r="J9626" t="s">
        <v>47112</v>
      </c>
      <c r="K9626" t="s">
        <v>47113</v>
      </c>
      <c r="L9626">
        <v>7.68</v>
      </c>
      <c r="M9626">
        <v>19</v>
      </c>
      <c r="N9626">
        <v>0</v>
      </c>
      <c r="O9626">
        <v>19</v>
      </c>
      <c r="P9626">
        <v>0</v>
      </c>
    </row>
    <row r="9627" spans="1:16" x14ac:dyDescent="0.25">
      <c r="A9627" t="s">
        <v>32254</v>
      </c>
      <c r="B9627" t="s">
        <v>7177</v>
      </c>
      <c r="C9627" t="s">
        <v>7178</v>
      </c>
      <c r="D9627" t="str">
        <f>"3071"</f>
        <v>3071</v>
      </c>
      <c r="E9627" t="s">
        <v>4767</v>
      </c>
      <c r="F9627" t="s">
        <v>1</v>
      </c>
      <c r="G9627" t="s">
        <v>16221</v>
      </c>
      <c r="H9627" t="s">
        <v>47054</v>
      </c>
      <c r="I9627" t="s">
        <v>47111</v>
      </c>
      <c r="J9627" t="s">
        <v>47112</v>
      </c>
      <c r="K9627" t="s">
        <v>47113</v>
      </c>
      <c r="L9627">
        <v>7.68</v>
      </c>
      <c r="M9627">
        <v>19</v>
      </c>
      <c r="N9627">
        <v>0</v>
      </c>
      <c r="O9627">
        <v>19</v>
      </c>
      <c r="P9627">
        <v>0</v>
      </c>
    </row>
    <row r="9628" spans="1:16" x14ac:dyDescent="0.25">
      <c r="A9628" t="s">
        <v>32255</v>
      </c>
      <c r="B9628" t="s">
        <v>7177</v>
      </c>
      <c r="C9628" t="s">
        <v>7178</v>
      </c>
      <c r="D9628" t="str">
        <f>"6064"</f>
        <v>6064</v>
      </c>
      <c r="E9628" t="s">
        <v>87</v>
      </c>
      <c r="F9628" t="s">
        <v>3558</v>
      </c>
      <c r="G9628" t="s">
        <v>16221</v>
      </c>
      <c r="H9628" t="s">
        <v>47054</v>
      </c>
      <c r="I9628" t="s">
        <v>47111</v>
      </c>
      <c r="J9628" t="s">
        <v>47112</v>
      </c>
      <c r="K9628" t="s">
        <v>47113</v>
      </c>
      <c r="L9628">
        <v>7.68</v>
      </c>
      <c r="M9628">
        <v>19</v>
      </c>
      <c r="N9628">
        <v>0</v>
      </c>
      <c r="O9628">
        <v>19</v>
      </c>
      <c r="P9628">
        <v>0</v>
      </c>
    </row>
    <row r="9629" spans="1:16" x14ac:dyDescent="0.25">
      <c r="A9629" t="s">
        <v>32256</v>
      </c>
      <c r="B9629" t="s">
        <v>17492</v>
      </c>
      <c r="C9629" t="s">
        <v>17493</v>
      </c>
      <c r="D9629" t="str">
        <f>"1001"</f>
        <v>1001</v>
      </c>
      <c r="E9629" t="s">
        <v>42</v>
      </c>
      <c r="F9629" t="s">
        <v>3750</v>
      </c>
      <c r="G9629" t="s">
        <v>16221</v>
      </c>
      <c r="H9629" t="s">
        <v>47054</v>
      </c>
      <c r="I9629" t="s">
        <v>47116</v>
      </c>
      <c r="J9629" t="s">
        <v>47117</v>
      </c>
      <c r="K9629" t="s">
        <v>47113</v>
      </c>
      <c r="L9629">
        <v>6.35</v>
      </c>
      <c r="M9629">
        <v>19</v>
      </c>
      <c r="N9629">
        <v>0</v>
      </c>
      <c r="O9629">
        <v>19</v>
      </c>
      <c r="P9629">
        <v>0</v>
      </c>
    </row>
    <row r="9630" spans="1:16" x14ac:dyDescent="0.25">
      <c r="A9630" t="s">
        <v>32257</v>
      </c>
      <c r="B9630" t="s">
        <v>17492</v>
      </c>
      <c r="C9630" t="s">
        <v>17493</v>
      </c>
      <c r="D9630" t="str">
        <f>"1700"</f>
        <v>1700</v>
      </c>
      <c r="E9630" t="s">
        <v>60</v>
      </c>
      <c r="F9630" t="s">
        <v>3750</v>
      </c>
      <c r="G9630" t="s">
        <v>16221</v>
      </c>
      <c r="H9630" t="s">
        <v>47054</v>
      </c>
      <c r="I9630" t="s">
        <v>47116</v>
      </c>
      <c r="J9630" t="s">
        <v>47117</v>
      </c>
      <c r="K9630" t="s">
        <v>47113</v>
      </c>
      <c r="L9630">
        <v>6.35</v>
      </c>
      <c r="M9630">
        <v>19</v>
      </c>
      <c r="N9630">
        <v>0</v>
      </c>
      <c r="O9630">
        <v>19</v>
      </c>
      <c r="P9630">
        <v>0</v>
      </c>
    </row>
    <row r="9631" spans="1:16" x14ac:dyDescent="0.25">
      <c r="A9631" t="s">
        <v>32258</v>
      </c>
      <c r="B9631" t="s">
        <v>17494</v>
      </c>
      <c r="C9631" t="s">
        <v>17495</v>
      </c>
      <c r="D9631" t="str">
        <f>"1106"</f>
        <v>1106</v>
      </c>
      <c r="E9631" t="s">
        <v>460</v>
      </c>
      <c r="F9631" t="s">
        <v>3750</v>
      </c>
      <c r="G9631" t="s">
        <v>16221</v>
      </c>
      <c r="H9631" t="s">
        <v>47054</v>
      </c>
      <c r="I9631" t="s">
        <v>47116</v>
      </c>
      <c r="J9631" t="s">
        <v>47117</v>
      </c>
      <c r="K9631" t="s">
        <v>47113</v>
      </c>
      <c r="L9631">
        <v>6.88</v>
      </c>
      <c r="M9631">
        <v>20</v>
      </c>
      <c r="N9631">
        <v>0</v>
      </c>
      <c r="O9631">
        <v>20</v>
      </c>
      <c r="P9631">
        <v>0</v>
      </c>
    </row>
    <row r="9632" spans="1:16" x14ac:dyDescent="0.25">
      <c r="A9632" t="s">
        <v>32259</v>
      </c>
      <c r="B9632" t="s">
        <v>17496</v>
      </c>
      <c r="C9632" t="s">
        <v>17497</v>
      </c>
      <c r="D9632" t="str">
        <f>"1106"</f>
        <v>1106</v>
      </c>
      <c r="E9632" t="s">
        <v>460</v>
      </c>
      <c r="F9632" t="s">
        <v>3750</v>
      </c>
      <c r="G9632" t="s">
        <v>16221</v>
      </c>
      <c r="H9632" t="s">
        <v>47054</v>
      </c>
      <c r="I9632" t="s">
        <v>47116</v>
      </c>
      <c r="J9632" t="s">
        <v>47117</v>
      </c>
      <c r="K9632" t="s">
        <v>47113</v>
      </c>
      <c r="L9632">
        <v>7.94</v>
      </c>
      <c r="M9632">
        <v>23</v>
      </c>
      <c r="N9632">
        <v>0</v>
      </c>
      <c r="O9632">
        <v>23</v>
      </c>
      <c r="P9632">
        <v>0</v>
      </c>
    </row>
    <row r="9633" spans="1:16" x14ac:dyDescent="0.25">
      <c r="A9633" t="s">
        <v>32260</v>
      </c>
      <c r="B9633" t="s">
        <v>17496</v>
      </c>
      <c r="C9633" t="s">
        <v>17497</v>
      </c>
      <c r="D9633" t="str">
        <f>"1700"</f>
        <v>1700</v>
      </c>
      <c r="E9633" t="s">
        <v>60</v>
      </c>
      <c r="F9633" t="s">
        <v>3750</v>
      </c>
      <c r="G9633" t="s">
        <v>16221</v>
      </c>
      <c r="H9633" t="s">
        <v>47054</v>
      </c>
      <c r="I9633" t="s">
        <v>47116</v>
      </c>
      <c r="J9633" t="s">
        <v>47117</v>
      </c>
      <c r="K9633" t="s">
        <v>47113</v>
      </c>
      <c r="L9633">
        <v>7.94</v>
      </c>
      <c r="M9633">
        <v>23</v>
      </c>
      <c r="N9633">
        <v>0</v>
      </c>
      <c r="O9633">
        <v>23</v>
      </c>
      <c r="P9633">
        <v>0</v>
      </c>
    </row>
    <row r="9634" spans="1:16" x14ac:dyDescent="0.25">
      <c r="A9634" t="s">
        <v>32261</v>
      </c>
      <c r="B9634" t="s">
        <v>17498</v>
      </c>
      <c r="C9634" t="s">
        <v>17499</v>
      </c>
      <c r="D9634" t="str">
        <f>"1700"</f>
        <v>1700</v>
      </c>
      <c r="E9634" t="s">
        <v>60</v>
      </c>
      <c r="F9634" t="s">
        <v>3750</v>
      </c>
      <c r="G9634" t="s">
        <v>16221</v>
      </c>
      <c r="H9634" t="s">
        <v>47054</v>
      </c>
      <c r="I9634" t="s">
        <v>47116</v>
      </c>
      <c r="J9634" t="s">
        <v>47117</v>
      </c>
      <c r="K9634" t="s">
        <v>47113</v>
      </c>
      <c r="L9634">
        <v>7.04</v>
      </c>
      <c r="M9634">
        <v>20</v>
      </c>
      <c r="N9634">
        <v>0</v>
      </c>
      <c r="O9634">
        <v>20</v>
      </c>
      <c r="P9634">
        <v>0</v>
      </c>
    </row>
    <row r="9635" spans="1:16" x14ac:dyDescent="0.25">
      <c r="A9635" t="s">
        <v>32262</v>
      </c>
      <c r="B9635" t="s">
        <v>17500</v>
      </c>
      <c r="C9635" t="s">
        <v>17501</v>
      </c>
      <c r="D9635" t="str">
        <f>"1106"</f>
        <v>1106</v>
      </c>
      <c r="E9635" t="s">
        <v>460</v>
      </c>
      <c r="F9635" t="s">
        <v>3750</v>
      </c>
      <c r="G9635" t="s">
        <v>16221</v>
      </c>
      <c r="H9635" t="s">
        <v>47054</v>
      </c>
      <c r="I9635" t="s">
        <v>48032</v>
      </c>
      <c r="J9635" t="s">
        <v>48033</v>
      </c>
      <c r="K9635" t="s">
        <v>47113</v>
      </c>
      <c r="L9635">
        <v>7.18</v>
      </c>
      <c r="M9635">
        <v>20</v>
      </c>
      <c r="N9635">
        <v>0</v>
      </c>
      <c r="O9635">
        <v>20</v>
      </c>
      <c r="P9635">
        <v>0</v>
      </c>
    </row>
    <row r="9636" spans="1:16" x14ac:dyDescent="0.25">
      <c r="A9636" t="s">
        <v>32263</v>
      </c>
      <c r="B9636" t="s">
        <v>17500</v>
      </c>
      <c r="C9636" t="s">
        <v>17501</v>
      </c>
      <c r="D9636" t="str">
        <f>"1700"</f>
        <v>1700</v>
      </c>
      <c r="E9636" t="s">
        <v>60</v>
      </c>
      <c r="F9636" t="s">
        <v>3750</v>
      </c>
      <c r="G9636" t="s">
        <v>16221</v>
      </c>
      <c r="H9636" t="s">
        <v>47054</v>
      </c>
      <c r="I9636" t="s">
        <v>48032</v>
      </c>
      <c r="J9636" t="s">
        <v>48033</v>
      </c>
      <c r="K9636" t="s">
        <v>47113</v>
      </c>
      <c r="L9636">
        <v>7.18</v>
      </c>
      <c r="M9636">
        <v>20</v>
      </c>
      <c r="N9636">
        <v>0</v>
      </c>
      <c r="O9636">
        <v>20</v>
      </c>
      <c r="P9636">
        <v>0</v>
      </c>
    </row>
    <row r="9637" spans="1:16" x14ac:dyDescent="0.25">
      <c r="A9637" t="s">
        <v>32264</v>
      </c>
      <c r="B9637" t="s">
        <v>17500</v>
      </c>
      <c r="C9637" t="s">
        <v>17501</v>
      </c>
      <c r="D9637" t="str">
        <f>"6433"</f>
        <v>6433</v>
      </c>
      <c r="E9637" t="s">
        <v>7168</v>
      </c>
      <c r="F9637" t="s">
        <v>3750</v>
      </c>
      <c r="G9637" t="s">
        <v>16221</v>
      </c>
      <c r="H9637" t="s">
        <v>47054</v>
      </c>
      <c r="I9637" t="s">
        <v>48032</v>
      </c>
      <c r="J9637" t="s">
        <v>48033</v>
      </c>
      <c r="K9637" t="s">
        <v>47113</v>
      </c>
      <c r="L9637">
        <v>6.82</v>
      </c>
      <c r="M9637">
        <v>12</v>
      </c>
      <c r="N9637">
        <v>0</v>
      </c>
      <c r="O9637">
        <v>12</v>
      </c>
      <c r="P9637">
        <v>0</v>
      </c>
    </row>
    <row r="9638" spans="1:16" x14ac:dyDescent="0.25">
      <c r="A9638" t="s">
        <v>32265</v>
      </c>
      <c r="B9638" t="s">
        <v>17502</v>
      </c>
      <c r="C9638" t="s">
        <v>17503</v>
      </c>
      <c r="D9638" t="str">
        <f>"1106"</f>
        <v>1106</v>
      </c>
      <c r="E9638" t="s">
        <v>460</v>
      </c>
      <c r="F9638" t="s">
        <v>3750</v>
      </c>
      <c r="G9638" t="s">
        <v>16221</v>
      </c>
      <c r="H9638" t="s">
        <v>47054</v>
      </c>
      <c r="I9638" t="s">
        <v>47120</v>
      </c>
      <c r="J9638" t="s">
        <v>47121</v>
      </c>
      <c r="K9638" t="s">
        <v>47113</v>
      </c>
      <c r="L9638">
        <v>4.43</v>
      </c>
      <c r="M9638">
        <v>13</v>
      </c>
      <c r="N9638">
        <v>0</v>
      </c>
      <c r="O9638">
        <v>13</v>
      </c>
      <c r="P9638">
        <v>0</v>
      </c>
    </row>
    <row r="9639" spans="1:16" x14ac:dyDescent="0.25">
      <c r="A9639" t="s">
        <v>32266</v>
      </c>
      <c r="B9639" t="s">
        <v>17502</v>
      </c>
      <c r="C9639" t="s">
        <v>17503</v>
      </c>
      <c r="D9639" t="str">
        <f>"1473"</f>
        <v>1473</v>
      </c>
      <c r="E9639" t="s">
        <v>9579</v>
      </c>
      <c r="F9639" t="s">
        <v>3750</v>
      </c>
      <c r="G9639" t="s">
        <v>16221</v>
      </c>
      <c r="H9639" t="s">
        <v>47054</v>
      </c>
      <c r="I9639" t="s">
        <v>47120</v>
      </c>
      <c r="J9639" t="s">
        <v>47121</v>
      </c>
      <c r="K9639" t="s">
        <v>47113</v>
      </c>
      <c r="L9639">
        <v>4.43</v>
      </c>
      <c r="M9639">
        <v>13</v>
      </c>
      <c r="N9639">
        <v>0</v>
      </c>
      <c r="O9639">
        <v>13</v>
      </c>
      <c r="P9639">
        <v>0</v>
      </c>
    </row>
    <row r="9640" spans="1:16" x14ac:dyDescent="0.25">
      <c r="A9640" t="s">
        <v>32267</v>
      </c>
      <c r="B9640" t="s">
        <v>7179</v>
      </c>
      <c r="C9640" t="s">
        <v>7180</v>
      </c>
      <c r="D9640" t="str">
        <f>"1106"</f>
        <v>1106</v>
      </c>
      <c r="E9640" t="s">
        <v>460</v>
      </c>
      <c r="F9640" t="s">
        <v>3750</v>
      </c>
      <c r="G9640" t="s">
        <v>16221</v>
      </c>
      <c r="H9640" t="s">
        <v>47054</v>
      </c>
      <c r="I9640" t="s">
        <v>47116</v>
      </c>
      <c r="J9640" t="s">
        <v>47117</v>
      </c>
      <c r="K9640" t="s">
        <v>47113</v>
      </c>
      <c r="L9640">
        <v>8.02</v>
      </c>
      <c r="M9640">
        <v>32</v>
      </c>
      <c r="N9640">
        <v>0</v>
      </c>
      <c r="O9640">
        <v>32</v>
      </c>
      <c r="P9640">
        <v>0</v>
      </c>
    </row>
    <row r="9641" spans="1:16" x14ac:dyDescent="0.25">
      <c r="A9641" t="s">
        <v>32268</v>
      </c>
      <c r="B9641" t="s">
        <v>7179</v>
      </c>
      <c r="C9641" t="s">
        <v>7180</v>
      </c>
      <c r="D9641" t="str">
        <f>"1704"</f>
        <v>1704</v>
      </c>
      <c r="E9641" t="s">
        <v>7181</v>
      </c>
      <c r="F9641" t="s">
        <v>3750</v>
      </c>
      <c r="G9641" t="s">
        <v>16221</v>
      </c>
      <c r="H9641" t="s">
        <v>47054</v>
      </c>
      <c r="I9641" t="s">
        <v>47116</v>
      </c>
      <c r="J9641" t="s">
        <v>47117</v>
      </c>
      <c r="K9641" t="s">
        <v>47113</v>
      </c>
      <c r="L9641">
        <v>8.02</v>
      </c>
      <c r="M9641">
        <v>32</v>
      </c>
      <c r="N9641">
        <v>0</v>
      </c>
      <c r="O9641">
        <v>32</v>
      </c>
      <c r="P9641">
        <v>0</v>
      </c>
    </row>
    <row r="9642" spans="1:16" x14ac:dyDescent="0.25">
      <c r="A9642" t="s">
        <v>32269</v>
      </c>
      <c r="B9642" t="s">
        <v>15526</v>
      </c>
      <c r="C9642" t="s">
        <v>15527</v>
      </c>
      <c r="D9642" t="str">
        <f>"1001"</f>
        <v>1001</v>
      </c>
      <c r="E9642" t="s">
        <v>15528</v>
      </c>
      <c r="F9642" t="s">
        <v>3750</v>
      </c>
      <c r="G9642" t="s">
        <v>16221</v>
      </c>
      <c r="H9642" t="s">
        <v>47054</v>
      </c>
      <c r="I9642" t="s">
        <v>47116</v>
      </c>
      <c r="J9642" t="s">
        <v>47117</v>
      </c>
      <c r="K9642" t="s">
        <v>47113</v>
      </c>
      <c r="L9642">
        <v>7.47</v>
      </c>
      <c r="M9642">
        <v>27</v>
      </c>
      <c r="N9642">
        <v>0</v>
      </c>
      <c r="O9642">
        <v>27</v>
      </c>
      <c r="P9642">
        <v>0</v>
      </c>
    </row>
    <row r="9643" spans="1:16" x14ac:dyDescent="0.25">
      <c r="A9643" t="s">
        <v>32270</v>
      </c>
      <c r="B9643" t="s">
        <v>15526</v>
      </c>
      <c r="C9643" t="s">
        <v>15527</v>
      </c>
      <c r="D9643" t="str">
        <f>"1994"</f>
        <v>1994</v>
      </c>
      <c r="E9643" t="s">
        <v>15529</v>
      </c>
      <c r="F9643" t="s">
        <v>3750</v>
      </c>
      <c r="G9643" t="s">
        <v>16221</v>
      </c>
      <c r="H9643" t="s">
        <v>47054</v>
      </c>
      <c r="I9643" t="s">
        <v>47116</v>
      </c>
      <c r="J9643" t="s">
        <v>47117</v>
      </c>
      <c r="K9643" t="s">
        <v>47113</v>
      </c>
      <c r="L9643">
        <v>7.47</v>
      </c>
      <c r="M9643">
        <v>27</v>
      </c>
      <c r="N9643">
        <v>0</v>
      </c>
      <c r="O9643">
        <v>27</v>
      </c>
      <c r="P9643">
        <v>0</v>
      </c>
    </row>
    <row r="9644" spans="1:16" x14ac:dyDescent="0.25">
      <c r="A9644" t="s">
        <v>32271</v>
      </c>
      <c r="B9644" t="s">
        <v>15530</v>
      </c>
      <c r="C9644" t="s">
        <v>15531</v>
      </c>
      <c r="D9644" t="str">
        <f>"1001"</f>
        <v>1001</v>
      </c>
      <c r="E9644" t="s">
        <v>15532</v>
      </c>
      <c r="F9644" t="s">
        <v>3750</v>
      </c>
      <c r="G9644" t="s">
        <v>16221</v>
      </c>
      <c r="H9644" t="s">
        <v>47054</v>
      </c>
      <c r="I9644" t="s">
        <v>47116</v>
      </c>
      <c r="J9644" t="s">
        <v>47117</v>
      </c>
      <c r="K9644" t="s">
        <v>47113</v>
      </c>
      <c r="L9644">
        <v>7.04</v>
      </c>
      <c r="M9644">
        <v>30</v>
      </c>
      <c r="N9644">
        <v>0</v>
      </c>
      <c r="O9644">
        <v>30</v>
      </c>
      <c r="P9644">
        <v>0</v>
      </c>
    </row>
    <row r="9645" spans="1:16" x14ac:dyDescent="0.25">
      <c r="A9645" t="s">
        <v>32272</v>
      </c>
      <c r="B9645" t="s">
        <v>15530</v>
      </c>
      <c r="C9645" t="s">
        <v>15531</v>
      </c>
      <c r="D9645" t="str">
        <f>"1704"</f>
        <v>1704</v>
      </c>
      <c r="E9645" t="s">
        <v>15533</v>
      </c>
      <c r="F9645" t="s">
        <v>3750</v>
      </c>
      <c r="G9645" t="s">
        <v>16221</v>
      </c>
      <c r="H9645" t="s">
        <v>47054</v>
      </c>
      <c r="I9645" t="s">
        <v>47116</v>
      </c>
      <c r="J9645" t="s">
        <v>47117</v>
      </c>
      <c r="K9645" t="s">
        <v>47113</v>
      </c>
      <c r="L9645">
        <v>7.04</v>
      </c>
      <c r="M9645">
        <v>30</v>
      </c>
      <c r="N9645">
        <v>0</v>
      </c>
      <c r="O9645">
        <v>30</v>
      </c>
      <c r="P9645">
        <v>0</v>
      </c>
    </row>
    <row r="9646" spans="1:16" x14ac:dyDescent="0.25">
      <c r="A9646" t="s">
        <v>32273</v>
      </c>
      <c r="B9646" t="s">
        <v>17504</v>
      </c>
      <c r="C9646" t="s">
        <v>17505</v>
      </c>
      <c r="D9646" t="str">
        <f>"1704"</f>
        <v>1704</v>
      </c>
      <c r="E9646" t="s">
        <v>17506</v>
      </c>
      <c r="F9646" t="s">
        <v>3750</v>
      </c>
      <c r="G9646" t="s">
        <v>16221</v>
      </c>
      <c r="H9646" t="s">
        <v>47054</v>
      </c>
      <c r="I9646" t="s">
        <v>47116</v>
      </c>
      <c r="J9646" t="s">
        <v>47117</v>
      </c>
      <c r="K9646" t="s">
        <v>47113</v>
      </c>
      <c r="L9646">
        <v>7.99</v>
      </c>
      <c r="M9646">
        <v>23</v>
      </c>
      <c r="N9646">
        <v>0</v>
      </c>
      <c r="O9646">
        <v>23</v>
      </c>
      <c r="P9646">
        <v>0</v>
      </c>
    </row>
    <row r="9647" spans="1:16" x14ac:dyDescent="0.25">
      <c r="A9647" t="s">
        <v>32274</v>
      </c>
      <c r="B9647" t="s">
        <v>17507</v>
      </c>
      <c r="C9647" t="s">
        <v>17508</v>
      </c>
      <c r="D9647" t="str">
        <f>"1473"</f>
        <v>1473</v>
      </c>
      <c r="E9647" t="s">
        <v>17509</v>
      </c>
      <c r="F9647" t="s">
        <v>3750</v>
      </c>
      <c r="G9647" t="s">
        <v>16221</v>
      </c>
      <c r="H9647" t="s">
        <v>47054</v>
      </c>
      <c r="I9647" t="s">
        <v>47116</v>
      </c>
      <c r="J9647" t="s">
        <v>47117</v>
      </c>
      <c r="K9647" t="s">
        <v>47113</v>
      </c>
      <c r="L9647">
        <v>7.51</v>
      </c>
      <c r="M9647">
        <v>21</v>
      </c>
      <c r="N9647">
        <v>0</v>
      </c>
      <c r="O9647">
        <v>21</v>
      </c>
      <c r="P9647">
        <v>0</v>
      </c>
    </row>
    <row r="9648" spans="1:16" x14ac:dyDescent="0.25">
      <c r="A9648" t="s">
        <v>32275</v>
      </c>
      <c r="B9648" t="s">
        <v>17510</v>
      </c>
      <c r="C9648" t="s">
        <v>17511</v>
      </c>
      <c r="D9648" t="str">
        <f>"1473"</f>
        <v>1473</v>
      </c>
      <c r="E9648" t="s">
        <v>17512</v>
      </c>
      <c r="F9648" t="s">
        <v>3750</v>
      </c>
      <c r="G9648" t="s">
        <v>16221</v>
      </c>
      <c r="H9648" t="s">
        <v>47054</v>
      </c>
      <c r="I9648" t="s">
        <v>47116</v>
      </c>
      <c r="J9648" t="s">
        <v>47117</v>
      </c>
      <c r="K9648" t="s">
        <v>47113</v>
      </c>
      <c r="L9648">
        <v>8.3699999999999992</v>
      </c>
      <c r="M9648">
        <v>24</v>
      </c>
      <c r="N9648">
        <v>0</v>
      </c>
      <c r="O9648">
        <v>24</v>
      </c>
      <c r="P9648">
        <v>0</v>
      </c>
    </row>
    <row r="9649" spans="1:16" x14ac:dyDescent="0.25">
      <c r="A9649" t="s">
        <v>32276</v>
      </c>
      <c r="B9649" t="s">
        <v>17510</v>
      </c>
      <c r="C9649" t="s">
        <v>17511</v>
      </c>
      <c r="D9649" t="str">
        <f>"1501"</f>
        <v>1501</v>
      </c>
      <c r="E9649" t="s">
        <v>17513</v>
      </c>
      <c r="F9649" t="s">
        <v>3750</v>
      </c>
      <c r="G9649" t="s">
        <v>16221</v>
      </c>
      <c r="H9649" t="s">
        <v>47054</v>
      </c>
      <c r="I9649" t="s">
        <v>47116</v>
      </c>
      <c r="J9649" t="s">
        <v>47117</v>
      </c>
      <c r="K9649" t="s">
        <v>47113</v>
      </c>
      <c r="L9649">
        <v>8.3699999999999992</v>
      </c>
      <c r="M9649">
        <v>24</v>
      </c>
      <c r="N9649">
        <v>0</v>
      </c>
      <c r="O9649">
        <v>24</v>
      </c>
      <c r="P9649">
        <v>0</v>
      </c>
    </row>
    <row r="9650" spans="1:16" x14ac:dyDescent="0.25">
      <c r="A9650" t="s">
        <v>32277</v>
      </c>
      <c r="B9650" t="s">
        <v>17514</v>
      </c>
      <c r="C9650" t="s">
        <v>17515</v>
      </c>
      <c r="D9650" t="str">
        <f>"1095"</f>
        <v>1095</v>
      </c>
      <c r="E9650" t="s">
        <v>17516</v>
      </c>
      <c r="F9650" t="s">
        <v>3750</v>
      </c>
      <c r="G9650" t="s">
        <v>16221</v>
      </c>
      <c r="H9650" t="s">
        <v>47054</v>
      </c>
      <c r="I9650" t="s">
        <v>47116</v>
      </c>
      <c r="J9650" t="s">
        <v>47117</v>
      </c>
      <c r="K9650" t="s">
        <v>47113</v>
      </c>
      <c r="L9650">
        <v>7.99</v>
      </c>
      <c r="M9650">
        <v>23</v>
      </c>
      <c r="N9650">
        <v>0</v>
      </c>
      <c r="O9650">
        <v>23</v>
      </c>
      <c r="P9650">
        <v>0</v>
      </c>
    </row>
    <row r="9651" spans="1:16" x14ac:dyDescent="0.25">
      <c r="A9651" t="s">
        <v>32278</v>
      </c>
      <c r="B9651" t="s">
        <v>17517</v>
      </c>
      <c r="C9651" t="s">
        <v>17518</v>
      </c>
      <c r="D9651" t="str">
        <f>"1106"</f>
        <v>1106</v>
      </c>
      <c r="E9651" t="s">
        <v>17519</v>
      </c>
      <c r="F9651" t="s">
        <v>3750</v>
      </c>
      <c r="G9651" t="s">
        <v>16221</v>
      </c>
      <c r="H9651" t="s">
        <v>47054</v>
      </c>
      <c r="I9651" t="s">
        <v>47116</v>
      </c>
      <c r="J9651" t="s">
        <v>47117</v>
      </c>
      <c r="K9651" t="s">
        <v>47113</v>
      </c>
      <c r="L9651">
        <v>8.3699999999999992</v>
      </c>
      <c r="M9651">
        <v>24</v>
      </c>
      <c r="N9651">
        <v>0</v>
      </c>
      <c r="O9651">
        <v>24</v>
      </c>
      <c r="P9651">
        <v>0</v>
      </c>
    </row>
    <row r="9652" spans="1:16" x14ac:dyDescent="0.25">
      <c r="A9652" t="s">
        <v>32279</v>
      </c>
      <c r="B9652" t="s">
        <v>17517</v>
      </c>
      <c r="C9652" t="s">
        <v>17518</v>
      </c>
      <c r="D9652" t="str">
        <f>"1473"</f>
        <v>1473</v>
      </c>
      <c r="E9652" t="s">
        <v>17512</v>
      </c>
      <c r="F9652" t="s">
        <v>3750</v>
      </c>
      <c r="G9652" t="s">
        <v>16221</v>
      </c>
      <c r="H9652" t="s">
        <v>47054</v>
      </c>
      <c r="I9652" t="s">
        <v>47116</v>
      </c>
      <c r="J9652" t="s">
        <v>47117</v>
      </c>
      <c r="K9652" t="s">
        <v>47113</v>
      </c>
      <c r="L9652">
        <v>8.3699999999999992</v>
      </c>
      <c r="M9652">
        <v>24</v>
      </c>
      <c r="N9652">
        <v>0</v>
      </c>
      <c r="O9652">
        <v>24</v>
      </c>
      <c r="P9652">
        <v>0</v>
      </c>
    </row>
    <row r="9653" spans="1:16" x14ac:dyDescent="0.25">
      <c r="A9653" t="s">
        <v>32280</v>
      </c>
      <c r="B9653" t="s">
        <v>20434</v>
      </c>
      <c r="C9653" t="s">
        <v>20435</v>
      </c>
      <c r="D9653" t="str">
        <f>"1547"</f>
        <v>1547</v>
      </c>
      <c r="E9653" t="s">
        <v>20436</v>
      </c>
      <c r="F9653" t="s">
        <v>3750</v>
      </c>
      <c r="G9653" t="s">
        <v>16221</v>
      </c>
      <c r="H9653" t="s">
        <v>47054</v>
      </c>
      <c r="I9653" t="s">
        <v>47154</v>
      </c>
      <c r="J9653" t="s">
        <v>47155</v>
      </c>
      <c r="K9653" t="s">
        <v>47113</v>
      </c>
      <c r="L9653">
        <v>7.01</v>
      </c>
      <c r="M9653">
        <v>15</v>
      </c>
      <c r="N9653">
        <v>0</v>
      </c>
      <c r="O9653">
        <v>15</v>
      </c>
      <c r="P9653">
        <v>0</v>
      </c>
    </row>
    <row r="9654" spans="1:16" x14ac:dyDescent="0.25">
      <c r="A9654" t="s">
        <v>32281</v>
      </c>
      <c r="B9654" t="s">
        <v>20437</v>
      </c>
      <c r="C9654" t="s">
        <v>20438</v>
      </c>
      <c r="D9654" t="str">
        <f>"1518"</f>
        <v>1518</v>
      </c>
      <c r="E9654" t="s">
        <v>14461</v>
      </c>
      <c r="F9654" t="s">
        <v>3750</v>
      </c>
      <c r="G9654" t="s">
        <v>16221</v>
      </c>
      <c r="H9654" t="s">
        <v>47054</v>
      </c>
      <c r="I9654" t="s">
        <v>47154</v>
      </c>
      <c r="J9654" t="s">
        <v>47155</v>
      </c>
      <c r="K9654" t="s">
        <v>47113</v>
      </c>
      <c r="L9654">
        <v>7.57</v>
      </c>
      <c r="M9654">
        <v>15</v>
      </c>
      <c r="N9654">
        <v>0</v>
      </c>
      <c r="O9654">
        <v>15</v>
      </c>
      <c r="P9654">
        <v>0</v>
      </c>
    </row>
    <row r="9655" spans="1:16" x14ac:dyDescent="0.25">
      <c r="A9655" t="s">
        <v>32282</v>
      </c>
      <c r="B9655" t="s">
        <v>7182</v>
      </c>
      <c r="C9655" t="s">
        <v>7183</v>
      </c>
      <c r="D9655" t="s">
        <v>7184</v>
      </c>
      <c r="E9655" t="s">
        <v>7185</v>
      </c>
      <c r="F9655" t="s">
        <v>3670</v>
      </c>
      <c r="G9655" t="s">
        <v>16233</v>
      </c>
      <c r="H9655" t="s">
        <v>47054</v>
      </c>
      <c r="I9655" t="s">
        <v>47136</v>
      </c>
      <c r="J9655" t="s">
        <v>47137</v>
      </c>
      <c r="K9655" t="s">
        <v>47113</v>
      </c>
      <c r="L9655">
        <v>33.159999999999997</v>
      </c>
      <c r="M9655">
        <v>66</v>
      </c>
      <c r="N9655">
        <v>0</v>
      </c>
      <c r="O9655">
        <v>66</v>
      </c>
      <c r="P9655">
        <v>0</v>
      </c>
    </row>
    <row r="9656" spans="1:16" x14ac:dyDescent="0.25">
      <c r="A9656" t="s">
        <v>32283</v>
      </c>
      <c r="B9656" t="s">
        <v>7186</v>
      </c>
      <c r="C9656" t="s">
        <v>7187</v>
      </c>
      <c r="D9656" t="str">
        <f>"7416"</f>
        <v>7416</v>
      </c>
      <c r="E9656" t="s">
        <v>7188</v>
      </c>
      <c r="F9656" t="s">
        <v>7</v>
      </c>
      <c r="G9656" t="s">
        <v>16230</v>
      </c>
      <c r="H9656" t="s">
        <v>47054</v>
      </c>
      <c r="I9656" t="s">
        <v>47120</v>
      </c>
      <c r="J9656" t="s">
        <v>47121</v>
      </c>
      <c r="K9656" t="s">
        <v>47113</v>
      </c>
      <c r="L9656">
        <v>47.51</v>
      </c>
      <c r="M9656">
        <v>76</v>
      </c>
      <c r="N9656">
        <v>0</v>
      </c>
      <c r="O9656">
        <v>76</v>
      </c>
      <c r="P9656">
        <v>0</v>
      </c>
    </row>
    <row r="9657" spans="1:16" x14ac:dyDescent="0.25">
      <c r="A9657" t="s">
        <v>32284</v>
      </c>
      <c r="B9657" t="s">
        <v>7189</v>
      </c>
      <c r="C9657" t="s">
        <v>7190</v>
      </c>
      <c r="D9657" t="str">
        <f>"6127"</f>
        <v>6127</v>
      </c>
      <c r="E9657" t="s">
        <v>7191</v>
      </c>
      <c r="F9657" t="s">
        <v>7</v>
      </c>
      <c r="G9657" t="s">
        <v>16230</v>
      </c>
      <c r="H9657" t="s">
        <v>47054</v>
      </c>
      <c r="I9657" t="s">
        <v>47120</v>
      </c>
      <c r="J9657" t="s">
        <v>47121</v>
      </c>
      <c r="K9657" t="s">
        <v>47113</v>
      </c>
      <c r="L9657">
        <v>27.48</v>
      </c>
      <c r="M9657">
        <v>72</v>
      </c>
      <c r="N9657">
        <v>0</v>
      </c>
      <c r="O9657">
        <v>72</v>
      </c>
      <c r="P9657">
        <v>0</v>
      </c>
    </row>
    <row r="9658" spans="1:16" x14ac:dyDescent="0.25">
      <c r="A9658" t="s">
        <v>32285</v>
      </c>
      <c r="B9658" t="s">
        <v>7192</v>
      </c>
      <c r="C9658" t="s">
        <v>7092</v>
      </c>
      <c r="D9658" t="str">
        <f>"2503"</f>
        <v>2503</v>
      </c>
      <c r="E9658" t="s">
        <v>7193</v>
      </c>
      <c r="F9658" t="s">
        <v>3670</v>
      </c>
      <c r="G9658" t="s">
        <v>16233</v>
      </c>
      <c r="H9658" t="s">
        <v>47054</v>
      </c>
      <c r="I9658" t="s">
        <v>47136</v>
      </c>
      <c r="J9658" t="s">
        <v>47137</v>
      </c>
      <c r="K9658" t="s">
        <v>47113</v>
      </c>
      <c r="L9658">
        <v>31.92</v>
      </c>
      <c r="M9658">
        <v>66</v>
      </c>
      <c r="N9658">
        <v>0</v>
      </c>
      <c r="O9658">
        <v>66</v>
      </c>
      <c r="P9658">
        <v>0</v>
      </c>
    </row>
    <row r="9659" spans="1:16" x14ac:dyDescent="0.25">
      <c r="A9659" t="s">
        <v>32286</v>
      </c>
      <c r="B9659" t="s">
        <v>7194</v>
      </c>
      <c r="C9659" t="s">
        <v>7195</v>
      </c>
      <c r="D9659" t="str">
        <f>"1802"</f>
        <v>1802</v>
      </c>
      <c r="E9659" t="s">
        <v>7196</v>
      </c>
      <c r="F9659" t="s">
        <v>3670</v>
      </c>
      <c r="G9659" t="s">
        <v>16234</v>
      </c>
      <c r="H9659" t="s">
        <v>47054</v>
      </c>
      <c r="I9659" t="s">
        <v>47116</v>
      </c>
      <c r="J9659" t="s">
        <v>47117</v>
      </c>
      <c r="K9659" t="s">
        <v>47113</v>
      </c>
      <c r="L9659">
        <v>51.56</v>
      </c>
      <c r="M9659">
        <v>122</v>
      </c>
      <c r="N9659">
        <v>0</v>
      </c>
      <c r="O9659">
        <v>122</v>
      </c>
      <c r="P9659">
        <v>0</v>
      </c>
    </row>
    <row r="9660" spans="1:16" x14ac:dyDescent="0.25">
      <c r="A9660" t="s">
        <v>16463</v>
      </c>
      <c r="B9660" t="s">
        <v>7197</v>
      </c>
      <c r="C9660" t="s">
        <v>16464</v>
      </c>
      <c r="D9660" t="str">
        <f>"6111"</f>
        <v>6111</v>
      </c>
      <c r="E9660" t="s">
        <v>7198</v>
      </c>
      <c r="F9660" t="s">
        <v>3670</v>
      </c>
      <c r="G9660" t="s">
        <v>16234</v>
      </c>
      <c r="H9660" t="s">
        <v>47054</v>
      </c>
      <c r="I9660" t="s">
        <v>47116</v>
      </c>
      <c r="J9660" t="s">
        <v>47117</v>
      </c>
      <c r="K9660" t="s">
        <v>47113</v>
      </c>
      <c r="L9660">
        <v>51.56</v>
      </c>
      <c r="M9660">
        <v>122</v>
      </c>
      <c r="N9660">
        <v>0</v>
      </c>
      <c r="O9660">
        <v>122</v>
      </c>
      <c r="P9660">
        <v>0</v>
      </c>
    </row>
    <row r="9661" spans="1:16" x14ac:dyDescent="0.25">
      <c r="A9661" t="s">
        <v>32287</v>
      </c>
      <c r="B9661" t="s">
        <v>7199</v>
      </c>
      <c r="C9661" t="s">
        <v>7200</v>
      </c>
      <c r="D9661" t="str">
        <f>"3550"</f>
        <v>3550</v>
      </c>
      <c r="E9661" t="s">
        <v>7201</v>
      </c>
      <c r="F9661" t="s">
        <v>3546</v>
      </c>
      <c r="G9661" t="s">
        <v>16234</v>
      </c>
      <c r="H9661" t="s">
        <v>47054</v>
      </c>
      <c r="I9661" t="s">
        <v>47111</v>
      </c>
      <c r="J9661" t="s">
        <v>47112</v>
      </c>
      <c r="K9661" t="s">
        <v>47113</v>
      </c>
      <c r="L9661">
        <v>53.23</v>
      </c>
      <c r="M9661">
        <v>122</v>
      </c>
      <c r="N9661">
        <v>0</v>
      </c>
      <c r="O9661">
        <v>122</v>
      </c>
      <c r="P9661">
        <v>0</v>
      </c>
    </row>
    <row r="9662" spans="1:16" x14ac:dyDescent="0.25">
      <c r="A9662" t="s">
        <v>32288</v>
      </c>
      <c r="B9662" t="s">
        <v>7199</v>
      </c>
      <c r="C9662" t="s">
        <v>7200</v>
      </c>
      <c r="D9662" t="str">
        <f>"3562"</f>
        <v>3562</v>
      </c>
      <c r="E9662" t="s">
        <v>7202</v>
      </c>
      <c r="F9662" t="s">
        <v>3546</v>
      </c>
      <c r="G9662" t="s">
        <v>16234</v>
      </c>
      <c r="H9662" t="s">
        <v>47054</v>
      </c>
      <c r="I9662" t="s">
        <v>47111</v>
      </c>
      <c r="J9662" t="s">
        <v>47112</v>
      </c>
      <c r="K9662" t="s">
        <v>47113</v>
      </c>
      <c r="L9662">
        <v>53.23</v>
      </c>
      <c r="M9662">
        <v>122</v>
      </c>
      <c r="N9662">
        <v>0</v>
      </c>
      <c r="O9662">
        <v>122</v>
      </c>
      <c r="P9662">
        <v>0</v>
      </c>
    </row>
    <row r="9663" spans="1:16" x14ac:dyDescent="0.25">
      <c r="A9663" t="s">
        <v>14976</v>
      </c>
      <c r="B9663" t="s">
        <v>7203</v>
      </c>
      <c r="C9663" t="s">
        <v>7204</v>
      </c>
      <c r="D9663" t="str">
        <f>"1700"</f>
        <v>1700</v>
      </c>
      <c r="E9663" t="s">
        <v>7205</v>
      </c>
      <c r="F9663" t="s">
        <v>3546</v>
      </c>
      <c r="G9663" t="s">
        <v>16234</v>
      </c>
      <c r="H9663" t="s">
        <v>47054</v>
      </c>
      <c r="I9663" t="s">
        <v>47116</v>
      </c>
      <c r="J9663" t="s">
        <v>47117</v>
      </c>
      <c r="K9663" t="s">
        <v>47113</v>
      </c>
      <c r="L9663">
        <v>50.8</v>
      </c>
      <c r="M9663">
        <v>122</v>
      </c>
      <c r="N9663">
        <v>0</v>
      </c>
      <c r="O9663">
        <v>122</v>
      </c>
      <c r="P9663">
        <v>0</v>
      </c>
    </row>
    <row r="9664" spans="1:16" x14ac:dyDescent="0.25">
      <c r="A9664" t="s">
        <v>32289</v>
      </c>
      <c r="B9664" t="s">
        <v>20439</v>
      </c>
      <c r="C9664" t="s">
        <v>20440</v>
      </c>
      <c r="D9664" t="str">
        <f>"4079"</f>
        <v>4079</v>
      </c>
      <c r="E9664" t="s">
        <v>20441</v>
      </c>
      <c r="F9664" t="s">
        <v>3750</v>
      </c>
      <c r="G9664" t="s">
        <v>16230</v>
      </c>
      <c r="H9664" t="s">
        <v>47054</v>
      </c>
      <c r="I9664" t="s">
        <v>47118</v>
      </c>
      <c r="J9664" t="s">
        <v>47119</v>
      </c>
      <c r="K9664" t="s">
        <v>47113</v>
      </c>
      <c r="L9664">
        <v>14.31</v>
      </c>
      <c r="M9664">
        <v>48</v>
      </c>
      <c r="N9664">
        <v>0</v>
      </c>
      <c r="O9664">
        <v>48</v>
      </c>
      <c r="P9664">
        <v>0</v>
      </c>
    </row>
    <row r="9665" spans="1:16" x14ac:dyDescent="0.25">
      <c r="A9665" t="s">
        <v>32290</v>
      </c>
      <c r="B9665" t="s">
        <v>20442</v>
      </c>
      <c r="C9665" t="s">
        <v>20443</v>
      </c>
      <c r="D9665" t="str">
        <f>"4100"</f>
        <v>4100</v>
      </c>
      <c r="E9665" t="s">
        <v>17644</v>
      </c>
      <c r="F9665" t="s">
        <v>3750</v>
      </c>
      <c r="G9665" t="s">
        <v>16221</v>
      </c>
      <c r="H9665" t="s">
        <v>47054</v>
      </c>
      <c r="I9665" t="s">
        <v>47154</v>
      </c>
      <c r="J9665" t="s">
        <v>47155</v>
      </c>
      <c r="K9665" t="s">
        <v>47113</v>
      </c>
      <c r="L9665">
        <v>8.2100000000000009</v>
      </c>
      <c r="M9665">
        <v>26</v>
      </c>
      <c r="N9665">
        <v>0</v>
      </c>
      <c r="O9665">
        <v>26</v>
      </c>
      <c r="P9665">
        <v>0</v>
      </c>
    </row>
    <row r="9666" spans="1:16" x14ac:dyDescent="0.25">
      <c r="A9666" t="s">
        <v>32291</v>
      </c>
      <c r="B9666" t="s">
        <v>20442</v>
      </c>
      <c r="C9666" t="s">
        <v>20443</v>
      </c>
      <c r="D9666" t="str">
        <f>"6433"</f>
        <v>6433</v>
      </c>
      <c r="E9666" t="s">
        <v>7168</v>
      </c>
      <c r="F9666" t="s">
        <v>3750</v>
      </c>
      <c r="G9666" t="s">
        <v>16221</v>
      </c>
      <c r="H9666" t="s">
        <v>47054</v>
      </c>
      <c r="I9666" t="s">
        <v>47154</v>
      </c>
      <c r="J9666" t="s">
        <v>47155</v>
      </c>
      <c r="K9666" t="s">
        <v>47113</v>
      </c>
      <c r="L9666">
        <v>8.2100000000000009</v>
      </c>
      <c r="M9666">
        <v>26</v>
      </c>
      <c r="N9666">
        <v>0</v>
      </c>
      <c r="O9666">
        <v>26</v>
      </c>
      <c r="P9666">
        <v>0</v>
      </c>
    </row>
    <row r="9667" spans="1:16" x14ac:dyDescent="0.25">
      <c r="A9667" t="s">
        <v>19487</v>
      </c>
      <c r="B9667" t="s">
        <v>19488</v>
      </c>
      <c r="C9667" t="s">
        <v>19489</v>
      </c>
      <c r="D9667" t="str">
        <f>"4032"</f>
        <v>4032</v>
      </c>
      <c r="E9667" t="s">
        <v>19490</v>
      </c>
      <c r="F9667" t="s">
        <v>3750</v>
      </c>
      <c r="G9667" t="s">
        <v>16230</v>
      </c>
      <c r="H9667" t="s">
        <v>47054</v>
      </c>
      <c r="I9667" t="s">
        <v>47118</v>
      </c>
      <c r="J9667" t="s">
        <v>47119</v>
      </c>
      <c r="K9667" t="s">
        <v>47113</v>
      </c>
      <c r="L9667">
        <v>14.31</v>
      </c>
      <c r="M9667">
        <v>48</v>
      </c>
      <c r="N9667">
        <v>0</v>
      </c>
      <c r="O9667">
        <v>48</v>
      </c>
      <c r="P9667">
        <v>0</v>
      </c>
    </row>
    <row r="9668" spans="1:16" x14ac:dyDescent="0.25">
      <c r="A9668" t="s">
        <v>32292</v>
      </c>
      <c r="B9668" t="s">
        <v>20444</v>
      </c>
      <c r="C9668" t="s">
        <v>20445</v>
      </c>
      <c r="D9668" t="str">
        <f>"8000"</f>
        <v>8000</v>
      </c>
      <c r="E9668" t="s">
        <v>20446</v>
      </c>
      <c r="F9668" t="s">
        <v>3750</v>
      </c>
      <c r="G9668" t="s">
        <v>16230</v>
      </c>
      <c r="H9668" t="s">
        <v>47054</v>
      </c>
      <c r="I9668" t="s">
        <v>47118</v>
      </c>
      <c r="J9668" t="s">
        <v>47119</v>
      </c>
      <c r="K9668" t="s">
        <v>47113</v>
      </c>
      <c r="L9668">
        <v>13.8</v>
      </c>
      <c r="M9668">
        <v>47</v>
      </c>
      <c r="N9668">
        <v>0</v>
      </c>
      <c r="O9668">
        <v>47</v>
      </c>
      <c r="P9668">
        <v>0</v>
      </c>
    </row>
    <row r="9669" spans="1:16" x14ac:dyDescent="0.25">
      <c r="A9669" t="s">
        <v>32293</v>
      </c>
      <c r="B9669" t="s">
        <v>20447</v>
      </c>
      <c r="C9669" t="s">
        <v>20448</v>
      </c>
      <c r="D9669" t="s">
        <v>19885</v>
      </c>
      <c r="E9669" t="s">
        <v>19886</v>
      </c>
      <c r="F9669" t="s">
        <v>16839</v>
      </c>
      <c r="G9669" t="s">
        <v>16231</v>
      </c>
      <c r="H9669" t="s">
        <v>47054</v>
      </c>
      <c r="I9669" t="s">
        <v>47111</v>
      </c>
      <c r="J9669" t="s">
        <v>47112</v>
      </c>
      <c r="K9669" t="s">
        <v>47113</v>
      </c>
      <c r="L9669">
        <v>57.04</v>
      </c>
      <c r="M9669">
        <v>129</v>
      </c>
      <c r="N9669">
        <v>0</v>
      </c>
      <c r="O9669">
        <v>129</v>
      </c>
      <c r="P9669">
        <v>0</v>
      </c>
    </row>
    <row r="9670" spans="1:16" x14ac:dyDescent="0.25">
      <c r="A9670" t="s">
        <v>32294</v>
      </c>
      <c r="B9670" t="s">
        <v>20447</v>
      </c>
      <c r="C9670" t="s">
        <v>20448</v>
      </c>
      <c r="D9670" t="s">
        <v>19887</v>
      </c>
      <c r="E9670" t="s">
        <v>19888</v>
      </c>
      <c r="F9670" t="s">
        <v>16839</v>
      </c>
      <c r="G9670" t="s">
        <v>16231</v>
      </c>
      <c r="H9670" t="s">
        <v>47054</v>
      </c>
      <c r="I9670" t="s">
        <v>47111</v>
      </c>
      <c r="J9670" t="s">
        <v>47112</v>
      </c>
      <c r="K9670" t="s">
        <v>47113</v>
      </c>
      <c r="L9670">
        <v>56.38</v>
      </c>
      <c r="M9670">
        <v>129</v>
      </c>
      <c r="N9670">
        <v>0</v>
      </c>
      <c r="O9670">
        <v>129</v>
      </c>
      <c r="P9670">
        <v>0</v>
      </c>
    </row>
    <row r="9671" spans="1:16" x14ac:dyDescent="0.25">
      <c r="A9671" t="s">
        <v>32295</v>
      </c>
      <c r="B9671" t="s">
        <v>32296</v>
      </c>
      <c r="C9671" t="s">
        <v>16469</v>
      </c>
      <c r="D9671" t="s">
        <v>30118</v>
      </c>
      <c r="E9671" t="s">
        <v>30119</v>
      </c>
      <c r="F9671" t="s">
        <v>24627</v>
      </c>
      <c r="G9671" t="s">
        <v>16231</v>
      </c>
      <c r="H9671" t="s">
        <v>47054</v>
      </c>
      <c r="I9671" t="s">
        <v>47544</v>
      </c>
      <c r="J9671" t="s">
        <v>47545</v>
      </c>
      <c r="K9671" t="s">
        <v>47113</v>
      </c>
      <c r="L9671">
        <v>34.590000000000003</v>
      </c>
      <c r="M9671">
        <v>85</v>
      </c>
      <c r="N9671">
        <v>229</v>
      </c>
      <c r="O9671">
        <v>85</v>
      </c>
      <c r="P9671">
        <v>229</v>
      </c>
    </row>
    <row r="9672" spans="1:16" x14ac:dyDescent="0.25">
      <c r="A9672" t="s">
        <v>32297</v>
      </c>
      <c r="B9672" t="s">
        <v>32298</v>
      </c>
      <c r="C9672" t="s">
        <v>17523</v>
      </c>
      <c r="D9672" t="s">
        <v>29626</v>
      </c>
      <c r="E9672" t="s">
        <v>29627</v>
      </c>
      <c r="F9672" t="s">
        <v>24627</v>
      </c>
      <c r="G9672" t="s">
        <v>16231</v>
      </c>
      <c r="H9672" t="s">
        <v>47054</v>
      </c>
      <c r="I9672" t="s">
        <v>47116</v>
      </c>
      <c r="J9672" t="s">
        <v>47117</v>
      </c>
      <c r="K9672" t="s">
        <v>47113</v>
      </c>
      <c r="L9672">
        <v>51.38</v>
      </c>
      <c r="M9672">
        <v>111</v>
      </c>
      <c r="N9672">
        <v>299</v>
      </c>
      <c r="O9672">
        <v>111</v>
      </c>
      <c r="P9672">
        <v>299</v>
      </c>
    </row>
    <row r="9673" spans="1:16" x14ac:dyDescent="0.25">
      <c r="A9673" t="s">
        <v>17520</v>
      </c>
      <c r="B9673" t="s">
        <v>16340</v>
      </c>
      <c r="C9673" t="s">
        <v>19479</v>
      </c>
      <c r="D9673" t="str">
        <f>"1200"</f>
        <v>1200</v>
      </c>
      <c r="E9673" t="s">
        <v>16341</v>
      </c>
      <c r="F9673" t="s">
        <v>15183</v>
      </c>
      <c r="G9673" t="s">
        <v>16234</v>
      </c>
      <c r="H9673" t="s">
        <v>47054</v>
      </c>
      <c r="I9673" t="s">
        <v>47120</v>
      </c>
      <c r="J9673" t="s">
        <v>47121</v>
      </c>
      <c r="K9673" t="s">
        <v>47113</v>
      </c>
      <c r="L9673">
        <v>26.45</v>
      </c>
      <c r="M9673">
        <v>74</v>
      </c>
      <c r="N9673">
        <v>0</v>
      </c>
      <c r="O9673">
        <v>74</v>
      </c>
      <c r="P9673">
        <v>0</v>
      </c>
    </row>
    <row r="9674" spans="1:16" x14ac:dyDescent="0.25">
      <c r="A9674" t="s">
        <v>32299</v>
      </c>
      <c r="B9674" t="s">
        <v>16340</v>
      </c>
      <c r="C9674" t="s">
        <v>19479</v>
      </c>
      <c r="D9674" t="str">
        <f>"2500"</f>
        <v>2500</v>
      </c>
      <c r="E9674" t="s">
        <v>16293</v>
      </c>
      <c r="F9674" t="s">
        <v>15183</v>
      </c>
      <c r="G9674" t="s">
        <v>16234</v>
      </c>
      <c r="H9674" t="s">
        <v>47054</v>
      </c>
      <c r="I9674" t="s">
        <v>47120</v>
      </c>
      <c r="J9674" t="s">
        <v>47121</v>
      </c>
      <c r="K9674" t="s">
        <v>47113</v>
      </c>
      <c r="L9674">
        <v>26.45</v>
      </c>
      <c r="M9674">
        <v>74</v>
      </c>
      <c r="N9674">
        <v>0</v>
      </c>
      <c r="O9674">
        <v>74</v>
      </c>
      <c r="P9674">
        <v>0</v>
      </c>
    </row>
    <row r="9675" spans="1:16" x14ac:dyDescent="0.25">
      <c r="A9675" t="s">
        <v>32300</v>
      </c>
      <c r="B9675" t="s">
        <v>16340</v>
      </c>
      <c r="C9675" t="s">
        <v>19479</v>
      </c>
      <c r="D9675" t="str">
        <f>"4000"</f>
        <v>4000</v>
      </c>
      <c r="E9675" t="s">
        <v>16294</v>
      </c>
      <c r="F9675" t="s">
        <v>15183</v>
      </c>
      <c r="G9675" t="s">
        <v>16234</v>
      </c>
      <c r="H9675" t="s">
        <v>47054</v>
      </c>
      <c r="I9675" t="s">
        <v>47120</v>
      </c>
      <c r="J9675" t="s">
        <v>47121</v>
      </c>
      <c r="K9675" t="s">
        <v>47113</v>
      </c>
      <c r="L9675">
        <v>26.45</v>
      </c>
      <c r="M9675">
        <v>74</v>
      </c>
      <c r="N9675">
        <v>0</v>
      </c>
      <c r="O9675">
        <v>74</v>
      </c>
      <c r="P9675">
        <v>0</v>
      </c>
    </row>
    <row r="9676" spans="1:16" x14ac:dyDescent="0.25">
      <c r="A9676" t="s">
        <v>32301</v>
      </c>
      <c r="B9676" t="s">
        <v>16342</v>
      </c>
      <c r="C9676" t="s">
        <v>17521</v>
      </c>
      <c r="D9676" t="s">
        <v>15336</v>
      </c>
      <c r="E9676" t="s">
        <v>15337</v>
      </c>
      <c r="F9676" t="s">
        <v>15183</v>
      </c>
      <c r="G9676" t="s">
        <v>16234</v>
      </c>
      <c r="H9676" t="s">
        <v>47054</v>
      </c>
      <c r="I9676" t="s">
        <v>47120</v>
      </c>
      <c r="J9676" t="s">
        <v>47121</v>
      </c>
      <c r="K9676" t="s">
        <v>47113</v>
      </c>
      <c r="L9676">
        <v>31.82</v>
      </c>
      <c r="M9676">
        <v>74</v>
      </c>
      <c r="N9676">
        <v>0</v>
      </c>
      <c r="O9676">
        <v>74</v>
      </c>
      <c r="P9676">
        <v>0</v>
      </c>
    </row>
    <row r="9677" spans="1:16" x14ac:dyDescent="0.25">
      <c r="A9677" t="s">
        <v>32302</v>
      </c>
      <c r="B9677" t="s">
        <v>16342</v>
      </c>
      <c r="C9677" t="s">
        <v>17521</v>
      </c>
      <c r="D9677" t="s">
        <v>15338</v>
      </c>
      <c r="E9677" t="s">
        <v>15339</v>
      </c>
      <c r="F9677" t="s">
        <v>15183</v>
      </c>
      <c r="G9677" t="s">
        <v>16234</v>
      </c>
      <c r="H9677" t="s">
        <v>47054</v>
      </c>
      <c r="I9677" t="s">
        <v>47120</v>
      </c>
      <c r="J9677" t="s">
        <v>47121</v>
      </c>
      <c r="K9677" t="s">
        <v>47113</v>
      </c>
      <c r="L9677">
        <v>29.27</v>
      </c>
      <c r="M9677">
        <v>74</v>
      </c>
      <c r="N9677">
        <v>0</v>
      </c>
      <c r="O9677">
        <v>74</v>
      </c>
      <c r="P9677">
        <v>0</v>
      </c>
    </row>
    <row r="9678" spans="1:16" x14ac:dyDescent="0.25">
      <c r="A9678" t="s">
        <v>32303</v>
      </c>
      <c r="B9678" t="s">
        <v>17522</v>
      </c>
      <c r="C9678" t="s">
        <v>17523</v>
      </c>
      <c r="D9678" t="s">
        <v>15256</v>
      </c>
      <c r="E9678" t="s">
        <v>15257</v>
      </c>
      <c r="F9678" t="s">
        <v>15183</v>
      </c>
      <c r="G9678" t="s">
        <v>16231</v>
      </c>
      <c r="H9678" t="s">
        <v>47054</v>
      </c>
      <c r="I9678" t="s">
        <v>47111</v>
      </c>
      <c r="J9678" t="s">
        <v>47112</v>
      </c>
      <c r="K9678" t="s">
        <v>47113</v>
      </c>
      <c r="L9678">
        <v>65.930000000000007</v>
      </c>
      <c r="M9678">
        <v>125</v>
      </c>
      <c r="N9678">
        <v>0</v>
      </c>
      <c r="O9678">
        <v>125</v>
      </c>
      <c r="P9678">
        <v>0</v>
      </c>
    </row>
    <row r="9679" spans="1:16" x14ac:dyDescent="0.25">
      <c r="A9679" t="s">
        <v>32304</v>
      </c>
      <c r="B9679" t="s">
        <v>15534</v>
      </c>
      <c r="C9679" t="s">
        <v>17524</v>
      </c>
      <c r="D9679" t="s">
        <v>15282</v>
      </c>
      <c r="E9679" t="s">
        <v>15283</v>
      </c>
      <c r="F9679" t="s">
        <v>15183</v>
      </c>
      <c r="G9679" t="s">
        <v>16231</v>
      </c>
      <c r="H9679" t="s">
        <v>47054</v>
      </c>
      <c r="I9679" t="s">
        <v>47111</v>
      </c>
      <c r="J9679" t="s">
        <v>47112</v>
      </c>
      <c r="K9679" t="s">
        <v>47113</v>
      </c>
      <c r="L9679">
        <v>61.14</v>
      </c>
      <c r="M9679">
        <v>125</v>
      </c>
      <c r="N9679">
        <v>0</v>
      </c>
      <c r="O9679">
        <v>125</v>
      </c>
      <c r="P9679">
        <v>0</v>
      </c>
    </row>
    <row r="9680" spans="1:16" x14ac:dyDescent="0.25">
      <c r="A9680" t="s">
        <v>32305</v>
      </c>
      <c r="B9680" t="s">
        <v>15535</v>
      </c>
      <c r="C9680" t="s">
        <v>16469</v>
      </c>
      <c r="D9680" t="s">
        <v>5444</v>
      </c>
      <c r="E9680" t="s">
        <v>5445</v>
      </c>
      <c r="F9680" t="s">
        <v>16601</v>
      </c>
      <c r="G9680" t="s">
        <v>16231</v>
      </c>
      <c r="H9680" t="s">
        <v>47054</v>
      </c>
      <c r="I9680" t="s">
        <v>47111</v>
      </c>
      <c r="J9680" t="s">
        <v>47112</v>
      </c>
      <c r="K9680" t="s">
        <v>47113</v>
      </c>
      <c r="L9680">
        <v>48.99</v>
      </c>
      <c r="M9680">
        <v>100</v>
      </c>
      <c r="N9680">
        <v>0</v>
      </c>
      <c r="O9680">
        <v>100</v>
      </c>
      <c r="P9680">
        <v>0</v>
      </c>
    </row>
    <row r="9681" spans="1:16" x14ac:dyDescent="0.25">
      <c r="A9681" t="s">
        <v>32306</v>
      </c>
      <c r="B9681" t="s">
        <v>15535</v>
      </c>
      <c r="C9681" t="s">
        <v>16469</v>
      </c>
      <c r="D9681" t="s">
        <v>15288</v>
      </c>
      <c r="E9681" t="s">
        <v>15289</v>
      </c>
      <c r="F9681" t="s">
        <v>15183</v>
      </c>
      <c r="G9681" t="s">
        <v>16231</v>
      </c>
      <c r="H9681" t="s">
        <v>47054</v>
      </c>
      <c r="I9681" t="s">
        <v>47111</v>
      </c>
      <c r="J9681" t="s">
        <v>47112</v>
      </c>
      <c r="K9681" t="s">
        <v>47113</v>
      </c>
      <c r="L9681">
        <v>43.04</v>
      </c>
      <c r="M9681">
        <v>92</v>
      </c>
      <c r="N9681">
        <v>0</v>
      </c>
      <c r="O9681">
        <v>92</v>
      </c>
      <c r="P9681">
        <v>0</v>
      </c>
    </row>
    <row r="9682" spans="1:16" x14ac:dyDescent="0.25">
      <c r="A9682" t="s">
        <v>32307</v>
      </c>
      <c r="B9682" t="s">
        <v>15535</v>
      </c>
      <c r="C9682" t="s">
        <v>16469</v>
      </c>
      <c r="D9682" t="s">
        <v>15290</v>
      </c>
      <c r="E9682" t="s">
        <v>15291</v>
      </c>
      <c r="F9682" t="s">
        <v>15183</v>
      </c>
      <c r="G9682" t="s">
        <v>16231</v>
      </c>
      <c r="H9682" t="s">
        <v>47054</v>
      </c>
      <c r="I9682" t="s">
        <v>47111</v>
      </c>
      <c r="J9682" t="s">
        <v>47112</v>
      </c>
      <c r="K9682" t="s">
        <v>47113</v>
      </c>
      <c r="L9682">
        <v>45.99</v>
      </c>
      <c r="M9682">
        <v>90</v>
      </c>
      <c r="N9682">
        <v>0</v>
      </c>
      <c r="O9682">
        <v>90</v>
      </c>
      <c r="P9682">
        <v>0</v>
      </c>
    </row>
    <row r="9683" spans="1:16" x14ac:dyDescent="0.25">
      <c r="A9683" t="s">
        <v>32308</v>
      </c>
      <c r="B9683" t="s">
        <v>15535</v>
      </c>
      <c r="C9683" t="s">
        <v>16469</v>
      </c>
      <c r="D9683" t="s">
        <v>15292</v>
      </c>
      <c r="E9683" t="s">
        <v>15293</v>
      </c>
      <c r="F9683" t="s">
        <v>15183</v>
      </c>
      <c r="G9683" t="s">
        <v>16231</v>
      </c>
      <c r="H9683" t="s">
        <v>47054</v>
      </c>
      <c r="I9683" t="s">
        <v>47111</v>
      </c>
      <c r="J9683" t="s">
        <v>47112</v>
      </c>
      <c r="K9683" t="s">
        <v>47113</v>
      </c>
      <c r="L9683">
        <v>45.99</v>
      </c>
      <c r="M9683">
        <v>90</v>
      </c>
      <c r="N9683">
        <v>0</v>
      </c>
      <c r="O9683">
        <v>90</v>
      </c>
      <c r="P9683">
        <v>0</v>
      </c>
    </row>
    <row r="9684" spans="1:16" x14ac:dyDescent="0.25">
      <c r="A9684" t="s">
        <v>32309</v>
      </c>
      <c r="B9684" t="s">
        <v>15535</v>
      </c>
      <c r="C9684" t="s">
        <v>16469</v>
      </c>
      <c r="D9684" t="s">
        <v>16850</v>
      </c>
      <c r="E9684" t="s">
        <v>16851</v>
      </c>
      <c r="F9684" t="s">
        <v>16601</v>
      </c>
      <c r="G9684" t="s">
        <v>16231</v>
      </c>
      <c r="H9684" t="s">
        <v>47054</v>
      </c>
      <c r="I9684" t="s">
        <v>47111</v>
      </c>
      <c r="J9684" t="s">
        <v>47112</v>
      </c>
      <c r="K9684" t="s">
        <v>47113</v>
      </c>
      <c r="L9684">
        <v>49.1</v>
      </c>
      <c r="M9684">
        <v>92</v>
      </c>
      <c r="N9684">
        <v>0</v>
      </c>
      <c r="O9684">
        <v>92</v>
      </c>
      <c r="P9684">
        <v>0</v>
      </c>
    </row>
    <row r="9685" spans="1:16" x14ac:dyDescent="0.25">
      <c r="A9685" t="s">
        <v>32310</v>
      </c>
      <c r="B9685" t="s">
        <v>15536</v>
      </c>
      <c r="C9685" t="s">
        <v>17525</v>
      </c>
      <c r="D9685" t="s">
        <v>15517</v>
      </c>
      <c r="E9685" t="s">
        <v>15518</v>
      </c>
      <c r="F9685" t="s">
        <v>15183</v>
      </c>
      <c r="G9685" t="s">
        <v>16231</v>
      </c>
      <c r="H9685" t="s">
        <v>47054</v>
      </c>
      <c r="I9685" t="s">
        <v>47111</v>
      </c>
      <c r="J9685" t="s">
        <v>47112</v>
      </c>
      <c r="K9685" t="s">
        <v>47113</v>
      </c>
      <c r="L9685">
        <v>55.8</v>
      </c>
      <c r="M9685">
        <v>107</v>
      </c>
      <c r="N9685">
        <v>0</v>
      </c>
      <c r="O9685">
        <v>107</v>
      </c>
      <c r="P9685">
        <v>0</v>
      </c>
    </row>
    <row r="9686" spans="1:16" x14ac:dyDescent="0.25">
      <c r="A9686" t="s">
        <v>32311</v>
      </c>
      <c r="B9686" t="s">
        <v>15537</v>
      </c>
      <c r="C9686" t="s">
        <v>17524</v>
      </c>
      <c r="D9686" t="s">
        <v>8153</v>
      </c>
      <c r="E9686" t="s">
        <v>8154</v>
      </c>
      <c r="F9686" t="s">
        <v>15183</v>
      </c>
      <c r="G9686" t="s">
        <v>16231</v>
      </c>
      <c r="H9686" t="s">
        <v>47054</v>
      </c>
      <c r="I9686" t="s">
        <v>47111</v>
      </c>
      <c r="J9686" t="s">
        <v>47112</v>
      </c>
      <c r="K9686" t="s">
        <v>47113</v>
      </c>
      <c r="L9686">
        <v>37.65</v>
      </c>
      <c r="M9686">
        <v>119</v>
      </c>
      <c r="N9686">
        <v>0</v>
      </c>
      <c r="O9686">
        <v>119</v>
      </c>
      <c r="P9686">
        <v>0</v>
      </c>
    </row>
    <row r="9687" spans="1:16" x14ac:dyDescent="0.25">
      <c r="A9687" t="s">
        <v>32312</v>
      </c>
      <c r="B9687" t="s">
        <v>17526</v>
      </c>
      <c r="C9687" t="s">
        <v>5237</v>
      </c>
      <c r="D9687" t="str">
        <f>"1200"</f>
        <v>1200</v>
      </c>
      <c r="E9687" t="s">
        <v>16854</v>
      </c>
      <c r="F9687" t="s">
        <v>16601</v>
      </c>
      <c r="G9687" t="s">
        <v>16234</v>
      </c>
      <c r="I9687" t="s">
        <v>47136</v>
      </c>
      <c r="J9687" t="s">
        <v>47137</v>
      </c>
      <c r="K9687" t="s">
        <v>47113</v>
      </c>
      <c r="L9687">
        <v>28.7</v>
      </c>
      <c r="M9687">
        <v>66</v>
      </c>
      <c r="N9687">
        <v>0</v>
      </c>
      <c r="O9687">
        <v>66</v>
      </c>
      <c r="P9687">
        <v>0</v>
      </c>
    </row>
    <row r="9688" spans="1:16" x14ac:dyDescent="0.25">
      <c r="A9688" t="s">
        <v>32313</v>
      </c>
      <c r="B9688" t="s">
        <v>17526</v>
      </c>
      <c r="C9688" t="s">
        <v>5237</v>
      </c>
      <c r="D9688" t="str">
        <f>"4100"</f>
        <v>4100</v>
      </c>
      <c r="E9688" t="s">
        <v>16855</v>
      </c>
      <c r="F9688" t="s">
        <v>16601</v>
      </c>
      <c r="G9688" t="s">
        <v>16234</v>
      </c>
      <c r="I9688" t="s">
        <v>47136</v>
      </c>
      <c r="J9688" t="s">
        <v>47137</v>
      </c>
      <c r="K9688" t="s">
        <v>47113</v>
      </c>
      <c r="L9688">
        <v>28.7</v>
      </c>
      <c r="M9688">
        <v>66</v>
      </c>
      <c r="N9688">
        <v>0</v>
      </c>
      <c r="O9688">
        <v>66</v>
      </c>
      <c r="P9688">
        <v>0</v>
      </c>
    </row>
    <row r="9689" spans="1:16" x14ac:dyDescent="0.25">
      <c r="A9689" t="s">
        <v>32314</v>
      </c>
      <c r="B9689" t="s">
        <v>17527</v>
      </c>
      <c r="C9689" t="s">
        <v>16469</v>
      </c>
      <c r="D9689" t="s">
        <v>16984</v>
      </c>
      <c r="E9689" t="s">
        <v>16985</v>
      </c>
      <c r="F9689" t="s">
        <v>16762</v>
      </c>
      <c r="G9689" t="s">
        <v>16231</v>
      </c>
      <c r="H9689" t="s">
        <v>47054</v>
      </c>
      <c r="I9689" t="s">
        <v>47111</v>
      </c>
      <c r="J9689" t="s">
        <v>47112</v>
      </c>
      <c r="K9689" t="s">
        <v>47113</v>
      </c>
      <c r="L9689">
        <v>56.41</v>
      </c>
      <c r="M9689">
        <v>100</v>
      </c>
      <c r="N9689">
        <v>0</v>
      </c>
      <c r="O9689">
        <v>100</v>
      </c>
      <c r="P9689">
        <v>0</v>
      </c>
    </row>
    <row r="9690" spans="1:16" x14ac:dyDescent="0.25">
      <c r="A9690" t="s">
        <v>32315</v>
      </c>
      <c r="B9690" t="s">
        <v>17527</v>
      </c>
      <c r="C9690" t="s">
        <v>16469</v>
      </c>
      <c r="D9690" t="s">
        <v>16986</v>
      </c>
      <c r="E9690" t="s">
        <v>16987</v>
      </c>
      <c r="F9690" t="s">
        <v>16762</v>
      </c>
      <c r="G9690" t="s">
        <v>16231</v>
      </c>
      <c r="H9690" t="s">
        <v>47054</v>
      </c>
      <c r="I9690" t="s">
        <v>47111</v>
      </c>
      <c r="J9690" t="s">
        <v>47112</v>
      </c>
      <c r="K9690" t="s">
        <v>47113</v>
      </c>
      <c r="L9690">
        <v>57.26</v>
      </c>
      <c r="M9690">
        <v>100</v>
      </c>
      <c r="N9690">
        <v>0</v>
      </c>
      <c r="O9690">
        <v>100</v>
      </c>
      <c r="P9690">
        <v>0</v>
      </c>
    </row>
    <row r="9691" spans="1:16" x14ac:dyDescent="0.25">
      <c r="A9691" t="s">
        <v>32316</v>
      </c>
      <c r="B9691" t="s">
        <v>17528</v>
      </c>
      <c r="C9691" t="s">
        <v>16469</v>
      </c>
      <c r="D9691" t="s">
        <v>15271</v>
      </c>
      <c r="E9691" t="s">
        <v>15272</v>
      </c>
      <c r="F9691" t="s">
        <v>16601</v>
      </c>
      <c r="G9691" t="s">
        <v>16231</v>
      </c>
      <c r="H9691" t="s">
        <v>47054</v>
      </c>
      <c r="I9691" t="s">
        <v>47111</v>
      </c>
      <c r="J9691" t="s">
        <v>47112</v>
      </c>
      <c r="K9691" t="s">
        <v>47113</v>
      </c>
      <c r="L9691">
        <v>53.27</v>
      </c>
      <c r="M9691">
        <v>92</v>
      </c>
      <c r="N9691">
        <v>0</v>
      </c>
      <c r="O9691">
        <v>92</v>
      </c>
      <c r="P9691">
        <v>0</v>
      </c>
    </row>
    <row r="9692" spans="1:16" x14ac:dyDescent="0.25">
      <c r="A9692" t="s">
        <v>32317</v>
      </c>
      <c r="B9692" t="s">
        <v>17528</v>
      </c>
      <c r="C9692" t="s">
        <v>16469</v>
      </c>
      <c r="D9692" t="s">
        <v>16763</v>
      </c>
      <c r="E9692" t="s">
        <v>16764</v>
      </c>
      <c r="F9692" t="s">
        <v>16601</v>
      </c>
      <c r="G9692" t="s">
        <v>16231</v>
      </c>
      <c r="H9692" t="s">
        <v>47054</v>
      </c>
      <c r="I9692" t="s">
        <v>47111</v>
      </c>
      <c r="J9692" t="s">
        <v>47112</v>
      </c>
      <c r="K9692" t="s">
        <v>47113</v>
      </c>
      <c r="L9692">
        <v>58.91</v>
      </c>
      <c r="M9692">
        <v>103</v>
      </c>
      <c r="N9692">
        <v>0</v>
      </c>
      <c r="O9692">
        <v>103</v>
      </c>
      <c r="P9692">
        <v>0</v>
      </c>
    </row>
    <row r="9693" spans="1:16" x14ac:dyDescent="0.25">
      <c r="A9693" t="s">
        <v>32318</v>
      </c>
      <c r="B9693" t="s">
        <v>17528</v>
      </c>
      <c r="C9693" t="s">
        <v>16469</v>
      </c>
      <c r="D9693" t="s">
        <v>16765</v>
      </c>
      <c r="E9693" t="s">
        <v>16766</v>
      </c>
      <c r="F9693" t="s">
        <v>16762</v>
      </c>
      <c r="G9693" t="s">
        <v>16231</v>
      </c>
      <c r="H9693" t="s">
        <v>47054</v>
      </c>
      <c r="I9693" t="s">
        <v>47111</v>
      </c>
      <c r="J9693" t="s">
        <v>47112</v>
      </c>
      <c r="K9693" t="s">
        <v>47113</v>
      </c>
      <c r="L9693">
        <v>57.78</v>
      </c>
      <c r="M9693">
        <v>92</v>
      </c>
      <c r="N9693">
        <v>0</v>
      </c>
      <c r="O9693">
        <v>92</v>
      </c>
      <c r="P9693">
        <v>0</v>
      </c>
    </row>
    <row r="9694" spans="1:16" x14ac:dyDescent="0.25">
      <c r="A9694" t="s">
        <v>32319</v>
      </c>
      <c r="B9694" t="s">
        <v>17529</v>
      </c>
      <c r="C9694" t="s">
        <v>17523</v>
      </c>
      <c r="D9694" t="s">
        <v>16769</v>
      </c>
      <c r="E9694" t="s">
        <v>16770</v>
      </c>
      <c r="F9694" t="s">
        <v>16601</v>
      </c>
      <c r="G9694" t="s">
        <v>16231</v>
      </c>
      <c r="H9694" t="s">
        <v>47054</v>
      </c>
      <c r="I9694" t="s">
        <v>47111</v>
      </c>
      <c r="J9694" t="s">
        <v>47112</v>
      </c>
      <c r="K9694" t="s">
        <v>47113</v>
      </c>
      <c r="L9694">
        <v>76.72</v>
      </c>
      <c r="M9694">
        <v>140</v>
      </c>
      <c r="N9694">
        <v>0</v>
      </c>
      <c r="O9694">
        <v>140</v>
      </c>
      <c r="P9694">
        <v>0</v>
      </c>
    </row>
    <row r="9695" spans="1:16" x14ac:dyDescent="0.25">
      <c r="A9695" t="s">
        <v>32320</v>
      </c>
      <c r="B9695" t="s">
        <v>17530</v>
      </c>
      <c r="C9695" t="s">
        <v>17523</v>
      </c>
      <c r="D9695" t="s">
        <v>16773</v>
      </c>
      <c r="E9695" t="s">
        <v>16774</v>
      </c>
      <c r="F9695" t="s">
        <v>16771</v>
      </c>
      <c r="G9695" t="s">
        <v>16231</v>
      </c>
      <c r="H9695" t="s">
        <v>47054</v>
      </c>
      <c r="I9695" t="s">
        <v>47111</v>
      </c>
      <c r="J9695" t="s">
        <v>47112</v>
      </c>
      <c r="K9695" t="s">
        <v>47113</v>
      </c>
      <c r="L9695">
        <v>69.67</v>
      </c>
      <c r="M9695">
        <v>129</v>
      </c>
      <c r="N9695">
        <v>0</v>
      </c>
      <c r="O9695">
        <v>129</v>
      </c>
      <c r="P9695">
        <v>0</v>
      </c>
    </row>
    <row r="9696" spans="1:16" x14ac:dyDescent="0.25">
      <c r="A9696" t="s">
        <v>32321</v>
      </c>
      <c r="B9696" t="s">
        <v>17531</v>
      </c>
      <c r="C9696" t="s">
        <v>17523</v>
      </c>
      <c r="D9696" t="s">
        <v>17532</v>
      </c>
      <c r="E9696" t="s">
        <v>17533</v>
      </c>
      <c r="F9696" t="s">
        <v>16601</v>
      </c>
      <c r="G9696" t="s">
        <v>16231</v>
      </c>
      <c r="H9696" t="s">
        <v>47054</v>
      </c>
      <c r="I9696" t="s">
        <v>47111</v>
      </c>
      <c r="J9696" t="s">
        <v>47112</v>
      </c>
      <c r="K9696" t="s">
        <v>47113</v>
      </c>
      <c r="L9696">
        <v>70.64</v>
      </c>
      <c r="M9696">
        <v>133</v>
      </c>
      <c r="N9696">
        <v>0</v>
      </c>
      <c r="O9696">
        <v>133</v>
      </c>
      <c r="P9696">
        <v>0</v>
      </c>
    </row>
    <row r="9697" spans="1:16" x14ac:dyDescent="0.25">
      <c r="A9697" t="s">
        <v>32322</v>
      </c>
      <c r="B9697" t="s">
        <v>17534</v>
      </c>
      <c r="C9697" t="s">
        <v>17523</v>
      </c>
      <c r="D9697" t="s">
        <v>16728</v>
      </c>
      <c r="E9697" t="s">
        <v>16729</v>
      </c>
      <c r="F9697" t="s">
        <v>16601</v>
      </c>
      <c r="G9697" t="s">
        <v>16231</v>
      </c>
      <c r="H9697" t="s">
        <v>47054</v>
      </c>
      <c r="I9697" t="s">
        <v>47111</v>
      </c>
      <c r="J9697" t="s">
        <v>47112</v>
      </c>
      <c r="K9697" t="s">
        <v>47113</v>
      </c>
      <c r="L9697">
        <v>74.92</v>
      </c>
      <c r="M9697">
        <v>137</v>
      </c>
      <c r="N9697">
        <v>0</v>
      </c>
      <c r="O9697">
        <v>137</v>
      </c>
      <c r="P9697">
        <v>0</v>
      </c>
    </row>
    <row r="9698" spans="1:16" x14ac:dyDescent="0.25">
      <c r="A9698" t="s">
        <v>32323</v>
      </c>
      <c r="B9698" t="s">
        <v>17535</v>
      </c>
      <c r="C9698" t="s">
        <v>20449</v>
      </c>
      <c r="D9698" t="str">
        <f>"1001"</f>
        <v>1001</v>
      </c>
      <c r="E9698" t="s">
        <v>17536</v>
      </c>
      <c r="F9698" t="s">
        <v>16730</v>
      </c>
      <c r="G9698" t="s">
        <v>16234</v>
      </c>
      <c r="H9698" t="s">
        <v>47054</v>
      </c>
      <c r="I9698" t="s">
        <v>47120</v>
      </c>
      <c r="J9698" t="s">
        <v>47121</v>
      </c>
      <c r="K9698" t="s">
        <v>47113</v>
      </c>
      <c r="L9698">
        <v>27.75</v>
      </c>
      <c r="M9698">
        <v>74</v>
      </c>
      <c r="N9698">
        <v>0</v>
      </c>
      <c r="O9698">
        <v>74</v>
      </c>
      <c r="P9698">
        <v>0</v>
      </c>
    </row>
    <row r="9699" spans="1:16" x14ac:dyDescent="0.25">
      <c r="A9699" t="s">
        <v>32324</v>
      </c>
      <c r="B9699" t="s">
        <v>17535</v>
      </c>
      <c r="C9699" t="s">
        <v>20449</v>
      </c>
      <c r="D9699" t="str">
        <f>"2000"</f>
        <v>2000</v>
      </c>
      <c r="E9699" t="s">
        <v>16781</v>
      </c>
      <c r="F9699" t="s">
        <v>16730</v>
      </c>
      <c r="G9699" t="s">
        <v>16234</v>
      </c>
      <c r="H9699" t="s">
        <v>47054</v>
      </c>
      <c r="I9699" t="s">
        <v>47120</v>
      </c>
      <c r="J9699" t="s">
        <v>47121</v>
      </c>
      <c r="K9699" t="s">
        <v>47113</v>
      </c>
      <c r="L9699">
        <v>27.75</v>
      </c>
      <c r="M9699">
        <v>74</v>
      </c>
      <c r="N9699">
        <v>0</v>
      </c>
      <c r="O9699">
        <v>74</v>
      </c>
      <c r="P9699">
        <v>0</v>
      </c>
    </row>
    <row r="9700" spans="1:16" x14ac:dyDescent="0.25">
      <c r="A9700" t="s">
        <v>32325</v>
      </c>
      <c r="B9700" t="s">
        <v>17535</v>
      </c>
      <c r="C9700" t="s">
        <v>20449</v>
      </c>
      <c r="D9700" t="str">
        <f>"4000"</f>
        <v>4000</v>
      </c>
      <c r="E9700" t="s">
        <v>32326</v>
      </c>
      <c r="F9700" t="s">
        <v>21629</v>
      </c>
      <c r="G9700" t="s">
        <v>16234</v>
      </c>
      <c r="H9700" t="s">
        <v>47054</v>
      </c>
      <c r="I9700" t="s">
        <v>47120</v>
      </c>
      <c r="J9700" t="s">
        <v>47121</v>
      </c>
      <c r="K9700" t="s">
        <v>47113</v>
      </c>
      <c r="L9700">
        <v>29.87</v>
      </c>
      <c r="M9700">
        <v>77</v>
      </c>
      <c r="N9700">
        <v>0</v>
      </c>
      <c r="O9700">
        <v>77</v>
      </c>
      <c r="P9700">
        <v>0</v>
      </c>
    </row>
    <row r="9701" spans="1:16" x14ac:dyDescent="0.25">
      <c r="A9701" t="s">
        <v>32327</v>
      </c>
      <c r="B9701" t="s">
        <v>17535</v>
      </c>
      <c r="C9701" t="s">
        <v>20449</v>
      </c>
      <c r="D9701" t="str">
        <f>"4100"</f>
        <v>4100</v>
      </c>
      <c r="E9701" t="s">
        <v>16782</v>
      </c>
      <c r="F9701" t="s">
        <v>16730</v>
      </c>
      <c r="G9701" t="s">
        <v>16234</v>
      </c>
      <c r="H9701" t="s">
        <v>47054</v>
      </c>
      <c r="I9701" t="s">
        <v>47120</v>
      </c>
      <c r="J9701" t="s">
        <v>47121</v>
      </c>
      <c r="K9701" t="s">
        <v>47113</v>
      </c>
      <c r="L9701">
        <v>27.75</v>
      </c>
      <c r="M9701">
        <v>74</v>
      </c>
      <c r="N9701">
        <v>0</v>
      </c>
      <c r="O9701">
        <v>74</v>
      </c>
      <c r="P9701">
        <v>0</v>
      </c>
    </row>
    <row r="9702" spans="1:16" x14ac:dyDescent="0.25">
      <c r="A9702" t="s">
        <v>32328</v>
      </c>
      <c r="B9702" t="s">
        <v>17535</v>
      </c>
      <c r="C9702" t="s">
        <v>20449</v>
      </c>
      <c r="D9702" t="str">
        <f>"6000"</f>
        <v>6000</v>
      </c>
      <c r="E9702" t="s">
        <v>17537</v>
      </c>
      <c r="F9702" t="s">
        <v>16730</v>
      </c>
      <c r="G9702" t="s">
        <v>16234</v>
      </c>
      <c r="H9702" t="s">
        <v>47054</v>
      </c>
      <c r="I9702" t="s">
        <v>47120</v>
      </c>
      <c r="J9702" t="s">
        <v>47121</v>
      </c>
      <c r="K9702" t="s">
        <v>47113</v>
      </c>
      <c r="L9702">
        <v>27.75</v>
      </c>
      <c r="M9702">
        <v>74</v>
      </c>
      <c r="N9702">
        <v>0</v>
      </c>
      <c r="O9702">
        <v>74</v>
      </c>
      <c r="P9702">
        <v>0</v>
      </c>
    </row>
    <row r="9703" spans="1:16" x14ac:dyDescent="0.25">
      <c r="A9703" t="s">
        <v>32329</v>
      </c>
      <c r="B9703" t="s">
        <v>17538</v>
      </c>
      <c r="C9703" t="s">
        <v>5237</v>
      </c>
      <c r="D9703" t="s">
        <v>17539</v>
      </c>
      <c r="E9703" t="s">
        <v>17540</v>
      </c>
      <c r="F9703" t="s">
        <v>16601</v>
      </c>
      <c r="G9703" t="s">
        <v>16231</v>
      </c>
      <c r="I9703" t="s">
        <v>47111</v>
      </c>
      <c r="J9703" t="s">
        <v>47112</v>
      </c>
      <c r="K9703" t="s">
        <v>47113</v>
      </c>
      <c r="L9703">
        <v>59.69</v>
      </c>
      <c r="M9703">
        <v>107</v>
      </c>
      <c r="N9703">
        <v>0</v>
      </c>
      <c r="O9703">
        <v>107</v>
      </c>
      <c r="P9703">
        <v>0</v>
      </c>
    </row>
    <row r="9704" spans="1:16" x14ac:dyDescent="0.25">
      <c r="A9704" t="s">
        <v>32330</v>
      </c>
      <c r="B9704" t="s">
        <v>17541</v>
      </c>
      <c r="C9704" t="s">
        <v>17523</v>
      </c>
      <c r="D9704" t="s">
        <v>16793</v>
      </c>
      <c r="E9704" t="s">
        <v>16794</v>
      </c>
      <c r="F9704" t="s">
        <v>16601</v>
      </c>
      <c r="G9704" t="s">
        <v>16231</v>
      </c>
      <c r="H9704" t="s">
        <v>47054</v>
      </c>
      <c r="I9704" t="s">
        <v>47111</v>
      </c>
      <c r="J9704" t="s">
        <v>47112</v>
      </c>
      <c r="K9704" t="s">
        <v>47113</v>
      </c>
      <c r="L9704">
        <v>60.39</v>
      </c>
      <c r="M9704">
        <v>137</v>
      </c>
      <c r="N9704">
        <v>0</v>
      </c>
      <c r="O9704">
        <v>137</v>
      </c>
      <c r="P9704">
        <v>0</v>
      </c>
    </row>
    <row r="9705" spans="1:16" x14ac:dyDescent="0.25">
      <c r="A9705" t="s">
        <v>32331</v>
      </c>
      <c r="B9705" t="s">
        <v>15538</v>
      </c>
      <c r="C9705" t="s">
        <v>16469</v>
      </c>
      <c r="D9705" t="s">
        <v>15539</v>
      </c>
      <c r="E9705" t="s">
        <v>15540</v>
      </c>
      <c r="F9705" t="s">
        <v>15183</v>
      </c>
      <c r="G9705" t="s">
        <v>16231</v>
      </c>
      <c r="H9705" t="s">
        <v>47054</v>
      </c>
      <c r="I9705" t="s">
        <v>47111</v>
      </c>
      <c r="J9705" t="s">
        <v>47112</v>
      </c>
      <c r="K9705" t="s">
        <v>47113</v>
      </c>
      <c r="L9705">
        <v>48.65</v>
      </c>
      <c r="M9705">
        <v>74</v>
      </c>
      <c r="N9705">
        <v>0</v>
      </c>
      <c r="O9705">
        <v>74</v>
      </c>
      <c r="P9705">
        <v>0</v>
      </c>
    </row>
    <row r="9706" spans="1:16" x14ac:dyDescent="0.25">
      <c r="A9706" t="s">
        <v>32332</v>
      </c>
      <c r="B9706" t="s">
        <v>17542</v>
      </c>
      <c r="C9706" t="s">
        <v>17523</v>
      </c>
      <c r="D9706" t="s">
        <v>16914</v>
      </c>
      <c r="E9706" t="s">
        <v>16915</v>
      </c>
      <c r="F9706" t="s">
        <v>16623</v>
      </c>
      <c r="G9706" t="s">
        <v>16231</v>
      </c>
      <c r="H9706" t="s">
        <v>47054</v>
      </c>
      <c r="I9706" t="s">
        <v>47111</v>
      </c>
      <c r="J9706" t="s">
        <v>47112</v>
      </c>
      <c r="K9706" t="s">
        <v>47113</v>
      </c>
      <c r="L9706">
        <v>69.61</v>
      </c>
      <c r="M9706">
        <v>140</v>
      </c>
      <c r="N9706">
        <v>0</v>
      </c>
      <c r="O9706">
        <v>140</v>
      </c>
      <c r="P9706">
        <v>0</v>
      </c>
    </row>
    <row r="9707" spans="1:16" x14ac:dyDescent="0.25">
      <c r="A9707" t="s">
        <v>32333</v>
      </c>
      <c r="B9707" t="s">
        <v>17543</v>
      </c>
      <c r="C9707" t="s">
        <v>17523</v>
      </c>
      <c r="D9707" t="s">
        <v>16802</v>
      </c>
      <c r="E9707" t="s">
        <v>16803</v>
      </c>
      <c r="F9707" t="s">
        <v>16623</v>
      </c>
      <c r="G9707" t="s">
        <v>16231</v>
      </c>
      <c r="H9707" t="s">
        <v>47054</v>
      </c>
      <c r="I9707" t="s">
        <v>47116</v>
      </c>
      <c r="J9707" t="s">
        <v>47117</v>
      </c>
      <c r="K9707" t="s">
        <v>47113</v>
      </c>
      <c r="L9707">
        <v>73.47</v>
      </c>
      <c r="M9707">
        <v>148</v>
      </c>
      <c r="N9707">
        <v>0</v>
      </c>
      <c r="O9707">
        <v>148</v>
      </c>
      <c r="P9707">
        <v>0</v>
      </c>
    </row>
    <row r="9708" spans="1:16" x14ac:dyDescent="0.25">
      <c r="A9708" t="s">
        <v>32334</v>
      </c>
      <c r="B9708" t="s">
        <v>17544</v>
      </c>
      <c r="C9708" t="s">
        <v>16469</v>
      </c>
      <c r="D9708" t="s">
        <v>16805</v>
      </c>
      <c r="E9708" t="s">
        <v>16806</v>
      </c>
      <c r="F9708" t="s">
        <v>16810</v>
      </c>
      <c r="G9708" t="s">
        <v>16231</v>
      </c>
      <c r="H9708" t="s">
        <v>47054</v>
      </c>
      <c r="I9708" t="s">
        <v>47111</v>
      </c>
      <c r="J9708" t="s">
        <v>47112</v>
      </c>
      <c r="K9708" t="s">
        <v>47113</v>
      </c>
      <c r="L9708">
        <v>45.86</v>
      </c>
      <c r="M9708">
        <v>92</v>
      </c>
      <c r="N9708">
        <v>0</v>
      </c>
      <c r="O9708">
        <v>92</v>
      </c>
      <c r="P9708">
        <v>0</v>
      </c>
    </row>
    <row r="9709" spans="1:16" x14ac:dyDescent="0.25">
      <c r="A9709" t="s">
        <v>32335</v>
      </c>
      <c r="B9709" t="s">
        <v>17545</v>
      </c>
      <c r="C9709" t="s">
        <v>17523</v>
      </c>
      <c r="D9709" t="s">
        <v>16808</v>
      </c>
      <c r="E9709" t="s">
        <v>16809</v>
      </c>
      <c r="F9709" t="s">
        <v>16810</v>
      </c>
      <c r="G9709" t="s">
        <v>16231</v>
      </c>
      <c r="H9709" t="s">
        <v>47054</v>
      </c>
      <c r="I9709" t="s">
        <v>47111</v>
      </c>
      <c r="J9709" t="s">
        <v>47112</v>
      </c>
      <c r="K9709" t="s">
        <v>47113</v>
      </c>
      <c r="L9709">
        <v>69.61</v>
      </c>
      <c r="M9709">
        <v>140</v>
      </c>
      <c r="N9709">
        <v>0</v>
      </c>
      <c r="O9709">
        <v>140</v>
      </c>
      <c r="P9709">
        <v>0</v>
      </c>
    </row>
    <row r="9710" spans="1:16" x14ac:dyDescent="0.25">
      <c r="A9710" t="s">
        <v>32336</v>
      </c>
      <c r="B9710" t="s">
        <v>17546</v>
      </c>
      <c r="C9710" t="s">
        <v>17523</v>
      </c>
      <c r="D9710" t="s">
        <v>16744</v>
      </c>
      <c r="E9710" t="s">
        <v>16745</v>
      </c>
      <c r="F9710" t="s">
        <v>16746</v>
      </c>
      <c r="G9710" t="s">
        <v>16231</v>
      </c>
      <c r="H9710" t="s">
        <v>47054</v>
      </c>
      <c r="I9710" t="s">
        <v>47111</v>
      </c>
      <c r="J9710" t="s">
        <v>47112</v>
      </c>
      <c r="K9710" t="s">
        <v>47113</v>
      </c>
      <c r="L9710">
        <v>69.61</v>
      </c>
      <c r="M9710">
        <v>140</v>
      </c>
      <c r="N9710">
        <v>0</v>
      </c>
      <c r="O9710">
        <v>140</v>
      </c>
      <c r="P9710">
        <v>0</v>
      </c>
    </row>
    <row r="9711" spans="1:16" x14ac:dyDescent="0.25">
      <c r="A9711" t="s">
        <v>32337</v>
      </c>
      <c r="B9711" t="s">
        <v>17547</v>
      </c>
      <c r="C9711" t="s">
        <v>17523</v>
      </c>
      <c r="D9711" t="s">
        <v>3666</v>
      </c>
      <c r="E9711" t="s">
        <v>3667</v>
      </c>
      <c r="F9711" t="s">
        <v>15183</v>
      </c>
      <c r="G9711" t="s">
        <v>16231</v>
      </c>
      <c r="H9711" t="s">
        <v>47054</v>
      </c>
      <c r="I9711" t="s">
        <v>47111</v>
      </c>
      <c r="J9711" t="s">
        <v>47112</v>
      </c>
      <c r="K9711" t="s">
        <v>47113</v>
      </c>
      <c r="L9711">
        <v>56.54</v>
      </c>
      <c r="M9711">
        <v>149</v>
      </c>
      <c r="N9711">
        <v>0</v>
      </c>
      <c r="O9711">
        <v>149</v>
      </c>
      <c r="P9711">
        <v>0</v>
      </c>
    </row>
    <row r="9712" spans="1:16" x14ac:dyDescent="0.25">
      <c r="A9712" t="s">
        <v>32338</v>
      </c>
      <c r="B9712" t="s">
        <v>20450</v>
      </c>
      <c r="C9712" t="s">
        <v>16469</v>
      </c>
      <c r="D9712" t="s">
        <v>19890</v>
      </c>
      <c r="E9712" t="s">
        <v>19891</v>
      </c>
      <c r="F9712" t="s">
        <v>16933</v>
      </c>
      <c r="G9712" t="s">
        <v>16231</v>
      </c>
      <c r="H9712" t="s">
        <v>47054</v>
      </c>
      <c r="I9712" t="s">
        <v>47111</v>
      </c>
      <c r="J9712" t="s">
        <v>47112</v>
      </c>
      <c r="K9712" t="s">
        <v>47113</v>
      </c>
      <c r="L9712">
        <v>61.05</v>
      </c>
      <c r="M9712">
        <v>129</v>
      </c>
      <c r="N9712">
        <v>0</v>
      </c>
      <c r="O9712">
        <v>129</v>
      </c>
      <c r="P9712">
        <v>0</v>
      </c>
    </row>
    <row r="9713" spans="1:16" x14ac:dyDescent="0.25">
      <c r="A9713" t="s">
        <v>32339</v>
      </c>
      <c r="B9713" t="s">
        <v>20450</v>
      </c>
      <c r="C9713" t="s">
        <v>16469</v>
      </c>
      <c r="D9713" t="s">
        <v>19892</v>
      </c>
      <c r="E9713" t="s">
        <v>19893</v>
      </c>
      <c r="F9713" t="s">
        <v>16933</v>
      </c>
      <c r="G9713" t="s">
        <v>16231</v>
      </c>
      <c r="H9713" t="s">
        <v>47054</v>
      </c>
      <c r="I9713" t="s">
        <v>47111</v>
      </c>
      <c r="J9713" t="s">
        <v>47112</v>
      </c>
      <c r="K9713" t="s">
        <v>47113</v>
      </c>
      <c r="L9713">
        <v>53.65</v>
      </c>
      <c r="M9713">
        <v>111</v>
      </c>
      <c r="N9713">
        <v>0</v>
      </c>
      <c r="O9713">
        <v>111</v>
      </c>
      <c r="P9713">
        <v>0</v>
      </c>
    </row>
    <row r="9714" spans="1:16" x14ac:dyDescent="0.25">
      <c r="A9714" t="s">
        <v>32340</v>
      </c>
      <c r="B9714" t="s">
        <v>20451</v>
      </c>
      <c r="C9714" t="s">
        <v>17523</v>
      </c>
      <c r="D9714" t="s">
        <v>20452</v>
      </c>
      <c r="E9714" t="s">
        <v>20453</v>
      </c>
      <c r="F9714" t="s">
        <v>16933</v>
      </c>
      <c r="G9714" t="s">
        <v>16231</v>
      </c>
      <c r="H9714" t="s">
        <v>47054</v>
      </c>
      <c r="I9714" t="s">
        <v>47111</v>
      </c>
      <c r="J9714" t="s">
        <v>47112</v>
      </c>
      <c r="K9714" t="s">
        <v>47113</v>
      </c>
      <c r="L9714">
        <v>113.89</v>
      </c>
      <c r="M9714">
        <v>259</v>
      </c>
      <c r="N9714">
        <v>0</v>
      </c>
      <c r="O9714">
        <v>259</v>
      </c>
      <c r="P9714">
        <v>0</v>
      </c>
    </row>
    <row r="9715" spans="1:16" x14ac:dyDescent="0.25">
      <c r="A9715" t="s">
        <v>32341</v>
      </c>
      <c r="B9715" t="s">
        <v>20454</v>
      </c>
      <c r="C9715" t="s">
        <v>17523</v>
      </c>
      <c r="D9715" t="s">
        <v>20344</v>
      </c>
      <c r="E9715" t="s">
        <v>20345</v>
      </c>
      <c r="F9715" t="s">
        <v>19847</v>
      </c>
      <c r="G9715" t="s">
        <v>16231</v>
      </c>
      <c r="H9715" t="s">
        <v>47054</v>
      </c>
      <c r="I9715" t="s">
        <v>47111</v>
      </c>
      <c r="J9715" t="s">
        <v>47112</v>
      </c>
      <c r="K9715" t="s">
        <v>47113</v>
      </c>
      <c r="L9715">
        <v>72.319999999999993</v>
      </c>
      <c r="M9715">
        <v>148</v>
      </c>
      <c r="N9715">
        <v>0</v>
      </c>
      <c r="O9715">
        <v>148</v>
      </c>
      <c r="P9715">
        <v>0</v>
      </c>
    </row>
    <row r="9716" spans="1:16" x14ac:dyDescent="0.25">
      <c r="A9716" t="s">
        <v>32342</v>
      </c>
      <c r="B9716" t="s">
        <v>20455</v>
      </c>
      <c r="C9716" t="s">
        <v>16469</v>
      </c>
      <c r="D9716" t="s">
        <v>20024</v>
      </c>
      <c r="E9716" t="s">
        <v>20025</v>
      </c>
      <c r="F9716" t="s">
        <v>16933</v>
      </c>
      <c r="G9716" t="s">
        <v>16231</v>
      </c>
      <c r="H9716" t="s">
        <v>47054</v>
      </c>
      <c r="I9716" t="s">
        <v>47111</v>
      </c>
      <c r="J9716" t="s">
        <v>47112</v>
      </c>
      <c r="K9716" t="s">
        <v>47113</v>
      </c>
      <c r="L9716">
        <v>60.71</v>
      </c>
      <c r="M9716">
        <v>129</v>
      </c>
      <c r="N9716">
        <v>0</v>
      </c>
      <c r="O9716">
        <v>129</v>
      </c>
      <c r="P9716">
        <v>0</v>
      </c>
    </row>
    <row r="9717" spans="1:16" x14ac:dyDescent="0.25">
      <c r="A9717" t="s">
        <v>32343</v>
      </c>
      <c r="B9717" t="s">
        <v>20456</v>
      </c>
      <c r="C9717" t="s">
        <v>16469</v>
      </c>
      <c r="D9717" t="s">
        <v>19905</v>
      </c>
      <c r="E9717" t="s">
        <v>19906</v>
      </c>
      <c r="F9717" t="s">
        <v>19847</v>
      </c>
      <c r="G9717" t="s">
        <v>16231</v>
      </c>
      <c r="H9717" t="s">
        <v>47054</v>
      </c>
      <c r="I9717" t="s">
        <v>47116</v>
      </c>
      <c r="J9717" t="s">
        <v>47117</v>
      </c>
      <c r="K9717" t="s">
        <v>47113</v>
      </c>
      <c r="L9717">
        <v>37.619999999999997</v>
      </c>
      <c r="M9717">
        <v>92</v>
      </c>
      <c r="N9717">
        <v>0</v>
      </c>
      <c r="O9717">
        <v>92</v>
      </c>
      <c r="P9717">
        <v>0</v>
      </c>
    </row>
    <row r="9718" spans="1:16" x14ac:dyDescent="0.25">
      <c r="A9718" t="s">
        <v>32344</v>
      </c>
      <c r="B9718" t="s">
        <v>20456</v>
      </c>
      <c r="C9718" t="s">
        <v>16469</v>
      </c>
      <c r="D9718" t="s">
        <v>20457</v>
      </c>
      <c r="E9718" t="s">
        <v>20458</v>
      </c>
      <c r="F9718" t="s">
        <v>19908</v>
      </c>
      <c r="G9718" t="s">
        <v>16231</v>
      </c>
      <c r="H9718" t="s">
        <v>47054</v>
      </c>
      <c r="I9718" t="s">
        <v>47116</v>
      </c>
      <c r="J9718" t="s">
        <v>47117</v>
      </c>
      <c r="K9718" t="s">
        <v>47113</v>
      </c>
      <c r="L9718">
        <v>37.14</v>
      </c>
      <c r="M9718">
        <v>92</v>
      </c>
      <c r="N9718">
        <v>0</v>
      </c>
      <c r="O9718">
        <v>92</v>
      </c>
      <c r="P9718">
        <v>0</v>
      </c>
    </row>
    <row r="9719" spans="1:16" x14ac:dyDescent="0.25">
      <c r="A9719" t="s">
        <v>32345</v>
      </c>
      <c r="B9719" t="s">
        <v>20459</v>
      </c>
      <c r="C9719" t="s">
        <v>17523</v>
      </c>
      <c r="D9719" t="s">
        <v>19677</v>
      </c>
      <c r="E9719" t="s">
        <v>19678</v>
      </c>
      <c r="F9719" t="s">
        <v>19908</v>
      </c>
      <c r="G9719" t="s">
        <v>16231</v>
      </c>
      <c r="H9719" t="s">
        <v>47054</v>
      </c>
      <c r="I9719" t="s">
        <v>47111</v>
      </c>
      <c r="J9719" t="s">
        <v>47112</v>
      </c>
      <c r="K9719" t="s">
        <v>47113</v>
      </c>
      <c r="L9719">
        <v>76.45</v>
      </c>
      <c r="M9719">
        <v>148</v>
      </c>
      <c r="N9719">
        <v>0</v>
      </c>
      <c r="O9719">
        <v>148</v>
      </c>
      <c r="P9719">
        <v>0</v>
      </c>
    </row>
    <row r="9720" spans="1:16" x14ac:dyDescent="0.25">
      <c r="A9720" t="s">
        <v>32346</v>
      </c>
      <c r="B9720" t="s">
        <v>17548</v>
      </c>
      <c r="C9720" t="s">
        <v>16469</v>
      </c>
      <c r="D9720" t="s">
        <v>16750</v>
      </c>
      <c r="E9720" t="s">
        <v>16751</v>
      </c>
      <c r="F9720" t="s">
        <v>16623</v>
      </c>
      <c r="G9720" t="s">
        <v>16231</v>
      </c>
      <c r="H9720" t="s">
        <v>47054</v>
      </c>
      <c r="I9720" t="s">
        <v>47116</v>
      </c>
      <c r="J9720" t="s">
        <v>47117</v>
      </c>
      <c r="K9720" t="s">
        <v>47113</v>
      </c>
      <c r="L9720">
        <v>58.13</v>
      </c>
      <c r="M9720">
        <v>103</v>
      </c>
      <c r="N9720">
        <v>0</v>
      </c>
      <c r="O9720">
        <v>103</v>
      </c>
      <c r="P9720">
        <v>0</v>
      </c>
    </row>
    <row r="9721" spans="1:16" x14ac:dyDescent="0.25">
      <c r="A9721" t="s">
        <v>32347</v>
      </c>
      <c r="B9721" t="s">
        <v>17549</v>
      </c>
      <c r="C9721" t="s">
        <v>17523</v>
      </c>
      <c r="D9721" t="s">
        <v>16750</v>
      </c>
      <c r="E9721" t="s">
        <v>16751</v>
      </c>
      <c r="F9721" t="s">
        <v>16623</v>
      </c>
      <c r="G9721" t="s">
        <v>16231</v>
      </c>
      <c r="H9721" t="s">
        <v>47054</v>
      </c>
      <c r="I9721" t="s">
        <v>47111</v>
      </c>
      <c r="J9721" t="s">
        <v>47112</v>
      </c>
      <c r="K9721" t="s">
        <v>47113</v>
      </c>
      <c r="L9721">
        <v>52.62</v>
      </c>
      <c r="M9721">
        <v>111</v>
      </c>
      <c r="N9721">
        <v>0</v>
      </c>
      <c r="O9721">
        <v>111</v>
      </c>
      <c r="P9721">
        <v>0</v>
      </c>
    </row>
    <row r="9722" spans="1:16" x14ac:dyDescent="0.25">
      <c r="A9722" t="s">
        <v>32348</v>
      </c>
      <c r="B9722" t="s">
        <v>17550</v>
      </c>
      <c r="C9722" t="s">
        <v>17523</v>
      </c>
      <c r="D9722" t="s">
        <v>16833</v>
      </c>
      <c r="E9722" t="s">
        <v>16834</v>
      </c>
      <c r="F9722" t="s">
        <v>16746</v>
      </c>
      <c r="G9722" t="s">
        <v>16231</v>
      </c>
      <c r="H9722" t="s">
        <v>47054</v>
      </c>
      <c r="I9722" t="s">
        <v>47111</v>
      </c>
      <c r="J9722" t="s">
        <v>47112</v>
      </c>
      <c r="K9722" t="s">
        <v>47113</v>
      </c>
      <c r="L9722">
        <v>73.47</v>
      </c>
      <c r="M9722">
        <v>148</v>
      </c>
      <c r="N9722">
        <v>0</v>
      </c>
      <c r="O9722">
        <v>148</v>
      </c>
      <c r="P9722">
        <v>0</v>
      </c>
    </row>
    <row r="9723" spans="1:16" x14ac:dyDescent="0.25">
      <c r="A9723" t="s">
        <v>32349</v>
      </c>
      <c r="B9723" t="s">
        <v>20460</v>
      </c>
      <c r="C9723" t="s">
        <v>17523</v>
      </c>
      <c r="D9723" t="s">
        <v>19911</v>
      </c>
      <c r="E9723" t="s">
        <v>19912</v>
      </c>
      <c r="F9723" t="s">
        <v>19559</v>
      </c>
      <c r="G9723" t="s">
        <v>16231</v>
      </c>
      <c r="H9723" t="s">
        <v>47054</v>
      </c>
      <c r="I9723" t="s">
        <v>47111</v>
      </c>
      <c r="J9723" t="s">
        <v>47112</v>
      </c>
      <c r="K9723" t="s">
        <v>47113</v>
      </c>
      <c r="L9723">
        <v>73.31</v>
      </c>
      <c r="M9723">
        <v>148</v>
      </c>
      <c r="N9723">
        <v>0</v>
      </c>
      <c r="O9723">
        <v>148</v>
      </c>
      <c r="P9723">
        <v>0</v>
      </c>
    </row>
    <row r="9724" spans="1:16" x14ac:dyDescent="0.25">
      <c r="A9724" t="s">
        <v>32350</v>
      </c>
      <c r="B9724" t="s">
        <v>20461</v>
      </c>
      <c r="C9724" t="s">
        <v>20449</v>
      </c>
      <c r="D9724" t="str">
        <f>"1167"</f>
        <v>1167</v>
      </c>
      <c r="E9724" t="s">
        <v>20029</v>
      </c>
      <c r="F9724" t="s">
        <v>19559</v>
      </c>
      <c r="G9724" t="s">
        <v>16234</v>
      </c>
      <c r="H9724" t="s">
        <v>47054</v>
      </c>
      <c r="I9724" t="s">
        <v>47120</v>
      </c>
      <c r="J9724" t="s">
        <v>47121</v>
      </c>
      <c r="K9724" t="s">
        <v>47113</v>
      </c>
      <c r="L9724">
        <v>27.52</v>
      </c>
      <c r="M9724">
        <v>66</v>
      </c>
      <c r="N9724">
        <v>0</v>
      </c>
      <c r="O9724">
        <v>66</v>
      </c>
      <c r="P9724">
        <v>0</v>
      </c>
    </row>
    <row r="9725" spans="1:16" x14ac:dyDescent="0.25">
      <c r="A9725" t="s">
        <v>32351</v>
      </c>
      <c r="B9725" t="s">
        <v>20461</v>
      </c>
      <c r="C9725" t="s">
        <v>20449</v>
      </c>
      <c r="D9725" t="str">
        <f>"2500"</f>
        <v>2500</v>
      </c>
      <c r="E9725" t="s">
        <v>20462</v>
      </c>
      <c r="F9725" t="s">
        <v>19559</v>
      </c>
      <c r="G9725" t="s">
        <v>16234</v>
      </c>
      <c r="H9725" t="s">
        <v>47054</v>
      </c>
      <c r="I9725" t="s">
        <v>47120</v>
      </c>
      <c r="J9725" t="s">
        <v>47121</v>
      </c>
      <c r="K9725" t="s">
        <v>47113</v>
      </c>
      <c r="L9725">
        <v>27.52</v>
      </c>
      <c r="M9725">
        <v>66</v>
      </c>
      <c r="N9725">
        <v>0</v>
      </c>
      <c r="O9725">
        <v>66</v>
      </c>
      <c r="P9725">
        <v>0</v>
      </c>
    </row>
    <row r="9726" spans="1:16" x14ac:dyDescent="0.25">
      <c r="A9726" t="s">
        <v>32352</v>
      </c>
      <c r="B9726" t="s">
        <v>20461</v>
      </c>
      <c r="C9726" t="s">
        <v>20449</v>
      </c>
      <c r="D9726" t="str">
        <f>"4100"</f>
        <v>4100</v>
      </c>
      <c r="E9726" t="s">
        <v>20463</v>
      </c>
      <c r="F9726" t="s">
        <v>19559</v>
      </c>
      <c r="G9726" t="s">
        <v>16234</v>
      </c>
      <c r="H9726" t="s">
        <v>47054</v>
      </c>
      <c r="I9726" t="s">
        <v>47120</v>
      </c>
      <c r="J9726" t="s">
        <v>47121</v>
      </c>
      <c r="K9726" t="s">
        <v>47113</v>
      </c>
      <c r="L9726">
        <v>27.52</v>
      </c>
      <c r="M9726">
        <v>66</v>
      </c>
      <c r="N9726">
        <v>0</v>
      </c>
      <c r="O9726">
        <v>66</v>
      </c>
      <c r="P9726">
        <v>0</v>
      </c>
    </row>
    <row r="9727" spans="1:16" x14ac:dyDescent="0.25">
      <c r="A9727" t="s">
        <v>32353</v>
      </c>
      <c r="B9727" t="s">
        <v>20461</v>
      </c>
      <c r="C9727" t="s">
        <v>20449</v>
      </c>
      <c r="D9727" t="str">
        <f>"7233"</f>
        <v>7233</v>
      </c>
      <c r="E9727" t="s">
        <v>32354</v>
      </c>
      <c r="F9727" t="s">
        <v>19559</v>
      </c>
      <c r="G9727" t="s">
        <v>16234</v>
      </c>
      <c r="H9727" t="s">
        <v>47054</v>
      </c>
      <c r="I9727" t="s">
        <v>47120</v>
      </c>
      <c r="J9727" t="s">
        <v>47121</v>
      </c>
      <c r="K9727" t="s">
        <v>47113</v>
      </c>
      <c r="L9727">
        <v>27.52</v>
      </c>
      <c r="M9727">
        <v>66</v>
      </c>
      <c r="N9727">
        <v>0</v>
      </c>
      <c r="O9727">
        <v>66</v>
      </c>
      <c r="P9727">
        <v>0</v>
      </c>
    </row>
    <row r="9728" spans="1:16" x14ac:dyDescent="0.25">
      <c r="A9728" t="s">
        <v>22778</v>
      </c>
      <c r="B9728" t="s">
        <v>20464</v>
      </c>
      <c r="C9728" t="s">
        <v>17523</v>
      </c>
      <c r="D9728" t="s">
        <v>19920</v>
      </c>
      <c r="E9728" t="s">
        <v>19921</v>
      </c>
      <c r="F9728" t="s">
        <v>19552</v>
      </c>
      <c r="G9728" t="s">
        <v>16231</v>
      </c>
      <c r="H9728" t="s">
        <v>47054</v>
      </c>
      <c r="I9728" t="s">
        <v>47111</v>
      </c>
      <c r="J9728" t="s">
        <v>47112</v>
      </c>
      <c r="K9728" t="s">
        <v>47113</v>
      </c>
      <c r="L9728">
        <v>82.9</v>
      </c>
      <c r="M9728">
        <v>148</v>
      </c>
      <c r="N9728">
        <v>0</v>
      </c>
      <c r="O9728">
        <v>148</v>
      </c>
      <c r="P9728">
        <v>0</v>
      </c>
    </row>
    <row r="9729" spans="1:16" x14ac:dyDescent="0.25">
      <c r="A9729" t="s">
        <v>32355</v>
      </c>
      <c r="B9729" t="s">
        <v>20465</v>
      </c>
      <c r="C9729" t="s">
        <v>16469</v>
      </c>
      <c r="D9729" t="str">
        <f>"1258"</f>
        <v>1258</v>
      </c>
      <c r="E9729" t="s">
        <v>2152</v>
      </c>
      <c r="F9729" t="s">
        <v>19552</v>
      </c>
      <c r="G9729" t="s">
        <v>16234</v>
      </c>
      <c r="H9729" t="s">
        <v>47054</v>
      </c>
      <c r="I9729" t="s">
        <v>47136</v>
      </c>
      <c r="J9729" t="s">
        <v>47137</v>
      </c>
      <c r="K9729" t="s">
        <v>47113</v>
      </c>
      <c r="L9729">
        <v>29.83</v>
      </c>
      <c r="M9729">
        <v>66</v>
      </c>
      <c r="N9729">
        <v>0</v>
      </c>
      <c r="O9729">
        <v>66</v>
      </c>
      <c r="P9729">
        <v>0</v>
      </c>
    </row>
    <row r="9730" spans="1:16" x14ac:dyDescent="0.25">
      <c r="A9730" t="s">
        <v>32356</v>
      </c>
      <c r="B9730" t="s">
        <v>20465</v>
      </c>
      <c r="C9730" t="s">
        <v>16469</v>
      </c>
      <c r="D9730" t="str">
        <f>"1307"</f>
        <v>1307</v>
      </c>
      <c r="E9730" t="s">
        <v>1747</v>
      </c>
      <c r="F9730" t="s">
        <v>19552</v>
      </c>
      <c r="G9730" t="s">
        <v>16234</v>
      </c>
      <c r="H9730" t="s">
        <v>47054</v>
      </c>
      <c r="I9730" t="s">
        <v>47136</v>
      </c>
      <c r="J9730" t="s">
        <v>47137</v>
      </c>
      <c r="K9730" t="s">
        <v>47113</v>
      </c>
      <c r="L9730">
        <v>29.83</v>
      </c>
      <c r="M9730">
        <v>66</v>
      </c>
      <c r="N9730">
        <v>0</v>
      </c>
      <c r="O9730">
        <v>66</v>
      </c>
      <c r="P9730">
        <v>0</v>
      </c>
    </row>
    <row r="9731" spans="1:16" x14ac:dyDescent="0.25">
      <c r="A9731" t="s">
        <v>32357</v>
      </c>
      <c r="B9731" t="s">
        <v>20466</v>
      </c>
      <c r="C9731" t="s">
        <v>20467</v>
      </c>
      <c r="D9731" t="s">
        <v>721</v>
      </c>
      <c r="E9731" t="s">
        <v>722</v>
      </c>
      <c r="F9731" t="s">
        <v>19559</v>
      </c>
      <c r="G9731" t="s">
        <v>16231</v>
      </c>
      <c r="H9731" t="s">
        <v>47054</v>
      </c>
      <c r="I9731" t="s">
        <v>47116</v>
      </c>
      <c r="J9731" t="s">
        <v>47117</v>
      </c>
      <c r="K9731" t="s">
        <v>47113</v>
      </c>
      <c r="L9731">
        <v>31.6</v>
      </c>
      <c r="M9731">
        <v>66</v>
      </c>
      <c r="N9731">
        <v>0</v>
      </c>
      <c r="O9731">
        <v>66</v>
      </c>
      <c r="P9731">
        <v>0</v>
      </c>
    </row>
    <row r="9732" spans="1:16" x14ac:dyDescent="0.25">
      <c r="A9732" t="s">
        <v>32358</v>
      </c>
      <c r="B9732" t="s">
        <v>32359</v>
      </c>
      <c r="C9732" t="s">
        <v>32360</v>
      </c>
      <c r="D9732" t="str">
        <f>"3106"</f>
        <v>3106</v>
      </c>
      <c r="E9732" t="s">
        <v>31415</v>
      </c>
      <c r="F9732" t="s">
        <v>21629</v>
      </c>
      <c r="G9732" t="s">
        <v>16234</v>
      </c>
      <c r="H9732" t="s">
        <v>47054</v>
      </c>
      <c r="I9732" t="s">
        <v>47120</v>
      </c>
      <c r="J9732" t="s">
        <v>47121</v>
      </c>
      <c r="K9732" t="s">
        <v>47113</v>
      </c>
      <c r="L9732">
        <v>31.46</v>
      </c>
      <c r="M9732">
        <v>74</v>
      </c>
      <c r="N9732">
        <v>199</v>
      </c>
      <c r="O9732">
        <v>74</v>
      </c>
      <c r="P9732">
        <v>199</v>
      </c>
    </row>
    <row r="9733" spans="1:16" x14ac:dyDescent="0.25">
      <c r="A9733" t="s">
        <v>32361</v>
      </c>
      <c r="B9733" t="s">
        <v>32359</v>
      </c>
      <c r="C9733" t="s">
        <v>32360</v>
      </c>
      <c r="D9733" t="str">
        <f>"4000"</f>
        <v>4000</v>
      </c>
      <c r="E9733" t="s">
        <v>29720</v>
      </c>
      <c r="F9733" t="s">
        <v>21629</v>
      </c>
      <c r="G9733" t="s">
        <v>16234</v>
      </c>
      <c r="H9733" t="s">
        <v>47054</v>
      </c>
      <c r="I9733" t="s">
        <v>47120</v>
      </c>
      <c r="J9733" t="s">
        <v>47121</v>
      </c>
      <c r="K9733" t="s">
        <v>47113</v>
      </c>
      <c r="L9733">
        <v>30.36</v>
      </c>
      <c r="M9733">
        <v>74</v>
      </c>
      <c r="N9733">
        <v>0</v>
      </c>
      <c r="O9733">
        <v>74</v>
      </c>
      <c r="P9733">
        <v>0</v>
      </c>
    </row>
    <row r="9734" spans="1:16" x14ac:dyDescent="0.25">
      <c r="A9734" t="s">
        <v>32362</v>
      </c>
      <c r="B9734" t="s">
        <v>32359</v>
      </c>
      <c r="C9734" t="s">
        <v>32360</v>
      </c>
      <c r="D9734" t="str">
        <f>"4733"</f>
        <v>4733</v>
      </c>
      <c r="E9734" t="s">
        <v>32363</v>
      </c>
      <c r="F9734" t="s">
        <v>21629</v>
      </c>
      <c r="G9734" t="s">
        <v>16234</v>
      </c>
      <c r="H9734" t="s">
        <v>47054</v>
      </c>
      <c r="I9734" t="s">
        <v>47120</v>
      </c>
      <c r="J9734" t="s">
        <v>47121</v>
      </c>
      <c r="K9734" t="s">
        <v>47113</v>
      </c>
      <c r="L9734">
        <v>31.46</v>
      </c>
      <c r="M9734">
        <v>74</v>
      </c>
      <c r="N9734">
        <v>199</v>
      </c>
      <c r="O9734">
        <v>74</v>
      </c>
      <c r="P9734">
        <v>199</v>
      </c>
    </row>
    <row r="9735" spans="1:16" x14ac:dyDescent="0.25">
      <c r="A9735" t="s">
        <v>32364</v>
      </c>
      <c r="B9735" t="s">
        <v>32359</v>
      </c>
      <c r="C9735" t="s">
        <v>32360</v>
      </c>
      <c r="D9735" t="str">
        <f>"6494"</f>
        <v>6494</v>
      </c>
      <c r="E9735" t="s">
        <v>32365</v>
      </c>
      <c r="F9735" t="s">
        <v>21629</v>
      </c>
      <c r="G9735" t="s">
        <v>16234</v>
      </c>
      <c r="H9735" t="s">
        <v>47054</v>
      </c>
      <c r="I9735" t="s">
        <v>47120</v>
      </c>
      <c r="J9735" t="s">
        <v>47121</v>
      </c>
      <c r="K9735" t="s">
        <v>47113</v>
      </c>
      <c r="L9735">
        <v>31.46</v>
      </c>
      <c r="M9735">
        <v>74</v>
      </c>
      <c r="N9735">
        <v>199</v>
      </c>
      <c r="O9735">
        <v>74</v>
      </c>
      <c r="P9735">
        <v>199</v>
      </c>
    </row>
    <row r="9736" spans="1:16" x14ac:dyDescent="0.25">
      <c r="A9736" t="s">
        <v>32366</v>
      </c>
      <c r="B9736" t="s">
        <v>32359</v>
      </c>
      <c r="C9736" t="s">
        <v>32360</v>
      </c>
      <c r="D9736" t="str">
        <f>"6497"</f>
        <v>6497</v>
      </c>
      <c r="E9736" t="s">
        <v>29722</v>
      </c>
      <c r="F9736" t="s">
        <v>21629</v>
      </c>
      <c r="G9736" t="s">
        <v>16234</v>
      </c>
      <c r="H9736" t="s">
        <v>47054</v>
      </c>
      <c r="I9736" t="s">
        <v>47120</v>
      </c>
      <c r="J9736" t="s">
        <v>47121</v>
      </c>
      <c r="K9736" t="s">
        <v>47113</v>
      </c>
      <c r="L9736">
        <v>30.36</v>
      </c>
      <c r="M9736">
        <v>74</v>
      </c>
      <c r="N9736">
        <v>0</v>
      </c>
      <c r="O9736">
        <v>74</v>
      </c>
      <c r="P9736">
        <v>0</v>
      </c>
    </row>
    <row r="9737" spans="1:16" x14ac:dyDescent="0.25">
      <c r="A9737" t="s">
        <v>32367</v>
      </c>
      <c r="B9737" t="s">
        <v>32368</v>
      </c>
      <c r="C9737" t="s">
        <v>16469</v>
      </c>
      <c r="D9737" t="s">
        <v>32369</v>
      </c>
      <c r="E9737" t="s">
        <v>32370</v>
      </c>
      <c r="F9737" t="s">
        <v>21629</v>
      </c>
      <c r="G9737" t="s">
        <v>16231</v>
      </c>
      <c r="H9737" t="s">
        <v>47054</v>
      </c>
      <c r="I9737" t="s">
        <v>47544</v>
      </c>
      <c r="J9737" t="s">
        <v>47545</v>
      </c>
      <c r="K9737" t="s">
        <v>47113</v>
      </c>
      <c r="L9737">
        <v>27.9</v>
      </c>
      <c r="M9737">
        <v>66</v>
      </c>
      <c r="N9737">
        <v>0</v>
      </c>
      <c r="O9737">
        <v>66</v>
      </c>
      <c r="P9737">
        <v>0</v>
      </c>
    </row>
    <row r="9738" spans="1:16" x14ac:dyDescent="0.25">
      <c r="A9738" t="s">
        <v>32371</v>
      </c>
      <c r="B9738" t="s">
        <v>32372</v>
      </c>
      <c r="C9738" t="s">
        <v>16469</v>
      </c>
      <c r="D9738" t="s">
        <v>32373</v>
      </c>
      <c r="E9738" t="s">
        <v>32374</v>
      </c>
      <c r="F9738" t="s">
        <v>21627</v>
      </c>
      <c r="G9738" t="s">
        <v>16231</v>
      </c>
      <c r="H9738" t="s">
        <v>47054</v>
      </c>
      <c r="I9738" t="s">
        <v>47544</v>
      </c>
      <c r="J9738" t="s">
        <v>47545</v>
      </c>
      <c r="K9738" t="s">
        <v>47113</v>
      </c>
      <c r="L9738">
        <v>27.28</v>
      </c>
      <c r="M9738">
        <v>70</v>
      </c>
      <c r="N9738">
        <v>0</v>
      </c>
      <c r="O9738">
        <v>70</v>
      </c>
      <c r="P9738">
        <v>0</v>
      </c>
    </row>
    <row r="9739" spans="1:16" x14ac:dyDescent="0.25">
      <c r="A9739" t="s">
        <v>32375</v>
      </c>
      <c r="B9739" t="s">
        <v>32376</v>
      </c>
      <c r="C9739" t="s">
        <v>17523</v>
      </c>
      <c r="D9739" t="s">
        <v>22776</v>
      </c>
      <c r="E9739" t="s">
        <v>22777</v>
      </c>
      <c r="F9739" t="s">
        <v>20496</v>
      </c>
      <c r="G9739" t="s">
        <v>16231</v>
      </c>
      <c r="H9739" t="s">
        <v>47054</v>
      </c>
      <c r="I9739" t="s">
        <v>47116</v>
      </c>
      <c r="J9739" t="s">
        <v>47117</v>
      </c>
      <c r="K9739" t="s">
        <v>47113</v>
      </c>
      <c r="L9739">
        <v>44.58</v>
      </c>
      <c r="M9739">
        <v>148</v>
      </c>
      <c r="N9739">
        <v>0</v>
      </c>
      <c r="O9739">
        <v>148</v>
      </c>
      <c r="P9739">
        <v>0</v>
      </c>
    </row>
    <row r="9740" spans="1:16" x14ac:dyDescent="0.25">
      <c r="A9740" t="s">
        <v>22779</v>
      </c>
      <c r="B9740" t="s">
        <v>22780</v>
      </c>
      <c r="C9740" t="s">
        <v>16469</v>
      </c>
      <c r="D9740" t="s">
        <v>22781</v>
      </c>
      <c r="E9740" t="s">
        <v>22782</v>
      </c>
      <c r="F9740" t="s">
        <v>20496</v>
      </c>
      <c r="G9740" t="s">
        <v>16231</v>
      </c>
      <c r="H9740" t="s">
        <v>47054</v>
      </c>
      <c r="I9740" t="s">
        <v>47116</v>
      </c>
      <c r="J9740" t="s">
        <v>47117</v>
      </c>
      <c r="K9740" t="s">
        <v>47113</v>
      </c>
      <c r="L9740">
        <v>41.17</v>
      </c>
      <c r="M9740">
        <v>95</v>
      </c>
      <c r="N9740">
        <v>0</v>
      </c>
      <c r="O9740">
        <v>95</v>
      </c>
      <c r="P9740">
        <v>0</v>
      </c>
    </row>
    <row r="9741" spans="1:16" x14ac:dyDescent="0.25">
      <c r="A9741" t="s">
        <v>32377</v>
      </c>
      <c r="B9741" t="s">
        <v>32378</v>
      </c>
      <c r="C9741" t="s">
        <v>16469</v>
      </c>
      <c r="D9741" t="s">
        <v>29746</v>
      </c>
      <c r="E9741" t="s">
        <v>29747</v>
      </c>
      <c r="F9741" t="s">
        <v>21629</v>
      </c>
      <c r="G9741" t="s">
        <v>16231</v>
      </c>
      <c r="H9741" t="s">
        <v>47054</v>
      </c>
      <c r="I9741" t="s">
        <v>47111</v>
      </c>
      <c r="J9741" t="s">
        <v>47112</v>
      </c>
      <c r="K9741" t="s">
        <v>47113</v>
      </c>
      <c r="L9741">
        <v>55.36</v>
      </c>
      <c r="M9741">
        <v>148</v>
      </c>
      <c r="N9741">
        <v>0</v>
      </c>
      <c r="O9741">
        <v>148</v>
      </c>
      <c r="P9741">
        <v>0</v>
      </c>
    </row>
    <row r="9742" spans="1:16" x14ac:dyDescent="0.25">
      <c r="A9742" t="s">
        <v>32379</v>
      </c>
      <c r="B9742" t="s">
        <v>32380</v>
      </c>
      <c r="C9742" t="s">
        <v>16469</v>
      </c>
      <c r="D9742" t="s">
        <v>32381</v>
      </c>
      <c r="E9742" t="s">
        <v>32382</v>
      </c>
      <c r="F9742" t="s">
        <v>21627</v>
      </c>
      <c r="G9742" t="s">
        <v>16231</v>
      </c>
      <c r="H9742" t="s">
        <v>47054</v>
      </c>
      <c r="I9742" t="s">
        <v>47116</v>
      </c>
      <c r="J9742" t="s">
        <v>47117</v>
      </c>
      <c r="K9742" t="s">
        <v>47113</v>
      </c>
      <c r="L9742">
        <v>31.81</v>
      </c>
      <c r="M9742">
        <v>70</v>
      </c>
      <c r="N9742">
        <v>0</v>
      </c>
      <c r="O9742">
        <v>70</v>
      </c>
      <c r="P9742">
        <v>0</v>
      </c>
    </row>
    <row r="9743" spans="1:16" x14ac:dyDescent="0.25">
      <c r="A9743" t="s">
        <v>32383</v>
      </c>
      <c r="B9743" t="s">
        <v>32384</v>
      </c>
      <c r="C9743" t="s">
        <v>32385</v>
      </c>
      <c r="D9743" t="s">
        <v>29750</v>
      </c>
      <c r="E9743" t="s">
        <v>29751</v>
      </c>
      <c r="F9743" t="s">
        <v>21627</v>
      </c>
      <c r="G9743" t="s">
        <v>16231</v>
      </c>
      <c r="H9743" t="s">
        <v>47054</v>
      </c>
      <c r="I9743" t="s">
        <v>47111</v>
      </c>
      <c r="J9743" t="s">
        <v>47112</v>
      </c>
      <c r="K9743" t="s">
        <v>47113</v>
      </c>
      <c r="L9743">
        <v>79.45</v>
      </c>
      <c r="M9743">
        <v>166</v>
      </c>
      <c r="N9743">
        <v>0</v>
      </c>
      <c r="O9743">
        <v>166</v>
      </c>
      <c r="P9743">
        <v>0</v>
      </c>
    </row>
    <row r="9744" spans="1:16" x14ac:dyDescent="0.25">
      <c r="A9744" t="s">
        <v>32386</v>
      </c>
      <c r="B9744" t="s">
        <v>32387</v>
      </c>
      <c r="C9744" t="s">
        <v>16469</v>
      </c>
      <c r="D9744" t="s">
        <v>15259</v>
      </c>
      <c r="E9744" t="s">
        <v>15260</v>
      </c>
      <c r="F9744" t="s">
        <v>21629</v>
      </c>
      <c r="G9744" t="s">
        <v>16231</v>
      </c>
      <c r="H9744" t="s">
        <v>47054</v>
      </c>
      <c r="I9744" t="s">
        <v>47120</v>
      </c>
      <c r="J9744" t="s">
        <v>47121</v>
      </c>
      <c r="K9744" t="s">
        <v>47113</v>
      </c>
      <c r="L9744">
        <v>47.31</v>
      </c>
      <c r="M9744">
        <v>129</v>
      </c>
      <c r="N9744">
        <v>0</v>
      </c>
      <c r="O9744">
        <v>129</v>
      </c>
      <c r="P9744">
        <v>0</v>
      </c>
    </row>
    <row r="9745" spans="1:16" x14ac:dyDescent="0.25">
      <c r="A9745" t="s">
        <v>32388</v>
      </c>
      <c r="B9745" t="s">
        <v>20468</v>
      </c>
      <c r="C9745" t="s">
        <v>16469</v>
      </c>
      <c r="D9745" t="str">
        <f>"2000"</f>
        <v>2000</v>
      </c>
      <c r="E9745" t="s">
        <v>20469</v>
      </c>
      <c r="F9745" t="s">
        <v>19552</v>
      </c>
      <c r="G9745" t="s">
        <v>16234</v>
      </c>
      <c r="H9745" t="s">
        <v>47054</v>
      </c>
      <c r="I9745" t="s">
        <v>47120</v>
      </c>
      <c r="J9745" t="s">
        <v>47121</v>
      </c>
      <c r="K9745" t="s">
        <v>47113</v>
      </c>
      <c r="L9745">
        <v>34.64</v>
      </c>
      <c r="M9745">
        <v>92</v>
      </c>
      <c r="N9745">
        <v>0</v>
      </c>
      <c r="O9745">
        <v>92</v>
      </c>
      <c r="P9745">
        <v>0</v>
      </c>
    </row>
    <row r="9746" spans="1:16" x14ac:dyDescent="0.25">
      <c r="A9746" t="s">
        <v>32389</v>
      </c>
      <c r="B9746" t="s">
        <v>32390</v>
      </c>
      <c r="C9746" t="s">
        <v>16469</v>
      </c>
      <c r="D9746" t="s">
        <v>29764</v>
      </c>
      <c r="E9746" t="s">
        <v>29765</v>
      </c>
      <c r="F9746" t="s">
        <v>24617</v>
      </c>
      <c r="G9746" t="s">
        <v>16231</v>
      </c>
      <c r="H9746" t="s">
        <v>47054</v>
      </c>
      <c r="I9746" t="s">
        <v>47116</v>
      </c>
      <c r="J9746" t="s">
        <v>47117</v>
      </c>
      <c r="K9746" t="s">
        <v>47113</v>
      </c>
      <c r="L9746">
        <v>36.26</v>
      </c>
      <c r="M9746">
        <v>92</v>
      </c>
      <c r="N9746">
        <v>249</v>
      </c>
      <c r="O9746">
        <v>92</v>
      </c>
      <c r="P9746">
        <v>249</v>
      </c>
    </row>
    <row r="9747" spans="1:16" x14ac:dyDescent="0.25">
      <c r="A9747" t="s">
        <v>32391</v>
      </c>
      <c r="B9747" t="s">
        <v>32392</v>
      </c>
      <c r="C9747" t="s">
        <v>20467</v>
      </c>
      <c r="D9747" t="s">
        <v>32393</v>
      </c>
      <c r="E9747" t="s">
        <v>32394</v>
      </c>
      <c r="F9747" t="s">
        <v>24622</v>
      </c>
      <c r="G9747" t="s">
        <v>16231</v>
      </c>
      <c r="H9747" t="s">
        <v>47054</v>
      </c>
      <c r="I9747" t="s">
        <v>47116</v>
      </c>
      <c r="J9747" t="s">
        <v>47117</v>
      </c>
      <c r="K9747" t="s">
        <v>47113</v>
      </c>
      <c r="L9747">
        <v>41.95</v>
      </c>
      <c r="M9747">
        <v>103</v>
      </c>
      <c r="N9747">
        <v>279</v>
      </c>
      <c r="O9747">
        <v>103</v>
      </c>
      <c r="P9747">
        <v>279</v>
      </c>
    </row>
    <row r="9748" spans="1:16" x14ac:dyDescent="0.25">
      <c r="A9748" t="s">
        <v>32395</v>
      </c>
      <c r="B9748" t="s">
        <v>32396</v>
      </c>
      <c r="C9748" t="s">
        <v>16469</v>
      </c>
      <c r="D9748" t="s">
        <v>32397</v>
      </c>
      <c r="E9748" t="s">
        <v>32398</v>
      </c>
      <c r="F9748" t="s">
        <v>24622</v>
      </c>
      <c r="G9748" t="s">
        <v>16231</v>
      </c>
      <c r="H9748" t="s">
        <v>47054</v>
      </c>
      <c r="I9748" t="s">
        <v>47116</v>
      </c>
      <c r="J9748" t="s">
        <v>47117</v>
      </c>
      <c r="K9748" t="s">
        <v>47113</v>
      </c>
      <c r="L9748">
        <v>36.26</v>
      </c>
      <c r="M9748">
        <v>92</v>
      </c>
      <c r="N9748">
        <v>249</v>
      </c>
      <c r="O9748">
        <v>92</v>
      </c>
      <c r="P9748">
        <v>249</v>
      </c>
    </row>
    <row r="9749" spans="1:16" x14ac:dyDescent="0.25">
      <c r="A9749" t="s">
        <v>32399</v>
      </c>
      <c r="B9749" t="s">
        <v>32400</v>
      </c>
      <c r="C9749" t="s">
        <v>20467</v>
      </c>
      <c r="D9749" t="s">
        <v>31407</v>
      </c>
      <c r="E9749" t="s">
        <v>31408</v>
      </c>
      <c r="F9749" t="s">
        <v>24627</v>
      </c>
      <c r="G9749" t="s">
        <v>16231</v>
      </c>
      <c r="H9749" t="s">
        <v>47054</v>
      </c>
      <c r="I9749" t="s">
        <v>47544</v>
      </c>
      <c r="J9749" t="s">
        <v>47545</v>
      </c>
      <c r="K9749" t="s">
        <v>47113</v>
      </c>
      <c r="L9749">
        <v>33.159999999999997</v>
      </c>
      <c r="M9749">
        <v>74</v>
      </c>
      <c r="N9749">
        <v>199</v>
      </c>
      <c r="O9749">
        <v>74</v>
      </c>
      <c r="P9749">
        <v>199</v>
      </c>
    </row>
    <row r="9750" spans="1:16" x14ac:dyDescent="0.25">
      <c r="A9750" t="s">
        <v>32401</v>
      </c>
      <c r="B9750" t="s">
        <v>32402</v>
      </c>
      <c r="C9750" t="s">
        <v>16469</v>
      </c>
      <c r="D9750" t="s">
        <v>29794</v>
      </c>
      <c r="E9750" t="s">
        <v>29795</v>
      </c>
      <c r="F9750" t="s">
        <v>24617</v>
      </c>
      <c r="G9750" t="s">
        <v>16231</v>
      </c>
      <c r="H9750" t="s">
        <v>47054</v>
      </c>
      <c r="I9750" t="s">
        <v>47544</v>
      </c>
      <c r="J9750" t="s">
        <v>47545</v>
      </c>
      <c r="K9750" t="s">
        <v>47113</v>
      </c>
      <c r="L9750">
        <v>28.29</v>
      </c>
      <c r="M9750">
        <v>74</v>
      </c>
      <c r="N9750">
        <v>199</v>
      </c>
      <c r="O9750">
        <v>74</v>
      </c>
      <c r="P9750">
        <v>199</v>
      </c>
    </row>
    <row r="9751" spans="1:16" x14ac:dyDescent="0.25">
      <c r="A9751" t="s">
        <v>32403</v>
      </c>
      <c r="B9751" t="s">
        <v>15541</v>
      </c>
      <c r="C9751" t="s">
        <v>8851</v>
      </c>
      <c r="D9751" t="str">
        <f>"1200"</f>
        <v>1200</v>
      </c>
      <c r="E9751" t="s">
        <v>15542</v>
      </c>
      <c r="F9751" t="s">
        <v>15183</v>
      </c>
      <c r="G9751" t="s">
        <v>16234</v>
      </c>
      <c r="H9751" t="s">
        <v>47054</v>
      </c>
      <c r="I9751" t="s">
        <v>47120</v>
      </c>
      <c r="J9751" t="s">
        <v>47121</v>
      </c>
      <c r="K9751" t="s">
        <v>47113</v>
      </c>
      <c r="L9751">
        <v>25.39</v>
      </c>
      <c r="M9751">
        <v>70</v>
      </c>
      <c r="N9751">
        <v>0</v>
      </c>
      <c r="O9751">
        <v>70</v>
      </c>
      <c r="P9751">
        <v>0</v>
      </c>
    </row>
    <row r="9752" spans="1:16" x14ac:dyDescent="0.25">
      <c r="A9752" t="s">
        <v>32404</v>
      </c>
      <c r="B9752" t="s">
        <v>15541</v>
      </c>
      <c r="C9752" t="s">
        <v>8851</v>
      </c>
      <c r="D9752" t="str">
        <f>"2500"</f>
        <v>2500</v>
      </c>
      <c r="E9752" t="s">
        <v>15263</v>
      </c>
      <c r="F9752" t="s">
        <v>15183</v>
      </c>
      <c r="G9752" t="s">
        <v>16234</v>
      </c>
      <c r="H9752" t="s">
        <v>47054</v>
      </c>
      <c r="I9752" t="s">
        <v>47120</v>
      </c>
      <c r="J9752" t="s">
        <v>47121</v>
      </c>
      <c r="K9752" t="s">
        <v>47113</v>
      </c>
      <c r="L9752">
        <v>25.39</v>
      </c>
      <c r="M9752">
        <v>70</v>
      </c>
      <c r="N9752">
        <v>0</v>
      </c>
      <c r="O9752">
        <v>70</v>
      </c>
      <c r="P9752">
        <v>0</v>
      </c>
    </row>
    <row r="9753" spans="1:16" x14ac:dyDescent="0.25">
      <c r="A9753" t="s">
        <v>32405</v>
      </c>
      <c r="B9753" t="s">
        <v>15541</v>
      </c>
      <c r="C9753" t="s">
        <v>8851</v>
      </c>
      <c r="D9753" t="str">
        <f>"4100"</f>
        <v>4100</v>
      </c>
      <c r="E9753" t="s">
        <v>15264</v>
      </c>
      <c r="F9753" t="s">
        <v>15183</v>
      </c>
      <c r="G9753" t="s">
        <v>16234</v>
      </c>
      <c r="H9753" t="s">
        <v>47054</v>
      </c>
      <c r="I9753" t="s">
        <v>47120</v>
      </c>
      <c r="J9753" t="s">
        <v>47121</v>
      </c>
      <c r="K9753" t="s">
        <v>47113</v>
      </c>
      <c r="L9753">
        <v>25.39</v>
      </c>
      <c r="M9753">
        <v>70</v>
      </c>
      <c r="N9753">
        <v>0</v>
      </c>
      <c r="O9753">
        <v>70</v>
      </c>
      <c r="P9753">
        <v>0</v>
      </c>
    </row>
    <row r="9754" spans="1:16" x14ac:dyDescent="0.25">
      <c r="A9754" t="s">
        <v>32406</v>
      </c>
      <c r="B9754" t="s">
        <v>15541</v>
      </c>
      <c r="C9754" t="s">
        <v>8851</v>
      </c>
      <c r="D9754" t="str">
        <f>"6000"</f>
        <v>6000</v>
      </c>
      <c r="E9754" t="s">
        <v>15543</v>
      </c>
      <c r="F9754" t="s">
        <v>15183</v>
      </c>
      <c r="G9754" t="s">
        <v>16234</v>
      </c>
      <c r="H9754" t="s">
        <v>47054</v>
      </c>
      <c r="I9754" t="s">
        <v>47120</v>
      </c>
      <c r="J9754" t="s">
        <v>47121</v>
      </c>
      <c r="K9754" t="s">
        <v>47113</v>
      </c>
      <c r="L9754">
        <v>25.39</v>
      </c>
      <c r="M9754">
        <v>70</v>
      </c>
      <c r="N9754">
        <v>0</v>
      </c>
      <c r="O9754">
        <v>70</v>
      </c>
      <c r="P9754">
        <v>0</v>
      </c>
    </row>
    <row r="9755" spans="1:16" x14ac:dyDescent="0.25">
      <c r="A9755" t="s">
        <v>32407</v>
      </c>
      <c r="B9755" t="s">
        <v>20470</v>
      </c>
      <c r="C9755" t="s">
        <v>16848</v>
      </c>
      <c r="D9755" t="str">
        <f>"1075"</f>
        <v>1075</v>
      </c>
      <c r="E9755" t="s">
        <v>42</v>
      </c>
      <c r="F9755" t="s">
        <v>16839</v>
      </c>
      <c r="G9755" t="s">
        <v>16234</v>
      </c>
      <c r="H9755" t="s">
        <v>47054</v>
      </c>
      <c r="I9755" t="s">
        <v>47120</v>
      </c>
      <c r="J9755" t="s">
        <v>47121</v>
      </c>
      <c r="K9755" t="s">
        <v>47113</v>
      </c>
      <c r="L9755">
        <v>16.829999999999998</v>
      </c>
      <c r="M9755">
        <v>86</v>
      </c>
      <c r="N9755">
        <v>0</v>
      </c>
      <c r="O9755">
        <v>86</v>
      </c>
      <c r="P9755">
        <v>0</v>
      </c>
    </row>
    <row r="9756" spans="1:16" x14ac:dyDescent="0.25">
      <c r="A9756" t="s">
        <v>32408</v>
      </c>
      <c r="B9756" t="s">
        <v>20470</v>
      </c>
      <c r="C9756" t="s">
        <v>16848</v>
      </c>
      <c r="D9756" t="str">
        <f>"3071"</f>
        <v>3071</v>
      </c>
      <c r="E9756" t="s">
        <v>4767</v>
      </c>
      <c r="F9756" t="s">
        <v>16839</v>
      </c>
      <c r="G9756" t="s">
        <v>16234</v>
      </c>
      <c r="H9756" t="s">
        <v>47054</v>
      </c>
      <c r="I9756" t="s">
        <v>47120</v>
      </c>
      <c r="J9756" t="s">
        <v>47121</v>
      </c>
      <c r="K9756" t="s">
        <v>47113</v>
      </c>
      <c r="L9756">
        <v>16.829999999999998</v>
      </c>
      <c r="M9756">
        <v>86</v>
      </c>
      <c r="N9756">
        <v>0</v>
      </c>
      <c r="O9756">
        <v>86</v>
      </c>
      <c r="P9756">
        <v>0</v>
      </c>
    </row>
    <row r="9757" spans="1:16" x14ac:dyDescent="0.25">
      <c r="A9757" t="s">
        <v>32409</v>
      </c>
      <c r="B9757" t="s">
        <v>20470</v>
      </c>
      <c r="C9757" t="s">
        <v>16848</v>
      </c>
      <c r="D9757" t="str">
        <f>"4000"</f>
        <v>4000</v>
      </c>
      <c r="E9757" t="s">
        <v>20471</v>
      </c>
      <c r="F9757" t="s">
        <v>16839</v>
      </c>
      <c r="G9757" t="s">
        <v>16234</v>
      </c>
      <c r="H9757" t="s">
        <v>47054</v>
      </c>
      <c r="I9757" t="s">
        <v>47120</v>
      </c>
      <c r="J9757" t="s">
        <v>47121</v>
      </c>
      <c r="K9757" t="s">
        <v>47113</v>
      </c>
      <c r="L9757">
        <v>16.829999999999998</v>
      </c>
      <c r="M9757">
        <v>86</v>
      </c>
      <c r="N9757">
        <v>0</v>
      </c>
      <c r="O9757">
        <v>86</v>
      </c>
      <c r="P9757">
        <v>0</v>
      </c>
    </row>
    <row r="9758" spans="1:16" x14ac:dyDescent="0.25">
      <c r="A9758" t="s">
        <v>32410</v>
      </c>
      <c r="B9758" t="s">
        <v>16343</v>
      </c>
      <c r="C9758" t="s">
        <v>20472</v>
      </c>
      <c r="D9758" t="str">
        <f>"1200"</f>
        <v>1200</v>
      </c>
      <c r="E9758" t="s">
        <v>16341</v>
      </c>
      <c r="F9758" t="s">
        <v>15183</v>
      </c>
      <c r="G9758" t="s">
        <v>16234</v>
      </c>
      <c r="H9758" t="s">
        <v>47054</v>
      </c>
      <c r="I9758" t="s">
        <v>47120</v>
      </c>
      <c r="J9758" t="s">
        <v>47121</v>
      </c>
      <c r="K9758" t="s">
        <v>47113</v>
      </c>
      <c r="L9758">
        <v>28.02</v>
      </c>
      <c r="M9758">
        <v>74</v>
      </c>
      <c r="N9758">
        <v>0</v>
      </c>
      <c r="O9758">
        <v>74</v>
      </c>
      <c r="P9758">
        <v>0</v>
      </c>
    </row>
    <row r="9759" spans="1:16" x14ac:dyDescent="0.25">
      <c r="A9759" t="s">
        <v>32411</v>
      </c>
      <c r="B9759" t="s">
        <v>16343</v>
      </c>
      <c r="C9759" t="s">
        <v>20472</v>
      </c>
      <c r="D9759" t="str">
        <f>"2500"</f>
        <v>2500</v>
      </c>
      <c r="E9759" t="s">
        <v>16293</v>
      </c>
      <c r="F9759" t="s">
        <v>15183</v>
      </c>
      <c r="G9759" t="s">
        <v>16234</v>
      </c>
      <c r="H9759" t="s">
        <v>47054</v>
      </c>
      <c r="I9759" t="s">
        <v>47120</v>
      </c>
      <c r="J9759" t="s">
        <v>47121</v>
      </c>
      <c r="K9759" t="s">
        <v>47113</v>
      </c>
      <c r="L9759">
        <v>28.02</v>
      </c>
      <c r="M9759">
        <v>74</v>
      </c>
      <c r="N9759">
        <v>0</v>
      </c>
      <c r="O9759">
        <v>74</v>
      </c>
      <c r="P9759">
        <v>0</v>
      </c>
    </row>
    <row r="9760" spans="1:16" x14ac:dyDescent="0.25">
      <c r="A9760" t="s">
        <v>32412</v>
      </c>
      <c r="B9760" t="s">
        <v>16343</v>
      </c>
      <c r="C9760" t="s">
        <v>20472</v>
      </c>
      <c r="D9760" t="str">
        <f>"4000"</f>
        <v>4000</v>
      </c>
      <c r="E9760" t="s">
        <v>16294</v>
      </c>
      <c r="F9760" t="s">
        <v>15183</v>
      </c>
      <c r="G9760" t="s">
        <v>16234</v>
      </c>
      <c r="H9760" t="s">
        <v>47054</v>
      </c>
      <c r="I9760" t="s">
        <v>47120</v>
      </c>
      <c r="J9760" t="s">
        <v>47121</v>
      </c>
      <c r="K9760" t="s">
        <v>47113</v>
      </c>
      <c r="L9760">
        <v>28.02</v>
      </c>
      <c r="M9760">
        <v>74</v>
      </c>
      <c r="N9760">
        <v>0</v>
      </c>
      <c r="O9760">
        <v>74</v>
      </c>
      <c r="P9760">
        <v>0</v>
      </c>
    </row>
    <row r="9761" spans="1:16" x14ac:dyDescent="0.25">
      <c r="A9761" t="s">
        <v>32413</v>
      </c>
      <c r="B9761" t="s">
        <v>15544</v>
      </c>
      <c r="C9761" t="s">
        <v>15545</v>
      </c>
      <c r="D9761" t="str">
        <f>"6000"</f>
        <v>6000</v>
      </c>
      <c r="E9761" t="s">
        <v>15546</v>
      </c>
      <c r="F9761" t="s">
        <v>15183</v>
      </c>
      <c r="G9761" t="s">
        <v>16231</v>
      </c>
      <c r="H9761" t="s">
        <v>47054</v>
      </c>
      <c r="I9761" t="s">
        <v>47120</v>
      </c>
      <c r="J9761" t="s">
        <v>47121</v>
      </c>
      <c r="K9761" t="s">
        <v>47113</v>
      </c>
      <c r="L9761">
        <v>24.25</v>
      </c>
      <c r="M9761">
        <v>66</v>
      </c>
      <c r="N9761">
        <v>0</v>
      </c>
      <c r="O9761">
        <v>66</v>
      </c>
      <c r="P9761">
        <v>0</v>
      </c>
    </row>
    <row r="9762" spans="1:16" x14ac:dyDescent="0.25">
      <c r="A9762" t="s">
        <v>32414</v>
      </c>
      <c r="B9762" t="s">
        <v>15547</v>
      </c>
      <c r="C9762" t="s">
        <v>16848</v>
      </c>
      <c r="D9762" t="str">
        <f>"1200"</f>
        <v>1200</v>
      </c>
      <c r="E9762" t="s">
        <v>15488</v>
      </c>
      <c r="F9762" t="s">
        <v>15183</v>
      </c>
      <c r="G9762" t="s">
        <v>16231</v>
      </c>
      <c r="H9762" t="s">
        <v>47054</v>
      </c>
      <c r="I9762" t="s">
        <v>47120</v>
      </c>
      <c r="J9762" t="s">
        <v>47121</v>
      </c>
      <c r="K9762" t="s">
        <v>47113</v>
      </c>
      <c r="L9762">
        <v>24.25</v>
      </c>
      <c r="M9762">
        <v>66</v>
      </c>
      <c r="N9762">
        <v>0</v>
      </c>
      <c r="O9762">
        <v>66</v>
      </c>
      <c r="P9762">
        <v>0</v>
      </c>
    </row>
    <row r="9763" spans="1:16" x14ac:dyDescent="0.25">
      <c r="A9763" t="s">
        <v>32415</v>
      </c>
      <c r="B9763" t="s">
        <v>15548</v>
      </c>
      <c r="C9763" t="s">
        <v>17552</v>
      </c>
      <c r="D9763" t="s">
        <v>15269</v>
      </c>
      <c r="E9763" t="s">
        <v>15270</v>
      </c>
      <c r="F9763" t="s">
        <v>15183</v>
      </c>
      <c r="G9763" t="s">
        <v>16231</v>
      </c>
      <c r="H9763" t="s">
        <v>47054</v>
      </c>
      <c r="I9763" t="s">
        <v>47111</v>
      </c>
      <c r="J9763" t="s">
        <v>47112</v>
      </c>
      <c r="K9763" t="s">
        <v>47113</v>
      </c>
      <c r="L9763">
        <v>61.26</v>
      </c>
      <c r="M9763">
        <v>100</v>
      </c>
      <c r="N9763">
        <v>0</v>
      </c>
      <c r="O9763">
        <v>100</v>
      </c>
      <c r="P9763">
        <v>0</v>
      </c>
    </row>
    <row r="9764" spans="1:16" x14ac:dyDescent="0.25">
      <c r="A9764" t="s">
        <v>32416</v>
      </c>
      <c r="B9764" t="s">
        <v>15548</v>
      </c>
      <c r="C9764" t="s">
        <v>17552</v>
      </c>
      <c r="D9764" t="s">
        <v>15271</v>
      </c>
      <c r="E9764" t="s">
        <v>15332</v>
      </c>
      <c r="F9764" t="s">
        <v>15183</v>
      </c>
      <c r="G9764" t="s">
        <v>16231</v>
      </c>
      <c r="H9764" t="s">
        <v>47054</v>
      </c>
      <c r="I9764" t="s">
        <v>47111</v>
      </c>
      <c r="J9764" t="s">
        <v>47112</v>
      </c>
      <c r="K9764" t="s">
        <v>47113</v>
      </c>
      <c r="L9764">
        <v>61.69</v>
      </c>
      <c r="M9764">
        <v>95</v>
      </c>
      <c r="N9764">
        <v>0</v>
      </c>
      <c r="O9764">
        <v>95</v>
      </c>
      <c r="P9764">
        <v>0</v>
      </c>
    </row>
    <row r="9765" spans="1:16" x14ac:dyDescent="0.25">
      <c r="A9765" t="s">
        <v>17551</v>
      </c>
      <c r="B9765" t="s">
        <v>15548</v>
      </c>
      <c r="C9765" t="s">
        <v>17552</v>
      </c>
      <c r="D9765" t="s">
        <v>15253</v>
      </c>
      <c r="E9765" t="s">
        <v>15254</v>
      </c>
      <c r="F9765" t="s">
        <v>15183</v>
      </c>
      <c r="G9765" t="s">
        <v>16231</v>
      </c>
      <c r="H9765" t="s">
        <v>47054</v>
      </c>
      <c r="I9765" t="s">
        <v>47111</v>
      </c>
      <c r="J9765" t="s">
        <v>47112</v>
      </c>
      <c r="K9765" t="s">
        <v>47113</v>
      </c>
      <c r="L9765">
        <v>60.38</v>
      </c>
      <c r="M9765">
        <v>90</v>
      </c>
      <c r="N9765">
        <v>0</v>
      </c>
      <c r="O9765">
        <v>90</v>
      </c>
      <c r="P9765">
        <v>0</v>
      </c>
    </row>
    <row r="9766" spans="1:16" x14ac:dyDescent="0.25">
      <c r="A9766" t="s">
        <v>32417</v>
      </c>
      <c r="B9766" t="s">
        <v>15549</v>
      </c>
      <c r="C9766" t="s">
        <v>16848</v>
      </c>
      <c r="D9766" t="s">
        <v>15259</v>
      </c>
      <c r="E9766" t="s">
        <v>15260</v>
      </c>
      <c r="F9766" t="s">
        <v>15183</v>
      </c>
      <c r="G9766" t="s">
        <v>16231</v>
      </c>
      <c r="H9766" t="s">
        <v>47054</v>
      </c>
      <c r="I9766" t="s">
        <v>47111</v>
      </c>
      <c r="J9766" t="s">
        <v>47112</v>
      </c>
      <c r="K9766" t="s">
        <v>47113</v>
      </c>
      <c r="L9766">
        <v>49.1</v>
      </c>
      <c r="M9766">
        <v>85</v>
      </c>
      <c r="N9766">
        <v>0</v>
      </c>
      <c r="O9766">
        <v>85</v>
      </c>
      <c r="P9766">
        <v>0</v>
      </c>
    </row>
    <row r="9767" spans="1:16" x14ac:dyDescent="0.25">
      <c r="A9767" t="s">
        <v>32418</v>
      </c>
      <c r="B9767" t="s">
        <v>15549</v>
      </c>
      <c r="C9767" t="s">
        <v>16848</v>
      </c>
      <c r="D9767" t="s">
        <v>32419</v>
      </c>
      <c r="E9767" t="s">
        <v>32420</v>
      </c>
      <c r="F9767" t="s">
        <v>20496</v>
      </c>
      <c r="G9767" t="s">
        <v>16231</v>
      </c>
      <c r="H9767" t="s">
        <v>47054</v>
      </c>
      <c r="I9767" t="s">
        <v>47111</v>
      </c>
      <c r="J9767" t="s">
        <v>47112</v>
      </c>
      <c r="K9767" t="s">
        <v>47113</v>
      </c>
      <c r="L9767">
        <v>63.12</v>
      </c>
      <c r="M9767">
        <v>148</v>
      </c>
      <c r="N9767">
        <v>0</v>
      </c>
      <c r="O9767">
        <v>148</v>
      </c>
      <c r="P9767">
        <v>0</v>
      </c>
    </row>
    <row r="9768" spans="1:16" x14ac:dyDescent="0.25">
      <c r="A9768" t="s">
        <v>32421</v>
      </c>
      <c r="B9768" t="s">
        <v>15549</v>
      </c>
      <c r="C9768" t="s">
        <v>16848</v>
      </c>
      <c r="D9768" t="s">
        <v>32422</v>
      </c>
      <c r="E9768" t="s">
        <v>32423</v>
      </c>
      <c r="F9768" t="s">
        <v>15183</v>
      </c>
      <c r="G9768" t="s">
        <v>16231</v>
      </c>
      <c r="H9768" t="s">
        <v>47054</v>
      </c>
      <c r="I9768" t="s">
        <v>47111</v>
      </c>
      <c r="J9768" t="s">
        <v>47112</v>
      </c>
      <c r="K9768" t="s">
        <v>47113</v>
      </c>
      <c r="L9768">
        <v>71.569999999999993</v>
      </c>
      <c r="M9768">
        <v>111</v>
      </c>
      <c r="N9768">
        <v>0</v>
      </c>
      <c r="O9768">
        <v>111</v>
      </c>
      <c r="P9768">
        <v>0</v>
      </c>
    </row>
    <row r="9769" spans="1:16" x14ac:dyDescent="0.25">
      <c r="A9769" t="s">
        <v>32424</v>
      </c>
      <c r="B9769" t="s">
        <v>15550</v>
      </c>
      <c r="C9769" t="s">
        <v>17552</v>
      </c>
      <c r="D9769" t="s">
        <v>15274</v>
      </c>
      <c r="E9769" t="s">
        <v>15275</v>
      </c>
      <c r="F9769" t="s">
        <v>15183</v>
      </c>
      <c r="G9769" t="s">
        <v>16231</v>
      </c>
      <c r="H9769" t="s">
        <v>47054</v>
      </c>
      <c r="I9769" t="s">
        <v>47111</v>
      </c>
      <c r="J9769" t="s">
        <v>47112</v>
      </c>
      <c r="K9769" t="s">
        <v>47113</v>
      </c>
      <c r="L9769">
        <v>65.08</v>
      </c>
      <c r="M9769">
        <v>100</v>
      </c>
      <c r="N9769">
        <v>0</v>
      </c>
      <c r="O9769">
        <v>100</v>
      </c>
      <c r="P9769">
        <v>0</v>
      </c>
    </row>
    <row r="9770" spans="1:16" x14ac:dyDescent="0.25">
      <c r="A9770" t="s">
        <v>32425</v>
      </c>
      <c r="B9770" t="s">
        <v>15550</v>
      </c>
      <c r="C9770" t="s">
        <v>17552</v>
      </c>
      <c r="D9770" t="s">
        <v>15276</v>
      </c>
      <c r="E9770" t="s">
        <v>15277</v>
      </c>
      <c r="F9770" t="s">
        <v>15183</v>
      </c>
      <c r="G9770" t="s">
        <v>16231</v>
      </c>
      <c r="H9770" t="s">
        <v>47054</v>
      </c>
      <c r="I9770" t="s">
        <v>47111</v>
      </c>
      <c r="J9770" t="s">
        <v>47112</v>
      </c>
      <c r="K9770" t="s">
        <v>47113</v>
      </c>
      <c r="L9770">
        <v>65.739999999999995</v>
      </c>
      <c r="M9770">
        <v>100</v>
      </c>
      <c r="N9770">
        <v>0</v>
      </c>
      <c r="O9770">
        <v>100</v>
      </c>
      <c r="P9770">
        <v>0</v>
      </c>
    </row>
    <row r="9771" spans="1:16" x14ac:dyDescent="0.25">
      <c r="A9771" t="s">
        <v>32426</v>
      </c>
      <c r="B9771" t="s">
        <v>15551</v>
      </c>
      <c r="C9771" t="s">
        <v>8851</v>
      </c>
      <c r="D9771" t="s">
        <v>15375</v>
      </c>
      <c r="E9771" t="s">
        <v>15376</v>
      </c>
      <c r="F9771" t="s">
        <v>15183</v>
      </c>
      <c r="G9771" t="s">
        <v>16231</v>
      </c>
      <c r="H9771" t="s">
        <v>47054</v>
      </c>
      <c r="I9771" t="s">
        <v>47111</v>
      </c>
      <c r="J9771" t="s">
        <v>47112</v>
      </c>
      <c r="K9771" t="s">
        <v>47113</v>
      </c>
      <c r="L9771">
        <v>41.36</v>
      </c>
      <c r="M9771">
        <v>92</v>
      </c>
      <c r="N9771">
        <v>0</v>
      </c>
      <c r="O9771">
        <v>92</v>
      </c>
      <c r="P9771">
        <v>0</v>
      </c>
    </row>
    <row r="9772" spans="1:16" x14ac:dyDescent="0.25">
      <c r="A9772" t="s">
        <v>32427</v>
      </c>
      <c r="B9772" t="s">
        <v>15552</v>
      </c>
      <c r="C9772" t="s">
        <v>8851</v>
      </c>
      <c r="D9772" t="str">
        <f>"2500"</f>
        <v>2500</v>
      </c>
      <c r="E9772" t="s">
        <v>15507</v>
      </c>
      <c r="F9772" t="s">
        <v>15183</v>
      </c>
      <c r="G9772" t="s">
        <v>16231</v>
      </c>
      <c r="H9772" t="s">
        <v>47054</v>
      </c>
      <c r="I9772" t="s">
        <v>47120</v>
      </c>
      <c r="J9772" t="s">
        <v>47121</v>
      </c>
      <c r="K9772" t="s">
        <v>47113</v>
      </c>
      <c r="L9772">
        <v>24.25</v>
      </c>
      <c r="M9772">
        <v>66</v>
      </c>
      <c r="N9772">
        <v>0</v>
      </c>
      <c r="O9772">
        <v>66</v>
      </c>
      <c r="P9772">
        <v>0</v>
      </c>
    </row>
    <row r="9773" spans="1:16" x14ac:dyDescent="0.25">
      <c r="A9773" t="s">
        <v>32428</v>
      </c>
      <c r="B9773" t="s">
        <v>17553</v>
      </c>
      <c r="C9773" t="s">
        <v>16848</v>
      </c>
      <c r="D9773" t="s">
        <v>16984</v>
      </c>
      <c r="E9773" t="s">
        <v>16985</v>
      </c>
      <c r="F9773" t="s">
        <v>16762</v>
      </c>
      <c r="G9773" t="s">
        <v>16231</v>
      </c>
      <c r="H9773" t="s">
        <v>47054</v>
      </c>
      <c r="I9773" t="s">
        <v>47111</v>
      </c>
      <c r="J9773" t="s">
        <v>47112</v>
      </c>
      <c r="K9773" t="s">
        <v>47113</v>
      </c>
      <c r="L9773">
        <v>56.41</v>
      </c>
      <c r="M9773">
        <v>100</v>
      </c>
      <c r="N9773">
        <v>0</v>
      </c>
      <c r="O9773">
        <v>100</v>
      </c>
      <c r="P9773">
        <v>0</v>
      </c>
    </row>
    <row r="9774" spans="1:16" x14ac:dyDescent="0.25">
      <c r="A9774" t="s">
        <v>32429</v>
      </c>
      <c r="B9774" t="s">
        <v>17553</v>
      </c>
      <c r="C9774" t="s">
        <v>16848</v>
      </c>
      <c r="D9774" t="s">
        <v>16986</v>
      </c>
      <c r="E9774" t="s">
        <v>16987</v>
      </c>
      <c r="F9774" t="s">
        <v>16601</v>
      </c>
      <c r="G9774" t="s">
        <v>16231</v>
      </c>
      <c r="H9774" t="s">
        <v>47054</v>
      </c>
      <c r="I9774" t="s">
        <v>47111</v>
      </c>
      <c r="J9774" t="s">
        <v>47112</v>
      </c>
      <c r="K9774" t="s">
        <v>47113</v>
      </c>
      <c r="L9774">
        <v>57.26</v>
      </c>
      <c r="M9774">
        <v>100</v>
      </c>
      <c r="N9774">
        <v>0</v>
      </c>
      <c r="O9774">
        <v>100</v>
      </c>
      <c r="P9774">
        <v>0</v>
      </c>
    </row>
    <row r="9775" spans="1:16" x14ac:dyDescent="0.25">
      <c r="A9775" t="s">
        <v>32430</v>
      </c>
      <c r="B9775" t="s">
        <v>17554</v>
      </c>
      <c r="C9775" t="s">
        <v>15545</v>
      </c>
      <c r="D9775" t="str">
        <f>"1001"</f>
        <v>1001</v>
      </c>
      <c r="E9775" t="s">
        <v>17402</v>
      </c>
      <c r="F9775" t="s">
        <v>16601</v>
      </c>
      <c r="G9775" t="s">
        <v>16234</v>
      </c>
      <c r="I9775" t="s">
        <v>47136</v>
      </c>
      <c r="J9775" t="s">
        <v>47137</v>
      </c>
      <c r="K9775" t="s">
        <v>47113</v>
      </c>
      <c r="L9775">
        <v>32.909999999999997</v>
      </c>
      <c r="M9775">
        <v>70</v>
      </c>
      <c r="N9775">
        <v>0</v>
      </c>
      <c r="O9775">
        <v>70</v>
      </c>
      <c r="P9775">
        <v>0</v>
      </c>
    </row>
    <row r="9776" spans="1:16" x14ac:dyDescent="0.25">
      <c r="A9776" t="s">
        <v>32431</v>
      </c>
      <c r="B9776" t="s">
        <v>17554</v>
      </c>
      <c r="C9776" t="s">
        <v>15545</v>
      </c>
      <c r="D9776" t="str">
        <f>"4100"</f>
        <v>4100</v>
      </c>
      <c r="E9776" t="s">
        <v>17403</v>
      </c>
      <c r="F9776" t="s">
        <v>16601</v>
      </c>
      <c r="G9776" t="s">
        <v>16234</v>
      </c>
      <c r="I9776" t="s">
        <v>47136</v>
      </c>
      <c r="J9776" t="s">
        <v>47137</v>
      </c>
      <c r="K9776" t="s">
        <v>47113</v>
      </c>
      <c r="L9776">
        <v>32.909999999999997</v>
      </c>
      <c r="M9776">
        <v>70</v>
      </c>
      <c r="N9776">
        <v>0</v>
      </c>
      <c r="O9776">
        <v>70</v>
      </c>
      <c r="P9776">
        <v>0</v>
      </c>
    </row>
    <row r="9777" spans="1:16" x14ac:dyDescent="0.25">
      <c r="A9777" t="s">
        <v>32432</v>
      </c>
      <c r="B9777" t="s">
        <v>17554</v>
      </c>
      <c r="C9777" t="s">
        <v>15545</v>
      </c>
      <c r="D9777" t="str">
        <f>"6003"</f>
        <v>6003</v>
      </c>
      <c r="E9777" t="s">
        <v>17404</v>
      </c>
      <c r="F9777" t="s">
        <v>16601</v>
      </c>
      <c r="G9777" t="s">
        <v>16234</v>
      </c>
      <c r="I9777" t="s">
        <v>47136</v>
      </c>
      <c r="J9777" t="s">
        <v>47137</v>
      </c>
      <c r="K9777" t="s">
        <v>47113</v>
      </c>
      <c r="L9777">
        <v>32.909999999999997</v>
      </c>
      <c r="M9777">
        <v>70</v>
      </c>
      <c r="N9777">
        <v>0</v>
      </c>
      <c r="O9777">
        <v>70</v>
      </c>
      <c r="P9777">
        <v>0</v>
      </c>
    </row>
    <row r="9778" spans="1:16" x14ac:dyDescent="0.25">
      <c r="A9778" t="s">
        <v>32433</v>
      </c>
      <c r="B9778" t="s">
        <v>17555</v>
      </c>
      <c r="C9778" t="s">
        <v>16848</v>
      </c>
      <c r="D9778" t="s">
        <v>1688</v>
      </c>
      <c r="E9778" t="s">
        <v>1689</v>
      </c>
      <c r="F9778" t="s">
        <v>16601</v>
      </c>
      <c r="G9778" t="s">
        <v>16231</v>
      </c>
      <c r="H9778" t="s">
        <v>47054</v>
      </c>
      <c r="I9778" t="s">
        <v>47111</v>
      </c>
      <c r="J9778" t="s">
        <v>47112</v>
      </c>
      <c r="K9778" t="s">
        <v>47113</v>
      </c>
      <c r="L9778">
        <v>49.24</v>
      </c>
      <c r="M9778">
        <v>103</v>
      </c>
      <c r="N9778">
        <v>0</v>
      </c>
      <c r="O9778">
        <v>103</v>
      </c>
      <c r="P9778">
        <v>0</v>
      </c>
    </row>
    <row r="9779" spans="1:16" x14ac:dyDescent="0.25">
      <c r="A9779" t="s">
        <v>32434</v>
      </c>
      <c r="B9779" t="s">
        <v>17556</v>
      </c>
      <c r="C9779" t="s">
        <v>16848</v>
      </c>
      <c r="D9779" t="s">
        <v>16732</v>
      </c>
      <c r="E9779" t="s">
        <v>16733</v>
      </c>
      <c r="F9779" t="s">
        <v>16730</v>
      </c>
      <c r="G9779" t="s">
        <v>16231</v>
      </c>
      <c r="H9779" t="s">
        <v>47054</v>
      </c>
      <c r="I9779" t="s">
        <v>47111</v>
      </c>
      <c r="J9779" t="s">
        <v>47112</v>
      </c>
      <c r="K9779" t="s">
        <v>47113</v>
      </c>
      <c r="L9779">
        <v>51.42</v>
      </c>
      <c r="M9779">
        <v>74</v>
      </c>
      <c r="N9779">
        <v>0</v>
      </c>
      <c r="O9779">
        <v>74</v>
      </c>
      <c r="P9779">
        <v>0</v>
      </c>
    </row>
    <row r="9780" spans="1:16" x14ac:dyDescent="0.25">
      <c r="A9780" t="s">
        <v>32435</v>
      </c>
      <c r="B9780" t="s">
        <v>17556</v>
      </c>
      <c r="C9780" t="s">
        <v>16848</v>
      </c>
      <c r="D9780" t="s">
        <v>16739</v>
      </c>
      <c r="E9780" t="s">
        <v>16740</v>
      </c>
      <c r="F9780" t="s">
        <v>16730</v>
      </c>
      <c r="G9780" t="s">
        <v>16231</v>
      </c>
      <c r="H9780" t="s">
        <v>47054</v>
      </c>
      <c r="I9780" t="s">
        <v>47111</v>
      </c>
      <c r="J9780" t="s">
        <v>47112</v>
      </c>
      <c r="K9780" t="s">
        <v>47113</v>
      </c>
      <c r="L9780">
        <v>53.43</v>
      </c>
      <c r="M9780">
        <v>122</v>
      </c>
      <c r="N9780">
        <v>0</v>
      </c>
      <c r="O9780">
        <v>122</v>
      </c>
      <c r="P9780">
        <v>0</v>
      </c>
    </row>
    <row r="9781" spans="1:16" x14ac:dyDescent="0.25">
      <c r="A9781" t="s">
        <v>32436</v>
      </c>
      <c r="B9781" t="s">
        <v>17556</v>
      </c>
      <c r="C9781" t="s">
        <v>16848</v>
      </c>
      <c r="D9781" t="s">
        <v>16741</v>
      </c>
      <c r="E9781" t="s">
        <v>16742</v>
      </c>
      <c r="F9781" t="s">
        <v>16601</v>
      </c>
      <c r="G9781" t="s">
        <v>16231</v>
      </c>
      <c r="H9781" t="s">
        <v>47054</v>
      </c>
      <c r="I9781" t="s">
        <v>47111</v>
      </c>
      <c r="J9781" t="s">
        <v>47112</v>
      </c>
      <c r="K9781" t="s">
        <v>47113</v>
      </c>
      <c r="L9781">
        <v>51.41</v>
      </c>
      <c r="M9781">
        <v>100</v>
      </c>
      <c r="N9781">
        <v>0</v>
      </c>
      <c r="O9781">
        <v>100</v>
      </c>
      <c r="P9781">
        <v>0</v>
      </c>
    </row>
    <row r="9782" spans="1:16" x14ac:dyDescent="0.25">
      <c r="A9782" t="s">
        <v>32437</v>
      </c>
      <c r="B9782" t="s">
        <v>17557</v>
      </c>
      <c r="C9782" t="s">
        <v>16924</v>
      </c>
      <c r="D9782" t="s">
        <v>16777</v>
      </c>
      <c r="E9782" t="s">
        <v>16778</v>
      </c>
      <c r="F9782" t="s">
        <v>16601</v>
      </c>
      <c r="G9782" t="s">
        <v>16231</v>
      </c>
      <c r="H9782" t="s">
        <v>47054</v>
      </c>
      <c r="I9782" t="s">
        <v>47111</v>
      </c>
      <c r="J9782" t="s">
        <v>47112</v>
      </c>
      <c r="K9782" t="s">
        <v>47113</v>
      </c>
      <c r="L9782">
        <v>76.599999999999994</v>
      </c>
      <c r="M9782">
        <v>137</v>
      </c>
      <c r="N9782">
        <v>0</v>
      </c>
      <c r="O9782">
        <v>137</v>
      </c>
      <c r="P9782">
        <v>0</v>
      </c>
    </row>
    <row r="9783" spans="1:16" x14ac:dyDescent="0.25">
      <c r="A9783" t="s">
        <v>32438</v>
      </c>
      <c r="B9783" t="s">
        <v>17558</v>
      </c>
      <c r="C9783" t="s">
        <v>17559</v>
      </c>
      <c r="D9783" t="s">
        <v>16846</v>
      </c>
      <c r="E9783" t="s">
        <v>16847</v>
      </c>
      <c r="F9783" t="s">
        <v>16601</v>
      </c>
      <c r="G9783" t="s">
        <v>16231</v>
      </c>
      <c r="H9783" t="s">
        <v>47054</v>
      </c>
      <c r="I9783" t="s">
        <v>47111</v>
      </c>
      <c r="J9783" t="s">
        <v>47112</v>
      </c>
      <c r="K9783" t="s">
        <v>47113</v>
      </c>
      <c r="L9783">
        <v>77.38</v>
      </c>
      <c r="M9783">
        <v>148</v>
      </c>
      <c r="N9783">
        <v>0</v>
      </c>
      <c r="O9783">
        <v>148</v>
      </c>
      <c r="P9783">
        <v>0</v>
      </c>
    </row>
    <row r="9784" spans="1:16" x14ac:dyDescent="0.25">
      <c r="A9784" t="s">
        <v>32439</v>
      </c>
      <c r="B9784" t="s">
        <v>17560</v>
      </c>
      <c r="C9784" t="s">
        <v>16924</v>
      </c>
      <c r="D9784" t="s">
        <v>16732</v>
      </c>
      <c r="E9784" t="s">
        <v>16733</v>
      </c>
      <c r="F9784" t="s">
        <v>16601</v>
      </c>
      <c r="G9784" t="s">
        <v>16231</v>
      </c>
      <c r="H9784" t="s">
        <v>47054</v>
      </c>
      <c r="I9784" t="s">
        <v>47111</v>
      </c>
      <c r="J9784" t="s">
        <v>47112</v>
      </c>
      <c r="K9784" t="s">
        <v>47113</v>
      </c>
      <c r="L9784">
        <v>71.13</v>
      </c>
      <c r="M9784">
        <v>137</v>
      </c>
      <c r="N9784">
        <v>0</v>
      </c>
      <c r="O9784">
        <v>137</v>
      </c>
      <c r="P9784">
        <v>0</v>
      </c>
    </row>
    <row r="9785" spans="1:16" x14ac:dyDescent="0.25">
      <c r="A9785" t="s">
        <v>32440</v>
      </c>
      <c r="B9785" t="s">
        <v>15553</v>
      </c>
      <c r="C9785" t="s">
        <v>17552</v>
      </c>
      <c r="D9785" t="s">
        <v>15539</v>
      </c>
      <c r="E9785" t="s">
        <v>15540</v>
      </c>
      <c r="F9785" t="s">
        <v>15183</v>
      </c>
      <c r="G9785" t="s">
        <v>16231</v>
      </c>
      <c r="H9785" t="s">
        <v>47054</v>
      </c>
      <c r="I9785" t="s">
        <v>47111</v>
      </c>
      <c r="J9785" t="s">
        <v>47112</v>
      </c>
      <c r="K9785" t="s">
        <v>47113</v>
      </c>
      <c r="L9785">
        <v>48.65</v>
      </c>
      <c r="M9785">
        <v>74</v>
      </c>
      <c r="N9785">
        <v>0</v>
      </c>
      <c r="O9785">
        <v>74</v>
      </c>
      <c r="P9785">
        <v>0</v>
      </c>
    </row>
    <row r="9786" spans="1:16" x14ac:dyDescent="0.25">
      <c r="A9786" t="s">
        <v>32441</v>
      </c>
      <c r="B9786" t="s">
        <v>17561</v>
      </c>
      <c r="C9786" t="s">
        <v>16848</v>
      </c>
      <c r="D9786" t="s">
        <v>16802</v>
      </c>
      <c r="E9786" t="s">
        <v>16803</v>
      </c>
      <c r="F9786" t="s">
        <v>16623</v>
      </c>
      <c r="G9786" t="s">
        <v>16231</v>
      </c>
      <c r="H9786" t="s">
        <v>47054</v>
      </c>
      <c r="I9786" t="s">
        <v>47116</v>
      </c>
      <c r="J9786" t="s">
        <v>47117</v>
      </c>
      <c r="K9786" t="s">
        <v>47113</v>
      </c>
      <c r="L9786">
        <v>42.16</v>
      </c>
      <c r="M9786">
        <v>85</v>
      </c>
      <c r="N9786">
        <v>0</v>
      </c>
      <c r="O9786">
        <v>85</v>
      </c>
      <c r="P9786">
        <v>0</v>
      </c>
    </row>
    <row r="9787" spans="1:16" x14ac:dyDescent="0.25">
      <c r="A9787" t="s">
        <v>32442</v>
      </c>
      <c r="B9787" t="s">
        <v>17562</v>
      </c>
      <c r="C9787" t="s">
        <v>16848</v>
      </c>
      <c r="D9787" t="s">
        <v>17297</v>
      </c>
      <c r="E9787" t="s">
        <v>17298</v>
      </c>
      <c r="F9787" t="s">
        <v>16810</v>
      </c>
      <c r="G9787" t="s">
        <v>16231</v>
      </c>
      <c r="H9787" t="s">
        <v>47054</v>
      </c>
      <c r="I9787" t="s">
        <v>47111</v>
      </c>
      <c r="J9787" t="s">
        <v>47112</v>
      </c>
      <c r="K9787" t="s">
        <v>47113</v>
      </c>
      <c r="L9787">
        <v>55.19</v>
      </c>
      <c r="M9787">
        <v>111</v>
      </c>
      <c r="N9787">
        <v>0</v>
      </c>
      <c r="O9787">
        <v>111</v>
      </c>
      <c r="P9787">
        <v>0</v>
      </c>
    </row>
    <row r="9788" spans="1:16" x14ac:dyDescent="0.25">
      <c r="A9788" t="s">
        <v>32443</v>
      </c>
      <c r="B9788" t="s">
        <v>17563</v>
      </c>
      <c r="C9788" t="s">
        <v>17564</v>
      </c>
      <c r="D9788" t="s">
        <v>17297</v>
      </c>
      <c r="E9788" t="s">
        <v>17298</v>
      </c>
      <c r="F9788" t="s">
        <v>16810</v>
      </c>
      <c r="G9788" t="s">
        <v>16231</v>
      </c>
      <c r="H9788" t="s">
        <v>47054</v>
      </c>
      <c r="I9788" t="s">
        <v>47111</v>
      </c>
      <c r="J9788" t="s">
        <v>47112</v>
      </c>
      <c r="K9788" t="s">
        <v>47113</v>
      </c>
      <c r="L9788">
        <v>55.19</v>
      </c>
      <c r="M9788">
        <v>111</v>
      </c>
      <c r="N9788">
        <v>0</v>
      </c>
      <c r="O9788">
        <v>111</v>
      </c>
      <c r="P9788">
        <v>0</v>
      </c>
    </row>
    <row r="9789" spans="1:16" x14ac:dyDescent="0.25">
      <c r="A9789" t="s">
        <v>32444</v>
      </c>
      <c r="B9789" t="s">
        <v>17565</v>
      </c>
      <c r="C9789" t="s">
        <v>16848</v>
      </c>
      <c r="D9789" t="s">
        <v>17244</v>
      </c>
      <c r="E9789" t="s">
        <v>17245</v>
      </c>
      <c r="F9789" t="s">
        <v>16810</v>
      </c>
      <c r="G9789" t="s">
        <v>16231</v>
      </c>
      <c r="H9789" t="s">
        <v>47054</v>
      </c>
      <c r="I9789" t="s">
        <v>47116</v>
      </c>
      <c r="J9789" t="s">
        <v>47117</v>
      </c>
      <c r="K9789" t="s">
        <v>47113</v>
      </c>
      <c r="L9789">
        <v>51.38</v>
      </c>
      <c r="M9789">
        <v>103</v>
      </c>
      <c r="N9789">
        <v>0</v>
      </c>
      <c r="O9789">
        <v>103</v>
      </c>
      <c r="P9789">
        <v>0</v>
      </c>
    </row>
    <row r="9790" spans="1:16" x14ac:dyDescent="0.25">
      <c r="A9790" t="s">
        <v>32445</v>
      </c>
      <c r="B9790" t="s">
        <v>17566</v>
      </c>
      <c r="C9790" t="s">
        <v>17567</v>
      </c>
      <c r="D9790" t="s">
        <v>16744</v>
      </c>
      <c r="E9790" t="s">
        <v>16745</v>
      </c>
      <c r="F9790" t="s">
        <v>16746</v>
      </c>
      <c r="G9790" t="s">
        <v>16231</v>
      </c>
      <c r="H9790" t="s">
        <v>47054</v>
      </c>
      <c r="I9790" t="s">
        <v>47111</v>
      </c>
      <c r="J9790" t="s">
        <v>47112</v>
      </c>
      <c r="K9790" t="s">
        <v>47113</v>
      </c>
      <c r="L9790">
        <v>42.16</v>
      </c>
      <c r="M9790">
        <v>85</v>
      </c>
      <c r="N9790">
        <v>0</v>
      </c>
      <c r="O9790">
        <v>85</v>
      </c>
      <c r="P9790">
        <v>0</v>
      </c>
    </row>
    <row r="9791" spans="1:16" x14ac:dyDescent="0.25">
      <c r="A9791" t="s">
        <v>32446</v>
      </c>
      <c r="B9791" t="s">
        <v>17566</v>
      </c>
      <c r="C9791" t="s">
        <v>17567</v>
      </c>
      <c r="D9791" t="s">
        <v>16747</v>
      </c>
      <c r="E9791" t="s">
        <v>16748</v>
      </c>
      <c r="F9791" t="s">
        <v>16746</v>
      </c>
      <c r="G9791" t="s">
        <v>16231</v>
      </c>
      <c r="H9791" t="s">
        <v>47054</v>
      </c>
      <c r="I9791" t="s">
        <v>47111</v>
      </c>
      <c r="J9791" t="s">
        <v>47112</v>
      </c>
      <c r="K9791" t="s">
        <v>47113</v>
      </c>
      <c r="L9791">
        <v>52.4</v>
      </c>
      <c r="M9791">
        <v>85</v>
      </c>
      <c r="N9791">
        <v>0</v>
      </c>
      <c r="O9791">
        <v>85</v>
      </c>
      <c r="P9791">
        <v>0</v>
      </c>
    </row>
    <row r="9792" spans="1:16" x14ac:dyDescent="0.25">
      <c r="A9792" t="s">
        <v>32447</v>
      </c>
      <c r="B9792" t="s">
        <v>17568</v>
      </c>
      <c r="C9792" t="s">
        <v>16848</v>
      </c>
      <c r="D9792" t="s">
        <v>16815</v>
      </c>
      <c r="E9792" t="s">
        <v>16816</v>
      </c>
      <c r="F9792" t="s">
        <v>16746</v>
      </c>
      <c r="G9792" t="s">
        <v>16231</v>
      </c>
      <c r="H9792" t="s">
        <v>47054</v>
      </c>
      <c r="I9792" t="s">
        <v>47111</v>
      </c>
      <c r="J9792" t="s">
        <v>47112</v>
      </c>
      <c r="K9792" t="s">
        <v>47113</v>
      </c>
      <c r="L9792">
        <v>51.38</v>
      </c>
      <c r="M9792">
        <v>103</v>
      </c>
      <c r="N9792">
        <v>0</v>
      </c>
      <c r="O9792">
        <v>103</v>
      </c>
      <c r="P9792">
        <v>0</v>
      </c>
    </row>
    <row r="9793" spans="1:16" x14ac:dyDescent="0.25">
      <c r="A9793" t="s">
        <v>32448</v>
      </c>
      <c r="B9793" t="s">
        <v>17569</v>
      </c>
      <c r="C9793" t="s">
        <v>16848</v>
      </c>
      <c r="D9793" t="s">
        <v>17570</v>
      </c>
      <c r="E9793" t="s">
        <v>17571</v>
      </c>
      <c r="F9793" t="s">
        <v>16623</v>
      </c>
      <c r="G9793" t="s">
        <v>16231</v>
      </c>
      <c r="H9793" t="s">
        <v>47054</v>
      </c>
      <c r="I9793" t="s">
        <v>47111</v>
      </c>
      <c r="J9793" t="s">
        <v>47112</v>
      </c>
      <c r="K9793" t="s">
        <v>47113</v>
      </c>
      <c r="L9793">
        <v>40.840000000000003</v>
      </c>
      <c r="M9793">
        <v>92</v>
      </c>
      <c r="N9793">
        <v>0</v>
      </c>
      <c r="O9793">
        <v>92</v>
      </c>
      <c r="P9793">
        <v>0</v>
      </c>
    </row>
    <row r="9794" spans="1:16" x14ac:dyDescent="0.25">
      <c r="A9794" t="s">
        <v>32449</v>
      </c>
      <c r="B9794" t="s">
        <v>17569</v>
      </c>
      <c r="C9794" t="s">
        <v>16848</v>
      </c>
      <c r="D9794" t="s">
        <v>20473</v>
      </c>
      <c r="E9794" t="s">
        <v>20474</v>
      </c>
      <c r="F9794" t="s">
        <v>19559</v>
      </c>
      <c r="G9794" t="s">
        <v>16231</v>
      </c>
      <c r="H9794" t="s">
        <v>47054</v>
      </c>
      <c r="I9794" t="s">
        <v>47111</v>
      </c>
      <c r="J9794" t="s">
        <v>47112</v>
      </c>
      <c r="K9794" t="s">
        <v>47113</v>
      </c>
      <c r="L9794">
        <v>51.37</v>
      </c>
      <c r="M9794">
        <v>111</v>
      </c>
      <c r="N9794">
        <v>0</v>
      </c>
      <c r="O9794">
        <v>111</v>
      </c>
      <c r="P9794">
        <v>0</v>
      </c>
    </row>
    <row r="9795" spans="1:16" x14ac:dyDescent="0.25">
      <c r="A9795" t="s">
        <v>32450</v>
      </c>
      <c r="B9795" t="s">
        <v>20475</v>
      </c>
      <c r="C9795" t="s">
        <v>16848</v>
      </c>
      <c r="D9795" t="s">
        <v>19890</v>
      </c>
      <c r="E9795" t="s">
        <v>19891</v>
      </c>
      <c r="F9795" t="s">
        <v>16933</v>
      </c>
      <c r="G9795" t="s">
        <v>16231</v>
      </c>
      <c r="H9795" t="s">
        <v>47054</v>
      </c>
      <c r="I9795" t="s">
        <v>47111</v>
      </c>
      <c r="J9795" t="s">
        <v>47112</v>
      </c>
      <c r="K9795" t="s">
        <v>47113</v>
      </c>
      <c r="L9795">
        <v>60.37</v>
      </c>
      <c r="M9795">
        <v>129</v>
      </c>
      <c r="N9795">
        <v>0</v>
      </c>
      <c r="O9795">
        <v>129</v>
      </c>
      <c r="P9795">
        <v>0</v>
      </c>
    </row>
    <row r="9796" spans="1:16" x14ac:dyDescent="0.25">
      <c r="A9796" t="s">
        <v>32451</v>
      </c>
      <c r="B9796" t="s">
        <v>20475</v>
      </c>
      <c r="C9796" t="s">
        <v>16848</v>
      </c>
      <c r="D9796" t="s">
        <v>19892</v>
      </c>
      <c r="E9796" t="s">
        <v>19893</v>
      </c>
      <c r="F9796" t="s">
        <v>16933</v>
      </c>
      <c r="G9796" t="s">
        <v>16231</v>
      </c>
      <c r="H9796" t="s">
        <v>47054</v>
      </c>
      <c r="I9796" t="s">
        <v>47111</v>
      </c>
      <c r="J9796" t="s">
        <v>47112</v>
      </c>
      <c r="K9796" t="s">
        <v>47113</v>
      </c>
      <c r="L9796">
        <v>54</v>
      </c>
      <c r="M9796">
        <v>111</v>
      </c>
      <c r="N9796">
        <v>0</v>
      </c>
      <c r="O9796">
        <v>111</v>
      </c>
      <c r="P9796">
        <v>0</v>
      </c>
    </row>
    <row r="9797" spans="1:16" x14ac:dyDescent="0.25">
      <c r="A9797" t="s">
        <v>32452</v>
      </c>
      <c r="B9797" t="s">
        <v>20476</v>
      </c>
      <c r="C9797" t="s">
        <v>16924</v>
      </c>
      <c r="D9797" t="s">
        <v>19881</v>
      </c>
      <c r="E9797" t="s">
        <v>19882</v>
      </c>
      <c r="F9797" t="s">
        <v>16933</v>
      </c>
      <c r="G9797" t="s">
        <v>16231</v>
      </c>
      <c r="H9797" t="s">
        <v>47054</v>
      </c>
      <c r="I9797" t="s">
        <v>47111</v>
      </c>
      <c r="J9797" t="s">
        <v>47112</v>
      </c>
      <c r="K9797" t="s">
        <v>47113</v>
      </c>
      <c r="L9797">
        <v>71.12</v>
      </c>
      <c r="M9797">
        <v>148</v>
      </c>
      <c r="N9797">
        <v>0</v>
      </c>
      <c r="O9797">
        <v>148</v>
      </c>
      <c r="P9797">
        <v>0</v>
      </c>
    </row>
    <row r="9798" spans="1:16" x14ac:dyDescent="0.25">
      <c r="A9798" t="s">
        <v>32453</v>
      </c>
      <c r="B9798" t="s">
        <v>20477</v>
      </c>
      <c r="C9798" t="s">
        <v>16848</v>
      </c>
      <c r="D9798" t="s">
        <v>20101</v>
      </c>
      <c r="E9798" t="s">
        <v>20102</v>
      </c>
      <c r="F9798" t="s">
        <v>19847</v>
      </c>
      <c r="G9798" t="s">
        <v>16231</v>
      </c>
      <c r="H9798" t="s">
        <v>47054</v>
      </c>
      <c r="I9798" t="s">
        <v>47116</v>
      </c>
      <c r="J9798" t="s">
        <v>47117</v>
      </c>
      <c r="K9798" t="s">
        <v>47113</v>
      </c>
      <c r="L9798">
        <v>43.48</v>
      </c>
      <c r="M9798">
        <v>99</v>
      </c>
      <c r="N9798">
        <v>0</v>
      </c>
      <c r="O9798">
        <v>99</v>
      </c>
      <c r="P9798">
        <v>0</v>
      </c>
    </row>
    <row r="9799" spans="1:16" x14ac:dyDescent="0.25">
      <c r="A9799" t="s">
        <v>32454</v>
      </c>
      <c r="B9799" t="s">
        <v>20478</v>
      </c>
      <c r="C9799" t="s">
        <v>16924</v>
      </c>
      <c r="D9799" t="s">
        <v>19902</v>
      </c>
      <c r="E9799" t="s">
        <v>19903</v>
      </c>
      <c r="F9799" t="s">
        <v>19847</v>
      </c>
      <c r="G9799" t="s">
        <v>16231</v>
      </c>
      <c r="H9799" t="s">
        <v>47054</v>
      </c>
      <c r="I9799" t="s">
        <v>47111</v>
      </c>
      <c r="J9799" t="s">
        <v>47112</v>
      </c>
      <c r="K9799" t="s">
        <v>47113</v>
      </c>
      <c r="L9799">
        <v>80.069999999999993</v>
      </c>
      <c r="M9799">
        <v>166</v>
      </c>
      <c r="N9799">
        <v>0</v>
      </c>
      <c r="O9799">
        <v>166</v>
      </c>
      <c r="P9799">
        <v>0</v>
      </c>
    </row>
    <row r="9800" spans="1:16" x14ac:dyDescent="0.25">
      <c r="A9800" t="s">
        <v>32455</v>
      </c>
      <c r="B9800" t="s">
        <v>20479</v>
      </c>
      <c r="C9800" t="s">
        <v>16848</v>
      </c>
      <c r="D9800" t="s">
        <v>19677</v>
      </c>
      <c r="E9800" t="s">
        <v>19678</v>
      </c>
      <c r="F9800" t="s">
        <v>19908</v>
      </c>
      <c r="G9800" t="s">
        <v>16231</v>
      </c>
      <c r="H9800" t="s">
        <v>47054</v>
      </c>
      <c r="I9800" t="s">
        <v>47111</v>
      </c>
      <c r="J9800" t="s">
        <v>47112</v>
      </c>
      <c r="K9800" t="s">
        <v>47113</v>
      </c>
      <c r="L9800">
        <v>62.08</v>
      </c>
      <c r="M9800">
        <v>122</v>
      </c>
      <c r="N9800">
        <v>0</v>
      </c>
      <c r="O9800">
        <v>122</v>
      </c>
      <c r="P9800">
        <v>0</v>
      </c>
    </row>
    <row r="9801" spans="1:16" x14ac:dyDescent="0.25">
      <c r="A9801" t="s">
        <v>32456</v>
      </c>
      <c r="B9801" t="s">
        <v>20480</v>
      </c>
      <c r="C9801" t="s">
        <v>16924</v>
      </c>
      <c r="D9801" t="s">
        <v>19677</v>
      </c>
      <c r="E9801" t="s">
        <v>19678</v>
      </c>
      <c r="F9801" t="s">
        <v>19908</v>
      </c>
      <c r="G9801" t="s">
        <v>16231</v>
      </c>
      <c r="H9801" t="s">
        <v>47054</v>
      </c>
      <c r="I9801" t="s">
        <v>47111</v>
      </c>
      <c r="J9801" t="s">
        <v>47112</v>
      </c>
      <c r="K9801" t="s">
        <v>47113</v>
      </c>
      <c r="L9801">
        <v>73.62</v>
      </c>
      <c r="M9801">
        <v>148</v>
      </c>
      <c r="N9801">
        <v>0</v>
      </c>
      <c r="O9801">
        <v>148</v>
      </c>
      <c r="P9801">
        <v>0</v>
      </c>
    </row>
    <row r="9802" spans="1:16" x14ac:dyDescent="0.25">
      <c r="A9802" t="s">
        <v>32457</v>
      </c>
      <c r="B9802" t="s">
        <v>20481</v>
      </c>
      <c r="C9802" t="s">
        <v>16848</v>
      </c>
      <c r="D9802" t="s">
        <v>721</v>
      </c>
      <c r="E9802" t="s">
        <v>722</v>
      </c>
      <c r="F9802" t="s">
        <v>16933</v>
      </c>
      <c r="G9802" t="s">
        <v>16231</v>
      </c>
      <c r="H9802" t="s">
        <v>47054</v>
      </c>
      <c r="I9802" t="s">
        <v>47111</v>
      </c>
      <c r="J9802" t="s">
        <v>47112</v>
      </c>
      <c r="K9802" t="s">
        <v>47113</v>
      </c>
      <c r="L9802">
        <v>54.44</v>
      </c>
      <c r="M9802">
        <v>92</v>
      </c>
      <c r="N9802">
        <v>0</v>
      </c>
      <c r="O9802">
        <v>92</v>
      </c>
      <c r="P9802">
        <v>0</v>
      </c>
    </row>
    <row r="9803" spans="1:16" x14ac:dyDescent="0.25">
      <c r="A9803" t="s">
        <v>32458</v>
      </c>
      <c r="B9803" t="s">
        <v>20481</v>
      </c>
      <c r="C9803" t="s">
        <v>16848</v>
      </c>
      <c r="D9803" t="s">
        <v>311</v>
      </c>
      <c r="E9803" t="s">
        <v>16288</v>
      </c>
      <c r="F9803" t="s">
        <v>16933</v>
      </c>
      <c r="G9803" t="s">
        <v>16231</v>
      </c>
      <c r="H9803" t="s">
        <v>47054</v>
      </c>
      <c r="I9803" t="s">
        <v>47111</v>
      </c>
      <c r="J9803" t="s">
        <v>47112</v>
      </c>
      <c r="K9803" t="s">
        <v>47113</v>
      </c>
      <c r="L9803">
        <v>54.44</v>
      </c>
      <c r="M9803">
        <v>92</v>
      </c>
      <c r="N9803">
        <v>0</v>
      </c>
      <c r="O9803">
        <v>92</v>
      </c>
      <c r="P9803">
        <v>0</v>
      </c>
    </row>
    <row r="9804" spans="1:16" x14ac:dyDescent="0.25">
      <c r="A9804" t="s">
        <v>32459</v>
      </c>
      <c r="B9804" t="s">
        <v>32460</v>
      </c>
      <c r="C9804" t="s">
        <v>32461</v>
      </c>
      <c r="D9804" t="s">
        <v>311</v>
      </c>
      <c r="E9804" t="s">
        <v>16288</v>
      </c>
      <c r="F9804" t="s">
        <v>24617</v>
      </c>
      <c r="G9804" t="s">
        <v>16231</v>
      </c>
      <c r="H9804" t="s">
        <v>47054</v>
      </c>
      <c r="I9804" t="s">
        <v>47544</v>
      </c>
      <c r="J9804" t="s">
        <v>47545</v>
      </c>
      <c r="K9804" t="s">
        <v>47113</v>
      </c>
      <c r="L9804">
        <v>21.58</v>
      </c>
      <c r="M9804">
        <v>74</v>
      </c>
      <c r="N9804">
        <v>0</v>
      </c>
      <c r="O9804">
        <v>74</v>
      </c>
      <c r="P9804">
        <v>0</v>
      </c>
    </row>
    <row r="9805" spans="1:16" x14ac:dyDescent="0.25">
      <c r="A9805" t="s">
        <v>32462</v>
      </c>
      <c r="B9805" t="s">
        <v>32463</v>
      </c>
      <c r="C9805" t="s">
        <v>17564</v>
      </c>
      <c r="D9805" t="s">
        <v>311</v>
      </c>
      <c r="E9805" t="s">
        <v>16288</v>
      </c>
      <c r="F9805" t="s">
        <v>24617</v>
      </c>
      <c r="G9805" t="s">
        <v>16231</v>
      </c>
      <c r="H9805" t="s">
        <v>47054</v>
      </c>
      <c r="I9805" t="s">
        <v>47544</v>
      </c>
      <c r="J9805" t="s">
        <v>47545</v>
      </c>
      <c r="K9805" t="s">
        <v>47113</v>
      </c>
      <c r="L9805">
        <v>21.58</v>
      </c>
      <c r="M9805">
        <v>74</v>
      </c>
      <c r="N9805">
        <v>0</v>
      </c>
      <c r="O9805">
        <v>74</v>
      </c>
      <c r="P9805">
        <v>0</v>
      </c>
    </row>
    <row r="9806" spans="1:16" x14ac:dyDescent="0.25">
      <c r="A9806" t="s">
        <v>48034</v>
      </c>
      <c r="B9806" t="s">
        <v>48035</v>
      </c>
      <c r="C9806" t="s">
        <v>48036</v>
      </c>
      <c r="D9806" t="s">
        <v>311</v>
      </c>
      <c r="E9806" t="s">
        <v>16288</v>
      </c>
      <c r="F9806" t="s">
        <v>47488</v>
      </c>
      <c r="G9806" t="s">
        <v>16231</v>
      </c>
      <c r="H9806" t="s">
        <v>47054</v>
      </c>
      <c r="I9806" t="s">
        <v>47544</v>
      </c>
      <c r="J9806" t="s">
        <v>47545</v>
      </c>
      <c r="K9806" t="s">
        <v>47113</v>
      </c>
      <c r="L9806">
        <v>21.58</v>
      </c>
      <c r="M9806">
        <v>74</v>
      </c>
      <c r="N9806">
        <v>0</v>
      </c>
      <c r="O9806">
        <v>74</v>
      </c>
      <c r="P9806">
        <v>0</v>
      </c>
    </row>
    <row r="9807" spans="1:16" x14ac:dyDescent="0.25">
      <c r="A9807" t="s">
        <v>32464</v>
      </c>
      <c r="B9807" t="s">
        <v>20482</v>
      </c>
      <c r="C9807" t="s">
        <v>16848</v>
      </c>
      <c r="D9807" t="s">
        <v>20123</v>
      </c>
      <c r="E9807" t="s">
        <v>20124</v>
      </c>
      <c r="F9807" t="s">
        <v>19847</v>
      </c>
      <c r="G9807" t="s">
        <v>16231</v>
      </c>
      <c r="H9807" t="s">
        <v>47054</v>
      </c>
      <c r="I9807" t="s">
        <v>47116</v>
      </c>
      <c r="J9807" t="s">
        <v>47117</v>
      </c>
      <c r="K9807" t="s">
        <v>47113</v>
      </c>
      <c r="L9807">
        <v>39.92</v>
      </c>
      <c r="M9807">
        <v>92</v>
      </c>
      <c r="N9807">
        <v>0</v>
      </c>
      <c r="O9807">
        <v>92</v>
      </c>
      <c r="P9807">
        <v>0</v>
      </c>
    </row>
    <row r="9808" spans="1:16" x14ac:dyDescent="0.25">
      <c r="A9808" t="s">
        <v>32465</v>
      </c>
      <c r="B9808" t="s">
        <v>20483</v>
      </c>
      <c r="C9808" t="s">
        <v>16848</v>
      </c>
      <c r="D9808" t="s">
        <v>19914</v>
      </c>
      <c r="E9808" t="s">
        <v>19915</v>
      </c>
      <c r="F9808" t="s">
        <v>19559</v>
      </c>
      <c r="G9808" t="s">
        <v>16231</v>
      </c>
      <c r="H9808" t="s">
        <v>47054</v>
      </c>
      <c r="I9808" t="s">
        <v>47111</v>
      </c>
      <c r="J9808" t="s">
        <v>47112</v>
      </c>
      <c r="K9808" t="s">
        <v>47113</v>
      </c>
      <c r="L9808">
        <v>61.46</v>
      </c>
      <c r="M9808">
        <v>129</v>
      </c>
      <c r="N9808">
        <v>0</v>
      </c>
      <c r="O9808">
        <v>129</v>
      </c>
      <c r="P9808">
        <v>0</v>
      </c>
    </row>
    <row r="9809" spans="1:16" x14ac:dyDescent="0.25">
      <c r="A9809" t="s">
        <v>22783</v>
      </c>
      <c r="B9809" t="s">
        <v>20484</v>
      </c>
      <c r="C9809" t="s">
        <v>16924</v>
      </c>
      <c r="D9809" t="s">
        <v>19914</v>
      </c>
      <c r="E9809" t="s">
        <v>19915</v>
      </c>
      <c r="F9809" t="s">
        <v>19559</v>
      </c>
      <c r="G9809" t="s">
        <v>16231</v>
      </c>
      <c r="H9809" t="s">
        <v>47054</v>
      </c>
      <c r="I9809" t="s">
        <v>47111</v>
      </c>
      <c r="J9809" t="s">
        <v>47112</v>
      </c>
      <c r="K9809" t="s">
        <v>47113</v>
      </c>
      <c r="L9809">
        <v>72.83</v>
      </c>
      <c r="M9809">
        <v>148</v>
      </c>
      <c r="N9809">
        <v>0</v>
      </c>
      <c r="O9809">
        <v>148</v>
      </c>
      <c r="P9809">
        <v>0</v>
      </c>
    </row>
    <row r="9810" spans="1:16" x14ac:dyDescent="0.25">
      <c r="A9810" t="s">
        <v>32466</v>
      </c>
      <c r="B9810" t="s">
        <v>20485</v>
      </c>
      <c r="C9810" t="s">
        <v>16924</v>
      </c>
      <c r="D9810" t="s">
        <v>19562</v>
      </c>
      <c r="E9810" t="s">
        <v>19563</v>
      </c>
      <c r="F9810" t="s">
        <v>19559</v>
      </c>
      <c r="G9810" t="s">
        <v>16231</v>
      </c>
      <c r="H9810" t="s">
        <v>47054</v>
      </c>
      <c r="I9810" t="s">
        <v>47111</v>
      </c>
      <c r="J9810" t="s">
        <v>47112</v>
      </c>
      <c r="K9810" t="s">
        <v>47113</v>
      </c>
      <c r="L9810">
        <v>79.19</v>
      </c>
      <c r="M9810">
        <v>148</v>
      </c>
      <c r="N9810">
        <v>0</v>
      </c>
      <c r="O9810">
        <v>148</v>
      </c>
      <c r="P9810">
        <v>0</v>
      </c>
    </row>
    <row r="9811" spans="1:16" x14ac:dyDescent="0.25">
      <c r="A9811" t="s">
        <v>22784</v>
      </c>
      <c r="B9811" t="s">
        <v>20486</v>
      </c>
      <c r="C9811" t="s">
        <v>20487</v>
      </c>
      <c r="D9811" t="s">
        <v>19917</v>
      </c>
      <c r="E9811" t="s">
        <v>19918</v>
      </c>
      <c r="F9811" t="s">
        <v>19559</v>
      </c>
      <c r="G9811" t="s">
        <v>16231</v>
      </c>
      <c r="H9811" t="s">
        <v>47054</v>
      </c>
      <c r="I9811" t="s">
        <v>47116</v>
      </c>
      <c r="J9811" t="s">
        <v>47117</v>
      </c>
      <c r="K9811" t="s">
        <v>47113</v>
      </c>
      <c r="L9811">
        <v>37.369999999999997</v>
      </c>
      <c r="M9811">
        <v>74</v>
      </c>
      <c r="N9811">
        <v>0</v>
      </c>
      <c r="O9811">
        <v>74</v>
      </c>
      <c r="P9811">
        <v>0</v>
      </c>
    </row>
    <row r="9812" spans="1:16" x14ac:dyDescent="0.25">
      <c r="A9812" t="s">
        <v>32467</v>
      </c>
      <c r="B9812" t="s">
        <v>20488</v>
      </c>
      <c r="C9812" t="s">
        <v>16848</v>
      </c>
      <c r="D9812" t="s">
        <v>19927</v>
      </c>
      <c r="E9812" t="s">
        <v>19928</v>
      </c>
      <c r="F9812" t="s">
        <v>19878</v>
      </c>
      <c r="G9812" t="s">
        <v>16231</v>
      </c>
      <c r="H9812" t="s">
        <v>47054</v>
      </c>
      <c r="I9812" t="s">
        <v>47111</v>
      </c>
      <c r="J9812" t="s">
        <v>47112</v>
      </c>
      <c r="K9812" t="s">
        <v>47113</v>
      </c>
      <c r="L9812">
        <v>65.91</v>
      </c>
      <c r="M9812">
        <v>129</v>
      </c>
      <c r="N9812">
        <v>0</v>
      </c>
      <c r="O9812">
        <v>129</v>
      </c>
      <c r="P9812">
        <v>0</v>
      </c>
    </row>
    <row r="9813" spans="1:16" x14ac:dyDescent="0.25">
      <c r="A9813" t="s">
        <v>32468</v>
      </c>
      <c r="B9813" t="s">
        <v>20489</v>
      </c>
      <c r="C9813" t="s">
        <v>16848</v>
      </c>
      <c r="D9813" t="s">
        <v>19872</v>
      </c>
      <c r="E9813" t="s">
        <v>19873</v>
      </c>
      <c r="F9813" t="s">
        <v>19552</v>
      </c>
      <c r="G9813" t="s">
        <v>16231</v>
      </c>
      <c r="H9813" t="s">
        <v>47054</v>
      </c>
      <c r="I9813" t="s">
        <v>47116</v>
      </c>
      <c r="J9813" t="s">
        <v>47117</v>
      </c>
      <c r="K9813" t="s">
        <v>47113</v>
      </c>
      <c r="L9813">
        <v>46.45</v>
      </c>
      <c r="M9813">
        <v>92</v>
      </c>
      <c r="N9813">
        <v>0</v>
      </c>
      <c r="O9813">
        <v>92</v>
      </c>
      <c r="P9813">
        <v>0</v>
      </c>
    </row>
    <row r="9814" spans="1:16" x14ac:dyDescent="0.25">
      <c r="A9814" t="s">
        <v>32469</v>
      </c>
      <c r="B9814" t="s">
        <v>20490</v>
      </c>
      <c r="C9814" t="s">
        <v>16848</v>
      </c>
      <c r="D9814" t="s">
        <v>20111</v>
      </c>
      <c r="E9814" t="s">
        <v>20112</v>
      </c>
      <c r="F9814" t="s">
        <v>19878</v>
      </c>
      <c r="G9814" t="s">
        <v>16231</v>
      </c>
      <c r="H9814" t="s">
        <v>47054</v>
      </c>
      <c r="I9814" t="s">
        <v>47111</v>
      </c>
      <c r="J9814" t="s">
        <v>47112</v>
      </c>
      <c r="K9814" t="s">
        <v>47113</v>
      </c>
      <c r="L9814">
        <v>55.5</v>
      </c>
      <c r="M9814">
        <v>129</v>
      </c>
      <c r="N9814">
        <v>0</v>
      </c>
      <c r="O9814">
        <v>129</v>
      </c>
      <c r="P9814">
        <v>0</v>
      </c>
    </row>
    <row r="9815" spans="1:16" x14ac:dyDescent="0.25">
      <c r="A9815" t="s">
        <v>32470</v>
      </c>
      <c r="B9815" t="s">
        <v>20491</v>
      </c>
      <c r="C9815" t="s">
        <v>16924</v>
      </c>
      <c r="D9815" t="s">
        <v>19890</v>
      </c>
      <c r="E9815" t="s">
        <v>19891</v>
      </c>
      <c r="F9815" t="s">
        <v>19878</v>
      </c>
      <c r="G9815" t="s">
        <v>16231</v>
      </c>
      <c r="H9815" t="s">
        <v>47054</v>
      </c>
      <c r="I9815" t="s">
        <v>47111</v>
      </c>
      <c r="J9815" t="s">
        <v>47112</v>
      </c>
      <c r="K9815" t="s">
        <v>47113</v>
      </c>
      <c r="L9815">
        <v>80.239999999999995</v>
      </c>
      <c r="M9815">
        <v>148</v>
      </c>
      <c r="N9815">
        <v>0</v>
      </c>
      <c r="O9815">
        <v>148</v>
      </c>
      <c r="P9815">
        <v>0</v>
      </c>
    </row>
    <row r="9816" spans="1:16" x14ac:dyDescent="0.25">
      <c r="A9816" t="s">
        <v>22785</v>
      </c>
      <c r="B9816" t="s">
        <v>20492</v>
      </c>
      <c r="C9816" t="s">
        <v>17567</v>
      </c>
      <c r="D9816" t="s">
        <v>19876</v>
      </c>
      <c r="E9816" t="s">
        <v>19877</v>
      </c>
      <c r="F9816" t="s">
        <v>19878</v>
      </c>
      <c r="G9816" t="s">
        <v>16231</v>
      </c>
      <c r="H9816" t="s">
        <v>47054</v>
      </c>
      <c r="I9816" t="s">
        <v>47116</v>
      </c>
      <c r="J9816" t="s">
        <v>47117</v>
      </c>
      <c r="K9816" t="s">
        <v>47113</v>
      </c>
      <c r="L9816">
        <v>40.049999999999997</v>
      </c>
      <c r="M9816">
        <v>85</v>
      </c>
      <c r="N9816">
        <v>0</v>
      </c>
      <c r="O9816">
        <v>85</v>
      </c>
      <c r="P9816">
        <v>0</v>
      </c>
    </row>
    <row r="9817" spans="1:16" x14ac:dyDescent="0.25">
      <c r="A9817" t="s">
        <v>32471</v>
      </c>
      <c r="B9817" t="s">
        <v>20493</v>
      </c>
      <c r="C9817" t="s">
        <v>17567</v>
      </c>
      <c r="D9817" t="s">
        <v>19876</v>
      </c>
      <c r="E9817" t="s">
        <v>19877</v>
      </c>
      <c r="F9817" t="s">
        <v>19878</v>
      </c>
      <c r="G9817" t="s">
        <v>16231</v>
      </c>
      <c r="H9817" t="s">
        <v>47054</v>
      </c>
      <c r="I9817" t="s">
        <v>47111</v>
      </c>
      <c r="J9817" t="s">
        <v>47112</v>
      </c>
      <c r="K9817" t="s">
        <v>47113</v>
      </c>
      <c r="L9817">
        <v>84.6</v>
      </c>
      <c r="M9817">
        <v>166</v>
      </c>
      <c r="N9817">
        <v>0</v>
      </c>
      <c r="O9817">
        <v>166</v>
      </c>
      <c r="P9817">
        <v>0</v>
      </c>
    </row>
    <row r="9818" spans="1:16" x14ac:dyDescent="0.25">
      <c r="A9818" t="s">
        <v>32472</v>
      </c>
      <c r="B9818" t="s">
        <v>20494</v>
      </c>
      <c r="C9818" t="s">
        <v>16924</v>
      </c>
      <c r="D9818" t="s">
        <v>17365</v>
      </c>
      <c r="E9818" t="s">
        <v>17366</v>
      </c>
      <c r="F9818" t="s">
        <v>16933</v>
      </c>
      <c r="G9818" t="s">
        <v>16231</v>
      </c>
      <c r="H9818" t="s">
        <v>47054</v>
      </c>
      <c r="I9818" t="s">
        <v>47111</v>
      </c>
      <c r="J9818" t="s">
        <v>47112</v>
      </c>
      <c r="K9818" t="s">
        <v>47113</v>
      </c>
      <c r="L9818">
        <v>79.2</v>
      </c>
      <c r="M9818">
        <v>148</v>
      </c>
      <c r="N9818">
        <v>0</v>
      </c>
      <c r="O9818">
        <v>148</v>
      </c>
      <c r="P9818">
        <v>0</v>
      </c>
    </row>
    <row r="9819" spans="1:16" x14ac:dyDescent="0.25">
      <c r="A9819" t="s">
        <v>32473</v>
      </c>
      <c r="B9819" t="s">
        <v>20494</v>
      </c>
      <c r="C9819" t="s">
        <v>16924</v>
      </c>
      <c r="D9819" t="s">
        <v>19698</v>
      </c>
      <c r="E9819" t="s">
        <v>19699</v>
      </c>
      <c r="F9819" t="s">
        <v>16933</v>
      </c>
      <c r="G9819" t="s">
        <v>16231</v>
      </c>
      <c r="H9819" t="s">
        <v>47054</v>
      </c>
      <c r="I9819" t="s">
        <v>47111</v>
      </c>
      <c r="J9819" t="s">
        <v>47112</v>
      </c>
      <c r="K9819" t="s">
        <v>47113</v>
      </c>
      <c r="L9819">
        <v>54.44</v>
      </c>
      <c r="M9819">
        <v>148</v>
      </c>
      <c r="N9819">
        <v>0</v>
      </c>
      <c r="O9819">
        <v>148</v>
      </c>
      <c r="P9819">
        <v>0</v>
      </c>
    </row>
    <row r="9820" spans="1:16" x14ac:dyDescent="0.25">
      <c r="A9820" t="s">
        <v>32474</v>
      </c>
      <c r="B9820" t="s">
        <v>20494</v>
      </c>
      <c r="C9820" t="s">
        <v>16924</v>
      </c>
      <c r="D9820" t="s">
        <v>311</v>
      </c>
      <c r="E9820" t="s">
        <v>16288</v>
      </c>
      <c r="F9820" t="s">
        <v>16933</v>
      </c>
      <c r="G9820" t="s">
        <v>16231</v>
      </c>
      <c r="H9820" t="s">
        <v>47054</v>
      </c>
      <c r="I9820" t="s">
        <v>47111</v>
      </c>
      <c r="J9820" t="s">
        <v>47112</v>
      </c>
      <c r="K9820" t="s">
        <v>47113</v>
      </c>
      <c r="L9820">
        <v>59.72</v>
      </c>
      <c r="M9820">
        <v>148</v>
      </c>
      <c r="N9820">
        <v>0</v>
      </c>
      <c r="O9820">
        <v>148</v>
      </c>
      <c r="P9820">
        <v>0</v>
      </c>
    </row>
    <row r="9821" spans="1:16" x14ac:dyDescent="0.25">
      <c r="A9821" t="s">
        <v>32475</v>
      </c>
      <c r="B9821" t="s">
        <v>32476</v>
      </c>
      <c r="C9821" t="s">
        <v>16848</v>
      </c>
      <c r="D9821" t="s">
        <v>29740</v>
      </c>
      <c r="E9821" t="s">
        <v>29741</v>
      </c>
      <c r="F9821" t="s">
        <v>20496</v>
      </c>
      <c r="G9821" t="s">
        <v>16231</v>
      </c>
      <c r="H9821" t="s">
        <v>47054</v>
      </c>
      <c r="I9821" t="s">
        <v>47111</v>
      </c>
      <c r="J9821" t="s">
        <v>47112</v>
      </c>
      <c r="K9821" t="s">
        <v>47113</v>
      </c>
      <c r="L9821">
        <v>72.72</v>
      </c>
      <c r="M9821">
        <v>148</v>
      </c>
      <c r="N9821">
        <v>0</v>
      </c>
      <c r="O9821">
        <v>148</v>
      </c>
      <c r="P9821">
        <v>0</v>
      </c>
    </row>
    <row r="9822" spans="1:16" x14ac:dyDescent="0.25">
      <c r="A9822" t="s">
        <v>32477</v>
      </c>
      <c r="B9822" t="s">
        <v>32478</v>
      </c>
      <c r="C9822" t="s">
        <v>16924</v>
      </c>
      <c r="D9822" t="s">
        <v>20147</v>
      </c>
      <c r="E9822" t="s">
        <v>20148</v>
      </c>
      <c r="F9822" t="s">
        <v>20496</v>
      </c>
      <c r="G9822" t="s">
        <v>16231</v>
      </c>
      <c r="H9822" t="s">
        <v>47054</v>
      </c>
      <c r="I9822" t="s">
        <v>47111</v>
      </c>
      <c r="J9822" t="s">
        <v>47112</v>
      </c>
      <c r="K9822" t="s">
        <v>47113</v>
      </c>
      <c r="L9822">
        <v>77.2</v>
      </c>
      <c r="M9822">
        <v>166</v>
      </c>
      <c r="N9822">
        <v>0</v>
      </c>
      <c r="O9822">
        <v>166</v>
      </c>
      <c r="P9822">
        <v>0</v>
      </c>
    </row>
    <row r="9823" spans="1:16" x14ac:dyDescent="0.25">
      <c r="A9823" t="s">
        <v>32479</v>
      </c>
      <c r="B9823" t="s">
        <v>32480</v>
      </c>
      <c r="C9823" t="s">
        <v>16848</v>
      </c>
      <c r="D9823" t="s">
        <v>27842</v>
      </c>
      <c r="E9823" t="s">
        <v>27843</v>
      </c>
      <c r="F9823" t="s">
        <v>21629</v>
      </c>
      <c r="G9823" t="s">
        <v>16231</v>
      </c>
      <c r="I9823" t="s">
        <v>47111</v>
      </c>
      <c r="J9823" t="s">
        <v>47112</v>
      </c>
      <c r="K9823" t="s">
        <v>47113</v>
      </c>
      <c r="L9823">
        <v>63.06</v>
      </c>
      <c r="M9823">
        <v>129</v>
      </c>
      <c r="N9823">
        <v>0</v>
      </c>
      <c r="O9823">
        <v>129</v>
      </c>
      <c r="P9823">
        <v>0</v>
      </c>
    </row>
    <row r="9824" spans="1:16" x14ac:dyDescent="0.25">
      <c r="A9824" t="s">
        <v>32481</v>
      </c>
      <c r="B9824" t="s">
        <v>32482</v>
      </c>
      <c r="C9824" t="s">
        <v>16848</v>
      </c>
      <c r="D9824" t="s">
        <v>20497</v>
      </c>
      <c r="E9824" t="s">
        <v>20498</v>
      </c>
      <c r="F9824" t="s">
        <v>20496</v>
      </c>
      <c r="G9824" t="s">
        <v>16231</v>
      </c>
      <c r="H9824" t="s">
        <v>47054</v>
      </c>
      <c r="I9824" t="s">
        <v>47111</v>
      </c>
      <c r="J9824" t="s">
        <v>47112</v>
      </c>
      <c r="K9824" t="s">
        <v>47113</v>
      </c>
      <c r="L9824">
        <v>49.46</v>
      </c>
      <c r="M9824">
        <v>111</v>
      </c>
      <c r="N9824">
        <v>0</v>
      </c>
      <c r="O9824">
        <v>111</v>
      </c>
      <c r="P9824">
        <v>0</v>
      </c>
    </row>
    <row r="9825" spans="1:16" x14ac:dyDescent="0.25">
      <c r="A9825" t="s">
        <v>32483</v>
      </c>
      <c r="B9825" t="s">
        <v>20495</v>
      </c>
      <c r="C9825" t="s">
        <v>16924</v>
      </c>
      <c r="D9825" t="s">
        <v>1688</v>
      </c>
      <c r="E9825" t="s">
        <v>1689</v>
      </c>
      <c r="F9825" t="s">
        <v>20496</v>
      </c>
      <c r="G9825" t="s">
        <v>16231</v>
      </c>
      <c r="H9825" t="s">
        <v>47054</v>
      </c>
      <c r="I9825" t="s">
        <v>47111</v>
      </c>
      <c r="J9825" t="s">
        <v>47112</v>
      </c>
      <c r="K9825" t="s">
        <v>47113</v>
      </c>
      <c r="L9825">
        <v>78.72</v>
      </c>
      <c r="M9825">
        <v>148</v>
      </c>
      <c r="N9825">
        <v>0</v>
      </c>
      <c r="O9825">
        <v>148</v>
      </c>
      <c r="P9825">
        <v>0</v>
      </c>
    </row>
    <row r="9826" spans="1:16" x14ac:dyDescent="0.25">
      <c r="A9826" t="s">
        <v>32484</v>
      </c>
      <c r="B9826" t="s">
        <v>20495</v>
      </c>
      <c r="C9826" t="s">
        <v>16924</v>
      </c>
      <c r="D9826" t="s">
        <v>20497</v>
      </c>
      <c r="E9826" t="s">
        <v>20498</v>
      </c>
      <c r="F9826" t="s">
        <v>20496</v>
      </c>
      <c r="G9826" t="s">
        <v>16231</v>
      </c>
      <c r="H9826" t="s">
        <v>47054</v>
      </c>
      <c r="I9826" t="s">
        <v>47111</v>
      </c>
      <c r="J9826" t="s">
        <v>47112</v>
      </c>
      <c r="K9826" t="s">
        <v>47113</v>
      </c>
      <c r="L9826">
        <v>27.84</v>
      </c>
      <c r="M9826">
        <v>148</v>
      </c>
      <c r="N9826">
        <v>0</v>
      </c>
      <c r="O9826">
        <v>148</v>
      </c>
      <c r="P9826">
        <v>0</v>
      </c>
    </row>
    <row r="9827" spans="1:16" x14ac:dyDescent="0.25">
      <c r="A9827" t="s">
        <v>32485</v>
      </c>
      <c r="B9827" t="s">
        <v>20499</v>
      </c>
      <c r="C9827" t="s">
        <v>16924</v>
      </c>
      <c r="D9827" t="s">
        <v>1718</v>
      </c>
      <c r="E9827" t="s">
        <v>1719</v>
      </c>
      <c r="F9827" t="s">
        <v>19878</v>
      </c>
      <c r="G9827" t="s">
        <v>16231</v>
      </c>
      <c r="H9827" t="s">
        <v>47054</v>
      </c>
      <c r="I9827" t="s">
        <v>47111</v>
      </c>
      <c r="J9827" t="s">
        <v>47112</v>
      </c>
      <c r="K9827" t="s">
        <v>47113</v>
      </c>
      <c r="L9827">
        <v>25.92</v>
      </c>
      <c r="M9827">
        <v>166</v>
      </c>
      <c r="N9827">
        <v>0</v>
      </c>
      <c r="O9827">
        <v>166</v>
      </c>
      <c r="P9827">
        <v>0</v>
      </c>
    </row>
    <row r="9828" spans="1:16" x14ac:dyDescent="0.25">
      <c r="A9828" t="s">
        <v>32486</v>
      </c>
      <c r="B9828" t="s">
        <v>32487</v>
      </c>
      <c r="C9828" t="s">
        <v>19549</v>
      </c>
      <c r="D9828" t="s">
        <v>32488</v>
      </c>
      <c r="E9828" t="s">
        <v>32489</v>
      </c>
      <c r="F9828" t="s">
        <v>20496</v>
      </c>
      <c r="G9828" t="s">
        <v>16231</v>
      </c>
      <c r="H9828" t="s">
        <v>47054</v>
      </c>
      <c r="I9828" t="s">
        <v>47120</v>
      </c>
      <c r="J9828" t="s">
        <v>47121</v>
      </c>
      <c r="K9828" t="s">
        <v>47113</v>
      </c>
      <c r="L9828">
        <v>55.54</v>
      </c>
      <c r="M9828">
        <v>129</v>
      </c>
      <c r="N9828">
        <v>0</v>
      </c>
      <c r="O9828">
        <v>129</v>
      </c>
      <c r="P9828">
        <v>0</v>
      </c>
    </row>
    <row r="9829" spans="1:16" x14ac:dyDescent="0.25">
      <c r="A9829" t="s">
        <v>32490</v>
      </c>
      <c r="B9829" t="s">
        <v>32491</v>
      </c>
      <c r="C9829" t="s">
        <v>16848</v>
      </c>
      <c r="D9829" t="s">
        <v>22730</v>
      </c>
      <c r="E9829" t="s">
        <v>22731</v>
      </c>
      <c r="F9829" t="s">
        <v>21629</v>
      </c>
      <c r="G9829" t="s">
        <v>16231</v>
      </c>
      <c r="H9829" t="s">
        <v>47054</v>
      </c>
      <c r="I9829" t="s">
        <v>47111</v>
      </c>
      <c r="J9829" t="s">
        <v>47112</v>
      </c>
      <c r="K9829" t="s">
        <v>47113</v>
      </c>
      <c r="L9829">
        <v>75.67</v>
      </c>
      <c r="M9829">
        <v>177</v>
      </c>
      <c r="N9829">
        <v>0</v>
      </c>
      <c r="O9829">
        <v>177</v>
      </c>
      <c r="P9829">
        <v>0</v>
      </c>
    </row>
    <row r="9830" spans="1:16" x14ac:dyDescent="0.25">
      <c r="A9830" t="s">
        <v>32492</v>
      </c>
      <c r="B9830" t="s">
        <v>32493</v>
      </c>
      <c r="C9830" t="s">
        <v>16848</v>
      </c>
      <c r="D9830" t="s">
        <v>32494</v>
      </c>
      <c r="E9830" t="s">
        <v>32495</v>
      </c>
      <c r="F9830" t="s">
        <v>24617</v>
      </c>
      <c r="G9830" t="s">
        <v>16231</v>
      </c>
      <c r="H9830" t="s">
        <v>47054</v>
      </c>
      <c r="I9830" t="s">
        <v>47544</v>
      </c>
      <c r="J9830" t="s">
        <v>47545</v>
      </c>
      <c r="K9830" t="s">
        <v>47113</v>
      </c>
      <c r="L9830">
        <v>33.630000000000003</v>
      </c>
      <c r="M9830">
        <v>92</v>
      </c>
      <c r="N9830">
        <v>249</v>
      </c>
      <c r="O9830">
        <v>92</v>
      </c>
      <c r="P9830">
        <v>249</v>
      </c>
    </row>
    <row r="9831" spans="1:16" x14ac:dyDescent="0.25">
      <c r="A9831" t="s">
        <v>32496</v>
      </c>
      <c r="B9831" t="s">
        <v>32497</v>
      </c>
      <c r="C9831" t="s">
        <v>16924</v>
      </c>
      <c r="D9831" t="s">
        <v>29774</v>
      </c>
      <c r="E9831" t="s">
        <v>29775</v>
      </c>
      <c r="F9831" t="s">
        <v>24617</v>
      </c>
      <c r="G9831" t="s">
        <v>16231</v>
      </c>
      <c r="H9831" t="s">
        <v>47054</v>
      </c>
      <c r="I9831" t="s">
        <v>47120</v>
      </c>
      <c r="J9831" t="s">
        <v>47121</v>
      </c>
      <c r="K9831" t="s">
        <v>47113</v>
      </c>
      <c r="L9831">
        <v>34.58</v>
      </c>
      <c r="M9831">
        <v>111</v>
      </c>
      <c r="N9831">
        <v>299</v>
      </c>
      <c r="O9831">
        <v>111</v>
      </c>
      <c r="P9831">
        <v>299</v>
      </c>
    </row>
    <row r="9832" spans="1:16" x14ac:dyDescent="0.25">
      <c r="A9832" t="s">
        <v>32498</v>
      </c>
      <c r="B9832" t="s">
        <v>32499</v>
      </c>
      <c r="C9832" t="s">
        <v>32500</v>
      </c>
      <c r="D9832" t="s">
        <v>27842</v>
      </c>
      <c r="E9832" t="s">
        <v>27843</v>
      </c>
      <c r="F9832" t="s">
        <v>24622</v>
      </c>
      <c r="G9832" t="s">
        <v>16231</v>
      </c>
      <c r="H9832" t="s">
        <v>47054</v>
      </c>
      <c r="I9832" t="s">
        <v>47116</v>
      </c>
      <c r="J9832" t="s">
        <v>47117</v>
      </c>
      <c r="K9832" t="s">
        <v>47113</v>
      </c>
      <c r="L9832">
        <v>46.75</v>
      </c>
      <c r="M9832">
        <v>111</v>
      </c>
      <c r="N9832">
        <v>299</v>
      </c>
      <c r="O9832">
        <v>111</v>
      </c>
      <c r="P9832">
        <v>299</v>
      </c>
    </row>
    <row r="9833" spans="1:16" x14ac:dyDescent="0.25">
      <c r="A9833" t="s">
        <v>32501</v>
      </c>
      <c r="B9833" t="s">
        <v>32502</v>
      </c>
      <c r="C9833" t="s">
        <v>16848</v>
      </c>
      <c r="D9833" t="s">
        <v>31473</v>
      </c>
      <c r="E9833" t="s">
        <v>31474</v>
      </c>
      <c r="F9833" t="s">
        <v>24622</v>
      </c>
      <c r="G9833" t="s">
        <v>16231</v>
      </c>
      <c r="H9833" t="s">
        <v>47054</v>
      </c>
      <c r="I9833" t="s">
        <v>47544</v>
      </c>
      <c r="J9833" t="s">
        <v>47545</v>
      </c>
      <c r="K9833" t="s">
        <v>47113</v>
      </c>
      <c r="L9833">
        <v>37.75</v>
      </c>
      <c r="M9833">
        <v>92</v>
      </c>
      <c r="N9833">
        <v>249</v>
      </c>
      <c r="O9833">
        <v>92</v>
      </c>
      <c r="P9833">
        <v>249</v>
      </c>
    </row>
    <row r="9834" spans="1:16" x14ac:dyDescent="0.25">
      <c r="A9834" t="s">
        <v>32503</v>
      </c>
      <c r="B9834" t="s">
        <v>32504</v>
      </c>
      <c r="C9834" t="s">
        <v>16924</v>
      </c>
      <c r="D9834" t="s">
        <v>31718</v>
      </c>
      <c r="E9834" t="s">
        <v>31719</v>
      </c>
      <c r="F9834" t="s">
        <v>24622</v>
      </c>
      <c r="G9834" t="s">
        <v>16231</v>
      </c>
      <c r="H9834" t="s">
        <v>47054</v>
      </c>
      <c r="I9834" t="s">
        <v>47111</v>
      </c>
      <c r="J9834" t="s">
        <v>47112</v>
      </c>
      <c r="K9834" t="s">
        <v>47113</v>
      </c>
      <c r="L9834">
        <v>82.73</v>
      </c>
      <c r="M9834">
        <v>177</v>
      </c>
      <c r="N9834">
        <v>479</v>
      </c>
      <c r="O9834">
        <v>177</v>
      </c>
      <c r="P9834">
        <v>479</v>
      </c>
    </row>
    <row r="9835" spans="1:16" x14ac:dyDescent="0.25">
      <c r="A9835" t="s">
        <v>32505</v>
      </c>
      <c r="B9835" t="s">
        <v>32506</v>
      </c>
      <c r="C9835" t="s">
        <v>16924</v>
      </c>
      <c r="D9835" t="s">
        <v>30118</v>
      </c>
      <c r="E9835" t="s">
        <v>30119</v>
      </c>
      <c r="F9835" t="s">
        <v>24627</v>
      </c>
      <c r="G9835" t="s">
        <v>16231</v>
      </c>
      <c r="H9835" t="s">
        <v>47054</v>
      </c>
      <c r="I9835" t="s">
        <v>47116</v>
      </c>
      <c r="J9835" t="s">
        <v>47117</v>
      </c>
      <c r="K9835" t="s">
        <v>47113</v>
      </c>
      <c r="L9835">
        <v>52.52</v>
      </c>
      <c r="M9835">
        <v>111</v>
      </c>
      <c r="N9835">
        <v>299</v>
      </c>
      <c r="O9835">
        <v>111</v>
      </c>
      <c r="P9835">
        <v>299</v>
      </c>
    </row>
    <row r="9836" spans="1:16" x14ac:dyDescent="0.25">
      <c r="A9836" t="s">
        <v>32507</v>
      </c>
      <c r="B9836" t="s">
        <v>7206</v>
      </c>
      <c r="C9836" t="s">
        <v>5691</v>
      </c>
      <c r="D9836" t="str">
        <f>"08"</f>
        <v>08</v>
      </c>
      <c r="E9836" t="s">
        <v>882</v>
      </c>
      <c r="F9836" t="s">
        <v>2</v>
      </c>
      <c r="G9836" t="s">
        <v>16231</v>
      </c>
      <c r="H9836" t="s">
        <v>47054</v>
      </c>
      <c r="I9836" t="s">
        <v>47111</v>
      </c>
      <c r="J9836" t="s">
        <v>47112</v>
      </c>
      <c r="K9836" t="s">
        <v>47113</v>
      </c>
      <c r="L9836">
        <v>30.62</v>
      </c>
      <c r="M9836">
        <v>88</v>
      </c>
      <c r="N9836">
        <v>0</v>
      </c>
      <c r="O9836">
        <v>88</v>
      </c>
      <c r="P9836">
        <v>0</v>
      </c>
    </row>
    <row r="9837" spans="1:16" x14ac:dyDescent="0.25">
      <c r="A9837" t="s">
        <v>32508</v>
      </c>
      <c r="B9837" t="s">
        <v>7206</v>
      </c>
      <c r="C9837" t="s">
        <v>5691</v>
      </c>
      <c r="D9837" t="str">
        <f>"15"</f>
        <v>15</v>
      </c>
      <c r="E9837" t="s">
        <v>878</v>
      </c>
      <c r="F9837" t="s">
        <v>2</v>
      </c>
      <c r="G9837" t="s">
        <v>16231</v>
      </c>
      <c r="H9837" t="s">
        <v>47054</v>
      </c>
      <c r="I9837" t="s">
        <v>47111</v>
      </c>
      <c r="J9837" t="s">
        <v>47112</v>
      </c>
      <c r="K9837" t="s">
        <v>47113</v>
      </c>
      <c r="L9837">
        <v>38.9</v>
      </c>
      <c r="M9837">
        <v>88</v>
      </c>
      <c r="N9837">
        <v>0</v>
      </c>
      <c r="O9837">
        <v>88</v>
      </c>
      <c r="P9837">
        <v>0</v>
      </c>
    </row>
    <row r="9838" spans="1:16" x14ac:dyDescent="0.25">
      <c r="A9838" t="s">
        <v>32509</v>
      </c>
      <c r="B9838" t="s">
        <v>7206</v>
      </c>
      <c r="C9838" t="s">
        <v>5691</v>
      </c>
      <c r="D9838" t="s">
        <v>27</v>
      </c>
      <c r="E9838" t="s">
        <v>622</v>
      </c>
      <c r="F9838" t="s">
        <v>6</v>
      </c>
      <c r="G9838" t="s">
        <v>16231</v>
      </c>
      <c r="H9838" t="s">
        <v>47054</v>
      </c>
      <c r="I9838" t="s">
        <v>47111</v>
      </c>
      <c r="J9838" t="s">
        <v>47112</v>
      </c>
      <c r="K9838" t="s">
        <v>47113</v>
      </c>
      <c r="L9838">
        <v>39.07</v>
      </c>
      <c r="M9838">
        <v>78</v>
      </c>
      <c r="N9838">
        <v>0</v>
      </c>
      <c r="O9838">
        <v>78</v>
      </c>
      <c r="P9838">
        <v>0</v>
      </c>
    </row>
    <row r="9839" spans="1:16" x14ac:dyDescent="0.25">
      <c r="A9839" t="s">
        <v>32510</v>
      </c>
      <c r="B9839" t="s">
        <v>7206</v>
      </c>
      <c r="C9839" t="s">
        <v>5691</v>
      </c>
      <c r="D9839" t="s">
        <v>2401</v>
      </c>
      <c r="E9839" t="s">
        <v>2402</v>
      </c>
      <c r="F9839" t="s">
        <v>5</v>
      </c>
      <c r="G9839" t="s">
        <v>16231</v>
      </c>
      <c r="H9839" t="s">
        <v>47054</v>
      </c>
      <c r="I9839" t="s">
        <v>47111</v>
      </c>
      <c r="J9839" t="s">
        <v>47112</v>
      </c>
      <c r="K9839" t="s">
        <v>47113</v>
      </c>
      <c r="L9839">
        <v>38.17</v>
      </c>
      <c r="M9839">
        <v>88</v>
      </c>
      <c r="N9839">
        <v>0</v>
      </c>
      <c r="O9839">
        <v>88</v>
      </c>
      <c r="P9839">
        <v>0</v>
      </c>
    </row>
    <row r="9840" spans="1:16" x14ac:dyDescent="0.25">
      <c r="A9840" t="s">
        <v>32511</v>
      </c>
      <c r="B9840" t="s">
        <v>7206</v>
      </c>
      <c r="C9840" t="s">
        <v>5691</v>
      </c>
      <c r="D9840" t="s">
        <v>1718</v>
      </c>
      <c r="E9840" t="s">
        <v>1719</v>
      </c>
      <c r="F9840" t="s">
        <v>3</v>
      </c>
      <c r="G9840" t="s">
        <v>16231</v>
      </c>
      <c r="H9840" t="s">
        <v>47054</v>
      </c>
      <c r="I9840" t="s">
        <v>47111</v>
      </c>
      <c r="J9840" t="s">
        <v>47112</v>
      </c>
      <c r="K9840" t="s">
        <v>47113</v>
      </c>
      <c r="L9840">
        <v>32.47</v>
      </c>
      <c r="M9840">
        <v>77</v>
      </c>
      <c r="N9840">
        <v>0</v>
      </c>
      <c r="O9840">
        <v>77</v>
      </c>
      <c r="P9840">
        <v>0</v>
      </c>
    </row>
    <row r="9841" spans="1:16" x14ac:dyDescent="0.25">
      <c r="A9841" t="s">
        <v>32512</v>
      </c>
      <c r="B9841" t="s">
        <v>7206</v>
      </c>
      <c r="C9841" t="s">
        <v>5691</v>
      </c>
      <c r="D9841" t="s">
        <v>5103</v>
      </c>
      <c r="E9841" t="s">
        <v>5104</v>
      </c>
      <c r="F9841" t="s">
        <v>6</v>
      </c>
      <c r="G9841" t="s">
        <v>16231</v>
      </c>
      <c r="H9841" t="s">
        <v>47054</v>
      </c>
      <c r="I9841" t="s">
        <v>47111</v>
      </c>
      <c r="J9841" t="s">
        <v>47112</v>
      </c>
      <c r="K9841" t="s">
        <v>47113</v>
      </c>
      <c r="L9841">
        <v>41.74</v>
      </c>
      <c r="M9841">
        <v>104</v>
      </c>
      <c r="N9841">
        <v>0</v>
      </c>
      <c r="O9841">
        <v>104</v>
      </c>
      <c r="P9841">
        <v>0</v>
      </c>
    </row>
    <row r="9842" spans="1:16" x14ac:dyDescent="0.25">
      <c r="A9842" t="s">
        <v>32513</v>
      </c>
      <c r="B9842" t="s">
        <v>7206</v>
      </c>
      <c r="C9842" t="s">
        <v>5691</v>
      </c>
      <c r="D9842" t="s">
        <v>2407</v>
      </c>
      <c r="E9842" t="s">
        <v>2408</v>
      </c>
      <c r="F9842" t="s">
        <v>6</v>
      </c>
      <c r="G9842" t="s">
        <v>16231</v>
      </c>
      <c r="H9842" t="s">
        <v>47054</v>
      </c>
      <c r="I9842" t="s">
        <v>47111</v>
      </c>
      <c r="J9842" t="s">
        <v>47112</v>
      </c>
      <c r="K9842" t="s">
        <v>47113</v>
      </c>
      <c r="L9842">
        <v>38.5</v>
      </c>
      <c r="M9842">
        <v>88</v>
      </c>
      <c r="N9842">
        <v>0</v>
      </c>
      <c r="O9842">
        <v>88</v>
      </c>
      <c r="P9842">
        <v>0</v>
      </c>
    </row>
    <row r="9843" spans="1:16" x14ac:dyDescent="0.25">
      <c r="A9843" t="s">
        <v>32514</v>
      </c>
      <c r="B9843" t="s">
        <v>7206</v>
      </c>
      <c r="C9843" t="s">
        <v>5691</v>
      </c>
      <c r="D9843" t="s">
        <v>7207</v>
      </c>
      <c r="E9843" t="s">
        <v>7208</v>
      </c>
      <c r="F9843" t="s">
        <v>2</v>
      </c>
      <c r="G9843" t="s">
        <v>16231</v>
      </c>
      <c r="H9843" t="s">
        <v>47054</v>
      </c>
      <c r="I9843" t="s">
        <v>47111</v>
      </c>
      <c r="J9843" t="s">
        <v>47112</v>
      </c>
      <c r="K9843" t="s">
        <v>47113</v>
      </c>
      <c r="L9843">
        <v>41.59</v>
      </c>
      <c r="M9843">
        <v>120</v>
      </c>
      <c r="N9843">
        <v>0</v>
      </c>
      <c r="O9843">
        <v>120</v>
      </c>
      <c r="P9843">
        <v>0</v>
      </c>
    </row>
    <row r="9844" spans="1:16" x14ac:dyDescent="0.25">
      <c r="A9844" t="s">
        <v>32515</v>
      </c>
      <c r="B9844" t="s">
        <v>7206</v>
      </c>
      <c r="C9844" t="s">
        <v>5691</v>
      </c>
      <c r="D9844" t="s">
        <v>6816</v>
      </c>
      <c r="E9844" t="s">
        <v>6817</v>
      </c>
      <c r="F9844" t="s">
        <v>2</v>
      </c>
      <c r="G9844" t="s">
        <v>16231</v>
      </c>
      <c r="H9844" t="s">
        <v>47054</v>
      </c>
      <c r="I9844" t="s">
        <v>47111</v>
      </c>
      <c r="J9844" t="s">
        <v>47112</v>
      </c>
      <c r="K9844" t="s">
        <v>47113</v>
      </c>
      <c r="L9844">
        <v>34.9</v>
      </c>
      <c r="M9844">
        <v>89</v>
      </c>
      <c r="N9844">
        <v>0</v>
      </c>
      <c r="O9844">
        <v>89</v>
      </c>
      <c r="P9844">
        <v>0</v>
      </c>
    </row>
    <row r="9845" spans="1:16" x14ac:dyDescent="0.25">
      <c r="A9845" t="s">
        <v>32516</v>
      </c>
      <c r="B9845" t="s">
        <v>7206</v>
      </c>
      <c r="C9845" t="s">
        <v>5691</v>
      </c>
      <c r="D9845" t="s">
        <v>976</v>
      </c>
      <c r="E9845" t="s">
        <v>977</v>
      </c>
      <c r="F9845" t="s">
        <v>2</v>
      </c>
      <c r="G9845" t="s">
        <v>16231</v>
      </c>
      <c r="H9845" t="s">
        <v>47054</v>
      </c>
      <c r="I9845" t="s">
        <v>47111</v>
      </c>
      <c r="J9845" t="s">
        <v>47112</v>
      </c>
      <c r="K9845" t="s">
        <v>47113</v>
      </c>
      <c r="L9845">
        <v>37.85</v>
      </c>
      <c r="M9845">
        <v>84</v>
      </c>
      <c r="N9845">
        <v>0</v>
      </c>
      <c r="O9845">
        <v>84</v>
      </c>
      <c r="P9845">
        <v>0</v>
      </c>
    </row>
    <row r="9846" spans="1:16" x14ac:dyDescent="0.25">
      <c r="A9846" t="s">
        <v>32517</v>
      </c>
      <c r="B9846" t="s">
        <v>7209</v>
      </c>
      <c r="C9846" t="s">
        <v>7210</v>
      </c>
      <c r="D9846" t="s">
        <v>2401</v>
      </c>
      <c r="E9846" t="s">
        <v>2402</v>
      </c>
      <c r="F9846" t="s">
        <v>5</v>
      </c>
      <c r="G9846" t="s">
        <v>16231</v>
      </c>
      <c r="H9846" t="s">
        <v>47054</v>
      </c>
      <c r="I9846" t="s">
        <v>47111</v>
      </c>
      <c r="J9846" t="s">
        <v>47112</v>
      </c>
      <c r="K9846" t="s">
        <v>47113</v>
      </c>
      <c r="L9846">
        <v>38.17</v>
      </c>
      <c r="M9846">
        <v>88</v>
      </c>
      <c r="N9846">
        <v>0</v>
      </c>
      <c r="O9846">
        <v>88</v>
      </c>
      <c r="P9846">
        <v>0</v>
      </c>
    </row>
    <row r="9847" spans="1:16" x14ac:dyDescent="0.25">
      <c r="A9847" t="s">
        <v>32518</v>
      </c>
      <c r="B9847" t="s">
        <v>7209</v>
      </c>
      <c r="C9847" t="s">
        <v>7210</v>
      </c>
      <c r="D9847" t="s">
        <v>1718</v>
      </c>
      <c r="E9847" t="s">
        <v>1719</v>
      </c>
      <c r="F9847" t="s">
        <v>5</v>
      </c>
      <c r="G9847" t="s">
        <v>16231</v>
      </c>
      <c r="H9847" t="s">
        <v>47054</v>
      </c>
      <c r="I9847" t="s">
        <v>47111</v>
      </c>
      <c r="J9847" t="s">
        <v>47112</v>
      </c>
      <c r="K9847" t="s">
        <v>47113</v>
      </c>
      <c r="L9847">
        <v>33.85</v>
      </c>
      <c r="M9847">
        <v>83</v>
      </c>
      <c r="N9847">
        <v>0</v>
      </c>
      <c r="O9847">
        <v>83</v>
      </c>
      <c r="P9847">
        <v>0</v>
      </c>
    </row>
    <row r="9848" spans="1:16" x14ac:dyDescent="0.25">
      <c r="A9848" t="s">
        <v>32519</v>
      </c>
      <c r="B9848" t="s">
        <v>17572</v>
      </c>
      <c r="C9848" t="s">
        <v>17573</v>
      </c>
      <c r="D9848" t="s">
        <v>17574</v>
      </c>
      <c r="E9848" t="s">
        <v>17575</v>
      </c>
      <c r="F9848" t="s">
        <v>3750</v>
      </c>
      <c r="G9848" t="s">
        <v>16231</v>
      </c>
      <c r="H9848" t="s">
        <v>47054</v>
      </c>
      <c r="I9848" t="s">
        <v>47116</v>
      </c>
      <c r="J9848" t="s">
        <v>47117</v>
      </c>
      <c r="K9848" t="s">
        <v>47113</v>
      </c>
      <c r="L9848">
        <v>22.2</v>
      </c>
      <c r="M9848">
        <v>62</v>
      </c>
      <c r="N9848">
        <v>0</v>
      </c>
      <c r="O9848">
        <v>62</v>
      </c>
      <c r="P9848">
        <v>0</v>
      </c>
    </row>
    <row r="9849" spans="1:16" x14ac:dyDescent="0.25">
      <c r="A9849" t="s">
        <v>32520</v>
      </c>
      <c r="B9849" t="s">
        <v>17576</v>
      </c>
      <c r="C9849" t="s">
        <v>17577</v>
      </c>
      <c r="D9849" t="s">
        <v>17578</v>
      </c>
      <c r="E9849" t="s">
        <v>17579</v>
      </c>
      <c r="F9849" t="s">
        <v>3750</v>
      </c>
      <c r="G9849" t="s">
        <v>16231</v>
      </c>
      <c r="H9849" t="s">
        <v>47054</v>
      </c>
      <c r="I9849" t="s">
        <v>47116</v>
      </c>
      <c r="J9849" t="s">
        <v>47117</v>
      </c>
      <c r="K9849" t="s">
        <v>47113</v>
      </c>
      <c r="L9849">
        <v>32.25</v>
      </c>
      <c r="M9849">
        <v>91</v>
      </c>
      <c r="N9849">
        <v>0</v>
      </c>
      <c r="O9849">
        <v>91</v>
      </c>
      <c r="P9849">
        <v>0</v>
      </c>
    </row>
    <row r="9850" spans="1:16" x14ac:dyDescent="0.25">
      <c r="A9850" t="s">
        <v>32521</v>
      </c>
      <c r="B9850" t="s">
        <v>17580</v>
      </c>
      <c r="C9850" t="s">
        <v>17581</v>
      </c>
      <c r="D9850" t="s">
        <v>17582</v>
      </c>
      <c r="E9850" t="s">
        <v>17583</v>
      </c>
      <c r="F9850" t="s">
        <v>3750</v>
      </c>
      <c r="G9850" t="s">
        <v>16231</v>
      </c>
      <c r="H9850" t="s">
        <v>47054</v>
      </c>
      <c r="I9850" t="s">
        <v>47116</v>
      </c>
      <c r="J9850" t="s">
        <v>47117</v>
      </c>
      <c r="K9850" t="s">
        <v>47113</v>
      </c>
      <c r="L9850">
        <v>29.59</v>
      </c>
      <c r="M9850">
        <v>83</v>
      </c>
      <c r="N9850">
        <v>0</v>
      </c>
      <c r="O9850">
        <v>83</v>
      </c>
      <c r="P9850">
        <v>0</v>
      </c>
    </row>
    <row r="9851" spans="1:16" x14ac:dyDescent="0.25">
      <c r="A9851" t="s">
        <v>32522</v>
      </c>
      <c r="B9851" t="s">
        <v>7211</v>
      </c>
      <c r="C9851" t="s">
        <v>7212</v>
      </c>
      <c r="D9851" t="str">
        <f>"08"</f>
        <v>08</v>
      </c>
      <c r="E9851" t="s">
        <v>882</v>
      </c>
      <c r="F9851" t="s">
        <v>2</v>
      </c>
      <c r="G9851" t="s">
        <v>16231</v>
      </c>
      <c r="H9851" t="s">
        <v>47054</v>
      </c>
      <c r="I9851" t="s">
        <v>47111</v>
      </c>
      <c r="J9851" t="s">
        <v>47112</v>
      </c>
      <c r="K9851" t="s">
        <v>47113</v>
      </c>
      <c r="L9851">
        <v>31.78</v>
      </c>
      <c r="M9851">
        <v>120</v>
      </c>
      <c r="N9851">
        <v>0</v>
      </c>
      <c r="O9851">
        <v>120</v>
      </c>
      <c r="P9851">
        <v>0</v>
      </c>
    </row>
    <row r="9852" spans="1:16" x14ac:dyDescent="0.25">
      <c r="A9852" t="s">
        <v>32523</v>
      </c>
      <c r="B9852" t="s">
        <v>7211</v>
      </c>
      <c r="C9852" t="s">
        <v>7212</v>
      </c>
      <c r="D9852" t="str">
        <f>"15"</f>
        <v>15</v>
      </c>
      <c r="E9852" t="s">
        <v>878</v>
      </c>
      <c r="F9852" t="s">
        <v>2</v>
      </c>
      <c r="G9852" t="s">
        <v>16231</v>
      </c>
      <c r="H9852" t="s">
        <v>47054</v>
      </c>
      <c r="I9852" t="s">
        <v>47111</v>
      </c>
      <c r="J9852" t="s">
        <v>47112</v>
      </c>
      <c r="K9852" t="s">
        <v>47113</v>
      </c>
      <c r="L9852">
        <v>38.9</v>
      </c>
      <c r="M9852">
        <v>88</v>
      </c>
      <c r="N9852">
        <v>0</v>
      </c>
      <c r="O9852">
        <v>88</v>
      </c>
      <c r="P9852">
        <v>0</v>
      </c>
    </row>
    <row r="9853" spans="1:16" x14ac:dyDescent="0.25">
      <c r="A9853" t="s">
        <v>32524</v>
      </c>
      <c r="B9853" t="s">
        <v>7211</v>
      </c>
      <c r="C9853" t="s">
        <v>7212</v>
      </c>
      <c r="D9853" t="s">
        <v>7207</v>
      </c>
      <c r="E9853" t="s">
        <v>7208</v>
      </c>
      <c r="F9853" t="s">
        <v>2</v>
      </c>
      <c r="G9853" t="s">
        <v>16231</v>
      </c>
      <c r="H9853" t="s">
        <v>47054</v>
      </c>
      <c r="I9853" t="s">
        <v>47111</v>
      </c>
      <c r="J9853" t="s">
        <v>47112</v>
      </c>
      <c r="K9853" t="s">
        <v>47113</v>
      </c>
      <c r="L9853">
        <v>41.59</v>
      </c>
      <c r="M9853">
        <v>120</v>
      </c>
      <c r="N9853">
        <v>0</v>
      </c>
      <c r="O9853">
        <v>120</v>
      </c>
      <c r="P9853">
        <v>0</v>
      </c>
    </row>
    <row r="9854" spans="1:16" x14ac:dyDescent="0.25">
      <c r="A9854" t="s">
        <v>32525</v>
      </c>
      <c r="B9854" t="s">
        <v>7213</v>
      </c>
      <c r="C9854" t="s">
        <v>7214</v>
      </c>
      <c r="D9854" t="str">
        <f>"08"</f>
        <v>08</v>
      </c>
      <c r="E9854" t="s">
        <v>882</v>
      </c>
      <c r="F9854" t="s">
        <v>2</v>
      </c>
      <c r="G9854" t="s">
        <v>16231</v>
      </c>
      <c r="H9854" t="s">
        <v>47054</v>
      </c>
      <c r="I9854" t="s">
        <v>47111</v>
      </c>
      <c r="J9854" t="s">
        <v>47112</v>
      </c>
      <c r="K9854" t="s">
        <v>47113</v>
      </c>
      <c r="L9854">
        <v>31.78</v>
      </c>
      <c r="M9854">
        <v>120</v>
      </c>
      <c r="N9854">
        <v>0</v>
      </c>
      <c r="O9854">
        <v>120</v>
      </c>
      <c r="P9854">
        <v>0</v>
      </c>
    </row>
    <row r="9855" spans="1:16" x14ac:dyDescent="0.25">
      <c r="A9855" t="s">
        <v>32526</v>
      </c>
      <c r="B9855" t="s">
        <v>7213</v>
      </c>
      <c r="C9855" t="s">
        <v>7214</v>
      </c>
      <c r="D9855" t="str">
        <f>"15"</f>
        <v>15</v>
      </c>
      <c r="E9855" t="s">
        <v>878</v>
      </c>
      <c r="F9855" t="s">
        <v>2</v>
      </c>
      <c r="G9855" t="s">
        <v>16231</v>
      </c>
      <c r="H9855" t="s">
        <v>47054</v>
      </c>
      <c r="I9855" t="s">
        <v>47111</v>
      </c>
      <c r="J9855" t="s">
        <v>47112</v>
      </c>
      <c r="K9855" t="s">
        <v>47113</v>
      </c>
      <c r="L9855">
        <v>38.9</v>
      </c>
      <c r="M9855">
        <v>88</v>
      </c>
      <c r="N9855">
        <v>0</v>
      </c>
      <c r="O9855">
        <v>88</v>
      </c>
      <c r="P9855">
        <v>0</v>
      </c>
    </row>
    <row r="9856" spans="1:16" x14ac:dyDescent="0.25">
      <c r="A9856" t="s">
        <v>32527</v>
      </c>
      <c r="B9856" t="s">
        <v>7213</v>
      </c>
      <c r="C9856" t="s">
        <v>7214</v>
      </c>
      <c r="D9856" t="s">
        <v>1718</v>
      </c>
      <c r="E9856" t="s">
        <v>1719</v>
      </c>
      <c r="F9856" t="s">
        <v>3</v>
      </c>
      <c r="G9856" t="s">
        <v>16231</v>
      </c>
      <c r="H9856" t="s">
        <v>47054</v>
      </c>
      <c r="I9856" t="s">
        <v>47111</v>
      </c>
      <c r="J9856" t="s">
        <v>47112</v>
      </c>
      <c r="K9856" t="s">
        <v>47113</v>
      </c>
      <c r="L9856">
        <v>33.909999999999997</v>
      </c>
      <c r="M9856">
        <v>88</v>
      </c>
      <c r="N9856">
        <v>0</v>
      </c>
      <c r="O9856">
        <v>88</v>
      </c>
      <c r="P9856">
        <v>0</v>
      </c>
    </row>
    <row r="9857" spans="1:16" x14ac:dyDescent="0.25">
      <c r="A9857" t="s">
        <v>32528</v>
      </c>
      <c r="B9857" t="s">
        <v>7213</v>
      </c>
      <c r="C9857" t="s">
        <v>7214</v>
      </c>
      <c r="D9857" t="s">
        <v>2407</v>
      </c>
      <c r="E9857" t="s">
        <v>2408</v>
      </c>
      <c r="F9857" t="s">
        <v>6</v>
      </c>
      <c r="G9857" t="s">
        <v>16231</v>
      </c>
      <c r="H9857" t="s">
        <v>47054</v>
      </c>
      <c r="I9857" t="s">
        <v>47111</v>
      </c>
      <c r="J9857" t="s">
        <v>47112</v>
      </c>
      <c r="K9857" t="s">
        <v>47113</v>
      </c>
      <c r="L9857">
        <v>39.71</v>
      </c>
      <c r="M9857">
        <v>96</v>
      </c>
      <c r="N9857">
        <v>0</v>
      </c>
      <c r="O9857">
        <v>96</v>
      </c>
      <c r="P9857">
        <v>0</v>
      </c>
    </row>
    <row r="9858" spans="1:16" x14ac:dyDescent="0.25">
      <c r="A9858" t="s">
        <v>32529</v>
      </c>
      <c r="B9858" t="s">
        <v>7213</v>
      </c>
      <c r="C9858" t="s">
        <v>7214</v>
      </c>
      <c r="D9858" t="s">
        <v>7207</v>
      </c>
      <c r="E9858" t="s">
        <v>7208</v>
      </c>
      <c r="F9858" t="s">
        <v>2</v>
      </c>
      <c r="G9858" t="s">
        <v>16231</v>
      </c>
      <c r="H9858" t="s">
        <v>47054</v>
      </c>
      <c r="I9858" t="s">
        <v>47111</v>
      </c>
      <c r="J9858" t="s">
        <v>47112</v>
      </c>
      <c r="K9858" t="s">
        <v>47113</v>
      </c>
      <c r="L9858">
        <v>41.59</v>
      </c>
      <c r="M9858">
        <v>120</v>
      </c>
      <c r="N9858">
        <v>0</v>
      </c>
      <c r="O9858">
        <v>120</v>
      </c>
      <c r="P9858">
        <v>0</v>
      </c>
    </row>
    <row r="9859" spans="1:16" x14ac:dyDescent="0.25">
      <c r="A9859" t="s">
        <v>32530</v>
      </c>
      <c r="B9859" t="s">
        <v>7215</v>
      </c>
      <c r="C9859" t="s">
        <v>7216</v>
      </c>
      <c r="D9859" t="s">
        <v>2401</v>
      </c>
      <c r="E9859" t="s">
        <v>2402</v>
      </c>
      <c r="F9859" t="s">
        <v>5</v>
      </c>
      <c r="G9859" t="s">
        <v>16231</v>
      </c>
      <c r="H9859" t="s">
        <v>47054</v>
      </c>
      <c r="I9859" t="s">
        <v>47111</v>
      </c>
      <c r="J9859" t="s">
        <v>47112</v>
      </c>
      <c r="K9859" t="s">
        <v>47113</v>
      </c>
      <c r="L9859">
        <v>39.200000000000003</v>
      </c>
      <c r="M9859">
        <v>96</v>
      </c>
      <c r="N9859">
        <v>0</v>
      </c>
      <c r="O9859">
        <v>96</v>
      </c>
      <c r="P9859">
        <v>0</v>
      </c>
    </row>
    <row r="9860" spans="1:16" x14ac:dyDescent="0.25">
      <c r="A9860" t="s">
        <v>32531</v>
      </c>
      <c r="B9860" t="s">
        <v>7215</v>
      </c>
      <c r="C9860" t="s">
        <v>7216</v>
      </c>
      <c r="D9860" t="s">
        <v>1718</v>
      </c>
      <c r="E9860" t="s">
        <v>1719</v>
      </c>
      <c r="F9860" t="s">
        <v>5</v>
      </c>
      <c r="G9860" t="s">
        <v>16231</v>
      </c>
      <c r="H9860" t="s">
        <v>47054</v>
      </c>
      <c r="I9860" t="s">
        <v>47111</v>
      </c>
      <c r="J9860" t="s">
        <v>47112</v>
      </c>
      <c r="K9860" t="s">
        <v>47113</v>
      </c>
      <c r="L9860">
        <v>34.83</v>
      </c>
      <c r="M9860">
        <v>85</v>
      </c>
      <c r="N9860">
        <v>0</v>
      </c>
      <c r="O9860">
        <v>85</v>
      </c>
      <c r="P9860">
        <v>0</v>
      </c>
    </row>
    <row r="9861" spans="1:16" x14ac:dyDescent="0.25">
      <c r="A9861" t="s">
        <v>32532</v>
      </c>
      <c r="B9861" t="s">
        <v>7215</v>
      </c>
      <c r="C9861" t="s">
        <v>7216</v>
      </c>
      <c r="D9861" t="s">
        <v>2407</v>
      </c>
      <c r="E9861" t="s">
        <v>2408</v>
      </c>
      <c r="F9861" t="s">
        <v>5</v>
      </c>
      <c r="G9861" t="s">
        <v>16231</v>
      </c>
      <c r="H9861" t="s">
        <v>47054</v>
      </c>
      <c r="I9861" t="s">
        <v>47111</v>
      </c>
      <c r="J9861" t="s">
        <v>47112</v>
      </c>
      <c r="K9861" t="s">
        <v>47113</v>
      </c>
      <c r="L9861">
        <v>38.64</v>
      </c>
      <c r="M9861">
        <v>94</v>
      </c>
      <c r="N9861">
        <v>0</v>
      </c>
      <c r="O9861">
        <v>94</v>
      </c>
      <c r="P9861">
        <v>0</v>
      </c>
    </row>
    <row r="9862" spans="1:16" x14ac:dyDescent="0.25">
      <c r="A9862" t="s">
        <v>32533</v>
      </c>
      <c r="B9862" t="s">
        <v>17584</v>
      </c>
      <c r="C9862" t="s">
        <v>17585</v>
      </c>
      <c r="D9862" t="s">
        <v>17586</v>
      </c>
      <c r="E9862" t="s">
        <v>17587</v>
      </c>
      <c r="F9862" t="s">
        <v>3750</v>
      </c>
      <c r="G9862" t="s">
        <v>16231</v>
      </c>
      <c r="H9862" t="s">
        <v>47054</v>
      </c>
      <c r="I9862" t="s">
        <v>47116</v>
      </c>
      <c r="J9862" t="s">
        <v>47117</v>
      </c>
      <c r="K9862" t="s">
        <v>47113</v>
      </c>
      <c r="L9862">
        <v>27.62</v>
      </c>
      <c r="M9862">
        <v>77</v>
      </c>
      <c r="N9862">
        <v>0</v>
      </c>
      <c r="O9862">
        <v>77</v>
      </c>
      <c r="P9862">
        <v>0</v>
      </c>
    </row>
    <row r="9863" spans="1:16" x14ac:dyDescent="0.25">
      <c r="A9863" t="s">
        <v>32534</v>
      </c>
      <c r="B9863" t="s">
        <v>17588</v>
      </c>
      <c r="C9863" t="s">
        <v>17589</v>
      </c>
      <c r="D9863" t="s">
        <v>17590</v>
      </c>
      <c r="E9863" t="s">
        <v>17591</v>
      </c>
      <c r="F9863" t="s">
        <v>3750</v>
      </c>
      <c r="G9863" t="s">
        <v>16231</v>
      </c>
      <c r="H9863" t="s">
        <v>47054</v>
      </c>
      <c r="I9863" t="s">
        <v>47116</v>
      </c>
      <c r="J9863" t="s">
        <v>47117</v>
      </c>
      <c r="K9863" t="s">
        <v>47113</v>
      </c>
      <c r="L9863">
        <v>26.51</v>
      </c>
      <c r="M9863">
        <v>75</v>
      </c>
      <c r="N9863">
        <v>0</v>
      </c>
      <c r="O9863">
        <v>75</v>
      </c>
      <c r="P9863">
        <v>0</v>
      </c>
    </row>
    <row r="9864" spans="1:16" x14ac:dyDescent="0.25">
      <c r="A9864" t="s">
        <v>32535</v>
      </c>
      <c r="B9864" t="s">
        <v>7217</v>
      </c>
      <c r="C9864" t="s">
        <v>7218</v>
      </c>
      <c r="D9864" t="s">
        <v>6211</v>
      </c>
      <c r="E9864" t="s">
        <v>6212</v>
      </c>
      <c r="F9864" t="s">
        <v>5</v>
      </c>
      <c r="G9864" t="s">
        <v>16231</v>
      </c>
      <c r="H9864" t="s">
        <v>47054</v>
      </c>
      <c r="I9864" t="s">
        <v>47111</v>
      </c>
      <c r="J9864" t="s">
        <v>47112</v>
      </c>
      <c r="K9864" t="s">
        <v>47113</v>
      </c>
      <c r="L9864">
        <v>59.96</v>
      </c>
      <c r="M9864">
        <v>115</v>
      </c>
      <c r="N9864">
        <v>0</v>
      </c>
      <c r="O9864">
        <v>115</v>
      </c>
      <c r="P9864">
        <v>0</v>
      </c>
    </row>
    <row r="9865" spans="1:16" x14ac:dyDescent="0.25">
      <c r="A9865" t="s">
        <v>32536</v>
      </c>
      <c r="B9865" t="s">
        <v>7217</v>
      </c>
      <c r="C9865" t="s">
        <v>7218</v>
      </c>
      <c r="D9865" t="s">
        <v>4808</v>
      </c>
      <c r="E9865" t="s">
        <v>4809</v>
      </c>
      <c r="F9865" t="s">
        <v>5</v>
      </c>
      <c r="G9865" t="s">
        <v>16231</v>
      </c>
      <c r="H9865" t="s">
        <v>47054</v>
      </c>
      <c r="I9865" t="s">
        <v>47111</v>
      </c>
      <c r="J9865" t="s">
        <v>47112</v>
      </c>
      <c r="K9865" t="s">
        <v>47113</v>
      </c>
      <c r="L9865">
        <v>59.96</v>
      </c>
      <c r="M9865">
        <v>115</v>
      </c>
      <c r="N9865">
        <v>0</v>
      </c>
      <c r="O9865">
        <v>115</v>
      </c>
      <c r="P9865">
        <v>0</v>
      </c>
    </row>
    <row r="9866" spans="1:16" x14ac:dyDescent="0.25">
      <c r="A9866" t="s">
        <v>32537</v>
      </c>
      <c r="B9866" t="s">
        <v>7219</v>
      </c>
      <c r="C9866" t="s">
        <v>7220</v>
      </c>
      <c r="D9866" t="s">
        <v>7221</v>
      </c>
      <c r="E9866" t="s">
        <v>7222</v>
      </c>
      <c r="F9866" t="s">
        <v>5</v>
      </c>
      <c r="G9866" t="s">
        <v>16231</v>
      </c>
      <c r="H9866" t="s">
        <v>47054</v>
      </c>
      <c r="I9866" t="s">
        <v>47111</v>
      </c>
      <c r="J9866" t="s">
        <v>47112</v>
      </c>
      <c r="K9866" t="s">
        <v>47113</v>
      </c>
      <c r="L9866">
        <v>48.92</v>
      </c>
      <c r="M9866">
        <v>115</v>
      </c>
      <c r="N9866">
        <v>0</v>
      </c>
      <c r="O9866">
        <v>115</v>
      </c>
      <c r="P9866">
        <v>0</v>
      </c>
    </row>
    <row r="9867" spans="1:16" x14ac:dyDescent="0.25">
      <c r="A9867" t="s">
        <v>32538</v>
      </c>
      <c r="B9867" t="s">
        <v>17592</v>
      </c>
      <c r="C9867" t="s">
        <v>17593</v>
      </c>
      <c r="D9867" t="s">
        <v>17578</v>
      </c>
      <c r="E9867" t="s">
        <v>17579</v>
      </c>
      <c r="F9867" t="s">
        <v>3750</v>
      </c>
      <c r="G9867" t="s">
        <v>16231</v>
      </c>
      <c r="H9867" t="s">
        <v>47054</v>
      </c>
      <c r="I9867" t="s">
        <v>47116</v>
      </c>
      <c r="J9867" t="s">
        <v>47117</v>
      </c>
      <c r="K9867" t="s">
        <v>47113</v>
      </c>
      <c r="L9867">
        <v>45.23</v>
      </c>
      <c r="M9867">
        <v>128</v>
      </c>
      <c r="N9867">
        <v>0</v>
      </c>
      <c r="O9867">
        <v>128</v>
      </c>
      <c r="P9867">
        <v>0</v>
      </c>
    </row>
    <row r="9868" spans="1:16" x14ac:dyDescent="0.25">
      <c r="A9868" t="s">
        <v>32539</v>
      </c>
      <c r="B9868" t="s">
        <v>17592</v>
      </c>
      <c r="C9868" t="s">
        <v>17593</v>
      </c>
      <c r="D9868" t="s">
        <v>17582</v>
      </c>
      <c r="E9868" t="s">
        <v>17583</v>
      </c>
      <c r="F9868" t="s">
        <v>3750</v>
      </c>
      <c r="G9868" t="s">
        <v>16231</v>
      </c>
      <c r="H9868" t="s">
        <v>47054</v>
      </c>
      <c r="I9868" t="s">
        <v>47116</v>
      </c>
      <c r="J9868" t="s">
        <v>47117</v>
      </c>
      <c r="K9868" t="s">
        <v>47113</v>
      </c>
      <c r="L9868">
        <v>39.26</v>
      </c>
      <c r="M9868">
        <v>110</v>
      </c>
      <c r="N9868">
        <v>0</v>
      </c>
      <c r="O9868">
        <v>110</v>
      </c>
      <c r="P9868">
        <v>0</v>
      </c>
    </row>
    <row r="9869" spans="1:16" x14ac:dyDescent="0.25">
      <c r="A9869" t="s">
        <v>32540</v>
      </c>
      <c r="B9869" t="s">
        <v>17594</v>
      </c>
      <c r="C9869" t="s">
        <v>17595</v>
      </c>
      <c r="D9869" t="s">
        <v>17586</v>
      </c>
      <c r="E9869" t="s">
        <v>17587</v>
      </c>
      <c r="F9869" t="s">
        <v>3750</v>
      </c>
      <c r="G9869" t="s">
        <v>16231</v>
      </c>
      <c r="H9869" t="s">
        <v>47054</v>
      </c>
      <c r="I9869" t="s">
        <v>47116</v>
      </c>
      <c r="J9869" t="s">
        <v>47117</v>
      </c>
      <c r="K9869" t="s">
        <v>47113</v>
      </c>
      <c r="L9869">
        <v>30.03</v>
      </c>
      <c r="M9869">
        <v>84</v>
      </c>
      <c r="N9869">
        <v>0</v>
      </c>
      <c r="O9869">
        <v>84</v>
      </c>
      <c r="P9869">
        <v>0</v>
      </c>
    </row>
    <row r="9870" spans="1:16" x14ac:dyDescent="0.25">
      <c r="A9870" t="s">
        <v>32541</v>
      </c>
      <c r="B9870" t="s">
        <v>7223</v>
      </c>
      <c r="C9870" t="s">
        <v>5086</v>
      </c>
      <c r="D9870" t="str">
        <f>"08"</f>
        <v>08</v>
      </c>
      <c r="E9870" t="s">
        <v>882</v>
      </c>
      <c r="F9870" t="s">
        <v>2</v>
      </c>
      <c r="G9870" t="s">
        <v>16231</v>
      </c>
      <c r="H9870" t="s">
        <v>47054</v>
      </c>
      <c r="I9870" t="s">
        <v>47111</v>
      </c>
      <c r="J9870" t="s">
        <v>47112</v>
      </c>
      <c r="K9870" t="s">
        <v>47113</v>
      </c>
      <c r="L9870">
        <v>31.43</v>
      </c>
      <c r="M9870">
        <v>88</v>
      </c>
      <c r="N9870">
        <v>0</v>
      </c>
      <c r="O9870">
        <v>88</v>
      </c>
      <c r="P9870">
        <v>0</v>
      </c>
    </row>
    <row r="9871" spans="1:16" x14ac:dyDescent="0.25">
      <c r="A9871" t="s">
        <v>32542</v>
      </c>
      <c r="B9871" t="s">
        <v>7223</v>
      </c>
      <c r="C9871" t="s">
        <v>5086</v>
      </c>
      <c r="D9871" t="str">
        <f>"15"</f>
        <v>15</v>
      </c>
      <c r="E9871" t="s">
        <v>878</v>
      </c>
      <c r="F9871" t="s">
        <v>2</v>
      </c>
      <c r="G9871" t="s">
        <v>16231</v>
      </c>
      <c r="H9871" t="s">
        <v>47054</v>
      </c>
      <c r="I9871" t="s">
        <v>47111</v>
      </c>
      <c r="J9871" t="s">
        <v>47112</v>
      </c>
      <c r="K9871" t="s">
        <v>47113</v>
      </c>
      <c r="L9871">
        <v>38.9</v>
      </c>
      <c r="M9871">
        <v>88</v>
      </c>
      <c r="N9871">
        <v>0</v>
      </c>
      <c r="O9871">
        <v>88</v>
      </c>
      <c r="P9871">
        <v>0</v>
      </c>
    </row>
    <row r="9872" spans="1:16" x14ac:dyDescent="0.25">
      <c r="A9872" t="s">
        <v>32543</v>
      </c>
      <c r="B9872" t="s">
        <v>7223</v>
      </c>
      <c r="C9872" t="s">
        <v>5086</v>
      </c>
      <c r="D9872" t="s">
        <v>27</v>
      </c>
      <c r="E9872" t="s">
        <v>622</v>
      </c>
      <c r="F9872" t="s">
        <v>6</v>
      </c>
      <c r="G9872" t="s">
        <v>16231</v>
      </c>
      <c r="H9872" t="s">
        <v>47054</v>
      </c>
      <c r="I9872" t="s">
        <v>47111</v>
      </c>
      <c r="J9872" t="s">
        <v>47112</v>
      </c>
      <c r="K9872" t="s">
        <v>47113</v>
      </c>
      <c r="L9872">
        <v>37.979999999999997</v>
      </c>
      <c r="M9872">
        <v>78</v>
      </c>
      <c r="N9872">
        <v>0</v>
      </c>
      <c r="O9872">
        <v>78</v>
      </c>
      <c r="P9872">
        <v>0</v>
      </c>
    </row>
    <row r="9873" spans="1:16" x14ac:dyDescent="0.25">
      <c r="A9873" t="s">
        <v>32544</v>
      </c>
      <c r="B9873" t="s">
        <v>7223</v>
      </c>
      <c r="C9873" t="s">
        <v>5086</v>
      </c>
      <c r="D9873" t="s">
        <v>6626</v>
      </c>
      <c r="E9873" t="s">
        <v>6627</v>
      </c>
      <c r="F9873" t="s">
        <v>3</v>
      </c>
      <c r="G9873" t="s">
        <v>16231</v>
      </c>
      <c r="H9873" t="s">
        <v>47054</v>
      </c>
      <c r="I9873" t="s">
        <v>47111</v>
      </c>
      <c r="J9873" t="s">
        <v>47112</v>
      </c>
      <c r="K9873" t="s">
        <v>47113</v>
      </c>
      <c r="L9873">
        <v>38.11</v>
      </c>
      <c r="M9873">
        <v>93</v>
      </c>
      <c r="N9873">
        <v>0</v>
      </c>
      <c r="O9873">
        <v>93</v>
      </c>
      <c r="P9873">
        <v>0</v>
      </c>
    </row>
    <row r="9874" spans="1:16" x14ac:dyDescent="0.25">
      <c r="A9874" t="s">
        <v>32545</v>
      </c>
      <c r="B9874" t="s">
        <v>7223</v>
      </c>
      <c r="C9874" t="s">
        <v>5086</v>
      </c>
      <c r="D9874" t="s">
        <v>2401</v>
      </c>
      <c r="E9874" t="s">
        <v>2402</v>
      </c>
      <c r="F9874" t="s">
        <v>5</v>
      </c>
      <c r="G9874" t="s">
        <v>16231</v>
      </c>
      <c r="H9874" t="s">
        <v>47054</v>
      </c>
      <c r="I9874" t="s">
        <v>47111</v>
      </c>
      <c r="J9874" t="s">
        <v>47112</v>
      </c>
      <c r="K9874" t="s">
        <v>47113</v>
      </c>
      <c r="L9874">
        <v>38.17</v>
      </c>
      <c r="M9874">
        <v>88</v>
      </c>
      <c r="N9874">
        <v>0</v>
      </c>
      <c r="O9874">
        <v>88</v>
      </c>
      <c r="P9874">
        <v>0</v>
      </c>
    </row>
    <row r="9875" spans="1:16" x14ac:dyDescent="0.25">
      <c r="A9875" t="s">
        <v>32546</v>
      </c>
      <c r="B9875" t="s">
        <v>7223</v>
      </c>
      <c r="C9875" t="s">
        <v>5086</v>
      </c>
      <c r="D9875" t="s">
        <v>1718</v>
      </c>
      <c r="E9875" t="s">
        <v>1719</v>
      </c>
      <c r="F9875" t="s">
        <v>3</v>
      </c>
      <c r="G9875" t="s">
        <v>16231</v>
      </c>
      <c r="H9875" t="s">
        <v>47054</v>
      </c>
      <c r="I9875" t="s">
        <v>47111</v>
      </c>
      <c r="J9875" t="s">
        <v>47112</v>
      </c>
      <c r="K9875" t="s">
        <v>47113</v>
      </c>
      <c r="L9875">
        <v>33.659999999999997</v>
      </c>
      <c r="M9875">
        <v>77</v>
      </c>
      <c r="N9875">
        <v>0</v>
      </c>
      <c r="O9875">
        <v>77</v>
      </c>
      <c r="P9875">
        <v>0</v>
      </c>
    </row>
    <row r="9876" spans="1:16" x14ac:dyDescent="0.25">
      <c r="A9876" t="s">
        <v>32547</v>
      </c>
      <c r="B9876" t="s">
        <v>7223</v>
      </c>
      <c r="C9876" t="s">
        <v>5086</v>
      </c>
      <c r="D9876" t="s">
        <v>294</v>
      </c>
      <c r="E9876" t="s">
        <v>295</v>
      </c>
      <c r="F9876" t="s">
        <v>6</v>
      </c>
      <c r="G9876" t="s">
        <v>16231</v>
      </c>
      <c r="H9876" t="s">
        <v>47054</v>
      </c>
      <c r="I9876" t="s">
        <v>47111</v>
      </c>
      <c r="J9876" t="s">
        <v>47112</v>
      </c>
      <c r="K9876" t="s">
        <v>47113</v>
      </c>
      <c r="L9876">
        <v>42.68</v>
      </c>
      <c r="M9876">
        <v>108</v>
      </c>
      <c r="N9876">
        <v>0</v>
      </c>
      <c r="O9876">
        <v>108</v>
      </c>
      <c r="P9876">
        <v>0</v>
      </c>
    </row>
    <row r="9877" spans="1:16" x14ac:dyDescent="0.25">
      <c r="A9877" t="s">
        <v>32548</v>
      </c>
      <c r="B9877" t="s">
        <v>7223</v>
      </c>
      <c r="C9877" t="s">
        <v>5086</v>
      </c>
      <c r="D9877" t="s">
        <v>311</v>
      </c>
      <c r="E9877" t="s">
        <v>3479</v>
      </c>
      <c r="F9877" t="s">
        <v>3</v>
      </c>
      <c r="G9877" t="s">
        <v>16231</v>
      </c>
      <c r="H9877" t="s">
        <v>47054</v>
      </c>
      <c r="I9877" t="s">
        <v>47111</v>
      </c>
      <c r="J9877" t="s">
        <v>47112</v>
      </c>
      <c r="K9877" t="s">
        <v>47113</v>
      </c>
      <c r="L9877">
        <v>31.79</v>
      </c>
      <c r="M9877">
        <v>73</v>
      </c>
      <c r="N9877">
        <v>0</v>
      </c>
      <c r="O9877">
        <v>73</v>
      </c>
      <c r="P9877">
        <v>0</v>
      </c>
    </row>
    <row r="9878" spans="1:16" x14ac:dyDescent="0.25">
      <c r="A9878" t="s">
        <v>32549</v>
      </c>
      <c r="B9878" t="s">
        <v>7223</v>
      </c>
      <c r="C9878" t="s">
        <v>5086</v>
      </c>
      <c r="D9878" t="s">
        <v>5103</v>
      </c>
      <c r="E9878" t="s">
        <v>5104</v>
      </c>
      <c r="F9878" t="s">
        <v>6</v>
      </c>
      <c r="G9878" t="s">
        <v>16231</v>
      </c>
      <c r="H9878" t="s">
        <v>47054</v>
      </c>
      <c r="I9878" t="s">
        <v>47111</v>
      </c>
      <c r="J9878" t="s">
        <v>47112</v>
      </c>
      <c r="K9878" t="s">
        <v>47113</v>
      </c>
      <c r="L9878">
        <v>42.91</v>
      </c>
      <c r="M9878">
        <v>109</v>
      </c>
      <c r="N9878">
        <v>0</v>
      </c>
      <c r="O9878">
        <v>109</v>
      </c>
      <c r="P9878">
        <v>0</v>
      </c>
    </row>
    <row r="9879" spans="1:16" x14ac:dyDescent="0.25">
      <c r="A9879" t="s">
        <v>32550</v>
      </c>
      <c r="B9879" t="s">
        <v>7223</v>
      </c>
      <c r="C9879" t="s">
        <v>5086</v>
      </c>
      <c r="D9879" t="s">
        <v>4877</v>
      </c>
      <c r="E9879" t="s">
        <v>4878</v>
      </c>
      <c r="F9879" t="s">
        <v>6</v>
      </c>
      <c r="G9879" t="s">
        <v>16231</v>
      </c>
      <c r="H9879" t="s">
        <v>47054</v>
      </c>
      <c r="I9879" t="s">
        <v>47111</v>
      </c>
      <c r="J9879" t="s">
        <v>47112</v>
      </c>
      <c r="K9879" t="s">
        <v>47113</v>
      </c>
      <c r="L9879">
        <v>46.73</v>
      </c>
      <c r="M9879">
        <v>119</v>
      </c>
      <c r="N9879">
        <v>0</v>
      </c>
      <c r="O9879">
        <v>119</v>
      </c>
      <c r="P9879">
        <v>0</v>
      </c>
    </row>
    <row r="9880" spans="1:16" x14ac:dyDescent="0.25">
      <c r="A9880" t="s">
        <v>32551</v>
      </c>
      <c r="B9880" t="s">
        <v>7223</v>
      </c>
      <c r="C9880" t="s">
        <v>5086</v>
      </c>
      <c r="D9880" t="s">
        <v>2407</v>
      </c>
      <c r="E9880" t="s">
        <v>2408</v>
      </c>
      <c r="F9880" t="s">
        <v>6</v>
      </c>
      <c r="G9880" t="s">
        <v>16231</v>
      </c>
      <c r="H9880" t="s">
        <v>47054</v>
      </c>
      <c r="I9880" t="s">
        <v>47111</v>
      </c>
      <c r="J9880" t="s">
        <v>47112</v>
      </c>
      <c r="K9880" t="s">
        <v>47113</v>
      </c>
      <c r="L9880">
        <v>39.700000000000003</v>
      </c>
      <c r="M9880">
        <v>88</v>
      </c>
      <c r="N9880">
        <v>0</v>
      </c>
      <c r="O9880">
        <v>88</v>
      </c>
      <c r="P9880">
        <v>0</v>
      </c>
    </row>
    <row r="9881" spans="1:16" x14ac:dyDescent="0.25">
      <c r="A9881" t="s">
        <v>32552</v>
      </c>
      <c r="B9881" t="s">
        <v>7223</v>
      </c>
      <c r="C9881" t="s">
        <v>5086</v>
      </c>
      <c r="D9881" t="s">
        <v>7207</v>
      </c>
      <c r="E9881" t="s">
        <v>7208</v>
      </c>
      <c r="F9881" t="s">
        <v>2</v>
      </c>
      <c r="G9881" t="s">
        <v>16231</v>
      </c>
      <c r="H9881" t="s">
        <v>47054</v>
      </c>
      <c r="I9881" t="s">
        <v>47111</v>
      </c>
      <c r="J9881" t="s">
        <v>47112</v>
      </c>
      <c r="K9881" t="s">
        <v>47113</v>
      </c>
      <c r="L9881">
        <v>41.59</v>
      </c>
      <c r="M9881">
        <v>120</v>
      </c>
      <c r="N9881">
        <v>0</v>
      </c>
      <c r="O9881">
        <v>120</v>
      </c>
      <c r="P9881">
        <v>0</v>
      </c>
    </row>
    <row r="9882" spans="1:16" x14ac:dyDescent="0.25">
      <c r="A9882" t="s">
        <v>32553</v>
      </c>
      <c r="B9882" t="s">
        <v>7223</v>
      </c>
      <c r="C9882" t="s">
        <v>5086</v>
      </c>
      <c r="D9882" t="s">
        <v>6816</v>
      </c>
      <c r="E9882" t="s">
        <v>6817</v>
      </c>
      <c r="F9882" t="s">
        <v>2</v>
      </c>
      <c r="G9882" t="s">
        <v>16231</v>
      </c>
      <c r="H9882" t="s">
        <v>47054</v>
      </c>
      <c r="I9882" t="s">
        <v>47111</v>
      </c>
      <c r="J9882" t="s">
        <v>47112</v>
      </c>
      <c r="K9882" t="s">
        <v>47113</v>
      </c>
      <c r="L9882">
        <v>36.18</v>
      </c>
      <c r="M9882">
        <v>89</v>
      </c>
      <c r="N9882">
        <v>0</v>
      </c>
      <c r="O9882">
        <v>89</v>
      </c>
      <c r="P9882">
        <v>0</v>
      </c>
    </row>
    <row r="9883" spans="1:16" x14ac:dyDescent="0.25">
      <c r="A9883" t="s">
        <v>32554</v>
      </c>
      <c r="B9883" t="s">
        <v>7223</v>
      </c>
      <c r="C9883" t="s">
        <v>5086</v>
      </c>
      <c r="D9883" t="s">
        <v>921</v>
      </c>
      <c r="E9883" t="s">
        <v>922</v>
      </c>
      <c r="F9883" t="s">
        <v>2</v>
      </c>
      <c r="G9883" t="s">
        <v>16231</v>
      </c>
      <c r="H9883" t="s">
        <v>47054</v>
      </c>
      <c r="I9883" t="s">
        <v>47111</v>
      </c>
      <c r="J9883" t="s">
        <v>47112</v>
      </c>
      <c r="K9883" t="s">
        <v>47113</v>
      </c>
      <c r="L9883">
        <v>37.74</v>
      </c>
      <c r="M9883">
        <v>94</v>
      </c>
      <c r="N9883">
        <v>0</v>
      </c>
      <c r="O9883">
        <v>94</v>
      </c>
      <c r="P9883">
        <v>0</v>
      </c>
    </row>
    <row r="9884" spans="1:16" x14ac:dyDescent="0.25">
      <c r="A9884" t="s">
        <v>32555</v>
      </c>
      <c r="B9884" t="s">
        <v>7224</v>
      </c>
      <c r="C9884" t="s">
        <v>7225</v>
      </c>
      <c r="D9884" t="s">
        <v>2401</v>
      </c>
      <c r="E9884" t="s">
        <v>2402</v>
      </c>
      <c r="F9884" t="s">
        <v>5</v>
      </c>
      <c r="G9884" t="s">
        <v>16231</v>
      </c>
      <c r="H9884" t="s">
        <v>47054</v>
      </c>
      <c r="I9884" t="s">
        <v>47111</v>
      </c>
      <c r="J9884" t="s">
        <v>47112</v>
      </c>
      <c r="K9884" t="s">
        <v>47113</v>
      </c>
      <c r="L9884">
        <v>38.17</v>
      </c>
      <c r="M9884">
        <v>88</v>
      </c>
      <c r="N9884">
        <v>0</v>
      </c>
      <c r="O9884">
        <v>88</v>
      </c>
      <c r="P9884">
        <v>0</v>
      </c>
    </row>
    <row r="9885" spans="1:16" x14ac:dyDescent="0.25">
      <c r="A9885" t="s">
        <v>32556</v>
      </c>
      <c r="B9885" t="s">
        <v>7224</v>
      </c>
      <c r="C9885" t="s">
        <v>7225</v>
      </c>
      <c r="D9885" t="s">
        <v>1718</v>
      </c>
      <c r="E9885" t="s">
        <v>1719</v>
      </c>
      <c r="F9885" t="s">
        <v>5</v>
      </c>
      <c r="G9885" t="s">
        <v>16231</v>
      </c>
      <c r="H9885" t="s">
        <v>47054</v>
      </c>
      <c r="I9885" t="s">
        <v>47111</v>
      </c>
      <c r="J9885" t="s">
        <v>47112</v>
      </c>
      <c r="K9885" t="s">
        <v>47113</v>
      </c>
      <c r="L9885">
        <v>35.340000000000003</v>
      </c>
      <c r="M9885">
        <v>86</v>
      </c>
      <c r="N9885">
        <v>0</v>
      </c>
      <c r="O9885">
        <v>86</v>
      </c>
      <c r="P9885">
        <v>0</v>
      </c>
    </row>
    <row r="9886" spans="1:16" x14ac:dyDescent="0.25">
      <c r="A9886" t="s">
        <v>32557</v>
      </c>
      <c r="B9886" t="s">
        <v>7224</v>
      </c>
      <c r="C9886" t="s">
        <v>7225</v>
      </c>
      <c r="D9886" t="s">
        <v>2407</v>
      </c>
      <c r="E9886" t="s">
        <v>2408</v>
      </c>
      <c r="F9886" t="s">
        <v>5</v>
      </c>
      <c r="G9886" t="s">
        <v>16231</v>
      </c>
      <c r="H9886" t="s">
        <v>47054</v>
      </c>
      <c r="I9886" t="s">
        <v>47111</v>
      </c>
      <c r="J9886" t="s">
        <v>47112</v>
      </c>
      <c r="K9886" t="s">
        <v>47113</v>
      </c>
      <c r="L9886">
        <v>38.85</v>
      </c>
      <c r="M9886">
        <v>85</v>
      </c>
      <c r="N9886">
        <v>0</v>
      </c>
      <c r="O9886">
        <v>85</v>
      </c>
      <c r="P9886">
        <v>0</v>
      </c>
    </row>
    <row r="9887" spans="1:16" x14ac:dyDescent="0.25">
      <c r="A9887" t="s">
        <v>32558</v>
      </c>
      <c r="B9887" t="s">
        <v>17596</v>
      </c>
      <c r="C9887" t="s">
        <v>17597</v>
      </c>
      <c r="D9887" t="s">
        <v>17598</v>
      </c>
      <c r="E9887" t="s">
        <v>17599</v>
      </c>
      <c r="F9887" t="s">
        <v>3750</v>
      </c>
      <c r="G9887" t="s">
        <v>16231</v>
      </c>
      <c r="H9887" t="s">
        <v>47054</v>
      </c>
      <c r="I9887" t="s">
        <v>47116</v>
      </c>
      <c r="J9887" t="s">
        <v>47117</v>
      </c>
      <c r="K9887" t="s">
        <v>47113</v>
      </c>
      <c r="L9887">
        <v>28.12</v>
      </c>
      <c r="M9887">
        <v>79</v>
      </c>
      <c r="N9887">
        <v>0</v>
      </c>
      <c r="O9887">
        <v>79</v>
      </c>
      <c r="P9887">
        <v>0</v>
      </c>
    </row>
    <row r="9888" spans="1:16" x14ac:dyDescent="0.25">
      <c r="A9888" t="s">
        <v>32559</v>
      </c>
      <c r="B9888" t="s">
        <v>17600</v>
      </c>
      <c r="C9888" t="s">
        <v>17601</v>
      </c>
      <c r="D9888" t="s">
        <v>17602</v>
      </c>
      <c r="E9888" t="s">
        <v>17603</v>
      </c>
      <c r="F9888" t="s">
        <v>3750</v>
      </c>
      <c r="G9888" t="s">
        <v>16231</v>
      </c>
      <c r="H9888" t="s">
        <v>47054</v>
      </c>
      <c r="I9888" t="s">
        <v>47116</v>
      </c>
      <c r="J9888" t="s">
        <v>47117</v>
      </c>
      <c r="K9888" t="s">
        <v>47113</v>
      </c>
      <c r="L9888">
        <v>29.53</v>
      </c>
      <c r="M9888">
        <v>83</v>
      </c>
      <c r="N9888">
        <v>0</v>
      </c>
      <c r="O9888">
        <v>83</v>
      </c>
      <c r="P9888">
        <v>0</v>
      </c>
    </row>
    <row r="9889" spans="1:16" x14ac:dyDescent="0.25">
      <c r="A9889" t="s">
        <v>32560</v>
      </c>
      <c r="B9889" t="s">
        <v>17604</v>
      </c>
      <c r="C9889" t="s">
        <v>17605</v>
      </c>
      <c r="D9889" t="s">
        <v>17606</v>
      </c>
      <c r="E9889" t="s">
        <v>17607</v>
      </c>
      <c r="F9889" t="s">
        <v>3750</v>
      </c>
      <c r="G9889" t="s">
        <v>16231</v>
      </c>
      <c r="H9889" t="s">
        <v>47054</v>
      </c>
      <c r="I9889" t="s">
        <v>47116</v>
      </c>
      <c r="J9889" t="s">
        <v>47117</v>
      </c>
      <c r="K9889" t="s">
        <v>47113</v>
      </c>
      <c r="L9889">
        <v>30.31</v>
      </c>
      <c r="M9889">
        <v>85</v>
      </c>
      <c r="N9889">
        <v>0</v>
      </c>
      <c r="O9889">
        <v>85</v>
      </c>
      <c r="P9889">
        <v>0</v>
      </c>
    </row>
    <row r="9890" spans="1:16" x14ac:dyDescent="0.25">
      <c r="A9890" t="s">
        <v>32561</v>
      </c>
      <c r="B9890" t="s">
        <v>7226</v>
      </c>
      <c r="C9890" t="s">
        <v>7227</v>
      </c>
      <c r="D9890" t="s">
        <v>7228</v>
      </c>
      <c r="E9890" t="s">
        <v>7229</v>
      </c>
      <c r="F9890" t="s">
        <v>2</v>
      </c>
      <c r="G9890" t="s">
        <v>16224</v>
      </c>
      <c r="H9890" t="s">
        <v>47054</v>
      </c>
      <c r="I9890" t="s">
        <v>47116</v>
      </c>
      <c r="J9890" t="s">
        <v>47117</v>
      </c>
      <c r="K9890" t="s">
        <v>47113</v>
      </c>
      <c r="L9890">
        <v>44.54</v>
      </c>
      <c r="M9890">
        <v>120</v>
      </c>
      <c r="N9890">
        <v>0</v>
      </c>
      <c r="O9890">
        <v>120</v>
      </c>
      <c r="P9890">
        <v>0</v>
      </c>
    </row>
    <row r="9891" spans="1:16" x14ac:dyDescent="0.25">
      <c r="A9891" t="s">
        <v>32562</v>
      </c>
      <c r="B9891" t="s">
        <v>7230</v>
      </c>
      <c r="C9891" t="s">
        <v>7231</v>
      </c>
      <c r="D9891" t="s">
        <v>2401</v>
      </c>
      <c r="E9891" t="s">
        <v>2402</v>
      </c>
      <c r="F9891" t="s">
        <v>5</v>
      </c>
      <c r="G9891" t="s">
        <v>16231</v>
      </c>
      <c r="H9891" t="s">
        <v>47054</v>
      </c>
      <c r="I9891" t="s">
        <v>47111</v>
      </c>
      <c r="J9891" t="s">
        <v>47112</v>
      </c>
      <c r="K9891" t="s">
        <v>47113</v>
      </c>
      <c r="L9891">
        <v>38.17</v>
      </c>
      <c r="M9891">
        <v>88</v>
      </c>
      <c r="N9891">
        <v>0</v>
      </c>
      <c r="O9891">
        <v>88</v>
      </c>
      <c r="P9891">
        <v>0</v>
      </c>
    </row>
    <row r="9892" spans="1:16" x14ac:dyDescent="0.25">
      <c r="A9892" t="s">
        <v>32563</v>
      </c>
      <c r="B9892" t="s">
        <v>7230</v>
      </c>
      <c r="C9892" t="s">
        <v>7231</v>
      </c>
      <c r="D9892" t="s">
        <v>1718</v>
      </c>
      <c r="E9892" t="s">
        <v>1719</v>
      </c>
      <c r="F9892" t="s">
        <v>5</v>
      </c>
      <c r="G9892" t="s">
        <v>16231</v>
      </c>
      <c r="H9892" t="s">
        <v>47054</v>
      </c>
      <c r="I9892" t="s">
        <v>47111</v>
      </c>
      <c r="J9892" t="s">
        <v>47112</v>
      </c>
      <c r="K9892" t="s">
        <v>47113</v>
      </c>
      <c r="L9892">
        <v>33.909999999999997</v>
      </c>
      <c r="M9892">
        <v>77</v>
      </c>
      <c r="N9892">
        <v>0</v>
      </c>
      <c r="O9892">
        <v>77</v>
      </c>
      <c r="P9892">
        <v>0</v>
      </c>
    </row>
    <row r="9893" spans="1:16" x14ac:dyDescent="0.25">
      <c r="A9893" t="s">
        <v>32564</v>
      </c>
      <c r="B9893" t="s">
        <v>7230</v>
      </c>
      <c r="C9893" t="s">
        <v>7231</v>
      </c>
      <c r="D9893" t="s">
        <v>2407</v>
      </c>
      <c r="E9893" t="s">
        <v>2408</v>
      </c>
      <c r="F9893" t="s">
        <v>5</v>
      </c>
      <c r="G9893" t="s">
        <v>16231</v>
      </c>
      <c r="H9893" t="s">
        <v>47054</v>
      </c>
      <c r="I9893" t="s">
        <v>47111</v>
      </c>
      <c r="J9893" t="s">
        <v>47112</v>
      </c>
      <c r="K9893" t="s">
        <v>47113</v>
      </c>
      <c r="L9893">
        <v>37.64</v>
      </c>
      <c r="M9893">
        <v>88</v>
      </c>
      <c r="N9893">
        <v>0</v>
      </c>
      <c r="O9893">
        <v>88</v>
      </c>
      <c r="P9893">
        <v>0</v>
      </c>
    </row>
    <row r="9894" spans="1:16" x14ac:dyDescent="0.25">
      <c r="A9894" t="s">
        <v>32565</v>
      </c>
      <c r="B9894" t="s">
        <v>7232</v>
      </c>
      <c r="C9894" t="s">
        <v>7233</v>
      </c>
      <c r="D9894" t="s">
        <v>2401</v>
      </c>
      <c r="E9894" t="s">
        <v>2402</v>
      </c>
      <c r="F9894" t="s">
        <v>5</v>
      </c>
      <c r="G9894" t="s">
        <v>16231</v>
      </c>
      <c r="H9894" t="s">
        <v>47054</v>
      </c>
      <c r="I9894" t="s">
        <v>47111</v>
      </c>
      <c r="J9894" t="s">
        <v>47112</v>
      </c>
      <c r="K9894" t="s">
        <v>47113</v>
      </c>
      <c r="L9894">
        <v>37.68</v>
      </c>
      <c r="M9894">
        <v>93</v>
      </c>
      <c r="N9894">
        <v>0</v>
      </c>
      <c r="O9894">
        <v>93</v>
      </c>
      <c r="P9894">
        <v>0</v>
      </c>
    </row>
    <row r="9895" spans="1:16" x14ac:dyDescent="0.25">
      <c r="A9895" t="s">
        <v>32566</v>
      </c>
      <c r="B9895" t="s">
        <v>7232</v>
      </c>
      <c r="C9895" t="s">
        <v>7233</v>
      </c>
      <c r="D9895" t="s">
        <v>2407</v>
      </c>
      <c r="E9895" t="s">
        <v>2408</v>
      </c>
      <c r="F9895" t="s">
        <v>5</v>
      </c>
      <c r="G9895" t="s">
        <v>16231</v>
      </c>
      <c r="H9895" t="s">
        <v>47054</v>
      </c>
      <c r="I9895" t="s">
        <v>47111</v>
      </c>
      <c r="J9895" t="s">
        <v>47112</v>
      </c>
      <c r="K9895" t="s">
        <v>47113</v>
      </c>
      <c r="L9895">
        <v>39.159999999999997</v>
      </c>
      <c r="M9895">
        <v>96</v>
      </c>
      <c r="N9895">
        <v>0</v>
      </c>
      <c r="O9895">
        <v>96</v>
      </c>
      <c r="P9895">
        <v>0</v>
      </c>
    </row>
    <row r="9896" spans="1:16" x14ac:dyDescent="0.25">
      <c r="A9896" t="s">
        <v>32567</v>
      </c>
      <c r="B9896" t="s">
        <v>17608</v>
      </c>
      <c r="C9896" t="s">
        <v>17609</v>
      </c>
      <c r="D9896" t="s">
        <v>17598</v>
      </c>
      <c r="E9896" t="s">
        <v>17599</v>
      </c>
      <c r="F9896" t="s">
        <v>3750</v>
      </c>
      <c r="G9896" t="s">
        <v>16231</v>
      </c>
      <c r="H9896" t="s">
        <v>47054</v>
      </c>
      <c r="I9896" t="s">
        <v>47116</v>
      </c>
      <c r="J9896" t="s">
        <v>47117</v>
      </c>
      <c r="K9896" t="s">
        <v>47113</v>
      </c>
      <c r="L9896">
        <v>30.64</v>
      </c>
      <c r="M9896">
        <v>86</v>
      </c>
      <c r="N9896">
        <v>0</v>
      </c>
      <c r="O9896">
        <v>86</v>
      </c>
      <c r="P9896">
        <v>0</v>
      </c>
    </row>
    <row r="9897" spans="1:16" x14ac:dyDescent="0.25">
      <c r="A9897" t="s">
        <v>32568</v>
      </c>
      <c r="B9897" t="s">
        <v>7234</v>
      </c>
      <c r="C9897" t="s">
        <v>7235</v>
      </c>
      <c r="D9897" t="s">
        <v>6211</v>
      </c>
      <c r="E9897" t="s">
        <v>6212</v>
      </c>
      <c r="F9897" t="s">
        <v>5</v>
      </c>
      <c r="G9897" t="s">
        <v>16231</v>
      </c>
      <c r="H9897" t="s">
        <v>47054</v>
      </c>
      <c r="I9897" t="s">
        <v>47111</v>
      </c>
      <c r="J9897" t="s">
        <v>47112</v>
      </c>
      <c r="K9897" t="s">
        <v>47113</v>
      </c>
      <c r="L9897">
        <v>59.23</v>
      </c>
      <c r="M9897">
        <v>115</v>
      </c>
      <c r="N9897">
        <v>0</v>
      </c>
      <c r="O9897">
        <v>115</v>
      </c>
      <c r="P9897">
        <v>0</v>
      </c>
    </row>
    <row r="9898" spans="1:16" x14ac:dyDescent="0.25">
      <c r="A9898" t="s">
        <v>32569</v>
      </c>
      <c r="B9898" t="s">
        <v>7234</v>
      </c>
      <c r="C9898" t="s">
        <v>7235</v>
      </c>
      <c r="D9898" t="s">
        <v>4808</v>
      </c>
      <c r="E9898" t="s">
        <v>4809</v>
      </c>
      <c r="F9898" t="s">
        <v>5</v>
      </c>
      <c r="G9898" t="s">
        <v>16231</v>
      </c>
      <c r="H9898" t="s">
        <v>47054</v>
      </c>
      <c r="I9898" t="s">
        <v>47111</v>
      </c>
      <c r="J9898" t="s">
        <v>47112</v>
      </c>
      <c r="K9898" t="s">
        <v>47113</v>
      </c>
      <c r="L9898">
        <v>59.23</v>
      </c>
      <c r="M9898">
        <v>115</v>
      </c>
      <c r="N9898">
        <v>0</v>
      </c>
      <c r="O9898">
        <v>115</v>
      </c>
      <c r="P9898">
        <v>0</v>
      </c>
    </row>
    <row r="9899" spans="1:16" x14ac:dyDescent="0.25">
      <c r="A9899" t="s">
        <v>32570</v>
      </c>
      <c r="B9899" t="s">
        <v>7236</v>
      </c>
      <c r="C9899" t="s">
        <v>7237</v>
      </c>
      <c r="D9899" t="s">
        <v>2401</v>
      </c>
      <c r="E9899" t="s">
        <v>2402</v>
      </c>
      <c r="F9899" t="s">
        <v>5</v>
      </c>
      <c r="G9899" t="s">
        <v>16231</v>
      </c>
      <c r="H9899" t="s">
        <v>47054</v>
      </c>
      <c r="I9899" t="s">
        <v>47111</v>
      </c>
      <c r="J9899" t="s">
        <v>47112</v>
      </c>
      <c r="K9899" t="s">
        <v>47113</v>
      </c>
      <c r="L9899">
        <v>38.17</v>
      </c>
      <c r="M9899">
        <v>88</v>
      </c>
      <c r="N9899">
        <v>0</v>
      </c>
      <c r="O9899">
        <v>88</v>
      </c>
      <c r="P9899">
        <v>0</v>
      </c>
    </row>
    <row r="9900" spans="1:16" x14ac:dyDescent="0.25">
      <c r="A9900" t="s">
        <v>32571</v>
      </c>
      <c r="B9900" t="s">
        <v>7236</v>
      </c>
      <c r="C9900" t="s">
        <v>7237</v>
      </c>
      <c r="D9900" t="s">
        <v>1718</v>
      </c>
      <c r="E9900" t="s">
        <v>1719</v>
      </c>
      <c r="F9900" t="s">
        <v>5</v>
      </c>
      <c r="G9900" t="s">
        <v>16231</v>
      </c>
      <c r="H9900" t="s">
        <v>47054</v>
      </c>
      <c r="I9900" t="s">
        <v>47111</v>
      </c>
      <c r="J9900" t="s">
        <v>47112</v>
      </c>
      <c r="K9900" t="s">
        <v>47113</v>
      </c>
      <c r="L9900">
        <v>33.909999999999997</v>
      </c>
      <c r="M9900">
        <v>77</v>
      </c>
      <c r="N9900">
        <v>0</v>
      </c>
      <c r="O9900">
        <v>77</v>
      </c>
      <c r="P9900">
        <v>0</v>
      </c>
    </row>
    <row r="9901" spans="1:16" x14ac:dyDescent="0.25">
      <c r="A9901" t="s">
        <v>32572</v>
      </c>
      <c r="B9901" t="s">
        <v>7236</v>
      </c>
      <c r="C9901" t="s">
        <v>7237</v>
      </c>
      <c r="D9901" t="s">
        <v>2407</v>
      </c>
      <c r="E9901" t="s">
        <v>2408</v>
      </c>
      <c r="F9901" t="s">
        <v>5</v>
      </c>
      <c r="G9901" t="s">
        <v>16231</v>
      </c>
      <c r="H9901" t="s">
        <v>47054</v>
      </c>
      <c r="I9901" t="s">
        <v>47111</v>
      </c>
      <c r="J9901" t="s">
        <v>47112</v>
      </c>
      <c r="K9901" t="s">
        <v>47113</v>
      </c>
      <c r="L9901">
        <v>37.64</v>
      </c>
      <c r="M9901">
        <v>88</v>
      </c>
      <c r="N9901">
        <v>0</v>
      </c>
      <c r="O9901">
        <v>88</v>
      </c>
      <c r="P9901">
        <v>0</v>
      </c>
    </row>
    <row r="9902" spans="1:16" x14ac:dyDescent="0.25">
      <c r="A9902" t="s">
        <v>32573</v>
      </c>
      <c r="B9902" t="s">
        <v>7238</v>
      </c>
      <c r="C9902" t="s">
        <v>7239</v>
      </c>
      <c r="D9902" t="s">
        <v>2401</v>
      </c>
      <c r="E9902" t="s">
        <v>2402</v>
      </c>
      <c r="F9902" t="s">
        <v>5</v>
      </c>
      <c r="G9902" t="s">
        <v>16231</v>
      </c>
      <c r="H9902" t="s">
        <v>47054</v>
      </c>
      <c r="I9902" t="s">
        <v>47111</v>
      </c>
      <c r="J9902" t="s">
        <v>47112</v>
      </c>
      <c r="K9902" t="s">
        <v>47113</v>
      </c>
      <c r="L9902">
        <v>38.17</v>
      </c>
      <c r="M9902">
        <v>88</v>
      </c>
      <c r="N9902">
        <v>0</v>
      </c>
      <c r="O9902">
        <v>88</v>
      </c>
      <c r="P9902">
        <v>0</v>
      </c>
    </row>
    <row r="9903" spans="1:16" x14ac:dyDescent="0.25">
      <c r="A9903" t="s">
        <v>32574</v>
      </c>
      <c r="B9903" t="s">
        <v>7238</v>
      </c>
      <c r="C9903" t="s">
        <v>7239</v>
      </c>
      <c r="D9903" t="s">
        <v>1718</v>
      </c>
      <c r="E9903" t="s">
        <v>1719</v>
      </c>
      <c r="F9903" t="s">
        <v>5</v>
      </c>
      <c r="G9903" t="s">
        <v>16231</v>
      </c>
      <c r="H9903" t="s">
        <v>47054</v>
      </c>
      <c r="I9903" t="s">
        <v>47111</v>
      </c>
      <c r="J9903" t="s">
        <v>47112</v>
      </c>
      <c r="K9903" t="s">
        <v>47113</v>
      </c>
      <c r="L9903">
        <v>33.909999999999997</v>
      </c>
      <c r="M9903">
        <v>77</v>
      </c>
      <c r="N9903">
        <v>0</v>
      </c>
      <c r="O9903">
        <v>77</v>
      </c>
      <c r="P9903">
        <v>0</v>
      </c>
    </row>
    <row r="9904" spans="1:16" x14ac:dyDescent="0.25">
      <c r="A9904" t="s">
        <v>32575</v>
      </c>
      <c r="B9904" t="s">
        <v>7238</v>
      </c>
      <c r="C9904" t="s">
        <v>7239</v>
      </c>
      <c r="D9904" t="s">
        <v>2407</v>
      </c>
      <c r="E9904" t="s">
        <v>2408</v>
      </c>
      <c r="F9904" t="s">
        <v>5</v>
      </c>
      <c r="G9904" t="s">
        <v>16231</v>
      </c>
      <c r="H9904" t="s">
        <v>47054</v>
      </c>
      <c r="I9904" t="s">
        <v>47111</v>
      </c>
      <c r="J9904" t="s">
        <v>47112</v>
      </c>
      <c r="K9904" t="s">
        <v>47113</v>
      </c>
      <c r="L9904">
        <v>37.64</v>
      </c>
      <c r="M9904">
        <v>88</v>
      </c>
      <c r="N9904">
        <v>0</v>
      </c>
      <c r="O9904">
        <v>88</v>
      </c>
      <c r="P9904">
        <v>0</v>
      </c>
    </row>
    <row r="9905" spans="1:16" x14ac:dyDescent="0.25">
      <c r="A9905" t="s">
        <v>32576</v>
      </c>
      <c r="B9905" t="s">
        <v>17610</v>
      </c>
      <c r="C9905" t="s">
        <v>17611</v>
      </c>
      <c r="D9905" t="s">
        <v>17606</v>
      </c>
      <c r="E9905" t="s">
        <v>17607</v>
      </c>
      <c r="F9905" t="s">
        <v>3750</v>
      </c>
      <c r="G9905" t="s">
        <v>16231</v>
      </c>
      <c r="H9905" t="s">
        <v>47054</v>
      </c>
      <c r="I9905" t="s">
        <v>47116</v>
      </c>
      <c r="J9905" t="s">
        <v>47117</v>
      </c>
      <c r="K9905" t="s">
        <v>47113</v>
      </c>
      <c r="L9905">
        <v>33.06</v>
      </c>
      <c r="M9905">
        <v>92</v>
      </c>
      <c r="N9905">
        <v>0</v>
      </c>
      <c r="O9905">
        <v>92</v>
      </c>
      <c r="P9905">
        <v>0</v>
      </c>
    </row>
    <row r="9906" spans="1:16" x14ac:dyDescent="0.25">
      <c r="A9906" t="s">
        <v>32577</v>
      </c>
      <c r="B9906" t="s">
        <v>7240</v>
      </c>
      <c r="C9906" t="s">
        <v>7241</v>
      </c>
      <c r="D9906" t="s">
        <v>6211</v>
      </c>
      <c r="E9906" t="s">
        <v>6212</v>
      </c>
      <c r="F9906" t="s">
        <v>5</v>
      </c>
      <c r="G9906" t="s">
        <v>16231</v>
      </c>
      <c r="H9906" t="s">
        <v>47054</v>
      </c>
      <c r="I9906" t="s">
        <v>47111</v>
      </c>
      <c r="J9906" t="s">
        <v>47112</v>
      </c>
      <c r="K9906" t="s">
        <v>47113</v>
      </c>
      <c r="L9906">
        <v>55.85</v>
      </c>
      <c r="M9906">
        <v>115</v>
      </c>
      <c r="N9906">
        <v>0</v>
      </c>
      <c r="O9906">
        <v>115</v>
      </c>
      <c r="P9906">
        <v>0</v>
      </c>
    </row>
    <row r="9907" spans="1:16" x14ac:dyDescent="0.25">
      <c r="A9907" t="s">
        <v>32578</v>
      </c>
      <c r="B9907" t="s">
        <v>7240</v>
      </c>
      <c r="C9907" t="s">
        <v>7241</v>
      </c>
      <c r="D9907" t="s">
        <v>4808</v>
      </c>
      <c r="E9907" t="s">
        <v>4809</v>
      </c>
      <c r="F9907" t="s">
        <v>5</v>
      </c>
      <c r="G9907" t="s">
        <v>16231</v>
      </c>
      <c r="H9907" t="s">
        <v>47054</v>
      </c>
      <c r="I9907" t="s">
        <v>47111</v>
      </c>
      <c r="J9907" t="s">
        <v>47112</v>
      </c>
      <c r="K9907" t="s">
        <v>47113</v>
      </c>
      <c r="L9907">
        <v>59.96</v>
      </c>
      <c r="M9907">
        <v>115</v>
      </c>
      <c r="N9907">
        <v>0</v>
      </c>
      <c r="O9907">
        <v>115</v>
      </c>
      <c r="P9907">
        <v>0</v>
      </c>
    </row>
    <row r="9908" spans="1:16" x14ac:dyDescent="0.25">
      <c r="A9908" t="s">
        <v>32579</v>
      </c>
      <c r="B9908" t="s">
        <v>7242</v>
      </c>
      <c r="C9908" t="s">
        <v>7243</v>
      </c>
      <c r="D9908" t="s">
        <v>7221</v>
      </c>
      <c r="E9908" t="s">
        <v>7222</v>
      </c>
      <c r="F9908" t="s">
        <v>5</v>
      </c>
      <c r="G9908" t="s">
        <v>16231</v>
      </c>
      <c r="H9908" t="s">
        <v>47054</v>
      </c>
      <c r="I9908" t="s">
        <v>47111</v>
      </c>
      <c r="J9908" t="s">
        <v>47112</v>
      </c>
      <c r="K9908" t="s">
        <v>47113</v>
      </c>
      <c r="L9908">
        <v>48.92</v>
      </c>
      <c r="M9908">
        <v>115</v>
      </c>
      <c r="N9908">
        <v>0</v>
      </c>
      <c r="O9908">
        <v>115</v>
      </c>
      <c r="P9908">
        <v>0</v>
      </c>
    </row>
    <row r="9909" spans="1:16" x14ac:dyDescent="0.25">
      <c r="A9909" t="s">
        <v>32580</v>
      </c>
      <c r="B9909" t="s">
        <v>7244</v>
      </c>
      <c r="C9909" t="s">
        <v>7245</v>
      </c>
      <c r="D9909" t="str">
        <f>"08"</f>
        <v>08</v>
      </c>
      <c r="E9909" t="s">
        <v>882</v>
      </c>
      <c r="F9909" t="s">
        <v>2</v>
      </c>
      <c r="G9909" t="s">
        <v>16231</v>
      </c>
      <c r="H9909" t="s">
        <v>47054</v>
      </c>
      <c r="I9909" t="s">
        <v>47111</v>
      </c>
      <c r="J9909" t="s">
        <v>47112</v>
      </c>
      <c r="K9909" t="s">
        <v>47113</v>
      </c>
      <c r="L9909">
        <v>30.62</v>
      </c>
      <c r="M9909">
        <v>88</v>
      </c>
      <c r="N9909">
        <v>0</v>
      </c>
      <c r="O9909">
        <v>88</v>
      </c>
      <c r="P9909">
        <v>0</v>
      </c>
    </row>
    <row r="9910" spans="1:16" x14ac:dyDescent="0.25">
      <c r="A9910" t="s">
        <v>32581</v>
      </c>
      <c r="B9910" t="s">
        <v>7244</v>
      </c>
      <c r="C9910" t="s">
        <v>7245</v>
      </c>
      <c r="D9910" t="str">
        <f>"15"</f>
        <v>15</v>
      </c>
      <c r="E9910" t="s">
        <v>878</v>
      </c>
      <c r="F9910" t="s">
        <v>2</v>
      </c>
      <c r="G9910" t="s">
        <v>16231</v>
      </c>
      <c r="H9910" t="s">
        <v>47054</v>
      </c>
      <c r="I9910" t="s">
        <v>47111</v>
      </c>
      <c r="J9910" t="s">
        <v>47112</v>
      </c>
      <c r="K9910" t="s">
        <v>47113</v>
      </c>
      <c r="L9910">
        <v>39.18</v>
      </c>
      <c r="M9910">
        <v>88</v>
      </c>
      <c r="N9910">
        <v>0</v>
      </c>
      <c r="O9910">
        <v>88</v>
      </c>
      <c r="P9910">
        <v>0</v>
      </c>
    </row>
    <row r="9911" spans="1:16" x14ac:dyDescent="0.25">
      <c r="A9911" t="s">
        <v>32582</v>
      </c>
      <c r="B9911" t="s">
        <v>7244</v>
      </c>
      <c r="C9911" t="s">
        <v>7245</v>
      </c>
      <c r="D9911" t="s">
        <v>27</v>
      </c>
      <c r="E9911" t="s">
        <v>28</v>
      </c>
      <c r="F9911" t="s">
        <v>3</v>
      </c>
      <c r="G9911" t="s">
        <v>16231</v>
      </c>
      <c r="H9911" t="s">
        <v>47054</v>
      </c>
      <c r="I9911" t="s">
        <v>47111</v>
      </c>
      <c r="J9911" t="s">
        <v>47112</v>
      </c>
      <c r="K9911" t="s">
        <v>47113</v>
      </c>
      <c r="L9911">
        <v>36.74</v>
      </c>
      <c r="M9911">
        <v>78</v>
      </c>
      <c r="N9911">
        <v>0</v>
      </c>
      <c r="O9911">
        <v>78</v>
      </c>
      <c r="P9911">
        <v>0</v>
      </c>
    </row>
    <row r="9912" spans="1:16" x14ac:dyDescent="0.25">
      <c r="A9912" t="s">
        <v>32583</v>
      </c>
      <c r="B9912" t="s">
        <v>7244</v>
      </c>
      <c r="C9912" t="s">
        <v>7245</v>
      </c>
      <c r="D9912" t="s">
        <v>6626</v>
      </c>
      <c r="E9912" t="s">
        <v>6627</v>
      </c>
      <c r="F9912" t="s">
        <v>3</v>
      </c>
      <c r="G9912" t="s">
        <v>16231</v>
      </c>
      <c r="H9912" t="s">
        <v>47054</v>
      </c>
      <c r="I9912" t="s">
        <v>47111</v>
      </c>
      <c r="J9912" t="s">
        <v>47112</v>
      </c>
      <c r="K9912" t="s">
        <v>47113</v>
      </c>
      <c r="L9912">
        <v>36.74</v>
      </c>
      <c r="M9912">
        <v>94</v>
      </c>
      <c r="N9912">
        <v>0</v>
      </c>
      <c r="O9912">
        <v>94</v>
      </c>
      <c r="P9912">
        <v>0</v>
      </c>
    </row>
    <row r="9913" spans="1:16" x14ac:dyDescent="0.25">
      <c r="A9913" t="s">
        <v>32584</v>
      </c>
      <c r="B9913" t="s">
        <v>7244</v>
      </c>
      <c r="C9913" t="s">
        <v>7245</v>
      </c>
      <c r="D9913" t="s">
        <v>2401</v>
      </c>
      <c r="E9913" t="s">
        <v>2402</v>
      </c>
      <c r="F9913" t="s">
        <v>5</v>
      </c>
      <c r="G9913" t="s">
        <v>16231</v>
      </c>
      <c r="H9913" t="s">
        <v>47054</v>
      </c>
      <c r="I9913" t="s">
        <v>47111</v>
      </c>
      <c r="J9913" t="s">
        <v>47112</v>
      </c>
      <c r="K9913" t="s">
        <v>47113</v>
      </c>
      <c r="L9913">
        <v>38.17</v>
      </c>
      <c r="M9913">
        <v>88</v>
      </c>
      <c r="N9913">
        <v>0</v>
      </c>
      <c r="O9913">
        <v>88</v>
      </c>
      <c r="P9913">
        <v>0</v>
      </c>
    </row>
    <row r="9914" spans="1:16" x14ac:dyDescent="0.25">
      <c r="A9914" t="s">
        <v>32585</v>
      </c>
      <c r="B9914" t="s">
        <v>7244</v>
      </c>
      <c r="C9914" t="s">
        <v>7245</v>
      </c>
      <c r="D9914" t="s">
        <v>1718</v>
      </c>
      <c r="E9914" t="s">
        <v>1719</v>
      </c>
      <c r="F9914" t="s">
        <v>3</v>
      </c>
      <c r="G9914" t="s">
        <v>16231</v>
      </c>
      <c r="H9914" t="s">
        <v>47054</v>
      </c>
      <c r="I9914" t="s">
        <v>47111</v>
      </c>
      <c r="J9914" t="s">
        <v>47112</v>
      </c>
      <c r="K9914" t="s">
        <v>47113</v>
      </c>
      <c r="L9914">
        <v>32.47</v>
      </c>
      <c r="M9914">
        <v>77</v>
      </c>
      <c r="N9914">
        <v>0</v>
      </c>
      <c r="O9914">
        <v>77</v>
      </c>
      <c r="P9914">
        <v>0</v>
      </c>
    </row>
    <row r="9915" spans="1:16" x14ac:dyDescent="0.25">
      <c r="A9915" t="s">
        <v>32586</v>
      </c>
      <c r="B9915" t="s">
        <v>7244</v>
      </c>
      <c r="C9915" t="s">
        <v>7245</v>
      </c>
      <c r="D9915" t="s">
        <v>311</v>
      </c>
      <c r="E9915" t="s">
        <v>3479</v>
      </c>
      <c r="F9915" t="s">
        <v>3</v>
      </c>
      <c r="G9915" t="s">
        <v>16231</v>
      </c>
      <c r="H9915" t="s">
        <v>47054</v>
      </c>
      <c r="I9915" t="s">
        <v>47111</v>
      </c>
      <c r="J9915" t="s">
        <v>47112</v>
      </c>
      <c r="K9915" t="s">
        <v>47113</v>
      </c>
      <c r="L9915">
        <v>30.62</v>
      </c>
      <c r="M9915">
        <v>73</v>
      </c>
      <c r="N9915">
        <v>0</v>
      </c>
      <c r="O9915">
        <v>73</v>
      </c>
      <c r="P9915">
        <v>0</v>
      </c>
    </row>
    <row r="9916" spans="1:16" x14ac:dyDescent="0.25">
      <c r="A9916" t="s">
        <v>32587</v>
      </c>
      <c r="B9916" t="s">
        <v>7244</v>
      </c>
      <c r="C9916" t="s">
        <v>7245</v>
      </c>
      <c r="D9916" t="s">
        <v>2407</v>
      </c>
      <c r="E9916" t="s">
        <v>2408</v>
      </c>
      <c r="F9916" t="s">
        <v>5</v>
      </c>
      <c r="G9916" t="s">
        <v>16231</v>
      </c>
      <c r="H9916" t="s">
        <v>47054</v>
      </c>
      <c r="I9916" t="s">
        <v>47111</v>
      </c>
      <c r="J9916" t="s">
        <v>47112</v>
      </c>
      <c r="K9916" t="s">
        <v>47113</v>
      </c>
      <c r="L9916">
        <v>37.64</v>
      </c>
      <c r="M9916">
        <v>88</v>
      </c>
      <c r="N9916">
        <v>0</v>
      </c>
      <c r="O9916">
        <v>88</v>
      </c>
      <c r="P9916">
        <v>0</v>
      </c>
    </row>
    <row r="9917" spans="1:16" x14ac:dyDescent="0.25">
      <c r="A9917" t="s">
        <v>32588</v>
      </c>
      <c r="B9917" t="s">
        <v>7244</v>
      </c>
      <c r="C9917" t="s">
        <v>7245</v>
      </c>
      <c r="D9917" t="s">
        <v>7207</v>
      </c>
      <c r="E9917" t="s">
        <v>7208</v>
      </c>
      <c r="F9917" t="s">
        <v>2</v>
      </c>
      <c r="G9917" t="s">
        <v>16231</v>
      </c>
      <c r="H9917" t="s">
        <v>47054</v>
      </c>
      <c r="I9917" t="s">
        <v>47111</v>
      </c>
      <c r="J9917" t="s">
        <v>47112</v>
      </c>
      <c r="K9917" t="s">
        <v>47113</v>
      </c>
      <c r="L9917">
        <v>41.59</v>
      </c>
      <c r="M9917">
        <v>120</v>
      </c>
      <c r="N9917">
        <v>0</v>
      </c>
      <c r="O9917">
        <v>120</v>
      </c>
      <c r="P9917">
        <v>0</v>
      </c>
    </row>
    <row r="9918" spans="1:16" x14ac:dyDescent="0.25">
      <c r="A9918" t="s">
        <v>32589</v>
      </c>
      <c r="B9918" t="s">
        <v>7244</v>
      </c>
      <c r="C9918" t="s">
        <v>7245</v>
      </c>
      <c r="D9918" t="s">
        <v>6816</v>
      </c>
      <c r="E9918" t="s">
        <v>6817</v>
      </c>
      <c r="F9918" t="s">
        <v>2</v>
      </c>
      <c r="G9918" t="s">
        <v>16231</v>
      </c>
      <c r="H9918" t="s">
        <v>47054</v>
      </c>
      <c r="I9918" t="s">
        <v>47111</v>
      </c>
      <c r="J9918" t="s">
        <v>47112</v>
      </c>
      <c r="K9918" t="s">
        <v>47113</v>
      </c>
      <c r="L9918">
        <v>34.9</v>
      </c>
      <c r="M9918">
        <v>89</v>
      </c>
      <c r="N9918">
        <v>0</v>
      </c>
      <c r="O9918">
        <v>89</v>
      </c>
      <c r="P9918">
        <v>0</v>
      </c>
    </row>
    <row r="9919" spans="1:16" x14ac:dyDescent="0.25">
      <c r="A9919" t="s">
        <v>32590</v>
      </c>
      <c r="B9919" t="s">
        <v>7246</v>
      </c>
      <c r="C9919" t="s">
        <v>7247</v>
      </c>
      <c r="D9919" t="s">
        <v>2401</v>
      </c>
      <c r="E9919" t="s">
        <v>2402</v>
      </c>
      <c r="F9919" t="s">
        <v>5</v>
      </c>
      <c r="G9919" t="s">
        <v>16231</v>
      </c>
      <c r="H9919" t="s">
        <v>47054</v>
      </c>
      <c r="I9919" t="s">
        <v>47111</v>
      </c>
      <c r="J9919" t="s">
        <v>47112</v>
      </c>
      <c r="K9919" t="s">
        <v>47113</v>
      </c>
      <c r="L9919">
        <v>38.17</v>
      </c>
      <c r="M9919">
        <v>88</v>
      </c>
      <c r="N9919">
        <v>0</v>
      </c>
      <c r="O9919">
        <v>88</v>
      </c>
      <c r="P9919">
        <v>0</v>
      </c>
    </row>
    <row r="9920" spans="1:16" x14ac:dyDescent="0.25">
      <c r="A9920" t="s">
        <v>32591</v>
      </c>
      <c r="B9920" t="s">
        <v>7246</v>
      </c>
      <c r="C9920" t="s">
        <v>7247</v>
      </c>
      <c r="D9920" t="s">
        <v>1718</v>
      </c>
      <c r="E9920" t="s">
        <v>1719</v>
      </c>
      <c r="F9920" t="s">
        <v>5</v>
      </c>
      <c r="G9920" t="s">
        <v>16231</v>
      </c>
      <c r="H9920" t="s">
        <v>47054</v>
      </c>
      <c r="I9920" t="s">
        <v>47111</v>
      </c>
      <c r="J9920" t="s">
        <v>47112</v>
      </c>
      <c r="K9920" t="s">
        <v>47113</v>
      </c>
      <c r="L9920">
        <v>34.119999999999997</v>
      </c>
      <c r="M9920">
        <v>83</v>
      </c>
      <c r="N9920">
        <v>0</v>
      </c>
      <c r="O9920">
        <v>83</v>
      </c>
      <c r="P9920">
        <v>0</v>
      </c>
    </row>
    <row r="9921" spans="1:16" x14ac:dyDescent="0.25">
      <c r="A9921" t="s">
        <v>32592</v>
      </c>
      <c r="B9921" t="s">
        <v>7246</v>
      </c>
      <c r="C9921" t="s">
        <v>7247</v>
      </c>
      <c r="D9921" t="s">
        <v>2407</v>
      </c>
      <c r="E9921" t="s">
        <v>2408</v>
      </c>
      <c r="F9921" t="s">
        <v>5</v>
      </c>
      <c r="G9921" t="s">
        <v>16231</v>
      </c>
      <c r="H9921" t="s">
        <v>47054</v>
      </c>
      <c r="I9921" t="s">
        <v>47111</v>
      </c>
      <c r="J9921" t="s">
        <v>47112</v>
      </c>
      <c r="K9921" t="s">
        <v>47113</v>
      </c>
      <c r="L9921">
        <v>37.64</v>
      </c>
      <c r="M9921">
        <v>88</v>
      </c>
      <c r="N9921">
        <v>0</v>
      </c>
      <c r="O9921">
        <v>88</v>
      </c>
      <c r="P9921">
        <v>0</v>
      </c>
    </row>
    <row r="9922" spans="1:16" x14ac:dyDescent="0.25">
      <c r="A9922" t="s">
        <v>32593</v>
      </c>
      <c r="B9922" t="s">
        <v>7248</v>
      </c>
      <c r="C9922" t="s">
        <v>7249</v>
      </c>
      <c r="D9922" t="s">
        <v>884</v>
      </c>
      <c r="E9922" t="s">
        <v>885</v>
      </c>
      <c r="F9922" t="s">
        <v>2</v>
      </c>
      <c r="G9922" t="s">
        <v>16233</v>
      </c>
      <c r="H9922" t="s">
        <v>47054</v>
      </c>
      <c r="I9922" t="s">
        <v>47111</v>
      </c>
      <c r="J9922" t="s">
        <v>47112</v>
      </c>
      <c r="K9922" t="s">
        <v>47113</v>
      </c>
      <c r="L9922">
        <v>47.43</v>
      </c>
      <c r="M9922">
        <v>79</v>
      </c>
      <c r="N9922">
        <v>0</v>
      </c>
      <c r="O9922">
        <v>79</v>
      </c>
      <c r="P9922">
        <v>0</v>
      </c>
    </row>
    <row r="9923" spans="1:16" x14ac:dyDescent="0.25">
      <c r="A9923" t="s">
        <v>32594</v>
      </c>
      <c r="B9923" t="s">
        <v>7250</v>
      </c>
      <c r="C9923" t="s">
        <v>7251</v>
      </c>
      <c r="D9923" t="str">
        <f>"08"</f>
        <v>08</v>
      </c>
      <c r="E9923" t="s">
        <v>882</v>
      </c>
      <c r="F9923" t="s">
        <v>2</v>
      </c>
      <c r="G9923" t="s">
        <v>16231</v>
      </c>
      <c r="H9923" t="s">
        <v>47054</v>
      </c>
      <c r="I9923" t="s">
        <v>47111</v>
      </c>
      <c r="J9923" t="s">
        <v>47112</v>
      </c>
      <c r="K9923" t="s">
        <v>47113</v>
      </c>
      <c r="L9923">
        <v>30.62</v>
      </c>
      <c r="M9923">
        <v>88</v>
      </c>
      <c r="N9923">
        <v>0</v>
      </c>
      <c r="O9923">
        <v>88</v>
      </c>
      <c r="P9923">
        <v>0</v>
      </c>
    </row>
    <row r="9924" spans="1:16" x14ac:dyDescent="0.25">
      <c r="A9924" t="s">
        <v>32595</v>
      </c>
      <c r="B9924" t="s">
        <v>7250</v>
      </c>
      <c r="C9924" t="s">
        <v>7251</v>
      </c>
      <c r="D9924" t="str">
        <f>"15"</f>
        <v>15</v>
      </c>
      <c r="E9924" t="s">
        <v>878</v>
      </c>
      <c r="F9924" t="s">
        <v>2</v>
      </c>
      <c r="G9924" t="s">
        <v>16231</v>
      </c>
      <c r="H9924" t="s">
        <v>47054</v>
      </c>
      <c r="I9924" t="s">
        <v>47111</v>
      </c>
      <c r="J9924" t="s">
        <v>47112</v>
      </c>
      <c r="K9924" t="s">
        <v>47113</v>
      </c>
      <c r="L9924">
        <v>38.9</v>
      </c>
      <c r="M9924">
        <v>88</v>
      </c>
      <c r="N9924">
        <v>0</v>
      </c>
      <c r="O9924">
        <v>88</v>
      </c>
      <c r="P9924">
        <v>0</v>
      </c>
    </row>
    <row r="9925" spans="1:16" x14ac:dyDescent="0.25">
      <c r="A9925" t="s">
        <v>32596</v>
      </c>
      <c r="B9925" t="s">
        <v>7250</v>
      </c>
      <c r="C9925" t="s">
        <v>7251</v>
      </c>
      <c r="D9925" t="s">
        <v>27</v>
      </c>
      <c r="E9925" t="s">
        <v>28</v>
      </c>
      <c r="F9925" t="s">
        <v>3</v>
      </c>
      <c r="G9925" t="s">
        <v>16231</v>
      </c>
      <c r="H9925" t="s">
        <v>47054</v>
      </c>
      <c r="I9925" t="s">
        <v>47111</v>
      </c>
      <c r="J9925" t="s">
        <v>47112</v>
      </c>
      <c r="K9925" t="s">
        <v>47113</v>
      </c>
      <c r="L9925">
        <v>35.93</v>
      </c>
      <c r="M9925">
        <v>78</v>
      </c>
      <c r="N9925">
        <v>0</v>
      </c>
      <c r="O9925">
        <v>78</v>
      </c>
      <c r="P9925">
        <v>0</v>
      </c>
    </row>
    <row r="9926" spans="1:16" x14ac:dyDescent="0.25">
      <c r="A9926" t="s">
        <v>32597</v>
      </c>
      <c r="B9926" t="s">
        <v>7250</v>
      </c>
      <c r="C9926" t="s">
        <v>7251</v>
      </c>
      <c r="D9926" t="s">
        <v>6626</v>
      </c>
      <c r="E9926" t="s">
        <v>6627</v>
      </c>
      <c r="F9926" t="s">
        <v>3</v>
      </c>
      <c r="G9926" t="s">
        <v>16231</v>
      </c>
      <c r="H9926" t="s">
        <v>47054</v>
      </c>
      <c r="I9926" t="s">
        <v>47111</v>
      </c>
      <c r="J9926" t="s">
        <v>47112</v>
      </c>
      <c r="K9926" t="s">
        <v>47113</v>
      </c>
      <c r="L9926">
        <v>36.909999999999997</v>
      </c>
      <c r="M9926">
        <v>90</v>
      </c>
      <c r="N9926">
        <v>0</v>
      </c>
      <c r="O9926">
        <v>90</v>
      </c>
      <c r="P9926">
        <v>0</v>
      </c>
    </row>
    <row r="9927" spans="1:16" x14ac:dyDescent="0.25">
      <c r="A9927" t="s">
        <v>32598</v>
      </c>
      <c r="B9927" t="s">
        <v>7250</v>
      </c>
      <c r="C9927" t="s">
        <v>7251</v>
      </c>
      <c r="D9927" t="s">
        <v>2401</v>
      </c>
      <c r="E9927" t="s">
        <v>2402</v>
      </c>
      <c r="F9927" t="s">
        <v>5</v>
      </c>
      <c r="G9927" t="s">
        <v>16231</v>
      </c>
      <c r="H9927" t="s">
        <v>47054</v>
      </c>
      <c r="I9927" t="s">
        <v>47111</v>
      </c>
      <c r="J9927" t="s">
        <v>47112</v>
      </c>
      <c r="K9927" t="s">
        <v>47113</v>
      </c>
      <c r="L9927">
        <v>38.17</v>
      </c>
      <c r="M9927">
        <v>88</v>
      </c>
      <c r="N9927">
        <v>0</v>
      </c>
      <c r="O9927">
        <v>88</v>
      </c>
      <c r="P9927">
        <v>0</v>
      </c>
    </row>
    <row r="9928" spans="1:16" x14ac:dyDescent="0.25">
      <c r="A9928" t="s">
        <v>32599</v>
      </c>
      <c r="B9928" t="s">
        <v>7250</v>
      </c>
      <c r="C9928" t="s">
        <v>7251</v>
      </c>
      <c r="D9928" t="s">
        <v>1718</v>
      </c>
      <c r="E9928" t="s">
        <v>1719</v>
      </c>
      <c r="F9928" t="s">
        <v>3</v>
      </c>
      <c r="G9928" t="s">
        <v>16231</v>
      </c>
      <c r="H9928" t="s">
        <v>47054</v>
      </c>
      <c r="I9928" t="s">
        <v>47111</v>
      </c>
      <c r="J9928" t="s">
        <v>47112</v>
      </c>
      <c r="K9928" t="s">
        <v>47113</v>
      </c>
      <c r="L9928">
        <v>32.47</v>
      </c>
      <c r="M9928">
        <v>77</v>
      </c>
      <c r="N9928">
        <v>0</v>
      </c>
      <c r="O9928">
        <v>77</v>
      </c>
      <c r="P9928">
        <v>0</v>
      </c>
    </row>
    <row r="9929" spans="1:16" x14ac:dyDescent="0.25">
      <c r="A9929" t="s">
        <v>32600</v>
      </c>
      <c r="B9929" t="s">
        <v>7250</v>
      </c>
      <c r="C9929" t="s">
        <v>7251</v>
      </c>
      <c r="D9929" t="s">
        <v>311</v>
      </c>
      <c r="E9929" t="s">
        <v>3479</v>
      </c>
      <c r="F9929" t="s">
        <v>3</v>
      </c>
      <c r="G9929" t="s">
        <v>16231</v>
      </c>
      <c r="H9929" t="s">
        <v>47054</v>
      </c>
      <c r="I9929" t="s">
        <v>47111</v>
      </c>
      <c r="J9929" t="s">
        <v>47112</v>
      </c>
      <c r="K9929" t="s">
        <v>47113</v>
      </c>
      <c r="L9929">
        <v>30.62</v>
      </c>
      <c r="M9929">
        <v>73</v>
      </c>
      <c r="N9929">
        <v>0</v>
      </c>
      <c r="O9929">
        <v>73</v>
      </c>
      <c r="P9929">
        <v>0</v>
      </c>
    </row>
    <row r="9930" spans="1:16" x14ac:dyDescent="0.25">
      <c r="A9930" t="s">
        <v>32601</v>
      </c>
      <c r="B9930" t="s">
        <v>7250</v>
      </c>
      <c r="C9930" t="s">
        <v>7251</v>
      </c>
      <c r="D9930" t="s">
        <v>2407</v>
      </c>
      <c r="E9930" t="s">
        <v>2408</v>
      </c>
      <c r="F9930" t="s">
        <v>5</v>
      </c>
      <c r="G9930" t="s">
        <v>16231</v>
      </c>
      <c r="H9930" t="s">
        <v>47054</v>
      </c>
      <c r="I9930" t="s">
        <v>47111</v>
      </c>
      <c r="J9930" t="s">
        <v>47112</v>
      </c>
      <c r="K9930" t="s">
        <v>47113</v>
      </c>
      <c r="L9930">
        <v>37.64</v>
      </c>
      <c r="M9930">
        <v>88</v>
      </c>
      <c r="N9930">
        <v>0</v>
      </c>
      <c r="O9930">
        <v>88</v>
      </c>
      <c r="P9930">
        <v>0</v>
      </c>
    </row>
    <row r="9931" spans="1:16" x14ac:dyDescent="0.25">
      <c r="A9931" t="s">
        <v>32602</v>
      </c>
      <c r="B9931" t="s">
        <v>7250</v>
      </c>
      <c r="C9931" t="s">
        <v>7251</v>
      </c>
      <c r="D9931" t="s">
        <v>7207</v>
      </c>
      <c r="E9931" t="s">
        <v>7208</v>
      </c>
      <c r="F9931" t="s">
        <v>2</v>
      </c>
      <c r="G9931" t="s">
        <v>16231</v>
      </c>
      <c r="H9931" t="s">
        <v>47054</v>
      </c>
      <c r="I9931" t="s">
        <v>47111</v>
      </c>
      <c r="J9931" t="s">
        <v>47112</v>
      </c>
      <c r="K9931" t="s">
        <v>47113</v>
      </c>
      <c r="L9931">
        <v>41.59</v>
      </c>
      <c r="M9931">
        <v>120</v>
      </c>
      <c r="N9931">
        <v>0</v>
      </c>
      <c r="O9931">
        <v>120</v>
      </c>
      <c r="P9931">
        <v>0</v>
      </c>
    </row>
    <row r="9932" spans="1:16" x14ac:dyDescent="0.25">
      <c r="A9932" t="s">
        <v>32603</v>
      </c>
      <c r="B9932" t="s">
        <v>7250</v>
      </c>
      <c r="C9932" t="s">
        <v>7251</v>
      </c>
      <c r="D9932" t="s">
        <v>6816</v>
      </c>
      <c r="E9932" t="s">
        <v>6817</v>
      </c>
      <c r="F9932" t="s">
        <v>2</v>
      </c>
      <c r="G9932" t="s">
        <v>16231</v>
      </c>
      <c r="H9932" t="s">
        <v>47054</v>
      </c>
      <c r="I9932" t="s">
        <v>47111</v>
      </c>
      <c r="J9932" t="s">
        <v>47112</v>
      </c>
      <c r="K9932" t="s">
        <v>47113</v>
      </c>
      <c r="L9932">
        <v>36.130000000000003</v>
      </c>
      <c r="M9932">
        <v>89</v>
      </c>
      <c r="N9932">
        <v>0</v>
      </c>
      <c r="O9932">
        <v>89</v>
      </c>
      <c r="P9932">
        <v>0</v>
      </c>
    </row>
    <row r="9933" spans="1:16" x14ac:dyDescent="0.25">
      <c r="A9933" t="s">
        <v>32604</v>
      </c>
      <c r="B9933" t="s">
        <v>7250</v>
      </c>
      <c r="C9933" t="s">
        <v>7251</v>
      </c>
      <c r="D9933" t="s">
        <v>921</v>
      </c>
      <c r="E9933" t="s">
        <v>922</v>
      </c>
      <c r="F9933" t="s">
        <v>2</v>
      </c>
      <c r="G9933" t="s">
        <v>16231</v>
      </c>
      <c r="H9933" t="s">
        <v>47054</v>
      </c>
      <c r="I9933" t="s">
        <v>47111</v>
      </c>
      <c r="J9933" t="s">
        <v>47112</v>
      </c>
      <c r="K9933" t="s">
        <v>47113</v>
      </c>
      <c r="L9933">
        <v>35.93</v>
      </c>
      <c r="M9933">
        <v>91</v>
      </c>
      <c r="N9933">
        <v>0</v>
      </c>
      <c r="O9933">
        <v>91</v>
      </c>
      <c r="P9933">
        <v>0</v>
      </c>
    </row>
    <row r="9934" spans="1:16" x14ac:dyDescent="0.25">
      <c r="A9934" t="s">
        <v>32605</v>
      </c>
      <c r="B9934" t="s">
        <v>7252</v>
      </c>
      <c r="C9934" t="s">
        <v>7253</v>
      </c>
      <c r="D9934" t="s">
        <v>2401</v>
      </c>
      <c r="E9934" t="s">
        <v>2402</v>
      </c>
      <c r="F9934" t="s">
        <v>5</v>
      </c>
      <c r="G9934" t="s">
        <v>16231</v>
      </c>
      <c r="H9934" t="s">
        <v>47054</v>
      </c>
      <c r="I9934" t="s">
        <v>47111</v>
      </c>
      <c r="J9934" t="s">
        <v>47112</v>
      </c>
      <c r="K9934" t="s">
        <v>47113</v>
      </c>
      <c r="L9934">
        <v>38.17</v>
      </c>
      <c r="M9934">
        <v>88</v>
      </c>
      <c r="N9934">
        <v>0</v>
      </c>
      <c r="O9934">
        <v>88</v>
      </c>
      <c r="P9934">
        <v>0</v>
      </c>
    </row>
    <row r="9935" spans="1:16" x14ac:dyDescent="0.25">
      <c r="A9935" t="s">
        <v>32606</v>
      </c>
      <c r="B9935" t="s">
        <v>7252</v>
      </c>
      <c r="C9935" t="s">
        <v>7253</v>
      </c>
      <c r="D9935" t="s">
        <v>1718</v>
      </c>
      <c r="E9935" t="s">
        <v>1719</v>
      </c>
      <c r="F9935" t="s">
        <v>5</v>
      </c>
      <c r="G9935" t="s">
        <v>16231</v>
      </c>
      <c r="H9935" t="s">
        <v>47054</v>
      </c>
      <c r="I9935" t="s">
        <v>47111</v>
      </c>
      <c r="J9935" t="s">
        <v>47112</v>
      </c>
      <c r="K9935" t="s">
        <v>47113</v>
      </c>
      <c r="L9935">
        <v>32.14</v>
      </c>
      <c r="M9935">
        <v>79</v>
      </c>
      <c r="N9935">
        <v>0</v>
      </c>
      <c r="O9935">
        <v>79</v>
      </c>
      <c r="P9935">
        <v>0</v>
      </c>
    </row>
    <row r="9936" spans="1:16" x14ac:dyDescent="0.25">
      <c r="A9936" t="s">
        <v>32607</v>
      </c>
      <c r="B9936" t="s">
        <v>7252</v>
      </c>
      <c r="C9936" t="s">
        <v>7253</v>
      </c>
      <c r="D9936" t="s">
        <v>2407</v>
      </c>
      <c r="E9936" t="s">
        <v>2408</v>
      </c>
      <c r="F9936" t="s">
        <v>5</v>
      </c>
      <c r="G9936" t="s">
        <v>16231</v>
      </c>
      <c r="H9936" t="s">
        <v>47054</v>
      </c>
      <c r="I9936" t="s">
        <v>47111</v>
      </c>
      <c r="J9936" t="s">
        <v>47112</v>
      </c>
      <c r="K9936" t="s">
        <v>47113</v>
      </c>
      <c r="L9936">
        <v>37.64</v>
      </c>
      <c r="M9936">
        <v>88</v>
      </c>
      <c r="N9936">
        <v>0</v>
      </c>
      <c r="O9936">
        <v>88</v>
      </c>
      <c r="P9936">
        <v>0</v>
      </c>
    </row>
    <row r="9937" spans="1:16" x14ac:dyDescent="0.25">
      <c r="A9937" t="s">
        <v>32608</v>
      </c>
      <c r="B9937" t="s">
        <v>7254</v>
      </c>
      <c r="C9937" t="s">
        <v>4343</v>
      </c>
      <c r="D9937" t="s">
        <v>7255</v>
      </c>
      <c r="E9937" t="s">
        <v>7256</v>
      </c>
      <c r="F9937" t="s">
        <v>5</v>
      </c>
      <c r="G9937" t="s">
        <v>16224</v>
      </c>
      <c r="H9937" t="s">
        <v>47054</v>
      </c>
      <c r="I9937" t="s">
        <v>47116</v>
      </c>
      <c r="J9937" t="s">
        <v>47117</v>
      </c>
      <c r="K9937" t="s">
        <v>47113</v>
      </c>
      <c r="L9937">
        <v>39.090000000000003</v>
      </c>
      <c r="M9937">
        <v>92</v>
      </c>
      <c r="N9937">
        <v>0</v>
      </c>
      <c r="O9937">
        <v>92</v>
      </c>
      <c r="P9937">
        <v>0</v>
      </c>
    </row>
    <row r="9938" spans="1:16" x14ac:dyDescent="0.25">
      <c r="A9938" t="s">
        <v>32609</v>
      </c>
      <c r="B9938" t="s">
        <v>7257</v>
      </c>
      <c r="C9938" t="s">
        <v>7258</v>
      </c>
      <c r="D9938" t="s">
        <v>7255</v>
      </c>
      <c r="E9938" t="s">
        <v>7256</v>
      </c>
      <c r="F9938" t="s">
        <v>5</v>
      </c>
      <c r="G9938" t="s">
        <v>16224</v>
      </c>
      <c r="H9938" t="s">
        <v>47054</v>
      </c>
      <c r="I9938" t="s">
        <v>47116</v>
      </c>
      <c r="J9938" t="s">
        <v>47117</v>
      </c>
      <c r="K9938" t="s">
        <v>47113</v>
      </c>
      <c r="L9938">
        <v>34.159999999999997</v>
      </c>
      <c r="M9938">
        <v>92</v>
      </c>
      <c r="N9938">
        <v>0</v>
      </c>
      <c r="O9938">
        <v>92</v>
      </c>
      <c r="P9938">
        <v>0</v>
      </c>
    </row>
    <row r="9939" spans="1:16" x14ac:dyDescent="0.25">
      <c r="A9939" t="s">
        <v>32610</v>
      </c>
      <c r="B9939" t="s">
        <v>7259</v>
      </c>
      <c r="C9939" t="s">
        <v>6880</v>
      </c>
      <c r="D9939" t="str">
        <f>"08"</f>
        <v>08</v>
      </c>
      <c r="E9939" t="s">
        <v>882</v>
      </c>
      <c r="F9939" t="s">
        <v>2</v>
      </c>
      <c r="G9939" t="s">
        <v>16231</v>
      </c>
      <c r="H9939" t="s">
        <v>47054</v>
      </c>
      <c r="I9939" t="s">
        <v>47111</v>
      </c>
      <c r="J9939" t="s">
        <v>47112</v>
      </c>
      <c r="K9939" t="s">
        <v>47113</v>
      </c>
      <c r="L9939">
        <v>30.62</v>
      </c>
      <c r="M9939">
        <v>88</v>
      </c>
      <c r="N9939">
        <v>0</v>
      </c>
      <c r="O9939">
        <v>88</v>
      </c>
      <c r="P9939">
        <v>0</v>
      </c>
    </row>
    <row r="9940" spans="1:16" x14ac:dyDescent="0.25">
      <c r="A9940" t="s">
        <v>32611</v>
      </c>
      <c r="B9940" t="s">
        <v>7259</v>
      </c>
      <c r="C9940" t="s">
        <v>6880</v>
      </c>
      <c r="D9940" t="str">
        <f>"15"</f>
        <v>15</v>
      </c>
      <c r="E9940" t="s">
        <v>878</v>
      </c>
      <c r="F9940" t="s">
        <v>2</v>
      </c>
      <c r="G9940" t="s">
        <v>16231</v>
      </c>
      <c r="H9940" t="s">
        <v>47054</v>
      </c>
      <c r="I9940" t="s">
        <v>47111</v>
      </c>
      <c r="J9940" t="s">
        <v>47112</v>
      </c>
      <c r="K9940" t="s">
        <v>47113</v>
      </c>
      <c r="L9940">
        <v>38.9</v>
      </c>
      <c r="M9940">
        <v>88</v>
      </c>
      <c r="N9940">
        <v>0</v>
      </c>
      <c r="O9940">
        <v>88</v>
      </c>
      <c r="P9940">
        <v>0</v>
      </c>
    </row>
    <row r="9941" spans="1:16" x14ac:dyDescent="0.25">
      <c r="A9941" t="s">
        <v>32612</v>
      </c>
      <c r="B9941" t="s">
        <v>7259</v>
      </c>
      <c r="C9941" t="s">
        <v>6880</v>
      </c>
      <c r="D9941" t="s">
        <v>7207</v>
      </c>
      <c r="E9941" t="s">
        <v>7208</v>
      </c>
      <c r="F9941" t="s">
        <v>2</v>
      </c>
      <c r="G9941" t="s">
        <v>16231</v>
      </c>
      <c r="H9941" t="s">
        <v>47054</v>
      </c>
      <c r="I9941" t="s">
        <v>47111</v>
      </c>
      <c r="J9941" t="s">
        <v>47112</v>
      </c>
      <c r="K9941" t="s">
        <v>47113</v>
      </c>
      <c r="L9941">
        <v>32.909999999999997</v>
      </c>
      <c r="M9941">
        <v>120</v>
      </c>
      <c r="N9941">
        <v>0</v>
      </c>
      <c r="O9941">
        <v>120</v>
      </c>
      <c r="P9941">
        <v>0</v>
      </c>
    </row>
    <row r="9942" spans="1:16" x14ac:dyDescent="0.25">
      <c r="A9942" t="s">
        <v>32613</v>
      </c>
      <c r="B9942" t="s">
        <v>7260</v>
      </c>
      <c r="C9942" t="s">
        <v>4796</v>
      </c>
      <c r="D9942" t="s">
        <v>4797</v>
      </c>
      <c r="E9942" t="s">
        <v>4798</v>
      </c>
      <c r="F9942" t="s">
        <v>2</v>
      </c>
      <c r="G9942" t="s">
        <v>16230</v>
      </c>
      <c r="H9942" t="s">
        <v>47054</v>
      </c>
      <c r="I9942" t="s">
        <v>47116</v>
      </c>
      <c r="J9942" t="s">
        <v>47117</v>
      </c>
      <c r="K9942" t="s">
        <v>47113</v>
      </c>
      <c r="L9942">
        <v>48.68</v>
      </c>
      <c r="M9942">
        <v>104</v>
      </c>
      <c r="N9942">
        <v>0</v>
      </c>
      <c r="O9942">
        <v>104</v>
      </c>
      <c r="P9942">
        <v>0</v>
      </c>
    </row>
    <row r="9943" spans="1:16" x14ac:dyDescent="0.25">
      <c r="A9943" t="s">
        <v>32614</v>
      </c>
      <c r="B9943" t="s">
        <v>7261</v>
      </c>
      <c r="C9943" t="s">
        <v>7262</v>
      </c>
      <c r="D9943" t="s">
        <v>721</v>
      </c>
      <c r="E9943" t="s">
        <v>722</v>
      </c>
      <c r="F9943" t="s">
        <v>5</v>
      </c>
      <c r="G9943" t="s">
        <v>16230</v>
      </c>
      <c r="H9943" t="s">
        <v>47054</v>
      </c>
      <c r="I9943" t="s">
        <v>47116</v>
      </c>
      <c r="J9943" t="s">
        <v>47117</v>
      </c>
      <c r="K9943" t="s">
        <v>47113</v>
      </c>
      <c r="L9943">
        <v>26.38</v>
      </c>
      <c r="M9943">
        <v>61</v>
      </c>
      <c r="N9943">
        <v>0</v>
      </c>
      <c r="O9943">
        <v>61</v>
      </c>
      <c r="P9943">
        <v>0</v>
      </c>
    </row>
    <row r="9944" spans="1:16" x14ac:dyDescent="0.25">
      <c r="A9944" t="s">
        <v>32615</v>
      </c>
      <c r="B9944" t="s">
        <v>7261</v>
      </c>
      <c r="C9944" t="s">
        <v>7262</v>
      </c>
      <c r="D9944" t="s">
        <v>7263</v>
      </c>
      <c r="E9944" t="s">
        <v>7264</v>
      </c>
      <c r="F9944" t="s">
        <v>5</v>
      </c>
      <c r="G9944" t="s">
        <v>16230</v>
      </c>
      <c r="H9944" t="s">
        <v>47054</v>
      </c>
      <c r="I9944" t="s">
        <v>47116</v>
      </c>
      <c r="J9944" t="s">
        <v>47117</v>
      </c>
      <c r="K9944" t="s">
        <v>47113</v>
      </c>
      <c r="L9944">
        <v>32.54</v>
      </c>
      <c r="M9944">
        <v>77</v>
      </c>
      <c r="N9944">
        <v>0</v>
      </c>
      <c r="O9944">
        <v>77</v>
      </c>
      <c r="P9944">
        <v>0</v>
      </c>
    </row>
    <row r="9945" spans="1:16" x14ac:dyDescent="0.25">
      <c r="A9945" t="s">
        <v>32616</v>
      </c>
      <c r="B9945" t="s">
        <v>7265</v>
      </c>
      <c r="C9945" t="s">
        <v>7266</v>
      </c>
      <c r="D9945" t="str">
        <f>"1322"</f>
        <v>1322</v>
      </c>
      <c r="E9945" t="s">
        <v>6490</v>
      </c>
      <c r="F9945" t="s">
        <v>7</v>
      </c>
      <c r="G9945" t="s">
        <v>46686</v>
      </c>
      <c r="H9945" t="s">
        <v>47054</v>
      </c>
      <c r="I9945" t="s">
        <v>47114</v>
      </c>
      <c r="J9945" t="s">
        <v>47115</v>
      </c>
      <c r="K9945" t="s">
        <v>47113</v>
      </c>
      <c r="L9945">
        <v>20.55</v>
      </c>
      <c r="M9945">
        <v>53</v>
      </c>
      <c r="N9945">
        <v>0</v>
      </c>
      <c r="O9945">
        <v>53</v>
      </c>
      <c r="P9945">
        <v>0</v>
      </c>
    </row>
    <row r="9946" spans="1:16" x14ac:dyDescent="0.25">
      <c r="A9946" t="s">
        <v>32617</v>
      </c>
      <c r="B9946" t="s">
        <v>7267</v>
      </c>
      <c r="C9946" t="s">
        <v>17612</v>
      </c>
      <c r="D9946" t="s">
        <v>7268</v>
      </c>
      <c r="E9946" t="s">
        <v>7269</v>
      </c>
      <c r="F9946" t="s">
        <v>3558</v>
      </c>
      <c r="G9946" t="s">
        <v>16231</v>
      </c>
      <c r="H9946" t="s">
        <v>47054</v>
      </c>
      <c r="I9946" t="s">
        <v>47111</v>
      </c>
      <c r="J9946" t="s">
        <v>47112</v>
      </c>
      <c r="K9946" t="s">
        <v>47113</v>
      </c>
      <c r="L9946">
        <v>48.01</v>
      </c>
      <c r="M9946">
        <v>92</v>
      </c>
      <c r="N9946">
        <v>0</v>
      </c>
      <c r="O9946">
        <v>92</v>
      </c>
      <c r="P9946">
        <v>0</v>
      </c>
    </row>
    <row r="9947" spans="1:16" x14ac:dyDescent="0.25">
      <c r="A9947" t="s">
        <v>32618</v>
      </c>
      <c r="B9947" t="s">
        <v>7270</v>
      </c>
      <c r="C9947" t="s">
        <v>7271</v>
      </c>
      <c r="D9947" t="s">
        <v>7272</v>
      </c>
      <c r="E9947" t="s">
        <v>7273</v>
      </c>
      <c r="F9947" t="s">
        <v>5</v>
      </c>
      <c r="G9947" t="s">
        <v>16231</v>
      </c>
      <c r="H9947" t="s">
        <v>47054</v>
      </c>
      <c r="I9947" t="s">
        <v>47111</v>
      </c>
      <c r="J9947" t="s">
        <v>47112</v>
      </c>
      <c r="K9947" t="s">
        <v>47113</v>
      </c>
      <c r="L9947">
        <v>53.97</v>
      </c>
      <c r="M9947">
        <v>127</v>
      </c>
      <c r="N9947">
        <v>0</v>
      </c>
      <c r="O9947">
        <v>127</v>
      </c>
      <c r="P9947">
        <v>0</v>
      </c>
    </row>
    <row r="9948" spans="1:16" x14ac:dyDescent="0.25">
      <c r="A9948" t="s">
        <v>32619</v>
      </c>
      <c r="B9948" t="s">
        <v>7270</v>
      </c>
      <c r="C9948" t="s">
        <v>7271</v>
      </c>
      <c r="D9948" t="s">
        <v>739</v>
      </c>
      <c r="E9948" t="s">
        <v>740</v>
      </c>
      <c r="F9948" t="s">
        <v>5</v>
      </c>
      <c r="G9948" t="s">
        <v>16231</v>
      </c>
      <c r="H9948" t="s">
        <v>47054</v>
      </c>
      <c r="I9948" t="s">
        <v>47111</v>
      </c>
      <c r="J9948" t="s">
        <v>47112</v>
      </c>
      <c r="K9948" t="s">
        <v>47113</v>
      </c>
      <c r="L9948">
        <v>45.01</v>
      </c>
      <c r="M9948">
        <v>96</v>
      </c>
      <c r="N9948">
        <v>0</v>
      </c>
      <c r="O9948">
        <v>96</v>
      </c>
      <c r="P9948">
        <v>0</v>
      </c>
    </row>
    <row r="9949" spans="1:16" x14ac:dyDescent="0.25">
      <c r="A9949" t="s">
        <v>32620</v>
      </c>
      <c r="B9949" t="s">
        <v>7274</v>
      </c>
      <c r="C9949" t="s">
        <v>7275</v>
      </c>
      <c r="D9949" t="str">
        <f>"6470"</f>
        <v>6470</v>
      </c>
      <c r="E9949" t="s">
        <v>7276</v>
      </c>
      <c r="F9949" t="s">
        <v>2068</v>
      </c>
      <c r="G9949" t="s">
        <v>16231</v>
      </c>
      <c r="H9949" t="s">
        <v>47054</v>
      </c>
      <c r="I9949" t="s">
        <v>47111</v>
      </c>
      <c r="J9949" t="s">
        <v>47112</v>
      </c>
      <c r="K9949" t="s">
        <v>47113</v>
      </c>
      <c r="L9949">
        <v>70.09</v>
      </c>
      <c r="M9949">
        <v>159</v>
      </c>
      <c r="N9949">
        <v>0</v>
      </c>
      <c r="O9949">
        <v>159</v>
      </c>
      <c r="P9949">
        <v>0</v>
      </c>
    </row>
    <row r="9950" spans="1:16" x14ac:dyDescent="0.25">
      <c r="A9950" t="s">
        <v>32621</v>
      </c>
      <c r="B9950" t="s">
        <v>7277</v>
      </c>
      <c r="C9950" t="s">
        <v>20500</v>
      </c>
      <c r="D9950" t="s">
        <v>7278</v>
      </c>
      <c r="E9950" t="s">
        <v>7279</v>
      </c>
      <c r="F9950" t="s">
        <v>3670</v>
      </c>
      <c r="G9950" t="s">
        <v>16231</v>
      </c>
      <c r="H9950" t="s">
        <v>47054</v>
      </c>
      <c r="I9950" t="s">
        <v>47111</v>
      </c>
      <c r="J9950" t="s">
        <v>47112</v>
      </c>
      <c r="K9950" t="s">
        <v>47113</v>
      </c>
      <c r="L9950">
        <v>69.8</v>
      </c>
      <c r="M9950">
        <v>148</v>
      </c>
      <c r="N9950">
        <v>0</v>
      </c>
      <c r="O9950">
        <v>148</v>
      </c>
      <c r="P9950">
        <v>0</v>
      </c>
    </row>
    <row r="9951" spans="1:16" x14ac:dyDescent="0.25">
      <c r="A9951" t="s">
        <v>32622</v>
      </c>
      <c r="B9951" t="s">
        <v>7280</v>
      </c>
      <c r="C9951" t="s">
        <v>7281</v>
      </c>
      <c r="D9951" t="str">
        <f>"78"</f>
        <v>78</v>
      </c>
      <c r="E9951" t="s">
        <v>5106</v>
      </c>
      <c r="F9951" t="s">
        <v>2</v>
      </c>
      <c r="G9951" t="s">
        <v>16231</v>
      </c>
      <c r="H9951" t="s">
        <v>47054</v>
      </c>
      <c r="I9951" t="s">
        <v>47111</v>
      </c>
      <c r="J9951" t="s">
        <v>47112</v>
      </c>
      <c r="K9951" t="s">
        <v>47113</v>
      </c>
      <c r="L9951">
        <v>56.85</v>
      </c>
      <c r="M9951">
        <v>120</v>
      </c>
      <c r="N9951">
        <v>0</v>
      </c>
      <c r="O9951">
        <v>120</v>
      </c>
      <c r="P9951">
        <v>0</v>
      </c>
    </row>
    <row r="9952" spans="1:16" x14ac:dyDescent="0.25">
      <c r="A9952" t="s">
        <v>32623</v>
      </c>
      <c r="B9952" t="s">
        <v>7280</v>
      </c>
      <c r="C9952" t="s">
        <v>7281</v>
      </c>
      <c r="D9952" t="s">
        <v>2468</v>
      </c>
      <c r="E9952" t="s">
        <v>2469</v>
      </c>
      <c r="F9952" t="s">
        <v>2</v>
      </c>
      <c r="G9952" t="s">
        <v>16231</v>
      </c>
      <c r="H9952" t="s">
        <v>47054</v>
      </c>
      <c r="I9952" t="s">
        <v>47111</v>
      </c>
      <c r="J9952" t="s">
        <v>47112</v>
      </c>
      <c r="K9952" t="s">
        <v>47113</v>
      </c>
      <c r="L9952">
        <v>59.62</v>
      </c>
      <c r="M9952">
        <v>128</v>
      </c>
      <c r="N9952">
        <v>0</v>
      </c>
      <c r="O9952">
        <v>128</v>
      </c>
      <c r="P9952">
        <v>0</v>
      </c>
    </row>
    <row r="9953" spans="1:16" x14ac:dyDescent="0.25">
      <c r="A9953" t="s">
        <v>32624</v>
      </c>
      <c r="B9953" t="s">
        <v>7280</v>
      </c>
      <c r="C9953" t="s">
        <v>7281</v>
      </c>
      <c r="D9953" t="s">
        <v>2407</v>
      </c>
      <c r="E9953" t="s">
        <v>2408</v>
      </c>
      <c r="F9953" t="s">
        <v>2</v>
      </c>
      <c r="G9953" t="s">
        <v>16231</v>
      </c>
      <c r="H9953" t="s">
        <v>47054</v>
      </c>
      <c r="I9953" t="s">
        <v>47111</v>
      </c>
      <c r="J9953" t="s">
        <v>47112</v>
      </c>
      <c r="K9953" t="s">
        <v>47113</v>
      </c>
      <c r="L9953">
        <v>54.07</v>
      </c>
      <c r="M9953">
        <v>120</v>
      </c>
      <c r="N9953">
        <v>0</v>
      </c>
      <c r="O9953">
        <v>120</v>
      </c>
      <c r="P9953">
        <v>0</v>
      </c>
    </row>
    <row r="9954" spans="1:16" x14ac:dyDescent="0.25">
      <c r="A9954" t="s">
        <v>32625</v>
      </c>
      <c r="B9954" t="s">
        <v>7280</v>
      </c>
      <c r="C9954" t="s">
        <v>7281</v>
      </c>
      <c r="D9954" t="s">
        <v>1046</v>
      </c>
      <c r="E9954" t="s">
        <v>1047</v>
      </c>
      <c r="F9954" t="s">
        <v>2</v>
      </c>
      <c r="G9954" t="s">
        <v>16231</v>
      </c>
      <c r="H9954" t="s">
        <v>47054</v>
      </c>
      <c r="I9954" t="s">
        <v>47111</v>
      </c>
      <c r="J9954" t="s">
        <v>47112</v>
      </c>
      <c r="K9954" t="s">
        <v>47113</v>
      </c>
      <c r="L9954">
        <v>57.96</v>
      </c>
      <c r="M9954">
        <v>132</v>
      </c>
      <c r="N9954">
        <v>0</v>
      </c>
      <c r="O9954">
        <v>132</v>
      </c>
      <c r="P9954">
        <v>0</v>
      </c>
    </row>
    <row r="9955" spans="1:16" x14ac:dyDescent="0.25">
      <c r="A9955" t="s">
        <v>32626</v>
      </c>
      <c r="B9955" t="s">
        <v>7282</v>
      </c>
      <c r="C9955" t="s">
        <v>7281</v>
      </c>
      <c r="D9955" t="str">
        <f>"78"</f>
        <v>78</v>
      </c>
      <c r="E9955" t="s">
        <v>5106</v>
      </c>
      <c r="F9955" t="s">
        <v>2</v>
      </c>
      <c r="G9955" t="s">
        <v>16231</v>
      </c>
      <c r="H9955" t="s">
        <v>47054</v>
      </c>
      <c r="I9955" t="s">
        <v>47111</v>
      </c>
      <c r="J9955" t="s">
        <v>47112</v>
      </c>
      <c r="K9955" t="s">
        <v>47113</v>
      </c>
      <c r="L9955">
        <v>56.85</v>
      </c>
      <c r="M9955">
        <v>120</v>
      </c>
      <c r="N9955">
        <v>0</v>
      </c>
      <c r="O9955">
        <v>120</v>
      </c>
      <c r="P9955">
        <v>0</v>
      </c>
    </row>
    <row r="9956" spans="1:16" x14ac:dyDescent="0.25">
      <c r="A9956" t="s">
        <v>32627</v>
      </c>
      <c r="B9956" t="s">
        <v>7282</v>
      </c>
      <c r="C9956" t="s">
        <v>7281</v>
      </c>
      <c r="D9956" t="s">
        <v>2468</v>
      </c>
      <c r="E9956" t="s">
        <v>2469</v>
      </c>
      <c r="F9956" t="s">
        <v>2</v>
      </c>
      <c r="G9956" t="s">
        <v>16231</v>
      </c>
      <c r="H9956" t="s">
        <v>47054</v>
      </c>
      <c r="I9956" t="s">
        <v>47111</v>
      </c>
      <c r="J9956" t="s">
        <v>47112</v>
      </c>
      <c r="K9956" t="s">
        <v>47113</v>
      </c>
      <c r="L9956">
        <v>59.62</v>
      </c>
      <c r="M9956">
        <v>128</v>
      </c>
      <c r="N9956">
        <v>0</v>
      </c>
      <c r="O9956">
        <v>128</v>
      </c>
      <c r="P9956">
        <v>0</v>
      </c>
    </row>
    <row r="9957" spans="1:16" x14ac:dyDescent="0.25">
      <c r="A9957" t="s">
        <v>32628</v>
      </c>
      <c r="B9957" t="s">
        <v>7282</v>
      </c>
      <c r="C9957" t="s">
        <v>7281</v>
      </c>
      <c r="D9957" t="s">
        <v>2407</v>
      </c>
      <c r="E9957" t="s">
        <v>2408</v>
      </c>
      <c r="F9957" t="s">
        <v>2</v>
      </c>
      <c r="G9957" t="s">
        <v>16231</v>
      </c>
      <c r="H9957" t="s">
        <v>47054</v>
      </c>
      <c r="I9957" t="s">
        <v>47111</v>
      </c>
      <c r="J9957" t="s">
        <v>47112</v>
      </c>
      <c r="K9957" t="s">
        <v>47113</v>
      </c>
      <c r="L9957">
        <v>54.38</v>
      </c>
      <c r="M9957">
        <v>120</v>
      </c>
      <c r="N9957">
        <v>0</v>
      </c>
      <c r="O9957">
        <v>120</v>
      </c>
      <c r="P9957">
        <v>0</v>
      </c>
    </row>
    <row r="9958" spans="1:16" x14ac:dyDescent="0.25">
      <c r="A9958" t="s">
        <v>32629</v>
      </c>
      <c r="B9958" t="s">
        <v>7282</v>
      </c>
      <c r="C9958" t="s">
        <v>7281</v>
      </c>
      <c r="D9958" t="s">
        <v>1046</v>
      </c>
      <c r="E9958" t="s">
        <v>1047</v>
      </c>
      <c r="F9958" t="s">
        <v>2</v>
      </c>
      <c r="G9958" t="s">
        <v>16231</v>
      </c>
      <c r="H9958" t="s">
        <v>47054</v>
      </c>
      <c r="I9958" t="s">
        <v>47111</v>
      </c>
      <c r="J9958" t="s">
        <v>47112</v>
      </c>
      <c r="K9958" t="s">
        <v>47113</v>
      </c>
      <c r="L9958">
        <v>57.96</v>
      </c>
      <c r="M9958">
        <v>132</v>
      </c>
      <c r="N9958">
        <v>0</v>
      </c>
      <c r="O9958">
        <v>132</v>
      </c>
      <c r="P9958">
        <v>0</v>
      </c>
    </row>
    <row r="9959" spans="1:16" x14ac:dyDescent="0.25">
      <c r="A9959" t="s">
        <v>32630</v>
      </c>
      <c r="B9959" t="s">
        <v>7283</v>
      </c>
      <c r="C9959" t="s">
        <v>7281</v>
      </c>
      <c r="D9959" t="str">
        <f>"78"</f>
        <v>78</v>
      </c>
      <c r="E9959" t="s">
        <v>5106</v>
      </c>
      <c r="F9959" t="s">
        <v>2</v>
      </c>
      <c r="G9959" t="s">
        <v>16231</v>
      </c>
      <c r="H9959" t="s">
        <v>47054</v>
      </c>
      <c r="I9959" t="s">
        <v>47111</v>
      </c>
      <c r="J9959" t="s">
        <v>47112</v>
      </c>
      <c r="K9959" t="s">
        <v>47113</v>
      </c>
      <c r="L9959">
        <v>54.94</v>
      </c>
      <c r="M9959">
        <v>120</v>
      </c>
      <c r="N9959">
        <v>0</v>
      </c>
      <c r="O9959">
        <v>120</v>
      </c>
      <c r="P9959">
        <v>0</v>
      </c>
    </row>
    <row r="9960" spans="1:16" x14ac:dyDescent="0.25">
      <c r="A9960" t="s">
        <v>32631</v>
      </c>
      <c r="B9960" t="s">
        <v>7283</v>
      </c>
      <c r="C9960" t="s">
        <v>7281</v>
      </c>
      <c r="D9960" t="s">
        <v>2468</v>
      </c>
      <c r="E9960" t="s">
        <v>2469</v>
      </c>
      <c r="F9960" t="s">
        <v>2</v>
      </c>
      <c r="G9960" t="s">
        <v>16231</v>
      </c>
      <c r="H9960" t="s">
        <v>47054</v>
      </c>
      <c r="I9960" t="s">
        <v>47111</v>
      </c>
      <c r="J9960" t="s">
        <v>47112</v>
      </c>
      <c r="K9960" t="s">
        <v>47113</v>
      </c>
      <c r="L9960">
        <v>58.9</v>
      </c>
      <c r="M9960">
        <v>128</v>
      </c>
      <c r="N9960">
        <v>0</v>
      </c>
      <c r="O9960">
        <v>128</v>
      </c>
      <c r="P9960">
        <v>0</v>
      </c>
    </row>
    <row r="9961" spans="1:16" x14ac:dyDescent="0.25">
      <c r="A9961" t="s">
        <v>32632</v>
      </c>
      <c r="B9961" t="s">
        <v>7283</v>
      </c>
      <c r="C9961" t="s">
        <v>7281</v>
      </c>
      <c r="D9961" t="s">
        <v>2407</v>
      </c>
      <c r="E9961" t="s">
        <v>2408</v>
      </c>
      <c r="F9961" t="s">
        <v>2</v>
      </c>
      <c r="G9961" t="s">
        <v>16231</v>
      </c>
      <c r="H9961" t="s">
        <v>47054</v>
      </c>
      <c r="I9961" t="s">
        <v>47111</v>
      </c>
      <c r="J9961" t="s">
        <v>47112</v>
      </c>
      <c r="K9961" t="s">
        <v>47113</v>
      </c>
      <c r="L9961">
        <v>53.35</v>
      </c>
      <c r="M9961">
        <v>120</v>
      </c>
      <c r="N9961">
        <v>0</v>
      </c>
      <c r="O9961">
        <v>120</v>
      </c>
      <c r="P9961">
        <v>0</v>
      </c>
    </row>
    <row r="9962" spans="1:16" x14ac:dyDescent="0.25">
      <c r="A9962" t="s">
        <v>32633</v>
      </c>
      <c r="B9962" t="s">
        <v>7283</v>
      </c>
      <c r="C9962" t="s">
        <v>7281</v>
      </c>
      <c r="D9962" t="s">
        <v>1046</v>
      </c>
      <c r="E9962" t="s">
        <v>1047</v>
      </c>
      <c r="F9962" t="s">
        <v>2</v>
      </c>
      <c r="G9962" t="s">
        <v>16231</v>
      </c>
      <c r="H9962" t="s">
        <v>47054</v>
      </c>
      <c r="I9962" t="s">
        <v>47111</v>
      </c>
      <c r="J9962" t="s">
        <v>47112</v>
      </c>
      <c r="K9962" t="s">
        <v>47113</v>
      </c>
      <c r="L9962">
        <v>57.24</v>
      </c>
      <c r="M9962">
        <v>132</v>
      </c>
      <c r="N9962">
        <v>0</v>
      </c>
      <c r="O9962">
        <v>132</v>
      </c>
      <c r="P9962">
        <v>0</v>
      </c>
    </row>
    <row r="9963" spans="1:16" x14ac:dyDescent="0.25">
      <c r="A9963" t="s">
        <v>32634</v>
      </c>
      <c r="B9963" t="s">
        <v>7284</v>
      </c>
      <c r="C9963" t="s">
        <v>7281</v>
      </c>
      <c r="D9963" t="str">
        <f>"78"</f>
        <v>78</v>
      </c>
      <c r="E9963" t="s">
        <v>5106</v>
      </c>
      <c r="F9963" t="s">
        <v>2</v>
      </c>
      <c r="G9963" t="s">
        <v>16231</v>
      </c>
      <c r="H9963" t="s">
        <v>47054</v>
      </c>
      <c r="I9963" t="s">
        <v>47111</v>
      </c>
      <c r="J9963" t="s">
        <v>47112</v>
      </c>
      <c r="K9963" t="s">
        <v>47113</v>
      </c>
      <c r="L9963">
        <v>56.12</v>
      </c>
      <c r="M9963">
        <v>120</v>
      </c>
      <c r="N9963">
        <v>0</v>
      </c>
      <c r="O9963">
        <v>120</v>
      </c>
      <c r="P9963">
        <v>0</v>
      </c>
    </row>
    <row r="9964" spans="1:16" x14ac:dyDescent="0.25">
      <c r="A9964" t="s">
        <v>32635</v>
      </c>
      <c r="B9964" t="s">
        <v>7284</v>
      </c>
      <c r="C9964" t="s">
        <v>7281</v>
      </c>
      <c r="D9964" t="s">
        <v>2468</v>
      </c>
      <c r="E9964" t="s">
        <v>2469</v>
      </c>
      <c r="F9964" t="s">
        <v>2</v>
      </c>
      <c r="G9964" t="s">
        <v>16231</v>
      </c>
      <c r="H9964" t="s">
        <v>47054</v>
      </c>
      <c r="I9964" t="s">
        <v>47111</v>
      </c>
      <c r="J9964" t="s">
        <v>47112</v>
      </c>
      <c r="K9964" t="s">
        <v>47113</v>
      </c>
      <c r="L9964">
        <v>58.9</v>
      </c>
      <c r="M9964">
        <v>128</v>
      </c>
      <c r="N9964">
        <v>0</v>
      </c>
      <c r="O9964">
        <v>128</v>
      </c>
      <c r="P9964">
        <v>0</v>
      </c>
    </row>
    <row r="9965" spans="1:16" x14ac:dyDescent="0.25">
      <c r="A9965" t="s">
        <v>32636</v>
      </c>
      <c r="B9965" t="s">
        <v>7284</v>
      </c>
      <c r="C9965" t="s">
        <v>7281</v>
      </c>
      <c r="D9965" t="s">
        <v>2407</v>
      </c>
      <c r="E9965" t="s">
        <v>2408</v>
      </c>
      <c r="F9965" t="s">
        <v>2</v>
      </c>
      <c r="G9965" t="s">
        <v>16231</v>
      </c>
      <c r="H9965" t="s">
        <v>47054</v>
      </c>
      <c r="I9965" t="s">
        <v>47111</v>
      </c>
      <c r="J9965" t="s">
        <v>47112</v>
      </c>
      <c r="K9965" t="s">
        <v>47113</v>
      </c>
      <c r="L9965">
        <v>53.46</v>
      </c>
      <c r="M9965">
        <v>120</v>
      </c>
      <c r="N9965">
        <v>0</v>
      </c>
      <c r="O9965">
        <v>120</v>
      </c>
      <c r="P9965">
        <v>0</v>
      </c>
    </row>
    <row r="9966" spans="1:16" x14ac:dyDescent="0.25">
      <c r="A9966" t="s">
        <v>32637</v>
      </c>
      <c r="B9966" t="s">
        <v>7284</v>
      </c>
      <c r="C9966" t="s">
        <v>7281</v>
      </c>
      <c r="D9966" t="s">
        <v>1046</v>
      </c>
      <c r="E9966" t="s">
        <v>1047</v>
      </c>
      <c r="F9966" t="s">
        <v>2</v>
      </c>
      <c r="G9966" t="s">
        <v>16231</v>
      </c>
      <c r="H9966" t="s">
        <v>47054</v>
      </c>
      <c r="I9966" t="s">
        <v>47111</v>
      </c>
      <c r="J9966" t="s">
        <v>47112</v>
      </c>
      <c r="K9966" t="s">
        <v>47113</v>
      </c>
      <c r="L9966">
        <v>57.24</v>
      </c>
      <c r="M9966">
        <v>132</v>
      </c>
      <c r="N9966">
        <v>0</v>
      </c>
      <c r="O9966">
        <v>132</v>
      </c>
      <c r="P9966">
        <v>0</v>
      </c>
    </row>
    <row r="9967" spans="1:16" x14ac:dyDescent="0.25">
      <c r="A9967" t="s">
        <v>32638</v>
      </c>
      <c r="B9967" t="s">
        <v>7285</v>
      </c>
      <c r="C9967" t="s">
        <v>7286</v>
      </c>
      <c r="D9967" t="s">
        <v>7287</v>
      </c>
      <c r="E9967" t="s">
        <v>7288</v>
      </c>
      <c r="F9967" t="s">
        <v>2068</v>
      </c>
      <c r="G9967" t="s">
        <v>47122</v>
      </c>
      <c r="H9967" t="s">
        <v>47054</v>
      </c>
      <c r="I9967" t="s">
        <v>47111</v>
      </c>
      <c r="J9967" t="s">
        <v>47112</v>
      </c>
      <c r="K9967" t="s">
        <v>47113</v>
      </c>
      <c r="L9967">
        <v>36.520000000000003</v>
      </c>
      <c r="M9967">
        <v>83</v>
      </c>
      <c r="N9967">
        <v>0</v>
      </c>
      <c r="O9967">
        <v>83</v>
      </c>
      <c r="P9967">
        <v>0</v>
      </c>
    </row>
    <row r="9968" spans="1:16" x14ac:dyDescent="0.25">
      <c r="A9968" t="s">
        <v>32639</v>
      </c>
      <c r="B9968" t="s">
        <v>7289</v>
      </c>
      <c r="C9968" t="s">
        <v>7290</v>
      </c>
      <c r="D9968" t="s">
        <v>7291</v>
      </c>
      <c r="E9968" t="s">
        <v>7292</v>
      </c>
      <c r="F9968" t="s">
        <v>3670</v>
      </c>
      <c r="G9968" t="s">
        <v>16231</v>
      </c>
      <c r="H9968" t="s">
        <v>47054</v>
      </c>
      <c r="I9968" t="s">
        <v>47111</v>
      </c>
      <c r="J9968" t="s">
        <v>47112</v>
      </c>
      <c r="K9968" t="s">
        <v>47113</v>
      </c>
      <c r="L9968">
        <v>65.25</v>
      </c>
      <c r="M9968">
        <v>122</v>
      </c>
      <c r="N9968">
        <v>0</v>
      </c>
      <c r="O9968">
        <v>122</v>
      </c>
      <c r="P9968">
        <v>0</v>
      </c>
    </row>
    <row r="9969" spans="1:16" x14ac:dyDescent="0.25">
      <c r="A9969" t="s">
        <v>32640</v>
      </c>
      <c r="B9969" t="s">
        <v>7293</v>
      </c>
      <c r="C9969" t="s">
        <v>7294</v>
      </c>
      <c r="D9969" t="s">
        <v>7295</v>
      </c>
      <c r="E9969" t="s">
        <v>7296</v>
      </c>
      <c r="F9969" t="s">
        <v>3546</v>
      </c>
      <c r="G9969" t="s">
        <v>16231</v>
      </c>
      <c r="H9969" t="s">
        <v>47054</v>
      </c>
      <c r="I9969" t="s">
        <v>47111</v>
      </c>
      <c r="J9969" t="s">
        <v>47112</v>
      </c>
      <c r="K9969" t="s">
        <v>47113</v>
      </c>
      <c r="L9969">
        <v>67.31</v>
      </c>
      <c r="M9969">
        <v>144</v>
      </c>
      <c r="N9969">
        <v>0</v>
      </c>
      <c r="O9969">
        <v>144</v>
      </c>
      <c r="P9969">
        <v>0</v>
      </c>
    </row>
    <row r="9970" spans="1:16" x14ac:dyDescent="0.25">
      <c r="A9970" t="s">
        <v>32641</v>
      </c>
      <c r="B9970" t="s">
        <v>7297</v>
      </c>
      <c r="C9970" t="s">
        <v>7298</v>
      </c>
      <c r="D9970" t="s">
        <v>7295</v>
      </c>
      <c r="E9970" t="s">
        <v>7296</v>
      </c>
      <c r="F9970" t="s">
        <v>3546</v>
      </c>
      <c r="G9970" t="s">
        <v>16231</v>
      </c>
      <c r="H9970" t="s">
        <v>47054</v>
      </c>
      <c r="K9970" t="s">
        <v>47113</v>
      </c>
      <c r="L9970">
        <v>64.88</v>
      </c>
      <c r="M9970">
        <v>144</v>
      </c>
      <c r="N9970">
        <v>0</v>
      </c>
      <c r="O9970">
        <v>144</v>
      </c>
      <c r="P9970">
        <v>0</v>
      </c>
    </row>
    <row r="9971" spans="1:16" x14ac:dyDescent="0.25">
      <c r="A9971" t="s">
        <v>32642</v>
      </c>
      <c r="B9971" t="s">
        <v>7299</v>
      </c>
      <c r="C9971" t="s">
        <v>17613</v>
      </c>
      <c r="D9971" t="s">
        <v>7300</v>
      </c>
      <c r="E9971" t="s">
        <v>7301</v>
      </c>
      <c r="F9971" t="s">
        <v>3558</v>
      </c>
      <c r="G9971" t="s">
        <v>16231</v>
      </c>
      <c r="H9971" t="s">
        <v>47054</v>
      </c>
      <c r="I9971" t="s">
        <v>47111</v>
      </c>
      <c r="J9971" t="s">
        <v>47112</v>
      </c>
      <c r="K9971" t="s">
        <v>47113</v>
      </c>
      <c r="L9971">
        <v>80.7</v>
      </c>
      <c r="M9971">
        <v>140</v>
      </c>
      <c r="N9971">
        <v>0</v>
      </c>
      <c r="O9971">
        <v>140</v>
      </c>
      <c r="P9971">
        <v>0</v>
      </c>
    </row>
    <row r="9972" spans="1:16" x14ac:dyDescent="0.25">
      <c r="A9972" t="s">
        <v>32643</v>
      </c>
      <c r="B9972" t="s">
        <v>7302</v>
      </c>
      <c r="C9972" t="s">
        <v>16250</v>
      </c>
      <c r="D9972" t="s">
        <v>7300</v>
      </c>
      <c r="E9972" t="s">
        <v>7301</v>
      </c>
      <c r="F9972" t="s">
        <v>3558</v>
      </c>
      <c r="G9972" t="s">
        <v>16231</v>
      </c>
      <c r="H9972" t="s">
        <v>47054</v>
      </c>
      <c r="I9972" t="s">
        <v>47111</v>
      </c>
      <c r="J9972" t="s">
        <v>47112</v>
      </c>
      <c r="K9972" t="s">
        <v>47113</v>
      </c>
      <c r="L9972">
        <v>83.57</v>
      </c>
      <c r="M9972">
        <v>140</v>
      </c>
      <c r="N9972">
        <v>0</v>
      </c>
      <c r="O9972">
        <v>140</v>
      </c>
      <c r="P9972">
        <v>0</v>
      </c>
    </row>
    <row r="9973" spans="1:16" x14ac:dyDescent="0.25">
      <c r="A9973" t="s">
        <v>32644</v>
      </c>
      <c r="B9973" t="s">
        <v>7303</v>
      </c>
      <c r="C9973" t="s">
        <v>17396</v>
      </c>
      <c r="D9973" t="s">
        <v>7268</v>
      </c>
      <c r="E9973" t="s">
        <v>7269</v>
      </c>
      <c r="F9973" t="s">
        <v>3558</v>
      </c>
      <c r="G9973" t="s">
        <v>16231</v>
      </c>
      <c r="H9973" t="s">
        <v>47054</v>
      </c>
      <c r="I9973" t="s">
        <v>47111</v>
      </c>
      <c r="J9973" t="s">
        <v>47112</v>
      </c>
      <c r="K9973" t="s">
        <v>47113</v>
      </c>
      <c r="L9973">
        <v>48.65</v>
      </c>
      <c r="M9973">
        <v>92</v>
      </c>
      <c r="N9973">
        <v>0</v>
      </c>
      <c r="O9973">
        <v>92</v>
      </c>
      <c r="P9973">
        <v>0</v>
      </c>
    </row>
    <row r="9974" spans="1:16" x14ac:dyDescent="0.25">
      <c r="A9974" t="s">
        <v>32645</v>
      </c>
      <c r="B9974" t="s">
        <v>7304</v>
      </c>
      <c r="C9974" t="s">
        <v>7305</v>
      </c>
      <c r="D9974" t="s">
        <v>7272</v>
      </c>
      <c r="E9974" t="s">
        <v>7273</v>
      </c>
      <c r="F9974" t="s">
        <v>5</v>
      </c>
      <c r="G9974" t="s">
        <v>16231</v>
      </c>
      <c r="H9974" t="s">
        <v>47054</v>
      </c>
      <c r="I9974" t="s">
        <v>47111</v>
      </c>
      <c r="J9974" t="s">
        <v>47112</v>
      </c>
      <c r="K9974" t="s">
        <v>47113</v>
      </c>
      <c r="L9974">
        <v>55.37</v>
      </c>
      <c r="M9974">
        <v>127</v>
      </c>
      <c r="N9974">
        <v>0</v>
      </c>
      <c r="O9974">
        <v>127</v>
      </c>
      <c r="P9974">
        <v>0</v>
      </c>
    </row>
    <row r="9975" spans="1:16" x14ac:dyDescent="0.25">
      <c r="A9975" t="s">
        <v>32646</v>
      </c>
      <c r="B9975" t="s">
        <v>7304</v>
      </c>
      <c r="C9975" t="s">
        <v>7305</v>
      </c>
      <c r="D9975" t="s">
        <v>739</v>
      </c>
      <c r="E9975" t="s">
        <v>740</v>
      </c>
      <c r="F9975" t="s">
        <v>5</v>
      </c>
      <c r="G9975" t="s">
        <v>16231</v>
      </c>
      <c r="H9975" t="s">
        <v>47054</v>
      </c>
      <c r="I9975" t="s">
        <v>47111</v>
      </c>
      <c r="J9975" t="s">
        <v>47112</v>
      </c>
      <c r="K9975" t="s">
        <v>47113</v>
      </c>
      <c r="L9975">
        <v>41.02</v>
      </c>
      <c r="M9975">
        <v>96</v>
      </c>
      <c r="N9975">
        <v>0</v>
      </c>
      <c r="O9975">
        <v>96</v>
      </c>
      <c r="P9975">
        <v>0</v>
      </c>
    </row>
    <row r="9976" spans="1:16" x14ac:dyDescent="0.25">
      <c r="A9976" t="s">
        <v>32647</v>
      </c>
      <c r="B9976" t="s">
        <v>7306</v>
      </c>
      <c r="C9976" t="s">
        <v>7307</v>
      </c>
      <c r="D9976" t="str">
        <f>"6470"</f>
        <v>6470</v>
      </c>
      <c r="E9976" t="s">
        <v>7276</v>
      </c>
      <c r="F9976" t="s">
        <v>2068</v>
      </c>
      <c r="G9976" t="s">
        <v>16231</v>
      </c>
      <c r="H9976" t="s">
        <v>47054</v>
      </c>
      <c r="I9976" t="s">
        <v>47111</v>
      </c>
      <c r="J9976" t="s">
        <v>47112</v>
      </c>
      <c r="K9976" t="s">
        <v>47113</v>
      </c>
      <c r="L9976">
        <v>68.08</v>
      </c>
      <c r="M9976">
        <v>154</v>
      </c>
      <c r="N9976">
        <v>0</v>
      </c>
      <c r="O9976">
        <v>154</v>
      </c>
      <c r="P9976">
        <v>0</v>
      </c>
    </row>
    <row r="9977" spans="1:16" x14ac:dyDescent="0.25">
      <c r="A9977" t="s">
        <v>32648</v>
      </c>
      <c r="B9977" t="s">
        <v>7308</v>
      </c>
      <c r="C9977" t="str">
        <f>"COATED COBALT GENO N/F 34"""</f>
        <v>COATED COBALT GENO N/F 34"</v>
      </c>
      <c r="D9977" t="s">
        <v>7309</v>
      </c>
      <c r="E9977" t="s">
        <v>7310</v>
      </c>
      <c r="F9977" t="s">
        <v>3670</v>
      </c>
      <c r="G9977" t="s">
        <v>16231</v>
      </c>
      <c r="I9977" t="s">
        <v>47111</v>
      </c>
      <c r="J9977" t="s">
        <v>47112</v>
      </c>
      <c r="K9977" t="s">
        <v>47113</v>
      </c>
      <c r="L9977">
        <v>58.67</v>
      </c>
      <c r="M9977">
        <v>122</v>
      </c>
      <c r="N9977">
        <v>0</v>
      </c>
      <c r="O9977">
        <v>122</v>
      </c>
      <c r="P9977">
        <v>0</v>
      </c>
    </row>
    <row r="9978" spans="1:16" x14ac:dyDescent="0.25">
      <c r="A9978" t="s">
        <v>32649</v>
      </c>
      <c r="B9978" t="s">
        <v>7311</v>
      </c>
      <c r="C9978" t="str">
        <f>"MINERAL REEF SUPER T GENO 34"""</f>
        <v>MINERAL REEF SUPER T GENO 34"</v>
      </c>
      <c r="D9978" t="s">
        <v>7278</v>
      </c>
      <c r="E9978" t="s">
        <v>7279</v>
      </c>
      <c r="F9978" t="s">
        <v>3670</v>
      </c>
      <c r="G9978" t="s">
        <v>16231</v>
      </c>
      <c r="H9978" t="s">
        <v>47054</v>
      </c>
      <c r="I9978" t="s">
        <v>47111</v>
      </c>
      <c r="J9978" t="s">
        <v>47112</v>
      </c>
      <c r="K9978" t="s">
        <v>47113</v>
      </c>
      <c r="L9978">
        <v>67.33</v>
      </c>
      <c r="M9978">
        <v>148</v>
      </c>
      <c r="N9978">
        <v>0</v>
      </c>
      <c r="O9978">
        <v>148</v>
      </c>
      <c r="P9978">
        <v>0</v>
      </c>
    </row>
    <row r="9979" spans="1:16" x14ac:dyDescent="0.25">
      <c r="A9979" t="s">
        <v>32650</v>
      </c>
      <c r="B9979" t="s">
        <v>7312</v>
      </c>
      <c r="C9979" t="s">
        <v>7313</v>
      </c>
      <c r="D9979" t="s">
        <v>311</v>
      </c>
      <c r="E9979" t="s">
        <v>312</v>
      </c>
      <c r="F9979" t="s">
        <v>7</v>
      </c>
      <c r="G9979" t="s">
        <v>16224</v>
      </c>
      <c r="H9979" t="s">
        <v>47054</v>
      </c>
      <c r="I9979" t="s">
        <v>47116</v>
      </c>
      <c r="J9979" t="s">
        <v>47117</v>
      </c>
      <c r="K9979" t="s">
        <v>47113</v>
      </c>
      <c r="L9979">
        <v>56.79</v>
      </c>
      <c r="M9979">
        <v>133</v>
      </c>
      <c r="N9979">
        <v>0</v>
      </c>
      <c r="O9979">
        <v>133</v>
      </c>
      <c r="P9979">
        <v>0</v>
      </c>
    </row>
    <row r="9980" spans="1:16" x14ac:dyDescent="0.25">
      <c r="A9980" t="s">
        <v>32651</v>
      </c>
      <c r="B9980" t="s">
        <v>7312</v>
      </c>
      <c r="C9980" t="s">
        <v>7313</v>
      </c>
      <c r="D9980" t="s">
        <v>7314</v>
      </c>
      <c r="E9980" t="s">
        <v>7315</v>
      </c>
      <c r="F9980" t="s">
        <v>7</v>
      </c>
      <c r="G9980" t="s">
        <v>16224</v>
      </c>
      <c r="H9980" t="s">
        <v>47054</v>
      </c>
      <c r="I9980" t="s">
        <v>47116</v>
      </c>
      <c r="J9980" t="s">
        <v>47117</v>
      </c>
      <c r="K9980" t="s">
        <v>47113</v>
      </c>
      <c r="L9980">
        <v>60.82</v>
      </c>
      <c r="M9980">
        <v>174</v>
      </c>
      <c r="N9980">
        <v>0</v>
      </c>
      <c r="O9980">
        <v>174</v>
      </c>
      <c r="P9980">
        <v>0</v>
      </c>
    </row>
    <row r="9981" spans="1:16" x14ac:dyDescent="0.25">
      <c r="A9981" t="s">
        <v>32652</v>
      </c>
      <c r="B9981" t="s">
        <v>7316</v>
      </c>
      <c r="C9981" t="s">
        <v>7317</v>
      </c>
      <c r="D9981" t="s">
        <v>7318</v>
      </c>
      <c r="E9981" t="s">
        <v>7319</v>
      </c>
      <c r="F9981" t="s">
        <v>7</v>
      </c>
      <c r="G9981" t="s">
        <v>16231</v>
      </c>
      <c r="H9981" t="s">
        <v>47054</v>
      </c>
      <c r="I9981" t="s">
        <v>47111</v>
      </c>
      <c r="J9981" t="s">
        <v>47112</v>
      </c>
      <c r="K9981" t="s">
        <v>47113</v>
      </c>
      <c r="L9981">
        <v>44.44</v>
      </c>
      <c r="M9981">
        <v>110</v>
      </c>
      <c r="N9981">
        <v>0</v>
      </c>
      <c r="O9981">
        <v>110</v>
      </c>
      <c r="P9981">
        <v>0</v>
      </c>
    </row>
    <row r="9982" spans="1:16" x14ac:dyDescent="0.25">
      <c r="A9982" t="s">
        <v>32653</v>
      </c>
      <c r="B9982" t="s">
        <v>7316</v>
      </c>
      <c r="C9982" t="s">
        <v>7317</v>
      </c>
      <c r="D9982" t="s">
        <v>311</v>
      </c>
      <c r="E9982" t="s">
        <v>312</v>
      </c>
      <c r="F9982" t="s">
        <v>7</v>
      </c>
      <c r="G9982" t="s">
        <v>16231</v>
      </c>
      <c r="H9982" t="s">
        <v>47054</v>
      </c>
      <c r="I9982" t="s">
        <v>47111</v>
      </c>
      <c r="J9982" t="s">
        <v>47112</v>
      </c>
      <c r="K9982" t="s">
        <v>47113</v>
      </c>
      <c r="L9982">
        <v>28.88</v>
      </c>
      <c r="M9982">
        <v>90</v>
      </c>
      <c r="N9982">
        <v>0</v>
      </c>
      <c r="O9982">
        <v>90</v>
      </c>
      <c r="P9982">
        <v>0</v>
      </c>
    </row>
    <row r="9983" spans="1:16" x14ac:dyDescent="0.25">
      <c r="A9983" t="s">
        <v>32654</v>
      </c>
      <c r="B9983" t="s">
        <v>7316</v>
      </c>
      <c r="C9983" t="s">
        <v>7317</v>
      </c>
      <c r="D9983" t="s">
        <v>7314</v>
      </c>
      <c r="E9983" t="s">
        <v>7315</v>
      </c>
      <c r="F9983" t="s">
        <v>7</v>
      </c>
      <c r="G9983" t="s">
        <v>16231</v>
      </c>
      <c r="H9983" t="s">
        <v>47054</v>
      </c>
      <c r="I9983" t="s">
        <v>47111</v>
      </c>
      <c r="J9983" t="s">
        <v>47112</v>
      </c>
      <c r="K9983" t="s">
        <v>47113</v>
      </c>
      <c r="L9983">
        <v>43.44</v>
      </c>
      <c r="M9983">
        <v>103</v>
      </c>
      <c r="N9983">
        <v>0</v>
      </c>
      <c r="O9983">
        <v>103</v>
      </c>
      <c r="P9983">
        <v>0</v>
      </c>
    </row>
    <row r="9984" spans="1:16" x14ac:dyDescent="0.25">
      <c r="A9984" t="s">
        <v>32655</v>
      </c>
      <c r="B9984" t="s">
        <v>7320</v>
      </c>
      <c r="C9984" t="s">
        <v>7321</v>
      </c>
      <c r="D9984" t="s">
        <v>311</v>
      </c>
      <c r="E9984" t="s">
        <v>312</v>
      </c>
      <c r="F9984" t="s">
        <v>7</v>
      </c>
      <c r="G9984" t="s">
        <v>16231</v>
      </c>
      <c r="H9984" t="s">
        <v>47054</v>
      </c>
      <c r="I9984" t="s">
        <v>47111</v>
      </c>
      <c r="J9984" t="s">
        <v>47112</v>
      </c>
      <c r="K9984" t="s">
        <v>47113</v>
      </c>
      <c r="L9984">
        <v>29.86</v>
      </c>
      <c r="M9984">
        <v>90</v>
      </c>
      <c r="N9984">
        <v>0</v>
      </c>
      <c r="O9984">
        <v>90</v>
      </c>
      <c r="P9984">
        <v>0</v>
      </c>
    </row>
    <row r="9985" spans="1:16" x14ac:dyDescent="0.25">
      <c r="A9985" t="s">
        <v>32656</v>
      </c>
      <c r="B9985" t="s">
        <v>7320</v>
      </c>
      <c r="C9985" t="s">
        <v>7321</v>
      </c>
      <c r="D9985" t="s">
        <v>7314</v>
      </c>
      <c r="E9985" t="s">
        <v>7315</v>
      </c>
      <c r="F9985" t="s">
        <v>7</v>
      </c>
      <c r="G9985" t="s">
        <v>16231</v>
      </c>
      <c r="H9985" t="s">
        <v>47054</v>
      </c>
      <c r="I9985" t="s">
        <v>47111</v>
      </c>
      <c r="J9985" t="s">
        <v>47112</v>
      </c>
      <c r="K9985" t="s">
        <v>47113</v>
      </c>
      <c r="L9985">
        <v>41.65</v>
      </c>
      <c r="M9985">
        <v>103</v>
      </c>
      <c r="N9985">
        <v>0</v>
      </c>
      <c r="O9985">
        <v>103</v>
      </c>
      <c r="P9985">
        <v>0</v>
      </c>
    </row>
    <row r="9986" spans="1:16" x14ac:dyDescent="0.25">
      <c r="A9986" t="s">
        <v>32657</v>
      </c>
      <c r="B9986" t="s">
        <v>7322</v>
      </c>
      <c r="C9986" t="s">
        <v>7323</v>
      </c>
      <c r="D9986" t="s">
        <v>7278</v>
      </c>
      <c r="E9986" t="s">
        <v>7279</v>
      </c>
      <c r="F9986" t="s">
        <v>3670</v>
      </c>
      <c r="G9986" t="s">
        <v>16224</v>
      </c>
      <c r="H9986" t="s">
        <v>47054</v>
      </c>
      <c r="I9986" t="s">
        <v>47116</v>
      </c>
      <c r="J9986" t="s">
        <v>47117</v>
      </c>
      <c r="K9986" t="s">
        <v>47113</v>
      </c>
      <c r="L9986">
        <v>59.49</v>
      </c>
      <c r="M9986">
        <v>148</v>
      </c>
      <c r="N9986">
        <v>0</v>
      </c>
      <c r="O9986">
        <v>148</v>
      </c>
      <c r="P9986">
        <v>0</v>
      </c>
    </row>
    <row r="9987" spans="1:16" x14ac:dyDescent="0.25">
      <c r="A9987" t="s">
        <v>32658</v>
      </c>
      <c r="B9987" t="s">
        <v>7324</v>
      </c>
      <c r="C9987" t="s">
        <v>7325</v>
      </c>
      <c r="D9987" t="s">
        <v>7326</v>
      </c>
      <c r="E9987" t="s">
        <v>7327</v>
      </c>
      <c r="F9987" t="s">
        <v>6</v>
      </c>
      <c r="G9987" t="s">
        <v>16231</v>
      </c>
      <c r="H9987" t="s">
        <v>47054</v>
      </c>
      <c r="I9987" t="s">
        <v>47111</v>
      </c>
      <c r="J9987" t="s">
        <v>47112</v>
      </c>
      <c r="K9987" t="s">
        <v>47113</v>
      </c>
      <c r="L9987">
        <v>51.36</v>
      </c>
      <c r="M9987">
        <v>118</v>
      </c>
      <c r="N9987">
        <v>0</v>
      </c>
      <c r="O9987">
        <v>118</v>
      </c>
      <c r="P9987">
        <v>0</v>
      </c>
    </row>
    <row r="9988" spans="1:16" x14ac:dyDescent="0.25">
      <c r="A9988" t="s">
        <v>32659</v>
      </c>
      <c r="B9988" t="s">
        <v>7324</v>
      </c>
      <c r="C9988" t="s">
        <v>7325</v>
      </c>
      <c r="D9988" t="s">
        <v>5120</v>
      </c>
      <c r="E9988" t="s">
        <v>5121</v>
      </c>
      <c r="F9988" t="s">
        <v>6</v>
      </c>
      <c r="G9988" t="s">
        <v>16231</v>
      </c>
      <c r="H9988" t="s">
        <v>47054</v>
      </c>
      <c r="I9988" t="s">
        <v>47111</v>
      </c>
      <c r="J9988" t="s">
        <v>47112</v>
      </c>
      <c r="K9988" t="s">
        <v>47113</v>
      </c>
      <c r="L9988">
        <v>57.66</v>
      </c>
      <c r="M9988">
        <v>126</v>
      </c>
      <c r="N9988">
        <v>0</v>
      </c>
      <c r="O9988">
        <v>126</v>
      </c>
      <c r="P9988">
        <v>0</v>
      </c>
    </row>
    <row r="9989" spans="1:16" x14ac:dyDescent="0.25">
      <c r="A9989" t="s">
        <v>32660</v>
      </c>
      <c r="B9989" t="s">
        <v>7328</v>
      </c>
      <c r="C9989" t="s">
        <v>7329</v>
      </c>
      <c r="D9989" t="s">
        <v>311</v>
      </c>
      <c r="E9989" t="s">
        <v>312</v>
      </c>
      <c r="F9989" t="s">
        <v>6</v>
      </c>
      <c r="G9989" t="s">
        <v>16231</v>
      </c>
      <c r="H9989" t="s">
        <v>47054</v>
      </c>
      <c r="I9989" t="s">
        <v>47111</v>
      </c>
      <c r="J9989" t="s">
        <v>47112</v>
      </c>
      <c r="K9989" t="s">
        <v>47113</v>
      </c>
      <c r="L9989">
        <v>49.99</v>
      </c>
      <c r="M9989">
        <v>125</v>
      </c>
      <c r="N9989">
        <v>0</v>
      </c>
      <c r="O9989">
        <v>125</v>
      </c>
      <c r="P9989">
        <v>0</v>
      </c>
    </row>
    <row r="9990" spans="1:16" x14ac:dyDescent="0.25">
      <c r="A9990" t="s">
        <v>32661</v>
      </c>
      <c r="B9990" t="s">
        <v>7330</v>
      </c>
      <c r="C9990" t="s">
        <v>7331</v>
      </c>
      <c r="D9990" t="s">
        <v>311</v>
      </c>
      <c r="E9990" t="s">
        <v>312</v>
      </c>
      <c r="F9990" t="s">
        <v>6</v>
      </c>
      <c r="G9990" t="s">
        <v>16231</v>
      </c>
      <c r="H9990" t="s">
        <v>47054</v>
      </c>
      <c r="I9990" t="s">
        <v>47111</v>
      </c>
      <c r="J9990" t="s">
        <v>47112</v>
      </c>
      <c r="K9990" t="s">
        <v>47113</v>
      </c>
      <c r="L9990">
        <v>49.53</v>
      </c>
      <c r="M9990">
        <v>120</v>
      </c>
      <c r="N9990">
        <v>0</v>
      </c>
      <c r="O9990">
        <v>120</v>
      </c>
      <c r="P9990">
        <v>0</v>
      </c>
    </row>
    <row r="9991" spans="1:16" x14ac:dyDescent="0.25">
      <c r="A9991" t="s">
        <v>32662</v>
      </c>
      <c r="B9991" t="s">
        <v>7332</v>
      </c>
      <c r="C9991" t="s">
        <v>7333</v>
      </c>
      <c r="D9991" t="str">
        <f>"55"</f>
        <v>55</v>
      </c>
      <c r="E9991" t="s">
        <v>7334</v>
      </c>
      <c r="F9991" t="s">
        <v>2</v>
      </c>
      <c r="G9991" t="s">
        <v>16231</v>
      </c>
      <c r="H9991" t="s">
        <v>47054</v>
      </c>
      <c r="I9991" t="s">
        <v>47111</v>
      </c>
      <c r="J9991" t="s">
        <v>47112</v>
      </c>
      <c r="K9991" t="s">
        <v>47113</v>
      </c>
      <c r="L9991">
        <v>41.98</v>
      </c>
      <c r="M9991">
        <v>120</v>
      </c>
      <c r="N9991">
        <v>0</v>
      </c>
      <c r="O9991">
        <v>120</v>
      </c>
      <c r="P9991">
        <v>0</v>
      </c>
    </row>
    <row r="9992" spans="1:16" x14ac:dyDescent="0.25">
      <c r="A9992" t="s">
        <v>32663</v>
      </c>
      <c r="B9992" t="s">
        <v>7332</v>
      </c>
      <c r="C9992" t="s">
        <v>7333</v>
      </c>
      <c r="D9992" t="s">
        <v>7335</v>
      </c>
      <c r="E9992" t="s">
        <v>7336</v>
      </c>
      <c r="F9992" t="s">
        <v>2</v>
      </c>
      <c r="G9992" t="s">
        <v>16231</v>
      </c>
      <c r="H9992" t="s">
        <v>47054</v>
      </c>
      <c r="I9992" t="s">
        <v>47111</v>
      </c>
      <c r="J9992" t="s">
        <v>47112</v>
      </c>
      <c r="K9992" t="s">
        <v>47113</v>
      </c>
      <c r="L9992">
        <v>42.11</v>
      </c>
      <c r="M9992">
        <v>112</v>
      </c>
      <c r="N9992">
        <v>0</v>
      </c>
      <c r="O9992">
        <v>112</v>
      </c>
      <c r="P9992">
        <v>0</v>
      </c>
    </row>
    <row r="9993" spans="1:16" x14ac:dyDescent="0.25">
      <c r="A9993" t="s">
        <v>32664</v>
      </c>
      <c r="B9993" t="s">
        <v>7337</v>
      </c>
      <c r="C9993" t="s">
        <v>7338</v>
      </c>
      <c r="D9993" t="str">
        <f>"55"</f>
        <v>55</v>
      </c>
      <c r="E9993" t="s">
        <v>7334</v>
      </c>
      <c r="F9993" t="s">
        <v>2</v>
      </c>
      <c r="G9993" t="s">
        <v>16231</v>
      </c>
      <c r="H9993" t="s">
        <v>47054</v>
      </c>
      <c r="I9993" t="s">
        <v>47111</v>
      </c>
      <c r="J9993" t="s">
        <v>47112</v>
      </c>
      <c r="K9993" t="s">
        <v>47113</v>
      </c>
      <c r="L9993">
        <v>41.49</v>
      </c>
      <c r="M9993">
        <v>120</v>
      </c>
      <c r="N9993">
        <v>0</v>
      </c>
      <c r="O9993">
        <v>120</v>
      </c>
      <c r="P9993">
        <v>0</v>
      </c>
    </row>
    <row r="9994" spans="1:16" x14ac:dyDescent="0.25">
      <c r="A9994" t="s">
        <v>32665</v>
      </c>
      <c r="B9994" t="s">
        <v>7337</v>
      </c>
      <c r="C9994" t="s">
        <v>7338</v>
      </c>
      <c r="D9994" t="s">
        <v>7335</v>
      </c>
      <c r="E9994" t="s">
        <v>7336</v>
      </c>
      <c r="F9994" t="s">
        <v>2</v>
      </c>
      <c r="G9994" t="s">
        <v>16231</v>
      </c>
      <c r="H9994" t="s">
        <v>47054</v>
      </c>
      <c r="I9994" t="s">
        <v>47111</v>
      </c>
      <c r="J9994" t="s">
        <v>47112</v>
      </c>
      <c r="K9994" t="s">
        <v>47113</v>
      </c>
      <c r="L9994">
        <v>41.81</v>
      </c>
      <c r="M9994">
        <v>112</v>
      </c>
      <c r="N9994">
        <v>0</v>
      </c>
      <c r="O9994">
        <v>112</v>
      </c>
      <c r="P9994">
        <v>0</v>
      </c>
    </row>
    <row r="9995" spans="1:16" x14ac:dyDescent="0.25">
      <c r="A9995" t="s">
        <v>32666</v>
      </c>
      <c r="B9995" t="s">
        <v>7339</v>
      </c>
      <c r="C9995" t="s">
        <v>7340</v>
      </c>
      <c r="D9995" t="str">
        <f>"55"</f>
        <v>55</v>
      </c>
      <c r="E9995" t="s">
        <v>7334</v>
      </c>
      <c r="F9995" t="s">
        <v>2</v>
      </c>
      <c r="G9995" t="s">
        <v>16231</v>
      </c>
      <c r="H9995" t="s">
        <v>47054</v>
      </c>
      <c r="I9995" t="s">
        <v>47111</v>
      </c>
      <c r="J9995" t="s">
        <v>47112</v>
      </c>
      <c r="K9995" t="s">
        <v>47113</v>
      </c>
      <c r="L9995">
        <v>38.83</v>
      </c>
      <c r="M9995">
        <v>120</v>
      </c>
      <c r="N9995">
        <v>0</v>
      </c>
      <c r="O9995">
        <v>120</v>
      </c>
      <c r="P9995">
        <v>0</v>
      </c>
    </row>
    <row r="9996" spans="1:16" x14ac:dyDescent="0.25">
      <c r="A9996" t="s">
        <v>32667</v>
      </c>
      <c r="B9996" t="s">
        <v>7339</v>
      </c>
      <c r="C9996" t="s">
        <v>7340</v>
      </c>
      <c r="D9996" t="s">
        <v>7335</v>
      </c>
      <c r="E9996" t="s">
        <v>7336</v>
      </c>
      <c r="F9996" t="s">
        <v>2</v>
      </c>
      <c r="G9996" t="s">
        <v>16231</v>
      </c>
      <c r="H9996" t="s">
        <v>47054</v>
      </c>
      <c r="I9996" t="s">
        <v>47111</v>
      </c>
      <c r="J9996" t="s">
        <v>47112</v>
      </c>
      <c r="K9996" t="s">
        <v>47113</v>
      </c>
      <c r="L9996">
        <v>39.39</v>
      </c>
      <c r="M9996">
        <v>112</v>
      </c>
      <c r="N9996">
        <v>0</v>
      </c>
      <c r="O9996">
        <v>112</v>
      </c>
      <c r="P9996">
        <v>0</v>
      </c>
    </row>
    <row r="9997" spans="1:16" x14ac:dyDescent="0.25">
      <c r="A9997" t="s">
        <v>32668</v>
      </c>
      <c r="B9997" t="s">
        <v>7341</v>
      </c>
      <c r="C9997" t="s">
        <v>7342</v>
      </c>
      <c r="D9997" t="s">
        <v>2054</v>
      </c>
      <c r="E9997" t="s">
        <v>2055</v>
      </c>
      <c r="F9997" t="s">
        <v>2</v>
      </c>
      <c r="G9997" t="s">
        <v>16231</v>
      </c>
      <c r="H9997" t="s">
        <v>47054</v>
      </c>
      <c r="I9997" t="s">
        <v>47111</v>
      </c>
      <c r="J9997" t="s">
        <v>47112</v>
      </c>
      <c r="K9997" t="s">
        <v>47113</v>
      </c>
      <c r="L9997">
        <v>35.17</v>
      </c>
      <c r="M9997">
        <v>95</v>
      </c>
      <c r="N9997">
        <v>0</v>
      </c>
      <c r="O9997">
        <v>95</v>
      </c>
      <c r="P9997">
        <v>0</v>
      </c>
    </row>
    <row r="9998" spans="1:16" x14ac:dyDescent="0.25">
      <c r="A9998" t="s">
        <v>32669</v>
      </c>
      <c r="B9998" t="s">
        <v>7341</v>
      </c>
      <c r="C9998" t="s">
        <v>7342</v>
      </c>
      <c r="D9998" t="s">
        <v>7343</v>
      </c>
      <c r="E9998" t="s">
        <v>7344</v>
      </c>
      <c r="F9998" t="s">
        <v>2</v>
      </c>
      <c r="G9998" t="s">
        <v>16231</v>
      </c>
      <c r="H9998" t="s">
        <v>47054</v>
      </c>
      <c r="I9998" t="s">
        <v>47111</v>
      </c>
      <c r="J9998" t="s">
        <v>47112</v>
      </c>
      <c r="K9998" t="s">
        <v>47113</v>
      </c>
      <c r="L9998">
        <v>38.270000000000003</v>
      </c>
      <c r="M9998">
        <v>100</v>
      </c>
      <c r="N9998">
        <v>0</v>
      </c>
      <c r="O9998">
        <v>100</v>
      </c>
      <c r="P9998">
        <v>0</v>
      </c>
    </row>
    <row r="9999" spans="1:16" x14ac:dyDescent="0.25">
      <c r="A9999" t="s">
        <v>32670</v>
      </c>
      <c r="B9999" t="s">
        <v>7345</v>
      </c>
      <c r="C9999" t="s">
        <v>7346</v>
      </c>
      <c r="D9999" t="s">
        <v>7335</v>
      </c>
      <c r="E9999" t="s">
        <v>7336</v>
      </c>
      <c r="F9999" t="s">
        <v>2</v>
      </c>
      <c r="G9999" t="s">
        <v>16224</v>
      </c>
      <c r="H9999" t="s">
        <v>47054</v>
      </c>
      <c r="I9999" t="s">
        <v>47116</v>
      </c>
      <c r="J9999" t="s">
        <v>47117</v>
      </c>
      <c r="K9999" t="s">
        <v>47113</v>
      </c>
      <c r="L9999">
        <v>46.04</v>
      </c>
      <c r="M9999">
        <v>120</v>
      </c>
      <c r="N9999">
        <v>0</v>
      </c>
      <c r="O9999">
        <v>120</v>
      </c>
      <c r="P9999">
        <v>0</v>
      </c>
    </row>
    <row r="10000" spans="1:16" x14ac:dyDescent="0.25">
      <c r="A10000" t="s">
        <v>14977</v>
      </c>
      <c r="B10000" t="s">
        <v>7347</v>
      </c>
      <c r="C10000" t="s">
        <v>7346</v>
      </c>
      <c r="D10000" t="s">
        <v>7335</v>
      </c>
      <c r="E10000" t="s">
        <v>7336</v>
      </c>
      <c r="F10000" t="s">
        <v>2</v>
      </c>
      <c r="G10000" t="s">
        <v>16224</v>
      </c>
      <c r="H10000" t="s">
        <v>47054</v>
      </c>
      <c r="I10000" t="s">
        <v>47116</v>
      </c>
      <c r="J10000" t="s">
        <v>47117</v>
      </c>
      <c r="K10000" t="s">
        <v>47113</v>
      </c>
      <c r="L10000">
        <v>32.909999999999997</v>
      </c>
      <c r="M10000">
        <v>120</v>
      </c>
      <c r="N10000">
        <v>0</v>
      </c>
      <c r="O10000">
        <v>120</v>
      </c>
      <c r="P10000">
        <v>0</v>
      </c>
    </row>
    <row r="10001" spans="1:16" x14ac:dyDescent="0.25">
      <c r="A10001" t="s">
        <v>32671</v>
      </c>
      <c r="B10001" t="s">
        <v>7348</v>
      </c>
      <c r="C10001" t="s">
        <v>7349</v>
      </c>
      <c r="D10001" t="s">
        <v>2054</v>
      </c>
      <c r="E10001" t="s">
        <v>6870</v>
      </c>
      <c r="F10001" t="s">
        <v>2</v>
      </c>
      <c r="G10001" t="s">
        <v>16231</v>
      </c>
      <c r="H10001" t="s">
        <v>47054</v>
      </c>
      <c r="I10001" t="s">
        <v>47111</v>
      </c>
      <c r="J10001" t="s">
        <v>47112</v>
      </c>
      <c r="K10001" t="s">
        <v>47113</v>
      </c>
      <c r="L10001">
        <v>35.619999999999997</v>
      </c>
      <c r="M10001">
        <v>95</v>
      </c>
      <c r="N10001">
        <v>0</v>
      </c>
      <c r="O10001">
        <v>95</v>
      </c>
      <c r="P10001">
        <v>0</v>
      </c>
    </row>
    <row r="10002" spans="1:16" x14ac:dyDescent="0.25">
      <c r="A10002" t="s">
        <v>32672</v>
      </c>
      <c r="B10002" t="s">
        <v>7348</v>
      </c>
      <c r="C10002" t="s">
        <v>7349</v>
      </c>
      <c r="D10002" t="s">
        <v>7343</v>
      </c>
      <c r="E10002" t="s">
        <v>7344</v>
      </c>
      <c r="F10002" t="s">
        <v>2</v>
      </c>
      <c r="G10002" t="s">
        <v>16231</v>
      </c>
      <c r="H10002" t="s">
        <v>47054</v>
      </c>
      <c r="I10002" t="s">
        <v>47111</v>
      </c>
      <c r="J10002" t="s">
        <v>47112</v>
      </c>
      <c r="K10002" t="s">
        <v>47113</v>
      </c>
      <c r="L10002">
        <v>37.99</v>
      </c>
      <c r="M10002">
        <v>108</v>
      </c>
      <c r="N10002">
        <v>0</v>
      </c>
      <c r="O10002">
        <v>108</v>
      </c>
      <c r="P10002">
        <v>0</v>
      </c>
    </row>
    <row r="10003" spans="1:16" x14ac:dyDescent="0.25">
      <c r="A10003" t="s">
        <v>32673</v>
      </c>
      <c r="B10003" t="s">
        <v>7350</v>
      </c>
      <c r="C10003" t="s">
        <v>7351</v>
      </c>
      <c r="D10003" t="s">
        <v>7352</v>
      </c>
      <c r="E10003" t="s">
        <v>7353</v>
      </c>
      <c r="F10003" t="s">
        <v>3</v>
      </c>
      <c r="G10003" t="s">
        <v>16231</v>
      </c>
      <c r="H10003" t="s">
        <v>47054</v>
      </c>
      <c r="I10003" t="s">
        <v>47111</v>
      </c>
      <c r="J10003" t="s">
        <v>47112</v>
      </c>
      <c r="K10003" t="s">
        <v>47113</v>
      </c>
      <c r="L10003">
        <v>45.05</v>
      </c>
      <c r="M10003">
        <v>109</v>
      </c>
      <c r="N10003">
        <v>0</v>
      </c>
      <c r="O10003">
        <v>109</v>
      </c>
      <c r="P10003">
        <v>0</v>
      </c>
    </row>
    <row r="10004" spans="1:16" x14ac:dyDescent="0.25">
      <c r="A10004" t="s">
        <v>32674</v>
      </c>
      <c r="B10004" t="s">
        <v>7354</v>
      </c>
      <c r="C10004" t="s">
        <v>7355</v>
      </c>
      <c r="D10004" t="s">
        <v>2054</v>
      </c>
      <c r="E10004" t="s">
        <v>2055</v>
      </c>
      <c r="F10004" t="s">
        <v>2</v>
      </c>
      <c r="G10004" t="s">
        <v>16231</v>
      </c>
      <c r="H10004" t="s">
        <v>47054</v>
      </c>
      <c r="I10004" t="s">
        <v>47111</v>
      </c>
      <c r="J10004" t="s">
        <v>47112</v>
      </c>
      <c r="K10004" t="s">
        <v>47113</v>
      </c>
      <c r="L10004">
        <v>35.17</v>
      </c>
      <c r="M10004">
        <v>95</v>
      </c>
      <c r="N10004">
        <v>0</v>
      </c>
      <c r="O10004">
        <v>95</v>
      </c>
      <c r="P10004">
        <v>0</v>
      </c>
    </row>
    <row r="10005" spans="1:16" x14ac:dyDescent="0.25">
      <c r="A10005" t="s">
        <v>32675</v>
      </c>
      <c r="B10005" t="s">
        <v>7354</v>
      </c>
      <c r="C10005" t="s">
        <v>7355</v>
      </c>
      <c r="D10005" t="s">
        <v>7343</v>
      </c>
      <c r="E10005" t="s">
        <v>7344</v>
      </c>
      <c r="F10005" t="s">
        <v>2</v>
      </c>
      <c r="G10005" t="s">
        <v>16231</v>
      </c>
      <c r="H10005" t="s">
        <v>47054</v>
      </c>
      <c r="I10005" t="s">
        <v>47111</v>
      </c>
      <c r="J10005" t="s">
        <v>47112</v>
      </c>
      <c r="K10005" t="s">
        <v>47113</v>
      </c>
      <c r="L10005">
        <v>37.99</v>
      </c>
      <c r="M10005">
        <v>100</v>
      </c>
      <c r="N10005">
        <v>0</v>
      </c>
      <c r="O10005">
        <v>100</v>
      </c>
      <c r="P10005">
        <v>0</v>
      </c>
    </row>
    <row r="10006" spans="1:16" x14ac:dyDescent="0.25">
      <c r="A10006" t="s">
        <v>32676</v>
      </c>
      <c r="B10006" t="s">
        <v>7356</v>
      </c>
      <c r="C10006" t="s">
        <v>7357</v>
      </c>
      <c r="D10006" t="s">
        <v>7352</v>
      </c>
      <c r="E10006" t="s">
        <v>7353</v>
      </c>
      <c r="F10006" t="s">
        <v>3</v>
      </c>
      <c r="G10006" t="s">
        <v>16231</v>
      </c>
      <c r="H10006" t="s">
        <v>47054</v>
      </c>
      <c r="I10006" t="s">
        <v>47111</v>
      </c>
      <c r="J10006" t="s">
        <v>47112</v>
      </c>
      <c r="K10006" t="s">
        <v>47113</v>
      </c>
      <c r="L10006">
        <v>43.04</v>
      </c>
      <c r="M10006">
        <v>109</v>
      </c>
      <c r="N10006">
        <v>0</v>
      </c>
      <c r="O10006">
        <v>109</v>
      </c>
      <c r="P10006">
        <v>0</v>
      </c>
    </row>
    <row r="10007" spans="1:16" x14ac:dyDescent="0.25">
      <c r="A10007" t="s">
        <v>32677</v>
      </c>
      <c r="B10007" t="s">
        <v>7356</v>
      </c>
      <c r="C10007" t="s">
        <v>7357</v>
      </c>
      <c r="D10007" t="s">
        <v>7358</v>
      </c>
      <c r="E10007" t="s">
        <v>7359</v>
      </c>
      <c r="F10007" t="s">
        <v>2</v>
      </c>
      <c r="G10007" t="s">
        <v>16231</v>
      </c>
      <c r="H10007" t="s">
        <v>47054</v>
      </c>
      <c r="I10007" t="s">
        <v>47111</v>
      </c>
      <c r="J10007" t="s">
        <v>47112</v>
      </c>
      <c r="K10007" t="s">
        <v>47113</v>
      </c>
      <c r="L10007">
        <v>47.31</v>
      </c>
      <c r="M10007">
        <v>99</v>
      </c>
      <c r="N10007">
        <v>0</v>
      </c>
      <c r="O10007">
        <v>99</v>
      </c>
      <c r="P10007">
        <v>0</v>
      </c>
    </row>
    <row r="10008" spans="1:16" x14ac:dyDescent="0.25">
      <c r="A10008" t="s">
        <v>32678</v>
      </c>
      <c r="B10008" t="s">
        <v>7360</v>
      </c>
      <c r="C10008" t="s">
        <v>7361</v>
      </c>
      <c r="D10008" t="str">
        <f>"55"</f>
        <v>55</v>
      </c>
      <c r="E10008" t="s">
        <v>7334</v>
      </c>
      <c r="F10008" t="s">
        <v>2</v>
      </c>
      <c r="G10008" t="s">
        <v>16231</v>
      </c>
      <c r="H10008" t="s">
        <v>47054</v>
      </c>
      <c r="I10008" t="s">
        <v>47111</v>
      </c>
      <c r="J10008" t="s">
        <v>47112</v>
      </c>
      <c r="K10008" t="s">
        <v>47113</v>
      </c>
      <c r="L10008">
        <v>41.49</v>
      </c>
      <c r="M10008">
        <v>112</v>
      </c>
      <c r="N10008">
        <v>0</v>
      </c>
      <c r="O10008">
        <v>112</v>
      </c>
      <c r="P10008">
        <v>0</v>
      </c>
    </row>
    <row r="10009" spans="1:16" x14ac:dyDescent="0.25">
      <c r="A10009" t="s">
        <v>32679</v>
      </c>
      <c r="B10009" t="s">
        <v>7360</v>
      </c>
      <c r="C10009" t="s">
        <v>7361</v>
      </c>
      <c r="D10009" t="s">
        <v>7335</v>
      </c>
      <c r="E10009" t="s">
        <v>7336</v>
      </c>
      <c r="F10009" t="s">
        <v>2</v>
      </c>
      <c r="G10009" t="s">
        <v>16231</v>
      </c>
      <c r="H10009" t="s">
        <v>47054</v>
      </c>
      <c r="I10009" t="s">
        <v>47111</v>
      </c>
      <c r="J10009" t="s">
        <v>47112</v>
      </c>
      <c r="K10009" t="s">
        <v>47113</v>
      </c>
      <c r="L10009">
        <v>40.01</v>
      </c>
      <c r="M10009">
        <v>112</v>
      </c>
      <c r="N10009">
        <v>0</v>
      </c>
      <c r="O10009">
        <v>112</v>
      </c>
      <c r="P10009">
        <v>0</v>
      </c>
    </row>
    <row r="10010" spans="1:16" x14ac:dyDescent="0.25">
      <c r="A10010" t="s">
        <v>32680</v>
      </c>
      <c r="B10010" t="s">
        <v>7362</v>
      </c>
      <c r="C10010" t="s">
        <v>7363</v>
      </c>
      <c r="D10010" t="s">
        <v>2054</v>
      </c>
      <c r="E10010" t="s">
        <v>2055</v>
      </c>
      <c r="F10010" t="s">
        <v>2</v>
      </c>
      <c r="G10010" t="s">
        <v>16231</v>
      </c>
      <c r="I10010" t="s">
        <v>47111</v>
      </c>
      <c r="J10010" t="s">
        <v>47112</v>
      </c>
      <c r="K10010" t="s">
        <v>47113</v>
      </c>
      <c r="L10010">
        <v>35.17</v>
      </c>
      <c r="M10010">
        <v>95</v>
      </c>
      <c r="N10010">
        <v>0</v>
      </c>
      <c r="O10010">
        <v>95</v>
      </c>
      <c r="P10010">
        <v>0</v>
      </c>
    </row>
    <row r="10011" spans="1:16" x14ac:dyDescent="0.25">
      <c r="A10011" t="s">
        <v>32681</v>
      </c>
      <c r="B10011" t="s">
        <v>7362</v>
      </c>
      <c r="C10011" t="s">
        <v>7363</v>
      </c>
      <c r="D10011" t="s">
        <v>7343</v>
      </c>
      <c r="E10011" t="s">
        <v>7344</v>
      </c>
      <c r="F10011" t="s">
        <v>2</v>
      </c>
      <c r="G10011" t="s">
        <v>16231</v>
      </c>
      <c r="I10011" t="s">
        <v>47111</v>
      </c>
      <c r="J10011" t="s">
        <v>47112</v>
      </c>
      <c r="K10011" t="s">
        <v>47113</v>
      </c>
      <c r="L10011">
        <v>37.99</v>
      </c>
      <c r="M10011">
        <v>100</v>
      </c>
      <c r="N10011">
        <v>0</v>
      </c>
      <c r="O10011">
        <v>100</v>
      </c>
      <c r="P10011">
        <v>0</v>
      </c>
    </row>
    <row r="10012" spans="1:16" x14ac:dyDescent="0.25">
      <c r="A10012" t="s">
        <v>32682</v>
      </c>
      <c r="B10012" t="s">
        <v>14508</v>
      </c>
      <c r="C10012" t="s">
        <v>14507</v>
      </c>
      <c r="D10012" t="str">
        <f>"1501"</f>
        <v>1501</v>
      </c>
      <c r="E10012" t="s">
        <v>46</v>
      </c>
      <c r="F10012" t="s">
        <v>3750</v>
      </c>
      <c r="G10012" t="s">
        <v>16232</v>
      </c>
      <c r="H10012" t="s">
        <v>47054</v>
      </c>
      <c r="I10012" t="s">
        <v>47118</v>
      </c>
      <c r="J10012" t="s">
        <v>47119</v>
      </c>
      <c r="K10012" t="s">
        <v>47113</v>
      </c>
      <c r="L10012">
        <v>11.42</v>
      </c>
      <c r="M10012">
        <v>50</v>
      </c>
      <c r="N10012">
        <v>0</v>
      </c>
      <c r="O10012">
        <v>50</v>
      </c>
      <c r="P10012">
        <v>0</v>
      </c>
    </row>
    <row r="10013" spans="1:16" x14ac:dyDescent="0.25">
      <c r="A10013" t="s">
        <v>32683</v>
      </c>
      <c r="B10013" t="s">
        <v>14508</v>
      </c>
      <c r="C10013" t="s">
        <v>14507</v>
      </c>
      <c r="D10013" t="str">
        <f>"4100"</f>
        <v>4100</v>
      </c>
      <c r="E10013" t="s">
        <v>2383</v>
      </c>
      <c r="F10013" t="s">
        <v>3750</v>
      </c>
      <c r="G10013" t="s">
        <v>16232</v>
      </c>
      <c r="H10013" t="s">
        <v>47054</v>
      </c>
      <c r="I10013" t="s">
        <v>47118</v>
      </c>
      <c r="J10013" t="s">
        <v>47119</v>
      </c>
      <c r="K10013" t="s">
        <v>47113</v>
      </c>
      <c r="L10013">
        <v>10.97</v>
      </c>
      <c r="M10013">
        <v>50</v>
      </c>
      <c r="N10013">
        <v>0</v>
      </c>
      <c r="O10013">
        <v>50</v>
      </c>
      <c r="P10013">
        <v>0</v>
      </c>
    </row>
    <row r="10014" spans="1:16" x14ac:dyDescent="0.25">
      <c r="A10014" t="s">
        <v>32684</v>
      </c>
      <c r="B10014" t="s">
        <v>32685</v>
      </c>
      <c r="C10014" t="s">
        <v>32686</v>
      </c>
      <c r="D10014" t="str">
        <f>"1081"</f>
        <v>1081</v>
      </c>
      <c r="E10014" t="s">
        <v>17703</v>
      </c>
      <c r="F10014" t="s">
        <v>3750</v>
      </c>
      <c r="G10014" t="s">
        <v>16232</v>
      </c>
      <c r="H10014" t="s">
        <v>47054</v>
      </c>
      <c r="I10014" t="s">
        <v>47118</v>
      </c>
      <c r="J10014" t="s">
        <v>47119</v>
      </c>
      <c r="K10014" t="s">
        <v>47113</v>
      </c>
      <c r="L10014">
        <v>15.39</v>
      </c>
      <c r="M10014">
        <v>59</v>
      </c>
      <c r="N10014">
        <v>159</v>
      </c>
      <c r="O10014">
        <v>59</v>
      </c>
      <c r="P10014">
        <v>159</v>
      </c>
    </row>
    <row r="10015" spans="1:16" x14ac:dyDescent="0.25">
      <c r="A10015" t="s">
        <v>32687</v>
      </c>
      <c r="B10015" t="s">
        <v>32685</v>
      </c>
      <c r="C10015" t="s">
        <v>32686</v>
      </c>
      <c r="D10015" t="str">
        <f>"1212"</f>
        <v>1212</v>
      </c>
      <c r="E10015" t="s">
        <v>32688</v>
      </c>
      <c r="F10015" t="s">
        <v>3750</v>
      </c>
      <c r="G10015" t="s">
        <v>16232</v>
      </c>
      <c r="H10015" t="s">
        <v>47054</v>
      </c>
      <c r="I10015" t="s">
        <v>47118</v>
      </c>
      <c r="J10015" t="s">
        <v>47119</v>
      </c>
      <c r="K10015" t="s">
        <v>47113</v>
      </c>
      <c r="L10015">
        <v>15.39</v>
      </c>
      <c r="M10015">
        <v>59</v>
      </c>
      <c r="N10015">
        <v>159</v>
      </c>
      <c r="O10015">
        <v>59</v>
      </c>
      <c r="P10015">
        <v>159</v>
      </c>
    </row>
    <row r="10016" spans="1:16" x14ac:dyDescent="0.25">
      <c r="A10016" t="s">
        <v>32689</v>
      </c>
      <c r="B10016" t="s">
        <v>7364</v>
      </c>
      <c r="C10016" t="s">
        <v>7365</v>
      </c>
      <c r="D10016" t="s">
        <v>7366</v>
      </c>
      <c r="E10016" t="s">
        <v>7367</v>
      </c>
      <c r="F10016" t="s">
        <v>7</v>
      </c>
      <c r="G10016" t="s">
        <v>16224</v>
      </c>
      <c r="H10016" t="s">
        <v>47054</v>
      </c>
      <c r="I10016" t="s">
        <v>47111</v>
      </c>
      <c r="J10016" t="s">
        <v>47112</v>
      </c>
      <c r="K10016" t="s">
        <v>47113</v>
      </c>
      <c r="L10016">
        <v>66.8</v>
      </c>
      <c r="M10016">
        <v>168</v>
      </c>
      <c r="N10016">
        <v>0</v>
      </c>
      <c r="O10016">
        <v>168</v>
      </c>
      <c r="P10016">
        <v>0</v>
      </c>
    </row>
    <row r="10017" spans="1:16" x14ac:dyDescent="0.25">
      <c r="A10017" t="s">
        <v>32690</v>
      </c>
      <c r="B10017" t="s">
        <v>7368</v>
      </c>
      <c r="C10017" t="s">
        <v>7369</v>
      </c>
      <c r="D10017" t="s">
        <v>7318</v>
      </c>
      <c r="E10017" t="s">
        <v>7319</v>
      </c>
      <c r="F10017" t="s">
        <v>7</v>
      </c>
      <c r="G10017" t="s">
        <v>16231</v>
      </c>
      <c r="H10017" t="s">
        <v>47054</v>
      </c>
      <c r="I10017" t="s">
        <v>47114</v>
      </c>
      <c r="J10017" t="s">
        <v>47115</v>
      </c>
      <c r="K10017" t="s">
        <v>47113</v>
      </c>
      <c r="L10017">
        <v>65.3</v>
      </c>
      <c r="M10017">
        <v>145</v>
      </c>
      <c r="N10017">
        <v>0</v>
      </c>
      <c r="O10017">
        <v>145</v>
      </c>
      <c r="P10017">
        <v>0</v>
      </c>
    </row>
    <row r="10018" spans="1:16" x14ac:dyDescent="0.25">
      <c r="A10018" t="s">
        <v>32691</v>
      </c>
      <c r="B10018" t="s">
        <v>7370</v>
      </c>
      <c r="C10018" t="s">
        <v>7371</v>
      </c>
      <c r="D10018" t="s">
        <v>7318</v>
      </c>
      <c r="E10018" t="s">
        <v>7319</v>
      </c>
      <c r="F10018" t="s">
        <v>7</v>
      </c>
      <c r="G10018" t="s">
        <v>16231</v>
      </c>
      <c r="H10018" t="s">
        <v>47054</v>
      </c>
      <c r="I10018" t="s">
        <v>47111</v>
      </c>
      <c r="J10018" t="s">
        <v>47112</v>
      </c>
      <c r="K10018" t="s">
        <v>47113</v>
      </c>
      <c r="L10018">
        <v>65.3</v>
      </c>
      <c r="M10018">
        <v>145</v>
      </c>
      <c r="N10018">
        <v>0</v>
      </c>
      <c r="O10018">
        <v>145</v>
      </c>
      <c r="P10018">
        <v>0</v>
      </c>
    </row>
    <row r="10019" spans="1:16" x14ac:dyDescent="0.25">
      <c r="A10019" t="s">
        <v>32692</v>
      </c>
      <c r="B10019" t="s">
        <v>17614</v>
      </c>
      <c r="C10019" t="s">
        <v>17615</v>
      </c>
      <c r="D10019" t="str">
        <f>"1035"</f>
        <v>1035</v>
      </c>
      <c r="E10019" t="s">
        <v>758</v>
      </c>
      <c r="F10019" t="s">
        <v>24617</v>
      </c>
      <c r="G10019" t="s">
        <v>16221</v>
      </c>
      <c r="H10019" t="s">
        <v>47054</v>
      </c>
      <c r="I10019" t="s">
        <v>47154</v>
      </c>
      <c r="J10019" t="s">
        <v>47155</v>
      </c>
      <c r="K10019" t="s">
        <v>47113</v>
      </c>
      <c r="L10019">
        <v>7.43</v>
      </c>
      <c r="M10019">
        <v>26</v>
      </c>
      <c r="N10019">
        <v>69</v>
      </c>
      <c r="O10019">
        <v>26</v>
      </c>
      <c r="P10019">
        <v>69</v>
      </c>
    </row>
    <row r="10020" spans="1:16" x14ac:dyDescent="0.25">
      <c r="A10020" t="s">
        <v>32693</v>
      </c>
      <c r="B10020" t="s">
        <v>17614</v>
      </c>
      <c r="C10020" t="s">
        <v>17615</v>
      </c>
      <c r="D10020" t="str">
        <f>"1422"</f>
        <v>1422</v>
      </c>
      <c r="E10020" t="s">
        <v>20501</v>
      </c>
      <c r="F10020" t="s">
        <v>1</v>
      </c>
      <c r="G10020" t="s">
        <v>16221</v>
      </c>
      <c r="H10020" t="s">
        <v>47054</v>
      </c>
      <c r="I10020" t="s">
        <v>47154</v>
      </c>
      <c r="J10020" t="s">
        <v>47155</v>
      </c>
      <c r="K10020" t="s">
        <v>47113</v>
      </c>
      <c r="L10020">
        <v>7.77</v>
      </c>
      <c r="M10020">
        <v>26</v>
      </c>
      <c r="N10020">
        <v>0</v>
      </c>
      <c r="O10020">
        <v>26</v>
      </c>
      <c r="P10020">
        <v>0</v>
      </c>
    </row>
    <row r="10021" spans="1:16" x14ac:dyDescent="0.25">
      <c r="A10021" t="s">
        <v>32694</v>
      </c>
      <c r="B10021" t="s">
        <v>17614</v>
      </c>
      <c r="C10021" t="s">
        <v>17615</v>
      </c>
      <c r="D10021" t="str">
        <f>"1501"</f>
        <v>1501</v>
      </c>
      <c r="E10021" t="s">
        <v>20502</v>
      </c>
      <c r="F10021" t="s">
        <v>1</v>
      </c>
      <c r="G10021" t="s">
        <v>16221</v>
      </c>
      <c r="H10021" t="s">
        <v>47054</v>
      </c>
      <c r="I10021" t="s">
        <v>47120</v>
      </c>
      <c r="J10021" t="s">
        <v>47121</v>
      </c>
      <c r="K10021" t="s">
        <v>47113</v>
      </c>
      <c r="L10021">
        <v>8.17</v>
      </c>
      <c r="M10021">
        <v>26</v>
      </c>
      <c r="N10021">
        <v>0</v>
      </c>
      <c r="O10021">
        <v>26</v>
      </c>
      <c r="P10021">
        <v>0</v>
      </c>
    </row>
    <row r="10022" spans="1:16" x14ac:dyDescent="0.25">
      <c r="A10022" t="s">
        <v>32695</v>
      </c>
      <c r="B10022" t="s">
        <v>17614</v>
      </c>
      <c r="C10022" t="s">
        <v>17615</v>
      </c>
      <c r="D10022" t="str">
        <f>"1746"</f>
        <v>1746</v>
      </c>
      <c r="E10022" t="s">
        <v>807</v>
      </c>
      <c r="F10022" t="s">
        <v>24617</v>
      </c>
      <c r="G10022" t="s">
        <v>16221</v>
      </c>
      <c r="H10022" t="s">
        <v>47054</v>
      </c>
      <c r="I10022" t="s">
        <v>47154</v>
      </c>
      <c r="J10022" t="s">
        <v>47155</v>
      </c>
      <c r="K10022" t="s">
        <v>47113</v>
      </c>
      <c r="L10022">
        <v>7.43</v>
      </c>
      <c r="M10022">
        <v>26</v>
      </c>
      <c r="N10022">
        <v>69</v>
      </c>
      <c r="O10022">
        <v>26</v>
      </c>
      <c r="P10022">
        <v>69</v>
      </c>
    </row>
    <row r="10023" spans="1:16" x14ac:dyDescent="0.25">
      <c r="A10023" t="s">
        <v>32696</v>
      </c>
      <c r="B10023" t="s">
        <v>17614</v>
      </c>
      <c r="C10023" t="s">
        <v>17615</v>
      </c>
      <c r="D10023" t="str">
        <f>"4002"</f>
        <v>4002</v>
      </c>
      <c r="E10023" t="s">
        <v>710</v>
      </c>
      <c r="F10023" t="s">
        <v>1</v>
      </c>
      <c r="G10023" t="s">
        <v>16221</v>
      </c>
      <c r="H10023" t="s">
        <v>47054</v>
      </c>
      <c r="I10023" t="s">
        <v>47154</v>
      </c>
      <c r="J10023" t="s">
        <v>47155</v>
      </c>
      <c r="K10023" t="s">
        <v>47113</v>
      </c>
      <c r="L10023">
        <v>7.37</v>
      </c>
      <c r="M10023">
        <v>26</v>
      </c>
      <c r="N10023">
        <v>0</v>
      </c>
      <c r="O10023">
        <v>26</v>
      </c>
      <c r="P10023">
        <v>0</v>
      </c>
    </row>
    <row r="10024" spans="1:16" x14ac:dyDescent="0.25">
      <c r="A10024" t="s">
        <v>32697</v>
      </c>
      <c r="B10024" t="s">
        <v>17614</v>
      </c>
      <c r="C10024" t="s">
        <v>17615</v>
      </c>
      <c r="D10024" t="str">
        <f>"6011"</f>
        <v>6011</v>
      </c>
      <c r="E10024" t="s">
        <v>8746</v>
      </c>
      <c r="F10024" t="s">
        <v>24617</v>
      </c>
      <c r="G10024" t="s">
        <v>16221</v>
      </c>
      <c r="H10024" t="s">
        <v>47054</v>
      </c>
      <c r="I10024" t="s">
        <v>47154</v>
      </c>
      <c r="J10024" t="s">
        <v>47155</v>
      </c>
      <c r="K10024" t="s">
        <v>47113</v>
      </c>
      <c r="L10024">
        <v>7.43</v>
      </c>
      <c r="M10024">
        <v>26</v>
      </c>
      <c r="N10024">
        <v>0</v>
      </c>
      <c r="O10024">
        <v>26</v>
      </c>
      <c r="P10024">
        <v>0</v>
      </c>
    </row>
    <row r="10025" spans="1:16" x14ac:dyDescent="0.25">
      <c r="A10025" t="s">
        <v>32698</v>
      </c>
      <c r="B10025" t="s">
        <v>17614</v>
      </c>
      <c r="C10025" t="s">
        <v>17615</v>
      </c>
      <c r="D10025" t="str">
        <f>"6495"</f>
        <v>6495</v>
      </c>
      <c r="E10025" t="s">
        <v>32699</v>
      </c>
      <c r="F10025" t="s">
        <v>1</v>
      </c>
      <c r="G10025" t="s">
        <v>16221</v>
      </c>
      <c r="H10025" t="s">
        <v>47054</v>
      </c>
      <c r="I10025" t="s">
        <v>47154</v>
      </c>
      <c r="J10025" t="s">
        <v>47155</v>
      </c>
      <c r="K10025" t="s">
        <v>47113</v>
      </c>
      <c r="L10025">
        <v>7.58</v>
      </c>
      <c r="M10025">
        <v>26</v>
      </c>
      <c r="N10025">
        <v>69</v>
      </c>
      <c r="O10025">
        <v>26</v>
      </c>
      <c r="P10025">
        <v>69</v>
      </c>
    </row>
    <row r="10026" spans="1:16" x14ac:dyDescent="0.25">
      <c r="A10026" t="s">
        <v>32700</v>
      </c>
      <c r="B10026" t="s">
        <v>20503</v>
      </c>
      <c r="C10026" t="s">
        <v>20504</v>
      </c>
      <c r="D10026" t="str">
        <f>"1001"</f>
        <v>1001</v>
      </c>
      <c r="E10026" t="s">
        <v>42</v>
      </c>
      <c r="F10026" t="s">
        <v>3750</v>
      </c>
      <c r="G10026" t="s">
        <v>16221</v>
      </c>
      <c r="H10026" t="s">
        <v>47054</v>
      </c>
      <c r="I10026" t="s">
        <v>47120</v>
      </c>
      <c r="J10026" t="s">
        <v>47121</v>
      </c>
      <c r="K10026" t="s">
        <v>47113</v>
      </c>
      <c r="L10026">
        <v>5.09</v>
      </c>
      <c r="M10026">
        <v>12</v>
      </c>
      <c r="N10026">
        <v>0</v>
      </c>
      <c r="O10026">
        <v>12</v>
      </c>
      <c r="P10026">
        <v>0</v>
      </c>
    </row>
    <row r="10027" spans="1:16" x14ac:dyDescent="0.25">
      <c r="A10027" t="s">
        <v>32701</v>
      </c>
      <c r="B10027" t="s">
        <v>20505</v>
      </c>
      <c r="C10027" t="s">
        <v>20506</v>
      </c>
      <c r="D10027" t="str">
        <f>"1001"</f>
        <v>1001</v>
      </c>
      <c r="E10027" t="s">
        <v>42</v>
      </c>
      <c r="F10027" t="s">
        <v>3750</v>
      </c>
      <c r="G10027" t="s">
        <v>16221</v>
      </c>
      <c r="H10027" t="s">
        <v>47054</v>
      </c>
      <c r="I10027" t="s">
        <v>47120</v>
      </c>
      <c r="J10027" t="s">
        <v>47121</v>
      </c>
      <c r="K10027" t="s">
        <v>47113</v>
      </c>
      <c r="L10027">
        <v>6.96</v>
      </c>
      <c r="M10027">
        <v>12</v>
      </c>
      <c r="N10027">
        <v>0</v>
      </c>
      <c r="O10027">
        <v>12</v>
      </c>
      <c r="P10027">
        <v>0</v>
      </c>
    </row>
    <row r="10028" spans="1:16" x14ac:dyDescent="0.25">
      <c r="A10028" t="s">
        <v>32702</v>
      </c>
      <c r="B10028" t="s">
        <v>20507</v>
      </c>
      <c r="C10028" t="s">
        <v>20508</v>
      </c>
      <c r="D10028" t="str">
        <f>"6064"</f>
        <v>6064</v>
      </c>
      <c r="E10028" t="s">
        <v>87</v>
      </c>
      <c r="F10028" t="s">
        <v>2068</v>
      </c>
      <c r="G10028" t="s">
        <v>16221</v>
      </c>
      <c r="H10028" t="s">
        <v>47054</v>
      </c>
      <c r="I10028" t="s">
        <v>47111</v>
      </c>
      <c r="J10028" t="s">
        <v>47112</v>
      </c>
      <c r="K10028" t="s">
        <v>47113</v>
      </c>
      <c r="L10028">
        <v>7.8</v>
      </c>
      <c r="M10028">
        <v>33</v>
      </c>
      <c r="N10028">
        <v>0</v>
      </c>
      <c r="O10028">
        <v>33</v>
      </c>
      <c r="P10028">
        <v>0</v>
      </c>
    </row>
    <row r="10029" spans="1:16" x14ac:dyDescent="0.25">
      <c r="A10029" t="s">
        <v>32703</v>
      </c>
      <c r="B10029" t="s">
        <v>15554</v>
      </c>
      <c r="C10029" t="s">
        <v>15555</v>
      </c>
      <c r="D10029" t="str">
        <f>"1001"</f>
        <v>1001</v>
      </c>
      <c r="E10029" t="s">
        <v>42</v>
      </c>
      <c r="F10029" t="s">
        <v>3750</v>
      </c>
      <c r="G10029" t="s">
        <v>16221</v>
      </c>
      <c r="H10029" t="s">
        <v>47054</v>
      </c>
      <c r="I10029" t="s">
        <v>47116</v>
      </c>
      <c r="J10029" t="s">
        <v>47117</v>
      </c>
      <c r="K10029" t="s">
        <v>47113</v>
      </c>
      <c r="L10029">
        <v>5.6</v>
      </c>
      <c r="M10029">
        <v>22</v>
      </c>
      <c r="N10029">
        <v>0</v>
      </c>
      <c r="O10029">
        <v>22</v>
      </c>
      <c r="P10029">
        <v>0</v>
      </c>
    </row>
    <row r="10030" spans="1:16" x14ac:dyDescent="0.25">
      <c r="A10030" t="s">
        <v>32704</v>
      </c>
      <c r="B10030" t="s">
        <v>15554</v>
      </c>
      <c r="C10030" t="s">
        <v>15555</v>
      </c>
      <c r="D10030" t="str">
        <f>"1700"</f>
        <v>1700</v>
      </c>
      <c r="E10030" t="s">
        <v>60</v>
      </c>
      <c r="F10030" t="s">
        <v>3750</v>
      </c>
      <c r="G10030" t="s">
        <v>16221</v>
      </c>
      <c r="H10030" t="s">
        <v>47054</v>
      </c>
      <c r="I10030" t="s">
        <v>47116</v>
      </c>
      <c r="J10030" t="s">
        <v>47117</v>
      </c>
      <c r="K10030" t="s">
        <v>47113</v>
      </c>
      <c r="L10030">
        <v>5.6</v>
      </c>
      <c r="M10030">
        <v>22</v>
      </c>
      <c r="N10030">
        <v>0</v>
      </c>
      <c r="O10030">
        <v>22</v>
      </c>
      <c r="P10030">
        <v>0</v>
      </c>
    </row>
    <row r="10031" spans="1:16" x14ac:dyDescent="0.25">
      <c r="A10031" t="s">
        <v>32705</v>
      </c>
      <c r="B10031" t="s">
        <v>7372</v>
      </c>
      <c r="C10031" t="s">
        <v>7373</v>
      </c>
      <c r="D10031" t="str">
        <f>"4100"</f>
        <v>4100</v>
      </c>
      <c r="E10031" t="s">
        <v>2383</v>
      </c>
      <c r="F10031" t="s">
        <v>3750</v>
      </c>
      <c r="G10031" t="s">
        <v>16221</v>
      </c>
      <c r="H10031" t="s">
        <v>47054</v>
      </c>
      <c r="I10031" t="s">
        <v>47116</v>
      </c>
      <c r="J10031" t="s">
        <v>47117</v>
      </c>
      <c r="K10031" t="s">
        <v>47113</v>
      </c>
      <c r="L10031">
        <v>6.17</v>
      </c>
      <c r="M10031">
        <v>22</v>
      </c>
      <c r="N10031">
        <v>0</v>
      </c>
      <c r="O10031">
        <v>22</v>
      </c>
      <c r="P10031">
        <v>0</v>
      </c>
    </row>
    <row r="10032" spans="1:16" x14ac:dyDescent="0.25">
      <c r="A10032" t="s">
        <v>32706</v>
      </c>
      <c r="B10032" t="s">
        <v>7374</v>
      </c>
      <c r="C10032" t="s">
        <v>7375</v>
      </c>
      <c r="D10032" t="str">
        <f>"1001"</f>
        <v>1001</v>
      </c>
      <c r="E10032" t="s">
        <v>42</v>
      </c>
      <c r="F10032" t="s">
        <v>3750</v>
      </c>
      <c r="G10032" t="s">
        <v>16221</v>
      </c>
      <c r="H10032" t="s">
        <v>47054</v>
      </c>
      <c r="I10032" t="s">
        <v>47111</v>
      </c>
      <c r="J10032" t="s">
        <v>47112</v>
      </c>
      <c r="K10032" t="s">
        <v>47113</v>
      </c>
      <c r="L10032">
        <v>5.62</v>
      </c>
      <c r="M10032">
        <v>22</v>
      </c>
      <c r="N10032">
        <v>0</v>
      </c>
      <c r="O10032">
        <v>22</v>
      </c>
      <c r="P10032">
        <v>0</v>
      </c>
    </row>
    <row r="10033" spans="1:16" x14ac:dyDescent="0.25">
      <c r="A10033" t="s">
        <v>32707</v>
      </c>
      <c r="B10033" t="s">
        <v>7376</v>
      </c>
      <c r="C10033" t="s">
        <v>7377</v>
      </c>
      <c r="D10033" t="str">
        <f>"1702"</f>
        <v>1702</v>
      </c>
      <c r="E10033" t="s">
        <v>1956</v>
      </c>
      <c r="F10033" t="s">
        <v>3750</v>
      </c>
      <c r="G10033" t="s">
        <v>16221</v>
      </c>
      <c r="H10033" t="s">
        <v>47054</v>
      </c>
      <c r="I10033" t="s">
        <v>47111</v>
      </c>
      <c r="J10033" t="s">
        <v>47112</v>
      </c>
      <c r="K10033" t="s">
        <v>47113</v>
      </c>
      <c r="L10033">
        <v>5.62</v>
      </c>
      <c r="M10033">
        <v>22</v>
      </c>
      <c r="N10033">
        <v>0</v>
      </c>
      <c r="O10033">
        <v>22</v>
      </c>
      <c r="P10033">
        <v>0</v>
      </c>
    </row>
    <row r="10034" spans="1:16" x14ac:dyDescent="0.25">
      <c r="A10034" t="s">
        <v>32708</v>
      </c>
      <c r="B10034" t="s">
        <v>7376</v>
      </c>
      <c r="C10034" t="s">
        <v>7377</v>
      </c>
      <c r="D10034" t="str">
        <f>"6433"</f>
        <v>6433</v>
      </c>
      <c r="E10034" t="s">
        <v>7168</v>
      </c>
      <c r="F10034" t="s">
        <v>3750</v>
      </c>
      <c r="G10034" t="s">
        <v>16221</v>
      </c>
      <c r="H10034" t="s">
        <v>47054</v>
      </c>
      <c r="I10034" t="s">
        <v>47111</v>
      </c>
      <c r="J10034" t="s">
        <v>47112</v>
      </c>
      <c r="K10034" t="s">
        <v>47113</v>
      </c>
      <c r="L10034">
        <v>5.62</v>
      </c>
      <c r="M10034">
        <v>22</v>
      </c>
      <c r="N10034">
        <v>0</v>
      </c>
      <c r="O10034">
        <v>22</v>
      </c>
      <c r="P10034">
        <v>0</v>
      </c>
    </row>
    <row r="10035" spans="1:16" x14ac:dyDescent="0.25">
      <c r="A10035" t="s">
        <v>32709</v>
      </c>
      <c r="B10035" t="s">
        <v>7378</v>
      </c>
      <c r="C10035" t="s">
        <v>7379</v>
      </c>
      <c r="D10035" t="str">
        <f>"1001"</f>
        <v>1001</v>
      </c>
      <c r="E10035" t="s">
        <v>42</v>
      </c>
      <c r="F10035" t="s">
        <v>3750</v>
      </c>
      <c r="G10035" t="s">
        <v>16221</v>
      </c>
      <c r="H10035" t="s">
        <v>47054</v>
      </c>
      <c r="I10035" t="s">
        <v>47116</v>
      </c>
      <c r="J10035" t="s">
        <v>47117</v>
      </c>
      <c r="K10035" t="s">
        <v>47113</v>
      </c>
      <c r="L10035">
        <v>5.62</v>
      </c>
      <c r="M10035">
        <v>22</v>
      </c>
      <c r="N10035">
        <v>0</v>
      </c>
      <c r="O10035">
        <v>22</v>
      </c>
      <c r="P10035">
        <v>0</v>
      </c>
    </row>
    <row r="10036" spans="1:16" x14ac:dyDescent="0.25">
      <c r="A10036" t="s">
        <v>32710</v>
      </c>
      <c r="B10036" t="s">
        <v>7380</v>
      </c>
      <c r="C10036" t="s">
        <v>7381</v>
      </c>
      <c r="D10036" t="str">
        <f>"1001"</f>
        <v>1001</v>
      </c>
      <c r="E10036" t="s">
        <v>42</v>
      </c>
      <c r="F10036" t="s">
        <v>3750</v>
      </c>
      <c r="G10036" t="s">
        <v>16221</v>
      </c>
      <c r="H10036" t="s">
        <v>47054</v>
      </c>
      <c r="I10036" t="s">
        <v>47116</v>
      </c>
      <c r="J10036" t="s">
        <v>47117</v>
      </c>
      <c r="K10036" t="s">
        <v>47113</v>
      </c>
      <c r="L10036">
        <v>5.62</v>
      </c>
      <c r="M10036">
        <v>22</v>
      </c>
      <c r="N10036">
        <v>0</v>
      </c>
      <c r="O10036">
        <v>22</v>
      </c>
      <c r="P10036">
        <v>0</v>
      </c>
    </row>
    <row r="10037" spans="1:16" x14ac:dyDescent="0.25">
      <c r="A10037" t="s">
        <v>32711</v>
      </c>
      <c r="B10037" t="s">
        <v>7380</v>
      </c>
      <c r="C10037" t="s">
        <v>7381</v>
      </c>
      <c r="D10037" t="str">
        <f>"1700"</f>
        <v>1700</v>
      </c>
      <c r="E10037" t="s">
        <v>60</v>
      </c>
      <c r="F10037" t="s">
        <v>3750</v>
      </c>
      <c r="G10037" t="s">
        <v>16221</v>
      </c>
      <c r="H10037" t="s">
        <v>47054</v>
      </c>
      <c r="I10037" t="s">
        <v>47116</v>
      </c>
      <c r="J10037" t="s">
        <v>47117</v>
      </c>
      <c r="K10037" t="s">
        <v>47113</v>
      </c>
      <c r="L10037">
        <v>5.62</v>
      </c>
      <c r="M10037">
        <v>22</v>
      </c>
      <c r="N10037">
        <v>0</v>
      </c>
      <c r="O10037">
        <v>22</v>
      </c>
      <c r="P10037">
        <v>0</v>
      </c>
    </row>
    <row r="10038" spans="1:16" x14ac:dyDescent="0.25">
      <c r="A10038" t="s">
        <v>32712</v>
      </c>
      <c r="B10038" t="s">
        <v>14506</v>
      </c>
      <c r="C10038" t="s">
        <v>14505</v>
      </c>
      <c r="D10038" t="str">
        <f>"1001"</f>
        <v>1001</v>
      </c>
      <c r="E10038" t="s">
        <v>42</v>
      </c>
      <c r="F10038" t="s">
        <v>3750</v>
      </c>
      <c r="G10038" t="s">
        <v>16221</v>
      </c>
      <c r="H10038" t="s">
        <v>47054</v>
      </c>
      <c r="I10038" t="s">
        <v>47116</v>
      </c>
      <c r="J10038" t="s">
        <v>47117</v>
      </c>
      <c r="K10038" t="s">
        <v>47113</v>
      </c>
      <c r="L10038">
        <v>6.04</v>
      </c>
      <c r="M10038">
        <v>22</v>
      </c>
      <c r="N10038">
        <v>0</v>
      </c>
      <c r="O10038">
        <v>22</v>
      </c>
      <c r="P10038">
        <v>0</v>
      </c>
    </row>
    <row r="10039" spans="1:16" x14ac:dyDescent="0.25">
      <c r="A10039" t="s">
        <v>32713</v>
      </c>
      <c r="B10039" t="s">
        <v>15556</v>
      </c>
      <c r="C10039" t="s">
        <v>15557</v>
      </c>
      <c r="D10039" t="str">
        <f>"1700"</f>
        <v>1700</v>
      </c>
      <c r="E10039" t="s">
        <v>60</v>
      </c>
      <c r="F10039" t="s">
        <v>3750</v>
      </c>
      <c r="G10039" t="s">
        <v>16221</v>
      </c>
      <c r="H10039" t="s">
        <v>47054</v>
      </c>
      <c r="I10039" t="s">
        <v>47111</v>
      </c>
      <c r="J10039" t="s">
        <v>47112</v>
      </c>
      <c r="K10039" t="s">
        <v>47113</v>
      </c>
      <c r="L10039">
        <v>5.6</v>
      </c>
      <c r="M10039">
        <v>22</v>
      </c>
      <c r="N10039">
        <v>0</v>
      </c>
      <c r="O10039">
        <v>22</v>
      </c>
      <c r="P10039">
        <v>0</v>
      </c>
    </row>
    <row r="10040" spans="1:16" x14ac:dyDescent="0.25">
      <c r="A10040" t="s">
        <v>32714</v>
      </c>
      <c r="B10040" t="s">
        <v>15556</v>
      </c>
      <c r="C10040" t="s">
        <v>15557</v>
      </c>
      <c r="D10040" t="str">
        <f>"4000"</f>
        <v>4000</v>
      </c>
      <c r="E10040" t="s">
        <v>15558</v>
      </c>
      <c r="F10040" t="s">
        <v>3750</v>
      </c>
      <c r="G10040" t="s">
        <v>16221</v>
      </c>
      <c r="H10040" t="s">
        <v>47054</v>
      </c>
      <c r="I10040" t="s">
        <v>47111</v>
      </c>
      <c r="J10040" t="s">
        <v>47112</v>
      </c>
      <c r="K10040" t="s">
        <v>47113</v>
      </c>
      <c r="L10040">
        <v>5.6</v>
      </c>
      <c r="M10040">
        <v>22</v>
      </c>
      <c r="N10040">
        <v>0</v>
      </c>
      <c r="O10040">
        <v>22</v>
      </c>
      <c r="P10040">
        <v>0</v>
      </c>
    </row>
    <row r="10041" spans="1:16" x14ac:dyDescent="0.25">
      <c r="A10041" t="s">
        <v>32715</v>
      </c>
      <c r="B10041" t="s">
        <v>17616</v>
      </c>
      <c r="C10041" t="s">
        <v>17617</v>
      </c>
      <c r="D10041" t="str">
        <f>"1700"</f>
        <v>1700</v>
      </c>
      <c r="E10041" t="s">
        <v>60</v>
      </c>
      <c r="F10041" t="s">
        <v>3750</v>
      </c>
      <c r="G10041" t="s">
        <v>16221</v>
      </c>
      <c r="H10041" t="s">
        <v>47054</v>
      </c>
      <c r="I10041" t="s">
        <v>47116</v>
      </c>
      <c r="J10041" t="s">
        <v>47117</v>
      </c>
      <c r="K10041" t="s">
        <v>47113</v>
      </c>
      <c r="L10041">
        <v>5.47</v>
      </c>
      <c r="M10041">
        <v>16</v>
      </c>
      <c r="N10041">
        <v>0</v>
      </c>
      <c r="O10041">
        <v>16</v>
      </c>
      <c r="P10041">
        <v>0</v>
      </c>
    </row>
    <row r="10042" spans="1:16" x14ac:dyDescent="0.25">
      <c r="A10042" t="s">
        <v>32716</v>
      </c>
      <c r="B10042" t="s">
        <v>17616</v>
      </c>
      <c r="C10042" t="s">
        <v>17617</v>
      </c>
      <c r="D10042" t="str">
        <f>"4100"</f>
        <v>4100</v>
      </c>
      <c r="E10042" t="s">
        <v>2383</v>
      </c>
      <c r="F10042" t="s">
        <v>3750</v>
      </c>
      <c r="G10042" t="s">
        <v>16221</v>
      </c>
      <c r="H10042" t="s">
        <v>47054</v>
      </c>
      <c r="I10042" t="s">
        <v>47116</v>
      </c>
      <c r="J10042" t="s">
        <v>47117</v>
      </c>
      <c r="K10042" t="s">
        <v>47113</v>
      </c>
      <c r="L10042">
        <v>5.47</v>
      </c>
      <c r="M10042">
        <v>16</v>
      </c>
      <c r="N10042">
        <v>0</v>
      </c>
      <c r="O10042">
        <v>16</v>
      </c>
      <c r="P10042">
        <v>0</v>
      </c>
    </row>
    <row r="10043" spans="1:16" x14ac:dyDescent="0.25">
      <c r="A10043" t="s">
        <v>32717</v>
      </c>
      <c r="B10043" t="s">
        <v>17618</v>
      </c>
      <c r="C10043" t="s">
        <v>17619</v>
      </c>
      <c r="D10043" t="str">
        <f>"1700"</f>
        <v>1700</v>
      </c>
      <c r="E10043" t="s">
        <v>60</v>
      </c>
      <c r="F10043" t="s">
        <v>3750</v>
      </c>
      <c r="G10043" t="s">
        <v>16221</v>
      </c>
      <c r="H10043" t="s">
        <v>47054</v>
      </c>
      <c r="I10043" t="s">
        <v>47116</v>
      </c>
      <c r="J10043" t="s">
        <v>47117</v>
      </c>
      <c r="K10043" t="s">
        <v>47113</v>
      </c>
      <c r="L10043">
        <v>6.46</v>
      </c>
      <c r="M10043">
        <v>18</v>
      </c>
      <c r="N10043">
        <v>0</v>
      </c>
      <c r="O10043">
        <v>18</v>
      </c>
      <c r="P10043">
        <v>0</v>
      </c>
    </row>
    <row r="10044" spans="1:16" x14ac:dyDescent="0.25">
      <c r="A10044" t="s">
        <v>32718</v>
      </c>
      <c r="B10044" t="s">
        <v>17620</v>
      </c>
      <c r="C10044" t="s">
        <v>17621</v>
      </c>
      <c r="D10044" t="str">
        <f>"1700"</f>
        <v>1700</v>
      </c>
      <c r="E10044" t="s">
        <v>60</v>
      </c>
      <c r="F10044" t="s">
        <v>3670</v>
      </c>
      <c r="G10044" t="s">
        <v>16221</v>
      </c>
      <c r="H10044" t="s">
        <v>47054</v>
      </c>
      <c r="I10044" t="s">
        <v>47111</v>
      </c>
      <c r="J10044" t="s">
        <v>47112</v>
      </c>
      <c r="K10044" t="s">
        <v>47113</v>
      </c>
      <c r="L10044">
        <v>6.13</v>
      </c>
      <c r="M10044">
        <v>18</v>
      </c>
      <c r="N10044">
        <v>0</v>
      </c>
      <c r="O10044">
        <v>18</v>
      </c>
      <c r="P10044">
        <v>0</v>
      </c>
    </row>
    <row r="10045" spans="1:16" x14ac:dyDescent="0.25">
      <c r="A10045" t="s">
        <v>32719</v>
      </c>
      <c r="B10045" t="s">
        <v>17622</v>
      </c>
      <c r="C10045" t="s">
        <v>17623</v>
      </c>
      <c r="D10045" t="str">
        <f>"1001"</f>
        <v>1001</v>
      </c>
      <c r="E10045" t="s">
        <v>42</v>
      </c>
      <c r="F10045" t="s">
        <v>3750</v>
      </c>
      <c r="G10045" t="s">
        <v>16221</v>
      </c>
      <c r="H10045" t="s">
        <v>47054</v>
      </c>
      <c r="I10045" t="s">
        <v>47116</v>
      </c>
      <c r="J10045" t="s">
        <v>47117</v>
      </c>
      <c r="K10045" t="s">
        <v>47113</v>
      </c>
      <c r="L10045">
        <v>5.98</v>
      </c>
      <c r="M10045">
        <v>17</v>
      </c>
      <c r="N10045">
        <v>0</v>
      </c>
      <c r="O10045">
        <v>17</v>
      </c>
      <c r="P10045">
        <v>0</v>
      </c>
    </row>
    <row r="10046" spans="1:16" x14ac:dyDescent="0.25">
      <c r="A10046" t="s">
        <v>32720</v>
      </c>
      <c r="B10046" t="s">
        <v>17624</v>
      </c>
      <c r="C10046" t="s">
        <v>17625</v>
      </c>
      <c r="D10046" t="str">
        <f>"1001"</f>
        <v>1001</v>
      </c>
      <c r="E10046" t="s">
        <v>42</v>
      </c>
      <c r="F10046" t="s">
        <v>3750</v>
      </c>
      <c r="G10046" t="s">
        <v>16221</v>
      </c>
      <c r="H10046" t="s">
        <v>47054</v>
      </c>
      <c r="I10046" t="s">
        <v>47116</v>
      </c>
      <c r="J10046" t="s">
        <v>47117</v>
      </c>
      <c r="K10046" t="s">
        <v>47113</v>
      </c>
      <c r="L10046">
        <v>8.15</v>
      </c>
      <c r="M10046">
        <v>24</v>
      </c>
      <c r="N10046">
        <v>0</v>
      </c>
      <c r="O10046">
        <v>24</v>
      </c>
      <c r="P10046">
        <v>0</v>
      </c>
    </row>
    <row r="10047" spans="1:16" x14ac:dyDescent="0.25">
      <c r="A10047" t="s">
        <v>32721</v>
      </c>
      <c r="B10047" t="s">
        <v>17626</v>
      </c>
      <c r="C10047" t="s">
        <v>17627</v>
      </c>
      <c r="D10047" t="str">
        <f>"1001"</f>
        <v>1001</v>
      </c>
      <c r="E10047" t="s">
        <v>42</v>
      </c>
      <c r="F10047" t="s">
        <v>3750</v>
      </c>
      <c r="G10047" t="s">
        <v>16221</v>
      </c>
      <c r="H10047" t="s">
        <v>47054</v>
      </c>
      <c r="I10047" t="s">
        <v>47116</v>
      </c>
      <c r="J10047" t="s">
        <v>47117</v>
      </c>
      <c r="K10047" t="s">
        <v>47113</v>
      </c>
      <c r="L10047">
        <v>6.13</v>
      </c>
      <c r="M10047">
        <v>18</v>
      </c>
      <c r="N10047">
        <v>0</v>
      </c>
      <c r="O10047">
        <v>18</v>
      </c>
      <c r="P10047">
        <v>0</v>
      </c>
    </row>
    <row r="10048" spans="1:16" x14ac:dyDescent="0.25">
      <c r="A10048" t="s">
        <v>32722</v>
      </c>
      <c r="B10048" t="s">
        <v>17626</v>
      </c>
      <c r="C10048" t="s">
        <v>17627</v>
      </c>
      <c r="D10048" t="str">
        <f>"1700"</f>
        <v>1700</v>
      </c>
      <c r="E10048" t="s">
        <v>60</v>
      </c>
      <c r="F10048" t="s">
        <v>3750</v>
      </c>
      <c r="G10048" t="s">
        <v>16221</v>
      </c>
      <c r="H10048" t="s">
        <v>47054</v>
      </c>
      <c r="I10048" t="s">
        <v>47116</v>
      </c>
      <c r="J10048" t="s">
        <v>47117</v>
      </c>
      <c r="K10048" t="s">
        <v>47113</v>
      </c>
      <c r="L10048">
        <v>6.13</v>
      </c>
      <c r="M10048">
        <v>18</v>
      </c>
      <c r="N10048">
        <v>0</v>
      </c>
      <c r="O10048">
        <v>18</v>
      </c>
      <c r="P10048">
        <v>0</v>
      </c>
    </row>
    <row r="10049" spans="1:16" x14ac:dyDescent="0.25">
      <c r="A10049" t="s">
        <v>32723</v>
      </c>
      <c r="B10049" t="s">
        <v>17626</v>
      </c>
      <c r="C10049" t="s">
        <v>17627</v>
      </c>
      <c r="D10049" t="str">
        <f>"6000"</f>
        <v>6000</v>
      </c>
      <c r="E10049" t="s">
        <v>238</v>
      </c>
      <c r="F10049" t="s">
        <v>3750</v>
      </c>
      <c r="G10049" t="s">
        <v>16221</v>
      </c>
      <c r="H10049" t="s">
        <v>47054</v>
      </c>
      <c r="I10049" t="s">
        <v>47116</v>
      </c>
      <c r="J10049" t="s">
        <v>47117</v>
      </c>
      <c r="K10049" t="s">
        <v>47113</v>
      </c>
      <c r="L10049">
        <v>6.13</v>
      </c>
      <c r="M10049">
        <v>18</v>
      </c>
      <c r="N10049">
        <v>0</v>
      </c>
      <c r="O10049">
        <v>18</v>
      </c>
      <c r="P10049">
        <v>0</v>
      </c>
    </row>
    <row r="10050" spans="1:16" x14ac:dyDescent="0.25">
      <c r="A10050" t="s">
        <v>32724</v>
      </c>
      <c r="B10050" t="s">
        <v>17628</v>
      </c>
      <c r="C10050" t="s">
        <v>17629</v>
      </c>
      <c r="D10050" t="str">
        <f>"1700"</f>
        <v>1700</v>
      </c>
      <c r="E10050" t="s">
        <v>60</v>
      </c>
      <c r="F10050" t="s">
        <v>3750</v>
      </c>
      <c r="G10050" t="s">
        <v>16221</v>
      </c>
      <c r="H10050" t="s">
        <v>47054</v>
      </c>
      <c r="I10050" t="s">
        <v>47116</v>
      </c>
      <c r="J10050" t="s">
        <v>47117</v>
      </c>
      <c r="K10050" t="s">
        <v>47113</v>
      </c>
      <c r="L10050">
        <v>8.1300000000000008</v>
      </c>
      <c r="M10050">
        <v>23</v>
      </c>
      <c r="N10050">
        <v>0</v>
      </c>
      <c r="O10050">
        <v>23</v>
      </c>
      <c r="P10050">
        <v>0</v>
      </c>
    </row>
    <row r="10051" spans="1:16" x14ac:dyDescent="0.25">
      <c r="A10051" t="s">
        <v>32725</v>
      </c>
      <c r="B10051" t="s">
        <v>17628</v>
      </c>
      <c r="C10051" t="s">
        <v>17629</v>
      </c>
      <c r="D10051" t="str">
        <f>"4100"</f>
        <v>4100</v>
      </c>
      <c r="E10051" t="s">
        <v>2383</v>
      </c>
      <c r="F10051" t="s">
        <v>3750</v>
      </c>
      <c r="G10051" t="s">
        <v>16221</v>
      </c>
      <c r="H10051" t="s">
        <v>47054</v>
      </c>
      <c r="I10051" t="s">
        <v>47116</v>
      </c>
      <c r="J10051" t="s">
        <v>47117</v>
      </c>
      <c r="K10051" t="s">
        <v>47113</v>
      </c>
      <c r="L10051">
        <v>8.1300000000000008</v>
      </c>
      <c r="M10051">
        <v>23</v>
      </c>
      <c r="N10051">
        <v>0</v>
      </c>
      <c r="O10051">
        <v>23</v>
      </c>
      <c r="P10051">
        <v>0</v>
      </c>
    </row>
    <row r="10052" spans="1:16" x14ac:dyDescent="0.25">
      <c r="A10052" t="s">
        <v>32726</v>
      </c>
      <c r="B10052" t="s">
        <v>17630</v>
      </c>
      <c r="C10052" t="s">
        <v>17631</v>
      </c>
      <c r="D10052" t="str">
        <f>"1001"</f>
        <v>1001</v>
      </c>
      <c r="E10052" t="s">
        <v>42</v>
      </c>
      <c r="F10052" t="s">
        <v>3750</v>
      </c>
      <c r="G10052" t="s">
        <v>16221</v>
      </c>
      <c r="H10052" t="s">
        <v>47054</v>
      </c>
      <c r="I10052" t="s">
        <v>47116</v>
      </c>
      <c r="J10052" t="s">
        <v>47117</v>
      </c>
      <c r="K10052" t="s">
        <v>47113</v>
      </c>
      <c r="L10052">
        <v>7.22</v>
      </c>
      <c r="M10052">
        <v>21</v>
      </c>
      <c r="N10052">
        <v>0</v>
      </c>
      <c r="O10052">
        <v>21</v>
      </c>
      <c r="P10052">
        <v>0</v>
      </c>
    </row>
    <row r="10053" spans="1:16" x14ac:dyDescent="0.25">
      <c r="A10053" t="s">
        <v>32727</v>
      </c>
      <c r="B10053" t="s">
        <v>17630</v>
      </c>
      <c r="C10053" t="s">
        <v>17631</v>
      </c>
      <c r="D10053" t="str">
        <f>"1700"</f>
        <v>1700</v>
      </c>
      <c r="E10053" t="s">
        <v>60</v>
      </c>
      <c r="F10053" t="s">
        <v>3750</v>
      </c>
      <c r="G10053" t="s">
        <v>16221</v>
      </c>
      <c r="H10053" t="s">
        <v>47054</v>
      </c>
      <c r="I10053" t="s">
        <v>47116</v>
      </c>
      <c r="J10053" t="s">
        <v>47117</v>
      </c>
      <c r="K10053" t="s">
        <v>47113</v>
      </c>
      <c r="L10053">
        <v>7.22</v>
      </c>
      <c r="M10053">
        <v>21</v>
      </c>
      <c r="N10053">
        <v>0</v>
      </c>
      <c r="O10053">
        <v>21</v>
      </c>
      <c r="P10053">
        <v>0</v>
      </c>
    </row>
    <row r="10054" spans="1:16" x14ac:dyDescent="0.25">
      <c r="A10054" t="s">
        <v>32728</v>
      </c>
      <c r="B10054" t="s">
        <v>17632</v>
      </c>
      <c r="C10054" t="s">
        <v>17633</v>
      </c>
      <c r="D10054" t="str">
        <f>"1700"</f>
        <v>1700</v>
      </c>
      <c r="E10054" t="s">
        <v>60</v>
      </c>
      <c r="F10054" t="s">
        <v>3750</v>
      </c>
      <c r="G10054" t="s">
        <v>16221</v>
      </c>
      <c r="H10054" t="s">
        <v>47054</v>
      </c>
      <c r="I10054" t="s">
        <v>47116</v>
      </c>
      <c r="J10054" t="s">
        <v>47117</v>
      </c>
      <c r="K10054" t="s">
        <v>47113</v>
      </c>
      <c r="L10054">
        <v>6.44</v>
      </c>
      <c r="M10054">
        <v>19</v>
      </c>
      <c r="N10054">
        <v>0</v>
      </c>
      <c r="O10054">
        <v>19</v>
      </c>
      <c r="P10054">
        <v>0</v>
      </c>
    </row>
    <row r="10055" spans="1:16" x14ac:dyDescent="0.25">
      <c r="A10055" t="s">
        <v>32729</v>
      </c>
      <c r="B10055" t="s">
        <v>17634</v>
      </c>
      <c r="C10055" t="s">
        <v>17635</v>
      </c>
      <c r="D10055" t="str">
        <f>"1001"</f>
        <v>1001</v>
      </c>
      <c r="E10055" t="s">
        <v>42</v>
      </c>
      <c r="F10055" t="s">
        <v>3750</v>
      </c>
      <c r="G10055" t="s">
        <v>16221</v>
      </c>
      <c r="H10055" t="s">
        <v>47054</v>
      </c>
      <c r="I10055" t="s">
        <v>47116</v>
      </c>
      <c r="J10055" t="s">
        <v>47117</v>
      </c>
      <c r="K10055" t="s">
        <v>47113</v>
      </c>
      <c r="L10055">
        <v>5.91</v>
      </c>
      <c r="M10055">
        <v>17</v>
      </c>
      <c r="N10055">
        <v>0</v>
      </c>
      <c r="O10055">
        <v>17</v>
      </c>
      <c r="P10055">
        <v>0</v>
      </c>
    </row>
    <row r="10056" spans="1:16" x14ac:dyDescent="0.25">
      <c r="A10056" t="s">
        <v>32730</v>
      </c>
      <c r="B10056" t="s">
        <v>17634</v>
      </c>
      <c r="C10056" t="s">
        <v>17635</v>
      </c>
      <c r="D10056" t="str">
        <f>"1700"</f>
        <v>1700</v>
      </c>
      <c r="E10056" t="s">
        <v>60</v>
      </c>
      <c r="F10056" t="s">
        <v>3750</v>
      </c>
      <c r="G10056" t="s">
        <v>16221</v>
      </c>
      <c r="H10056" t="s">
        <v>47054</v>
      </c>
      <c r="I10056" t="s">
        <v>47116</v>
      </c>
      <c r="J10056" t="s">
        <v>47117</v>
      </c>
      <c r="K10056" t="s">
        <v>47113</v>
      </c>
      <c r="L10056">
        <v>5.91</v>
      </c>
      <c r="M10056">
        <v>17</v>
      </c>
      <c r="N10056">
        <v>0</v>
      </c>
      <c r="O10056">
        <v>17</v>
      </c>
      <c r="P10056">
        <v>0</v>
      </c>
    </row>
    <row r="10057" spans="1:16" x14ac:dyDescent="0.25">
      <c r="A10057" t="s">
        <v>32731</v>
      </c>
      <c r="B10057" t="s">
        <v>17634</v>
      </c>
      <c r="C10057" t="s">
        <v>17635</v>
      </c>
      <c r="D10057" t="str">
        <f>"6000"</f>
        <v>6000</v>
      </c>
      <c r="E10057" t="s">
        <v>238</v>
      </c>
      <c r="F10057" t="s">
        <v>3750</v>
      </c>
      <c r="G10057" t="s">
        <v>16221</v>
      </c>
      <c r="H10057" t="s">
        <v>47054</v>
      </c>
      <c r="I10057" t="s">
        <v>47116</v>
      </c>
      <c r="J10057" t="s">
        <v>47117</v>
      </c>
      <c r="K10057" t="s">
        <v>47113</v>
      </c>
      <c r="L10057">
        <v>4.47</v>
      </c>
      <c r="M10057">
        <v>12</v>
      </c>
      <c r="N10057">
        <v>0</v>
      </c>
      <c r="O10057">
        <v>12</v>
      </c>
      <c r="P10057">
        <v>0</v>
      </c>
    </row>
    <row r="10058" spans="1:16" x14ac:dyDescent="0.25">
      <c r="A10058" t="s">
        <v>32732</v>
      </c>
      <c r="B10058" t="s">
        <v>17636</v>
      </c>
      <c r="C10058" t="s">
        <v>17637</v>
      </c>
      <c r="D10058" t="str">
        <f>"1700"</f>
        <v>1700</v>
      </c>
      <c r="E10058" t="s">
        <v>60</v>
      </c>
      <c r="F10058" t="s">
        <v>3750</v>
      </c>
      <c r="G10058" t="s">
        <v>16221</v>
      </c>
      <c r="H10058" t="s">
        <v>47054</v>
      </c>
      <c r="I10058" t="s">
        <v>47116</v>
      </c>
      <c r="J10058" t="s">
        <v>47117</v>
      </c>
      <c r="K10058" t="s">
        <v>47113</v>
      </c>
      <c r="L10058">
        <v>6.46</v>
      </c>
      <c r="M10058">
        <v>18</v>
      </c>
      <c r="N10058">
        <v>0</v>
      </c>
      <c r="O10058">
        <v>18</v>
      </c>
      <c r="P10058">
        <v>0</v>
      </c>
    </row>
    <row r="10059" spans="1:16" x14ac:dyDescent="0.25">
      <c r="A10059" t="s">
        <v>32733</v>
      </c>
      <c r="B10059" t="s">
        <v>17636</v>
      </c>
      <c r="C10059" t="s">
        <v>17637</v>
      </c>
      <c r="D10059" t="str">
        <f>"6000"</f>
        <v>6000</v>
      </c>
      <c r="E10059" t="s">
        <v>238</v>
      </c>
      <c r="F10059" t="s">
        <v>3750</v>
      </c>
      <c r="G10059" t="s">
        <v>16221</v>
      </c>
      <c r="H10059" t="s">
        <v>47054</v>
      </c>
      <c r="I10059" t="s">
        <v>47116</v>
      </c>
      <c r="J10059" t="s">
        <v>47117</v>
      </c>
      <c r="K10059" t="s">
        <v>47113</v>
      </c>
      <c r="L10059">
        <v>6.46</v>
      </c>
      <c r="M10059">
        <v>18</v>
      </c>
      <c r="N10059">
        <v>0</v>
      </c>
      <c r="O10059">
        <v>18</v>
      </c>
      <c r="P10059">
        <v>0</v>
      </c>
    </row>
    <row r="10060" spans="1:16" x14ac:dyDescent="0.25">
      <c r="A10060" t="s">
        <v>32734</v>
      </c>
      <c r="B10060" t="s">
        <v>17638</v>
      </c>
      <c r="C10060" t="s">
        <v>17639</v>
      </c>
      <c r="D10060" t="str">
        <f>"1001"</f>
        <v>1001</v>
      </c>
      <c r="E10060" t="s">
        <v>42</v>
      </c>
      <c r="F10060" t="s">
        <v>3750</v>
      </c>
      <c r="G10060" t="s">
        <v>16221</v>
      </c>
      <c r="H10060" t="s">
        <v>47054</v>
      </c>
      <c r="I10060" t="s">
        <v>47116</v>
      </c>
      <c r="J10060" t="s">
        <v>47117</v>
      </c>
      <c r="K10060" t="s">
        <v>47113</v>
      </c>
      <c r="L10060">
        <v>6.22</v>
      </c>
      <c r="M10060">
        <v>17</v>
      </c>
      <c r="N10060">
        <v>0</v>
      </c>
      <c r="O10060">
        <v>17</v>
      </c>
      <c r="P10060">
        <v>0</v>
      </c>
    </row>
    <row r="10061" spans="1:16" x14ac:dyDescent="0.25">
      <c r="A10061" t="s">
        <v>32735</v>
      </c>
      <c r="B10061" t="s">
        <v>32736</v>
      </c>
      <c r="C10061" t="s">
        <v>32737</v>
      </c>
      <c r="D10061" t="str">
        <f>"1035"</f>
        <v>1035</v>
      </c>
      <c r="E10061" t="s">
        <v>758</v>
      </c>
      <c r="F10061" t="s">
        <v>3750</v>
      </c>
      <c r="G10061" t="s">
        <v>16221</v>
      </c>
      <c r="H10061" t="s">
        <v>47054</v>
      </c>
      <c r="I10061" t="s">
        <v>47114</v>
      </c>
      <c r="J10061" t="s">
        <v>47115</v>
      </c>
      <c r="K10061" t="s">
        <v>47113</v>
      </c>
      <c r="L10061">
        <v>6.13</v>
      </c>
      <c r="M10061">
        <v>29</v>
      </c>
      <c r="N10061">
        <v>79</v>
      </c>
      <c r="O10061">
        <v>29</v>
      </c>
      <c r="P10061">
        <v>79</v>
      </c>
    </row>
    <row r="10062" spans="1:16" x14ac:dyDescent="0.25">
      <c r="A10062" t="s">
        <v>32738</v>
      </c>
      <c r="B10062" t="s">
        <v>17640</v>
      </c>
      <c r="C10062" t="s">
        <v>17641</v>
      </c>
      <c r="D10062" t="str">
        <f>"1001"</f>
        <v>1001</v>
      </c>
      <c r="E10062" t="s">
        <v>42</v>
      </c>
      <c r="F10062" t="s">
        <v>3750</v>
      </c>
      <c r="G10062" t="s">
        <v>16221</v>
      </c>
      <c r="H10062" t="s">
        <v>47054</v>
      </c>
      <c r="I10062" t="s">
        <v>47116</v>
      </c>
      <c r="J10062" t="s">
        <v>47117</v>
      </c>
      <c r="K10062" t="s">
        <v>47113</v>
      </c>
      <c r="L10062">
        <v>6.89</v>
      </c>
      <c r="M10062">
        <v>20</v>
      </c>
      <c r="N10062">
        <v>0</v>
      </c>
      <c r="O10062">
        <v>20</v>
      </c>
      <c r="P10062">
        <v>0</v>
      </c>
    </row>
    <row r="10063" spans="1:16" x14ac:dyDescent="0.25">
      <c r="A10063" t="s">
        <v>32739</v>
      </c>
      <c r="B10063" t="s">
        <v>17640</v>
      </c>
      <c r="C10063" t="s">
        <v>17641</v>
      </c>
      <c r="D10063" t="str">
        <f>"1700"</f>
        <v>1700</v>
      </c>
      <c r="E10063" t="s">
        <v>60</v>
      </c>
      <c r="F10063" t="s">
        <v>3750</v>
      </c>
      <c r="G10063" t="s">
        <v>16221</v>
      </c>
      <c r="H10063" t="s">
        <v>47054</v>
      </c>
      <c r="I10063" t="s">
        <v>47116</v>
      </c>
      <c r="J10063" t="s">
        <v>47117</v>
      </c>
      <c r="K10063" t="s">
        <v>47113</v>
      </c>
      <c r="L10063">
        <v>6.89</v>
      </c>
      <c r="M10063">
        <v>20</v>
      </c>
      <c r="N10063">
        <v>0</v>
      </c>
      <c r="O10063">
        <v>20</v>
      </c>
      <c r="P10063">
        <v>0</v>
      </c>
    </row>
    <row r="10064" spans="1:16" x14ac:dyDescent="0.25">
      <c r="A10064" t="s">
        <v>32740</v>
      </c>
      <c r="B10064" t="s">
        <v>17642</v>
      </c>
      <c r="C10064" t="s">
        <v>17643</v>
      </c>
      <c r="D10064" t="str">
        <f>"1001"</f>
        <v>1001</v>
      </c>
      <c r="E10064" t="s">
        <v>42</v>
      </c>
      <c r="F10064" t="s">
        <v>3750</v>
      </c>
      <c r="G10064" t="s">
        <v>16221</v>
      </c>
      <c r="H10064" t="s">
        <v>47054</v>
      </c>
      <c r="I10064" t="s">
        <v>47116</v>
      </c>
      <c r="J10064" t="s">
        <v>47117</v>
      </c>
      <c r="K10064" t="s">
        <v>47113</v>
      </c>
      <c r="L10064">
        <v>6.41</v>
      </c>
      <c r="M10064">
        <v>18</v>
      </c>
      <c r="N10064">
        <v>0</v>
      </c>
      <c r="O10064">
        <v>18</v>
      </c>
      <c r="P10064">
        <v>0</v>
      </c>
    </row>
    <row r="10065" spans="1:16" x14ac:dyDescent="0.25">
      <c r="A10065" t="s">
        <v>32741</v>
      </c>
      <c r="B10065" t="s">
        <v>17642</v>
      </c>
      <c r="C10065" t="s">
        <v>17643</v>
      </c>
      <c r="D10065" t="str">
        <f>"4100"</f>
        <v>4100</v>
      </c>
      <c r="E10065" t="s">
        <v>17644</v>
      </c>
      <c r="F10065" t="s">
        <v>3750</v>
      </c>
      <c r="G10065" t="s">
        <v>16221</v>
      </c>
      <c r="H10065" t="s">
        <v>47054</v>
      </c>
      <c r="I10065" t="s">
        <v>47116</v>
      </c>
      <c r="J10065" t="s">
        <v>47117</v>
      </c>
      <c r="K10065" t="s">
        <v>47113</v>
      </c>
      <c r="L10065">
        <v>6.41</v>
      </c>
      <c r="M10065">
        <v>18</v>
      </c>
      <c r="N10065">
        <v>0</v>
      </c>
      <c r="O10065">
        <v>18</v>
      </c>
      <c r="P10065">
        <v>0</v>
      </c>
    </row>
    <row r="10066" spans="1:16" x14ac:dyDescent="0.25">
      <c r="A10066" t="s">
        <v>32742</v>
      </c>
      <c r="B10066" t="s">
        <v>17645</v>
      </c>
      <c r="C10066" t="s">
        <v>17646</v>
      </c>
      <c r="D10066" t="str">
        <f>"1700"</f>
        <v>1700</v>
      </c>
      <c r="E10066" t="s">
        <v>60</v>
      </c>
      <c r="F10066" t="s">
        <v>3750</v>
      </c>
      <c r="G10066" t="s">
        <v>16221</v>
      </c>
      <c r="H10066" t="s">
        <v>47054</v>
      </c>
      <c r="I10066" t="s">
        <v>47116</v>
      </c>
      <c r="J10066" t="s">
        <v>47117</v>
      </c>
      <c r="K10066" t="s">
        <v>47113</v>
      </c>
      <c r="L10066">
        <v>7.47</v>
      </c>
      <c r="M10066">
        <v>21</v>
      </c>
      <c r="N10066">
        <v>0</v>
      </c>
      <c r="O10066">
        <v>21</v>
      </c>
      <c r="P10066">
        <v>0</v>
      </c>
    </row>
    <row r="10067" spans="1:16" x14ac:dyDescent="0.25">
      <c r="A10067" t="s">
        <v>32743</v>
      </c>
      <c r="B10067" t="s">
        <v>17645</v>
      </c>
      <c r="C10067" t="s">
        <v>17646</v>
      </c>
      <c r="D10067" t="str">
        <f>"6000"</f>
        <v>6000</v>
      </c>
      <c r="E10067" t="s">
        <v>6279</v>
      </c>
      <c r="F10067" t="s">
        <v>3750</v>
      </c>
      <c r="G10067" t="s">
        <v>16221</v>
      </c>
      <c r="H10067" t="s">
        <v>47054</v>
      </c>
      <c r="I10067" t="s">
        <v>47116</v>
      </c>
      <c r="J10067" t="s">
        <v>47117</v>
      </c>
      <c r="K10067" t="s">
        <v>47113</v>
      </c>
      <c r="L10067">
        <v>7.47</v>
      </c>
      <c r="M10067">
        <v>21</v>
      </c>
      <c r="N10067">
        <v>0</v>
      </c>
      <c r="O10067">
        <v>21</v>
      </c>
      <c r="P10067">
        <v>0</v>
      </c>
    </row>
    <row r="10068" spans="1:16" x14ac:dyDescent="0.25">
      <c r="A10068" t="s">
        <v>32744</v>
      </c>
      <c r="B10068" t="s">
        <v>17647</v>
      </c>
      <c r="C10068" t="s">
        <v>48037</v>
      </c>
      <c r="D10068" t="str">
        <f>"1001"</f>
        <v>1001</v>
      </c>
      <c r="E10068" t="s">
        <v>42</v>
      </c>
      <c r="F10068" t="s">
        <v>3750</v>
      </c>
      <c r="G10068" t="s">
        <v>16221</v>
      </c>
      <c r="H10068" t="s">
        <v>47054</v>
      </c>
      <c r="I10068" t="s">
        <v>47120</v>
      </c>
      <c r="J10068" t="s">
        <v>47121</v>
      </c>
      <c r="K10068" t="s">
        <v>47113</v>
      </c>
      <c r="L10068">
        <v>4.38</v>
      </c>
      <c r="M10068">
        <v>12</v>
      </c>
      <c r="N10068">
        <v>0</v>
      </c>
      <c r="O10068">
        <v>12</v>
      </c>
      <c r="P10068">
        <v>0</v>
      </c>
    </row>
    <row r="10069" spans="1:16" x14ac:dyDescent="0.25">
      <c r="A10069" t="s">
        <v>32745</v>
      </c>
      <c r="B10069" t="s">
        <v>17647</v>
      </c>
      <c r="C10069" t="s">
        <v>48037</v>
      </c>
      <c r="D10069" t="str">
        <f>"1700"</f>
        <v>1700</v>
      </c>
      <c r="E10069" t="s">
        <v>60</v>
      </c>
      <c r="F10069" t="s">
        <v>3750</v>
      </c>
      <c r="G10069" t="s">
        <v>16221</v>
      </c>
      <c r="H10069" t="s">
        <v>47054</v>
      </c>
      <c r="I10069" t="s">
        <v>47120</v>
      </c>
      <c r="J10069" t="s">
        <v>47121</v>
      </c>
      <c r="K10069" t="s">
        <v>47113</v>
      </c>
      <c r="L10069">
        <v>4.38</v>
      </c>
      <c r="M10069">
        <v>12</v>
      </c>
      <c r="N10069">
        <v>0</v>
      </c>
      <c r="O10069">
        <v>12</v>
      </c>
      <c r="P10069">
        <v>0</v>
      </c>
    </row>
    <row r="10070" spans="1:16" x14ac:dyDescent="0.25">
      <c r="A10070" t="s">
        <v>32746</v>
      </c>
      <c r="B10070" t="s">
        <v>17648</v>
      </c>
      <c r="C10070" t="s">
        <v>17649</v>
      </c>
      <c r="D10070" t="str">
        <f>"1001"</f>
        <v>1001</v>
      </c>
      <c r="E10070" t="s">
        <v>42</v>
      </c>
      <c r="F10070" t="s">
        <v>3750</v>
      </c>
      <c r="G10070" t="s">
        <v>16221</v>
      </c>
      <c r="H10070" t="s">
        <v>47054</v>
      </c>
      <c r="I10070" t="s">
        <v>47120</v>
      </c>
      <c r="J10070" t="s">
        <v>47121</v>
      </c>
      <c r="K10070" t="s">
        <v>47113</v>
      </c>
      <c r="L10070">
        <v>4.21</v>
      </c>
      <c r="M10070">
        <v>12</v>
      </c>
      <c r="N10070">
        <v>0</v>
      </c>
      <c r="O10070">
        <v>12</v>
      </c>
      <c r="P10070">
        <v>0</v>
      </c>
    </row>
    <row r="10071" spans="1:16" x14ac:dyDescent="0.25">
      <c r="A10071" t="s">
        <v>32747</v>
      </c>
      <c r="B10071" t="s">
        <v>17650</v>
      </c>
      <c r="C10071" t="s">
        <v>17651</v>
      </c>
      <c r="D10071" t="str">
        <f>"1700"</f>
        <v>1700</v>
      </c>
      <c r="E10071" t="s">
        <v>60</v>
      </c>
      <c r="F10071" t="s">
        <v>3750</v>
      </c>
      <c r="G10071" t="s">
        <v>16221</v>
      </c>
      <c r="H10071" t="s">
        <v>47054</v>
      </c>
      <c r="I10071" t="s">
        <v>47120</v>
      </c>
      <c r="J10071" t="s">
        <v>47121</v>
      </c>
      <c r="K10071" t="s">
        <v>47113</v>
      </c>
      <c r="L10071">
        <v>5.43</v>
      </c>
      <c r="M10071">
        <v>15</v>
      </c>
      <c r="N10071">
        <v>0</v>
      </c>
      <c r="O10071">
        <v>15</v>
      </c>
      <c r="P10071">
        <v>0</v>
      </c>
    </row>
    <row r="10072" spans="1:16" x14ac:dyDescent="0.25">
      <c r="A10072" t="s">
        <v>32748</v>
      </c>
      <c r="B10072" t="s">
        <v>17652</v>
      </c>
      <c r="C10072" t="s">
        <v>17653</v>
      </c>
      <c r="D10072" t="str">
        <f>"1001"</f>
        <v>1001</v>
      </c>
      <c r="E10072" t="s">
        <v>42</v>
      </c>
      <c r="F10072" t="s">
        <v>15183</v>
      </c>
      <c r="G10072" t="s">
        <v>16221</v>
      </c>
      <c r="H10072" t="s">
        <v>47054</v>
      </c>
      <c r="I10072" t="s">
        <v>47120</v>
      </c>
      <c r="J10072" t="s">
        <v>47121</v>
      </c>
      <c r="K10072" t="s">
        <v>47113</v>
      </c>
      <c r="L10072">
        <v>4.51</v>
      </c>
      <c r="M10072">
        <v>28</v>
      </c>
      <c r="N10072">
        <v>0</v>
      </c>
      <c r="O10072">
        <v>28</v>
      </c>
      <c r="P10072">
        <v>0</v>
      </c>
    </row>
    <row r="10073" spans="1:16" x14ac:dyDescent="0.25">
      <c r="A10073" t="s">
        <v>32749</v>
      </c>
      <c r="B10073" t="s">
        <v>17652</v>
      </c>
      <c r="C10073" t="s">
        <v>17653</v>
      </c>
      <c r="D10073" t="str">
        <f>"1700"</f>
        <v>1700</v>
      </c>
      <c r="E10073" t="s">
        <v>60</v>
      </c>
      <c r="F10073" t="s">
        <v>15183</v>
      </c>
      <c r="G10073" t="s">
        <v>16221</v>
      </c>
      <c r="H10073" t="s">
        <v>47054</v>
      </c>
      <c r="I10073" t="s">
        <v>47120</v>
      </c>
      <c r="J10073" t="s">
        <v>47121</v>
      </c>
      <c r="K10073" t="s">
        <v>47113</v>
      </c>
      <c r="L10073">
        <v>4.51</v>
      </c>
      <c r="M10073">
        <v>28</v>
      </c>
      <c r="N10073">
        <v>0</v>
      </c>
      <c r="O10073">
        <v>28</v>
      </c>
      <c r="P10073">
        <v>0</v>
      </c>
    </row>
    <row r="10074" spans="1:16" x14ac:dyDescent="0.25">
      <c r="A10074" t="s">
        <v>32750</v>
      </c>
      <c r="B10074" t="s">
        <v>17654</v>
      </c>
      <c r="C10074" t="s">
        <v>17655</v>
      </c>
      <c r="D10074" t="str">
        <f>"1001"</f>
        <v>1001</v>
      </c>
      <c r="E10074" t="s">
        <v>42</v>
      </c>
      <c r="F10074" t="s">
        <v>3750</v>
      </c>
      <c r="G10074" t="s">
        <v>16221</v>
      </c>
      <c r="H10074" t="s">
        <v>47054</v>
      </c>
      <c r="I10074" t="s">
        <v>47120</v>
      </c>
      <c r="J10074" t="s">
        <v>47121</v>
      </c>
      <c r="K10074" t="s">
        <v>47113</v>
      </c>
      <c r="L10074">
        <v>4.62</v>
      </c>
      <c r="M10074">
        <v>27</v>
      </c>
      <c r="N10074">
        <v>0</v>
      </c>
      <c r="O10074">
        <v>27</v>
      </c>
      <c r="P10074">
        <v>0</v>
      </c>
    </row>
    <row r="10075" spans="1:16" x14ac:dyDescent="0.25">
      <c r="A10075" t="s">
        <v>32751</v>
      </c>
      <c r="B10075" t="s">
        <v>17654</v>
      </c>
      <c r="C10075" t="s">
        <v>17655</v>
      </c>
      <c r="D10075" t="str">
        <f>"1700"</f>
        <v>1700</v>
      </c>
      <c r="E10075" t="s">
        <v>60</v>
      </c>
      <c r="F10075" t="s">
        <v>3750</v>
      </c>
      <c r="G10075" t="s">
        <v>16221</v>
      </c>
      <c r="H10075" t="s">
        <v>47054</v>
      </c>
      <c r="I10075" t="s">
        <v>47120</v>
      </c>
      <c r="J10075" t="s">
        <v>47121</v>
      </c>
      <c r="K10075" t="s">
        <v>47113</v>
      </c>
      <c r="L10075">
        <v>4.62</v>
      </c>
      <c r="M10075">
        <v>27</v>
      </c>
      <c r="N10075">
        <v>0</v>
      </c>
      <c r="O10075">
        <v>27</v>
      </c>
      <c r="P10075">
        <v>0</v>
      </c>
    </row>
    <row r="10076" spans="1:16" x14ac:dyDescent="0.25">
      <c r="A10076" t="s">
        <v>32752</v>
      </c>
      <c r="B10076" t="s">
        <v>17656</v>
      </c>
      <c r="C10076" t="s">
        <v>17657</v>
      </c>
      <c r="D10076" t="str">
        <f>"1001"</f>
        <v>1001</v>
      </c>
      <c r="E10076" t="s">
        <v>42</v>
      </c>
      <c r="F10076" t="s">
        <v>3750</v>
      </c>
      <c r="G10076" t="s">
        <v>16221</v>
      </c>
      <c r="H10076" t="s">
        <v>47054</v>
      </c>
      <c r="I10076" t="s">
        <v>47120</v>
      </c>
      <c r="J10076" t="s">
        <v>47121</v>
      </c>
      <c r="K10076" t="s">
        <v>47113</v>
      </c>
      <c r="L10076">
        <v>4.1900000000000004</v>
      </c>
      <c r="M10076">
        <v>27</v>
      </c>
      <c r="N10076">
        <v>0</v>
      </c>
      <c r="O10076">
        <v>27</v>
      </c>
      <c r="P10076">
        <v>0</v>
      </c>
    </row>
    <row r="10077" spans="1:16" x14ac:dyDescent="0.25">
      <c r="A10077" t="s">
        <v>32753</v>
      </c>
      <c r="B10077" t="s">
        <v>17656</v>
      </c>
      <c r="C10077" t="s">
        <v>17657</v>
      </c>
      <c r="D10077" t="str">
        <f>"1700"</f>
        <v>1700</v>
      </c>
      <c r="E10077" t="s">
        <v>60</v>
      </c>
      <c r="F10077" t="s">
        <v>3750</v>
      </c>
      <c r="G10077" t="s">
        <v>16221</v>
      </c>
      <c r="H10077" t="s">
        <v>47054</v>
      </c>
      <c r="I10077" t="s">
        <v>47120</v>
      </c>
      <c r="J10077" t="s">
        <v>47121</v>
      </c>
      <c r="K10077" t="s">
        <v>47113</v>
      </c>
      <c r="L10077">
        <v>4.1900000000000004</v>
      </c>
      <c r="M10077">
        <v>27</v>
      </c>
      <c r="N10077">
        <v>0</v>
      </c>
      <c r="O10077">
        <v>27</v>
      </c>
      <c r="P10077">
        <v>0</v>
      </c>
    </row>
    <row r="10078" spans="1:16" x14ac:dyDescent="0.25">
      <c r="A10078" t="s">
        <v>32754</v>
      </c>
      <c r="B10078" t="s">
        <v>20509</v>
      </c>
      <c r="C10078" t="s">
        <v>20510</v>
      </c>
      <c r="D10078" t="str">
        <f>"1106"</f>
        <v>1106</v>
      </c>
      <c r="E10078" t="s">
        <v>460</v>
      </c>
      <c r="F10078" t="s">
        <v>3750</v>
      </c>
      <c r="G10078" t="s">
        <v>16221</v>
      </c>
      <c r="H10078" t="s">
        <v>47054</v>
      </c>
      <c r="I10078" t="s">
        <v>47154</v>
      </c>
      <c r="J10078" t="s">
        <v>47155</v>
      </c>
      <c r="K10078" t="s">
        <v>47113</v>
      </c>
      <c r="L10078">
        <v>5.37</v>
      </c>
      <c r="M10078">
        <v>12</v>
      </c>
      <c r="N10078">
        <v>0</v>
      </c>
      <c r="O10078">
        <v>12</v>
      </c>
      <c r="P10078">
        <v>0</v>
      </c>
    </row>
    <row r="10079" spans="1:16" x14ac:dyDescent="0.25">
      <c r="A10079" t="s">
        <v>32755</v>
      </c>
      <c r="B10079" t="s">
        <v>20509</v>
      </c>
      <c r="C10079" t="s">
        <v>20510</v>
      </c>
      <c r="D10079" t="str">
        <f>"3071"</f>
        <v>3071</v>
      </c>
      <c r="E10079" t="s">
        <v>20511</v>
      </c>
      <c r="F10079" t="s">
        <v>3750</v>
      </c>
      <c r="G10079" t="s">
        <v>16221</v>
      </c>
      <c r="H10079" t="s">
        <v>47054</v>
      </c>
      <c r="I10079" t="s">
        <v>47154</v>
      </c>
      <c r="J10079" t="s">
        <v>47155</v>
      </c>
      <c r="K10079" t="s">
        <v>47113</v>
      </c>
      <c r="L10079">
        <v>5.47</v>
      </c>
      <c r="M10079">
        <v>12</v>
      </c>
      <c r="N10079">
        <v>0</v>
      </c>
      <c r="O10079">
        <v>12</v>
      </c>
      <c r="P10079">
        <v>0</v>
      </c>
    </row>
    <row r="10080" spans="1:16" x14ac:dyDescent="0.25">
      <c r="A10080" t="s">
        <v>32756</v>
      </c>
      <c r="B10080" t="s">
        <v>20512</v>
      </c>
      <c r="C10080" t="s">
        <v>20513</v>
      </c>
      <c r="D10080" t="str">
        <f>"1001"</f>
        <v>1001</v>
      </c>
      <c r="E10080" t="s">
        <v>42</v>
      </c>
      <c r="F10080" t="s">
        <v>3750</v>
      </c>
      <c r="G10080" t="s">
        <v>16221</v>
      </c>
      <c r="H10080" t="s">
        <v>47054</v>
      </c>
      <c r="I10080" t="s">
        <v>47116</v>
      </c>
      <c r="J10080" t="s">
        <v>47117</v>
      </c>
      <c r="K10080" t="s">
        <v>47113</v>
      </c>
      <c r="L10080">
        <v>7.05</v>
      </c>
      <c r="M10080">
        <v>12</v>
      </c>
      <c r="N10080">
        <v>0</v>
      </c>
      <c r="O10080">
        <v>12</v>
      </c>
      <c r="P10080">
        <v>0</v>
      </c>
    </row>
    <row r="10081" spans="1:16" x14ac:dyDescent="0.25">
      <c r="A10081" t="s">
        <v>32757</v>
      </c>
      <c r="B10081" t="s">
        <v>20512</v>
      </c>
      <c r="C10081" t="s">
        <v>20513</v>
      </c>
      <c r="D10081" t="str">
        <f>"1700"</f>
        <v>1700</v>
      </c>
      <c r="E10081" t="s">
        <v>60</v>
      </c>
      <c r="F10081" t="s">
        <v>3750</v>
      </c>
      <c r="G10081" t="s">
        <v>16221</v>
      </c>
      <c r="H10081" t="s">
        <v>47054</v>
      </c>
      <c r="I10081" t="s">
        <v>47116</v>
      </c>
      <c r="J10081" t="s">
        <v>47117</v>
      </c>
      <c r="K10081" t="s">
        <v>47113</v>
      </c>
      <c r="L10081">
        <v>7.05</v>
      </c>
      <c r="M10081">
        <v>12</v>
      </c>
      <c r="N10081">
        <v>0</v>
      </c>
      <c r="O10081">
        <v>12</v>
      </c>
      <c r="P10081">
        <v>0</v>
      </c>
    </row>
    <row r="10082" spans="1:16" x14ac:dyDescent="0.25">
      <c r="A10082" t="s">
        <v>32758</v>
      </c>
      <c r="B10082" t="s">
        <v>20514</v>
      </c>
      <c r="C10082" t="s">
        <v>20515</v>
      </c>
      <c r="D10082" t="str">
        <f>"1001"</f>
        <v>1001</v>
      </c>
      <c r="E10082" t="s">
        <v>42</v>
      </c>
      <c r="F10082" t="s">
        <v>3750</v>
      </c>
      <c r="G10082" t="s">
        <v>16221</v>
      </c>
      <c r="H10082" t="s">
        <v>47054</v>
      </c>
      <c r="I10082" t="s">
        <v>47116</v>
      </c>
      <c r="J10082" t="s">
        <v>47117</v>
      </c>
      <c r="K10082" t="s">
        <v>47113</v>
      </c>
      <c r="L10082">
        <v>7.01</v>
      </c>
      <c r="M10082">
        <v>12</v>
      </c>
      <c r="N10082">
        <v>0</v>
      </c>
      <c r="O10082">
        <v>12</v>
      </c>
      <c r="P10082">
        <v>0</v>
      </c>
    </row>
    <row r="10083" spans="1:16" x14ac:dyDescent="0.25">
      <c r="A10083" t="s">
        <v>32759</v>
      </c>
      <c r="B10083" t="s">
        <v>20514</v>
      </c>
      <c r="C10083" t="s">
        <v>20515</v>
      </c>
      <c r="D10083" t="str">
        <f>"1700"</f>
        <v>1700</v>
      </c>
      <c r="E10083" t="s">
        <v>60</v>
      </c>
      <c r="F10083" t="s">
        <v>3750</v>
      </c>
      <c r="G10083" t="s">
        <v>16221</v>
      </c>
      <c r="H10083" t="s">
        <v>47054</v>
      </c>
      <c r="I10083" t="s">
        <v>47116</v>
      </c>
      <c r="J10083" t="s">
        <v>47117</v>
      </c>
      <c r="K10083" t="s">
        <v>47113</v>
      </c>
      <c r="L10083">
        <v>7.01</v>
      </c>
      <c r="M10083">
        <v>12</v>
      </c>
      <c r="N10083">
        <v>0</v>
      </c>
      <c r="O10083">
        <v>12</v>
      </c>
      <c r="P10083">
        <v>0</v>
      </c>
    </row>
    <row r="10084" spans="1:16" x14ac:dyDescent="0.25">
      <c r="A10084" t="s">
        <v>32760</v>
      </c>
      <c r="B10084" t="s">
        <v>20516</v>
      </c>
      <c r="C10084" t="s">
        <v>20517</v>
      </c>
      <c r="D10084" t="str">
        <f>"1001"</f>
        <v>1001</v>
      </c>
      <c r="E10084" t="s">
        <v>42</v>
      </c>
      <c r="F10084" t="s">
        <v>16601</v>
      </c>
      <c r="G10084" t="s">
        <v>16221</v>
      </c>
      <c r="H10084" t="s">
        <v>47054</v>
      </c>
      <c r="I10084" t="s">
        <v>47154</v>
      </c>
      <c r="J10084" t="s">
        <v>47155</v>
      </c>
      <c r="K10084" t="s">
        <v>47113</v>
      </c>
      <c r="L10084">
        <v>5.47</v>
      </c>
      <c r="M10084">
        <v>12</v>
      </c>
      <c r="N10084">
        <v>0</v>
      </c>
      <c r="O10084">
        <v>12</v>
      </c>
      <c r="P10084">
        <v>0</v>
      </c>
    </row>
    <row r="10085" spans="1:16" x14ac:dyDescent="0.25">
      <c r="A10085" t="s">
        <v>32761</v>
      </c>
      <c r="B10085" t="s">
        <v>20516</v>
      </c>
      <c r="C10085" t="s">
        <v>20517</v>
      </c>
      <c r="D10085" t="str">
        <f>"6000"</f>
        <v>6000</v>
      </c>
      <c r="E10085" t="s">
        <v>17920</v>
      </c>
      <c r="F10085" t="s">
        <v>3750</v>
      </c>
      <c r="G10085" t="s">
        <v>16221</v>
      </c>
      <c r="H10085" t="s">
        <v>47054</v>
      </c>
      <c r="I10085" t="s">
        <v>47154</v>
      </c>
      <c r="J10085" t="s">
        <v>47155</v>
      </c>
      <c r="K10085" t="s">
        <v>47113</v>
      </c>
      <c r="L10085">
        <v>5.47</v>
      </c>
      <c r="M10085">
        <v>12</v>
      </c>
      <c r="N10085">
        <v>0</v>
      </c>
      <c r="O10085">
        <v>12</v>
      </c>
      <c r="P10085">
        <v>0</v>
      </c>
    </row>
    <row r="10086" spans="1:16" x14ac:dyDescent="0.25">
      <c r="A10086" t="s">
        <v>32762</v>
      </c>
      <c r="B10086" t="s">
        <v>20518</v>
      </c>
      <c r="C10086" t="s">
        <v>20519</v>
      </c>
      <c r="D10086" t="str">
        <f>"1001"</f>
        <v>1001</v>
      </c>
      <c r="E10086" t="s">
        <v>42</v>
      </c>
      <c r="F10086" t="s">
        <v>3750</v>
      </c>
      <c r="G10086" t="s">
        <v>16221</v>
      </c>
      <c r="H10086" t="s">
        <v>47054</v>
      </c>
      <c r="I10086" t="s">
        <v>47154</v>
      </c>
      <c r="J10086" t="s">
        <v>47155</v>
      </c>
      <c r="K10086" t="s">
        <v>47113</v>
      </c>
      <c r="L10086">
        <v>6.88</v>
      </c>
      <c r="M10086">
        <v>26</v>
      </c>
      <c r="N10086">
        <v>0</v>
      </c>
      <c r="O10086">
        <v>26</v>
      </c>
      <c r="P10086">
        <v>0</v>
      </c>
    </row>
    <row r="10087" spans="1:16" x14ac:dyDescent="0.25">
      <c r="A10087" t="s">
        <v>32763</v>
      </c>
      <c r="B10087" t="s">
        <v>20518</v>
      </c>
      <c r="C10087" t="s">
        <v>20519</v>
      </c>
      <c r="D10087" t="str">
        <f>"1700"</f>
        <v>1700</v>
      </c>
      <c r="E10087" t="s">
        <v>60</v>
      </c>
      <c r="F10087" t="s">
        <v>3750</v>
      </c>
      <c r="G10087" t="s">
        <v>16221</v>
      </c>
      <c r="H10087" t="s">
        <v>47054</v>
      </c>
      <c r="I10087" t="s">
        <v>47154</v>
      </c>
      <c r="J10087" t="s">
        <v>47155</v>
      </c>
      <c r="K10087" t="s">
        <v>47113</v>
      </c>
      <c r="L10087">
        <v>6.88</v>
      </c>
      <c r="M10087">
        <v>26</v>
      </c>
      <c r="N10087">
        <v>0</v>
      </c>
      <c r="O10087">
        <v>26</v>
      </c>
      <c r="P10087">
        <v>0</v>
      </c>
    </row>
    <row r="10088" spans="1:16" x14ac:dyDescent="0.25">
      <c r="A10088" t="s">
        <v>32764</v>
      </c>
      <c r="B10088" t="s">
        <v>20520</v>
      </c>
      <c r="C10088" t="s">
        <v>20521</v>
      </c>
      <c r="D10088" t="str">
        <f>"1001"</f>
        <v>1001</v>
      </c>
      <c r="E10088" t="s">
        <v>42</v>
      </c>
      <c r="F10088" t="s">
        <v>3750</v>
      </c>
      <c r="G10088" t="s">
        <v>16221</v>
      </c>
      <c r="H10088" t="s">
        <v>47054</v>
      </c>
      <c r="I10088" t="s">
        <v>47116</v>
      </c>
      <c r="J10088" t="s">
        <v>47117</v>
      </c>
      <c r="K10088" t="s">
        <v>47113</v>
      </c>
      <c r="L10088">
        <v>6.73</v>
      </c>
      <c r="M10088">
        <v>12</v>
      </c>
      <c r="N10088">
        <v>0</v>
      </c>
      <c r="O10088">
        <v>12</v>
      </c>
      <c r="P10088">
        <v>0</v>
      </c>
    </row>
    <row r="10089" spans="1:16" x14ac:dyDescent="0.25">
      <c r="A10089" t="s">
        <v>32765</v>
      </c>
      <c r="B10089" t="s">
        <v>20522</v>
      </c>
      <c r="C10089" t="s">
        <v>20523</v>
      </c>
      <c r="D10089" t="str">
        <f>"1001"</f>
        <v>1001</v>
      </c>
      <c r="E10089" t="s">
        <v>42</v>
      </c>
      <c r="F10089" t="s">
        <v>3750</v>
      </c>
      <c r="G10089" t="s">
        <v>16221</v>
      </c>
      <c r="H10089" t="s">
        <v>47054</v>
      </c>
      <c r="I10089" t="s">
        <v>47120</v>
      </c>
      <c r="J10089" t="s">
        <v>47121</v>
      </c>
      <c r="K10089" t="s">
        <v>47113</v>
      </c>
      <c r="L10089">
        <v>5.19</v>
      </c>
      <c r="M10089">
        <v>28</v>
      </c>
      <c r="N10089">
        <v>0</v>
      </c>
      <c r="O10089">
        <v>28</v>
      </c>
      <c r="P10089">
        <v>0</v>
      </c>
    </row>
    <row r="10090" spans="1:16" x14ac:dyDescent="0.25">
      <c r="A10090" t="s">
        <v>32766</v>
      </c>
      <c r="B10090" t="s">
        <v>20522</v>
      </c>
      <c r="C10090" t="s">
        <v>20523</v>
      </c>
      <c r="D10090" t="str">
        <f>"1700"</f>
        <v>1700</v>
      </c>
      <c r="E10090" t="s">
        <v>60</v>
      </c>
      <c r="F10090" t="s">
        <v>3750</v>
      </c>
      <c r="G10090" t="s">
        <v>16221</v>
      </c>
      <c r="H10090" t="s">
        <v>47054</v>
      </c>
      <c r="I10090" t="s">
        <v>47120</v>
      </c>
      <c r="J10090" t="s">
        <v>47121</v>
      </c>
      <c r="K10090" t="s">
        <v>47113</v>
      </c>
      <c r="L10090">
        <v>5.19</v>
      </c>
      <c r="M10090">
        <v>28</v>
      </c>
      <c r="N10090">
        <v>0</v>
      </c>
      <c r="O10090">
        <v>28</v>
      </c>
      <c r="P10090">
        <v>0</v>
      </c>
    </row>
    <row r="10091" spans="1:16" x14ac:dyDescent="0.25">
      <c r="A10091" t="s">
        <v>32767</v>
      </c>
      <c r="B10091" t="s">
        <v>20522</v>
      </c>
      <c r="C10091" t="s">
        <v>20523</v>
      </c>
      <c r="D10091" t="str">
        <f>"6000"</f>
        <v>6000</v>
      </c>
      <c r="E10091" t="s">
        <v>238</v>
      </c>
      <c r="F10091" t="s">
        <v>3750</v>
      </c>
      <c r="G10091" t="s">
        <v>16221</v>
      </c>
      <c r="H10091" t="s">
        <v>47054</v>
      </c>
      <c r="I10091" t="s">
        <v>47120</v>
      </c>
      <c r="J10091" t="s">
        <v>47121</v>
      </c>
      <c r="K10091" t="s">
        <v>47113</v>
      </c>
      <c r="L10091">
        <v>5.51</v>
      </c>
      <c r="M10091">
        <v>28</v>
      </c>
      <c r="N10091">
        <v>0</v>
      </c>
      <c r="O10091">
        <v>28</v>
      </c>
      <c r="P10091">
        <v>0</v>
      </c>
    </row>
    <row r="10092" spans="1:16" x14ac:dyDescent="0.25">
      <c r="A10092" t="s">
        <v>32768</v>
      </c>
      <c r="B10092" t="s">
        <v>7382</v>
      </c>
      <c r="C10092" t="s">
        <v>7383</v>
      </c>
      <c r="D10092" t="str">
        <f>"1702"</f>
        <v>1702</v>
      </c>
      <c r="E10092" t="s">
        <v>7384</v>
      </c>
      <c r="F10092" t="s">
        <v>3750</v>
      </c>
      <c r="G10092" t="s">
        <v>16221</v>
      </c>
      <c r="H10092" t="s">
        <v>47054</v>
      </c>
      <c r="I10092" t="s">
        <v>47116</v>
      </c>
      <c r="J10092" t="s">
        <v>47117</v>
      </c>
      <c r="K10092" t="s">
        <v>47113</v>
      </c>
      <c r="L10092">
        <v>8.64</v>
      </c>
      <c r="M10092">
        <v>32</v>
      </c>
      <c r="N10092">
        <v>0</v>
      </c>
      <c r="O10092">
        <v>32</v>
      </c>
      <c r="P10092">
        <v>0</v>
      </c>
    </row>
    <row r="10093" spans="1:16" x14ac:dyDescent="0.25">
      <c r="A10093" t="s">
        <v>32769</v>
      </c>
      <c r="B10093" t="s">
        <v>17658</v>
      </c>
      <c r="C10093" t="s">
        <v>17659</v>
      </c>
      <c r="D10093" t="str">
        <f>"1836"</f>
        <v>1836</v>
      </c>
      <c r="E10093" t="s">
        <v>17660</v>
      </c>
      <c r="F10093" t="s">
        <v>3750</v>
      </c>
      <c r="G10093" t="s">
        <v>16221</v>
      </c>
      <c r="H10093" t="s">
        <v>47054</v>
      </c>
      <c r="I10093" t="s">
        <v>47116</v>
      </c>
      <c r="J10093" t="s">
        <v>47117</v>
      </c>
      <c r="K10093" t="s">
        <v>47113</v>
      </c>
      <c r="L10093">
        <v>9.1999999999999993</v>
      </c>
      <c r="M10093">
        <v>33</v>
      </c>
      <c r="N10093">
        <v>0</v>
      </c>
      <c r="O10093">
        <v>33</v>
      </c>
      <c r="P10093">
        <v>0</v>
      </c>
    </row>
    <row r="10094" spans="1:16" x14ac:dyDescent="0.25">
      <c r="A10094" t="s">
        <v>32770</v>
      </c>
      <c r="B10094" t="s">
        <v>17661</v>
      </c>
      <c r="C10094" t="s">
        <v>17662</v>
      </c>
      <c r="D10094" t="str">
        <f>"1013"</f>
        <v>1013</v>
      </c>
      <c r="E10094" t="s">
        <v>17663</v>
      </c>
      <c r="F10094" t="s">
        <v>3750</v>
      </c>
      <c r="G10094" t="s">
        <v>16221</v>
      </c>
      <c r="H10094" t="s">
        <v>47054</v>
      </c>
      <c r="I10094" t="s">
        <v>48032</v>
      </c>
      <c r="J10094" t="s">
        <v>48033</v>
      </c>
      <c r="K10094" t="s">
        <v>47113</v>
      </c>
      <c r="L10094">
        <v>7.87</v>
      </c>
      <c r="M10094">
        <v>33</v>
      </c>
      <c r="N10094">
        <v>0</v>
      </c>
      <c r="O10094">
        <v>33</v>
      </c>
      <c r="P10094">
        <v>0</v>
      </c>
    </row>
    <row r="10095" spans="1:16" x14ac:dyDescent="0.25">
      <c r="A10095" t="s">
        <v>32771</v>
      </c>
      <c r="B10095" t="s">
        <v>17661</v>
      </c>
      <c r="C10095" t="s">
        <v>17662</v>
      </c>
      <c r="D10095" t="str">
        <f>"6444"</f>
        <v>6444</v>
      </c>
      <c r="E10095" t="s">
        <v>17664</v>
      </c>
      <c r="F10095" t="s">
        <v>3750</v>
      </c>
      <c r="G10095" t="s">
        <v>16221</v>
      </c>
      <c r="H10095" t="s">
        <v>47054</v>
      </c>
      <c r="I10095" t="s">
        <v>48032</v>
      </c>
      <c r="J10095" t="s">
        <v>48033</v>
      </c>
      <c r="K10095" t="s">
        <v>47113</v>
      </c>
      <c r="L10095">
        <v>7.87</v>
      </c>
      <c r="M10095">
        <v>33</v>
      </c>
      <c r="N10095">
        <v>0</v>
      </c>
      <c r="O10095">
        <v>33</v>
      </c>
      <c r="P10095">
        <v>0</v>
      </c>
    </row>
    <row r="10096" spans="1:16" x14ac:dyDescent="0.25">
      <c r="A10096" t="s">
        <v>32772</v>
      </c>
      <c r="B10096" t="s">
        <v>16345</v>
      </c>
      <c r="C10096" t="s">
        <v>16346</v>
      </c>
      <c r="D10096" t="str">
        <f>"1001"</f>
        <v>1001</v>
      </c>
      <c r="E10096" t="s">
        <v>42</v>
      </c>
      <c r="F10096" t="s">
        <v>3750</v>
      </c>
      <c r="G10096" t="s">
        <v>16221</v>
      </c>
      <c r="H10096" t="s">
        <v>47054</v>
      </c>
      <c r="I10096" t="s">
        <v>47116</v>
      </c>
      <c r="J10096" t="s">
        <v>47117</v>
      </c>
      <c r="K10096" t="s">
        <v>47113</v>
      </c>
      <c r="L10096">
        <v>6.13</v>
      </c>
      <c r="M10096">
        <v>18</v>
      </c>
      <c r="N10096">
        <v>0</v>
      </c>
      <c r="O10096">
        <v>18</v>
      </c>
      <c r="P10096">
        <v>0</v>
      </c>
    </row>
    <row r="10097" spans="1:16" x14ac:dyDescent="0.25">
      <c r="A10097" t="s">
        <v>32773</v>
      </c>
      <c r="B10097" t="s">
        <v>16345</v>
      </c>
      <c r="C10097" t="s">
        <v>16346</v>
      </c>
      <c r="D10097" t="str">
        <f>"1700"</f>
        <v>1700</v>
      </c>
      <c r="E10097" t="s">
        <v>60</v>
      </c>
      <c r="F10097" t="s">
        <v>3750</v>
      </c>
      <c r="G10097" t="s">
        <v>16221</v>
      </c>
      <c r="H10097" t="s">
        <v>47054</v>
      </c>
      <c r="I10097" t="s">
        <v>47116</v>
      </c>
      <c r="J10097" t="s">
        <v>47117</v>
      </c>
      <c r="K10097" t="s">
        <v>47113</v>
      </c>
      <c r="L10097">
        <v>6.13</v>
      </c>
      <c r="M10097">
        <v>18</v>
      </c>
      <c r="N10097">
        <v>0</v>
      </c>
      <c r="O10097">
        <v>18</v>
      </c>
      <c r="P10097">
        <v>0</v>
      </c>
    </row>
    <row r="10098" spans="1:16" x14ac:dyDescent="0.25">
      <c r="A10098" t="s">
        <v>32774</v>
      </c>
      <c r="B10098" t="s">
        <v>7385</v>
      </c>
      <c r="C10098" t="s">
        <v>7386</v>
      </c>
      <c r="D10098" t="str">
        <f>"1100"</f>
        <v>1100</v>
      </c>
      <c r="E10098" t="s">
        <v>54</v>
      </c>
      <c r="F10098" t="s">
        <v>3750</v>
      </c>
      <c r="G10098" t="s">
        <v>16221</v>
      </c>
      <c r="H10098" t="s">
        <v>47054</v>
      </c>
      <c r="I10098" t="s">
        <v>47116</v>
      </c>
      <c r="J10098" t="s">
        <v>47117</v>
      </c>
      <c r="K10098" t="s">
        <v>47113</v>
      </c>
      <c r="L10098">
        <v>6.31</v>
      </c>
      <c r="M10098">
        <v>22</v>
      </c>
      <c r="N10098">
        <v>0</v>
      </c>
      <c r="O10098">
        <v>22</v>
      </c>
      <c r="P10098">
        <v>0</v>
      </c>
    </row>
    <row r="10099" spans="1:16" x14ac:dyDescent="0.25">
      <c r="A10099" t="s">
        <v>32775</v>
      </c>
      <c r="B10099" t="s">
        <v>7385</v>
      </c>
      <c r="C10099" t="s">
        <v>7386</v>
      </c>
      <c r="D10099" t="str">
        <f>"4100"</f>
        <v>4100</v>
      </c>
      <c r="E10099" t="s">
        <v>2383</v>
      </c>
      <c r="F10099" t="s">
        <v>3750</v>
      </c>
      <c r="G10099" t="s">
        <v>16221</v>
      </c>
      <c r="H10099" t="s">
        <v>47054</v>
      </c>
      <c r="I10099" t="s">
        <v>47116</v>
      </c>
      <c r="J10099" t="s">
        <v>47117</v>
      </c>
      <c r="K10099" t="s">
        <v>47113</v>
      </c>
      <c r="L10099">
        <v>6.31</v>
      </c>
      <c r="M10099">
        <v>22</v>
      </c>
      <c r="N10099">
        <v>0</v>
      </c>
      <c r="O10099">
        <v>22</v>
      </c>
      <c r="P10099">
        <v>0</v>
      </c>
    </row>
    <row r="10100" spans="1:16" x14ac:dyDescent="0.25">
      <c r="A10100" t="s">
        <v>32776</v>
      </c>
      <c r="B10100" t="s">
        <v>7385</v>
      </c>
      <c r="C10100" t="s">
        <v>7386</v>
      </c>
      <c r="D10100" t="str">
        <f>"6000"</f>
        <v>6000</v>
      </c>
      <c r="E10100" t="s">
        <v>238</v>
      </c>
      <c r="F10100" t="s">
        <v>3750</v>
      </c>
      <c r="G10100" t="s">
        <v>16221</v>
      </c>
      <c r="H10100" t="s">
        <v>47054</v>
      </c>
      <c r="I10100" t="s">
        <v>47116</v>
      </c>
      <c r="J10100" t="s">
        <v>47117</v>
      </c>
      <c r="K10100" t="s">
        <v>47113</v>
      </c>
      <c r="L10100">
        <v>6.31</v>
      </c>
      <c r="M10100">
        <v>22</v>
      </c>
      <c r="N10100">
        <v>0</v>
      </c>
      <c r="O10100">
        <v>22</v>
      </c>
      <c r="P10100">
        <v>0</v>
      </c>
    </row>
    <row r="10101" spans="1:16" x14ac:dyDescent="0.25">
      <c r="A10101" t="s">
        <v>32777</v>
      </c>
      <c r="B10101" t="s">
        <v>14504</v>
      </c>
      <c r="C10101" t="s">
        <v>14464</v>
      </c>
      <c r="D10101" t="str">
        <f>"6000"</f>
        <v>6000</v>
      </c>
      <c r="E10101" t="s">
        <v>238</v>
      </c>
      <c r="F10101" t="s">
        <v>3750</v>
      </c>
      <c r="G10101" t="s">
        <v>16221</v>
      </c>
      <c r="H10101" t="s">
        <v>47054</v>
      </c>
      <c r="I10101" t="s">
        <v>47111</v>
      </c>
      <c r="J10101" t="s">
        <v>47112</v>
      </c>
      <c r="K10101" t="s">
        <v>47113</v>
      </c>
      <c r="L10101">
        <v>6.72</v>
      </c>
      <c r="M10101">
        <v>26</v>
      </c>
      <c r="N10101">
        <v>0</v>
      </c>
      <c r="O10101">
        <v>26</v>
      </c>
      <c r="P10101">
        <v>0</v>
      </c>
    </row>
    <row r="10102" spans="1:16" x14ac:dyDescent="0.25">
      <c r="A10102" t="s">
        <v>32778</v>
      </c>
      <c r="B10102" t="s">
        <v>17665</v>
      </c>
      <c r="C10102" t="s">
        <v>17666</v>
      </c>
      <c r="D10102" t="str">
        <f>"1081"</f>
        <v>1081</v>
      </c>
      <c r="E10102" t="s">
        <v>14428</v>
      </c>
      <c r="F10102" t="s">
        <v>3750</v>
      </c>
      <c r="G10102" t="s">
        <v>16221</v>
      </c>
      <c r="H10102" t="s">
        <v>47054</v>
      </c>
      <c r="I10102" t="s">
        <v>47116</v>
      </c>
      <c r="J10102" t="s">
        <v>47117</v>
      </c>
      <c r="K10102" t="s">
        <v>47113</v>
      </c>
      <c r="L10102">
        <v>7.18</v>
      </c>
      <c r="M10102">
        <v>20</v>
      </c>
      <c r="N10102">
        <v>0</v>
      </c>
      <c r="O10102">
        <v>20</v>
      </c>
      <c r="P10102">
        <v>0</v>
      </c>
    </row>
    <row r="10103" spans="1:16" x14ac:dyDescent="0.25">
      <c r="A10103" t="s">
        <v>32779</v>
      </c>
      <c r="B10103" t="s">
        <v>17665</v>
      </c>
      <c r="C10103" t="s">
        <v>17666</v>
      </c>
      <c r="D10103" t="str">
        <f>"6000"</f>
        <v>6000</v>
      </c>
      <c r="E10103" t="s">
        <v>17667</v>
      </c>
      <c r="F10103" t="s">
        <v>3750</v>
      </c>
      <c r="G10103" t="s">
        <v>16221</v>
      </c>
      <c r="H10103" t="s">
        <v>47054</v>
      </c>
      <c r="I10103" t="s">
        <v>47116</v>
      </c>
      <c r="J10103" t="s">
        <v>47117</v>
      </c>
      <c r="K10103" t="s">
        <v>47113</v>
      </c>
      <c r="L10103">
        <v>7.18</v>
      </c>
      <c r="M10103">
        <v>20</v>
      </c>
      <c r="N10103">
        <v>0</v>
      </c>
      <c r="O10103">
        <v>20</v>
      </c>
      <c r="P10103">
        <v>0</v>
      </c>
    </row>
    <row r="10104" spans="1:16" x14ac:dyDescent="0.25">
      <c r="A10104" t="s">
        <v>32780</v>
      </c>
      <c r="B10104" t="s">
        <v>17668</v>
      </c>
      <c r="C10104" t="s">
        <v>17669</v>
      </c>
      <c r="D10104" t="str">
        <f>"1700"</f>
        <v>1700</v>
      </c>
      <c r="E10104" t="s">
        <v>17670</v>
      </c>
      <c r="F10104" t="s">
        <v>3750</v>
      </c>
      <c r="G10104" t="s">
        <v>16221</v>
      </c>
      <c r="H10104" t="s">
        <v>47054</v>
      </c>
      <c r="I10104" t="s">
        <v>47116</v>
      </c>
      <c r="J10104" t="s">
        <v>47117</v>
      </c>
      <c r="K10104" t="s">
        <v>47113</v>
      </c>
      <c r="L10104">
        <v>7.56</v>
      </c>
      <c r="M10104">
        <v>21</v>
      </c>
      <c r="N10104">
        <v>0</v>
      </c>
      <c r="O10104">
        <v>21</v>
      </c>
      <c r="P10104">
        <v>0</v>
      </c>
    </row>
    <row r="10105" spans="1:16" x14ac:dyDescent="0.25">
      <c r="A10105" t="s">
        <v>32781</v>
      </c>
      <c r="B10105" t="s">
        <v>17668</v>
      </c>
      <c r="C10105" t="s">
        <v>17669</v>
      </c>
      <c r="D10105" t="str">
        <f>"4100"</f>
        <v>4100</v>
      </c>
      <c r="E10105" t="s">
        <v>17671</v>
      </c>
      <c r="F10105" t="s">
        <v>3750</v>
      </c>
      <c r="G10105" t="s">
        <v>16221</v>
      </c>
      <c r="H10105" t="s">
        <v>47054</v>
      </c>
      <c r="I10105" t="s">
        <v>47116</v>
      </c>
      <c r="J10105" t="s">
        <v>47117</v>
      </c>
      <c r="K10105" t="s">
        <v>47113</v>
      </c>
      <c r="L10105">
        <v>7.56</v>
      </c>
      <c r="M10105">
        <v>21</v>
      </c>
      <c r="N10105">
        <v>0</v>
      </c>
      <c r="O10105">
        <v>21</v>
      </c>
      <c r="P10105">
        <v>0</v>
      </c>
    </row>
    <row r="10106" spans="1:16" x14ac:dyDescent="0.25">
      <c r="A10106" t="s">
        <v>32782</v>
      </c>
      <c r="B10106" t="s">
        <v>17672</v>
      </c>
      <c r="C10106" t="s">
        <v>17673</v>
      </c>
      <c r="D10106" t="str">
        <f>"1708"</f>
        <v>1708</v>
      </c>
      <c r="E10106" t="s">
        <v>16240</v>
      </c>
      <c r="F10106" t="s">
        <v>3750</v>
      </c>
      <c r="G10106" t="s">
        <v>16221</v>
      </c>
      <c r="H10106" t="s">
        <v>47054</v>
      </c>
      <c r="I10106" t="s">
        <v>47116</v>
      </c>
      <c r="J10106" t="s">
        <v>47117</v>
      </c>
      <c r="K10106" t="s">
        <v>47113</v>
      </c>
      <c r="L10106">
        <v>7.56</v>
      </c>
      <c r="M10106">
        <v>21</v>
      </c>
      <c r="N10106">
        <v>0</v>
      </c>
      <c r="O10106">
        <v>21</v>
      </c>
      <c r="P10106">
        <v>0</v>
      </c>
    </row>
    <row r="10107" spans="1:16" x14ac:dyDescent="0.25">
      <c r="A10107" t="s">
        <v>32783</v>
      </c>
      <c r="B10107" t="s">
        <v>17672</v>
      </c>
      <c r="C10107" t="s">
        <v>17673</v>
      </c>
      <c r="D10107" t="str">
        <f>"4100"</f>
        <v>4100</v>
      </c>
      <c r="E10107" t="s">
        <v>17674</v>
      </c>
      <c r="F10107" t="s">
        <v>3750</v>
      </c>
      <c r="G10107" t="s">
        <v>16221</v>
      </c>
      <c r="H10107" t="s">
        <v>47054</v>
      </c>
      <c r="I10107" t="s">
        <v>47116</v>
      </c>
      <c r="J10107" t="s">
        <v>47117</v>
      </c>
      <c r="K10107" t="s">
        <v>47113</v>
      </c>
      <c r="L10107">
        <v>7.56</v>
      </c>
      <c r="M10107">
        <v>21</v>
      </c>
      <c r="N10107">
        <v>0</v>
      </c>
      <c r="O10107">
        <v>21</v>
      </c>
      <c r="P10107">
        <v>0</v>
      </c>
    </row>
    <row r="10108" spans="1:16" x14ac:dyDescent="0.25">
      <c r="A10108" t="s">
        <v>32784</v>
      </c>
      <c r="B10108" t="s">
        <v>17675</v>
      </c>
      <c r="C10108" t="s">
        <v>17676</v>
      </c>
      <c r="D10108" t="str">
        <f>"1096"</f>
        <v>1096</v>
      </c>
      <c r="E10108" t="s">
        <v>4744</v>
      </c>
      <c r="F10108" t="s">
        <v>3750</v>
      </c>
      <c r="G10108" t="s">
        <v>16221</v>
      </c>
      <c r="H10108" t="s">
        <v>47054</v>
      </c>
      <c r="I10108" t="s">
        <v>47116</v>
      </c>
      <c r="J10108" t="s">
        <v>47117</v>
      </c>
      <c r="K10108" t="s">
        <v>47113</v>
      </c>
      <c r="L10108">
        <v>6.91</v>
      </c>
      <c r="M10108">
        <v>33</v>
      </c>
      <c r="N10108">
        <v>0</v>
      </c>
      <c r="O10108">
        <v>33</v>
      </c>
      <c r="P10108">
        <v>0</v>
      </c>
    </row>
    <row r="10109" spans="1:16" x14ac:dyDescent="0.25">
      <c r="A10109" t="s">
        <v>32785</v>
      </c>
      <c r="B10109" t="s">
        <v>17675</v>
      </c>
      <c r="C10109" t="s">
        <v>17676</v>
      </c>
      <c r="D10109" t="str">
        <f>"6432"</f>
        <v>6432</v>
      </c>
      <c r="E10109" t="s">
        <v>17677</v>
      </c>
      <c r="F10109" t="s">
        <v>3750</v>
      </c>
      <c r="G10109" t="s">
        <v>16221</v>
      </c>
      <c r="H10109" t="s">
        <v>47054</v>
      </c>
      <c r="I10109" t="s">
        <v>47116</v>
      </c>
      <c r="J10109" t="s">
        <v>47117</v>
      </c>
      <c r="K10109" t="s">
        <v>47113</v>
      </c>
      <c r="L10109">
        <v>6.91</v>
      </c>
      <c r="M10109">
        <v>33</v>
      </c>
      <c r="N10109">
        <v>0</v>
      </c>
      <c r="O10109">
        <v>33</v>
      </c>
      <c r="P10109">
        <v>0</v>
      </c>
    </row>
    <row r="10110" spans="1:16" x14ac:dyDescent="0.25">
      <c r="A10110" t="s">
        <v>32786</v>
      </c>
      <c r="B10110" t="s">
        <v>17678</v>
      </c>
      <c r="C10110" t="s">
        <v>17679</v>
      </c>
      <c r="D10110" t="str">
        <f>"1001"</f>
        <v>1001</v>
      </c>
      <c r="E10110" t="s">
        <v>42</v>
      </c>
      <c r="F10110" t="s">
        <v>3750</v>
      </c>
      <c r="G10110" t="s">
        <v>47534</v>
      </c>
      <c r="H10110" t="s">
        <v>47054</v>
      </c>
      <c r="I10110" t="s">
        <v>47116</v>
      </c>
      <c r="J10110" t="s">
        <v>47117</v>
      </c>
      <c r="K10110" t="s">
        <v>47113</v>
      </c>
      <c r="L10110">
        <v>5.47</v>
      </c>
      <c r="M10110">
        <v>16</v>
      </c>
      <c r="N10110">
        <v>0</v>
      </c>
      <c r="O10110">
        <v>16</v>
      </c>
      <c r="P10110">
        <v>0</v>
      </c>
    </row>
    <row r="10111" spans="1:16" x14ac:dyDescent="0.25">
      <c r="A10111" t="s">
        <v>32787</v>
      </c>
      <c r="B10111" t="s">
        <v>17678</v>
      </c>
      <c r="C10111" t="s">
        <v>17679</v>
      </c>
      <c r="D10111" t="str">
        <f>"1700"</f>
        <v>1700</v>
      </c>
      <c r="E10111" t="s">
        <v>60</v>
      </c>
      <c r="F10111" t="s">
        <v>3750</v>
      </c>
      <c r="G10111" t="s">
        <v>47534</v>
      </c>
      <c r="H10111" t="s">
        <v>47054</v>
      </c>
      <c r="I10111" t="s">
        <v>47116</v>
      </c>
      <c r="J10111" t="s">
        <v>47117</v>
      </c>
      <c r="K10111" t="s">
        <v>47113</v>
      </c>
      <c r="L10111">
        <v>5.47</v>
      </c>
      <c r="M10111">
        <v>16</v>
      </c>
      <c r="N10111">
        <v>0</v>
      </c>
      <c r="O10111">
        <v>16</v>
      </c>
      <c r="P10111">
        <v>0</v>
      </c>
    </row>
    <row r="10112" spans="1:16" x14ac:dyDescent="0.25">
      <c r="A10112" t="s">
        <v>32788</v>
      </c>
      <c r="B10112" t="s">
        <v>7387</v>
      </c>
      <c r="C10112" t="s">
        <v>7388</v>
      </c>
      <c r="D10112" t="str">
        <f>"1001"</f>
        <v>1001</v>
      </c>
      <c r="E10112" t="s">
        <v>42</v>
      </c>
      <c r="F10112" t="s">
        <v>3670</v>
      </c>
      <c r="G10112" t="s">
        <v>16221</v>
      </c>
      <c r="H10112" t="s">
        <v>47054</v>
      </c>
      <c r="I10112" t="s">
        <v>47111</v>
      </c>
      <c r="J10112" t="s">
        <v>47112</v>
      </c>
      <c r="K10112" t="s">
        <v>47113</v>
      </c>
      <c r="L10112">
        <v>6.98</v>
      </c>
      <c r="M10112">
        <v>26</v>
      </c>
      <c r="N10112">
        <v>0</v>
      </c>
      <c r="O10112">
        <v>26</v>
      </c>
      <c r="P10112">
        <v>0</v>
      </c>
    </row>
    <row r="10113" spans="1:16" x14ac:dyDescent="0.25">
      <c r="A10113" t="s">
        <v>32789</v>
      </c>
      <c r="B10113" t="s">
        <v>7387</v>
      </c>
      <c r="C10113" t="s">
        <v>7388</v>
      </c>
      <c r="D10113" t="str">
        <f>"1700"</f>
        <v>1700</v>
      </c>
      <c r="E10113" t="s">
        <v>60</v>
      </c>
      <c r="F10113" t="s">
        <v>3670</v>
      </c>
      <c r="G10113" t="s">
        <v>16221</v>
      </c>
      <c r="H10113" t="s">
        <v>47054</v>
      </c>
      <c r="I10113" t="s">
        <v>47111</v>
      </c>
      <c r="J10113" t="s">
        <v>47112</v>
      </c>
      <c r="K10113" t="s">
        <v>47113</v>
      </c>
      <c r="L10113">
        <v>6.98</v>
      </c>
      <c r="M10113">
        <v>26</v>
      </c>
      <c r="N10113">
        <v>0</v>
      </c>
      <c r="O10113">
        <v>26</v>
      </c>
      <c r="P10113">
        <v>0</v>
      </c>
    </row>
    <row r="10114" spans="1:16" x14ac:dyDescent="0.25">
      <c r="A10114" t="s">
        <v>32790</v>
      </c>
      <c r="B10114" t="s">
        <v>7387</v>
      </c>
      <c r="C10114" t="s">
        <v>7388</v>
      </c>
      <c r="D10114" t="str">
        <f>"4930"</f>
        <v>4930</v>
      </c>
      <c r="E10114" t="s">
        <v>7389</v>
      </c>
      <c r="F10114" t="s">
        <v>3670</v>
      </c>
      <c r="G10114" t="s">
        <v>16221</v>
      </c>
      <c r="H10114" t="s">
        <v>47054</v>
      </c>
      <c r="I10114" t="s">
        <v>47111</v>
      </c>
      <c r="J10114" t="s">
        <v>47112</v>
      </c>
      <c r="K10114" t="s">
        <v>47113</v>
      </c>
      <c r="L10114">
        <v>6.98</v>
      </c>
      <c r="M10114">
        <v>26</v>
      </c>
      <c r="N10114">
        <v>0</v>
      </c>
      <c r="O10114">
        <v>26</v>
      </c>
      <c r="P10114">
        <v>0</v>
      </c>
    </row>
    <row r="10115" spans="1:16" x14ac:dyDescent="0.25">
      <c r="A10115" t="s">
        <v>32791</v>
      </c>
      <c r="B10115" t="s">
        <v>7387</v>
      </c>
      <c r="C10115" t="s">
        <v>7388</v>
      </c>
      <c r="D10115" t="str">
        <f>"6064"</f>
        <v>6064</v>
      </c>
      <c r="E10115" t="s">
        <v>87</v>
      </c>
      <c r="F10115" t="s">
        <v>3670</v>
      </c>
      <c r="G10115" t="s">
        <v>16221</v>
      </c>
      <c r="H10115" t="s">
        <v>47054</v>
      </c>
      <c r="I10115" t="s">
        <v>47111</v>
      </c>
      <c r="J10115" t="s">
        <v>47112</v>
      </c>
      <c r="K10115" t="s">
        <v>47113</v>
      </c>
      <c r="L10115">
        <v>6.98</v>
      </c>
      <c r="M10115">
        <v>26</v>
      </c>
      <c r="N10115">
        <v>0</v>
      </c>
      <c r="O10115">
        <v>26</v>
      </c>
      <c r="P10115">
        <v>0</v>
      </c>
    </row>
    <row r="10116" spans="1:16" x14ac:dyDescent="0.25">
      <c r="A10116" t="s">
        <v>32792</v>
      </c>
      <c r="B10116" t="s">
        <v>17680</v>
      </c>
      <c r="C10116" t="s">
        <v>17681</v>
      </c>
      <c r="D10116" t="str">
        <f>"1700"</f>
        <v>1700</v>
      </c>
      <c r="E10116" t="s">
        <v>60</v>
      </c>
      <c r="F10116" t="s">
        <v>3750</v>
      </c>
      <c r="G10116" t="s">
        <v>47534</v>
      </c>
      <c r="H10116" t="s">
        <v>47054</v>
      </c>
      <c r="I10116" t="s">
        <v>47116</v>
      </c>
      <c r="J10116" t="s">
        <v>47117</v>
      </c>
      <c r="K10116" t="s">
        <v>47113</v>
      </c>
      <c r="L10116">
        <v>5.47</v>
      </c>
      <c r="M10116">
        <v>16</v>
      </c>
      <c r="N10116">
        <v>0</v>
      </c>
      <c r="O10116">
        <v>16</v>
      </c>
      <c r="P10116">
        <v>0</v>
      </c>
    </row>
    <row r="10117" spans="1:16" x14ac:dyDescent="0.25">
      <c r="A10117" t="s">
        <v>32793</v>
      </c>
      <c r="B10117" t="s">
        <v>17680</v>
      </c>
      <c r="C10117" t="s">
        <v>17681</v>
      </c>
      <c r="D10117" t="str">
        <f>"4100"</f>
        <v>4100</v>
      </c>
      <c r="E10117" t="s">
        <v>2383</v>
      </c>
      <c r="F10117" t="s">
        <v>3750</v>
      </c>
      <c r="G10117" t="s">
        <v>47534</v>
      </c>
      <c r="H10117" t="s">
        <v>47054</v>
      </c>
      <c r="I10117" t="s">
        <v>47116</v>
      </c>
      <c r="J10117" t="s">
        <v>47117</v>
      </c>
      <c r="K10117" t="s">
        <v>47113</v>
      </c>
      <c r="L10117">
        <v>5.47</v>
      </c>
      <c r="M10117">
        <v>16</v>
      </c>
      <c r="N10117">
        <v>0</v>
      </c>
      <c r="O10117">
        <v>16</v>
      </c>
      <c r="P10117">
        <v>0</v>
      </c>
    </row>
    <row r="10118" spans="1:16" x14ac:dyDescent="0.25">
      <c r="A10118" t="s">
        <v>32794</v>
      </c>
      <c r="B10118" t="s">
        <v>17680</v>
      </c>
      <c r="C10118" t="s">
        <v>17681</v>
      </c>
      <c r="D10118" t="str">
        <f>"6000"</f>
        <v>6000</v>
      </c>
      <c r="E10118" t="s">
        <v>238</v>
      </c>
      <c r="F10118" t="s">
        <v>3750</v>
      </c>
      <c r="G10118" t="s">
        <v>47534</v>
      </c>
      <c r="H10118" t="s">
        <v>47054</v>
      </c>
      <c r="I10118" t="s">
        <v>47116</v>
      </c>
      <c r="J10118" t="s">
        <v>47117</v>
      </c>
      <c r="K10118" t="s">
        <v>47113</v>
      </c>
      <c r="L10118">
        <v>5.47</v>
      </c>
      <c r="M10118">
        <v>16</v>
      </c>
      <c r="N10118">
        <v>0</v>
      </c>
      <c r="O10118">
        <v>16</v>
      </c>
      <c r="P10118">
        <v>0</v>
      </c>
    </row>
    <row r="10119" spans="1:16" x14ac:dyDescent="0.25">
      <c r="A10119" t="s">
        <v>32795</v>
      </c>
      <c r="B10119" t="s">
        <v>17682</v>
      </c>
      <c r="C10119" t="s">
        <v>17683</v>
      </c>
      <c r="D10119" t="str">
        <f>"1700"</f>
        <v>1700</v>
      </c>
      <c r="E10119" t="s">
        <v>60</v>
      </c>
      <c r="F10119" t="s">
        <v>3750</v>
      </c>
      <c r="G10119" t="s">
        <v>47534</v>
      </c>
      <c r="H10119" t="s">
        <v>47054</v>
      </c>
      <c r="I10119" t="s">
        <v>47116</v>
      </c>
      <c r="J10119" t="s">
        <v>47117</v>
      </c>
      <c r="K10119" t="s">
        <v>47113</v>
      </c>
      <c r="L10119">
        <v>7.51</v>
      </c>
      <c r="M10119">
        <v>21</v>
      </c>
      <c r="N10119">
        <v>0</v>
      </c>
      <c r="O10119">
        <v>21</v>
      </c>
      <c r="P10119">
        <v>0</v>
      </c>
    </row>
    <row r="10120" spans="1:16" x14ac:dyDescent="0.25">
      <c r="A10120" t="s">
        <v>32796</v>
      </c>
      <c r="B10120" t="s">
        <v>7390</v>
      </c>
      <c r="C10120" t="s">
        <v>7391</v>
      </c>
      <c r="D10120" t="str">
        <f>"6000"</f>
        <v>6000</v>
      </c>
      <c r="E10120" t="s">
        <v>238</v>
      </c>
      <c r="F10120" t="s">
        <v>3750</v>
      </c>
      <c r="G10120" t="s">
        <v>16221</v>
      </c>
      <c r="H10120" t="s">
        <v>47054</v>
      </c>
      <c r="I10120" t="s">
        <v>47116</v>
      </c>
      <c r="J10120" t="s">
        <v>47117</v>
      </c>
      <c r="K10120" t="s">
        <v>47113</v>
      </c>
      <c r="L10120">
        <v>7.92</v>
      </c>
      <c r="M10120">
        <v>32</v>
      </c>
      <c r="N10120">
        <v>0</v>
      </c>
      <c r="O10120">
        <v>32</v>
      </c>
      <c r="P10120">
        <v>0</v>
      </c>
    </row>
    <row r="10121" spans="1:16" x14ac:dyDescent="0.25">
      <c r="A10121" t="s">
        <v>32797</v>
      </c>
      <c r="B10121" t="s">
        <v>7392</v>
      </c>
      <c r="C10121" t="s">
        <v>7393</v>
      </c>
      <c r="D10121" t="str">
        <f>"4100"</f>
        <v>4100</v>
      </c>
      <c r="E10121" t="s">
        <v>2383</v>
      </c>
      <c r="F10121" t="s">
        <v>3750</v>
      </c>
      <c r="G10121" t="s">
        <v>16221</v>
      </c>
      <c r="H10121" t="s">
        <v>47054</v>
      </c>
      <c r="I10121" t="s">
        <v>47116</v>
      </c>
      <c r="J10121" t="s">
        <v>47117</v>
      </c>
      <c r="K10121" t="s">
        <v>47113</v>
      </c>
      <c r="L10121">
        <v>8.3699999999999992</v>
      </c>
      <c r="M10121">
        <v>32</v>
      </c>
      <c r="N10121">
        <v>0</v>
      </c>
      <c r="O10121">
        <v>32</v>
      </c>
      <c r="P10121">
        <v>0</v>
      </c>
    </row>
    <row r="10122" spans="1:16" x14ac:dyDescent="0.25">
      <c r="A10122" t="s">
        <v>32798</v>
      </c>
      <c r="B10122" t="s">
        <v>7392</v>
      </c>
      <c r="C10122" t="s">
        <v>7393</v>
      </c>
      <c r="D10122" t="str">
        <f>"6433"</f>
        <v>6433</v>
      </c>
      <c r="E10122" t="s">
        <v>7168</v>
      </c>
      <c r="F10122" t="s">
        <v>3750</v>
      </c>
      <c r="G10122" t="s">
        <v>16221</v>
      </c>
      <c r="H10122" t="s">
        <v>47054</v>
      </c>
      <c r="I10122" t="s">
        <v>47116</v>
      </c>
      <c r="J10122" t="s">
        <v>47117</v>
      </c>
      <c r="K10122" t="s">
        <v>47113</v>
      </c>
      <c r="L10122">
        <v>8.3699999999999992</v>
      </c>
      <c r="M10122">
        <v>32</v>
      </c>
      <c r="N10122">
        <v>0</v>
      </c>
      <c r="O10122">
        <v>32</v>
      </c>
      <c r="P10122">
        <v>0</v>
      </c>
    </row>
    <row r="10123" spans="1:16" x14ac:dyDescent="0.25">
      <c r="A10123" t="s">
        <v>32799</v>
      </c>
      <c r="B10123" t="s">
        <v>7394</v>
      </c>
      <c r="C10123" t="s">
        <v>7395</v>
      </c>
      <c r="D10123" t="str">
        <f>"1001"</f>
        <v>1001</v>
      </c>
      <c r="E10123" t="s">
        <v>42</v>
      </c>
      <c r="F10123" t="s">
        <v>3750</v>
      </c>
      <c r="G10123" t="s">
        <v>16221</v>
      </c>
      <c r="H10123" t="s">
        <v>47054</v>
      </c>
      <c r="I10123" t="s">
        <v>47116</v>
      </c>
      <c r="J10123" t="s">
        <v>47117</v>
      </c>
      <c r="K10123" t="s">
        <v>47113</v>
      </c>
      <c r="L10123">
        <v>7.7</v>
      </c>
      <c r="M10123">
        <v>32</v>
      </c>
      <c r="N10123">
        <v>0</v>
      </c>
      <c r="O10123">
        <v>32</v>
      </c>
      <c r="P10123">
        <v>0</v>
      </c>
    </row>
    <row r="10124" spans="1:16" x14ac:dyDescent="0.25">
      <c r="A10124" t="s">
        <v>32800</v>
      </c>
      <c r="B10124" t="s">
        <v>7394</v>
      </c>
      <c r="C10124" t="s">
        <v>7395</v>
      </c>
      <c r="D10124" t="str">
        <f>"6387"</f>
        <v>6387</v>
      </c>
      <c r="E10124" t="s">
        <v>6010</v>
      </c>
      <c r="F10124" t="s">
        <v>3750</v>
      </c>
      <c r="G10124" t="s">
        <v>16221</v>
      </c>
      <c r="H10124" t="s">
        <v>47054</v>
      </c>
      <c r="I10124" t="s">
        <v>47116</v>
      </c>
      <c r="J10124" t="s">
        <v>47117</v>
      </c>
      <c r="K10124" t="s">
        <v>47113</v>
      </c>
      <c r="L10124">
        <v>7.7</v>
      </c>
      <c r="M10124">
        <v>32</v>
      </c>
      <c r="N10124">
        <v>0</v>
      </c>
      <c r="O10124">
        <v>32</v>
      </c>
      <c r="P10124">
        <v>0</v>
      </c>
    </row>
    <row r="10125" spans="1:16" x14ac:dyDescent="0.25">
      <c r="A10125" t="s">
        <v>32801</v>
      </c>
      <c r="B10125" t="s">
        <v>7396</v>
      </c>
      <c r="C10125" t="s">
        <v>7397</v>
      </c>
      <c r="D10125" t="str">
        <f>"1001"</f>
        <v>1001</v>
      </c>
      <c r="E10125" t="s">
        <v>42</v>
      </c>
      <c r="F10125" t="s">
        <v>3750</v>
      </c>
      <c r="G10125" t="s">
        <v>16221</v>
      </c>
      <c r="H10125" t="s">
        <v>47054</v>
      </c>
      <c r="I10125" t="s">
        <v>47116</v>
      </c>
      <c r="J10125" t="s">
        <v>47117</v>
      </c>
      <c r="K10125" t="s">
        <v>47113</v>
      </c>
      <c r="L10125">
        <v>7.47</v>
      </c>
      <c r="M10125">
        <v>32</v>
      </c>
      <c r="N10125">
        <v>0</v>
      </c>
      <c r="O10125">
        <v>32</v>
      </c>
      <c r="P10125">
        <v>0</v>
      </c>
    </row>
    <row r="10126" spans="1:16" x14ac:dyDescent="0.25">
      <c r="A10126" t="s">
        <v>32802</v>
      </c>
      <c r="B10126" t="s">
        <v>14503</v>
      </c>
      <c r="C10126" t="s">
        <v>14462</v>
      </c>
      <c r="D10126" t="str">
        <f>"1702"</f>
        <v>1702</v>
      </c>
      <c r="E10126" t="s">
        <v>14502</v>
      </c>
      <c r="F10126" t="s">
        <v>3750</v>
      </c>
      <c r="G10126" t="s">
        <v>16221</v>
      </c>
      <c r="H10126" t="s">
        <v>47054</v>
      </c>
      <c r="I10126" t="s">
        <v>47116</v>
      </c>
      <c r="J10126" t="s">
        <v>47117</v>
      </c>
      <c r="K10126" t="s">
        <v>47113</v>
      </c>
      <c r="L10126">
        <v>6.59</v>
      </c>
      <c r="M10126">
        <v>26</v>
      </c>
      <c r="N10126">
        <v>0</v>
      </c>
      <c r="O10126">
        <v>26</v>
      </c>
      <c r="P10126">
        <v>0</v>
      </c>
    </row>
    <row r="10127" spans="1:16" x14ac:dyDescent="0.25">
      <c r="A10127" t="s">
        <v>32803</v>
      </c>
      <c r="B10127" t="s">
        <v>17684</v>
      </c>
      <c r="C10127" t="s">
        <v>17505</v>
      </c>
      <c r="D10127" t="str">
        <f>"1078"</f>
        <v>1078</v>
      </c>
      <c r="E10127" t="s">
        <v>17685</v>
      </c>
      <c r="F10127" t="s">
        <v>3750</v>
      </c>
      <c r="G10127" t="s">
        <v>16221</v>
      </c>
      <c r="H10127" t="s">
        <v>47054</v>
      </c>
      <c r="I10127" t="s">
        <v>47116</v>
      </c>
      <c r="J10127" t="s">
        <v>47117</v>
      </c>
      <c r="K10127" t="s">
        <v>47113</v>
      </c>
      <c r="L10127">
        <v>7.51</v>
      </c>
      <c r="M10127">
        <v>21</v>
      </c>
      <c r="N10127">
        <v>0</v>
      </c>
      <c r="O10127">
        <v>21</v>
      </c>
      <c r="P10127">
        <v>0</v>
      </c>
    </row>
    <row r="10128" spans="1:16" x14ac:dyDescent="0.25">
      <c r="A10128" t="s">
        <v>32804</v>
      </c>
      <c r="B10128" t="s">
        <v>17686</v>
      </c>
      <c r="C10128" t="s">
        <v>17687</v>
      </c>
      <c r="D10128" t="str">
        <f>"1708"</f>
        <v>1708</v>
      </c>
      <c r="E10128" t="s">
        <v>17688</v>
      </c>
      <c r="F10128" t="s">
        <v>3750</v>
      </c>
      <c r="G10128" t="s">
        <v>16221</v>
      </c>
      <c r="H10128" t="s">
        <v>47054</v>
      </c>
      <c r="I10128" t="s">
        <v>47116</v>
      </c>
      <c r="J10128" t="s">
        <v>47117</v>
      </c>
      <c r="K10128" t="s">
        <v>47113</v>
      </c>
      <c r="L10128">
        <v>6.44</v>
      </c>
      <c r="M10128">
        <v>19</v>
      </c>
      <c r="N10128">
        <v>0</v>
      </c>
      <c r="O10128">
        <v>19</v>
      </c>
      <c r="P10128">
        <v>0</v>
      </c>
    </row>
    <row r="10129" spans="1:16" x14ac:dyDescent="0.25">
      <c r="A10129" t="s">
        <v>32805</v>
      </c>
      <c r="B10129" t="s">
        <v>17689</v>
      </c>
      <c r="C10129" t="s">
        <v>17690</v>
      </c>
      <c r="D10129" t="str">
        <f>"1708"</f>
        <v>1708</v>
      </c>
      <c r="E10129" t="s">
        <v>16240</v>
      </c>
      <c r="F10129" t="s">
        <v>3750</v>
      </c>
      <c r="G10129" t="s">
        <v>16221</v>
      </c>
      <c r="H10129" t="s">
        <v>47054</v>
      </c>
      <c r="I10129" t="s">
        <v>47116</v>
      </c>
      <c r="J10129" t="s">
        <v>47117</v>
      </c>
      <c r="K10129" t="s">
        <v>47113</v>
      </c>
      <c r="L10129">
        <v>7.51</v>
      </c>
      <c r="M10129">
        <v>21</v>
      </c>
      <c r="N10129">
        <v>0</v>
      </c>
      <c r="O10129">
        <v>21</v>
      </c>
      <c r="P10129">
        <v>0</v>
      </c>
    </row>
    <row r="10130" spans="1:16" x14ac:dyDescent="0.25">
      <c r="A10130" t="s">
        <v>32806</v>
      </c>
      <c r="B10130" t="s">
        <v>17691</v>
      </c>
      <c r="C10130" t="s">
        <v>17692</v>
      </c>
      <c r="D10130" t="str">
        <f>"1700"</f>
        <v>1700</v>
      </c>
      <c r="E10130" t="s">
        <v>17693</v>
      </c>
      <c r="F10130" t="s">
        <v>3750</v>
      </c>
      <c r="G10130" t="s">
        <v>16221</v>
      </c>
      <c r="H10130" t="s">
        <v>47054</v>
      </c>
      <c r="I10130" t="s">
        <v>47116</v>
      </c>
      <c r="J10130" t="s">
        <v>47117</v>
      </c>
      <c r="K10130" t="s">
        <v>47113</v>
      </c>
      <c r="L10130">
        <v>7.04</v>
      </c>
      <c r="M10130">
        <v>20</v>
      </c>
      <c r="N10130">
        <v>0</v>
      </c>
      <c r="O10130">
        <v>20</v>
      </c>
      <c r="P10130">
        <v>0</v>
      </c>
    </row>
    <row r="10131" spans="1:16" x14ac:dyDescent="0.25">
      <c r="A10131" t="s">
        <v>32807</v>
      </c>
      <c r="B10131" t="s">
        <v>17694</v>
      </c>
      <c r="C10131" t="s">
        <v>17695</v>
      </c>
      <c r="D10131" t="str">
        <f>"1096"</f>
        <v>1096</v>
      </c>
      <c r="E10131" t="s">
        <v>4744</v>
      </c>
      <c r="F10131" t="s">
        <v>3750</v>
      </c>
      <c r="G10131" t="s">
        <v>16221</v>
      </c>
      <c r="H10131" t="s">
        <v>47054</v>
      </c>
      <c r="I10131" t="s">
        <v>47116</v>
      </c>
      <c r="J10131" t="s">
        <v>47117</v>
      </c>
      <c r="K10131" t="s">
        <v>47113</v>
      </c>
      <c r="L10131">
        <v>7.75</v>
      </c>
      <c r="M10131">
        <v>22</v>
      </c>
      <c r="N10131">
        <v>0</v>
      </c>
      <c r="O10131">
        <v>22</v>
      </c>
      <c r="P10131">
        <v>0</v>
      </c>
    </row>
    <row r="10132" spans="1:16" x14ac:dyDescent="0.25">
      <c r="A10132" t="s">
        <v>32808</v>
      </c>
      <c r="B10132" t="s">
        <v>17694</v>
      </c>
      <c r="C10132" t="s">
        <v>17695</v>
      </c>
      <c r="D10132" t="str">
        <f>"6000"</f>
        <v>6000</v>
      </c>
      <c r="E10132" t="s">
        <v>17696</v>
      </c>
      <c r="F10132" t="s">
        <v>3750</v>
      </c>
      <c r="G10132" t="s">
        <v>16221</v>
      </c>
      <c r="H10132" t="s">
        <v>47054</v>
      </c>
      <c r="I10132" t="s">
        <v>47116</v>
      </c>
      <c r="J10132" t="s">
        <v>47117</v>
      </c>
      <c r="K10132" t="s">
        <v>47113</v>
      </c>
      <c r="L10132">
        <v>7.75</v>
      </c>
      <c r="M10132">
        <v>22</v>
      </c>
      <c r="N10132">
        <v>0</v>
      </c>
      <c r="O10132">
        <v>22</v>
      </c>
      <c r="P10132">
        <v>0</v>
      </c>
    </row>
    <row r="10133" spans="1:16" x14ac:dyDescent="0.25">
      <c r="A10133" t="s">
        <v>32809</v>
      </c>
      <c r="B10133" t="s">
        <v>17697</v>
      </c>
      <c r="C10133" t="s">
        <v>17515</v>
      </c>
      <c r="D10133" t="str">
        <f>"1839"</f>
        <v>1839</v>
      </c>
      <c r="E10133" t="s">
        <v>13190</v>
      </c>
      <c r="F10133" t="s">
        <v>3750</v>
      </c>
      <c r="G10133" t="s">
        <v>16221</v>
      </c>
      <c r="H10133" t="s">
        <v>47054</v>
      </c>
      <c r="I10133" t="s">
        <v>47116</v>
      </c>
      <c r="J10133" t="s">
        <v>47117</v>
      </c>
      <c r="K10133" t="s">
        <v>47113</v>
      </c>
      <c r="L10133">
        <v>7.51</v>
      </c>
      <c r="M10133">
        <v>21</v>
      </c>
      <c r="N10133">
        <v>0</v>
      </c>
      <c r="O10133">
        <v>21</v>
      </c>
      <c r="P10133">
        <v>0</v>
      </c>
    </row>
    <row r="10134" spans="1:16" x14ac:dyDescent="0.25">
      <c r="A10134" t="s">
        <v>32810</v>
      </c>
      <c r="B10134" t="s">
        <v>17698</v>
      </c>
      <c r="C10134" t="s">
        <v>17699</v>
      </c>
      <c r="D10134" t="str">
        <f>"1001"</f>
        <v>1001</v>
      </c>
      <c r="E10134" t="s">
        <v>17700</v>
      </c>
      <c r="F10134" t="s">
        <v>3750</v>
      </c>
      <c r="G10134" t="s">
        <v>16221</v>
      </c>
      <c r="H10134" t="s">
        <v>47054</v>
      </c>
      <c r="I10134" t="s">
        <v>47116</v>
      </c>
      <c r="J10134" t="s">
        <v>47117</v>
      </c>
      <c r="K10134" t="s">
        <v>47113</v>
      </c>
      <c r="L10134">
        <v>7.42</v>
      </c>
      <c r="M10134">
        <v>21</v>
      </c>
      <c r="N10134">
        <v>0</v>
      </c>
      <c r="O10134">
        <v>21</v>
      </c>
      <c r="P10134">
        <v>0</v>
      </c>
    </row>
    <row r="10135" spans="1:16" x14ac:dyDescent="0.25">
      <c r="A10135" t="s">
        <v>32811</v>
      </c>
      <c r="B10135" t="s">
        <v>17698</v>
      </c>
      <c r="C10135" t="s">
        <v>17699</v>
      </c>
      <c r="D10135" t="str">
        <f>"1708"</f>
        <v>1708</v>
      </c>
      <c r="E10135" t="s">
        <v>16240</v>
      </c>
      <c r="F10135" t="s">
        <v>3750</v>
      </c>
      <c r="G10135" t="s">
        <v>16221</v>
      </c>
      <c r="H10135" t="s">
        <v>47054</v>
      </c>
      <c r="I10135" t="s">
        <v>47116</v>
      </c>
      <c r="J10135" t="s">
        <v>47117</v>
      </c>
      <c r="K10135" t="s">
        <v>47113</v>
      </c>
      <c r="L10135">
        <v>7.42</v>
      </c>
      <c r="M10135">
        <v>21</v>
      </c>
      <c r="N10135">
        <v>0</v>
      </c>
      <c r="O10135">
        <v>21</v>
      </c>
      <c r="P10135">
        <v>0</v>
      </c>
    </row>
    <row r="10136" spans="1:16" x14ac:dyDescent="0.25">
      <c r="A10136" t="s">
        <v>32812</v>
      </c>
      <c r="B10136" t="s">
        <v>17701</v>
      </c>
      <c r="C10136" t="s">
        <v>17702</v>
      </c>
      <c r="D10136" t="str">
        <f>"1081"</f>
        <v>1081</v>
      </c>
      <c r="E10136" t="s">
        <v>17703</v>
      </c>
      <c r="F10136" t="s">
        <v>3750</v>
      </c>
      <c r="G10136" t="s">
        <v>16221</v>
      </c>
      <c r="H10136" t="s">
        <v>47054</v>
      </c>
      <c r="I10136" t="s">
        <v>47116</v>
      </c>
      <c r="J10136" t="s">
        <v>47117</v>
      </c>
      <c r="K10136" t="s">
        <v>47113</v>
      </c>
      <c r="L10136">
        <v>7.24</v>
      </c>
      <c r="M10136">
        <v>33</v>
      </c>
      <c r="N10136">
        <v>0</v>
      </c>
      <c r="O10136">
        <v>33</v>
      </c>
      <c r="P10136">
        <v>0</v>
      </c>
    </row>
    <row r="10137" spans="1:16" x14ac:dyDescent="0.25">
      <c r="A10137" t="s">
        <v>32813</v>
      </c>
      <c r="B10137" t="s">
        <v>20524</v>
      </c>
      <c r="C10137" t="s">
        <v>20435</v>
      </c>
      <c r="D10137" t="str">
        <f>"1078"</f>
        <v>1078</v>
      </c>
      <c r="E10137" t="s">
        <v>20525</v>
      </c>
      <c r="F10137" t="s">
        <v>3750</v>
      </c>
      <c r="G10137" t="s">
        <v>16221</v>
      </c>
      <c r="H10137" t="s">
        <v>47054</v>
      </c>
      <c r="I10137" t="s">
        <v>47154</v>
      </c>
      <c r="J10137" t="s">
        <v>47155</v>
      </c>
      <c r="K10137" t="s">
        <v>47113</v>
      </c>
      <c r="L10137">
        <v>6.82</v>
      </c>
      <c r="M10137">
        <v>15</v>
      </c>
      <c r="N10137">
        <v>0</v>
      </c>
      <c r="O10137">
        <v>15</v>
      </c>
      <c r="P10137">
        <v>0</v>
      </c>
    </row>
    <row r="10138" spans="1:16" x14ac:dyDescent="0.25">
      <c r="A10138" t="s">
        <v>32814</v>
      </c>
      <c r="B10138" t="s">
        <v>20526</v>
      </c>
      <c r="C10138" t="s">
        <v>20527</v>
      </c>
      <c r="D10138" t="str">
        <f>"1708"</f>
        <v>1708</v>
      </c>
      <c r="E10138" t="s">
        <v>16240</v>
      </c>
      <c r="F10138" t="s">
        <v>3750</v>
      </c>
      <c r="G10138" t="s">
        <v>16221</v>
      </c>
      <c r="H10138" t="s">
        <v>47054</v>
      </c>
      <c r="I10138" t="s">
        <v>47116</v>
      </c>
      <c r="J10138" t="s">
        <v>47117</v>
      </c>
      <c r="K10138" t="s">
        <v>47113</v>
      </c>
      <c r="L10138">
        <v>7.67</v>
      </c>
      <c r="M10138">
        <v>34</v>
      </c>
      <c r="N10138">
        <v>0</v>
      </c>
      <c r="O10138">
        <v>34</v>
      </c>
      <c r="P10138">
        <v>0</v>
      </c>
    </row>
    <row r="10139" spans="1:16" x14ac:dyDescent="0.25">
      <c r="A10139" t="s">
        <v>32815</v>
      </c>
      <c r="B10139" t="s">
        <v>20526</v>
      </c>
      <c r="C10139" t="s">
        <v>20527</v>
      </c>
      <c r="D10139" t="str">
        <f>"1855"</f>
        <v>1855</v>
      </c>
      <c r="E10139" t="s">
        <v>20528</v>
      </c>
      <c r="F10139" t="s">
        <v>3750</v>
      </c>
      <c r="G10139" t="s">
        <v>16221</v>
      </c>
      <c r="H10139" t="s">
        <v>47054</v>
      </c>
      <c r="I10139" t="s">
        <v>47116</v>
      </c>
      <c r="J10139" t="s">
        <v>47117</v>
      </c>
      <c r="K10139" t="s">
        <v>47113</v>
      </c>
      <c r="L10139">
        <v>7.67</v>
      </c>
      <c r="M10139">
        <v>34</v>
      </c>
      <c r="N10139">
        <v>0</v>
      </c>
      <c r="O10139">
        <v>34</v>
      </c>
      <c r="P10139">
        <v>0</v>
      </c>
    </row>
    <row r="10140" spans="1:16" x14ac:dyDescent="0.25">
      <c r="A10140" t="s">
        <v>32816</v>
      </c>
      <c r="B10140" t="s">
        <v>14501</v>
      </c>
      <c r="C10140" t="s">
        <v>14500</v>
      </c>
      <c r="D10140" t="str">
        <f>"1001"</f>
        <v>1001</v>
      </c>
      <c r="E10140" t="s">
        <v>42</v>
      </c>
      <c r="F10140" t="s">
        <v>3750</v>
      </c>
      <c r="G10140" t="s">
        <v>16221</v>
      </c>
      <c r="H10140" t="s">
        <v>47054</v>
      </c>
      <c r="I10140" t="s">
        <v>47116</v>
      </c>
      <c r="J10140" t="s">
        <v>47117</v>
      </c>
      <c r="K10140" t="s">
        <v>47113</v>
      </c>
      <c r="L10140">
        <v>8.06</v>
      </c>
      <c r="M10140">
        <v>22</v>
      </c>
      <c r="N10140">
        <v>0</v>
      </c>
      <c r="O10140">
        <v>22</v>
      </c>
      <c r="P10140">
        <v>0</v>
      </c>
    </row>
    <row r="10141" spans="1:16" x14ac:dyDescent="0.25">
      <c r="A10141" t="s">
        <v>32817</v>
      </c>
      <c r="B10141" t="s">
        <v>14501</v>
      </c>
      <c r="C10141" t="s">
        <v>14500</v>
      </c>
      <c r="D10141" t="str">
        <f>"1700"</f>
        <v>1700</v>
      </c>
      <c r="E10141" t="s">
        <v>60</v>
      </c>
      <c r="F10141" t="s">
        <v>3750</v>
      </c>
      <c r="G10141" t="s">
        <v>16221</v>
      </c>
      <c r="H10141" t="s">
        <v>47054</v>
      </c>
      <c r="I10141" t="s">
        <v>47116</v>
      </c>
      <c r="J10141" t="s">
        <v>47117</v>
      </c>
      <c r="K10141" t="s">
        <v>47113</v>
      </c>
      <c r="L10141">
        <v>8.06</v>
      </c>
      <c r="M10141">
        <v>22</v>
      </c>
      <c r="N10141">
        <v>0</v>
      </c>
      <c r="O10141">
        <v>22</v>
      </c>
      <c r="P10141">
        <v>0</v>
      </c>
    </row>
    <row r="10142" spans="1:16" x14ac:dyDescent="0.25">
      <c r="A10142" t="s">
        <v>32818</v>
      </c>
      <c r="B10142" t="s">
        <v>7398</v>
      </c>
      <c r="C10142" t="s">
        <v>7399</v>
      </c>
      <c r="D10142" t="str">
        <f>"1006"</f>
        <v>1006</v>
      </c>
      <c r="E10142" t="s">
        <v>7400</v>
      </c>
      <c r="F10142" t="s">
        <v>3750</v>
      </c>
      <c r="G10142" t="s">
        <v>16221</v>
      </c>
      <c r="H10142" t="s">
        <v>47054</v>
      </c>
      <c r="I10142" t="s">
        <v>47116</v>
      </c>
      <c r="J10142" t="s">
        <v>47117</v>
      </c>
      <c r="K10142" t="s">
        <v>47113</v>
      </c>
      <c r="L10142">
        <v>6.75</v>
      </c>
      <c r="M10142">
        <v>22</v>
      </c>
      <c r="N10142">
        <v>0</v>
      </c>
      <c r="O10142">
        <v>22</v>
      </c>
      <c r="P10142">
        <v>0</v>
      </c>
    </row>
    <row r="10143" spans="1:16" x14ac:dyDescent="0.25">
      <c r="A10143" t="s">
        <v>32819</v>
      </c>
      <c r="B10143" t="s">
        <v>7398</v>
      </c>
      <c r="C10143" t="s">
        <v>7399</v>
      </c>
      <c r="D10143" t="str">
        <f>"4189"</f>
        <v>4189</v>
      </c>
      <c r="E10143" t="s">
        <v>7401</v>
      </c>
      <c r="F10143" t="s">
        <v>3750</v>
      </c>
      <c r="G10143" t="s">
        <v>16221</v>
      </c>
      <c r="H10143" t="s">
        <v>47054</v>
      </c>
      <c r="I10143" t="s">
        <v>47116</v>
      </c>
      <c r="J10143" t="s">
        <v>47117</v>
      </c>
      <c r="K10143" t="s">
        <v>47113</v>
      </c>
      <c r="L10143">
        <v>6.75</v>
      </c>
      <c r="M10143">
        <v>22</v>
      </c>
      <c r="N10143">
        <v>0</v>
      </c>
      <c r="O10143">
        <v>22</v>
      </c>
      <c r="P10143">
        <v>0</v>
      </c>
    </row>
    <row r="10144" spans="1:16" x14ac:dyDescent="0.25">
      <c r="A10144" t="s">
        <v>32820</v>
      </c>
      <c r="B10144" t="s">
        <v>15559</v>
      </c>
      <c r="C10144" t="s">
        <v>15560</v>
      </c>
      <c r="D10144" t="str">
        <f>"1700"</f>
        <v>1700</v>
      </c>
      <c r="E10144" t="s">
        <v>60</v>
      </c>
      <c r="F10144" t="s">
        <v>3750</v>
      </c>
      <c r="G10144" t="s">
        <v>16221</v>
      </c>
      <c r="H10144" t="s">
        <v>47054</v>
      </c>
      <c r="I10144" t="s">
        <v>47116</v>
      </c>
      <c r="J10144" t="s">
        <v>47117</v>
      </c>
      <c r="K10144" t="s">
        <v>47113</v>
      </c>
      <c r="L10144">
        <v>6.27</v>
      </c>
      <c r="M10144">
        <v>24</v>
      </c>
      <c r="N10144">
        <v>0</v>
      </c>
      <c r="O10144">
        <v>24</v>
      </c>
      <c r="P10144">
        <v>0</v>
      </c>
    </row>
    <row r="10145" spans="1:16" x14ac:dyDescent="0.25">
      <c r="A10145" t="s">
        <v>32821</v>
      </c>
      <c r="B10145" t="s">
        <v>17704</v>
      </c>
      <c r="C10145" t="s">
        <v>17681</v>
      </c>
      <c r="D10145" t="str">
        <f>"1700"</f>
        <v>1700</v>
      </c>
      <c r="E10145" t="s">
        <v>60</v>
      </c>
      <c r="F10145" t="s">
        <v>3750</v>
      </c>
      <c r="G10145" t="s">
        <v>47534</v>
      </c>
      <c r="H10145" t="s">
        <v>47054</v>
      </c>
      <c r="I10145" t="s">
        <v>47116</v>
      </c>
      <c r="J10145" t="s">
        <v>47117</v>
      </c>
      <c r="K10145" t="s">
        <v>47113</v>
      </c>
      <c r="L10145">
        <v>5.47</v>
      </c>
      <c r="M10145">
        <v>16</v>
      </c>
      <c r="N10145">
        <v>0</v>
      </c>
      <c r="O10145">
        <v>16</v>
      </c>
      <c r="P10145">
        <v>0</v>
      </c>
    </row>
    <row r="10146" spans="1:16" x14ac:dyDescent="0.25">
      <c r="A10146" t="s">
        <v>32822</v>
      </c>
      <c r="B10146" t="s">
        <v>17704</v>
      </c>
      <c r="C10146" t="s">
        <v>17681</v>
      </c>
      <c r="D10146" t="str">
        <f>"6000"</f>
        <v>6000</v>
      </c>
      <c r="E10146" t="s">
        <v>238</v>
      </c>
      <c r="F10146" t="s">
        <v>3750</v>
      </c>
      <c r="G10146" t="s">
        <v>47534</v>
      </c>
      <c r="H10146" t="s">
        <v>47054</v>
      </c>
      <c r="I10146" t="s">
        <v>47116</v>
      </c>
      <c r="J10146" t="s">
        <v>47117</v>
      </c>
      <c r="K10146" t="s">
        <v>47113</v>
      </c>
      <c r="L10146">
        <v>5.47</v>
      </c>
      <c r="M10146">
        <v>16</v>
      </c>
      <c r="N10146">
        <v>0</v>
      </c>
      <c r="O10146">
        <v>16</v>
      </c>
      <c r="P10146">
        <v>0</v>
      </c>
    </row>
    <row r="10147" spans="1:16" x14ac:dyDescent="0.25">
      <c r="A10147" t="s">
        <v>32823</v>
      </c>
      <c r="B10147" t="s">
        <v>20529</v>
      </c>
      <c r="C10147" t="s">
        <v>20530</v>
      </c>
      <c r="D10147" t="str">
        <f>"1001"</f>
        <v>1001</v>
      </c>
      <c r="E10147" t="s">
        <v>42</v>
      </c>
      <c r="F10147" t="s">
        <v>3750</v>
      </c>
      <c r="G10147" t="s">
        <v>16221</v>
      </c>
      <c r="H10147" t="s">
        <v>47054</v>
      </c>
      <c r="I10147" t="s">
        <v>47154</v>
      </c>
      <c r="J10147" t="s">
        <v>47155</v>
      </c>
      <c r="K10147" t="s">
        <v>47113</v>
      </c>
      <c r="L10147">
        <v>6.12</v>
      </c>
      <c r="M10147">
        <v>15</v>
      </c>
      <c r="N10147">
        <v>0</v>
      </c>
      <c r="O10147">
        <v>15</v>
      </c>
      <c r="P10147">
        <v>0</v>
      </c>
    </row>
    <row r="10148" spans="1:16" x14ac:dyDescent="0.25">
      <c r="A10148" t="s">
        <v>32824</v>
      </c>
      <c r="B10148" t="s">
        <v>7402</v>
      </c>
      <c r="C10148" t="s">
        <v>7403</v>
      </c>
      <c r="D10148" t="str">
        <f>"1001"</f>
        <v>1001</v>
      </c>
      <c r="E10148" t="s">
        <v>42</v>
      </c>
      <c r="F10148" t="s">
        <v>3750</v>
      </c>
      <c r="G10148" t="s">
        <v>16221</v>
      </c>
      <c r="H10148" t="s">
        <v>47054</v>
      </c>
      <c r="I10148" t="s">
        <v>47116</v>
      </c>
      <c r="J10148" t="s">
        <v>47117</v>
      </c>
      <c r="K10148" t="s">
        <v>47113</v>
      </c>
      <c r="L10148">
        <v>6.98</v>
      </c>
      <c r="M10148">
        <v>22</v>
      </c>
      <c r="N10148">
        <v>0</v>
      </c>
      <c r="O10148">
        <v>22</v>
      </c>
      <c r="P10148">
        <v>0</v>
      </c>
    </row>
    <row r="10149" spans="1:16" x14ac:dyDescent="0.25">
      <c r="A10149" t="s">
        <v>32825</v>
      </c>
      <c r="B10149" t="s">
        <v>7402</v>
      </c>
      <c r="C10149" t="s">
        <v>7403</v>
      </c>
      <c r="D10149" t="str">
        <f>"1700"</f>
        <v>1700</v>
      </c>
      <c r="E10149" t="s">
        <v>60</v>
      </c>
      <c r="F10149" t="s">
        <v>3750</v>
      </c>
      <c r="G10149" t="s">
        <v>16221</v>
      </c>
      <c r="H10149" t="s">
        <v>47054</v>
      </c>
      <c r="I10149" t="s">
        <v>47116</v>
      </c>
      <c r="J10149" t="s">
        <v>47117</v>
      </c>
      <c r="K10149" t="s">
        <v>47113</v>
      </c>
      <c r="L10149">
        <v>6.98</v>
      </c>
      <c r="M10149">
        <v>22</v>
      </c>
      <c r="N10149">
        <v>0</v>
      </c>
      <c r="O10149">
        <v>22</v>
      </c>
      <c r="P10149">
        <v>0</v>
      </c>
    </row>
    <row r="10150" spans="1:16" x14ac:dyDescent="0.25">
      <c r="A10150" t="s">
        <v>32826</v>
      </c>
      <c r="B10150" t="s">
        <v>14499</v>
      </c>
      <c r="C10150" t="s">
        <v>14498</v>
      </c>
      <c r="D10150" t="str">
        <f>"1001"</f>
        <v>1001</v>
      </c>
      <c r="E10150" t="s">
        <v>42</v>
      </c>
      <c r="F10150" t="s">
        <v>3750</v>
      </c>
      <c r="G10150" t="s">
        <v>16221</v>
      </c>
      <c r="H10150" t="s">
        <v>47054</v>
      </c>
      <c r="I10150" t="s">
        <v>47111</v>
      </c>
      <c r="J10150" t="s">
        <v>47112</v>
      </c>
      <c r="K10150" t="s">
        <v>47113</v>
      </c>
      <c r="L10150">
        <v>6.72</v>
      </c>
      <c r="M10150">
        <v>26</v>
      </c>
      <c r="N10150">
        <v>0</v>
      </c>
      <c r="O10150">
        <v>26</v>
      </c>
      <c r="P10150">
        <v>0</v>
      </c>
    </row>
    <row r="10151" spans="1:16" x14ac:dyDescent="0.25">
      <c r="A10151" t="s">
        <v>32827</v>
      </c>
      <c r="B10151" t="s">
        <v>14499</v>
      </c>
      <c r="C10151" t="s">
        <v>14498</v>
      </c>
      <c r="D10151" t="str">
        <f>"6000"</f>
        <v>6000</v>
      </c>
      <c r="E10151" t="s">
        <v>238</v>
      </c>
      <c r="F10151" t="s">
        <v>3750</v>
      </c>
      <c r="G10151" t="s">
        <v>16221</v>
      </c>
      <c r="H10151" t="s">
        <v>47054</v>
      </c>
      <c r="I10151" t="s">
        <v>47111</v>
      </c>
      <c r="J10151" t="s">
        <v>47112</v>
      </c>
      <c r="K10151" t="s">
        <v>47113</v>
      </c>
      <c r="L10151">
        <v>6.72</v>
      </c>
      <c r="M10151">
        <v>26</v>
      </c>
      <c r="N10151">
        <v>0</v>
      </c>
      <c r="O10151">
        <v>26</v>
      </c>
      <c r="P10151">
        <v>0</v>
      </c>
    </row>
    <row r="10152" spans="1:16" x14ac:dyDescent="0.25">
      <c r="A10152" t="s">
        <v>32828</v>
      </c>
      <c r="B10152" t="s">
        <v>17705</v>
      </c>
      <c r="C10152" t="s">
        <v>17706</v>
      </c>
      <c r="D10152" t="str">
        <f>"1700"</f>
        <v>1700</v>
      </c>
      <c r="E10152" t="s">
        <v>60</v>
      </c>
      <c r="F10152" t="s">
        <v>3750</v>
      </c>
      <c r="G10152" t="s">
        <v>16221</v>
      </c>
      <c r="H10152" t="s">
        <v>47054</v>
      </c>
      <c r="I10152" t="s">
        <v>47116</v>
      </c>
      <c r="J10152" t="s">
        <v>47117</v>
      </c>
      <c r="K10152" t="s">
        <v>47113</v>
      </c>
      <c r="L10152">
        <v>6.57</v>
      </c>
      <c r="M10152">
        <v>19</v>
      </c>
      <c r="N10152">
        <v>0</v>
      </c>
      <c r="O10152">
        <v>19</v>
      </c>
      <c r="P10152">
        <v>0</v>
      </c>
    </row>
    <row r="10153" spans="1:16" x14ac:dyDescent="0.25">
      <c r="A10153" t="s">
        <v>32829</v>
      </c>
      <c r="B10153" t="s">
        <v>17705</v>
      </c>
      <c r="C10153" t="s">
        <v>17706</v>
      </c>
      <c r="D10153" t="str">
        <f>"4100"</f>
        <v>4100</v>
      </c>
      <c r="E10153" t="s">
        <v>2383</v>
      </c>
      <c r="F10153" t="s">
        <v>3750</v>
      </c>
      <c r="G10153" t="s">
        <v>16221</v>
      </c>
      <c r="H10153" t="s">
        <v>47054</v>
      </c>
      <c r="I10153" t="s">
        <v>47116</v>
      </c>
      <c r="J10153" t="s">
        <v>47117</v>
      </c>
      <c r="K10153" t="s">
        <v>47113</v>
      </c>
      <c r="L10153">
        <v>6.57</v>
      </c>
      <c r="M10153">
        <v>19</v>
      </c>
      <c r="N10153">
        <v>0</v>
      </c>
      <c r="O10153">
        <v>19</v>
      </c>
      <c r="P10153">
        <v>0</v>
      </c>
    </row>
    <row r="10154" spans="1:16" x14ac:dyDescent="0.25">
      <c r="A10154" t="s">
        <v>32830</v>
      </c>
      <c r="B10154" t="s">
        <v>17707</v>
      </c>
      <c r="C10154" t="s">
        <v>17708</v>
      </c>
      <c r="D10154" t="str">
        <f>"1708"</f>
        <v>1708</v>
      </c>
      <c r="E10154" t="s">
        <v>16240</v>
      </c>
      <c r="F10154" t="s">
        <v>3750</v>
      </c>
      <c r="G10154" t="s">
        <v>16221</v>
      </c>
      <c r="H10154" t="s">
        <v>47054</v>
      </c>
      <c r="I10154" t="s">
        <v>47116</v>
      </c>
      <c r="J10154" t="s">
        <v>47117</v>
      </c>
      <c r="K10154" t="s">
        <v>47113</v>
      </c>
      <c r="L10154">
        <v>7.18</v>
      </c>
      <c r="M10154">
        <v>20</v>
      </c>
      <c r="N10154">
        <v>0</v>
      </c>
      <c r="O10154">
        <v>20</v>
      </c>
      <c r="P10154">
        <v>0</v>
      </c>
    </row>
    <row r="10155" spans="1:16" x14ac:dyDescent="0.25">
      <c r="A10155" t="s">
        <v>32831</v>
      </c>
      <c r="B10155" t="s">
        <v>17707</v>
      </c>
      <c r="C10155" t="s">
        <v>17708</v>
      </c>
      <c r="D10155" t="str">
        <f>"6444"</f>
        <v>6444</v>
      </c>
      <c r="E10155" t="s">
        <v>17709</v>
      </c>
      <c r="F10155" t="s">
        <v>3750</v>
      </c>
      <c r="G10155" t="s">
        <v>16221</v>
      </c>
      <c r="H10155" t="s">
        <v>47054</v>
      </c>
      <c r="I10155" t="s">
        <v>47116</v>
      </c>
      <c r="J10155" t="s">
        <v>47117</v>
      </c>
      <c r="K10155" t="s">
        <v>47113</v>
      </c>
      <c r="L10155">
        <v>7.18</v>
      </c>
      <c r="M10155">
        <v>20</v>
      </c>
      <c r="N10155">
        <v>0</v>
      </c>
      <c r="O10155">
        <v>20</v>
      </c>
      <c r="P10155">
        <v>0</v>
      </c>
    </row>
    <row r="10156" spans="1:16" x14ac:dyDescent="0.25">
      <c r="A10156" t="s">
        <v>32832</v>
      </c>
      <c r="B10156" t="s">
        <v>17710</v>
      </c>
      <c r="C10156" t="s">
        <v>17711</v>
      </c>
      <c r="D10156" t="str">
        <f>"1096"</f>
        <v>1096</v>
      </c>
      <c r="E10156" t="s">
        <v>4744</v>
      </c>
      <c r="F10156" t="s">
        <v>3750</v>
      </c>
      <c r="G10156" t="s">
        <v>16221</v>
      </c>
      <c r="H10156" t="s">
        <v>47054</v>
      </c>
      <c r="I10156" t="s">
        <v>47116</v>
      </c>
      <c r="J10156" t="s">
        <v>47117</v>
      </c>
      <c r="K10156" t="s">
        <v>47113</v>
      </c>
      <c r="L10156">
        <v>7.56</v>
      </c>
      <c r="M10156">
        <v>21</v>
      </c>
      <c r="N10156">
        <v>0</v>
      </c>
      <c r="O10156">
        <v>21</v>
      </c>
      <c r="P10156">
        <v>0</v>
      </c>
    </row>
    <row r="10157" spans="1:16" x14ac:dyDescent="0.25">
      <c r="A10157" t="s">
        <v>32833</v>
      </c>
      <c r="B10157" t="s">
        <v>17710</v>
      </c>
      <c r="C10157" t="s">
        <v>17711</v>
      </c>
      <c r="D10157" t="str">
        <f>"1700"</f>
        <v>1700</v>
      </c>
      <c r="E10157" t="s">
        <v>17712</v>
      </c>
      <c r="F10157" t="s">
        <v>3750</v>
      </c>
      <c r="G10157" t="s">
        <v>16221</v>
      </c>
      <c r="H10157" t="s">
        <v>47054</v>
      </c>
      <c r="I10157" t="s">
        <v>47116</v>
      </c>
      <c r="J10157" t="s">
        <v>47117</v>
      </c>
      <c r="K10157" t="s">
        <v>47113</v>
      </c>
      <c r="L10157">
        <v>7.56</v>
      </c>
      <c r="M10157">
        <v>21</v>
      </c>
      <c r="N10157">
        <v>0</v>
      </c>
      <c r="O10157">
        <v>21</v>
      </c>
      <c r="P10157">
        <v>0</v>
      </c>
    </row>
    <row r="10158" spans="1:16" x14ac:dyDescent="0.25">
      <c r="A10158" t="s">
        <v>32834</v>
      </c>
      <c r="B10158" t="s">
        <v>20531</v>
      </c>
      <c r="C10158" t="s">
        <v>20438</v>
      </c>
      <c r="D10158" t="str">
        <f>"4861"</f>
        <v>4861</v>
      </c>
      <c r="E10158" t="s">
        <v>20532</v>
      </c>
      <c r="F10158" t="s">
        <v>3750</v>
      </c>
      <c r="G10158" t="s">
        <v>16221</v>
      </c>
      <c r="H10158" t="s">
        <v>47054</v>
      </c>
      <c r="I10158" t="s">
        <v>47154</v>
      </c>
      <c r="J10158" t="s">
        <v>47155</v>
      </c>
      <c r="K10158" t="s">
        <v>47113</v>
      </c>
      <c r="L10158">
        <v>7.38</v>
      </c>
      <c r="M10158">
        <v>15</v>
      </c>
      <c r="N10158">
        <v>0</v>
      </c>
      <c r="O10158">
        <v>15</v>
      </c>
      <c r="P10158">
        <v>0</v>
      </c>
    </row>
    <row r="10159" spans="1:16" x14ac:dyDescent="0.25">
      <c r="A10159" t="s">
        <v>32835</v>
      </c>
      <c r="B10159" t="s">
        <v>20533</v>
      </c>
      <c r="C10159" t="s">
        <v>20534</v>
      </c>
      <c r="D10159" t="str">
        <f>"1708"</f>
        <v>1708</v>
      </c>
      <c r="E10159" t="s">
        <v>16240</v>
      </c>
      <c r="F10159" t="s">
        <v>3750</v>
      </c>
      <c r="G10159" t="s">
        <v>16221</v>
      </c>
      <c r="H10159" t="s">
        <v>47054</v>
      </c>
      <c r="I10159" t="s">
        <v>47116</v>
      </c>
      <c r="J10159" t="s">
        <v>47117</v>
      </c>
      <c r="K10159" t="s">
        <v>47113</v>
      </c>
      <c r="L10159">
        <v>7.32</v>
      </c>
      <c r="M10159">
        <v>34</v>
      </c>
      <c r="N10159">
        <v>0</v>
      </c>
      <c r="O10159">
        <v>34</v>
      </c>
      <c r="P10159">
        <v>0</v>
      </c>
    </row>
    <row r="10160" spans="1:16" x14ac:dyDescent="0.25">
      <c r="A10160" t="s">
        <v>32836</v>
      </c>
      <c r="B10160" t="s">
        <v>20533</v>
      </c>
      <c r="C10160" t="s">
        <v>20534</v>
      </c>
      <c r="D10160" t="str">
        <f>"3071"</f>
        <v>3071</v>
      </c>
      <c r="E10160" t="s">
        <v>20535</v>
      </c>
      <c r="F10160" t="s">
        <v>3750</v>
      </c>
      <c r="G10160" t="s">
        <v>16221</v>
      </c>
      <c r="H10160" t="s">
        <v>47054</v>
      </c>
      <c r="I10160" t="s">
        <v>47116</v>
      </c>
      <c r="J10160" t="s">
        <v>47117</v>
      </c>
      <c r="K10160" t="s">
        <v>47113</v>
      </c>
      <c r="L10160">
        <v>7.32</v>
      </c>
      <c r="M10160">
        <v>34</v>
      </c>
      <c r="N10160">
        <v>0</v>
      </c>
      <c r="O10160">
        <v>34</v>
      </c>
      <c r="P10160">
        <v>0</v>
      </c>
    </row>
    <row r="10161" spans="1:16" x14ac:dyDescent="0.25">
      <c r="A10161" t="s">
        <v>32837</v>
      </c>
      <c r="B10161" t="s">
        <v>17713</v>
      </c>
      <c r="C10161" t="s">
        <v>17714</v>
      </c>
      <c r="D10161" t="str">
        <f>"1800"</f>
        <v>1800</v>
      </c>
      <c r="E10161" t="s">
        <v>1999</v>
      </c>
      <c r="F10161" t="s">
        <v>3558</v>
      </c>
      <c r="G10161" t="s">
        <v>16221</v>
      </c>
      <c r="H10161" t="s">
        <v>47054</v>
      </c>
      <c r="I10161" t="s">
        <v>47116</v>
      </c>
      <c r="J10161" t="s">
        <v>47117</v>
      </c>
      <c r="K10161" t="s">
        <v>47113</v>
      </c>
      <c r="L10161">
        <v>10.36</v>
      </c>
      <c r="M10161">
        <v>26</v>
      </c>
      <c r="N10161">
        <v>0</v>
      </c>
      <c r="O10161">
        <v>26</v>
      </c>
      <c r="P10161">
        <v>0</v>
      </c>
    </row>
    <row r="10162" spans="1:16" x14ac:dyDescent="0.25">
      <c r="A10162" t="s">
        <v>17715</v>
      </c>
      <c r="B10162" t="s">
        <v>17713</v>
      </c>
      <c r="C10162" t="s">
        <v>17714</v>
      </c>
      <c r="D10162" t="str">
        <f>"6000"</f>
        <v>6000</v>
      </c>
      <c r="E10162" t="s">
        <v>6279</v>
      </c>
      <c r="F10162" t="s">
        <v>3558</v>
      </c>
      <c r="G10162" t="s">
        <v>16221</v>
      </c>
      <c r="H10162" t="s">
        <v>47054</v>
      </c>
      <c r="I10162" t="s">
        <v>47116</v>
      </c>
      <c r="J10162" t="s">
        <v>47117</v>
      </c>
      <c r="K10162" t="s">
        <v>47113</v>
      </c>
      <c r="L10162">
        <v>10.36</v>
      </c>
      <c r="M10162">
        <v>26</v>
      </c>
      <c r="N10162">
        <v>0</v>
      </c>
      <c r="O10162">
        <v>26</v>
      </c>
      <c r="P10162">
        <v>0</v>
      </c>
    </row>
    <row r="10163" spans="1:16" x14ac:dyDescent="0.25">
      <c r="A10163" t="s">
        <v>32838</v>
      </c>
      <c r="B10163" t="s">
        <v>32839</v>
      </c>
      <c r="C10163" t="s">
        <v>32840</v>
      </c>
      <c r="D10163" t="str">
        <f>"1106"</f>
        <v>1106</v>
      </c>
      <c r="E10163" t="s">
        <v>460</v>
      </c>
      <c r="F10163" t="s">
        <v>3558</v>
      </c>
      <c r="G10163" t="s">
        <v>16221</v>
      </c>
      <c r="H10163" t="s">
        <v>47054</v>
      </c>
      <c r="I10163" t="s">
        <v>47116</v>
      </c>
      <c r="J10163" t="s">
        <v>47117</v>
      </c>
      <c r="K10163" t="s">
        <v>47113</v>
      </c>
      <c r="L10163">
        <v>6.13</v>
      </c>
      <c r="M10163">
        <v>29</v>
      </c>
      <c r="N10163">
        <v>79</v>
      </c>
      <c r="O10163">
        <v>29</v>
      </c>
      <c r="P10163">
        <v>79</v>
      </c>
    </row>
    <row r="10164" spans="1:16" x14ac:dyDescent="0.25">
      <c r="A10164" t="s">
        <v>32841</v>
      </c>
      <c r="B10164" t="s">
        <v>14497</v>
      </c>
      <c r="C10164" t="s">
        <v>17716</v>
      </c>
      <c r="D10164" t="str">
        <f>"1118"</f>
        <v>1118</v>
      </c>
      <c r="E10164" t="s">
        <v>42</v>
      </c>
      <c r="F10164" t="s">
        <v>3750</v>
      </c>
      <c r="G10164" t="s">
        <v>16221</v>
      </c>
      <c r="H10164" t="s">
        <v>47054</v>
      </c>
      <c r="I10164" t="s">
        <v>47111</v>
      </c>
      <c r="J10164" t="s">
        <v>47112</v>
      </c>
      <c r="K10164" t="s">
        <v>47113</v>
      </c>
      <c r="L10164">
        <v>7.61</v>
      </c>
      <c r="M10164">
        <v>24</v>
      </c>
      <c r="N10164">
        <v>0</v>
      </c>
      <c r="O10164">
        <v>24</v>
      </c>
      <c r="P10164">
        <v>0</v>
      </c>
    </row>
    <row r="10165" spans="1:16" x14ac:dyDescent="0.25">
      <c r="A10165" t="s">
        <v>32842</v>
      </c>
      <c r="B10165" t="s">
        <v>14497</v>
      </c>
      <c r="C10165" t="s">
        <v>17716</v>
      </c>
      <c r="D10165" t="str">
        <f>"6000"</f>
        <v>6000</v>
      </c>
      <c r="E10165" t="s">
        <v>238</v>
      </c>
      <c r="F10165" t="s">
        <v>3750</v>
      </c>
      <c r="G10165" t="s">
        <v>16221</v>
      </c>
      <c r="H10165" t="s">
        <v>47054</v>
      </c>
      <c r="I10165" t="s">
        <v>47111</v>
      </c>
      <c r="J10165" t="s">
        <v>47112</v>
      </c>
      <c r="K10165" t="s">
        <v>47113</v>
      </c>
      <c r="L10165">
        <v>7.61</v>
      </c>
      <c r="M10165">
        <v>24</v>
      </c>
      <c r="N10165">
        <v>0</v>
      </c>
      <c r="O10165">
        <v>24</v>
      </c>
      <c r="P10165">
        <v>0</v>
      </c>
    </row>
    <row r="10166" spans="1:16" x14ac:dyDescent="0.25">
      <c r="A10166" t="s">
        <v>32843</v>
      </c>
      <c r="B10166" t="s">
        <v>7404</v>
      </c>
      <c r="C10166" t="s">
        <v>7405</v>
      </c>
      <c r="D10166" t="str">
        <f>"1700"</f>
        <v>1700</v>
      </c>
      <c r="E10166" t="s">
        <v>60</v>
      </c>
      <c r="F10166" t="s">
        <v>3750</v>
      </c>
      <c r="G10166" t="s">
        <v>16221</v>
      </c>
      <c r="H10166" t="s">
        <v>47054</v>
      </c>
      <c r="I10166" t="s">
        <v>47116</v>
      </c>
      <c r="J10166" t="s">
        <v>47117</v>
      </c>
      <c r="K10166" t="s">
        <v>47113</v>
      </c>
      <c r="L10166">
        <v>5.62</v>
      </c>
      <c r="M10166">
        <v>22</v>
      </c>
      <c r="N10166">
        <v>0</v>
      </c>
      <c r="O10166">
        <v>22</v>
      </c>
      <c r="P10166">
        <v>0</v>
      </c>
    </row>
    <row r="10167" spans="1:16" x14ac:dyDescent="0.25">
      <c r="A10167" t="s">
        <v>32844</v>
      </c>
      <c r="B10167" t="s">
        <v>7404</v>
      </c>
      <c r="C10167" t="s">
        <v>7405</v>
      </c>
      <c r="D10167" t="str">
        <f>"6387"</f>
        <v>6387</v>
      </c>
      <c r="E10167" t="s">
        <v>6010</v>
      </c>
      <c r="F10167" t="s">
        <v>3750</v>
      </c>
      <c r="G10167" t="s">
        <v>16221</v>
      </c>
      <c r="H10167" t="s">
        <v>47054</v>
      </c>
      <c r="I10167" t="s">
        <v>47116</v>
      </c>
      <c r="J10167" t="s">
        <v>47117</v>
      </c>
      <c r="K10167" t="s">
        <v>47113</v>
      </c>
      <c r="L10167">
        <v>5.62</v>
      </c>
      <c r="M10167">
        <v>22</v>
      </c>
      <c r="N10167">
        <v>0</v>
      </c>
      <c r="O10167">
        <v>22</v>
      </c>
      <c r="P10167">
        <v>0</v>
      </c>
    </row>
    <row r="10168" spans="1:16" x14ac:dyDescent="0.25">
      <c r="A10168" t="s">
        <v>32845</v>
      </c>
      <c r="B10168" t="s">
        <v>7406</v>
      </c>
      <c r="C10168" t="s">
        <v>7407</v>
      </c>
      <c r="D10168" t="str">
        <f>"1001"</f>
        <v>1001</v>
      </c>
      <c r="E10168" t="s">
        <v>42</v>
      </c>
      <c r="F10168" t="s">
        <v>3750</v>
      </c>
      <c r="G10168" t="s">
        <v>16221</v>
      </c>
      <c r="H10168" t="s">
        <v>47054</v>
      </c>
      <c r="I10168" t="s">
        <v>47116</v>
      </c>
      <c r="J10168" t="s">
        <v>47117</v>
      </c>
      <c r="K10168" t="s">
        <v>47113</v>
      </c>
      <c r="L10168">
        <v>5.86</v>
      </c>
      <c r="M10168">
        <v>22</v>
      </c>
      <c r="N10168">
        <v>0</v>
      </c>
      <c r="O10168">
        <v>22</v>
      </c>
      <c r="P10168">
        <v>0</v>
      </c>
    </row>
    <row r="10169" spans="1:16" x14ac:dyDescent="0.25">
      <c r="A10169" t="s">
        <v>32846</v>
      </c>
      <c r="B10169" t="s">
        <v>14496</v>
      </c>
      <c r="C10169" t="s">
        <v>14495</v>
      </c>
      <c r="D10169" t="str">
        <f>"1001"</f>
        <v>1001</v>
      </c>
      <c r="E10169" t="s">
        <v>42</v>
      </c>
      <c r="F10169" t="s">
        <v>3750</v>
      </c>
      <c r="G10169" t="s">
        <v>16221</v>
      </c>
      <c r="H10169" t="s">
        <v>47054</v>
      </c>
      <c r="I10169" t="s">
        <v>47116</v>
      </c>
      <c r="J10169" t="s">
        <v>47117</v>
      </c>
      <c r="K10169" t="s">
        <v>47113</v>
      </c>
      <c r="L10169">
        <v>7.79</v>
      </c>
      <c r="M10169">
        <v>22</v>
      </c>
      <c r="N10169">
        <v>0</v>
      </c>
      <c r="O10169">
        <v>22</v>
      </c>
      <c r="P10169">
        <v>0</v>
      </c>
    </row>
    <row r="10170" spans="1:16" x14ac:dyDescent="0.25">
      <c r="A10170" t="s">
        <v>32847</v>
      </c>
      <c r="B10170" t="s">
        <v>14496</v>
      </c>
      <c r="C10170" t="s">
        <v>14495</v>
      </c>
      <c r="D10170" t="str">
        <f>"6000"</f>
        <v>6000</v>
      </c>
      <c r="E10170" t="s">
        <v>238</v>
      </c>
      <c r="F10170" t="s">
        <v>3750</v>
      </c>
      <c r="G10170" t="s">
        <v>16221</v>
      </c>
      <c r="H10170" t="s">
        <v>47054</v>
      </c>
      <c r="I10170" t="s">
        <v>47116</v>
      </c>
      <c r="J10170" t="s">
        <v>47117</v>
      </c>
      <c r="K10170" t="s">
        <v>47113</v>
      </c>
      <c r="L10170">
        <v>7.79</v>
      </c>
      <c r="M10170">
        <v>22</v>
      </c>
      <c r="N10170">
        <v>0</v>
      </c>
      <c r="O10170">
        <v>22</v>
      </c>
      <c r="P10170">
        <v>0</v>
      </c>
    </row>
    <row r="10171" spans="1:16" x14ac:dyDescent="0.25">
      <c r="A10171" t="s">
        <v>32848</v>
      </c>
      <c r="B10171" t="s">
        <v>17717</v>
      </c>
      <c r="C10171" t="s">
        <v>17718</v>
      </c>
      <c r="D10171" t="str">
        <f>"1700"</f>
        <v>1700</v>
      </c>
      <c r="E10171" t="s">
        <v>60</v>
      </c>
      <c r="F10171" t="s">
        <v>3750</v>
      </c>
      <c r="G10171" t="s">
        <v>16221</v>
      </c>
      <c r="H10171" t="s">
        <v>47054</v>
      </c>
      <c r="I10171" t="s">
        <v>47116</v>
      </c>
      <c r="J10171" t="s">
        <v>47117</v>
      </c>
      <c r="K10171" t="s">
        <v>47113</v>
      </c>
      <c r="L10171">
        <v>5.98</v>
      </c>
      <c r="M10171">
        <v>17</v>
      </c>
      <c r="N10171">
        <v>0</v>
      </c>
      <c r="O10171">
        <v>17</v>
      </c>
      <c r="P10171">
        <v>0</v>
      </c>
    </row>
    <row r="10172" spans="1:16" x14ac:dyDescent="0.25">
      <c r="A10172" t="s">
        <v>32849</v>
      </c>
      <c r="B10172" t="s">
        <v>15561</v>
      </c>
      <c r="C10172" t="s">
        <v>15562</v>
      </c>
      <c r="D10172" t="str">
        <f>"1700"</f>
        <v>1700</v>
      </c>
      <c r="E10172" t="s">
        <v>60</v>
      </c>
      <c r="F10172" t="s">
        <v>3750</v>
      </c>
      <c r="G10172" t="s">
        <v>16221</v>
      </c>
      <c r="H10172" t="s">
        <v>47054</v>
      </c>
      <c r="I10172" t="s">
        <v>47116</v>
      </c>
      <c r="J10172" t="s">
        <v>47117</v>
      </c>
      <c r="K10172" t="s">
        <v>47113</v>
      </c>
      <c r="L10172">
        <v>5.6</v>
      </c>
      <c r="M10172">
        <v>22</v>
      </c>
      <c r="N10172">
        <v>0</v>
      </c>
      <c r="O10172">
        <v>22</v>
      </c>
      <c r="P10172">
        <v>0</v>
      </c>
    </row>
    <row r="10173" spans="1:16" x14ac:dyDescent="0.25">
      <c r="A10173" t="s">
        <v>32850</v>
      </c>
      <c r="B10173" t="s">
        <v>15561</v>
      </c>
      <c r="C10173" t="s">
        <v>15562</v>
      </c>
      <c r="D10173" t="str">
        <f>"6000"</f>
        <v>6000</v>
      </c>
      <c r="E10173" t="s">
        <v>15563</v>
      </c>
      <c r="F10173" t="s">
        <v>3750</v>
      </c>
      <c r="G10173" t="s">
        <v>16221</v>
      </c>
      <c r="H10173" t="s">
        <v>47054</v>
      </c>
      <c r="I10173" t="s">
        <v>47116</v>
      </c>
      <c r="J10173" t="s">
        <v>47117</v>
      </c>
      <c r="K10173" t="s">
        <v>47113</v>
      </c>
      <c r="L10173">
        <v>5.6</v>
      </c>
      <c r="M10173">
        <v>22</v>
      </c>
      <c r="N10173">
        <v>0</v>
      </c>
      <c r="O10173">
        <v>22</v>
      </c>
      <c r="P10173">
        <v>0</v>
      </c>
    </row>
    <row r="10174" spans="1:16" x14ac:dyDescent="0.25">
      <c r="A10174" t="s">
        <v>32851</v>
      </c>
      <c r="B10174" t="s">
        <v>20536</v>
      </c>
      <c r="C10174" t="s">
        <v>20537</v>
      </c>
      <c r="D10174" t="str">
        <f>"1700"</f>
        <v>1700</v>
      </c>
      <c r="E10174" t="s">
        <v>20538</v>
      </c>
      <c r="F10174" t="s">
        <v>3750</v>
      </c>
      <c r="G10174" t="s">
        <v>16221</v>
      </c>
      <c r="H10174" t="s">
        <v>47054</v>
      </c>
      <c r="I10174" t="s">
        <v>47116</v>
      </c>
      <c r="J10174" t="s">
        <v>47117</v>
      </c>
      <c r="K10174" t="s">
        <v>47113</v>
      </c>
      <c r="L10174">
        <v>6.26</v>
      </c>
      <c r="M10174">
        <v>12</v>
      </c>
      <c r="N10174">
        <v>0</v>
      </c>
      <c r="O10174">
        <v>12</v>
      </c>
      <c r="P10174">
        <v>0</v>
      </c>
    </row>
    <row r="10175" spans="1:16" x14ac:dyDescent="0.25">
      <c r="A10175" t="s">
        <v>32852</v>
      </c>
      <c r="B10175" t="s">
        <v>20536</v>
      </c>
      <c r="C10175" t="s">
        <v>20537</v>
      </c>
      <c r="D10175" t="str">
        <f>"3000"</f>
        <v>3000</v>
      </c>
      <c r="E10175" t="s">
        <v>20511</v>
      </c>
      <c r="F10175" t="s">
        <v>3750</v>
      </c>
      <c r="G10175" t="s">
        <v>16221</v>
      </c>
      <c r="H10175" t="s">
        <v>47054</v>
      </c>
      <c r="I10175" t="s">
        <v>47116</v>
      </c>
      <c r="J10175" t="s">
        <v>47117</v>
      </c>
      <c r="K10175" t="s">
        <v>47113</v>
      </c>
      <c r="L10175">
        <v>6.26</v>
      </c>
      <c r="M10175">
        <v>12</v>
      </c>
      <c r="N10175">
        <v>0</v>
      </c>
      <c r="O10175">
        <v>12</v>
      </c>
      <c r="P10175">
        <v>0</v>
      </c>
    </row>
    <row r="10176" spans="1:16" x14ac:dyDescent="0.25">
      <c r="A10176" t="s">
        <v>32853</v>
      </c>
      <c r="B10176" t="s">
        <v>17719</v>
      </c>
      <c r="C10176" t="s">
        <v>17720</v>
      </c>
      <c r="D10176" t="str">
        <f>"1001"</f>
        <v>1001</v>
      </c>
      <c r="E10176" t="s">
        <v>42</v>
      </c>
      <c r="F10176" t="s">
        <v>3750</v>
      </c>
      <c r="G10176" t="s">
        <v>16221</v>
      </c>
      <c r="H10176" t="s">
        <v>47054</v>
      </c>
      <c r="I10176" t="s">
        <v>47116</v>
      </c>
      <c r="J10176" t="s">
        <v>47117</v>
      </c>
      <c r="K10176" t="s">
        <v>47113</v>
      </c>
      <c r="L10176">
        <v>6.88</v>
      </c>
      <c r="M10176">
        <v>20</v>
      </c>
      <c r="N10176">
        <v>0</v>
      </c>
      <c r="O10176">
        <v>20</v>
      </c>
      <c r="P10176">
        <v>0</v>
      </c>
    </row>
    <row r="10177" spans="1:16" x14ac:dyDescent="0.25">
      <c r="A10177" t="s">
        <v>32854</v>
      </c>
      <c r="B10177" t="s">
        <v>17719</v>
      </c>
      <c r="C10177" t="s">
        <v>17720</v>
      </c>
      <c r="D10177" t="str">
        <f>"6000"</f>
        <v>6000</v>
      </c>
      <c r="E10177" t="s">
        <v>238</v>
      </c>
      <c r="F10177" t="s">
        <v>3750</v>
      </c>
      <c r="G10177" t="s">
        <v>16221</v>
      </c>
      <c r="H10177" t="s">
        <v>47054</v>
      </c>
      <c r="I10177" t="s">
        <v>47116</v>
      </c>
      <c r="J10177" t="s">
        <v>47117</v>
      </c>
      <c r="K10177" t="s">
        <v>47113</v>
      </c>
      <c r="L10177">
        <v>6.88</v>
      </c>
      <c r="M10177">
        <v>20</v>
      </c>
      <c r="N10177">
        <v>0</v>
      </c>
      <c r="O10177">
        <v>20</v>
      </c>
      <c r="P10177">
        <v>0</v>
      </c>
    </row>
    <row r="10178" spans="1:16" x14ac:dyDescent="0.25">
      <c r="A10178" t="s">
        <v>32855</v>
      </c>
      <c r="B10178" t="s">
        <v>17721</v>
      </c>
      <c r="C10178" t="s">
        <v>20539</v>
      </c>
      <c r="D10178" t="str">
        <f>"1001"</f>
        <v>1001</v>
      </c>
      <c r="E10178" t="s">
        <v>42</v>
      </c>
      <c r="F10178" t="s">
        <v>3750</v>
      </c>
      <c r="G10178" t="s">
        <v>16221</v>
      </c>
      <c r="H10178" t="s">
        <v>47054</v>
      </c>
      <c r="I10178" t="s">
        <v>47116</v>
      </c>
      <c r="J10178" t="s">
        <v>47117</v>
      </c>
      <c r="K10178" t="s">
        <v>47113</v>
      </c>
      <c r="L10178">
        <v>5.47</v>
      </c>
      <c r="M10178">
        <v>16</v>
      </c>
      <c r="N10178">
        <v>0</v>
      </c>
      <c r="O10178">
        <v>16</v>
      </c>
      <c r="P10178">
        <v>0</v>
      </c>
    </row>
    <row r="10179" spans="1:16" x14ac:dyDescent="0.25">
      <c r="A10179" t="s">
        <v>32856</v>
      </c>
      <c r="B10179" t="s">
        <v>17721</v>
      </c>
      <c r="C10179" t="s">
        <v>20539</v>
      </c>
      <c r="D10179" t="str">
        <f>"1700"</f>
        <v>1700</v>
      </c>
      <c r="E10179" t="s">
        <v>60</v>
      </c>
      <c r="F10179" t="s">
        <v>3750</v>
      </c>
      <c r="G10179" t="s">
        <v>16221</v>
      </c>
      <c r="H10179" t="s">
        <v>47054</v>
      </c>
      <c r="I10179" t="s">
        <v>47116</v>
      </c>
      <c r="J10179" t="s">
        <v>47117</v>
      </c>
      <c r="K10179" t="s">
        <v>47113</v>
      </c>
      <c r="L10179">
        <v>5.47</v>
      </c>
      <c r="M10179">
        <v>16</v>
      </c>
      <c r="N10179">
        <v>0</v>
      </c>
      <c r="O10179">
        <v>16</v>
      </c>
      <c r="P10179">
        <v>0</v>
      </c>
    </row>
    <row r="10180" spans="1:16" x14ac:dyDescent="0.25">
      <c r="A10180" t="s">
        <v>32857</v>
      </c>
      <c r="B10180" t="s">
        <v>17721</v>
      </c>
      <c r="C10180" t="s">
        <v>20539</v>
      </c>
      <c r="D10180" t="str">
        <f>"4189"</f>
        <v>4189</v>
      </c>
      <c r="E10180" t="s">
        <v>17644</v>
      </c>
      <c r="F10180" t="s">
        <v>3750</v>
      </c>
      <c r="G10180" t="s">
        <v>16221</v>
      </c>
      <c r="H10180" t="s">
        <v>47054</v>
      </c>
      <c r="I10180" t="s">
        <v>47116</v>
      </c>
      <c r="J10180" t="s">
        <v>47117</v>
      </c>
      <c r="K10180" t="s">
        <v>47113</v>
      </c>
      <c r="L10180">
        <v>4.78</v>
      </c>
      <c r="M10180">
        <v>12</v>
      </c>
      <c r="N10180">
        <v>0</v>
      </c>
      <c r="O10180">
        <v>12</v>
      </c>
      <c r="P10180">
        <v>0</v>
      </c>
    </row>
    <row r="10181" spans="1:16" x14ac:dyDescent="0.25">
      <c r="A10181" t="s">
        <v>32858</v>
      </c>
      <c r="B10181" t="s">
        <v>17722</v>
      </c>
      <c r="C10181" t="s">
        <v>17723</v>
      </c>
      <c r="D10181" t="str">
        <f>"1700"</f>
        <v>1700</v>
      </c>
      <c r="E10181" t="s">
        <v>60</v>
      </c>
      <c r="F10181" t="s">
        <v>3750</v>
      </c>
      <c r="G10181" t="s">
        <v>16221</v>
      </c>
      <c r="H10181" t="s">
        <v>47054</v>
      </c>
      <c r="I10181" t="s">
        <v>47116</v>
      </c>
      <c r="J10181" t="s">
        <v>47117</v>
      </c>
      <c r="K10181" t="s">
        <v>47113</v>
      </c>
      <c r="L10181">
        <v>5.98</v>
      </c>
      <c r="M10181">
        <v>17</v>
      </c>
      <c r="N10181">
        <v>0</v>
      </c>
      <c r="O10181">
        <v>17</v>
      </c>
      <c r="P10181">
        <v>0</v>
      </c>
    </row>
    <row r="10182" spans="1:16" x14ac:dyDescent="0.25">
      <c r="A10182" t="s">
        <v>32859</v>
      </c>
      <c r="B10182" t="s">
        <v>17724</v>
      </c>
      <c r="C10182" t="s">
        <v>17725</v>
      </c>
      <c r="D10182" t="str">
        <f>"1001"</f>
        <v>1001</v>
      </c>
      <c r="E10182" t="s">
        <v>42</v>
      </c>
      <c r="F10182" t="s">
        <v>3750</v>
      </c>
      <c r="G10182" t="s">
        <v>16221</v>
      </c>
      <c r="H10182" t="s">
        <v>47054</v>
      </c>
      <c r="I10182" t="s">
        <v>47116</v>
      </c>
      <c r="J10182" t="s">
        <v>47117</v>
      </c>
      <c r="K10182" t="s">
        <v>47113</v>
      </c>
      <c r="L10182">
        <v>5.98</v>
      </c>
      <c r="M10182">
        <v>17</v>
      </c>
      <c r="N10182">
        <v>0</v>
      </c>
      <c r="O10182">
        <v>17</v>
      </c>
      <c r="P10182">
        <v>0</v>
      </c>
    </row>
    <row r="10183" spans="1:16" x14ac:dyDescent="0.25">
      <c r="A10183" t="s">
        <v>32860</v>
      </c>
      <c r="B10183" t="s">
        <v>17724</v>
      </c>
      <c r="C10183" t="s">
        <v>17725</v>
      </c>
      <c r="D10183" t="str">
        <f>"1700"</f>
        <v>1700</v>
      </c>
      <c r="E10183" t="s">
        <v>60</v>
      </c>
      <c r="F10183" t="s">
        <v>3750</v>
      </c>
      <c r="G10183" t="s">
        <v>16221</v>
      </c>
      <c r="H10183" t="s">
        <v>47054</v>
      </c>
      <c r="I10183" t="s">
        <v>47116</v>
      </c>
      <c r="J10183" t="s">
        <v>47117</v>
      </c>
      <c r="K10183" t="s">
        <v>47113</v>
      </c>
      <c r="L10183">
        <v>5.98</v>
      </c>
      <c r="M10183">
        <v>17</v>
      </c>
      <c r="N10183">
        <v>0</v>
      </c>
      <c r="O10183">
        <v>17</v>
      </c>
      <c r="P10183">
        <v>0</v>
      </c>
    </row>
    <row r="10184" spans="1:16" x14ac:dyDescent="0.25">
      <c r="A10184" t="s">
        <v>32861</v>
      </c>
      <c r="B10184" t="s">
        <v>20540</v>
      </c>
      <c r="C10184" t="s">
        <v>20541</v>
      </c>
      <c r="D10184" t="str">
        <f>"1001"</f>
        <v>1001</v>
      </c>
      <c r="E10184" t="s">
        <v>42</v>
      </c>
      <c r="F10184" t="s">
        <v>3750</v>
      </c>
      <c r="G10184" t="s">
        <v>16221</v>
      </c>
      <c r="H10184" t="s">
        <v>47054</v>
      </c>
      <c r="I10184" t="s">
        <v>48032</v>
      </c>
      <c r="J10184" t="s">
        <v>48033</v>
      </c>
      <c r="K10184" t="s">
        <v>47113</v>
      </c>
      <c r="L10184">
        <v>5.89</v>
      </c>
      <c r="M10184">
        <v>12</v>
      </c>
      <c r="N10184">
        <v>0</v>
      </c>
      <c r="O10184">
        <v>12</v>
      </c>
      <c r="P10184">
        <v>0</v>
      </c>
    </row>
    <row r="10185" spans="1:16" x14ac:dyDescent="0.25">
      <c r="A10185" t="s">
        <v>32862</v>
      </c>
      <c r="B10185" t="s">
        <v>20540</v>
      </c>
      <c r="C10185" t="s">
        <v>20541</v>
      </c>
      <c r="D10185" t="str">
        <f>"1700"</f>
        <v>1700</v>
      </c>
      <c r="E10185" t="s">
        <v>60</v>
      </c>
      <c r="F10185" t="s">
        <v>3750</v>
      </c>
      <c r="G10185" t="s">
        <v>16221</v>
      </c>
      <c r="H10185" t="s">
        <v>47054</v>
      </c>
      <c r="I10185" t="s">
        <v>48032</v>
      </c>
      <c r="J10185" t="s">
        <v>48033</v>
      </c>
      <c r="K10185" t="s">
        <v>47113</v>
      </c>
      <c r="L10185">
        <v>5.89</v>
      </c>
      <c r="M10185">
        <v>12</v>
      </c>
      <c r="N10185">
        <v>0</v>
      </c>
      <c r="O10185">
        <v>12</v>
      </c>
      <c r="P10185">
        <v>0</v>
      </c>
    </row>
    <row r="10186" spans="1:16" x14ac:dyDescent="0.25">
      <c r="A10186" t="s">
        <v>32863</v>
      </c>
      <c r="B10186" t="s">
        <v>7408</v>
      </c>
      <c r="C10186" t="s">
        <v>7409</v>
      </c>
      <c r="D10186" t="str">
        <f>"4101"</f>
        <v>4101</v>
      </c>
      <c r="E10186" t="s">
        <v>43</v>
      </c>
      <c r="F10186" t="s">
        <v>2</v>
      </c>
      <c r="G10186" t="s">
        <v>16448</v>
      </c>
      <c r="H10186" t="s">
        <v>47054</v>
      </c>
      <c r="I10186" t="s">
        <v>47120</v>
      </c>
      <c r="J10186" t="s">
        <v>47121</v>
      </c>
      <c r="K10186" t="s">
        <v>47113</v>
      </c>
      <c r="L10186">
        <v>42.79</v>
      </c>
      <c r="M10186">
        <v>108</v>
      </c>
      <c r="N10186">
        <v>0</v>
      </c>
      <c r="O10186">
        <v>108</v>
      </c>
      <c r="P10186">
        <v>0</v>
      </c>
    </row>
    <row r="10187" spans="1:16" x14ac:dyDescent="0.25">
      <c r="A10187" t="s">
        <v>32864</v>
      </c>
      <c r="B10187" t="s">
        <v>7408</v>
      </c>
      <c r="C10187" t="s">
        <v>7409</v>
      </c>
      <c r="D10187" t="str">
        <f>"6000"</f>
        <v>6000</v>
      </c>
      <c r="E10187" t="s">
        <v>238</v>
      </c>
      <c r="F10187" t="s">
        <v>2</v>
      </c>
      <c r="G10187" t="s">
        <v>16448</v>
      </c>
      <c r="H10187" t="s">
        <v>47054</v>
      </c>
      <c r="I10187" t="s">
        <v>47120</v>
      </c>
      <c r="J10187" t="s">
        <v>47121</v>
      </c>
      <c r="K10187" t="s">
        <v>47113</v>
      </c>
      <c r="L10187">
        <v>42.79</v>
      </c>
      <c r="M10187">
        <v>108</v>
      </c>
      <c r="N10187">
        <v>0</v>
      </c>
      <c r="O10187">
        <v>108</v>
      </c>
      <c r="P10187">
        <v>0</v>
      </c>
    </row>
    <row r="10188" spans="1:16" x14ac:dyDescent="0.25">
      <c r="A10188" t="s">
        <v>32865</v>
      </c>
      <c r="B10188" t="s">
        <v>7410</v>
      </c>
      <c r="C10188" t="s">
        <v>7411</v>
      </c>
      <c r="D10188" t="str">
        <f>"4022"</f>
        <v>4022</v>
      </c>
      <c r="E10188" t="s">
        <v>7412</v>
      </c>
      <c r="F10188" t="s">
        <v>7</v>
      </c>
      <c r="G10188" t="s">
        <v>16230</v>
      </c>
      <c r="H10188" t="s">
        <v>47054</v>
      </c>
      <c r="I10188" t="s">
        <v>47120</v>
      </c>
      <c r="J10188" t="s">
        <v>47121</v>
      </c>
      <c r="K10188" t="s">
        <v>47113</v>
      </c>
      <c r="L10188">
        <v>28.27</v>
      </c>
      <c r="M10188">
        <v>74</v>
      </c>
      <c r="N10188">
        <v>0</v>
      </c>
      <c r="O10188">
        <v>74</v>
      </c>
      <c r="P10188">
        <v>0</v>
      </c>
    </row>
    <row r="10189" spans="1:16" x14ac:dyDescent="0.25">
      <c r="A10189" t="s">
        <v>32866</v>
      </c>
      <c r="B10189" t="s">
        <v>7410</v>
      </c>
      <c r="C10189" t="s">
        <v>7411</v>
      </c>
      <c r="D10189" t="str">
        <f>"6126"</f>
        <v>6126</v>
      </c>
      <c r="E10189" t="s">
        <v>7413</v>
      </c>
      <c r="F10189" t="s">
        <v>7</v>
      </c>
      <c r="G10189" t="s">
        <v>16230</v>
      </c>
      <c r="H10189" t="s">
        <v>47054</v>
      </c>
      <c r="I10189" t="s">
        <v>47120</v>
      </c>
      <c r="J10189" t="s">
        <v>47121</v>
      </c>
      <c r="K10189" t="s">
        <v>47113</v>
      </c>
      <c r="L10189">
        <v>28.52</v>
      </c>
      <c r="M10189">
        <v>74</v>
      </c>
      <c r="N10189">
        <v>0</v>
      </c>
      <c r="O10189">
        <v>74</v>
      </c>
      <c r="P10189">
        <v>0</v>
      </c>
    </row>
    <row r="10190" spans="1:16" x14ac:dyDescent="0.25">
      <c r="A10190" t="s">
        <v>32867</v>
      </c>
      <c r="B10190" t="s">
        <v>7414</v>
      </c>
      <c r="C10190" t="s">
        <v>7415</v>
      </c>
      <c r="D10190" t="str">
        <f>"1162"</f>
        <v>1162</v>
      </c>
      <c r="E10190" t="s">
        <v>1116</v>
      </c>
      <c r="F10190" t="s">
        <v>6</v>
      </c>
      <c r="G10190" t="s">
        <v>16230</v>
      </c>
      <c r="H10190" t="s">
        <v>47054</v>
      </c>
      <c r="I10190" t="s">
        <v>47120</v>
      </c>
      <c r="J10190" t="s">
        <v>47121</v>
      </c>
      <c r="K10190" t="s">
        <v>47113</v>
      </c>
      <c r="L10190">
        <v>29.02</v>
      </c>
      <c r="M10190">
        <v>71</v>
      </c>
      <c r="N10190">
        <v>0</v>
      </c>
      <c r="O10190">
        <v>71</v>
      </c>
      <c r="P10190">
        <v>0</v>
      </c>
    </row>
    <row r="10191" spans="1:16" x14ac:dyDescent="0.25">
      <c r="A10191" t="s">
        <v>32868</v>
      </c>
      <c r="B10191" t="s">
        <v>7414</v>
      </c>
      <c r="C10191" t="s">
        <v>7415</v>
      </c>
      <c r="D10191" t="str">
        <f>"4275"</f>
        <v>4275</v>
      </c>
      <c r="E10191" t="s">
        <v>1118</v>
      </c>
      <c r="F10191" t="s">
        <v>6</v>
      </c>
      <c r="G10191" t="s">
        <v>16230</v>
      </c>
      <c r="H10191" t="s">
        <v>47054</v>
      </c>
      <c r="I10191" t="s">
        <v>47120</v>
      </c>
      <c r="J10191" t="s">
        <v>47121</v>
      </c>
      <c r="K10191" t="s">
        <v>47113</v>
      </c>
      <c r="L10191">
        <v>29.03</v>
      </c>
      <c r="M10191">
        <v>71</v>
      </c>
      <c r="N10191">
        <v>0</v>
      </c>
      <c r="O10191">
        <v>71</v>
      </c>
      <c r="P10191">
        <v>0</v>
      </c>
    </row>
    <row r="10192" spans="1:16" x14ac:dyDescent="0.25">
      <c r="A10192" t="s">
        <v>32869</v>
      </c>
      <c r="B10192" t="s">
        <v>7414</v>
      </c>
      <c r="C10192" t="s">
        <v>7415</v>
      </c>
      <c r="D10192" t="str">
        <f>"6098"</f>
        <v>6098</v>
      </c>
      <c r="E10192" t="s">
        <v>7416</v>
      </c>
      <c r="F10192" t="s">
        <v>6</v>
      </c>
      <c r="G10192" t="s">
        <v>16230</v>
      </c>
      <c r="H10192" t="s">
        <v>47054</v>
      </c>
      <c r="I10192" t="s">
        <v>47120</v>
      </c>
      <c r="J10192" t="s">
        <v>47121</v>
      </c>
      <c r="K10192" t="s">
        <v>47113</v>
      </c>
      <c r="L10192">
        <v>28.47</v>
      </c>
      <c r="M10192">
        <v>71</v>
      </c>
      <c r="N10192">
        <v>0</v>
      </c>
      <c r="O10192">
        <v>71</v>
      </c>
      <c r="P10192">
        <v>0</v>
      </c>
    </row>
    <row r="10193" spans="1:16" x14ac:dyDescent="0.25">
      <c r="A10193" t="s">
        <v>32870</v>
      </c>
      <c r="B10193" t="s">
        <v>7417</v>
      </c>
      <c r="C10193" t="s">
        <v>7418</v>
      </c>
      <c r="D10193" t="str">
        <f>"4311"</f>
        <v>4311</v>
      </c>
      <c r="E10193" t="s">
        <v>1124</v>
      </c>
      <c r="F10193" t="s">
        <v>2</v>
      </c>
      <c r="G10193" t="s">
        <v>16230</v>
      </c>
      <c r="H10193" t="s">
        <v>47054</v>
      </c>
      <c r="I10193" t="s">
        <v>47120</v>
      </c>
      <c r="J10193" t="s">
        <v>47121</v>
      </c>
      <c r="K10193" t="s">
        <v>47113</v>
      </c>
      <c r="L10193">
        <v>27.27</v>
      </c>
      <c r="M10193">
        <v>71</v>
      </c>
      <c r="N10193">
        <v>0</v>
      </c>
      <c r="O10193">
        <v>71</v>
      </c>
      <c r="P10193">
        <v>0</v>
      </c>
    </row>
    <row r="10194" spans="1:16" x14ac:dyDescent="0.25">
      <c r="A10194" t="s">
        <v>32871</v>
      </c>
      <c r="B10194" t="s">
        <v>7417</v>
      </c>
      <c r="C10194" t="s">
        <v>7418</v>
      </c>
      <c r="D10194" t="str">
        <f>"4312"</f>
        <v>4312</v>
      </c>
      <c r="E10194" t="s">
        <v>1126</v>
      </c>
      <c r="F10194" t="s">
        <v>2</v>
      </c>
      <c r="G10194" t="s">
        <v>16230</v>
      </c>
      <c r="H10194" t="s">
        <v>47054</v>
      </c>
      <c r="I10194" t="s">
        <v>47120</v>
      </c>
      <c r="J10194" t="s">
        <v>47121</v>
      </c>
      <c r="K10194" t="s">
        <v>47113</v>
      </c>
      <c r="L10194">
        <v>27.48</v>
      </c>
      <c r="M10194">
        <v>71</v>
      </c>
      <c r="N10194">
        <v>0</v>
      </c>
      <c r="O10194">
        <v>71</v>
      </c>
      <c r="P10194">
        <v>0</v>
      </c>
    </row>
    <row r="10195" spans="1:16" x14ac:dyDescent="0.25">
      <c r="A10195" t="s">
        <v>32872</v>
      </c>
      <c r="B10195" t="s">
        <v>7417</v>
      </c>
      <c r="C10195" t="s">
        <v>7418</v>
      </c>
      <c r="D10195" t="str">
        <f>"7354"</f>
        <v>7354</v>
      </c>
      <c r="E10195" t="s">
        <v>1128</v>
      </c>
      <c r="F10195" t="s">
        <v>2</v>
      </c>
      <c r="G10195" t="s">
        <v>16230</v>
      </c>
      <c r="H10195" t="s">
        <v>47054</v>
      </c>
      <c r="I10195" t="s">
        <v>47120</v>
      </c>
      <c r="J10195" t="s">
        <v>47121</v>
      </c>
      <c r="K10195" t="s">
        <v>47113</v>
      </c>
      <c r="L10195">
        <v>27.67</v>
      </c>
      <c r="M10195">
        <v>71</v>
      </c>
      <c r="N10195">
        <v>0</v>
      </c>
      <c r="O10195">
        <v>71</v>
      </c>
      <c r="P10195">
        <v>0</v>
      </c>
    </row>
    <row r="10196" spans="1:16" x14ac:dyDescent="0.25">
      <c r="A10196" t="s">
        <v>32873</v>
      </c>
      <c r="B10196" t="s">
        <v>7419</v>
      </c>
      <c r="C10196" t="s">
        <v>5493</v>
      </c>
      <c r="D10196" t="str">
        <f>"4683"</f>
        <v>4683</v>
      </c>
      <c r="E10196" t="s">
        <v>7420</v>
      </c>
      <c r="F10196" t="s">
        <v>5</v>
      </c>
      <c r="G10196" t="s">
        <v>16230</v>
      </c>
      <c r="H10196" t="s">
        <v>47054</v>
      </c>
      <c r="I10196" t="s">
        <v>47120</v>
      </c>
      <c r="J10196" t="s">
        <v>47121</v>
      </c>
      <c r="K10196" t="s">
        <v>47113</v>
      </c>
      <c r="L10196">
        <v>27.55</v>
      </c>
      <c r="M10196">
        <v>57</v>
      </c>
      <c r="N10196">
        <v>0</v>
      </c>
      <c r="O10196">
        <v>57</v>
      </c>
      <c r="P10196">
        <v>0</v>
      </c>
    </row>
    <row r="10197" spans="1:16" x14ac:dyDescent="0.25">
      <c r="A10197" t="s">
        <v>32874</v>
      </c>
      <c r="B10197" t="s">
        <v>7419</v>
      </c>
      <c r="C10197" t="s">
        <v>5493</v>
      </c>
      <c r="D10197" t="str">
        <f>"5406"</f>
        <v>5406</v>
      </c>
      <c r="E10197" t="s">
        <v>7421</v>
      </c>
      <c r="F10197" t="s">
        <v>5</v>
      </c>
      <c r="G10197" t="s">
        <v>16230</v>
      </c>
      <c r="H10197" t="s">
        <v>47054</v>
      </c>
      <c r="I10197" t="s">
        <v>47120</v>
      </c>
      <c r="J10197" t="s">
        <v>47121</v>
      </c>
      <c r="K10197" t="s">
        <v>47113</v>
      </c>
      <c r="L10197">
        <v>27.55</v>
      </c>
      <c r="M10197">
        <v>57</v>
      </c>
      <c r="N10197">
        <v>0</v>
      </c>
      <c r="O10197">
        <v>57</v>
      </c>
      <c r="P10197">
        <v>0</v>
      </c>
    </row>
    <row r="10198" spans="1:16" x14ac:dyDescent="0.25">
      <c r="A10198" t="s">
        <v>32875</v>
      </c>
      <c r="B10198" t="s">
        <v>7422</v>
      </c>
      <c r="C10198" t="s">
        <v>7423</v>
      </c>
      <c r="D10198" t="str">
        <f>"4358"</f>
        <v>4358</v>
      </c>
      <c r="E10198" t="s">
        <v>7424</v>
      </c>
      <c r="F10198" t="s">
        <v>4</v>
      </c>
      <c r="G10198" t="s">
        <v>16230</v>
      </c>
      <c r="H10198" t="s">
        <v>47054</v>
      </c>
      <c r="I10198" t="s">
        <v>47120</v>
      </c>
      <c r="J10198" t="s">
        <v>47121</v>
      </c>
      <c r="K10198" t="s">
        <v>47113</v>
      </c>
      <c r="L10198">
        <v>26.34</v>
      </c>
      <c r="M10198">
        <v>64</v>
      </c>
      <c r="N10198">
        <v>0</v>
      </c>
      <c r="O10198">
        <v>64</v>
      </c>
      <c r="P10198">
        <v>0</v>
      </c>
    </row>
    <row r="10199" spans="1:16" x14ac:dyDescent="0.25">
      <c r="A10199" t="s">
        <v>32876</v>
      </c>
      <c r="B10199" t="s">
        <v>7422</v>
      </c>
      <c r="C10199" t="s">
        <v>7423</v>
      </c>
      <c r="D10199" t="str">
        <f>"4686"</f>
        <v>4686</v>
      </c>
      <c r="E10199" t="s">
        <v>7425</v>
      </c>
      <c r="F10199" t="s">
        <v>7</v>
      </c>
      <c r="G10199" t="s">
        <v>16230</v>
      </c>
      <c r="H10199" t="s">
        <v>47054</v>
      </c>
      <c r="I10199" t="s">
        <v>47120</v>
      </c>
      <c r="J10199" t="s">
        <v>47121</v>
      </c>
      <c r="K10199" t="s">
        <v>47113</v>
      </c>
      <c r="L10199">
        <v>26.58</v>
      </c>
      <c r="M10199">
        <v>57</v>
      </c>
      <c r="N10199">
        <v>0</v>
      </c>
      <c r="O10199">
        <v>57</v>
      </c>
      <c r="P10199">
        <v>0</v>
      </c>
    </row>
    <row r="10200" spans="1:16" x14ac:dyDescent="0.25">
      <c r="A10200" t="s">
        <v>14978</v>
      </c>
      <c r="B10200" t="s">
        <v>7422</v>
      </c>
      <c r="C10200" t="s">
        <v>7423</v>
      </c>
      <c r="D10200" t="str">
        <f>"4687"</f>
        <v>4687</v>
      </c>
      <c r="E10200" t="s">
        <v>7426</v>
      </c>
      <c r="F10200" t="s">
        <v>5</v>
      </c>
      <c r="G10200" t="s">
        <v>16230</v>
      </c>
      <c r="H10200" t="s">
        <v>47054</v>
      </c>
      <c r="I10200" t="s">
        <v>47120</v>
      </c>
      <c r="J10200" t="s">
        <v>47121</v>
      </c>
      <c r="K10200" t="s">
        <v>47113</v>
      </c>
      <c r="L10200">
        <v>26.58</v>
      </c>
      <c r="M10200">
        <v>57</v>
      </c>
      <c r="N10200">
        <v>0</v>
      </c>
      <c r="O10200">
        <v>57</v>
      </c>
      <c r="P10200">
        <v>0</v>
      </c>
    </row>
    <row r="10201" spans="1:16" x14ac:dyDescent="0.25">
      <c r="A10201" t="s">
        <v>32877</v>
      </c>
      <c r="B10201" t="s">
        <v>7427</v>
      </c>
      <c r="C10201" t="s">
        <v>7428</v>
      </c>
      <c r="D10201" t="str">
        <f>"4168"</f>
        <v>4168</v>
      </c>
      <c r="E10201" t="s">
        <v>1132</v>
      </c>
      <c r="F10201" t="s">
        <v>7</v>
      </c>
      <c r="G10201" t="s">
        <v>47122</v>
      </c>
      <c r="H10201" t="s">
        <v>47054</v>
      </c>
      <c r="I10201" t="s">
        <v>47120</v>
      </c>
      <c r="J10201" t="s">
        <v>47121</v>
      </c>
      <c r="K10201" t="s">
        <v>47113</v>
      </c>
      <c r="L10201">
        <v>50.47</v>
      </c>
      <c r="M10201">
        <v>143</v>
      </c>
      <c r="N10201">
        <v>0</v>
      </c>
      <c r="O10201">
        <v>143</v>
      </c>
      <c r="P10201">
        <v>0</v>
      </c>
    </row>
    <row r="10202" spans="1:16" x14ac:dyDescent="0.25">
      <c r="A10202" t="s">
        <v>32878</v>
      </c>
      <c r="B10202" t="s">
        <v>7429</v>
      </c>
      <c r="C10202" t="s">
        <v>7430</v>
      </c>
      <c r="D10202" t="str">
        <f>"4326"</f>
        <v>4326</v>
      </c>
      <c r="E10202" t="s">
        <v>7431</v>
      </c>
      <c r="F10202" t="s">
        <v>5</v>
      </c>
      <c r="G10202" t="s">
        <v>16221</v>
      </c>
      <c r="H10202" t="s">
        <v>47054</v>
      </c>
      <c r="I10202" t="s">
        <v>47111</v>
      </c>
      <c r="J10202" t="s">
        <v>47112</v>
      </c>
      <c r="K10202" t="s">
        <v>47113</v>
      </c>
      <c r="L10202">
        <v>13.67</v>
      </c>
      <c r="M10202">
        <v>30</v>
      </c>
      <c r="N10202">
        <v>0</v>
      </c>
      <c r="O10202">
        <v>30</v>
      </c>
      <c r="P10202">
        <v>0</v>
      </c>
    </row>
    <row r="10203" spans="1:16" x14ac:dyDescent="0.25">
      <c r="A10203" t="s">
        <v>32879</v>
      </c>
      <c r="B10203" t="s">
        <v>7432</v>
      </c>
      <c r="C10203" t="s">
        <v>7433</v>
      </c>
      <c r="D10203" t="str">
        <f>"1740"</f>
        <v>1740</v>
      </c>
      <c r="E10203" t="s">
        <v>2747</v>
      </c>
      <c r="F10203" t="s">
        <v>5</v>
      </c>
      <c r="G10203" t="s">
        <v>16221</v>
      </c>
      <c r="H10203" t="s">
        <v>47054</v>
      </c>
      <c r="I10203" t="s">
        <v>47111</v>
      </c>
      <c r="J10203" t="s">
        <v>47112</v>
      </c>
      <c r="K10203" t="s">
        <v>47113</v>
      </c>
      <c r="L10203">
        <v>14.2</v>
      </c>
      <c r="M10203">
        <v>30</v>
      </c>
      <c r="N10203">
        <v>0</v>
      </c>
      <c r="O10203">
        <v>30</v>
      </c>
      <c r="P10203">
        <v>0</v>
      </c>
    </row>
    <row r="10204" spans="1:16" x14ac:dyDescent="0.25">
      <c r="A10204" t="s">
        <v>32880</v>
      </c>
      <c r="B10204" t="s">
        <v>7434</v>
      </c>
      <c r="C10204" t="s">
        <v>7435</v>
      </c>
      <c r="D10204" t="str">
        <f>"1220"</f>
        <v>1220</v>
      </c>
      <c r="E10204" t="s">
        <v>7436</v>
      </c>
      <c r="F10204" t="s">
        <v>5</v>
      </c>
      <c r="G10204" t="s">
        <v>16221</v>
      </c>
      <c r="H10204" t="s">
        <v>47054</v>
      </c>
      <c r="I10204" t="s">
        <v>47111</v>
      </c>
      <c r="J10204" t="s">
        <v>47112</v>
      </c>
      <c r="K10204" t="s">
        <v>47113</v>
      </c>
      <c r="L10204">
        <v>15.93</v>
      </c>
      <c r="M10204">
        <v>30</v>
      </c>
      <c r="N10204">
        <v>0</v>
      </c>
      <c r="O10204">
        <v>30</v>
      </c>
      <c r="P10204">
        <v>0</v>
      </c>
    </row>
    <row r="10205" spans="1:16" x14ac:dyDescent="0.25">
      <c r="A10205" t="s">
        <v>32881</v>
      </c>
      <c r="B10205" t="s">
        <v>7437</v>
      </c>
      <c r="C10205" t="s">
        <v>7438</v>
      </c>
      <c r="D10205" t="str">
        <f>"7323"</f>
        <v>7323</v>
      </c>
      <c r="E10205" t="s">
        <v>6494</v>
      </c>
      <c r="F10205" t="s">
        <v>5</v>
      </c>
      <c r="G10205" t="s">
        <v>16221</v>
      </c>
      <c r="H10205" t="s">
        <v>47054</v>
      </c>
      <c r="I10205" t="s">
        <v>47111</v>
      </c>
      <c r="J10205" t="s">
        <v>47112</v>
      </c>
      <c r="K10205" t="s">
        <v>47113</v>
      </c>
      <c r="L10205">
        <v>13.87</v>
      </c>
      <c r="M10205">
        <v>30</v>
      </c>
      <c r="N10205">
        <v>0</v>
      </c>
      <c r="O10205">
        <v>30</v>
      </c>
      <c r="P10205">
        <v>0</v>
      </c>
    </row>
    <row r="10206" spans="1:16" x14ac:dyDescent="0.25">
      <c r="A10206" t="s">
        <v>32882</v>
      </c>
      <c r="B10206" t="s">
        <v>7439</v>
      </c>
      <c r="C10206" t="s">
        <v>7440</v>
      </c>
      <c r="D10206" t="str">
        <f>"1033"</f>
        <v>1033</v>
      </c>
      <c r="E10206" t="s">
        <v>1195</v>
      </c>
      <c r="F10206" t="s">
        <v>5</v>
      </c>
      <c r="G10206" t="s">
        <v>16221</v>
      </c>
      <c r="H10206" t="s">
        <v>47054</v>
      </c>
      <c r="I10206" t="s">
        <v>47111</v>
      </c>
      <c r="J10206" t="s">
        <v>47112</v>
      </c>
      <c r="K10206" t="s">
        <v>47113</v>
      </c>
      <c r="L10206">
        <v>13.66</v>
      </c>
      <c r="M10206">
        <v>30</v>
      </c>
      <c r="N10206">
        <v>0</v>
      </c>
      <c r="O10206">
        <v>30</v>
      </c>
      <c r="P10206">
        <v>0</v>
      </c>
    </row>
    <row r="10207" spans="1:16" x14ac:dyDescent="0.25">
      <c r="A10207" t="s">
        <v>32883</v>
      </c>
      <c r="B10207" t="s">
        <v>7441</v>
      </c>
      <c r="C10207" t="s">
        <v>7442</v>
      </c>
      <c r="D10207" t="str">
        <f>"1033"</f>
        <v>1033</v>
      </c>
      <c r="E10207" t="s">
        <v>1195</v>
      </c>
      <c r="F10207" t="s">
        <v>0</v>
      </c>
      <c r="G10207" t="s">
        <v>16221</v>
      </c>
      <c r="H10207" t="s">
        <v>47054</v>
      </c>
      <c r="I10207" t="s">
        <v>47111</v>
      </c>
      <c r="J10207" t="s">
        <v>47112</v>
      </c>
      <c r="K10207" t="s">
        <v>47113</v>
      </c>
      <c r="L10207">
        <v>13.69</v>
      </c>
      <c r="M10207">
        <v>30</v>
      </c>
      <c r="N10207">
        <v>0</v>
      </c>
      <c r="O10207">
        <v>30</v>
      </c>
      <c r="P10207">
        <v>0</v>
      </c>
    </row>
    <row r="10208" spans="1:16" x14ac:dyDescent="0.25">
      <c r="A10208" t="s">
        <v>32884</v>
      </c>
      <c r="B10208" t="s">
        <v>7443</v>
      </c>
      <c r="C10208" t="s">
        <v>7444</v>
      </c>
      <c r="D10208" t="str">
        <f>"1746"</f>
        <v>1746</v>
      </c>
      <c r="E10208" t="s">
        <v>807</v>
      </c>
      <c r="F10208" t="s">
        <v>0</v>
      </c>
      <c r="G10208" t="s">
        <v>16221</v>
      </c>
      <c r="H10208" t="s">
        <v>47054</v>
      </c>
      <c r="I10208" t="s">
        <v>47111</v>
      </c>
      <c r="J10208" t="s">
        <v>47112</v>
      </c>
      <c r="K10208" t="s">
        <v>47113</v>
      </c>
      <c r="L10208">
        <v>12.51</v>
      </c>
      <c r="M10208">
        <v>28</v>
      </c>
      <c r="N10208">
        <v>0</v>
      </c>
      <c r="O10208">
        <v>28</v>
      </c>
      <c r="P10208">
        <v>0</v>
      </c>
    </row>
    <row r="10209" spans="1:16" x14ac:dyDescent="0.25">
      <c r="A10209" t="s">
        <v>32885</v>
      </c>
      <c r="B10209" t="s">
        <v>7445</v>
      </c>
      <c r="C10209" t="s">
        <v>7446</v>
      </c>
      <c r="D10209" t="str">
        <f>"7418"</f>
        <v>7418</v>
      </c>
      <c r="E10209" t="s">
        <v>7447</v>
      </c>
      <c r="F10209" t="s">
        <v>0</v>
      </c>
      <c r="G10209" t="s">
        <v>16221</v>
      </c>
      <c r="H10209" t="s">
        <v>47054</v>
      </c>
      <c r="I10209" t="s">
        <v>47111</v>
      </c>
      <c r="J10209" t="s">
        <v>47112</v>
      </c>
      <c r="K10209" t="s">
        <v>47113</v>
      </c>
      <c r="L10209">
        <v>13.5</v>
      </c>
      <c r="M10209">
        <v>28</v>
      </c>
      <c r="N10209">
        <v>0</v>
      </c>
      <c r="O10209">
        <v>28</v>
      </c>
      <c r="P10209">
        <v>0</v>
      </c>
    </row>
    <row r="10210" spans="1:16" x14ac:dyDescent="0.25">
      <c r="A10210" t="s">
        <v>32886</v>
      </c>
      <c r="B10210" t="s">
        <v>7445</v>
      </c>
      <c r="C10210" t="s">
        <v>7446</v>
      </c>
      <c r="D10210" t="str">
        <f>"7453"</f>
        <v>7453</v>
      </c>
      <c r="E10210" t="s">
        <v>7448</v>
      </c>
      <c r="F10210" t="s">
        <v>0</v>
      </c>
      <c r="G10210" t="s">
        <v>16221</v>
      </c>
      <c r="H10210" t="s">
        <v>47054</v>
      </c>
      <c r="I10210" t="s">
        <v>47111</v>
      </c>
      <c r="J10210" t="s">
        <v>47112</v>
      </c>
      <c r="K10210" t="s">
        <v>47113</v>
      </c>
      <c r="L10210">
        <v>13.5</v>
      </c>
      <c r="M10210">
        <v>28</v>
      </c>
      <c r="N10210">
        <v>0</v>
      </c>
      <c r="O10210">
        <v>28</v>
      </c>
      <c r="P10210">
        <v>0</v>
      </c>
    </row>
    <row r="10211" spans="1:16" x14ac:dyDescent="0.25">
      <c r="A10211" t="s">
        <v>32887</v>
      </c>
      <c r="B10211" t="s">
        <v>7449</v>
      </c>
      <c r="C10211" t="s">
        <v>7450</v>
      </c>
      <c r="D10211" t="str">
        <f>"1113"</f>
        <v>1113</v>
      </c>
      <c r="E10211" t="s">
        <v>6443</v>
      </c>
      <c r="F10211" t="s">
        <v>5</v>
      </c>
      <c r="G10211" t="s">
        <v>16232</v>
      </c>
      <c r="H10211" t="s">
        <v>47054</v>
      </c>
      <c r="I10211" t="s">
        <v>47111</v>
      </c>
      <c r="J10211" t="s">
        <v>47112</v>
      </c>
      <c r="K10211" t="s">
        <v>47113</v>
      </c>
      <c r="L10211">
        <v>18.04</v>
      </c>
      <c r="M10211">
        <v>44</v>
      </c>
      <c r="N10211">
        <v>0</v>
      </c>
      <c r="O10211">
        <v>44</v>
      </c>
      <c r="P10211">
        <v>0</v>
      </c>
    </row>
    <row r="10212" spans="1:16" x14ac:dyDescent="0.25">
      <c r="A10212" t="s">
        <v>32888</v>
      </c>
      <c r="B10212" t="s">
        <v>7449</v>
      </c>
      <c r="C10212" t="s">
        <v>7450</v>
      </c>
      <c r="D10212" t="str">
        <f>"1746"</f>
        <v>1746</v>
      </c>
      <c r="E10212" t="s">
        <v>807</v>
      </c>
      <c r="F10212" t="s">
        <v>5</v>
      </c>
      <c r="G10212" t="s">
        <v>16232</v>
      </c>
      <c r="H10212" t="s">
        <v>47054</v>
      </c>
      <c r="I10212" t="s">
        <v>47111</v>
      </c>
      <c r="J10212" t="s">
        <v>47112</v>
      </c>
      <c r="K10212" t="s">
        <v>47113</v>
      </c>
      <c r="L10212">
        <v>18.04</v>
      </c>
      <c r="M10212">
        <v>44</v>
      </c>
      <c r="N10212">
        <v>0</v>
      </c>
      <c r="O10212">
        <v>44</v>
      </c>
      <c r="P10212">
        <v>0</v>
      </c>
    </row>
    <row r="10213" spans="1:16" x14ac:dyDescent="0.25">
      <c r="A10213" t="s">
        <v>32889</v>
      </c>
      <c r="B10213" t="s">
        <v>7451</v>
      </c>
      <c r="C10213" t="s">
        <v>7452</v>
      </c>
      <c r="D10213" t="str">
        <f>"1113"</f>
        <v>1113</v>
      </c>
      <c r="E10213" t="s">
        <v>6443</v>
      </c>
      <c r="F10213" t="s">
        <v>4</v>
      </c>
      <c r="G10213" t="s">
        <v>16232</v>
      </c>
      <c r="H10213" t="s">
        <v>47054</v>
      </c>
      <c r="I10213" t="s">
        <v>47111</v>
      </c>
      <c r="J10213" t="s">
        <v>47112</v>
      </c>
      <c r="K10213" t="s">
        <v>47113</v>
      </c>
      <c r="L10213">
        <v>20.04</v>
      </c>
      <c r="M10213">
        <v>49</v>
      </c>
      <c r="N10213">
        <v>0</v>
      </c>
      <c r="O10213">
        <v>49</v>
      </c>
      <c r="P10213">
        <v>0</v>
      </c>
    </row>
    <row r="10214" spans="1:16" x14ac:dyDescent="0.25">
      <c r="A10214" t="s">
        <v>32890</v>
      </c>
      <c r="B10214" t="s">
        <v>7451</v>
      </c>
      <c r="C10214" t="s">
        <v>7452</v>
      </c>
      <c r="D10214" t="str">
        <f>"1739"</f>
        <v>1739</v>
      </c>
      <c r="E10214" t="s">
        <v>2698</v>
      </c>
      <c r="F10214" t="s">
        <v>4</v>
      </c>
      <c r="G10214" t="s">
        <v>16232</v>
      </c>
      <c r="H10214" t="s">
        <v>47054</v>
      </c>
      <c r="I10214" t="s">
        <v>47111</v>
      </c>
      <c r="J10214" t="s">
        <v>47112</v>
      </c>
      <c r="K10214" t="s">
        <v>47113</v>
      </c>
      <c r="L10214">
        <v>20.04</v>
      </c>
      <c r="M10214">
        <v>49</v>
      </c>
      <c r="N10214">
        <v>0</v>
      </c>
      <c r="O10214">
        <v>49</v>
      </c>
      <c r="P10214">
        <v>0</v>
      </c>
    </row>
    <row r="10215" spans="1:16" x14ac:dyDescent="0.25">
      <c r="A10215" t="s">
        <v>32891</v>
      </c>
      <c r="B10215" t="s">
        <v>7451</v>
      </c>
      <c r="C10215" t="s">
        <v>7452</v>
      </c>
      <c r="D10215" t="str">
        <f>"6366"</f>
        <v>6366</v>
      </c>
      <c r="E10215" t="s">
        <v>2658</v>
      </c>
      <c r="F10215" t="s">
        <v>4</v>
      </c>
      <c r="G10215" t="s">
        <v>16232</v>
      </c>
      <c r="H10215" t="s">
        <v>47054</v>
      </c>
      <c r="I10215" t="s">
        <v>47111</v>
      </c>
      <c r="J10215" t="s">
        <v>47112</v>
      </c>
      <c r="K10215" t="s">
        <v>47113</v>
      </c>
      <c r="L10215">
        <v>20.04</v>
      </c>
      <c r="M10215">
        <v>49</v>
      </c>
      <c r="N10215">
        <v>0</v>
      </c>
      <c r="O10215">
        <v>49</v>
      </c>
      <c r="P10215">
        <v>0</v>
      </c>
    </row>
    <row r="10216" spans="1:16" x14ac:dyDescent="0.25">
      <c r="A10216" t="s">
        <v>32892</v>
      </c>
      <c r="B10216" t="s">
        <v>7453</v>
      </c>
      <c r="C10216" t="s">
        <v>7454</v>
      </c>
      <c r="D10216" t="str">
        <f>"1119"</f>
        <v>1119</v>
      </c>
      <c r="E10216" t="s">
        <v>1248</v>
      </c>
      <c r="F10216" t="s">
        <v>7</v>
      </c>
      <c r="G10216" t="s">
        <v>16232</v>
      </c>
      <c r="H10216" t="s">
        <v>47054</v>
      </c>
      <c r="I10216" t="s">
        <v>47111</v>
      </c>
      <c r="J10216" t="s">
        <v>47112</v>
      </c>
      <c r="K10216" t="s">
        <v>47113</v>
      </c>
      <c r="L10216">
        <v>17.45</v>
      </c>
      <c r="M10216">
        <v>43</v>
      </c>
      <c r="N10216">
        <v>0</v>
      </c>
      <c r="O10216">
        <v>43</v>
      </c>
      <c r="P10216">
        <v>0</v>
      </c>
    </row>
    <row r="10217" spans="1:16" x14ac:dyDescent="0.25">
      <c r="A10217" t="s">
        <v>32893</v>
      </c>
      <c r="B10217" t="s">
        <v>7453</v>
      </c>
      <c r="C10217" t="s">
        <v>7454</v>
      </c>
      <c r="D10217" t="str">
        <f>"1746"</f>
        <v>1746</v>
      </c>
      <c r="E10217" t="s">
        <v>807</v>
      </c>
      <c r="F10217" t="s">
        <v>7</v>
      </c>
      <c r="G10217" t="s">
        <v>16232</v>
      </c>
      <c r="H10217" t="s">
        <v>47054</v>
      </c>
      <c r="I10217" t="s">
        <v>47111</v>
      </c>
      <c r="J10217" t="s">
        <v>47112</v>
      </c>
      <c r="K10217" t="s">
        <v>47113</v>
      </c>
      <c r="L10217">
        <v>16.71</v>
      </c>
      <c r="M10217">
        <v>42</v>
      </c>
      <c r="N10217">
        <v>0</v>
      </c>
      <c r="O10217">
        <v>42</v>
      </c>
      <c r="P10217">
        <v>0</v>
      </c>
    </row>
    <row r="10218" spans="1:16" x14ac:dyDescent="0.25">
      <c r="A10218" t="s">
        <v>32894</v>
      </c>
      <c r="B10218" t="s">
        <v>7453</v>
      </c>
      <c r="C10218" t="s">
        <v>7454</v>
      </c>
      <c r="D10218" t="str">
        <f>"2205"</f>
        <v>2205</v>
      </c>
      <c r="E10218" t="s">
        <v>7455</v>
      </c>
      <c r="F10218" t="s">
        <v>7</v>
      </c>
      <c r="G10218" t="s">
        <v>16232</v>
      </c>
      <c r="H10218" t="s">
        <v>47054</v>
      </c>
      <c r="I10218" t="s">
        <v>47111</v>
      </c>
      <c r="J10218" t="s">
        <v>47112</v>
      </c>
      <c r="K10218" t="s">
        <v>47113</v>
      </c>
      <c r="L10218">
        <v>17.61</v>
      </c>
      <c r="M10218">
        <v>43</v>
      </c>
      <c r="N10218">
        <v>0</v>
      </c>
      <c r="O10218">
        <v>43</v>
      </c>
      <c r="P10218">
        <v>0</v>
      </c>
    </row>
    <row r="10219" spans="1:16" x14ac:dyDescent="0.25">
      <c r="A10219" t="s">
        <v>32895</v>
      </c>
      <c r="B10219" t="s">
        <v>7456</v>
      </c>
      <c r="C10219" t="s">
        <v>7457</v>
      </c>
      <c r="D10219" t="str">
        <f>"1035"</f>
        <v>1035</v>
      </c>
      <c r="E10219" t="s">
        <v>758</v>
      </c>
      <c r="F10219" t="s">
        <v>6</v>
      </c>
      <c r="G10219" t="s">
        <v>16232</v>
      </c>
      <c r="H10219" t="s">
        <v>47054</v>
      </c>
      <c r="I10219" t="s">
        <v>47111</v>
      </c>
      <c r="J10219" t="s">
        <v>47112</v>
      </c>
      <c r="K10219" t="s">
        <v>47113</v>
      </c>
      <c r="L10219">
        <v>17.02</v>
      </c>
      <c r="M10219">
        <v>42</v>
      </c>
      <c r="N10219">
        <v>0</v>
      </c>
      <c r="O10219">
        <v>42</v>
      </c>
      <c r="P10219">
        <v>0</v>
      </c>
    </row>
    <row r="10220" spans="1:16" x14ac:dyDescent="0.25">
      <c r="A10220" t="s">
        <v>32896</v>
      </c>
      <c r="B10220" t="s">
        <v>7456</v>
      </c>
      <c r="C10220" t="s">
        <v>7457</v>
      </c>
      <c r="D10220" t="str">
        <f>"1739"</f>
        <v>1739</v>
      </c>
      <c r="E10220" t="s">
        <v>2698</v>
      </c>
      <c r="F10220" t="s">
        <v>6</v>
      </c>
      <c r="G10220" t="s">
        <v>16232</v>
      </c>
      <c r="H10220" t="s">
        <v>47054</v>
      </c>
      <c r="I10220" t="s">
        <v>47111</v>
      </c>
      <c r="J10220" t="s">
        <v>47112</v>
      </c>
      <c r="K10220" t="s">
        <v>47113</v>
      </c>
      <c r="L10220">
        <v>17.02</v>
      </c>
      <c r="M10220">
        <v>42</v>
      </c>
      <c r="N10220">
        <v>0</v>
      </c>
      <c r="O10220">
        <v>42</v>
      </c>
      <c r="P10220">
        <v>0</v>
      </c>
    </row>
    <row r="10221" spans="1:16" x14ac:dyDescent="0.25">
      <c r="A10221" t="s">
        <v>32897</v>
      </c>
      <c r="B10221" t="s">
        <v>7456</v>
      </c>
      <c r="C10221" t="s">
        <v>7457</v>
      </c>
      <c r="D10221" t="str">
        <f>"4464"</f>
        <v>4464</v>
      </c>
      <c r="E10221" t="s">
        <v>7458</v>
      </c>
      <c r="F10221" t="s">
        <v>6</v>
      </c>
      <c r="G10221" t="s">
        <v>16232</v>
      </c>
      <c r="H10221" t="s">
        <v>47054</v>
      </c>
      <c r="I10221" t="s">
        <v>47111</v>
      </c>
      <c r="J10221" t="s">
        <v>47112</v>
      </c>
      <c r="K10221" t="s">
        <v>47113</v>
      </c>
      <c r="L10221">
        <v>17.02</v>
      </c>
      <c r="M10221">
        <v>42</v>
      </c>
      <c r="N10221">
        <v>0</v>
      </c>
      <c r="O10221">
        <v>42</v>
      </c>
      <c r="P10221">
        <v>0</v>
      </c>
    </row>
    <row r="10222" spans="1:16" x14ac:dyDescent="0.25">
      <c r="A10222" t="s">
        <v>32898</v>
      </c>
      <c r="B10222" t="s">
        <v>7459</v>
      </c>
      <c r="C10222" t="s">
        <v>7460</v>
      </c>
      <c r="D10222" t="str">
        <f>"1746"</f>
        <v>1746</v>
      </c>
      <c r="E10222" t="s">
        <v>807</v>
      </c>
      <c r="F10222" t="s">
        <v>5</v>
      </c>
      <c r="G10222" t="s">
        <v>16221</v>
      </c>
      <c r="H10222" t="s">
        <v>47054</v>
      </c>
      <c r="I10222" t="s">
        <v>47111</v>
      </c>
      <c r="J10222" t="s">
        <v>47112</v>
      </c>
      <c r="K10222" t="s">
        <v>47113</v>
      </c>
      <c r="L10222">
        <v>9.4</v>
      </c>
      <c r="M10222">
        <v>23</v>
      </c>
      <c r="N10222">
        <v>0</v>
      </c>
      <c r="O10222">
        <v>23</v>
      </c>
      <c r="P10222">
        <v>0</v>
      </c>
    </row>
    <row r="10223" spans="1:16" x14ac:dyDescent="0.25">
      <c r="A10223" t="s">
        <v>32899</v>
      </c>
      <c r="B10223" t="s">
        <v>7461</v>
      </c>
      <c r="C10223" t="s">
        <v>7462</v>
      </c>
      <c r="D10223" t="str">
        <f>"1740"</f>
        <v>1740</v>
      </c>
      <c r="E10223" t="s">
        <v>2747</v>
      </c>
      <c r="F10223" t="s">
        <v>7</v>
      </c>
      <c r="G10223" t="s">
        <v>16221</v>
      </c>
      <c r="H10223" t="s">
        <v>47054</v>
      </c>
      <c r="I10223" t="s">
        <v>47111</v>
      </c>
      <c r="J10223" t="s">
        <v>47112</v>
      </c>
      <c r="K10223" t="s">
        <v>47113</v>
      </c>
      <c r="L10223">
        <v>14.25</v>
      </c>
      <c r="M10223">
        <v>33</v>
      </c>
      <c r="N10223">
        <v>0</v>
      </c>
      <c r="O10223">
        <v>33</v>
      </c>
      <c r="P10223">
        <v>0</v>
      </c>
    </row>
    <row r="10224" spans="1:16" x14ac:dyDescent="0.25">
      <c r="A10224" t="s">
        <v>32900</v>
      </c>
      <c r="B10224" t="s">
        <v>7463</v>
      </c>
      <c r="C10224" t="s">
        <v>7462</v>
      </c>
      <c r="D10224" t="str">
        <f>"4130"</f>
        <v>4130</v>
      </c>
      <c r="E10224" t="s">
        <v>2374</v>
      </c>
      <c r="F10224" t="s">
        <v>7</v>
      </c>
      <c r="G10224" t="s">
        <v>16221</v>
      </c>
      <c r="H10224" t="s">
        <v>47054</v>
      </c>
      <c r="I10224" t="s">
        <v>47111</v>
      </c>
      <c r="J10224" t="s">
        <v>47112</v>
      </c>
      <c r="K10224" t="s">
        <v>47113</v>
      </c>
      <c r="L10224">
        <v>14.25</v>
      </c>
      <c r="M10224">
        <v>44</v>
      </c>
      <c r="N10224">
        <v>0</v>
      </c>
      <c r="O10224">
        <v>44</v>
      </c>
      <c r="P10224">
        <v>0</v>
      </c>
    </row>
    <row r="10225" spans="1:16" x14ac:dyDescent="0.25">
      <c r="A10225" t="s">
        <v>32901</v>
      </c>
      <c r="B10225" t="s">
        <v>7464</v>
      </c>
      <c r="C10225" t="s">
        <v>7462</v>
      </c>
      <c r="D10225" t="str">
        <f>"1740"</f>
        <v>1740</v>
      </c>
      <c r="E10225" t="s">
        <v>2747</v>
      </c>
      <c r="F10225" t="s">
        <v>7</v>
      </c>
      <c r="G10225" t="s">
        <v>16221</v>
      </c>
      <c r="H10225" t="s">
        <v>47054</v>
      </c>
      <c r="I10225" t="s">
        <v>47111</v>
      </c>
      <c r="J10225" t="s">
        <v>47112</v>
      </c>
      <c r="K10225" t="s">
        <v>47113</v>
      </c>
      <c r="L10225">
        <v>13.2</v>
      </c>
      <c r="M10225">
        <v>33</v>
      </c>
      <c r="N10225">
        <v>0</v>
      </c>
      <c r="O10225">
        <v>33</v>
      </c>
      <c r="P10225">
        <v>0</v>
      </c>
    </row>
    <row r="10226" spans="1:16" x14ac:dyDescent="0.25">
      <c r="A10226" t="s">
        <v>32902</v>
      </c>
      <c r="B10226" t="s">
        <v>7465</v>
      </c>
      <c r="C10226" t="s">
        <v>7462</v>
      </c>
      <c r="D10226" t="str">
        <f>"3020"</f>
        <v>3020</v>
      </c>
      <c r="E10226" t="s">
        <v>7466</v>
      </c>
      <c r="F10226" t="s">
        <v>7</v>
      </c>
      <c r="G10226" t="s">
        <v>16221</v>
      </c>
      <c r="H10226" t="s">
        <v>47054</v>
      </c>
      <c r="I10226" t="s">
        <v>47111</v>
      </c>
      <c r="J10226" t="s">
        <v>47112</v>
      </c>
      <c r="K10226" t="s">
        <v>47113</v>
      </c>
      <c r="L10226">
        <v>13.37</v>
      </c>
      <c r="M10226">
        <v>34</v>
      </c>
      <c r="N10226">
        <v>0</v>
      </c>
      <c r="O10226">
        <v>34</v>
      </c>
      <c r="P10226">
        <v>0</v>
      </c>
    </row>
    <row r="10227" spans="1:16" x14ac:dyDescent="0.25">
      <c r="A10227" t="s">
        <v>32903</v>
      </c>
      <c r="B10227" t="s">
        <v>7467</v>
      </c>
      <c r="C10227" t="s">
        <v>7462</v>
      </c>
      <c r="D10227" t="str">
        <f>"1746"</f>
        <v>1746</v>
      </c>
      <c r="E10227" t="s">
        <v>807</v>
      </c>
      <c r="F10227" t="s">
        <v>7</v>
      </c>
      <c r="G10227" t="s">
        <v>16221</v>
      </c>
      <c r="H10227" t="s">
        <v>47054</v>
      </c>
      <c r="I10227" t="s">
        <v>47111</v>
      </c>
      <c r="J10227" t="s">
        <v>47112</v>
      </c>
      <c r="K10227" t="s">
        <v>47113</v>
      </c>
      <c r="L10227">
        <v>14.25</v>
      </c>
      <c r="M10227">
        <v>27</v>
      </c>
      <c r="N10227">
        <v>0</v>
      </c>
      <c r="O10227">
        <v>27</v>
      </c>
      <c r="P10227">
        <v>0</v>
      </c>
    </row>
    <row r="10228" spans="1:16" x14ac:dyDescent="0.25">
      <c r="A10228" t="s">
        <v>32904</v>
      </c>
      <c r="B10228" t="s">
        <v>7468</v>
      </c>
      <c r="C10228" t="s">
        <v>7469</v>
      </c>
      <c r="D10228" t="str">
        <f>"1033"</f>
        <v>1033</v>
      </c>
      <c r="E10228" t="s">
        <v>1195</v>
      </c>
      <c r="F10228" t="s">
        <v>7</v>
      </c>
      <c r="G10228" t="s">
        <v>16221</v>
      </c>
      <c r="H10228" t="s">
        <v>47054</v>
      </c>
      <c r="I10228" t="s">
        <v>47111</v>
      </c>
      <c r="J10228" t="s">
        <v>47112</v>
      </c>
      <c r="K10228" t="s">
        <v>47113</v>
      </c>
      <c r="L10228">
        <v>12.99</v>
      </c>
      <c r="M10228">
        <v>34</v>
      </c>
      <c r="N10228">
        <v>0</v>
      </c>
      <c r="O10228">
        <v>34</v>
      </c>
      <c r="P10228">
        <v>0</v>
      </c>
    </row>
    <row r="10229" spans="1:16" x14ac:dyDescent="0.25">
      <c r="A10229" t="s">
        <v>32905</v>
      </c>
      <c r="B10229" t="s">
        <v>7468</v>
      </c>
      <c r="C10229" t="s">
        <v>7469</v>
      </c>
      <c r="D10229" t="str">
        <f>"1114"</f>
        <v>1114</v>
      </c>
      <c r="E10229" t="s">
        <v>7470</v>
      </c>
      <c r="F10229" t="s">
        <v>7</v>
      </c>
      <c r="G10229" t="s">
        <v>16221</v>
      </c>
      <c r="H10229" t="s">
        <v>47054</v>
      </c>
      <c r="I10229" t="s">
        <v>47111</v>
      </c>
      <c r="J10229" t="s">
        <v>47112</v>
      </c>
      <c r="K10229" t="s">
        <v>47113</v>
      </c>
      <c r="L10229">
        <v>12.99</v>
      </c>
      <c r="M10229">
        <v>34</v>
      </c>
      <c r="N10229">
        <v>0</v>
      </c>
      <c r="O10229">
        <v>34</v>
      </c>
      <c r="P10229">
        <v>0</v>
      </c>
    </row>
    <row r="10230" spans="1:16" x14ac:dyDescent="0.25">
      <c r="A10230" t="s">
        <v>32906</v>
      </c>
      <c r="B10230" t="s">
        <v>7468</v>
      </c>
      <c r="C10230" t="s">
        <v>7469</v>
      </c>
      <c r="D10230" t="str">
        <f>"1746"</f>
        <v>1746</v>
      </c>
      <c r="E10230" t="s">
        <v>807</v>
      </c>
      <c r="F10230" t="s">
        <v>7</v>
      </c>
      <c r="G10230" t="s">
        <v>16221</v>
      </c>
      <c r="H10230" t="s">
        <v>47054</v>
      </c>
      <c r="I10230" t="s">
        <v>47114</v>
      </c>
      <c r="J10230" t="s">
        <v>47115</v>
      </c>
      <c r="K10230" t="s">
        <v>47113</v>
      </c>
      <c r="L10230">
        <v>11.46</v>
      </c>
      <c r="M10230">
        <v>30</v>
      </c>
      <c r="N10230">
        <v>0</v>
      </c>
      <c r="O10230">
        <v>30</v>
      </c>
      <c r="P10230">
        <v>0</v>
      </c>
    </row>
    <row r="10231" spans="1:16" x14ac:dyDescent="0.25">
      <c r="A10231" t="s">
        <v>32907</v>
      </c>
      <c r="B10231" t="s">
        <v>7471</v>
      </c>
      <c r="C10231" t="s">
        <v>7462</v>
      </c>
      <c r="D10231" t="str">
        <f>"1322"</f>
        <v>1322</v>
      </c>
      <c r="E10231" t="s">
        <v>6490</v>
      </c>
      <c r="F10231" t="s">
        <v>7</v>
      </c>
      <c r="G10231" t="s">
        <v>16221</v>
      </c>
      <c r="H10231" t="s">
        <v>47054</v>
      </c>
      <c r="I10231" t="s">
        <v>47111</v>
      </c>
      <c r="J10231" t="s">
        <v>47112</v>
      </c>
      <c r="K10231" t="s">
        <v>47113</v>
      </c>
      <c r="L10231">
        <v>12.14</v>
      </c>
      <c r="M10231">
        <v>34</v>
      </c>
      <c r="N10231">
        <v>0</v>
      </c>
      <c r="O10231">
        <v>34</v>
      </c>
      <c r="P10231">
        <v>0</v>
      </c>
    </row>
    <row r="10232" spans="1:16" x14ac:dyDescent="0.25">
      <c r="A10232" t="s">
        <v>32908</v>
      </c>
      <c r="B10232" t="s">
        <v>7472</v>
      </c>
      <c r="C10232" t="s">
        <v>7462</v>
      </c>
      <c r="D10232" t="str">
        <f>"4162"</f>
        <v>4162</v>
      </c>
      <c r="E10232" t="s">
        <v>7473</v>
      </c>
      <c r="F10232" t="s">
        <v>7</v>
      </c>
      <c r="G10232" t="s">
        <v>16221</v>
      </c>
      <c r="H10232" t="s">
        <v>47054</v>
      </c>
      <c r="I10232" t="s">
        <v>47111</v>
      </c>
      <c r="J10232" t="s">
        <v>47112</v>
      </c>
      <c r="K10232" t="s">
        <v>47113</v>
      </c>
      <c r="L10232">
        <v>14.25</v>
      </c>
      <c r="M10232">
        <v>34</v>
      </c>
      <c r="N10232">
        <v>0</v>
      </c>
      <c r="O10232">
        <v>34</v>
      </c>
      <c r="P10232">
        <v>0</v>
      </c>
    </row>
    <row r="10233" spans="1:16" x14ac:dyDescent="0.25">
      <c r="A10233" t="s">
        <v>32909</v>
      </c>
      <c r="B10233" t="s">
        <v>7474</v>
      </c>
      <c r="C10233" t="s">
        <v>7475</v>
      </c>
      <c r="D10233" t="str">
        <f>"3022"</f>
        <v>3022</v>
      </c>
      <c r="E10233" t="s">
        <v>7476</v>
      </c>
      <c r="F10233" t="s">
        <v>7</v>
      </c>
      <c r="G10233" t="s">
        <v>16221</v>
      </c>
      <c r="H10233" t="s">
        <v>47054</v>
      </c>
      <c r="I10233" t="s">
        <v>47111</v>
      </c>
      <c r="J10233" t="s">
        <v>47112</v>
      </c>
      <c r="K10233" t="s">
        <v>47113</v>
      </c>
      <c r="L10233">
        <v>13.03</v>
      </c>
      <c r="M10233">
        <v>34</v>
      </c>
      <c r="N10233">
        <v>0</v>
      </c>
      <c r="O10233">
        <v>34</v>
      </c>
      <c r="P10233">
        <v>0</v>
      </c>
    </row>
    <row r="10234" spans="1:16" x14ac:dyDescent="0.25">
      <c r="A10234" t="s">
        <v>32910</v>
      </c>
      <c r="B10234" t="s">
        <v>7477</v>
      </c>
      <c r="C10234" t="s">
        <v>7478</v>
      </c>
      <c r="D10234" t="str">
        <f>"1165"</f>
        <v>1165</v>
      </c>
      <c r="E10234" t="s">
        <v>1153</v>
      </c>
      <c r="F10234" t="s">
        <v>5</v>
      </c>
      <c r="G10234" t="s">
        <v>16232</v>
      </c>
      <c r="H10234" t="s">
        <v>47054</v>
      </c>
      <c r="I10234" t="s">
        <v>47111</v>
      </c>
      <c r="J10234" t="s">
        <v>47112</v>
      </c>
      <c r="K10234" t="s">
        <v>47113</v>
      </c>
      <c r="L10234">
        <v>16</v>
      </c>
      <c r="M10234">
        <v>30</v>
      </c>
      <c r="N10234">
        <v>0</v>
      </c>
      <c r="O10234">
        <v>30</v>
      </c>
      <c r="P10234">
        <v>0</v>
      </c>
    </row>
    <row r="10235" spans="1:16" x14ac:dyDescent="0.25">
      <c r="A10235" t="s">
        <v>32911</v>
      </c>
      <c r="B10235" t="s">
        <v>7477</v>
      </c>
      <c r="C10235" t="s">
        <v>7478</v>
      </c>
      <c r="D10235" t="str">
        <f>"1746"</f>
        <v>1746</v>
      </c>
      <c r="E10235" t="s">
        <v>807</v>
      </c>
      <c r="F10235" t="s">
        <v>5</v>
      </c>
      <c r="G10235" t="s">
        <v>16232</v>
      </c>
      <c r="H10235" t="s">
        <v>47054</v>
      </c>
      <c r="I10235" t="s">
        <v>47111</v>
      </c>
      <c r="J10235" t="s">
        <v>47112</v>
      </c>
      <c r="K10235" t="s">
        <v>47113</v>
      </c>
      <c r="L10235">
        <v>13.88</v>
      </c>
      <c r="M10235">
        <v>30</v>
      </c>
      <c r="N10235">
        <v>0</v>
      </c>
      <c r="O10235">
        <v>30</v>
      </c>
      <c r="P10235">
        <v>0</v>
      </c>
    </row>
    <row r="10236" spans="1:16" x14ac:dyDescent="0.25">
      <c r="A10236" t="s">
        <v>32912</v>
      </c>
      <c r="B10236" t="s">
        <v>7477</v>
      </c>
      <c r="C10236" t="s">
        <v>7478</v>
      </c>
      <c r="D10236" t="str">
        <f>"4134"</f>
        <v>4134</v>
      </c>
      <c r="E10236" t="s">
        <v>6455</v>
      </c>
      <c r="F10236" t="s">
        <v>5</v>
      </c>
      <c r="G10236" t="s">
        <v>16232</v>
      </c>
      <c r="H10236" t="s">
        <v>47054</v>
      </c>
      <c r="I10236" t="s">
        <v>47111</v>
      </c>
      <c r="J10236" t="s">
        <v>47112</v>
      </c>
      <c r="K10236" t="s">
        <v>47113</v>
      </c>
      <c r="L10236">
        <v>16</v>
      </c>
      <c r="M10236">
        <v>30</v>
      </c>
      <c r="N10236">
        <v>0</v>
      </c>
      <c r="O10236">
        <v>30</v>
      </c>
      <c r="P10236">
        <v>0</v>
      </c>
    </row>
    <row r="10237" spans="1:16" x14ac:dyDescent="0.25">
      <c r="A10237" t="s">
        <v>32913</v>
      </c>
      <c r="B10237" t="s">
        <v>7477</v>
      </c>
      <c r="C10237" t="s">
        <v>7478</v>
      </c>
      <c r="D10237" t="str">
        <f>"6050"</f>
        <v>6050</v>
      </c>
      <c r="E10237" t="s">
        <v>6890</v>
      </c>
      <c r="F10237" t="s">
        <v>5</v>
      </c>
      <c r="G10237" t="s">
        <v>16232</v>
      </c>
      <c r="H10237" t="s">
        <v>47054</v>
      </c>
      <c r="I10237" t="s">
        <v>47111</v>
      </c>
      <c r="J10237" t="s">
        <v>47112</v>
      </c>
      <c r="K10237" t="s">
        <v>47113</v>
      </c>
      <c r="L10237">
        <v>16</v>
      </c>
      <c r="M10237">
        <v>30</v>
      </c>
      <c r="N10237">
        <v>0</v>
      </c>
      <c r="O10237">
        <v>30</v>
      </c>
      <c r="P10237">
        <v>0</v>
      </c>
    </row>
    <row r="10238" spans="1:16" x14ac:dyDescent="0.25">
      <c r="A10238" t="s">
        <v>32914</v>
      </c>
      <c r="B10238" t="s">
        <v>7477</v>
      </c>
      <c r="C10238" t="s">
        <v>7478</v>
      </c>
      <c r="D10238" t="str">
        <f>"7387"</f>
        <v>7387</v>
      </c>
      <c r="E10238" t="s">
        <v>7479</v>
      </c>
      <c r="F10238" t="s">
        <v>5</v>
      </c>
      <c r="G10238" t="s">
        <v>16232</v>
      </c>
      <c r="H10238" t="s">
        <v>47054</v>
      </c>
      <c r="I10238" t="s">
        <v>47111</v>
      </c>
      <c r="J10238" t="s">
        <v>47112</v>
      </c>
      <c r="K10238" t="s">
        <v>47113</v>
      </c>
      <c r="L10238">
        <v>16</v>
      </c>
      <c r="M10238">
        <v>30</v>
      </c>
      <c r="N10238">
        <v>0</v>
      </c>
      <c r="O10238">
        <v>30</v>
      </c>
      <c r="P10238">
        <v>0</v>
      </c>
    </row>
    <row r="10239" spans="1:16" x14ac:dyDescent="0.25">
      <c r="A10239" t="s">
        <v>17726</v>
      </c>
      <c r="B10239" t="s">
        <v>7480</v>
      </c>
      <c r="C10239" t="s">
        <v>19477</v>
      </c>
      <c r="D10239" t="str">
        <f>"1800"</f>
        <v>1800</v>
      </c>
      <c r="E10239" t="s">
        <v>1999</v>
      </c>
      <c r="F10239" t="s">
        <v>3558</v>
      </c>
      <c r="G10239" t="s">
        <v>16221</v>
      </c>
      <c r="H10239" t="s">
        <v>47054</v>
      </c>
      <c r="I10239" t="s">
        <v>47111</v>
      </c>
      <c r="J10239" t="s">
        <v>47112</v>
      </c>
      <c r="K10239" t="s">
        <v>47113</v>
      </c>
      <c r="L10239">
        <v>13.41</v>
      </c>
      <c r="M10239">
        <v>29</v>
      </c>
      <c r="N10239">
        <v>0</v>
      </c>
      <c r="O10239">
        <v>29</v>
      </c>
      <c r="P10239">
        <v>0</v>
      </c>
    </row>
    <row r="10240" spans="1:16" x14ac:dyDescent="0.25">
      <c r="A10240" t="s">
        <v>17727</v>
      </c>
      <c r="B10240" t="s">
        <v>7480</v>
      </c>
      <c r="C10240" t="s">
        <v>19477</v>
      </c>
      <c r="D10240" t="str">
        <f>"4002"</f>
        <v>4002</v>
      </c>
      <c r="E10240" t="s">
        <v>710</v>
      </c>
      <c r="F10240" t="s">
        <v>3558</v>
      </c>
      <c r="G10240" t="s">
        <v>16221</v>
      </c>
      <c r="H10240" t="s">
        <v>47054</v>
      </c>
      <c r="I10240" t="s">
        <v>47111</v>
      </c>
      <c r="J10240" t="s">
        <v>47112</v>
      </c>
      <c r="K10240" t="s">
        <v>47113</v>
      </c>
      <c r="L10240">
        <v>13.41</v>
      </c>
      <c r="M10240">
        <v>29</v>
      </c>
      <c r="N10240">
        <v>0</v>
      </c>
      <c r="O10240">
        <v>29</v>
      </c>
      <c r="P10240">
        <v>0</v>
      </c>
    </row>
    <row r="10241" spans="1:16" x14ac:dyDescent="0.25">
      <c r="A10241" t="s">
        <v>32915</v>
      </c>
      <c r="B10241" t="s">
        <v>7482</v>
      </c>
      <c r="C10241" t="s">
        <v>7483</v>
      </c>
      <c r="D10241" t="str">
        <f>"3023"</f>
        <v>3023</v>
      </c>
      <c r="E10241" t="s">
        <v>7484</v>
      </c>
      <c r="F10241" t="s">
        <v>7</v>
      </c>
      <c r="G10241" t="s">
        <v>16221</v>
      </c>
      <c r="H10241" t="s">
        <v>47054</v>
      </c>
      <c r="I10241" t="s">
        <v>47111</v>
      </c>
      <c r="J10241" t="s">
        <v>47112</v>
      </c>
      <c r="K10241" t="s">
        <v>47113</v>
      </c>
      <c r="L10241">
        <v>14.02</v>
      </c>
      <c r="M10241">
        <v>37</v>
      </c>
      <c r="N10241">
        <v>0</v>
      </c>
      <c r="O10241">
        <v>37</v>
      </c>
      <c r="P10241">
        <v>0</v>
      </c>
    </row>
    <row r="10242" spans="1:16" x14ac:dyDescent="0.25">
      <c r="A10242" t="s">
        <v>32916</v>
      </c>
      <c r="B10242" t="s">
        <v>7485</v>
      </c>
      <c r="C10242" t="s">
        <v>7483</v>
      </c>
      <c r="D10242" t="str">
        <f>"4129"</f>
        <v>4129</v>
      </c>
      <c r="E10242" t="s">
        <v>7486</v>
      </c>
      <c r="F10242" t="s">
        <v>7</v>
      </c>
      <c r="G10242" t="s">
        <v>16221</v>
      </c>
      <c r="H10242" t="s">
        <v>47054</v>
      </c>
      <c r="I10242" t="s">
        <v>47111</v>
      </c>
      <c r="J10242" t="s">
        <v>47112</v>
      </c>
      <c r="K10242" t="s">
        <v>47113</v>
      </c>
      <c r="L10242">
        <v>13.94</v>
      </c>
      <c r="M10242">
        <v>37</v>
      </c>
      <c r="N10242">
        <v>0</v>
      </c>
      <c r="O10242">
        <v>37</v>
      </c>
      <c r="P10242">
        <v>0</v>
      </c>
    </row>
    <row r="10243" spans="1:16" x14ac:dyDescent="0.25">
      <c r="A10243" t="s">
        <v>32917</v>
      </c>
      <c r="B10243" t="s">
        <v>7487</v>
      </c>
      <c r="C10243" t="s">
        <v>7483</v>
      </c>
      <c r="D10243" t="str">
        <f>"1035"</f>
        <v>1035</v>
      </c>
      <c r="E10243" t="s">
        <v>758</v>
      </c>
      <c r="F10243" t="s">
        <v>7</v>
      </c>
      <c r="G10243" t="s">
        <v>16221</v>
      </c>
      <c r="H10243" t="s">
        <v>47054</v>
      </c>
      <c r="I10243" t="s">
        <v>47111</v>
      </c>
      <c r="J10243" t="s">
        <v>47112</v>
      </c>
      <c r="K10243" t="s">
        <v>47113</v>
      </c>
      <c r="L10243">
        <v>13.7</v>
      </c>
      <c r="M10243">
        <v>37</v>
      </c>
      <c r="N10243">
        <v>0</v>
      </c>
      <c r="O10243">
        <v>37</v>
      </c>
      <c r="P10243">
        <v>0</v>
      </c>
    </row>
    <row r="10244" spans="1:16" x14ac:dyDescent="0.25">
      <c r="A10244" t="s">
        <v>32918</v>
      </c>
      <c r="B10244" t="s">
        <v>7488</v>
      </c>
      <c r="C10244" t="s">
        <v>2734</v>
      </c>
      <c r="D10244" t="str">
        <f>"6010"</f>
        <v>6010</v>
      </c>
      <c r="E10244" t="s">
        <v>49</v>
      </c>
      <c r="F10244" t="s">
        <v>7</v>
      </c>
      <c r="G10244" t="s">
        <v>16221</v>
      </c>
      <c r="H10244" t="s">
        <v>47054</v>
      </c>
      <c r="I10244" t="s">
        <v>47111</v>
      </c>
      <c r="J10244" t="s">
        <v>47112</v>
      </c>
      <c r="K10244" t="s">
        <v>47113</v>
      </c>
      <c r="L10244">
        <v>13.78</v>
      </c>
      <c r="M10244">
        <v>37</v>
      </c>
      <c r="N10244">
        <v>0</v>
      </c>
      <c r="O10244">
        <v>37</v>
      </c>
      <c r="P10244">
        <v>0</v>
      </c>
    </row>
    <row r="10245" spans="1:16" x14ac:dyDescent="0.25">
      <c r="A10245" t="s">
        <v>32919</v>
      </c>
      <c r="B10245" t="s">
        <v>7489</v>
      </c>
      <c r="C10245" t="s">
        <v>7490</v>
      </c>
      <c r="D10245" t="str">
        <f>"1001"</f>
        <v>1001</v>
      </c>
      <c r="E10245" t="s">
        <v>42</v>
      </c>
      <c r="F10245" t="s">
        <v>7</v>
      </c>
      <c r="G10245" t="s">
        <v>47122</v>
      </c>
      <c r="H10245" t="s">
        <v>47054</v>
      </c>
      <c r="I10245" t="s">
        <v>47120</v>
      </c>
      <c r="J10245" t="s">
        <v>47121</v>
      </c>
      <c r="K10245" t="s">
        <v>47113</v>
      </c>
      <c r="L10245">
        <v>50.55</v>
      </c>
      <c r="M10245">
        <v>138</v>
      </c>
      <c r="N10245">
        <v>0</v>
      </c>
      <c r="O10245">
        <v>138</v>
      </c>
      <c r="P10245">
        <v>0</v>
      </c>
    </row>
    <row r="10246" spans="1:16" x14ac:dyDescent="0.25">
      <c r="A10246" t="s">
        <v>32920</v>
      </c>
      <c r="B10246" t="s">
        <v>7489</v>
      </c>
      <c r="C10246" t="s">
        <v>7490</v>
      </c>
      <c r="D10246" t="str">
        <f>"2500"</f>
        <v>2500</v>
      </c>
      <c r="E10246" t="s">
        <v>1747</v>
      </c>
      <c r="F10246" t="s">
        <v>7</v>
      </c>
      <c r="G10246" t="s">
        <v>47122</v>
      </c>
      <c r="H10246" t="s">
        <v>47054</v>
      </c>
      <c r="I10246" t="s">
        <v>47120</v>
      </c>
      <c r="J10246" t="s">
        <v>47121</v>
      </c>
      <c r="K10246" t="s">
        <v>47113</v>
      </c>
      <c r="L10246">
        <v>50.42</v>
      </c>
      <c r="M10246">
        <v>138</v>
      </c>
      <c r="N10246">
        <v>0</v>
      </c>
      <c r="O10246">
        <v>138</v>
      </c>
      <c r="P10246">
        <v>0</v>
      </c>
    </row>
    <row r="10247" spans="1:16" x14ac:dyDescent="0.25">
      <c r="A10247" t="s">
        <v>32921</v>
      </c>
      <c r="B10247" t="s">
        <v>7489</v>
      </c>
      <c r="C10247" t="s">
        <v>7490</v>
      </c>
      <c r="D10247" t="str">
        <f>"4143"</f>
        <v>4143</v>
      </c>
      <c r="E10247" t="s">
        <v>261</v>
      </c>
      <c r="F10247" t="s">
        <v>7</v>
      </c>
      <c r="G10247" t="s">
        <v>47122</v>
      </c>
      <c r="H10247" t="s">
        <v>47054</v>
      </c>
      <c r="I10247" t="s">
        <v>47120</v>
      </c>
      <c r="J10247" t="s">
        <v>47121</v>
      </c>
      <c r="K10247" t="s">
        <v>47113</v>
      </c>
      <c r="L10247">
        <v>50.42</v>
      </c>
      <c r="M10247">
        <v>138</v>
      </c>
      <c r="N10247">
        <v>0</v>
      </c>
      <c r="O10247">
        <v>138</v>
      </c>
      <c r="P10247">
        <v>0</v>
      </c>
    </row>
    <row r="10248" spans="1:16" x14ac:dyDescent="0.25">
      <c r="A10248" t="s">
        <v>32922</v>
      </c>
      <c r="B10248" t="s">
        <v>7491</v>
      </c>
      <c r="C10248" t="s">
        <v>7492</v>
      </c>
      <c r="D10248" t="str">
        <f>"4269"</f>
        <v>4269</v>
      </c>
      <c r="E10248" t="s">
        <v>7493</v>
      </c>
      <c r="F10248" t="s">
        <v>6</v>
      </c>
      <c r="G10248" t="s">
        <v>16224</v>
      </c>
      <c r="H10248" t="s">
        <v>47054</v>
      </c>
      <c r="I10248" t="s">
        <v>47120</v>
      </c>
      <c r="J10248" t="s">
        <v>47121</v>
      </c>
      <c r="K10248" t="s">
        <v>47113</v>
      </c>
      <c r="L10248">
        <v>75.72</v>
      </c>
      <c r="M10248">
        <v>178</v>
      </c>
      <c r="N10248">
        <v>0</v>
      </c>
      <c r="O10248">
        <v>178</v>
      </c>
      <c r="P10248">
        <v>0</v>
      </c>
    </row>
    <row r="10249" spans="1:16" x14ac:dyDescent="0.25">
      <c r="A10249" t="s">
        <v>32923</v>
      </c>
      <c r="B10249" t="s">
        <v>7494</v>
      </c>
      <c r="C10249" t="s">
        <v>7495</v>
      </c>
      <c r="D10249" t="s">
        <v>7496</v>
      </c>
      <c r="E10249" t="s">
        <v>7497</v>
      </c>
      <c r="F10249" t="s">
        <v>7</v>
      </c>
      <c r="G10249" t="s">
        <v>16231</v>
      </c>
      <c r="H10249" t="s">
        <v>47054</v>
      </c>
      <c r="I10249" t="s">
        <v>47111</v>
      </c>
      <c r="J10249" t="s">
        <v>47112</v>
      </c>
      <c r="K10249" t="s">
        <v>47113</v>
      </c>
      <c r="L10249">
        <v>58.01</v>
      </c>
      <c r="M10249">
        <v>129</v>
      </c>
      <c r="N10249">
        <v>0</v>
      </c>
      <c r="O10249">
        <v>129</v>
      </c>
      <c r="P10249">
        <v>0</v>
      </c>
    </row>
    <row r="10250" spans="1:16" x14ac:dyDescent="0.25">
      <c r="A10250" t="s">
        <v>32924</v>
      </c>
      <c r="B10250" t="s">
        <v>7494</v>
      </c>
      <c r="C10250" t="s">
        <v>7495</v>
      </c>
      <c r="D10250" t="s">
        <v>7498</v>
      </c>
      <c r="E10250" t="s">
        <v>7499</v>
      </c>
      <c r="F10250" t="s">
        <v>7</v>
      </c>
      <c r="G10250" t="s">
        <v>16231</v>
      </c>
      <c r="H10250" t="s">
        <v>47054</v>
      </c>
      <c r="I10250" t="s">
        <v>47111</v>
      </c>
      <c r="J10250" t="s">
        <v>47112</v>
      </c>
      <c r="K10250" t="s">
        <v>47113</v>
      </c>
      <c r="L10250">
        <v>55.24</v>
      </c>
      <c r="M10250">
        <v>124</v>
      </c>
      <c r="N10250">
        <v>0</v>
      </c>
      <c r="O10250">
        <v>124</v>
      </c>
      <c r="P10250">
        <v>0</v>
      </c>
    </row>
    <row r="10251" spans="1:16" x14ac:dyDescent="0.25">
      <c r="A10251" t="s">
        <v>32925</v>
      </c>
      <c r="B10251" t="s">
        <v>7500</v>
      </c>
      <c r="C10251" t="s">
        <v>7501</v>
      </c>
      <c r="D10251" t="s">
        <v>7498</v>
      </c>
      <c r="E10251" t="s">
        <v>7499</v>
      </c>
      <c r="F10251" t="s">
        <v>7</v>
      </c>
      <c r="G10251" t="s">
        <v>16231</v>
      </c>
      <c r="H10251" t="s">
        <v>47054</v>
      </c>
      <c r="I10251" t="s">
        <v>47111</v>
      </c>
      <c r="J10251" t="s">
        <v>47112</v>
      </c>
      <c r="K10251" t="s">
        <v>47113</v>
      </c>
      <c r="L10251">
        <v>54.21</v>
      </c>
      <c r="M10251">
        <v>124</v>
      </c>
      <c r="N10251">
        <v>0</v>
      </c>
      <c r="O10251">
        <v>124</v>
      </c>
      <c r="P10251">
        <v>0</v>
      </c>
    </row>
    <row r="10252" spans="1:16" x14ac:dyDescent="0.25">
      <c r="A10252" t="s">
        <v>32926</v>
      </c>
      <c r="B10252" t="s">
        <v>7502</v>
      </c>
      <c r="C10252" t="s">
        <v>7503</v>
      </c>
      <c r="D10252" t="s">
        <v>7504</v>
      </c>
      <c r="E10252" t="s">
        <v>7505</v>
      </c>
      <c r="F10252" t="s">
        <v>6</v>
      </c>
      <c r="G10252" t="s">
        <v>16231</v>
      </c>
      <c r="H10252" t="s">
        <v>47054</v>
      </c>
      <c r="I10252" t="s">
        <v>47111</v>
      </c>
      <c r="J10252" t="s">
        <v>47112</v>
      </c>
      <c r="K10252" t="s">
        <v>47113</v>
      </c>
      <c r="L10252">
        <v>47.83</v>
      </c>
      <c r="M10252">
        <v>90</v>
      </c>
      <c r="N10252">
        <v>0</v>
      </c>
      <c r="O10252">
        <v>90</v>
      </c>
      <c r="P10252">
        <v>0</v>
      </c>
    </row>
    <row r="10253" spans="1:16" x14ac:dyDescent="0.25">
      <c r="A10253" t="s">
        <v>32927</v>
      </c>
      <c r="B10253" t="s">
        <v>7502</v>
      </c>
      <c r="C10253" t="s">
        <v>7503</v>
      </c>
      <c r="D10253" t="s">
        <v>7506</v>
      </c>
      <c r="E10253" t="s">
        <v>7507</v>
      </c>
      <c r="F10253" t="s">
        <v>2</v>
      </c>
      <c r="G10253" t="s">
        <v>16231</v>
      </c>
      <c r="H10253" t="s">
        <v>47054</v>
      </c>
      <c r="I10253" t="s">
        <v>47111</v>
      </c>
      <c r="J10253" t="s">
        <v>47112</v>
      </c>
      <c r="K10253" t="s">
        <v>47113</v>
      </c>
      <c r="L10253">
        <v>32.909999999999997</v>
      </c>
      <c r="M10253">
        <v>120</v>
      </c>
      <c r="N10253">
        <v>0</v>
      </c>
      <c r="O10253">
        <v>120</v>
      </c>
      <c r="P10253">
        <v>0</v>
      </c>
    </row>
    <row r="10254" spans="1:16" x14ac:dyDescent="0.25">
      <c r="A10254" t="s">
        <v>32928</v>
      </c>
      <c r="B10254" t="s">
        <v>7508</v>
      </c>
      <c r="C10254" t="s">
        <v>7509</v>
      </c>
      <c r="D10254" t="s">
        <v>7510</v>
      </c>
      <c r="E10254" t="s">
        <v>7511</v>
      </c>
      <c r="F10254" t="s">
        <v>7</v>
      </c>
      <c r="G10254" t="s">
        <v>16231</v>
      </c>
      <c r="H10254" t="s">
        <v>47054</v>
      </c>
      <c r="I10254" t="s">
        <v>47111</v>
      </c>
      <c r="J10254" t="s">
        <v>47112</v>
      </c>
      <c r="K10254" t="s">
        <v>47113</v>
      </c>
      <c r="L10254">
        <v>49.86</v>
      </c>
      <c r="M10254">
        <v>128</v>
      </c>
      <c r="N10254">
        <v>0</v>
      </c>
      <c r="O10254">
        <v>128</v>
      </c>
      <c r="P10254">
        <v>0</v>
      </c>
    </row>
    <row r="10255" spans="1:16" x14ac:dyDescent="0.25">
      <c r="A10255" t="s">
        <v>32929</v>
      </c>
      <c r="B10255" t="s">
        <v>7512</v>
      </c>
      <c r="C10255" t="s">
        <v>2097</v>
      </c>
      <c r="D10255" t="s">
        <v>7504</v>
      </c>
      <c r="E10255" t="s">
        <v>7505</v>
      </c>
      <c r="F10255" t="s">
        <v>6</v>
      </c>
      <c r="G10255" t="s">
        <v>16231</v>
      </c>
      <c r="H10255" t="s">
        <v>47054</v>
      </c>
      <c r="I10255" t="s">
        <v>47111</v>
      </c>
      <c r="J10255" t="s">
        <v>47112</v>
      </c>
      <c r="K10255" t="s">
        <v>47113</v>
      </c>
      <c r="L10255">
        <v>44.74</v>
      </c>
      <c r="M10255">
        <v>90</v>
      </c>
      <c r="N10255">
        <v>0</v>
      </c>
      <c r="O10255">
        <v>90</v>
      </c>
      <c r="P10255">
        <v>0</v>
      </c>
    </row>
    <row r="10256" spans="1:16" x14ac:dyDescent="0.25">
      <c r="A10256" t="s">
        <v>32930</v>
      </c>
      <c r="B10256" t="s">
        <v>7512</v>
      </c>
      <c r="C10256" t="s">
        <v>2097</v>
      </c>
      <c r="D10256" t="s">
        <v>7506</v>
      </c>
      <c r="E10256" t="s">
        <v>7507</v>
      </c>
      <c r="F10256" t="s">
        <v>2</v>
      </c>
      <c r="G10256" t="s">
        <v>16231</v>
      </c>
      <c r="H10256" t="s">
        <v>47054</v>
      </c>
      <c r="I10256" t="s">
        <v>47111</v>
      </c>
      <c r="J10256" t="s">
        <v>47112</v>
      </c>
      <c r="K10256" t="s">
        <v>47113</v>
      </c>
      <c r="L10256">
        <v>52.85</v>
      </c>
      <c r="M10256">
        <v>120</v>
      </c>
      <c r="N10256">
        <v>0</v>
      </c>
      <c r="O10256">
        <v>120</v>
      </c>
      <c r="P10256">
        <v>0</v>
      </c>
    </row>
    <row r="10257" spans="1:16" x14ac:dyDescent="0.25">
      <c r="A10257" t="s">
        <v>32931</v>
      </c>
      <c r="B10257" t="s">
        <v>7513</v>
      </c>
      <c r="C10257" t="s">
        <v>7514</v>
      </c>
      <c r="D10257" t="s">
        <v>6229</v>
      </c>
      <c r="E10257" t="s">
        <v>6230</v>
      </c>
      <c r="F10257" t="s">
        <v>7</v>
      </c>
      <c r="G10257" t="s">
        <v>16231</v>
      </c>
      <c r="H10257" t="s">
        <v>47054</v>
      </c>
      <c r="I10257" t="s">
        <v>47114</v>
      </c>
      <c r="J10257" t="s">
        <v>47115</v>
      </c>
      <c r="K10257" t="s">
        <v>47113</v>
      </c>
      <c r="L10257">
        <v>55.52</v>
      </c>
      <c r="M10257">
        <v>136</v>
      </c>
      <c r="N10257">
        <v>0</v>
      </c>
      <c r="O10257">
        <v>136</v>
      </c>
      <c r="P10257">
        <v>0</v>
      </c>
    </row>
    <row r="10258" spans="1:16" x14ac:dyDescent="0.25">
      <c r="A10258" t="s">
        <v>32932</v>
      </c>
      <c r="B10258" t="s">
        <v>7515</v>
      </c>
      <c r="C10258" t="s">
        <v>6236</v>
      </c>
      <c r="D10258" t="s">
        <v>7496</v>
      </c>
      <c r="E10258" t="s">
        <v>7497</v>
      </c>
      <c r="F10258" t="s">
        <v>7</v>
      </c>
      <c r="G10258" t="s">
        <v>16231</v>
      </c>
      <c r="H10258" t="s">
        <v>47054</v>
      </c>
      <c r="I10258" t="s">
        <v>47111</v>
      </c>
      <c r="J10258" t="s">
        <v>47112</v>
      </c>
      <c r="K10258" t="s">
        <v>47113</v>
      </c>
      <c r="L10258">
        <v>50.53</v>
      </c>
      <c r="M10258">
        <v>109</v>
      </c>
      <c r="N10258">
        <v>0</v>
      </c>
      <c r="O10258">
        <v>109</v>
      </c>
      <c r="P10258">
        <v>0</v>
      </c>
    </row>
    <row r="10259" spans="1:16" x14ac:dyDescent="0.25">
      <c r="A10259" t="s">
        <v>32933</v>
      </c>
      <c r="B10259" t="s">
        <v>7515</v>
      </c>
      <c r="C10259" t="s">
        <v>6236</v>
      </c>
      <c r="D10259" t="s">
        <v>4808</v>
      </c>
      <c r="E10259" t="s">
        <v>4809</v>
      </c>
      <c r="F10259" t="s">
        <v>7</v>
      </c>
      <c r="G10259" t="s">
        <v>16231</v>
      </c>
      <c r="H10259" t="s">
        <v>47054</v>
      </c>
      <c r="I10259" t="s">
        <v>47111</v>
      </c>
      <c r="J10259" t="s">
        <v>47112</v>
      </c>
      <c r="K10259" t="s">
        <v>47113</v>
      </c>
      <c r="L10259">
        <v>47</v>
      </c>
      <c r="M10259">
        <v>110</v>
      </c>
      <c r="N10259">
        <v>0</v>
      </c>
      <c r="O10259">
        <v>110</v>
      </c>
      <c r="P10259">
        <v>0</v>
      </c>
    </row>
    <row r="10260" spans="1:16" x14ac:dyDescent="0.25">
      <c r="A10260" t="s">
        <v>32934</v>
      </c>
      <c r="B10260" t="s">
        <v>7516</v>
      </c>
      <c r="C10260" t="s">
        <v>6238</v>
      </c>
      <c r="D10260" t="s">
        <v>7496</v>
      </c>
      <c r="E10260" t="s">
        <v>7497</v>
      </c>
      <c r="F10260" t="s">
        <v>7</v>
      </c>
      <c r="G10260" t="s">
        <v>16231</v>
      </c>
      <c r="H10260" t="s">
        <v>47054</v>
      </c>
      <c r="I10260" t="s">
        <v>47111</v>
      </c>
      <c r="J10260" t="s">
        <v>47112</v>
      </c>
      <c r="K10260" t="s">
        <v>47113</v>
      </c>
      <c r="L10260">
        <v>51.34</v>
      </c>
      <c r="M10260">
        <v>109</v>
      </c>
      <c r="N10260">
        <v>0</v>
      </c>
      <c r="O10260">
        <v>109</v>
      </c>
      <c r="P10260">
        <v>0</v>
      </c>
    </row>
    <row r="10261" spans="1:16" x14ac:dyDescent="0.25">
      <c r="A10261" t="s">
        <v>32935</v>
      </c>
      <c r="B10261" t="s">
        <v>7516</v>
      </c>
      <c r="C10261" t="s">
        <v>6238</v>
      </c>
      <c r="D10261" t="s">
        <v>4808</v>
      </c>
      <c r="E10261" t="s">
        <v>4809</v>
      </c>
      <c r="F10261" t="s">
        <v>7</v>
      </c>
      <c r="G10261" t="s">
        <v>16231</v>
      </c>
      <c r="H10261" t="s">
        <v>47054</v>
      </c>
      <c r="I10261" t="s">
        <v>47111</v>
      </c>
      <c r="J10261" t="s">
        <v>47112</v>
      </c>
      <c r="K10261" t="s">
        <v>47113</v>
      </c>
      <c r="L10261">
        <v>45.61</v>
      </c>
      <c r="M10261">
        <v>110</v>
      </c>
      <c r="N10261">
        <v>0</v>
      </c>
      <c r="O10261">
        <v>110</v>
      </c>
      <c r="P10261">
        <v>0</v>
      </c>
    </row>
    <row r="10262" spans="1:16" x14ac:dyDescent="0.25">
      <c r="A10262" t="s">
        <v>32936</v>
      </c>
      <c r="B10262" t="s">
        <v>7517</v>
      </c>
      <c r="C10262" t="s">
        <v>7518</v>
      </c>
      <c r="D10262" t="s">
        <v>7496</v>
      </c>
      <c r="E10262" t="s">
        <v>7497</v>
      </c>
      <c r="F10262" t="s">
        <v>7</v>
      </c>
      <c r="G10262" t="s">
        <v>16231</v>
      </c>
      <c r="H10262" t="s">
        <v>47054</v>
      </c>
      <c r="I10262" t="s">
        <v>47111</v>
      </c>
      <c r="J10262" t="s">
        <v>47112</v>
      </c>
      <c r="K10262" t="s">
        <v>47113</v>
      </c>
      <c r="L10262">
        <v>50.93</v>
      </c>
      <c r="M10262">
        <v>109</v>
      </c>
      <c r="N10262">
        <v>0</v>
      </c>
      <c r="O10262">
        <v>109</v>
      </c>
      <c r="P10262">
        <v>0</v>
      </c>
    </row>
    <row r="10263" spans="1:16" x14ac:dyDescent="0.25">
      <c r="A10263" t="s">
        <v>32937</v>
      </c>
      <c r="B10263" t="s">
        <v>7517</v>
      </c>
      <c r="C10263" t="s">
        <v>7518</v>
      </c>
      <c r="D10263" t="s">
        <v>4808</v>
      </c>
      <c r="E10263" t="s">
        <v>4809</v>
      </c>
      <c r="F10263" t="s">
        <v>7</v>
      </c>
      <c r="G10263" t="s">
        <v>16231</v>
      </c>
      <c r="H10263" t="s">
        <v>47054</v>
      </c>
      <c r="I10263" t="s">
        <v>47111</v>
      </c>
      <c r="J10263" t="s">
        <v>47112</v>
      </c>
      <c r="K10263" t="s">
        <v>47113</v>
      </c>
      <c r="L10263">
        <v>47</v>
      </c>
      <c r="M10263">
        <v>110</v>
      </c>
      <c r="N10263">
        <v>0</v>
      </c>
      <c r="O10263">
        <v>110</v>
      </c>
      <c r="P10263">
        <v>0</v>
      </c>
    </row>
    <row r="10264" spans="1:16" x14ac:dyDescent="0.25">
      <c r="A10264" t="s">
        <v>32938</v>
      </c>
      <c r="B10264" t="s">
        <v>7519</v>
      </c>
      <c r="C10264" t="s">
        <v>7520</v>
      </c>
      <c r="D10264" t="s">
        <v>4808</v>
      </c>
      <c r="E10264" t="s">
        <v>4809</v>
      </c>
      <c r="F10264" t="s">
        <v>7</v>
      </c>
      <c r="G10264" t="s">
        <v>16231</v>
      </c>
      <c r="H10264" t="s">
        <v>47054</v>
      </c>
      <c r="I10264" t="s">
        <v>47111</v>
      </c>
      <c r="J10264" t="s">
        <v>47112</v>
      </c>
      <c r="K10264" t="s">
        <v>47113</v>
      </c>
      <c r="L10264">
        <v>47.09</v>
      </c>
      <c r="M10264">
        <v>109</v>
      </c>
      <c r="N10264">
        <v>0</v>
      </c>
      <c r="O10264">
        <v>109</v>
      </c>
      <c r="P10264">
        <v>0</v>
      </c>
    </row>
    <row r="10265" spans="1:16" x14ac:dyDescent="0.25">
      <c r="A10265" t="s">
        <v>32939</v>
      </c>
      <c r="B10265" t="s">
        <v>7521</v>
      </c>
      <c r="C10265" t="s">
        <v>7522</v>
      </c>
      <c r="D10265" t="s">
        <v>311</v>
      </c>
      <c r="E10265" t="s">
        <v>312</v>
      </c>
      <c r="F10265" t="s">
        <v>7</v>
      </c>
      <c r="G10265" t="s">
        <v>16224</v>
      </c>
      <c r="H10265" t="s">
        <v>47054</v>
      </c>
      <c r="I10265" t="s">
        <v>47116</v>
      </c>
      <c r="J10265" t="s">
        <v>47117</v>
      </c>
      <c r="K10265" t="s">
        <v>47113</v>
      </c>
      <c r="L10265">
        <v>38.32</v>
      </c>
      <c r="M10265">
        <v>89</v>
      </c>
      <c r="N10265">
        <v>0</v>
      </c>
      <c r="O10265">
        <v>89</v>
      </c>
      <c r="P10265">
        <v>0</v>
      </c>
    </row>
    <row r="10266" spans="1:16" x14ac:dyDescent="0.25">
      <c r="A10266" t="s">
        <v>32940</v>
      </c>
      <c r="B10266" t="s">
        <v>7521</v>
      </c>
      <c r="C10266" t="s">
        <v>7522</v>
      </c>
      <c r="D10266" t="s">
        <v>7523</v>
      </c>
      <c r="E10266" t="s">
        <v>7524</v>
      </c>
      <c r="F10266" t="s">
        <v>7</v>
      </c>
      <c r="G10266" t="s">
        <v>16224</v>
      </c>
      <c r="H10266" t="s">
        <v>47054</v>
      </c>
      <c r="I10266" t="s">
        <v>47116</v>
      </c>
      <c r="J10266" t="s">
        <v>47117</v>
      </c>
      <c r="K10266" t="s">
        <v>47113</v>
      </c>
      <c r="L10266">
        <v>42.45</v>
      </c>
      <c r="M10266">
        <v>115</v>
      </c>
      <c r="N10266">
        <v>0</v>
      </c>
      <c r="O10266">
        <v>115</v>
      </c>
      <c r="P10266">
        <v>0</v>
      </c>
    </row>
    <row r="10267" spans="1:16" x14ac:dyDescent="0.25">
      <c r="A10267" t="s">
        <v>32941</v>
      </c>
      <c r="B10267" t="s">
        <v>7525</v>
      </c>
      <c r="C10267" t="s">
        <v>4343</v>
      </c>
      <c r="D10267" t="s">
        <v>7504</v>
      </c>
      <c r="E10267" t="s">
        <v>7505</v>
      </c>
      <c r="F10267" t="s">
        <v>6</v>
      </c>
      <c r="G10267" t="s">
        <v>16224</v>
      </c>
      <c r="H10267" t="s">
        <v>47054</v>
      </c>
      <c r="I10267" t="s">
        <v>47116</v>
      </c>
      <c r="J10267" t="s">
        <v>47117</v>
      </c>
      <c r="K10267" t="s">
        <v>47113</v>
      </c>
      <c r="L10267">
        <v>50.55</v>
      </c>
      <c r="M10267">
        <v>90</v>
      </c>
      <c r="N10267">
        <v>0</v>
      </c>
      <c r="O10267">
        <v>90</v>
      </c>
      <c r="P10267">
        <v>0</v>
      </c>
    </row>
    <row r="10268" spans="1:16" x14ac:dyDescent="0.25">
      <c r="A10268" t="s">
        <v>32942</v>
      </c>
      <c r="B10268" t="s">
        <v>7526</v>
      </c>
      <c r="C10268" t="s">
        <v>7527</v>
      </c>
      <c r="D10268" t="str">
        <f>"1033"</f>
        <v>1033</v>
      </c>
      <c r="E10268" t="s">
        <v>1195</v>
      </c>
      <c r="F10268" t="s">
        <v>7</v>
      </c>
      <c r="G10268" t="s">
        <v>16232</v>
      </c>
      <c r="H10268" t="s">
        <v>47054</v>
      </c>
      <c r="I10268" t="s">
        <v>47111</v>
      </c>
      <c r="J10268" t="s">
        <v>47112</v>
      </c>
      <c r="K10268" t="s">
        <v>47113</v>
      </c>
      <c r="L10268">
        <v>21.87</v>
      </c>
      <c r="M10268">
        <v>55</v>
      </c>
      <c r="N10268">
        <v>0</v>
      </c>
      <c r="O10268">
        <v>55</v>
      </c>
      <c r="P10268">
        <v>0</v>
      </c>
    </row>
    <row r="10269" spans="1:16" x14ac:dyDescent="0.25">
      <c r="A10269" t="s">
        <v>32943</v>
      </c>
      <c r="B10269" t="s">
        <v>7526</v>
      </c>
      <c r="C10269" t="s">
        <v>7527</v>
      </c>
      <c r="D10269" t="str">
        <f>"1114"</f>
        <v>1114</v>
      </c>
      <c r="E10269" t="s">
        <v>7470</v>
      </c>
      <c r="F10269" t="s">
        <v>7</v>
      </c>
      <c r="G10269" t="s">
        <v>16232</v>
      </c>
      <c r="H10269" t="s">
        <v>47054</v>
      </c>
      <c r="I10269" t="s">
        <v>47111</v>
      </c>
      <c r="J10269" t="s">
        <v>47112</v>
      </c>
      <c r="K10269" t="s">
        <v>47113</v>
      </c>
      <c r="L10269">
        <v>21.41</v>
      </c>
      <c r="M10269">
        <v>55</v>
      </c>
      <c r="N10269">
        <v>0</v>
      </c>
      <c r="O10269">
        <v>55</v>
      </c>
      <c r="P10269">
        <v>0</v>
      </c>
    </row>
    <row r="10270" spans="1:16" x14ac:dyDescent="0.25">
      <c r="A10270" t="s">
        <v>32944</v>
      </c>
      <c r="B10270" t="s">
        <v>7526</v>
      </c>
      <c r="C10270" t="s">
        <v>7527</v>
      </c>
      <c r="D10270" t="str">
        <f>"1746"</f>
        <v>1746</v>
      </c>
      <c r="E10270" t="s">
        <v>807</v>
      </c>
      <c r="F10270" t="s">
        <v>7</v>
      </c>
      <c r="G10270" t="s">
        <v>16232</v>
      </c>
      <c r="H10270" t="s">
        <v>47054</v>
      </c>
      <c r="I10270" t="s">
        <v>47111</v>
      </c>
      <c r="J10270" t="s">
        <v>47112</v>
      </c>
      <c r="K10270" t="s">
        <v>47113</v>
      </c>
      <c r="L10270">
        <v>19.850000000000001</v>
      </c>
      <c r="M10270">
        <v>51</v>
      </c>
      <c r="N10270">
        <v>0</v>
      </c>
      <c r="O10270">
        <v>51</v>
      </c>
      <c r="P10270">
        <v>0</v>
      </c>
    </row>
    <row r="10271" spans="1:16" x14ac:dyDescent="0.25">
      <c r="A10271" t="s">
        <v>32945</v>
      </c>
      <c r="B10271" t="s">
        <v>7526</v>
      </c>
      <c r="C10271" t="s">
        <v>7527</v>
      </c>
      <c r="D10271" t="str">
        <f>"2016"</f>
        <v>2016</v>
      </c>
      <c r="E10271" t="s">
        <v>7528</v>
      </c>
      <c r="F10271" t="s">
        <v>7</v>
      </c>
      <c r="G10271" t="s">
        <v>16232</v>
      </c>
      <c r="H10271" t="s">
        <v>47054</v>
      </c>
      <c r="I10271" t="s">
        <v>47111</v>
      </c>
      <c r="J10271" t="s">
        <v>47112</v>
      </c>
      <c r="K10271" t="s">
        <v>47113</v>
      </c>
      <c r="L10271">
        <v>22.06</v>
      </c>
      <c r="M10271">
        <v>57</v>
      </c>
      <c r="N10271">
        <v>0</v>
      </c>
      <c r="O10271">
        <v>57</v>
      </c>
      <c r="P10271">
        <v>0</v>
      </c>
    </row>
    <row r="10272" spans="1:16" x14ac:dyDescent="0.25">
      <c r="A10272" t="s">
        <v>32946</v>
      </c>
      <c r="B10272" t="s">
        <v>7526</v>
      </c>
      <c r="C10272" t="s">
        <v>7527</v>
      </c>
      <c r="D10272" t="str">
        <f>"4130"</f>
        <v>4130</v>
      </c>
      <c r="E10272" t="s">
        <v>2374</v>
      </c>
      <c r="F10272" t="s">
        <v>7</v>
      </c>
      <c r="G10272" t="s">
        <v>16232</v>
      </c>
      <c r="H10272" t="s">
        <v>47054</v>
      </c>
      <c r="I10272" t="s">
        <v>47111</v>
      </c>
      <c r="J10272" t="s">
        <v>47112</v>
      </c>
      <c r="K10272" t="s">
        <v>47113</v>
      </c>
      <c r="L10272">
        <v>21.88</v>
      </c>
      <c r="M10272">
        <v>55</v>
      </c>
      <c r="N10272">
        <v>0</v>
      </c>
      <c r="O10272">
        <v>55</v>
      </c>
      <c r="P10272">
        <v>0</v>
      </c>
    </row>
    <row r="10273" spans="1:16" x14ac:dyDescent="0.25">
      <c r="A10273" t="s">
        <v>32947</v>
      </c>
      <c r="B10273" t="s">
        <v>7526</v>
      </c>
      <c r="C10273" t="s">
        <v>7527</v>
      </c>
      <c r="D10273" t="str">
        <f>"6122"</f>
        <v>6122</v>
      </c>
      <c r="E10273" t="s">
        <v>1197</v>
      </c>
      <c r="F10273" t="s">
        <v>7</v>
      </c>
      <c r="G10273" t="s">
        <v>16232</v>
      </c>
      <c r="H10273" t="s">
        <v>47054</v>
      </c>
      <c r="I10273" t="s">
        <v>47111</v>
      </c>
      <c r="J10273" t="s">
        <v>47112</v>
      </c>
      <c r="K10273" t="s">
        <v>47113</v>
      </c>
      <c r="L10273">
        <v>21.87</v>
      </c>
      <c r="M10273">
        <v>55</v>
      </c>
      <c r="N10273">
        <v>0</v>
      </c>
      <c r="O10273">
        <v>55</v>
      </c>
      <c r="P10273">
        <v>0</v>
      </c>
    </row>
    <row r="10274" spans="1:16" x14ac:dyDescent="0.25">
      <c r="A10274" t="s">
        <v>32948</v>
      </c>
      <c r="B10274" t="s">
        <v>7526</v>
      </c>
      <c r="C10274" t="s">
        <v>7527</v>
      </c>
      <c r="D10274" t="s">
        <v>6657</v>
      </c>
      <c r="E10274" t="s">
        <v>6658</v>
      </c>
      <c r="F10274" t="s">
        <v>7</v>
      </c>
      <c r="G10274" t="s">
        <v>16232</v>
      </c>
      <c r="H10274" t="s">
        <v>47054</v>
      </c>
      <c r="I10274" t="s">
        <v>47111</v>
      </c>
      <c r="J10274" t="s">
        <v>47112</v>
      </c>
      <c r="K10274" t="s">
        <v>47113</v>
      </c>
      <c r="L10274">
        <v>14.62</v>
      </c>
      <c r="M10274">
        <v>38</v>
      </c>
      <c r="N10274">
        <v>0</v>
      </c>
      <c r="O10274">
        <v>38</v>
      </c>
      <c r="P10274">
        <v>0</v>
      </c>
    </row>
    <row r="10275" spans="1:16" x14ac:dyDescent="0.25">
      <c r="A10275" t="s">
        <v>32949</v>
      </c>
      <c r="B10275" t="s">
        <v>7529</v>
      </c>
      <c r="C10275" t="s">
        <v>2738</v>
      </c>
      <c r="D10275" t="str">
        <f>"1034"</f>
        <v>1034</v>
      </c>
      <c r="E10275" t="s">
        <v>7530</v>
      </c>
      <c r="F10275" t="s">
        <v>2</v>
      </c>
      <c r="G10275" t="s">
        <v>16232</v>
      </c>
      <c r="H10275" t="s">
        <v>47054</v>
      </c>
      <c r="I10275" t="s">
        <v>47139</v>
      </c>
      <c r="J10275" t="s">
        <v>47140</v>
      </c>
      <c r="K10275" t="s">
        <v>47113</v>
      </c>
      <c r="L10275">
        <v>10.99</v>
      </c>
      <c r="M10275">
        <v>52</v>
      </c>
      <c r="N10275">
        <v>0</v>
      </c>
      <c r="O10275">
        <v>52</v>
      </c>
      <c r="P10275">
        <v>0</v>
      </c>
    </row>
    <row r="10276" spans="1:16" x14ac:dyDescent="0.25">
      <c r="A10276" t="s">
        <v>32950</v>
      </c>
      <c r="B10276" t="s">
        <v>7529</v>
      </c>
      <c r="C10276" t="s">
        <v>2738</v>
      </c>
      <c r="D10276" t="str">
        <f>"1747"</f>
        <v>1747</v>
      </c>
      <c r="E10276" t="s">
        <v>5897</v>
      </c>
      <c r="F10276" t="s">
        <v>2</v>
      </c>
      <c r="G10276" t="s">
        <v>16232</v>
      </c>
      <c r="H10276" t="s">
        <v>47054</v>
      </c>
      <c r="I10276" t="s">
        <v>47139</v>
      </c>
      <c r="J10276" t="s">
        <v>47140</v>
      </c>
      <c r="K10276" t="s">
        <v>47113</v>
      </c>
      <c r="L10276">
        <v>10.69</v>
      </c>
      <c r="M10276">
        <v>52</v>
      </c>
      <c r="N10276">
        <v>0</v>
      </c>
      <c r="O10276">
        <v>52</v>
      </c>
      <c r="P10276">
        <v>0</v>
      </c>
    </row>
    <row r="10277" spans="1:16" x14ac:dyDescent="0.25">
      <c r="A10277" t="s">
        <v>14979</v>
      </c>
      <c r="B10277" t="s">
        <v>7529</v>
      </c>
      <c r="C10277" t="s">
        <v>2738</v>
      </c>
      <c r="D10277" t="str">
        <f>"1941"</f>
        <v>1941</v>
      </c>
      <c r="E10277" t="s">
        <v>7531</v>
      </c>
      <c r="F10277" t="s">
        <v>3</v>
      </c>
      <c r="G10277" t="s">
        <v>16232</v>
      </c>
      <c r="H10277" t="s">
        <v>47054</v>
      </c>
      <c r="I10277" t="s">
        <v>47139</v>
      </c>
      <c r="J10277" t="s">
        <v>47140</v>
      </c>
      <c r="K10277" t="s">
        <v>47113</v>
      </c>
      <c r="L10277">
        <v>10.97</v>
      </c>
      <c r="M10277">
        <v>29</v>
      </c>
      <c r="N10277">
        <v>0</v>
      </c>
      <c r="O10277">
        <v>29</v>
      </c>
      <c r="P10277">
        <v>0</v>
      </c>
    </row>
    <row r="10278" spans="1:16" x14ac:dyDescent="0.25">
      <c r="A10278" t="s">
        <v>32951</v>
      </c>
      <c r="B10278" t="s">
        <v>7529</v>
      </c>
      <c r="C10278" t="s">
        <v>2738</v>
      </c>
      <c r="D10278" t="str">
        <f>"3097"</f>
        <v>3097</v>
      </c>
      <c r="E10278" t="s">
        <v>7532</v>
      </c>
      <c r="F10278" t="s">
        <v>2</v>
      </c>
      <c r="G10278" t="s">
        <v>16232</v>
      </c>
      <c r="H10278" t="s">
        <v>47054</v>
      </c>
      <c r="I10278" t="s">
        <v>47139</v>
      </c>
      <c r="J10278" t="s">
        <v>47140</v>
      </c>
      <c r="K10278" t="s">
        <v>47113</v>
      </c>
      <c r="L10278">
        <v>10.79</v>
      </c>
      <c r="M10278">
        <v>52</v>
      </c>
      <c r="N10278">
        <v>0</v>
      </c>
      <c r="O10278">
        <v>52</v>
      </c>
      <c r="P10278">
        <v>0</v>
      </c>
    </row>
    <row r="10279" spans="1:16" x14ac:dyDescent="0.25">
      <c r="A10279" t="s">
        <v>32952</v>
      </c>
      <c r="B10279" t="s">
        <v>7529</v>
      </c>
      <c r="C10279" t="s">
        <v>2738</v>
      </c>
      <c r="D10279" t="str">
        <f>"4494"</f>
        <v>4494</v>
      </c>
      <c r="E10279" t="s">
        <v>7533</v>
      </c>
      <c r="F10279" t="s">
        <v>2</v>
      </c>
      <c r="G10279" t="s">
        <v>16232</v>
      </c>
      <c r="H10279" t="s">
        <v>47054</v>
      </c>
      <c r="I10279" t="s">
        <v>47139</v>
      </c>
      <c r="J10279" t="s">
        <v>47140</v>
      </c>
      <c r="K10279" t="s">
        <v>47113</v>
      </c>
      <c r="L10279">
        <v>10.99</v>
      </c>
      <c r="M10279">
        <v>52</v>
      </c>
      <c r="N10279">
        <v>0</v>
      </c>
      <c r="O10279">
        <v>52</v>
      </c>
      <c r="P10279">
        <v>0</v>
      </c>
    </row>
    <row r="10280" spans="1:16" x14ac:dyDescent="0.25">
      <c r="A10280" t="s">
        <v>32953</v>
      </c>
      <c r="B10280" t="s">
        <v>7529</v>
      </c>
      <c r="C10280" t="s">
        <v>2738</v>
      </c>
      <c r="D10280" t="str">
        <f>"4812"</f>
        <v>4812</v>
      </c>
      <c r="E10280" t="s">
        <v>7534</v>
      </c>
      <c r="F10280" t="s">
        <v>3</v>
      </c>
      <c r="G10280" t="s">
        <v>16232</v>
      </c>
      <c r="H10280" t="s">
        <v>47054</v>
      </c>
      <c r="I10280" t="s">
        <v>47139</v>
      </c>
      <c r="J10280" t="s">
        <v>47140</v>
      </c>
      <c r="K10280" t="s">
        <v>47113</v>
      </c>
      <c r="L10280">
        <v>10.59</v>
      </c>
      <c r="M10280">
        <v>29</v>
      </c>
      <c r="N10280">
        <v>0</v>
      </c>
      <c r="O10280">
        <v>29</v>
      </c>
      <c r="P10280">
        <v>0</v>
      </c>
    </row>
    <row r="10281" spans="1:16" x14ac:dyDescent="0.25">
      <c r="A10281" t="s">
        <v>32954</v>
      </c>
      <c r="B10281" t="s">
        <v>7529</v>
      </c>
      <c r="C10281" t="s">
        <v>2738</v>
      </c>
      <c r="D10281" t="str">
        <f>"6310"</f>
        <v>6310</v>
      </c>
      <c r="E10281" t="s">
        <v>5900</v>
      </c>
      <c r="F10281" t="s">
        <v>2</v>
      </c>
      <c r="G10281" t="s">
        <v>16232</v>
      </c>
      <c r="H10281" t="s">
        <v>47054</v>
      </c>
      <c r="I10281" t="s">
        <v>47139</v>
      </c>
      <c r="J10281" t="s">
        <v>47140</v>
      </c>
      <c r="K10281" t="s">
        <v>47113</v>
      </c>
      <c r="L10281">
        <v>10.69</v>
      </c>
      <c r="M10281">
        <v>52</v>
      </c>
      <c r="N10281">
        <v>0</v>
      </c>
      <c r="O10281">
        <v>52</v>
      </c>
      <c r="P10281">
        <v>0</v>
      </c>
    </row>
    <row r="10282" spans="1:16" x14ac:dyDescent="0.25">
      <c r="A10282" t="s">
        <v>32955</v>
      </c>
      <c r="B10282" t="s">
        <v>7529</v>
      </c>
      <c r="C10282" t="s">
        <v>2738</v>
      </c>
      <c r="D10282" t="str">
        <f>"7356"</f>
        <v>7356</v>
      </c>
      <c r="E10282" t="s">
        <v>7535</v>
      </c>
      <c r="F10282" t="s">
        <v>2</v>
      </c>
      <c r="G10282" t="s">
        <v>16232</v>
      </c>
      <c r="H10282" t="s">
        <v>47054</v>
      </c>
      <c r="I10282" t="s">
        <v>47139</v>
      </c>
      <c r="J10282" t="s">
        <v>47140</v>
      </c>
      <c r="K10282" t="s">
        <v>47113</v>
      </c>
      <c r="L10282">
        <v>10.69</v>
      </c>
      <c r="M10282">
        <v>52</v>
      </c>
      <c r="N10282">
        <v>0</v>
      </c>
      <c r="O10282">
        <v>52</v>
      </c>
      <c r="P10282">
        <v>0</v>
      </c>
    </row>
    <row r="10283" spans="1:16" x14ac:dyDescent="0.25">
      <c r="A10283" t="s">
        <v>32956</v>
      </c>
      <c r="B10283" t="s">
        <v>7529</v>
      </c>
      <c r="C10283" t="s">
        <v>2738</v>
      </c>
      <c r="D10283" t="str">
        <f>"8316"</f>
        <v>8316</v>
      </c>
      <c r="E10283" t="s">
        <v>3260</v>
      </c>
      <c r="F10283" t="s">
        <v>2</v>
      </c>
      <c r="G10283" t="s">
        <v>16232</v>
      </c>
      <c r="H10283" t="s">
        <v>47054</v>
      </c>
      <c r="I10283" t="s">
        <v>47139</v>
      </c>
      <c r="J10283" t="s">
        <v>47140</v>
      </c>
      <c r="K10283" t="s">
        <v>47113</v>
      </c>
      <c r="L10283">
        <v>10.79</v>
      </c>
      <c r="M10283">
        <v>52</v>
      </c>
      <c r="N10283">
        <v>0</v>
      </c>
      <c r="O10283">
        <v>52</v>
      </c>
      <c r="P10283">
        <v>0</v>
      </c>
    </row>
    <row r="10284" spans="1:16" x14ac:dyDescent="0.25">
      <c r="A10284" t="s">
        <v>32957</v>
      </c>
      <c r="B10284" t="s">
        <v>7536</v>
      </c>
      <c r="C10284" t="s">
        <v>7537</v>
      </c>
      <c r="D10284" t="str">
        <f>"1065"</f>
        <v>1065</v>
      </c>
      <c r="E10284" t="s">
        <v>7538</v>
      </c>
      <c r="F10284" t="s">
        <v>5</v>
      </c>
      <c r="G10284" t="s">
        <v>16232</v>
      </c>
      <c r="H10284" t="s">
        <v>47054</v>
      </c>
      <c r="I10284" t="s">
        <v>47139</v>
      </c>
      <c r="J10284" t="s">
        <v>47140</v>
      </c>
      <c r="K10284" t="s">
        <v>47113</v>
      </c>
      <c r="L10284">
        <v>14.58</v>
      </c>
      <c r="M10284">
        <v>30</v>
      </c>
      <c r="N10284">
        <v>0</v>
      </c>
      <c r="O10284">
        <v>30</v>
      </c>
      <c r="P10284">
        <v>0</v>
      </c>
    </row>
    <row r="10285" spans="1:16" x14ac:dyDescent="0.25">
      <c r="A10285" t="s">
        <v>32958</v>
      </c>
      <c r="B10285" t="s">
        <v>7536</v>
      </c>
      <c r="C10285" t="s">
        <v>7537</v>
      </c>
      <c r="D10285" t="str">
        <f>"1941"</f>
        <v>1941</v>
      </c>
      <c r="E10285" t="s">
        <v>7531</v>
      </c>
      <c r="F10285" t="s">
        <v>5</v>
      </c>
      <c r="G10285" t="s">
        <v>16232</v>
      </c>
      <c r="H10285" t="s">
        <v>47054</v>
      </c>
      <c r="I10285" t="s">
        <v>47139</v>
      </c>
      <c r="J10285" t="s">
        <v>47140</v>
      </c>
      <c r="K10285" t="s">
        <v>47113</v>
      </c>
      <c r="L10285">
        <v>14.58</v>
      </c>
      <c r="M10285">
        <v>30</v>
      </c>
      <c r="N10285">
        <v>0</v>
      </c>
      <c r="O10285">
        <v>30</v>
      </c>
      <c r="P10285">
        <v>0</v>
      </c>
    </row>
    <row r="10286" spans="1:16" x14ac:dyDescent="0.25">
      <c r="A10286" t="s">
        <v>32959</v>
      </c>
      <c r="B10286" t="s">
        <v>7536</v>
      </c>
      <c r="C10286" t="s">
        <v>7537</v>
      </c>
      <c r="D10286" t="str">
        <f>"4589"</f>
        <v>4589</v>
      </c>
      <c r="E10286" t="s">
        <v>7539</v>
      </c>
      <c r="F10286" t="s">
        <v>5</v>
      </c>
      <c r="G10286" t="s">
        <v>16232</v>
      </c>
      <c r="H10286" t="s">
        <v>47054</v>
      </c>
      <c r="I10286" t="s">
        <v>47139</v>
      </c>
      <c r="J10286" t="s">
        <v>47140</v>
      </c>
      <c r="K10286" t="s">
        <v>47113</v>
      </c>
      <c r="L10286">
        <v>14.58</v>
      </c>
      <c r="M10286">
        <v>30</v>
      </c>
      <c r="N10286">
        <v>0</v>
      </c>
      <c r="O10286">
        <v>30</v>
      </c>
      <c r="P10286">
        <v>0</v>
      </c>
    </row>
    <row r="10287" spans="1:16" x14ac:dyDescent="0.25">
      <c r="A10287" t="s">
        <v>32960</v>
      </c>
      <c r="B10287" t="s">
        <v>7536</v>
      </c>
      <c r="C10287" t="s">
        <v>7537</v>
      </c>
      <c r="D10287" t="str">
        <f>"6358"</f>
        <v>6358</v>
      </c>
      <c r="E10287" t="s">
        <v>7540</v>
      </c>
      <c r="F10287" t="s">
        <v>5</v>
      </c>
      <c r="G10287" t="s">
        <v>16232</v>
      </c>
      <c r="H10287" t="s">
        <v>47054</v>
      </c>
      <c r="I10287" t="s">
        <v>47139</v>
      </c>
      <c r="J10287" t="s">
        <v>47140</v>
      </c>
      <c r="K10287" t="s">
        <v>47113</v>
      </c>
      <c r="L10287">
        <v>14.58</v>
      </c>
      <c r="M10287">
        <v>30</v>
      </c>
      <c r="N10287">
        <v>0</v>
      </c>
      <c r="O10287">
        <v>30</v>
      </c>
      <c r="P10287">
        <v>0</v>
      </c>
    </row>
    <row r="10288" spans="1:16" x14ac:dyDescent="0.25">
      <c r="A10288" t="s">
        <v>32961</v>
      </c>
      <c r="B10288" t="s">
        <v>7541</v>
      </c>
      <c r="C10288" t="s">
        <v>7542</v>
      </c>
      <c r="D10288" t="str">
        <f>"1899"</f>
        <v>1899</v>
      </c>
      <c r="E10288" t="s">
        <v>7543</v>
      </c>
      <c r="F10288" t="s">
        <v>2</v>
      </c>
      <c r="G10288" t="s">
        <v>16232</v>
      </c>
      <c r="H10288" t="s">
        <v>47054</v>
      </c>
      <c r="I10288" t="s">
        <v>47139</v>
      </c>
      <c r="J10288" t="s">
        <v>47140</v>
      </c>
      <c r="K10288" t="s">
        <v>47113</v>
      </c>
      <c r="L10288">
        <v>25.14</v>
      </c>
      <c r="M10288">
        <v>65</v>
      </c>
      <c r="N10288">
        <v>0</v>
      </c>
      <c r="O10288">
        <v>65</v>
      </c>
      <c r="P10288">
        <v>0</v>
      </c>
    </row>
    <row r="10289" spans="1:16" x14ac:dyDescent="0.25">
      <c r="A10289" t="s">
        <v>32962</v>
      </c>
      <c r="B10289" t="s">
        <v>7541</v>
      </c>
      <c r="C10289" t="s">
        <v>7542</v>
      </c>
      <c r="D10289" t="str">
        <f>"4309"</f>
        <v>4309</v>
      </c>
      <c r="E10289" t="s">
        <v>7544</v>
      </c>
      <c r="F10289" t="s">
        <v>2</v>
      </c>
      <c r="G10289" t="s">
        <v>16232</v>
      </c>
      <c r="H10289" t="s">
        <v>47054</v>
      </c>
      <c r="I10289" t="s">
        <v>47139</v>
      </c>
      <c r="J10289" t="s">
        <v>47140</v>
      </c>
      <c r="K10289" t="s">
        <v>47113</v>
      </c>
      <c r="L10289">
        <v>25.14</v>
      </c>
      <c r="M10289">
        <v>65</v>
      </c>
      <c r="N10289">
        <v>0</v>
      </c>
      <c r="O10289">
        <v>65</v>
      </c>
      <c r="P10289">
        <v>0</v>
      </c>
    </row>
    <row r="10290" spans="1:16" x14ac:dyDescent="0.25">
      <c r="A10290" t="s">
        <v>32963</v>
      </c>
      <c r="B10290" t="s">
        <v>7545</v>
      </c>
      <c r="C10290" t="s">
        <v>7546</v>
      </c>
      <c r="D10290" t="str">
        <f>"4263"</f>
        <v>4263</v>
      </c>
      <c r="E10290" t="s">
        <v>7547</v>
      </c>
      <c r="F10290" t="s">
        <v>7</v>
      </c>
      <c r="G10290" t="s">
        <v>16235</v>
      </c>
      <c r="H10290" t="s">
        <v>47054</v>
      </c>
      <c r="I10290" t="s">
        <v>47120</v>
      </c>
      <c r="J10290" t="s">
        <v>47121</v>
      </c>
      <c r="K10290" t="s">
        <v>47113</v>
      </c>
      <c r="L10290">
        <v>20.51</v>
      </c>
      <c r="M10290">
        <v>72</v>
      </c>
      <c r="N10290">
        <v>0</v>
      </c>
      <c r="O10290">
        <v>72</v>
      </c>
      <c r="P10290">
        <v>0</v>
      </c>
    </row>
    <row r="10291" spans="1:16" x14ac:dyDescent="0.25">
      <c r="A10291" t="s">
        <v>32964</v>
      </c>
      <c r="B10291" t="s">
        <v>7548</v>
      </c>
      <c r="C10291" t="s">
        <v>7549</v>
      </c>
      <c r="D10291" t="str">
        <f>"1001"</f>
        <v>1001</v>
      </c>
      <c r="E10291" t="s">
        <v>42</v>
      </c>
      <c r="F10291" t="s">
        <v>52</v>
      </c>
      <c r="G10291" t="s">
        <v>16448</v>
      </c>
      <c r="H10291" t="s">
        <v>47054</v>
      </c>
      <c r="I10291" t="s">
        <v>47120</v>
      </c>
      <c r="J10291" t="s">
        <v>47121</v>
      </c>
      <c r="K10291" t="s">
        <v>47113</v>
      </c>
      <c r="L10291">
        <v>118.9</v>
      </c>
      <c r="M10291">
        <v>256</v>
      </c>
      <c r="N10291">
        <v>0</v>
      </c>
      <c r="O10291">
        <v>256</v>
      </c>
      <c r="P10291">
        <v>0</v>
      </c>
    </row>
    <row r="10292" spans="1:16" x14ac:dyDescent="0.25">
      <c r="A10292" t="s">
        <v>32965</v>
      </c>
      <c r="B10292" t="s">
        <v>7550</v>
      </c>
      <c r="C10292" t="s">
        <v>2787</v>
      </c>
      <c r="D10292" t="str">
        <f>"1533"</f>
        <v>1533</v>
      </c>
      <c r="E10292" t="s">
        <v>7551</v>
      </c>
      <c r="F10292" t="s">
        <v>2</v>
      </c>
      <c r="G10292" t="s">
        <v>16235</v>
      </c>
      <c r="H10292" t="s">
        <v>47054</v>
      </c>
      <c r="I10292" t="s">
        <v>47139</v>
      </c>
      <c r="J10292" t="s">
        <v>47140</v>
      </c>
      <c r="K10292" t="s">
        <v>47113</v>
      </c>
      <c r="L10292">
        <v>36.51</v>
      </c>
      <c r="M10292">
        <v>96</v>
      </c>
      <c r="N10292">
        <v>0</v>
      </c>
      <c r="O10292">
        <v>96</v>
      </c>
      <c r="P10292">
        <v>0</v>
      </c>
    </row>
    <row r="10293" spans="1:16" x14ac:dyDescent="0.25">
      <c r="A10293" t="s">
        <v>32966</v>
      </c>
      <c r="B10293" t="s">
        <v>7552</v>
      </c>
      <c r="C10293" t="s">
        <v>7553</v>
      </c>
      <c r="D10293" t="str">
        <f>"1525"</f>
        <v>1525</v>
      </c>
      <c r="E10293" t="s">
        <v>7554</v>
      </c>
      <c r="F10293" t="s">
        <v>6</v>
      </c>
      <c r="G10293" t="s">
        <v>16232</v>
      </c>
      <c r="H10293" t="s">
        <v>47054</v>
      </c>
      <c r="I10293" t="s">
        <v>47111</v>
      </c>
      <c r="J10293" t="s">
        <v>47112</v>
      </c>
      <c r="K10293" t="s">
        <v>47113</v>
      </c>
      <c r="L10293">
        <v>19.809999999999999</v>
      </c>
      <c r="M10293">
        <v>53</v>
      </c>
      <c r="N10293">
        <v>0</v>
      </c>
      <c r="O10293">
        <v>53</v>
      </c>
      <c r="P10293">
        <v>0</v>
      </c>
    </row>
    <row r="10294" spans="1:16" x14ac:dyDescent="0.25">
      <c r="A10294" t="s">
        <v>32967</v>
      </c>
      <c r="B10294" t="s">
        <v>7555</v>
      </c>
      <c r="C10294" t="s">
        <v>7556</v>
      </c>
      <c r="D10294" t="str">
        <f>"4289"</f>
        <v>4289</v>
      </c>
      <c r="E10294" t="s">
        <v>7557</v>
      </c>
      <c r="F10294" t="s">
        <v>3670</v>
      </c>
      <c r="G10294" t="s">
        <v>16221</v>
      </c>
      <c r="H10294" t="s">
        <v>47054</v>
      </c>
      <c r="I10294" t="s">
        <v>47111</v>
      </c>
      <c r="J10294" t="s">
        <v>47112</v>
      </c>
      <c r="K10294" t="s">
        <v>47113</v>
      </c>
      <c r="L10294">
        <v>19.82</v>
      </c>
      <c r="M10294">
        <v>29</v>
      </c>
      <c r="N10294">
        <v>0</v>
      </c>
      <c r="O10294">
        <v>29</v>
      </c>
      <c r="P10294">
        <v>0</v>
      </c>
    </row>
    <row r="10295" spans="1:16" x14ac:dyDescent="0.25">
      <c r="A10295" t="s">
        <v>32968</v>
      </c>
      <c r="B10295" t="s">
        <v>7558</v>
      </c>
      <c r="C10295" t="s">
        <v>7559</v>
      </c>
      <c r="D10295" t="str">
        <f>"1118"</f>
        <v>1118</v>
      </c>
      <c r="E10295" t="s">
        <v>6143</v>
      </c>
      <c r="F10295" t="s">
        <v>3670</v>
      </c>
      <c r="G10295" t="s">
        <v>16221</v>
      </c>
      <c r="H10295" t="s">
        <v>47054</v>
      </c>
      <c r="I10295" t="s">
        <v>47111</v>
      </c>
      <c r="J10295" t="s">
        <v>47112</v>
      </c>
      <c r="K10295" t="s">
        <v>47113</v>
      </c>
      <c r="L10295">
        <v>16.12</v>
      </c>
      <c r="M10295">
        <v>29</v>
      </c>
      <c r="N10295">
        <v>0</v>
      </c>
      <c r="O10295">
        <v>29</v>
      </c>
      <c r="P10295">
        <v>0</v>
      </c>
    </row>
    <row r="10296" spans="1:16" x14ac:dyDescent="0.25">
      <c r="A10296" t="s">
        <v>32969</v>
      </c>
      <c r="B10296" t="s">
        <v>7560</v>
      </c>
      <c r="C10296" t="s">
        <v>7561</v>
      </c>
      <c r="D10296" t="str">
        <f>"1541"</f>
        <v>1541</v>
      </c>
      <c r="E10296" t="s">
        <v>6246</v>
      </c>
      <c r="F10296" t="s">
        <v>3670</v>
      </c>
      <c r="G10296" t="s">
        <v>16221</v>
      </c>
      <c r="I10296" t="s">
        <v>47111</v>
      </c>
      <c r="J10296" t="s">
        <v>47112</v>
      </c>
      <c r="K10296" t="s">
        <v>47113</v>
      </c>
      <c r="L10296">
        <v>13.51</v>
      </c>
      <c r="M10296">
        <v>26</v>
      </c>
      <c r="N10296">
        <v>0</v>
      </c>
      <c r="O10296">
        <v>26</v>
      </c>
      <c r="P10296">
        <v>0</v>
      </c>
    </row>
    <row r="10297" spans="1:16" x14ac:dyDescent="0.25">
      <c r="A10297" t="s">
        <v>32970</v>
      </c>
      <c r="B10297" t="s">
        <v>7562</v>
      </c>
      <c r="C10297" t="s">
        <v>7563</v>
      </c>
      <c r="D10297" t="str">
        <f>"1501"</f>
        <v>1501</v>
      </c>
      <c r="E10297" t="s">
        <v>46</v>
      </c>
      <c r="F10297" t="s">
        <v>3670</v>
      </c>
      <c r="G10297" t="s">
        <v>16232</v>
      </c>
      <c r="H10297" t="s">
        <v>47054</v>
      </c>
      <c r="I10297" t="s">
        <v>47120</v>
      </c>
      <c r="J10297" t="s">
        <v>47121</v>
      </c>
      <c r="K10297" t="s">
        <v>47113</v>
      </c>
      <c r="L10297">
        <v>9.92</v>
      </c>
      <c r="M10297">
        <v>26</v>
      </c>
      <c r="N10297">
        <v>0</v>
      </c>
      <c r="O10297">
        <v>26</v>
      </c>
      <c r="P10297">
        <v>0</v>
      </c>
    </row>
    <row r="10298" spans="1:16" x14ac:dyDescent="0.25">
      <c r="A10298" t="s">
        <v>32971</v>
      </c>
      <c r="B10298" t="s">
        <v>7564</v>
      </c>
      <c r="C10298" t="s">
        <v>7565</v>
      </c>
      <c r="D10298" t="str">
        <f>"1501"</f>
        <v>1501</v>
      </c>
      <c r="E10298" t="s">
        <v>46</v>
      </c>
      <c r="F10298" t="s">
        <v>3670</v>
      </c>
      <c r="G10298" t="s">
        <v>16232</v>
      </c>
      <c r="H10298" t="s">
        <v>47054</v>
      </c>
      <c r="I10298" t="s">
        <v>47111</v>
      </c>
      <c r="J10298" t="s">
        <v>47112</v>
      </c>
      <c r="K10298" t="s">
        <v>47113</v>
      </c>
      <c r="L10298">
        <v>7.8</v>
      </c>
      <c r="M10298">
        <v>26</v>
      </c>
      <c r="N10298">
        <v>0</v>
      </c>
      <c r="O10298">
        <v>26</v>
      </c>
      <c r="P10298">
        <v>0</v>
      </c>
    </row>
    <row r="10299" spans="1:16" x14ac:dyDescent="0.25">
      <c r="A10299" t="s">
        <v>32972</v>
      </c>
      <c r="B10299" t="s">
        <v>14494</v>
      </c>
      <c r="C10299" t="s">
        <v>14474</v>
      </c>
      <c r="D10299" t="str">
        <f>"1501"</f>
        <v>1501</v>
      </c>
      <c r="E10299" t="s">
        <v>46</v>
      </c>
      <c r="F10299" t="s">
        <v>3750</v>
      </c>
      <c r="G10299" t="s">
        <v>16221</v>
      </c>
      <c r="H10299" t="s">
        <v>47054</v>
      </c>
      <c r="I10299" t="s">
        <v>47569</v>
      </c>
      <c r="J10299" t="s">
        <v>47570</v>
      </c>
      <c r="K10299" t="s">
        <v>47113</v>
      </c>
      <c r="L10299">
        <v>6.65</v>
      </c>
      <c r="M10299">
        <v>22</v>
      </c>
      <c r="N10299">
        <v>0</v>
      </c>
      <c r="O10299">
        <v>22</v>
      </c>
      <c r="P10299">
        <v>0</v>
      </c>
    </row>
    <row r="10300" spans="1:16" x14ac:dyDescent="0.25">
      <c r="A10300" t="s">
        <v>32973</v>
      </c>
      <c r="B10300" t="s">
        <v>7566</v>
      </c>
      <c r="C10300" t="s">
        <v>6124</v>
      </c>
      <c r="D10300" t="s">
        <v>6125</v>
      </c>
      <c r="E10300" t="s">
        <v>6126</v>
      </c>
      <c r="F10300" t="s">
        <v>3558</v>
      </c>
      <c r="G10300" t="s">
        <v>16233</v>
      </c>
      <c r="H10300" t="s">
        <v>47054</v>
      </c>
      <c r="I10300" t="s">
        <v>47136</v>
      </c>
      <c r="J10300" t="s">
        <v>47137</v>
      </c>
      <c r="K10300" t="s">
        <v>47113</v>
      </c>
      <c r="L10300">
        <v>14.97</v>
      </c>
      <c r="M10300">
        <v>63</v>
      </c>
      <c r="N10300">
        <v>0</v>
      </c>
      <c r="O10300">
        <v>63</v>
      </c>
      <c r="P10300">
        <v>0</v>
      </c>
    </row>
    <row r="10301" spans="1:16" x14ac:dyDescent="0.25">
      <c r="A10301" t="s">
        <v>32974</v>
      </c>
      <c r="B10301" t="s">
        <v>7567</v>
      </c>
      <c r="C10301" t="s">
        <v>7568</v>
      </c>
      <c r="D10301" t="str">
        <f>"4100"</f>
        <v>4100</v>
      </c>
      <c r="E10301" t="s">
        <v>7569</v>
      </c>
      <c r="F10301" t="s">
        <v>3558</v>
      </c>
      <c r="G10301" t="s">
        <v>16448</v>
      </c>
      <c r="H10301" t="s">
        <v>47054</v>
      </c>
      <c r="I10301" t="s">
        <v>47120</v>
      </c>
      <c r="J10301" t="s">
        <v>47121</v>
      </c>
      <c r="K10301" t="s">
        <v>47113</v>
      </c>
      <c r="L10301">
        <v>198.62</v>
      </c>
      <c r="M10301">
        <v>222</v>
      </c>
      <c r="N10301">
        <v>0</v>
      </c>
      <c r="O10301">
        <v>222</v>
      </c>
      <c r="P10301">
        <v>0</v>
      </c>
    </row>
    <row r="10302" spans="1:16" x14ac:dyDescent="0.25">
      <c r="A10302" t="s">
        <v>32975</v>
      </c>
      <c r="B10302" t="s">
        <v>32976</v>
      </c>
      <c r="C10302" t="s">
        <v>32977</v>
      </c>
      <c r="D10302" t="str">
        <f>"1001"</f>
        <v>1001</v>
      </c>
      <c r="E10302" t="s">
        <v>42</v>
      </c>
      <c r="F10302" t="s">
        <v>3750</v>
      </c>
      <c r="G10302" t="s">
        <v>16230</v>
      </c>
      <c r="H10302" t="s">
        <v>47054</v>
      </c>
      <c r="I10302" t="s">
        <v>47118</v>
      </c>
      <c r="J10302" t="s">
        <v>47119</v>
      </c>
      <c r="K10302" t="s">
        <v>47113</v>
      </c>
      <c r="L10302">
        <v>14.53</v>
      </c>
      <c r="M10302">
        <v>59</v>
      </c>
      <c r="N10302">
        <v>159</v>
      </c>
      <c r="O10302">
        <v>59</v>
      </c>
      <c r="P10302">
        <v>159</v>
      </c>
    </row>
    <row r="10303" spans="1:16" x14ac:dyDescent="0.25">
      <c r="A10303" t="s">
        <v>32978</v>
      </c>
      <c r="B10303" t="s">
        <v>32976</v>
      </c>
      <c r="C10303" t="s">
        <v>32977</v>
      </c>
      <c r="D10303" t="str">
        <f>"1700"</f>
        <v>1700</v>
      </c>
      <c r="E10303" t="s">
        <v>60</v>
      </c>
      <c r="F10303" t="s">
        <v>3750</v>
      </c>
      <c r="G10303" t="s">
        <v>16230</v>
      </c>
      <c r="H10303" t="s">
        <v>47054</v>
      </c>
      <c r="I10303" t="s">
        <v>47118</v>
      </c>
      <c r="J10303" t="s">
        <v>47119</v>
      </c>
      <c r="K10303" t="s">
        <v>47113</v>
      </c>
      <c r="L10303">
        <v>14.53</v>
      </c>
      <c r="M10303">
        <v>59</v>
      </c>
      <c r="N10303">
        <v>159</v>
      </c>
      <c r="O10303">
        <v>59</v>
      </c>
      <c r="P10303">
        <v>159</v>
      </c>
    </row>
    <row r="10304" spans="1:16" x14ac:dyDescent="0.25">
      <c r="A10304" t="s">
        <v>32979</v>
      </c>
      <c r="B10304" t="s">
        <v>7570</v>
      </c>
      <c r="C10304" t="s">
        <v>1814</v>
      </c>
      <c r="D10304" t="str">
        <f>"2401"</f>
        <v>2401</v>
      </c>
      <c r="E10304" t="s">
        <v>1817</v>
      </c>
      <c r="F10304" t="s">
        <v>8</v>
      </c>
      <c r="G10304" t="s">
        <v>16230</v>
      </c>
      <c r="H10304" t="s">
        <v>47054</v>
      </c>
      <c r="I10304" t="s">
        <v>47120</v>
      </c>
      <c r="J10304" t="s">
        <v>47121</v>
      </c>
      <c r="K10304" t="s">
        <v>47113</v>
      </c>
      <c r="L10304">
        <v>29.92</v>
      </c>
      <c r="M10304">
        <v>64</v>
      </c>
      <c r="N10304">
        <v>0</v>
      </c>
      <c r="O10304">
        <v>64</v>
      </c>
      <c r="P10304">
        <v>0</v>
      </c>
    </row>
    <row r="10305" spans="1:16" x14ac:dyDescent="0.25">
      <c r="A10305" t="s">
        <v>32980</v>
      </c>
      <c r="B10305" t="s">
        <v>7570</v>
      </c>
      <c r="C10305" t="s">
        <v>1814</v>
      </c>
      <c r="D10305" t="str">
        <f>"2801"</f>
        <v>2801</v>
      </c>
      <c r="E10305" t="s">
        <v>1819</v>
      </c>
      <c r="F10305" t="s">
        <v>8</v>
      </c>
      <c r="G10305" t="s">
        <v>16230</v>
      </c>
      <c r="H10305" t="s">
        <v>47054</v>
      </c>
      <c r="I10305" t="s">
        <v>47120</v>
      </c>
      <c r="J10305" t="s">
        <v>47121</v>
      </c>
      <c r="K10305" t="s">
        <v>47113</v>
      </c>
      <c r="L10305">
        <v>29.92</v>
      </c>
      <c r="M10305">
        <v>64</v>
      </c>
      <c r="N10305">
        <v>0</v>
      </c>
      <c r="O10305">
        <v>64</v>
      </c>
      <c r="P10305">
        <v>0</v>
      </c>
    </row>
    <row r="10306" spans="1:16" x14ac:dyDescent="0.25">
      <c r="A10306" t="s">
        <v>32981</v>
      </c>
      <c r="B10306" t="s">
        <v>7570</v>
      </c>
      <c r="C10306" t="s">
        <v>1814</v>
      </c>
      <c r="D10306" t="str">
        <f>"4316"</f>
        <v>4316</v>
      </c>
      <c r="E10306" t="s">
        <v>7571</v>
      </c>
      <c r="F10306" t="s">
        <v>2</v>
      </c>
      <c r="G10306" t="s">
        <v>16230</v>
      </c>
      <c r="H10306" t="s">
        <v>47054</v>
      </c>
      <c r="I10306" t="s">
        <v>47120</v>
      </c>
      <c r="J10306" t="s">
        <v>47121</v>
      </c>
      <c r="K10306" t="s">
        <v>47113</v>
      </c>
      <c r="L10306">
        <v>26.04</v>
      </c>
      <c r="M10306">
        <v>59</v>
      </c>
      <c r="N10306">
        <v>0</v>
      </c>
      <c r="O10306">
        <v>59</v>
      </c>
      <c r="P10306">
        <v>0</v>
      </c>
    </row>
    <row r="10307" spans="1:16" x14ac:dyDescent="0.25">
      <c r="A10307" t="s">
        <v>32982</v>
      </c>
      <c r="B10307" t="s">
        <v>7570</v>
      </c>
      <c r="C10307" t="s">
        <v>1814</v>
      </c>
      <c r="D10307" t="str">
        <f>"6179"</f>
        <v>6179</v>
      </c>
      <c r="E10307" t="s">
        <v>7572</v>
      </c>
      <c r="F10307" t="s">
        <v>2</v>
      </c>
      <c r="G10307" t="s">
        <v>16230</v>
      </c>
      <c r="H10307" t="s">
        <v>47054</v>
      </c>
      <c r="I10307" t="s">
        <v>47120</v>
      </c>
      <c r="J10307" t="s">
        <v>47121</v>
      </c>
      <c r="K10307" t="s">
        <v>47113</v>
      </c>
      <c r="L10307">
        <v>32.909999999999997</v>
      </c>
      <c r="M10307">
        <v>59</v>
      </c>
      <c r="N10307">
        <v>0</v>
      </c>
      <c r="O10307">
        <v>59</v>
      </c>
      <c r="P10307">
        <v>0</v>
      </c>
    </row>
    <row r="10308" spans="1:16" x14ac:dyDescent="0.25">
      <c r="A10308" t="s">
        <v>32983</v>
      </c>
      <c r="B10308" t="s">
        <v>7570</v>
      </c>
      <c r="C10308" t="s">
        <v>1814</v>
      </c>
      <c r="D10308" t="str">
        <f>"7021"</f>
        <v>7021</v>
      </c>
      <c r="E10308" t="s">
        <v>7573</v>
      </c>
      <c r="F10308" t="s">
        <v>2</v>
      </c>
      <c r="G10308" t="s">
        <v>16230</v>
      </c>
      <c r="H10308" t="s">
        <v>47054</v>
      </c>
      <c r="I10308" t="s">
        <v>47120</v>
      </c>
      <c r="J10308" t="s">
        <v>47121</v>
      </c>
      <c r="K10308" t="s">
        <v>47113</v>
      </c>
      <c r="L10308">
        <v>32.909999999999997</v>
      </c>
      <c r="M10308">
        <v>59</v>
      </c>
      <c r="N10308">
        <v>0</v>
      </c>
      <c r="O10308">
        <v>59</v>
      </c>
      <c r="P10308">
        <v>0</v>
      </c>
    </row>
    <row r="10309" spans="1:16" x14ac:dyDescent="0.25">
      <c r="A10309" t="s">
        <v>32984</v>
      </c>
      <c r="B10309" t="s">
        <v>7574</v>
      </c>
      <c r="C10309" t="s">
        <v>7575</v>
      </c>
      <c r="D10309" t="str">
        <f>"4495"</f>
        <v>4495</v>
      </c>
      <c r="E10309" t="s">
        <v>2744</v>
      </c>
      <c r="F10309" t="s">
        <v>2</v>
      </c>
      <c r="G10309" t="s">
        <v>16230</v>
      </c>
      <c r="H10309" t="s">
        <v>47054</v>
      </c>
      <c r="I10309" t="s">
        <v>47118</v>
      </c>
      <c r="J10309" t="s">
        <v>47119</v>
      </c>
      <c r="K10309" t="s">
        <v>47113</v>
      </c>
      <c r="L10309">
        <v>32.909999999999997</v>
      </c>
      <c r="M10309">
        <v>59</v>
      </c>
      <c r="N10309">
        <v>0</v>
      </c>
      <c r="O10309">
        <v>59</v>
      </c>
      <c r="P10309">
        <v>0</v>
      </c>
    </row>
    <row r="10310" spans="1:16" x14ac:dyDescent="0.25">
      <c r="A10310" t="s">
        <v>32985</v>
      </c>
      <c r="B10310" t="s">
        <v>7576</v>
      </c>
      <c r="C10310" t="s">
        <v>7577</v>
      </c>
      <c r="D10310" t="str">
        <f>"2117"</f>
        <v>2117</v>
      </c>
      <c r="E10310" t="s">
        <v>7578</v>
      </c>
      <c r="F10310" t="s">
        <v>296</v>
      </c>
      <c r="G10310" t="s">
        <v>16230</v>
      </c>
      <c r="H10310" t="s">
        <v>47054</v>
      </c>
      <c r="I10310" t="s">
        <v>47118</v>
      </c>
      <c r="J10310" t="s">
        <v>47119</v>
      </c>
      <c r="K10310" t="s">
        <v>47113</v>
      </c>
      <c r="L10310">
        <v>21.69</v>
      </c>
      <c r="M10310">
        <v>52</v>
      </c>
      <c r="N10310">
        <v>0</v>
      </c>
      <c r="O10310">
        <v>52</v>
      </c>
      <c r="P10310">
        <v>0</v>
      </c>
    </row>
    <row r="10311" spans="1:16" x14ac:dyDescent="0.25">
      <c r="A10311" t="s">
        <v>32986</v>
      </c>
      <c r="B10311" t="s">
        <v>7576</v>
      </c>
      <c r="C10311" t="s">
        <v>7577</v>
      </c>
      <c r="D10311" t="str">
        <f>"4229"</f>
        <v>4229</v>
      </c>
      <c r="E10311" t="s">
        <v>7579</v>
      </c>
      <c r="F10311" t="s">
        <v>296</v>
      </c>
      <c r="G10311" t="s">
        <v>16230</v>
      </c>
      <c r="H10311" t="s">
        <v>47054</v>
      </c>
      <c r="I10311" t="s">
        <v>47118</v>
      </c>
      <c r="J10311" t="s">
        <v>47119</v>
      </c>
      <c r="K10311" t="s">
        <v>47113</v>
      </c>
      <c r="L10311">
        <v>21.11</v>
      </c>
      <c r="M10311">
        <v>52</v>
      </c>
      <c r="N10311">
        <v>0</v>
      </c>
      <c r="O10311">
        <v>52</v>
      </c>
      <c r="P10311">
        <v>0</v>
      </c>
    </row>
    <row r="10312" spans="1:16" x14ac:dyDescent="0.25">
      <c r="A10312" t="s">
        <v>32987</v>
      </c>
      <c r="B10312" t="s">
        <v>7576</v>
      </c>
      <c r="C10312" t="s">
        <v>7577</v>
      </c>
      <c r="D10312" t="str">
        <f>"6312"</f>
        <v>6312</v>
      </c>
      <c r="E10312" t="s">
        <v>7580</v>
      </c>
      <c r="F10312" t="s">
        <v>296</v>
      </c>
      <c r="G10312" t="s">
        <v>16230</v>
      </c>
      <c r="H10312" t="s">
        <v>47054</v>
      </c>
      <c r="I10312" t="s">
        <v>47118</v>
      </c>
      <c r="J10312" t="s">
        <v>47119</v>
      </c>
      <c r="K10312" t="s">
        <v>47113</v>
      </c>
      <c r="L10312">
        <v>21.11</v>
      </c>
      <c r="M10312">
        <v>52</v>
      </c>
      <c r="N10312">
        <v>0</v>
      </c>
      <c r="O10312">
        <v>52</v>
      </c>
      <c r="P10312">
        <v>0</v>
      </c>
    </row>
    <row r="10313" spans="1:16" x14ac:dyDescent="0.25">
      <c r="A10313" t="s">
        <v>32988</v>
      </c>
      <c r="B10313" t="s">
        <v>7581</v>
      </c>
      <c r="C10313" t="s">
        <v>7187</v>
      </c>
      <c r="D10313" t="str">
        <f>"2127"</f>
        <v>2127</v>
      </c>
      <c r="E10313" t="s">
        <v>7582</v>
      </c>
      <c r="F10313" t="s">
        <v>7</v>
      </c>
      <c r="G10313" t="s">
        <v>16230</v>
      </c>
      <c r="H10313" t="s">
        <v>47054</v>
      </c>
      <c r="I10313" t="s">
        <v>47118</v>
      </c>
      <c r="J10313" t="s">
        <v>47119</v>
      </c>
      <c r="K10313" t="s">
        <v>47113</v>
      </c>
      <c r="L10313">
        <v>22.87</v>
      </c>
      <c r="M10313">
        <v>58</v>
      </c>
      <c r="N10313">
        <v>0</v>
      </c>
      <c r="O10313">
        <v>58</v>
      </c>
      <c r="P10313">
        <v>0</v>
      </c>
    </row>
    <row r="10314" spans="1:16" x14ac:dyDescent="0.25">
      <c r="A10314" t="s">
        <v>32989</v>
      </c>
      <c r="B10314" t="s">
        <v>7581</v>
      </c>
      <c r="C10314" t="s">
        <v>7187</v>
      </c>
      <c r="D10314" t="str">
        <f>"2315"</f>
        <v>2315</v>
      </c>
      <c r="E10314" t="s">
        <v>7583</v>
      </c>
      <c r="F10314" t="s">
        <v>7</v>
      </c>
      <c r="G10314" t="s">
        <v>16230</v>
      </c>
      <c r="H10314" t="s">
        <v>47054</v>
      </c>
      <c r="I10314" t="s">
        <v>47120</v>
      </c>
      <c r="J10314" t="s">
        <v>47121</v>
      </c>
      <c r="K10314" t="s">
        <v>47113</v>
      </c>
      <c r="L10314">
        <v>47.51</v>
      </c>
      <c r="M10314">
        <v>59</v>
      </c>
      <c r="N10314">
        <v>0</v>
      </c>
      <c r="O10314">
        <v>59</v>
      </c>
      <c r="P10314">
        <v>0</v>
      </c>
    </row>
    <row r="10315" spans="1:16" x14ac:dyDescent="0.25">
      <c r="A10315" t="s">
        <v>32990</v>
      </c>
      <c r="B10315" t="s">
        <v>7581</v>
      </c>
      <c r="C10315" t="s">
        <v>7187</v>
      </c>
      <c r="D10315" t="str">
        <f>"4023"</f>
        <v>4023</v>
      </c>
      <c r="E10315" t="s">
        <v>7584</v>
      </c>
      <c r="F10315" t="s">
        <v>7</v>
      </c>
      <c r="G10315" t="s">
        <v>16230</v>
      </c>
      <c r="H10315" t="s">
        <v>47054</v>
      </c>
      <c r="I10315" t="s">
        <v>47118</v>
      </c>
      <c r="J10315" t="s">
        <v>47119</v>
      </c>
      <c r="K10315" t="s">
        <v>47113</v>
      </c>
      <c r="L10315">
        <v>22.87</v>
      </c>
      <c r="M10315">
        <v>56</v>
      </c>
      <c r="N10315">
        <v>0</v>
      </c>
      <c r="O10315">
        <v>56</v>
      </c>
      <c r="P10315">
        <v>0</v>
      </c>
    </row>
    <row r="10316" spans="1:16" x14ac:dyDescent="0.25">
      <c r="A10316" t="s">
        <v>32991</v>
      </c>
      <c r="B10316" t="s">
        <v>7581</v>
      </c>
      <c r="C10316" t="s">
        <v>7187</v>
      </c>
      <c r="D10316" t="str">
        <f>"4238"</f>
        <v>4238</v>
      </c>
      <c r="E10316" t="s">
        <v>7585</v>
      </c>
      <c r="F10316" t="s">
        <v>7</v>
      </c>
      <c r="G10316" t="s">
        <v>16230</v>
      </c>
      <c r="H10316" t="s">
        <v>47054</v>
      </c>
      <c r="I10316" t="s">
        <v>47118</v>
      </c>
      <c r="J10316" t="s">
        <v>47119</v>
      </c>
      <c r="K10316" t="s">
        <v>47113</v>
      </c>
      <c r="L10316">
        <v>47.51</v>
      </c>
      <c r="M10316">
        <v>59</v>
      </c>
      <c r="N10316">
        <v>0</v>
      </c>
      <c r="O10316">
        <v>59</v>
      </c>
      <c r="P10316">
        <v>0</v>
      </c>
    </row>
    <row r="10317" spans="1:16" x14ac:dyDescent="0.25">
      <c r="A10317" t="s">
        <v>32992</v>
      </c>
      <c r="B10317" t="s">
        <v>7581</v>
      </c>
      <c r="C10317" t="s">
        <v>7187</v>
      </c>
      <c r="D10317" t="str">
        <f>"7103"</f>
        <v>7103</v>
      </c>
      <c r="E10317" t="s">
        <v>7586</v>
      </c>
      <c r="F10317" t="s">
        <v>7</v>
      </c>
      <c r="G10317" t="s">
        <v>16230</v>
      </c>
      <c r="H10317" t="s">
        <v>47054</v>
      </c>
      <c r="I10317" t="s">
        <v>47118</v>
      </c>
      <c r="J10317" t="s">
        <v>47119</v>
      </c>
      <c r="K10317" t="s">
        <v>47113</v>
      </c>
      <c r="L10317">
        <v>29.9</v>
      </c>
      <c r="M10317">
        <v>56</v>
      </c>
      <c r="N10317">
        <v>0</v>
      </c>
      <c r="O10317">
        <v>56</v>
      </c>
      <c r="P10317">
        <v>0</v>
      </c>
    </row>
    <row r="10318" spans="1:16" x14ac:dyDescent="0.25">
      <c r="A10318" t="s">
        <v>32993</v>
      </c>
      <c r="B10318" t="s">
        <v>7587</v>
      </c>
      <c r="C10318" t="s">
        <v>7190</v>
      </c>
      <c r="D10318" t="str">
        <f>"2612"</f>
        <v>2612</v>
      </c>
      <c r="E10318" t="s">
        <v>7588</v>
      </c>
      <c r="F10318" t="s">
        <v>7</v>
      </c>
      <c r="G10318" t="s">
        <v>16230</v>
      </c>
      <c r="H10318" t="s">
        <v>47054</v>
      </c>
      <c r="I10318" t="s">
        <v>47118</v>
      </c>
      <c r="J10318" t="s">
        <v>47119</v>
      </c>
      <c r="K10318" t="s">
        <v>47113</v>
      </c>
      <c r="L10318">
        <v>47.51</v>
      </c>
      <c r="M10318">
        <v>58</v>
      </c>
      <c r="N10318">
        <v>0</v>
      </c>
      <c r="O10318">
        <v>58</v>
      </c>
      <c r="P10318">
        <v>0</v>
      </c>
    </row>
    <row r="10319" spans="1:16" x14ac:dyDescent="0.25">
      <c r="A10319" t="s">
        <v>32994</v>
      </c>
      <c r="B10319" t="s">
        <v>7587</v>
      </c>
      <c r="C10319" t="s">
        <v>7190</v>
      </c>
      <c r="D10319" t="str">
        <f>"4239"</f>
        <v>4239</v>
      </c>
      <c r="E10319" t="s">
        <v>7589</v>
      </c>
      <c r="F10319" t="s">
        <v>7</v>
      </c>
      <c r="G10319" t="s">
        <v>16230</v>
      </c>
      <c r="H10319" t="s">
        <v>47054</v>
      </c>
      <c r="I10319" t="s">
        <v>47118</v>
      </c>
      <c r="J10319" t="s">
        <v>47119</v>
      </c>
      <c r="K10319" t="s">
        <v>47113</v>
      </c>
      <c r="L10319">
        <v>22.73</v>
      </c>
      <c r="M10319">
        <v>56</v>
      </c>
      <c r="N10319">
        <v>0</v>
      </c>
      <c r="O10319">
        <v>56</v>
      </c>
      <c r="P10319">
        <v>0</v>
      </c>
    </row>
    <row r="10320" spans="1:16" x14ac:dyDescent="0.25">
      <c r="A10320" t="s">
        <v>32995</v>
      </c>
      <c r="B10320" t="s">
        <v>7587</v>
      </c>
      <c r="C10320" t="s">
        <v>7190</v>
      </c>
      <c r="D10320" t="str">
        <f>"6049"</f>
        <v>6049</v>
      </c>
      <c r="E10320" t="s">
        <v>7590</v>
      </c>
      <c r="F10320" t="s">
        <v>7</v>
      </c>
      <c r="G10320" t="s">
        <v>16230</v>
      </c>
      <c r="H10320" t="s">
        <v>47054</v>
      </c>
      <c r="I10320" t="s">
        <v>47118</v>
      </c>
      <c r="J10320" t="s">
        <v>47119</v>
      </c>
      <c r="K10320" t="s">
        <v>47113</v>
      </c>
      <c r="L10320">
        <v>47.51</v>
      </c>
      <c r="M10320">
        <v>58</v>
      </c>
      <c r="N10320">
        <v>0</v>
      </c>
      <c r="O10320">
        <v>58</v>
      </c>
      <c r="P10320">
        <v>0</v>
      </c>
    </row>
    <row r="10321" spans="1:16" x14ac:dyDescent="0.25">
      <c r="A10321" t="s">
        <v>32996</v>
      </c>
      <c r="B10321" t="s">
        <v>7587</v>
      </c>
      <c r="C10321" t="s">
        <v>7190</v>
      </c>
      <c r="D10321" t="str">
        <f>"6128"</f>
        <v>6128</v>
      </c>
      <c r="E10321" t="s">
        <v>7591</v>
      </c>
      <c r="F10321" t="s">
        <v>7</v>
      </c>
      <c r="G10321" t="s">
        <v>16230</v>
      </c>
      <c r="H10321" t="s">
        <v>47054</v>
      </c>
      <c r="I10321" t="s">
        <v>47118</v>
      </c>
      <c r="J10321" t="s">
        <v>47119</v>
      </c>
      <c r="K10321" t="s">
        <v>47113</v>
      </c>
      <c r="L10321">
        <v>22.73</v>
      </c>
      <c r="M10321">
        <v>56</v>
      </c>
      <c r="N10321">
        <v>0</v>
      </c>
      <c r="O10321">
        <v>56</v>
      </c>
      <c r="P10321">
        <v>0</v>
      </c>
    </row>
    <row r="10322" spans="1:16" x14ac:dyDescent="0.25">
      <c r="A10322" t="s">
        <v>32997</v>
      </c>
      <c r="B10322" t="s">
        <v>7592</v>
      </c>
      <c r="C10322" t="s">
        <v>7593</v>
      </c>
      <c r="D10322" t="str">
        <f>"4807"</f>
        <v>4807</v>
      </c>
      <c r="E10322" t="s">
        <v>7594</v>
      </c>
      <c r="F10322" t="s">
        <v>2</v>
      </c>
      <c r="G10322" t="s">
        <v>16230</v>
      </c>
      <c r="H10322" t="s">
        <v>47054</v>
      </c>
      <c r="I10322" t="s">
        <v>47120</v>
      </c>
      <c r="J10322" t="s">
        <v>47121</v>
      </c>
      <c r="K10322" t="s">
        <v>47113</v>
      </c>
      <c r="L10322">
        <v>25.26</v>
      </c>
      <c r="M10322">
        <v>65</v>
      </c>
      <c r="N10322">
        <v>0</v>
      </c>
      <c r="O10322">
        <v>65</v>
      </c>
      <c r="P10322">
        <v>0</v>
      </c>
    </row>
    <row r="10323" spans="1:16" x14ac:dyDescent="0.25">
      <c r="A10323" t="s">
        <v>32998</v>
      </c>
      <c r="B10323" t="s">
        <v>7592</v>
      </c>
      <c r="C10323" t="s">
        <v>7593</v>
      </c>
      <c r="D10323" t="str">
        <f>"8045"</f>
        <v>8045</v>
      </c>
      <c r="E10323" t="s">
        <v>7595</v>
      </c>
      <c r="F10323" t="s">
        <v>2</v>
      </c>
      <c r="G10323" t="s">
        <v>16230</v>
      </c>
      <c r="H10323" t="s">
        <v>47054</v>
      </c>
      <c r="I10323" t="s">
        <v>47120</v>
      </c>
      <c r="J10323" t="s">
        <v>47121</v>
      </c>
      <c r="K10323" t="s">
        <v>47113</v>
      </c>
      <c r="L10323">
        <v>25.26</v>
      </c>
      <c r="M10323">
        <v>65</v>
      </c>
      <c r="N10323">
        <v>0</v>
      </c>
      <c r="O10323">
        <v>65</v>
      </c>
      <c r="P10323">
        <v>0</v>
      </c>
    </row>
    <row r="10324" spans="1:16" x14ac:dyDescent="0.25">
      <c r="A10324" t="s">
        <v>17728</v>
      </c>
      <c r="B10324" t="s">
        <v>7596</v>
      </c>
      <c r="C10324" t="s">
        <v>7481</v>
      </c>
      <c r="D10324" t="str">
        <f>"1800"</f>
        <v>1800</v>
      </c>
      <c r="E10324" t="s">
        <v>1999</v>
      </c>
      <c r="F10324" t="s">
        <v>3558</v>
      </c>
      <c r="G10324" t="s">
        <v>16221</v>
      </c>
      <c r="H10324" t="s">
        <v>47054</v>
      </c>
      <c r="I10324" t="s">
        <v>47116</v>
      </c>
      <c r="J10324" t="s">
        <v>47117</v>
      </c>
      <c r="K10324" t="s">
        <v>47113</v>
      </c>
      <c r="L10324">
        <v>14.97</v>
      </c>
      <c r="M10324">
        <v>26</v>
      </c>
      <c r="N10324">
        <v>0</v>
      </c>
      <c r="O10324">
        <v>26</v>
      </c>
      <c r="P10324">
        <v>0</v>
      </c>
    </row>
    <row r="10325" spans="1:16" x14ac:dyDescent="0.25">
      <c r="A10325" t="s">
        <v>32999</v>
      </c>
      <c r="B10325" t="s">
        <v>7597</v>
      </c>
      <c r="C10325" t="s">
        <v>17729</v>
      </c>
      <c r="D10325" t="str">
        <f>"1800"</f>
        <v>1800</v>
      </c>
      <c r="E10325" t="s">
        <v>1999</v>
      </c>
      <c r="F10325" t="s">
        <v>3558</v>
      </c>
      <c r="G10325" t="s">
        <v>16221</v>
      </c>
      <c r="H10325" t="s">
        <v>47054</v>
      </c>
      <c r="I10325" t="s">
        <v>47111</v>
      </c>
      <c r="J10325" t="s">
        <v>47112</v>
      </c>
      <c r="K10325" t="s">
        <v>47113</v>
      </c>
      <c r="L10325">
        <v>16.399999999999999</v>
      </c>
      <c r="M10325">
        <v>26</v>
      </c>
      <c r="N10325">
        <v>0</v>
      </c>
      <c r="O10325">
        <v>26</v>
      </c>
      <c r="P10325">
        <v>0</v>
      </c>
    </row>
    <row r="10326" spans="1:16" x14ac:dyDescent="0.25">
      <c r="A10326" t="s">
        <v>33000</v>
      </c>
      <c r="B10326" t="s">
        <v>7597</v>
      </c>
      <c r="C10326" t="s">
        <v>17729</v>
      </c>
      <c r="D10326" t="str">
        <f>"6497"</f>
        <v>6497</v>
      </c>
      <c r="E10326" t="s">
        <v>7598</v>
      </c>
      <c r="F10326" t="s">
        <v>3558</v>
      </c>
      <c r="G10326" t="s">
        <v>16221</v>
      </c>
      <c r="H10326" t="s">
        <v>47054</v>
      </c>
      <c r="I10326" t="s">
        <v>47111</v>
      </c>
      <c r="J10326" t="s">
        <v>47112</v>
      </c>
      <c r="K10326" t="s">
        <v>47113</v>
      </c>
      <c r="L10326">
        <v>16.399999999999999</v>
      </c>
      <c r="M10326">
        <v>26</v>
      </c>
      <c r="N10326">
        <v>0</v>
      </c>
      <c r="O10326">
        <v>26</v>
      </c>
      <c r="P10326">
        <v>0</v>
      </c>
    </row>
    <row r="10327" spans="1:16" x14ac:dyDescent="0.25">
      <c r="A10327" t="s">
        <v>17730</v>
      </c>
      <c r="B10327" t="s">
        <v>7599</v>
      </c>
      <c r="C10327" t="s">
        <v>7600</v>
      </c>
      <c r="D10327" t="str">
        <f>"1001"</f>
        <v>1001</v>
      </c>
      <c r="E10327" t="s">
        <v>7601</v>
      </c>
      <c r="F10327" t="s">
        <v>3558</v>
      </c>
      <c r="G10327" t="s">
        <v>16221</v>
      </c>
      <c r="H10327" t="s">
        <v>47054</v>
      </c>
      <c r="I10327" t="s">
        <v>47569</v>
      </c>
      <c r="J10327" t="s">
        <v>47570</v>
      </c>
      <c r="K10327" t="s">
        <v>47113</v>
      </c>
      <c r="L10327">
        <v>8.73</v>
      </c>
      <c r="M10327">
        <v>26</v>
      </c>
      <c r="N10327">
        <v>0</v>
      </c>
      <c r="O10327">
        <v>26</v>
      </c>
      <c r="P10327">
        <v>0</v>
      </c>
    </row>
    <row r="10328" spans="1:16" x14ac:dyDescent="0.25">
      <c r="A10328" t="s">
        <v>17731</v>
      </c>
      <c r="B10328" t="s">
        <v>7599</v>
      </c>
      <c r="C10328" t="s">
        <v>7600</v>
      </c>
      <c r="D10328" t="str">
        <f>"1800"</f>
        <v>1800</v>
      </c>
      <c r="E10328" t="s">
        <v>1999</v>
      </c>
      <c r="F10328" t="s">
        <v>3558</v>
      </c>
      <c r="G10328" t="s">
        <v>16221</v>
      </c>
      <c r="H10328" t="s">
        <v>47054</v>
      </c>
      <c r="I10328" t="s">
        <v>47569</v>
      </c>
      <c r="J10328" t="s">
        <v>47570</v>
      </c>
      <c r="K10328" t="s">
        <v>47113</v>
      </c>
      <c r="L10328">
        <v>8.73</v>
      </c>
      <c r="M10328">
        <v>26</v>
      </c>
      <c r="N10328">
        <v>0</v>
      </c>
      <c r="O10328">
        <v>26</v>
      </c>
      <c r="P10328">
        <v>0</v>
      </c>
    </row>
    <row r="10329" spans="1:16" x14ac:dyDescent="0.25">
      <c r="A10329" t="s">
        <v>33001</v>
      </c>
      <c r="B10329" t="s">
        <v>7602</v>
      </c>
      <c r="C10329" t="s">
        <v>20542</v>
      </c>
      <c r="D10329" t="str">
        <f>"1496"</f>
        <v>1496</v>
      </c>
      <c r="E10329" t="s">
        <v>7098</v>
      </c>
      <c r="F10329" t="s">
        <v>3558</v>
      </c>
      <c r="G10329" t="s">
        <v>16221</v>
      </c>
      <c r="H10329" t="s">
        <v>47054</v>
      </c>
      <c r="I10329" t="s">
        <v>47569</v>
      </c>
      <c r="J10329" t="s">
        <v>47570</v>
      </c>
      <c r="K10329" t="s">
        <v>47113</v>
      </c>
      <c r="L10329">
        <v>25.9</v>
      </c>
      <c r="M10329">
        <v>22</v>
      </c>
      <c r="N10329">
        <v>0</v>
      </c>
      <c r="O10329">
        <v>22</v>
      </c>
      <c r="P10329">
        <v>0</v>
      </c>
    </row>
    <row r="10330" spans="1:16" x14ac:dyDescent="0.25">
      <c r="A10330" t="s">
        <v>33002</v>
      </c>
      <c r="B10330" t="s">
        <v>7602</v>
      </c>
      <c r="C10330" t="s">
        <v>20542</v>
      </c>
      <c r="D10330" t="str">
        <f>"1889"</f>
        <v>1889</v>
      </c>
      <c r="E10330" t="s">
        <v>7101</v>
      </c>
      <c r="F10330" t="s">
        <v>3558</v>
      </c>
      <c r="G10330" t="s">
        <v>16221</v>
      </c>
      <c r="H10330" t="s">
        <v>47054</v>
      </c>
      <c r="I10330" t="s">
        <v>47569</v>
      </c>
      <c r="J10330" t="s">
        <v>47570</v>
      </c>
      <c r="K10330" t="s">
        <v>47113</v>
      </c>
      <c r="L10330">
        <v>25.9</v>
      </c>
      <c r="M10330">
        <v>22</v>
      </c>
      <c r="N10330">
        <v>0</v>
      </c>
      <c r="O10330">
        <v>22</v>
      </c>
      <c r="P10330">
        <v>0</v>
      </c>
    </row>
    <row r="10331" spans="1:16" x14ac:dyDescent="0.25">
      <c r="A10331" t="s">
        <v>33003</v>
      </c>
      <c r="B10331" t="s">
        <v>7602</v>
      </c>
      <c r="C10331" t="s">
        <v>20542</v>
      </c>
      <c r="D10331" t="str">
        <f>"4108"</f>
        <v>4108</v>
      </c>
      <c r="E10331" t="s">
        <v>6277</v>
      </c>
      <c r="F10331" t="s">
        <v>3558</v>
      </c>
      <c r="G10331" t="s">
        <v>16221</v>
      </c>
      <c r="H10331" t="s">
        <v>47054</v>
      </c>
      <c r="I10331" t="s">
        <v>47569</v>
      </c>
      <c r="J10331" t="s">
        <v>47570</v>
      </c>
      <c r="K10331" t="s">
        <v>47113</v>
      </c>
      <c r="L10331">
        <v>25.9</v>
      </c>
      <c r="M10331">
        <v>22</v>
      </c>
      <c r="N10331">
        <v>0</v>
      </c>
      <c r="O10331">
        <v>22</v>
      </c>
      <c r="P10331">
        <v>0</v>
      </c>
    </row>
    <row r="10332" spans="1:16" x14ac:dyDescent="0.25">
      <c r="A10332" t="s">
        <v>33004</v>
      </c>
      <c r="B10332" t="s">
        <v>14258</v>
      </c>
      <c r="C10332" t="s">
        <v>14259</v>
      </c>
      <c r="D10332" t="str">
        <f>"3105"</f>
        <v>3105</v>
      </c>
      <c r="E10332" t="s">
        <v>8217</v>
      </c>
      <c r="F10332" t="s">
        <v>3750</v>
      </c>
      <c r="G10332" t="s">
        <v>16448</v>
      </c>
      <c r="H10332" t="s">
        <v>47054</v>
      </c>
      <c r="I10332" t="s">
        <v>47120</v>
      </c>
      <c r="J10332" t="s">
        <v>47121</v>
      </c>
      <c r="K10332" t="s">
        <v>47113</v>
      </c>
      <c r="L10332">
        <v>44.96</v>
      </c>
      <c r="M10332">
        <v>173</v>
      </c>
      <c r="N10332">
        <v>0</v>
      </c>
      <c r="O10332">
        <v>173</v>
      </c>
      <c r="P10332">
        <v>0</v>
      </c>
    </row>
    <row r="10333" spans="1:16" x14ac:dyDescent="0.25">
      <c r="A10333" t="s">
        <v>33005</v>
      </c>
      <c r="B10333" t="s">
        <v>14258</v>
      </c>
      <c r="C10333" t="s">
        <v>14259</v>
      </c>
      <c r="D10333" t="str">
        <f>"4100"</f>
        <v>4100</v>
      </c>
      <c r="E10333" t="s">
        <v>2383</v>
      </c>
      <c r="F10333" t="s">
        <v>3750</v>
      </c>
      <c r="G10333" t="s">
        <v>16448</v>
      </c>
      <c r="H10333" t="s">
        <v>47054</v>
      </c>
      <c r="I10333" t="s">
        <v>47120</v>
      </c>
      <c r="J10333" t="s">
        <v>47121</v>
      </c>
      <c r="K10333" t="s">
        <v>47113</v>
      </c>
      <c r="L10333">
        <v>44.96</v>
      </c>
      <c r="M10333">
        <v>173</v>
      </c>
      <c r="N10333">
        <v>0</v>
      </c>
      <c r="O10333">
        <v>173</v>
      </c>
      <c r="P10333">
        <v>0</v>
      </c>
    </row>
    <row r="10334" spans="1:16" x14ac:dyDescent="0.25">
      <c r="A10334" t="s">
        <v>33006</v>
      </c>
      <c r="B10334" t="s">
        <v>7603</v>
      </c>
      <c r="C10334" t="s">
        <v>7604</v>
      </c>
      <c r="D10334" t="str">
        <f>"1193"</f>
        <v>1193</v>
      </c>
      <c r="E10334" t="s">
        <v>7605</v>
      </c>
      <c r="F10334" t="s">
        <v>2</v>
      </c>
      <c r="G10334" t="s">
        <v>16235</v>
      </c>
      <c r="H10334" t="s">
        <v>47054</v>
      </c>
      <c r="I10334" t="s">
        <v>47139</v>
      </c>
      <c r="J10334" t="s">
        <v>47140</v>
      </c>
      <c r="K10334" t="s">
        <v>47113</v>
      </c>
      <c r="L10334">
        <v>26.22</v>
      </c>
      <c r="M10334">
        <v>67</v>
      </c>
      <c r="N10334">
        <v>0</v>
      </c>
      <c r="O10334">
        <v>67</v>
      </c>
      <c r="P10334">
        <v>0</v>
      </c>
    </row>
    <row r="10335" spans="1:16" x14ac:dyDescent="0.25">
      <c r="A10335" t="s">
        <v>33007</v>
      </c>
      <c r="B10335" t="s">
        <v>7606</v>
      </c>
      <c r="C10335" t="s">
        <v>7607</v>
      </c>
      <c r="D10335" t="str">
        <f>"4493"</f>
        <v>4493</v>
      </c>
      <c r="E10335" t="s">
        <v>7608</v>
      </c>
      <c r="F10335" t="s">
        <v>2</v>
      </c>
      <c r="G10335" t="s">
        <v>16235</v>
      </c>
      <c r="H10335" t="s">
        <v>47054</v>
      </c>
      <c r="I10335" t="s">
        <v>47139</v>
      </c>
      <c r="J10335" t="s">
        <v>47140</v>
      </c>
      <c r="K10335" t="s">
        <v>47113</v>
      </c>
      <c r="L10335">
        <v>26.45</v>
      </c>
      <c r="M10335">
        <v>68</v>
      </c>
      <c r="N10335">
        <v>0</v>
      </c>
      <c r="O10335">
        <v>68</v>
      </c>
      <c r="P10335">
        <v>0</v>
      </c>
    </row>
    <row r="10336" spans="1:16" x14ac:dyDescent="0.25">
      <c r="A10336" t="s">
        <v>33008</v>
      </c>
      <c r="B10336" t="s">
        <v>7609</v>
      </c>
      <c r="C10336" t="s">
        <v>7610</v>
      </c>
      <c r="D10336" t="str">
        <f>"1746"</f>
        <v>1746</v>
      </c>
      <c r="E10336" t="s">
        <v>807</v>
      </c>
      <c r="F10336" t="s">
        <v>2</v>
      </c>
      <c r="G10336" t="s">
        <v>16221</v>
      </c>
      <c r="H10336" t="s">
        <v>47054</v>
      </c>
      <c r="I10336" t="s">
        <v>47111</v>
      </c>
      <c r="J10336" t="s">
        <v>47112</v>
      </c>
      <c r="K10336" t="s">
        <v>47113</v>
      </c>
      <c r="L10336">
        <v>10.18</v>
      </c>
      <c r="M10336">
        <v>28</v>
      </c>
      <c r="N10336">
        <v>0</v>
      </c>
      <c r="O10336">
        <v>28</v>
      </c>
      <c r="P10336">
        <v>0</v>
      </c>
    </row>
    <row r="10337" spans="1:16" x14ac:dyDescent="0.25">
      <c r="A10337" t="s">
        <v>33009</v>
      </c>
      <c r="B10337" t="s">
        <v>7611</v>
      </c>
      <c r="C10337" t="s">
        <v>7612</v>
      </c>
      <c r="D10337" t="str">
        <f>"4134"</f>
        <v>4134</v>
      </c>
      <c r="E10337" t="s">
        <v>6455</v>
      </c>
      <c r="F10337" t="s">
        <v>2</v>
      </c>
      <c r="G10337" t="s">
        <v>16221</v>
      </c>
      <c r="H10337" t="s">
        <v>47054</v>
      </c>
      <c r="I10337" t="s">
        <v>47111</v>
      </c>
      <c r="J10337" t="s">
        <v>47112</v>
      </c>
      <c r="K10337" t="s">
        <v>47113</v>
      </c>
      <c r="L10337">
        <v>11.73</v>
      </c>
      <c r="M10337">
        <v>32</v>
      </c>
      <c r="N10337">
        <v>0</v>
      </c>
      <c r="O10337">
        <v>32</v>
      </c>
      <c r="P10337">
        <v>0</v>
      </c>
    </row>
    <row r="10338" spans="1:16" x14ac:dyDescent="0.25">
      <c r="A10338" t="s">
        <v>33010</v>
      </c>
      <c r="B10338" t="s">
        <v>7613</v>
      </c>
      <c r="C10338" t="s">
        <v>7614</v>
      </c>
      <c r="D10338" t="str">
        <f>"3045"</f>
        <v>3045</v>
      </c>
      <c r="E10338" t="s">
        <v>6491</v>
      </c>
      <c r="F10338" t="s">
        <v>2</v>
      </c>
      <c r="G10338" t="s">
        <v>16221</v>
      </c>
      <c r="H10338" t="s">
        <v>47054</v>
      </c>
      <c r="I10338" t="s">
        <v>47111</v>
      </c>
      <c r="J10338" t="s">
        <v>47112</v>
      </c>
      <c r="K10338" t="s">
        <v>47113</v>
      </c>
      <c r="L10338">
        <v>12.06</v>
      </c>
      <c r="M10338">
        <v>33</v>
      </c>
      <c r="N10338">
        <v>0</v>
      </c>
      <c r="O10338">
        <v>33</v>
      </c>
      <c r="P10338">
        <v>0</v>
      </c>
    </row>
    <row r="10339" spans="1:16" x14ac:dyDescent="0.25">
      <c r="A10339" t="s">
        <v>33011</v>
      </c>
      <c r="B10339" t="s">
        <v>7615</v>
      </c>
      <c r="C10339" t="s">
        <v>7616</v>
      </c>
      <c r="D10339" t="str">
        <f>"4529"</f>
        <v>4529</v>
      </c>
      <c r="E10339" t="s">
        <v>1184</v>
      </c>
      <c r="F10339" t="s">
        <v>2</v>
      </c>
      <c r="G10339" t="s">
        <v>16221</v>
      </c>
      <c r="H10339" t="s">
        <v>47054</v>
      </c>
      <c r="I10339" t="s">
        <v>47111</v>
      </c>
      <c r="J10339" t="s">
        <v>47112</v>
      </c>
      <c r="K10339" t="s">
        <v>47113</v>
      </c>
      <c r="L10339">
        <v>14.68</v>
      </c>
      <c r="M10339">
        <v>32</v>
      </c>
      <c r="N10339">
        <v>0</v>
      </c>
      <c r="O10339">
        <v>32</v>
      </c>
      <c r="P10339">
        <v>0</v>
      </c>
    </row>
    <row r="10340" spans="1:16" x14ac:dyDescent="0.25">
      <c r="A10340" t="s">
        <v>33012</v>
      </c>
      <c r="B10340" t="s">
        <v>7617</v>
      </c>
      <c r="C10340" t="s">
        <v>7618</v>
      </c>
      <c r="D10340" t="str">
        <f>"1746"</f>
        <v>1746</v>
      </c>
      <c r="E10340" t="s">
        <v>807</v>
      </c>
      <c r="F10340" t="s">
        <v>2</v>
      </c>
      <c r="G10340" t="s">
        <v>16221</v>
      </c>
      <c r="H10340" t="s">
        <v>47054</v>
      </c>
      <c r="I10340" t="s">
        <v>47111</v>
      </c>
      <c r="J10340" t="s">
        <v>47112</v>
      </c>
      <c r="K10340" t="s">
        <v>47113</v>
      </c>
      <c r="L10340">
        <v>11.65</v>
      </c>
      <c r="M10340">
        <v>32</v>
      </c>
      <c r="N10340">
        <v>0</v>
      </c>
      <c r="O10340">
        <v>32</v>
      </c>
      <c r="P10340">
        <v>0</v>
      </c>
    </row>
    <row r="10341" spans="1:16" x14ac:dyDescent="0.25">
      <c r="A10341" t="s">
        <v>33013</v>
      </c>
      <c r="B10341" t="s">
        <v>7619</v>
      </c>
      <c r="C10341" t="s">
        <v>7620</v>
      </c>
      <c r="D10341" t="str">
        <f>"1033"</f>
        <v>1033</v>
      </c>
      <c r="E10341" t="s">
        <v>1195</v>
      </c>
      <c r="F10341" t="s">
        <v>4</v>
      </c>
      <c r="G10341" t="s">
        <v>16221</v>
      </c>
      <c r="H10341" t="s">
        <v>47054</v>
      </c>
      <c r="I10341" t="s">
        <v>47111</v>
      </c>
      <c r="J10341" t="s">
        <v>47112</v>
      </c>
      <c r="K10341" t="s">
        <v>47113</v>
      </c>
      <c r="L10341">
        <v>15.72</v>
      </c>
      <c r="M10341">
        <v>38</v>
      </c>
      <c r="N10341">
        <v>0</v>
      </c>
      <c r="O10341">
        <v>38</v>
      </c>
      <c r="P10341">
        <v>0</v>
      </c>
    </row>
    <row r="10342" spans="1:16" x14ac:dyDescent="0.25">
      <c r="A10342" t="s">
        <v>33014</v>
      </c>
      <c r="B10342" t="s">
        <v>7621</v>
      </c>
      <c r="C10342" t="s">
        <v>7622</v>
      </c>
      <c r="D10342" t="str">
        <f>"1746"</f>
        <v>1746</v>
      </c>
      <c r="E10342" t="s">
        <v>807</v>
      </c>
      <c r="F10342" t="s">
        <v>3</v>
      </c>
      <c r="G10342" t="s">
        <v>16221</v>
      </c>
      <c r="H10342" t="s">
        <v>47054</v>
      </c>
      <c r="I10342" t="s">
        <v>47111</v>
      </c>
      <c r="J10342" t="s">
        <v>47112</v>
      </c>
      <c r="K10342" t="s">
        <v>47113</v>
      </c>
      <c r="L10342">
        <v>11.36</v>
      </c>
      <c r="M10342">
        <v>31</v>
      </c>
      <c r="N10342">
        <v>0</v>
      </c>
      <c r="O10342">
        <v>31</v>
      </c>
      <c r="P10342">
        <v>0</v>
      </c>
    </row>
    <row r="10343" spans="1:16" x14ac:dyDescent="0.25">
      <c r="A10343" t="s">
        <v>33015</v>
      </c>
      <c r="B10343" t="s">
        <v>7623</v>
      </c>
      <c r="C10343" t="s">
        <v>7624</v>
      </c>
      <c r="D10343" t="str">
        <f>"1746"</f>
        <v>1746</v>
      </c>
      <c r="E10343" t="s">
        <v>807</v>
      </c>
      <c r="F10343" t="s">
        <v>3</v>
      </c>
      <c r="G10343" t="s">
        <v>16221</v>
      </c>
      <c r="H10343" t="s">
        <v>47054</v>
      </c>
      <c r="I10343" t="s">
        <v>47139</v>
      </c>
      <c r="J10343" t="s">
        <v>47140</v>
      </c>
      <c r="K10343" t="s">
        <v>47113</v>
      </c>
      <c r="L10343">
        <v>9.3800000000000008</v>
      </c>
      <c r="M10343">
        <v>27</v>
      </c>
      <c r="N10343">
        <v>0</v>
      </c>
      <c r="O10343">
        <v>27</v>
      </c>
      <c r="P10343">
        <v>0</v>
      </c>
    </row>
    <row r="10344" spans="1:16" x14ac:dyDescent="0.25">
      <c r="A10344" t="s">
        <v>33016</v>
      </c>
      <c r="B10344" t="s">
        <v>7623</v>
      </c>
      <c r="C10344" t="s">
        <v>7624</v>
      </c>
      <c r="D10344" t="str">
        <f>"4134"</f>
        <v>4134</v>
      </c>
      <c r="E10344" t="s">
        <v>6455</v>
      </c>
      <c r="F10344" t="s">
        <v>3</v>
      </c>
      <c r="G10344" t="s">
        <v>16221</v>
      </c>
      <c r="H10344" t="s">
        <v>47054</v>
      </c>
      <c r="I10344" t="s">
        <v>47139</v>
      </c>
      <c r="J10344" t="s">
        <v>47140</v>
      </c>
      <c r="K10344" t="s">
        <v>47113</v>
      </c>
      <c r="L10344">
        <v>9.7200000000000006</v>
      </c>
      <c r="M10344">
        <v>27</v>
      </c>
      <c r="N10344">
        <v>0</v>
      </c>
      <c r="O10344">
        <v>27</v>
      </c>
      <c r="P10344">
        <v>0</v>
      </c>
    </row>
    <row r="10345" spans="1:16" x14ac:dyDescent="0.25">
      <c r="A10345" t="s">
        <v>33017</v>
      </c>
      <c r="B10345" t="s">
        <v>7623</v>
      </c>
      <c r="C10345" t="s">
        <v>7624</v>
      </c>
      <c r="D10345" t="str">
        <f>"4434"</f>
        <v>4434</v>
      </c>
      <c r="E10345" t="s">
        <v>6450</v>
      </c>
      <c r="F10345" t="s">
        <v>3</v>
      </c>
      <c r="G10345" t="s">
        <v>16221</v>
      </c>
      <c r="H10345" t="s">
        <v>47054</v>
      </c>
      <c r="I10345" t="s">
        <v>47139</v>
      </c>
      <c r="J10345" t="s">
        <v>47140</v>
      </c>
      <c r="K10345" t="s">
        <v>47113</v>
      </c>
      <c r="L10345">
        <v>9.7200000000000006</v>
      </c>
      <c r="M10345">
        <v>27</v>
      </c>
      <c r="N10345">
        <v>0</v>
      </c>
      <c r="O10345">
        <v>27</v>
      </c>
      <c r="P10345">
        <v>0</v>
      </c>
    </row>
    <row r="10346" spans="1:16" x14ac:dyDescent="0.25">
      <c r="A10346" t="s">
        <v>33018</v>
      </c>
      <c r="B10346" t="s">
        <v>7625</v>
      </c>
      <c r="C10346" t="s">
        <v>7626</v>
      </c>
      <c r="D10346" t="str">
        <f>"1746"</f>
        <v>1746</v>
      </c>
      <c r="E10346" t="s">
        <v>807</v>
      </c>
      <c r="F10346" t="s">
        <v>3</v>
      </c>
      <c r="G10346" t="s">
        <v>16221</v>
      </c>
      <c r="H10346" t="s">
        <v>47054</v>
      </c>
      <c r="I10346" t="s">
        <v>47139</v>
      </c>
      <c r="J10346" t="s">
        <v>47140</v>
      </c>
      <c r="K10346" t="s">
        <v>47113</v>
      </c>
      <c r="L10346">
        <v>10.53</v>
      </c>
      <c r="M10346">
        <v>27</v>
      </c>
      <c r="N10346">
        <v>0</v>
      </c>
      <c r="O10346">
        <v>27</v>
      </c>
      <c r="P10346">
        <v>0</v>
      </c>
    </row>
    <row r="10347" spans="1:16" x14ac:dyDescent="0.25">
      <c r="A10347" t="s">
        <v>33019</v>
      </c>
      <c r="B10347" t="s">
        <v>7625</v>
      </c>
      <c r="C10347" t="s">
        <v>7626</v>
      </c>
      <c r="D10347" t="str">
        <f>"4584"</f>
        <v>4584</v>
      </c>
      <c r="E10347" t="s">
        <v>7627</v>
      </c>
      <c r="F10347" t="s">
        <v>3</v>
      </c>
      <c r="G10347" t="s">
        <v>16221</v>
      </c>
      <c r="H10347" t="s">
        <v>47054</v>
      </c>
      <c r="I10347" t="s">
        <v>47139</v>
      </c>
      <c r="J10347" t="s">
        <v>47140</v>
      </c>
      <c r="K10347" t="s">
        <v>47113</v>
      </c>
      <c r="L10347">
        <v>10.79</v>
      </c>
      <c r="M10347">
        <v>27</v>
      </c>
      <c r="N10347">
        <v>0</v>
      </c>
      <c r="O10347">
        <v>27</v>
      </c>
      <c r="P10347">
        <v>0</v>
      </c>
    </row>
    <row r="10348" spans="1:16" x14ac:dyDescent="0.25">
      <c r="A10348" t="s">
        <v>33020</v>
      </c>
      <c r="B10348" t="s">
        <v>7625</v>
      </c>
      <c r="C10348" t="s">
        <v>7626</v>
      </c>
      <c r="D10348" t="str">
        <f>"6030"</f>
        <v>6030</v>
      </c>
      <c r="E10348" t="s">
        <v>2753</v>
      </c>
      <c r="F10348" t="s">
        <v>3</v>
      </c>
      <c r="G10348" t="s">
        <v>16221</v>
      </c>
      <c r="H10348" t="s">
        <v>47054</v>
      </c>
      <c r="I10348" t="s">
        <v>47139</v>
      </c>
      <c r="J10348" t="s">
        <v>47140</v>
      </c>
      <c r="K10348" t="s">
        <v>47113</v>
      </c>
      <c r="L10348">
        <v>10.79</v>
      </c>
      <c r="M10348">
        <v>27</v>
      </c>
      <c r="N10348">
        <v>0</v>
      </c>
      <c r="O10348">
        <v>27</v>
      </c>
      <c r="P10348">
        <v>0</v>
      </c>
    </row>
    <row r="10349" spans="1:16" x14ac:dyDescent="0.25">
      <c r="A10349" t="s">
        <v>33021</v>
      </c>
      <c r="B10349" t="s">
        <v>7628</v>
      </c>
      <c r="C10349" t="s">
        <v>2759</v>
      </c>
      <c r="D10349" t="str">
        <f>"1033"</f>
        <v>1033</v>
      </c>
      <c r="E10349" t="s">
        <v>1195</v>
      </c>
      <c r="F10349" t="s">
        <v>5</v>
      </c>
      <c r="G10349" t="s">
        <v>16221</v>
      </c>
      <c r="H10349" t="s">
        <v>47054</v>
      </c>
      <c r="I10349" t="s">
        <v>47111</v>
      </c>
      <c r="J10349" t="s">
        <v>47112</v>
      </c>
      <c r="K10349" t="s">
        <v>47113</v>
      </c>
      <c r="L10349">
        <v>13.72</v>
      </c>
      <c r="M10349">
        <v>27</v>
      </c>
      <c r="N10349">
        <v>0</v>
      </c>
      <c r="O10349">
        <v>27</v>
      </c>
      <c r="P10349">
        <v>0</v>
      </c>
    </row>
    <row r="10350" spans="1:16" x14ac:dyDescent="0.25">
      <c r="A10350" t="s">
        <v>33022</v>
      </c>
      <c r="B10350" t="s">
        <v>7628</v>
      </c>
      <c r="C10350" t="s">
        <v>2759</v>
      </c>
      <c r="D10350" t="str">
        <f>"1746"</f>
        <v>1746</v>
      </c>
      <c r="E10350" t="s">
        <v>807</v>
      </c>
      <c r="F10350" t="s">
        <v>5</v>
      </c>
      <c r="G10350" t="s">
        <v>16221</v>
      </c>
      <c r="H10350" t="s">
        <v>47054</v>
      </c>
      <c r="I10350" t="s">
        <v>47111</v>
      </c>
      <c r="J10350" t="s">
        <v>47112</v>
      </c>
      <c r="K10350" t="s">
        <v>47113</v>
      </c>
      <c r="L10350">
        <v>11.99</v>
      </c>
      <c r="M10350">
        <v>27</v>
      </c>
      <c r="N10350">
        <v>0</v>
      </c>
      <c r="O10350">
        <v>27</v>
      </c>
      <c r="P10350">
        <v>0</v>
      </c>
    </row>
    <row r="10351" spans="1:16" x14ac:dyDescent="0.25">
      <c r="A10351" t="s">
        <v>33023</v>
      </c>
      <c r="B10351" t="s">
        <v>7628</v>
      </c>
      <c r="C10351" t="s">
        <v>2759</v>
      </c>
      <c r="D10351" t="str">
        <f>"4134"</f>
        <v>4134</v>
      </c>
      <c r="E10351" t="s">
        <v>6455</v>
      </c>
      <c r="F10351" t="s">
        <v>5</v>
      </c>
      <c r="G10351" t="s">
        <v>16221</v>
      </c>
      <c r="H10351" t="s">
        <v>47054</v>
      </c>
      <c r="I10351" t="s">
        <v>47111</v>
      </c>
      <c r="J10351" t="s">
        <v>47112</v>
      </c>
      <c r="K10351" t="s">
        <v>47113</v>
      </c>
      <c r="L10351">
        <v>13.72</v>
      </c>
      <c r="M10351">
        <v>27</v>
      </c>
      <c r="N10351">
        <v>0</v>
      </c>
      <c r="O10351">
        <v>27</v>
      </c>
      <c r="P10351">
        <v>0</v>
      </c>
    </row>
    <row r="10352" spans="1:16" x14ac:dyDescent="0.25">
      <c r="A10352" t="s">
        <v>33024</v>
      </c>
      <c r="B10352" t="s">
        <v>7628</v>
      </c>
      <c r="C10352" t="s">
        <v>2759</v>
      </c>
      <c r="D10352" t="str">
        <f>"4434"</f>
        <v>4434</v>
      </c>
      <c r="E10352" t="s">
        <v>6450</v>
      </c>
      <c r="F10352" t="s">
        <v>5</v>
      </c>
      <c r="G10352" t="s">
        <v>16221</v>
      </c>
      <c r="H10352" t="s">
        <v>47054</v>
      </c>
      <c r="I10352" t="s">
        <v>47111</v>
      </c>
      <c r="J10352" t="s">
        <v>47112</v>
      </c>
      <c r="K10352" t="s">
        <v>47113</v>
      </c>
      <c r="L10352">
        <v>13.72</v>
      </c>
      <c r="M10352">
        <v>27</v>
      </c>
      <c r="N10352">
        <v>0</v>
      </c>
      <c r="O10352">
        <v>27</v>
      </c>
      <c r="P10352">
        <v>0</v>
      </c>
    </row>
    <row r="10353" spans="1:16" x14ac:dyDescent="0.25">
      <c r="A10353" t="s">
        <v>33025</v>
      </c>
      <c r="B10353" t="s">
        <v>7628</v>
      </c>
      <c r="C10353" t="s">
        <v>2759</v>
      </c>
      <c r="D10353" t="str">
        <f>"6050"</f>
        <v>6050</v>
      </c>
      <c r="E10353" t="s">
        <v>6890</v>
      </c>
      <c r="F10353" t="s">
        <v>5</v>
      </c>
      <c r="G10353" t="s">
        <v>16221</v>
      </c>
      <c r="H10353" t="s">
        <v>47054</v>
      </c>
      <c r="I10353" t="s">
        <v>47111</v>
      </c>
      <c r="J10353" t="s">
        <v>47112</v>
      </c>
      <c r="K10353" t="s">
        <v>47113</v>
      </c>
      <c r="L10353">
        <v>13.72</v>
      </c>
      <c r="M10353">
        <v>27</v>
      </c>
      <c r="N10353">
        <v>0</v>
      </c>
      <c r="O10353">
        <v>27</v>
      </c>
      <c r="P10353">
        <v>0</v>
      </c>
    </row>
    <row r="10354" spans="1:16" x14ac:dyDescent="0.25">
      <c r="A10354" t="s">
        <v>33026</v>
      </c>
      <c r="B10354" t="s">
        <v>7629</v>
      </c>
      <c r="C10354" t="s">
        <v>7630</v>
      </c>
      <c r="D10354" t="str">
        <f>"1100"</f>
        <v>1100</v>
      </c>
      <c r="E10354" t="s">
        <v>7631</v>
      </c>
      <c r="F10354" t="s">
        <v>5</v>
      </c>
      <c r="G10354" t="s">
        <v>16221</v>
      </c>
      <c r="H10354" t="s">
        <v>47054</v>
      </c>
      <c r="I10354" t="s">
        <v>47111</v>
      </c>
      <c r="J10354" t="s">
        <v>47112</v>
      </c>
      <c r="K10354" t="s">
        <v>47113</v>
      </c>
      <c r="L10354">
        <v>14.19</v>
      </c>
      <c r="M10354">
        <v>27</v>
      </c>
      <c r="N10354">
        <v>0</v>
      </c>
      <c r="O10354">
        <v>27</v>
      </c>
      <c r="P10354">
        <v>0</v>
      </c>
    </row>
    <row r="10355" spans="1:16" x14ac:dyDescent="0.25">
      <c r="A10355" t="s">
        <v>33027</v>
      </c>
      <c r="B10355" t="s">
        <v>7629</v>
      </c>
      <c r="C10355" t="s">
        <v>7630</v>
      </c>
      <c r="D10355" t="str">
        <f>"1746"</f>
        <v>1746</v>
      </c>
      <c r="E10355" t="s">
        <v>807</v>
      </c>
      <c r="F10355" t="s">
        <v>5</v>
      </c>
      <c r="G10355" t="s">
        <v>16221</v>
      </c>
      <c r="H10355" t="s">
        <v>47054</v>
      </c>
      <c r="I10355" t="s">
        <v>47111</v>
      </c>
      <c r="J10355" t="s">
        <v>47112</v>
      </c>
      <c r="K10355" t="s">
        <v>47113</v>
      </c>
      <c r="L10355">
        <v>10.91</v>
      </c>
      <c r="M10355">
        <v>27</v>
      </c>
      <c r="N10355">
        <v>0</v>
      </c>
      <c r="O10355">
        <v>27</v>
      </c>
      <c r="P10355">
        <v>0</v>
      </c>
    </row>
    <row r="10356" spans="1:16" x14ac:dyDescent="0.25">
      <c r="A10356" t="s">
        <v>33028</v>
      </c>
      <c r="B10356" t="s">
        <v>7629</v>
      </c>
      <c r="C10356" t="s">
        <v>7630</v>
      </c>
      <c r="D10356" t="str">
        <f>"4597"</f>
        <v>4597</v>
      </c>
      <c r="E10356" t="s">
        <v>7632</v>
      </c>
      <c r="F10356" t="s">
        <v>5</v>
      </c>
      <c r="G10356" t="s">
        <v>16221</v>
      </c>
      <c r="H10356" t="s">
        <v>47054</v>
      </c>
      <c r="I10356" t="s">
        <v>47111</v>
      </c>
      <c r="J10356" t="s">
        <v>47112</v>
      </c>
      <c r="K10356" t="s">
        <v>47113</v>
      </c>
      <c r="L10356">
        <v>14.39</v>
      </c>
      <c r="M10356">
        <v>27</v>
      </c>
      <c r="N10356">
        <v>0</v>
      </c>
      <c r="O10356">
        <v>27</v>
      </c>
      <c r="P10356">
        <v>0</v>
      </c>
    </row>
    <row r="10357" spans="1:16" x14ac:dyDescent="0.25">
      <c r="A10357" t="s">
        <v>33029</v>
      </c>
      <c r="B10357" t="s">
        <v>7629</v>
      </c>
      <c r="C10357" t="s">
        <v>7630</v>
      </c>
      <c r="D10357" t="str">
        <f>"6333"</f>
        <v>6333</v>
      </c>
      <c r="E10357" t="s">
        <v>7633</v>
      </c>
      <c r="F10357" t="s">
        <v>5</v>
      </c>
      <c r="G10357" t="s">
        <v>16221</v>
      </c>
      <c r="H10357" t="s">
        <v>47054</v>
      </c>
      <c r="I10357" t="s">
        <v>47111</v>
      </c>
      <c r="J10357" t="s">
        <v>47112</v>
      </c>
      <c r="K10357" t="s">
        <v>47113</v>
      </c>
      <c r="L10357">
        <v>14.39</v>
      </c>
      <c r="M10357">
        <v>27</v>
      </c>
      <c r="N10357">
        <v>0</v>
      </c>
      <c r="O10357">
        <v>27</v>
      </c>
      <c r="P10357">
        <v>0</v>
      </c>
    </row>
    <row r="10358" spans="1:16" x14ac:dyDescent="0.25">
      <c r="A10358" t="s">
        <v>33030</v>
      </c>
      <c r="B10358" t="s">
        <v>7629</v>
      </c>
      <c r="C10358" t="s">
        <v>7630</v>
      </c>
      <c r="D10358" t="str">
        <f>"8052"</f>
        <v>8052</v>
      </c>
      <c r="E10358" t="s">
        <v>7634</v>
      </c>
      <c r="F10358" t="s">
        <v>5</v>
      </c>
      <c r="G10358" t="s">
        <v>16221</v>
      </c>
      <c r="H10358" t="s">
        <v>47054</v>
      </c>
      <c r="I10358" t="s">
        <v>47111</v>
      </c>
      <c r="J10358" t="s">
        <v>47112</v>
      </c>
      <c r="K10358" t="s">
        <v>47113</v>
      </c>
      <c r="L10358">
        <v>14.39</v>
      </c>
      <c r="M10358">
        <v>27</v>
      </c>
      <c r="N10358">
        <v>0</v>
      </c>
      <c r="O10358">
        <v>27</v>
      </c>
      <c r="P10358">
        <v>0</v>
      </c>
    </row>
    <row r="10359" spans="1:16" x14ac:dyDescent="0.25">
      <c r="A10359" t="s">
        <v>33031</v>
      </c>
      <c r="B10359" t="s">
        <v>7635</v>
      </c>
      <c r="C10359" t="s">
        <v>7636</v>
      </c>
      <c r="D10359" t="str">
        <f>"1746"</f>
        <v>1746</v>
      </c>
      <c r="E10359" t="s">
        <v>807</v>
      </c>
      <c r="F10359" t="s">
        <v>5</v>
      </c>
      <c r="G10359" t="s">
        <v>16221</v>
      </c>
      <c r="H10359" t="s">
        <v>47054</v>
      </c>
      <c r="I10359" t="s">
        <v>47111</v>
      </c>
      <c r="J10359" t="s">
        <v>47112</v>
      </c>
      <c r="K10359" t="s">
        <v>47113</v>
      </c>
      <c r="L10359">
        <v>11.6</v>
      </c>
      <c r="M10359">
        <v>27</v>
      </c>
      <c r="N10359">
        <v>0</v>
      </c>
      <c r="O10359">
        <v>27</v>
      </c>
      <c r="P10359">
        <v>0</v>
      </c>
    </row>
    <row r="10360" spans="1:16" x14ac:dyDescent="0.25">
      <c r="A10360" t="s">
        <v>33032</v>
      </c>
      <c r="B10360" t="s">
        <v>7637</v>
      </c>
      <c r="C10360" t="s">
        <v>7638</v>
      </c>
      <c r="D10360" t="str">
        <f>"6332"</f>
        <v>6332</v>
      </c>
      <c r="E10360" t="s">
        <v>6458</v>
      </c>
      <c r="F10360" t="s">
        <v>5</v>
      </c>
      <c r="G10360" t="s">
        <v>16221</v>
      </c>
      <c r="H10360" t="s">
        <v>47054</v>
      </c>
      <c r="I10360" t="s">
        <v>47111</v>
      </c>
      <c r="J10360" t="s">
        <v>47112</v>
      </c>
      <c r="K10360" t="s">
        <v>47113</v>
      </c>
      <c r="L10360">
        <v>13.99</v>
      </c>
      <c r="M10360">
        <v>27</v>
      </c>
      <c r="N10360">
        <v>0</v>
      </c>
      <c r="O10360">
        <v>27</v>
      </c>
      <c r="P10360">
        <v>0</v>
      </c>
    </row>
    <row r="10361" spans="1:16" x14ac:dyDescent="0.25">
      <c r="A10361" t="s">
        <v>33033</v>
      </c>
      <c r="B10361" t="s">
        <v>7639</v>
      </c>
      <c r="C10361" t="s">
        <v>7640</v>
      </c>
      <c r="D10361" t="str">
        <f>"1033"</f>
        <v>1033</v>
      </c>
      <c r="E10361" t="s">
        <v>1195</v>
      </c>
      <c r="F10361" t="s">
        <v>5</v>
      </c>
      <c r="G10361" t="s">
        <v>16221</v>
      </c>
      <c r="H10361" t="s">
        <v>47054</v>
      </c>
      <c r="I10361" t="s">
        <v>47111</v>
      </c>
      <c r="J10361" t="s">
        <v>47112</v>
      </c>
      <c r="K10361" t="s">
        <v>47113</v>
      </c>
      <c r="L10361">
        <v>13.67</v>
      </c>
      <c r="M10361">
        <v>27</v>
      </c>
      <c r="N10361">
        <v>0</v>
      </c>
      <c r="O10361">
        <v>27</v>
      </c>
      <c r="P10361">
        <v>0</v>
      </c>
    </row>
    <row r="10362" spans="1:16" x14ac:dyDescent="0.25">
      <c r="A10362" t="s">
        <v>33034</v>
      </c>
      <c r="B10362" t="s">
        <v>7641</v>
      </c>
      <c r="C10362" t="s">
        <v>7642</v>
      </c>
      <c r="D10362" t="str">
        <f>"4134"</f>
        <v>4134</v>
      </c>
      <c r="E10362" t="s">
        <v>6455</v>
      </c>
      <c r="F10362" t="s">
        <v>5</v>
      </c>
      <c r="G10362" t="s">
        <v>16221</v>
      </c>
      <c r="H10362" t="s">
        <v>47054</v>
      </c>
      <c r="I10362" t="s">
        <v>47111</v>
      </c>
      <c r="J10362" t="s">
        <v>47112</v>
      </c>
      <c r="K10362" t="s">
        <v>47113</v>
      </c>
      <c r="L10362">
        <v>13.58</v>
      </c>
      <c r="M10362">
        <v>27</v>
      </c>
      <c r="N10362">
        <v>0</v>
      </c>
      <c r="O10362">
        <v>27</v>
      </c>
      <c r="P10362">
        <v>0</v>
      </c>
    </row>
    <row r="10363" spans="1:16" x14ac:dyDescent="0.25">
      <c r="A10363" t="s">
        <v>33035</v>
      </c>
      <c r="B10363" t="s">
        <v>7643</v>
      </c>
      <c r="C10363" t="s">
        <v>7644</v>
      </c>
      <c r="D10363" t="str">
        <f>"1740"</f>
        <v>1740</v>
      </c>
      <c r="E10363" t="s">
        <v>2747</v>
      </c>
      <c r="F10363" t="s">
        <v>4</v>
      </c>
      <c r="G10363" t="s">
        <v>16221</v>
      </c>
      <c r="H10363" t="s">
        <v>47054</v>
      </c>
      <c r="I10363" t="s">
        <v>47111</v>
      </c>
      <c r="J10363" t="s">
        <v>47112</v>
      </c>
      <c r="K10363" t="s">
        <v>47113</v>
      </c>
      <c r="L10363">
        <v>13.84</v>
      </c>
      <c r="M10363">
        <v>34</v>
      </c>
      <c r="N10363">
        <v>0</v>
      </c>
      <c r="O10363">
        <v>34</v>
      </c>
      <c r="P10363">
        <v>0</v>
      </c>
    </row>
    <row r="10364" spans="1:16" x14ac:dyDescent="0.25">
      <c r="A10364" t="s">
        <v>33036</v>
      </c>
      <c r="B10364" t="s">
        <v>7645</v>
      </c>
      <c r="C10364" t="s">
        <v>7646</v>
      </c>
      <c r="D10364" t="str">
        <f>"1033"</f>
        <v>1033</v>
      </c>
      <c r="E10364" t="s">
        <v>1195</v>
      </c>
      <c r="F10364" t="s">
        <v>4</v>
      </c>
      <c r="G10364" t="s">
        <v>16221</v>
      </c>
      <c r="H10364" t="s">
        <v>47054</v>
      </c>
      <c r="I10364" t="s">
        <v>47111</v>
      </c>
      <c r="J10364" t="s">
        <v>47112</v>
      </c>
      <c r="K10364" t="s">
        <v>47113</v>
      </c>
      <c r="L10364">
        <v>13.61</v>
      </c>
      <c r="M10364">
        <v>33</v>
      </c>
      <c r="N10364">
        <v>0</v>
      </c>
      <c r="O10364">
        <v>33</v>
      </c>
      <c r="P10364">
        <v>0</v>
      </c>
    </row>
    <row r="10365" spans="1:16" x14ac:dyDescent="0.25">
      <c r="A10365" t="s">
        <v>33037</v>
      </c>
      <c r="B10365" t="s">
        <v>7645</v>
      </c>
      <c r="C10365" t="s">
        <v>7646</v>
      </c>
      <c r="D10365" t="str">
        <f>"4134"</f>
        <v>4134</v>
      </c>
      <c r="E10365" t="s">
        <v>6455</v>
      </c>
      <c r="F10365" t="s">
        <v>4</v>
      </c>
      <c r="G10365" t="s">
        <v>16221</v>
      </c>
      <c r="H10365" t="s">
        <v>47054</v>
      </c>
      <c r="I10365" t="s">
        <v>47111</v>
      </c>
      <c r="J10365" t="s">
        <v>47112</v>
      </c>
      <c r="K10365" t="s">
        <v>47113</v>
      </c>
      <c r="L10365">
        <v>13.61</v>
      </c>
      <c r="M10365">
        <v>33</v>
      </c>
      <c r="N10365">
        <v>0</v>
      </c>
      <c r="O10365">
        <v>33</v>
      </c>
      <c r="P10365">
        <v>0</v>
      </c>
    </row>
    <row r="10366" spans="1:16" x14ac:dyDescent="0.25">
      <c r="A10366" t="s">
        <v>33038</v>
      </c>
      <c r="B10366" t="s">
        <v>7647</v>
      </c>
      <c r="C10366" t="s">
        <v>7648</v>
      </c>
      <c r="D10366" t="str">
        <f>"1740"</f>
        <v>1740</v>
      </c>
      <c r="E10366" t="s">
        <v>2747</v>
      </c>
      <c r="F10366" t="s">
        <v>4</v>
      </c>
      <c r="G10366" t="s">
        <v>16221</v>
      </c>
      <c r="H10366" t="s">
        <v>47054</v>
      </c>
      <c r="I10366" t="s">
        <v>47111</v>
      </c>
      <c r="J10366" t="s">
        <v>47112</v>
      </c>
      <c r="K10366" t="s">
        <v>47113</v>
      </c>
      <c r="L10366">
        <v>15.72</v>
      </c>
      <c r="M10366">
        <v>38</v>
      </c>
      <c r="N10366">
        <v>0</v>
      </c>
      <c r="O10366">
        <v>38</v>
      </c>
      <c r="P10366">
        <v>0</v>
      </c>
    </row>
    <row r="10367" spans="1:16" x14ac:dyDescent="0.25">
      <c r="A10367" t="s">
        <v>33039</v>
      </c>
      <c r="B10367" t="s">
        <v>7649</v>
      </c>
      <c r="C10367" t="s">
        <v>7650</v>
      </c>
      <c r="D10367" t="str">
        <f>"6030"</f>
        <v>6030</v>
      </c>
      <c r="E10367" t="s">
        <v>2753</v>
      </c>
      <c r="F10367" t="s">
        <v>4</v>
      </c>
      <c r="G10367" t="s">
        <v>16221</v>
      </c>
      <c r="H10367" t="s">
        <v>47054</v>
      </c>
      <c r="I10367" t="s">
        <v>47111</v>
      </c>
      <c r="J10367" t="s">
        <v>47112</v>
      </c>
      <c r="K10367" t="s">
        <v>47113</v>
      </c>
      <c r="L10367">
        <v>15.72</v>
      </c>
      <c r="M10367">
        <v>38</v>
      </c>
      <c r="N10367">
        <v>0</v>
      </c>
      <c r="O10367">
        <v>38</v>
      </c>
      <c r="P10367">
        <v>0</v>
      </c>
    </row>
    <row r="10368" spans="1:16" x14ac:dyDescent="0.25">
      <c r="A10368" t="s">
        <v>33040</v>
      </c>
      <c r="B10368" t="s">
        <v>7651</v>
      </c>
      <c r="C10368" t="s">
        <v>7652</v>
      </c>
      <c r="D10368" t="str">
        <f>"1740"</f>
        <v>1740</v>
      </c>
      <c r="E10368" t="s">
        <v>2747</v>
      </c>
      <c r="F10368" t="s">
        <v>4</v>
      </c>
      <c r="G10368" t="s">
        <v>16221</v>
      </c>
      <c r="H10368" t="s">
        <v>47054</v>
      </c>
      <c r="I10368" t="s">
        <v>47111</v>
      </c>
      <c r="J10368" t="s">
        <v>47112</v>
      </c>
      <c r="K10368" t="s">
        <v>47113</v>
      </c>
      <c r="L10368">
        <v>13.39</v>
      </c>
      <c r="M10368">
        <v>33</v>
      </c>
      <c r="N10368">
        <v>0</v>
      </c>
      <c r="O10368">
        <v>33</v>
      </c>
      <c r="P10368">
        <v>0</v>
      </c>
    </row>
    <row r="10369" spans="1:16" x14ac:dyDescent="0.25">
      <c r="A10369" t="s">
        <v>33041</v>
      </c>
      <c r="B10369" t="s">
        <v>7651</v>
      </c>
      <c r="C10369" t="s">
        <v>7652</v>
      </c>
      <c r="D10369" t="str">
        <f>"3020"</f>
        <v>3020</v>
      </c>
      <c r="E10369" t="s">
        <v>7466</v>
      </c>
      <c r="F10369" t="s">
        <v>4</v>
      </c>
      <c r="G10369" t="s">
        <v>16221</v>
      </c>
      <c r="H10369" t="s">
        <v>47054</v>
      </c>
      <c r="I10369" t="s">
        <v>47111</v>
      </c>
      <c r="J10369" t="s">
        <v>47112</v>
      </c>
      <c r="K10369" t="s">
        <v>47113</v>
      </c>
      <c r="L10369">
        <v>13.39</v>
      </c>
      <c r="M10369">
        <v>33</v>
      </c>
      <c r="N10369">
        <v>0</v>
      </c>
      <c r="O10369">
        <v>33</v>
      </c>
      <c r="P10369">
        <v>0</v>
      </c>
    </row>
    <row r="10370" spans="1:16" x14ac:dyDescent="0.25">
      <c r="A10370" t="s">
        <v>33042</v>
      </c>
      <c r="B10370" t="s">
        <v>7653</v>
      </c>
      <c r="C10370" t="s">
        <v>7654</v>
      </c>
      <c r="D10370" t="str">
        <f>"1033"</f>
        <v>1033</v>
      </c>
      <c r="E10370" t="s">
        <v>1195</v>
      </c>
      <c r="F10370" t="s">
        <v>4</v>
      </c>
      <c r="G10370" t="s">
        <v>16221</v>
      </c>
      <c r="H10370" t="s">
        <v>47054</v>
      </c>
      <c r="I10370" t="s">
        <v>47111</v>
      </c>
      <c r="J10370" t="s">
        <v>47112</v>
      </c>
      <c r="K10370" t="s">
        <v>47113</v>
      </c>
      <c r="L10370">
        <v>15.27</v>
      </c>
      <c r="M10370">
        <v>37</v>
      </c>
      <c r="N10370">
        <v>0</v>
      </c>
      <c r="O10370">
        <v>37</v>
      </c>
      <c r="P10370">
        <v>0</v>
      </c>
    </row>
    <row r="10371" spans="1:16" x14ac:dyDescent="0.25">
      <c r="A10371" t="s">
        <v>33043</v>
      </c>
      <c r="B10371" t="s">
        <v>7653</v>
      </c>
      <c r="C10371" t="s">
        <v>7654</v>
      </c>
      <c r="D10371" t="str">
        <f>"1746"</f>
        <v>1746</v>
      </c>
      <c r="E10371" t="s">
        <v>807</v>
      </c>
      <c r="F10371" t="s">
        <v>4</v>
      </c>
      <c r="G10371" t="s">
        <v>16221</v>
      </c>
      <c r="H10371" t="s">
        <v>47054</v>
      </c>
      <c r="I10371" t="s">
        <v>47111</v>
      </c>
      <c r="J10371" t="s">
        <v>47112</v>
      </c>
      <c r="K10371" t="s">
        <v>47113</v>
      </c>
      <c r="L10371">
        <v>13.64</v>
      </c>
      <c r="M10371">
        <v>33</v>
      </c>
      <c r="N10371">
        <v>0</v>
      </c>
      <c r="O10371">
        <v>33</v>
      </c>
      <c r="P10371">
        <v>0</v>
      </c>
    </row>
    <row r="10372" spans="1:16" x14ac:dyDescent="0.25">
      <c r="A10372" t="s">
        <v>33044</v>
      </c>
      <c r="B10372" t="s">
        <v>7653</v>
      </c>
      <c r="C10372" t="s">
        <v>7654</v>
      </c>
      <c r="D10372" t="str">
        <f>"3556"</f>
        <v>3556</v>
      </c>
      <c r="E10372" t="s">
        <v>6893</v>
      </c>
      <c r="F10372" t="s">
        <v>4</v>
      </c>
      <c r="G10372" t="s">
        <v>16221</v>
      </c>
      <c r="H10372" t="s">
        <v>47054</v>
      </c>
      <c r="I10372" t="s">
        <v>47111</v>
      </c>
      <c r="J10372" t="s">
        <v>47112</v>
      </c>
      <c r="K10372" t="s">
        <v>47113</v>
      </c>
      <c r="L10372">
        <v>15.27</v>
      </c>
      <c r="M10372">
        <v>37</v>
      </c>
      <c r="N10372">
        <v>0</v>
      </c>
      <c r="O10372">
        <v>37</v>
      </c>
      <c r="P10372">
        <v>0</v>
      </c>
    </row>
    <row r="10373" spans="1:16" x14ac:dyDescent="0.25">
      <c r="A10373" t="s">
        <v>33045</v>
      </c>
      <c r="B10373" t="s">
        <v>7653</v>
      </c>
      <c r="C10373" t="s">
        <v>7654</v>
      </c>
      <c r="D10373" t="str">
        <f>"6332"</f>
        <v>6332</v>
      </c>
      <c r="E10373" t="s">
        <v>6458</v>
      </c>
      <c r="F10373" t="s">
        <v>4</v>
      </c>
      <c r="G10373" t="s">
        <v>16221</v>
      </c>
      <c r="H10373" t="s">
        <v>47054</v>
      </c>
      <c r="I10373" t="s">
        <v>47111</v>
      </c>
      <c r="J10373" t="s">
        <v>47112</v>
      </c>
      <c r="K10373" t="s">
        <v>47113</v>
      </c>
      <c r="L10373">
        <v>15.27</v>
      </c>
      <c r="M10373">
        <v>37</v>
      </c>
      <c r="N10373">
        <v>0</v>
      </c>
      <c r="O10373">
        <v>37</v>
      </c>
      <c r="P10373">
        <v>0</v>
      </c>
    </row>
    <row r="10374" spans="1:16" x14ac:dyDescent="0.25">
      <c r="A10374" t="s">
        <v>33046</v>
      </c>
      <c r="B10374" t="s">
        <v>7655</v>
      </c>
      <c r="C10374" t="s">
        <v>7656</v>
      </c>
      <c r="D10374" t="str">
        <f>"4248"</f>
        <v>4248</v>
      </c>
      <c r="E10374" t="s">
        <v>6900</v>
      </c>
      <c r="F10374" t="s">
        <v>4</v>
      </c>
      <c r="G10374" t="s">
        <v>16221</v>
      </c>
      <c r="H10374" t="s">
        <v>47054</v>
      </c>
      <c r="I10374" t="s">
        <v>47111</v>
      </c>
      <c r="J10374" t="s">
        <v>47112</v>
      </c>
      <c r="K10374" t="s">
        <v>47113</v>
      </c>
      <c r="L10374">
        <v>13.39</v>
      </c>
      <c r="M10374">
        <v>33</v>
      </c>
      <c r="N10374">
        <v>0</v>
      </c>
      <c r="O10374">
        <v>33</v>
      </c>
      <c r="P10374">
        <v>0</v>
      </c>
    </row>
    <row r="10375" spans="1:16" x14ac:dyDescent="0.25">
      <c r="A10375" t="s">
        <v>33047</v>
      </c>
      <c r="B10375" t="s">
        <v>7657</v>
      </c>
      <c r="C10375" t="s">
        <v>7658</v>
      </c>
      <c r="D10375" t="str">
        <f>"6332"</f>
        <v>6332</v>
      </c>
      <c r="E10375" t="s">
        <v>6458</v>
      </c>
      <c r="F10375" t="s">
        <v>4</v>
      </c>
      <c r="G10375" t="s">
        <v>16221</v>
      </c>
      <c r="H10375" t="s">
        <v>47054</v>
      </c>
      <c r="I10375" t="s">
        <v>47111</v>
      </c>
      <c r="J10375" t="s">
        <v>47112</v>
      </c>
      <c r="K10375" t="s">
        <v>47113</v>
      </c>
      <c r="L10375">
        <v>13.39</v>
      </c>
      <c r="M10375">
        <v>33</v>
      </c>
      <c r="N10375">
        <v>0</v>
      </c>
      <c r="O10375">
        <v>33</v>
      </c>
      <c r="P10375">
        <v>0</v>
      </c>
    </row>
    <row r="10376" spans="1:16" x14ac:dyDescent="0.25">
      <c r="A10376" t="s">
        <v>33048</v>
      </c>
      <c r="B10376" t="s">
        <v>7659</v>
      </c>
      <c r="C10376" t="s">
        <v>3141</v>
      </c>
      <c r="D10376" t="str">
        <f>"6030"</f>
        <v>6030</v>
      </c>
      <c r="E10376" t="s">
        <v>2753</v>
      </c>
      <c r="F10376" t="s">
        <v>0</v>
      </c>
      <c r="G10376" t="s">
        <v>16221</v>
      </c>
      <c r="H10376" t="s">
        <v>47054</v>
      </c>
      <c r="I10376" t="s">
        <v>47111</v>
      </c>
      <c r="J10376" t="s">
        <v>47112</v>
      </c>
      <c r="K10376" t="s">
        <v>47113</v>
      </c>
      <c r="L10376">
        <v>13.69</v>
      </c>
      <c r="M10376">
        <v>28</v>
      </c>
      <c r="N10376">
        <v>0</v>
      </c>
      <c r="O10376">
        <v>28</v>
      </c>
      <c r="P10376">
        <v>0</v>
      </c>
    </row>
    <row r="10377" spans="1:16" x14ac:dyDescent="0.25">
      <c r="A10377" t="s">
        <v>33049</v>
      </c>
      <c r="B10377" t="s">
        <v>7660</v>
      </c>
      <c r="C10377" t="s">
        <v>7661</v>
      </c>
      <c r="D10377" t="str">
        <f>"4134"</f>
        <v>4134</v>
      </c>
      <c r="E10377" t="s">
        <v>6455</v>
      </c>
      <c r="F10377" t="s">
        <v>0</v>
      </c>
      <c r="G10377" t="s">
        <v>16221</v>
      </c>
      <c r="H10377" t="s">
        <v>47054</v>
      </c>
      <c r="I10377" t="s">
        <v>47111</v>
      </c>
      <c r="J10377" t="s">
        <v>47112</v>
      </c>
      <c r="K10377" t="s">
        <v>47113</v>
      </c>
      <c r="L10377">
        <v>13.69</v>
      </c>
      <c r="M10377">
        <v>28</v>
      </c>
      <c r="N10377">
        <v>0</v>
      </c>
      <c r="O10377">
        <v>28</v>
      </c>
      <c r="P10377">
        <v>0</v>
      </c>
    </row>
    <row r="10378" spans="1:16" x14ac:dyDescent="0.25">
      <c r="A10378" t="s">
        <v>33050</v>
      </c>
      <c r="B10378" t="s">
        <v>7662</v>
      </c>
      <c r="C10378" t="s">
        <v>7663</v>
      </c>
      <c r="D10378" t="str">
        <f>"1033"</f>
        <v>1033</v>
      </c>
      <c r="E10378" t="s">
        <v>1195</v>
      </c>
      <c r="F10378" t="s">
        <v>0</v>
      </c>
      <c r="G10378" t="s">
        <v>16221</v>
      </c>
      <c r="H10378" t="s">
        <v>47054</v>
      </c>
      <c r="I10378" t="s">
        <v>47111</v>
      </c>
      <c r="J10378" t="s">
        <v>47112</v>
      </c>
      <c r="K10378" t="s">
        <v>47113</v>
      </c>
      <c r="L10378">
        <v>13.69</v>
      </c>
      <c r="M10378">
        <v>30</v>
      </c>
      <c r="N10378">
        <v>0</v>
      </c>
      <c r="O10378">
        <v>30</v>
      </c>
      <c r="P10378">
        <v>0</v>
      </c>
    </row>
    <row r="10379" spans="1:16" x14ac:dyDescent="0.25">
      <c r="A10379" t="s">
        <v>33051</v>
      </c>
      <c r="B10379" t="s">
        <v>7664</v>
      </c>
      <c r="C10379" t="s">
        <v>7665</v>
      </c>
      <c r="D10379" t="str">
        <f>"3347"</f>
        <v>3347</v>
      </c>
      <c r="E10379" t="s">
        <v>6492</v>
      </c>
      <c r="F10379" t="s">
        <v>0</v>
      </c>
      <c r="G10379" t="s">
        <v>16221</v>
      </c>
      <c r="H10379" t="s">
        <v>47054</v>
      </c>
      <c r="I10379" t="s">
        <v>47111</v>
      </c>
      <c r="J10379" t="s">
        <v>47112</v>
      </c>
      <c r="K10379" t="s">
        <v>47113</v>
      </c>
      <c r="L10379">
        <v>15</v>
      </c>
      <c r="M10379">
        <v>28</v>
      </c>
      <c r="N10379">
        <v>0</v>
      </c>
      <c r="O10379">
        <v>28</v>
      </c>
      <c r="P10379">
        <v>0</v>
      </c>
    </row>
    <row r="10380" spans="1:16" x14ac:dyDescent="0.25">
      <c r="A10380" t="s">
        <v>33052</v>
      </c>
      <c r="B10380" t="s">
        <v>7666</v>
      </c>
      <c r="C10380" t="s">
        <v>4413</v>
      </c>
      <c r="D10380" t="str">
        <f>"1033"</f>
        <v>1033</v>
      </c>
      <c r="E10380" t="s">
        <v>1195</v>
      </c>
      <c r="F10380" t="s">
        <v>4</v>
      </c>
      <c r="G10380" t="s">
        <v>16221</v>
      </c>
      <c r="H10380" t="s">
        <v>47054</v>
      </c>
      <c r="I10380" t="s">
        <v>47111</v>
      </c>
      <c r="J10380" t="s">
        <v>47112</v>
      </c>
      <c r="K10380" t="s">
        <v>47113</v>
      </c>
      <c r="L10380">
        <v>13.39</v>
      </c>
      <c r="M10380">
        <v>33</v>
      </c>
      <c r="N10380">
        <v>0</v>
      </c>
      <c r="O10380">
        <v>33</v>
      </c>
      <c r="P10380">
        <v>0</v>
      </c>
    </row>
    <row r="10381" spans="1:16" x14ac:dyDescent="0.25">
      <c r="A10381" t="s">
        <v>33053</v>
      </c>
      <c r="B10381" t="s">
        <v>7667</v>
      </c>
      <c r="C10381" t="s">
        <v>2715</v>
      </c>
      <c r="D10381" t="str">
        <f>"1033"</f>
        <v>1033</v>
      </c>
      <c r="E10381" t="s">
        <v>1195</v>
      </c>
      <c r="F10381" t="s">
        <v>4</v>
      </c>
      <c r="G10381" t="s">
        <v>16221</v>
      </c>
      <c r="H10381" t="s">
        <v>47054</v>
      </c>
      <c r="I10381" t="s">
        <v>47111</v>
      </c>
      <c r="J10381" t="s">
        <v>47112</v>
      </c>
      <c r="K10381" t="s">
        <v>47113</v>
      </c>
      <c r="L10381">
        <v>14.46</v>
      </c>
      <c r="M10381">
        <v>35</v>
      </c>
      <c r="N10381">
        <v>0</v>
      </c>
      <c r="O10381">
        <v>35</v>
      </c>
      <c r="P10381">
        <v>0</v>
      </c>
    </row>
    <row r="10382" spans="1:16" x14ac:dyDescent="0.25">
      <c r="A10382" t="s">
        <v>33054</v>
      </c>
      <c r="B10382" t="s">
        <v>7668</v>
      </c>
      <c r="C10382" t="s">
        <v>7669</v>
      </c>
      <c r="D10382" t="str">
        <f>"6030"</f>
        <v>6030</v>
      </c>
      <c r="E10382" t="s">
        <v>2753</v>
      </c>
      <c r="F10382" t="s">
        <v>4</v>
      </c>
      <c r="G10382" t="s">
        <v>16221</v>
      </c>
      <c r="H10382" t="s">
        <v>47054</v>
      </c>
      <c r="I10382" t="s">
        <v>47111</v>
      </c>
      <c r="J10382" t="s">
        <v>47112</v>
      </c>
      <c r="K10382" t="s">
        <v>47113</v>
      </c>
      <c r="L10382">
        <v>13.39</v>
      </c>
      <c r="M10382">
        <v>33</v>
      </c>
      <c r="N10382">
        <v>0</v>
      </c>
      <c r="O10382">
        <v>33</v>
      </c>
      <c r="P10382">
        <v>0</v>
      </c>
    </row>
    <row r="10383" spans="1:16" x14ac:dyDescent="0.25">
      <c r="A10383" t="s">
        <v>33055</v>
      </c>
      <c r="B10383" t="s">
        <v>7670</v>
      </c>
      <c r="C10383" t="s">
        <v>7671</v>
      </c>
      <c r="D10383" t="str">
        <f>"5031"</f>
        <v>5031</v>
      </c>
      <c r="E10383" t="s">
        <v>2771</v>
      </c>
      <c r="F10383" t="s">
        <v>6</v>
      </c>
      <c r="G10383" t="s">
        <v>16221</v>
      </c>
      <c r="H10383" t="s">
        <v>47054</v>
      </c>
      <c r="I10383" t="s">
        <v>47111</v>
      </c>
      <c r="J10383" t="s">
        <v>47112</v>
      </c>
      <c r="K10383" t="s">
        <v>47113</v>
      </c>
      <c r="L10383">
        <v>13.65</v>
      </c>
      <c r="M10383">
        <v>38</v>
      </c>
      <c r="N10383">
        <v>0</v>
      </c>
      <c r="O10383">
        <v>38</v>
      </c>
      <c r="P10383">
        <v>0</v>
      </c>
    </row>
    <row r="10384" spans="1:16" x14ac:dyDescent="0.25">
      <c r="A10384" t="s">
        <v>33056</v>
      </c>
      <c r="B10384" t="s">
        <v>7672</v>
      </c>
      <c r="C10384" t="s">
        <v>7673</v>
      </c>
      <c r="D10384" t="str">
        <f>"1033"</f>
        <v>1033</v>
      </c>
      <c r="E10384" t="s">
        <v>1195</v>
      </c>
      <c r="F10384" t="s">
        <v>6</v>
      </c>
      <c r="G10384" t="s">
        <v>16221</v>
      </c>
      <c r="H10384" t="s">
        <v>47054</v>
      </c>
      <c r="I10384" t="s">
        <v>47111</v>
      </c>
      <c r="J10384" t="s">
        <v>47112</v>
      </c>
      <c r="K10384" t="s">
        <v>47113</v>
      </c>
      <c r="L10384">
        <v>11.87</v>
      </c>
      <c r="M10384">
        <v>31</v>
      </c>
      <c r="N10384">
        <v>0</v>
      </c>
      <c r="O10384">
        <v>31</v>
      </c>
      <c r="P10384">
        <v>0</v>
      </c>
    </row>
    <row r="10385" spans="1:16" x14ac:dyDescent="0.25">
      <c r="A10385" t="s">
        <v>33057</v>
      </c>
      <c r="B10385" t="s">
        <v>7672</v>
      </c>
      <c r="C10385" t="s">
        <v>7673</v>
      </c>
      <c r="D10385" t="str">
        <f>"1746"</f>
        <v>1746</v>
      </c>
      <c r="E10385" t="s">
        <v>807</v>
      </c>
      <c r="F10385" t="s">
        <v>6</v>
      </c>
      <c r="G10385" t="s">
        <v>16221</v>
      </c>
      <c r="H10385" t="s">
        <v>47054</v>
      </c>
      <c r="I10385" t="s">
        <v>47111</v>
      </c>
      <c r="J10385" t="s">
        <v>47112</v>
      </c>
      <c r="K10385" t="s">
        <v>47113</v>
      </c>
      <c r="L10385">
        <v>10.029999999999999</v>
      </c>
      <c r="M10385">
        <v>27</v>
      </c>
      <c r="N10385">
        <v>0</v>
      </c>
      <c r="O10385">
        <v>27</v>
      </c>
      <c r="P10385">
        <v>0</v>
      </c>
    </row>
    <row r="10386" spans="1:16" x14ac:dyDescent="0.25">
      <c r="A10386" t="s">
        <v>33058</v>
      </c>
      <c r="B10386" t="s">
        <v>7674</v>
      </c>
      <c r="C10386" t="s">
        <v>7675</v>
      </c>
      <c r="D10386" t="str">
        <f>"3020"</f>
        <v>3020</v>
      </c>
      <c r="E10386" t="s">
        <v>7466</v>
      </c>
      <c r="F10386" t="s">
        <v>6</v>
      </c>
      <c r="G10386" t="s">
        <v>16221</v>
      </c>
      <c r="H10386" t="s">
        <v>47054</v>
      </c>
      <c r="I10386" t="s">
        <v>47111</v>
      </c>
      <c r="J10386" t="s">
        <v>47112</v>
      </c>
      <c r="K10386" t="s">
        <v>47113</v>
      </c>
      <c r="L10386">
        <v>11.67</v>
      </c>
      <c r="M10386">
        <v>31</v>
      </c>
      <c r="N10386">
        <v>0</v>
      </c>
      <c r="O10386">
        <v>31</v>
      </c>
      <c r="P10386">
        <v>0</v>
      </c>
    </row>
    <row r="10387" spans="1:16" x14ac:dyDescent="0.25">
      <c r="A10387" t="s">
        <v>33059</v>
      </c>
      <c r="B10387" t="s">
        <v>7676</v>
      </c>
      <c r="C10387" t="s">
        <v>7677</v>
      </c>
      <c r="D10387" t="str">
        <f>"1033"</f>
        <v>1033</v>
      </c>
      <c r="E10387" t="s">
        <v>1195</v>
      </c>
      <c r="F10387" t="s">
        <v>6</v>
      </c>
      <c r="G10387" t="s">
        <v>16221</v>
      </c>
      <c r="H10387" t="s">
        <v>47054</v>
      </c>
      <c r="I10387" t="s">
        <v>47111</v>
      </c>
      <c r="J10387" t="s">
        <v>47112</v>
      </c>
      <c r="K10387" t="s">
        <v>47113</v>
      </c>
      <c r="L10387">
        <v>11.88</v>
      </c>
      <c r="M10387">
        <v>31</v>
      </c>
      <c r="N10387">
        <v>0</v>
      </c>
      <c r="O10387">
        <v>31</v>
      </c>
      <c r="P10387">
        <v>0</v>
      </c>
    </row>
    <row r="10388" spans="1:16" x14ac:dyDescent="0.25">
      <c r="A10388" t="s">
        <v>33060</v>
      </c>
      <c r="B10388" t="s">
        <v>7676</v>
      </c>
      <c r="C10388" t="s">
        <v>7677</v>
      </c>
      <c r="D10388" t="str">
        <f>"1746"</f>
        <v>1746</v>
      </c>
      <c r="E10388" t="s">
        <v>807</v>
      </c>
      <c r="F10388" t="s">
        <v>6</v>
      </c>
      <c r="G10388" t="s">
        <v>16221</v>
      </c>
      <c r="H10388" t="s">
        <v>47054</v>
      </c>
      <c r="I10388" t="s">
        <v>47111</v>
      </c>
      <c r="J10388" t="s">
        <v>47112</v>
      </c>
      <c r="K10388" t="s">
        <v>47113</v>
      </c>
      <c r="L10388">
        <v>9.94</v>
      </c>
      <c r="M10388">
        <v>27</v>
      </c>
      <c r="N10388">
        <v>0</v>
      </c>
      <c r="O10388">
        <v>27</v>
      </c>
      <c r="P10388">
        <v>0</v>
      </c>
    </row>
    <row r="10389" spans="1:16" x14ac:dyDescent="0.25">
      <c r="A10389" t="s">
        <v>33061</v>
      </c>
      <c r="B10389" t="s">
        <v>7678</v>
      </c>
      <c r="C10389" t="s">
        <v>7679</v>
      </c>
      <c r="D10389" t="str">
        <f>"1165"</f>
        <v>1165</v>
      </c>
      <c r="E10389" t="s">
        <v>1153</v>
      </c>
      <c r="F10389" t="s">
        <v>6</v>
      </c>
      <c r="G10389" t="s">
        <v>16221</v>
      </c>
      <c r="H10389" t="s">
        <v>47054</v>
      </c>
      <c r="I10389" t="s">
        <v>47111</v>
      </c>
      <c r="J10389" t="s">
        <v>47112</v>
      </c>
      <c r="K10389" t="s">
        <v>47113</v>
      </c>
      <c r="L10389">
        <v>11.67</v>
      </c>
      <c r="M10389">
        <v>31</v>
      </c>
      <c r="N10389">
        <v>0</v>
      </c>
      <c r="O10389">
        <v>31</v>
      </c>
      <c r="P10389">
        <v>0</v>
      </c>
    </row>
    <row r="10390" spans="1:16" x14ac:dyDescent="0.25">
      <c r="A10390" t="s">
        <v>33062</v>
      </c>
      <c r="B10390" t="s">
        <v>7680</v>
      </c>
      <c r="C10390" t="s">
        <v>7681</v>
      </c>
      <c r="D10390" t="str">
        <f>"1033"</f>
        <v>1033</v>
      </c>
      <c r="E10390" t="s">
        <v>1195</v>
      </c>
      <c r="F10390" t="s">
        <v>6</v>
      </c>
      <c r="G10390" t="s">
        <v>16221</v>
      </c>
      <c r="H10390" t="s">
        <v>47054</v>
      </c>
      <c r="I10390" t="s">
        <v>47111</v>
      </c>
      <c r="J10390" t="s">
        <v>47112</v>
      </c>
      <c r="K10390" t="s">
        <v>47113</v>
      </c>
      <c r="L10390">
        <v>14.39</v>
      </c>
      <c r="M10390">
        <v>38</v>
      </c>
      <c r="N10390">
        <v>0</v>
      </c>
      <c r="O10390">
        <v>38</v>
      </c>
      <c r="P10390">
        <v>0</v>
      </c>
    </row>
    <row r="10391" spans="1:16" x14ac:dyDescent="0.25">
      <c r="A10391" t="s">
        <v>33063</v>
      </c>
      <c r="B10391" t="s">
        <v>7680</v>
      </c>
      <c r="C10391" t="s">
        <v>7681</v>
      </c>
      <c r="D10391" t="str">
        <f>"1740"</f>
        <v>1740</v>
      </c>
      <c r="E10391" t="s">
        <v>2747</v>
      </c>
      <c r="F10391" t="s">
        <v>6</v>
      </c>
      <c r="G10391" t="s">
        <v>16221</v>
      </c>
      <c r="H10391" t="s">
        <v>47054</v>
      </c>
      <c r="I10391" t="s">
        <v>47111</v>
      </c>
      <c r="J10391" t="s">
        <v>47112</v>
      </c>
      <c r="K10391" t="s">
        <v>47113</v>
      </c>
      <c r="L10391">
        <v>14.14</v>
      </c>
      <c r="M10391">
        <v>37</v>
      </c>
      <c r="N10391">
        <v>0</v>
      </c>
      <c r="O10391">
        <v>37</v>
      </c>
      <c r="P10391">
        <v>0</v>
      </c>
    </row>
    <row r="10392" spans="1:16" x14ac:dyDescent="0.25">
      <c r="A10392" t="s">
        <v>33064</v>
      </c>
      <c r="B10392" t="s">
        <v>7680</v>
      </c>
      <c r="C10392" t="s">
        <v>7681</v>
      </c>
      <c r="D10392" t="str">
        <f>"1865"</f>
        <v>1865</v>
      </c>
      <c r="E10392" t="s">
        <v>7682</v>
      </c>
      <c r="F10392" t="s">
        <v>6</v>
      </c>
      <c r="G10392" t="s">
        <v>16221</v>
      </c>
      <c r="H10392" t="s">
        <v>47054</v>
      </c>
      <c r="I10392" t="s">
        <v>47111</v>
      </c>
      <c r="J10392" t="s">
        <v>47112</v>
      </c>
      <c r="K10392" t="s">
        <v>47113</v>
      </c>
      <c r="L10392">
        <v>14.7</v>
      </c>
      <c r="M10392">
        <v>39</v>
      </c>
      <c r="N10392">
        <v>0</v>
      </c>
      <c r="O10392">
        <v>39</v>
      </c>
      <c r="P10392">
        <v>0</v>
      </c>
    </row>
    <row r="10393" spans="1:16" x14ac:dyDescent="0.25">
      <c r="A10393" t="s">
        <v>33065</v>
      </c>
      <c r="B10393" t="s">
        <v>7680</v>
      </c>
      <c r="C10393" t="s">
        <v>7681</v>
      </c>
      <c r="D10393" t="str">
        <f>"4130"</f>
        <v>4130</v>
      </c>
      <c r="E10393" t="s">
        <v>2374</v>
      </c>
      <c r="F10393" t="s">
        <v>6</v>
      </c>
      <c r="G10393" t="s">
        <v>16221</v>
      </c>
      <c r="H10393" t="s">
        <v>47054</v>
      </c>
      <c r="I10393" t="s">
        <v>47111</v>
      </c>
      <c r="J10393" t="s">
        <v>47112</v>
      </c>
      <c r="K10393" t="s">
        <v>47113</v>
      </c>
      <c r="L10393">
        <v>14.37</v>
      </c>
      <c r="M10393">
        <v>38</v>
      </c>
      <c r="N10393">
        <v>0</v>
      </c>
      <c r="O10393">
        <v>38</v>
      </c>
      <c r="P10393">
        <v>0</v>
      </c>
    </row>
    <row r="10394" spans="1:16" x14ac:dyDescent="0.25">
      <c r="A10394" t="s">
        <v>33066</v>
      </c>
      <c r="B10394" t="s">
        <v>7680</v>
      </c>
      <c r="C10394" t="s">
        <v>7681</v>
      </c>
      <c r="D10394" t="str">
        <f>"5031"</f>
        <v>5031</v>
      </c>
      <c r="E10394" t="s">
        <v>2771</v>
      </c>
      <c r="F10394" t="s">
        <v>6</v>
      </c>
      <c r="G10394" t="s">
        <v>16221</v>
      </c>
      <c r="H10394" t="s">
        <v>47054</v>
      </c>
      <c r="I10394" t="s">
        <v>47111</v>
      </c>
      <c r="J10394" t="s">
        <v>47112</v>
      </c>
      <c r="K10394" t="s">
        <v>47113</v>
      </c>
      <c r="L10394">
        <v>14.39</v>
      </c>
      <c r="M10394">
        <v>38</v>
      </c>
      <c r="N10394">
        <v>0</v>
      </c>
      <c r="O10394">
        <v>38</v>
      </c>
      <c r="P10394">
        <v>0</v>
      </c>
    </row>
    <row r="10395" spans="1:16" x14ac:dyDescent="0.25">
      <c r="A10395" t="s">
        <v>33067</v>
      </c>
      <c r="B10395" t="s">
        <v>7680</v>
      </c>
      <c r="C10395" t="s">
        <v>7681</v>
      </c>
      <c r="D10395" t="str">
        <f>"6122"</f>
        <v>6122</v>
      </c>
      <c r="E10395" t="s">
        <v>1197</v>
      </c>
      <c r="F10395" t="s">
        <v>6</v>
      </c>
      <c r="G10395" t="s">
        <v>16221</v>
      </c>
      <c r="H10395" t="s">
        <v>47054</v>
      </c>
      <c r="I10395" t="s">
        <v>47111</v>
      </c>
      <c r="J10395" t="s">
        <v>47112</v>
      </c>
      <c r="K10395" t="s">
        <v>47113</v>
      </c>
      <c r="L10395">
        <v>16.18</v>
      </c>
      <c r="M10395">
        <v>37</v>
      </c>
      <c r="N10395">
        <v>0</v>
      </c>
      <c r="O10395">
        <v>37</v>
      </c>
      <c r="P10395">
        <v>0</v>
      </c>
    </row>
    <row r="10396" spans="1:16" x14ac:dyDescent="0.25">
      <c r="A10396" t="s">
        <v>33068</v>
      </c>
      <c r="B10396" t="s">
        <v>7683</v>
      </c>
      <c r="C10396" t="s">
        <v>7684</v>
      </c>
      <c r="D10396" t="str">
        <f>"1746"</f>
        <v>1746</v>
      </c>
      <c r="E10396" t="s">
        <v>807</v>
      </c>
      <c r="F10396" t="s">
        <v>2</v>
      </c>
      <c r="G10396" t="s">
        <v>16221</v>
      </c>
      <c r="H10396" t="s">
        <v>47054</v>
      </c>
      <c r="I10396" t="s">
        <v>47111</v>
      </c>
      <c r="J10396" t="s">
        <v>47112</v>
      </c>
      <c r="K10396" t="s">
        <v>47113</v>
      </c>
      <c r="L10396">
        <v>11.45</v>
      </c>
      <c r="M10396">
        <v>32</v>
      </c>
      <c r="N10396">
        <v>0</v>
      </c>
      <c r="O10396">
        <v>32</v>
      </c>
      <c r="P10396">
        <v>0</v>
      </c>
    </row>
    <row r="10397" spans="1:16" x14ac:dyDescent="0.25">
      <c r="A10397" t="s">
        <v>33069</v>
      </c>
      <c r="B10397" t="s">
        <v>7685</v>
      </c>
      <c r="C10397" t="s">
        <v>7686</v>
      </c>
      <c r="D10397" t="str">
        <f>"1740"</f>
        <v>1740</v>
      </c>
      <c r="E10397" t="s">
        <v>2747</v>
      </c>
      <c r="F10397" t="s">
        <v>2</v>
      </c>
      <c r="G10397" t="s">
        <v>16221</v>
      </c>
      <c r="H10397" t="s">
        <v>47054</v>
      </c>
      <c r="I10397" t="s">
        <v>47111</v>
      </c>
      <c r="J10397" t="s">
        <v>47112</v>
      </c>
      <c r="K10397" t="s">
        <v>47113</v>
      </c>
      <c r="L10397">
        <v>11.59</v>
      </c>
      <c r="M10397">
        <v>32</v>
      </c>
      <c r="N10397">
        <v>0</v>
      </c>
      <c r="O10397">
        <v>32</v>
      </c>
      <c r="P10397">
        <v>0</v>
      </c>
    </row>
    <row r="10398" spans="1:16" x14ac:dyDescent="0.25">
      <c r="A10398" t="s">
        <v>33070</v>
      </c>
      <c r="B10398" t="s">
        <v>7687</v>
      </c>
      <c r="C10398" t="s">
        <v>7688</v>
      </c>
      <c r="D10398" t="str">
        <f>"8315"</f>
        <v>8315</v>
      </c>
      <c r="E10398" t="s">
        <v>2750</v>
      </c>
      <c r="F10398" t="s">
        <v>2</v>
      </c>
      <c r="G10398" t="s">
        <v>16221</v>
      </c>
      <c r="H10398" t="s">
        <v>47054</v>
      </c>
      <c r="I10398" t="s">
        <v>47111</v>
      </c>
      <c r="J10398" t="s">
        <v>47112</v>
      </c>
      <c r="K10398" t="s">
        <v>47113</v>
      </c>
      <c r="L10398">
        <v>11.73</v>
      </c>
      <c r="M10398">
        <v>32</v>
      </c>
      <c r="N10398">
        <v>0</v>
      </c>
      <c r="O10398">
        <v>32</v>
      </c>
      <c r="P10398">
        <v>0</v>
      </c>
    </row>
    <row r="10399" spans="1:16" x14ac:dyDescent="0.25">
      <c r="A10399" t="s">
        <v>33071</v>
      </c>
      <c r="B10399" t="s">
        <v>7689</v>
      </c>
      <c r="C10399" t="s">
        <v>7690</v>
      </c>
      <c r="D10399" t="str">
        <f>"6030"</f>
        <v>6030</v>
      </c>
      <c r="E10399" t="s">
        <v>2753</v>
      </c>
      <c r="F10399" t="s">
        <v>2</v>
      </c>
      <c r="G10399" t="s">
        <v>16221</v>
      </c>
      <c r="H10399" t="s">
        <v>47054</v>
      </c>
      <c r="I10399" t="s">
        <v>47111</v>
      </c>
      <c r="J10399" t="s">
        <v>47112</v>
      </c>
      <c r="K10399" t="s">
        <v>47113</v>
      </c>
      <c r="L10399">
        <v>11.55</v>
      </c>
      <c r="M10399">
        <v>32</v>
      </c>
      <c r="N10399">
        <v>0</v>
      </c>
      <c r="O10399">
        <v>32</v>
      </c>
      <c r="P10399">
        <v>0</v>
      </c>
    </row>
    <row r="10400" spans="1:16" x14ac:dyDescent="0.25">
      <c r="A10400" t="s">
        <v>33072</v>
      </c>
      <c r="B10400" t="s">
        <v>7691</v>
      </c>
      <c r="C10400" t="s">
        <v>7692</v>
      </c>
      <c r="D10400" t="str">
        <f>"7323"</f>
        <v>7323</v>
      </c>
      <c r="E10400" t="s">
        <v>6494</v>
      </c>
      <c r="F10400" t="s">
        <v>5</v>
      </c>
      <c r="G10400" t="s">
        <v>16221</v>
      </c>
      <c r="H10400" t="s">
        <v>47054</v>
      </c>
      <c r="I10400" t="s">
        <v>47111</v>
      </c>
      <c r="J10400" t="s">
        <v>47112</v>
      </c>
      <c r="K10400" t="s">
        <v>47113</v>
      </c>
      <c r="L10400">
        <v>16.52</v>
      </c>
      <c r="M10400">
        <v>30</v>
      </c>
      <c r="N10400">
        <v>0</v>
      </c>
      <c r="O10400">
        <v>30</v>
      </c>
      <c r="P10400">
        <v>0</v>
      </c>
    </row>
    <row r="10401" spans="1:16" x14ac:dyDescent="0.25">
      <c r="A10401" t="s">
        <v>33073</v>
      </c>
      <c r="B10401" t="s">
        <v>7693</v>
      </c>
      <c r="C10401" t="s">
        <v>7694</v>
      </c>
      <c r="D10401" t="str">
        <f>"1746"</f>
        <v>1746</v>
      </c>
      <c r="E10401" t="s">
        <v>807</v>
      </c>
      <c r="F10401" t="s">
        <v>5</v>
      </c>
      <c r="G10401" t="s">
        <v>16221</v>
      </c>
      <c r="H10401" t="s">
        <v>47054</v>
      </c>
      <c r="I10401" t="s">
        <v>47111</v>
      </c>
      <c r="J10401" t="s">
        <v>47112</v>
      </c>
      <c r="K10401" t="s">
        <v>47113</v>
      </c>
      <c r="L10401">
        <v>14.09</v>
      </c>
      <c r="M10401">
        <v>30</v>
      </c>
      <c r="N10401">
        <v>0</v>
      </c>
      <c r="O10401">
        <v>30</v>
      </c>
      <c r="P10401">
        <v>0</v>
      </c>
    </row>
    <row r="10402" spans="1:16" x14ac:dyDescent="0.25">
      <c r="A10402" t="s">
        <v>33074</v>
      </c>
      <c r="B10402" t="s">
        <v>7695</v>
      </c>
      <c r="C10402" t="s">
        <v>7696</v>
      </c>
      <c r="D10402" t="str">
        <f>"4326"</f>
        <v>4326</v>
      </c>
      <c r="E10402" t="s">
        <v>7431</v>
      </c>
      <c r="F10402" t="s">
        <v>5</v>
      </c>
      <c r="G10402" t="s">
        <v>16221</v>
      </c>
      <c r="H10402" t="s">
        <v>47054</v>
      </c>
      <c r="I10402" t="s">
        <v>47111</v>
      </c>
      <c r="J10402" t="s">
        <v>47112</v>
      </c>
      <c r="K10402" t="s">
        <v>47113</v>
      </c>
      <c r="L10402">
        <v>14.31</v>
      </c>
      <c r="M10402">
        <v>30</v>
      </c>
      <c r="N10402">
        <v>0</v>
      </c>
      <c r="O10402">
        <v>30</v>
      </c>
      <c r="P10402">
        <v>0</v>
      </c>
    </row>
    <row r="10403" spans="1:16" x14ac:dyDescent="0.25">
      <c r="A10403" t="s">
        <v>33075</v>
      </c>
      <c r="B10403" t="s">
        <v>7697</v>
      </c>
      <c r="C10403" t="s">
        <v>7698</v>
      </c>
      <c r="D10403" t="str">
        <f>"6332"</f>
        <v>6332</v>
      </c>
      <c r="E10403" t="s">
        <v>6458</v>
      </c>
      <c r="F10403" t="s">
        <v>5</v>
      </c>
      <c r="G10403" t="s">
        <v>16221</v>
      </c>
      <c r="H10403" t="s">
        <v>47054</v>
      </c>
      <c r="I10403" t="s">
        <v>47111</v>
      </c>
      <c r="J10403" t="s">
        <v>47112</v>
      </c>
      <c r="K10403" t="s">
        <v>47113</v>
      </c>
      <c r="L10403">
        <v>14.5</v>
      </c>
      <c r="M10403">
        <v>30</v>
      </c>
      <c r="N10403">
        <v>0</v>
      </c>
      <c r="O10403">
        <v>30</v>
      </c>
      <c r="P10403">
        <v>0</v>
      </c>
    </row>
    <row r="10404" spans="1:16" x14ac:dyDescent="0.25">
      <c r="A10404" t="s">
        <v>33076</v>
      </c>
      <c r="B10404" t="s">
        <v>7699</v>
      </c>
      <c r="C10404" t="s">
        <v>7700</v>
      </c>
      <c r="D10404" t="str">
        <f>"1746"</f>
        <v>1746</v>
      </c>
      <c r="E10404" t="s">
        <v>807</v>
      </c>
      <c r="F10404" t="s">
        <v>6</v>
      </c>
      <c r="G10404" t="s">
        <v>16221</v>
      </c>
      <c r="H10404" t="s">
        <v>47054</v>
      </c>
      <c r="I10404" t="s">
        <v>47111</v>
      </c>
      <c r="J10404" t="s">
        <v>47112</v>
      </c>
      <c r="K10404" t="s">
        <v>47113</v>
      </c>
      <c r="L10404">
        <v>13.28</v>
      </c>
      <c r="M10404">
        <v>36</v>
      </c>
      <c r="N10404">
        <v>0</v>
      </c>
      <c r="O10404">
        <v>36</v>
      </c>
      <c r="P10404">
        <v>0</v>
      </c>
    </row>
    <row r="10405" spans="1:16" x14ac:dyDescent="0.25">
      <c r="A10405" t="s">
        <v>33077</v>
      </c>
      <c r="B10405" t="s">
        <v>7701</v>
      </c>
      <c r="C10405" t="s">
        <v>7702</v>
      </c>
      <c r="D10405" t="str">
        <f>"1165"</f>
        <v>1165</v>
      </c>
      <c r="E10405" t="s">
        <v>1153</v>
      </c>
      <c r="F10405" t="s">
        <v>6</v>
      </c>
      <c r="G10405" t="s">
        <v>16232</v>
      </c>
      <c r="H10405" t="s">
        <v>47054</v>
      </c>
      <c r="I10405" t="s">
        <v>47111</v>
      </c>
      <c r="J10405" t="s">
        <v>47112</v>
      </c>
      <c r="K10405" t="s">
        <v>47113</v>
      </c>
      <c r="L10405">
        <v>23.48</v>
      </c>
      <c r="M10405">
        <v>59</v>
      </c>
      <c r="N10405">
        <v>0</v>
      </c>
      <c r="O10405">
        <v>59</v>
      </c>
      <c r="P10405">
        <v>0</v>
      </c>
    </row>
    <row r="10406" spans="1:16" x14ac:dyDescent="0.25">
      <c r="A10406" t="s">
        <v>33078</v>
      </c>
      <c r="B10406" t="s">
        <v>7701</v>
      </c>
      <c r="C10406" t="s">
        <v>7702</v>
      </c>
      <c r="D10406" t="str">
        <f>"1740"</f>
        <v>1740</v>
      </c>
      <c r="E10406" t="s">
        <v>2747</v>
      </c>
      <c r="F10406" t="s">
        <v>6</v>
      </c>
      <c r="G10406" t="s">
        <v>16232</v>
      </c>
      <c r="H10406" t="s">
        <v>47054</v>
      </c>
      <c r="I10406" t="s">
        <v>47114</v>
      </c>
      <c r="J10406" t="s">
        <v>47115</v>
      </c>
      <c r="K10406" t="s">
        <v>47113</v>
      </c>
      <c r="L10406">
        <v>23.91</v>
      </c>
      <c r="M10406">
        <v>59</v>
      </c>
      <c r="N10406">
        <v>0</v>
      </c>
      <c r="O10406">
        <v>59</v>
      </c>
      <c r="P10406">
        <v>0</v>
      </c>
    </row>
    <row r="10407" spans="1:16" x14ac:dyDescent="0.25">
      <c r="A10407" t="s">
        <v>33079</v>
      </c>
      <c r="B10407" t="s">
        <v>7701</v>
      </c>
      <c r="C10407" t="s">
        <v>7702</v>
      </c>
      <c r="D10407" t="str">
        <f>"6036"</f>
        <v>6036</v>
      </c>
      <c r="E10407" t="s">
        <v>7703</v>
      </c>
      <c r="F10407" t="s">
        <v>6</v>
      </c>
      <c r="G10407" t="s">
        <v>16232</v>
      </c>
      <c r="H10407" t="s">
        <v>47054</v>
      </c>
      <c r="I10407" t="s">
        <v>47111</v>
      </c>
      <c r="J10407" t="s">
        <v>47112</v>
      </c>
      <c r="K10407" t="s">
        <v>47113</v>
      </c>
      <c r="L10407">
        <v>23.91</v>
      </c>
      <c r="M10407">
        <v>59</v>
      </c>
      <c r="N10407">
        <v>0</v>
      </c>
      <c r="O10407">
        <v>59</v>
      </c>
      <c r="P10407">
        <v>0</v>
      </c>
    </row>
    <row r="10408" spans="1:16" x14ac:dyDescent="0.25">
      <c r="A10408" t="s">
        <v>33080</v>
      </c>
      <c r="B10408" t="s">
        <v>7704</v>
      </c>
      <c r="C10408" t="s">
        <v>7705</v>
      </c>
      <c r="D10408" t="str">
        <f>"2633"</f>
        <v>2633</v>
      </c>
      <c r="E10408" t="s">
        <v>2776</v>
      </c>
      <c r="F10408" t="s">
        <v>2</v>
      </c>
      <c r="G10408" t="s">
        <v>16221</v>
      </c>
      <c r="H10408" t="s">
        <v>47054</v>
      </c>
      <c r="I10408" t="s">
        <v>47111</v>
      </c>
      <c r="J10408" t="s">
        <v>47112</v>
      </c>
      <c r="K10408" t="s">
        <v>47113</v>
      </c>
      <c r="L10408">
        <v>32.909999999999997</v>
      </c>
      <c r="M10408">
        <v>45</v>
      </c>
      <c r="N10408">
        <v>0</v>
      </c>
      <c r="O10408">
        <v>45</v>
      </c>
      <c r="P10408">
        <v>0</v>
      </c>
    </row>
    <row r="10409" spans="1:16" x14ac:dyDescent="0.25">
      <c r="A10409" t="s">
        <v>33081</v>
      </c>
      <c r="B10409" t="s">
        <v>7706</v>
      </c>
      <c r="C10409" t="s">
        <v>7707</v>
      </c>
      <c r="D10409" t="str">
        <f>"6177"</f>
        <v>6177</v>
      </c>
      <c r="E10409" t="s">
        <v>7708</v>
      </c>
      <c r="F10409" t="s">
        <v>2</v>
      </c>
      <c r="G10409" t="s">
        <v>16221</v>
      </c>
      <c r="H10409" t="s">
        <v>47054</v>
      </c>
      <c r="I10409" t="s">
        <v>47111</v>
      </c>
      <c r="J10409" t="s">
        <v>47112</v>
      </c>
      <c r="K10409" t="s">
        <v>47113</v>
      </c>
      <c r="L10409">
        <v>32.909999999999997</v>
      </c>
      <c r="M10409">
        <v>47</v>
      </c>
      <c r="N10409">
        <v>0</v>
      </c>
      <c r="O10409">
        <v>47</v>
      </c>
      <c r="P10409">
        <v>0</v>
      </c>
    </row>
    <row r="10410" spans="1:16" x14ac:dyDescent="0.25">
      <c r="A10410" t="s">
        <v>33082</v>
      </c>
      <c r="B10410" t="s">
        <v>7709</v>
      </c>
      <c r="C10410" t="s">
        <v>7710</v>
      </c>
      <c r="D10410" t="str">
        <f>"1904"</f>
        <v>1904</v>
      </c>
      <c r="E10410" t="s">
        <v>2779</v>
      </c>
      <c r="F10410" t="s">
        <v>2</v>
      </c>
      <c r="G10410" t="s">
        <v>16221</v>
      </c>
      <c r="H10410" t="s">
        <v>47054</v>
      </c>
      <c r="I10410" t="s">
        <v>47111</v>
      </c>
      <c r="J10410" t="s">
        <v>47112</v>
      </c>
      <c r="K10410" t="s">
        <v>47113</v>
      </c>
      <c r="L10410">
        <v>32.909999999999997</v>
      </c>
      <c r="M10410">
        <v>44</v>
      </c>
      <c r="N10410">
        <v>0</v>
      </c>
      <c r="O10410">
        <v>44</v>
      </c>
      <c r="P10410">
        <v>0</v>
      </c>
    </row>
    <row r="10411" spans="1:16" x14ac:dyDescent="0.25">
      <c r="A10411" t="s">
        <v>33083</v>
      </c>
      <c r="B10411" t="s">
        <v>7711</v>
      </c>
      <c r="C10411" t="s">
        <v>7712</v>
      </c>
      <c r="D10411" t="str">
        <f>"1365"</f>
        <v>1365</v>
      </c>
      <c r="E10411" t="s">
        <v>7713</v>
      </c>
      <c r="F10411" t="s">
        <v>2</v>
      </c>
      <c r="G10411" t="s">
        <v>16221</v>
      </c>
      <c r="H10411" t="s">
        <v>47054</v>
      </c>
      <c r="I10411" t="s">
        <v>47111</v>
      </c>
      <c r="J10411" t="s">
        <v>47112</v>
      </c>
      <c r="K10411" t="s">
        <v>47113</v>
      </c>
      <c r="L10411">
        <v>15.17</v>
      </c>
      <c r="M10411">
        <v>40</v>
      </c>
      <c r="N10411">
        <v>0</v>
      </c>
      <c r="O10411">
        <v>40</v>
      </c>
      <c r="P10411">
        <v>0</v>
      </c>
    </row>
    <row r="10412" spans="1:16" x14ac:dyDescent="0.25">
      <c r="A10412" t="s">
        <v>33084</v>
      </c>
      <c r="B10412" t="s">
        <v>7711</v>
      </c>
      <c r="C10412" t="s">
        <v>7712</v>
      </c>
      <c r="D10412" t="str">
        <f>"1900"</f>
        <v>1900</v>
      </c>
      <c r="E10412" t="s">
        <v>2788</v>
      </c>
      <c r="F10412" t="s">
        <v>2</v>
      </c>
      <c r="G10412" t="s">
        <v>16221</v>
      </c>
      <c r="H10412" t="s">
        <v>47054</v>
      </c>
      <c r="I10412" t="s">
        <v>47111</v>
      </c>
      <c r="J10412" t="s">
        <v>47112</v>
      </c>
      <c r="K10412" t="s">
        <v>47113</v>
      </c>
      <c r="L10412">
        <v>15.17</v>
      </c>
      <c r="M10412">
        <v>40</v>
      </c>
      <c r="N10412">
        <v>0</v>
      </c>
      <c r="O10412">
        <v>40</v>
      </c>
      <c r="P10412">
        <v>0</v>
      </c>
    </row>
    <row r="10413" spans="1:16" x14ac:dyDescent="0.25">
      <c r="A10413" t="s">
        <v>33085</v>
      </c>
      <c r="B10413" t="s">
        <v>7711</v>
      </c>
      <c r="C10413" t="s">
        <v>7712</v>
      </c>
      <c r="D10413" t="str">
        <f>"1905"</f>
        <v>1905</v>
      </c>
      <c r="E10413" t="s">
        <v>7714</v>
      </c>
      <c r="F10413" t="s">
        <v>2</v>
      </c>
      <c r="G10413" t="s">
        <v>16221</v>
      </c>
      <c r="H10413" t="s">
        <v>47054</v>
      </c>
      <c r="I10413" t="s">
        <v>47111</v>
      </c>
      <c r="J10413" t="s">
        <v>47112</v>
      </c>
      <c r="K10413" t="s">
        <v>47113</v>
      </c>
      <c r="L10413">
        <v>15.17</v>
      </c>
      <c r="M10413">
        <v>40</v>
      </c>
      <c r="N10413">
        <v>0</v>
      </c>
      <c r="O10413">
        <v>40</v>
      </c>
      <c r="P10413">
        <v>0</v>
      </c>
    </row>
    <row r="10414" spans="1:16" x14ac:dyDescent="0.25">
      <c r="A10414" t="s">
        <v>33086</v>
      </c>
      <c r="B10414" t="s">
        <v>7715</v>
      </c>
      <c r="C10414" t="s">
        <v>2784</v>
      </c>
      <c r="D10414" t="str">
        <f>"4810"</f>
        <v>4810</v>
      </c>
      <c r="E10414" t="s">
        <v>2785</v>
      </c>
      <c r="F10414" t="s">
        <v>2</v>
      </c>
      <c r="G10414" t="s">
        <v>16221</v>
      </c>
      <c r="H10414" t="s">
        <v>47054</v>
      </c>
      <c r="I10414" t="s">
        <v>47111</v>
      </c>
      <c r="J10414" t="s">
        <v>47112</v>
      </c>
      <c r="K10414" t="s">
        <v>47113</v>
      </c>
      <c r="L10414">
        <v>13.11</v>
      </c>
      <c r="M10414">
        <v>36</v>
      </c>
      <c r="N10414">
        <v>0</v>
      </c>
      <c r="O10414">
        <v>36</v>
      </c>
      <c r="P10414">
        <v>0</v>
      </c>
    </row>
    <row r="10415" spans="1:16" x14ac:dyDescent="0.25">
      <c r="A10415" t="s">
        <v>33087</v>
      </c>
      <c r="B10415" t="s">
        <v>7716</v>
      </c>
      <c r="C10415" t="s">
        <v>2781</v>
      </c>
      <c r="D10415" t="str">
        <f>"1898"</f>
        <v>1898</v>
      </c>
      <c r="E10415" t="s">
        <v>2782</v>
      </c>
      <c r="F10415" t="s">
        <v>2</v>
      </c>
      <c r="G10415" t="s">
        <v>16221</v>
      </c>
      <c r="H10415" t="s">
        <v>47054</v>
      </c>
      <c r="I10415" t="s">
        <v>47111</v>
      </c>
      <c r="J10415" t="s">
        <v>47112</v>
      </c>
      <c r="K10415" t="s">
        <v>47113</v>
      </c>
      <c r="L10415">
        <v>32.909999999999997</v>
      </c>
      <c r="M10415">
        <v>35</v>
      </c>
      <c r="N10415">
        <v>0</v>
      </c>
      <c r="O10415">
        <v>35</v>
      </c>
      <c r="P10415">
        <v>0</v>
      </c>
    </row>
    <row r="10416" spans="1:16" x14ac:dyDescent="0.25">
      <c r="A10416" t="s">
        <v>33088</v>
      </c>
      <c r="B10416" t="s">
        <v>7717</v>
      </c>
      <c r="C10416" t="s">
        <v>7718</v>
      </c>
      <c r="D10416" t="str">
        <f>"1964"</f>
        <v>1964</v>
      </c>
      <c r="E10416" t="s">
        <v>7719</v>
      </c>
      <c r="F10416" t="s">
        <v>5</v>
      </c>
      <c r="G10416" t="s">
        <v>16221</v>
      </c>
      <c r="H10416" t="s">
        <v>47054</v>
      </c>
      <c r="I10416" t="s">
        <v>47111</v>
      </c>
      <c r="J10416" t="s">
        <v>47112</v>
      </c>
      <c r="K10416" t="s">
        <v>47113</v>
      </c>
      <c r="L10416">
        <v>16.57</v>
      </c>
      <c r="M10416">
        <v>34</v>
      </c>
      <c r="N10416">
        <v>0</v>
      </c>
      <c r="O10416">
        <v>34</v>
      </c>
      <c r="P10416">
        <v>0</v>
      </c>
    </row>
    <row r="10417" spans="1:16" x14ac:dyDescent="0.25">
      <c r="A10417" t="s">
        <v>33089</v>
      </c>
      <c r="B10417" t="s">
        <v>7717</v>
      </c>
      <c r="C10417" t="s">
        <v>7718</v>
      </c>
      <c r="D10417" t="str">
        <f>"3448"</f>
        <v>3448</v>
      </c>
      <c r="E10417" t="s">
        <v>7720</v>
      </c>
      <c r="F10417" t="s">
        <v>5</v>
      </c>
      <c r="G10417" t="s">
        <v>16221</v>
      </c>
      <c r="H10417" t="s">
        <v>47054</v>
      </c>
      <c r="I10417" t="s">
        <v>47111</v>
      </c>
      <c r="J10417" t="s">
        <v>47112</v>
      </c>
      <c r="K10417" t="s">
        <v>47113</v>
      </c>
      <c r="L10417">
        <v>18.309999999999999</v>
      </c>
      <c r="M10417">
        <v>34</v>
      </c>
      <c r="N10417">
        <v>0</v>
      </c>
      <c r="O10417">
        <v>34</v>
      </c>
      <c r="P10417">
        <v>0</v>
      </c>
    </row>
    <row r="10418" spans="1:16" x14ac:dyDescent="0.25">
      <c r="A10418" t="s">
        <v>33090</v>
      </c>
      <c r="B10418" t="s">
        <v>7717</v>
      </c>
      <c r="C10418" t="s">
        <v>7718</v>
      </c>
      <c r="D10418" t="str">
        <f>"5141"</f>
        <v>5141</v>
      </c>
      <c r="E10418" t="s">
        <v>7721</v>
      </c>
      <c r="F10418" t="s">
        <v>5</v>
      </c>
      <c r="G10418" t="s">
        <v>16221</v>
      </c>
      <c r="H10418" t="s">
        <v>47054</v>
      </c>
      <c r="I10418" t="s">
        <v>47111</v>
      </c>
      <c r="J10418" t="s">
        <v>47112</v>
      </c>
      <c r="K10418" t="s">
        <v>47113</v>
      </c>
      <c r="L10418">
        <v>18.309999999999999</v>
      </c>
      <c r="M10418">
        <v>34</v>
      </c>
      <c r="N10418">
        <v>0</v>
      </c>
      <c r="O10418">
        <v>34</v>
      </c>
      <c r="P10418">
        <v>0</v>
      </c>
    </row>
    <row r="10419" spans="1:16" x14ac:dyDescent="0.25">
      <c r="A10419" t="s">
        <v>33091</v>
      </c>
      <c r="B10419" t="s">
        <v>7717</v>
      </c>
      <c r="C10419" t="s">
        <v>7718</v>
      </c>
      <c r="D10419" t="str">
        <f>"6357"</f>
        <v>6357</v>
      </c>
      <c r="E10419" t="s">
        <v>7722</v>
      </c>
      <c r="F10419" t="s">
        <v>5</v>
      </c>
      <c r="G10419" t="s">
        <v>16221</v>
      </c>
      <c r="H10419" t="s">
        <v>47054</v>
      </c>
      <c r="I10419" t="s">
        <v>47111</v>
      </c>
      <c r="J10419" t="s">
        <v>47112</v>
      </c>
      <c r="K10419" t="s">
        <v>47113</v>
      </c>
      <c r="L10419">
        <v>18.309999999999999</v>
      </c>
      <c r="M10419">
        <v>34</v>
      </c>
      <c r="N10419">
        <v>0</v>
      </c>
      <c r="O10419">
        <v>34</v>
      </c>
      <c r="P10419">
        <v>0</v>
      </c>
    </row>
    <row r="10420" spans="1:16" x14ac:dyDescent="0.25">
      <c r="A10420" t="s">
        <v>33092</v>
      </c>
      <c r="B10420" t="s">
        <v>7723</v>
      </c>
      <c r="C10420" t="s">
        <v>7724</v>
      </c>
      <c r="D10420" t="str">
        <f>"1853"</f>
        <v>1853</v>
      </c>
      <c r="E10420" t="s">
        <v>7725</v>
      </c>
      <c r="F10420" t="s">
        <v>5</v>
      </c>
      <c r="G10420" t="s">
        <v>16221</v>
      </c>
      <c r="H10420" t="s">
        <v>47054</v>
      </c>
      <c r="I10420" t="s">
        <v>47111</v>
      </c>
      <c r="J10420" t="s">
        <v>47112</v>
      </c>
      <c r="K10420" t="s">
        <v>47113</v>
      </c>
      <c r="L10420">
        <v>14.47</v>
      </c>
      <c r="M10420">
        <v>34</v>
      </c>
      <c r="N10420">
        <v>0</v>
      </c>
      <c r="O10420">
        <v>34</v>
      </c>
      <c r="P10420">
        <v>0</v>
      </c>
    </row>
    <row r="10421" spans="1:16" x14ac:dyDescent="0.25">
      <c r="A10421" t="s">
        <v>33093</v>
      </c>
      <c r="B10421" t="s">
        <v>7723</v>
      </c>
      <c r="C10421" t="s">
        <v>7724</v>
      </c>
      <c r="D10421" t="str">
        <f>"6335"</f>
        <v>6335</v>
      </c>
      <c r="E10421" t="s">
        <v>7726</v>
      </c>
      <c r="F10421" t="s">
        <v>5</v>
      </c>
      <c r="G10421" t="s">
        <v>16221</v>
      </c>
      <c r="H10421" t="s">
        <v>47054</v>
      </c>
      <c r="I10421" t="s">
        <v>47111</v>
      </c>
      <c r="J10421" t="s">
        <v>47112</v>
      </c>
      <c r="K10421" t="s">
        <v>47113</v>
      </c>
      <c r="L10421">
        <v>18.61</v>
      </c>
      <c r="M10421">
        <v>34</v>
      </c>
      <c r="N10421">
        <v>0</v>
      </c>
      <c r="O10421">
        <v>34</v>
      </c>
      <c r="P10421">
        <v>0</v>
      </c>
    </row>
    <row r="10422" spans="1:16" x14ac:dyDescent="0.25">
      <c r="A10422" t="s">
        <v>33094</v>
      </c>
      <c r="B10422" t="s">
        <v>7723</v>
      </c>
      <c r="C10422" t="s">
        <v>7724</v>
      </c>
      <c r="D10422" t="str">
        <f>"7389"</f>
        <v>7389</v>
      </c>
      <c r="E10422" t="s">
        <v>7727</v>
      </c>
      <c r="F10422" t="s">
        <v>5</v>
      </c>
      <c r="G10422" t="s">
        <v>16221</v>
      </c>
      <c r="H10422" t="s">
        <v>47054</v>
      </c>
      <c r="I10422" t="s">
        <v>47111</v>
      </c>
      <c r="J10422" t="s">
        <v>47112</v>
      </c>
      <c r="K10422" t="s">
        <v>47113</v>
      </c>
      <c r="L10422">
        <v>18.61</v>
      </c>
      <c r="M10422">
        <v>34</v>
      </c>
      <c r="N10422">
        <v>0</v>
      </c>
      <c r="O10422">
        <v>34</v>
      </c>
      <c r="P10422">
        <v>0</v>
      </c>
    </row>
    <row r="10423" spans="1:16" x14ac:dyDescent="0.25">
      <c r="A10423" t="s">
        <v>33095</v>
      </c>
      <c r="B10423" t="s">
        <v>7723</v>
      </c>
      <c r="C10423" t="s">
        <v>7724</v>
      </c>
      <c r="D10423" t="str">
        <f>"7390"</f>
        <v>7390</v>
      </c>
      <c r="E10423" t="s">
        <v>7728</v>
      </c>
      <c r="F10423" t="s">
        <v>5</v>
      </c>
      <c r="G10423" t="s">
        <v>16221</v>
      </c>
      <c r="H10423" t="s">
        <v>47054</v>
      </c>
      <c r="I10423" t="s">
        <v>47111</v>
      </c>
      <c r="J10423" t="s">
        <v>47112</v>
      </c>
      <c r="K10423" t="s">
        <v>47113</v>
      </c>
      <c r="L10423">
        <v>18.61</v>
      </c>
      <c r="M10423">
        <v>34</v>
      </c>
      <c r="N10423">
        <v>0</v>
      </c>
      <c r="O10423">
        <v>34</v>
      </c>
      <c r="P10423">
        <v>0</v>
      </c>
    </row>
    <row r="10424" spans="1:16" x14ac:dyDescent="0.25">
      <c r="A10424" t="s">
        <v>33096</v>
      </c>
      <c r="B10424" t="s">
        <v>7729</v>
      </c>
      <c r="C10424" t="s">
        <v>7730</v>
      </c>
      <c r="D10424" t="str">
        <f>"1033"</f>
        <v>1033</v>
      </c>
      <c r="E10424" t="s">
        <v>1195</v>
      </c>
      <c r="F10424" t="s">
        <v>4</v>
      </c>
      <c r="G10424" t="s">
        <v>16221</v>
      </c>
      <c r="H10424" t="s">
        <v>47054</v>
      </c>
      <c r="I10424" t="s">
        <v>47111</v>
      </c>
      <c r="J10424" t="s">
        <v>47112</v>
      </c>
      <c r="K10424" t="s">
        <v>47113</v>
      </c>
      <c r="L10424">
        <v>20.07</v>
      </c>
      <c r="M10424">
        <v>49</v>
      </c>
      <c r="N10424">
        <v>0</v>
      </c>
      <c r="O10424">
        <v>49</v>
      </c>
      <c r="P10424">
        <v>0</v>
      </c>
    </row>
    <row r="10425" spans="1:16" x14ac:dyDescent="0.25">
      <c r="A10425" t="s">
        <v>33097</v>
      </c>
      <c r="B10425" t="s">
        <v>7729</v>
      </c>
      <c r="C10425" t="s">
        <v>7730</v>
      </c>
      <c r="D10425" t="str">
        <f>"1746"</f>
        <v>1746</v>
      </c>
      <c r="E10425" t="s">
        <v>807</v>
      </c>
      <c r="F10425" t="s">
        <v>4</v>
      </c>
      <c r="G10425" t="s">
        <v>16221</v>
      </c>
      <c r="H10425" t="s">
        <v>47054</v>
      </c>
      <c r="I10425" t="s">
        <v>47111</v>
      </c>
      <c r="J10425" t="s">
        <v>47112</v>
      </c>
      <c r="K10425" t="s">
        <v>47113</v>
      </c>
      <c r="L10425">
        <v>18.440000000000001</v>
      </c>
      <c r="M10425">
        <v>45</v>
      </c>
      <c r="N10425">
        <v>0</v>
      </c>
      <c r="O10425">
        <v>45</v>
      </c>
      <c r="P10425">
        <v>0</v>
      </c>
    </row>
    <row r="10426" spans="1:16" x14ac:dyDescent="0.25">
      <c r="A10426" t="s">
        <v>33098</v>
      </c>
      <c r="B10426" t="s">
        <v>7729</v>
      </c>
      <c r="C10426" t="s">
        <v>7730</v>
      </c>
      <c r="D10426" t="str">
        <f>"4326"</f>
        <v>4326</v>
      </c>
      <c r="E10426" t="s">
        <v>7431</v>
      </c>
      <c r="F10426" t="s">
        <v>4</v>
      </c>
      <c r="G10426" t="s">
        <v>16221</v>
      </c>
      <c r="H10426" t="s">
        <v>47054</v>
      </c>
      <c r="I10426" t="s">
        <v>47111</v>
      </c>
      <c r="J10426" t="s">
        <v>47112</v>
      </c>
      <c r="K10426" t="s">
        <v>47113</v>
      </c>
      <c r="L10426">
        <v>20.07</v>
      </c>
      <c r="M10426">
        <v>49</v>
      </c>
      <c r="N10426">
        <v>0</v>
      </c>
      <c r="O10426">
        <v>49</v>
      </c>
      <c r="P10426">
        <v>0</v>
      </c>
    </row>
    <row r="10427" spans="1:16" x14ac:dyDescent="0.25">
      <c r="A10427" t="s">
        <v>33099</v>
      </c>
      <c r="B10427" t="s">
        <v>7731</v>
      </c>
      <c r="C10427" t="s">
        <v>7732</v>
      </c>
      <c r="D10427" t="str">
        <f>"3485"</f>
        <v>3485</v>
      </c>
      <c r="E10427" t="s">
        <v>7733</v>
      </c>
      <c r="F10427" t="s">
        <v>0</v>
      </c>
      <c r="G10427" t="s">
        <v>16221</v>
      </c>
      <c r="H10427" t="s">
        <v>47054</v>
      </c>
      <c r="I10427" t="s">
        <v>47111</v>
      </c>
      <c r="J10427" t="s">
        <v>47112</v>
      </c>
      <c r="K10427" t="s">
        <v>47113</v>
      </c>
      <c r="L10427">
        <v>20.96</v>
      </c>
      <c r="M10427">
        <v>34</v>
      </c>
      <c r="N10427">
        <v>0</v>
      </c>
      <c r="O10427">
        <v>34</v>
      </c>
      <c r="P10427">
        <v>0</v>
      </c>
    </row>
    <row r="10428" spans="1:16" x14ac:dyDescent="0.25">
      <c r="A10428" t="s">
        <v>33100</v>
      </c>
      <c r="B10428" t="s">
        <v>7734</v>
      </c>
      <c r="C10428" t="s">
        <v>17732</v>
      </c>
      <c r="D10428" t="str">
        <f>"4100"</f>
        <v>4100</v>
      </c>
      <c r="E10428" t="s">
        <v>7735</v>
      </c>
      <c r="F10428" t="s">
        <v>3558</v>
      </c>
      <c r="G10428" t="s">
        <v>16232</v>
      </c>
      <c r="H10428" t="s">
        <v>47054</v>
      </c>
      <c r="I10428" t="s">
        <v>47569</v>
      </c>
      <c r="J10428" t="s">
        <v>47570</v>
      </c>
      <c r="K10428" t="s">
        <v>47113</v>
      </c>
      <c r="L10428">
        <v>15.44</v>
      </c>
      <c r="M10428">
        <v>33</v>
      </c>
      <c r="N10428">
        <v>0</v>
      </c>
      <c r="O10428">
        <v>33</v>
      </c>
      <c r="P10428">
        <v>0</v>
      </c>
    </row>
    <row r="10429" spans="1:16" x14ac:dyDescent="0.25">
      <c r="A10429" t="s">
        <v>33101</v>
      </c>
      <c r="B10429" t="s">
        <v>7736</v>
      </c>
      <c r="C10429" t="s">
        <v>7737</v>
      </c>
      <c r="D10429" t="str">
        <f>"1700"</f>
        <v>1700</v>
      </c>
      <c r="E10429" t="s">
        <v>60</v>
      </c>
      <c r="F10429" t="s">
        <v>8</v>
      </c>
      <c r="G10429" t="s">
        <v>48038</v>
      </c>
      <c r="H10429" t="s">
        <v>47054</v>
      </c>
      <c r="I10429" t="s">
        <v>47120</v>
      </c>
      <c r="J10429" t="s">
        <v>47121</v>
      </c>
      <c r="K10429" t="s">
        <v>47113</v>
      </c>
      <c r="L10429">
        <v>29.71</v>
      </c>
      <c r="M10429">
        <v>68</v>
      </c>
      <c r="N10429">
        <v>0</v>
      </c>
      <c r="O10429">
        <v>68</v>
      </c>
      <c r="P10429">
        <v>0</v>
      </c>
    </row>
    <row r="10430" spans="1:16" x14ac:dyDescent="0.25">
      <c r="A10430" t="s">
        <v>33102</v>
      </c>
      <c r="B10430" t="s">
        <v>7736</v>
      </c>
      <c r="C10430" t="s">
        <v>7737</v>
      </c>
      <c r="D10430" t="str">
        <f>"2001"</f>
        <v>2001</v>
      </c>
      <c r="E10430" t="s">
        <v>2354</v>
      </c>
      <c r="F10430" t="s">
        <v>8</v>
      </c>
      <c r="G10430" t="s">
        <v>48038</v>
      </c>
      <c r="H10430" t="s">
        <v>47054</v>
      </c>
      <c r="I10430" t="s">
        <v>47120</v>
      </c>
      <c r="J10430" t="s">
        <v>47121</v>
      </c>
      <c r="K10430" t="s">
        <v>47113</v>
      </c>
      <c r="L10430">
        <v>29.71</v>
      </c>
      <c r="M10430">
        <v>68</v>
      </c>
      <c r="N10430">
        <v>0</v>
      </c>
      <c r="O10430">
        <v>68</v>
      </c>
      <c r="P10430">
        <v>0</v>
      </c>
    </row>
    <row r="10431" spans="1:16" x14ac:dyDescent="0.25">
      <c r="A10431" t="s">
        <v>33103</v>
      </c>
      <c r="B10431" t="s">
        <v>7738</v>
      </c>
      <c r="C10431" t="s">
        <v>7739</v>
      </c>
      <c r="D10431" t="str">
        <f>"1700"</f>
        <v>1700</v>
      </c>
      <c r="E10431" t="s">
        <v>60</v>
      </c>
      <c r="F10431" t="s">
        <v>8</v>
      </c>
      <c r="G10431" t="s">
        <v>48038</v>
      </c>
      <c r="H10431" t="s">
        <v>47054</v>
      </c>
      <c r="I10431" t="s">
        <v>47120</v>
      </c>
      <c r="J10431" t="s">
        <v>47121</v>
      </c>
      <c r="K10431" t="s">
        <v>47113</v>
      </c>
      <c r="L10431">
        <v>28.06</v>
      </c>
      <c r="M10431">
        <v>71</v>
      </c>
      <c r="N10431">
        <v>0</v>
      </c>
      <c r="O10431">
        <v>71</v>
      </c>
      <c r="P10431">
        <v>0</v>
      </c>
    </row>
    <row r="10432" spans="1:16" x14ac:dyDescent="0.25">
      <c r="A10432" t="s">
        <v>33104</v>
      </c>
      <c r="B10432" t="s">
        <v>7740</v>
      </c>
      <c r="C10432" t="s">
        <v>7741</v>
      </c>
      <c r="D10432" t="str">
        <f>"1001"</f>
        <v>1001</v>
      </c>
      <c r="E10432" t="s">
        <v>42</v>
      </c>
      <c r="F10432" t="s">
        <v>52</v>
      </c>
      <c r="G10432" t="s">
        <v>48039</v>
      </c>
      <c r="H10432" t="s">
        <v>47054</v>
      </c>
      <c r="I10432" t="s">
        <v>48040</v>
      </c>
      <c r="J10432" t="s">
        <v>48041</v>
      </c>
      <c r="K10432" t="s">
        <v>47113</v>
      </c>
      <c r="L10432">
        <v>11.72</v>
      </c>
      <c r="M10432">
        <v>18</v>
      </c>
      <c r="N10432">
        <v>0</v>
      </c>
      <c r="O10432">
        <v>18</v>
      </c>
      <c r="P10432">
        <v>0</v>
      </c>
    </row>
    <row r="10433" spans="1:16" x14ac:dyDescent="0.25">
      <c r="A10433" t="s">
        <v>33105</v>
      </c>
      <c r="B10433" t="s">
        <v>7742</v>
      </c>
      <c r="C10433" t="s">
        <v>7743</v>
      </c>
      <c r="D10433" t="str">
        <f>"1001"</f>
        <v>1001</v>
      </c>
      <c r="E10433" t="s">
        <v>42</v>
      </c>
      <c r="F10433" t="s">
        <v>52</v>
      </c>
      <c r="G10433" t="s">
        <v>46688</v>
      </c>
      <c r="H10433" t="s">
        <v>47054</v>
      </c>
      <c r="I10433" t="s">
        <v>47120</v>
      </c>
      <c r="J10433" t="s">
        <v>47121</v>
      </c>
      <c r="K10433" t="s">
        <v>47113</v>
      </c>
      <c r="L10433">
        <v>15.75</v>
      </c>
      <c r="M10433">
        <v>23</v>
      </c>
      <c r="N10433">
        <v>0</v>
      </c>
      <c r="O10433">
        <v>23</v>
      </c>
      <c r="P10433">
        <v>0</v>
      </c>
    </row>
    <row r="10434" spans="1:16" x14ac:dyDescent="0.25">
      <c r="A10434" t="s">
        <v>33106</v>
      </c>
      <c r="B10434" t="s">
        <v>7742</v>
      </c>
      <c r="C10434" t="s">
        <v>7743</v>
      </c>
      <c r="D10434" t="str">
        <f>"1200"</f>
        <v>1200</v>
      </c>
      <c r="E10434" t="s">
        <v>241</v>
      </c>
      <c r="F10434" t="s">
        <v>52</v>
      </c>
      <c r="G10434" t="s">
        <v>46688</v>
      </c>
      <c r="H10434" t="s">
        <v>47054</v>
      </c>
      <c r="I10434" t="s">
        <v>47120</v>
      </c>
      <c r="J10434" t="s">
        <v>47121</v>
      </c>
      <c r="K10434" t="s">
        <v>47113</v>
      </c>
      <c r="L10434">
        <v>15.77</v>
      </c>
      <c r="M10434">
        <v>23</v>
      </c>
      <c r="N10434">
        <v>0</v>
      </c>
      <c r="O10434">
        <v>23</v>
      </c>
      <c r="P10434">
        <v>0</v>
      </c>
    </row>
    <row r="10435" spans="1:16" x14ac:dyDescent="0.25">
      <c r="A10435" t="s">
        <v>33107</v>
      </c>
      <c r="B10435" t="s">
        <v>7744</v>
      </c>
      <c r="C10435" t="s">
        <v>7745</v>
      </c>
      <c r="D10435" t="str">
        <f>"1470"</f>
        <v>1470</v>
      </c>
      <c r="E10435" t="s">
        <v>7746</v>
      </c>
      <c r="F10435" t="s">
        <v>2068</v>
      </c>
      <c r="G10435" t="s">
        <v>46688</v>
      </c>
      <c r="H10435" t="s">
        <v>47054</v>
      </c>
      <c r="I10435" t="s">
        <v>47120</v>
      </c>
      <c r="J10435" t="s">
        <v>47121</v>
      </c>
      <c r="K10435" t="s">
        <v>47113</v>
      </c>
      <c r="L10435">
        <v>20.3</v>
      </c>
      <c r="M10435">
        <v>46</v>
      </c>
      <c r="N10435">
        <v>0</v>
      </c>
      <c r="O10435">
        <v>46</v>
      </c>
      <c r="P10435">
        <v>0</v>
      </c>
    </row>
    <row r="10436" spans="1:16" x14ac:dyDescent="0.25">
      <c r="A10436" t="s">
        <v>33108</v>
      </c>
      <c r="B10436" t="s">
        <v>7744</v>
      </c>
      <c r="C10436" t="s">
        <v>7745</v>
      </c>
      <c r="D10436" t="str">
        <f>"2699"</f>
        <v>2699</v>
      </c>
      <c r="E10436" t="s">
        <v>7747</v>
      </c>
      <c r="F10436" t="s">
        <v>2068</v>
      </c>
      <c r="G10436" t="s">
        <v>46688</v>
      </c>
      <c r="H10436" t="s">
        <v>47054</v>
      </c>
      <c r="I10436" t="s">
        <v>47120</v>
      </c>
      <c r="J10436" t="s">
        <v>47121</v>
      </c>
      <c r="K10436" t="s">
        <v>47113</v>
      </c>
      <c r="L10436">
        <v>20.3</v>
      </c>
      <c r="M10436">
        <v>46</v>
      </c>
      <c r="N10436">
        <v>0</v>
      </c>
      <c r="O10436">
        <v>46</v>
      </c>
      <c r="P10436">
        <v>0</v>
      </c>
    </row>
    <row r="10437" spans="1:16" x14ac:dyDescent="0.25">
      <c r="A10437" t="s">
        <v>33109</v>
      </c>
      <c r="B10437" t="s">
        <v>7744</v>
      </c>
      <c r="C10437" t="s">
        <v>7745</v>
      </c>
      <c r="D10437" t="str">
        <f>"8411"</f>
        <v>8411</v>
      </c>
      <c r="E10437" t="s">
        <v>7748</v>
      </c>
      <c r="F10437" t="s">
        <v>2068</v>
      </c>
      <c r="G10437" t="s">
        <v>46688</v>
      </c>
      <c r="H10437" t="s">
        <v>47054</v>
      </c>
      <c r="I10437" t="s">
        <v>47120</v>
      </c>
      <c r="J10437" t="s">
        <v>47121</v>
      </c>
      <c r="K10437" t="s">
        <v>47113</v>
      </c>
      <c r="L10437">
        <v>20.3</v>
      </c>
      <c r="M10437">
        <v>46</v>
      </c>
      <c r="N10437">
        <v>0</v>
      </c>
      <c r="O10437">
        <v>46</v>
      </c>
      <c r="P10437">
        <v>0</v>
      </c>
    </row>
    <row r="10438" spans="1:16" x14ac:dyDescent="0.25">
      <c r="A10438" t="s">
        <v>33110</v>
      </c>
      <c r="B10438" t="s">
        <v>7749</v>
      </c>
      <c r="C10438" t="s">
        <v>7750</v>
      </c>
      <c r="D10438" t="str">
        <f>"1001"</f>
        <v>1001</v>
      </c>
      <c r="E10438" t="s">
        <v>42</v>
      </c>
      <c r="F10438" t="s">
        <v>2068</v>
      </c>
      <c r="G10438" t="s">
        <v>46688</v>
      </c>
      <c r="H10438" t="s">
        <v>47054</v>
      </c>
      <c r="I10438" t="s">
        <v>47120</v>
      </c>
      <c r="J10438" t="s">
        <v>47121</v>
      </c>
      <c r="K10438" t="s">
        <v>47113</v>
      </c>
      <c r="L10438">
        <v>31.13</v>
      </c>
      <c r="M10438">
        <v>70</v>
      </c>
      <c r="N10438">
        <v>0</v>
      </c>
      <c r="O10438">
        <v>70</v>
      </c>
      <c r="P10438">
        <v>0</v>
      </c>
    </row>
    <row r="10439" spans="1:16" x14ac:dyDescent="0.25">
      <c r="A10439" t="s">
        <v>33111</v>
      </c>
      <c r="B10439" t="s">
        <v>7749</v>
      </c>
      <c r="C10439" t="s">
        <v>7750</v>
      </c>
      <c r="D10439" t="str">
        <f>"3525"</f>
        <v>3525</v>
      </c>
      <c r="E10439" t="s">
        <v>7751</v>
      </c>
      <c r="F10439" t="s">
        <v>2068</v>
      </c>
      <c r="G10439" t="s">
        <v>46688</v>
      </c>
      <c r="H10439" t="s">
        <v>47054</v>
      </c>
      <c r="I10439" t="s">
        <v>47120</v>
      </c>
      <c r="J10439" t="s">
        <v>47121</v>
      </c>
      <c r="K10439" t="s">
        <v>47113</v>
      </c>
      <c r="L10439">
        <v>31.13</v>
      </c>
      <c r="M10439">
        <v>70</v>
      </c>
      <c r="N10439">
        <v>0</v>
      </c>
      <c r="O10439">
        <v>70</v>
      </c>
      <c r="P10439">
        <v>0</v>
      </c>
    </row>
    <row r="10440" spans="1:16" x14ac:dyDescent="0.25">
      <c r="A10440" t="s">
        <v>33112</v>
      </c>
      <c r="B10440" t="s">
        <v>7749</v>
      </c>
      <c r="C10440" t="s">
        <v>7750</v>
      </c>
      <c r="D10440" t="str">
        <f>"8411"</f>
        <v>8411</v>
      </c>
      <c r="E10440" t="s">
        <v>7748</v>
      </c>
      <c r="F10440" t="s">
        <v>2068</v>
      </c>
      <c r="G10440" t="s">
        <v>46688</v>
      </c>
      <c r="H10440" t="s">
        <v>47054</v>
      </c>
      <c r="I10440" t="s">
        <v>47120</v>
      </c>
      <c r="J10440" t="s">
        <v>47121</v>
      </c>
      <c r="K10440" t="s">
        <v>47113</v>
      </c>
      <c r="L10440">
        <v>31.13</v>
      </c>
      <c r="M10440">
        <v>70</v>
      </c>
      <c r="N10440">
        <v>0</v>
      </c>
      <c r="O10440">
        <v>70</v>
      </c>
      <c r="P10440">
        <v>0</v>
      </c>
    </row>
    <row r="10441" spans="1:16" x14ac:dyDescent="0.25">
      <c r="A10441" t="s">
        <v>33113</v>
      </c>
      <c r="B10441" t="s">
        <v>7752</v>
      </c>
      <c r="C10441" t="s">
        <v>7753</v>
      </c>
      <c r="D10441" t="str">
        <f>"1001"</f>
        <v>1001</v>
      </c>
      <c r="E10441" t="s">
        <v>42</v>
      </c>
      <c r="F10441" t="s">
        <v>2068</v>
      </c>
      <c r="G10441" t="s">
        <v>46688</v>
      </c>
      <c r="H10441" t="s">
        <v>47054</v>
      </c>
      <c r="I10441" t="s">
        <v>47120</v>
      </c>
      <c r="J10441" t="s">
        <v>47121</v>
      </c>
      <c r="K10441" t="s">
        <v>47113</v>
      </c>
      <c r="L10441">
        <v>18.95</v>
      </c>
      <c r="M10441">
        <v>43</v>
      </c>
      <c r="N10441">
        <v>0</v>
      </c>
      <c r="O10441">
        <v>43</v>
      </c>
      <c r="P10441">
        <v>0</v>
      </c>
    </row>
    <row r="10442" spans="1:16" x14ac:dyDescent="0.25">
      <c r="A10442" t="s">
        <v>33114</v>
      </c>
      <c r="B10442" t="s">
        <v>7752</v>
      </c>
      <c r="C10442" t="s">
        <v>7753</v>
      </c>
      <c r="D10442" t="str">
        <f>"4168"</f>
        <v>4168</v>
      </c>
      <c r="E10442" t="s">
        <v>1132</v>
      </c>
      <c r="F10442" t="s">
        <v>2068</v>
      </c>
      <c r="G10442" t="s">
        <v>46688</v>
      </c>
      <c r="H10442" t="s">
        <v>47054</v>
      </c>
      <c r="I10442" t="s">
        <v>47120</v>
      </c>
      <c r="J10442" t="s">
        <v>47121</v>
      </c>
      <c r="K10442" t="s">
        <v>47113</v>
      </c>
      <c r="L10442">
        <v>18.95</v>
      </c>
      <c r="M10442">
        <v>43</v>
      </c>
      <c r="N10442">
        <v>0</v>
      </c>
      <c r="O10442">
        <v>43</v>
      </c>
      <c r="P10442">
        <v>0</v>
      </c>
    </row>
    <row r="10443" spans="1:16" x14ac:dyDescent="0.25">
      <c r="A10443" t="s">
        <v>33115</v>
      </c>
      <c r="B10443" t="s">
        <v>7754</v>
      </c>
      <c r="C10443" t="s">
        <v>7755</v>
      </c>
      <c r="D10443" t="str">
        <f>"3525"</f>
        <v>3525</v>
      </c>
      <c r="E10443" t="s">
        <v>7751</v>
      </c>
      <c r="F10443" t="s">
        <v>2068</v>
      </c>
      <c r="G10443" t="s">
        <v>46688</v>
      </c>
      <c r="H10443" t="s">
        <v>47054</v>
      </c>
      <c r="I10443" t="s">
        <v>47120</v>
      </c>
      <c r="J10443" t="s">
        <v>47121</v>
      </c>
      <c r="K10443" t="s">
        <v>47113</v>
      </c>
      <c r="L10443">
        <v>20.3</v>
      </c>
      <c r="M10443">
        <v>46</v>
      </c>
      <c r="N10443">
        <v>0</v>
      </c>
      <c r="O10443">
        <v>46</v>
      </c>
      <c r="P10443">
        <v>0</v>
      </c>
    </row>
    <row r="10444" spans="1:16" x14ac:dyDescent="0.25">
      <c r="A10444" t="s">
        <v>33116</v>
      </c>
      <c r="B10444" t="s">
        <v>7754</v>
      </c>
      <c r="C10444" t="s">
        <v>7755</v>
      </c>
      <c r="D10444" t="str">
        <f>"4048"</f>
        <v>4048</v>
      </c>
      <c r="E10444" t="s">
        <v>710</v>
      </c>
      <c r="F10444" t="s">
        <v>2068</v>
      </c>
      <c r="G10444" t="s">
        <v>46688</v>
      </c>
      <c r="H10444" t="s">
        <v>47054</v>
      </c>
      <c r="I10444" t="s">
        <v>47120</v>
      </c>
      <c r="J10444" t="s">
        <v>47121</v>
      </c>
      <c r="K10444" t="s">
        <v>47113</v>
      </c>
      <c r="L10444">
        <v>20.3</v>
      </c>
      <c r="M10444">
        <v>46</v>
      </c>
      <c r="N10444">
        <v>0</v>
      </c>
      <c r="O10444">
        <v>46</v>
      </c>
      <c r="P10444">
        <v>0</v>
      </c>
    </row>
    <row r="10445" spans="1:16" x14ac:dyDescent="0.25">
      <c r="A10445" t="s">
        <v>33117</v>
      </c>
      <c r="B10445" t="s">
        <v>7754</v>
      </c>
      <c r="C10445" t="s">
        <v>7755</v>
      </c>
      <c r="D10445" t="str">
        <f>"9614"</f>
        <v>9614</v>
      </c>
      <c r="E10445" t="s">
        <v>2314</v>
      </c>
      <c r="F10445" t="s">
        <v>2068</v>
      </c>
      <c r="G10445" t="s">
        <v>46688</v>
      </c>
      <c r="H10445" t="s">
        <v>47054</v>
      </c>
      <c r="I10445" t="s">
        <v>47120</v>
      </c>
      <c r="J10445" t="s">
        <v>47121</v>
      </c>
      <c r="K10445" t="s">
        <v>47113</v>
      </c>
      <c r="L10445">
        <v>20.3</v>
      </c>
      <c r="M10445">
        <v>46</v>
      </c>
      <c r="N10445">
        <v>0</v>
      </c>
      <c r="O10445">
        <v>46</v>
      </c>
      <c r="P10445">
        <v>0</v>
      </c>
    </row>
    <row r="10446" spans="1:16" x14ac:dyDescent="0.25">
      <c r="A10446" t="s">
        <v>33118</v>
      </c>
      <c r="B10446" t="s">
        <v>7756</v>
      </c>
      <c r="C10446" t="s">
        <v>7757</v>
      </c>
      <c r="D10446" t="str">
        <f>"1001"</f>
        <v>1001</v>
      </c>
      <c r="E10446" t="s">
        <v>42</v>
      </c>
      <c r="F10446" t="s">
        <v>2068</v>
      </c>
      <c r="G10446" t="s">
        <v>46688</v>
      </c>
      <c r="H10446" t="s">
        <v>47054</v>
      </c>
      <c r="I10446" t="s">
        <v>47120</v>
      </c>
      <c r="J10446" t="s">
        <v>47121</v>
      </c>
      <c r="K10446" t="s">
        <v>47113</v>
      </c>
      <c r="L10446">
        <v>20.3</v>
      </c>
      <c r="M10446">
        <v>46</v>
      </c>
      <c r="N10446">
        <v>0</v>
      </c>
      <c r="O10446">
        <v>46</v>
      </c>
      <c r="P10446">
        <v>0</v>
      </c>
    </row>
    <row r="10447" spans="1:16" x14ac:dyDescent="0.25">
      <c r="A10447" t="s">
        <v>33119</v>
      </c>
      <c r="B10447" t="s">
        <v>7756</v>
      </c>
      <c r="C10447" t="s">
        <v>7757</v>
      </c>
      <c r="D10447" t="str">
        <f>"2375"</f>
        <v>2375</v>
      </c>
      <c r="E10447" t="s">
        <v>7758</v>
      </c>
      <c r="F10447" t="s">
        <v>2068</v>
      </c>
      <c r="G10447" t="s">
        <v>46688</v>
      </c>
      <c r="H10447" t="s">
        <v>47054</v>
      </c>
      <c r="I10447" t="s">
        <v>47120</v>
      </c>
      <c r="J10447" t="s">
        <v>47121</v>
      </c>
      <c r="K10447" t="s">
        <v>47113</v>
      </c>
      <c r="L10447">
        <v>20.3</v>
      </c>
      <c r="M10447">
        <v>46</v>
      </c>
      <c r="N10447">
        <v>0</v>
      </c>
      <c r="O10447">
        <v>46</v>
      </c>
      <c r="P10447">
        <v>0</v>
      </c>
    </row>
    <row r="10448" spans="1:16" x14ac:dyDescent="0.25">
      <c r="A10448" t="s">
        <v>33120</v>
      </c>
      <c r="B10448" t="s">
        <v>7759</v>
      </c>
      <c r="C10448" t="s">
        <v>7760</v>
      </c>
      <c r="D10448" t="str">
        <f>"1468"</f>
        <v>1468</v>
      </c>
      <c r="E10448" t="s">
        <v>7761</v>
      </c>
      <c r="F10448" t="s">
        <v>2068</v>
      </c>
      <c r="G10448" t="s">
        <v>46688</v>
      </c>
      <c r="H10448" t="s">
        <v>47054</v>
      </c>
      <c r="I10448" t="s">
        <v>47120</v>
      </c>
      <c r="J10448" t="s">
        <v>47121</v>
      </c>
      <c r="K10448" t="s">
        <v>47113</v>
      </c>
      <c r="L10448">
        <v>18.95</v>
      </c>
      <c r="M10448">
        <v>43</v>
      </c>
      <c r="N10448">
        <v>0</v>
      </c>
      <c r="O10448">
        <v>43</v>
      </c>
      <c r="P10448">
        <v>0</v>
      </c>
    </row>
    <row r="10449" spans="1:16" x14ac:dyDescent="0.25">
      <c r="A10449" t="s">
        <v>33121</v>
      </c>
      <c r="B10449" t="s">
        <v>7759</v>
      </c>
      <c r="C10449" t="s">
        <v>7760</v>
      </c>
      <c r="D10449" t="str">
        <f>"1470"</f>
        <v>1470</v>
      </c>
      <c r="E10449" t="s">
        <v>7746</v>
      </c>
      <c r="F10449" t="s">
        <v>2068</v>
      </c>
      <c r="G10449" t="s">
        <v>46688</v>
      </c>
      <c r="H10449" t="s">
        <v>47054</v>
      </c>
      <c r="I10449" t="s">
        <v>47120</v>
      </c>
      <c r="J10449" t="s">
        <v>47121</v>
      </c>
      <c r="K10449" t="s">
        <v>47113</v>
      </c>
      <c r="L10449">
        <v>18.95</v>
      </c>
      <c r="M10449">
        <v>43</v>
      </c>
      <c r="N10449">
        <v>0</v>
      </c>
      <c r="O10449">
        <v>43</v>
      </c>
      <c r="P10449">
        <v>0</v>
      </c>
    </row>
    <row r="10450" spans="1:16" x14ac:dyDescent="0.25">
      <c r="A10450" t="s">
        <v>33122</v>
      </c>
      <c r="B10450" t="s">
        <v>7759</v>
      </c>
      <c r="C10450" t="s">
        <v>7760</v>
      </c>
      <c r="D10450" t="str">
        <f>"2054"</f>
        <v>2054</v>
      </c>
      <c r="E10450" t="s">
        <v>7762</v>
      </c>
      <c r="F10450" t="s">
        <v>2068</v>
      </c>
      <c r="G10450" t="s">
        <v>46688</v>
      </c>
      <c r="H10450" t="s">
        <v>47054</v>
      </c>
      <c r="I10450" t="s">
        <v>47120</v>
      </c>
      <c r="J10450" t="s">
        <v>47121</v>
      </c>
      <c r="K10450" t="s">
        <v>47113</v>
      </c>
      <c r="L10450">
        <v>18.95</v>
      </c>
      <c r="M10450">
        <v>43</v>
      </c>
      <c r="N10450">
        <v>0</v>
      </c>
      <c r="O10450">
        <v>43</v>
      </c>
      <c r="P10450">
        <v>0</v>
      </c>
    </row>
    <row r="10451" spans="1:16" x14ac:dyDescent="0.25">
      <c r="A10451" t="s">
        <v>33123</v>
      </c>
      <c r="B10451" t="s">
        <v>7763</v>
      </c>
      <c r="C10451" t="s">
        <v>7764</v>
      </c>
      <c r="D10451" t="str">
        <f>"1700"</f>
        <v>1700</v>
      </c>
      <c r="E10451" t="s">
        <v>60</v>
      </c>
      <c r="F10451" t="s">
        <v>2068</v>
      </c>
      <c r="G10451" t="s">
        <v>46688</v>
      </c>
      <c r="H10451" t="s">
        <v>47054</v>
      </c>
      <c r="I10451" t="s">
        <v>47120</v>
      </c>
      <c r="J10451" t="s">
        <v>47121</v>
      </c>
      <c r="K10451" t="s">
        <v>47113</v>
      </c>
      <c r="L10451">
        <v>18.95</v>
      </c>
      <c r="M10451">
        <v>43</v>
      </c>
      <c r="N10451">
        <v>0</v>
      </c>
      <c r="O10451">
        <v>43</v>
      </c>
      <c r="P10451">
        <v>0</v>
      </c>
    </row>
    <row r="10452" spans="1:16" x14ac:dyDescent="0.25">
      <c r="A10452" t="s">
        <v>33124</v>
      </c>
      <c r="B10452" t="s">
        <v>7763</v>
      </c>
      <c r="C10452" t="s">
        <v>7764</v>
      </c>
      <c r="D10452" t="str">
        <f>"6482"</f>
        <v>6482</v>
      </c>
      <c r="E10452" t="s">
        <v>7765</v>
      </c>
      <c r="F10452" t="s">
        <v>2068</v>
      </c>
      <c r="G10452" t="s">
        <v>46688</v>
      </c>
      <c r="H10452" t="s">
        <v>47054</v>
      </c>
      <c r="I10452" t="s">
        <v>47120</v>
      </c>
      <c r="J10452" t="s">
        <v>47121</v>
      </c>
      <c r="K10452" t="s">
        <v>47113</v>
      </c>
      <c r="L10452">
        <v>18.95</v>
      </c>
      <c r="M10452">
        <v>43</v>
      </c>
      <c r="N10452">
        <v>0</v>
      </c>
      <c r="O10452">
        <v>43</v>
      </c>
      <c r="P10452">
        <v>0</v>
      </c>
    </row>
    <row r="10453" spans="1:16" x14ac:dyDescent="0.25">
      <c r="A10453" t="s">
        <v>33125</v>
      </c>
      <c r="B10453" t="s">
        <v>14260</v>
      </c>
      <c r="C10453" t="s">
        <v>14261</v>
      </c>
      <c r="D10453" t="str">
        <f>"1001"</f>
        <v>1001</v>
      </c>
      <c r="E10453" t="s">
        <v>42</v>
      </c>
      <c r="F10453" t="s">
        <v>3750</v>
      </c>
      <c r="G10453" t="s">
        <v>46688</v>
      </c>
      <c r="H10453" t="s">
        <v>47054</v>
      </c>
      <c r="I10453" t="s">
        <v>47120</v>
      </c>
      <c r="J10453" t="s">
        <v>47121</v>
      </c>
      <c r="K10453" t="s">
        <v>47113</v>
      </c>
      <c r="L10453">
        <v>4.4800000000000004</v>
      </c>
      <c r="M10453">
        <v>20</v>
      </c>
      <c r="N10453">
        <v>0</v>
      </c>
      <c r="O10453">
        <v>20</v>
      </c>
      <c r="P10453">
        <v>0</v>
      </c>
    </row>
    <row r="10454" spans="1:16" x14ac:dyDescent="0.25">
      <c r="A10454" t="s">
        <v>33126</v>
      </c>
      <c r="B10454" t="s">
        <v>14260</v>
      </c>
      <c r="C10454" t="s">
        <v>14261</v>
      </c>
      <c r="D10454" t="str">
        <f>"1200"</f>
        <v>1200</v>
      </c>
      <c r="E10454" t="s">
        <v>241</v>
      </c>
      <c r="F10454" t="s">
        <v>3750</v>
      </c>
      <c r="G10454" t="s">
        <v>46688</v>
      </c>
      <c r="H10454" t="s">
        <v>47054</v>
      </c>
      <c r="I10454" t="s">
        <v>47120</v>
      </c>
      <c r="J10454" t="s">
        <v>47121</v>
      </c>
      <c r="K10454" t="s">
        <v>47113</v>
      </c>
      <c r="L10454">
        <v>4.95</v>
      </c>
      <c r="M10454">
        <v>20</v>
      </c>
      <c r="N10454">
        <v>0</v>
      </c>
      <c r="O10454">
        <v>20</v>
      </c>
      <c r="P10454">
        <v>0</v>
      </c>
    </row>
    <row r="10455" spans="1:16" x14ac:dyDescent="0.25">
      <c r="A10455" t="s">
        <v>33127</v>
      </c>
      <c r="B10455" t="s">
        <v>14260</v>
      </c>
      <c r="C10455" t="s">
        <v>14261</v>
      </c>
      <c r="D10455" t="str">
        <f>"4100"</f>
        <v>4100</v>
      </c>
      <c r="E10455" t="s">
        <v>2383</v>
      </c>
      <c r="F10455" t="s">
        <v>3750</v>
      </c>
      <c r="G10455" t="s">
        <v>46688</v>
      </c>
      <c r="H10455" t="s">
        <v>47054</v>
      </c>
      <c r="I10455" t="s">
        <v>47120</v>
      </c>
      <c r="J10455" t="s">
        <v>47121</v>
      </c>
      <c r="K10455" t="s">
        <v>47113</v>
      </c>
      <c r="L10455">
        <v>4.95</v>
      </c>
      <c r="M10455">
        <v>20</v>
      </c>
      <c r="N10455">
        <v>0</v>
      </c>
      <c r="O10455">
        <v>20</v>
      </c>
      <c r="P10455">
        <v>0</v>
      </c>
    </row>
    <row r="10456" spans="1:16" x14ac:dyDescent="0.25">
      <c r="A10456" t="s">
        <v>33128</v>
      </c>
      <c r="B10456" t="s">
        <v>14260</v>
      </c>
      <c r="C10456" t="s">
        <v>14261</v>
      </c>
      <c r="D10456" t="str">
        <f>"6064"</f>
        <v>6064</v>
      </c>
      <c r="E10456" t="s">
        <v>87</v>
      </c>
      <c r="F10456" t="s">
        <v>3750</v>
      </c>
      <c r="G10456" t="s">
        <v>46688</v>
      </c>
      <c r="H10456" t="s">
        <v>47054</v>
      </c>
      <c r="I10456" t="s">
        <v>47120</v>
      </c>
      <c r="J10456" t="s">
        <v>47121</v>
      </c>
      <c r="K10456" t="s">
        <v>47113</v>
      </c>
      <c r="L10456">
        <v>4.4800000000000004</v>
      </c>
      <c r="M10456">
        <v>20</v>
      </c>
      <c r="N10456">
        <v>0</v>
      </c>
      <c r="O10456">
        <v>20</v>
      </c>
      <c r="P10456">
        <v>0</v>
      </c>
    </row>
    <row r="10457" spans="1:16" x14ac:dyDescent="0.25">
      <c r="A10457" t="s">
        <v>33129</v>
      </c>
      <c r="B10457" t="s">
        <v>14493</v>
      </c>
      <c r="C10457" t="s">
        <v>14492</v>
      </c>
      <c r="D10457" t="str">
        <f>"1468"</f>
        <v>1468</v>
      </c>
      <c r="E10457" t="s">
        <v>7761</v>
      </c>
      <c r="F10457" t="s">
        <v>3750</v>
      </c>
      <c r="G10457" t="s">
        <v>46688</v>
      </c>
      <c r="H10457" t="s">
        <v>47054</v>
      </c>
      <c r="I10457" t="s">
        <v>47120</v>
      </c>
      <c r="J10457" t="s">
        <v>47121</v>
      </c>
      <c r="K10457" t="s">
        <v>47113</v>
      </c>
      <c r="L10457">
        <v>8.9600000000000009</v>
      </c>
      <c r="M10457">
        <v>31</v>
      </c>
      <c r="N10457">
        <v>0</v>
      </c>
      <c r="O10457">
        <v>31</v>
      </c>
      <c r="P10457">
        <v>0</v>
      </c>
    </row>
    <row r="10458" spans="1:16" x14ac:dyDescent="0.25">
      <c r="A10458" t="s">
        <v>33130</v>
      </c>
      <c r="B10458" t="s">
        <v>14493</v>
      </c>
      <c r="C10458" t="s">
        <v>14492</v>
      </c>
      <c r="D10458" t="str">
        <f>"6064"</f>
        <v>6064</v>
      </c>
      <c r="E10458" t="s">
        <v>87</v>
      </c>
      <c r="F10458" t="s">
        <v>3750</v>
      </c>
      <c r="G10458" t="s">
        <v>46688</v>
      </c>
      <c r="H10458" t="s">
        <v>47054</v>
      </c>
      <c r="I10458" t="s">
        <v>47120</v>
      </c>
      <c r="J10458" t="s">
        <v>47121</v>
      </c>
      <c r="K10458" t="s">
        <v>47113</v>
      </c>
      <c r="L10458">
        <v>8.9600000000000009</v>
      </c>
      <c r="M10458">
        <v>31</v>
      </c>
      <c r="N10458">
        <v>0</v>
      </c>
      <c r="O10458">
        <v>31</v>
      </c>
      <c r="P10458">
        <v>0</v>
      </c>
    </row>
    <row r="10459" spans="1:16" x14ac:dyDescent="0.25">
      <c r="A10459" t="s">
        <v>33131</v>
      </c>
      <c r="B10459" t="s">
        <v>7766</v>
      </c>
      <c r="C10459" t="s">
        <v>7767</v>
      </c>
      <c r="D10459" t="str">
        <f>"1001"</f>
        <v>1001</v>
      </c>
      <c r="E10459" t="s">
        <v>42</v>
      </c>
      <c r="F10459" t="s">
        <v>3750</v>
      </c>
      <c r="G10459" t="s">
        <v>46688</v>
      </c>
      <c r="H10459" t="s">
        <v>47054</v>
      </c>
      <c r="I10459" t="s">
        <v>47120</v>
      </c>
      <c r="J10459" t="s">
        <v>47121</v>
      </c>
      <c r="K10459" t="s">
        <v>47113</v>
      </c>
      <c r="L10459">
        <v>9.01</v>
      </c>
      <c r="M10459">
        <v>31</v>
      </c>
      <c r="N10459">
        <v>0</v>
      </c>
      <c r="O10459">
        <v>31</v>
      </c>
      <c r="P10459">
        <v>0</v>
      </c>
    </row>
    <row r="10460" spans="1:16" x14ac:dyDescent="0.25">
      <c r="A10460" t="s">
        <v>33132</v>
      </c>
      <c r="B10460" t="s">
        <v>7766</v>
      </c>
      <c r="C10460" t="s">
        <v>7767</v>
      </c>
      <c r="D10460" t="str">
        <f>"6064"</f>
        <v>6064</v>
      </c>
      <c r="E10460" t="s">
        <v>87</v>
      </c>
      <c r="F10460" t="s">
        <v>3750</v>
      </c>
      <c r="G10460" t="s">
        <v>46688</v>
      </c>
      <c r="H10460" t="s">
        <v>47054</v>
      </c>
      <c r="I10460" t="s">
        <v>47120</v>
      </c>
      <c r="J10460" t="s">
        <v>47121</v>
      </c>
      <c r="K10460" t="s">
        <v>47113</v>
      </c>
      <c r="L10460">
        <v>9.01</v>
      </c>
      <c r="M10460">
        <v>31</v>
      </c>
      <c r="N10460">
        <v>0</v>
      </c>
      <c r="O10460">
        <v>31</v>
      </c>
      <c r="P10460">
        <v>0</v>
      </c>
    </row>
    <row r="10461" spans="1:16" x14ac:dyDescent="0.25">
      <c r="A10461" t="s">
        <v>33133</v>
      </c>
      <c r="B10461" t="s">
        <v>17733</v>
      </c>
      <c r="C10461" t="s">
        <v>17734</v>
      </c>
      <c r="D10461" t="str">
        <f>"1001"</f>
        <v>1001</v>
      </c>
      <c r="E10461" t="s">
        <v>42</v>
      </c>
      <c r="F10461" t="s">
        <v>3750</v>
      </c>
      <c r="G10461" t="s">
        <v>46688</v>
      </c>
      <c r="H10461" t="s">
        <v>47054</v>
      </c>
      <c r="I10461" t="s">
        <v>47120</v>
      </c>
      <c r="J10461" t="s">
        <v>47121</v>
      </c>
      <c r="K10461" t="s">
        <v>47113</v>
      </c>
      <c r="L10461">
        <v>9.57</v>
      </c>
      <c r="M10461">
        <v>27</v>
      </c>
      <c r="N10461">
        <v>0</v>
      </c>
      <c r="O10461">
        <v>27</v>
      </c>
      <c r="P10461">
        <v>0</v>
      </c>
    </row>
    <row r="10462" spans="1:16" x14ac:dyDescent="0.25">
      <c r="A10462" t="s">
        <v>33134</v>
      </c>
      <c r="B10462" t="s">
        <v>14491</v>
      </c>
      <c r="C10462" t="s">
        <v>14490</v>
      </c>
      <c r="D10462" t="str">
        <f>"1001"</f>
        <v>1001</v>
      </c>
      <c r="E10462" t="s">
        <v>42</v>
      </c>
      <c r="F10462" t="s">
        <v>3750</v>
      </c>
      <c r="G10462" t="s">
        <v>46688</v>
      </c>
      <c r="H10462" t="s">
        <v>47054</v>
      </c>
      <c r="I10462" t="s">
        <v>47120</v>
      </c>
      <c r="J10462" t="s">
        <v>47121</v>
      </c>
      <c r="K10462" t="s">
        <v>47113</v>
      </c>
      <c r="L10462">
        <v>8.9600000000000009</v>
      </c>
      <c r="M10462">
        <v>31</v>
      </c>
      <c r="N10462">
        <v>0</v>
      </c>
      <c r="O10462">
        <v>31</v>
      </c>
      <c r="P10462">
        <v>0</v>
      </c>
    </row>
    <row r="10463" spans="1:16" x14ac:dyDescent="0.25">
      <c r="A10463" t="s">
        <v>33135</v>
      </c>
      <c r="B10463" t="s">
        <v>14491</v>
      </c>
      <c r="C10463" t="s">
        <v>14490</v>
      </c>
      <c r="D10463" t="str">
        <f>"2536"</f>
        <v>2536</v>
      </c>
      <c r="E10463" t="s">
        <v>14489</v>
      </c>
      <c r="F10463" t="s">
        <v>3750</v>
      </c>
      <c r="G10463" t="s">
        <v>46688</v>
      </c>
      <c r="H10463" t="s">
        <v>47054</v>
      </c>
      <c r="I10463" t="s">
        <v>47120</v>
      </c>
      <c r="J10463" t="s">
        <v>47121</v>
      </c>
      <c r="K10463" t="s">
        <v>47113</v>
      </c>
      <c r="L10463">
        <v>8.9600000000000009</v>
      </c>
      <c r="M10463">
        <v>31</v>
      </c>
      <c r="N10463">
        <v>0</v>
      </c>
      <c r="O10463">
        <v>31</v>
      </c>
      <c r="P10463">
        <v>0</v>
      </c>
    </row>
    <row r="10464" spans="1:16" x14ac:dyDescent="0.25">
      <c r="A10464" t="s">
        <v>33136</v>
      </c>
      <c r="B10464" t="s">
        <v>14262</v>
      </c>
      <c r="C10464" t="s">
        <v>14263</v>
      </c>
      <c r="D10464" t="str">
        <f>"1001"</f>
        <v>1001</v>
      </c>
      <c r="E10464" t="s">
        <v>42</v>
      </c>
      <c r="F10464" t="s">
        <v>3750</v>
      </c>
      <c r="G10464" t="s">
        <v>46688</v>
      </c>
      <c r="H10464" t="s">
        <v>47054</v>
      </c>
      <c r="I10464" t="s">
        <v>47120</v>
      </c>
      <c r="J10464" t="s">
        <v>47121</v>
      </c>
      <c r="K10464" t="s">
        <v>47113</v>
      </c>
      <c r="L10464">
        <v>9.02</v>
      </c>
      <c r="M10464">
        <v>31</v>
      </c>
      <c r="N10464">
        <v>0</v>
      </c>
      <c r="O10464">
        <v>31</v>
      </c>
      <c r="P10464">
        <v>0</v>
      </c>
    </row>
    <row r="10465" spans="1:16" x14ac:dyDescent="0.25">
      <c r="A10465" t="s">
        <v>33137</v>
      </c>
      <c r="B10465" t="s">
        <v>14262</v>
      </c>
      <c r="C10465" t="s">
        <v>14263</v>
      </c>
      <c r="D10465" t="str">
        <f>"4067"</f>
        <v>4067</v>
      </c>
      <c r="E10465" t="s">
        <v>1865</v>
      </c>
      <c r="F10465" t="s">
        <v>3750</v>
      </c>
      <c r="G10465" t="s">
        <v>46688</v>
      </c>
      <c r="H10465" t="s">
        <v>47054</v>
      </c>
      <c r="I10465" t="s">
        <v>47120</v>
      </c>
      <c r="J10465" t="s">
        <v>47121</v>
      </c>
      <c r="K10465" t="s">
        <v>47113</v>
      </c>
      <c r="L10465">
        <v>9.02</v>
      </c>
      <c r="M10465">
        <v>31</v>
      </c>
      <c r="N10465">
        <v>0</v>
      </c>
      <c r="O10465">
        <v>31</v>
      </c>
      <c r="P10465">
        <v>0</v>
      </c>
    </row>
    <row r="10466" spans="1:16" x14ac:dyDescent="0.25">
      <c r="A10466" t="s">
        <v>33138</v>
      </c>
      <c r="B10466" t="s">
        <v>7768</v>
      </c>
      <c r="C10466" t="s">
        <v>7769</v>
      </c>
      <c r="D10466" t="str">
        <f>"1001"</f>
        <v>1001</v>
      </c>
      <c r="E10466" t="s">
        <v>42</v>
      </c>
      <c r="F10466" t="s">
        <v>3750</v>
      </c>
      <c r="G10466" t="s">
        <v>46688</v>
      </c>
      <c r="H10466" t="s">
        <v>47054</v>
      </c>
      <c r="I10466" t="s">
        <v>47120</v>
      </c>
      <c r="J10466" t="s">
        <v>47121</v>
      </c>
      <c r="K10466" t="s">
        <v>47113</v>
      </c>
      <c r="L10466">
        <v>9.01</v>
      </c>
      <c r="M10466">
        <v>31</v>
      </c>
      <c r="N10466">
        <v>0</v>
      </c>
      <c r="O10466">
        <v>31</v>
      </c>
      <c r="P10466">
        <v>0</v>
      </c>
    </row>
    <row r="10467" spans="1:16" x14ac:dyDescent="0.25">
      <c r="A10467" t="s">
        <v>33139</v>
      </c>
      <c r="B10467" t="s">
        <v>7768</v>
      </c>
      <c r="C10467" t="s">
        <v>7769</v>
      </c>
      <c r="D10467" t="str">
        <f>"1769"</f>
        <v>1769</v>
      </c>
      <c r="E10467" t="s">
        <v>7770</v>
      </c>
      <c r="F10467" t="s">
        <v>3750</v>
      </c>
      <c r="G10467" t="s">
        <v>46688</v>
      </c>
      <c r="H10467" t="s">
        <v>47054</v>
      </c>
      <c r="I10467" t="s">
        <v>47120</v>
      </c>
      <c r="J10467" t="s">
        <v>47121</v>
      </c>
      <c r="K10467" t="s">
        <v>47113</v>
      </c>
      <c r="L10467">
        <v>9.01</v>
      </c>
      <c r="M10467">
        <v>31</v>
      </c>
      <c r="N10467">
        <v>0</v>
      </c>
      <c r="O10467">
        <v>31</v>
      </c>
      <c r="P10467">
        <v>0</v>
      </c>
    </row>
    <row r="10468" spans="1:16" x14ac:dyDescent="0.25">
      <c r="A10468" t="s">
        <v>33140</v>
      </c>
      <c r="B10468" t="s">
        <v>14264</v>
      </c>
      <c r="C10468" t="s">
        <v>14265</v>
      </c>
      <c r="D10468" t="str">
        <f>"1001"</f>
        <v>1001</v>
      </c>
      <c r="E10468" t="s">
        <v>42</v>
      </c>
      <c r="F10468" t="s">
        <v>3750</v>
      </c>
      <c r="G10468" t="s">
        <v>46688</v>
      </c>
      <c r="H10468" t="s">
        <v>47054</v>
      </c>
      <c r="I10468" t="s">
        <v>47120</v>
      </c>
      <c r="J10468" t="s">
        <v>47121</v>
      </c>
      <c r="K10468" t="s">
        <v>47113</v>
      </c>
      <c r="L10468">
        <v>9.02</v>
      </c>
      <c r="M10468">
        <v>31</v>
      </c>
      <c r="N10468">
        <v>0</v>
      </c>
      <c r="O10468">
        <v>31</v>
      </c>
      <c r="P10468">
        <v>0</v>
      </c>
    </row>
    <row r="10469" spans="1:16" x14ac:dyDescent="0.25">
      <c r="A10469" t="s">
        <v>33141</v>
      </c>
      <c r="B10469" t="s">
        <v>14264</v>
      </c>
      <c r="C10469" t="s">
        <v>14265</v>
      </c>
      <c r="D10469" t="str">
        <f>"4002"</f>
        <v>4002</v>
      </c>
      <c r="E10469" t="s">
        <v>710</v>
      </c>
      <c r="F10469" t="s">
        <v>3750</v>
      </c>
      <c r="G10469" t="s">
        <v>46688</v>
      </c>
      <c r="H10469" t="s">
        <v>47054</v>
      </c>
      <c r="I10469" t="s">
        <v>47120</v>
      </c>
      <c r="J10469" t="s">
        <v>47121</v>
      </c>
      <c r="K10469" t="s">
        <v>47113</v>
      </c>
      <c r="L10469">
        <v>9.02</v>
      </c>
      <c r="M10469">
        <v>31</v>
      </c>
      <c r="N10469">
        <v>0</v>
      </c>
      <c r="O10469">
        <v>31</v>
      </c>
      <c r="P10469">
        <v>0</v>
      </c>
    </row>
    <row r="10470" spans="1:16" x14ac:dyDescent="0.25">
      <c r="A10470" t="s">
        <v>33142</v>
      </c>
      <c r="B10470" t="s">
        <v>14264</v>
      </c>
      <c r="C10470" t="s">
        <v>14265</v>
      </c>
      <c r="D10470" t="str">
        <f>"6000"</f>
        <v>6000</v>
      </c>
      <c r="E10470" t="s">
        <v>238</v>
      </c>
      <c r="F10470" t="s">
        <v>3750</v>
      </c>
      <c r="G10470" t="s">
        <v>46688</v>
      </c>
      <c r="H10470" t="s">
        <v>47054</v>
      </c>
      <c r="I10470" t="s">
        <v>47120</v>
      </c>
      <c r="J10470" t="s">
        <v>47121</v>
      </c>
      <c r="K10470" t="s">
        <v>47113</v>
      </c>
      <c r="L10470">
        <v>9.02</v>
      </c>
      <c r="M10470">
        <v>31</v>
      </c>
      <c r="N10470">
        <v>0</v>
      </c>
      <c r="O10470">
        <v>31</v>
      </c>
      <c r="P10470">
        <v>0</v>
      </c>
    </row>
    <row r="10471" spans="1:16" x14ac:dyDescent="0.25">
      <c r="A10471" t="s">
        <v>33143</v>
      </c>
      <c r="B10471" t="s">
        <v>17735</v>
      </c>
      <c r="C10471" t="s">
        <v>17736</v>
      </c>
      <c r="D10471" t="str">
        <f>"1200"</f>
        <v>1200</v>
      </c>
      <c r="E10471" t="s">
        <v>241</v>
      </c>
      <c r="F10471" t="s">
        <v>3750</v>
      </c>
      <c r="G10471" t="s">
        <v>46688</v>
      </c>
      <c r="H10471" t="s">
        <v>47054</v>
      </c>
      <c r="I10471" t="s">
        <v>47120</v>
      </c>
      <c r="J10471" t="s">
        <v>47121</v>
      </c>
      <c r="K10471" t="s">
        <v>47113</v>
      </c>
      <c r="L10471">
        <v>8.75</v>
      </c>
      <c r="M10471">
        <v>26</v>
      </c>
      <c r="N10471">
        <v>0</v>
      </c>
      <c r="O10471">
        <v>26</v>
      </c>
      <c r="P10471">
        <v>0</v>
      </c>
    </row>
    <row r="10472" spans="1:16" x14ac:dyDescent="0.25">
      <c r="A10472" t="s">
        <v>33144</v>
      </c>
      <c r="B10472" t="s">
        <v>17735</v>
      </c>
      <c r="C10472" t="s">
        <v>17736</v>
      </c>
      <c r="D10472" t="str">
        <f>"1700"</f>
        <v>1700</v>
      </c>
      <c r="E10472" t="s">
        <v>60</v>
      </c>
      <c r="F10472" t="s">
        <v>3750</v>
      </c>
      <c r="G10472" t="s">
        <v>46688</v>
      </c>
      <c r="H10472" t="s">
        <v>47054</v>
      </c>
      <c r="I10472" t="s">
        <v>47120</v>
      </c>
      <c r="J10472" t="s">
        <v>47121</v>
      </c>
      <c r="K10472" t="s">
        <v>47113</v>
      </c>
      <c r="L10472">
        <v>8.75</v>
      </c>
      <c r="M10472">
        <v>26</v>
      </c>
      <c r="N10472">
        <v>0</v>
      </c>
      <c r="O10472">
        <v>26</v>
      </c>
      <c r="P10472">
        <v>0</v>
      </c>
    </row>
    <row r="10473" spans="1:16" x14ac:dyDescent="0.25">
      <c r="A10473" t="s">
        <v>33145</v>
      </c>
      <c r="B10473" t="s">
        <v>15564</v>
      </c>
      <c r="C10473" t="s">
        <v>15565</v>
      </c>
      <c r="D10473" t="str">
        <f>"1001"</f>
        <v>1001</v>
      </c>
      <c r="E10473" t="s">
        <v>42</v>
      </c>
      <c r="F10473" t="s">
        <v>3750</v>
      </c>
      <c r="G10473" t="s">
        <v>46688</v>
      </c>
      <c r="H10473" t="s">
        <v>47054</v>
      </c>
      <c r="I10473" t="s">
        <v>47176</v>
      </c>
      <c r="J10473" t="s">
        <v>47177</v>
      </c>
      <c r="K10473" t="s">
        <v>47113</v>
      </c>
      <c r="L10473">
        <v>8.9600000000000009</v>
      </c>
      <c r="M10473">
        <v>31</v>
      </c>
      <c r="N10473">
        <v>0</v>
      </c>
      <c r="O10473">
        <v>31</v>
      </c>
      <c r="P10473">
        <v>0</v>
      </c>
    </row>
    <row r="10474" spans="1:16" x14ac:dyDescent="0.25">
      <c r="A10474" t="s">
        <v>33146</v>
      </c>
      <c r="B10474" t="s">
        <v>17737</v>
      </c>
      <c r="C10474" t="s">
        <v>17738</v>
      </c>
      <c r="D10474" t="str">
        <f>"1700"</f>
        <v>1700</v>
      </c>
      <c r="E10474" t="s">
        <v>60</v>
      </c>
      <c r="F10474" t="s">
        <v>3750</v>
      </c>
      <c r="G10474" t="s">
        <v>46688</v>
      </c>
      <c r="H10474" t="s">
        <v>47054</v>
      </c>
      <c r="I10474" t="s">
        <v>47176</v>
      </c>
      <c r="J10474" t="s">
        <v>47177</v>
      </c>
      <c r="K10474" t="s">
        <v>47113</v>
      </c>
      <c r="L10474">
        <v>9.57</v>
      </c>
      <c r="M10474">
        <v>27</v>
      </c>
      <c r="N10474">
        <v>0</v>
      </c>
      <c r="O10474">
        <v>27</v>
      </c>
      <c r="P10474">
        <v>0</v>
      </c>
    </row>
    <row r="10475" spans="1:16" x14ac:dyDescent="0.25">
      <c r="A10475" t="s">
        <v>33147</v>
      </c>
      <c r="B10475" t="s">
        <v>17737</v>
      </c>
      <c r="C10475" t="s">
        <v>17738</v>
      </c>
      <c r="D10475" t="str">
        <f>"6064"</f>
        <v>6064</v>
      </c>
      <c r="E10475" t="s">
        <v>87</v>
      </c>
      <c r="F10475" t="s">
        <v>3750</v>
      </c>
      <c r="G10475" t="s">
        <v>46688</v>
      </c>
      <c r="H10475" t="s">
        <v>47054</v>
      </c>
      <c r="I10475" t="s">
        <v>47176</v>
      </c>
      <c r="J10475" t="s">
        <v>47177</v>
      </c>
      <c r="K10475" t="s">
        <v>47113</v>
      </c>
      <c r="L10475">
        <v>9.57</v>
      </c>
      <c r="M10475">
        <v>27</v>
      </c>
      <c r="N10475">
        <v>0</v>
      </c>
      <c r="O10475">
        <v>27</v>
      </c>
      <c r="P10475">
        <v>0</v>
      </c>
    </row>
    <row r="10476" spans="1:16" x14ac:dyDescent="0.25">
      <c r="A10476" t="s">
        <v>33148</v>
      </c>
      <c r="B10476" t="s">
        <v>17739</v>
      </c>
      <c r="C10476" t="s">
        <v>17740</v>
      </c>
      <c r="D10476" t="str">
        <f>"1700"</f>
        <v>1700</v>
      </c>
      <c r="E10476" t="s">
        <v>60</v>
      </c>
      <c r="F10476" t="s">
        <v>3750</v>
      </c>
      <c r="G10476" t="s">
        <v>46688</v>
      </c>
      <c r="H10476" t="s">
        <v>47054</v>
      </c>
      <c r="I10476" t="s">
        <v>47176</v>
      </c>
      <c r="J10476" t="s">
        <v>47177</v>
      </c>
      <c r="K10476" t="s">
        <v>47113</v>
      </c>
      <c r="L10476">
        <v>9.57</v>
      </c>
      <c r="M10476">
        <v>27</v>
      </c>
      <c r="N10476">
        <v>0</v>
      </c>
      <c r="O10476">
        <v>27</v>
      </c>
      <c r="P10476">
        <v>0</v>
      </c>
    </row>
    <row r="10477" spans="1:16" x14ac:dyDescent="0.25">
      <c r="A10477" t="s">
        <v>33149</v>
      </c>
      <c r="B10477" t="s">
        <v>17739</v>
      </c>
      <c r="C10477" t="s">
        <v>17740</v>
      </c>
      <c r="D10477" t="str">
        <f>"6000"</f>
        <v>6000</v>
      </c>
      <c r="E10477" t="s">
        <v>238</v>
      </c>
      <c r="F10477" t="s">
        <v>3750</v>
      </c>
      <c r="G10477" t="s">
        <v>46688</v>
      </c>
      <c r="H10477" t="s">
        <v>47054</v>
      </c>
      <c r="I10477" t="s">
        <v>47176</v>
      </c>
      <c r="J10477" t="s">
        <v>47177</v>
      </c>
      <c r="K10477" t="s">
        <v>47113</v>
      </c>
      <c r="L10477">
        <v>9.57</v>
      </c>
      <c r="M10477">
        <v>27</v>
      </c>
      <c r="N10477">
        <v>0</v>
      </c>
      <c r="O10477">
        <v>27</v>
      </c>
      <c r="P10477">
        <v>0</v>
      </c>
    </row>
    <row r="10478" spans="1:16" x14ac:dyDescent="0.25">
      <c r="A10478" t="s">
        <v>33150</v>
      </c>
      <c r="B10478" t="s">
        <v>15566</v>
      </c>
      <c r="C10478" t="s">
        <v>15567</v>
      </c>
      <c r="D10478" t="str">
        <f>"1700"</f>
        <v>1700</v>
      </c>
      <c r="E10478" t="s">
        <v>60</v>
      </c>
      <c r="F10478" t="s">
        <v>3750</v>
      </c>
      <c r="G10478" t="s">
        <v>46688</v>
      </c>
      <c r="H10478" t="s">
        <v>47054</v>
      </c>
      <c r="I10478" t="s">
        <v>47176</v>
      </c>
      <c r="J10478" t="s">
        <v>47177</v>
      </c>
      <c r="K10478" t="s">
        <v>47113</v>
      </c>
      <c r="L10478">
        <v>8.9600000000000009</v>
      </c>
      <c r="M10478">
        <v>31</v>
      </c>
      <c r="N10478">
        <v>0</v>
      </c>
      <c r="O10478">
        <v>31</v>
      </c>
      <c r="P10478">
        <v>0</v>
      </c>
    </row>
    <row r="10479" spans="1:16" x14ac:dyDescent="0.25">
      <c r="A10479" t="s">
        <v>33151</v>
      </c>
      <c r="B10479" t="s">
        <v>15566</v>
      </c>
      <c r="C10479" t="s">
        <v>15567</v>
      </c>
      <c r="D10479" t="str">
        <f>"6000"</f>
        <v>6000</v>
      </c>
      <c r="E10479" t="s">
        <v>238</v>
      </c>
      <c r="F10479" t="s">
        <v>3750</v>
      </c>
      <c r="G10479" t="s">
        <v>46688</v>
      </c>
      <c r="H10479" t="s">
        <v>47054</v>
      </c>
      <c r="I10479" t="s">
        <v>47176</v>
      </c>
      <c r="J10479" t="s">
        <v>47177</v>
      </c>
      <c r="K10479" t="s">
        <v>47113</v>
      </c>
      <c r="L10479">
        <v>8.9600000000000009</v>
      </c>
      <c r="M10479">
        <v>31</v>
      </c>
      <c r="N10479">
        <v>0</v>
      </c>
      <c r="O10479">
        <v>31</v>
      </c>
      <c r="P10479">
        <v>0</v>
      </c>
    </row>
    <row r="10480" spans="1:16" x14ac:dyDescent="0.25">
      <c r="A10480" t="s">
        <v>33152</v>
      </c>
      <c r="B10480" t="s">
        <v>17741</v>
      </c>
      <c r="C10480" t="s">
        <v>17742</v>
      </c>
      <c r="D10480" t="str">
        <f>"1001"</f>
        <v>1001</v>
      </c>
      <c r="E10480" t="s">
        <v>42</v>
      </c>
      <c r="F10480" t="s">
        <v>3750</v>
      </c>
      <c r="G10480" t="s">
        <v>46688</v>
      </c>
      <c r="H10480" t="s">
        <v>47054</v>
      </c>
      <c r="I10480" t="s">
        <v>47120</v>
      </c>
      <c r="J10480" t="s">
        <v>47121</v>
      </c>
      <c r="K10480" t="s">
        <v>47113</v>
      </c>
      <c r="L10480">
        <v>8.75</v>
      </c>
      <c r="M10480">
        <v>26</v>
      </c>
      <c r="N10480">
        <v>0</v>
      </c>
      <c r="O10480">
        <v>26</v>
      </c>
      <c r="P10480">
        <v>0</v>
      </c>
    </row>
    <row r="10481" spans="1:16" x14ac:dyDescent="0.25">
      <c r="A10481" t="s">
        <v>33153</v>
      </c>
      <c r="B10481" t="s">
        <v>17741</v>
      </c>
      <c r="C10481" t="s">
        <v>17742</v>
      </c>
      <c r="D10481" t="str">
        <f>"1700"</f>
        <v>1700</v>
      </c>
      <c r="E10481" t="s">
        <v>60</v>
      </c>
      <c r="F10481" t="s">
        <v>3750</v>
      </c>
      <c r="G10481" t="s">
        <v>46688</v>
      </c>
      <c r="H10481" t="s">
        <v>47054</v>
      </c>
      <c r="I10481" t="s">
        <v>47120</v>
      </c>
      <c r="J10481" t="s">
        <v>47121</v>
      </c>
      <c r="K10481" t="s">
        <v>47113</v>
      </c>
      <c r="L10481">
        <v>8.75</v>
      </c>
      <c r="M10481">
        <v>26</v>
      </c>
      <c r="N10481">
        <v>0</v>
      </c>
      <c r="O10481">
        <v>26</v>
      </c>
      <c r="P10481">
        <v>0</v>
      </c>
    </row>
    <row r="10482" spans="1:16" x14ac:dyDescent="0.25">
      <c r="A10482" t="s">
        <v>33154</v>
      </c>
      <c r="B10482" t="s">
        <v>15568</v>
      </c>
      <c r="C10482" t="s">
        <v>15569</v>
      </c>
      <c r="D10482" t="str">
        <f>"1700"</f>
        <v>1700</v>
      </c>
      <c r="E10482" t="s">
        <v>60</v>
      </c>
      <c r="F10482" t="s">
        <v>3750</v>
      </c>
      <c r="G10482" t="s">
        <v>46688</v>
      </c>
      <c r="H10482" t="s">
        <v>47054</v>
      </c>
      <c r="I10482" t="s">
        <v>47120</v>
      </c>
      <c r="J10482" t="s">
        <v>47121</v>
      </c>
      <c r="K10482" t="s">
        <v>47113</v>
      </c>
      <c r="L10482">
        <v>8.9600000000000009</v>
      </c>
      <c r="M10482">
        <v>31</v>
      </c>
      <c r="N10482">
        <v>0</v>
      </c>
      <c r="O10482">
        <v>31</v>
      </c>
      <c r="P10482">
        <v>0</v>
      </c>
    </row>
    <row r="10483" spans="1:16" x14ac:dyDescent="0.25">
      <c r="A10483" t="s">
        <v>33155</v>
      </c>
      <c r="B10483" t="s">
        <v>17743</v>
      </c>
      <c r="C10483" t="s">
        <v>17744</v>
      </c>
      <c r="D10483" t="str">
        <f>"1001"</f>
        <v>1001</v>
      </c>
      <c r="E10483" t="s">
        <v>42</v>
      </c>
      <c r="F10483" t="s">
        <v>3750</v>
      </c>
      <c r="G10483" t="s">
        <v>46688</v>
      </c>
      <c r="H10483" t="s">
        <v>47054</v>
      </c>
      <c r="I10483" t="s">
        <v>47176</v>
      </c>
      <c r="J10483" t="s">
        <v>47177</v>
      </c>
      <c r="K10483" t="s">
        <v>47113</v>
      </c>
      <c r="L10483">
        <v>9.57</v>
      </c>
      <c r="M10483">
        <v>27</v>
      </c>
      <c r="N10483">
        <v>0</v>
      </c>
      <c r="O10483">
        <v>27</v>
      </c>
      <c r="P10483">
        <v>0</v>
      </c>
    </row>
    <row r="10484" spans="1:16" x14ac:dyDescent="0.25">
      <c r="A10484" t="s">
        <v>33156</v>
      </c>
      <c r="B10484" t="s">
        <v>17743</v>
      </c>
      <c r="C10484" t="s">
        <v>17744</v>
      </c>
      <c r="D10484" t="str">
        <f>"1200"</f>
        <v>1200</v>
      </c>
      <c r="E10484" t="s">
        <v>241</v>
      </c>
      <c r="F10484" t="s">
        <v>3750</v>
      </c>
      <c r="G10484" t="s">
        <v>46688</v>
      </c>
      <c r="H10484" t="s">
        <v>47054</v>
      </c>
      <c r="I10484" t="s">
        <v>47176</v>
      </c>
      <c r="J10484" t="s">
        <v>47177</v>
      </c>
      <c r="K10484" t="s">
        <v>47113</v>
      </c>
      <c r="L10484">
        <v>9.57</v>
      </c>
      <c r="M10484">
        <v>27</v>
      </c>
      <c r="N10484">
        <v>0</v>
      </c>
      <c r="O10484">
        <v>27</v>
      </c>
      <c r="P10484">
        <v>0</v>
      </c>
    </row>
    <row r="10485" spans="1:16" x14ac:dyDescent="0.25">
      <c r="A10485" t="s">
        <v>33157</v>
      </c>
      <c r="B10485" t="s">
        <v>17745</v>
      </c>
      <c r="C10485" t="s">
        <v>17746</v>
      </c>
      <c r="D10485" t="str">
        <f>"1001"</f>
        <v>1001</v>
      </c>
      <c r="E10485" t="s">
        <v>42</v>
      </c>
      <c r="F10485" t="s">
        <v>3750</v>
      </c>
      <c r="G10485" t="s">
        <v>46688</v>
      </c>
      <c r="H10485" t="s">
        <v>47054</v>
      </c>
      <c r="I10485" t="s">
        <v>47176</v>
      </c>
      <c r="J10485" t="s">
        <v>47177</v>
      </c>
      <c r="K10485" t="s">
        <v>47113</v>
      </c>
      <c r="L10485">
        <v>8.75</v>
      </c>
      <c r="M10485">
        <v>26</v>
      </c>
      <c r="N10485">
        <v>0</v>
      </c>
      <c r="O10485">
        <v>26</v>
      </c>
      <c r="P10485">
        <v>0</v>
      </c>
    </row>
    <row r="10486" spans="1:16" x14ac:dyDescent="0.25">
      <c r="A10486" t="s">
        <v>33158</v>
      </c>
      <c r="B10486" t="s">
        <v>17745</v>
      </c>
      <c r="C10486" t="s">
        <v>17746</v>
      </c>
      <c r="D10486" t="str">
        <f>"6064"</f>
        <v>6064</v>
      </c>
      <c r="E10486" t="s">
        <v>87</v>
      </c>
      <c r="F10486" t="s">
        <v>3750</v>
      </c>
      <c r="G10486" t="s">
        <v>46688</v>
      </c>
      <c r="H10486" t="s">
        <v>47054</v>
      </c>
      <c r="I10486" t="s">
        <v>47176</v>
      </c>
      <c r="J10486" t="s">
        <v>47177</v>
      </c>
      <c r="K10486" t="s">
        <v>47113</v>
      </c>
      <c r="L10486">
        <v>8.75</v>
      </c>
      <c r="M10486">
        <v>26</v>
      </c>
      <c r="N10486">
        <v>0</v>
      </c>
      <c r="O10486">
        <v>26</v>
      </c>
      <c r="P10486">
        <v>0</v>
      </c>
    </row>
    <row r="10487" spans="1:16" x14ac:dyDescent="0.25">
      <c r="A10487" t="s">
        <v>33159</v>
      </c>
      <c r="B10487" t="s">
        <v>17747</v>
      </c>
      <c r="C10487" t="s">
        <v>17748</v>
      </c>
      <c r="D10487" t="str">
        <f>"1001"</f>
        <v>1001</v>
      </c>
      <c r="E10487" t="s">
        <v>42</v>
      </c>
      <c r="F10487" t="s">
        <v>3750</v>
      </c>
      <c r="G10487" t="s">
        <v>46688</v>
      </c>
      <c r="H10487" t="s">
        <v>47054</v>
      </c>
      <c r="I10487" t="s">
        <v>47176</v>
      </c>
      <c r="J10487" t="s">
        <v>47177</v>
      </c>
      <c r="K10487" t="s">
        <v>47113</v>
      </c>
      <c r="L10487">
        <v>8.75</v>
      </c>
      <c r="M10487">
        <v>26</v>
      </c>
      <c r="N10487">
        <v>0</v>
      </c>
      <c r="O10487">
        <v>26</v>
      </c>
      <c r="P10487">
        <v>0</v>
      </c>
    </row>
    <row r="10488" spans="1:16" x14ac:dyDescent="0.25">
      <c r="A10488" t="s">
        <v>33160</v>
      </c>
      <c r="B10488" t="s">
        <v>17749</v>
      </c>
      <c r="C10488" t="s">
        <v>17750</v>
      </c>
      <c r="D10488" t="str">
        <f>"1001"</f>
        <v>1001</v>
      </c>
      <c r="E10488" t="s">
        <v>42</v>
      </c>
      <c r="F10488" t="s">
        <v>15183</v>
      </c>
      <c r="G10488" t="s">
        <v>46688</v>
      </c>
      <c r="H10488" t="s">
        <v>47071</v>
      </c>
      <c r="I10488" t="s">
        <v>47120</v>
      </c>
      <c r="J10488" t="s">
        <v>47121</v>
      </c>
      <c r="K10488" t="s">
        <v>47113</v>
      </c>
      <c r="L10488">
        <v>9.57</v>
      </c>
      <c r="M10488">
        <v>27</v>
      </c>
      <c r="N10488">
        <v>0</v>
      </c>
      <c r="O10488">
        <v>27</v>
      </c>
      <c r="P10488">
        <v>0</v>
      </c>
    </row>
    <row r="10489" spans="1:16" x14ac:dyDescent="0.25">
      <c r="A10489" t="s">
        <v>33161</v>
      </c>
      <c r="B10489" t="s">
        <v>17749</v>
      </c>
      <c r="C10489" t="s">
        <v>17750</v>
      </c>
      <c r="D10489" t="str">
        <f>"6000"</f>
        <v>6000</v>
      </c>
      <c r="E10489" t="s">
        <v>238</v>
      </c>
      <c r="F10489" t="s">
        <v>15183</v>
      </c>
      <c r="G10489" t="s">
        <v>46688</v>
      </c>
      <c r="H10489" t="s">
        <v>47071</v>
      </c>
      <c r="I10489" t="s">
        <v>47120</v>
      </c>
      <c r="J10489" t="s">
        <v>47121</v>
      </c>
      <c r="K10489" t="s">
        <v>47113</v>
      </c>
      <c r="L10489">
        <v>9.57</v>
      </c>
      <c r="M10489">
        <v>27</v>
      </c>
      <c r="N10489">
        <v>0</v>
      </c>
      <c r="O10489">
        <v>27</v>
      </c>
      <c r="P10489">
        <v>0</v>
      </c>
    </row>
    <row r="10490" spans="1:16" x14ac:dyDescent="0.25">
      <c r="A10490" t="s">
        <v>33162</v>
      </c>
      <c r="B10490" t="s">
        <v>17751</v>
      </c>
      <c r="C10490" t="s">
        <v>17752</v>
      </c>
      <c r="D10490" t="str">
        <f>"1700"</f>
        <v>1700</v>
      </c>
      <c r="E10490" t="s">
        <v>60</v>
      </c>
      <c r="F10490" t="s">
        <v>15183</v>
      </c>
      <c r="G10490" t="s">
        <v>46688</v>
      </c>
      <c r="H10490" t="s">
        <v>47071</v>
      </c>
      <c r="I10490" t="s">
        <v>47120</v>
      </c>
      <c r="J10490" t="s">
        <v>47121</v>
      </c>
      <c r="K10490" t="s">
        <v>47113</v>
      </c>
      <c r="L10490">
        <v>9.57</v>
      </c>
      <c r="M10490">
        <v>27</v>
      </c>
      <c r="N10490">
        <v>0</v>
      </c>
      <c r="O10490">
        <v>27</v>
      </c>
      <c r="P10490">
        <v>0</v>
      </c>
    </row>
    <row r="10491" spans="1:16" x14ac:dyDescent="0.25">
      <c r="A10491" t="s">
        <v>33163</v>
      </c>
      <c r="B10491" t="s">
        <v>17751</v>
      </c>
      <c r="C10491" t="s">
        <v>17752</v>
      </c>
      <c r="D10491" t="str">
        <f>"6064"</f>
        <v>6064</v>
      </c>
      <c r="E10491" t="s">
        <v>87</v>
      </c>
      <c r="F10491" t="s">
        <v>15183</v>
      </c>
      <c r="G10491" t="s">
        <v>46688</v>
      </c>
      <c r="H10491" t="s">
        <v>47071</v>
      </c>
      <c r="I10491" t="s">
        <v>47120</v>
      </c>
      <c r="J10491" t="s">
        <v>47121</v>
      </c>
      <c r="K10491" t="s">
        <v>47113</v>
      </c>
      <c r="L10491">
        <v>9.57</v>
      </c>
      <c r="M10491">
        <v>27</v>
      </c>
      <c r="N10491">
        <v>0</v>
      </c>
      <c r="O10491">
        <v>27</v>
      </c>
      <c r="P10491">
        <v>0</v>
      </c>
    </row>
    <row r="10492" spans="1:16" x14ac:dyDescent="0.25">
      <c r="A10492" t="s">
        <v>33164</v>
      </c>
      <c r="B10492" t="s">
        <v>17753</v>
      </c>
      <c r="C10492" t="s">
        <v>17754</v>
      </c>
      <c r="D10492" t="str">
        <f>"1700"</f>
        <v>1700</v>
      </c>
      <c r="E10492" t="s">
        <v>60</v>
      </c>
      <c r="F10492" t="s">
        <v>15183</v>
      </c>
      <c r="G10492" t="s">
        <v>46688</v>
      </c>
      <c r="H10492" t="s">
        <v>47071</v>
      </c>
      <c r="I10492" t="s">
        <v>47120</v>
      </c>
      <c r="J10492" t="s">
        <v>47121</v>
      </c>
      <c r="K10492" t="s">
        <v>47113</v>
      </c>
      <c r="L10492">
        <v>9.57</v>
      </c>
      <c r="M10492">
        <v>27</v>
      </c>
      <c r="N10492">
        <v>0</v>
      </c>
      <c r="O10492">
        <v>27</v>
      </c>
      <c r="P10492">
        <v>0</v>
      </c>
    </row>
    <row r="10493" spans="1:16" x14ac:dyDescent="0.25">
      <c r="A10493" t="s">
        <v>33165</v>
      </c>
      <c r="B10493" t="s">
        <v>17755</v>
      </c>
      <c r="C10493" t="s">
        <v>17756</v>
      </c>
      <c r="D10493" t="str">
        <f>"1001"</f>
        <v>1001</v>
      </c>
      <c r="E10493" t="s">
        <v>42</v>
      </c>
      <c r="F10493" t="s">
        <v>3750</v>
      </c>
      <c r="G10493" t="s">
        <v>46688</v>
      </c>
      <c r="H10493" t="s">
        <v>47071</v>
      </c>
      <c r="I10493" t="s">
        <v>47176</v>
      </c>
      <c r="J10493" t="s">
        <v>47177</v>
      </c>
      <c r="K10493" t="s">
        <v>47113</v>
      </c>
      <c r="L10493">
        <v>9.34</v>
      </c>
      <c r="M10493">
        <v>33</v>
      </c>
      <c r="N10493">
        <v>0</v>
      </c>
      <c r="O10493">
        <v>33</v>
      </c>
      <c r="P10493">
        <v>0</v>
      </c>
    </row>
    <row r="10494" spans="1:16" x14ac:dyDescent="0.25">
      <c r="A10494" t="s">
        <v>33166</v>
      </c>
      <c r="B10494" t="s">
        <v>17755</v>
      </c>
      <c r="C10494" t="s">
        <v>17756</v>
      </c>
      <c r="D10494" t="str">
        <f>"6064"</f>
        <v>6064</v>
      </c>
      <c r="E10494" t="s">
        <v>87</v>
      </c>
      <c r="F10494" t="s">
        <v>3750</v>
      </c>
      <c r="G10494" t="s">
        <v>46688</v>
      </c>
      <c r="H10494" t="s">
        <v>47071</v>
      </c>
      <c r="I10494" t="s">
        <v>47176</v>
      </c>
      <c r="J10494" t="s">
        <v>47177</v>
      </c>
      <c r="K10494" t="s">
        <v>47113</v>
      </c>
      <c r="L10494">
        <v>9.34</v>
      </c>
      <c r="M10494">
        <v>33</v>
      </c>
      <c r="N10494">
        <v>0</v>
      </c>
      <c r="O10494">
        <v>33</v>
      </c>
      <c r="P10494">
        <v>0</v>
      </c>
    </row>
    <row r="10495" spans="1:16" x14ac:dyDescent="0.25">
      <c r="A10495" t="s">
        <v>33167</v>
      </c>
      <c r="B10495" t="s">
        <v>7771</v>
      </c>
      <c r="C10495" t="s">
        <v>5493</v>
      </c>
      <c r="D10495" t="str">
        <f>"3512"</f>
        <v>3512</v>
      </c>
      <c r="E10495" t="s">
        <v>7772</v>
      </c>
      <c r="F10495" t="s">
        <v>3558</v>
      </c>
      <c r="G10495" t="s">
        <v>16230</v>
      </c>
      <c r="H10495" t="s">
        <v>47054</v>
      </c>
      <c r="I10495" t="s">
        <v>47118</v>
      </c>
      <c r="J10495" t="s">
        <v>47119</v>
      </c>
      <c r="K10495" t="s">
        <v>47113</v>
      </c>
      <c r="L10495">
        <v>20.45</v>
      </c>
      <c r="M10495">
        <v>55</v>
      </c>
      <c r="N10495">
        <v>0</v>
      </c>
      <c r="O10495">
        <v>55</v>
      </c>
      <c r="P10495">
        <v>0</v>
      </c>
    </row>
    <row r="10496" spans="1:16" x14ac:dyDescent="0.25">
      <c r="A10496" t="s">
        <v>33168</v>
      </c>
      <c r="B10496" t="s">
        <v>7771</v>
      </c>
      <c r="C10496" t="s">
        <v>5493</v>
      </c>
      <c r="D10496" t="str">
        <f>"6497"</f>
        <v>6497</v>
      </c>
      <c r="E10496" t="s">
        <v>6279</v>
      </c>
      <c r="F10496" t="s">
        <v>3558</v>
      </c>
      <c r="G10496" t="s">
        <v>16230</v>
      </c>
      <c r="H10496" t="s">
        <v>47054</v>
      </c>
      <c r="I10496" t="s">
        <v>47118</v>
      </c>
      <c r="J10496" t="s">
        <v>47119</v>
      </c>
      <c r="K10496" t="s">
        <v>47113</v>
      </c>
      <c r="L10496">
        <v>20.45</v>
      </c>
      <c r="M10496">
        <v>55</v>
      </c>
      <c r="N10496">
        <v>0</v>
      </c>
      <c r="O10496">
        <v>55</v>
      </c>
      <c r="P10496">
        <v>0</v>
      </c>
    </row>
    <row r="10497" spans="1:16" x14ac:dyDescent="0.25">
      <c r="A10497" t="s">
        <v>33169</v>
      </c>
      <c r="B10497" t="s">
        <v>7773</v>
      </c>
      <c r="C10497" t="s">
        <v>7774</v>
      </c>
      <c r="D10497" t="str">
        <f>"4048"</f>
        <v>4048</v>
      </c>
      <c r="E10497" t="s">
        <v>710</v>
      </c>
      <c r="F10497" t="s">
        <v>3558</v>
      </c>
      <c r="G10497" t="s">
        <v>46686</v>
      </c>
      <c r="H10497" t="s">
        <v>47054</v>
      </c>
      <c r="I10497" t="s">
        <v>47118</v>
      </c>
      <c r="J10497" t="s">
        <v>47119</v>
      </c>
      <c r="K10497" t="s">
        <v>47113</v>
      </c>
      <c r="L10497">
        <v>14.97</v>
      </c>
      <c r="M10497">
        <v>63</v>
      </c>
      <c r="N10497">
        <v>0</v>
      </c>
      <c r="O10497">
        <v>63</v>
      </c>
      <c r="P10497">
        <v>0</v>
      </c>
    </row>
    <row r="10498" spans="1:16" x14ac:dyDescent="0.25">
      <c r="A10498" t="s">
        <v>33170</v>
      </c>
      <c r="B10498" t="s">
        <v>7775</v>
      </c>
      <c r="C10498" t="s">
        <v>7776</v>
      </c>
      <c r="D10498" t="str">
        <f>"1496"</f>
        <v>1496</v>
      </c>
      <c r="E10498" t="s">
        <v>7098</v>
      </c>
      <c r="F10498" t="s">
        <v>3558</v>
      </c>
      <c r="G10498" t="s">
        <v>16222</v>
      </c>
      <c r="H10498" t="s">
        <v>47054</v>
      </c>
      <c r="I10498" t="s">
        <v>47118</v>
      </c>
      <c r="J10498" t="s">
        <v>47119</v>
      </c>
      <c r="K10498" t="s">
        <v>47113</v>
      </c>
      <c r="L10498">
        <v>22.1</v>
      </c>
      <c r="M10498">
        <v>55</v>
      </c>
      <c r="N10498">
        <v>0</v>
      </c>
      <c r="O10498">
        <v>55</v>
      </c>
      <c r="P10498">
        <v>0</v>
      </c>
    </row>
    <row r="10499" spans="1:16" x14ac:dyDescent="0.25">
      <c r="A10499" t="s">
        <v>33171</v>
      </c>
      <c r="B10499" t="s">
        <v>7775</v>
      </c>
      <c r="C10499" t="s">
        <v>7776</v>
      </c>
      <c r="D10499" t="str">
        <f>"6497"</f>
        <v>6497</v>
      </c>
      <c r="E10499" t="s">
        <v>6279</v>
      </c>
      <c r="F10499" t="s">
        <v>3558</v>
      </c>
      <c r="G10499" t="s">
        <v>16222</v>
      </c>
      <c r="H10499" t="s">
        <v>47054</v>
      </c>
      <c r="I10499" t="s">
        <v>47118</v>
      </c>
      <c r="J10499" t="s">
        <v>47119</v>
      </c>
      <c r="K10499" t="s">
        <v>47113</v>
      </c>
      <c r="L10499">
        <v>22.1</v>
      </c>
      <c r="M10499">
        <v>55</v>
      </c>
      <c r="N10499">
        <v>0</v>
      </c>
      <c r="O10499">
        <v>55</v>
      </c>
      <c r="P10499">
        <v>0</v>
      </c>
    </row>
    <row r="10500" spans="1:16" x14ac:dyDescent="0.25">
      <c r="A10500" t="s">
        <v>33172</v>
      </c>
      <c r="B10500" t="s">
        <v>14488</v>
      </c>
      <c r="C10500" t="s">
        <v>14487</v>
      </c>
      <c r="D10500" t="str">
        <f>"1496"</f>
        <v>1496</v>
      </c>
      <c r="E10500" t="s">
        <v>7098</v>
      </c>
      <c r="F10500" t="s">
        <v>3558</v>
      </c>
      <c r="G10500" t="s">
        <v>16235</v>
      </c>
      <c r="H10500" t="s">
        <v>47054</v>
      </c>
      <c r="I10500" t="s">
        <v>47118</v>
      </c>
      <c r="J10500" t="s">
        <v>47119</v>
      </c>
      <c r="K10500" t="s">
        <v>47113</v>
      </c>
      <c r="L10500">
        <v>20.2</v>
      </c>
      <c r="M10500">
        <v>55</v>
      </c>
      <c r="N10500">
        <v>0</v>
      </c>
      <c r="O10500">
        <v>55</v>
      </c>
      <c r="P10500">
        <v>0</v>
      </c>
    </row>
    <row r="10501" spans="1:16" x14ac:dyDescent="0.25">
      <c r="A10501" t="s">
        <v>33173</v>
      </c>
      <c r="B10501" t="s">
        <v>14488</v>
      </c>
      <c r="C10501" t="s">
        <v>14487</v>
      </c>
      <c r="D10501" t="str">
        <f>"4108"</f>
        <v>4108</v>
      </c>
      <c r="E10501" t="s">
        <v>6277</v>
      </c>
      <c r="F10501" t="s">
        <v>3558</v>
      </c>
      <c r="G10501" t="s">
        <v>16235</v>
      </c>
      <c r="H10501" t="s">
        <v>47054</v>
      </c>
      <c r="I10501" t="s">
        <v>47118</v>
      </c>
      <c r="J10501" t="s">
        <v>47119</v>
      </c>
      <c r="K10501" t="s">
        <v>47113</v>
      </c>
      <c r="L10501">
        <v>27.8</v>
      </c>
      <c r="M10501">
        <v>55</v>
      </c>
      <c r="N10501">
        <v>0</v>
      </c>
      <c r="O10501">
        <v>55</v>
      </c>
      <c r="P10501">
        <v>0</v>
      </c>
    </row>
    <row r="10502" spans="1:16" x14ac:dyDescent="0.25">
      <c r="A10502" t="s">
        <v>33174</v>
      </c>
      <c r="B10502" t="s">
        <v>14486</v>
      </c>
      <c r="C10502" t="s">
        <v>14485</v>
      </c>
      <c r="D10502" t="str">
        <f>"1496"</f>
        <v>1496</v>
      </c>
      <c r="E10502" t="s">
        <v>7098</v>
      </c>
      <c r="F10502" t="s">
        <v>3558</v>
      </c>
      <c r="G10502" t="s">
        <v>16222</v>
      </c>
      <c r="H10502" t="s">
        <v>47054</v>
      </c>
      <c r="I10502" t="s">
        <v>47118</v>
      </c>
      <c r="J10502" t="s">
        <v>47119</v>
      </c>
      <c r="K10502" t="s">
        <v>47113</v>
      </c>
      <c r="L10502">
        <v>18.98</v>
      </c>
      <c r="M10502">
        <v>55</v>
      </c>
      <c r="N10502">
        <v>0</v>
      </c>
      <c r="O10502">
        <v>55</v>
      </c>
      <c r="P10502">
        <v>0</v>
      </c>
    </row>
    <row r="10503" spans="1:16" x14ac:dyDescent="0.25">
      <c r="A10503" t="s">
        <v>33175</v>
      </c>
      <c r="B10503" t="s">
        <v>14484</v>
      </c>
      <c r="C10503" t="s">
        <v>14483</v>
      </c>
      <c r="D10503" t="str">
        <f>"1496"</f>
        <v>1496</v>
      </c>
      <c r="E10503" t="s">
        <v>7098</v>
      </c>
      <c r="F10503" t="s">
        <v>3558</v>
      </c>
      <c r="G10503" t="s">
        <v>16235</v>
      </c>
      <c r="H10503" t="s">
        <v>47054</v>
      </c>
      <c r="I10503" t="s">
        <v>47118</v>
      </c>
      <c r="J10503" t="s">
        <v>47119</v>
      </c>
      <c r="K10503" t="s">
        <v>47113</v>
      </c>
      <c r="L10503">
        <v>15.44</v>
      </c>
      <c r="M10503">
        <v>48</v>
      </c>
      <c r="N10503">
        <v>0</v>
      </c>
      <c r="O10503">
        <v>48</v>
      </c>
      <c r="P10503">
        <v>0</v>
      </c>
    </row>
    <row r="10504" spans="1:16" x14ac:dyDescent="0.25">
      <c r="A10504" t="s">
        <v>33176</v>
      </c>
      <c r="B10504" t="s">
        <v>14484</v>
      </c>
      <c r="C10504" t="s">
        <v>14483</v>
      </c>
      <c r="D10504" t="str">
        <f>"6497"</f>
        <v>6497</v>
      </c>
      <c r="E10504" t="s">
        <v>6279</v>
      </c>
      <c r="F10504" t="s">
        <v>3558</v>
      </c>
      <c r="G10504" t="s">
        <v>16235</v>
      </c>
      <c r="H10504" t="s">
        <v>47054</v>
      </c>
      <c r="I10504" t="s">
        <v>47118</v>
      </c>
      <c r="J10504" t="s">
        <v>47119</v>
      </c>
      <c r="K10504" t="s">
        <v>47113</v>
      </c>
      <c r="L10504">
        <v>15.44</v>
      </c>
      <c r="M10504">
        <v>48</v>
      </c>
      <c r="N10504">
        <v>0</v>
      </c>
      <c r="O10504">
        <v>48</v>
      </c>
      <c r="P10504">
        <v>0</v>
      </c>
    </row>
    <row r="10505" spans="1:16" x14ac:dyDescent="0.25">
      <c r="A10505" t="s">
        <v>33177</v>
      </c>
      <c r="B10505" t="s">
        <v>7777</v>
      </c>
      <c r="C10505" t="s">
        <v>14266</v>
      </c>
      <c r="D10505" t="str">
        <f>"4048"</f>
        <v>4048</v>
      </c>
      <c r="E10505" t="s">
        <v>710</v>
      </c>
      <c r="F10505" t="s">
        <v>3558</v>
      </c>
      <c r="G10505" t="s">
        <v>16222</v>
      </c>
      <c r="H10505" t="s">
        <v>47054</v>
      </c>
      <c r="I10505" t="s">
        <v>47118</v>
      </c>
      <c r="J10505" t="s">
        <v>47119</v>
      </c>
      <c r="K10505" t="s">
        <v>47113</v>
      </c>
      <c r="L10505">
        <v>30.5</v>
      </c>
      <c r="M10505">
        <v>48</v>
      </c>
      <c r="N10505">
        <v>0</v>
      </c>
      <c r="O10505">
        <v>48</v>
      </c>
      <c r="P10505">
        <v>0</v>
      </c>
    </row>
    <row r="10506" spans="1:16" x14ac:dyDescent="0.25">
      <c r="A10506" t="s">
        <v>33178</v>
      </c>
      <c r="B10506" t="s">
        <v>16347</v>
      </c>
      <c r="C10506" t="s">
        <v>7964</v>
      </c>
      <c r="D10506" t="str">
        <f>"1496"</f>
        <v>1496</v>
      </c>
      <c r="E10506" t="s">
        <v>7098</v>
      </c>
      <c r="F10506" t="s">
        <v>3558</v>
      </c>
      <c r="G10506" t="s">
        <v>16222</v>
      </c>
      <c r="H10506" t="s">
        <v>47054</v>
      </c>
      <c r="I10506" t="s">
        <v>47118</v>
      </c>
      <c r="J10506" t="s">
        <v>47119</v>
      </c>
      <c r="K10506" t="s">
        <v>47113</v>
      </c>
      <c r="L10506">
        <v>18.649999999999999</v>
      </c>
      <c r="M10506">
        <v>48</v>
      </c>
      <c r="N10506">
        <v>0</v>
      </c>
      <c r="O10506">
        <v>48</v>
      </c>
      <c r="P10506">
        <v>0</v>
      </c>
    </row>
    <row r="10507" spans="1:16" x14ac:dyDescent="0.25">
      <c r="A10507" t="s">
        <v>33179</v>
      </c>
      <c r="B10507" t="s">
        <v>16347</v>
      </c>
      <c r="C10507" t="s">
        <v>7964</v>
      </c>
      <c r="D10507" t="str">
        <f>"6497"</f>
        <v>6497</v>
      </c>
      <c r="E10507" t="s">
        <v>6279</v>
      </c>
      <c r="F10507" t="s">
        <v>3558</v>
      </c>
      <c r="G10507" t="s">
        <v>16222</v>
      </c>
      <c r="H10507" t="s">
        <v>47054</v>
      </c>
      <c r="I10507" t="s">
        <v>47118</v>
      </c>
      <c r="J10507" t="s">
        <v>47119</v>
      </c>
      <c r="K10507" t="s">
        <v>47113</v>
      </c>
      <c r="L10507">
        <v>18.649999999999999</v>
      </c>
      <c r="M10507">
        <v>48</v>
      </c>
      <c r="N10507">
        <v>0</v>
      </c>
      <c r="O10507">
        <v>48</v>
      </c>
      <c r="P10507">
        <v>0</v>
      </c>
    </row>
    <row r="10508" spans="1:16" x14ac:dyDescent="0.25">
      <c r="A10508" t="s">
        <v>33180</v>
      </c>
      <c r="B10508" t="s">
        <v>7778</v>
      </c>
      <c r="C10508" t="s">
        <v>7779</v>
      </c>
      <c r="D10508" t="str">
        <f>"1033"</f>
        <v>1033</v>
      </c>
      <c r="E10508" t="s">
        <v>1195</v>
      </c>
      <c r="F10508" t="s">
        <v>6</v>
      </c>
      <c r="G10508" t="s">
        <v>16235</v>
      </c>
      <c r="H10508" t="s">
        <v>47054</v>
      </c>
      <c r="I10508" t="s">
        <v>47111</v>
      </c>
      <c r="J10508" t="s">
        <v>47112</v>
      </c>
      <c r="K10508" t="s">
        <v>47113</v>
      </c>
      <c r="L10508">
        <v>38.31</v>
      </c>
      <c r="M10508">
        <v>91</v>
      </c>
      <c r="N10508">
        <v>0</v>
      </c>
      <c r="O10508">
        <v>91</v>
      </c>
      <c r="P10508">
        <v>0</v>
      </c>
    </row>
    <row r="10509" spans="1:16" x14ac:dyDescent="0.25">
      <c r="A10509" t="s">
        <v>33181</v>
      </c>
      <c r="B10509" t="s">
        <v>7780</v>
      </c>
      <c r="C10509" t="s">
        <v>7781</v>
      </c>
      <c r="D10509" t="str">
        <f>"6122"</f>
        <v>6122</v>
      </c>
      <c r="E10509" t="s">
        <v>1197</v>
      </c>
      <c r="F10509" t="s">
        <v>6</v>
      </c>
      <c r="G10509" t="s">
        <v>16235</v>
      </c>
      <c r="H10509" t="s">
        <v>47054</v>
      </c>
      <c r="I10509" t="s">
        <v>47111</v>
      </c>
      <c r="J10509" t="s">
        <v>47112</v>
      </c>
      <c r="K10509" t="s">
        <v>47113</v>
      </c>
      <c r="L10509">
        <v>38.5</v>
      </c>
      <c r="M10509">
        <v>92</v>
      </c>
      <c r="N10509">
        <v>0</v>
      </c>
      <c r="O10509">
        <v>92</v>
      </c>
      <c r="P10509">
        <v>0</v>
      </c>
    </row>
    <row r="10510" spans="1:16" x14ac:dyDescent="0.25">
      <c r="A10510" t="s">
        <v>33182</v>
      </c>
      <c r="B10510" t="s">
        <v>7782</v>
      </c>
      <c r="C10510" t="s">
        <v>2787</v>
      </c>
      <c r="D10510" t="str">
        <f>"1899"</f>
        <v>1899</v>
      </c>
      <c r="E10510" t="s">
        <v>7543</v>
      </c>
      <c r="F10510" t="s">
        <v>2</v>
      </c>
      <c r="G10510" t="s">
        <v>16235</v>
      </c>
      <c r="H10510" t="s">
        <v>47054</v>
      </c>
      <c r="I10510" t="s">
        <v>47139</v>
      </c>
      <c r="J10510" t="s">
        <v>47140</v>
      </c>
      <c r="K10510" t="s">
        <v>47113</v>
      </c>
      <c r="L10510">
        <v>36.51</v>
      </c>
      <c r="M10510">
        <v>96</v>
      </c>
      <c r="N10510">
        <v>0</v>
      </c>
      <c r="O10510">
        <v>96</v>
      </c>
      <c r="P10510">
        <v>0</v>
      </c>
    </row>
    <row r="10511" spans="1:16" x14ac:dyDescent="0.25">
      <c r="A10511" t="s">
        <v>33183</v>
      </c>
      <c r="B10511" t="s">
        <v>7782</v>
      </c>
      <c r="C10511" t="s">
        <v>2787</v>
      </c>
      <c r="D10511" t="str">
        <f>"1900"</f>
        <v>1900</v>
      </c>
      <c r="E10511" t="s">
        <v>2788</v>
      </c>
      <c r="F10511" t="s">
        <v>2</v>
      </c>
      <c r="G10511" t="s">
        <v>16235</v>
      </c>
      <c r="H10511" t="s">
        <v>47054</v>
      </c>
      <c r="I10511" t="s">
        <v>47139</v>
      </c>
      <c r="J10511" t="s">
        <v>47140</v>
      </c>
      <c r="K10511" t="s">
        <v>47113</v>
      </c>
      <c r="L10511">
        <v>36.51</v>
      </c>
      <c r="M10511">
        <v>96</v>
      </c>
      <c r="N10511">
        <v>0</v>
      </c>
      <c r="O10511">
        <v>96</v>
      </c>
      <c r="P10511">
        <v>0</v>
      </c>
    </row>
    <row r="10512" spans="1:16" x14ac:dyDescent="0.25">
      <c r="A10512" t="s">
        <v>33184</v>
      </c>
      <c r="B10512" t="s">
        <v>7783</v>
      </c>
      <c r="C10512" t="s">
        <v>7784</v>
      </c>
      <c r="D10512" t="str">
        <f>"4100"</f>
        <v>4100</v>
      </c>
      <c r="E10512" t="s">
        <v>7785</v>
      </c>
      <c r="F10512" t="s">
        <v>3558</v>
      </c>
      <c r="G10512" t="s">
        <v>16232</v>
      </c>
      <c r="H10512" t="s">
        <v>47054</v>
      </c>
      <c r="I10512" t="s">
        <v>47120</v>
      </c>
      <c r="J10512" t="s">
        <v>47121</v>
      </c>
      <c r="K10512" t="s">
        <v>47113</v>
      </c>
      <c r="L10512">
        <v>9.48</v>
      </c>
      <c r="M10512">
        <v>37</v>
      </c>
      <c r="N10512">
        <v>0</v>
      </c>
      <c r="O10512">
        <v>37</v>
      </c>
      <c r="P10512">
        <v>0</v>
      </c>
    </row>
    <row r="10513" spans="1:16" x14ac:dyDescent="0.25">
      <c r="A10513" t="s">
        <v>33185</v>
      </c>
      <c r="B10513" t="s">
        <v>7786</v>
      </c>
      <c r="C10513" t="s">
        <v>7787</v>
      </c>
      <c r="D10513" t="str">
        <f>"1533"</f>
        <v>1533</v>
      </c>
      <c r="E10513" t="s">
        <v>7551</v>
      </c>
      <c r="F10513" t="s">
        <v>2</v>
      </c>
      <c r="G10513" t="s">
        <v>16235</v>
      </c>
      <c r="H10513" t="s">
        <v>47054</v>
      </c>
      <c r="I10513" t="s">
        <v>47139</v>
      </c>
      <c r="J10513" t="s">
        <v>47140</v>
      </c>
      <c r="K10513" t="s">
        <v>47113</v>
      </c>
      <c r="L10513">
        <v>23.15</v>
      </c>
      <c r="M10513">
        <v>54</v>
      </c>
      <c r="N10513">
        <v>0</v>
      </c>
      <c r="O10513">
        <v>54</v>
      </c>
      <c r="P10513">
        <v>0</v>
      </c>
    </row>
    <row r="10514" spans="1:16" x14ac:dyDescent="0.25">
      <c r="A10514" t="s">
        <v>33186</v>
      </c>
      <c r="B10514" t="s">
        <v>7788</v>
      </c>
      <c r="C10514" t="s">
        <v>7789</v>
      </c>
      <c r="D10514" t="str">
        <f>"1505"</f>
        <v>1505</v>
      </c>
      <c r="E10514" t="s">
        <v>1667</v>
      </c>
      <c r="F10514" t="s">
        <v>5</v>
      </c>
      <c r="G10514" t="s">
        <v>16221</v>
      </c>
      <c r="H10514" t="s">
        <v>47054</v>
      </c>
      <c r="I10514" t="s">
        <v>47111</v>
      </c>
      <c r="J10514" t="s">
        <v>47112</v>
      </c>
      <c r="K10514" t="s">
        <v>47113</v>
      </c>
      <c r="L10514">
        <v>11.37</v>
      </c>
      <c r="M10514">
        <v>27</v>
      </c>
      <c r="N10514">
        <v>0</v>
      </c>
      <c r="O10514">
        <v>27</v>
      </c>
      <c r="P10514">
        <v>0</v>
      </c>
    </row>
    <row r="10515" spans="1:16" x14ac:dyDescent="0.25">
      <c r="A10515" t="s">
        <v>33187</v>
      </c>
      <c r="B10515" t="s">
        <v>7790</v>
      </c>
      <c r="C10515" t="s">
        <v>7791</v>
      </c>
      <c r="D10515" t="str">
        <f>"1505"</f>
        <v>1505</v>
      </c>
      <c r="E10515" t="s">
        <v>1667</v>
      </c>
      <c r="F10515" t="s">
        <v>4</v>
      </c>
      <c r="G10515" t="s">
        <v>16221</v>
      </c>
      <c r="H10515" t="s">
        <v>47054</v>
      </c>
      <c r="I10515" t="s">
        <v>47111</v>
      </c>
      <c r="J10515" t="s">
        <v>47112</v>
      </c>
      <c r="K10515" t="s">
        <v>47113</v>
      </c>
      <c r="L10515">
        <v>11.19</v>
      </c>
      <c r="M10515">
        <v>27</v>
      </c>
      <c r="N10515">
        <v>0</v>
      </c>
      <c r="O10515">
        <v>27</v>
      </c>
      <c r="P10515">
        <v>0</v>
      </c>
    </row>
    <row r="10516" spans="1:16" x14ac:dyDescent="0.25">
      <c r="A10516" t="s">
        <v>33188</v>
      </c>
      <c r="B10516" t="s">
        <v>7792</v>
      </c>
      <c r="C10516" t="s">
        <v>7793</v>
      </c>
      <c r="D10516" t="str">
        <f>"1505"</f>
        <v>1505</v>
      </c>
      <c r="E10516" t="s">
        <v>1667</v>
      </c>
      <c r="F10516" t="s">
        <v>4</v>
      </c>
      <c r="G10516" t="s">
        <v>16221</v>
      </c>
      <c r="H10516" t="s">
        <v>47054</v>
      </c>
      <c r="I10516" t="s">
        <v>47111</v>
      </c>
      <c r="J10516" t="s">
        <v>47112</v>
      </c>
      <c r="K10516" t="s">
        <v>47113</v>
      </c>
      <c r="L10516">
        <v>11.19</v>
      </c>
      <c r="M10516">
        <v>27</v>
      </c>
      <c r="N10516">
        <v>0</v>
      </c>
      <c r="O10516">
        <v>27</v>
      </c>
      <c r="P10516">
        <v>0</v>
      </c>
    </row>
    <row r="10517" spans="1:16" x14ac:dyDescent="0.25">
      <c r="A10517" t="s">
        <v>33189</v>
      </c>
      <c r="B10517" t="s">
        <v>7794</v>
      </c>
      <c r="C10517" t="s">
        <v>7681</v>
      </c>
      <c r="D10517" t="str">
        <f>"1527"</f>
        <v>1527</v>
      </c>
      <c r="E10517" t="s">
        <v>7795</v>
      </c>
      <c r="F10517" t="s">
        <v>6</v>
      </c>
      <c r="G10517" t="s">
        <v>16221</v>
      </c>
      <c r="H10517" t="s">
        <v>47054</v>
      </c>
      <c r="I10517" t="s">
        <v>47111</v>
      </c>
      <c r="J10517" t="s">
        <v>47112</v>
      </c>
      <c r="K10517" t="s">
        <v>47113</v>
      </c>
      <c r="L10517">
        <v>14.2</v>
      </c>
      <c r="M10517">
        <v>37</v>
      </c>
      <c r="N10517">
        <v>0</v>
      </c>
      <c r="O10517">
        <v>37</v>
      </c>
      <c r="P10517">
        <v>0</v>
      </c>
    </row>
    <row r="10518" spans="1:16" x14ac:dyDescent="0.25">
      <c r="A10518" t="s">
        <v>33190</v>
      </c>
      <c r="B10518" t="s">
        <v>7796</v>
      </c>
      <c r="C10518" t="s">
        <v>7797</v>
      </c>
      <c r="D10518" t="str">
        <f>"1505"</f>
        <v>1505</v>
      </c>
      <c r="E10518" t="s">
        <v>1667</v>
      </c>
      <c r="F10518" t="s">
        <v>2</v>
      </c>
      <c r="G10518" t="s">
        <v>16221</v>
      </c>
      <c r="H10518" t="s">
        <v>47054</v>
      </c>
      <c r="I10518" t="s">
        <v>47111</v>
      </c>
      <c r="J10518" t="s">
        <v>47112</v>
      </c>
      <c r="K10518" t="s">
        <v>47113</v>
      </c>
      <c r="L10518">
        <v>9.7899999999999991</v>
      </c>
      <c r="M10518">
        <v>27</v>
      </c>
      <c r="N10518">
        <v>0</v>
      </c>
      <c r="O10518">
        <v>27</v>
      </c>
      <c r="P10518">
        <v>0</v>
      </c>
    </row>
    <row r="10519" spans="1:16" x14ac:dyDescent="0.25">
      <c r="A10519" t="s">
        <v>33191</v>
      </c>
      <c r="B10519" t="s">
        <v>7798</v>
      </c>
      <c r="C10519" t="s">
        <v>7799</v>
      </c>
      <c r="D10519" t="str">
        <f>"1532"</f>
        <v>1532</v>
      </c>
      <c r="E10519" t="s">
        <v>7800</v>
      </c>
      <c r="F10519" t="s">
        <v>2</v>
      </c>
      <c r="G10519" t="s">
        <v>16221</v>
      </c>
      <c r="H10519" t="s">
        <v>47054</v>
      </c>
      <c r="I10519" t="s">
        <v>47111</v>
      </c>
      <c r="J10519" t="s">
        <v>47112</v>
      </c>
      <c r="K10519" t="s">
        <v>47113</v>
      </c>
      <c r="L10519">
        <v>12.97</v>
      </c>
      <c r="M10519">
        <v>31</v>
      </c>
      <c r="N10519">
        <v>0</v>
      </c>
      <c r="O10519">
        <v>31</v>
      </c>
      <c r="P10519">
        <v>0</v>
      </c>
    </row>
    <row r="10520" spans="1:16" x14ac:dyDescent="0.25">
      <c r="A10520" t="s">
        <v>33192</v>
      </c>
      <c r="B10520" t="s">
        <v>7801</v>
      </c>
      <c r="C10520" t="s">
        <v>7802</v>
      </c>
      <c r="D10520" t="str">
        <f>"6036"</f>
        <v>6036</v>
      </c>
      <c r="E10520" t="s">
        <v>7703</v>
      </c>
      <c r="F10520" t="s">
        <v>7</v>
      </c>
      <c r="G10520" t="s">
        <v>16235</v>
      </c>
      <c r="H10520" t="s">
        <v>47054</v>
      </c>
      <c r="I10520" t="s">
        <v>47111</v>
      </c>
      <c r="J10520" t="s">
        <v>47112</v>
      </c>
      <c r="K10520" t="s">
        <v>47113</v>
      </c>
      <c r="L10520">
        <v>20.100000000000001</v>
      </c>
      <c r="M10520">
        <v>52</v>
      </c>
      <c r="N10520">
        <v>0</v>
      </c>
      <c r="O10520">
        <v>52</v>
      </c>
      <c r="P10520">
        <v>0</v>
      </c>
    </row>
    <row r="10521" spans="1:16" x14ac:dyDescent="0.25">
      <c r="A10521" t="s">
        <v>33193</v>
      </c>
      <c r="B10521" t="s">
        <v>7803</v>
      </c>
      <c r="C10521" t="s">
        <v>7804</v>
      </c>
      <c r="D10521" t="str">
        <f>"1114"</f>
        <v>1114</v>
      </c>
      <c r="E10521" t="s">
        <v>7470</v>
      </c>
      <c r="F10521" t="s">
        <v>7</v>
      </c>
      <c r="G10521" t="s">
        <v>16235</v>
      </c>
      <c r="H10521" t="s">
        <v>47054</v>
      </c>
      <c r="I10521" t="s">
        <v>47111</v>
      </c>
      <c r="J10521" t="s">
        <v>47112</v>
      </c>
      <c r="K10521" t="s">
        <v>47113</v>
      </c>
      <c r="L10521">
        <v>20.25</v>
      </c>
      <c r="M10521">
        <v>52</v>
      </c>
      <c r="N10521">
        <v>0</v>
      </c>
      <c r="O10521">
        <v>52</v>
      </c>
      <c r="P10521">
        <v>0</v>
      </c>
    </row>
    <row r="10522" spans="1:16" x14ac:dyDescent="0.25">
      <c r="A10522" t="s">
        <v>33194</v>
      </c>
      <c r="B10522" t="s">
        <v>7805</v>
      </c>
      <c r="C10522" t="s">
        <v>7806</v>
      </c>
      <c r="D10522" t="str">
        <f>"7321"</f>
        <v>7321</v>
      </c>
      <c r="E10522" t="s">
        <v>7090</v>
      </c>
      <c r="F10522" t="s">
        <v>7</v>
      </c>
      <c r="G10522" t="s">
        <v>46686</v>
      </c>
      <c r="H10522" t="s">
        <v>47054</v>
      </c>
      <c r="I10522" t="s">
        <v>47111</v>
      </c>
      <c r="J10522" t="s">
        <v>47112</v>
      </c>
      <c r="K10522" t="s">
        <v>47113</v>
      </c>
      <c r="L10522">
        <v>20.25</v>
      </c>
      <c r="M10522">
        <v>52</v>
      </c>
      <c r="N10522">
        <v>0</v>
      </c>
      <c r="O10522">
        <v>52</v>
      </c>
      <c r="P10522">
        <v>0</v>
      </c>
    </row>
    <row r="10523" spans="1:16" x14ac:dyDescent="0.25">
      <c r="A10523" t="s">
        <v>33195</v>
      </c>
      <c r="B10523" t="s">
        <v>7807</v>
      </c>
      <c r="C10523" t="s">
        <v>7808</v>
      </c>
      <c r="D10523" t="str">
        <f>"1165"</f>
        <v>1165</v>
      </c>
      <c r="E10523" t="s">
        <v>1153</v>
      </c>
      <c r="F10523" t="s">
        <v>5</v>
      </c>
      <c r="G10523" t="s">
        <v>16235</v>
      </c>
      <c r="H10523" t="s">
        <v>47054</v>
      </c>
      <c r="I10523" t="s">
        <v>47111</v>
      </c>
      <c r="J10523" t="s">
        <v>47112</v>
      </c>
      <c r="K10523" t="s">
        <v>47113</v>
      </c>
      <c r="L10523">
        <v>31.87</v>
      </c>
      <c r="M10523">
        <v>65</v>
      </c>
      <c r="N10523">
        <v>0</v>
      </c>
      <c r="O10523">
        <v>65</v>
      </c>
      <c r="P10523">
        <v>0</v>
      </c>
    </row>
    <row r="10524" spans="1:16" x14ac:dyDescent="0.25">
      <c r="A10524" t="s">
        <v>33196</v>
      </c>
      <c r="B10524" t="s">
        <v>7807</v>
      </c>
      <c r="C10524" t="s">
        <v>7808</v>
      </c>
      <c r="D10524" t="str">
        <f>"4134"</f>
        <v>4134</v>
      </c>
      <c r="E10524" t="s">
        <v>6455</v>
      </c>
      <c r="F10524" t="s">
        <v>5</v>
      </c>
      <c r="G10524" t="s">
        <v>16235</v>
      </c>
      <c r="H10524" t="s">
        <v>47054</v>
      </c>
      <c r="I10524" t="s">
        <v>47111</v>
      </c>
      <c r="J10524" t="s">
        <v>47112</v>
      </c>
      <c r="K10524" t="s">
        <v>47113</v>
      </c>
      <c r="L10524">
        <v>31.87</v>
      </c>
      <c r="M10524">
        <v>65</v>
      </c>
      <c r="N10524">
        <v>0</v>
      </c>
      <c r="O10524">
        <v>65</v>
      </c>
      <c r="P10524">
        <v>0</v>
      </c>
    </row>
    <row r="10525" spans="1:16" x14ac:dyDescent="0.25">
      <c r="A10525" t="s">
        <v>33197</v>
      </c>
      <c r="B10525" t="s">
        <v>7807</v>
      </c>
      <c r="C10525" t="s">
        <v>7808</v>
      </c>
      <c r="D10525" t="str">
        <f>"4434"</f>
        <v>4434</v>
      </c>
      <c r="E10525" t="s">
        <v>6450</v>
      </c>
      <c r="F10525" t="s">
        <v>5</v>
      </c>
      <c r="G10525" t="s">
        <v>16235</v>
      </c>
      <c r="H10525" t="s">
        <v>47054</v>
      </c>
      <c r="I10525" t="s">
        <v>47111</v>
      </c>
      <c r="J10525" t="s">
        <v>47112</v>
      </c>
      <c r="K10525" t="s">
        <v>47113</v>
      </c>
      <c r="L10525">
        <v>31.87</v>
      </c>
      <c r="M10525">
        <v>65</v>
      </c>
      <c r="N10525">
        <v>0</v>
      </c>
      <c r="O10525">
        <v>65</v>
      </c>
      <c r="P10525">
        <v>0</v>
      </c>
    </row>
    <row r="10526" spans="1:16" x14ac:dyDescent="0.25">
      <c r="A10526" t="s">
        <v>33198</v>
      </c>
      <c r="B10526" t="s">
        <v>7807</v>
      </c>
      <c r="C10526" t="s">
        <v>7808</v>
      </c>
      <c r="D10526" t="str">
        <f>"6332"</f>
        <v>6332</v>
      </c>
      <c r="E10526" t="s">
        <v>6458</v>
      </c>
      <c r="F10526" t="s">
        <v>5</v>
      </c>
      <c r="G10526" t="s">
        <v>16235</v>
      </c>
      <c r="H10526" t="s">
        <v>47054</v>
      </c>
      <c r="I10526" t="s">
        <v>47111</v>
      </c>
      <c r="J10526" t="s">
        <v>47112</v>
      </c>
      <c r="K10526" t="s">
        <v>47113</v>
      </c>
      <c r="L10526">
        <v>31.87</v>
      </c>
      <c r="M10526">
        <v>65</v>
      </c>
      <c r="N10526">
        <v>0</v>
      </c>
      <c r="O10526">
        <v>65</v>
      </c>
      <c r="P10526">
        <v>0</v>
      </c>
    </row>
    <row r="10527" spans="1:16" x14ac:dyDescent="0.25">
      <c r="A10527" t="s">
        <v>33199</v>
      </c>
      <c r="B10527" t="s">
        <v>7807</v>
      </c>
      <c r="C10527" t="s">
        <v>7808</v>
      </c>
      <c r="D10527" t="str">
        <f>"8051"</f>
        <v>8051</v>
      </c>
      <c r="E10527" t="s">
        <v>7809</v>
      </c>
      <c r="F10527" t="s">
        <v>5</v>
      </c>
      <c r="G10527" t="s">
        <v>16235</v>
      </c>
      <c r="H10527" t="s">
        <v>47054</v>
      </c>
      <c r="I10527" t="s">
        <v>47111</v>
      </c>
      <c r="J10527" t="s">
        <v>47112</v>
      </c>
      <c r="K10527" t="s">
        <v>47113</v>
      </c>
      <c r="L10527">
        <v>31.87</v>
      </c>
      <c r="M10527">
        <v>65</v>
      </c>
      <c r="N10527">
        <v>0</v>
      </c>
      <c r="O10527">
        <v>65</v>
      </c>
      <c r="P10527">
        <v>0</v>
      </c>
    </row>
    <row r="10528" spans="1:16" x14ac:dyDescent="0.25">
      <c r="A10528" t="s">
        <v>33200</v>
      </c>
      <c r="B10528" t="s">
        <v>17757</v>
      </c>
      <c r="C10528" t="s">
        <v>17758</v>
      </c>
      <c r="D10528" t="str">
        <f>"1106"</f>
        <v>1106</v>
      </c>
      <c r="E10528" t="s">
        <v>15448</v>
      </c>
      <c r="F10528" t="s">
        <v>3750</v>
      </c>
      <c r="G10528" t="s">
        <v>16231</v>
      </c>
      <c r="H10528" t="s">
        <v>47054</v>
      </c>
      <c r="I10528" t="s">
        <v>47116</v>
      </c>
      <c r="J10528" t="s">
        <v>47117</v>
      </c>
      <c r="K10528" t="s">
        <v>47113</v>
      </c>
      <c r="L10528">
        <v>23.92</v>
      </c>
      <c r="M10528">
        <v>67</v>
      </c>
      <c r="N10528">
        <v>0</v>
      </c>
      <c r="O10528">
        <v>67</v>
      </c>
      <c r="P10528">
        <v>0</v>
      </c>
    </row>
    <row r="10529" spans="1:16" x14ac:dyDescent="0.25">
      <c r="A10529" t="s">
        <v>33201</v>
      </c>
      <c r="B10529" t="s">
        <v>7810</v>
      </c>
      <c r="C10529" t="s">
        <v>7811</v>
      </c>
      <c r="D10529" t="str">
        <f>"4128"</f>
        <v>4128</v>
      </c>
      <c r="E10529" t="s">
        <v>7812</v>
      </c>
      <c r="F10529" t="s">
        <v>2068</v>
      </c>
      <c r="G10529" t="s">
        <v>16230</v>
      </c>
      <c r="H10529" t="s">
        <v>47054</v>
      </c>
      <c r="I10529" t="s">
        <v>47120</v>
      </c>
      <c r="J10529" t="s">
        <v>47121</v>
      </c>
      <c r="K10529" t="s">
        <v>47113</v>
      </c>
      <c r="L10529">
        <v>23.01</v>
      </c>
      <c r="M10529">
        <v>52</v>
      </c>
      <c r="N10529">
        <v>0</v>
      </c>
      <c r="O10529">
        <v>52</v>
      </c>
      <c r="P10529">
        <v>0</v>
      </c>
    </row>
    <row r="10530" spans="1:16" x14ac:dyDescent="0.25">
      <c r="A10530" t="s">
        <v>33202</v>
      </c>
      <c r="B10530" t="s">
        <v>7813</v>
      </c>
      <c r="C10530" t="s">
        <v>7814</v>
      </c>
      <c r="D10530" t="s">
        <v>7815</v>
      </c>
      <c r="E10530" t="s">
        <v>7816</v>
      </c>
      <c r="F10530" t="s">
        <v>3750</v>
      </c>
      <c r="G10530" t="s">
        <v>16231</v>
      </c>
      <c r="H10530" t="s">
        <v>47054</v>
      </c>
      <c r="I10530" t="s">
        <v>47116</v>
      </c>
      <c r="J10530" t="s">
        <v>47117</v>
      </c>
      <c r="K10530" t="s">
        <v>47113</v>
      </c>
      <c r="L10530">
        <v>25.45</v>
      </c>
      <c r="M10530">
        <v>97</v>
      </c>
      <c r="N10530">
        <v>0</v>
      </c>
      <c r="O10530">
        <v>97</v>
      </c>
      <c r="P10530">
        <v>0</v>
      </c>
    </row>
    <row r="10531" spans="1:16" x14ac:dyDescent="0.25">
      <c r="A10531" t="s">
        <v>33203</v>
      </c>
      <c r="B10531" t="s">
        <v>7817</v>
      </c>
      <c r="C10531" t="s">
        <v>7818</v>
      </c>
      <c r="D10531" t="s">
        <v>7819</v>
      </c>
      <c r="E10531" t="s">
        <v>7820</v>
      </c>
      <c r="F10531" t="s">
        <v>3750</v>
      </c>
      <c r="G10531" t="s">
        <v>16231</v>
      </c>
      <c r="H10531" t="s">
        <v>47054</v>
      </c>
      <c r="I10531" t="s">
        <v>47116</v>
      </c>
      <c r="J10531" t="s">
        <v>47117</v>
      </c>
      <c r="K10531" t="s">
        <v>47113</v>
      </c>
      <c r="L10531">
        <v>31.49</v>
      </c>
      <c r="M10531">
        <v>120</v>
      </c>
      <c r="N10531">
        <v>0</v>
      </c>
      <c r="O10531">
        <v>120</v>
      </c>
      <c r="P10531">
        <v>0</v>
      </c>
    </row>
    <row r="10532" spans="1:16" x14ac:dyDescent="0.25">
      <c r="A10532" t="s">
        <v>33204</v>
      </c>
      <c r="B10532" t="s">
        <v>17759</v>
      </c>
      <c r="C10532" t="s">
        <v>16495</v>
      </c>
      <c r="D10532" t="s">
        <v>16820</v>
      </c>
      <c r="E10532" t="s">
        <v>16821</v>
      </c>
      <c r="F10532" t="s">
        <v>3750</v>
      </c>
      <c r="G10532" t="s">
        <v>16231</v>
      </c>
      <c r="H10532" t="s">
        <v>47054</v>
      </c>
      <c r="I10532" t="s">
        <v>47116</v>
      </c>
      <c r="J10532" t="s">
        <v>47117</v>
      </c>
      <c r="K10532" t="s">
        <v>47113</v>
      </c>
      <c r="L10532">
        <v>32.08</v>
      </c>
      <c r="M10532">
        <v>95</v>
      </c>
      <c r="N10532">
        <v>0</v>
      </c>
      <c r="O10532">
        <v>95</v>
      </c>
      <c r="P10532">
        <v>0</v>
      </c>
    </row>
    <row r="10533" spans="1:16" x14ac:dyDescent="0.25">
      <c r="A10533" t="s">
        <v>33205</v>
      </c>
      <c r="B10533" t="s">
        <v>7821</v>
      </c>
      <c r="C10533" t="s">
        <v>7822</v>
      </c>
      <c r="D10533" t="s">
        <v>7823</v>
      </c>
      <c r="E10533" t="s">
        <v>7824</v>
      </c>
      <c r="F10533" t="s">
        <v>3750</v>
      </c>
      <c r="G10533" t="s">
        <v>16231</v>
      </c>
      <c r="H10533" t="s">
        <v>47054</v>
      </c>
      <c r="I10533" t="s">
        <v>47116</v>
      </c>
      <c r="J10533" t="s">
        <v>47117</v>
      </c>
      <c r="K10533" t="s">
        <v>47113</v>
      </c>
      <c r="L10533">
        <v>26.49</v>
      </c>
      <c r="M10533">
        <v>102</v>
      </c>
      <c r="N10533">
        <v>0</v>
      </c>
      <c r="O10533">
        <v>102</v>
      </c>
      <c r="P10533">
        <v>0</v>
      </c>
    </row>
    <row r="10534" spans="1:16" x14ac:dyDescent="0.25">
      <c r="A10534" t="s">
        <v>33206</v>
      </c>
      <c r="B10534" t="s">
        <v>17760</v>
      </c>
      <c r="C10534" t="s">
        <v>17761</v>
      </c>
      <c r="D10534" t="s">
        <v>7829</v>
      </c>
      <c r="E10534" t="s">
        <v>7830</v>
      </c>
      <c r="F10534" t="s">
        <v>3750</v>
      </c>
      <c r="G10534" t="s">
        <v>16231</v>
      </c>
      <c r="H10534" t="s">
        <v>47054</v>
      </c>
      <c r="I10534" t="s">
        <v>47116</v>
      </c>
      <c r="J10534" t="s">
        <v>47117</v>
      </c>
      <c r="K10534" t="s">
        <v>47113</v>
      </c>
      <c r="L10534">
        <v>26.48</v>
      </c>
      <c r="M10534">
        <v>74</v>
      </c>
      <c r="N10534">
        <v>0</v>
      </c>
      <c r="O10534">
        <v>74</v>
      </c>
      <c r="P10534">
        <v>0</v>
      </c>
    </row>
    <row r="10535" spans="1:16" x14ac:dyDescent="0.25">
      <c r="A10535" t="s">
        <v>33207</v>
      </c>
      <c r="B10535" t="s">
        <v>7825</v>
      </c>
      <c r="C10535" t="s">
        <v>7826</v>
      </c>
      <c r="D10535" t="s">
        <v>7815</v>
      </c>
      <c r="E10535" t="s">
        <v>7816</v>
      </c>
      <c r="F10535" t="s">
        <v>3750</v>
      </c>
      <c r="G10535" t="s">
        <v>16231</v>
      </c>
      <c r="H10535" t="s">
        <v>47054</v>
      </c>
      <c r="I10535" t="s">
        <v>47116</v>
      </c>
      <c r="J10535" t="s">
        <v>47117</v>
      </c>
      <c r="K10535" t="s">
        <v>47113</v>
      </c>
      <c r="L10535">
        <v>30.94</v>
      </c>
      <c r="M10535">
        <v>119</v>
      </c>
      <c r="N10535">
        <v>0</v>
      </c>
      <c r="O10535">
        <v>119</v>
      </c>
      <c r="P10535">
        <v>0</v>
      </c>
    </row>
    <row r="10536" spans="1:16" x14ac:dyDescent="0.25">
      <c r="A10536" t="s">
        <v>33208</v>
      </c>
      <c r="B10536" t="s">
        <v>7827</v>
      </c>
      <c r="C10536" t="s">
        <v>7828</v>
      </c>
      <c r="D10536" t="s">
        <v>7829</v>
      </c>
      <c r="E10536" t="s">
        <v>7830</v>
      </c>
      <c r="F10536" t="s">
        <v>3750</v>
      </c>
      <c r="G10536" t="s">
        <v>16231</v>
      </c>
      <c r="H10536" t="s">
        <v>47054</v>
      </c>
      <c r="I10536" t="s">
        <v>47116</v>
      </c>
      <c r="J10536" t="s">
        <v>47117</v>
      </c>
      <c r="K10536" t="s">
        <v>47113</v>
      </c>
      <c r="L10536">
        <v>25.66</v>
      </c>
      <c r="M10536">
        <v>99</v>
      </c>
      <c r="N10536">
        <v>0</v>
      </c>
      <c r="O10536">
        <v>99</v>
      </c>
      <c r="P10536">
        <v>0</v>
      </c>
    </row>
    <row r="10537" spans="1:16" x14ac:dyDescent="0.25">
      <c r="A10537" t="s">
        <v>33209</v>
      </c>
      <c r="B10537" t="s">
        <v>17762</v>
      </c>
      <c r="C10537" t="s">
        <v>17763</v>
      </c>
      <c r="D10537" t="s">
        <v>16820</v>
      </c>
      <c r="E10537" t="s">
        <v>16821</v>
      </c>
      <c r="F10537" t="s">
        <v>3750</v>
      </c>
      <c r="G10537" t="s">
        <v>16231</v>
      </c>
      <c r="H10537" t="s">
        <v>47054</v>
      </c>
      <c r="I10537" t="s">
        <v>47116</v>
      </c>
      <c r="J10537" t="s">
        <v>47117</v>
      </c>
      <c r="K10537" t="s">
        <v>47113</v>
      </c>
      <c r="L10537">
        <v>23.48</v>
      </c>
      <c r="M10537">
        <v>69</v>
      </c>
      <c r="N10537">
        <v>0</v>
      </c>
      <c r="O10537">
        <v>69</v>
      </c>
      <c r="P10537">
        <v>0</v>
      </c>
    </row>
    <row r="10538" spans="1:16" x14ac:dyDescent="0.25">
      <c r="A10538" t="s">
        <v>33210</v>
      </c>
      <c r="B10538" t="s">
        <v>17764</v>
      </c>
      <c r="C10538" t="s">
        <v>17765</v>
      </c>
      <c r="D10538" t="s">
        <v>7819</v>
      </c>
      <c r="E10538" t="s">
        <v>7820</v>
      </c>
      <c r="F10538" t="s">
        <v>3750</v>
      </c>
      <c r="G10538" t="s">
        <v>16231</v>
      </c>
      <c r="H10538" t="s">
        <v>47054</v>
      </c>
      <c r="I10538" t="s">
        <v>47116</v>
      </c>
      <c r="J10538" t="s">
        <v>47117</v>
      </c>
      <c r="K10538" t="s">
        <v>47113</v>
      </c>
      <c r="L10538">
        <v>26.48</v>
      </c>
      <c r="M10538">
        <v>74</v>
      </c>
      <c r="N10538">
        <v>0</v>
      </c>
      <c r="O10538">
        <v>74</v>
      </c>
      <c r="P10538">
        <v>0</v>
      </c>
    </row>
    <row r="10539" spans="1:16" x14ac:dyDescent="0.25">
      <c r="A10539" t="s">
        <v>33211</v>
      </c>
      <c r="B10539" t="s">
        <v>20543</v>
      </c>
      <c r="C10539" t="s">
        <v>20544</v>
      </c>
      <c r="D10539" t="s">
        <v>20545</v>
      </c>
      <c r="E10539" t="s">
        <v>20546</v>
      </c>
      <c r="F10539" t="s">
        <v>3750</v>
      </c>
      <c r="G10539" t="s">
        <v>16231</v>
      </c>
      <c r="H10539" t="s">
        <v>47054</v>
      </c>
      <c r="I10539" t="s">
        <v>47116</v>
      </c>
      <c r="J10539" t="s">
        <v>47117</v>
      </c>
      <c r="K10539" t="s">
        <v>47113</v>
      </c>
      <c r="L10539">
        <v>28.83</v>
      </c>
      <c r="M10539">
        <v>81</v>
      </c>
      <c r="N10539">
        <v>0</v>
      </c>
      <c r="O10539">
        <v>81</v>
      </c>
      <c r="P10539">
        <v>0</v>
      </c>
    </row>
    <row r="10540" spans="1:16" x14ac:dyDescent="0.25">
      <c r="A10540" t="s">
        <v>33212</v>
      </c>
      <c r="B10540" t="s">
        <v>17766</v>
      </c>
      <c r="C10540" t="s">
        <v>17767</v>
      </c>
      <c r="D10540" t="s">
        <v>13407</v>
      </c>
      <c r="E10540" t="s">
        <v>13408</v>
      </c>
      <c r="F10540" t="s">
        <v>3750</v>
      </c>
      <c r="G10540" t="s">
        <v>16231</v>
      </c>
      <c r="H10540" t="s">
        <v>47054</v>
      </c>
      <c r="I10540" t="s">
        <v>47116</v>
      </c>
      <c r="J10540" t="s">
        <v>47117</v>
      </c>
      <c r="K10540" t="s">
        <v>47113</v>
      </c>
      <c r="L10540">
        <v>25.12</v>
      </c>
      <c r="M10540">
        <v>71</v>
      </c>
      <c r="N10540">
        <v>0</v>
      </c>
      <c r="O10540">
        <v>71</v>
      </c>
      <c r="P10540">
        <v>0</v>
      </c>
    </row>
    <row r="10541" spans="1:16" x14ac:dyDescent="0.25">
      <c r="A10541" t="s">
        <v>33213</v>
      </c>
      <c r="B10541" t="s">
        <v>17766</v>
      </c>
      <c r="C10541" t="s">
        <v>17767</v>
      </c>
      <c r="D10541" t="s">
        <v>20547</v>
      </c>
      <c r="E10541" t="s">
        <v>20548</v>
      </c>
      <c r="F10541" t="s">
        <v>3750</v>
      </c>
      <c r="G10541" t="s">
        <v>16231</v>
      </c>
      <c r="H10541" t="s">
        <v>47054</v>
      </c>
      <c r="I10541" t="s">
        <v>47116</v>
      </c>
      <c r="J10541" t="s">
        <v>47117</v>
      </c>
      <c r="K10541" t="s">
        <v>47113</v>
      </c>
      <c r="L10541">
        <v>27.21</v>
      </c>
      <c r="M10541">
        <v>34</v>
      </c>
      <c r="N10541">
        <v>0</v>
      </c>
      <c r="O10541">
        <v>34</v>
      </c>
      <c r="P10541">
        <v>0</v>
      </c>
    </row>
    <row r="10542" spans="1:16" x14ac:dyDescent="0.25">
      <c r="A10542" t="s">
        <v>33214</v>
      </c>
      <c r="B10542" t="s">
        <v>17768</v>
      </c>
      <c r="C10542" t="s">
        <v>17769</v>
      </c>
      <c r="D10542" t="s">
        <v>17770</v>
      </c>
      <c r="E10542" t="s">
        <v>17771</v>
      </c>
      <c r="F10542" t="s">
        <v>3750</v>
      </c>
      <c r="G10542" t="s">
        <v>16231</v>
      </c>
      <c r="H10542" t="s">
        <v>47054</v>
      </c>
      <c r="I10542" t="s">
        <v>47116</v>
      </c>
      <c r="J10542" t="s">
        <v>47117</v>
      </c>
      <c r="K10542" t="s">
        <v>47113</v>
      </c>
      <c r="L10542">
        <v>27.57</v>
      </c>
      <c r="M10542">
        <v>77</v>
      </c>
      <c r="N10542">
        <v>0</v>
      </c>
      <c r="O10542">
        <v>77</v>
      </c>
      <c r="P10542">
        <v>0</v>
      </c>
    </row>
    <row r="10543" spans="1:16" x14ac:dyDescent="0.25">
      <c r="A10543" t="s">
        <v>33215</v>
      </c>
      <c r="B10543" t="s">
        <v>17772</v>
      </c>
      <c r="C10543" t="s">
        <v>6116</v>
      </c>
      <c r="D10543" t="s">
        <v>13407</v>
      </c>
      <c r="E10543" t="s">
        <v>13408</v>
      </c>
      <c r="F10543" t="s">
        <v>3750</v>
      </c>
      <c r="G10543" t="s">
        <v>16448</v>
      </c>
      <c r="H10543" t="s">
        <v>47054</v>
      </c>
      <c r="I10543" t="s">
        <v>47116</v>
      </c>
      <c r="J10543" t="s">
        <v>47117</v>
      </c>
      <c r="K10543" t="s">
        <v>47113</v>
      </c>
      <c r="L10543">
        <v>30.05</v>
      </c>
      <c r="M10543">
        <v>83</v>
      </c>
      <c r="N10543">
        <v>0</v>
      </c>
      <c r="O10543">
        <v>83</v>
      </c>
      <c r="P10543">
        <v>0</v>
      </c>
    </row>
    <row r="10544" spans="1:16" x14ac:dyDescent="0.25">
      <c r="A10544" t="s">
        <v>33216</v>
      </c>
      <c r="B10544" t="s">
        <v>20549</v>
      </c>
      <c r="C10544" t="s">
        <v>20550</v>
      </c>
      <c r="D10544" t="s">
        <v>20545</v>
      </c>
      <c r="E10544" t="s">
        <v>20546</v>
      </c>
      <c r="F10544" t="s">
        <v>3750</v>
      </c>
      <c r="G10544" t="s">
        <v>16224</v>
      </c>
      <c r="H10544" t="s">
        <v>47054</v>
      </c>
      <c r="I10544" t="s">
        <v>47116</v>
      </c>
      <c r="J10544" t="s">
        <v>47117</v>
      </c>
      <c r="K10544" t="s">
        <v>47113</v>
      </c>
      <c r="L10544">
        <v>31.18</v>
      </c>
      <c r="M10544">
        <v>107</v>
      </c>
      <c r="N10544">
        <v>0</v>
      </c>
      <c r="O10544">
        <v>107</v>
      </c>
      <c r="P10544">
        <v>0</v>
      </c>
    </row>
    <row r="10545" spans="1:16" x14ac:dyDescent="0.25">
      <c r="A10545" t="s">
        <v>33217</v>
      </c>
      <c r="B10545" t="s">
        <v>20551</v>
      </c>
      <c r="C10545" t="s">
        <v>20552</v>
      </c>
      <c r="D10545" t="s">
        <v>20545</v>
      </c>
      <c r="E10545" t="s">
        <v>20546</v>
      </c>
      <c r="F10545" t="s">
        <v>3750</v>
      </c>
      <c r="G10545" t="s">
        <v>16231</v>
      </c>
      <c r="H10545" t="s">
        <v>47054</v>
      </c>
      <c r="I10545" t="s">
        <v>47116</v>
      </c>
      <c r="J10545" t="s">
        <v>47117</v>
      </c>
      <c r="K10545" t="s">
        <v>47113</v>
      </c>
      <c r="L10545">
        <v>31.18</v>
      </c>
      <c r="M10545">
        <v>107</v>
      </c>
      <c r="N10545">
        <v>0</v>
      </c>
      <c r="O10545">
        <v>107</v>
      </c>
      <c r="P10545">
        <v>0</v>
      </c>
    </row>
    <row r="10546" spans="1:16" x14ac:dyDescent="0.25">
      <c r="A10546" t="s">
        <v>33218</v>
      </c>
      <c r="B10546" t="s">
        <v>17773</v>
      </c>
      <c r="C10546" t="s">
        <v>17774</v>
      </c>
      <c r="D10546" t="s">
        <v>16168</v>
      </c>
      <c r="E10546" t="s">
        <v>16169</v>
      </c>
      <c r="F10546" t="s">
        <v>3750</v>
      </c>
      <c r="G10546" t="s">
        <v>16231</v>
      </c>
      <c r="H10546" t="s">
        <v>47054</v>
      </c>
      <c r="I10546" t="s">
        <v>47116</v>
      </c>
      <c r="J10546" t="s">
        <v>47117</v>
      </c>
      <c r="K10546" t="s">
        <v>47113</v>
      </c>
      <c r="L10546">
        <v>33.06</v>
      </c>
      <c r="M10546">
        <v>92</v>
      </c>
      <c r="N10546">
        <v>0</v>
      </c>
      <c r="O10546">
        <v>92</v>
      </c>
      <c r="P10546">
        <v>0</v>
      </c>
    </row>
    <row r="10547" spans="1:16" x14ac:dyDescent="0.25">
      <c r="A10547" t="s">
        <v>33219</v>
      </c>
      <c r="B10547" t="s">
        <v>17775</v>
      </c>
      <c r="C10547" t="s">
        <v>17776</v>
      </c>
      <c r="D10547" t="s">
        <v>27</v>
      </c>
      <c r="E10547" t="s">
        <v>28</v>
      </c>
      <c r="F10547" t="s">
        <v>3750</v>
      </c>
      <c r="G10547" t="s">
        <v>16231</v>
      </c>
      <c r="H10547" t="s">
        <v>47054</v>
      </c>
      <c r="I10547" t="s">
        <v>47116</v>
      </c>
      <c r="J10547" t="s">
        <v>47117</v>
      </c>
      <c r="K10547" t="s">
        <v>47113</v>
      </c>
      <c r="L10547">
        <v>33.06</v>
      </c>
      <c r="M10547">
        <v>92</v>
      </c>
      <c r="N10547">
        <v>0</v>
      </c>
      <c r="O10547">
        <v>92</v>
      </c>
      <c r="P10547">
        <v>0</v>
      </c>
    </row>
    <row r="10548" spans="1:16" x14ac:dyDescent="0.25">
      <c r="A10548" t="s">
        <v>33220</v>
      </c>
      <c r="B10548" t="s">
        <v>20553</v>
      </c>
      <c r="C10548" t="s">
        <v>20554</v>
      </c>
      <c r="D10548" t="s">
        <v>20555</v>
      </c>
      <c r="E10548" t="s">
        <v>20556</v>
      </c>
      <c r="F10548" t="s">
        <v>3750</v>
      </c>
      <c r="G10548" t="s">
        <v>16231</v>
      </c>
      <c r="H10548" t="s">
        <v>47054</v>
      </c>
      <c r="I10548" t="s">
        <v>47116</v>
      </c>
      <c r="J10548" t="s">
        <v>47117</v>
      </c>
      <c r="K10548" t="s">
        <v>47113</v>
      </c>
      <c r="L10548">
        <v>28.55</v>
      </c>
      <c r="M10548">
        <v>40</v>
      </c>
      <c r="N10548">
        <v>0</v>
      </c>
      <c r="O10548">
        <v>40</v>
      </c>
      <c r="P10548">
        <v>0</v>
      </c>
    </row>
    <row r="10549" spans="1:16" x14ac:dyDescent="0.25">
      <c r="A10549" t="s">
        <v>33221</v>
      </c>
      <c r="B10549" t="s">
        <v>17777</v>
      </c>
      <c r="C10549" t="s">
        <v>17778</v>
      </c>
      <c r="D10549" t="s">
        <v>17779</v>
      </c>
      <c r="E10549" t="s">
        <v>17780</v>
      </c>
      <c r="F10549" t="s">
        <v>3750</v>
      </c>
      <c r="G10549" t="s">
        <v>16231</v>
      </c>
      <c r="H10549" t="s">
        <v>47054</v>
      </c>
      <c r="I10549" t="s">
        <v>47116</v>
      </c>
      <c r="J10549" t="s">
        <v>47117</v>
      </c>
      <c r="K10549" t="s">
        <v>47113</v>
      </c>
      <c r="L10549">
        <v>30.6</v>
      </c>
      <c r="M10549">
        <v>87</v>
      </c>
      <c r="N10549">
        <v>0</v>
      </c>
      <c r="O10549">
        <v>87</v>
      </c>
      <c r="P10549">
        <v>0</v>
      </c>
    </row>
    <row r="10550" spans="1:16" x14ac:dyDescent="0.25">
      <c r="A10550" t="s">
        <v>33222</v>
      </c>
      <c r="B10550" t="s">
        <v>20557</v>
      </c>
      <c r="C10550" t="s">
        <v>18284</v>
      </c>
      <c r="D10550" t="s">
        <v>19513</v>
      </c>
      <c r="E10550" t="s">
        <v>19514</v>
      </c>
      <c r="F10550" t="s">
        <v>3750</v>
      </c>
      <c r="G10550" t="s">
        <v>16231</v>
      </c>
      <c r="H10550" t="s">
        <v>47054</v>
      </c>
      <c r="I10550" t="s">
        <v>47116</v>
      </c>
      <c r="J10550" t="s">
        <v>47117</v>
      </c>
      <c r="K10550" t="s">
        <v>47113</v>
      </c>
      <c r="L10550">
        <v>29.4</v>
      </c>
      <c r="M10550">
        <v>93</v>
      </c>
      <c r="N10550">
        <v>0</v>
      </c>
      <c r="O10550">
        <v>93</v>
      </c>
      <c r="P10550">
        <v>0</v>
      </c>
    </row>
    <row r="10551" spans="1:16" x14ac:dyDescent="0.25">
      <c r="A10551" t="s">
        <v>33223</v>
      </c>
      <c r="B10551" t="s">
        <v>7831</v>
      </c>
      <c r="C10551" t="s">
        <v>7832</v>
      </c>
      <c r="D10551" t="s">
        <v>7833</v>
      </c>
      <c r="E10551" t="s">
        <v>7834</v>
      </c>
      <c r="F10551" t="s">
        <v>3750</v>
      </c>
      <c r="G10551" t="s">
        <v>16231</v>
      </c>
      <c r="H10551" t="s">
        <v>47054</v>
      </c>
      <c r="I10551" t="s">
        <v>47116</v>
      </c>
      <c r="J10551" t="s">
        <v>47117</v>
      </c>
      <c r="K10551" t="s">
        <v>47113</v>
      </c>
      <c r="L10551">
        <v>26.81</v>
      </c>
      <c r="M10551">
        <v>104</v>
      </c>
      <c r="N10551">
        <v>0</v>
      </c>
      <c r="O10551">
        <v>104</v>
      </c>
      <c r="P10551">
        <v>0</v>
      </c>
    </row>
    <row r="10552" spans="1:16" x14ac:dyDescent="0.25">
      <c r="A10552" t="s">
        <v>33224</v>
      </c>
      <c r="B10552" t="s">
        <v>15570</v>
      </c>
      <c r="C10552" t="s">
        <v>15571</v>
      </c>
      <c r="D10552" t="s">
        <v>15572</v>
      </c>
      <c r="E10552" t="s">
        <v>15573</v>
      </c>
      <c r="F10552" t="s">
        <v>3750</v>
      </c>
      <c r="G10552" t="s">
        <v>16231</v>
      </c>
      <c r="H10552" t="s">
        <v>47054</v>
      </c>
      <c r="I10552" t="s">
        <v>47116</v>
      </c>
      <c r="J10552" t="s">
        <v>47117</v>
      </c>
      <c r="K10552" t="s">
        <v>47113</v>
      </c>
      <c r="L10552">
        <v>22.85</v>
      </c>
      <c r="M10552">
        <v>89</v>
      </c>
      <c r="N10552">
        <v>0</v>
      </c>
      <c r="O10552">
        <v>89</v>
      </c>
      <c r="P10552">
        <v>0</v>
      </c>
    </row>
    <row r="10553" spans="1:16" x14ac:dyDescent="0.25">
      <c r="A10553" t="s">
        <v>33225</v>
      </c>
      <c r="B10553" t="s">
        <v>7835</v>
      </c>
      <c r="C10553" t="s">
        <v>7836</v>
      </c>
      <c r="D10553" t="s">
        <v>7823</v>
      </c>
      <c r="E10553" t="s">
        <v>7824</v>
      </c>
      <c r="F10553" t="s">
        <v>3750</v>
      </c>
      <c r="G10553" t="s">
        <v>16231</v>
      </c>
      <c r="H10553" t="s">
        <v>47054</v>
      </c>
      <c r="I10553" t="s">
        <v>47116</v>
      </c>
      <c r="J10553" t="s">
        <v>47117</v>
      </c>
      <c r="K10553" t="s">
        <v>47113</v>
      </c>
      <c r="L10553">
        <v>29.93</v>
      </c>
      <c r="M10553">
        <v>120</v>
      </c>
      <c r="N10553">
        <v>0</v>
      </c>
      <c r="O10553">
        <v>120</v>
      </c>
      <c r="P10553">
        <v>0</v>
      </c>
    </row>
    <row r="10554" spans="1:16" x14ac:dyDescent="0.25">
      <c r="A10554" t="s">
        <v>33226</v>
      </c>
      <c r="B10554" t="s">
        <v>15574</v>
      </c>
      <c r="C10554" t="s">
        <v>15575</v>
      </c>
      <c r="D10554" t="s">
        <v>7843</v>
      </c>
      <c r="E10554" t="s">
        <v>7844</v>
      </c>
      <c r="F10554" t="s">
        <v>3750</v>
      </c>
      <c r="G10554" t="s">
        <v>16231</v>
      </c>
      <c r="H10554" t="s">
        <v>47054</v>
      </c>
      <c r="I10554" t="s">
        <v>47116</v>
      </c>
      <c r="J10554" t="s">
        <v>47117</v>
      </c>
      <c r="K10554" t="s">
        <v>47113</v>
      </c>
      <c r="L10554">
        <v>28.73</v>
      </c>
      <c r="M10554">
        <v>116</v>
      </c>
      <c r="N10554">
        <v>0</v>
      </c>
      <c r="O10554">
        <v>116</v>
      </c>
      <c r="P10554">
        <v>0</v>
      </c>
    </row>
    <row r="10555" spans="1:16" x14ac:dyDescent="0.25">
      <c r="A10555" t="s">
        <v>33227</v>
      </c>
      <c r="B10555" t="s">
        <v>15576</v>
      </c>
      <c r="C10555" t="s">
        <v>15577</v>
      </c>
      <c r="D10555" t="s">
        <v>15578</v>
      </c>
      <c r="E10555" t="s">
        <v>15579</v>
      </c>
      <c r="F10555" t="s">
        <v>3750</v>
      </c>
      <c r="G10555" t="s">
        <v>16231</v>
      </c>
      <c r="H10555" t="s">
        <v>47054</v>
      </c>
      <c r="I10555" t="s">
        <v>47116</v>
      </c>
      <c r="J10555" t="s">
        <v>47117</v>
      </c>
      <c r="K10555" t="s">
        <v>47113</v>
      </c>
      <c r="L10555">
        <v>26.17</v>
      </c>
      <c r="M10555">
        <v>100</v>
      </c>
      <c r="N10555">
        <v>0</v>
      </c>
      <c r="O10555">
        <v>100</v>
      </c>
      <c r="P10555">
        <v>0</v>
      </c>
    </row>
    <row r="10556" spans="1:16" x14ac:dyDescent="0.25">
      <c r="A10556" t="s">
        <v>33228</v>
      </c>
      <c r="B10556" t="s">
        <v>7837</v>
      </c>
      <c r="C10556" t="s">
        <v>7838</v>
      </c>
      <c r="D10556" t="s">
        <v>7839</v>
      </c>
      <c r="E10556" t="s">
        <v>7840</v>
      </c>
      <c r="F10556" t="s">
        <v>3750</v>
      </c>
      <c r="G10556" t="s">
        <v>16231</v>
      </c>
      <c r="H10556" t="s">
        <v>47054</v>
      </c>
      <c r="I10556" t="s">
        <v>47116</v>
      </c>
      <c r="J10556" t="s">
        <v>47117</v>
      </c>
      <c r="K10556" t="s">
        <v>47113</v>
      </c>
      <c r="L10556">
        <v>26.03</v>
      </c>
      <c r="M10556">
        <v>103</v>
      </c>
      <c r="N10556">
        <v>0</v>
      </c>
      <c r="O10556">
        <v>103</v>
      </c>
      <c r="P10556">
        <v>0</v>
      </c>
    </row>
    <row r="10557" spans="1:16" x14ac:dyDescent="0.25">
      <c r="A10557" t="s">
        <v>33229</v>
      </c>
      <c r="B10557" t="s">
        <v>17781</v>
      </c>
      <c r="C10557" t="s">
        <v>17577</v>
      </c>
      <c r="D10557" t="s">
        <v>17782</v>
      </c>
      <c r="E10557" t="s">
        <v>17783</v>
      </c>
      <c r="F10557" t="s">
        <v>3750</v>
      </c>
      <c r="G10557" t="s">
        <v>16231</v>
      </c>
      <c r="H10557" t="s">
        <v>47054</v>
      </c>
      <c r="I10557" t="s">
        <v>47116</v>
      </c>
      <c r="J10557" t="s">
        <v>47117</v>
      </c>
      <c r="K10557" t="s">
        <v>47113</v>
      </c>
      <c r="L10557">
        <v>25.1</v>
      </c>
      <c r="M10557">
        <v>70</v>
      </c>
      <c r="N10557">
        <v>0</v>
      </c>
      <c r="O10557">
        <v>70</v>
      </c>
      <c r="P10557">
        <v>0</v>
      </c>
    </row>
    <row r="10558" spans="1:16" x14ac:dyDescent="0.25">
      <c r="A10558" t="s">
        <v>33230</v>
      </c>
      <c r="B10558" t="s">
        <v>7841</v>
      </c>
      <c r="C10558" t="s">
        <v>7842</v>
      </c>
      <c r="D10558" t="s">
        <v>7843</v>
      </c>
      <c r="E10558" t="s">
        <v>7844</v>
      </c>
      <c r="F10558" t="s">
        <v>3750</v>
      </c>
      <c r="G10558" t="s">
        <v>16231</v>
      </c>
      <c r="H10558" t="s">
        <v>47054</v>
      </c>
      <c r="I10558" t="s">
        <v>47116</v>
      </c>
      <c r="J10558" t="s">
        <v>47117</v>
      </c>
      <c r="K10558" t="s">
        <v>47113</v>
      </c>
      <c r="L10558">
        <v>24.21</v>
      </c>
      <c r="M10558">
        <v>94</v>
      </c>
      <c r="N10558">
        <v>0</v>
      </c>
      <c r="O10558">
        <v>94</v>
      </c>
      <c r="P10558">
        <v>0</v>
      </c>
    </row>
    <row r="10559" spans="1:16" x14ac:dyDescent="0.25">
      <c r="A10559" t="s">
        <v>33231</v>
      </c>
      <c r="B10559" t="s">
        <v>15580</v>
      </c>
      <c r="C10559" t="s">
        <v>17784</v>
      </c>
      <c r="D10559" t="s">
        <v>15581</v>
      </c>
      <c r="E10559" t="s">
        <v>15582</v>
      </c>
      <c r="F10559" t="s">
        <v>3750</v>
      </c>
      <c r="G10559" t="s">
        <v>16231</v>
      </c>
      <c r="H10559" t="s">
        <v>47054</v>
      </c>
      <c r="I10559" t="s">
        <v>47116</v>
      </c>
      <c r="J10559" t="s">
        <v>47117</v>
      </c>
      <c r="K10559" t="s">
        <v>47113</v>
      </c>
      <c r="L10559">
        <v>23.84</v>
      </c>
      <c r="M10559">
        <v>93</v>
      </c>
      <c r="N10559">
        <v>0</v>
      </c>
      <c r="O10559">
        <v>93</v>
      </c>
      <c r="P10559">
        <v>0</v>
      </c>
    </row>
    <row r="10560" spans="1:16" x14ac:dyDescent="0.25">
      <c r="A10560" t="s">
        <v>33232</v>
      </c>
      <c r="B10560" t="s">
        <v>7845</v>
      </c>
      <c r="C10560" t="s">
        <v>7846</v>
      </c>
      <c r="D10560" t="s">
        <v>7847</v>
      </c>
      <c r="E10560" t="s">
        <v>7848</v>
      </c>
      <c r="F10560" t="s">
        <v>3750</v>
      </c>
      <c r="G10560" t="s">
        <v>16231</v>
      </c>
      <c r="H10560" t="s">
        <v>47054</v>
      </c>
      <c r="I10560" t="s">
        <v>47116</v>
      </c>
      <c r="J10560" t="s">
        <v>47117</v>
      </c>
      <c r="K10560" t="s">
        <v>47113</v>
      </c>
      <c r="L10560">
        <v>26.37</v>
      </c>
      <c r="M10560">
        <v>101</v>
      </c>
      <c r="N10560">
        <v>0</v>
      </c>
      <c r="O10560">
        <v>101</v>
      </c>
      <c r="P10560">
        <v>0</v>
      </c>
    </row>
    <row r="10561" spans="1:16" x14ac:dyDescent="0.25">
      <c r="A10561" t="s">
        <v>33233</v>
      </c>
      <c r="B10561" t="s">
        <v>15583</v>
      </c>
      <c r="C10561" t="s">
        <v>15584</v>
      </c>
      <c r="D10561" t="s">
        <v>15581</v>
      </c>
      <c r="E10561" t="s">
        <v>15582</v>
      </c>
      <c r="F10561" t="s">
        <v>3750</v>
      </c>
      <c r="G10561" t="s">
        <v>16231</v>
      </c>
      <c r="H10561" t="s">
        <v>47054</v>
      </c>
      <c r="I10561" t="s">
        <v>47116</v>
      </c>
      <c r="J10561" t="s">
        <v>47117</v>
      </c>
      <c r="K10561" t="s">
        <v>47113</v>
      </c>
      <c r="L10561">
        <v>32.64</v>
      </c>
      <c r="M10561">
        <v>127</v>
      </c>
      <c r="N10561">
        <v>0</v>
      </c>
      <c r="O10561">
        <v>127</v>
      </c>
      <c r="P10561">
        <v>0</v>
      </c>
    </row>
    <row r="10562" spans="1:16" x14ac:dyDescent="0.25">
      <c r="A10562" t="s">
        <v>33234</v>
      </c>
      <c r="B10562" t="s">
        <v>7849</v>
      </c>
      <c r="C10562" t="s">
        <v>7850</v>
      </c>
      <c r="D10562" t="s">
        <v>7851</v>
      </c>
      <c r="E10562" t="s">
        <v>7852</v>
      </c>
      <c r="F10562" t="s">
        <v>3750</v>
      </c>
      <c r="G10562" t="s">
        <v>16231</v>
      </c>
      <c r="H10562" t="s">
        <v>47054</v>
      </c>
      <c r="I10562" t="s">
        <v>47116</v>
      </c>
      <c r="J10562" t="s">
        <v>47117</v>
      </c>
      <c r="K10562" t="s">
        <v>47113</v>
      </c>
      <c r="L10562">
        <v>23.76</v>
      </c>
      <c r="M10562">
        <v>91</v>
      </c>
      <c r="N10562">
        <v>0</v>
      </c>
      <c r="O10562">
        <v>91</v>
      </c>
      <c r="P10562">
        <v>0</v>
      </c>
    </row>
    <row r="10563" spans="1:16" x14ac:dyDescent="0.25">
      <c r="A10563" t="s">
        <v>33235</v>
      </c>
      <c r="B10563" t="s">
        <v>7853</v>
      </c>
      <c r="C10563" t="s">
        <v>7854</v>
      </c>
      <c r="D10563" t="s">
        <v>7855</v>
      </c>
      <c r="E10563" t="s">
        <v>7856</v>
      </c>
      <c r="F10563" t="s">
        <v>3750</v>
      </c>
      <c r="G10563" t="s">
        <v>16231</v>
      </c>
      <c r="H10563" t="s">
        <v>47054</v>
      </c>
      <c r="I10563" t="s">
        <v>47116</v>
      </c>
      <c r="J10563" t="s">
        <v>47117</v>
      </c>
      <c r="K10563" t="s">
        <v>47113</v>
      </c>
      <c r="L10563">
        <v>31.57</v>
      </c>
      <c r="M10563">
        <v>121</v>
      </c>
      <c r="N10563">
        <v>0</v>
      </c>
      <c r="O10563">
        <v>121</v>
      </c>
      <c r="P10563">
        <v>0</v>
      </c>
    </row>
    <row r="10564" spans="1:16" x14ac:dyDescent="0.25">
      <c r="A10564" t="s">
        <v>33236</v>
      </c>
      <c r="B10564" t="s">
        <v>7853</v>
      </c>
      <c r="C10564" t="s">
        <v>7854</v>
      </c>
      <c r="D10564" t="s">
        <v>15572</v>
      </c>
      <c r="E10564" t="s">
        <v>15573</v>
      </c>
      <c r="F10564" t="s">
        <v>3750</v>
      </c>
      <c r="G10564" t="s">
        <v>16231</v>
      </c>
      <c r="H10564" t="s">
        <v>47054</v>
      </c>
      <c r="I10564" t="s">
        <v>47116</v>
      </c>
      <c r="J10564" t="s">
        <v>47117</v>
      </c>
      <c r="K10564" t="s">
        <v>47113</v>
      </c>
      <c r="L10564">
        <v>31.92</v>
      </c>
      <c r="M10564">
        <v>124</v>
      </c>
      <c r="N10564">
        <v>0</v>
      </c>
      <c r="O10564">
        <v>124</v>
      </c>
      <c r="P10564">
        <v>0</v>
      </c>
    </row>
    <row r="10565" spans="1:16" x14ac:dyDescent="0.25">
      <c r="A10565" t="s">
        <v>33237</v>
      </c>
      <c r="B10565" t="s">
        <v>7853</v>
      </c>
      <c r="C10565" t="s">
        <v>7854</v>
      </c>
      <c r="D10565" t="s">
        <v>15585</v>
      </c>
      <c r="E10565" t="s">
        <v>15586</v>
      </c>
      <c r="F10565" t="s">
        <v>3750</v>
      </c>
      <c r="G10565" t="s">
        <v>16231</v>
      </c>
      <c r="H10565" t="s">
        <v>47054</v>
      </c>
      <c r="I10565" t="s">
        <v>47116</v>
      </c>
      <c r="J10565" t="s">
        <v>47117</v>
      </c>
      <c r="K10565" t="s">
        <v>47113</v>
      </c>
      <c r="L10565">
        <v>32.42</v>
      </c>
      <c r="M10565">
        <v>126</v>
      </c>
      <c r="N10565">
        <v>0</v>
      </c>
      <c r="O10565">
        <v>126</v>
      </c>
      <c r="P10565">
        <v>0</v>
      </c>
    </row>
    <row r="10566" spans="1:16" x14ac:dyDescent="0.25">
      <c r="A10566" t="s">
        <v>33238</v>
      </c>
      <c r="B10566" t="s">
        <v>15587</v>
      </c>
      <c r="C10566" t="s">
        <v>15588</v>
      </c>
      <c r="D10566" t="s">
        <v>15589</v>
      </c>
      <c r="E10566" t="s">
        <v>15590</v>
      </c>
      <c r="F10566" t="s">
        <v>3750</v>
      </c>
      <c r="G10566" t="s">
        <v>16231</v>
      </c>
      <c r="H10566" t="s">
        <v>47054</v>
      </c>
      <c r="I10566" t="s">
        <v>47116</v>
      </c>
      <c r="J10566" t="s">
        <v>47117</v>
      </c>
      <c r="K10566" t="s">
        <v>47113</v>
      </c>
      <c r="L10566">
        <v>19.440000000000001</v>
      </c>
      <c r="M10566">
        <v>87</v>
      </c>
      <c r="N10566">
        <v>0</v>
      </c>
      <c r="O10566">
        <v>87</v>
      </c>
      <c r="P10566">
        <v>0</v>
      </c>
    </row>
    <row r="10567" spans="1:16" x14ac:dyDescent="0.25">
      <c r="A10567" t="s">
        <v>33239</v>
      </c>
      <c r="B10567" t="s">
        <v>17785</v>
      </c>
      <c r="C10567" t="s">
        <v>17786</v>
      </c>
      <c r="D10567" t="s">
        <v>7843</v>
      </c>
      <c r="E10567" t="s">
        <v>7844</v>
      </c>
      <c r="F10567" t="s">
        <v>3750</v>
      </c>
      <c r="G10567" t="s">
        <v>16231</v>
      </c>
      <c r="H10567" t="s">
        <v>47054</v>
      </c>
      <c r="I10567" t="s">
        <v>47116</v>
      </c>
      <c r="J10567" t="s">
        <v>47117</v>
      </c>
      <c r="K10567" t="s">
        <v>47113</v>
      </c>
      <c r="L10567">
        <v>28.02</v>
      </c>
      <c r="M10567">
        <v>83</v>
      </c>
      <c r="N10567">
        <v>0</v>
      </c>
      <c r="O10567">
        <v>83</v>
      </c>
      <c r="P10567">
        <v>0</v>
      </c>
    </row>
    <row r="10568" spans="1:16" x14ac:dyDescent="0.25">
      <c r="A10568" t="s">
        <v>33240</v>
      </c>
      <c r="B10568" t="s">
        <v>7857</v>
      </c>
      <c r="C10568" t="s">
        <v>7858</v>
      </c>
      <c r="D10568" t="s">
        <v>7859</v>
      </c>
      <c r="E10568" t="s">
        <v>7860</v>
      </c>
      <c r="F10568" t="s">
        <v>3750</v>
      </c>
      <c r="G10568" t="s">
        <v>16231</v>
      </c>
      <c r="H10568" t="s">
        <v>47054</v>
      </c>
      <c r="I10568" t="s">
        <v>47116</v>
      </c>
      <c r="J10568" t="s">
        <v>47117</v>
      </c>
      <c r="K10568" t="s">
        <v>47113</v>
      </c>
      <c r="L10568">
        <v>27.13</v>
      </c>
      <c r="M10568">
        <v>102</v>
      </c>
      <c r="N10568">
        <v>0</v>
      </c>
      <c r="O10568">
        <v>102</v>
      </c>
      <c r="P10568">
        <v>0</v>
      </c>
    </row>
    <row r="10569" spans="1:16" x14ac:dyDescent="0.25">
      <c r="A10569" t="s">
        <v>33241</v>
      </c>
      <c r="B10569" t="s">
        <v>15591</v>
      </c>
      <c r="C10569" t="s">
        <v>15592</v>
      </c>
      <c r="D10569" t="s">
        <v>7839</v>
      </c>
      <c r="E10569" t="s">
        <v>7840</v>
      </c>
      <c r="F10569" t="s">
        <v>3750</v>
      </c>
      <c r="G10569" t="s">
        <v>16231</v>
      </c>
      <c r="H10569" t="s">
        <v>47054</v>
      </c>
      <c r="I10569" t="s">
        <v>47116</v>
      </c>
      <c r="J10569" t="s">
        <v>47117</v>
      </c>
      <c r="K10569" t="s">
        <v>47113</v>
      </c>
      <c r="L10569">
        <v>29.83</v>
      </c>
      <c r="M10569">
        <v>116</v>
      </c>
      <c r="N10569">
        <v>0</v>
      </c>
      <c r="O10569">
        <v>116</v>
      </c>
      <c r="P10569">
        <v>0</v>
      </c>
    </row>
    <row r="10570" spans="1:16" x14ac:dyDescent="0.25">
      <c r="A10570" t="s">
        <v>33242</v>
      </c>
      <c r="B10570" t="s">
        <v>7861</v>
      </c>
      <c r="C10570" t="s">
        <v>7862</v>
      </c>
      <c r="D10570" t="s">
        <v>7843</v>
      </c>
      <c r="E10570" t="s">
        <v>7844</v>
      </c>
      <c r="F10570" t="s">
        <v>3750</v>
      </c>
      <c r="G10570" t="s">
        <v>16231</v>
      </c>
      <c r="H10570" t="s">
        <v>47054</v>
      </c>
      <c r="I10570" t="s">
        <v>47116</v>
      </c>
      <c r="J10570" t="s">
        <v>47117</v>
      </c>
      <c r="K10570" t="s">
        <v>47113</v>
      </c>
      <c r="L10570">
        <v>35.99</v>
      </c>
      <c r="M10570">
        <v>138</v>
      </c>
      <c r="N10570">
        <v>0</v>
      </c>
      <c r="O10570">
        <v>138</v>
      </c>
      <c r="P10570">
        <v>0</v>
      </c>
    </row>
    <row r="10571" spans="1:16" x14ac:dyDescent="0.25">
      <c r="A10571" t="s">
        <v>33243</v>
      </c>
      <c r="B10571" t="s">
        <v>7863</v>
      </c>
      <c r="C10571" t="s">
        <v>7864</v>
      </c>
      <c r="D10571" t="s">
        <v>7819</v>
      </c>
      <c r="E10571" t="s">
        <v>7820</v>
      </c>
      <c r="F10571" t="s">
        <v>3750</v>
      </c>
      <c r="G10571" t="s">
        <v>16231</v>
      </c>
      <c r="H10571" t="s">
        <v>47054</v>
      </c>
      <c r="I10571" t="s">
        <v>47116</v>
      </c>
      <c r="J10571" t="s">
        <v>47117</v>
      </c>
      <c r="K10571" t="s">
        <v>47113</v>
      </c>
      <c r="L10571">
        <v>24.02</v>
      </c>
      <c r="M10571">
        <v>92</v>
      </c>
      <c r="N10571">
        <v>0</v>
      </c>
      <c r="O10571">
        <v>92</v>
      </c>
      <c r="P10571">
        <v>0</v>
      </c>
    </row>
    <row r="10572" spans="1:16" x14ac:dyDescent="0.25">
      <c r="A10572" t="s">
        <v>33244</v>
      </c>
      <c r="B10572" t="s">
        <v>7863</v>
      </c>
      <c r="C10572" t="s">
        <v>7864</v>
      </c>
      <c r="D10572" t="s">
        <v>17787</v>
      </c>
      <c r="E10572" t="s">
        <v>17788</v>
      </c>
      <c r="F10572" t="s">
        <v>3750</v>
      </c>
      <c r="G10572" t="s">
        <v>16231</v>
      </c>
      <c r="H10572" t="s">
        <v>47054</v>
      </c>
      <c r="I10572" t="s">
        <v>47116</v>
      </c>
      <c r="J10572" t="s">
        <v>47117</v>
      </c>
      <c r="K10572" t="s">
        <v>47113</v>
      </c>
      <c r="L10572">
        <v>30.35</v>
      </c>
      <c r="M10572">
        <v>86</v>
      </c>
      <c r="N10572">
        <v>0</v>
      </c>
      <c r="O10572">
        <v>86</v>
      </c>
      <c r="P10572">
        <v>0</v>
      </c>
    </row>
    <row r="10573" spans="1:16" x14ac:dyDescent="0.25">
      <c r="A10573" t="s">
        <v>33245</v>
      </c>
      <c r="B10573" t="s">
        <v>7865</v>
      </c>
      <c r="C10573" t="s">
        <v>7866</v>
      </c>
      <c r="D10573" t="s">
        <v>7833</v>
      </c>
      <c r="E10573" t="s">
        <v>7834</v>
      </c>
      <c r="F10573" t="s">
        <v>3750</v>
      </c>
      <c r="G10573" t="s">
        <v>16231</v>
      </c>
      <c r="H10573" t="s">
        <v>47054</v>
      </c>
      <c r="I10573" t="s">
        <v>47116</v>
      </c>
      <c r="J10573" t="s">
        <v>47117</v>
      </c>
      <c r="K10573" t="s">
        <v>47113</v>
      </c>
      <c r="L10573">
        <v>32.869999999999997</v>
      </c>
      <c r="M10573">
        <v>127</v>
      </c>
      <c r="N10573">
        <v>0</v>
      </c>
      <c r="O10573">
        <v>127</v>
      </c>
      <c r="P10573">
        <v>0</v>
      </c>
    </row>
    <row r="10574" spans="1:16" x14ac:dyDescent="0.25">
      <c r="A10574" t="s">
        <v>33246</v>
      </c>
      <c r="B10574" t="s">
        <v>7865</v>
      </c>
      <c r="C10574" t="s">
        <v>7866</v>
      </c>
      <c r="D10574" t="s">
        <v>7867</v>
      </c>
      <c r="E10574" t="s">
        <v>7868</v>
      </c>
      <c r="F10574" t="s">
        <v>3750</v>
      </c>
      <c r="G10574" t="s">
        <v>16231</v>
      </c>
      <c r="H10574" t="s">
        <v>47054</v>
      </c>
      <c r="I10574" t="s">
        <v>47116</v>
      </c>
      <c r="J10574" t="s">
        <v>47117</v>
      </c>
      <c r="K10574" t="s">
        <v>47113</v>
      </c>
      <c r="L10574">
        <v>34.68</v>
      </c>
      <c r="M10574">
        <v>133</v>
      </c>
      <c r="N10574">
        <v>0</v>
      </c>
      <c r="O10574">
        <v>133</v>
      </c>
      <c r="P10574">
        <v>0</v>
      </c>
    </row>
    <row r="10575" spans="1:16" x14ac:dyDescent="0.25">
      <c r="A10575" t="s">
        <v>33247</v>
      </c>
      <c r="B10575" t="s">
        <v>17789</v>
      </c>
      <c r="C10575" t="s">
        <v>16708</v>
      </c>
      <c r="D10575" t="s">
        <v>17790</v>
      </c>
      <c r="E10575" t="s">
        <v>17791</v>
      </c>
      <c r="F10575" t="s">
        <v>3750</v>
      </c>
      <c r="G10575" t="s">
        <v>16233</v>
      </c>
      <c r="H10575" t="s">
        <v>47054</v>
      </c>
      <c r="I10575" t="s">
        <v>47116</v>
      </c>
      <c r="J10575" t="s">
        <v>47117</v>
      </c>
      <c r="K10575" t="s">
        <v>47113</v>
      </c>
      <c r="L10575">
        <v>28.99</v>
      </c>
      <c r="M10575">
        <v>86</v>
      </c>
      <c r="N10575">
        <v>0</v>
      </c>
      <c r="O10575">
        <v>86</v>
      </c>
      <c r="P10575">
        <v>0</v>
      </c>
    </row>
    <row r="10576" spans="1:16" x14ac:dyDescent="0.25">
      <c r="A10576" t="s">
        <v>33248</v>
      </c>
      <c r="B10576" t="s">
        <v>15593</v>
      </c>
      <c r="C10576" t="s">
        <v>15452</v>
      </c>
      <c r="D10576" t="s">
        <v>15594</v>
      </c>
      <c r="E10576" t="s">
        <v>15595</v>
      </c>
      <c r="F10576" t="s">
        <v>3750</v>
      </c>
      <c r="G10576" t="s">
        <v>16231</v>
      </c>
      <c r="H10576" t="s">
        <v>47054</v>
      </c>
      <c r="I10576" t="s">
        <v>47116</v>
      </c>
      <c r="J10576" t="s">
        <v>47117</v>
      </c>
      <c r="K10576" t="s">
        <v>47113</v>
      </c>
      <c r="L10576">
        <v>23.13</v>
      </c>
      <c r="M10576">
        <v>103</v>
      </c>
      <c r="N10576">
        <v>0</v>
      </c>
      <c r="O10576">
        <v>103</v>
      </c>
      <c r="P10576">
        <v>0</v>
      </c>
    </row>
    <row r="10577" spans="1:16" x14ac:dyDescent="0.25">
      <c r="A10577" t="s">
        <v>33249</v>
      </c>
      <c r="B10577" t="s">
        <v>17792</v>
      </c>
      <c r="C10577" t="s">
        <v>17793</v>
      </c>
      <c r="D10577" t="s">
        <v>17790</v>
      </c>
      <c r="E10577" t="s">
        <v>17791</v>
      </c>
      <c r="F10577" t="s">
        <v>3750</v>
      </c>
      <c r="G10577" t="s">
        <v>16231</v>
      </c>
      <c r="H10577" t="s">
        <v>47054</v>
      </c>
      <c r="I10577" t="s">
        <v>47116</v>
      </c>
      <c r="J10577" t="s">
        <v>47117</v>
      </c>
      <c r="K10577" t="s">
        <v>47113</v>
      </c>
      <c r="L10577">
        <v>32.47</v>
      </c>
      <c r="M10577">
        <v>96</v>
      </c>
      <c r="N10577">
        <v>0</v>
      </c>
      <c r="O10577">
        <v>96</v>
      </c>
      <c r="P10577">
        <v>0</v>
      </c>
    </row>
    <row r="10578" spans="1:16" x14ac:dyDescent="0.25">
      <c r="A10578" t="s">
        <v>33250</v>
      </c>
      <c r="B10578" t="s">
        <v>17794</v>
      </c>
      <c r="C10578" t="s">
        <v>33251</v>
      </c>
      <c r="D10578" t="s">
        <v>17795</v>
      </c>
      <c r="E10578" t="s">
        <v>17796</v>
      </c>
      <c r="F10578" t="s">
        <v>3750</v>
      </c>
      <c r="G10578" t="s">
        <v>16231</v>
      </c>
      <c r="H10578" t="s">
        <v>47054</v>
      </c>
      <c r="I10578" t="s">
        <v>47116</v>
      </c>
      <c r="J10578" t="s">
        <v>47117</v>
      </c>
      <c r="K10578" t="s">
        <v>47113</v>
      </c>
      <c r="L10578">
        <v>39.18</v>
      </c>
      <c r="M10578">
        <v>110</v>
      </c>
      <c r="N10578">
        <v>0</v>
      </c>
      <c r="O10578">
        <v>110</v>
      </c>
      <c r="P10578">
        <v>0</v>
      </c>
    </row>
    <row r="10579" spans="1:16" x14ac:dyDescent="0.25">
      <c r="A10579" t="s">
        <v>33252</v>
      </c>
      <c r="B10579" t="s">
        <v>17794</v>
      </c>
      <c r="C10579" t="s">
        <v>33251</v>
      </c>
      <c r="D10579" t="s">
        <v>17782</v>
      </c>
      <c r="E10579" t="s">
        <v>17783</v>
      </c>
      <c r="F10579" t="s">
        <v>3750</v>
      </c>
      <c r="G10579" t="s">
        <v>16231</v>
      </c>
      <c r="H10579" t="s">
        <v>47054</v>
      </c>
      <c r="I10579" t="s">
        <v>47116</v>
      </c>
      <c r="J10579" t="s">
        <v>47117</v>
      </c>
      <c r="K10579" t="s">
        <v>47113</v>
      </c>
      <c r="L10579">
        <v>37.53</v>
      </c>
      <c r="M10579">
        <v>105</v>
      </c>
      <c r="N10579">
        <v>0</v>
      </c>
      <c r="O10579">
        <v>105</v>
      </c>
      <c r="P10579">
        <v>0</v>
      </c>
    </row>
    <row r="10580" spans="1:16" x14ac:dyDescent="0.25">
      <c r="A10580" t="s">
        <v>33253</v>
      </c>
      <c r="B10580" t="s">
        <v>17797</v>
      </c>
      <c r="C10580" t="s">
        <v>17798</v>
      </c>
      <c r="D10580" t="s">
        <v>17799</v>
      </c>
      <c r="E10580" t="s">
        <v>17800</v>
      </c>
      <c r="F10580" t="s">
        <v>3750</v>
      </c>
      <c r="G10580" t="s">
        <v>16231</v>
      </c>
      <c r="H10580" t="s">
        <v>47054</v>
      </c>
      <c r="I10580" t="s">
        <v>47116</v>
      </c>
      <c r="J10580" t="s">
        <v>47117</v>
      </c>
      <c r="K10580" t="s">
        <v>47113</v>
      </c>
      <c r="L10580">
        <v>22.97</v>
      </c>
      <c r="M10580">
        <v>68</v>
      </c>
      <c r="N10580">
        <v>0</v>
      </c>
      <c r="O10580">
        <v>68</v>
      </c>
      <c r="P10580">
        <v>0</v>
      </c>
    </row>
    <row r="10581" spans="1:16" x14ac:dyDescent="0.25">
      <c r="A10581" t="s">
        <v>33254</v>
      </c>
      <c r="B10581" t="s">
        <v>17797</v>
      </c>
      <c r="C10581" t="s">
        <v>17798</v>
      </c>
      <c r="D10581" t="s">
        <v>17801</v>
      </c>
      <c r="E10581" t="s">
        <v>17802</v>
      </c>
      <c r="F10581" t="s">
        <v>3750</v>
      </c>
      <c r="G10581" t="s">
        <v>16231</v>
      </c>
      <c r="H10581" t="s">
        <v>47054</v>
      </c>
      <c r="I10581" t="s">
        <v>47116</v>
      </c>
      <c r="J10581" t="s">
        <v>47117</v>
      </c>
      <c r="K10581" t="s">
        <v>47113</v>
      </c>
      <c r="L10581">
        <v>20.91</v>
      </c>
      <c r="M10581">
        <v>62</v>
      </c>
      <c r="N10581">
        <v>0</v>
      </c>
      <c r="O10581">
        <v>62</v>
      </c>
      <c r="P10581">
        <v>0</v>
      </c>
    </row>
    <row r="10582" spans="1:16" x14ac:dyDescent="0.25">
      <c r="A10582" t="s">
        <v>33255</v>
      </c>
      <c r="B10582" t="s">
        <v>17797</v>
      </c>
      <c r="C10582" t="s">
        <v>17798</v>
      </c>
      <c r="D10582" t="s">
        <v>17803</v>
      </c>
      <c r="E10582" t="s">
        <v>17804</v>
      </c>
      <c r="F10582" t="s">
        <v>3750</v>
      </c>
      <c r="G10582" t="s">
        <v>16231</v>
      </c>
      <c r="H10582" t="s">
        <v>47054</v>
      </c>
      <c r="I10582" t="s">
        <v>47116</v>
      </c>
      <c r="J10582" t="s">
        <v>47117</v>
      </c>
      <c r="K10582" t="s">
        <v>47113</v>
      </c>
      <c r="L10582">
        <v>25.39</v>
      </c>
      <c r="M10582">
        <v>71</v>
      </c>
      <c r="N10582">
        <v>0</v>
      </c>
      <c r="O10582">
        <v>71</v>
      </c>
      <c r="P10582">
        <v>0</v>
      </c>
    </row>
    <row r="10583" spans="1:16" x14ac:dyDescent="0.25">
      <c r="A10583" t="s">
        <v>33256</v>
      </c>
      <c r="B10583" t="s">
        <v>17797</v>
      </c>
      <c r="C10583" t="s">
        <v>17798</v>
      </c>
      <c r="D10583" t="s">
        <v>17805</v>
      </c>
      <c r="E10583" t="s">
        <v>17806</v>
      </c>
      <c r="F10583" t="s">
        <v>3750</v>
      </c>
      <c r="G10583" t="s">
        <v>16231</v>
      </c>
      <c r="H10583" t="s">
        <v>47054</v>
      </c>
      <c r="I10583" t="s">
        <v>47116</v>
      </c>
      <c r="J10583" t="s">
        <v>47117</v>
      </c>
      <c r="K10583" t="s">
        <v>47113</v>
      </c>
      <c r="L10583">
        <v>26.39</v>
      </c>
      <c r="M10583">
        <v>135</v>
      </c>
      <c r="N10583">
        <v>0</v>
      </c>
      <c r="O10583">
        <v>135</v>
      </c>
      <c r="P10583">
        <v>0</v>
      </c>
    </row>
    <row r="10584" spans="1:16" x14ac:dyDescent="0.25">
      <c r="A10584" t="s">
        <v>33257</v>
      </c>
      <c r="B10584" t="s">
        <v>17807</v>
      </c>
      <c r="C10584" t="s">
        <v>17808</v>
      </c>
      <c r="D10584" t="s">
        <v>17809</v>
      </c>
      <c r="E10584" t="s">
        <v>17810</v>
      </c>
      <c r="F10584" t="s">
        <v>3750</v>
      </c>
      <c r="G10584" t="s">
        <v>16231</v>
      </c>
      <c r="H10584" t="s">
        <v>47054</v>
      </c>
      <c r="I10584" t="s">
        <v>47116</v>
      </c>
      <c r="J10584" t="s">
        <v>47117</v>
      </c>
      <c r="K10584" t="s">
        <v>47113</v>
      </c>
      <c r="L10584">
        <v>24.1</v>
      </c>
      <c r="M10584">
        <v>68</v>
      </c>
      <c r="N10584">
        <v>0</v>
      </c>
      <c r="O10584">
        <v>68</v>
      </c>
      <c r="P10584">
        <v>0</v>
      </c>
    </row>
    <row r="10585" spans="1:16" x14ac:dyDescent="0.25">
      <c r="A10585" t="s">
        <v>33258</v>
      </c>
      <c r="B10585" t="s">
        <v>17811</v>
      </c>
      <c r="C10585" t="s">
        <v>17812</v>
      </c>
      <c r="D10585" t="s">
        <v>17386</v>
      </c>
      <c r="E10585" t="s">
        <v>17387</v>
      </c>
      <c r="F10585" t="s">
        <v>3750</v>
      </c>
      <c r="G10585" t="s">
        <v>16231</v>
      </c>
      <c r="H10585" t="s">
        <v>47054</v>
      </c>
      <c r="I10585" t="s">
        <v>47116</v>
      </c>
      <c r="J10585" t="s">
        <v>47117</v>
      </c>
      <c r="K10585" t="s">
        <v>47113</v>
      </c>
      <c r="L10585">
        <v>19.46</v>
      </c>
      <c r="M10585">
        <v>57</v>
      </c>
      <c r="N10585">
        <v>0</v>
      </c>
      <c r="O10585">
        <v>57</v>
      </c>
      <c r="P10585">
        <v>0</v>
      </c>
    </row>
    <row r="10586" spans="1:16" x14ac:dyDescent="0.25">
      <c r="A10586" t="s">
        <v>33259</v>
      </c>
      <c r="B10586" t="s">
        <v>17813</v>
      </c>
      <c r="C10586" t="s">
        <v>17814</v>
      </c>
      <c r="D10586" t="s">
        <v>17815</v>
      </c>
      <c r="E10586" t="s">
        <v>17816</v>
      </c>
      <c r="F10586" t="s">
        <v>3750</v>
      </c>
      <c r="G10586" t="s">
        <v>16231</v>
      </c>
      <c r="H10586" t="s">
        <v>47054</v>
      </c>
      <c r="I10586" t="s">
        <v>47116</v>
      </c>
      <c r="J10586" t="s">
        <v>47117</v>
      </c>
      <c r="K10586" t="s">
        <v>47113</v>
      </c>
      <c r="L10586">
        <v>19.46</v>
      </c>
      <c r="M10586">
        <v>57</v>
      </c>
      <c r="N10586">
        <v>0</v>
      </c>
      <c r="O10586">
        <v>57</v>
      </c>
      <c r="P10586">
        <v>0</v>
      </c>
    </row>
    <row r="10587" spans="1:16" x14ac:dyDescent="0.25">
      <c r="A10587" t="s">
        <v>33260</v>
      </c>
      <c r="B10587" t="s">
        <v>17817</v>
      </c>
      <c r="C10587" t="s">
        <v>17818</v>
      </c>
      <c r="D10587" t="s">
        <v>17819</v>
      </c>
      <c r="E10587" t="s">
        <v>17820</v>
      </c>
      <c r="F10587" t="s">
        <v>3750</v>
      </c>
      <c r="G10587" t="s">
        <v>16231</v>
      </c>
      <c r="H10587" t="s">
        <v>47054</v>
      </c>
      <c r="I10587" t="s">
        <v>47116</v>
      </c>
      <c r="J10587" t="s">
        <v>47117</v>
      </c>
      <c r="K10587" t="s">
        <v>47113</v>
      </c>
      <c r="L10587">
        <v>19.46</v>
      </c>
      <c r="M10587">
        <v>57</v>
      </c>
      <c r="N10587">
        <v>0</v>
      </c>
      <c r="O10587">
        <v>57</v>
      </c>
      <c r="P10587">
        <v>0</v>
      </c>
    </row>
    <row r="10588" spans="1:16" x14ac:dyDescent="0.25">
      <c r="A10588" t="s">
        <v>33261</v>
      </c>
      <c r="B10588" t="s">
        <v>17821</v>
      </c>
      <c r="C10588" t="s">
        <v>17822</v>
      </c>
      <c r="D10588" t="s">
        <v>17823</v>
      </c>
      <c r="E10588" t="s">
        <v>17824</v>
      </c>
      <c r="F10588" t="s">
        <v>3750</v>
      </c>
      <c r="G10588" t="s">
        <v>16231</v>
      </c>
      <c r="H10588" t="s">
        <v>47054</v>
      </c>
      <c r="I10588" t="s">
        <v>47116</v>
      </c>
      <c r="J10588" t="s">
        <v>47117</v>
      </c>
      <c r="K10588" t="s">
        <v>47113</v>
      </c>
      <c r="L10588">
        <v>34.770000000000003</v>
      </c>
      <c r="M10588">
        <v>99</v>
      </c>
      <c r="N10588">
        <v>0</v>
      </c>
      <c r="O10588">
        <v>99</v>
      </c>
      <c r="P10588">
        <v>0</v>
      </c>
    </row>
    <row r="10589" spans="1:16" x14ac:dyDescent="0.25">
      <c r="A10589" t="s">
        <v>33262</v>
      </c>
      <c r="B10589" t="s">
        <v>15596</v>
      </c>
      <c r="C10589" t="s">
        <v>15597</v>
      </c>
      <c r="D10589" t="s">
        <v>15578</v>
      </c>
      <c r="E10589" t="s">
        <v>15579</v>
      </c>
      <c r="F10589" t="s">
        <v>3750</v>
      </c>
      <c r="G10589" t="s">
        <v>16231</v>
      </c>
      <c r="H10589" t="s">
        <v>47054</v>
      </c>
      <c r="I10589" t="s">
        <v>47964</v>
      </c>
      <c r="J10589" t="s">
        <v>47965</v>
      </c>
      <c r="K10589" t="s">
        <v>47113</v>
      </c>
      <c r="L10589">
        <v>17.920000000000002</v>
      </c>
      <c r="M10589">
        <v>85</v>
      </c>
      <c r="N10589">
        <v>0</v>
      </c>
      <c r="O10589">
        <v>85</v>
      </c>
      <c r="P10589">
        <v>0</v>
      </c>
    </row>
    <row r="10590" spans="1:16" x14ac:dyDescent="0.25">
      <c r="A10590" t="s">
        <v>33263</v>
      </c>
      <c r="B10590" t="s">
        <v>15598</v>
      </c>
      <c r="C10590" t="s">
        <v>15599</v>
      </c>
      <c r="D10590" t="s">
        <v>15589</v>
      </c>
      <c r="E10590" t="s">
        <v>15590</v>
      </c>
      <c r="F10590" t="s">
        <v>3750</v>
      </c>
      <c r="G10590" t="s">
        <v>16231</v>
      </c>
      <c r="H10590" t="s">
        <v>47054</v>
      </c>
      <c r="I10590" t="s">
        <v>47116</v>
      </c>
      <c r="J10590" t="s">
        <v>47117</v>
      </c>
      <c r="K10590" t="s">
        <v>47113</v>
      </c>
      <c r="L10590">
        <v>20.77</v>
      </c>
      <c r="M10590">
        <v>58</v>
      </c>
      <c r="N10590">
        <v>0</v>
      </c>
      <c r="O10590">
        <v>58</v>
      </c>
      <c r="P10590">
        <v>0</v>
      </c>
    </row>
    <row r="10591" spans="1:16" x14ac:dyDescent="0.25">
      <c r="A10591" t="s">
        <v>33264</v>
      </c>
      <c r="B10591" t="s">
        <v>15598</v>
      </c>
      <c r="C10591" t="s">
        <v>15599</v>
      </c>
      <c r="D10591" t="s">
        <v>17815</v>
      </c>
      <c r="E10591" t="s">
        <v>17816</v>
      </c>
      <c r="F10591" t="s">
        <v>3750</v>
      </c>
      <c r="G10591" t="s">
        <v>16231</v>
      </c>
      <c r="H10591" t="s">
        <v>47054</v>
      </c>
      <c r="I10591" t="s">
        <v>47116</v>
      </c>
      <c r="J10591" t="s">
        <v>47117</v>
      </c>
      <c r="K10591" t="s">
        <v>47113</v>
      </c>
      <c r="L10591">
        <v>19.46</v>
      </c>
      <c r="M10591">
        <v>57</v>
      </c>
      <c r="N10591">
        <v>0</v>
      </c>
      <c r="O10591">
        <v>57</v>
      </c>
      <c r="P10591">
        <v>0</v>
      </c>
    </row>
    <row r="10592" spans="1:16" x14ac:dyDescent="0.25">
      <c r="A10592" t="s">
        <v>33265</v>
      </c>
      <c r="B10592" t="s">
        <v>17825</v>
      </c>
      <c r="C10592" t="s">
        <v>17826</v>
      </c>
      <c r="D10592" t="s">
        <v>17827</v>
      </c>
      <c r="E10592" t="s">
        <v>17828</v>
      </c>
      <c r="F10592" t="s">
        <v>3750</v>
      </c>
      <c r="G10592" t="s">
        <v>16231</v>
      </c>
      <c r="H10592" t="s">
        <v>47054</v>
      </c>
      <c r="I10592" t="s">
        <v>47116</v>
      </c>
      <c r="J10592" t="s">
        <v>47117</v>
      </c>
      <c r="K10592" t="s">
        <v>47113</v>
      </c>
      <c r="L10592">
        <v>30.35</v>
      </c>
      <c r="M10592">
        <v>86</v>
      </c>
      <c r="N10592">
        <v>0</v>
      </c>
      <c r="O10592">
        <v>86</v>
      </c>
      <c r="P10592">
        <v>0</v>
      </c>
    </row>
    <row r="10593" spans="1:16" x14ac:dyDescent="0.25">
      <c r="A10593" t="s">
        <v>33266</v>
      </c>
      <c r="B10593" t="s">
        <v>15600</v>
      </c>
      <c r="C10593" t="s">
        <v>15601</v>
      </c>
      <c r="D10593" t="s">
        <v>15602</v>
      </c>
      <c r="E10593" t="s">
        <v>15603</v>
      </c>
      <c r="F10593" t="s">
        <v>3750</v>
      </c>
      <c r="G10593" t="s">
        <v>16231</v>
      </c>
      <c r="H10593" t="s">
        <v>47054</v>
      </c>
      <c r="I10593" t="s">
        <v>47116</v>
      </c>
      <c r="J10593" t="s">
        <v>47117</v>
      </c>
      <c r="K10593" t="s">
        <v>47113</v>
      </c>
      <c r="L10593">
        <v>24.14</v>
      </c>
      <c r="M10593">
        <v>93</v>
      </c>
      <c r="N10593">
        <v>0</v>
      </c>
      <c r="O10593">
        <v>93</v>
      </c>
      <c r="P10593">
        <v>0</v>
      </c>
    </row>
    <row r="10594" spans="1:16" x14ac:dyDescent="0.25">
      <c r="A10594" t="s">
        <v>33267</v>
      </c>
      <c r="B10594" t="s">
        <v>15600</v>
      </c>
      <c r="C10594" t="s">
        <v>15601</v>
      </c>
      <c r="D10594" t="s">
        <v>17795</v>
      </c>
      <c r="E10594" t="s">
        <v>17796</v>
      </c>
      <c r="F10594" t="s">
        <v>3750</v>
      </c>
      <c r="G10594" t="s">
        <v>16231</v>
      </c>
      <c r="H10594" t="s">
        <v>47054</v>
      </c>
      <c r="I10594" t="s">
        <v>47116</v>
      </c>
      <c r="J10594" t="s">
        <v>47117</v>
      </c>
      <c r="K10594" t="s">
        <v>47113</v>
      </c>
      <c r="L10594">
        <v>22.2</v>
      </c>
      <c r="M10594">
        <v>62</v>
      </c>
      <c r="N10594">
        <v>0</v>
      </c>
      <c r="O10594">
        <v>62</v>
      </c>
      <c r="P10594">
        <v>0</v>
      </c>
    </row>
    <row r="10595" spans="1:16" x14ac:dyDescent="0.25">
      <c r="A10595" t="s">
        <v>33268</v>
      </c>
      <c r="B10595" t="s">
        <v>7869</v>
      </c>
      <c r="C10595" t="s">
        <v>7870</v>
      </c>
      <c r="D10595" t="s">
        <v>7851</v>
      </c>
      <c r="E10595" t="s">
        <v>7852</v>
      </c>
      <c r="F10595" t="s">
        <v>3750</v>
      </c>
      <c r="G10595" t="s">
        <v>16231</v>
      </c>
      <c r="H10595" t="s">
        <v>47054</v>
      </c>
      <c r="I10595" t="s">
        <v>47116</v>
      </c>
      <c r="J10595" t="s">
        <v>47117</v>
      </c>
      <c r="K10595" t="s">
        <v>47113</v>
      </c>
      <c r="L10595">
        <v>29.79</v>
      </c>
      <c r="M10595">
        <v>120</v>
      </c>
      <c r="N10595">
        <v>0</v>
      </c>
      <c r="O10595">
        <v>120</v>
      </c>
      <c r="P10595">
        <v>0</v>
      </c>
    </row>
    <row r="10596" spans="1:16" x14ac:dyDescent="0.25">
      <c r="A10596" t="s">
        <v>33269</v>
      </c>
      <c r="B10596" t="s">
        <v>15604</v>
      </c>
      <c r="C10596" t="s">
        <v>15605</v>
      </c>
      <c r="D10596" t="s">
        <v>17386</v>
      </c>
      <c r="E10596" t="s">
        <v>17387</v>
      </c>
      <c r="F10596" t="s">
        <v>3750</v>
      </c>
      <c r="G10596" t="s">
        <v>16231</v>
      </c>
      <c r="H10596" t="s">
        <v>47054</v>
      </c>
      <c r="I10596" t="s">
        <v>47116</v>
      </c>
      <c r="J10596" t="s">
        <v>47117</v>
      </c>
      <c r="K10596" t="s">
        <v>47113</v>
      </c>
      <c r="L10596">
        <v>19.46</v>
      </c>
      <c r="M10596">
        <v>57</v>
      </c>
      <c r="N10596">
        <v>0</v>
      </c>
      <c r="O10596">
        <v>57</v>
      </c>
      <c r="P10596">
        <v>0</v>
      </c>
    </row>
    <row r="10597" spans="1:16" x14ac:dyDescent="0.25">
      <c r="A10597" t="s">
        <v>33270</v>
      </c>
      <c r="B10597" t="s">
        <v>15604</v>
      </c>
      <c r="C10597" t="s">
        <v>15605</v>
      </c>
      <c r="D10597" t="s">
        <v>15594</v>
      </c>
      <c r="E10597" t="s">
        <v>15595</v>
      </c>
      <c r="F10597" t="s">
        <v>3750</v>
      </c>
      <c r="G10597" t="s">
        <v>16231</v>
      </c>
      <c r="H10597" t="s">
        <v>47054</v>
      </c>
      <c r="I10597" t="s">
        <v>47116</v>
      </c>
      <c r="J10597" t="s">
        <v>47117</v>
      </c>
      <c r="K10597" t="s">
        <v>47113</v>
      </c>
      <c r="L10597">
        <v>20.91</v>
      </c>
      <c r="M10597">
        <v>93</v>
      </c>
      <c r="N10597">
        <v>0</v>
      </c>
      <c r="O10597">
        <v>93</v>
      </c>
      <c r="P10597">
        <v>0</v>
      </c>
    </row>
    <row r="10598" spans="1:16" x14ac:dyDescent="0.25">
      <c r="A10598" t="s">
        <v>33271</v>
      </c>
      <c r="B10598" t="s">
        <v>15604</v>
      </c>
      <c r="C10598" t="s">
        <v>15605</v>
      </c>
      <c r="D10598" t="s">
        <v>15606</v>
      </c>
      <c r="E10598" t="s">
        <v>15607</v>
      </c>
      <c r="F10598" t="s">
        <v>3750</v>
      </c>
      <c r="G10598" t="s">
        <v>16231</v>
      </c>
      <c r="H10598" t="s">
        <v>47054</v>
      </c>
      <c r="I10598" t="s">
        <v>47116</v>
      </c>
      <c r="J10598" t="s">
        <v>47117</v>
      </c>
      <c r="K10598" t="s">
        <v>47113</v>
      </c>
      <c r="L10598">
        <v>20.02</v>
      </c>
      <c r="M10598">
        <v>92</v>
      </c>
      <c r="N10598">
        <v>0</v>
      </c>
      <c r="O10598">
        <v>92</v>
      </c>
      <c r="P10598">
        <v>0</v>
      </c>
    </row>
    <row r="10599" spans="1:16" x14ac:dyDescent="0.25">
      <c r="A10599" t="s">
        <v>33272</v>
      </c>
      <c r="B10599" t="s">
        <v>15604</v>
      </c>
      <c r="C10599" t="s">
        <v>15605</v>
      </c>
      <c r="D10599" t="s">
        <v>15585</v>
      </c>
      <c r="E10599" t="s">
        <v>15586</v>
      </c>
      <c r="F10599" t="s">
        <v>3750</v>
      </c>
      <c r="G10599" t="s">
        <v>16231</v>
      </c>
      <c r="H10599" t="s">
        <v>47054</v>
      </c>
      <c r="I10599" t="s">
        <v>47116</v>
      </c>
      <c r="J10599" t="s">
        <v>47117</v>
      </c>
      <c r="K10599" t="s">
        <v>47113</v>
      </c>
      <c r="L10599">
        <v>20.99</v>
      </c>
      <c r="M10599">
        <v>96</v>
      </c>
      <c r="N10599">
        <v>0</v>
      </c>
      <c r="O10599">
        <v>96</v>
      </c>
      <c r="P10599">
        <v>0</v>
      </c>
    </row>
    <row r="10600" spans="1:16" x14ac:dyDescent="0.25">
      <c r="A10600" t="s">
        <v>33273</v>
      </c>
      <c r="B10600" t="s">
        <v>15604</v>
      </c>
      <c r="C10600" t="s">
        <v>15605</v>
      </c>
      <c r="D10600" t="s">
        <v>17829</v>
      </c>
      <c r="E10600" t="s">
        <v>17830</v>
      </c>
      <c r="F10600" t="s">
        <v>3750</v>
      </c>
      <c r="G10600" t="s">
        <v>16231</v>
      </c>
      <c r="H10600" t="s">
        <v>47054</v>
      </c>
      <c r="I10600" t="s">
        <v>47116</v>
      </c>
      <c r="J10600" t="s">
        <v>47117</v>
      </c>
      <c r="K10600" t="s">
        <v>47113</v>
      </c>
      <c r="L10600">
        <v>24.83</v>
      </c>
      <c r="M10600">
        <v>69</v>
      </c>
      <c r="N10600">
        <v>0</v>
      </c>
      <c r="O10600">
        <v>69</v>
      </c>
      <c r="P10600">
        <v>0</v>
      </c>
    </row>
    <row r="10601" spans="1:16" x14ac:dyDescent="0.25">
      <c r="A10601" t="s">
        <v>33274</v>
      </c>
      <c r="B10601" t="s">
        <v>15604</v>
      </c>
      <c r="C10601" t="s">
        <v>15605</v>
      </c>
      <c r="D10601" t="s">
        <v>17831</v>
      </c>
      <c r="E10601" t="s">
        <v>17832</v>
      </c>
      <c r="F10601" t="s">
        <v>3750</v>
      </c>
      <c r="G10601" t="s">
        <v>16231</v>
      </c>
      <c r="H10601" t="s">
        <v>47054</v>
      </c>
      <c r="I10601" t="s">
        <v>47116</v>
      </c>
      <c r="J10601" t="s">
        <v>47117</v>
      </c>
      <c r="K10601" t="s">
        <v>47113</v>
      </c>
      <c r="L10601">
        <v>25.85</v>
      </c>
      <c r="M10601">
        <v>135</v>
      </c>
      <c r="N10601">
        <v>0</v>
      </c>
      <c r="O10601">
        <v>135</v>
      </c>
      <c r="P10601">
        <v>0</v>
      </c>
    </row>
    <row r="10602" spans="1:16" x14ac:dyDescent="0.25">
      <c r="A10602" t="s">
        <v>33275</v>
      </c>
      <c r="B10602" t="s">
        <v>15608</v>
      </c>
      <c r="C10602" t="s">
        <v>15609</v>
      </c>
      <c r="D10602" t="s">
        <v>15610</v>
      </c>
      <c r="E10602" t="s">
        <v>15611</v>
      </c>
      <c r="F10602" t="s">
        <v>3750</v>
      </c>
      <c r="G10602" t="s">
        <v>16231</v>
      </c>
      <c r="H10602" t="s">
        <v>47054</v>
      </c>
      <c r="I10602" t="s">
        <v>47116</v>
      </c>
      <c r="J10602" t="s">
        <v>47117</v>
      </c>
      <c r="K10602" t="s">
        <v>47113</v>
      </c>
      <c r="L10602">
        <v>17.91</v>
      </c>
      <c r="M10602">
        <v>69</v>
      </c>
      <c r="N10602">
        <v>0</v>
      </c>
      <c r="O10602">
        <v>69</v>
      </c>
      <c r="P10602">
        <v>0</v>
      </c>
    </row>
    <row r="10603" spans="1:16" x14ac:dyDescent="0.25">
      <c r="A10603" t="s">
        <v>33276</v>
      </c>
      <c r="B10603" t="s">
        <v>15608</v>
      </c>
      <c r="C10603" t="s">
        <v>15609</v>
      </c>
      <c r="D10603" t="s">
        <v>17790</v>
      </c>
      <c r="E10603" t="s">
        <v>17791</v>
      </c>
      <c r="F10603" t="s">
        <v>3750</v>
      </c>
      <c r="G10603" t="s">
        <v>16231</v>
      </c>
      <c r="H10603" t="s">
        <v>47054</v>
      </c>
      <c r="I10603" t="s">
        <v>47116</v>
      </c>
      <c r="J10603" t="s">
        <v>47117</v>
      </c>
      <c r="K10603" t="s">
        <v>47113</v>
      </c>
      <c r="L10603">
        <v>21.19</v>
      </c>
      <c r="M10603">
        <v>63</v>
      </c>
      <c r="N10603">
        <v>0</v>
      </c>
      <c r="O10603">
        <v>63</v>
      </c>
      <c r="P10603">
        <v>0</v>
      </c>
    </row>
    <row r="10604" spans="1:16" x14ac:dyDescent="0.25">
      <c r="A10604" t="s">
        <v>33277</v>
      </c>
      <c r="B10604" t="s">
        <v>17833</v>
      </c>
      <c r="C10604" t="s">
        <v>17834</v>
      </c>
      <c r="D10604" t="s">
        <v>7843</v>
      </c>
      <c r="E10604" t="s">
        <v>7844</v>
      </c>
      <c r="F10604" t="s">
        <v>3750</v>
      </c>
      <c r="G10604" t="s">
        <v>16231</v>
      </c>
      <c r="H10604" t="s">
        <v>47054</v>
      </c>
      <c r="I10604" t="s">
        <v>47116</v>
      </c>
      <c r="J10604" t="s">
        <v>47117</v>
      </c>
      <c r="K10604" t="s">
        <v>47113</v>
      </c>
      <c r="L10604">
        <v>24.24</v>
      </c>
      <c r="M10604">
        <v>71</v>
      </c>
      <c r="N10604">
        <v>0</v>
      </c>
      <c r="O10604">
        <v>71</v>
      </c>
      <c r="P10604">
        <v>0</v>
      </c>
    </row>
    <row r="10605" spans="1:16" x14ac:dyDescent="0.25">
      <c r="A10605" t="s">
        <v>33278</v>
      </c>
      <c r="B10605" t="s">
        <v>7871</v>
      </c>
      <c r="C10605" t="s">
        <v>7872</v>
      </c>
      <c r="D10605" t="s">
        <v>7855</v>
      </c>
      <c r="E10605" t="s">
        <v>7856</v>
      </c>
      <c r="F10605" t="s">
        <v>3750</v>
      </c>
      <c r="G10605" t="s">
        <v>16224</v>
      </c>
      <c r="H10605" t="s">
        <v>47054</v>
      </c>
      <c r="I10605" t="s">
        <v>47116</v>
      </c>
      <c r="J10605" t="s">
        <v>47117</v>
      </c>
      <c r="K10605" t="s">
        <v>47113</v>
      </c>
      <c r="L10605">
        <v>36.07</v>
      </c>
      <c r="M10605">
        <v>135</v>
      </c>
      <c r="N10605">
        <v>0</v>
      </c>
      <c r="O10605">
        <v>135</v>
      </c>
      <c r="P10605">
        <v>0</v>
      </c>
    </row>
    <row r="10606" spans="1:16" x14ac:dyDescent="0.25">
      <c r="A10606" t="s">
        <v>33279</v>
      </c>
      <c r="B10606" t="s">
        <v>7873</v>
      </c>
      <c r="C10606" t="s">
        <v>7874</v>
      </c>
      <c r="D10606" t="s">
        <v>7875</v>
      </c>
      <c r="E10606" t="s">
        <v>7876</v>
      </c>
      <c r="F10606" t="s">
        <v>3750</v>
      </c>
      <c r="G10606" t="s">
        <v>16224</v>
      </c>
      <c r="H10606" t="s">
        <v>47054</v>
      </c>
      <c r="I10606" t="s">
        <v>47116</v>
      </c>
      <c r="J10606" t="s">
        <v>47117</v>
      </c>
      <c r="K10606" t="s">
        <v>47113</v>
      </c>
      <c r="L10606">
        <v>35.03</v>
      </c>
      <c r="M10606">
        <v>135</v>
      </c>
      <c r="N10606">
        <v>0</v>
      </c>
      <c r="O10606">
        <v>135</v>
      </c>
      <c r="P10606">
        <v>0</v>
      </c>
    </row>
    <row r="10607" spans="1:16" x14ac:dyDescent="0.25">
      <c r="A10607" t="s">
        <v>33280</v>
      </c>
      <c r="B10607" t="s">
        <v>7877</v>
      </c>
      <c r="C10607" t="s">
        <v>7878</v>
      </c>
      <c r="D10607" t="s">
        <v>7879</v>
      </c>
      <c r="E10607" t="s">
        <v>7880</v>
      </c>
      <c r="F10607" t="s">
        <v>1</v>
      </c>
      <c r="G10607" t="s">
        <v>16231</v>
      </c>
      <c r="H10607" t="s">
        <v>47054</v>
      </c>
      <c r="I10607" t="s">
        <v>47111</v>
      </c>
      <c r="J10607" t="s">
        <v>47112</v>
      </c>
      <c r="K10607" t="s">
        <v>47113</v>
      </c>
      <c r="L10607">
        <v>48.16</v>
      </c>
      <c r="M10607">
        <v>118</v>
      </c>
      <c r="N10607">
        <v>0</v>
      </c>
      <c r="O10607">
        <v>118</v>
      </c>
      <c r="P10607">
        <v>0</v>
      </c>
    </row>
    <row r="10608" spans="1:16" x14ac:dyDescent="0.25">
      <c r="A10608" t="s">
        <v>33281</v>
      </c>
      <c r="B10608" t="s">
        <v>7877</v>
      </c>
      <c r="C10608" t="s">
        <v>7878</v>
      </c>
      <c r="D10608" t="s">
        <v>7881</v>
      </c>
      <c r="E10608" t="s">
        <v>7882</v>
      </c>
      <c r="F10608" t="s">
        <v>1</v>
      </c>
      <c r="G10608" t="s">
        <v>16231</v>
      </c>
      <c r="H10608" t="s">
        <v>47054</v>
      </c>
      <c r="I10608" t="s">
        <v>47111</v>
      </c>
      <c r="J10608" t="s">
        <v>47112</v>
      </c>
      <c r="K10608" t="s">
        <v>47113</v>
      </c>
      <c r="L10608">
        <v>44.01</v>
      </c>
      <c r="M10608">
        <v>118</v>
      </c>
      <c r="N10608">
        <v>0</v>
      </c>
      <c r="O10608">
        <v>118</v>
      </c>
      <c r="P10608">
        <v>0</v>
      </c>
    </row>
    <row r="10609" spans="1:16" x14ac:dyDescent="0.25">
      <c r="A10609" t="s">
        <v>33282</v>
      </c>
      <c r="B10609" t="s">
        <v>7883</v>
      </c>
      <c r="C10609" t="s">
        <v>7884</v>
      </c>
      <c r="D10609" t="s">
        <v>7879</v>
      </c>
      <c r="E10609" t="s">
        <v>7880</v>
      </c>
      <c r="F10609" t="s">
        <v>1</v>
      </c>
      <c r="G10609" t="s">
        <v>16231</v>
      </c>
      <c r="H10609" t="s">
        <v>47054</v>
      </c>
      <c r="I10609" t="s">
        <v>47111</v>
      </c>
      <c r="J10609" t="s">
        <v>47112</v>
      </c>
      <c r="K10609" t="s">
        <v>47113</v>
      </c>
      <c r="L10609">
        <v>48.16</v>
      </c>
      <c r="M10609">
        <v>118</v>
      </c>
      <c r="N10609">
        <v>0</v>
      </c>
      <c r="O10609">
        <v>118</v>
      </c>
      <c r="P10609">
        <v>0</v>
      </c>
    </row>
    <row r="10610" spans="1:16" x14ac:dyDescent="0.25">
      <c r="A10610" t="s">
        <v>33283</v>
      </c>
      <c r="B10610" t="s">
        <v>7883</v>
      </c>
      <c r="C10610" t="s">
        <v>7884</v>
      </c>
      <c r="D10610" t="s">
        <v>7881</v>
      </c>
      <c r="E10610" t="s">
        <v>7882</v>
      </c>
      <c r="F10610" t="s">
        <v>1</v>
      </c>
      <c r="G10610" t="s">
        <v>16231</v>
      </c>
      <c r="H10610" t="s">
        <v>47054</v>
      </c>
      <c r="I10610" t="s">
        <v>47111</v>
      </c>
      <c r="J10610" t="s">
        <v>47112</v>
      </c>
      <c r="K10610" t="s">
        <v>47113</v>
      </c>
      <c r="L10610">
        <v>44.01</v>
      </c>
      <c r="M10610">
        <v>108</v>
      </c>
      <c r="N10610">
        <v>0</v>
      </c>
      <c r="O10610">
        <v>108</v>
      </c>
      <c r="P10610">
        <v>0</v>
      </c>
    </row>
    <row r="10611" spans="1:16" x14ac:dyDescent="0.25">
      <c r="A10611" t="s">
        <v>33284</v>
      </c>
      <c r="B10611" t="s">
        <v>7885</v>
      </c>
      <c r="C10611" t="s">
        <v>7886</v>
      </c>
      <c r="D10611" t="s">
        <v>7887</v>
      </c>
      <c r="E10611" t="s">
        <v>7888</v>
      </c>
      <c r="F10611" t="s">
        <v>1</v>
      </c>
      <c r="G10611" t="s">
        <v>16231</v>
      </c>
      <c r="H10611" t="s">
        <v>47054</v>
      </c>
      <c r="I10611" t="s">
        <v>47111</v>
      </c>
      <c r="J10611" t="s">
        <v>47112</v>
      </c>
      <c r="K10611" t="s">
        <v>47113</v>
      </c>
      <c r="L10611">
        <v>48.32</v>
      </c>
      <c r="M10611">
        <v>118</v>
      </c>
      <c r="N10611">
        <v>0</v>
      </c>
      <c r="O10611">
        <v>118</v>
      </c>
      <c r="P10611">
        <v>0</v>
      </c>
    </row>
    <row r="10612" spans="1:16" x14ac:dyDescent="0.25">
      <c r="A10612" t="s">
        <v>33285</v>
      </c>
      <c r="B10612" t="s">
        <v>7889</v>
      </c>
      <c r="C10612" t="s">
        <v>7890</v>
      </c>
      <c r="D10612" t="s">
        <v>7887</v>
      </c>
      <c r="E10612" t="s">
        <v>7888</v>
      </c>
      <c r="F10612" t="s">
        <v>1</v>
      </c>
      <c r="G10612" t="s">
        <v>16233</v>
      </c>
      <c r="H10612" t="s">
        <v>47054</v>
      </c>
      <c r="I10612" t="s">
        <v>47111</v>
      </c>
      <c r="J10612" t="s">
        <v>47112</v>
      </c>
      <c r="K10612" t="s">
        <v>47113</v>
      </c>
      <c r="L10612">
        <v>45.25</v>
      </c>
      <c r="M10612">
        <v>111</v>
      </c>
      <c r="N10612">
        <v>0</v>
      </c>
      <c r="O10612">
        <v>111</v>
      </c>
      <c r="P10612">
        <v>0</v>
      </c>
    </row>
    <row r="10613" spans="1:16" x14ac:dyDescent="0.25">
      <c r="A10613" t="s">
        <v>33286</v>
      </c>
      <c r="B10613" t="s">
        <v>7891</v>
      </c>
      <c r="C10613" t="s">
        <v>7892</v>
      </c>
      <c r="D10613" t="s">
        <v>7887</v>
      </c>
      <c r="E10613" t="s">
        <v>7888</v>
      </c>
      <c r="F10613" t="s">
        <v>1</v>
      </c>
      <c r="G10613" t="s">
        <v>16231</v>
      </c>
      <c r="H10613" t="s">
        <v>47054</v>
      </c>
      <c r="I10613" t="s">
        <v>47111</v>
      </c>
      <c r="J10613" t="s">
        <v>47112</v>
      </c>
      <c r="K10613" t="s">
        <v>47113</v>
      </c>
      <c r="L10613">
        <v>48.32</v>
      </c>
      <c r="M10613">
        <v>118</v>
      </c>
      <c r="N10613">
        <v>0</v>
      </c>
      <c r="O10613">
        <v>118</v>
      </c>
      <c r="P10613">
        <v>0</v>
      </c>
    </row>
    <row r="10614" spans="1:16" x14ac:dyDescent="0.25">
      <c r="A10614" t="s">
        <v>33287</v>
      </c>
      <c r="B10614" t="s">
        <v>7893</v>
      </c>
      <c r="C10614" t="s">
        <v>7894</v>
      </c>
      <c r="D10614" t="s">
        <v>7887</v>
      </c>
      <c r="E10614" t="s">
        <v>7888</v>
      </c>
      <c r="F10614" t="s">
        <v>1</v>
      </c>
      <c r="G10614" t="s">
        <v>16224</v>
      </c>
      <c r="H10614" t="s">
        <v>47054</v>
      </c>
      <c r="I10614" t="s">
        <v>47111</v>
      </c>
      <c r="J10614" t="s">
        <v>47112</v>
      </c>
      <c r="K10614" t="s">
        <v>47113</v>
      </c>
      <c r="L10614">
        <v>43.41</v>
      </c>
      <c r="M10614">
        <v>107</v>
      </c>
      <c r="N10614">
        <v>0</v>
      </c>
      <c r="O10614">
        <v>107</v>
      </c>
      <c r="P10614">
        <v>0</v>
      </c>
    </row>
    <row r="10615" spans="1:16" x14ac:dyDescent="0.25">
      <c r="A10615" t="s">
        <v>33288</v>
      </c>
      <c r="B10615" t="s">
        <v>7895</v>
      </c>
      <c r="C10615" t="s">
        <v>2796</v>
      </c>
      <c r="D10615" t="str">
        <f>"1194"</f>
        <v>1194</v>
      </c>
      <c r="E10615" t="s">
        <v>1303</v>
      </c>
      <c r="F10615" t="s">
        <v>5</v>
      </c>
      <c r="G10615" t="s">
        <v>16221</v>
      </c>
      <c r="H10615" t="s">
        <v>47054</v>
      </c>
      <c r="I10615" t="s">
        <v>47111</v>
      </c>
      <c r="J10615" t="s">
        <v>47112</v>
      </c>
      <c r="K10615" t="s">
        <v>47113</v>
      </c>
      <c r="L10615">
        <v>13.95</v>
      </c>
      <c r="M10615">
        <v>27</v>
      </c>
      <c r="N10615">
        <v>0</v>
      </c>
      <c r="O10615">
        <v>27</v>
      </c>
      <c r="P10615">
        <v>0</v>
      </c>
    </row>
    <row r="10616" spans="1:16" x14ac:dyDescent="0.25">
      <c r="A10616" t="s">
        <v>33289</v>
      </c>
      <c r="B10616" t="s">
        <v>7895</v>
      </c>
      <c r="C10616" t="s">
        <v>2796</v>
      </c>
      <c r="D10616" t="str">
        <f>"4327"</f>
        <v>4327</v>
      </c>
      <c r="E10616" t="s">
        <v>7896</v>
      </c>
      <c r="F10616" t="s">
        <v>5</v>
      </c>
      <c r="G10616" t="s">
        <v>16221</v>
      </c>
      <c r="H10616" t="s">
        <v>47054</v>
      </c>
      <c r="I10616" t="s">
        <v>47111</v>
      </c>
      <c r="J10616" t="s">
        <v>47112</v>
      </c>
      <c r="K10616" t="s">
        <v>47113</v>
      </c>
      <c r="L10616">
        <v>13.95</v>
      </c>
      <c r="M10616">
        <v>27</v>
      </c>
      <c r="N10616">
        <v>0</v>
      </c>
      <c r="O10616">
        <v>27</v>
      </c>
      <c r="P10616">
        <v>0</v>
      </c>
    </row>
    <row r="10617" spans="1:16" x14ac:dyDescent="0.25">
      <c r="A10617" t="s">
        <v>33290</v>
      </c>
      <c r="B10617" t="s">
        <v>7895</v>
      </c>
      <c r="C10617" t="s">
        <v>2796</v>
      </c>
      <c r="D10617" t="str">
        <f>"4808"</f>
        <v>4808</v>
      </c>
      <c r="E10617" t="s">
        <v>1299</v>
      </c>
      <c r="F10617" t="s">
        <v>5</v>
      </c>
      <c r="G10617" t="s">
        <v>16221</v>
      </c>
      <c r="H10617" t="s">
        <v>47054</v>
      </c>
      <c r="I10617" t="s">
        <v>47111</v>
      </c>
      <c r="J10617" t="s">
        <v>47112</v>
      </c>
      <c r="K10617" t="s">
        <v>47113</v>
      </c>
      <c r="L10617">
        <v>13.95</v>
      </c>
      <c r="M10617">
        <v>27</v>
      </c>
      <c r="N10617">
        <v>0</v>
      </c>
      <c r="O10617">
        <v>27</v>
      </c>
      <c r="P10617">
        <v>0</v>
      </c>
    </row>
    <row r="10618" spans="1:16" x14ac:dyDescent="0.25">
      <c r="A10618" t="s">
        <v>33291</v>
      </c>
      <c r="B10618" t="s">
        <v>7895</v>
      </c>
      <c r="C10618" t="s">
        <v>2796</v>
      </c>
      <c r="D10618" t="str">
        <f>"6336"</f>
        <v>6336</v>
      </c>
      <c r="E10618" t="s">
        <v>7897</v>
      </c>
      <c r="F10618" t="s">
        <v>5</v>
      </c>
      <c r="G10618" t="s">
        <v>16221</v>
      </c>
      <c r="H10618" t="s">
        <v>47054</v>
      </c>
      <c r="I10618" t="s">
        <v>47111</v>
      </c>
      <c r="J10618" t="s">
        <v>47112</v>
      </c>
      <c r="K10618" t="s">
        <v>47113</v>
      </c>
      <c r="L10618">
        <v>13.95</v>
      </c>
      <c r="M10618">
        <v>27</v>
      </c>
      <c r="N10618">
        <v>0</v>
      </c>
      <c r="O10618">
        <v>27</v>
      </c>
      <c r="P10618">
        <v>0</v>
      </c>
    </row>
    <row r="10619" spans="1:16" x14ac:dyDescent="0.25">
      <c r="A10619" t="s">
        <v>33292</v>
      </c>
      <c r="B10619" t="s">
        <v>7898</v>
      </c>
      <c r="C10619" t="s">
        <v>7899</v>
      </c>
      <c r="D10619" t="str">
        <f>"7440"</f>
        <v>7440</v>
      </c>
      <c r="E10619" t="s">
        <v>7900</v>
      </c>
      <c r="F10619" t="s">
        <v>2</v>
      </c>
      <c r="G10619" t="s">
        <v>16221</v>
      </c>
      <c r="H10619" t="s">
        <v>47054</v>
      </c>
      <c r="I10619" t="s">
        <v>47111</v>
      </c>
      <c r="J10619" t="s">
        <v>47112</v>
      </c>
      <c r="K10619" t="s">
        <v>47113</v>
      </c>
      <c r="L10619">
        <v>13.41</v>
      </c>
      <c r="M10619">
        <v>36</v>
      </c>
      <c r="N10619">
        <v>0</v>
      </c>
      <c r="O10619">
        <v>36</v>
      </c>
      <c r="P10619">
        <v>0</v>
      </c>
    </row>
    <row r="10620" spans="1:16" x14ac:dyDescent="0.25">
      <c r="A10620" t="s">
        <v>33293</v>
      </c>
      <c r="B10620" t="s">
        <v>7901</v>
      </c>
      <c r="C10620" t="s">
        <v>7902</v>
      </c>
      <c r="D10620" t="str">
        <f>"2635"</f>
        <v>2635</v>
      </c>
      <c r="E10620" t="s">
        <v>7903</v>
      </c>
      <c r="F10620" t="s">
        <v>2</v>
      </c>
      <c r="G10620" t="s">
        <v>16221</v>
      </c>
      <c r="H10620" t="s">
        <v>47054</v>
      </c>
      <c r="I10620" t="s">
        <v>47111</v>
      </c>
      <c r="J10620" t="s">
        <v>47112</v>
      </c>
      <c r="K10620" t="s">
        <v>47113</v>
      </c>
      <c r="L10620">
        <v>13.13</v>
      </c>
      <c r="M10620">
        <v>35</v>
      </c>
      <c r="N10620">
        <v>0</v>
      </c>
      <c r="O10620">
        <v>35</v>
      </c>
      <c r="P10620">
        <v>0</v>
      </c>
    </row>
    <row r="10621" spans="1:16" x14ac:dyDescent="0.25">
      <c r="A10621" t="s">
        <v>33294</v>
      </c>
      <c r="B10621" t="s">
        <v>7904</v>
      </c>
      <c r="C10621" t="s">
        <v>7905</v>
      </c>
      <c r="D10621" t="str">
        <f>"3342"</f>
        <v>3342</v>
      </c>
      <c r="E10621" t="s">
        <v>7906</v>
      </c>
      <c r="F10621" t="s">
        <v>2</v>
      </c>
      <c r="G10621" t="s">
        <v>16221</v>
      </c>
      <c r="H10621" t="s">
        <v>47054</v>
      </c>
      <c r="I10621" t="s">
        <v>47111</v>
      </c>
      <c r="J10621" t="s">
        <v>47112</v>
      </c>
      <c r="K10621" t="s">
        <v>47113</v>
      </c>
      <c r="L10621">
        <v>14.29</v>
      </c>
      <c r="M10621">
        <v>36</v>
      </c>
      <c r="N10621">
        <v>0</v>
      </c>
      <c r="O10621">
        <v>36</v>
      </c>
      <c r="P10621">
        <v>0</v>
      </c>
    </row>
    <row r="10622" spans="1:16" x14ac:dyDescent="0.25">
      <c r="A10622" t="s">
        <v>33295</v>
      </c>
      <c r="B10622" t="s">
        <v>7907</v>
      </c>
      <c r="C10622" t="s">
        <v>7908</v>
      </c>
      <c r="D10622" t="str">
        <f>"1194"</f>
        <v>1194</v>
      </c>
      <c r="E10622" t="s">
        <v>1303</v>
      </c>
      <c r="F10622" t="s">
        <v>2</v>
      </c>
      <c r="G10622" t="s">
        <v>16221</v>
      </c>
      <c r="H10622" t="s">
        <v>47054</v>
      </c>
      <c r="I10622" t="s">
        <v>47111</v>
      </c>
      <c r="J10622" t="s">
        <v>47112</v>
      </c>
      <c r="K10622" t="s">
        <v>47113</v>
      </c>
      <c r="L10622">
        <v>13.29</v>
      </c>
      <c r="M10622">
        <v>36</v>
      </c>
      <c r="N10622">
        <v>0</v>
      </c>
      <c r="O10622">
        <v>36</v>
      </c>
      <c r="P10622">
        <v>0</v>
      </c>
    </row>
    <row r="10623" spans="1:16" x14ac:dyDescent="0.25">
      <c r="A10623" t="s">
        <v>33296</v>
      </c>
      <c r="B10623" t="s">
        <v>7909</v>
      </c>
      <c r="C10623" t="s">
        <v>7910</v>
      </c>
      <c r="D10623" t="str">
        <f>"4496"</f>
        <v>4496</v>
      </c>
      <c r="E10623" t="s">
        <v>7911</v>
      </c>
      <c r="F10623" t="s">
        <v>2</v>
      </c>
      <c r="G10623" t="s">
        <v>16221</v>
      </c>
      <c r="H10623" t="s">
        <v>47054</v>
      </c>
      <c r="I10623" t="s">
        <v>47111</v>
      </c>
      <c r="J10623" t="s">
        <v>47112</v>
      </c>
      <c r="K10623" t="s">
        <v>47113</v>
      </c>
      <c r="L10623">
        <v>32.909999999999997</v>
      </c>
      <c r="M10623">
        <v>34</v>
      </c>
      <c r="N10623">
        <v>0</v>
      </c>
      <c r="O10623">
        <v>34</v>
      </c>
      <c r="P10623">
        <v>0</v>
      </c>
    </row>
    <row r="10624" spans="1:16" x14ac:dyDescent="0.25">
      <c r="A10624" t="s">
        <v>33297</v>
      </c>
      <c r="B10624" t="s">
        <v>7912</v>
      </c>
      <c r="C10624" t="s">
        <v>7415</v>
      </c>
      <c r="D10624" t="str">
        <f>"4276"</f>
        <v>4276</v>
      </c>
      <c r="E10624" t="s">
        <v>1309</v>
      </c>
      <c r="F10624" t="s">
        <v>6</v>
      </c>
      <c r="G10624" t="s">
        <v>16230</v>
      </c>
      <c r="H10624" t="s">
        <v>47054</v>
      </c>
      <c r="I10624" t="s">
        <v>47120</v>
      </c>
      <c r="J10624" t="s">
        <v>47121</v>
      </c>
      <c r="K10624" t="s">
        <v>47113</v>
      </c>
      <c r="L10624">
        <v>25.56</v>
      </c>
      <c r="M10624">
        <v>65</v>
      </c>
      <c r="N10624">
        <v>0</v>
      </c>
      <c r="O10624">
        <v>65</v>
      </c>
      <c r="P10624">
        <v>0</v>
      </c>
    </row>
    <row r="10625" spans="1:16" x14ac:dyDescent="0.25">
      <c r="A10625" t="s">
        <v>33298</v>
      </c>
      <c r="B10625" t="s">
        <v>7913</v>
      </c>
      <c r="C10625" t="s">
        <v>7914</v>
      </c>
      <c r="D10625" t="str">
        <f>"2045"</f>
        <v>2045</v>
      </c>
      <c r="E10625" t="s">
        <v>7915</v>
      </c>
      <c r="F10625" t="s">
        <v>3558</v>
      </c>
      <c r="G10625" t="s">
        <v>16230</v>
      </c>
      <c r="H10625" t="s">
        <v>47054</v>
      </c>
      <c r="I10625" t="s">
        <v>47544</v>
      </c>
      <c r="J10625" t="s">
        <v>47545</v>
      </c>
      <c r="K10625" t="s">
        <v>47113</v>
      </c>
      <c r="L10625">
        <v>20.45</v>
      </c>
      <c r="M10625">
        <v>59</v>
      </c>
      <c r="N10625">
        <v>0</v>
      </c>
      <c r="O10625">
        <v>59</v>
      </c>
      <c r="P10625">
        <v>0</v>
      </c>
    </row>
    <row r="10626" spans="1:16" x14ac:dyDescent="0.25">
      <c r="A10626" t="s">
        <v>33299</v>
      </c>
      <c r="B10626" t="s">
        <v>7916</v>
      </c>
      <c r="C10626" t="s">
        <v>7917</v>
      </c>
      <c r="D10626" t="str">
        <f>"6497"</f>
        <v>6497</v>
      </c>
      <c r="E10626" t="s">
        <v>7918</v>
      </c>
      <c r="F10626" t="s">
        <v>3558</v>
      </c>
      <c r="G10626" t="s">
        <v>16230</v>
      </c>
      <c r="H10626" t="s">
        <v>47054</v>
      </c>
      <c r="I10626" t="s">
        <v>47120</v>
      </c>
      <c r="J10626" t="s">
        <v>47121</v>
      </c>
      <c r="K10626" t="s">
        <v>47113</v>
      </c>
      <c r="L10626">
        <v>14.73</v>
      </c>
      <c r="M10626">
        <v>51</v>
      </c>
      <c r="N10626">
        <v>0</v>
      </c>
      <c r="O10626">
        <v>51</v>
      </c>
      <c r="P10626">
        <v>0</v>
      </c>
    </row>
    <row r="10627" spans="1:16" x14ac:dyDescent="0.25">
      <c r="A10627" t="s">
        <v>33300</v>
      </c>
      <c r="B10627" t="s">
        <v>7919</v>
      </c>
      <c r="C10627" t="s">
        <v>7920</v>
      </c>
      <c r="D10627" t="str">
        <f>"6497"</f>
        <v>6497</v>
      </c>
      <c r="E10627" t="s">
        <v>7921</v>
      </c>
      <c r="F10627" t="s">
        <v>3558</v>
      </c>
      <c r="G10627" t="s">
        <v>16221</v>
      </c>
      <c r="H10627" t="s">
        <v>47054</v>
      </c>
      <c r="I10627" t="s">
        <v>47118</v>
      </c>
      <c r="J10627" t="s">
        <v>47119</v>
      </c>
      <c r="K10627" t="s">
        <v>47113</v>
      </c>
      <c r="L10627">
        <v>18.97</v>
      </c>
      <c r="M10627">
        <v>33</v>
      </c>
      <c r="N10627">
        <v>0</v>
      </c>
      <c r="O10627">
        <v>33</v>
      </c>
      <c r="P10627">
        <v>0</v>
      </c>
    </row>
    <row r="10628" spans="1:16" x14ac:dyDescent="0.25">
      <c r="A10628" t="s">
        <v>33301</v>
      </c>
      <c r="B10628" t="s">
        <v>7922</v>
      </c>
      <c r="C10628" t="s">
        <v>20558</v>
      </c>
      <c r="D10628" t="str">
        <f>"1318"</f>
        <v>1318</v>
      </c>
      <c r="E10628" t="s">
        <v>7923</v>
      </c>
      <c r="F10628" t="s">
        <v>3558</v>
      </c>
      <c r="G10628" t="s">
        <v>16221</v>
      </c>
      <c r="H10628" t="s">
        <v>47054</v>
      </c>
      <c r="I10628" t="s">
        <v>47118</v>
      </c>
      <c r="J10628" t="s">
        <v>47119</v>
      </c>
      <c r="K10628" t="s">
        <v>47113</v>
      </c>
      <c r="L10628">
        <v>18.97</v>
      </c>
      <c r="M10628">
        <v>33</v>
      </c>
      <c r="N10628">
        <v>0</v>
      </c>
      <c r="O10628">
        <v>33</v>
      </c>
      <c r="P10628">
        <v>0</v>
      </c>
    </row>
    <row r="10629" spans="1:16" x14ac:dyDescent="0.25">
      <c r="A10629" t="s">
        <v>33302</v>
      </c>
      <c r="B10629" t="s">
        <v>17835</v>
      </c>
      <c r="C10629" t="s">
        <v>17836</v>
      </c>
      <c r="D10629" t="s">
        <v>17837</v>
      </c>
      <c r="E10629" t="s">
        <v>17838</v>
      </c>
      <c r="F10629" t="s">
        <v>3750</v>
      </c>
      <c r="G10629" t="s">
        <v>16231</v>
      </c>
      <c r="H10629" t="s">
        <v>47054</v>
      </c>
      <c r="I10629" t="s">
        <v>47116</v>
      </c>
      <c r="J10629" t="s">
        <v>47117</v>
      </c>
      <c r="K10629" t="s">
        <v>47113</v>
      </c>
      <c r="L10629">
        <v>26.85</v>
      </c>
      <c r="M10629">
        <v>90</v>
      </c>
      <c r="N10629">
        <v>0</v>
      </c>
      <c r="O10629">
        <v>90</v>
      </c>
      <c r="P10629">
        <v>0</v>
      </c>
    </row>
    <row r="10630" spans="1:16" x14ac:dyDescent="0.25">
      <c r="A10630" t="s">
        <v>33303</v>
      </c>
      <c r="B10630" t="s">
        <v>7924</v>
      </c>
      <c r="C10630" t="s">
        <v>7925</v>
      </c>
      <c r="D10630" t="str">
        <f>"4801"</f>
        <v>4801</v>
      </c>
      <c r="E10630" t="s">
        <v>1317</v>
      </c>
      <c r="F10630" t="s">
        <v>2</v>
      </c>
      <c r="G10630" t="s">
        <v>16230</v>
      </c>
      <c r="H10630" t="s">
        <v>47054</v>
      </c>
      <c r="I10630" t="s">
        <v>47118</v>
      </c>
      <c r="J10630" t="s">
        <v>47119</v>
      </c>
      <c r="K10630" t="s">
        <v>47113</v>
      </c>
      <c r="L10630">
        <v>21.8</v>
      </c>
      <c r="M10630">
        <v>57</v>
      </c>
      <c r="N10630">
        <v>0</v>
      </c>
      <c r="O10630">
        <v>57</v>
      </c>
      <c r="P10630">
        <v>0</v>
      </c>
    </row>
    <row r="10631" spans="1:16" x14ac:dyDescent="0.25">
      <c r="A10631" t="s">
        <v>33304</v>
      </c>
      <c r="B10631" t="s">
        <v>7924</v>
      </c>
      <c r="C10631" t="s">
        <v>7925</v>
      </c>
      <c r="D10631" t="str">
        <f>"6174"</f>
        <v>6174</v>
      </c>
      <c r="E10631" t="s">
        <v>1319</v>
      </c>
      <c r="F10631" t="s">
        <v>2</v>
      </c>
      <c r="G10631" t="s">
        <v>16230</v>
      </c>
      <c r="H10631" t="s">
        <v>47054</v>
      </c>
      <c r="I10631" t="s">
        <v>47118</v>
      </c>
      <c r="J10631" t="s">
        <v>47119</v>
      </c>
      <c r="K10631" t="s">
        <v>47113</v>
      </c>
      <c r="L10631">
        <v>21.8</v>
      </c>
      <c r="M10631">
        <v>57</v>
      </c>
      <c r="N10631">
        <v>0</v>
      </c>
      <c r="O10631">
        <v>57</v>
      </c>
      <c r="P10631">
        <v>0</v>
      </c>
    </row>
    <row r="10632" spans="1:16" x14ac:dyDescent="0.25">
      <c r="A10632" t="s">
        <v>33305</v>
      </c>
      <c r="B10632" t="s">
        <v>17839</v>
      </c>
      <c r="C10632" t="s">
        <v>17840</v>
      </c>
      <c r="D10632" t="s">
        <v>5083</v>
      </c>
      <c r="E10632" t="s">
        <v>5084</v>
      </c>
      <c r="F10632" t="s">
        <v>3750</v>
      </c>
      <c r="G10632" t="s">
        <v>16231</v>
      </c>
      <c r="H10632" t="s">
        <v>47054</v>
      </c>
      <c r="I10632" t="s">
        <v>47116</v>
      </c>
      <c r="J10632" t="s">
        <v>47117</v>
      </c>
      <c r="K10632" t="s">
        <v>47113</v>
      </c>
      <c r="L10632">
        <v>19.46</v>
      </c>
      <c r="M10632">
        <v>57</v>
      </c>
      <c r="N10632">
        <v>0</v>
      </c>
      <c r="O10632">
        <v>57</v>
      </c>
      <c r="P10632">
        <v>0</v>
      </c>
    </row>
    <row r="10633" spans="1:16" x14ac:dyDescent="0.25">
      <c r="A10633" t="s">
        <v>33306</v>
      </c>
      <c r="B10633" t="s">
        <v>17841</v>
      </c>
      <c r="C10633" t="s">
        <v>17842</v>
      </c>
      <c r="D10633" t="s">
        <v>5083</v>
      </c>
      <c r="E10633" t="s">
        <v>5084</v>
      </c>
      <c r="F10633" t="s">
        <v>3750</v>
      </c>
      <c r="G10633" t="s">
        <v>16231</v>
      </c>
      <c r="H10633" t="s">
        <v>47054</v>
      </c>
      <c r="I10633" t="s">
        <v>47116</v>
      </c>
      <c r="J10633" t="s">
        <v>47117</v>
      </c>
      <c r="K10633" t="s">
        <v>47113</v>
      </c>
      <c r="L10633">
        <v>19.46</v>
      </c>
      <c r="M10633">
        <v>57</v>
      </c>
      <c r="N10633">
        <v>0</v>
      </c>
      <c r="O10633">
        <v>57</v>
      </c>
      <c r="P10633">
        <v>0</v>
      </c>
    </row>
    <row r="10634" spans="1:16" x14ac:dyDescent="0.25">
      <c r="A10634" t="s">
        <v>33307</v>
      </c>
      <c r="B10634" t="s">
        <v>17843</v>
      </c>
      <c r="C10634" t="s">
        <v>17844</v>
      </c>
      <c r="D10634" t="s">
        <v>17845</v>
      </c>
      <c r="E10634" t="s">
        <v>17846</v>
      </c>
      <c r="F10634" t="s">
        <v>3750</v>
      </c>
      <c r="G10634" t="s">
        <v>16231</v>
      </c>
      <c r="H10634" t="s">
        <v>47054</v>
      </c>
      <c r="I10634" t="s">
        <v>47116</v>
      </c>
      <c r="J10634" t="s">
        <v>47117</v>
      </c>
      <c r="K10634" t="s">
        <v>47113</v>
      </c>
      <c r="L10634">
        <v>19.46</v>
      </c>
      <c r="M10634">
        <v>57</v>
      </c>
      <c r="N10634">
        <v>0</v>
      </c>
      <c r="O10634">
        <v>57</v>
      </c>
      <c r="P10634">
        <v>0</v>
      </c>
    </row>
    <row r="10635" spans="1:16" x14ac:dyDescent="0.25">
      <c r="A10635" t="s">
        <v>33308</v>
      </c>
      <c r="B10635" t="s">
        <v>17847</v>
      </c>
      <c r="C10635" t="s">
        <v>17848</v>
      </c>
      <c r="D10635" t="s">
        <v>17849</v>
      </c>
      <c r="E10635" t="s">
        <v>17850</v>
      </c>
      <c r="F10635" t="s">
        <v>3750</v>
      </c>
      <c r="G10635" t="s">
        <v>16231</v>
      </c>
      <c r="H10635" t="s">
        <v>47054</v>
      </c>
      <c r="I10635" t="s">
        <v>47116</v>
      </c>
      <c r="J10635" t="s">
        <v>47117</v>
      </c>
      <c r="K10635" t="s">
        <v>47113</v>
      </c>
      <c r="L10635">
        <v>19.46</v>
      </c>
      <c r="M10635">
        <v>57</v>
      </c>
      <c r="N10635">
        <v>0</v>
      </c>
      <c r="O10635">
        <v>57</v>
      </c>
      <c r="P10635">
        <v>0</v>
      </c>
    </row>
    <row r="10636" spans="1:16" x14ac:dyDescent="0.25">
      <c r="A10636" t="s">
        <v>33309</v>
      </c>
      <c r="B10636" t="s">
        <v>17851</v>
      </c>
      <c r="C10636" t="s">
        <v>17852</v>
      </c>
      <c r="D10636" t="s">
        <v>17853</v>
      </c>
      <c r="E10636" t="s">
        <v>17854</v>
      </c>
      <c r="F10636" t="s">
        <v>3750</v>
      </c>
      <c r="G10636" t="s">
        <v>16231</v>
      </c>
      <c r="H10636" t="s">
        <v>47054</v>
      </c>
      <c r="I10636" t="s">
        <v>47116</v>
      </c>
      <c r="J10636" t="s">
        <v>47117</v>
      </c>
      <c r="K10636" t="s">
        <v>47113</v>
      </c>
      <c r="L10636">
        <v>41.44</v>
      </c>
      <c r="M10636">
        <v>117</v>
      </c>
      <c r="N10636">
        <v>0</v>
      </c>
      <c r="O10636">
        <v>117</v>
      </c>
      <c r="P10636">
        <v>0</v>
      </c>
    </row>
    <row r="10637" spans="1:16" x14ac:dyDescent="0.25">
      <c r="A10637" t="s">
        <v>33310</v>
      </c>
      <c r="B10637" t="s">
        <v>17855</v>
      </c>
      <c r="C10637" t="s">
        <v>17856</v>
      </c>
      <c r="D10637" t="s">
        <v>17853</v>
      </c>
      <c r="E10637" t="s">
        <v>17854</v>
      </c>
      <c r="F10637" t="s">
        <v>3750</v>
      </c>
      <c r="G10637" t="s">
        <v>16231</v>
      </c>
      <c r="H10637" t="s">
        <v>47054</v>
      </c>
      <c r="I10637" t="s">
        <v>47116</v>
      </c>
      <c r="J10637" t="s">
        <v>47117</v>
      </c>
      <c r="K10637" t="s">
        <v>47113</v>
      </c>
      <c r="L10637">
        <v>30.93</v>
      </c>
      <c r="M10637">
        <v>88</v>
      </c>
      <c r="N10637">
        <v>0</v>
      </c>
      <c r="O10637">
        <v>88</v>
      </c>
      <c r="P10637">
        <v>0</v>
      </c>
    </row>
    <row r="10638" spans="1:16" x14ac:dyDescent="0.25">
      <c r="A10638" t="s">
        <v>33311</v>
      </c>
      <c r="B10638" t="s">
        <v>17857</v>
      </c>
      <c r="C10638" t="s">
        <v>17858</v>
      </c>
      <c r="D10638" t="s">
        <v>17849</v>
      </c>
      <c r="E10638" t="s">
        <v>17850</v>
      </c>
      <c r="F10638" t="s">
        <v>3750</v>
      </c>
      <c r="G10638" t="s">
        <v>16231</v>
      </c>
      <c r="H10638" t="s">
        <v>47054</v>
      </c>
      <c r="I10638" t="s">
        <v>47116</v>
      </c>
      <c r="J10638" t="s">
        <v>47117</v>
      </c>
      <c r="K10638" t="s">
        <v>47113</v>
      </c>
      <c r="L10638">
        <v>19.46</v>
      </c>
      <c r="M10638">
        <v>57</v>
      </c>
      <c r="N10638">
        <v>0</v>
      </c>
      <c r="O10638">
        <v>57</v>
      </c>
      <c r="P10638">
        <v>0</v>
      </c>
    </row>
    <row r="10639" spans="1:16" x14ac:dyDescent="0.25">
      <c r="A10639" t="s">
        <v>33312</v>
      </c>
      <c r="B10639" t="s">
        <v>7926</v>
      </c>
      <c r="C10639" t="s">
        <v>7927</v>
      </c>
      <c r="D10639" t="s">
        <v>1743</v>
      </c>
      <c r="E10639" t="s">
        <v>1744</v>
      </c>
      <c r="F10639" t="s">
        <v>7</v>
      </c>
      <c r="G10639" t="s">
        <v>16231</v>
      </c>
      <c r="H10639" t="s">
        <v>47054</v>
      </c>
      <c r="I10639" t="s">
        <v>47111</v>
      </c>
      <c r="J10639" t="s">
        <v>47112</v>
      </c>
      <c r="K10639" t="s">
        <v>47113</v>
      </c>
      <c r="L10639">
        <v>38.25</v>
      </c>
      <c r="M10639">
        <v>85</v>
      </c>
      <c r="N10639">
        <v>0</v>
      </c>
      <c r="O10639">
        <v>85</v>
      </c>
      <c r="P10639">
        <v>0</v>
      </c>
    </row>
    <row r="10640" spans="1:16" x14ac:dyDescent="0.25">
      <c r="A10640" t="s">
        <v>33313</v>
      </c>
      <c r="B10640" t="s">
        <v>7926</v>
      </c>
      <c r="C10640" t="s">
        <v>7927</v>
      </c>
      <c r="D10640" t="s">
        <v>5090</v>
      </c>
      <c r="E10640" t="s">
        <v>5091</v>
      </c>
      <c r="F10640" t="s">
        <v>7</v>
      </c>
      <c r="G10640" t="s">
        <v>16231</v>
      </c>
      <c r="H10640" t="s">
        <v>47054</v>
      </c>
      <c r="I10640" t="s">
        <v>47111</v>
      </c>
      <c r="J10640" t="s">
        <v>47112</v>
      </c>
      <c r="K10640" t="s">
        <v>47113</v>
      </c>
      <c r="L10640">
        <v>50.61</v>
      </c>
      <c r="M10640">
        <v>110</v>
      </c>
      <c r="N10640">
        <v>0</v>
      </c>
      <c r="O10640">
        <v>110</v>
      </c>
      <c r="P10640">
        <v>0</v>
      </c>
    </row>
    <row r="10641" spans="1:16" x14ac:dyDescent="0.25">
      <c r="A10641" t="s">
        <v>33314</v>
      </c>
      <c r="B10641" t="s">
        <v>7928</v>
      </c>
      <c r="C10641" t="s">
        <v>7929</v>
      </c>
      <c r="D10641" t="s">
        <v>1743</v>
      </c>
      <c r="E10641" t="s">
        <v>1744</v>
      </c>
      <c r="F10641" t="s">
        <v>7</v>
      </c>
      <c r="G10641" t="s">
        <v>16231</v>
      </c>
      <c r="H10641" t="s">
        <v>47054</v>
      </c>
      <c r="I10641" t="s">
        <v>47111</v>
      </c>
      <c r="J10641" t="s">
        <v>47112</v>
      </c>
      <c r="K10641" t="s">
        <v>47113</v>
      </c>
      <c r="L10641">
        <v>39.47</v>
      </c>
      <c r="M10641">
        <v>85</v>
      </c>
      <c r="N10641">
        <v>0</v>
      </c>
      <c r="O10641">
        <v>85</v>
      </c>
      <c r="P10641">
        <v>0</v>
      </c>
    </row>
    <row r="10642" spans="1:16" x14ac:dyDescent="0.25">
      <c r="A10642" t="s">
        <v>33315</v>
      </c>
      <c r="B10642" t="s">
        <v>7928</v>
      </c>
      <c r="C10642" t="s">
        <v>7929</v>
      </c>
      <c r="D10642" t="s">
        <v>5090</v>
      </c>
      <c r="E10642" t="s">
        <v>5091</v>
      </c>
      <c r="F10642" t="s">
        <v>7</v>
      </c>
      <c r="G10642" t="s">
        <v>16231</v>
      </c>
      <c r="H10642" t="s">
        <v>47054</v>
      </c>
      <c r="I10642" t="s">
        <v>47111</v>
      </c>
      <c r="J10642" t="s">
        <v>47112</v>
      </c>
      <c r="K10642" t="s">
        <v>47113</v>
      </c>
      <c r="L10642">
        <v>53.3</v>
      </c>
      <c r="M10642">
        <v>110</v>
      </c>
      <c r="N10642">
        <v>0</v>
      </c>
      <c r="O10642">
        <v>110</v>
      </c>
      <c r="P10642">
        <v>0</v>
      </c>
    </row>
    <row r="10643" spans="1:16" x14ac:dyDescent="0.25">
      <c r="A10643" t="s">
        <v>33316</v>
      </c>
      <c r="B10643" t="s">
        <v>7930</v>
      </c>
      <c r="C10643" t="s">
        <v>7931</v>
      </c>
      <c r="D10643" t="s">
        <v>7932</v>
      </c>
      <c r="E10643" t="s">
        <v>7933</v>
      </c>
      <c r="F10643" t="s">
        <v>7</v>
      </c>
      <c r="G10643" t="s">
        <v>16231</v>
      </c>
      <c r="H10643" t="s">
        <v>47054</v>
      </c>
      <c r="I10643" t="s">
        <v>47111</v>
      </c>
      <c r="J10643" t="s">
        <v>47112</v>
      </c>
      <c r="K10643" t="s">
        <v>47113</v>
      </c>
      <c r="L10643">
        <v>56.46</v>
      </c>
      <c r="M10643">
        <v>121</v>
      </c>
      <c r="N10643">
        <v>0</v>
      </c>
      <c r="O10643">
        <v>121</v>
      </c>
      <c r="P10643">
        <v>0</v>
      </c>
    </row>
    <row r="10644" spans="1:16" x14ac:dyDescent="0.25">
      <c r="A10644" t="s">
        <v>33317</v>
      </c>
      <c r="B10644" t="s">
        <v>7930</v>
      </c>
      <c r="C10644" t="s">
        <v>7931</v>
      </c>
      <c r="D10644" t="s">
        <v>7934</v>
      </c>
      <c r="E10644" t="s">
        <v>7935</v>
      </c>
      <c r="F10644" t="s">
        <v>7</v>
      </c>
      <c r="G10644" t="s">
        <v>16231</v>
      </c>
      <c r="H10644" t="s">
        <v>47054</v>
      </c>
      <c r="I10644" t="s">
        <v>47111</v>
      </c>
      <c r="J10644" t="s">
        <v>47112</v>
      </c>
      <c r="K10644" t="s">
        <v>47113</v>
      </c>
      <c r="L10644">
        <v>48.71</v>
      </c>
      <c r="M10644">
        <v>115</v>
      </c>
      <c r="N10644">
        <v>0</v>
      </c>
      <c r="O10644">
        <v>115</v>
      </c>
      <c r="P10644">
        <v>0</v>
      </c>
    </row>
    <row r="10645" spans="1:16" x14ac:dyDescent="0.25">
      <c r="A10645" t="s">
        <v>33318</v>
      </c>
      <c r="B10645" t="s">
        <v>7936</v>
      </c>
      <c r="C10645" t="s">
        <v>7937</v>
      </c>
      <c r="D10645" t="s">
        <v>7934</v>
      </c>
      <c r="E10645" t="s">
        <v>7935</v>
      </c>
      <c r="F10645" t="s">
        <v>7</v>
      </c>
      <c r="G10645" t="s">
        <v>16231</v>
      </c>
      <c r="H10645" t="s">
        <v>47054</v>
      </c>
      <c r="I10645" t="s">
        <v>47111</v>
      </c>
      <c r="J10645" t="s">
        <v>47112</v>
      </c>
      <c r="K10645" t="s">
        <v>47113</v>
      </c>
      <c r="L10645">
        <v>45.1</v>
      </c>
      <c r="M10645">
        <v>115</v>
      </c>
      <c r="N10645">
        <v>0</v>
      </c>
      <c r="O10645">
        <v>115</v>
      </c>
      <c r="P10645">
        <v>0</v>
      </c>
    </row>
    <row r="10646" spans="1:16" x14ac:dyDescent="0.25">
      <c r="A10646" t="s">
        <v>33319</v>
      </c>
      <c r="B10646" t="s">
        <v>7938</v>
      </c>
      <c r="C10646" t="s">
        <v>7939</v>
      </c>
      <c r="D10646" t="s">
        <v>2028</v>
      </c>
      <c r="E10646" t="s">
        <v>2029</v>
      </c>
      <c r="F10646" t="s">
        <v>7</v>
      </c>
      <c r="G10646" t="s">
        <v>16224</v>
      </c>
      <c r="H10646" t="s">
        <v>47054</v>
      </c>
      <c r="I10646" t="s">
        <v>47116</v>
      </c>
      <c r="J10646" t="s">
        <v>47117</v>
      </c>
      <c r="K10646" t="s">
        <v>47113</v>
      </c>
      <c r="L10646">
        <v>42.98</v>
      </c>
      <c r="M10646">
        <v>89</v>
      </c>
      <c r="N10646">
        <v>0</v>
      </c>
      <c r="O10646">
        <v>89</v>
      </c>
      <c r="P10646">
        <v>0</v>
      </c>
    </row>
    <row r="10647" spans="1:16" x14ac:dyDescent="0.25">
      <c r="A10647" t="s">
        <v>33320</v>
      </c>
      <c r="B10647" t="s">
        <v>7940</v>
      </c>
      <c r="C10647" t="s">
        <v>7941</v>
      </c>
      <c r="D10647" t="s">
        <v>7934</v>
      </c>
      <c r="E10647" t="s">
        <v>7935</v>
      </c>
      <c r="F10647" t="s">
        <v>7</v>
      </c>
      <c r="G10647" t="s">
        <v>16231</v>
      </c>
      <c r="H10647" t="s">
        <v>47054</v>
      </c>
      <c r="I10647" t="s">
        <v>47111</v>
      </c>
      <c r="J10647" t="s">
        <v>47112</v>
      </c>
      <c r="K10647" t="s">
        <v>47113</v>
      </c>
      <c r="L10647">
        <v>46.22</v>
      </c>
      <c r="M10647">
        <v>105</v>
      </c>
      <c r="N10647">
        <v>0</v>
      </c>
      <c r="O10647">
        <v>105</v>
      </c>
      <c r="P10647">
        <v>0</v>
      </c>
    </row>
    <row r="10648" spans="1:16" x14ac:dyDescent="0.25">
      <c r="A10648" t="s">
        <v>33321</v>
      </c>
      <c r="B10648" t="s">
        <v>7942</v>
      </c>
      <c r="C10648" t="s">
        <v>7943</v>
      </c>
      <c r="D10648" t="str">
        <f>"1001"</f>
        <v>1001</v>
      </c>
      <c r="E10648" t="s">
        <v>42</v>
      </c>
      <c r="F10648" t="s">
        <v>1401</v>
      </c>
      <c r="G10648" t="s">
        <v>16232</v>
      </c>
      <c r="H10648" t="s">
        <v>47054</v>
      </c>
      <c r="I10648" t="s">
        <v>47111</v>
      </c>
      <c r="J10648" t="s">
        <v>47112</v>
      </c>
      <c r="K10648" t="s">
        <v>47113</v>
      </c>
      <c r="L10648">
        <v>17.850000000000001</v>
      </c>
      <c r="M10648">
        <v>41</v>
      </c>
      <c r="N10648">
        <v>0</v>
      </c>
      <c r="O10648">
        <v>41</v>
      </c>
      <c r="P10648">
        <v>0</v>
      </c>
    </row>
    <row r="10649" spans="1:16" x14ac:dyDescent="0.25">
      <c r="A10649" t="s">
        <v>33322</v>
      </c>
      <c r="B10649" t="s">
        <v>7944</v>
      </c>
      <c r="C10649" t="s">
        <v>7945</v>
      </c>
      <c r="D10649" t="str">
        <f>"1001"</f>
        <v>1001</v>
      </c>
      <c r="E10649" t="s">
        <v>42</v>
      </c>
      <c r="F10649" t="s">
        <v>1401</v>
      </c>
      <c r="G10649" t="s">
        <v>16232</v>
      </c>
      <c r="H10649" t="s">
        <v>47054</v>
      </c>
      <c r="I10649" t="s">
        <v>47111</v>
      </c>
      <c r="J10649" t="s">
        <v>47112</v>
      </c>
      <c r="K10649" t="s">
        <v>47113</v>
      </c>
      <c r="L10649">
        <v>17.850000000000001</v>
      </c>
      <c r="M10649">
        <v>41</v>
      </c>
      <c r="N10649">
        <v>0</v>
      </c>
      <c r="O10649">
        <v>41</v>
      </c>
      <c r="P10649">
        <v>0</v>
      </c>
    </row>
    <row r="10650" spans="1:16" x14ac:dyDescent="0.25">
      <c r="A10650" t="s">
        <v>33323</v>
      </c>
      <c r="B10650" t="s">
        <v>7946</v>
      </c>
      <c r="C10650" t="s">
        <v>7947</v>
      </c>
      <c r="D10650" t="str">
        <f>"4592"</f>
        <v>4592</v>
      </c>
      <c r="E10650" t="s">
        <v>7948</v>
      </c>
      <c r="F10650" t="s">
        <v>3</v>
      </c>
      <c r="G10650" t="s">
        <v>16230</v>
      </c>
      <c r="H10650" t="s">
        <v>47054</v>
      </c>
      <c r="I10650" t="s">
        <v>47118</v>
      </c>
      <c r="J10650" t="s">
        <v>47119</v>
      </c>
      <c r="K10650" t="s">
        <v>47113</v>
      </c>
      <c r="L10650">
        <v>23.45</v>
      </c>
      <c r="M10650">
        <v>61</v>
      </c>
      <c r="N10650">
        <v>0</v>
      </c>
      <c r="O10650">
        <v>61</v>
      </c>
      <c r="P10650">
        <v>0</v>
      </c>
    </row>
    <row r="10651" spans="1:16" x14ac:dyDescent="0.25">
      <c r="A10651" t="s">
        <v>33324</v>
      </c>
      <c r="B10651" t="s">
        <v>7949</v>
      </c>
      <c r="C10651" t="s">
        <v>7950</v>
      </c>
      <c r="D10651" t="str">
        <f>"4100"</f>
        <v>4100</v>
      </c>
      <c r="E10651" t="s">
        <v>7951</v>
      </c>
      <c r="F10651" t="s">
        <v>3558</v>
      </c>
      <c r="G10651" t="s">
        <v>16232</v>
      </c>
      <c r="H10651" t="s">
        <v>47054</v>
      </c>
      <c r="I10651" t="s">
        <v>47120</v>
      </c>
      <c r="J10651" t="s">
        <v>47121</v>
      </c>
      <c r="K10651" t="s">
        <v>47113</v>
      </c>
      <c r="L10651">
        <v>21.62</v>
      </c>
      <c r="M10651">
        <v>33</v>
      </c>
      <c r="N10651">
        <v>0</v>
      </c>
      <c r="O10651">
        <v>33</v>
      </c>
      <c r="P10651">
        <v>0</v>
      </c>
    </row>
    <row r="10652" spans="1:16" x14ac:dyDescent="0.25">
      <c r="A10652" t="s">
        <v>33325</v>
      </c>
      <c r="B10652" t="s">
        <v>7952</v>
      </c>
      <c r="C10652" t="s">
        <v>7953</v>
      </c>
      <c r="D10652" t="str">
        <f>"4100"</f>
        <v>4100</v>
      </c>
      <c r="E10652" t="s">
        <v>7951</v>
      </c>
      <c r="F10652" t="s">
        <v>3558</v>
      </c>
      <c r="G10652" t="s">
        <v>16232</v>
      </c>
      <c r="H10652" t="s">
        <v>47054</v>
      </c>
      <c r="I10652" t="s">
        <v>47569</v>
      </c>
      <c r="J10652" t="s">
        <v>47570</v>
      </c>
      <c r="K10652" t="s">
        <v>47113</v>
      </c>
      <c r="L10652">
        <v>21.62</v>
      </c>
      <c r="M10652">
        <v>29</v>
      </c>
      <c r="N10652">
        <v>0</v>
      </c>
      <c r="O10652">
        <v>29</v>
      </c>
      <c r="P10652">
        <v>0</v>
      </c>
    </row>
    <row r="10653" spans="1:16" x14ac:dyDescent="0.25">
      <c r="A10653" t="s">
        <v>33326</v>
      </c>
      <c r="B10653" t="s">
        <v>7954</v>
      </c>
      <c r="C10653" t="s">
        <v>7955</v>
      </c>
      <c r="D10653" t="str">
        <f>"4490"</f>
        <v>4490</v>
      </c>
      <c r="E10653" t="s">
        <v>7956</v>
      </c>
      <c r="F10653" t="s">
        <v>2</v>
      </c>
      <c r="G10653" t="s">
        <v>16230</v>
      </c>
      <c r="I10653" t="s">
        <v>47120</v>
      </c>
      <c r="J10653" t="s">
        <v>47121</v>
      </c>
      <c r="K10653" t="s">
        <v>47113</v>
      </c>
      <c r="L10653">
        <v>32.31</v>
      </c>
      <c r="M10653">
        <v>75</v>
      </c>
      <c r="N10653">
        <v>0</v>
      </c>
      <c r="O10653">
        <v>75</v>
      </c>
      <c r="P10653">
        <v>0</v>
      </c>
    </row>
    <row r="10654" spans="1:16" x14ac:dyDescent="0.25">
      <c r="A10654" t="s">
        <v>33327</v>
      </c>
      <c r="B10654" t="s">
        <v>7954</v>
      </c>
      <c r="C10654" t="s">
        <v>7955</v>
      </c>
      <c r="D10654" t="str">
        <f>"7359"</f>
        <v>7359</v>
      </c>
      <c r="E10654" t="s">
        <v>7957</v>
      </c>
      <c r="F10654" t="s">
        <v>2</v>
      </c>
      <c r="G10654" t="s">
        <v>16230</v>
      </c>
      <c r="I10654" t="s">
        <v>47120</v>
      </c>
      <c r="J10654" t="s">
        <v>47121</v>
      </c>
      <c r="K10654" t="s">
        <v>47113</v>
      </c>
      <c r="L10654">
        <v>32.31</v>
      </c>
      <c r="M10654">
        <v>85</v>
      </c>
      <c r="N10654">
        <v>0</v>
      </c>
      <c r="O10654">
        <v>85</v>
      </c>
      <c r="P10654">
        <v>0</v>
      </c>
    </row>
    <row r="10655" spans="1:16" x14ac:dyDescent="0.25">
      <c r="A10655" t="s">
        <v>33328</v>
      </c>
      <c r="B10655" t="s">
        <v>7958</v>
      </c>
      <c r="C10655" t="s">
        <v>7959</v>
      </c>
      <c r="D10655" t="str">
        <f>"4490"</f>
        <v>4490</v>
      </c>
      <c r="E10655" t="s">
        <v>7956</v>
      </c>
      <c r="F10655" t="s">
        <v>2</v>
      </c>
      <c r="G10655" t="s">
        <v>16230</v>
      </c>
      <c r="H10655" t="s">
        <v>47054</v>
      </c>
      <c r="I10655" t="s">
        <v>47120</v>
      </c>
      <c r="J10655" t="s">
        <v>47121</v>
      </c>
      <c r="K10655" t="s">
        <v>47113</v>
      </c>
      <c r="L10655">
        <v>30.22</v>
      </c>
      <c r="M10655">
        <v>77</v>
      </c>
      <c r="N10655">
        <v>0</v>
      </c>
      <c r="O10655">
        <v>77</v>
      </c>
      <c r="P10655">
        <v>0</v>
      </c>
    </row>
    <row r="10656" spans="1:16" x14ac:dyDescent="0.25">
      <c r="A10656" t="s">
        <v>33329</v>
      </c>
      <c r="B10656" t="s">
        <v>7958</v>
      </c>
      <c r="C10656" t="s">
        <v>7959</v>
      </c>
      <c r="D10656" t="str">
        <f>"7359"</f>
        <v>7359</v>
      </c>
      <c r="E10656" t="s">
        <v>7957</v>
      </c>
      <c r="F10656" t="s">
        <v>2</v>
      </c>
      <c r="G10656" t="s">
        <v>16230</v>
      </c>
      <c r="H10656" t="s">
        <v>47054</v>
      </c>
      <c r="I10656" t="s">
        <v>47120</v>
      </c>
      <c r="J10656" t="s">
        <v>47121</v>
      </c>
      <c r="K10656" t="s">
        <v>47113</v>
      </c>
      <c r="L10656">
        <v>30.22</v>
      </c>
      <c r="M10656">
        <v>77</v>
      </c>
      <c r="N10656">
        <v>0</v>
      </c>
      <c r="O10656">
        <v>77</v>
      </c>
      <c r="P10656">
        <v>0</v>
      </c>
    </row>
    <row r="10657" spans="1:16" x14ac:dyDescent="0.25">
      <c r="A10657" t="s">
        <v>33330</v>
      </c>
      <c r="B10657" t="s">
        <v>7960</v>
      </c>
      <c r="C10657" t="s">
        <v>7961</v>
      </c>
      <c r="D10657" t="str">
        <f>"4100"</f>
        <v>4100</v>
      </c>
      <c r="E10657" t="s">
        <v>7962</v>
      </c>
      <c r="F10657" t="s">
        <v>3558</v>
      </c>
      <c r="G10657" t="s">
        <v>16235</v>
      </c>
      <c r="H10657" t="s">
        <v>47054</v>
      </c>
      <c r="I10657" t="s">
        <v>47120</v>
      </c>
      <c r="J10657" t="s">
        <v>47121</v>
      </c>
      <c r="K10657" t="s">
        <v>47113</v>
      </c>
      <c r="L10657">
        <v>19.149999999999999</v>
      </c>
      <c r="M10657">
        <v>74</v>
      </c>
      <c r="N10657">
        <v>0</v>
      </c>
      <c r="O10657">
        <v>74</v>
      </c>
      <c r="P10657">
        <v>0</v>
      </c>
    </row>
    <row r="10658" spans="1:16" x14ac:dyDescent="0.25">
      <c r="A10658" t="s">
        <v>33331</v>
      </c>
      <c r="B10658" t="s">
        <v>7963</v>
      </c>
      <c r="C10658" t="s">
        <v>7964</v>
      </c>
      <c r="D10658" t="str">
        <f>"4100"</f>
        <v>4100</v>
      </c>
      <c r="E10658" t="s">
        <v>7962</v>
      </c>
      <c r="F10658" t="s">
        <v>3558</v>
      </c>
      <c r="G10658" t="s">
        <v>16222</v>
      </c>
      <c r="H10658" t="s">
        <v>47054</v>
      </c>
      <c r="I10658" t="s">
        <v>47120</v>
      </c>
      <c r="J10658" t="s">
        <v>47121</v>
      </c>
      <c r="K10658" t="s">
        <v>47113</v>
      </c>
      <c r="L10658">
        <v>19.149999999999999</v>
      </c>
      <c r="M10658">
        <v>55</v>
      </c>
      <c r="N10658">
        <v>0</v>
      </c>
      <c r="O10658">
        <v>55</v>
      </c>
      <c r="P10658">
        <v>0</v>
      </c>
    </row>
    <row r="10659" spans="1:16" x14ac:dyDescent="0.25">
      <c r="A10659" t="s">
        <v>33332</v>
      </c>
      <c r="B10659" t="s">
        <v>7965</v>
      </c>
      <c r="C10659" t="s">
        <v>7966</v>
      </c>
      <c r="D10659" t="str">
        <f>"2348"</f>
        <v>2348</v>
      </c>
      <c r="E10659" t="s">
        <v>7967</v>
      </c>
      <c r="F10659" t="s">
        <v>2</v>
      </c>
      <c r="G10659" t="s">
        <v>16230</v>
      </c>
      <c r="H10659" t="s">
        <v>47054</v>
      </c>
      <c r="I10659" t="s">
        <v>47118</v>
      </c>
      <c r="J10659" t="s">
        <v>47119</v>
      </c>
      <c r="K10659" t="s">
        <v>47113</v>
      </c>
      <c r="L10659">
        <v>27.59</v>
      </c>
      <c r="M10659">
        <v>72</v>
      </c>
      <c r="N10659">
        <v>0</v>
      </c>
      <c r="O10659">
        <v>72</v>
      </c>
      <c r="P10659">
        <v>0</v>
      </c>
    </row>
    <row r="10660" spans="1:16" x14ac:dyDescent="0.25">
      <c r="A10660" t="s">
        <v>33333</v>
      </c>
      <c r="B10660" t="s">
        <v>7968</v>
      </c>
      <c r="C10660" t="s">
        <v>7966</v>
      </c>
      <c r="D10660" t="str">
        <f>"2348"</f>
        <v>2348</v>
      </c>
      <c r="E10660" t="s">
        <v>7967</v>
      </c>
      <c r="F10660" t="s">
        <v>2</v>
      </c>
      <c r="G10660" t="s">
        <v>16230</v>
      </c>
      <c r="I10660" t="s">
        <v>47118</v>
      </c>
      <c r="J10660" t="s">
        <v>47119</v>
      </c>
      <c r="K10660" t="s">
        <v>47113</v>
      </c>
      <c r="L10660">
        <v>23.91</v>
      </c>
      <c r="M10660">
        <v>63</v>
      </c>
      <c r="N10660">
        <v>0</v>
      </c>
      <c r="O10660">
        <v>63</v>
      </c>
      <c r="P10660">
        <v>0</v>
      </c>
    </row>
    <row r="10661" spans="1:16" x14ac:dyDescent="0.25">
      <c r="A10661" t="s">
        <v>33334</v>
      </c>
      <c r="B10661" t="s">
        <v>7969</v>
      </c>
      <c r="C10661" t="s">
        <v>7970</v>
      </c>
      <c r="D10661" t="str">
        <f>"3095"</f>
        <v>3095</v>
      </c>
      <c r="E10661" t="s">
        <v>7971</v>
      </c>
      <c r="F10661" t="s">
        <v>2</v>
      </c>
      <c r="G10661" t="s">
        <v>16230</v>
      </c>
      <c r="H10661" t="s">
        <v>47054</v>
      </c>
      <c r="I10661" t="s">
        <v>47118</v>
      </c>
      <c r="J10661" t="s">
        <v>47119</v>
      </c>
      <c r="K10661" t="s">
        <v>47113</v>
      </c>
      <c r="L10661">
        <v>25.29</v>
      </c>
      <c r="M10661">
        <v>66</v>
      </c>
      <c r="N10661">
        <v>0</v>
      </c>
      <c r="O10661">
        <v>66</v>
      </c>
      <c r="P10661">
        <v>0</v>
      </c>
    </row>
    <row r="10662" spans="1:16" x14ac:dyDescent="0.25">
      <c r="A10662" t="s">
        <v>33335</v>
      </c>
      <c r="B10662" t="s">
        <v>7972</v>
      </c>
      <c r="C10662" t="s">
        <v>7973</v>
      </c>
      <c r="D10662" t="str">
        <f>"6173"</f>
        <v>6173</v>
      </c>
      <c r="E10662" t="s">
        <v>7974</v>
      </c>
      <c r="F10662" t="s">
        <v>2</v>
      </c>
      <c r="G10662" t="s">
        <v>16230</v>
      </c>
      <c r="H10662" t="s">
        <v>47054</v>
      </c>
      <c r="I10662" t="s">
        <v>47118</v>
      </c>
      <c r="J10662" t="s">
        <v>47119</v>
      </c>
      <c r="K10662" t="s">
        <v>47113</v>
      </c>
      <c r="L10662">
        <v>24.38</v>
      </c>
      <c r="M10662">
        <v>64</v>
      </c>
      <c r="N10662">
        <v>0</v>
      </c>
      <c r="O10662">
        <v>64</v>
      </c>
      <c r="P10662">
        <v>0</v>
      </c>
    </row>
    <row r="10663" spans="1:16" x14ac:dyDescent="0.25">
      <c r="A10663" t="s">
        <v>33336</v>
      </c>
      <c r="B10663" t="s">
        <v>7975</v>
      </c>
      <c r="C10663" t="s">
        <v>7976</v>
      </c>
      <c r="D10663" t="str">
        <f>"3095"</f>
        <v>3095</v>
      </c>
      <c r="E10663" t="s">
        <v>7971</v>
      </c>
      <c r="F10663" t="s">
        <v>2</v>
      </c>
      <c r="G10663" t="s">
        <v>16230</v>
      </c>
      <c r="I10663" t="s">
        <v>47118</v>
      </c>
      <c r="J10663" t="s">
        <v>47119</v>
      </c>
      <c r="K10663" t="s">
        <v>47113</v>
      </c>
      <c r="L10663">
        <v>22.68</v>
      </c>
      <c r="M10663">
        <v>59</v>
      </c>
      <c r="N10663">
        <v>0</v>
      </c>
      <c r="O10663">
        <v>59</v>
      </c>
      <c r="P10663">
        <v>0</v>
      </c>
    </row>
    <row r="10664" spans="1:16" x14ac:dyDescent="0.25">
      <c r="A10664" t="s">
        <v>33337</v>
      </c>
      <c r="B10664" t="s">
        <v>7975</v>
      </c>
      <c r="C10664" t="s">
        <v>7976</v>
      </c>
      <c r="D10664" t="str">
        <f>"6173"</f>
        <v>6173</v>
      </c>
      <c r="E10664" t="s">
        <v>7974</v>
      </c>
      <c r="F10664" t="s">
        <v>2</v>
      </c>
      <c r="G10664" t="s">
        <v>16230</v>
      </c>
      <c r="I10664" t="s">
        <v>47118</v>
      </c>
      <c r="J10664" t="s">
        <v>47119</v>
      </c>
      <c r="K10664" t="s">
        <v>47113</v>
      </c>
      <c r="L10664">
        <v>22.68</v>
      </c>
      <c r="M10664">
        <v>59</v>
      </c>
      <c r="N10664">
        <v>0</v>
      </c>
      <c r="O10664">
        <v>59</v>
      </c>
      <c r="P10664">
        <v>0</v>
      </c>
    </row>
    <row r="10665" spans="1:16" x14ac:dyDescent="0.25">
      <c r="A10665" t="s">
        <v>33338</v>
      </c>
      <c r="B10665" t="s">
        <v>7977</v>
      </c>
      <c r="C10665" t="s">
        <v>7978</v>
      </c>
      <c r="D10665" t="str">
        <f>"1274"</f>
        <v>1274</v>
      </c>
      <c r="E10665" t="s">
        <v>7979</v>
      </c>
      <c r="F10665" t="s">
        <v>2</v>
      </c>
      <c r="G10665" t="s">
        <v>16230</v>
      </c>
      <c r="H10665" t="s">
        <v>47054</v>
      </c>
      <c r="I10665" t="s">
        <v>47118</v>
      </c>
      <c r="J10665" t="s">
        <v>47119</v>
      </c>
      <c r="K10665" t="s">
        <v>47113</v>
      </c>
      <c r="L10665">
        <v>32.909999999999997</v>
      </c>
      <c r="M10665">
        <v>60</v>
      </c>
      <c r="N10665">
        <v>0</v>
      </c>
      <c r="O10665">
        <v>60</v>
      </c>
      <c r="P10665">
        <v>0</v>
      </c>
    </row>
    <row r="10666" spans="1:16" x14ac:dyDescent="0.25">
      <c r="A10666" t="s">
        <v>33339</v>
      </c>
      <c r="B10666" t="s">
        <v>7977</v>
      </c>
      <c r="C10666" t="s">
        <v>7978</v>
      </c>
      <c r="D10666" t="str">
        <f>"4313"</f>
        <v>4313</v>
      </c>
      <c r="E10666" t="s">
        <v>2801</v>
      </c>
      <c r="F10666" t="s">
        <v>2</v>
      </c>
      <c r="G10666" t="s">
        <v>16230</v>
      </c>
      <c r="H10666" t="s">
        <v>47054</v>
      </c>
      <c r="I10666" t="s">
        <v>47118</v>
      </c>
      <c r="J10666" t="s">
        <v>47119</v>
      </c>
      <c r="K10666" t="s">
        <v>47113</v>
      </c>
      <c r="L10666">
        <v>32.909999999999997</v>
      </c>
      <c r="M10666">
        <v>60</v>
      </c>
      <c r="N10666">
        <v>0</v>
      </c>
      <c r="O10666">
        <v>60</v>
      </c>
      <c r="P10666">
        <v>0</v>
      </c>
    </row>
    <row r="10667" spans="1:16" x14ac:dyDescent="0.25">
      <c r="A10667" t="s">
        <v>33340</v>
      </c>
      <c r="B10667" t="s">
        <v>7977</v>
      </c>
      <c r="C10667" t="s">
        <v>7978</v>
      </c>
      <c r="D10667" t="str">
        <f>"4489"</f>
        <v>4489</v>
      </c>
      <c r="E10667" t="s">
        <v>7980</v>
      </c>
      <c r="F10667" t="s">
        <v>2</v>
      </c>
      <c r="G10667" t="s">
        <v>16230</v>
      </c>
      <c r="H10667" t="s">
        <v>47054</v>
      </c>
      <c r="I10667" t="s">
        <v>47118</v>
      </c>
      <c r="J10667" t="s">
        <v>47119</v>
      </c>
      <c r="K10667" t="s">
        <v>47113</v>
      </c>
      <c r="L10667">
        <v>32.909999999999997</v>
      </c>
      <c r="M10667">
        <v>60</v>
      </c>
      <c r="N10667">
        <v>0</v>
      </c>
      <c r="O10667">
        <v>60</v>
      </c>
      <c r="P10667">
        <v>0</v>
      </c>
    </row>
    <row r="10668" spans="1:16" x14ac:dyDescent="0.25">
      <c r="A10668" t="s">
        <v>33341</v>
      </c>
      <c r="B10668" t="s">
        <v>7977</v>
      </c>
      <c r="C10668" t="s">
        <v>7978</v>
      </c>
      <c r="D10668" t="str">
        <f>"8032"</f>
        <v>8032</v>
      </c>
      <c r="E10668" t="s">
        <v>7981</v>
      </c>
      <c r="F10668" t="s">
        <v>2</v>
      </c>
      <c r="G10668" t="s">
        <v>16230</v>
      </c>
      <c r="H10668" t="s">
        <v>47054</v>
      </c>
      <c r="I10668" t="s">
        <v>47118</v>
      </c>
      <c r="J10668" t="s">
        <v>47119</v>
      </c>
      <c r="K10668" t="s">
        <v>47113</v>
      </c>
      <c r="L10668">
        <v>32.909999999999997</v>
      </c>
      <c r="M10668">
        <v>60</v>
      </c>
      <c r="N10668">
        <v>0</v>
      </c>
      <c r="O10668">
        <v>60</v>
      </c>
      <c r="P10668">
        <v>0</v>
      </c>
    </row>
    <row r="10669" spans="1:16" x14ac:dyDescent="0.25">
      <c r="A10669" t="s">
        <v>33342</v>
      </c>
      <c r="B10669" t="s">
        <v>7982</v>
      </c>
      <c r="C10669" t="s">
        <v>16722</v>
      </c>
      <c r="D10669" t="s">
        <v>7983</v>
      </c>
      <c r="E10669" t="s">
        <v>7984</v>
      </c>
      <c r="F10669" t="s">
        <v>3558</v>
      </c>
      <c r="G10669" t="s">
        <v>16231</v>
      </c>
      <c r="I10669" t="s">
        <v>47111</v>
      </c>
      <c r="J10669" t="s">
        <v>47112</v>
      </c>
      <c r="K10669" t="s">
        <v>47113</v>
      </c>
      <c r="L10669">
        <v>42.83</v>
      </c>
      <c r="M10669">
        <v>74</v>
      </c>
      <c r="N10669">
        <v>0</v>
      </c>
      <c r="O10669">
        <v>74</v>
      </c>
      <c r="P10669">
        <v>0</v>
      </c>
    </row>
    <row r="10670" spans="1:16" x14ac:dyDescent="0.25">
      <c r="A10670" t="s">
        <v>33343</v>
      </c>
      <c r="B10670" t="s">
        <v>7985</v>
      </c>
      <c r="C10670" t="s">
        <v>16894</v>
      </c>
      <c r="D10670" t="s">
        <v>7987</v>
      </c>
      <c r="E10670" t="s">
        <v>7988</v>
      </c>
      <c r="F10670" t="s">
        <v>3558</v>
      </c>
      <c r="G10670" t="s">
        <v>16231</v>
      </c>
      <c r="I10670" t="s">
        <v>47111</v>
      </c>
      <c r="J10670" t="s">
        <v>47112</v>
      </c>
      <c r="K10670" t="s">
        <v>47113</v>
      </c>
      <c r="L10670">
        <v>47.29</v>
      </c>
      <c r="M10670">
        <v>70</v>
      </c>
      <c r="N10670">
        <v>0</v>
      </c>
      <c r="O10670">
        <v>70</v>
      </c>
      <c r="P10670">
        <v>0</v>
      </c>
    </row>
    <row r="10671" spans="1:16" x14ac:dyDescent="0.25">
      <c r="A10671" t="s">
        <v>33344</v>
      </c>
      <c r="B10671" t="s">
        <v>16348</v>
      </c>
      <c r="C10671" t="s">
        <v>17859</v>
      </c>
      <c r="D10671" t="s">
        <v>16349</v>
      </c>
      <c r="E10671" t="s">
        <v>16350</v>
      </c>
      <c r="F10671" t="s">
        <v>3750</v>
      </c>
      <c r="G10671" t="s">
        <v>16231</v>
      </c>
      <c r="H10671" t="s">
        <v>47054</v>
      </c>
      <c r="I10671" t="s">
        <v>47111</v>
      </c>
      <c r="J10671" t="s">
        <v>47112</v>
      </c>
      <c r="K10671" t="s">
        <v>47113</v>
      </c>
      <c r="L10671">
        <v>65.59</v>
      </c>
      <c r="M10671">
        <v>107</v>
      </c>
      <c r="N10671">
        <v>0</v>
      </c>
      <c r="O10671">
        <v>107</v>
      </c>
      <c r="P10671">
        <v>0</v>
      </c>
    </row>
    <row r="10672" spans="1:16" x14ac:dyDescent="0.25">
      <c r="A10672" t="s">
        <v>33345</v>
      </c>
      <c r="B10672" t="s">
        <v>16351</v>
      </c>
      <c r="C10672" t="s">
        <v>19491</v>
      </c>
      <c r="D10672" t="s">
        <v>16349</v>
      </c>
      <c r="E10672" t="s">
        <v>16350</v>
      </c>
      <c r="F10672" t="s">
        <v>3750</v>
      </c>
      <c r="G10672" t="s">
        <v>47122</v>
      </c>
      <c r="H10672" t="s">
        <v>47054</v>
      </c>
      <c r="I10672" t="s">
        <v>47116</v>
      </c>
      <c r="J10672" t="s">
        <v>47117</v>
      </c>
      <c r="K10672" t="s">
        <v>47113</v>
      </c>
      <c r="L10672">
        <v>43.69</v>
      </c>
      <c r="M10672">
        <v>92</v>
      </c>
      <c r="N10672">
        <v>0</v>
      </c>
      <c r="O10672">
        <v>92</v>
      </c>
      <c r="P10672">
        <v>0</v>
      </c>
    </row>
    <row r="10673" spans="1:16" x14ac:dyDescent="0.25">
      <c r="A10673" t="s">
        <v>33346</v>
      </c>
      <c r="B10673" t="s">
        <v>16352</v>
      </c>
      <c r="C10673" t="s">
        <v>17860</v>
      </c>
      <c r="D10673" t="s">
        <v>7983</v>
      </c>
      <c r="E10673" t="s">
        <v>7984</v>
      </c>
      <c r="F10673" t="s">
        <v>14391</v>
      </c>
      <c r="G10673" t="s">
        <v>16233</v>
      </c>
      <c r="H10673" t="s">
        <v>47054</v>
      </c>
      <c r="I10673" t="s">
        <v>47111</v>
      </c>
      <c r="J10673" t="s">
        <v>47112</v>
      </c>
      <c r="K10673" t="s">
        <v>47113</v>
      </c>
      <c r="L10673">
        <v>65.13</v>
      </c>
      <c r="M10673">
        <v>100</v>
      </c>
      <c r="N10673">
        <v>0</v>
      </c>
      <c r="O10673">
        <v>100</v>
      </c>
      <c r="P10673">
        <v>0</v>
      </c>
    </row>
    <row r="10674" spans="1:16" x14ac:dyDescent="0.25">
      <c r="A10674" t="s">
        <v>33347</v>
      </c>
      <c r="B10674" t="s">
        <v>7989</v>
      </c>
      <c r="C10674" t="s">
        <v>16469</v>
      </c>
      <c r="D10674" t="s">
        <v>7990</v>
      </c>
      <c r="E10674" t="s">
        <v>7991</v>
      </c>
      <c r="F10674" t="s">
        <v>3558</v>
      </c>
      <c r="G10674" t="s">
        <v>16231</v>
      </c>
      <c r="H10674" t="s">
        <v>47054</v>
      </c>
      <c r="I10674" t="s">
        <v>47111</v>
      </c>
      <c r="J10674" t="s">
        <v>47112</v>
      </c>
      <c r="K10674" t="s">
        <v>47113</v>
      </c>
      <c r="L10674">
        <v>49.7</v>
      </c>
      <c r="M10674">
        <v>74</v>
      </c>
      <c r="N10674">
        <v>0</v>
      </c>
      <c r="O10674">
        <v>74</v>
      </c>
      <c r="P10674">
        <v>0</v>
      </c>
    </row>
    <row r="10675" spans="1:16" x14ac:dyDescent="0.25">
      <c r="A10675" t="s">
        <v>33348</v>
      </c>
      <c r="B10675" t="s">
        <v>7992</v>
      </c>
      <c r="C10675" t="s">
        <v>7993</v>
      </c>
      <c r="D10675" t="str">
        <f>"1165"</f>
        <v>1165</v>
      </c>
      <c r="E10675" t="s">
        <v>1153</v>
      </c>
      <c r="F10675" t="s">
        <v>5</v>
      </c>
      <c r="G10675" t="s">
        <v>16222</v>
      </c>
      <c r="H10675" t="s">
        <v>47054</v>
      </c>
      <c r="I10675" t="s">
        <v>47139</v>
      </c>
      <c r="J10675" t="s">
        <v>47140</v>
      </c>
      <c r="K10675" t="s">
        <v>47113</v>
      </c>
      <c r="L10675">
        <v>15.99</v>
      </c>
      <c r="M10675">
        <v>34</v>
      </c>
      <c r="N10675">
        <v>0</v>
      </c>
      <c r="O10675">
        <v>34</v>
      </c>
      <c r="P10675">
        <v>0</v>
      </c>
    </row>
    <row r="10676" spans="1:16" x14ac:dyDescent="0.25">
      <c r="A10676" t="s">
        <v>33349</v>
      </c>
      <c r="B10676" t="s">
        <v>7992</v>
      </c>
      <c r="C10676" t="s">
        <v>7993</v>
      </c>
      <c r="D10676" t="str">
        <f>"1746"</f>
        <v>1746</v>
      </c>
      <c r="E10676" t="s">
        <v>807</v>
      </c>
      <c r="F10676" t="s">
        <v>5</v>
      </c>
      <c r="G10676" t="s">
        <v>16222</v>
      </c>
      <c r="H10676" t="s">
        <v>47054</v>
      </c>
      <c r="I10676" t="s">
        <v>47139</v>
      </c>
      <c r="J10676" t="s">
        <v>47140</v>
      </c>
      <c r="K10676" t="s">
        <v>47113</v>
      </c>
      <c r="L10676">
        <v>15.99</v>
      </c>
      <c r="M10676">
        <v>34</v>
      </c>
      <c r="N10676">
        <v>0</v>
      </c>
      <c r="O10676">
        <v>34</v>
      </c>
      <c r="P10676">
        <v>0</v>
      </c>
    </row>
    <row r="10677" spans="1:16" x14ac:dyDescent="0.25">
      <c r="A10677" t="s">
        <v>33350</v>
      </c>
      <c r="B10677" t="s">
        <v>7992</v>
      </c>
      <c r="C10677" t="s">
        <v>7993</v>
      </c>
      <c r="D10677" t="str">
        <f>"4134"</f>
        <v>4134</v>
      </c>
      <c r="E10677" t="s">
        <v>6455</v>
      </c>
      <c r="F10677" t="s">
        <v>5</v>
      </c>
      <c r="G10677" t="s">
        <v>16222</v>
      </c>
      <c r="H10677" t="s">
        <v>47054</v>
      </c>
      <c r="I10677" t="s">
        <v>47139</v>
      </c>
      <c r="J10677" t="s">
        <v>47140</v>
      </c>
      <c r="K10677" t="s">
        <v>47113</v>
      </c>
      <c r="L10677">
        <v>15.99</v>
      </c>
      <c r="M10677">
        <v>34</v>
      </c>
      <c r="N10677">
        <v>0</v>
      </c>
      <c r="O10677">
        <v>34</v>
      </c>
      <c r="P10677">
        <v>0</v>
      </c>
    </row>
    <row r="10678" spans="1:16" x14ac:dyDescent="0.25">
      <c r="A10678" t="s">
        <v>33351</v>
      </c>
      <c r="B10678" t="s">
        <v>7992</v>
      </c>
      <c r="C10678" t="s">
        <v>7993</v>
      </c>
      <c r="D10678" t="str">
        <f>"4433"</f>
        <v>4433</v>
      </c>
      <c r="E10678" t="s">
        <v>6889</v>
      </c>
      <c r="F10678" t="s">
        <v>5</v>
      </c>
      <c r="G10678" t="s">
        <v>16222</v>
      </c>
      <c r="H10678" t="s">
        <v>47054</v>
      </c>
      <c r="I10678" t="s">
        <v>47139</v>
      </c>
      <c r="J10678" t="s">
        <v>47140</v>
      </c>
      <c r="K10678" t="s">
        <v>47113</v>
      </c>
      <c r="L10678">
        <v>15.99</v>
      </c>
      <c r="M10678">
        <v>34</v>
      </c>
      <c r="N10678">
        <v>0</v>
      </c>
      <c r="O10678">
        <v>34</v>
      </c>
      <c r="P10678">
        <v>0</v>
      </c>
    </row>
    <row r="10679" spans="1:16" x14ac:dyDescent="0.25">
      <c r="A10679" t="s">
        <v>33352</v>
      </c>
      <c r="B10679" t="s">
        <v>7992</v>
      </c>
      <c r="C10679" t="s">
        <v>7993</v>
      </c>
      <c r="D10679" t="str">
        <f>"6332"</f>
        <v>6332</v>
      </c>
      <c r="E10679" t="s">
        <v>6458</v>
      </c>
      <c r="F10679" t="s">
        <v>5</v>
      </c>
      <c r="G10679" t="s">
        <v>16222</v>
      </c>
      <c r="H10679" t="s">
        <v>47054</v>
      </c>
      <c r="I10679" t="s">
        <v>47139</v>
      </c>
      <c r="J10679" t="s">
        <v>47140</v>
      </c>
      <c r="K10679" t="s">
        <v>47113</v>
      </c>
      <c r="L10679">
        <v>15.99</v>
      </c>
      <c r="M10679">
        <v>34</v>
      </c>
      <c r="N10679">
        <v>0</v>
      </c>
      <c r="O10679">
        <v>34</v>
      </c>
      <c r="P10679">
        <v>0</v>
      </c>
    </row>
    <row r="10680" spans="1:16" x14ac:dyDescent="0.25">
      <c r="A10680" t="s">
        <v>33353</v>
      </c>
      <c r="B10680" t="s">
        <v>7992</v>
      </c>
      <c r="C10680" t="s">
        <v>7993</v>
      </c>
      <c r="D10680" t="str">
        <f>"7387"</f>
        <v>7387</v>
      </c>
      <c r="E10680" t="s">
        <v>7479</v>
      </c>
      <c r="F10680" t="s">
        <v>5</v>
      </c>
      <c r="G10680" t="s">
        <v>16222</v>
      </c>
      <c r="H10680" t="s">
        <v>47054</v>
      </c>
      <c r="I10680" t="s">
        <v>47139</v>
      </c>
      <c r="J10680" t="s">
        <v>47140</v>
      </c>
      <c r="K10680" t="s">
        <v>47113</v>
      </c>
      <c r="L10680">
        <v>15.99</v>
      </c>
      <c r="M10680">
        <v>34</v>
      </c>
      <c r="N10680">
        <v>0</v>
      </c>
      <c r="O10680">
        <v>34</v>
      </c>
      <c r="P10680">
        <v>0</v>
      </c>
    </row>
    <row r="10681" spans="1:16" x14ac:dyDescent="0.25">
      <c r="A10681" t="s">
        <v>33354</v>
      </c>
      <c r="B10681" t="s">
        <v>7994</v>
      </c>
      <c r="C10681" t="s">
        <v>7995</v>
      </c>
      <c r="D10681" t="str">
        <f>"1747"</f>
        <v>1747</v>
      </c>
      <c r="E10681" t="s">
        <v>5897</v>
      </c>
      <c r="F10681" t="s">
        <v>2</v>
      </c>
      <c r="G10681" t="s">
        <v>16235</v>
      </c>
      <c r="H10681" t="s">
        <v>47054</v>
      </c>
      <c r="I10681" t="s">
        <v>47139</v>
      </c>
      <c r="J10681" t="s">
        <v>47140</v>
      </c>
      <c r="K10681" t="s">
        <v>47113</v>
      </c>
      <c r="L10681">
        <v>14.84</v>
      </c>
      <c r="M10681">
        <v>81</v>
      </c>
      <c r="N10681">
        <v>0</v>
      </c>
      <c r="O10681">
        <v>81</v>
      </c>
      <c r="P10681">
        <v>0</v>
      </c>
    </row>
    <row r="10682" spans="1:16" x14ac:dyDescent="0.25">
      <c r="A10682" t="s">
        <v>33355</v>
      </c>
      <c r="B10682" t="s">
        <v>7994</v>
      </c>
      <c r="C10682" t="s">
        <v>7995</v>
      </c>
      <c r="D10682" t="str">
        <f>"3097"</f>
        <v>3097</v>
      </c>
      <c r="E10682" t="s">
        <v>7532</v>
      </c>
      <c r="F10682" t="s">
        <v>2</v>
      </c>
      <c r="G10682" t="s">
        <v>16235</v>
      </c>
      <c r="H10682" t="s">
        <v>47054</v>
      </c>
      <c r="I10682" t="s">
        <v>47139</v>
      </c>
      <c r="J10682" t="s">
        <v>47140</v>
      </c>
      <c r="K10682" t="s">
        <v>47113</v>
      </c>
      <c r="L10682">
        <v>31.67</v>
      </c>
      <c r="M10682">
        <v>81</v>
      </c>
      <c r="N10682">
        <v>0</v>
      </c>
      <c r="O10682">
        <v>81</v>
      </c>
      <c r="P10682">
        <v>0</v>
      </c>
    </row>
    <row r="10683" spans="1:16" x14ac:dyDescent="0.25">
      <c r="A10683" t="s">
        <v>33356</v>
      </c>
      <c r="B10683" t="s">
        <v>7994</v>
      </c>
      <c r="C10683" t="s">
        <v>7995</v>
      </c>
      <c r="D10683" t="str">
        <f>"4555"</f>
        <v>4555</v>
      </c>
      <c r="E10683" t="s">
        <v>6918</v>
      </c>
      <c r="F10683" t="s">
        <v>2</v>
      </c>
      <c r="G10683" t="s">
        <v>16235</v>
      </c>
      <c r="H10683" t="s">
        <v>47054</v>
      </c>
      <c r="I10683" t="s">
        <v>47139</v>
      </c>
      <c r="J10683" t="s">
        <v>47140</v>
      </c>
      <c r="K10683" t="s">
        <v>47113</v>
      </c>
      <c r="L10683">
        <v>14.52</v>
      </c>
      <c r="M10683">
        <v>81</v>
      </c>
      <c r="N10683">
        <v>0</v>
      </c>
      <c r="O10683">
        <v>81</v>
      </c>
      <c r="P10683">
        <v>0</v>
      </c>
    </row>
    <row r="10684" spans="1:16" x14ac:dyDescent="0.25">
      <c r="A10684" t="s">
        <v>33357</v>
      </c>
      <c r="B10684" t="s">
        <v>7994</v>
      </c>
      <c r="C10684" t="s">
        <v>7995</v>
      </c>
      <c r="D10684" t="str">
        <f>"8044"</f>
        <v>8044</v>
      </c>
      <c r="E10684" t="s">
        <v>7996</v>
      </c>
      <c r="F10684" t="s">
        <v>2</v>
      </c>
      <c r="G10684" t="s">
        <v>16235</v>
      </c>
      <c r="H10684" t="s">
        <v>47054</v>
      </c>
      <c r="I10684" t="s">
        <v>47139</v>
      </c>
      <c r="J10684" t="s">
        <v>47140</v>
      </c>
      <c r="K10684" t="s">
        <v>47113</v>
      </c>
      <c r="L10684">
        <v>31.67</v>
      </c>
      <c r="M10684">
        <v>81</v>
      </c>
      <c r="N10684">
        <v>0</v>
      </c>
      <c r="O10684">
        <v>81</v>
      </c>
      <c r="P10684">
        <v>0</v>
      </c>
    </row>
    <row r="10685" spans="1:16" x14ac:dyDescent="0.25">
      <c r="A10685" t="s">
        <v>33358</v>
      </c>
      <c r="B10685" t="s">
        <v>7997</v>
      </c>
      <c r="C10685" t="s">
        <v>7995</v>
      </c>
      <c r="D10685" t="str">
        <f>"6310"</f>
        <v>6310</v>
      </c>
      <c r="E10685" t="s">
        <v>5900</v>
      </c>
      <c r="F10685" t="s">
        <v>2</v>
      </c>
      <c r="G10685" t="s">
        <v>16235</v>
      </c>
      <c r="H10685" t="s">
        <v>47054</v>
      </c>
      <c r="I10685" t="s">
        <v>47139</v>
      </c>
      <c r="J10685" t="s">
        <v>47140</v>
      </c>
      <c r="K10685" t="s">
        <v>47113</v>
      </c>
      <c r="L10685">
        <v>14.52</v>
      </c>
      <c r="M10685">
        <v>81</v>
      </c>
      <c r="N10685">
        <v>0</v>
      </c>
      <c r="O10685">
        <v>81</v>
      </c>
      <c r="P10685">
        <v>0</v>
      </c>
    </row>
    <row r="10686" spans="1:16" x14ac:dyDescent="0.25">
      <c r="A10686" t="s">
        <v>33359</v>
      </c>
      <c r="B10686" t="s">
        <v>7998</v>
      </c>
      <c r="C10686" t="s">
        <v>7999</v>
      </c>
      <c r="D10686" t="str">
        <f>"1033"</f>
        <v>1033</v>
      </c>
      <c r="E10686" t="s">
        <v>1195</v>
      </c>
      <c r="F10686" t="s">
        <v>3</v>
      </c>
      <c r="G10686" t="s">
        <v>16235</v>
      </c>
      <c r="H10686" t="s">
        <v>47054</v>
      </c>
      <c r="I10686" t="s">
        <v>47139</v>
      </c>
      <c r="J10686" t="s">
        <v>47140</v>
      </c>
      <c r="K10686" t="s">
        <v>47113</v>
      </c>
      <c r="L10686">
        <v>18.12</v>
      </c>
      <c r="M10686">
        <v>39</v>
      </c>
      <c r="N10686">
        <v>0</v>
      </c>
      <c r="O10686">
        <v>39</v>
      </c>
      <c r="P10686">
        <v>0</v>
      </c>
    </row>
    <row r="10687" spans="1:16" x14ac:dyDescent="0.25">
      <c r="A10687" t="s">
        <v>33360</v>
      </c>
      <c r="B10687" t="s">
        <v>7998</v>
      </c>
      <c r="C10687" t="s">
        <v>7999</v>
      </c>
      <c r="D10687" t="str">
        <f>"4134"</f>
        <v>4134</v>
      </c>
      <c r="E10687" t="s">
        <v>6455</v>
      </c>
      <c r="F10687" t="s">
        <v>3</v>
      </c>
      <c r="G10687" t="s">
        <v>16235</v>
      </c>
      <c r="H10687" t="s">
        <v>47054</v>
      </c>
      <c r="I10687" t="s">
        <v>47139</v>
      </c>
      <c r="J10687" t="s">
        <v>47140</v>
      </c>
      <c r="K10687" t="s">
        <v>47113</v>
      </c>
      <c r="L10687">
        <v>18.12</v>
      </c>
      <c r="M10687">
        <v>39</v>
      </c>
      <c r="N10687">
        <v>0</v>
      </c>
      <c r="O10687">
        <v>39</v>
      </c>
      <c r="P10687">
        <v>0</v>
      </c>
    </row>
    <row r="10688" spans="1:16" x14ac:dyDescent="0.25">
      <c r="A10688" t="s">
        <v>33361</v>
      </c>
      <c r="B10688" t="s">
        <v>8000</v>
      </c>
      <c r="C10688" t="s">
        <v>8001</v>
      </c>
      <c r="D10688" t="str">
        <f>"1746"</f>
        <v>1746</v>
      </c>
      <c r="E10688" t="s">
        <v>807</v>
      </c>
      <c r="F10688" t="s">
        <v>3</v>
      </c>
      <c r="G10688" t="s">
        <v>16235</v>
      </c>
      <c r="H10688" t="s">
        <v>47054</v>
      </c>
      <c r="I10688" t="s">
        <v>47139</v>
      </c>
      <c r="J10688" t="s">
        <v>47140</v>
      </c>
      <c r="K10688" t="s">
        <v>47113</v>
      </c>
      <c r="L10688">
        <v>17.940000000000001</v>
      </c>
      <c r="M10688">
        <v>44</v>
      </c>
      <c r="N10688">
        <v>0</v>
      </c>
      <c r="O10688">
        <v>44</v>
      </c>
      <c r="P10688">
        <v>0</v>
      </c>
    </row>
    <row r="10689" spans="1:16" x14ac:dyDescent="0.25">
      <c r="A10689" t="s">
        <v>33362</v>
      </c>
      <c r="B10689" t="s">
        <v>8000</v>
      </c>
      <c r="C10689" t="s">
        <v>8001</v>
      </c>
      <c r="D10689" t="str">
        <f>"4061"</f>
        <v>4061</v>
      </c>
      <c r="E10689" t="s">
        <v>2809</v>
      </c>
      <c r="F10689" t="s">
        <v>3</v>
      </c>
      <c r="G10689" t="s">
        <v>16235</v>
      </c>
      <c r="H10689" t="s">
        <v>47054</v>
      </c>
      <c r="I10689" t="s">
        <v>47139</v>
      </c>
      <c r="J10689" t="s">
        <v>47140</v>
      </c>
      <c r="K10689" t="s">
        <v>47113</v>
      </c>
      <c r="L10689">
        <v>18.3</v>
      </c>
      <c r="M10689">
        <v>44</v>
      </c>
      <c r="N10689">
        <v>0</v>
      </c>
      <c r="O10689">
        <v>44</v>
      </c>
      <c r="P10689">
        <v>0</v>
      </c>
    </row>
    <row r="10690" spans="1:16" x14ac:dyDescent="0.25">
      <c r="A10690" t="s">
        <v>33363</v>
      </c>
      <c r="B10690" t="s">
        <v>8000</v>
      </c>
      <c r="C10690" t="s">
        <v>8001</v>
      </c>
      <c r="D10690" t="str">
        <f>"6030"</f>
        <v>6030</v>
      </c>
      <c r="E10690" t="s">
        <v>2753</v>
      </c>
      <c r="F10690" t="s">
        <v>3</v>
      </c>
      <c r="G10690" t="s">
        <v>16235</v>
      </c>
      <c r="H10690" t="s">
        <v>47054</v>
      </c>
      <c r="I10690" t="s">
        <v>47139</v>
      </c>
      <c r="J10690" t="s">
        <v>47140</v>
      </c>
      <c r="K10690" t="s">
        <v>47113</v>
      </c>
      <c r="L10690">
        <v>18.3</v>
      </c>
      <c r="M10690">
        <v>44</v>
      </c>
      <c r="N10690">
        <v>0</v>
      </c>
      <c r="O10690">
        <v>44</v>
      </c>
      <c r="P10690">
        <v>0</v>
      </c>
    </row>
    <row r="10691" spans="1:16" x14ac:dyDescent="0.25">
      <c r="A10691" t="s">
        <v>33364</v>
      </c>
      <c r="B10691" t="s">
        <v>8002</v>
      </c>
      <c r="C10691" t="s">
        <v>8003</v>
      </c>
      <c r="D10691" t="str">
        <f>"1165"</f>
        <v>1165</v>
      </c>
      <c r="E10691" t="s">
        <v>1153</v>
      </c>
      <c r="F10691" t="s">
        <v>5</v>
      </c>
      <c r="G10691" t="s">
        <v>16235</v>
      </c>
      <c r="H10691" t="s">
        <v>47054</v>
      </c>
      <c r="I10691" t="s">
        <v>47139</v>
      </c>
      <c r="J10691" t="s">
        <v>47140</v>
      </c>
      <c r="K10691" t="s">
        <v>47113</v>
      </c>
      <c r="L10691">
        <v>17.91</v>
      </c>
      <c r="M10691">
        <v>38</v>
      </c>
      <c r="N10691">
        <v>0</v>
      </c>
      <c r="O10691">
        <v>38</v>
      </c>
      <c r="P10691">
        <v>0</v>
      </c>
    </row>
    <row r="10692" spans="1:16" x14ac:dyDescent="0.25">
      <c r="A10692" t="s">
        <v>33365</v>
      </c>
      <c r="B10692" t="s">
        <v>8002</v>
      </c>
      <c r="C10692" t="s">
        <v>8003</v>
      </c>
      <c r="D10692" t="str">
        <f>"1746"</f>
        <v>1746</v>
      </c>
      <c r="E10692" t="s">
        <v>807</v>
      </c>
      <c r="F10692" t="s">
        <v>5</v>
      </c>
      <c r="G10692" t="s">
        <v>16235</v>
      </c>
      <c r="H10692" t="s">
        <v>47054</v>
      </c>
      <c r="I10692" t="s">
        <v>47139</v>
      </c>
      <c r="J10692" t="s">
        <v>47140</v>
      </c>
      <c r="K10692" t="s">
        <v>47113</v>
      </c>
      <c r="L10692">
        <v>17.91</v>
      </c>
      <c r="M10692">
        <v>38</v>
      </c>
      <c r="N10692">
        <v>0</v>
      </c>
      <c r="O10692">
        <v>38</v>
      </c>
      <c r="P10692">
        <v>0</v>
      </c>
    </row>
    <row r="10693" spans="1:16" x14ac:dyDescent="0.25">
      <c r="A10693" t="s">
        <v>33366</v>
      </c>
      <c r="B10693" t="s">
        <v>8002</v>
      </c>
      <c r="C10693" t="s">
        <v>8003</v>
      </c>
      <c r="D10693" t="str">
        <f>"4134"</f>
        <v>4134</v>
      </c>
      <c r="E10693" t="s">
        <v>6455</v>
      </c>
      <c r="F10693" t="s">
        <v>5</v>
      </c>
      <c r="G10693" t="s">
        <v>16235</v>
      </c>
      <c r="H10693" t="s">
        <v>47054</v>
      </c>
      <c r="I10693" t="s">
        <v>47139</v>
      </c>
      <c r="J10693" t="s">
        <v>47140</v>
      </c>
      <c r="K10693" t="s">
        <v>47113</v>
      </c>
      <c r="L10693">
        <v>17.91</v>
      </c>
      <c r="M10693">
        <v>38</v>
      </c>
      <c r="N10693">
        <v>0</v>
      </c>
      <c r="O10693">
        <v>38</v>
      </c>
      <c r="P10693">
        <v>0</v>
      </c>
    </row>
    <row r="10694" spans="1:16" x14ac:dyDescent="0.25">
      <c r="A10694" t="s">
        <v>33367</v>
      </c>
      <c r="B10694" t="s">
        <v>8002</v>
      </c>
      <c r="C10694" t="s">
        <v>8003</v>
      </c>
      <c r="D10694" t="str">
        <f>"4433"</f>
        <v>4433</v>
      </c>
      <c r="E10694" t="s">
        <v>6889</v>
      </c>
      <c r="F10694" t="s">
        <v>5</v>
      </c>
      <c r="G10694" t="s">
        <v>16235</v>
      </c>
      <c r="H10694" t="s">
        <v>47054</v>
      </c>
      <c r="I10694" t="s">
        <v>47139</v>
      </c>
      <c r="J10694" t="s">
        <v>47140</v>
      </c>
      <c r="K10694" t="s">
        <v>47113</v>
      </c>
      <c r="L10694">
        <v>17.91</v>
      </c>
      <c r="M10694">
        <v>38</v>
      </c>
      <c r="N10694">
        <v>0</v>
      </c>
      <c r="O10694">
        <v>38</v>
      </c>
      <c r="P10694">
        <v>0</v>
      </c>
    </row>
    <row r="10695" spans="1:16" x14ac:dyDescent="0.25">
      <c r="A10695" t="s">
        <v>33368</v>
      </c>
      <c r="B10695" t="s">
        <v>8002</v>
      </c>
      <c r="C10695" t="s">
        <v>8003</v>
      </c>
      <c r="D10695" t="str">
        <f>"6332"</f>
        <v>6332</v>
      </c>
      <c r="E10695" t="s">
        <v>6458</v>
      </c>
      <c r="F10695" t="s">
        <v>5</v>
      </c>
      <c r="G10695" t="s">
        <v>16235</v>
      </c>
      <c r="H10695" t="s">
        <v>47054</v>
      </c>
      <c r="I10695" t="s">
        <v>47139</v>
      </c>
      <c r="J10695" t="s">
        <v>47140</v>
      </c>
      <c r="K10695" t="s">
        <v>47113</v>
      </c>
      <c r="L10695">
        <v>17.91</v>
      </c>
      <c r="M10695">
        <v>38</v>
      </c>
      <c r="N10695">
        <v>0</v>
      </c>
      <c r="O10695">
        <v>38</v>
      </c>
      <c r="P10695">
        <v>0</v>
      </c>
    </row>
    <row r="10696" spans="1:16" x14ac:dyDescent="0.25">
      <c r="A10696" t="s">
        <v>33369</v>
      </c>
      <c r="B10696" t="s">
        <v>8002</v>
      </c>
      <c r="C10696" t="s">
        <v>8003</v>
      </c>
      <c r="D10696" t="str">
        <f>"7387"</f>
        <v>7387</v>
      </c>
      <c r="E10696" t="s">
        <v>7479</v>
      </c>
      <c r="F10696" t="s">
        <v>5</v>
      </c>
      <c r="G10696" t="s">
        <v>16235</v>
      </c>
      <c r="H10696" t="s">
        <v>47054</v>
      </c>
      <c r="I10696" t="s">
        <v>47139</v>
      </c>
      <c r="J10696" t="s">
        <v>47140</v>
      </c>
      <c r="K10696" t="s">
        <v>47113</v>
      </c>
      <c r="L10696">
        <v>17.91</v>
      </c>
      <c r="M10696">
        <v>38</v>
      </c>
      <c r="N10696">
        <v>0</v>
      </c>
      <c r="O10696">
        <v>38</v>
      </c>
      <c r="P10696">
        <v>0</v>
      </c>
    </row>
    <row r="10697" spans="1:16" x14ac:dyDescent="0.25">
      <c r="A10697" t="s">
        <v>33370</v>
      </c>
      <c r="B10697" t="s">
        <v>8004</v>
      </c>
      <c r="C10697" t="s">
        <v>8005</v>
      </c>
      <c r="D10697" t="str">
        <f>"1165"</f>
        <v>1165</v>
      </c>
      <c r="E10697" t="s">
        <v>1153</v>
      </c>
      <c r="F10697" t="s">
        <v>5</v>
      </c>
      <c r="G10697" t="s">
        <v>16235</v>
      </c>
      <c r="H10697" t="s">
        <v>47054</v>
      </c>
      <c r="I10697" t="s">
        <v>47139</v>
      </c>
      <c r="J10697" t="s">
        <v>47140</v>
      </c>
      <c r="K10697" t="s">
        <v>47113</v>
      </c>
      <c r="L10697">
        <v>21.96</v>
      </c>
      <c r="M10697">
        <v>46</v>
      </c>
      <c r="N10697">
        <v>0</v>
      </c>
      <c r="O10697">
        <v>46</v>
      </c>
      <c r="P10697">
        <v>0</v>
      </c>
    </row>
    <row r="10698" spans="1:16" x14ac:dyDescent="0.25">
      <c r="A10698" t="s">
        <v>33371</v>
      </c>
      <c r="B10698" t="s">
        <v>8004</v>
      </c>
      <c r="C10698" t="s">
        <v>8005</v>
      </c>
      <c r="D10698" t="str">
        <f>"1746"</f>
        <v>1746</v>
      </c>
      <c r="E10698" t="s">
        <v>807</v>
      </c>
      <c r="F10698" t="s">
        <v>5</v>
      </c>
      <c r="G10698" t="s">
        <v>16235</v>
      </c>
      <c r="H10698" t="s">
        <v>47054</v>
      </c>
      <c r="I10698" t="s">
        <v>47139</v>
      </c>
      <c r="J10698" t="s">
        <v>47140</v>
      </c>
      <c r="K10698" t="s">
        <v>47113</v>
      </c>
      <c r="L10698">
        <v>21.96</v>
      </c>
      <c r="M10698">
        <v>46</v>
      </c>
      <c r="N10698">
        <v>0</v>
      </c>
      <c r="O10698">
        <v>46</v>
      </c>
      <c r="P10698">
        <v>0</v>
      </c>
    </row>
    <row r="10699" spans="1:16" x14ac:dyDescent="0.25">
      <c r="A10699" t="s">
        <v>33372</v>
      </c>
      <c r="B10699" t="s">
        <v>8004</v>
      </c>
      <c r="C10699" t="s">
        <v>8005</v>
      </c>
      <c r="D10699" t="str">
        <f>"4134"</f>
        <v>4134</v>
      </c>
      <c r="E10699" t="s">
        <v>6455</v>
      </c>
      <c r="F10699" t="s">
        <v>5</v>
      </c>
      <c r="G10699" t="s">
        <v>16235</v>
      </c>
      <c r="H10699" t="s">
        <v>47054</v>
      </c>
      <c r="I10699" t="s">
        <v>47139</v>
      </c>
      <c r="J10699" t="s">
        <v>47140</v>
      </c>
      <c r="K10699" t="s">
        <v>47113</v>
      </c>
      <c r="L10699">
        <v>21.96</v>
      </c>
      <c r="M10699">
        <v>46</v>
      </c>
      <c r="N10699">
        <v>0</v>
      </c>
      <c r="O10699">
        <v>46</v>
      </c>
      <c r="P10699">
        <v>0</v>
      </c>
    </row>
    <row r="10700" spans="1:16" x14ac:dyDescent="0.25">
      <c r="A10700" t="s">
        <v>33373</v>
      </c>
      <c r="B10700" t="s">
        <v>8004</v>
      </c>
      <c r="C10700" t="s">
        <v>8005</v>
      </c>
      <c r="D10700" t="str">
        <f>"4433"</f>
        <v>4433</v>
      </c>
      <c r="E10700" t="s">
        <v>6889</v>
      </c>
      <c r="F10700" t="s">
        <v>5</v>
      </c>
      <c r="G10700" t="s">
        <v>16235</v>
      </c>
      <c r="H10700" t="s">
        <v>47054</v>
      </c>
      <c r="I10700" t="s">
        <v>47139</v>
      </c>
      <c r="J10700" t="s">
        <v>47140</v>
      </c>
      <c r="K10700" t="s">
        <v>47113</v>
      </c>
      <c r="L10700">
        <v>21.96</v>
      </c>
      <c r="M10700">
        <v>46</v>
      </c>
      <c r="N10700">
        <v>0</v>
      </c>
      <c r="O10700">
        <v>46</v>
      </c>
      <c r="P10700">
        <v>0</v>
      </c>
    </row>
    <row r="10701" spans="1:16" x14ac:dyDescent="0.25">
      <c r="A10701" t="s">
        <v>33374</v>
      </c>
      <c r="B10701" t="s">
        <v>8004</v>
      </c>
      <c r="C10701" t="s">
        <v>8005</v>
      </c>
      <c r="D10701" t="str">
        <f>"6332"</f>
        <v>6332</v>
      </c>
      <c r="E10701" t="s">
        <v>6458</v>
      </c>
      <c r="F10701" t="s">
        <v>5</v>
      </c>
      <c r="G10701" t="s">
        <v>16235</v>
      </c>
      <c r="H10701" t="s">
        <v>47054</v>
      </c>
      <c r="I10701" t="s">
        <v>47139</v>
      </c>
      <c r="J10701" t="s">
        <v>47140</v>
      </c>
      <c r="K10701" t="s">
        <v>47113</v>
      </c>
      <c r="L10701">
        <v>21.96</v>
      </c>
      <c r="M10701">
        <v>46</v>
      </c>
      <c r="N10701">
        <v>0</v>
      </c>
      <c r="O10701">
        <v>46</v>
      </c>
      <c r="P10701">
        <v>0</v>
      </c>
    </row>
    <row r="10702" spans="1:16" x14ac:dyDescent="0.25">
      <c r="A10702" t="s">
        <v>33375</v>
      </c>
      <c r="B10702" t="s">
        <v>8004</v>
      </c>
      <c r="C10702" t="s">
        <v>8005</v>
      </c>
      <c r="D10702" t="str">
        <f>"7387"</f>
        <v>7387</v>
      </c>
      <c r="E10702" t="s">
        <v>7479</v>
      </c>
      <c r="F10702" t="s">
        <v>5</v>
      </c>
      <c r="G10702" t="s">
        <v>16235</v>
      </c>
      <c r="H10702" t="s">
        <v>47054</v>
      </c>
      <c r="I10702" t="s">
        <v>47139</v>
      </c>
      <c r="J10702" t="s">
        <v>47140</v>
      </c>
      <c r="K10702" t="s">
        <v>47113</v>
      </c>
      <c r="L10702">
        <v>21.96</v>
      </c>
      <c r="M10702">
        <v>46</v>
      </c>
      <c r="N10702">
        <v>0</v>
      </c>
      <c r="O10702">
        <v>46</v>
      </c>
      <c r="P10702">
        <v>0</v>
      </c>
    </row>
    <row r="10703" spans="1:16" x14ac:dyDescent="0.25">
      <c r="A10703" t="s">
        <v>33376</v>
      </c>
      <c r="B10703" t="s">
        <v>8006</v>
      </c>
      <c r="C10703" t="s">
        <v>8007</v>
      </c>
      <c r="D10703" t="str">
        <f>"1905"</f>
        <v>1905</v>
      </c>
      <c r="E10703" t="s">
        <v>7714</v>
      </c>
      <c r="F10703" t="s">
        <v>2</v>
      </c>
      <c r="G10703" t="s">
        <v>16232</v>
      </c>
      <c r="H10703" t="s">
        <v>47054</v>
      </c>
      <c r="I10703" t="s">
        <v>47139</v>
      </c>
      <c r="J10703" t="s">
        <v>47140</v>
      </c>
      <c r="K10703" t="s">
        <v>47113</v>
      </c>
      <c r="L10703">
        <v>28.91</v>
      </c>
      <c r="M10703">
        <v>74</v>
      </c>
      <c r="N10703">
        <v>0</v>
      </c>
      <c r="O10703">
        <v>74</v>
      </c>
      <c r="P10703">
        <v>0</v>
      </c>
    </row>
    <row r="10704" spans="1:16" x14ac:dyDescent="0.25">
      <c r="A10704" t="s">
        <v>33377</v>
      </c>
      <c r="B10704" t="s">
        <v>8006</v>
      </c>
      <c r="C10704" t="s">
        <v>8007</v>
      </c>
      <c r="D10704" t="str">
        <f>"4492"</f>
        <v>4492</v>
      </c>
      <c r="E10704" t="s">
        <v>8008</v>
      </c>
      <c r="F10704" t="s">
        <v>2</v>
      </c>
      <c r="G10704" t="s">
        <v>16232</v>
      </c>
      <c r="H10704" t="s">
        <v>47054</v>
      </c>
      <c r="I10704" t="s">
        <v>47139</v>
      </c>
      <c r="J10704" t="s">
        <v>47140</v>
      </c>
      <c r="K10704" t="s">
        <v>47113</v>
      </c>
      <c r="L10704">
        <v>28.91</v>
      </c>
      <c r="M10704">
        <v>74</v>
      </c>
      <c r="N10704">
        <v>0</v>
      </c>
      <c r="O10704">
        <v>74</v>
      </c>
      <c r="P10704">
        <v>0</v>
      </c>
    </row>
    <row r="10705" spans="1:16" x14ac:dyDescent="0.25">
      <c r="A10705" t="s">
        <v>33378</v>
      </c>
      <c r="B10705" t="s">
        <v>8006</v>
      </c>
      <c r="C10705" t="s">
        <v>8007</v>
      </c>
      <c r="D10705" t="str">
        <f>"6176"</f>
        <v>6176</v>
      </c>
      <c r="E10705" t="s">
        <v>8009</v>
      </c>
      <c r="F10705" t="s">
        <v>2</v>
      </c>
      <c r="G10705" t="s">
        <v>16232</v>
      </c>
      <c r="H10705" t="s">
        <v>47054</v>
      </c>
      <c r="I10705" t="s">
        <v>47139</v>
      </c>
      <c r="J10705" t="s">
        <v>47140</v>
      </c>
      <c r="K10705" t="s">
        <v>47113</v>
      </c>
      <c r="L10705">
        <v>28.91</v>
      </c>
      <c r="M10705">
        <v>74</v>
      </c>
      <c r="N10705">
        <v>0</v>
      </c>
      <c r="O10705">
        <v>74</v>
      </c>
      <c r="P10705">
        <v>0</v>
      </c>
    </row>
    <row r="10706" spans="1:16" x14ac:dyDescent="0.25">
      <c r="A10706" t="s">
        <v>33379</v>
      </c>
      <c r="B10706" t="s">
        <v>8010</v>
      </c>
      <c r="C10706" t="s">
        <v>8011</v>
      </c>
      <c r="D10706" t="str">
        <f>"2658"</f>
        <v>2658</v>
      </c>
      <c r="E10706" t="s">
        <v>8012</v>
      </c>
      <c r="F10706" t="s">
        <v>4</v>
      </c>
      <c r="G10706" t="s">
        <v>16230</v>
      </c>
      <c r="H10706" t="s">
        <v>47054</v>
      </c>
      <c r="I10706" t="s">
        <v>47116</v>
      </c>
      <c r="J10706" t="s">
        <v>47117</v>
      </c>
      <c r="K10706" t="s">
        <v>47113</v>
      </c>
      <c r="L10706">
        <v>28.27</v>
      </c>
      <c r="M10706">
        <v>65</v>
      </c>
      <c r="N10706">
        <v>0</v>
      </c>
      <c r="O10706">
        <v>65</v>
      </c>
      <c r="P10706">
        <v>0</v>
      </c>
    </row>
    <row r="10707" spans="1:16" x14ac:dyDescent="0.25">
      <c r="A10707" t="s">
        <v>33380</v>
      </c>
      <c r="B10707" t="s">
        <v>8013</v>
      </c>
      <c r="C10707" t="s">
        <v>8014</v>
      </c>
      <c r="D10707" t="str">
        <f>"3409"</f>
        <v>3409</v>
      </c>
      <c r="E10707" t="s">
        <v>8015</v>
      </c>
      <c r="F10707" t="s">
        <v>2</v>
      </c>
      <c r="G10707" t="s">
        <v>16234</v>
      </c>
      <c r="H10707" t="s">
        <v>47054</v>
      </c>
      <c r="I10707" t="s">
        <v>47136</v>
      </c>
      <c r="J10707" t="s">
        <v>47137</v>
      </c>
      <c r="K10707" t="s">
        <v>47113</v>
      </c>
      <c r="L10707">
        <v>35.14</v>
      </c>
      <c r="M10707">
        <v>80</v>
      </c>
      <c r="N10707">
        <v>0</v>
      </c>
      <c r="O10707">
        <v>80</v>
      </c>
      <c r="P10707">
        <v>0</v>
      </c>
    </row>
    <row r="10708" spans="1:16" x14ac:dyDescent="0.25">
      <c r="A10708" t="s">
        <v>33381</v>
      </c>
      <c r="B10708" t="s">
        <v>8016</v>
      </c>
      <c r="C10708" t="s">
        <v>8017</v>
      </c>
      <c r="D10708" t="str">
        <f>"3409"</f>
        <v>3409</v>
      </c>
      <c r="E10708" t="s">
        <v>8015</v>
      </c>
      <c r="F10708" t="s">
        <v>2</v>
      </c>
      <c r="G10708" t="s">
        <v>16233</v>
      </c>
      <c r="H10708" t="s">
        <v>47054</v>
      </c>
      <c r="I10708" t="s">
        <v>47136</v>
      </c>
      <c r="J10708" t="s">
        <v>47137</v>
      </c>
      <c r="K10708" t="s">
        <v>47113</v>
      </c>
      <c r="L10708">
        <v>32.909999999999997</v>
      </c>
      <c r="M10708">
        <v>70</v>
      </c>
      <c r="N10708">
        <v>0</v>
      </c>
      <c r="O10708">
        <v>70</v>
      </c>
      <c r="P10708">
        <v>0</v>
      </c>
    </row>
    <row r="10709" spans="1:16" x14ac:dyDescent="0.25">
      <c r="A10709" t="s">
        <v>33382</v>
      </c>
      <c r="B10709" t="s">
        <v>8018</v>
      </c>
      <c r="C10709" t="s">
        <v>8019</v>
      </c>
      <c r="D10709" t="str">
        <f>"2156"</f>
        <v>2156</v>
      </c>
      <c r="E10709" t="s">
        <v>8020</v>
      </c>
      <c r="F10709" t="s">
        <v>2</v>
      </c>
      <c r="G10709" t="s">
        <v>16233</v>
      </c>
      <c r="H10709" t="s">
        <v>47054</v>
      </c>
      <c r="I10709" t="s">
        <v>47136</v>
      </c>
      <c r="J10709" t="s">
        <v>47137</v>
      </c>
      <c r="K10709" t="s">
        <v>47113</v>
      </c>
      <c r="L10709">
        <v>32.909999999999997</v>
      </c>
      <c r="M10709">
        <v>120</v>
      </c>
      <c r="N10709">
        <v>0</v>
      </c>
      <c r="O10709">
        <v>120</v>
      </c>
      <c r="P10709">
        <v>0</v>
      </c>
    </row>
    <row r="10710" spans="1:16" x14ac:dyDescent="0.25">
      <c r="A10710" t="s">
        <v>33383</v>
      </c>
      <c r="B10710" t="s">
        <v>8018</v>
      </c>
      <c r="C10710" t="s">
        <v>8019</v>
      </c>
      <c r="D10710" t="str">
        <f>"3243"</f>
        <v>3243</v>
      </c>
      <c r="E10710" t="s">
        <v>2812</v>
      </c>
      <c r="F10710" t="s">
        <v>2</v>
      </c>
      <c r="G10710" t="s">
        <v>16233</v>
      </c>
      <c r="H10710" t="s">
        <v>47054</v>
      </c>
      <c r="I10710" t="s">
        <v>47136</v>
      </c>
      <c r="J10710" t="s">
        <v>47137</v>
      </c>
      <c r="K10710" t="s">
        <v>47113</v>
      </c>
      <c r="L10710">
        <v>32.909999999999997</v>
      </c>
      <c r="M10710">
        <v>120</v>
      </c>
      <c r="N10710">
        <v>0</v>
      </c>
      <c r="O10710">
        <v>120</v>
      </c>
      <c r="P10710">
        <v>0</v>
      </c>
    </row>
    <row r="10711" spans="1:16" x14ac:dyDescent="0.25">
      <c r="A10711" t="s">
        <v>33384</v>
      </c>
      <c r="B10711" t="s">
        <v>8018</v>
      </c>
      <c r="C10711" t="s">
        <v>8019</v>
      </c>
      <c r="D10711" t="str">
        <f>"6171"</f>
        <v>6171</v>
      </c>
      <c r="E10711" t="s">
        <v>8021</v>
      </c>
      <c r="F10711" t="s">
        <v>2</v>
      </c>
      <c r="G10711" t="s">
        <v>16233</v>
      </c>
      <c r="H10711" t="s">
        <v>47054</v>
      </c>
      <c r="I10711" t="s">
        <v>47136</v>
      </c>
      <c r="J10711" t="s">
        <v>47137</v>
      </c>
      <c r="K10711" t="s">
        <v>47113</v>
      </c>
      <c r="L10711">
        <v>32.909999999999997</v>
      </c>
      <c r="M10711">
        <v>120</v>
      </c>
      <c r="N10711">
        <v>0</v>
      </c>
      <c r="O10711">
        <v>120</v>
      </c>
      <c r="P10711">
        <v>0</v>
      </c>
    </row>
    <row r="10712" spans="1:16" x14ac:dyDescent="0.25">
      <c r="A10712" t="s">
        <v>33385</v>
      </c>
      <c r="B10712" t="s">
        <v>8018</v>
      </c>
      <c r="C10712" t="s">
        <v>8019</v>
      </c>
      <c r="D10712" t="str">
        <f>"7351"</f>
        <v>7351</v>
      </c>
      <c r="E10712" t="s">
        <v>8022</v>
      </c>
      <c r="F10712" t="s">
        <v>2</v>
      </c>
      <c r="G10712" t="s">
        <v>16233</v>
      </c>
      <c r="H10712" t="s">
        <v>47054</v>
      </c>
      <c r="I10712" t="s">
        <v>47136</v>
      </c>
      <c r="J10712" t="s">
        <v>47137</v>
      </c>
      <c r="K10712" t="s">
        <v>47113</v>
      </c>
      <c r="L10712">
        <v>32.909999999999997</v>
      </c>
      <c r="M10712">
        <v>120</v>
      </c>
      <c r="N10712">
        <v>0</v>
      </c>
      <c r="O10712">
        <v>120</v>
      </c>
      <c r="P10712">
        <v>0</v>
      </c>
    </row>
    <row r="10713" spans="1:16" x14ac:dyDescent="0.25">
      <c r="A10713" t="s">
        <v>33386</v>
      </c>
      <c r="B10713" t="s">
        <v>8018</v>
      </c>
      <c r="C10713" t="s">
        <v>8019</v>
      </c>
      <c r="D10713" t="str">
        <f>"8048"</f>
        <v>8048</v>
      </c>
      <c r="E10713" t="s">
        <v>2813</v>
      </c>
      <c r="F10713" t="s">
        <v>2</v>
      </c>
      <c r="G10713" t="s">
        <v>16233</v>
      </c>
      <c r="H10713" t="s">
        <v>47054</v>
      </c>
      <c r="I10713" t="s">
        <v>47136</v>
      </c>
      <c r="J10713" t="s">
        <v>47137</v>
      </c>
      <c r="K10713" t="s">
        <v>47113</v>
      </c>
      <c r="L10713">
        <v>32.909999999999997</v>
      </c>
      <c r="M10713">
        <v>120</v>
      </c>
      <c r="N10713">
        <v>0</v>
      </c>
      <c r="O10713">
        <v>120</v>
      </c>
      <c r="P10713">
        <v>0</v>
      </c>
    </row>
    <row r="10714" spans="1:16" x14ac:dyDescent="0.25">
      <c r="A10714" t="s">
        <v>33387</v>
      </c>
      <c r="B10714" t="s">
        <v>8023</v>
      </c>
      <c r="C10714" t="s">
        <v>8024</v>
      </c>
      <c r="D10714" t="str">
        <f>"1001"</f>
        <v>1001</v>
      </c>
      <c r="E10714" t="s">
        <v>8025</v>
      </c>
      <c r="F10714" t="s">
        <v>4</v>
      </c>
      <c r="G10714" t="s">
        <v>16234</v>
      </c>
      <c r="H10714" t="s">
        <v>47054</v>
      </c>
      <c r="I10714" t="s">
        <v>47136</v>
      </c>
      <c r="J10714" t="s">
        <v>47137</v>
      </c>
      <c r="K10714" t="s">
        <v>47113</v>
      </c>
      <c r="L10714">
        <v>33.61</v>
      </c>
      <c r="M10714">
        <v>82</v>
      </c>
      <c r="N10714">
        <v>0</v>
      </c>
      <c r="O10714">
        <v>82</v>
      </c>
      <c r="P10714">
        <v>0</v>
      </c>
    </row>
    <row r="10715" spans="1:16" x14ac:dyDescent="0.25">
      <c r="A10715" t="s">
        <v>33388</v>
      </c>
      <c r="B10715" t="s">
        <v>8023</v>
      </c>
      <c r="C10715" t="s">
        <v>8024</v>
      </c>
      <c r="D10715" t="str">
        <f>"1393"</f>
        <v>1393</v>
      </c>
      <c r="E10715" t="s">
        <v>8026</v>
      </c>
      <c r="F10715" t="s">
        <v>4</v>
      </c>
      <c r="G10715" t="s">
        <v>16234</v>
      </c>
      <c r="H10715" t="s">
        <v>47054</v>
      </c>
      <c r="I10715" t="s">
        <v>47136</v>
      </c>
      <c r="J10715" t="s">
        <v>47137</v>
      </c>
      <c r="K10715" t="s">
        <v>47113</v>
      </c>
      <c r="L10715">
        <v>33.61</v>
      </c>
      <c r="M10715">
        <v>82</v>
      </c>
      <c r="N10715">
        <v>0</v>
      </c>
      <c r="O10715">
        <v>82</v>
      </c>
      <c r="P10715">
        <v>0</v>
      </c>
    </row>
    <row r="10716" spans="1:16" x14ac:dyDescent="0.25">
      <c r="A10716" t="s">
        <v>14980</v>
      </c>
      <c r="B10716" t="s">
        <v>8023</v>
      </c>
      <c r="C10716" t="s">
        <v>8024</v>
      </c>
      <c r="D10716" t="str">
        <f>"2657"</f>
        <v>2657</v>
      </c>
      <c r="E10716" t="s">
        <v>8027</v>
      </c>
      <c r="F10716" t="s">
        <v>4</v>
      </c>
      <c r="G10716" t="s">
        <v>16234</v>
      </c>
      <c r="H10716" t="s">
        <v>47054</v>
      </c>
      <c r="I10716" t="s">
        <v>47136</v>
      </c>
      <c r="J10716" t="s">
        <v>47137</v>
      </c>
      <c r="K10716" t="s">
        <v>47113</v>
      </c>
      <c r="L10716">
        <v>33.61</v>
      </c>
      <c r="M10716">
        <v>82</v>
      </c>
      <c r="N10716">
        <v>0</v>
      </c>
      <c r="O10716">
        <v>82</v>
      </c>
      <c r="P10716">
        <v>0</v>
      </c>
    </row>
    <row r="10717" spans="1:16" x14ac:dyDescent="0.25">
      <c r="A10717" t="s">
        <v>33389</v>
      </c>
      <c r="B10717" t="s">
        <v>8028</v>
      </c>
      <c r="C10717" t="s">
        <v>8029</v>
      </c>
      <c r="D10717" t="str">
        <f>"1002"</f>
        <v>1002</v>
      </c>
      <c r="E10717" t="s">
        <v>8030</v>
      </c>
      <c r="F10717" t="s">
        <v>2</v>
      </c>
      <c r="G10717" t="s">
        <v>16234</v>
      </c>
      <c r="H10717" t="s">
        <v>47054</v>
      </c>
      <c r="I10717" t="s">
        <v>47136</v>
      </c>
      <c r="J10717" t="s">
        <v>47137</v>
      </c>
      <c r="K10717" t="s">
        <v>47113</v>
      </c>
      <c r="L10717">
        <v>29.01</v>
      </c>
      <c r="M10717">
        <v>80</v>
      </c>
      <c r="N10717">
        <v>0</v>
      </c>
      <c r="O10717">
        <v>80</v>
      </c>
      <c r="P10717">
        <v>0</v>
      </c>
    </row>
    <row r="10718" spans="1:16" x14ac:dyDescent="0.25">
      <c r="A10718" t="s">
        <v>33390</v>
      </c>
      <c r="B10718" t="s">
        <v>8028</v>
      </c>
      <c r="C10718" t="s">
        <v>8029</v>
      </c>
      <c r="D10718" t="str">
        <f>"1198"</f>
        <v>1198</v>
      </c>
      <c r="E10718" t="s">
        <v>8031</v>
      </c>
      <c r="F10718" t="s">
        <v>2</v>
      </c>
      <c r="G10718" t="s">
        <v>16234</v>
      </c>
      <c r="H10718" t="s">
        <v>47054</v>
      </c>
      <c r="I10718" t="s">
        <v>47136</v>
      </c>
      <c r="J10718" t="s">
        <v>47137</v>
      </c>
      <c r="K10718" t="s">
        <v>47113</v>
      </c>
      <c r="L10718">
        <v>43.97</v>
      </c>
      <c r="M10718">
        <v>80</v>
      </c>
      <c r="N10718">
        <v>0</v>
      </c>
      <c r="O10718">
        <v>80</v>
      </c>
      <c r="P10718">
        <v>0</v>
      </c>
    </row>
    <row r="10719" spans="1:16" x14ac:dyDescent="0.25">
      <c r="A10719" t="s">
        <v>33391</v>
      </c>
      <c r="B10719" t="s">
        <v>8028</v>
      </c>
      <c r="C10719" t="s">
        <v>8029</v>
      </c>
      <c r="D10719" t="str">
        <f>"1909"</f>
        <v>1909</v>
      </c>
      <c r="E10719" t="s">
        <v>8032</v>
      </c>
      <c r="F10719" t="s">
        <v>2</v>
      </c>
      <c r="G10719" t="s">
        <v>16234</v>
      </c>
      <c r="H10719" t="s">
        <v>47054</v>
      </c>
      <c r="I10719" t="s">
        <v>47136</v>
      </c>
      <c r="J10719" t="s">
        <v>47137</v>
      </c>
      <c r="K10719" t="s">
        <v>47113</v>
      </c>
      <c r="L10719">
        <v>29.01</v>
      </c>
      <c r="M10719">
        <v>80</v>
      </c>
      <c r="N10719">
        <v>0</v>
      </c>
      <c r="O10719">
        <v>80</v>
      </c>
      <c r="P10719">
        <v>0</v>
      </c>
    </row>
    <row r="10720" spans="1:16" x14ac:dyDescent="0.25">
      <c r="A10720" t="s">
        <v>33392</v>
      </c>
      <c r="B10720" t="s">
        <v>8028</v>
      </c>
      <c r="C10720" t="s">
        <v>8029</v>
      </c>
      <c r="D10720" t="str">
        <f>"1915"</f>
        <v>1915</v>
      </c>
      <c r="E10720" t="s">
        <v>8033</v>
      </c>
      <c r="F10720" t="s">
        <v>2</v>
      </c>
      <c r="G10720" t="s">
        <v>16234</v>
      </c>
      <c r="H10720" t="s">
        <v>47054</v>
      </c>
      <c r="I10720" t="s">
        <v>47136</v>
      </c>
      <c r="J10720" t="s">
        <v>47137</v>
      </c>
      <c r="K10720" t="s">
        <v>47113</v>
      </c>
      <c r="L10720">
        <v>43.97</v>
      </c>
      <c r="M10720">
        <v>80</v>
      </c>
      <c r="N10720">
        <v>0</v>
      </c>
      <c r="O10720">
        <v>80</v>
      </c>
      <c r="P10720">
        <v>0</v>
      </c>
    </row>
    <row r="10721" spans="1:16" x14ac:dyDescent="0.25">
      <c r="A10721" t="s">
        <v>33393</v>
      </c>
      <c r="B10721" t="s">
        <v>8028</v>
      </c>
      <c r="C10721" t="s">
        <v>8029</v>
      </c>
      <c r="D10721" t="str">
        <f>"2636"</f>
        <v>2636</v>
      </c>
      <c r="E10721" t="s">
        <v>8034</v>
      </c>
      <c r="F10721" t="s">
        <v>2</v>
      </c>
      <c r="G10721" t="s">
        <v>16234</v>
      </c>
      <c r="H10721" t="s">
        <v>47054</v>
      </c>
      <c r="I10721" t="s">
        <v>47136</v>
      </c>
      <c r="J10721" t="s">
        <v>47137</v>
      </c>
      <c r="K10721" t="s">
        <v>47113</v>
      </c>
      <c r="L10721">
        <v>32.909999999999997</v>
      </c>
      <c r="M10721">
        <v>80</v>
      </c>
      <c r="N10721">
        <v>0</v>
      </c>
      <c r="O10721">
        <v>80</v>
      </c>
      <c r="P10721">
        <v>0</v>
      </c>
    </row>
    <row r="10722" spans="1:16" x14ac:dyDescent="0.25">
      <c r="A10722" t="s">
        <v>33394</v>
      </c>
      <c r="B10722" t="s">
        <v>8028</v>
      </c>
      <c r="C10722" t="s">
        <v>8029</v>
      </c>
      <c r="D10722" t="str">
        <f>"2637"</f>
        <v>2637</v>
      </c>
      <c r="E10722" t="s">
        <v>8035</v>
      </c>
      <c r="F10722" t="s">
        <v>2</v>
      </c>
      <c r="G10722" t="s">
        <v>16234</v>
      </c>
      <c r="H10722" t="s">
        <v>47054</v>
      </c>
      <c r="I10722" t="s">
        <v>47136</v>
      </c>
      <c r="J10722" t="s">
        <v>47137</v>
      </c>
      <c r="K10722" t="s">
        <v>47113</v>
      </c>
      <c r="L10722">
        <v>29.82</v>
      </c>
      <c r="M10722">
        <v>80</v>
      </c>
      <c r="N10722">
        <v>0</v>
      </c>
      <c r="O10722">
        <v>80</v>
      </c>
      <c r="P10722">
        <v>0</v>
      </c>
    </row>
    <row r="10723" spans="1:16" x14ac:dyDescent="0.25">
      <c r="A10723" t="s">
        <v>33395</v>
      </c>
      <c r="B10723" t="s">
        <v>8028</v>
      </c>
      <c r="C10723" t="s">
        <v>8029</v>
      </c>
      <c r="D10723" t="str">
        <f>"3345"</f>
        <v>3345</v>
      </c>
      <c r="E10723" t="s">
        <v>8036</v>
      </c>
      <c r="F10723" t="s">
        <v>2</v>
      </c>
      <c r="G10723" t="s">
        <v>16234</v>
      </c>
      <c r="H10723" t="s">
        <v>47054</v>
      </c>
      <c r="I10723" t="s">
        <v>47136</v>
      </c>
      <c r="J10723" t="s">
        <v>47137</v>
      </c>
      <c r="K10723" t="s">
        <v>47113</v>
      </c>
      <c r="L10723">
        <v>43.97</v>
      </c>
      <c r="M10723">
        <v>80</v>
      </c>
      <c r="N10723">
        <v>0</v>
      </c>
      <c r="O10723">
        <v>80</v>
      </c>
      <c r="P10723">
        <v>0</v>
      </c>
    </row>
    <row r="10724" spans="1:16" x14ac:dyDescent="0.25">
      <c r="A10724" t="s">
        <v>33396</v>
      </c>
      <c r="B10724" t="s">
        <v>8028</v>
      </c>
      <c r="C10724" t="s">
        <v>8029</v>
      </c>
      <c r="D10724" t="str">
        <f>"3353"</f>
        <v>3353</v>
      </c>
      <c r="E10724" t="s">
        <v>8037</v>
      </c>
      <c r="F10724" t="s">
        <v>2</v>
      </c>
      <c r="G10724" t="s">
        <v>16234</v>
      </c>
      <c r="H10724" t="s">
        <v>47054</v>
      </c>
      <c r="I10724" t="s">
        <v>47136</v>
      </c>
      <c r="J10724" t="s">
        <v>47137</v>
      </c>
      <c r="K10724" t="s">
        <v>47113</v>
      </c>
      <c r="L10724">
        <v>32.909999999999997</v>
      </c>
      <c r="M10724">
        <v>80</v>
      </c>
      <c r="N10724">
        <v>0</v>
      </c>
      <c r="O10724">
        <v>80</v>
      </c>
      <c r="P10724">
        <v>0</v>
      </c>
    </row>
    <row r="10725" spans="1:16" x14ac:dyDescent="0.25">
      <c r="A10725" t="s">
        <v>33397</v>
      </c>
      <c r="B10725" t="s">
        <v>8028</v>
      </c>
      <c r="C10725" t="s">
        <v>8029</v>
      </c>
      <c r="D10725" t="str">
        <f>"3354"</f>
        <v>3354</v>
      </c>
      <c r="E10725" t="s">
        <v>8038</v>
      </c>
      <c r="F10725" t="s">
        <v>2</v>
      </c>
      <c r="G10725" t="s">
        <v>16234</v>
      </c>
      <c r="H10725" t="s">
        <v>47054</v>
      </c>
      <c r="I10725" t="s">
        <v>47136</v>
      </c>
      <c r="J10725" t="s">
        <v>47137</v>
      </c>
      <c r="K10725" t="s">
        <v>47113</v>
      </c>
      <c r="L10725">
        <v>29.01</v>
      </c>
      <c r="M10725">
        <v>80</v>
      </c>
      <c r="N10725">
        <v>0</v>
      </c>
      <c r="O10725">
        <v>80</v>
      </c>
      <c r="P10725">
        <v>0</v>
      </c>
    </row>
    <row r="10726" spans="1:16" x14ac:dyDescent="0.25">
      <c r="A10726" t="s">
        <v>33398</v>
      </c>
      <c r="B10726" t="s">
        <v>8028</v>
      </c>
      <c r="C10726" t="s">
        <v>8029</v>
      </c>
      <c r="D10726" t="str">
        <f>"3407"</f>
        <v>3407</v>
      </c>
      <c r="E10726" t="s">
        <v>8039</v>
      </c>
      <c r="F10726" t="s">
        <v>2</v>
      </c>
      <c r="G10726" t="s">
        <v>16234</v>
      </c>
      <c r="H10726" t="s">
        <v>47054</v>
      </c>
      <c r="I10726" t="s">
        <v>47136</v>
      </c>
      <c r="J10726" t="s">
        <v>47137</v>
      </c>
      <c r="K10726" t="s">
        <v>47113</v>
      </c>
      <c r="L10726">
        <v>43.97</v>
      </c>
      <c r="M10726">
        <v>80</v>
      </c>
      <c r="N10726">
        <v>0</v>
      </c>
      <c r="O10726">
        <v>80</v>
      </c>
      <c r="P10726">
        <v>0</v>
      </c>
    </row>
    <row r="10727" spans="1:16" x14ac:dyDescent="0.25">
      <c r="A10727" t="s">
        <v>33399</v>
      </c>
      <c r="B10727" t="s">
        <v>8028</v>
      </c>
      <c r="C10727" t="s">
        <v>8029</v>
      </c>
      <c r="D10727" t="str">
        <f>"4613"</f>
        <v>4613</v>
      </c>
      <c r="E10727" t="s">
        <v>8040</v>
      </c>
      <c r="F10727" t="s">
        <v>2</v>
      </c>
      <c r="G10727" t="s">
        <v>16234</v>
      </c>
      <c r="H10727" t="s">
        <v>47054</v>
      </c>
      <c r="I10727" t="s">
        <v>47136</v>
      </c>
      <c r="J10727" t="s">
        <v>47137</v>
      </c>
      <c r="K10727" t="s">
        <v>47113</v>
      </c>
      <c r="L10727">
        <v>43.97</v>
      </c>
      <c r="M10727">
        <v>80</v>
      </c>
      <c r="N10727">
        <v>0</v>
      </c>
      <c r="O10727">
        <v>80</v>
      </c>
      <c r="P10727">
        <v>0</v>
      </c>
    </row>
    <row r="10728" spans="1:16" x14ac:dyDescent="0.25">
      <c r="A10728" t="s">
        <v>33400</v>
      </c>
      <c r="B10728" t="s">
        <v>8028</v>
      </c>
      <c r="C10728" t="s">
        <v>8029</v>
      </c>
      <c r="D10728" t="str">
        <f>"4628"</f>
        <v>4628</v>
      </c>
      <c r="E10728" t="s">
        <v>8041</v>
      </c>
      <c r="F10728" t="s">
        <v>2</v>
      </c>
      <c r="G10728" t="s">
        <v>16234</v>
      </c>
      <c r="H10728" t="s">
        <v>47054</v>
      </c>
      <c r="I10728" t="s">
        <v>47136</v>
      </c>
      <c r="J10728" t="s">
        <v>47137</v>
      </c>
      <c r="K10728" t="s">
        <v>47113</v>
      </c>
      <c r="L10728">
        <v>32.909999999999997</v>
      </c>
      <c r="M10728">
        <v>80</v>
      </c>
      <c r="N10728">
        <v>0</v>
      </c>
      <c r="O10728">
        <v>80</v>
      </c>
      <c r="P10728">
        <v>0</v>
      </c>
    </row>
    <row r="10729" spans="1:16" x14ac:dyDescent="0.25">
      <c r="A10729" t="s">
        <v>33401</v>
      </c>
      <c r="B10729" t="s">
        <v>8028</v>
      </c>
      <c r="C10729" t="s">
        <v>8029</v>
      </c>
      <c r="D10729" t="str">
        <f>"4629"</f>
        <v>4629</v>
      </c>
      <c r="E10729" t="s">
        <v>8042</v>
      </c>
      <c r="F10729" t="s">
        <v>2</v>
      </c>
      <c r="G10729" t="s">
        <v>16234</v>
      </c>
      <c r="H10729" t="s">
        <v>47054</v>
      </c>
      <c r="I10729" t="s">
        <v>47136</v>
      </c>
      <c r="J10729" t="s">
        <v>47137</v>
      </c>
      <c r="K10729" t="s">
        <v>47113</v>
      </c>
      <c r="L10729">
        <v>43.97</v>
      </c>
      <c r="M10729">
        <v>80</v>
      </c>
      <c r="N10729">
        <v>0</v>
      </c>
      <c r="O10729">
        <v>80</v>
      </c>
      <c r="P10729">
        <v>0</v>
      </c>
    </row>
    <row r="10730" spans="1:16" x14ac:dyDescent="0.25">
      <c r="A10730" t="s">
        <v>33402</v>
      </c>
      <c r="B10730" t="s">
        <v>8028</v>
      </c>
      <c r="C10730" t="s">
        <v>8029</v>
      </c>
      <c r="D10730" t="str">
        <f>"4636"</f>
        <v>4636</v>
      </c>
      <c r="E10730" t="s">
        <v>8043</v>
      </c>
      <c r="F10730" t="s">
        <v>2</v>
      </c>
      <c r="G10730" t="s">
        <v>16234</v>
      </c>
      <c r="H10730" t="s">
        <v>47054</v>
      </c>
      <c r="I10730" t="s">
        <v>47136</v>
      </c>
      <c r="J10730" t="s">
        <v>47137</v>
      </c>
      <c r="K10730" t="s">
        <v>47113</v>
      </c>
      <c r="L10730">
        <v>29.01</v>
      </c>
      <c r="M10730">
        <v>80</v>
      </c>
      <c r="N10730">
        <v>0</v>
      </c>
      <c r="O10730">
        <v>80</v>
      </c>
      <c r="P10730">
        <v>0</v>
      </c>
    </row>
    <row r="10731" spans="1:16" x14ac:dyDescent="0.25">
      <c r="A10731" t="s">
        <v>33403</v>
      </c>
      <c r="B10731" t="s">
        <v>8028</v>
      </c>
      <c r="C10731" t="s">
        <v>8029</v>
      </c>
      <c r="D10731" t="str">
        <f>"4637"</f>
        <v>4637</v>
      </c>
      <c r="E10731" t="s">
        <v>8044</v>
      </c>
      <c r="F10731" t="s">
        <v>2</v>
      </c>
      <c r="G10731" t="s">
        <v>16234</v>
      </c>
      <c r="H10731" t="s">
        <v>47054</v>
      </c>
      <c r="I10731" t="s">
        <v>47136</v>
      </c>
      <c r="J10731" t="s">
        <v>47137</v>
      </c>
      <c r="K10731" t="s">
        <v>47113</v>
      </c>
      <c r="L10731">
        <v>29.01</v>
      </c>
      <c r="M10731">
        <v>80</v>
      </c>
      <c r="N10731">
        <v>0</v>
      </c>
      <c r="O10731">
        <v>80</v>
      </c>
      <c r="P10731">
        <v>0</v>
      </c>
    </row>
    <row r="10732" spans="1:16" x14ac:dyDescent="0.25">
      <c r="A10732" t="s">
        <v>33404</v>
      </c>
      <c r="B10732" t="s">
        <v>8028</v>
      </c>
      <c r="C10732" t="s">
        <v>8029</v>
      </c>
      <c r="D10732" t="str">
        <f>"4638"</f>
        <v>4638</v>
      </c>
      <c r="E10732" t="s">
        <v>8045</v>
      </c>
      <c r="F10732" t="s">
        <v>2</v>
      </c>
      <c r="G10732" t="s">
        <v>16234</v>
      </c>
      <c r="H10732" t="s">
        <v>47054</v>
      </c>
      <c r="I10732" t="s">
        <v>47136</v>
      </c>
      <c r="J10732" t="s">
        <v>47137</v>
      </c>
      <c r="K10732" t="s">
        <v>47113</v>
      </c>
      <c r="L10732">
        <v>29.01</v>
      </c>
      <c r="M10732">
        <v>80</v>
      </c>
      <c r="N10732">
        <v>0</v>
      </c>
      <c r="O10732">
        <v>80</v>
      </c>
      <c r="P10732">
        <v>0</v>
      </c>
    </row>
    <row r="10733" spans="1:16" x14ac:dyDescent="0.25">
      <c r="A10733" t="s">
        <v>33405</v>
      </c>
      <c r="B10733" t="s">
        <v>8028</v>
      </c>
      <c r="C10733" t="s">
        <v>8029</v>
      </c>
      <c r="D10733" t="str">
        <f>"6181"</f>
        <v>6181</v>
      </c>
      <c r="E10733" t="s">
        <v>8046</v>
      </c>
      <c r="F10733" t="s">
        <v>2</v>
      </c>
      <c r="G10733" t="s">
        <v>16234</v>
      </c>
      <c r="H10733" t="s">
        <v>47054</v>
      </c>
      <c r="I10733" t="s">
        <v>47136</v>
      </c>
      <c r="J10733" t="s">
        <v>47137</v>
      </c>
      <c r="K10733" t="s">
        <v>47113</v>
      </c>
      <c r="L10733">
        <v>29.01</v>
      </c>
      <c r="M10733">
        <v>80</v>
      </c>
      <c r="N10733">
        <v>0</v>
      </c>
      <c r="O10733">
        <v>80</v>
      </c>
      <c r="P10733">
        <v>0</v>
      </c>
    </row>
    <row r="10734" spans="1:16" x14ac:dyDescent="0.25">
      <c r="A10734" t="s">
        <v>33406</v>
      </c>
      <c r="B10734" t="s">
        <v>8028</v>
      </c>
      <c r="C10734" t="s">
        <v>8029</v>
      </c>
      <c r="D10734" t="str">
        <f>"6260"</f>
        <v>6260</v>
      </c>
      <c r="E10734" t="s">
        <v>8047</v>
      </c>
      <c r="F10734" t="s">
        <v>2</v>
      </c>
      <c r="G10734" t="s">
        <v>16234</v>
      </c>
      <c r="H10734" t="s">
        <v>47054</v>
      </c>
      <c r="I10734" t="s">
        <v>47136</v>
      </c>
      <c r="J10734" t="s">
        <v>47137</v>
      </c>
      <c r="K10734" t="s">
        <v>47113</v>
      </c>
      <c r="L10734">
        <v>43.97</v>
      </c>
      <c r="M10734">
        <v>80</v>
      </c>
      <c r="N10734">
        <v>0</v>
      </c>
      <c r="O10734">
        <v>80</v>
      </c>
      <c r="P10734">
        <v>0</v>
      </c>
    </row>
    <row r="10735" spans="1:16" x14ac:dyDescent="0.25">
      <c r="A10735" t="s">
        <v>33407</v>
      </c>
      <c r="B10735" t="s">
        <v>8028</v>
      </c>
      <c r="C10735" t="s">
        <v>8029</v>
      </c>
      <c r="D10735" t="str">
        <f>"6278"</f>
        <v>6278</v>
      </c>
      <c r="E10735" t="s">
        <v>8048</v>
      </c>
      <c r="F10735" t="s">
        <v>2</v>
      </c>
      <c r="G10735" t="s">
        <v>16234</v>
      </c>
      <c r="H10735" t="s">
        <v>47054</v>
      </c>
      <c r="I10735" t="s">
        <v>47136</v>
      </c>
      <c r="J10735" t="s">
        <v>47137</v>
      </c>
      <c r="K10735" t="s">
        <v>47113</v>
      </c>
      <c r="L10735">
        <v>29.01</v>
      </c>
      <c r="M10735">
        <v>80</v>
      </c>
      <c r="N10735">
        <v>0</v>
      </c>
      <c r="O10735">
        <v>80</v>
      </c>
      <c r="P10735">
        <v>0</v>
      </c>
    </row>
    <row r="10736" spans="1:16" x14ac:dyDescent="0.25">
      <c r="A10736" t="s">
        <v>33408</v>
      </c>
      <c r="B10736" t="s">
        <v>8028</v>
      </c>
      <c r="C10736" t="s">
        <v>8029</v>
      </c>
      <c r="D10736" t="str">
        <f>"6317"</f>
        <v>6317</v>
      </c>
      <c r="E10736" t="s">
        <v>8049</v>
      </c>
      <c r="F10736" t="s">
        <v>2</v>
      </c>
      <c r="G10736" t="s">
        <v>16234</v>
      </c>
      <c r="H10736" t="s">
        <v>47054</v>
      </c>
      <c r="I10736" t="s">
        <v>47136</v>
      </c>
      <c r="J10736" t="s">
        <v>47137</v>
      </c>
      <c r="K10736" t="s">
        <v>47113</v>
      </c>
      <c r="L10736">
        <v>43.97</v>
      </c>
      <c r="M10736">
        <v>80</v>
      </c>
      <c r="N10736">
        <v>0</v>
      </c>
      <c r="O10736">
        <v>80</v>
      </c>
      <c r="P10736">
        <v>0</v>
      </c>
    </row>
    <row r="10737" spans="1:16" x14ac:dyDescent="0.25">
      <c r="A10737" t="s">
        <v>33409</v>
      </c>
      <c r="B10737" t="s">
        <v>8028</v>
      </c>
      <c r="C10737" t="s">
        <v>8029</v>
      </c>
      <c r="D10737" t="str">
        <f>"7431"</f>
        <v>7431</v>
      </c>
      <c r="E10737" t="s">
        <v>8050</v>
      </c>
      <c r="F10737" t="s">
        <v>2</v>
      </c>
      <c r="G10737" t="s">
        <v>16234</v>
      </c>
      <c r="H10737" t="s">
        <v>47054</v>
      </c>
      <c r="I10737" t="s">
        <v>47136</v>
      </c>
      <c r="J10737" t="s">
        <v>47137</v>
      </c>
      <c r="K10737" t="s">
        <v>47113</v>
      </c>
      <c r="L10737">
        <v>43.97</v>
      </c>
      <c r="M10737">
        <v>80</v>
      </c>
      <c r="N10737">
        <v>0</v>
      </c>
      <c r="O10737">
        <v>80</v>
      </c>
      <c r="P10737">
        <v>0</v>
      </c>
    </row>
    <row r="10738" spans="1:16" x14ac:dyDescent="0.25">
      <c r="A10738" t="s">
        <v>33410</v>
      </c>
      <c r="B10738" t="s">
        <v>8028</v>
      </c>
      <c r="C10738" t="s">
        <v>8029</v>
      </c>
      <c r="D10738" t="str">
        <f>"7432"</f>
        <v>7432</v>
      </c>
      <c r="E10738" t="s">
        <v>8051</v>
      </c>
      <c r="F10738" t="s">
        <v>2</v>
      </c>
      <c r="G10738" t="s">
        <v>16234</v>
      </c>
      <c r="H10738" t="s">
        <v>47054</v>
      </c>
      <c r="I10738" t="s">
        <v>47136</v>
      </c>
      <c r="J10738" t="s">
        <v>47137</v>
      </c>
      <c r="K10738" t="s">
        <v>47113</v>
      </c>
      <c r="L10738">
        <v>29.01</v>
      </c>
      <c r="M10738">
        <v>80</v>
      </c>
      <c r="N10738">
        <v>0</v>
      </c>
      <c r="O10738">
        <v>80</v>
      </c>
      <c r="P10738">
        <v>0</v>
      </c>
    </row>
    <row r="10739" spans="1:16" x14ac:dyDescent="0.25">
      <c r="A10739" t="s">
        <v>33411</v>
      </c>
      <c r="B10739" t="s">
        <v>8052</v>
      </c>
      <c r="C10739" t="s">
        <v>8053</v>
      </c>
      <c r="D10739" t="str">
        <f>"1002"</f>
        <v>1002</v>
      </c>
      <c r="E10739" t="s">
        <v>8030</v>
      </c>
      <c r="F10739" t="s">
        <v>2</v>
      </c>
      <c r="G10739" t="s">
        <v>16233</v>
      </c>
      <c r="H10739" t="s">
        <v>47054</v>
      </c>
      <c r="I10739" t="s">
        <v>47136</v>
      </c>
      <c r="J10739" t="s">
        <v>47137</v>
      </c>
      <c r="K10739" t="s">
        <v>47113</v>
      </c>
      <c r="L10739">
        <v>24.08</v>
      </c>
      <c r="M10739">
        <v>65</v>
      </c>
      <c r="N10739">
        <v>0</v>
      </c>
      <c r="O10739">
        <v>65</v>
      </c>
      <c r="P10739">
        <v>0</v>
      </c>
    </row>
    <row r="10740" spans="1:16" x14ac:dyDescent="0.25">
      <c r="A10740" t="s">
        <v>33412</v>
      </c>
      <c r="B10740" t="s">
        <v>8052</v>
      </c>
      <c r="C10740" t="s">
        <v>8053</v>
      </c>
      <c r="D10740" t="str">
        <f>"1198"</f>
        <v>1198</v>
      </c>
      <c r="E10740" t="s">
        <v>8031</v>
      </c>
      <c r="F10740" t="s">
        <v>2</v>
      </c>
      <c r="G10740" t="s">
        <v>16233</v>
      </c>
      <c r="H10740" t="s">
        <v>47054</v>
      </c>
      <c r="I10740" t="s">
        <v>47136</v>
      </c>
      <c r="J10740" t="s">
        <v>47137</v>
      </c>
      <c r="K10740" t="s">
        <v>47113</v>
      </c>
      <c r="L10740">
        <v>39.03</v>
      </c>
      <c r="M10740">
        <v>65</v>
      </c>
      <c r="N10740">
        <v>0</v>
      </c>
      <c r="O10740">
        <v>65</v>
      </c>
      <c r="P10740">
        <v>0</v>
      </c>
    </row>
    <row r="10741" spans="1:16" x14ac:dyDescent="0.25">
      <c r="A10741" t="s">
        <v>33413</v>
      </c>
      <c r="B10741" t="s">
        <v>8052</v>
      </c>
      <c r="C10741" t="s">
        <v>8053</v>
      </c>
      <c r="D10741" t="str">
        <f>"1909"</f>
        <v>1909</v>
      </c>
      <c r="E10741" t="s">
        <v>8032</v>
      </c>
      <c r="F10741" t="s">
        <v>2</v>
      </c>
      <c r="G10741" t="s">
        <v>16233</v>
      </c>
      <c r="H10741" t="s">
        <v>47054</v>
      </c>
      <c r="I10741" t="s">
        <v>47136</v>
      </c>
      <c r="J10741" t="s">
        <v>47137</v>
      </c>
      <c r="K10741" t="s">
        <v>47113</v>
      </c>
      <c r="L10741">
        <v>24.08</v>
      </c>
      <c r="M10741">
        <v>65</v>
      </c>
      <c r="N10741">
        <v>0</v>
      </c>
      <c r="O10741">
        <v>65</v>
      </c>
      <c r="P10741">
        <v>0</v>
      </c>
    </row>
    <row r="10742" spans="1:16" x14ac:dyDescent="0.25">
      <c r="A10742" t="s">
        <v>33414</v>
      </c>
      <c r="B10742" t="s">
        <v>8052</v>
      </c>
      <c r="C10742" t="s">
        <v>8053</v>
      </c>
      <c r="D10742" t="str">
        <f>"1915"</f>
        <v>1915</v>
      </c>
      <c r="E10742" t="s">
        <v>8033</v>
      </c>
      <c r="F10742" t="s">
        <v>2</v>
      </c>
      <c r="G10742" t="s">
        <v>16233</v>
      </c>
      <c r="H10742" t="s">
        <v>47054</v>
      </c>
      <c r="I10742" t="s">
        <v>47136</v>
      </c>
      <c r="J10742" t="s">
        <v>47137</v>
      </c>
      <c r="K10742" t="s">
        <v>47113</v>
      </c>
      <c r="L10742">
        <v>39.03</v>
      </c>
      <c r="M10742">
        <v>65</v>
      </c>
      <c r="N10742">
        <v>0</v>
      </c>
      <c r="O10742">
        <v>65</v>
      </c>
      <c r="P10742">
        <v>0</v>
      </c>
    </row>
    <row r="10743" spans="1:16" x14ac:dyDescent="0.25">
      <c r="A10743" t="s">
        <v>33415</v>
      </c>
      <c r="B10743" t="s">
        <v>8052</v>
      </c>
      <c r="C10743" t="s">
        <v>8053</v>
      </c>
      <c r="D10743" t="str">
        <f>"2636"</f>
        <v>2636</v>
      </c>
      <c r="E10743" t="s">
        <v>8034</v>
      </c>
      <c r="F10743" t="s">
        <v>2</v>
      </c>
      <c r="G10743" t="s">
        <v>16233</v>
      </c>
      <c r="H10743" t="s">
        <v>47054</v>
      </c>
      <c r="I10743" t="s">
        <v>47136</v>
      </c>
      <c r="J10743" t="s">
        <v>47137</v>
      </c>
      <c r="K10743" t="s">
        <v>47113</v>
      </c>
      <c r="L10743">
        <v>39.03</v>
      </c>
      <c r="M10743">
        <v>65</v>
      </c>
      <c r="N10743">
        <v>0</v>
      </c>
      <c r="O10743">
        <v>65</v>
      </c>
      <c r="P10743">
        <v>0</v>
      </c>
    </row>
    <row r="10744" spans="1:16" x14ac:dyDescent="0.25">
      <c r="A10744" t="s">
        <v>33416</v>
      </c>
      <c r="B10744" t="s">
        <v>8052</v>
      </c>
      <c r="C10744" t="s">
        <v>8053</v>
      </c>
      <c r="D10744" t="str">
        <f>"2637"</f>
        <v>2637</v>
      </c>
      <c r="E10744" t="s">
        <v>8035</v>
      </c>
      <c r="F10744" t="s">
        <v>2</v>
      </c>
      <c r="G10744" t="s">
        <v>16233</v>
      </c>
      <c r="H10744" t="s">
        <v>47054</v>
      </c>
      <c r="I10744" t="s">
        <v>47136</v>
      </c>
      <c r="J10744" t="s">
        <v>47137</v>
      </c>
      <c r="K10744" t="s">
        <v>47113</v>
      </c>
      <c r="L10744">
        <v>24.08</v>
      </c>
      <c r="M10744">
        <v>65</v>
      </c>
      <c r="N10744">
        <v>0</v>
      </c>
      <c r="O10744">
        <v>65</v>
      </c>
      <c r="P10744">
        <v>0</v>
      </c>
    </row>
    <row r="10745" spans="1:16" x14ac:dyDescent="0.25">
      <c r="A10745" t="s">
        <v>33417</v>
      </c>
      <c r="B10745" t="s">
        <v>8052</v>
      </c>
      <c r="C10745" t="s">
        <v>8053</v>
      </c>
      <c r="D10745" t="str">
        <f>"3345"</f>
        <v>3345</v>
      </c>
      <c r="E10745" t="s">
        <v>8036</v>
      </c>
      <c r="F10745" t="s">
        <v>2</v>
      </c>
      <c r="G10745" t="s">
        <v>16233</v>
      </c>
      <c r="H10745" t="s">
        <v>47054</v>
      </c>
      <c r="I10745" t="s">
        <v>47136</v>
      </c>
      <c r="J10745" t="s">
        <v>47137</v>
      </c>
      <c r="K10745" t="s">
        <v>47113</v>
      </c>
      <c r="L10745">
        <v>39.03</v>
      </c>
      <c r="M10745">
        <v>65</v>
      </c>
      <c r="N10745">
        <v>0</v>
      </c>
      <c r="O10745">
        <v>65</v>
      </c>
      <c r="P10745">
        <v>0</v>
      </c>
    </row>
    <row r="10746" spans="1:16" x14ac:dyDescent="0.25">
      <c r="A10746" t="s">
        <v>33418</v>
      </c>
      <c r="B10746" t="s">
        <v>8052</v>
      </c>
      <c r="C10746" t="s">
        <v>8053</v>
      </c>
      <c r="D10746" t="str">
        <f>"3353"</f>
        <v>3353</v>
      </c>
      <c r="E10746" t="s">
        <v>8037</v>
      </c>
      <c r="F10746" t="s">
        <v>2</v>
      </c>
      <c r="G10746" t="s">
        <v>16233</v>
      </c>
      <c r="H10746" t="s">
        <v>47054</v>
      </c>
      <c r="I10746" t="s">
        <v>47136</v>
      </c>
      <c r="J10746" t="s">
        <v>47137</v>
      </c>
      <c r="K10746" t="s">
        <v>47113</v>
      </c>
      <c r="L10746">
        <v>24.08</v>
      </c>
      <c r="M10746">
        <v>65</v>
      </c>
      <c r="N10746">
        <v>0</v>
      </c>
      <c r="O10746">
        <v>65</v>
      </c>
      <c r="P10746">
        <v>0</v>
      </c>
    </row>
    <row r="10747" spans="1:16" x14ac:dyDescent="0.25">
      <c r="A10747" t="s">
        <v>33419</v>
      </c>
      <c r="B10747" t="s">
        <v>8052</v>
      </c>
      <c r="C10747" t="s">
        <v>8053</v>
      </c>
      <c r="D10747" t="str">
        <f>"3354"</f>
        <v>3354</v>
      </c>
      <c r="E10747" t="s">
        <v>8038</v>
      </c>
      <c r="F10747" t="s">
        <v>2</v>
      </c>
      <c r="G10747" t="s">
        <v>16233</v>
      </c>
      <c r="H10747" t="s">
        <v>47054</v>
      </c>
      <c r="I10747" t="s">
        <v>47136</v>
      </c>
      <c r="J10747" t="s">
        <v>47137</v>
      </c>
      <c r="K10747" t="s">
        <v>47113</v>
      </c>
      <c r="L10747">
        <v>24.08</v>
      </c>
      <c r="M10747">
        <v>65</v>
      </c>
      <c r="N10747">
        <v>0</v>
      </c>
      <c r="O10747">
        <v>65</v>
      </c>
      <c r="P10747">
        <v>0</v>
      </c>
    </row>
    <row r="10748" spans="1:16" x14ac:dyDescent="0.25">
      <c r="A10748" t="s">
        <v>33420</v>
      </c>
      <c r="B10748" t="s">
        <v>8052</v>
      </c>
      <c r="C10748" t="s">
        <v>8053</v>
      </c>
      <c r="D10748" t="str">
        <f>"3407"</f>
        <v>3407</v>
      </c>
      <c r="E10748" t="s">
        <v>8039</v>
      </c>
      <c r="F10748" t="s">
        <v>2</v>
      </c>
      <c r="G10748" t="s">
        <v>16233</v>
      </c>
      <c r="H10748" t="s">
        <v>47054</v>
      </c>
      <c r="I10748" t="s">
        <v>47136</v>
      </c>
      <c r="J10748" t="s">
        <v>47137</v>
      </c>
      <c r="K10748" t="s">
        <v>47113</v>
      </c>
      <c r="L10748">
        <v>39.03</v>
      </c>
      <c r="M10748">
        <v>65</v>
      </c>
      <c r="N10748">
        <v>0</v>
      </c>
      <c r="O10748">
        <v>65</v>
      </c>
      <c r="P10748">
        <v>0</v>
      </c>
    </row>
    <row r="10749" spans="1:16" x14ac:dyDescent="0.25">
      <c r="A10749" t="s">
        <v>33421</v>
      </c>
      <c r="B10749" t="s">
        <v>8052</v>
      </c>
      <c r="C10749" t="s">
        <v>8053</v>
      </c>
      <c r="D10749" t="str">
        <f>"4613"</f>
        <v>4613</v>
      </c>
      <c r="E10749" t="s">
        <v>8040</v>
      </c>
      <c r="F10749" t="s">
        <v>2</v>
      </c>
      <c r="G10749" t="s">
        <v>16233</v>
      </c>
      <c r="H10749" t="s">
        <v>47054</v>
      </c>
      <c r="I10749" t="s">
        <v>47136</v>
      </c>
      <c r="J10749" t="s">
        <v>47137</v>
      </c>
      <c r="K10749" t="s">
        <v>47113</v>
      </c>
      <c r="L10749">
        <v>39.03</v>
      </c>
      <c r="M10749">
        <v>65</v>
      </c>
      <c r="N10749">
        <v>0</v>
      </c>
      <c r="O10749">
        <v>65</v>
      </c>
      <c r="P10749">
        <v>0</v>
      </c>
    </row>
    <row r="10750" spans="1:16" x14ac:dyDescent="0.25">
      <c r="A10750" t="s">
        <v>33422</v>
      </c>
      <c r="B10750" t="s">
        <v>8052</v>
      </c>
      <c r="C10750" t="s">
        <v>8053</v>
      </c>
      <c r="D10750" t="str">
        <f>"4628"</f>
        <v>4628</v>
      </c>
      <c r="E10750" t="s">
        <v>8041</v>
      </c>
      <c r="F10750" t="s">
        <v>2</v>
      </c>
      <c r="G10750" t="s">
        <v>16233</v>
      </c>
      <c r="H10750" t="s">
        <v>47054</v>
      </c>
      <c r="I10750" t="s">
        <v>47136</v>
      </c>
      <c r="J10750" t="s">
        <v>47137</v>
      </c>
      <c r="K10750" t="s">
        <v>47113</v>
      </c>
      <c r="L10750">
        <v>39.03</v>
      </c>
      <c r="M10750">
        <v>65</v>
      </c>
      <c r="N10750">
        <v>0</v>
      </c>
      <c r="O10750">
        <v>65</v>
      </c>
      <c r="P10750">
        <v>0</v>
      </c>
    </row>
    <row r="10751" spans="1:16" x14ac:dyDescent="0.25">
      <c r="A10751" t="s">
        <v>33423</v>
      </c>
      <c r="B10751" t="s">
        <v>8052</v>
      </c>
      <c r="C10751" t="s">
        <v>8053</v>
      </c>
      <c r="D10751" t="str">
        <f>"4629"</f>
        <v>4629</v>
      </c>
      <c r="E10751" t="s">
        <v>8042</v>
      </c>
      <c r="F10751" t="s">
        <v>2</v>
      </c>
      <c r="G10751" t="s">
        <v>16233</v>
      </c>
      <c r="H10751" t="s">
        <v>47054</v>
      </c>
      <c r="I10751" t="s">
        <v>47136</v>
      </c>
      <c r="J10751" t="s">
        <v>47137</v>
      </c>
      <c r="K10751" t="s">
        <v>47113</v>
      </c>
      <c r="L10751">
        <v>39.03</v>
      </c>
      <c r="M10751">
        <v>65</v>
      </c>
      <c r="N10751">
        <v>0</v>
      </c>
      <c r="O10751">
        <v>65</v>
      </c>
      <c r="P10751">
        <v>0</v>
      </c>
    </row>
    <row r="10752" spans="1:16" x14ac:dyDescent="0.25">
      <c r="A10752" t="s">
        <v>33424</v>
      </c>
      <c r="B10752" t="s">
        <v>8052</v>
      </c>
      <c r="C10752" t="s">
        <v>8053</v>
      </c>
      <c r="D10752" t="str">
        <f>"4636"</f>
        <v>4636</v>
      </c>
      <c r="E10752" t="s">
        <v>8043</v>
      </c>
      <c r="F10752" t="s">
        <v>2</v>
      </c>
      <c r="G10752" t="s">
        <v>16233</v>
      </c>
      <c r="H10752" t="s">
        <v>47054</v>
      </c>
      <c r="I10752" t="s">
        <v>47136</v>
      </c>
      <c r="J10752" t="s">
        <v>47137</v>
      </c>
      <c r="K10752" t="s">
        <v>47113</v>
      </c>
      <c r="L10752">
        <v>19.47</v>
      </c>
      <c r="M10752">
        <v>65</v>
      </c>
      <c r="N10752">
        <v>0</v>
      </c>
      <c r="O10752">
        <v>65</v>
      </c>
      <c r="P10752">
        <v>0</v>
      </c>
    </row>
    <row r="10753" spans="1:16" x14ac:dyDescent="0.25">
      <c r="A10753" t="s">
        <v>33425</v>
      </c>
      <c r="B10753" t="s">
        <v>8052</v>
      </c>
      <c r="C10753" t="s">
        <v>8053</v>
      </c>
      <c r="D10753" t="str">
        <f>"4637"</f>
        <v>4637</v>
      </c>
      <c r="E10753" t="s">
        <v>8044</v>
      </c>
      <c r="F10753" t="s">
        <v>2</v>
      </c>
      <c r="G10753" t="s">
        <v>16233</v>
      </c>
      <c r="H10753" t="s">
        <v>47054</v>
      </c>
      <c r="I10753" t="s">
        <v>47136</v>
      </c>
      <c r="J10753" t="s">
        <v>47137</v>
      </c>
      <c r="K10753" t="s">
        <v>47113</v>
      </c>
      <c r="L10753">
        <v>24.08</v>
      </c>
      <c r="M10753">
        <v>65</v>
      </c>
      <c r="N10753">
        <v>0</v>
      </c>
      <c r="O10753">
        <v>65</v>
      </c>
      <c r="P10753">
        <v>0</v>
      </c>
    </row>
    <row r="10754" spans="1:16" x14ac:dyDescent="0.25">
      <c r="A10754" t="s">
        <v>33426</v>
      </c>
      <c r="B10754" t="s">
        <v>8052</v>
      </c>
      <c r="C10754" t="s">
        <v>8053</v>
      </c>
      <c r="D10754" t="str">
        <f>"4638"</f>
        <v>4638</v>
      </c>
      <c r="E10754" t="s">
        <v>8045</v>
      </c>
      <c r="F10754" t="s">
        <v>2</v>
      </c>
      <c r="G10754" t="s">
        <v>16233</v>
      </c>
      <c r="H10754" t="s">
        <v>47054</v>
      </c>
      <c r="I10754" t="s">
        <v>47136</v>
      </c>
      <c r="J10754" t="s">
        <v>47137</v>
      </c>
      <c r="K10754" t="s">
        <v>47113</v>
      </c>
      <c r="L10754">
        <v>24.08</v>
      </c>
      <c r="M10754">
        <v>65</v>
      </c>
      <c r="N10754">
        <v>0</v>
      </c>
      <c r="O10754">
        <v>65</v>
      </c>
      <c r="P10754">
        <v>0</v>
      </c>
    </row>
    <row r="10755" spans="1:16" x14ac:dyDescent="0.25">
      <c r="A10755" t="s">
        <v>33427</v>
      </c>
      <c r="B10755" t="s">
        <v>8052</v>
      </c>
      <c r="C10755" t="s">
        <v>8053</v>
      </c>
      <c r="D10755" t="str">
        <f>"6181"</f>
        <v>6181</v>
      </c>
      <c r="E10755" t="s">
        <v>8046</v>
      </c>
      <c r="F10755" t="s">
        <v>2</v>
      </c>
      <c r="G10755" t="s">
        <v>16233</v>
      </c>
      <c r="H10755" t="s">
        <v>47054</v>
      </c>
      <c r="I10755" t="s">
        <v>47136</v>
      </c>
      <c r="J10755" t="s">
        <v>47137</v>
      </c>
      <c r="K10755" t="s">
        <v>47113</v>
      </c>
      <c r="L10755">
        <v>32.909999999999997</v>
      </c>
      <c r="M10755">
        <v>65</v>
      </c>
      <c r="N10755">
        <v>0</v>
      </c>
      <c r="O10755">
        <v>65</v>
      </c>
      <c r="P10755">
        <v>0</v>
      </c>
    </row>
    <row r="10756" spans="1:16" x14ac:dyDescent="0.25">
      <c r="A10756" t="s">
        <v>33428</v>
      </c>
      <c r="B10756" t="s">
        <v>8052</v>
      </c>
      <c r="C10756" t="s">
        <v>8053</v>
      </c>
      <c r="D10756" t="str">
        <f>"6260"</f>
        <v>6260</v>
      </c>
      <c r="E10756" t="s">
        <v>8047</v>
      </c>
      <c r="F10756" t="s">
        <v>2</v>
      </c>
      <c r="G10756" t="s">
        <v>16233</v>
      </c>
      <c r="H10756" t="s">
        <v>47054</v>
      </c>
      <c r="I10756" t="s">
        <v>47136</v>
      </c>
      <c r="J10756" t="s">
        <v>47137</v>
      </c>
      <c r="K10756" t="s">
        <v>47113</v>
      </c>
      <c r="L10756">
        <v>39.03</v>
      </c>
      <c r="M10756">
        <v>65</v>
      </c>
      <c r="N10756">
        <v>0</v>
      </c>
      <c r="O10756">
        <v>65</v>
      </c>
      <c r="P10756">
        <v>0</v>
      </c>
    </row>
    <row r="10757" spans="1:16" x14ac:dyDescent="0.25">
      <c r="A10757" t="s">
        <v>33429</v>
      </c>
      <c r="B10757" t="s">
        <v>8052</v>
      </c>
      <c r="C10757" t="s">
        <v>8053</v>
      </c>
      <c r="D10757" t="str">
        <f>"6278"</f>
        <v>6278</v>
      </c>
      <c r="E10757" t="s">
        <v>8048</v>
      </c>
      <c r="F10757" t="s">
        <v>2</v>
      </c>
      <c r="G10757" t="s">
        <v>16233</v>
      </c>
      <c r="H10757" t="s">
        <v>47054</v>
      </c>
      <c r="I10757" t="s">
        <v>47136</v>
      </c>
      <c r="J10757" t="s">
        <v>47137</v>
      </c>
      <c r="K10757" t="s">
        <v>47113</v>
      </c>
      <c r="L10757">
        <v>24.08</v>
      </c>
      <c r="M10757">
        <v>65</v>
      </c>
      <c r="N10757">
        <v>0</v>
      </c>
      <c r="O10757">
        <v>65</v>
      </c>
      <c r="P10757">
        <v>0</v>
      </c>
    </row>
    <row r="10758" spans="1:16" x14ac:dyDescent="0.25">
      <c r="A10758" t="s">
        <v>33430</v>
      </c>
      <c r="B10758" t="s">
        <v>8052</v>
      </c>
      <c r="C10758" t="s">
        <v>8053</v>
      </c>
      <c r="D10758" t="str">
        <f>"6317"</f>
        <v>6317</v>
      </c>
      <c r="E10758" t="s">
        <v>8049</v>
      </c>
      <c r="F10758" t="s">
        <v>2</v>
      </c>
      <c r="G10758" t="s">
        <v>16233</v>
      </c>
      <c r="H10758" t="s">
        <v>47054</v>
      </c>
      <c r="I10758" t="s">
        <v>47136</v>
      </c>
      <c r="J10758" t="s">
        <v>47137</v>
      </c>
      <c r="K10758" t="s">
        <v>47113</v>
      </c>
      <c r="L10758">
        <v>39.03</v>
      </c>
      <c r="M10758">
        <v>65</v>
      </c>
      <c r="N10758">
        <v>0</v>
      </c>
      <c r="O10758">
        <v>65</v>
      </c>
      <c r="P10758">
        <v>0</v>
      </c>
    </row>
    <row r="10759" spans="1:16" x14ac:dyDescent="0.25">
      <c r="A10759" t="s">
        <v>33431</v>
      </c>
      <c r="B10759" t="s">
        <v>8052</v>
      </c>
      <c r="C10759" t="s">
        <v>8053</v>
      </c>
      <c r="D10759" t="str">
        <f>"7431"</f>
        <v>7431</v>
      </c>
      <c r="E10759" t="s">
        <v>8050</v>
      </c>
      <c r="F10759" t="s">
        <v>2</v>
      </c>
      <c r="G10759" t="s">
        <v>16233</v>
      </c>
      <c r="H10759" t="s">
        <v>47054</v>
      </c>
      <c r="I10759" t="s">
        <v>47136</v>
      </c>
      <c r="J10759" t="s">
        <v>47137</v>
      </c>
      <c r="K10759" t="s">
        <v>47113</v>
      </c>
      <c r="L10759">
        <v>39.03</v>
      </c>
      <c r="M10759">
        <v>65</v>
      </c>
      <c r="N10759">
        <v>0</v>
      </c>
      <c r="O10759">
        <v>65</v>
      </c>
      <c r="P10759">
        <v>0</v>
      </c>
    </row>
    <row r="10760" spans="1:16" x14ac:dyDescent="0.25">
      <c r="A10760" t="s">
        <v>33432</v>
      </c>
      <c r="B10760" t="s">
        <v>8052</v>
      </c>
      <c r="C10760" t="s">
        <v>8053</v>
      </c>
      <c r="D10760" t="str">
        <f>"7432"</f>
        <v>7432</v>
      </c>
      <c r="E10760" t="s">
        <v>8051</v>
      </c>
      <c r="F10760" t="s">
        <v>2</v>
      </c>
      <c r="G10760" t="s">
        <v>16233</v>
      </c>
      <c r="H10760" t="s">
        <v>47054</v>
      </c>
      <c r="I10760" t="s">
        <v>47136</v>
      </c>
      <c r="J10760" t="s">
        <v>47137</v>
      </c>
      <c r="K10760" t="s">
        <v>47113</v>
      </c>
      <c r="L10760">
        <v>24.08</v>
      </c>
      <c r="M10760">
        <v>65</v>
      </c>
      <c r="N10760">
        <v>0</v>
      </c>
      <c r="O10760">
        <v>65</v>
      </c>
      <c r="P10760">
        <v>0</v>
      </c>
    </row>
    <row r="10761" spans="1:16" x14ac:dyDescent="0.25">
      <c r="A10761" t="s">
        <v>33433</v>
      </c>
      <c r="B10761" t="s">
        <v>8054</v>
      </c>
      <c r="C10761" t="s">
        <v>17861</v>
      </c>
      <c r="D10761" t="s">
        <v>8055</v>
      </c>
      <c r="E10761" t="s">
        <v>8056</v>
      </c>
      <c r="F10761" t="s">
        <v>3558</v>
      </c>
      <c r="G10761" t="s">
        <v>16231</v>
      </c>
      <c r="H10761" t="s">
        <v>47054</v>
      </c>
      <c r="I10761" t="s">
        <v>47111</v>
      </c>
      <c r="J10761" t="s">
        <v>47112</v>
      </c>
      <c r="K10761" t="s">
        <v>47113</v>
      </c>
      <c r="L10761">
        <v>78.53</v>
      </c>
      <c r="M10761">
        <v>129</v>
      </c>
      <c r="N10761">
        <v>0</v>
      </c>
      <c r="O10761">
        <v>129</v>
      </c>
      <c r="P10761">
        <v>0</v>
      </c>
    </row>
    <row r="10762" spans="1:16" x14ac:dyDescent="0.25">
      <c r="A10762" t="s">
        <v>33434</v>
      </c>
      <c r="B10762" t="s">
        <v>8057</v>
      </c>
      <c r="C10762" t="s">
        <v>17862</v>
      </c>
      <c r="D10762" t="s">
        <v>8055</v>
      </c>
      <c r="E10762" t="s">
        <v>8056</v>
      </c>
      <c r="F10762" t="s">
        <v>3558</v>
      </c>
      <c r="G10762" t="s">
        <v>16231</v>
      </c>
      <c r="H10762" t="s">
        <v>47054</v>
      </c>
      <c r="I10762" t="s">
        <v>47111</v>
      </c>
      <c r="J10762" t="s">
        <v>47112</v>
      </c>
      <c r="K10762" t="s">
        <v>47113</v>
      </c>
      <c r="L10762">
        <v>78.17</v>
      </c>
      <c r="M10762">
        <v>129</v>
      </c>
      <c r="N10762">
        <v>0</v>
      </c>
      <c r="O10762">
        <v>129</v>
      </c>
      <c r="P10762">
        <v>0</v>
      </c>
    </row>
    <row r="10763" spans="1:16" x14ac:dyDescent="0.25">
      <c r="A10763" t="s">
        <v>33435</v>
      </c>
      <c r="B10763" t="s">
        <v>8059</v>
      </c>
      <c r="C10763" t="s">
        <v>20559</v>
      </c>
      <c r="D10763" t="s">
        <v>8055</v>
      </c>
      <c r="E10763" t="s">
        <v>8056</v>
      </c>
      <c r="F10763" t="s">
        <v>3558</v>
      </c>
      <c r="G10763" t="s">
        <v>16448</v>
      </c>
      <c r="H10763" t="s">
        <v>47054</v>
      </c>
      <c r="I10763" t="s">
        <v>47116</v>
      </c>
      <c r="J10763" t="s">
        <v>47117</v>
      </c>
      <c r="K10763" t="s">
        <v>47113</v>
      </c>
      <c r="L10763">
        <v>65.569999999999993</v>
      </c>
      <c r="M10763">
        <v>129</v>
      </c>
      <c r="N10763">
        <v>0</v>
      </c>
      <c r="O10763">
        <v>129</v>
      </c>
      <c r="P10763">
        <v>0</v>
      </c>
    </row>
    <row r="10764" spans="1:16" x14ac:dyDescent="0.25">
      <c r="A10764" t="s">
        <v>33436</v>
      </c>
      <c r="B10764" t="s">
        <v>17863</v>
      </c>
      <c r="C10764" t="s">
        <v>15456</v>
      </c>
      <c r="D10764" t="str">
        <f>"6276"</f>
        <v>6276</v>
      </c>
      <c r="E10764" t="s">
        <v>3867</v>
      </c>
      <c r="F10764" t="s">
        <v>3750</v>
      </c>
      <c r="G10764" t="s">
        <v>16234</v>
      </c>
      <c r="H10764" t="s">
        <v>47054</v>
      </c>
      <c r="I10764" t="s">
        <v>47120</v>
      </c>
      <c r="J10764" t="s">
        <v>47121</v>
      </c>
      <c r="K10764" t="s">
        <v>47113</v>
      </c>
      <c r="L10764">
        <v>24.87</v>
      </c>
      <c r="M10764">
        <v>70</v>
      </c>
      <c r="N10764">
        <v>0</v>
      </c>
      <c r="O10764">
        <v>70</v>
      </c>
      <c r="P10764">
        <v>0</v>
      </c>
    </row>
    <row r="10765" spans="1:16" x14ac:dyDescent="0.25">
      <c r="A10765" t="s">
        <v>33437</v>
      </c>
      <c r="B10765" t="s">
        <v>17864</v>
      </c>
      <c r="C10765" t="s">
        <v>15456</v>
      </c>
      <c r="D10765" t="str">
        <f>"2725"</f>
        <v>2725</v>
      </c>
      <c r="E10765" t="s">
        <v>9391</v>
      </c>
      <c r="F10765" t="s">
        <v>3750</v>
      </c>
      <c r="G10765" t="s">
        <v>16234</v>
      </c>
      <c r="H10765" t="s">
        <v>47054</v>
      </c>
      <c r="I10765" t="s">
        <v>47120</v>
      </c>
      <c r="J10765" t="s">
        <v>47121</v>
      </c>
      <c r="K10765" t="s">
        <v>47113</v>
      </c>
      <c r="L10765">
        <v>24.87</v>
      </c>
      <c r="M10765">
        <v>70</v>
      </c>
      <c r="N10765">
        <v>0</v>
      </c>
      <c r="O10765">
        <v>70</v>
      </c>
      <c r="P10765">
        <v>0</v>
      </c>
    </row>
    <row r="10766" spans="1:16" x14ac:dyDescent="0.25">
      <c r="A10766" t="s">
        <v>33438</v>
      </c>
      <c r="B10766" t="s">
        <v>8060</v>
      </c>
      <c r="C10766" t="s">
        <v>8061</v>
      </c>
      <c r="D10766" t="str">
        <f>"2695"</f>
        <v>2695</v>
      </c>
      <c r="E10766" t="s">
        <v>8062</v>
      </c>
      <c r="F10766" t="s">
        <v>2068</v>
      </c>
      <c r="G10766" t="s">
        <v>16234</v>
      </c>
      <c r="H10766" t="s">
        <v>47054</v>
      </c>
      <c r="I10766" t="s">
        <v>47120</v>
      </c>
      <c r="J10766" t="s">
        <v>47121</v>
      </c>
      <c r="K10766" t="s">
        <v>47113</v>
      </c>
      <c r="L10766">
        <v>26.8</v>
      </c>
      <c r="M10766">
        <v>61</v>
      </c>
      <c r="N10766">
        <v>0</v>
      </c>
      <c r="O10766">
        <v>61</v>
      </c>
      <c r="P10766">
        <v>0</v>
      </c>
    </row>
    <row r="10767" spans="1:16" x14ac:dyDescent="0.25">
      <c r="A10767" t="s">
        <v>33439</v>
      </c>
      <c r="B10767" t="s">
        <v>8063</v>
      </c>
      <c r="C10767" t="s">
        <v>8061</v>
      </c>
      <c r="D10767" t="str">
        <f>"1001"</f>
        <v>1001</v>
      </c>
      <c r="E10767" t="s">
        <v>8064</v>
      </c>
      <c r="F10767" t="s">
        <v>2068</v>
      </c>
      <c r="G10767" t="s">
        <v>16234</v>
      </c>
      <c r="H10767" t="s">
        <v>47054</v>
      </c>
      <c r="I10767" t="s">
        <v>47120</v>
      </c>
      <c r="J10767" t="s">
        <v>47121</v>
      </c>
      <c r="K10767" t="s">
        <v>47113</v>
      </c>
      <c r="L10767">
        <v>26.8</v>
      </c>
      <c r="M10767">
        <v>61</v>
      </c>
      <c r="N10767">
        <v>0</v>
      </c>
      <c r="O10767">
        <v>61</v>
      </c>
      <c r="P10767">
        <v>0</v>
      </c>
    </row>
    <row r="10768" spans="1:16" x14ac:dyDescent="0.25">
      <c r="A10768" t="s">
        <v>33440</v>
      </c>
      <c r="B10768" t="s">
        <v>8065</v>
      </c>
      <c r="C10768" t="s">
        <v>8061</v>
      </c>
      <c r="D10768" t="str">
        <f>"2370"</f>
        <v>2370</v>
      </c>
      <c r="E10768" t="s">
        <v>8066</v>
      </c>
      <c r="F10768" t="s">
        <v>2068</v>
      </c>
      <c r="G10768" t="s">
        <v>16234</v>
      </c>
      <c r="H10768" t="s">
        <v>47054</v>
      </c>
      <c r="I10768" t="s">
        <v>47120</v>
      </c>
      <c r="J10768" t="s">
        <v>47121</v>
      </c>
      <c r="K10768" t="s">
        <v>47113</v>
      </c>
      <c r="L10768">
        <v>26.8</v>
      </c>
      <c r="M10768">
        <v>61</v>
      </c>
      <c r="N10768">
        <v>0</v>
      </c>
      <c r="O10768">
        <v>61</v>
      </c>
      <c r="P10768">
        <v>0</v>
      </c>
    </row>
    <row r="10769" spans="1:16" x14ac:dyDescent="0.25">
      <c r="A10769" t="s">
        <v>33441</v>
      </c>
      <c r="B10769" t="s">
        <v>8067</v>
      </c>
      <c r="C10769" t="s">
        <v>8061</v>
      </c>
      <c r="D10769" t="str">
        <f>"3517"</f>
        <v>3517</v>
      </c>
      <c r="E10769" t="s">
        <v>8068</v>
      </c>
      <c r="F10769" t="s">
        <v>2068</v>
      </c>
      <c r="G10769" t="s">
        <v>16234</v>
      </c>
      <c r="H10769" t="s">
        <v>47054</v>
      </c>
      <c r="I10769" t="s">
        <v>47120</v>
      </c>
      <c r="J10769" t="s">
        <v>47121</v>
      </c>
      <c r="K10769" t="s">
        <v>47113</v>
      </c>
      <c r="L10769">
        <v>26.8</v>
      </c>
      <c r="M10769">
        <v>61</v>
      </c>
      <c r="N10769">
        <v>0</v>
      </c>
      <c r="O10769">
        <v>61</v>
      </c>
      <c r="P10769">
        <v>0</v>
      </c>
    </row>
    <row r="10770" spans="1:16" x14ac:dyDescent="0.25">
      <c r="A10770" t="s">
        <v>33442</v>
      </c>
      <c r="B10770" t="s">
        <v>8069</v>
      </c>
      <c r="C10770" t="s">
        <v>8070</v>
      </c>
      <c r="D10770" t="str">
        <f>"2642"</f>
        <v>2642</v>
      </c>
      <c r="E10770" t="s">
        <v>8071</v>
      </c>
      <c r="F10770" t="s">
        <v>2</v>
      </c>
      <c r="G10770" t="s">
        <v>16448</v>
      </c>
      <c r="I10770" t="s">
        <v>47136</v>
      </c>
      <c r="J10770" t="s">
        <v>47137</v>
      </c>
      <c r="K10770" t="s">
        <v>47113</v>
      </c>
      <c r="L10770">
        <v>51.83</v>
      </c>
      <c r="M10770">
        <v>108</v>
      </c>
      <c r="N10770">
        <v>0</v>
      </c>
      <c r="O10770">
        <v>108</v>
      </c>
      <c r="P10770">
        <v>0</v>
      </c>
    </row>
    <row r="10771" spans="1:16" x14ac:dyDescent="0.25">
      <c r="A10771" t="s">
        <v>33443</v>
      </c>
      <c r="B10771" t="s">
        <v>8069</v>
      </c>
      <c r="C10771" t="s">
        <v>8070</v>
      </c>
      <c r="D10771" t="str">
        <f>"6277"</f>
        <v>6277</v>
      </c>
      <c r="E10771" t="s">
        <v>8072</v>
      </c>
      <c r="F10771" t="s">
        <v>2</v>
      </c>
      <c r="G10771" t="s">
        <v>16448</v>
      </c>
      <c r="I10771" t="s">
        <v>47136</v>
      </c>
      <c r="J10771" t="s">
        <v>47137</v>
      </c>
      <c r="K10771" t="s">
        <v>47113</v>
      </c>
      <c r="L10771">
        <v>51.83</v>
      </c>
      <c r="M10771">
        <v>108</v>
      </c>
      <c r="N10771">
        <v>0</v>
      </c>
      <c r="O10771">
        <v>108</v>
      </c>
      <c r="P10771">
        <v>0</v>
      </c>
    </row>
    <row r="10772" spans="1:16" x14ac:dyDescent="0.25">
      <c r="A10772" t="s">
        <v>33444</v>
      </c>
      <c r="B10772" t="s">
        <v>8073</v>
      </c>
      <c r="C10772" t="s">
        <v>8074</v>
      </c>
      <c r="D10772" t="str">
        <f>"2695"</f>
        <v>2695</v>
      </c>
      <c r="E10772" t="s">
        <v>8062</v>
      </c>
      <c r="F10772" t="s">
        <v>2068</v>
      </c>
      <c r="G10772" t="s">
        <v>16234</v>
      </c>
      <c r="H10772" t="s">
        <v>47054</v>
      </c>
      <c r="I10772" t="s">
        <v>47120</v>
      </c>
      <c r="J10772" t="s">
        <v>47121</v>
      </c>
      <c r="K10772" t="s">
        <v>47113</v>
      </c>
      <c r="L10772">
        <v>24.99</v>
      </c>
      <c r="M10772">
        <v>57</v>
      </c>
      <c r="N10772">
        <v>0</v>
      </c>
      <c r="O10772">
        <v>57</v>
      </c>
      <c r="P10772">
        <v>0</v>
      </c>
    </row>
    <row r="10773" spans="1:16" x14ac:dyDescent="0.25">
      <c r="A10773" t="s">
        <v>33445</v>
      </c>
      <c r="B10773" t="s">
        <v>8075</v>
      </c>
      <c r="C10773" t="s">
        <v>8074</v>
      </c>
      <c r="D10773" t="str">
        <f>"1001"</f>
        <v>1001</v>
      </c>
      <c r="E10773" t="s">
        <v>8064</v>
      </c>
      <c r="F10773" t="s">
        <v>2068</v>
      </c>
      <c r="G10773" t="s">
        <v>16234</v>
      </c>
      <c r="H10773" t="s">
        <v>47054</v>
      </c>
      <c r="I10773" t="s">
        <v>47120</v>
      </c>
      <c r="J10773" t="s">
        <v>47121</v>
      </c>
      <c r="K10773" t="s">
        <v>47113</v>
      </c>
      <c r="L10773">
        <v>24.99</v>
      </c>
      <c r="M10773">
        <v>57</v>
      </c>
      <c r="N10773">
        <v>0</v>
      </c>
      <c r="O10773">
        <v>57</v>
      </c>
      <c r="P10773">
        <v>0</v>
      </c>
    </row>
    <row r="10774" spans="1:16" x14ac:dyDescent="0.25">
      <c r="A10774" t="s">
        <v>33446</v>
      </c>
      <c r="B10774" t="s">
        <v>8076</v>
      </c>
      <c r="C10774" t="s">
        <v>8074</v>
      </c>
      <c r="D10774" t="str">
        <f>"2370"</f>
        <v>2370</v>
      </c>
      <c r="E10774" t="s">
        <v>8066</v>
      </c>
      <c r="F10774" t="s">
        <v>2068</v>
      </c>
      <c r="G10774" t="s">
        <v>16234</v>
      </c>
      <c r="H10774" t="s">
        <v>47054</v>
      </c>
      <c r="I10774" t="s">
        <v>47120</v>
      </c>
      <c r="J10774" t="s">
        <v>47121</v>
      </c>
      <c r="K10774" t="s">
        <v>47113</v>
      </c>
      <c r="L10774">
        <v>24.99</v>
      </c>
      <c r="M10774">
        <v>57</v>
      </c>
      <c r="N10774">
        <v>0</v>
      </c>
      <c r="O10774">
        <v>57</v>
      </c>
      <c r="P10774">
        <v>0</v>
      </c>
    </row>
    <row r="10775" spans="1:16" x14ac:dyDescent="0.25">
      <c r="A10775" t="s">
        <v>33447</v>
      </c>
      <c r="B10775" t="s">
        <v>8077</v>
      </c>
      <c r="C10775" t="s">
        <v>8074</v>
      </c>
      <c r="D10775" t="str">
        <f>"3517"</f>
        <v>3517</v>
      </c>
      <c r="E10775" t="s">
        <v>8068</v>
      </c>
      <c r="F10775" t="s">
        <v>2068</v>
      </c>
      <c r="G10775" t="s">
        <v>16234</v>
      </c>
      <c r="H10775" t="s">
        <v>47054</v>
      </c>
      <c r="I10775" t="s">
        <v>47120</v>
      </c>
      <c r="J10775" t="s">
        <v>47121</v>
      </c>
      <c r="K10775" t="s">
        <v>47113</v>
      </c>
      <c r="L10775">
        <v>24.99</v>
      </c>
      <c r="M10775">
        <v>57</v>
      </c>
      <c r="N10775">
        <v>0</v>
      </c>
      <c r="O10775">
        <v>57</v>
      </c>
      <c r="P10775">
        <v>0</v>
      </c>
    </row>
    <row r="10776" spans="1:16" x14ac:dyDescent="0.25">
      <c r="A10776" t="s">
        <v>33448</v>
      </c>
      <c r="B10776" t="s">
        <v>8078</v>
      </c>
      <c r="C10776" t="str">
        <f>"CRACKED - DEAN 32"""</f>
        <v>CRACKED - DEAN 32"</v>
      </c>
      <c r="D10776" t="str">
        <f>"1118"</f>
        <v>1118</v>
      </c>
      <c r="E10776" t="s">
        <v>8079</v>
      </c>
      <c r="F10776" t="s">
        <v>3670</v>
      </c>
      <c r="G10776" t="s">
        <v>16231</v>
      </c>
      <c r="I10776" t="s">
        <v>47136</v>
      </c>
      <c r="J10776" t="s">
        <v>47137</v>
      </c>
      <c r="K10776" t="s">
        <v>47113</v>
      </c>
      <c r="L10776">
        <v>28.69</v>
      </c>
      <c r="M10776">
        <v>74</v>
      </c>
      <c r="N10776">
        <v>0</v>
      </c>
      <c r="O10776">
        <v>74</v>
      </c>
      <c r="P10776">
        <v>0</v>
      </c>
    </row>
    <row r="10777" spans="1:16" x14ac:dyDescent="0.25">
      <c r="A10777" t="s">
        <v>33449</v>
      </c>
      <c r="B10777" t="s">
        <v>8078</v>
      </c>
      <c r="C10777" t="str">
        <f>"CRACKED - DEAN 32"""</f>
        <v>CRACKED - DEAN 32"</v>
      </c>
      <c r="D10777" t="str">
        <f>"6402"</f>
        <v>6402</v>
      </c>
      <c r="E10777" t="s">
        <v>8080</v>
      </c>
      <c r="F10777" t="s">
        <v>3670</v>
      </c>
      <c r="G10777" t="s">
        <v>16231</v>
      </c>
      <c r="I10777" t="s">
        <v>47136</v>
      </c>
      <c r="J10777" t="s">
        <v>47137</v>
      </c>
      <c r="K10777" t="s">
        <v>47113</v>
      </c>
      <c r="L10777">
        <v>28.69</v>
      </c>
      <c r="M10777">
        <v>74</v>
      </c>
      <c r="N10777">
        <v>0</v>
      </c>
      <c r="O10777">
        <v>74</v>
      </c>
      <c r="P10777">
        <v>0</v>
      </c>
    </row>
    <row r="10778" spans="1:16" x14ac:dyDescent="0.25">
      <c r="A10778" t="s">
        <v>33450</v>
      </c>
      <c r="B10778" t="s">
        <v>8081</v>
      </c>
      <c r="C10778" t="s">
        <v>8082</v>
      </c>
      <c r="D10778" t="str">
        <f>"1001"</f>
        <v>1001</v>
      </c>
      <c r="E10778" t="s">
        <v>8083</v>
      </c>
      <c r="F10778" t="s">
        <v>3546</v>
      </c>
      <c r="G10778" t="s">
        <v>16234</v>
      </c>
      <c r="H10778" t="s">
        <v>47054</v>
      </c>
      <c r="I10778" t="s">
        <v>47120</v>
      </c>
      <c r="J10778" t="s">
        <v>47121</v>
      </c>
      <c r="K10778" t="s">
        <v>47113</v>
      </c>
      <c r="L10778">
        <v>44.14</v>
      </c>
      <c r="M10778">
        <v>109</v>
      </c>
      <c r="N10778">
        <v>0</v>
      </c>
      <c r="O10778">
        <v>109</v>
      </c>
      <c r="P10778">
        <v>0</v>
      </c>
    </row>
    <row r="10779" spans="1:16" x14ac:dyDescent="0.25">
      <c r="A10779" t="s">
        <v>33451</v>
      </c>
      <c r="B10779" t="s">
        <v>8081</v>
      </c>
      <c r="C10779" t="s">
        <v>8082</v>
      </c>
      <c r="D10779" t="str">
        <f>"1497"</f>
        <v>1497</v>
      </c>
      <c r="E10779" t="s">
        <v>8084</v>
      </c>
      <c r="F10779" t="s">
        <v>3546</v>
      </c>
      <c r="G10779" t="s">
        <v>16234</v>
      </c>
      <c r="H10779" t="s">
        <v>47054</v>
      </c>
      <c r="I10779" t="s">
        <v>47120</v>
      </c>
      <c r="J10779" t="s">
        <v>47121</v>
      </c>
      <c r="K10779" t="s">
        <v>47113</v>
      </c>
      <c r="L10779">
        <v>44.14</v>
      </c>
      <c r="M10779">
        <v>109</v>
      </c>
      <c r="N10779">
        <v>0</v>
      </c>
      <c r="O10779">
        <v>109</v>
      </c>
      <c r="P10779">
        <v>0</v>
      </c>
    </row>
    <row r="10780" spans="1:16" x14ac:dyDescent="0.25">
      <c r="A10780" t="s">
        <v>33452</v>
      </c>
      <c r="B10780" t="s">
        <v>8081</v>
      </c>
      <c r="C10780" t="s">
        <v>8082</v>
      </c>
      <c r="D10780" t="str">
        <f>"2385"</f>
        <v>2385</v>
      </c>
      <c r="E10780" t="s">
        <v>8085</v>
      </c>
      <c r="F10780" t="s">
        <v>3546</v>
      </c>
      <c r="G10780" t="s">
        <v>16234</v>
      </c>
      <c r="H10780" t="s">
        <v>47054</v>
      </c>
      <c r="I10780" t="s">
        <v>47120</v>
      </c>
      <c r="J10780" t="s">
        <v>47121</v>
      </c>
      <c r="K10780" t="s">
        <v>47113</v>
      </c>
      <c r="L10780">
        <v>44.14</v>
      </c>
      <c r="M10780">
        <v>109</v>
      </c>
      <c r="N10780">
        <v>0</v>
      </c>
      <c r="O10780">
        <v>109</v>
      </c>
      <c r="P10780">
        <v>0</v>
      </c>
    </row>
    <row r="10781" spans="1:16" x14ac:dyDescent="0.25">
      <c r="A10781" t="s">
        <v>33453</v>
      </c>
      <c r="B10781" t="s">
        <v>8086</v>
      </c>
      <c r="C10781" t="s">
        <v>8087</v>
      </c>
      <c r="D10781" t="str">
        <f>"1130"</f>
        <v>1130</v>
      </c>
      <c r="E10781" t="s">
        <v>8088</v>
      </c>
      <c r="F10781" t="s">
        <v>3670</v>
      </c>
      <c r="G10781" t="s">
        <v>16233</v>
      </c>
      <c r="H10781" t="s">
        <v>47054</v>
      </c>
      <c r="I10781" t="s">
        <v>47136</v>
      </c>
      <c r="J10781" t="s">
        <v>47137</v>
      </c>
      <c r="K10781" t="s">
        <v>47113</v>
      </c>
      <c r="L10781">
        <v>28.96</v>
      </c>
      <c r="M10781">
        <v>63</v>
      </c>
      <c r="N10781">
        <v>0</v>
      </c>
      <c r="O10781">
        <v>63</v>
      </c>
      <c r="P10781">
        <v>0</v>
      </c>
    </row>
    <row r="10782" spans="1:16" x14ac:dyDescent="0.25">
      <c r="A10782" t="s">
        <v>33454</v>
      </c>
      <c r="B10782" t="s">
        <v>8086</v>
      </c>
      <c r="C10782" t="s">
        <v>8087</v>
      </c>
      <c r="D10782" t="str">
        <f>"1803"</f>
        <v>1803</v>
      </c>
      <c r="E10782" t="s">
        <v>8089</v>
      </c>
      <c r="F10782" t="s">
        <v>3670</v>
      </c>
      <c r="G10782" t="s">
        <v>16233</v>
      </c>
      <c r="H10782" t="s">
        <v>47054</v>
      </c>
      <c r="I10782" t="s">
        <v>47136</v>
      </c>
      <c r="J10782" t="s">
        <v>47137</v>
      </c>
      <c r="K10782" t="s">
        <v>47113</v>
      </c>
      <c r="L10782">
        <v>30.99</v>
      </c>
      <c r="M10782">
        <v>63</v>
      </c>
      <c r="N10782">
        <v>0</v>
      </c>
      <c r="O10782">
        <v>63</v>
      </c>
      <c r="P10782">
        <v>0</v>
      </c>
    </row>
    <row r="10783" spans="1:16" x14ac:dyDescent="0.25">
      <c r="A10783" t="s">
        <v>33455</v>
      </c>
      <c r="B10783" t="s">
        <v>8086</v>
      </c>
      <c r="C10783" t="s">
        <v>8087</v>
      </c>
      <c r="D10783" t="str">
        <f>"2512"</f>
        <v>2512</v>
      </c>
      <c r="E10783" t="s">
        <v>8090</v>
      </c>
      <c r="F10783" t="s">
        <v>3670</v>
      </c>
      <c r="G10783" t="s">
        <v>16233</v>
      </c>
      <c r="H10783" t="s">
        <v>47054</v>
      </c>
      <c r="I10783" t="s">
        <v>47136</v>
      </c>
      <c r="J10783" t="s">
        <v>47137</v>
      </c>
      <c r="K10783" t="s">
        <v>47113</v>
      </c>
      <c r="L10783">
        <v>30.99</v>
      </c>
      <c r="M10783">
        <v>63</v>
      </c>
      <c r="N10783">
        <v>0</v>
      </c>
      <c r="O10783">
        <v>63</v>
      </c>
      <c r="P10783">
        <v>0</v>
      </c>
    </row>
    <row r="10784" spans="1:16" x14ac:dyDescent="0.25">
      <c r="A10784" t="s">
        <v>33456</v>
      </c>
      <c r="B10784" t="s">
        <v>8086</v>
      </c>
      <c r="C10784" t="s">
        <v>8087</v>
      </c>
      <c r="D10784" t="str">
        <f>"6117"</f>
        <v>6117</v>
      </c>
      <c r="E10784" t="s">
        <v>8091</v>
      </c>
      <c r="F10784" t="s">
        <v>3670</v>
      </c>
      <c r="G10784" t="s">
        <v>16233</v>
      </c>
      <c r="H10784" t="s">
        <v>47054</v>
      </c>
      <c r="I10784" t="s">
        <v>47136</v>
      </c>
      <c r="J10784" t="s">
        <v>47137</v>
      </c>
      <c r="K10784" t="s">
        <v>47113</v>
      </c>
      <c r="L10784">
        <v>30.99</v>
      </c>
      <c r="M10784">
        <v>63</v>
      </c>
      <c r="N10784">
        <v>0</v>
      </c>
      <c r="O10784">
        <v>63</v>
      </c>
      <c r="P10784">
        <v>0</v>
      </c>
    </row>
    <row r="10785" spans="1:16" x14ac:dyDescent="0.25">
      <c r="A10785" t="s">
        <v>33457</v>
      </c>
      <c r="B10785" t="s">
        <v>8092</v>
      </c>
      <c r="C10785" t="s">
        <v>8093</v>
      </c>
      <c r="D10785" t="str">
        <f>"1315"</f>
        <v>1315</v>
      </c>
      <c r="E10785" t="s">
        <v>8094</v>
      </c>
      <c r="F10785" t="s">
        <v>3558</v>
      </c>
      <c r="G10785" t="s">
        <v>16233</v>
      </c>
      <c r="H10785" t="s">
        <v>47054</v>
      </c>
      <c r="I10785" t="s">
        <v>47136</v>
      </c>
      <c r="J10785" t="s">
        <v>47137</v>
      </c>
      <c r="K10785" t="s">
        <v>47113</v>
      </c>
      <c r="L10785">
        <v>24.48</v>
      </c>
      <c r="M10785">
        <v>59</v>
      </c>
      <c r="N10785">
        <v>0</v>
      </c>
      <c r="O10785">
        <v>59</v>
      </c>
      <c r="P10785">
        <v>0</v>
      </c>
    </row>
    <row r="10786" spans="1:16" x14ac:dyDescent="0.25">
      <c r="A10786" t="s">
        <v>33458</v>
      </c>
      <c r="B10786" t="s">
        <v>8092</v>
      </c>
      <c r="C10786" t="s">
        <v>8093</v>
      </c>
      <c r="D10786" t="str">
        <f>"6497"</f>
        <v>6497</v>
      </c>
      <c r="E10786" t="s">
        <v>8095</v>
      </c>
      <c r="F10786" t="s">
        <v>3558</v>
      </c>
      <c r="G10786" t="s">
        <v>16233</v>
      </c>
      <c r="H10786" t="s">
        <v>47054</v>
      </c>
      <c r="I10786" t="s">
        <v>47136</v>
      </c>
      <c r="J10786" t="s">
        <v>47137</v>
      </c>
      <c r="K10786" t="s">
        <v>47113</v>
      </c>
      <c r="L10786">
        <v>24.48</v>
      </c>
      <c r="M10786">
        <v>59</v>
      </c>
      <c r="N10786">
        <v>0</v>
      </c>
      <c r="O10786">
        <v>59</v>
      </c>
      <c r="P10786">
        <v>0</v>
      </c>
    </row>
    <row r="10787" spans="1:16" x14ac:dyDescent="0.25">
      <c r="A10787" t="s">
        <v>33459</v>
      </c>
      <c r="B10787" t="s">
        <v>8096</v>
      </c>
      <c r="C10787" t="s">
        <v>8097</v>
      </c>
      <c r="D10787" t="str">
        <f>"1123"</f>
        <v>1123</v>
      </c>
      <c r="E10787" t="s">
        <v>8098</v>
      </c>
      <c r="F10787" t="s">
        <v>3670</v>
      </c>
      <c r="G10787" t="s">
        <v>16233</v>
      </c>
      <c r="H10787" t="s">
        <v>47054</v>
      </c>
      <c r="I10787" t="s">
        <v>47136</v>
      </c>
      <c r="J10787" t="s">
        <v>47137</v>
      </c>
      <c r="K10787" t="s">
        <v>47113</v>
      </c>
      <c r="L10787">
        <v>28.3</v>
      </c>
      <c r="M10787">
        <v>70</v>
      </c>
      <c r="N10787">
        <v>0</v>
      </c>
      <c r="O10787">
        <v>70</v>
      </c>
      <c r="P10787">
        <v>0</v>
      </c>
    </row>
    <row r="10788" spans="1:16" x14ac:dyDescent="0.25">
      <c r="A10788" t="s">
        <v>33460</v>
      </c>
      <c r="B10788" t="s">
        <v>8096</v>
      </c>
      <c r="C10788" t="s">
        <v>8097</v>
      </c>
      <c r="D10788" t="str">
        <f>"1216"</f>
        <v>1216</v>
      </c>
      <c r="E10788" t="s">
        <v>8099</v>
      </c>
      <c r="F10788" t="s">
        <v>3670</v>
      </c>
      <c r="G10788" t="s">
        <v>16233</v>
      </c>
      <c r="H10788" t="s">
        <v>47054</v>
      </c>
      <c r="I10788" t="s">
        <v>47136</v>
      </c>
      <c r="J10788" t="s">
        <v>47137</v>
      </c>
      <c r="K10788" t="s">
        <v>47113</v>
      </c>
      <c r="L10788">
        <v>28.3</v>
      </c>
      <c r="M10788">
        <v>70</v>
      </c>
      <c r="N10788">
        <v>0</v>
      </c>
      <c r="O10788">
        <v>70</v>
      </c>
      <c r="P10788">
        <v>0</v>
      </c>
    </row>
    <row r="10789" spans="1:16" x14ac:dyDescent="0.25">
      <c r="A10789" t="s">
        <v>33461</v>
      </c>
      <c r="B10789" t="s">
        <v>8100</v>
      </c>
      <c r="C10789" t="str">
        <f>"CRACKED - GENO 34"""</f>
        <v>CRACKED - GENO 34"</v>
      </c>
      <c r="D10789" t="str">
        <f>"1118"</f>
        <v>1118</v>
      </c>
      <c r="E10789" t="s">
        <v>8079</v>
      </c>
      <c r="F10789" t="s">
        <v>3670</v>
      </c>
      <c r="G10789" t="s">
        <v>16231</v>
      </c>
      <c r="I10789" t="s">
        <v>47136</v>
      </c>
      <c r="J10789" t="s">
        <v>47137</v>
      </c>
      <c r="K10789" t="s">
        <v>47113</v>
      </c>
      <c r="L10789">
        <v>28.54</v>
      </c>
      <c r="M10789">
        <v>74</v>
      </c>
      <c r="N10789">
        <v>0</v>
      </c>
      <c r="O10789">
        <v>74</v>
      </c>
      <c r="P10789">
        <v>0</v>
      </c>
    </row>
    <row r="10790" spans="1:16" x14ac:dyDescent="0.25">
      <c r="A10790" t="s">
        <v>33462</v>
      </c>
      <c r="B10790" t="s">
        <v>8100</v>
      </c>
      <c r="C10790" t="str">
        <f>"CRACKED - GENO 34"""</f>
        <v>CRACKED - GENO 34"</v>
      </c>
      <c r="D10790" t="str">
        <f>"6402"</f>
        <v>6402</v>
      </c>
      <c r="E10790" t="s">
        <v>8080</v>
      </c>
      <c r="F10790" t="s">
        <v>3670</v>
      </c>
      <c r="G10790" t="s">
        <v>16231</v>
      </c>
      <c r="I10790" t="s">
        <v>47136</v>
      </c>
      <c r="J10790" t="s">
        <v>47137</v>
      </c>
      <c r="K10790" t="s">
        <v>47113</v>
      </c>
      <c r="L10790">
        <v>28.54</v>
      </c>
      <c r="M10790">
        <v>74</v>
      </c>
      <c r="N10790">
        <v>0</v>
      </c>
      <c r="O10790">
        <v>74</v>
      </c>
      <c r="P10790">
        <v>0</v>
      </c>
    </row>
    <row r="10791" spans="1:16" x14ac:dyDescent="0.25">
      <c r="A10791" t="s">
        <v>33463</v>
      </c>
      <c r="B10791" t="s">
        <v>8101</v>
      </c>
      <c r="C10791" t="s">
        <v>8102</v>
      </c>
      <c r="D10791" t="str">
        <f>"1100"</f>
        <v>1100</v>
      </c>
      <c r="E10791" t="s">
        <v>54</v>
      </c>
      <c r="F10791" t="s">
        <v>5</v>
      </c>
      <c r="G10791" t="s">
        <v>16234</v>
      </c>
      <c r="H10791" t="s">
        <v>47054</v>
      </c>
      <c r="I10791" t="s">
        <v>47120</v>
      </c>
      <c r="J10791" t="s">
        <v>47121</v>
      </c>
      <c r="K10791" t="s">
        <v>47113</v>
      </c>
      <c r="L10791">
        <v>36.97</v>
      </c>
      <c r="M10791">
        <v>80</v>
      </c>
      <c r="N10791">
        <v>0</v>
      </c>
      <c r="O10791">
        <v>80</v>
      </c>
      <c r="P10791">
        <v>0</v>
      </c>
    </row>
    <row r="10792" spans="1:16" x14ac:dyDescent="0.25">
      <c r="A10792" t="s">
        <v>33464</v>
      </c>
      <c r="B10792" t="s">
        <v>8101</v>
      </c>
      <c r="C10792" t="s">
        <v>8102</v>
      </c>
      <c r="D10792" t="str">
        <f>"4823"</f>
        <v>4823</v>
      </c>
      <c r="E10792" t="s">
        <v>8103</v>
      </c>
      <c r="F10792" t="s">
        <v>5</v>
      </c>
      <c r="G10792" t="s">
        <v>16234</v>
      </c>
      <c r="H10792" t="s">
        <v>47054</v>
      </c>
      <c r="I10792" t="s">
        <v>47120</v>
      </c>
      <c r="J10792" t="s">
        <v>47121</v>
      </c>
      <c r="K10792" t="s">
        <v>47113</v>
      </c>
      <c r="L10792">
        <v>36.97</v>
      </c>
      <c r="M10792">
        <v>88</v>
      </c>
      <c r="N10792">
        <v>0</v>
      </c>
      <c r="O10792">
        <v>88</v>
      </c>
      <c r="P10792">
        <v>0</v>
      </c>
    </row>
    <row r="10793" spans="1:16" x14ac:dyDescent="0.25">
      <c r="A10793" t="s">
        <v>33465</v>
      </c>
      <c r="B10793" t="s">
        <v>8101</v>
      </c>
      <c r="C10793" t="s">
        <v>8102</v>
      </c>
      <c r="D10793" t="str">
        <f>"7279"</f>
        <v>7279</v>
      </c>
      <c r="E10793" t="s">
        <v>8104</v>
      </c>
      <c r="F10793" t="s">
        <v>5</v>
      </c>
      <c r="G10793" t="s">
        <v>16234</v>
      </c>
      <c r="H10793" t="s">
        <v>47054</v>
      </c>
      <c r="I10793" t="s">
        <v>47120</v>
      </c>
      <c r="J10793" t="s">
        <v>47121</v>
      </c>
      <c r="K10793" t="s">
        <v>47113</v>
      </c>
      <c r="L10793">
        <v>36.97</v>
      </c>
      <c r="M10793">
        <v>88</v>
      </c>
      <c r="N10793">
        <v>0</v>
      </c>
      <c r="O10793">
        <v>88</v>
      </c>
      <c r="P10793">
        <v>0</v>
      </c>
    </row>
    <row r="10794" spans="1:16" x14ac:dyDescent="0.25">
      <c r="A10794" t="s">
        <v>33466</v>
      </c>
      <c r="B10794" t="s">
        <v>8105</v>
      </c>
      <c r="C10794" t="s">
        <v>8106</v>
      </c>
      <c r="D10794" t="str">
        <f>"1363"</f>
        <v>1363</v>
      </c>
      <c r="E10794" t="s">
        <v>8107</v>
      </c>
      <c r="F10794" t="s">
        <v>2</v>
      </c>
      <c r="G10794" t="s">
        <v>16234</v>
      </c>
      <c r="H10794" t="s">
        <v>47054</v>
      </c>
      <c r="I10794" t="s">
        <v>47136</v>
      </c>
      <c r="J10794" t="s">
        <v>47137</v>
      </c>
      <c r="K10794" t="s">
        <v>47113</v>
      </c>
      <c r="L10794">
        <v>32.909999999999997</v>
      </c>
      <c r="M10794">
        <v>80</v>
      </c>
      <c r="N10794">
        <v>0</v>
      </c>
      <c r="O10794">
        <v>80</v>
      </c>
      <c r="P10794">
        <v>0</v>
      </c>
    </row>
    <row r="10795" spans="1:16" x14ac:dyDescent="0.25">
      <c r="A10795" t="s">
        <v>33467</v>
      </c>
      <c r="B10795" t="s">
        <v>8105</v>
      </c>
      <c r="C10795" t="s">
        <v>8106</v>
      </c>
      <c r="D10795" t="str">
        <f>"1919"</f>
        <v>1919</v>
      </c>
      <c r="E10795" t="s">
        <v>8108</v>
      </c>
      <c r="F10795" t="s">
        <v>2</v>
      </c>
      <c r="G10795" t="s">
        <v>16234</v>
      </c>
      <c r="H10795" t="s">
        <v>47054</v>
      </c>
      <c r="I10795" t="s">
        <v>47136</v>
      </c>
      <c r="J10795" t="s">
        <v>47137</v>
      </c>
      <c r="K10795" t="s">
        <v>47113</v>
      </c>
      <c r="L10795">
        <v>37.19</v>
      </c>
      <c r="M10795">
        <v>80</v>
      </c>
      <c r="N10795">
        <v>0</v>
      </c>
      <c r="O10795">
        <v>80</v>
      </c>
      <c r="P10795">
        <v>0</v>
      </c>
    </row>
    <row r="10796" spans="1:16" x14ac:dyDescent="0.25">
      <c r="A10796" t="s">
        <v>33468</v>
      </c>
      <c r="B10796" t="s">
        <v>8105</v>
      </c>
      <c r="C10796" t="s">
        <v>8106</v>
      </c>
      <c r="D10796" t="str">
        <f>"2642"</f>
        <v>2642</v>
      </c>
      <c r="E10796" t="s">
        <v>8071</v>
      </c>
      <c r="F10796" t="s">
        <v>2</v>
      </c>
      <c r="G10796" t="s">
        <v>16234</v>
      </c>
      <c r="H10796" t="s">
        <v>47054</v>
      </c>
      <c r="I10796" t="s">
        <v>47136</v>
      </c>
      <c r="J10796" t="s">
        <v>47137</v>
      </c>
      <c r="K10796" t="s">
        <v>47113</v>
      </c>
      <c r="L10796">
        <v>32.909999999999997</v>
      </c>
      <c r="M10796">
        <v>80</v>
      </c>
      <c r="N10796">
        <v>0</v>
      </c>
      <c r="O10796">
        <v>80</v>
      </c>
      <c r="P10796">
        <v>0</v>
      </c>
    </row>
    <row r="10797" spans="1:16" x14ac:dyDescent="0.25">
      <c r="A10797" t="s">
        <v>33469</v>
      </c>
      <c r="B10797" t="s">
        <v>8105</v>
      </c>
      <c r="C10797" t="s">
        <v>8106</v>
      </c>
      <c r="D10797" t="str">
        <f>"3411"</f>
        <v>3411</v>
      </c>
      <c r="E10797" t="s">
        <v>8109</v>
      </c>
      <c r="F10797" t="s">
        <v>2</v>
      </c>
      <c r="G10797" t="s">
        <v>16234</v>
      </c>
      <c r="H10797" t="s">
        <v>47054</v>
      </c>
      <c r="I10797" t="s">
        <v>47136</v>
      </c>
      <c r="J10797" t="s">
        <v>47137</v>
      </c>
      <c r="K10797" t="s">
        <v>47113</v>
      </c>
      <c r="L10797">
        <v>32.909999999999997</v>
      </c>
      <c r="M10797">
        <v>80</v>
      </c>
      <c r="N10797">
        <v>0</v>
      </c>
      <c r="O10797">
        <v>80</v>
      </c>
      <c r="P10797">
        <v>0</v>
      </c>
    </row>
    <row r="10798" spans="1:16" x14ac:dyDescent="0.25">
      <c r="A10798" t="s">
        <v>33470</v>
      </c>
      <c r="B10798" t="s">
        <v>8105</v>
      </c>
      <c r="C10798" t="s">
        <v>8106</v>
      </c>
      <c r="D10798" t="str">
        <f>"4562"</f>
        <v>4562</v>
      </c>
      <c r="E10798" t="s">
        <v>8110</v>
      </c>
      <c r="F10798" t="s">
        <v>2</v>
      </c>
      <c r="G10798" t="s">
        <v>16234</v>
      </c>
      <c r="H10798" t="s">
        <v>47054</v>
      </c>
      <c r="I10798" t="s">
        <v>47136</v>
      </c>
      <c r="J10798" t="s">
        <v>47137</v>
      </c>
      <c r="K10798" t="s">
        <v>47113</v>
      </c>
      <c r="L10798">
        <v>37.19</v>
      </c>
      <c r="M10798">
        <v>80</v>
      </c>
      <c r="N10798">
        <v>0</v>
      </c>
      <c r="O10798">
        <v>80</v>
      </c>
      <c r="P10798">
        <v>0</v>
      </c>
    </row>
    <row r="10799" spans="1:16" x14ac:dyDescent="0.25">
      <c r="A10799" t="s">
        <v>33471</v>
      </c>
      <c r="B10799" t="s">
        <v>8105</v>
      </c>
      <c r="C10799" t="s">
        <v>8106</v>
      </c>
      <c r="D10799" t="str">
        <f>"7434"</f>
        <v>7434</v>
      </c>
      <c r="E10799" t="s">
        <v>8111</v>
      </c>
      <c r="F10799" t="s">
        <v>2</v>
      </c>
      <c r="G10799" t="s">
        <v>16234</v>
      </c>
      <c r="H10799" t="s">
        <v>47054</v>
      </c>
      <c r="I10799" t="s">
        <v>47136</v>
      </c>
      <c r="J10799" t="s">
        <v>47137</v>
      </c>
      <c r="K10799" t="s">
        <v>47113</v>
      </c>
      <c r="L10799">
        <v>37.19</v>
      </c>
      <c r="M10799">
        <v>80</v>
      </c>
      <c r="N10799">
        <v>0</v>
      </c>
      <c r="O10799">
        <v>80</v>
      </c>
      <c r="P10799">
        <v>0</v>
      </c>
    </row>
    <row r="10800" spans="1:16" x14ac:dyDescent="0.25">
      <c r="A10800" t="s">
        <v>33472</v>
      </c>
      <c r="B10800" t="s">
        <v>8112</v>
      </c>
      <c r="C10800" t="s">
        <v>8113</v>
      </c>
      <c r="D10800" t="str">
        <f>"1363"</f>
        <v>1363</v>
      </c>
      <c r="E10800" t="s">
        <v>8107</v>
      </c>
      <c r="F10800" t="s">
        <v>2</v>
      </c>
      <c r="G10800" t="s">
        <v>16233</v>
      </c>
      <c r="H10800" t="s">
        <v>47054</v>
      </c>
      <c r="I10800" t="s">
        <v>47136</v>
      </c>
      <c r="J10800" t="s">
        <v>47137</v>
      </c>
      <c r="K10800" t="s">
        <v>47113</v>
      </c>
      <c r="L10800">
        <v>33.47</v>
      </c>
      <c r="M10800">
        <v>70</v>
      </c>
      <c r="N10800">
        <v>0</v>
      </c>
      <c r="O10800">
        <v>70</v>
      </c>
      <c r="P10800">
        <v>0</v>
      </c>
    </row>
    <row r="10801" spans="1:16" x14ac:dyDescent="0.25">
      <c r="A10801" t="s">
        <v>33473</v>
      </c>
      <c r="B10801" t="s">
        <v>8112</v>
      </c>
      <c r="C10801" t="s">
        <v>8113</v>
      </c>
      <c r="D10801" t="str">
        <f>"1919"</f>
        <v>1919</v>
      </c>
      <c r="E10801" t="s">
        <v>8108</v>
      </c>
      <c r="F10801" t="s">
        <v>2</v>
      </c>
      <c r="G10801" t="s">
        <v>16233</v>
      </c>
      <c r="H10801" t="s">
        <v>47054</v>
      </c>
      <c r="I10801" t="s">
        <v>47136</v>
      </c>
      <c r="J10801" t="s">
        <v>47137</v>
      </c>
      <c r="K10801" t="s">
        <v>47113</v>
      </c>
      <c r="L10801">
        <v>32.909999999999997</v>
      </c>
      <c r="M10801">
        <v>70</v>
      </c>
      <c r="N10801">
        <v>0</v>
      </c>
      <c r="O10801">
        <v>70</v>
      </c>
      <c r="P10801">
        <v>0</v>
      </c>
    </row>
    <row r="10802" spans="1:16" x14ac:dyDescent="0.25">
      <c r="A10802" t="s">
        <v>33474</v>
      </c>
      <c r="B10802" t="s">
        <v>8112</v>
      </c>
      <c r="C10802" t="s">
        <v>8113</v>
      </c>
      <c r="D10802" t="str">
        <f>"2642"</f>
        <v>2642</v>
      </c>
      <c r="E10802" t="s">
        <v>8071</v>
      </c>
      <c r="F10802" t="s">
        <v>2</v>
      </c>
      <c r="G10802" t="s">
        <v>16233</v>
      </c>
      <c r="H10802" t="s">
        <v>47054</v>
      </c>
      <c r="I10802" t="s">
        <v>47136</v>
      </c>
      <c r="J10802" t="s">
        <v>47137</v>
      </c>
      <c r="K10802" t="s">
        <v>47113</v>
      </c>
      <c r="L10802">
        <v>33.47</v>
      </c>
      <c r="M10802">
        <v>70</v>
      </c>
      <c r="N10802">
        <v>0</v>
      </c>
      <c r="O10802">
        <v>70</v>
      </c>
      <c r="P10802">
        <v>0</v>
      </c>
    </row>
    <row r="10803" spans="1:16" x14ac:dyDescent="0.25">
      <c r="A10803" t="s">
        <v>33475</v>
      </c>
      <c r="B10803" t="s">
        <v>8112</v>
      </c>
      <c r="C10803" t="s">
        <v>8113</v>
      </c>
      <c r="D10803" t="str">
        <f>"3411"</f>
        <v>3411</v>
      </c>
      <c r="E10803" t="s">
        <v>8109</v>
      </c>
      <c r="F10803" t="s">
        <v>2</v>
      </c>
      <c r="G10803" t="s">
        <v>16233</v>
      </c>
      <c r="H10803" t="s">
        <v>47054</v>
      </c>
      <c r="I10803" t="s">
        <v>47136</v>
      </c>
      <c r="J10803" t="s">
        <v>47137</v>
      </c>
      <c r="K10803" t="s">
        <v>47113</v>
      </c>
      <c r="L10803">
        <v>33.47</v>
      </c>
      <c r="M10803">
        <v>70</v>
      </c>
      <c r="N10803">
        <v>0</v>
      </c>
      <c r="O10803">
        <v>70</v>
      </c>
      <c r="P10803">
        <v>0</v>
      </c>
    </row>
    <row r="10804" spans="1:16" x14ac:dyDescent="0.25">
      <c r="A10804" t="s">
        <v>33476</v>
      </c>
      <c r="B10804" t="s">
        <v>8112</v>
      </c>
      <c r="C10804" t="s">
        <v>8113</v>
      </c>
      <c r="D10804" t="str">
        <f>"4562"</f>
        <v>4562</v>
      </c>
      <c r="E10804" t="s">
        <v>8110</v>
      </c>
      <c r="F10804" t="s">
        <v>2</v>
      </c>
      <c r="G10804" t="s">
        <v>16233</v>
      </c>
      <c r="H10804" t="s">
        <v>47054</v>
      </c>
      <c r="I10804" t="s">
        <v>47136</v>
      </c>
      <c r="J10804" t="s">
        <v>47137</v>
      </c>
      <c r="K10804" t="s">
        <v>47113</v>
      </c>
      <c r="L10804">
        <v>32.909999999999997</v>
      </c>
      <c r="M10804">
        <v>70</v>
      </c>
      <c r="N10804">
        <v>0</v>
      </c>
      <c r="O10804">
        <v>70</v>
      </c>
      <c r="P10804">
        <v>0</v>
      </c>
    </row>
    <row r="10805" spans="1:16" x14ac:dyDescent="0.25">
      <c r="A10805" t="s">
        <v>33477</v>
      </c>
      <c r="B10805" t="s">
        <v>8112</v>
      </c>
      <c r="C10805" t="s">
        <v>8113</v>
      </c>
      <c r="D10805" t="str">
        <f>"7434"</f>
        <v>7434</v>
      </c>
      <c r="E10805" t="s">
        <v>8111</v>
      </c>
      <c r="F10805" t="s">
        <v>2</v>
      </c>
      <c r="G10805" t="s">
        <v>16233</v>
      </c>
      <c r="H10805" t="s">
        <v>47054</v>
      </c>
      <c r="I10805" t="s">
        <v>47136</v>
      </c>
      <c r="J10805" t="s">
        <v>47137</v>
      </c>
      <c r="K10805" t="s">
        <v>47113</v>
      </c>
      <c r="L10805">
        <v>32.909999999999997</v>
      </c>
      <c r="M10805">
        <v>70</v>
      </c>
      <c r="N10805">
        <v>0</v>
      </c>
      <c r="O10805">
        <v>70</v>
      </c>
      <c r="P10805">
        <v>0</v>
      </c>
    </row>
    <row r="10806" spans="1:16" x14ac:dyDescent="0.25">
      <c r="A10806" t="s">
        <v>33478</v>
      </c>
      <c r="B10806" t="s">
        <v>8114</v>
      </c>
      <c r="C10806" t="s">
        <v>8115</v>
      </c>
      <c r="D10806" t="str">
        <f>"1918"</f>
        <v>1918</v>
      </c>
      <c r="E10806" t="s">
        <v>8116</v>
      </c>
      <c r="F10806" t="s">
        <v>2</v>
      </c>
      <c r="G10806" t="s">
        <v>16234</v>
      </c>
      <c r="H10806" t="s">
        <v>47054</v>
      </c>
      <c r="I10806" t="s">
        <v>47136</v>
      </c>
      <c r="J10806" t="s">
        <v>47137</v>
      </c>
      <c r="K10806" t="s">
        <v>47113</v>
      </c>
      <c r="L10806">
        <v>32.909999999999997</v>
      </c>
      <c r="M10806">
        <v>120</v>
      </c>
      <c r="N10806">
        <v>0</v>
      </c>
      <c r="O10806">
        <v>120</v>
      </c>
      <c r="P10806">
        <v>0</v>
      </c>
    </row>
    <row r="10807" spans="1:16" x14ac:dyDescent="0.25">
      <c r="A10807" t="s">
        <v>33479</v>
      </c>
      <c r="B10807" t="s">
        <v>8114</v>
      </c>
      <c r="C10807" t="s">
        <v>8115</v>
      </c>
      <c r="D10807" t="str">
        <f>"2641"</f>
        <v>2641</v>
      </c>
      <c r="E10807" t="s">
        <v>8117</v>
      </c>
      <c r="F10807" t="s">
        <v>2</v>
      </c>
      <c r="G10807" t="s">
        <v>16234</v>
      </c>
      <c r="H10807" t="s">
        <v>47054</v>
      </c>
      <c r="I10807" t="s">
        <v>47136</v>
      </c>
      <c r="J10807" t="s">
        <v>47137</v>
      </c>
      <c r="K10807" t="s">
        <v>47113</v>
      </c>
      <c r="L10807">
        <v>37.880000000000003</v>
      </c>
      <c r="M10807">
        <v>120</v>
      </c>
      <c r="N10807">
        <v>0</v>
      </c>
      <c r="O10807">
        <v>120</v>
      </c>
      <c r="P10807">
        <v>0</v>
      </c>
    </row>
    <row r="10808" spans="1:16" x14ac:dyDescent="0.25">
      <c r="A10808" t="s">
        <v>33480</v>
      </c>
      <c r="B10808" t="s">
        <v>8114</v>
      </c>
      <c r="C10808" t="s">
        <v>8115</v>
      </c>
      <c r="D10808" t="str">
        <f>"3410"</f>
        <v>3410</v>
      </c>
      <c r="E10808" t="s">
        <v>8118</v>
      </c>
      <c r="F10808" t="s">
        <v>2</v>
      </c>
      <c r="G10808" t="s">
        <v>16234</v>
      </c>
      <c r="H10808" t="s">
        <v>47054</v>
      </c>
      <c r="I10808" t="s">
        <v>47136</v>
      </c>
      <c r="J10808" t="s">
        <v>47137</v>
      </c>
      <c r="K10808" t="s">
        <v>47113</v>
      </c>
      <c r="L10808">
        <v>37.880000000000003</v>
      </c>
      <c r="M10808">
        <v>120</v>
      </c>
      <c r="N10808">
        <v>0</v>
      </c>
      <c r="O10808">
        <v>120</v>
      </c>
      <c r="P10808">
        <v>0</v>
      </c>
    </row>
    <row r="10809" spans="1:16" x14ac:dyDescent="0.25">
      <c r="A10809" t="s">
        <v>33481</v>
      </c>
      <c r="B10809" t="s">
        <v>8114</v>
      </c>
      <c r="C10809" t="s">
        <v>8115</v>
      </c>
      <c r="D10809" t="str">
        <f>"4619"</f>
        <v>4619</v>
      </c>
      <c r="E10809" t="s">
        <v>8119</v>
      </c>
      <c r="F10809" t="s">
        <v>2</v>
      </c>
      <c r="G10809" t="s">
        <v>16234</v>
      </c>
      <c r="H10809" t="s">
        <v>47054</v>
      </c>
      <c r="I10809" t="s">
        <v>47136</v>
      </c>
      <c r="J10809" t="s">
        <v>47137</v>
      </c>
      <c r="K10809" t="s">
        <v>47113</v>
      </c>
      <c r="L10809">
        <v>32.909999999999997</v>
      </c>
      <c r="M10809">
        <v>120</v>
      </c>
      <c r="N10809">
        <v>0</v>
      </c>
      <c r="O10809">
        <v>120</v>
      </c>
      <c r="P10809">
        <v>0</v>
      </c>
    </row>
    <row r="10810" spans="1:16" x14ac:dyDescent="0.25">
      <c r="A10810" t="s">
        <v>33482</v>
      </c>
      <c r="B10810" t="s">
        <v>8114</v>
      </c>
      <c r="C10810" t="s">
        <v>8115</v>
      </c>
      <c r="D10810" t="str">
        <f>"6318"</f>
        <v>6318</v>
      </c>
      <c r="E10810" t="s">
        <v>8120</v>
      </c>
      <c r="F10810" t="s">
        <v>2</v>
      </c>
      <c r="G10810" t="s">
        <v>16234</v>
      </c>
      <c r="H10810" t="s">
        <v>47054</v>
      </c>
      <c r="I10810" t="s">
        <v>47136</v>
      </c>
      <c r="J10810" t="s">
        <v>47137</v>
      </c>
      <c r="K10810" t="s">
        <v>47113</v>
      </c>
      <c r="L10810">
        <v>32.909999999999997</v>
      </c>
      <c r="M10810">
        <v>120</v>
      </c>
      <c r="N10810">
        <v>0</v>
      </c>
      <c r="O10810">
        <v>120</v>
      </c>
      <c r="P10810">
        <v>0</v>
      </c>
    </row>
    <row r="10811" spans="1:16" x14ac:dyDescent="0.25">
      <c r="A10811" t="s">
        <v>33483</v>
      </c>
      <c r="B10811" t="s">
        <v>8114</v>
      </c>
      <c r="C10811" t="s">
        <v>8115</v>
      </c>
      <c r="D10811" t="str">
        <f>"7433"</f>
        <v>7433</v>
      </c>
      <c r="E10811" t="s">
        <v>8121</v>
      </c>
      <c r="F10811" t="s">
        <v>2</v>
      </c>
      <c r="G10811" t="s">
        <v>16234</v>
      </c>
      <c r="H10811" t="s">
        <v>47054</v>
      </c>
      <c r="I10811" t="s">
        <v>47136</v>
      </c>
      <c r="J10811" t="s">
        <v>47137</v>
      </c>
      <c r="K10811" t="s">
        <v>47113</v>
      </c>
      <c r="L10811">
        <v>37.880000000000003</v>
      </c>
      <c r="M10811">
        <v>120</v>
      </c>
      <c r="N10811">
        <v>0</v>
      </c>
      <c r="O10811">
        <v>120</v>
      </c>
      <c r="P10811">
        <v>0</v>
      </c>
    </row>
    <row r="10812" spans="1:16" x14ac:dyDescent="0.25">
      <c r="A10812" t="s">
        <v>33484</v>
      </c>
      <c r="B10812" t="s">
        <v>8122</v>
      </c>
      <c r="C10812" t="s">
        <v>6697</v>
      </c>
      <c r="D10812" t="str">
        <f>"1918"</f>
        <v>1918</v>
      </c>
      <c r="E10812" t="s">
        <v>8116</v>
      </c>
      <c r="F10812" t="s">
        <v>2</v>
      </c>
      <c r="G10812" t="s">
        <v>16233</v>
      </c>
      <c r="H10812" t="s">
        <v>47054</v>
      </c>
      <c r="I10812" t="s">
        <v>47136</v>
      </c>
      <c r="J10812" t="s">
        <v>47137</v>
      </c>
      <c r="K10812" t="s">
        <v>47113</v>
      </c>
      <c r="L10812">
        <v>34.32</v>
      </c>
      <c r="M10812">
        <v>120</v>
      </c>
      <c r="N10812">
        <v>0</v>
      </c>
      <c r="O10812">
        <v>120</v>
      </c>
      <c r="P10812">
        <v>0</v>
      </c>
    </row>
    <row r="10813" spans="1:16" x14ac:dyDescent="0.25">
      <c r="A10813" t="s">
        <v>33485</v>
      </c>
      <c r="B10813" t="s">
        <v>8122</v>
      </c>
      <c r="C10813" t="s">
        <v>6697</v>
      </c>
      <c r="D10813" t="str">
        <f>"2641"</f>
        <v>2641</v>
      </c>
      <c r="E10813" t="s">
        <v>8117</v>
      </c>
      <c r="F10813" t="s">
        <v>2</v>
      </c>
      <c r="G10813" t="s">
        <v>16233</v>
      </c>
      <c r="H10813" t="s">
        <v>47054</v>
      </c>
      <c r="I10813" t="s">
        <v>47136</v>
      </c>
      <c r="J10813" t="s">
        <v>47137</v>
      </c>
      <c r="K10813" t="s">
        <v>47113</v>
      </c>
      <c r="L10813">
        <v>32.909999999999997</v>
      </c>
      <c r="M10813">
        <v>120</v>
      </c>
      <c r="N10813">
        <v>0</v>
      </c>
      <c r="O10813">
        <v>120</v>
      </c>
      <c r="P10813">
        <v>0</v>
      </c>
    </row>
    <row r="10814" spans="1:16" x14ac:dyDescent="0.25">
      <c r="A10814" t="s">
        <v>33486</v>
      </c>
      <c r="B10814" t="s">
        <v>8122</v>
      </c>
      <c r="C10814" t="s">
        <v>6697</v>
      </c>
      <c r="D10814" t="str">
        <f>"3410"</f>
        <v>3410</v>
      </c>
      <c r="E10814" t="s">
        <v>8118</v>
      </c>
      <c r="F10814" t="s">
        <v>2</v>
      </c>
      <c r="G10814" t="s">
        <v>16233</v>
      </c>
      <c r="H10814" t="s">
        <v>47054</v>
      </c>
      <c r="I10814" t="s">
        <v>47136</v>
      </c>
      <c r="J10814" t="s">
        <v>47137</v>
      </c>
      <c r="K10814" t="s">
        <v>47113</v>
      </c>
      <c r="L10814">
        <v>34.32</v>
      </c>
      <c r="M10814">
        <v>120</v>
      </c>
      <c r="N10814">
        <v>0</v>
      </c>
      <c r="O10814">
        <v>120</v>
      </c>
      <c r="P10814">
        <v>0</v>
      </c>
    </row>
    <row r="10815" spans="1:16" x14ac:dyDescent="0.25">
      <c r="A10815" t="s">
        <v>33487</v>
      </c>
      <c r="B10815" t="s">
        <v>8122</v>
      </c>
      <c r="C10815" t="s">
        <v>6697</v>
      </c>
      <c r="D10815" t="str">
        <f>"4619"</f>
        <v>4619</v>
      </c>
      <c r="E10815" t="s">
        <v>8119</v>
      </c>
      <c r="F10815" t="s">
        <v>2</v>
      </c>
      <c r="G10815" t="s">
        <v>16233</v>
      </c>
      <c r="H10815" t="s">
        <v>47054</v>
      </c>
      <c r="I10815" t="s">
        <v>47136</v>
      </c>
      <c r="J10815" t="s">
        <v>47137</v>
      </c>
      <c r="K10815" t="s">
        <v>47113</v>
      </c>
      <c r="L10815">
        <v>34.32</v>
      </c>
      <c r="M10815">
        <v>120</v>
      </c>
      <c r="N10815">
        <v>0</v>
      </c>
      <c r="O10815">
        <v>120</v>
      </c>
      <c r="P10815">
        <v>0</v>
      </c>
    </row>
    <row r="10816" spans="1:16" x14ac:dyDescent="0.25">
      <c r="A10816" t="s">
        <v>33488</v>
      </c>
      <c r="B10816" t="s">
        <v>8122</v>
      </c>
      <c r="C10816" t="s">
        <v>6697</v>
      </c>
      <c r="D10816" t="str">
        <f>"6318"</f>
        <v>6318</v>
      </c>
      <c r="E10816" t="s">
        <v>8120</v>
      </c>
      <c r="F10816" t="s">
        <v>2</v>
      </c>
      <c r="G10816" t="s">
        <v>16233</v>
      </c>
      <c r="H10816" t="s">
        <v>47054</v>
      </c>
      <c r="I10816" t="s">
        <v>47136</v>
      </c>
      <c r="J10816" t="s">
        <v>47137</v>
      </c>
      <c r="K10816" t="s">
        <v>47113</v>
      </c>
      <c r="L10816">
        <v>34.32</v>
      </c>
      <c r="M10816">
        <v>120</v>
      </c>
      <c r="N10816">
        <v>0</v>
      </c>
      <c r="O10816">
        <v>120</v>
      </c>
      <c r="P10816">
        <v>0</v>
      </c>
    </row>
    <row r="10817" spans="1:16" x14ac:dyDescent="0.25">
      <c r="A10817" t="s">
        <v>33489</v>
      </c>
      <c r="B10817" t="s">
        <v>8122</v>
      </c>
      <c r="C10817" t="s">
        <v>6697</v>
      </c>
      <c r="D10817" t="str">
        <f>"7433"</f>
        <v>7433</v>
      </c>
      <c r="E10817" t="s">
        <v>8121</v>
      </c>
      <c r="F10817" t="s">
        <v>2</v>
      </c>
      <c r="G10817" t="s">
        <v>16233</v>
      </c>
      <c r="H10817" t="s">
        <v>47054</v>
      </c>
      <c r="I10817" t="s">
        <v>47136</v>
      </c>
      <c r="J10817" t="s">
        <v>47137</v>
      </c>
      <c r="K10817" t="s">
        <v>47113</v>
      </c>
      <c r="L10817">
        <v>32.909999999999997</v>
      </c>
      <c r="M10817">
        <v>120</v>
      </c>
      <c r="N10817">
        <v>0</v>
      </c>
      <c r="O10817">
        <v>120</v>
      </c>
      <c r="P10817">
        <v>0</v>
      </c>
    </row>
    <row r="10818" spans="1:16" x14ac:dyDescent="0.25">
      <c r="A10818" t="s">
        <v>33490</v>
      </c>
      <c r="B10818" t="s">
        <v>8123</v>
      </c>
      <c r="C10818" t="s">
        <v>8124</v>
      </c>
      <c r="D10818" t="str">
        <f>"2175"</f>
        <v>2175</v>
      </c>
      <c r="E10818" t="s">
        <v>8125</v>
      </c>
      <c r="F10818" t="s">
        <v>0</v>
      </c>
      <c r="G10818" t="s">
        <v>16233</v>
      </c>
      <c r="H10818" t="s">
        <v>47054</v>
      </c>
      <c r="I10818" t="s">
        <v>47136</v>
      </c>
      <c r="J10818" t="s">
        <v>47137</v>
      </c>
      <c r="K10818" t="s">
        <v>47113</v>
      </c>
      <c r="L10818">
        <v>31.07</v>
      </c>
      <c r="M10818">
        <v>70</v>
      </c>
      <c r="N10818">
        <v>0</v>
      </c>
      <c r="O10818">
        <v>70</v>
      </c>
      <c r="P10818">
        <v>0</v>
      </c>
    </row>
    <row r="10819" spans="1:16" x14ac:dyDescent="0.25">
      <c r="A10819" t="s">
        <v>33491</v>
      </c>
      <c r="B10819" t="s">
        <v>8126</v>
      </c>
      <c r="C10819" t="s">
        <v>8127</v>
      </c>
      <c r="D10819" t="str">
        <f>"3441"</f>
        <v>3441</v>
      </c>
      <c r="E10819" t="s">
        <v>8128</v>
      </c>
      <c r="F10819" t="s">
        <v>5</v>
      </c>
      <c r="G10819" t="s">
        <v>16233</v>
      </c>
      <c r="H10819" t="s">
        <v>47054</v>
      </c>
      <c r="I10819" t="s">
        <v>47120</v>
      </c>
      <c r="J10819" t="s">
        <v>47121</v>
      </c>
      <c r="K10819" t="s">
        <v>47113</v>
      </c>
      <c r="L10819">
        <v>43.69</v>
      </c>
      <c r="M10819">
        <v>103</v>
      </c>
      <c r="N10819">
        <v>0</v>
      </c>
      <c r="O10819">
        <v>103</v>
      </c>
      <c r="P10819">
        <v>0</v>
      </c>
    </row>
    <row r="10820" spans="1:16" x14ac:dyDescent="0.25">
      <c r="A10820" t="s">
        <v>33492</v>
      </c>
      <c r="B10820" t="s">
        <v>8126</v>
      </c>
      <c r="C10820" t="s">
        <v>8127</v>
      </c>
      <c r="D10820" t="str">
        <f>"4822"</f>
        <v>4822</v>
      </c>
      <c r="E10820" t="s">
        <v>8129</v>
      </c>
      <c r="F10820" t="s">
        <v>5</v>
      </c>
      <c r="G10820" t="s">
        <v>16233</v>
      </c>
      <c r="H10820" t="s">
        <v>47054</v>
      </c>
      <c r="I10820" t="s">
        <v>47120</v>
      </c>
      <c r="J10820" t="s">
        <v>47121</v>
      </c>
      <c r="K10820" t="s">
        <v>47113</v>
      </c>
      <c r="L10820">
        <v>43.69</v>
      </c>
      <c r="M10820">
        <v>103</v>
      </c>
      <c r="N10820">
        <v>0</v>
      </c>
      <c r="O10820">
        <v>103</v>
      </c>
      <c r="P10820">
        <v>0</v>
      </c>
    </row>
    <row r="10821" spans="1:16" x14ac:dyDescent="0.25">
      <c r="A10821" t="s">
        <v>33493</v>
      </c>
      <c r="B10821" t="s">
        <v>8126</v>
      </c>
      <c r="C10821" t="s">
        <v>8127</v>
      </c>
      <c r="D10821" t="str">
        <f>"7278"</f>
        <v>7278</v>
      </c>
      <c r="E10821" t="s">
        <v>8130</v>
      </c>
      <c r="F10821" t="s">
        <v>5</v>
      </c>
      <c r="G10821" t="s">
        <v>16233</v>
      </c>
      <c r="H10821" t="s">
        <v>47054</v>
      </c>
      <c r="I10821" t="s">
        <v>47120</v>
      </c>
      <c r="J10821" t="s">
        <v>47121</v>
      </c>
      <c r="K10821" t="s">
        <v>47113</v>
      </c>
      <c r="L10821">
        <v>43.69</v>
      </c>
      <c r="M10821">
        <v>103</v>
      </c>
      <c r="N10821">
        <v>0</v>
      </c>
      <c r="O10821">
        <v>103</v>
      </c>
      <c r="P10821">
        <v>0</v>
      </c>
    </row>
    <row r="10822" spans="1:16" x14ac:dyDescent="0.25">
      <c r="A10822" t="s">
        <v>33494</v>
      </c>
      <c r="B10822" t="s">
        <v>8131</v>
      </c>
      <c r="C10822" t="s">
        <v>8132</v>
      </c>
      <c r="D10822" t="str">
        <f>"1100"</f>
        <v>1100</v>
      </c>
      <c r="E10822" t="s">
        <v>8133</v>
      </c>
      <c r="F10822" t="s">
        <v>5</v>
      </c>
      <c r="G10822" t="s">
        <v>16233</v>
      </c>
      <c r="H10822" t="s">
        <v>47054</v>
      </c>
      <c r="I10822" t="s">
        <v>47120</v>
      </c>
      <c r="J10822" t="s">
        <v>47121</v>
      </c>
      <c r="K10822" t="s">
        <v>47113</v>
      </c>
      <c r="L10822">
        <v>34.4</v>
      </c>
      <c r="M10822">
        <v>80</v>
      </c>
      <c r="N10822">
        <v>0</v>
      </c>
      <c r="O10822">
        <v>80</v>
      </c>
      <c r="P10822">
        <v>0</v>
      </c>
    </row>
    <row r="10823" spans="1:16" x14ac:dyDescent="0.25">
      <c r="A10823" t="s">
        <v>33495</v>
      </c>
      <c r="B10823" t="s">
        <v>8131</v>
      </c>
      <c r="C10823" t="s">
        <v>8132</v>
      </c>
      <c r="D10823" t="str">
        <f>"1847"</f>
        <v>1847</v>
      </c>
      <c r="E10823" t="s">
        <v>8134</v>
      </c>
      <c r="F10823" t="s">
        <v>4</v>
      </c>
      <c r="G10823" t="s">
        <v>16233</v>
      </c>
      <c r="H10823" t="s">
        <v>47054</v>
      </c>
      <c r="I10823" t="s">
        <v>47120</v>
      </c>
      <c r="J10823" t="s">
        <v>47121</v>
      </c>
      <c r="K10823" t="s">
        <v>47113</v>
      </c>
      <c r="L10823">
        <v>35.340000000000003</v>
      </c>
      <c r="M10823">
        <v>87</v>
      </c>
      <c r="N10823">
        <v>0</v>
      </c>
      <c r="O10823">
        <v>87</v>
      </c>
      <c r="P10823">
        <v>0</v>
      </c>
    </row>
    <row r="10824" spans="1:16" x14ac:dyDescent="0.25">
      <c r="A10824" t="s">
        <v>33496</v>
      </c>
      <c r="B10824" t="s">
        <v>8131</v>
      </c>
      <c r="C10824" t="s">
        <v>8132</v>
      </c>
      <c r="D10824" t="str">
        <f>"4338"</f>
        <v>4338</v>
      </c>
      <c r="E10824" t="s">
        <v>8135</v>
      </c>
      <c r="F10824" t="s">
        <v>5</v>
      </c>
      <c r="G10824" t="s">
        <v>16233</v>
      </c>
      <c r="H10824" t="s">
        <v>47054</v>
      </c>
      <c r="I10824" t="s">
        <v>47120</v>
      </c>
      <c r="J10824" t="s">
        <v>47121</v>
      </c>
      <c r="K10824" t="s">
        <v>47113</v>
      </c>
      <c r="L10824">
        <v>34.4</v>
      </c>
      <c r="M10824">
        <v>80</v>
      </c>
      <c r="N10824">
        <v>0</v>
      </c>
      <c r="O10824">
        <v>80</v>
      </c>
      <c r="P10824">
        <v>0</v>
      </c>
    </row>
    <row r="10825" spans="1:16" x14ac:dyDescent="0.25">
      <c r="A10825" t="s">
        <v>33497</v>
      </c>
      <c r="B10825" t="s">
        <v>8131</v>
      </c>
      <c r="C10825" t="s">
        <v>8132</v>
      </c>
      <c r="D10825" t="str">
        <f>"7278"</f>
        <v>7278</v>
      </c>
      <c r="E10825" t="s">
        <v>8130</v>
      </c>
      <c r="F10825" t="s">
        <v>5</v>
      </c>
      <c r="G10825" t="s">
        <v>16233</v>
      </c>
      <c r="H10825" t="s">
        <v>47054</v>
      </c>
      <c r="I10825" t="s">
        <v>47120</v>
      </c>
      <c r="J10825" t="s">
        <v>47121</v>
      </c>
      <c r="K10825" t="s">
        <v>47113</v>
      </c>
      <c r="L10825">
        <v>34.4</v>
      </c>
      <c r="M10825">
        <v>80</v>
      </c>
      <c r="N10825">
        <v>0</v>
      </c>
      <c r="O10825">
        <v>80</v>
      </c>
      <c r="P10825">
        <v>0</v>
      </c>
    </row>
    <row r="10826" spans="1:16" x14ac:dyDescent="0.25">
      <c r="A10826" t="s">
        <v>33498</v>
      </c>
      <c r="B10826" t="s">
        <v>8136</v>
      </c>
      <c r="C10826" t="s">
        <v>8137</v>
      </c>
      <c r="D10826" t="str">
        <f>"3458"</f>
        <v>3458</v>
      </c>
      <c r="E10826" t="s">
        <v>8138</v>
      </c>
      <c r="F10826" t="s">
        <v>4</v>
      </c>
      <c r="G10826" t="s">
        <v>16234</v>
      </c>
      <c r="H10826" t="s">
        <v>47054</v>
      </c>
      <c r="I10826" t="s">
        <v>47120</v>
      </c>
      <c r="J10826" t="s">
        <v>47121</v>
      </c>
      <c r="K10826" t="s">
        <v>47113</v>
      </c>
      <c r="L10826">
        <v>48.65</v>
      </c>
      <c r="M10826">
        <v>119</v>
      </c>
      <c r="N10826">
        <v>0</v>
      </c>
      <c r="O10826">
        <v>119</v>
      </c>
      <c r="P10826">
        <v>0</v>
      </c>
    </row>
    <row r="10827" spans="1:16" x14ac:dyDescent="0.25">
      <c r="A10827" t="s">
        <v>33499</v>
      </c>
      <c r="B10827" t="s">
        <v>8136</v>
      </c>
      <c r="C10827" t="s">
        <v>8137</v>
      </c>
      <c r="D10827" t="str">
        <f>"7282"</f>
        <v>7282</v>
      </c>
      <c r="E10827" t="s">
        <v>8139</v>
      </c>
      <c r="F10827" t="s">
        <v>4</v>
      </c>
      <c r="G10827" t="s">
        <v>16234</v>
      </c>
      <c r="H10827" t="s">
        <v>47054</v>
      </c>
      <c r="I10827" t="s">
        <v>47120</v>
      </c>
      <c r="J10827" t="s">
        <v>47121</v>
      </c>
      <c r="K10827" t="s">
        <v>47113</v>
      </c>
      <c r="L10827">
        <v>48.65</v>
      </c>
      <c r="M10827">
        <v>119</v>
      </c>
      <c r="N10827">
        <v>0</v>
      </c>
      <c r="O10827">
        <v>119</v>
      </c>
      <c r="P10827">
        <v>0</v>
      </c>
    </row>
    <row r="10828" spans="1:16" x14ac:dyDescent="0.25">
      <c r="A10828" t="s">
        <v>33500</v>
      </c>
      <c r="B10828" t="s">
        <v>8140</v>
      </c>
      <c r="C10828" t="s">
        <v>8141</v>
      </c>
      <c r="D10828" t="str">
        <f>"1001"</f>
        <v>1001</v>
      </c>
      <c r="E10828" t="s">
        <v>8142</v>
      </c>
      <c r="F10828" t="s">
        <v>4</v>
      </c>
      <c r="G10828" t="s">
        <v>16234</v>
      </c>
      <c r="H10828" t="s">
        <v>47054</v>
      </c>
      <c r="I10828" t="s">
        <v>47120</v>
      </c>
      <c r="J10828" t="s">
        <v>47121</v>
      </c>
      <c r="K10828" t="s">
        <v>47113</v>
      </c>
      <c r="L10828">
        <v>39.68</v>
      </c>
      <c r="M10828">
        <v>97</v>
      </c>
      <c r="N10828">
        <v>0</v>
      </c>
      <c r="O10828">
        <v>97</v>
      </c>
      <c r="P10828">
        <v>0</v>
      </c>
    </row>
    <row r="10829" spans="1:16" x14ac:dyDescent="0.25">
      <c r="A10829" t="s">
        <v>33501</v>
      </c>
      <c r="B10829" t="s">
        <v>8140</v>
      </c>
      <c r="C10829" t="s">
        <v>8141</v>
      </c>
      <c r="D10829" t="str">
        <f>"1397"</f>
        <v>1397</v>
      </c>
      <c r="E10829" t="s">
        <v>8143</v>
      </c>
      <c r="F10829" t="s">
        <v>4</v>
      </c>
      <c r="G10829" t="s">
        <v>16234</v>
      </c>
      <c r="H10829" t="s">
        <v>47054</v>
      </c>
      <c r="I10829" t="s">
        <v>47120</v>
      </c>
      <c r="J10829" t="s">
        <v>47121</v>
      </c>
      <c r="K10829" t="s">
        <v>47113</v>
      </c>
      <c r="L10829">
        <v>39.68</v>
      </c>
      <c r="M10829">
        <v>97</v>
      </c>
      <c r="N10829">
        <v>0</v>
      </c>
      <c r="O10829">
        <v>97</v>
      </c>
      <c r="P10829">
        <v>0</v>
      </c>
    </row>
    <row r="10830" spans="1:16" x14ac:dyDescent="0.25">
      <c r="A10830" t="s">
        <v>33502</v>
      </c>
      <c r="B10830" t="s">
        <v>8140</v>
      </c>
      <c r="C10830" t="s">
        <v>8141</v>
      </c>
      <c r="D10830" t="str">
        <f>"2413"</f>
        <v>2413</v>
      </c>
      <c r="E10830" t="s">
        <v>8144</v>
      </c>
      <c r="F10830" t="s">
        <v>4</v>
      </c>
      <c r="G10830" t="s">
        <v>16234</v>
      </c>
      <c r="H10830" t="s">
        <v>47054</v>
      </c>
      <c r="I10830" t="s">
        <v>47120</v>
      </c>
      <c r="J10830" t="s">
        <v>47121</v>
      </c>
      <c r="K10830" t="s">
        <v>47113</v>
      </c>
      <c r="L10830">
        <v>39.68</v>
      </c>
      <c r="M10830">
        <v>97</v>
      </c>
      <c r="N10830">
        <v>0</v>
      </c>
      <c r="O10830">
        <v>97</v>
      </c>
      <c r="P10830">
        <v>0</v>
      </c>
    </row>
    <row r="10831" spans="1:16" x14ac:dyDescent="0.25">
      <c r="A10831" t="s">
        <v>33503</v>
      </c>
      <c r="B10831" t="s">
        <v>33504</v>
      </c>
      <c r="C10831" t="s">
        <v>33505</v>
      </c>
      <c r="D10831" t="s">
        <v>33506</v>
      </c>
      <c r="E10831" t="s">
        <v>33507</v>
      </c>
      <c r="F10831" t="s">
        <v>3750</v>
      </c>
      <c r="G10831" t="s">
        <v>16231</v>
      </c>
      <c r="H10831" t="s">
        <v>47054</v>
      </c>
      <c r="I10831" t="s">
        <v>47120</v>
      </c>
      <c r="J10831" t="s">
        <v>47121</v>
      </c>
      <c r="K10831" t="s">
        <v>47113</v>
      </c>
      <c r="L10831">
        <v>27.59</v>
      </c>
      <c r="M10831">
        <v>100</v>
      </c>
      <c r="N10831">
        <v>269</v>
      </c>
      <c r="O10831">
        <v>100</v>
      </c>
      <c r="P10831">
        <v>269</v>
      </c>
    </row>
    <row r="10832" spans="1:16" x14ac:dyDescent="0.25">
      <c r="A10832" t="s">
        <v>33508</v>
      </c>
      <c r="B10832" t="s">
        <v>33509</v>
      </c>
      <c r="C10832" t="s">
        <v>33510</v>
      </c>
      <c r="D10832" t="s">
        <v>33506</v>
      </c>
      <c r="E10832" t="s">
        <v>33507</v>
      </c>
      <c r="F10832" t="s">
        <v>3750</v>
      </c>
      <c r="G10832" t="s">
        <v>16231</v>
      </c>
      <c r="H10832" t="s">
        <v>47054</v>
      </c>
      <c r="I10832" t="s">
        <v>47120</v>
      </c>
      <c r="J10832" t="s">
        <v>47121</v>
      </c>
      <c r="K10832" t="s">
        <v>47113</v>
      </c>
      <c r="L10832">
        <v>34.53</v>
      </c>
      <c r="M10832">
        <v>140</v>
      </c>
      <c r="N10832">
        <v>379</v>
      </c>
      <c r="O10832">
        <v>140</v>
      </c>
      <c r="P10832">
        <v>379</v>
      </c>
    </row>
    <row r="10833" spans="1:16" x14ac:dyDescent="0.25">
      <c r="A10833" t="s">
        <v>33511</v>
      </c>
      <c r="B10833" t="s">
        <v>33512</v>
      </c>
      <c r="C10833" t="s">
        <v>33513</v>
      </c>
      <c r="D10833" t="s">
        <v>33514</v>
      </c>
      <c r="E10833" t="s">
        <v>33515</v>
      </c>
      <c r="F10833" t="s">
        <v>3750</v>
      </c>
      <c r="G10833" t="s">
        <v>16231</v>
      </c>
      <c r="H10833" t="s">
        <v>47054</v>
      </c>
      <c r="I10833" t="s">
        <v>47120</v>
      </c>
      <c r="J10833" t="s">
        <v>47121</v>
      </c>
      <c r="K10833" t="s">
        <v>47113</v>
      </c>
      <c r="L10833">
        <v>40.549999999999997</v>
      </c>
      <c r="M10833">
        <v>140</v>
      </c>
      <c r="N10833">
        <v>379</v>
      </c>
      <c r="O10833">
        <v>140</v>
      </c>
      <c r="P10833">
        <v>379</v>
      </c>
    </row>
    <row r="10834" spans="1:16" x14ac:dyDescent="0.25">
      <c r="A10834" t="s">
        <v>33516</v>
      </c>
      <c r="B10834" t="s">
        <v>33517</v>
      </c>
      <c r="C10834" t="s">
        <v>33518</v>
      </c>
      <c r="D10834" t="s">
        <v>33519</v>
      </c>
      <c r="E10834" t="s">
        <v>33520</v>
      </c>
      <c r="F10834" t="s">
        <v>3750</v>
      </c>
      <c r="G10834" t="s">
        <v>16231</v>
      </c>
      <c r="H10834" t="s">
        <v>47054</v>
      </c>
      <c r="I10834" t="s">
        <v>47120</v>
      </c>
      <c r="J10834" t="s">
        <v>47121</v>
      </c>
      <c r="K10834" t="s">
        <v>47113</v>
      </c>
      <c r="L10834">
        <v>28.83</v>
      </c>
      <c r="M10834">
        <v>111</v>
      </c>
      <c r="N10834">
        <v>299</v>
      </c>
      <c r="O10834">
        <v>111</v>
      </c>
      <c r="P10834">
        <v>299</v>
      </c>
    </row>
    <row r="10835" spans="1:16" x14ac:dyDescent="0.25">
      <c r="A10835" t="s">
        <v>33521</v>
      </c>
      <c r="B10835" t="s">
        <v>33522</v>
      </c>
      <c r="C10835" t="s">
        <v>33523</v>
      </c>
      <c r="D10835" t="s">
        <v>33524</v>
      </c>
      <c r="E10835" t="s">
        <v>33525</v>
      </c>
      <c r="F10835" t="s">
        <v>24622</v>
      </c>
      <c r="G10835" t="s">
        <v>16231</v>
      </c>
      <c r="H10835" t="s">
        <v>47054</v>
      </c>
      <c r="I10835" t="s">
        <v>47120</v>
      </c>
      <c r="J10835" t="s">
        <v>47121</v>
      </c>
      <c r="K10835" t="s">
        <v>47113</v>
      </c>
      <c r="L10835">
        <v>33.44</v>
      </c>
      <c r="M10835">
        <v>137</v>
      </c>
      <c r="N10835">
        <v>369</v>
      </c>
      <c r="O10835">
        <v>137</v>
      </c>
      <c r="P10835">
        <v>369</v>
      </c>
    </row>
    <row r="10836" spans="1:16" x14ac:dyDescent="0.25">
      <c r="A10836" t="s">
        <v>33526</v>
      </c>
      <c r="B10836" t="s">
        <v>33527</v>
      </c>
      <c r="C10836" t="s">
        <v>33528</v>
      </c>
      <c r="D10836" t="s">
        <v>33529</v>
      </c>
      <c r="E10836" t="s">
        <v>33530</v>
      </c>
      <c r="F10836" t="s">
        <v>24627</v>
      </c>
      <c r="G10836" t="s">
        <v>16231</v>
      </c>
      <c r="H10836" t="s">
        <v>47054</v>
      </c>
      <c r="I10836" t="s">
        <v>47120</v>
      </c>
      <c r="J10836" t="s">
        <v>47121</v>
      </c>
      <c r="K10836" t="s">
        <v>47113</v>
      </c>
      <c r="L10836">
        <v>40.380000000000003</v>
      </c>
      <c r="M10836">
        <v>155</v>
      </c>
      <c r="N10836">
        <v>419</v>
      </c>
      <c r="O10836">
        <v>155</v>
      </c>
      <c r="P10836">
        <v>419</v>
      </c>
    </row>
    <row r="10837" spans="1:16" x14ac:dyDescent="0.25">
      <c r="A10837" t="s">
        <v>48042</v>
      </c>
      <c r="B10837" t="s">
        <v>48043</v>
      </c>
      <c r="C10837" t="s">
        <v>48044</v>
      </c>
      <c r="D10837" t="s">
        <v>48045</v>
      </c>
      <c r="E10837" t="s">
        <v>48046</v>
      </c>
      <c r="F10837" t="s">
        <v>47488</v>
      </c>
      <c r="G10837" t="s">
        <v>16231</v>
      </c>
      <c r="H10837" t="s">
        <v>47054</v>
      </c>
      <c r="I10837" t="s">
        <v>47120</v>
      </c>
      <c r="J10837" t="s">
        <v>47121</v>
      </c>
      <c r="K10837" t="s">
        <v>47113</v>
      </c>
      <c r="L10837">
        <v>33.159999999999997</v>
      </c>
      <c r="M10837">
        <v>155</v>
      </c>
      <c r="N10837">
        <v>419</v>
      </c>
      <c r="O10837">
        <v>155</v>
      </c>
      <c r="P10837">
        <v>419</v>
      </c>
    </row>
    <row r="10838" spans="1:16" x14ac:dyDescent="0.25">
      <c r="A10838" t="s">
        <v>48047</v>
      </c>
      <c r="B10838" t="s">
        <v>48048</v>
      </c>
      <c r="C10838" t="s">
        <v>48049</v>
      </c>
      <c r="D10838" t="s">
        <v>48050</v>
      </c>
      <c r="E10838" t="s">
        <v>48051</v>
      </c>
      <c r="F10838" t="s">
        <v>47479</v>
      </c>
      <c r="G10838" t="s">
        <v>16231</v>
      </c>
      <c r="H10838" t="s">
        <v>47054</v>
      </c>
      <c r="I10838" t="s">
        <v>47120</v>
      </c>
      <c r="J10838" t="s">
        <v>47121</v>
      </c>
      <c r="K10838" t="s">
        <v>47113</v>
      </c>
      <c r="L10838">
        <v>32.47</v>
      </c>
      <c r="M10838">
        <v>155</v>
      </c>
      <c r="N10838">
        <v>419</v>
      </c>
      <c r="O10838">
        <v>155</v>
      </c>
      <c r="P10838">
        <v>419</v>
      </c>
    </row>
    <row r="10839" spans="1:16" x14ac:dyDescent="0.25">
      <c r="A10839" t="s">
        <v>48052</v>
      </c>
      <c r="B10839" t="s">
        <v>48053</v>
      </c>
      <c r="C10839" t="s">
        <v>48054</v>
      </c>
      <c r="D10839" t="s">
        <v>48050</v>
      </c>
      <c r="E10839" t="s">
        <v>48051</v>
      </c>
      <c r="F10839" t="s">
        <v>47488</v>
      </c>
      <c r="G10839" t="s">
        <v>16231</v>
      </c>
      <c r="H10839" t="s">
        <v>47054</v>
      </c>
      <c r="I10839" t="s">
        <v>47120</v>
      </c>
      <c r="J10839" t="s">
        <v>47121</v>
      </c>
      <c r="K10839" t="s">
        <v>47113</v>
      </c>
      <c r="L10839">
        <v>24.15</v>
      </c>
      <c r="M10839">
        <v>85</v>
      </c>
      <c r="N10839">
        <v>229</v>
      </c>
      <c r="O10839">
        <v>85</v>
      </c>
      <c r="P10839">
        <v>229</v>
      </c>
    </row>
    <row r="10840" spans="1:16" x14ac:dyDescent="0.25">
      <c r="A10840" t="s">
        <v>33531</v>
      </c>
      <c r="B10840" t="s">
        <v>33532</v>
      </c>
      <c r="C10840" t="s">
        <v>33533</v>
      </c>
      <c r="D10840" t="s">
        <v>33534</v>
      </c>
      <c r="E10840" t="s">
        <v>33535</v>
      </c>
      <c r="F10840" t="s">
        <v>24627</v>
      </c>
      <c r="G10840" t="s">
        <v>16231</v>
      </c>
      <c r="H10840" t="s">
        <v>47054</v>
      </c>
      <c r="I10840" t="s">
        <v>47120</v>
      </c>
      <c r="J10840" t="s">
        <v>47121</v>
      </c>
      <c r="K10840" t="s">
        <v>47113</v>
      </c>
      <c r="L10840">
        <v>25.84</v>
      </c>
      <c r="M10840">
        <v>85</v>
      </c>
      <c r="N10840">
        <v>229</v>
      </c>
      <c r="O10840">
        <v>85</v>
      </c>
      <c r="P10840">
        <v>229</v>
      </c>
    </row>
    <row r="10841" spans="1:16" x14ac:dyDescent="0.25">
      <c r="A10841" t="s">
        <v>48055</v>
      </c>
      <c r="B10841" t="s">
        <v>48056</v>
      </c>
      <c r="C10841" t="s">
        <v>20740</v>
      </c>
      <c r="D10841" t="s">
        <v>48057</v>
      </c>
      <c r="E10841" t="s">
        <v>48058</v>
      </c>
      <c r="F10841" t="s">
        <v>3750</v>
      </c>
      <c r="G10841" t="s">
        <v>16231</v>
      </c>
      <c r="H10841" t="s">
        <v>47054</v>
      </c>
      <c r="I10841" t="s">
        <v>47120</v>
      </c>
      <c r="J10841" t="s">
        <v>47121</v>
      </c>
      <c r="K10841" t="s">
        <v>47113</v>
      </c>
      <c r="L10841">
        <v>26.89</v>
      </c>
      <c r="M10841">
        <v>85</v>
      </c>
      <c r="N10841">
        <v>229</v>
      </c>
      <c r="O10841">
        <v>85</v>
      </c>
      <c r="P10841">
        <v>229</v>
      </c>
    </row>
    <row r="10842" spans="1:16" x14ac:dyDescent="0.25">
      <c r="A10842" t="s">
        <v>48059</v>
      </c>
      <c r="B10842" t="s">
        <v>48056</v>
      </c>
      <c r="C10842" t="s">
        <v>20740</v>
      </c>
      <c r="D10842" t="s">
        <v>48060</v>
      </c>
      <c r="E10842" t="s">
        <v>48061</v>
      </c>
      <c r="F10842" t="s">
        <v>47171</v>
      </c>
      <c r="G10842" t="s">
        <v>16231</v>
      </c>
      <c r="H10842" t="s">
        <v>47054</v>
      </c>
      <c r="I10842" t="s">
        <v>47120</v>
      </c>
      <c r="J10842" t="s">
        <v>47121</v>
      </c>
      <c r="K10842" t="s">
        <v>47113</v>
      </c>
      <c r="L10842">
        <v>25.83</v>
      </c>
      <c r="M10842">
        <v>114</v>
      </c>
      <c r="N10842">
        <v>309</v>
      </c>
      <c r="O10842">
        <v>114</v>
      </c>
      <c r="P10842">
        <v>309</v>
      </c>
    </row>
    <row r="10843" spans="1:16" x14ac:dyDescent="0.25">
      <c r="A10843" t="s">
        <v>48062</v>
      </c>
      <c r="B10843" t="s">
        <v>48063</v>
      </c>
      <c r="C10843" t="s">
        <v>48064</v>
      </c>
      <c r="D10843" t="s">
        <v>48060</v>
      </c>
      <c r="E10843" t="s">
        <v>48061</v>
      </c>
      <c r="F10843" t="s">
        <v>47171</v>
      </c>
      <c r="G10843" t="s">
        <v>16224</v>
      </c>
      <c r="H10843" t="s">
        <v>47054</v>
      </c>
      <c r="I10843" t="s">
        <v>47120</v>
      </c>
      <c r="J10843" t="s">
        <v>47121</v>
      </c>
      <c r="K10843" t="s">
        <v>47113</v>
      </c>
      <c r="L10843">
        <v>27.81</v>
      </c>
      <c r="M10843">
        <v>114</v>
      </c>
      <c r="N10843">
        <v>309</v>
      </c>
      <c r="O10843">
        <v>114</v>
      </c>
      <c r="P10843">
        <v>309</v>
      </c>
    </row>
    <row r="10844" spans="1:16" x14ac:dyDescent="0.25">
      <c r="A10844" t="s">
        <v>47066</v>
      </c>
      <c r="B10844" t="s">
        <v>47067</v>
      </c>
      <c r="C10844" t="s">
        <v>47068</v>
      </c>
      <c r="D10844" t="s">
        <v>33519</v>
      </c>
      <c r="E10844" t="s">
        <v>33520</v>
      </c>
      <c r="F10844" t="s">
        <v>3750</v>
      </c>
      <c r="G10844" t="s">
        <v>16231</v>
      </c>
      <c r="H10844" t="s">
        <v>47054</v>
      </c>
      <c r="I10844" t="s">
        <v>47120</v>
      </c>
      <c r="J10844" t="s">
        <v>47121</v>
      </c>
      <c r="K10844" t="s">
        <v>47113</v>
      </c>
      <c r="L10844">
        <v>26.8</v>
      </c>
      <c r="M10844">
        <v>140</v>
      </c>
      <c r="N10844">
        <v>379</v>
      </c>
      <c r="O10844">
        <v>140</v>
      </c>
      <c r="P10844">
        <v>379</v>
      </c>
    </row>
    <row r="10845" spans="1:16" x14ac:dyDescent="0.25">
      <c r="A10845" t="s">
        <v>33536</v>
      </c>
      <c r="B10845" t="s">
        <v>33537</v>
      </c>
      <c r="C10845" t="s">
        <v>33538</v>
      </c>
      <c r="D10845" t="s">
        <v>33506</v>
      </c>
      <c r="E10845" t="s">
        <v>33507</v>
      </c>
      <c r="F10845" t="s">
        <v>3750</v>
      </c>
      <c r="G10845" t="s">
        <v>16231</v>
      </c>
      <c r="H10845" t="s">
        <v>47054</v>
      </c>
      <c r="I10845" t="s">
        <v>47120</v>
      </c>
      <c r="J10845" t="s">
        <v>47121</v>
      </c>
      <c r="K10845" t="s">
        <v>47113</v>
      </c>
      <c r="L10845">
        <v>27.59</v>
      </c>
      <c r="M10845">
        <v>111</v>
      </c>
      <c r="N10845">
        <v>299</v>
      </c>
      <c r="O10845">
        <v>111</v>
      </c>
      <c r="P10845">
        <v>299</v>
      </c>
    </row>
    <row r="10846" spans="1:16" x14ac:dyDescent="0.25">
      <c r="A10846" t="s">
        <v>33539</v>
      </c>
      <c r="B10846" t="s">
        <v>33540</v>
      </c>
      <c r="C10846" t="s">
        <v>33541</v>
      </c>
      <c r="D10846" t="s">
        <v>33542</v>
      </c>
      <c r="E10846" t="s">
        <v>33543</v>
      </c>
      <c r="F10846" t="s">
        <v>24622</v>
      </c>
      <c r="G10846" t="s">
        <v>16231</v>
      </c>
      <c r="H10846" t="s">
        <v>47054</v>
      </c>
      <c r="I10846" t="s">
        <v>47120</v>
      </c>
      <c r="J10846" t="s">
        <v>47121</v>
      </c>
      <c r="K10846" t="s">
        <v>47113</v>
      </c>
      <c r="L10846">
        <v>26.24</v>
      </c>
      <c r="M10846">
        <v>96</v>
      </c>
      <c r="N10846">
        <v>259</v>
      </c>
      <c r="O10846">
        <v>96</v>
      </c>
      <c r="P10846">
        <v>259</v>
      </c>
    </row>
    <row r="10847" spans="1:16" x14ac:dyDescent="0.25">
      <c r="A10847" t="s">
        <v>33544</v>
      </c>
      <c r="B10847" t="s">
        <v>33545</v>
      </c>
      <c r="C10847" t="s">
        <v>33546</v>
      </c>
      <c r="D10847" t="s">
        <v>33519</v>
      </c>
      <c r="E10847" t="s">
        <v>33520</v>
      </c>
      <c r="F10847" t="s">
        <v>3750</v>
      </c>
      <c r="G10847" t="s">
        <v>16231</v>
      </c>
      <c r="H10847" t="s">
        <v>47054</v>
      </c>
      <c r="I10847" t="s">
        <v>47120</v>
      </c>
      <c r="J10847" t="s">
        <v>47121</v>
      </c>
      <c r="K10847" t="s">
        <v>47113</v>
      </c>
      <c r="L10847">
        <v>31.2</v>
      </c>
      <c r="M10847">
        <v>140</v>
      </c>
      <c r="N10847">
        <v>379</v>
      </c>
      <c r="O10847">
        <v>140</v>
      </c>
      <c r="P10847">
        <v>379</v>
      </c>
    </row>
    <row r="10848" spans="1:16" x14ac:dyDescent="0.25">
      <c r="A10848" t="s">
        <v>48065</v>
      </c>
      <c r="B10848" t="s">
        <v>48066</v>
      </c>
      <c r="C10848" t="s">
        <v>48067</v>
      </c>
      <c r="D10848" t="s">
        <v>48050</v>
      </c>
      <c r="E10848" t="s">
        <v>48051</v>
      </c>
      <c r="F10848" t="s">
        <v>47479</v>
      </c>
      <c r="G10848" t="s">
        <v>16231</v>
      </c>
      <c r="H10848" t="s">
        <v>47054</v>
      </c>
      <c r="I10848" t="s">
        <v>47120</v>
      </c>
      <c r="J10848" t="s">
        <v>47121</v>
      </c>
      <c r="K10848" t="s">
        <v>47113</v>
      </c>
      <c r="L10848">
        <v>25.53</v>
      </c>
      <c r="M10848">
        <v>114</v>
      </c>
      <c r="N10848">
        <v>309</v>
      </c>
      <c r="O10848">
        <v>114</v>
      </c>
      <c r="P10848">
        <v>309</v>
      </c>
    </row>
    <row r="10849" spans="1:16" x14ac:dyDescent="0.25">
      <c r="A10849" t="s">
        <v>33547</v>
      </c>
      <c r="B10849" t="s">
        <v>33548</v>
      </c>
      <c r="C10849" t="s">
        <v>33549</v>
      </c>
      <c r="D10849" t="s">
        <v>33529</v>
      </c>
      <c r="E10849" t="s">
        <v>33530</v>
      </c>
      <c r="F10849" t="s">
        <v>24627</v>
      </c>
      <c r="G10849" t="s">
        <v>16231</v>
      </c>
      <c r="H10849" t="s">
        <v>47054</v>
      </c>
      <c r="I10849" t="s">
        <v>47120</v>
      </c>
      <c r="J10849" t="s">
        <v>47121</v>
      </c>
      <c r="K10849" t="s">
        <v>47113</v>
      </c>
      <c r="L10849">
        <v>26.94</v>
      </c>
      <c r="M10849">
        <v>114</v>
      </c>
      <c r="N10849">
        <v>309</v>
      </c>
      <c r="O10849">
        <v>114</v>
      </c>
      <c r="P10849">
        <v>309</v>
      </c>
    </row>
    <row r="10850" spans="1:16" x14ac:dyDescent="0.25">
      <c r="A10850" t="s">
        <v>33550</v>
      </c>
      <c r="B10850" t="s">
        <v>33551</v>
      </c>
      <c r="C10850" t="s">
        <v>33552</v>
      </c>
      <c r="D10850" t="s">
        <v>33553</v>
      </c>
      <c r="E10850" t="s">
        <v>33554</v>
      </c>
      <c r="F10850" t="s">
        <v>3750</v>
      </c>
      <c r="G10850" t="s">
        <v>16231</v>
      </c>
      <c r="H10850" t="s">
        <v>47054</v>
      </c>
      <c r="I10850" t="s">
        <v>47120</v>
      </c>
      <c r="J10850" t="s">
        <v>47121</v>
      </c>
      <c r="K10850" t="s">
        <v>47113</v>
      </c>
      <c r="L10850">
        <v>24.71</v>
      </c>
      <c r="M10850">
        <v>107</v>
      </c>
      <c r="N10850">
        <v>0</v>
      </c>
      <c r="O10850">
        <v>107</v>
      </c>
      <c r="P10850">
        <v>0</v>
      </c>
    </row>
    <row r="10851" spans="1:16" x14ac:dyDescent="0.25">
      <c r="A10851" t="s">
        <v>33555</v>
      </c>
      <c r="B10851" t="s">
        <v>8145</v>
      </c>
      <c r="C10851" t="s">
        <v>16727</v>
      </c>
      <c r="D10851" t="s">
        <v>8147</v>
      </c>
      <c r="E10851" t="s">
        <v>8148</v>
      </c>
      <c r="F10851" t="s">
        <v>3558</v>
      </c>
      <c r="G10851" t="s">
        <v>16231</v>
      </c>
      <c r="H10851" t="s">
        <v>47054</v>
      </c>
      <c r="I10851" t="s">
        <v>47111</v>
      </c>
      <c r="J10851" t="s">
        <v>47112</v>
      </c>
      <c r="K10851" t="s">
        <v>47113</v>
      </c>
      <c r="L10851">
        <v>42.56</v>
      </c>
      <c r="M10851">
        <v>122</v>
      </c>
      <c r="N10851">
        <v>0</v>
      </c>
      <c r="O10851">
        <v>122</v>
      </c>
      <c r="P10851">
        <v>0</v>
      </c>
    </row>
    <row r="10852" spans="1:16" x14ac:dyDescent="0.25">
      <c r="A10852" t="s">
        <v>33556</v>
      </c>
      <c r="B10852" t="s">
        <v>15612</v>
      </c>
      <c r="C10852" t="s">
        <v>17612</v>
      </c>
      <c r="D10852" t="s">
        <v>15259</v>
      </c>
      <c r="E10852" t="s">
        <v>15260</v>
      </c>
      <c r="F10852" t="s">
        <v>15183</v>
      </c>
      <c r="G10852" t="s">
        <v>16231</v>
      </c>
      <c r="H10852" t="s">
        <v>47054</v>
      </c>
      <c r="I10852" t="s">
        <v>47111</v>
      </c>
      <c r="J10852" t="s">
        <v>47112</v>
      </c>
      <c r="K10852" t="s">
        <v>47113</v>
      </c>
      <c r="L10852">
        <v>51.24</v>
      </c>
      <c r="M10852">
        <v>92</v>
      </c>
      <c r="N10852">
        <v>0</v>
      </c>
      <c r="O10852">
        <v>92</v>
      </c>
      <c r="P10852">
        <v>0</v>
      </c>
    </row>
    <row r="10853" spans="1:16" x14ac:dyDescent="0.25">
      <c r="A10853" t="s">
        <v>33557</v>
      </c>
      <c r="B10853" t="s">
        <v>20560</v>
      </c>
      <c r="C10853" t="s">
        <v>20561</v>
      </c>
      <c r="D10853" t="s">
        <v>20562</v>
      </c>
      <c r="E10853" t="s">
        <v>20563</v>
      </c>
      <c r="F10853" t="s">
        <v>3750</v>
      </c>
      <c r="G10853" t="s">
        <v>16231</v>
      </c>
      <c r="H10853" t="s">
        <v>47054</v>
      </c>
      <c r="I10853" t="s">
        <v>47544</v>
      </c>
      <c r="J10853" t="s">
        <v>47545</v>
      </c>
      <c r="K10853" t="s">
        <v>47113</v>
      </c>
      <c r="L10853">
        <v>21.43</v>
      </c>
      <c r="M10853">
        <v>80</v>
      </c>
      <c r="N10853">
        <v>0</v>
      </c>
      <c r="O10853">
        <v>80</v>
      </c>
      <c r="P10853">
        <v>0</v>
      </c>
    </row>
    <row r="10854" spans="1:16" x14ac:dyDescent="0.25">
      <c r="A10854" t="s">
        <v>33558</v>
      </c>
      <c r="B10854" t="s">
        <v>20564</v>
      </c>
      <c r="C10854" t="s">
        <v>20565</v>
      </c>
      <c r="D10854" t="s">
        <v>20566</v>
      </c>
      <c r="E10854" t="s">
        <v>20567</v>
      </c>
      <c r="F10854" t="s">
        <v>3750</v>
      </c>
      <c r="G10854" t="s">
        <v>16231</v>
      </c>
      <c r="H10854" t="s">
        <v>47054</v>
      </c>
      <c r="I10854" t="s">
        <v>47116</v>
      </c>
      <c r="J10854" t="s">
        <v>47117</v>
      </c>
      <c r="K10854" t="s">
        <v>47113</v>
      </c>
      <c r="L10854">
        <v>26.24</v>
      </c>
      <c r="M10854">
        <v>95</v>
      </c>
      <c r="N10854">
        <v>0</v>
      </c>
      <c r="O10854">
        <v>95</v>
      </c>
      <c r="P10854">
        <v>0</v>
      </c>
    </row>
    <row r="10855" spans="1:16" x14ac:dyDescent="0.25">
      <c r="A10855" t="s">
        <v>33559</v>
      </c>
      <c r="B10855" t="s">
        <v>20568</v>
      </c>
      <c r="C10855" t="s">
        <v>15864</v>
      </c>
      <c r="D10855" t="s">
        <v>20569</v>
      </c>
      <c r="E10855" t="s">
        <v>20570</v>
      </c>
      <c r="F10855" t="s">
        <v>3750</v>
      </c>
      <c r="G10855" t="s">
        <v>16231</v>
      </c>
      <c r="H10855" t="s">
        <v>47054</v>
      </c>
      <c r="I10855" t="s">
        <v>47116</v>
      </c>
      <c r="J10855" t="s">
        <v>47117</v>
      </c>
      <c r="K10855" t="s">
        <v>47113</v>
      </c>
      <c r="L10855">
        <v>24.99</v>
      </c>
      <c r="M10855">
        <v>88</v>
      </c>
      <c r="N10855">
        <v>0</v>
      </c>
      <c r="O10855">
        <v>88</v>
      </c>
      <c r="P10855">
        <v>0</v>
      </c>
    </row>
    <row r="10856" spans="1:16" x14ac:dyDescent="0.25">
      <c r="A10856" t="s">
        <v>33560</v>
      </c>
      <c r="B10856" t="s">
        <v>33561</v>
      </c>
      <c r="C10856" t="s">
        <v>15864</v>
      </c>
      <c r="D10856" t="s">
        <v>20569</v>
      </c>
      <c r="E10856" t="s">
        <v>20570</v>
      </c>
      <c r="F10856" t="s">
        <v>3750</v>
      </c>
      <c r="G10856" t="s">
        <v>16231</v>
      </c>
      <c r="H10856" t="s">
        <v>47054</v>
      </c>
      <c r="I10856" t="s">
        <v>47544</v>
      </c>
      <c r="J10856" t="s">
        <v>47545</v>
      </c>
      <c r="K10856" t="s">
        <v>47113</v>
      </c>
      <c r="L10856">
        <v>18.98</v>
      </c>
      <c r="M10856">
        <v>80</v>
      </c>
      <c r="N10856">
        <v>0</v>
      </c>
      <c r="O10856">
        <v>80</v>
      </c>
      <c r="P10856">
        <v>0</v>
      </c>
    </row>
    <row r="10857" spans="1:16" x14ac:dyDescent="0.25">
      <c r="A10857" t="s">
        <v>33562</v>
      </c>
      <c r="B10857" t="s">
        <v>20571</v>
      </c>
      <c r="C10857" t="s">
        <v>20572</v>
      </c>
      <c r="D10857" t="s">
        <v>20573</v>
      </c>
      <c r="E10857" t="s">
        <v>20574</v>
      </c>
      <c r="F10857" t="s">
        <v>3750</v>
      </c>
      <c r="G10857" t="s">
        <v>16231</v>
      </c>
      <c r="H10857" t="s">
        <v>47054</v>
      </c>
      <c r="I10857" t="s">
        <v>47116</v>
      </c>
      <c r="J10857" t="s">
        <v>47117</v>
      </c>
      <c r="K10857" t="s">
        <v>47113</v>
      </c>
      <c r="L10857">
        <v>22</v>
      </c>
      <c r="M10857">
        <v>80</v>
      </c>
      <c r="N10857">
        <v>0</v>
      </c>
      <c r="O10857">
        <v>80</v>
      </c>
      <c r="P10857">
        <v>0</v>
      </c>
    </row>
    <row r="10858" spans="1:16" x14ac:dyDescent="0.25">
      <c r="A10858" t="s">
        <v>33563</v>
      </c>
      <c r="B10858" t="s">
        <v>17865</v>
      </c>
      <c r="C10858" t="s">
        <v>16738</v>
      </c>
      <c r="D10858" t="s">
        <v>15259</v>
      </c>
      <c r="E10858" t="s">
        <v>15260</v>
      </c>
      <c r="F10858" t="s">
        <v>15183</v>
      </c>
      <c r="G10858" t="s">
        <v>16231</v>
      </c>
      <c r="H10858" t="s">
        <v>47054</v>
      </c>
      <c r="I10858" t="s">
        <v>47111</v>
      </c>
      <c r="J10858" t="s">
        <v>47112</v>
      </c>
      <c r="K10858" t="s">
        <v>47113</v>
      </c>
      <c r="L10858">
        <v>51.21</v>
      </c>
      <c r="M10858">
        <v>103</v>
      </c>
      <c r="N10858">
        <v>0</v>
      </c>
      <c r="O10858">
        <v>103</v>
      </c>
      <c r="P10858">
        <v>0</v>
      </c>
    </row>
    <row r="10859" spans="1:16" x14ac:dyDescent="0.25">
      <c r="A10859" t="s">
        <v>33564</v>
      </c>
      <c r="B10859" t="s">
        <v>15613</v>
      </c>
      <c r="C10859" t="s">
        <v>17866</v>
      </c>
      <c r="D10859" t="s">
        <v>721</v>
      </c>
      <c r="E10859" t="s">
        <v>722</v>
      </c>
      <c r="F10859" t="s">
        <v>15183</v>
      </c>
      <c r="G10859" t="s">
        <v>16231</v>
      </c>
      <c r="H10859" t="s">
        <v>47054</v>
      </c>
      <c r="I10859" t="s">
        <v>47111</v>
      </c>
      <c r="J10859" t="s">
        <v>47112</v>
      </c>
      <c r="K10859" t="s">
        <v>47113</v>
      </c>
      <c r="L10859">
        <v>68.11</v>
      </c>
      <c r="M10859">
        <v>118</v>
      </c>
      <c r="N10859">
        <v>0</v>
      </c>
      <c r="O10859">
        <v>118</v>
      </c>
      <c r="P10859">
        <v>0</v>
      </c>
    </row>
    <row r="10860" spans="1:16" x14ac:dyDescent="0.25">
      <c r="A10860" t="s">
        <v>33565</v>
      </c>
      <c r="B10860" t="s">
        <v>15613</v>
      </c>
      <c r="C10860" t="s">
        <v>17866</v>
      </c>
      <c r="D10860" t="s">
        <v>7156</v>
      </c>
      <c r="E10860" t="s">
        <v>7157</v>
      </c>
      <c r="F10860" t="s">
        <v>15183</v>
      </c>
      <c r="G10860" t="s">
        <v>16231</v>
      </c>
      <c r="H10860" t="s">
        <v>47054</v>
      </c>
      <c r="I10860" t="s">
        <v>47111</v>
      </c>
      <c r="J10860" t="s">
        <v>47112</v>
      </c>
      <c r="K10860" t="s">
        <v>47113</v>
      </c>
      <c r="L10860">
        <v>68.11</v>
      </c>
      <c r="M10860">
        <v>118</v>
      </c>
      <c r="N10860">
        <v>0</v>
      </c>
      <c r="O10860">
        <v>118</v>
      </c>
      <c r="P10860">
        <v>0</v>
      </c>
    </row>
    <row r="10861" spans="1:16" x14ac:dyDescent="0.25">
      <c r="A10861" t="s">
        <v>33566</v>
      </c>
      <c r="B10861" t="s">
        <v>20575</v>
      </c>
      <c r="C10861" t="s">
        <v>20576</v>
      </c>
      <c r="D10861" t="s">
        <v>20577</v>
      </c>
      <c r="E10861" t="s">
        <v>20578</v>
      </c>
      <c r="F10861" t="s">
        <v>3750</v>
      </c>
      <c r="G10861" t="s">
        <v>16231</v>
      </c>
      <c r="H10861" t="s">
        <v>47054</v>
      </c>
      <c r="I10861" t="s">
        <v>47116</v>
      </c>
      <c r="J10861" t="s">
        <v>47117</v>
      </c>
      <c r="K10861" t="s">
        <v>47113</v>
      </c>
      <c r="L10861">
        <v>26.53</v>
      </c>
      <c r="M10861">
        <v>88</v>
      </c>
      <c r="N10861">
        <v>0</v>
      </c>
      <c r="O10861">
        <v>88</v>
      </c>
      <c r="P10861">
        <v>0</v>
      </c>
    </row>
    <row r="10862" spans="1:16" x14ac:dyDescent="0.25">
      <c r="A10862" t="s">
        <v>33567</v>
      </c>
      <c r="B10862" t="s">
        <v>20579</v>
      </c>
      <c r="C10862" t="s">
        <v>20580</v>
      </c>
      <c r="D10862" t="s">
        <v>20581</v>
      </c>
      <c r="E10862" t="s">
        <v>20582</v>
      </c>
      <c r="F10862" t="s">
        <v>3750</v>
      </c>
      <c r="G10862" t="s">
        <v>16231</v>
      </c>
      <c r="H10862" t="s">
        <v>47054</v>
      </c>
      <c r="I10862" t="s">
        <v>47116</v>
      </c>
      <c r="J10862" t="s">
        <v>47117</v>
      </c>
      <c r="K10862" t="s">
        <v>47113</v>
      </c>
      <c r="L10862">
        <v>32.28</v>
      </c>
      <c r="M10862">
        <v>149</v>
      </c>
      <c r="N10862">
        <v>0</v>
      </c>
      <c r="O10862">
        <v>149</v>
      </c>
      <c r="P10862">
        <v>0</v>
      </c>
    </row>
    <row r="10863" spans="1:16" x14ac:dyDescent="0.25">
      <c r="A10863" t="s">
        <v>33568</v>
      </c>
      <c r="B10863" t="s">
        <v>20583</v>
      </c>
      <c r="C10863" t="s">
        <v>20584</v>
      </c>
      <c r="D10863" t="s">
        <v>20585</v>
      </c>
      <c r="E10863" t="s">
        <v>20586</v>
      </c>
      <c r="F10863" t="s">
        <v>3750</v>
      </c>
      <c r="G10863" t="s">
        <v>16231</v>
      </c>
      <c r="H10863" t="s">
        <v>47054</v>
      </c>
      <c r="I10863" t="s">
        <v>47116</v>
      </c>
      <c r="J10863" t="s">
        <v>47117</v>
      </c>
      <c r="K10863" t="s">
        <v>47113</v>
      </c>
      <c r="L10863">
        <v>35.159999999999997</v>
      </c>
      <c r="M10863">
        <v>149</v>
      </c>
      <c r="N10863">
        <v>0</v>
      </c>
      <c r="O10863">
        <v>149</v>
      </c>
      <c r="P10863">
        <v>0</v>
      </c>
    </row>
    <row r="10864" spans="1:16" x14ac:dyDescent="0.25">
      <c r="A10864" t="s">
        <v>33569</v>
      </c>
      <c r="B10864" t="s">
        <v>20587</v>
      </c>
      <c r="C10864" t="s">
        <v>20588</v>
      </c>
      <c r="D10864" t="s">
        <v>20589</v>
      </c>
      <c r="E10864" t="s">
        <v>20590</v>
      </c>
      <c r="F10864" t="s">
        <v>3750</v>
      </c>
      <c r="G10864" t="s">
        <v>16231</v>
      </c>
      <c r="H10864" t="s">
        <v>47054</v>
      </c>
      <c r="I10864" t="s">
        <v>47116</v>
      </c>
      <c r="J10864" t="s">
        <v>47117</v>
      </c>
      <c r="K10864" t="s">
        <v>47113</v>
      </c>
      <c r="L10864">
        <v>38.31</v>
      </c>
      <c r="M10864">
        <v>149</v>
      </c>
      <c r="N10864">
        <v>0</v>
      </c>
      <c r="O10864">
        <v>149</v>
      </c>
      <c r="P10864">
        <v>0</v>
      </c>
    </row>
    <row r="10865" spans="1:16" x14ac:dyDescent="0.25">
      <c r="A10865" t="s">
        <v>33570</v>
      </c>
      <c r="B10865" t="s">
        <v>33571</v>
      </c>
      <c r="C10865" t="s">
        <v>33572</v>
      </c>
      <c r="D10865" t="s">
        <v>33573</v>
      </c>
      <c r="E10865" t="s">
        <v>33574</v>
      </c>
      <c r="F10865" t="s">
        <v>3750</v>
      </c>
      <c r="G10865" t="s">
        <v>16231</v>
      </c>
      <c r="H10865" t="s">
        <v>47054</v>
      </c>
      <c r="I10865" t="s">
        <v>47116</v>
      </c>
      <c r="J10865" t="s">
        <v>47117</v>
      </c>
      <c r="K10865" t="s">
        <v>47113</v>
      </c>
      <c r="L10865">
        <v>35.92</v>
      </c>
      <c r="M10865">
        <v>133</v>
      </c>
      <c r="N10865">
        <v>0</v>
      </c>
      <c r="O10865">
        <v>133</v>
      </c>
      <c r="P10865">
        <v>0</v>
      </c>
    </row>
    <row r="10866" spans="1:16" x14ac:dyDescent="0.25">
      <c r="A10866" t="s">
        <v>33575</v>
      </c>
      <c r="B10866" t="s">
        <v>33576</v>
      </c>
      <c r="C10866" t="s">
        <v>33577</v>
      </c>
      <c r="D10866" t="s">
        <v>33573</v>
      </c>
      <c r="E10866" t="s">
        <v>33574</v>
      </c>
      <c r="F10866" t="s">
        <v>3750</v>
      </c>
      <c r="G10866" t="s">
        <v>16231</v>
      </c>
      <c r="H10866" t="s">
        <v>47054</v>
      </c>
      <c r="I10866" t="s">
        <v>47116</v>
      </c>
      <c r="J10866" t="s">
        <v>47117</v>
      </c>
      <c r="K10866" t="s">
        <v>47113</v>
      </c>
      <c r="L10866">
        <v>28.83</v>
      </c>
      <c r="M10866">
        <v>107</v>
      </c>
      <c r="N10866">
        <v>0</v>
      </c>
      <c r="O10866">
        <v>107</v>
      </c>
      <c r="P10866">
        <v>0</v>
      </c>
    </row>
    <row r="10867" spans="1:16" x14ac:dyDescent="0.25">
      <c r="A10867" t="s">
        <v>48068</v>
      </c>
      <c r="B10867" t="s">
        <v>48069</v>
      </c>
      <c r="C10867" t="s">
        <v>48070</v>
      </c>
      <c r="D10867" t="s">
        <v>48071</v>
      </c>
      <c r="E10867" t="s">
        <v>48072</v>
      </c>
      <c r="F10867" t="s">
        <v>47479</v>
      </c>
      <c r="G10867" t="s">
        <v>16231</v>
      </c>
      <c r="H10867" t="s">
        <v>47054</v>
      </c>
      <c r="I10867" t="s">
        <v>47116</v>
      </c>
      <c r="J10867" t="s">
        <v>47117</v>
      </c>
      <c r="K10867" t="s">
        <v>47113</v>
      </c>
      <c r="L10867">
        <v>39.299999999999997</v>
      </c>
      <c r="M10867">
        <v>114</v>
      </c>
      <c r="N10867">
        <v>309</v>
      </c>
      <c r="O10867">
        <v>114</v>
      </c>
      <c r="P10867">
        <v>309</v>
      </c>
    </row>
    <row r="10868" spans="1:16" x14ac:dyDescent="0.25">
      <c r="A10868" t="s">
        <v>33578</v>
      </c>
      <c r="B10868" t="s">
        <v>33579</v>
      </c>
      <c r="C10868" t="s">
        <v>33580</v>
      </c>
      <c r="D10868" t="s">
        <v>33581</v>
      </c>
      <c r="E10868" t="s">
        <v>33582</v>
      </c>
      <c r="F10868" t="s">
        <v>3750</v>
      </c>
      <c r="G10868" t="s">
        <v>16231</v>
      </c>
      <c r="H10868" t="s">
        <v>47054</v>
      </c>
      <c r="I10868" t="s">
        <v>47544</v>
      </c>
      <c r="J10868" t="s">
        <v>47545</v>
      </c>
      <c r="K10868" t="s">
        <v>47113</v>
      </c>
      <c r="L10868">
        <v>27.44</v>
      </c>
      <c r="M10868">
        <v>111</v>
      </c>
      <c r="N10868">
        <v>299</v>
      </c>
      <c r="O10868">
        <v>111</v>
      </c>
      <c r="P10868">
        <v>299</v>
      </c>
    </row>
    <row r="10869" spans="1:16" x14ac:dyDescent="0.25">
      <c r="A10869" t="s">
        <v>33583</v>
      </c>
      <c r="B10869" t="s">
        <v>33584</v>
      </c>
      <c r="C10869" t="s">
        <v>33585</v>
      </c>
      <c r="D10869" t="s">
        <v>33586</v>
      </c>
      <c r="E10869" t="s">
        <v>33587</v>
      </c>
      <c r="F10869" t="s">
        <v>24617</v>
      </c>
      <c r="G10869" t="s">
        <v>16231</v>
      </c>
      <c r="H10869" t="s">
        <v>47054</v>
      </c>
      <c r="I10869" t="s">
        <v>47116</v>
      </c>
      <c r="J10869" t="s">
        <v>47117</v>
      </c>
      <c r="K10869" t="s">
        <v>47113</v>
      </c>
      <c r="L10869">
        <v>37.18</v>
      </c>
      <c r="M10869">
        <v>155</v>
      </c>
      <c r="N10869">
        <v>419</v>
      </c>
      <c r="O10869">
        <v>155</v>
      </c>
      <c r="P10869">
        <v>419</v>
      </c>
    </row>
    <row r="10870" spans="1:16" x14ac:dyDescent="0.25">
      <c r="A10870" t="s">
        <v>33588</v>
      </c>
      <c r="B10870" t="s">
        <v>33589</v>
      </c>
      <c r="C10870" t="s">
        <v>33590</v>
      </c>
      <c r="D10870" t="s">
        <v>1718</v>
      </c>
      <c r="E10870" t="s">
        <v>1719</v>
      </c>
      <c r="F10870" t="s">
        <v>3750</v>
      </c>
      <c r="G10870" t="s">
        <v>16231</v>
      </c>
      <c r="H10870" t="s">
        <v>47054</v>
      </c>
      <c r="I10870" t="s">
        <v>47116</v>
      </c>
      <c r="J10870" t="s">
        <v>47117</v>
      </c>
      <c r="K10870" t="s">
        <v>47113</v>
      </c>
      <c r="L10870">
        <v>36.299999999999997</v>
      </c>
      <c r="M10870">
        <v>140</v>
      </c>
      <c r="N10870">
        <v>379</v>
      </c>
      <c r="O10870">
        <v>140</v>
      </c>
      <c r="P10870">
        <v>379</v>
      </c>
    </row>
    <row r="10871" spans="1:16" x14ac:dyDescent="0.25">
      <c r="A10871" t="s">
        <v>33591</v>
      </c>
      <c r="B10871" t="s">
        <v>33592</v>
      </c>
      <c r="C10871" t="s">
        <v>33593</v>
      </c>
      <c r="D10871" t="s">
        <v>33594</v>
      </c>
      <c r="E10871" t="s">
        <v>33595</v>
      </c>
      <c r="F10871" t="s">
        <v>3750</v>
      </c>
      <c r="G10871" t="s">
        <v>16231</v>
      </c>
      <c r="H10871" t="s">
        <v>47054</v>
      </c>
      <c r="I10871" t="s">
        <v>47116</v>
      </c>
      <c r="J10871" t="s">
        <v>47117</v>
      </c>
      <c r="K10871" t="s">
        <v>47113</v>
      </c>
      <c r="L10871">
        <v>36.6</v>
      </c>
      <c r="M10871">
        <v>148</v>
      </c>
      <c r="N10871">
        <v>399</v>
      </c>
      <c r="O10871">
        <v>148</v>
      </c>
      <c r="P10871">
        <v>399</v>
      </c>
    </row>
    <row r="10872" spans="1:16" x14ac:dyDescent="0.25">
      <c r="A10872" t="s">
        <v>33596</v>
      </c>
      <c r="B10872" t="s">
        <v>33597</v>
      </c>
      <c r="C10872" t="s">
        <v>33598</v>
      </c>
      <c r="D10872" t="s">
        <v>33599</v>
      </c>
      <c r="E10872" t="s">
        <v>33600</v>
      </c>
      <c r="F10872" t="s">
        <v>3750</v>
      </c>
      <c r="G10872" t="s">
        <v>16231</v>
      </c>
      <c r="H10872" t="s">
        <v>47054</v>
      </c>
      <c r="I10872" t="s">
        <v>47116</v>
      </c>
      <c r="J10872" t="s">
        <v>47117</v>
      </c>
      <c r="K10872" t="s">
        <v>47113</v>
      </c>
      <c r="L10872">
        <v>36.01</v>
      </c>
      <c r="M10872">
        <v>148</v>
      </c>
      <c r="N10872">
        <v>399</v>
      </c>
      <c r="O10872">
        <v>148</v>
      </c>
      <c r="P10872">
        <v>399</v>
      </c>
    </row>
    <row r="10873" spans="1:16" x14ac:dyDescent="0.25">
      <c r="A10873" t="s">
        <v>33601</v>
      </c>
      <c r="B10873" t="s">
        <v>33602</v>
      </c>
      <c r="C10873" t="s">
        <v>33603</v>
      </c>
      <c r="D10873" t="s">
        <v>33604</v>
      </c>
      <c r="E10873" t="s">
        <v>33605</v>
      </c>
      <c r="F10873" t="s">
        <v>3750</v>
      </c>
      <c r="G10873" t="s">
        <v>16231</v>
      </c>
      <c r="H10873" t="s">
        <v>47054</v>
      </c>
      <c r="I10873" t="s">
        <v>47544</v>
      </c>
      <c r="J10873" t="s">
        <v>47545</v>
      </c>
      <c r="K10873" t="s">
        <v>47113</v>
      </c>
      <c r="L10873">
        <v>25.51</v>
      </c>
      <c r="M10873">
        <v>107</v>
      </c>
      <c r="N10873">
        <v>0</v>
      </c>
      <c r="O10873">
        <v>107</v>
      </c>
      <c r="P10873">
        <v>0</v>
      </c>
    </row>
    <row r="10874" spans="1:16" x14ac:dyDescent="0.25">
      <c r="A10874" t="s">
        <v>33606</v>
      </c>
      <c r="B10874" t="s">
        <v>33607</v>
      </c>
      <c r="C10874" t="s">
        <v>33608</v>
      </c>
      <c r="D10874" t="s">
        <v>33609</v>
      </c>
      <c r="E10874" t="s">
        <v>33610</v>
      </c>
      <c r="F10874" t="s">
        <v>3750</v>
      </c>
      <c r="G10874" t="s">
        <v>16231</v>
      </c>
      <c r="H10874" t="s">
        <v>47054</v>
      </c>
      <c r="I10874" t="s">
        <v>47544</v>
      </c>
      <c r="J10874" t="s">
        <v>47545</v>
      </c>
      <c r="K10874" t="s">
        <v>47113</v>
      </c>
      <c r="L10874">
        <v>29.04</v>
      </c>
      <c r="M10874">
        <v>140</v>
      </c>
      <c r="N10874">
        <v>379</v>
      </c>
      <c r="O10874">
        <v>140</v>
      </c>
      <c r="P10874">
        <v>379</v>
      </c>
    </row>
    <row r="10875" spans="1:16" x14ac:dyDescent="0.25">
      <c r="A10875" t="s">
        <v>33611</v>
      </c>
      <c r="B10875" t="s">
        <v>33612</v>
      </c>
      <c r="C10875" t="s">
        <v>33613</v>
      </c>
      <c r="D10875" t="s">
        <v>33614</v>
      </c>
      <c r="E10875" t="s">
        <v>33615</v>
      </c>
      <c r="F10875" t="s">
        <v>24627</v>
      </c>
      <c r="G10875" t="s">
        <v>16231</v>
      </c>
      <c r="H10875" t="s">
        <v>47054</v>
      </c>
      <c r="I10875" t="s">
        <v>47116</v>
      </c>
      <c r="J10875" t="s">
        <v>47117</v>
      </c>
      <c r="K10875" t="s">
        <v>47113</v>
      </c>
      <c r="L10875">
        <v>42.85</v>
      </c>
      <c r="M10875">
        <v>155</v>
      </c>
      <c r="N10875">
        <v>419</v>
      </c>
      <c r="O10875">
        <v>155</v>
      </c>
      <c r="P10875">
        <v>419</v>
      </c>
    </row>
    <row r="10876" spans="1:16" x14ac:dyDescent="0.25">
      <c r="A10876" t="s">
        <v>33616</v>
      </c>
      <c r="B10876" t="s">
        <v>33617</v>
      </c>
      <c r="C10876" t="s">
        <v>33618</v>
      </c>
      <c r="D10876" t="s">
        <v>33619</v>
      </c>
      <c r="E10876" t="s">
        <v>33620</v>
      </c>
      <c r="F10876" t="s">
        <v>24622</v>
      </c>
      <c r="G10876" t="s">
        <v>16231</v>
      </c>
      <c r="H10876" t="s">
        <v>47054</v>
      </c>
      <c r="I10876" t="s">
        <v>47116</v>
      </c>
      <c r="J10876" t="s">
        <v>47117</v>
      </c>
      <c r="K10876" t="s">
        <v>47113</v>
      </c>
      <c r="L10876">
        <v>39.9</v>
      </c>
      <c r="M10876">
        <v>155</v>
      </c>
      <c r="N10876">
        <v>419</v>
      </c>
      <c r="O10876">
        <v>155</v>
      </c>
      <c r="P10876">
        <v>419</v>
      </c>
    </row>
    <row r="10877" spans="1:16" x14ac:dyDescent="0.25">
      <c r="A10877" t="s">
        <v>48073</v>
      </c>
      <c r="B10877" t="s">
        <v>48074</v>
      </c>
      <c r="C10877" t="s">
        <v>48075</v>
      </c>
      <c r="D10877" t="s">
        <v>47997</v>
      </c>
      <c r="E10877" t="s">
        <v>47998</v>
      </c>
      <c r="F10877" t="s">
        <v>47488</v>
      </c>
      <c r="G10877" t="s">
        <v>16231</v>
      </c>
      <c r="H10877" t="s">
        <v>47054</v>
      </c>
      <c r="I10877" t="s">
        <v>47116</v>
      </c>
      <c r="J10877" t="s">
        <v>47117</v>
      </c>
      <c r="K10877" t="s">
        <v>47113</v>
      </c>
      <c r="L10877">
        <v>39.4</v>
      </c>
      <c r="M10877">
        <v>155</v>
      </c>
      <c r="N10877">
        <v>419</v>
      </c>
      <c r="O10877">
        <v>155</v>
      </c>
      <c r="P10877">
        <v>419</v>
      </c>
    </row>
    <row r="10878" spans="1:16" x14ac:dyDescent="0.25">
      <c r="A10878" t="s">
        <v>48076</v>
      </c>
      <c r="B10878" t="s">
        <v>48077</v>
      </c>
      <c r="C10878" t="s">
        <v>48078</v>
      </c>
      <c r="D10878" t="s">
        <v>48004</v>
      </c>
      <c r="E10878" t="s">
        <v>48079</v>
      </c>
      <c r="F10878" t="s">
        <v>31484</v>
      </c>
      <c r="G10878" t="s">
        <v>16231</v>
      </c>
      <c r="H10878" t="s">
        <v>47054</v>
      </c>
      <c r="I10878" t="s">
        <v>47116</v>
      </c>
      <c r="J10878" t="s">
        <v>47117</v>
      </c>
      <c r="K10878" t="s">
        <v>47113</v>
      </c>
      <c r="L10878">
        <v>35.18</v>
      </c>
      <c r="M10878">
        <v>137</v>
      </c>
      <c r="N10878">
        <v>369</v>
      </c>
      <c r="O10878">
        <v>137</v>
      </c>
      <c r="P10878">
        <v>369</v>
      </c>
    </row>
    <row r="10879" spans="1:16" x14ac:dyDescent="0.25">
      <c r="A10879" t="s">
        <v>48080</v>
      </c>
      <c r="B10879" t="s">
        <v>48081</v>
      </c>
      <c r="C10879" t="s">
        <v>48082</v>
      </c>
      <c r="D10879" t="s">
        <v>48009</v>
      </c>
      <c r="E10879" t="s">
        <v>48010</v>
      </c>
      <c r="F10879" t="s">
        <v>47163</v>
      </c>
      <c r="G10879" t="s">
        <v>16231</v>
      </c>
      <c r="H10879" t="s">
        <v>47054</v>
      </c>
      <c r="I10879" t="s">
        <v>47116</v>
      </c>
      <c r="J10879" t="s">
        <v>47117</v>
      </c>
      <c r="K10879" t="s">
        <v>47113</v>
      </c>
      <c r="L10879">
        <v>40.28</v>
      </c>
      <c r="M10879">
        <v>155.19</v>
      </c>
      <c r="N10879">
        <v>419</v>
      </c>
      <c r="O10879">
        <v>155.19</v>
      </c>
      <c r="P10879">
        <v>419</v>
      </c>
    </row>
    <row r="10880" spans="1:16" x14ac:dyDescent="0.25">
      <c r="A10880" t="s">
        <v>48083</v>
      </c>
      <c r="B10880" t="s">
        <v>48084</v>
      </c>
      <c r="C10880" t="s">
        <v>48085</v>
      </c>
      <c r="D10880" t="s">
        <v>1718</v>
      </c>
      <c r="E10880" t="s">
        <v>1719</v>
      </c>
      <c r="F10880" t="s">
        <v>24617</v>
      </c>
      <c r="G10880" t="s">
        <v>16231</v>
      </c>
      <c r="H10880" t="s">
        <v>47054</v>
      </c>
      <c r="I10880" t="s">
        <v>47116</v>
      </c>
      <c r="J10880" t="s">
        <v>47117</v>
      </c>
      <c r="K10880" t="s">
        <v>47113</v>
      </c>
      <c r="L10880">
        <v>31.94</v>
      </c>
      <c r="M10880">
        <v>137</v>
      </c>
      <c r="N10880">
        <v>369</v>
      </c>
      <c r="O10880">
        <v>137</v>
      </c>
      <c r="P10880">
        <v>369</v>
      </c>
    </row>
    <row r="10881" spans="1:16" x14ac:dyDescent="0.25">
      <c r="A10881" t="s">
        <v>48086</v>
      </c>
      <c r="B10881" t="s">
        <v>48087</v>
      </c>
      <c r="C10881" t="s">
        <v>48019</v>
      </c>
      <c r="D10881" t="s">
        <v>48020</v>
      </c>
      <c r="E10881" t="s">
        <v>48088</v>
      </c>
      <c r="F10881" t="s">
        <v>24617</v>
      </c>
      <c r="G10881" t="s">
        <v>16231</v>
      </c>
      <c r="H10881" t="s">
        <v>47054</v>
      </c>
      <c r="I10881" t="s">
        <v>47116</v>
      </c>
      <c r="J10881" t="s">
        <v>47117</v>
      </c>
      <c r="K10881" t="s">
        <v>47113</v>
      </c>
      <c r="L10881">
        <v>34.18</v>
      </c>
      <c r="M10881">
        <v>155</v>
      </c>
      <c r="N10881">
        <v>419</v>
      </c>
      <c r="O10881">
        <v>155</v>
      </c>
      <c r="P10881">
        <v>419</v>
      </c>
    </row>
    <row r="10882" spans="1:16" x14ac:dyDescent="0.25">
      <c r="A10882" t="s">
        <v>46939</v>
      </c>
      <c r="B10882" t="s">
        <v>46703</v>
      </c>
      <c r="C10882" t="s">
        <v>46704</v>
      </c>
      <c r="D10882" t="s">
        <v>33599</v>
      </c>
      <c r="E10882" t="s">
        <v>33600</v>
      </c>
      <c r="F10882" t="s">
        <v>24622</v>
      </c>
      <c r="G10882" t="s">
        <v>16231</v>
      </c>
      <c r="H10882" t="s">
        <v>47054</v>
      </c>
      <c r="I10882" t="s">
        <v>47116</v>
      </c>
      <c r="J10882" t="s">
        <v>47117</v>
      </c>
      <c r="K10882" t="s">
        <v>47113</v>
      </c>
      <c r="L10882">
        <v>28.25</v>
      </c>
      <c r="M10882">
        <v>137</v>
      </c>
      <c r="N10882">
        <v>369</v>
      </c>
      <c r="O10882">
        <v>137</v>
      </c>
      <c r="P10882">
        <v>369</v>
      </c>
    </row>
    <row r="10883" spans="1:16" x14ac:dyDescent="0.25">
      <c r="A10883" t="s">
        <v>46940</v>
      </c>
      <c r="B10883" t="s">
        <v>46705</v>
      </c>
      <c r="C10883" t="s">
        <v>46706</v>
      </c>
      <c r="D10883" t="s">
        <v>33619</v>
      </c>
      <c r="E10883" t="s">
        <v>33620</v>
      </c>
      <c r="F10883" t="s">
        <v>24622</v>
      </c>
      <c r="G10883" t="s">
        <v>16231</v>
      </c>
      <c r="H10883" t="s">
        <v>47054</v>
      </c>
      <c r="I10883" t="s">
        <v>47116</v>
      </c>
      <c r="J10883" t="s">
        <v>47117</v>
      </c>
      <c r="K10883" t="s">
        <v>47113</v>
      </c>
      <c r="L10883">
        <v>29.39</v>
      </c>
      <c r="M10883">
        <v>137</v>
      </c>
      <c r="N10883">
        <v>369</v>
      </c>
      <c r="O10883">
        <v>137</v>
      </c>
      <c r="P10883">
        <v>369</v>
      </c>
    </row>
    <row r="10884" spans="1:16" x14ac:dyDescent="0.25">
      <c r="A10884" t="s">
        <v>48089</v>
      </c>
      <c r="B10884" t="s">
        <v>48090</v>
      </c>
      <c r="C10884" t="s">
        <v>48091</v>
      </c>
      <c r="D10884" t="s">
        <v>48092</v>
      </c>
      <c r="E10884" t="s">
        <v>48093</v>
      </c>
      <c r="F10884" t="s">
        <v>47185</v>
      </c>
      <c r="G10884" t="s">
        <v>16231</v>
      </c>
      <c r="H10884" t="s">
        <v>47054</v>
      </c>
      <c r="I10884" t="s">
        <v>47116</v>
      </c>
      <c r="J10884" t="s">
        <v>47117</v>
      </c>
      <c r="K10884" t="s">
        <v>47113</v>
      </c>
      <c r="L10884">
        <v>35.659999999999997</v>
      </c>
      <c r="M10884">
        <v>155</v>
      </c>
      <c r="N10884">
        <v>419</v>
      </c>
      <c r="O10884">
        <v>155</v>
      </c>
      <c r="P10884">
        <v>419</v>
      </c>
    </row>
    <row r="10885" spans="1:16" x14ac:dyDescent="0.25">
      <c r="A10885" t="s">
        <v>48094</v>
      </c>
      <c r="B10885" t="s">
        <v>48095</v>
      </c>
      <c r="C10885" t="s">
        <v>48096</v>
      </c>
      <c r="D10885" t="s">
        <v>48004</v>
      </c>
      <c r="E10885" t="s">
        <v>48005</v>
      </c>
      <c r="F10885" t="s">
        <v>47185</v>
      </c>
      <c r="G10885" t="s">
        <v>16231</v>
      </c>
      <c r="H10885" t="s">
        <v>47054</v>
      </c>
      <c r="I10885" t="s">
        <v>47116</v>
      </c>
      <c r="J10885" t="s">
        <v>47117</v>
      </c>
      <c r="K10885" t="s">
        <v>47113</v>
      </c>
      <c r="L10885">
        <v>27.17</v>
      </c>
      <c r="M10885">
        <v>114</v>
      </c>
      <c r="N10885">
        <v>309</v>
      </c>
      <c r="O10885">
        <v>114</v>
      </c>
      <c r="P10885">
        <v>309</v>
      </c>
    </row>
    <row r="10886" spans="1:16" x14ac:dyDescent="0.25">
      <c r="A10886" t="s">
        <v>48097</v>
      </c>
      <c r="B10886" t="s">
        <v>48098</v>
      </c>
      <c r="C10886" t="s">
        <v>48099</v>
      </c>
      <c r="D10886" t="s">
        <v>1718</v>
      </c>
      <c r="E10886" t="s">
        <v>1719</v>
      </c>
      <c r="F10886" t="s">
        <v>47185</v>
      </c>
      <c r="G10886" t="s">
        <v>16231</v>
      </c>
      <c r="H10886" t="s">
        <v>47054</v>
      </c>
      <c r="I10886" t="s">
        <v>47116</v>
      </c>
      <c r="J10886" t="s">
        <v>47117</v>
      </c>
      <c r="K10886" t="s">
        <v>47113</v>
      </c>
      <c r="L10886">
        <v>37.1</v>
      </c>
      <c r="M10886">
        <v>155</v>
      </c>
      <c r="N10886">
        <v>419</v>
      </c>
      <c r="O10886">
        <v>155</v>
      </c>
      <c r="P10886">
        <v>419</v>
      </c>
    </row>
    <row r="10887" spans="1:16" x14ac:dyDescent="0.25">
      <c r="A10887" t="s">
        <v>33621</v>
      </c>
      <c r="B10887" t="s">
        <v>33622</v>
      </c>
      <c r="C10887" t="s">
        <v>33623</v>
      </c>
      <c r="D10887" t="s">
        <v>33624</v>
      </c>
      <c r="E10887" t="s">
        <v>33625</v>
      </c>
      <c r="F10887" t="s">
        <v>3750</v>
      </c>
      <c r="G10887" t="s">
        <v>16231</v>
      </c>
      <c r="H10887" t="s">
        <v>47054</v>
      </c>
      <c r="I10887" t="s">
        <v>47120</v>
      </c>
      <c r="J10887" t="s">
        <v>47121</v>
      </c>
      <c r="K10887" t="s">
        <v>47113</v>
      </c>
      <c r="L10887">
        <v>31.72</v>
      </c>
      <c r="M10887">
        <v>133</v>
      </c>
      <c r="N10887">
        <v>0</v>
      </c>
      <c r="O10887">
        <v>133</v>
      </c>
      <c r="P10887">
        <v>0</v>
      </c>
    </row>
    <row r="10888" spans="1:16" x14ac:dyDescent="0.25">
      <c r="A10888" t="s">
        <v>48100</v>
      </c>
      <c r="B10888" t="s">
        <v>48101</v>
      </c>
      <c r="C10888" t="s">
        <v>48102</v>
      </c>
      <c r="D10888" t="s">
        <v>47997</v>
      </c>
      <c r="E10888" t="s">
        <v>47998</v>
      </c>
      <c r="F10888" t="s">
        <v>47488</v>
      </c>
      <c r="G10888" t="s">
        <v>16231</v>
      </c>
      <c r="H10888" t="s">
        <v>47054</v>
      </c>
      <c r="I10888" t="s">
        <v>47116</v>
      </c>
      <c r="J10888" t="s">
        <v>47117</v>
      </c>
      <c r="K10888" t="s">
        <v>47113</v>
      </c>
      <c r="L10888">
        <v>27.92</v>
      </c>
      <c r="M10888">
        <v>114</v>
      </c>
      <c r="N10888">
        <v>309</v>
      </c>
      <c r="O10888">
        <v>114</v>
      </c>
      <c r="P10888">
        <v>309</v>
      </c>
    </row>
    <row r="10889" spans="1:16" x14ac:dyDescent="0.25">
      <c r="A10889" t="s">
        <v>33626</v>
      </c>
      <c r="B10889" t="s">
        <v>33627</v>
      </c>
      <c r="C10889" t="s">
        <v>33628</v>
      </c>
      <c r="D10889" t="s">
        <v>33629</v>
      </c>
      <c r="E10889" t="s">
        <v>33630</v>
      </c>
      <c r="F10889" t="s">
        <v>24617</v>
      </c>
      <c r="G10889" t="s">
        <v>16231</v>
      </c>
      <c r="H10889" t="s">
        <v>47054</v>
      </c>
      <c r="I10889" t="s">
        <v>47116</v>
      </c>
      <c r="J10889" t="s">
        <v>47117</v>
      </c>
      <c r="K10889" t="s">
        <v>47113</v>
      </c>
      <c r="L10889">
        <v>35.49</v>
      </c>
      <c r="M10889">
        <v>155</v>
      </c>
      <c r="N10889">
        <v>419</v>
      </c>
      <c r="O10889">
        <v>155</v>
      </c>
      <c r="P10889">
        <v>419</v>
      </c>
    </row>
    <row r="10890" spans="1:16" x14ac:dyDescent="0.25">
      <c r="A10890" t="s">
        <v>33631</v>
      </c>
      <c r="B10890" t="s">
        <v>33632</v>
      </c>
      <c r="C10890" t="s">
        <v>33633</v>
      </c>
      <c r="D10890" t="s">
        <v>33634</v>
      </c>
      <c r="E10890" t="s">
        <v>33635</v>
      </c>
      <c r="F10890" t="s">
        <v>3750</v>
      </c>
      <c r="G10890" t="s">
        <v>16231</v>
      </c>
      <c r="H10890" t="s">
        <v>47054</v>
      </c>
      <c r="I10890" t="s">
        <v>47544</v>
      </c>
      <c r="J10890" t="s">
        <v>47545</v>
      </c>
      <c r="K10890" t="s">
        <v>47113</v>
      </c>
      <c r="L10890">
        <v>23.61</v>
      </c>
      <c r="M10890">
        <v>107</v>
      </c>
      <c r="N10890">
        <v>0</v>
      </c>
      <c r="O10890">
        <v>107</v>
      </c>
      <c r="P10890">
        <v>0</v>
      </c>
    </row>
    <row r="10891" spans="1:16" x14ac:dyDescent="0.25">
      <c r="A10891" t="s">
        <v>48103</v>
      </c>
      <c r="B10891" t="s">
        <v>33632</v>
      </c>
      <c r="C10891" t="s">
        <v>33633</v>
      </c>
      <c r="D10891" t="s">
        <v>48009</v>
      </c>
      <c r="E10891" t="s">
        <v>48010</v>
      </c>
      <c r="F10891" t="s">
        <v>46687</v>
      </c>
      <c r="G10891" t="s">
        <v>16231</v>
      </c>
      <c r="H10891" t="s">
        <v>47054</v>
      </c>
      <c r="I10891" t="s">
        <v>47116</v>
      </c>
      <c r="J10891" t="s">
        <v>47117</v>
      </c>
      <c r="K10891" t="s">
        <v>47113</v>
      </c>
      <c r="L10891">
        <v>27.7</v>
      </c>
      <c r="M10891">
        <v>96</v>
      </c>
      <c r="N10891">
        <v>259</v>
      </c>
      <c r="O10891">
        <v>96</v>
      </c>
      <c r="P10891">
        <v>259</v>
      </c>
    </row>
    <row r="10892" spans="1:16" x14ac:dyDescent="0.25">
      <c r="A10892" t="s">
        <v>48104</v>
      </c>
      <c r="B10892" t="s">
        <v>48105</v>
      </c>
      <c r="C10892" t="s">
        <v>48106</v>
      </c>
      <c r="D10892" t="s">
        <v>48107</v>
      </c>
      <c r="E10892" t="s">
        <v>48108</v>
      </c>
      <c r="F10892" t="s">
        <v>47163</v>
      </c>
      <c r="G10892" t="s">
        <v>16231</v>
      </c>
      <c r="H10892" t="s">
        <v>47054</v>
      </c>
      <c r="I10892" t="s">
        <v>47116</v>
      </c>
      <c r="J10892" t="s">
        <v>47117</v>
      </c>
      <c r="K10892" t="s">
        <v>47113</v>
      </c>
      <c r="L10892">
        <v>28.72</v>
      </c>
      <c r="M10892">
        <v>96</v>
      </c>
      <c r="N10892">
        <v>259</v>
      </c>
      <c r="O10892">
        <v>96</v>
      </c>
      <c r="P10892">
        <v>259</v>
      </c>
    </row>
    <row r="10893" spans="1:16" x14ac:dyDescent="0.25">
      <c r="A10893" t="s">
        <v>33636</v>
      </c>
      <c r="B10893" t="s">
        <v>33637</v>
      </c>
      <c r="C10893" t="s">
        <v>33638</v>
      </c>
      <c r="D10893" t="str">
        <f>"1200"</f>
        <v>1200</v>
      </c>
      <c r="E10893" t="s">
        <v>33639</v>
      </c>
      <c r="F10893" t="s">
        <v>3750</v>
      </c>
      <c r="G10893" t="s">
        <v>16231</v>
      </c>
      <c r="H10893" t="s">
        <v>47054</v>
      </c>
      <c r="I10893" t="s">
        <v>47544</v>
      </c>
      <c r="J10893" t="s">
        <v>47545</v>
      </c>
      <c r="K10893" t="s">
        <v>47113</v>
      </c>
      <c r="L10893">
        <v>26.96</v>
      </c>
      <c r="M10893">
        <v>111</v>
      </c>
      <c r="N10893">
        <v>299</v>
      </c>
      <c r="O10893">
        <v>111</v>
      </c>
      <c r="P10893">
        <v>299</v>
      </c>
    </row>
    <row r="10894" spans="1:16" x14ac:dyDescent="0.25">
      <c r="A10894" t="s">
        <v>33640</v>
      </c>
      <c r="B10894" t="s">
        <v>8149</v>
      </c>
      <c r="C10894" t="s">
        <v>16236</v>
      </c>
      <c r="D10894" t="s">
        <v>8150</v>
      </c>
      <c r="E10894" t="s">
        <v>8151</v>
      </c>
      <c r="F10894" t="s">
        <v>3558</v>
      </c>
      <c r="G10894" t="s">
        <v>16231</v>
      </c>
      <c r="H10894" t="s">
        <v>47054</v>
      </c>
      <c r="I10894" t="s">
        <v>47111</v>
      </c>
      <c r="J10894" t="s">
        <v>47112</v>
      </c>
      <c r="K10894" t="s">
        <v>47113</v>
      </c>
      <c r="L10894">
        <v>57.66</v>
      </c>
      <c r="M10894">
        <v>122</v>
      </c>
      <c r="N10894">
        <v>0</v>
      </c>
      <c r="O10894">
        <v>122</v>
      </c>
      <c r="P10894">
        <v>0</v>
      </c>
    </row>
    <row r="10895" spans="1:16" x14ac:dyDescent="0.25">
      <c r="A10895" t="s">
        <v>33641</v>
      </c>
      <c r="B10895" t="s">
        <v>8152</v>
      </c>
      <c r="C10895" t="s">
        <v>17429</v>
      </c>
      <c r="D10895" t="s">
        <v>8153</v>
      </c>
      <c r="E10895" t="s">
        <v>8154</v>
      </c>
      <c r="F10895" t="s">
        <v>3558</v>
      </c>
      <c r="G10895" t="s">
        <v>16231</v>
      </c>
      <c r="H10895" t="s">
        <v>47054</v>
      </c>
      <c r="I10895" t="s">
        <v>47111</v>
      </c>
      <c r="J10895" t="s">
        <v>47112</v>
      </c>
      <c r="K10895" t="s">
        <v>47113</v>
      </c>
      <c r="L10895">
        <v>40.39</v>
      </c>
      <c r="M10895">
        <v>107</v>
      </c>
      <c r="N10895">
        <v>0</v>
      </c>
      <c r="O10895">
        <v>107</v>
      </c>
      <c r="P10895">
        <v>0</v>
      </c>
    </row>
    <row r="10896" spans="1:16" x14ac:dyDescent="0.25">
      <c r="A10896" t="s">
        <v>33642</v>
      </c>
      <c r="B10896" t="s">
        <v>8155</v>
      </c>
      <c r="C10896" t="s">
        <v>16236</v>
      </c>
      <c r="D10896" t="s">
        <v>7145</v>
      </c>
      <c r="E10896" t="s">
        <v>7146</v>
      </c>
      <c r="F10896" t="s">
        <v>3558</v>
      </c>
      <c r="G10896" t="s">
        <v>16231</v>
      </c>
      <c r="H10896" t="s">
        <v>47054</v>
      </c>
      <c r="I10896" t="s">
        <v>47111</v>
      </c>
      <c r="J10896" t="s">
        <v>47112</v>
      </c>
      <c r="K10896" t="s">
        <v>47113</v>
      </c>
      <c r="L10896">
        <v>60.87</v>
      </c>
      <c r="M10896">
        <v>122</v>
      </c>
      <c r="N10896">
        <v>0</v>
      </c>
      <c r="O10896">
        <v>122</v>
      </c>
      <c r="P10896">
        <v>0</v>
      </c>
    </row>
    <row r="10897" spans="1:16" x14ac:dyDescent="0.25">
      <c r="A10897" t="s">
        <v>33643</v>
      </c>
      <c r="B10897" t="s">
        <v>8156</v>
      </c>
      <c r="C10897" t="s">
        <v>17429</v>
      </c>
      <c r="D10897" t="s">
        <v>8157</v>
      </c>
      <c r="E10897" t="s">
        <v>8158</v>
      </c>
      <c r="F10897" t="s">
        <v>3558</v>
      </c>
      <c r="G10897" t="s">
        <v>16231</v>
      </c>
      <c r="H10897" t="s">
        <v>47054</v>
      </c>
      <c r="I10897" t="s">
        <v>47111</v>
      </c>
      <c r="J10897" t="s">
        <v>47112</v>
      </c>
      <c r="K10897" t="s">
        <v>47113</v>
      </c>
      <c r="L10897">
        <v>40.65</v>
      </c>
      <c r="M10897">
        <v>111</v>
      </c>
      <c r="N10897">
        <v>0</v>
      </c>
      <c r="O10897">
        <v>111</v>
      </c>
      <c r="P10897">
        <v>0</v>
      </c>
    </row>
    <row r="10898" spans="1:16" x14ac:dyDescent="0.25">
      <c r="A10898" t="s">
        <v>33644</v>
      </c>
      <c r="B10898" t="s">
        <v>15614</v>
      </c>
      <c r="C10898" t="s">
        <v>16236</v>
      </c>
      <c r="D10898" t="s">
        <v>15615</v>
      </c>
      <c r="E10898" t="s">
        <v>15616</v>
      </c>
      <c r="F10898" t="s">
        <v>3558</v>
      </c>
      <c r="G10898" t="s">
        <v>16231</v>
      </c>
      <c r="H10898" t="s">
        <v>47054</v>
      </c>
      <c r="I10898" t="s">
        <v>47111</v>
      </c>
      <c r="J10898" t="s">
        <v>47112</v>
      </c>
      <c r="K10898" t="s">
        <v>47113</v>
      </c>
      <c r="L10898">
        <v>57.24</v>
      </c>
      <c r="M10898">
        <v>122</v>
      </c>
      <c r="N10898">
        <v>0</v>
      </c>
      <c r="O10898">
        <v>122</v>
      </c>
      <c r="P10898">
        <v>0</v>
      </c>
    </row>
    <row r="10899" spans="1:16" x14ac:dyDescent="0.25">
      <c r="A10899" t="s">
        <v>33645</v>
      </c>
      <c r="B10899" t="s">
        <v>15617</v>
      </c>
      <c r="C10899" t="s">
        <v>17867</v>
      </c>
      <c r="D10899" t="s">
        <v>7156</v>
      </c>
      <c r="E10899" t="s">
        <v>7157</v>
      </c>
      <c r="F10899" t="s">
        <v>15183</v>
      </c>
      <c r="G10899" t="s">
        <v>16231</v>
      </c>
      <c r="H10899" t="s">
        <v>47054</v>
      </c>
      <c r="I10899" t="s">
        <v>47111</v>
      </c>
      <c r="J10899" t="s">
        <v>47112</v>
      </c>
      <c r="K10899" t="s">
        <v>47113</v>
      </c>
      <c r="L10899">
        <v>48.65</v>
      </c>
      <c r="M10899">
        <v>74</v>
      </c>
      <c r="N10899">
        <v>0</v>
      </c>
      <c r="O10899">
        <v>74</v>
      </c>
      <c r="P10899">
        <v>0</v>
      </c>
    </row>
    <row r="10900" spans="1:16" x14ac:dyDescent="0.25">
      <c r="A10900" t="s">
        <v>33646</v>
      </c>
      <c r="B10900" t="s">
        <v>15618</v>
      </c>
      <c r="C10900" t="s">
        <v>20591</v>
      </c>
      <c r="D10900" t="s">
        <v>721</v>
      </c>
      <c r="E10900" t="s">
        <v>722</v>
      </c>
      <c r="F10900" t="s">
        <v>3750</v>
      </c>
      <c r="G10900" t="s">
        <v>16231</v>
      </c>
      <c r="H10900" t="s">
        <v>47054</v>
      </c>
      <c r="I10900" t="s">
        <v>47111</v>
      </c>
      <c r="J10900" t="s">
        <v>47112</v>
      </c>
      <c r="K10900" t="s">
        <v>47113</v>
      </c>
      <c r="L10900">
        <v>68.11</v>
      </c>
      <c r="M10900">
        <v>118</v>
      </c>
      <c r="N10900">
        <v>0</v>
      </c>
      <c r="O10900">
        <v>118</v>
      </c>
      <c r="P10900">
        <v>0</v>
      </c>
    </row>
    <row r="10901" spans="1:16" x14ac:dyDescent="0.25">
      <c r="A10901" t="s">
        <v>33647</v>
      </c>
      <c r="B10901" t="s">
        <v>15618</v>
      </c>
      <c r="C10901" t="s">
        <v>20591</v>
      </c>
      <c r="D10901" t="s">
        <v>7156</v>
      </c>
      <c r="E10901" t="s">
        <v>7157</v>
      </c>
      <c r="F10901" t="s">
        <v>15183</v>
      </c>
      <c r="G10901" t="s">
        <v>16231</v>
      </c>
      <c r="H10901" t="s">
        <v>47054</v>
      </c>
      <c r="I10901" t="s">
        <v>47111</v>
      </c>
      <c r="J10901" t="s">
        <v>47112</v>
      </c>
      <c r="K10901" t="s">
        <v>47113</v>
      </c>
      <c r="L10901">
        <v>68.11</v>
      </c>
      <c r="M10901">
        <v>118</v>
      </c>
      <c r="N10901">
        <v>0</v>
      </c>
      <c r="O10901">
        <v>118</v>
      </c>
      <c r="P10901">
        <v>0</v>
      </c>
    </row>
    <row r="10902" spans="1:16" x14ac:dyDescent="0.25">
      <c r="A10902" t="s">
        <v>33648</v>
      </c>
      <c r="B10902" t="s">
        <v>20592</v>
      </c>
      <c r="C10902" t="s">
        <v>20593</v>
      </c>
      <c r="D10902" t="s">
        <v>20573</v>
      </c>
      <c r="E10902" t="s">
        <v>20574</v>
      </c>
      <c r="F10902" t="s">
        <v>3750</v>
      </c>
      <c r="G10902" t="s">
        <v>16231</v>
      </c>
      <c r="H10902" t="s">
        <v>47054</v>
      </c>
      <c r="I10902" t="s">
        <v>47116</v>
      </c>
      <c r="J10902" t="s">
        <v>47117</v>
      </c>
      <c r="K10902" t="s">
        <v>47113</v>
      </c>
      <c r="L10902">
        <v>22.79</v>
      </c>
      <c r="M10902">
        <v>85</v>
      </c>
      <c r="N10902">
        <v>229</v>
      </c>
      <c r="O10902">
        <v>85</v>
      </c>
      <c r="P10902">
        <v>229</v>
      </c>
    </row>
    <row r="10903" spans="1:16" x14ac:dyDescent="0.25">
      <c r="A10903" t="s">
        <v>33649</v>
      </c>
      <c r="B10903" t="s">
        <v>20594</v>
      </c>
      <c r="C10903" t="s">
        <v>20595</v>
      </c>
      <c r="D10903" t="s">
        <v>20596</v>
      </c>
      <c r="E10903" t="s">
        <v>20597</v>
      </c>
      <c r="F10903" t="s">
        <v>3750</v>
      </c>
      <c r="G10903" t="s">
        <v>16233</v>
      </c>
      <c r="H10903" t="s">
        <v>47054</v>
      </c>
      <c r="I10903" t="s">
        <v>47116</v>
      </c>
      <c r="J10903" t="s">
        <v>47117</v>
      </c>
      <c r="K10903" t="s">
        <v>47113</v>
      </c>
      <c r="L10903">
        <v>19.05</v>
      </c>
      <c r="M10903">
        <v>80</v>
      </c>
      <c r="N10903">
        <v>0</v>
      </c>
      <c r="O10903">
        <v>80</v>
      </c>
      <c r="P10903">
        <v>0</v>
      </c>
    </row>
    <row r="10904" spans="1:16" x14ac:dyDescent="0.25">
      <c r="A10904" t="s">
        <v>48109</v>
      </c>
      <c r="B10904" t="s">
        <v>48110</v>
      </c>
      <c r="C10904" t="s">
        <v>48111</v>
      </c>
      <c r="D10904" t="s">
        <v>1718</v>
      </c>
      <c r="E10904" t="s">
        <v>1719</v>
      </c>
      <c r="F10904" t="s">
        <v>31484</v>
      </c>
      <c r="G10904" t="s">
        <v>16233</v>
      </c>
      <c r="H10904" t="s">
        <v>47054</v>
      </c>
      <c r="I10904" t="s">
        <v>47116</v>
      </c>
      <c r="J10904" t="s">
        <v>47117</v>
      </c>
      <c r="K10904" t="s">
        <v>47113</v>
      </c>
      <c r="L10904">
        <v>27.9</v>
      </c>
      <c r="M10904">
        <v>126</v>
      </c>
      <c r="N10904">
        <v>339</v>
      </c>
      <c r="O10904">
        <v>126</v>
      </c>
      <c r="P10904">
        <v>339</v>
      </c>
    </row>
    <row r="10905" spans="1:16" x14ac:dyDescent="0.25">
      <c r="A10905" t="s">
        <v>48112</v>
      </c>
      <c r="B10905" t="s">
        <v>48113</v>
      </c>
      <c r="C10905" t="s">
        <v>48114</v>
      </c>
      <c r="D10905" t="s">
        <v>33599</v>
      </c>
      <c r="E10905" t="s">
        <v>33600</v>
      </c>
      <c r="F10905" t="s">
        <v>47163</v>
      </c>
      <c r="G10905" t="s">
        <v>16233</v>
      </c>
      <c r="H10905" t="s">
        <v>47054</v>
      </c>
      <c r="I10905" t="s">
        <v>47116</v>
      </c>
      <c r="J10905" t="s">
        <v>47117</v>
      </c>
      <c r="K10905" t="s">
        <v>47113</v>
      </c>
      <c r="L10905">
        <v>31.48</v>
      </c>
      <c r="M10905">
        <v>126</v>
      </c>
      <c r="N10905">
        <v>339</v>
      </c>
      <c r="O10905">
        <v>126</v>
      </c>
      <c r="P10905">
        <v>339</v>
      </c>
    </row>
    <row r="10906" spans="1:16" x14ac:dyDescent="0.25">
      <c r="A10906" t="s">
        <v>33650</v>
      </c>
      <c r="B10906" t="s">
        <v>33651</v>
      </c>
      <c r="C10906" t="s">
        <v>33652</v>
      </c>
      <c r="D10906" t="s">
        <v>33629</v>
      </c>
      <c r="E10906" t="s">
        <v>33630</v>
      </c>
      <c r="F10906" t="s">
        <v>24627</v>
      </c>
      <c r="G10906" t="s">
        <v>16233</v>
      </c>
      <c r="H10906" t="s">
        <v>47054</v>
      </c>
      <c r="I10906" t="s">
        <v>47116</v>
      </c>
      <c r="J10906" t="s">
        <v>47117</v>
      </c>
      <c r="K10906" t="s">
        <v>47113</v>
      </c>
      <c r="L10906">
        <v>37.04</v>
      </c>
      <c r="M10906">
        <v>70</v>
      </c>
      <c r="N10906">
        <v>189</v>
      </c>
      <c r="O10906">
        <v>70</v>
      </c>
      <c r="P10906">
        <v>189</v>
      </c>
    </row>
    <row r="10907" spans="1:16" x14ac:dyDescent="0.25">
      <c r="A10907" t="s">
        <v>22786</v>
      </c>
      <c r="B10907" t="s">
        <v>20598</v>
      </c>
      <c r="C10907" t="s">
        <v>20599</v>
      </c>
      <c r="D10907" t="s">
        <v>20585</v>
      </c>
      <c r="E10907" t="s">
        <v>20586</v>
      </c>
      <c r="F10907" t="s">
        <v>3750</v>
      </c>
      <c r="G10907" t="s">
        <v>16233</v>
      </c>
      <c r="H10907" t="s">
        <v>47054</v>
      </c>
      <c r="I10907" t="s">
        <v>47116</v>
      </c>
      <c r="J10907" t="s">
        <v>47117</v>
      </c>
      <c r="K10907" t="s">
        <v>47113</v>
      </c>
      <c r="L10907">
        <v>24.75</v>
      </c>
      <c r="M10907">
        <v>95</v>
      </c>
      <c r="N10907">
        <v>0</v>
      </c>
      <c r="O10907">
        <v>95</v>
      </c>
      <c r="P10907">
        <v>0</v>
      </c>
    </row>
    <row r="10908" spans="1:16" x14ac:dyDescent="0.25">
      <c r="A10908" t="s">
        <v>33653</v>
      </c>
      <c r="B10908" t="s">
        <v>20600</v>
      </c>
      <c r="C10908" t="s">
        <v>20601</v>
      </c>
      <c r="D10908" t="s">
        <v>20602</v>
      </c>
      <c r="E10908" t="s">
        <v>20603</v>
      </c>
      <c r="F10908" t="s">
        <v>3750</v>
      </c>
      <c r="G10908" t="s">
        <v>16233</v>
      </c>
      <c r="H10908" t="s">
        <v>47054</v>
      </c>
      <c r="I10908" t="s">
        <v>47116</v>
      </c>
      <c r="J10908" t="s">
        <v>47117</v>
      </c>
      <c r="K10908" t="s">
        <v>47113</v>
      </c>
      <c r="L10908">
        <v>20.64</v>
      </c>
      <c r="M10908">
        <v>80</v>
      </c>
      <c r="N10908">
        <v>0</v>
      </c>
      <c r="O10908">
        <v>80</v>
      </c>
      <c r="P10908">
        <v>0</v>
      </c>
    </row>
    <row r="10909" spans="1:16" x14ac:dyDescent="0.25">
      <c r="A10909" t="s">
        <v>48115</v>
      </c>
      <c r="B10909" t="s">
        <v>48116</v>
      </c>
      <c r="C10909" t="s">
        <v>48117</v>
      </c>
      <c r="D10909" t="s">
        <v>48107</v>
      </c>
      <c r="E10909" t="s">
        <v>48108</v>
      </c>
      <c r="F10909" t="s">
        <v>31484</v>
      </c>
      <c r="G10909" t="s">
        <v>16233</v>
      </c>
      <c r="H10909" t="s">
        <v>47054</v>
      </c>
      <c r="I10909" t="s">
        <v>47116</v>
      </c>
      <c r="J10909" t="s">
        <v>47117</v>
      </c>
      <c r="K10909" t="s">
        <v>47113</v>
      </c>
      <c r="L10909">
        <v>30.5</v>
      </c>
      <c r="M10909">
        <v>126</v>
      </c>
      <c r="N10909">
        <v>339</v>
      </c>
      <c r="O10909">
        <v>126</v>
      </c>
      <c r="P10909">
        <v>339</v>
      </c>
    </row>
    <row r="10910" spans="1:16" x14ac:dyDescent="0.25">
      <c r="A10910" t="s">
        <v>22787</v>
      </c>
      <c r="B10910" t="s">
        <v>20604</v>
      </c>
      <c r="C10910" t="s">
        <v>20605</v>
      </c>
      <c r="D10910" t="s">
        <v>20577</v>
      </c>
      <c r="E10910" t="s">
        <v>20578</v>
      </c>
      <c r="F10910" t="s">
        <v>3750</v>
      </c>
      <c r="G10910" t="s">
        <v>16233</v>
      </c>
      <c r="H10910" t="s">
        <v>47054</v>
      </c>
      <c r="I10910" t="s">
        <v>47116</v>
      </c>
      <c r="J10910" t="s">
        <v>47117</v>
      </c>
      <c r="K10910" t="s">
        <v>47113</v>
      </c>
      <c r="L10910">
        <v>23.03</v>
      </c>
      <c r="M10910">
        <v>80</v>
      </c>
      <c r="N10910">
        <v>0</v>
      </c>
      <c r="O10910">
        <v>80</v>
      </c>
      <c r="P10910">
        <v>0</v>
      </c>
    </row>
    <row r="10911" spans="1:16" x14ac:dyDescent="0.25">
      <c r="A10911" t="s">
        <v>33654</v>
      </c>
      <c r="B10911" t="s">
        <v>20606</v>
      </c>
      <c r="C10911" t="s">
        <v>20607</v>
      </c>
      <c r="D10911" t="s">
        <v>20608</v>
      </c>
      <c r="E10911" t="s">
        <v>20609</v>
      </c>
      <c r="F10911" t="s">
        <v>3750</v>
      </c>
      <c r="G10911" t="s">
        <v>16231</v>
      </c>
      <c r="H10911" t="s">
        <v>47054</v>
      </c>
      <c r="I10911" t="s">
        <v>47116</v>
      </c>
      <c r="J10911" t="s">
        <v>47117</v>
      </c>
      <c r="K10911" t="s">
        <v>47113</v>
      </c>
      <c r="L10911">
        <v>23.13</v>
      </c>
      <c r="M10911">
        <v>95</v>
      </c>
      <c r="N10911">
        <v>0</v>
      </c>
      <c r="O10911">
        <v>95</v>
      </c>
      <c r="P10911">
        <v>0</v>
      </c>
    </row>
    <row r="10912" spans="1:16" x14ac:dyDescent="0.25">
      <c r="A10912" t="s">
        <v>33655</v>
      </c>
      <c r="B10912" t="s">
        <v>20610</v>
      </c>
      <c r="C10912" t="s">
        <v>20611</v>
      </c>
      <c r="D10912" t="s">
        <v>20577</v>
      </c>
      <c r="E10912" t="s">
        <v>20612</v>
      </c>
      <c r="F10912" t="s">
        <v>3750</v>
      </c>
      <c r="G10912" t="s">
        <v>16231</v>
      </c>
      <c r="H10912" t="s">
        <v>47054</v>
      </c>
      <c r="I10912" t="s">
        <v>47116</v>
      </c>
      <c r="J10912" t="s">
        <v>47117</v>
      </c>
      <c r="K10912" t="s">
        <v>47113</v>
      </c>
      <c r="L10912">
        <v>35.36</v>
      </c>
      <c r="M10912">
        <v>137</v>
      </c>
      <c r="N10912">
        <v>369</v>
      </c>
      <c r="O10912">
        <v>137</v>
      </c>
      <c r="P10912">
        <v>369</v>
      </c>
    </row>
    <row r="10913" spans="1:16" x14ac:dyDescent="0.25">
      <c r="A10913" t="s">
        <v>33656</v>
      </c>
      <c r="B10913" t="s">
        <v>33657</v>
      </c>
      <c r="C10913" t="s">
        <v>20740</v>
      </c>
      <c r="D10913" t="s">
        <v>721</v>
      </c>
      <c r="E10913" t="s">
        <v>722</v>
      </c>
      <c r="F10913" t="s">
        <v>3750</v>
      </c>
      <c r="G10913" t="s">
        <v>16231</v>
      </c>
      <c r="H10913" t="s">
        <v>47054</v>
      </c>
      <c r="I10913" t="s">
        <v>47116</v>
      </c>
      <c r="J10913" t="s">
        <v>47117</v>
      </c>
      <c r="K10913" t="s">
        <v>47113</v>
      </c>
      <c r="L10913">
        <v>16.62</v>
      </c>
      <c r="M10913">
        <v>85</v>
      </c>
      <c r="N10913">
        <v>229</v>
      </c>
      <c r="O10913">
        <v>85</v>
      </c>
      <c r="P10913">
        <v>229</v>
      </c>
    </row>
    <row r="10914" spans="1:16" x14ac:dyDescent="0.25">
      <c r="A10914" t="s">
        <v>33658</v>
      </c>
      <c r="B10914" t="s">
        <v>33657</v>
      </c>
      <c r="C10914" t="s">
        <v>20740</v>
      </c>
      <c r="D10914" t="s">
        <v>33614</v>
      </c>
      <c r="E10914" t="s">
        <v>33615</v>
      </c>
      <c r="F10914" t="s">
        <v>24622</v>
      </c>
      <c r="G10914" t="s">
        <v>16231</v>
      </c>
      <c r="H10914" t="s">
        <v>47054</v>
      </c>
      <c r="I10914" t="s">
        <v>47116</v>
      </c>
      <c r="J10914" t="s">
        <v>47117</v>
      </c>
      <c r="K10914" t="s">
        <v>47113</v>
      </c>
      <c r="L10914">
        <v>25.87</v>
      </c>
      <c r="M10914">
        <v>96</v>
      </c>
      <c r="N10914">
        <v>259</v>
      </c>
      <c r="O10914">
        <v>96</v>
      </c>
      <c r="P10914">
        <v>259</v>
      </c>
    </row>
    <row r="10915" spans="1:16" x14ac:dyDescent="0.25">
      <c r="A10915" t="s">
        <v>33659</v>
      </c>
      <c r="B10915" t="s">
        <v>20613</v>
      </c>
      <c r="C10915" t="s">
        <v>20614</v>
      </c>
      <c r="D10915" t="s">
        <v>20615</v>
      </c>
      <c r="E10915" t="s">
        <v>20616</v>
      </c>
      <c r="F10915" t="s">
        <v>3750</v>
      </c>
      <c r="G10915" t="s">
        <v>16231</v>
      </c>
      <c r="H10915" t="s">
        <v>47054</v>
      </c>
      <c r="I10915" t="s">
        <v>47116</v>
      </c>
      <c r="J10915" t="s">
        <v>47117</v>
      </c>
      <c r="K10915" t="s">
        <v>47113</v>
      </c>
      <c r="L10915">
        <v>25.55</v>
      </c>
      <c r="M10915">
        <v>108</v>
      </c>
      <c r="N10915">
        <v>0</v>
      </c>
      <c r="O10915">
        <v>108</v>
      </c>
      <c r="P10915">
        <v>0</v>
      </c>
    </row>
    <row r="10916" spans="1:16" x14ac:dyDescent="0.25">
      <c r="A10916" t="s">
        <v>33660</v>
      </c>
      <c r="B10916" t="s">
        <v>20617</v>
      </c>
      <c r="C10916" t="s">
        <v>20618</v>
      </c>
      <c r="D10916" t="s">
        <v>20585</v>
      </c>
      <c r="E10916" t="s">
        <v>20586</v>
      </c>
      <c r="F10916" t="s">
        <v>3750</v>
      </c>
      <c r="G10916" t="s">
        <v>16231</v>
      </c>
      <c r="H10916" t="s">
        <v>47054</v>
      </c>
      <c r="I10916" t="s">
        <v>47116</v>
      </c>
      <c r="J10916" t="s">
        <v>47117</v>
      </c>
      <c r="K10916" t="s">
        <v>47113</v>
      </c>
      <c r="L10916">
        <v>27.97</v>
      </c>
      <c r="M10916">
        <v>108</v>
      </c>
      <c r="N10916">
        <v>0</v>
      </c>
      <c r="O10916">
        <v>108</v>
      </c>
      <c r="P10916">
        <v>0</v>
      </c>
    </row>
    <row r="10917" spans="1:16" x14ac:dyDescent="0.25">
      <c r="A10917" t="s">
        <v>17868</v>
      </c>
      <c r="B10917" t="s">
        <v>8159</v>
      </c>
      <c r="C10917" t="s">
        <v>17869</v>
      </c>
      <c r="D10917" t="s">
        <v>8160</v>
      </c>
      <c r="E10917" t="s">
        <v>8161</v>
      </c>
      <c r="F10917" t="s">
        <v>3558</v>
      </c>
      <c r="G10917" t="s">
        <v>16231</v>
      </c>
      <c r="H10917" t="s">
        <v>47054</v>
      </c>
      <c r="I10917" t="s">
        <v>47111</v>
      </c>
      <c r="J10917" t="s">
        <v>47112</v>
      </c>
      <c r="K10917" t="s">
        <v>47113</v>
      </c>
      <c r="L10917">
        <v>53.07</v>
      </c>
      <c r="M10917">
        <v>122</v>
      </c>
      <c r="N10917">
        <v>0</v>
      </c>
      <c r="O10917">
        <v>122</v>
      </c>
      <c r="P10917">
        <v>0</v>
      </c>
    </row>
    <row r="10918" spans="1:16" x14ac:dyDescent="0.25">
      <c r="A10918" t="s">
        <v>33661</v>
      </c>
      <c r="B10918" t="s">
        <v>8162</v>
      </c>
      <c r="C10918" t="s">
        <v>17870</v>
      </c>
      <c r="D10918" t="s">
        <v>7145</v>
      </c>
      <c r="E10918" t="s">
        <v>7146</v>
      </c>
      <c r="F10918" t="s">
        <v>3558</v>
      </c>
      <c r="G10918" t="s">
        <v>16231</v>
      </c>
      <c r="H10918" t="s">
        <v>47054</v>
      </c>
      <c r="I10918" t="s">
        <v>47111</v>
      </c>
      <c r="J10918" t="s">
        <v>47112</v>
      </c>
      <c r="K10918" t="s">
        <v>47113</v>
      </c>
      <c r="L10918">
        <v>56.19</v>
      </c>
      <c r="M10918">
        <v>122</v>
      </c>
      <c r="N10918">
        <v>0</v>
      </c>
      <c r="O10918">
        <v>122</v>
      </c>
      <c r="P10918">
        <v>0</v>
      </c>
    </row>
    <row r="10919" spans="1:16" x14ac:dyDescent="0.25">
      <c r="A10919" t="s">
        <v>33662</v>
      </c>
      <c r="B10919" t="s">
        <v>33663</v>
      </c>
      <c r="C10919" t="s">
        <v>33664</v>
      </c>
      <c r="D10919" t="s">
        <v>33553</v>
      </c>
      <c r="E10919" t="s">
        <v>33554</v>
      </c>
      <c r="F10919" t="s">
        <v>3750</v>
      </c>
      <c r="G10919" t="s">
        <v>16224</v>
      </c>
      <c r="H10919" t="s">
        <v>47054</v>
      </c>
      <c r="I10919" t="s">
        <v>47120</v>
      </c>
      <c r="J10919" t="s">
        <v>47121</v>
      </c>
      <c r="K10919" t="s">
        <v>47113</v>
      </c>
      <c r="L10919">
        <v>34.57</v>
      </c>
      <c r="M10919">
        <v>107</v>
      </c>
      <c r="N10919">
        <v>0</v>
      </c>
      <c r="O10919">
        <v>107</v>
      </c>
      <c r="P10919">
        <v>0</v>
      </c>
    </row>
    <row r="10920" spans="1:16" x14ac:dyDescent="0.25">
      <c r="A10920" t="s">
        <v>33665</v>
      </c>
      <c r="B10920" t="s">
        <v>33666</v>
      </c>
      <c r="C10920" t="s">
        <v>33667</v>
      </c>
      <c r="D10920" t="s">
        <v>33624</v>
      </c>
      <c r="E10920" t="s">
        <v>33625</v>
      </c>
      <c r="F10920" t="s">
        <v>3750</v>
      </c>
      <c r="G10920" t="s">
        <v>16224</v>
      </c>
      <c r="H10920" t="s">
        <v>47054</v>
      </c>
      <c r="I10920" t="s">
        <v>47116</v>
      </c>
      <c r="J10920" t="s">
        <v>47117</v>
      </c>
      <c r="K10920" t="s">
        <v>47113</v>
      </c>
      <c r="L10920">
        <v>42.39</v>
      </c>
      <c r="M10920">
        <v>148</v>
      </c>
      <c r="N10920">
        <v>399</v>
      </c>
      <c r="O10920">
        <v>148</v>
      </c>
      <c r="P10920">
        <v>399</v>
      </c>
    </row>
    <row r="10921" spans="1:16" x14ac:dyDescent="0.25">
      <c r="A10921" t="s">
        <v>33668</v>
      </c>
      <c r="B10921" t="s">
        <v>33669</v>
      </c>
      <c r="C10921" t="s">
        <v>33670</v>
      </c>
      <c r="D10921" t="s">
        <v>33594</v>
      </c>
      <c r="E10921" t="s">
        <v>33595</v>
      </c>
      <c r="F10921" t="s">
        <v>3750</v>
      </c>
      <c r="G10921" t="s">
        <v>16224</v>
      </c>
      <c r="H10921" t="s">
        <v>47054</v>
      </c>
      <c r="I10921" t="s">
        <v>47116</v>
      </c>
      <c r="J10921" t="s">
        <v>47117</v>
      </c>
      <c r="K10921" t="s">
        <v>47113</v>
      </c>
      <c r="L10921">
        <v>41.78</v>
      </c>
      <c r="M10921">
        <v>148</v>
      </c>
      <c r="N10921">
        <v>399</v>
      </c>
      <c r="O10921">
        <v>148</v>
      </c>
      <c r="P10921">
        <v>399</v>
      </c>
    </row>
    <row r="10922" spans="1:16" x14ac:dyDescent="0.25">
      <c r="A10922" t="s">
        <v>33671</v>
      </c>
      <c r="B10922" t="s">
        <v>8163</v>
      </c>
      <c r="C10922" t="s">
        <v>17871</v>
      </c>
      <c r="D10922" t="s">
        <v>7145</v>
      </c>
      <c r="E10922" t="s">
        <v>7146</v>
      </c>
      <c r="F10922" t="s">
        <v>3558</v>
      </c>
      <c r="G10922" t="s">
        <v>16231</v>
      </c>
      <c r="H10922" t="s">
        <v>47054</v>
      </c>
      <c r="I10922" t="s">
        <v>47111</v>
      </c>
      <c r="J10922" t="s">
        <v>47112</v>
      </c>
      <c r="K10922" t="s">
        <v>47113</v>
      </c>
      <c r="L10922">
        <v>57.66</v>
      </c>
      <c r="M10922">
        <v>111</v>
      </c>
      <c r="N10922">
        <v>0</v>
      </c>
      <c r="O10922">
        <v>111</v>
      </c>
      <c r="P10922">
        <v>0</v>
      </c>
    </row>
    <row r="10923" spans="1:16" x14ac:dyDescent="0.25">
      <c r="A10923" t="s">
        <v>33672</v>
      </c>
      <c r="B10923" t="s">
        <v>15619</v>
      </c>
      <c r="C10923" t="s">
        <v>17872</v>
      </c>
      <c r="D10923" t="s">
        <v>15615</v>
      </c>
      <c r="E10923" t="s">
        <v>15616</v>
      </c>
      <c r="F10923" t="s">
        <v>3558</v>
      </c>
      <c r="G10923" t="s">
        <v>16233</v>
      </c>
      <c r="H10923" t="s">
        <v>47054</v>
      </c>
      <c r="I10923" t="s">
        <v>47111</v>
      </c>
      <c r="J10923" t="s">
        <v>47112</v>
      </c>
      <c r="K10923" t="s">
        <v>47113</v>
      </c>
      <c r="L10923">
        <v>53.94</v>
      </c>
      <c r="M10923">
        <v>111</v>
      </c>
      <c r="N10923">
        <v>0</v>
      </c>
      <c r="O10923">
        <v>111</v>
      </c>
      <c r="P10923">
        <v>0</v>
      </c>
    </row>
    <row r="10924" spans="1:16" x14ac:dyDescent="0.25">
      <c r="A10924" t="s">
        <v>33673</v>
      </c>
      <c r="B10924" t="s">
        <v>20619</v>
      </c>
      <c r="C10924" t="s">
        <v>20620</v>
      </c>
      <c r="D10924" t="s">
        <v>20573</v>
      </c>
      <c r="E10924" t="s">
        <v>20574</v>
      </c>
      <c r="F10924" t="s">
        <v>3750</v>
      </c>
      <c r="G10924" t="s">
        <v>16231</v>
      </c>
      <c r="H10924" t="s">
        <v>47054</v>
      </c>
      <c r="I10924" t="s">
        <v>47116</v>
      </c>
      <c r="J10924" t="s">
        <v>47117</v>
      </c>
      <c r="K10924" t="s">
        <v>47113</v>
      </c>
      <c r="L10924">
        <v>22.94</v>
      </c>
      <c r="M10924">
        <v>80</v>
      </c>
      <c r="N10924">
        <v>0</v>
      </c>
      <c r="O10924">
        <v>80</v>
      </c>
      <c r="P10924">
        <v>0</v>
      </c>
    </row>
    <row r="10925" spans="1:16" x14ac:dyDescent="0.25">
      <c r="A10925" t="s">
        <v>33674</v>
      </c>
      <c r="B10925" t="s">
        <v>33675</v>
      </c>
      <c r="C10925" t="s">
        <v>33676</v>
      </c>
      <c r="D10925" t="s">
        <v>721</v>
      </c>
      <c r="E10925" t="s">
        <v>722</v>
      </c>
      <c r="F10925" t="s">
        <v>3750</v>
      </c>
      <c r="G10925" t="s">
        <v>16231</v>
      </c>
      <c r="H10925" t="s">
        <v>47054</v>
      </c>
      <c r="I10925" t="s">
        <v>47116</v>
      </c>
      <c r="J10925" t="s">
        <v>47117</v>
      </c>
      <c r="K10925" t="s">
        <v>47113</v>
      </c>
      <c r="L10925">
        <v>16.64</v>
      </c>
      <c r="M10925">
        <v>80</v>
      </c>
      <c r="N10925">
        <v>0</v>
      </c>
      <c r="O10925">
        <v>80</v>
      </c>
      <c r="P10925">
        <v>0</v>
      </c>
    </row>
    <row r="10926" spans="1:16" x14ac:dyDescent="0.25">
      <c r="A10926" t="s">
        <v>48118</v>
      </c>
      <c r="B10926" t="s">
        <v>48119</v>
      </c>
      <c r="C10926" t="s">
        <v>48120</v>
      </c>
      <c r="D10926" t="s">
        <v>48071</v>
      </c>
      <c r="E10926" t="s">
        <v>48072</v>
      </c>
      <c r="F10926" t="s">
        <v>47171</v>
      </c>
      <c r="G10926" t="s">
        <v>16231</v>
      </c>
      <c r="H10926" t="s">
        <v>47054</v>
      </c>
      <c r="I10926" t="s">
        <v>47116</v>
      </c>
      <c r="J10926" t="s">
        <v>47117</v>
      </c>
      <c r="K10926" t="s">
        <v>47113</v>
      </c>
      <c r="L10926">
        <v>27.42</v>
      </c>
      <c r="M10926">
        <v>114</v>
      </c>
      <c r="N10926">
        <v>309</v>
      </c>
      <c r="O10926">
        <v>114</v>
      </c>
      <c r="P10926">
        <v>309</v>
      </c>
    </row>
    <row r="10927" spans="1:16" x14ac:dyDescent="0.25">
      <c r="A10927" t="s">
        <v>48121</v>
      </c>
      <c r="B10927" t="s">
        <v>48122</v>
      </c>
      <c r="C10927" t="s">
        <v>48123</v>
      </c>
      <c r="D10927" t="s">
        <v>47997</v>
      </c>
      <c r="E10927" t="s">
        <v>47998</v>
      </c>
      <c r="F10927" t="s">
        <v>47479</v>
      </c>
      <c r="G10927" t="s">
        <v>16231</v>
      </c>
      <c r="H10927" t="s">
        <v>47054</v>
      </c>
      <c r="I10927" t="s">
        <v>47116</v>
      </c>
      <c r="J10927" t="s">
        <v>47117</v>
      </c>
      <c r="K10927" t="s">
        <v>47113</v>
      </c>
      <c r="L10927">
        <v>36.54</v>
      </c>
      <c r="M10927">
        <v>155</v>
      </c>
      <c r="N10927">
        <v>419</v>
      </c>
      <c r="O10927">
        <v>155</v>
      </c>
      <c r="P10927">
        <v>419</v>
      </c>
    </row>
    <row r="10928" spans="1:16" x14ac:dyDescent="0.25">
      <c r="A10928" t="s">
        <v>48124</v>
      </c>
      <c r="B10928" t="s">
        <v>48125</v>
      </c>
      <c r="C10928" t="s">
        <v>48126</v>
      </c>
      <c r="D10928" t="s">
        <v>48071</v>
      </c>
      <c r="E10928" t="s">
        <v>48072</v>
      </c>
      <c r="F10928" t="s">
        <v>47479</v>
      </c>
      <c r="G10928" t="s">
        <v>16231</v>
      </c>
      <c r="H10928" t="s">
        <v>47054</v>
      </c>
      <c r="I10928" t="s">
        <v>47116</v>
      </c>
      <c r="J10928" t="s">
        <v>47117</v>
      </c>
      <c r="K10928" t="s">
        <v>47113</v>
      </c>
      <c r="L10928">
        <v>27.42</v>
      </c>
      <c r="M10928">
        <v>114</v>
      </c>
      <c r="N10928">
        <v>309</v>
      </c>
      <c r="O10928">
        <v>114</v>
      </c>
      <c r="P10928">
        <v>309</v>
      </c>
    </row>
    <row r="10929" spans="1:16" x14ac:dyDescent="0.25">
      <c r="A10929" t="s">
        <v>17873</v>
      </c>
      <c r="B10929" t="s">
        <v>14482</v>
      </c>
      <c r="C10929" t="s">
        <v>16472</v>
      </c>
      <c r="D10929" t="s">
        <v>8150</v>
      </c>
      <c r="E10929" t="s">
        <v>8151</v>
      </c>
      <c r="F10929" t="s">
        <v>3558</v>
      </c>
      <c r="G10929" t="s">
        <v>16231</v>
      </c>
      <c r="H10929" t="s">
        <v>47054</v>
      </c>
      <c r="I10929" t="s">
        <v>47111</v>
      </c>
      <c r="J10929" t="s">
        <v>47112</v>
      </c>
      <c r="K10929" t="s">
        <v>47113</v>
      </c>
      <c r="L10929">
        <v>50.7</v>
      </c>
      <c r="M10929">
        <v>122</v>
      </c>
      <c r="N10929">
        <v>0</v>
      </c>
      <c r="O10929">
        <v>122</v>
      </c>
      <c r="P10929">
        <v>0</v>
      </c>
    </row>
    <row r="10930" spans="1:16" x14ac:dyDescent="0.25">
      <c r="A10930" t="s">
        <v>33677</v>
      </c>
      <c r="B10930" t="s">
        <v>15620</v>
      </c>
      <c r="C10930" t="s">
        <v>16470</v>
      </c>
      <c r="D10930" t="s">
        <v>15259</v>
      </c>
      <c r="E10930" t="s">
        <v>15260</v>
      </c>
      <c r="F10930" t="s">
        <v>15183</v>
      </c>
      <c r="G10930" t="s">
        <v>16231</v>
      </c>
      <c r="H10930" t="s">
        <v>47054</v>
      </c>
      <c r="I10930" t="s">
        <v>47111</v>
      </c>
      <c r="J10930" t="s">
        <v>47112</v>
      </c>
      <c r="K10930" t="s">
        <v>47113</v>
      </c>
      <c r="L10930">
        <v>51.24</v>
      </c>
      <c r="M10930">
        <v>100</v>
      </c>
      <c r="N10930">
        <v>0</v>
      </c>
      <c r="O10930">
        <v>100</v>
      </c>
      <c r="P10930">
        <v>0</v>
      </c>
    </row>
    <row r="10931" spans="1:16" x14ac:dyDescent="0.25">
      <c r="A10931" t="s">
        <v>33678</v>
      </c>
      <c r="B10931" t="s">
        <v>33679</v>
      </c>
      <c r="C10931" t="s">
        <v>33680</v>
      </c>
      <c r="D10931" t="s">
        <v>33599</v>
      </c>
      <c r="E10931" t="s">
        <v>33600</v>
      </c>
      <c r="F10931" t="s">
        <v>3750</v>
      </c>
      <c r="G10931" t="s">
        <v>16231</v>
      </c>
      <c r="H10931" t="s">
        <v>47054</v>
      </c>
      <c r="I10931" t="s">
        <v>47116</v>
      </c>
      <c r="J10931" t="s">
        <v>47117</v>
      </c>
      <c r="K10931" t="s">
        <v>47113</v>
      </c>
      <c r="L10931">
        <v>28.81</v>
      </c>
      <c r="M10931">
        <v>111</v>
      </c>
      <c r="N10931">
        <v>299</v>
      </c>
      <c r="O10931">
        <v>111</v>
      </c>
      <c r="P10931">
        <v>299</v>
      </c>
    </row>
    <row r="10932" spans="1:16" x14ac:dyDescent="0.25">
      <c r="A10932" t="s">
        <v>33681</v>
      </c>
      <c r="B10932" t="s">
        <v>20621</v>
      </c>
      <c r="C10932" t="s">
        <v>20622</v>
      </c>
      <c r="D10932" t="s">
        <v>20569</v>
      </c>
      <c r="E10932" t="s">
        <v>20570</v>
      </c>
      <c r="F10932" t="s">
        <v>3750</v>
      </c>
      <c r="G10932" t="s">
        <v>16231</v>
      </c>
      <c r="H10932" t="s">
        <v>47054</v>
      </c>
      <c r="I10932" t="s">
        <v>47116</v>
      </c>
      <c r="J10932" t="s">
        <v>47117</v>
      </c>
      <c r="K10932" t="s">
        <v>47113</v>
      </c>
      <c r="L10932">
        <v>25.28</v>
      </c>
      <c r="M10932">
        <v>88</v>
      </c>
      <c r="N10932">
        <v>0</v>
      </c>
      <c r="O10932">
        <v>88</v>
      </c>
      <c r="P10932">
        <v>0</v>
      </c>
    </row>
    <row r="10933" spans="1:16" x14ac:dyDescent="0.25">
      <c r="A10933" t="s">
        <v>33682</v>
      </c>
      <c r="B10933" t="s">
        <v>33683</v>
      </c>
      <c r="C10933" t="s">
        <v>20622</v>
      </c>
      <c r="D10933" t="s">
        <v>20569</v>
      </c>
      <c r="E10933" t="s">
        <v>20570</v>
      </c>
      <c r="F10933" t="s">
        <v>3750</v>
      </c>
      <c r="G10933" t="s">
        <v>16231</v>
      </c>
      <c r="H10933" t="s">
        <v>47054</v>
      </c>
      <c r="I10933" t="s">
        <v>47544</v>
      </c>
      <c r="J10933" t="s">
        <v>47545</v>
      </c>
      <c r="K10933" t="s">
        <v>47113</v>
      </c>
      <c r="L10933">
        <v>18.55</v>
      </c>
      <c r="M10933">
        <v>85</v>
      </c>
      <c r="N10933">
        <v>229</v>
      </c>
      <c r="O10933">
        <v>85</v>
      </c>
      <c r="P10933">
        <v>229</v>
      </c>
    </row>
    <row r="10934" spans="1:16" x14ac:dyDescent="0.25">
      <c r="A10934" t="s">
        <v>33684</v>
      </c>
      <c r="B10934" t="s">
        <v>33685</v>
      </c>
      <c r="C10934" t="s">
        <v>33686</v>
      </c>
      <c r="D10934" t="s">
        <v>5488</v>
      </c>
      <c r="E10934" t="s">
        <v>5489</v>
      </c>
      <c r="F10934" t="s">
        <v>3750</v>
      </c>
      <c r="G10934" t="s">
        <v>16231</v>
      </c>
      <c r="H10934" t="s">
        <v>47054</v>
      </c>
      <c r="I10934" t="s">
        <v>47116</v>
      </c>
      <c r="J10934" t="s">
        <v>47117</v>
      </c>
      <c r="K10934" t="s">
        <v>47113</v>
      </c>
      <c r="L10934">
        <v>18.600000000000001</v>
      </c>
      <c r="M10934">
        <v>85</v>
      </c>
      <c r="N10934">
        <v>229</v>
      </c>
      <c r="O10934">
        <v>85</v>
      </c>
      <c r="P10934">
        <v>229</v>
      </c>
    </row>
    <row r="10935" spans="1:16" x14ac:dyDescent="0.25">
      <c r="A10935" t="s">
        <v>33687</v>
      </c>
      <c r="B10935" t="s">
        <v>33688</v>
      </c>
      <c r="C10935" t="s">
        <v>33686</v>
      </c>
      <c r="D10935" t="s">
        <v>33581</v>
      </c>
      <c r="E10935" t="s">
        <v>33582</v>
      </c>
      <c r="F10935" t="s">
        <v>3750</v>
      </c>
      <c r="G10935" t="s">
        <v>16231</v>
      </c>
      <c r="H10935" t="s">
        <v>47054</v>
      </c>
      <c r="I10935" t="s">
        <v>47544</v>
      </c>
      <c r="J10935" t="s">
        <v>47545</v>
      </c>
      <c r="K10935" t="s">
        <v>47113</v>
      </c>
      <c r="L10935">
        <v>23.8</v>
      </c>
      <c r="M10935">
        <v>85</v>
      </c>
      <c r="N10935">
        <v>229</v>
      </c>
      <c r="O10935">
        <v>85</v>
      </c>
      <c r="P10935">
        <v>229</v>
      </c>
    </row>
    <row r="10936" spans="1:16" x14ac:dyDescent="0.25">
      <c r="A10936" t="s">
        <v>33689</v>
      </c>
      <c r="B10936" t="s">
        <v>33690</v>
      </c>
      <c r="C10936" t="s">
        <v>33691</v>
      </c>
      <c r="D10936" t="s">
        <v>721</v>
      </c>
      <c r="E10936" t="s">
        <v>722</v>
      </c>
      <c r="F10936" t="s">
        <v>3750</v>
      </c>
      <c r="G10936" t="s">
        <v>16231</v>
      </c>
      <c r="H10936" t="s">
        <v>47054</v>
      </c>
      <c r="I10936" t="s">
        <v>47116</v>
      </c>
      <c r="J10936" t="s">
        <v>47117</v>
      </c>
      <c r="K10936" t="s">
        <v>47113</v>
      </c>
      <c r="L10936">
        <v>16.7</v>
      </c>
      <c r="M10936">
        <v>85</v>
      </c>
      <c r="N10936">
        <v>229</v>
      </c>
      <c r="O10936">
        <v>85</v>
      </c>
      <c r="P10936">
        <v>229</v>
      </c>
    </row>
    <row r="10937" spans="1:16" x14ac:dyDescent="0.25">
      <c r="A10937" t="s">
        <v>33692</v>
      </c>
      <c r="B10937" t="s">
        <v>20623</v>
      </c>
      <c r="C10937" t="s">
        <v>19794</v>
      </c>
      <c r="D10937" t="s">
        <v>20573</v>
      </c>
      <c r="E10937" t="s">
        <v>20574</v>
      </c>
      <c r="F10937" t="s">
        <v>3750</v>
      </c>
      <c r="G10937" t="s">
        <v>16231</v>
      </c>
      <c r="H10937" t="s">
        <v>47054</v>
      </c>
      <c r="I10937" t="s">
        <v>47116</v>
      </c>
      <c r="J10937" t="s">
        <v>47117</v>
      </c>
      <c r="K10937" t="s">
        <v>47113</v>
      </c>
      <c r="L10937">
        <v>22.57</v>
      </c>
      <c r="M10937">
        <v>80</v>
      </c>
      <c r="N10937">
        <v>0</v>
      </c>
      <c r="O10937">
        <v>80</v>
      </c>
      <c r="P10937">
        <v>0</v>
      </c>
    </row>
    <row r="10938" spans="1:16" x14ac:dyDescent="0.25">
      <c r="A10938" t="s">
        <v>33693</v>
      </c>
      <c r="B10938" t="s">
        <v>33694</v>
      </c>
      <c r="C10938" t="s">
        <v>33695</v>
      </c>
      <c r="D10938" t="s">
        <v>5488</v>
      </c>
      <c r="E10938" t="s">
        <v>5489</v>
      </c>
      <c r="F10938" t="s">
        <v>3750</v>
      </c>
      <c r="G10938" t="s">
        <v>16231</v>
      </c>
      <c r="H10938" t="s">
        <v>47054</v>
      </c>
      <c r="I10938" t="s">
        <v>47116</v>
      </c>
      <c r="J10938" t="s">
        <v>47117</v>
      </c>
      <c r="K10938" t="s">
        <v>47113</v>
      </c>
      <c r="L10938">
        <v>20.260000000000002</v>
      </c>
      <c r="M10938">
        <v>80</v>
      </c>
      <c r="N10938">
        <v>0</v>
      </c>
      <c r="O10938">
        <v>80</v>
      </c>
      <c r="P10938">
        <v>0</v>
      </c>
    </row>
    <row r="10939" spans="1:16" x14ac:dyDescent="0.25">
      <c r="A10939" t="s">
        <v>48127</v>
      </c>
      <c r="B10939" t="s">
        <v>48128</v>
      </c>
      <c r="C10939" t="s">
        <v>48129</v>
      </c>
      <c r="D10939" t="s">
        <v>48130</v>
      </c>
      <c r="E10939" t="s">
        <v>48131</v>
      </c>
      <c r="F10939" t="s">
        <v>3750</v>
      </c>
      <c r="G10939" t="s">
        <v>16231</v>
      </c>
      <c r="H10939" t="s">
        <v>47054</v>
      </c>
      <c r="I10939" t="s">
        <v>47120</v>
      </c>
      <c r="J10939" t="s">
        <v>47121</v>
      </c>
      <c r="K10939" t="s">
        <v>47113</v>
      </c>
      <c r="L10939">
        <v>22.94</v>
      </c>
      <c r="M10939">
        <v>107</v>
      </c>
      <c r="N10939">
        <v>289</v>
      </c>
      <c r="O10939">
        <v>107</v>
      </c>
      <c r="P10939">
        <v>289</v>
      </c>
    </row>
    <row r="10940" spans="1:16" x14ac:dyDescent="0.25">
      <c r="A10940" t="s">
        <v>33696</v>
      </c>
      <c r="B10940" t="s">
        <v>33697</v>
      </c>
      <c r="C10940" t="s">
        <v>33698</v>
      </c>
      <c r="D10940" t="s">
        <v>33594</v>
      </c>
      <c r="E10940" t="s">
        <v>33595</v>
      </c>
      <c r="F10940" t="s">
        <v>3750</v>
      </c>
      <c r="G10940" t="s">
        <v>16231</v>
      </c>
      <c r="H10940" t="s">
        <v>47054</v>
      </c>
      <c r="I10940" t="s">
        <v>47116</v>
      </c>
      <c r="J10940" t="s">
        <v>47117</v>
      </c>
      <c r="K10940" t="s">
        <v>47113</v>
      </c>
      <c r="L10940">
        <v>36.6</v>
      </c>
      <c r="M10940">
        <v>140</v>
      </c>
      <c r="N10940">
        <v>379</v>
      </c>
      <c r="O10940">
        <v>140</v>
      </c>
      <c r="P10940">
        <v>379</v>
      </c>
    </row>
    <row r="10941" spans="1:16" x14ac:dyDescent="0.25">
      <c r="A10941" t="s">
        <v>33699</v>
      </c>
      <c r="B10941" t="s">
        <v>33700</v>
      </c>
      <c r="C10941" t="s">
        <v>33701</v>
      </c>
      <c r="D10941" t="s">
        <v>721</v>
      </c>
      <c r="E10941" t="s">
        <v>722</v>
      </c>
      <c r="F10941" t="s">
        <v>3750</v>
      </c>
      <c r="G10941" t="s">
        <v>16231</v>
      </c>
      <c r="H10941" t="s">
        <v>47054</v>
      </c>
      <c r="I10941" t="s">
        <v>47116</v>
      </c>
      <c r="J10941" t="s">
        <v>47117</v>
      </c>
      <c r="K10941" t="s">
        <v>47113</v>
      </c>
      <c r="L10941">
        <v>16.62</v>
      </c>
      <c r="M10941">
        <v>85</v>
      </c>
      <c r="N10941">
        <v>229</v>
      </c>
      <c r="O10941">
        <v>85</v>
      </c>
      <c r="P10941">
        <v>229</v>
      </c>
    </row>
    <row r="10942" spans="1:16" x14ac:dyDescent="0.25">
      <c r="A10942" t="s">
        <v>33702</v>
      </c>
      <c r="B10942" t="s">
        <v>33700</v>
      </c>
      <c r="C10942" t="s">
        <v>33701</v>
      </c>
      <c r="D10942" t="s">
        <v>33586</v>
      </c>
      <c r="E10942" t="s">
        <v>33587</v>
      </c>
      <c r="F10942" t="s">
        <v>24617</v>
      </c>
      <c r="G10942" t="s">
        <v>16231</v>
      </c>
      <c r="H10942" t="s">
        <v>47054</v>
      </c>
      <c r="I10942" t="s">
        <v>47116</v>
      </c>
      <c r="J10942" t="s">
        <v>47117</v>
      </c>
      <c r="K10942" t="s">
        <v>47113</v>
      </c>
      <c r="L10942">
        <v>27.7</v>
      </c>
      <c r="M10942">
        <v>114</v>
      </c>
      <c r="N10942">
        <v>309</v>
      </c>
      <c r="O10942">
        <v>114</v>
      </c>
      <c r="P10942">
        <v>309</v>
      </c>
    </row>
    <row r="10943" spans="1:16" x14ac:dyDescent="0.25">
      <c r="A10943" t="s">
        <v>33703</v>
      </c>
      <c r="B10943" t="s">
        <v>20624</v>
      </c>
      <c r="C10943" t="s">
        <v>20625</v>
      </c>
      <c r="D10943" t="s">
        <v>20615</v>
      </c>
      <c r="E10943" t="s">
        <v>20616</v>
      </c>
      <c r="F10943" t="s">
        <v>3750</v>
      </c>
      <c r="G10943" t="s">
        <v>16231</v>
      </c>
      <c r="H10943" t="s">
        <v>47054</v>
      </c>
      <c r="I10943" t="s">
        <v>47116</v>
      </c>
      <c r="J10943" t="s">
        <v>47117</v>
      </c>
      <c r="K10943" t="s">
        <v>47113</v>
      </c>
      <c r="L10943">
        <v>22.68</v>
      </c>
      <c r="M10943">
        <v>80</v>
      </c>
      <c r="N10943">
        <v>0</v>
      </c>
      <c r="O10943">
        <v>80</v>
      </c>
      <c r="P10943">
        <v>0</v>
      </c>
    </row>
    <row r="10944" spans="1:16" x14ac:dyDescent="0.25">
      <c r="A10944" t="s">
        <v>33704</v>
      </c>
      <c r="B10944" t="s">
        <v>20624</v>
      </c>
      <c r="C10944" t="s">
        <v>20625</v>
      </c>
      <c r="D10944" t="s">
        <v>20566</v>
      </c>
      <c r="E10944" t="s">
        <v>20567</v>
      </c>
      <c r="F10944" t="s">
        <v>3750</v>
      </c>
      <c r="G10944" t="s">
        <v>16231</v>
      </c>
      <c r="H10944" t="s">
        <v>47054</v>
      </c>
      <c r="I10944" t="s">
        <v>47116</v>
      </c>
      <c r="J10944" t="s">
        <v>47117</v>
      </c>
      <c r="K10944" t="s">
        <v>47113</v>
      </c>
      <c r="L10944">
        <v>26.53</v>
      </c>
      <c r="M10944">
        <v>95</v>
      </c>
      <c r="N10944">
        <v>0</v>
      </c>
      <c r="O10944">
        <v>95</v>
      </c>
      <c r="P10944">
        <v>0</v>
      </c>
    </row>
    <row r="10945" spans="1:16" x14ac:dyDescent="0.25">
      <c r="A10945" t="s">
        <v>33705</v>
      </c>
      <c r="B10945" t="s">
        <v>20626</v>
      </c>
      <c r="C10945" t="s">
        <v>20627</v>
      </c>
      <c r="D10945" t="s">
        <v>20589</v>
      </c>
      <c r="E10945" t="s">
        <v>20590</v>
      </c>
      <c r="F10945" t="s">
        <v>3750</v>
      </c>
      <c r="G10945" t="s">
        <v>16231</v>
      </c>
      <c r="H10945" t="s">
        <v>47054</v>
      </c>
      <c r="I10945" t="s">
        <v>47116</v>
      </c>
      <c r="J10945" t="s">
        <v>47117</v>
      </c>
      <c r="K10945" t="s">
        <v>47113</v>
      </c>
      <c r="L10945">
        <v>24.28</v>
      </c>
      <c r="M10945">
        <v>95</v>
      </c>
      <c r="N10945">
        <v>0</v>
      </c>
      <c r="O10945">
        <v>95</v>
      </c>
      <c r="P10945">
        <v>0</v>
      </c>
    </row>
    <row r="10946" spans="1:16" x14ac:dyDescent="0.25">
      <c r="A10946" t="s">
        <v>33706</v>
      </c>
      <c r="B10946" t="s">
        <v>33707</v>
      </c>
      <c r="C10946" t="s">
        <v>33708</v>
      </c>
      <c r="D10946" t="s">
        <v>1718</v>
      </c>
      <c r="E10946" t="s">
        <v>1719</v>
      </c>
      <c r="F10946" t="s">
        <v>3750</v>
      </c>
      <c r="G10946" t="s">
        <v>16231</v>
      </c>
      <c r="H10946" t="s">
        <v>47054</v>
      </c>
      <c r="I10946" t="s">
        <v>47116</v>
      </c>
      <c r="J10946" t="s">
        <v>47117</v>
      </c>
      <c r="K10946" t="s">
        <v>47113</v>
      </c>
      <c r="L10946">
        <v>25.14</v>
      </c>
      <c r="M10946">
        <v>107</v>
      </c>
      <c r="N10946">
        <v>0</v>
      </c>
      <c r="O10946">
        <v>107</v>
      </c>
      <c r="P10946">
        <v>0</v>
      </c>
    </row>
    <row r="10947" spans="1:16" x14ac:dyDescent="0.25">
      <c r="A10947" t="s">
        <v>33709</v>
      </c>
      <c r="B10947" t="s">
        <v>14481</v>
      </c>
      <c r="C10947" t="s">
        <v>17523</v>
      </c>
      <c r="D10947" t="s">
        <v>8147</v>
      </c>
      <c r="E10947" t="s">
        <v>8148</v>
      </c>
      <c r="F10947" t="s">
        <v>3558</v>
      </c>
      <c r="G10947" t="s">
        <v>16231</v>
      </c>
      <c r="H10947" t="s">
        <v>47054</v>
      </c>
      <c r="I10947" t="s">
        <v>47111</v>
      </c>
      <c r="J10947" t="s">
        <v>47112</v>
      </c>
      <c r="K10947" t="s">
        <v>47113</v>
      </c>
      <c r="L10947">
        <v>42.56</v>
      </c>
      <c r="M10947">
        <v>122</v>
      </c>
      <c r="N10947">
        <v>0</v>
      </c>
      <c r="O10947">
        <v>122</v>
      </c>
      <c r="P10947">
        <v>0</v>
      </c>
    </row>
    <row r="10948" spans="1:16" x14ac:dyDescent="0.25">
      <c r="A10948" t="s">
        <v>33710</v>
      </c>
      <c r="B10948" t="s">
        <v>14480</v>
      </c>
      <c r="C10948" t="s">
        <v>16922</v>
      </c>
      <c r="D10948" t="s">
        <v>8157</v>
      </c>
      <c r="E10948" t="s">
        <v>8158</v>
      </c>
      <c r="F10948" t="s">
        <v>3558</v>
      </c>
      <c r="G10948" t="s">
        <v>16231</v>
      </c>
      <c r="H10948" t="s">
        <v>47054</v>
      </c>
      <c r="I10948" t="s">
        <v>47111</v>
      </c>
      <c r="J10948" t="s">
        <v>47112</v>
      </c>
      <c r="K10948" t="s">
        <v>47113</v>
      </c>
      <c r="L10948">
        <v>40.65</v>
      </c>
      <c r="M10948">
        <v>111</v>
      </c>
      <c r="N10948">
        <v>0</v>
      </c>
      <c r="O10948">
        <v>111</v>
      </c>
      <c r="P10948">
        <v>0</v>
      </c>
    </row>
    <row r="10949" spans="1:16" x14ac:dyDescent="0.25">
      <c r="A10949" t="s">
        <v>33711</v>
      </c>
      <c r="B10949" t="s">
        <v>33712</v>
      </c>
      <c r="C10949" t="s">
        <v>33713</v>
      </c>
      <c r="D10949" t="s">
        <v>33553</v>
      </c>
      <c r="E10949" t="s">
        <v>33554</v>
      </c>
      <c r="F10949" t="s">
        <v>3750</v>
      </c>
      <c r="G10949" t="s">
        <v>16231</v>
      </c>
      <c r="H10949" t="s">
        <v>47054</v>
      </c>
      <c r="I10949" t="s">
        <v>47120</v>
      </c>
      <c r="J10949" t="s">
        <v>47121</v>
      </c>
      <c r="K10949" t="s">
        <v>47113</v>
      </c>
      <c r="L10949">
        <v>23.08</v>
      </c>
      <c r="M10949">
        <v>94</v>
      </c>
      <c r="N10949">
        <v>0</v>
      </c>
      <c r="O10949">
        <v>94</v>
      </c>
      <c r="P10949">
        <v>0</v>
      </c>
    </row>
    <row r="10950" spans="1:16" x14ac:dyDescent="0.25">
      <c r="A10950" t="s">
        <v>33714</v>
      </c>
      <c r="B10950" t="s">
        <v>33715</v>
      </c>
      <c r="C10950" t="s">
        <v>33716</v>
      </c>
      <c r="D10950" t="s">
        <v>5488</v>
      </c>
      <c r="E10950" t="s">
        <v>5489</v>
      </c>
      <c r="F10950" t="s">
        <v>46687</v>
      </c>
      <c r="G10950" t="s">
        <v>16231</v>
      </c>
      <c r="H10950" t="s">
        <v>47054</v>
      </c>
      <c r="I10950" t="s">
        <v>47116</v>
      </c>
      <c r="J10950" t="s">
        <v>47117</v>
      </c>
      <c r="K10950" t="s">
        <v>47113</v>
      </c>
      <c r="L10950">
        <v>20.12</v>
      </c>
      <c r="M10950">
        <v>80</v>
      </c>
      <c r="N10950">
        <v>0</v>
      </c>
      <c r="O10950">
        <v>80</v>
      </c>
      <c r="P10950">
        <v>0</v>
      </c>
    </row>
    <row r="10951" spans="1:16" x14ac:dyDescent="0.25">
      <c r="A10951" t="s">
        <v>33717</v>
      </c>
      <c r="B10951" t="s">
        <v>20628</v>
      </c>
      <c r="C10951" t="s">
        <v>20629</v>
      </c>
      <c r="D10951" t="s">
        <v>20630</v>
      </c>
      <c r="E10951" t="s">
        <v>20631</v>
      </c>
      <c r="F10951" t="s">
        <v>3750</v>
      </c>
      <c r="G10951" t="s">
        <v>16231</v>
      </c>
      <c r="H10951" t="s">
        <v>47054</v>
      </c>
      <c r="I10951" t="s">
        <v>47116</v>
      </c>
      <c r="J10951" t="s">
        <v>47117</v>
      </c>
      <c r="K10951" t="s">
        <v>47113</v>
      </c>
      <c r="L10951">
        <v>27.4</v>
      </c>
      <c r="M10951">
        <v>95</v>
      </c>
      <c r="N10951">
        <v>0</v>
      </c>
      <c r="O10951">
        <v>95</v>
      </c>
      <c r="P10951">
        <v>0</v>
      </c>
    </row>
    <row r="10952" spans="1:16" x14ac:dyDescent="0.25">
      <c r="A10952" t="s">
        <v>48132</v>
      </c>
      <c r="B10952" t="s">
        <v>48133</v>
      </c>
      <c r="C10952" t="s">
        <v>33549</v>
      </c>
      <c r="D10952" t="s">
        <v>33529</v>
      </c>
      <c r="E10952" t="s">
        <v>33530</v>
      </c>
      <c r="F10952" t="s">
        <v>24627</v>
      </c>
      <c r="G10952" t="s">
        <v>16231</v>
      </c>
      <c r="H10952" t="s">
        <v>47054</v>
      </c>
      <c r="I10952" t="s">
        <v>47116</v>
      </c>
      <c r="J10952" t="s">
        <v>47117</v>
      </c>
      <c r="K10952" t="s">
        <v>47113</v>
      </c>
      <c r="L10952">
        <v>26.78</v>
      </c>
      <c r="M10952">
        <v>114</v>
      </c>
      <c r="N10952">
        <v>309</v>
      </c>
      <c r="O10952">
        <v>114</v>
      </c>
      <c r="P10952">
        <v>309</v>
      </c>
    </row>
    <row r="10953" spans="1:16" x14ac:dyDescent="0.25">
      <c r="A10953" t="s">
        <v>33718</v>
      </c>
      <c r="B10953" t="s">
        <v>15621</v>
      </c>
      <c r="C10953" t="s">
        <v>16848</v>
      </c>
      <c r="D10953" t="s">
        <v>7156</v>
      </c>
      <c r="E10953" t="s">
        <v>7157</v>
      </c>
      <c r="F10953" t="s">
        <v>15183</v>
      </c>
      <c r="G10953" t="s">
        <v>16231</v>
      </c>
      <c r="H10953" t="s">
        <v>47054</v>
      </c>
      <c r="I10953" t="s">
        <v>47111</v>
      </c>
      <c r="J10953" t="s">
        <v>47112</v>
      </c>
      <c r="K10953" t="s">
        <v>47113</v>
      </c>
      <c r="L10953">
        <v>48.65</v>
      </c>
      <c r="M10953">
        <v>74</v>
      </c>
      <c r="N10953">
        <v>0</v>
      </c>
      <c r="O10953">
        <v>74</v>
      </c>
      <c r="P10953">
        <v>0</v>
      </c>
    </row>
    <row r="10954" spans="1:16" x14ac:dyDescent="0.25">
      <c r="A10954" t="s">
        <v>33719</v>
      </c>
      <c r="B10954" t="s">
        <v>20632</v>
      </c>
      <c r="C10954" t="s">
        <v>20625</v>
      </c>
      <c r="D10954" t="s">
        <v>20573</v>
      </c>
      <c r="E10954" t="s">
        <v>20574</v>
      </c>
      <c r="F10954" t="s">
        <v>3750</v>
      </c>
      <c r="G10954" t="s">
        <v>16231</v>
      </c>
      <c r="H10954" t="s">
        <v>47054</v>
      </c>
      <c r="I10954" t="s">
        <v>47116</v>
      </c>
      <c r="J10954" t="s">
        <v>47117</v>
      </c>
      <c r="K10954" t="s">
        <v>47113</v>
      </c>
      <c r="L10954">
        <v>21.4</v>
      </c>
      <c r="M10954">
        <v>80</v>
      </c>
      <c r="N10954">
        <v>0</v>
      </c>
      <c r="O10954">
        <v>80</v>
      </c>
      <c r="P10954">
        <v>0</v>
      </c>
    </row>
    <row r="10955" spans="1:16" x14ac:dyDescent="0.25">
      <c r="A10955" t="s">
        <v>33720</v>
      </c>
      <c r="B10955" t="s">
        <v>20633</v>
      </c>
      <c r="C10955" t="s">
        <v>20634</v>
      </c>
      <c r="D10955" t="s">
        <v>20581</v>
      </c>
      <c r="E10955" t="s">
        <v>20582</v>
      </c>
      <c r="F10955" t="s">
        <v>3750</v>
      </c>
      <c r="G10955" t="s">
        <v>16231</v>
      </c>
      <c r="H10955" t="s">
        <v>47054</v>
      </c>
      <c r="I10955" t="s">
        <v>47116</v>
      </c>
      <c r="J10955" t="s">
        <v>47117</v>
      </c>
      <c r="K10955" t="s">
        <v>47113</v>
      </c>
      <c r="L10955">
        <v>24.15</v>
      </c>
      <c r="M10955">
        <v>95</v>
      </c>
      <c r="N10955">
        <v>0</v>
      </c>
      <c r="O10955">
        <v>95</v>
      </c>
      <c r="P10955">
        <v>0</v>
      </c>
    </row>
    <row r="10956" spans="1:16" x14ac:dyDescent="0.25">
      <c r="A10956" t="s">
        <v>33721</v>
      </c>
      <c r="B10956" t="s">
        <v>20635</v>
      </c>
      <c r="C10956" t="s">
        <v>20636</v>
      </c>
      <c r="D10956" t="s">
        <v>20581</v>
      </c>
      <c r="E10956" t="s">
        <v>20637</v>
      </c>
      <c r="F10956" t="s">
        <v>3750</v>
      </c>
      <c r="G10956" t="s">
        <v>16231</v>
      </c>
      <c r="H10956" t="s">
        <v>47054</v>
      </c>
      <c r="I10956" t="s">
        <v>47116</v>
      </c>
      <c r="J10956" t="s">
        <v>47117</v>
      </c>
      <c r="K10956" t="s">
        <v>47113</v>
      </c>
      <c r="L10956">
        <v>23.13</v>
      </c>
      <c r="M10956">
        <v>95</v>
      </c>
      <c r="N10956">
        <v>0</v>
      </c>
      <c r="O10956">
        <v>95</v>
      </c>
      <c r="P10956">
        <v>0</v>
      </c>
    </row>
    <row r="10957" spans="1:16" x14ac:dyDescent="0.25">
      <c r="A10957" t="s">
        <v>48134</v>
      </c>
      <c r="B10957" t="s">
        <v>48135</v>
      </c>
      <c r="C10957" t="s">
        <v>48136</v>
      </c>
      <c r="D10957" t="s">
        <v>48137</v>
      </c>
      <c r="E10957" t="s">
        <v>48138</v>
      </c>
      <c r="F10957" t="s">
        <v>31484</v>
      </c>
      <c r="G10957" t="s">
        <v>16231</v>
      </c>
      <c r="H10957" t="s">
        <v>47054</v>
      </c>
      <c r="I10957" t="s">
        <v>47544</v>
      </c>
      <c r="J10957" t="s">
        <v>47545</v>
      </c>
      <c r="K10957" t="s">
        <v>47113</v>
      </c>
      <c r="L10957">
        <v>27.47</v>
      </c>
      <c r="M10957">
        <v>155</v>
      </c>
      <c r="N10957">
        <v>419</v>
      </c>
      <c r="O10957">
        <v>155</v>
      </c>
      <c r="P10957">
        <v>419</v>
      </c>
    </row>
    <row r="10958" spans="1:16" x14ac:dyDescent="0.25">
      <c r="A10958" t="s">
        <v>33722</v>
      </c>
      <c r="B10958" t="s">
        <v>33723</v>
      </c>
      <c r="C10958" t="s">
        <v>33724</v>
      </c>
      <c r="D10958" t="str">
        <f>"8015"</f>
        <v>8015</v>
      </c>
      <c r="E10958" t="s">
        <v>33725</v>
      </c>
      <c r="F10958" t="s">
        <v>3750</v>
      </c>
      <c r="G10958" t="s">
        <v>16231</v>
      </c>
      <c r="H10958" t="s">
        <v>47054</v>
      </c>
      <c r="I10958" t="s">
        <v>47544</v>
      </c>
      <c r="J10958" t="s">
        <v>47545</v>
      </c>
      <c r="K10958" t="s">
        <v>47113</v>
      </c>
      <c r="L10958">
        <v>24.16</v>
      </c>
      <c r="M10958">
        <v>111</v>
      </c>
      <c r="N10958">
        <v>299</v>
      </c>
      <c r="O10958">
        <v>111</v>
      </c>
      <c r="P10958">
        <v>299</v>
      </c>
    </row>
    <row r="10959" spans="1:16" x14ac:dyDescent="0.25">
      <c r="A10959" t="s">
        <v>47069</v>
      </c>
      <c r="B10959" t="s">
        <v>47070</v>
      </c>
      <c r="C10959" t="s">
        <v>33608</v>
      </c>
      <c r="D10959" t="s">
        <v>33609</v>
      </c>
      <c r="E10959" t="s">
        <v>33610</v>
      </c>
      <c r="F10959" t="s">
        <v>3750</v>
      </c>
      <c r="G10959" t="s">
        <v>16231</v>
      </c>
      <c r="H10959" t="s">
        <v>47054</v>
      </c>
      <c r="I10959" t="s">
        <v>47544</v>
      </c>
      <c r="J10959" t="s">
        <v>47545</v>
      </c>
      <c r="K10959" t="s">
        <v>47113</v>
      </c>
      <c r="L10959">
        <v>28.5</v>
      </c>
      <c r="M10959">
        <v>155</v>
      </c>
      <c r="N10959">
        <v>419</v>
      </c>
      <c r="O10959">
        <v>155</v>
      </c>
      <c r="P10959">
        <v>419</v>
      </c>
    </row>
    <row r="10960" spans="1:16" x14ac:dyDescent="0.25">
      <c r="A10960" t="s">
        <v>48139</v>
      </c>
      <c r="B10960" t="s">
        <v>48140</v>
      </c>
      <c r="C10960" t="s">
        <v>48141</v>
      </c>
      <c r="D10960" t="s">
        <v>48142</v>
      </c>
      <c r="E10960" t="s">
        <v>48143</v>
      </c>
      <c r="F10960" t="s">
        <v>31484</v>
      </c>
      <c r="G10960" t="s">
        <v>16231</v>
      </c>
      <c r="H10960" t="s">
        <v>47054</v>
      </c>
      <c r="I10960" t="s">
        <v>47544</v>
      </c>
      <c r="J10960" t="s">
        <v>47545</v>
      </c>
      <c r="K10960" t="s">
        <v>47113</v>
      </c>
      <c r="L10960">
        <v>37.99</v>
      </c>
      <c r="M10960">
        <v>136.66999999999999</v>
      </c>
      <c r="N10960">
        <v>369</v>
      </c>
      <c r="O10960">
        <v>136.66999999999999</v>
      </c>
      <c r="P10960">
        <v>369</v>
      </c>
    </row>
    <row r="10961" spans="1:16" x14ac:dyDescent="0.25">
      <c r="A10961" t="s">
        <v>48144</v>
      </c>
      <c r="B10961" t="s">
        <v>48145</v>
      </c>
      <c r="C10961" t="s">
        <v>48146</v>
      </c>
      <c r="D10961" t="s">
        <v>48147</v>
      </c>
      <c r="E10961" t="s">
        <v>48148</v>
      </c>
      <c r="F10961" t="s">
        <v>47185</v>
      </c>
      <c r="G10961" t="s">
        <v>16231</v>
      </c>
      <c r="H10961" t="s">
        <v>47054</v>
      </c>
      <c r="I10961" t="s">
        <v>47544</v>
      </c>
      <c r="J10961" t="s">
        <v>47545</v>
      </c>
      <c r="K10961" t="s">
        <v>47113</v>
      </c>
      <c r="L10961">
        <v>28.65</v>
      </c>
      <c r="M10961">
        <v>155</v>
      </c>
      <c r="N10961">
        <v>419</v>
      </c>
      <c r="O10961">
        <v>155</v>
      </c>
      <c r="P10961">
        <v>419</v>
      </c>
    </row>
    <row r="10962" spans="1:16" x14ac:dyDescent="0.25">
      <c r="A10962" t="s">
        <v>48149</v>
      </c>
      <c r="B10962" t="s">
        <v>48150</v>
      </c>
      <c r="C10962" t="s">
        <v>48151</v>
      </c>
      <c r="D10962" t="s">
        <v>48152</v>
      </c>
      <c r="E10962" t="s">
        <v>48153</v>
      </c>
      <c r="F10962" t="s">
        <v>47488</v>
      </c>
      <c r="G10962" t="s">
        <v>16231</v>
      </c>
      <c r="H10962" t="s">
        <v>47054</v>
      </c>
      <c r="I10962" t="s">
        <v>47544</v>
      </c>
      <c r="J10962" t="s">
        <v>47545</v>
      </c>
      <c r="K10962" t="s">
        <v>47113</v>
      </c>
      <c r="L10962">
        <v>25.75</v>
      </c>
      <c r="M10962">
        <v>114</v>
      </c>
      <c r="N10962">
        <v>309</v>
      </c>
      <c r="O10962">
        <v>114</v>
      </c>
      <c r="P10962">
        <v>309</v>
      </c>
    </row>
    <row r="10963" spans="1:16" x14ac:dyDescent="0.25">
      <c r="A10963" t="s">
        <v>33726</v>
      </c>
      <c r="B10963" t="s">
        <v>33727</v>
      </c>
      <c r="C10963" t="s">
        <v>33603</v>
      </c>
      <c r="D10963" t="str">
        <f>"1200"</f>
        <v>1200</v>
      </c>
      <c r="E10963" t="s">
        <v>33728</v>
      </c>
      <c r="F10963" t="s">
        <v>3750</v>
      </c>
      <c r="G10963" t="s">
        <v>16231</v>
      </c>
      <c r="H10963" t="s">
        <v>47054</v>
      </c>
      <c r="I10963" t="s">
        <v>47544</v>
      </c>
      <c r="J10963" t="s">
        <v>47545</v>
      </c>
      <c r="K10963" t="s">
        <v>47113</v>
      </c>
      <c r="L10963">
        <v>22.15</v>
      </c>
      <c r="M10963">
        <v>111</v>
      </c>
      <c r="N10963">
        <v>299</v>
      </c>
      <c r="O10963">
        <v>111</v>
      </c>
      <c r="P10963">
        <v>299</v>
      </c>
    </row>
    <row r="10964" spans="1:16" x14ac:dyDescent="0.25">
      <c r="A10964" t="s">
        <v>48154</v>
      </c>
      <c r="B10964" t="s">
        <v>48155</v>
      </c>
      <c r="C10964" t="s">
        <v>48054</v>
      </c>
      <c r="D10964" t="s">
        <v>48142</v>
      </c>
      <c r="E10964" t="s">
        <v>48143</v>
      </c>
      <c r="F10964" t="s">
        <v>31484</v>
      </c>
      <c r="G10964" t="s">
        <v>16231</v>
      </c>
      <c r="H10964" t="s">
        <v>47054</v>
      </c>
      <c r="I10964" t="s">
        <v>47544</v>
      </c>
      <c r="J10964" t="s">
        <v>47545</v>
      </c>
      <c r="K10964" t="s">
        <v>47113</v>
      </c>
      <c r="L10964">
        <v>26.3</v>
      </c>
      <c r="M10964">
        <v>85</v>
      </c>
      <c r="N10964">
        <v>229</v>
      </c>
      <c r="O10964">
        <v>85</v>
      </c>
      <c r="P10964">
        <v>229</v>
      </c>
    </row>
    <row r="10965" spans="1:16" x14ac:dyDescent="0.25">
      <c r="A10965" t="s">
        <v>48156</v>
      </c>
      <c r="B10965" t="s">
        <v>48157</v>
      </c>
      <c r="C10965" t="s">
        <v>48158</v>
      </c>
      <c r="D10965" t="s">
        <v>48152</v>
      </c>
      <c r="E10965" t="s">
        <v>48153</v>
      </c>
      <c r="F10965" t="s">
        <v>47171</v>
      </c>
      <c r="G10965" t="s">
        <v>16231</v>
      </c>
      <c r="H10965" t="s">
        <v>47054</v>
      </c>
      <c r="I10965" t="s">
        <v>47544</v>
      </c>
      <c r="J10965" t="s">
        <v>47545</v>
      </c>
      <c r="K10965" t="s">
        <v>47113</v>
      </c>
      <c r="L10965">
        <v>25.29</v>
      </c>
      <c r="M10965">
        <v>114</v>
      </c>
      <c r="N10965">
        <v>309</v>
      </c>
      <c r="O10965">
        <v>114</v>
      </c>
      <c r="P10965">
        <v>309</v>
      </c>
    </row>
    <row r="10966" spans="1:16" x14ac:dyDescent="0.25">
      <c r="A10966" t="s">
        <v>48159</v>
      </c>
      <c r="B10966" t="s">
        <v>48160</v>
      </c>
      <c r="C10966" t="s">
        <v>48161</v>
      </c>
      <c r="D10966" t="s">
        <v>48137</v>
      </c>
      <c r="E10966" t="s">
        <v>48138</v>
      </c>
      <c r="F10966" t="s">
        <v>47163</v>
      </c>
      <c r="G10966" t="s">
        <v>16231</v>
      </c>
      <c r="H10966" t="s">
        <v>47054</v>
      </c>
      <c r="I10966" t="s">
        <v>47544</v>
      </c>
      <c r="J10966" t="s">
        <v>47545</v>
      </c>
      <c r="K10966" t="s">
        <v>47113</v>
      </c>
      <c r="L10966">
        <v>28.05</v>
      </c>
      <c r="M10966">
        <v>155</v>
      </c>
      <c r="N10966">
        <v>419</v>
      </c>
      <c r="O10966">
        <v>155</v>
      </c>
      <c r="P10966">
        <v>419</v>
      </c>
    </row>
    <row r="10967" spans="1:16" x14ac:dyDescent="0.25">
      <c r="A10967" t="s">
        <v>33729</v>
      </c>
      <c r="B10967" t="s">
        <v>33730</v>
      </c>
      <c r="C10967" t="s">
        <v>33686</v>
      </c>
      <c r="D10967" t="s">
        <v>33581</v>
      </c>
      <c r="E10967" t="s">
        <v>33582</v>
      </c>
      <c r="F10967" t="s">
        <v>3750</v>
      </c>
      <c r="G10967" t="s">
        <v>16231</v>
      </c>
      <c r="H10967" t="s">
        <v>47054</v>
      </c>
      <c r="I10967" t="s">
        <v>47544</v>
      </c>
      <c r="J10967" t="s">
        <v>47545</v>
      </c>
      <c r="K10967" t="s">
        <v>47113</v>
      </c>
      <c r="L10967">
        <v>23.8</v>
      </c>
      <c r="M10967">
        <v>85</v>
      </c>
      <c r="N10967">
        <v>229</v>
      </c>
      <c r="O10967">
        <v>85</v>
      </c>
      <c r="P10967">
        <v>229</v>
      </c>
    </row>
    <row r="10968" spans="1:16" x14ac:dyDescent="0.25">
      <c r="A10968" t="s">
        <v>48162</v>
      </c>
      <c r="B10968" t="s">
        <v>48163</v>
      </c>
      <c r="C10968" t="s">
        <v>48164</v>
      </c>
      <c r="D10968" t="s">
        <v>48142</v>
      </c>
      <c r="E10968" t="s">
        <v>48143</v>
      </c>
      <c r="F10968" t="s">
        <v>31484</v>
      </c>
      <c r="G10968" t="s">
        <v>16231</v>
      </c>
      <c r="H10968" t="s">
        <v>47054</v>
      </c>
      <c r="I10968" t="s">
        <v>47544</v>
      </c>
      <c r="J10968" t="s">
        <v>47545</v>
      </c>
      <c r="K10968" t="s">
        <v>47113</v>
      </c>
      <c r="L10968">
        <v>28.05</v>
      </c>
      <c r="M10968">
        <v>95.93</v>
      </c>
      <c r="N10968">
        <v>259</v>
      </c>
      <c r="O10968">
        <v>95.93</v>
      </c>
      <c r="P10968">
        <v>259</v>
      </c>
    </row>
    <row r="10969" spans="1:16" x14ac:dyDescent="0.25">
      <c r="A10969" t="s">
        <v>48165</v>
      </c>
      <c r="B10969" t="s">
        <v>48166</v>
      </c>
      <c r="C10969" t="s">
        <v>48167</v>
      </c>
      <c r="D10969" t="s">
        <v>1718</v>
      </c>
      <c r="E10969" t="s">
        <v>1719</v>
      </c>
      <c r="F10969" t="s">
        <v>47488</v>
      </c>
      <c r="G10969" t="s">
        <v>16231</v>
      </c>
      <c r="H10969" t="s">
        <v>47054</v>
      </c>
      <c r="I10969" t="s">
        <v>47544</v>
      </c>
      <c r="J10969" t="s">
        <v>47545</v>
      </c>
      <c r="K10969" t="s">
        <v>47113</v>
      </c>
      <c r="L10969">
        <v>26.38</v>
      </c>
      <c r="M10969">
        <v>96</v>
      </c>
      <c r="N10969">
        <v>259</v>
      </c>
      <c r="O10969">
        <v>96</v>
      </c>
      <c r="P10969">
        <v>259</v>
      </c>
    </row>
    <row r="10970" spans="1:16" x14ac:dyDescent="0.25">
      <c r="A10970" t="s">
        <v>48168</v>
      </c>
      <c r="B10970" t="s">
        <v>48169</v>
      </c>
      <c r="C10970" t="s">
        <v>48170</v>
      </c>
      <c r="D10970" t="s">
        <v>48171</v>
      </c>
      <c r="E10970" t="s">
        <v>48172</v>
      </c>
      <c r="F10970" t="s">
        <v>47479</v>
      </c>
      <c r="G10970" t="s">
        <v>16231</v>
      </c>
      <c r="H10970" t="s">
        <v>47054</v>
      </c>
      <c r="I10970" t="s">
        <v>47544</v>
      </c>
      <c r="J10970" t="s">
        <v>47545</v>
      </c>
      <c r="K10970" t="s">
        <v>47113</v>
      </c>
      <c r="L10970">
        <v>22.51</v>
      </c>
      <c r="M10970">
        <v>114</v>
      </c>
      <c r="N10970">
        <v>309</v>
      </c>
      <c r="O10970">
        <v>114</v>
      </c>
      <c r="P10970">
        <v>309</v>
      </c>
    </row>
    <row r="10971" spans="1:16" x14ac:dyDescent="0.25">
      <c r="A10971" t="s">
        <v>48173</v>
      </c>
      <c r="B10971" t="s">
        <v>48174</v>
      </c>
      <c r="C10971" t="s">
        <v>48175</v>
      </c>
      <c r="D10971" t="s">
        <v>48137</v>
      </c>
      <c r="E10971" t="s">
        <v>48138</v>
      </c>
      <c r="F10971" t="s">
        <v>47185</v>
      </c>
      <c r="G10971" t="s">
        <v>16231</v>
      </c>
      <c r="H10971" t="s">
        <v>47054</v>
      </c>
      <c r="I10971" t="s">
        <v>47544</v>
      </c>
      <c r="J10971" t="s">
        <v>47545</v>
      </c>
      <c r="K10971" t="s">
        <v>47113</v>
      </c>
      <c r="L10971">
        <v>27.47</v>
      </c>
      <c r="M10971">
        <v>96</v>
      </c>
      <c r="N10971">
        <v>259</v>
      </c>
      <c r="O10971">
        <v>96</v>
      </c>
      <c r="P10971">
        <v>259</v>
      </c>
    </row>
    <row r="10972" spans="1:16" x14ac:dyDescent="0.25">
      <c r="A10972" t="s">
        <v>48176</v>
      </c>
      <c r="B10972" t="s">
        <v>48177</v>
      </c>
      <c r="C10972" t="s">
        <v>48178</v>
      </c>
      <c r="D10972" t="s">
        <v>33609</v>
      </c>
      <c r="E10972" t="s">
        <v>33610</v>
      </c>
      <c r="F10972" t="s">
        <v>3750</v>
      </c>
      <c r="G10972" t="s">
        <v>16231</v>
      </c>
      <c r="H10972" t="s">
        <v>47054</v>
      </c>
      <c r="I10972" t="s">
        <v>47544</v>
      </c>
      <c r="J10972" t="s">
        <v>47545</v>
      </c>
      <c r="K10972" t="s">
        <v>47113</v>
      </c>
      <c r="L10972">
        <v>21.96</v>
      </c>
      <c r="M10972">
        <v>92</v>
      </c>
      <c r="N10972">
        <v>249</v>
      </c>
      <c r="O10972">
        <v>92</v>
      </c>
      <c r="P10972">
        <v>249</v>
      </c>
    </row>
    <row r="10973" spans="1:16" x14ac:dyDescent="0.25">
      <c r="A10973" t="s">
        <v>33731</v>
      </c>
      <c r="B10973" t="s">
        <v>8164</v>
      </c>
      <c r="C10973" t="s">
        <v>17613</v>
      </c>
      <c r="D10973" t="s">
        <v>8165</v>
      </c>
      <c r="E10973" t="s">
        <v>8166</v>
      </c>
      <c r="F10973" t="s">
        <v>3558</v>
      </c>
      <c r="G10973" t="s">
        <v>16231</v>
      </c>
      <c r="I10973" t="s">
        <v>47111</v>
      </c>
      <c r="J10973" t="s">
        <v>47112</v>
      </c>
      <c r="K10973" t="s">
        <v>47113</v>
      </c>
      <c r="L10973">
        <v>48.42</v>
      </c>
      <c r="M10973">
        <v>74</v>
      </c>
      <c r="N10973">
        <v>0</v>
      </c>
      <c r="O10973">
        <v>74</v>
      </c>
      <c r="P10973">
        <v>0</v>
      </c>
    </row>
    <row r="10974" spans="1:16" x14ac:dyDescent="0.25">
      <c r="A10974" t="s">
        <v>33732</v>
      </c>
      <c r="B10974" t="s">
        <v>8167</v>
      </c>
      <c r="C10974" t="s">
        <v>16469</v>
      </c>
      <c r="D10974" t="s">
        <v>8169</v>
      </c>
      <c r="E10974" t="s">
        <v>8170</v>
      </c>
      <c r="F10974" t="s">
        <v>3558</v>
      </c>
      <c r="G10974" t="s">
        <v>16231</v>
      </c>
      <c r="H10974" t="s">
        <v>47054</v>
      </c>
      <c r="I10974" t="s">
        <v>47111</v>
      </c>
      <c r="J10974" t="s">
        <v>47112</v>
      </c>
      <c r="K10974" t="s">
        <v>47113</v>
      </c>
      <c r="L10974">
        <v>76.63</v>
      </c>
      <c r="M10974">
        <v>100</v>
      </c>
      <c r="N10974">
        <v>0</v>
      </c>
      <c r="O10974">
        <v>100</v>
      </c>
      <c r="P10974">
        <v>0</v>
      </c>
    </row>
    <row r="10975" spans="1:16" x14ac:dyDescent="0.25">
      <c r="A10975" t="s">
        <v>33733</v>
      </c>
      <c r="B10975" t="s">
        <v>8171</v>
      </c>
      <c r="C10975" t="s">
        <v>8172</v>
      </c>
      <c r="D10975" t="s">
        <v>8165</v>
      </c>
      <c r="E10975" t="s">
        <v>8166</v>
      </c>
      <c r="F10975" t="s">
        <v>3558</v>
      </c>
      <c r="G10975" t="s">
        <v>16233</v>
      </c>
      <c r="H10975" t="s">
        <v>47054</v>
      </c>
      <c r="I10975" t="s">
        <v>47111</v>
      </c>
      <c r="J10975" t="s">
        <v>47112</v>
      </c>
      <c r="K10975" t="s">
        <v>47113</v>
      </c>
      <c r="L10975">
        <v>44.47</v>
      </c>
      <c r="M10975">
        <v>66</v>
      </c>
      <c r="N10975">
        <v>0</v>
      </c>
      <c r="O10975">
        <v>66</v>
      </c>
      <c r="P10975">
        <v>0</v>
      </c>
    </row>
    <row r="10976" spans="1:16" x14ac:dyDescent="0.25">
      <c r="A10976" t="s">
        <v>33734</v>
      </c>
      <c r="B10976" t="s">
        <v>8173</v>
      </c>
      <c r="C10976" t="s">
        <v>8174</v>
      </c>
      <c r="D10976" t="str">
        <f>"3423"</f>
        <v>3423</v>
      </c>
      <c r="E10976" t="s">
        <v>8175</v>
      </c>
      <c r="F10976" t="s">
        <v>3546</v>
      </c>
      <c r="G10976" t="s">
        <v>16231</v>
      </c>
      <c r="H10976" t="s">
        <v>47054</v>
      </c>
      <c r="I10976" t="s">
        <v>47111</v>
      </c>
      <c r="J10976" t="s">
        <v>47112</v>
      </c>
      <c r="K10976" t="s">
        <v>47113</v>
      </c>
      <c r="L10976">
        <v>0</v>
      </c>
      <c r="M10976">
        <v>66</v>
      </c>
      <c r="N10976">
        <v>0</v>
      </c>
      <c r="O10976">
        <v>66</v>
      </c>
      <c r="P10976">
        <v>0</v>
      </c>
    </row>
    <row r="10977" spans="1:16" x14ac:dyDescent="0.25">
      <c r="A10977" t="s">
        <v>33735</v>
      </c>
      <c r="B10977" t="s">
        <v>20638</v>
      </c>
      <c r="C10977" t="s">
        <v>20639</v>
      </c>
      <c r="D10977" t="str">
        <f>"3000"</f>
        <v>3000</v>
      </c>
      <c r="E10977" t="s">
        <v>20640</v>
      </c>
      <c r="F10977" t="s">
        <v>3750</v>
      </c>
      <c r="G10977" t="s">
        <v>16234</v>
      </c>
      <c r="H10977" t="s">
        <v>47054</v>
      </c>
      <c r="I10977" t="s">
        <v>47116</v>
      </c>
      <c r="J10977" t="s">
        <v>47117</v>
      </c>
      <c r="K10977" t="s">
        <v>47113</v>
      </c>
      <c r="L10977">
        <v>31.78</v>
      </c>
      <c r="M10977">
        <v>40</v>
      </c>
      <c r="N10977">
        <v>0</v>
      </c>
      <c r="O10977">
        <v>40</v>
      </c>
      <c r="P10977">
        <v>0</v>
      </c>
    </row>
    <row r="10978" spans="1:16" x14ac:dyDescent="0.25">
      <c r="A10978" t="s">
        <v>33736</v>
      </c>
      <c r="B10978" t="s">
        <v>8176</v>
      </c>
      <c r="C10978" t="s">
        <v>5767</v>
      </c>
      <c r="D10978" t="str">
        <f>"3423"</f>
        <v>3423</v>
      </c>
      <c r="E10978" t="s">
        <v>8175</v>
      </c>
      <c r="F10978" t="s">
        <v>3546</v>
      </c>
      <c r="G10978" t="s">
        <v>16231</v>
      </c>
      <c r="H10978" t="s">
        <v>47054</v>
      </c>
      <c r="I10978" t="s">
        <v>47111</v>
      </c>
      <c r="J10978" t="s">
        <v>47112</v>
      </c>
      <c r="K10978" t="s">
        <v>47113</v>
      </c>
      <c r="L10978">
        <v>31.7</v>
      </c>
      <c r="M10978">
        <v>66</v>
      </c>
      <c r="N10978">
        <v>0</v>
      </c>
      <c r="O10978">
        <v>66</v>
      </c>
      <c r="P10978">
        <v>0</v>
      </c>
    </row>
    <row r="10979" spans="1:16" x14ac:dyDescent="0.25">
      <c r="A10979" t="s">
        <v>33737</v>
      </c>
      <c r="B10979" t="s">
        <v>8177</v>
      </c>
      <c r="C10979" t="s">
        <v>8178</v>
      </c>
      <c r="D10979" t="str">
        <f>"3423"</f>
        <v>3423</v>
      </c>
      <c r="E10979" t="s">
        <v>8175</v>
      </c>
      <c r="F10979" t="s">
        <v>3</v>
      </c>
      <c r="G10979" t="s">
        <v>16234</v>
      </c>
      <c r="H10979" t="s">
        <v>47054</v>
      </c>
      <c r="I10979" t="s">
        <v>47111</v>
      </c>
      <c r="J10979" t="s">
        <v>47112</v>
      </c>
      <c r="K10979" t="s">
        <v>47113</v>
      </c>
      <c r="L10979">
        <v>30.75</v>
      </c>
      <c r="M10979">
        <v>75</v>
      </c>
      <c r="N10979">
        <v>0</v>
      </c>
      <c r="O10979">
        <v>75</v>
      </c>
      <c r="P10979">
        <v>0</v>
      </c>
    </row>
    <row r="10980" spans="1:16" x14ac:dyDescent="0.25">
      <c r="A10980" t="s">
        <v>33738</v>
      </c>
      <c r="B10980" t="s">
        <v>20641</v>
      </c>
      <c r="C10980" t="s">
        <v>20642</v>
      </c>
      <c r="D10980" t="str">
        <f>"4100"</f>
        <v>4100</v>
      </c>
      <c r="E10980" t="s">
        <v>2383</v>
      </c>
      <c r="F10980" t="s">
        <v>3750</v>
      </c>
      <c r="G10980" t="s">
        <v>47053</v>
      </c>
      <c r="H10980" t="s">
        <v>47071</v>
      </c>
      <c r="I10980" t="s">
        <v>47120</v>
      </c>
      <c r="J10980" t="s">
        <v>47121</v>
      </c>
      <c r="K10980" t="s">
        <v>47113</v>
      </c>
      <c r="L10980">
        <v>18.190000000000001</v>
      </c>
      <c r="M10980">
        <v>43</v>
      </c>
      <c r="N10980">
        <v>0</v>
      </c>
      <c r="O10980">
        <v>43</v>
      </c>
      <c r="P10980">
        <v>0</v>
      </c>
    </row>
    <row r="10981" spans="1:16" x14ac:dyDescent="0.25">
      <c r="A10981" t="s">
        <v>33739</v>
      </c>
      <c r="B10981" t="s">
        <v>20643</v>
      </c>
      <c r="C10981" t="s">
        <v>20644</v>
      </c>
      <c r="D10981" t="s">
        <v>20645</v>
      </c>
      <c r="E10981" t="s">
        <v>20646</v>
      </c>
      <c r="F10981" t="s">
        <v>3750</v>
      </c>
      <c r="G10981" t="s">
        <v>16231</v>
      </c>
      <c r="H10981" t="s">
        <v>47054</v>
      </c>
      <c r="I10981" t="s">
        <v>47120</v>
      </c>
      <c r="J10981" t="s">
        <v>47121</v>
      </c>
      <c r="K10981" t="s">
        <v>47113</v>
      </c>
      <c r="L10981">
        <v>31.52</v>
      </c>
      <c r="M10981">
        <v>133</v>
      </c>
      <c r="N10981">
        <v>0</v>
      </c>
      <c r="O10981">
        <v>133</v>
      </c>
      <c r="P10981">
        <v>0</v>
      </c>
    </row>
    <row r="10982" spans="1:16" x14ac:dyDescent="0.25">
      <c r="A10982" t="s">
        <v>33740</v>
      </c>
      <c r="B10982" t="s">
        <v>20647</v>
      </c>
      <c r="C10982" t="s">
        <v>20445</v>
      </c>
      <c r="D10982" t="str">
        <f>"4771"</f>
        <v>4771</v>
      </c>
      <c r="E10982" t="s">
        <v>20648</v>
      </c>
      <c r="F10982" t="s">
        <v>3750</v>
      </c>
      <c r="G10982" t="s">
        <v>16230</v>
      </c>
      <c r="H10982" t="s">
        <v>47054</v>
      </c>
      <c r="I10982" t="s">
        <v>47118</v>
      </c>
      <c r="J10982" t="s">
        <v>47119</v>
      </c>
      <c r="K10982" t="s">
        <v>47113</v>
      </c>
      <c r="L10982">
        <v>13.8</v>
      </c>
      <c r="M10982">
        <v>47</v>
      </c>
      <c r="N10982">
        <v>0</v>
      </c>
      <c r="O10982">
        <v>47</v>
      </c>
      <c r="P10982">
        <v>0</v>
      </c>
    </row>
    <row r="10983" spans="1:16" x14ac:dyDescent="0.25">
      <c r="A10983" t="s">
        <v>33741</v>
      </c>
      <c r="B10983" t="s">
        <v>20649</v>
      </c>
      <c r="C10983" t="s">
        <v>20650</v>
      </c>
      <c r="D10983" t="s">
        <v>20651</v>
      </c>
      <c r="E10983" t="s">
        <v>20652</v>
      </c>
      <c r="F10983" t="s">
        <v>3750</v>
      </c>
      <c r="G10983" t="s">
        <v>16231</v>
      </c>
      <c r="H10983" t="s">
        <v>47054</v>
      </c>
      <c r="I10983" t="s">
        <v>47120</v>
      </c>
      <c r="J10983" t="s">
        <v>47121</v>
      </c>
      <c r="K10983" t="s">
        <v>47113</v>
      </c>
      <c r="L10983">
        <v>29.11</v>
      </c>
      <c r="M10983">
        <v>108</v>
      </c>
      <c r="N10983">
        <v>0</v>
      </c>
      <c r="O10983">
        <v>108</v>
      </c>
      <c r="P10983">
        <v>0</v>
      </c>
    </row>
    <row r="10984" spans="1:16" x14ac:dyDescent="0.25">
      <c r="A10984" t="s">
        <v>33742</v>
      </c>
      <c r="B10984" t="s">
        <v>22789</v>
      </c>
      <c r="C10984" t="s">
        <v>22790</v>
      </c>
      <c r="D10984" t="str">
        <f>"1713"</f>
        <v>1713</v>
      </c>
      <c r="E10984" t="s">
        <v>33743</v>
      </c>
      <c r="F10984" t="s">
        <v>3750</v>
      </c>
      <c r="G10984" t="s">
        <v>16230</v>
      </c>
      <c r="H10984" t="s">
        <v>47054</v>
      </c>
      <c r="I10984" t="s">
        <v>47118</v>
      </c>
      <c r="J10984" t="s">
        <v>47119</v>
      </c>
      <c r="K10984" t="s">
        <v>47113</v>
      </c>
      <c r="L10984">
        <v>16.32</v>
      </c>
      <c r="M10984">
        <v>59</v>
      </c>
      <c r="N10984">
        <v>159</v>
      </c>
      <c r="O10984">
        <v>59</v>
      </c>
      <c r="P10984">
        <v>159</v>
      </c>
    </row>
    <row r="10985" spans="1:16" x14ac:dyDescent="0.25">
      <c r="A10985" t="s">
        <v>22788</v>
      </c>
      <c r="B10985" t="s">
        <v>22789</v>
      </c>
      <c r="C10985" t="s">
        <v>22790</v>
      </c>
      <c r="D10985" t="str">
        <f>"4031"</f>
        <v>4031</v>
      </c>
      <c r="E10985" t="s">
        <v>22791</v>
      </c>
      <c r="F10985" t="s">
        <v>3750</v>
      </c>
      <c r="G10985" t="s">
        <v>16230</v>
      </c>
      <c r="H10985" t="s">
        <v>47054</v>
      </c>
      <c r="I10985" t="s">
        <v>47118</v>
      </c>
      <c r="J10985" t="s">
        <v>47119</v>
      </c>
      <c r="K10985" t="s">
        <v>47113</v>
      </c>
      <c r="L10985">
        <v>15.45</v>
      </c>
      <c r="M10985">
        <v>47</v>
      </c>
      <c r="N10985">
        <v>0</v>
      </c>
      <c r="O10985">
        <v>47</v>
      </c>
      <c r="P10985">
        <v>0</v>
      </c>
    </row>
    <row r="10986" spans="1:16" x14ac:dyDescent="0.25">
      <c r="A10986" t="s">
        <v>33744</v>
      </c>
      <c r="B10986" t="s">
        <v>22789</v>
      </c>
      <c r="C10986" t="s">
        <v>22790</v>
      </c>
      <c r="D10986" t="str">
        <f>"4352"</f>
        <v>4352</v>
      </c>
      <c r="E10986" t="s">
        <v>33745</v>
      </c>
      <c r="F10986" t="s">
        <v>3750</v>
      </c>
      <c r="G10986" t="s">
        <v>16230</v>
      </c>
      <c r="H10986" t="s">
        <v>47054</v>
      </c>
      <c r="I10986" t="s">
        <v>47118</v>
      </c>
      <c r="J10986" t="s">
        <v>47119</v>
      </c>
      <c r="K10986" t="s">
        <v>47113</v>
      </c>
      <c r="L10986">
        <v>16.579999999999998</v>
      </c>
      <c r="M10986">
        <v>59</v>
      </c>
      <c r="N10986">
        <v>159</v>
      </c>
      <c r="O10986">
        <v>59</v>
      </c>
      <c r="P10986">
        <v>159</v>
      </c>
    </row>
    <row r="10987" spans="1:16" x14ac:dyDescent="0.25">
      <c r="A10987" t="s">
        <v>22792</v>
      </c>
      <c r="B10987" t="s">
        <v>22789</v>
      </c>
      <c r="C10987" t="s">
        <v>22790</v>
      </c>
      <c r="D10987" t="str">
        <f>"8019"</f>
        <v>8019</v>
      </c>
      <c r="E10987" t="s">
        <v>22793</v>
      </c>
      <c r="F10987" t="s">
        <v>3750</v>
      </c>
      <c r="G10987" t="s">
        <v>16230</v>
      </c>
      <c r="H10987" t="s">
        <v>47054</v>
      </c>
      <c r="I10987" t="s">
        <v>47118</v>
      </c>
      <c r="J10987" t="s">
        <v>47119</v>
      </c>
      <c r="K10987" t="s">
        <v>47113</v>
      </c>
      <c r="L10987">
        <v>15.45</v>
      </c>
      <c r="M10987">
        <v>47</v>
      </c>
      <c r="N10987">
        <v>0</v>
      </c>
      <c r="O10987">
        <v>47</v>
      </c>
      <c r="P10987">
        <v>0</v>
      </c>
    </row>
    <row r="10988" spans="1:16" x14ac:dyDescent="0.25">
      <c r="A10988" t="s">
        <v>22794</v>
      </c>
      <c r="B10988" t="s">
        <v>22795</v>
      </c>
      <c r="C10988" t="s">
        <v>22796</v>
      </c>
      <c r="D10988" t="str">
        <f>"8000"</f>
        <v>8000</v>
      </c>
      <c r="E10988" t="s">
        <v>22797</v>
      </c>
      <c r="F10988" t="s">
        <v>3750</v>
      </c>
      <c r="G10988" t="s">
        <v>16230</v>
      </c>
      <c r="H10988" t="s">
        <v>47054</v>
      </c>
      <c r="I10988" t="s">
        <v>47118</v>
      </c>
      <c r="J10988" t="s">
        <v>47119</v>
      </c>
      <c r="K10988" t="s">
        <v>47113</v>
      </c>
      <c r="L10988">
        <v>16.420000000000002</v>
      </c>
      <c r="M10988">
        <v>47</v>
      </c>
      <c r="N10988">
        <v>0</v>
      </c>
      <c r="O10988">
        <v>47</v>
      </c>
      <c r="P10988">
        <v>0</v>
      </c>
    </row>
    <row r="10989" spans="1:16" x14ac:dyDescent="0.25">
      <c r="A10989" t="s">
        <v>33746</v>
      </c>
      <c r="B10989" t="s">
        <v>20653</v>
      </c>
      <c r="C10989" t="s">
        <v>20654</v>
      </c>
      <c r="D10989" t="s">
        <v>20655</v>
      </c>
      <c r="E10989" t="s">
        <v>20656</v>
      </c>
      <c r="F10989" t="s">
        <v>3750</v>
      </c>
      <c r="G10989" t="s">
        <v>16231</v>
      </c>
      <c r="H10989" t="s">
        <v>47054</v>
      </c>
      <c r="I10989" t="s">
        <v>47116</v>
      </c>
      <c r="J10989" t="s">
        <v>47117</v>
      </c>
      <c r="K10989" t="s">
        <v>47113</v>
      </c>
      <c r="L10989">
        <v>25.44</v>
      </c>
      <c r="M10989">
        <v>46</v>
      </c>
      <c r="N10989">
        <v>0</v>
      </c>
      <c r="O10989">
        <v>46</v>
      </c>
      <c r="P10989">
        <v>0</v>
      </c>
    </row>
    <row r="10990" spans="1:16" x14ac:dyDescent="0.25">
      <c r="A10990" t="s">
        <v>33747</v>
      </c>
      <c r="B10990" t="s">
        <v>33748</v>
      </c>
      <c r="C10990" t="s">
        <v>33749</v>
      </c>
      <c r="D10990" t="str">
        <f>"4031"</f>
        <v>4031</v>
      </c>
      <c r="E10990" t="s">
        <v>33750</v>
      </c>
      <c r="F10990" t="s">
        <v>47193</v>
      </c>
      <c r="G10990" t="s">
        <v>16230</v>
      </c>
      <c r="H10990" t="s">
        <v>47054</v>
      </c>
      <c r="I10990" t="s">
        <v>47118</v>
      </c>
      <c r="J10990" t="s">
        <v>47119</v>
      </c>
      <c r="K10990" t="s">
        <v>47113</v>
      </c>
      <c r="L10990">
        <v>14.09</v>
      </c>
      <c r="M10990">
        <v>59</v>
      </c>
      <c r="N10990">
        <v>159</v>
      </c>
      <c r="O10990">
        <v>59</v>
      </c>
      <c r="P10990">
        <v>159</v>
      </c>
    </row>
    <row r="10991" spans="1:16" x14ac:dyDescent="0.25">
      <c r="A10991" t="s">
        <v>33751</v>
      </c>
      <c r="B10991" t="s">
        <v>20657</v>
      </c>
      <c r="C10991" t="s">
        <v>20445</v>
      </c>
      <c r="D10991" t="str">
        <f>"6041"</f>
        <v>6041</v>
      </c>
      <c r="E10991" t="s">
        <v>20658</v>
      </c>
      <c r="F10991" t="s">
        <v>3750</v>
      </c>
      <c r="G10991" t="s">
        <v>16230</v>
      </c>
      <c r="H10991" t="s">
        <v>47054</v>
      </c>
      <c r="I10991" t="s">
        <v>47118</v>
      </c>
      <c r="J10991" t="s">
        <v>47119</v>
      </c>
      <c r="K10991" t="s">
        <v>47113</v>
      </c>
      <c r="L10991">
        <v>14.29</v>
      </c>
      <c r="M10991">
        <v>47</v>
      </c>
      <c r="N10991">
        <v>0</v>
      </c>
      <c r="O10991">
        <v>47</v>
      </c>
      <c r="P10991">
        <v>0</v>
      </c>
    </row>
    <row r="10992" spans="1:16" x14ac:dyDescent="0.25">
      <c r="A10992" t="s">
        <v>33752</v>
      </c>
      <c r="B10992" t="s">
        <v>20659</v>
      </c>
      <c r="C10992" t="s">
        <v>20660</v>
      </c>
      <c r="D10992" t="str">
        <f>"1700"</f>
        <v>1700</v>
      </c>
      <c r="E10992" t="s">
        <v>60</v>
      </c>
      <c r="F10992" t="s">
        <v>3750</v>
      </c>
      <c r="G10992" t="s">
        <v>16221</v>
      </c>
      <c r="H10992" t="s">
        <v>47054</v>
      </c>
      <c r="I10992" t="s">
        <v>47154</v>
      </c>
      <c r="J10992" t="s">
        <v>47155</v>
      </c>
      <c r="K10992" t="s">
        <v>47113</v>
      </c>
      <c r="L10992">
        <v>6.14</v>
      </c>
      <c r="M10992">
        <v>26</v>
      </c>
      <c r="N10992">
        <v>0</v>
      </c>
      <c r="O10992">
        <v>26</v>
      </c>
      <c r="P10992">
        <v>0</v>
      </c>
    </row>
    <row r="10993" spans="1:16" x14ac:dyDescent="0.25">
      <c r="A10993" t="s">
        <v>33753</v>
      </c>
      <c r="B10993" t="s">
        <v>20659</v>
      </c>
      <c r="C10993" t="s">
        <v>20660</v>
      </c>
      <c r="D10993" t="str">
        <f>"7000"</f>
        <v>7000</v>
      </c>
      <c r="E10993" t="s">
        <v>14203</v>
      </c>
      <c r="F10993" t="s">
        <v>3750</v>
      </c>
      <c r="G10993" t="s">
        <v>16221</v>
      </c>
      <c r="H10993" t="s">
        <v>47054</v>
      </c>
      <c r="I10993" t="s">
        <v>47154</v>
      </c>
      <c r="J10993" t="s">
        <v>47155</v>
      </c>
      <c r="K10993" t="s">
        <v>47113</v>
      </c>
      <c r="L10993">
        <v>6.14</v>
      </c>
      <c r="M10993">
        <v>26</v>
      </c>
      <c r="N10993">
        <v>0</v>
      </c>
      <c r="O10993">
        <v>26</v>
      </c>
      <c r="P10993">
        <v>0</v>
      </c>
    </row>
    <row r="10994" spans="1:16" x14ac:dyDescent="0.25">
      <c r="A10994" t="s">
        <v>33754</v>
      </c>
      <c r="B10994" t="s">
        <v>20661</v>
      </c>
      <c r="C10994" t="s">
        <v>20662</v>
      </c>
      <c r="D10994" t="str">
        <f>"1001"</f>
        <v>1001</v>
      </c>
      <c r="E10994" t="s">
        <v>42</v>
      </c>
      <c r="F10994" t="s">
        <v>3750</v>
      </c>
      <c r="G10994" t="s">
        <v>16221</v>
      </c>
      <c r="H10994" t="s">
        <v>47054</v>
      </c>
      <c r="I10994" t="s">
        <v>47154</v>
      </c>
      <c r="J10994" t="s">
        <v>47155</v>
      </c>
      <c r="K10994" t="s">
        <v>47113</v>
      </c>
      <c r="L10994">
        <v>5.69</v>
      </c>
      <c r="M10994">
        <v>26</v>
      </c>
      <c r="N10994">
        <v>0</v>
      </c>
      <c r="O10994">
        <v>26</v>
      </c>
      <c r="P10994">
        <v>0</v>
      </c>
    </row>
    <row r="10995" spans="1:16" x14ac:dyDescent="0.25">
      <c r="A10995" t="s">
        <v>33755</v>
      </c>
      <c r="B10995" t="s">
        <v>20661</v>
      </c>
      <c r="C10995" t="s">
        <v>20662</v>
      </c>
      <c r="D10995" t="str">
        <f>"1700"</f>
        <v>1700</v>
      </c>
      <c r="E10995" t="s">
        <v>60</v>
      </c>
      <c r="F10995" t="s">
        <v>3750</v>
      </c>
      <c r="G10995" t="s">
        <v>16221</v>
      </c>
      <c r="H10995" t="s">
        <v>47054</v>
      </c>
      <c r="I10995" t="s">
        <v>47154</v>
      </c>
      <c r="J10995" t="s">
        <v>47155</v>
      </c>
      <c r="K10995" t="s">
        <v>47113</v>
      </c>
      <c r="L10995">
        <v>5.69</v>
      </c>
      <c r="M10995">
        <v>26</v>
      </c>
      <c r="N10995">
        <v>0</v>
      </c>
      <c r="O10995">
        <v>26</v>
      </c>
      <c r="P10995">
        <v>0</v>
      </c>
    </row>
    <row r="10996" spans="1:16" x14ac:dyDescent="0.25">
      <c r="A10996" t="s">
        <v>33756</v>
      </c>
      <c r="B10996" t="s">
        <v>20661</v>
      </c>
      <c r="C10996" t="s">
        <v>20662</v>
      </c>
      <c r="D10996" t="str">
        <f>"4401"</f>
        <v>4401</v>
      </c>
      <c r="E10996" t="s">
        <v>20663</v>
      </c>
      <c r="F10996" t="s">
        <v>3750</v>
      </c>
      <c r="G10996" t="s">
        <v>16221</v>
      </c>
      <c r="H10996" t="s">
        <v>47054</v>
      </c>
      <c r="I10996" t="s">
        <v>47154</v>
      </c>
      <c r="J10996" t="s">
        <v>47155</v>
      </c>
      <c r="K10996" t="s">
        <v>47113</v>
      </c>
      <c r="L10996">
        <v>5.69</v>
      </c>
      <c r="M10996">
        <v>26</v>
      </c>
      <c r="N10996">
        <v>0</v>
      </c>
      <c r="O10996">
        <v>26</v>
      </c>
      <c r="P10996">
        <v>0</v>
      </c>
    </row>
    <row r="10997" spans="1:16" x14ac:dyDescent="0.25">
      <c r="A10997" t="s">
        <v>33757</v>
      </c>
      <c r="B10997" t="s">
        <v>20664</v>
      </c>
      <c r="C10997" t="s">
        <v>20665</v>
      </c>
      <c r="D10997" t="str">
        <f>"1096"</f>
        <v>1096</v>
      </c>
      <c r="E10997" t="s">
        <v>4744</v>
      </c>
      <c r="F10997" t="s">
        <v>3750</v>
      </c>
      <c r="G10997" t="s">
        <v>16221</v>
      </c>
      <c r="H10997" t="s">
        <v>47054</v>
      </c>
      <c r="I10997" t="s">
        <v>47154</v>
      </c>
      <c r="J10997" t="s">
        <v>47155</v>
      </c>
      <c r="K10997" t="s">
        <v>47113</v>
      </c>
      <c r="L10997">
        <v>7.42</v>
      </c>
      <c r="M10997">
        <v>33</v>
      </c>
      <c r="N10997">
        <v>0</v>
      </c>
      <c r="O10997">
        <v>33</v>
      </c>
      <c r="P10997">
        <v>0</v>
      </c>
    </row>
    <row r="10998" spans="1:16" x14ac:dyDescent="0.25">
      <c r="A10998" t="s">
        <v>33758</v>
      </c>
      <c r="B10998" t="s">
        <v>20664</v>
      </c>
      <c r="C10998" t="s">
        <v>20665</v>
      </c>
      <c r="D10998" t="str">
        <f>"1855"</f>
        <v>1855</v>
      </c>
      <c r="E10998" t="s">
        <v>20528</v>
      </c>
      <c r="F10998" t="s">
        <v>3750</v>
      </c>
      <c r="G10998" t="s">
        <v>16221</v>
      </c>
      <c r="H10998" t="s">
        <v>47054</v>
      </c>
      <c r="I10998" t="s">
        <v>47154</v>
      </c>
      <c r="J10998" t="s">
        <v>47155</v>
      </c>
      <c r="K10998" t="s">
        <v>47113</v>
      </c>
      <c r="L10998">
        <v>7.42</v>
      </c>
      <c r="M10998">
        <v>33</v>
      </c>
      <c r="N10998">
        <v>0</v>
      </c>
      <c r="O10998">
        <v>33</v>
      </c>
      <c r="P10998">
        <v>0</v>
      </c>
    </row>
    <row r="10999" spans="1:16" x14ac:dyDescent="0.25">
      <c r="A10999" t="s">
        <v>33759</v>
      </c>
      <c r="B10999" t="s">
        <v>20666</v>
      </c>
      <c r="C10999" t="s">
        <v>20667</v>
      </c>
      <c r="D10999" t="str">
        <f>"1001"</f>
        <v>1001</v>
      </c>
      <c r="E10999" t="s">
        <v>42</v>
      </c>
      <c r="F10999" t="s">
        <v>3750</v>
      </c>
      <c r="G10999" t="s">
        <v>47534</v>
      </c>
      <c r="H10999" t="s">
        <v>47054</v>
      </c>
      <c r="I10999" t="s">
        <v>47154</v>
      </c>
      <c r="J10999" t="s">
        <v>47155</v>
      </c>
      <c r="K10999" t="s">
        <v>47113</v>
      </c>
      <c r="L10999">
        <v>6.44</v>
      </c>
      <c r="M10999">
        <v>26</v>
      </c>
      <c r="N10999">
        <v>0</v>
      </c>
      <c r="O10999">
        <v>26</v>
      </c>
      <c r="P10999">
        <v>0</v>
      </c>
    </row>
    <row r="11000" spans="1:16" x14ac:dyDescent="0.25">
      <c r="A11000" t="s">
        <v>33760</v>
      </c>
      <c r="B11000" t="s">
        <v>20666</v>
      </c>
      <c r="C11000" t="s">
        <v>20667</v>
      </c>
      <c r="D11000" t="str">
        <f>"1700"</f>
        <v>1700</v>
      </c>
      <c r="E11000" t="s">
        <v>60</v>
      </c>
      <c r="F11000" t="s">
        <v>3750</v>
      </c>
      <c r="G11000" t="s">
        <v>47534</v>
      </c>
      <c r="H11000" t="s">
        <v>47054</v>
      </c>
      <c r="I11000" t="s">
        <v>47154</v>
      </c>
      <c r="J11000" t="s">
        <v>47155</v>
      </c>
      <c r="K11000" t="s">
        <v>47113</v>
      </c>
      <c r="L11000">
        <v>6.44</v>
      </c>
      <c r="M11000">
        <v>26</v>
      </c>
      <c r="N11000">
        <v>0</v>
      </c>
      <c r="O11000">
        <v>26</v>
      </c>
      <c r="P11000">
        <v>0</v>
      </c>
    </row>
    <row r="11001" spans="1:16" x14ac:dyDescent="0.25">
      <c r="A11001" t="s">
        <v>33761</v>
      </c>
      <c r="B11001" t="s">
        <v>20668</v>
      </c>
      <c r="C11001" t="s">
        <v>20445</v>
      </c>
      <c r="D11001" t="str">
        <f>"4031"</f>
        <v>4031</v>
      </c>
      <c r="E11001" t="s">
        <v>20669</v>
      </c>
      <c r="F11001" t="s">
        <v>3750</v>
      </c>
      <c r="G11001" t="s">
        <v>16230</v>
      </c>
      <c r="H11001" t="s">
        <v>47054</v>
      </c>
      <c r="I11001" t="s">
        <v>47118</v>
      </c>
      <c r="J11001" t="s">
        <v>47119</v>
      </c>
      <c r="K11001" t="s">
        <v>47113</v>
      </c>
      <c r="L11001">
        <v>13.31</v>
      </c>
      <c r="M11001">
        <v>47</v>
      </c>
      <c r="N11001">
        <v>0</v>
      </c>
      <c r="O11001">
        <v>47</v>
      </c>
      <c r="P11001">
        <v>0</v>
      </c>
    </row>
    <row r="11002" spans="1:16" x14ac:dyDescent="0.25">
      <c r="A11002" t="s">
        <v>33762</v>
      </c>
      <c r="B11002" t="s">
        <v>33763</v>
      </c>
      <c r="C11002" t="s">
        <v>33764</v>
      </c>
      <c r="D11002" t="str">
        <f>"1001"</f>
        <v>1001</v>
      </c>
      <c r="E11002" t="s">
        <v>42</v>
      </c>
      <c r="F11002" t="s">
        <v>3750</v>
      </c>
      <c r="G11002" t="s">
        <v>16448</v>
      </c>
      <c r="H11002" t="s">
        <v>47054</v>
      </c>
      <c r="I11002" t="s">
        <v>47118</v>
      </c>
      <c r="J11002" t="s">
        <v>47119</v>
      </c>
      <c r="K11002" t="s">
        <v>47113</v>
      </c>
      <c r="L11002">
        <v>27.05</v>
      </c>
      <c r="M11002">
        <v>107</v>
      </c>
      <c r="N11002">
        <v>0</v>
      </c>
      <c r="O11002">
        <v>107</v>
      </c>
      <c r="P11002">
        <v>0</v>
      </c>
    </row>
    <row r="11003" spans="1:16" x14ac:dyDescent="0.25">
      <c r="A11003" t="s">
        <v>33765</v>
      </c>
      <c r="B11003" t="s">
        <v>33763</v>
      </c>
      <c r="C11003" t="s">
        <v>33764</v>
      </c>
      <c r="D11003" t="str">
        <f>"6000"</f>
        <v>6000</v>
      </c>
      <c r="E11003" t="s">
        <v>6279</v>
      </c>
      <c r="F11003" t="s">
        <v>3750</v>
      </c>
      <c r="G11003" t="s">
        <v>16448</v>
      </c>
      <c r="H11003" t="s">
        <v>47054</v>
      </c>
      <c r="I11003" t="s">
        <v>47118</v>
      </c>
      <c r="J11003" t="s">
        <v>47119</v>
      </c>
      <c r="K11003" t="s">
        <v>47113</v>
      </c>
      <c r="L11003">
        <v>27.05</v>
      </c>
      <c r="M11003">
        <v>107</v>
      </c>
      <c r="N11003">
        <v>0</v>
      </c>
      <c r="O11003">
        <v>107</v>
      </c>
      <c r="P11003">
        <v>0</v>
      </c>
    </row>
    <row r="11004" spans="1:16" x14ac:dyDescent="0.25">
      <c r="A11004" t="s">
        <v>48179</v>
      </c>
      <c r="B11004" t="s">
        <v>48180</v>
      </c>
      <c r="C11004" t="s">
        <v>48181</v>
      </c>
      <c r="D11004" t="str">
        <f>"1001"</f>
        <v>1001</v>
      </c>
      <c r="E11004" t="s">
        <v>42</v>
      </c>
      <c r="F11004" t="s">
        <v>47488</v>
      </c>
      <c r="G11004" t="s">
        <v>16224</v>
      </c>
      <c r="H11004" t="s">
        <v>47054</v>
      </c>
      <c r="I11004" t="s">
        <v>47118</v>
      </c>
      <c r="J11004" t="s">
        <v>47119</v>
      </c>
      <c r="K11004" t="s">
        <v>47113</v>
      </c>
      <c r="L11004">
        <v>27.24</v>
      </c>
      <c r="M11004">
        <v>114</v>
      </c>
      <c r="N11004">
        <v>309</v>
      </c>
      <c r="O11004">
        <v>114</v>
      </c>
      <c r="P11004">
        <v>309</v>
      </c>
    </row>
    <row r="11005" spans="1:16" x14ac:dyDescent="0.25">
      <c r="A11005" t="s">
        <v>33766</v>
      </c>
      <c r="B11005" t="s">
        <v>20670</v>
      </c>
      <c r="C11005" t="s">
        <v>20671</v>
      </c>
      <c r="D11005" t="s">
        <v>20672</v>
      </c>
      <c r="E11005" t="s">
        <v>20673</v>
      </c>
      <c r="F11005" t="s">
        <v>3750</v>
      </c>
      <c r="G11005" t="s">
        <v>16231</v>
      </c>
      <c r="H11005" t="s">
        <v>47054</v>
      </c>
      <c r="I11005" t="s">
        <v>47116</v>
      </c>
      <c r="J11005" t="s">
        <v>47117</v>
      </c>
      <c r="K11005" t="s">
        <v>47113</v>
      </c>
      <c r="L11005">
        <v>26.09</v>
      </c>
      <c r="M11005">
        <v>95</v>
      </c>
      <c r="N11005">
        <v>0</v>
      </c>
      <c r="O11005">
        <v>95</v>
      </c>
      <c r="P11005">
        <v>0</v>
      </c>
    </row>
    <row r="11006" spans="1:16" x14ac:dyDescent="0.25">
      <c r="A11006" t="s">
        <v>33767</v>
      </c>
      <c r="B11006" t="s">
        <v>20674</v>
      </c>
      <c r="C11006" t="s">
        <v>20675</v>
      </c>
      <c r="D11006" t="s">
        <v>20676</v>
      </c>
      <c r="E11006" t="s">
        <v>20677</v>
      </c>
      <c r="F11006" t="s">
        <v>3750</v>
      </c>
      <c r="G11006" t="s">
        <v>16231</v>
      </c>
      <c r="H11006" t="s">
        <v>47054</v>
      </c>
      <c r="I11006" t="s">
        <v>47120</v>
      </c>
      <c r="J11006" t="s">
        <v>47121</v>
      </c>
      <c r="K11006" t="s">
        <v>47113</v>
      </c>
      <c r="L11006">
        <v>28.09</v>
      </c>
      <c r="M11006">
        <v>108</v>
      </c>
      <c r="N11006">
        <v>0</v>
      </c>
      <c r="O11006">
        <v>108</v>
      </c>
      <c r="P11006">
        <v>0</v>
      </c>
    </row>
    <row r="11007" spans="1:16" x14ac:dyDescent="0.25">
      <c r="A11007" t="s">
        <v>33768</v>
      </c>
      <c r="B11007" t="s">
        <v>20678</v>
      </c>
      <c r="C11007" t="s">
        <v>20679</v>
      </c>
      <c r="D11007" t="s">
        <v>20680</v>
      </c>
      <c r="E11007" t="s">
        <v>20681</v>
      </c>
      <c r="F11007" t="s">
        <v>3750</v>
      </c>
      <c r="G11007" t="s">
        <v>16231</v>
      </c>
      <c r="H11007" t="s">
        <v>47054</v>
      </c>
      <c r="I11007" t="s">
        <v>47120</v>
      </c>
      <c r="J11007" t="s">
        <v>47121</v>
      </c>
      <c r="K11007" t="s">
        <v>47113</v>
      </c>
      <c r="L11007">
        <v>30.19</v>
      </c>
      <c r="M11007">
        <v>40</v>
      </c>
      <c r="N11007">
        <v>0</v>
      </c>
      <c r="O11007">
        <v>40</v>
      </c>
      <c r="P11007">
        <v>0</v>
      </c>
    </row>
    <row r="11008" spans="1:16" x14ac:dyDescent="0.25">
      <c r="A11008" t="s">
        <v>33769</v>
      </c>
      <c r="B11008" t="s">
        <v>20678</v>
      </c>
      <c r="C11008" t="s">
        <v>20679</v>
      </c>
      <c r="D11008" t="s">
        <v>17878</v>
      </c>
      <c r="E11008" t="s">
        <v>17879</v>
      </c>
      <c r="F11008" t="s">
        <v>3750</v>
      </c>
      <c r="G11008" t="s">
        <v>16231</v>
      </c>
      <c r="H11008" t="s">
        <v>47054</v>
      </c>
      <c r="I11008" t="s">
        <v>47120</v>
      </c>
      <c r="J11008" t="s">
        <v>47121</v>
      </c>
      <c r="K11008" t="s">
        <v>47113</v>
      </c>
      <c r="L11008">
        <v>31.06</v>
      </c>
      <c r="M11008">
        <v>34</v>
      </c>
      <c r="N11008">
        <v>0</v>
      </c>
      <c r="O11008">
        <v>34</v>
      </c>
      <c r="P11008">
        <v>0</v>
      </c>
    </row>
    <row r="11009" spans="1:16" x14ac:dyDescent="0.25">
      <c r="A11009" t="s">
        <v>33770</v>
      </c>
      <c r="B11009" t="s">
        <v>20678</v>
      </c>
      <c r="C11009" t="s">
        <v>20679</v>
      </c>
      <c r="D11009" t="s">
        <v>20682</v>
      </c>
      <c r="E11009" t="s">
        <v>20683</v>
      </c>
      <c r="F11009" t="s">
        <v>3750</v>
      </c>
      <c r="G11009" t="s">
        <v>16231</v>
      </c>
      <c r="H11009" t="s">
        <v>47054</v>
      </c>
      <c r="I11009" t="s">
        <v>47120</v>
      </c>
      <c r="J11009" t="s">
        <v>47121</v>
      </c>
      <c r="K11009" t="s">
        <v>47113</v>
      </c>
      <c r="L11009">
        <v>27.2</v>
      </c>
      <c r="M11009">
        <v>95</v>
      </c>
      <c r="N11009">
        <v>0</v>
      </c>
      <c r="O11009">
        <v>95</v>
      </c>
      <c r="P11009">
        <v>0</v>
      </c>
    </row>
    <row r="11010" spans="1:16" x14ac:dyDescent="0.25">
      <c r="A11010" t="s">
        <v>33771</v>
      </c>
      <c r="B11010" t="s">
        <v>20684</v>
      </c>
      <c r="C11010" t="s">
        <v>20679</v>
      </c>
      <c r="D11010" t="s">
        <v>20685</v>
      </c>
      <c r="E11010" t="s">
        <v>20686</v>
      </c>
      <c r="F11010" t="s">
        <v>3750</v>
      </c>
      <c r="G11010" t="s">
        <v>16231</v>
      </c>
      <c r="H11010" t="s">
        <v>47054</v>
      </c>
      <c r="I11010" t="s">
        <v>47120</v>
      </c>
      <c r="J11010" t="s">
        <v>47121</v>
      </c>
      <c r="K11010" t="s">
        <v>47113</v>
      </c>
      <c r="L11010">
        <v>29.42</v>
      </c>
      <c r="M11010">
        <v>40</v>
      </c>
      <c r="N11010">
        <v>0</v>
      </c>
      <c r="O11010">
        <v>40</v>
      </c>
      <c r="P11010">
        <v>0</v>
      </c>
    </row>
    <row r="11011" spans="1:16" x14ac:dyDescent="0.25">
      <c r="A11011" t="s">
        <v>33772</v>
      </c>
      <c r="B11011" t="s">
        <v>20687</v>
      </c>
      <c r="C11011" t="s">
        <v>20688</v>
      </c>
      <c r="D11011" t="str">
        <f>"6003"</f>
        <v>6003</v>
      </c>
      <c r="E11011" t="s">
        <v>20689</v>
      </c>
      <c r="F11011" t="s">
        <v>3750</v>
      </c>
      <c r="G11011" t="s">
        <v>16231</v>
      </c>
      <c r="H11011" t="s">
        <v>47054</v>
      </c>
      <c r="I11011" t="s">
        <v>47116</v>
      </c>
      <c r="J11011" t="s">
        <v>47117</v>
      </c>
      <c r="K11011" t="s">
        <v>47113</v>
      </c>
      <c r="L11011">
        <v>39.99</v>
      </c>
      <c r="M11011">
        <v>57</v>
      </c>
      <c r="N11011">
        <v>0</v>
      </c>
      <c r="O11011">
        <v>57</v>
      </c>
      <c r="P11011">
        <v>0</v>
      </c>
    </row>
    <row r="11012" spans="1:16" x14ac:dyDescent="0.25">
      <c r="A11012" t="s">
        <v>33773</v>
      </c>
      <c r="B11012" t="s">
        <v>20690</v>
      </c>
      <c r="C11012" t="s">
        <v>20691</v>
      </c>
      <c r="D11012" t="s">
        <v>20676</v>
      </c>
      <c r="E11012" t="s">
        <v>20677</v>
      </c>
      <c r="F11012" t="s">
        <v>3750</v>
      </c>
      <c r="G11012" t="s">
        <v>16231</v>
      </c>
      <c r="H11012" t="s">
        <v>47054</v>
      </c>
      <c r="I11012" t="s">
        <v>47120</v>
      </c>
      <c r="J11012" t="s">
        <v>47121</v>
      </c>
      <c r="K11012" t="s">
        <v>47113</v>
      </c>
      <c r="L11012">
        <v>25.85</v>
      </c>
      <c r="M11012">
        <v>95</v>
      </c>
      <c r="N11012">
        <v>0</v>
      </c>
      <c r="O11012">
        <v>95</v>
      </c>
      <c r="P11012">
        <v>0</v>
      </c>
    </row>
    <row r="11013" spans="1:16" x14ac:dyDescent="0.25">
      <c r="A11013" t="s">
        <v>33774</v>
      </c>
      <c r="B11013" t="s">
        <v>20692</v>
      </c>
      <c r="C11013" t="s">
        <v>20693</v>
      </c>
      <c r="D11013" t="s">
        <v>20672</v>
      </c>
      <c r="E11013" t="s">
        <v>20673</v>
      </c>
      <c r="F11013" t="s">
        <v>3750</v>
      </c>
      <c r="G11013" t="s">
        <v>16231</v>
      </c>
      <c r="H11013" t="s">
        <v>47054</v>
      </c>
      <c r="I11013" t="s">
        <v>47116</v>
      </c>
      <c r="J11013" t="s">
        <v>47117</v>
      </c>
      <c r="K11013" t="s">
        <v>47113</v>
      </c>
      <c r="L11013">
        <v>31.32</v>
      </c>
      <c r="M11013">
        <v>108</v>
      </c>
      <c r="N11013">
        <v>0</v>
      </c>
      <c r="O11013">
        <v>108</v>
      </c>
      <c r="P11013">
        <v>0</v>
      </c>
    </row>
    <row r="11014" spans="1:16" x14ac:dyDescent="0.25">
      <c r="A11014" t="s">
        <v>33775</v>
      </c>
      <c r="B11014" t="s">
        <v>20694</v>
      </c>
      <c r="C11014" t="s">
        <v>20695</v>
      </c>
      <c r="D11014" t="s">
        <v>20672</v>
      </c>
      <c r="E11014" t="s">
        <v>20696</v>
      </c>
      <c r="F11014" t="s">
        <v>3750</v>
      </c>
      <c r="G11014" t="s">
        <v>16231</v>
      </c>
      <c r="H11014" t="s">
        <v>47054</v>
      </c>
      <c r="I11014" t="s">
        <v>47120</v>
      </c>
      <c r="J11014" t="s">
        <v>47121</v>
      </c>
      <c r="K11014" t="s">
        <v>47113</v>
      </c>
      <c r="L11014">
        <v>30.2</v>
      </c>
      <c r="M11014">
        <v>108</v>
      </c>
      <c r="N11014">
        <v>0</v>
      </c>
      <c r="O11014">
        <v>108</v>
      </c>
      <c r="P11014">
        <v>0</v>
      </c>
    </row>
    <row r="11015" spans="1:16" x14ac:dyDescent="0.25">
      <c r="A11015" t="s">
        <v>33776</v>
      </c>
      <c r="B11015" t="s">
        <v>20697</v>
      </c>
      <c r="C11015" t="s">
        <v>20698</v>
      </c>
      <c r="D11015" t="str">
        <f>"1001"</f>
        <v>1001</v>
      </c>
      <c r="E11015" t="s">
        <v>33777</v>
      </c>
      <c r="F11015" t="s">
        <v>24622</v>
      </c>
      <c r="G11015" t="s">
        <v>16231</v>
      </c>
      <c r="H11015" t="s">
        <v>47054</v>
      </c>
      <c r="I11015" t="s">
        <v>47116</v>
      </c>
      <c r="J11015" t="s">
        <v>47117</v>
      </c>
      <c r="K11015" t="s">
        <v>47113</v>
      </c>
      <c r="L11015">
        <v>22.68</v>
      </c>
      <c r="M11015">
        <v>96</v>
      </c>
      <c r="N11015">
        <v>259</v>
      </c>
      <c r="O11015">
        <v>96</v>
      </c>
      <c r="P11015">
        <v>259</v>
      </c>
    </row>
    <row r="11016" spans="1:16" x14ac:dyDescent="0.25">
      <c r="A11016" t="s">
        <v>33778</v>
      </c>
      <c r="B11016" t="s">
        <v>20697</v>
      </c>
      <c r="C11016" t="s">
        <v>20698</v>
      </c>
      <c r="D11016" t="str">
        <f>"1106"</f>
        <v>1106</v>
      </c>
      <c r="E11016" t="s">
        <v>20699</v>
      </c>
      <c r="F11016" t="s">
        <v>3750</v>
      </c>
      <c r="G11016" t="s">
        <v>16231</v>
      </c>
      <c r="H11016" t="s">
        <v>47054</v>
      </c>
      <c r="I11016" t="s">
        <v>47116</v>
      </c>
      <c r="J11016" t="s">
        <v>47117</v>
      </c>
      <c r="K11016" t="s">
        <v>47113</v>
      </c>
      <c r="L11016">
        <v>22.66</v>
      </c>
      <c r="M11016">
        <v>80</v>
      </c>
      <c r="N11016">
        <v>0</v>
      </c>
      <c r="O11016">
        <v>80</v>
      </c>
      <c r="P11016">
        <v>0</v>
      </c>
    </row>
    <row r="11017" spans="1:16" x14ac:dyDescent="0.25">
      <c r="A11017" t="s">
        <v>33779</v>
      </c>
      <c r="B11017" t="s">
        <v>33780</v>
      </c>
      <c r="C11017" t="s">
        <v>20698</v>
      </c>
      <c r="D11017" t="str">
        <f>"1106"</f>
        <v>1106</v>
      </c>
      <c r="E11017" t="s">
        <v>20699</v>
      </c>
      <c r="F11017" t="s">
        <v>3750</v>
      </c>
      <c r="G11017" t="s">
        <v>16231</v>
      </c>
      <c r="H11017" t="s">
        <v>47054</v>
      </c>
      <c r="I11017" t="s">
        <v>47544</v>
      </c>
      <c r="J11017" t="s">
        <v>47545</v>
      </c>
      <c r="K11017" t="s">
        <v>47113</v>
      </c>
      <c r="L11017">
        <v>18.559999999999999</v>
      </c>
      <c r="M11017">
        <v>96</v>
      </c>
      <c r="N11017">
        <v>259</v>
      </c>
      <c r="O11017">
        <v>96</v>
      </c>
      <c r="P11017">
        <v>259</v>
      </c>
    </row>
    <row r="11018" spans="1:16" x14ac:dyDescent="0.25">
      <c r="A11018" t="s">
        <v>33781</v>
      </c>
      <c r="B11018" t="s">
        <v>33782</v>
      </c>
      <c r="C11018" t="s">
        <v>31922</v>
      </c>
      <c r="D11018" t="str">
        <f>"1200"</f>
        <v>1200</v>
      </c>
      <c r="E11018" t="s">
        <v>33783</v>
      </c>
      <c r="F11018" t="s">
        <v>3750</v>
      </c>
      <c r="G11018" t="s">
        <v>16231</v>
      </c>
      <c r="H11018" t="s">
        <v>47054</v>
      </c>
      <c r="I11018" t="s">
        <v>47116</v>
      </c>
      <c r="J11018" t="s">
        <v>47117</v>
      </c>
      <c r="K11018" t="s">
        <v>47113</v>
      </c>
      <c r="L11018">
        <v>29.23</v>
      </c>
      <c r="M11018">
        <v>94</v>
      </c>
      <c r="N11018">
        <v>0</v>
      </c>
      <c r="O11018">
        <v>94</v>
      </c>
      <c r="P11018">
        <v>0</v>
      </c>
    </row>
    <row r="11019" spans="1:16" x14ac:dyDescent="0.25">
      <c r="A11019" t="s">
        <v>48182</v>
      </c>
      <c r="B11019" t="s">
        <v>48183</v>
      </c>
      <c r="C11019" t="s">
        <v>33528</v>
      </c>
      <c r="D11019" t="str">
        <f>"1700"</f>
        <v>1700</v>
      </c>
      <c r="E11019" t="s">
        <v>48184</v>
      </c>
      <c r="F11019" t="s">
        <v>31484</v>
      </c>
      <c r="G11019" t="s">
        <v>16231</v>
      </c>
      <c r="H11019" t="s">
        <v>47054</v>
      </c>
      <c r="I11019" t="s">
        <v>47116</v>
      </c>
      <c r="J11019" t="s">
        <v>47117</v>
      </c>
      <c r="K11019" t="s">
        <v>47113</v>
      </c>
      <c r="L11019">
        <v>33.700000000000003</v>
      </c>
      <c r="M11019">
        <v>155</v>
      </c>
      <c r="N11019">
        <v>419</v>
      </c>
      <c r="O11019">
        <v>155</v>
      </c>
      <c r="P11019">
        <v>419</v>
      </c>
    </row>
    <row r="11020" spans="1:16" x14ac:dyDescent="0.25">
      <c r="A11020" t="s">
        <v>33784</v>
      </c>
      <c r="B11020" t="s">
        <v>33785</v>
      </c>
      <c r="C11020" t="s">
        <v>20386</v>
      </c>
      <c r="D11020" t="str">
        <f>"3106"</f>
        <v>3106</v>
      </c>
      <c r="E11020" t="s">
        <v>33786</v>
      </c>
      <c r="F11020" t="s">
        <v>24627</v>
      </c>
      <c r="G11020" t="s">
        <v>16231</v>
      </c>
      <c r="H11020" t="s">
        <v>47054</v>
      </c>
      <c r="I11020" t="s">
        <v>47120</v>
      </c>
      <c r="J11020" t="s">
        <v>47121</v>
      </c>
      <c r="K11020" t="s">
        <v>47113</v>
      </c>
      <c r="L11020">
        <v>28.08</v>
      </c>
      <c r="M11020">
        <v>114</v>
      </c>
      <c r="N11020">
        <v>309</v>
      </c>
      <c r="O11020">
        <v>114</v>
      </c>
      <c r="P11020">
        <v>309</v>
      </c>
    </row>
    <row r="11021" spans="1:16" x14ac:dyDescent="0.25">
      <c r="A11021" t="s">
        <v>33787</v>
      </c>
      <c r="B11021" t="s">
        <v>33785</v>
      </c>
      <c r="C11021" t="s">
        <v>20386</v>
      </c>
      <c r="D11021" t="str">
        <f>"7233"</f>
        <v>7233</v>
      </c>
      <c r="E11021" t="s">
        <v>33788</v>
      </c>
      <c r="F11021" t="s">
        <v>24627</v>
      </c>
      <c r="G11021" t="s">
        <v>16231</v>
      </c>
      <c r="H11021" t="s">
        <v>47054</v>
      </c>
      <c r="I11021" t="s">
        <v>47120</v>
      </c>
      <c r="J11021" t="s">
        <v>47121</v>
      </c>
      <c r="K11021" t="s">
        <v>47113</v>
      </c>
      <c r="L11021">
        <v>28.08</v>
      </c>
      <c r="M11021">
        <v>114</v>
      </c>
      <c r="N11021">
        <v>309</v>
      </c>
      <c r="O11021">
        <v>114</v>
      </c>
      <c r="P11021">
        <v>309</v>
      </c>
    </row>
    <row r="11022" spans="1:16" x14ac:dyDescent="0.25">
      <c r="A11022" t="s">
        <v>33789</v>
      </c>
      <c r="B11022" t="s">
        <v>20700</v>
      </c>
      <c r="C11022" t="s">
        <v>20701</v>
      </c>
      <c r="D11022" t="str">
        <f>"1800"</f>
        <v>1800</v>
      </c>
      <c r="E11022" t="s">
        <v>20702</v>
      </c>
      <c r="F11022" t="s">
        <v>3750</v>
      </c>
      <c r="G11022" t="s">
        <v>16231</v>
      </c>
      <c r="H11022" t="s">
        <v>47054</v>
      </c>
      <c r="I11022" t="s">
        <v>47116</v>
      </c>
      <c r="J11022" t="s">
        <v>47117</v>
      </c>
      <c r="K11022" t="s">
        <v>47113</v>
      </c>
      <c r="L11022">
        <v>0</v>
      </c>
      <c r="M11022">
        <v>80</v>
      </c>
      <c r="N11022">
        <v>0</v>
      </c>
      <c r="O11022">
        <v>80</v>
      </c>
      <c r="P11022">
        <v>0</v>
      </c>
    </row>
    <row r="11023" spans="1:16" x14ac:dyDescent="0.25">
      <c r="A11023" t="s">
        <v>33790</v>
      </c>
      <c r="B11023" t="s">
        <v>33791</v>
      </c>
      <c r="C11023" t="s">
        <v>20701</v>
      </c>
      <c r="D11023" t="str">
        <f>"1800"</f>
        <v>1800</v>
      </c>
      <c r="E11023" t="s">
        <v>20702</v>
      </c>
      <c r="F11023" t="s">
        <v>3750</v>
      </c>
      <c r="G11023" t="s">
        <v>16231</v>
      </c>
      <c r="H11023" t="s">
        <v>47054</v>
      </c>
      <c r="I11023" t="s">
        <v>47544</v>
      </c>
      <c r="J11023" t="s">
        <v>47545</v>
      </c>
      <c r="K11023" t="s">
        <v>47113</v>
      </c>
      <c r="L11023">
        <v>18.489999999999998</v>
      </c>
      <c r="M11023">
        <v>85</v>
      </c>
      <c r="N11023">
        <v>229</v>
      </c>
      <c r="O11023">
        <v>85</v>
      </c>
      <c r="P11023">
        <v>229</v>
      </c>
    </row>
    <row r="11024" spans="1:16" x14ac:dyDescent="0.25">
      <c r="A11024" t="s">
        <v>33792</v>
      </c>
      <c r="B11024" t="s">
        <v>20703</v>
      </c>
      <c r="C11024" t="s">
        <v>20704</v>
      </c>
      <c r="D11024" t="str">
        <f>"1700"</f>
        <v>1700</v>
      </c>
      <c r="E11024" t="s">
        <v>20705</v>
      </c>
      <c r="F11024" t="s">
        <v>3750</v>
      </c>
      <c r="G11024" t="s">
        <v>16231</v>
      </c>
      <c r="H11024" t="s">
        <v>47054</v>
      </c>
      <c r="I11024" t="s">
        <v>47116</v>
      </c>
      <c r="J11024" t="s">
        <v>47117</v>
      </c>
      <c r="K11024" t="s">
        <v>47113</v>
      </c>
      <c r="L11024">
        <v>22.55</v>
      </c>
      <c r="M11024">
        <v>93</v>
      </c>
      <c r="N11024">
        <v>0</v>
      </c>
      <c r="O11024">
        <v>93</v>
      </c>
      <c r="P11024">
        <v>0</v>
      </c>
    </row>
    <row r="11025" spans="1:16" x14ac:dyDescent="0.25">
      <c r="A11025" t="s">
        <v>48185</v>
      </c>
      <c r="B11025" t="s">
        <v>48186</v>
      </c>
      <c r="C11025" t="s">
        <v>48187</v>
      </c>
      <c r="D11025" t="str">
        <f>"1106"</f>
        <v>1106</v>
      </c>
      <c r="E11025" t="s">
        <v>20699</v>
      </c>
      <c r="F11025" t="s">
        <v>46687</v>
      </c>
      <c r="G11025" t="s">
        <v>16233</v>
      </c>
      <c r="H11025" t="s">
        <v>47054</v>
      </c>
      <c r="I11025" t="s">
        <v>47544</v>
      </c>
      <c r="J11025" t="s">
        <v>47545</v>
      </c>
      <c r="K11025" t="s">
        <v>47113</v>
      </c>
      <c r="L11025">
        <v>18.7</v>
      </c>
      <c r="M11025">
        <v>85</v>
      </c>
      <c r="N11025">
        <v>229</v>
      </c>
      <c r="O11025">
        <v>85</v>
      </c>
      <c r="P11025">
        <v>229</v>
      </c>
    </row>
    <row r="11026" spans="1:16" x14ac:dyDescent="0.25">
      <c r="A11026" t="s">
        <v>48188</v>
      </c>
      <c r="B11026" t="s">
        <v>48189</v>
      </c>
      <c r="C11026" t="s">
        <v>48190</v>
      </c>
      <c r="D11026" t="str">
        <f>"1700"</f>
        <v>1700</v>
      </c>
      <c r="E11026" t="s">
        <v>48191</v>
      </c>
      <c r="F11026" t="s">
        <v>31484</v>
      </c>
      <c r="G11026" t="s">
        <v>16233</v>
      </c>
      <c r="H11026" t="s">
        <v>47054</v>
      </c>
      <c r="I11026" t="s">
        <v>47116</v>
      </c>
      <c r="J11026" t="s">
        <v>47117</v>
      </c>
      <c r="K11026" t="s">
        <v>47113</v>
      </c>
      <c r="L11026">
        <v>17.399999999999999</v>
      </c>
      <c r="M11026">
        <v>85</v>
      </c>
      <c r="N11026">
        <v>229</v>
      </c>
      <c r="O11026">
        <v>85</v>
      </c>
      <c r="P11026">
        <v>229</v>
      </c>
    </row>
    <row r="11027" spans="1:16" x14ac:dyDescent="0.25">
      <c r="A11027" t="s">
        <v>33793</v>
      </c>
      <c r="B11027" t="s">
        <v>20706</v>
      </c>
      <c r="C11027" t="s">
        <v>20707</v>
      </c>
      <c r="D11027" t="str">
        <f>"6000"</f>
        <v>6000</v>
      </c>
      <c r="E11027" t="s">
        <v>20708</v>
      </c>
      <c r="F11027" t="s">
        <v>3750</v>
      </c>
      <c r="G11027" t="s">
        <v>16231</v>
      </c>
      <c r="H11027" t="s">
        <v>47054</v>
      </c>
      <c r="I11027" t="s">
        <v>47116</v>
      </c>
      <c r="J11027" t="s">
        <v>47117</v>
      </c>
      <c r="K11027" t="s">
        <v>47113</v>
      </c>
      <c r="L11027">
        <v>22.66</v>
      </c>
      <c r="M11027">
        <v>80</v>
      </c>
      <c r="N11027">
        <v>0</v>
      </c>
      <c r="O11027">
        <v>80</v>
      </c>
      <c r="P11027">
        <v>0</v>
      </c>
    </row>
    <row r="11028" spans="1:16" x14ac:dyDescent="0.25">
      <c r="A11028" t="s">
        <v>33794</v>
      </c>
      <c r="B11028" t="s">
        <v>33795</v>
      </c>
      <c r="C11028" t="s">
        <v>20707</v>
      </c>
      <c r="D11028" t="str">
        <f>"6000"</f>
        <v>6000</v>
      </c>
      <c r="E11028" t="s">
        <v>20708</v>
      </c>
      <c r="F11028" t="s">
        <v>3750</v>
      </c>
      <c r="G11028" t="s">
        <v>16231</v>
      </c>
      <c r="H11028" t="s">
        <v>47054</v>
      </c>
      <c r="I11028" t="s">
        <v>47544</v>
      </c>
      <c r="J11028" t="s">
        <v>47545</v>
      </c>
      <c r="K11028" t="s">
        <v>47113</v>
      </c>
      <c r="L11028">
        <v>18.489999999999998</v>
      </c>
      <c r="M11028">
        <v>80</v>
      </c>
      <c r="N11028">
        <v>0</v>
      </c>
      <c r="O11028">
        <v>80</v>
      </c>
      <c r="P11028">
        <v>0</v>
      </c>
    </row>
    <row r="11029" spans="1:16" x14ac:dyDescent="0.25">
      <c r="A11029" t="s">
        <v>33796</v>
      </c>
      <c r="B11029" t="s">
        <v>20709</v>
      </c>
      <c r="C11029" t="s">
        <v>20710</v>
      </c>
      <c r="D11029" t="str">
        <f>"6000"</f>
        <v>6000</v>
      </c>
      <c r="E11029" t="s">
        <v>6279</v>
      </c>
      <c r="F11029" t="s">
        <v>3750</v>
      </c>
      <c r="G11029" t="s">
        <v>16231</v>
      </c>
      <c r="H11029" t="s">
        <v>47054</v>
      </c>
      <c r="I11029" t="s">
        <v>47116</v>
      </c>
      <c r="J11029" t="s">
        <v>47117</v>
      </c>
      <c r="K11029" t="s">
        <v>47113</v>
      </c>
      <c r="L11029">
        <v>25.98</v>
      </c>
      <c r="M11029">
        <v>107</v>
      </c>
      <c r="N11029">
        <v>0</v>
      </c>
      <c r="O11029">
        <v>107</v>
      </c>
      <c r="P11029">
        <v>0</v>
      </c>
    </row>
    <row r="11030" spans="1:16" x14ac:dyDescent="0.25">
      <c r="A11030" t="s">
        <v>33797</v>
      </c>
      <c r="B11030" t="s">
        <v>33798</v>
      </c>
      <c r="C11030" t="s">
        <v>33799</v>
      </c>
      <c r="D11030" t="str">
        <f>"1700"</f>
        <v>1700</v>
      </c>
      <c r="E11030" t="s">
        <v>33800</v>
      </c>
      <c r="F11030" t="s">
        <v>24627</v>
      </c>
      <c r="G11030" t="s">
        <v>16231</v>
      </c>
      <c r="H11030" t="s">
        <v>47054</v>
      </c>
      <c r="I11030" t="s">
        <v>47120</v>
      </c>
      <c r="J11030" t="s">
        <v>47121</v>
      </c>
      <c r="K11030" t="s">
        <v>47113</v>
      </c>
      <c r="L11030">
        <v>26.75</v>
      </c>
      <c r="M11030">
        <v>114</v>
      </c>
      <c r="N11030">
        <v>309</v>
      </c>
      <c r="O11030">
        <v>114</v>
      </c>
      <c r="P11030">
        <v>309</v>
      </c>
    </row>
    <row r="11031" spans="1:16" x14ac:dyDescent="0.25">
      <c r="A11031" t="s">
        <v>33801</v>
      </c>
      <c r="B11031" t="s">
        <v>33802</v>
      </c>
      <c r="C11031" t="s">
        <v>33803</v>
      </c>
      <c r="D11031" t="str">
        <f>"1800"</f>
        <v>1800</v>
      </c>
      <c r="E11031" t="s">
        <v>20702</v>
      </c>
      <c r="F11031" t="s">
        <v>3750</v>
      </c>
      <c r="G11031" t="s">
        <v>16231</v>
      </c>
      <c r="H11031" t="s">
        <v>47054</v>
      </c>
      <c r="I11031" t="s">
        <v>47120</v>
      </c>
      <c r="J11031" t="s">
        <v>47121</v>
      </c>
      <c r="K11031" t="s">
        <v>47113</v>
      </c>
      <c r="L11031">
        <v>27.8</v>
      </c>
      <c r="M11031">
        <v>100</v>
      </c>
      <c r="N11031">
        <v>269</v>
      </c>
      <c r="O11031">
        <v>100</v>
      </c>
      <c r="P11031">
        <v>269</v>
      </c>
    </row>
    <row r="11032" spans="1:16" x14ac:dyDescent="0.25">
      <c r="A11032" t="s">
        <v>33804</v>
      </c>
      <c r="B11032" t="s">
        <v>33805</v>
      </c>
      <c r="C11032" t="s">
        <v>33806</v>
      </c>
      <c r="D11032" t="str">
        <f>"1700"</f>
        <v>1700</v>
      </c>
      <c r="E11032" t="s">
        <v>33807</v>
      </c>
      <c r="F11032" t="s">
        <v>24627</v>
      </c>
      <c r="G11032" t="s">
        <v>16231</v>
      </c>
      <c r="H11032" t="s">
        <v>47054</v>
      </c>
      <c r="I11032" t="s">
        <v>47120</v>
      </c>
      <c r="J11032" t="s">
        <v>47121</v>
      </c>
      <c r="K11032" t="s">
        <v>47113</v>
      </c>
      <c r="L11032">
        <v>27.47</v>
      </c>
      <c r="M11032">
        <v>114</v>
      </c>
      <c r="N11032">
        <v>309</v>
      </c>
      <c r="O11032">
        <v>114</v>
      </c>
      <c r="P11032">
        <v>309</v>
      </c>
    </row>
    <row r="11033" spans="1:16" x14ac:dyDescent="0.25">
      <c r="A11033" t="s">
        <v>33808</v>
      </c>
      <c r="B11033" t="s">
        <v>20711</v>
      </c>
      <c r="C11033" t="s">
        <v>20712</v>
      </c>
      <c r="D11033" t="str">
        <f>"1001"</f>
        <v>1001</v>
      </c>
      <c r="E11033" t="s">
        <v>20713</v>
      </c>
      <c r="F11033" t="s">
        <v>3750</v>
      </c>
      <c r="G11033" t="s">
        <v>16231</v>
      </c>
      <c r="H11033" t="s">
        <v>47054</v>
      </c>
      <c r="I11033" t="s">
        <v>47116</v>
      </c>
      <c r="J11033" t="s">
        <v>47117</v>
      </c>
      <c r="K11033" t="s">
        <v>47113</v>
      </c>
      <c r="L11033">
        <v>26.95</v>
      </c>
      <c r="M11033">
        <v>46</v>
      </c>
      <c r="N11033">
        <v>0</v>
      </c>
      <c r="O11033">
        <v>46</v>
      </c>
      <c r="P11033">
        <v>0</v>
      </c>
    </row>
    <row r="11034" spans="1:16" x14ac:dyDescent="0.25">
      <c r="A11034" t="s">
        <v>33809</v>
      </c>
      <c r="B11034" t="s">
        <v>20714</v>
      </c>
      <c r="C11034" t="s">
        <v>20715</v>
      </c>
      <c r="D11034" t="str">
        <f>"1800"</f>
        <v>1800</v>
      </c>
      <c r="E11034" t="s">
        <v>20716</v>
      </c>
      <c r="F11034" t="s">
        <v>3750</v>
      </c>
      <c r="G11034" t="s">
        <v>16231</v>
      </c>
      <c r="H11034" t="s">
        <v>47054</v>
      </c>
      <c r="I11034" t="s">
        <v>47116</v>
      </c>
      <c r="J11034" t="s">
        <v>47117</v>
      </c>
      <c r="K11034" t="s">
        <v>47113</v>
      </c>
      <c r="L11034">
        <v>20.79</v>
      </c>
      <c r="M11034">
        <v>80</v>
      </c>
      <c r="N11034">
        <v>0</v>
      </c>
      <c r="O11034">
        <v>80</v>
      </c>
      <c r="P11034">
        <v>0</v>
      </c>
    </row>
    <row r="11035" spans="1:16" x14ac:dyDescent="0.25">
      <c r="A11035" t="s">
        <v>33810</v>
      </c>
      <c r="B11035" t="s">
        <v>20717</v>
      </c>
      <c r="C11035" t="s">
        <v>20718</v>
      </c>
      <c r="D11035" t="str">
        <f>"1106"</f>
        <v>1106</v>
      </c>
      <c r="E11035" t="s">
        <v>20699</v>
      </c>
      <c r="F11035" t="s">
        <v>3750</v>
      </c>
      <c r="G11035" t="s">
        <v>16231</v>
      </c>
      <c r="H11035" t="s">
        <v>47054</v>
      </c>
      <c r="I11035" t="s">
        <v>47116</v>
      </c>
      <c r="J11035" t="s">
        <v>47117</v>
      </c>
      <c r="K11035" t="s">
        <v>47113</v>
      </c>
      <c r="L11035">
        <v>22.37</v>
      </c>
      <c r="M11035">
        <v>80</v>
      </c>
      <c r="N11035">
        <v>0</v>
      </c>
      <c r="O11035">
        <v>80</v>
      </c>
      <c r="P11035">
        <v>0</v>
      </c>
    </row>
    <row r="11036" spans="1:16" x14ac:dyDescent="0.25">
      <c r="A11036" t="s">
        <v>33811</v>
      </c>
      <c r="B11036" t="s">
        <v>33812</v>
      </c>
      <c r="C11036" t="s">
        <v>20718</v>
      </c>
      <c r="D11036" t="str">
        <f>"1106"</f>
        <v>1106</v>
      </c>
      <c r="E11036" t="s">
        <v>20699</v>
      </c>
      <c r="F11036" t="s">
        <v>3750</v>
      </c>
      <c r="G11036" t="s">
        <v>16231</v>
      </c>
      <c r="H11036" t="s">
        <v>47054</v>
      </c>
      <c r="I11036" t="s">
        <v>47544</v>
      </c>
      <c r="J11036" t="s">
        <v>47545</v>
      </c>
      <c r="K11036" t="s">
        <v>47113</v>
      </c>
      <c r="L11036">
        <v>19.13</v>
      </c>
      <c r="M11036">
        <v>96</v>
      </c>
      <c r="N11036">
        <v>259</v>
      </c>
      <c r="O11036">
        <v>96</v>
      </c>
      <c r="P11036">
        <v>259</v>
      </c>
    </row>
    <row r="11037" spans="1:16" x14ac:dyDescent="0.25">
      <c r="A11037" t="s">
        <v>48192</v>
      </c>
      <c r="B11037" t="s">
        <v>48193</v>
      </c>
      <c r="C11037" t="s">
        <v>48194</v>
      </c>
      <c r="D11037" t="str">
        <f>"1700"</f>
        <v>1700</v>
      </c>
      <c r="E11037" t="s">
        <v>48195</v>
      </c>
      <c r="F11037" t="s">
        <v>31484</v>
      </c>
      <c r="G11037" t="s">
        <v>16231</v>
      </c>
      <c r="H11037" t="s">
        <v>47054</v>
      </c>
      <c r="I11037" t="s">
        <v>47116</v>
      </c>
      <c r="J11037" t="s">
        <v>47117</v>
      </c>
      <c r="K11037" t="s">
        <v>47113</v>
      </c>
      <c r="L11037">
        <v>23.59</v>
      </c>
      <c r="M11037">
        <v>96</v>
      </c>
      <c r="N11037">
        <v>259</v>
      </c>
      <c r="O11037">
        <v>96</v>
      </c>
      <c r="P11037">
        <v>259</v>
      </c>
    </row>
    <row r="11038" spans="1:16" x14ac:dyDescent="0.25">
      <c r="A11038" t="s">
        <v>33813</v>
      </c>
      <c r="B11038" t="s">
        <v>8179</v>
      </c>
      <c r="C11038" t="s">
        <v>7190</v>
      </c>
      <c r="D11038" t="str">
        <f>"2716"</f>
        <v>2716</v>
      </c>
      <c r="E11038" t="s">
        <v>8180</v>
      </c>
      <c r="F11038" t="s">
        <v>7</v>
      </c>
      <c r="G11038" t="s">
        <v>16230</v>
      </c>
      <c r="H11038" t="s">
        <v>47054</v>
      </c>
      <c r="I11038" t="s">
        <v>47120</v>
      </c>
      <c r="J11038" t="s">
        <v>47121</v>
      </c>
      <c r="K11038" t="s">
        <v>47113</v>
      </c>
      <c r="L11038">
        <v>26.36</v>
      </c>
      <c r="M11038">
        <v>72</v>
      </c>
      <c r="N11038">
        <v>0</v>
      </c>
      <c r="O11038">
        <v>72</v>
      </c>
      <c r="P11038">
        <v>0</v>
      </c>
    </row>
    <row r="11039" spans="1:16" x14ac:dyDescent="0.25">
      <c r="A11039" t="s">
        <v>33814</v>
      </c>
      <c r="B11039" t="s">
        <v>8179</v>
      </c>
      <c r="C11039" t="s">
        <v>7190</v>
      </c>
      <c r="D11039" t="str">
        <f>"3033"</f>
        <v>3033</v>
      </c>
      <c r="E11039" t="s">
        <v>8181</v>
      </c>
      <c r="F11039" t="s">
        <v>7</v>
      </c>
      <c r="G11039" t="s">
        <v>16230</v>
      </c>
      <c r="H11039" t="s">
        <v>47054</v>
      </c>
      <c r="I11039" t="s">
        <v>47120</v>
      </c>
      <c r="J11039" t="s">
        <v>47121</v>
      </c>
      <c r="K11039" t="s">
        <v>47113</v>
      </c>
      <c r="L11039">
        <v>29.76</v>
      </c>
      <c r="M11039">
        <v>72</v>
      </c>
      <c r="N11039">
        <v>0</v>
      </c>
      <c r="O11039">
        <v>72</v>
      </c>
      <c r="P11039">
        <v>0</v>
      </c>
    </row>
    <row r="11040" spans="1:16" x14ac:dyDescent="0.25">
      <c r="A11040" t="s">
        <v>33815</v>
      </c>
      <c r="B11040" t="s">
        <v>8179</v>
      </c>
      <c r="C11040" t="s">
        <v>7190</v>
      </c>
      <c r="D11040" t="str">
        <f>"4305"</f>
        <v>4305</v>
      </c>
      <c r="E11040" t="s">
        <v>8182</v>
      </c>
      <c r="F11040" t="s">
        <v>7</v>
      </c>
      <c r="G11040" t="s">
        <v>16230</v>
      </c>
      <c r="H11040" t="s">
        <v>47054</v>
      </c>
      <c r="I11040" t="s">
        <v>47120</v>
      </c>
      <c r="J11040" t="s">
        <v>47121</v>
      </c>
      <c r="K11040" t="s">
        <v>47113</v>
      </c>
      <c r="L11040">
        <v>29.76</v>
      </c>
      <c r="M11040">
        <v>72</v>
      </c>
      <c r="N11040">
        <v>0</v>
      </c>
      <c r="O11040">
        <v>72</v>
      </c>
      <c r="P11040">
        <v>0</v>
      </c>
    </row>
    <row r="11041" spans="1:16" x14ac:dyDescent="0.25">
      <c r="A11041" t="s">
        <v>33816</v>
      </c>
      <c r="B11041" t="s">
        <v>8183</v>
      </c>
      <c r="C11041" t="s">
        <v>8184</v>
      </c>
      <c r="D11041" t="str">
        <f>"1331"</f>
        <v>1331</v>
      </c>
      <c r="E11041" t="s">
        <v>8185</v>
      </c>
      <c r="F11041" t="s">
        <v>7</v>
      </c>
      <c r="G11041" t="s">
        <v>16230</v>
      </c>
      <c r="H11041" t="s">
        <v>47054</v>
      </c>
      <c r="I11041" t="s">
        <v>47120</v>
      </c>
      <c r="J11041" t="s">
        <v>47121</v>
      </c>
      <c r="K11041" t="s">
        <v>47113</v>
      </c>
      <c r="L11041">
        <v>47.51</v>
      </c>
      <c r="M11041">
        <v>80</v>
      </c>
      <c r="N11041">
        <v>0</v>
      </c>
      <c r="O11041">
        <v>80</v>
      </c>
      <c r="P11041">
        <v>0</v>
      </c>
    </row>
    <row r="11042" spans="1:16" x14ac:dyDescent="0.25">
      <c r="A11042" t="s">
        <v>33817</v>
      </c>
      <c r="B11042" t="s">
        <v>8183</v>
      </c>
      <c r="C11042" t="s">
        <v>8184</v>
      </c>
      <c r="D11042" t="str">
        <f>"4237"</f>
        <v>4237</v>
      </c>
      <c r="E11042" t="s">
        <v>2816</v>
      </c>
      <c r="F11042" t="s">
        <v>7</v>
      </c>
      <c r="G11042" t="s">
        <v>16230</v>
      </c>
      <c r="H11042" t="s">
        <v>47054</v>
      </c>
      <c r="I11042" t="s">
        <v>47120</v>
      </c>
      <c r="J11042" t="s">
        <v>47121</v>
      </c>
      <c r="K11042" t="s">
        <v>47113</v>
      </c>
      <c r="L11042">
        <v>47.51</v>
      </c>
      <c r="M11042">
        <v>80</v>
      </c>
      <c r="N11042">
        <v>0</v>
      </c>
      <c r="O11042">
        <v>80</v>
      </c>
      <c r="P11042">
        <v>0</v>
      </c>
    </row>
    <row r="11043" spans="1:16" x14ac:dyDescent="0.25">
      <c r="A11043" t="s">
        <v>33818</v>
      </c>
      <c r="B11043" t="s">
        <v>8183</v>
      </c>
      <c r="C11043" t="s">
        <v>8184</v>
      </c>
      <c r="D11043" t="str">
        <f>"6226"</f>
        <v>6226</v>
      </c>
      <c r="E11043" t="s">
        <v>2817</v>
      </c>
      <c r="F11043" t="s">
        <v>7</v>
      </c>
      <c r="G11043" t="s">
        <v>16230</v>
      </c>
      <c r="H11043" t="s">
        <v>47054</v>
      </c>
      <c r="I11043" t="s">
        <v>47120</v>
      </c>
      <c r="J11043" t="s">
        <v>47121</v>
      </c>
      <c r="K11043" t="s">
        <v>47113</v>
      </c>
      <c r="L11043">
        <v>47.51</v>
      </c>
      <c r="M11043">
        <v>80</v>
      </c>
      <c r="N11043">
        <v>0</v>
      </c>
      <c r="O11043">
        <v>80</v>
      </c>
      <c r="P11043">
        <v>0</v>
      </c>
    </row>
    <row r="11044" spans="1:16" x14ac:dyDescent="0.25">
      <c r="A11044" t="s">
        <v>33819</v>
      </c>
      <c r="B11044" t="s">
        <v>8186</v>
      </c>
      <c r="C11044" t="s">
        <v>5493</v>
      </c>
      <c r="D11044" t="str">
        <f>"2354"</f>
        <v>2354</v>
      </c>
      <c r="E11044" t="s">
        <v>2823</v>
      </c>
      <c r="F11044" t="s">
        <v>5</v>
      </c>
      <c r="G11044" t="s">
        <v>16230</v>
      </c>
      <c r="H11044" t="s">
        <v>47054</v>
      </c>
      <c r="I11044" t="s">
        <v>47120</v>
      </c>
      <c r="J11044" t="s">
        <v>47121</v>
      </c>
      <c r="K11044" t="s">
        <v>47113</v>
      </c>
      <c r="L11044">
        <v>28.31</v>
      </c>
      <c r="M11044">
        <v>61</v>
      </c>
      <c r="N11044">
        <v>0</v>
      </c>
      <c r="O11044">
        <v>61</v>
      </c>
      <c r="P11044">
        <v>0</v>
      </c>
    </row>
    <row r="11045" spans="1:16" x14ac:dyDescent="0.25">
      <c r="A11045" t="s">
        <v>33820</v>
      </c>
      <c r="B11045" t="s">
        <v>8186</v>
      </c>
      <c r="C11045" t="s">
        <v>5493</v>
      </c>
      <c r="D11045" t="str">
        <f>"3440"</f>
        <v>3440</v>
      </c>
      <c r="E11045" t="s">
        <v>8187</v>
      </c>
      <c r="F11045" t="s">
        <v>5</v>
      </c>
      <c r="G11045" t="s">
        <v>16230</v>
      </c>
      <c r="H11045" t="s">
        <v>47054</v>
      </c>
      <c r="I11045" t="s">
        <v>47120</v>
      </c>
      <c r="J11045" t="s">
        <v>47121</v>
      </c>
      <c r="K11045" t="s">
        <v>47113</v>
      </c>
      <c r="L11045">
        <v>28.31</v>
      </c>
      <c r="M11045">
        <v>61</v>
      </c>
      <c r="N11045">
        <v>0</v>
      </c>
      <c r="O11045">
        <v>61</v>
      </c>
      <c r="P11045">
        <v>0</v>
      </c>
    </row>
    <row r="11046" spans="1:16" x14ac:dyDescent="0.25">
      <c r="A11046" t="s">
        <v>33821</v>
      </c>
      <c r="B11046" t="s">
        <v>8186</v>
      </c>
      <c r="C11046" t="s">
        <v>5493</v>
      </c>
      <c r="D11046" t="str">
        <f>"4360"</f>
        <v>4360</v>
      </c>
      <c r="E11046" t="s">
        <v>8188</v>
      </c>
      <c r="F11046" t="s">
        <v>4</v>
      </c>
      <c r="G11046" t="s">
        <v>16230</v>
      </c>
      <c r="H11046" t="s">
        <v>47054</v>
      </c>
      <c r="I11046" t="s">
        <v>47120</v>
      </c>
      <c r="J11046" t="s">
        <v>47121</v>
      </c>
      <c r="K11046" t="s">
        <v>47113</v>
      </c>
      <c r="L11046">
        <v>26.11</v>
      </c>
      <c r="M11046">
        <v>64</v>
      </c>
      <c r="N11046">
        <v>0</v>
      </c>
      <c r="O11046">
        <v>64</v>
      </c>
      <c r="P11046">
        <v>0</v>
      </c>
    </row>
    <row r="11047" spans="1:16" x14ac:dyDescent="0.25">
      <c r="A11047" t="s">
        <v>33822</v>
      </c>
      <c r="B11047" t="s">
        <v>8186</v>
      </c>
      <c r="C11047" t="s">
        <v>5493</v>
      </c>
      <c r="D11047" t="str">
        <f>"6343"</f>
        <v>6343</v>
      </c>
      <c r="E11047" t="s">
        <v>2824</v>
      </c>
      <c r="F11047" t="s">
        <v>5</v>
      </c>
      <c r="G11047" t="s">
        <v>16230</v>
      </c>
      <c r="H11047" t="s">
        <v>47054</v>
      </c>
      <c r="I11047" t="s">
        <v>47120</v>
      </c>
      <c r="J11047" t="s">
        <v>47121</v>
      </c>
      <c r="K11047" t="s">
        <v>47113</v>
      </c>
      <c r="L11047">
        <v>28.31</v>
      </c>
      <c r="M11047">
        <v>61</v>
      </c>
      <c r="N11047">
        <v>0</v>
      </c>
      <c r="O11047">
        <v>61</v>
      </c>
      <c r="P11047">
        <v>0</v>
      </c>
    </row>
    <row r="11048" spans="1:16" x14ac:dyDescent="0.25">
      <c r="A11048" t="s">
        <v>33823</v>
      </c>
      <c r="B11048" t="s">
        <v>8186</v>
      </c>
      <c r="C11048" t="s">
        <v>5493</v>
      </c>
      <c r="D11048" t="str">
        <f>"6377"</f>
        <v>6377</v>
      </c>
      <c r="E11048" t="s">
        <v>2820</v>
      </c>
      <c r="F11048" t="s">
        <v>4</v>
      </c>
      <c r="G11048" t="s">
        <v>16230</v>
      </c>
      <c r="H11048" t="s">
        <v>47054</v>
      </c>
      <c r="I11048" t="s">
        <v>47120</v>
      </c>
      <c r="J11048" t="s">
        <v>47121</v>
      </c>
      <c r="K11048" t="s">
        <v>47113</v>
      </c>
      <c r="L11048">
        <v>26.11</v>
      </c>
      <c r="M11048">
        <v>64</v>
      </c>
      <c r="N11048">
        <v>0</v>
      </c>
      <c r="O11048">
        <v>64</v>
      </c>
      <c r="P11048">
        <v>0</v>
      </c>
    </row>
    <row r="11049" spans="1:16" x14ac:dyDescent="0.25">
      <c r="A11049" t="s">
        <v>33824</v>
      </c>
      <c r="B11049" t="s">
        <v>8189</v>
      </c>
      <c r="C11049" t="s">
        <v>8190</v>
      </c>
      <c r="D11049" t="str">
        <f>"4485"</f>
        <v>4485</v>
      </c>
      <c r="E11049" t="s">
        <v>8191</v>
      </c>
      <c r="F11049" t="s">
        <v>2</v>
      </c>
      <c r="G11049" t="s">
        <v>16221</v>
      </c>
      <c r="H11049" t="s">
        <v>47054</v>
      </c>
      <c r="I11049" t="s">
        <v>47111</v>
      </c>
      <c r="J11049" t="s">
        <v>47112</v>
      </c>
      <c r="K11049" t="s">
        <v>47113</v>
      </c>
      <c r="L11049">
        <v>32.909999999999997</v>
      </c>
      <c r="M11049">
        <v>54</v>
      </c>
      <c r="N11049">
        <v>0</v>
      </c>
      <c r="O11049">
        <v>54</v>
      </c>
      <c r="P11049">
        <v>0</v>
      </c>
    </row>
    <row r="11050" spans="1:16" x14ac:dyDescent="0.25">
      <c r="A11050" t="s">
        <v>33825</v>
      </c>
      <c r="B11050" t="s">
        <v>8192</v>
      </c>
      <c r="C11050" t="s">
        <v>8193</v>
      </c>
      <c r="D11050" t="str">
        <f>"7428"</f>
        <v>7428</v>
      </c>
      <c r="E11050" t="s">
        <v>8194</v>
      </c>
      <c r="F11050" t="s">
        <v>2</v>
      </c>
      <c r="G11050" t="s">
        <v>16221</v>
      </c>
      <c r="H11050" t="s">
        <v>47054</v>
      </c>
      <c r="I11050" t="s">
        <v>47111</v>
      </c>
      <c r="J11050" t="s">
        <v>47112</v>
      </c>
      <c r="K11050" t="s">
        <v>47113</v>
      </c>
      <c r="L11050">
        <v>32.909999999999997</v>
      </c>
      <c r="M11050">
        <v>53</v>
      </c>
      <c r="N11050">
        <v>0</v>
      </c>
      <c r="O11050">
        <v>53</v>
      </c>
      <c r="P11050">
        <v>0</v>
      </c>
    </row>
    <row r="11051" spans="1:16" x14ac:dyDescent="0.25">
      <c r="A11051" t="s">
        <v>33826</v>
      </c>
      <c r="B11051" t="s">
        <v>8195</v>
      </c>
      <c r="C11051" t="s">
        <v>8196</v>
      </c>
      <c r="D11051" t="str">
        <f>"1359"</f>
        <v>1359</v>
      </c>
      <c r="E11051" t="s">
        <v>8197</v>
      </c>
      <c r="F11051" t="s">
        <v>2</v>
      </c>
      <c r="G11051" t="s">
        <v>16221</v>
      </c>
      <c r="H11051" t="s">
        <v>47054</v>
      </c>
      <c r="I11051" t="s">
        <v>47111</v>
      </c>
      <c r="J11051" t="s">
        <v>47112</v>
      </c>
      <c r="K11051" t="s">
        <v>47113</v>
      </c>
      <c r="L11051">
        <v>19.82</v>
      </c>
      <c r="M11051">
        <v>52</v>
      </c>
      <c r="N11051">
        <v>0</v>
      </c>
      <c r="O11051">
        <v>52</v>
      </c>
      <c r="P11051">
        <v>0</v>
      </c>
    </row>
    <row r="11052" spans="1:16" x14ac:dyDescent="0.25">
      <c r="A11052" t="s">
        <v>33827</v>
      </c>
      <c r="B11052" t="s">
        <v>8198</v>
      </c>
      <c r="C11052" t="s">
        <v>8199</v>
      </c>
      <c r="D11052" t="str">
        <f>"6166"</f>
        <v>6166</v>
      </c>
      <c r="E11052" t="s">
        <v>8200</v>
      </c>
      <c r="F11052" t="s">
        <v>2</v>
      </c>
      <c r="G11052" t="s">
        <v>16221</v>
      </c>
      <c r="H11052" t="s">
        <v>47054</v>
      </c>
      <c r="I11052" t="s">
        <v>47111</v>
      </c>
      <c r="J11052" t="s">
        <v>47112</v>
      </c>
      <c r="K11052" t="s">
        <v>47113</v>
      </c>
      <c r="L11052">
        <v>32.909999999999997</v>
      </c>
      <c r="M11052">
        <v>54</v>
      </c>
      <c r="N11052">
        <v>0</v>
      </c>
      <c r="O11052">
        <v>54</v>
      </c>
      <c r="P11052">
        <v>0</v>
      </c>
    </row>
    <row r="11053" spans="1:16" x14ac:dyDescent="0.25">
      <c r="A11053" t="s">
        <v>33828</v>
      </c>
      <c r="B11053" t="s">
        <v>8201</v>
      </c>
      <c r="C11053" t="s">
        <v>17874</v>
      </c>
      <c r="D11053" t="s">
        <v>8202</v>
      </c>
      <c r="E11053" t="s">
        <v>8203</v>
      </c>
      <c r="F11053" t="s">
        <v>3558</v>
      </c>
      <c r="G11053" t="s">
        <v>16231</v>
      </c>
      <c r="H11053" t="s">
        <v>47054</v>
      </c>
      <c r="I11053" t="s">
        <v>47111</v>
      </c>
      <c r="J11053" t="s">
        <v>47112</v>
      </c>
      <c r="K11053" t="s">
        <v>47113</v>
      </c>
      <c r="L11053">
        <v>49.95</v>
      </c>
      <c r="M11053">
        <v>111</v>
      </c>
      <c r="N11053">
        <v>0</v>
      </c>
      <c r="O11053">
        <v>111</v>
      </c>
      <c r="P11053">
        <v>0</v>
      </c>
    </row>
    <row r="11054" spans="1:16" x14ac:dyDescent="0.25">
      <c r="A11054" t="s">
        <v>33829</v>
      </c>
      <c r="B11054" t="s">
        <v>8204</v>
      </c>
      <c r="C11054" t="s">
        <v>8205</v>
      </c>
      <c r="D11054" t="s">
        <v>8202</v>
      </c>
      <c r="E11054" t="s">
        <v>8203</v>
      </c>
      <c r="F11054" t="s">
        <v>3558</v>
      </c>
      <c r="G11054" t="s">
        <v>16233</v>
      </c>
      <c r="H11054" t="s">
        <v>47054</v>
      </c>
      <c r="I11054" t="s">
        <v>47111</v>
      </c>
      <c r="J11054" t="s">
        <v>47112</v>
      </c>
      <c r="K11054" t="s">
        <v>47113</v>
      </c>
      <c r="L11054">
        <v>46.95</v>
      </c>
      <c r="M11054">
        <v>103</v>
      </c>
      <c r="N11054">
        <v>0</v>
      </c>
      <c r="O11054">
        <v>103</v>
      </c>
      <c r="P11054">
        <v>0</v>
      </c>
    </row>
    <row r="11055" spans="1:16" x14ac:dyDescent="0.25">
      <c r="A11055" t="s">
        <v>33830</v>
      </c>
      <c r="B11055" t="s">
        <v>8206</v>
      </c>
      <c r="C11055" t="s">
        <v>8207</v>
      </c>
      <c r="D11055" t="str">
        <f>"3344"</f>
        <v>3344</v>
      </c>
      <c r="E11055" t="s">
        <v>8208</v>
      </c>
      <c r="F11055" t="s">
        <v>2</v>
      </c>
      <c r="G11055" t="s">
        <v>16233</v>
      </c>
      <c r="H11055" t="s">
        <v>47054</v>
      </c>
      <c r="I11055" t="s">
        <v>47116</v>
      </c>
      <c r="J11055" t="s">
        <v>47117</v>
      </c>
      <c r="K11055" t="s">
        <v>47113</v>
      </c>
      <c r="L11055">
        <v>28.23</v>
      </c>
      <c r="M11055">
        <v>66</v>
      </c>
      <c r="N11055">
        <v>0</v>
      </c>
      <c r="O11055">
        <v>66</v>
      </c>
      <c r="P11055">
        <v>0</v>
      </c>
    </row>
    <row r="11056" spans="1:16" x14ac:dyDescent="0.25">
      <c r="A11056" t="s">
        <v>33831</v>
      </c>
      <c r="B11056" t="s">
        <v>8206</v>
      </c>
      <c r="C11056" t="s">
        <v>8207</v>
      </c>
      <c r="D11056" t="str">
        <f>"4806"</f>
        <v>4806</v>
      </c>
      <c r="E11056" t="s">
        <v>8209</v>
      </c>
      <c r="F11056" t="s">
        <v>2</v>
      </c>
      <c r="G11056" t="s">
        <v>16233</v>
      </c>
      <c r="H11056" t="s">
        <v>47054</v>
      </c>
      <c r="I11056" t="s">
        <v>47116</v>
      </c>
      <c r="J11056" t="s">
        <v>47117</v>
      </c>
      <c r="K11056" t="s">
        <v>47113</v>
      </c>
      <c r="L11056">
        <v>28.23</v>
      </c>
      <c r="M11056">
        <v>66</v>
      </c>
      <c r="N11056">
        <v>0</v>
      </c>
      <c r="O11056">
        <v>66</v>
      </c>
      <c r="P11056">
        <v>0</v>
      </c>
    </row>
    <row r="11057" spans="1:16" x14ac:dyDescent="0.25">
      <c r="A11057" t="s">
        <v>33832</v>
      </c>
      <c r="B11057" t="s">
        <v>8206</v>
      </c>
      <c r="C11057" t="s">
        <v>8207</v>
      </c>
      <c r="D11057" t="str">
        <f>"6310"</f>
        <v>6310</v>
      </c>
      <c r="E11057" t="s">
        <v>5900</v>
      </c>
      <c r="F11057" t="s">
        <v>2</v>
      </c>
      <c r="G11057" t="s">
        <v>16233</v>
      </c>
      <c r="H11057" t="s">
        <v>47054</v>
      </c>
      <c r="I11057" t="s">
        <v>47116</v>
      </c>
      <c r="J11057" t="s">
        <v>47117</v>
      </c>
      <c r="K11057" t="s">
        <v>47113</v>
      </c>
      <c r="L11057">
        <v>28.23</v>
      </c>
      <c r="M11057">
        <v>66</v>
      </c>
      <c r="N11057">
        <v>0</v>
      </c>
      <c r="O11057">
        <v>66</v>
      </c>
      <c r="P11057">
        <v>0</v>
      </c>
    </row>
    <row r="11058" spans="1:16" x14ac:dyDescent="0.25">
      <c r="A11058" t="s">
        <v>33833</v>
      </c>
      <c r="B11058" t="s">
        <v>8210</v>
      </c>
      <c r="C11058" t="s">
        <v>16236</v>
      </c>
      <c r="D11058" t="s">
        <v>8211</v>
      </c>
      <c r="E11058" t="s">
        <v>8212</v>
      </c>
      <c r="F11058" t="s">
        <v>3558</v>
      </c>
      <c r="G11058" t="s">
        <v>16231</v>
      </c>
      <c r="H11058" t="s">
        <v>47054</v>
      </c>
      <c r="I11058" t="s">
        <v>47111</v>
      </c>
      <c r="J11058" t="s">
        <v>47112</v>
      </c>
      <c r="K11058" t="s">
        <v>47113</v>
      </c>
      <c r="L11058">
        <v>50.32</v>
      </c>
      <c r="M11058">
        <v>129</v>
      </c>
      <c r="N11058">
        <v>0</v>
      </c>
      <c r="O11058">
        <v>129</v>
      </c>
      <c r="P11058">
        <v>0</v>
      </c>
    </row>
    <row r="11059" spans="1:16" x14ac:dyDescent="0.25">
      <c r="A11059" t="s">
        <v>33834</v>
      </c>
      <c r="B11059" t="s">
        <v>8213</v>
      </c>
      <c r="C11059" t="s">
        <v>8207</v>
      </c>
      <c r="D11059" t="str">
        <f>"1515"</f>
        <v>1515</v>
      </c>
      <c r="E11059" t="s">
        <v>8214</v>
      </c>
      <c r="F11059" t="s">
        <v>2</v>
      </c>
      <c r="G11059" t="s">
        <v>16233</v>
      </c>
      <c r="H11059" t="s">
        <v>47054</v>
      </c>
      <c r="I11059" t="s">
        <v>47116</v>
      </c>
      <c r="J11059" t="s">
        <v>47117</v>
      </c>
      <c r="K11059" t="s">
        <v>47113</v>
      </c>
      <c r="L11059">
        <v>28.23</v>
      </c>
      <c r="M11059">
        <v>66</v>
      </c>
      <c r="N11059">
        <v>0</v>
      </c>
      <c r="O11059">
        <v>66</v>
      </c>
      <c r="P11059">
        <v>0</v>
      </c>
    </row>
    <row r="11060" spans="1:16" x14ac:dyDescent="0.25">
      <c r="A11060" t="s">
        <v>33835</v>
      </c>
      <c r="B11060" t="s">
        <v>8215</v>
      </c>
      <c r="C11060" t="s">
        <v>8216</v>
      </c>
      <c r="D11060" t="str">
        <f>"3105"</f>
        <v>3105</v>
      </c>
      <c r="E11060" t="s">
        <v>8217</v>
      </c>
      <c r="F11060" t="s">
        <v>4</v>
      </c>
      <c r="G11060" t="s">
        <v>16224</v>
      </c>
      <c r="H11060" t="s">
        <v>47054</v>
      </c>
      <c r="I11060" t="s">
        <v>47120</v>
      </c>
      <c r="J11060" t="s">
        <v>47121</v>
      </c>
      <c r="K11060" t="s">
        <v>47113</v>
      </c>
      <c r="L11060">
        <v>44.59</v>
      </c>
      <c r="M11060">
        <v>109</v>
      </c>
      <c r="N11060">
        <v>0</v>
      </c>
      <c r="O11060">
        <v>109</v>
      </c>
      <c r="P11060">
        <v>0</v>
      </c>
    </row>
    <row r="11061" spans="1:16" x14ac:dyDescent="0.25">
      <c r="A11061" t="s">
        <v>33836</v>
      </c>
      <c r="B11061" t="s">
        <v>8215</v>
      </c>
      <c r="C11061" t="s">
        <v>8216</v>
      </c>
      <c r="D11061" t="str">
        <f>"6379"</f>
        <v>6379</v>
      </c>
      <c r="E11061" t="s">
        <v>8218</v>
      </c>
      <c r="F11061" t="s">
        <v>4</v>
      </c>
      <c r="G11061" t="s">
        <v>16224</v>
      </c>
      <c r="H11061" t="s">
        <v>47054</v>
      </c>
      <c r="I11061" t="s">
        <v>47120</v>
      </c>
      <c r="J11061" t="s">
        <v>47121</v>
      </c>
      <c r="K11061" t="s">
        <v>47113</v>
      </c>
      <c r="L11061">
        <v>44.59</v>
      </c>
      <c r="M11061">
        <v>109</v>
      </c>
      <c r="N11061">
        <v>0</v>
      </c>
      <c r="O11061">
        <v>109</v>
      </c>
      <c r="P11061">
        <v>0</v>
      </c>
    </row>
    <row r="11062" spans="1:16" x14ac:dyDescent="0.25">
      <c r="A11062" t="s">
        <v>33837</v>
      </c>
      <c r="B11062" t="s">
        <v>8219</v>
      </c>
      <c r="C11062" t="s">
        <v>8216</v>
      </c>
      <c r="D11062" t="str">
        <f>"3105"</f>
        <v>3105</v>
      </c>
      <c r="E11062" t="s">
        <v>8217</v>
      </c>
      <c r="F11062" t="s">
        <v>2</v>
      </c>
      <c r="G11062" t="s">
        <v>16448</v>
      </c>
      <c r="H11062" t="s">
        <v>47054</v>
      </c>
      <c r="I11062" t="s">
        <v>47120</v>
      </c>
      <c r="J11062" t="s">
        <v>47121</v>
      </c>
      <c r="K11062" t="s">
        <v>47113</v>
      </c>
      <c r="L11062">
        <v>48.93</v>
      </c>
      <c r="M11062">
        <v>128</v>
      </c>
      <c r="N11062">
        <v>0</v>
      </c>
      <c r="O11062">
        <v>128</v>
      </c>
      <c r="P11062">
        <v>0</v>
      </c>
    </row>
    <row r="11063" spans="1:16" x14ac:dyDescent="0.25">
      <c r="A11063" t="s">
        <v>33838</v>
      </c>
      <c r="B11063" t="s">
        <v>8219</v>
      </c>
      <c r="C11063" t="s">
        <v>8216</v>
      </c>
      <c r="D11063" t="str">
        <f>"4101"</f>
        <v>4101</v>
      </c>
      <c r="E11063" t="s">
        <v>43</v>
      </c>
      <c r="F11063" t="s">
        <v>2</v>
      </c>
      <c r="G11063" t="s">
        <v>16448</v>
      </c>
      <c r="H11063" t="s">
        <v>47054</v>
      </c>
      <c r="I11063" t="s">
        <v>47120</v>
      </c>
      <c r="J11063" t="s">
        <v>47121</v>
      </c>
      <c r="K11063" t="s">
        <v>47113</v>
      </c>
      <c r="L11063">
        <v>48.93</v>
      </c>
      <c r="M11063">
        <v>128</v>
      </c>
      <c r="N11063">
        <v>0</v>
      </c>
      <c r="O11063">
        <v>128</v>
      </c>
      <c r="P11063">
        <v>0</v>
      </c>
    </row>
    <row r="11064" spans="1:16" x14ac:dyDescent="0.25">
      <c r="A11064" t="s">
        <v>33839</v>
      </c>
      <c r="B11064" t="s">
        <v>8220</v>
      </c>
      <c r="C11064" t="s">
        <v>8221</v>
      </c>
      <c r="D11064" t="str">
        <f>"1065"</f>
        <v>1065</v>
      </c>
      <c r="E11064" t="s">
        <v>7538</v>
      </c>
      <c r="F11064" t="s">
        <v>3</v>
      </c>
      <c r="G11064" t="s">
        <v>16230</v>
      </c>
      <c r="H11064" t="s">
        <v>47054</v>
      </c>
      <c r="I11064" t="s">
        <v>47118</v>
      </c>
      <c r="J11064" t="s">
        <v>47119</v>
      </c>
      <c r="K11064" t="s">
        <v>47113</v>
      </c>
      <c r="L11064">
        <v>16.79</v>
      </c>
      <c r="M11064">
        <v>44</v>
      </c>
      <c r="N11064">
        <v>0</v>
      </c>
      <c r="O11064">
        <v>44</v>
      </c>
      <c r="P11064">
        <v>0</v>
      </c>
    </row>
    <row r="11065" spans="1:16" x14ac:dyDescent="0.25">
      <c r="A11065" t="s">
        <v>33840</v>
      </c>
      <c r="B11065" t="s">
        <v>8220</v>
      </c>
      <c r="C11065" t="s">
        <v>8221</v>
      </c>
      <c r="D11065" t="str">
        <f>"1941"</f>
        <v>1941</v>
      </c>
      <c r="E11065" t="s">
        <v>7531</v>
      </c>
      <c r="F11065" t="s">
        <v>3</v>
      </c>
      <c r="G11065" t="s">
        <v>16230</v>
      </c>
      <c r="H11065" t="s">
        <v>47054</v>
      </c>
      <c r="I11065" t="s">
        <v>47118</v>
      </c>
      <c r="J11065" t="s">
        <v>47119</v>
      </c>
      <c r="K11065" t="s">
        <v>47113</v>
      </c>
      <c r="L11065">
        <v>16.79</v>
      </c>
      <c r="M11065">
        <v>44</v>
      </c>
      <c r="N11065">
        <v>0</v>
      </c>
      <c r="O11065">
        <v>44</v>
      </c>
      <c r="P11065">
        <v>0</v>
      </c>
    </row>
    <row r="11066" spans="1:16" x14ac:dyDescent="0.25">
      <c r="A11066" t="s">
        <v>33841</v>
      </c>
      <c r="B11066" t="s">
        <v>8220</v>
      </c>
      <c r="C11066" t="s">
        <v>8221</v>
      </c>
      <c r="D11066" t="str">
        <f>"2741"</f>
        <v>2741</v>
      </c>
      <c r="E11066" t="s">
        <v>8222</v>
      </c>
      <c r="F11066" t="s">
        <v>3</v>
      </c>
      <c r="G11066" t="s">
        <v>16230</v>
      </c>
      <c r="H11066" t="s">
        <v>47054</v>
      </c>
      <c r="I11066" t="s">
        <v>47118</v>
      </c>
      <c r="J11066" t="s">
        <v>47119</v>
      </c>
      <c r="K11066" t="s">
        <v>47113</v>
      </c>
      <c r="L11066">
        <v>16.79</v>
      </c>
      <c r="M11066">
        <v>44</v>
      </c>
      <c r="N11066">
        <v>0</v>
      </c>
      <c r="O11066">
        <v>44</v>
      </c>
      <c r="P11066">
        <v>0</v>
      </c>
    </row>
    <row r="11067" spans="1:16" x14ac:dyDescent="0.25">
      <c r="A11067" t="s">
        <v>33842</v>
      </c>
      <c r="B11067" t="s">
        <v>8223</v>
      </c>
      <c r="C11067" t="s">
        <v>8224</v>
      </c>
      <c r="D11067" t="str">
        <f>"1106"</f>
        <v>1106</v>
      </c>
      <c r="E11067" t="s">
        <v>460</v>
      </c>
      <c r="F11067" t="s">
        <v>3558</v>
      </c>
      <c r="G11067" t="s">
        <v>16221</v>
      </c>
      <c r="H11067" t="s">
        <v>47054</v>
      </c>
      <c r="I11067" t="s">
        <v>47111</v>
      </c>
      <c r="J11067" t="s">
        <v>47112</v>
      </c>
      <c r="K11067" t="s">
        <v>47113</v>
      </c>
      <c r="L11067">
        <v>17.38</v>
      </c>
      <c r="M11067">
        <v>26</v>
      </c>
      <c r="N11067">
        <v>0</v>
      </c>
      <c r="O11067">
        <v>26</v>
      </c>
      <c r="P11067">
        <v>0</v>
      </c>
    </row>
    <row r="11068" spans="1:16" x14ac:dyDescent="0.25">
      <c r="A11068" t="s">
        <v>33843</v>
      </c>
      <c r="B11068" t="s">
        <v>8225</v>
      </c>
      <c r="C11068" t="s">
        <v>8226</v>
      </c>
      <c r="D11068" t="str">
        <f>"1130"</f>
        <v>1130</v>
      </c>
      <c r="E11068" t="s">
        <v>8227</v>
      </c>
      <c r="F11068" t="s">
        <v>3670</v>
      </c>
      <c r="G11068" t="s">
        <v>16221</v>
      </c>
      <c r="H11068" t="s">
        <v>47054</v>
      </c>
      <c r="I11068" t="s">
        <v>47111</v>
      </c>
      <c r="J11068" t="s">
        <v>47112</v>
      </c>
      <c r="K11068" t="s">
        <v>47113</v>
      </c>
      <c r="L11068">
        <v>13.51</v>
      </c>
      <c r="M11068">
        <v>26</v>
      </c>
      <c r="N11068">
        <v>0</v>
      </c>
      <c r="O11068">
        <v>26</v>
      </c>
      <c r="P11068">
        <v>0</v>
      </c>
    </row>
    <row r="11069" spans="1:16" x14ac:dyDescent="0.25">
      <c r="A11069" t="s">
        <v>33844</v>
      </c>
      <c r="B11069" t="s">
        <v>8225</v>
      </c>
      <c r="C11069" t="s">
        <v>8226</v>
      </c>
      <c r="D11069" t="str">
        <f>"1257"</f>
        <v>1257</v>
      </c>
      <c r="E11069" t="s">
        <v>6143</v>
      </c>
      <c r="F11069" t="s">
        <v>3670</v>
      </c>
      <c r="G11069" t="s">
        <v>16221</v>
      </c>
      <c r="H11069" t="s">
        <v>47054</v>
      </c>
      <c r="I11069" t="s">
        <v>47111</v>
      </c>
      <c r="J11069" t="s">
        <v>47112</v>
      </c>
      <c r="K11069" t="s">
        <v>47113</v>
      </c>
      <c r="L11069">
        <v>13.51</v>
      </c>
      <c r="M11069">
        <v>26</v>
      </c>
      <c r="N11069">
        <v>0</v>
      </c>
      <c r="O11069">
        <v>26</v>
      </c>
      <c r="P11069">
        <v>0</v>
      </c>
    </row>
    <row r="11070" spans="1:16" x14ac:dyDescent="0.25">
      <c r="A11070" t="s">
        <v>33845</v>
      </c>
      <c r="B11070" t="s">
        <v>8225</v>
      </c>
      <c r="C11070" t="s">
        <v>8226</v>
      </c>
      <c r="D11070" t="str">
        <f>"4928"</f>
        <v>4928</v>
      </c>
      <c r="E11070" t="s">
        <v>6248</v>
      </c>
      <c r="F11070" t="s">
        <v>3670</v>
      </c>
      <c r="G11070" t="s">
        <v>16221</v>
      </c>
      <c r="H11070" t="s">
        <v>47054</v>
      </c>
      <c r="I11070" t="s">
        <v>47111</v>
      </c>
      <c r="J11070" t="s">
        <v>47112</v>
      </c>
      <c r="K11070" t="s">
        <v>47113</v>
      </c>
      <c r="L11070">
        <v>13.51</v>
      </c>
      <c r="M11070">
        <v>26</v>
      </c>
      <c r="N11070">
        <v>0</v>
      </c>
      <c r="O11070">
        <v>26</v>
      </c>
      <c r="P11070">
        <v>0</v>
      </c>
    </row>
    <row r="11071" spans="1:16" x14ac:dyDescent="0.25">
      <c r="A11071" t="s">
        <v>33846</v>
      </c>
      <c r="B11071" t="s">
        <v>8225</v>
      </c>
      <c r="C11071" t="s">
        <v>8226</v>
      </c>
      <c r="D11071" t="str">
        <f>"6056"</f>
        <v>6056</v>
      </c>
      <c r="E11071" t="s">
        <v>6113</v>
      </c>
      <c r="F11071" t="s">
        <v>3670</v>
      </c>
      <c r="G11071" t="s">
        <v>16221</v>
      </c>
      <c r="H11071" t="s">
        <v>47054</v>
      </c>
      <c r="I11071" t="s">
        <v>47111</v>
      </c>
      <c r="J11071" t="s">
        <v>47112</v>
      </c>
      <c r="K11071" t="s">
        <v>47113</v>
      </c>
      <c r="L11071">
        <v>13.51</v>
      </c>
      <c r="M11071">
        <v>48</v>
      </c>
      <c r="N11071">
        <v>0</v>
      </c>
      <c r="O11071">
        <v>48</v>
      </c>
      <c r="P11071">
        <v>0</v>
      </c>
    </row>
    <row r="11072" spans="1:16" x14ac:dyDescent="0.25">
      <c r="A11072" t="s">
        <v>33847</v>
      </c>
      <c r="B11072" t="s">
        <v>8225</v>
      </c>
      <c r="C11072" t="s">
        <v>8226</v>
      </c>
      <c r="D11072" t="str">
        <f>"7465"</f>
        <v>7465</v>
      </c>
      <c r="E11072" t="s">
        <v>8228</v>
      </c>
      <c r="F11072" t="s">
        <v>3670</v>
      </c>
      <c r="G11072" t="s">
        <v>16221</v>
      </c>
      <c r="H11072" t="s">
        <v>47054</v>
      </c>
      <c r="I11072" t="s">
        <v>47111</v>
      </c>
      <c r="J11072" t="s">
        <v>47112</v>
      </c>
      <c r="K11072" t="s">
        <v>47113</v>
      </c>
      <c r="L11072">
        <v>13.51</v>
      </c>
      <c r="M11072">
        <v>48</v>
      </c>
      <c r="N11072">
        <v>0</v>
      </c>
      <c r="O11072">
        <v>48</v>
      </c>
      <c r="P11072">
        <v>0</v>
      </c>
    </row>
    <row r="11073" spans="1:16" x14ac:dyDescent="0.25">
      <c r="A11073" t="s">
        <v>33848</v>
      </c>
      <c r="B11073" t="s">
        <v>17875</v>
      </c>
      <c r="C11073" t="s">
        <v>15450</v>
      </c>
      <c r="D11073" t="s">
        <v>17876</v>
      </c>
      <c r="E11073" t="s">
        <v>17877</v>
      </c>
      <c r="F11073" t="s">
        <v>3750</v>
      </c>
      <c r="G11073" t="s">
        <v>16231</v>
      </c>
      <c r="H11073" t="s">
        <v>47054</v>
      </c>
      <c r="I11073" t="s">
        <v>47120</v>
      </c>
      <c r="J11073" t="s">
        <v>47121</v>
      </c>
      <c r="K11073" t="s">
        <v>47113</v>
      </c>
      <c r="L11073">
        <v>27.12</v>
      </c>
      <c r="M11073">
        <v>77</v>
      </c>
      <c r="N11073">
        <v>0</v>
      </c>
      <c r="O11073">
        <v>77</v>
      </c>
      <c r="P11073">
        <v>0</v>
      </c>
    </row>
    <row r="11074" spans="1:16" x14ac:dyDescent="0.25">
      <c r="A11074" t="s">
        <v>33849</v>
      </c>
      <c r="B11074" t="s">
        <v>17875</v>
      </c>
      <c r="C11074" t="s">
        <v>15450</v>
      </c>
      <c r="D11074" t="s">
        <v>20680</v>
      </c>
      <c r="E11074" t="s">
        <v>20681</v>
      </c>
      <c r="F11074" t="s">
        <v>3750</v>
      </c>
      <c r="G11074" t="s">
        <v>16231</v>
      </c>
      <c r="H11074" t="s">
        <v>47054</v>
      </c>
      <c r="I11074" t="s">
        <v>47120</v>
      </c>
      <c r="J11074" t="s">
        <v>47121</v>
      </c>
      <c r="K11074" t="s">
        <v>47113</v>
      </c>
      <c r="L11074">
        <v>19.46</v>
      </c>
      <c r="M11074">
        <v>66</v>
      </c>
      <c r="N11074">
        <v>0</v>
      </c>
      <c r="O11074">
        <v>66</v>
      </c>
      <c r="P11074">
        <v>0</v>
      </c>
    </row>
    <row r="11075" spans="1:16" x14ac:dyDescent="0.25">
      <c r="A11075" t="s">
        <v>33850</v>
      </c>
      <c r="B11075" t="s">
        <v>17875</v>
      </c>
      <c r="C11075" t="s">
        <v>15450</v>
      </c>
      <c r="D11075" t="s">
        <v>17878</v>
      </c>
      <c r="E11075" t="s">
        <v>17879</v>
      </c>
      <c r="F11075" t="s">
        <v>3750</v>
      </c>
      <c r="G11075" t="s">
        <v>16231</v>
      </c>
      <c r="H11075" t="s">
        <v>47054</v>
      </c>
      <c r="I11075" t="s">
        <v>47120</v>
      </c>
      <c r="J11075" t="s">
        <v>47121</v>
      </c>
      <c r="K11075" t="s">
        <v>47113</v>
      </c>
      <c r="L11075">
        <v>34.39</v>
      </c>
      <c r="M11075">
        <v>101</v>
      </c>
      <c r="N11075">
        <v>0</v>
      </c>
      <c r="O11075">
        <v>101</v>
      </c>
      <c r="P11075">
        <v>0</v>
      </c>
    </row>
    <row r="11076" spans="1:16" x14ac:dyDescent="0.25">
      <c r="A11076" t="s">
        <v>33851</v>
      </c>
      <c r="B11076" t="s">
        <v>17880</v>
      </c>
      <c r="C11076" t="s">
        <v>15450</v>
      </c>
      <c r="D11076" t="s">
        <v>17881</v>
      </c>
      <c r="E11076" t="s">
        <v>17882</v>
      </c>
      <c r="F11076" t="s">
        <v>3750</v>
      </c>
      <c r="G11076" t="s">
        <v>16231</v>
      </c>
      <c r="H11076" t="s">
        <v>47054</v>
      </c>
      <c r="I11076" t="s">
        <v>47120</v>
      </c>
      <c r="J11076" t="s">
        <v>47121</v>
      </c>
      <c r="K11076" t="s">
        <v>47113</v>
      </c>
      <c r="L11076">
        <v>27.91</v>
      </c>
      <c r="M11076">
        <v>79</v>
      </c>
      <c r="N11076">
        <v>0</v>
      </c>
      <c r="O11076">
        <v>79</v>
      </c>
      <c r="P11076">
        <v>0</v>
      </c>
    </row>
    <row r="11077" spans="1:16" x14ac:dyDescent="0.25">
      <c r="A11077" t="s">
        <v>19492</v>
      </c>
      <c r="B11077" t="s">
        <v>19493</v>
      </c>
      <c r="C11077" t="s">
        <v>19494</v>
      </c>
      <c r="D11077" t="s">
        <v>19495</v>
      </c>
      <c r="E11077" t="s">
        <v>19496</v>
      </c>
      <c r="F11077" t="s">
        <v>3750</v>
      </c>
      <c r="G11077" t="s">
        <v>16231</v>
      </c>
      <c r="H11077" t="s">
        <v>47054</v>
      </c>
      <c r="I11077" t="s">
        <v>47116</v>
      </c>
      <c r="J11077" t="s">
        <v>47117</v>
      </c>
      <c r="K11077" t="s">
        <v>47113</v>
      </c>
      <c r="L11077">
        <v>24.4</v>
      </c>
      <c r="M11077">
        <v>93</v>
      </c>
      <c r="N11077">
        <v>0</v>
      </c>
      <c r="O11077">
        <v>93</v>
      </c>
      <c r="P11077">
        <v>0</v>
      </c>
    </row>
    <row r="11078" spans="1:16" x14ac:dyDescent="0.25">
      <c r="A11078" t="s">
        <v>19497</v>
      </c>
      <c r="B11078" t="s">
        <v>19498</v>
      </c>
      <c r="C11078" t="s">
        <v>19499</v>
      </c>
      <c r="D11078" t="s">
        <v>19495</v>
      </c>
      <c r="E11078" t="s">
        <v>19496</v>
      </c>
      <c r="F11078" t="s">
        <v>3750</v>
      </c>
      <c r="G11078" t="s">
        <v>16231</v>
      </c>
      <c r="H11078" t="s">
        <v>47054</v>
      </c>
      <c r="I11078" t="s">
        <v>47120</v>
      </c>
      <c r="J11078" t="s">
        <v>47121</v>
      </c>
      <c r="K11078" t="s">
        <v>47113</v>
      </c>
      <c r="L11078">
        <v>22.79</v>
      </c>
      <c r="M11078">
        <v>93</v>
      </c>
      <c r="N11078">
        <v>0</v>
      </c>
      <c r="O11078">
        <v>93</v>
      </c>
      <c r="P11078">
        <v>0</v>
      </c>
    </row>
    <row r="11079" spans="1:16" x14ac:dyDescent="0.25">
      <c r="A11079" t="s">
        <v>33852</v>
      </c>
      <c r="B11079" t="s">
        <v>8229</v>
      </c>
      <c r="C11079" t="s">
        <v>8230</v>
      </c>
      <c r="D11079" t="str">
        <f>"4067"</f>
        <v>4067</v>
      </c>
      <c r="E11079" t="s">
        <v>8231</v>
      </c>
      <c r="F11079" t="s">
        <v>3</v>
      </c>
      <c r="G11079" t="s">
        <v>16233</v>
      </c>
      <c r="H11079" t="s">
        <v>47054</v>
      </c>
      <c r="I11079" t="s">
        <v>47111</v>
      </c>
      <c r="J11079" t="s">
        <v>47112</v>
      </c>
      <c r="K11079" t="s">
        <v>47113</v>
      </c>
      <c r="L11079">
        <v>17.48</v>
      </c>
      <c r="M11079">
        <v>43</v>
      </c>
      <c r="N11079">
        <v>0</v>
      </c>
      <c r="O11079">
        <v>43</v>
      </c>
      <c r="P11079">
        <v>0</v>
      </c>
    </row>
    <row r="11080" spans="1:16" x14ac:dyDescent="0.25">
      <c r="A11080" t="s">
        <v>33853</v>
      </c>
      <c r="B11080" t="s">
        <v>8232</v>
      </c>
      <c r="C11080" t="s">
        <v>8230</v>
      </c>
      <c r="D11080" t="str">
        <f>"1001"</f>
        <v>1001</v>
      </c>
      <c r="E11080" t="s">
        <v>8233</v>
      </c>
      <c r="F11080" t="s">
        <v>3</v>
      </c>
      <c r="G11080" t="s">
        <v>16233</v>
      </c>
      <c r="H11080" t="s">
        <v>47054</v>
      </c>
      <c r="I11080" t="s">
        <v>47111</v>
      </c>
      <c r="J11080" t="s">
        <v>47112</v>
      </c>
      <c r="K11080" t="s">
        <v>47113</v>
      </c>
      <c r="L11080">
        <v>17.48</v>
      </c>
      <c r="M11080">
        <v>43</v>
      </c>
      <c r="N11080">
        <v>0</v>
      </c>
      <c r="O11080">
        <v>43</v>
      </c>
      <c r="P11080">
        <v>0</v>
      </c>
    </row>
    <row r="11081" spans="1:16" x14ac:dyDescent="0.25">
      <c r="A11081" t="s">
        <v>33854</v>
      </c>
      <c r="B11081" t="s">
        <v>8234</v>
      </c>
      <c r="C11081" t="s">
        <v>8230</v>
      </c>
      <c r="D11081" t="str">
        <f>"4596"</f>
        <v>4596</v>
      </c>
      <c r="E11081" t="s">
        <v>8235</v>
      </c>
      <c r="F11081" t="s">
        <v>3</v>
      </c>
      <c r="G11081" t="s">
        <v>16233</v>
      </c>
      <c r="H11081" t="s">
        <v>47054</v>
      </c>
      <c r="I11081" t="s">
        <v>47111</v>
      </c>
      <c r="J11081" t="s">
        <v>47112</v>
      </c>
      <c r="K11081" t="s">
        <v>47113</v>
      </c>
      <c r="L11081">
        <v>17.48</v>
      </c>
      <c r="M11081">
        <v>43</v>
      </c>
      <c r="N11081">
        <v>0</v>
      </c>
      <c r="O11081">
        <v>43</v>
      </c>
      <c r="P11081">
        <v>0</v>
      </c>
    </row>
    <row r="11082" spans="1:16" x14ac:dyDescent="0.25">
      <c r="A11082" t="s">
        <v>33855</v>
      </c>
      <c r="B11082" t="s">
        <v>8236</v>
      </c>
      <c r="C11082" t="s">
        <v>8237</v>
      </c>
      <c r="D11082" t="str">
        <f>"4675"</f>
        <v>4675</v>
      </c>
      <c r="E11082" t="s">
        <v>8238</v>
      </c>
      <c r="F11082" t="s">
        <v>3</v>
      </c>
      <c r="G11082" t="s">
        <v>16233</v>
      </c>
      <c r="H11082" t="s">
        <v>47054</v>
      </c>
      <c r="I11082" t="s">
        <v>47111</v>
      </c>
      <c r="J11082" t="s">
        <v>47112</v>
      </c>
      <c r="K11082" t="s">
        <v>47113</v>
      </c>
      <c r="L11082">
        <v>17.48</v>
      </c>
      <c r="M11082">
        <v>43</v>
      </c>
      <c r="N11082">
        <v>0</v>
      </c>
      <c r="O11082">
        <v>43</v>
      </c>
      <c r="P11082">
        <v>0</v>
      </c>
    </row>
    <row r="11083" spans="1:16" x14ac:dyDescent="0.25">
      <c r="A11083" t="s">
        <v>33856</v>
      </c>
      <c r="B11083" t="s">
        <v>8239</v>
      </c>
      <c r="C11083" t="s">
        <v>8240</v>
      </c>
      <c r="D11083" t="str">
        <f>"1001"</f>
        <v>1001</v>
      </c>
      <c r="E11083" t="s">
        <v>8241</v>
      </c>
      <c r="F11083" t="s">
        <v>3</v>
      </c>
      <c r="G11083" t="s">
        <v>16233</v>
      </c>
      <c r="H11083" t="s">
        <v>47054</v>
      </c>
      <c r="I11083" t="s">
        <v>47111</v>
      </c>
      <c r="J11083" t="s">
        <v>47112</v>
      </c>
      <c r="K11083" t="s">
        <v>47113</v>
      </c>
      <c r="L11083">
        <v>17.48</v>
      </c>
      <c r="M11083">
        <v>43</v>
      </c>
      <c r="N11083">
        <v>0</v>
      </c>
      <c r="O11083">
        <v>43</v>
      </c>
      <c r="P11083">
        <v>0</v>
      </c>
    </row>
    <row r="11084" spans="1:16" x14ac:dyDescent="0.25">
      <c r="A11084" t="s">
        <v>33857</v>
      </c>
      <c r="B11084" t="s">
        <v>8239</v>
      </c>
      <c r="C11084" t="s">
        <v>8240</v>
      </c>
      <c r="D11084" t="str">
        <f>"1700"</f>
        <v>1700</v>
      </c>
      <c r="E11084" t="s">
        <v>60</v>
      </c>
      <c r="F11084" t="s">
        <v>3</v>
      </c>
      <c r="G11084" t="s">
        <v>16233</v>
      </c>
      <c r="H11084" t="s">
        <v>47054</v>
      </c>
      <c r="I11084" t="s">
        <v>47111</v>
      </c>
      <c r="J11084" t="s">
        <v>47112</v>
      </c>
      <c r="K11084" t="s">
        <v>47113</v>
      </c>
      <c r="L11084">
        <v>17.48</v>
      </c>
      <c r="M11084">
        <v>43</v>
      </c>
      <c r="N11084">
        <v>0</v>
      </c>
      <c r="O11084">
        <v>43</v>
      </c>
      <c r="P11084">
        <v>0</v>
      </c>
    </row>
    <row r="11085" spans="1:16" x14ac:dyDescent="0.25">
      <c r="A11085" t="s">
        <v>33858</v>
      </c>
      <c r="B11085" t="s">
        <v>8239</v>
      </c>
      <c r="C11085" t="s">
        <v>8240</v>
      </c>
      <c r="D11085" t="str">
        <f>"6000"</f>
        <v>6000</v>
      </c>
      <c r="E11085" t="s">
        <v>8242</v>
      </c>
      <c r="F11085" t="s">
        <v>3</v>
      </c>
      <c r="G11085" t="s">
        <v>16233</v>
      </c>
      <c r="H11085" t="s">
        <v>47054</v>
      </c>
      <c r="I11085" t="s">
        <v>47111</v>
      </c>
      <c r="J11085" t="s">
        <v>47112</v>
      </c>
      <c r="K11085" t="s">
        <v>47113</v>
      </c>
      <c r="L11085">
        <v>17.48</v>
      </c>
      <c r="M11085">
        <v>43</v>
      </c>
      <c r="N11085">
        <v>0</v>
      </c>
      <c r="O11085">
        <v>43</v>
      </c>
      <c r="P11085">
        <v>0</v>
      </c>
    </row>
    <row r="11086" spans="1:16" x14ac:dyDescent="0.25">
      <c r="A11086" t="s">
        <v>33859</v>
      </c>
      <c r="B11086" t="s">
        <v>8243</v>
      </c>
      <c r="C11086" t="s">
        <v>8244</v>
      </c>
      <c r="D11086" t="str">
        <f>"8365"</f>
        <v>8365</v>
      </c>
      <c r="E11086" t="s">
        <v>8245</v>
      </c>
      <c r="F11086" t="s">
        <v>3</v>
      </c>
      <c r="G11086" t="s">
        <v>16233</v>
      </c>
      <c r="H11086" t="s">
        <v>47054</v>
      </c>
      <c r="I11086" t="s">
        <v>47111</v>
      </c>
      <c r="J11086" t="s">
        <v>47112</v>
      </c>
      <c r="K11086" t="s">
        <v>47113</v>
      </c>
      <c r="L11086">
        <v>17.48</v>
      </c>
      <c r="M11086">
        <v>43</v>
      </c>
      <c r="N11086">
        <v>0</v>
      </c>
      <c r="O11086">
        <v>43</v>
      </c>
      <c r="P11086">
        <v>0</v>
      </c>
    </row>
    <row r="11087" spans="1:16" x14ac:dyDescent="0.25">
      <c r="A11087" t="s">
        <v>33860</v>
      </c>
      <c r="B11087" t="s">
        <v>8246</v>
      </c>
      <c r="C11087" t="s">
        <v>8247</v>
      </c>
      <c r="D11087" t="str">
        <f>"1001"</f>
        <v>1001</v>
      </c>
      <c r="E11087" t="s">
        <v>8241</v>
      </c>
      <c r="F11087" t="s">
        <v>3</v>
      </c>
      <c r="G11087" t="s">
        <v>16233</v>
      </c>
      <c r="H11087" t="s">
        <v>47054</v>
      </c>
      <c r="I11087" t="s">
        <v>47111</v>
      </c>
      <c r="J11087" t="s">
        <v>47112</v>
      </c>
      <c r="K11087" t="s">
        <v>47113</v>
      </c>
      <c r="L11087">
        <v>17.48</v>
      </c>
      <c r="M11087">
        <v>43</v>
      </c>
      <c r="N11087">
        <v>0</v>
      </c>
      <c r="O11087">
        <v>43</v>
      </c>
      <c r="P11087">
        <v>0</v>
      </c>
    </row>
    <row r="11088" spans="1:16" x14ac:dyDescent="0.25">
      <c r="A11088" t="s">
        <v>33861</v>
      </c>
      <c r="B11088" t="s">
        <v>8246</v>
      </c>
      <c r="C11088" t="s">
        <v>8247</v>
      </c>
      <c r="D11088" t="str">
        <f>"4067"</f>
        <v>4067</v>
      </c>
      <c r="E11088" t="s">
        <v>8231</v>
      </c>
      <c r="F11088" t="s">
        <v>3</v>
      </c>
      <c r="G11088" t="s">
        <v>16233</v>
      </c>
      <c r="H11088" t="s">
        <v>47054</v>
      </c>
      <c r="I11088" t="s">
        <v>47111</v>
      </c>
      <c r="J11088" t="s">
        <v>47112</v>
      </c>
      <c r="K11088" t="s">
        <v>47113</v>
      </c>
      <c r="L11088">
        <v>17.48</v>
      </c>
      <c r="M11088">
        <v>43</v>
      </c>
      <c r="N11088">
        <v>0</v>
      </c>
      <c r="O11088">
        <v>43</v>
      </c>
      <c r="P11088">
        <v>0</v>
      </c>
    </row>
    <row r="11089" spans="1:16" x14ac:dyDescent="0.25">
      <c r="A11089" t="s">
        <v>33862</v>
      </c>
      <c r="B11089" t="s">
        <v>8246</v>
      </c>
      <c r="C11089" t="s">
        <v>8247</v>
      </c>
      <c r="D11089" t="str">
        <f>"4596"</f>
        <v>4596</v>
      </c>
      <c r="E11089" t="s">
        <v>8235</v>
      </c>
      <c r="F11089" t="s">
        <v>3</v>
      </c>
      <c r="G11089" t="s">
        <v>16233</v>
      </c>
      <c r="H11089" t="s">
        <v>47054</v>
      </c>
      <c r="I11089" t="s">
        <v>47111</v>
      </c>
      <c r="J11089" t="s">
        <v>47112</v>
      </c>
      <c r="K11089" t="s">
        <v>47113</v>
      </c>
      <c r="L11089">
        <v>17.48</v>
      </c>
      <c r="M11089">
        <v>43</v>
      </c>
      <c r="N11089">
        <v>0</v>
      </c>
      <c r="O11089">
        <v>43</v>
      </c>
      <c r="P11089">
        <v>0</v>
      </c>
    </row>
    <row r="11090" spans="1:16" x14ac:dyDescent="0.25">
      <c r="A11090" t="s">
        <v>33863</v>
      </c>
      <c r="B11090" t="s">
        <v>8246</v>
      </c>
      <c r="C11090" t="s">
        <v>8247</v>
      </c>
      <c r="D11090" t="str">
        <f>"6000"</f>
        <v>6000</v>
      </c>
      <c r="E11090" t="s">
        <v>8242</v>
      </c>
      <c r="F11090" t="s">
        <v>3</v>
      </c>
      <c r="G11090" t="s">
        <v>16233</v>
      </c>
      <c r="H11090" t="s">
        <v>47054</v>
      </c>
      <c r="I11090" t="s">
        <v>47111</v>
      </c>
      <c r="J11090" t="s">
        <v>47112</v>
      </c>
      <c r="K11090" t="s">
        <v>47113</v>
      </c>
      <c r="L11090">
        <v>17.48</v>
      </c>
      <c r="M11090">
        <v>43</v>
      </c>
      <c r="N11090">
        <v>0</v>
      </c>
      <c r="O11090">
        <v>43</v>
      </c>
      <c r="P11090">
        <v>0</v>
      </c>
    </row>
    <row r="11091" spans="1:16" x14ac:dyDescent="0.25">
      <c r="A11091" t="s">
        <v>33864</v>
      </c>
      <c r="B11091" t="s">
        <v>8246</v>
      </c>
      <c r="C11091" t="s">
        <v>8247</v>
      </c>
      <c r="D11091" t="str">
        <f>"8365"</f>
        <v>8365</v>
      </c>
      <c r="E11091" t="s">
        <v>8245</v>
      </c>
      <c r="F11091" t="s">
        <v>5</v>
      </c>
      <c r="G11091" t="s">
        <v>16233</v>
      </c>
      <c r="H11091" t="s">
        <v>47054</v>
      </c>
      <c r="I11091" t="s">
        <v>47111</v>
      </c>
      <c r="J11091" t="s">
        <v>47112</v>
      </c>
      <c r="K11091" t="s">
        <v>47113</v>
      </c>
      <c r="L11091">
        <v>17.48</v>
      </c>
      <c r="M11091">
        <v>43</v>
      </c>
      <c r="N11091">
        <v>0</v>
      </c>
      <c r="O11091">
        <v>43</v>
      </c>
      <c r="P11091">
        <v>0</v>
      </c>
    </row>
    <row r="11092" spans="1:16" x14ac:dyDescent="0.25">
      <c r="A11092" t="s">
        <v>33865</v>
      </c>
      <c r="B11092" t="s">
        <v>8248</v>
      </c>
      <c r="C11092" t="s">
        <v>6822</v>
      </c>
      <c r="D11092" t="s">
        <v>721</v>
      </c>
      <c r="E11092" t="s">
        <v>722</v>
      </c>
      <c r="F11092" t="s">
        <v>1401</v>
      </c>
      <c r="G11092" t="s">
        <v>16231</v>
      </c>
      <c r="H11092" t="s">
        <v>47054</v>
      </c>
      <c r="I11092" t="s">
        <v>47111</v>
      </c>
      <c r="J11092" t="s">
        <v>47112</v>
      </c>
      <c r="K11092" t="s">
        <v>47113</v>
      </c>
      <c r="L11092">
        <v>32.19</v>
      </c>
      <c r="M11092">
        <v>66</v>
      </c>
      <c r="N11092">
        <v>0</v>
      </c>
      <c r="O11092">
        <v>66</v>
      </c>
      <c r="P11092">
        <v>0</v>
      </c>
    </row>
    <row r="11093" spans="1:16" x14ac:dyDescent="0.25">
      <c r="A11093" t="s">
        <v>33866</v>
      </c>
      <c r="B11093" t="s">
        <v>8249</v>
      </c>
      <c r="C11093" t="s">
        <v>6822</v>
      </c>
      <c r="D11093" t="s">
        <v>1718</v>
      </c>
      <c r="E11093" t="s">
        <v>1719</v>
      </c>
      <c r="F11093" t="s">
        <v>1401</v>
      </c>
      <c r="G11093" t="s">
        <v>16231</v>
      </c>
      <c r="H11093" t="s">
        <v>47054</v>
      </c>
      <c r="I11093" t="s">
        <v>47111</v>
      </c>
      <c r="J11093" t="s">
        <v>47112</v>
      </c>
      <c r="K11093" t="s">
        <v>47113</v>
      </c>
      <c r="L11093">
        <v>33.380000000000003</v>
      </c>
      <c r="M11093">
        <v>83</v>
      </c>
      <c r="N11093">
        <v>0</v>
      </c>
      <c r="O11093">
        <v>83</v>
      </c>
      <c r="P11093">
        <v>0</v>
      </c>
    </row>
    <row r="11094" spans="1:16" x14ac:dyDescent="0.25">
      <c r="A11094" t="s">
        <v>33867</v>
      </c>
      <c r="B11094" t="s">
        <v>8250</v>
      </c>
      <c r="C11094" t="s">
        <v>6861</v>
      </c>
      <c r="D11094" t="s">
        <v>1703</v>
      </c>
      <c r="E11094" t="s">
        <v>1704</v>
      </c>
      <c r="F11094" t="s">
        <v>631</v>
      </c>
      <c r="G11094" t="s">
        <v>16231</v>
      </c>
      <c r="H11094" t="s">
        <v>47054</v>
      </c>
      <c r="I11094" t="s">
        <v>47111</v>
      </c>
      <c r="J11094" t="s">
        <v>47112</v>
      </c>
      <c r="K11094" t="s">
        <v>47113</v>
      </c>
      <c r="L11094">
        <v>33.14</v>
      </c>
      <c r="M11094">
        <v>80</v>
      </c>
      <c r="N11094">
        <v>0</v>
      </c>
      <c r="O11094">
        <v>80</v>
      </c>
      <c r="P11094">
        <v>0</v>
      </c>
    </row>
    <row r="11095" spans="1:16" x14ac:dyDescent="0.25">
      <c r="A11095" t="s">
        <v>33868</v>
      </c>
      <c r="B11095" t="s">
        <v>8251</v>
      </c>
      <c r="C11095" t="s">
        <v>6861</v>
      </c>
      <c r="D11095" t="s">
        <v>721</v>
      </c>
      <c r="E11095" t="s">
        <v>722</v>
      </c>
      <c r="F11095" t="s">
        <v>1401</v>
      </c>
      <c r="G11095" t="s">
        <v>16231</v>
      </c>
      <c r="H11095" t="s">
        <v>47054</v>
      </c>
      <c r="I11095" t="s">
        <v>47111</v>
      </c>
      <c r="J11095" t="s">
        <v>47112</v>
      </c>
      <c r="K11095" t="s">
        <v>47113</v>
      </c>
      <c r="L11095">
        <v>25.54</v>
      </c>
      <c r="M11095">
        <v>59</v>
      </c>
      <c r="N11095">
        <v>0</v>
      </c>
      <c r="O11095">
        <v>59</v>
      </c>
      <c r="P11095">
        <v>0</v>
      </c>
    </row>
    <row r="11096" spans="1:16" x14ac:dyDescent="0.25">
      <c r="A11096" t="s">
        <v>33869</v>
      </c>
      <c r="B11096" t="s">
        <v>8251</v>
      </c>
      <c r="C11096" t="s">
        <v>6861</v>
      </c>
      <c r="D11096" t="s">
        <v>1349</v>
      </c>
      <c r="E11096" t="s">
        <v>1350</v>
      </c>
      <c r="F11096" t="s">
        <v>631</v>
      </c>
      <c r="G11096" t="s">
        <v>16231</v>
      </c>
      <c r="H11096" t="s">
        <v>47054</v>
      </c>
      <c r="I11096" t="s">
        <v>47111</v>
      </c>
      <c r="J11096" t="s">
        <v>47112</v>
      </c>
      <c r="K11096" t="s">
        <v>47113</v>
      </c>
      <c r="L11096">
        <v>37.520000000000003</v>
      </c>
      <c r="M11096">
        <v>83</v>
      </c>
      <c r="N11096">
        <v>0</v>
      </c>
      <c r="O11096">
        <v>83</v>
      </c>
      <c r="P11096">
        <v>0</v>
      </c>
    </row>
    <row r="11097" spans="1:16" x14ac:dyDescent="0.25">
      <c r="A11097" t="s">
        <v>33870</v>
      </c>
      <c r="B11097" t="s">
        <v>8251</v>
      </c>
      <c r="C11097" t="s">
        <v>6861</v>
      </c>
      <c r="D11097" t="s">
        <v>2020</v>
      </c>
      <c r="E11097" t="s">
        <v>2021</v>
      </c>
      <c r="F11097" t="s">
        <v>631</v>
      </c>
      <c r="G11097" t="s">
        <v>16231</v>
      </c>
      <c r="H11097" t="s">
        <v>47054</v>
      </c>
      <c r="I11097" t="s">
        <v>47111</v>
      </c>
      <c r="J11097" t="s">
        <v>47112</v>
      </c>
      <c r="K11097" t="s">
        <v>47113</v>
      </c>
      <c r="L11097">
        <v>35.54</v>
      </c>
      <c r="M11097">
        <v>80</v>
      </c>
      <c r="N11097">
        <v>0</v>
      </c>
      <c r="O11097">
        <v>80</v>
      </c>
      <c r="P11097">
        <v>0</v>
      </c>
    </row>
    <row r="11098" spans="1:16" x14ac:dyDescent="0.25">
      <c r="A11098" t="s">
        <v>33871</v>
      </c>
      <c r="B11098" t="s">
        <v>8252</v>
      </c>
      <c r="C11098" t="s">
        <v>8253</v>
      </c>
      <c r="D11098" t="s">
        <v>721</v>
      </c>
      <c r="E11098" t="s">
        <v>722</v>
      </c>
      <c r="F11098" t="s">
        <v>8</v>
      </c>
      <c r="G11098" t="s">
        <v>16231</v>
      </c>
      <c r="H11098" t="s">
        <v>47054</v>
      </c>
      <c r="I11098" t="s">
        <v>47111</v>
      </c>
      <c r="J11098" t="s">
        <v>47112</v>
      </c>
      <c r="K11098" t="s">
        <v>47113</v>
      </c>
      <c r="L11098">
        <v>47.17</v>
      </c>
      <c r="M11098">
        <v>137</v>
      </c>
      <c r="N11098">
        <v>0</v>
      </c>
      <c r="O11098">
        <v>137</v>
      </c>
      <c r="P11098">
        <v>0</v>
      </c>
    </row>
    <row r="11099" spans="1:16" x14ac:dyDescent="0.25">
      <c r="A11099" t="s">
        <v>33872</v>
      </c>
      <c r="B11099" t="s">
        <v>8252</v>
      </c>
      <c r="C11099" t="s">
        <v>8253</v>
      </c>
      <c r="D11099" t="s">
        <v>27</v>
      </c>
      <c r="E11099" t="s">
        <v>622</v>
      </c>
      <c r="F11099" t="s">
        <v>8</v>
      </c>
      <c r="G11099" t="s">
        <v>16231</v>
      </c>
      <c r="H11099" t="s">
        <v>47054</v>
      </c>
      <c r="I11099" t="s">
        <v>47111</v>
      </c>
      <c r="J11099" t="s">
        <v>47112</v>
      </c>
      <c r="K11099" t="s">
        <v>47113</v>
      </c>
      <c r="L11099">
        <v>55.23</v>
      </c>
      <c r="M11099">
        <v>146</v>
      </c>
      <c r="N11099">
        <v>0</v>
      </c>
      <c r="O11099">
        <v>146</v>
      </c>
      <c r="P11099">
        <v>0</v>
      </c>
    </row>
    <row r="11100" spans="1:16" x14ac:dyDescent="0.25">
      <c r="A11100" t="s">
        <v>33873</v>
      </c>
      <c r="B11100" t="s">
        <v>8252</v>
      </c>
      <c r="C11100" t="s">
        <v>8253</v>
      </c>
      <c r="D11100" t="str">
        <f>"89"</f>
        <v>89</v>
      </c>
      <c r="E11100" t="s">
        <v>1732</v>
      </c>
      <c r="F11100" t="s">
        <v>8</v>
      </c>
      <c r="G11100" t="s">
        <v>16231</v>
      </c>
      <c r="H11100" t="s">
        <v>47054</v>
      </c>
      <c r="I11100" t="s">
        <v>47111</v>
      </c>
      <c r="J11100" t="s">
        <v>47112</v>
      </c>
      <c r="K11100" t="s">
        <v>47113</v>
      </c>
      <c r="L11100">
        <v>52.86</v>
      </c>
      <c r="M11100">
        <v>146</v>
      </c>
      <c r="N11100">
        <v>0</v>
      </c>
      <c r="O11100">
        <v>146</v>
      </c>
      <c r="P11100">
        <v>0</v>
      </c>
    </row>
    <row r="11101" spans="1:16" x14ac:dyDescent="0.25">
      <c r="A11101" t="s">
        <v>33874</v>
      </c>
      <c r="B11101" t="s">
        <v>8252</v>
      </c>
      <c r="C11101" t="s">
        <v>8253</v>
      </c>
      <c r="D11101" t="s">
        <v>1718</v>
      </c>
      <c r="E11101" t="s">
        <v>1719</v>
      </c>
      <c r="F11101" t="s">
        <v>8</v>
      </c>
      <c r="G11101" t="s">
        <v>16231</v>
      </c>
      <c r="H11101" t="s">
        <v>47054</v>
      </c>
      <c r="I11101" t="s">
        <v>47111</v>
      </c>
      <c r="J11101" t="s">
        <v>47112</v>
      </c>
      <c r="K11101" t="s">
        <v>47113</v>
      </c>
      <c r="L11101">
        <v>52.86</v>
      </c>
      <c r="M11101">
        <v>146</v>
      </c>
      <c r="N11101">
        <v>0</v>
      </c>
      <c r="O11101">
        <v>146</v>
      </c>
      <c r="P11101">
        <v>0</v>
      </c>
    </row>
    <row r="11102" spans="1:16" x14ac:dyDescent="0.25">
      <c r="A11102" t="s">
        <v>33875</v>
      </c>
      <c r="B11102" t="s">
        <v>8252</v>
      </c>
      <c r="C11102" t="s">
        <v>8253</v>
      </c>
      <c r="D11102" t="s">
        <v>1722</v>
      </c>
      <c r="E11102" t="s">
        <v>1723</v>
      </c>
      <c r="F11102" t="s">
        <v>8</v>
      </c>
      <c r="G11102" t="s">
        <v>16231</v>
      </c>
      <c r="H11102" t="s">
        <v>47054</v>
      </c>
      <c r="I11102" t="s">
        <v>47111</v>
      </c>
      <c r="J11102" t="s">
        <v>47112</v>
      </c>
      <c r="K11102" t="s">
        <v>47113</v>
      </c>
      <c r="L11102">
        <v>60.22</v>
      </c>
      <c r="M11102">
        <v>146</v>
      </c>
      <c r="N11102">
        <v>0</v>
      </c>
      <c r="O11102">
        <v>146</v>
      </c>
      <c r="P11102">
        <v>0</v>
      </c>
    </row>
    <row r="11103" spans="1:16" x14ac:dyDescent="0.25">
      <c r="A11103" t="s">
        <v>33876</v>
      </c>
      <c r="B11103" t="s">
        <v>8254</v>
      </c>
      <c r="C11103" t="s">
        <v>8255</v>
      </c>
      <c r="D11103" t="s">
        <v>27</v>
      </c>
      <c r="E11103" t="s">
        <v>622</v>
      </c>
      <c r="F11103" t="s">
        <v>8</v>
      </c>
      <c r="G11103" t="s">
        <v>16231</v>
      </c>
      <c r="H11103" t="s">
        <v>47054</v>
      </c>
      <c r="I11103" t="s">
        <v>47111</v>
      </c>
      <c r="J11103" t="s">
        <v>47112</v>
      </c>
      <c r="K11103" t="s">
        <v>47113</v>
      </c>
      <c r="L11103">
        <v>57.69</v>
      </c>
      <c r="M11103">
        <v>146</v>
      </c>
      <c r="N11103">
        <v>0</v>
      </c>
      <c r="O11103">
        <v>146</v>
      </c>
      <c r="P11103">
        <v>0</v>
      </c>
    </row>
    <row r="11104" spans="1:16" x14ac:dyDescent="0.25">
      <c r="A11104" t="s">
        <v>33877</v>
      </c>
      <c r="B11104" t="s">
        <v>8254</v>
      </c>
      <c r="C11104" t="s">
        <v>8255</v>
      </c>
      <c r="D11104" t="str">
        <f>"89"</f>
        <v>89</v>
      </c>
      <c r="E11104" t="s">
        <v>1732</v>
      </c>
      <c r="F11104" t="s">
        <v>8</v>
      </c>
      <c r="G11104" t="s">
        <v>16231</v>
      </c>
      <c r="H11104" t="s">
        <v>47054</v>
      </c>
      <c r="I11104" t="s">
        <v>47111</v>
      </c>
      <c r="J11104" t="s">
        <v>47112</v>
      </c>
      <c r="K11104" t="s">
        <v>47113</v>
      </c>
      <c r="L11104">
        <v>45.07</v>
      </c>
      <c r="M11104">
        <v>146</v>
      </c>
      <c r="N11104">
        <v>0</v>
      </c>
      <c r="O11104">
        <v>146</v>
      </c>
      <c r="P11104">
        <v>0</v>
      </c>
    </row>
    <row r="11105" spans="1:16" x14ac:dyDescent="0.25">
      <c r="A11105" t="s">
        <v>33878</v>
      </c>
      <c r="B11105" t="s">
        <v>8256</v>
      </c>
      <c r="C11105" t="s">
        <v>8257</v>
      </c>
      <c r="D11105" t="s">
        <v>721</v>
      </c>
      <c r="E11105" t="s">
        <v>722</v>
      </c>
      <c r="F11105" t="s">
        <v>8</v>
      </c>
      <c r="G11105" t="s">
        <v>16231</v>
      </c>
      <c r="H11105" t="s">
        <v>47054</v>
      </c>
      <c r="I11105" t="s">
        <v>47111</v>
      </c>
      <c r="J11105" t="s">
        <v>47112</v>
      </c>
      <c r="K11105" t="s">
        <v>47113</v>
      </c>
      <c r="L11105">
        <v>49.63</v>
      </c>
      <c r="M11105">
        <v>137</v>
      </c>
      <c r="N11105">
        <v>0</v>
      </c>
      <c r="O11105">
        <v>137</v>
      </c>
      <c r="P11105">
        <v>0</v>
      </c>
    </row>
    <row r="11106" spans="1:16" x14ac:dyDescent="0.25">
      <c r="A11106" t="s">
        <v>33879</v>
      </c>
      <c r="B11106" t="s">
        <v>8256</v>
      </c>
      <c r="C11106" t="s">
        <v>8257</v>
      </c>
      <c r="D11106" t="s">
        <v>27</v>
      </c>
      <c r="E11106" t="s">
        <v>622</v>
      </c>
      <c r="F11106" t="s">
        <v>8</v>
      </c>
      <c r="G11106" t="s">
        <v>16231</v>
      </c>
      <c r="H11106" t="s">
        <v>47054</v>
      </c>
      <c r="I11106" t="s">
        <v>47111</v>
      </c>
      <c r="J11106" t="s">
        <v>47112</v>
      </c>
      <c r="K11106" t="s">
        <v>47113</v>
      </c>
      <c r="L11106">
        <v>57.69</v>
      </c>
      <c r="M11106">
        <v>146</v>
      </c>
      <c r="N11106">
        <v>0</v>
      </c>
      <c r="O11106">
        <v>146</v>
      </c>
      <c r="P11106">
        <v>0</v>
      </c>
    </row>
    <row r="11107" spans="1:16" x14ac:dyDescent="0.25">
      <c r="A11107" t="s">
        <v>33880</v>
      </c>
      <c r="B11107" t="s">
        <v>8256</v>
      </c>
      <c r="C11107" t="s">
        <v>8257</v>
      </c>
      <c r="D11107" t="str">
        <f>"89"</f>
        <v>89</v>
      </c>
      <c r="E11107" t="s">
        <v>1732</v>
      </c>
      <c r="F11107" t="s">
        <v>8</v>
      </c>
      <c r="G11107" t="s">
        <v>16231</v>
      </c>
      <c r="H11107" t="s">
        <v>47054</v>
      </c>
      <c r="I11107" t="s">
        <v>47111</v>
      </c>
      <c r="J11107" t="s">
        <v>47112</v>
      </c>
      <c r="K11107" t="s">
        <v>47113</v>
      </c>
      <c r="L11107">
        <v>54.3</v>
      </c>
      <c r="M11107">
        <v>146</v>
      </c>
      <c r="N11107">
        <v>0</v>
      </c>
      <c r="O11107">
        <v>146</v>
      </c>
      <c r="P11107">
        <v>0</v>
      </c>
    </row>
    <row r="11108" spans="1:16" x14ac:dyDescent="0.25">
      <c r="A11108" t="s">
        <v>33881</v>
      </c>
      <c r="B11108" t="s">
        <v>8256</v>
      </c>
      <c r="C11108" t="s">
        <v>8257</v>
      </c>
      <c r="D11108" t="s">
        <v>1718</v>
      </c>
      <c r="E11108" t="s">
        <v>1719</v>
      </c>
      <c r="F11108" t="s">
        <v>8</v>
      </c>
      <c r="G11108" t="s">
        <v>16231</v>
      </c>
      <c r="H11108" t="s">
        <v>47054</v>
      </c>
      <c r="I11108" t="s">
        <v>47111</v>
      </c>
      <c r="J11108" t="s">
        <v>47112</v>
      </c>
      <c r="K11108" t="s">
        <v>47113</v>
      </c>
      <c r="L11108">
        <v>54.3</v>
      </c>
      <c r="M11108">
        <v>146</v>
      </c>
      <c r="N11108">
        <v>0</v>
      </c>
      <c r="O11108">
        <v>146</v>
      </c>
      <c r="P11108">
        <v>0</v>
      </c>
    </row>
    <row r="11109" spans="1:16" x14ac:dyDescent="0.25">
      <c r="A11109" t="s">
        <v>33882</v>
      </c>
      <c r="B11109" t="s">
        <v>8256</v>
      </c>
      <c r="C11109" t="s">
        <v>8257</v>
      </c>
      <c r="D11109" t="s">
        <v>1722</v>
      </c>
      <c r="E11109" t="s">
        <v>1723</v>
      </c>
      <c r="F11109" t="s">
        <v>8</v>
      </c>
      <c r="G11109" t="s">
        <v>16231</v>
      </c>
      <c r="H11109" t="s">
        <v>47054</v>
      </c>
      <c r="I11109" t="s">
        <v>47111</v>
      </c>
      <c r="J11109" t="s">
        <v>47112</v>
      </c>
      <c r="K11109" t="s">
        <v>47113</v>
      </c>
      <c r="L11109">
        <v>62.67</v>
      </c>
      <c r="M11109">
        <v>146</v>
      </c>
      <c r="N11109">
        <v>0</v>
      </c>
      <c r="O11109">
        <v>146</v>
      </c>
      <c r="P11109">
        <v>0</v>
      </c>
    </row>
    <row r="11110" spans="1:16" x14ac:dyDescent="0.25">
      <c r="A11110" t="s">
        <v>33883</v>
      </c>
      <c r="B11110" t="s">
        <v>8258</v>
      </c>
      <c r="C11110" t="s">
        <v>8259</v>
      </c>
      <c r="D11110" t="s">
        <v>8260</v>
      </c>
      <c r="E11110" t="s">
        <v>8261</v>
      </c>
      <c r="F11110" t="s">
        <v>4</v>
      </c>
      <c r="G11110" t="s">
        <v>16231</v>
      </c>
      <c r="H11110" t="s">
        <v>47054</v>
      </c>
      <c r="I11110" t="s">
        <v>47111</v>
      </c>
      <c r="J11110" t="s">
        <v>47112</v>
      </c>
      <c r="K11110" t="s">
        <v>47113</v>
      </c>
      <c r="L11110">
        <v>48.34</v>
      </c>
      <c r="M11110">
        <v>118</v>
      </c>
      <c r="N11110">
        <v>0</v>
      </c>
      <c r="O11110">
        <v>118</v>
      </c>
      <c r="P11110">
        <v>0</v>
      </c>
    </row>
    <row r="11111" spans="1:16" x14ac:dyDescent="0.25">
      <c r="A11111" t="s">
        <v>33884</v>
      </c>
      <c r="B11111" t="s">
        <v>8262</v>
      </c>
      <c r="C11111" t="s">
        <v>8263</v>
      </c>
      <c r="D11111" t="s">
        <v>27</v>
      </c>
      <c r="E11111" t="s">
        <v>622</v>
      </c>
      <c r="F11111" t="s">
        <v>8</v>
      </c>
      <c r="G11111" t="s">
        <v>16231</v>
      </c>
      <c r="H11111" t="s">
        <v>47054</v>
      </c>
      <c r="I11111" t="s">
        <v>47111</v>
      </c>
      <c r="J11111" t="s">
        <v>47112</v>
      </c>
      <c r="K11111" t="s">
        <v>47113</v>
      </c>
      <c r="L11111">
        <v>55.82</v>
      </c>
      <c r="M11111">
        <v>146</v>
      </c>
      <c r="N11111">
        <v>0</v>
      </c>
      <c r="O11111">
        <v>146</v>
      </c>
      <c r="P11111">
        <v>0</v>
      </c>
    </row>
    <row r="11112" spans="1:16" x14ac:dyDescent="0.25">
      <c r="A11112" t="s">
        <v>33885</v>
      </c>
      <c r="B11112" t="s">
        <v>8262</v>
      </c>
      <c r="C11112" t="s">
        <v>8263</v>
      </c>
      <c r="D11112" t="s">
        <v>4855</v>
      </c>
      <c r="E11112" t="s">
        <v>4856</v>
      </c>
      <c r="F11112" t="s">
        <v>8</v>
      </c>
      <c r="G11112" t="s">
        <v>16231</v>
      </c>
      <c r="H11112" t="s">
        <v>47054</v>
      </c>
      <c r="I11112" t="s">
        <v>47111</v>
      </c>
      <c r="J11112" t="s">
        <v>47112</v>
      </c>
      <c r="K11112" t="s">
        <v>47113</v>
      </c>
      <c r="L11112">
        <v>55.82</v>
      </c>
      <c r="M11112">
        <v>146</v>
      </c>
      <c r="N11112">
        <v>0</v>
      </c>
      <c r="O11112">
        <v>146</v>
      </c>
      <c r="P11112">
        <v>0</v>
      </c>
    </row>
    <row r="11113" spans="1:16" x14ac:dyDescent="0.25">
      <c r="A11113" t="s">
        <v>33886</v>
      </c>
      <c r="B11113" t="s">
        <v>8262</v>
      </c>
      <c r="C11113" t="s">
        <v>8263</v>
      </c>
      <c r="D11113" t="s">
        <v>1703</v>
      </c>
      <c r="E11113" t="s">
        <v>1704</v>
      </c>
      <c r="F11113" t="s">
        <v>8</v>
      </c>
      <c r="G11113" t="s">
        <v>16231</v>
      </c>
      <c r="H11113" t="s">
        <v>47054</v>
      </c>
      <c r="I11113" t="s">
        <v>47111</v>
      </c>
      <c r="J11113" t="s">
        <v>47112</v>
      </c>
      <c r="K11113" t="s">
        <v>47113</v>
      </c>
      <c r="L11113">
        <v>55.82</v>
      </c>
      <c r="M11113">
        <v>146</v>
      </c>
      <c r="N11113">
        <v>0</v>
      </c>
      <c r="O11113">
        <v>146</v>
      </c>
      <c r="P11113">
        <v>0</v>
      </c>
    </row>
    <row r="11114" spans="1:16" x14ac:dyDescent="0.25">
      <c r="A11114" t="s">
        <v>33887</v>
      </c>
      <c r="B11114" t="s">
        <v>8264</v>
      </c>
      <c r="C11114" t="s">
        <v>8265</v>
      </c>
      <c r="D11114" t="s">
        <v>4855</v>
      </c>
      <c r="E11114" t="s">
        <v>4856</v>
      </c>
      <c r="F11114" t="s">
        <v>52</v>
      </c>
      <c r="G11114" t="s">
        <v>16231</v>
      </c>
      <c r="H11114" t="s">
        <v>47054</v>
      </c>
      <c r="I11114" t="s">
        <v>47111</v>
      </c>
      <c r="J11114" t="s">
        <v>47112</v>
      </c>
      <c r="K11114" t="s">
        <v>47113</v>
      </c>
      <c r="L11114">
        <v>59.8</v>
      </c>
      <c r="M11114">
        <v>146</v>
      </c>
      <c r="N11114">
        <v>0</v>
      </c>
      <c r="O11114">
        <v>146</v>
      </c>
      <c r="P11114">
        <v>0</v>
      </c>
    </row>
    <row r="11115" spans="1:16" x14ac:dyDescent="0.25">
      <c r="A11115" t="s">
        <v>33888</v>
      </c>
      <c r="B11115" t="s">
        <v>8264</v>
      </c>
      <c r="C11115" t="s">
        <v>8265</v>
      </c>
      <c r="D11115" t="s">
        <v>4843</v>
      </c>
      <c r="E11115" t="s">
        <v>4844</v>
      </c>
      <c r="F11115" t="s">
        <v>52</v>
      </c>
      <c r="G11115" t="s">
        <v>16231</v>
      </c>
      <c r="H11115" t="s">
        <v>47054</v>
      </c>
      <c r="I11115" t="s">
        <v>47111</v>
      </c>
      <c r="J11115" t="s">
        <v>47112</v>
      </c>
      <c r="K11115" t="s">
        <v>47113</v>
      </c>
      <c r="L11115">
        <v>66.34</v>
      </c>
      <c r="M11115">
        <v>163</v>
      </c>
      <c r="N11115">
        <v>0</v>
      </c>
      <c r="O11115">
        <v>163</v>
      </c>
      <c r="P11115">
        <v>0</v>
      </c>
    </row>
    <row r="11116" spans="1:16" x14ac:dyDescent="0.25">
      <c r="A11116" t="s">
        <v>33889</v>
      </c>
      <c r="B11116" t="s">
        <v>8264</v>
      </c>
      <c r="C11116" t="s">
        <v>8265</v>
      </c>
      <c r="D11116" t="s">
        <v>1737</v>
      </c>
      <c r="E11116" t="s">
        <v>1738</v>
      </c>
      <c r="F11116" t="s">
        <v>52</v>
      </c>
      <c r="G11116" t="s">
        <v>16231</v>
      </c>
      <c r="H11116" t="s">
        <v>47054</v>
      </c>
      <c r="I11116" t="s">
        <v>47111</v>
      </c>
      <c r="J11116" t="s">
        <v>47112</v>
      </c>
      <c r="K11116" t="s">
        <v>47113</v>
      </c>
      <c r="L11116">
        <v>60.36</v>
      </c>
      <c r="M11116">
        <v>146</v>
      </c>
      <c r="N11116">
        <v>0</v>
      </c>
      <c r="O11116">
        <v>146</v>
      </c>
      <c r="P11116">
        <v>0</v>
      </c>
    </row>
    <row r="11117" spans="1:16" x14ac:dyDescent="0.25">
      <c r="A11117" t="s">
        <v>33890</v>
      </c>
      <c r="B11117" t="s">
        <v>8264</v>
      </c>
      <c r="C11117" t="s">
        <v>8265</v>
      </c>
      <c r="D11117" t="s">
        <v>1734</v>
      </c>
      <c r="E11117" t="s">
        <v>1735</v>
      </c>
      <c r="F11117" t="s">
        <v>52</v>
      </c>
      <c r="G11117" t="s">
        <v>16231</v>
      </c>
      <c r="H11117" t="s">
        <v>47054</v>
      </c>
      <c r="I11117" t="s">
        <v>47111</v>
      </c>
      <c r="J11117" t="s">
        <v>47112</v>
      </c>
      <c r="K11117" t="s">
        <v>47113</v>
      </c>
      <c r="L11117">
        <v>61.84</v>
      </c>
      <c r="M11117">
        <v>152</v>
      </c>
      <c r="N11117">
        <v>0</v>
      </c>
      <c r="O11117">
        <v>152</v>
      </c>
      <c r="P11117">
        <v>0</v>
      </c>
    </row>
    <row r="11118" spans="1:16" x14ac:dyDescent="0.25">
      <c r="A11118" t="s">
        <v>33891</v>
      </c>
      <c r="B11118" t="s">
        <v>8266</v>
      </c>
      <c r="C11118" t="s">
        <v>8265</v>
      </c>
      <c r="D11118" t="s">
        <v>4855</v>
      </c>
      <c r="E11118" t="s">
        <v>4856</v>
      </c>
      <c r="F11118" t="s">
        <v>52</v>
      </c>
      <c r="G11118" t="s">
        <v>16231</v>
      </c>
      <c r="H11118" t="s">
        <v>47054</v>
      </c>
      <c r="I11118" t="s">
        <v>47111</v>
      </c>
      <c r="J11118" t="s">
        <v>47112</v>
      </c>
      <c r="K11118" t="s">
        <v>47113</v>
      </c>
      <c r="L11118">
        <v>59.79</v>
      </c>
      <c r="M11118">
        <v>147</v>
      </c>
      <c r="N11118">
        <v>0</v>
      </c>
      <c r="O11118">
        <v>147</v>
      </c>
      <c r="P11118">
        <v>0</v>
      </c>
    </row>
    <row r="11119" spans="1:16" x14ac:dyDescent="0.25">
      <c r="A11119" t="s">
        <v>33892</v>
      </c>
      <c r="B11119" t="s">
        <v>8266</v>
      </c>
      <c r="C11119" t="s">
        <v>8265</v>
      </c>
      <c r="D11119" t="s">
        <v>4843</v>
      </c>
      <c r="E11119" t="s">
        <v>4844</v>
      </c>
      <c r="F11119" t="s">
        <v>52</v>
      </c>
      <c r="G11119" t="s">
        <v>16231</v>
      </c>
      <c r="H11119" t="s">
        <v>47054</v>
      </c>
      <c r="I11119" t="s">
        <v>47111</v>
      </c>
      <c r="J11119" t="s">
        <v>47112</v>
      </c>
      <c r="K11119" t="s">
        <v>47113</v>
      </c>
      <c r="L11119">
        <v>68.23</v>
      </c>
      <c r="M11119">
        <v>163</v>
      </c>
      <c r="N11119">
        <v>0</v>
      </c>
      <c r="O11119">
        <v>163</v>
      </c>
      <c r="P11119">
        <v>0</v>
      </c>
    </row>
    <row r="11120" spans="1:16" x14ac:dyDescent="0.25">
      <c r="A11120" t="s">
        <v>33893</v>
      </c>
      <c r="B11120" t="s">
        <v>8266</v>
      </c>
      <c r="C11120" t="s">
        <v>8265</v>
      </c>
      <c r="D11120" t="s">
        <v>1737</v>
      </c>
      <c r="E11120" t="s">
        <v>1738</v>
      </c>
      <c r="F11120" t="s">
        <v>52</v>
      </c>
      <c r="G11120" t="s">
        <v>16231</v>
      </c>
      <c r="H11120" t="s">
        <v>47054</v>
      </c>
      <c r="I11120" t="s">
        <v>47111</v>
      </c>
      <c r="J11120" t="s">
        <v>47112</v>
      </c>
      <c r="K11120" t="s">
        <v>47113</v>
      </c>
      <c r="L11120">
        <v>60.03</v>
      </c>
      <c r="M11120">
        <v>147</v>
      </c>
      <c r="N11120">
        <v>0</v>
      </c>
      <c r="O11120">
        <v>147</v>
      </c>
      <c r="P11120">
        <v>0</v>
      </c>
    </row>
    <row r="11121" spans="1:16" x14ac:dyDescent="0.25">
      <c r="A11121" t="s">
        <v>33894</v>
      </c>
      <c r="B11121" t="s">
        <v>8266</v>
      </c>
      <c r="C11121" t="s">
        <v>8265</v>
      </c>
      <c r="D11121" t="s">
        <v>1734</v>
      </c>
      <c r="E11121" t="s">
        <v>1735</v>
      </c>
      <c r="F11121" t="s">
        <v>52</v>
      </c>
      <c r="G11121" t="s">
        <v>16231</v>
      </c>
      <c r="H11121" t="s">
        <v>47054</v>
      </c>
      <c r="I11121" t="s">
        <v>47111</v>
      </c>
      <c r="J11121" t="s">
        <v>47112</v>
      </c>
      <c r="K11121" t="s">
        <v>47113</v>
      </c>
      <c r="L11121">
        <v>62.86</v>
      </c>
      <c r="M11121">
        <v>152</v>
      </c>
      <c r="N11121">
        <v>0</v>
      </c>
      <c r="O11121">
        <v>152</v>
      </c>
      <c r="P11121">
        <v>0</v>
      </c>
    </row>
    <row r="11122" spans="1:16" x14ac:dyDescent="0.25">
      <c r="A11122" t="s">
        <v>33895</v>
      </c>
      <c r="B11122" t="s">
        <v>8267</v>
      </c>
      <c r="C11122" t="s">
        <v>8268</v>
      </c>
      <c r="D11122" t="s">
        <v>8269</v>
      </c>
      <c r="E11122" t="s">
        <v>8270</v>
      </c>
      <c r="F11122" t="s">
        <v>1</v>
      </c>
      <c r="G11122" t="s">
        <v>16231</v>
      </c>
      <c r="H11122" t="s">
        <v>47054</v>
      </c>
      <c r="I11122" t="s">
        <v>47111</v>
      </c>
      <c r="J11122" t="s">
        <v>47112</v>
      </c>
      <c r="K11122" t="s">
        <v>47113</v>
      </c>
      <c r="L11122">
        <v>65.13</v>
      </c>
      <c r="M11122">
        <v>159</v>
      </c>
      <c r="N11122">
        <v>0</v>
      </c>
      <c r="O11122">
        <v>159</v>
      </c>
      <c r="P11122">
        <v>0</v>
      </c>
    </row>
    <row r="11123" spans="1:16" x14ac:dyDescent="0.25">
      <c r="A11123" t="s">
        <v>33896</v>
      </c>
      <c r="B11123" t="s">
        <v>8271</v>
      </c>
      <c r="C11123" t="s">
        <v>8272</v>
      </c>
      <c r="D11123" t="s">
        <v>8273</v>
      </c>
      <c r="E11123" t="s">
        <v>8274</v>
      </c>
      <c r="F11123" t="s">
        <v>52</v>
      </c>
      <c r="G11123" t="s">
        <v>16231</v>
      </c>
      <c r="H11123" t="s">
        <v>47054</v>
      </c>
      <c r="I11123" t="s">
        <v>47114</v>
      </c>
      <c r="J11123" t="s">
        <v>47115</v>
      </c>
      <c r="K11123" t="s">
        <v>47113</v>
      </c>
      <c r="L11123">
        <v>48.44</v>
      </c>
      <c r="M11123">
        <v>133</v>
      </c>
      <c r="N11123">
        <v>0</v>
      </c>
      <c r="O11123">
        <v>133</v>
      </c>
      <c r="P11123">
        <v>0</v>
      </c>
    </row>
    <row r="11124" spans="1:16" x14ac:dyDescent="0.25">
      <c r="A11124" t="s">
        <v>33897</v>
      </c>
      <c r="B11124" t="s">
        <v>8275</v>
      </c>
      <c r="C11124" t="s">
        <v>8276</v>
      </c>
      <c r="D11124" t="s">
        <v>8260</v>
      </c>
      <c r="E11124" t="s">
        <v>8261</v>
      </c>
      <c r="F11124" t="s">
        <v>4</v>
      </c>
      <c r="G11124" t="s">
        <v>16231</v>
      </c>
      <c r="H11124" t="s">
        <v>47054</v>
      </c>
      <c r="I11124" t="s">
        <v>47111</v>
      </c>
      <c r="J11124" t="s">
        <v>47112</v>
      </c>
      <c r="K11124" t="s">
        <v>47113</v>
      </c>
      <c r="L11124">
        <v>53.53</v>
      </c>
      <c r="M11124">
        <v>126</v>
      </c>
      <c r="N11124">
        <v>0</v>
      </c>
      <c r="O11124">
        <v>126</v>
      </c>
      <c r="P11124">
        <v>0</v>
      </c>
    </row>
    <row r="11125" spans="1:16" x14ac:dyDescent="0.25">
      <c r="A11125" t="s">
        <v>33898</v>
      </c>
      <c r="B11125" t="s">
        <v>8277</v>
      </c>
      <c r="C11125" t="s">
        <v>8278</v>
      </c>
      <c r="D11125" t="s">
        <v>8279</v>
      </c>
      <c r="E11125" t="s">
        <v>8280</v>
      </c>
      <c r="F11125" t="s">
        <v>631</v>
      </c>
      <c r="G11125" t="s">
        <v>16231</v>
      </c>
      <c r="H11125" t="s">
        <v>47054</v>
      </c>
      <c r="I11125" t="s">
        <v>47111</v>
      </c>
      <c r="J11125" t="s">
        <v>47112</v>
      </c>
      <c r="K11125" t="s">
        <v>47113</v>
      </c>
      <c r="L11125">
        <v>47.72</v>
      </c>
      <c r="M11125">
        <v>107</v>
      </c>
      <c r="N11125">
        <v>0</v>
      </c>
      <c r="O11125">
        <v>107</v>
      </c>
      <c r="P11125">
        <v>0</v>
      </c>
    </row>
    <row r="11126" spans="1:16" x14ac:dyDescent="0.25">
      <c r="A11126" t="s">
        <v>33899</v>
      </c>
      <c r="B11126" t="s">
        <v>8281</v>
      </c>
      <c r="C11126" t="s">
        <v>4917</v>
      </c>
      <c r="D11126" t="s">
        <v>27</v>
      </c>
      <c r="E11126" t="s">
        <v>622</v>
      </c>
      <c r="F11126" t="s">
        <v>8</v>
      </c>
      <c r="G11126" t="s">
        <v>16231</v>
      </c>
      <c r="H11126" t="s">
        <v>47054</v>
      </c>
      <c r="I11126" t="s">
        <v>47111</v>
      </c>
      <c r="J11126" t="s">
        <v>47112</v>
      </c>
      <c r="K11126" t="s">
        <v>47113</v>
      </c>
      <c r="L11126">
        <v>58.45</v>
      </c>
      <c r="M11126">
        <v>146</v>
      </c>
      <c r="N11126">
        <v>0</v>
      </c>
      <c r="O11126">
        <v>146</v>
      </c>
      <c r="P11126">
        <v>0</v>
      </c>
    </row>
    <row r="11127" spans="1:16" x14ac:dyDescent="0.25">
      <c r="A11127" t="s">
        <v>33900</v>
      </c>
      <c r="B11127" t="s">
        <v>8281</v>
      </c>
      <c r="C11127" t="s">
        <v>4917</v>
      </c>
      <c r="D11127" t="s">
        <v>4855</v>
      </c>
      <c r="E11127" t="s">
        <v>4856</v>
      </c>
      <c r="F11127" t="s">
        <v>8</v>
      </c>
      <c r="G11127" t="s">
        <v>16231</v>
      </c>
      <c r="H11127" t="s">
        <v>47054</v>
      </c>
      <c r="I11127" t="s">
        <v>47111</v>
      </c>
      <c r="J11127" t="s">
        <v>47112</v>
      </c>
      <c r="K11127" t="s">
        <v>47113</v>
      </c>
      <c r="L11127">
        <v>58.45</v>
      </c>
      <c r="M11127">
        <v>146</v>
      </c>
      <c r="N11127">
        <v>0</v>
      </c>
      <c r="O11127">
        <v>146</v>
      </c>
      <c r="P11127">
        <v>0</v>
      </c>
    </row>
    <row r="11128" spans="1:16" x14ac:dyDescent="0.25">
      <c r="A11128" t="s">
        <v>33901</v>
      </c>
      <c r="B11128" t="s">
        <v>8282</v>
      </c>
      <c r="C11128" t="s">
        <v>8283</v>
      </c>
      <c r="D11128" t="s">
        <v>4855</v>
      </c>
      <c r="E11128" t="s">
        <v>4856</v>
      </c>
      <c r="F11128" t="s">
        <v>52</v>
      </c>
      <c r="G11128" t="s">
        <v>16231</v>
      </c>
      <c r="H11128" t="s">
        <v>47054</v>
      </c>
      <c r="I11128" t="s">
        <v>47111</v>
      </c>
      <c r="J11128" t="s">
        <v>47112</v>
      </c>
      <c r="K11128" t="s">
        <v>47113</v>
      </c>
      <c r="L11128">
        <v>62.58</v>
      </c>
      <c r="M11128">
        <v>152</v>
      </c>
      <c r="N11128">
        <v>0</v>
      </c>
      <c r="O11128">
        <v>152</v>
      </c>
      <c r="P11128">
        <v>0</v>
      </c>
    </row>
    <row r="11129" spans="1:16" x14ac:dyDescent="0.25">
      <c r="A11129" t="s">
        <v>33902</v>
      </c>
      <c r="B11129" t="s">
        <v>8282</v>
      </c>
      <c r="C11129" t="s">
        <v>8283</v>
      </c>
      <c r="D11129" t="s">
        <v>4843</v>
      </c>
      <c r="E11129" t="s">
        <v>4844</v>
      </c>
      <c r="F11129" t="s">
        <v>52</v>
      </c>
      <c r="G11129" t="s">
        <v>16231</v>
      </c>
      <c r="H11129" t="s">
        <v>47054</v>
      </c>
      <c r="I11129" t="s">
        <v>47111</v>
      </c>
      <c r="J11129" t="s">
        <v>47112</v>
      </c>
      <c r="K11129" t="s">
        <v>47113</v>
      </c>
      <c r="L11129">
        <v>68.599999999999994</v>
      </c>
      <c r="M11129">
        <v>168</v>
      </c>
      <c r="N11129">
        <v>0</v>
      </c>
      <c r="O11129">
        <v>168</v>
      </c>
      <c r="P11129">
        <v>0</v>
      </c>
    </row>
    <row r="11130" spans="1:16" x14ac:dyDescent="0.25">
      <c r="A11130" t="s">
        <v>33903</v>
      </c>
      <c r="B11130" t="s">
        <v>8282</v>
      </c>
      <c r="C11130" t="s">
        <v>8283</v>
      </c>
      <c r="D11130" t="s">
        <v>1737</v>
      </c>
      <c r="E11130" t="s">
        <v>1738</v>
      </c>
      <c r="F11130" t="s">
        <v>52</v>
      </c>
      <c r="G11130" t="s">
        <v>16231</v>
      </c>
      <c r="H11130" t="s">
        <v>47054</v>
      </c>
      <c r="I11130" t="s">
        <v>47111</v>
      </c>
      <c r="J11130" t="s">
        <v>47112</v>
      </c>
      <c r="K11130" t="s">
        <v>47113</v>
      </c>
      <c r="L11130">
        <v>62.29</v>
      </c>
      <c r="M11130">
        <v>152</v>
      </c>
      <c r="N11130">
        <v>0</v>
      </c>
      <c r="O11130">
        <v>152</v>
      </c>
      <c r="P11130">
        <v>0</v>
      </c>
    </row>
    <row r="11131" spans="1:16" x14ac:dyDescent="0.25">
      <c r="A11131" t="s">
        <v>33904</v>
      </c>
      <c r="B11131" t="s">
        <v>8282</v>
      </c>
      <c r="C11131" t="s">
        <v>8283</v>
      </c>
      <c r="D11131" t="s">
        <v>1734</v>
      </c>
      <c r="E11131" t="s">
        <v>1735</v>
      </c>
      <c r="F11131" t="s">
        <v>52</v>
      </c>
      <c r="G11131" t="s">
        <v>16231</v>
      </c>
      <c r="H11131" t="s">
        <v>47054</v>
      </c>
      <c r="I11131" t="s">
        <v>47111</v>
      </c>
      <c r="J11131" t="s">
        <v>47112</v>
      </c>
      <c r="K11131" t="s">
        <v>47113</v>
      </c>
      <c r="L11131">
        <v>64.930000000000007</v>
      </c>
      <c r="M11131">
        <v>157</v>
      </c>
      <c r="N11131">
        <v>0</v>
      </c>
      <c r="O11131">
        <v>157</v>
      </c>
      <c r="P11131">
        <v>0</v>
      </c>
    </row>
    <row r="11132" spans="1:16" x14ac:dyDescent="0.25">
      <c r="A11132" t="s">
        <v>33905</v>
      </c>
      <c r="B11132" t="s">
        <v>8284</v>
      </c>
      <c r="C11132" t="s">
        <v>8283</v>
      </c>
      <c r="D11132" t="s">
        <v>4855</v>
      </c>
      <c r="E11132" t="s">
        <v>4856</v>
      </c>
      <c r="F11132" t="s">
        <v>52</v>
      </c>
      <c r="G11132" t="s">
        <v>16231</v>
      </c>
      <c r="H11132" t="s">
        <v>47054</v>
      </c>
      <c r="I11132" t="s">
        <v>47114</v>
      </c>
      <c r="J11132" t="s">
        <v>47115</v>
      </c>
      <c r="K11132" t="s">
        <v>47113</v>
      </c>
      <c r="L11132">
        <v>63.28</v>
      </c>
      <c r="M11132">
        <v>153</v>
      </c>
      <c r="N11132">
        <v>0</v>
      </c>
      <c r="O11132">
        <v>153</v>
      </c>
      <c r="P11132">
        <v>0</v>
      </c>
    </row>
    <row r="11133" spans="1:16" x14ac:dyDescent="0.25">
      <c r="A11133" t="s">
        <v>33906</v>
      </c>
      <c r="B11133" t="s">
        <v>8284</v>
      </c>
      <c r="C11133" t="s">
        <v>8283</v>
      </c>
      <c r="D11133" t="s">
        <v>4843</v>
      </c>
      <c r="E11133" t="s">
        <v>4844</v>
      </c>
      <c r="F11133" t="s">
        <v>52</v>
      </c>
      <c r="G11133" t="s">
        <v>16231</v>
      </c>
      <c r="H11133" t="s">
        <v>47054</v>
      </c>
      <c r="I11133" t="s">
        <v>47114</v>
      </c>
      <c r="J11133" t="s">
        <v>47115</v>
      </c>
      <c r="K11133" t="s">
        <v>47113</v>
      </c>
      <c r="L11133">
        <v>69.23</v>
      </c>
      <c r="M11133">
        <v>170</v>
      </c>
      <c r="N11133">
        <v>0</v>
      </c>
      <c r="O11133">
        <v>170</v>
      </c>
      <c r="P11133">
        <v>0</v>
      </c>
    </row>
    <row r="11134" spans="1:16" x14ac:dyDescent="0.25">
      <c r="A11134" t="s">
        <v>33907</v>
      </c>
      <c r="B11134" t="s">
        <v>8284</v>
      </c>
      <c r="C11134" t="s">
        <v>8283</v>
      </c>
      <c r="D11134" t="s">
        <v>1737</v>
      </c>
      <c r="E11134" t="s">
        <v>1738</v>
      </c>
      <c r="F11134" t="s">
        <v>52</v>
      </c>
      <c r="G11134" t="s">
        <v>16231</v>
      </c>
      <c r="H11134" t="s">
        <v>47054</v>
      </c>
      <c r="I11134" t="s">
        <v>47114</v>
      </c>
      <c r="J11134" t="s">
        <v>47115</v>
      </c>
      <c r="K11134" t="s">
        <v>47113</v>
      </c>
      <c r="L11134">
        <v>61.91</v>
      </c>
      <c r="M11134">
        <v>153</v>
      </c>
      <c r="N11134">
        <v>0</v>
      </c>
      <c r="O11134">
        <v>153</v>
      </c>
      <c r="P11134">
        <v>0</v>
      </c>
    </row>
    <row r="11135" spans="1:16" x14ac:dyDescent="0.25">
      <c r="A11135" t="s">
        <v>33908</v>
      </c>
      <c r="B11135" t="s">
        <v>8284</v>
      </c>
      <c r="C11135" t="s">
        <v>8283</v>
      </c>
      <c r="D11135" t="s">
        <v>1734</v>
      </c>
      <c r="E11135" t="s">
        <v>1735</v>
      </c>
      <c r="F11135" t="s">
        <v>52</v>
      </c>
      <c r="G11135" t="s">
        <v>16231</v>
      </c>
      <c r="H11135" t="s">
        <v>47054</v>
      </c>
      <c r="I11135" t="s">
        <v>47114</v>
      </c>
      <c r="J11135" t="s">
        <v>47115</v>
      </c>
      <c r="K11135" t="s">
        <v>47113</v>
      </c>
      <c r="L11135">
        <v>65.55</v>
      </c>
      <c r="M11135">
        <v>159</v>
      </c>
      <c r="N11135">
        <v>0</v>
      </c>
      <c r="O11135">
        <v>159</v>
      </c>
      <c r="P11135">
        <v>0</v>
      </c>
    </row>
    <row r="11136" spans="1:16" x14ac:dyDescent="0.25">
      <c r="A11136" t="s">
        <v>33909</v>
      </c>
      <c r="B11136" t="s">
        <v>8285</v>
      </c>
      <c r="C11136" t="s">
        <v>2051</v>
      </c>
      <c r="D11136" t="s">
        <v>8286</v>
      </c>
      <c r="E11136" t="s">
        <v>8287</v>
      </c>
      <c r="F11136" t="s">
        <v>631</v>
      </c>
      <c r="G11136" t="s">
        <v>16231</v>
      </c>
      <c r="H11136" t="s">
        <v>47054</v>
      </c>
      <c r="I11136" t="s">
        <v>47111</v>
      </c>
      <c r="J11136" t="s">
        <v>47112</v>
      </c>
      <c r="K11136" t="s">
        <v>47113</v>
      </c>
      <c r="L11136">
        <v>35.29</v>
      </c>
      <c r="M11136">
        <v>79</v>
      </c>
      <c r="N11136">
        <v>0</v>
      </c>
      <c r="O11136">
        <v>79</v>
      </c>
      <c r="P11136">
        <v>0</v>
      </c>
    </row>
    <row r="11137" spans="1:16" x14ac:dyDescent="0.25">
      <c r="A11137" t="s">
        <v>33910</v>
      </c>
      <c r="B11137" t="s">
        <v>8288</v>
      </c>
      <c r="C11137" t="s">
        <v>8289</v>
      </c>
      <c r="D11137" t="s">
        <v>6215</v>
      </c>
      <c r="E11137" t="s">
        <v>6216</v>
      </c>
      <c r="F11137" t="s">
        <v>2</v>
      </c>
      <c r="G11137" t="s">
        <v>16231</v>
      </c>
      <c r="H11137" t="s">
        <v>47054</v>
      </c>
      <c r="I11137" t="s">
        <v>47111</v>
      </c>
      <c r="J11137" t="s">
        <v>47112</v>
      </c>
      <c r="K11137" t="s">
        <v>47113</v>
      </c>
      <c r="L11137">
        <v>58.42</v>
      </c>
      <c r="M11137">
        <v>120</v>
      </c>
      <c r="N11137">
        <v>0</v>
      </c>
      <c r="O11137">
        <v>120</v>
      </c>
      <c r="P11137">
        <v>0</v>
      </c>
    </row>
    <row r="11138" spans="1:16" x14ac:dyDescent="0.25">
      <c r="A11138" t="s">
        <v>33911</v>
      </c>
      <c r="B11138" t="s">
        <v>8290</v>
      </c>
      <c r="C11138" t="s">
        <v>8291</v>
      </c>
      <c r="D11138" t="s">
        <v>8292</v>
      </c>
      <c r="E11138" t="s">
        <v>8293</v>
      </c>
      <c r="F11138" t="s">
        <v>4</v>
      </c>
      <c r="G11138" t="s">
        <v>16231</v>
      </c>
      <c r="H11138" t="s">
        <v>47054</v>
      </c>
      <c r="I11138" t="s">
        <v>47111</v>
      </c>
      <c r="J11138" t="s">
        <v>47112</v>
      </c>
      <c r="K11138" t="s">
        <v>47113</v>
      </c>
      <c r="L11138">
        <v>53.23</v>
      </c>
      <c r="M11138">
        <v>126</v>
      </c>
      <c r="N11138">
        <v>0</v>
      </c>
      <c r="O11138">
        <v>126</v>
      </c>
      <c r="P11138">
        <v>0</v>
      </c>
    </row>
    <row r="11139" spans="1:16" x14ac:dyDescent="0.25">
      <c r="A11139" t="s">
        <v>33912</v>
      </c>
      <c r="B11139" t="s">
        <v>33913</v>
      </c>
      <c r="C11139" t="s">
        <v>1696</v>
      </c>
      <c r="D11139" t="str">
        <f>"89"</f>
        <v>89</v>
      </c>
      <c r="E11139" t="s">
        <v>1732</v>
      </c>
      <c r="F11139" t="s">
        <v>687</v>
      </c>
      <c r="G11139" t="s">
        <v>16231</v>
      </c>
      <c r="H11139" t="s">
        <v>47054</v>
      </c>
      <c r="I11139" t="s">
        <v>47111</v>
      </c>
      <c r="J11139" t="s">
        <v>47112</v>
      </c>
      <c r="K11139" t="s">
        <v>47113</v>
      </c>
      <c r="L11139">
        <v>33.29</v>
      </c>
      <c r="M11139">
        <v>85</v>
      </c>
      <c r="N11139">
        <v>229</v>
      </c>
      <c r="O11139">
        <v>85</v>
      </c>
      <c r="P11139">
        <v>229</v>
      </c>
    </row>
    <row r="11140" spans="1:16" x14ac:dyDescent="0.25">
      <c r="A11140" t="s">
        <v>33914</v>
      </c>
      <c r="B11140" t="s">
        <v>8294</v>
      </c>
      <c r="C11140" t="s">
        <v>8295</v>
      </c>
      <c r="D11140" t="s">
        <v>1706</v>
      </c>
      <c r="E11140" t="s">
        <v>1707</v>
      </c>
      <c r="F11140" t="s">
        <v>631</v>
      </c>
      <c r="G11140" t="s">
        <v>16231</v>
      </c>
      <c r="H11140" t="s">
        <v>47054</v>
      </c>
      <c r="I11140" t="s">
        <v>47111</v>
      </c>
      <c r="J11140" t="s">
        <v>47112</v>
      </c>
      <c r="K11140" t="s">
        <v>47113</v>
      </c>
      <c r="L11140">
        <v>57.49</v>
      </c>
      <c r="M11140">
        <v>141</v>
      </c>
      <c r="N11140">
        <v>0</v>
      </c>
      <c r="O11140">
        <v>141</v>
      </c>
      <c r="P11140">
        <v>0</v>
      </c>
    </row>
    <row r="11141" spans="1:16" x14ac:dyDescent="0.25">
      <c r="A11141" t="s">
        <v>33915</v>
      </c>
      <c r="B11141" t="s">
        <v>8296</v>
      </c>
      <c r="C11141" t="s">
        <v>8297</v>
      </c>
      <c r="D11141" t="s">
        <v>8298</v>
      </c>
      <c r="E11141" t="s">
        <v>8299</v>
      </c>
      <c r="F11141" t="s">
        <v>0</v>
      </c>
      <c r="G11141" t="s">
        <v>16231</v>
      </c>
      <c r="H11141" t="s">
        <v>47054</v>
      </c>
      <c r="I11141" t="s">
        <v>47111</v>
      </c>
      <c r="J11141" t="s">
        <v>47112</v>
      </c>
      <c r="K11141" t="s">
        <v>47113</v>
      </c>
      <c r="L11141">
        <v>54.88</v>
      </c>
      <c r="M11141">
        <v>140</v>
      </c>
      <c r="N11141">
        <v>0</v>
      </c>
      <c r="O11141">
        <v>140</v>
      </c>
      <c r="P11141">
        <v>0</v>
      </c>
    </row>
    <row r="11142" spans="1:16" x14ac:dyDescent="0.25">
      <c r="A11142" t="s">
        <v>33916</v>
      </c>
      <c r="B11142" t="s">
        <v>8300</v>
      </c>
      <c r="C11142" t="s">
        <v>8301</v>
      </c>
      <c r="D11142" t="s">
        <v>8302</v>
      </c>
      <c r="E11142" t="s">
        <v>8303</v>
      </c>
      <c r="F11142" t="s">
        <v>4</v>
      </c>
      <c r="G11142" t="s">
        <v>16231</v>
      </c>
      <c r="H11142" t="s">
        <v>47054</v>
      </c>
      <c r="I11142" t="s">
        <v>47111</v>
      </c>
      <c r="J11142" t="s">
        <v>47112</v>
      </c>
      <c r="K11142" t="s">
        <v>47113</v>
      </c>
      <c r="L11142">
        <v>70.790000000000006</v>
      </c>
      <c r="M11142">
        <v>173</v>
      </c>
      <c r="N11142">
        <v>0</v>
      </c>
      <c r="O11142">
        <v>173</v>
      </c>
      <c r="P11142">
        <v>0</v>
      </c>
    </row>
    <row r="11143" spans="1:16" x14ac:dyDescent="0.25">
      <c r="A11143" t="s">
        <v>33917</v>
      </c>
      <c r="B11143" t="s">
        <v>8304</v>
      </c>
      <c r="C11143" t="s">
        <v>8295</v>
      </c>
      <c r="D11143" t="s">
        <v>27</v>
      </c>
      <c r="E11143" t="s">
        <v>622</v>
      </c>
      <c r="F11143" t="s">
        <v>8</v>
      </c>
      <c r="G11143" t="s">
        <v>16231</v>
      </c>
      <c r="H11143" t="s">
        <v>47054</v>
      </c>
      <c r="I11143" t="s">
        <v>47111</v>
      </c>
      <c r="J11143" t="s">
        <v>47112</v>
      </c>
      <c r="K11143" t="s">
        <v>47113</v>
      </c>
      <c r="L11143">
        <v>58.45</v>
      </c>
      <c r="M11143">
        <v>146</v>
      </c>
      <c r="N11143">
        <v>0</v>
      </c>
      <c r="O11143">
        <v>146</v>
      </c>
      <c r="P11143">
        <v>0</v>
      </c>
    </row>
    <row r="11144" spans="1:16" x14ac:dyDescent="0.25">
      <c r="A11144" t="s">
        <v>33918</v>
      </c>
      <c r="B11144" t="s">
        <v>8304</v>
      </c>
      <c r="C11144" t="s">
        <v>8295</v>
      </c>
      <c r="D11144" t="s">
        <v>4855</v>
      </c>
      <c r="E11144" t="s">
        <v>4856</v>
      </c>
      <c r="F11144" t="s">
        <v>8</v>
      </c>
      <c r="G11144" t="s">
        <v>16231</v>
      </c>
      <c r="H11144" t="s">
        <v>47054</v>
      </c>
      <c r="I11144" t="s">
        <v>47111</v>
      </c>
      <c r="J11144" t="s">
        <v>47112</v>
      </c>
      <c r="K11144" t="s">
        <v>47113</v>
      </c>
      <c r="L11144">
        <v>58.45</v>
      </c>
      <c r="M11144">
        <v>146</v>
      </c>
      <c r="N11144">
        <v>0</v>
      </c>
      <c r="O11144">
        <v>146</v>
      </c>
      <c r="P11144">
        <v>0</v>
      </c>
    </row>
    <row r="11145" spans="1:16" x14ac:dyDescent="0.25">
      <c r="A11145" t="s">
        <v>33919</v>
      </c>
      <c r="B11145" t="s">
        <v>8304</v>
      </c>
      <c r="C11145" t="s">
        <v>8295</v>
      </c>
      <c r="D11145" t="s">
        <v>1703</v>
      </c>
      <c r="E11145" t="s">
        <v>1704</v>
      </c>
      <c r="F11145" t="s">
        <v>8</v>
      </c>
      <c r="G11145" t="s">
        <v>16231</v>
      </c>
      <c r="H11145" t="s">
        <v>47054</v>
      </c>
      <c r="I11145" t="s">
        <v>47111</v>
      </c>
      <c r="J11145" t="s">
        <v>47112</v>
      </c>
      <c r="K11145" t="s">
        <v>47113</v>
      </c>
      <c r="L11145">
        <v>58.45</v>
      </c>
      <c r="M11145">
        <v>146</v>
      </c>
      <c r="N11145">
        <v>0</v>
      </c>
      <c r="O11145">
        <v>146</v>
      </c>
      <c r="P11145">
        <v>0</v>
      </c>
    </row>
    <row r="11146" spans="1:16" x14ac:dyDescent="0.25">
      <c r="A11146" t="s">
        <v>33920</v>
      </c>
      <c r="B11146" t="s">
        <v>8305</v>
      </c>
      <c r="C11146" t="s">
        <v>8306</v>
      </c>
      <c r="D11146" t="s">
        <v>4855</v>
      </c>
      <c r="E11146" t="s">
        <v>4856</v>
      </c>
      <c r="F11146" t="s">
        <v>52</v>
      </c>
      <c r="G11146" t="s">
        <v>16231</v>
      </c>
      <c r="H11146" t="s">
        <v>47054</v>
      </c>
      <c r="I11146" t="s">
        <v>47111</v>
      </c>
      <c r="J11146" t="s">
        <v>47112</v>
      </c>
      <c r="K11146" t="s">
        <v>47113</v>
      </c>
      <c r="L11146">
        <v>62.29</v>
      </c>
      <c r="M11146">
        <v>152</v>
      </c>
      <c r="N11146">
        <v>0</v>
      </c>
      <c r="O11146">
        <v>152</v>
      </c>
      <c r="P11146">
        <v>0</v>
      </c>
    </row>
    <row r="11147" spans="1:16" x14ac:dyDescent="0.25">
      <c r="A11147" t="s">
        <v>33921</v>
      </c>
      <c r="B11147" t="s">
        <v>8305</v>
      </c>
      <c r="C11147" t="s">
        <v>8306</v>
      </c>
      <c r="D11147" t="s">
        <v>4843</v>
      </c>
      <c r="E11147" t="s">
        <v>4844</v>
      </c>
      <c r="F11147" t="s">
        <v>52</v>
      </c>
      <c r="G11147" t="s">
        <v>16231</v>
      </c>
      <c r="H11147" t="s">
        <v>47054</v>
      </c>
      <c r="I11147" t="s">
        <v>47111</v>
      </c>
      <c r="J11147" t="s">
        <v>47112</v>
      </c>
      <c r="K11147" t="s">
        <v>47113</v>
      </c>
      <c r="L11147">
        <v>68.599999999999994</v>
      </c>
      <c r="M11147">
        <v>168</v>
      </c>
      <c r="N11147">
        <v>0</v>
      </c>
      <c r="O11147">
        <v>168</v>
      </c>
      <c r="P11147">
        <v>0</v>
      </c>
    </row>
    <row r="11148" spans="1:16" x14ac:dyDescent="0.25">
      <c r="A11148" t="s">
        <v>33922</v>
      </c>
      <c r="B11148" t="s">
        <v>8305</v>
      </c>
      <c r="C11148" t="s">
        <v>8306</v>
      </c>
      <c r="D11148" t="s">
        <v>1737</v>
      </c>
      <c r="E11148" t="s">
        <v>1738</v>
      </c>
      <c r="F11148" t="s">
        <v>52</v>
      </c>
      <c r="G11148" t="s">
        <v>16231</v>
      </c>
      <c r="H11148" t="s">
        <v>47054</v>
      </c>
      <c r="I11148" t="s">
        <v>47111</v>
      </c>
      <c r="J11148" t="s">
        <v>47112</v>
      </c>
      <c r="K11148" t="s">
        <v>47113</v>
      </c>
      <c r="L11148">
        <v>60.5</v>
      </c>
      <c r="M11148">
        <v>152</v>
      </c>
      <c r="N11148">
        <v>0</v>
      </c>
      <c r="O11148">
        <v>152</v>
      </c>
      <c r="P11148">
        <v>0</v>
      </c>
    </row>
    <row r="11149" spans="1:16" x14ac:dyDescent="0.25">
      <c r="A11149" t="s">
        <v>33923</v>
      </c>
      <c r="B11149" t="s">
        <v>8305</v>
      </c>
      <c r="C11149" t="s">
        <v>8306</v>
      </c>
      <c r="D11149" t="s">
        <v>1734</v>
      </c>
      <c r="E11149" t="s">
        <v>1735</v>
      </c>
      <c r="F11149" t="s">
        <v>52</v>
      </c>
      <c r="G11149" t="s">
        <v>16231</v>
      </c>
      <c r="H11149" t="s">
        <v>47054</v>
      </c>
      <c r="I11149" t="s">
        <v>47111</v>
      </c>
      <c r="J11149" t="s">
        <v>47112</v>
      </c>
      <c r="K11149" t="s">
        <v>47113</v>
      </c>
      <c r="L11149">
        <v>64.08</v>
      </c>
      <c r="M11149">
        <v>157</v>
      </c>
      <c r="N11149">
        <v>0</v>
      </c>
      <c r="O11149">
        <v>157</v>
      </c>
      <c r="P11149">
        <v>0</v>
      </c>
    </row>
    <row r="11150" spans="1:16" x14ac:dyDescent="0.25">
      <c r="A11150" t="s">
        <v>33924</v>
      </c>
      <c r="B11150" t="s">
        <v>8307</v>
      </c>
      <c r="C11150" t="s">
        <v>8306</v>
      </c>
      <c r="D11150" t="s">
        <v>4855</v>
      </c>
      <c r="E11150" t="s">
        <v>4856</v>
      </c>
      <c r="F11150" t="s">
        <v>52</v>
      </c>
      <c r="G11150" t="s">
        <v>16231</v>
      </c>
      <c r="H11150" t="s">
        <v>47054</v>
      </c>
      <c r="I11150" t="s">
        <v>47111</v>
      </c>
      <c r="J11150" t="s">
        <v>47112</v>
      </c>
      <c r="K11150" t="s">
        <v>47113</v>
      </c>
      <c r="L11150">
        <v>62.47</v>
      </c>
      <c r="M11150">
        <v>153</v>
      </c>
      <c r="N11150">
        <v>0</v>
      </c>
      <c r="O11150">
        <v>153</v>
      </c>
      <c r="P11150">
        <v>0</v>
      </c>
    </row>
    <row r="11151" spans="1:16" x14ac:dyDescent="0.25">
      <c r="A11151" t="s">
        <v>33925</v>
      </c>
      <c r="B11151" t="s">
        <v>8307</v>
      </c>
      <c r="C11151" t="s">
        <v>8306</v>
      </c>
      <c r="D11151" t="s">
        <v>4843</v>
      </c>
      <c r="E11151" t="s">
        <v>4844</v>
      </c>
      <c r="F11151" t="s">
        <v>52</v>
      </c>
      <c r="G11151" t="s">
        <v>16231</v>
      </c>
      <c r="H11151" t="s">
        <v>47054</v>
      </c>
      <c r="I11151" t="s">
        <v>47111</v>
      </c>
      <c r="J11151" t="s">
        <v>47112</v>
      </c>
      <c r="K11151" t="s">
        <v>47113</v>
      </c>
      <c r="L11151">
        <v>69.23</v>
      </c>
      <c r="M11151">
        <v>170</v>
      </c>
      <c r="N11151">
        <v>0</v>
      </c>
      <c r="O11151">
        <v>170</v>
      </c>
      <c r="P11151">
        <v>0</v>
      </c>
    </row>
    <row r="11152" spans="1:16" x14ac:dyDescent="0.25">
      <c r="A11152" t="s">
        <v>33926</v>
      </c>
      <c r="B11152" t="s">
        <v>8307</v>
      </c>
      <c r="C11152" t="s">
        <v>8306</v>
      </c>
      <c r="D11152" t="s">
        <v>1737</v>
      </c>
      <c r="E11152" t="s">
        <v>1738</v>
      </c>
      <c r="F11152" t="s">
        <v>52</v>
      </c>
      <c r="G11152" t="s">
        <v>16231</v>
      </c>
      <c r="H11152" t="s">
        <v>47054</v>
      </c>
      <c r="I11152" t="s">
        <v>47111</v>
      </c>
      <c r="J11152" t="s">
        <v>47112</v>
      </c>
      <c r="K11152" t="s">
        <v>47113</v>
      </c>
      <c r="L11152">
        <v>62.63</v>
      </c>
      <c r="M11152">
        <v>153</v>
      </c>
      <c r="N11152">
        <v>0</v>
      </c>
      <c r="O11152">
        <v>153</v>
      </c>
      <c r="P11152">
        <v>0</v>
      </c>
    </row>
    <row r="11153" spans="1:16" x14ac:dyDescent="0.25">
      <c r="A11153" t="s">
        <v>33927</v>
      </c>
      <c r="B11153" t="s">
        <v>8307</v>
      </c>
      <c r="C11153" t="s">
        <v>8306</v>
      </c>
      <c r="D11153" t="s">
        <v>1734</v>
      </c>
      <c r="E11153" t="s">
        <v>1735</v>
      </c>
      <c r="F11153" t="s">
        <v>52</v>
      </c>
      <c r="G11153" t="s">
        <v>16231</v>
      </c>
      <c r="H11153" t="s">
        <v>47054</v>
      </c>
      <c r="I11153" t="s">
        <v>47111</v>
      </c>
      <c r="J11153" t="s">
        <v>47112</v>
      </c>
      <c r="K11153" t="s">
        <v>47113</v>
      </c>
      <c r="L11153">
        <v>63.19</v>
      </c>
      <c r="M11153">
        <v>159</v>
      </c>
      <c r="N11153">
        <v>0</v>
      </c>
      <c r="O11153">
        <v>159</v>
      </c>
      <c r="P11153">
        <v>0</v>
      </c>
    </row>
    <row r="11154" spans="1:16" x14ac:dyDescent="0.25">
      <c r="A11154" t="s">
        <v>33928</v>
      </c>
      <c r="B11154" t="s">
        <v>8308</v>
      </c>
      <c r="C11154" t="s">
        <v>3425</v>
      </c>
      <c r="D11154" t="s">
        <v>1743</v>
      </c>
      <c r="E11154" t="s">
        <v>1744</v>
      </c>
      <c r="F11154" t="s">
        <v>52</v>
      </c>
      <c r="G11154" t="s">
        <v>16231</v>
      </c>
      <c r="H11154" t="s">
        <v>47054</v>
      </c>
      <c r="I11154" t="s">
        <v>47111</v>
      </c>
      <c r="J11154" t="s">
        <v>47112</v>
      </c>
      <c r="K11154" t="s">
        <v>47113</v>
      </c>
      <c r="L11154">
        <v>44.45</v>
      </c>
      <c r="M11154">
        <v>100</v>
      </c>
      <c r="N11154">
        <v>0</v>
      </c>
      <c r="O11154">
        <v>100</v>
      </c>
      <c r="P11154">
        <v>0</v>
      </c>
    </row>
    <row r="11155" spans="1:16" x14ac:dyDescent="0.25">
      <c r="A11155" t="s">
        <v>33929</v>
      </c>
      <c r="B11155" t="s">
        <v>8308</v>
      </c>
      <c r="C11155" t="s">
        <v>3425</v>
      </c>
      <c r="D11155" t="s">
        <v>4860</v>
      </c>
      <c r="E11155" t="s">
        <v>4861</v>
      </c>
      <c r="F11155" t="s">
        <v>52</v>
      </c>
      <c r="G11155" t="s">
        <v>16231</v>
      </c>
      <c r="H11155" t="s">
        <v>47054</v>
      </c>
      <c r="I11155" t="s">
        <v>47111</v>
      </c>
      <c r="J11155" t="s">
        <v>47112</v>
      </c>
      <c r="K11155" t="s">
        <v>47113</v>
      </c>
      <c r="L11155">
        <v>48.5</v>
      </c>
      <c r="M11155">
        <v>111</v>
      </c>
      <c r="N11155">
        <v>0</v>
      </c>
      <c r="O11155">
        <v>111</v>
      </c>
      <c r="P11155">
        <v>0</v>
      </c>
    </row>
    <row r="11156" spans="1:16" x14ac:dyDescent="0.25">
      <c r="A11156" t="s">
        <v>33930</v>
      </c>
      <c r="B11156" t="s">
        <v>8309</v>
      </c>
      <c r="C11156" t="s">
        <v>5732</v>
      </c>
      <c r="D11156" t="s">
        <v>1743</v>
      </c>
      <c r="E11156" t="s">
        <v>1744</v>
      </c>
      <c r="F11156" t="s">
        <v>52</v>
      </c>
      <c r="G11156" t="s">
        <v>16231</v>
      </c>
      <c r="H11156" t="s">
        <v>47054</v>
      </c>
      <c r="I11156" t="s">
        <v>47111</v>
      </c>
      <c r="J11156" t="s">
        <v>47112</v>
      </c>
      <c r="K11156" t="s">
        <v>47113</v>
      </c>
      <c r="L11156">
        <v>43.53</v>
      </c>
      <c r="M11156">
        <v>100</v>
      </c>
      <c r="N11156">
        <v>0</v>
      </c>
      <c r="O11156">
        <v>100</v>
      </c>
      <c r="P11156">
        <v>0</v>
      </c>
    </row>
    <row r="11157" spans="1:16" x14ac:dyDescent="0.25">
      <c r="A11157" t="s">
        <v>33931</v>
      </c>
      <c r="B11157" t="s">
        <v>8309</v>
      </c>
      <c r="C11157" t="s">
        <v>5732</v>
      </c>
      <c r="D11157" t="s">
        <v>4860</v>
      </c>
      <c r="E11157" t="s">
        <v>4861</v>
      </c>
      <c r="F11157" t="s">
        <v>52</v>
      </c>
      <c r="G11157" t="s">
        <v>16231</v>
      </c>
      <c r="H11157" t="s">
        <v>47054</v>
      </c>
      <c r="I11157" t="s">
        <v>47111</v>
      </c>
      <c r="J11157" t="s">
        <v>47112</v>
      </c>
      <c r="K11157" t="s">
        <v>47113</v>
      </c>
      <c r="L11157">
        <v>47.67</v>
      </c>
      <c r="M11157">
        <v>111</v>
      </c>
      <c r="N11157">
        <v>0</v>
      </c>
      <c r="O11157">
        <v>111</v>
      </c>
      <c r="P11157">
        <v>0</v>
      </c>
    </row>
    <row r="11158" spans="1:16" x14ac:dyDescent="0.25">
      <c r="A11158" t="s">
        <v>33932</v>
      </c>
      <c r="B11158" t="s">
        <v>8310</v>
      </c>
      <c r="C11158" t="s">
        <v>8311</v>
      </c>
      <c r="D11158" t="s">
        <v>8312</v>
      </c>
      <c r="E11158" t="s">
        <v>8313</v>
      </c>
      <c r="F11158" t="s">
        <v>3546</v>
      </c>
      <c r="G11158" t="s">
        <v>16231</v>
      </c>
      <c r="H11158" t="s">
        <v>47054</v>
      </c>
      <c r="I11158" t="s">
        <v>47111</v>
      </c>
      <c r="J11158" t="s">
        <v>47112</v>
      </c>
      <c r="K11158" t="s">
        <v>47113</v>
      </c>
      <c r="L11158">
        <v>56.61</v>
      </c>
      <c r="M11158">
        <v>121</v>
      </c>
      <c r="N11158">
        <v>0</v>
      </c>
      <c r="O11158">
        <v>121</v>
      </c>
      <c r="P11158">
        <v>0</v>
      </c>
    </row>
    <row r="11159" spans="1:16" x14ac:dyDescent="0.25">
      <c r="A11159" t="s">
        <v>33933</v>
      </c>
      <c r="B11159" t="s">
        <v>8310</v>
      </c>
      <c r="C11159" t="s">
        <v>8311</v>
      </c>
      <c r="D11159" t="s">
        <v>8314</v>
      </c>
      <c r="E11159" t="s">
        <v>8315</v>
      </c>
      <c r="F11159" t="s">
        <v>3546</v>
      </c>
      <c r="G11159" t="s">
        <v>16231</v>
      </c>
      <c r="H11159" t="s">
        <v>47054</v>
      </c>
      <c r="I11159" t="s">
        <v>47111</v>
      </c>
      <c r="J11159" t="s">
        <v>47112</v>
      </c>
      <c r="K11159" t="s">
        <v>47113</v>
      </c>
      <c r="L11159">
        <v>58.21</v>
      </c>
      <c r="M11159">
        <v>121</v>
      </c>
      <c r="N11159">
        <v>0</v>
      </c>
      <c r="O11159">
        <v>121</v>
      </c>
      <c r="P11159">
        <v>0</v>
      </c>
    </row>
    <row r="11160" spans="1:16" x14ac:dyDescent="0.25">
      <c r="A11160" t="s">
        <v>33934</v>
      </c>
      <c r="B11160" t="s">
        <v>8316</v>
      </c>
      <c r="C11160" t="s">
        <v>16722</v>
      </c>
      <c r="D11160" t="s">
        <v>8317</v>
      </c>
      <c r="E11160" t="s">
        <v>8318</v>
      </c>
      <c r="F11160" t="s">
        <v>3558</v>
      </c>
      <c r="G11160" t="s">
        <v>16231</v>
      </c>
      <c r="H11160" t="s">
        <v>47054</v>
      </c>
      <c r="I11160" t="s">
        <v>47111</v>
      </c>
      <c r="J11160" t="s">
        <v>47112</v>
      </c>
      <c r="K11160" t="s">
        <v>47113</v>
      </c>
      <c r="L11160">
        <v>45.82</v>
      </c>
      <c r="M11160">
        <v>103</v>
      </c>
      <c r="N11160">
        <v>0</v>
      </c>
      <c r="O11160">
        <v>103</v>
      </c>
      <c r="P11160">
        <v>0</v>
      </c>
    </row>
    <row r="11161" spans="1:16" x14ac:dyDescent="0.25">
      <c r="A11161" t="s">
        <v>33935</v>
      </c>
      <c r="B11161" t="s">
        <v>8319</v>
      </c>
      <c r="C11161" t="s">
        <v>8320</v>
      </c>
      <c r="D11161" t="s">
        <v>8321</v>
      </c>
      <c r="E11161" t="s">
        <v>8322</v>
      </c>
      <c r="F11161" t="s">
        <v>0</v>
      </c>
      <c r="G11161" t="s">
        <v>16231</v>
      </c>
      <c r="H11161" t="s">
        <v>47054</v>
      </c>
      <c r="I11161" t="s">
        <v>47111</v>
      </c>
      <c r="J11161" t="s">
        <v>47112</v>
      </c>
      <c r="K11161" t="s">
        <v>47113</v>
      </c>
      <c r="L11161">
        <v>72.099999999999994</v>
      </c>
      <c r="M11161">
        <v>174</v>
      </c>
      <c r="N11161">
        <v>0</v>
      </c>
      <c r="O11161">
        <v>174</v>
      </c>
      <c r="P11161">
        <v>0</v>
      </c>
    </row>
    <row r="11162" spans="1:16" x14ac:dyDescent="0.25">
      <c r="A11162" t="s">
        <v>33936</v>
      </c>
      <c r="B11162" t="s">
        <v>8323</v>
      </c>
      <c r="C11162" t="s">
        <v>8324</v>
      </c>
      <c r="D11162" t="s">
        <v>8325</v>
      </c>
      <c r="E11162" t="s">
        <v>8326</v>
      </c>
      <c r="F11162" t="s">
        <v>1</v>
      </c>
      <c r="G11162" t="s">
        <v>16231</v>
      </c>
      <c r="H11162" t="s">
        <v>47054</v>
      </c>
      <c r="I11162" t="s">
        <v>47111</v>
      </c>
      <c r="J11162" t="s">
        <v>47112</v>
      </c>
      <c r="K11162" t="s">
        <v>47113</v>
      </c>
      <c r="L11162">
        <v>45.06</v>
      </c>
      <c r="M11162">
        <v>110</v>
      </c>
      <c r="N11162">
        <v>0</v>
      </c>
      <c r="O11162">
        <v>110</v>
      </c>
      <c r="P11162">
        <v>0</v>
      </c>
    </row>
    <row r="11163" spans="1:16" x14ac:dyDescent="0.25">
      <c r="A11163" t="s">
        <v>33937</v>
      </c>
      <c r="B11163" t="s">
        <v>8327</v>
      </c>
      <c r="C11163" t="s">
        <v>6777</v>
      </c>
      <c r="D11163" t="s">
        <v>8328</v>
      </c>
      <c r="E11163" t="s">
        <v>8329</v>
      </c>
      <c r="F11163" t="s">
        <v>1</v>
      </c>
      <c r="G11163" t="s">
        <v>16231</v>
      </c>
      <c r="H11163" t="s">
        <v>47054</v>
      </c>
      <c r="I11163" t="s">
        <v>47111</v>
      </c>
      <c r="J11163" t="s">
        <v>47112</v>
      </c>
      <c r="K11163" t="s">
        <v>47113</v>
      </c>
      <c r="L11163">
        <v>64.23</v>
      </c>
      <c r="M11163">
        <v>157</v>
      </c>
      <c r="N11163">
        <v>0</v>
      </c>
      <c r="O11163">
        <v>157</v>
      </c>
      <c r="P11163">
        <v>0</v>
      </c>
    </row>
    <row r="11164" spans="1:16" x14ac:dyDescent="0.25">
      <c r="A11164" t="s">
        <v>33938</v>
      </c>
      <c r="B11164" t="s">
        <v>8330</v>
      </c>
      <c r="C11164" t="s">
        <v>8331</v>
      </c>
      <c r="D11164" t="s">
        <v>2827</v>
      </c>
      <c r="E11164" t="s">
        <v>2828</v>
      </c>
      <c r="F11164" t="s">
        <v>2</v>
      </c>
      <c r="G11164" t="s">
        <v>16231</v>
      </c>
      <c r="H11164" t="s">
        <v>47054</v>
      </c>
      <c r="I11164" t="s">
        <v>47111</v>
      </c>
      <c r="J11164" t="s">
        <v>47112</v>
      </c>
      <c r="K11164" t="s">
        <v>47113</v>
      </c>
      <c r="L11164">
        <v>78.88</v>
      </c>
      <c r="M11164">
        <v>120</v>
      </c>
      <c r="N11164">
        <v>0</v>
      </c>
      <c r="O11164">
        <v>120</v>
      </c>
      <c r="P11164">
        <v>0</v>
      </c>
    </row>
    <row r="11165" spans="1:16" x14ac:dyDescent="0.25">
      <c r="A11165" t="s">
        <v>33939</v>
      </c>
      <c r="B11165" t="s">
        <v>8332</v>
      </c>
      <c r="C11165" t="s">
        <v>8333</v>
      </c>
      <c r="D11165" t="s">
        <v>1734</v>
      </c>
      <c r="E11165" t="s">
        <v>1735</v>
      </c>
      <c r="F11165" t="s">
        <v>52</v>
      </c>
      <c r="G11165" t="s">
        <v>16231</v>
      </c>
      <c r="H11165" t="s">
        <v>47054</v>
      </c>
      <c r="I11165" t="s">
        <v>47111</v>
      </c>
      <c r="J11165" t="s">
        <v>47112</v>
      </c>
      <c r="K11165" t="s">
        <v>47113</v>
      </c>
      <c r="L11165">
        <v>45.72</v>
      </c>
      <c r="M11165">
        <v>112</v>
      </c>
      <c r="N11165">
        <v>0</v>
      </c>
      <c r="O11165">
        <v>112</v>
      </c>
      <c r="P11165">
        <v>0</v>
      </c>
    </row>
    <row r="11166" spans="1:16" x14ac:dyDescent="0.25">
      <c r="A11166" t="s">
        <v>33940</v>
      </c>
      <c r="B11166" t="s">
        <v>8334</v>
      </c>
      <c r="C11166" t="s">
        <v>8335</v>
      </c>
      <c r="D11166" t="s">
        <v>8260</v>
      </c>
      <c r="E11166" t="s">
        <v>8261</v>
      </c>
      <c r="F11166" t="s">
        <v>4</v>
      </c>
      <c r="G11166" t="s">
        <v>16231</v>
      </c>
      <c r="H11166" t="s">
        <v>47054</v>
      </c>
      <c r="I11166" t="s">
        <v>47111</v>
      </c>
      <c r="J11166" t="s">
        <v>47112</v>
      </c>
      <c r="K11166" t="s">
        <v>47113</v>
      </c>
      <c r="L11166">
        <v>48.34</v>
      </c>
      <c r="M11166">
        <v>126</v>
      </c>
      <c r="N11166">
        <v>0</v>
      </c>
      <c r="O11166">
        <v>126</v>
      </c>
      <c r="P11166">
        <v>0</v>
      </c>
    </row>
    <row r="11167" spans="1:16" x14ac:dyDescent="0.25">
      <c r="A11167" t="s">
        <v>33941</v>
      </c>
      <c r="B11167" t="s">
        <v>8336</v>
      </c>
      <c r="C11167" t="s">
        <v>8337</v>
      </c>
      <c r="D11167" t="s">
        <v>4855</v>
      </c>
      <c r="E11167" t="s">
        <v>4856</v>
      </c>
      <c r="F11167" t="s">
        <v>52</v>
      </c>
      <c r="G11167" t="s">
        <v>16231</v>
      </c>
      <c r="H11167" t="s">
        <v>47054</v>
      </c>
      <c r="I11167" t="s">
        <v>47111</v>
      </c>
      <c r="J11167" t="s">
        <v>47112</v>
      </c>
      <c r="K11167" t="s">
        <v>47113</v>
      </c>
      <c r="L11167">
        <v>58.16</v>
      </c>
      <c r="M11167">
        <v>146</v>
      </c>
      <c r="N11167">
        <v>0</v>
      </c>
      <c r="O11167">
        <v>146</v>
      </c>
      <c r="P11167">
        <v>0</v>
      </c>
    </row>
    <row r="11168" spans="1:16" x14ac:dyDescent="0.25">
      <c r="A11168" t="s">
        <v>33942</v>
      </c>
      <c r="B11168" t="s">
        <v>8336</v>
      </c>
      <c r="C11168" t="s">
        <v>8337</v>
      </c>
      <c r="D11168" t="s">
        <v>4843</v>
      </c>
      <c r="E11168" t="s">
        <v>4844</v>
      </c>
      <c r="F11168" t="s">
        <v>52</v>
      </c>
      <c r="G11168" t="s">
        <v>16231</v>
      </c>
      <c r="H11168" t="s">
        <v>47054</v>
      </c>
      <c r="I11168" t="s">
        <v>47111</v>
      </c>
      <c r="J11168" t="s">
        <v>47112</v>
      </c>
      <c r="K11168" t="s">
        <v>47113</v>
      </c>
      <c r="L11168">
        <v>66.34</v>
      </c>
      <c r="M11168">
        <v>163</v>
      </c>
      <c r="N11168">
        <v>0</v>
      </c>
      <c r="O11168">
        <v>163</v>
      </c>
      <c r="P11168">
        <v>0</v>
      </c>
    </row>
    <row r="11169" spans="1:16" x14ac:dyDescent="0.25">
      <c r="A11169" t="s">
        <v>33943</v>
      </c>
      <c r="B11169" t="s">
        <v>8336</v>
      </c>
      <c r="C11169" t="s">
        <v>8337</v>
      </c>
      <c r="D11169" t="s">
        <v>1737</v>
      </c>
      <c r="E11169" t="s">
        <v>1738</v>
      </c>
      <c r="F11169" t="s">
        <v>52</v>
      </c>
      <c r="G11169" t="s">
        <v>16231</v>
      </c>
      <c r="H11169" t="s">
        <v>47054</v>
      </c>
      <c r="I11169" t="s">
        <v>47111</v>
      </c>
      <c r="J11169" t="s">
        <v>47112</v>
      </c>
      <c r="K11169" t="s">
        <v>47113</v>
      </c>
      <c r="L11169">
        <v>59.02</v>
      </c>
      <c r="M11169">
        <v>146</v>
      </c>
      <c r="N11169">
        <v>0</v>
      </c>
      <c r="O11169">
        <v>146</v>
      </c>
      <c r="P11169">
        <v>0</v>
      </c>
    </row>
    <row r="11170" spans="1:16" x14ac:dyDescent="0.25">
      <c r="A11170" t="s">
        <v>33944</v>
      </c>
      <c r="B11170" t="s">
        <v>8336</v>
      </c>
      <c r="C11170" t="s">
        <v>8337</v>
      </c>
      <c r="D11170" t="s">
        <v>1734</v>
      </c>
      <c r="E11170" t="s">
        <v>1735</v>
      </c>
      <c r="F11170" t="s">
        <v>52</v>
      </c>
      <c r="G11170" t="s">
        <v>16231</v>
      </c>
      <c r="H11170" t="s">
        <v>47054</v>
      </c>
      <c r="I11170" t="s">
        <v>47111</v>
      </c>
      <c r="J11170" t="s">
        <v>47112</v>
      </c>
      <c r="K11170" t="s">
        <v>47113</v>
      </c>
      <c r="L11170">
        <v>61.84</v>
      </c>
      <c r="M11170">
        <v>152</v>
      </c>
      <c r="N11170">
        <v>0</v>
      </c>
      <c r="O11170">
        <v>152</v>
      </c>
      <c r="P11170">
        <v>0</v>
      </c>
    </row>
    <row r="11171" spans="1:16" x14ac:dyDescent="0.25">
      <c r="A11171" t="s">
        <v>33945</v>
      </c>
      <c r="B11171" t="s">
        <v>8338</v>
      </c>
      <c r="C11171" t="s">
        <v>8337</v>
      </c>
      <c r="D11171" t="s">
        <v>4855</v>
      </c>
      <c r="E11171" t="s">
        <v>4856</v>
      </c>
      <c r="F11171" t="s">
        <v>52</v>
      </c>
      <c r="G11171" t="s">
        <v>16231</v>
      </c>
      <c r="H11171" t="s">
        <v>47054</v>
      </c>
      <c r="I11171" t="s">
        <v>47114</v>
      </c>
      <c r="J11171" t="s">
        <v>47115</v>
      </c>
      <c r="K11171" t="s">
        <v>47113</v>
      </c>
      <c r="L11171">
        <v>59.79</v>
      </c>
      <c r="M11171">
        <v>147</v>
      </c>
      <c r="N11171">
        <v>0</v>
      </c>
      <c r="O11171">
        <v>147</v>
      </c>
      <c r="P11171">
        <v>0</v>
      </c>
    </row>
    <row r="11172" spans="1:16" x14ac:dyDescent="0.25">
      <c r="A11172" t="s">
        <v>33946</v>
      </c>
      <c r="B11172" t="s">
        <v>8338</v>
      </c>
      <c r="C11172" t="s">
        <v>8337</v>
      </c>
      <c r="D11172" t="s">
        <v>4843</v>
      </c>
      <c r="E11172" t="s">
        <v>4844</v>
      </c>
      <c r="F11172" t="s">
        <v>52</v>
      </c>
      <c r="G11172" t="s">
        <v>16231</v>
      </c>
      <c r="H11172" t="s">
        <v>47054</v>
      </c>
      <c r="I11172" t="s">
        <v>47114</v>
      </c>
      <c r="J11172" t="s">
        <v>47115</v>
      </c>
      <c r="K11172" t="s">
        <v>47113</v>
      </c>
      <c r="L11172">
        <v>66.55</v>
      </c>
      <c r="M11172">
        <v>163</v>
      </c>
      <c r="N11172">
        <v>0</v>
      </c>
      <c r="O11172">
        <v>163</v>
      </c>
      <c r="P11172">
        <v>0</v>
      </c>
    </row>
    <row r="11173" spans="1:16" x14ac:dyDescent="0.25">
      <c r="A11173" t="s">
        <v>33947</v>
      </c>
      <c r="B11173" t="s">
        <v>8338</v>
      </c>
      <c r="C11173" t="s">
        <v>8337</v>
      </c>
      <c r="D11173" t="s">
        <v>1737</v>
      </c>
      <c r="E11173" t="s">
        <v>1738</v>
      </c>
      <c r="F11173" t="s">
        <v>52</v>
      </c>
      <c r="G11173" t="s">
        <v>16231</v>
      </c>
      <c r="H11173" t="s">
        <v>47054</v>
      </c>
      <c r="I11173" t="s">
        <v>47114</v>
      </c>
      <c r="J11173" t="s">
        <v>47115</v>
      </c>
      <c r="K11173" t="s">
        <v>47113</v>
      </c>
      <c r="L11173">
        <v>59.22</v>
      </c>
      <c r="M11173">
        <v>147</v>
      </c>
      <c r="N11173">
        <v>0</v>
      </c>
      <c r="O11173">
        <v>147</v>
      </c>
      <c r="P11173">
        <v>0</v>
      </c>
    </row>
    <row r="11174" spans="1:16" x14ac:dyDescent="0.25">
      <c r="A11174" t="s">
        <v>33948</v>
      </c>
      <c r="B11174" t="s">
        <v>8338</v>
      </c>
      <c r="C11174" t="s">
        <v>8337</v>
      </c>
      <c r="D11174" t="s">
        <v>1734</v>
      </c>
      <c r="E11174" t="s">
        <v>1735</v>
      </c>
      <c r="F11174" t="s">
        <v>52</v>
      </c>
      <c r="G11174" t="s">
        <v>16231</v>
      </c>
      <c r="H11174" t="s">
        <v>47054</v>
      </c>
      <c r="I11174" t="s">
        <v>47114</v>
      </c>
      <c r="J11174" t="s">
        <v>47115</v>
      </c>
      <c r="K11174" t="s">
        <v>47113</v>
      </c>
      <c r="L11174">
        <v>62.04</v>
      </c>
      <c r="M11174">
        <v>152</v>
      </c>
      <c r="N11174">
        <v>0</v>
      </c>
      <c r="O11174">
        <v>152</v>
      </c>
      <c r="P11174">
        <v>0</v>
      </c>
    </row>
    <row r="11175" spans="1:16" x14ac:dyDescent="0.25">
      <c r="A11175" t="s">
        <v>33949</v>
      </c>
      <c r="B11175" t="s">
        <v>8339</v>
      </c>
      <c r="C11175" t="s">
        <v>8340</v>
      </c>
      <c r="D11175" t="s">
        <v>4860</v>
      </c>
      <c r="E11175" t="s">
        <v>4861</v>
      </c>
      <c r="F11175" t="s">
        <v>52</v>
      </c>
      <c r="G11175" t="s">
        <v>16231</v>
      </c>
      <c r="H11175" t="s">
        <v>47054</v>
      </c>
      <c r="I11175" t="s">
        <v>47111</v>
      </c>
      <c r="J11175" t="s">
        <v>47112</v>
      </c>
      <c r="K11175" t="s">
        <v>47113</v>
      </c>
      <c r="L11175">
        <v>44.45</v>
      </c>
      <c r="M11175">
        <v>111</v>
      </c>
      <c r="N11175">
        <v>0</v>
      </c>
      <c r="O11175">
        <v>111</v>
      </c>
      <c r="P11175">
        <v>0</v>
      </c>
    </row>
    <row r="11176" spans="1:16" x14ac:dyDescent="0.25">
      <c r="A11176" t="s">
        <v>33950</v>
      </c>
      <c r="B11176" t="s">
        <v>8341</v>
      </c>
      <c r="C11176" t="s">
        <v>8340</v>
      </c>
      <c r="D11176" t="s">
        <v>1743</v>
      </c>
      <c r="E11176" t="s">
        <v>1744</v>
      </c>
      <c r="F11176" t="s">
        <v>52</v>
      </c>
      <c r="G11176" t="s">
        <v>16231</v>
      </c>
      <c r="H11176" t="s">
        <v>47054</v>
      </c>
      <c r="I11176" t="s">
        <v>47111</v>
      </c>
      <c r="J11176" t="s">
        <v>47112</v>
      </c>
      <c r="K11176" t="s">
        <v>47113</v>
      </c>
      <c r="L11176">
        <v>40.33</v>
      </c>
      <c r="M11176">
        <v>100</v>
      </c>
      <c r="N11176">
        <v>0</v>
      </c>
      <c r="O11176">
        <v>100</v>
      </c>
      <c r="P11176">
        <v>0</v>
      </c>
    </row>
    <row r="11177" spans="1:16" x14ac:dyDescent="0.25">
      <c r="A11177" t="s">
        <v>33951</v>
      </c>
      <c r="B11177" t="s">
        <v>8341</v>
      </c>
      <c r="C11177" t="s">
        <v>8340</v>
      </c>
      <c r="D11177" t="s">
        <v>4860</v>
      </c>
      <c r="E11177" t="s">
        <v>4861</v>
      </c>
      <c r="F11177" t="s">
        <v>52</v>
      </c>
      <c r="G11177" t="s">
        <v>16231</v>
      </c>
      <c r="H11177" t="s">
        <v>47054</v>
      </c>
      <c r="I11177" t="s">
        <v>47111</v>
      </c>
      <c r="J11177" t="s">
        <v>47112</v>
      </c>
      <c r="K11177" t="s">
        <v>47113</v>
      </c>
      <c r="L11177">
        <v>44.37</v>
      </c>
      <c r="M11177">
        <v>111</v>
      </c>
      <c r="N11177">
        <v>0</v>
      </c>
      <c r="O11177">
        <v>111</v>
      </c>
      <c r="P11177">
        <v>0</v>
      </c>
    </row>
    <row r="11178" spans="1:16" x14ac:dyDescent="0.25">
      <c r="A11178" t="s">
        <v>33952</v>
      </c>
      <c r="B11178" t="s">
        <v>8342</v>
      </c>
      <c r="C11178" t="s">
        <v>8343</v>
      </c>
      <c r="D11178" t="s">
        <v>8344</v>
      </c>
      <c r="E11178" t="s">
        <v>8345</v>
      </c>
      <c r="F11178" t="s">
        <v>4</v>
      </c>
      <c r="G11178" t="s">
        <v>16224</v>
      </c>
      <c r="H11178" t="s">
        <v>47054</v>
      </c>
      <c r="I11178" t="s">
        <v>47116</v>
      </c>
      <c r="J11178" t="s">
        <v>47117</v>
      </c>
      <c r="K11178" t="s">
        <v>47113</v>
      </c>
      <c r="L11178">
        <v>59.84</v>
      </c>
      <c r="M11178">
        <v>134</v>
      </c>
      <c r="N11178">
        <v>0</v>
      </c>
      <c r="O11178">
        <v>134</v>
      </c>
      <c r="P11178">
        <v>0</v>
      </c>
    </row>
    <row r="11179" spans="1:16" x14ac:dyDescent="0.25">
      <c r="A11179" t="s">
        <v>33953</v>
      </c>
      <c r="B11179" t="s">
        <v>8346</v>
      </c>
      <c r="C11179" t="s">
        <v>8347</v>
      </c>
      <c r="D11179" t="s">
        <v>8348</v>
      </c>
      <c r="E11179" t="s">
        <v>8349</v>
      </c>
      <c r="F11179" t="s">
        <v>1</v>
      </c>
      <c r="G11179" t="s">
        <v>16233</v>
      </c>
      <c r="H11179" t="s">
        <v>47054</v>
      </c>
      <c r="I11179" t="s">
        <v>47111</v>
      </c>
      <c r="J11179" t="s">
        <v>47112</v>
      </c>
      <c r="K11179" t="s">
        <v>47113</v>
      </c>
      <c r="L11179">
        <v>44.33</v>
      </c>
      <c r="M11179">
        <v>109</v>
      </c>
      <c r="N11179">
        <v>0</v>
      </c>
      <c r="O11179">
        <v>109</v>
      </c>
      <c r="P11179">
        <v>0</v>
      </c>
    </row>
    <row r="11180" spans="1:16" x14ac:dyDescent="0.25">
      <c r="A11180" t="s">
        <v>33954</v>
      </c>
      <c r="B11180" t="s">
        <v>8350</v>
      </c>
      <c r="C11180" t="s">
        <v>8351</v>
      </c>
      <c r="D11180" t="s">
        <v>2517</v>
      </c>
      <c r="E11180" t="s">
        <v>2518</v>
      </c>
      <c r="F11180" t="s">
        <v>1</v>
      </c>
      <c r="G11180" t="s">
        <v>16233</v>
      </c>
      <c r="H11180" t="s">
        <v>47054</v>
      </c>
      <c r="I11180" t="s">
        <v>47111</v>
      </c>
      <c r="J11180" t="s">
        <v>47112</v>
      </c>
      <c r="K11180" t="s">
        <v>47113</v>
      </c>
      <c r="L11180">
        <v>41.63</v>
      </c>
      <c r="M11180">
        <v>102</v>
      </c>
      <c r="N11180">
        <v>0</v>
      </c>
      <c r="O11180">
        <v>102</v>
      </c>
      <c r="P11180">
        <v>0</v>
      </c>
    </row>
    <row r="11181" spans="1:16" x14ac:dyDescent="0.25">
      <c r="A11181" t="s">
        <v>33955</v>
      </c>
      <c r="B11181" t="s">
        <v>8352</v>
      </c>
      <c r="C11181" t="s">
        <v>16894</v>
      </c>
      <c r="D11181" t="s">
        <v>8317</v>
      </c>
      <c r="E11181" t="s">
        <v>8318</v>
      </c>
      <c r="F11181" t="s">
        <v>3558</v>
      </c>
      <c r="G11181" t="s">
        <v>16231</v>
      </c>
      <c r="H11181" t="s">
        <v>47054</v>
      </c>
      <c r="I11181" t="s">
        <v>47111</v>
      </c>
      <c r="J11181" t="s">
        <v>47112</v>
      </c>
      <c r="K11181" t="s">
        <v>47113</v>
      </c>
      <c r="L11181">
        <v>45.08</v>
      </c>
      <c r="M11181">
        <v>103</v>
      </c>
      <c r="N11181">
        <v>0</v>
      </c>
      <c r="O11181">
        <v>103</v>
      </c>
      <c r="P11181">
        <v>0</v>
      </c>
    </row>
    <row r="11182" spans="1:16" x14ac:dyDescent="0.25">
      <c r="A11182" t="s">
        <v>33956</v>
      </c>
      <c r="B11182" t="s">
        <v>8353</v>
      </c>
      <c r="C11182" t="str">
        <f>"PAINTED RENEGADE DEAN N/F 32"""</f>
        <v>PAINTED RENEGADE DEAN N/F 32"</v>
      </c>
      <c r="D11182" t="s">
        <v>8354</v>
      </c>
      <c r="E11182" t="s">
        <v>8355</v>
      </c>
      <c r="F11182" t="s">
        <v>3670</v>
      </c>
      <c r="G11182" t="s">
        <v>16231</v>
      </c>
      <c r="I11182" t="s">
        <v>47111</v>
      </c>
      <c r="J11182" t="s">
        <v>47112</v>
      </c>
      <c r="K11182" t="s">
        <v>47113</v>
      </c>
      <c r="L11182">
        <v>61.83</v>
      </c>
      <c r="M11182">
        <v>111</v>
      </c>
      <c r="N11182">
        <v>0</v>
      </c>
      <c r="O11182">
        <v>111</v>
      </c>
      <c r="P11182">
        <v>0</v>
      </c>
    </row>
    <row r="11183" spans="1:16" x14ac:dyDescent="0.25">
      <c r="A11183" t="s">
        <v>33957</v>
      </c>
      <c r="B11183" t="s">
        <v>8356</v>
      </c>
      <c r="C11183" t="s">
        <v>8357</v>
      </c>
      <c r="D11183" t="s">
        <v>8358</v>
      </c>
      <c r="E11183" t="s">
        <v>8359</v>
      </c>
      <c r="F11183" t="s">
        <v>3546</v>
      </c>
      <c r="G11183" t="s">
        <v>16224</v>
      </c>
      <c r="H11183" t="s">
        <v>47054</v>
      </c>
      <c r="I11183" t="s">
        <v>47116</v>
      </c>
      <c r="J11183" t="s">
        <v>47117</v>
      </c>
      <c r="K11183" t="s">
        <v>47113</v>
      </c>
      <c r="L11183">
        <v>39.1</v>
      </c>
      <c r="M11183">
        <v>90</v>
      </c>
      <c r="N11183">
        <v>0</v>
      </c>
      <c r="O11183">
        <v>90</v>
      </c>
      <c r="P11183">
        <v>0</v>
      </c>
    </row>
    <row r="11184" spans="1:16" x14ac:dyDescent="0.25">
      <c r="A11184" t="s">
        <v>33958</v>
      </c>
      <c r="B11184" t="s">
        <v>8360</v>
      </c>
      <c r="C11184" t="s">
        <v>8361</v>
      </c>
      <c r="D11184" t="s">
        <v>8317</v>
      </c>
      <c r="E11184" t="s">
        <v>8318</v>
      </c>
      <c r="F11184" t="s">
        <v>3558</v>
      </c>
      <c r="G11184" t="s">
        <v>16233</v>
      </c>
      <c r="H11184" t="s">
        <v>47054</v>
      </c>
      <c r="I11184" t="s">
        <v>47111</v>
      </c>
      <c r="J11184" t="s">
        <v>47112</v>
      </c>
      <c r="K11184" t="s">
        <v>47113</v>
      </c>
      <c r="L11184">
        <v>43.44</v>
      </c>
      <c r="M11184">
        <v>100</v>
      </c>
      <c r="N11184">
        <v>0</v>
      </c>
      <c r="O11184">
        <v>100</v>
      </c>
      <c r="P11184">
        <v>0</v>
      </c>
    </row>
    <row r="11185" spans="1:16" x14ac:dyDescent="0.25">
      <c r="A11185" t="s">
        <v>33959</v>
      </c>
      <c r="B11185" t="s">
        <v>8362</v>
      </c>
      <c r="C11185" t="s">
        <v>8363</v>
      </c>
      <c r="D11185" t="s">
        <v>8364</v>
      </c>
      <c r="E11185" t="s">
        <v>8365</v>
      </c>
      <c r="F11185" t="s">
        <v>3670</v>
      </c>
      <c r="G11185" t="s">
        <v>16231</v>
      </c>
      <c r="H11185" t="s">
        <v>47054</v>
      </c>
      <c r="I11185" t="s">
        <v>47111</v>
      </c>
      <c r="J11185" t="s">
        <v>47112</v>
      </c>
      <c r="K11185" t="s">
        <v>47113</v>
      </c>
      <c r="L11185">
        <v>99.37</v>
      </c>
      <c r="M11185">
        <v>140</v>
      </c>
      <c r="N11185">
        <v>0</v>
      </c>
      <c r="O11185">
        <v>140</v>
      </c>
      <c r="P11185">
        <v>0</v>
      </c>
    </row>
    <row r="11186" spans="1:16" x14ac:dyDescent="0.25">
      <c r="A11186" t="s">
        <v>33960</v>
      </c>
      <c r="B11186" t="s">
        <v>8366</v>
      </c>
      <c r="C11186" t="s">
        <v>8367</v>
      </c>
      <c r="D11186" t="s">
        <v>8364</v>
      </c>
      <c r="E11186" t="s">
        <v>8365</v>
      </c>
      <c r="F11186" t="s">
        <v>3670</v>
      </c>
      <c r="G11186" t="s">
        <v>16224</v>
      </c>
      <c r="I11186" t="s">
        <v>47111</v>
      </c>
      <c r="J11186" t="s">
        <v>47112</v>
      </c>
      <c r="K11186" t="s">
        <v>47113</v>
      </c>
      <c r="L11186">
        <v>80.83</v>
      </c>
      <c r="M11186">
        <v>140</v>
      </c>
      <c r="N11186">
        <v>0</v>
      </c>
      <c r="O11186">
        <v>140</v>
      </c>
      <c r="P11186">
        <v>0</v>
      </c>
    </row>
    <row r="11187" spans="1:16" x14ac:dyDescent="0.25">
      <c r="A11187" t="s">
        <v>33961</v>
      </c>
      <c r="B11187" t="s">
        <v>8368</v>
      </c>
      <c r="C11187" t="s">
        <v>8369</v>
      </c>
      <c r="D11187" t="s">
        <v>8321</v>
      </c>
      <c r="E11187" t="s">
        <v>8322</v>
      </c>
      <c r="F11187" t="s">
        <v>3670</v>
      </c>
      <c r="G11187" t="s">
        <v>47122</v>
      </c>
      <c r="H11187" t="s">
        <v>47054</v>
      </c>
      <c r="I11187" t="s">
        <v>47111</v>
      </c>
      <c r="J11187" t="s">
        <v>47112</v>
      </c>
      <c r="K11187" t="s">
        <v>47113</v>
      </c>
      <c r="L11187">
        <v>42</v>
      </c>
      <c r="M11187">
        <v>66</v>
      </c>
      <c r="N11187">
        <v>0</v>
      </c>
      <c r="O11187">
        <v>66</v>
      </c>
      <c r="P11187">
        <v>0</v>
      </c>
    </row>
    <row r="11188" spans="1:16" x14ac:dyDescent="0.25">
      <c r="A11188" t="s">
        <v>33962</v>
      </c>
      <c r="B11188" t="s">
        <v>8370</v>
      </c>
      <c r="C11188" t="s">
        <v>16722</v>
      </c>
      <c r="D11188" t="s">
        <v>8371</v>
      </c>
      <c r="E11188" t="s">
        <v>8372</v>
      </c>
      <c r="F11188" t="s">
        <v>3558</v>
      </c>
      <c r="G11188" t="s">
        <v>16231</v>
      </c>
      <c r="H11188" t="s">
        <v>47054</v>
      </c>
      <c r="I11188" t="s">
        <v>47111</v>
      </c>
      <c r="J11188" t="s">
        <v>47112</v>
      </c>
      <c r="K11188" t="s">
        <v>47113</v>
      </c>
      <c r="L11188">
        <v>100.72</v>
      </c>
      <c r="M11188">
        <v>140</v>
      </c>
      <c r="N11188">
        <v>0</v>
      </c>
      <c r="O11188">
        <v>140</v>
      </c>
      <c r="P11188">
        <v>0</v>
      </c>
    </row>
    <row r="11189" spans="1:16" x14ac:dyDescent="0.25">
      <c r="A11189" t="s">
        <v>33963</v>
      </c>
      <c r="B11189" t="s">
        <v>8373</v>
      </c>
      <c r="C11189" t="s">
        <v>16894</v>
      </c>
      <c r="D11189" t="s">
        <v>8371</v>
      </c>
      <c r="E11189" t="s">
        <v>8372</v>
      </c>
      <c r="F11189" t="s">
        <v>3558</v>
      </c>
      <c r="G11189" t="s">
        <v>16231</v>
      </c>
      <c r="H11189" t="s">
        <v>47054</v>
      </c>
      <c r="I11189" t="s">
        <v>47111</v>
      </c>
      <c r="J11189" t="s">
        <v>47112</v>
      </c>
      <c r="K11189" t="s">
        <v>47113</v>
      </c>
      <c r="L11189">
        <v>99.64</v>
      </c>
      <c r="M11189">
        <v>140</v>
      </c>
      <c r="N11189">
        <v>0</v>
      </c>
      <c r="O11189">
        <v>140</v>
      </c>
      <c r="P11189">
        <v>0</v>
      </c>
    </row>
    <row r="11190" spans="1:16" x14ac:dyDescent="0.25">
      <c r="A11190" t="s">
        <v>33964</v>
      </c>
      <c r="B11190" t="s">
        <v>8374</v>
      </c>
      <c r="C11190" t="s">
        <v>17869</v>
      </c>
      <c r="D11190" t="s">
        <v>8375</v>
      </c>
      <c r="E11190" t="s">
        <v>8376</v>
      </c>
      <c r="F11190" t="s">
        <v>3558</v>
      </c>
      <c r="G11190" t="s">
        <v>16231</v>
      </c>
      <c r="H11190" t="s">
        <v>47054</v>
      </c>
      <c r="I11190" t="s">
        <v>47111</v>
      </c>
      <c r="J11190" t="s">
        <v>47112</v>
      </c>
      <c r="K11190" t="s">
        <v>47113</v>
      </c>
      <c r="L11190">
        <v>58.66</v>
      </c>
      <c r="M11190">
        <v>138</v>
      </c>
      <c r="N11190">
        <v>0</v>
      </c>
      <c r="O11190">
        <v>138</v>
      </c>
      <c r="P11190">
        <v>0</v>
      </c>
    </row>
    <row r="11191" spans="1:16" x14ac:dyDescent="0.25">
      <c r="A11191" t="s">
        <v>33965</v>
      </c>
      <c r="B11191" t="s">
        <v>14479</v>
      </c>
      <c r="C11191" t="s">
        <v>16924</v>
      </c>
      <c r="D11191" t="s">
        <v>8375</v>
      </c>
      <c r="E11191" t="s">
        <v>8376</v>
      </c>
      <c r="F11191" t="s">
        <v>3558</v>
      </c>
      <c r="G11191" t="s">
        <v>16231</v>
      </c>
      <c r="H11191" t="s">
        <v>47054</v>
      </c>
      <c r="I11191" t="s">
        <v>47111</v>
      </c>
      <c r="J11191" t="s">
        <v>47112</v>
      </c>
      <c r="K11191" t="s">
        <v>47113</v>
      </c>
      <c r="L11191">
        <v>58.66</v>
      </c>
      <c r="M11191">
        <v>138</v>
      </c>
      <c r="N11191">
        <v>0</v>
      </c>
      <c r="O11191">
        <v>138</v>
      </c>
      <c r="P11191">
        <v>0</v>
      </c>
    </row>
    <row r="11192" spans="1:16" x14ac:dyDescent="0.25">
      <c r="A11192" t="s">
        <v>33966</v>
      </c>
      <c r="B11192" t="s">
        <v>8377</v>
      </c>
      <c r="C11192" t="s">
        <v>8378</v>
      </c>
      <c r="D11192" t="s">
        <v>1386</v>
      </c>
      <c r="E11192" t="s">
        <v>1387</v>
      </c>
      <c r="F11192" t="s">
        <v>2</v>
      </c>
      <c r="G11192" t="s">
        <v>16233</v>
      </c>
      <c r="H11192" t="s">
        <v>47054</v>
      </c>
      <c r="I11192" t="s">
        <v>47111</v>
      </c>
      <c r="J11192" t="s">
        <v>47112</v>
      </c>
      <c r="K11192" t="s">
        <v>47113</v>
      </c>
      <c r="L11192">
        <v>49.93</v>
      </c>
      <c r="M11192">
        <v>100</v>
      </c>
      <c r="N11192">
        <v>0</v>
      </c>
      <c r="O11192">
        <v>100</v>
      </c>
      <c r="P11192">
        <v>0</v>
      </c>
    </row>
    <row r="11193" spans="1:16" x14ac:dyDescent="0.25">
      <c r="A11193" t="s">
        <v>33967</v>
      </c>
      <c r="B11193" t="s">
        <v>8379</v>
      </c>
      <c r="C11193" t="s">
        <v>8380</v>
      </c>
      <c r="D11193" t="s">
        <v>8273</v>
      </c>
      <c r="E11193" t="s">
        <v>8274</v>
      </c>
      <c r="F11193" t="s">
        <v>52</v>
      </c>
      <c r="G11193" t="s">
        <v>16231</v>
      </c>
      <c r="H11193" t="s">
        <v>47054</v>
      </c>
      <c r="I11193" t="s">
        <v>47114</v>
      </c>
      <c r="J11193" t="s">
        <v>47115</v>
      </c>
      <c r="K11193" t="s">
        <v>47113</v>
      </c>
      <c r="L11193">
        <v>51.65</v>
      </c>
      <c r="M11193">
        <v>133</v>
      </c>
      <c r="N11193">
        <v>0</v>
      </c>
      <c r="O11193">
        <v>133</v>
      </c>
      <c r="P11193">
        <v>0</v>
      </c>
    </row>
    <row r="11194" spans="1:16" x14ac:dyDescent="0.25">
      <c r="A11194" t="s">
        <v>33968</v>
      </c>
      <c r="B11194" t="s">
        <v>8379</v>
      </c>
      <c r="C11194" t="s">
        <v>8380</v>
      </c>
      <c r="D11194" t="s">
        <v>7272</v>
      </c>
      <c r="E11194" t="s">
        <v>7273</v>
      </c>
      <c r="F11194" t="s">
        <v>52</v>
      </c>
      <c r="G11194" t="s">
        <v>16231</v>
      </c>
      <c r="H11194" t="s">
        <v>47054</v>
      </c>
      <c r="I11194" t="s">
        <v>47114</v>
      </c>
      <c r="J11194" t="s">
        <v>47115</v>
      </c>
      <c r="K11194" t="s">
        <v>47113</v>
      </c>
      <c r="L11194">
        <v>49.92</v>
      </c>
      <c r="M11194">
        <v>129</v>
      </c>
      <c r="N11194">
        <v>0</v>
      </c>
      <c r="O11194">
        <v>129</v>
      </c>
      <c r="P11194">
        <v>0</v>
      </c>
    </row>
    <row r="11195" spans="1:16" x14ac:dyDescent="0.25">
      <c r="A11195" t="s">
        <v>33969</v>
      </c>
      <c r="B11195" t="s">
        <v>8381</v>
      </c>
      <c r="C11195" t="s">
        <v>8382</v>
      </c>
      <c r="D11195" t="s">
        <v>8292</v>
      </c>
      <c r="E11195" t="s">
        <v>8293</v>
      </c>
      <c r="F11195" t="s">
        <v>4</v>
      </c>
      <c r="G11195" t="s">
        <v>16231</v>
      </c>
      <c r="H11195" t="s">
        <v>47054</v>
      </c>
      <c r="I11195" t="s">
        <v>47111</v>
      </c>
      <c r="J11195" t="s">
        <v>47112</v>
      </c>
      <c r="K11195" t="s">
        <v>47113</v>
      </c>
      <c r="L11195">
        <v>48.43</v>
      </c>
      <c r="M11195">
        <v>126</v>
      </c>
      <c r="N11195">
        <v>0</v>
      </c>
      <c r="O11195">
        <v>126</v>
      </c>
      <c r="P11195">
        <v>0</v>
      </c>
    </row>
    <row r="11196" spans="1:16" x14ac:dyDescent="0.25">
      <c r="A11196" t="s">
        <v>33970</v>
      </c>
      <c r="B11196" t="s">
        <v>8383</v>
      </c>
      <c r="C11196" t="s">
        <v>8384</v>
      </c>
      <c r="D11196" t="s">
        <v>8312</v>
      </c>
      <c r="E11196" t="s">
        <v>8313</v>
      </c>
      <c r="F11196" t="s">
        <v>3546</v>
      </c>
      <c r="G11196" t="s">
        <v>16231</v>
      </c>
      <c r="H11196" t="s">
        <v>47054</v>
      </c>
      <c r="I11196" t="s">
        <v>47111</v>
      </c>
      <c r="J11196" t="s">
        <v>47112</v>
      </c>
      <c r="K11196" t="s">
        <v>47113</v>
      </c>
      <c r="L11196">
        <v>54.14</v>
      </c>
      <c r="M11196">
        <v>121</v>
      </c>
      <c r="N11196">
        <v>0</v>
      </c>
      <c r="O11196">
        <v>121</v>
      </c>
      <c r="P11196">
        <v>0</v>
      </c>
    </row>
    <row r="11197" spans="1:16" x14ac:dyDescent="0.25">
      <c r="A11197" t="s">
        <v>33971</v>
      </c>
      <c r="B11197" t="s">
        <v>8383</v>
      </c>
      <c r="C11197" t="s">
        <v>8384</v>
      </c>
      <c r="D11197" t="s">
        <v>8314</v>
      </c>
      <c r="E11197" t="s">
        <v>8315</v>
      </c>
      <c r="F11197" t="s">
        <v>3546</v>
      </c>
      <c r="G11197" t="s">
        <v>16231</v>
      </c>
      <c r="H11197" t="s">
        <v>47054</v>
      </c>
      <c r="I11197" t="s">
        <v>47111</v>
      </c>
      <c r="J11197" t="s">
        <v>47112</v>
      </c>
      <c r="K11197" t="s">
        <v>47113</v>
      </c>
      <c r="L11197">
        <v>55.69</v>
      </c>
      <c r="M11197">
        <v>121</v>
      </c>
      <c r="N11197">
        <v>0</v>
      </c>
      <c r="O11197">
        <v>121</v>
      </c>
      <c r="P11197">
        <v>0</v>
      </c>
    </row>
    <row r="11198" spans="1:16" x14ac:dyDescent="0.25">
      <c r="A11198" t="s">
        <v>33972</v>
      </c>
      <c r="B11198" t="s">
        <v>8385</v>
      </c>
      <c r="C11198" t="s">
        <v>8386</v>
      </c>
      <c r="D11198" t="s">
        <v>8321</v>
      </c>
      <c r="E11198" t="s">
        <v>8322</v>
      </c>
      <c r="F11198" t="s">
        <v>0</v>
      </c>
      <c r="G11198" t="s">
        <v>16231</v>
      </c>
      <c r="H11198" t="s">
        <v>47054</v>
      </c>
      <c r="I11198" t="s">
        <v>47111</v>
      </c>
      <c r="J11198" t="s">
        <v>47112</v>
      </c>
      <c r="K11198" t="s">
        <v>47113</v>
      </c>
      <c r="L11198">
        <v>66.92</v>
      </c>
      <c r="M11198">
        <v>154</v>
      </c>
      <c r="N11198">
        <v>0</v>
      </c>
      <c r="O11198">
        <v>154</v>
      </c>
      <c r="P11198">
        <v>0</v>
      </c>
    </row>
    <row r="11199" spans="1:16" x14ac:dyDescent="0.25">
      <c r="A11199" t="s">
        <v>33973</v>
      </c>
      <c r="B11199" t="s">
        <v>8387</v>
      </c>
      <c r="C11199" t="s">
        <v>8388</v>
      </c>
      <c r="D11199" t="s">
        <v>8389</v>
      </c>
      <c r="E11199" t="s">
        <v>8390</v>
      </c>
      <c r="F11199" t="s">
        <v>1</v>
      </c>
      <c r="G11199" t="s">
        <v>16231</v>
      </c>
      <c r="H11199" t="s">
        <v>47054</v>
      </c>
      <c r="I11199" t="s">
        <v>47111</v>
      </c>
      <c r="J11199" t="s">
        <v>47112</v>
      </c>
      <c r="K11199" t="s">
        <v>47113</v>
      </c>
      <c r="L11199">
        <v>52.06</v>
      </c>
      <c r="M11199">
        <v>127</v>
      </c>
      <c r="N11199">
        <v>0</v>
      </c>
      <c r="O11199">
        <v>127</v>
      </c>
      <c r="P11199">
        <v>0</v>
      </c>
    </row>
    <row r="11200" spans="1:16" x14ac:dyDescent="0.25">
      <c r="A11200" t="s">
        <v>33974</v>
      </c>
      <c r="B11200" t="s">
        <v>8391</v>
      </c>
      <c r="C11200" t="s">
        <v>8392</v>
      </c>
      <c r="D11200" t="s">
        <v>2827</v>
      </c>
      <c r="E11200" t="s">
        <v>8393</v>
      </c>
      <c r="F11200" t="s">
        <v>2</v>
      </c>
      <c r="G11200" t="s">
        <v>16231</v>
      </c>
      <c r="H11200" t="s">
        <v>47054</v>
      </c>
      <c r="I11200" t="s">
        <v>47111</v>
      </c>
      <c r="J11200" t="s">
        <v>47112</v>
      </c>
      <c r="K11200" t="s">
        <v>47113</v>
      </c>
      <c r="L11200">
        <v>76.17</v>
      </c>
      <c r="M11200">
        <v>120</v>
      </c>
      <c r="N11200">
        <v>0</v>
      </c>
      <c r="O11200">
        <v>120</v>
      </c>
      <c r="P11200">
        <v>0</v>
      </c>
    </row>
    <row r="11201" spans="1:16" x14ac:dyDescent="0.25">
      <c r="A11201" t="s">
        <v>33975</v>
      </c>
      <c r="B11201" t="s">
        <v>8391</v>
      </c>
      <c r="C11201" t="s">
        <v>8392</v>
      </c>
      <c r="D11201" t="s">
        <v>8394</v>
      </c>
      <c r="E11201" t="s">
        <v>8395</v>
      </c>
      <c r="F11201" t="s">
        <v>2</v>
      </c>
      <c r="G11201" t="s">
        <v>16231</v>
      </c>
      <c r="H11201" t="s">
        <v>47054</v>
      </c>
      <c r="I11201" t="s">
        <v>47111</v>
      </c>
      <c r="J11201" t="s">
        <v>47112</v>
      </c>
      <c r="K11201" t="s">
        <v>47113</v>
      </c>
      <c r="L11201">
        <v>32.909999999999997</v>
      </c>
      <c r="M11201">
        <v>120</v>
      </c>
      <c r="N11201">
        <v>0</v>
      </c>
      <c r="O11201">
        <v>120</v>
      </c>
      <c r="P11201">
        <v>0</v>
      </c>
    </row>
    <row r="11202" spans="1:16" x14ac:dyDescent="0.25">
      <c r="A11202" t="s">
        <v>33976</v>
      </c>
      <c r="B11202" t="s">
        <v>8396</v>
      </c>
      <c r="C11202" t="s">
        <v>8397</v>
      </c>
      <c r="D11202" t="s">
        <v>8260</v>
      </c>
      <c r="E11202" t="s">
        <v>8261</v>
      </c>
      <c r="F11202" t="s">
        <v>4</v>
      </c>
      <c r="G11202" t="s">
        <v>16231</v>
      </c>
      <c r="H11202" t="s">
        <v>47054</v>
      </c>
      <c r="I11202" t="s">
        <v>47111</v>
      </c>
      <c r="J11202" t="s">
        <v>47112</v>
      </c>
      <c r="K11202" t="s">
        <v>47113</v>
      </c>
      <c r="L11202">
        <v>48.02</v>
      </c>
      <c r="M11202">
        <v>126</v>
      </c>
      <c r="N11202">
        <v>0</v>
      </c>
      <c r="O11202">
        <v>126</v>
      </c>
      <c r="P11202">
        <v>0</v>
      </c>
    </row>
    <row r="11203" spans="1:16" x14ac:dyDescent="0.25">
      <c r="A11203" t="s">
        <v>33977</v>
      </c>
      <c r="B11203" t="s">
        <v>8398</v>
      </c>
      <c r="C11203" t="s">
        <v>5795</v>
      </c>
      <c r="D11203" t="s">
        <v>1718</v>
      </c>
      <c r="E11203" t="s">
        <v>1719</v>
      </c>
      <c r="F11203" t="s">
        <v>56</v>
      </c>
      <c r="G11203" t="s">
        <v>16231</v>
      </c>
      <c r="H11203" t="s">
        <v>47054</v>
      </c>
      <c r="I11203" t="s">
        <v>47111</v>
      </c>
      <c r="J11203" t="s">
        <v>47112</v>
      </c>
      <c r="K11203" t="s">
        <v>47113</v>
      </c>
      <c r="L11203">
        <v>39.44</v>
      </c>
      <c r="M11203">
        <v>88</v>
      </c>
      <c r="N11203">
        <v>0</v>
      </c>
      <c r="O11203">
        <v>88</v>
      </c>
      <c r="P11203">
        <v>0</v>
      </c>
    </row>
    <row r="11204" spans="1:16" x14ac:dyDescent="0.25">
      <c r="A11204" t="s">
        <v>33978</v>
      </c>
      <c r="B11204" t="s">
        <v>8398</v>
      </c>
      <c r="C11204" t="s">
        <v>5795</v>
      </c>
      <c r="D11204" t="s">
        <v>1743</v>
      </c>
      <c r="E11204" t="s">
        <v>1744</v>
      </c>
      <c r="F11204" t="s">
        <v>52</v>
      </c>
      <c r="G11204" t="s">
        <v>16231</v>
      </c>
      <c r="H11204" t="s">
        <v>47054</v>
      </c>
      <c r="I11204" t="s">
        <v>47111</v>
      </c>
      <c r="J11204" t="s">
        <v>47112</v>
      </c>
      <c r="K11204" t="s">
        <v>47113</v>
      </c>
      <c r="L11204">
        <v>40.11</v>
      </c>
      <c r="M11204">
        <v>100</v>
      </c>
      <c r="N11204">
        <v>0</v>
      </c>
      <c r="O11204">
        <v>100</v>
      </c>
      <c r="P11204">
        <v>0</v>
      </c>
    </row>
    <row r="11205" spans="1:16" x14ac:dyDescent="0.25">
      <c r="A11205" t="s">
        <v>33979</v>
      </c>
      <c r="B11205" t="s">
        <v>8398</v>
      </c>
      <c r="C11205" t="s">
        <v>5795</v>
      </c>
      <c r="D11205" t="s">
        <v>4860</v>
      </c>
      <c r="E11205" t="s">
        <v>4861</v>
      </c>
      <c r="F11205" t="s">
        <v>52</v>
      </c>
      <c r="G11205" t="s">
        <v>16231</v>
      </c>
      <c r="H11205" t="s">
        <v>47054</v>
      </c>
      <c r="I11205" t="s">
        <v>47111</v>
      </c>
      <c r="J11205" t="s">
        <v>47112</v>
      </c>
      <c r="K11205" t="s">
        <v>47113</v>
      </c>
      <c r="L11205">
        <v>44.45</v>
      </c>
      <c r="M11205">
        <v>111</v>
      </c>
      <c r="N11205">
        <v>0</v>
      </c>
      <c r="O11205">
        <v>111</v>
      </c>
      <c r="P11205">
        <v>0</v>
      </c>
    </row>
    <row r="11206" spans="1:16" x14ac:dyDescent="0.25">
      <c r="A11206" t="s">
        <v>33980</v>
      </c>
      <c r="B11206" t="s">
        <v>8399</v>
      </c>
      <c r="C11206" t="s">
        <v>5795</v>
      </c>
      <c r="D11206" t="s">
        <v>1743</v>
      </c>
      <c r="E11206" t="s">
        <v>1744</v>
      </c>
      <c r="F11206" t="s">
        <v>52</v>
      </c>
      <c r="G11206" t="s">
        <v>16231</v>
      </c>
      <c r="H11206" t="s">
        <v>47054</v>
      </c>
      <c r="I11206" t="s">
        <v>47111</v>
      </c>
      <c r="J11206" t="s">
        <v>47112</v>
      </c>
      <c r="K11206" t="s">
        <v>47113</v>
      </c>
      <c r="L11206">
        <v>40.020000000000003</v>
      </c>
      <c r="M11206">
        <v>100</v>
      </c>
      <c r="N11206">
        <v>0</v>
      </c>
      <c r="O11206">
        <v>100</v>
      </c>
      <c r="P11206">
        <v>0</v>
      </c>
    </row>
    <row r="11207" spans="1:16" x14ac:dyDescent="0.25">
      <c r="A11207" t="s">
        <v>33981</v>
      </c>
      <c r="B11207" t="s">
        <v>8399</v>
      </c>
      <c r="C11207" t="s">
        <v>5795</v>
      </c>
      <c r="D11207" t="s">
        <v>4860</v>
      </c>
      <c r="E11207" t="s">
        <v>4861</v>
      </c>
      <c r="F11207" t="s">
        <v>52</v>
      </c>
      <c r="G11207" t="s">
        <v>16231</v>
      </c>
      <c r="H11207" t="s">
        <v>47054</v>
      </c>
      <c r="I11207" t="s">
        <v>47111</v>
      </c>
      <c r="J11207" t="s">
        <v>47112</v>
      </c>
      <c r="K11207" t="s">
        <v>47113</v>
      </c>
      <c r="L11207">
        <v>45.09</v>
      </c>
      <c r="M11207">
        <v>111</v>
      </c>
      <c r="N11207">
        <v>0</v>
      </c>
      <c r="O11207">
        <v>111</v>
      </c>
      <c r="P11207">
        <v>0</v>
      </c>
    </row>
    <row r="11208" spans="1:16" x14ac:dyDescent="0.25">
      <c r="A11208" t="s">
        <v>33982</v>
      </c>
      <c r="B11208" t="s">
        <v>8400</v>
      </c>
      <c r="C11208" t="s">
        <v>8401</v>
      </c>
      <c r="D11208" t="s">
        <v>2020</v>
      </c>
      <c r="E11208" t="s">
        <v>2021</v>
      </c>
      <c r="F11208" t="s">
        <v>631</v>
      </c>
      <c r="G11208" t="s">
        <v>16231</v>
      </c>
      <c r="H11208" t="s">
        <v>47054</v>
      </c>
      <c r="I11208" t="s">
        <v>47111</v>
      </c>
      <c r="J11208" t="s">
        <v>47112</v>
      </c>
      <c r="K11208" t="s">
        <v>47113</v>
      </c>
      <c r="L11208">
        <v>36.5</v>
      </c>
      <c r="M11208">
        <v>82</v>
      </c>
      <c r="N11208">
        <v>0</v>
      </c>
      <c r="O11208">
        <v>82</v>
      </c>
      <c r="P11208">
        <v>0</v>
      </c>
    </row>
    <row r="11209" spans="1:16" x14ac:dyDescent="0.25">
      <c r="A11209" t="s">
        <v>33983</v>
      </c>
      <c r="B11209" t="s">
        <v>8402</v>
      </c>
      <c r="C11209" t="s">
        <v>8403</v>
      </c>
      <c r="D11209" t="s">
        <v>1703</v>
      </c>
      <c r="E11209" t="s">
        <v>1704</v>
      </c>
      <c r="F11209" t="s">
        <v>8</v>
      </c>
      <c r="G11209" t="s">
        <v>16231</v>
      </c>
      <c r="H11209" t="s">
        <v>47054</v>
      </c>
      <c r="I11209" t="s">
        <v>47111</v>
      </c>
      <c r="J11209" t="s">
        <v>47112</v>
      </c>
      <c r="K11209" t="s">
        <v>47113</v>
      </c>
      <c r="L11209">
        <v>58.45</v>
      </c>
      <c r="M11209">
        <v>146</v>
      </c>
      <c r="N11209">
        <v>0</v>
      </c>
      <c r="O11209">
        <v>146</v>
      </c>
      <c r="P11209">
        <v>0</v>
      </c>
    </row>
    <row r="11210" spans="1:16" x14ac:dyDescent="0.25">
      <c r="A11210" t="s">
        <v>33984</v>
      </c>
      <c r="B11210" t="s">
        <v>17883</v>
      </c>
      <c r="C11210" t="s">
        <v>17884</v>
      </c>
      <c r="D11210" t="s">
        <v>8317</v>
      </c>
      <c r="E11210" t="s">
        <v>8318</v>
      </c>
      <c r="F11210" t="s">
        <v>3558</v>
      </c>
      <c r="G11210" t="s">
        <v>16224</v>
      </c>
      <c r="H11210" t="s">
        <v>47054</v>
      </c>
      <c r="I11210" t="s">
        <v>47116</v>
      </c>
      <c r="J11210" t="s">
        <v>47117</v>
      </c>
      <c r="K11210" t="s">
        <v>47113</v>
      </c>
      <c r="L11210">
        <v>55.11</v>
      </c>
      <c r="M11210">
        <v>103</v>
      </c>
      <c r="N11210">
        <v>0</v>
      </c>
      <c r="O11210">
        <v>103</v>
      </c>
      <c r="P11210">
        <v>0</v>
      </c>
    </row>
    <row r="11211" spans="1:16" x14ac:dyDescent="0.25">
      <c r="A11211" t="s">
        <v>33985</v>
      </c>
      <c r="B11211" t="s">
        <v>33986</v>
      </c>
      <c r="C11211" t="s">
        <v>33987</v>
      </c>
      <c r="D11211" t="s">
        <v>1386</v>
      </c>
      <c r="E11211" t="s">
        <v>1387</v>
      </c>
      <c r="F11211" t="s">
        <v>2</v>
      </c>
      <c r="G11211" t="s">
        <v>16224</v>
      </c>
      <c r="H11211" t="s">
        <v>47054</v>
      </c>
      <c r="I11211" t="s">
        <v>47116</v>
      </c>
      <c r="J11211" t="s">
        <v>47117</v>
      </c>
      <c r="K11211" t="s">
        <v>47113</v>
      </c>
      <c r="L11211">
        <v>54.32</v>
      </c>
      <c r="M11211">
        <v>137</v>
      </c>
      <c r="N11211">
        <v>0</v>
      </c>
      <c r="O11211">
        <v>137</v>
      </c>
      <c r="P11211">
        <v>0</v>
      </c>
    </row>
    <row r="11212" spans="1:16" x14ac:dyDescent="0.25">
      <c r="A11212" t="s">
        <v>33988</v>
      </c>
      <c r="B11212" t="s">
        <v>8404</v>
      </c>
      <c r="C11212" t="s">
        <v>8405</v>
      </c>
      <c r="D11212" t="s">
        <v>8406</v>
      </c>
      <c r="E11212" t="s">
        <v>8407</v>
      </c>
      <c r="F11212" t="s">
        <v>2</v>
      </c>
      <c r="G11212" t="s">
        <v>16231</v>
      </c>
      <c r="I11212" t="s">
        <v>47111</v>
      </c>
      <c r="J11212" t="s">
        <v>47112</v>
      </c>
      <c r="K11212" t="s">
        <v>47113</v>
      </c>
      <c r="L11212">
        <v>47.01</v>
      </c>
      <c r="M11212">
        <v>90</v>
      </c>
      <c r="N11212">
        <v>0</v>
      </c>
      <c r="O11212">
        <v>90</v>
      </c>
      <c r="P11212">
        <v>0</v>
      </c>
    </row>
    <row r="11213" spans="1:16" x14ac:dyDescent="0.25">
      <c r="A11213" t="s">
        <v>33989</v>
      </c>
      <c r="B11213" t="s">
        <v>8408</v>
      </c>
      <c r="C11213" t="s">
        <v>8405</v>
      </c>
      <c r="D11213" t="s">
        <v>8409</v>
      </c>
      <c r="E11213" t="s">
        <v>8410</v>
      </c>
      <c r="F11213" t="s">
        <v>2</v>
      </c>
      <c r="G11213" t="s">
        <v>16231</v>
      </c>
      <c r="H11213" t="s">
        <v>47054</v>
      </c>
      <c r="I11213" t="s">
        <v>47111</v>
      </c>
      <c r="J11213" t="s">
        <v>47112</v>
      </c>
      <c r="K11213" t="s">
        <v>47113</v>
      </c>
      <c r="L11213">
        <v>72.67</v>
      </c>
      <c r="M11213">
        <v>110</v>
      </c>
      <c r="N11213">
        <v>0</v>
      </c>
      <c r="O11213">
        <v>110</v>
      </c>
      <c r="P11213">
        <v>0</v>
      </c>
    </row>
    <row r="11214" spans="1:16" x14ac:dyDescent="0.25">
      <c r="A11214" t="s">
        <v>33990</v>
      </c>
      <c r="B11214" t="s">
        <v>8411</v>
      </c>
      <c r="C11214" t="s">
        <v>8412</v>
      </c>
      <c r="D11214" t="s">
        <v>8413</v>
      </c>
      <c r="E11214" t="s">
        <v>8414</v>
      </c>
      <c r="F11214" t="s">
        <v>2</v>
      </c>
      <c r="G11214" t="s">
        <v>16231</v>
      </c>
      <c r="H11214" t="s">
        <v>47054</v>
      </c>
      <c r="I11214" t="s">
        <v>47111</v>
      </c>
      <c r="J11214" t="s">
        <v>47112</v>
      </c>
      <c r="K11214" t="s">
        <v>47113</v>
      </c>
      <c r="L11214">
        <v>32.909999999999997</v>
      </c>
      <c r="M11214">
        <v>90</v>
      </c>
      <c r="N11214">
        <v>0</v>
      </c>
      <c r="O11214">
        <v>90</v>
      </c>
      <c r="P11214">
        <v>0</v>
      </c>
    </row>
    <row r="11215" spans="1:16" x14ac:dyDescent="0.25">
      <c r="A11215" t="s">
        <v>33991</v>
      </c>
      <c r="B11215" t="s">
        <v>8411</v>
      </c>
      <c r="C11215" t="s">
        <v>8412</v>
      </c>
      <c r="D11215" t="s">
        <v>311</v>
      </c>
      <c r="E11215" t="s">
        <v>312</v>
      </c>
      <c r="F11215" t="s">
        <v>2</v>
      </c>
      <c r="G11215" t="s">
        <v>16231</v>
      </c>
      <c r="H11215" t="s">
        <v>47054</v>
      </c>
      <c r="I11215" t="s">
        <v>47111</v>
      </c>
      <c r="J11215" t="s">
        <v>47112</v>
      </c>
      <c r="K11215" t="s">
        <v>47113</v>
      </c>
      <c r="L11215">
        <v>31.37</v>
      </c>
      <c r="M11215">
        <v>80</v>
      </c>
      <c r="N11215">
        <v>0</v>
      </c>
      <c r="O11215">
        <v>80</v>
      </c>
      <c r="P11215">
        <v>0</v>
      </c>
    </row>
    <row r="11216" spans="1:16" x14ac:dyDescent="0.25">
      <c r="A11216" t="s">
        <v>33992</v>
      </c>
      <c r="B11216" t="s">
        <v>8411</v>
      </c>
      <c r="C11216" t="s">
        <v>8412</v>
      </c>
      <c r="D11216" t="s">
        <v>1046</v>
      </c>
      <c r="E11216" t="s">
        <v>1047</v>
      </c>
      <c r="F11216" t="s">
        <v>2</v>
      </c>
      <c r="G11216" t="s">
        <v>16231</v>
      </c>
      <c r="H11216" t="s">
        <v>47054</v>
      </c>
      <c r="I11216" t="s">
        <v>47111</v>
      </c>
      <c r="J11216" t="s">
        <v>47112</v>
      </c>
      <c r="K11216" t="s">
        <v>47113</v>
      </c>
      <c r="L11216">
        <v>41.5</v>
      </c>
      <c r="M11216">
        <v>90</v>
      </c>
      <c r="N11216">
        <v>0</v>
      </c>
      <c r="O11216">
        <v>90</v>
      </c>
      <c r="P11216">
        <v>0</v>
      </c>
    </row>
    <row r="11217" spans="1:16" x14ac:dyDescent="0.25">
      <c r="A11217" t="s">
        <v>33993</v>
      </c>
      <c r="B11217" t="s">
        <v>8415</v>
      </c>
      <c r="C11217" t="s">
        <v>8416</v>
      </c>
      <c r="D11217" t="s">
        <v>8417</v>
      </c>
      <c r="E11217" t="s">
        <v>8418</v>
      </c>
      <c r="F11217" t="s">
        <v>3</v>
      </c>
      <c r="G11217" t="s">
        <v>16233</v>
      </c>
      <c r="H11217" t="s">
        <v>47054</v>
      </c>
      <c r="I11217" t="s">
        <v>47111</v>
      </c>
      <c r="J11217" t="s">
        <v>47112</v>
      </c>
      <c r="K11217" t="s">
        <v>47113</v>
      </c>
      <c r="L11217">
        <v>36.880000000000003</v>
      </c>
      <c r="M11217">
        <v>68</v>
      </c>
      <c r="N11217">
        <v>0</v>
      </c>
      <c r="O11217">
        <v>68</v>
      </c>
      <c r="P11217">
        <v>0</v>
      </c>
    </row>
    <row r="11218" spans="1:16" x14ac:dyDescent="0.25">
      <c r="A11218" t="s">
        <v>33994</v>
      </c>
      <c r="B11218" t="s">
        <v>8419</v>
      </c>
      <c r="C11218" t="s">
        <v>8420</v>
      </c>
      <c r="D11218" t="s">
        <v>8413</v>
      </c>
      <c r="E11218" t="s">
        <v>8421</v>
      </c>
      <c r="F11218" t="s">
        <v>2</v>
      </c>
      <c r="G11218" t="s">
        <v>16231</v>
      </c>
      <c r="H11218" t="s">
        <v>47054</v>
      </c>
      <c r="I11218" t="s">
        <v>47111</v>
      </c>
      <c r="J11218" t="s">
        <v>47112</v>
      </c>
      <c r="K11218" t="s">
        <v>47113</v>
      </c>
      <c r="L11218">
        <v>36.020000000000003</v>
      </c>
      <c r="M11218">
        <v>90</v>
      </c>
      <c r="N11218">
        <v>0</v>
      </c>
      <c r="O11218">
        <v>90</v>
      </c>
      <c r="P11218">
        <v>0</v>
      </c>
    </row>
    <row r="11219" spans="1:16" x14ac:dyDescent="0.25">
      <c r="A11219" t="s">
        <v>33995</v>
      </c>
      <c r="B11219" t="s">
        <v>8419</v>
      </c>
      <c r="C11219" t="s">
        <v>8420</v>
      </c>
      <c r="D11219" t="s">
        <v>311</v>
      </c>
      <c r="E11219" t="s">
        <v>312</v>
      </c>
      <c r="F11219" t="s">
        <v>2</v>
      </c>
      <c r="G11219" t="s">
        <v>16231</v>
      </c>
      <c r="H11219" t="s">
        <v>47054</v>
      </c>
      <c r="I11219" t="s">
        <v>47111</v>
      </c>
      <c r="J11219" t="s">
        <v>47112</v>
      </c>
      <c r="K11219" t="s">
        <v>47113</v>
      </c>
      <c r="L11219">
        <v>28.66</v>
      </c>
      <c r="M11219">
        <v>80</v>
      </c>
      <c r="N11219">
        <v>0</v>
      </c>
      <c r="O11219">
        <v>80</v>
      </c>
      <c r="P11219">
        <v>0</v>
      </c>
    </row>
    <row r="11220" spans="1:16" x14ac:dyDescent="0.25">
      <c r="A11220" t="s">
        <v>33996</v>
      </c>
      <c r="B11220" t="s">
        <v>8419</v>
      </c>
      <c r="C11220" t="s">
        <v>8420</v>
      </c>
      <c r="D11220" t="s">
        <v>1046</v>
      </c>
      <c r="E11220" t="s">
        <v>1047</v>
      </c>
      <c r="F11220" t="s">
        <v>2</v>
      </c>
      <c r="G11220" t="s">
        <v>16231</v>
      </c>
      <c r="H11220" t="s">
        <v>47054</v>
      </c>
      <c r="I11220" t="s">
        <v>47111</v>
      </c>
      <c r="J11220" t="s">
        <v>47112</v>
      </c>
      <c r="K11220" t="s">
        <v>47113</v>
      </c>
      <c r="L11220">
        <v>38.700000000000003</v>
      </c>
      <c r="M11220">
        <v>90</v>
      </c>
      <c r="N11220">
        <v>0</v>
      </c>
      <c r="O11220">
        <v>90</v>
      </c>
      <c r="P11220">
        <v>0</v>
      </c>
    </row>
    <row r="11221" spans="1:16" x14ac:dyDescent="0.25">
      <c r="A11221" t="s">
        <v>33997</v>
      </c>
      <c r="B11221" t="s">
        <v>8422</v>
      </c>
      <c r="C11221" t="s">
        <v>8423</v>
      </c>
      <c r="D11221" t="s">
        <v>8413</v>
      </c>
      <c r="E11221" t="s">
        <v>8414</v>
      </c>
      <c r="F11221" t="s">
        <v>2</v>
      </c>
      <c r="G11221" t="s">
        <v>16231</v>
      </c>
      <c r="H11221" t="s">
        <v>47054</v>
      </c>
      <c r="I11221" t="s">
        <v>47111</v>
      </c>
      <c r="J11221" t="s">
        <v>47112</v>
      </c>
      <c r="K11221" t="s">
        <v>47113</v>
      </c>
      <c r="L11221">
        <v>35.35</v>
      </c>
      <c r="M11221">
        <v>90</v>
      </c>
      <c r="N11221">
        <v>0</v>
      </c>
      <c r="O11221">
        <v>90</v>
      </c>
      <c r="P11221">
        <v>0</v>
      </c>
    </row>
    <row r="11222" spans="1:16" x14ac:dyDescent="0.25">
      <c r="A11222" t="s">
        <v>33998</v>
      </c>
      <c r="B11222" t="s">
        <v>8422</v>
      </c>
      <c r="C11222" t="s">
        <v>8423</v>
      </c>
      <c r="D11222" t="s">
        <v>8424</v>
      </c>
      <c r="E11222" t="s">
        <v>8425</v>
      </c>
      <c r="F11222" t="s">
        <v>3</v>
      </c>
      <c r="G11222" t="s">
        <v>16231</v>
      </c>
      <c r="H11222" t="s">
        <v>47054</v>
      </c>
      <c r="I11222" t="s">
        <v>47111</v>
      </c>
      <c r="J11222" t="s">
        <v>47112</v>
      </c>
      <c r="K11222" t="s">
        <v>47113</v>
      </c>
      <c r="L11222">
        <v>39.65</v>
      </c>
      <c r="M11222">
        <v>100</v>
      </c>
      <c r="N11222">
        <v>0</v>
      </c>
      <c r="O11222">
        <v>100</v>
      </c>
      <c r="P11222">
        <v>0</v>
      </c>
    </row>
    <row r="11223" spans="1:16" x14ac:dyDescent="0.25">
      <c r="A11223" t="s">
        <v>33999</v>
      </c>
      <c r="B11223" t="s">
        <v>8422</v>
      </c>
      <c r="C11223" t="s">
        <v>8423</v>
      </c>
      <c r="D11223" t="s">
        <v>311</v>
      </c>
      <c r="E11223" t="s">
        <v>312</v>
      </c>
      <c r="F11223" t="s">
        <v>2</v>
      </c>
      <c r="G11223" t="s">
        <v>16231</v>
      </c>
      <c r="H11223" t="s">
        <v>47054</v>
      </c>
      <c r="I11223" t="s">
        <v>47111</v>
      </c>
      <c r="J11223" t="s">
        <v>47112</v>
      </c>
      <c r="K11223" t="s">
        <v>47113</v>
      </c>
      <c r="L11223">
        <v>28.1</v>
      </c>
      <c r="M11223">
        <v>80</v>
      </c>
      <c r="N11223">
        <v>0</v>
      </c>
      <c r="O11223">
        <v>80</v>
      </c>
      <c r="P11223">
        <v>0</v>
      </c>
    </row>
    <row r="11224" spans="1:16" x14ac:dyDescent="0.25">
      <c r="A11224" t="s">
        <v>34000</v>
      </c>
      <c r="B11224" t="s">
        <v>8422</v>
      </c>
      <c r="C11224" t="s">
        <v>8423</v>
      </c>
      <c r="D11224" t="s">
        <v>1046</v>
      </c>
      <c r="E11224" t="s">
        <v>1047</v>
      </c>
      <c r="F11224" t="s">
        <v>2</v>
      </c>
      <c r="G11224" t="s">
        <v>16231</v>
      </c>
      <c r="H11224" t="s">
        <v>47054</v>
      </c>
      <c r="I11224" t="s">
        <v>47111</v>
      </c>
      <c r="J11224" t="s">
        <v>47112</v>
      </c>
      <c r="K11224" t="s">
        <v>47113</v>
      </c>
      <c r="L11224">
        <v>38.729999999999997</v>
      </c>
      <c r="M11224">
        <v>90</v>
      </c>
      <c r="N11224">
        <v>0</v>
      </c>
      <c r="O11224">
        <v>90</v>
      </c>
      <c r="P11224">
        <v>0</v>
      </c>
    </row>
    <row r="11225" spans="1:16" x14ac:dyDescent="0.25">
      <c r="A11225" t="s">
        <v>34001</v>
      </c>
      <c r="B11225" t="s">
        <v>8426</v>
      </c>
      <c r="C11225" t="s">
        <v>8427</v>
      </c>
      <c r="D11225" t="s">
        <v>1046</v>
      </c>
      <c r="E11225" t="s">
        <v>1047</v>
      </c>
      <c r="F11225" t="s">
        <v>2</v>
      </c>
      <c r="G11225" t="s">
        <v>16224</v>
      </c>
      <c r="H11225" t="s">
        <v>47054</v>
      </c>
      <c r="I11225" t="s">
        <v>47116</v>
      </c>
      <c r="J11225" t="s">
        <v>47117</v>
      </c>
      <c r="K11225" t="s">
        <v>47113</v>
      </c>
      <c r="L11225">
        <v>47.68</v>
      </c>
      <c r="M11225">
        <v>90</v>
      </c>
      <c r="N11225">
        <v>0</v>
      </c>
      <c r="O11225">
        <v>90</v>
      </c>
      <c r="P11225">
        <v>0</v>
      </c>
    </row>
    <row r="11226" spans="1:16" x14ac:dyDescent="0.25">
      <c r="A11226" t="s">
        <v>34002</v>
      </c>
      <c r="B11226" t="s">
        <v>8428</v>
      </c>
      <c r="C11226" t="s">
        <v>8429</v>
      </c>
      <c r="D11226" t="s">
        <v>1381</v>
      </c>
      <c r="E11226" t="s">
        <v>1382</v>
      </c>
      <c r="F11226" t="s">
        <v>2</v>
      </c>
      <c r="G11226" t="s">
        <v>16231</v>
      </c>
      <c r="H11226" t="s">
        <v>47054</v>
      </c>
      <c r="I11226" t="s">
        <v>47111</v>
      </c>
      <c r="J11226" t="s">
        <v>47112</v>
      </c>
      <c r="K11226" t="s">
        <v>47113</v>
      </c>
      <c r="L11226">
        <v>54.56</v>
      </c>
      <c r="M11226">
        <v>116</v>
      </c>
      <c r="N11226">
        <v>0</v>
      </c>
      <c r="O11226">
        <v>116</v>
      </c>
      <c r="P11226">
        <v>0</v>
      </c>
    </row>
    <row r="11227" spans="1:16" x14ac:dyDescent="0.25">
      <c r="A11227" t="s">
        <v>34003</v>
      </c>
      <c r="B11227" t="s">
        <v>8430</v>
      </c>
      <c r="C11227" t="s">
        <v>17885</v>
      </c>
      <c r="D11227" t="s">
        <v>8317</v>
      </c>
      <c r="E11227" t="s">
        <v>8318</v>
      </c>
      <c r="F11227" t="s">
        <v>3558</v>
      </c>
      <c r="G11227" t="s">
        <v>16224</v>
      </c>
      <c r="H11227" t="s">
        <v>47054</v>
      </c>
      <c r="I11227" t="s">
        <v>47116</v>
      </c>
      <c r="J11227" t="s">
        <v>47117</v>
      </c>
      <c r="K11227" t="s">
        <v>47113</v>
      </c>
      <c r="L11227">
        <v>56.84</v>
      </c>
      <c r="M11227">
        <v>103</v>
      </c>
      <c r="N11227">
        <v>0</v>
      </c>
      <c r="O11227">
        <v>103</v>
      </c>
      <c r="P11227">
        <v>0</v>
      </c>
    </row>
    <row r="11228" spans="1:16" x14ac:dyDescent="0.25">
      <c r="A11228" t="s">
        <v>34004</v>
      </c>
      <c r="B11228" t="s">
        <v>8431</v>
      </c>
      <c r="C11228" t="s">
        <v>8432</v>
      </c>
      <c r="D11228" t="s">
        <v>8433</v>
      </c>
      <c r="E11228" t="s">
        <v>8434</v>
      </c>
      <c r="F11228" t="s">
        <v>5</v>
      </c>
      <c r="G11228" t="s">
        <v>16231</v>
      </c>
      <c r="H11228" t="s">
        <v>47054</v>
      </c>
      <c r="I11228" t="s">
        <v>47111</v>
      </c>
      <c r="J11228" t="s">
        <v>47112</v>
      </c>
      <c r="K11228" t="s">
        <v>47113</v>
      </c>
      <c r="L11228">
        <v>47.14</v>
      </c>
      <c r="M11228">
        <v>96</v>
      </c>
      <c r="N11228">
        <v>0</v>
      </c>
      <c r="O11228">
        <v>96</v>
      </c>
      <c r="P11228">
        <v>0</v>
      </c>
    </row>
    <row r="11229" spans="1:16" x14ac:dyDescent="0.25">
      <c r="A11229" t="s">
        <v>34005</v>
      </c>
      <c r="B11229" t="s">
        <v>8431</v>
      </c>
      <c r="C11229" t="s">
        <v>8432</v>
      </c>
      <c r="D11229" t="s">
        <v>1718</v>
      </c>
      <c r="E11229" t="s">
        <v>1719</v>
      </c>
      <c r="F11229" t="s">
        <v>5</v>
      </c>
      <c r="G11229" t="s">
        <v>16231</v>
      </c>
      <c r="H11229" t="s">
        <v>47054</v>
      </c>
      <c r="I11229" t="s">
        <v>47111</v>
      </c>
      <c r="J11229" t="s">
        <v>47112</v>
      </c>
      <c r="K11229" t="s">
        <v>47113</v>
      </c>
      <c r="L11229">
        <v>43.21</v>
      </c>
      <c r="M11229">
        <v>100</v>
      </c>
      <c r="N11229">
        <v>0</v>
      </c>
      <c r="O11229">
        <v>100</v>
      </c>
      <c r="P11229">
        <v>0</v>
      </c>
    </row>
    <row r="11230" spans="1:16" x14ac:dyDescent="0.25">
      <c r="A11230" t="s">
        <v>34006</v>
      </c>
      <c r="B11230" t="s">
        <v>8435</v>
      </c>
      <c r="C11230" t="s">
        <v>8436</v>
      </c>
      <c r="D11230" t="s">
        <v>8433</v>
      </c>
      <c r="E11230" t="s">
        <v>8434</v>
      </c>
      <c r="F11230" t="s">
        <v>5</v>
      </c>
      <c r="G11230" t="s">
        <v>16231</v>
      </c>
      <c r="H11230" t="s">
        <v>47054</v>
      </c>
      <c r="I11230" t="s">
        <v>47111</v>
      </c>
      <c r="J11230" t="s">
        <v>47112</v>
      </c>
      <c r="K11230" t="s">
        <v>47113</v>
      </c>
      <c r="L11230">
        <v>44.14</v>
      </c>
      <c r="M11230">
        <v>107</v>
      </c>
      <c r="N11230">
        <v>0</v>
      </c>
      <c r="O11230">
        <v>107</v>
      </c>
      <c r="P11230">
        <v>0</v>
      </c>
    </row>
    <row r="11231" spans="1:16" x14ac:dyDescent="0.25">
      <c r="A11231" t="s">
        <v>34007</v>
      </c>
      <c r="B11231" t="s">
        <v>8435</v>
      </c>
      <c r="C11231" t="s">
        <v>8436</v>
      </c>
      <c r="D11231" t="s">
        <v>1718</v>
      </c>
      <c r="E11231" t="s">
        <v>1719</v>
      </c>
      <c r="F11231" t="s">
        <v>5</v>
      </c>
      <c r="G11231" t="s">
        <v>16231</v>
      </c>
      <c r="H11231" t="s">
        <v>47054</v>
      </c>
      <c r="I11231" t="s">
        <v>47111</v>
      </c>
      <c r="J11231" t="s">
        <v>47112</v>
      </c>
      <c r="K11231" t="s">
        <v>47113</v>
      </c>
      <c r="L11231">
        <v>43.21</v>
      </c>
      <c r="M11231">
        <v>100</v>
      </c>
      <c r="N11231">
        <v>0</v>
      </c>
      <c r="O11231">
        <v>100</v>
      </c>
      <c r="P11231">
        <v>0</v>
      </c>
    </row>
    <row r="11232" spans="1:16" x14ac:dyDescent="0.25">
      <c r="A11232" t="s">
        <v>34008</v>
      </c>
      <c r="B11232" t="s">
        <v>8437</v>
      </c>
      <c r="C11232" t="s">
        <v>8438</v>
      </c>
      <c r="D11232" t="s">
        <v>8439</v>
      </c>
      <c r="E11232" t="s">
        <v>8440</v>
      </c>
      <c r="F11232" t="s">
        <v>5</v>
      </c>
      <c r="G11232" t="s">
        <v>16224</v>
      </c>
      <c r="H11232" t="s">
        <v>47054</v>
      </c>
      <c r="I11232" t="s">
        <v>47111</v>
      </c>
      <c r="J11232" t="s">
        <v>47112</v>
      </c>
      <c r="K11232" t="s">
        <v>47113</v>
      </c>
      <c r="L11232">
        <v>50.01</v>
      </c>
      <c r="M11232">
        <v>111</v>
      </c>
      <c r="N11232">
        <v>0</v>
      </c>
      <c r="O11232">
        <v>111</v>
      </c>
      <c r="P11232">
        <v>0</v>
      </c>
    </row>
    <row r="11233" spans="1:16" x14ac:dyDescent="0.25">
      <c r="A11233" t="s">
        <v>34009</v>
      </c>
      <c r="B11233" t="s">
        <v>8441</v>
      </c>
      <c r="C11233" t="s">
        <v>8442</v>
      </c>
      <c r="D11233" t="s">
        <v>8443</v>
      </c>
      <c r="E11233" t="s">
        <v>8444</v>
      </c>
      <c r="F11233" t="s">
        <v>687</v>
      </c>
      <c r="G11233" t="s">
        <v>16231</v>
      </c>
      <c r="H11233" t="s">
        <v>47054</v>
      </c>
      <c r="I11233" t="s">
        <v>47111</v>
      </c>
      <c r="J11233" t="s">
        <v>47112</v>
      </c>
      <c r="K11233" t="s">
        <v>47113</v>
      </c>
      <c r="L11233">
        <v>38.58</v>
      </c>
      <c r="M11233">
        <v>87</v>
      </c>
      <c r="N11233">
        <v>0</v>
      </c>
      <c r="O11233">
        <v>87</v>
      </c>
      <c r="P11233">
        <v>0</v>
      </c>
    </row>
    <row r="11234" spans="1:16" x14ac:dyDescent="0.25">
      <c r="A11234" t="s">
        <v>34010</v>
      </c>
      <c r="B11234" t="s">
        <v>8445</v>
      </c>
      <c r="C11234" t="s">
        <v>2025</v>
      </c>
      <c r="D11234" t="s">
        <v>1681</v>
      </c>
      <c r="E11234" t="s">
        <v>1682</v>
      </c>
      <c r="F11234" t="s">
        <v>8</v>
      </c>
      <c r="G11234" t="s">
        <v>16231</v>
      </c>
      <c r="H11234" t="s">
        <v>47054</v>
      </c>
      <c r="I11234" t="s">
        <v>47111</v>
      </c>
      <c r="J11234" t="s">
        <v>47112</v>
      </c>
      <c r="K11234" t="s">
        <v>47113</v>
      </c>
      <c r="L11234">
        <v>35.299999999999997</v>
      </c>
      <c r="M11234">
        <v>105</v>
      </c>
      <c r="N11234">
        <v>0</v>
      </c>
      <c r="O11234">
        <v>105</v>
      </c>
      <c r="P11234">
        <v>0</v>
      </c>
    </row>
    <row r="11235" spans="1:16" x14ac:dyDescent="0.25">
      <c r="A11235" t="s">
        <v>34011</v>
      </c>
      <c r="B11235" t="s">
        <v>8445</v>
      </c>
      <c r="C11235" t="s">
        <v>2025</v>
      </c>
      <c r="D11235" t="s">
        <v>1686</v>
      </c>
      <c r="E11235" t="s">
        <v>1687</v>
      </c>
      <c r="F11235" t="s">
        <v>8</v>
      </c>
      <c r="G11235" t="s">
        <v>16231</v>
      </c>
      <c r="H11235" t="s">
        <v>47054</v>
      </c>
      <c r="I11235" t="s">
        <v>47111</v>
      </c>
      <c r="J11235" t="s">
        <v>47112</v>
      </c>
      <c r="K11235" t="s">
        <v>47113</v>
      </c>
      <c r="L11235">
        <v>31.09</v>
      </c>
      <c r="M11235">
        <v>95</v>
      </c>
      <c r="N11235">
        <v>0</v>
      </c>
      <c r="O11235">
        <v>95</v>
      </c>
      <c r="P11235">
        <v>0</v>
      </c>
    </row>
    <row r="11236" spans="1:16" x14ac:dyDescent="0.25">
      <c r="A11236" t="s">
        <v>34012</v>
      </c>
      <c r="B11236" t="s">
        <v>8446</v>
      </c>
      <c r="C11236" t="s">
        <v>2072</v>
      </c>
      <c r="D11236" t="s">
        <v>657</v>
      </c>
      <c r="E11236" t="s">
        <v>658</v>
      </c>
      <c r="F11236" t="s">
        <v>8</v>
      </c>
      <c r="G11236" t="s">
        <v>16231</v>
      </c>
      <c r="H11236" t="s">
        <v>47054</v>
      </c>
      <c r="I11236" t="s">
        <v>47111</v>
      </c>
      <c r="J11236" t="s">
        <v>47112</v>
      </c>
      <c r="K11236" t="s">
        <v>47113</v>
      </c>
      <c r="L11236">
        <v>28.74</v>
      </c>
      <c r="M11236">
        <v>73</v>
      </c>
      <c r="N11236">
        <v>0</v>
      </c>
      <c r="O11236">
        <v>73</v>
      </c>
      <c r="P11236">
        <v>0</v>
      </c>
    </row>
    <row r="11237" spans="1:16" x14ac:dyDescent="0.25">
      <c r="A11237" t="s">
        <v>34013</v>
      </c>
      <c r="B11237" t="s">
        <v>8446</v>
      </c>
      <c r="C11237" t="s">
        <v>2072</v>
      </c>
      <c r="D11237" t="s">
        <v>1681</v>
      </c>
      <c r="E11237" t="s">
        <v>1682</v>
      </c>
      <c r="F11237" t="s">
        <v>8</v>
      </c>
      <c r="G11237" t="s">
        <v>16231</v>
      </c>
      <c r="H11237" t="s">
        <v>47054</v>
      </c>
      <c r="I11237" t="s">
        <v>47111</v>
      </c>
      <c r="J11237" t="s">
        <v>47112</v>
      </c>
      <c r="K11237" t="s">
        <v>47113</v>
      </c>
      <c r="L11237">
        <v>40.880000000000003</v>
      </c>
      <c r="M11237">
        <v>105</v>
      </c>
      <c r="N11237">
        <v>0</v>
      </c>
      <c r="O11237">
        <v>105</v>
      </c>
      <c r="P11237">
        <v>0</v>
      </c>
    </row>
    <row r="11238" spans="1:16" x14ac:dyDescent="0.25">
      <c r="A11238" t="s">
        <v>34014</v>
      </c>
      <c r="B11238" t="s">
        <v>8446</v>
      </c>
      <c r="C11238" t="s">
        <v>2072</v>
      </c>
      <c r="D11238" t="s">
        <v>1686</v>
      </c>
      <c r="E11238" t="s">
        <v>1687</v>
      </c>
      <c r="F11238" t="s">
        <v>8</v>
      </c>
      <c r="G11238" t="s">
        <v>16231</v>
      </c>
      <c r="H11238" t="s">
        <v>47054</v>
      </c>
      <c r="I11238" t="s">
        <v>47111</v>
      </c>
      <c r="J11238" t="s">
        <v>47112</v>
      </c>
      <c r="K11238" t="s">
        <v>47113</v>
      </c>
      <c r="L11238">
        <v>35.83</v>
      </c>
      <c r="M11238">
        <v>77</v>
      </c>
      <c r="N11238">
        <v>0</v>
      </c>
      <c r="O11238">
        <v>77</v>
      </c>
      <c r="P11238">
        <v>0</v>
      </c>
    </row>
    <row r="11239" spans="1:16" x14ac:dyDescent="0.25">
      <c r="A11239" t="s">
        <v>34015</v>
      </c>
      <c r="B11239" t="s">
        <v>8446</v>
      </c>
      <c r="C11239" t="s">
        <v>2072</v>
      </c>
      <c r="D11239" t="s">
        <v>1690</v>
      </c>
      <c r="E11239" t="s">
        <v>1691</v>
      </c>
      <c r="F11239" t="s">
        <v>631</v>
      </c>
      <c r="G11239" t="s">
        <v>16231</v>
      </c>
      <c r="H11239" t="s">
        <v>47054</v>
      </c>
      <c r="I11239" t="s">
        <v>47111</v>
      </c>
      <c r="J11239" t="s">
        <v>47112</v>
      </c>
      <c r="K11239" t="s">
        <v>47113</v>
      </c>
      <c r="L11239">
        <v>41.57</v>
      </c>
      <c r="M11239">
        <v>92</v>
      </c>
      <c r="N11239">
        <v>0</v>
      </c>
      <c r="O11239">
        <v>92</v>
      </c>
      <c r="P11239">
        <v>0</v>
      </c>
    </row>
    <row r="11240" spans="1:16" x14ac:dyDescent="0.25">
      <c r="A11240" t="s">
        <v>34016</v>
      </c>
      <c r="B11240" t="s">
        <v>8446</v>
      </c>
      <c r="C11240" t="s">
        <v>2072</v>
      </c>
      <c r="D11240" t="s">
        <v>3397</v>
      </c>
      <c r="E11240" t="s">
        <v>3398</v>
      </c>
      <c r="F11240" t="s">
        <v>7</v>
      </c>
      <c r="G11240" t="s">
        <v>16231</v>
      </c>
      <c r="H11240" t="s">
        <v>47054</v>
      </c>
      <c r="I11240" t="s">
        <v>47111</v>
      </c>
      <c r="J11240" t="s">
        <v>47112</v>
      </c>
      <c r="K11240" t="s">
        <v>47113</v>
      </c>
      <c r="L11240">
        <v>42.71</v>
      </c>
      <c r="M11240">
        <v>114</v>
      </c>
      <c r="N11240">
        <v>0</v>
      </c>
      <c r="O11240">
        <v>114</v>
      </c>
      <c r="P11240">
        <v>0</v>
      </c>
    </row>
    <row r="11241" spans="1:16" x14ac:dyDescent="0.25">
      <c r="A11241" t="s">
        <v>34017</v>
      </c>
      <c r="B11241" t="s">
        <v>8447</v>
      </c>
      <c r="C11241" t="s">
        <v>8448</v>
      </c>
      <c r="D11241" t="s">
        <v>657</v>
      </c>
      <c r="E11241" t="s">
        <v>658</v>
      </c>
      <c r="F11241" t="s">
        <v>8</v>
      </c>
      <c r="G11241" t="s">
        <v>16231</v>
      </c>
      <c r="H11241" t="s">
        <v>47054</v>
      </c>
      <c r="I11241" t="s">
        <v>47111</v>
      </c>
      <c r="J11241" t="s">
        <v>47112</v>
      </c>
      <c r="K11241" t="s">
        <v>47113</v>
      </c>
      <c r="L11241">
        <v>48.26</v>
      </c>
      <c r="M11241">
        <v>134</v>
      </c>
      <c r="N11241">
        <v>0</v>
      </c>
      <c r="O11241">
        <v>134</v>
      </c>
      <c r="P11241">
        <v>0</v>
      </c>
    </row>
    <row r="11242" spans="1:16" x14ac:dyDescent="0.25">
      <c r="A11242" t="s">
        <v>34018</v>
      </c>
      <c r="B11242" t="s">
        <v>8447</v>
      </c>
      <c r="C11242" t="s">
        <v>8448</v>
      </c>
      <c r="D11242" t="s">
        <v>8449</v>
      </c>
      <c r="E11242" t="s">
        <v>8450</v>
      </c>
      <c r="F11242" t="s">
        <v>8</v>
      </c>
      <c r="G11242" t="s">
        <v>16231</v>
      </c>
      <c r="H11242" t="s">
        <v>47054</v>
      </c>
      <c r="I11242" t="s">
        <v>47111</v>
      </c>
      <c r="J11242" t="s">
        <v>47112</v>
      </c>
      <c r="K11242" t="s">
        <v>47113</v>
      </c>
      <c r="L11242">
        <v>59.98</v>
      </c>
      <c r="M11242">
        <v>146</v>
      </c>
      <c r="N11242">
        <v>0</v>
      </c>
      <c r="O11242">
        <v>146</v>
      </c>
      <c r="P11242">
        <v>0</v>
      </c>
    </row>
    <row r="11243" spans="1:16" x14ac:dyDescent="0.25">
      <c r="A11243" t="s">
        <v>34019</v>
      </c>
      <c r="B11243" t="s">
        <v>8447</v>
      </c>
      <c r="C11243" t="s">
        <v>8448</v>
      </c>
      <c r="D11243" t="s">
        <v>1688</v>
      </c>
      <c r="E11243" t="s">
        <v>1689</v>
      </c>
      <c r="F11243" t="s">
        <v>8</v>
      </c>
      <c r="G11243" t="s">
        <v>16231</v>
      </c>
      <c r="H11243" t="s">
        <v>47054</v>
      </c>
      <c r="I11243" t="s">
        <v>47111</v>
      </c>
      <c r="J11243" t="s">
        <v>47112</v>
      </c>
      <c r="K11243" t="s">
        <v>47113</v>
      </c>
      <c r="L11243">
        <v>51.72</v>
      </c>
      <c r="M11243">
        <v>144</v>
      </c>
      <c r="N11243">
        <v>0</v>
      </c>
      <c r="O11243">
        <v>144</v>
      </c>
      <c r="P11243">
        <v>0</v>
      </c>
    </row>
    <row r="11244" spans="1:16" x14ac:dyDescent="0.25">
      <c r="A11244" t="s">
        <v>34020</v>
      </c>
      <c r="B11244" t="s">
        <v>8451</v>
      </c>
      <c r="C11244" t="s">
        <v>8452</v>
      </c>
      <c r="D11244" t="s">
        <v>8453</v>
      </c>
      <c r="E11244" t="s">
        <v>8454</v>
      </c>
      <c r="F11244" t="s">
        <v>4</v>
      </c>
      <c r="G11244" t="s">
        <v>16231</v>
      </c>
      <c r="H11244" t="s">
        <v>47054</v>
      </c>
      <c r="I11244" t="s">
        <v>47111</v>
      </c>
      <c r="J11244" t="s">
        <v>47112</v>
      </c>
      <c r="K11244" t="s">
        <v>47113</v>
      </c>
      <c r="L11244">
        <v>52.31</v>
      </c>
      <c r="M11244">
        <v>103</v>
      </c>
      <c r="N11244">
        <v>0</v>
      </c>
      <c r="O11244">
        <v>103</v>
      </c>
      <c r="P11244">
        <v>0</v>
      </c>
    </row>
    <row r="11245" spans="1:16" x14ac:dyDescent="0.25">
      <c r="A11245" t="s">
        <v>34021</v>
      </c>
      <c r="B11245" t="s">
        <v>8451</v>
      </c>
      <c r="C11245" t="s">
        <v>8452</v>
      </c>
      <c r="D11245" t="s">
        <v>3518</v>
      </c>
      <c r="E11245" t="s">
        <v>3519</v>
      </c>
      <c r="F11245" t="s">
        <v>4</v>
      </c>
      <c r="G11245" t="s">
        <v>16231</v>
      </c>
      <c r="H11245" t="s">
        <v>47054</v>
      </c>
      <c r="I11245" t="s">
        <v>47111</v>
      </c>
      <c r="J11245" t="s">
        <v>47112</v>
      </c>
      <c r="K11245" t="s">
        <v>47113</v>
      </c>
      <c r="L11245">
        <v>49.99</v>
      </c>
      <c r="M11245">
        <v>103</v>
      </c>
      <c r="N11245">
        <v>0</v>
      </c>
      <c r="O11245">
        <v>103</v>
      </c>
      <c r="P11245">
        <v>0</v>
      </c>
    </row>
    <row r="11246" spans="1:16" x14ac:dyDescent="0.25">
      <c r="A11246" t="s">
        <v>34022</v>
      </c>
      <c r="B11246" t="s">
        <v>8455</v>
      </c>
      <c r="C11246" t="s">
        <v>8456</v>
      </c>
      <c r="D11246" t="s">
        <v>8453</v>
      </c>
      <c r="E11246" t="s">
        <v>8454</v>
      </c>
      <c r="F11246" t="s">
        <v>4</v>
      </c>
      <c r="G11246" t="s">
        <v>16231</v>
      </c>
      <c r="H11246" t="s">
        <v>47054</v>
      </c>
      <c r="I11246" t="s">
        <v>47111</v>
      </c>
      <c r="J11246" t="s">
        <v>47112</v>
      </c>
      <c r="K11246" t="s">
        <v>47113</v>
      </c>
      <c r="L11246">
        <v>49.53</v>
      </c>
      <c r="M11246">
        <v>121</v>
      </c>
      <c r="N11246">
        <v>0</v>
      </c>
      <c r="O11246">
        <v>121</v>
      </c>
      <c r="P11246">
        <v>0</v>
      </c>
    </row>
    <row r="11247" spans="1:16" x14ac:dyDescent="0.25">
      <c r="A11247" t="s">
        <v>34023</v>
      </c>
      <c r="B11247" t="s">
        <v>8455</v>
      </c>
      <c r="C11247" t="s">
        <v>8456</v>
      </c>
      <c r="D11247" t="s">
        <v>3518</v>
      </c>
      <c r="E11247" t="s">
        <v>3519</v>
      </c>
      <c r="F11247" t="s">
        <v>4</v>
      </c>
      <c r="G11247" t="s">
        <v>16231</v>
      </c>
      <c r="H11247" t="s">
        <v>47054</v>
      </c>
      <c r="I11247" t="s">
        <v>47111</v>
      </c>
      <c r="J11247" t="s">
        <v>47112</v>
      </c>
      <c r="K11247" t="s">
        <v>47113</v>
      </c>
      <c r="L11247">
        <v>47.22</v>
      </c>
      <c r="M11247">
        <v>103</v>
      </c>
      <c r="N11247">
        <v>0</v>
      </c>
      <c r="O11247">
        <v>103</v>
      </c>
      <c r="P11247">
        <v>0</v>
      </c>
    </row>
    <row r="11248" spans="1:16" x14ac:dyDescent="0.25">
      <c r="A11248" t="s">
        <v>34024</v>
      </c>
      <c r="B11248" t="s">
        <v>8457</v>
      </c>
      <c r="C11248" t="s">
        <v>8458</v>
      </c>
      <c r="D11248" t="s">
        <v>8453</v>
      </c>
      <c r="E11248" t="s">
        <v>8454</v>
      </c>
      <c r="F11248" t="s">
        <v>4</v>
      </c>
      <c r="G11248" t="s">
        <v>16231</v>
      </c>
      <c r="H11248" t="s">
        <v>47054</v>
      </c>
      <c r="I11248" t="s">
        <v>47111</v>
      </c>
      <c r="J11248" t="s">
        <v>47112</v>
      </c>
      <c r="K11248" t="s">
        <v>47113</v>
      </c>
      <c r="L11248">
        <v>52.62</v>
      </c>
      <c r="M11248">
        <v>103</v>
      </c>
      <c r="N11248">
        <v>0</v>
      </c>
      <c r="O11248">
        <v>103</v>
      </c>
      <c r="P11248">
        <v>0</v>
      </c>
    </row>
    <row r="11249" spans="1:16" x14ac:dyDescent="0.25">
      <c r="A11249" t="s">
        <v>34025</v>
      </c>
      <c r="B11249" t="s">
        <v>8457</v>
      </c>
      <c r="C11249" t="s">
        <v>8458</v>
      </c>
      <c r="D11249" t="s">
        <v>3518</v>
      </c>
      <c r="E11249" t="s">
        <v>3519</v>
      </c>
      <c r="F11249" t="s">
        <v>4</v>
      </c>
      <c r="G11249" t="s">
        <v>16231</v>
      </c>
      <c r="H11249" t="s">
        <v>47054</v>
      </c>
      <c r="I11249" t="s">
        <v>47111</v>
      </c>
      <c r="J11249" t="s">
        <v>47112</v>
      </c>
      <c r="K11249" t="s">
        <v>47113</v>
      </c>
      <c r="L11249">
        <v>50.3</v>
      </c>
      <c r="M11249">
        <v>103</v>
      </c>
      <c r="N11249">
        <v>0</v>
      </c>
      <c r="O11249">
        <v>103</v>
      </c>
      <c r="P11249">
        <v>0</v>
      </c>
    </row>
    <row r="11250" spans="1:16" x14ac:dyDescent="0.25">
      <c r="A11250" t="s">
        <v>34026</v>
      </c>
      <c r="B11250" t="s">
        <v>8459</v>
      </c>
      <c r="C11250" t="s">
        <v>8460</v>
      </c>
      <c r="D11250" t="s">
        <v>1679</v>
      </c>
      <c r="E11250" t="s">
        <v>1680</v>
      </c>
      <c r="F11250" t="s">
        <v>631</v>
      </c>
      <c r="G11250" t="s">
        <v>16231</v>
      </c>
      <c r="H11250" t="s">
        <v>47054</v>
      </c>
      <c r="I11250" t="s">
        <v>47111</v>
      </c>
      <c r="J11250" t="s">
        <v>47112</v>
      </c>
      <c r="K11250" t="s">
        <v>47113</v>
      </c>
      <c r="L11250">
        <v>33.01</v>
      </c>
      <c r="M11250">
        <v>74</v>
      </c>
      <c r="N11250">
        <v>0</v>
      </c>
      <c r="O11250">
        <v>74</v>
      </c>
      <c r="P11250">
        <v>0</v>
      </c>
    </row>
    <row r="11251" spans="1:16" x14ac:dyDescent="0.25">
      <c r="A11251" t="s">
        <v>34027</v>
      </c>
      <c r="B11251" t="s">
        <v>8461</v>
      </c>
      <c r="C11251" t="s">
        <v>5419</v>
      </c>
      <c r="D11251" t="s">
        <v>1718</v>
      </c>
      <c r="E11251" t="s">
        <v>1719</v>
      </c>
      <c r="F11251" t="s">
        <v>5</v>
      </c>
      <c r="G11251" t="s">
        <v>16231</v>
      </c>
      <c r="H11251" t="s">
        <v>47054</v>
      </c>
      <c r="I11251" t="s">
        <v>47111</v>
      </c>
      <c r="J11251" t="s">
        <v>47112</v>
      </c>
      <c r="K11251" t="s">
        <v>47113</v>
      </c>
      <c r="L11251">
        <v>33.19</v>
      </c>
      <c r="M11251">
        <v>86</v>
      </c>
      <c r="N11251">
        <v>0</v>
      </c>
      <c r="O11251">
        <v>86</v>
      </c>
      <c r="P11251">
        <v>0</v>
      </c>
    </row>
    <row r="11252" spans="1:16" x14ac:dyDescent="0.25">
      <c r="A11252" t="s">
        <v>34028</v>
      </c>
      <c r="B11252" t="s">
        <v>8461</v>
      </c>
      <c r="C11252" t="s">
        <v>5419</v>
      </c>
      <c r="D11252" t="s">
        <v>739</v>
      </c>
      <c r="E11252" t="s">
        <v>740</v>
      </c>
      <c r="F11252" t="s">
        <v>5</v>
      </c>
      <c r="G11252" t="s">
        <v>16231</v>
      </c>
      <c r="H11252" t="s">
        <v>47054</v>
      </c>
      <c r="I11252" t="s">
        <v>47111</v>
      </c>
      <c r="J11252" t="s">
        <v>47112</v>
      </c>
      <c r="K11252" t="s">
        <v>47113</v>
      </c>
      <c r="L11252">
        <v>32.619999999999997</v>
      </c>
      <c r="M11252">
        <v>84</v>
      </c>
      <c r="N11252">
        <v>0</v>
      </c>
      <c r="O11252">
        <v>84</v>
      </c>
      <c r="P11252">
        <v>0</v>
      </c>
    </row>
    <row r="11253" spans="1:16" x14ac:dyDescent="0.25">
      <c r="A11253" t="s">
        <v>34029</v>
      </c>
      <c r="B11253" t="s">
        <v>8462</v>
      </c>
      <c r="C11253" t="s">
        <v>8463</v>
      </c>
      <c r="D11253" t="s">
        <v>1718</v>
      </c>
      <c r="E11253" t="s">
        <v>1719</v>
      </c>
      <c r="F11253" t="s">
        <v>5</v>
      </c>
      <c r="G11253" t="s">
        <v>16231</v>
      </c>
      <c r="H11253" t="s">
        <v>47054</v>
      </c>
      <c r="I11253" t="s">
        <v>47111</v>
      </c>
      <c r="J11253" t="s">
        <v>47112</v>
      </c>
      <c r="K11253" t="s">
        <v>47113</v>
      </c>
      <c r="L11253">
        <v>33.19</v>
      </c>
      <c r="M11253">
        <v>86</v>
      </c>
      <c r="N11253">
        <v>0</v>
      </c>
      <c r="O11253">
        <v>86</v>
      </c>
      <c r="P11253">
        <v>0</v>
      </c>
    </row>
    <row r="11254" spans="1:16" x14ac:dyDescent="0.25">
      <c r="A11254" t="s">
        <v>34030</v>
      </c>
      <c r="B11254" t="s">
        <v>8462</v>
      </c>
      <c r="C11254" t="s">
        <v>8463</v>
      </c>
      <c r="D11254" t="s">
        <v>739</v>
      </c>
      <c r="E11254" t="s">
        <v>740</v>
      </c>
      <c r="F11254" t="s">
        <v>5</v>
      </c>
      <c r="G11254" t="s">
        <v>16231</v>
      </c>
      <c r="H11254" t="s">
        <v>47054</v>
      </c>
      <c r="I11254" t="s">
        <v>47111</v>
      </c>
      <c r="J11254" t="s">
        <v>47112</v>
      </c>
      <c r="K11254" t="s">
        <v>47113</v>
      </c>
      <c r="L11254">
        <v>32.619999999999997</v>
      </c>
      <c r="M11254">
        <v>84</v>
      </c>
      <c r="N11254">
        <v>0</v>
      </c>
      <c r="O11254">
        <v>84</v>
      </c>
      <c r="P11254">
        <v>0</v>
      </c>
    </row>
    <row r="11255" spans="1:16" x14ac:dyDescent="0.25">
      <c r="A11255" t="s">
        <v>34031</v>
      </c>
      <c r="B11255" t="s">
        <v>8464</v>
      </c>
      <c r="C11255" t="s">
        <v>8465</v>
      </c>
      <c r="D11255" t="s">
        <v>1718</v>
      </c>
      <c r="E11255" t="s">
        <v>1719</v>
      </c>
      <c r="F11255" t="s">
        <v>5</v>
      </c>
      <c r="G11255" t="s">
        <v>16231</v>
      </c>
      <c r="H11255" t="s">
        <v>47054</v>
      </c>
      <c r="I11255" t="s">
        <v>47111</v>
      </c>
      <c r="J11255" t="s">
        <v>47112</v>
      </c>
      <c r="K11255" t="s">
        <v>47113</v>
      </c>
      <c r="L11255">
        <v>33.19</v>
      </c>
      <c r="M11255">
        <v>86</v>
      </c>
      <c r="N11255">
        <v>0</v>
      </c>
      <c r="O11255">
        <v>86</v>
      </c>
      <c r="P11255">
        <v>0</v>
      </c>
    </row>
    <row r="11256" spans="1:16" x14ac:dyDescent="0.25">
      <c r="A11256" t="s">
        <v>34032</v>
      </c>
      <c r="B11256" t="s">
        <v>8464</v>
      </c>
      <c r="C11256" t="s">
        <v>8465</v>
      </c>
      <c r="D11256" t="s">
        <v>739</v>
      </c>
      <c r="E11256" t="s">
        <v>740</v>
      </c>
      <c r="F11256" t="s">
        <v>5</v>
      </c>
      <c r="G11256" t="s">
        <v>16231</v>
      </c>
      <c r="H11256" t="s">
        <v>47054</v>
      </c>
      <c r="I11256" t="s">
        <v>47111</v>
      </c>
      <c r="J11256" t="s">
        <v>47112</v>
      </c>
      <c r="K11256" t="s">
        <v>47113</v>
      </c>
      <c r="L11256">
        <v>32.619999999999997</v>
      </c>
      <c r="M11256">
        <v>84</v>
      </c>
      <c r="N11256">
        <v>0</v>
      </c>
      <c r="O11256">
        <v>84</v>
      </c>
      <c r="P11256">
        <v>0</v>
      </c>
    </row>
    <row r="11257" spans="1:16" x14ac:dyDescent="0.25">
      <c r="A11257" t="s">
        <v>34033</v>
      </c>
      <c r="B11257" t="s">
        <v>8466</v>
      </c>
      <c r="C11257" t="s">
        <v>8467</v>
      </c>
      <c r="D11257" t="str">
        <f>"1266"</f>
        <v>1266</v>
      </c>
      <c r="E11257" t="s">
        <v>8468</v>
      </c>
      <c r="F11257" t="s">
        <v>58</v>
      </c>
      <c r="G11257" t="s">
        <v>16231</v>
      </c>
      <c r="H11257" t="s">
        <v>47054</v>
      </c>
      <c r="I11257" t="s">
        <v>47111</v>
      </c>
      <c r="J11257" t="s">
        <v>47112</v>
      </c>
      <c r="K11257" t="s">
        <v>47113</v>
      </c>
      <c r="L11257">
        <v>34.520000000000003</v>
      </c>
      <c r="M11257">
        <v>78</v>
      </c>
      <c r="N11257">
        <v>0</v>
      </c>
      <c r="O11257">
        <v>78</v>
      </c>
      <c r="P11257">
        <v>0</v>
      </c>
    </row>
    <row r="11258" spans="1:16" x14ac:dyDescent="0.25">
      <c r="A11258" t="s">
        <v>34034</v>
      </c>
      <c r="B11258" t="s">
        <v>8466</v>
      </c>
      <c r="C11258" t="s">
        <v>8467</v>
      </c>
      <c r="D11258" t="str">
        <f>"2343"</f>
        <v>2343</v>
      </c>
      <c r="E11258" t="s">
        <v>8469</v>
      </c>
      <c r="F11258" t="s">
        <v>58</v>
      </c>
      <c r="G11258" t="s">
        <v>16231</v>
      </c>
      <c r="H11258" t="s">
        <v>47054</v>
      </c>
      <c r="I11258" t="s">
        <v>47111</v>
      </c>
      <c r="J11258" t="s">
        <v>47112</v>
      </c>
      <c r="K11258" t="s">
        <v>47113</v>
      </c>
      <c r="L11258">
        <v>34.520000000000003</v>
      </c>
      <c r="M11258">
        <v>69</v>
      </c>
      <c r="N11258">
        <v>0</v>
      </c>
      <c r="O11258">
        <v>69</v>
      </c>
      <c r="P11258">
        <v>0</v>
      </c>
    </row>
    <row r="11259" spans="1:16" x14ac:dyDescent="0.25">
      <c r="A11259" t="s">
        <v>34035</v>
      </c>
      <c r="B11259" t="s">
        <v>8466</v>
      </c>
      <c r="C11259" t="s">
        <v>8467</v>
      </c>
      <c r="D11259" t="str">
        <f>"2730"</f>
        <v>2730</v>
      </c>
      <c r="E11259" t="s">
        <v>8470</v>
      </c>
      <c r="F11259" t="s">
        <v>58</v>
      </c>
      <c r="G11259" t="s">
        <v>16231</v>
      </c>
      <c r="H11259" t="s">
        <v>47054</v>
      </c>
      <c r="I11259" t="s">
        <v>47111</v>
      </c>
      <c r="J11259" t="s">
        <v>47112</v>
      </c>
      <c r="K11259" t="s">
        <v>47113</v>
      </c>
      <c r="L11259">
        <v>32.21</v>
      </c>
      <c r="M11259">
        <v>69</v>
      </c>
      <c r="N11259">
        <v>0</v>
      </c>
      <c r="O11259">
        <v>69</v>
      </c>
      <c r="P11259">
        <v>0</v>
      </c>
    </row>
    <row r="11260" spans="1:16" x14ac:dyDescent="0.25">
      <c r="A11260" t="s">
        <v>34036</v>
      </c>
      <c r="B11260" t="s">
        <v>8466</v>
      </c>
      <c r="C11260" t="s">
        <v>8467</v>
      </c>
      <c r="D11260" t="str">
        <f>"3081"</f>
        <v>3081</v>
      </c>
      <c r="E11260" t="s">
        <v>8471</v>
      </c>
      <c r="F11260" t="s">
        <v>58</v>
      </c>
      <c r="G11260" t="s">
        <v>16231</v>
      </c>
      <c r="H11260" t="s">
        <v>47054</v>
      </c>
      <c r="I11260" t="s">
        <v>47111</v>
      </c>
      <c r="J11260" t="s">
        <v>47112</v>
      </c>
      <c r="K11260" t="s">
        <v>47113</v>
      </c>
      <c r="L11260">
        <v>34.520000000000003</v>
      </c>
      <c r="M11260">
        <v>69</v>
      </c>
      <c r="N11260">
        <v>0</v>
      </c>
      <c r="O11260">
        <v>69</v>
      </c>
      <c r="P11260">
        <v>0</v>
      </c>
    </row>
    <row r="11261" spans="1:16" x14ac:dyDescent="0.25">
      <c r="A11261" t="s">
        <v>34037</v>
      </c>
      <c r="B11261" t="s">
        <v>8472</v>
      </c>
      <c r="C11261" t="s">
        <v>8473</v>
      </c>
      <c r="D11261" t="str">
        <f>"1001"</f>
        <v>1001</v>
      </c>
      <c r="E11261" t="s">
        <v>8474</v>
      </c>
      <c r="F11261" t="s">
        <v>4</v>
      </c>
      <c r="G11261" t="s">
        <v>16231</v>
      </c>
      <c r="H11261" t="s">
        <v>47054</v>
      </c>
      <c r="I11261" t="s">
        <v>47111</v>
      </c>
      <c r="J11261" t="s">
        <v>47112</v>
      </c>
      <c r="K11261" t="s">
        <v>47113</v>
      </c>
      <c r="L11261">
        <v>43.67</v>
      </c>
      <c r="M11261">
        <v>107</v>
      </c>
      <c r="N11261">
        <v>0</v>
      </c>
      <c r="O11261">
        <v>107</v>
      </c>
      <c r="P11261">
        <v>0</v>
      </c>
    </row>
    <row r="11262" spans="1:16" x14ac:dyDescent="0.25">
      <c r="A11262" t="s">
        <v>34038</v>
      </c>
      <c r="B11262" t="s">
        <v>8472</v>
      </c>
      <c r="C11262" t="s">
        <v>8473</v>
      </c>
      <c r="D11262" t="str">
        <f>"1395"</f>
        <v>1395</v>
      </c>
      <c r="E11262" t="s">
        <v>8475</v>
      </c>
      <c r="F11262" t="s">
        <v>4</v>
      </c>
      <c r="G11262" t="s">
        <v>16231</v>
      </c>
      <c r="H11262" t="s">
        <v>47054</v>
      </c>
      <c r="I11262" t="s">
        <v>47111</v>
      </c>
      <c r="J11262" t="s">
        <v>47112</v>
      </c>
      <c r="K11262" t="s">
        <v>47113</v>
      </c>
      <c r="L11262">
        <v>43.67</v>
      </c>
      <c r="M11262">
        <v>107</v>
      </c>
      <c r="N11262">
        <v>0</v>
      </c>
      <c r="O11262">
        <v>107</v>
      </c>
      <c r="P11262">
        <v>0</v>
      </c>
    </row>
    <row r="11263" spans="1:16" x14ac:dyDescent="0.25">
      <c r="A11263" t="s">
        <v>34039</v>
      </c>
      <c r="B11263" t="s">
        <v>8476</v>
      </c>
      <c r="C11263" t="s">
        <v>20719</v>
      </c>
      <c r="D11263" t="str">
        <f>"1821"</f>
        <v>1821</v>
      </c>
      <c r="E11263" t="s">
        <v>590</v>
      </c>
      <c r="F11263" t="s">
        <v>3670</v>
      </c>
      <c r="G11263" t="s">
        <v>16231</v>
      </c>
      <c r="H11263" t="s">
        <v>47054</v>
      </c>
      <c r="I11263" t="s">
        <v>47111</v>
      </c>
      <c r="J11263" t="s">
        <v>47112</v>
      </c>
      <c r="K11263" t="s">
        <v>47113</v>
      </c>
      <c r="L11263">
        <v>45.85</v>
      </c>
      <c r="M11263">
        <v>100</v>
      </c>
      <c r="N11263">
        <v>0</v>
      </c>
      <c r="O11263">
        <v>100</v>
      </c>
      <c r="P11263">
        <v>0</v>
      </c>
    </row>
    <row r="11264" spans="1:16" x14ac:dyDescent="0.25">
      <c r="A11264" t="s">
        <v>34040</v>
      </c>
      <c r="B11264" t="s">
        <v>8477</v>
      </c>
      <c r="C11264" t="s">
        <v>16468</v>
      </c>
      <c r="D11264" t="str">
        <f>"6220"</f>
        <v>6220</v>
      </c>
      <c r="E11264" t="s">
        <v>8478</v>
      </c>
      <c r="F11264" t="s">
        <v>3670</v>
      </c>
      <c r="G11264" t="s">
        <v>16231</v>
      </c>
      <c r="H11264" t="s">
        <v>47054</v>
      </c>
      <c r="I11264" t="s">
        <v>47111</v>
      </c>
      <c r="J11264" t="s">
        <v>47112</v>
      </c>
      <c r="K11264" t="s">
        <v>47113</v>
      </c>
      <c r="L11264">
        <v>35.520000000000003</v>
      </c>
      <c r="M11264">
        <v>92</v>
      </c>
      <c r="N11264">
        <v>0</v>
      </c>
      <c r="O11264">
        <v>92</v>
      </c>
      <c r="P11264">
        <v>0</v>
      </c>
    </row>
    <row r="11265" spans="1:16" x14ac:dyDescent="0.25">
      <c r="A11265" t="s">
        <v>34041</v>
      </c>
      <c r="B11265" t="s">
        <v>17886</v>
      </c>
      <c r="C11265" t="s">
        <v>17379</v>
      </c>
      <c r="D11265" t="str">
        <f>"6233"</f>
        <v>6233</v>
      </c>
      <c r="E11265" t="s">
        <v>17887</v>
      </c>
      <c r="F11265" t="s">
        <v>3750</v>
      </c>
      <c r="G11265" t="s">
        <v>16231</v>
      </c>
      <c r="H11265" t="s">
        <v>47054</v>
      </c>
      <c r="I11265" t="s">
        <v>47116</v>
      </c>
      <c r="J11265" t="s">
        <v>47117</v>
      </c>
      <c r="K11265" t="s">
        <v>47113</v>
      </c>
      <c r="L11265">
        <v>27.75</v>
      </c>
      <c r="M11265">
        <v>79</v>
      </c>
      <c r="N11265">
        <v>0</v>
      </c>
      <c r="O11265">
        <v>79</v>
      </c>
      <c r="P11265">
        <v>0</v>
      </c>
    </row>
    <row r="11266" spans="1:16" x14ac:dyDescent="0.25">
      <c r="A11266" t="s">
        <v>34042</v>
      </c>
      <c r="B11266" t="s">
        <v>8479</v>
      </c>
      <c r="C11266" t="s">
        <v>8480</v>
      </c>
      <c r="D11266" t="str">
        <f>"1362"</f>
        <v>1362</v>
      </c>
      <c r="E11266" t="s">
        <v>8481</v>
      </c>
      <c r="F11266" t="s">
        <v>2</v>
      </c>
      <c r="G11266" t="s">
        <v>16231</v>
      </c>
      <c r="H11266" t="s">
        <v>47054</v>
      </c>
      <c r="I11266" t="s">
        <v>47111</v>
      </c>
      <c r="J11266" t="s">
        <v>47112</v>
      </c>
      <c r="K11266" t="s">
        <v>47113</v>
      </c>
      <c r="L11266">
        <v>32.909999999999997</v>
      </c>
      <c r="M11266">
        <v>85</v>
      </c>
      <c r="N11266">
        <v>0</v>
      </c>
      <c r="O11266">
        <v>85</v>
      </c>
      <c r="P11266">
        <v>0</v>
      </c>
    </row>
    <row r="11267" spans="1:16" x14ac:dyDescent="0.25">
      <c r="A11267" t="s">
        <v>34043</v>
      </c>
      <c r="B11267" t="s">
        <v>8479</v>
      </c>
      <c r="C11267" t="s">
        <v>8480</v>
      </c>
      <c r="D11267" t="str">
        <f>"2638"</f>
        <v>2638</v>
      </c>
      <c r="E11267" t="s">
        <v>8482</v>
      </c>
      <c r="F11267" t="s">
        <v>2</v>
      </c>
      <c r="G11267" t="s">
        <v>16231</v>
      </c>
      <c r="H11267" t="s">
        <v>47054</v>
      </c>
      <c r="I11267" t="s">
        <v>47111</v>
      </c>
      <c r="J11267" t="s">
        <v>47112</v>
      </c>
      <c r="K11267" t="s">
        <v>47113</v>
      </c>
      <c r="L11267">
        <v>44.49</v>
      </c>
      <c r="M11267">
        <v>85</v>
      </c>
      <c r="N11267">
        <v>0</v>
      </c>
      <c r="O11267">
        <v>85</v>
      </c>
      <c r="P11267">
        <v>0</v>
      </c>
    </row>
    <row r="11268" spans="1:16" x14ac:dyDescent="0.25">
      <c r="A11268" t="s">
        <v>34044</v>
      </c>
      <c r="B11268" t="s">
        <v>8479</v>
      </c>
      <c r="C11268" t="s">
        <v>8480</v>
      </c>
      <c r="D11268" t="str">
        <f>"3241"</f>
        <v>3241</v>
      </c>
      <c r="E11268" t="s">
        <v>8483</v>
      </c>
      <c r="F11268" t="s">
        <v>2</v>
      </c>
      <c r="G11268" t="s">
        <v>16231</v>
      </c>
      <c r="H11268" t="s">
        <v>47054</v>
      </c>
      <c r="I11268" t="s">
        <v>47111</v>
      </c>
      <c r="J11268" t="s">
        <v>47112</v>
      </c>
      <c r="K11268" t="s">
        <v>47113</v>
      </c>
      <c r="L11268">
        <v>44.49</v>
      </c>
      <c r="M11268">
        <v>85</v>
      </c>
      <c r="N11268">
        <v>0</v>
      </c>
      <c r="O11268">
        <v>85</v>
      </c>
      <c r="P11268">
        <v>0</v>
      </c>
    </row>
    <row r="11269" spans="1:16" x14ac:dyDescent="0.25">
      <c r="A11269" t="s">
        <v>34045</v>
      </c>
      <c r="B11269" t="s">
        <v>8479</v>
      </c>
      <c r="C11269" t="s">
        <v>8480</v>
      </c>
      <c r="D11269" t="str">
        <f>"4484"</f>
        <v>4484</v>
      </c>
      <c r="E11269" t="s">
        <v>2843</v>
      </c>
      <c r="F11269" t="s">
        <v>2</v>
      </c>
      <c r="G11269" t="s">
        <v>16231</v>
      </c>
      <c r="H11269" t="s">
        <v>47054</v>
      </c>
      <c r="I11269" t="s">
        <v>47111</v>
      </c>
      <c r="J11269" t="s">
        <v>47112</v>
      </c>
      <c r="K11269" t="s">
        <v>47113</v>
      </c>
      <c r="L11269">
        <v>44.49</v>
      </c>
      <c r="M11269">
        <v>85</v>
      </c>
      <c r="N11269">
        <v>0</v>
      </c>
      <c r="O11269">
        <v>85</v>
      </c>
      <c r="P11269">
        <v>0</v>
      </c>
    </row>
    <row r="11270" spans="1:16" x14ac:dyDescent="0.25">
      <c r="A11270" t="s">
        <v>34046</v>
      </c>
      <c r="B11270" t="s">
        <v>8479</v>
      </c>
      <c r="C11270" t="s">
        <v>8480</v>
      </c>
      <c r="D11270" t="str">
        <f>"8339"</f>
        <v>8339</v>
      </c>
      <c r="E11270" t="s">
        <v>8484</v>
      </c>
      <c r="F11270" t="s">
        <v>2</v>
      </c>
      <c r="G11270" t="s">
        <v>16231</v>
      </c>
      <c r="H11270" t="s">
        <v>47054</v>
      </c>
      <c r="I11270" t="s">
        <v>47111</v>
      </c>
      <c r="J11270" t="s">
        <v>47112</v>
      </c>
      <c r="K11270" t="s">
        <v>47113</v>
      </c>
      <c r="L11270">
        <v>32.909999999999997</v>
      </c>
      <c r="M11270">
        <v>85</v>
      </c>
      <c r="N11270">
        <v>0</v>
      </c>
      <c r="O11270">
        <v>85</v>
      </c>
      <c r="P11270">
        <v>0</v>
      </c>
    </row>
    <row r="11271" spans="1:16" x14ac:dyDescent="0.25">
      <c r="A11271" t="s">
        <v>34047</v>
      </c>
      <c r="B11271" t="s">
        <v>8485</v>
      </c>
      <c r="C11271" t="s">
        <v>8486</v>
      </c>
      <c r="D11271" t="str">
        <f>"1362"</f>
        <v>1362</v>
      </c>
      <c r="E11271" t="s">
        <v>8481</v>
      </c>
      <c r="F11271" t="s">
        <v>2</v>
      </c>
      <c r="G11271" t="s">
        <v>16231</v>
      </c>
      <c r="H11271" t="s">
        <v>47054</v>
      </c>
      <c r="I11271" t="s">
        <v>47111</v>
      </c>
      <c r="J11271" t="s">
        <v>47112</v>
      </c>
      <c r="K11271" t="s">
        <v>47113</v>
      </c>
      <c r="L11271">
        <v>41.28</v>
      </c>
      <c r="M11271">
        <v>85</v>
      </c>
      <c r="N11271">
        <v>0</v>
      </c>
      <c r="O11271">
        <v>85</v>
      </c>
      <c r="P11271">
        <v>0</v>
      </c>
    </row>
    <row r="11272" spans="1:16" x14ac:dyDescent="0.25">
      <c r="A11272" t="s">
        <v>34048</v>
      </c>
      <c r="B11272" t="s">
        <v>8485</v>
      </c>
      <c r="C11272" t="s">
        <v>8486</v>
      </c>
      <c r="D11272" t="str">
        <f>"2638"</f>
        <v>2638</v>
      </c>
      <c r="E11272" t="s">
        <v>8482</v>
      </c>
      <c r="F11272" t="s">
        <v>2</v>
      </c>
      <c r="G11272" t="s">
        <v>16231</v>
      </c>
      <c r="H11272" t="s">
        <v>47054</v>
      </c>
      <c r="I11272" t="s">
        <v>47111</v>
      </c>
      <c r="J11272" t="s">
        <v>47112</v>
      </c>
      <c r="K11272" t="s">
        <v>47113</v>
      </c>
      <c r="L11272">
        <v>32.909999999999997</v>
      </c>
      <c r="M11272">
        <v>85</v>
      </c>
      <c r="N11272">
        <v>0</v>
      </c>
      <c r="O11272">
        <v>85</v>
      </c>
      <c r="P11272">
        <v>0</v>
      </c>
    </row>
    <row r="11273" spans="1:16" x14ac:dyDescent="0.25">
      <c r="A11273" t="s">
        <v>34049</v>
      </c>
      <c r="B11273" t="s">
        <v>8485</v>
      </c>
      <c r="C11273" t="s">
        <v>8486</v>
      </c>
      <c r="D11273" t="str">
        <f>"3241"</f>
        <v>3241</v>
      </c>
      <c r="E11273" t="s">
        <v>8483</v>
      </c>
      <c r="F11273" t="s">
        <v>2</v>
      </c>
      <c r="G11273" t="s">
        <v>16231</v>
      </c>
      <c r="H11273" t="s">
        <v>47054</v>
      </c>
      <c r="I11273" t="s">
        <v>47111</v>
      </c>
      <c r="J11273" t="s">
        <v>47112</v>
      </c>
      <c r="K11273" t="s">
        <v>47113</v>
      </c>
      <c r="L11273">
        <v>41.09</v>
      </c>
      <c r="M11273">
        <v>85</v>
      </c>
      <c r="N11273">
        <v>0</v>
      </c>
      <c r="O11273">
        <v>85</v>
      </c>
      <c r="P11273">
        <v>0</v>
      </c>
    </row>
    <row r="11274" spans="1:16" x14ac:dyDescent="0.25">
      <c r="A11274" t="s">
        <v>34050</v>
      </c>
      <c r="B11274" t="s">
        <v>8485</v>
      </c>
      <c r="C11274" t="s">
        <v>8486</v>
      </c>
      <c r="D11274" t="str">
        <f>"4484"</f>
        <v>4484</v>
      </c>
      <c r="E11274" t="s">
        <v>2843</v>
      </c>
      <c r="F11274" t="s">
        <v>2</v>
      </c>
      <c r="G11274" t="s">
        <v>16231</v>
      </c>
      <c r="H11274" t="s">
        <v>47054</v>
      </c>
      <c r="I11274" t="s">
        <v>47111</v>
      </c>
      <c r="J11274" t="s">
        <v>47112</v>
      </c>
      <c r="K11274" t="s">
        <v>47113</v>
      </c>
      <c r="L11274">
        <v>32.909999999999997</v>
      </c>
      <c r="M11274">
        <v>85</v>
      </c>
      <c r="N11274">
        <v>0</v>
      </c>
      <c r="O11274">
        <v>85</v>
      </c>
      <c r="P11274">
        <v>0</v>
      </c>
    </row>
    <row r="11275" spans="1:16" x14ac:dyDescent="0.25">
      <c r="A11275" t="s">
        <v>34051</v>
      </c>
      <c r="B11275" t="s">
        <v>8485</v>
      </c>
      <c r="C11275" t="s">
        <v>8486</v>
      </c>
      <c r="D11275" t="str">
        <f>"8339"</f>
        <v>8339</v>
      </c>
      <c r="E11275" t="s">
        <v>8484</v>
      </c>
      <c r="F11275" t="s">
        <v>2</v>
      </c>
      <c r="G11275" t="s">
        <v>16231</v>
      </c>
      <c r="H11275" t="s">
        <v>47054</v>
      </c>
      <c r="I11275" t="s">
        <v>47111</v>
      </c>
      <c r="J11275" t="s">
        <v>47112</v>
      </c>
      <c r="K11275" t="s">
        <v>47113</v>
      </c>
      <c r="L11275">
        <v>41.09</v>
      </c>
      <c r="M11275">
        <v>85</v>
      </c>
      <c r="N11275">
        <v>0</v>
      </c>
      <c r="O11275">
        <v>85</v>
      </c>
      <c r="P11275">
        <v>0</v>
      </c>
    </row>
    <row r="11276" spans="1:16" x14ac:dyDescent="0.25">
      <c r="A11276" t="s">
        <v>34052</v>
      </c>
      <c r="B11276" t="s">
        <v>8487</v>
      </c>
      <c r="C11276" t="s">
        <v>7884</v>
      </c>
      <c r="D11276" t="str">
        <f>"1821"</f>
        <v>1821</v>
      </c>
      <c r="E11276" t="s">
        <v>590</v>
      </c>
      <c r="F11276" t="s">
        <v>1</v>
      </c>
      <c r="G11276" t="s">
        <v>16231</v>
      </c>
      <c r="H11276" t="s">
        <v>47054</v>
      </c>
      <c r="I11276" t="s">
        <v>47111</v>
      </c>
      <c r="J11276" t="s">
        <v>47112</v>
      </c>
      <c r="K11276" t="s">
        <v>47113</v>
      </c>
      <c r="L11276">
        <v>30.32</v>
      </c>
      <c r="M11276">
        <v>75</v>
      </c>
      <c r="N11276">
        <v>0</v>
      </c>
      <c r="O11276">
        <v>75</v>
      </c>
      <c r="P11276">
        <v>0</v>
      </c>
    </row>
    <row r="11277" spans="1:16" x14ac:dyDescent="0.25">
      <c r="A11277" t="s">
        <v>34053</v>
      </c>
      <c r="B11277" t="s">
        <v>8488</v>
      </c>
      <c r="C11277" t="s">
        <v>8489</v>
      </c>
      <c r="D11277" t="str">
        <f>"1841"</f>
        <v>1841</v>
      </c>
      <c r="E11277" t="s">
        <v>8490</v>
      </c>
      <c r="F11277" t="s">
        <v>1</v>
      </c>
      <c r="G11277" t="s">
        <v>16231</v>
      </c>
      <c r="H11277" t="s">
        <v>47054</v>
      </c>
      <c r="I11277" t="s">
        <v>47111</v>
      </c>
      <c r="J11277" t="s">
        <v>47112</v>
      </c>
      <c r="K11277" t="s">
        <v>47113</v>
      </c>
      <c r="L11277">
        <v>48.83</v>
      </c>
      <c r="M11277">
        <v>135</v>
      </c>
      <c r="N11277">
        <v>0</v>
      </c>
      <c r="O11277">
        <v>135</v>
      </c>
      <c r="P11277">
        <v>0</v>
      </c>
    </row>
    <row r="11278" spans="1:16" x14ac:dyDescent="0.25">
      <c r="A11278" t="s">
        <v>34054</v>
      </c>
      <c r="B11278" t="s">
        <v>8491</v>
      </c>
      <c r="C11278" t="s">
        <v>8492</v>
      </c>
      <c r="D11278" t="str">
        <f>"1841"</f>
        <v>1841</v>
      </c>
      <c r="E11278" t="s">
        <v>8490</v>
      </c>
      <c r="F11278" t="s">
        <v>1</v>
      </c>
      <c r="G11278" t="s">
        <v>16231</v>
      </c>
      <c r="H11278" t="s">
        <v>47054</v>
      </c>
      <c r="I11278" t="s">
        <v>47111</v>
      </c>
      <c r="J11278" t="s">
        <v>47112</v>
      </c>
      <c r="K11278" t="s">
        <v>47113</v>
      </c>
      <c r="L11278">
        <v>45.98</v>
      </c>
      <c r="M11278">
        <v>128</v>
      </c>
      <c r="N11278">
        <v>0</v>
      </c>
      <c r="O11278">
        <v>128</v>
      </c>
      <c r="P11278">
        <v>0</v>
      </c>
    </row>
    <row r="11279" spans="1:16" x14ac:dyDescent="0.25">
      <c r="A11279" t="s">
        <v>34055</v>
      </c>
      <c r="B11279" t="s">
        <v>8493</v>
      </c>
      <c r="C11279" t="s">
        <v>8494</v>
      </c>
      <c r="D11279" t="str">
        <f>"1984"</f>
        <v>1984</v>
      </c>
      <c r="E11279" t="s">
        <v>8495</v>
      </c>
      <c r="F11279" t="s">
        <v>1</v>
      </c>
      <c r="G11279" t="s">
        <v>16231</v>
      </c>
      <c r="H11279" t="s">
        <v>47054</v>
      </c>
      <c r="I11279" t="s">
        <v>47111</v>
      </c>
      <c r="J11279" t="s">
        <v>47112</v>
      </c>
      <c r="K11279" t="s">
        <v>47113</v>
      </c>
      <c r="L11279">
        <v>36.76</v>
      </c>
      <c r="M11279">
        <v>90</v>
      </c>
      <c r="N11279">
        <v>0</v>
      </c>
      <c r="O11279">
        <v>90</v>
      </c>
      <c r="P11279">
        <v>0</v>
      </c>
    </row>
    <row r="11280" spans="1:16" x14ac:dyDescent="0.25">
      <c r="A11280" t="s">
        <v>34056</v>
      </c>
      <c r="B11280" t="s">
        <v>8496</v>
      </c>
      <c r="C11280" t="s">
        <v>8497</v>
      </c>
      <c r="D11280" t="s">
        <v>8498</v>
      </c>
      <c r="E11280" t="s">
        <v>8499</v>
      </c>
      <c r="F11280" t="s">
        <v>3670</v>
      </c>
      <c r="G11280" t="s">
        <v>16233</v>
      </c>
      <c r="H11280" t="s">
        <v>47054</v>
      </c>
      <c r="I11280" t="s">
        <v>47111</v>
      </c>
      <c r="J11280" t="s">
        <v>47112</v>
      </c>
      <c r="K11280" t="s">
        <v>47113</v>
      </c>
      <c r="L11280">
        <v>44.13</v>
      </c>
      <c r="M11280">
        <v>100</v>
      </c>
      <c r="N11280">
        <v>0</v>
      </c>
      <c r="O11280">
        <v>100</v>
      </c>
      <c r="P11280">
        <v>0</v>
      </c>
    </row>
    <row r="11281" spans="1:16" x14ac:dyDescent="0.25">
      <c r="A11281" t="s">
        <v>34057</v>
      </c>
      <c r="B11281" t="s">
        <v>8500</v>
      </c>
      <c r="C11281" t="s">
        <v>8501</v>
      </c>
      <c r="D11281" t="s">
        <v>8498</v>
      </c>
      <c r="E11281" t="s">
        <v>8499</v>
      </c>
      <c r="F11281" t="s">
        <v>3670</v>
      </c>
      <c r="G11281" t="s">
        <v>16233</v>
      </c>
      <c r="H11281" t="s">
        <v>47054</v>
      </c>
      <c r="I11281" t="s">
        <v>47111</v>
      </c>
      <c r="J11281" t="s">
        <v>47112</v>
      </c>
      <c r="K11281" t="s">
        <v>47113</v>
      </c>
      <c r="L11281">
        <v>44.13</v>
      </c>
      <c r="M11281">
        <v>100</v>
      </c>
      <c r="N11281">
        <v>0</v>
      </c>
      <c r="O11281">
        <v>100</v>
      </c>
      <c r="P11281">
        <v>0</v>
      </c>
    </row>
    <row r="11282" spans="1:16" x14ac:dyDescent="0.25">
      <c r="A11282" t="s">
        <v>34058</v>
      </c>
      <c r="B11282" t="s">
        <v>8502</v>
      </c>
      <c r="C11282" t="s">
        <v>17888</v>
      </c>
      <c r="D11282" t="str">
        <f>"1821"</f>
        <v>1821</v>
      </c>
      <c r="E11282" t="s">
        <v>590</v>
      </c>
      <c r="F11282" t="s">
        <v>3558</v>
      </c>
      <c r="G11282" t="s">
        <v>16231</v>
      </c>
      <c r="H11282" t="s">
        <v>47054</v>
      </c>
      <c r="I11282" t="s">
        <v>47111</v>
      </c>
      <c r="J11282" t="s">
        <v>47112</v>
      </c>
      <c r="K11282" t="s">
        <v>47113</v>
      </c>
      <c r="L11282">
        <v>46.01</v>
      </c>
      <c r="M11282">
        <v>129</v>
      </c>
      <c r="N11282">
        <v>0</v>
      </c>
      <c r="O11282">
        <v>129</v>
      </c>
      <c r="P11282">
        <v>0</v>
      </c>
    </row>
    <row r="11283" spans="1:16" x14ac:dyDescent="0.25">
      <c r="A11283" t="s">
        <v>34059</v>
      </c>
      <c r="B11283" t="s">
        <v>8503</v>
      </c>
      <c r="C11283" t="s">
        <v>5171</v>
      </c>
      <c r="D11283" t="str">
        <f>"1743"</f>
        <v>1743</v>
      </c>
      <c r="E11283" t="s">
        <v>5799</v>
      </c>
      <c r="F11283" t="s">
        <v>296</v>
      </c>
      <c r="G11283" t="s">
        <v>16231</v>
      </c>
      <c r="H11283" t="s">
        <v>47054</v>
      </c>
      <c r="I11283" t="s">
        <v>47111</v>
      </c>
      <c r="J11283" t="s">
        <v>47112</v>
      </c>
      <c r="K11283" t="s">
        <v>47113</v>
      </c>
      <c r="L11283">
        <v>41.22</v>
      </c>
      <c r="M11283">
        <v>94</v>
      </c>
      <c r="N11283">
        <v>0</v>
      </c>
      <c r="O11283">
        <v>94</v>
      </c>
      <c r="P11283">
        <v>0</v>
      </c>
    </row>
    <row r="11284" spans="1:16" x14ac:dyDescent="0.25">
      <c r="A11284" t="s">
        <v>34060</v>
      </c>
      <c r="B11284" t="s">
        <v>8503</v>
      </c>
      <c r="C11284" t="s">
        <v>5171</v>
      </c>
      <c r="D11284" t="str">
        <f>"3326"</f>
        <v>3326</v>
      </c>
      <c r="E11284" t="s">
        <v>5755</v>
      </c>
      <c r="F11284" t="s">
        <v>296</v>
      </c>
      <c r="G11284" t="s">
        <v>16231</v>
      </c>
      <c r="H11284" t="s">
        <v>47054</v>
      </c>
      <c r="I11284" t="s">
        <v>47111</v>
      </c>
      <c r="J11284" t="s">
        <v>47112</v>
      </c>
      <c r="K11284" t="s">
        <v>47113</v>
      </c>
      <c r="L11284">
        <v>40.119999999999997</v>
      </c>
      <c r="M11284">
        <v>94</v>
      </c>
      <c r="N11284">
        <v>0</v>
      </c>
      <c r="O11284">
        <v>94</v>
      </c>
      <c r="P11284">
        <v>0</v>
      </c>
    </row>
    <row r="11285" spans="1:16" x14ac:dyDescent="0.25">
      <c r="A11285" t="s">
        <v>34061</v>
      </c>
      <c r="B11285" t="s">
        <v>8503</v>
      </c>
      <c r="C11285" t="s">
        <v>5171</v>
      </c>
      <c r="D11285" t="str">
        <f>"6028"</f>
        <v>6028</v>
      </c>
      <c r="E11285" t="s">
        <v>8504</v>
      </c>
      <c r="F11285" t="s">
        <v>296</v>
      </c>
      <c r="G11285" t="s">
        <v>16231</v>
      </c>
      <c r="H11285" t="s">
        <v>47054</v>
      </c>
      <c r="I11285" t="s">
        <v>47111</v>
      </c>
      <c r="J11285" t="s">
        <v>47112</v>
      </c>
      <c r="K11285" t="s">
        <v>47113</v>
      </c>
      <c r="L11285">
        <v>41.22</v>
      </c>
      <c r="M11285">
        <v>94</v>
      </c>
      <c r="N11285">
        <v>0</v>
      </c>
      <c r="O11285">
        <v>94</v>
      </c>
      <c r="P11285">
        <v>0</v>
      </c>
    </row>
    <row r="11286" spans="1:16" x14ac:dyDescent="0.25">
      <c r="A11286" t="s">
        <v>34062</v>
      </c>
      <c r="B11286" t="s">
        <v>8503</v>
      </c>
      <c r="C11286" t="s">
        <v>5171</v>
      </c>
      <c r="D11286" t="str">
        <f>"7315"</f>
        <v>7315</v>
      </c>
      <c r="E11286" t="s">
        <v>8505</v>
      </c>
      <c r="F11286" t="s">
        <v>296</v>
      </c>
      <c r="G11286" t="s">
        <v>16231</v>
      </c>
      <c r="H11286" t="s">
        <v>47054</v>
      </c>
      <c r="I11286" t="s">
        <v>47111</v>
      </c>
      <c r="J11286" t="s">
        <v>47112</v>
      </c>
      <c r="K11286" t="s">
        <v>47113</v>
      </c>
      <c r="L11286">
        <v>41.22</v>
      </c>
      <c r="M11286">
        <v>94</v>
      </c>
      <c r="N11286">
        <v>0</v>
      </c>
      <c r="O11286">
        <v>94</v>
      </c>
      <c r="P11286">
        <v>0</v>
      </c>
    </row>
    <row r="11287" spans="1:16" x14ac:dyDescent="0.25">
      <c r="A11287" t="s">
        <v>34063</v>
      </c>
      <c r="B11287" t="s">
        <v>8506</v>
      </c>
      <c r="C11287" t="s">
        <v>8507</v>
      </c>
      <c r="D11287" t="str">
        <f>"1362"</f>
        <v>1362</v>
      </c>
      <c r="E11287" t="s">
        <v>8481</v>
      </c>
      <c r="F11287" t="s">
        <v>2</v>
      </c>
      <c r="G11287" t="s">
        <v>16231</v>
      </c>
      <c r="I11287" t="s">
        <v>47111</v>
      </c>
      <c r="J11287" t="s">
        <v>47112</v>
      </c>
      <c r="K11287" t="s">
        <v>47113</v>
      </c>
      <c r="L11287">
        <v>44.49</v>
      </c>
      <c r="M11287">
        <v>85</v>
      </c>
      <c r="N11287">
        <v>0</v>
      </c>
      <c r="O11287">
        <v>85</v>
      </c>
      <c r="P11287">
        <v>0</v>
      </c>
    </row>
    <row r="11288" spans="1:16" x14ac:dyDescent="0.25">
      <c r="A11288" t="s">
        <v>34064</v>
      </c>
      <c r="B11288" t="s">
        <v>8506</v>
      </c>
      <c r="C11288" t="s">
        <v>8507</v>
      </c>
      <c r="D11288" t="str">
        <f>"2638"</f>
        <v>2638</v>
      </c>
      <c r="E11288" t="s">
        <v>8482</v>
      </c>
      <c r="F11288" t="s">
        <v>2</v>
      </c>
      <c r="G11288" t="s">
        <v>16231</v>
      </c>
      <c r="I11288" t="s">
        <v>47111</v>
      </c>
      <c r="J11288" t="s">
        <v>47112</v>
      </c>
      <c r="K11288" t="s">
        <v>47113</v>
      </c>
      <c r="L11288">
        <v>44.49</v>
      </c>
      <c r="M11288">
        <v>85</v>
      </c>
      <c r="N11288">
        <v>0</v>
      </c>
      <c r="O11288">
        <v>85</v>
      </c>
      <c r="P11288">
        <v>0</v>
      </c>
    </row>
    <row r="11289" spans="1:16" x14ac:dyDescent="0.25">
      <c r="A11289" t="s">
        <v>34065</v>
      </c>
      <c r="B11289" t="s">
        <v>8506</v>
      </c>
      <c r="C11289" t="s">
        <v>8507</v>
      </c>
      <c r="D11289" t="str">
        <f>"3241"</f>
        <v>3241</v>
      </c>
      <c r="E11289" t="s">
        <v>8483</v>
      </c>
      <c r="F11289" t="s">
        <v>2</v>
      </c>
      <c r="G11289" t="s">
        <v>16231</v>
      </c>
      <c r="I11289" t="s">
        <v>47111</v>
      </c>
      <c r="J11289" t="s">
        <v>47112</v>
      </c>
      <c r="K11289" t="s">
        <v>47113</v>
      </c>
      <c r="L11289">
        <v>44.49</v>
      </c>
      <c r="M11289">
        <v>85</v>
      </c>
      <c r="N11289">
        <v>0</v>
      </c>
      <c r="O11289">
        <v>85</v>
      </c>
      <c r="P11289">
        <v>0</v>
      </c>
    </row>
    <row r="11290" spans="1:16" x14ac:dyDescent="0.25">
      <c r="A11290" t="s">
        <v>34066</v>
      </c>
      <c r="B11290" t="s">
        <v>8506</v>
      </c>
      <c r="C11290" t="s">
        <v>8507</v>
      </c>
      <c r="D11290" t="str">
        <f>"4484"</f>
        <v>4484</v>
      </c>
      <c r="E11290" t="s">
        <v>2843</v>
      </c>
      <c r="F11290" t="s">
        <v>2</v>
      </c>
      <c r="G11290" t="s">
        <v>16231</v>
      </c>
      <c r="I11290" t="s">
        <v>47111</v>
      </c>
      <c r="J11290" t="s">
        <v>47112</v>
      </c>
      <c r="K11290" t="s">
        <v>47113</v>
      </c>
      <c r="L11290">
        <v>44.49</v>
      </c>
      <c r="M11290">
        <v>85</v>
      </c>
      <c r="N11290">
        <v>0</v>
      </c>
      <c r="O11290">
        <v>85</v>
      </c>
      <c r="P11290">
        <v>0</v>
      </c>
    </row>
    <row r="11291" spans="1:16" x14ac:dyDescent="0.25">
      <c r="A11291" t="s">
        <v>34067</v>
      </c>
      <c r="B11291" t="s">
        <v>8506</v>
      </c>
      <c r="C11291" t="s">
        <v>8507</v>
      </c>
      <c r="D11291" t="str">
        <f>"8339"</f>
        <v>8339</v>
      </c>
      <c r="E11291" t="s">
        <v>8484</v>
      </c>
      <c r="F11291" t="s">
        <v>2</v>
      </c>
      <c r="G11291" t="s">
        <v>16231</v>
      </c>
      <c r="I11291" t="s">
        <v>47111</v>
      </c>
      <c r="J11291" t="s">
        <v>47112</v>
      </c>
      <c r="K11291" t="s">
        <v>47113</v>
      </c>
      <c r="L11291">
        <v>44.49</v>
      </c>
      <c r="M11291">
        <v>85</v>
      </c>
      <c r="N11291">
        <v>0</v>
      </c>
      <c r="O11291">
        <v>85</v>
      </c>
      <c r="P11291">
        <v>0</v>
      </c>
    </row>
    <row r="11292" spans="1:16" x14ac:dyDescent="0.25">
      <c r="A11292" t="s">
        <v>34068</v>
      </c>
      <c r="B11292" t="s">
        <v>8508</v>
      </c>
      <c r="C11292" t="s">
        <v>8509</v>
      </c>
      <c r="D11292" t="str">
        <f>"3241"</f>
        <v>3241</v>
      </c>
      <c r="E11292" t="s">
        <v>8483</v>
      </c>
      <c r="F11292" t="s">
        <v>2</v>
      </c>
      <c r="G11292" t="s">
        <v>16231</v>
      </c>
      <c r="H11292" t="s">
        <v>47054</v>
      </c>
      <c r="I11292" t="s">
        <v>47111</v>
      </c>
      <c r="J11292" t="s">
        <v>47112</v>
      </c>
      <c r="K11292" t="s">
        <v>47113</v>
      </c>
      <c r="L11292">
        <v>41.11</v>
      </c>
      <c r="M11292">
        <v>108</v>
      </c>
      <c r="N11292">
        <v>0</v>
      </c>
      <c r="O11292">
        <v>108</v>
      </c>
      <c r="P11292">
        <v>0</v>
      </c>
    </row>
    <row r="11293" spans="1:16" x14ac:dyDescent="0.25">
      <c r="A11293" t="s">
        <v>34069</v>
      </c>
      <c r="B11293" t="s">
        <v>8510</v>
      </c>
      <c r="C11293" t="s">
        <v>8511</v>
      </c>
      <c r="D11293" t="str">
        <f>"1529"</f>
        <v>1529</v>
      </c>
      <c r="E11293" t="s">
        <v>8512</v>
      </c>
      <c r="F11293" t="s">
        <v>6</v>
      </c>
      <c r="G11293" t="s">
        <v>16231</v>
      </c>
      <c r="H11293" t="s">
        <v>47054</v>
      </c>
      <c r="I11293" t="s">
        <v>47111</v>
      </c>
      <c r="J11293" t="s">
        <v>47112</v>
      </c>
      <c r="K11293" t="s">
        <v>47113</v>
      </c>
      <c r="L11293">
        <v>35.89</v>
      </c>
      <c r="M11293">
        <v>88</v>
      </c>
      <c r="N11293">
        <v>0</v>
      </c>
      <c r="O11293">
        <v>88</v>
      </c>
      <c r="P11293">
        <v>0</v>
      </c>
    </row>
    <row r="11294" spans="1:16" x14ac:dyDescent="0.25">
      <c r="A11294" t="s">
        <v>34070</v>
      </c>
      <c r="B11294" t="s">
        <v>8510</v>
      </c>
      <c r="C11294" t="s">
        <v>8511</v>
      </c>
      <c r="D11294" t="str">
        <f>"1766"</f>
        <v>1766</v>
      </c>
      <c r="E11294" t="s">
        <v>8513</v>
      </c>
      <c r="F11294" t="s">
        <v>6</v>
      </c>
      <c r="G11294" t="s">
        <v>16231</v>
      </c>
      <c r="H11294" t="s">
        <v>47054</v>
      </c>
      <c r="I11294" t="s">
        <v>47111</v>
      </c>
      <c r="J11294" t="s">
        <v>47112</v>
      </c>
      <c r="K11294" t="s">
        <v>47113</v>
      </c>
      <c r="L11294">
        <v>35.89</v>
      </c>
      <c r="M11294">
        <v>88</v>
      </c>
      <c r="N11294">
        <v>0</v>
      </c>
      <c r="O11294">
        <v>88</v>
      </c>
      <c r="P11294">
        <v>0</v>
      </c>
    </row>
    <row r="11295" spans="1:16" x14ac:dyDescent="0.25">
      <c r="A11295" t="s">
        <v>34071</v>
      </c>
      <c r="B11295" t="s">
        <v>8514</v>
      </c>
      <c r="C11295" t="s">
        <v>8515</v>
      </c>
      <c r="D11295" t="str">
        <f>"1766"</f>
        <v>1766</v>
      </c>
      <c r="E11295" t="s">
        <v>8513</v>
      </c>
      <c r="F11295" t="s">
        <v>7</v>
      </c>
      <c r="G11295" t="s">
        <v>16231</v>
      </c>
      <c r="H11295" t="s">
        <v>47054</v>
      </c>
      <c r="I11295" t="s">
        <v>47111</v>
      </c>
      <c r="J11295" t="s">
        <v>47112</v>
      </c>
      <c r="K11295" t="s">
        <v>47113</v>
      </c>
      <c r="L11295">
        <v>40.19</v>
      </c>
      <c r="M11295">
        <v>95</v>
      </c>
      <c r="N11295">
        <v>0</v>
      </c>
      <c r="O11295">
        <v>95</v>
      </c>
      <c r="P11295">
        <v>0</v>
      </c>
    </row>
    <row r="11296" spans="1:16" x14ac:dyDescent="0.25">
      <c r="A11296" t="s">
        <v>34072</v>
      </c>
      <c r="B11296" t="s">
        <v>8514</v>
      </c>
      <c r="C11296" t="s">
        <v>8515</v>
      </c>
      <c r="D11296" t="str">
        <f>"2015"</f>
        <v>2015</v>
      </c>
      <c r="E11296" t="s">
        <v>8516</v>
      </c>
      <c r="F11296" t="s">
        <v>7</v>
      </c>
      <c r="G11296" t="s">
        <v>16231</v>
      </c>
      <c r="H11296" t="s">
        <v>47054</v>
      </c>
      <c r="I11296" t="s">
        <v>47111</v>
      </c>
      <c r="J11296" t="s">
        <v>47112</v>
      </c>
      <c r="K11296" t="s">
        <v>47113</v>
      </c>
      <c r="L11296">
        <v>39.65</v>
      </c>
      <c r="M11296">
        <v>95</v>
      </c>
      <c r="N11296">
        <v>0</v>
      </c>
      <c r="O11296">
        <v>95</v>
      </c>
      <c r="P11296">
        <v>0</v>
      </c>
    </row>
    <row r="11297" spans="1:16" x14ac:dyDescent="0.25">
      <c r="A11297" t="s">
        <v>34073</v>
      </c>
      <c r="B11297" t="s">
        <v>8514</v>
      </c>
      <c r="C11297" t="s">
        <v>8515</v>
      </c>
      <c r="D11297" t="str">
        <f>"2516"</f>
        <v>2516</v>
      </c>
      <c r="E11297" t="s">
        <v>8517</v>
      </c>
      <c r="F11297" t="s">
        <v>7</v>
      </c>
      <c r="G11297" t="s">
        <v>16231</v>
      </c>
      <c r="H11297" t="s">
        <v>47054</v>
      </c>
      <c r="I11297" t="s">
        <v>47111</v>
      </c>
      <c r="J11297" t="s">
        <v>47112</v>
      </c>
      <c r="K11297" t="s">
        <v>47113</v>
      </c>
      <c r="L11297">
        <v>38.01</v>
      </c>
      <c r="M11297">
        <v>95</v>
      </c>
      <c r="N11297">
        <v>0</v>
      </c>
      <c r="O11297">
        <v>95</v>
      </c>
      <c r="P11297">
        <v>0</v>
      </c>
    </row>
    <row r="11298" spans="1:16" x14ac:dyDescent="0.25">
      <c r="A11298" t="s">
        <v>34074</v>
      </c>
      <c r="B11298" t="s">
        <v>8514</v>
      </c>
      <c r="C11298" t="s">
        <v>8515</v>
      </c>
      <c r="D11298" t="str">
        <f>"4021"</f>
        <v>4021</v>
      </c>
      <c r="E11298" t="s">
        <v>8518</v>
      </c>
      <c r="F11298" t="s">
        <v>7</v>
      </c>
      <c r="G11298" t="s">
        <v>16231</v>
      </c>
      <c r="H11298" t="s">
        <v>47054</v>
      </c>
      <c r="I11298" t="s">
        <v>47111</v>
      </c>
      <c r="J11298" t="s">
        <v>47112</v>
      </c>
      <c r="K11298" t="s">
        <v>47113</v>
      </c>
      <c r="L11298">
        <v>39.65</v>
      </c>
      <c r="M11298">
        <v>95</v>
      </c>
      <c r="N11298">
        <v>0</v>
      </c>
      <c r="O11298">
        <v>95</v>
      </c>
      <c r="P11298">
        <v>0</v>
      </c>
    </row>
    <row r="11299" spans="1:16" x14ac:dyDescent="0.25">
      <c r="A11299" t="s">
        <v>34075</v>
      </c>
      <c r="B11299" t="s">
        <v>8519</v>
      </c>
      <c r="C11299" t="s">
        <v>8520</v>
      </c>
      <c r="D11299" t="str">
        <f>"1766"</f>
        <v>1766</v>
      </c>
      <c r="E11299" t="s">
        <v>8513</v>
      </c>
      <c r="F11299" t="s">
        <v>7</v>
      </c>
      <c r="G11299" t="s">
        <v>16231</v>
      </c>
      <c r="H11299" t="s">
        <v>47054</v>
      </c>
      <c r="I11299" t="s">
        <v>47111</v>
      </c>
      <c r="J11299" t="s">
        <v>47112</v>
      </c>
      <c r="K11299" t="s">
        <v>47113</v>
      </c>
      <c r="L11299">
        <v>40.06</v>
      </c>
      <c r="M11299">
        <v>95</v>
      </c>
      <c r="N11299">
        <v>0</v>
      </c>
      <c r="O11299">
        <v>95</v>
      </c>
      <c r="P11299">
        <v>0</v>
      </c>
    </row>
    <row r="11300" spans="1:16" x14ac:dyDescent="0.25">
      <c r="A11300" t="s">
        <v>34076</v>
      </c>
      <c r="B11300" t="s">
        <v>8519</v>
      </c>
      <c r="C11300" t="s">
        <v>8520</v>
      </c>
      <c r="D11300" t="str">
        <f>"2015"</f>
        <v>2015</v>
      </c>
      <c r="E11300" t="s">
        <v>8516</v>
      </c>
      <c r="F11300" t="s">
        <v>7</v>
      </c>
      <c r="G11300" t="s">
        <v>16231</v>
      </c>
      <c r="H11300" t="s">
        <v>47054</v>
      </c>
      <c r="I11300" t="s">
        <v>47111</v>
      </c>
      <c r="J11300" t="s">
        <v>47112</v>
      </c>
      <c r="K11300" t="s">
        <v>47113</v>
      </c>
      <c r="L11300">
        <v>40.119999999999997</v>
      </c>
      <c r="M11300">
        <v>95</v>
      </c>
      <c r="N11300">
        <v>0</v>
      </c>
      <c r="O11300">
        <v>95</v>
      </c>
      <c r="P11300">
        <v>0</v>
      </c>
    </row>
    <row r="11301" spans="1:16" x14ac:dyDescent="0.25">
      <c r="A11301" t="s">
        <v>34077</v>
      </c>
      <c r="B11301" t="s">
        <v>8519</v>
      </c>
      <c r="C11301" t="s">
        <v>8520</v>
      </c>
      <c r="D11301" t="str">
        <f>"2516"</f>
        <v>2516</v>
      </c>
      <c r="E11301" t="s">
        <v>8517</v>
      </c>
      <c r="F11301" t="s">
        <v>7</v>
      </c>
      <c r="G11301" t="s">
        <v>16231</v>
      </c>
      <c r="H11301" t="s">
        <v>47054</v>
      </c>
      <c r="I11301" t="s">
        <v>47111</v>
      </c>
      <c r="J11301" t="s">
        <v>47112</v>
      </c>
      <c r="K11301" t="s">
        <v>47113</v>
      </c>
      <c r="L11301">
        <v>40.119999999999997</v>
      </c>
      <c r="M11301">
        <v>95</v>
      </c>
      <c r="N11301">
        <v>0</v>
      </c>
      <c r="O11301">
        <v>95</v>
      </c>
      <c r="P11301">
        <v>0</v>
      </c>
    </row>
    <row r="11302" spans="1:16" x14ac:dyDescent="0.25">
      <c r="A11302" t="s">
        <v>34078</v>
      </c>
      <c r="B11302" t="s">
        <v>8519</v>
      </c>
      <c r="C11302" t="s">
        <v>8520</v>
      </c>
      <c r="D11302" t="str">
        <f>"4021"</f>
        <v>4021</v>
      </c>
      <c r="E11302" t="s">
        <v>8518</v>
      </c>
      <c r="F11302" t="s">
        <v>7</v>
      </c>
      <c r="G11302" t="s">
        <v>16231</v>
      </c>
      <c r="H11302" t="s">
        <v>47054</v>
      </c>
      <c r="I11302" t="s">
        <v>47111</v>
      </c>
      <c r="J11302" t="s">
        <v>47112</v>
      </c>
      <c r="K11302" t="s">
        <v>47113</v>
      </c>
      <c r="L11302">
        <v>40.119999999999997</v>
      </c>
      <c r="M11302">
        <v>95</v>
      </c>
      <c r="N11302">
        <v>0</v>
      </c>
      <c r="O11302">
        <v>95</v>
      </c>
      <c r="P11302">
        <v>0</v>
      </c>
    </row>
    <row r="11303" spans="1:16" x14ac:dyDescent="0.25">
      <c r="A11303" t="s">
        <v>34079</v>
      </c>
      <c r="B11303" t="s">
        <v>8521</v>
      </c>
      <c r="C11303" t="s">
        <v>7060</v>
      </c>
      <c r="D11303" t="str">
        <f>"2015"</f>
        <v>2015</v>
      </c>
      <c r="E11303" t="s">
        <v>8516</v>
      </c>
      <c r="F11303" t="s">
        <v>7</v>
      </c>
      <c r="G11303" t="s">
        <v>16224</v>
      </c>
      <c r="H11303" t="s">
        <v>47054</v>
      </c>
      <c r="I11303" t="s">
        <v>47116</v>
      </c>
      <c r="J11303" t="s">
        <v>47117</v>
      </c>
      <c r="K11303" t="s">
        <v>47113</v>
      </c>
      <c r="L11303">
        <v>71.25</v>
      </c>
      <c r="M11303">
        <v>96</v>
      </c>
      <c r="N11303">
        <v>0</v>
      </c>
      <c r="O11303">
        <v>96</v>
      </c>
      <c r="P11303">
        <v>0</v>
      </c>
    </row>
    <row r="11304" spans="1:16" x14ac:dyDescent="0.25">
      <c r="A11304" t="s">
        <v>34080</v>
      </c>
      <c r="B11304" t="s">
        <v>8522</v>
      </c>
      <c r="C11304" t="s">
        <v>8523</v>
      </c>
      <c r="D11304" t="str">
        <f>"1197"</f>
        <v>1197</v>
      </c>
      <c r="E11304" t="s">
        <v>8524</v>
      </c>
      <c r="F11304" t="s">
        <v>2</v>
      </c>
      <c r="G11304" t="s">
        <v>16231</v>
      </c>
      <c r="H11304" t="s">
        <v>47054</v>
      </c>
      <c r="I11304" t="s">
        <v>47111</v>
      </c>
      <c r="J11304" t="s">
        <v>47112</v>
      </c>
      <c r="K11304" t="s">
        <v>47113</v>
      </c>
      <c r="L11304">
        <v>41.54</v>
      </c>
      <c r="M11304">
        <v>112</v>
      </c>
      <c r="N11304">
        <v>0</v>
      </c>
      <c r="O11304">
        <v>112</v>
      </c>
      <c r="P11304">
        <v>0</v>
      </c>
    </row>
    <row r="11305" spans="1:16" x14ac:dyDescent="0.25">
      <c r="A11305" t="s">
        <v>34081</v>
      </c>
      <c r="B11305" t="s">
        <v>8522</v>
      </c>
      <c r="C11305" t="s">
        <v>8523</v>
      </c>
      <c r="D11305" t="str">
        <f>"1912"</f>
        <v>1912</v>
      </c>
      <c r="E11305" t="s">
        <v>8525</v>
      </c>
      <c r="F11305" t="s">
        <v>2</v>
      </c>
      <c r="G11305" t="s">
        <v>16231</v>
      </c>
      <c r="H11305" t="s">
        <v>47054</v>
      </c>
      <c r="I11305" t="s">
        <v>47111</v>
      </c>
      <c r="J11305" t="s">
        <v>47112</v>
      </c>
      <c r="K11305" t="s">
        <v>47113</v>
      </c>
      <c r="L11305">
        <v>41.54</v>
      </c>
      <c r="M11305">
        <v>112</v>
      </c>
      <c r="N11305">
        <v>0</v>
      </c>
      <c r="O11305">
        <v>112</v>
      </c>
      <c r="P11305">
        <v>0</v>
      </c>
    </row>
    <row r="11306" spans="1:16" x14ac:dyDescent="0.25">
      <c r="A11306" t="s">
        <v>34082</v>
      </c>
      <c r="B11306" t="s">
        <v>8522</v>
      </c>
      <c r="C11306" t="s">
        <v>8523</v>
      </c>
      <c r="D11306" t="str">
        <f>"2735"</f>
        <v>2735</v>
      </c>
      <c r="E11306" t="s">
        <v>8526</v>
      </c>
      <c r="F11306" t="s">
        <v>2</v>
      </c>
      <c r="G11306" t="s">
        <v>16231</v>
      </c>
      <c r="H11306" t="s">
        <v>47054</v>
      </c>
      <c r="I11306" t="s">
        <v>47111</v>
      </c>
      <c r="J11306" t="s">
        <v>47112</v>
      </c>
      <c r="K11306" t="s">
        <v>47113</v>
      </c>
      <c r="L11306">
        <v>41.54</v>
      </c>
      <c r="M11306">
        <v>112</v>
      </c>
      <c r="N11306">
        <v>0</v>
      </c>
      <c r="O11306">
        <v>112</v>
      </c>
      <c r="P11306">
        <v>0</v>
      </c>
    </row>
    <row r="11307" spans="1:16" x14ac:dyDescent="0.25">
      <c r="A11307" t="s">
        <v>34083</v>
      </c>
      <c r="B11307" t="s">
        <v>8522</v>
      </c>
      <c r="C11307" t="s">
        <v>8523</v>
      </c>
      <c r="D11307" t="str">
        <f>"4322"</f>
        <v>4322</v>
      </c>
      <c r="E11307" t="s">
        <v>8527</v>
      </c>
      <c r="F11307" t="s">
        <v>2</v>
      </c>
      <c r="G11307" t="s">
        <v>16231</v>
      </c>
      <c r="H11307" t="s">
        <v>47054</v>
      </c>
      <c r="I11307" t="s">
        <v>47111</v>
      </c>
      <c r="J11307" t="s">
        <v>47112</v>
      </c>
      <c r="K11307" t="s">
        <v>47113</v>
      </c>
      <c r="L11307">
        <v>41.54</v>
      </c>
      <c r="M11307">
        <v>112</v>
      </c>
      <c r="N11307">
        <v>0</v>
      </c>
      <c r="O11307">
        <v>112</v>
      </c>
      <c r="P11307">
        <v>0</v>
      </c>
    </row>
    <row r="11308" spans="1:16" x14ac:dyDescent="0.25">
      <c r="A11308" t="s">
        <v>34084</v>
      </c>
      <c r="B11308" t="s">
        <v>8522</v>
      </c>
      <c r="C11308" t="s">
        <v>8523</v>
      </c>
      <c r="D11308" t="str">
        <f>"6170"</f>
        <v>6170</v>
      </c>
      <c r="E11308" t="s">
        <v>8528</v>
      </c>
      <c r="F11308" t="s">
        <v>2</v>
      </c>
      <c r="G11308" t="s">
        <v>16231</v>
      </c>
      <c r="H11308" t="s">
        <v>47054</v>
      </c>
      <c r="I11308" t="s">
        <v>47111</v>
      </c>
      <c r="J11308" t="s">
        <v>47112</v>
      </c>
      <c r="K11308" t="s">
        <v>47113</v>
      </c>
      <c r="L11308">
        <v>41.54</v>
      </c>
      <c r="M11308">
        <v>112</v>
      </c>
      <c r="N11308">
        <v>0</v>
      </c>
      <c r="O11308">
        <v>112</v>
      </c>
      <c r="P11308">
        <v>0</v>
      </c>
    </row>
    <row r="11309" spans="1:16" x14ac:dyDescent="0.25">
      <c r="A11309" t="s">
        <v>34085</v>
      </c>
      <c r="B11309" t="s">
        <v>8522</v>
      </c>
      <c r="C11309" t="s">
        <v>8523</v>
      </c>
      <c r="D11309" t="str">
        <f>"8338"</f>
        <v>8338</v>
      </c>
      <c r="E11309" t="s">
        <v>8529</v>
      </c>
      <c r="F11309" t="s">
        <v>2</v>
      </c>
      <c r="G11309" t="s">
        <v>16231</v>
      </c>
      <c r="H11309" t="s">
        <v>47054</v>
      </c>
      <c r="I11309" t="s">
        <v>47111</v>
      </c>
      <c r="J11309" t="s">
        <v>47112</v>
      </c>
      <c r="K11309" t="s">
        <v>47113</v>
      </c>
      <c r="L11309">
        <v>41.54</v>
      </c>
      <c r="M11309">
        <v>112</v>
      </c>
      <c r="N11309">
        <v>0</v>
      </c>
      <c r="O11309">
        <v>112</v>
      </c>
      <c r="P11309">
        <v>0</v>
      </c>
    </row>
    <row r="11310" spans="1:16" x14ac:dyDescent="0.25">
      <c r="A11310" t="s">
        <v>34086</v>
      </c>
      <c r="B11310" t="s">
        <v>8530</v>
      </c>
      <c r="C11310" t="s">
        <v>8531</v>
      </c>
      <c r="D11310" t="str">
        <f>"1197"</f>
        <v>1197</v>
      </c>
      <c r="E11310" t="s">
        <v>8524</v>
      </c>
      <c r="F11310" t="s">
        <v>2</v>
      </c>
      <c r="G11310" t="s">
        <v>16231</v>
      </c>
      <c r="H11310" t="s">
        <v>47054</v>
      </c>
      <c r="I11310" t="s">
        <v>47111</v>
      </c>
      <c r="J11310" t="s">
        <v>47112</v>
      </c>
      <c r="K11310" t="s">
        <v>47113</v>
      </c>
      <c r="L11310">
        <v>32.909999999999997</v>
      </c>
      <c r="M11310">
        <v>112</v>
      </c>
      <c r="N11310">
        <v>0</v>
      </c>
      <c r="O11310">
        <v>112</v>
      </c>
      <c r="P11310">
        <v>0</v>
      </c>
    </row>
    <row r="11311" spans="1:16" x14ac:dyDescent="0.25">
      <c r="A11311" t="s">
        <v>34087</v>
      </c>
      <c r="B11311" t="s">
        <v>8530</v>
      </c>
      <c r="C11311" t="s">
        <v>8531</v>
      </c>
      <c r="D11311" t="str">
        <f>"1912"</f>
        <v>1912</v>
      </c>
      <c r="E11311" t="s">
        <v>8525</v>
      </c>
      <c r="F11311" t="s">
        <v>2</v>
      </c>
      <c r="G11311" t="s">
        <v>16231</v>
      </c>
      <c r="H11311" t="s">
        <v>47054</v>
      </c>
      <c r="I11311" t="s">
        <v>47111</v>
      </c>
      <c r="J11311" t="s">
        <v>47112</v>
      </c>
      <c r="K11311" t="s">
        <v>47113</v>
      </c>
      <c r="L11311">
        <v>41.54</v>
      </c>
      <c r="M11311">
        <v>112</v>
      </c>
      <c r="N11311">
        <v>0</v>
      </c>
      <c r="O11311">
        <v>112</v>
      </c>
      <c r="P11311">
        <v>0</v>
      </c>
    </row>
    <row r="11312" spans="1:16" x14ac:dyDescent="0.25">
      <c r="A11312" t="s">
        <v>34088</v>
      </c>
      <c r="B11312" t="s">
        <v>8530</v>
      </c>
      <c r="C11312" t="s">
        <v>8531</v>
      </c>
      <c r="D11312" t="str">
        <f>"2735"</f>
        <v>2735</v>
      </c>
      <c r="E11312" t="s">
        <v>8526</v>
      </c>
      <c r="F11312" t="s">
        <v>2</v>
      </c>
      <c r="G11312" t="s">
        <v>16231</v>
      </c>
      <c r="H11312" t="s">
        <v>47054</v>
      </c>
      <c r="I11312" t="s">
        <v>47111</v>
      </c>
      <c r="J11312" t="s">
        <v>47112</v>
      </c>
      <c r="K11312" t="s">
        <v>47113</v>
      </c>
      <c r="L11312">
        <v>41.54</v>
      </c>
      <c r="M11312">
        <v>112</v>
      </c>
      <c r="N11312">
        <v>0</v>
      </c>
      <c r="O11312">
        <v>112</v>
      </c>
      <c r="P11312">
        <v>0</v>
      </c>
    </row>
    <row r="11313" spans="1:16" x14ac:dyDescent="0.25">
      <c r="A11313" t="s">
        <v>34089</v>
      </c>
      <c r="B11313" t="s">
        <v>8530</v>
      </c>
      <c r="C11313" t="s">
        <v>8531</v>
      </c>
      <c r="D11313" t="str">
        <f>"4322"</f>
        <v>4322</v>
      </c>
      <c r="E11313" t="s">
        <v>8527</v>
      </c>
      <c r="F11313" t="s">
        <v>2</v>
      </c>
      <c r="G11313" t="s">
        <v>16231</v>
      </c>
      <c r="H11313" t="s">
        <v>47054</v>
      </c>
      <c r="I11313" t="s">
        <v>47111</v>
      </c>
      <c r="J11313" t="s">
        <v>47112</v>
      </c>
      <c r="K11313" t="s">
        <v>47113</v>
      </c>
      <c r="L11313">
        <v>41.54</v>
      </c>
      <c r="M11313">
        <v>112</v>
      </c>
      <c r="N11313">
        <v>0</v>
      </c>
      <c r="O11313">
        <v>112</v>
      </c>
      <c r="P11313">
        <v>0</v>
      </c>
    </row>
    <row r="11314" spans="1:16" x14ac:dyDescent="0.25">
      <c r="A11314" t="s">
        <v>34090</v>
      </c>
      <c r="B11314" t="s">
        <v>8530</v>
      </c>
      <c r="C11314" t="s">
        <v>8531</v>
      </c>
      <c r="D11314" t="str">
        <f>"6170"</f>
        <v>6170</v>
      </c>
      <c r="E11314" t="s">
        <v>8528</v>
      </c>
      <c r="F11314" t="s">
        <v>2</v>
      </c>
      <c r="G11314" t="s">
        <v>16231</v>
      </c>
      <c r="H11314" t="s">
        <v>47054</v>
      </c>
      <c r="I11314" t="s">
        <v>47111</v>
      </c>
      <c r="J11314" t="s">
        <v>47112</v>
      </c>
      <c r="K11314" t="s">
        <v>47113</v>
      </c>
      <c r="L11314">
        <v>41.54</v>
      </c>
      <c r="M11314">
        <v>112</v>
      </c>
      <c r="N11314">
        <v>0</v>
      </c>
      <c r="O11314">
        <v>112</v>
      </c>
      <c r="P11314">
        <v>0</v>
      </c>
    </row>
    <row r="11315" spans="1:16" x14ac:dyDescent="0.25">
      <c r="A11315" t="s">
        <v>34091</v>
      </c>
      <c r="B11315" t="s">
        <v>8530</v>
      </c>
      <c r="C11315" t="s">
        <v>8531</v>
      </c>
      <c r="D11315" t="str">
        <f>"8338"</f>
        <v>8338</v>
      </c>
      <c r="E11315" t="s">
        <v>8529</v>
      </c>
      <c r="F11315" t="s">
        <v>2</v>
      </c>
      <c r="G11315" t="s">
        <v>16231</v>
      </c>
      <c r="H11315" t="s">
        <v>47054</v>
      </c>
      <c r="I11315" t="s">
        <v>47111</v>
      </c>
      <c r="J11315" t="s">
        <v>47112</v>
      </c>
      <c r="K11315" t="s">
        <v>47113</v>
      </c>
      <c r="L11315">
        <v>41.54</v>
      </c>
      <c r="M11315">
        <v>112</v>
      </c>
      <c r="N11315">
        <v>0</v>
      </c>
      <c r="O11315">
        <v>112</v>
      </c>
      <c r="P11315">
        <v>0</v>
      </c>
    </row>
    <row r="11316" spans="1:16" x14ac:dyDescent="0.25">
      <c r="A11316" t="s">
        <v>34092</v>
      </c>
      <c r="B11316" t="s">
        <v>8532</v>
      </c>
      <c r="C11316" t="s">
        <v>8533</v>
      </c>
      <c r="D11316" t="str">
        <f>"1197"</f>
        <v>1197</v>
      </c>
      <c r="E11316" t="s">
        <v>8524</v>
      </c>
      <c r="F11316" t="s">
        <v>2</v>
      </c>
      <c r="G11316" t="s">
        <v>16231</v>
      </c>
      <c r="H11316" t="s">
        <v>47054</v>
      </c>
      <c r="I11316" t="s">
        <v>47111</v>
      </c>
      <c r="J11316" t="s">
        <v>47112</v>
      </c>
      <c r="K11316" t="s">
        <v>47113</v>
      </c>
      <c r="L11316">
        <v>41.54</v>
      </c>
      <c r="M11316">
        <v>112</v>
      </c>
      <c r="N11316">
        <v>0</v>
      </c>
      <c r="O11316">
        <v>112</v>
      </c>
      <c r="P11316">
        <v>0</v>
      </c>
    </row>
    <row r="11317" spans="1:16" x14ac:dyDescent="0.25">
      <c r="A11317" t="s">
        <v>34093</v>
      </c>
      <c r="B11317" t="s">
        <v>8532</v>
      </c>
      <c r="C11317" t="s">
        <v>8533</v>
      </c>
      <c r="D11317" t="str">
        <f>"1912"</f>
        <v>1912</v>
      </c>
      <c r="E11317" t="s">
        <v>8525</v>
      </c>
      <c r="F11317" t="s">
        <v>2</v>
      </c>
      <c r="G11317" t="s">
        <v>16231</v>
      </c>
      <c r="H11317" t="s">
        <v>47054</v>
      </c>
      <c r="I11317" t="s">
        <v>47111</v>
      </c>
      <c r="J11317" t="s">
        <v>47112</v>
      </c>
      <c r="K11317" t="s">
        <v>47113</v>
      </c>
      <c r="L11317">
        <v>39.119999999999997</v>
      </c>
      <c r="M11317">
        <v>112</v>
      </c>
      <c r="N11317">
        <v>0</v>
      </c>
      <c r="O11317">
        <v>112</v>
      </c>
      <c r="P11317">
        <v>0</v>
      </c>
    </row>
    <row r="11318" spans="1:16" x14ac:dyDescent="0.25">
      <c r="A11318" t="s">
        <v>34094</v>
      </c>
      <c r="B11318" t="s">
        <v>8532</v>
      </c>
      <c r="C11318" t="s">
        <v>8533</v>
      </c>
      <c r="D11318" t="str">
        <f>"2735"</f>
        <v>2735</v>
      </c>
      <c r="E11318" t="s">
        <v>8526</v>
      </c>
      <c r="F11318" t="s">
        <v>2</v>
      </c>
      <c r="G11318" t="s">
        <v>16231</v>
      </c>
      <c r="H11318" t="s">
        <v>47054</v>
      </c>
      <c r="I11318" t="s">
        <v>47111</v>
      </c>
      <c r="J11318" t="s">
        <v>47112</v>
      </c>
      <c r="K11318" t="s">
        <v>47113</v>
      </c>
      <c r="L11318">
        <v>41.54</v>
      </c>
      <c r="M11318">
        <v>112</v>
      </c>
      <c r="N11318">
        <v>0</v>
      </c>
      <c r="O11318">
        <v>112</v>
      </c>
      <c r="P11318">
        <v>0</v>
      </c>
    </row>
    <row r="11319" spans="1:16" x14ac:dyDescent="0.25">
      <c r="A11319" t="s">
        <v>34095</v>
      </c>
      <c r="B11319" t="s">
        <v>8532</v>
      </c>
      <c r="C11319" t="s">
        <v>8533</v>
      </c>
      <c r="D11319" t="str">
        <f>"4322"</f>
        <v>4322</v>
      </c>
      <c r="E11319" t="s">
        <v>8527</v>
      </c>
      <c r="F11319" t="s">
        <v>2</v>
      </c>
      <c r="G11319" t="s">
        <v>16231</v>
      </c>
      <c r="H11319" t="s">
        <v>47054</v>
      </c>
      <c r="I11319" t="s">
        <v>47111</v>
      </c>
      <c r="J11319" t="s">
        <v>47112</v>
      </c>
      <c r="K11319" t="s">
        <v>47113</v>
      </c>
      <c r="L11319">
        <v>41.54</v>
      </c>
      <c r="M11319">
        <v>112</v>
      </c>
      <c r="N11319">
        <v>0</v>
      </c>
      <c r="O11319">
        <v>112</v>
      </c>
      <c r="P11319">
        <v>0</v>
      </c>
    </row>
    <row r="11320" spans="1:16" x14ac:dyDescent="0.25">
      <c r="A11320" t="s">
        <v>34096</v>
      </c>
      <c r="B11320" t="s">
        <v>8532</v>
      </c>
      <c r="C11320" t="s">
        <v>8533</v>
      </c>
      <c r="D11320" t="str">
        <f>"6170"</f>
        <v>6170</v>
      </c>
      <c r="E11320" t="s">
        <v>8528</v>
      </c>
      <c r="F11320" t="s">
        <v>2</v>
      </c>
      <c r="G11320" t="s">
        <v>16231</v>
      </c>
      <c r="H11320" t="s">
        <v>47054</v>
      </c>
      <c r="I11320" t="s">
        <v>47111</v>
      </c>
      <c r="J11320" t="s">
        <v>47112</v>
      </c>
      <c r="K11320" t="s">
        <v>47113</v>
      </c>
      <c r="L11320">
        <v>41.54</v>
      </c>
      <c r="M11320">
        <v>112</v>
      </c>
      <c r="N11320">
        <v>0</v>
      </c>
      <c r="O11320">
        <v>112</v>
      </c>
      <c r="P11320">
        <v>0</v>
      </c>
    </row>
    <row r="11321" spans="1:16" x14ac:dyDescent="0.25">
      <c r="A11321" t="s">
        <v>34097</v>
      </c>
      <c r="B11321" t="s">
        <v>8532</v>
      </c>
      <c r="C11321" t="s">
        <v>8533</v>
      </c>
      <c r="D11321" t="str">
        <f>"8338"</f>
        <v>8338</v>
      </c>
      <c r="E11321" t="s">
        <v>8529</v>
      </c>
      <c r="F11321" t="s">
        <v>2</v>
      </c>
      <c r="G11321" t="s">
        <v>16231</v>
      </c>
      <c r="H11321" t="s">
        <v>47054</v>
      </c>
      <c r="I11321" t="s">
        <v>47111</v>
      </c>
      <c r="J11321" t="s">
        <v>47112</v>
      </c>
      <c r="K11321" t="s">
        <v>47113</v>
      </c>
      <c r="L11321">
        <v>39.72</v>
      </c>
      <c r="M11321">
        <v>112</v>
      </c>
      <c r="N11321">
        <v>0</v>
      </c>
      <c r="O11321">
        <v>112</v>
      </c>
      <c r="P11321">
        <v>0</v>
      </c>
    </row>
    <row r="11322" spans="1:16" x14ac:dyDescent="0.25">
      <c r="A11322" t="s">
        <v>34098</v>
      </c>
      <c r="B11322" t="s">
        <v>8534</v>
      </c>
      <c r="C11322" t="s">
        <v>8535</v>
      </c>
      <c r="D11322" t="str">
        <f>"1821"</f>
        <v>1821</v>
      </c>
      <c r="E11322" t="s">
        <v>590</v>
      </c>
      <c r="F11322" t="s">
        <v>3670</v>
      </c>
      <c r="G11322" t="s">
        <v>16231</v>
      </c>
      <c r="I11322" t="s">
        <v>47111</v>
      </c>
      <c r="J11322" t="s">
        <v>47112</v>
      </c>
      <c r="K11322" t="s">
        <v>47113</v>
      </c>
      <c r="L11322">
        <v>52.24</v>
      </c>
      <c r="M11322">
        <v>129</v>
      </c>
      <c r="N11322">
        <v>0</v>
      </c>
      <c r="O11322">
        <v>129</v>
      </c>
      <c r="P11322">
        <v>0</v>
      </c>
    </row>
    <row r="11323" spans="1:16" x14ac:dyDescent="0.25">
      <c r="A11323" t="s">
        <v>34099</v>
      </c>
      <c r="B11323" t="s">
        <v>8536</v>
      </c>
      <c r="C11323" t="str">
        <f>"STRING ROPESTITCH GENO N/F 34"""</f>
        <v>STRING ROPESTITCH GENO N/F 34"</v>
      </c>
      <c r="D11323" t="str">
        <f>"1821"</f>
        <v>1821</v>
      </c>
      <c r="E11323" t="s">
        <v>590</v>
      </c>
      <c r="F11323" t="s">
        <v>3670</v>
      </c>
      <c r="G11323" t="s">
        <v>16231</v>
      </c>
      <c r="I11323" t="s">
        <v>47111</v>
      </c>
      <c r="J11323" t="s">
        <v>47112</v>
      </c>
      <c r="K11323" t="s">
        <v>47113</v>
      </c>
      <c r="L11323">
        <v>50.08</v>
      </c>
      <c r="M11323">
        <v>129</v>
      </c>
      <c r="N11323">
        <v>0</v>
      </c>
      <c r="O11323">
        <v>129</v>
      </c>
      <c r="P11323">
        <v>0</v>
      </c>
    </row>
    <row r="11324" spans="1:16" x14ac:dyDescent="0.25">
      <c r="A11324" t="s">
        <v>34100</v>
      </c>
      <c r="B11324" t="s">
        <v>8537</v>
      </c>
      <c r="C11324" t="s">
        <v>8538</v>
      </c>
      <c r="D11324" t="str">
        <f>"1197"</f>
        <v>1197</v>
      </c>
      <c r="E11324" t="s">
        <v>8524</v>
      </c>
      <c r="F11324" t="s">
        <v>2</v>
      </c>
      <c r="G11324" t="s">
        <v>16448</v>
      </c>
      <c r="H11324" t="s">
        <v>47054</v>
      </c>
      <c r="I11324" t="s">
        <v>47116</v>
      </c>
      <c r="J11324" t="s">
        <v>47117</v>
      </c>
      <c r="K11324" t="s">
        <v>47113</v>
      </c>
      <c r="L11324">
        <v>47.88</v>
      </c>
      <c r="M11324">
        <v>112</v>
      </c>
      <c r="N11324">
        <v>0</v>
      </c>
      <c r="O11324">
        <v>112</v>
      </c>
      <c r="P11324">
        <v>0</v>
      </c>
    </row>
    <row r="11325" spans="1:16" x14ac:dyDescent="0.25">
      <c r="A11325" t="s">
        <v>34101</v>
      </c>
      <c r="B11325" t="s">
        <v>8537</v>
      </c>
      <c r="C11325" t="s">
        <v>8538</v>
      </c>
      <c r="D11325" t="str">
        <f>"1912"</f>
        <v>1912</v>
      </c>
      <c r="E11325" t="s">
        <v>8525</v>
      </c>
      <c r="F11325" t="s">
        <v>2</v>
      </c>
      <c r="G11325" t="s">
        <v>16448</v>
      </c>
      <c r="H11325" t="s">
        <v>47054</v>
      </c>
      <c r="I11325" t="s">
        <v>47116</v>
      </c>
      <c r="J11325" t="s">
        <v>47117</v>
      </c>
      <c r="K11325" t="s">
        <v>47113</v>
      </c>
      <c r="L11325">
        <v>47.88</v>
      </c>
      <c r="M11325">
        <v>112</v>
      </c>
      <c r="N11325">
        <v>0</v>
      </c>
      <c r="O11325">
        <v>112</v>
      </c>
      <c r="P11325">
        <v>0</v>
      </c>
    </row>
    <row r="11326" spans="1:16" x14ac:dyDescent="0.25">
      <c r="A11326" t="s">
        <v>34102</v>
      </c>
      <c r="B11326" t="s">
        <v>8537</v>
      </c>
      <c r="C11326" t="s">
        <v>8538</v>
      </c>
      <c r="D11326" t="str">
        <f>"2735"</f>
        <v>2735</v>
      </c>
      <c r="E11326" t="s">
        <v>8526</v>
      </c>
      <c r="F11326" t="s">
        <v>2</v>
      </c>
      <c r="G11326" t="s">
        <v>16448</v>
      </c>
      <c r="H11326" t="s">
        <v>47054</v>
      </c>
      <c r="I11326" t="s">
        <v>47116</v>
      </c>
      <c r="J11326" t="s">
        <v>47117</v>
      </c>
      <c r="K11326" t="s">
        <v>47113</v>
      </c>
      <c r="L11326">
        <v>47.88</v>
      </c>
      <c r="M11326">
        <v>112</v>
      </c>
      <c r="N11326">
        <v>0</v>
      </c>
      <c r="O11326">
        <v>112</v>
      </c>
      <c r="P11326">
        <v>0</v>
      </c>
    </row>
    <row r="11327" spans="1:16" x14ac:dyDescent="0.25">
      <c r="A11327" t="s">
        <v>34103</v>
      </c>
      <c r="B11327" t="s">
        <v>8537</v>
      </c>
      <c r="C11327" t="s">
        <v>8538</v>
      </c>
      <c r="D11327" t="str">
        <f>"4322"</f>
        <v>4322</v>
      </c>
      <c r="E11327" t="s">
        <v>8527</v>
      </c>
      <c r="F11327" t="s">
        <v>2</v>
      </c>
      <c r="G11327" t="s">
        <v>16448</v>
      </c>
      <c r="H11327" t="s">
        <v>47054</v>
      </c>
      <c r="I11327" t="s">
        <v>47116</v>
      </c>
      <c r="J11327" t="s">
        <v>47117</v>
      </c>
      <c r="K11327" t="s">
        <v>47113</v>
      </c>
      <c r="L11327">
        <v>32.909999999999997</v>
      </c>
      <c r="M11327">
        <v>112</v>
      </c>
      <c r="N11327">
        <v>0</v>
      </c>
      <c r="O11327">
        <v>112</v>
      </c>
      <c r="P11327">
        <v>0</v>
      </c>
    </row>
    <row r="11328" spans="1:16" x14ac:dyDescent="0.25">
      <c r="A11328" t="s">
        <v>34104</v>
      </c>
      <c r="B11328" t="s">
        <v>8537</v>
      </c>
      <c r="C11328" t="s">
        <v>8538</v>
      </c>
      <c r="D11328" t="str">
        <f>"6170"</f>
        <v>6170</v>
      </c>
      <c r="E11328" t="s">
        <v>8528</v>
      </c>
      <c r="F11328" t="s">
        <v>2</v>
      </c>
      <c r="G11328" t="s">
        <v>16448</v>
      </c>
      <c r="H11328" t="s">
        <v>47054</v>
      </c>
      <c r="I11328" t="s">
        <v>47116</v>
      </c>
      <c r="J11328" t="s">
        <v>47117</v>
      </c>
      <c r="K11328" t="s">
        <v>47113</v>
      </c>
      <c r="L11328">
        <v>47.88</v>
      </c>
      <c r="M11328">
        <v>112</v>
      </c>
      <c r="N11328">
        <v>0</v>
      </c>
      <c r="O11328">
        <v>112</v>
      </c>
      <c r="P11328">
        <v>0</v>
      </c>
    </row>
    <row r="11329" spans="1:16" x14ac:dyDescent="0.25">
      <c r="A11329" t="s">
        <v>34105</v>
      </c>
      <c r="B11329" t="s">
        <v>8537</v>
      </c>
      <c r="C11329" t="s">
        <v>8538</v>
      </c>
      <c r="D11329" t="str">
        <f>"8338"</f>
        <v>8338</v>
      </c>
      <c r="E11329" t="s">
        <v>8529</v>
      </c>
      <c r="F11329" t="s">
        <v>2</v>
      </c>
      <c r="G11329" t="s">
        <v>16448</v>
      </c>
      <c r="H11329" t="s">
        <v>47054</v>
      </c>
      <c r="I11329" t="s">
        <v>47116</v>
      </c>
      <c r="J11329" t="s">
        <v>47117</v>
      </c>
      <c r="K11329" t="s">
        <v>47113</v>
      </c>
      <c r="L11329">
        <v>47.88</v>
      </c>
      <c r="M11329">
        <v>112</v>
      </c>
      <c r="N11329">
        <v>0</v>
      </c>
      <c r="O11329">
        <v>112</v>
      </c>
      <c r="P11329">
        <v>0</v>
      </c>
    </row>
    <row r="11330" spans="1:16" x14ac:dyDescent="0.25">
      <c r="A11330" t="s">
        <v>34106</v>
      </c>
      <c r="B11330" t="s">
        <v>8539</v>
      </c>
      <c r="C11330" t="s">
        <v>6880</v>
      </c>
      <c r="D11330" t="str">
        <f>"1821"</f>
        <v>1821</v>
      </c>
      <c r="E11330" t="s">
        <v>590</v>
      </c>
      <c r="F11330" t="s">
        <v>2</v>
      </c>
      <c r="G11330" t="s">
        <v>16231</v>
      </c>
      <c r="H11330" t="s">
        <v>47054</v>
      </c>
      <c r="I11330" t="s">
        <v>47111</v>
      </c>
      <c r="J11330" t="s">
        <v>47112</v>
      </c>
      <c r="K11330" t="s">
        <v>47113</v>
      </c>
      <c r="L11330">
        <v>36.39</v>
      </c>
      <c r="M11330">
        <v>80</v>
      </c>
      <c r="N11330">
        <v>0</v>
      </c>
      <c r="O11330">
        <v>80</v>
      </c>
      <c r="P11330">
        <v>0</v>
      </c>
    </row>
    <row r="11331" spans="1:16" x14ac:dyDescent="0.25">
      <c r="A11331" t="s">
        <v>34107</v>
      </c>
      <c r="B11331" t="s">
        <v>8540</v>
      </c>
      <c r="C11331" t="s">
        <v>8541</v>
      </c>
      <c r="D11331" t="str">
        <f>"1821"</f>
        <v>1821</v>
      </c>
      <c r="E11331" t="s">
        <v>590</v>
      </c>
      <c r="F11331" t="s">
        <v>2</v>
      </c>
      <c r="G11331" t="s">
        <v>16231</v>
      </c>
      <c r="H11331" t="s">
        <v>47054</v>
      </c>
      <c r="I11331" t="s">
        <v>47111</v>
      </c>
      <c r="J11331" t="s">
        <v>47112</v>
      </c>
      <c r="K11331" t="s">
        <v>47113</v>
      </c>
      <c r="L11331">
        <v>36.22</v>
      </c>
      <c r="M11331">
        <v>80</v>
      </c>
      <c r="N11331">
        <v>0</v>
      </c>
      <c r="O11331">
        <v>80</v>
      </c>
      <c r="P11331">
        <v>0</v>
      </c>
    </row>
    <row r="11332" spans="1:16" x14ac:dyDescent="0.25">
      <c r="A11332" t="s">
        <v>34108</v>
      </c>
      <c r="B11332" t="s">
        <v>8542</v>
      </c>
      <c r="C11332" t="s">
        <v>8543</v>
      </c>
      <c r="D11332" t="str">
        <f>"1821"</f>
        <v>1821</v>
      </c>
      <c r="E11332" t="s">
        <v>590</v>
      </c>
      <c r="F11332" t="s">
        <v>2</v>
      </c>
      <c r="G11332" t="s">
        <v>16233</v>
      </c>
      <c r="H11332" t="s">
        <v>47054</v>
      </c>
      <c r="I11332" t="s">
        <v>47111</v>
      </c>
      <c r="J11332" t="s">
        <v>47112</v>
      </c>
      <c r="K11332" t="s">
        <v>47113</v>
      </c>
      <c r="L11332">
        <v>32.36</v>
      </c>
      <c r="M11332">
        <v>80</v>
      </c>
      <c r="N11332">
        <v>0</v>
      </c>
      <c r="O11332">
        <v>80</v>
      </c>
      <c r="P11332">
        <v>0</v>
      </c>
    </row>
    <row r="11333" spans="1:16" x14ac:dyDescent="0.25">
      <c r="A11333" t="s">
        <v>34109</v>
      </c>
      <c r="B11333" t="s">
        <v>8544</v>
      </c>
      <c r="C11333" t="s">
        <v>8545</v>
      </c>
      <c r="D11333" t="str">
        <f>"1197"</f>
        <v>1197</v>
      </c>
      <c r="E11333" t="s">
        <v>8524</v>
      </c>
      <c r="F11333" t="s">
        <v>2</v>
      </c>
      <c r="G11333" t="s">
        <v>16231</v>
      </c>
      <c r="H11333" t="s">
        <v>47054</v>
      </c>
      <c r="I11333" t="s">
        <v>47111</v>
      </c>
      <c r="J11333" t="s">
        <v>47112</v>
      </c>
      <c r="K11333" t="s">
        <v>47113</v>
      </c>
      <c r="L11333">
        <v>41.54</v>
      </c>
      <c r="M11333">
        <v>112</v>
      </c>
      <c r="N11333">
        <v>0</v>
      </c>
      <c r="O11333">
        <v>112</v>
      </c>
      <c r="P11333">
        <v>0</v>
      </c>
    </row>
    <row r="11334" spans="1:16" x14ac:dyDescent="0.25">
      <c r="A11334" t="s">
        <v>34110</v>
      </c>
      <c r="B11334" t="s">
        <v>8544</v>
      </c>
      <c r="C11334" t="s">
        <v>8545</v>
      </c>
      <c r="D11334" t="str">
        <f>"1912"</f>
        <v>1912</v>
      </c>
      <c r="E11334" t="s">
        <v>8525</v>
      </c>
      <c r="F11334" t="s">
        <v>2</v>
      </c>
      <c r="G11334" t="s">
        <v>16231</v>
      </c>
      <c r="H11334" t="s">
        <v>47054</v>
      </c>
      <c r="I11334" t="s">
        <v>47111</v>
      </c>
      <c r="J11334" t="s">
        <v>47112</v>
      </c>
      <c r="K11334" t="s">
        <v>47113</v>
      </c>
      <c r="L11334">
        <v>41.54</v>
      </c>
      <c r="M11334">
        <v>112</v>
      </c>
      <c r="N11334">
        <v>0</v>
      </c>
      <c r="O11334">
        <v>112</v>
      </c>
      <c r="P11334">
        <v>0</v>
      </c>
    </row>
    <row r="11335" spans="1:16" x14ac:dyDescent="0.25">
      <c r="A11335" t="s">
        <v>34111</v>
      </c>
      <c r="B11335" t="s">
        <v>8544</v>
      </c>
      <c r="C11335" t="s">
        <v>8545</v>
      </c>
      <c r="D11335" t="str">
        <f>"2735"</f>
        <v>2735</v>
      </c>
      <c r="E11335" t="s">
        <v>8526</v>
      </c>
      <c r="F11335" t="s">
        <v>2</v>
      </c>
      <c r="G11335" t="s">
        <v>16231</v>
      </c>
      <c r="H11335" t="s">
        <v>47054</v>
      </c>
      <c r="I11335" t="s">
        <v>47111</v>
      </c>
      <c r="J11335" t="s">
        <v>47112</v>
      </c>
      <c r="K11335" t="s">
        <v>47113</v>
      </c>
      <c r="L11335">
        <v>41.54</v>
      </c>
      <c r="M11335">
        <v>112</v>
      </c>
      <c r="N11335">
        <v>0</v>
      </c>
      <c r="O11335">
        <v>112</v>
      </c>
      <c r="P11335">
        <v>0</v>
      </c>
    </row>
    <row r="11336" spans="1:16" x14ac:dyDescent="0.25">
      <c r="A11336" t="s">
        <v>34112</v>
      </c>
      <c r="B11336" t="s">
        <v>8544</v>
      </c>
      <c r="C11336" t="s">
        <v>8545</v>
      </c>
      <c r="D11336" t="str">
        <f>"4322"</f>
        <v>4322</v>
      </c>
      <c r="E11336" t="s">
        <v>8527</v>
      </c>
      <c r="F11336" t="s">
        <v>2</v>
      </c>
      <c r="G11336" t="s">
        <v>16231</v>
      </c>
      <c r="H11336" t="s">
        <v>47054</v>
      </c>
      <c r="I11336" t="s">
        <v>47111</v>
      </c>
      <c r="J11336" t="s">
        <v>47112</v>
      </c>
      <c r="K11336" t="s">
        <v>47113</v>
      </c>
      <c r="L11336">
        <v>41.54</v>
      </c>
      <c r="M11336">
        <v>112</v>
      </c>
      <c r="N11336">
        <v>0</v>
      </c>
      <c r="O11336">
        <v>112</v>
      </c>
      <c r="P11336">
        <v>0</v>
      </c>
    </row>
    <row r="11337" spans="1:16" x14ac:dyDescent="0.25">
      <c r="A11337" t="s">
        <v>34113</v>
      </c>
      <c r="B11337" t="s">
        <v>8544</v>
      </c>
      <c r="C11337" t="s">
        <v>8545</v>
      </c>
      <c r="D11337" t="str">
        <f>"6170"</f>
        <v>6170</v>
      </c>
      <c r="E11337" t="s">
        <v>8528</v>
      </c>
      <c r="F11337" t="s">
        <v>2</v>
      </c>
      <c r="G11337" t="s">
        <v>16231</v>
      </c>
      <c r="H11337" t="s">
        <v>47054</v>
      </c>
      <c r="I11337" t="s">
        <v>47111</v>
      </c>
      <c r="J11337" t="s">
        <v>47112</v>
      </c>
      <c r="K11337" t="s">
        <v>47113</v>
      </c>
      <c r="L11337">
        <v>41.54</v>
      </c>
      <c r="M11337">
        <v>112</v>
      </c>
      <c r="N11337">
        <v>0</v>
      </c>
      <c r="O11337">
        <v>112</v>
      </c>
      <c r="P11337">
        <v>0</v>
      </c>
    </row>
    <row r="11338" spans="1:16" x14ac:dyDescent="0.25">
      <c r="A11338" t="s">
        <v>34114</v>
      </c>
      <c r="B11338" t="s">
        <v>8544</v>
      </c>
      <c r="C11338" t="s">
        <v>8545</v>
      </c>
      <c r="D11338" t="str">
        <f>"8338"</f>
        <v>8338</v>
      </c>
      <c r="E11338" t="s">
        <v>8529</v>
      </c>
      <c r="F11338" t="s">
        <v>2</v>
      </c>
      <c r="G11338" t="s">
        <v>16231</v>
      </c>
      <c r="H11338" t="s">
        <v>47054</v>
      </c>
      <c r="I11338" t="s">
        <v>47111</v>
      </c>
      <c r="J11338" t="s">
        <v>47112</v>
      </c>
      <c r="K11338" t="s">
        <v>47113</v>
      </c>
      <c r="L11338">
        <v>41.54</v>
      </c>
      <c r="M11338">
        <v>112</v>
      </c>
      <c r="N11338">
        <v>0</v>
      </c>
      <c r="O11338">
        <v>112</v>
      </c>
      <c r="P11338">
        <v>0</v>
      </c>
    </row>
    <row r="11339" spans="1:16" x14ac:dyDescent="0.25">
      <c r="A11339" t="s">
        <v>34115</v>
      </c>
      <c r="B11339" t="s">
        <v>8546</v>
      </c>
      <c r="C11339" t="s">
        <v>8547</v>
      </c>
      <c r="D11339" t="str">
        <f>"1440"</f>
        <v>1440</v>
      </c>
      <c r="E11339" t="s">
        <v>8548</v>
      </c>
      <c r="F11339" t="s">
        <v>1</v>
      </c>
      <c r="G11339" t="s">
        <v>16224</v>
      </c>
      <c r="H11339" t="s">
        <v>47054</v>
      </c>
      <c r="I11339" t="s">
        <v>47120</v>
      </c>
      <c r="J11339" t="s">
        <v>47121</v>
      </c>
      <c r="K11339" t="s">
        <v>47113</v>
      </c>
      <c r="L11339">
        <v>31.14</v>
      </c>
      <c r="M11339">
        <v>77</v>
      </c>
      <c r="N11339">
        <v>0</v>
      </c>
      <c r="O11339">
        <v>77</v>
      </c>
      <c r="P11339">
        <v>0</v>
      </c>
    </row>
    <row r="11340" spans="1:16" x14ac:dyDescent="0.25">
      <c r="A11340" t="s">
        <v>34116</v>
      </c>
      <c r="B11340" t="s">
        <v>8546</v>
      </c>
      <c r="C11340" t="s">
        <v>8547</v>
      </c>
      <c r="D11340" t="str">
        <f>"3503"</f>
        <v>3503</v>
      </c>
      <c r="E11340" t="s">
        <v>8549</v>
      </c>
      <c r="F11340" t="s">
        <v>1</v>
      </c>
      <c r="G11340" t="s">
        <v>16224</v>
      </c>
      <c r="H11340" t="s">
        <v>47054</v>
      </c>
      <c r="I11340" t="s">
        <v>47120</v>
      </c>
      <c r="J11340" t="s">
        <v>47121</v>
      </c>
      <c r="K11340" t="s">
        <v>47113</v>
      </c>
      <c r="L11340">
        <v>31.14</v>
      </c>
      <c r="M11340">
        <v>77</v>
      </c>
      <c r="N11340">
        <v>0</v>
      </c>
      <c r="O11340">
        <v>77</v>
      </c>
      <c r="P11340">
        <v>0</v>
      </c>
    </row>
    <row r="11341" spans="1:16" x14ac:dyDescent="0.25">
      <c r="A11341" t="s">
        <v>48196</v>
      </c>
      <c r="B11341" t="s">
        <v>48197</v>
      </c>
      <c r="C11341" t="s">
        <v>19478</v>
      </c>
      <c r="D11341" t="str">
        <f>"1001"</f>
        <v>1001</v>
      </c>
      <c r="E11341" t="s">
        <v>42</v>
      </c>
      <c r="F11341" t="s">
        <v>47171</v>
      </c>
      <c r="G11341" t="s">
        <v>16224</v>
      </c>
      <c r="H11341" t="s">
        <v>47054</v>
      </c>
      <c r="I11341" t="s">
        <v>47118</v>
      </c>
      <c r="J11341" t="s">
        <v>47119</v>
      </c>
      <c r="K11341" t="s">
        <v>47113</v>
      </c>
      <c r="L11341">
        <v>27.05</v>
      </c>
      <c r="M11341">
        <v>114</v>
      </c>
      <c r="N11341">
        <v>309</v>
      </c>
      <c r="O11341">
        <v>114</v>
      </c>
      <c r="P11341">
        <v>309</v>
      </c>
    </row>
    <row r="11342" spans="1:16" x14ac:dyDescent="0.25">
      <c r="A11342" t="s">
        <v>48198</v>
      </c>
      <c r="B11342" t="s">
        <v>48197</v>
      </c>
      <c r="C11342" t="s">
        <v>19478</v>
      </c>
      <c r="D11342" t="str">
        <f>"3443"</f>
        <v>3443</v>
      </c>
      <c r="E11342" t="s">
        <v>9011</v>
      </c>
      <c r="F11342" t="s">
        <v>47171</v>
      </c>
      <c r="G11342" t="s">
        <v>16224</v>
      </c>
      <c r="H11342" t="s">
        <v>47054</v>
      </c>
      <c r="I11342" t="s">
        <v>47118</v>
      </c>
      <c r="J11342" t="s">
        <v>47119</v>
      </c>
      <c r="K11342" t="s">
        <v>47113</v>
      </c>
      <c r="L11342">
        <v>28.67</v>
      </c>
      <c r="M11342">
        <v>114</v>
      </c>
      <c r="N11342">
        <v>309</v>
      </c>
      <c r="O11342">
        <v>114</v>
      </c>
      <c r="P11342">
        <v>309</v>
      </c>
    </row>
    <row r="11343" spans="1:16" x14ac:dyDescent="0.25">
      <c r="A11343" t="s">
        <v>34117</v>
      </c>
      <c r="B11343" t="s">
        <v>8550</v>
      </c>
      <c r="C11343" t="s">
        <v>8551</v>
      </c>
      <c r="D11343" t="str">
        <f>"4680"</f>
        <v>4680</v>
      </c>
      <c r="E11343" t="s">
        <v>8552</v>
      </c>
      <c r="F11343" t="s">
        <v>5</v>
      </c>
      <c r="G11343" t="s">
        <v>16230</v>
      </c>
      <c r="H11343" t="s">
        <v>47054</v>
      </c>
      <c r="I11343" t="s">
        <v>47120</v>
      </c>
      <c r="J11343" t="s">
        <v>47121</v>
      </c>
      <c r="K11343" t="s">
        <v>47113</v>
      </c>
      <c r="L11343">
        <v>26.38</v>
      </c>
      <c r="M11343">
        <v>57</v>
      </c>
      <c r="N11343">
        <v>0</v>
      </c>
      <c r="O11343">
        <v>57</v>
      </c>
      <c r="P11343">
        <v>0</v>
      </c>
    </row>
    <row r="11344" spans="1:16" x14ac:dyDescent="0.25">
      <c r="A11344" t="s">
        <v>34118</v>
      </c>
      <c r="B11344" t="s">
        <v>8550</v>
      </c>
      <c r="C11344" t="s">
        <v>8551</v>
      </c>
      <c r="D11344" t="str">
        <f>"6854"</f>
        <v>6854</v>
      </c>
      <c r="E11344" t="s">
        <v>8553</v>
      </c>
      <c r="F11344" t="s">
        <v>5</v>
      </c>
      <c r="G11344" t="s">
        <v>16230</v>
      </c>
      <c r="H11344" t="s">
        <v>47054</v>
      </c>
      <c r="I11344" t="s">
        <v>47120</v>
      </c>
      <c r="J11344" t="s">
        <v>47121</v>
      </c>
      <c r="K11344" t="s">
        <v>47113</v>
      </c>
      <c r="L11344">
        <v>26.38</v>
      </c>
      <c r="M11344">
        <v>57</v>
      </c>
      <c r="N11344">
        <v>0</v>
      </c>
      <c r="O11344">
        <v>57</v>
      </c>
      <c r="P11344">
        <v>0</v>
      </c>
    </row>
    <row r="11345" spans="1:16" x14ac:dyDescent="0.25">
      <c r="A11345" t="s">
        <v>34119</v>
      </c>
      <c r="B11345" t="s">
        <v>8550</v>
      </c>
      <c r="C11345" t="s">
        <v>8551</v>
      </c>
      <c r="D11345" t="str">
        <f>"7391"</f>
        <v>7391</v>
      </c>
      <c r="E11345" t="s">
        <v>8554</v>
      </c>
      <c r="F11345" t="s">
        <v>5</v>
      </c>
      <c r="G11345" t="s">
        <v>16230</v>
      </c>
      <c r="H11345" t="s">
        <v>47054</v>
      </c>
      <c r="I11345" t="s">
        <v>47120</v>
      </c>
      <c r="J11345" t="s">
        <v>47121</v>
      </c>
      <c r="K11345" t="s">
        <v>47113</v>
      </c>
      <c r="L11345">
        <v>26.38</v>
      </c>
      <c r="M11345">
        <v>57</v>
      </c>
      <c r="N11345">
        <v>0</v>
      </c>
      <c r="O11345">
        <v>57</v>
      </c>
      <c r="P11345">
        <v>0</v>
      </c>
    </row>
    <row r="11346" spans="1:16" x14ac:dyDescent="0.25">
      <c r="A11346" t="s">
        <v>34120</v>
      </c>
      <c r="B11346" t="s">
        <v>8555</v>
      </c>
      <c r="C11346" t="s">
        <v>8556</v>
      </c>
      <c r="D11346" t="str">
        <f>"2411"</f>
        <v>2411</v>
      </c>
      <c r="E11346" t="s">
        <v>8557</v>
      </c>
      <c r="F11346" t="s">
        <v>4</v>
      </c>
      <c r="G11346" t="s">
        <v>16230</v>
      </c>
      <c r="H11346" t="s">
        <v>47054</v>
      </c>
      <c r="I11346" t="s">
        <v>47120</v>
      </c>
      <c r="J11346" t="s">
        <v>47121</v>
      </c>
      <c r="K11346" t="s">
        <v>47113</v>
      </c>
      <c r="L11346">
        <v>22.72</v>
      </c>
      <c r="M11346">
        <v>55</v>
      </c>
      <c r="N11346">
        <v>0</v>
      </c>
      <c r="O11346">
        <v>55</v>
      </c>
      <c r="P11346">
        <v>0</v>
      </c>
    </row>
    <row r="11347" spans="1:16" x14ac:dyDescent="0.25">
      <c r="A11347" t="s">
        <v>34121</v>
      </c>
      <c r="B11347" t="s">
        <v>8555</v>
      </c>
      <c r="C11347" t="s">
        <v>8556</v>
      </c>
      <c r="D11347" t="str">
        <f>"6221"</f>
        <v>6221</v>
      </c>
      <c r="E11347" t="s">
        <v>8558</v>
      </c>
      <c r="F11347" t="s">
        <v>4</v>
      </c>
      <c r="G11347" t="s">
        <v>16230</v>
      </c>
      <c r="H11347" t="s">
        <v>47054</v>
      </c>
      <c r="I11347" t="s">
        <v>47120</v>
      </c>
      <c r="J11347" t="s">
        <v>47121</v>
      </c>
      <c r="K11347" t="s">
        <v>47113</v>
      </c>
      <c r="L11347">
        <v>22.72</v>
      </c>
      <c r="M11347">
        <v>55</v>
      </c>
      <c r="N11347">
        <v>0</v>
      </c>
      <c r="O11347">
        <v>55</v>
      </c>
      <c r="P11347">
        <v>0</v>
      </c>
    </row>
    <row r="11348" spans="1:16" x14ac:dyDescent="0.25">
      <c r="A11348" t="s">
        <v>34122</v>
      </c>
      <c r="B11348" t="s">
        <v>8559</v>
      </c>
      <c r="C11348" t="s">
        <v>8560</v>
      </c>
      <c r="D11348" t="str">
        <f>"2411"</f>
        <v>2411</v>
      </c>
      <c r="E11348" t="s">
        <v>8557</v>
      </c>
      <c r="F11348" t="s">
        <v>4</v>
      </c>
      <c r="G11348" t="s">
        <v>16230</v>
      </c>
      <c r="H11348" t="s">
        <v>47054</v>
      </c>
      <c r="I11348" t="s">
        <v>47120</v>
      </c>
      <c r="J11348" t="s">
        <v>47121</v>
      </c>
      <c r="K11348" t="s">
        <v>47113</v>
      </c>
      <c r="L11348">
        <v>25.66</v>
      </c>
      <c r="M11348">
        <v>63</v>
      </c>
      <c r="N11348">
        <v>0</v>
      </c>
      <c r="O11348">
        <v>63</v>
      </c>
      <c r="P11348">
        <v>0</v>
      </c>
    </row>
    <row r="11349" spans="1:16" x14ac:dyDescent="0.25">
      <c r="A11349" t="s">
        <v>34123</v>
      </c>
      <c r="B11349" t="s">
        <v>8559</v>
      </c>
      <c r="C11349" t="s">
        <v>8560</v>
      </c>
      <c r="D11349" t="str">
        <f>"6221"</f>
        <v>6221</v>
      </c>
      <c r="E11349" t="s">
        <v>8558</v>
      </c>
      <c r="F11349" t="s">
        <v>4</v>
      </c>
      <c r="G11349" t="s">
        <v>16230</v>
      </c>
      <c r="H11349" t="s">
        <v>47054</v>
      </c>
      <c r="I11349" t="s">
        <v>47120</v>
      </c>
      <c r="J11349" t="s">
        <v>47121</v>
      </c>
      <c r="K11349" t="s">
        <v>47113</v>
      </c>
      <c r="L11349">
        <v>25.66</v>
      </c>
      <c r="M11349">
        <v>63</v>
      </c>
      <c r="N11349">
        <v>0</v>
      </c>
      <c r="O11349">
        <v>63</v>
      </c>
      <c r="P11349">
        <v>0</v>
      </c>
    </row>
    <row r="11350" spans="1:16" x14ac:dyDescent="0.25">
      <c r="A11350" t="s">
        <v>34124</v>
      </c>
      <c r="B11350" t="s">
        <v>8561</v>
      </c>
      <c r="C11350" t="s">
        <v>8562</v>
      </c>
      <c r="D11350" t="str">
        <f>"2409"</f>
        <v>2409</v>
      </c>
      <c r="E11350" t="s">
        <v>8563</v>
      </c>
      <c r="F11350" t="s">
        <v>4</v>
      </c>
      <c r="G11350" t="s">
        <v>16230</v>
      </c>
      <c r="H11350" t="s">
        <v>47054</v>
      </c>
      <c r="I11350" t="s">
        <v>47120</v>
      </c>
      <c r="J11350" t="s">
        <v>47121</v>
      </c>
      <c r="K11350" t="s">
        <v>47113</v>
      </c>
      <c r="L11350">
        <v>32.33</v>
      </c>
      <c r="M11350">
        <v>79</v>
      </c>
      <c r="N11350">
        <v>0</v>
      </c>
      <c r="O11350">
        <v>79</v>
      </c>
      <c r="P11350">
        <v>0</v>
      </c>
    </row>
    <row r="11351" spans="1:16" x14ac:dyDescent="0.25">
      <c r="A11351" t="s">
        <v>34125</v>
      </c>
      <c r="B11351" t="s">
        <v>8561</v>
      </c>
      <c r="C11351" t="s">
        <v>8562</v>
      </c>
      <c r="D11351" t="str">
        <f>"4364"</f>
        <v>4364</v>
      </c>
      <c r="E11351" t="s">
        <v>8564</v>
      </c>
      <c r="F11351" t="s">
        <v>4</v>
      </c>
      <c r="G11351" t="s">
        <v>16230</v>
      </c>
      <c r="H11351" t="s">
        <v>47054</v>
      </c>
      <c r="I11351" t="s">
        <v>47120</v>
      </c>
      <c r="J11351" t="s">
        <v>47121</v>
      </c>
      <c r="K11351" t="s">
        <v>47113</v>
      </c>
      <c r="L11351">
        <v>32.33</v>
      </c>
      <c r="M11351">
        <v>79</v>
      </c>
      <c r="N11351">
        <v>0</v>
      </c>
      <c r="O11351">
        <v>79</v>
      </c>
      <c r="P11351">
        <v>0</v>
      </c>
    </row>
    <row r="11352" spans="1:16" x14ac:dyDescent="0.25">
      <c r="A11352" t="s">
        <v>34126</v>
      </c>
      <c r="B11352" t="s">
        <v>8565</v>
      </c>
      <c r="C11352" t="s">
        <v>8566</v>
      </c>
      <c r="D11352" t="str">
        <f>"6344"</f>
        <v>6344</v>
      </c>
      <c r="E11352" t="s">
        <v>8567</v>
      </c>
      <c r="F11352" t="s">
        <v>5</v>
      </c>
      <c r="G11352" t="s">
        <v>16230</v>
      </c>
      <c r="H11352" t="s">
        <v>47054</v>
      </c>
      <c r="I11352" t="s">
        <v>47120</v>
      </c>
      <c r="J11352" t="s">
        <v>47121</v>
      </c>
      <c r="K11352" t="s">
        <v>47113</v>
      </c>
      <c r="L11352">
        <v>25.79</v>
      </c>
      <c r="M11352">
        <v>57</v>
      </c>
      <c r="N11352">
        <v>0</v>
      </c>
      <c r="O11352">
        <v>57</v>
      </c>
      <c r="P11352">
        <v>0</v>
      </c>
    </row>
    <row r="11353" spans="1:16" x14ac:dyDescent="0.25">
      <c r="A11353" t="s">
        <v>34127</v>
      </c>
      <c r="B11353" t="s">
        <v>8568</v>
      </c>
      <c r="C11353" t="s">
        <v>8569</v>
      </c>
      <c r="D11353" t="str">
        <f>"6340"</f>
        <v>6340</v>
      </c>
      <c r="E11353" t="s">
        <v>8570</v>
      </c>
      <c r="F11353" t="s">
        <v>5</v>
      </c>
      <c r="G11353" t="s">
        <v>16230</v>
      </c>
      <c r="H11353" t="s">
        <v>47054</v>
      </c>
      <c r="I11353" t="s">
        <v>47118</v>
      </c>
      <c r="J11353" t="s">
        <v>47119</v>
      </c>
      <c r="K11353" t="s">
        <v>47113</v>
      </c>
      <c r="L11353">
        <v>26.22</v>
      </c>
      <c r="M11353">
        <v>53</v>
      </c>
      <c r="N11353">
        <v>0</v>
      </c>
      <c r="O11353">
        <v>53</v>
      </c>
      <c r="P11353">
        <v>0</v>
      </c>
    </row>
    <row r="11354" spans="1:16" x14ac:dyDescent="0.25">
      <c r="A11354" t="s">
        <v>34128</v>
      </c>
      <c r="B11354" t="s">
        <v>8571</v>
      </c>
      <c r="C11354" t="s">
        <v>8572</v>
      </c>
      <c r="D11354" t="str">
        <f>"4682"</f>
        <v>4682</v>
      </c>
      <c r="E11354" t="s">
        <v>8573</v>
      </c>
      <c r="F11354" t="s">
        <v>5</v>
      </c>
      <c r="G11354" t="s">
        <v>16230</v>
      </c>
      <c r="H11354" t="s">
        <v>47054</v>
      </c>
      <c r="I11354" t="s">
        <v>47118</v>
      </c>
      <c r="J11354" t="s">
        <v>47119</v>
      </c>
      <c r="K11354" t="s">
        <v>47113</v>
      </c>
      <c r="L11354">
        <v>26.22</v>
      </c>
      <c r="M11354">
        <v>53</v>
      </c>
      <c r="N11354">
        <v>0</v>
      </c>
      <c r="O11354">
        <v>53</v>
      </c>
      <c r="P11354">
        <v>0</v>
      </c>
    </row>
    <row r="11355" spans="1:16" x14ac:dyDescent="0.25">
      <c r="A11355" t="s">
        <v>34129</v>
      </c>
      <c r="B11355" t="s">
        <v>8574</v>
      </c>
      <c r="C11355" t="s">
        <v>8569</v>
      </c>
      <c r="D11355" t="str">
        <f>"4682"</f>
        <v>4682</v>
      </c>
      <c r="E11355" t="s">
        <v>8573</v>
      </c>
      <c r="F11355" t="s">
        <v>5</v>
      </c>
      <c r="G11355" t="s">
        <v>16230</v>
      </c>
      <c r="H11355" t="s">
        <v>47054</v>
      </c>
      <c r="I11355" t="s">
        <v>47118</v>
      </c>
      <c r="J11355" t="s">
        <v>47119</v>
      </c>
      <c r="K11355" t="s">
        <v>47113</v>
      </c>
      <c r="L11355">
        <v>21.39</v>
      </c>
      <c r="M11355">
        <v>46</v>
      </c>
      <c r="N11355">
        <v>0</v>
      </c>
      <c r="O11355">
        <v>46</v>
      </c>
      <c r="P11355">
        <v>0</v>
      </c>
    </row>
    <row r="11356" spans="1:16" x14ac:dyDescent="0.25">
      <c r="A11356" t="s">
        <v>34130</v>
      </c>
      <c r="B11356" t="s">
        <v>8574</v>
      </c>
      <c r="C11356" t="s">
        <v>8569</v>
      </c>
      <c r="D11356" t="str">
        <f>"6340"</f>
        <v>6340</v>
      </c>
      <c r="E11356" t="s">
        <v>8570</v>
      </c>
      <c r="F11356" t="s">
        <v>5</v>
      </c>
      <c r="G11356" t="s">
        <v>16230</v>
      </c>
      <c r="H11356" t="s">
        <v>47054</v>
      </c>
      <c r="I11356" t="s">
        <v>47118</v>
      </c>
      <c r="J11356" t="s">
        <v>47119</v>
      </c>
      <c r="K11356" t="s">
        <v>47113</v>
      </c>
      <c r="L11356">
        <v>21.39</v>
      </c>
      <c r="M11356">
        <v>46</v>
      </c>
      <c r="N11356">
        <v>0</v>
      </c>
      <c r="O11356">
        <v>46</v>
      </c>
      <c r="P11356">
        <v>0</v>
      </c>
    </row>
    <row r="11357" spans="1:16" x14ac:dyDescent="0.25">
      <c r="A11357" t="s">
        <v>34131</v>
      </c>
      <c r="B11357" t="s">
        <v>8575</v>
      </c>
      <c r="C11357" t="s">
        <v>8576</v>
      </c>
      <c r="D11357" t="str">
        <f>"2353"</f>
        <v>2353</v>
      </c>
      <c r="E11357" t="s">
        <v>8577</v>
      </c>
      <c r="F11357" t="s">
        <v>5</v>
      </c>
      <c r="G11357" t="s">
        <v>16230</v>
      </c>
      <c r="H11357" t="s">
        <v>47054</v>
      </c>
      <c r="I11357" t="s">
        <v>47118</v>
      </c>
      <c r="J11357" t="s">
        <v>47119</v>
      </c>
      <c r="K11357" t="s">
        <v>47113</v>
      </c>
      <c r="L11357">
        <v>23.45</v>
      </c>
      <c r="M11357">
        <v>50</v>
      </c>
      <c r="N11357">
        <v>0</v>
      </c>
      <c r="O11357">
        <v>50</v>
      </c>
      <c r="P11357">
        <v>0</v>
      </c>
    </row>
    <row r="11358" spans="1:16" x14ac:dyDescent="0.25">
      <c r="A11358" t="s">
        <v>34132</v>
      </c>
      <c r="B11358" t="s">
        <v>8575</v>
      </c>
      <c r="C11358" t="s">
        <v>8576</v>
      </c>
      <c r="D11358" t="str">
        <f>"6341"</f>
        <v>6341</v>
      </c>
      <c r="E11358" t="s">
        <v>8578</v>
      </c>
      <c r="F11358" t="s">
        <v>5</v>
      </c>
      <c r="G11358" t="s">
        <v>16230</v>
      </c>
      <c r="H11358" t="s">
        <v>47054</v>
      </c>
      <c r="I11358" t="s">
        <v>47118</v>
      </c>
      <c r="J11358" t="s">
        <v>47119</v>
      </c>
      <c r="K11358" t="s">
        <v>47113</v>
      </c>
      <c r="L11358">
        <v>23.45</v>
      </c>
      <c r="M11358">
        <v>50</v>
      </c>
      <c r="N11358">
        <v>0</v>
      </c>
      <c r="O11358">
        <v>50</v>
      </c>
      <c r="P11358">
        <v>0</v>
      </c>
    </row>
    <row r="11359" spans="1:16" x14ac:dyDescent="0.25">
      <c r="A11359" t="s">
        <v>34133</v>
      </c>
      <c r="B11359" t="s">
        <v>8579</v>
      </c>
      <c r="C11359" t="s">
        <v>5493</v>
      </c>
      <c r="D11359" t="str">
        <f>"4363"</f>
        <v>4363</v>
      </c>
      <c r="E11359" t="s">
        <v>8580</v>
      </c>
      <c r="F11359" t="s">
        <v>4</v>
      </c>
      <c r="G11359" t="s">
        <v>16230</v>
      </c>
      <c r="H11359" t="s">
        <v>47054</v>
      </c>
      <c r="I11359" t="s">
        <v>47118</v>
      </c>
      <c r="J11359" t="s">
        <v>47119</v>
      </c>
      <c r="K11359" t="s">
        <v>47113</v>
      </c>
      <c r="L11359">
        <v>23.14</v>
      </c>
      <c r="M11359">
        <v>56</v>
      </c>
      <c r="N11359">
        <v>0</v>
      </c>
      <c r="O11359">
        <v>56</v>
      </c>
      <c r="P11359">
        <v>0</v>
      </c>
    </row>
    <row r="11360" spans="1:16" x14ac:dyDescent="0.25">
      <c r="A11360" t="s">
        <v>34134</v>
      </c>
      <c r="B11360" t="s">
        <v>8579</v>
      </c>
      <c r="C11360" t="s">
        <v>5493</v>
      </c>
      <c r="D11360" t="str">
        <f>"7115"</f>
        <v>7115</v>
      </c>
      <c r="E11360" t="s">
        <v>8581</v>
      </c>
      <c r="F11360" t="s">
        <v>4</v>
      </c>
      <c r="G11360" t="s">
        <v>16230</v>
      </c>
      <c r="H11360" t="s">
        <v>47054</v>
      </c>
      <c r="I11360" t="s">
        <v>47118</v>
      </c>
      <c r="J11360" t="s">
        <v>47119</v>
      </c>
      <c r="K11360" t="s">
        <v>47113</v>
      </c>
      <c r="L11360">
        <v>23.14</v>
      </c>
      <c r="M11360">
        <v>56</v>
      </c>
      <c r="N11360">
        <v>0</v>
      </c>
      <c r="O11360">
        <v>56</v>
      </c>
      <c r="P11360">
        <v>0</v>
      </c>
    </row>
    <row r="11361" spans="1:16" x14ac:dyDescent="0.25">
      <c r="A11361" t="s">
        <v>34135</v>
      </c>
      <c r="B11361" t="s">
        <v>8582</v>
      </c>
      <c r="C11361" t="s">
        <v>7423</v>
      </c>
      <c r="D11361" t="str">
        <f>"1544"</f>
        <v>1544</v>
      </c>
      <c r="E11361" t="s">
        <v>8583</v>
      </c>
      <c r="F11361" t="s">
        <v>5</v>
      </c>
      <c r="G11361" t="s">
        <v>16230</v>
      </c>
      <c r="H11361" t="s">
        <v>47054</v>
      </c>
      <c r="I11361" t="s">
        <v>47118</v>
      </c>
      <c r="J11361" t="s">
        <v>47119</v>
      </c>
      <c r="K11361" t="s">
        <v>47113</v>
      </c>
      <c r="L11361">
        <v>22.3</v>
      </c>
      <c r="M11361">
        <v>46</v>
      </c>
      <c r="N11361">
        <v>0</v>
      </c>
      <c r="O11361">
        <v>46</v>
      </c>
      <c r="P11361">
        <v>0</v>
      </c>
    </row>
    <row r="11362" spans="1:16" x14ac:dyDescent="0.25">
      <c r="A11362" t="s">
        <v>34136</v>
      </c>
      <c r="B11362" t="s">
        <v>8582</v>
      </c>
      <c r="C11362" t="s">
        <v>7423</v>
      </c>
      <c r="D11362" t="str">
        <f>"4685"</f>
        <v>4685</v>
      </c>
      <c r="E11362" t="s">
        <v>8584</v>
      </c>
      <c r="F11362" t="s">
        <v>5</v>
      </c>
      <c r="G11362" t="s">
        <v>16230</v>
      </c>
      <c r="H11362" t="s">
        <v>47054</v>
      </c>
      <c r="I11362" t="s">
        <v>47118</v>
      </c>
      <c r="J11362" t="s">
        <v>47119</v>
      </c>
      <c r="K11362" t="s">
        <v>47113</v>
      </c>
      <c r="L11362">
        <v>22.3</v>
      </c>
      <c r="M11362">
        <v>46</v>
      </c>
      <c r="N11362">
        <v>0</v>
      </c>
      <c r="O11362">
        <v>46</v>
      </c>
      <c r="P11362">
        <v>0</v>
      </c>
    </row>
    <row r="11363" spans="1:16" x14ac:dyDescent="0.25">
      <c r="A11363" t="s">
        <v>34137</v>
      </c>
      <c r="B11363" t="s">
        <v>8585</v>
      </c>
      <c r="C11363" t="s">
        <v>5973</v>
      </c>
      <c r="D11363" t="str">
        <f>"1959"</f>
        <v>1959</v>
      </c>
      <c r="E11363" t="s">
        <v>2846</v>
      </c>
      <c r="F11363" t="s">
        <v>5</v>
      </c>
      <c r="G11363" t="s">
        <v>16230</v>
      </c>
      <c r="H11363" t="s">
        <v>47054</v>
      </c>
      <c r="I11363" t="s">
        <v>47120</v>
      </c>
      <c r="J11363" t="s">
        <v>47121</v>
      </c>
      <c r="K11363" t="s">
        <v>47113</v>
      </c>
      <c r="L11363">
        <v>31.7</v>
      </c>
      <c r="M11363">
        <v>57</v>
      </c>
      <c r="N11363">
        <v>0</v>
      </c>
      <c r="O11363">
        <v>57</v>
      </c>
      <c r="P11363">
        <v>0</v>
      </c>
    </row>
    <row r="11364" spans="1:16" x14ac:dyDescent="0.25">
      <c r="A11364" t="s">
        <v>34138</v>
      </c>
      <c r="B11364" t="s">
        <v>8585</v>
      </c>
      <c r="C11364" t="s">
        <v>5973</v>
      </c>
      <c r="D11364" t="str">
        <f>"2653"</f>
        <v>2653</v>
      </c>
      <c r="E11364" t="s">
        <v>8586</v>
      </c>
      <c r="F11364" t="s">
        <v>5</v>
      </c>
      <c r="G11364" t="s">
        <v>16230</v>
      </c>
      <c r="H11364" t="s">
        <v>47054</v>
      </c>
      <c r="I11364" t="s">
        <v>47120</v>
      </c>
      <c r="J11364" t="s">
        <v>47121</v>
      </c>
      <c r="K11364" t="s">
        <v>47113</v>
      </c>
      <c r="L11364">
        <v>31.7</v>
      </c>
      <c r="M11364">
        <v>57</v>
      </c>
      <c r="N11364">
        <v>0</v>
      </c>
      <c r="O11364">
        <v>57</v>
      </c>
      <c r="P11364">
        <v>0</v>
      </c>
    </row>
    <row r="11365" spans="1:16" x14ac:dyDescent="0.25">
      <c r="A11365" t="s">
        <v>34139</v>
      </c>
      <c r="B11365" t="s">
        <v>8585</v>
      </c>
      <c r="C11365" t="s">
        <v>5973</v>
      </c>
      <c r="D11365" t="str">
        <f>"4339"</f>
        <v>4339</v>
      </c>
      <c r="E11365" t="s">
        <v>8587</v>
      </c>
      <c r="F11365" t="s">
        <v>5</v>
      </c>
      <c r="G11365" t="s">
        <v>16230</v>
      </c>
      <c r="H11365" t="s">
        <v>47054</v>
      </c>
      <c r="I11365" t="s">
        <v>47120</v>
      </c>
      <c r="J11365" t="s">
        <v>47121</v>
      </c>
      <c r="K11365" t="s">
        <v>47113</v>
      </c>
      <c r="L11365">
        <v>31.7</v>
      </c>
      <c r="M11365">
        <v>57</v>
      </c>
      <c r="N11365">
        <v>0</v>
      </c>
      <c r="O11365">
        <v>57</v>
      </c>
      <c r="P11365">
        <v>0</v>
      </c>
    </row>
    <row r="11366" spans="1:16" x14ac:dyDescent="0.25">
      <c r="A11366" t="s">
        <v>34140</v>
      </c>
      <c r="B11366" t="s">
        <v>8585</v>
      </c>
      <c r="C11366" t="s">
        <v>5973</v>
      </c>
      <c r="D11366" t="str">
        <f>"4340"</f>
        <v>4340</v>
      </c>
      <c r="E11366" t="s">
        <v>8588</v>
      </c>
      <c r="F11366" t="s">
        <v>5</v>
      </c>
      <c r="G11366" t="s">
        <v>16230</v>
      </c>
      <c r="H11366" t="s">
        <v>47054</v>
      </c>
      <c r="I11366" t="s">
        <v>47120</v>
      </c>
      <c r="J11366" t="s">
        <v>47121</v>
      </c>
      <c r="K11366" t="s">
        <v>47113</v>
      </c>
      <c r="L11366">
        <v>31.7</v>
      </c>
      <c r="M11366">
        <v>79</v>
      </c>
      <c r="N11366">
        <v>0</v>
      </c>
      <c r="O11366">
        <v>79</v>
      </c>
      <c r="P11366">
        <v>0</v>
      </c>
    </row>
    <row r="11367" spans="1:16" x14ac:dyDescent="0.25">
      <c r="A11367" t="s">
        <v>34141</v>
      </c>
      <c r="B11367" t="s">
        <v>8585</v>
      </c>
      <c r="C11367" t="s">
        <v>5973</v>
      </c>
      <c r="D11367" t="str">
        <f>"6342"</f>
        <v>6342</v>
      </c>
      <c r="E11367" t="s">
        <v>8589</v>
      </c>
      <c r="F11367" t="s">
        <v>5</v>
      </c>
      <c r="G11367" t="s">
        <v>16230</v>
      </c>
      <c r="H11367" t="s">
        <v>47054</v>
      </c>
      <c r="I11367" t="s">
        <v>47120</v>
      </c>
      <c r="J11367" t="s">
        <v>47121</v>
      </c>
      <c r="K11367" t="s">
        <v>47113</v>
      </c>
      <c r="L11367">
        <v>31.7</v>
      </c>
      <c r="M11367">
        <v>57</v>
      </c>
      <c r="N11367">
        <v>0</v>
      </c>
      <c r="O11367">
        <v>57</v>
      </c>
      <c r="P11367">
        <v>0</v>
      </c>
    </row>
    <row r="11368" spans="1:16" x14ac:dyDescent="0.25">
      <c r="A11368" t="s">
        <v>34142</v>
      </c>
      <c r="B11368" t="s">
        <v>8585</v>
      </c>
      <c r="C11368" t="s">
        <v>5973</v>
      </c>
      <c r="D11368" t="str">
        <f>"6856"</f>
        <v>6856</v>
      </c>
      <c r="E11368" t="s">
        <v>8590</v>
      </c>
      <c r="F11368" t="s">
        <v>5</v>
      </c>
      <c r="G11368" t="s">
        <v>16230</v>
      </c>
      <c r="H11368" t="s">
        <v>47054</v>
      </c>
      <c r="I11368" t="s">
        <v>47120</v>
      </c>
      <c r="J11368" t="s">
        <v>47121</v>
      </c>
      <c r="K11368" t="s">
        <v>47113</v>
      </c>
      <c r="L11368">
        <v>31.7</v>
      </c>
      <c r="M11368">
        <v>57</v>
      </c>
      <c r="N11368">
        <v>0</v>
      </c>
      <c r="O11368">
        <v>57</v>
      </c>
      <c r="P11368">
        <v>0</v>
      </c>
    </row>
    <row r="11369" spans="1:16" x14ac:dyDescent="0.25">
      <c r="A11369" t="s">
        <v>34143</v>
      </c>
      <c r="B11369" t="s">
        <v>15622</v>
      </c>
      <c r="C11369" t="s">
        <v>15623</v>
      </c>
      <c r="D11369" t="str">
        <f>"2707"</f>
        <v>2707</v>
      </c>
      <c r="E11369" t="s">
        <v>3019</v>
      </c>
      <c r="F11369" t="s">
        <v>3750</v>
      </c>
      <c r="G11369" t="s">
        <v>16235</v>
      </c>
      <c r="H11369" t="s">
        <v>47054</v>
      </c>
      <c r="I11369" t="s">
        <v>47118</v>
      </c>
      <c r="J11369" t="s">
        <v>47119</v>
      </c>
      <c r="K11369" t="s">
        <v>47113</v>
      </c>
      <c r="L11369">
        <v>18.72</v>
      </c>
      <c r="M11369">
        <v>60</v>
      </c>
      <c r="N11369">
        <v>0</v>
      </c>
      <c r="O11369">
        <v>60</v>
      </c>
      <c r="P11369">
        <v>0</v>
      </c>
    </row>
    <row r="11370" spans="1:16" x14ac:dyDescent="0.25">
      <c r="A11370" t="s">
        <v>34144</v>
      </c>
      <c r="B11370" t="s">
        <v>15622</v>
      </c>
      <c r="C11370" t="s">
        <v>15623</v>
      </c>
      <c r="D11370" t="str">
        <f>"3105"</f>
        <v>3105</v>
      </c>
      <c r="E11370" t="s">
        <v>8217</v>
      </c>
      <c r="F11370" t="s">
        <v>3750</v>
      </c>
      <c r="G11370" t="s">
        <v>16235</v>
      </c>
      <c r="H11370" t="s">
        <v>47054</v>
      </c>
      <c r="I11370" t="s">
        <v>47118</v>
      </c>
      <c r="J11370" t="s">
        <v>47119</v>
      </c>
      <c r="K11370" t="s">
        <v>47113</v>
      </c>
      <c r="L11370">
        <v>18.72</v>
      </c>
      <c r="M11370">
        <v>60</v>
      </c>
      <c r="N11370">
        <v>0</v>
      </c>
      <c r="O11370">
        <v>60</v>
      </c>
      <c r="P11370">
        <v>0</v>
      </c>
    </row>
    <row r="11371" spans="1:16" x14ac:dyDescent="0.25">
      <c r="A11371" t="s">
        <v>34145</v>
      </c>
      <c r="B11371" t="s">
        <v>15624</v>
      </c>
      <c r="C11371" t="s">
        <v>15625</v>
      </c>
      <c r="D11371" t="str">
        <f>"1001"</f>
        <v>1001</v>
      </c>
      <c r="E11371" t="s">
        <v>42</v>
      </c>
      <c r="F11371" t="s">
        <v>3750</v>
      </c>
      <c r="G11371" t="s">
        <v>16222</v>
      </c>
      <c r="H11371" t="s">
        <v>47054</v>
      </c>
      <c r="I11371" t="s">
        <v>47118</v>
      </c>
      <c r="J11371" t="s">
        <v>47119</v>
      </c>
      <c r="K11371" t="s">
        <v>47113</v>
      </c>
      <c r="L11371">
        <v>13.24</v>
      </c>
      <c r="M11371">
        <v>44</v>
      </c>
      <c r="N11371">
        <v>0</v>
      </c>
      <c r="O11371">
        <v>44</v>
      </c>
      <c r="P11371">
        <v>0</v>
      </c>
    </row>
    <row r="11372" spans="1:16" x14ac:dyDescent="0.25">
      <c r="A11372" t="s">
        <v>34146</v>
      </c>
      <c r="B11372" t="s">
        <v>15624</v>
      </c>
      <c r="C11372" t="s">
        <v>15625</v>
      </c>
      <c r="D11372" t="str">
        <f>"1501"</f>
        <v>1501</v>
      </c>
      <c r="E11372" t="s">
        <v>14476</v>
      </c>
      <c r="F11372" t="s">
        <v>3750</v>
      </c>
      <c r="G11372" t="s">
        <v>16222</v>
      </c>
      <c r="H11372" t="s">
        <v>47054</v>
      </c>
      <c r="I11372" t="s">
        <v>47118</v>
      </c>
      <c r="J11372" t="s">
        <v>47119</v>
      </c>
      <c r="K11372" t="s">
        <v>47113</v>
      </c>
      <c r="L11372">
        <v>13.8</v>
      </c>
      <c r="M11372">
        <v>44</v>
      </c>
      <c r="N11372">
        <v>0</v>
      </c>
      <c r="O11372">
        <v>44</v>
      </c>
      <c r="P11372">
        <v>0</v>
      </c>
    </row>
    <row r="11373" spans="1:16" x14ac:dyDescent="0.25">
      <c r="A11373" t="s">
        <v>34147</v>
      </c>
      <c r="B11373" t="s">
        <v>15626</v>
      </c>
      <c r="C11373" t="s">
        <v>15627</v>
      </c>
      <c r="D11373" t="str">
        <f>"2707"</f>
        <v>2707</v>
      </c>
      <c r="E11373" t="s">
        <v>3019</v>
      </c>
      <c r="F11373" t="s">
        <v>3750</v>
      </c>
      <c r="G11373" t="s">
        <v>16222</v>
      </c>
      <c r="H11373" t="s">
        <v>47054</v>
      </c>
      <c r="I11373" t="s">
        <v>47118</v>
      </c>
      <c r="J11373" t="s">
        <v>47119</v>
      </c>
      <c r="K11373" t="s">
        <v>47113</v>
      </c>
      <c r="L11373">
        <v>14.37</v>
      </c>
      <c r="M11373">
        <v>44</v>
      </c>
      <c r="N11373">
        <v>0</v>
      </c>
      <c r="O11373">
        <v>44</v>
      </c>
      <c r="P11373">
        <v>0</v>
      </c>
    </row>
    <row r="11374" spans="1:16" x14ac:dyDescent="0.25">
      <c r="A11374" t="s">
        <v>34148</v>
      </c>
      <c r="B11374" t="s">
        <v>15626</v>
      </c>
      <c r="C11374" t="s">
        <v>15627</v>
      </c>
      <c r="D11374" t="str">
        <f>"3105"</f>
        <v>3105</v>
      </c>
      <c r="E11374" t="s">
        <v>8217</v>
      </c>
      <c r="F11374" t="s">
        <v>3750</v>
      </c>
      <c r="G11374" t="s">
        <v>16222</v>
      </c>
      <c r="H11374" t="s">
        <v>47054</v>
      </c>
      <c r="I11374" t="s">
        <v>47118</v>
      </c>
      <c r="J11374" t="s">
        <v>47119</v>
      </c>
      <c r="K11374" t="s">
        <v>47113</v>
      </c>
      <c r="L11374">
        <v>14.37</v>
      </c>
      <c r="M11374">
        <v>44</v>
      </c>
      <c r="N11374">
        <v>0</v>
      </c>
      <c r="O11374">
        <v>44</v>
      </c>
      <c r="P11374">
        <v>0</v>
      </c>
    </row>
    <row r="11375" spans="1:16" x14ac:dyDescent="0.25">
      <c r="A11375" t="s">
        <v>34149</v>
      </c>
      <c r="B11375" t="s">
        <v>16353</v>
      </c>
      <c r="C11375" t="s">
        <v>16354</v>
      </c>
      <c r="D11375" t="str">
        <f>"4143"</f>
        <v>4143</v>
      </c>
      <c r="E11375" t="s">
        <v>261</v>
      </c>
      <c r="F11375" t="s">
        <v>3750</v>
      </c>
      <c r="G11375" t="s">
        <v>16222</v>
      </c>
      <c r="H11375" t="s">
        <v>47054</v>
      </c>
      <c r="I11375" t="s">
        <v>47118</v>
      </c>
      <c r="J11375" t="s">
        <v>47119</v>
      </c>
      <c r="K11375" t="s">
        <v>47113</v>
      </c>
      <c r="L11375">
        <v>12.29</v>
      </c>
      <c r="M11375">
        <v>44</v>
      </c>
      <c r="N11375">
        <v>0</v>
      </c>
      <c r="O11375">
        <v>44</v>
      </c>
      <c r="P11375">
        <v>0</v>
      </c>
    </row>
    <row r="11376" spans="1:16" x14ac:dyDescent="0.25">
      <c r="A11376" t="s">
        <v>34150</v>
      </c>
      <c r="B11376" t="s">
        <v>16353</v>
      </c>
      <c r="C11376" t="s">
        <v>16354</v>
      </c>
      <c r="D11376" t="str">
        <f>"6000"</f>
        <v>6000</v>
      </c>
      <c r="E11376" t="s">
        <v>238</v>
      </c>
      <c r="F11376" t="s">
        <v>3750</v>
      </c>
      <c r="G11376" t="s">
        <v>16222</v>
      </c>
      <c r="H11376" t="s">
        <v>47054</v>
      </c>
      <c r="I11376" t="s">
        <v>47118</v>
      </c>
      <c r="J11376" t="s">
        <v>47119</v>
      </c>
      <c r="K11376" t="s">
        <v>47113</v>
      </c>
      <c r="L11376">
        <v>12.29</v>
      </c>
      <c r="M11376">
        <v>44</v>
      </c>
      <c r="N11376">
        <v>0</v>
      </c>
      <c r="O11376">
        <v>44</v>
      </c>
      <c r="P11376">
        <v>0</v>
      </c>
    </row>
    <row r="11377" spans="1:16" x14ac:dyDescent="0.25">
      <c r="A11377" t="s">
        <v>34151</v>
      </c>
      <c r="B11377" t="s">
        <v>14478</v>
      </c>
      <c r="C11377" t="s">
        <v>14477</v>
      </c>
      <c r="D11377" t="str">
        <f>"1001"</f>
        <v>1001</v>
      </c>
      <c r="E11377" t="s">
        <v>42</v>
      </c>
      <c r="F11377" t="s">
        <v>3750</v>
      </c>
      <c r="G11377" t="s">
        <v>16235</v>
      </c>
      <c r="H11377" t="s">
        <v>47054</v>
      </c>
      <c r="I11377" t="s">
        <v>47118</v>
      </c>
      <c r="J11377" t="s">
        <v>47119</v>
      </c>
      <c r="K11377" t="s">
        <v>47113</v>
      </c>
      <c r="L11377">
        <v>15.81</v>
      </c>
      <c r="M11377">
        <v>60</v>
      </c>
      <c r="N11377">
        <v>0</v>
      </c>
      <c r="O11377">
        <v>60</v>
      </c>
      <c r="P11377">
        <v>0</v>
      </c>
    </row>
    <row r="11378" spans="1:16" x14ac:dyDescent="0.25">
      <c r="A11378" t="s">
        <v>34152</v>
      </c>
      <c r="B11378" t="s">
        <v>14478</v>
      </c>
      <c r="C11378" t="s">
        <v>14477</v>
      </c>
      <c r="D11378" t="str">
        <f>"1501"</f>
        <v>1501</v>
      </c>
      <c r="E11378" t="s">
        <v>14476</v>
      </c>
      <c r="F11378" t="s">
        <v>3750</v>
      </c>
      <c r="G11378" t="s">
        <v>16235</v>
      </c>
      <c r="H11378" t="s">
        <v>47054</v>
      </c>
      <c r="I11378" t="s">
        <v>47118</v>
      </c>
      <c r="J11378" t="s">
        <v>47119</v>
      </c>
      <c r="K11378" t="s">
        <v>47113</v>
      </c>
      <c r="L11378">
        <v>16.18</v>
      </c>
      <c r="M11378">
        <v>60</v>
      </c>
      <c r="N11378">
        <v>0</v>
      </c>
      <c r="O11378">
        <v>60</v>
      </c>
      <c r="P11378">
        <v>0</v>
      </c>
    </row>
    <row r="11379" spans="1:16" x14ac:dyDescent="0.25">
      <c r="A11379" t="s">
        <v>34153</v>
      </c>
      <c r="B11379" t="s">
        <v>8591</v>
      </c>
      <c r="C11379" t="s">
        <v>8592</v>
      </c>
      <c r="D11379" t="str">
        <f>"1984"</f>
        <v>1984</v>
      </c>
      <c r="E11379" t="s">
        <v>8495</v>
      </c>
      <c r="F11379" t="s">
        <v>0</v>
      </c>
      <c r="G11379" t="s">
        <v>16231</v>
      </c>
      <c r="H11379" t="s">
        <v>47054</v>
      </c>
      <c r="I11379" t="s">
        <v>47111</v>
      </c>
      <c r="J11379" t="s">
        <v>47112</v>
      </c>
      <c r="K11379" t="s">
        <v>47113</v>
      </c>
      <c r="L11379">
        <v>66.77</v>
      </c>
      <c r="M11379">
        <v>140</v>
      </c>
      <c r="N11379">
        <v>0</v>
      </c>
      <c r="O11379">
        <v>140</v>
      </c>
      <c r="P11379">
        <v>0</v>
      </c>
    </row>
    <row r="11380" spans="1:16" x14ac:dyDescent="0.25">
      <c r="A11380" t="s">
        <v>34154</v>
      </c>
      <c r="B11380" t="s">
        <v>8593</v>
      </c>
      <c r="C11380" t="s">
        <v>17889</v>
      </c>
      <c r="D11380" t="s">
        <v>8594</v>
      </c>
      <c r="E11380" t="s">
        <v>8595</v>
      </c>
      <c r="F11380" t="s">
        <v>3558</v>
      </c>
      <c r="G11380" t="s">
        <v>16231</v>
      </c>
      <c r="I11380" t="s">
        <v>47111</v>
      </c>
      <c r="J11380" t="s">
        <v>47112</v>
      </c>
      <c r="K11380" t="s">
        <v>47113</v>
      </c>
      <c r="L11380">
        <v>64.02</v>
      </c>
      <c r="M11380">
        <v>133</v>
      </c>
      <c r="N11380">
        <v>0</v>
      </c>
      <c r="O11380">
        <v>133</v>
      </c>
      <c r="P11380">
        <v>0</v>
      </c>
    </row>
    <row r="11381" spans="1:16" x14ac:dyDescent="0.25">
      <c r="A11381" t="s">
        <v>34155</v>
      </c>
      <c r="B11381" t="s">
        <v>16355</v>
      </c>
      <c r="C11381" t="s">
        <v>17890</v>
      </c>
      <c r="D11381" t="s">
        <v>16356</v>
      </c>
      <c r="E11381" t="s">
        <v>16357</v>
      </c>
      <c r="F11381" t="s">
        <v>3558</v>
      </c>
      <c r="G11381" t="s">
        <v>16231</v>
      </c>
      <c r="H11381" t="s">
        <v>47054</v>
      </c>
      <c r="I11381" t="s">
        <v>47111</v>
      </c>
      <c r="J11381" t="s">
        <v>47112</v>
      </c>
      <c r="K11381" t="s">
        <v>47113</v>
      </c>
      <c r="L11381">
        <v>64.02</v>
      </c>
      <c r="M11381">
        <v>111</v>
      </c>
      <c r="N11381">
        <v>0</v>
      </c>
      <c r="O11381">
        <v>111</v>
      </c>
      <c r="P11381">
        <v>0</v>
      </c>
    </row>
    <row r="11382" spans="1:16" x14ac:dyDescent="0.25">
      <c r="A11382" t="s">
        <v>34156</v>
      </c>
      <c r="B11382" t="s">
        <v>8596</v>
      </c>
      <c r="C11382" t="s">
        <v>5681</v>
      </c>
      <c r="D11382" t="str">
        <f>"1984"</f>
        <v>1984</v>
      </c>
      <c r="E11382" t="s">
        <v>8495</v>
      </c>
      <c r="F11382" t="s">
        <v>0</v>
      </c>
      <c r="G11382" t="s">
        <v>16231</v>
      </c>
      <c r="H11382" t="s">
        <v>47054</v>
      </c>
      <c r="I11382" t="s">
        <v>47111</v>
      </c>
      <c r="J11382" t="s">
        <v>47112</v>
      </c>
      <c r="K11382" t="s">
        <v>47113</v>
      </c>
      <c r="L11382">
        <v>64.150000000000006</v>
      </c>
      <c r="M11382">
        <v>140</v>
      </c>
      <c r="N11382">
        <v>0</v>
      </c>
      <c r="O11382">
        <v>140</v>
      </c>
      <c r="P11382">
        <v>0</v>
      </c>
    </row>
    <row r="11383" spans="1:16" x14ac:dyDescent="0.25">
      <c r="A11383" t="s">
        <v>34157</v>
      </c>
      <c r="B11383" t="s">
        <v>8597</v>
      </c>
      <c r="C11383" t="s">
        <v>8598</v>
      </c>
      <c r="D11383" t="str">
        <f>"1984"</f>
        <v>1984</v>
      </c>
      <c r="E11383" t="s">
        <v>8495</v>
      </c>
      <c r="F11383" t="s">
        <v>0</v>
      </c>
      <c r="G11383" t="s">
        <v>16231</v>
      </c>
      <c r="H11383" t="s">
        <v>47054</v>
      </c>
      <c r="I11383" t="s">
        <v>47111</v>
      </c>
      <c r="J11383" t="s">
        <v>47112</v>
      </c>
      <c r="K11383" t="s">
        <v>47113</v>
      </c>
      <c r="L11383">
        <v>64.150000000000006</v>
      </c>
      <c r="M11383">
        <v>140</v>
      </c>
      <c r="N11383">
        <v>0</v>
      </c>
      <c r="O11383">
        <v>140</v>
      </c>
      <c r="P11383">
        <v>0</v>
      </c>
    </row>
    <row r="11384" spans="1:16" x14ac:dyDescent="0.25">
      <c r="A11384" t="s">
        <v>34158</v>
      </c>
      <c r="B11384" t="s">
        <v>8599</v>
      </c>
      <c r="C11384" t="s">
        <v>5435</v>
      </c>
      <c r="D11384" t="str">
        <f>"1117"</f>
        <v>1117</v>
      </c>
      <c r="E11384" t="s">
        <v>5430</v>
      </c>
      <c r="F11384" t="s">
        <v>5</v>
      </c>
      <c r="G11384" t="s">
        <v>16231</v>
      </c>
      <c r="H11384" t="s">
        <v>47054</v>
      </c>
      <c r="I11384" t="s">
        <v>47111</v>
      </c>
      <c r="J11384" t="s">
        <v>47112</v>
      </c>
      <c r="K11384" t="s">
        <v>47113</v>
      </c>
      <c r="L11384">
        <v>42.16</v>
      </c>
      <c r="M11384">
        <v>109</v>
      </c>
      <c r="N11384">
        <v>0</v>
      </c>
      <c r="O11384">
        <v>109</v>
      </c>
      <c r="P11384">
        <v>0</v>
      </c>
    </row>
    <row r="11385" spans="1:16" x14ac:dyDescent="0.25">
      <c r="A11385" t="s">
        <v>34159</v>
      </c>
      <c r="B11385" t="s">
        <v>8599</v>
      </c>
      <c r="C11385" t="s">
        <v>5435</v>
      </c>
      <c r="D11385" t="str">
        <f>"1287"</f>
        <v>1287</v>
      </c>
      <c r="E11385" t="s">
        <v>5431</v>
      </c>
      <c r="F11385" t="s">
        <v>5</v>
      </c>
      <c r="G11385" t="s">
        <v>16231</v>
      </c>
      <c r="H11385" t="s">
        <v>47054</v>
      </c>
      <c r="I11385" t="s">
        <v>47111</v>
      </c>
      <c r="J11385" t="s">
        <v>47112</v>
      </c>
      <c r="K11385" t="s">
        <v>47113</v>
      </c>
      <c r="L11385">
        <v>42.16</v>
      </c>
      <c r="M11385">
        <v>109</v>
      </c>
      <c r="N11385">
        <v>0</v>
      </c>
      <c r="O11385">
        <v>109</v>
      </c>
      <c r="P11385">
        <v>0</v>
      </c>
    </row>
    <row r="11386" spans="1:16" x14ac:dyDescent="0.25">
      <c r="A11386" t="s">
        <v>34160</v>
      </c>
      <c r="B11386" t="s">
        <v>8599</v>
      </c>
      <c r="C11386" t="s">
        <v>5435</v>
      </c>
      <c r="D11386" t="str">
        <f>"2648"</f>
        <v>2648</v>
      </c>
      <c r="E11386" t="s">
        <v>5432</v>
      </c>
      <c r="F11386" t="s">
        <v>5</v>
      </c>
      <c r="G11386" t="s">
        <v>16231</v>
      </c>
      <c r="H11386" t="s">
        <v>47054</v>
      </c>
      <c r="I11386" t="s">
        <v>47111</v>
      </c>
      <c r="J11386" t="s">
        <v>47112</v>
      </c>
      <c r="K11386" t="s">
        <v>47113</v>
      </c>
      <c r="L11386">
        <v>42.16</v>
      </c>
      <c r="M11386">
        <v>109</v>
      </c>
      <c r="N11386">
        <v>0</v>
      </c>
      <c r="O11386">
        <v>109</v>
      </c>
      <c r="P11386">
        <v>0</v>
      </c>
    </row>
    <row r="11387" spans="1:16" x14ac:dyDescent="0.25">
      <c r="A11387" t="s">
        <v>34161</v>
      </c>
      <c r="B11387" t="s">
        <v>8599</v>
      </c>
      <c r="C11387" t="s">
        <v>5435</v>
      </c>
      <c r="D11387" t="str">
        <f>"6330"</f>
        <v>6330</v>
      </c>
      <c r="E11387" t="s">
        <v>8600</v>
      </c>
      <c r="F11387" t="s">
        <v>5</v>
      </c>
      <c r="G11387" t="s">
        <v>16231</v>
      </c>
      <c r="H11387" t="s">
        <v>47054</v>
      </c>
      <c r="I11387" t="s">
        <v>47111</v>
      </c>
      <c r="J11387" t="s">
        <v>47112</v>
      </c>
      <c r="K11387" t="s">
        <v>47113</v>
      </c>
      <c r="L11387">
        <v>42.16</v>
      </c>
      <c r="M11387">
        <v>109</v>
      </c>
      <c r="N11387">
        <v>0</v>
      </c>
      <c r="O11387">
        <v>109</v>
      </c>
      <c r="P11387">
        <v>0</v>
      </c>
    </row>
    <row r="11388" spans="1:16" x14ac:dyDescent="0.25">
      <c r="A11388" t="s">
        <v>34162</v>
      </c>
      <c r="B11388" t="s">
        <v>8601</v>
      </c>
      <c r="C11388" t="s">
        <v>8602</v>
      </c>
      <c r="D11388" t="str">
        <f>"1117"</f>
        <v>1117</v>
      </c>
      <c r="E11388" t="s">
        <v>5430</v>
      </c>
      <c r="F11388" t="s">
        <v>5</v>
      </c>
      <c r="G11388" t="s">
        <v>16231</v>
      </c>
      <c r="H11388" t="s">
        <v>47054</v>
      </c>
      <c r="I11388" t="s">
        <v>47111</v>
      </c>
      <c r="J11388" t="s">
        <v>47112</v>
      </c>
      <c r="K11388" t="s">
        <v>47113</v>
      </c>
      <c r="L11388">
        <v>42.16</v>
      </c>
      <c r="M11388">
        <v>109</v>
      </c>
      <c r="N11388">
        <v>0</v>
      </c>
      <c r="O11388">
        <v>109</v>
      </c>
      <c r="P11388">
        <v>0</v>
      </c>
    </row>
    <row r="11389" spans="1:16" x14ac:dyDescent="0.25">
      <c r="A11389" t="s">
        <v>34163</v>
      </c>
      <c r="B11389" t="s">
        <v>8601</v>
      </c>
      <c r="C11389" t="s">
        <v>8602</v>
      </c>
      <c r="D11389" t="str">
        <f>"1287"</f>
        <v>1287</v>
      </c>
      <c r="E11389" t="s">
        <v>5431</v>
      </c>
      <c r="F11389" t="s">
        <v>5</v>
      </c>
      <c r="G11389" t="s">
        <v>16231</v>
      </c>
      <c r="H11389" t="s">
        <v>47054</v>
      </c>
      <c r="I11389" t="s">
        <v>47111</v>
      </c>
      <c r="J11389" t="s">
        <v>47112</v>
      </c>
      <c r="K11389" t="s">
        <v>47113</v>
      </c>
      <c r="L11389">
        <v>42.16</v>
      </c>
      <c r="M11389">
        <v>109</v>
      </c>
      <c r="N11389">
        <v>0</v>
      </c>
      <c r="O11389">
        <v>109</v>
      </c>
      <c r="P11389">
        <v>0</v>
      </c>
    </row>
    <row r="11390" spans="1:16" x14ac:dyDescent="0.25">
      <c r="A11390" t="s">
        <v>34164</v>
      </c>
      <c r="B11390" t="s">
        <v>8601</v>
      </c>
      <c r="C11390" t="s">
        <v>8602</v>
      </c>
      <c r="D11390" t="str">
        <f>"2648"</f>
        <v>2648</v>
      </c>
      <c r="E11390" t="s">
        <v>5432</v>
      </c>
      <c r="F11390" t="s">
        <v>5</v>
      </c>
      <c r="G11390" t="s">
        <v>16231</v>
      </c>
      <c r="H11390" t="s">
        <v>47054</v>
      </c>
      <c r="I11390" t="s">
        <v>47111</v>
      </c>
      <c r="J11390" t="s">
        <v>47112</v>
      </c>
      <c r="K11390" t="s">
        <v>47113</v>
      </c>
      <c r="L11390">
        <v>42.16</v>
      </c>
      <c r="M11390">
        <v>109</v>
      </c>
      <c r="N11390">
        <v>0</v>
      </c>
      <c r="O11390">
        <v>109</v>
      </c>
      <c r="P11390">
        <v>0</v>
      </c>
    </row>
    <row r="11391" spans="1:16" x14ac:dyDescent="0.25">
      <c r="A11391" t="s">
        <v>34165</v>
      </c>
      <c r="B11391" t="s">
        <v>8601</v>
      </c>
      <c r="C11391" t="s">
        <v>8602</v>
      </c>
      <c r="D11391" t="str">
        <f>"6330"</f>
        <v>6330</v>
      </c>
      <c r="E11391" t="s">
        <v>8600</v>
      </c>
      <c r="F11391" t="s">
        <v>5</v>
      </c>
      <c r="G11391" t="s">
        <v>16231</v>
      </c>
      <c r="H11391" t="s">
        <v>47054</v>
      </c>
      <c r="I11391" t="s">
        <v>47111</v>
      </c>
      <c r="J11391" t="s">
        <v>47112</v>
      </c>
      <c r="K11391" t="s">
        <v>47113</v>
      </c>
      <c r="L11391">
        <v>42.16</v>
      </c>
      <c r="M11391">
        <v>109</v>
      </c>
      <c r="N11391">
        <v>0</v>
      </c>
      <c r="O11391">
        <v>109</v>
      </c>
      <c r="P11391">
        <v>0</v>
      </c>
    </row>
    <row r="11392" spans="1:16" x14ac:dyDescent="0.25">
      <c r="A11392" t="s">
        <v>34166</v>
      </c>
      <c r="B11392" t="s">
        <v>8603</v>
      </c>
      <c r="C11392" t="s">
        <v>8604</v>
      </c>
      <c r="D11392" t="str">
        <f>"1117"</f>
        <v>1117</v>
      </c>
      <c r="E11392" t="s">
        <v>5430</v>
      </c>
      <c r="F11392" t="s">
        <v>5</v>
      </c>
      <c r="G11392" t="s">
        <v>16231</v>
      </c>
      <c r="H11392" t="s">
        <v>47054</v>
      </c>
      <c r="I11392" t="s">
        <v>47111</v>
      </c>
      <c r="J11392" t="s">
        <v>47112</v>
      </c>
      <c r="K11392" t="s">
        <v>47113</v>
      </c>
      <c r="L11392">
        <v>42.16</v>
      </c>
      <c r="M11392">
        <v>109</v>
      </c>
      <c r="N11392">
        <v>0</v>
      </c>
      <c r="O11392">
        <v>109</v>
      </c>
      <c r="P11392">
        <v>0</v>
      </c>
    </row>
    <row r="11393" spans="1:16" x14ac:dyDescent="0.25">
      <c r="A11393" t="s">
        <v>34167</v>
      </c>
      <c r="B11393" t="s">
        <v>8603</v>
      </c>
      <c r="C11393" t="s">
        <v>8604</v>
      </c>
      <c r="D11393" t="str">
        <f>"1287"</f>
        <v>1287</v>
      </c>
      <c r="E11393" t="s">
        <v>5431</v>
      </c>
      <c r="F11393" t="s">
        <v>5</v>
      </c>
      <c r="G11393" t="s">
        <v>16231</v>
      </c>
      <c r="H11393" t="s">
        <v>47054</v>
      </c>
      <c r="I11393" t="s">
        <v>47111</v>
      </c>
      <c r="J11393" t="s">
        <v>47112</v>
      </c>
      <c r="K11393" t="s">
        <v>47113</v>
      </c>
      <c r="L11393">
        <v>42.16</v>
      </c>
      <c r="M11393">
        <v>109</v>
      </c>
      <c r="N11393">
        <v>0</v>
      </c>
      <c r="O11393">
        <v>109</v>
      </c>
      <c r="P11393">
        <v>0</v>
      </c>
    </row>
    <row r="11394" spans="1:16" x14ac:dyDescent="0.25">
      <c r="A11394" t="s">
        <v>34168</v>
      </c>
      <c r="B11394" t="s">
        <v>8603</v>
      </c>
      <c r="C11394" t="s">
        <v>8604</v>
      </c>
      <c r="D11394" t="str">
        <f>"2648"</f>
        <v>2648</v>
      </c>
      <c r="E11394" t="s">
        <v>5432</v>
      </c>
      <c r="F11394" t="s">
        <v>5</v>
      </c>
      <c r="G11394" t="s">
        <v>16231</v>
      </c>
      <c r="H11394" t="s">
        <v>47054</v>
      </c>
      <c r="I11394" t="s">
        <v>47111</v>
      </c>
      <c r="J11394" t="s">
        <v>47112</v>
      </c>
      <c r="K11394" t="s">
        <v>47113</v>
      </c>
      <c r="L11394">
        <v>42.16</v>
      </c>
      <c r="M11394">
        <v>109</v>
      </c>
      <c r="N11394">
        <v>0</v>
      </c>
      <c r="O11394">
        <v>109</v>
      </c>
      <c r="P11394">
        <v>0</v>
      </c>
    </row>
    <row r="11395" spans="1:16" x14ac:dyDescent="0.25">
      <c r="A11395" t="s">
        <v>34169</v>
      </c>
      <c r="B11395" t="s">
        <v>8603</v>
      </c>
      <c r="C11395" t="s">
        <v>8604</v>
      </c>
      <c r="D11395" t="str">
        <f>"6330"</f>
        <v>6330</v>
      </c>
      <c r="E11395" t="s">
        <v>8600</v>
      </c>
      <c r="F11395" t="s">
        <v>5</v>
      </c>
      <c r="G11395" t="s">
        <v>16231</v>
      </c>
      <c r="H11395" t="s">
        <v>47054</v>
      </c>
      <c r="I11395" t="s">
        <v>47111</v>
      </c>
      <c r="J11395" t="s">
        <v>47112</v>
      </c>
      <c r="K11395" t="s">
        <v>47113</v>
      </c>
      <c r="L11395">
        <v>42.16</v>
      </c>
      <c r="M11395">
        <v>109</v>
      </c>
      <c r="N11395">
        <v>0</v>
      </c>
      <c r="O11395">
        <v>109</v>
      </c>
      <c r="P11395">
        <v>0</v>
      </c>
    </row>
    <row r="11396" spans="1:16" x14ac:dyDescent="0.25">
      <c r="A11396" t="s">
        <v>34170</v>
      </c>
      <c r="B11396" t="s">
        <v>8605</v>
      </c>
      <c r="C11396" t="s">
        <v>5439</v>
      </c>
      <c r="D11396" t="str">
        <f>"1117"</f>
        <v>1117</v>
      </c>
      <c r="E11396" t="s">
        <v>5430</v>
      </c>
      <c r="F11396" t="s">
        <v>5</v>
      </c>
      <c r="G11396" t="s">
        <v>16231</v>
      </c>
      <c r="H11396" t="s">
        <v>47054</v>
      </c>
      <c r="I11396" t="s">
        <v>47111</v>
      </c>
      <c r="J11396" t="s">
        <v>47112</v>
      </c>
      <c r="K11396" t="s">
        <v>47113</v>
      </c>
      <c r="L11396">
        <v>42.16</v>
      </c>
      <c r="M11396">
        <v>109</v>
      </c>
      <c r="N11396">
        <v>0</v>
      </c>
      <c r="O11396">
        <v>109</v>
      </c>
      <c r="P11396">
        <v>0</v>
      </c>
    </row>
    <row r="11397" spans="1:16" x14ac:dyDescent="0.25">
      <c r="A11397" t="s">
        <v>34171</v>
      </c>
      <c r="B11397" t="s">
        <v>8605</v>
      </c>
      <c r="C11397" t="s">
        <v>5439</v>
      </c>
      <c r="D11397" t="str">
        <f>"1287"</f>
        <v>1287</v>
      </c>
      <c r="E11397" t="s">
        <v>5431</v>
      </c>
      <c r="F11397" t="s">
        <v>5</v>
      </c>
      <c r="G11397" t="s">
        <v>16231</v>
      </c>
      <c r="H11397" t="s">
        <v>47054</v>
      </c>
      <c r="I11397" t="s">
        <v>47111</v>
      </c>
      <c r="J11397" t="s">
        <v>47112</v>
      </c>
      <c r="K11397" t="s">
        <v>47113</v>
      </c>
      <c r="L11397">
        <v>42.16</v>
      </c>
      <c r="M11397">
        <v>109</v>
      </c>
      <c r="N11397">
        <v>0</v>
      </c>
      <c r="O11397">
        <v>109</v>
      </c>
      <c r="P11397">
        <v>0</v>
      </c>
    </row>
    <row r="11398" spans="1:16" x14ac:dyDescent="0.25">
      <c r="A11398" t="s">
        <v>34172</v>
      </c>
      <c r="B11398" t="s">
        <v>8605</v>
      </c>
      <c r="C11398" t="s">
        <v>5439</v>
      </c>
      <c r="D11398" t="str">
        <f>"2648"</f>
        <v>2648</v>
      </c>
      <c r="E11398" t="s">
        <v>5432</v>
      </c>
      <c r="F11398" t="s">
        <v>5</v>
      </c>
      <c r="G11398" t="s">
        <v>16231</v>
      </c>
      <c r="H11398" t="s">
        <v>47054</v>
      </c>
      <c r="I11398" t="s">
        <v>47111</v>
      </c>
      <c r="J11398" t="s">
        <v>47112</v>
      </c>
      <c r="K11398" t="s">
        <v>47113</v>
      </c>
      <c r="L11398">
        <v>42.16</v>
      </c>
      <c r="M11398">
        <v>109</v>
      </c>
      <c r="N11398">
        <v>0</v>
      </c>
      <c r="O11398">
        <v>109</v>
      </c>
      <c r="P11398">
        <v>0</v>
      </c>
    </row>
    <row r="11399" spans="1:16" x14ac:dyDescent="0.25">
      <c r="A11399" t="s">
        <v>34173</v>
      </c>
      <c r="B11399" t="s">
        <v>8605</v>
      </c>
      <c r="C11399" t="s">
        <v>5439</v>
      </c>
      <c r="D11399" t="str">
        <f>"6330"</f>
        <v>6330</v>
      </c>
      <c r="E11399" t="s">
        <v>8600</v>
      </c>
      <c r="F11399" t="s">
        <v>5</v>
      </c>
      <c r="G11399" t="s">
        <v>16231</v>
      </c>
      <c r="H11399" t="s">
        <v>47054</v>
      </c>
      <c r="I11399" t="s">
        <v>47111</v>
      </c>
      <c r="J11399" t="s">
        <v>47112</v>
      </c>
      <c r="K11399" t="s">
        <v>47113</v>
      </c>
      <c r="L11399">
        <v>42.16</v>
      </c>
      <c r="M11399">
        <v>109</v>
      </c>
      <c r="N11399">
        <v>0</v>
      </c>
      <c r="O11399">
        <v>109</v>
      </c>
      <c r="P11399">
        <v>0</v>
      </c>
    </row>
    <row r="11400" spans="1:16" x14ac:dyDescent="0.25">
      <c r="A11400" t="s">
        <v>14981</v>
      </c>
      <c r="B11400" t="s">
        <v>8606</v>
      </c>
      <c r="C11400" t="s">
        <v>8607</v>
      </c>
      <c r="D11400" t="str">
        <f>"3256"</f>
        <v>3256</v>
      </c>
      <c r="E11400" t="s">
        <v>8608</v>
      </c>
      <c r="F11400" t="s">
        <v>2068</v>
      </c>
      <c r="G11400" t="s">
        <v>16234</v>
      </c>
      <c r="H11400" t="s">
        <v>47054</v>
      </c>
      <c r="I11400" t="s">
        <v>47111</v>
      </c>
      <c r="J11400" t="s">
        <v>47112</v>
      </c>
      <c r="K11400" t="s">
        <v>47113</v>
      </c>
      <c r="L11400">
        <v>53.26</v>
      </c>
      <c r="M11400">
        <v>131</v>
      </c>
      <c r="N11400">
        <v>0</v>
      </c>
      <c r="O11400">
        <v>131</v>
      </c>
      <c r="P11400">
        <v>0</v>
      </c>
    </row>
    <row r="11401" spans="1:16" x14ac:dyDescent="0.25">
      <c r="A11401" t="s">
        <v>34174</v>
      </c>
      <c r="B11401" t="s">
        <v>8609</v>
      </c>
      <c r="C11401" t="s">
        <v>8610</v>
      </c>
      <c r="D11401" t="str">
        <f>"3256"</f>
        <v>3256</v>
      </c>
      <c r="E11401" t="s">
        <v>8608</v>
      </c>
      <c r="F11401" t="s">
        <v>5</v>
      </c>
      <c r="G11401" t="s">
        <v>16231</v>
      </c>
      <c r="H11401" t="s">
        <v>47054</v>
      </c>
      <c r="I11401" t="s">
        <v>47111</v>
      </c>
      <c r="J11401" t="s">
        <v>47112</v>
      </c>
      <c r="K11401" t="s">
        <v>47113</v>
      </c>
      <c r="L11401">
        <v>33.590000000000003</v>
      </c>
      <c r="M11401">
        <v>77</v>
      </c>
      <c r="N11401">
        <v>0</v>
      </c>
      <c r="O11401">
        <v>77</v>
      </c>
      <c r="P11401">
        <v>0</v>
      </c>
    </row>
    <row r="11402" spans="1:16" x14ac:dyDescent="0.25">
      <c r="A11402" t="s">
        <v>34175</v>
      </c>
      <c r="B11402" t="s">
        <v>8611</v>
      </c>
      <c r="C11402" t="s">
        <v>8612</v>
      </c>
      <c r="D11402" t="str">
        <f>"3256"</f>
        <v>3256</v>
      </c>
      <c r="E11402" t="s">
        <v>8608</v>
      </c>
      <c r="F11402" t="s">
        <v>5</v>
      </c>
      <c r="G11402" t="s">
        <v>16231</v>
      </c>
      <c r="H11402" t="s">
        <v>47054</v>
      </c>
      <c r="I11402" t="s">
        <v>47111</v>
      </c>
      <c r="J11402" t="s">
        <v>47112</v>
      </c>
      <c r="K11402" t="s">
        <v>47113</v>
      </c>
      <c r="L11402">
        <v>33.590000000000003</v>
      </c>
      <c r="M11402">
        <v>77</v>
      </c>
      <c r="N11402">
        <v>0</v>
      </c>
      <c r="O11402">
        <v>77</v>
      </c>
      <c r="P11402">
        <v>0</v>
      </c>
    </row>
    <row r="11403" spans="1:16" x14ac:dyDescent="0.25">
      <c r="A11403" t="s">
        <v>34176</v>
      </c>
      <c r="B11403" t="s">
        <v>15628</v>
      </c>
      <c r="C11403" t="s">
        <v>17891</v>
      </c>
      <c r="D11403" t="s">
        <v>15279</v>
      </c>
      <c r="E11403" t="s">
        <v>15280</v>
      </c>
      <c r="F11403" t="s">
        <v>15183</v>
      </c>
      <c r="G11403" t="s">
        <v>16224</v>
      </c>
      <c r="H11403" t="s">
        <v>47054</v>
      </c>
      <c r="I11403" t="s">
        <v>47116</v>
      </c>
      <c r="J11403" t="s">
        <v>47117</v>
      </c>
      <c r="K11403" t="s">
        <v>47113</v>
      </c>
      <c r="L11403">
        <v>48.16</v>
      </c>
      <c r="M11403">
        <v>133</v>
      </c>
      <c r="N11403">
        <v>0</v>
      </c>
      <c r="O11403">
        <v>133</v>
      </c>
      <c r="P11403">
        <v>0</v>
      </c>
    </row>
    <row r="11404" spans="1:16" x14ac:dyDescent="0.25">
      <c r="A11404" t="s">
        <v>17892</v>
      </c>
      <c r="B11404" t="s">
        <v>16358</v>
      </c>
      <c r="C11404" t="s">
        <v>17893</v>
      </c>
      <c r="D11404" t="s">
        <v>15253</v>
      </c>
      <c r="E11404" t="s">
        <v>15254</v>
      </c>
      <c r="F11404" t="s">
        <v>15183</v>
      </c>
      <c r="G11404" t="s">
        <v>16224</v>
      </c>
      <c r="H11404" t="s">
        <v>47054</v>
      </c>
      <c r="I11404" t="s">
        <v>47120</v>
      </c>
      <c r="J11404" t="s">
        <v>47121</v>
      </c>
      <c r="K11404" t="s">
        <v>47113</v>
      </c>
      <c r="L11404">
        <v>33.72</v>
      </c>
      <c r="M11404">
        <v>92</v>
      </c>
      <c r="N11404">
        <v>0</v>
      </c>
      <c r="O11404">
        <v>92</v>
      </c>
      <c r="P11404">
        <v>0</v>
      </c>
    </row>
    <row r="11405" spans="1:16" x14ac:dyDescent="0.25">
      <c r="A11405" t="s">
        <v>34177</v>
      </c>
      <c r="B11405" t="s">
        <v>15629</v>
      </c>
      <c r="C11405" t="s">
        <v>2084</v>
      </c>
      <c r="D11405" t="s">
        <v>8153</v>
      </c>
      <c r="E11405" t="s">
        <v>8154</v>
      </c>
      <c r="F11405" t="s">
        <v>15183</v>
      </c>
      <c r="G11405" t="s">
        <v>16224</v>
      </c>
      <c r="H11405" t="s">
        <v>47054</v>
      </c>
      <c r="I11405" t="s">
        <v>47116</v>
      </c>
      <c r="J11405" t="s">
        <v>47117</v>
      </c>
      <c r="K11405" t="s">
        <v>47113</v>
      </c>
      <c r="L11405">
        <v>53.45</v>
      </c>
      <c r="M11405">
        <v>122</v>
      </c>
      <c r="N11405">
        <v>0</v>
      </c>
      <c r="O11405">
        <v>122</v>
      </c>
      <c r="P11405">
        <v>0</v>
      </c>
    </row>
    <row r="11406" spans="1:16" x14ac:dyDescent="0.25">
      <c r="A11406" t="s">
        <v>34178</v>
      </c>
      <c r="B11406" t="s">
        <v>17894</v>
      </c>
      <c r="C11406" t="s">
        <v>17895</v>
      </c>
      <c r="D11406" t="s">
        <v>16763</v>
      </c>
      <c r="E11406" t="s">
        <v>16764</v>
      </c>
      <c r="F11406" t="s">
        <v>16601</v>
      </c>
      <c r="G11406" t="s">
        <v>16224</v>
      </c>
      <c r="H11406" t="s">
        <v>47054</v>
      </c>
      <c r="I11406" t="s">
        <v>47116</v>
      </c>
      <c r="J11406" t="s">
        <v>47117</v>
      </c>
      <c r="K11406" t="s">
        <v>47113</v>
      </c>
      <c r="L11406">
        <v>62.13</v>
      </c>
      <c r="M11406">
        <v>103</v>
      </c>
      <c r="N11406">
        <v>0</v>
      </c>
      <c r="O11406">
        <v>103</v>
      </c>
      <c r="P11406">
        <v>0</v>
      </c>
    </row>
    <row r="11407" spans="1:16" x14ac:dyDescent="0.25">
      <c r="A11407" t="s">
        <v>34179</v>
      </c>
      <c r="B11407" t="s">
        <v>17896</v>
      </c>
      <c r="C11407" t="s">
        <v>17897</v>
      </c>
      <c r="D11407" t="s">
        <v>16728</v>
      </c>
      <c r="E11407" t="s">
        <v>16729</v>
      </c>
      <c r="F11407" t="s">
        <v>16601</v>
      </c>
      <c r="G11407" t="s">
        <v>16448</v>
      </c>
      <c r="H11407" t="s">
        <v>47054</v>
      </c>
      <c r="I11407" t="s">
        <v>47116</v>
      </c>
      <c r="J11407" t="s">
        <v>47117</v>
      </c>
      <c r="K11407" t="s">
        <v>47113</v>
      </c>
      <c r="L11407">
        <v>60.05</v>
      </c>
      <c r="M11407">
        <v>133</v>
      </c>
      <c r="N11407">
        <v>0</v>
      </c>
      <c r="O11407">
        <v>133</v>
      </c>
      <c r="P11407">
        <v>0</v>
      </c>
    </row>
    <row r="11408" spans="1:16" x14ac:dyDescent="0.25">
      <c r="A11408" t="s">
        <v>34180</v>
      </c>
      <c r="B11408" t="s">
        <v>17898</v>
      </c>
      <c r="C11408" t="s">
        <v>17897</v>
      </c>
      <c r="D11408" t="s">
        <v>16777</v>
      </c>
      <c r="E11408" t="s">
        <v>16778</v>
      </c>
      <c r="F11408" t="s">
        <v>16601</v>
      </c>
      <c r="G11408" t="s">
        <v>16448</v>
      </c>
      <c r="H11408" t="s">
        <v>47054</v>
      </c>
      <c r="I11408" t="s">
        <v>47116</v>
      </c>
      <c r="J11408" t="s">
        <v>47117</v>
      </c>
      <c r="K11408" t="s">
        <v>47113</v>
      </c>
      <c r="L11408">
        <v>74.31</v>
      </c>
      <c r="M11408">
        <v>137</v>
      </c>
      <c r="N11408">
        <v>0</v>
      </c>
      <c r="O11408">
        <v>137</v>
      </c>
      <c r="P11408">
        <v>0</v>
      </c>
    </row>
    <row r="11409" spans="1:16" x14ac:dyDescent="0.25">
      <c r="A11409" t="s">
        <v>34181</v>
      </c>
      <c r="B11409" t="s">
        <v>17899</v>
      </c>
      <c r="C11409" t="s">
        <v>17897</v>
      </c>
      <c r="D11409" t="s">
        <v>16788</v>
      </c>
      <c r="E11409" t="s">
        <v>16789</v>
      </c>
      <c r="F11409" t="s">
        <v>16601</v>
      </c>
      <c r="G11409" t="s">
        <v>16448</v>
      </c>
      <c r="H11409" t="s">
        <v>47054</v>
      </c>
      <c r="I11409" t="s">
        <v>47116</v>
      </c>
      <c r="J11409" t="s">
        <v>47117</v>
      </c>
      <c r="K11409" t="s">
        <v>47113</v>
      </c>
      <c r="L11409">
        <v>55.91</v>
      </c>
      <c r="M11409">
        <v>133</v>
      </c>
      <c r="N11409">
        <v>0</v>
      </c>
      <c r="O11409">
        <v>133</v>
      </c>
      <c r="P11409">
        <v>0</v>
      </c>
    </row>
    <row r="11410" spans="1:16" x14ac:dyDescent="0.25">
      <c r="A11410" t="s">
        <v>34182</v>
      </c>
      <c r="B11410" t="s">
        <v>17900</v>
      </c>
      <c r="C11410" t="s">
        <v>17901</v>
      </c>
      <c r="D11410" t="s">
        <v>16914</v>
      </c>
      <c r="E11410" t="s">
        <v>16915</v>
      </c>
      <c r="F11410" t="s">
        <v>16839</v>
      </c>
      <c r="G11410" t="s">
        <v>16224</v>
      </c>
      <c r="H11410" t="s">
        <v>47054</v>
      </c>
      <c r="I11410" t="s">
        <v>47116</v>
      </c>
      <c r="J11410" t="s">
        <v>47117</v>
      </c>
      <c r="K11410" t="s">
        <v>47113</v>
      </c>
      <c r="L11410">
        <v>70.47</v>
      </c>
      <c r="M11410">
        <v>148</v>
      </c>
      <c r="N11410">
        <v>0</v>
      </c>
      <c r="O11410">
        <v>148</v>
      </c>
      <c r="P11410">
        <v>0</v>
      </c>
    </row>
    <row r="11411" spans="1:16" x14ac:dyDescent="0.25">
      <c r="A11411" t="s">
        <v>34183</v>
      </c>
      <c r="B11411" t="s">
        <v>17902</v>
      </c>
      <c r="C11411" t="s">
        <v>17884</v>
      </c>
      <c r="D11411" t="s">
        <v>17420</v>
      </c>
      <c r="E11411" t="s">
        <v>17421</v>
      </c>
      <c r="F11411" t="s">
        <v>16623</v>
      </c>
      <c r="G11411" t="s">
        <v>16224</v>
      </c>
      <c r="H11411" t="s">
        <v>47054</v>
      </c>
      <c r="I11411" t="s">
        <v>47116</v>
      </c>
      <c r="J11411" t="s">
        <v>47117</v>
      </c>
      <c r="K11411" t="s">
        <v>47113</v>
      </c>
      <c r="L11411">
        <v>51.21</v>
      </c>
      <c r="M11411">
        <v>103</v>
      </c>
      <c r="N11411">
        <v>0</v>
      </c>
      <c r="O11411">
        <v>103</v>
      </c>
      <c r="P11411">
        <v>0</v>
      </c>
    </row>
    <row r="11412" spans="1:16" x14ac:dyDescent="0.25">
      <c r="A11412" t="s">
        <v>34184</v>
      </c>
      <c r="B11412" t="s">
        <v>20720</v>
      </c>
      <c r="C11412" t="s">
        <v>17901</v>
      </c>
      <c r="D11412" t="s">
        <v>19902</v>
      </c>
      <c r="E11412" t="s">
        <v>19903</v>
      </c>
      <c r="F11412" t="s">
        <v>19847</v>
      </c>
      <c r="G11412" t="s">
        <v>16224</v>
      </c>
      <c r="H11412" t="s">
        <v>47054</v>
      </c>
      <c r="I11412" t="s">
        <v>47116</v>
      </c>
      <c r="J11412" t="s">
        <v>47117</v>
      </c>
      <c r="K11412" t="s">
        <v>47113</v>
      </c>
      <c r="L11412">
        <v>82.76</v>
      </c>
      <c r="M11412">
        <v>166</v>
      </c>
      <c r="N11412">
        <v>0</v>
      </c>
      <c r="O11412">
        <v>166</v>
      </c>
      <c r="P11412">
        <v>0</v>
      </c>
    </row>
    <row r="11413" spans="1:16" x14ac:dyDescent="0.25">
      <c r="A11413" t="s">
        <v>34185</v>
      </c>
      <c r="B11413" t="s">
        <v>20721</v>
      </c>
      <c r="C11413" t="s">
        <v>17884</v>
      </c>
      <c r="D11413" t="s">
        <v>19677</v>
      </c>
      <c r="E11413" t="s">
        <v>19678</v>
      </c>
      <c r="F11413" t="s">
        <v>19908</v>
      </c>
      <c r="G11413" t="s">
        <v>16448</v>
      </c>
      <c r="H11413" t="s">
        <v>47054</v>
      </c>
      <c r="I11413" t="s">
        <v>47116</v>
      </c>
      <c r="J11413" t="s">
        <v>47117</v>
      </c>
      <c r="K11413" t="s">
        <v>47113</v>
      </c>
      <c r="L11413">
        <v>58.36</v>
      </c>
      <c r="M11413">
        <v>107</v>
      </c>
      <c r="N11413">
        <v>0</v>
      </c>
      <c r="O11413">
        <v>107</v>
      </c>
      <c r="P11413">
        <v>0</v>
      </c>
    </row>
    <row r="11414" spans="1:16" x14ac:dyDescent="0.25">
      <c r="A11414" t="s">
        <v>34186</v>
      </c>
      <c r="B11414" t="s">
        <v>20722</v>
      </c>
      <c r="C11414" t="s">
        <v>17884</v>
      </c>
      <c r="D11414" t="s">
        <v>16735</v>
      </c>
      <c r="E11414" t="s">
        <v>16736</v>
      </c>
      <c r="F11414" t="s">
        <v>19559</v>
      </c>
      <c r="G11414" t="s">
        <v>16224</v>
      </c>
      <c r="H11414" t="s">
        <v>47054</v>
      </c>
      <c r="I11414" t="s">
        <v>47116</v>
      </c>
      <c r="J11414" t="s">
        <v>47117</v>
      </c>
      <c r="K11414" t="s">
        <v>47113</v>
      </c>
      <c r="L11414">
        <v>54.44</v>
      </c>
      <c r="M11414">
        <v>122</v>
      </c>
      <c r="N11414">
        <v>0</v>
      </c>
      <c r="O11414">
        <v>122</v>
      </c>
      <c r="P11414">
        <v>0</v>
      </c>
    </row>
    <row r="11415" spans="1:16" x14ac:dyDescent="0.25">
      <c r="A11415" t="s">
        <v>22798</v>
      </c>
      <c r="B11415" t="s">
        <v>20723</v>
      </c>
      <c r="C11415" t="s">
        <v>17884</v>
      </c>
      <c r="D11415" t="s">
        <v>19554</v>
      </c>
      <c r="E11415" t="s">
        <v>19555</v>
      </c>
      <c r="F11415" t="s">
        <v>19552</v>
      </c>
      <c r="G11415" t="s">
        <v>16448</v>
      </c>
      <c r="H11415" t="s">
        <v>47054</v>
      </c>
      <c r="I11415" t="s">
        <v>47120</v>
      </c>
      <c r="J11415" t="s">
        <v>47121</v>
      </c>
      <c r="K11415" t="s">
        <v>47113</v>
      </c>
      <c r="L11415">
        <v>67.38</v>
      </c>
      <c r="M11415">
        <v>122</v>
      </c>
      <c r="N11415">
        <v>0</v>
      </c>
      <c r="O11415">
        <v>122</v>
      </c>
      <c r="P11415">
        <v>0</v>
      </c>
    </row>
    <row r="11416" spans="1:16" x14ac:dyDescent="0.25">
      <c r="A11416" t="s">
        <v>34187</v>
      </c>
      <c r="B11416" t="s">
        <v>20724</v>
      </c>
      <c r="C11416" t="s">
        <v>17884</v>
      </c>
      <c r="D11416" t="str">
        <f>"1001"</f>
        <v>1001</v>
      </c>
      <c r="E11416" t="s">
        <v>19923</v>
      </c>
      <c r="F11416" t="s">
        <v>19552</v>
      </c>
      <c r="G11416" t="s">
        <v>16224</v>
      </c>
      <c r="H11416" t="s">
        <v>47054</v>
      </c>
      <c r="I11416" t="s">
        <v>47120</v>
      </c>
      <c r="J11416" t="s">
        <v>47121</v>
      </c>
      <c r="K11416" t="s">
        <v>47113</v>
      </c>
      <c r="L11416">
        <v>36.130000000000003</v>
      </c>
      <c r="M11416">
        <v>103</v>
      </c>
      <c r="N11416">
        <v>0</v>
      </c>
      <c r="O11416">
        <v>103</v>
      </c>
      <c r="P11416">
        <v>0</v>
      </c>
    </row>
    <row r="11417" spans="1:16" x14ac:dyDescent="0.25">
      <c r="A11417" t="s">
        <v>34188</v>
      </c>
      <c r="B11417" t="s">
        <v>20725</v>
      </c>
      <c r="C11417" t="s">
        <v>17901</v>
      </c>
      <c r="D11417" t="s">
        <v>19890</v>
      </c>
      <c r="E11417" t="s">
        <v>19891</v>
      </c>
      <c r="F11417" t="s">
        <v>19878</v>
      </c>
      <c r="G11417" t="s">
        <v>16224</v>
      </c>
      <c r="H11417" t="s">
        <v>47054</v>
      </c>
      <c r="I11417" t="s">
        <v>47116</v>
      </c>
      <c r="J11417" t="s">
        <v>47117</v>
      </c>
      <c r="K11417" t="s">
        <v>47113</v>
      </c>
      <c r="L11417">
        <v>62.66</v>
      </c>
      <c r="M11417">
        <v>122</v>
      </c>
      <c r="N11417">
        <v>0</v>
      </c>
      <c r="O11417">
        <v>122</v>
      </c>
      <c r="P11417">
        <v>0</v>
      </c>
    </row>
    <row r="11418" spans="1:16" x14ac:dyDescent="0.25">
      <c r="A11418" t="s">
        <v>34189</v>
      </c>
      <c r="B11418" t="s">
        <v>34190</v>
      </c>
      <c r="C11418" t="s">
        <v>17901</v>
      </c>
      <c r="D11418" t="s">
        <v>22776</v>
      </c>
      <c r="E11418" t="s">
        <v>22777</v>
      </c>
      <c r="F11418" t="s">
        <v>20496</v>
      </c>
      <c r="G11418" t="s">
        <v>16224</v>
      </c>
      <c r="H11418" t="s">
        <v>47054</v>
      </c>
      <c r="I11418" t="s">
        <v>47116</v>
      </c>
      <c r="J11418" t="s">
        <v>47117</v>
      </c>
      <c r="K11418" t="s">
        <v>47113</v>
      </c>
      <c r="L11418">
        <v>57.78</v>
      </c>
      <c r="M11418">
        <v>129</v>
      </c>
      <c r="N11418">
        <v>0</v>
      </c>
      <c r="O11418">
        <v>129</v>
      </c>
      <c r="P11418">
        <v>0</v>
      </c>
    </row>
    <row r="11419" spans="1:16" x14ac:dyDescent="0.25">
      <c r="A11419" t="s">
        <v>34191</v>
      </c>
      <c r="B11419" t="s">
        <v>34192</v>
      </c>
      <c r="C11419" t="s">
        <v>17897</v>
      </c>
      <c r="D11419" t="s">
        <v>29807</v>
      </c>
      <c r="E11419" t="s">
        <v>29808</v>
      </c>
      <c r="F11419" t="s">
        <v>24617</v>
      </c>
      <c r="G11419" t="s">
        <v>16224</v>
      </c>
      <c r="H11419" t="s">
        <v>47054</v>
      </c>
      <c r="I11419" t="s">
        <v>47116</v>
      </c>
      <c r="J11419" t="s">
        <v>47117</v>
      </c>
      <c r="K11419" t="s">
        <v>47113</v>
      </c>
      <c r="L11419">
        <v>59.62</v>
      </c>
      <c r="M11419">
        <v>129</v>
      </c>
      <c r="N11419">
        <v>349</v>
      </c>
      <c r="O11419">
        <v>129</v>
      </c>
      <c r="P11419">
        <v>349</v>
      </c>
    </row>
    <row r="11420" spans="1:16" x14ac:dyDescent="0.25">
      <c r="A11420" t="s">
        <v>34193</v>
      </c>
      <c r="B11420" t="s">
        <v>8613</v>
      </c>
      <c r="C11420" t="s">
        <v>8614</v>
      </c>
      <c r="D11420" t="str">
        <f>"1200"</f>
        <v>1200</v>
      </c>
      <c r="E11420" t="s">
        <v>8615</v>
      </c>
      <c r="F11420" t="s">
        <v>5</v>
      </c>
      <c r="G11420" t="s">
        <v>16232</v>
      </c>
      <c r="H11420" t="s">
        <v>47054</v>
      </c>
      <c r="I11420" t="s">
        <v>47111</v>
      </c>
      <c r="J11420" t="s">
        <v>47112</v>
      </c>
      <c r="K11420" t="s">
        <v>47113</v>
      </c>
      <c r="L11420">
        <v>14.48</v>
      </c>
      <c r="M11420">
        <v>30</v>
      </c>
      <c r="N11420">
        <v>0</v>
      </c>
      <c r="O11420">
        <v>30</v>
      </c>
      <c r="P11420">
        <v>0</v>
      </c>
    </row>
    <row r="11421" spans="1:16" x14ac:dyDescent="0.25">
      <c r="A11421" t="s">
        <v>34194</v>
      </c>
      <c r="B11421" t="s">
        <v>8613</v>
      </c>
      <c r="C11421" t="s">
        <v>8614</v>
      </c>
      <c r="D11421" t="str">
        <f>"1951"</f>
        <v>1951</v>
      </c>
      <c r="E11421" t="s">
        <v>2856</v>
      </c>
      <c r="F11421" t="s">
        <v>5</v>
      </c>
      <c r="G11421" t="s">
        <v>16232</v>
      </c>
      <c r="H11421" t="s">
        <v>47054</v>
      </c>
      <c r="I11421" t="s">
        <v>47111</v>
      </c>
      <c r="J11421" t="s">
        <v>47112</v>
      </c>
      <c r="K11421" t="s">
        <v>47113</v>
      </c>
      <c r="L11421">
        <v>14.48</v>
      </c>
      <c r="M11421">
        <v>30</v>
      </c>
      <c r="N11421">
        <v>0</v>
      </c>
      <c r="O11421">
        <v>30</v>
      </c>
      <c r="P11421">
        <v>0</v>
      </c>
    </row>
    <row r="11422" spans="1:16" x14ac:dyDescent="0.25">
      <c r="A11422" t="s">
        <v>34195</v>
      </c>
      <c r="B11422" t="s">
        <v>8613</v>
      </c>
      <c r="C11422" t="s">
        <v>8614</v>
      </c>
      <c r="D11422" t="str">
        <f>"1952"</f>
        <v>1952</v>
      </c>
      <c r="E11422" t="s">
        <v>8616</v>
      </c>
      <c r="F11422" t="s">
        <v>5</v>
      </c>
      <c r="G11422" t="s">
        <v>16232</v>
      </c>
      <c r="H11422" t="s">
        <v>47054</v>
      </c>
      <c r="I11422" t="s">
        <v>47111</v>
      </c>
      <c r="J11422" t="s">
        <v>47112</v>
      </c>
      <c r="K11422" t="s">
        <v>47113</v>
      </c>
      <c r="L11422">
        <v>14.48</v>
      </c>
      <c r="M11422">
        <v>30</v>
      </c>
      <c r="N11422">
        <v>0</v>
      </c>
      <c r="O11422">
        <v>30</v>
      </c>
      <c r="P11422">
        <v>0</v>
      </c>
    </row>
    <row r="11423" spans="1:16" x14ac:dyDescent="0.25">
      <c r="A11423" t="s">
        <v>34196</v>
      </c>
      <c r="B11423" t="s">
        <v>8613</v>
      </c>
      <c r="C11423" t="s">
        <v>8614</v>
      </c>
      <c r="D11423" t="str">
        <f>"2650"</f>
        <v>2650</v>
      </c>
      <c r="E11423" t="s">
        <v>8617</v>
      </c>
      <c r="F11423" t="s">
        <v>5</v>
      </c>
      <c r="G11423" t="s">
        <v>16232</v>
      </c>
      <c r="H11423" t="s">
        <v>47054</v>
      </c>
      <c r="I11423" t="s">
        <v>47111</v>
      </c>
      <c r="J11423" t="s">
        <v>47112</v>
      </c>
      <c r="K11423" t="s">
        <v>47113</v>
      </c>
      <c r="L11423">
        <v>14.48</v>
      </c>
      <c r="M11423">
        <v>30</v>
      </c>
      <c r="N11423">
        <v>0</v>
      </c>
      <c r="O11423">
        <v>30</v>
      </c>
      <c r="P11423">
        <v>0</v>
      </c>
    </row>
    <row r="11424" spans="1:16" x14ac:dyDescent="0.25">
      <c r="A11424" t="s">
        <v>34197</v>
      </c>
      <c r="B11424" t="s">
        <v>8618</v>
      </c>
      <c r="C11424" t="s">
        <v>8619</v>
      </c>
      <c r="D11424" t="str">
        <f>"1746"</f>
        <v>1746</v>
      </c>
      <c r="E11424" t="s">
        <v>807</v>
      </c>
      <c r="F11424" t="s">
        <v>4</v>
      </c>
      <c r="G11424" t="s">
        <v>16232</v>
      </c>
      <c r="H11424" t="s">
        <v>47054</v>
      </c>
      <c r="I11424" t="s">
        <v>47139</v>
      </c>
      <c r="J11424" t="s">
        <v>47140</v>
      </c>
      <c r="K11424" t="s">
        <v>47113</v>
      </c>
      <c r="L11424">
        <v>17.02</v>
      </c>
      <c r="M11424">
        <v>42</v>
      </c>
      <c r="N11424">
        <v>0</v>
      </c>
      <c r="O11424">
        <v>42</v>
      </c>
      <c r="P11424">
        <v>0</v>
      </c>
    </row>
    <row r="11425" spans="1:16" x14ac:dyDescent="0.25">
      <c r="A11425" t="s">
        <v>34198</v>
      </c>
      <c r="B11425" t="s">
        <v>8620</v>
      </c>
      <c r="C11425" t="s">
        <v>8621</v>
      </c>
      <c r="D11425" t="str">
        <f>"4135"</f>
        <v>4135</v>
      </c>
      <c r="E11425" t="s">
        <v>2701</v>
      </c>
      <c r="F11425" t="s">
        <v>4</v>
      </c>
      <c r="G11425" t="s">
        <v>16232</v>
      </c>
      <c r="H11425" t="s">
        <v>47054</v>
      </c>
      <c r="I11425" t="s">
        <v>47139</v>
      </c>
      <c r="J11425" t="s">
        <v>47140</v>
      </c>
      <c r="K11425" t="s">
        <v>47113</v>
      </c>
      <c r="L11425">
        <v>17.02</v>
      </c>
      <c r="M11425">
        <v>42</v>
      </c>
      <c r="N11425">
        <v>0</v>
      </c>
      <c r="O11425">
        <v>42</v>
      </c>
      <c r="P11425">
        <v>0</v>
      </c>
    </row>
    <row r="11426" spans="1:16" x14ac:dyDescent="0.25">
      <c r="A11426" t="s">
        <v>34199</v>
      </c>
      <c r="B11426" t="s">
        <v>8622</v>
      </c>
      <c r="C11426" t="s">
        <v>8623</v>
      </c>
      <c r="D11426" t="str">
        <f>"6035"</f>
        <v>6035</v>
      </c>
      <c r="E11426" t="s">
        <v>2598</v>
      </c>
      <c r="F11426" t="s">
        <v>4</v>
      </c>
      <c r="G11426" t="s">
        <v>16232</v>
      </c>
      <c r="H11426" t="s">
        <v>47054</v>
      </c>
      <c r="I11426" t="s">
        <v>47139</v>
      </c>
      <c r="J11426" t="s">
        <v>47140</v>
      </c>
      <c r="K11426" t="s">
        <v>47113</v>
      </c>
      <c r="L11426">
        <v>17.02</v>
      </c>
      <c r="M11426">
        <v>42</v>
      </c>
      <c r="N11426">
        <v>0</v>
      </c>
      <c r="O11426">
        <v>42</v>
      </c>
      <c r="P11426">
        <v>0</v>
      </c>
    </row>
    <row r="11427" spans="1:16" x14ac:dyDescent="0.25">
      <c r="A11427" t="s">
        <v>34200</v>
      </c>
      <c r="B11427" t="s">
        <v>8624</v>
      </c>
      <c r="C11427" t="s">
        <v>8625</v>
      </c>
      <c r="D11427" t="str">
        <f>"1505"</f>
        <v>1505</v>
      </c>
      <c r="E11427" t="s">
        <v>1667</v>
      </c>
      <c r="F11427" t="s">
        <v>4</v>
      </c>
      <c r="G11427" t="s">
        <v>16232</v>
      </c>
      <c r="H11427" t="s">
        <v>47054</v>
      </c>
      <c r="I11427" t="s">
        <v>47139</v>
      </c>
      <c r="J11427" t="s">
        <v>47140</v>
      </c>
      <c r="K11427" t="s">
        <v>47113</v>
      </c>
      <c r="L11427">
        <v>17.02</v>
      </c>
      <c r="M11427">
        <v>42</v>
      </c>
      <c r="N11427">
        <v>0</v>
      </c>
      <c r="O11427">
        <v>42</v>
      </c>
      <c r="P11427">
        <v>0</v>
      </c>
    </row>
    <row r="11428" spans="1:16" x14ac:dyDescent="0.25">
      <c r="A11428" t="s">
        <v>34201</v>
      </c>
      <c r="B11428" t="s">
        <v>15630</v>
      </c>
      <c r="C11428" t="s">
        <v>15631</v>
      </c>
      <c r="D11428" t="str">
        <f>"4869"</f>
        <v>4869</v>
      </c>
      <c r="E11428" t="s">
        <v>15485</v>
      </c>
      <c r="F11428" t="s">
        <v>3670</v>
      </c>
      <c r="G11428" t="s">
        <v>16234</v>
      </c>
      <c r="H11428" t="s">
        <v>47054</v>
      </c>
      <c r="I11428" t="s">
        <v>47120</v>
      </c>
      <c r="J11428" t="s">
        <v>47121</v>
      </c>
      <c r="K11428" t="s">
        <v>47113</v>
      </c>
      <c r="L11428">
        <v>34.36</v>
      </c>
      <c r="M11428">
        <v>111</v>
      </c>
      <c r="N11428">
        <v>0</v>
      </c>
      <c r="O11428">
        <v>111</v>
      </c>
      <c r="P11428">
        <v>0</v>
      </c>
    </row>
    <row r="11429" spans="1:16" x14ac:dyDescent="0.25">
      <c r="A11429" t="s">
        <v>34202</v>
      </c>
      <c r="B11429" t="s">
        <v>8626</v>
      </c>
      <c r="C11429" t="s">
        <v>7375</v>
      </c>
      <c r="D11429" t="str">
        <f>"1001"</f>
        <v>1001</v>
      </c>
      <c r="E11429" t="s">
        <v>42</v>
      </c>
      <c r="F11429" t="s">
        <v>3750</v>
      </c>
      <c r="G11429" t="s">
        <v>16221</v>
      </c>
      <c r="H11429" t="s">
        <v>47054</v>
      </c>
      <c r="I11429" t="s">
        <v>47569</v>
      </c>
      <c r="J11429" t="s">
        <v>47570</v>
      </c>
      <c r="K11429" t="s">
        <v>47113</v>
      </c>
      <c r="L11429">
        <v>5.62</v>
      </c>
      <c r="M11429">
        <v>22</v>
      </c>
      <c r="N11429">
        <v>0</v>
      </c>
      <c r="O11429">
        <v>22</v>
      </c>
      <c r="P11429">
        <v>0</v>
      </c>
    </row>
    <row r="11430" spans="1:16" x14ac:dyDescent="0.25">
      <c r="A11430" t="s">
        <v>34203</v>
      </c>
      <c r="B11430" t="s">
        <v>8627</v>
      </c>
      <c r="C11430" t="s">
        <v>7377</v>
      </c>
      <c r="D11430" t="str">
        <f>"1702"</f>
        <v>1702</v>
      </c>
      <c r="E11430" t="s">
        <v>1956</v>
      </c>
      <c r="F11430" t="s">
        <v>3750</v>
      </c>
      <c r="G11430" t="s">
        <v>16221</v>
      </c>
      <c r="H11430" t="s">
        <v>47054</v>
      </c>
      <c r="I11430" t="s">
        <v>47569</v>
      </c>
      <c r="J11430" t="s">
        <v>47570</v>
      </c>
      <c r="K11430" t="s">
        <v>47113</v>
      </c>
      <c r="L11430">
        <v>5.62</v>
      </c>
      <c r="M11430">
        <v>22</v>
      </c>
      <c r="N11430">
        <v>0</v>
      </c>
      <c r="O11430">
        <v>22</v>
      </c>
      <c r="P11430">
        <v>0</v>
      </c>
    </row>
    <row r="11431" spans="1:16" x14ac:dyDescent="0.25">
      <c r="A11431" t="s">
        <v>34204</v>
      </c>
      <c r="B11431" t="s">
        <v>8627</v>
      </c>
      <c r="C11431" t="s">
        <v>7377</v>
      </c>
      <c r="D11431" t="str">
        <f>"6433"</f>
        <v>6433</v>
      </c>
      <c r="E11431" t="s">
        <v>7168</v>
      </c>
      <c r="F11431" t="s">
        <v>3750</v>
      </c>
      <c r="G11431" t="s">
        <v>16221</v>
      </c>
      <c r="H11431" t="s">
        <v>47054</v>
      </c>
      <c r="I11431" t="s">
        <v>47569</v>
      </c>
      <c r="J11431" t="s">
        <v>47570</v>
      </c>
      <c r="K11431" t="s">
        <v>47113</v>
      </c>
      <c r="L11431">
        <v>5.62</v>
      </c>
      <c r="M11431">
        <v>22</v>
      </c>
      <c r="N11431">
        <v>0</v>
      </c>
      <c r="O11431">
        <v>22</v>
      </c>
      <c r="P11431">
        <v>0</v>
      </c>
    </row>
    <row r="11432" spans="1:16" x14ac:dyDescent="0.25">
      <c r="A11432" t="s">
        <v>34205</v>
      </c>
      <c r="B11432" t="s">
        <v>14475</v>
      </c>
      <c r="C11432" t="s">
        <v>14474</v>
      </c>
      <c r="D11432" t="str">
        <f>"4100"</f>
        <v>4100</v>
      </c>
      <c r="E11432" t="s">
        <v>2383</v>
      </c>
      <c r="F11432" t="s">
        <v>3750</v>
      </c>
      <c r="G11432" t="s">
        <v>16221</v>
      </c>
      <c r="H11432" t="s">
        <v>47054</v>
      </c>
      <c r="I11432" t="s">
        <v>47569</v>
      </c>
      <c r="J11432" t="s">
        <v>47570</v>
      </c>
      <c r="K11432" t="s">
        <v>47113</v>
      </c>
      <c r="L11432">
        <v>6.65</v>
      </c>
      <c r="M11432">
        <v>22</v>
      </c>
      <c r="N11432">
        <v>0</v>
      </c>
      <c r="O11432">
        <v>22</v>
      </c>
      <c r="P11432">
        <v>0</v>
      </c>
    </row>
    <row r="11433" spans="1:16" x14ac:dyDescent="0.25">
      <c r="A11433" t="s">
        <v>34206</v>
      </c>
      <c r="B11433" t="s">
        <v>14473</v>
      </c>
      <c r="C11433" t="s">
        <v>14472</v>
      </c>
      <c r="D11433" t="str">
        <f>"1700"</f>
        <v>1700</v>
      </c>
      <c r="E11433" t="s">
        <v>60</v>
      </c>
      <c r="F11433" t="s">
        <v>3750</v>
      </c>
      <c r="G11433" t="s">
        <v>16221</v>
      </c>
      <c r="H11433" t="s">
        <v>47054</v>
      </c>
      <c r="I11433" t="s">
        <v>47569</v>
      </c>
      <c r="J11433" t="s">
        <v>47570</v>
      </c>
      <c r="K11433" t="s">
        <v>47113</v>
      </c>
      <c r="L11433">
        <v>6.83</v>
      </c>
      <c r="M11433">
        <v>22</v>
      </c>
      <c r="N11433">
        <v>0</v>
      </c>
      <c r="O11433">
        <v>22</v>
      </c>
      <c r="P11433">
        <v>0</v>
      </c>
    </row>
    <row r="11434" spans="1:16" x14ac:dyDescent="0.25">
      <c r="A11434" t="s">
        <v>34207</v>
      </c>
      <c r="B11434" t="s">
        <v>14473</v>
      </c>
      <c r="C11434" t="s">
        <v>14472</v>
      </c>
      <c r="D11434" t="str">
        <f>"4100"</f>
        <v>4100</v>
      </c>
      <c r="E11434" t="s">
        <v>2383</v>
      </c>
      <c r="F11434" t="s">
        <v>3750</v>
      </c>
      <c r="G11434" t="s">
        <v>16221</v>
      </c>
      <c r="H11434" t="s">
        <v>47054</v>
      </c>
      <c r="I11434" t="s">
        <v>47569</v>
      </c>
      <c r="J11434" t="s">
        <v>47570</v>
      </c>
      <c r="K11434" t="s">
        <v>47113</v>
      </c>
      <c r="L11434">
        <v>6.83</v>
      </c>
      <c r="M11434">
        <v>22</v>
      </c>
      <c r="N11434">
        <v>0</v>
      </c>
      <c r="O11434">
        <v>22</v>
      </c>
      <c r="P11434">
        <v>0</v>
      </c>
    </row>
    <row r="11435" spans="1:16" x14ac:dyDescent="0.25">
      <c r="A11435" t="s">
        <v>34208</v>
      </c>
      <c r="B11435" t="s">
        <v>15632</v>
      </c>
      <c r="C11435" t="s">
        <v>15633</v>
      </c>
      <c r="D11435" t="str">
        <f>"1001"</f>
        <v>1001</v>
      </c>
      <c r="E11435" t="s">
        <v>42</v>
      </c>
      <c r="F11435" t="s">
        <v>3750</v>
      </c>
      <c r="G11435" t="s">
        <v>16221</v>
      </c>
      <c r="H11435" t="s">
        <v>47054</v>
      </c>
      <c r="I11435" t="s">
        <v>47569</v>
      </c>
      <c r="J11435" t="s">
        <v>47570</v>
      </c>
      <c r="K11435" t="s">
        <v>47113</v>
      </c>
      <c r="L11435">
        <v>6.83</v>
      </c>
      <c r="M11435">
        <v>22</v>
      </c>
      <c r="N11435">
        <v>0</v>
      </c>
      <c r="O11435">
        <v>22</v>
      </c>
      <c r="P11435">
        <v>0</v>
      </c>
    </row>
    <row r="11436" spans="1:16" x14ac:dyDescent="0.25">
      <c r="A11436" t="s">
        <v>34209</v>
      </c>
      <c r="B11436" t="s">
        <v>15632</v>
      </c>
      <c r="C11436" t="s">
        <v>15633</v>
      </c>
      <c r="D11436" t="str">
        <f>"1700"</f>
        <v>1700</v>
      </c>
      <c r="E11436" t="s">
        <v>60</v>
      </c>
      <c r="F11436" t="s">
        <v>3750</v>
      </c>
      <c r="G11436" t="s">
        <v>16221</v>
      </c>
      <c r="H11436" t="s">
        <v>47054</v>
      </c>
      <c r="I11436" t="s">
        <v>47569</v>
      </c>
      <c r="J11436" t="s">
        <v>47570</v>
      </c>
      <c r="K11436" t="s">
        <v>47113</v>
      </c>
      <c r="L11436">
        <v>6.83</v>
      </c>
      <c r="M11436">
        <v>22</v>
      </c>
      <c r="N11436">
        <v>0</v>
      </c>
      <c r="O11436">
        <v>22</v>
      </c>
      <c r="P11436">
        <v>0</v>
      </c>
    </row>
    <row r="11437" spans="1:16" x14ac:dyDescent="0.25">
      <c r="A11437" t="s">
        <v>17903</v>
      </c>
      <c r="B11437" t="s">
        <v>8628</v>
      </c>
      <c r="C11437" t="s">
        <v>17904</v>
      </c>
      <c r="D11437" t="str">
        <f>"1800"</f>
        <v>1800</v>
      </c>
      <c r="E11437" t="s">
        <v>1999</v>
      </c>
      <c r="F11437" t="s">
        <v>3558</v>
      </c>
      <c r="G11437" t="s">
        <v>16221</v>
      </c>
      <c r="H11437" t="s">
        <v>47054</v>
      </c>
      <c r="I11437" t="s">
        <v>47569</v>
      </c>
      <c r="J11437" t="s">
        <v>47570</v>
      </c>
      <c r="K11437" t="s">
        <v>47113</v>
      </c>
      <c r="L11437">
        <v>8.1999999999999993</v>
      </c>
      <c r="M11437">
        <v>26</v>
      </c>
      <c r="N11437">
        <v>0</v>
      </c>
      <c r="O11437">
        <v>26</v>
      </c>
      <c r="P11437">
        <v>0</v>
      </c>
    </row>
    <row r="11438" spans="1:16" x14ac:dyDescent="0.25">
      <c r="A11438" t="s">
        <v>17905</v>
      </c>
      <c r="B11438" t="s">
        <v>8629</v>
      </c>
      <c r="C11438" t="s">
        <v>8630</v>
      </c>
      <c r="D11438" t="str">
        <f>"6497"</f>
        <v>6497</v>
      </c>
      <c r="E11438" t="s">
        <v>6279</v>
      </c>
      <c r="F11438" t="s">
        <v>3558</v>
      </c>
      <c r="G11438" t="s">
        <v>16221</v>
      </c>
      <c r="H11438" t="s">
        <v>47054</v>
      </c>
      <c r="I11438" t="s">
        <v>47569</v>
      </c>
      <c r="J11438" t="s">
        <v>47570</v>
      </c>
      <c r="K11438" t="s">
        <v>47113</v>
      </c>
      <c r="L11438">
        <v>17.79</v>
      </c>
      <c r="M11438">
        <v>37</v>
      </c>
      <c r="N11438">
        <v>0</v>
      </c>
      <c r="O11438">
        <v>37</v>
      </c>
      <c r="P11438">
        <v>0</v>
      </c>
    </row>
    <row r="11439" spans="1:16" x14ac:dyDescent="0.25">
      <c r="A11439" t="s">
        <v>34210</v>
      </c>
      <c r="B11439" t="s">
        <v>8631</v>
      </c>
      <c r="C11439" t="s">
        <v>8632</v>
      </c>
      <c r="D11439" t="str">
        <f>"1001"</f>
        <v>1001</v>
      </c>
      <c r="E11439" t="s">
        <v>7601</v>
      </c>
      <c r="F11439" t="s">
        <v>3558</v>
      </c>
      <c r="G11439" t="s">
        <v>16221</v>
      </c>
      <c r="H11439" t="s">
        <v>47054</v>
      </c>
      <c r="I11439" t="s">
        <v>47569</v>
      </c>
      <c r="J11439" t="s">
        <v>47570</v>
      </c>
      <c r="K11439" t="s">
        <v>47113</v>
      </c>
      <c r="L11439">
        <v>15.69</v>
      </c>
      <c r="M11439">
        <v>26</v>
      </c>
      <c r="N11439">
        <v>0</v>
      </c>
      <c r="O11439">
        <v>26</v>
      </c>
      <c r="P11439">
        <v>0</v>
      </c>
    </row>
    <row r="11440" spans="1:16" x14ac:dyDescent="0.25">
      <c r="A11440" t="s">
        <v>34211</v>
      </c>
      <c r="B11440" t="s">
        <v>8633</v>
      </c>
      <c r="C11440" t="s">
        <v>8634</v>
      </c>
      <c r="D11440" t="str">
        <f>"4048"</f>
        <v>4048</v>
      </c>
      <c r="E11440" t="s">
        <v>710</v>
      </c>
      <c r="F11440" t="s">
        <v>3558</v>
      </c>
      <c r="G11440" t="s">
        <v>16221</v>
      </c>
      <c r="H11440" t="s">
        <v>47054</v>
      </c>
      <c r="I11440" t="s">
        <v>47569</v>
      </c>
      <c r="J11440" t="s">
        <v>47570</v>
      </c>
      <c r="K11440" t="s">
        <v>47113</v>
      </c>
      <c r="L11440">
        <v>15.69</v>
      </c>
      <c r="M11440">
        <v>26</v>
      </c>
      <c r="N11440">
        <v>0</v>
      </c>
      <c r="O11440">
        <v>26</v>
      </c>
      <c r="P11440">
        <v>0</v>
      </c>
    </row>
    <row r="11441" spans="1:16" x14ac:dyDescent="0.25">
      <c r="A11441" t="s">
        <v>34212</v>
      </c>
      <c r="B11441" t="s">
        <v>8635</v>
      </c>
      <c r="C11441" t="s">
        <v>7407</v>
      </c>
      <c r="D11441" t="str">
        <f>"1001"</f>
        <v>1001</v>
      </c>
      <c r="E11441" t="s">
        <v>42</v>
      </c>
      <c r="F11441" t="s">
        <v>3750</v>
      </c>
      <c r="G11441" t="s">
        <v>16221</v>
      </c>
      <c r="H11441" t="s">
        <v>47054</v>
      </c>
      <c r="I11441" t="s">
        <v>47569</v>
      </c>
      <c r="J11441" t="s">
        <v>47570</v>
      </c>
      <c r="K11441" t="s">
        <v>47113</v>
      </c>
      <c r="L11441">
        <v>5.86</v>
      </c>
      <c r="M11441">
        <v>22</v>
      </c>
      <c r="N11441">
        <v>0</v>
      </c>
      <c r="O11441">
        <v>22</v>
      </c>
      <c r="P11441">
        <v>0</v>
      </c>
    </row>
    <row r="11442" spans="1:16" x14ac:dyDescent="0.25">
      <c r="A11442" t="s">
        <v>34213</v>
      </c>
      <c r="B11442" t="s">
        <v>8635</v>
      </c>
      <c r="C11442" t="s">
        <v>7407</v>
      </c>
      <c r="D11442" t="str">
        <f>"1501"</f>
        <v>1501</v>
      </c>
      <c r="E11442" t="s">
        <v>46</v>
      </c>
      <c r="F11442" t="s">
        <v>3750</v>
      </c>
      <c r="G11442" t="s">
        <v>16221</v>
      </c>
      <c r="H11442" t="s">
        <v>47054</v>
      </c>
      <c r="I11442" t="s">
        <v>47569</v>
      </c>
      <c r="J11442" t="s">
        <v>47570</v>
      </c>
      <c r="K11442" t="s">
        <v>47113</v>
      </c>
      <c r="L11442">
        <v>5.86</v>
      </c>
      <c r="M11442">
        <v>22</v>
      </c>
      <c r="N11442">
        <v>0</v>
      </c>
      <c r="O11442">
        <v>22</v>
      </c>
      <c r="P11442">
        <v>0</v>
      </c>
    </row>
    <row r="11443" spans="1:16" x14ac:dyDescent="0.25">
      <c r="A11443" t="s">
        <v>34214</v>
      </c>
      <c r="B11443" t="s">
        <v>14471</v>
      </c>
      <c r="C11443" t="s">
        <v>14470</v>
      </c>
      <c r="D11443" t="str">
        <f>"1001"</f>
        <v>1001</v>
      </c>
      <c r="E11443" t="s">
        <v>42</v>
      </c>
      <c r="F11443" t="s">
        <v>3750</v>
      </c>
      <c r="G11443" t="s">
        <v>16221</v>
      </c>
      <c r="H11443" t="s">
        <v>47054</v>
      </c>
      <c r="I11443" t="s">
        <v>47569</v>
      </c>
      <c r="J11443" t="s">
        <v>47570</v>
      </c>
      <c r="K11443" t="s">
        <v>47113</v>
      </c>
      <c r="L11443">
        <v>6.3</v>
      </c>
      <c r="M11443">
        <v>22</v>
      </c>
      <c r="N11443">
        <v>0</v>
      </c>
      <c r="O11443">
        <v>22</v>
      </c>
      <c r="P11443">
        <v>0</v>
      </c>
    </row>
    <row r="11444" spans="1:16" x14ac:dyDescent="0.25">
      <c r="A11444" t="s">
        <v>34215</v>
      </c>
      <c r="B11444" t="s">
        <v>14471</v>
      </c>
      <c r="C11444" t="s">
        <v>14470</v>
      </c>
      <c r="D11444" t="str">
        <f>"3105"</f>
        <v>3105</v>
      </c>
      <c r="E11444" t="s">
        <v>8217</v>
      </c>
      <c r="F11444" t="s">
        <v>3750</v>
      </c>
      <c r="G11444" t="s">
        <v>16221</v>
      </c>
      <c r="H11444" t="s">
        <v>47054</v>
      </c>
      <c r="I11444" t="s">
        <v>47569</v>
      </c>
      <c r="J11444" t="s">
        <v>47570</v>
      </c>
      <c r="K11444" t="s">
        <v>47113</v>
      </c>
      <c r="L11444">
        <v>6.3</v>
      </c>
      <c r="M11444">
        <v>22</v>
      </c>
      <c r="N11444">
        <v>0</v>
      </c>
      <c r="O11444">
        <v>22</v>
      </c>
      <c r="P11444">
        <v>0</v>
      </c>
    </row>
    <row r="11445" spans="1:16" x14ac:dyDescent="0.25">
      <c r="A11445" t="s">
        <v>34216</v>
      </c>
      <c r="B11445" t="s">
        <v>8636</v>
      </c>
      <c r="C11445" t="s">
        <v>8637</v>
      </c>
      <c r="D11445" t="str">
        <f>"2107"</f>
        <v>2107</v>
      </c>
      <c r="E11445" t="s">
        <v>8638</v>
      </c>
      <c r="F11445" t="s">
        <v>5</v>
      </c>
      <c r="G11445" t="s">
        <v>47122</v>
      </c>
      <c r="H11445" t="s">
        <v>47054</v>
      </c>
      <c r="I11445" t="s">
        <v>47120</v>
      </c>
      <c r="J11445" t="s">
        <v>47121</v>
      </c>
      <c r="K11445" t="s">
        <v>47113</v>
      </c>
      <c r="L11445">
        <v>45.19</v>
      </c>
      <c r="M11445">
        <v>103</v>
      </c>
      <c r="N11445">
        <v>0</v>
      </c>
      <c r="O11445">
        <v>103</v>
      </c>
      <c r="P11445">
        <v>0</v>
      </c>
    </row>
    <row r="11446" spans="1:16" x14ac:dyDescent="0.25">
      <c r="A11446" t="s">
        <v>34217</v>
      </c>
      <c r="B11446" t="s">
        <v>8636</v>
      </c>
      <c r="C11446" t="s">
        <v>8637</v>
      </c>
      <c r="D11446" t="str">
        <f>"4101"</f>
        <v>4101</v>
      </c>
      <c r="E11446" t="s">
        <v>43</v>
      </c>
      <c r="F11446" t="s">
        <v>5</v>
      </c>
      <c r="G11446" t="s">
        <v>47122</v>
      </c>
      <c r="H11446" t="s">
        <v>47054</v>
      </c>
      <c r="I11446" t="s">
        <v>47120</v>
      </c>
      <c r="J11446" t="s">
        <v>47121</v>
      </c>
      <c r="K11446" t="s">
        <v>47113</v>
      </c>
      <c r="L11446">
        <v>45.19</v>
      </c>
      <c r="M11446">
        <v>103</v>
      </c>
      <c r="N11446">
        <v>0</v>
      </c>
      <c r="O11446">
        <v>103</v>
      </c>
      <c r="P11446">
        <v>0</v>
      </c>
    </row>
    <row r="11447" spans="1:16" x14ac:dyDescent="0.25">
      <c r="A11447" t="s">
        <v>34218</v>
      </c>
      <c r="B11447" t="s">
        <v>8636</v>
      </c>
      <c r="C11447" t="s">
        <v>8637</v>
      </c>
      <c r="D11447" t="str">
        <f>"8004"</f>
        <v>8004</v>
      </c>
      <c r="E11447" t="s">
        <v>8639</v>
      </c>
      <c r="F11447" t="s">
        <v>5</v>
      </c>
      <c r="G11447" t="s">
        <v>47122</v>
      </c>
      <c r="H11447" t="s">
        <v>47054</v>
      </c>
      <c r="I11447" t="s">
        <v>47120</v>
      </c>
      <c r="J11447" t="s">
        <v>47121</v>
      </c>
      <c r="K11447" t="s">
        <v>47113</v>
      </c>
      <c r="L11447">
        <v>45.19</v>
      </c>
      <c r="M11447">
        <v>103</v>
      </c>
      <c r="N11447">
        <v>0</v>
      </c>
      <c r="O11447">
        <v>103</v>
      </c>
      <c r="P11447">
        <v>0</v>
      </c>
    </row>
    <row r="11448" spans="1:16" x14ac:dyDescent="0.25">
      <c r="A11448" t="s">
        <v>34219</v>
      </c>
      <c r="B11448" t="s">
        <v>15634</v>
      </c>
      <c r="C11448" t="s">
        <v>15631</v>
      </c>
      <c r="D11448" t="str">
        <f>"1056"</f>
        <v>1056</v>
      </c>
      <c r="E11448" t="s">
        <v>1277</v>
      </c>
      <c r="F11448" t="s">
        <v>3670</v>
      </c>
      <c r="G11448" t="s">
        <v>16234</v>
      </c>
      <c r="H11448" t="s">
        <v>47054</v>
      </c>
      <c r="I11448" t="s">
        <v>47111</v>
      </c>
      <c r="J11448" t="s">
        <v>47112</v>
      </c>
      <c r="K11448" t="s">
        <v>47113</v>
      </c>
      <c r="L11448">
        <v>34.36</v>
      </c>
      <c r="M11448">
        <v>111</v>
      </c>
      <c r="N11448">
        <v>0</v>
      </c>
      <c r="O11448">
        <v>111</v>
      </c>
      <c r="P11448">
        <v>0</v>
      </c>
    </row>
    <row r="11449" spans="1:16" x14ac:dyDescent="0.25">
      <c r="A11449" t="s">
        <v>34220</v>
      </c>
      <c r="B11449" t="s">
        <v>15635</v>
      </c>
      <c r="C11449" t="s">
        <v>15631</v>
      </c>
      <c r="D11449" t="str">
        <f>"7226"</f>
        <v>7226</v>
      </c>
      <c r="E11449" t="s">
        <v>6563</v>
      </c>
      <c r="F11449" t="s">
        <v>3670</v>
      </c>
      <c r="G11449" t="s">
        <v>16234</v>
      </c>
      <c r="H11449" t="s">
        <v>47054</v>
      </c>
      <c r="I11449" t="s">
        <v>47120</v>
      </c>
      <c r="J11449" t="s">
        <v>47121</v>
      </c>
      <c r="K11449" t="s">
        <v>47113</v>
      </c>
      <c r="L11449">
        <v>34.36</v>
      </c>
      <c r="M11449">
        <v>111</v>
      </c>
      <c r="N11449">
        <v>0</v>
      </c>
      <c r="O11449">
        <v>111</v>
      </c>
      <c r="P11449">
        <v>0</v>
      </c>
    </row>
    <row r="11450" spans="1:16" x14ac:dyDescent="0.25">
      <c r="A11450" t="s">
        <v>34221</v>
      </c>
      <c r="B11450" t="s">
        <v>8640</v>
      </c>
      <c r="C11450" t="s">
        <v>8641</v>
      </c>
      <c r="D11450" t="str">
        <f>"1033"</f>
        <v>1033</v>
      </c>
      <c r="E11450" t="s">
        <v>1195</v>
      </c>
      <c r="F11450" t="s">
        <v>296</v>
      </c>
      <c r="G11450" t="s">
        <v>16221</v>
      </c>
      <c r="H11450" t="s">
        <v>47054</v>
      </c>
      <c r="I11450" t="s">
        <v>47111</v>
      </c>
      <c r="J11450" t="s">
        <v>47112</v>
      </c>
      <c r="K11450" t="s">
        <v>47113</v>
      </c>
      <c r="L11450">
        <v>11.84</v>
      </c>
      <c r="M11450">
        <v>29</v>
      </c>
      <c r="N11450">
        <v>0</v>
      </c>
      <c r="O11450">
        <v>29</v>
      </c>
      <c r="P11450">
        <v>0</v>
      </c>
    </row>
    <row r="11451" spans="1:16" x14ac:dyDescent="0.25">
      <c r="A11451" t="s">
        <v>34222</v>
      </c>
      <c r="B11451" t="s">
        <v>8640</v>
      </c>
      <c r="C11451" t="s">
        <v>8641</v>
      </c>
      <c r="D11451" t="str">
        <f>"1737"</f>
        <v>1737</v>
      </c>
      <c r="E11451" t="s">
        <v>8642</v>
      </c>
      <c r="F11451" t="s">
        <v>296</v>
      </c>
      <c r="G11451" t="s">
        <v>16221</v>
      </c>
      <c r="H11451" t="s">
        <v>47054</v>
      </c>
      <c r="I11451" t="s">
        <v>47111</v>
      </c>
      <c r="J11451" t="s">
        <v>47112</v>
      </c>
      <c r="K11451" t="s">
        <v>47113</v>
      </c>
      <c r="L11451">
        <v>9.7799999999999994</v>
      </c>
      <c r="M11451">
        <v>24</v>
      </c>
      <c r="N11451">
        <v>0</v>
      </c>
      <c r="O11451">
        <v>24</v>
      </c>
      <c r="P11451">
        <v>0</v>
      </c>
    </row>
    <row r="11452" spans="1:16" x14ac:dyDescent="0.25">
      <c r="A11452" t="s">
        <v>34223</v>
      </c>
      <c r="B11452" t="s">
        <v>8640</v>
      </c>
      <c r="C11452" t="s">
        <v>8641</v>
      </c>
      <c r="D11452" t="str">
        <f>"3132"</f>
        <v>3132</v>
      </c>
      <c r="E11452" t="s">
        <v>8643</v>
      </c>
      <c r="F11452" t="s">
        <v>296</v>
      </c>
      <c r="G11452" t="s">
        <v>16221</v>
      </c>
      <c r="H11452" t="s">
        <v>47054</v>
      </c>
      <c r="I11452" t="s">
        <v>47111</v>
      </c>
      <c r="J11452" t="s">
        <v>47112</v>
      </c>
      <c r="K11452" t="s">
        <v>47113</v>
      </c>
      <c r="L11452">
        <v>11.82</v>
      </c>
      <c r="M11452">
        <v>24</v>
      </c>
      <c r="N11452">
        <v>0</v>
      </c>
      <c r="O11452">
        <v>24</v>
      </c>
      <c r="P11452">
        <v>0</v>
      </c>
    </row>
    <row r="11453" spans="1:16" x14ac:dyDescent="0.25">
      <c r="A11453" t="s">
        <v>34224</v>
      </c>
      <c r="B11453" t="s">
        <v>8640</v>
      </c>
      <c r="C11453" t="s">
        <v>8641</v>
      </c>
      <c r="D11453" t="str">
        <f>"3166"</f>
        <v>3166</v>
      </c>
      <c r="E11453" t="s">
        <v>2765</v>
      </c>
      <c r="F11453" t="s">
        <v>296</v>
      </c>
      <c r="G11453" t="s">
        <v>16221</v>
      </c>
      <c r="H11453" t="s">
        <v>47054</v>
      </c>
      <c r="I11453" t="s">
        <v>47111</v>
      </c>
      <c r="J11453" t="s">
        <v>47112</v>
      </c>
      <c r="K11453" t="s">
        <v>47113</v>
      </c>
      <c r="L11453">
        <v>11.82</v>
      </c>
      <c r="M11453">
        <v>34</v>
      </c>
      <c r="N11453">
        <v>0</v>
      </c>
      <c r="O11453">
        <v>34</v>
      </c>
      <c r="P11453">
        <v>0</v>
      </c>
    </row>
    <row r="11454" spans="1:16" x14ac:dyDescent="0.25">
      <c r="A11454" t="s">
        <v>34225</v>
      </c>
      <c r="B11454" t="s">
        <v>8640</v>
      </c>
      <c r="C11454" t="s">
        <v>8641</v>
      </c>
      <c r="D11454" t="str">
        <f>"4426"</f>
        <v>4426</v>
      </c>
      <c r="E11454" t="s">
        <v>8644</v>
      </c>
      <c r="F11454" t="s">
        <v>296</v>
      </c>
      <c r="G11454" t="s">
        <v>16221</v>
      </c>
      <c r="H11454" t="s">
        <v>47054</v>
      </c>
      <c r="I11454" t="s">
        <v>47111</v>
      </c>
      <c r="J11454" t="s">
        <v>47112</v>
      </c>
      <c r="K11454" t="s">
        <v>47113</v>
      </c>
      <c r="L11454">
        <v>11.82</v>
      </c>
      <c r="M11454">
        <v>24</v>
      </c>
      <c r="N11454">
        <v>0</v>
      </c>
      <c r="O11454">
        <v>24</v>
      </c>
      <c r="P11454">
        <v>0</v>
      </c>
    </row>
    <row r="11455" spans="1:16" x14ac:dyDescent="0.25">
      <c r="A11455" t="s">
        <v>34226</v>
      </c>
      <c r="B11455" t="s">
        <v>8640</v>
      </c>
      <c r="C11455" t="s">
        <v>8641</v>
      </c>
      <c r="D11455" t="str">
        <f>"6030"</f>
        <v>6030</v>
      </c>
      <c r="E11455" t="s">
        <v>2753</v>
      </c>
      <c r="F11455" t="s">
        <v>296</v>
      </c>
      <c r="G11455" t="s">
        <v>16221</v>
      </c>
      <c r="H11455" t="s">
        <v>47054</v>
      </c>
      <c r="I11455" t="s">
        <v>47111</v>
      </c>
      <c r="J11455" t="s">
        <v>47112</v>
      </c>
      <c r="K11455" t="s">
        <v>47113</v>
      </c>
      <c r="L11455">
        <v>11.84</v>
      </c>
      <c r="M11455">
        <v>29</v>
      </c>
      <c r="N11455">
        <v>0</v>
      </c>
      <c r="O11455">
        <v>29</v>
      </c>
      <c r="P11455">
        <v>0</v>
      </c>
    </row>
    <row r="11456" spans="1:16" x14ac:dyDescent="0.25">
      <c r="A11456" t="s">
        <v>34227</v>
      </c>
      <c r="B11456" t="s">
        <v>8640</v>
      </c>
      <c r="C11456" t="s">
        <v>8641</v>
      </c>
      <c r="D11456" t="str">
        <f>"6205"</f>
        <v>6205</v>
      </c>
      <c r="E11456" t="s">
        <v>6493</v>
      </c>
      <c r="F11456" t="s">
        <v>296</v>
      </c>
      <c r="G11456" t="s">
        <v>16221</v>
      </c>
      <c r="H11456" t="s">
        <v>47054</v>
      </c>
      <c r="I11456" t="s">
        <v>47111</v>
      </c>
      <c r="J11456" t="s">
        <v>47112</v>
      </c>
      <c r="K11456" t="s">
        <v>47113</v>
      </c>
      <c r="L11456">
        <v>11.14</v>
      </c>
      <c r="M11456">
        <v>24</v>
      </c>
      <c r="N11456">
        <v>0</v>
      </c>
      <c r="O11456">
        <v>24</v>
      </c>
      <c r="P11456">
        <v>0</v>
      </c>
    </row>
    <row r="11457" spans="1:16" x14ac:dyDescent="0.25">
      <c r="A11457" t="s">
        <v>34228</v>
      </c>
      <c r="B11457" t="s">
        <v>8645</v>
      </c>
      <c r="C11457" t="s">
        <v>8646</v>
      </c>
      <c r="D11457" t="str">
        <f>"1746"</f>
        <v>1746</v>
      </c>
      <c r="E11457" t="s">
        <v>807</v>
      </c>
      <c r="F11457" t="s">
        <v>5</v>
      </c>
      <c r="G11457" t="s">
        <v>16221</v>
      </c>
      <c r="H11457" t="s">
        <v>47054</v>
      </c>
      <c r="I11457" t="s">
        <v>47111</v>
      </c>
      <c r="J11457" t="s">
        <v>47112</v>
      </c>
      <c r="K11457" t="s">
        <v>47113</v>
      </c>
      <c r="L11457">
        <v>9.0399999999999991</v>
      </c>
      <c r="M11457">
        <v>22</v>
      </c>
      <c r="N11457">
        <v>0</v>
      </c>
      <c r="O11457">
        <v>22</v>
      </c>
      <c r="P11457">
        <v>0</v>
      </c>
    </row>
    <row r="11458" spans="1:16" x14ac:dyDescent="0.25">
      <c r="A11458" t="s">
        <v>34229</v>
      </c>
      <c r="B11458" t="s">
        <v>8647</v>
      </c>
      <c r="C11458" t="s">
        <v>8648</v>
      </c>
      <c r="D11458" t="str">
        <f>"1033"</f>
        <v>1033</v>
      </c>
      <c r="E11458" t="s">
        <v>1195</v>
      </c>
      <c r="F11458" t="s">
        <v>296</v>
      </c>
      <c r="G11458" t="s">
        <v>16221</v>
      </c>
      <c r="H11458" t="s">
        <v>47054</v>
      </c>
      <c r="I11458" t="s">
        <v>47111</v>
      </c>
      <c r="J11458" t="s">
        <v>47112</v>
      </c>
      <c r="K11458" t="s">
        <v>47113</v>
      </c>
      <c r="L11458">
        <v>10.71</v>
      </c>
      <c r="M11458">
        <v>25</v>
      </c>
      <c r="N11458">
        <v>0</v>
      </c>
      <c r="O11458">
        <v>25</v>
      </c>
      <c r="P11458">
        <v>0</v>
      </c>
    </row>
    <row r="11459" spans="1:16" x14ac:dyDescent="0.25">
      <c r="A11459" t="s">
        <v>34230</v>
      </c>
      <c r="B11459" t="s">
        <v>8649</v>
      </c>
      <c r="C11459" t="s">
        <v>8650</v>
      </c>
      <c r="D11459" t="str">
        <f>"1737"</f>
        <v>1737</v>
      </c>
      <c r="E11459" t="s">
        <v>8642</v>
      </c>
      <c r="F11459" t="s">
        <v>296</v>
      </c>
      <c r="G11459" t="s">
        <v>16221</v>
      </c>
      <c r="H11459" t="s">
        <v>47054</v>
      </c>
      <c r="I11459" t="s">
        <v>47111</v>
      </c>
      <c r="J11459" t="s">
        <v>47112</v>
      </c>
      <c r="K11459" t="s">
        <v>47113</v>
      </c>
      <c r="L11459">
        <v>8.81</v>
      </c>
      <c r="M11459">
        <v>25</v>
      </c>
      <c r="N11459">
        <v>0</v>
      </c>
      <c r="O11459">
        <v>25</v>
      </c>
      <c r="P11459">
        <v>0</v>
      </c>
    </row>
    <row r="11460" spans="1:16" x14ac:dyDescent="0.25">
      <c r="A11460" t="s">
        <v>34231</v>
      </c>
      <c r="B11460" t="s">
        <v>8649</v>
      </c>
      <c r="C11460" t="s">
        <v>8650</v>
      </c>
      <c r="D11460" t="str">
        <f>"6030"</f>
        <v>6030</v>
      </c>
      <c r="E11460" t="s">
        <v>2753</v>
      </c>
      <c r="F11460" t="s">
        <v>296</v>
      </c>
      <c r="G11460" t="s">
        <v>16221</v>
      </c>
      <c r="H11460" t="s">
        <v>47054</v>
      </c>
      <c r="I11460" t="s">
        <v>47111</v>
      </c>
      <c r="J11460" t="s">
        <v>47112</v>
      </c>
      <c r="K11460" t="s">
        <v>47113</v>
      </c>
      <c r="L11460">
        <v>8.24</v>
      </c>
      <c r="M11460">
        <v>25</v>
      </c>
      <c r="N11460">
        <v>0</v>
      </c>
      <c r="O11460">
        <v>25</v>
      </c>
      <c r="P11460">
        <v>0</v>
      </c>
    </row>
    <row r="11461" spans="1:16" x14ac:dyDescent="0.25">
      <c r="A11461" t="s">
        <v>34232</v>
      </c>
      <c r="B11461" t="s">
        <v>8651</v>
      </c>
      <c r="C11461" t="s">
        <v>8652</v>
      </c>
      <c r="D11461" t="str">
        <f>"1033"</f>
        <v>1033</v>
      </c>
      <c r="E11461" t="s">
        <v>1195</v>
      </c>
      <c r="F11461" t="s">
        <v>296</v>
      </c>
      <c r="G11461" t="s">
        <v>16221</v>
      </c>
      <c r="H11461" t="s">
        <v>47054</v>
      </c>
      <c r="I11461" t="s">
        <v>47111</v>
      </c>
      <c r="J11461" t="s">
        <v>47112</v>
      </c>
      <c r="K11461" t="s">
        <v>47113</v>
      </c>
      <c r="L11461">
        <v>11.82</v>
      </c>
      <c r="M11461">
        <v>25</v>
      </c>
      <c r="N11461">
        <v>0</v>
      </c>
      <c r="O11461">
        <v>25</v>
      </c>
      <c r="P11461">
        <v>0</v>
      </c>
    </row>
    <row r="11462" spans="1:16" x14ac:dyDescent="0.25">
      <c r="A11462" t="s">
        <v>34233</v>
      </c>
      <c r="B11462" t="s">
        <v>8651</v>
      </c>
      <c r="C11462" t="s">
        <v>8652</v>
      </c>
      <c r="D11462" t="str">
        <f>"1737"</f>
        <v>1737</v>
      </c>
      <c r="E11462" t="s">
        <v>8642</v>
      </c>
      <c r="F11462" t="s">
        <v>296</v>
      </c>
      <c r="G11462" t="s">
        <v>16221</v>
      </c>
      <c r="H11462" t="s">
        <v>47054</v>
      </c>
      <c r="I11462" t="s">
        <v>47111</v>
      </c>
      <c r="J11462" t="s">
        <v>47112</v>
      </c>
      <c r="K11462" t="s">
        <v>47113</v>
      </c>
      <c r="L11462">
        <v>11.28</v>
      </c>
      <c r="M11462">
        <v>25</v>
      </c>
      <c r="N11462">
        <v>0</v>
      </c>
      <c r="O11462">
        <v>25</v>
      </c>
      <c r="P11462">
        <v>0</v>
      </c>
    </row>
    <row r="11463" spans="1:16" x14ac:dyDescent="0.25">
      <c r="A11463" t="s">
        <v>34234</v>
      </c>
      <c r="B11463" t="s">
        <v>8653</v>
      </c>
      <c r="C11463" t="s">
        <v>8654</v>
      </c>
      <c r="D11463" t="str">
        <f>"1322"</f>
        <v>1322</v>
      </c>
      <c r="E11463" t="s">
        <v>6490</v>
      </c>
      <c r="F11463" t="s">
        <v>296</v>
      </c>
      <c r="G11463" t="s">
        <v>16221</v>
      </c>
      <c r="H11463" t="s">
        <v>47054</v>
      </c>
      <c r="I11463" t="s">
        <v>47111</v>
      </c>
      <c r="J11463" t="s">
        <v>47112</v>
      </c>
      <c r="K11463" t="s">
        <v>47113</v>
      </c>
      <c r="L11463">
        <v>10.57</v>
      </c>
      <c r="M11463">
        <v>25</v>
      </c>
      <c r="N11463">
        <v>0</v>
      </c>
      <c r="O11463">
        <v>25</v>
      </c>
      <c r="P11463">
        <v>0</v>
      </c>
    </row>
    <row r="11464" spans="1:16" x14ac:dyDescent="0.25">
      <c r="A11464" t="s">
        <v>34235</v>
      </c>
      <c r="B11464" t="s">
        <v>8653</v>
      </c>
      <c r="C11464" t="s">
        <v>8654</v>
      </c>
      <c r="D11464" t="str">
        <f>"1737"</f>
        <v>1737</v>
      </c>
      <c r="E11464" t="s">
        <v>8642</v>
      </c>
      <c r="F11464" t="s">
        <v>296</v>
      </c>
      <c r="G11464" t="s">
        <v>16221</v>
      </c>
      <c r="H11464" t="s">
        <v>47054</v>
      </c>
      <c r="I11464" t="s">
        <v>47111</v>
      </c>
      <c r="J11464" t="s">
        <v>47112</v>
      </c>
      <c r="K11464" t="s">
        <v>47113</v>
      </c>
      <c r="L11464">
        <v>10.95</v>
      </c>
      <c r="M11464">
        <v>25</v>
      </c>
      <c r="N11464">
        <v>0</v>
      </c>
      <c r="O11464">
        <v>25</v>
      </c>
      <c r="P11464">
        <v>0</v>
      </c>
    </row>
    <row r="11465" spans="1:16" x14ac:dyDescent="0.25">
      <c r="A11465" t="s">
        <v>34236</v>
      </c>
      <c r="B11465" t="s">
        <v>8655</v>
      </c>
      <c r="C11465" t="s">
        <v>8656</v>
      </c>
      <c r="D11465" t="str">
        <f>"1737"</f>
        <v>1737</v>
      </c>
      <c r="E11465" t="s">
        <v>8642</v>
      </c>
      <c r="F11465" t="s">
        <v>296</v>
      </c>
      <c r="G11465" t="s">
        <v>16221</v>
      </c>
      <c r="H11465" t="s">
        <v>47054</v>
      </c>
      <c r="I11465" t="s">
        <v>47111</v>
      </c>
      <c r="J11465" t="s">
        <v>47112</v>
      </c>
      <c r="K11465" t="s">
        <v>47113</v>
      </c>
      <c r="L11465">
        <v>10.67</v>
      </c>
      <c r="M11465">
        <v>25</v>
      </c>
      <c r="N11465">
        <v>0</v>
      </c>
      <c r="O11465">
        <v>25</v>
      </c>
      <c r="P11465">
        <v>0</v>
      </c>
    </row>
    <row r="11466" spans="1:16" x14ac:dyDescent="0.25">
      <c r="A11466" t="s">
        <v>34237</v>
      </c>
      <c r="B11466" t="s">
        <v>8655</v>
      </c>
      <c r="C11466" t="s">
        <v>8656</v>
      </c>
      <c r="D11466" t="str">
        <f>"4061"</f>
        <v>4061</v>
      </c>
      <c r="E11466" t="s">
        <v>2809</v>
      </c>
      <c r="F11466" t="s">
        <v>296</v>
      </c>
      <c r="G11466" t="s">
        <v>16221</v>
      </c>
      <c r="H11466" t="s">
        <v>47054</v>
      </c>
      <c r="I11466" t="s">
        <v>47111</v>
      </c>
      <c r="J11466" t="s">
        <v>47112</v>
      </c>
      <c r="K11466" t="s">
        <v>47113</v>
      </c>
      <c r="L11466">
        <v>11.03</v>
      </c>
      <c r="M11466">
        <v>25</v>
      </c>
      <c r="N11466">
        <v>0</v>
      </c>
      <c r="O11466">
        <v>25</v>
      </c>
      <c r="P11466">
        <v>0</v>
      </c>
    </row>
    <row r="11467" spans="1:16" x14ac:dyDescent="0.25">
      <c r="A11467" t="s">
        <v>34238</v>
      </c>
      <c r="B11467" t="s">
        <v>8657</v>
      </c>
      <c r="C11467" t="s">
        <v>7109</v>
      </c>
      <c r="D11467" t="str">
        <f>"1033"</f>
        <v>1033</v>
      </c>
      <c r="E11467" t="s">
        <v>1195</v>
      </c>
      <c r="F11467" t="s">
        <v>296</v>
      </c>
      <c r="G11467" t="s">
        <v>16221</v>
      </c>
      <c r="H11467" t="s">
        <v>47054</v>
      </c>
      <c r="I11467" t="s">
        <v>47111</v>
      </c>
      <c r="J11467" t="s">
        <v>47112</v>
      </c>
      <c r="K11467" t="s">
        <v>47113</v>
      </c>
      <c r="L11467">
        <v>11.52</v>
      </c>
      <c r="M11467">
        <v>27</v>
      </c>
      <c r="N11467">
        <v>0</v>
      </c>
      <c r="O11467">
        <v>27</v>
      </c>
      <c r="P11467">
        <v>0</v>
      </c>
    </row>
    <row r="11468" spans="1:16" x14ac:dyDescent="0.25">
      <c r="A11468" t="s">
        <v>34239</v>
      </c>
      <c r="B11468" t="s">
        <v>8657</v>
      </c>
      <c r="C11468" t="s">
        <v>7109</v>
      </c>
      <c r="D11468" t="str">
        <f>"1737"</f>
        <v>1737</v>
      </c>
      <c r="E11468" t="s">
        <v>8642</v>
      </c>
      <c r="F11468" t="s">
        <v>296</v>
      </c>
      <c r="G11468" t="s">
        <v>16221</v>
      </c>
      <c r="H11468" t="s">
        <v>47054</v>
      </c>
      <c r="I11468" t="s">
        <v>47111</v>
      </c>
      <c r="J11468" t="s">
        <v>47112</v>
      </c>
      <c r="K11468" t="s">
        <v>47113</v>
      </c>
      <c r="L11468">
        <v>9.17</v>
      </c>
      <c r="M11468">
        <v>27</v>
      </c>
      <c r="N11468">
        <v>0</v>
      </c>
      <c r="O11468">
        <v>27</v>
      </c>
      <c r="P11468">
        <v>0</v>
      </c>
    </row>
    <row r="11469" spans="1:16" x14ac:dyDescent="0.25">
      <c r="A11469" t="s">
        <v>34240</v>
      </c>
      <c r="B11469" t="s">
        <v>8657</v>
      </c>
      <c r="C11469" t="s">
        <v>7109</v>
      </c>
      <c r="D11469" t="str">
        <f>"4061"</f>
        <v>4061</v>
      </c>
      <c r="E11469" t="s">
        <v>2809</v>
      </c>
      <c r="F11469" t="s">
        <v>296</v>
      </c>
      <c r="G11469" t="s">
        <v>16221</v>
      </c>
      <c r="H11469" t="s">
        <v>47054</v>
      </c>
      <c r="I11469" t="s">
        <v>47111</v>
      </c>
      <c r="J11469" t="s">
        <v>47112</v>
      </c>
      <c r="K11469" t="s">
        <v>47113</v>
      </c>
      <c r="L11469">
        <v>10.92</v>
      </c>
      <c r="M11469">
        <v>27</v>
      </c>
      <c r="N11469">
        <v>0</v>
      </c>
      <c r="O11469">
        <v>27</v>
      </c>
      <c r="P11469">
        <v>0</v>
      </c>
    </row>
    <row r="11470" spans="1:16" x14ac:dyDescent="0.25">
      <c r="A11470" t="s">
        <v>34241</v>
      </c>
      <c r="B11470" t="s">
        <v>8657</v>
      </c>
      <c r="C11470" t="s">
        <v>7109</v>
      </c>
      <c r="D11470" t="str">
        <f>"4426"</f>
        <v>4426</v>
      </c>
      <c r="E11470" t="s">
        <v>8644</v>
      </c>
      <c r="F11470" t="s">
        <v>296</v>
      </c>
      <c r="G11470" t="s">
        <v>16221</v>
      </c>
      <c r="H11470" t="s">
        <v>47054</v>
      </c>
      <c r="I11470" t="s">
        <v>47111</v>
      </c>
      <c r="J11470" t="s">
        <v>47112</v>
      </c>
      <c r="K11470" t="s">
        <v>47113</v>
      </c>
      <c r="L11470">
        <v>10.56</v>
      </c>
      <c r="M11470">
        <v>30</v>
      </c>
      <c r="N11470">
        <v>0</v>
      </c>
      <c r="O11470">
        <v>30</v>
      </c>
      <c r="P11470">
        <v>0</v>
      </c>
    </row>
    <row r="11471" spans="1:16" x14ac:dyDescent="0.25">
      <c r="A11471" t="s">
        <v>34242</v>
      </c>
      <c r="B11471" t="s">
        <v>8657</v>
      </c>
      <c r="C11471" t="s">
        <v>7109</v>
      </c>
      <c r="D11471" t="str">
        <f>"6030"</f>
        <v>6030</v>
      </c>
      <c r="E11471" t="s">
        <v>2753</v>
      </c>
      <c r="F11471" t="s">
        <v>296</v>
      </c>
      <c r="G11471" t="s">
        <v>16221</v>
      </c>
      <c r="H11471" t="s">
        <v>47054</v>
      </c>
      <c r="I11471" t="s">
        <v>47111</v>
      </c>
      <c r="J11471" t="s">
        <v>47112</v>
      </c>
      <c r="K11471" t="s">
        <v>47113</v>
      </c>
      <c r="L11471">
        <v>11.53</v>
      </c>
      <c r="M11471">
        <v>27</v>
      </c>
      <c r="N11471">
        <v>0</v>
      </c>
      <c r="O11471">
        <v>27</v>
      </c>
      <c r="P11471">
        <v>0</v>
      </c>
    </row>
    <row r="11472" spans="1:16" x14ac:dyDescent="0.25">
      <c r="A11472" t="s">
        <v>34243</v>
      </c>
      <c r="B11472" t="s">
        <v>8657</v>
      </c>
      <c r="C11472" t="s">
        <v>7109</v>
      </c>
      <c r="D11472" t="str">
        <f>"6205"</f>
        <v>6205</v>
      </c>
      <c r="E11472" t="s">
        <v>6493</v>
      </c>
      <c r="F11472" t="s">
        <v>296</v>
      </c>
      <c r="G11472" t="s">
        <v>16221</v>
      </c>
      <c r="H11472" t="s">
        <v>47054</v>
      </c>
      <c r="I11472" t="s">
        <v>47111</v>
      </c>
      <c r="J11472" t="s">
        <v>47112</v>
      </c>
      <c r="K11472" t="s">
        <v>47113</v>
      </c>
      <c r="L11472">
        <v>11.2</v>
      </c>
      <c r="M11472">
        <v>27</v>
      </c>
      <c r="N11472">
        <v>0</v>
      </c>
      <c r="O11472">
        <v>27</v>
      </c>
      <c r="P11472">
        <v>0</v>
      </c>
    </row>
    <row r="11473" spans="1:16" x14ac:dyDescent="0.25">
      <c r="A11473" t="s">
        <v>34244</v>
      </c>
      <c r="B11473" t="s">
        <v>8657</v>
      </c>
      <c r="C11473" t="s">
        <v>7109</v>
      </c>
      <c r="D11473" t="str">
        <f>"7206"</f>
        <v>7206</v>
      </c>
      <c r="E11473" t="s">
        <v>8658</v>
      </c>
      <c r="F11473" t="s">
        <v>296</v>
      </c>
      <c r="G11473" t="s">
        <v>16221</v>
      </c>
      <c r="H11473" t="s">
        <v>47054</v>
      </c>
      <c r="I11473" t="s">
        <v>47111</v>
      </c>
      <c r="J11473" t="s">
        <v>47112</v>
      </c>
      <c r="K11473" t="s">
        <v>47113</v>
      </c>
      <c r="L11473">
        <v>11.56</v>
      </c>
      <c r="M11473">
        <v>27</v>
      </c>
      <c r="N11473">
        <v>0</v>
      </c>
      <c r="O11473">
        <v>27</v>
      </c>
      <c r="P11473">
        <v>0</v>
      </c>
    </row>
    <row r="11474" spans="1:16" x14ac:dyDescent="0.25">
      <c r="A11474" t="s">
        <v>34245</v>
      </c>
      <c r="B11474" t="s">
        <v>8659</v>
      </c>
      <c r="C11474" t="s">
        <v>8660</v>
      </c>
      <c r="D11474" t="str">
        <f>"1322"</f>
        <v>1322</v>
      </c>
      <c r="E11474" t="s">
        <v>6490</v>
      </c>
      <c r="F11474" t="s">
        <v>7</v>
      </c>
      <c r="G11474" t="s">
        <v>16221</v>
      </c>
      <c r="H11474" t="s">
        <v>47054</v>
      </c>
      <c r="I11474" t="s">
        <v>47111</v>
      </c>
      <c r="J11474" t="s">
        <v>47112</v>
      </c>
      <c r="K11474" t="s">
        <v>47113</v>
      </c>
      <c r="L11474">
        <v>14.25</v>
      </c>
      <c r="M11474">
        <v>30</v>
      </c>
      <c r="N11474">
        <v>0</v>
      </c>
      <c r="O11474">
        <v>30</v>
      </c>
      <c r="P11474">
        <v>0</v>
      </c>
    </row>
    <row r="11475" spans="1:16" x14ac:dyDescent="0.25">
      <c r="A11475" t="s">
        <v>34246</v>
      </c>
      <c r="B11475" t="s">
        <v>8661</v>
      </c>
      <c r="C11475" t="s">
        <v>8662</v>
      </c>
      <c r="D11475" t="str">
        <f>"1033"</f>
        <v>1033</v>
      </c>
      <c r="E11475" t="s">
        <v>1195</v>
      </c>
      <c r="F11475" t="s">
        <v>7</v>
      </c>
      <c r="G11475" t="s">
        <v>16221</v>
      </c>
      <c r="H11475" t="s">
        <v>47054</v>
      </c>
      <c r="I11475" t="s">
        <v>47111</v>
      </c>
      <c r="J11475" t="s">
        <v>47112</v>
      </c>
      <c r="K11475" t="s">
        <v>47113</v>
      </c>
      <c r="L11475">
        <v>10.93</v>
      </c>
      <c r="M11475">
        <v>29</v>
      </c>
      <c r="N11475">
        <v>0</v>
      </c>
      <c r="O11475">
        <v>29</v>
      </c>
      <c r="P11475">
        <v>0</v>
      </c>
    </row>
    <row r="11476" spans="1:16" x14ac:dyDescent="0.25">
      <c r="A11476" t="s">
        <v>34247</v>
      </c>
      <c r="B11476" t="s">
        <v>8661</v>
      </c>
      <c r="C11476" t="s">
        <v>8662</v>
      </c>
      <c r="D11476" t="str">
        <f>"1746"</f>
        <v>1746</v>
      </c>
      <c r="E11476" t="s">
        <v>807</v>
      </c>
      <c r="F11476" t="s">
        <v>7</v>
      </c>
      <c r="G11476" t="s">
        <v>16221</v>
      </c>
      <c r="H11476" t="s">
        <v>47054</v>
      </c>
      <c r="I11476" t="s">
        <v>47111</v>
      </c>
      <c r="J11476" t="s">
        <v>47112</v>
      </c>
      <c r="K11476" t="s">
        <v>47113</v>
      </c>
      <c r="L11476">
        <v>9.5</v>
      </c>
      <c r="M11476">
        <v>25</v>
      </c>
      <c r="N11476">
        <v>0</v>
      </c>
      <c r="O11476">
        <v>25</v>
      </c>
      <c r="P11476">
        <v>0</v>
      </c>
    </row>
    <row r="11477" spans="1:16" x14ac:dyDescent="0.25">
      <c r="A11477" t="s">
        <v>34248</v>
      </c>
      <c r="B11477" t="s">
        <v>8663</v>
      </c>
      <c r="C11477" t="s">
        <v>8664</v>
      </c>
      <c r="D11477" t="str">
        <f>"1746"</f>
        <v>1746</v>
      </c>
      <c r="E11477" t="s">
        <v>807</v>
      </c>
      <c r="F11477" t="s">
        <v>7</v>
      </c>
      <c r="G11477" t="s">
        <v>16221</v>
      </c>
      <c r="H11477" t="s">
        <v>47054</v>
      </c>
      <c r="I11477" t="s">
        <v>47111</v>
      </c>
      <c r="J11477" t="s">
        <v>47112</v>
      </c>
      <c r="K11477" t="s">
        <v>47113</v>
      </c>
      <c r="L11477">
        <v>10.54</v>
      </c>
      <c r="M11477">
        <v>26</v>
      </c>
      <c r="N11477">
        <v>0</v>
      </c>
      <c r="O11477">
        <v>26</v>
      </c>
      <c r="P11477">
        <v>0</v>
      </c>
    </row>
    <row r="11478" spans="1:16" x14ac:dyDescent="0.25">
      <c r="A11478" t="s">
        <v>34249</v>
      </c>
      <c r="B11478" t="s">
        <v>8665</v>
      </c>
      <c r="C11478" t="s">
        <v>7113</v>
      </c>
      <c r="D11478" t="str">
        <f>"1114"</f>
        <v>1114</v>
      </c>
      <c r="E11478" t="s">
        <v>7470</v>
      </c>
      <c r="F11478" t="s">
        <v>7</v>
      </c>
      <c r="G11478" t="s">
        <v>16221</v>
      </c>
      <c r="H11478" t="s">
        <v>47054</v>
      </c>
      <c r="I11478" t="s">
        <v>47111</v>
      </c>
      <c r="J11478" t="s">
        <v>47112</v>
      </c>
      <c r="K11478" t="s">
        <v>47113</v>
      </c>
      <c r="L11478">
        <v>10.93</v>
      </c>
      <c r="M11478">
        <v>30</v>
      </c>
      <c r="N11478">
        <v>0</v>
      </c>
      <c r="O11478">
        <v>30</v>
      </c>
      <c r="P11478">
        <v>0</v>
      </c>
    </row>
    <row r="11479" spans="1:16" x14ac:dyDescent="0.25">
      <c r="A11479" t="s">
        <v>34250</v>
      </c>
      <c r="B11479" t="s">
        <v>8666</v>
      </c>
      <c r="C11479" t="s">
        <v>7113</v>
      </c>
      <c r="D11479" t="str">
        <f>"4130"</f>
        <v>4130</v>
      </c>
      <c r="E11479" t="s">
        <v>2374</v>
      </c>
      <c r="F11479" t="s">
        <v>7</v>
      </c>
      <c r="G11479" t="s">
        <v>16221</v>
      </c>
      <c r="H11479" t="s">
        <v>47054</v>
      </c>
      <c r="I11479" t="s">
        <v>47111</v>
      </c>
      <c r="J11479" t="s">
        <v>47112</v>
      </c>
      <c r="K11479" t="s">
        <v>47113</v>
      </c>
      <c r="L11479">
        <v>14.25</v>
      </c>
      <c r="M11479">
        <v>31</v>
      </c>
      <c r="N11479">
        <v>0</v>
      </c>
      <c r="O11479">
        <v>31</v>
      </c>
      <c r="P11479">
        <v>0</v>
      </c>
    </row>
    <row r="11480" spans="1:16" x14ac:dyDescent="0.25">
      <c r="A11480" t="s">
        <v>34251</v>
      </c>
      <c r="B11480" t="s">
        <v>8667</v>
      </c>
      <c r="C11480" t="s">
        <v>8668</v>
      </c>
      <c r="D11480" t="str">
        <f>"1740"</f>
        <v>1740</v>
      </c>
      <c r="E11480" t="s">
        <v>2747</v>
      </c>
      <c r="F11480" t="s">
        <v>7</v>
      </c>
      <c r="G11480" t="s">
        <v>16221</v>
      </c>
      <c r="H11480" t="s">
        <v>47054</v>
      </c>
      <c r="I11480" t="s">
        <v>47111</v>
      </c>
      <c r="J11480" t="s">
        <v>47112</v>
      </c>
      <c r="K11480" t="s">
        <v>47113</v>
      </c>
      <c r="L11480">
        <v>11.66</v>
      </c>
      <c r="M11480">
        <v>30</v>
      </c>
      <c r="N11480">
        <v>0</v>
      </c>
      <c r="O11480">
        <v>30</v>
      </c>
      <c r="P11480">
        <v>0</v>
      </c>
    </row>
    <row r="11481" spans="1:16" x14ac:dyDescent="0.25">
      <c r="A11481" t="s">
        <v>34252</v>
      </c>
      <c r="B11481" t="s">
        <v>8669</v>
      </c>
      <c r="C11481" t="s">
        <v>8670</v>
      </c>
      <c r="D11481" t="str">
        <f>"7321"</f>
        <v>7321</v>
      </c>
      <c r="E11481" t="s">
        <v>7090</v>
      </c>
      <c r="F11481" t="s">
        <v>7</v>
      </c>
      <c r="G11481" t="s">
        <v>16221</v>
      </c>
      <c r="H11481" t="s">
        <v>47054</v>
      </c>
      <c r="I11481" t="s">
        <v>47111</v>
      </c>
      <c r="J11481" t="s">
        <v>47112</v>
      </c>
      <c r="K11481" t="s">
        <v>47113</v>
      </c>
      <c r="L11481">
        <v>12.5</v>
      </c>
      <c r="M11481">
        <v>30</v>
      </c>
      <c r="N11481">
        <v>0</v>
      </c>
      <c r="O11481">
        <v>30</v>
      </c>
      <c r="P11481">
        <v>0</v>
      </c>
    </row>
    <row r="11482" spans="1:16" x14ac:dyDescent="0.25">
      <c r="A11482" t="s">
        <v>34253</v>
      </c>
      <c r="B11482" t="s">
        <v>8671</v>
      </c>
      <c r="C11482" t="s">
        <v>8672</v>
      </c>
      <c r="D11482" t="str">
        <f>"4130"</f>
        <v>4130</v>
      </c>
      <c r="E11482" t="s">
        <v>2374</v>
      </c>
      <c r="F11482" t="s">
        <v>7</v>
      </c>
      <c r="G11482" t="s">
        <v>16221</v>
      </c>
      <c r="H11482" t="s">
        <v>47054</v>
      </c>
      <c r="I11482" t="s">
        <v>47111</v>
      </c>
      <c r="J11482" t="s">
        <v>47112</v>
      </c>
      <c r="K11482" t="s">
        <v>47113</v>
      </c>
      <c r="L11482">
        <v>15.29</v>
      </c>
      <c r="M11482">
        <v>39</v>
      </c>
      <c r="N11482">
        <v>0</v>
      </c>
      <c r="O11482">
        <v>39</v>
      </c>
      <c r="P11482">
        <v>0</v>
      </c>
    </row>
    <row r="11483" spans="1:16" x14ac:dyDescent="0.25">
      <c r="A11483" t="s">
        <v>34254</v>
      </c>
      <c r="B11483" t="s">
        <v>8673</v>
      </c>
      <c r="C11483" t="s">
        <v>8674</v>
      </c>
      <c r="D11483" t="str">
        <f>"1033"</f>
        <v>1033</v>
      </c>
      <c r="E11483" t="s">
        <v>1195</v>
      </c>
      <c r="F11483" t="s">
        <v>7</v>
      </c>
      <c r="G11483" t="s">
        <v>16221</v>
      </c>
      <c r="H11483" t="s">
        <v>47054</v>
      </c>
      <c r="I11483" t="s">
        <v>47111</v>
      </c>
      <c r="J11483" t="s">
        <v>47112</v>
      </c>
      <c r="K11483" t="s">
        <v>47113</v>
      </c>
      <c r="L11483">
        <v>11.66</v>
      </c>
      <c r="M11483">
        <v>30</v>
      </c>
      <c r="N11483">
        <v>0</v>
      </c>
      <c r="O11483">
        <v>30</v>
      </c>
      <c r="P11483">
        <v>0</v>
      </c>
    </row>
    <row r="11484" spans="1:16" x14ac:dyDescent="0.25">
      <c r="A11484" t="s">
        <v>34255</v>
      </c>
      <c r="B11484" t="s">
        <v>8673</v>
      </c>
      <c r="C11484" t="s">
        <v>8674</v>
      </c>
      <c r="D11484" t="str">
        <f>"1740"</f>
        <v>1740</v>
      </c>
      <c r="E11484" t="s">
        <v>2747</v>
      </c>
      <c r="F11484" t="s">
        <v>7</v>
      </c>
      <c r="G11484" t="s">
        <v>16221</v>
      </c>
      <c r="H11484" t="s">
        <v>47054</v>
      </c>
      <c r="I11484" t="s">
        <v>47111</v>
      </c>
      <c r="J11484" t="s">
        <v>47112</v>
      </c>
      <c r="K11484" t="s">
        <v>47113</v>
      </c>
      <c r="L11484">
        <v>14.25</v>
      </c>
      <c r="M11484">
        <v>30</v>
      </c>
      <c r="N11484">
        <v>0</v>
      </c>
      <c r="O11484">
        <v>30</v>
      </c>
      <c r="P11484">
        <v>0</v>
      </c>
    </row>
    <row r="11485" spans="1:16" x14ac:dyDescent="0.25">
      <c r="A11485" t="s">
        <v>34256</v>
      </c>
      <c r="B11485" t="s">
        <v>8673</v>
      </c>
      <c r="C11485" t="s">
        <v>8674</v>
      </c>
      <c r="D11485" t="str">
        <f>"1746"</f>
        <v>1746</v>
      </c>
      <c r="E11485" t="s">
        <v>807</v>
      </c>
      <c r="F11485" t="s">
        <v>7</v>
      </c>
      <c r="G11485" t="s">
        <v>16221</v>
      </c>
      <c r="H11485" t="s">
        <v>47054</v>
      </c>
      <c r="I11485" t="s">
        <v>47111</v>
      </c>
      <c r="J11485" t="s">
        <v>47112</v>
      </c>
      <c r="K11485" t="s">
        <v>47113</v>
      </c>
      <c r="L11485">
        <v>9.4499999999999993</v>
      </c>
      <c r="M11485">
        <v>25</v>
      </c>
      <c r="N11485">
        <v>0</v>
      </c>
      <c r="O11485">
        <v>25</v>
      </c>
      <c r="P11485">
        <v>0</v>
      </c>
    </row>
    <row r="11486" spans="1:16" x14ac:dyDescent="0.25">
      <c r="A11486" t="s">
        <v>34257</v>
      </c>
      <c r="B11486" t="s">
        <v>8675</v>
      </c>
      <c r="C11486" t="s">
        <v>7113</v>
      </c>
      <c r="D11486" t="str">
        <f>"2204"</f>
        <v>2204</v>
      </c>
      <c r="E11486" t="s">
        <v>8676</v>
      </c>
      <c r="F11486" t="s">
        <v>7</v>
      </c>
      <c r="G11486" t="s">
        <v>16221</v>
      </c>
      <c r="H11486" t="s">
        <v>47054</v>
      </c>
      <c r="I11486" t="s">
        <v>47114</v>
      </c>
      <c r="J11486" t="s">
        <v>47115</v>
      </c>
      <c r="K11486" t="s">
        <v>47113</v>
      </c>
      <c r="L11486">
        <v>9.4499999999999993</v>
      </c>
      <c r="M11486">
        <v>30</v>
      </c>
      <c r="N11486">
        <v>0</v>
      </c>
      <c r="O11486">
        <v>30</v>
      </c>
      <c r="P11486">
        <v>0</v>
      </c>
    </row>
    <row r="11487" spans="1:16" x14ac:dyDescent="0.25">
      <c r="A11487" t="s">
        <v>34258</v>
      </c>
      <c r="B11487" t="s">
        <v>8677</v>
      </c>
      <c r="C11487" t="s">
        <v>7113</v>
      </c>
      <c r="D11487" t="str">
        <f>"1322"</f>
        <v>1322</v>
      </c>
      <c r="E11487" t="s">
        <v>6490</v>
      </c>
      <c r="F11487" t="s">
        <v>7</v>
      </c>
      <c r="G11487" t="s">
        <v>16221</v>
      </c>
      <c r="H11487" t="s">
        <v>47054</v>
      </c>
      <c r="I11487" t="s">
        <v>47111</v>
      </c>
      <c r="J11487" t="s">
        <v>47112</v>
      </c>
      <c r="K11487" t="s">
        <v>47113</v>
      </c>
      <c r="L11487">
        <v>11.61</v>
      </c>
      <c r="M11487">
        <v>30</v>
      </c>
      <c r="N11487">
        <v>0</v>
      </c>
      <c r="O11487">
        <v>30</v>
      </c>
      <c r="P11487">
        <v>0</v>
      </c>
    </row>
    <row r="11488" spans="1:16" x14ac:dyDescent="0.25">
      <c r="A11488" t="s">
        <v>34259</v>
      </c>
      <c r="B11488" t="s">
        <v>8678</v>
      </c>
      <c r="C11488" t="s">
        <v>8679</v>
      </c>
      <c r="D11488" t="str">
        <f>"1114"</f>
        <v>1114</v>
      </c>
      <c r="E11488" t="s">
        <v>7470</v>
      </c>
      <c r="F11488" t="s">
        <v>7</v>
      </c>
      <c r="G11488" t="s">
        <v>16221</v>
      </c>
      <c r="H11488" t="s">
        <v>47054</v>
      </c>
      <c r="I11488" t="s">
        <v>47111</v>
      </c>
      <c r="J11488" t="s">
        <v>47112</v>
      </c>
      <c r="K11488" t="s">
        <v>47113</v>
      </c>
      <c r="L11488">
        <v>14.25</v>
      </c>
      <c r="M11488">
        <v>30</v>
      </c>
      <c r="N11488">
        <v>0</v>
      </c>
      <c r="O11488">
        <v>30</v>
      </c>
      <c r="P11488">
        <v>0</v>
      </c>
    </row>
    <row r="11489" spans="1:16" x14ac:dyDescent="0.25">
      <c r="A11489" t="s">
        <v>34260</v>
      </c>
      <c r="B11489" t="s">
        <v>8680</v>
      </c>
      <c r="C11489" t="s">
        <v>7113</v>
      </c>
      <c r="D11489" t="str">
        <f>"6036"</f>
        <v>6036</v>
      </c>
      <c r="E11489" t="s">
        <v>7703</v>
      </c>
      <c r="F11489" t="s">
        <v>7</v>
      </c>
      <c r="G11489" t="s">
        <v>16221</v>
      </c>
      <c r="H11489" t="s">
        <v>47054</v>
      </c>
      <c r="I11489" t="s">
        <v>47111</v>
      </c>
      <c r="J11489" t="s">
        <v>47112</v>
      </c>
      <c r="K11489" t="s">
        <v>47113</v>
      </c>
      <c r="L11489">
        <v>12.05</v>
      </c>
      <c r="M11489">
        <v>31</v>
      </c>
      <c r="N11489">
        <v>0</v>
      </c>
      <c r="O11489">
        <v>31</v>
      </c>
      <c r="P11489">
        <v>0</v>
      </c>
    </row>
    <row r="11490" spans="1:16" x14ac:dyDescent="0.25">
      <c r="A11490" t="s">
        <v>34261</v>
      </c>
      <c r="B11490" t="s">
        <v>8681</v>
      </c>
      <c r="C11490" t="s">
        <v>7113</v>
      </c>
      <c r="D11490" t="str">
        <f>"1746"</f>
        <v>1746</v>
      </c>
      <c r="E11490" t="s">
        <v>807</v>
      </c>
      <c r="F11490" t="s">
        <v>7</v>
      </c>
      <c r="G11490" t="s">
        <v>16221</v>
      </c>
      <c r="H11490" t="s">
        <v>47054</v>
      </c>
      <c r="I11490" t="s">
        <v>47111</v>
      </c>
      <c r="J11490" t="s">
        <v>47112</v>
      </c>
      <c r="K11490" t="s">
        <v>47113</v>
      </c>
      <c r="L11490">
        <v>9.8800000000000008</v>
      </c>
      <c r="M11490">
        <v>25</v>
      </c>
      <c r="N11490">
        <v>0</v>
      </c>
      <c r="O11490">
        <v>25</v>
      </c>
      <c r="P11490">
        <v>0</v>
      </c>
    </row>
    <row r="11491" spans="1:16" x14ac:dyDescent="0.25">
      <c r="A11491" t="s">
        <v>34262</v>
      </c>
      <c r="B11491" t="s">
        <v>8682</v>
      </c>
      <c r="C11491" t="s">
        <v>8683</v>
      </c>
      <c r="D11491" t="str">
        <f>"1033"</f>
        <v>1033</v>
      </c>
      <c r="E11491" t="s">
        <v>1195</v>
      </c>
      <c r="F11491" t="s">
        <v>7</v>
      </c>
      <c r="G11491" t="s">
        <v>16221</v>
      </c>
      <c r="H11491" t="s">
        <v>47054</v>
      </c>
      <c r="I11491" t="s">
        <v>47111</v>
      </c>
      <c r="J11491" t="s">
        <v>47112</v>
      </c>
      <c r="K11491" t="s">
        <v>47113</v>
      </c>
      <c r="L11491">
        <v>12.14</v>
      </c>
      <c r="M11491">
        <v>34</v>
      </c>
      <c r="N11491">
        <v>0</v>
      </c>
      <c r="O11491">
        <v>34</v>
      </c>
      <c r="P11491">
        <v>0</v>
      </c>
    </row>
    <row r="11492" spans="1:16" x14ac:dyDescent="0.25">
      <c r="A11492" t="s">
        <v>34263</v>
      </c>
      <c r="B11492" t="s">
        <v>8682</v>
      </c>
      <c r="C11492" t="s">
        <v>8683</v>
      </c>
      <c r="D11492" t="str">
        <f>"1114"</f>
        <v>1114</v>
      </c>
      <c r="E11492" t="s">
        <v>7470</v>
      </c>
      <c r="F11492" t="s">
        <v>7</v>
      </c>
      <c r="G11492" t="s">
        <v>16221</v>
      </c>
      <c r="H11492" t="s">
        <v>47054</v>
      </c>
      <c r="I11492" t="s">
        <v>47111</v>
      </c>
      <c r="J11492" t="s">
        <v>47112</v>
      </c>
      <c r="K11492" t="s">
        <v>47113</v>
      </c>
      <c r="L11492">
        <v>12.14</v>
      </c>
      <c r="M11492">
        <v>32</v>
      </c>
      <c r="N11492">
        <v>0</v>
      </c>
      <c r="O11492">
        <v>32</v>
      </c>
      <c r="P11492">
        <v>0</v>
      </c>
    </row>
    <row r="11493" spans="1:16" x14ac:dyDescent="0.25">
      <c r="A11493" t="s">
        <v>34264</v>
      </c>
      <c r="B11493" t="s">
        <v>8682</v>
      </c>
      <c r="C11493" t="s">
        <v>8683</v>
      </c>
      <c r="D11493" t="str">
        <f>"1740"</f>
        <v>1740</v>
      </c>
      <c r="E11493" t="s">
        <v>2747</v>
      </c>
      <c r="F11493" t="s">
        <v>7</v>
      </c>
      <c r="G11493" t="s">
        <v>16221</v>
      </c>
      <c r="H11493" t="s">
        <v>47054</v>
      </c>
      <c r="I11493" t="s">
        <v>47111</v>
      </c>
      <c r="J11493" t="s">
        <v>47112</v>
      </c>
      <c r="K11493" t="s">
        <v>47113</v>
      </c>
      <c r="L11493">
        <v>12.06</v>
      </c>
      <c r="M11493">
        <v>32</v>
      </c>
      <c r="N11493">
        <v>0</v>
      </c>
      <c r="O11493">
        <v>32</v>
      </c>
      <c r="P11493">
        <v>0</v>
      </c>
    </row>
    <row r="11494" spans="1:16" x14ac:dyDescent="0.25">
      <c r="A11494" t="s">
        <v>34265</v>
      </c>
      <c r="B11494" t="s">
        <v>8682</v>
      </c>
      <c r="C11494" t="s">
        <v>8683</v>
      </c>
      <c r="D11494" t="str">
        <f>"1746"</f>
        <v>1746</v>
      </c>
      <c r="E11494" t="s">
        <v>807</v>
      </c>
      <c r="F11494" t="s">
        <v>7</v>
      </c>
      <c r="G11494" t="s">
        <v>16221</v>
      </c>
      <c r="H11494" t="s">
        <v>47054</v>
      </c>
      <c r="I11494" t="s">
        <v>47111</v>
      </c>
      <c r="J11494" t="s">
        <v>47112</v>
      </c>
      <c r="K11494" t="s">
        <v>47113</v>
      </c>
      <c r="L11494">
        <v>10.29</v>
      </c>
      <c r="M11494">
        <v>29</v>
      </c>
      <c r="N11494">
        <v>0</v>
      </c>
      <c r="O11494">
        <v>29</v>
      </c>
      <c r="P11494">
        <v>0</v>
      </c>
    </row>
    <row r="11495" spans="1:16" x14ac:dyDescent="0.25">
      <c r="A11495" t="s">
        <v>34266</v>
      </c>
      <c r="B11495" t="s">
        <v>8682</v>
      </c>
      <c r="C11495" t="s">
        <v>8683</v>
      </c>
      <c r="D11495" t="str">
        <f>"2206"</f>
        <v>2206</v>
      </c>
      <c r="E11495" t="s">
        <v>8684</v>
      </c>
      <c r="F11495" t="s">
        <v>7</v>
      </c>
      <c r="G11495" t="s">
        <v>16221</v>
      </c>
      <c r="H11495" t="s">
        <v>47054</v>
      </c>
      <c r="I11495" t="s">
        <v>47111</v>
      </c>
      <c r="J11495" t="s">
        <v>47112</v>
      </c>
      <c r="K11495" t="s">
        <v>47113</v>
      </c>
      <c r="L11495">
        <v>12.14</v>
      </c>
      <c r="M11495">
        <v>34</v>
      </c>
      <c r="N11495">
        <v>0</v>
      </c>
      <c r="O11495">
        <v>34</v>
      </c>
      <c r="P11495">
        <v>0</v>
      </c>
    </row>
    <row r="11496" spans="1:16" x14ac:dyDescent="0.25">
      <c r="A11496" t="s">
        <v>34267</v>
      </c>
      <c r="B11496" t="s">
        <v>8682</v>
      </c>
      <c r="C11496" t="s">
        <v>8683</v>
      </c>
      <c r="D11496" t="str">
        <f>"3022"</f>
        <v>3022</v>
      </c>
      <c r="E11496" t="s">
        <v>7476</v>
      </c>
      <c r="F11496" t="s">
        <v>7</v>
      </c>
      <c r="G11496" t="s">
        <v>16221</v>
      </c>
      <c r="H11496" t="s">
        <v>47054</v>
      </c>
      <c r="I11496" t="s">
        <v>47111</v>
      </c>
      <c r="J11496" t="s">
        <v>47112</v>
      </c>
      <c r="K11496" t="s">
        <v>47113</v>
      </c>
      <c r="L11496">
        <v>12.14</v>
      </c>
      <c r="M11496">
        <v>34</v>
      </c>
      <c r="N11496">
        <v>0</v>
      </c>
      <c r="O11496">
        <v>34</v>
      </c>
      <c r="P11496">
        <v>0</v>
      </c>
    </row>
    <row r="11497" spans="1:16" x14ac:dyDescent="0.25">
      <c r="A11497" t="s">
        <v>34268</v>
      </c>
      <c r="B11497" t="s">
        <v>8682</v>
      </c>
      <c r="C11497" t="s">
        <v>8683</v>
      </c>
      <c r="D11497" t="str">
        <f>"4130"</f>
        <v>4130</v>
      </c>
      <c r="E11497" t="s">
        <v>2374</v>
      </c>
      <c r="F11497" t="s">
        <v>7</v>
      </c>
      <c r="G11497" t="s">
        <v>16221</v>
      </c>
      <c r="H11497" t="s">
        <v>47054</v>
      </c>
      <c r="I11497" t="s">
        <v>47111</v>
      </c>
      <c r="J11497" t="s">
        <v>47112</v>
      </c>
      <c r="K11497" t="s">
        <v>47113</v>
      </c>
      <c r="L11497">
        <v>12.06</v>
      </c>
      <c r="M11497">
        <v>34</v>
      </c>
      <c r="N11497">
        <v>0</v>
      </c>
      <c r="O11497">
        <v>34</v>
      </c>
      <c r="P11497">
        <v>0</v>
      </c>
    </row>
    <row r="11498" spans="1:16" x14ac:dyDescent="0.25">
      <c r="A11498" t="s">
        <v>34269</v>
      </c>
      <c r="B11498" t="s">
        <v>8682</v>
      </c>
      <c r="C11498" t="s">
        <v>8683</v>
      </c>
      <c r="D11498" t="str">
        <f>"6036"</f>
        <v>6036</v>
      </c>
      <c r="E11498" t="s">
        <v>7703</v>
      </c>
      <c r="F11498" t="s">
        <v>7</v>
      </c>
      <c r="G11498" t="s">
        <v>16221</v>
      </c>
      <c r="H11498" t="s">
        <v>47054</v>
      </c>
      <c r="I11498" t="s">
        <v>47111</v>
      </c>
      <c r="J11498" t="s">
        <v>47112</v>
      </c>
      <c r="K11498" t="s">
        <v>47113</v>
      </c>
      <c r="L11498">
        <v>12.14</v>
      </c>
      <c r="M11498">
        <v>34</v>
      </c>
      <c r="N11498">
        <v>0</v>
      </c>
      <c r="O11498">
        <v>34</v>
      </c>
      <c r="P11498">
        <v>0</v>
      </c>
    </row>
    <row r="11499" spans="1:16" x14ac:dyDescent="0.25">
      <c r="A11499" t="s">
        <v>34270</v>
      </c>
      <c r="B11499" t="s">
        <v>8685</v>
      </c>
      <c r="C11499" t="s">
        <v>8686</v>
      </c>
      <c r="D11499" t="str">
        <f>"1035"</f>
        <v>1035</v>
      </c>
      <c r="E11499" t="s">
        <v>758</v>
      </c>
      <c r="F11499" t="s">
        <v>296</v>
      </c>
      <c r="G11499" t="s">
        <v>16232</v>
      </c>
      <c r="H11499" t="s">
        <v>47054</v>
      </c>
      <c r="I11499" t="s">
        <v>47111</v>
      </c>
      <c r="J11499" t="s">
        <v>47112</v>
      </c>
      <c r="K11499" t="s">
        <v>47113</v>
      </c>
      <c r="L11499">
        <v>15.03</v>
      </c>
      <c r="M11499">
        <v>35</v>
      </c>
      <c r="N11499">
        <v>0</v>
      </c>
      <c r="O11499">
        <v>35</v>
      </c>
      <c r="P11499">
        <v>0</v>
      </c>
    </row>
    <row r="11500" spans="1:16" x14ac:dyDescent="0.25">
      <c r="A11500" t="s">
        <v>34271</v>
      </c>
      <c r="B11500" t="s">
        <v>8685</v>
      </c>
      <c r="C11500" t="s">
        <v>8686</v>
      </c>
      <c r="D11500" t="str">
        <f>"1746"</f>
        <v>1746</v>
      </c>
      <c r="E11500" t="s">
        <v>807</v>
      </c>
      <c r="F11500" t="s">
        <v>296</v>
      </c>
      <c r="G11500" t="s">
        <v>16232</v>
      </c>
      <c r="H11500" t="s">
        <v>47054</v>
      </c>
      <c r="I11500" t="s">
        <v>47111</v>
      </c>
      <c r="J11500" t="s">
        <v>47112</v>
      </c>
      <c r="K11500" t="s">
        <v>47113</v>
      </c>
      <c r="L11500">
        <v>14.6</v>
      </c>
      <c r="M11500">
        <v>35</v>
      </c>
      <c r="N11500">
        <v>0</v>
      </c>
      <c r="O11500">
        <v>35</v>
      </c>
      <c r="P11500">
        <v>0</v>
      </c>
    </row>
    <row r="11501" spans="1:16" x14ac:dyDescent="0.25">
      <c r="A11501" t="s">
        <v>34272</v>
      </c>
      <c r="B11501" t="s">
        <v>8685</v>
      </c>
      <c r="C11501" t="s">
        <v>8686</v>
      </c>
      <c r="D11501" t="str">
        <f>"4060"</f>
        <v>4060</v>
      </c>
      <c r="E11501" t="s">
        <v>1612</v>
      </c>
      <c r="F11501" t="s">
        <v>296</v>
      </c>
      <c r="G11501" t="s">
        <v>16232</v>
      </c>
      <c r="H11501" t="s">
        <v>47054</v>
      </c>
      <c r="I11501" t="s">
        <v>47111</v>
      </c>
      <c r="J11501" t="s">
        <v>47112</v>
      </c>
      <c r="K11501" t="s">
        <v>47113</v>
      </c>
      <c r="L11501">
        <v>14.99</v>
      </c>
      <c r="M11501">
        <v>35</v>
      </c>
      <c r="N11501">
        <v>0</v>
      </c>
      <c r="O11501">
        <v>35</v>
      </c>
      <c r="P11501">
        <v>0</v>
      </c>
    </row>
    <row r="11502" spans="1:16" x14ac:dyDescent="0.25">
      <c r="A11502" t="s">
        <v>34273</v>
      </c>
      <c r="B11502" t="s">
        <v>8685</v>
      </c>
      <c r="C11502" t="s">
        <v>8686</v>
      </c>
      <c r="D11502" t="str">
        <f>"6035"</f>
        <v>6035</v>
      </c>
      <c r="E11502" t="s">
        <v>2598</v>
      </c>
      <c r="F11502" t="s">
        <v>296</v>
      </c>
      <c r="G11502" t="s">
        <v>16232</v>
      </c>
      <c r="H11502" t="s">
        <v>47054</v>
      </c>
      <c r="I11502" t="s">
        <v>47111</v>
      </c>
      <c r="J11502" t="s">
        <v>47112</v>
      </c>
      <c r="K11502" t="s">
        <v>47113</v>
      </c>
      <c r="L11502">
        <v>14.99</v>
      </c>
      <c r="M11502">
        <v>35</v>
      </c>
      <c r="N11502">
        <v>0</v>
      </c>
      <c r="O11502">
        <v>35</v>
      </c>
      <c r="P11502">
        <v>0</v>
      </c>
    </row>
    <row r="11503" spans="1:16" x14ac:dyDescent="0.25">
      <c r="A11503" t="s">
        <v>34274</v>
      </c>
      <c r="B11503" t="s">
        <v>8687</v>
      </c>
      <c r="C11503" t="s">
        <v>8688</v>
      </c>
      <c r="D11503" t="str">
        <f>"1033"</f>
        <v>1033</v>
      </c>
      <c r="E11503" t="s">
        <v>1195</v>
      </c>
      <c r="F11503" t="s">
        <v>7</v>
      </c>
      <c r="G11503" t="s">
        <v>16221</v>
      </c>
      <c r="H11503" t="s">
        <v>47054</v>
      </c>
      <c r="I11503" t="s">
        <v>47111</v>
      </c>
      <c r="J11503" t="s">
        <v>47112</v>
      </c>
      <c r="K11503" t="s">
        <v>47113</v>
      </c>
      <c r="L11503">
        <v>14.02</v>
      </c>
      <c r="M11503">
        <v>36</v>
      </c>
      <c r="N11503">
        <v>0</v>
      </c>
      <c r="O11503">
        <v>36</v>
      </c>
      <c r="P11503">
        <v>0</v>
      </c>
    </row>
    <row r="11504" spans="1:16" x14ac:dyDescent="0.25">
      <c r="A11504" t="s">
        <v>34275</v>
      </c>
      <c r="B11504" t="s">
        <v>8687</v>
      </c>
      <c r="C11504" t="s">
        <v>8688</v>
      </c>
      <c r="D11504" t="str">
        <f>"1746"</f>
        <v>1746</v>
      </c>
      <c r="E11504" t="s">
        <v>807</v>
      </c>
      <c r="F11504" t="s">
        <v>7</v>
      </c>
      <c r="G11504" t="s">
        <v>16221</v>
      </c>
      <c r="H11504" t="s">
        <v>47054</v>
      </c>
      <c r="I11504" t="s">
        <v>47111</v>
      </c>
      <c r="J11504" t="s">
        <v>47112</v>
      </c>
      <c r="K11504" t="s">
        <v>47113</v>
      </c>
      <c r="L11504">
        <v>11.82</v>
      </c>
      <c r="M11504">
        <v>36</v>
      </c>
      <c r="N11504">
        <v>0</v>
      </c>
      <c r="O11504">
        <v>36</v>
      </c>
      <c r="P11504">
        <v>0</v>
      </c>
    </row>
    <row r="11505" spans="1:16" x14ac:dyDescent="0.25">
      <c r="A11505" t="s">
        <v>34276</v>
      </c>
      <c r="B11505" t="s">
        <v>8687</v>
      </c>
      <c r="C11505" t="s">
        <v>8688</v>
      </c>
      <c r="D11505" t="str">
        <f>"2206"</f>
        <v>2206</v>
      </c>
      <c r="E11505" t="s">
        <v>8684</v>
      </c>
      <c r="F11505" t="s">
        <v>7</v>
      </c>
      <c r="G11505" t="s">
        <v>16221</v>
      </c>
      <c r="H11505" t="s">
        <v>47054</v>
      </c>
      <c r="I11505" t="s">
        <v>47111</v>
      </c>
      <c r="J11505" t="s">
        <v>47112</v>
      </c>
      <c r="K11505" t="s">
        <v>47113</v>
      </c>
      <c r="L11505">
        <v>14.02</v>
      </c>
      <c r="M11505">
        <v>36</v>
      </c>
      <c r="N11505">
        <v>0</v>
      </c>
      <c r="O11505">
        <v>36</v>
      </c>
      <c r="P11505">
        <v>0</v>
      </c>
    </row>
    <row r="11506" spans="1:16" x14ac:dyDescent="0.25">
      <c r="A11506" t="s">
        <v>34277</v>
      </c>
      <c r="B11506" t="s">
        <v>8689</v>
      </c>
      <c r="C11506" t="s">
        <v>8690</v>
      </c>
      <c r="D11506" t="str">
        <f>"3022"</f>
        <v>3022</v>
      </c>
      <c r="E11506" t="s">
        <v>7476</v>
      </c>
      <c r="F11506" t="s">
        <v>7</v>
      </c>
      <c r="G11506" t="s">
        <v>16221</v>
      </c>
      <c r="H11506" t="s">
        <v>47054</v>
      </c>
      <c r="I11506" t="s">
        <v>47111</v>
      </c>
      <c r="J11506" t="s">
        <v>47112</v>
      </c>
      <c r="K11506" t="s">
        <v>47113</v>
      </c>
      <c r="L11506">
        <v>14.75</v>
      </c>
      <c r="M11506">
        <v>36</v>
      </c>
      <c r="N11506">
        <v>0</v>
      </c>
      <c r="O11506">
        <v>36</v>
      </c>
      <c r="P11506">
        <v>0</v>
      </c>
    </row>
    <row r="11507" spans="1:16" x14ac:dyDescent="0.25">
      <c r="A11507" t="s">
        <v>34278</v>
      </c>
      <c r="B11507" t="s">
        <v>8691</v>
      </c>
      <c r="C11507" t="s">
        <v>8690</v>
      </c>
      <c r="D11507" t="str">
        <f>"1746"</f>
        <v>1746</v>
      </c>
      <c r="E11507" t="s">
        <v>807</v>
      </c>
      <c r="F11507" t="s">
        <v>7</v>
      </c>
      <c r="G11507" t="s">
        <v>16221</v>
      </c>
      <c r="H11507" t="s">
        <v>47054</v>
      </c>
      <c r="I11507" t="s">
        <v>47111</v>
      </c>
      <c r="J11507" t="s">
        <v>47112</v>
      </c>
      <c r="K11507" t="s">
        <v>47113</v>
      </c>
      <c r="L11507">
        <v>15.24</v>
      </c>
      <c r="M11507">
        <v>34</v>
      </c>
      <c r="N11507">
        <v>0</v>
      </c>
      <c r="O11507">
        <v>34</v>
      </c>
      <c r="P11507">
        <v>0</v>
      </c>
    </row>
    <row r="11508" spans="1:16" x14ac:dyDescent="0.25">
      <c r="A11508" t="s">
        <v>34279</v>
      </c>
      <c r="B11508" t="s">
        <v>8692</v>
      </c>
      <c r="C11508" t="s">
        <v>8690</v>
      </c>
      <c r="D11508" t="str">
        <f>"7321"</f>
        <v>7321</v>
      </c>
      <c r="E11508" t="s">
        <v>7090</v>
      </c>
      <c r="F11508" t="s">
        <v>7</v>
      </c>
      <c r="G11508" t="s">
        <v>16221</v>
      </c>
      <c r="H11508" t="s">
        <v>47054</v>
      </c>
      <c r="I11508" t="s">
        <v>47111</v>
      </c>
      <c r="J11508" t="s">
        <v>47112</v>
      </c>
      <c r="K11508" t="s">
        <v>47113</v>
      </c>
      <c r="L11508">
        <v>14.25</v>
      </c>
      <c r="M11508">
        <v>36</v>
      </c>
      <c r="N11508">
        <v>0</v>
      </c>
      <c r="O11508">
        <v>36</v>
      </c>
      <c r="P11508">
        <v>0</v>
      </c>
    </row>
    <row r="11509" spans="1:16" x14ac:dyDescent="0.25">
      <c r="A11509" t="s">
        <v>34280</v>
      </c>
      <c r="B11509" t="s">
        <v>8693</v>
      </c>
      <c r="C11509" t="s">
        <v>8694</v>
      </c>
      <c r="D11509" t="str">
        <f>"1114"</f>
        <v>1114</v>
      </c>
      <c r="E11509" t="s">
        <v>7470</v>
      </c>
      <c r="F11509" t="s">
        <v>7</v>
      </c>
      <c r="G11509" t="s">
        <v>16221</v>
      </c>
      <c r="H11509" t="s">
        <v>47054</v>
      </c>
      <c r="I11509" t="s">
        <v>47111</v>
      </c>
      <c r="J11509" t="s">
        <v>47112</v>
      </c>
      <c r="K11509" t="s">
        <v>47113</v>
      </c>
      <c r="L11509">
        <v>13.29</v>
      </c>
      <c r="M11509">
        <v>32</v>
      </c>
      <c r="N11509">
        <v>0</v>
      </c>
      <c r="O11509">
        <v>32</v>
      </c>
      <c r="P11509">
        <v>0</v>
      </c>
    </row>
    <row r="11510" spans="1:16" x14ac:dyDescent="0.25">
      <c r="A11510" t="s">
        <v>34281</v>
      </c>
      <c r="B11510" t="s">
        <v>8693</v>
      </c>
      <c r="C11510" t="s">
        <v>8694</v>
      </c>
      <c r="D11510" t="str">
        <f>"1740"</f>
        <v>1740</v>
      </c>
      <c r="E11510" t="s">
        <v>2747</v>
      </c>
      <c r="F11510" t="s">
        <v>7</v>
      </c>
      <c r="G11510" t="s">
        <v>16221</v>
      </c>
      <c r="H11510" t="s">
        <v>47054</v>
      </c>
      <c r="I11510" t="s">
        <v>47111</v>
      </c>
      <c r="J11510" t="s">
        <v>47112</v>
      </c>
      <c r="K11510" t="s">
        <v>47113</v>
      </c>
      <c r="L11510">
        <v>13.44</v>
      </c>
      <c r="M11510">
        <v>32</v>
      </c>
      <c r="N11510">
        <v>0</v>
      </c>
      <c r="O11510">
        <v>32</v>
      </c>
      <c r="P11510">
        <v>0</v>
      </c>
    </row>
    <row r="11511" spans="1:16" x14ac:dyDescent="0.25">
      <c r="A11511" t="s">
        <v>34282</v>
      </c>
      <c r="B11511" t="s">
        <v>8693</v>
      </c>
      <c r="C11511" t="s">
        <v>8694</v>
      </c>
      <c r="D11511" t="str">
        <f>"1746"</f>
        <v>1746</v>
      </c>
      <c r="E11511" t="s">
        <v>807</v>
      </c>
      <c r="F11511" t="s">
        <v>7</v>
      </c>
      <c r="G11511" t="s">
        <v>16221</v>
      </c>
      <c r="H11511" t="s">
        <v>47054</v>
      </c>
      <c r="I11511" t="s">
        <v>47111</v>
      </c>
      <c r="J11511" t="s">
        <v>47112</v>
      </c>
      <c r="K11511" t="s">
        <v>47113</v>
      </c>
      <c r="L11511">
        <v>11.31</v>
      </c>
      <c r="M11511">
        <v>27</v>
      </c>
      <c r="N11511">
        <v>0</v>
      </c>
      <c r="O11511">
        <v>27</v>
      </c>
      <c r="P11511">
        <v>0</v>
      </c>
    </row>
    <row r="11512" spans="1:16" x14ac:dyDescent="0.25">
      <c r="A11512" t="s">
        <v>34283</v>
      </c>
      <c r="B11512" t="s">
        <v>8693</v>
      </c>
      <c r="C11512" t="s">
        <v>8694</v>
      </c>
      <c r="D11512" t="str">
        <f>"3022"</f>
        <v>3022</v>
      </c>
      <c r="E11512" t="s">
        <v>7476</v>
      </c>
      <c r="F11512" t="s">
        <v>7</v>
      </c>
      <c r="G11512" t="s">
        <v>16221</v>
      </c>
      <c r="H11512" t="s">
        <v>47054</v>
      </c>
      <c r="I11512" t="s">
        <v>47114</v>
      </c>
      <c r="J11512" t="s">
        <v>47115</v>
      </c>
      <c r="K11512" t="s">
        <v>47113</v>
      </c>
      <c r="L11512">
        <v>13.29</v>
      </c>
      <c r="M11512">
        <v>32</v>
      </c>
      <c r="N11512">
        <v>0</v>
      </c>
      <c r="O11512">
        <v>32</v>
      </c>
      <c r="P11512">
        <v>0</v>
      </c>
    </row>
    <row r="11513" spans="1:16" x14ac:dyDescent="0.25">
      <c r="A11513" t="s">
        <v>34284</v>
      </c>
      <c r="B11513" t="s">
        <v>8693</v>
      </c>
      <c r="C11513" t="s">
        <v>8694</v>
      </c>
      <c r="D11513" t="str">
        <f>"4130"</f>
        <v>4130</v>
      </c>
      <c r="E11513" t="s">
        <v>2374</v>
      </c>
      <c r="F11513" t="s">
        <v>7</v>
      </c>
      <c r="G11513" t="s">
        <v>16221</v>
      </c>
      <c r="H11513" t="s">
        <v>47054</v>
      </c>
      <c r="I11513" t="s">
        <v>47111</v>
      </c>
      <c r="J11513" t="s">
        <v>47112</v>
      </c>
      <c r="K11513" t="s">
        <v>47113</v>
      </c>
      <c r="L11513">
        <v>13.29</v>
      </c>
      <c r="M11513">
        <v>32</v>
      </c>
      <c r="N11513">
        <v>0</v>
      </c>
      <c r="O11513">
        <v>32</v>
      </c>
      <c r="P11513">
        <v>0</v>
      </c>
    </row>
    <row r="11514" spans="1:16" x14ac:dyDescent="0.25">
      <c r="A11514" t="s">
        <v>34285</v>
      </c>
      <c r="B11514" t="s">
        <v>8693</v>
      </c>
      <c r="C11514" t="s">
        <v>8694</v>
      </c>
      <c r="D11514" t="str">
        <f>"6036"</f>
        <v>6036</v>
      </c>
      <c r="E11514" t="s">
        <v>7703</v>
      </c>
      <c r="F11514" t="s">
        <v>7</v>
      </c>
      <c r="G11514" t="s">
        <v>16221</v>
      </c>
      <c r="H11514" t="s">
        <v>47054</v>
      </c>
      <c r="I11514" t="s">
        <v>47111</v>
      </c>
      <c r="J11514" t="s">
        <v>47112</v>
      </c>
      <c r="K11514" t="s">
        <v>47113</v>
      </c>
      <c r="L11514">
        <v>13.29</v>
      </c>
      <c r="M11514">
        <v>32</v>
      </c>
      <c r="N11514">
        <v>0</v>
      </c>
      <c r="O11514">
        <v>32</v>
      </c>
      <c r="P11514">
        <v>0</v>
      </c>
    </row>
    <row r="11515" spans="1:16" x14ac:dyDescent="0.25">
      <c r="A11515" t="s">
        <v>34286</v>
      </c>
      <c r="B11515" t="s">
        <v>8695</v>
      </c>
      <c r="C11515" t="s">
        <v>8696</v>
      </c>
      <c r="D11515" t="str">
        <f>"1035"</f>
        <v>1035</v>
      </c>
      <c r="E11515" t="s">
        <v>758</v>
      </c>
      <c r="F11515" t="s">
        <v>1</v>
      </c>
      <c r="G11515" t="s">
        <v>16221</v>
      </c>
      <c r="H11515" t="s">
        <v>47054</v>
      </c>
      <c r="I11515" t="s">
        <v>47111</v>
      </c>
      <c r="J11515" t="s">
        <v>47112</v>
      </c>
      <c r="K11515" t="s">
        <v>47113</v>
      </c>
      <c r="L11515">
        <v>9.0299999999999994</v>
      </c>
      <c r="M11515">
        <v>22</v>
      </c>
      <c r="N11515">
        <v>0</v>
      </c>
      <c r="O11515">
        <v>22</v>
      </c>
      <c r="P11515">
        <v>0</v>
      </c>
    </row>
    <row r="11516" spans="1:16" x14ac:dyDescent="0.25">
      <c r="A11516" t="s">
        <v>34287</v>
      </c>
      <c r="B11516" t="s">
        <v>8697</v>
      </c>
      <c r="C11516" t="s">
        <v>8698</v>
      </c>
      <c r="D11516" t="str">
        <f>"1746"</f>
        <v>1746</v>
      </c>
      <c r="E11516" t="s">
        <v>807</v>
      </c>
      <c r="F11516" t="s">
        <v>2068</v>
      </c>
      <c r="G11516" t="s">
        <v>16221</v>
      </c>
      <c r="H11516" t="s">
        <v>47054</v>
      </c>
      <c r="I11516" t="s">
        <v>47111</v>
      </c>
      <c r="J11516" t="s">
        <v>47112</v>
      </c>
      <c r="K11516" t="s">
        <v>47113</v>
      </c>
      <c r="L11516">
        <v>11.91</v>
      </c>
      <c r="M11516">
        <v>26</v>
      </c>
      <c r="N11516">
        <v>0</v>
      </c>
      <c r="O11516">
        <v>26</v>
      </c>
      <c r="P11516">
        <v>0</v>
      </c>
    </row>
    <row r="11517" spans="1:16" x14ac:dyDescent="0.25">
      <c r="A11517" t="s">
        <v>34288</v>
      </c>
      <c r="B11517" t="s">
        <v>8699</v>
      </c>
      <c r="C11517" t="s">
        <v>8700</v>
      </c>
      <c r="D11517" t="str">
        <f>"1746"</f>
        <v>1746</v>
      </c>
      <c r="E11517" t="s">
        <v>807</v>
      </c>
      <c r="F11517" t="s">
        <v>1</v>
      </c>
      <c r="G11517" t="s">
        <v>16221</v>
      </c>
      <c r="H11517" t="s">
        <v>47054</v>
      </c>
      <c r="I11517" t="s">
        <v>47111</v>
      </c>
      <c r="J11517" t="s">
        <v>47112</v>
      </c>
      <c r="K11517" t="s">
        <v>47113</v>
      </c>
      <c r="L11517">
        <v>11.35</v>
      </c>
      <c r="M11517">
        <v>28</v>
      </c>
      <c r="N11517">
        <v>0</v>
      </c>
      <c r="O11517">
        <v>28</v>
      </c>
      <c r="P11517">
        <v>0</v>
      </c>
    </row>
    <row r="11518" spans="1:16" x14ac:dyDescent="0.25">
      <c r="A11518" t="s">
        <v>34289</v>
      </c>
      <c r="B11518" t="s">
        <v>8701</v>
      </c>
      <c r="C11518" t="s">
        <v>8702</v>
      </c>
      <c r="D11518" t="str">
        <f>"1035"</f>
        <v>1035</v>
      </c>
      <c r="E11518" t="s">
        <v>758</v>
      </c>
      <c r="F11518" t="s">
        <v>1</v>
      </c>
      <c r="G11518" t="s">
        <v>16221</v>
      </c>
      <c r="H11518" t="s">
        <v>47054</v>
      </c>
      <c r="I11518" t="s">
        <v>47111</v>
      </c>
      <c r="J11518" t="s">
        <v>47112</v>
      </c>
      <c r="K11518" t="s">
        <v>47113</v>
      </c>
      <c r="L11518">
        <v>9.0299999999999994</v>
      </c>
      <c r="M11518">
        <v>22</v>
      </c>
      <c r="N11518">
        <v>0</v>
      </c>
      <c r="O11518">
        <v>22</v>
      </c>
      <c r="P11518">
        <v>0</v>
      </c>
    </row>
    <row r="11519" spans="1:16" x14ac:dyDescent="0.25">
      <c r="A11519" t="s">
        <v>34290</v>
      </c>
      <c r="B11519" t="s">
        <v>8701</v>
      </c>
      <c r="C11519" t="s">
        <v>8702</v>
      </c>
      <c r="D11519" t="str">
        <f>"1746"</f>
        <v>1746</v>
      </c>
      <c r="E11519" t="s">
        <v>807</v>
      </c>
      <c r="F11519" t="s">
        <v>1</v>
      </c>
      <c r="G11519" t="s">
        <v>16221</v>
      </c>
      <c r="H11519" t="s">
        <v>47054</v>
      </c>
      <c r="I11519" t="s">
        <v>47111</v>
      </c>
      <c r="J11519" t="s">
        <v>47112</v>
      </c>
      <c r="K11519" t="s">
        <v>47113</v>
      </c>
      <c r="L11519">
        <v>9.0299999999999994</v>
      </c>
      <c r="M11519">
        <v>22</v>
      </c>
      <c r="N11519">
        <v>0</v>
      </c>
      <c r="O11519">
        <v>22</v>
      </c>
      <c r="P11519">
        <v>0</v>
      </c>
    </row>
    <row r="11520" spans="1:16" x14ac:dyDescent="0.25">
      <c r="A11520" t="s">
        <v>34291</v>
      </c>
      <c r="B11520" t="s">
        <v>8703</v>
      </c>
      <c r="C11520" t="s">
        <v>8704</v>
      </c>
      <c r="D11520" t="str">
        <f>"1113"</f>
        <v>1113</v>
      </c>
      <c r="E11520" t="s">
        <v>6443</v>
      </c>
      <c r="F11520" t="s">
        <v>1</v>
      </c>
      <c r="G11520" t="s">
        <v>16221</v>
      </c>
      <c r="H11520" t="s">
        <v>47054</v>
      </c>
      <c r="I11520" t="s">
        <v>47111</v>
      </c>
      <c r="J11520" t="s">
        <v>47112</v>
      </c>
      <c r="K11520" t="s">
        <v>47113</v>
      </c>
      <c r="L11520">
        <v>11.59</v>
      </c>
      <c r="M11520">
        <v>28</v>
      </c>
      <c r="N11520">
        <v>0</v>
      </c>
      <c r="O11520">
        <v>28</v>
      </c>
      <c r="P11520">
        <v>0</v>
      </c>
    </row>
    <row r="11521" spans="1:16" x14ac:dyDescent="0.25">
      <c r="A11521" t="s">
        <v>34292</v>
      </c>
      <c r="B11521" t="s">
        <v>8705</v>
      </c>
      <c r="C11521" t="s">
        <v>8706</v>
      </c>
      <c r="D11521" t="str">
        <f>"1113"</f>
        <v>1113</v>
      </c>
      <c r="E11521" t="s">
        <v>6443</v>
      </c>
      <c r="F11521" t="s">
        <v>1</v>
      </c>
      <c r="G11521" t="s">
        <v>16221</v>
      </c>
      <c r="H11521" t="s">
        <v>47054</v>
      </c>
      <c r="I11521" t="s">
        <v>47111</v>
      </c>
      <c r="J11521" t="s">
        <v>47112</v>
      </c>
      <c r="K11521" t="s">
        <v>47113</v>
      </c>
      <c r="L11521">
        <v>11.59</v>
      </c>
      <c r="M11521">
        <v>28</v>
      </c>
      <c r="N11521">
        <v>0</v>
      </c>
      <c r="O11521">
        <v>28</v>
      </c>
      <c r="P11521">
        <v>0</v>
      </c>
    </row>
    <row r="11522" spans="1:16" x14ac:dyDescent="0.25">
      <c r="A11522" t="s">
        <v>34293</v>
      </c>
      <c r="B11522" t="s">
        <v>8707</v>
      </c>
      <c r="C11522" t="s">
        <v>8708</v>
      </c>
      <c r="D11522" t="str">
        <f>"1746"</f>
        <v>1746</v>
      </c>
      <c r="E11522" t="s">
        <v>807</v>
      </c>
      <c r="F11522" t="s">
        <v>1</v>
      </c>
      <c r="G11522" t="s">
        <v>16221</v>
      </c>
      <c r="H11522" t="s">
        <v>47054</v>
      </c>
      <c r="I11522" t="s">
        <v>47111</v>
      </c>
      <c r="J11522" t="s">
        <v>47112</v>
      </c>
      <c r="K11522" t="s">
        <v>47113</v>
      </c>
      <c r="L11522">
        <v>11.59</v>
      </c>
      <c r="M11522">
        <v>28</v>
      </c>
      <c r="N11522">
        <v>0</v>
      </c>
      <c r="O11522">
        <v>28</v>
      </c>
      <c r="P11522">
        <v>0</v>
      </c>
    </row>
    <row r="11523" spans="1:16" x14ac:dyDescent="0.25">
      <c r="A11523" t="s">
        <v>34294</v>
      </c>
      <c r="B11523" t="s">
        <v>8709</v>
      </c>
      <c r="C11523" t="s">
        <v>8710</v>
      </c>
      <c r="D11523" t="str">
        <f>"1035"</f>
        <v>1035</v>
      </c>
      <c r="E11523" t="s">
        <v>758</v>
      </c>
      <c r="F11523" t="s">
        <v>1</v>
      </c>
      <c r="G11523" t="s">
        <v>16221</v>
      </c>
      <c r="H11523" t="s">
        <v>47054</v>
      </c>
      <c r="I11523" t="s">
        <v>47111</v>
      </c>
      <c r="J11523" t="s">
        <v>47112</v>
      </c>
      <c r="K11523" t="s">
        <v>47113</v>
      </c>
      <c r="L11523">
        <v>11.59</v>
      </c>
      <c r="M11523">
        <v>28</v>
      </c>
      <c r="N11523">
        <v>0</v>
      </c>
      <c r="O11523">
        <v>28</v>
      </c>
      <c r="P11523">
        <v>0</v>
      </c>
    </row>
    <row r="11524" spans="1:16" x14ac:dyDescent="0.25">
      <c r="A11524" t="s">
        <v>34295</v>
      </c>
      <c r="B11524" t="s">
        <v>8711</v>
      </c>
      <c r="C11524" t="s">
        <v>8712</v>
      </c>
      <c r="D11524" t="str">
        <f>"1035"</f>
        <v>1035</v>
      </c>
      <c r="E11524" t="s">
        <v>758</v>
      </c>
      <c r="F11524" t="s">
        <v>2068</v>
      </c>
      <c r="G11524" t="s">
        <v>16221</v>
      </c>
      <c r="H11524" t="s">
        <v>47054</v>
      </c>
      <c r="I11524" t="s">
        <v>47111</v>
      </c>
      <c r="J11524" t="s">
        <v>47112</v>
      </c>
      <c r="K11524" t="s">
        <v>47113</v>
      </c>
      <c r="L11524">
        <v>11.69</v>
      </c>
      <c r="M11524">
        <v>26</v>
      </c>
      <c r="N11524">
        <v>0</v>
      </c>
      <c r="O11524">
        <v>26</v>
      </c>
      <c r="P11524">
        <v>0</v>
      </c>
    </row>
    <row r="11525" spans="1:16" x14ac:dyDescent="0.25">
      <c r="A11525" t="s">
        <v>34296</v>
      </c>
      <c r="B11525" t="s">
        <v>8711</v>
      </c>
      <c r="C11525" t="s">
        <v>8712</v>
      </c>
      <c r="D11525" t="str">
        <f>"3519"</f>
        <v>3519</v>
      </c>
      <c r="E11525" t="s">
        <v>8713</v>
      </c>
      <c r="F11525" t="s">
        <v>2068</v>
      </c>
      <c r="G11525" t="s">
        <v>16221</v>
      </c>
      <c r="H11525" t="s">
        <v>47054</v>
      </c>
      <c r="I11525" t="s">
        <v>47111</v>
      </c>
      <c r="J11525" t="s">
        <v>47112</v>
      </c>
      <c r="K11525" t="s">
        <v>47113</v>
      </c>
      <c r="L11525">
        <v>11.69</v>
      </c>
      <c r="M11525">
        <v>26</v>
      </c>
      <c r="N11525">
        <v>0</v>
      </c>
      <c r="O11525">
        <v>26</v>
      </c>
      <c r="P11525">
        <v>0</v>
      </c>
    </row>
    <row r="11526" spans="1:16" x14ac:dyDescent="0.25">
      <c r="A11526" t="s">
        <v>34297</v>
      </c>
      <c r="B11526" t="s">
        <v>8714</v>
      </c>
      <c r="C11526" t="s">
        <v>8715</v>
      </c>
      <c r="D11526" t="str">
        <f>"4788"</f>
        <v>4788</v>
      </c>
      <c r="E11526" t="s">
        <v>8716</v>
      </c>
      <c r="F11526" t="s">
        <v>2068</v>
      </c>
      <c r="G11526" t="s">
        <v>16221</v>
      </c>
      <c r="H11526" t="s">
        <v>47054</v>
      </c>
      <c r="I11526" t="s">
        <v>47111</v>
      </c>
      <c r="J11526" t="s">
        <v>47112</v>
      </c>
      <c r="K11526" t="s">
        <v>47113</v>
      </c>
      <c r="L11526">
        <v>11.69</v>
      </c>
      <c r="M11526">
        <v>26</v>
      </c>
      <c r="N11526">
        <v>0</v>
      </c>
      <c r="O11526">
        <v>26</v>
      </c>
      <c r="P11526">
        <v>0</v>
      </c>
    </row>
    <row r="11527" spans="1:16" x14ac:dyDescent="0.25">
      <c r="A11527" t="s">
        <v>34298</v>
      </c>
      <c r="B11527" t="s">
        <v>8717</v>
      </c>
      <c r="C11527" t="s">
        <v>8718</v>
      </c>
      <c r="D11527" t="str">
        <f>"1035"</f>
        <v>1035</v>
      </c>
      <c r="E11527" t="s">
        <v>758</v>
      </c>
      <c r="F11527" t="s">
        <v>2068</v>
      </c>
      <c r="G11527" t="s">
        <v>16221</v>
      </c>
      <c r="H11527" t="s">
        <v>47054</v>
      </c>
      <c r="I11527" t="s">
        <v>47111</v>
      </c>
      <c r="J11527" t="s">
        <v>47112</v>
      </c>
      <c r="K11527" t="s">
        <v>47113</v>
      </c>
      <c r="L11527">
        <v>11.69</v>
      </c>
      <c r="M11527">
        <v>26</v>
      </c>
      <c r="N11527">
        <v>0</v>
      </c>
      <c r="O11527">
        <v>26</v>
      </c>
      <c r="P11527">
        <v>0</v>
      </c>
    </row>
    <row r="11528" spans="1:16" x14ac:dyDescent="0.25">
      <c r="A11528" t="s">
        <v>34299</v>
      </c>
      <c r="B11528" t="s">
        <v>8719</v>
      </c>
      <c r="C11528" t="s">
        <v>8720</v>
      </c>
      <c r="D11528" t="str">
        <f>"1035"</f>
        <v>1035</v>
      </c>
      <c r="E11528" t="s">
        <v>758</v>
      </c>
      <c r="F11528" t="s">
        <v>2068</v>
      </c>
      <c r="G11528" t="s">
        <v>16221</v>
      </c>
      <c r="H11528" t="s">
        <v>47054</v>
      </c>
      <c r="I11528" t="s">
        <v>47111</v>
      </c>
      <c r="J11528" t="s">
        <v>47112</v>
      </c>
      <c r="K11528" t="s">
        <v>47113</v>
      </c>
      <c r="L11528">
        <v>11.69</v>
      </c>
      <c r="M11528">
        <v>26</v>
      </c>
      <c r="N11528">
        <v>0</v>
      </c>
      <c r="O11528">
        <v>26</v>
      </c>
      <c r="P11528">
        <v>0</v>
      </c>
    </row>
    <row r="11529" spans="1:16" x14ac:dyDescent="0.25">
      <c r="A11529" t="s">
        <v>34300</v>
      </c>
      <c r="B11529" t="s">
        <v>8721</v>
      </c>
      <c r="C11529" t="s">
        <v>8722</v>
      </c>
      <c r="D11529" t="str">
        <f>"6480"</f>
        <v>6480</v>
      </c>
      <c r="E11529" t="s">
        <v>5969</v>
      </c>
      <c r="F11529" t="s">
        <v>2068</v>
      </c>
      <c r="G11529" t="s">
        <v>16221</v>
      </c>
      <c r="H11529" t="s">
        <v>47054</v>
      </c>
      <c r="I11529" t="s">
        <v>47111</v>
      </c>
      <c r="J11529" t="s">
        <v>47112</v>
      </c>
      <c r="K11529" t="s">
        <v>47113</v>
      </c>
      <c r="L11529">
        <v>12.54</v>
      </c>
      <c r="M11529">
        <v>26</v>
      </c>
      <c r="N11529">
        <v>0</v>
      </c>
      <c r="O11529">
        <v>26</v>
      </c>
      <c r="P11529">
        <v>0</v>
      </c>
    </row>
    <row r="11530" spans="1:16" x14ac:dyDescent="0.25">
      <c r="A11530" t="s">
        <v>34301</v>
      </c>
      <c r="B11530" t="s">
        <v>8721</v>
      </c>
      <c r="C11530" t="s">
        <v>8722</v>
      </c>
      <c r="D11530" t="str">
        <f>"7023"</f>
        <v>7023</v>
      </c>
      <c r="E11530" t="s">
        <v>5863</v>
      </c>
      <c r="F11530" t="s">
        <v>2068</v>
      </c>
      <c r="G11530" t="s">
        <v>16221</v>
      </c>
      <c r="H11530" t="s">
        <v>47054</v>
      </c>
      <c r="I11530" t="s">
        <v>47111</v>
      </c>
      <c r="J11530" t="s">
        <v>47112</v>
      </c>
      <c r="K11530" t="s">
        <v>47113</v>
      </c>
      <c r="L11530">
        <v>12.54</v>
      </c>
      <c r="M11530">
        <v>26</v>
      </c>
      <c r="N11530">
        <v>0</v>
      </c>
      <c r="O11530">
        <v>26</v>
      </c>
      <c r="P11530">
        <v>0</v>
      </c>
    </row>
    <row r="11531" spans="1:16" x14ac:dyDescent="0.25">
      <c r="A11531" t="s">
        <v>34302</v>
      </c>
      <c r="B11531" t="s">
        <v>8723</v>
      </c>
      <c r="C11531" t="s">
        <v>8724</v>
      </c>
      <c r="D11531" t="str">
        <f>"4044"</f>
        <v>4044</v>
      </c>
      <c r="E11531" t="s">
        <v>6023</v>
      </c>
      <c r="F11531" t="s">
        <v>2068</v>
      </c>
      <c r="G11531" t="s">
        <v>16221</v>
      </c>
      <c r="H11531" t="s">
        <v>47054</v>
      </c>
      <c r="I11531" t="s">
        <v>47111</v>
      </c>
      <c r="J11531" t="s">
        <v>47112</v>
      </c>
      <c r="K11531" t="s">
        <v>47113</v>
      </c>
      <c r="L11531">
        <v>11.69</v>
      </c>
      <c r="M11531">
        <v>26</v>
      </c>
      <c r="N11531">
        <v>0</v>
      </c>
      <c r="O11531">
        <v>26</v>
      </c>
      <c r="P11531">
        <v>0</v>
      </c>
    </row>
    <row r="11532" spans="1:16" x14ac:dyDescent="0.25">
      <c r="A11532" t="s">
        <v>14982</v>
      </c>
      <c r="B11532" t="s">
        <v>8725</v>
      </c>
      <c r="C11532" t="s">
        <v>8726</v>
      </c>
      <c r="D11532" t="str">
        <f>"3519"</f>
        <v>3519</v>
      </c>
      <c r="E11532" t="s">
        <v>8713</v>
      </c>
      <c r="F11532" t="s">
        <v>2068</v>
      </c>
      <c r="G11532" t="s">
        <v>16221</v>
      </c>
      <c r="H11532" t="s">
        <v>47054</v>
      </c>
      <c r="I11532" t="s">
        <v>47111</v>
      </c>
      <c r="J11532" t="s">
        <v>47112</v>
      </c>
      <c r="K11532" t="s">
        <v>47113</v>
      </c>
      <c r="L11532">
        <v>11.69</v>
      </c>
      <c r="M11532">
        <v>26</v>
      </c>
      <c r="N11532">
        <v>0</v>
      </c>
      <c r="O11532">
        <v>26</v>
      </c>
      <c r="P11532">
        <v>0</v>
      </c>
    </row>
    <row r="11533" spans="1:16" x14ac:dyDescent="0.25">
      <c r="A11533" t="s">
        <v>34303</v>
      </c>
      <c r="B11533" t="s">
        <v>8727</v>
      </c>
      <c r="C11533" t="s">
        <v>8728</v>
      </c>
      <c r="D11533" t="str">
        <f>"1461"</f>
        <v>1461</v>
      </c>
      <c r="E11533" t="s">
        <v>5968</v>
      </c>
      <c r="F11533" t="s">
        <v>2068</v>
      </c>
      <c r="G11533" t="s">
        <v>16221</v>
      </c>
      <c r="H11533" t="s">
        <v>47054</v>
      </c>
      <c r="I11533" t="s">
        <v>47111</v>
      </c>
      <c r="J11533" t="s">
        <v>47112</v>
      </c>
      <c r="K11533" t="s">
        <v>47113</v>
      </c>
      <c r="L11533">
        <v>11.69</v>
      </c>
      <c r="M11533">
        <v>26</v>
      </c>
      <c r="N11533">
        <v>0</v>
      </c>
      <c r="O11533">
        <v>26</v>
      </c>
      <c r="P11533">
        <v>0</v>
      </c>
    </row>
    <row r="11534" spans="1:16" x14ac:dyDescent="0.25">
      <c r="A11534" t="s">
        <v>14983</v>
      </c>
      <c r="B11534" t="s">
        <v>8727</v>
      </c>
      <c r="C11534" t="s">
        <v>8728</v>
      </c>
      <c r="D11534" t="str">
        <f>"1746"</f>
        <v>1746</v>
      </c>
      <c r="E11534" t="s">
        <v>807</v>
      </c>
      <c r="F11534" t="s">
        <v>2068</v>
      </c>
      <c r="G11534" t="s">
        <v>16221</v>
      </c>
      <c r="H11534" t="s">
        <v>47054</v>
      </c>
      <c r="I11534" t="s">
        <v>47111</v>
      </c>
      <c r="J11534" t="s">
        <v>47112</v>
      </c>
      <c r="K11534" t="s">
        <v>47113</v>
      </c>
      <c r="L11534">
        <v>11.69</v>
      </c>
      <c r="M11534">
        <v>26</v>
      </c>
      <c r="N11534">
        <v>0</v>
      </c>
      <c r="O11534">
        <v>26</v>
      </c>
      <c r="P11534">
        <v>0</v>
      </c>
    </row>
    <row r="11535" spans="1:16" x14ac:dyDescent="0.25">
      <c r="A11535" t="s">
        <v>34304</v>
      </c>
      <c r="B11535" t="s">
        <v>8729</v>
      </c>
      <c r="C11535" t="s">
        <v>8730</v>
      </c>
      <c r="D11535" t="str">
        <f>"1035"</f>
        <v>1035</v>
      </c>
      <c r="E11535" t="s">
        <v>758</v>
      </c>
      <c r="F11535" t="s">
        <v>2068</v>
      </c>
      <c r="G11535" t="s">
        <v>16221</v>
      </c>
      <c r="H11535" t="s">
        <v>47054</v>
      </c>
      <c r="I11535" t="s">
        <v>47111</v>
      </c>
      <c r="J11535" t="s">
        <v>47112</v>
      </c>
      <c r="K11535" t="s">
        <v>47113</v>
      </c>
      <c r="L11535">
        <v>11.69</v>
      </c>
      <c r="M11535">
        <v>26</v>
      </c>
      <c r="N11535">
        <v>0</v>
      </c>
      <c r="O11535">
        <v>26</v>
      </c>
      <c r="P11535">
        <v>0</v>
      </c>
    </row>
    <row r="11536" spans="1:16" x14ac:dyDescent="0.25">
      <c r="A11536" t="s">
        <v>34305</v>
      </c>
      <c r="B11536" t="s">
        <v>8729</v>
      </c>
      <c r="C11536" t="s">
        <v>8730</v>
      </c>
      <c r="D11536" t="str">
        <f>"1746"</f>
        <v>1746</v>
      </c>
      <c r="E11536" t="s">
        <v>807</v>
      </c>
      <c r="F11536" t="s">
        <v>2068</v>
      </c>
      <c r="G11536" t="s">
        <v>16221</v>
      </c>
      <c r="H11536" t="s">
        <v>47054</v>
      </c>
      <c r="I11536" t="s">
        <v>47111</v>
      </c>
      <c r="J11536" t="s">
        <v>47112</v>
      </c>
      <c r="K11536" t="s">
        <v>47113</v>
      </c>
      <c r="L11536">
        <v>11.46</v>
      </c>
      <c r="M11536">
        <v>26</v>
      </c>
      <c r="N11536">
        <v>0</v>
      </c>
      <c r="O11536">
        <v>26</v>
      </c>
      <c r="P11536">
        <v>0</v>
      </c>
    </row>
    <row r="11537" spans="1:16" x14ac:dyDescent="0.25">
      <c r="A11537" t="s">
        <v>34306</v>
      </c>
      <c r="B11537" t="s">
        <v>8731</v>
      </c>
      <c r="C11537" t="s">
        <v>8732</v>
      </c>
      <c r="D11537" t="str">
        <f>"1035"</f>
        <v>1035</v>
      </c>
      <c r="E11537" t="s">
        <v>758</v>
      </c>
      <c r="F11537" t="s">
        <v>2068</v>
      </c>
      <c r="G11537" t="s">
        <v>16221</v>
      </c>
      <c r="H11537" t="s">
        <v>47054</v>
      </c>
      <c r="I11537" t="s">
        <v>47111</v>
      </c>
      <c r="J11537" t="s">
        <v>47112</v>
      </c>
      <c r="K11537" t="s">
        <v>47113</v>
      </c>
      <c r="L11537">
        <v>11.69</v>
      </c>
      <c r="M11537">
        <v>26</v>
      </c>
      <c r="N11537">
        <v>0</v>
      </c>
      <c r="O11537">
        <v>26</v>
      </c>
      <c r="P11537">
        <v>0</v>
      </c>
    </row>
    <row r="11538" spans="1:16" x14ac:dyDescent="0.25">
      <c r="A11538" t="s">
        <v>14984</v>
      </c>
      <c r="B11538" t="s">
        <v>8731</v>
      </c>
      <c r="C11538" t="s">
        <v>8732</v>
      </c>
      <c r="D11538" t="str">
        <f>"1746"</f>
        <v>1746</v>
      </c>
      <c r="E11538" t="s">
        <v>807</v>
      </c>
      <c r="F11538" t="s">
        <v>2068</v>
      </c>
      <c r="G11538" t="s">
        <v>16221</v>
      </c>
      <c r="H11538" t="s">
        <v>47054</v>
      </c>
      <c r="I11538" t="s">
        <v>47111</v>
      </c>
      <c r="J11538" t="s">
        <v>47112</v>
      </c>
      <c r="K11538" t="s">
        <v>47113</v>
      </c>
      <c r="L11538">
        <v>11.46</v>
      </c>
      <c r="M11538">
        <v>26</v>
      </c>
      <c r="N11538">
        <v>0</v>
      </c>
      <c r="O11538">
        <v>26</v>
      </c>
      <c r="P11538">
        <v>0</v>
      </c>
    </row>
    <row r="11539" spans="1:16" x14ac:dyDescent="0.25">
      <c r="A11539" t="s">
        <v>34307</v>
      </c>
      <c r="B11539" t="s">
        <v>8733</v>
      </c>
      <c r="C11539" t="s">
        <v>8734</v>
      </c>
      <c r="D11539" t="str">
        <f>"1001"</f>
        <v>1001</v>
      </c>
      <c r="E11539" t="s">
        <v>8735</v>
      </c>
      <c r="F11539" t="s">
        <v>3546</v>
      </c>
      <c r="G11539" t="s">
        <v>16221</v>
      </c>
      <c r="H11539" t="s">
        <v>47054</v>
      </c>
      <c r="I11539" t="s">
        <v>47111</v>
      </c>
      <c r="J11539" t="s">
        <v>47112</v>
      </c>
      <c r="K11539" t="s">
        <v>47113</v>
      </c>
      <c r="L11539">
        <v>12.75</v>
      </c>
      <c r="M11539">
        <v>25</v>
      </c>
      <c r="N11539">
        <v>0</v>
      </c>
      <c r="O11539">
        <v>25</v>
      </c>
      <c r="P11539">
        <v>0</v>
      </c>
    </row>
    <row r="11540" spans="1:16" x14ac:dyDescent="0.25">
      <c r="A11540" t="s">
        <v>34308</v>
      </c>
      <c r="B11540" t="s">
        <v>8736</v>
      </c>
      <c r="C11540" t="s">
        <v>8737</v>
      </c>
      <c r="D11540" t="str">
        <f>"1035"</f>
        <v>1035</v>
      </c>
      <c r="E11540" t="s">
        <v>758</v>
      </c>
      <c r="F11540" t="s">
        <v>3546</v>
      </c>
      <c r="G11540" t="s">
        <v>16221</v>
      </c>
      <c r="H11540" t="s">
        <v>47054</v>
      </c>
      <c r="I11540" t="s">
        <v>47111</v>
      </c>
      <c r="J11540" t="s">
        <v>47112</v>
      </c>
      <c r="K11540" t="s">
        <v>47113</v>
      </c>
      <c r="L11540">
        <v>12.31</v>
      </c>
      <c r="M11540">
        <v>30</v>
      </c>
      <c r="N11540">
        <v>0</v>
      </c>
      <c r="O11540">
        <v>30</v>
      </c>
      <c r="P11540">
        <v>0</v>
      </c>
    </row>
    <row r="11541" spans="1:16" x14ac:dyDescent="0.25">
      <c r="A11541" t="s">
        <v>34309</v>
      </c>
      <c r="B11541" t="s">
        <v>8738</v>
      </c>
      <c r="C11541" t="s">
        <v>8739</v>
      </c>
      <c r="D11541" t="str">
        <f>"4911"</f>
        <v>4911</v>
      </c>
      <c r="E11541" t="s">
        <v>8740</v>
      </c>
      <c r="F11541" t="s">
        <v>3546</v>
      </c>
      <c r="G11541" t="s">
        <v>16221</v>
      </c>
      <c r="H11541" t="s">
        <v>47054</v>
      </c>
      <c r="I11541" t="s">
        <v>47111</v>
      </c>
      <c r="J11541" t="s">
        <v>47112</v>
      </c>
      <c r="K11541" t="s">
        <v>47113</v>
      </c>
      <c r="L11541">
        <v>15.85</v>
      </c>
      <c r="M11541">
        <v>25</v>
      </c>
      <c r="N11541">
        <v>0</v>
      </c>
      <c r="O11541">
        <v>25</v>
      </c>
      <c r="P11541">
        <v>0</v>
      </c>
    </row>
    <row r="11542" spans="1:16" x14ac:dyDescent="0.25">
      <c r="A11542" t="s">
        <v>34310</v>
      </c>
      <c r="B11542" t="s">
        <v>8741</v>
      </c>
      <c r="C11542" t="s">
        <v>8742</v>
      </c>
      <c r="D11542" t="str">
        <f>"1035"</f>
        <v>1035</v>
      </c>
      <c r="E11542" t="s">
        <v>758</v>
      </c>
      <c r="F11542" t="s">
        <v>3546</v>
      </c>
      <c r="G11542" t="s">
        <v>16221</v>
      </c>
      <c r="H11542" t="s">
        <v>47054</v>
      </c>
      <c r="I11542" t="s">
        <v>47111</v>
      </c>
      <c r="J11542" t="s">
        <v>47112</v>
      </c>
      <c r="K11542" t="s">
        <v>47113</v>
      </c>
      <c r="L11542">
        <v>12.31</v>
      </c>
      <c r="M11542">
        <v>30</v>
      </c>
      <c r="N11542">
        <v>0</v>
      </c>
      <c r="O11542">
        <v>30</v>
      </c>
      <c r="P11542">
        <v>0</v>
      </c>
    </row>
    <row r="11543" spans="1:16" x14ac:dyDescent="0.25">
      <c r="A11543" t="s">
        <v>34311</v>
      </c>
      <c r="B11543" t="s">
        <v>8741</v>
      </c>
      <c r="C11543" t="s">
        <v>8742</v>
      </c>
      <c r="D11543" t="str">
        <f>"1794"</f>
        <v>1794</v>
      </c>
      <c r="E11543" t="s">
        <v>8743</v>
      </c>
      <c r="F11543" t="s">
        <v>3546</v>
      </c>
      <c r="G11543" t="s">
        <v>16221</v>
      </c>
      <c r="H11543" t="s">
        <v>47054</v>
      </c>
      <c r="I11543" t="s">
        <v>47111</v>
      </c>
      <c r="J11543" t="s">
        <v>47112</v>
      </c>
      <c r="K11543" t="s">
        <v>47113</v>
      </c>
      <c r="L11543">
        <v>12.31</v>
      </c>
      <c r="M11543">
        <v>30</v>
      </c>
      <c r="N11543">
        <v>0</v>
      </c>
      <c r="O11543">
        <v>30</v>
      </c>
      <c r="P11543">
        <v>0</v>
      </c>
    </row>
    <row r="11544" spans="1:16" x14ac:dyDescent="0.25">
      <c r="A11544" t="s">
        <v>34312</v>
      </c>
      <c r="B11544" t="s">
        <v>8744</v>
      </c>
      <c r="C11544" t="s">
        <v>8745</v>
      </c>
      <c r="D11544" t="str">
        <f>"1035"</f>
        <v>1035</v>
      </c>
      <c r="E11544" t="s">
        <v>758</v>
      </c>
      <c r="F11544" t="s">
        <v>2068</v>
      </c>
      <c r="G11544" t="s">
        <v>16221</v>
      </c>
      <c r="H11544" t="s">
        <v>47054</v>
      </c>
      <c r="I11544" t="s">
        <v>47569</v>
      </c>
      <c r="J11544" t="s">
        <v>47570</v>
      </c>
      <c r="K11544" t="s">
        <v>47113</v>
      </c>
      <c r="L11544">
        <v>6.04</v>
      </c>
      <c r="M11544">
        <v>26</v>
      </c>
      <c r="N11544">
        <v>0</v>
      </c>
      <c r="O11544">
        <v>26</v>
      </c>
      <c r="P11544">
        <v>0</v>
      </c>
    </row>
    <row r="11545" spans="1:16" x14ac:dyDescent="0.25">
      <c r="A11545" t="s">
        <v>34313</v>
      </c>
      <c r="B11545" t="s">
        <v>8744</v>
      </c>
      <c r="C11545" t="s">
        <v>8745</v>
      </c>
      <c r="D11545" t="str">
        <f>"1484"</f>
        <v>1484</v>
      </c>
      <c r="E11545" t="s">
        <v>5847</v>
      </c>
      <c r="F11545" t="s">
        <v>3546</v>
      </c>
      <c r="G11545" t="s">
        <v>16221</v>
      </c>
      <c r="H11545" t="s">
        <v>47054</v>
      </c>
      <c r="I11545" t="s">
        <v>47569</v>
      </c>
      <c r="J11545" t="s">
        <v>47570</v>
      </c>
      <c r="K11545" t="s">
        <v>47113</v>
      </c>
      <c r="L11545">
        <v>13.42</v>
      </c>
      <c r="M11545">
        <v>26</v>
      </c>
      <c r="N11545">
        <v>0</v>
      </c>
      <c r="O11545">
        <v>26</v>
      </c>
      <c r="P11545">
        <v>0</v>
      </c>
    </row>
    <row r="11546" spans="1:16" x14ac:dyDescent="0.25">
      <c r="A11546" t="s">
        <v>34314</v>
      </c>
      <c r="B11546" t="s">
        <v>8744</v>
      </c>
      <c r="C11546" t="s">
        <v>8745</v>
      </c>
      <c r="D11546" t="str">
        <f>"1746"</f>
        <v>1746</v>
      </c>
      <c r="E11546" t="s">
        <v>807</v>
      </c>
      <c r="F11546" t="s">
        <v>2068</v>
      </c>
      <c r="G11546" t="s">
        <v>16221</v>
      </c>
      <c r="H11546" t="s">
        <v>47054</v>
      </c>
      <c r="I11546" t="s">
        <v>47569</v>
      </c>
      <c r="J11546" t="s">
        <v>47570</v>
      </c>
      <c r="K11546" t="s">
        <v>47113</v>
      </c>
      <c r="L11546">
        <v>6.04</v>
      </c>
      <c r="M11546">
        <v>26</v>
      </c>
      <c r="N11546">
        <v>0</v>
      </c>
      <c r="O11546">
        <v>26</v>
      </c>
      <c r="P11546">
        <v>0</v>
      </c>
    </row>
    <row r="11547" spans="1:16" x14ac:dyDescent="0.25">
      <c r="A11547" t="s">
        <v>34315</v>
      </c>
      <c r="B11547" t="s">
        <v>8744</v>
      </c>
      <c r="C11547" t="s">
        <v>8745</v>
      </c>
      <c r="D11547" t="str">
        <f>"1794"</f>
        <v>1794</v>
      </c>
      <c r="E11547" t="s">
        <v>8743</v>
      </c>
      <c r="F11547" t="s">
        <v>3546</v>
      </c>
      <c r="G11547" t="s">
        <v>16221</v>
      </c>
      <c r="H11547" t="s">
        <v>47054</v>
      </c>
      <c r="I11547" t="s">
        <v>47569</v>
      </c>
      <c r="J11547" t="s">
        <v>47570</v>
      </c>
      <c r="K11547" t="s">
        <v>47113</v>
      </c>
      <c r="L11547">
        <v>13.42</v>
      </c>
      <c r="M11547">
        <v>26</v>
      </c>
      <c r="N11547">
        <v>0</v>
      </c>
      <c r="O11547">
        <v>26</v>
      </c>
      <c r="P11547">
        <v>0</v>
      </c>
    </row>
    <row r="11548" spans="1:16" x14ac:dyDescent="0.25">
      <c r="A11548" t="s">
        <v>34316</v>
      </c>
      <c r="B11548" t="s">
        <v>8744</v>
      </c>
      <c r="C11548" t="s">
        <v>8745</v>
      </c>
      <c r="D11548" t="str">
        <f>"4814"</f>
        <v>4814</v>
      </c>
      <c r="E11548" t="s">
        <v>6112</v>
      </c>
      <c r="F11548" t="s">
        <v>2068</v>
      </c>
      <c r="G11548" t="s">
        <v>16221</v>
      </c>
      <c r="H11548" t="s">
        <v>47054</v>
      </c>
      <c r="I11548" t="s">
        <v>47569</v>
      </c>
      <c r="J11548" t="s">
        <v>47570</v>
      </c>
      <c r="K11548" t="s">
        <v>47113</v>
      </c>
      <c r="L11548">
        <v>13.42</v>
      </c>
      <c r="M11548">
        <v>26</v>
      </c>
      <c r="N11548">
        <v>0</v>
      </c>
      <c r="O11548">
        <v>26</v>
      </c>
      <c r="P11548">
        <v>0</v>
      </c>
    </row>
    <row r="11549" spans="1:16" x14ac:dyDescent="0.25">
      <c r="A11549" t="s">
        <v>34317</v>
      </c>
      <c r="B11549" t="s">
        <v>8744</v>
      </c>
      <c r="C11549" t="s">
        <v>8745</v>
      </c>
      <c r="D11549" t="str">
        <f>"4912"</f>
        <v>4912</v>
      </c>
      <c r="E11549" t="s">
        <v>5875</v>
      </c>
      <c r="F11549" t="s">
        <v>3546</v>
      </c>
      <c r="G11549" t="s">
        <v>16221</v>
      </c>
      <c r="H11549" t="s">
        <v>47054</v>
      </c>
      <c r="I11549" t="s">
        <v>47569</v>
      </c>
      <c r="J11549" t="s">
        <v>47570</v>
      </c>
      <c r="K11549" t="s">
        <v>47113</v>
      </c>
      <c r="L11549">
        <v>13.42</v>
      </c>
      <c r="M11549">
        <v>26</v>
      </c>
      <c r="N11549">
        <v>0</v>
      </c>
      <c r="O11549">
        <v>26</v>
      </c>
      <c r="P11549">
        <v>0</v>
      </c>
    </row>
    <row r="11550" spans="1:16" x14ac:dyDescent="0.25">
      <c r="A11550" t="s">
        <v>34318</v>
      </c>
      <c r="B11550" t="s">
        <v>8744</v>
      </c>
      <c r="C11550" t="s">
        <v>8745</v>
      </c>
      <c r="D11550" t="str">
        <f>"6011"</f>
        <v>6011</v>
      </c>
      <c r="E11550" t="s">
        <v>8746</v>
      </c>
      <c r="F11550" t="s">
        <v>3546</v>
      </c>
      <c r="G11550" t="s">
        <v>16221</v>
      </c>
      <c r="H11550" t="s">
        <v>47054</v>
      </c>
      <c r="I11550" t="s">
        <v>47569</v>
      </c>
      <c r="J11550" t="s">
        <v>47570</v>
      </c>
      <c r="K11550" t="s">
        <v>47113</v>
      </c>
      <c r="L11550">
        <v>13.42</v>
      </c>
      <c r="M11550">
        <v>26</v>
      </c>
      <c r="N11550">
        <v>0</v>
      </c>
      <c r="O11550">
        <v>26</v>
      </c>
      <c r="P11550">
        <v>0</v>
      </c>
    </row>
    <row r="11551" spans="1:16" x14ac:dyDescent="0.25">
      <c r="A11551" t="s">
        <v>34319</v>
      </c>
      <c r="B11551" t="s">
        <v>8744</v>
      </c>
      <c r="C11551" t="s">
        <v>8745</v>
      </c>
      <c r="D11551" t="str">
        <f>"6035"</f>
        <v>6035</v>
      </c>
      <c r="E11551" t="s">
        <v>2598</v>
      </c>
      <c r="F11551" t="s">
        <v>2068</v>
      </c>
      <c r="G11551" t="s">
        <v>16221</v>
      </c>
      <c r="H11551" t="s">
        <v>47054</v>
      </c>
      <c r="I11551" t="s">
        <v>47569</v>
      </c>
      <c r="J11551" t="s">
        <v>47570</v>
      </c>
      <c r="K11551" t="s">
        <v>47113</v>
      </c>
      <c r="L11551">
        <v>13.42</v>
      </c>
      <c r="M11551">
        <v>26</v>
      </c>
      <c r="N11551">
        <v>0</v>
      </c>
      <c r="O11551">
        <v>26</v>
      </c>
      <c r="P11551">
        <v>0</v>
      </c>
    </row>
    <row r="11552" spans="1:16" x14ac:dyDescent="0.25">
      <c r="A11552" t="s">
        <v>34320</v>
      </c>
      <c r="B11552" t="s">
        <v>8747</v>
      </c>
      <c r="C11552" t="s">
        <v>8748</v>
      </c>
      <c r="D11552" t="str">
        <f>"1484"</f>
        <v>1484</v>
      </c>
      <c r="E11552" t="s">
        <v>5847</v>
      </c>
      <c r="F11552" t="s">
        <v>3546</v>
      </c>
      <c r="G11552" t="s">
        <v>16221</v>
      </c>
      <c r="H11552" t="s">
        <v>47054</v>
      </c>
      <c r="I11552" t="s">
        <v>47111</v>
      </c>
      <c r="J11552" t="s">
        <v>47112</v>
      </c>
      <c r="K11552" t="s">
        <v>47113</v>
      </c>
      <c r="L11552">
        <v>14.52</v>
      </c>
      <c r="M11552">
        <v>25</v>
      </c>
      <c r="N11552">
        <v>0</v>
      </c>
      <c r="O11552">
        <v>25</v>
      </c>
      <c r="P11552">
        <v>0</v>
      </c>
    </row>
    <row r="11553" spans="1:16" x14ac:dyDescent="0.25">
      <c r="A11553" t="s">
        <v>34321</v>
      </c>
      <c r="B11553" t="s">
        <v>8747</v>
      </c>
      <c r="C11553" t="s">
        <v>8748</v>
      </c>
      <c r="D11553" t="str">
        <f>"1486"</f>
        <v>1486</v>
      </c>
      <c r="E11553" t="s">
        <v>5878</v>
      </c>
      <c r="F11553" t="s">
        <v>3546</v>
      </c>
      <c r="G11553" t="s">
        <v>16221</v>
      </c>
      <c r="H11553" t="s">
        <v>47054</v>
      </c>
      <c r="I11553" t="s">
        <v>47111</v>
      </c>
      <c r="J11553" t="s">
        <v>47112</v>
      </c>
      <c r="K11553" t="s">
        <v>47113</v>
      </c>
      <c r="L11553">
        <v>14.52</v>
      </c>
      <c r="M11553">
        <v>25</v>
      </c>
      <c r="N11553">
        <v>0</v>
      </c>
      <c r="O11553">
        <v>25</v>
      </c>
      <c r="P11553">
        <v>0</v>
      </c>
    </row>
    <row r="11554" spans="1:16" x14ac:dyDescent="0.25">
      <c r="A11554" t="s">
        <v>34322</v>
      </c>
      <c r="B11554" t="s">
        <v>8747</v>
      </c>
      <c r="C11554" t="s">
        <v>8748</v>
      </c>
      <c r="D11554" t="str">
        <f>"1746"</f>
        <v>1746</v>
      </c>
      <c r="E11554" t="s">
        <v>807</v>
      </c>
      <c r="F11554" t="s">
        <v>3546</v>
      </c>
      <c r="G11554" t="s">
        <v>16221</v>
      </c>
      <c r="H11554" t="s">
        <v>47054</v>
      </c>
      <c r="I11554" t="s">
        <v>47111</v>
      </c>
      <c r="J11554" t="s">
        <v>47112</v>
      </c>
      <c r="K11554" t="s">
        <v>47113</v>
      </c>
      <c r="L11554">
        <v>14.52</v>
      </c>
      <c r="M11554">
        <v>25</v>
      </c>
      <c r="N11554">
        <v>0</v>
      </c>
      <c r="O11554">
        <v>25</v>
      </c>
      <c r="P11554">
        <v>0</v>
      </c>
    </row>
    <row r="11555" spans="1:16" x14ac:dyDescent="0.25">
      <c r="A11555" t="s">
        <v>34323</v>
      </c>
      <c r="B11555" t="s">
        <v>8747</v>
      </c>
      <c r="C11555" t="s">
        <v>8748</v>
      </c>
      <c r="D11555" t="str">
        <f>"6002"</f>
        <v>6002</v>
      </c>
      <c r="E11555" t="s">
        <v>5853</v>
      </c>
      <c r="F11555" t="s">
        <v>3546</v>
      </c>
      <c r="G11555" t="s">
        <v>16221</v>
      </c>
      <c r="H11555" t="s">
        <v>47054</v>
      </c>
      <c r="I11555" t="s">
        <v>47111</v>
      </c>
      <c r="J11555" t="s">
        <v>47112</v>
      </c>
      <c r="K11555" t="s">
        <v>47113</v>
      </c>
      <c r="L11555">
        <v>14.52</v>
      </c>
      <c r="M11555">
        <v>25</v>
      </c>
      <c r="N11555">
        <v>0</v>
      </c>
      <c r="O11555">
        <v>25</v>
      </c>
      <c r="P11555">
        <v>0</v>
      </c>
    </row>
    <row r="11556" spans="1:16" x14ac:dyDescent="0.25">
      <c r="A11556" t="s">
        <v>34324</v>
      </c>
      <c r="B11556" t="s">
        <v>8749</v>
      </c>
      <c r="C11556" t="s">
        <v>8750</v>
      </c>
      <c r="D11556" t="str">
        <f>"4892"</f>
        <v>4892</v>
      </c>
      <c r="E11556" t="s">
        <v>5852</v>
      </c>
      <c r="F11556" t="s">
        <v>3546</v>
      </c>
      <c r="G11556" t="s">
        <v>16221</v>
      </c>
      <c r="H11556" t="s">
        <v>47054</v>
      </c>
      <c r="I11556" t="s">
        <v>47111</v>
      </c>
      <c r="J11556" t="s">
        <v>47112</v>
      </c>
      <c r="K11556" t="s">
        <v>47113</v>
      </c>
      <c r="L11556">
        <v>12.31</v>
      </c>
      <c r="M11556">
        <v>30</v>
      </c>
      <c r="N11556">
        <v>0</v>
      </c>
      <c r="O11556">
        <v>30</v>
      </c>
      <c r="P11556">
        <v>0</v>
      </c>
    </row>
    <row r="11557" spans="1:16" x14ac:dyDescent="0.25">
      <c r="A11557" t="s">
        <v>34325</v>
      </c>
      <c r="B11557" t="s">
        <v>8751</v>
      </c>
      <c r="C11557" t="s">
        <v>8752</v>
      </c>
      <c r="D11557" t="str">
        <f>"1035"</f>
        <v>1035</v>
      </c>
      <c r="E11557" t="s">
        <v>758</v>
      </c>
      <c r="F11557" t="s">
        <v>3546</v>
      </c>
      <c r="G11557" t="s">
        <v>16221</v>
      </c>
      <c r="H11557" t="s">
        <v>47054</v>
      </c>
      <c r="I11557" t="s">
        <v>47111</v>
      </c>
      <c r="J11557" t="s">
        <v>47112</v>
      </c>
      <c r="K11557" t="s">
        <v>47113</v>
      </c>
      <c r="L11557">
        <v>13.01</v>
      </c>
      <c r="M11557">
        <v>25</v>
      </c>
      <c r="N11557">
        <v>0</v>
      </c>
      <c r="O11557">
        <v>25</v>
      </c>
      <c r="P11557">
        <v>0</v>
      </c>
    </row>
    <row r="11558" spans="1:16" x14ac:dyDescent="0.25">
      <c r="A11558" t="s">
        <v>34326</v>
      </c>
      <c r="B11558" t="s">
        <v>8751</v>
      </c>
      <c r="C11558" t="s">
        <v>8752</v>
      </c>
      <c r="D11558" t="str">
        <f>"6006"</f>
        <v>6006</v>
      </c>
      <c r="E11558" t="s">
        <v>5837</v>
      </c>
      <c r="F11558" t="s">
        <v>3546</v>
      </c>
      <c r="G11558" t="s">
        <v>16221</v>
      </c>
      <c r="H11558" t="s">
        <v>47054</v>
      </c>
      <c r="I11558" t="s">
        <v>47111</v>
      </c>
      <c r="J11558" t="s">
        <v>47112</v>
      </c>
      <c r="K11558" t="s">
        <v>47113</v>
      </c>
      <c r="L11558">
        <v>13.01</v>
      </c>
      <c r="M11558">
        <v>25</v>
      </c>
      <c r="N11558">
        <v>0</v>
      </c>
      <c r="O11558">
        <v>25</v>
      </c>
      <c r="P11558">
        <v>0</v>
      </c>
    </row>
    <row r="11559" spans="1:16" x14ac:dyDescent="0.25">
      <c r="A11559" t="s">
        <v>34327</v>
      </c>
      <c r="B11559" t="s">
        <v>8753</v>
      </c>
      <c r="C11559" t="s">
        <v>8754</v>
      </c>
      <c r="D11559" t="str">
        <f>"1484"</f>
        <v>1484</v>
      </c>
      <c r="E11559" t="s">
        <v>5847</v>
      </c>
      <c r="F11559" t="s">
        <v>3546</v>
      </c>
      <c r="G11559" t="s">
        <v>16221</v>
      </c>
      <c r="H11559" t="s">
        <v>47054</v>
      </c>
      <c r="I11559" t="s">
        <v>47111</v>
      </c>
      <c r="J11559" t="s">
        <v>47112</v>
      </c>
      <c r="K11559" t="s">
        <v>47113</v>
      </c>
      <c r="L11559">
        <v>12.98</v>
      </c>
      <c r="M11559">
        <v>25</v>
      </c>
      <c r="N11559">
        <v>0</v>
      </c>
      <c r="O11559">
        <v>25</v>
      </c>
      <c r="P11559">
        <v>0</v>
      </c>
    </row>
    <row r="11560" spans="1:16" x14ac:dyDescent="0.25">
      <c r="A11560" t="s">
        <v>34328</v>
      </c>
      <c r="B11560" t="s">
        <v>8755</v>
      </c>
      <c r="C11560" t="s">
        <v>8756</v>
      </c>
      <c r="D11560" t="str">
        <f>"1001"</f>
        <v>1001</v>
      </c>
      <c r="E11560" t="s">
        <v>8735</v>
      </c>
      <c r="F11560" t="s">
        <v>3546</v>
      </c>
      <c r="G11560" t="s">
        <v>16221</v>
      </c>
      <c r="H11560" t="s">
        <v>47054</v>
      </c>
      <c r="I11560" t="s">
        <v>47111</v>
      </c>
      <c r="J11560" t="s">
        <v>47112</v>
      </c>
      <c r="K11560" t="s">
        <v>47113</v>
      </c>
      <c r="L11560">
        <v>12.31</v>
      </c>
      <c r="M11560">
        <v>30</v>
      </c>
      <c r="N11560">
        <v>0</v>
      </c>
      <c r="O11560">
        <v>30</v>
      </c>
      <c r="P11560">
        <v>0</v>
      </c>
    </row>
    <row r="11561" spans="1:16" x14ac:dyDescent="0.25">
      <c r="A11561" t="s">
        <v>34329</v>
      </c>
      <c r="B11561" t="s">
        <v>8757</v>
      </c>
      <c r="C11561" t="s">
        <v>8758</v>
      </c>
      <c r="D11561" t="str">
        <f>"4912"</f>
        <v>4912</v>
      </c>
      <c r="E11561" t="s">
        <v>5875</v>
      </c>
      <c r="F11561" t="s">
        <v>3546</v>
      </c>
      <c r="G11561" t="s">
        <v>16221</v>
      </c>
      <c r="H11561" t="s">
        <v>47054</v>
      </c>
      <c r="I11561" t="s">
        <v>47111</v>
      </c>
      <c r="J11561" t="s">
        <v>47112</v>
      </c>
      <c r="K11561" t="s">
        <v>47113</v>
      </c>
      <c r="L11561">
        <v>12.31</v>
      </c>
      <c r="M11561">
        <v>30</v>
      </c>
      <c r="N11561">
        <v>0</v>
      </c>
      <c r="O11561">
        <v>30</v>
      </c>
      <c r="P11561">
        <v>0</v>
      </c>
    </row>
    <row r="11562" spans="1:16" x14ac:dyDescent="0.25">
      <c r="A11562" t="s">
        <v>34330</v>
      </c>
      <c r="B11562" t="s">
        <v>8759</v>
      </c>
      <c r="C11562" t="s">
        <v>8760</v>
      </c>
      <c r="D11562" t="str">
        <f>"1035"</f>
        <v>1035</v>
      </c>
      <c r="E11562" t="s">
        <v>8761</v>
      </c>
      <c r="F11562" t="s">
        <v>3546</v>
      </c>
      <c r="G11562" t="s">
        <v>16221</v>
      </c>
      <c r="H11562" t="s">
        <v>47054</v>
      </c>
      <c r="I11562" t="s">
        <v>47111</v>
      </c>
      <c r="J11562" t="s">
        <v>47112</v>
      </c>
      <c r="K11562" t="s">
        <v>47113</v>
      </c>
      <c r="L11562">
        <v>13.01</v>
      </c>
      <c r="M11562">
        <v>25</v>
      </c>
      <c r="N11562">
        <v>0</v>
      </c>
      <c r="O11562">
        <v>25</v>
      </c>
      <c r="P11562">
        <v>0</v>
      </c>
    </row>
    <row r="11563" spans="1:16" x14ac:dyDescent="0.25">
      <c r="A11563" t="s">
        <v>34331</v>
      </c>
      <c r="B11563" t="s">
        <v>8759</v>
      </c>
      <c r="C11563" t="s">
        <v>8760</v>
      </c>
      <c r="D11563" t="str">
        <f>"1484"</f>
        <v>1484</v>
      </c>
      <c r="E11563" t="s">
        <v>5847</v>
      </c>
      <c r="F11563" t="s">
        <v>3546</v>
      </c>
      <c r="G11563" t="s">
        <v>16221</v>
      </c>
      <c r="H11563" t="s">
        <v>47054</v>
      </c>
      <c r="I11563" t="s">
        <v>47111</v>
      </c>
      <c r="J11563" t="s">
        <v>47112</v>
      </c>
      <c r="K11563" t="s">
        <v>47113</v>
      </c>
      <c r="L11563">
        <v>13.01</v>
      </c>
      <c r="M11563">
        <v>25</v>
      </c>
      <c r="N11563">
        <v>0</v>
      </c>
      <c r="O11563">
        <v>25</v>
      </c>
      <c r="P11563">
        <v>0</v>
      </c>
    </row>
    <row r="11564" spans="1:16" x14ac:dyDescent="0.25">
      <c r="A11564" t="s">
        <v>34332</v>
      </c>
      <c r="B11564" t="s">
        <v>8759</v>
      </c>
      <c r="C11564" t="s">
        <v>8760</v>
      </c>
      <c r="D11564" t="str">
        <f>"1859"</f>
        <v>1859</v>
      </c>
      <c r="E11564" t="s">
        <v>8762</v>
      </c>
      <c r="F11564" t="s">
        <v>3546</v>
      </c>
      <c r="G11564" t="s">
        <v>16221</v>
      </c>
      <c r="H11564" t="s">
        <v>47054</v>
      </c>
      <c r="I11564" t="s">
        <v>47111</v>
      </c>
      <c r="J11564" t="s">
        <v>47112</v>
      </c>
      <c r="K11564" t="s">
        <v>47113</v>
      </c>
      <c r="L11564">
        <v>13.01</v>
      </c>
      <c r="M11564">
        <v>25</v>
      </c>
      <c r="N11564">
        <v>0</v>
      </c>
      <c r="O11564">
        <v>25</v>
      </c>
      <c r="P11564">
        <v>0</v>
      </c>
    </row>
    <row r="11565" spans="1:16" x14ac:dyDescent="0.25">
      <c r="A11565" t="s">
        <v>34333</v>
      </c>
      <c r="B11565" t="s">
        <v>8759</v>
      </c>
      <c r="C11565" t="s">
        <v>8760</v>
      </c>
      <c r="D11565" t="str">
        <f>"3541"</f>
        <v>3541</v>
      </c>
      <c r="E11565" t="s">
        <v>8763</v>
      </c>
      <c r="F11565" t="s">
        <v>3546</v>
      </c>
      <c r="G11565" t="s">
        <v>16221</v>
      </c>
      <c r="H11565" t="s">
        <v>47054</v>
      </c>
      <c r="I11565" t="s">
        <v>47111</v>
      </c>
      <c r="J11565" t="s">
        <v>47112</v>
      </c>
      <c r="K11565" t="s">
        <v>47113</v>
      </c>
      <c r="L11565">
        <v>13.01</v>
      </c>
      <c r="M11565">
        <v>25</v>
      </c>
      <c r="N11565">
        <v>0</v>
      </c>
      <c r="O11565">
        <v>25</v>
      </c>
      <c r="P11565">
        <v>0</v>
      </c>
    </row>
    <row r="11566" spans="1:16" x14ac:dyDescent="0.25">
      <c r="A11566" t="s">
        <v>34334</v>
      </c>
      <c r="B11566" t="s">
        <v>8759</v>
      </c>
      <c r="C11566" t="s">
        <v>8760</v>
      </c>
      <c r="D11566" t="str">
        <f>"6040"</f>
        <v>6040</v>
      </c>
      <c r="E11566" t="s">
        <v>8764</v>
      </c>
      <c r="F11566" t="s">
        <v>3546</v>
      </c>
      <c r="G11566" t="s">
        <v>16221</v>
      </c>
      <c r="H11566" t="s">
        <v>47054</v>
      </c>
      <c r="I11566" t="s">
        <v>47111</v>
      </c>
      <c r="J11566" t="s">
        <v>47112</v>
      </c>
      <c r="K11566" t="s">
        <v>47113</v>
      </c>
      <c r="L11566">
        <v>13.01</v>
      </c>
      <c r="M11566">
        <v>25</v>
      </c>
      <c r="N11566">
        <v>0</v>
      </c>
      <c r="O11566">
        <v>25</v>
      </c>
      <c r="P11566">
        <v>0</v>
      </c>
    </row>
    <row r="11567" spans="1:16" x14ac:dyDescent="0.25">
      <c r="A11567" t="s">
        <v>34335</v>
      </c>
      <c r="B11567" t="s">
        <v>8765</v>
      </c>
      <c r="C11567" t="s">
        <v>8766</v>
      </c>
      <c r="D11567" t="str">
        <f>"1484"</f>
        <v>1484</v>
      </c>
      <c r="E11567" t="s">
        <v>5847</v>
      </c>
      <c r="F11567" t="s">
        <v>3546</v>
      </c>
      <c r="G11567" t="s">
        <v>16221</v>
      </c>
      <c r="H11567" t="s">
        <v>47054</v>
      </c>
      <c r="I11567" t="s">
        <v>47111</v>
      </c>
      <c r="J11567" t="s">
        <v>47112</v>
      </c>
      <c r="K11567" t="s">
        <v>47113</v>
      </c>
      <c r="L11567">
        <v>12.31</v>
      </c>
      <c r="M11567">
        <v>25</v>
      </c>
      <c r="N11567">
        <v>0</v>
      </c>
      <c r="O11567">
        <v>25</v>
      </c>
      <c r="P11567">
        <v>0</v>
      </c>
    </row>
    <row r="11568" spans="1:16" x14ac:dyDescent="0.25">
      <c r="A11568" t="s">
        <v>34336</v>
      </c>
      <c r="B11568" t="s">
        <v>8767</v>
      </c>
      <c r="C11568" t="s">
        <v>8768</v>
      </c>
      <c r="D11568" t="str">
        <f>"3541"</f>
        <v>3541</v>
      </c>
      <c r="E11568" t="s">
        <v>8769</v>
      </c>
      <c r="F11568" t="s">
        <v>3546</v>
      </c>
      <c r="G11568" t="s">
        <v>16221</v>
      </c>
      <c r="H11568" t="s">
        <v>47054</v>
      </c>
      <c r="I11568" t="s">
        <v>47111</v>
      </c>
      <c r="J11568" t="s">
        <v>47112</v>
      </c>
      <c r="K11568" t="s">
        <v>47113</v>
      </c>
      <c r="L11568">
        <v>12.31</v>
      </c>
      <c r="M11568">
        <v>30</v>
      </c>
      <c r="N11568">
        <v>0</v>
      </c>
      <c r="O11568">
        <v>30</v>
      </c>
      <c r="P11568">
        <v>0</v>
      </c>
    </row>
    <row r="11569" spans="1:16" x14ac:dyDescent="0.25">
      <c r="A11569" t="s">
        <v>34337</v>
      </c>
      <c r="B11569" t="s">
        <v>8770</v>
      </c>
      <c r="C11569" t="s">
        <v>8771</v>
      </c>
      <c r="D11569" t="str">
        <f>"1794"</f>
        <v>1794</v>
      </c>
      <c r="E11569" t="s">
        <v>8743</v>
      </c>
      <c r="F11569" t="s">
        <v>3546</v>
      </c>
      <c r="G11569" t="s">
        <v>16221</v>
      </c>
      <c r="H11569" t="s">
        <v>47054</v>
      </c>
      <c r="I11569" t="s">
        <v>47111</v>
      </c>
      <c r="J11569" t="s">
        <v>47112</v>
      </c>
      <c r="K11569" t="s">
        <v>47113</v>
      </c>
      <c r="L11569">
        <v>12.31</v>
      </c>
      <c r="M11569">
        <v>30</v>
      </c>
      <c r="N11569">
        <v>0</v>
      </c>
      <c r="O11569">
        <v>30</v>
      </c>
      <c r="P11569">
        <v>0</v>
      </c>
    </row>
    <row r="11570" spans="1:16" x14ac:dyDescent="0.25">
      <c r="A11570" t="s">
        <v>34338</v>
      </c>
      <c r="B11570" t="s">
        <v>8772</v>
      </c>
      <c r="C11570" t="s">
        <v>8773</v>
      </c>
      <c r="D11570" t="str">
        <f>"1035"</f>
        <v>1035</v>
      </c>
      <c r="E11570" t="s">
        <v>758</v>
      </c>
      <c r="F11570" t="s">
        <v>3546</v>
      </c>
      <c r="G11570" t="s">
        <v>16221</v>
      </c>
      <c r="H11570" t="s">
        <v>47054</v>
      </c>
      <c r="I11570" t="s">
        <v>47111</v>
      </c>
      <c r="J11570" t="s">
        <v>47112</v>
      </c>
      <c r="K11570" t="s">
        <v>47113</v>
      </c>
      <c r="L11570">
        <v>15.18</v>
      </c>
      <c r="M11570">
        <v>37</v>
      </c>
      <c r="N11570">
        <v>0</v>
      </c>
      <c r="O11570">
        <v>37</v>
      </c>
      <c r="P11570">
        <v>0</v>
      </c>
    </row>
    <row r="11571" spans="1:16" x14ac:dyDescent="0.25">
      <c r="A11571" t="s">
        <v>34339</v>
      </c>
      <c r="B11571" t="s">
        <v>8774</v>
      </c>
      <c r="C11571" t="s">
        <v>8775</v>
      </c>
      <c r="D11571" t="str">
        <f>"1035"</f>
        <v>1035</v>
      </c>
      <c r="E11571" t="s">
        <v>758</v>
      </c>
      <c r="F11571" t="s">
        <v>3546</v>
      </c>
      <c r="G11571" t="s">
        <v>16221</v>
      </c>
      <c r="H11571" t="s">
        <v>47054</v>
      </c>
      <c r="I11571" t="s">
        <v>47111</v>
      </c>
      <c r="J11571" t="s">
        <v>47112</v>
      </c>
      <c r="K11571" t="s">
        <v>47113</v>
      </c>
      <c r="L11571">
        <v>13.19</v>
      </c>
      <c r="M11571">
        <v>25</v>
      </c>
      <c r="N11571">
        <v>0</v>
      </c>
      <c r="O11571">
        <v>25</v>
      </c>
      <c r="P11571">
        <v>0</v>
      </c>
    </row>
    <row r="11572" spans="1:16" x14ac:dyDescent="0.25">
      <c r="A11572" t="s">
        <v>34340</v>
      </c>
      <c r="B11572" t="s">
        <v>8774</v>
      </c>
      <c r="C11572" t="s">
        <v>8775</v>
      </c>
      <c r="D11572" t="str">
        <f>"1746"</f>
        <v>1746</v>
      </c>
      <c r="E11572" t="s">
        <v>807</v>
      </c>
      <c r="F11572" t="s">
        <v>3546</v>
      </c>
      <c r="G11572" t="s">
        <v>16221</v>
      </c>
      <c r="H11572" t="s">
        <v>47054</v>
      </c>
      <c r="I11572" t="s">
        <v>47111</v>
      </c>
      <c r="J11572" t="s">
        <v>47112</v>
      </c>
      <c r="K11572" t="s">
        <v>47113</v>
      </c>
      <c r="L11572">
        <v>13.19</v>
      </c>
      <c r="M11572">
        <v>25</v>
      </c>
      <c r="N11572">
        <v>0</v>
      </c>
      <c r="O11572">
        <v>25</v>
      </c>
      <c r="P11572">
        <v>0</v>
      </c>
    </row>
    <row r="11573" spans="1:16" x14ac:dyDescent="0.25">
      <c r="A11573" t="s">
        <v>34341</v>
      </c>
      <c r="B11573" t="s">
        <v>8774</v>
      </c>
      <c r="C11573" t="s">
        <v>8775</v>
      </c>
      <c r="D11573" t="str">
        <f>"6006"</f>
        <v>6006</v>
      </c>
      <c r="E11573" t="s">
        <v>5837</v>
      </c>
      <c r="F11573" t="s">
        <v>3546</v>
      </c>
      <c r="G11573" t="s">
        <v>16221</v>
      </c>
      <c r="H11573" t="s">
        <v>47054</v>
      </c>
      <c r="I11573" t="s">
        <v>47111</v>
      </c>
      <c r="J11573" t="s">
        <v>47112</v>
      </c>
      <c r="K11573" t="s">
        <v>47113</v>
      </c>
      <c r="L11573">
        <v>13.19</v>
      </c>
      <c r="M11573">
        <v>25</v>
      </c>
      <c r="N11573">
        <v>0</v>
      </c>
      <c r="O11573">
        <v>25</v>
      </c>
      <c r="P11573">
        <v>0</v>
      </c>
    </row>
    <row r="11574" spans="1:16" x14ac:dyDescent="0.25">
      <c r="A11574" t="s">
        <v>34342</v>
      </c>
      <c r="B11574" t="s">
        <v>8776</v>
      </c>
      <c r="C11574" t="s">
        <v>8777</v>
      </c>
      <c r="D11574" t="str">
        <f>"1035"</f>
        <v>1035</v>
      </c>
      <c r="E11574" t="s">
        <v>758</v>
      </c>
      <c r="F11574" t="s">
        <v>3546</v>
      </c>
      <c r="G11574" t="s">
        <v>16221</v>
      </c>
      <c r="H11574" t="s">
        <v>47054</v>
      </c>
      <c r="I11574" t="s">
        <v>47111</v>
      </c>
      <c r="J11574" t="s">
        <v>47112</v>
      </c>
      <c r="K11574" t="s">
        <v>47113</v>
      </c>
      <c r="L11574">
        <v>12.31</v>
      </c>
      <c r="M11574">
        <v>30</v>
      </c>
      <c r="N11574">
        <v>0</v>
      </c>
      <c r="O11574">
        <v>30</v>
      </c>
      <c r="P11574">
        <v>0</v>
      </c>
    </row>
    <row r="11575" spans="1:16" x14ac:dyDescent="0.25">
      <c r="A11575" t="s">
        <v>34343</v>
      </c>
      <c r="B11575" t="s">
        <v>8776</v>
      </c>
      <c r="C11575" t="s">
        <v>8777</v>
      </c>
      <c r="D11575" t="str">
        <f>"1746"</f>
        <v>1746</v>
      </c>
      <c r="E11575" t="s">
        <v>807</v>
      </c>
      <c r="F11575" t="s">
        <v>3546</v>
      </c>
      <c r="G11575" t="s">
        <v>16221</v>
      </c>
      <c r="H11575" t="s">
        <v>47054</v>
      </c>
      <c r="I11575" t="s">
        <v>47111</v>
      </c>
      <c r="J11575" t="s">
        <v>47112</v>
      </c>
      <c r="K11575" t="s">
        <v>47113</v>
      </c>
      <c r="L11575">
        <v>12.31</v>
      </c>
      <c r="M11575">
        <v>30</v>
      </c>
      <c r="N11575">
        <v>0</v>
      </c>
      <c r="O11575">
        <v>30</v>
      </c>
      <c r="P11575">
        <v>0</v>
      </c>
    </row>
    <row r="11576" spans="1:16" x14ac:dyDescent="0.25">
      <c r="A11576" t="s">
        <v>34344</v>
      </c>
      <c r="B11576" t="s">
        <v>8778</v>
      </c>
      <c r="C11576" t="s">
        <v>16478</v>
      </c>
      <c r="D11576" t="str">
        <f>"1001"</f>
        <v>1001</v>
      </c>
      <c r="E11576" t="s">
        <v>7601</v>
      </c>
      <c r="F11576" t="s">
        <v>3558</v>
      </c>
      <c r="G11576" t="s">
        <v>16221</v>
      </c>
      <c r="H11576" t="s">
        <v>47054</v>
      </c>
      <c r="I11576" t="s">
        <v>47569</v>
      </c>
      <c r="J11576" t="s">
        <v>47570</v>
      </c>
      <c r="K11576" t="s">
        <v>47113</v>
      </c>
      <c r="L11576">
        <v>20.350000000000001</v>
      </c>
      <c r="M11576">
        <v>29</v>
      </c>
      <c r="N11576">
        <v>0</v>
      </c>
      <c r="O11576">
        <v>29</v>
      </c>
      <c r="P11576">
        <v>0</v>
      </c>
    </row>
    <row r="11577" spans="1:16" x14ac:dyDescent="0.25">
      <c r="A11577" t="s">
        <v>16479</v>
      </c>
      <c r="B11577" t="s">
        <v>8778</v>
      </c>
      <c r="C11577" t="s">
        <v>16478</v>
      </c>
      <c r="D11577" t="str">
        <f>"1800"</f>
        <v>1800</v>
      </c>
      <c r="E11577" t="s">
        <v>1999</v>
      </c>
      <c r="F11577" t="s">
        <v>3558</v>
      </c>
      <c r="G11577" t="s">
        <v>16221</v>
      </c>
      <c r="H11577" t="s">
        <v>47054</v>
      </c>
      <c r="I11577" t="s">
        <v>47569</v>
      </c>
      <c r="J11577" t="s">
        <v>47570</v>
      </c>
      <c r="K11577" t="s">
        <v>47113</v>
      </c>
      <c r="L11577">
        <v>14.14</v>
      </c>
      <c r="M11577">
        <v>29</v>
      </c>
      <c r="N11577">
        <v>0</v>
      </c>
      <c r="O11577">
        <v>29</v>
      </c>
      <c r="P11577">
        <v>0</v>
      </c>
    </row>
    <row r="11578" spans="1:16" x14ac:dyDescent="0.25">
      <c r="A11578" t="s">
        <v>34345</v>
      </c>
      <c r="B11578" t="s">
        <v>8778</v>
      </c>
      <c r="C11578" t="s">
        <v>16478</v>
      </c>
      <c r="D11578" t="str">
        <f>"4151"</f>
        <v>4151</v>
      </c>
      <c r="E11578" t="s">
        <v>8231</v>
      </c>
      <c r="F11578" t="s">
        <v>3558</v>
      </c>
      <c r="G11578" t="s">
        <v>16221</v>
      </c>
      <c r="H11578" t="s">
        <v>47054</v>
      </c>
      <c r="I11578" t="s">
        <v>47569</v>
      </c>
      <c r="J11578" t="s">
        <v>47570</v>
      </c>
      <c r="K11578" t="s">
        <v>47113</v>
      </c>
      <c r="L11578">
        <v>20.350000000000001</v>
      </c>
      <c r="M11578">
        <v>29</v>
      </c>
      <c r="N11578">
        <v>0</v>
      </c>
      <c r="O11578">
        <v>29</v>
      </c>
      <c r="P11578">
        <v>0</v>
      </c>
    </row>
    <row r="11579" spans="1:16" x14ac:dyDescent="0.25">
      <c r="A11579" t="s">
        <v>34346</v>
      </c>
      <c r="B11579" t="s">
        <v>8779</v>
      </c>
      <c r="C11579" t="s">
        <v>8780</v>
      </c>
      <c r="D11579" t="str">
        <f>"1001"</f>
        <v>1001</v>
      </c>
      <c r="E11579" t="s">
        <v>7601</v>
      </c>
      <c r="F11579" t="s">
        <v>3558</v>
      </c>
      <c r="G11579" t="s">
        <v>16221</v>
      </c>
      <c r="H11579" t="s">
        <v>47054</v>
      </c>
      <c r="I11579" t="s">
        <v>47569</v>
      </c>
      <c r="J11579" t="s">
        <v>47570</v>
      </c>
      <c r="K11579" t="s">
        <v>47113</v>
      </c>
      <c r="L11579">
        <v>19.72</v>
      </c>
      <c r="M11579">
        <v>26</v>
      </c>
      <c r="N11579">
        <v>0</v>
      </c>
      <c r="O11579">
        <v>26</v>
      </c>
      <c r="P11579">
        <v>0</v>
      </c>
    </row>
    <row r="11580" spans="1:16" x14ac:dyDescent="0.25">
      <c r="A11580" t="s">
        <v>34347</v>
      </c>
      <c r="B11580" t="s">
        <v>8779</v>
      </c>
      <c r="C11580" t="s">
        <v>8780</v>
      </c>
      <c r="D11580" t="str">
        <f>"6497"</f>
        <v>6497</v>
      </c>
      <c r="E11580" t="s">
        <v>8781</v>
      </c>
      <c r="F11580" t="s">
        <v>3558</v>
      </c>
      <c r="G11580" t="s">
        <v>16221</v>
      </c>
      <c r="H11580" t="s">
        <v>47054</v>
      </c>
      <c r="I11580" t="s">
        <v>47569</v>
      </c>
      <c r="J11580" t="s">
        <v>47570</v>
      </c>
      <c r="K11580" t="s">
        <v>47113</v>
      </c>
      <c r="L11580">
        <v>19.72</v>
      </c>
      <c r="M11580">
        <v>26</v>
      </c>
      <c r="N11580">
        <v>0</v>
      </c>
      <c r="O11580">
        <v>26</v>
      </c>
      <c r="P11580">
        <v>0</v>
      </c>
    </row>
    <row r="11581" spans="1:16" x14ac:dyDescent="0.25">
      <c r="A11581" t="s">
        <v>34348</v>
      </c>
      <c r="B11581" t="s">
        <v>8782</v>
      </c>
      <c r="C11581" t="s">
        <v>8783</v>
      </c>
      <c r="D11581" t="s">
        <v>3662</v>
      </c>
      <c r="E11581" t="s">
        <v>3663</v>
      </c>
      <c r="F11581" t="s">
        <v>4</v>
      </c>
      <c r="G11581" t="s">
        <v>16231</v>
      </c>
      <c r="H11581" t="s">
        <v>47054</v>
      </c>
      <c r="I11581" t="s">
        <v>47111</v>
      </c>
      <c r="J11581" t="s">
        <v>47112</v>
      </c>
      <c r="K11581" t="s">
        <v>47113</v>
      </c>
      <c r="L11581">
        <v>36.51</v>
      </c>
      <c r="M11581">
        <v>89</v>
      </c>
      <c r="N11581">
        <v>0</v>
      </c>
      <c r="O11581">
        <v>89</v>
      </c>
      <c r="P11581">
        <v>0</v>
      </c>
    </row>
    <row r="11582" spans="1:16" x14ac:dyDescent="0.25">
      <c r="A11582" t="s">
        <v>34349</v>
      </c>
      <c r="B11582" t="s">
        <v>8782</v>
      </c>
      <c r="C11582" t="s">
        <v>8783</v>
      </c>
      <c r="D11582" t="s">
        <v>2436</v>
      </c>
      <c r="E11582" t="s">
        <v>2437</v>
      </c>
      <c r="F11582" t="s">
        <v>4</v>
      </c>
      <c r="G11582" t="s">
        <v>16231</v>
      </c>
      <c r="H11582" t="s">
        <v>47054</v>
      </c>
      <c r="I11582" t="s">
        <v>47111</v>
      </c>
      <c r="J11582" t="s">
        <v>47112</v>
      </c>
      <c r="K11582" t="s">
        <v>47113</v>
      </c>
      <c r="L11582">
        <v>41.15</v>
      </c>
      <c r="M11582">
        <v>100</v>
      </c>
      <c r="N11582">
        <v>0</v>
      </c>
      <c r="O11582">
        <v>100</v>
      </c>
      <c r="P11582">
        <v>0</v>
      </c>
    </row>
    <row r="11583" spans="1:16" x14ac:dyDescent="0.25">
      <c r="A11583" t="s">
        <v>34350</v>
      </c>
      <c r="B11583" t="s">
        <v>8784</v>
      </c>
      <c r="C11583" t="s">
        <v>8783</v>
      </c>
      <c r="D11583" t="s">
        <v>5400</v>
      </c>
      <c r="E11583" t="s">
        <v>5401</v>
      </c>
      <c r="F11583" t="s">
        <v>4</v>
      </c>
      <c r="G11583" t="s">
        <v>16231</v>
      </c>
      <c r="H11583" t="s">
        <v>47153</v>
      </c>
      <c r="I11583" t="s">
        <v>47132</v>
      </c>
      <c r="J11583" t="s">
        <v>47133</v>
      </c>
      <c r="K11583" t="s">
        <v>47113</v>
      </c>
      <c r="L11583">
        <v>48.49</v>
      </c>
      <c r="M11583">
        <v>88</v>
      </c>
      <c r="N11583">
        <v>0</v>
      </c>
      <c r="O11583">
        <v>88</v>
      </c>
      <c r="P11583">
        <v>0</v>
      </c>
    </row>
    <row r="11584" spans="1:16" x14ac:dyDescent="0.25">
      <c r="A11584" t="s">
        <v>34351</v>
      </c>
      <c r="B11584" t="s">
        <v>8784</v>
      </c>
      <c r="C11584" t="s">
        <v>8783</v>
      </c>
      <c r="D11584" t="s">
        <v>8785</v>
      </c>
      <c r="E11584" t="s">
        <v>8786</v>
      </c>
      <c r="F11584" t="s">
        <v>4</v>
      </c>
      <c r="G11584" t="s">
        <v>16231</v>
      </c>
      <c r="H11584" t="s">
        <v>47153</v>
      </c>
      <c r="I11584" t="s">
        <v>47132</v>
      </c>
      <c r="J11584" t="s">
        <v>47133</v>
      </c>
      <c r="K11584" t="s">
        <v>47113</v>
      </c>
      <c r="L11584">
        <v>48.49</v>
      </c>
      <c r="M11584">
        <v>88</v>
      </c>
      <c r="N11584">
        <v>0</v>
      </c>
      <c r="O11584">
        <v>88</v>
      </c>
      <c r="P11584">
        <v>0</v>
      </c>
    </row>
    <row r="11585" spans="1:16" x14ac:dyDescent="0.25">
      <c r="A11585" t="s">
        <v>34352</v>
      </c>
      <c r="B11585" t="s">
        <v>8784</v>
      </c>
      <c r="C11585" t="s">
        <v>8783</v>
      </c>
      <c r="D11585" t="s">
        <v>311</v>
      </c>
      <c r="E11585" t="s">
        <v>3479</v>
      </c>
      <c r="F11585" t="s">
        <v>4</v>
      </c>
      <c r="G11585" t="s">
        <v>16231</v>
      </c>
      <c r="H11585" t="s">
        <v>47153</v>
      </c>
      <c r="I11585" t="s">
        <v>47132</v>
      </c>
      <c r="J11585" t="s">
        <v>47133</v>
      </c>
      <c r="K11585" t="s">
        <v>47113</v>
      </c>
      <c r="L11585">
        <v>40.98</v>
      </c>
      <c r="M11585">
        <v>72</v>
      </c>
      <c r="N11585">
        <v>0</v>
      </c>
      <c r="O11585">
        <v>72</v>
      </c>
      <c r="P11585">
        <v>0</v>
      </c>
    </row>
    <row r="11586" spans="1:16" x14ac:dyDescent="0.25">
      <c r="A11586" t="s">
        <v>34353</v>
      </c>
      <c r="B11586" t="s">
        <v>8787</v>
      </c>
      <c r="C11586" t="s">
        <v>8788</v>
      </c>
      <c r="D11586" t="s">
        <v>3662</v>
      </c>
      <c r="E11586" t="s">
        <v>3663</v>
      </c>
      <c r="F11586" t="s">
        <v>4</v>
      </c>
      <c r="G11586" t="s">
        <v>16231</v>
      </c>
      <c r="H11586" t="s">
        <v>47054</v>
      </c>
      <c r="I11586" t="s">
        <v>47111</v>
      </c>
      <c r="J11586" t="s">
        <v>47112</v>
      </c>
      <c r="K11586" t="s">
        <v>47113</v>
      </c>
      <c r="L11586">
        <v>36.51</v>
      </c>
      <c r="M11586">
        <v>89</v>
      </c>
      <c r="N11586">
        <v>0</v>
      </c>
      <c r="O11586">
        <v>89</v>
      </c>
      <c r="P11586">
        <v>0</v>
      </c>
    </row>
    <row r="11587" spans="1:16" x14ac:dyDescent="0.25">
      <c r="A11587" t="s">
        <v>34354</v>
      </c>
      <c r="B11587" t="s">
        <v>8787</v>
      </c>
      <c r="C11587" t="s">
        <v>8788</v>
      </c>
      <c r="D11587" t="s">
        <v>2436</v>
      </c>
      <c r="E11587" t="s">
        <v>2437</v>
      </c>
      <c r="F11587" t="s">
        <v>4</v>
      </c>
      <c r="G11587" t="s">
        <v>16231</v>
      </c>
      <c r="H11587" t="s">
        <v>47054</v>
      </c>
      <c r="I11587" t="s">
        <v>47111</v>
      </c>
      <c r="J11587" t="s">
        <v>47112</v>
      </c>
      <c r="K11587" t="s">
        <v>47113</v>
      </c>
      <c r="L11587">
        <v>41.15</v>
      </c>
      <c r="M11587">
        <v>100</v>
      </c>
      <c r="N11587">
        <v>0</v>
      </c>
      <c r="O11587">
        <v>100</v>
      </c>
      <c r="P11587">
        <v>0</v>
      </c>
    </row>
    <row r="11588" spans="1:16" x14ac:dyDescent="0.25">
      <c r="A11588" t="s">
        <v>34355</v>
      </c>
      <c r="B11588" t="s">
        <v>8789</v>
      </c>
      <c r="C11588" t="s">
        <v>8788</v>
      </c>
      <c r="D11588" t="s">
        <v>5400</v>
      </c>
      <c r="E11588" t="s">
        <v>5401</v>
      </c>
      <c r="F11588" t="s">
        <v>4</v>
      </c>
      <c r="G11588" t="s">
        <v>16231</v>
      </c>
      <c r="H11588" t="s">
        <v>47153</v>
      </c>
      <c r="I11588" t="s">
        <v>47132</v>
      </c>
      <c r="J11588" t="s">
        <v>47133</v>
      </c>
      <c r="K11588" t="s">
        <v>47113</v>
      </c>
      <c r="L11588">
        <v>47.31</v>
      </c>
      <c r="M11588">
        <v>88</v>
      </c>
      <c r="N11588">
        <v>0</v>
      </c>
      <c r="O11588">
        <v>88</v>
      </c>
      <c r="P11588">
        <v>0</v>
      </c>
    </row>
    <row r="11589" spans="1:16" x14ac:dyDescent="0.25">
      <c r="A11589" t="s">
        <v>34356</v>
      </c>
      <c r="B11589" t="s">
        <v>8789</v>
      </c>
      <c r="C11589" t="s">
        <v>8788</v>
      </c>
      <c r="D11589" t="s">
        <v>8785</v>
      </c>
      <c r="E11589" t="s">
        <v>8786</v>
      </c>
      <c r="F11589" t="s">
        <v>4</v>
      </c>
      <c r="G11589" t="s">
        <v>16231</v>
      </c>
      <c r="H11589" t="s">
        <v>47153</v>
      </c>
      <c r="I11589" t="s">
        <v>47132</v>
      </c>
      <c r="J11589" t="s">
        <v>47133</v>
      </c>
      <c r="K11589" t="s">
        <v>47113</v>
      </c>
      <c r="L11589">
        <v>47.31</v>
      </c>
      <c r="M11589">
        <v>88</v>
      </c>
      <c r="N11589">
        <v>0</v>
      </c>
      <c r="O11589">
        <v>88</v>
      </c>
      <c r="P11589">
        <v>0</v>
      </c>
    </row>
    <row r="11590" spans="1:16" x14ac:dyDescent="0.25">
      <c r="A11590" t="s">
        <v>34357</v>
      </c>
      <c r="B11590" t="s">
        <v>8789</v>
      </c>
      <c r="C11590" t="s">
        <v>8788</v>
      </c>
      <c r="D11590" t="s">
        <v>311</v>
      </c>
      <c r="E11590" t="s">
        <v>3479</v>
      </c>
      <c r="F11590" t="s">
        <v>4</v>
      </c>
      <c r="G11590" t="s">
        <v>16231</v>
      </c>
      <c r="H11590" t="s">
        <v>47153</v>
      </c>
      <c r="I11590" t="s">
        <v>47132</v>
      </c>
      <c r="J11590" t="s">
        <v>47133</v>
      </c>
      <c r="K11590" t="s">
        <v>47113</v>
      </c>
      <c r="L11590">
        <v>39.68</v>
      </c>
      <c r="M11590">
        <v>72</v>
      </c>
      <c r="N11590">
        <v>0</v>
      </c>
      <c r="O11590">
        <v>72</v>
      </c>
      <c r="P11590">
        <v>0</v>
      </c>
    </row>
    <row r="11591" spans="1:16" x14ac:dyDescent="0.25">
      <c r="A11591" t="s">
        <v>34358</v>
      </c>
      <c r="B11591" t="s">
        <v>8790</v>
      </c>
      <c r="C11591" t="s">
        <v>8024</v>
      </c>
      <c r="D11591" t="s">
        <v>3662</v>
      </c>
      <c r="E11591" t="s">
        <v>3663</v>
      </c>
      <c r="F11591" t="s">
        <v>4</v>
      </c>
      <c r="G11591" t="s">
        <v>16231</v>
      </c>
      <c r="H11591" t="s">
        <v>47054</v>
      </c>
      <c r="I11591" t="s">
        <v>47111</v>
      </c>
      <c r="J11591" t="s">
        <v>47112</v>
      </c>
      <c r="K11591" t="s">
        <v>47113</v>
      </c>
      <c r="L11591">
        <v>36.51</v>
      </c>
      <c r="M11591">
        <v>89</v>
      </c>
      <c r="N11591">
        <v>0</v>
      </c>
      <c r="O11591">
        <v>89</v>
      </c>
      <c r="P11591">
        <v>0</v>
      </c>
    </row>
    <row r="11592" spans="1:16" x14ac:dyDescent="0.25">
      <c r="A11592" t="s">
        <v>34359</v>
      </c>
      <c r="B11592" t="s">
        <v>8790</v>
      </c>
      <c r="C11592" t="s">
        <v>8024</v>
      </c>
      <c r="D11592" t="s">
        <v>2436</v>
      </c>
      <c r="E11592" t="s">
        <v>2437</v>
      </c>
      <c r="F11592" t="s">
        <v>4</v>
      </c>
      <c r="G11592" t="s">
        <v>16231</v>
      </c>
      <c r="H11592" t="s">
        <v>47054</v>
      </c>
      <c r="I11592" t="s">
        <v>47111</v>
      </c>
      <c r="J11592" t="s">
        <v>47112</v>
      </c>
      <c r="K11592" t="s">
        <v>47113</v>
      </c>
      <c r="L11592">
        <v>41.15</v>
      </c>
      <c r="M11592">
        <v>100</v>
      </c>
      <c r="N11592">
        <v>0</v>
      </c>
      <c r="O11592">
        <v>100</v>
      </c>
      <c r="P11592">
        <v>0</v>
      </c>
    </row>
    <row r="11593" spans="1:16" x14ac:dyDescent="0.25">
      <c r="A11593" t="s">
        <v>34360</v>
      </c>
      <c r="B11593" t="s">
        <v>8791</v>
      </c>
      <c r="C11593" t="s">
        <v>8024</v>
      </c>
      <c r="D11593" t="s">
        <v>5400</v>
      </c>
      <c r="E11593" t="s">
        <v>5401</v>
      </c>
      <c r="F11593" t="s">
        <v>4</v>
      </c>
      <c r="G11593" t="s">
        <v>16231</v>
      </c>
      <c r="H11593" t="s">
        <v>47153</v>
      </c>
      <c r="I11593" t="s">
        <v>47132</v>
      </c>
      <c r="J11593" t="s">
        <v>47133</v>
      </c>
      <c r="K11593" t="s">
        <v>47113</v>
      </c>
      <c r="L11593">
        <v>48.14</v>
      </c>
      <c r="M11593">
        <v>88</v>
      </c>
      <c r="N11593">
        <v>0</v>
      </c>
      <c r="O11593">
        <v>88</v>
      </c>
      <c r="P11593">
        <v>0</v>
      </c>
    </row>
    <row r="11594" spans="1:16" x14ac:dyDescent="0.25">
      <c r="A11594" t="s">
        <v>34361</v>
      </c>
      <c r="B11594" t="s">
        <v>8791</v>
      </c>
      <c r="C11594" t="s">
        <v>8024</v>
      </c>
      <c r="D11594" t="s">
        <v>8785</v>
      </c>
      <c r="E11594" t="s">
        <v>8786</v>
      </c>
      <c r="F11594" t="s">
        <v>4</v>
      </c>
      <c r="G11594" t="s">
        <v>16231</v>
      </c>
      <c r="H11594" t="s">
        <v>47153</v>
      </c>
      <c r="I11594" t="s">
        <v>47132</v>
      </c>
      <c r="J11594" t="s">
        <v>47133</v>
      </c>
      <c r="K11594" t="s">
        <v>47113</v>
      </c>
      <c r="L11594">
        <v>47.2</v>
      </c>
      <c r="M11594">
        <v>88</v>
      </c>
      <c r="N11594">
        <v>0</v>
      </c>
      <c r="O11594">
        <v>88</v>
      </c>
      <c r="P11594">
        <v>0</v>
      </c>
    </row>
    <row r="11595" spans="1:16" x14ac:dyDescent="0.25">
      <c r="A11595" t="s">
        <v>34362</v>
      </c>
      <c r="B11595" t="s">
        <v>8791</v>
      </c>
      <c r="C11595" t="s">
        <v>8024</v>
      </c>
      <c r="D11595" t="s">
        <v>311</v>
      </c>
      <c r="E11595" t="s">
        <v>3479</v>
      </c>
      <c r="F11595" t="s">
        <v>4</v>
      </c>
      <c r="G11595" t="s">
        <v>16231</v>
      </c>
      <c r="H11595" t="s">
        <v>47153</v>
      </c>
      <c r="I11595" t="s">
        <v>47132</v>
      </c>
      <c r="J11595" t="s">
        <v>47133</v>
      </c>
      <c r="K11595" t="s">
        <v>47113</v>
      </c>
      <c r="L11595">
        <v>40.39</v>
      </c>
      <c r="M11595">
        <v>72</v>
      </c>
      <c r="N11595">
        <v>0</v>
      </c>
      <c r="O11595">
        <v>72</v>
      </c>
      <c r="P11595">
        <v>0</v>
      </c>
    </row>
    <row r="11596" spans="1:16" x14ac:dyDescent="0.25">
      <c r="A11596" t="s">
        <v>34363</v>
      </c>
      <c r="B11596" t="s">
        <v>8792</v>
      </c>
      <c r="C11596" t="s">
        <v>8793</v>
      </c>
      <c r="D11596" t="s">
        <v>3662</v>
      </c>
      <c r="E11596" t="s">
        <v>3663</v>
      </c>
      <c r="F11596" t="s">
        <v>4</v>
      </c>
      <c r="G11596" t="s">
        <v>16231</v>
      </c>
      <c r="H11596" t="s">
        <v>47054</v>
      </c>
      <c r="I11596" t="s">
        <v>47111</v>
      </c>
      <c r="J11596" t="s">
        <v>47112</v>
      </c>
      <c r="K11596" t="s">
        <v>47113</v>
      </c>
      <c r="L11596">
        <v>37.79</v>
      </c>
      <c r="M11596">
        <v>92</v>
      </c>
      <c r="N11596">
        <v>0</v>
      </c>
      <c r="O11596">
        <v>92</v>
      </c>
      <c r="P11596">
        <v>0</v>
      </c>
    </row>
    <row r="11597" spans="1:16" x14ac:dyDescent="0.25">
      <c r="A11597" t="s">
        <v>34364</v>
      </c>
      <c r="B11597" t="s">
        <v>8792</v>
      </c>
      <c r="C11597" t="s">
        <v>8793</v>
      </c>
      <c r="D11597" t="s">
        <v>2436</v>
      </c>
      <c r="E11597" t="s">
        <v>2437</v>
      </c>
      <c r="F11597" t="s">
        <v>4</v>
      </c>
      <c r="G11597" t="s">
        <v>16231</v>
      </c>
      <c r="H11597" t="s">
        <v>47054</v>
      </c>
      <c r="I11597" t="s">
        <v>47111</v>
      </c>
      <c r="J11597" t="s">
        <v>47112</v>
      </c>
      <c r="K11597" t="s">
        <v>47113</v>
      </c>
      <c r="L11597">
        <v>42.42</v>
      </c>
      <c r="M11597">
        <v>103</v>
      </c>
      <c r="N11597">
        <v>0</v>
      </c>
      <c r="O11597">
        <v>103</v>
      </c>
      <c r="P11597">
        <v>0</v>
      </c>
    </row>
    <row r="11598" spans="1:16" x14ac:dyDescent="0.25">
      <c r="A11598" t="s">
        <v>34365</v>
      </c>
      <c r="B11598" t="s">
        <v>8794</v>
      </c>
      <c r="C11598" t="s">
        <v>8795</v>
      </c>
      <c r="D11598" t="s">
        <v>5400</v>
      </c>
      <c r="E11598" t="s">
        <v>5401</v>
      </c>
      <c r="F11598" t="s">
        <v>4</v>
      </c>
      <c r="G11598" t="s">
        <v>16231</v>
      </c>
      <c r="H11598" t="s">
        <v>47153</v>
      </c>
      <c r="I11598" t="s">
        <v>47132</v>
      </c>
      <c r="J11598" t="s">
        <v>47133</v>
      </c>
      <c r="K11598" t="s">
        <v>47113</v>
      </c>
      <c r="L11598">
        <v>48.49</v>
      </c>
      <c r="M11598">
        <v>88</v>
      </c>
      <c r="N11598">
        <v>0</v>
      </c>
      <c r="O11598">
        <v>88</v>
      </c>
      <c r="P11598">
        <v>0</v>
      </c>
    </row>
    <row r="11599" spans="1:16" x14ac:dyDescent="0.25">
      <c r="A11599" t="s">
        <v>34366</v>
      </c>
      <c r="B11599" t="s">
        <v>8794</v>
      </c>
      <c r="C11599" t="s">
        <v>8795</v>
      </c>
      <c r="D11599" t="s">
        <v>8785</v>
      </c>
      <c r="E11599" t="s">
        <v>8786</v>
      </c>
      <c r="F11599" t="s">
        <v>4</v>
      </c>
      <c r="G11599" t="s">
        <v>16231</v>
      </c>
      <c r="H11599" t="s">
        <v>47153</v>
      </c>
      <c r="I11599" t="s">
        <v>47132</v>
      </c>
      <c r="J11599" t="s">
        <v>47133</v>
      </c>
      <c r="K11599" t="s">
        <v>47113</v>
      </c>
      <c r="L11599">
        <v>48.01</v>
      </c>
      <c r="M11599">
        <v>88</v>
      </c>
      <c r="N11599">
        <v>0</v>
      </c>
      <c r="O11599">
        <v>88</v>
      </c>
      <c r="P11599">
        <v>0</v>
      </c>
    </row>
    <row r="11600" spans="1:16" x14ac:dyDescent="0.25">
      <c r="A11600" t="s">
        <v>34367</v>
      </c>
      <c r="B11600" t="s">
        <v>8794</v>
      </c>
      <c r="C11600" t="s">
        <v>8795</v>
      </c>
      <c r="D11600" t="s">
        <v>311</v>
      </c>
      <c r="E11600" t="s">
        <v>3479</v>
      </c>
      <c r="F11600" t="s">
        <v>4</v>
      </c>
      <c r="G11600" t="s">
        <v>16231</v>
      </c>
      <c r="H11600" t="s">
        <v>47153</v>
      </c>
      <c r="I11600" t="s">
        <v>47132</v>
      </c>
      <c r="J11600" t="s">
        <v>47133</v>
      </c>
      <c r="K11600" t="s">
        <v>47113</v>
      </c>
      <c r="L11600">
        <v>40.39</v>
      </c>
      <c r="M11600">
        <v>72</v>
      </c>
      <c r="N11600">
        <v>0</v>
      </c>
      <c r="O11600">
        <v>72</v>
      </c>
      <c r="P11600">
        <v>0</v>
      </c>
    </row>
    <row r="11601" spans="1:16" x14ac:dyDescent="0.25">
      <c r="A11601" t="s">
        <v>48199</v>
      </c>
      <c r="B11601" t="s">
        <v>48200</v>
      </c>
      <c r="C11601" t="s">
        <v>48201</v>
      </c>
      <c r="D11601" t="str">
        <f>"1014"</f>
        <v>1014</v>
      </c>
      <c r="E11601" t="s">
        <v>16045</v>
      </c>
      <c r="F11601" t="s">
        <v>47185</v>
      </c>
      <c r="G11601" t="s">
        <v>16222</v>
      </c>
      <c r="H11601" t="s">
        <v>47054</v>
      </c>
      <c r="I11601" t="s">
        <v>47118</v>
      </c>
      <c r="J11601" t="s">
        <v>47119</v>
      </c>
      <c r="K11601" t="s">
        <v>47113</v>
      </c>
      <c r="L11601">
        <v>20.78</v>
      </c>
      <c r="M11601">
        <v>48</v>
      </c>
      <c r="N11601">
        <v>129</v>
      </c>
      <c r="O11601">
        <v>48</v>
      </c>
      <c r="P11601">
        <v>129</v>
      </c>
    </row>
    <row r="11602" spans="1:16" x14ac:dyDescent="0.25">
      <c r="A11602" t="s">
        <v>48202</v>
      </c>
      <c r="B11602" t="s">
        <v>48203</v>
      </c>
      <c r="C11602" t="s">
        <v>48204</v>
      </c>
      <c r="D11602" t="str">
        <f>"1100"</f>
        <v>1100</v>
      </c>
      <c r="E11602" t="s">
        <v>54</v>
      </c>
      <c r="F11602" t="s">
        <v>46687</v>
      </c>
      <c r="G11602" t="s">
        <v>16222</v>
      </c>
      <c r="H11602" t="s">
        <v>47054</v>
      </c>
      <c r="I11602" t="s">
        <v>47118</v>
      </c>
      <c r="J11602" t="s">
        <v>47119</v>
      </c>
      <c r="K11602" t="s">
        <v>47113</v>
      </c>
      <c r="L11602">
        <v>21.75</v>
      </c>
      <c r="M11602">
        <v>48</v>
      </c>
      <c r="N11602">
        <v>129</v>
      </c>
      <c r="O11602">
        <v>48</v>
      </c>
      <c r="P11602">
        <v>129</v>
      </c>
    </row>
    <row r="11603" spans="1:16" x14ac:dyDescent="0.25">
      <c r="A11603" t="s">
        <v>48205</v>
      </c>
      <c r="B11603" t="s">
        <v>48206</v>
      </c>
      <c r="C11603" t="s">
        <v>48207</v>
      </c>
      <c r="D11603" t="str">
        <f>"1001"</f>
        <v>1001</v>
      </c>
      <c r="E11603" t="s">
        <v>16045</v>
      </c>
      <c r="F11603" t="s">
        <v>31484</v>
      </c>
      <c r="G11603" t="s">
        <v>16222</v>
      </c>
      <c r="H11603" t="s">
        <v>47054</v>
      </c>
      <c r="I11603" t="s">
        <v>47120</v>
      </c>
      <c r="J11603" t="s">
        <v>47121</v>
      </c>
      <c r="K11603" t="s">
        <v>47113</v>
      </c>
      <c r="L11603">
        <v>29.28</v>
      </c>
      <c r="M11603">
        <v>48</v>
      </c>
      <c r="N11603">
        <v>129</v>
      </c>
      <c r="O11603">
        <v>48</v>
      </c>
      <c r="P11603">
        <v>129</v>
      </c>
    </row>
    <row r="11604" spans="1:16" x14ac:dyDescent="0.25">
      <c r="A11604" t="s">
        <v>48208</v>
      </c>
      <c r="B11604" t="s">
        <v>48206</v>
      </c>
      <c r="C11604" t="s">
        <v>48207</v>
      </c>
      <c r="D11604" t="str">
        <f>"6000"</f>
        <v>6000</v>
      </c>
      <c r="E11604" t="s">
        <v>6279</v>
      </c>
      <c r="F11604" t="s">
        <v>31484</v>
      </c>
      <c r="G11604" t="s">
        <v>16222</v>
      </c>
      <c r="H11604" t="s">
        <v>47054</v>
      </c>
      <c r="I11604" t="s">
        <v>47120</v>
      </c>
      <c r="J11604" t="s">
        <v>47121</v>
      </c>
      <c r="K11604" t="s">
        <v>47113</v>
      </c>
      <c r="L11604">
        <v>29.28</v>
      </c>
      <c r="M11604">
        <v>48</v>
      </c>
      <c r="N11604">
        <v>129</v>
      </c>
      <c r="O11604">
        <v>48</v>
      </c>
      <c r="P11604">
        <v>129</v>
      </c>
    </row>
    <row r="11605" spans="1:16" x14ac:dyDescent="0.25">
      <c r="A11605" t="s">
        <v>48209</v>
      </c>
      <c r="B11605" t="s">
        <v>48210</v>
      </c>
      <c r="C11605" t="s">
        <v>20242</v>
      </c>
      <c r="D11605" t="str">
        <f>"1014"</f>
        <v>1014</v>
      </c>
      <c r="E11605" t="s">
        <v>16045</v>
      </c>
      <c r="F11605" t="s">
        <v>47185</v>
      </c>
      <c r="G11605" t="s">
        <v>16222</v>
      </c>
      <c r="H11605" t="s">
        <v>47054</v>
      </c>
      <c r="I11605" t="s">
        <v>47120</v>
      </c>
      <c r="J11605" t="s">
        <v>47121</v>
      </c>
      <c r="K11605" t="s">
        <v>47113</v>
      </c>
      <c r="L11605">
        <v>25.1</v>
      </c>
      <c r="M11605">
        <v>63</v>
      </c>
      <c r="N11605">
        <v>169</v>
      </c>
      <c r="O11605">
        <v>63</v>
      </c>
      <c r="P11605">
        <v>169</v>
      </c>
    </row>
    <row r="11606" spans="1:16" x14ac:dyDescent="0.25">
      <c r="A11606" t="s">
        <v>48211</v>
      </c>
      <c r="B11606" t="s">
        <v>48212</v>
      </c>
      <c r="C11606" t="s">
        <v>48213</v>
      </c>
      <c r="D11606" t="str">
        <f>"1001"</f>
        <v>1001</v>
      </c>
      <c r="E11606" t="s">
        <v>42</v>
      </c>
      <c r="F11606" t="s">
        <v>47171</v>
      </c>
      <c r="G11606" t="s">
        <v>16235</v>
      </c>
      <c r="H11606" t="s">
        <v>47054</v>
      </c>
      <c r="I11606" t="s">
        <v>47120</v>
      </c>
      <c r="J11606" t="s">
        <v>47121</v>
      </c>
      <c r="K11606" t="s">
        <v>47113</v>
      </c>
      <c r="L11606">
        <v>41.32</v>
      </c>
      <c r="M11606">
        <v>92</v>
      </c>
      <c r="N11606">
        <v>249</v>
      </c>
      <c r="O11606">
        <v>92</v>
      </c>
      <c r="P11606">
        <v>249</v>
      </c>
    </row>
    <row r="11607" spans="1:16" x14ac:dyDescent="0.25">
      <c r="A11607" t="s">
        <v>48214</v>
      </c>
      <c r="B11607" t="s">
        <v>48212</v>
      </c>
      <c r="C11607" t="s">
        <v>48213</v>
      </c>
      <c r="D11607" t="str">
        <f>"2701"</f>
        <v>2701</v>
      </c>
      <c r="E11607" t="s">
        <v>48215</v>
      </c>
      <c r="F11607" t="s">
        <v>47171</v>
      </c>
      <c r="G11607" t="s">
        <v>16235</v>
      </c>
      <c r="H11607" t="s">
        <v>47054</v>
      </c>
      <c r="I11607" t="s">
        <v>47120</v>
      </c>
      <c r="J11607" t="s">
        <v>47121</v>
      </c>
      <c r="K11607" t="s">
        <v>47113</v>
      </c>
      <c r="L11607">
        <v>41.32</v>
      </c>
      <c r="M11607">
        <v>92</v>
      </c>
      <c r="N11607">
        <v>249</v>
      </c>
      <c r="O11607">
        <v>92</v>
      </c>
      <c r="P11607">
        <v>249</v>
      </c>
    </row>
    <row r="11608" spans="1:16" x14ac:dyDescent="0.25">
      <c r="A11608" t="s">
        <v>48216</v>
      </c>
      <c r="B11608" t="s">
        <v>48212</v>
      </c>
      <c r="C11608" t="s">
        <v>48213</v>
      </c>
      <c r="D11608" t="str">
        <f>"3196"</f>
        <v>3196</v>
      </c>
      <c r="E11608" t="s">
        <v>24691</v>
      </c>
      <c r="F11608" t="s">
        <v>47171</v>
      </c>
      <c r="G11608" t="s">
        <v>16235</v>
      </c>
      <c r="H11608" t="s">
        <v>47054</v>
      </c>
      <c r="I11608" t="s">
        <v>47120</v>
      </c>
      <c r="J11608" t="s">
        <v>47121</v>
      </c>
      <c r="K11608" t="s">
        <v>47113</v>
      </c>
      <c r="L11608">
        <v>41.32</v>
      </c>
      <c r="M11608">
        <v>92</v>
      </c>
      <c r="N11608">
        <v>249</v>
      </c>
      <c r="O11608">
        <v>92</v>
      </c>
      <c r="P11608">
        <v>249</v>
      </c>
    </row>
    <row r="11609" spans="1:16" x14ac:dyDescent="0.25">
      <c r="A11609" t="s">
        <v>48217</v>
      </c>
      <c r="B11609" t="s">
        <v>48218</v>
      </c>
      <c r="C11609" t="s">
        <v>48219</v>
      </c>
      <c r="D11609" t="str">
        <f>"1001"</f>
        <v>1001</v>
      </c>
      <c r="E11609" t="s">
        <v>42</v>
      </c>
      <c r="F11609" t="s">
        <v>47479</v>
      </c>
      <c r="G11609" t="s">
        <v>16222</v>
      </c>
      <c r="H11609" t="s">
        <v>47054</v>
      </c>
      <c r="I11609" t="s">
        <v>47120</v>
      </c>
      <c r="J11609" t="s">
        <v>47121</v>
      </c>
      <c r="K11609" t="s">
        <v>47113</v>
      </c>
      <c r="L11609">
        <v>36.36</v>
      </c>
      <c r="M11609">
        <v>74</v>
      </c>
      <c r="N11609">
        <v>199</v>
      </c>
      <c r="O11609">
        <v>74</v>
      </c>
      <c r="P11609">
        <v>199</v>
      </c>
    </row>
    <row r="11610" spans="1:16" x14ac:dyDescent="0.25">
      <c r="A11610" t="s">
        <v>48220</v>
      </c>
      <c r="B11610" t="s">
        <v>48221</v>
      </c>
      <c r="C11610" t="s">
        <v>48222</v>
      </c>
      <c r="D11610" t="str">
        <f>"1001"</f>
        <v>1001</v>
      </c>
      <c r="E11610" t="s">
        <v>42</v>
      </c>
      <c r="F11610" t="s">
        <v>47171</v>
      </c>
      <c r="G11610" t="s">
        <v>16222</v>
      </c>
      <c r="H11610" t="s">
        <v>47054</v>
      </c>
      <c r="I11610" t="s">
        <v>47120</v>
      </c>
      <c r="J11610" t="s">
        <v>47121</v>
      </c>
      <c r="K11610" t="s">
        <v>47113</v>
      </c>
      <c r="L11610">
        <v>33.729999999999997</v>
      </c>
      <c r="M11610">
        <v>74</v>
      </c>
      <c r="N11610">
        <v>199</v>
      </c>
      <c r="O11610">
        <v>74</v>
      </c>
      <c r="P11610">
        <v>199</v>
      </c>
    </row>
    <row r="11611" spans="1:16" x14ac:dyDescent="0.25">
      <c r="A11611" t="s">
        <v>48223</v>
      </c>
      <c r="B11611" t="s">
        <v>48221</v>
      </c>
      <c r="C11611" t="s">
        <v>48222</v>
      </c>
      <c r="D11611" t="str">
        <f>"3106"</f>
        <v>3106</v>
      </c>
      <c r="E11611" t="s">
        <v>24691</v>
      </c>
      <c r="F11611" t="s">
        <v>47171</v>
      </c>
      <c r="G11611" t="s">
        <v>16222</v>
      </c>
      <c r="H11611" t="s">
        <v>47054</v>
      </c>
      <c r="I11611" t="s">
        <v>47120</v>
      </c>
      <c r="J11611" t="s">
        <v>47121</v>
      </c>
      <c r="K11611" t="s">
        <v>47113</v>
      </c>
      <c r="L11611">
        <v>33.729999999999997</v>
      </c>
      <c r="M11611">
        <v>74</v>
      </c>
      <c r="N11611">
        <v>199</v>
      </c>
      <c r="O11611">
        <v>74</v>
      </c>
      <c r="P11611">
        <v>199</v>
      </c>
    </row>
    <row r="11612" spans="1:16" x14ac:dyDescent="0.25">
      <c r="A11612" t="s">
        <v>48224</v>
      </c>
      <c r="B11612" t="s">
        <v>48225</v>
      </c>
      <c r="C11612" t="s">
        <v>48226</v>
      </c>
      <c r="D11612" t="str">
        <f>"4143"</f>
        <v>4143</v>
      </c>
      <c r="E11612" t="s">
        <v>48227</v>
      </c>
      <c r="F11612" t="s">
        <v>47163</v>
      </c>
      <c r="G11612" t="s">
        <v>16230</v>
      </c>
      <c r="H11612" t="s">
        <v>47054</v>
      </c>
      <c r="I11612" t="s">
        <v>47120</v>
      </c>
      <c r="J11612" t="s">
        <v>47121</v>
      </c>
      <c r="K11612" t="s">
        <v>47113</v>
      </c>
      <c r="L11612">
        <v>29.84</v>
      </c>
      <c r="M11612">
        <v>70</v>
      </c>
      <c r="N11612">
        <v>189</v>
      </c>
      <c r="O11612">
        <v>70</v>
      </c>
      <c r="P11612">
        <v>189</v>
      </c>
    </row>
    <row r="11613" spans="1:16" x14ac:dyDescent="0.25">
      <c r="A11613" t="s">
        <v>48228</v>
      </c>
      <c r="B11613" t="s">
        <v>48229</v>
      </c>
      <c r="C11613" t="s">
        <v>48230</v>
      </c>
      <c r="D11613" t="str">
        <f>"7000"</f>
        <v>7000</v>
      </c>
      <c r="E11613" t="s">
        <v>48231</v>
      </c>
      <c r="F11613" t="s">
        <v>31484</v>
      </c>
      <c r="G11613" t="s">
        <v>16230</v>
      </c>
      <c r="H11613" t="s">
        <v>47054</v>
      </c>
      <c r="I11613" t="s">
        <v>47120</v>
      </c>
      <c r="J11613" t="s">
        <v>47121</v>
      </c>
      <c r="K11613" t="s">
        <v>47113</v>
      </c>
      <c r="L11613">
        <v>31.43</v>
      </c>
      <c r="M11613">
        <v>63</v>
      </c>
      <c r="N11613">
        <v>169</v>
      </c>
      <c r="O11613">
        <v>63</v>
      </c>
      <c r="P11613">
        <v>169</v>
      </c>
    </row>
    <row r="11614" spans="1:16" x14ac:dyDescent="0.25">
      <c r="A11614" t="s">
        <v>48232</v>
      </c>
      <c r="B11614" t="s">
        <v>48233</v>
      </c>
      <c r="C11614" t="s">
        <v>48234</v>
      </c>
      <c r="D11614" t="str">
        <f>"4105"</f>
        <v>4105</v>
      </c>
      <c r="E11614" t="s">
        <v>48235</v>
      </c>
      <c r="F11614" t="s">
        <v>46687</v>
      </c>
      <c r="G11614" t="s">
        <v>16230</v>
      </c>
      <c r="H11614" t="s">
        <v>47054</v>
      </c>
      <c r="I11614" t="s">
        <v>47120</v>
      </c>
      <c r="J11614" t="s">
        <v>47121</v>
      </c>
      <c r="K11614" t="s">
        <v>47113</v>
      </c>
      <c r="L11614">
        <v>29.47</v>
      </c>
      <c r="M11614">
        <v>74</v>
      </c>
      <c r="N11614">
        <v>199</v>
      </c>
      <c r="O11614">
        <v>74</v>
      </c>
      <c r="P11614">
        <v>199</v>
      </c>
    </row>
    <row r="11615" spans="1:16" x14ac:dyDescent="0.25">
      <c r="A11615" t="s">
        <v>48236</v>
      </c>
      <c r="B11615" t="s">
        <v>48233</v>
      </c>
      <c r="C11615" t="s">
        <v>48234</v>
      </c>
      <c r="D11615" t="str">
        <f>"4143"</f>
        <v>4143</v>
      </c>
      <c r="E11615" t="s">
        <v>48237</v>
      </c>
      <c r="F11615" t="s">
        <v>46687</v>
      </c>
      <c r="G11615" t="s">
        <v>16230</v>
      </c>
      <c r="H11615" t="s">
        <v>47054</v>
      </c>
      <c r="I11615" t="s">
        <v>47120</v>
      </c>
      <c r="J11615" t="s">
        <v>47121</v>
      </c>
      <c r="K11615" t="s">
        <v>47113</v>
      </c>
      <c r="L11615">
        <v>35.770000000000003</v>
      </c>
      <c r="M11615">
        <v>92</v>
      </c>
      <c r="N11615">
        <v>249</v>
      </c>
      <c r="O11615">
        <v>92</v>
      </c>
      <c r="P11615">
        <v>249</v>
      </c>
    </row>
    <row r="11616" spans="1:16" x14ac:dyDescent="0.25">
      <c r="A11616" t="s">
        <v>48238</v>
      </c>
      <c r="B11616" t="s">
        <v>48239</v>
      </c>
      <c r="C11616" t="s">
        <v>48240</v>
      </c>
      <c r="D11616" t="str">
        <f>"1800"</f>
        <v>1800</v>
      </c>
      <c r="E11616" t="s">
        <v>1999</v>
      </c>
      <c r="F11616" t="s">
        <v>31484</v>
      </c>
      <c r="G11616" t="s">
        <v>16230</v>
      </c>
      <c r="H11616" t="s">
        <v>47054</v>
      </c>
      <c r="I11616" t="s">
        <v>47118</v>
      </c>
      <c r="J11616" t="s">
        <v>47119</v>
      </c>
      <c r="K11616" t="s">
        <v>47113</v>
      </c>
      <c r="L11616">
        <v>24.63</v>
      </c>
      <c r="M11616">
        <v>70</v>
      </c>
      <c r="N11616">
        <v>189</v>
      </c>
      <c r="O11616">
        <v>70</v>
      </c>
      <c r="P11616">
        <v>189</v>
      </c>
    </row>
    <row r="11617" spans="1:16" x14ac:dyDescent="0.25">
      <c r="A11617" t="s">
        <v>48241</v>
      </c>
      <c r="B11617" t="s">
        <v>48242</v>
      </c>
      <c r="C11617" t="s">
        <v>48243</v>
      </c>
      <c r="D11617" t="str">
        <f>"3105"</f>
        <v>3105</v>
      </c>
      <c r="E11617" t="s">
        <v>48244</v>
      </c>
      <c r="F11617" t="s">
        <v>47185</v>
      </c>
      <c r="G11617" t="s">
        <v>16230</v>
      </c>
      <c r="H11617" t="s">
        <v>47054</v>
      </c>
      <c r="I11617" t="s">
        <v>47120</v>
      </c>
      <c r="J11617" t="s">
        <v>47121</v>
      </c>
      <c r="K11617" t="s">
        <v>47113</v>
      </c>
      <c r="L11617">
        <v>27.5</v>
      </c>
      <c r="M11617">
        <v>63</v>
      </c>
      <c r="N11617">
        <v>169</v>
      </c>
      <c r="O11617">
        <v>63</v>
      </c>
      <c r="P11617">
        <v>169</v>
      </c>
    </row>
    <row r="11618" spans="1:16" x14ac:dyDescent="0.25">
      <c r="A11618" t="s">
        <v>48245</v>
      </c>
      <c r="B11618" t="s">
        <v>48246</v>
      </c>
      <c r="C11618" t="s">
        <v>24738</v>
      </c>
      <c r="D11618" t="str">
        <f>"1800"</f>
        <v>1800</v>
      </c>
      <c r="E11618" t="s">
        <v>1999</v>
      </c>
      <c r="F11618" t="s">
        <v>47163</v>
      </c>
      <c r="G11618" t="s">
        <v>16221</v>
      </c>
      <c r="H11618" t="s">
        <v>47054</v>
      </c>
      <c r="I11618" t="s">
        <v>47118</v>
      </c>
      <c r="J11618" t="s">
        <v>47119</v>
      </c>
      <c r="K11618" t="s">
        <v>47113</v>
      </c>
      <c r="L11618">
        <v>19.899999999999999</v>
      </c>
      <c r="M11618">
        <v>48</v>
      </c>
      <c r="N11618">
        <v>129</v>
      </c>
      <c r="O11618">
        <v>48</v>
      </c>
      <c r="P11618">
        <v>129</v>
      </c>
    </row>
    <row r="11619" spans="1:16" x14ac:dyDescent="0.25">
      <c r="A11619" t="s">
        <v>48247</v>
      </c>
      <c r="B11619" t="s">
        <v>48248</v>
      </c>
      <c r="C11619" t="s">
        <v>48249</v>
      </c>
      <c r="D11619" t="str">
        <f>"1006"</f>
        <v>1006</v>
      </c>
      <c r="E11619" t="s">
        <v>16045</v>
      </c>
      <c r="F11619" t="s">
        <v>47163</v>
      </c>
      <c r="G11619" t="s">
        <v>16221</v>
      </c>
      <c r="H11619" t="s">
        <v>47054</v>
      </c>
      <c r="I11619" t="s">
        <v>47118</v>
      </c>
      <c r="J11619" t="s">
        <v>47119</v>
      </c>
      <c r="K11619" t="s">
        <v>47113</v>
      </c>
      <c r="L11619">
        <v>18.13</v>
      </c>
      <c r="M11619">
        <v>48</v>
      </c>
      <c r="N11619">
        <v>129</v>
      </c>
      <c r="O11619">
        <v>48</v>
      </c>
      <c r="P11619">
        <v>129</v>
      </c>
    </row>
    <row r="11620" spans="1:16" x14ac:dyDescent="0.25">
      <c r="A11620" t="s">
        <v>48250</v>
      </c>
      <c r="B11620" t="s">
        <v>48248</v>
      </c>
      <c r="C11620" t="s">
        <v>48249</v>
      </c>
      <c r="D11620" t="str">
        <f>"6000"</f>
        <v>6000</v>
      </c>
      <c r="E11620" t="s">
        <v>6279</v>
      </c>
      <c r="F11620" t="s">
        <v>47163</v>
      </c>
      <c r="G11620" t="s">
        <v>16221</v>
      </c>
      <c r="H11620" t="s">
        <v>47054</v>
      </c>
      <c r="I11620" t="s">
        <v>47118</v>
      </c>
      <c r="J11620" t="s">
        <v>47119</v>
      </c>
      <c r="K11620" t="s">
        <v>47113</v>
      </c>
      <c r="L11620">
        <v>18.13</v>
      </c>
      <c r="M11620">
        <v>48</v>
      </c>
      <c r="N11620">
        <v>129</v>
      </c>
      <c r="O11620">
        <v>48</v>
      </c>
      <c r="P11620">
        <v>129</v>
      </c>
    </row>
    <row r="11621" spans="1:16" x14ac:dyDescent="0.25">
      <c r="A11621" t="s">
        <v>48251</v>
      </c>
      <c r="B11621" t="s">
        <v>48252</v>
      </c>
      <c r="C11621" t="s">
        <v>48253</v>
      </c>
      <c r="D11621" t="str">
        <f>"1501"</f>
        <v>1501</v>
      </c>
      <c r="E11621" t="s">
        <v>46</v>
      </c>
      <c r="F11621" t="s">
        <v>47488</v>
      </c>
      <c r="G11621" t="s">
        <v>16221</v>
      </c>
      <c r="H11621" t="s">
        <v>47054</v>
      </c>
      <c r="I11621" t="s">
        <v>47569</v>
      </c>
      <c r="J11621" t="s">
        <v>47570</v>
      </c>
      <c r="K11621" t="s">
        <v>47113</v>
      </c>
      <c r="L11621">
        <v>17.14</v>
      </c>
      <c r="M11621">
        <v>48</v>
      </c>
      <c r="N11621">
        <v>129</v>
      </c>
      <c r="O11621">
        <v>48</v>
      </c>
      <c r="P11621">
        <v>129</v>
      </c>
    </row>
    <row r="11622" spans="1:16" x14ac:dyDescent="0.25">
      <c r="A11622" t="s">
        <v>48254</v>
      </c>
      <c r="B11622" t="s">
        <v>48255</v>
      </c>
      <c r="C11622" t="s">
        <v>48256</v>
      </c>
      <c r="D11622" t="str">
        <f>"4100"</f>
        <v>4100</v>
      </c>
      <c r="E11622" t="s">
        <v>15303</v>
      </c>
      <c r="F11622" t="s">
        <v>47163</v>
      </c>
      <c r="G11622" t="s">
        <v>16232</v>
      </c>
      <c r="H11622" t="s">
        <v>47054</v>
      </c>
      <c r="I11622" t="s">
        <v>47120</v>
      </c>
      <c r="J11622" t="s">
        <v>47121</v>
      </c>
      <c r="K11622" t="s">
        <v>47113</v>
      </c>
      <c r="L11622">
        <v>17.100000000000001</v>
      </c>
      <c r="M11622">
        <v>37</v>
      </c>
      <c r="N11622">
        <v>99</v>
      </c>
      <c r="O11622">
        <v>37</v>
      </c>
      <c r="P11622">
        <v>99</v>
      </c>
    </row>
    <row r="11623" spans="1:16" x14ac:dyDescent="0.25">
      <c r="A11623" t="s">
        <v>48257</v>
      </c>
      <c r="B11623" t="s">
        <v>48255</v>
      </c>
      <c r="C11623" t="s">
        <v>48256</v>
      </c>
      <c r="D11623" t="str">
        <f>"6000"</f>
        <v>6000</v>
      </c>
      <c r="E11623" t="s">
        <v>6279</v>
      </c>
      <c r="F11623" t="s">
        <v>47163</v>
      </c>
      <c r="G11623" t="s">
        <v>16232</v>
      </c>
      <c r="H11623" t="s">
        <v>47054</v>
      </c>
      <c r="I11623" t="s">
        <v>47120</v>
      </c>
      <c r="J11623" t="s">
        <v>47121</v>
      </c>
      <c r="K11623" t="s">
        <v>47113</v>
      </c>
      <c r="L11623">
        <v>17.100000000000001</v>
      </c>
      <c r="M11623">
        <v>37</v>
      </c>
      <c r="N11623">
        <v>99</v>
      </c>
      <c r="O11623">
        <v>37</v>
      </c>
      <c r="P11623">
        <v>99</v>
      </c>
    </row>
    <row r="11624" spans="1:16" x14ac:dyDescent="0.25">
      <c r="A11624" t="s">
        <v>48258</v>
      </c>
      <c r="B11624" t="s">
        <v>48259</v>
      </c>
      <c r="C11624" t="s">
        <v>16411</v>
      </c>
      <c r="D11624" t="str">
        <f>"1001"</f>
        <v>1001</v>
      </c>
      <c r="E11624" t="s">
        <v>42</v>
      </c>
      <c r="F11624" t="s">
        <v>47488</v>
      </c>
      <c r="G11624" t="s">
        <v>16232</v>
      </c>
      <c r="H11624" t="s">
        <v>47054</v>
      </c>
      <c r="I11624" t="s">
        <v>47154</v>
      </c>
      <c r="J11624" t="s">
        <v>47155</v>
      </c>
      <c r="K11624" t="s">
        <v>47113</v>
      </c>
      <c r="L11624">
        <v>8.81</v>
      </c>
      <c r="M11624">
        <v>22</v>
      </c>
      <c r="N11624">
        <v>59</v>
      </c>
      <c r="O11624">
        <v>22</v>
      </c>
      <c r="P11624">
        <v>59</v>
      </c>
    </row>
    <row r="11625" spans="1:16" x14ac:dyDescent="0.25">
      <c r="A11625" t="s">
        <v>48260</v>
      </c>
      <c r="B11625" t="s">
        <v>48259</v>
      </c>
      <c r="C11625" t="s">
        <v>16411</v>
      </c>
      <c r="D11625" t="str">
        <f>"3196"</f>
        <v>3196</v>
      </c>
      <c r="E11625" t="s">
        <v>24691</v>
      </c>
      <c r="F11625" t="s">
        <v>47488</v>
      </c>
      <c r="G11625" t="s">
        <v>16232</v>
      </c>
      <c r="H11625" t="s">
        <v>47054</v>
      </c>
      <c r="I11625" t="s">
        <v>47154</v>
      </c>
      <c r="J11625" t="s">
        <v>47155</v>
      </c>
      <c r="K11625" t="s">
        <v>47113</v>
      </c>
      <c r="L11625">
        <v>8.81</v>
      </c>
      <c r="M11625">
        <v>22</v>
      </c>
      <c r="N11625">
        <v>59</v>
      </c>
      <c r="O11625">
        <v>22</v>
      </c>
      <c r="P11625">
        <v>59</v>
      </c>
    </row>
    <row r="11626" spans="1:16" x14ac:dyDescent="0.25">
      <c r="A11626" t="s">
        <v>48261</v>
      </c>
      <c r="B11626" t="s">
        <v>48262</v>
      </c>
      <c r="C11626" t="s">
        <v>48263</v>
      </c>
      <c r="D11626" t="str">
        <f>"1800"</f>
        <v>1800</v>
      </c>
      <c r="E11626" t="s">
        <v>1999</v>
      </c>
      <c r="F11626" t="s">
        <v>31484</v>
      </c>
      <c r="G11626" t="s">
        <v>16221</v>
      </c>
      <c r="H11626" t="s">
        <v>47054</v>
      </c>
      <c r="I11626" t="s">
        <v>47120</v>
      </c>
      <c r="J11626" t="s">
        <v>47121</v>
      </c>
      <c r="K11626" t="s">
        <v>47113</v>
      </c>
      <c r="L11626">
        <v>5.59</v>
      </c>
      <c r="M11626">
        <v>22</v>
      </c>
      <c r="N11626">
        <v>59</v>
      </c>
      <c r="O11626">
        <v>22</v>
      </c>
      <c r="P11626">
        <v>59</v>
      </c>
    </row>
    <row r="11627" spans="1:16" x14ac:dyDescent="0.25">
      <c r="A11627" t="s">
        <v>48264</v>
      </c>
      <c r="B11627" t="s">
        <v>48265</v>
      </c>
      <c r="C11627" t="s">
        <v>48266</v>
      </c>
      <c r="D11627" t="str">
        <f>"1836"</f>
        <v>1836</v>
      </c>
      <c r="E11627" t="s">
        <v>48267</v>
      </c>
      <c r="F11627" t="s">
        <v>31484</v>
      </c>
      <c r="G11627" t="s">
        <v>16232</v>
      </c>
      <c r="H11627" t="s">
        <v>47054</v>
      </c>
      <c r="I11627" t="s">
        <v>47154</v>
      </c>
      <c r="J11627" t="s">
        <v>47155</v>
      </c>
      <c r="K11627" t="s">
        <v>47113</v>
      </c>
      <c r="L11627">
        <v>10.220000000000001</v>
      </c>
      <c r="M11627">
        <v>26</v>
      </c>
      <c r="N11627">
        <v>69</v>
      </c>
      <c r="O11627">
        <v>26</v>
      </c>
      <c r="P11627">
        <v>69</v>
      </c>
    </row>
    <row r="11628" spans="1:16" x14ac:dyDescent="0.25">
      <c r="A11628" t="s">
        <v>48268</v>
      </c>
      <c r="B11628" t="s">
        <v>48269</v>
      </c>
      <c r="C11628" t="s">
        <v>48270</v>
      </c>
      <c r="D11628" t="str">
        <f>"1014"</f>
        <v>1014</v>
      </c>
      <c r="E11628" t="s">
        <v>16045</v>
      </c>
      <c r="F11628" t="s">
        <v>31484</v>
      </c>
      <c r="G11628" t="s">
        <v>16232</v>
      </c>
      <c r="H11628" t="s">
        <v>47054</v>
      </c>
      <c r="I11628" t="s">
        <v>47154</v>
      </c>
      <c r="J11628" t="s">
        <v>47155</v>
      </c>
      <c r="K11628" t="s">
        <v>47113</v>
      </c>
      <c r="L11628">
        <v>9.68</v>
      </c>
      <c r="M11628">
        <v>29</v>
      </c>
      <c r="N11628">
        <v>79</v>
      </c>
      <c r="O11628">
        <v>29</v>
      </c>
      <c r="P11628">
        <v>79</v>
      </c>
    </row>
    <row r="11629" spans="1:16" x14ac:dyDescent="0.25">
      <c r="A11629" t="s">
        <v>48271</v>
      </c>
      <c r="B11629" t="s">
        <v>48269</v>
      </c>
      <c r="C11629" t="s">
        <v>48270</v>
      </c>
      <c r="D11629" t="str">
        <f>"3196"</f>
        <v>3196</v>
      </c>
      <c r="E11629" t="s">
        <v>230</v>
      </c>
      <c r="F11629" t="s">
        <v>31484</v>
      </c>
      <c r="G11629" t="s">
        <v>16232</v>
      </c>
      <c r="H11629" t="s">
        <v>47054</v>
      </c>
      <c r="I11629" t="s">
        <v>47154</v>
      </c>
      <c r="J11629" t="s">
        <v>47155</v>
      </c>
      <c r="K11629" t="s">
        <v>47113</v>
      </c>
      <c r="L11629">
        <v>13.09</v>
      </c>
      <c r="M11629">
        <v>29</v>
      </c>
      <c r="N11629">
        <v>79</v>
      </c>
      <c r="O11629">
        <v>29</v>
      </c>
      <c r="P11629">
        <v>79</v>
      </c>
    </row>
    <row r="11630" spans="1:16" x14ac:dyDescent="0.25">
      <c r="A11630" t="s">
        <v>34368</v>
      </c>
      <c r="B11630" t="s">
        <v>8796</v>
      </c>
      <c r="C11630" t="s">
        <v>5973</v>
      </c>
      <c r="D11630" t="str">
        <f>"1024"</f>
        <v>1024</v>
      </c>
      <c r="E11630" t="s">
        <v>717</v>
      </c>
      <c r="F11630" t="s">
        <v>4</v>
      </c>
      <c r="G11630" t="s">
        <v>16230</v>
      </c>
      <c r="H11630" t="s">
        <v>47054</v>
      </c>
      <c r="I11630" t="s">
        <v>47118</v>
      </c>
      <c r="J11630" t="s">
        <v>47119</v>
      </c>
      <c r="K11630" t="s">
        <v>47113</v>
      </c>
      <c r="L11630">
        <v>23.85</v>
      </c>
      <c r="M11630">
        <v>58</v>
      </c>
      <c r="N11630">
        <v>0</v>
      </c>
      <c r="O11630">
        <v>58</v>
      </c>
      <c r="P11630">
        <v>0</v>
      </c>
    </row>
    <row r="11631" spans="1:16" x14ac:dyDescent="0.25">
      <c r="A11631" t="s">
        <v>34369</v>
      </c>
      <c r="B11631" t="s">
        <v>8796</v>
      </c>
      <c r="C11631" t="s">
        <v>5973</v>
      </c>
      <c r="D11631" t="str">
        <f>"3558"</f>
        <v>3558</v>
      </c>
      <c r="E11631" t="s">
        <v>8797</v>
      </c>
      <c r="F11631" t="s">
        <v>4</v>
      </c>
      <c r="G11631" t="s">
        <v>16230</v>
      </c>
      <c r="H11631" t="s">
        <v>47054</v>
      </c>
      <c r="I11631" t="s">
        <v>47118</v>
      </c>
      <c r="J11631" t="s">
        <v>47119</v>
      </c>
      <c r="K11631" t="s">
        <v>47113</v>
      </c>
      <c r="L11631">
        <v>23.85</v>
      </c>
      <c r="M11631">
        <v>58</v>
      </c>
      <c r="N11631">
        <v>0</v>
      </c>
      <c r="O11631">
        <v>58</v>
      </c>
      <c r="P11631">
        <v>0</v>
      </c>
    </row>
    <row r="11632" spans="1:16" x14ac:dyDescent="0.25">
      <c r="A11632" t="s">
        <v>48272</v>
      </c>
      <c r="B11632" t="s">
        <v>48273</v>
      </c>
      <c r="C11632" t="s">
        <v>20075</v>
      </c>
      <c r="D11632" t="str">
        <f>"1001"</f>
        <v>1001</v>
      </c>
      <c r="E11632" t="s">
        <v>42</v>
      </c>
      <c r="F11632" t="s">
        <v>47488</v>
      </c>
      <c r="G11632" t="s">
        <v>16232</v>
      </c>
      <c r="H11632" t="s">
        <v>47054</v>
      </c>
      <c r="I11632" t="s">
        <v>47120</v>
      </c>
      <c r="J11632" t="s">
        <v>47121</v>
      </c>
      <c r="K11632" t="s">
        <v>47113</v>
      </c>
      <c r="L11632">
        <v>14.69</v>
      </c>
      <c r="M11632">
        <v>37</v>
      </c>
      <c r="N11632">
        <v>99</v>
      </c>
      <c r="O11632">
        <v>37</v>
      </c>
      <c r="P11632">
        <v>99</v>
      </c>
    </row>
    <row r="11633" spans="1:16" x14ac:dyDescent="0.25">
      <c r="A11633" t="s">
        <v>48274</v>
      </c>
      <c r="B11633" t="s">
        <v>48273</v>
      </c>
      <c r="C11633" t="s">
        <v>20075</v>
      </c>
      <c r="D11633" t="str">
        <f>"3196"</f>
        <v>3196</v>
      </c>
      <c r="E11633" t="s">
        <v>24691</v>
      </c>
      <c r="F11633" t="s">
        <v>47488</v>
      </c>
      <c r="G11633" t="s">
        <v>16232</v>
      </c>
      <c r="H11633" t="s">
        <v>47054</v>
      </c>
      <c r="I11633" t="s">
        <v>47120</v>
      </c>
      <c r="J11633" t="s">
        <v>47121</v>
      </c>
      <c r="K11633" t="s">
        <v>47113</v>
      </c>
      <c r="L11633">
        <v>14.69</v>
      </c>
      <c r="M11633">
        <v>37</v>
      </c>
      <c r="N11633">
        <v>99</v>
      </c>
      <c r="O11633">
        <v>37</v>
      </c>
      <c r="P11633">
        <v>99</v>
      </c>
    </row>
    <row r="11634" spans="1:16" x14ac:dyDescent="0.25">
      <c r="A11634" t="s">
        <v>34370</v>
      </c>
      <c r="B11634" t="s">
        <v>34371</v>
      </c>
      <c r="C11634" t="s">
        <v>34372</v>
      </c>
      <c r="D11634" t="str">
        <f>"1501"</f>
        <v>1501</v>
      </c>
      <c r="E11634" t="s">
        <v>46</v>
      </c>
      <c r="F11634" t="s">
        <v>17351</v>
      </c>
      <c r="G11634" t="s">
        <v>16221</v>
      </c>
      <c r="H11634" t="s">
        <v>47054</v>
      </c>
      <c r="I11634" t="s">
        <v>47154</v>
      </c>
      <c r="J11634" t="s">
        <v>47155</v>
      </c>
      <c r="K11634" t="s">
        <v>47113</v>
      </c>
      <c r="L11634">
        <v>4.62</v>
      </c>
      <c r="M11634">
        <v>37</v>
      </c>
      <c r="N11634">
        <v>0</v>
      </c>
      <c r="O11634">
        <v>37</v>
      </c>
      <c r="P11634">
        <v>0</v>
      </c>
    </row>
    <row r="11635" spans="1:16" x14ac:dyDescent="0.25">
      <c r="A11635" t="s">
        <v>48275</v>
      </c>
      <c r="B11635" t="s">
        <v>48276</v>
      </c>
      <c r="C11635" t="s">
        <v>48277</v>
      </c>
      <c r="D11635" t="str">
        <f>"1800"</f>
        <v>1800</v>
      </c>
      <c r="E11635" t="s">
        <v>1999</v>
      </c>
      <c r="F11635" t="s">
        <v>46687</v>
      </c>
      <c r="G11635" t="s">
        <v>16221</v>
      </c>
      <c r="H11635" t="s">
        <v>47054</v>
      </c>
      <c r="I11635" t="s">
        <v>47154</v>
      </c>
      <c r="J11635" t="s">
        <v>47155</v>
      </c>
      <c r="K11635" t="s">
        <v>47113</v>
      </c>
      <c r="L11635">
        <v>9.51</v>
      </c>
      <c r="M11635">
        <v>22</v>
      </c>
      <c r="N11635">
        <v>59</v>
      </c>
      <c r="O11635">
        <v>22</v>
      </c>
      <c r="P11635">
        <v>59</v>
      </c>
    </row>
    <row r="11636" spans="1:16" x14ac:dyDescent="0.25">
      <c r="A11636" t="s">
        <v>48278</v>
      </c>
      <c r="B11636" t="s">
        <v>48279</v>
      </c>
      <c r="C11636" t="s">
        <v>48280</v>
      </c>
      <c r="D11636" t="str">
        <f>"1700"</f>
        <v>1700</v>
      </c>
      <c r="E11636" t="s">
        <v>60</v>
      </c>
      <c r="F11636" t="s">
        <v>47479</v>
      </c>
      <c r="G11636" t="s">
        <v>16221</v>
      </c>
      <c r="H11636" t="s">
        <v>47054</v>
      </c>
      <c r="I11636" t="s">
        <v>47118</v>
      </c>
      <c r="J11636" t="s">
        <v>47119</v>
      </c>
      <c r="K11636" t="s">
        <v>47113</v>
      </c>
      <c r="L11636">
        <v>15.33</v>
      </c>
      <c r="M11636">
        <v>37</v>
      </c>
      <c r="N11636">
        <v>99</v>
      </c>
      <c r="O11636">
        <v>37</v>
      </c>
      <c r="P11636">
        <v>99</v>
      </c>
    </row>
    <row r="11637" spans="1:16" x14ac:dyDescent="0.25">
      <c r="A11637" t="s">
        <v>48281</v>
      </c>
      <c r="B11637" t="s">
        <v>48282</v>
      </c>
      <c r="C11637" t="s">
        <v>48283</v>
      </c>
      <c r="D11637" t="str">
        <f>"1001"</f>
        <v>1001</v>
      </c>
      <c r="E11637" t="s">
        <v>42</v>
      </c>
      <c r="F11637" t="s">
        <v>47185</v>
      </c>
      <c r="G11637" t="s">
        <v>16221</v>
      </c>
      <c r="H11637" t="s">
        <v>47054</v>
      </c>
      <c r="I11637" t="s">
        <v>47154</v>
      </c>
      <c r="J11637" t="s">
        <v>47155</v>
      </c>
      <c r="K11637" t="s">
        <v>47113</v>
      </c>
      <c r="L11637">
        <v>7.98</v>
      </c>
      <c r="M11637">
        <v>22</v>
      </c>
      <c r="N11637">
        <v>59</v>
      </c>
      <c r="O11637">
        <v>22</v>
      </c>
      <c r="P11637">
        <v>59</v>
      </c>
    </row>
    <row r="11638" spans="1:16" x14ac:dyDescent="0.25">
      <c r="A11638" t="s">
        <v>48284</v>
      </c>
      <c r="B11638" t="s">
        <v>48282</v>
      </c>
      <c r="C11638" t="s">
        <v>48283</v>
      </c>
      <c r="D11638" t="str">
        <f>"1800"</f>
        <v>1800</v>
      </c>
      <c r="E11638" t="s">
        <v>1999</v>
      </c>
      <c r="F11638" t="s">
        <v>47185</v>
      </c>
      <c r="G11638" t="s">
        <v>16221</v>
      </c>
      <c r="H11638" t="s">
        <v>47054</v>
      </c>
      <c r="I11638" t="s">
        <v>47154</v>
      </c>
      <c r="J11638" t="s">
        <v>47155</v>
      </c>
      <c r="K11638" t="s">
        <v>47113</v>
      </c>
      <c r="L11638">
        <v>8.18</v>
      </c>
      <c r="M11638">
        <v>22</v>
      </c>
      <c r="N11638">
        <v>59</v>
      </c>
      <c r="O11638">
        <v>22</v>
      </c>
      <c r="P11638">
        <v>59</v>
      </c>
    </row>
    <row r="11639" spans="1:16" x14ac:dyDescent="0.25">
      <c r="A11639" t="s">
        <v>48285</v>
      </c>
      <c r="B11639" t="s">
        <v>48286</v>
      </c>
      <c r="C11639" t="s">
        <v>48287</v>
      </c>
      <c r="D11639" t="str">
        <f>"4143"</f>
        <v>4143</v>
      </c>
      <c r="E11639" t="s">
        <v>261</v>
      </c>
      <c r="F11639" t="s">
        <v>31484</v>
      </c>
      <c r="G11639" t="s">
        <v>16221</v>
      </c>
      <c r="H11639" t="s">
        <v>47054</v>
      </c>
      <c r="I11639" t="s">
        <v>47120</v>
      </c>
      <c r="J11639" t="s">
        <v>47121</v>
      </c>
      <c r="K11639" t="s">
        <v>47113</v>
      </c>
      <c r="L11639">
        <v>18.63</v>
      </c>
      <c r="M11639">
        <v>48</v>
      </c>
      <c r="N11639">
        <v>129</v>
      </c>
      <c r="O11639">
        <v>48</v>
      </c>
      <c r="P11639">
        <v>129</v>
      </c>
    </row>
    <row r="11640" spans="1:16" x14ac:dyDescent="0.25">
      <c r="A11640" t="s">
        <v>48288</v>
      </c>
      <c r="B11640" t="s">
        <v>48289</v>
      </c>
      <c r="C11640" t="s">
        <v>48290</v>
      </c>
      <c r="D11640" t="str">
        <f>"1001"</f>
        <v>1001</v>
      </c>
      <c r="E11640" t="s">
        <v>42</v>
      </c>
      <c r="F11640" t="s">
        <v>46687</v>
      </c>
      <c r="G11640" t="s">
        <v>16221</v>
      </c>
      <c r="H11640" t="s">
        <v>47054</v>
      </c>
      <c r="I11640" t="s">
        <v>47118</v>
      </c>
      <c r="J11640" t="s">
        <v>47119</v>
      </c>
      <c r="K11640" t="s">
        <v>47113</v>
      </c>
      <c r="L11640">
        <v>19.11</v>
      </c>
      <c r="M11640">
        <v>48</v>
      </c>
      <c r="N11640">
        <v>129</v>
      </c>
      <c r="O11640">
        <v>48</v>
      </c>
      <c r="P11640">
        <v>129</v>
      </c>
    </row>
    <row r="11641" spans="1:16" x14ac:dyDescent="0.25">
      <c r="A11641" t="s">
        <v>48291</v>
      </c>
      <c r="B11641" t="s">
        <v>48289</v>
      </c>
      <c r="C11641" t="s">
        <v>48290</v>
      </c>
      <c r="D11641" t="str">
        <f>"1800"</f>
        <v>1800</v>
      </c>
      <c r="E11641" t="s">
        <v>1999</v>
      </c>
      <c r="F11641" t="s">
        <v>46687</v>
      </c>
      <c r="G11641" t="s">
        <v>16221</v>
      </c>
      <c r="H11641" t="s">
        <v>47054</v>
      </c>
      <c r="I11641" t="s">
        <v>47118</v>
      </c>
      <c r="J11641" t="s">
        <v>47119</v>
      </c>
      <c r="K11641" t="s">
        <v>47113</v>
      </c>
      <c r="L11641">
        <v>19.11</v>
      </c>
      <c r="M11641">
        <v>48</v>
      </c>
      <c r="N11641">
        <v>129</v>
      </c>
      <c r="O11641">
        <v>48</v>
      </c>
      <c r="P11641">
        <v>129</v>
      </c>
    </row>
    <row r="11642" spans="1:16" x14ac:dyDescent="0.25">
      <c r="A11642" t="s">
        <v>48292</v>
      </c>
      <c r="B11642" t="s">
        <v>48293</v>
      </c>
      <c r="C11642" t="s">
        <v>48294</v>
      </c>
      <c r="D11642" t="str">
        <f>"3512"</f>
        <v>3512</v>
      </c>
      <c r="E11642" t="s">
        <v>7772</v>
      </c>
      <c r="F11642" t="s">
        <v>46687</v>
      </c>
      <c r="G11642" t="s">
        <v>16221</v>
      </c>
      <c r="H11642" t="s">
        <v>47054</v>
      </c>
      <c r="I11642" t="s">
        <v>47154</v>
      </c>
      <c r="J11642" t="s">
        <v>47155</v>
      </c>
      <c r="K11642" t="s">
        <v>47113</v>
      </c>
      <c r="L11642">
        <v>10.130000000000001</v>
      </c>
      <c r="M11642">
        <v>22</v>
      </c>
      <c r="N11642">
        <v>59</v>
      </c>
      <c r="O11642">
        <v>22</v>
      </c>
      <c r="P11642">
        <v>59</v>
      </c>
    </row>
    <row r="11643" spans="1:16" x14ac:dyDescent="0.25">
      <c r="A11643" t="s">
        <v>48295</v>
      </c>
      <c r="B11643" t="s">
        <v>48293</v>
      </c>
      <c r="C11643" t="s">
        <v>48294</v>
      </c>
      <c r="D11643" t="str">
        <f>"7000"</f>
        <v>7000</v>
      </c>
      <c r="E11643" t="s">
        <v>48296</v>
      </c>
      <c r="F11643" t="s">
        <v>31484</v>
      </c>
      <c r="G11643" t="s">
        <v>16221</v>
      </c>
      <c r="H11643" t="s">
        <v>47054</v>
      </c>
      <c r="I11643" t="s">
        <v>47154</v>
      </c>
      <c r="J11643" t="s">
        <v>47155</v>
      </c>
      <c r="K11643" t="s">
        <v>47113</v>
      </c>
      <c r="L11643">
        <v>10.130000000000001</v>
      </c>
      <c r="M11643">
        <v>22</v>
      </c>
      <c r="N11643">
        <v>59</v>
      </c>
      <c r="O11643">
        <v>22</v>
      </c>
      <c r="P11643">
        <v>59</v>
      </c>
    </row>
    <row r="11644" spans="1:16" x14ac:dyDescent="0.25">
      <c r="A11644" t="s">
        <v>48297</v>
      </c>
      <c r="B11644" t="s">
        <v>48298</v>
      </c>
      <c r="C11644" t="s">
        <v>48299</v>
      </c>
      <c r="D11644" t="str">
        <f>"1001"</f>
        <v>1001</v>
      </c>
      <c r="E11644" t="s">
        <v>42</v>
      </c>
      <c r="F11644" t="s">
        <v>47163</v>
      </c>
      <c r="G11644" t="s">
        <v>16221</v>
      </c>
      <c r="H11644" t="s">
        <v>47054</v>
      </c>
      <c r="I11644" t="s">
        <v>47118</v>
      </c>
      <c r="J11644" t="s">
        <v>47119</v>
      </c>
      <c r="K11644" t="s">
        <v>47113</v>
      </c>
      <c r="L11644">
        <v>17.440000000000001</v>
      </c>
      <c r="M11644">
        <v>37</v>
      </c>
      <c r="N11644">
        <v>99</v>
      </c>
      <c r="O11644">
        <v>37</v>
      </c>
      <c r="P11644">
        <v>99</v>
      </c>
    </row>
    <row r="11645" spans="1:16" x14ac:dyDescent="0.25">
      <c r="A11645" t="s">
        <v>48300</v>
      </c>
      <c r="B11645" t="s">
        <v>48301</v>
      </c>
      <c r="C11645" t="s">
        <v>48302</v>
      </c>
      <c r="D11645" t="str">
        <f>"1800"</f>
        <v>1800</v>
      </c>
      <c r="E11645" t="s">
        <v>1999</v>
      </c>
      <c r="F11645" t="s">
        <v>31484</v>
      </c>
      <c r="G11645" t="s">
        <v>16221</v>
      </c>
      <c r="H11645" t="s">
        <v>47054</v>
      </c>
      <c r="I11645" t="s">
        <v>47154</v>
      </c>
      <c r="J11645" t="s">
        <v>47155</v>
      </c>
      <c r="K11645" t="s">
        <v>47113</v>
      </c>
      <c r="L11645">
        <v>8.07</v>
      </c>
      <c r="M11645">
        <v>22</v>
      </c>
      <c r="N11645">
        <v>59</v>
      </c>
      <c r="O11645">
        <v>22</v>
      </c>
      <c r="P11645">
        <v>59</v>
      </c>
    </row>
    <row r="11646" spans="1:16" x14ac:dyDescent="0.25">
      <c r="A11646" t="s">
        <v>48303</v>
      </c>
      <c r="B11646" t="s">
        <v>48304</v>
      </c>
      <c r="C11646" t="s">
        <v>48305</v>
      </c>
      <c r="D11646" t="str">
        <f>"1001"</f>
        <v>1001</v>
      </c>
      <c r="E11646" t="s">
        <v>42</v>
      </c>
      <c r="F11646" t="s">
        <v>31484</v>
      </c>
      <c r="G11646" t="s">
        <v>16221</v>
      </c>
      <c r="H11646" t="s">
        <v>47054</v>
      </c>
      <c r="I11646" t="s">
        <v>47154</v>
      </c>
      <c r="J11646" t="s">
        <v>47155</v>
      </c>
      <c r="K11646" t="s">
        <v>47113</v>
      </c>
      <c r="L11646">
        <v>7.59</v>
      </c>
      <c r="M11646">
        <v>22</v>
      </c>
      <c r="N11646">
        <v>59</v>
      </c>
      <c r="O11646">
        <v>22</v>
      </c>
      <c r="P11646">
        <v>59</v>
      </c>
    </row>
    <row r="11647" spans="1:16" x14ac:dyDescent="0.25">
      <c r="A11647" t="s">
        <v>48306</v>
      </c>
      <c r="B11647" t="s">
        <v>48307</v>
      </c>
      <c r="C11647" t="s">
        <v>48308</v>
      </c>
      <c r="D11647" t="str">
        <f>"1286"</f>
        <v>1286</v>
      </c>
      <c r="E11647" t="s">
        <v>48309</v>
      </c>
      <c r="F11647" t="s">
        <v>47171</v>
      </c>
      <c r="G11647" t="s">
        <v>16221</v>
      </c>
      <c r="H11647" t="s">
        <v>47054</v>
      </c>
      <c r="I11647" t="s">
        <v>47154</v>
      </c>
      <c r="J11647" t="s">
        <v>47155</v>
      </c>
      <c r="K11647" t="s">
        <v>47113</v>
      </c>
      <c r="L11647">
        <v>12.35</v>
      </c>
      <c r="M11647">
        <v>33</v>
      </c>
      <c r="N11647">
        <v>89</v>
      </c>
      <c r="O11647">
        <v>33</v>
      </c>
      <c r="P11647">
        <v>89</v>
      </c>
    </row>
    <row r="11648" spans="1:16" x14ac:dyDescent="0.25">
      <c r="A11648" t="s">
        <v>48310</v>
      </c>
      <c r="B11648" t="s">
        <v>48311</v>
      </c>
      <c r="C11648" t="s">
        <v>48312</v>
      </c>
      <c r="D11648" t="str">
        <f>"1001"</f>
        <v>1001</v>
      </c>
      <c r="E11648" t="s">
        <v>42</v>
      </c>
      <c r="F11648" t="s">
        <v>47171</v>
      </c>
      <c r="G11648" t="s">
        <v>16221</v>
      </c>
      <c r="H11648" t="s">
        <v>47054</v>
      </c>
      <c r="I11648" t="s">
        <v>47118</v>
      </c>
      <c r="J11648" t="s">
        <v>47119</v>
      </c>
      <c r="K11648" t="s">
        <v>47113</v>
      </c>
      <c r="L11648">
        <v>15.03</v>
      </c>
      <c r="M11648">
        <v>37</v>
      </c>
      <c r="N11648">
        <v>99</v>
      </c>
      <c r="O11648">
        <v>37</v>
      </c>
      <c r="P11648">
        <v>99</v>
      </c>
    </row>
    <row r="11649" spans="1:16" x14ac:dyDescent="0.25">
      <c r="A11649" t="s">
        <v>48313</v>
      </c>
      <c r="B11649" t="s">
        <v>48314</v>
      </c>
      <c r="C11649" t="s">
        <v>48315</v>
      </c>
      <c r="D11649" t="str">
        <f>"1014"</f>
        <v>1014</v>
      </c>
      <c r="E11649" t="s">
        <v>16045</v>
      </c>
      <c r="F11649" t="s">
        <v>47479</v>
      </c>
      <c r="G11649" t="s">
        <v>16221</v>
      </c>
      <c r="H11649" t="s">
        <v>47054</v>
      </c>
      <c r="I11649" t="s">
        <v>47118</v>
      </c>
      <c r="J11649" t="s">
        <v>47119</v>
      </c>
      <c r="K11649" t="s">
        <v>47113</v>
      </c>
      <c r="L11649">
        <v>16.04</v>
      </c>
      <c r="M11649">
        <v>37</v>
      </c>
      <c r="N11649">
        <v>99</v>
      </c>
      <c r="O11649">
        <v>37</v>
      </c>
      <c r="P11649">
        <v>99</v>
      </c>
    </row>
    <row r="11650" spans="1:16" x14ac:dyDescent="0.25">
      <c r="A11650" t="s">
        <v>48316</v>
      </c>
      <c r="B11650" t="s">
        <v>48317</v>
      </c>
      <c r="C11650" t="s">
        <v>48318</v>
      </c>
      <c r="D11650" t="str">
        <f>"6000"</f>
        <v>6000</v>
      </c>
      <c r="E11650" t="s">
        <v>87</v>
      </c>
      <c r="F11650" t="s">
        <v>47488</v>
      </c>
      <c r="G11650" t="s">
        <v>16221</v>
      </c>
      <c r="H11650" t="s">
        <v>47054</v>
      </c>
      <c r="I11650" t="s">
        <v>47154</v>
      </c>
      <c r="J11650" t="s">
        <v>47155</v>
      </c>
      <c r="K11650" t="s">
        <v>47113</v>
      </c>
      <c r="L11650">
        <v>8.35</v>
      </c>
      <c r="M11650">
        <v>22</v>
      </c>
      <c r="N11650">
        <v>59</v>
      </c>
      <c r="O11650">
        <v>22</v>
      </c>
      <c r="P11650">
        <v>59</v>
      </c>
    </row>
    <row r="11651" spans="1:16" x14ac:dyDescent="0.25">
      <c r="A11651" t="s">
        <v>48319</v>
      </c>
      <c r="B11651" t="s">
        <v>48320</v>
      </c>
      <c r="C11651" t="s">
        <v>48321</v>
      </c>
      <c r="D11651" t="str">
        <f>"1700"</f>
        <v>1700</v>
      </c>
      <c r="E11651" t="s">
        <v>60</v>
      </c>
      <c r="F11651" t="s">
        <v>47488</v>
      </c>
      <c r="G11651" t="s">
        <v>16221</v>
      </c>
      <c r="H11651" t="s">
        <v>47054</v>
      </c>
      <c r="I11651" t="s">
        <v>47154</v>
      </c>
      <c r="J11651" t="s">
        <v>47155</v>
      </c>
      <c r="K11651" t="s">
        <v>47113</v>
      </c>
      <c r="L11651">
        <v>10.63</v>
      </c>
      <c r="M11651">
        <v>26</v>
      </c>
      <c r="N11651">
        <v>69</v>
      </c>
      <c r="O11651">
        <v>26</v>
      </c>
      <c r="P11651">
        <v>69</v>
      </c>
    </row>
    <row r="11652" spans="1:16" x14ac:dyDescent="0.25">
      <c r="A11652" t="s">
        <v>48322</v>
      </c>
      <c r="B11652" t="s">
        <v>48323</v>
      </c>
      <c r="C11652" t="s">
        <v>48324</v>
      </c>
      <c r="D11652" t="str">
        <f>"1700"</f>
        <v>1700</v>
      </c>
      <c r="E11652" t="s">
        <v>60</v>
      </c>
      <c r="F11652" t="s">
        <v>47185</v>
      </c>
      <c r="G11652" t="s">
        <v>16221</v>
      </c>
      <c r="H11652" t="s">
        <v>47054</v>
      </c>
      <c r="I11652" t="s">
        <v>47118</v>
      </c>
      <c r="J11652" t="s">
        <v>47119</v>
      </c>
      <c r="K11652" t="s">
        <v>47113</v>
      </c>
      <c r="L11652">
        <v>15.09</v>
      </c>
      <c r="M11652">
        <v>37</v>
      </c>
      <c r="N11652">
        <v>99</v>
      </c>
      <c r="O11652">
        <v>37</v>
      </c>
      <c r="P11652">
        <v>99</v>
      </c>
    </row>
    <row r="11653" spans="1:16" x14ac:dyDescent="0.25">
      <c r="A11653" t="s">
        <v>48325</v>
      </c>
      <c r="B11653" t="s">
        <v>48326</v>
      </c>
      <c r="C11653" t="s">
        <v>48327</v>
      </c>
      <c r="D11653" t="str">
        <f>"1700"</f>
        <v>1700</v>
      </c>
      <c r="E11653" t="s">
        <v>60</v>
      </c>
      <c r="F11653" t="s">
        <v>47488</v>
      </c>
      <c r="G11653" t="s">
        <v>16221</v>
      </c>
      <c r="H11653" t="s">
        <v>47054</v>
      </c>
      <c r="I11653" t="s">
        <v>47118</v>
      </c>
      <c r="J11653" t="s">
        <v>47119</v>
      </c>
      <c r="K11653" t="s">
        <v>47113</v>
      </c>
      <c r="L11653">
        <v>14.84</v>
      </c>
      <c r="M11653">
        <v>37</v>
      </c>
      <c r="N11653">
        <v>99</v>
      </c>
      <c r="O11653">
        <v>37</v>
      </c>
      <c r="P11653">
        <v>99</v>
      </c>
    </row>
    <row r="11654" spans="1:16" x14ac:dyDescent="0.25">
      <c r="A11654" t="s">
        <v>48328</v>
      </c>
      <c r="B11654" t="s">
        <v>48329</v>
      </c>
      <c r="C11654" t="s">
        <v>48330</v>
      </c>
      <c r="D11654" t="str">
        <f>"1700"</f>
        <v>1700</v>
      </c>
      <c r="E11654" t="s">
        <v>60</v>
      </c>
      <c r="F11654" t="s">
        <v>47171</v>
      </c>
      <c r="G11654" t="s">
        <v>16221</v>
      </c>
      <c r="H11654" t="s">
        <v>47054</v>
      </c>
      <c r="I11654" t="s">
        <v>47154</v>
      </c>
      <c r="J11654" t="s">
        <v>47155</v>
      </c>
      <c r="K11654" t="s">
        <v>47113</v>
      </c>
      <c r="L11654">
        <v>9.73</v>
      </c>
      <c r="M11654">
        <v>26</v>
      </c>
      <c r="N11654">
        <v>69</v>
      </c>
      <c r="O11654">
        <v>26</v>
      </c>
      <c r="P11654">
        <v>69</v>
      </c>
    </row>
    <row r="11655" spans="1:16" x14ac:dyDescent="0.25">
      <c r="A11655" t="s">
        <v>48331</v>
      </c>
      <c r="B11655" t="s">
        <v>48329</v>
      </c>
      <c r="C11655" t="s">
        <v>48330</v>
      </c>
      <c r="D11655" t="str">
        <f>"6000"</f>
        <v>6000</v>
      </c>
      <c r="E11655" t="s">
        <v>87</v>
      </c>
      <c r="F11655" t="s">
        <v>47171</v>
      </c>
      <c r="G11655" t="s">
        <v>16221</v>
      </c>
      <c r="H11655" t="s">
        <v>47054</v>
      </c>
      <c r="I11655" t="s">
        <v>47154</v>
      </c>
      <c r="J11655" t="s">
        <v>47155</v>
      </c>
      <c r="K11655" t="s">
        <v>47113</v>
      </c>
      <c r="L11655">
        <v>9.73</v>
      </c>
      <c r="M11655">
        <v>26</v>
      </c>
      <c r="N11655">
        <v>69</v>
      </c>
      <c r="O11655">
        <v>26</v>
      </c>
      <c r="P11655">
        <v>69</v>
      </c>
    </row>
    <row r="11656" spans="1:16" x14ac:dyDescent="0.25">
      <c r="A11656" t="s">
        <v>48332</v>
      </c>
      <c r="B11656" t="s">
        <v>48333</v>
      </c>
      <c r="C11656" t="s">
        <v>48334</v>
      </c>
      <c r="D11656" t="str">
        <f>"4000"</f>
        <v>4000</v>
      </c>
      <c r="E11656" t="s">
        <v>48335</v>
      </c>
      <c r="F11656" t="s">
        <v>47171</v>
      </c>
      <c r="G11656" t="s">
        <v>16221</v>
      </c>
      <c r="H11656" t="s">
        <v>47054</v>
      </c>
      <c r="I11656" t="s">
        <v>47118</v>
      </c>
      <c r="J11656" t="s">
        <v>47119</v>
      </c>
      <c r="K11656" t="s">
        <v>47113</v>
      </c>
      <c r="L11656">
        <v>18.190000000000001</v>
      </c>
      <c r="M11656">
        <v>37</v>
      </c>
      <c r="N11656">
        <v>99</v>
      </c>
      <c r="O11656">
        <v>37</v>
      </c>
      <c r="P11656">
        <v>99</v>
      </c>
    </row>
    <row r="11657" spans="1:16" x14ac:dyDescent="0.25">
      <c r="A11657" t="s">
        <v>48336</v>
      </c>
      <c r="B11657" t="s">
        <v>48337</v>
      </c>
      <c r="C11657" t="s">
        <v>48338</v>
      </c>
      <c r="D11657" t="str">
        <f>"1700"</f>
        <v>1700</v>
      </c>
      <c r="E11657" t="s">
        <v>60</v>
      </c>
      <c r="F11657" t="s">
        <v>47479</v>
      </c>
      <c r="G11657" t="s">
        <v>16221</v>
      </c>
      <c r="H11657" t="s">
        <v>47054</v>
      </c>
      <c r="I11657" t="s">
        <v>47154</v>
      </c>
      <c r="J11657" t="s">
        <v>47155</v>
      </c>
      <c r="K11657" t="s">
        <v>47113</v>
      </c>
      <c r="L11657">
        <v>15.19</v>
      </c>
      <c r="M11657">
        <v>37</v>
      </c>
      <c r="N11657">
        <v>99</v>
      </c>
      <c r="O11657">
        <v>37</v>
      </c>
      <c r="P11657">
        <v>99</v>
      </c>
    </row>
    <row r="11658" spans="1:16" x14ac:dyDescent="0.25">
      <c r="A11658" t="s">
        <v>48339</v>
      </c>
      <c r="B11658" t="s">
        <v>48340</v>
      </c>
      <c r="C11658" t="s">
        <v>48341</v>
      </c>
      <c r="D11658" t="str">
        <f>"1700"</f>
        <v>1700</v>
      </c>
      <c r="E11658" t="s">
        <v>60</v>
      </c>
      <c r="F11658" t="s">
        <v>47488</v>
      </c>
      <c r="G11658" t="s">
        <v>16221</v>
      </c>
      <c r="H11658" t="s">
        <v>47054</v>
      </c>
      <c r="I11658" t="s">
        <v>47118</v>
      </c>
      <c r="J11658" t="s">
        <v>47119</v>
      </c>
      <c r="K11658" t="s">
        <v>47113</v>
      </c>
      <c r="L11658">
        <v>18.079999999999998</v>
      </c>
      <c r="M11658">
        <v>37</v>
      </c>
      <c r="N11658">
        <v>99</v>
      </c>
      <c r="O11658">
        <v>37</v>
      </c>
      <c r="P11658">
        <v>99</v>
      </c>
    </row>
    <row r="11659" spans="1:16" x14ac:dyDescent="0.25">
      <c r="A11659" t="s">
        <v>48342</v>
      </c>
      <c r="B11659" t="s">
        <v>48343</v>
      </c>
      <c r="C11659" t="s">
        <v>48344</v>
      </c>
      <c r="D11659" t="str">
        <f>"1001"</f>
        <v>1001</v>
      </c>
      <c r="E11659" t="s">
        <v>42</v>
      </c>
      <c r="F11659" t="s">
        <v>47479</v>
      </c>
      <c r="G11659" t="s">
        <v>16221</v>
      </c>
      <c r="H11659" t="s">
        <v>48345</v>
      </c>
      <c r="I11659" t="s">
        <v>47154</v>
      </c>
      <c r="J11659" t="s">
        <v>47155</v>
      </c>
      <c r="K11659" t="s">
        <v>47113</v>
      </c>
      <c r="L11659">
        <v>10.63</v>
      </c>
      <c r="M11659">
        <v>33</v>
      </c>
      <c r="N11659">
        <v>89</v>
      </c>
      <c r="O11659">
        <v>33</v>
      </c>
      <c r="P11659">
        <v>89</v>
      </c>
    </row>
    <row r="11660" spans="1:16" x14ac:dyDescent="0.25">
      <c r="A11660" t="s">
        <v>48346</v>
      </c>
      <c r="B11660" t="s">
        <v>48347</v>
      </c>
      <c r="C11660" t="s">
        <v>48348</v>
      </c>
      <c r="D11660" t="str">
        <f>"1001"</f>
        <v>1001</v>
      </c>
      <c r="E11660" t="s">
        <v>42</v>
      </c>
      <c r="F11660" t="s">
        <v>47479</v>
      </c>
      <c r="G11660" t="s">
        <v>16221</v>
      </c>
      <c r="H11660" t="s">
        <v>47054</v>
      </c>
      <c r="I11660" t="s">
        <v>47154</v>
      </c>
      <c r="J11660" t="s">
        <v>47155</v>
      </c>
      <c r="K11660" t="s">
        <v>47113</v>
      </c>
      <c r="L11660">
        <v>8.86</v>
      </c>
      <c r="M11660">
        <v>26</v>
      </c>
      <c r="N11660">
        <v>69</v>
      </c>
      <c r="O11660">
        <v>26</v>
      </c>
      <c r="P11660">
        <v>69</v>
      </c>
    </row>
    <row r="11661" spans="1:16" x14ac:dyDescent="0.25">
      <c r="A11661" t="s">
        <v>48349</v>
      </c>
      <c r="B11661" t="s">
        <v>48350</v>
      </c>
      <c r="C11661" t="s">
        <v>48308</v>
      </c>
      <c r="D11661" t="str">
        <f>"1014"</f>
        <v>1014</v>
      </c>
      <c r="E11661" t="s">
        <v>16045</v>
      </c>
      <c r="F11661" t="s">
        <v>47479</v>
      </c>
      <c r="G11661" t="s">
        <v>16221</v>
      </c>
      <c r="H11661" t="s">
        <v>47054</v>
      </c>
      <c r="I11661" t="s">
        <v>47118</v>
      </c>
      <c r="J11661" t="s">
        <v>47119</v>
      </c>
      <c r="K11661" t="s">
        <v>47113</v>
      </c>
      <c r="L11661">
        <v>14.13</v>
      </c>
      <c r="M11661">
        <v>33</v>
      </c>
      <c r="N11661">
        <v>89</v>
      </c>
      <c r="O11661">
        <v>33</v>
      </c>
      <c r="P11661">
        <v>89</v>
      </c>
    </row>
    <row r="11662" spans="1:16" x14ac:dyDescent="0.25">
      <c r="A11662" t="s">
        <v>48351</v>
      </c>
      <c r="B11662" t="s">
        <v>48352</v>
      </c>
      <c r="C11662" t="s">
        <v>48353</v>
      </c>
      <c r="D11662" t="str">
        <f>"1800"</f>
        <v>1800</v>
      </c>
      <c r="E11662" t="s">
        <v>1999</v>
      </c>
      <c r="F11662" t="s">
        <v>47185</v>
      </c>
      <c r="G11662" t="s">
        <v>16221</v>
      </c>
      <c r="H11662" t="s">
        <v>47054</v>
      </c>
      <c r="I11662" t="s">
        <v>47154</v>
      </c>
      <c r="J11662" t="s">
        <v>47155</v>
      </c>
      <c r="K11662" t="s">
        <v>47113</v>
      </c>
      <c r="L11662">
        <v>7.98</v>
      </c>
      <c r="M11662">
        <v>26</v>
      </c>
      <c r="N11662">
        <v>69</v>
      </c>
      <c r="O11662">
        <v>26</v>
      </c>
      <c r="P11662">
        <v>69</v>
      </c>
    </row>
    <row r="11663" spans="1:16" x14ac:dyDescent="0.25">
      <c r="A11663" t="s">
        <v>48354</v>
      </c>
      <c r="B11663" t="s">
        <v>48355</v>
      </c>
      <c r="C11663" t="s">
        <v>48356</v>
      </c>
      <c r="D11663" t="str">
        <f>"1001"</f>
        <v>1001</v>
      </c>
      <c r="E11663" t="s">
        <v>42</v>
      </c>
      <c r="F11663" t="s">
        <v>47163</v>
      </c>
      <c r="G11663" t="s">
        <v>16221</v>
      </c>
      <c r="H11663" t="s">
        <v>47054</v>
      </c>
      <c r="I11663" t="s">
        <v>47154</v>
      </c>
      <c r="J11663" t="s">
        <v>47155</v>
      </c>
      <c r="K11663" t="s">
        <v>47113</v>
      </c>
      <c r="L11663">
        <v>7.98</v>
      </c>
      <c r="M11663">
        <v>22</v>
      </c>
      <c r="N11663">
        <v>59</v>
      </c>
      <c r="O11663">
        <v>22</v>
      </c>
      <c r="P11663">
        <v>59</v>
      </c>
    </row>
    <row r="11664" spans="1:16" x14ac:dyDescent="0.25">
      <c r="A11664" t="s">
        <v>48357</v>
      </c>
      <c r="B11664" t="s">
        <v>48358</v>
      </c>
      <c r="C11664" t="s">
        <v>48359</v>
      </c>
      <c r="D11664" t="str">
        <f>"1001"</f>
        <v>1001</v>
      </c>
      <c r="E11664" t="s">
        <v>42</v>
      </c>
      <c r="F11664" t="s">
        <v>46687</v>
      </c>
      <c r="G11664" t="s">
        <v>16221</v>
      </c>
      <c r="H11664" t="s">
        <v>47054</v>
      </c>
      <c r="I11664" t="s">
        <v>47154</v>
      </c>
      <c r="J11664" t="s">
        <v>47155</v>
      </c>
      <c r="K11664" t="s">
        <v>47113</v>
      </c>
      <c r="L11664">
        <v>7.98</v>
      </c>
      <c r="M11664">
        <v>22</v>
      </c>
      <c r="N11664">
        <v>59</v>
      </c>
      <c r="O11664">
        <v>22</v>
      </c>
      <c r="P11664">
        <v>59</v>
      </c>
    </row>
    <row r="11665" spans="1:16" x14ac:dyDescent="0.25">
      <c r="A11665" t="s">
        <v>48360</v>
      </c>
      <c r="B11665" t="s">
        <v>48358</v>
      </c>
      <c r="C11665" t="s">
        <v>48359</v>
      </c>
      <c r="D11665" t="str">
        <f>"1800"</f>
        <v>1800</v>
      </c>
      <c r="E11665" t="s">
        <v>1999</v>
      </c>
      <c r="F11665" t="s">
        <v>46687</v>
      </c>
      <c r="G11665" t="s">
        <v>16221</v>
      </c>
      <c r="H11665" t="s">
        <v>47054</v>
      </c>
      <c r="I11665" t="s">
        <v>47154</v>
      </c>
      <c r="J11665" t="s">
        <v>47155</v>
      </c>
      <c r="K11665" t="s">
        <v>47113</v>
      </c>
      <c r="L11665">
        <v>7.98</v>
      </c>
      <c r="M11665">
        <v>22</v>
      </c>
      <c r="N11665">
        <v>59</v>
      </c>
      <c r="O11665">
        <v>22</v>
      </c>
      <c r="P11665">
        <v>59</v>
      </c>
    </row>
    <row r="11666" spans="1:16" x14ac:dyDescent="0.25">
      <c r="A11666" t="s">
        <v>48361</v>
      </c>
      <c r="B11666" t="s">
        <v>48362</v>
      </c>
      <c r="C11666" t="s">
        <v>48363</v>
      </c>
      <c r="D11666" t="str">
        <f>"1001"</f>
        <v>1001</v>
      </c>
      <c r="E11666" t="s">
        <v>42</v>
      </c>
      <c r="F11666" t="s">
        <v>47163</v>
      </c>
      <c r="G11666" t="s">
        <v>16221</v>
      </c>
      <c r="H11666" t="s">
        <v>47054</v>
      </c>
      <c r="I11666" t="s">
        <v>47154</v>
      </c>
      <c r="J11666" t="s">
        <v>47155</v>
      </c>
      <c r="K11666" t="s">
        <v>47113</v>
      </c>
      <c r="L11666">
        <v>9.59</v>
      </c>
      <c r="M11666">
        <v>26</v>
      </c>
      <c r="N11666">
        <v>69</v>
      </c>
      <c r="O11666">
        <v>26</v>
      </c>
      <c r="P11666">
        <v>69</v>
      </c>
    </row>
    <row r="11667" spans="1:16" x14ac:dyDescent="0.25">
      <c r="A11667" t="s">
        <v>48364</v>
      </c>
      <c r="B11667" t="s">
        <v>48362</v>
      </c>
      <c r="C11667" t="s">
        <v>48363</v>
      </c>
      <c r="D11667" t="str">
        <f>"1700"</f>
        <v>1700</v>
      </c>
      <c r="E11667" t="s">
        <v>60</v>
      </c>
      <c r="F11667" t="s">
        <v>47163</v>
      </c>
      <c r="G11667" t="s">
        <v>16221</v>
      </c>
      <c r="H11667" t="s">
        <v>47054</v>
      </c>
      <c r="I11667" t="s">
        <v>47154</v>
      </c>
      <c r="J11667" t="s">
        <v>47155</v>
      </c>
      <c r="K11667" t="s">
        <v>47113</v>
      </c>
      <c r="L11667">
        <v>9.59</v>
      </c>
      <c r="M11667">
        <v>26</v>
      </c>
      <c r="N11667">
        <v>69</v>
      </c>
      <c r="O11667">
        <v>26</v>
      </c>
      <c r="P11667">
        <v>69</v>
      </c>
    </row>
    <row r="11668" spans="1:16" x14ac:dyDescent="0.25">
      <c r="A11668" t="s">
        <v>48365</v>
      </c>
      <c r="B11668" t="s">
        <v>48366</v>
      </c>
      <c r="C11668" t="s">
        <v>48367</v>
      </c>
      <c r="D11668" t="str">
        <f>"1001"</f>
        <v>1001</v>
      </c>
      <c r="E11668" t="s">
        <v>42</v>
      </c>
      <c r="F11668" t="s">
        <v>46687</v>
      </c>
      <c r="G11668" t="s">
        <v>16221</v>
      </c>
      <c r="H11668" t="s">
        <v>47054</v>
      </c>
      <c r="I11668" t="s">
        <v>47154</v>
      </c>
      <c r="J11668" t="s">
        <v>47155</v>
      </c>
      <c r="K11668" t="s">
        <v>47113</v>
      </c>
      <c r="L11668">
        <v>8.2899999999999991</v>
      </c>
      <c r="M11668">
        <v>22</v>
      </c>
      <c r="N11668">
        <v>59</v>
      </c>
      <c r="O11668">
        <v>22</v>
      </c>
      <c r="P11668">
        <v>59</v>
      </c>
    </row>
    <row r="11669" spans="1:16" x14ac:dyDescent="0.25">
      <c r="A11669" t="s">
        <v>48368</v>
      </c>
      <c r="B11669" t="s">
        <v>48366</v>
      </c>
      <c r="C11669" t="s">
        <v>48367</v>
      </c>
      <c r="D11669" t="str">
        <f>"1800"</f>
        <v>1800</v>
      </c>
      <c r="E11669" t="s">
        <v>1999</v>
      </c>
      <c r="F11669" t="s">
        <v>46687</v>
      </c>
      <c r="G11669" t="s">
        <v>16221</v>
      </c>
      <c r="H11669" t="s">
        <v>47054</v>
      </c>
      <c r="I11669" t="s">
        <v>47154</v>
      </c>
      <c r="J11669" t="s">
        <v>47155</v>
      </c>
      <c r="K11669" t="s">
        <v>47113</v>
      </c>
      <c r="L11669">
        <v>8.2899999999999991</v>
      </c>
      <c r="M11669">
        <v>22</v>
      </c>
      <c r="N11669">
        <v>59</v>
      </c>
      <c r="O11669">
        <v>22</v>
      </c>
      <c r="P11669">
        <v>59</v>
      </c>
    </row>
    <row r="11670" spans="1:16" x14ac:dyDescent="0.25">
      <c r="A11670" t="s">
        <v>48369</v>
      </c>
      <c r="B11670" t="s">
        <v>48370</v>
      </c>
      <c r="C11670" t="s">
        <v>48371</v>
      </c>
      <c r="D11670" t="str">
        <f>"1700"</f>
        <v>1700</v>
      </c>
      <c r="E11670" t="s">
        <v>60</v>
      </c>
      <c r="F11670" t="s">
        <v>47163</v>
      </c>
      <c r="G11670" t="s">
        <v>16221</v>
      </c>
      <c r="H11670" t="s">
        <v>47054</v>
      </c>
      <c r="I11670" t="s">
        <v>47118</v>
      </c>
      <c r="J11670" t="s">
        <v>47119</v>
      </c>
      <c r="K11670" t="s">
        <v>47113</v>
      </c>
      <c r="L11670">
        <v>17.399999999999999</v>
      </c>
      <c r="M11670">
        <v>37</v>
      </c>
      <c r="N11670">
        <v>99</v>
      </c>
      <c r="O11670">
        <v>37</v>
      </c>
      <c r="P11670">
        <v>99</v>
      </c>
    </row>
    <row r="11671" spans="1:16" x14ac:dyDescent="0.25">
      <c r="A11671" t="s">
        <v>48372</v>
      </c>
      <c r="B11671" t="s">
        <v>48370</v>
      </c>
      <c r="C11671" t="s">
        <v>48371</v>
      </c>
      <c r="D11671" t="str">
        <f>"6000"</f>
        <v>6000</v>
      </c>
      <c r="E11671" t="s">
        <v>6279</v>
      </c>
      <c r="F11671" t="s">
        <v>47163</v>
      </c>
      <c r="G11671" t="s">
        <v>16221</v>
      </c>
      <c r="H11671" t="s">
        <v>47054</v>
      </c>
      <c r="I11671" t="s">
        <v>47118</v>
      </c>
      <c r="J11671" t="s">
        <v>47119</v>
      </c>
      <c r="K11671" t="s">
        <v>47113</v>
      </c>
      <c r="L11671">
        <v>17.399999999999999</v>
      </c>
      <c r="M11671">
        <v>37</v>
      </c>
      <c r="N11671">
        <v>99</v>
      </c>
      <c r="O11671">
        <v>37</v>
      </c>
      <c r="P11671">
        <v>99</v>
      </c>
    </row>
    <row r="11672" spans="1:16" x14ac:dyDescent="0.25">
      <c r="A11672" t="s">
        <v>48373</v>
      </c>
      <c r="B11672" t="s">
        <v>48374</v>
      </c>
      <c r="C11672" t="s">
        <v>48375</v>
      </c>
      <c r="D11672" t="str">
        <f>"1501"</f>
        <v>1501</v>
      </c>
      <c r="E11672" t="s">
        <v>46</v>
      </c>
      <c r="F11672" t="s">
        <v>31484</v>
      </c>
      <c r="G11672" t="s">
        <v>16221</v>
      </c>
      <c r="H11672" t="s">
        <v>47054</v>
      </c>
      <c r="I11672" t="s">
        <v>47154</v>
      </c>
      <c r="J11672" t="s">
        <v>47155</v>
      </c>
      <c r="K11672" t="s">
        <v>47113</v>
      </c>
      <c r="L11672">
        <v>8.9499999999999993</v>
      </c>
      <c r="M11672">
        <v>22</v>
      </c>
      <c r="N11672">
        <v>59</v>
      </c>
      <c r="O11672">
        <v>22</v>
      </c>
      <c r="P11672">
        <v>59</v>
      </c>
    </row>
    <row r="11673" spans="1:16" x14ac:dyDescent="0.25">
      <c r="A11673" t="s">
        <v>48376</v>
      </c>
      <c r="B11673" t="s">
        <v>48374</v>
      </c>
      <c r="C11673" t="s">
        <v>48375</v>
      </c>
      <c r="D11673" t="str">
        <f>"1800"</f>
        <v>1800</v>
      </c>
      <c r="E11673" t="s">
        <v>1999</v>
      </c>
      <c r="F11673" t="s">
        <v>31484</v>
      </c>
      <c r="G11673" t="s">
        <v>16221</v>
      </c>
      <c r="H11673" t="s">
        <v>47054</v>
      </c>
      <c r="I11673" t="s">
        <v>47154</v>
      </c>
      <c r="J11673" t="s">
        <v>47155</v>
      </c>
      <c r="K11673" t="s">
        <v>47113</v>
      </c>
      <c r="L11673">
        <v>8.07</v>
      </c>
      <c r="M11673">
        <v>22</v>
      </c>
      <c r="N11673">
        <v>59</v>
      </c>
      <c r="O11673">
        <v>22</v>
      </c>
      <c r="P11673">
        <v>59</v>
      </c>
    </row>
    <row r="11674" spans="1:16" x14ac:dyDescent="0.25">
      <c r="A11674" t="s">
        <v>48377</v>
      </c>
      <c r="B11674" t="s">
        <v>48378</v>
      </c>
      <c r="C11674" t="s">
        <v>48379</v>
      </c>
      <c r="D11674" t="str">
        <f>"1800"</f>
        <v>1800</v>
      </c>
      <c r="E11674" t="s">
        <v>1999</v>
      </c>
      <c r="F11674" t="s">
        <v>31484</v>
      </c>
      <c r="G11674" t="s">
        <v>16221</v>
      </c>
      <c r="H11674" t="s">
        <v>47054</v>
      </c>
      <c r="I11674" t="s">
        <v>47154</v>
      </c>
      <c r="J11674" t="s">
        <v>47155</v>
      </c>
      <c r="K11674" t="s">
        <v>47113</v>
      </c>
      <c r="L11674">
        <v>7.59</v>
      </c>
      <c r="M11674">
        <v>22</v>
      </c>
      <c r="N11674">
        <v>59</v>
      </c>
      <c r="O11674">
        <v>22</v>
      </c>
      <c r="P11674">
        <v>59</v>
      </c>
    </row>
    <row r="11675" spans="1:16" x14ac:dyDescent="0.25">
      <c r="A11675" t="s">
        <v>48380</v>
      </c>
      <c r="B11675" t="s">
        <v>48381</v>
      </c>
      <c r="C11675" t="s">
        <v>48382</v>
      </c>
      <c r="D11675" t="str">
        <f>"1001"</f>
        <v>1001</v>
      </c>
      <c r="E11675" t="s">
        <v>42</v>
      </c>
      <c r="F11675" t="s">
        <v>47185</v>
      </c>
      <c r="G11675" t="s">
        <v>16221</v>
      </c>
      <c r="H11675" t="s">
        <v>47054</v>
      </c>
      <c r="I11675" t="s">
        <v>47118</v>
      </c>
      <c r="J11675" t="s">
        <v>47119</v>
      </c>
      <c r="K11675" t="s">
        <v>47113</v>
      </c>
      <c r="L11675">
        <v>13.22</v>
      </c>
      <c r="M11675">
        <v>33</v>
      </c>
      <c r="N11675">
        <v>89</v>
      </c>
      <c r="O11675">
        <v>33</v>
      </c>
      <c r="P11675">
        <v>89</v>
      </c>
    </row>
    <row r="11676" spans="1:16" x14ac:dyDescent="0.25">
      <c r="A11676" t="s">
        <v>48383</v>
      </c>
      <c r="B11676" t="s">
        <v>48384</v>
      </c>
      <c r="C11676" t="s">
        <v>48385</v>
      </c>
      <c r="D11676" t="str">
        <f>"1001"</f>
        <v>1001</v>
      </c>
      <c r="E11676" t="s">
        <v>42</v>
      </c>
      <c r="F11676" t="s">
        <v>47479</v>
      </c>
      <c r="G11676" t="s">
        <v>16221</v>
      </c>
      <c r="H11676" t="s">
        <v>47054</v>
      </c>
      <c r="I11676" t="s">
        <v>47154</v>
      </c>
      <c r="J11676" t="s">
        <v>47155</v>
      </c>
      <c r="K11676" t="s">
        <v>47113</v>
      </c>
      <c r="L11676">
        <v>8.6</v>
      </c>
      <c r="M11676">
        <v>22</v>
      </c>
      <c r="N11676">
        <v>59</v>
      </c>
      <c r="O11676">
        <v>22</v>
      </c>
      <c r="P11676">
        <v>59</v>
      </c>
    </row>
    <row r="11677" spans="1:16" x14ac:dyDescent="0.25">
      <c r="A11677" t="s">
        <v>48386</v>
      </c>
      <c r="B11677" t="s">
        <v>48384</v>
      </c>
      <c r="C11677" t="s">
        <v>48385</v>
      </c>
      <c r="D11677" t="str">
        <f>"1700"</f>
        <v>1700</v>
      </c>
      <c r="E11677" t="s">
        <v>60</v>
      </c>
      <c r="F11677" t="s">
        <v>47479</v>
      </c>
      <c r="G11677" t="s">
        <v>16221</v>
      </c>
      <c r="H11677" t="s">
        <v>47054</v>
      </c>
      <c r="I11677" t="s">
        <v>47154</v>
      </c>
      <c r="J11677" t="s">
        <v>47155</v>
      </c>
      <c r="K11677" t="s">
        <v>47113</v>
      </c>
      <c r="L11677">
        <v>8.6</v>
      </c>
      <c r="M11677">
        <v>22</v>
      </c>
      <c r="N11677">
        <v>59</v>
      </c>
      <c r="O11677">
        <v>22</v>
      </c>
      <c r="P11677">
        <v>59</v>
      </c>
    </row>
    <row r="11678" spans="1:16" x14ac:dyDescent="0.25">
      <c r="A11678" t="s">
        <v>48387</v>
      </c>
      <c r="B11678" t="s">
        <v>48388</v>
      </c>
      <c r="C11678" t="s">
        <v>48389</v>
      </c>
      <c r="D11678" t="str">
        <f>"4143"</f>
        <v>4143</v>
      </c>
      <c r="E11678" t="s">
        <v>261</v>
      </c>
      <c r="F11678" t="s">
        <v>47163</v>
      </c>
      <c r="G11678" t="s">
        <v>16221</v>
      </c>
      <c r="H11678" t="s">
        <v>47054</v>
      </c>
      <c r="I11678" t="s">
        <v>47120</v>
      </c>
      <c r="J11678" t="s">
        <v>47121</v>
      </c>
      <c r="K11678" t="s">
        <v>47113</v>
      </c>
      <c r="L11678">
        <v>18.329999999999998</v>
      </c>
      <c r="M11678">
        <v>48</v>
      </c>
      <c r="N11678">
        <v>129</v>
      </c>
      <c r="O11678">
        <v>48</v>
      </c>
      <c r="P11678">
        <v>129</v>
      </c>
    </row>
    <row r="11679" spans="1:16" x14ac:dyDescent="0.25">
      <c r="A11679" t="s">
        <v>48390</v>
      </c>
      <c r="B11679" t="s">
        <v>48391</v>
      </c>
      <c r="C11679" t="s">
        <v>48392</v>
      </c>
      <c r="D11679" t="str">
        <f>"6432"</f>
        <v>6432</v>
      </c>
      <c r="E11679" t="s">
        <v>48393</v>
      </c>
      <c r="F11679" t="s">
        <v>46687</v>
      </c>
      <c r="G11679" t="s">
        <v>16232</v>
      </c>
      <c r="H11679" t="s">
        <v>47054</v>
      </c>
      <c r="I11679" t="s">
        <v>47120</v>
      </c>
      <c r="J11679" t="s">
        <v>47121</v>
      </c>
      <c r="K11679" t="s">
        <v>47113</v>
      </c>
      <c r="L11679">
        <v>14.53</v>
      </c>
      <c r="M11679">
        <v>37</v>
      </c>
      <c r="N11679">
        <v>99</v>
      </c>
      <c r="O11679">
        <v>37</v>
      </c>
      <c r="P11679">
        <v>99</v>
      </c>
    </row>
    <row r="11680" spans="1:16" x14ac:dyDescent="0.25">
      <c r="A11680" t="s">
        <v>48394</v>
      </c>
      <c r="B11680" t="s">
        <v>48395</v>
      </c>
      <c r="C11680" t="s">
        <v>48396</v>
      </c>
      <c r="D11680" t="str">
        <f>"4792"</f>
        <v>4792</v>
      </c>
      <c r="E11680" t="s">
        <v>48397</v>
      </c>
      <c r="F11680" t="s">
        <v>31484</v>
      </c>
      <c r="G11680" t="s">
        <v>16230</v>
      </c>
      <c r="H11680" t="s">
        <v>47054</v>
      </c>
      <c r="I11680" t="s">
        <v>47120</v>
      </c>
      <c r="J11680" t="s">
        <v>47121</v>
      </c>
      <c r="K11680" t="s">
        <v>47113</v>
      </c>
      <c r="L11680">
        <v>35.479999999999997</v>
      </c>
      <c r="M11680">
        <v>85</v>
      </c>
      <c r="N11680">
        <v>229</v>
      </c>
      <c r="O11680">
        <v>85</v>
      </c>
      <c r="P11680">
        <v>229</v>
      </c>
    </row>
    <row r="11681" spans="1:16" x14ac:dyDescent="0.25">
      <c r="A11681" t="s">
        <v>48398</v>
      </c>
      <c r="B11681" t="s">
        <v>48399</v>
      </c>
      <c r="C11681" t="s">
        <v>48400</v>
      </c>
      <c r="D11681" t="str">
        <f>"1001"</f>
        <v>1001</v>
      </c>
      <c r="E11681" t="s">
        <v>42</v>
      </c>
      <c r="F11681" t="s">
        <v>47479</v>
      </c>
      <c r="G11681" t="s">
        <v>16232</v>
      </c>
      <c r="H11681" t="s">
        <v>47054</v>
      </c>
      <c r="I11681" t="s">
        <v>47120</v>
      </c>
      <c r="J11681" t="s">
        <v>47121</v>
      </c>
      <c r="K11681" t="s">
        <v>47113</v>
      </c>
      <c r="L11681">
        <v>19.72</v>
      </c>
      <c r="M11681">
        <v>48</v>
      </c>
      <c r="N11681">
        <v>129</v>
      </c>
      <c r="O11681">
        <v>48</v>
      </c>
      <c r="P11681">
        <v>129</v>
      </c>
    </row>
    <row r="11682" spans="1:16" x14ac:dyDescent="0.25">
      <c r="A11682" t="s">
        <v>48401</v>
      </c>
      <c r="B11682" t="s">
        <v>48402</v>
      </c>
      <c r="C11682" t="s">
        <v>48403</v>
      </c>
      <c r="D11682" t="str">
        <f>"1001"</f>
        <v>1001</v>
      </c>
      <c r="E11682" t="s">
        <v>42</v>
      </c>
      <c r="F11682" t="s">
        <v>47185</v>
      </c>
      <c r="G11682" t="s">
        <v>16232</v>
      </c>
      <c r="H11682" t="s">
        <v>47054</v>
      </c>
      <c r="I11682" t="s">
        <v>47118</v>
      </c>
      <c r="J11682" t="s">
        <v>47119</v>
      </c>
      <c r="K11682" t="s">
        <v>47113</v>
      </c>
      <c r="L11682">
        <v>18.95</v>
      </c>
      <c r="M11682">
        <v>37</v>
      </c>
      <c r="N11682">
        <v>99</v>
      </c>
      <c r="O11682">
        <v>37</v>
      </c>
      <c r="P11682">
        <v>99</v>
      </c>
    </row>
    <row r="11683" spans="1:16" x14ac:dyDescent="0.25">
      <c r="A11683" t="s">
        <v>48404</v>
      </c>
      <c r="B11683" t="s">
        <v>48405</v>
      </c>
      <c r="C11683" t="s">
        <v>48406</v>
      </c>
      <c r="D11683" t="str">
        <f>"1001"</f>
        <v>1001</v>
      </c>
      <c r="E11683" t="s">
        <v>42</v>
      </c>
      <c r="F11683" t="s">
        <v>47488</v>
      </c>
      <c r="G11683" t="s">
        <v>16232</v>
      </c>
      <c r="H11683" t="s">
        <v>47054</v>
      </c>
      <c r="I11683" t="s">
        <v>47118</v>
      </c>
      <c r="J11683" t="s">
        <v>47119</v>
      </c>
      <c r="K11683" t="s">
        <v>47113</v>
      </c>
      <c r="L11683">
        <v>14.1</v>
      </c>
      <c r="M11683">
        <v>37</v>
      </c>
      <c r="N11683">
        <v>99</v>
      </c>
      <c r="O11683">
        <v>37</v>
      </c>
      <c r="P11683">
        <v>99</v>
      </c>
    </row>
    <row r="11684" spans="1:16" x14ac:dyDescent="0.25">
      <c r="A11684" t="s">
        <v>48407</v>
      </c>
      <c r="B11684" t="s">
        <v>48408</v>
      </c>
      <c r="C11684" t="s">
        <v>48409</v>
      </c>
      <c r="D11684" t="str">
        <f>"4837"</f>
        <v>4837</v>
      </c>
      <c r="E11684" t="s">
        <v>48410</v>
      </c>
      <c r="F11684" t="s">
        <v>31484</v>
      </c>
      <c r="G11684" t="s">
        <v>16232</v>
      </c>
      <c r="H11684" t="s">
        <v>47054</v>
      </c>
      <c r="I11684" t="s">
        <v>47118</v>
      </c>
      <c r="J11684" t="s">
        <v>47119</v>
      </c>
      <c r="K11684" t="s">
        <v>47113</v>
      </c>
      <c r="L11684">
        <v>20.8</v>
      </c>
      <c r="M11684">
        <v>48</v>
      </c>
      <c r="N11684">
        <v>129</v>
      </c>
      <c r="O11684">
        <v>48</v>
      </c>
      <c r="P11684">
        <v>129</v>
      </c>
    </row>
    <row r="11685" spans="1:16" x14ac:dyDescent="0.25">
      <c r="A11685" t="s">
        <v>48411</v>
      </c>
      <c r="B11685" t="s">
        <v>48412</v>
      </c>
      <c r="C11685" t="s">
        <v>48413</v>
      </c>
      <c r="D11685" t="str">
        <f>"1001"</f>
        <v>1001</v>
      </c>
      <c r="E11685" t="s">
        <v>42</v>
      </c>
      <c r="F11685" t="s">
        <v>47488</v>
      </c>
      <c r="G11685" t="s">
        <v>16221</v>
      </c>
      <c r="H11685" t="s">
        <v>47054</v>
      </c>
      <c r="I11685" t="s">
        <v>47154</v>
      </c>
      <c r="J11685" t="s">
        <v>47155</v>
      </c>
      <c r="K11685" t="s">
        <v>47113</v>
      </c>
      <c r="L11685">
        <v>9.1199999999999992</v>
      </c>
      <c r="M11685">
        <v>26</v>
      </c>
      <c r="N11685">
        <v>69</v>
      </c>
      <c r="O11685">
        <v>26</v>
      </c>
      <c r="P11685">
        <v>69</v>
      </c>
    </row>
    <row r="11686" spans="1:16" x14ac:dyDescent="0.25">
      <c r="A11686" t="s">
        <v>48414</v>
      </c>
      <c r="B11686" t="s">
        <v>48412</v>
      </c>
      <c r="C11686" t="s">
        <v>48413</v>
      </c>
      <c r="D11686" t="str">
        <f>"4100"</f>
        <v>4100</v>
      </c>
      <c r="E11686" t="s">
        <v>2383</v>
      </c>
      <c r="F11686" t="s">
        <v>47488</v>
      </c>
      <c r="G11686" t="s">
        <v>16221</v>
      </c>
      <c r="H11686" t="s">
        <v>47054</v>
      </c>
      <c r="I11686" t="s">
        <v>47154</v>
      </c>
      <c r="J11686" t="s">
        <v>47155</v>
      </c>
      <c r="K11686" t="s">
        <v>47113</v>
      </c>
      <c r="L11686">
        <v>9.1199999999999992</v>
      </c>
      <c r="M11686">
        <v>26</v>
      </c>
      <c r="N11686">
        <v>69</v>
      </c>
      <c r="O11686">
        <v>26</v>
      </c>
      <c r="P11686">
        <v>69</v>
      </c>
    </row>
    <row r="11687" spans="1:16" x14ac:dyDescent="0.25">
      <c r="A11687" t="s">
        <v>48415</v>
      </c>
      <c r="B11687" t="s">
        <v>48416</v>
      </c>
      <c r="C11687" t="s">
        <v>48417</v>
      </c>
      <c r="D11687" t="str">
        <f>"1767"</f>
        <v>1767</v>
      </c>
      <c r="E11687" t="s">
        <v>48418</v>
      </c>
      <c r="F11687" t="s">
        <v>47488</v>
      </c>
      <c r="G11687" t="s">
        <v>16232</v>
      </c>
      <c r="H11687" t="s">
        <v>47054</v>
      </c>
      <c r="I11687" t="s">
        <v>47118</v>
      </c>
      <c r="J11687" t="s">
        <v>47119</v>
      </c>
      <c r="K11687" t="s">
        <v>47113</v>
      </c>
      <c r="L11687">
        <v>22.64</v>
      </c>
      <c r="M11687">
        <v>63</v>
      </c>
      <c r="N11687">
        <v>169</v>
      </c>
      <c r="O11687">
        <v>63</v>
      </c>
      <c r="P11687">
        <v>169</v>
      </c>
    </row>
    <row r="11688" spans="1:16" x14ac:dyDescent="0.25">
      <c r="A11688" t="s">
        <v>48419</v>
      </c>
      <c r="B11688" t="s">
        <v>48420</v>
      </c>
      <c r="C11688" t="s">
        <v>48421</v>
      </c>
      <c r="D11688" t="str">
        <f>"3071"</f>
        <v>3071</v>
      </c>
      <c r="E11688" t="s">
        <v>20770</v>
      </c>
      <c r="F11688" t="s">
        <v>47479</v>
      </c>
      <c r="G11688" t="s">
        <v>16221</v>
      </c>
      <c r="H11688" t="s">
        <v>47054</v>
      </c>
      <c r="I11688" t="s">
        <v>47154</v>
      </c>
      <c r="J11688" t="s">
        <v>47155</v>
      </c>
      <c r="K11688" t="s">
        <v>47113</v>
      </c>
      <c r="L11688">
        <v>11.14</v>
      </c>
      <c r="M11688">
        <v>33</v>
      </c>
      <c r="N11688">
        <v>89</v>
      </c>
      <c r="O11688">
        <v>33</v>
      </c>
      <c r="P11688">
        <v>89</v>
      </c>
    </row>
    <row r="11689" spans="1:16" x14ac:dyDescent="0.25">
      <c r="A11689" t="s">
        <v>34373</v>
      </c>
      <c r="B11689" t="s">
        <v>8798</v>
      </c>
      <c r="C11689" t="s">
        <v>8799</v>
      </c>
      <c r="D11689" t="str">
        <f>"1108"</f>
        <v>1108</v>
      </c>
      <c r="E11689" t="s">
        <v>6582</v>
      </c>
      <c r="F11689" t="s">
        <v>4</v>
      </c>
      <c r="G11689" t="s">
        <v>16230</v>
      </c>
      <c r="H11689" t="s">
        <v>47054</v>
      </c>
      <c r="I11689" t="s">
        <v>47120</v>
      </c>
      <c r="J11689" t="s">
        <v>47121</v>
      </c>
      <c r="K11689" t="s">
        <v>47113</v>
      </c>
      <c r="L11689">
        <v>26.67</v>
      </c>
      <c r="M11689">
        <v>65</v>
      </c>
      <c r="N11689">
        <v>0</v>
      </c>
      <c r="O11689">
        <v>65</v>
      </c>
      <c r="P11689">
        <v>0</v>
      </c>
    </row>
    <row r="11690" spans="1:16" x14ac:dyDescent="0.25">
      <c r="A11690" t="s">
        <v>34374</v>
      </c>
      <c r="B11690" t="s">
        <v>8798</v>
      </c>
      <c r="C11690" t="s">
        <v>8799</v>
      </c>
      <c r="D11690" t="str">
        <f>"1386"</f>
        <v>1386</v>
      </c>
      <c r="E11690" t="s">
        <v>8800</v>
      </c>
      <c r="F11690" t="s">
        <v>4</v>
      </c>
      <c r="G11690" t="s">
        <v>16230</v>
      </c>
      <c r="H11690" t="s">
        <v>47054</v>
      </c>
      <c r="I11690" t="s">
        <v>47120</v>
      </c>
      <c r="J11690" t="s">
        <v>47121</v>
      </c>
      <c r="K11690" t="s">
        <v>47113</v>
      </c>
      <c r="L11690">
        <v>26.67</v>
      </c>
      <c r="M11690">
        <v>65</v>
      </c>
      <c r="N11690">
        <v>0</v>
      </c>
      <c r="O11690">
        <v>65</v>
      </c>
      <c r="P11690">
        <v>0</v>
      </c>
    </row>
    <row r="11691" spans="1:16" x14ac:dyDescent="0.25">
      <c r="A11691" t="s">
        <v>34375</v>
      </c>
      <c r="B11691" t="s">
        <v>8801</v>
      </c>
      <c r="C11691" t="s">
        <v>8802</v>
      </c>
      <c r="D11691" t="s">
        <v>8803</v>
      </c>
      <c r="E11691" t="s">
        <v>8804</v>
      </c>
      <c r="F11691" t="s">
        <v>3750</v>
      </c>
      <c r="G11691" t="s">
        <v>16231</v>
      </c>
      <c r="H11691" t="s">
        <v>47054</v>
      </c>
      <c r="I11691" t="s">
        <v>47964</v>
      </c>
      <c r="J11691" t="s">
        <v>47965</v>
      </c>
      <c r="K11691" t="s">
        <v>47113</v>
      </c>
      <c r="L11691">
        <v>18.690000000000001</v>
      </c>
      <c r="M11691">
        <v>72</v>
      </c>
      <c r="N11691">
        <v>0</v>
      </c>
      <c r="O11691">
        <v>72</v>
      </c>
      <c r="P11691">
        <v>0</v>
      </c>
    </row>
    <row r="11692" spans="1:16" x14ac:dyDescent="0.25">
      <c r="A11692" t="s">
        <v>34376</v>
      </c>
      <c r="B11692" t="s">
        <v>8805</v>
      </c>
      <c r="C11692" t="s">
        <v>5493</v>
      </c>
      <c r="D11692" t="str">
        <f>"1385"</f>
        <v>1385</v>
      </c>
      <c r="E11692" t="s">
        <v>8806</v>
      </c>
      <c r="F11692" t="s">
        <v>4</v>
      </c>
      <c r="G11692" t="s">
        <v>16230</v>
      </c>
      <c r="H11692" t="s">
        <v>47054</v>
      </c>
      <c r="I11692" t="s">
        <v>47120</v>
      </c>
      <c r="J11692" t="s">
        <v>47121</v>
      </c>
      <c r="K11692" t="s">
        <v>47113</v>
      </c>
      <c r="L11692">
        <v>25.43</v>
      </c>
      <c r="M11692">
        <v>62</v>
      </c>
      <c r="N11692">
        <v>0</v>
      </c>
      <c r="O11692">
        <v>62</v>
      </c>
      <c r="P11692">
        <v>0</v>
      </c>
    </row>
    <row r="11693" spans="1:16" x14ac:dyDescent="0.25">
      <c r="A11693" t="s">
        <v>34377</v>
      </c>
      <c r="B11693" t="s">
        <v>8805</v>
      </c>
      <c r="C11693" t="s">
        <v>5493</v>
      </c>
      <c r="D11693" t="str">
        <f>"6376"</f>
        <v>6376</v>
      </c>
      <c r="E11693" t="s">
        <v>8807</v>
      </c>
      <c r="F11693" t="s">
        <v>4</v>
      </c>
      <c r="G11693" t="s">
        <v>16230</v>
      </c>
      <c r="H11693" t="s">
        <v>47054</v>
      </c>
      <c r="I11693" t="s">
        <v>47120</v>
      </c>
      <c r="J11693" t="s">
        <v>47121</v>
      </c>
      <c r="K11693" t="s">
        <v>47113</v>
      </c>
      <c r="L11693">
        <v>25.43</v>
      </c>
      <c r="M11693">
        <v>62</v>
      </c>
      <c r="N11693">
        <v>0</v>
      </c>
      <c r="O11693">
        <v>62</v>
      </c>
      <c r="P11693">
        <v>0</v>
      </c>
    </row>
    <row r="11694" spans="1:16" x14ac:dyDescent="0.25">
      <c r="A11694" t="s">
        <v>34378</v>
      </c>
      <c r="B11694" t="s">
        <v>8808</v>
      </c>
      <c r="C11694" t="s">
        <v>8809</v>
      </c>
      <c r="D11694" t="str">
        <f>"4359"</f>
        <v>4359</v>
      </c>
      <c r="E11694" t="s">
        <v>8810</v>
      </c>
      <c r="F11694" t="s">
        <v>4</v>
      </c>
      <c r="G11694" t="s">
        <v>16230</v>
      </c>
      <c r="H11694" t="s">
        <v>47054</v>
      </c>
      <c r="I11694" t="s">
        <v>47120</v>
      </c>
      <c r="J11694" t="s">
        <v>47121</v>
      </c>
      <c r="K11694" t="s">
        <v>47113</v>
      </c>
      <c r="L11694">
        <v>27.01</v>
      </c>
      <c r="M11694">
        <v>66</v>
      </c>
      <c r="N11694">
        <v>0</v>
      </c>
      <c r="O11694">
        <v>66</v>
      </c>
      <c r="P11694">
        <v>0</v>
      </c>
    </row>
    <row r="11695" spans="1:16" x14ac:dyDescent="0.25">
      <c r="A11695" t="s">
        <v>48422</v>
      </c>
      <c r="B11695" t="s">
        <v>48423</v>
      </c>
      <c r="C11695" t="s">
        <v>48424</v>
      </c>
      <c r="D11695" t="str">
        <f>"1001"</f>
        <v>1001</v>
      </c>
      <c r="E11695" t="s">
        <v>42</v>
      </c>
      <c r="F11695" t="s">
        <v>47479</v>
      </c>
      <c r="G11695" t="s">
        <v>16235</v>
      </c>
      <c r="H11695" t="s">
        <v>47054</v>
      </c>
      <c r="I11695" t="s">
        <v>47120</v>
      </c>
      <c r="J11695" t="s">
        <v>47121</v>
      </c>
      <c r="K11695" t="s">
        <v>47113</v>
      </c>
      <c r="L11695">
        <v>37.880000000000003</v>
      </c>
      <c r="M11695">
        <v>92</v>
      </c>
      <c r="N11695">
        <v>249</v>
      </c>
      <c r="O11695">
        <v>92</v>
      </c>
      <c r="P11695">
        <v>249</v>
      </c>
    </row>
    <row r="11696" spans="1:16" x14ac:dyDescent="0.25">
      <c r="A11696" t="s">
        <v>48425</v>
      </c>
      <c r="B11696" t="s">
        <v>48426</v>
      </c>
      <c r="C11696" t="s">
        <v>48427</v>
      </c>
      <c r="D11696" t="str">
        <f>"1014"</f>
        <v>1014</v>
      </c>
      <c r="E11696" t="s">
        <v>16045</v>
      </c>
      <c r="F11696" t="s">
        <v>47185</v>
      </c>
      <c r="G11696" t="s">
        <v>16448</v>
      </c>
      <c r="H11696" t="s">
        <v>47054</v>
      </c>
      <c r="I11696" t="s">
        <v>47118</v>
      </c>
      <c r="J11696" t="s">
        <v>47119</v>
      </c>
      <c r="K11696" t="s">
        <v>47113</v>
      </c>
      <c r="L11696">
        <v>41.18</v>
      </c>
      <c r="M11696">
        <v>92</v>
      </c>
      <c r="N11696">
        <v>249</v>
      </c>
      <c r="O11696">
        <v>92</v>
      </c>
      <c r="P11696">
        <v>249</v>
      </c>
    </row>
    <row r="11697" spans="1:16" x14ac:dyDescent="0.25">
      <c r="A11697" t="s">
        <v>48428</v>
      </c>
      <c r="B11697" t="s">
        <v>48429</v>
      </c>
      <c r="C11697" t="s">
        <v>48430</v>
      </c>
      <c r="D11697" t="str">
        <f>"1001"</f>
        <v>1001</v>
      </c>
      <c r="E11697" t="s">
        <v>16045</v>
      </c>
      <c r="F11697" t="s">
        <v>31484</v>
      </c>
      <c r="G11697" t="s">
        <v>16235</v>
      </c>
      <c r="H11697" t="s">
        <v>47054</v>
      </c>
      <c r="I11697" t="s">
        <v>47120</v>
      </c>
      <c r="J11697" t="s">
        <v>47121</v>
      </c>
      <c r="K11697" t="s">
        <v>47113</v>
      </c>
      <c r="L11697">
        <v>36.19</v>
      </c>
      <c r="M11697">
        <v>70</v>
      </c>
      <c r="N11697">
        <v>189</v>
      </c>
      <c r="O11697">
        <v>70</v>
      </c>
      <c r="P11697">
        <v>189</v>
      </c>
    </row>
    <row r="11698" spans="1:16" x14ac:dyDescent="0.25">
      <c r="A11698" t="s">
        <v>48431</v>
      </c>
      <c r="B11698" t="s">
        <v>48429</v>
      </c>
      <c r="C11698" t="s">
        <v>48430</v>
      </c>
      <c r="D11698" t="str">
        <f>"6000"</f>
        <v>6000</v>
      </c>
      <c r="E11698" t="s">
        <v>6279</v>
      </c>
      <c r="F11698" t="s">
        <v>31484</v>
      </c>
      <c r="G11698" t="s">
        <v>16235</v>
      </c>
      <c r="H11698" t="s">
        <v>47054</v>
      </c>
      <c r="I11698" t="s">
        <v>47120</v>
      </c>
      <c r="J11698" t="s">
        <v>47121</v>
      </c>
      <c r="K11698" t="s">
        <v>47113</v>
      </c>
      <c r="L11698">
        <v>36.19</v>
      </c>
      <c r="M11698">
        <v>70</v>
      </c>
      <c r="N11698">
        <v>189</v>
      </c>
      <c r="O11698">
        <v>70</v>
      </c>
      <c r="P11698">
        <v>189</v>
      </c>
    </row>
    <row r="11699" spans="1:16" x14ac:dyDescent="0.25">
      <c r="A11699" t="s">
        <v>48432</v>
      </c>
      <c r="B11699" t="s">
        <v>48433</v>
      </c>
      <c r="C11699" t="s">
        <v>48434</v>
      </c>
      <c r="D11699" t="str">
        <f>"1001"</f>
        <v>1001</v>
      </c>
      <c r="E11699" t="s">
        <v>42</v>
      </c>
      <c r="F11699" t="s">
        <v>47488</v>
      </c>
      <c r="G11699" t="s">
        <v>16224</v>
      </c>
      <c r="H11699" t="s">
        <v>47054</v>
      </c>
      <c r="I11699" t="s">
        <v>47120</v>
      </c>
      <c r="J11699" t="s">
        <v>47121</v>
      </c>
      <c r="K11699" t="s">
        <v>47113</v>
      </c>
      <c r="L11699">
        <v>40.72</v>
      </c>
      <c r="M11699">
        <v>92</v>
      </c>
      <c r="N11699">
        <v>249</v>
      </c>
      <c r="O11699">
        <v>92</v>
      </c>
      <c r="P11699">
        <v>249</v>
      </c>
    </row>
    <row r="11700" spans="1:16" x14ac:dyDescent="0.25">
      <c r="A11700" t="s">
        <v>48435</v>
      </c>
      <c r="B11700" t="s">
        <v>48436</v>
      </c>
      <c r="C11700" t="s">
        <v>29139</v>
      </c>
      <c r="D11700" t="str">
        <f>"1001"</f>
        <v>1001</v>
      </c>
      <c r="E11700" t="s">
        <v>42</v>
      </c>
      <c r="F11700" t="s">
        <v>46687</v>
      </c>
      <c r="G11700" t="s">
        <v>16235</v>
      </c>
      <c r="H11700" t="s">
        <v>47054</v>
      </c>
      <c r="I11700" t="s">
        <v>47111</v>
      </c>
      <c r="J11700" t="s">
        <v>47112</v>
      </c>
      <c r="K11700" t="s">
        <v>47113</v>
      </c>
      <c r="L11700">
        <v>13.62</v>
      </c>
      <c r="M11700">
        <v>37</v>
      </c>
      <c r="N11700">
        <v>99</v>
      </c>
      <c r="O11700">
        <v>37</v>
      </c>
      <c r="P11700">
        <v>99</v>
      </c>
    </row>
    <row r="11701" spans="1:16" x14ac:dyDescent="0.25">
      <c r="A11701" t="s">
        <v>48437</v>
      </c>
      <c r="B11701" t="s">
        <v>48436</v>
      </c>
      <c r="C11701" t="s">
        <v>29139</v>
      </c>
      <c r="D11701" t="str">
        <f>"4792"</f>
        <v>4792</v>
      </c>
      <c r="E11701" t="s">
        <v>12028</v>
      </c>
      <c r="F11701" t="s">
        <v>46687</v>
      </c>
      <c r="G11701" t="s">
        <v>16235</v>
      </c>
      <c r="H11701" t="s">
        <v>47054</v>
      </c>
      <c r="I11701" t="s">
        <v>47111</v>
      </c>
      <c r="J11701" t="s">
        <v>47112</v>
      </c>
      <c r="K11701" t="s">
        <v>47113</v>
      </c>
      <c r="L11701">
        <v>13.62</v>
      </c>
      <c r="M11701">
        <v>37</v>
      </c>
      <c r="N11701">
        <v>99</v>
      </c>
      <c r="O11701">
        <v>37</v>
      </c>
      <c r="P11701">
        <v>99</v>
      </c>
    </row>
    <row r="11702" spans="1:16" x14ac:dyDescent="0.25">
      <c r="A11702" t="s">
        <v>48438</v>
      </c>
      <c r="B11702" t="s">
        <v>48436</v>
      </c>
      <c r="C11702" t="s">
        <v>29139</v>
      </c>
      <c r="D11702" t="str">
        <f>"6500"</f>
        <v>6500</v>
      </c>
      <c r="E11702" t="s">
        <v>48439</v>
      </c>
      <c r="F11702" t="s">
        <v>46687</v>
      </c>
      <c r="G11702" t="s">
        <v>16235</v>
      </c>
      <c r="H11702" t="s">
        <v>47054</v>
      </c>
      <c r="I11702" t="s">
        <v>47111</v>
      </c>
      <c r="J11702" t="s">
        <v>47112</v>
      </c>
      <c r="K11702" t="s">
        <v>47113</v>
      </c>
      <c r="L11702">
        <v>13.62</v>
      </c>
      <c r="M11702">
        <v>37</v>
      </c>
      <c r="N11702">
        <v>99</v>
      </c>
      <c r="O11702">
        <v>37</v>
      </c>
      <c r="P11702">
        <v>99</v>
      </c>
    </row>
    <row r="11703" spans="1:16" x14ac:dyDescent="0.25">
      <c r="A11703" t="s">
        <v>34379</v>
      </c>
      <c r="B11703" t="s">
        <v>8811</v>
      </c>
      <c r="C11703" t="s">
        <v>7423</v>
      </c>
      <c r="D11703" t="str">
        <f>"1384"</f>
        <v>1384</v>
      </c>
      <c r="E11703" t="s">
        <v>8812</v>
      </c>
      <c r="F11703" t="s">
        <v>4</v>
      </c>
      <c r="G11703" t="s">
        <v>16230</v>
      </c>
      <c r="H11703" t="s">
        <v>47054</v>
      </c>
      <c r="I11703" t="s">
        <v>47120</v>
      </c>
      <c r="J11703" t="s">
        <v>47121</v>
      </c>
      <c r="K11703" t="s">
        <v>47113</v>
      </c>
      <c r="L11703">
        <v>26.8</v>
      </c>
      <c r="M11703">
        <v>65</v>
      </c>
      <c r="N11703">
        <v>0</v>
      </c>
      <c r="O11703">
        <v>65</v>
      </c>
      <c r="P11703">
        <v>0</v>
      </c>
    </row>
    <row r="11704" spans="1:16" x14ac:dyDescent="0.25">
      <c r="A11704" t="s">
        <v>34380</v>
      </c>
      <c r="B11704" t="s">
        <v>8813</v>
      </c>
      <c r="C11704" t="s">
        <v>8814</v>
      </c>
      <c r="D11704" t="str">
        <f>"4841"</f>
        <v>4841</v>
      </c>
      <c r="E11704" t="s">
        <v>8815</v>
      </c>
      <c r="F11704" t="s">
        <v>0</v>
      </c>
      <c r="G11704" t="s">
        <v>16221</v>
      </c>
      <c r="H11704" t="s">
        <v>47054</v>
      </c>
      <c r="I11704" t="s">
        <v>47120</v>
      </c>
      <c r="J11704" t="s">
        <v>47121</v>
      </c>
      <c r="K11704" t="s">
        <v>47113</v>
      </c>
      <c r="L11704">
        <v>15.63</v>
      </c>
      <c r="M11704">
        <v>34</v>
      </c>
      <c r="N11704">
        <v>0</v>
      </c>
      <c r="O11704">
        <v>34</v>
      </c>
      <c r="P11704">
        <v>0</v>
      </c>
    </row>
    <row r="11705" spans="1:16" x14ac:dyDescent="0.25">
      <c r="A11705" t="s">
        <v>34381</v>
      </c>
      <c r="B11705" t="s">
        <v>8813</v>
      </c>
      <c r="C11705" t="s">
        <v>8814</v>
      </c>
      <c r="D11705" t="s">
        <v>8816</v>
      </c>
      <c r="E11705" t="s">
        <v>8817</v>
      </c>
      <c r="F11705" t="s">
        <v>0</v>
      </c>
      <c r="G11705" t="s">
        <v>16221</v>
      </c>
      <c r="H11705" t="s">
        <v>47054</v>
      </c>
      <c r="I11705" t="s">
        <v>47120</v>
      </c>
      <c r="J11705" t="s">
        <v>47121</v>
      </c>
      <c r="K11705" t="s">
        <v>47113</v>
      </c>
      <c r="L11705">
        <v>15.63</v>
      </c>
      <c r="M11705">
        <v>34</v>
      </c>
      <c r="N11705">
        <v>0</v>
      </c>
      <c r="O11705">
        <v>34</v>
      </c>
      <c r="P11705">
        <v>0</v>
      </c>
    </row>
    <row r="11706" spans="1:16" x14ac:dyDescent="0.25">
      <c r="A11706" t="s">
        <v>34382</v>
      </c>
      <c r="B11706" t="s">
        <v>8818</v>
      </c>
      <c r="C11706" t="s">
        <v>8819</v>
      </c>
      <c r="D11706" t="s">
        <v>8816</v>
      </c>
      <c r="E11706" t="s">
        <v>8817</v>
      </c>
      <c r="F11706" t="s">
        <v>0</v>
      </c>
      <c r="G11706" t="s">
        <v>16221</v>
      </c>
      <c r="H11706" t="s">
        <v>47054</v>
      </c>
      <c r="I11706" t="s">
        <v>47120</v>
      </c>
      <c r="J11706" t="s">
        <v>47121</v>
      </c>
      <c r="K11706" t="s">
        <v>47113</v>
      </c>
      <c r="L11706">
        <v>15.63</v>
      </c>
      <c r="M11706">
        <v>34</v>
      </c>
      <c r="N11706">
        <v>0</v>
      </c>
      <c r="O11706">
        <v>34</v>
      </c>
      <c r="P11706">
        <v>0</v>
      </c>
    </row>
    <row r="11707" spans="1:16" x14ac:dyDescent="0.25">
      <c r="A11707" t="s">
        <v>34383</v>
      </c>
      <c r="B11707" t="s">
        <v>8820</v>
      </c>
      <c r="C11707" t="s">
        <v>8821</v>
      </c>
      <c r="D11707" t="s">
        <v>8822</v>
      </c>
      <c r="E11707" t="s">
        <v>8823</v>
      </c>
      <c r="F11707" t="s">
        <v>0</v>
      </c>
      <c r="G11707" t="s">
        <v>16221</v>
      </c>
      <c r="H11707" t="s">
        <v>47054</v>
      </c>
      <c r="I11707" t="s">
        <v>47120</v>
      </c>
      <c r="J11707" t="s">
        <v>47121</v>
      </c>
      <c r="K11707" t="s">
        <v>47113</v>
      </c>
      <c r="L11707">
        <v>15.63</v>
      </c>
      <c r="M11707">
        <v>34</v>
      </c>
      <c r="N11707">
        <v>0</v>
      </c>
      <c r="O11707">
        <v>34</v>
      </c>
      <c r="P11707">
        <v>0</v>
      </c>
    </row>
    <row r="11708" spans="1:16" x14ac:dyDescent="0.25">
      <c r="A11708" t="s">
        <v>34384</v>
      </c>
      <c r="B11708" t="s">
        <v>8824</v>
      </c>
      <c r="C11708" t="s">
        <v>8825</v>
      </c>
      <c r="D11708" t="str">
        <f>"4355"</f>
        <v>4355</v>
      </c>
      <c r="E11708" t="s">
        <v>8826</v>
      </c>
      <c r="F11708" t="s">
        <v>4</v>
      </c>
      <c r="G11708" t="s">
        <v>16232</v>
      </c>
      <c r="H11708" t="s">
        <v>47054</v>
      </c>
      <c r="I11708" t="s">
        <v>47120</v>
      </c>
      <c r="J11708" t="s">
        <v>47121</v>
      </c>
      <c r="K11708" t="s">
        <v>47113</v>
      </c>
      <c r="L11708">
        <v>19.22</v>
      </c>
      <c r="M11708">
        <v>47</v>
      </c>
      <c r="N11708">
        <v>0</v>
      </c>
      <c r="O11708">
        <v>47</v>
      </c>
      <c r="P11708">
        <v>0</v>
      </c>
    </row>
    <row r="11709" spans="1:16" x14ac:dyDescent="0.25">
      <c r="A11709" t="s">
        <v>34385</v>
      </c>
      <c r="B11709" t="s">
        <v>8827</v>
      </c>
      <c r="C11709" t="s">
        <v>8828</v>
      </c>
      <c r="D11709" t="str">
        <f>"1700"</f>
        <v>1700</v>
      </c>
      <c r="E11709" t="s">
        <v>8829</v>
      </c>
      <c r="F11709" t="s">
        <v>0</v>
      </c>
      <c r="G11709" t="s">
        <v>16221</v>
      </c>
      <c r="H11709" t="s">
        <v>47054</v>
      </c>
      <c r="I11709" t="s">
        <v>47120</v>
      </c>
      <c r="J11709" t="s">
        <v>47121</v>
      </c>
      <c r="K11709" t="s">
        <v>47113</v>
      </c>
      <c r="L11709">
        <v>19.48</v>
      </c>
      <c r="M11709">
        <v>34</v>
      </c>
      <c r="N11709">
        <v>0</v>
      </c>
      <c r="O11709">
        <v>34</v>
      </c>
      <c r="P11709">
        <v>0</v>
      </c>
    </row>
    <row r="11710" spans="1:16" x14ac:dyDescent="0.25">
      <c r="A11710" t="s">
        <v>34386</v>
      </c>
      <c r="B11710" t="s">
        <v>8830</v>
      </c>
      <c r="C11710" t="s">
        <v>8831</v>
      </c>
      <c r="D11710" t="str">
        <f>"2656"</f>
        <v>2656</v>
      </c>
      <c r="E11710" t="s">
        <v>8832</v>
      </c>
      <c r="F11710" t="s">
        <v>4</v>
      </c>
      <c r="G11710" t="s">
        <v>47122</v>
      </c>
      <c r="H11710" t="s">
        <v>47054</v>
      </c>
      <c r="I11710" t="s">
        <v>47120</v>
      </c>
      <c r="J11710" t="s">
        <v>47121</v>
      </c>
      <c r="K11710" t="s">
        <v>47113</v>
      </c>
      <c r="L11710">
        <v>55.38</v>
      </c>
      <c r="M11710">
        <v>135</v>
      </c>
      <c r="N11710">
        <v>0</v>
      </c>
      <c r="O11710">
        <v>135</v>
      </c>
      <c r="P11710">
        <v>0</v>
      </c>
    </row>
    <row r="11711" spans="1:16" x14ac:dyDescent="0.25">
      <c r="A11711" t="s">
        <v>34387</v>
      </c>
      <c r="B11711" t="s">
        <v>8833</v>
      </c>
      <c r="C11711" t="s">
        <v>8834</v>
      </c>
      <c r="D11711" t="str">
        <f>"1001"</f>
        <v>1001</v>
      </c>
      <c r="E11711" t="s">
        <v>8835</v>
      </c>
      <c r="F11711" t="s">
        <v>4</v>
      </c>
      <c r="G11711" t="s">
        <v>16224</v>
      </c>
      <c r="H11711" t="s">
        <v>47054</v>
      </c>
      <c r="I11711" t="s">
        <v>47120</v>
      </c>
      <c r="J11711" t="s">
        <v>47121</v>
      </c>
      <c r="K11711" t="s">
        <v>47113</v>
      </c>
      <c r="L11711">
        <v>84.4</v>
      </c>
      <c r="M11711">
        <v>206</v>
      </c>
      <c r="N11711">
        <v>0</v>
      </c>
      <c r="O11711">
        <v>206</v>
      </c>
      <c r="P11711">
        <v>0</v>
      </c>
    </row>
    <row r="11712" spans="1:16" x14ac:dyDescent="0.25">
      <c r="A11712" t="s">
        <v>34388</v>
      </c>
      <c r="B11712" t="s">
        <v>8836</v>
      </c>
      <c r="C11712" t="s">
        <v>8837</v>
      </c>
      <c r="D11712" t="str">
        <f>"3263"</f>
        <v>3263</v>
      </c>
      <c r="E11712" t="s">
        <v>8838</v>
      </c>
      <c r="F11712" t="s">
        <v>4</v>
      </c>
      <c r="G11712" t="s">
        <v>47122</v>
      </c>
      <c r="H11712" t="s">
        <v>47054</v>
      </c>
      <c r="I11712" t="s">
        <v>47120</v>
      </c>
      <c r="J11712" t="s">
        <v>47121</v>
      </c>
      <c r="K11712" t="s">
        <v>47113</v>
      </c>
      <c r="L11712">
        <v>67.510000000000005</v>
      </c>
      <c r="M11712">
        <v>165</v>
      </c>
      <c r="N11712">
        <v>0</v>
      </c>
      <c r="O11712">
        <v>165</v>
      </c>
      <c r="P11712">
        <v>0</v>
      </c>
    </row>
    <row r="11713" spans="1:16" x14ac:dyDescent="0.25">
      <c r="A11713" t="s">
        <v>48440</v>
      </c>
      <c r="B11713" t="s">
        <v>48441</v>
      </c>
      <c r="C11713" t="s">
        <v>48442</v>
      </c>
      <c r="D11713" t="str">
        <f>"3105"</f>
        <v>3105</v>
      </c>
      <c r="E11713" t="s">
        <v>48244</v>
      </c>
      <c r="F11713" t="s">
        <v>47185</v>
      </c>
      <c r="G11713" t="s">
        <v>16448</v>
      </c>
      <c r="H11713" t="s">
        <v>47054</v>
      </c>
      <c r="I11713" t="s">
        <v>47120</v>
      </c>
      <c r="J11713" t="s">
        <v>47121</v>
      </c>
      <c r="K11713" t="s">
        <v>47113</v>
      </c>
      <c r="L11713">
        <v>57.13</v>
      </c>
      <c r="M11713">
        <v>92</v>
      </c>
      <c r="N11713">
        <v>249</v>
      </c>
      <c r="O11713">
        <v>92</v>
      </c>
      <c r="P11713">
        <v>249</v>
      </c>
    </row>
    <row r="11714" spans="1:16" x14ac:dyDescent="0.25">
      <c r="A11714" t="s">
        <v>48443</v>
      </c>
      <c r="B11714" t="s">
        <v>48444</v>
      </c>
      <c r="C11714" t="s">
        <v>48445</v>
      </c>
      <c r="D11714" t="str">
        <f>"3106"</f>
        <v>3106</v>
      </c>
      <c r="E11714" t="s">
        <v>48446</v>
      </c>
      <c r="F11714" t="s">
        <v>47479</v>
      </c>
      <c r="G11714" t="s">
        <v>16448</v>
      </c>
      <c r="H11714" t="s">
        <v>47054</v>
      </c>
      <c r="I11714" t="s">
        <v>47120</v>
      </c>
      <c r="J11714" t="s">
        <v>47121</v>
      </c>
      <c r="K11714" t="s">
        <v>47113</v>
      </c>
      <c r="L11714">
        <v>52.1</v>
      </c>
      <c r="M11714">
        <v>129</v>
      </c>
      <c r="N11714">
        <v>349</v>
      </c>
      <c r="O11714">
        <v>129</v>
      </c>
      <c r="P11714">
        <v>349</v>
      </c>
    </row>
    <row r="11715" spans="1:16" x14ac:dyDescent="0.25">
      <c r="A11715" t="s">
        <v>34389</v>
      </c>
      <c r="B11715" t="s">
        <v>8839</v>
      </c>
      <c r="C11715" t="s">
        <v>8840</v>
      </c>
      <c r="D11715" t="str">
        <f>"4100"</f>
        <v>4100</v>
      </c>
      <c r="E11715" t="s">
        <v>8841</v>
      </c>
      <c r="F11715" t="s">
        <v>3558</v>
      </c>
      <c r="G11715" t="s">
        <v>16232</v>
      </c>
      <c r="H11715" t="s">
        <v>47054</v>
      </c>
      <c r="I11715" t="s">
        <v>48447</v>
      </c>
      <c r="K11715" t="s">
        <v>47113</v>
      </c>
      <c r="L11715">
        <v>8.6999999999999993</v>
      </c>
      <c r="M11715">
        <v>29</v>
      </c>
      <c r="N11715">
        <v>0</v>
      </c>
      <c r="O11715">
        <v>29</v>
      </c>
      <c r="P11715">
        <v>0</v>
      </c>
    </row>
    <row r="11716" spans="1:16" x14ac:dyDescent="0.25">
      <c r="A11716" t="s">
        <v>17906</v>
      </c>
      <c r="B11716" t="s">
        <v>8842</v>
      </c>
      <c r="C11716" t="s">
        <v>7784</v>
      </c>
      <c r="D11716" t="str">
        <f>"4190"</f>
        <v>4190</v>
      </c>
      <c r="E11716" t="s">
        <v>8843</v>
      </c>
      <c r="F11716" t="s">
        <v>3558</v>
      </c>
      <c r="G11716" t="s">
        <v>16232</v>
      </c>
      <c r="H11716" t="s">
        <v>47054</v>
      </c>
      <c r="I11716" t="s">
        <v>47120</v>
      </c>
      <c r="J11716" t="s">
        <v>47121</v>
      </c>
      <c r="K11716" t="s">
        <v>47113</v>
      </c>
      <c r="L11716">
        <v>9.48</v>
      </c>
      <c r="M11716">
        <v>37</v>
      </c>
      <c r="N11716">
        <v>0</v>
      </c>
      <c r="O11716">
        <v>37</v>
      </c>
      <c r="P11716">
        <v>0</v>
      </c>
    </row>
    <row r="11717" spans="1:16" x14ac:dyDescent="0.25">
      <c r="A11717" t="s">
        <v>48448</v>
      </c>
      <c r="B11717" t="s">
        <v>48449</v>
      </c>
      <c r="C11717" t="s">
        <v>48450</v>
      </c>
      <c r="D11717" t="str">
        <f>"4048"</f>
        <v>4048</v>
      </c>
      <c r="E11717" t="s">
        <v>48451</v>
      </c>
      <c r="F11717" t="s">
        <v>47171</v>
      </c>
      <c r="G11717" t="s">
        <v>16448</v>
      </c>
      <c r="H11717" t="s">
        <v>48345</v>
      </c>
      <c r="I11717" t="s">
        <v>47120</v>
      </c>
      <c r="J11717" t="s">
        <v>47121</v>
      </c>
      <c r="K11717" t="s">
        <v>47113</v>
      </c>
      <c r="L11717">
        <v>74.45</v>
      </c>
      <c r="M11717">
        <v>166</v>
      </c>
      <c r="N11717">
        <v>449</v>
      </c>
      <c r="O11717">
        <v>166</v>
      </c>
      <c r="P11717">
        <v>449</v>
      </c>
    </row>
    <row r="11718" spans="1:16" x14ac:dyDescent="0.25">
      <c r="A11718" t="s">
        <v>34390</v>
      </c>
      <c r="B11718" t="s">
        <v>8844</v>
      </c>
      <c r="C11718" t="s">
        <v>7784</v>
      </c>
      <c r="D11718" t="str">
        <f>"4100"</f>
        <v>4100</v>
      </c>
      <c r="E11718" t="s">
        <v>8845</v>
      </c>
      <c r="F11718" t="s">
        <v>3558</v>
      </c>
      <c r="G11718" t="s">
        <v>16232</v>
      </c>
      <c r="H11718" t="s">
        <v>47054</v>
      </c>
      <c r="I11718" t="s">
        <v>47120</v>
      </c>
      <c r="J11718" t="s">
        <v>47121</v>
      </c>
      <c r="K11718" t="s">
        <v>47113</v>
      </c>
      <c r="L11718">
        <v>19.149999999999999</v>
      </c>
      <c r="M11718">
        <v>37</v>
      </c>
      <c r="N11718">
        <v>0</v>
      </c>
      <c r="O11718">
        <v>37</v>
      </c>
      <c r="P11718">
        <v>0</v>
      </c>
    </row>
    <row r="11719" spans="1:16" x14ac:dyDescent="0.25">
      <c r="A11719" t="s">
        <v>34391</v>
      </c>
      <c r="B11719" t="s">
        <v>8846</v>
      </c>
      <c r="C11719" t="s">
        <v>20726</v>
      </c>
      <c r="D11719" t="s">
        <v>8847</v>
      </c>
      <c r="E11719" t="s">
        <v>8848</v>
      </c>
      <c r="F11719" t="s">
        <v>3558</v>
      </c>
      <c r="G11719" t="s">
        <v>16233</v>
      </c>
      <c r="H11719" t="s">
        <v>47054</v>
      </c>
      <c r="I11719" t="s">
        <v>47120</v>
      </c>
      <c r="J11719" t="s">
        <v>47121</v>
      </c>
      <c r="K11719" t="s">
        <v>47113</v>
      </c>
      <c r="L11719">
        <v>16.399999999999999</v>
      </c>
      <c r="M11719">
        <v>63</v>
      </c>
      <c r="N11719">
        <v>0</v>
      </c>
      <c r="O11719">
        <v>63</v>
      </c>
      <c r="P11719">
        <v>0</v>
      </c>
    </row>
    <row r="11720" spans="1:16" x14ac:dyDescent="0.25">
      <c r="A11720" t="s">
        <v>34392</v>
      </c>
      <c r="B11720" t="s">
        <v>8849</v>
      </c>
      <c r="C11720" t="s">
        <v>17907</v>
      </c>
      <c r="D11720" t="s">
        <v>8847</v>
      </c>
      <c r="E11720" t="s">
        <v>8848</v>
      </c>
      <c r="F11720" t="s">
        <v>3558</v>
      </c>
      <c r="G11720" t="s">
        <v>16234</v>
      </c>
      <c r="H11720" t="s">
        <v>47054</v>
      </c>
      <c r="I11720" t="s">
        <v>47120</v>
      </c>
      <c r="J11720" t="s">
        <v>47121</v>
      </c>
      <c r="K11720" t="s">
        <v>47113</v>
      </c>
      <c r="L11720">
        <v>21.62</v>
      </c>
      <c r="M11720">
        <v>74</v>
      </c>
      <c r="N11720">
        <v>0</v>
      </c>
      <c r="O11720">
        <v>74</v>
      </c>
      <c r="P11720">
        <v>0</v>
      </c>
    </row>
    <row r="11721" spans="1:16" x14ac:dyDescent="0.25">
      <c r="A11721" t="s">
        <v>34393</v>
      </c>
      <c r="B11721" t="s">
        <v>8850</v>
      </c>
      <c r="C11721" t="s">
        <v>8851</v>
      </c>
      <c r="D11721" t="s">
        <v>8847</v>
      </c>
      <c r="E11721" t="s">
        <v>8848</v>
      </c>
      <c r="F11721" t="s">
        <v>3558</v>
      </c>
      <c r="G11721" t="s">
        <v>16234</v>
      </c>
      <c r="H11721" t="s">
        <v>47054</v>
      </c>
      <c r="I11721" t="s">
        <v>47120</v>
      </c>
      <c r="J11721" t="s">
        <v>47121</v>
      </c>
      <c r="K11721" t="s">
        <v>47113</v>
      </c>
      <c r="L11721">
        <v>32.75</v>
      </c>
      <c r="M11721">
        <v>74</v>
      </c>
      <c r="N11721">
        <v>0</v>
      </c>
      <c r="O11721">
        <v>74</v>
      </c>
      <c r="P11721">
        <v>0</v>
      </c>
    </row>
    <row r="11722" spans="1:16" x14ac:dyDescent="0.25">
      <c r="A11722" t="s">
        <v>34394</v>
      </c>
      <c r="B11722" t="s">
        <v>8852</v>
      </c>
      <c r="C11722" t="s">
        <v>8853</v>
      </c>
      <c r="D11722" t="str">
        <f>"1033"</f>
        <v>1033</v>
      </c>
      <c r="E11722" t="s">
        <v>1195</v>
      </c>
      <c r="F11722" t="s">
        <v>4</v>
      </c>
      <c r="G11722" t="s">
        <v>16221</v>
      </c>
      <c r="H11722" t="s">
        <v>47054</v>
      </c>
      <c r="I11722" t="s">
        <v>47120</v>
      </c>
      <c r="J11722" t="s">
        <v>47121</v>
      </c>
      <c r="K11722" t="s">
        <v>47113</v>
      </c>
      <c r="L11722">
        <v>16.57</v>
      </c>
      <c r="M11722">
        <v>40</v>
      </c>
      <c r="N11722">
        <v>0</v>
      </c>
      <c r="O11722">
        <v>40</v>
      </c>
      <c r="P11722">
        <v>0</v>
      </c>
    </row>
    <row r="11723" spans="1:16" x14ac:dyDescent="0.25">
      <c r="A11723" t="s">
        <v>34395</v>
      </c>
      <c r="B11723" t="s">
        <v>8854</v>
      </c>
      <c r="C11723" t="s">
        <v>8855</v>
      </c>
      <c r="D11723" t="str">
        <f>"2323"</f>
        <v>2323</v>
      </c>
      <c r="E11723" t="s">
        <v>8856</v>
      </c>
      <c r="F11723" t="s">
        <v>4</v>
      </c>
      <c r="G11723" t="s">
        <v>16221</v>
      </c>
      <c r="H11723" t="s">
        <v>47054</v>
      </c>
      <c r="I11723" t="s">
        <v>47120</v>
      </c>
      <c r="J11723" t="s">
        <v>47121</v>
      </c>
      <c r="K11723" t="s">
        <v>47113</v>
      </c>
      <c r="L11723">
        <v>19.260000000000002</v>
      </c>
      <c r="M11723">
        <v>47</v>
      </c>
      <c r="N11723">
        <v>0</v>
      </c>
      <c r="O11723">
        <v>47</v>
      </c>
      <c r="P11723">
        <v>0</v>
      </c>
    </row>
    <row r="11724" spans="1:16" x14ac:dyDescent="0.25">
      <c r="A11724" t="s">
        <v>34396</v>
      </c>
      <c r="B11724" t="s">
        <v>8857</v>
      </c>
      <c r="C11724" t="s">
        <v>8858</v>
      </c>
      <c r="D11724" t="str">
        <f>"1746"</f>
        <v>1746</v>
      </c>
      <c r="E11724" t="s">
        <v>807</v>
      </c>
      <c r="F11724" t="s">
        <v>4</v>
      </c>
      <c r="G11724" t="s">
        <v>16221</v>
      </c>
      <c r="H11724" t="s">
        <v>47054</v>
      </c>
      <c r="I11724" t="s">
        <v>47120</v>
      </c>
      <c r="J11724" t="s">
        <v>47121</v>
      </c>
      <c r="K11724" t="s">
        <v>47113</v>
      </c>
      <c r="L11724">
        <v>14.19</v>
      </c>
      <c r="M11724">
        <v>35</v>
      </c>
      <c r="N11724">
        <v>0</v>
      </c>
      <c r="O11724">
        <v>35</v>
      </c>
      <c r="P11724">
        <v>0</v>
      </c>
    </row>
    <row r="11725" spans="1:16" x14ac:dyDescent="0.25">
      <c r="A11725" t="s">
        <v>34397</v>
      </c>
      <c r="B11725" t="s">
        <v>8859</v>
      </c>
      <c r="C11725" t="s">
        <v>8860</v>
      </c>
      <c r="D11725" t="str">
        <f>"1001"</f>
        <v>1001</v>
      </c>
      <c r="E11725" t="s">
        <v>1540</v>
      </c>
      <c r="F11725" t="s">
        <v>4</v>
      </c>
      <c r="G11725" t="s">
        <v>16230</v>
      </c>
      <c r="H11725" t="s">
        <v>47054</v>
      </c>
      <c r="I11725" t="s">
        <v>47118</v>
      </c>
      <c r="J11725" t="s">
        <v>47119</v>
      </c>
      <c r="K11725" t="s">
        <v>47113</v>
      </c>
      <c r="L11725">
        <v>21.26</v>
      </c>
      <c r="M11725">
        <v>80</v>
      </c>
      <c r="N11725">
        <v>0</v>
      </c>
      <c r="O11725">
        <v>80</v>
      </c>
      <c r="P11725">
        <v>0</v>
      </c>
    </row>
    <row r="11726" spans="1:16" x14ac:dyDescent="0.25">
      <c r="A11726" t="s">
        <v>34398</v>
      </c>
      <c r="B11726" t="s">
        <v>8859</v>
      </c>
      <c r="C11726" t="s">
        <v>8860</v>
      </c>
      <c r="D11726" t="str">
        <f>"1941"</f>
        <v>1941</v>
      </c>
      <c r="E11726" t="s">
        <v>7531</v>
      </c>
      <c r="F11726" t="s">
        <v>4</v>
      </c>
      <c r="G11726" t="s">
        <v>16230</v>
      </c>
      <c r="H11726" t="s">
        <v>47054</v>
      </c>
      <c r="I11726" t="s">
        <v>47118</v>
      </c>
      <c r="J11726" t="s">
        <v>47119</v>
      </c>
      <c r="K11726" t="s">
        <v>47113</v>
      </c>
      <c r="L11726">
        <v>21.26</v>
      </c>
      <c r="M11726">
        <v>80</v>
      </c>
      <c r="N11726">
        <v>0</v>
      </c>
      <c r="O11726">
        <v>80</v>
      </c>
      <c r="P11726">
        <v>0</v>
      </c>
    </row>
    <row r="11727" spans="1:16" x14ac:dyDescent="0.25">
      <c r="A11727" t="s">
        <v>34399</v>
      </c>
      <c r="B11727" t="s">
        <v>8861</v>
      </c>
      <c r="C11727" t="s">
        <v>8862</v>
      </c>
      <c r="D11727" t="str">
        <f>"1001"</f>
        <v>1001</v>
      </c>
      <c r="E11727" t="s">
        <v>1540</v>
      </c>
      <c r="F11727" t="s">
        <v>4</v>
      </c>
      <c r="G11727" t="s">
        <v>16230</v>
      </c>
      <c r="H11727" t="s">
        <v>47054</v>
      </c>
      <c r="I11727" t="s">
        <v>47118</v>
      </c>
      <c r="J11727" t="s">
        <v>47119</v>
      </c>
      <c r="K11727" t="s">
        <v>47113</v>
      </c>
      <c r="L11727">
        <v>22.68</v>
      </c>
      <c r="M11727">
        <v>55</v>
      </c>
      <c r="N11727">
        <v>0</v>
      </c>
      <c r="O11727">
        <v>55</v>
      </c>
      <c r="P11727">
        <v>0</v>
      </c>
    </row>
    <row r="11728" spans="1:16" x14ac:dyDescent="0.25">
      <c r="A11728" t="s">
        <v>34400</v>
      </c>
      <c r="B11728" t="s">
        <v>8861</v>
      </c>
      <c r="C11728" t="s">
        <v>8862</v>
      </c>
      <c r="D11728" t="str">
        <f>"1941"</f>
        <v>1941</v>
      </c>
      <c r="E11728" t="s">
        <v>7531</v>
      </c>
      <c r="F11728" t="s">
        <v>4</v>
      </c>
      <c r="G11728" t="s">
        <v>16230</v>
      </c>
      <c r="H11728" t="s">
        <v>47054</v>
      </c>
      <c r="I11728" t="s">
        <v>47118</v>
      </c>
      <c r="J11728" t="s">
        <v>47119</v>
      </c>
      <c r="K11728" t="s">
        <v>47113</v>
      </c>
      <c r="L11728">
        <v>22.68</v>
      </c>
      <c r="M11728">
        <v>55</v>
      </c>
      <c r="N11728">
        <v>0</v>
      </c>
      <c r="O11728">
        <v>55</v>
      </c>
      <c r="P11728">
        <v>0</v>
      </c>
    </row>
    <row r="11729" spans="1:16" x14ac:dyDescent="0.25">
      <c r="A11729" t="s">
        <v>34401</v>
      </c>
      <c r="B11729" t="s">
        <v>8861</v>
      </c>
      <c r="C11729" t="s">
        <v>8862</v>
      </c>
      <c r="D11729" t="str">
        <f>"4831"</f>
        <v>4831</v>
      </c>
      <c r="E11729" t="s">
        <v>8863</v>
      </c>
      <c r="F11729" t="s">
        <v>4</v>
      </c>
      <c r="G11729" t="s">
        <v>16230</v>
      </c>
      <c r="H11729" t="s">
        <v>47054</v>
      </c>
      <c r="I11729" t="s">
        <v>47118</v>
      </c>
      <c r="J11729" t="s">
        <v>47119</v>
      </c>
      <c r="K11729" t="s">
        <v>47113</v>
      </c>
      <c r="L11729">
        <v>22.68</v>
      </c>
      <c r="M11729">
        <v>55</v>
      </c>
      <c r="N11729">
        <v>0</v>
      </c>
      <c r="O11729">
        <v>55</v>
      </c>
      <c r="P11729">
        <v>0</v>
      </c>
    </row>
    <row r="11730" spans="1:16" x14ac:dyDescent="0.25">
      <c r="A11730" t="s">
        <v>34402</v>
      </c>
      <c r="B11730" t="s">
        <v>8861</v>
      </c>
      <c r="C11730" t="s">
        <v>8862</v>
      </c>
      <c r="D11730" t="str">
        <f>"6378"</f>
        <v>6378</v>
      </c>
      <c r="E11730" t="s">
        <v>8864</v>
      </c>
      <c r="F11730" t="s">
        <v>4</v>
      </c>
      <c r="G11730" t="s">
        <v>16230</v>
      </c>
      <c r="H11730" t="s">
        <v>47054</v>
      </c>
      <c r="I11730" t="s">
        <v>47118</v>
      </c>
      <c r="J11730" t="s">
        <v>47119</v>
      </c>
      <c r="K11730" t="s">
        <v>47113</v>
      </c>
      <c r="L11730">
        <v>22.68</v>
      </c>
      <c r="M11730">
        <v>55</v>
      </c>
      <c r="N11730">
        <v>0</v>
      </c>
      <c r="O11730">
        <v>55</v>
      </c>
      <c r="P11730">
        <v>0</v>
      </c>
    </row>
    <row r="11731" spans="1:16" x14ac:dyDescent="0.25">
      <c r="A11731" t="s">
        <v>34403</v>
      </c>
      <c r="B11731" t="s">
        <v>8865</v>
      </c>
      <c r="C11731" t="s">
        <v>8866</v>
      </c>
      <c r="D11731" t="str">
        <f>"1113"</f>
        <v>1113</v>
      </c>
      <c r="E11731" t="s">
        <v>6443</v>
      </c>
      <c r="F11731" t="s">
        <v>4</v>
      </c>
      <c r="G11731" t="s">
        <v>16222</v>
      </c>
      <c r="H11731" t="s">
        <v>47054</v>
      </c>
      <c r="I11731" t="s">
        <v>47120</v>
      </c>
      <c r="J11731" t="s">
        <v>47121</v>
      </c>
      <c r="K11731" t="s">
        <v>47113</v>
      </c>
      <c r="L11731">
        <v>18.75</v>
      </c>
      <c r="M11731">
        <v>46</v>
      </c>
      <c r="N11731">
        <v>0</v>
      </c>
      <c r="O11731">
        <v>46</v>
      </c>
      <c r="P11731">
        <v>0</v>
      </c>
    </row>
    <row r="11732" spans="1:16" x14ac:dyDescent="0.25">
      <c r="A11732" t="s">
        <v>34404</v>
      </c>
      <c r="B11732" t="s">
        <v>8865</v>
      </c>
      <c r="C11732" t="s">
        <v>8866</v>
      </c>
      <c r="D11732" t="str">
        <f>"6366"</f>
        <v>6366</v>
      </c>
      <c r="E11732" t="s">
        <v>2658</v>
      </c>
      <c r="F11732" t="s">
        <v>4</v>
      </c>
      <c r="G11732" t="s">
        <v>16222</v>
      </c>
      <c r="H11732" t="s">
        <v>47054</v>
      </c>
      <c r="I11732" t="s">
        <v>47120</v>
      </c>
      <c r="J11732" t="s">
        <v>47121</v>
      </c>
      <c r="K11732" t="s">
        <v>47113</v>
      </c>
      <c r="L11732">
        <v>18.75</v>
      </c>
      <c r="M11732">
        <v>46</v>
      </c>
      <c r="N11732">
        <v>0</v>
      </c>
      <c r="O11732">
        <v>46</v>
      </c>
      <c r="P11732">
        <v>0</v>
      </c>
    </row>
    <row r="11733" spans="1:16" x14ac:dyDescent="0.25">
      <c r="A11733" t="s">
        <v>34405</v>
      </c>
      <c r="B11733" t="s">
        <v>8867</v>
      </c>
      <c r="C11733" t="s">
        <v>8868</v>
      </c>
      <c r="D11733" t="str">
        <f>"1113"</f>
        <v>1113</v>
      </c>
      <c r="E11733" t="s">
        <v>6443</v>
      </c>
      <c r="F11733" t="s">
        <v>4</v>
      </c>
      <c r="G11733" t="s">
        <v>16235</v>
      </c>
      <c r="H11733" t="s">
        <v>47054</v>
      </c>
      <c r="I11733" t="s">
        <v>47120</v>
      </c>
      <c r="J11733" t="s">
        <v>47121</v>
      </c>
      <c r="K11733" t="s">
        <v>47113</v>
      </c>
      <c r="L11733">
        <v>21.58</v>
      </c>
      <c r="M11733">
        <v>53</v>
      </c>
      <c r="N11733">
        <v>0</v>
      </c>
      <c r="O11733">
        <v>53</v>
      </c>
      <c r="P11733">
        <v>0</v>
      </c>
    </row>
    <row r="11734" spans="1:16" x14ac:dyDescent="0.25">
      <c r="A11734" t="s">
        <v>34406</v>
      </c>
      <c r="B11734" t="s">
        <v>8867</v>
      </c>
      <c r="C11734" t="s">
        <v>8868</v>
      </c>
      <c r="D11734" t="str">
        <f>"6366"</f>
        <v>6366</v>
      </c>
      <c r="E11734" t="s">
        <v>2658</v>
      </c>
      <c r="F11734" t="s">
        <v>4</v>
      </c>
      <c r="G11734" t="s">
        <v>16235</v>
      </c>
      <c r="H11734" t="s">
        <v>47054</v>
      </c>
      <c r="I11734" t="s">
        <v>47120</v>
      </c>
      <c r="J11734" t="s">
        <v>47121</v>
      </c>
      <c r="K11734" t="s">
        <v>47113</v>
      </c>
      <c r="L11734">
        <v>21.58</v>
      </c>
      <c r="M11734">
        <v>53</v>
      </c>
      <c r="N11734">
        <v>0</v>
      </c>
      <c r="O11734">
        <v>53</v>
      </c>
      <c r="P11734">
        <v>0</v>
      </c>
    </row>
    <row r="11735" spans="1:16" x14ac:dyDescent="0.25">
      <c r="A11735" t="s">
        <v>34407</v>
      </c>
      <c r="B11735" t="s">
        <v>8869</v>
      </c>
      <c r="C11735" t="s">
        <v>8870</v>
      </c>
      <c r="D11735" t="str">
        <f>"1001"</f>
        <v>1001</v>
      </c>
      <c r="E11735" t="s">
        <v>8871</v>
      </c>
      <c r="F11735" t="s">
        <v>4</v>
      </c>
      <c r="G11735" t="s">
        <v>16234</v>
      </c>
      <c r="H11735" t="s">
        <v>47054</v>
      </c>
      <c r="I11735" t="s">
        <v>47120</v>
      </c>
      <c r="J11735" t="s">
        <v>47121</v>
      </c>
      <c r="K11735" t="s">
        <v>47113</v>
      </c>
      <c r="L11735">
        <v>32.78</v>
      </c>
      <c r="M11735">
        <v>80</v>
      </c>
      <c r="N11735">
        <v>0</v>
      </c>
      <c r="O11735">
        <v>80</v>
      </c>
      <c r="P11735">
        <v>0</v>
      </c>
    </row>
    <row r="11736" spans="1:16" x14ac:dyDescent="0.25">
      <c r="A11736" t="s">
        <v>34408</v>
      </c>
      <c r="B11736" t="s">
        <v>8869</v>
      </c>
      <c r="C11736" t="s">
        <v>8870</v>
      </c>
      <c r="D11736" t="str">
        <f>"2662"</f>
        <v>2662</v>
      </c>
      <c r="E11736" t="s">
        <v>8872</v>
      </c>
      <c r="F11736" t="s">
        <v>4</v>
      </c>
      <c r="G11736" t="s">
        <v>16234</v>
      </c>
      <c r="H11736" t="s">
        <v>47054</v>
      </c>
      <c r="I11736" t="s">
        <v>47120</v>
      </c>
      <c r="J11736" t="s">
        <v>47121</v>
      </c>
      <c r="K11736" t="s">
        <v>47113</v>
      </c>
      <c r="L11736">
        <v>32.78</v>
      </c>
      <c r="M11736">
        <v>80</v>
      </c>
      <c r="N11736">
        <v>0</v>
      </c>
      <c r="O11736">
        <v>80</v>
      </c>
      <c r="P11736">
        <v>0</v>
      </c>
    </row>
    <row r="11737" spans="1:16" x14ac:dyDescent="0.25">
      <c r="A11737" t="s">
        <v>34409</v>
      </c>
      <c r="B11737" t="s">
        <v>8869</v>
      </c>
      <c r="C11737" t="s">
        <v>8870</v>
      </c>
      <c r="D11737" t="str">
        <f>"3463"</f>
        <v>3463</v>
      </c>
      <c r="E11737" t="s">
        <v>8873</v>
      </c>
      <c r="F11737" t="s">
        <v>4</v>
      </c>
      <c r="G11737" t="s">
        <v>16234</v>
      </c>
      <c r="H11737" t="s">
        <v>47054</v>
      </c>
      <c r="I11737" t="s">
        <v>47120</v>
      </c>
      <c r="J11737" t="s">
        <v>47121</v>
      </c>
      <c r="K11737" t="s">
        <v>47113</v>
      </c>
      <c r="L11737">
        <v>32.78</v>
      </c>
      <c r="M11737">
        <v>80</v>
      </c>
      <c r="N11737">
        <v>0</v>
      </c>
      <c r="O11737">
        <v>80</v>
      </c>
      <c r="P11737">
        <v>0</v>
      </c>
    </row>
    <row r="11738" spans="1:16" x14ac:dyDescent="0.25">
      <c r="A11738" t="s">
        <v>34410</v>
      </c>
      <c r="B11738" t="s">
        <v>8869</v>
      </c>
      <c r="C11738" t="s">
        <v>8870</v>
      </c>
      <c r="D11738" t="str">
        <f>"4832"</f>
        <v>4832</v>
      </c>
      <c r="E11738" t="s">
        <v>8874</v>
      </c>
      <c r="F11738" t="s">
        <v>4</v>
      </c>
      <c r="G11738" t="s">
        <v>16234</v>
      </c>
      <c r="H11738" t="s">
        <v>47054</v>
      </c>
      <c r="I11738" t="s">
        <v>47120</v>
      </c>
      <c r="J11738" t="s">
        <v>47121</v>
      </c>
      <c r="K11738" t="s">
        <v>47113</v>
      </c>
      <c r="L11738">
        <v>32.78</v>
      </c>
      <c r="M11738">
        <v>80</v>
      </c>
      <c r="N11738">
        <v>0</v>
      </c>
      <c r="O11738">
        <v>80</v>
      </c>
      <c r="P11738">
        <v>0</v>
      </c>
    </row>
    <row r="11739" spans="1:16" x14ac:dyDescent="0.25">
      <c r="A11739" t="s">
        <v>34411</v>
      </c>
      <c r="B11739" t="s">
        <v>8869</v>
      </c>
      <c r="C11739" t="s">
        <v>8870</v>
      </c>
      <c r="D11739" t="str">
        <f>"7281"</f>
        <v>7281</v>
      </c>
      <c r="E11739" t="s">
        <v>8875</v>
      </c>
      <c r="F11739" t="s">
        <v>4</v>
      </c>
      <c r="G11739" t="s">
        <v>16234</v>
      </c>
      <c r="H11739" t="s">
        <v>47054</v>
      </c>
      <c r="I11739" t="s">
        <v>47120</v>
      </c>
      <c r="J11739" t="s">
        <v>47121</v>
      </c>
      <c r="K11739" t="s">
        <v>47113</v>
      </c>
      <c r="L11739">
        <v>32.78</v>
      </c>
      <c r="M11739">
        <v>80</v>
      </c>
      <c r="N11739">
        <v>0</v>
      </c>
      <c r="O11739">
        <v>80</v>
      </c>
      <c r="P11739">
        <v>0</v>
      </c>
    </row>
    <row r="11740" spans="1:16" x14ac:dyDescent="0.25">
      <c r="A11740" t="s">
        <v>34412</v>
      </c>
      <c r="B11740" t="s">
        <v>8876</v>
      </c>
      <c r="C11740" t="s">
        <v>8877</v>
      </c>
      <c r="D11740" t="str">
        <f>"1001"</f>
        <v>1001</v>
      </c>
      <c r="E11740" t="s">
        <v>8871</v>
      </c>
      <c r="F11740" t="s">
        <v>3546</v>
      </c>
      <c r="G11740" t="s">
        <v>16234</v>
      </c>
      <c r="H11740" t="s">
        <v>47054</v>
      </c>
      <c r="I11740" t="s">
        <v>47120</v>
      </c>
      <c r="J11740" t="s">
        <v>47121</v>
      </c>
      <c r="K11740" t="s">
        <v>47113</v>
      </c>
      <c r="L11740">
        <v>24.71</v>
      </c>
      <c r="M11740">
        <v>61</v>
      </c>
      <c r="N11740">
        <v>0</v>
      </c>
      <c r="O11740">
        <v>61</v>
      </c>
      <c r="P11740">
        <v>0</v>
      </c>
    </row>
    <row r="11741" spans="1:16" x14ac:dyDescent="0.25">
      <c r="A11741" t="s">
        <v>34413</v>
      </c>
      <c r="B11741" t="s">
        <v>8876</v>
      </c>
      <c r="C11741" t="s">
        <v>8877</v>
      </c>
      <c r="D11741" t="str">
        <f>"1488"</f>
        <v>1488</v>
      </c>
      <c r="E11741" t="s">
        <v>8878</v>
      </c>
      <c r="F11741" t="s">
        <v>3546</v>
      </c>
      <c r="G11741" t="s">
        <v>16234</v>
      </c>
      <c r="H11741" t="s">
        <v>47054</v>
      </c>
      <c r="I11741" t="s">
        <v>47120</v>
      </c>
      <c r="J11741" t="s">
        <v>47121</v>
      </c>
      <c r="K11741" t="s">
        <v>47113</v>
      </c>
      <c r="L11741">
        <v>24.71</v>
      </c>
      <c r="M11741">
        <v>61</v>
      </c>
      <c r="N11741">
        <v>0</v>
      </c>
      <c r="O11741">
        <v>61</v>
      </c>
      <c r="P11741">
        <v>0</v>
      </c>
    </row>
    <row r="11742" spans="1:16" x14ac:dyDescent="0.25">
      <c r="A11742" t="s">
        <v>34414</v>
      </c>
      <c r="B11742" t="s">
        <v>8876</v>
      </c>
      <c r="C11742" t="s">
        <v>8877</v>
      </c>
      <c r="D11742" t="str">
        <f>"4832"</f>
        <v>4832</v>
      </c>
      <c r="E11742" t="s">
        <v>8874</v>
      </c>
      <c r="F11742" t="s">
        <v>3546</v>
      </c>
      <c r="G11742" t="s">
        <v>16234</v>
      </c>
      <c r="H11742" t="s">
        <v>47054</v>
      </c>
      <c r="I11742" t="s">
        <v>47120</v>
      </c>
      <c r="J11742" t="s">
        <v>47121</v>
      </c>
      <c r="K11742" t="s">
        <v>47113</v>
      </c>
      <c r="L11742">
        <v>24.71</v>
      </c>
      <c r="M11742">
        <v>61</v>
      </c>
      <c r="N11742">
        <v>0</v>
      </c>
      <c r="O11742">
        <v>61</v>
      </c>
      <c r="P11742">
        <v>0</v>
      </c>
    </row>
    <row r="11743" spans="1:16" x14ac:dyDescent="0.25">
      <c r="A11743" t="s">
        <v>34415</v>
      </c>
      <c r="B11743" t="s">
        <v>8876</v>
      </c>
      <c r="C11743" t="s">
        <v>8877</v>
      </c>
      <c r="D11743" t="str">
        <f>"6051"</f>
        <v>6051</v>
      </c>
      <c r="E11743" t="s">
        <v>8879</v>
      </c>
      <c r="F11743" t="s">
        <v>3546</v>
      </c>
      <c r="G11743" t="s">
        <v>16234</v>
      </c>
      <c r="H11743" t="s">
        <v>47054</v>
      </c>
      <c r="I11743" t="s">
        <v>47120</v>
      </c>
      <c r="J11743" t="s">
        <v>47121</v>
      </c>
      <c r="K11743" t="s">
        <v>47113</v>
      </c>
      <c r="L11743">
        <v>24.71</v>
      </c>
      <c r="M11743">
        <v>61</v>
      </c>
      <c r="N11743">
        <v>0</v>
      </c>
      <c r="O11743">
        <v>61</v>
      </c>
      <c r="P11743">
        <v>0</v>
      </c>
    </row>
    <row r="11744" spans="1:16" x14ac:dyDescent="0.25">
      <c r="A11744" t="s">
        <v>34416</v>
      </c>
      <c r="B11744" t="s">
        <v>8876</v>
      </c>
      <c r="C11744" t="s">
        <v>8877</v>
      </c>
      <c r="D11744" t="str">
        <f>"7281"</f>
        <v>7281</v>
      </c>
      <c r="E11744" t="s">
        <v>8875</v>
      </c>
      <c r="F11744" t="s">
        <v>3546</v>
      </c>
      <c r="G11744" t="s">
        <v>16234</v>
      </c>
      <c r="H11744" t="s">
        <v>47054</v>
      </c>
      <c r="I11744" t="s">
        <v>47120</v>
      </c>
      <c r="J11744" t="s">
        <v>47121</v>
      </c>
      <c r="K11744" t="s">
        <v>47113</v>
      </c>
      <c r="L11744">
        <v>24.71</v>
      </c>
      <c r="M11744">
        <v>61</v>
      </c>
      <c r="N11744">
        <v>0</v>
      </c>
      <c r="O11744">
        <v>61</v>
      </c>
      <c r="P11744">
        <v>0</v>
      </c>
    </row>
    <row r="11745" spans="1:16" x14ac:dyDescent="0.25">
      <c r="A11745" t="s">
        <v>34417</v>
      </c>
      <c r="B11745" t="s">
        <v>15636</v>
      </c>
      <c r="C11745" t="s">
        <v>15637</v>
      </c>
      <c r="D11745" t="str">
        <f>"1001"</f>
        <v>1001</v>
      </c>
      <c r="E11745" t="s">
        <v>8871</v>
      </c>
      <c r="F11745" t="s">
        <v>3546</v>
      </c>
      <c r="G11745" t="s">
        <v>16234</v>
      </c>
      <c r="H11745" t="s">
        <v>47054</v>
      </c>
      <c r="I11745" t="s">
        <v>47120</v>
      </c>
      <c r="J11745" t="s">
        <v>47121</v>
      </c>
      <c r="K11745" t="s">
        <v>47113</v>
      </c>
      <c r="L11745">
        <v>25.8</v>
      </c>
      <c r="M11745">
        <v>65</v>
      </c>
      <c r="N11745">
        <v>0</v>
      </c>
      <c r="O11745">
        <v>65</v>
      </c>
      <c r="P11745">
        <v>0</v>
      </c>
    </row>
    <row r="11746" spans="1:16" x14ac:dyDescent="0.25">
      <c r="A11746" t="s">
        <v>34418</v>
      </c>
      <c r="B11746" t="s">
        <v>15636</v>
      </c>
      <c r="C11746" t="s">
        <v>15637</v>
      </c>
      <c r="D11746" t="str">
        <f>"1488"</f>
        <v>1488</v>
      </c>
      <c r="E11746" t="s">
        <v>8878</v>
      </c>
      <c r="F11746" t="s">
        <v>3546</v>
      </c>
      <c r="G11746" t="s">
        <v>16234</v>
      </c>
      <c r="H11746" t="s">
        <v>47054</v>
      </c>
      <c r="I11746" t="s">
        <v>47120</v>
      </c>
      <c r="J11746" t="s">
        <v>47121</v>
      </c>
      <c r="K11746" t="s">
        <v>47113</v>
      </c>
      <c r="L11746">
        <v>25.8</v>
      </c>
      <c r="M11746">
        <v>65</v>
      </c>
      <c r="N11746">
        <v>0</v>
      </c>
      <c r="O11746">
        <v>65</v>
      </c>
      <c r="P11746">
        <v>0</v>
      </c>
    </row>
    <row r="11747" spans="1:16" x14ac:dyDescent="0.25">
      <c r="A11747" t="s">
        <v>34419</v>
      </c>
      <c r="B11747" t="s">
        <v>15636</v>
      </c>
      <c r="C11747" t="s">
        <v>15637</v>
      </c>
      <c r="D11747" t="str">
        <f>"6051"</f>
        <v>6051</v>
      </c>
      <c r="E11747" t="s">
        <v>8879</v>
      </c>
      <c r="F11747" t="s">
        <v>3546</v>
      </c>
      <c r="G11747" t="s">
        <v>16234</v>
      </c>
      <c r="H11747" t="s">
        <v>47054</v>
      </c>
      <c r="I11747" t="s">
        <v>47120</v>
      </c>
      <c r="J11747" t="s">
        <v>47121</v>
      </c>
      <c r="K11747" t="s">
        <v>47113</v>
      </c>
      <c r="L11747">
        <v>25.8</v>
      </c>
      <c r="M11747">
        <v>65</v>
      </c>
      <c r="N11747">
        <v>0</v>
      </c>
      <c r="O11747">
        <v>65</v>
      </c>
      <c r="P11747">
        <v>0</v>
      </c>
    </row>
    <row r="11748" spans="1:16" x14ac:dyDescent="0.25">
      <c r="A11748" t="s">
        <v>34420</v>
      </c>
      <c r="B11748" t="s">
        <v>8880</v>
      </c>
      <c r="C11748" t="s">
        <v>8881</v>
      </c>
      <c r="D11748" t="str">
        <f>"1001"</f>
        <v>1001</v>
      </c>
      <c r="E11748" t="s">
        <v>8871</v>
      </c>
      <c r="F11748" t="s">
        <v>4</v>
      </c>
      <c r="G11748" t="s">
        <v>16234</v>
      </c>
      <c r="H11748" t="s">
        <v>47054</v>
      </c>
      <c r="I11748" t="s">
        <v>47120</v>
      </c>
      <c r="J11748" t="s">
        <v>47121</v>
      </c>
      <c r="K11748" t="s">
        <v>47113</v>
      </c>
      <c r="L11748">
        <v>24.89</v>
      </c>
      <c r="M11748">
        <v>80</v>
      </c>
      <c r="N11748">
        <v>0</v>
      </c>
      <c r="O11748">
        <v>80</v>
      </c>
      <c r="P11748">
        <v>0</v>
      </c>
    </row>
    <row r="11749" spans="1:16" x14ac:dyDescent="0.25">
      <c r="A11749" t="s">
        <v>34421</v>
      </c>
      <c r="B11749" t="s">
        <v>8880</v>
      </c>
      <c r="C11749" t="s">
        <v>8881</v>
      </c>
      <c r="D11749" t="str">
        <f>"4832"</f>
        <v>4832</v>
      </c>
      <c r="E11749" t="s">
        <v>8874</v>
      </c>
      <c r="F11749" t="s">
        <v>4</v>
      </c>
      <c r="G11749" t="s">
        <v>16234</v>
      </c>
      <c r="H11749" t="s">
        <v>47054</v>
      </c>
      <c r="I11749" t="s">
        <v>47120</v>
      </c>
      <c r="J11749" t="s">
        <v>47121</v>
      </c>
      <c r="K11749" t="s">
        <v>47113</v>
      </c>
      <c r="L11749">
        <v>24.89</v>
      </c>
      <c r="M11749">
        <v>80</v>
      </c>
      <c r="N11749">
        <v>0</v>
      </c>
      <c r="O11749">
        <v>80</v>
      </c>
      <c r="P11749">
        <v>0</v>
      </c>
    </row>
    <row r="11750" spans="1:16" x14ac:dyDescent="0.25">
      <c r="A11750" t="s">
        <v>34422</v>
      </c>
      <c r="B11750" t="s">
        <v>8880</v>
      </c>
      <c r="C11750" t="s">
        <v>8881</v>
      </c>
      <c r="D11750" t="str">
        <f>"7281"</f>
        <v>7281</v>
      </c>
      <c r="E11750" t="s">
        <v>8875</v>
      </c>
      <c r="F11750" t="s">
        <v>4</v>
      </c>
      <c r="G11750" t="s">
        <v>16234</v>
      </c>
      <c r="H11750" t="s">
        <v>47054</v>
      </c>
      <c r="I11750" t="s">
        <v>47120</v>
      </c>
      <c r="J11750" t="s">
        <v>47121</v>
      </c>
      <c r="K11750" t="s">
        <v>47113</v>
      </c>
      <c r="L11750">
        <v>24.89</v>
      </c>
      <c r="M11750">
        <v>80</v>
      </c>
      <c r="N11750">
        <v>0</v>
      </c>
      <c r="O11750">
        <v>80</v>
      </c>
      <c r="P11750">
        <v>0</v>
      </c>
    </row>
    <row r="11751" spans="1:16" x14ac:dyDescent="0.25">
      <c r="A11751" t="s">
        <v>34423</v>
      </c>
      <c r="B11751" t="s">
        <v>8882</v>
      </c>
      <c r="C11751" t="s">
        <v>8883</v>
      </c>
      <c r="D11751" t="str">
        <f>"1001"</f>
        <v>1001</v>
      </c>
      <c r="E11751" t="s">
        <v>8871</v>
      </c>
      <c r="F11751" t="s">
        <v>3546</v>
      </c>
      <c r="G11751" t="s">
        <v>16234</v>
      </c>
      <c r="H11751" t="s">
        <v>47054</v>
      </c>
      <c r="I11751" t="s">
        <v>47120</v>
      </c>
      <c r="J11751" t="s">
        <v>47121</v>
      </c>
      <c r="K11751" t="s">
        <v>47113</v>
      </c>
      <c r="L11751">
        <v>25.51</v>
      </c>
      <c r="M11751">
        <v>63</v>
      </c>
      <c r="N11751">
        <v>0</v>
      </c>
      <c r="O11751">
        <v>63</v>
      </c>
      <c r="P11751">
        <v>0</v>
      </c>
    </row>
    <row r="11752" spans="1:16" x14ac:dyDescent="0.25">
      <c r="A11752" t="s">
        <v>34424</v>
      </c>
      <c r="B11752" t="s">
        <v>8882</v>
      </c>
      <c r="C11752" t="s">
        <v>8883</v>
      </c>
      <c r="D11752" t="str">
        <f>"1488"</f>
        <v>1488</v>
      </c>
      <c r="E11752" t="s">
        <v>8878</v>
      </c>
      <c r="F11752" t="s">
        <v>3546</v>
      </c>
      <c r="G11752" t="s">
        <v>16234</v>
      </c>
      <c r="H11752" t="s">
        <v>47054</v>
      </c>
      <c r="I11752" t="s">
        <v>47120</v>
      </c>
      <c r="J11752" t="s">
        <v>47121</v>
      </c>
      <c r="K11752" t="s">
        <v>47113</v>
      </c>
      <c r="L11752">
        <v>25.51</v>
      </c>
      <c r="M11752">
        <v>63</v>
      </c>
      <c r="N11752">
        <v>0</v>
      </c>
      <c r="O11752">
        <v>63</v>
      </c>
      <c r="P11752">
        <v>0</v>
      </c>
    </row>
    <row r="11753" spans="1:16" x14ac:dyDescent="0.25">
      <c r="A11753" t="s">
        <v>34425</v>
      </c>
      <c r="B11753" t="s">
        <v>8882</v>
      </c>
      <c r="C11753" t="s">
        <v>8883</v>
      </c>
      <c r="D11753" t="str">
        <f>"4832"</f>
        <v>4832</v>
      </c>
      <c r="E11753" t="s">
        <v>8874</v>
      </c>
      <c r="F11753" t="s">
        <v>3546</v>
      </c>
      <c r="G11753" t="s">
        <v>16234</v>
      </c>
      <c r="H11753" t="s">
        <v>47054</v>
      </c>
      <c r="I11753" t="s">
        <v>47120</v>
      </c>
      <c r="J11753" t="s">
        <v>47121</v>
      </c>
      <c r="K11753" t="s">
        <v>47113</v>
      </c>
      <c r="L11753">
        <v>25.51</v>
      </c>
      <c r="M11753">
        <v>63</v>
      </c>
      <c r="N11753">
        <v>0</v>
      </c>
      <c r="O11753">
        <v>63</v>
      </c>
      <c r="P11753">
        <v>0</v>
      </c>
    </row>
    <row r="11754" spans="1:16" x14ac:dyDescent="0.25">
      <c r="A11754" t="s">
        <v>34426</v>
      </c>
      <c r="B11754" t="s">
        <v>8882</v>
      </c>
      <c r="C11754" t="s">
        <v>8883</v>
      </c>
      <c r="D11754" t="str">
        <f>"6051"</f>
        <v>6051</v>
      </c>
      <c r="E11754" t="s">
        <v>8879</v>
      </c>
      <c r="F11754" t="s">
        <v>3546</v>
      </c>
      <c r="G11754" t="s">
        <v>16234</v>
      </c>
      <c r="H11754" t="s">
        <v>47054</v>
      </c>
      <c r="I11754" t="s">
        <v>47120</v>
      </c>
      <c r="J11754" t="s">
        <v>47121</v>
      </c>
      <c r="K11754" t="s">
        <v>47113</v>
      </c>
      <c r="L11754">
        <v>25.51</v>
      </c>
      <c r="M11754">
        <v>63</v>
      </c>
      <c r="N11754">
        <v>0</v>
      </c>
      <c r="O11754">
        <v>63</v>
      </c>
      <c r="P11754">
        <v>0</v>
      </c>
    </row>
    <row r="11755" spans="1:16" x14ac:dyDescent="0.25">
      <c r="A11755" t="s">
        <v>34427</v>
      </c>
      <c r="B11755" t="s">
        <v>8882</v>
      </c>
      <c r="C11755" t="s">
        <v>8883</v>
      </c>
      <c r="D11755" t="str">
        <f>"7281"</f>
        <v>7281</v>
      </c>
      <c r="E11755" t="s">
        <v>8875</v>
      </c>
      <c r="F11755" t="s">
        <v>3546</v>
      </c>
      <c r="G11755" t="s">
        <v>16234</v>
      </c>
      <c r="H11755" t="s">
        <v>47054</v>
      </c>
      <c r="I11755" t="s">
        <v>47120</v>
      </c>
      <c r="J11755" t="s">
        <v>47121</v>
      </c>
      <c r="K11755" t="s">
        <v>47113</v>
      </c>
      <c r="L11755">
        <v>25.51</v>
      </c>
      <c r="M11755">
        <v>63</v>
      </c>
      <c r="N11755">
        <v>0</v>
      </c>
      <c r="O11755">
        <v>63</v>
      </c>
      <c r="P11755">
        <v>0</v>
      </c>
    </row>
    <row r="11756" spans="1:16" x14ac:dyDescent="0.25">
      <c r="A11756" t="s">
        <v>34428</v>
      </c>
      <c r="B11756" t="s">
        <v>8884</v>
      </c>
      <c r="C11756" t="s">
        <v>8885</v>
      </c>
      <c r="D11756" t="str">
        <f>"1001"</f>
        <v>1001</v>
      </c>
      <c r="E11756" t="s">
        <v>8871</v>
      </c>
      <c r="F11756" t="s">
        <v>4</v>
      </c>
      <c r="G11756" t="s">
        <v>16234</v>
      </c>
      <c r="H11756" t="s">
        <v>47054</v>
      </c>
      <c r="I11756" t="s">
        <v>47120</v>
      </c>
      <c r="J11756" t="s">
        <v>47121</v>
      </c>
      <c r="K11756" t="s">
        <v>47113</v>
      </c>
      <c r="L11756">
        <v>24.75</v>
      </c>
      <c r="M11756">
        <v>80</v>
      </c>
      <c r="N11756">
        <v>0</v>
      </c>
      <c r="O11756">
        <v>80</v>
      </c>
      <c r="P11756">
        <v>0</v>
      </c>
    </row>
    <row r="11757" spans="1:16" x14ac:dyDescent="0.25">
      <c r="A11757" t="s">
        <v>34429</v>
      </c>
      <c r="B11757" t="s">
        <v>8884</v>
      </c>
      <c r="C11757" t="s">
        <v>8885</v>
      </c>
      <c r="D11757" t="str">
        <f>"2662"</f>
        <v>2662</v>
      </c>
      <c r="E11757" t="s">
        <v>8872</v>
      </c>
      <c r="F11757" t="s">
        <v>4</v>
      </c>
      <c r="G11757" t="s">
        <v>16234</v>
      </c>
      <c r="H11757" t="s">
        <v>47054</v>
      </c>
      <c r="I11757" t="s">
        <v>47120</v>
      </c>
      <c r="J11757" t="s">
        <v>47121</v>
      </c>
      <c r="K11757" t="s">
        <v>47113</v>
      </c>
      <c r="L11757">
        <v>24.75</v>
      </c>
      <c r="M11757">
        <v>80</v>
      </c>
      <c r="N11757">
        <v>0</v>
      </c>
      <c r="O11757">
        <v>80</v>
      </c>
      <c r="P11757">
        <v>0</v>
      </c>
    </row>
    <row r="11758" spans="1:16" x14ac:dyDescent="0.25">
      <c r="A11758" t="s">
        <v>34430</v>
      </c>
      <c r="B11758" t="s">
        <v>8884</v>
      </c>
      <c r="C11758" t="s">
        <v>8885</v>
      </c>
      <c r="D11758" t="str">
        <f>"3463"</f>
        <v>3463</v>
      </c>
      <c r="E11758" t="s">
        <v>8873</v>
      </c>
      <c r="F11758" t="s">
        <v>4</v>
      </c>
      <c r="G11758" t="s">
        <v>16234</v>
      </c>
      <c r="H11758" t="s">
        <v>47054</v>
      </c>
      <c r="I11758" t="s">
        <v>47120</v>
      </c>
      <c r="J11758" t="s">
        <v>47121</v>
      </c>
      <c r="K11758" t="s">
        <v>47113</v>
      </c>
      <c r="L11758">
        <v>24.75</v>
      </c>
      <c r="M11758">
        <v>80</v>
      </c>
      <c r="N11758">
        <v>0</v>
      </c>
      <c r="O11758">
        <v>80</v>
      </c>
      <c r="P11758">
        <v>0</v>
      </c>
    </row>
    <row r="11759" spans="1:16" x14ac:dyDescent="0.25">
      <c r="A11759" t="s">
        <v>34431</v>
      </c>
      <c r="B11759" t="s">
        <v>8884</v>
      </c>
      <c r="C11759" t="s">
        <v>8885</v>
      </c>
      <c r="D11759" t="str">
        <f>"4832"</f>
        <v>4832</v>
      </c>
      <c r="E11759" t="s">
        <v>8874</v>
      </c>
      <c r="F11759" t="s">
        <v>4</v>
      </c>
      <c r="G11759" t="s">
        <v>16234</v>
      </c>
      <c r="H11759" t="s">
        <v>47054</v>
      </c>
      <c r="I11759" t="s">
        <v>47120</v>
      </c>
      <c r="J11759" t="s">
        <v>47121</v>
      </c>
      <c r="K11759" t="s">
        <v>47113</v>
      </c>
      <c r="L11759">
        <v>24.75</v>
      </c>
      <c r="M11759">
        <v>80</v>
      </c>
      <c r="N11759">
        <v>0</v>
      </c>
      <c r="O11759">
        <v>80</v>
      </c>
      <c r="P11759">
        <v>0</v>
      </c>
    </row>
    <row r="11760" spans="1:16" x14ac:dyDescent="0.25">
      <c r="A11760" t="s">
        <v>34432</v>
      </c>
      <c r="B11760" t="s">
        <v>8884</v>
      </c>
      <c r="C11760" t="s">
        <v>8885</v>
      </c>
      <c r="D11760" t="str">
        <f>"7281"</f>
        <v>7281</v>
      </c>
      <c r="E11760" t="s">
        <v>8875</v>
      </c>
      <c r="F11760" t="s">
        <v>4</v>
      </c>
      <c r="G11760" t="s">
        <v>16234</v>
      </c>
      <c r="H11760" t="s">
        <v>47054</v>
      </c>
      <c r="I11760" t="s">
        <v>47120</v>
      </c>
      <c r="J11760" t="s">
        <v>47121</v>
      </c>
      <c r="K11760" t="s">
        <v>47113</v>
      </c>
      <c r="L11760">
        <v>24.75</v>
      </c>
      <c r="M11760">
        <v>80</v>
      </c>
      <c r="N11760">
        <v>0</v>
      </c>
      <c r="O11760">
        <v>80</v>
      </c>
      <c r="P11760">
        <v>0</v>
      </c>
    </row>
    <row r="11761" spans="1:16" x14ac:dyDescent="0.25">
      <c r="A11761" t="s">
        <v>34433</v>
      </c>
      <c r="B11761" t="s">
        <v>8886</v>
      </c>
      <c r="C11761" t="s">
        <v>8887</v>
      </c>
      <c r="D11761" t="str">
        <f>"1001"</f>
        <v>1001</v>
      </c>
      <c r="E11761" t="s">
        <v>8871</v>
      </c>
      <c r="F11761" t="s">
        <v>3546</v>
      </c>
      <c r="G11761" t="s">
        <v>16234</v>
      </c>
      <c r="H11761" t="s">
        <v>47054</v>
      </c>
      <c r="I11761" t="s">
        <v>47120</v>
      </c>
      <c r="J11761" t="s">
        <v>47121</v>
      </c>
      <c r="K11761" t="s">
        <v>47113</v>
      </c>
      <c r="L11761">
        <v>24.53</v>
      </c>
      <c r="M11761">
        <v>60</v>
      </c>
      <c r="N11761">
        <v>0</v>
      </c>
      <c r="O11761">
        <v>60</v>
      </c>
      <c r="P11761">
        <v>0</v>
      </c>
    </row>
    <row r="11762" spans="1:16" x14ac:dyDescent="0.25">
      <c r="A11762" t="s">
        <v>34434</v>
      </c>
      <c r="B11762" t="s">
        <v>8886</v>
      </c>
      <c r="C11762" t="s">
        <v>8887</v>
      </c>
      <c r="D11762" t="str">
        <f>"1488"</f>
        <v>1488</v>
      </c>
      <c r="E11762" t="s">
        <v>8878</v>
      </c>
      <c r="F11762" t="s">
        <v>3546</v>
      </c>
      <c r="G11762" t="s">
        <v>16234</v>
      </c>
      <c r="H11762" t="s">
        <v>47054</v>
      </c>
      <c r="I11762" t="s">
        <v>47120</v>
      </c>
      <c r="J11762" t="s">
        <v>47121</v>
      </c>
      <c r="K11762" t="s">
        <v>47113</v>
      </c>
      <c r="L11762">
        <v>24.53</v>
      </c>
      <c r="M11762">
        <v>60</v>
      </c>
      <c r="N11762">
        <v>0</v>
      </c>
      <c r="O11762">
        <v>60</v>
      </c>
      <c r="P11762">
        <v>0</v>
      </c>
    </row>
    <row r="11763" spans="1:16" x14ac:dyDescent="0.25">
      <c r="A11763" t="s">
        <v>34435</v>
      </c>
      <c r="B11763" t="s">
        <v>8886</v>
      </c>
      <c r="C11763" t="s">
        <v>8887</v>
      </c>
      <c r="D11763" t="str">
        <f>"4832"</f>
        <v>4832</v>
      </c>
      <c r="E11763" t="s">
        <v>8874</v>
      </c>
      <c r="F11763" t="s">
        <v>3546</v>
      </c>
      <c r="G11763" t="s">
        <v>16234</v>
      </c>
      <c r="H11763" t="s">
        <v>47054</v>
      </c>
      <c r="I11763" t="s">
        <v>47120</v>
      </c>
      <c r="J11763" t="s">
        <v>47121</v>
      </c>
      <c r="K11763" t="s">
        <v>47113</v>
      </c>
      <c r="L11763">
        <v>24.53</v>
      </c>
      <c r="M11763">
        <v>60</v>
      </c>
      <c r="N11763">
        <v>0</v>
      </c>
      <c r="O11763">
        <v>60</v>
      </c>
      <c r="P11763">
        <v>0</v>
      </c>
    </row>
    <row r="11764" spans="1:16" x14ac:dyDescent="0.25">
      <c r="A11764" t="s">
        <v>34436</v>
      </c>
      <c r="B11764" t="s">
        <v>8886</v>
      </c>
      <c r="C11764" t="s">
        <v>8887</v>
      </c>
      <c r="D11764" t="str">
        <f>"6051"</f>
        <v>6051</v>
      </c>
      <c r="E11764" t="s">
        <v>8879</v>
      </c>
      <c r="F11764" t="s">
        <v>3546</v>
      </c>
      <c r="G11764" t="s">
        <v>16234</v>
      </c>
      <c r="H11764" t="s">
        <v>47054</v>
      </c>
      <c r="I11764" t="s">
        <v>47120</v>
      </c>
      <c r="J11764" t="s">
        <v>47121</v>
      </c>
      <c r="K11764" t="s">
        <v>47113</v>
      </c>
      <c r="L11764">
        <v>24.53</v>
      </c>
      <c r="M11764">
        <v>60</v>
      </c>
      <c r="N11764">
        <v>0</v>
      </c>
      <c r="O11764">
        <v>60</v>
      </c>
      <c r="P11764">
        <v>0</v>
      </c>
    </row>
    <row r="11765" spans="1:16" x14ac:dyDescent="0.25">
      <c r="A11765" t="s">
        <v>34437</v>
      </c>
      <c r="B11765" t="s">
        <v>8886</v>
      </c>
      <c r="C11765" t="s">
        <v>8887</v>
      </c>
      <c r="D11765" t="str">
        <f>"7281"</f>
        <v>7281</v>
      </c>
      <c r="E11765" t="s">
        <v>8875</v>
      </c>
      <c r="F11765" t="s">
        <v>3546</v>
      </c>
      <c r="G11765" t="s">
        <v>16234</v>
      </c>
      <c r="H11765" t="s">
        <v>47054</v>
      </c>
      <c r="I11765" t="s">
        <v>47120</v>
      </c>
      <c r="J11765" t="s">
        <v>47121</v>
      </c>
      <c r="K11765" t="s">
        <v>47113</v>
      </c>
      <c r="L11765">
        <v>24.53</v>
      </c>
      <c r="M11765">
        <v>60</v>
      </c>
      <c r="N11765">
        <v>0</v>
      </c>
      <c r="O11765">
        <v>60</v>
      </c>
      <c r="P11765">
        <v>0</v>
      </c>
    </row>
    <row r="11766" spans="1:16" x14ac:dyDescent="0.25">
      <c r="A11766" t="s">
        <v>34438</v>
      </c>
      <c r="B11766" t="s">
        <v>8888</v>
      </c>
      <c r="C11766" t="s">
        <v>8889</v>
      </c>
      <c r="D11766" t="str">
        <f>"1001"</f>
        <v>1001</v>
      </c>
      <c r="E11766" t="s">
        <v>8890</v>
      </c>
      <c r="F11766" t="s">
        <v>4</v>
      </c>
      <c r="G11766" t="s">
        <v>16234</v>
      </c>
      <c r="H11766" t="s">
        <v>47054</v>
      </c>
      <c r="I11766" t="s">
        <v>47120</v>
      </c>
      <c r="J11766" t="s">
        <v>47121</v>
      </c>
      <c r="K11766" t="s">
        <v>47113</v>
      </c>
      <c r="L11766">
        <v>41.12</v>
      </c>
      <c r="M11766">
        <v>100</v>
      </c>
      <c r="N11766">
        <v>0</v>
      </c>
      <c r="O11766">
        <v>100</v>
      </c>
      <c r="P11766">
        <v>0</v>
      </c>
    </row>
    <row r="11767" spans="1:16" x14ac:dyDescent="0.25">
      <c r="A11767" t="s">
        <v>34439</v>
      </c>
      <c r="B11767" t="s">
        <v>8888</v>
      </c>
      <c r="C11767" t="s">
        <v>8889</v>
      </c>
      <c r="D11767" t="str">
        <f>"1396"</f>
        <v>1396</v>
      </c>
      <c r="E11767" t="s">
        <v>8891</v>
      </c>
      <c r="F11767" t="s">
        <v>4</v>
      </c>
      <c r="G11767" t="s">
        <v>16234</v>
      </c>
      <c r="H11767" t="s">
        <v>47054</v>
      </c>
      <c r="I11767" t="s">
        <v>47120</v>
      </c>
      <c r="J11767" t="s">
        <v>47121</v>
      </c>
      <c r="K11767" t="s">
        <v>47113</v>
      </c>
      <c r="L11767">
        <v>41.12</v>
      </c>
      <c r="M11767">
        <v>100</v>
      </c>
      <c r="N11767">
        <v>0</v>
      </c>
      <c r="O11767">
        <v>100</v>
      </c>
      <c r="P11767">
        <v>0</v>
      </c>
    </row>
    <row r="11768" spans="1:16" x14ac:dyDescent="0.25">
      <c r="A11768" t="s">
        <v>34440</v>
      </c>
      <c r="B11768" t="s">
        <v>8888</v>
      </c>
      <c r="C11768" t="s">
        <v>8889</v>
      </c>
      <c r="D11768" t="str">
        <f>"2659"</f>
        <v>2659</v>
      </c>
      <c r="E11768" t="s">
        <v>8892</v>
      </c>
      <c r="F11768" t="s">
        <v>4</v>
      </c>
      <c r="G11768" t="s">
        <v>16234</v>
      </c>
      <c r="H11768" t="s">
        <v>47054</v>
      </c>
      <c r="I11768" t="s">
        <v>47120</v>
      </c>
      <c r="J11768" t="s">
        <v>47121</v>
      </c>
      <c r="K11768" t="s">
        <v>47113</v>
      </c>
      <c r="L11768">
        <v>41.12</v>
      </c>
      <c r="M11768">
        <v>100</v>
      </c>
      <c r="N11768">
        <v>0</v>
      </c>
      <c r="O11768">
        <v>100</v>
      </c>
      <c r="P11768">
        <v>0</v>
      </c>
    </row>
    <row r="11769" spans="1:16" x14ac:dyDescent="0.25">
      <c r="A11769" t="s">
        <v>34441</v>
      </c>
      <c r="B11769" t="s">
        <v>8893</v>
      </c>
      <c r="C11769" t="s">
        <v>8894</v>
      </c>
      <c r="D11769" t="str">
        <f>"1001"</f>
        <v>1001</v>
      </c>
      <c r="E11769" t="s">
        <v>8890</v>
      </c>
      <c r="F11769" t="s">
        <v>4</v>
      </c>
      <c r="G11769" t="s">
        <v>16234</v>
      </c>
      <c r="H11769" t="s">
        <v>47054</v>
      </c>
      <c r="I11769" t="s">
        <v>47120</v>
      </c>
      <c r="J11769" t="s">
        <v>47121</v>
      </c>
      <c r="K11769" t="s">
        <v>47113</v>
      </c>
      <c r="L11769">
        <v>41.12</v>
      </c>
      <c r="M11769">
        <v>100</v>
      </c>
      <c r="N11769">
        <v>0</v>
      </c>
      <c r="O11769">
        <v>100</v>
      </c>
      <c r="P11769">
        <v>0</v>
      </c>
    </row>
    <row r="11770" spans="1:16" x14ac:dyDescent="0.25">
      <c r="A11770" t="s">
        <v>34442</v>
      </c>
      <c r="B11770" t="s">
        <v>8893</v>
      </c>
      <c r="C11770" t="s">
        <v>8894</v>
      </c>
      <c r="D11770" t="str">
        <f>"1396"</f>
        <v>1396</v>
      </c>
      <c r="E11770" t="s">
        <v>8891</v>
      </c>
      <c r="F11770" t="s">
        <v>4</v>
      </c>
      <c r="G11770" t="s">
        <v>16234</v>
      </c>
      <c r="H11770" t="s">
        <v>47054</v>
      </c>
      <c r="I11770" t="s">
        <v>47120</v>
      </c>
      <c r="J11770" t="s">
        <v>47121</v>
      </c>
      <c r="K11770" t="s">
        <v>47113</v>
      </c>
      <c r="L11770">
        <v>41.12</v>
      </c>
      <c r="M11770">
        <v>100</v>
      </c>
      <c r="N11770">
        <v>0</v>
      </c>
      <c r="O11770">
        <v>100</v>
      </c>
      <c r="P11770">
        <v>0</v>
      </c>
    </row>
    <row r="11771" spans="1:16" x14ac:dyDescent="0.25">
      <c r="A11771" t="s">
        <v>34443</v>
      </c>
      <c r="B11771" t="s">
        <v>8893</v>
      </c>
      <c r="C11771" t="s">
        <v>8894</v>
      </c>
      <c r="D11771" t="str">
        <f>"2659"</f>
        <v>2659</v>
      </c>
      <c r="E11771" t="s">
        <v>8892</v>
      </c>
      <c r="F11771" t="s">
        <v>4</v>
      </c>
      <c r="G11771" t="s">
        <v>16234</v>
      </c>
      <c r="H11771" t="s">
        <v>47054</v>
      </c>
      <c r="I11771" t="s">
        <v>47120</v>
      </c>
      <c r="J11771" t="s">
        <v>47121</v>
      </c>
      <c r="K11771" t="s">
        <v>47113</v>
      </c>
      <c r="L11771">
        <v>41.12</v>
      </c>
      <c r="M11771">
        <v>100</v>
      </c>
      <c r="N11771">
        <v>0</v>
      </c>
      <c r="O11771">
        <v>100</v>
      </c>
      <c r="P11771">
        <v>0</v>
      </c>
    </row>
    <row r="11772" spans="1:16" x14ac:dyDescent="0.25">
      <c r="A11772" t="s">
        <v>34444</v>
      </c>
      <c r="B11772" t="s">
        <v>8895</v>
      </c>
      <c r="C11772" t="s">
        <v>8896</v>
      </c>
      <c r="D11772" t="str">
        <f>"4127"</f>
        <v>4127</v>
      </c>
      <c r="E11772" t="s">
        <v>8897</v>
      </c>
      <c r="F11772" t="s">
        <v>3558</v>
      </c>
      <c r="G11772" t="s">
        <v>16230</v>
      </c>
      <c r="H11772" t="s">
        <v>47054</v>
      </c>
      <c r="I11772" t="s">
        <v>47120</v>
      </c>
      <c r="J11772" t="s">
        <v>47121</v>
      </c>
      <c r="K11772" t="s">
        <v>47113</v>
      </c>
      <c r="L11772">
        <v>8.6999999999999993</v>
      </c>
      <c r="M11772">
        <v>59</v>
      </c>
      <c r="N11772">
        <v>0</v>
      </c>
      <c r="O11772">
        <v>59</v>
      </c>
      <c r="P11772">
        <v>0</v>
      </c>
    </row>
    <row r="11773" spans="1:16" x14ac:dyDescent="0.25">
      <c r="A11773" t="s">
        <v>34445</v>
      </c>
      <c r="B11773" t="s">
        <v>8895</v>
      </c>
      <c r="C11773" t="s">
        <v>8896</v>
      </c>
      <c r="D11773" t="str">
        <f>"6361"</f>
        <v>6361</v>
      </c>
      <c r="E11773" t="s">
        <v>8898</v>
      </c>
      <c r="F11773" t="s">
        <v>3558</v>
      </c>
      <c r="G11773" t="s">
        <v>16230</v>
      </c>
      <c r="H11773" t="s">
        <v>47054</v>
      </c>
      <c r="I11773" t="s">
        <v>47120</v>
      </c>
      <c r="J11773" t="s">
        <v>47121</v>
      </c>
      <c r="K11773" t="s">
        <v>47113</v>
      </c>
      <c r="L11773">
        <v>8.6999999999999993</v>
      </c>
      <c r="M11773">
        <v>59</v>
      </c>
      <c r="N11773">
        <v>0</v>
      </c>
      <c r="O11773">
        <v>59</v>
      </c>
      <c r="P11773">
        <v>0</v>
      </c>
    </row>
    <row r="11774" spans="1:16" x14ac:dyDescent="0.25">
      <c r="A11774" t="s">
        <v>34446</v>
      </c>
      <c r="B11774" t="s">
        <v>8899</v>
      </c>
      <c r="C11774" t="s">
        <v>8900</v>
      </c>
      <c r="D11774" t="str">
        <f>"1505"</f>
        <v>1505</v>
      </c>
      <c r="E11774" t="s">
        <v>1667</v>
      </c>
      <c r="F11774" t="s">
        <v>4</v>
      </c>
      <c r="G11774" t="s">
        <v>16232</v>
      </c>
      <c r="H11774" t="s">
        <v>47054</v>
      </c>
      <c r="I11774" t="s">
        <v>47118</v>
      </c>
      <c r="J11774" t="s">
        <v>47119</v>
      </c>
      <c r="K11774" t="s">
        <v>47113</v>
      </c>
      <c r="L11774">
        <v>24.33</v>
      </c>
      <c r="M11774">
        <v>59</v>
      </c>
      <c r="N11774">
        <v>0</v>
      </c>
      <c r="O11774">
        <v>59</v>
      </c>
      <c r="P11774">
        <v>0</v>
      </c>
    </row>
    <row r="11775" spans="1:16" x14ac:dyDescent="0.25">
      <c r="A11775" t="s">
        <v>34447</v>
      </c>
      <c r="B11775" t="s">
        <v>8899</v>
      </c>
      <c r="C11775" t="s">
        <v>8900</v>
      </c>
      <c r="D11775" t="str">
        <f>"4169"</f>
        <v>4169</v>
      </c>
      <c r="E11775" t="s">
        <v>5883</v>
      </c>
      <c r="F11775" t="s">
        <v>4</v>
      </c>
      <c r="G11775" t="s">
        <v>16232</v>
      </c>
      <c r="H11775" t="s">
        <v>47054</v>
      </c>
      <c r="I11775" t="s">
        <v>47118</v>
      </c>
      <c r="J11775" t="s">
        <v>47119</v>
      </c>
      <c r="K11775" t="s">
        <v>47113</v>
      </c>
      <c r="L11775">
        <v>24.33</v>
      </c>
      <c r="M11775">
        <v>59</v>
      </c>
      <c r="N11775">
        <v>0</v>
      </c>
      <c r="O11775">
        <v>59</v>
      </c>
      <c r="P11775">
        <v>0</v>
      </c>
    </row>
    <row r="11776" spans="1:16" x14ac:dyDescent="0.25">
      <c r="A11776" t="s">
        <v>34448</v>
      </c>
      <c r="B11776" t="s">
        <v>8899</v>
      </c>
      <c r="C11776" t="s">
        <v>8900</v>
      </c>
      <c r="D11776" t="str">
        <f>"6380"</f>
        <v>6380</v>
      </c>
      <c r="E11776" t="s">
        <v>5839</v>
      </c>
      <c r="F11776" t="s">
        <v>4</v>
      </c>
      <c r="G11776" t="s">
        <v>16232</v>
      </c>
      <c r="H11776" t="s">
        <v>47054</v>
      </c>
      <c r="I11776" t="s">
        <v>47118</v>
      </c>
      <c r="J11776" t="s">
        <v>47119</v>
      </c>
      <c r="K11776" t="s">
        <v>47113</v>
      </c>
      <c r="L11776">
        <v>24.33</v>
      </c>
      <c r="M11776">
        <v>59</v>
      </c>
      <c r="N11776">
        <v>0</v>
      </c>
      <c r="O11776">
        <v>59</v>
      </c>
      <c r="P11776">
        <v>0</v>
      </c>
    </row>
    <row r="11777" spans="1:16" x14ac:dyDescent="0.25">
      <c r="A11777" t="s">
        <v>34449</v>
      </c>
      <c r="B11777" t="s">
        <v>8901</v>
      </c>
      <c r="C11777" t="s">
        <v>8902</v>
      </c>
      <c r="D11777" t="str">
        <f>"2661"</f>
        <v>2661</v>
      </c>
      <c r="E11777" t="s">
        <v>5923</v>
      </c>
      <c r="F11777" t="s">
        <v>4</v>
      </c>
      <c r="G11777" t="s">
        <v>16232</v>
      </c>
      <c r="H11777" t="s">
        <v>47054</v>
      </c>
      <c r="I11777" t="s">
        <v>47118</v>
      </c>
      <c r="J11777" t="s">
        <v>47119</v>
      </c>
      <c r="K11777" t="s">
        <v>47113</v>
      </c>
      <c r="L11777">
        <v>26.45</v>
      </c>
      <c r="M11777">
        <v>65</v>
      </c>
      <c r="N11777">
        <v>0</v>
      </c>
      <c r="O11777">
        <v>65</v>
      </c>
      <c r="P11777">
        <v>0</v>
      </c>
    </row>
    <row r="11778" spans="1:16" x14ac:dyDescent="0.25">
      <c r="A11778" t="s">
        <v>34450</v>
      </c>
      <c r="B11778" t="s">
        <v>8901</v>
      </c>
      <c r="C11778" t="s">
        <v>8902</v>
      </c>
      <c r="D11778" t="str">
        <f>"4169"</f>
        <v>4169</v>
      </c>
      <c r="E11778" t="s">
        <v>5883</v>
      </c>
      <c r="F11778" t="s">
        <v>4</v>
      </c>
      <c r="G11778" t="s">
        <v>16232</v>
      </c>
      <c r="H11778" t="s">
        <v>47054</v>
      </c>
      <c r="I11778" t="s">
        <v>47118</v>
      </c>
      <c r="J11778" t="s">
        <v>47119</v>
      </c>
      <c r="K11778" t="s">
        <v>47113</v>
      </c>
      <c r="L11778">
        <v>26.45</v>
      </c>
      <c r="M11778">
        <v>65</v>
      </c>
      <c r="N11778">
        <v>0</v>
      </c>
      <c r="O11778">
        <v>65</v>
      </c>
      <c r="P11778">
        <v>0</v>
      </c>
    </row>
    <row r="11779" spans="1:16" x14ac:dyDescent="0.25">
      <c r="A11779" t="s">
        <v>34451</v>
      </c>
      <c r="B11779" t="s">
        <v>8901</v>
      </c>
      <c r="C11779" t="s">
        <v>8902</v>
      </c>
      <c r="D11779" t="str">
        <f>"6380"</f>
        <v>6380</v>
      </c>
      <c r="E11779" t="s">
        <v>5839</v>
      </c>
      <c r="F11779" t="s">
        <v>4</v>
      </c>
      <c r="G11779" t="s">
        <v>16232</v>
      </c>
      <c r="H11779" t="s">
        <v>47054</v>
      </c>
      <c r="I11779" t="s">
        <v>47118</v>
      </c>
      <c r="J11779" t="s">
        <v>47119</v>
      </c>
      <c r="K11779" t="s">
        <v>47113</v>
      </c>
      <c r="L11779">
        <v>26.45</v>
      </c>
      <c r="M11779">
        <v>65</v>
      </c>
      <c r="N11779">
        <v>0</v>
      </c>
      <c r="O11779">
        <v>65</v>
      </c>
      <c r="P11779">
        <v>0</v>
      </c>
    </row>
    <row r="11780" spans="1:16" x14ac:dyDescent="0.25">
      <c r="A11780" t="s">
        <v>34452</v>
      </c>
      <c r="B11780" t="s">
        <v>8903</v>
      </c>
      <c r="C11780" t="s">
        <v>8904</v>
      </c>
      <c r="D11780" t="str">
        <f>"1501"</f>
        <v>1501</v>
      </c>
      <c r="E11780" t="s">
        <v>46</v>
      </c>
      <c r="F11780" t="s">
        <v>4</v>
      </c>
      <c r="G11780" t="s">
        <v>46686</v>
      </c>
      <c r="H11780" t="s">
        <v>47054</v>
      </c>
      <c r="I11780" t="s">
        <v>47118</v>
      </c>
      <c r="J11780" t="s">
        <v>47119</v>
      </c>
      <c r="K11780" t="s">
        <v>47113</v>
      </c>
      <c r="L11780">
        <v>31.12</v>
      </c>
      <c r="M11780">
        <v>77</v>
      </c>
      <c r="N11780">
        <v>0</v>
      </c>
      <c r="O11780">
        <v>77</v>
      </c>
      <c r="P11780">
        <v>0</v>
      </c>
    </row>
    <row r="11781" spans="1:16" x14ac:dyDescent="0.25">
      <c r="A11781" t="s">
        <v>34453</v>
      </c>
      <c r="B11781" t="s">
        <v>8905</v>
      </c>
      <c r="C11781" t="s">
        <v>8906</v>
      </c>
      <c r="D11781" t="str">
        <f>"1100"</f>
        <v>1100</v>
      </c>
      <c r="E11781" t="s">
        <v>54</v>
      </c>
      <c r="F11781" t="s">
        <v>4</v>
      </c>
      <c r="G11781" t="s">
        <v>46686</v>
      </c>
      <c r="H11781" t="s">
        <v>47054</v>
      </c>
      <c r="I11781" t="s">
        <v>47118</v>
      </c>
      <c r="J11781" t="s">
        <v>47119</v>
      </c>
      <c r="K11781" t="s">
        <v>47113</v>
      </c>
      <c r="L11781">
        <v>23.78</v>
      </c>
      <c r="M11781">
        <v>58</v>
      </c>
      <c r="N11781">
        <v>0</v>
      </c>
      <c r="O11781">
        <v>58</v>
      </c>
      <c r="P11781">
        <v>0</v>
      </c>
    </row>
    <row r="11782" spans="1:16" x14ac:dyDescent="0.25">
      <c r="A11782" t="s">
        <v>34454</v>
      </c>
      <c r="B11782" t="s">
        <v>8907</v>
      </c>
      <c r="C11782" t="s">
        <v>8908</v>
      </c>
      <c r="D11782" t="str">
        <f>"4134"</f>
        <v>4134</v>
      </c>
      <c r="E11782" t="s">
        <v>6455</v>
      </c>
      <c r="F11782" t="s">
        <v>4</v>
      </c>
      <c r="G11782" t="s">
        <v>16222</v>
      </c>
      <c r="H11782" t="s">
        <v>47054</v>
      </c>
      <c r="I11782" t="s">
        <v>47139</v>
      </c>
      <c r="J11782" t="s">
        <v>47140</v>
      </c>
      <c r="K11782" t="s">
        <v>47113</v>
      </c>
      <c r="L11782">
        <v>18.190000000000001</v>
      </c>
      <c r="M11782">
        <v>44</v>
      </c>
      <c r="N11782">
        <v>0</v>
      </c>
      <c r="O11782">
        <v>44</v>
      </c>
      <c r="P11782">
        <v>0</v>
      </c>
    </row>
    <row r="11783" spans="1:16" x14ac:dyDescent="0.25">
      <c r="A11783" t="s">
        <v>34455</v>
      </c>
      <c r="B11783" t="s">
        <v>8909</v>
      </c>
      <c r="C11783" t="s">
        <v>8910</v>
      </c>
      <c r="D11783" t="str">
        <f>"4134"</f>
        <v>4134</v>
      </c>
      <c r="E11783" t="s">
        <v>6455</v>
      </c>
      <c r="F11783" t="s">
        <v>4</v>
      </c>
      <c r="G11783" t="s">
        <v>16235</v>
      </c>
      <c r="H11783" t="s">
        <v>47054</v>
      </c>
      <c r="I11783" t="s">
        <v>47139</v>
      </c>
      <c r="J11783" t="s">
        <v>47140</v>
      </c>
      <c r="K11783" t="s">
        <v>47113</v>
      </c>
      <c r="L11783">
        <v>26.25</v>
      </c>
      <c r="M11783">
        <v>64</v>
      </c>
      <c r="N11783">
        <v>0</v>
      </c>
      <c r="O11783">
        <v>64</v>
      </c>
      <c r="P11783">
        <v>0</v>
      </c>
    </row>
    <row r="11784" spans="1:16" x14ac:dyDescent="0.25">
      <c r="A11784" t="s">
        <v>34456</v>
      </c>
      <c r="B11784" t="s">
        <v>8911</v>
      </c>
      <c r="C11784" t="s">
        <v>8912</v>
      </c>
      <c r="D11784" t="str">
        <f>"4328"</f>
        <v>4328</v>
      </c>
      <c r="E11784" t="s">
        <v>6483</v>
      </c>
      <c r="F11784" t="s">
        <v>4</v>
      </c>
      <c r="G11784" t="s">
        <v>16224</v>
      </c>
      <c r="H11784" t="s">
        <v>47054</v>
      </c>
      <c r="I11784" t="s">
        <v>47139</v>
      </c>
      <c r="J11784" t="s">
        <v>47140</v>
      </c>
      <c r="K11784" t="s">
        <v>47113</v>
      </c>
      <c r="L11784">
        <v>39.450000000000003</v>
      </c>
      <c r="M11784">
        <v>96</v>
      </c>
      <c r="N11784">
        <v>0</v>
      </c>
      <c r="O11784">
        <v>96</v>
      </c>
      <c r="P11784">
        <v>0</v>
      </c>
    </row>
    <row r="11785" spans="1:16" x14ac:dyDescent="0.25">
      <c r="A11785" t="s">
        <v>34457</v>
      </c>
      <c r="B11785" t="s">
        <v>8911</v>
      </c>
      <c r="C11785" t="s">
        <v>8912</v>
      </c>
      <c r="D11785" t="str">
        <f>"6366"</f>
        <v>6366</v>
      </c>
      <c r="E11785" t="s">
        <v>2658</v>
      </c>
      <c r="F11785" t="s">
        <v>4</v>
      </c>
      <c r="G11785" t="s">
        <v>16224</v>
      </c>
      <c r="H11785" t="s">
        <v>47054</v>
      </c>
      <c r="I11785" t="s">
        <v>47139</v>
      </c>
      <c r="J11785" t="s">
        <v>47140</v>
      </c>
      <c r="K11785" t="s">
        <v>47113</v>
      </c>
      <c r="L11785">
        <v>39.450000000000003</v>
      </c>
      <c r="M11785">
        <v>96</v>
      </c>
      <c r="N11785">
        <v>0</v>
      </c>
      <c r="O11785">
        <v>96</v>
      </c>
      <c r="P11785">
        <v>0</v>
      </c>
    </row>
    <row r="11786" spans="1:16" x14ac:dyDescent="0.25">
      <c r="A11786" t="s">
        <v>14985</v>
      </c>
      <c r="B11786" t="s">
        <v>8913</v>
      </c>
      <c r="C11786" t="s">
        <v>8914</v>
      </c>
      <c r="D11786" t="str">
        <f>"1035"</f>
        <v>1035</v>
      </c>
      <c r="E11786" t="s">
        <v>758</v>
      </c>
      <c r="F11786" t="s">
        <v>4</v>
      </c>
      <c r="G11786" t="s">
        <v>16232</v>
      </c>
      <c r="H11786" t="s">
        <v>47054</v>
      </c>
      <c r="I11786" t="s">
        <v>47118</v>
      </c>
      <c r="J11786" t="s">
        <v>47119</v>
      </c>
      <c r="K11786" t="s">
        <v>47113</v>
      </c>
      <c r="L11786">
        <v>19.600000000000001</v>
      </c>
      <c r="M11786">
        <v>48</v>
      </c>
      <c r="N11786">
        <v>0</v>
      </c>
      <c r="O11786">
        <v>48</v>
      </c>
      <c r="P11786">
        <v>0</v>
      </c>
    </row>
    <row r="11787" spans="1:16" x14ac:dyDescent="0.25">
      <c r="A11787" t="s">
        <v>34458</v>
      </c>
      <c r="B11787" t="s">
        <v>8913</v>
      </c>
      <c r="C11787" t="s">
        <v>8914</v>
      </c>
      <c r="D11787" t="str">
        <f>"1227"</f>
        <v>1227</v>
      </c>
      <c r="E11787" t="s">
        <v>8915</v>
      </c>
      <c r="F11787" t="s">
        <v>4</v>
      </c>
      <c r="G11787" t="s">
        <v>16232</v>
      </c>
      <c r="H11787" t="s">
        <v>47054</v>
      </c>
      <c r="I11787" t="s">
        <v>47118</v>
      </c>
      <c r="J11787" t="s">
        <v>47119</v>
      </c>
      <c r="K11787" t="s">
        <v>47113</v>
      </c>
      <c r="L11787">
        <v>19.600000000000001</v>
      </c>
      <c r="M11787">
        <v>48</v>
      </c>
      <c r="N11787">
        <v>0</v>
      </c>
      <c r="O11787">
        <v>48</v>
      </c>
      <c r="P11787">
        <v>0</v>
      </c>
    </row>
    <row r="11788" spans="1:16" x14ac:dyDescent="0.25">
      <c r="A11788" t="s">
        <v>34459</v>
      </c>
      <c r="B11788" t="s">
        <v>8913</v>
      </c>
      <c r="C11788" t="s">
        <v>8914</v>
      </c>
      <c r="D11788" t="str">
        <f>"6035"</f>
        <v>6035</v>
      </c>
      <c r="E11788" t="s">
        <v>2598</v>
      </c>
      <c r="F11788" t="s">
        <v>4</v>
      </c>
      <c r="G11788" t="s">
        <v>16232</v>
      </c>
      <c r="H11788" t="s">
        <v>47054</v>
      </c>
      <c r="I11788" t="s">
        <v>47118</v>
      </c>
      <c r="J11788" t="s">
        <v>47119</v>
      </c>
      <c r="K11788" t="s">
        <v>47113</v>
      </c>
      <c r="L11788">
        <v>19.600000000000001</v>
      </c>
      <c r="M11788">
        <v>48</v>
      </c>
      <c r="N11788">
        <v>0</v>
      </c>
      <c r="O11788">
        <v>48</v>
      </c>
      <c r="P11788">
        <v>0</v>
      </c>
    </row>
    <row r="11789" spans="1:16" x14ac:dyDescent="0.25">
      <c r="A11789" t="s">
        <v>34460</v>
      </c>
      <c r="B11789" t="s">
        <v>8916</v>
      </c>
      <c r="C11789" t="s">
        <v>8917</v>
      </c>
      <c r="D11789" t="str">
        <f>"4356"</f>
        <v>4356</v>
      </c>
      <c r="E11789" t="s">
        <v>8918</v>
      </c>
      <c r="F11789" t="s">
        <v>4</v>
      </c>
      <c r="G11789" t="s">
        <v>16235</v>
      </c>
      <c r="H11789" t="s">
        <v>47054</v>
      </c>
      <c r="I11789" t="s">
        <v>47120</v>
      </c>
      <c r="J11789" t="s">
        <v>47121</v>
      </c>
      <c r="K11789" t="s">
        <v>47113</v>
      </c>
      <c r="L11789">
        <v>46.49</v>
      </c>
      <c r="M11789">
        <v>113</v>
      </c>
      <c r="N11789">
        <v>0</v>
      </c>
      <c r="O11789">
        <v>113</v>
      </c>
      <c r="P11789">
        <v>0</v>
      </c>
    </row>
    <row r="11790" spans="1:16" x14ac:dyDescent="0.25">
      <c r="A11790" t="s">
        <v>34461</v>
      </c>
      <c r="B11790" t="s">
        <v>8919</v>
      </c>
      <c r="C11790" t="s">
        <v>8920</v>
      </c>
      <c r="D11790" t="str">
        <f>"4356"</f>
        <v>4356</v>
      </c>
      <c r="E11790" t="s">
        <v>8918</v>
      </c>
      <c r="F11790" t="s">
        <v>4</v>
      </c>
      <c r="G11790" t="s">
        <v>16222</v>
      </c>
      <c r="H11790" t="s">
        <v>47054</v>
      </c>
      <c r="I11790" t="s">
        <v>47120</v>
      </c>
      <c r="J11790" t="s">
        <v>47121</v>
      </c>
      <c r="K11790" t="s">
        <v>47113</v>
      </c>
      <c r="L11790">
        <v>39.65</v>
      </c>
      <c r="M11790">
        <v>97</v>
      </c>
      <c r="N11790">
        <v>0</v>
      </c>
      <c r="O11790">
        <v>97</v>
      </c>
      <c r="P11790">
        <v>0</v>
      </c>
    </row>
    <row r="11791" spans="1:16" x14ac:dyDescent="0.25">
      <c r="A11791" t="s">
        <v>34462</v>
      </c>
      <c r="B11791" t="s">
        <v>8921</v>
      </c>
      <c r="C11791" t="s">
        <v>8922</v>
      </c>
      <c r="D11791" t="str">
        <f>"4356"</f>
        <v>4356</v>
      </c>
      <c r="E11791" t="s">
        <v>8918</v>
      </c>
      <c r="F11791" t="s">
        <v>4</v>
      </c>
      <c r="G11791" t="s">
        <v>16232</v>
      </c>
      <c r="H11791" t="s">
        <v>47054</v>
      </c>
      <c r="I11791" t="s">
        <v>47120</v>
      </c>
      <c r="J11791" t="s">
        <v>47121</v>
      </c>
      <c r="K11791" t="s">
        <v>47113</v>
      </c>
      <c r="L11791">
        <v>41.44</v>
      </c>
      <c r="M11791">
        <v>101</v>
      </c>
      <c r="N11791">
        <v>0</v>
      </c>
      <c r="O11791">
        <v>101</v>
      </c>
      <c r="P11791">
        <v>0</v>
      </c>
    </row>
    <row r="11792" spans="1:16" x14ac:dyDescent="0.25">
      <c r="A11792" t="s">
        <v>34463</v>
      </c>
      <c r="B11792" t="s">
        <v>8923</v>
      </c>
      <c r="C11792" t="s">
        <v>8924</v>
      </c>
      <c r="D11792" t="str">
        <f>"4356"</f>
        <v>4356</v>
      </c>
      <c r="E11792" t="s">
        <v>8918</v>
      </c>
      <c r="F11792" t="s">
        <v>4</v>
      </c>
      <c r="G11792" t="s">
        <v>16448</v>
      </c>
      <c r="H11792" t="s">
        <v>47054</v>
      </c>
      <c r="I11792" t="s">
        <v>47120</v>
      </c>
      <c r="J11792" t="s">
        <v>47121</v>
      </c>
      <c r="K11792" t="s">
        <v>47113</v>
      </c>
      <c r="L11792">
        <v>64.02</v>
      </c>
      <c r="M11792">
        <v>156</v>
      </c>
      <c r="N11792">
        <v>0</v>
      </c>
      <c r="O11792">
        <v>156</v>
      </c>
      <c r="P11792">
        <v>0</v>
      </c>
    </row>
    <row r="11793" spans="1:16" x14ac:dyDescent="0.25">
      <c r="A11793" t="s">
        <v>34464</v>
      </c>
      <c r="B11793" t="s">
        <v>8925</v>
      </c>
      <c r="C11793" t="s">
        <v>8926</v>
      </c>
      <c r="D11793" t="str">
        <f>"1505"</f>
        <v>1505</v>
      </c>
      <c r="E11793" t="s">
        <v>1667</v>
      </c>
      <c r="F11793" t="s">
        <v>4</v>
      </c>
      <c r="G11793" t="s">
        <v>16222</v>
      </c>
      <c r="H11793" t="s">
        <v>47054</v>
      </c>
      <c r="I11793" t="s">
        <v>47139</v>
      </c>
      <c r="J11793" t="s">
        <v>47140</v>
      </c>
      <c r="K11793" t="s">
        <v>47113</v>
      </c>
      <c r="L11793">
        <v>18.190000000000001</v>
      </c>
      <c r="M11793">
        <v>44</v>
      </c>
      <c r="N11793">
        <v>0</v>
      </c>
      <c r="O11793">
        <v>44</v>
      </c>
      <c r="P11793">
        <v>0</v>
      </c>
    </row>
    <row r="11794" spans="1:16" x14ac:dyDescent="0.25">
      <c r="A11794" t="s">
        <v>34465</v>
      </c>
      <c r="B11794" t="s">
        <v>8927</v>
      </c>
      <c r="C11794" t="s">
        <v>8928</v>
      </c>
      <c r="D11794" t="str">
        <f>"1505"</f>
        <v>1505</v>
      </c>
      <c r="E11794" t="s">
        <v>1667</v>
      </c>
      <c r="F11794" t="s">
        <v>4</v>
      </c>
      <c r="G11794" t="s">
        <v>16235</v>
      </c>
      <c r="H11794" t="s">
        <v>47054</v>
      </c>
      <c r="I11794" t="s">
        <v>47139</v>
      </c>
      <c r="J11794" t="s">
        <v>47140</v>
      </c>
      <c r="K11794" t="s">
        <v>47113</v>
      </c>
      <c r="L11794">
        <v>28</v>
      </c>
      <c r="M11794">
        <v>68</v>
      </c>
      <c r="N11794">
        <v>0</v>
      </c>
      <c r="O11794">
        <v>68</v>
      </c>
      <c r="P11794">
        <v>0</v>
      </c>
    </row>
    <row r="11795" spans="1:16" x14ac:dyDescent="0.25">
      <c r="A11795" t="s">
        <v>34466</v>
      </c>
      <c r="B11795" t="s">
        <v>8929</v>
      </c>
      <c r="C11795" t="s">
        <v>8928</v>
      </c>
      <c r="D11795" t="str">
        <f>"1505"</f>
        <v>1505</v>
      </c>
      <c r="E11795" t="s">
        <v>1667</v>
      </c>
      <c r="F11795" t="s">
        <v>4</v>
      </c>
      <c r="G11795" t="s">
        <v>16235</v>
      </c>
      <c r="H11795" t="s">
        <v>47054</v>
      </c>
      <c r="I11795" t="s">
        <v>47139</v>
      </c>
      <c r="J11795" t="s">
        <v>47140</v>
      </c>
      <c r="K11795" t="s">
        <v>47113</v>
      </c>
      <c r="L11795">
        <v>28</v>
      </c>
      <c r="M11795">
        <v>68</v>
      </c>
      <c r="N11795">
        <v>0</v>
      </c>
      <c r="O11795">
        <v>68</v>
      </c>
      <c r="P11795">
        <v>0</v>
      </c>
    </row>
    <row r="11796" spans="1:16" x14ac:dyDescent="0.25">
      <c r="A11796" t="s">
        <v>34467</v>
      </c>
      <c r="B11796" t="s">
        <v>8930</v>
      </c>
      <c r="C11796" t="s">
        <v>8931</v>
      </c>
      <c r="D11796" t="str">
        <f>"1100"</f>
        <v>1100</v>
      </c>
      <c r="E11796" t="s">
        <v>8932</v>
      </c>
      <c r="F11796" t="s">
        <v>4</v>
      </c>
      <c r="G11796" t="s">
        <v>16448</v>
      </c>
      <c r="H11796" t="s">
        <v>47054</v>
      </c>
      <c r="I11796" t="s">
        <v>47120</v>
      </c>
      <c r="J11796" t="s">
        <v>47121</v>
      </c>
      <c r="K11796" t="s">
        <v>47113</v>
      </c>
      <c r="L11796">
        <v>48.3</v>
      </c>
      <c r="M11796">
        <v>118</v>
      </c>
      <c r="N11796">
        <v>0</v>
      </c>
      <c r="O11796">
        <v>118</v>
      </c>
      <c r="P11796">
        <v>0</v>
      </c>
    </row>
    <row r="11797" spans="1:16" x14ac:dyDescent="0.25">
      <c r="A11797" t="s">
        <v>34468</v>
      </c>
      <c r="B11797" t="s">
        <v>8933</v>
      </c>
      <c r="C11797" t="s">
        <v>8934</v>
      </c>
      <c r="D11797" t="str">
        <f>"2173"</f>
        <v>2173</v>
      </c>
      <c r="E11797" t="s">
        <v>8935</v>
      </c>
      <c r="F11797" t="s">
        <v>4</v>
      </c>
      <c r="G11797" t="s">
        <v>16224</v>
      </c>
      <c r="H11797" t="s">
        <v>47054</v>
      </c>
      <c r="I11797" t="s">
        <v>47120</v>
      </c>
      <c r="J11797" t="s">
        <v>47121</v>
      </c>
      <c r="K11797" t="s">
        <v>47113</v>
      </c>
      <c r="L11797">
        <v>35.9</v>
      </c>
      <c r="M11797">
        <v>88</v>
      </c>
      <c r="N11797">
        <v>0</v>
      </c>
      <c r="O11797">
        <v>88</v>
      </c>
      <c r="P11797">
        <v>0</v>
      </c>
    </row>
    <row r="11798" spans="1:16" x14ac:dyDescent="0.25">
      <c r="A11798" t="s">
        <v>34469</v>
      </c>
      <c r="B11798" t="s">
        <v>8933</v>
      </c>
      <c r="C11798" t="s">
        <v>8934</v>
      </c>
      <c r="D11798" t="str">
        <f>"4836"</f>
        <v>4836</v>
      </c>
      <c r="E11798" t="s">
        <v>8936</v>
      </c>
      <c r="F11798" t="s">
        <v>4</v>
      </c>
      <c r="G11798" t="s">
        <v>16224</v>
      </c>
      <c r="H11798" t="s">
        <v>47054</v>
      </c>
      <c r="I11798" t="s">
        <v>47120</v>
      </c>
      <c r="J11798" t="s">
        <v>47121</v>
      </c>
      <c r="K11798" t="s">
        <v>47113</v>
      </c>
      <c r="L11798">
        <v>35.9</v>
      </c>
      <c r="M11798">
        <v>88</v>
      </c>
      <c r="N11798">
        <v>0</v>
      </c>
      <c r="O11798">
        <v>88</v>
      </c>
      <c r="P11798">
        <v>0</v>
      </c>
    </row>
    <row r="11799" spans="1:16" x14ac:dyDescent="0.25">
      <c r="A11799" t="s">
        <v>34470</v>
      </c>
      <c r="B11799" t="s">
        <v>8937</v>
      </c>
      <c r="C11799" t="s">
        <v>8938</v>
      </c>
      <c r="D11799" t="str">
        <f>"4100"</f>
        <v>4100</v>
      </c>
      <c r="E11799" t="s">
        <v>7962</v>
      </c>
      <c r="F11799" t="s">
        <v>3558</v>
      </c>
      <c r="G11799" t="s">
        <v>16221</v>
      </c>
      <c r="H11799" t="s">
        <v>47054</v>
      </c>
      <c r="I11799" t="s">
        <v>47120</v>
      </c>
      <c r="J11799" t="s">
        <v>47121</v>
      </c>
      <c r="K11799" t="s">
        <v>47113</v>
      </c>
      <c r="L11799">
        <v>18.93</v>
      </c>
      <c r="M11799">
        <v>33</v>
      </c>
      <c r="N11799">
        <v>0</v>
      </c>
      <c r="O11799">
        <v>33</v>
      </c>
      <c r="P11799">
        <v>0</v>
      </c>
    </row>
    <row r="11800" spans="1:16" x14ac:dyDescent="0.25">
      <c r="A11800" t="s">
        <v>34471</v>
      </c>
      <c r="B11800" t="s">
        <v>8939</v>
      </c>
      <c r="C11800" t="s">
        <v>8940</v>
      </c>
      <c r="D11800" t="str">
        <f>"1001"</f>
        <v>1001</v>
      </c>
      <c r="E11800" t="s">
        <v>6143</v>
      </c>
      <c r="F11800" t="s">
        <v>3670</v>
      </c>
      <c r="G11800" t="s">
        <v>16221</v>
      </c>
      <c r="H11800" t="s">
        <v>47054</v>
      </c>
      <c r="I11800" t="s">
        <v>47569</v>
      </c>
      <c r="J11800" t="s">
        <v>47570</v>
      </c>
      <c r="K11800" t="s">
        <v>47113</v>
      </c>
      <c r="L11800">
        <v>15.31</v>
      </c>
      <c r="M11800">
        <v>26</v>
      </c>
      <c r="N11800">
        <v>0</v>
      </c>
      <c r="O11800">
        <v>26</v>
      </c>
      <c r="P11800">
        <v>0</v>
      </c>
    </row>
    <row r="11801" spans="1:16" x14ac:dyDescent="0.25">
      <c r="A11801" t="s">
        <v>34472</v>
      </c>
      <c r="B11801" t="s">
        <v>8939</v>
      </c>
      <c r="C11801" t="s">
        <v>8940</v>
      </c>
      <c r="D11801" t="str">
        <f>"1746"</f>
        <v>1746</v>
      </c>
      <c r="E11801" t="s">
        <v>807</v>
      </c>
      <c r="F11801" t="s">
        <v>3670</v>
      </c>
      <c r="G11801" t="s">
        <v>16221</v>
      </c>
      <c r="H11801" t="s">
        <v>47054</v>
      </c>
      <c r="I11801" t="s">
        <v>47569</v>
      </c>
      <c r="J11801" t="s">
        <v>47570</v>
      </c>
      <c r="K11801" t="s">
        <v>47113</v>
      </c>
      <c r="L11801">
        <v>15.31</v>
      </c>
      <c r="M11801">
        <v>26</v>
      </c>
      <c r="N11801">
        <v>0</v>
      </c>
      <c r="O11801">
        <v>26</v>
      </c>
      <c r="P11801">
        <v>0</v>
      </c>
    </row>
    <row r="11802" spans="1:16" x14ac:dyDescent="0.25">
      <c r="A11802" t="s">
        <v>17908</v>
      </c>
      <c r="B11802" t="s">
        <v>8941</v>
      </c>
      <c r="C11802" t="s">
        <v>8942</v>
      </c>
      <c r="D11802" t="str">
        <f>"4289"</f>
        <v>4289</v>
      </c>
      <c r="E11802" t="s">
        <v>7557</v>
      </c>
      <c r="F11802" t="s">
        <v>3670</v>
      </c>
      <c r="G11802" t="s">
        <v>16221</v>
      </c>
      <c r="H11802" t="s">
        <v>47054</v>
      </c>
      <c r="I11802" t="s">
        <v>47111</v>
      </c>
      <c r="J11802" t="s">
        <v>47112</v>
      </c>
      <c r="K11802" t="s">
        <v>47113</v>
      </c>
      <c r="L11802">
        <v>12.61</v>
      </c>
      <c r="M11802">
        <v>26</v>
      </c>
      <c r="N11802">
        <v>0</v>
      </c>
      <c r="O11802">
        <v>26</v>
      </c>
      <c r="P11802">
        <v>0</v>
      </c>
    </row>
    <row r="11803" spans="1:16" x14ac:dyDescent="0.25">
      <c r="A11803" t="s">
        <v>34473</v>
      </c>
      <c r="B11803" t="s">
        <v>8941</v>
      </c>
      <c r="C11803" t="s">
        <v>8942</v>
      </c>
      <c r="D11803" t="str">
        <f>"6104"</f>
        <v>6104</v>
      </c>
      <c r="E11803" t="s">
        <v>7095</v>
      </c>
      <c r="F11803" t="s">
        <v>3670</v>
      </c>
      <c r="G11803" t="s">
        <v>16221</v>
      </c>
      <c r="H11803" t="s">
        <v>47054</v>
      </c>
      <c r="I11803" t="s">
        <v>47111</v>
      </c>
      <c r="J11803" t="s">
        <v>47112</v>
      </c>
      <c r="K11803" t="s">
        <v>47113</v>
      </c>
      <c r="L11803">
        <v>12.61</v>
      </c>
      <c r="M11803">
        <v>26</v>
      </c>
      <c r="N11803">
        <v>0</v>
      </c>
      <c r="O11803">
        <v>26</v>
      </c>
      <c r="P11803">
        <v>0</v>
      </c>
    </row>
    <row r="11804" spans="1:16" x14ac:dyDescent="0.25">
      <c r="A11804" t="s">
        <v>34474</v>
      </c>
      <c r="B11804" t="s">
        <v>8943</v>
      </c>
      <c r="C11804" t="s">
        <v>17909</v>
      </c>
      <c r="D11804" t="str">
        <f>"1746"</f>
        <v>1746</v>
      </c>
      <c r="E11804" t="s">
        <v>807</v>
      </c>
      <c r="F11804" t="s">
        <v>3670</v>
      </c>
      <c r="G11804" t="s">
        <v>16221</v>
      </c>
      <c r="H11804" t="s">
        <v>47054</v>
      </c>
      <c r="I11804" t="s">
        <v>47111</v>
      </c>
      <c r="J11804" t="s">
        <v>47112</v>
      </c>
      <c r="K11804" t="s">
        <v>47113</v>
      </c>
      <c r="L11804">
        <v>14.41</v>
      </c>
      <c r="M11804">
        <v>26</v>
      </c>
      <c r="N11804">
        <v>0</v>
      </c>
      <c r="O11804">
        <v>26</v>
      </c>
      <c r="P11804">
        <v>0</v>
      </c>
    </row>
    <row r="11805" spans="1:16" x14ac:dyDescent="0.25">
      <c r="A11805" t="s">
        <v>34475</v>
      </c>
      <c r="B11805" t="s">
        <v>15638</v>
      </c>
      <c r="C11805" t="s">
        <v>15639</v>
      </c>
      <c r="D11805" t="str">
        <f>"1001"</f>
        <v>1001</v>
      </c>
      <c r="E11805" t="s">
        <v>7601</v>
      </c>
      <c r="F11805" t="s">
        <v>3558</v>
      </c>
      <c r="G11805" t="s">
        <v>16221</v>
      </c>
      <c r="H11805" t="s">
        <v>47054</v>
      </c>
      <c r="I11805" t="s">
        <v>47569</v>
      </c>
      <c r="J11805" t="s">
        <v>47570</v>
      </c>
      <c r="K11805" t="s">
        <v>47113</v>
      </c>
      <c r="L11805">
        <v>8.27</v>
      </c>
      <c r="M11805">
        <v>26</v>
      </c>
      <c r="N11805">
        <v>0</v>
      </c>
      <c r="O11805">
        <v>26</v>
      </c>
      <c r="P11805">
        <v>0</v>
      </c>
    </row>
    <row r="11806" spans="1:16" x14ac:dyDescent="0.25">
      <c r="A11806" t="s">
        <v>34476</v>
      </c>
      <c r="B11806" t="s">
        <v>15638</v>
      </c>
      <c r="C11806" t="s">
        <v>15639</v>
      </c>
      <c r="D11806" t="str">
        <f>"1800"</f>
        <v>1800</v>
      </c>
      <c r="E11806" t="s">
        <v>1999</v>
      </c>
      <c r="F11806" t="s">
        <v>3558</v>
      </c>
      <c r="G11806" t="s">
        <v>16221</v>
      </c>
      <c r="H11806" t="s">
        <v>47054</v>
      </c>
      <c r="I11806" t="s">
        <v>47569</v>
      </c>
      <c r="J11806" t="s">
        <v>47570</v>
      </c>
      <c r="K11806" t="s">
        <v>47113</v>
      </c>
      <c r="L11806">
        <v>8.27</v>
      </c>
      <c r="M11806">
        <v>26</v>
      </c>
      <c r="N11806">
        <v>0</v>
      </c>
      <c r="O11806">
        <v>26</v>
      </c>
      <c r="P11806">
        <v>0</v>
      </c>
    </row>
    <row r="11807" spans="1:16" x14ac:dyDescent="0.25">
      <c r="A11807" t="s">
        <v>34477</v>
      </c>
      <c r="B11807" t="s">
        <v>15638</v>
      </c>
      <c r="C11807" t="s">
        <v>15639</v>
      </c>
      <c r="D11807" t="str">
        <f>"6497"</f>
        <v>6497</v>
      </c>
      <c r="E11807" t="s">
        <v>6279</v>
      </c>
      <c r="F11807" t="s">
        <v>3558</v>
      </c>
      <c r="G11807" t="s">
        <v>16221</v>
      </c>
      <c r="H11807" t="s">
        <v>47054</v>
      </c>
      <c r="I11807" t="s">
        <v>47569</v>
      </c>
      <c r="J11807" t="s">
        <v>47570</v>
      </c>
      <c r="K11807" t="s">
        <v>47113</v>
      </c>
      <c r="L11807">
        <v>8.27</v>
      </c>
      <c r="M11807">
        <v>26</v>
      </c>
      <c r="N11807">
        <v>0</v>
      </c>
      <c r="O11807">
        <v>26</v>
      </c>
      <c r="P11807">
        <v>0</v>
      </c>
    </row>
    <row r="11808" spans="1:16" x14ac:dyDescent="0.25">
      <c r="A11808" t="s">
        <v>34478</v>
      </c>
      <c r="B11808" t="s">
        <v>8944</v>
      </c>
      <c r="C11808" t="s">
        <v>8945</v>
      </c>
      <c r="D11808" t="str">
        <f>"1001"</f>
        <v>1001</v>
      </c>
      <c r="E11808" t="s">
        <v>7601</v>
      </c>
      <c r="F11808" t="s">
        <v>3558</v>
      </c>
      <c r="G11808" t="s">
        <v>16221</v>
      </c>
      <c r="H11808" t="s">
        <v>47054</v>
      </c>
      <c r="I11808" t="s">
        <v>47111</v>
      </c>
      <c r="J11808" t="s">
        <v>47112</v>
      </c>
      <c r="K11808" t="s">
        <v>47113</v>
      </c>
      <c r="L11808">
        <v>27.48</v>
      </c>
      <c r="M11808">
        <v>26</v>
      </c>
      <c r="N11808">
        <v>0</v>
      </c>
      <c r="O11808">
        <v>26</v>
      </c>
      <c r="P11808">
        <v>0</v>
      </c>
    </row>
    <row r="11809" spans="1:16" x14ac:dyDescent="0.25">
      <c r="A11809" t="s">
        <v>34479</v>
      </c>
      <c r="B11809" t="s">
        <v>8944</v>
      </c>
      <c r="C11809" t="s">
        <v>8945</v>
      </c>
      <c r="D11809" t="str">
        <f>"1800"</f>
        <v>1800</v>
      </c>
      <c r="E11809" t="s">
        <v>1999</v>
      </c>
      <c r="F11809" t="s">
        <v>3558</v>
      </c>
      <c r="G11809" t="s">
        <v>16221</v>
      </c>
      <c r="H11809" t="s">
        <v>47054</v>
      </c>
      <c r="I11809" t="s">
        <v>47111</v>
      </c>
      <c r="J11809" t="s">
        <v>47112</v>
      </c>
      <c r="K11809" t="s">
        <v>47113</v>
      </c>
      <c r="L11809">
        <v>27.48</v>
      </c>
      <c r="M11809">
        <v>26</v>
      </c>
      <c r="N11809">
        <v>0</v>
      </c>
      <c r="O11809">
        <v>26</v>
      </c>
      <c r="P11809">
        <v>0</v>
      </c>
    </row>
    <row r="11810" spans="1:16" x14ac:dyDescent="0.25">
      <c r="A11810" t="s">
        <v>34480</v>
      </c>
      <c r="B11810" t="s">
        <v>8944</v>
      </c>
      <c r="C11810" t="s">
        <v>8945</v>
      </c>
      <c r="D11810" t="str">
        <f>"6497"</f>
        <v>6497</v>
      </c>
      <c r="E11810" t="s">
        <v>6279</v>
      </c>
      <c r="F11810" t="s">
        <v>3558</v>
      </c>
      <c r="G11810" t="s">
        <v>16221</v>
      </c>
      <c r="H11810" t="s">
        <v>47054</v>
      </c>
      <c r="I11810" t="s">
        <v>47111</v>
      </c>
      <c r="J11810" t="s">
        <v>47112</v>
      </c>
      <c r="K11810" t="s">
        <v>47113</v>
      </c>
      <c r="L11810">
        <v>27.48</v>
      </c>
      <c r="M11810">
        <v>26</v>
      </c>
      <c r="N11810">
        <v>0</v>
      </c>
      <c r="O11810">
        <v>26</v>
      </c>
      <c r="P11810">
        <v>0</v>
      </c>
    </row>
    <row r="11811" spans="1:16" x14ac:dyDescent="0.25">
      <c r="A11811" t="s">
        <v>34481</v>
      </c>
      <c r="B11811" t="s">
        <v>8946</v>
      </c>
      <c r="C11811" t="s">
        <v>8947</v>
      </c>
      <c r="D11811" t="str">
        <f>"4100"</f>
        <v>4100</v>
      </c>
      <c r="E11811" t="s">
        <v>8948</v>
      </c>
      <c r="F11811" t="s">
        <v>3558</v>
      </c>
      <c r="G11811" t="s">
        <v>16232</v>
      </c>
      <c r="H11811" t="s">
        <v>47054</v>
      </c>
      <c r="I11811" t="s">
        <v>47120</v>
      </c>
      <c r="J11811" t="s">
        <v>47121</v>
      </c>
      <c r="K11811" t="s">
        <v>47113</v>
      </c>
      <c r="L11811">
        <v>8.6999999999999993</v>
      </c>
      <c r="M11811">
        <v>29</v>
      </c>
      <c r="N11811">
        <v>0</v>
      </c>
      <c r="O11811">
        <v>29</v>
      </c>
      <c r="P11811">
        <v>0</v>
      </c>
    </row>
    <row r="11812" spans="1:16" x14ac:dyDescent="0.25">
      <c r="A11812" t="s">
        <v>34482</v>
      </c>
      <c r="B11812" t="s">
        <v>8949</v>
      </c>
      <c r="C11812" t="s">
        <v>16236</v>
      </c>
      <c r="D11812" t="s">
        <v>8211</v>
      </c>
      <c r="E11812" t="s">
        <v>8212</v>
      </c>
      <c r="F11812" t="s">
        <v>3558</v>
      </c>
      <c r="G11812" t="s">
        <v>16231</v>
      </c>
      <c r="H11812" t="s">
        <v>47054</v>
      </c>
      <c r="I11812" t="s">
        <v>47111</v>
      </c>
      <c r="J11812" t="s">
        <v>47112</v>
      </c>
      <c r="K11812" t="s">
        <v>47113</v>
      </c>
      <c r="L11812">
        <v>50.32</v>
      </c>
      <c r="M11812">
        <v>129</v>
      </c>
      <c r="N11812">
        <v>0</v>
      </c>
      <c r="O11812">
        <v>129</v>
      </c>
      <c r="P11812">
        <v>0</v>
      </c>
    </row>
    <row r="11813" spans="1:16" x14ac:dyDescent="0.25">
      <c r="A11813" t="s">
        <v>34483</v>
      </c>
      <c r="B11813" t="s">
        <v>8950</v>
      </c>
      <c r="C11813" t="s">
        <v>16236</v>
      </c>
      <c r="D11813" t="str">
        <f>"4139"</f>
        <v>4139</v>
      </c>
      <c r="E11813" t="s">
        <v>8951</v>
      </c>
      <c r="F11813" t="s">
        <v>3558</v>
      </c>
      <c r="G11813" t="s">
        <v>16231</v>
      </c>
      <c r="I11813" t="s">
        <v>47111</v>
      </c>
      <c r="J11813" t="s">
        <v>47112</v>
      </c>
      <c r="K11813" t="s">
        <v>47113</v>
      </c>
      <c r="L11813">
        <v>37.08</v>
      </c>
      <c r="M11813">
        <v>111</v>
      </c>
      <c r="N11813">
        <v>0</v>
      </c>
      <c r="O11813">
        <v>111</v>
      </c>
      <c r="P11813">
        <v>0</v>
      </c>
    </row>
    <row r="11814" spans="1:16" x14ac:dyDescent="0.25">
      <c r="A11814" t="s">
        <v>34484</v>
      </c>
      <c r="B11814" t="s">
        <v>8952</v>
      </c>
      <c r="C11814" t="s">
        <v>16236</v>
      </c>
      <c r="D11814" t="str">
        <f>"1316"</f>
        <v>1316</v>
      </c>
      <c r="E11814" t="s">
        <v>8953</v>
      </c>
      <c r="F11814" t="s">
        <v>3558</v>
      </c>
      <c r="G11814" t="s">
        <v>16231</v>
      </c>
      <c r="H11814" t="s">
        <v>47054</v>
      </c>
      <c r="I11814" t="s">
        <v>47111</v>
      </c>
      <c r="J11814" t="s">
        <v>47112</v>
      </c>
      <c r="K11814" t="s">
        <v>47113</v>
      </c>
      <c r="L11814">
        <v>37.08</v>
      </c>
      <c r="M11814">
        <v>111</v>
      </c>
      <c r="N11814">
        <v>0</v>
      </c>
      <c r="O11814">
        <v>111</v>
      </c>
      <c r="P11814">
        <v>0</v>
      </c>
    </row>
    <row r="11815" spans="1:16" x14ac:dyDescent="0.25">
      <c r="A11815" t="s">
        <v>34485</v>
      </c>
      <c r="B11815" t="s">
        <v>8954</v>
      </c>
      <c r="C11815" t="s">
        <v>4045</v>
      </c>
      <c r="D11815" t="s">
        <v>8955</v>
      </c>
      <c r="E11815" t="s">
        <v>8956</v>
      </c>
      <c r="F11815" t="s">
        <v>3558</v>
      </c>
      <c r="G11815" t="s">
        <v>16230</v>
      </c>
      <c r="H11815" t="s">
        <v>47054</v>
      </c>
      <c r="I11815" t="s">
        <v>47120</v>
      </c>
      <c r="J11815" t="s">
        <v>47121</v>
      </c>
      <c r="K11815" t="s">
        <v>47113</v>
      </c>
      <c r="L11815">
        <v>25.91</v>
      </c>
      <c r="M11815">
        <v>63</v>
      </c>
      <c r="N11815">
        <v>0</v>
      </c>
      <c r="O11815">
        <v>63</v>
      </c>
      <c r="P11815">
        <v>0</v>
      </c>
    </row>
    <row r="11816" spans="1:16" x14ac:dyDescent="0.25">
      <c r="A11816" t="s">
        <v>34486</v>
      </c>
      <c r="B11816" t="s">
        <v>8957</v>
      </c>
      <c r="C11816" t="s">
        <v>8958</v>
      </c>
      <c r="D11816" t="str">
        <f>"4357"</f>
        <v>4357</v>
      </c>
      <c r="E11816" t="s">
        <v>8959</v>
      </c>
      <c r="F11816" t="s">
        <v>4</v>
      </c>
      <c r="G11816" t="s">
        <v>46686</v>
      </c>
      <c r="H11816" t="s">
        <v>47054</v>
      </c>
      <c r="I11816" t="s">
        <v>47120</v>
      </c>
      <c r="J11816" t="s">
        <v>47121</v>
      </c>
      <c r="K11816" t="s">
        <v>47113</v>
      </c>
      <c r="L11816">
        <v>37</v>
      </c>
      <c r="M11816">
        <v>90</v>
      </c>
      <c r="N11816">
        <v>0</v>
      </c>
      <c r="O11816">
        <v>90</v>
      </c>
      <c r="P11816">
        <v>0</v>
      </c>
    </row>
    <row r="11817" spans="1:16" x14ac:dyDescent="0.25">
      <c r="A11817" t="s">
        <v>34487</v>
      </c>
      <c r="B11817" t="s">
        <v>8960</v>
      </c>
      <c r="C11817" t="s">
        <v>8961</v>
      </c>
      <c r="D11817" t="str">
        <f>"4357"</f>
        <v>4357</v>
      </c>
      <c r="E11817" t="s">
        <v>8959</v>
      </c>
      <c r="F11817" t="s">
        <v>4</v>
      </c>
      <c r="G11817" t="s">
        <v>46686</v>
      </c>
      <c r="H11817" t="s">
        <v>47054</v>
      </c>
      <c r="I11817" t="s">
        <v>47120</v>
      </c>
      <c r="J11817" t="s">
        <v>47121</v>
      </c>
      <c r="K11817" t="s">
        <v>47113</v>
      </c>
      <c r="L11817">
        <v>46.16</v>
      </c>
      <c r="M11817">
        <v>113</v>
      </c>
      <c r="N11817">
        <v>0</v>
      </c>
      <c r="O11817">
        <v>113</v>
      </c>
      <c r="P11817">
        <v>0</v>
      </c>
    </row>
    <row r="11818" spans="1:16" x14ac:dyDescent="0.25">
      <c r="A11818" t="s">
        <v>34488</v>
      </c>
      <c r="B11818" t="s">
        <v>34489</v>
      </c>
      <c r="C11818" t="s">
        <v>34490</v>
      </c>
      <c r="D11818" t="str">
        <f>"1081"</f>
        <v>1081</v>
      </c>
      <c r="E11818" t="s">
        <v>14428</v>
      </c>
      <c r="F11818" t="s">
        <v>3750</v>
      </c>
      <c r="G11818" t="s">
        <v>47062</v>
      </c>
      <c r="H11818" t="s">
        <v>47052</v>
      </c>
      <c r="I11818" t="s">
        <v>47120</v>
      </c>
      <c r="J11818" t="s">
        <v>47121</v>
      </c>
      <c r="K11818" t="s">
        <v>47113</v>
      </c>
      <c r="L11818">
        <v>5.0999999999999996</v>
      </c>
      <c r="M11818">
        <v>14</v>
      </c>
      <c r="N11818">
        <v>39</v>
      </c>
      <c r="O11818">
        <v>14</v>
      </c>
      <c r="P11818">
        <v>39</v>
      </c>
    </row>
    <row r="11819" spans="1:16" x14ac:dyDescent="0.25">
      <c r="A11819" t="s">
        <v>34491</v>
      </c>
      <c r="B11819" t="s">
        <v>34489</v>
      </c>
      <c r="C11819" t="s">
        <v>34490</v>
      </c>
      <c r="D11819" t="str">
        <f>"4100"</f>
        <v>4100</v>
      </c>
      <c r="E11819" t="s">
        <v>2383</v>
      </c>
      <c r="F11819" t="s">
        <v>3750</v>
      </c>
      <c r="G11819" t="s">
        <v>47062</v>
      </c>
      <c r="H11819" t="s">
        <v>47052</v>
      </c>
      <c r="I11819" t="s">
        <v>47120</v>
      </c>
      <c r="J11819" t="s">
        <v>47121</v>
      </c>
      <c r="K11819" t="s">
        <v>47113</v>
      </c>
      <c r="L11819">
        <v>5.29</v>
      </c>
      <c r="M11819">
        <v>14</v>
      </c>
      <c r="N11819">
        <v>39</v>
      </c>
      <c r="O11819">
        <v>14</v>
      </c>
      <c r="P11819">
        <v>39</v>
      </c>
    </row>
    <row r="11820" spans="1:16" x14ac:dyDescent="0.25">
      <c r="A11820" t="s">
        <v>34492</v>
      </c>
      <c r="B11820" t="s">
        <v>8962</v>
      </c>
      <c r="C11820" t="s">
        <v>8963</v>
      </c>
      <c r="D11820" t="str">
        <f>"4100"</f>
        <v>4100</v>
      </c>
      <c r="E11820" t="s">
        <v>8964</v>
      </c>
      <c r="F11820" t="s">
        <v>3558</v>
      </c>
      <c r="G11820" t="s">
        <v>16221</v>
      </c>
      <c r="H11820" t="s">
        <v>47054</v>
      </c>
      <c r="I11820" t="s">
        <v>47111</v>
      </c>
      <c r="J11820" t="s">
        <v>47112</v>
      </c>
      <c r="K11820" t="s">
        <v>47113</v>
      </c>
      <c r="L11820">
        <v>34.69</v>
      </c>
      <c r="M11820">
        <v>33</v>
      </c>
      <c r="N11820">
        <v>0</v>
      </c>
      <c r="O11820">
        <v>33</v>
      </c>
      <c r="P11820">
        <v>0</v>
      </c>
    </row>
    <row r="11821" spans="1:16" x14ac:dyDescent="0.25">
      <c r="A11821" t="s">
        <v>34493</v>
      </c>
      <c r="B11821" t="s">
        <v>17910</v>
      </c>
      <c r="C11821" t="s">
        <v>17911</v>
      </c>
      <c r="D11821" t="str">
        <f>"1001"</f>
        <v>1001</v>
      </c>
      <c r="E11821" t="s">
        <v>42</v>
      </c>
      <c r="F11821" t="s">
        <v>3750</v>
      </c>
      <c r="G11821" t="s">
        <v>16230</v>
      </c>
      <c r="H11821" t="s">
        <v>47054</v>
      </c>
      <c r="I11821" t="s">
        <v>47120</v>
      </c>
      <c r="J11821" t="s">
        <v>47121</v>
      </c>
      <c r="K11821" t="s">
        <v>47113</v>
      </c>
      <c r="L11821">
        <v>13.71</v>
      </c>
      <c r="M11821">
        <v>40</v>
      </c>
      <c r="N11821">
        <v>0</v>
      </c>
      <c r="O11821">
        <v>40</v>
      </c>
      <c r="P11821">
        <v>0</v>
      </c>
    </row>
    <row r="11822" spans="1:16" x14ac:dyDescent="0.25">
      <c r="A11822" t="s">
        <v>34494</v>
      </c>
      <c r="B11822" t="s">
        <v>17910</v>
      </c>
      <c r="C11822" t="s">
        <v>17911</v>
      </c>
      <c r="D11822" t="str">
        <f>"2500"</f>
        <v>2500</v>
      </c>
      <c r="E11822" t="s">
        <v>1747</v>
      </c>
      <c r="F11822" t="s">
        <v>3750</v>
      </c>
      <c r="G11822" t="s">
        <v>16230</v>
      </c>
      <c r="H11822" t="s">
        <v>47054</v>
      </c>
      <c r="I11822" t="s">
        <v>47120</v>
      </c>
      <c r="J11822" t="s">
        <v>47121</v>
      </c>
      <c r="K11822" t="s">
        <v>47113</v>
      </c>
      <c r="L11822">
        <v>13.06</v>
      </c>
      <c r="M11822">
        <v>39</v>
      </c>
      <c r="N11822">
        <v>0</v>
      </c>
      <c r="O11822">
        <v>39</v>
      </c>
      <c r="P11822">
        <v>0</v>
      </c>
    </row>
    <row r="11823" spans="1:16" x14ac:dyDescent="0.25">
      <c r="A11823" t="s">
        <v>34495</v>
      </c>
      <c r="B11823" t="s">
        <v>8965</v>
      </c>
      <c r="C11823" t="s">
        <v>8966</v>
      </c>
      <c r="D11823" t="str">
        <f>"1106"</f>
        <v>1106</v>
      </c>
      <c r="E11823" t="s">
        <v>460</v>
      </c>
      <c r="F11823" t="s">
        <v>3558</v>
      </c>
      <c r="G11823" t="s">
        <v>47534</v>
      </c>
      <c r="H11823" t="s">
        <v>47054</v>
      </c>
      <c r="I11823" t="s">
        <v>47111</v>
      </c>
      <c r="J11823" t="s">
        <v>47112</v>
      </c>
      <c r="K11823" t="s">
        <v>47113</v>
      </c>
      <c r="L11823">
        <v>28.51</v>
      </c>
      <c r="M11823">
        <v>22</v>
      </c>
      <c r="N11823">
        <v>0</v>
      </c>
      <c r="O11823">
        <v>22</v>
      </c>
      <c r="P11823">
        <v>0</v>
      </c>
    </row>
    <row r="11824" spans="1:16" x14ac:dyDescent="0.25">
      <c r="A11824" t="s">
        <v>34496</v>
      </c>
      <c r="B11824" t="s">
        <v>8965</v>
      </c>
      <c r="C11824" t="s">
        <v>8966</v>
      </c>
      <c r="D11824" t="str">
        <f>"1800"</f>
        <v>1800</v>
      </c>
      <c r="E11824" t="s">
        <v>1999</v>
      </c>
      <c r="F11824" t="s">
        <v>3558</v>
      </c>
      <c r="G11824" t="s">
        <v>47534</v>
      </c>
      <c r="H11824" t="s">
        <v>47054</v>
      </c>
      <c r="I11824" t="s">
        <v>47111</v>
      </c>
      <c r="J11824" t="s">
        <v>47112</v>
      </c>
      <c r="K11824" t="s">
        <v>47113</v>
      </c>
      <c r="L11824">
        <v>28.51</v>
      </c>
      <c r="M11824">
        <v>22</v>
      </c>
      <c r="N11824">
        <v>0</v>
      </c>
      <c r="O11824">
        <v>22</v>
      </c>
      <c r="P11824">
        <v>0</v>
      </c>
    </row>
    <row r="11825" spans="1:16" x14ac:dyDescent="0.25">
      <c r="A11825" t="s">
        <v>34497</v>
      </c>
      <c r="B11825" t="s">
        <v>8965</v>
      </c>
      <c r="C11825" t="s">
        <v>8966</v>
      </c>
      <c r="D11825" t="s">
        <v>8967</v>
      </c>
      <c r="E11825" t="s">
        <v>8968</v>
      </c>
      <c r="F11825" t="s">
        <v>3558</v>
      </c>
      <c r="G11825" t="s">
        <v>47534</v>
      </c>
      <c r="H11825" t="s">
        <v>47054</v>
      </c>
      <c r="I11825" t="s">
        <v>47111</v>
      </c>
      <c r="J11825" t="s">
        <v>47112</v>
      </c>
      <c r="K11825" t="s">
        <v>47113</v>
      </c>
      <c r="L11825">
        <v>28.51</v>
      </c>
      <c r="M11825">
        <v>22</v>
      </c>
      <c r="N11825">
        <v>0</v>
      </c>
      <c r="O11825">
        <v>22</v>
      </c>
      <c r="P11825">
        <v>0</v>
      </c>
    </row>
    <row r="11826" spans="1:16" x14ac:dyDescent="0.25">
      <c r="A11826" t="s">
        <v>34498</v>
      </c>
      <c r="B11826" t="s">
        <v>8969</v>
      </c>
      <c r="C11826" t="s">
        <v>8970</v>
      </c>
      <c r="D11826" t="str">
        <f>"1001"</f>
        <v>1001</v>
      </c>
      <c r="E11826" t="s">
        <v>7601</v>
      </c>
      <c r="F11826" t="s">
        <v>3558</v>
      </c>
      <c r="G11826" t="s">
        <v>47534</v>
      </c>
      <c r="H11826" t="s">
        <v>47054</v>
      </c>
      <c r="I11826" t="s">
        <v>47111</v>
      </c>
      <c r="J11826" t="s">
        <v>47112</v>
      </c>
      <c r="K11826" t="s">
        <v>47113</v>
      </c>
      <c r="L11826">
        <v>8.6999999999999993</v>
      </c>
      <c r="M11826">
        <v>22</v>
      </c>
      <c r="N11826">
        <v>0</v>
      </c>
      <c r="O11826">
        <v>22</v>
      </c>
      <c r="P11826">
        <v>0</v>
      </c>
    </row>
    <row r="11827" spans="1:16" x14ac:dyDescent="0.25">
      <c r="A11827" t="s">
        <v>34499</v>
      </c>
      <c r="B11827" t="s">
        <v>8969</v>
      </c>
      <c r="C11827" t="s">
        <v>8970</v>
      </c>
      <c r="D11827" t="str">
        <f>"1830"</f>
        <v>1830</v>
      </c>
      <c r="E11827" t="s">
        <v>8971</v>
      </c>
      <c r="F11827" t="s">
        <v>3558</v>
      </c>
      <c r="G11827" t="s">
        <v>47534</v>
      </c>
      <c r="H11827" t="s">
        <v>47054</v>
      </c>
      <c r="I11827" t="s">
        <v>47111</v>
      </c>
      <c r="J11827" t="s">
        <v>47112</v>
      </c>
      <c r="K11827" t="s">
        <v>47113</v>
      </c>
      <c r="L11827">
        <v>8.6999999999999993</v>
      </c>
      <c r="M11827">
        <v>22</v>
      </c>
      <c r="N11827">
        <v>0</v>
      </c>
      <c r="O11827">
        <v>22</v>
      </c>
      <c r="P11827">
        <v>0</v>
      </c>
    </row>
    <row r="11828" spans="1:16" x14ac:dyDescent="0.25">
      <c r="A11828" t="s">
        <v>34500</v>
      </c>
      <c r="B11828" t="s">
        <v>8969</v>
      </c>
      <c r="C11828" t="s">
        <v>8970</v>
      </c>
      <c r="D11828" t="str">
        <f>"6497"</f>
        <v>6497</v>
      </c>
      <c r="E11828" t="s">
        <v>6279</v>
      </c>
      <c r="F11828" t="s">
        <v>3558</v>
      </c>
      <c r="G11828" t="s">
        <v>47534</v>
      </c>
      <c r="H11828" t="s">
        <v>47054</v>
      </c>
      <c r="I11828" t="s">
        <v>47111</v>
      </c>
      <c r="J11828" t="s">
        <v>47112</v>
      </c>
      <c r="K11828" t="s">
        <v>47113</v>
      </c>
      <c r="L11828">
        <v>8.6999999999999993</v>
      </c>
      <c r="M11828">
        <v>22</v>
      </c>
      <c r="N11828">
        <v>0</v>
      </c>
      <c r="O11828">
        <v>22</v>
      </c>
      <c r="P11828">
        <v>0</v>
      </c>
    </row>
    <row r="11829" spans="1:16" x14ac:dyDescent="0.25">
      <c r="A11829" t="s">
        <v>34501</v>
      </c>
      <c r="B11829" t="s">
        <v>34502</v>
      </c>
      <c r="C11829" t="s">
        <v>24630</v>
      </c>
      <c r="D11829" t="str">
        <f>"4837"</f>
        <v>4837</v>
      </c>
      <c r="E11829" t="s">
        <v>34503</v>
      </c>
      <c r="F11829" t="s">
        <v>24622</v>
      </c>
      <c r="G11829" t="s">
        <v>16221</v>
      </c>
      <c r="H11829" t="s">
        <v>47054</v>
      </c>
      <c r="I11829" t="s">
        <v>47118</v>
      </c>
      <c r="J11829" t="s">
        <v>47119</v>
      </c>
      <c r="K11829" t="s">
        <v>47113</v>
      </c>
      <c r="L11829">
        <v>9.41</v>
      </c>
      <c r="M11829">
        <v>37</v>
      </c>
      <c r="N11829">
        <v>99</v>
      </c>
      <c r="O11829">
        <v>37</v>
      </c>
      <c r="P11829">
        <v>99</v>
      </c>
    </row>
    <row r="11830" spans="1:16" x14ac:dyDescent="0.25">
      <c r="A11830" t="s">
        <v>34504</v>
      </c>
      <c r="B11830" t="s">
        <v>14267</v>
      </c>
      <c r="C11830" t="s">
        <v>14268</v>
      </c>
      <c r="D11830" t="str">
        <f>"1001"</f>
        <v>1001</v>
      </c>
      <c r="E11830" t="s">
        <v>42</v>
      </c>
      <c r="F11830" t="s">
        <v>3750</v>
      </c>
      <c r="G11830" t="s">
        <v>16224</v>
      </c>
      <c r="H11830" t="s">
        <v>47054</v>
      </c>
      <c r="I11830" t="s">
        <v>47120</v>
      </c>
      <c r="J11830" t="s">
        <v>47121</v>
      </c>
      <c r="K11830" t="s">
        <v>47113</v>
      </c>
      <c r="L11830">
        <v>32.07</v>
      </c>
      <c r="M11830">
        <v>136</v>
      </c>
      <c r="N11830">
        <v>0</v>
      </c>
      <c r="O11830">
        <v>136</v>
      </c>
      <c r="P11830">
        <v>0</v>
      </c>
    </row>
    <row r="11831" spans="1:16" x14ac:dyDescent="0.25">
      <c r="A11831" t="s">
        <v>34505</v>
      </c>
      <c r="B11831" t="s">
        <v>34506</v>
      </c>
      <c r="C11831" t="s">
        <v>34507</v>
      </c>
      <c r="D11831" t="s">
        <v>20729</v>
      </c>
      <c r="E11831" t="s">
        <v>20730</v>
      </c>
      <c r="F11831" t="s">
        <v>3750</v>
      </c>
      <c r="G11831" t="s">
        <v>16231</v>
      </c>
      <c r="H11831" t="s">
        <v>47054</v>
      </c>
      <c r="I11831" t="s">
        <v>47116</v>
      </c>
      <c r="J11831" t="s">
        <v>47117</v>
      </c>
      <c r="K11831" t="s">
        <v>47113</v>
      </c>
      <c r="L11831">
        <v>29.16</v>
      </c>
      <c r="M11831">
        <v>114</v>
      </c>
      <c r="N11831">
        <v>309</v>
      </c>
      <c r="O11831">
        <v>114</v>
      </c>
      <c r="P11831">
        <v>309</v>
      </c>
    </row>
    <row r="11832" spans="1:16" x14ac:dyDescent="0.25">
      <c r="A11832" t="s">
        <v>34508</v>
      </c>
      <c r="B11832" t="s">
        <v>20727</v>
      </c>
      <c r="C11832" t="s">
        <v>20728</v>
      </c>
      <c r="D11832" t="s">
        <v>20729</v>
      </c>
      <c r="E11832" t="s">
        <v>20730</v>
      </c>
      <c r="F11832" t="s">
        <v>3750</v>
      </c>
      <c r="G11832" t="s">
        <v>16231</v>
      </c>
      <c r="H11832" t="s">
        <v>47054</v>
      </c>
      <c r="I11832" t="s">
        <v>47116</v>
      </c>
      <c r="J11832" t="s">
        <v>47117</v>
      </c>
      <c r="K11832" t="s">
        <v>47113</v>
      </c>
      <c r="L11832">
        <v>26.7</v>
      </c>
      <c r="M11832">
        <v>88</v>
      </c>
      <c r="N11832">
        <v>0</v>
      </c>
      <c r="O11832">
        <v>88</v>
      </c>
      <c r="P11832">
        <v>0</v>
      </c>
    </row>
    <row r="11833" spans="1:16" x14ac:dyDescent="0.25">
      <c r="A11833" t="s">
        <v>34509</v>
      </c>
      <c r="B11833" t="s">
        <v>20731</v>
      </c>
      <c r="C11833" t="s">
        <v>20732</v>
      </c>
      <c r="D11833" t="s">
        <v>20733</v>
      </c>
      <c r="E11833" t="s">
        <v>20734</v>
      </c>
      <c r="F11833" t="s">
        <v>3750</v>
      </c>
      <c r="G11833" t="s">
        <v>16231</v>
      </c>
      <c r="H11833" t="s">
        <v>47054</v>
      </c>
      <c r="I11833" t="s">
        <v>47116</v>
      </c>
      <c r="J11833" t="s">
        <v>47117</v>
      </c>
      <c r="K11833" t="s">
        <v>47113</v>
      </c>
      <c r="L11833">
        <v>27.44</v>
      </c>
      <c r="M11833">
        <v>77</v>
      </c>
      <c r="N11833">
        <v>0</v>
      </c>
      <c r="O11833">
        <v>77</v>
      </c>
      <c r="P11833">
        <v>0</v>
      </c>
    </row>
    <row r="11834" spans="1:16" x14ac:dyDescent="0.25">
      <c r="A11834" t="s">
        <v>34510</v>
      </c>
      <c r="B11834" t="s">
        <v>20735</v>
      </c>
      <c r="C11834" t="s">
        <v>20736</v>
      </c>
      <c r="D11834" t="s">
        <v>20737</v>
      </c>
      <c r="E11834" t="s">
        <v>20738</v>
      </c>
      <c r="F11834" t="s">
        <v>3750</v>
      </c>
      <c r="G11834" t="s">
        <v>16231</v>
      </c>
      <c r="H11834" t="s">
        <v>47054</v>
      </c>
      <c r="I11834" t="s">
        <v>47116</v>
      </c>
      <c r="J11834" t="s">
        <v>47117</v>
      </c>
      <c r="K11834" t="s">
        <v>47113</v>
      </c>
      <c r="L11834">
        <v>31.16</v>
      </c>
      <c r="M11834">
        <v>104</v>
      </c>
      <c r="N11834">
        <v>0</v>
      </c>
      <c r="O11834">
        <v>104</v>
      </c>
      <c r="P11834">
        <v>0</v>
      </c>
    </row>
    <row r="11835" spans="1:16" x14ac:dyDescent="0.25">
      <c r="A11835" t="s">
        <v>34511</v>
      </c>
      <c r="B11835" t="s">
        <v>20739</v>
      </c>
      <c r="C11835" t="s">
        <v>20740</v>
      </c>
      <c r="D11835" t="s">
        <v>20729</v>
      </c>
      <c r="E11835" t="s">
        <v>20730</v>
      </c>
      <c r="F11835" t="s">
        <v>3750</v>
      </c>
      <c r="G11835" t="s">
        <v>16231</v>
      </c>
      <c r="H11835" t="s">
        <v>47054</v>
      </c>
      <c r="I11835" t="s">
        <v>47116</v>
      </c>
      <c r="J11835" t="s">
        <v>47117</v>
      </c>
      <c r="K11835" t="s">
        <v>47113</v>
      </c>
      <c r="L11835">
        <v>26.7</v>
      </c>
      <c r="M11835">
        <v>88</v>
      </c>
      <c r="N11835">
        <v>0</v>
      </c>
      <c r="O11835">
        <v>88</v>
      </c>
      <c r="P11835">
        <v>0</v>
      </c>
    </row>
    <row r="11836" spans="1:16" x14ac:dyDescent="0.25">
      <c r="A11836" t="s">
        <v>34512</v>
      </c>
      <c r="B11836" t="s">
        <v>20741</v>
      </c>
      <c r="C11836" t="s">
        <v>20742</v>
      </c>
      <c r="D11836" t="s">
        <v>20737</v>
      </c>
      <c r="E11836" t="s">
        <v>20738</v>
      </c>
      <c r="F11836" t="s">
        <v>3750</v>
      </c>
      <c r="G11836" t="s">
        <v>16231</v>
      </c>
      <c r="H11836" t="s">
        <v>47054</v>
      </c>
      <c r="I11836" t="s">
        <v>47116</v>
      </c>
      <c r="J11836" t="s">
        <v>47117</v>
      </c>
      <c r="K11836" t="s">
        <v>47113</v>
      </c>
      <c r="L11836">
        <v>29.44</v>
      </c>
      <c r="M11836">
        <v>93</v>
      </c>
      <c r="N11836">
        <v>0</v>
      </c>
      <c r="O11836">
        <v>93</v>
      </c>
      <c r="P11836">
        <v>0</v>
      </c>
    </row>
    <row r="11837" spans="1:16" x14ac:dyDescent="0.25">
      <c r="A11837" t="s">
        <v>34513</v>
      </c>
      <c r="B11837" t="s">
        <v>20743</v>
      </c>
      <c r="C11837" t="s">
        <v>20744</v>
      </c>
      <c r="D11837" t="s">
        <v>20729</v>
      </c>
      <c r="E11837" t="s">
        <v>20730</v>
      </c>
      <c r="F11837" t="s">
        <v>3750</v>
      </c>
      <c r="G11837" t="s">
        <v>16231</v>
      </c>
      <c r="H11837" t="s">
        <v>47054</v>
      </c>
      <c r="I11837" t="s">
        <v>47116</v>
      </c>
      <c r="J11837" t="s">
        <v>47117</v>
      </c>
      <c r="K11837" t="s">
        <v>47113</v>
      </c>
      <c r="L11837">
        <v>29.58</v>
      </c>
      <c r="M11837">
        <v>108</v>
      </c>
      <c r="N11837">
        <v>0</v>
      </c>
      <c r="O11837">
        <v>108</v>
      </c>
      <c r="P11837">
        <v>0</v>
      </c>
    </row>
    <row r="11838" spans="1:16" x14ac:dyDescent="0.25">
      <c r="A11838" t="s">
        <v>34514</v>
      </c>
      <c r="B11838" t="s">
        <v>20745</v>
      </c>
      <c r="C11838" t="s">
        <v>20746</v>
      </c>
      <c r="D11838" t="s">
        <v>20733</v>
      </c>
      <c r="E11838" t="s">
        <v>20734</v>
      </c>
      <c r="F11838" t="s">
        <v>3750</v>
      </c>
      <c r="G11838" t="s">
        <v>16231</v>
      </c>
      <c r="H11838" t="s">
        <v>47054</v>
      </c>
      <c r="I11838" t="s">
        <v>47116</v>
      </c>
      <c r="J11838" t="s">
        <v>47117</v>
      </c>
      <c r="K11838" t="s">
        <v>47113</v>
      </c>
      <c r="L11838">
        <v>30.02</v>
      </c>
      <c r="M11838">
        <v>104</v>
      </c>
      <c r="N11838">
        <v>0</v>
      </c>
      <c r="O11838">
        <v>104</v>
      </c>
      <c r="P11838">
        <v>0</v>
      </c>
    </row>
    <row r="11839" spans="1:16" x14ac:dyDescent="0.25">
      <c r="A11839" t="s">
        <v>34515</v>
      </c>
      <c r="B11839" t="s">
        <v>8972</v>
      </c>
      <c r="C11839" t="s">
        <v>8973</v>
      </c>
      <c r="D11839" t="str">
        <f>"1001"</f>
        <v>1001</v>
      </c>
      <c r="E11839" t="s">
        <v>42</v>
      </c>
      <c r="F11839" t="s">
        <v>1401</v>
      </c>
      <c r="G11839" t="s">
        <v>16230</v>
      </c>
      <c r="H11839" t="s">
        <v>47054</v>
      </c>
      <c r="I11839" t="s">
        <v>47120</v>
      </c>
      <c r="J11839" t="s">
        <v>47121</v>
      </c>
      <c r="K11839" t="s">
        <v>47113</v>
      </c>
      <c r="L11839">
        <v>22.85</v>
      </c>
      <c r="M11839">
        <v>52</v>
      </c>
      <c r="N11839">
        <v>0</v>
      </c>
      <c r="O11839">
        <v>52</v>
      </c>
      <c r="P11839">
        <v>0</v>
      </c>
    </row>
    <row r="11840" spans="1:16" x14ac:dyDescent="0.25">
      <c r="A11840" t="s">
        <v>34516</v>
      </c>
      <c r="B11840" t="s">
        <v>8974</v>
      </c>
      <c r="C11840" t="s">
        <v>8975</v>
      </c>
      <c r="D11840" t="str">
        <f>"1700"</f>
        <v>1700</v>
      </c>
      <c r="E11840" t="s">
        <v>60</v>
      </c>
      <c r="F11840" t="s">
        <v>687</v>
      </c>
      <c r="G11840" t="s">
        <v>16230</v>
      </c>
      <c r="H11840" t="s">
        <v>47054</v>
      </c>
      <c r="I11840" t="s">
        <v>47120</v>
      </c>
      <c r="J11840" t="s">
        <v>47121</v>
      </c>
      <c r="K11840" t="s">
        <v>47113</v>
      </c>
      <c r="L11840">
        <v>22.85</v>
      </c>
      <c r="M11840">
        <v>52</v>
      </c>
      <c r="N11840">
        <v>0</v>
      </c>
      <c r="O11840">
        <v>52</v>
      </c>
      <c r="P11840">
        <v>0</v>
      </c>
    </row>
    <row r="11841" spans="1:16" x14ac:dyDescent="0.25">
      <c r="A11841" t="s">
        <v>34517</v>
      </c>
      <c r="B11841" t="s">
        <v>8976</v>
      </c>
      <c r="C11841" t="s">
        <v>8977</v>
      </c>
      <c r="D11841" t="str">
        <f>"1001"</f>
        <v>1001</v>
      </c>
      <c r="E11841" t="s">
        <v>42</v>
      </c>
      <c r="F11841" t="s">
        <v>7</v>
      </c>
      <c r="G11841" t="s">
        <v>16230</v>
      </c>
      <c r="H11841" t="s">
        <v>47054</v>
      </c>
      <c r="I11841" t="s">
        <v>47120</v>
      </c>
      <c r="J11841" t="s">
        <v>47121</v>
      </c>
      <c r="K11841" t="s">
        <v>47113</v>
      </c>
      <c r="L11841">
        <v>31.34</v>
      </c>
      <c r="M11841">
        <v>76</v>
      </c>
      <c r="N11841">
        <v>0</v>
      </c>
      <c r="O11841">
        <v>76</v>
      </c>
      <c r="P11841">
        <v>0</v>
      </c>
    </row>
    <row r="11842" spans="1:16" x14ac:dyDescent="0.25">
      <c r="A11842" t="s">
        <v>34518</v>
      </c>
      <c r="B11842" t="s">
        <v>8976</v>
      </c>
      <c r="C11842" t="s">
        <v>8977</v>
      </c>
      <c r="D11842" t="str">
        <f>"1035"</f>
        <v>1035</v>
      </c>
      <c r="E11842" t="s">
        <v>758</v>
      </c>
      <c r="F11842" t="s">
        <v>7</v>
      </c>
      <c r="G11842" t="s">
        <v>16230</v>
      </c>
      <c r="H11842" t="s">
        <v>47054</v>
      </c>
      <c r="I11842" t="s">
        <v>47120</v>
      </c>
      <c r="J11842" t="s">
        <v>47121</v>
      </c>
      <c r="K11842" t="s">
        <v>47113</v>
      </c>
      <c r="L11842">
        <v>31.34</v>
      </c>
      <c r="M11842">
        <v>76</v>
      </c>
      <c r="N11842">
        <v>0</v>
      </c>
      <c r="O11842">
        <v>76</v>
      </c>
      <c r="P11842">
        <v>0</v>
      </c>
    </row>
    <row r="11843" spans="1:16" x14ac:dyDescent="0.25">
      <c r="A11843" t="s">
        <v>34519</v>
      </c>
      <c r="B11843" t="s">
        <v>8976</v>
      </c>
      <c r="C11843" t="s">
        <v>8977</v>
      </c>
      <c r="D11843" t="str">
        <f>"1737"</f>
        <v>1737</v>
      </c>
      <c r="E11843" t="s">
        <v>8642</v>
      </c>
      <c r="F11843" t="s">
        <v>7</v>
      </c>
      <c r="G11843" t="s">
        <v>16230</v>
      </c>
      <c r="H11843" t="s">
        <v>47054</v>
      </c>
      <c r="I11843" t="s">
        <v>47120</v>
      </c>
      <c r="J11843" t="s">
        <v>47121</v>
      </c>
      <c r="K11843" t="s">
        <v>47113</v>
      </c>
      <c r="L11843">
        <v>31.34</v>
      </c>
      <c r="M11843">
        <v>80</v>
      </c>
      <c r="N11843">
        <v>0</v>
      </c>
      <c r="O11843">
        <v>80</v>
      </c>
      <c r="P11843">
        <v>0</v>
      </c>
    </row>
    <row r="11844" spans="1:16" x14ac:dyDescent="0.25">
      <c r="A11844" t="s">
        <v>34520</v>
      </c>
      <c r="B11844" t="s">
        <v>8976</v>
      </c>
      <c r="C11844" t="s">
        <v>8977</v>
      </c>
      <c r="D11844" t="str">
        <f>"1746"</f>
        <v>1746</v>
      </c>
      <c r="E11844" t="s">
        <v>807</v>
      </c>
      <c r="F11844" t="s">
        <v>7</v>
      </c>
      <c r="G11844" t="s">
        <v>16230</v>
      </c>
      <c r="H11844" t="s">
        <v>47054</v>
      </c>
      <c r="I11844" t="s">
        <v>47120</v>
      </c>
      <c r="J11844" t="s">
        <v>47121</v>
      </c>
      <c r="K11844" t="s">
        <v>47113</v>
      </c>
      <c r="L11844">
        <v>31.34</v>
      </c>
      <c r="M11844">
        <v>80</v>
      </c>
      <c r="N11844">
        <v>0</v>
      </c>
      <c r="O11844">
        <v>80</v>
      </c>
      <c r="P11844">
        <v>0</v>
      </c>
    </row>
    <row r="11845" spans="1:16" x14ac:dyDescent="0.25">
      <c r="A11845" t="s">
        <v>34521</v>
      </c>
      <c r="B11845" t="s">
        <v>8976</v>
      </c>
      <c r="C11845" t="s">
        <v>8977</v>
      </c>
      <c r="D11845" t="str">
        <f>"4129"</f>
        <v>4129</v>
      </c>
      <c r="E11845" t="s">
        <v>7486</v>
      </c>
      <c r="F11845" t="s">
        <v>7</v>
      </c>
      <c r="G11845" t="s">
        <v>16230</v>
      </c>
      <c r="H11845" t="s">
        <v>47054</v>
      </c>
      <c r="I11845" t="s">
        <v>47120</v>
      </c>
      <c r="J11845" t="s">
        <v>47121</v>
      </c>
      <c r="K11845" t="s">
        <v>47113</v>
      </c>
      <c r="L11845">
        <v>31.34</v>
      </c>
      <c r="M11845">
        <v>80</v>
      </c>
      <c r="N11845">
        <v>0</v>
      </c>
      <c r="O11845">
        <v>80</v>
      </c>
      <c r="P11845">
        <v>0</v>
      </c>
    </row>
    <row r="11846" spans="1:16" x14ac:dyDescent="0.25">
      <c r="A11846" t="s">
        <v>34522</v>
      </c>
      <c r="B11846" t="s">
        <v>8976</v>
      </c>
      <c r="C11846" t="s">
        <v>8977</v>
      </c>
      <c r="D11846" t="str">
        <f>"4130"</f>
        <v>4130</v>
      </c>
      <c r="E11846" t="s">
        <v>2374</v>
      </c>
      <c r="F11846" t="s">
        <v>7</v>
      </c>
      <c r="G11846" t="s">
        <v>16230</v>
      </c>
      <c r="H11846" t="s">
        <v>47054</v>
      </c>
      <c r="I11846" t="s">
        <v>47120</v>
      </c>
      <c r="J11846" t="s">
        <v>47121</v>
      </c>
      <c r="K11846" t="s">
        <v>47113</v>
      </c>
      <c r="L11846">
        <v>31.34</v>
      </c>
      <c r="M11846">
        <v>80</v>
      </c>
      <c r="N11846">
        <v>0</v>
      </c>
      <c r="O11846">
        <v>80</v>
      </c>
      <c r="P11846">
        <v>0</v>
      </c>
    </row>
    <row r="11847" spans="1:16" x14ac:dyDescent="0.25">
      <c r="A11847" t="s">
        <v>34523</v>
      </c>
      <c r="B11847" t="s">
        <v>8976</v>
      </c>
      <c r="C11847" t="s">
        <v>8977</v>
      </c>
      <c r="D11847" t="str">
        <f>"6031"</f>
        <v>6031</v>
      </c>
      <c r="E11847" t="s">
        <v>3264</v>
      </c>
      <c r="F11847" t="s">
        <v>7</v>
      </c>
      <c r="G11847" t="s">
        <v>16230</v>
      </c>
      <c r="H11847" t="s">
        <v>47054</v>
      </c>
      <c r="I11847" t="s">
        <v>47120</v>
      </c>
      <c r="J11847" t="s">
        <v>47121</v>
      </c>
      <c r="K11847" t="s">
        <v>47113</v>
      </c>
      <c r="L11847">
        <v>31.34</v>
      </c>
      <c r="M11847">
        <v>76</v>
      </c>
      <c r="N11847">
        <v>0</v>
      </c>
      <c r="O11847">
        <v>76</v>
      </c>
      <c r="P11847">
        <v>0</v>
      </c>
    </row>
    <row r="11848" spans="1:16" x14ac:dyDescent="0.25">
      <c r="A11848" t="s">
        <v>34524</v>
      </c>
      <c r="B11848" t="s">
        <v>8976</v>
      </c>
      <c r="C11848" t="s">
        <v>8977</v>
      </c>
      <c r="D11848" t="str">
        <f>"6036"</f>
        <v>6036</v>
      </c>
      <c r="E11848" t="s">
        <v>7703</v>
      </c>
      <c r="F11848" t="s">
        <v>7</v>
      </c>
      <c r="G11848" t="s">
        <v>16230</v>
      </c>
      <c r="H11848" t="s">
        <v>47054</v>
      </c>
      <c r="I11848" t="s">
        <v>47120</v>
      </c>
      <c r="J11848" t="s">
        <v>47121</v>
      </c>
      <c r="K11848" t="s">
        <v>47113</v>
      </c>
      <c r="L11848">
        <v>31.34</v>
      </c>
      <c r="M11848">
        <v>76</v>
      </c>
      <c r="N11848">
        <v>0</v>
      </c>
      <c r="O11848">
        <v>76</v>
      </c>
      <c r="P11848">
        <v>0</v>
      </c>
    </row>
    <row r="11849" spans="1:16" x14ac:dyDescent="0.25">
      <c r="A11849" t="s">
        <v>34525</v>
      </c>
      <c r="B11849" t="s">
        <v>8978</v>
      </c>
      <c r="C11849" t="s">
        <v>8979</v>
      </c>
      <c r="D11849" t="str">
        <f>"1046"</f>
        <v>1046</v>
      </c>
      <c r="E11849" t="s">
        <v>8980</v>
      </c>
      <c r="F11849" t="s">
        <v>296</v>
      </c>
      <c r="G11849" t="s">
        <v>16230</v>
      </c>
      <c r="H11849" t="s">
        <v>47054</v>
      </c>
      <c r="I11849" t="s">
        <v>47114</v>
      </c>
      <c r="J11849" t="s">
        <v>47115</v>
      </c>
      <c r="K11849" t="s">
        <v>47113</v>
      </c>
      <c r="L11849">
        <v>28.84</v>
      </c>
      <c r="M11849">
        <v>64</v>
      </c>
      <c r="N11849">
        <v>0</v>
      </c>
      <c r="O11849">
        <v>64</v>
      </c>
      <c r="P11849">
        <v>0</v>
      </c>
    </row>
    <row r="11850" spans="1:16" x14ac:dyDescent="0.25">
      <c r="A11850" t="s">
        <v>34526</v>
      </c>
      <c r="B11850" t="s">
        <v>8978</v>
      </c>
      <c r="C11850" t="s">
        <v>8979</v>
      </c>
      <c r="D11850" t="str">
        <f>"1757"</f>
        <v>1757</v>
      </c>
      <c r="E11850" t="s">
        <v>8981</v>
      </c>
      <c r="F11850" t="s">
        <v>296</v>
      </c>
      <c r="G11850" t="s">
        <v>16230</v>
      </c>
      <c r="H11850" t="s">
        <v>47054</v>
      </c>
      <c r="I11850" t="s">
        <v>47114</v>
      </c>
      <c r="J11850" t="s">
        <v>47115</v>
      </c>
      <c r="K11850" t="s">
        <v>47113</v>
      </c>
      <c r="L11850">
        <v>28.84</v>
      </c>
      <c r="M11850">
        <v>64</v>
      </c>
      <c r="N11850">
        <v>0</v>
      </c>
      <c r="O11850">
        <v>64</v>
      </c>
      <c r="P11850">
        <v>0</v>
      </c>
    </row>
    <row r="11851" spans="1:16" x14ac:dyDescent="0.25">
      <c r="A11851" t="s">
        <v>34527</v>
      </c>
      <c r="B11851" t="s">
        <v>8978</v>
      </c>
      <c r="C11851" t="s">
        <v>8979</v>
      </c>
      <c r="D11851" t="str">
        <f>"7414"</f>
        <v>7414</v>
      </c>
      <c r="E11851" t="s">
        <v>8982</v>
      </c>
      <c r="F11851" t="s">
        <v>296</v>
      </c>
      <c r="G11851" t="s">
        <v>16230</v>
      </c>
      <c r="H11851" t="s">
        <v>47054</v>
      </c>
      <c r="I11851" t="s">
        <v>47114</v>
      </c>
      <c r="J11851" t="s">
        <v>47115</v>
      </c>
      <c r="K11851" t="s">
        <v>47113</v>
      </c>
      <c r="L11851">
        <v>28.84</v>
      </c>
      <c r="M11851">
        <v>64</v>
      </c>
      <c r="N11851">
        <v>0</v>
      </c>
      <c r="O11851">
        <v>64</v>
      </c>
      <c r="P11851">
        <v>0</v>
      </c>
    </row>
    <row r="11852" spans="1:16" x14ac:dyDescent="0.25">
      <c r="A11852" t="s">
        <v>34528</v>
      </c>
      <c r="B11852" t="s">
        <v>8983</v>
      </c>
      <c r="C11852" t="s">
        <v>1835</v>
      </c>
      <c r="D11852" t="str">
        <f>"1321"</f>
        <v>1321</v>
      </c>
      <c r="E11852" t="s">
        <v>8984</v>
      </c>
      <c r="F11852" t="s">
        <v>296</v>
      </c>
      <c r="G11852" t="s">
        <v>16230</v>
      </c>
      <c r="H11852" t="s">
        <v>47054</v>
      </c>
      <c r="I11852" t="s">
        <v>47120</v>
      </c>
      <c r="J11852" t="s">
        <v>47121</v>
      </c>
      <c r="K11852" t="s">
        <v>47113</v>
      </c>
      <c r="L11852">
        <v>26.61</v>
      </c>
      <c r="M11852">
        <v>69</v>
      </c>
      <c r="N11852">
        <v>0</v>
      </c>
      <c r="O11852">
        <v>69</v>
      </c>
      <c r="P11852">
        <v>0</v>
      </c>
    </row>
    <row r="11853" spans="1:16" x14ac:dyDescent="0.25">
      <c r="A11853" t="s">
        <v>34529</v>
      </c>
      <c r="B11853" t="s">
        <v>8983</v>
      </c>
      <c r="C11853" t="s">
        <v>1835</v>
      </c>
      <c r="D11853" t="str">
        <f>"4227"</f>
        <v>4227</v>
      </c>
      <c r="E11853" t="s">
        <v>8985</v>
      </c>
      <c r="F11853" t="s">
        <v>296</v>
      </c>
      <c r="G11853" t="s">
        <v>16230</v>
      </c>
      <c r="H11853" t="s">
        <v>47054</v>
      </c>
      <c r="I11853" t="s">
        <v>47120</v>
      </c>
      <c r="J11853" t="s">
        <v>47121</v>
      </c>
      <c r="K11853" t="s">
        <v>47113</v>
      </c>
      <c r="L11853">
        <v>26.59</v>
      </c>
      <c r="M11853">
        <v>69</v>
      </c>
      <c r="N11853">
        <v>0</v>
      </c>
      <c r="O11853">
        <v>69</v>
      </c>
      <c r="P11853">
        <v>0</v>
      </c>
    </row>
    <row r="11854" spans="1:16" x14ac:dyDescent="0.25">
      <c r="A11854" t="s">
        <v>34530</v>
      </c>
      <c r="B11854" t="s">
        <v>8986</v>
      </c>
      <c r="C11854" t="s">
        <v>8987</v>
      </c>
      <c r="D11854" t="str">
        <f>"1800"</f>
        <v>1800</v>
      </c>
      <c r="E11854" t="s">
        <v>1999</v>
      </c>
      <c r="F11854" t="s">
        <v>3558</v>
      </c>
      <c r="G11854" t="s">
        <v>16221</v>
      </c>
      <c r="H11854" t="s">
        <v>47054</v>
      </c>
      <c r="I11854" t="s">
        <v>47111</v>
      </c>
      <c r="J11854" t="s">
        <v>47112</v>
      </c>
      <c r="K11854" t="s">
        <v>47113</v>
      </c>
      <c r="L11854">
        <v>8.06</v>
      </c>
      <c r="M11854">
        <v>29</v>
      </c>
      <c r="N11854">
        <v>0</v>
      </c>
      <c r="O11854">
        <v>29</v>
      </c>
      <c r="P11854">
        <v>0</v>
      </c>
    </row>
    <row r="11855" spans="1:16" x14ac:dyDescent="0.25">
      <c r="A11855" t="s">
        <v>34531</v>
      </c>
      <c r="B11855" t="s">
        <v>8986</v>
      </c>
      <c r="C11855" t="s">
        <v>8987</v>
      </c>
      <c r="D11855" t="str">
        <f>"6497"</f>
        <v>6497</v>
      </c>
      <c r="E11855" t="s">
        <v>8898</v>
      </c>
      <c r="F11855" t="s">
        <v>3558</v>
      </c>
      <c r="G11855" t="s">
        <v>16221</v>
      </c>
      <c r="H11855" t="s">
        <v>47054</v>
      </c>
      <c r="I11855" t="s">
        <v>47111</v>
      </c>
      <c r="J11855" t="s">
        <v>47112</v>
      </c>
      <c r="K11855" t="s">
        <v>47113</v>
      </c>
      <c r="L11855">
        <v>8.06</v>
      </c>
      <c r="M11855">
        <v>29</v>
      </c>
      <c r="N11855">
        <v>0</v>
      </c>
      <c r="O11855">
        <v>29</v>
      </c>
      <c r="P11855">
        <v>0</v>
      </c>
    </row>
    <row r="11856" spans="1:16" x14ac:dyDescent="0.25">
      <c r="A11856" t="s">
        <v>34532</v>
      </c>
      <c r="B11856" t="s">
        <v>8988</v>
      </c>
      <c r="C11856" t="s">
        <v>8989</v>
      </c>
      <c r="D11856" t="str">
        <f>"1501"</f>
        <v>1501</v>
      </c>
      <c r="E11856" t="s">
        <v>46</v>
      </c>
      <c r="F11856" t="s">
        <v>1717</v>
      </c>
      <c r="G11856" t="s">
        <v>16222</v>
      </c>
      <c r="H11856" t="s">
        <v>47054</v>
      </c>
      <c r="I11856" t="s">
        <v>47114</v>
      </c>
      <c r="J11856" t="s">
        <v>47115</v>
      </c>
      <c r="K11856" t="s">
        <v>47113</v>
      </c>
      <c r="L11856">
        <v>20.5</v>
      </c>
      <c r="M11856">
        <v>58</v>
      </c>
      <c r="N11856">
        <v>0</v>
      </c>
      <c r="O11856">
        <v>58</v>
      </c>
      <c r="P11856">
        <v>0</v>
      </c>
    </row>
    <row r="11857" spans="1:16" x14ac:dyDescent="0.25">
      <c r="A11857" t="s">
        <v>34533</v>
      </c>
      <c r="B11857" t="s">
        <v>8990</v>
      </c>
      <c r="C11857" t="s">
        <v>8991</v>
      </c>
      <c r="D11857" t="str">
        <f>"4285"</f>
        <v>4285</v>
      </c>
      <c r="E11857" t="s">
        <v>8992</v>
      </c>
      <c r="F11857" t="s">
        <v>6</v>
      </c>
      <c r="G11857" t="s">
        <v>16222</v>
      </c>
      <c r="H11857" t="s">
        <v>47054</v>
      </c>
      <c r="I11857" t="s">
        <v>47116</v>
      </c>
      <c r="J11857" t="s">
        <v>47117</v>
      </c>
      <c r="K11857" t="s">
        <v>47113</v>
      </c>
      <c r="L11857">
        <v>38.1</v>
      </c>
      <c r="M11857">
        <v>95</v>
      </c>
      <c r="N11857">
        <v>0</v>
      </c>
      <c r="O11857">
        <v>95</v>
      </c>
      <c r="P11857">
        <v>0</v>
      </c>
    </row>
    <row r="11858" spans="1:16" x14ac:dyDescent="0.25">
      <c r="A11858" t="s">
        <v>34534</v>
      </c>
      <c r="B11858" t="s">
        <v>8993</v>
      </c>
      <c r="C11858" t="s">
        <v>8994</v>
      </c>
      <c r="D11858" t="str">
        <f>"1515"</f>
        <v>1515</v>
      </c>
      <c r="E11858" t="s">
        <v>8214</v>
      </c>
      <c r="F11858" t="s">
        <v>6</v>
      </c>
      <c r="G11858" t="s">
        <v>16222</v>
      </c>
      <c r="H11858" t="s">
        <v>47054</v>
      </c>
      <c r="I11858" t="s">
        <v>47116</v>
      </c>
      <c r="J11858" t="s">
        <v>47117</v>
      </c>
      <c r="K11858" t="s">
        <v>47113</v>
      </c>
      <c r="L11858">
        <v>28.09</v>
      </c>
      <c r="M11858">
        <v>70</v>
      </c>
      <c r="N11858">
        <v>0</v>
      </c>
      <c r="O11858">
        <v>70</v>
      </c>
      <c r="P11858">
        <v>0</v>
      </c>
    </row>
    <row r="11859" spans="1:16" x14ac:dyDescent="0.25">
      <c r="A11859" t="s">
        <v>34535</v>
      </c>
      <c r="B11859" t="s">
        <v>8995</v>
      </c>
      <c r="C11859" t="s">
        <v>8996</v>
      </c>
      <c r="D11859" t="str">
        <f>"1164"</f>
        <v>1164</v>
      </c>
      <c r="E11859" t="s">
        <v>8997</v>
      </c>
      <c r="F11859" t="s">
        <v>6</v>
      </c>
      <c r="G11859" t="s">
        <v>16222</v>
      </c>
      <c r="H11859" t="s">
        <v>47054</v>
      </c>
      <c r="I11859" t="s">
        <v>47116</v>
      </c>
      <c r="J11859" t="s">
        <v>47117</v>
      </c>
      <c r="K11859" t="s">
        <v>47113</v>
      </c>
      <c r="L11859">
        <v>33.51</v>
      </c>
      <c r="M11859">
        <v>81</v>
      </c>
      <c r="N11859">
        <v>0</v>
      </c>
      <c r="O11859">
        <v>81</v>
      </c>
      <c r="P11859">
        <v>0</v>
      </c>
    </row>
    <row r="11860" spans="1:16" x14ac:dyDescent="0.25">
      <c r="A11860" t="s">
        <v>34536</v>
      </c>
      <c r="B11860" t="s">
        <v>8998</v>
      </c>
      <c r="C11860" t="s">
        <v>8999</v>
      </c>
      <c r="D11860" t="str">
        <f>"1515"</f>
        <v>1515</v>
      </c>
      <c r="E11860" t="s">
        <v>8214</v>
      </c>
      <c r="F11860" t="s">
        <v>2</v>
      </c>
      <c r="G11860" t="s">
        <v>16235</v>
      </c>
      <c r="H11860" t="s">
        <v>47054</v>
      </c>
      <c r="I11860" t="s">
        <v>47116</v>
      </c>
      <c r="J11860" t="s">
        <v>47117</v>
      </c>
      <c r="K11860" t="s">
        <v>47113</v>
      </c>
      <c r="L11860">
        <v>31.78</v>
      </c>
      <c r="M11860">
        <v>56</v>
      </c>
      <c r="N11860">
        <v>0</v>
      </c>
      <c r="O11860">
        <v>56</v>
      </c>
      <c r="P11860">
        <v>0</v>
      </c>
    </row>
    <row r="11861" spans="1:16" x14ac:dyDescent="0.25">
      <c r="A11861" t="s">
        <v>34537</v>
      </c>
      <c r="B11861" t="s">
        <v>9000</v>
      </c>
      <c r="C11861" t="s">
        <v>8991</v>
      </c>
      <c r="D11861" t="str">
        <f>"4285"</f>
        <v>4285</v>
      </c>
      <c r="E11861" t="s">
        <v>8992</v>
      </c>
      <c r="F11861" t="s">
        <v>6</v>
      </c>
      <c r="G11861" t="s">
        <v>16235</v>
      </c>
      <c r="H11861" t="s">
        <v>47054</v>
      </c>
      <c r="I11861" t="s">
        <v>47116</v>
      </c>
      <c r="J11861" t="s">
        <v>47117</v>
      </c>
      <c r="K11861" t="s">
        <v>47113</v>
      </c>
      <c r="L11861">
        <v>37.01</v>
      </c>
      <c r="M11861">
        <v>92</v>
      </c>
      <c r="N11861">
        <v>0</v>
      </c>
      <c r="O11861">
        <v>92</v>
      </c>
      <c r="P11861">
        <v>0</v>
      </c>
    </row>
    <row r="11862" spans="1:16" x14ac:dyDescent="0.25">
      <c r="A11862" t="s">
        <v>34538</v>
      </c>
      <c r="B11862" t="s">
        <v>9001</v>
      </c>
      <c r="C11862" t="s">
        <v>9002</v>
      </c>
      <c r="D11862" t="str">
        <f>"1515"</f>
        <v>1515</v>
      </c>
      <c r="E11862" t="s">
        <v>8214</v>
      </c>
      <c r="F11862" t="s">
        <v>6</v>
      </c>
      <c r="G11862" t="s">
        <v>16235</v>
      </c>
      <c r="H11862" t="s">
        <v>47054</v>
      </c>
      <c r="I11862" t="s">
        <v>47116</v>
      </c>
      <c r="J11862" t="s">
        <v>47117</v>
      </c>
      <c r="K11862" t="s">
        <v>47113</v>
      </c>
      <c r="L11862">
        <v>31.46</v>
      </c>
      <c r="M11862">
        <v>76</v>
      </c>
      <c r="N11862">
        <v>0</v>
      </c>
      <c r="O11862">
        <v>76</v>
      </c>
      <c r="P11862">
        <v>0</v>
      </c>
    </row>
    <row r="11863" spans="1:16" x14ac:dyDescent="0.25">
      <c r="A11863" t="s">
        <v>34539</v>
      </c>
      <c r="B11863" t="s">
        <v>9003</v>
      </c>
      <c r="C11863" t="s">
        <v>9004</v>
      </c>
      <c r="D11863" t="str">
        <f>"1164"</f>
        <v>1164</v>
      </c>
      <c r="E11863" t="s">
        <v>8997</v>
      </c>
      <c r="F11863" t="s">
        <v>6</v>
      </c>
      <c r="G11863" t="s">
        <v>16235</v>
      </c>
      <c r="H11863" t="s">
        <v>47054</v>
      </c>
      <c r="I11863" t="s">
        <v>47116</v>
      </c>
      <c r="J11863" t="s">
        <v>47117</v>
      </c>
      <c r="K11863" t="s">
        <v>47113</v>
      </c>
      <c r="L11863">
        <v>36.81</v>
      </c>
      <c r="M11863">
        <v>89</v>
      </c>
      <c r="N11863">
        <v>0</v>
      </c>
      <c r="O11863">
        <v>89</v>
      </c>
      <c r="P11863">
        <v>0</v>
      </c>
    </row>
    <row r="11864" spans="1:16" x14ac:dyDescent="0.25">
      <c r="A11864" t="s">
        <v>34540</v>
      </c>
      <c r="B11864" t="s">
        <v>17912</v>
      </c>
      <c r="C11864" t="s">
        <v>16704</v>
      </c>
      <c r="D11864" t="s">
        <v>16732</v>
      </c>
      <c r="E11864" t="s">
        <v>16733</v>
      </c>
      <c r="F11864" t="s">
        <v>16601</v>
      </c>
      <c r="G11864" t="s">
        <v>16231</v>
      </c>
      <c r="H11864" t="s">
        <v>47054</v>
      </c>
      <c r="I11864" t="s">
        <v>47116</v>
      </c>
      <c r="J11864" t="s">
        <v>47117</v>
      </c>
      <c r="K11864" t="s">
        <v>47113</v>
      </c>
      <c r="L11864">
        <v>72.91</v>
      </c>
      <c r="M11864">
        <v>137</v>
      </c>
      <c r="N11864">
        <v>0</v>
      </c>
      <c r="O11864">
        <v>137</v>
      </c>
      <c r="P11864">
        <v>0</v>
      </c>
    </row>
    <row r="11865" spans="1:16" x14ac:dyDescent="0.25">
      <c r="A11865" t="s">
        <v>34541</v>
      </c>
      <c r="B11865" t="s">
        <v>17913</v>
      </c>
      <c r="C11865" t="s">
        <v>16704</v>
      </c>
      <c r="D11865" t="s">
        <v>16896</v>
      </c>
      <c r="E11865" t="s">
        <v>16897</v>
      </c>
      <c r="F11865" t="s">
        <v>16623</v>
      </c>
      <c r="G11865" t="s">
        <v>16231</v>
      </c>
      <c r="H11865" t="s">
        <v>47054</v>
      </c>
      <c r="I11865" t="s">
        <v>47116</v>
      </c>
      <c r="J11865" t="s">
        <v>47117</v>
      </c>
      <c r="K11865" t="s">
        <v>47113</v>
      </c>
      <c r="L11865">
        <v>73.47</v>
      </c>
      <c r="M11865">
        <v>148</v>
      </c>
      <c r="N11865">
        <v>0</v>
      </c>
      <c r="O11865">
        <v>148</v>
      </c>
      <c r="P11865">
        <v>0</v>
      </c>
    </row>
    <row r="11866" spans="1:16" x14ac:dyDescent="0.25">
      <c r="A11866" t="s">
        <v>34542</v>
      </c>
      <c r="B11866" t="s">
        <v>17914</v>
      </c>
      <c r="C11866" t="s">
        <v>16704</v>
      </c>
      <c r="D11866" t="s">
        <v>17590</v>
      </c>
      <c r="E11866" t="s">
        <v>17591</v>
      </c>
      <c r="F11866" t="s">
        <v>16822</v>
      </c>
      <c r="G11866" t="s">
        <v>16231</v>
      </c>
      <c r="H11866" t="s">
        <v>47054</v>
      </c>
      <c r="I11866" t="s">
        <v>47116</v>
      </c>
      <c r="J11866" t="s">
        <v>47117</v>
      </c>
      <c r="K11866" t="s">
        <v>47113</v>
      </c>
      <c r="L11866">
        <v>33.049999999999997</v>
      </c>
      <c r="M11866">
        <v>97</v>
      </c>
      <c r="N11866">
        <v>0</v>
      </c>
      <c r="O11866">
        <v>97</v>
      </c>
      <c r="P11866">
        <v>0</v>
      </c>
    </row>
    <row r="11867" spans="1:16" x14ac:dyDescent="0.25">
      <c r="A11867" t="s">
        <v>34543</v>
      </c>
      <c r="B11867" t="s">
        <v>17915</v>
      </c>
      <c r="C11867" t="s">
        <v>16704</v>
      </c>
      <c r="D11867" t="s">
        <v>16820</v>
      </c>
      <c r="E11867" t="s">
        <v>16821</v>
      </c>
      <c r="F11867" t="s">
        <v>16822</v>
      </c>
      <c r="G11867" t="s">
        <v>16231</v>
      </c>
      <c r="I11867" t="s">
        <v>47116</v>
      </c>
      <c r="J11867" t="s">
        <v>47117</v>
      </c>
      <c r="K11867" t="s">
        <v>47113</v>
      </c>
      <c r="L11867">
        <v>32.19</v>
      </c>
      <c r="M11867">
        <v>95</v>
      </c>
      <c r="N11867">
        <v>0</v>
      </c>
      <c r="O11867">
        <v>95</v>
      </c>
      <c r="P11867">
        <v>0</v>
      </c>
    </row>
    <row r="11868" spans="1:16" x14ac:dyDescent="0.25">
      <c r="A11868" t="s">
        <v>34544</v>
      </c>
      <c r="B11868" t="s">
        <v>20747</v>
      </c>
      <c r="C11868" t="s">
        <v>16704</v>
      </c>
      <c r="D11868" t="s">
        <v>20457</v>
      </c>
      <c r="E11868" t="s">
        <v>20458</v>
      </c>
      <c r="F11868" t="s">
        <v>19908</v>
      </c>
      <c r="G11868" t="s">
        <v>16231</v>
      </c>
      <c r="H11868" t="s">
        <v>47054</v>
      </c>
      <c r="I11868" t="s">
        <v>47116</v>
      </c>
      <c r="J11868" t="s">
        <v>47117</v>
      </c>
      <c r="K11868" t="s">
        <v>47113</v>
      </c>
      <c r="L11868">
        <v>50.55</v>
      </c>
      <c r="M11868">
        <v>148</v>
      </c>
      <c r="N11868">
        <v>0</v>
      </c>
      <c r="O11868">
        <v>148</v>
      </c>
      <c r="P11868">
        <v>0</v>
      </c>
    </row>
    <row r="11869" spans="1:16" x14ac:dyDescent="0.25">
      <c r="A11869" t="s">
        <v>34545</v>
      </c>
      <c r="B11869" t="s">
        <v>9005</v>
      </c>
      <c r="C11869" t="s">
        <v>16480</v>
      </c>
      <c r="D11869" t="str">
        <f>"1541"</f>
        <v>1541</v>
      </c>
      <c r="E11869" t="s">
        <v>6246</v>
      </c>
      <c r="F11869" t="s">
        <v>3558</v>
      </c>
      <c r="G11869" t="s">
        <v>16221</v>
      </c>
      <c r="H11869" t="s">
        <v>47054</v>
      </c>
      <c r="I11869" t="s">
        <v>47569</v>
      </c>
      <c r="J11869" t="s">
        <v>47570</v>
      </c>
      <c r="K11869" t="s">
        <v>47113</v>
      </c>
      <c r="L11869">
        <v>15.69</v>
      </c>
      <c r="M11869">
        <v>26</v>
      </c>
      <c r="N11869">
        <v>0</v>
      </c>
      <c r="O11869">
        <v>26</v>
      </c>
      <c r="P11869">
        <v>0</v>
      </c>
    </row>
    <row r="11870" spans="1:16" x14ac:dyDescent="0.25">
      <c r="A11870" t="s">
        <v>34546</v>
      </c>
      <c r="B11870" t="s">
        <v>20748</v>
      </c>
      <c r="C11870" t="s">
        <v>20749</v>
      </c>
      <c r="D11870" t="str">
        <f>"1001"</f>
        <v>1001</v>
      </c>
      <c r="E11870" t="s">
        <v>20750</v>
      </c>
      <c r="F11870" t="s">
        <v>3750</v>
      </c>
      <c r="G11870" t="s">
        <v>16230</v>
      </c>
      <c r="H11870" t="s">
        <v>47054</v>
      </c>
      <c r="I11870" t="s">
        <v>47120</v>
      </c>
      <c r="J11870" t="s">
        <v>47121</v>
      </c>
      <c r="K11870" t="s">
        <v>47113</v>
      </c>
      <c r="L11870">
        <v>15.8</v>
      </c>
      <c r="M11870">
        <v>54</v>
      </c>
      <c r="N11870">
        <v>0</v>
      </c>
      <c r="O11870">
        <v>54</v>
      </c>
      <c r="P11870">
        <v>0</v>
      </c>
    </row>
    <row r="11871" spans="1:16" x14ac:dyDescent="0.25">
      <c r="A11871" t="s">
        <v>34547</v>
      </c>
      <c r="B11871" t="s">
        <v>20748</v>
      </c>
      <c r="C11871" t="s">
        <v>20749</v>
      </c>
      <c r="D11871" t="str">
        <f>"4143"</f>
        <v>4143</v>
      </c>
      <c r="E11871" t="s">
        <v>261</v>
      </c>
      <c r="F11871" t="s">
        <v>3750</v>
      </c>
      <c r="G11871" t="s">
        <v>16230</v>
      </c>
      <c r="H11871" t="s">
        <v>47054</v>
      </c>
      <c r="I11871" t="s">
        <v>47120</v>
      </c>
      <c r="J11871" t="s">
        <v>47121</v>
      </c>
      <c r="K11871" t="s">
        <v>47113</v>
      </c>
      <c r="L11871">
        <v>15.8</v>
      </c>
      <c r="M11871">
        <v>54</v>
      </c>
      <c r="N11871">
        <v>0</v>
      </c>
      <c r="O11871">
        <v>54</v>
      </c>
      <c r="P11871">
        <v>0</v>
      </c>
    </row>
    <row r="11872" spans="1:16" x14ac:dyDescent="0.25">
      <c r="A11872" t="s">
        <v>34548</v>
      </c>
      <c r="B11872" t="s">
        <v>20751</v>
      </c>
      <c r="C11872" t="s">
        <v>20752</v>
      </c>
      <c r="D11872" t="str">
        <f>"1001"</f>
        <v>1001</v>
      </c>
      <c r="E11872" t="s">
        <v>20753</v>
      </c>
      <c r="F11872" t="s">
        <v>3750</v>
      </c>
      <c r="G11872" t="s">
        <v>16231</v>
      </c>
      <c r="H11872" t="s">
        <v>47054</v>
      </c>
      <c r="I11872" t="s">
        <v>47116</v>
      </c>
      <c r="J11872" t="s">
        <v>47117</v>
      </c>
      <c r="K11872" t="s">
        <v>47113</v>
      </c>
      <c r="L11872">
        <v>31.73</v>
      </c>
      <c r="M11872">
        <v>40</v>
      </c>
      <c r="N11872">
        <v>0</v>
      </c>
      <c r="O11872">
        <v>40</v>
      </c>
      <c r="P11872">
        <v>0</v>
      </c>
    </row>
    <row r="11873" spans="1:16" x14ac:dyDescent="0.25">
      <c r="A11873" t="s">
        <v>34549</v>
      </c>
      <c r="B11873" t="s">
        <v>9006</v>
      </c>
      <c r="C11873" t="s">
        <v>9007</v>
      </c>
      <c r="D11873" t="str">
        <f>"4721"</f>
        <v>4721</v>
      </c>
      <c r="E11873" t="s">
        <v>9008</v>
      </c>
      <c r="F11873" t="s">
        <v>0</v>
      </c>
      <c r="G11873" t="s">
        <v>16230</v>
      </c>
      <c r="H11873" t="s">
        <v>47054</v>
      </c>
      <c r="I11873" t="s">
        <v>47120</v>
      </c>
      <c r="J11873" t="s">
        <v>47121</v>
      </c>
      <c r="K11873" t="s">
        <v>47113</v>
      </c>
      <c r="L11873">
        <v>33.81</v>
      </c>
      <c r="M11873">
        <v>78</v>
      </c>
      <c r="N11873">
        <v>0</v>
      </c>
      <c r="O11873">
        <v>78</v>
      </c>
      <c r="P11873">
        <v>0</v>
      </c>
    </row>
    <row r="11874" spans="1:16" x14ac:dyDescent="0.25">
      <c r="A11874" t="s">
        <v>34550</v>
      </c>
      <c r="B11874" t="s">
        <v>9009</v>
      </c>
      <c r="C11874" t="s">
        <v>9010</v>
      </c>
      <c r="D11874" t="str">
        <f>"3071"</f>
        <v>3071</v>
      </c>
      <c r="E11874" t="s">
        <v>9011</v>
      </c>
      <c r="F11874" t="s">
        <v>0</v>
      </c>
      <c r="G11874" t="s">
        <v>16233</v>
      </c>
      <c r="H11874" t="s">
        <v>47054</v>
      </c>
      <c r="I11874" t="s">
        <v>47136</v>
      </c>
      <c r="J11874" t="s">
        <v>47137</v>
      </c>
      <c r="K11874" t="s">
        <v>47113</v>
      </c>
      <c r="L11874">
        <v>32.020000000000003</v>
      </c>
      <c r="M11874">
        <v>65</v>
      </c>
      <c r="N11874">
        <v>0</v>
      </c>
      <c r="O11874">
        <v>65</v>
      </c>
      <c r="P11874">
        <v>0</v>
      </c>
    </row>
    <row r="11875" spans="1:16" x14ac:dyDescent="0.25">
      <c r="A11875" t="s">
        <v>14986</v>
      </c>
      <c r="B11875" t="s">
        <v>9012</v>
      </c>
      <c r="C11875" t="s">
        <v>9013</v>
      </c>
      <c r="D11875" t="str">
        <f>"1001"</f>
        <v>1001</v>
      </c>
      <c r="E11875" t="s">
        <v>9014</v>
      </c>
      <c r="F11875" t="s">
        <v>0</v>
      </c>
      <c r="G11875" t="s">
        <v>16234</v>
      </c>
      <c r="H11875" t="s">
        <v>47054</v>
      </c>
      <c r="I11875" t="s">
        <v>47120</v>
      </c>
      <c r="J11875" t="s">
        <v>47121</v>
      </c>
      <c r="K11875" t="s">
        <v>47113</v>
      </c>
      <c r="L11875">
        <v>22.46</v>
      </c>
      <c r="M11875">
        <v>55</v>
      </c>
      <c r="N11875">
        <v>0</v>
      </c>
      <c r="O11875">
        <v>55</v>
      </c>
      <c r="P11875">
        <v>0</v>
      </c>
    </row>
    <row r="11876" spans="1:16" x14ac:dyDescent="0.25">
      <c r="A11876" t="s">
        <v>34551</v>
      </c>
      <c r="B11876" t="s">
        <v>9012</v>
      </c>
      <c r="C11876" t="s">
        <v>9013</v>
      </c>
      <c r="D11876" t="str">
        <f>"1413"</f>
        <v>1413</v>
      </c>
      <c r="E11876" t="s">
        <v>9015</v>
      </c>
      <c r="F11876" t="s">
        <v>0</v>
      </c>
      <c r="G11876" t="s">
        <v>16234</v>
      </c>
      <c r="H11876" t="s">
        <v>47054</v>
      </c>
      <c r="I11876" t="s">
        <v>47120</v>
      </c>
      <c r="J11876" t="s">
        <v>47121</v>
      </c>
      <c r="K11876" t="s">
        <v>47113</v>
      </c>
      <c r="L11876">
        <v>22.46</v>
      </c>
      <c r="M11876">
        <v>55</v>
      </c>
      <c r="N11876">
        <v>0</v>
      </c>
      <c r="O11876">
        <v>55</v>
      </c>
      <c r="P11876">
        <v>0</v>
      </c>
    </row>
    <row r="11877" spans="1:16" x14ac:dyDescent="0.25">
      <c r="A11877" t="s">
        <v>34552</v>
      </c>
      <c r="B11877" t="s">
        <v>9012</v>
      </c>
      <c r="C11877" t="s">
        <v>9013</v>
      </c>
      <c r="D11877" t="str">
        <f>"1848"</f>
        <v>1848</v>
      </c>
      <c r="E11877" t="s">
        <v>9016</v>
      </c>
      <c r="F11877" t="s">
        <v>1</v>
      </c>
      <c r="G11877" t="s">
        <v>16234</v>
      </c>
      <c r="H11877" t="s">
        <v>47054</v>
      </c>
      <c r="I11877" t="s">
        <v>47120</v>
      </c>
      <c r="J11877" t="s">
        <v>47121</v>
      </c>
      <c r="K11877" t="s">
        <v>47113</v>
      </c>
      <c r="L11877">
        <v>22.11</v>
      </c>
      <c r="M11877">
        <v>54</v>
      </c>
      <c r="N11877">
        <v>0</v>
      </c>
      <c r="O11877">
        <v>54</v>
      </c>
      <c r="P11877">
        <v>0</v>
      </c>
    </row>
    <row r="11878" spans="1:16" x14ac:dyDescent="0.25">
      <c r="A11878" t="s">
        <v>34553</v>
      </c>
      <c r="B11878" t="s">
        <v>9012</v>
      </c>
      <c r="C11878" t="s">
        <v>9013</v>
      </c>
      <c r="D11878" t="str">
        <f>"2177"</f>
        <v>2177</v>
      </c>
      <c r="E11878" t="s">
        <v>9017</v>
      </c>
      <c r="F11878" t="s">
        <v>0</v>
      </c>
      <c r="G11878" t="s">
        <v>16234</v>
      </c>
      <c r="H11878" t="s">
        <v>47054</v>
      </c>
      <c r="I11878" t="s">
        <v>47120</v>
      </c>
      <c r="J11878" t="s">
        <v>47121</v>
      </c>
      <c r="K11878" t="s">
        <v>47113</v>
      </c>
      <c r="L11878">
        <v>22.46</v>
      </c>
      <c r="M11878">
        <v>55</v>
      </c>
      <c r="N11878">
        <v>0</v>
      </c>
      <c r="O11878">
        <v>55</v>
      </c>
      <c r="P11878">
        <v>0</v>
      </c>
    </row>
    <row r="11879" spans="1:16" x14ac:dyDescent="0.25">
      <c r="A11879" t="s">
        <v>34554</v>
      </c>
      <c r="B11879" t="s">
        <v>9012</v>
      </c>
      <c r="C11879" t="s">
        <v>9013</v>
      </c>
      <c r="D11879" t="str">
        <f>"3491"</f>
        <v>3491</v>
      </c>
      <c r="E11879" t="s">
        <v>9018</v>
      </c>
      <c r="F11879" t="s">
        <v>0</v>
      </c>
      <c r="G11879" t="s">
        <v>16234</v>
      </c>
      <c r="H11879" t="s">
        <v>47054</v>
      </c>
      <c r="I11879" t="s">
        <v>47120</v>
      </c>
      <c r="J11879" t="s">
        <v>47121</v>
      </c>
      <c r="K11879" t="s">
        <v>47113</v>
      </c>
      <c r="L11879">
        <v>22.46</v>
      </c>
      <c r="M11879">
        <v>55</v>
      </c>
      <c r="N11879">
        <v>0</v>
      </c>
      <c r="O11879">
        <v>55</v>
      </c>
      <c r="P11879">
        <v>0</v>
      </c>
    </row>
    <row r="11880" spans="1:16" x14ac:dyDescent="0.25">
      <c r="A11880" t="s">
        <v>34555</v>
      </c>
      <c r="B11880" t="s">
        <v>9012</v>
      </c>
      <c r="C11880" t="s">
        <v>9013</v>
      </c>
      <c r="D11880" t="str">
        <f>"4853"</f>
        <v>4853</v>
      </c>
      <c r="E11880" t="s">
        <v>9019</v>
      </c>
      <c r="F11880" t="s">
        <v>1</v>
      </c>
      <c r="G11880" t="s">
        <v>16234</v>
      </c>
      <c r="H11880" t="s">
        <v>47054</v>
      </c>
      <c r="I11880" t="s">
        <v>47120</v>
      </c>
      <c r="J11880" t="s">
        <v>47121</v>
      </c>
      <c r="K11880" t="s">
        <v>47113</v>
      </c>
      <c r="L11880">
        <v>22.11</v>
      </c>
      <c r="M11880">
        <v>54</v>
      </c>
      <c r="N11880">
        <v>0</v>
      </c>
      <c r="O11880">
        <v>54</v>
      </c>
      <c r="P11880">
        <v>0</v>
      </c>
    </row>
    <row r="11881" spans="1:16" x14ac:dyDescent="0.25">
      <c r="A11881" t="s">
        <v>34556</v>
      </c>
      <c r="B11881" t="s">
        <v>9012</v>
      </c>
      <c r="C11881" t="s">
        <v>9013</v>
      </c>
      <c r="D11881" t="str">
        <f>"8395"</f>
        <v>8395</v>
      </c>
      <c r="E11881" t="s">
        <v>9020</v>
      </c>
      <c r="F11881" t="s">
        <v>0</v>
      </c>
      <c r="G11881" t="s">
        <v>16234</v>
      </c>
      <c r="H11881" t="s">
        <v>47054</v>
      </c>
      <c r="I11881" t="s">
        <v>47120</v>
      </c>
      <c r="J11881" t="s">
        <v>47121</v>
      </c>
      <c r="K11881" t="s">
        <v>47113</v>
      </c>
      <c r="L11881">
        <v>22.46</v>
      </c>
      <c r="M11881">
        <v>55</v>
      </c>
      <c r="N11881">
        <v>0</v>
      </c>
      <c r="O11881">
        <v>55</v>
      </c>
      <c r="P11881">
        <v>0</v>
      </c>
    </row>
    <row r="11882" spans="1:16" x14ac:dyDescent="0.25">
      <c r="A11882" t="s">
        <v>34557</v>
      </c>
      <c r="B11882" t="s">
        <v>9021</v>
      </c>
      <c r="C11882" t="s">
        <v>9022</v>
      </c>
      <c r="D11882" t="str">
        <f>"1001"</f>
        <v>1001</v>
      </c>
      <c r="E11882" t="s">
        <v>9014</v>
      </c>
      <c r="F11882" t="s">
        <v>0</v>
      </c>
      <c r="G11882" t="s">
        <v>16234</v>
      </c>
      <c r="H11882" t="s">
        <v>47054</v>
      </c>
      <c r="I11882" t="s">
        <v>47120</v>
      </c>
      <c r="J11882" t="s">
        <v>47121</v>
      </c>
      <c r="K11882" t="s">
        <v>47113</v>
      </c>
      <c r="L11882">
        <v>23.69</v>
      </c>
      <c r="M11882">
        <v>54</v>
      </c>
      <c r="N11882">
        <v>0</v>
      </c>
      <c r="O11882">
        <v>54</v>
      </c>
      <c r="P11882">
        <v>0</v>
      </c>
    </row>
    <row r="11883" spans="1:16" x14ac:dyDescent="0.25">
      <c r="A11883" t="s">
        <v>34558</v>
      </c>
      <c r="B11883" t="s">
        <v>9021</v>
      </c>
      <c r="C11883" t="s">
        <v>9022</v>
      </c>
      <c r="D11883" t="str">
        <f>"1413"</f>
        <v>1413</v>
      </c>
      <c r="E11883" t="s">
        <v>9015</v>
      </c>
      <c r="F11883" t="s">
        <v>0</v>
      </c>
      <c r="G11883" t="s">
        <v>16234</v>
      </c>
      <c r="H11883" t="s">
        <v>47054</v>
      </c>
      <c r="I11883" t="s">
        <v>47120</v>
      </c>
      <c r="J11883" t="s">
        <v>47121</v>
      </c>
      <c r="K11883" t="s">
        <v>47113</v>
      </c>
      <c r="L11883">
        <v>23.69</v>
      </c>
      <c r="M11883">
        <v>54</v>
      </c>
      <c r="N11883">
        <v>0</v>
      </c>
      <c r="O11883">
        <v>54</v>
      </c>
      <c r="P11883">
        <v>0</v>
      </c>
    </row>
    <row r="11884" spans="1:16" x14ac:dyDescent="0.25">
      <c r="A11884" t="s">
        <v>34559</v>
      </c>
      <c r="B11884" t="s">
        <v>9021</v>
      </c>
      <c r="C11884" t="s">
        <v>9022</v>
      </c>
      <c r="D11884" t="str">
        <f>"2177"</f>
        <v>2177</v>
      </c>
      <c r="E11884" t="s">
        <v>9017</v>
      </c>
      <c r="F11884" t="s">
        <v>0</v>
      </c>
      <c r="G11884" t="s">
        <v>16234</v>
      </c>
      <c r="H11884" t="s">
        <v>47054</v>
      </c>
      <c r="I11884" t="s">
        <v>47120</v>
      </c>
      <c r="J11884" t="s">
        <v>47121</v>
      </c>
      <c r="K11884" t="s">
        <v>47113</v>
      </c>
      <c r="L11884">
        <v>23.69</v>
      </c>
      <c r="M11884">
        <v>54</v>
      </c>
      <c r="N11884">
        <v>0</v>
      </c>
      <c r="O11884">
        <v>54</v>
      </c>
      <c r="P11884">
        <v>0</v>
      </c>
    </row>
    <row r="11885" spans="1:16" x14ac:dyDescent="0.25">
      <c r="A11885" t="s">
        <v>34560</v>
      </c>
      <c r="B11885" t="s">
        <v>9021</v>
      </c>
      <c r="C11885" t="s">
        <v>9022</v>
      </c>
      <c r="D11885" t="str">
        <f>"4853"</f>
        <v>4853</v>
      </c>
      <c r="E11885" t="s">
        <v>9019</v>
      </c>
      <c r="F11885" t="s">
        <v>1</v>
      </c>
      <c r="G11885" t="s">
        <v>16234</v>
      </c>
      <c r="H11885" t="s">
        <v>47054</v>
      </c>
      <c r="I11885" t="s">
        <v>47120</v>
      </c>
      <c r="J11885" t="s">
        <v>47121</v>
      </c>
      <c r="K11885" t="s">
        <v>47113</v>
      </c>
      <c r="L11885">
        <v>22.66</v>
      </c>
      <c r="M11885">
        <v>56</v>
      </c>
      <c r="N11885">
        <v>0</v>
      </c>
      <c r="O11885">
        <v>56</v>
      </c>
      <c r="P11885">
        <v>0</v>
      </c>
    </row>
    <row r="11886" spans="1:16" x14ac:dyDescent="0.25">
      <c r="A11886" t="s">
        <v>34561</v>
      </c>
      <c r="B11886" t="s">
        <v>9021</v>
      </c>
      <c r="C11886" t="s">
        <v>9022</v>
      </c>
      <c r="D11886" t="str">
        <f>"8395"</f>
        <v>8395</v>
      </c>
      <c r="E11886" t="s">
        <v>9020</v>
      </c>
      <c r="F11886" t="s">
        <v>0</v>
      </c>
      <c r="G11886" t="s">
        <v>16234</v>
      </c>
      <c r="H11886" t="s">
        <v>47054</v>
      </c>
      <c r="I11886" t="s">
        <v>47120</v>
      </c>
      <c r="J11886" t="s">
        <v>47121</v>
      </c>
      <c r="K11886" t="s">
        <v>47113</v>
      </c>
      <c r="L11886">
        <v>23.69</v>
      </c>
      <c r="M11886">
        <v>54</v>
      </c>
      <c r="N11886">
        <v>0</v>
      </c>
      <c r="O11886">
        <v>54</v>
      </c>
      <c r="P11886">
        <v>0</v>
      </c>
    </row>
    <row r="11887" spans="1:16" x14ac:dyDescent="0.25">
      <c r="A11887" t="s">
        <v>34562</v>
      </c>
      <c r="B11887" t="s">
        <v>9023</v>
      </c>
      <c r="C11887" t="s">
        <v>9024</v>
      </c>
      <c r="D11887" t="str">
        <f>"1001"</f>
        <v>1001</v>
      </c>
      <c r="E11887" t="s">
        <v>9014</v>
      </c>
      <c r="F11887" t="s">
        <v>0</v>
      </c>
      <c r="G11887" t="s">
        <v>16234</v>
      </c>
      <c r="H11887" t="s">
        <v>47054</v>
      </c>
      <c r="I11887" t="s">
        <v>47120</v>
      </c>
      <c r="J11887" t="s">
        <v>47121</v>
      </c>
      <c r="K11887" t="s">
        <v>47113</v>
      </c>
      <c r="L11887">
        <v>22.46</v>
      </c>
      <c r="M11887">
        <v>52</v>
      </c>
      <c r="N11887">
        <v>0</v>
      </c>
      <c r="O11887">
        <v>52</v>
      </c>
      <c r="P11887">
        <v>0</v>
      </c>
    </row>
    <row r="11888" spans="1:16" x14ac:dyDescent="0.25">
      <c r="A11888" t="s">
        <v>34563</v>
      </c>
      <c r="B11888" t="s">
        <v>9023</v>
      </c>
      <c r="C11888" t="s">
        <v>9024</v>
      </c>
      <c r="D11888" t="str">
        <f>"1413"</f>
        <v>1413</v>
      </c>
      <c r="E11888" t="s">
        <v>9015</v>
      </c>
      <c r="F11888" t="s">
        <v>0</v>
      </c>
      <c r="G11888" t="s">
        <v>16234</v>
      </c>
      <c r="H11888" t="s">
        <v>47054</v>
      </c>
      <c r="I11888" t="s">
        <v>47120</v>
      </c>
      <c r="J11888" t="s">
        <v>47121</v>
      </c>
      <c r="K11888" t="s">
        <v>47113</v>
      </c>
      <c r="L11888">
        <v>22.46</v>
      </c>
      <c r="M11888">
        <v>52</v>
      </c>
      <c r="N11888">
        <v>0</v>
      </c>
      <c r="O11888">
        <v>52</v>
      </c>
      <c r="P11888">
        <v>0</v>
      </c>
    </row>
    <row r="11889" spans="1:16" x14ac:dyDescent="0.25">
      <c r="A11889" t="s">
        <v>34564</v>
      </c>
      <c r="B11889" t="s">
        <v>9023</v>
      </c>
      <c r="C11889" t="s">
        <v>9024</v>
      </c>
      <c r="D11889" t="str">
        <f>"2177"</f>
        <v>2177</v>
      </c>
      <c r="E11889" t="s">
        <v>9017</v>
      </c>
      <c r="F11889" t="s">
        <v>0</v>
      </c>
      <c r="G11889" t="s">
        <v>16234</v>
      </c>
      <c r="H11889" t="s">
        <v>47054</v>
      </c>
      <c r="I11889" t="s">
        <v>47120</v>
      </c>
      <c r="J11889" t="s">
        <v>47121</v>
      </c>
      <c r="K11889" t="s">
        <v>47113</v>
      </c>
      <c r="L11889">
        <v>22.46</v>
      </c>
      <c r="M11889">
        <v>52</v>
      </c>
      <c r="N11889">
        <v>0</v>
      </c>
      <c r="O11889">
        <v>52</v>
      </c>
      <c r="P11889">
        <v>0</v>
      </c>
    </row>
    <row r="11890" spans="1:16" x14ac:dyDescent="0.25">
      <c r="A11890" t="s">
        <v>34565</v>
      </c>
      <c r="B11890" t="s">
        <v>9023</v>
      </c>
      <c r="C11890" t="s">
        <v>9024</v>
      </c>
      <c r="D11890" t="str">
        <f>"3491"</f>
        <v>3491</v>
      </c>
      <c r="E11890" t="s">
        <v>9018</v>
      </c>
      <c r="F11890" t="s">
        <v>0</v>
      </c>
      <c r="G11890" t="s">
        <v>16234</v>
      </c>
      <c r="H11890" t="s">
        <v>47054</v>
      </c>
      <c r="I11890" t="s">
        <v>47120</v>
      </c>
      <c r="J11890" t="s">
        <v>47121</v>
      </c>
      <c r="K11890" t="s">
        <v>47113</v>
      </c>
      <c r="L11890">
        <v>21.49</v>
      </c>
      <c r="M11890">
        <v>53</v>
      </c>
      <c r="N11890">
        <v>0</v>
      </c>
      <c r="O11890">
        <v>53</v>
      </c>
      <c r="P11890">
        <v>0</v>
      </c>
    </row>
    <row r="11891" spans="1:16" x14ac:dyDescent="0.25">
      <c r="A11891" t="s">
        <v>34566</v>
      </c>
      <c r="B11891" t="s">
        <v>9023</v>
      </c>
      <c r="C11891" t="s">
        <v>9024</v>
      </c>
      <c r="D11891" t="str">
        <f>"4853"</f>
        <v>4853</v>
      </c>
      <c r="E11891" t="s">
        <v>9019</v>
      </c>
      <c r="F11891" t="s">
        <v>1</v>
      </c>
      <c r="G11891" t="s">
        <v>16234</v>
      </c>
      <c r="H11891" t="s">
        <v>47054</v>
      </c>
      <c r="I11891" t="s">
        <v>47120</v>
      </c>
      <c r="J11891" t="s">
        <v>47121</v>
      </c>
      <c r="K11891" t="s">
        <v>47113</v>
      </c>
      <c r="L11891">
        <v>21.49</v>
      </c>
      <c r="M11891">
        <v>53</v>
      </c>
      <c r="N11891">
        <v>0</v>
      </c>
      <c r="O11891">
        <v>53</v>
      </c>
      <c r="P11891">
        <v>0</v>
      </c>
    </row>
    <row r="11892" spans="1:16" x14ac:dyDescent="0.25">
      <c r="A11892" t="s">
        <v>34567</v>
      </c>
      <c r="B11892" t="s">
        <v>9023</v>
      </c>
      <c r="C11892" t="s">
        <v>9024</v>
      </c>
      <c r="D11892" t="str">
        <f>"8395"</f>
        <v>8395</v>
      </c>
      <c r="E11892" t="s">
        <v>9020</v>
      </c>
      <c r="F11892" t="s">
        <v>0</v>
      </c>
      <c r="G11892" t="s">
        <v>16234</v>
      </c>
      <c r="H11892" t="s">
        <v>47054</v>
      </c>
      <c r="I11892" t="s">
        <v>47120</v>
      </c>
      <c r="J11892" t="s">
        <v>47121</v>
      </c>
      <c r="K11892" t="s">
        <v>47113</v>
      </c>
      <c r="L11892">
        <v>22.46</v>
      </c>
      <c r="M11892">
        <v>52</v>
      </c>
      <c r="N11892">
        <v>0</v>
      </c>
      <c r="O11892">
        <v>52</v>
      </c>
      <c r="P11892">
        <v>0</v>
      </c>
    </row>
    <row r="11893" spans="1:16" x14ac:dyDescent="0.25">
      <c r="A11893" t="s">
        <v>34568</v>
      </c>
      <c r="B11893" t="s">
        <v>9025</v>
      </c>
      <c r="C11893" t="s">
        <v>9026</v>
      </c>
      <c r="D11893" t="str">
        <f>"3469"</f>
        <v>3469</v>
      </c>
      <c r="E11893" t="s">
        <v>9027</v>
      </c>
      <c r="F11893" t="s">
        <v>0</v>
      </c>
      <c r="G11893" t="s">
        <v>16233</v>
      </c>
      <c r="H11893" t="s">
        <v>47054</v>
      </c>
      <c r="I11893" t="s">
        <v>47120</v>
      </c>
      <c r="J11893" t="s">
        <v>47121</v>
      </c>
      <c r="K11893" t="s">
        <v>47113</v>
      </c>
      <c r="L11893">
        <v>18.41</v>
      </c>
      <c r="M11893">
        <v>49</v>
      </c>
      <c r="N11893">
        <v>0</v>
      </c>
      <c r="O11893">
        <v>49</v>
      </c>
      <c r="P11893">
        <v>0</v>
      </c>
    </row>
    <row r="11894" spans="1:16" x14ac:dyDescent="0.25">
      <c r="A11894" t="s">
        <v>34569</v>
      </c>
      <c r="B11894" t="s">
        <v>9028</v>
      </c>
      <c r="C11894" t="s">
        <v>9026</v>
      </c>
      <c r="D11894" t="str">
        <f>"4843"</f>
        <v>4843</v>
      </c>
      <c r="E11894" t="s">
        <v>9029</v>
      </c>
      <c r="F11894" t="s">
        <v>0</v>
      </c>
      <c r="G11894" t="s">
        <v>16233</v>
      </c>
      <c r="H11894" t="s">
        <v>47054</v>
      </c>
      <c r="I11894" t="s">
        <v>47120</v>
      </c>
      <c r="J11894" t="s">
        <v>47121</v>
      </c>
      <c r="K11894" t="s">
        <v>47113</v>
      </c>
      <c r="L11894">
        <v>18.41</v>
      </c>
      <c r="M11894">
        <v>40</v>
      </c>
      <c r="N11894">
        <v>0</v>
      </c>
      <c r="O11894">
        <v>40</v>
      </c>
      <c r="P11894">
        <v>0</v>
      </c>
    </row>
    <row r="11895" spans="1:16" x14ac:dyDescent="0.25">
      <c r="A11895" t="s">
        <v>34570</v>
      </c>
      <c r="B11895" t="s">
        <v>9030</v>
      </c>
      <c r="C11895" t="s">
        <v>9031</v>
      </c>
      <c r="D11895" t="str">
        <f>"3483"</f>
        <v>3483</v>
      </c>
      <c r="E11895" t="s">
        <v>9032</v>
      </c>
      <c r="F11895" t="s">
        <v>0</v>
      </c>
      <c r="G11895" t="s">
        <v>16224</v>
      </c>
      <c r="H11895" t="s">
        <v>47054</v>
      </c>
      <c r="I11895" t="s">
        <v>47120</v>
      </c>
      <c r="J11895" t="s">
        <v>47121</v>
      </c>
      <c r="K11895" t="s">
        <v>47113</v>
      </c>
      <c r="L11895">
        <v>46.71</v>
      </c>
      <c r="M11895">
        <v>107</v>
      </c>
      <c r="N11895">
        <v>0</v>
      </c>
      <c r="O11895">
        <v>107</v>
      </c>
      <c r="P11895">
        <v>0</v>
      </c>
    </row>
    <row r="11896" spans="1:16" x14ac:dyDescent="0.25">
      <c r="A11896" t="s">
        <v>34571</v>
      </c>
      <c r="B11896" t="s">
        <v>9033</v>
      </c>
      <c r="C11896" t="s">
        <v>9034</v>
      </c>
      <c r="D11896" t="str">
        <f>"4752"</f>
        <v>4752</v>
      </c>
      <c r="E11896" t="s">
        <v>9035</v>
      </c>
      <c r="F11896" t="s">
        <v>1</v>
      </c>
      <c r="G11896" t="s">
        <v>16230</v>
      </c>
      <c r="H11896" t="s">
        <v>47054</v>
      </c>
      <c r="I11896" t="s">
        <v>47120</v>
      </c>
      <c r="J11896" t="s">
        <v>47121</v>
      </c>
      <c r="K11896" t="s">
        <v>47113</v>
      </c>
      <c r="L11896">
        <v>31.71</v>
      </c>
      <c r="M11896">
        <v>78</v>
      </c>
      <c r="N11896">
        <v>0</v>
      </c>
      <c r="O11896">
        <v>78</v>
      </c>
      <c r="P11896">
        <v>0</v>
      </c>
    </row>
    <row r="11897" spans="1:16" x14ac:dyDescent="0.25">
      <c r="A11897" t="s">
        <v>34572</v>
      </c>
      <c r="B11897" t="s">
        <v>9036</v>
      </c>
      <c r="C11897" t="s">
        <v>9037</v>
      </c>
      <c r="D11897" t="str">
        <f>"4722"</f>
        <v>4722</v>
      </c>
      <c r="E11897" t="s">
        <v>9038</v>
      </c>
      <c r="F11897" t="s">
        <v>0</v>
      </c>
      <c r="G11897" t="s">
        <v>16230</v>
      </c>
      <c r="H11897" t="s">
        <v>47054</v>
      </c>
      <c r="I11897" t="s">
        <v>47120</v>
      </c>
      <c r="J11897" t="s">
        <v>47121</v>
      </c>
      <c r="K11897" t="s">
        <v>47113</v>
      </c>
      <c r="L11897">
        <v>31.41</v>
      </c>
      <c r="M11897">
        <v>72</v>
      </c>
      <c r="N11897">
        <v>0</v>
      </c>
      <c r="O11897">
        <v>72</v>
      </c>
      <c r="P11897">
        <v>0</v>
      </c>
    </row>
    <row r="11898" spans="1:16" x14ac:dyDescent="0.25">
      <c r="A11898" t="s">
        <v>34573</v>
      </c>
      <c r="B11898" t="s">
        <v>9039</v>
      </c>
      <c r="C11898" t="s">
        <v>9040</v>
      </c>
      <c r="D11898" t="str">
        <f>"6380"</f>
        <v>6380</v>
      </c>
      <c r="E11898" t="s">
        <v>5839</v>
      </c>
      <c r="F11898" t="s">
        <v>0</v>
      </c>
      <c r="G11898" t="s">
        <v>16221</v>
      </c>
      <c r="H11898" t="s">
        <v>47054</v>
      </c>
      <c r="I11898" t="s">
        <v>47111</v>
      </c>
      <c r="J11898" t="s">
        <v>47112</v>
      </c>
      <c r="K11898" t="s">
        <v>47113</v>
      </c>
      <c r="L11898">
        <v>8.17</v>
      </c>
      <c r="M11898">
        <v>28</v>
      </c>
      <c r="N11898">
        <v>0</v>
      </c>
      <c r="O11898">
        <v>28</v>
      </c>
      <c r="P11898">
        <v>0</v>
      </c>
    </row>
    <row r="11899" spans="1:16" x14ac:dyDescent="0.25">
      <c r="A11899" t="s">
        <v>34574</v>
      </c>
      <c r="B11899" t="s">
        <v>9041</v>
      </c>
      <c r="C11899" t="s">
        <v>9042</v>
      </c>
      <c r="D11899" t="str">
        <f>"1414"</f>
        <v>1414</v>
      </c>
      <c r="E11899" t="s">
        <v>2870</v>
      </c>
      <c r="F11899" t="s">
        <v>0</v>
      </c>
      <c r="G11899" t="s">
        <v>16221</v>
      </c>
      <c r="H11899" t="s">
        <v>47054</v>
      </c>
      <c r="I11899" t="s">
        <v>47111</v>
      </c>
      <c r="J11899" t="s">
        <v>47112</v>
      </c>
      <c r="K11899" t="s">
        <v>47113</v>
      </c>
      <c r="L11899">
        <v>9.1999999999999993</v>
      </c>
      <c r="M11899">
        <v>28</v>
      </c>
      <c r="N11899">
        <v>0</v>
      </c>
      <c r="O11899">
        <v>28</v>
      </c>
      <c r="P11899">
        <v>0</v>
      </c>
    </row>
    <row r="11900" spans="1:16" x14ac:dyDescent="0.25">
      <c r="A11900" t="s">
        <v>34575</v>
      </c>
      <c r="B11900" t="s">
        <v>9043</v>
      </c>
      <c r="C11900" t="s">
        <v>9044</v>
      </c>
      <c r="D11900" t="str">
        <f>"1746"</f>
        <v>1746</v>
      </c>
      <c r="E11900" t="s">
        <v>807</v>
      </c>
      <c r="F11900" t="s">
        <v>4</v>
      </c>
      <c r="G11900" t="s">
        <v>16232</v>
      </c>
      <c r="H11900" t="s">
        <v>47054</v>
      </c>
      <c r="I11900" t="s">
        <v>47118</v>
      </c>
      <c r="J11900" t="s">
        <v>47119</v>
      </c>
      <c r="K11900" t="s">
        <v>47113</v>
      </c>
      <c r="L11900">
        <v>15.17</v>
      </c>
      <c r="M11900">
        <v>37</v>
      </c>
      <c r="N11900">
        <v>0</v>
      </c>
      <c r="O11900">
        <v>37</v>
      </c>
      <c r="P11900">
        <v>0</v>
      </c>
    </row>
    <row r="11901" spans="1:16" x14ac:dyDescent="0.25">
      <c r="A11901" t="s">
        <v>34576</v>
      </c>
      <c r="B11901" t="s">
        <v>9045</v>
      </c>
      <c r="C11901" t="s">
        <v>9046</v>
      </c>
      <c r="D11901" t="str">
        <f>"3484"</f>
        <v>3484</v>
      </c>
      <c r="E11901" t="s">
        <v>5898</v>
      </c>
      <c r="F11901" t="s">
        <v>0</v>
      </c>
      <c r="G11901" t="s">
        <v>16232</v>
      </c>
      <c r="H11901" t="s">
        <v>47054</v>
      </c>
      <c r="I11901" t="s">
        <v>47118</v>
      </c>
      <c r="J11901" t="s">
        <v>47119</v>
      </c>
      <c r="K11901" t="s">
        <v>47113</v>
      </c>
      <c r="L11901">
        <v>15.89</v>
      </c>
      <c r="M11901">
        <v>35</v>
      </c>
      <c r="N11901">
        <v>0</v>
      </c>
      <c r="O11901">
        <v>35</v>
      </c>
      <c r="P11901">
        <v>0</v>
      </c>
    </row>
    <row r="11902" spans="1:16" x14ac:dyDescent="0.25">
      <c r="A11902" t="s">
        <v>34577</v>
      </c>
      <c r="B11902" t="s">
        <v>9047</v>
      </c>
      <c r="C11902" t="s">
        <v>9048</v>
      </c>
      <c r="D11902" t="str">
        <f>"1093"</f>
        <v>1093</v>
      </c>
      <c r="E11902" t="s">
        <v>9049</v>
      </c>
      <c r="F11902" t="s">
        <v>0</v>
      </c>
      <c r="G11902" t="s">
        <v>16232</v>
      </c>
      <c r="H11902" t="s">
        <v>47054</v>
      </c>
      <c r="I11902" t="s">
        <v>47118</v>
      </c>
      <c r="J11902" t="s">
        <v>47119</v>
      </c>
      <c r="K11902" t="s">
        <v>47113</v>
      </c>
      <c r="L11902">
        <v>13.22</v>
      </c>
      <c r="M11902">
        <v>35</v>
      </c>
      <c r="N11902">
        <v>0</v>
      </c>
      <c r="O11902">
        <v>35</v>
      </c>
      <c r="P11902">
        <v>0</v>
      </c>
    </row>
    <row r="11903" spans="1:16" x14ac:dyDescent="0.25">
      <c r="A11903" t="s">
        <v>34578</v>
      </c>
      <c r="B11903" t="s">
        <v>9047</v>
      </c>
      <c r="C11903" t="s">
        <v>9048</v>
      </c>
      <c r="D11903" t="str">
        <f>"1425"</f>
        <v>1425</v>
      </c>
      <c r="E11903" t="s">
        <v>9050</v>
      </c>
      <c r="F11903" t="s">
        <v>0</v>
      </c>
      <c r="G11903" t="s">
        <v>16232</v>
      </c>
      <c r="H11903" t="s">
        <v>47054</v>
      </c>
      <c r="I11903" t="s">
        <v>47118</v>
      </c>
      <c r="J11903" t="s">
        <v>47119</v>
      </c>
      <c r="K11903" t="s">
        <v>47113</v>
      </c>
      <c r="L11903">
        <v>13.22</v>
      </c>
      <c r="M11903">
        <v>35</v>
      </c>
      <c r="N11903">
        <v>0</v>
      </c>
      <c r="O11903">
        <v>35</v>
      </c>
      <c r="P11903">
        <v>0</v>
      </c>
    </row>
    <row r="11904" spans="1:16" x14ac:dyDescent="0.25">
      <c r="A11904" t="s">
        <v>34579</v>
      </c>
      <c r="B11904" t="s">
        <v>9047</v>
      </c>
      <c r="C11904" t="s">
        <v>9048</v>
      </c>
      <c r="D11904" t="str">
        <f>"1437"</f>
        <v>1437</v>
      </c>
      <c r="E11904" t="s">
        <v>9051</v>
      </c>
      <c r="F11904" t="s">
        <v>1</v>
      </c>
      <c r="G11904" t="s">
        <v>16232</v>
      </c>
      <c r="H11904" t="s">
        <v>47054</v>
      </c>
      <c r="I11904" t="s">
        <v>47118</v>
      </c>
      <c r="J11904" t="s">
        <v>47119</v>
      </c>
      <c r="K11904" t="s">
        <v>47113</v>
      </c>
      <c r="L11904">
        <v>13.22</v>
      </c>
      <c r="M11904">
        <v>35</v>
      </c>
      <c r="N11904">
        <v>0</v>
      </c>
      <c r="O11904">
        <v>35</v>
      </c>
      <c r="P11904">
        <v>0</v>
      </c>
    </row>
    <row r="11905" spans="1:16" x14ac:dyDescent="0.25">
      <c r="A11905" t="s">
        <v>34580</v>
      </c>
      <c r="B11905" t="s">
        <v>9047</v>
      </c>
      <c r="C11905" t="s">
        <v>9048</v>
      </c>
      <c r="D11905" t="str">
        <f>"1746"</f>
        <v>1746</v>
      </c>
      <c r="E11905" t="s">
        <v>807</v>
      </c>
      <c r="F11905" t="s">
        <v>0</v>
      </c>
      <c r="G11905" t="s">
        <v>16232</v>
      </c>
      <c r="H11905" t="s">
        <v>47054</v>
      </c>
      <c r="I11905" t="s">
        <v>47118</v>
      </c>
      <c r="J11905" t="s">
        <v>47119</v>
      </c>
      <c r="K11905" t="s">
        <v>47113</v>
      </c>
      <c r="L11905">
        <v>13.22</v>
      </c>
      <c r="M11905">
        <v>35</v>
      </c>
      <c r="N11905">
        <v>0</v>
      </c>
      <c r="O11905">
        <v>35</v>
      </c>
      <c r="P11905">
        <v>0</v>
      </c>
    </row>
    <row r="11906" spans="1:16" x14ac:dyDescent="0.25">
      <c r="A11906" t="s">
        <v>34581</v>
      </c>
      <c r="B11906" t="s">
        <v>9047</v>
      </c>
      <c r="C11906" t="s">
        <v>9048</v>
      </c>
      <c r="D11906" t="str">
        <f>"3484"</f>
        <v>3484</v>
      </c>
      <c r="E11906" t="s">
        <v>5898</v>
      </c>
      <c r="F11906" t="s">
        <v>1</v>
      </c>
      <c r="G11906" t="s">
        <v>16232</v>
      </c>
      <c r="H11906" t="s">
        <v>47054</v>
      </c>
      <c r="I11906" t="s">
        <v>47118</v>
      </c>
      <c r="J11906" t="s">
        <v>47119</v>
      </c>
      <c r="K11906" t="s">
        <v>47113</v>
      </c>
      <c r="L11906">
        <v>13.22</v>
      </c>
      <c r="M11906">
        <v>35</v>
      </c>
      <c r="N11906">
        <v>0</v>
      </c>
      <c r="O11906">
        <v>35</v>
      </c>
      <c r="P11906">
        <v>0</v>
      </c>
    </row>
    <row r="11907" spans="1:16" x14ac:dyDescent="0.25">
      <c r="A11907" t="s">
        <v>34582</v>
      </c>
      <c r="B11907" t="s">
        <v>9047</v>
      </c>
      <c r="C11907" t="s">
        <v>9048</v>
      </c>
      <c r="D11907" t="str">
        <f>"4736"</f>
        <v>4736</v>
      </c>
      <c r="E11907" t="s">
        <v>9052</v>
      </c>
      <c r="F11907" t="s">
        <v>0</v>
      </c>
      <c r="G11907" t="s">
        <v>16232</v>
      </c>
      <c r="H11907" t="s">
        <v>47054</v>
      </c>
      <c r="I11907" t="s">
        <v>47118</v>
      </c>
      <c r="J11907" t="s">
        <v>47119</v>
      </c>
      <c r="K11907" t="s">
        <v>47113</v>
      </c>
      <c r="L11907">
        <v>13.22</v>
      </c>
      <c r="M11907">
        <v>35</v>
      </c>
      <c r="N11907">
        <v>0</v>
      </c>
      <c r="O11907">
        <v>35</v>
      </c>
      <c r="P11907">
        <v>0</v>
      </c>
    </row>
    <row r="11908" spans="1:16" x14ac:dyDescent="0.25">
      <c r="A11908" t="s">
        <v>34583</v>
      </c>
      <c r="B11908" t="s">
        <v>9047</v>
      </c>
      <c r="C11908" t="s">
        <v>9048</v>
      </c>
      <c r="D11908" t="str">
        <f>"6310"</f>
        <v>6310</v>
      </c>
      <c r="E11908" t="s">
        <v>5900</v>
      </c>
      <c r="F11908" t="s">
        <v>1</v>
      </c>
      <c r="G11908" t="s">
        <v>16232</v>
      </c>
      <c r="H11908" t="s">
        <v>47054</v>
      </c>
      <c r="I11908" t="s">
        <v>47118</v>
      </c>
      <c r="J11908" t="s">
        <v>47119</v>
      </c>
      <c r="K11908" t="s">
        <v>47113</v>
      </c>
      <c r="L11908">
        <v>13.22</v>
      </c>
      <c r="M11908">
        <v>35</v>
      </c>
      <c r="N11908">
        <v>0</v>
      </c>
      <c r="O11908">
        <v>35</v>
      </c>
      <c r="P11908">
        <v>0</v>
      </c>
    </row>
    <row r="11909" spans="1:16" x14ac:dyDescent="0.25">
      <c r="A11909" t="s">
        <v>34584</v>
      </c>
      <c r="B11909" t="s">
        <v>9047</v>
      </c>
      <c r="C11909" t="s">
        <v>9048</v>
      </c>
      <c r="D11909" t="str">
        <f>"6438"</f>
        <v>6438</v>
      </c>
      <c r="E11909" t="s">
        <v>9053</v>
      </c>
      <c r="F11909" t="s">
        <v>1</v>
      </c>
      <c r="G11909" t="s">
        <v>16232</v>
      </c>
      <c r="H11909" t="s">
        <v>47054</v>
      </c>
      <c r="I11909" t="s">
        <v>47118</v>
      </c>
      <c r="J11909" t="s">
        <v>47119</v>
      </c>
      <c r="K11909" t="s">
        <v>47113</v>
      </c>
      <c r="L11909">
        <v>14.34</v>
      </c>
      <c r="M11909">
        <v>35</v>
      </c>
      <c r="N11909">
        <v>0</v>
      </c>
      <c r="O11909">
        <v>35</v>
      </c>
      <c r="P11909">
        <v>0</v>
      </c>
    </row>
    <row r="11910" spans="1:16" x14ac:dyDescent="0.25">
      <c r="A11910" t="s">
        <v>34585</v>
      </c>
      <c r="B11910" t="s">
        <v>9054</v>
      </c>
      <c r="C11910" t="s">
        <v>9055</v>
      </c>
      <c r="D11910" t="str">
        <f>"4169"</f>
        <v>4169</v>
      </c>
      <c r="E11910" t="s">
        <v>5883</v>
      </c>
      <c r="F11910" t="s">
        <v>1</v>
      </c>
      <c r="G11910" t="s">
        <v>16221</v>
      </c>
      <c r="H11910" t="s">
        <v>47054</v>
      </c>
      <c r="I11910" t="s">
        <v>47118</v>
      </c>
      <c r="J11910" t="s">
        <v>47119</v>
      </c>
      <c r="K11910" t="s">
        <v>47113</v>
      </c>
      <c r="L11910">
        <v>15.17</v>
      </c>
      <c r="M11910">
        <v>39</v>
      </c>
      <c r="N11910">
        <v>0</v>
      </c>
      <c r="O11910">
        <v>39</v>
      </c>
      <c r="P11910">
        <v>0</v>
      </c>
    </row>
    <row r="11911" spans="1:16" x14ac:dyDescent="0.25">
      <c r="A11911" t="s">
        <v>34586</v>
      </c>
      <c r="B11911" t="s">
        <v>9054</v>
      </c>
      <c r="C11911" t="s">
        <v>9055</v>
      </c>
      <c r="D11911" t="str">
        <f>"7118"</f>
        <v>7118</v>
      </c>
      <c r="E11911" t="s">
        <v>5920</v>
      </c>
      <c r="F11911" t="s">
        <v>1</v>
      </c>
      <c r="G11911" t="s">
        <v>16221</v>
      </c>
      <c r="H11911" t="s">
        <v>47054</v>
      </c>
      <c r="I11911" t="s">
        <v>47118</v>
      </c>
      <c r="J11911" t="s">
        <v>47119</v>
      </c>
      <c r="K11911" t="s">
        <v>47113</v>
      </c>
      <c r="L11911">
        <v>15.17</v>
      </c>
      <c r="M11911">
        <v>39</v>
      </c>
      <c r="N11911">
        <v>0</v>
      </c>
      <c r="O11911">
        <v>39</v>
      </c>
      <c r="P11911">
        <v>0</v>
      </c>
    </row>
    <row r="11912" spans="1:16" x14ac:dyDescent="0.25">
      <c r="A11912" t="s">
        <v>34587</v>
      </c>
      <c r="B11912" t="s">
        <v>9056</v>
      </c>
      <c r="C11912" t="s">
        <v>9057</v>
      </c>
      <c r="D11912" t="str">
        <f>"1437"</f>
        <v>1437</v>
      </c>
      <c r="E11912" t="s">
        <v>9051</v>
      </c>
      <c r="F11912" t="s">
        <v>1</v>
      </c>
      <c r="G11912" t="s">
        <v>16232</v>
      </c>
      <c r="H11912" t="s">
        <v>47054</v>
      </c>
      <c r="I11912" t="s">
        <v>47118</v>
      </c>
      <c r="J11912" t="s">
        <v>47119</v>
      </c>
      <c r="K11912" t="s">
        <v>47113</v>
      </c>
      <c r="L11912">
        <v>15.35</v>
      </c>
      <c r="M11912">
        <v>38</v>
      </c>
      <c r="N11912">
        <v>0</v>
      </c>
      <c r="O11912">
        <v>38</v>
      </c>
      <c r="P11912">
        <v>0</v>
      </c>
    </row>
    <row r="11913" spans="1:16" x14ac:dyDescent="0.25">
      <c r="A11913" t="s">
        <v>34588</v>
      </c>
      <c r="B11913" t="s">
        <v>9056</v>
      </c>
      <c r="C11913" t="s">
        <v>9057</v>
      </c>
      <c r="D11913" t="str">
        <f>"4751"</f>
        <v>4751</v>
      </c>
      <c r="E11913" t="s">
        <v>9058</v>
      </c>
      <c r="F11913" t="s">
        <v>1</v>
      </c>
      <c r="G11913" t="s">
        <v>16232</v>
      </c>
      <c r="H11913" t="s">
        <v>47054</v>
      </c>
      <c r="I11913" t="s">
        <v>47118</v>
      </c>
      <c r="J11913" t="s">
        <v>47119</v>
      </c>
      <c r="K11913" t="s">
        <v>47113</v>
      </c>
      <c r="L11913">
        <v>15.35</v>
      </c>
      <c r="M11913">
        <v>38</v>
      </c>
      <c r="N11913">
        <v>0</v>
      </c>
      <c r="O11913">
        <v>38</v>
      </c>
      <c r="P11913">
        <v>0</v>
      </c>
    </row>
    <row r="11914" spans="1:16" x14ac:dyDescent="0.25">
      <c r="A11914" t="s">
        <v>34589</v>
      </c>
      <c r="B11914" t="s">
        <v>9059</v>
      </c>
      <c r="C11914" t="s">
        <v>9060</v>
      </c>
      <c r="D11914" t="str">
        <f>"2661"</f>
        <v>2661</v>
      </c>
      <c r="E11914" t="s">
        <v>5923</v>
      </c>
      <c r="F11914" t="s">
        <v>0</v>
      </c>
      <c r="G11914" t="s">
        <v>16235</v>
      </c>
      <c r="H11914" t="s">
        <v>47054</v>
      </c>
      <c r="I11914" t="s">
        <v>47118</v>
      </c>
      <c r="J11914" t="s">
        <v>47119</v>
      </c>
      <c r="K11914" t="s">
        <v>47113</v>
      </c>
      <c r="L11914">
        <v>16.22</v>
      </c>
      <c r="M11914">
        <v>35</v>
      </c>
      <c r="N11914">
        <v>0</v>
      </c>
      <c r="O11914">
        <v>35</v>
      </c>
      <c r="P11914">
        <v>0</v>
      </c>
    </row>
    <row r="11915" spans="1:16" x14ac:dyDescent="0.25">
      <c r="A11915" t="s">
        <v>34590</v>
      </c>
      <c r="B11915" t="s">
        <v>9061</v>
      </c>
      <c r="C11915" t="s">
        <v>9062</v>
      </c>
      <c r="D11915" t="str">
        <f>"1108"</f>
        <v>1108</v>
      </c>
      <c r="E11915" t="s">
        <v>9063</v>
      </c>
      <c r="F11915" t="s">
        <v>0</v>
      </c>
      <c r="G11915" t="s">
        <v>16235</v>
      </c>
      <c r="H11915" t="s">
        <v>47054</v>
      </c>
      <c r="I11915" t="s">
        <v>47118</v>
      </c>
      <c r="J11915" t="s">
        <v>47119</v>
      </c>
      <c r="K11915" t="s">
        <v>47113</v>
      </c>
      <c r="L11915">
        <v>20.36</v>
      </c>
      <c r="M11915">
        <v>46</v>
      </c>
      <c r="N11915">
        <v>0</v>
      </c>
      <c r="O11915">
        <v>46</v>
      </c>
      <c r="P11915">
        <v>0</v>
      </c>
    </row>
    <row r="11916" spans="1:16" x14ac:dyDescent="0.25">
      <c r="A11916" t="s">
        <v>34591</v>
      </c>
      <c r="B11916" t="s">
        <v>9064</v>
      </c>
      <c r="C11916" t="s">
        <v>9065</v>
      </c>
      <c r="D11916" t="str">
        <f>"2669"</f>
        <v>2669</v>
      </c>
      <c r="E11916" t="s">
        <v>9066</v>
      </c>
      <c r="F11916" t="s">
        <v>0</v>
      </c>
      <c r="G11916" t="s">
        <v>16235</v>
      </c>
      <c r="H11916" t="s">
        <v>47054</v>
      </c>
      <c r="I11916" t="s">
        <v>47118</v>
      </c>
      <c r="J11916" t="s">
        <v>47119</v>
      </c>
      <c r="K11916" t="s">
        <v>47113</v>
      </c>
      <c r="L11916">
        <v>24.31</v>
      </c>
      <c r="M11916">
        <v>54</v>
      </c>
      <c r="N11916">
        <v>0</v>
      </c>
      <c r="O11916">
        <v>54</v>
      </c>
      <c r="P11916">
        <v>0</v>
      </c>
    </row>
    <row r="11917" spans="1:16" x14ac:dyDescent="0.25">
      <c r="A11917" t="s">
        <v>34592</v>
      </c>
      <c r="B11917" t="s">
        <v>17916</v>
      </c>
      <c r="C11917" t="s">
        <v>17917</v>
      </c>
      <c r="D11917" t="str">
        <f>"1001"</f>
        <v>1001</v>
      </c>
      <c r="E11917" t="s">
        <v>17918</v>
      </c>
      <c r="F11917" t="s">
        <v>3750</v>
      </c>
      <c r="G11917" t="s">
        <v>16234</v>
      </c>
      <c r="H11917" t="s">
        <v>47054</v>
      </c>
      <c r="I11917" t="s">
        <v>47120</v>
      </c>
      <c r="J11917" t="s">
        <v>47121</v>
      </c>
      <c r="K11917" t="s">
        <v>47113</v>
      </c>
      <c r="L11917">
        <v>22.58</v>
      </c>
      <c r="M11917">
        <v>64</v>
      </c>
      <c r="N11917">
        <v>0</v>
      </c>
      <c r="O11917">
        <v>64</v>
      </c>
      <c r="P11917">
        <v>0</v>
      </c>
    </row>
    <row r="11918" spans="1:16" x14ac:dyDescent="0.25">
      <c r="A11918" t="s">
        <v>34593</v>
      </c>
      <c r="B11918" t="s">
        <v>17919</v>
      </c>
      <c r="C11918" t="s">
        <v>17917</v>
      </c>
      <c r="D11918" t="str">
        <f>"6000"</f>
        <v>6000</v>
      </c>
      <c r="E11918" t="s">
        <v>17920</v>
      </c>
      <c r="F11918" t="s">
        <v>3750</v>
      </c>
      <c r="G11918" t="s">
        <v>16234</v>
      </c>
      <c r="H11918" t="s">
        <v>47054</v>
      </c>
      <c r="I11918" t="s">
        <v>47120</v>
      </c>
      <c r="J11918" t="s">
        <v>47121</v>
      </c>
      <c r="K11918" t="s">
        <v>47113</v>
      </c>
      <c r="L11918">
        <v>22.58</v>
      </c>
      <c r="M11918">
        <v>64</v>
      </c>
      <c r="N11918">
        <v>0</v>
      </c>
      <c r="O11918">
        <v>64</v>
      </c>
      <c r="P11918">
        <v>0</v>
      </c>
    </row>
    <row r="11919" spans="1:16" x14ac:dyDescent="0.25">
      <c r="A11919" t="s">
        <v>34594</v>
      </c>
      <c r="B11919" t="s">
        <v>20754</v>
      </c>
      <c r="C11919" t="s">
        <v>20755</v>
      </c>
      <c r="D11919" t="str">
        <f>"3443"</f>
        <v>3443</v>
      </c>
      <c r="E11919" t="s">
        <v>20756</v>
      </c>
      <c r="F11919" t="s">
        <v>16601</v>
      </c>
      <c r="G11919" t="s">
        <v>16234</v>
      </c>
      <c r="H11919" t="s">
        <v>47054</v>
      </c>
      <c r="I11919" t="s">
        <v>47120</v>
      </c>
      <c r="J11919" t="s">
        <v>47121</v>
      </c>
      <c r="K11919" t="s">
        <v>47113</v>
      </c>
      <c r="L11919">
        <v>22.97</v>
      </c>
      <c r="M11919">
        <v>40</v>
      </c>
      <c r="N11919">
        <v>0</v>
      </c>
      <c r="O11919">
        <v>40</v>
      </c>
      <c r="P11919">
        <v>0</v>
      </c>
    </row>
    <row r="11920" spans="1:16" x14ac:dyDescent="0.25">
      <c r="A11920" t="s">
        <v>34595</v>
      </c>
      <c r="B11920" t="s">
        <v>20757</v>
      </c>
      <c r="C11920" t="s">
        <v>20758</v>
      </c>
      <c r="D11920" t="str">
        <f>"1001"</f>
        <v>1001</v>
      </c>
      <c r="E11920" t="s">
        <v>42</v>
      </c>
      <c r="F11920" t="s">
        <v>16601</v>
      </c>
      <c r="G11920" t="s">
        <v>16234</v>
      </c>
      <c r="I11920" t="s">
        <v>47120</v>
      </c>
      <c r="J11920" t="s">
        <v>47121</v>
      </c>
      <c r="K11920" t="s">
        <v>47113</v>
      </c>
      <c r="L11920">
        <v>22.04</v>
      </c>
      <c r="M11920">
        <v>34</v>
      </c>
      <c r="N11920">
        <v>0</v>
      </c>
      <c r="O11920">
        <v>34</v>
      </c>
      <c r="P11920">
        <v>0</v>
      </c>
    </row>
    <row r="11921" spans="1:16" x14ac:dyDescent="0.25">
      <c r="A11921" t="s">
        <v>34596</v>
      </c>
      <c r="B11921" t="s">
        <v>14469</v>
      </c>
      <c r="C11921" t="s">
        <v>14468</v>
      </c>
      <c r="D11921" t="str">
        <f>"1106"</f>
        <v>1106</v>
      </c>
      <c r="E11921" t="s">
        <v>460</v>
      </c>
      <c r="F11921" t="s">
        <v>3558</v>
      </c>
      <c r="G11921" t="s">
        <v>16235</v>
      </c>
      <c r="H11921" t="s">
        <v>47054</v>
      </c>
      <c r="I11921" t="s">
        <v>47569</v>
      </c>
      <c r="J11921" t="s">
        <v>47570</v>
      </c>
      <c r="K11921" t="s">
        <v>47113</v>
      </c>
      <c r="L11921">
        <v>26.11</v>
      </c>
      <c r="M11921">
        <v>55</v>
      </c>
      <c r="N11921">
        <v>0</v>
      </c>
      <c r="O11921">
        <v>55</v>
      </c>
      <c r="P11921">
        <v>0</v>
      </c>
    </row>
    <row r="11922" spans="1:16" x14ac:dyDescent="0.25">
      <c r="A11922" t="s">
        <v>34597</v>
      </c>
      <c r="B11922" t="s">
        <v>14469</v>
      </c>
      <c r="C11922" t="s">
        <v>14468</v>
      </c>
      <c r="D11922" t="str">
        <f>"4002"</f>
        <v>4002</v>
      </c>
      <c r="E11922" t="s">
        <v>710</v>
      </c>
      <c r="F11922" t="s">
        <v>16623</v>
      </c>
      <c r="G11922" t="s">
        <v>16235</v>
      </c>
      <c r="H11922" t="s">
        <v>47054</v>
      </c>
      <c r="I11922" t="s">
        <v>47569</v>
      </c>
      <c r="J11922" t="s">
        <v>47570</v>
      </c>
      <c r="K11922" t="s">
        <v>47113</v>
      </c>
      <c r="L11922">
        <v>26.99</v>
      </c>
      <c r="M11922">
        <v>55</v>
      </c>
      <c r="N11922">
        <v>0</v>
      </c>
      <c r="O11922">
        <v>55</v>
      </c>
      <c r="P11922">
        <v>0</v>
      </c>
    </row>
    <row r="11923" spans="1:16" x14ac:dyDescent="0.25">
      <c r="A11923" t="s">
        <v>34598</v>
      </c>
      <c r="B11923" t="s">
        <v>14469</v>
      </c>
      <c r="C11923" t="s">
        <v>14468</v>
      </c>
      <c r="D11923" t="str">
        <f>"4048"</f>
        <v>4048</v>
      </c>
      <c r="E11923" t="s">
        <v>20759</v>
      </c>
      <c r="F11923" t="s">
        <v>16623</v>
      </c>
      <c r="G11923" t="s">
        <v>16235</v>
      </c>
      <c r="H11923" t="s">
        <v>47054</v>
      </c>
      <c r="I11923" t="s">
        <v>47569</v>
      </c>
      <c r="J11923" t="s">
        <v>47570</v>
      </c>
      <c r="K11923" t="s">
        <v>47113</v>
      </c>
      <c r="L11923">
        <v>26.99</v>
      </c>
      <c r="M11923">
        <v>55</v>
      </c>
      <c r="N11923">
        <v>0</v>
      </c>
      <c r="O11923">
        <v>55</v>
      </c>
      <c r="P11923">
        <v>0</v>
      </c>
    </row>
    <row r="11924" spans="1:16" x14ac:dyDescent="0.25">
      <c r="A11924" t="s">
        <v>34599</v>
      </c>
      <c r="B11924" t="s">
        <v>14469</v>
      </c>
      <c r="C11924" t="s">
        <v>14468</v>
      </c>
      <c r="D11924" t="str">
        <f>"6000"</f>
        <v>6000</v>
      </c>
      <c r="E11924" t="s">
        <v>6279</v>
      </c>
      <c r="F11924" t="s">
        <v>3558</v>
      </c>
      <c r="G11924" t="s">
        <v>16235</v>
      </c>
      <c r="H11924" t="s">
        <v>47054</v>
      </c>
      <c r="I11924" t="s">
        <v>47569</v>
      </c>
      <c r="J11924" t="s">
        <v>47570</v>
      </c>
      <c r="K11924" t="s">
        <v>47113</v>
      </c>
      <c r="L11924">
        <v>26.11</v>
      </c>
      <c r="M11924">
        <v>55</v>
      </c>
      <c r="N11924">
        <v>0</v>
      </c>
      <c r="O11924">
        <v>55</v>
      </c>
      <c r="P11924">
        <v>0</v>
      </c>
    </row>
    <row r="11925" spans="1:16" x14ac:dyDescent="0.25">
      <c r="A11925" t="s">
        <v>34600</v>
      </c>
      <c r="B11925" t="s">
        <v>14469</v>
      </c>
      <c r="C11925" t="s">
        <v>14468</v>
      </c>
      <c r="D11925" t="s">
        <v>8967</v>
      </c>
      <c r="E11925" t="s">
        <v>8968</v>
      </c>
      <c r="F11925" t="s">
        <v>3558</v>
      </c>
      <c r="G11925" t="s">
        <v>16235</v>
      </c>
      <c r="H11925" t="s">
        <v>47054</v>
      </c>
      <c r="I11925" t="s">
        <v>47569</v>
      </c>
      <c r="J11925" t="s">
        <v>47570</v>
      </c>
      <c r="K11925" t="s">
        <v>47113</v>
      </c>
      <c r="L11925">
        <v>26.11</v>
      </c>
      <c r="M11925">
        <v>55</v>
      </c>
      <c r="N11925">
        <v>0</v>
      </c>
      <c r="O11925">
        <v>55</v>
      </c>
      <c r="P11925">
        <v>0</v>
      </c>
    </row>
    <row r="11926" spans="1:16" x14ac:dyDescent="0.25">
      <c r="A11926" t="s">
        <v>34601</v>
      </c>
      <c r="B11926" t="s">
        <v>14467</v>
      </c>
      <c r="C11926" t="s">
        <v>14466</v>
      </c>
      <c r="D11926" t="str">
        <f>"1106"</f>
        <v>1106</v>
      </c>
      <c r="E11926" t="s">
        <v>460</v>
      </c>
      <c r="F11926" t="s">
        <v>3558</v>
      </c>
      <c r="G11926" t="s">
        <v>16222</v>
      </c>
      <c r="H11926" t="s">
        <v>47054</v>
      </c>
      <c r="I11926" t="s">
        <v>47569</v>
      </c>
      <c r="J11926" t="s">
        <v>47570</v>
      </c>
      <c r="K11926" t="s">
        <v>47113</v>
      </c>
      <c r="L11926">
        <v>22.6</v>
      </c>
      <c r="M11926">
        <v>55</v>
      </c>
      <c r="N11926">
        <v>0</v>
      </c>
      <c r="O11926">
        <v>55</v>
      </c>
      <c r="P11926">
        <v>0</v>
      </c>
    </row>
    <row r="11927" spans="1:16" x14ac:dyDescent="0.25">
      <c r="A11927" t="s">
        <v>34602</v>
      </c>
      <c r="B11927" t="s">
        <v>14467</v>
      </c>
      <c r="C11927" t="s">
        <v>14466</v>
      </c>
      <c r="D11927" t="str">
        <f>"4002"</f>
        <v>4002</v>
      </c>
      <c r="E11927" t="s">
        <v>710</v>
      </c>
      <c r="F11927" t="s">
        <v>3558</v>
      </c>
      <c r="G11927" t="s">
        <v>16222</v>
      </c>
      <c r="H11927" t="s">
        <v>47054</v>
      </c>
      <c r="I11927" t="s">
        <v>47569</v>
      </c>
      <c r="J11927" t="s">
        <v>47570</v>
      </c>
      <c r="K11927" t="s">
        <v>47113</v>
      </c>
      <c r="L11927">
        <v>22.6</v>
      </c>
      <c r="M11927">
        <v>55</v>
      </c>
      <c r="N11927">
        <v>0</v>
      </c>
      <c r="O11927">
        <v>55</v>
      </c>
      <c r="P11927">
        <v>0</v>
      </c>
    </row>
    <row r="11928" spans="1:16" x14ac:dyDescent="0.25">
      <c r="A11928" t="s">
        <v>34603</v>
      </c>
      <c r="B11928" t="s">
        <v>14467</v>
      </c>
      <c r="C11928" t="s">
        <v>14466</v>
      </c>
      <c r="D11928" t="s">
        <v>8967</v>
      </c>
      <c r="E11928" t="s">
        <v>8968</v>
      </c>
      <c r="F11928" t="s">
        <v>3558</v>
      </c>
      <c r="G11928" t="s">
        <v>16222</v>
      </c>
      <c r="H11928" t="s">
        <v>47054</v>
      </c>
      <c r="I11928" t="s">
        <v>47569</v>
      </c>
      <c r="J11928" t="s">
        <v>47570</v>
      </c>
      <c r="K11928" t="s">
        <v>47113</v>
      </c>
      <c r="L11928">
        <v>22.6</v>
      </c>
      <c r="M11928">
        <v>48</v>
      </c>
      <c r="N11928">
        <v>0</v>
      </c>
      <c r="O11928">
        <v>48</v>
      </c>
      <c r="P11928">
        <v>0</v>
      </c>
    </row>
    <row r="11929" spans="1:16" x14ac:dyDescent="0.25">
      <c r="A11929" t="s">
        <v>34604</v>
      </c>
      <c r="B11929" t="s">
        <v>15640</v>
      </c>
      <c r="C11929" t="s">
        <v>15641</v>
      </c>
      <c r="D11929" t="str">
        <f>"1106"</f>
        <v>1106</v>
      </c>
      <c r="E11929" t="s">
        <v>460</v>
      </c>
      <c r="F11929" t="s">
        <v>3558</v>
      </c>
      <c r="G11929" t="s">
        <v>16222</v>
      </c>
      <c r="H11929" t="s">
        <v>47054</v>
      </c>
      <c r="I11929" t="s">
        <v>47569</v>
      </c>
      <c r="J11929" t="s">
        <v>47570</v>
      </c>
      <c r="K11929" t="s">
        <v>47113</v>
      </c>
      <c r="L11929">
        <v>19.989999999999998</v>
      </c>
      <c r="M11929">
        <v>37</v>
      </c>
      <c r="N11929">
        <v>0</v>
      </c>
      <c r="O11929">
        <v>37</v>
      </c>
      <c r="P11929">
        <v>0</v>
      </c>
    </row>
    <row r="11930" spans="1:16" x14ac:dyDescent="0.25">
      <c r="A11930" t="s">
        <v>34605</v>
      </c>
      <c r="B11930" t="s">
        <v>15640</v>
      </c>
      <c r="C11930" t="s">
        <v>15641</v>
      </c>
      <c r="D11930" t="str">
        <f>"4048"</f>
        <v>4048</v>
      </c>
      <c r="E11930" t="s">
        <v>710</v>
      </c>
      <c r="F11930" t="s">
        <v>3558</v>
      </c>
      <c r="G11930" t="s">
        <v>16222</v>
      </c>
      <c r="H11930" t="s">
        <v>47054</v>
      </c>
      <c r="I11930" t="s">
        <v>47569</v>
      </c>
      <c r="J11930" t="s">
        <v>47570</v>
      </c>
      <c r="K11930" t="s">
        <v>47113</v>
      </c>
      <c r="L11930">
        <v>19.62</v>
      </c>
      <c r="M11930">
        <v>37</v>
      </c>
      <c r="N11930">
        <v>0</v>
      </c>
      <c r="O11930">
        <v>37</v>
      </c>
      <c r="P11930">
        <v>0</v>
      </c>
    </row>
    <row r="11931" spans="1:16" x14ac:dyDescent="0.25">
      <c r="A11931" t="s">
        <v>34606</v>
      </c>
      <c r="B11931" t="s">
        <v>15640</v>
      </c>
      <c r="C11931" t="s">
        <v>15641</v>
      </c>
      <c r="D11931" t="str">
        <f>"6000"</f>
        <v>6000</v>
      </c>
      <c r="E11931" t="s">
        <v>6279</v>
      </c>
      <c r="F11931" t="s">
        <v>3558</v>
      </c>
      <c r="G11931" t="s">
        <v>16222</v>
      </c>
      <c r="H11931" t="s">
        <v>47054</v>
      </c>
      <c r="I11931" t="s">
        <v>47569</v>
      </c>
      <c r="J11931" t="s">
        <v>47570</v>
      </c>
      <c r="K11931" t="s">
        <v>47113</v>
      </c>
      <c r="L11931">
        <v>19.989999999999998</v>
      </c>
      <c r="M11931">
        <v>37</v>
      </c>
      <c r="N11931">
        <v>0</v>
      </c>
      <c r="O11931">
        <v>37</v>
      </c>
      <c r="P11931">
        <v>0</v>
      </c>
    </row>
    <row r="11932" spans="1:16" x14ac:dyDescent="0.25">
      <c r="A11932" t="s">
        <v>34607</v>
      </c>
      <c r="B11932" t="s">
        <v>17921</v>
      </c>
      <c r="C11932" t="s">
        <v>17922</v>
      </c>
      <c r="D11932" t="str">
        <f>"1106"</f>
        <v>1106</v>
      </c>
      <c r="E11932" t="s">
        <v>460</v>
      </c>
      <c r="F11932" t="s">
        <v>16601</v>
      </c>
      <c r="G11932" t="s">
        <v>16235</v>
      </c>
      <c r="H11932" t="s">
        <v>47054</v>
      </c>
      <c r="I11932" t="s">
        <v>47569</v>
      </c>
      <c r="J11932" t="s">
        <v>47570</v>
      </c>
      <c r="K11932" t="s">
        <v>47113</v>
      </c>
      <c r="L11932">
        <v>19.09</v>
      </c>
      <c r="M11932">
        <v>59</v>
      </c>
      <c r="N11932">
        <v>0</v>
      </c>
      <c r="O11932">
        <v>59</v>
      </c>
      <c r="P11932">
        <v>0</v>
      </c>
    </row>
    <row r="11933" spans="1:16" x14ac:dyDescent="0.25">
      <c r="A11933" t="s">
        <v>34608</v>
      </c>
      <c r="B11933" t="s">
        <v>17921</v>
      </c>
      <c r="C11933" t="s">
        <v>17922</v>
      </c>
      <c r="D11933" t="str">
        <f>"4002"</f>
        <v>4002</v>
      </c>
      <c r="E11933" t="s">
        <v>710</v>
      </c>
      <c r="F11933" t="s">
        <v>16623</v>
      </c>
      <c r="G11933" t="s">
        <v>16235</v>
      </c>
      <c r="H11933" t="s">
        <v>47054</v>
      </c>
      <c r="I11933" t="s">
        <v>47569</v>
      </c>
      <c r="J11933" t="s">
        <v>47570</v>
      </c>
      <c r="K11933" t="s">
        <v>47113</v>
      </c>
      <c r="L11933">
        <v>20.25</v>
      </c>
      <c r="M11933">
        <v>59</v>
      </c>
      <c r="N11933">
        <v>0</v>
      </c>
      <c r="O11933">
        <v>59</v>
      </c>
      <c r="P11933">
        <v>0</v>
      </c>
    </row>
    <row r="11934" spans="1:16" x14ac:dyDescent="0.25">
      <c r="A11934" t="s">
        <v>34609</v>
      </c>
      <c r="B11934" t="s">
        <v>17921</v>
      </c>
      <c r="C11934" t="s">
        <v>17922</v>
      </c>
      <c r="D11934" t="str">
        <f>"4048"</f>
        <v>4048</v>
      </c>
      <c r="E11934" t="s">
        <v>20759</v>
      </c>
      <c r="F11934" t="s">
        <v>16623</v>
      </c>
      <c r="G11934" t="s">
        <v>16235</v>
      </c>
      <c r="H11934" t="s">
        <v>47054</v>
      </c>
      <c r="I11934" t="s">
        <v>47569</v>
      </c>
      <c r="J11934" t="s">
        <v>47570</v>
      </c>
      <c r="K11934" t="s">
        <v>47113</v>
      </c>
      <c r="L11934">
        <v>32.229999999999997</v>
      </c>
      <c r="M11934">
        <v>59</v>
      </c>
      <c r="N11934">
        <v>0</v>
      </c>
      <c r="O11934">
        <v>59</v>
      </c>
      <c r="P11934">
        <v>0</v>
      </c>
    </row>
    <row r="11935" spans="1:16" x14ac:dyDescent="0.25">
      <c r="A11935" t="s">
        <v>34610</v>
      </c>
      <c r="B11935" t="s">
        <v>17921</v>
      </c>
      <c r="C11935" t="s">
        <v>17922</v>
      </c>
      <c r="D11935" t="str">
        <f>"6000"</f>
        <v>6000</v>
      </c>
      <c r="E11935" t="s">
        <v>6279</v>
      </c>
      <c r="F11935" t="s">
        <v>16601</v>
      </c>
      <c r="G11935" t="s">
        <v>16235</v>
      </c>
      <c r="H11935" t="s">
        <v>47054</v>
      </c>
      <c r="I11935" t="s">
        <v>47569</v>
      </c>
      <c r="J11935" t="s">
        <v>47570</v>
      </c>
      <c r="K11935" t="s">
        <v>47113</v>
      </c>
      <c r="L11935">
        <v>19.09</v>
      </c>
      <c r="M11935">
        <v>59</v>
      </c>
      <c r="N11935">
        <v>0</v>
      </c>
      <c r="O11935">
        <v>59</v>
      </c>
      <c r="P11935">
        <v>0</v>
      </c>
    </row>
    <row r="11936" spans="1:16" x14ac:dyDescent="0.25">
      <c r="A11936" t="s">
        <v>34611</v>
      </c>
      <c r="B11936" t="s">
        <v>17923</v>
      </c>
      <c r="C11936" t="s">
        <v>15372</v>
      </c>
      <c r="D11936" t="str">
        <f>"1001"</f>
        <v>1001</v>
      </c>
      <c r="E11936" t="s">
        <v>460</v>
      </c>
      <c r="F11936" t="s">
        <v>19559</v>
      </c>
      <c r="G11936" t="s">
        <v>16222</v>
      </c>
      <c r="H11936" t="s">
        <v>47054</v>
      </c>
      <c r="I11936" t="s">
        <v>47569</v>
      </c>
      <c r="J11936" t="s">
        <v>47570</v>
      </c>
      <c r="K11936" t="s">
        <v>47113</v>
      </c>
      <c r="L11936">
        <v>24.35</v>
      </c>
      <c r="M11936">
        <v>55</v>
      </c>
      <c r="N11936">
        <v>0</v>
      </c>
      <c r="O11936">
        <v>55</v>
      </c>
      <c r="P11936">
        <v>0</v>
      </c>
    </row>
    <row r="11937" spans="1:16" x14ac:dyDescent="0.25">
      <c r="A11937" t="s">
        <v>34612</v>
      </c>
      <c r="B11937" t="s">
        <v>17923</v>
      </c>
      <c r="C11937" t="s">
        <v>15372</v>
      </c>
      <c r="D11937" t="str">
        <f>"4002"</f>
        <v>4002</v>
      </c>
      <c r="E11937" t="s">
        <v>710</v>
      </c>
      <c r="F11937" t="s">
        <v>16839</v>
      </c>
      <c r="G11937" t="s">
        <v>16222</v>
      </c>
      <c r="H11937" t="s">
        <v>47054</v>
      </c>
      <c r="I11937" t="s">
        <v>47569</v>
      </c>
      <c r="J11937" t="s">
        <v>47570</v>
      </c>
      <c r="K11937" t="s">
        <v>47113</v>
      </c>
      <c r="L11937">
        <v>25.64</v>
      </c>
      <c r="M11937">
        <v>55</v>
      </c>
      <c r="N11937">
        <v>0</v>
      </c>
      <c r="O11937">
        <v>55</v>
      </c>
      <c r="P11937">
        <v>0</v>
      </c>
    </row>
    <row r="11938" spans="1:16" x14ac:dyDescent="0.25">
      <c r="A11938" t="s">
        <v>34613</v>
      </c>
      <c r="B11938" t="s">
        <v>17923</v>
      </c>
      <c r="C11938" t="s">
        <v>15372</v>
      </c>
      <c r="D11938" t="str">
        <f>"4048"</f>
        <v>4048</v>
      </c>
      <c r="E11938" t="s">
        <v>20759</v>
      </c>
      <c r="F11938" t="s">
        <v>16839</v>
      </c>
      <c r="G11938" t="s">
        <v>16222</v>
      </c>
      <c r="H11938" t="s">
        <v>47054</v>
      </c>
      <c r="I11938" t="s">
        <v>47569</v>
      </c>
      <c r="J11938" t="s">
        <v>47570</v>
      </c>
      <c r="K11938" t="s">
        <v>47113</v>
      </c>
      <c r="L11938">
        <v>25.64</v>
      </c>
      <c r="M11938">
        <v>55</v>
      </c>
      <c r="N11938">
        <v>0</v>
      </c>
      <c r="O11938">
        <v>55</v>
      </c>
      <c r="P11938">
        <v>0</v>
      </c>
    </row>
    <row r="11939" spans="1:16" x14ac:dyDescent="0.25">
      <c r="A11939" t="s">
        <v>34614</v>
      </c>
      <c r="B11939" t="s">
        <v>17923</v>
      </c>
      <c r="C11939" t="s">
        <v>15372</v>
      </c>
      <c r="D11939" t="str">
        <f>"6000"</f>
        <v>6000</v>
      </c>
      <c r="E11939" t="s">
        <v>6279</v>
      </c>
      <c r="F11939" t="s">
        <v>16730</v>
      </c>
      <c r="G11939" t="s">
        <v>16222</v>
      </c>
      <c r="H11939" t="s">
        <v>47054</v>
      </c>
      <c r="I11939" t="s">
        <v>47569</v>
      </c>
      <c r="J11939" t="s">
        <v>47570</v>
      </c>
      <c r="K11939" t="s">
        <v>47113</v>
      </c>
      <c r="L11939">
        <v>24.35</v>
      </c>
      <c r="M11939">
        <v>55</v>
      </c>
      <c r="N11939">
        <v>0</v>
      </c>
      <c r="O11939">
        <v>55</v>
      </c>
      <c r="P11939">
        <v>0</v>
      </c>
    </row>
    <row r="11940" spans="1:16" x14ac:dyDescent="0.25">
      <c r="A11940" t="s">
        <v>34615</v>
      </c>
      <c r="B11940" t="s">
        <v>9067</v>
      </c>
      <c r="C11940" t="s">
        <v>9068</v>
      </c>
      <c r="D11940" t="str">
        <f>"1001"</f>
        <v>1001</v>
      </c>
      <c r="E11940" t="s">
        <v>42</v>
      </c>
      <c r="F11940" t="s">
        <v>4</v>
      </c>
      <c r="G11940" t="s">
        <v>16224</v>
      </c>
      <c r="H11940" t="s">
        <v>47054</v>
      </c>
      <c r="I11940" t="s">
        <v>47120</v>
      </c>
      <c r="J11940" t="s">
        <v>47121</v>
      </c>
      <c r="K11940" t="s">
        <v>47113</v>
      </c>
      <c r="L11940">
        <v>144.69</v>
      </c>
      <c r="M11940">
        <v>353</v>
      </c>
      <c r="N11940">
        <v>0</v>
      </c>
      <c r="O11940">
        <v>353</v>
      </c>
      <c r="P11940">
        <v>0</v>
      </c>
    </row>
    <row r="11941" spans="1:16" x14ac:dyDescent="0.25">
      <c r="A11941" t="s">
        <v>34616</v>
      </c>
      <c r="B11941" t="s">
        <v>9069</v>
      </c>
      <c r="C11941" t="s">
        <v>9070</v>
      </c>
      <c r="D11941" t="str">
        <f>"1001"</f>
        <v>1001</v>
      </c>
      <c r="E11941" t="s">
        <v>9071</v>
      </c>
      <c r="F11941" t="s">
        <v>4</v>
      </c>
      <c r="G11941" t="s">
        <v>16224</v>
      </c>
      <c r="H11941" t="s">
        <v>47054</v>
      </c>
      <c r="I11941" t="s">
        <v>47118</v>
      </c>
      <c r="J11941" t="s">
        <v>47119</v>
      </c>
      <c r="K11941" t="s">
        <v>47113</v>
      </c>
      <c r="L11941">
        <v>165.32</v>
      </c>
      <c r="M11941">
        <v>403</v>
      </c>
      <c r="N11941">
        <v>0</v>
      </c>
      <c r="O11941">
        <v>403</v>
      </c>
      <c r="P11941">
        <v>0</v>
      </c>
    </row>
    <row r="11942" spans="1:16" x14ac:dyDescent="0.25">
      <c r="A11942" t="s">
        <v>34617</v>
      </c>
      <c r="B11942" t="s">
        <v>9072</v>
      </c>
      <c r="C11942" t="s">
        <v>9070</v>
      </c>
      <c r="D11942" t="str">
        <f>"1001"</f>
        <v>1001</v>
      </c>
      <c r="E11942" t="s">
        <v>9071</v>
      </c>
      <c r="F11942" t="s">
        <v>4</v>
      </c>
      <c r="G11942" t="s">
        <v>16224</v>
      </c>
      <c r="H11942" t="s">
        <v>47054</v>
      </c>
      <c r="I11942" t="s">
        <v>47118</v>
      </c>
      <c r="J11942" t="s">
        <v>47119</v>
      </c>
      <c r="K11942" t="s">
        <v>47113</v>
      </c>
      <c r="L11942">
        <v>165.32</v>
      </c>
      <c r="M11942">
        <v>403</v>
      </c>
      <c r="N11942">
        <v>0</v>
      </c>
      <c r="O11942">
        <v>403</v>
      </c>
      <c r="P11942">
        <v>0</v>
      </c>
    </row>
    <row r="11943" spans="1:16" x14ac:dyDescent="0.25">
      <c r="A11943" t="s">
        <v>34618</v>
      </c>
      <c r="B11943" t="s">
        <v>9073</v>
      </c>
      <c r="C11943" t="s">
        <v>9074</v>
      </c>
      <c r="D11943" t="s">
        <v>9075</v>
      </c>
      <c r="E11943" t="s">
        <v>9076</v>
      </c>
      <c r="F11943" t="s">
        <v>1</v>
      </c>
      <c r="G11943" t="s">
        <v>16231</v>
      </c>
      <c r="H11943" t="s">
        <v>47054</v>
      </c>
      <c r="I11943" t="s">
        <v>47111</v>
      </c>
      <c r="J11943" t="s">
        <v>47112</v>
      </c>
      <c r="K11943" t="s">
        <v>47113</v>
      </c>
      <c r="L11943">
        <v>46.68</v>
      </c>
      <c r="M11943">
        <v>114</v>
      </c>
      <c r="N11943">
        <v>0</v>
      </c>
      <c r="O11943">
        <v>114</v>
      </c>
      <c r="P11943">
        <v>0</v>
      </c>
    </row>
    <row r="11944" spans="1:16" x14ac:dyDescent="0.25">
      <c r="A11944" t="s">
        <v>34619</v>
      </c>
      <c r="B11944" t="s">
        <v>9077</v>
      </c>
      <c r="C11944" t="s">
        <v>9078</v>
      </c>
      <c r="D11944" t="s">
        <v>9079</v>
      </c>
      <c r="E11944" t="s">
        <v>9080</v>
      </c>
      <c r="F11944" t="s">
        <v>1</v>
      </c>
      <c r="G11944" t="s">
        <v>16231</v>
      </c>
      <c r="H11944" t="s">
        <v>47054</v>
      </c>
      <c r="I11944" t="s">
        <v>47111</v>
      </c>
      <c r="J11944" t="s">
        <v>47112</v>
      </c>
      <c r="K11944" t="s">
        <v>47113</v>
      </c>
      <c r="L11944">
        <v>55.82</v>
      </c>
      <c r="M11944">
        <v>137</v>
      </c>
      <c r="N11944">
        <v>0</v>
      </c>
      <c r="O11944">
        <v>137</v>
      </c>
      <c r="P11944">
        <v>0</v>
      </c>
    </row>
    <row r="11945" spans="1:16" x14ac:dyDescent="0.25">
      <c r="A11945" t="s">
        <v>34620</v>
      </c>
      <c r="B11945" t="s">
        <v>9081</v>
      </c>
      <c r="C11945" t="s">
        <v>9082</v>
      </c>
      <c r="D11945" t="s">
        <v>9079</v>
      </c>
      <c r="E11945" t="s">
        <v>9080</v>
      </c>
      <c r="F11945" t="s">
        <v>1</v>
      </c>
      <c r="G11945" t="s">
        <v>16231</v>
      </c>
      <c r="H11945" t="s">
        <v>47054</v>
      </c>
      <c r="I11945" t="s">
        <v>47111</v>
      </c>
      <c r="J11945" t="s">
        <v>47112</v>
      </c>
      <c r="K11945" t="s">
        <v>47113</v>
      </c>
      <c r="L11945">
        <v>55.82</v>
      </c>
      <c r="M11945">
        <v>136</v>
      </c>
      <c r="N11945">
        <v>0</v>
      </c>
      <c r="O11945">
        <v>136</v>
      </c>
      <c r="P11945">
        <v>0</v>
      </c>
    </row>
    <row r="11946" spans="1:16" x14ac:dyDescent="0.25">
      <c r="A11946" t="s">
        <v>34621</v>
      </c>
      <c r="B11946" t="s">
        <v>9083</v>
      </c>
      <c r="C11946" t="s">
        <v>9084</v>
      </c>
      <c r="D11946" t="s">
        <v>9085</v>
      </c>
      <c r="E11946" t="s">
        <v>9086</v>
      </c>
      <c r="F11946" t="s">
        <v>0</v>
      </c>
      <c r="G11946" t="s">
        <v>16231</v>
      </c>
      <c r="H11946" t="s">
        <v>47054</v>
      </c>
      <c r="I11946" t="s">
        <v>47111</v>
      </c>
      <c r="J11946" t="s">
        <v>47112</v>
      </c>
      <c r="K11946" t="s">
        <v>47113</v>
      </c>
      <c r="L11946">
        <v>42.54</v>
      </c>
      <c r="M11946">
        <v>92</v>
      </c>
      <c r="N11946">
        <v>0</v>
      </c>
      <c r="O11946">
        <v>92</v>
      </c>
      <c r="P11946">
        <v>0</v>
      </c>
    </row>
    <row r="11947" spans="1:16" x14ac:dyDescent="0.25">
      <c r="A11947" t="s">
        <v>34622</v>
      </c>
      <c r="B11947" t="s">
        <v>9083</v>
      </c>
      <c r="C11947" t="s">
        <v>9084</v>
      </c>
      <c r="D11947" t="s">
        <v>8269</v>
      </c>
      <c r="E11947" t="s">
        <v>8270</v>
      </c>
      <c r="F11947" t="s">
        <v>0</v>
      </c>
      <c r="G11947" t="s">
        <v>16231</v>
      </c>
      <c r="H11947" t="s">
        <v>47054</v>
      </c>
      <c r="I11947" t="s">
        <v>47111</v>
      </c>
      <c r="J11947" t="s">
        <v>47112</v>
      </c>
      <c r="K11947" t="s">
        <v>47113</v>
      </c>
      <c r="L11947">
        <v>46.59</v>
      </c>
      <c r="M11947">
        <v>95</v>
      </c>
      <c r="N11947">
        <v>0</v>
      </c>
      <c r="O11947">
        <v>95</v>
      </c>
      <c r="P11947">
        <v>0</v>
      </c>
    </row>
    <row r="11948" spans="1:16" x14ac:dyDescent="0.25">
      <c r="A11948" t="s">
        <v>34623</v>
      </c>
      <c r="B11948" t="s">
        <v>9083</v>
      </c>
      <c r="C11948" t="s">
        <v>9084</v>
      </c>
      <c r="D11948" t="s">
        <v>9087</v>
      </c>
      <c r="E11948" t="s">
        <v>9088</v>
      </c>
      <c r="F11948" t="s">
        <v>1</v>
      </c>
      <c r="G11948" t="s">
        <v>16231</v>
      </c>
      <c r="H11948" t="s">
        <v>47054</v>
      </c>
      <c r="I11948" t="s">
        <v>47111</v>
      </c>
      <c r="J11948" t="s">
        <v>47112</v>
      </c>
      <c r="K11948" t="s">
        <v>47113</v>
      </c>
      <c r="L11948">
        <v>41.81</v>
      </c>
      <c r="M11948">
        <v>103</v>
      </c>
      <c r="N11948">
        <v>0</v>
      </c>
      <c r="O11948">
        <v>103</v>
      </c>
      <c r="P11948">
        <v>0</v>
      </c>
    </row>
    <row r="11949" spans="1:16" x14ac:dyDescent="0.25">
      <c r="A11949" t="s">
        <v>34624</v>
      </c>
      <c r="B11949" t="s">
        <v>9083</v>
      </c>
      <c r="C11949" t="s">
        <v>9084</v>
      </c>
      <c r="D11949" t="s">
        <v>9089</v>
      </c>
      <c r="E11949" t="s">
        <v>9090</v>
      </c>
      <c r="F11949" t="s">
        <v>1</v>
      </c>
      <c r="G11949" t="s">
        <v>16231</v>
      </c>
      <c r="H11949" t="s">
        <v>47054</v>
      </c>
      <c r="I11949" t="s">
        <v>47111</v>
      </c>
      <c r="J11949" t="s">
        <v>47112</v>
      </c>
      <c r="K11949" t="s">
        <v>47113</v>
      </c>
      <c r="L11949">
        <v>43.74</v>
      </c>
      <c r="M11949">
        <v>108</v>
      </c>
      <c r="N11949">
        <v>0</v>
      </c>
      <c r="O11949">
        <v>108</v>
      </c>
      <c r="P11949">
        <v>0</v>
      </c>
    </row>
    <row r="11950" spans="1:16" x14ac:dyDescent="0.25">
      <c r="A11950" t="s">
        <v>34625</v>
      </c>
      <c r="B11950" t="s">
        <v>9091</v>
      </c>
      <c r="C11950" t="s">
        <v>9092</v>
      </c>
      <c r="D11950" t="s">
        <v>9085</v>
      </c>
      <c r="E11950" t="s">
        <v>9086</v>
      </c>
      <c r="F11950" t="s">
        <v>0</v>
      </c>
      <c r="G11950" t="s">
        <v>16231</v>
      </c>
      <c r="H11950" t="s">
        <v>47054</v>
      </c>
      <c r="I11950" t="s">
        <v>47111</v>
      </c>
      <c r="J11950" t="s">
        <v>47112</v>
      </c>
      <c r="K11950" t="s">
        <v>47113</v>
      </c>
      <c r="L11950">
        <v>42.71</v>
      </c>
      <c r="M11950">
        <v>92</v>
      </c>
      <c r="N11950">
        <v>0</v>
      </c>
      <c r="O11950">
        <v>92</v>
      </c>
      <c r="P11950">
        <v>0</v>
      </c>
    </row>
    <row r="11951" spans="1:16" x14ac:dyDescent="0.25">
      <c r="A11951" t="s">
        <v>34626</v>
      </c>
      <c r="B11951" t="s">
        <v>9091</v>
      </c>
      <c r="C11951" t="s">
        <v>9092</v>
      </c>
      <c r="D11951" t="s">
        <v>8269</v>
      </c>
      <c r="E11951" t="s">
        <v>8270</v>
      </c>
      <c r="F11951" t="s">
        <v>0</v>
      </c>
      <c r="G11951" t="s">
        <v>16231</v>
      </c>
      <c r="H11951" t="s">
        <v>47054</v>
      </c>
      <c r="I11951" t="s">
        <v>47111</v>
      </c>
      <c r="J11951" t="s">
        <v>47112</v>
      </c>
      <c r="K11951" t="s">
        <v>47113</v>
      </c>
      <c r="L11951">
        <v>43.91</v>
      </c>
      <c r="M11951">
        <v>95</v>
      </c>
      <c r="N11951">
        <v>0</v>
      </c>
      <c r="O11951">
        <v>95</v>
      </c>
      <c r="P11951">
        <v>0</v>
      </c>
    </row>
    <row r="11952" spans="1:16" x14ac:dyDescent="0.25">
      <c r="A11952" t="s">
        <v>34627</v>
      </c>
      <c r="B11952" t="s">
        <v>9093</v>
      </c>
      <c r="C11952" t="s">
        <v>8494</v>
      </c>
      <c r="D11952" t="s">
        <v>9087</v>
      </c>
      <c r="E11952" t="s">
        <v>9088</v>
      </c>
      <c r="F11952" t="s">
        <v>1</v>
      </c>
      <c r="G11952" t="s">
        <v>16231</v>
      </c>
      <c r="H11952" t="s">
        <v>47054</v>
      </c>
      <c r="I11952" t="s">
        <v>47111</v>
      </c>
      <c r="J11952" t="s">
        <v>47112</v>
      </c>
      <c r="K11952" t="s">
        <v>47113</v>
      </c>
      <c r="L11952">
        <v>41.81</v>
      </c>
      <c r="M11952">
        <v>102</v>
      </c>
      <c r="N11952">
        <v>0</v>
      </c>
      <c r="O11952">
        <v>102</v>
      </c>
      <c r="P11952">
        <v>0</v>
      </c>
    </row>
    <row r="11953" spans="1:16" x14ac:dyDescent="0.25">
      <c r="A11953" t="s">
        <v>34628</v>
      </c>
      <c r="B11953" t="s">
        <v>9093</v>
      </c>
      <c r="C11953" t="s">
        <v>8494</v>
      </c>
      <c r="D11953" t="s">
        <v>9089</v>
      </c>
      <c r="E11953" t="s">
        <v>9090</v>
      </c>
      <c r="F11953" t="s">
        <v>1</v>
      </c>
      <c r="G11953" t="s">
        <v>16231</v>
      </c>
      <c r="H11953" t="s">
        <v>47054</v>
      </c>
      <c r="I11953" t="s">
        <v>47111</v>
      </c>
      <c r="J11953" t="s">
        <v>47112</v>
      </c>
      <c r="K11953" t="s">
        <v>47113</v>
      </c>
      <c r="L11953">
        <v>43.74</v>
      </c>
      <c r="M11953">
        <v>107</v>
      </c>
      <c r="N11953">
        <v>0</v>
      </c>
      <c r="O11953">
        <v>107</v>
      </c>
      <c r="P11953">
        <v>0</v>
      </c>
    </row>
    <row r="11954" spans="1:16" x14ac:dyDescent="0.25">
      <c r="A11954" t="s">
        <v>34629</v>
      </c>
      <c r="B11954" t="s">
        <v>9094</v>
      </c>
      <c r="C11954" t="s">
        <v>9095</v>
      </c>
      <c r="D11954" t="s">
        <v>9079</v>
      </c>
      <c r="E11954" t="s">
        <v>9080</v>
      </c>
      <c r="F11954" t="s">
        <v>1</v>
      </c>
      <c r="G11954" t="s">
        <v>16231</v>
      </c>
      <c r="H11954" t="s">
        <v>47054</v>
      </c>
      <c r="I11954" t="s">
        <v>47111</v>
      </c>
      <c r="J11954" t="s">
        <v>47112</v>
      </c>
      <c r="K11954" t="s">
        <v>47113</v>
      </c>
      <c r="L11954">
        <v>46.68</v>
      </c>
      <c r="M11954">
        <v>115</v>
      </c>
      <c r="N11954">
        <v>0</v>
      </c>
      <c r="O11954">
        <v>115</v>
      </c>
      <c r="P11954">
        <v>0</v>
      </c>
    </row>
    <row r="11955" spans="1:16" x14ac:dyDescent="0.25">
      <c r="A11955" t="s">
        <v>34630</v>
      </c>
      <c r="B11955" t="s">
        <v>9096</v>
      </c>
      <c r="C11955" t="s">
        <v>9097</v>
      </c>
      <c r="D11955" t="str">
        <f>"1100"</f>
        <v>1100</v>
      </c>
      <c r="E11955" t="s">
        <v>9098</v>
      </c>
      <c r="F11955" t="s">
        <v>4</v>
      </c>
      <c r="G11955" t="s">
        <v>16224</v>
      </c>
      <c r="H11955" t="s">
        <v>47054</v>
      </c>
      <c r="I11955" t="s">
        <v>47120</v>
      </c>
      <c r="J11955" t="s">
        <v>47121</v>
      </c>
      <c r="K11955" t="s">
        <v>47113</v>
      </c>
      <c r="L11955">
        <v>39.200000000000003</v>
      </c>
      <c r="M11955">
        <v>96</v>
      </c>
      <c r="N11955">
        <v>0</v>
      </c>
      <c r="O11955">
        <v>96</v>
      </c>
      <c r="P11955">
        <v>0</v>
      </c>
    </row>
    <row r="11956" spans="1:16" x14ac:dyDescent="0.25">
      <c r="A11956" t="s">
        <v>34631</v>
      </c>
      <c r="B11956" t="s">
        <v>9099</v>
      </c>
      <c r="C11956" t="s">
        <v>9100</v>
      </c>
      <c r="D11956" t="str">
        <f>"1001"</f>
        <v>1001</v>
      </c>
      <c r="E11956" t="s">
        <v>42</v>
      </c>
      <c r="F11956" t="s">
        <v>5</v>
      </c>
      <c r="G11956" t="s">
        <v>16221</v>
      </c>
      <c r="H11956" t="s">
        <v>47054</v>
      </c>
      <c r="I11956" t="s">
        <v>47569</v>
      </c>
      <c r="J11956" t="s">
        <v>47570</v>
      </c>
      <c r="K11956" t="s">
        <v>47113</v>
      </c>
      <c r="L11956">
        <v>9.16</v>
      </c>
      <c r="M11956">
        <v>21</v>
      </c>
      <c r="N11956">
        <v>0</v>
      </c>
      <c r="O11956">
        <v>21</v>
      </c>
      <c r="P11956">
        <v>0</v>
      </c>
    </row>
    <row r="11957" spans="1:16" x14ac:dyDescent="0.25">
      <c r="A11957" t="s">
        <v>34632</v>
      </c>
      <c r="B11957" t="s">
        <v>9099</v>
      </c>
      <c r="C11957" t="s">
        <v>9100</v>
      </c>
      <c r="D11957" t="str">
        <f>"1024"</f>
        <v>1024</v>
      </c>
      <c r="E11957" t="s">
        <v>717</v>
      </c>
      <c r="F11957" t="s">
        <v>2068</v>
      </c>
      <c r="G11957" t="s">
        <v>16221</v>
      </c>
      <c r="H11957" t="s">
        <v>47054</v>
      </c>
      <c r="I11957" t="s">
        <v>47569</v>
      </c>
      <c r="J11957" t="s">
        <v>47570</v>
      </c>
      <c r="K11957" t="s">
        <v>47113</v>
      </c>
      <c r="L11957">
        <v>9.16</v>
      </c>
      <c r="M11957">
        <v>21</v>
      </c>
      <c r="N11957">
        <v>0</v>
      </c>
      <c r="O11957">
        <v>21</v>
      </c>
      <c r="P11957">
        <v>0</v>
      </c>
    </row>
    <row r="11958" spans="1:16" x14ac:dyDescent="0.25">
      <c r="A11958" t="s">
        <v>34633</v>
      </c>
      <c r="B11958" t="s">
        <v>9099</v>
      </c>
      <c r="C11958" t="s">
        <v>9100</v>
      </c>
      <c r="D11958" t="str">
        <f>"1202"</f>
        <v>1202</v>
      </c>
      <c r="E11958" t="s">
        <v>1834</v>
      </c>
      <c r="F11958" t="s">
        <v>5</v>
      </c>
      <c r="G11958" t="s">
        <v>16221</v>
      </c>
      <c r="H11958" t="s">
        <v>47054</v>
      </c>
      <c r="I11958" t="s">
        <v>47569</v>
      </c>
      <c r="J11958" t="s">
        <v>47570</v>
      </c>
      <c r="K11958" t="s">
        <v>47113</v>
      </c>
      <c r="L11958">
        <v>9.16</v>
      </c>
      <c r="M11958">
        <v>21</v>
      </c>
      <c r="N11958">
        <v>0</v>
      </c>
      <c r="O11958">
        <v>21</v>
      </c>
      <c r="P11958">
        <v>0</v>
      </c>
    </row>
    <row r="11959" spans="1:16" x14ac:dyDescent="0.25">
      <c r="A11959" t="s">
        <v>34634</v>
      </c>
      <c r="B11959" t="s">
        <v>9099</v>
      </c>
      <c r="C11959" t="s">
        <v>9100</v>
      </c>
      <c r="D11959" t="str">
        <f>"1407"</f>
        <v>1407</v>
      </c>
      <c r="E11959" t="s">
        <v>9101</v>
      </c>
      <c r="F11959" t="s">
        <v>2068</v>
      </c>
      <c r="G11959" t="s">
        <v>16221</v>
      </c>
      <c r="H11959" t="s">
        <v>47054</v>
      </c>
      <c r="I11959" t="s">
        <v>47569</v>
      </c>
      <c r="J11959" t="s">
        <v>47570</v>
      </c>
      <c r="K11959" t="s">
        <v>47113</v>
      </c>
      <c r="L11959">
        <v>9.16</v>
      </c>
      <c r="M11959">
        <v>21</v>
      </c>
      <c r="N11959">
        <v>0</v>
      </c>
      <c r="O11959">
        <v>21</v>
      </c>
      <c r="P11959">
        <v>0</v>
      </c>
    </row>
    <row r="11960" spans="1:16" x14ac:dyDescent="0.25">
      <c r="A11960" t="s">
        <v>34635</v>
      </c>
      <c r="B11960" t="s">
        <v>9099</v>
      </c>
      <c r="C11960" t="s">
        <v>9100</v>
      </c>
      <c r="D11960" t="str">
        <f>"1426"</f>
        <v>1426</v>
      </c>
      <c r="E11960" t="s">
        <v>9102</v>
      </c>
      <c r="F11960" t="s">
        <v>4</v>
      </c>
      <c r="G11960" t="s">
        <v>16221</v>
      </c>
      <c r="H11960" t="s">
        <v>47054</v>
      </c>
      <c r="I11960" t="s">
        <v>47569</v>
      </c>
      <c r="J11960" t="s">
        <v>47570</v>
      </c>
      <c r="K11960" t="s">
        <v>47113</v>
      </c>
      <c r="L11960">
        <v>8.93</v>
      </c>
      <c r="M11960">
        <v>21</v>
      </c>
      <c r="N11960">
        <v>0</v>
      </c>
      <c r="O11960">
        <v>21</v>
      </c>
      <c r="P11960">
        <v>0</v>
      </c>
    </row>
    <row r="11961" spans="1:16" x14ac:dyDescent="0.25">
      <c r="A11961" t="s">
        <v>34636</v>
      </c>
      <c r="B11961" t="s">
        <v>9099</v>
      </c>
      <c r="C11961" t="s">
        <v>9100</v>
      </c>
      <c r="D11961" t="str">
        <f>"1700"</f>
        <v>1700</v>
      </c>
      <c r="E11961" t="s">
        <v>60</v>
      </c>
      <c r="F11961" t="s">
        <v>5</v>
      </c>
      <c r="G11961" t="s">
        <v>16221</v>
      </c>
      <c r="H11961" t="s">
        <v>47054</v>
      </c>
      <c r="I11961" t="s">
        <v>47569</v>
      </c>
      <c r="J11961" t="s">
        <v>47570</v>
      </c>
      <c r="K11961" t="s">
        <v>47113</v>
      </c>
      <c r="L11961">
        <v>9.16</v>
      </c>
      <c r="M11961">
        <v>21</v>
      </c>
      <c r="N11961">
        <v>0</v>
      </c>
      <c r="O11961">
        <v>21</v>
      </c>
      <c r="P11961">
        <v>0</v>
      </c>
    </row>
    <row r="11962" spans="1:16" x14ac:dyDescent="0.25">
      <c r="A11962" t="s">
        <v>34637</v>
      </c>
      <c r="B11962" t="s">
        <v>9099</v>
      </c>
      <c r="C11962" t="s">
        <v>9100</v>
      </c>
      <c r="D11962" t="str">
        <f>"1745"</f>
        <v>1745</v>
      </c>
      <c r="E11962" t="s">
        <v>1659</v>
      </c>
      <c r="F11962" t="s">
        <v>2068</v>
      </c>
      <c r="G11962" t="s">
        <v>16221</v>
      </c>
      <c r="H11962" t="s">
        <v>47054</v>
      </c>
      <c r="I11962" t="s">
        <v>47569</v>
      </c>
      <c r="J11962" t="s">
        <v>47570</v>
      </c>
      <c r="K11962" t="s">
        <v>47113</v>
      </c>
      <c r="L11962">
        <v>9.16</v>
      </c>
      <c r="M11962">
        <v>21</v>
      </c>
      <c r="N11962">
        <v>0</v>
      </c>
      <c r="O11962">
        <v>21</v>
      </c>
      <c r="P11962">
        <v>0</v>
      </c>
    </row>
    <row r="11963" spans="1:16" x14ac:dyDescent="0.25">
      <c r="A11963" t="s">
        <v>34638</v>
      </c>
      <c r="B11963" t="s">
        <v>9099</v>
      </c>
      <c r="C11963" t="s">
        <v>9100</v>
      </c>
      <c r="D11963" t="str">
        <f>"2709"</f>
        <v>2709</v>
      </c>
      <c r="E11963" t="s">
        <v>9103</v>
      </c>
      <c r="F11963" t="s">
        <v>0</v>
      </c>
      <c r="G11963" t="s">
        <v>16221</v>
      </c>
      <c r="H11963" t="s">
        <v>47054</v>
      </c>
      <c r="I11963" t="s">
        <v>47569</v>
      </c>
      <c r="J11963" t="s">
        <v>47570</v>
      </c>
      <c r="K11963" t="s">
        <v>47113</v>
      </c>
      <c r="L11963">
        <v>8.93</v>
      </c>
      <c r="M11963">
        <v>21</v>
      </c>
      <c r="N11963">
        <v>0</v>
      </c>
      <c r="O11963">
        <v>21</v>
      </c>
      <c r="P11963">
        <v>0</v>
      </c>
    </row>
    <row r="11964" spans="1:16" x14ac:dyDescent="0.25">
      <c r="A11964" t="s">
        <v>34639</v>
      </c>
      <c r="B11964" t="s">
        <v>9099</v>
      </c>
      <c r="C11964" t="s">
        <v>9100</v>
      </c>
      <c r="D11964" t="str">
        <f>"3415"</f>
        <v>3415</v>
      </c>
      <c r="E11964" t="s">
        <v>9104</v>
      </c>
      <c r="F11964" t="s">
        <v>0</v>
      </c>
      <c r="G11964" t="s">
        <v>16221</v>
      </c>
      <c r="H11964" t="s">
        <v>47054</v>
      </c>
      <c r="I11964" t="s">
        <v>47569</v>
      </c>
      <c r="J11964" t="s">
        <v>47570</v>
      </c>
      <c r="K11964" t="s">
        <v>47113</v>
      </c>
      <c r="L11964">
        <v>9.16</v>
      </c>
      <c r="M11964">
        <v>21</v>
      </c>
      <c r="N11964">
        <v>0</v>
      </c>
      <c r="O11964">
        <v>21</v>
      </c>
      <c r="P11964">
        <v>0</v>
      </c>
    </row>
    <row r="11965" spans="1:16" x14ac:dyDescent="0.25">
      <c r="A11965" t="s">
        <v>34640</v>
      </c>
      <c r="B11965" t="s">
        <v>9099</v>
      </c>
      <c r="C11965" t="s">
        <v>9100</v>
      </c>
      <c r="D11965" t="str">
        <f>"3520"</f>
        <v>3520</v>
      </c>
      <c r="E11965" t="s">
        <v>5632</v>
      </c>
      <c r="F11965" t="s">
        <v>2068</v>
      </c>
      <c r="G11965" t="s">
        <v>16221</v>
      </c>
      <c r="H11965" t="s">
        <v>47054</v>
      </c>
      <c r="I11965" t="s">
        <v>47569</v>
      </c>
      <c r="J11965" t="s">
        <v>47570</v>
      </c>
      <c r="K11965" t="s">
        <v>47113</v>
      </c>
      <c r="L11965">
        <v>8.93</v>
      </c>
      <c r="M11965">
        <v>21</v>
      </c>
      <c r="N11965">
        <v>0</v>
      </c>
      <c r="O11965">
        <v>21</v>
      </c>
      <c r="P11965">
        <v>0</v>
      </c>
    </row>
    <row r="11966" spans="1:16" x14ac:dyDescent="0.25">
      <c r="A11966" t="s">
        <v>34641</v>
      </c>
      <c r="B11966" t="s">
        <v>9099</v>
      </c>
      <c r="C11966" t="s">
        <v>9100</v>
      </c>
      <c r="D11966" t="str">
        <f>"4169"</f>
        <v>4169</v>
      </c>
      <c r="E11966" t="s">
        <v>5883</v>
      </c>
      <c r="F11966" t="s">
        <v>0</v>
      </c>
      <c r="G11966" t="s">
        <v>16221</v>
      </c>
      <c r="H11966" t="s">
        <v>47054</v>
      </c>
      <c r="I11966" t="s">
        <v>47569</v>
      </c>
      <c r="J11966" t="s">
        <v>47570</v>
      </c>
      <c r="K11966" t="s">
        <v>47113</v>
      </c>
      <c r="L11966">
        <v>9.16</v>
      </c>
      <c r="M11966">
        <v>21</v>
      </c>
      <c r="N11966">
        <v>0</v>
      </c>
      <c r="O11966">
        <v>21</v>
      </c>
      <c r="P11966">
        <v>0</v>
      </c>
    </row>
    <row r="11967" spans="1:16" x14ac:dyDescent="0.25">
      <c r="A11967" t="s">
        <v>34642</v>
      </c>
      <c r="B11967" t="s">
        <v>9099</v>
      </c>
      <c r="C11967" t="s">
        <v>9100</v>
      </c>
      <c r="D11967" t="str">
        <f>"4789"</f>
        <v>4789</v>
      </c>
      <c r="E11967" t="s">
        <v>5630</v>
      </c>
      <c r="F11967" t="s">
        <v>2068</v>
      </c>
      <c r="G11967" t="s">
        <v>16221</v>
      </c>
      <c r="H11967" t="s">
        <v>47054</v>
      </c>
      <c r="I11967" t="s">
        <v>47569</v>
      </c>
      <c r="J11967" t="s">
        <v>47570</v>
      </c>
      <c r="K11967" t="s">
        <v>47113</v>
      </c>
      <c r="L11967">
        <v>8.93</v>
      </c>
      <c r="M11967">
        <v>21</v>
      </c>
      <c r="N11967">
        <v>0</v>
      </c>
      <c r="O11967">
        <v>21</v>
      </c>
      <c r="P11967">
        <v>0</v>
      </c>
    </row>
    <row r="11968" spans="1:16" x14ac:dyDescent="0.25">
      <c r="A11968" t="s">
        <v>34643</v>
      </c>
      <c r="B11968" t="s">
        <v>9099</v>
      </c>
      <c r="C11968" t="s">
        <v>9100</v>
      </c>
      <c r="D11968" t="str">
        <f>"6047"</f>
        <v>6047</v>
      </c>
      <c r="E11968" t="s">
        <v>9105</v>
      </c>
      <c r="F11968" t="s">
        <v>5</v>
      </c>
      <c r="G11968" t="s">
        <v>16221</v>
      </c>
      <c r="H11968" t="s">
        <v>47054</v>
      </c>
      <c r="I11968" t="s">
        <v>47569</v>
      </c>
      <c r="J11968" t="s">
        <v>47570</v>
      </c>
      <c r="K11968" t="s">
        <v>47113</v>
      </c>
      <c r="L11968">
        <v>9.16</v>
      </c>
      <c r="M11968">
        <v>21</v>
      </c>
      <c r="N11968">
        <v>0</v>
      </c>
      <c r="O11968">
        <v>21</v>
      </c>
      <c r="P11968">
        <v>0</v>
      </c>
    </row>
    <row r="11969" spans="1:16" x14ac:dyDescent="0.25">
      <c r="A11969" t="s">
        <v>34644</v>
      </c>
      <c r="B11969" t="s">
        <v>9099</v>
      </c>
      <c r="C11969" t="s">
        <v>9100</v>
      </c>
      <c r="D11969" t="str">
        <f>"6365"</f>
        <v>6365</v>
      </c>
      <c r="E11969" t="s">
        <v>9106</v>
      </c>
      <c r="F11969" t="s">
        <v>5</v>
      </c>
      <c r="G11969" t="s">
        <v>16221</v>
      </c>
      <c r="H11969" t="s">
        <v>47054</v>
      </c>
      <c r="I11969" t="s">
        <v>47569</v>
      </c>
      <c r="J11969" t="s">
        <v>47570</v>
      </c>
      <c r="K11969" t="s">
        <v>47113</v>
      </c>
      <c r="L11969">
        <v>9.16</v>
      </c>
      <c r="M11969">
        <v>21</v>
      </c>
      <c r="N11969">
        <v>0</v>
      </c>
      <c r="O11969">
        <v>21</v>
      </c>
      <c r="P11969">
        <v>0</v>
      </c>
    </row>
    <row r="11970" spans="1:16" x14ac:dyDescent="0.25">
      <c r="A11970" t="s">
        <v>34645</v>
      </c>
      <c r="B11970" t="s">
        <v>9099</v>
      </c>
      <c r="C11970" t="s">
        <v>9100</v>
      </c>
      <c r="D11970" t="str">
        <f>"8399"</f>
        <v>8399</v>
      </c>
      <c r="E11970" t="s">
        <v>9107</v>
      </c>
      <c r="F11970" t="s">
        <v>0</v>
      </c>
      <c r="G11970" t="s">
        <v>16221</v>
      </c>
      <c r="H11970" t="s">
        <v>47054</v>
      </c>
      <c r="I11970" t="s">
        <v>47569</v>
      </c>
      <c r="J11970" t="s">
        <v>47570</v>
      </c>
      <c r="K11970" t="s">
        <v>47113</v>
      </c>
      <c r="L11970">
        <v>9.16</v>
      </c>
      <c r="M11970">
        <v>21</v>
      </c>
      <c r="N11970">
        <v>0</v>
      </c>
      <c r="O11970">
        <v>21</v>
      </c>
      <c r="P11970">
        <v>0</v>
      </c>
    </row>
    <row r="11971" spans="1:16" x14ac:dyDescent="0.25">
      <c r="A11971" t="s">
        <v>34646</v>
      </c>
      <c r="B11971" t="s">
        <v>9099</v>
      </c>
      <c r="C11971" t="s">
        <v>9100</v>
      </c>
      <c r="D11971" t="str">
        <f>"8409"</f>
        <v>8409</v>
      </c>
      <c r="E11971" t="s">
        <v>5587</v>
      </c>
      <c r="F11971" t="s">
        <v>2068</v>
      </c>
      <c r="G11971" t="s">
        <v>16221</v>
      </c>
      <c r="H11971" t="s">
        <v>47054</v>
      </c>
      <c r="I11971" t="s">
        <v>47569</v>
      </c>
      <c r="J11971" t="s">
        <v>47570</v>
      </c>
      <c r="K11971" t="s">
        <v>47113</v>
      </c>
      <c r="L11971">
        <v>8.93</v>
      </c>
      <c r="M11971">
        <v>21</v>
      </c>
      <c r="N11971">
        <v>0</v>
      </c>
      <c r="O11971">
        <v>21</v>
      </c>
      <c r="P11971">
        <v>0</v>
      </c>
    </row>
    <row r="11972" spans="1:16" x14ac:dyDescent="0.25">
      <c r="A11972" t="s">
        <v>34647</v>
      </c>
      <c r="B11972" t="s">
        <v>9108</v>
      </c>
      <c r="C11972" t="s">
        <v>19476</v>
      </c>
      <c r="D11972" t="str">
        <f>"1024"</f>
        <v>1024</v>
      </c>
      <c r="E11972" t="s">
        <v>717</v>
      </c>
      <c r="F11972" t="s">
        <v>0</v>
      </c>
      <c r="G11972" t="s">
        <v>16232</v>
      </c>
      <c r="H11972" t="s">
        <v>47054</v>
      </c>
      <c r="I11972" t="s">
        <v>47569</v>
      </c>
      <c r="J11972" t="s">
        <v>47570</v>
      </c>
      <c r="K11972" t="s">
        <v>47113</v>
      </c>
      <c r="L11972">
        <v>8.8699999999999992</v>
      </c>
      <c r="M11972">
        <v>22</v>
      </c>
      <c r="N11972">
        <v>0</v>
      </c>
      <c r="O11972">
        <v>22</v>
      </c>
      <c r="P11972">
        <v>0</v>
      </c>
    </row>
    <row r="11973" spans="1:16" x14ac:dyDescent="0.25">
      <c r="A11973" t="s">
        <v>34648</v>
      </c>
      <c r="B11973" t="s">
        <v>9108</v>
      </c>
      <c r="C11973" t="s">
        <v>19476</v>
      </c>
      <c r="D11973" t="str">
        <f>"1700"</f>
        <v>1700</v>
      </c>
      <c r="E11973" t="s">
        <v>20760</v>
      </c>
      <c r="F11973" t="s">
        <v>3546</v>
      </c>
      <c r="G11973" t="s">
        <v>16232</v>
      </c>
      <c r="H11973" t="s">
        <v>47054</v>
      </c>
      <c r="I11973" t="s">
        <v>47569</v>
      </c>
      <c r="J11973" t="s">
        <v>47570</v>
      </c>
      <c r="K11973" t="s">
        <v>47113</v>
      </c>
      <c r="L11973">
        <v>8.8699999999999992</v>
      </c>
      <c r="M11973">
        <v>21</v>
      </c>
      <c r="N11973">
        <v>0</v>
      </c>
      <c r="O11973">
        <v>21</v>
      </c>
      <c r="P11973">
        <v>0</v>
      </c>
    </row>
    <row r="11974" spans="1:16" x14ac:dyDescent="0.25">
      <c r="A11974" t="s">
        <v>34649</v>
      </c>
      <c r="B11974" t="s">
        <v>9108</v>
      </c>
      <c r="C11974" t="s">
        <v>19476</v>
      </c>
      <c r="D11974" t="str">
        <f>"1744"</f>
        <v>1744</v>
      </c>
      <c r="E11974" t="s">
        <v>5831</v>
      </c>
      <c r="F11974" t="s">
        <v>3546</v>
      </c>
      <c r="G11974" t="s">
        <v>16232</v>
      </c>
      <c r="H11974" t="s">
        <v>47054</v>
      </c>
      <c r="I11974" t="s">
        <v>47569</v>
      </c>
      <c r="J11974" t="s">
        <v>47570</v>
      </c>
      <c r="K11974" t="s">
        <v>47113</v>
      </c>
      <c r="L11974">
        <v>8.8699999999999992</v>
      </c>
      <c r="M11974">
        <v>21</v>
      </c>
      <c r="N11974">
        <v>0</v>
      </c>
      <c r="O11974">
        <v>21</v>
      </c>
      <c r="P11974">
        <v>0</v>
      </c>
    </row>
    <row r="11975" spans="1:16" x14ac:dyDescent="0.25">
      <c r="A11975" t="s">
        <v>14987</v>
      </c>
      <c r="B11975" t="s">
        <v>9108</v>
      </c>
      <c r="C11975" t="s">
        <v>19476</v>
      </c>
      <c r="D11975" t="str">
        <f>"1745"</f>
        <v>1745</v>
      </c>
      <c r="E11975" t="s">
        <v>1659</v>
      </c>
      <c r="F11975" t="s">
        <v>0</v>
      </c>
      <c r="G11975" t="s">
        <v>16232</v>
      </c>
      <c r="H11975" t="s">
        <v>47054</v>
      </c>
      <c r="I11975" t="s">
        <v>47569</v>
      </c>
      <c r="J11975" t="s">
        <v>47570</v>
      </c>
      <c r="K11975" t="s">
        <v>47113</v>
      </c>
      <c r="L11975">
        <v>8.8699999999999992</v>
      </c>
      <c r="M11975">
        <v>22</v>
      </c>
      <c r="N11975">
        <v>0</v>
      </c>
      <c r="O11975">
        <v>22</v>
      </c>
      <c r="P11975">
        <v>0</v>
      </c>
    </row>
    <row r="11976" spans="1:16" x14ac:dyDescent="0.25">
      <c r="A11976" t="s">
        <v>34650</v>
      </c>
      <c r="B11976" t="s">
        <v>9108</v>
      </c>
      <c r="C11976" t="s">
        <v>19476</v>
      </c>
      <c r="D11976" t="str">
        <f>"1820"</f>
        <v>1820</v>
      </c>
      <c r="E11976" t="s">
        <v>1266</v>
      </c>
      <c r="F11976" t="s">
        <v>3546</v>
      </c>
      <c r="G11976" t="s">
        <v>16232</v>
      </c>
      <c r="H11976" t="s">
        <v>47054</v>
      </c>
      <c r="I11976" t="s">
        <v>47569</v>
      </c>
      <c r="J11976" t="s">
        <v>47570</v>
      </c>
      <c r="K11976" t="s">
        <v>47113</v>
      </c>
      <c r="L11976">
        <v>8.8699999999999992</v>
      </c>
      <c r="M11976">
        <v>22</v>
      </c>
      <c r="N11976">
        <v>0</v>
      </c>
      <c r="O11976">
        <v>22</v>
      </c>
      <c r="P11976">
        <v>0</v>
      </c>
    </row>
    <row r="11977" spans="1:16" x14ac:dyDescent="0.25">
      <c r="A11977" t="s">
        <v>34651</v>
      </c>
      <c r="B11977" t="s">
        <v>9108</v>
      </c>
      <c r="C11977" t="s">
        <v>19476</v>
      </c>
      <c r="D11977" t="str">
        <f>"4886"</f>
        <v>4886</v>
      </c>
      <c r="E11977" t="s">
        <v>5832</v>
      </c>
      <c r="F11977" t="s">
        <v>3546</v>
      </c>
      <c r="G11977" t="s">
        <v>16232</v>
      </c>
      <c r="H11977" t="s">
        <v>47054</v>
      </c>
      <c r="I11977" t="s">
        <v>47569</v>
      </c>
      <c r="J11977" t="s">
        <v>47570</v>
      </c>
      <c r="K11977" t="s">
        <v>47113</v>
      </c>
      <c r="L11977">
        <v>8.8699999999999992</v>
      </c>
      <c r="M11977">
        <v>21</v>
      </c>
      <c r="N11977">
        <v>0</v>
      </c>
      <c r="O11977">
        <v>21</v>
      </c>
      <c r="P11977">
        <v>0</v>
      </c>
    </row>
    <row r="11978" spans="1:16" x14ac:dyDescent="0.25">
      <c r="A11978" t="s">
        <v>34652</v>
      </c>
      <c r="B11978" t="s">
        <v>9108</v>
      </c>
      <c r="C11978" t="s">
        <v>19476</v>
      </c>
      <c r="D11978" t="str">
        <f>"6009"</f>
        <v>6009</v>
      </c>
      <c r="E11978" t="s">
        <v>9109</v>
      </c>
      <c r="F11978" t="s">
        <v>3546</v>
      </c>
      <c r="G11978" t="s">
        <v>16232</v>
      </c>
      <c r="H11978" t="s">
        <v>47054</v>
      </c>
      <c r="I11978" t="s">
        <v>47569</v>
      </c>
      <c r="J11978" t="s">
        <v>47570</v>
      </c>
      <c r="K11978" t="s">
        <v>47113</v>
      </c>
      <c r="L11978">
        <v>8.8699999999999992</v>
      </c>
      <c r="M11978">
        <v>21</v>
      </c>
      <c r="N11978">
        <v>0</v>
      </c>
      <c r="O11978">
        <v>21</v>
      </c>
      <c r="P11978">
        <v>0</v>
      </c>
    </row>
    <row r="11979" spans="1:16" x14ac:dyDescent="0.25">
      <c r="A11979" t="s">
        <v>34653</v>
      </c>
      <c r="B11979" t="s">
        <v>9110</v>
      </c>
      <c r="C11979" t="s">
        <v>9111</v>
      </c>
      <c r="D11979" t="str">
        <f>"1001"</f>
        <v>1001</v>
      </c>
      <c r="E11979" t="s">
        <v>42</v>
      </c>
      <c r="F11979" t="s">
        <v>4</v>
      </c>
      <c r="G11979" t="s">
        <v>16221</v>
      </c>
      <c r="H11979" t="s">
        <v>47054</v>
      </c>
      <c r="I11979" t="s">
        <v>47569</v>
      </c>
      <c r="J11979" t="s">
        <v>47570</v>
      </c>
      <c r="K11979" t="s">
        <v>47113</v>
      </c>
      <c r="L11979">
        <v>9.17</v>
      </c>
      <c r="M11979">
        <v>22</v>
      </c>
      <c r="N11979">
        <v>0</v>
      </c>
      <c r="O11979">
        <v>22</v>
      </c>
      <c r="P11979">
        <v>0</v>
      </c>
    </row>
    <row r="11980" spans="1:16" x14ac:dyDescent="0.25">
      <c r="A11980" t="s">
        <v>34654</v>
      </c>
      <c r="B11980" t="s">
        <v>9110</v>
      </c>
      <c r="C11980" t="s">
        <v>9111</v>
      </c>
      <c r="D11980" t="str">
        <f>"1700"</f>
        <v>1700</v>
      </c>
      <c r="E11980" t="s">
        <v>60</v>
      </c>
      <c r="F11980" t="s">
        <v>4</v>
      </c>
      <c r="G11980" t="s">
        <v>16221</v>
      </c>
      <c r="H11980" t="s">
        <v>47054</v>
      </c>
      <c r="I11980" t="s">
        <v>47569</v>
      </c>
      <c r="J11980" t="s">
        <v>47570</v>
      </c>
      <c r="K11980" t="s">
        <v>47113</v>
      </c>
      <c r="L11980">
        <v>9.17</v>
      </c>
      <c r="M11980">
        <v>22</v>
      </c>
      <c r="N11980">
        <v>0</v>
      </c>
      <c r="O11980">
        <v>22</v>
      </c>
      <c r="P11980">
        <v>0</v>
      </c>
    </row>
    <row r="11981" spans="1:16" x14ac:dyDescent="0.25">
      <c r="A11981" t="s">
        <v>34655</v>
      </c>
      <c r="B11981" t="s">
        <v>9112</v>
      </c>
      <c r="C11981" t="s">
        <v>9113</v>
      </c>
      <c r="D11981" t="str">
        <f>"1024"</f>
        <v>1024</v>
      </c>
      <c r="E11981" t="s">
        <v>717</v>
      </c>
      <c r="F11981" t="s">
        <v>3546</v>
      </c>
      <c r="G11981" t="s">
        <v>16221</v>
      </c>
      <c r="H11981" t="s">
        <v>47054</v>
      </c>
      <c r="I11981" t="s">
        <v>47569</v>
      </c>
      <c r="J11981" t="s">
        <v>47570</v>
      </c>
      <c r="K11981" t="s">
        <v>47113</v>
      </c>
      <c r="L11981">
        <v>8.8699999999999992</v>
      </c>
      <c r="M11981">
        <v>22</v>
      </c>
      <c r="N11981">
        <v>0</v>
      </c>
      <c r="O11981">
        <v>22</v>
      </c>
      <c r="P11981">
        <v>0</v>
      </c>
    </row>
    <row r="11982" spans="1:16" x14ac:dyDescent="0.25">
      <c r="A11982" t="s">
        <v>34656</v>
      </c>
      <c r="B11982" t="s">
        <v>9112</v>
      </c>
      <c r="C11982" t="s">
        <v>9113</v>
      </c>
      <c r="D11982" t="str">
        <f>"6009"</f>
        <v>6009</v>
      </c>
      <c r="E11982" t="s">
        <v>9109</v>
      </c>
      <c r="F11982" t="s">
        <v>3546</v>
      </c>
      <c r="G11982" t="s">
        <v>16221</v>
      </c>
      <c r="H11982" t="s">
        <v>47054</v>
      </c>
      <c r="I11982" t="s">
        <v>47569</v>
      </c>
      <c r="J11982" t="s">
        <v>47570</v>
      </c>
      <c r="K11982" t="s">
        <v>47113</v>
      </c>
      <c r="L11982">
        <v>8.8699999999999992</v>
      </c>
      <c r="M11982">
        <v>22</v>
      </c>
      <c r="N11982">
        <v>0</v>
      </c>
      <c r="O11982">
        <v>22</v>
      </c>
      <c r="P11982">
        <v>0</v>
      </c>
    </row>
    <row r="11983" spans="1:16" x14ac:dyDescent="0.25">
      <c r="A11983" t="s">
        <v>14988</v>
      </c>
      <c r="B11983" t="s">
        <v>9114</v>
      </c>
      <c r="C11983" t="s">
        <v>9115</v>
      </c>
      <c r="D11983" t="str">
        <f>"4150"</f>
        <v>4150</v>
      </c>
      <c r="E11983" t="s">
        <v>2888</v>
      </c>
      <c r="F11983" t="s">
        <v>0</v>
      </c>
      <c r="G11983" t="s">
        <v>16235</v>
      </c>
      <c r="H11983" t="s">
        <v>47054</v>
      </c>
      <c r="I11983" t="s">
        <v>47118</v>
      </c>
      <c r="J11983" t="s">
        <v>47119</v>
      </c>
      <c r="K11983" t="s">
        <v>47113</v>
      </c>
      <c r="L11983">
        <v>22.13</v>
      </c>
      <c r="M11983">
        <v>50</v>
      </c>
      <c r="N11983">
        <v>0</v>
      </c>
      <c r="O11983">
        <v>50</v>
      </c>
      <c r="P11983">
        <v>0</v>
      </c>
    </row>
    <row r="11984" spans="1:16" x14ac:dyDescent="0.25">
      <c r="A11984" t="s">
        <v>34657</v>
      </c>
      <c r="B11984" t="s">
        <v>9116</v>
      </c>
      <c r="C11984" t="s">
        <v>9117</v>
      </c>
      <c r="D11984" t="str">
        <f>"2670"</f>
        <v>2670</v>
      </c>
      <c r="E11984" t="s">
        <v>9118</v>
      </c>
      <c r="F11984" t="s">
        <v>0</v>
      </c>
      <c r="G11984" t="s">
        <v>16230</v>
      </c>
      <c r="H11984" t="s">
        <v>47054</v>
      </c>
      <c r="I11984" t="s">
        <v>47118</v>
      </c>
      <c r="J11984" t="s">
        <v>47119</v>
      </c>
      <c r="K11984" t="s">
        <v>47113</v>
      </c>
      <c r="L11984">
        <v>25.01</v>
      </c>
      <c r="M11984">
        <v>57</v>
      </c>
      <c r="N11984">
        <v>0</v>
      </c>
      <c r="O11984">
        <v>57</v>
      </c>
      <c r="P11984">
        <v>0</v>
      </c>
    </row>
    <row r="11985" spans="1:16" x14ac:dyDescent="0.25">
      <c r="A11985" t="s">
        <v>34658</v>
      </c>
      <c r="B11985" t="s">
        <v>9119</v>
      </c>
      <c r="C11985" t="s">
        <v>9120</v>
      </c>
      <c r="D11985" t="str">
        <f>"1001"</f>
        <v>1001</v>
      </c>
      <c r="E11985" t="s">
        <v>9121</v>
      </c>
      <c r="F11985" t="s">
        <v>1</v>
      </c>
      <c r="G11985" t="s">
        <v>16230</v>
      </c>
      <c r="H11985" t="s">
        <v>47054</v>
      </c>
      <c r="I11985" t="s">
        <v>47118</v>
      </c>
      <c r="J11985" t="s">
        <v>47119</v>
      </c>
      <c r="K11985" t="s">
        <v>47113</v>
      </c>
      <c r="L11985">
        <v>21.89</v>
      </c>
      <c r="M11985">
        <v>54</v>
      </c>
      <c r="N11985">
        <v>0</v>
      </c>
      <c r="O11985">
        <v>54</v>
      </c>
      <c r="P11985">
        <v>0</v>
      </c>
    </row>
    <row r="11986" spans="1:16" x14ac:dyDescent="0.25">
      <c r="A11986" t="s">
        <v>34659</v>
      </c>
      <c r="B11986" t="s">
        <v>9119</v>
      </c>
      <c r="C11986" t="s">
        <v>9120</v>
      </c>
      <c r="D11986" t="str">
        <f>"2682"</f>
        <v>2682</v>
      </c>
      <c r="E11986" t="s">
        <v>9122</v>
      </c>
      <c r="F11986" t="s">
        <v>1</v>
      </c>
      <c r="G11986" t="s">
        <v>16230</v>
      </c>
      <c r="H11986" t="s">
        <v>47054</v>
      </c>
      <c r="I11986" t="s">
        <v>47118</v>
      </c>
      <c r="J11986" t="s">
        <v>47119</v>
      </c>
      <c r="K11986" t="s">
        <v>47113</v>
      </c>
      <c r="L11986">
        <v>21.89</v>
      </c>
      <c r="M11986">
        <v>54</v>
      </c>
      <c r="N11986">
        <v>0</v>
      </c>
      <c r="O11986">
        <v>54</v>
      </c>
      <c r="P11986">
        <v>0</v>
      </c>
    </row>
    <row r="11987" spans="1:16" x14ac:dyDescent="0.25">
      <c r="A11987" t="s">
        <v>17924</v>
      </c>
      <c r="B11987" t="s">
        <v>17925</v>
      </c>
      <c r="C11987" t="s">
        <v>17133</v>
      </c>
      <c r="D11987" t="str">
        <f t="shared" ref="D11987:D11992" si="11">"1501"</f>
        <v>1501</v>
      </c>
      <c r="E11987" t="s">
        <v>46</v>
      </c>
      <c r="F11987" t="s">
        <v>3558</v>
      </c>
      <c r="G11987" t="s">
        <v>16222</v>
      </c>
      <c r="H11987" t="s">
        <v>47054</v>
      </c>
      <c r="I11987" t="s">
        <v>47120</v>
      </c>
      <c r="J11987" t="s">
        <v>47121</v>
      </c>
      <c r="K11987" t="s">
        <v>47113</v>
      </c>
      <c r="L11987">
        <v>37.369999999999997</v>
      </c>
      <c r="M11987">
        <v>63</v>
      </c>
      <c r="N11987">
        <v>0</v>
      </c>
      <c r="O11987">
        <v>63</v>
      </c>
      <c r="P11987">
        <v>0</v>
      </c>
    </row>
    <row r="11988" spans="1:16" x14ac:dyDescent="0.25">
      <c r="A11988" t="s">
        <v>17926</v>
      </c>
      <c r="B11988" t="s">
        <v>17927</v>
      </c>
      <c r="C11988" t="s">
        <v>17928</v>
      </c>
      <c r="D11988" t="str">
        <f t="shared" si="11"/>
        <v>1501</v>
      </c>
      <c r="E11988" t="s">
        <v>46</v>
      </c>
      <c r="F11988" t="s">
        <v>3558</v>
      </c>
      <c r="G11988" t="s">
        <v>16235</v>
      </c>
      <c r="H11988" t="s">
        <v>47054</v>
      </c>
      <c r="I11988" t="s">
        <v>47120</v>
      </c>
      <c r="J11988" t="s">
        <v>47121</v>
      </c>
      <c r="K11988" t="s">
        <v>47113</v>
      </c>
      <c r="L11988">
        <v>37.369999999999997</v>
      </c>
      <c r="M11988">
        <v>70</v>
      </c>
      <c r="N11988">
        <v>0</v>
      </c>
      <c r="O11988">
        <v>70</v>
      </c>
      <c r="P11988">
        <v>0</v>
      </c>
    </row>
    <row r="11989" spans="1:16" x14ac:dyDescent="0.25">
      <c r="A11989" t="s">
        <v>34660</v>
      </c>
      <c r="B11989" t="s">
        <v>17929</v>
      </c>
      <c r="C11989" t="s">
        <v>15560</v>
      </c>
      <c r="D11989" t="str">
        <f t="shared" si="11"/>
        <v>1501</v>
      </c>
      <c r="E11989" t="s">
        <v>46</v>
      </c>
      <c r="F11989" t="s">
        <v>3670</v>
      </c>
      <c r="G11989" t="s">
        <v>16221</v>
      </c>
      <c r="H11989" t="s">
        <v>47054</v>
      </c>
      <c r="I11989" t="s">
        <v>47116</v>
      </c>
      <c r="J11989" t="s">
        <v>47117</v>
      </c>
      <c r="K11989" t="s">
        <v>47113</v>
      </c>
      <c r="L11989">
        <v>6.13</v>
      </c>
      <c r="M11989">
        <v>18</v>
      </c>
      <c r="N11989">
        <v>0</v>
      </c>
      <c r="O11989">
        <v>18</v>
      </c>
      <c r="P11989">
        <v>0</v>
      </c>
    </row>
    <row r="11990" spans="1:16" x14ac:dyDescent="0.25">
      <c r="A11990" t="s">
        <v>34661</v>
      </c>
      <c r="B11990" t="s">
        <v>17930</v>
      </c>
      <c r="C11990" t="s">
        <v>17625</v>
      </c>
      <c r="D11990" t="str">
        <f t="shared" si="11"/>
        <v>1501</v>
      </c>
      <c r="E11990" t="s">
        <v>46</v>
      </c>
      <c r="F11990" t="s">
        <v>3750</v>
      </c>
      <c r="G11990" t="s">
        <v>16221</v>
      </c>
      <c r="H11990" t="s">
        <v>47054</v>
      </c>
      <c r="I11990" t="s">
        <v>47116</v>
      </c>
      <c r="J11990" t="s">
        <v>47117</v>
      </c>
      <c r="K11990" t="s">
        <v>47113</v>
      </c>
      <c r="L11990">
        <v>8.15</v>
      </c>
      <c r="M11990">
        <v>24</v>
      </c>
      <c r="N11990">
        <v>0</v>
      </c>
      <c r="O11990">
        <v>24</v>
      </c>
      <c r="P11990">
        <v>0</v>
      </c>
    </row>
    <row r="11991" spans="1:16" x14ac:dyDescent="0.25">
      <c r="A11991" t="s">
        <v>34662</v>
      </c>
      <c r="B11991" t="s">
        <v>17931</v>
      </c>
      <c r="C11991" t="s">
        <v>17651</v>
      </c>
      <c r="D11991" t="str">
        <f t="shared" si="11"/>
        <v>1501</v>
      </c>
      <c r="E11991" t="s">
        <v>46</v>
      </c>
      <c r="F11991" t="s">
        <v>3750</v>
      </c>
      <c r="G11991" t="s">
        <v>16221</v>
      </c>
      <c r="H11991" t="s">
        <v>47054</v>
      </c>
      <c r="I11991" t="s">
        <v>47120</v>
      </c>
      <c r="J11991" t="s">
        <v>47121</v>
      </c>
      <c r="K11991" t="s">
        <v>47113</v>
      </c>
      <c r="L11991">
        <v>5.43</v>
      </c>
      <c r="M11991">
        <v>15</v>
      </c>
      <c r="N11991">
        <v>0</v>
      </c>
      <c r="O11991">
        <v>15</v>
      </c>
      <c r="P11991">
        <v>0</v>
      </c>
    </row>
    <row r="11992" spans="1:16" x14ac:dyDescent="0.25">
      <c r="A11992" t="s">
        <v>34663</v>
      </c>
      <c r="B11992" t="s">
        <v>20761</v>
      </c>
      <c r="C11992" t="s">
        <v>20521</v>
      </c>
      <c r="D11992" t="str">
        <f t="shared" si="11"/>
        <v>1501</v>
      </c>
      <c r="E11992" t="s">
        <v>46</v>
      </c>
      <c r="F11992" t="s">
        <v>3750</v>
      </c>
      <c r="G11992" t="s">
        <v>16221</v>
      </c>
      <c r="H11992" t="s">
        <v>47054</v>
      </c>
      <c r="I11992" t="s">
        <v>47116</v>
      </c>
      <c r="J11992" t="s">
        <v>47117</v>
      </c>
      <c r="K11992" t="s">
        <v>47113</v>
      </c>
      <c r="L11992">
        <v>6.73</v>
      </c>
      <c r="M11992">
        <v>12</v>
      </c>
      <c r="N11992">
        <v>0</v>
      </c>
      <c r="O11992">
        <v>12</v>
      </c>
      <c r="P11992">
        <v>0</v>
      </c>
    </row>
    <row r="11993" spans="1:16" x14ac:dyDescent="0.25">
      <c r="A11993" t="s">
        <v>34664</v>
      </c>
      <c r="B11993" t="s">
        <v>20762</v>
      </c>
      <c r="C11993" t="s">
        <v>20763</v>
      </c>
      <c r="D11993" t="str">
        <f>"1708"</f>
        <v>1708</v>
      </c>
      <c r="E11993" t="s">
        <v>16240</v>
      </c>
      <c r="F11993" t="s">
        <v>3750</v>
      </c>
      <c r="G11993" t="s">
        <v>16221</v>
      </c>
      <c r="H11993" t="s">
        <v>47054</v>
      </c>
      <c r="I11993" t="s">
        <v>47111</v>
      </c>
      <c r="J11993" t="s">
        <v>47112</v>
      </c>
      <c r="K11993" t="s">
        <v>47113</v>
      </c>
      <c r="L11993">
        <v>9.81</v>
      </c>
      <c r="M11993">
        <v>15</v>
      </c>
      <c r="N11993">
        <v>0</v>
      </c>
      <c r="O11993">
        <v>15</v>
      </c>
      <c r="P11993">
        <v>0</v>
      </c>
    </row>
    <row r="11994" spans="1:16" x14ac:dyDescent="0.25">
      <c r="A11994" t="s">
        <v>34665</v>
      </c>
      <c r="B11994" t="s">
        <v>9123</v>
      </c>
      <c r="C11994" t="s">
        <v>7383</v>
      </c>
      <c r="D11994" t="str">
        <f>"1427"</f>
        <v>1427</v>
      </c>
      <c r="E11994" t="s">
        <v>9124</v>
      </c>
      <c r="F11994" t="s">
        <v>3750</v>
      </c>
      <c r="G11994" t="s">
        <v>16221</v>
      </c>
      <c r="H11994" t="s">
        <v>47054</v>
      </c>
      <c r="I11994" t="s">
        <v>47116</v>
      </c>
      <c r="J11994" t="s">
        <v>47117</v>
      </c>
      <c r="K11994" t="s">
        <v>47113</v>
      </c>
      <c r="L11994">
        <v>8.64</v>
      </c>
      <c r="M11994">
        <v>32</v>
      </c>
      <c r="N11994">
        <v>0</v>
      </c>
      <c r="O11994">
        <v>32</v>
      </c>
      <c r="P11994">
        <v>0</v>
      </c>
    </row>
    <row r="11995" spans="1:16" x14ac:dyDescent="0.25">
      <c r="A11995" t="s">
        <v>34666</v>
      </c>
      <c r="B11995" t="s">
        <v>17932</v>
      </c>
      <c r="C11995" t="s">
        <v>17659</v>
      </c>
      <c r="D11995" t="str">
        <f>"1518"</f>
        <v>1518</v>
      </c>
      <c r="E11995" t="s">
        <v>17137</v>
      </c>
      <c r="F11995" t="s">
        <v>3750</v>
      </c>
      <c r="G11995" t="s">
        <v>16221</v>
      </c>
      <c r="H11995" t="s">
        <v>47054</v>
      </c>
      <c r="I11995" t="s">
        <v>47116</v>
      </c>
      <c r="J11995" t="s">
        <v>47117</v>
      </c>
      <c r="K11995" t="s">
        <v>47113</v>
      </c>
      <c r="L11995">
        <v>9.1999999999999993</v>
      </c>
      <c r="M11995">
        <v>33</v>
      </c>
      <c r="N11995">
        <v>0</v>
      </c>
      <c r="O11995">
        <v>33</v>
      </c>
      <c r="P11995">
        <v>0</v>
      </c>
    </row>
    <row r="11996" spans="1:16" x14ac:dyDescent="0.25">
      <c r="A11996" t="s">
        <v>34667</v>
      </c>
      <c r="B11996" t="s">
        <v>20764</v>
      </c>
      <c r="C11996" t="s">
        <v>20765</v>
      </c>
      <c r="D11996" t="str">
        <f>"1081"</f>
        <v>1081</v>
      </c>
      <c r="E11996" t="s">
        <v>20766</v>
      </c>
      <c r="F11996" t="s">
        <v>3750</v>
      </c>
      <c r="G11996" t="s">
        <v>16221</v>
      </c>
      <c r="H11996" t="s">
        <v>47054</v>
      </c>
      <c r="I11996" t="s">
        <v>48032</v>
      </c>
      <c r="J11996" t="s">
        <v>48033</v>
      </c>
      <c r="K11996" t="s">
        <v>47113</v>
      </c>
      <c r="L11996">
        <v>8.06</v>
      </c>
      <c r="M11996">
        <v>15</v>
      </c>
      <c r="N11996">
        <v>0</v>
      </c>
      <c r="O11996">
        <v>15</v>
      </c>
      <c r="P11996">
        <v>0</v>
      </c>
    </row>
    <row r="11997" spans="1:16" x14ac:dyDescent="0.25">
      <c r="A11997" t="s">
        <v>34668</v>
      </c>
      <c r="B11997" t="s">
        <v>20764</v>
      </c>
      <c r="C11997" t="s">
        <v>20765</v>
      </c>
      <c r="D11997" t="str">
        <f>"1475"</f>
        <v>1475</v>
      </c>
      <c r="E11997" t="s">
        <v>20767</v>
      </c>
      <c r="F11997" t="s">
        <v>3750</v>
      </c>
      <c r="G11997" t="s">
        <v>16221</v>
      </c>
      <c r="H11997" t="s">
        <v>47054</v>
      </c>
      <c r="I11997" t="s">
        <v>48032</v>
      </c>
      <c r="J11997" t="s">
        <v>48033</v>
      </c>
      <c r="K11997" t="s">
        <v>47113</v>
      </c>
      <c r="L11997">
        <v>8.06</v>
      </c>
      <c r="M11997">
        <v>15</v>
      </c>
      <c r="N11997">
        <v>0</v>
      </c>
      <c r="O11997">
        <v>15</v>
      </c>
      <c r="P11997">
        <v>0</v>
      </c>
    </row>
    <row r="11998" spans="1:16" x14ac:dyDescent="0.25">
      <c r="A11998" t="s">
        <v>34669</v>
      </c>
      <c r="B11998" t="s">
        <v>14465</v>
      </c>
      <c r="C11998" t="s">
        <v>14464</v>
      </c>
      <c r="D11998" t="str">
        <f>"1501"</f>
        <v>1501</v>
      </c>
      <c r="E11998" t="s">
        <v>46</v>
      </c>
      <c r="F11998" t="s">
        <v>3750</v>
      </c>
      <c r="G11998" t="s">
        <v>16221</v>
      </c>
      <c r="H11998" t="s">
        <v>47054</v>
      </c>
      <c r="I11998" t="s">
        <v>47116</v>
      </c>
      <c r="J11998" t="s">
        <v>47117</v>
      </c>
      <c r="K11998" t="s">
        <v>47113</v>
      </c>
      <c r="L11998">
        <v>6.72</v>
      </c>
      <c r="M11998">
        <v>26</v>
      </c>
      <c r="N11998">
        <v>0</v>
      </c>
      <c r="O11998">
        <v>26</v>
      </c>
      <c r="P11998">
        <v>0</v>
      </c>
    </row>
    <row r="11999" spans="1:16" x14ac:dyDescent="0.25">
      <c r="A11999" t="s">
        <v>34670</v>
      </c>
      <c r="B11999" t="s">
        <v>9125</v>
      </c>
      <c r="C11999" t="s">
        <v>7397</v>
      </c>
      <c r="D11999" t="str">
        <f>"1501"</f>
        <v>1501</v>
      </c>
      <c r="E11999" t="s">
        <v>46</v>
      </c>
      <c r="F11999" t="s">
        <v>3750</v>
      </c>
      <c r="G11999" t="s">
        <v>16221</v>
      </c>
      <c r="H11999" t="s">
        <v>47054</v>
      </c>
      <c r="I11999" t="s">
        <v>47116</v>
      </c>
      <c r="J11999" t="s">
        <v>47117</v>
      </c>
      <c r="K11999" t="s">
        <v>47113</v>
      </c>
      <c r="L11999">
        <v>7.47</v>
      </c>
      <c r="M11999">
        <v>32</v>
      </c>
      <c r="N11999">
        <v>0</v>
      </c>
      <c r="O11999">
        <v>32</v>
      </c>
      <c r="P11999">
        <v>0</v>
      </c>
    </row>
    <row r="12000" spans="1:16" x14ac:dyDescent="0.25">
      <c r="A12000" t="s">
        <v>34671</v>
      </c>
      <c r="B12000" t="s">
        <v>17933</v>
      </c>
      <c r="C12000" t="s">
        <v>17934</v>
      </c>
      <c r="D12000" t="str">
        <f>"1475"</f>
        <v>1475</v>
      </c>
      <c r="E12000" t="s">
        <v>17935</v>
      </c>
      <c r="F12000" t="s">
        <v>3750</v>
      </c>
      <c r="G12000" t="s">
        <v>16221</v>
      </c>
      <c r="H12000" t="s">
        <v>47054</v>
      </c>
      <c r="I12000" t="s">
        <v>47111</v>
      </c>
      <c r="J12000" t="s">
        <v>47112</v>
      </c>
      <c r="K12000" t="s">
        <v>47113</v>
      </c>
      <c r="L12000">
        <v>7.66</v>
      </c>
      <c r="M12000">
        <v>33</v>
      </c>
      <c r="N12000">
        <v>0</v>
      </c>
      <c r="O12000">
        <v>33</v>
      </c>
      <c r="P12000">
        <v>0</v>
      </c>
    </row>
    <row r="12001" spans="1:16" x14ac:dyDescent="0.25">
      <c r="A12001" t="s">
        <v>34672</v>
      </c>
      <c r="B12001" t="s">
        <v>14463</v>
      </c>
      <c r="C12001" t="s">
        <v>14462</v>
      </c>
      <c r="D12001" t="str">
        <f>"1518"</f>
        <v>1518</v>
      </c>
      <c r="E12001" t="s">
        <v>14461</v>
      </c>
      <c r="F12001" t="s">
        <v>3750</v>
      </c>
      <c r="G12001" t="s">
        <v>16221</v>
      </c>
      <c r="H12001" t="s">
        <v>47054</v>
      </c>
      <c r="I12001" t="s">
        <v>47116</v>
      </c>
      <c r="J12001" t="s">
        <v>47117</v>
      </c>
      <c r="K12001" t="s">
        <v>47113</v>
      </c>
      <c r="L12001">
        <v>6.59</v>
      </c>
      <c r="M12001">
        <v>26</v>
      </c>
      <c r="N12001">
        <v>0</v>
      </c>
      <c r="O12001">
        <v>26</v>
      </c>
      <c r="P12001">
        <v>0</v>
      </c>
    </row>
    <row r="12002" spans="1:16" x14ac:dyDescent="0.25">
      <c r="A12002" t="s">
        <v>34673</v>
      </c>
      <c r="B12002" t="s">
        <v>17936</v>
      </c>
      <c r="C12002" t="s">
        <v>17690</v>
      </c>
      <c r="D12002" t="str">
        <f>"1485"</f>
        <v>1485</v>
      </c>
      <c r="E12002" t="s">
        <v>17937</v>
      </c>
      <c r="F12002" t="s">
        <v>3750</v>
      </c>
      <c r="G12002" t="s">
        <v>16221</v>
      </c>
      <c r="H12002" t="s">
        <v>47054</v>
      </c>
      <c r="I12002" t="s">
        <v>47116</v>
      </c>
      <c r="J12002" t="s">
        <v>47117</v>
      </c>
      <c r="K12002" t="s">
        <v>47113</v>
      </c>
      <c r="L12002">
        <v>7.51</v>
      </c>
      <c r="M12002">
        <v>21</v>
      </c>
      <c r="N12002">
        <v>0</v>
      </c>
      <c r="O12002">
        <v>21</v>
      </c>
      <c r="P12002">
        <v>0</v>
      </c>
    </row>
    <row r="12003" spans="1:16" x14ac:dyDescent="0.25">
      <c r="A12003" t="s">
        <v>34674</v>
      </c>
      <c r="B12003" t="s">
        <v>17938</v>
      </c>
      <c r="C12003" t="s">
        <v>17939</v>
      </c>
      <c r="D12003" t="str">
        <f>"1518"</f>
        <v>1518</v>
      </c>
      <c r="E12003" t="s">
        <v>14461</v>
      </c>
      <c r="F12003" t="s">
        <v>3750</v>
      </c>
      <c r="G12003" t="s">
        <v>16221</v>
      </c>
      <c r="H12003" t="s">
        <v>47054</v>
      </c>
      <c r="I12003" t="s">
        <v>47116</v>
      </c>
      <c r="J12003" t="s">
        <v>47117</v>
      </c>
      <c r="K12003" t="s">
        <v>47113</v>
      </c>
      <c r="L12003">
        <v>7.04</v>
      </c>
      <c r="M12003">
        <v>20</v>
      </c>
      <c r="N12003">
        <v>0</v>
      </c>
      <c r="O12003">
        <v>20</v>
      </c>
      <c r="P12003">
        <v>0</v>
      </c>
    </row>
    <row r="12004" spans="1:16" x14ac:dyDescent="0.25">
      <c r="A12004" t="s">
        <v>34675</v>
      </c>
      <c r="B12004" t="s">
        <v>17940</v>
      </c>
      <c r="C12004" t="s">
        <v>17702</v>
      </c>
      <c r="D12004" t="str">
        <f>"1518"</f>
        <v>1518</v>
      </c>
      <c r="E12004" t="s">
        <v>14461</v>
      </c>
      <c r="F12004" t="s">
        <v>3750</v>
      </c>
      <c r="G12004" t="s">
        <v>16221</v>
      </c>
      <c r="H12004" t="s">
        <v>47054</v>
      </c>
      <c r="I12004" t="s">
        <v>47116</v>
      </c>
      <c r="J12004" t="s">
        <v>47117</v>
      </c>
      <c r="K12004" t="s">
        <v>47113</v>
      </c>
      <c r="L12004">
        <v>7.24</v>
      </c>
      <c r="M12004">
        <v>33</v>
      </c>
      <c r="N12004">
        <v>0</v>
      </c>
      <c r="O12004">
        <v>33</v>
      </c>
      <c r="P12004">
        <v>0</v>
      </c>
    </row>
    <row r="12005" spans="1:16" x14ac:dyDescent="0.25">
      <c r="A12005" t="s">
        <v>34676</v>
      </c>
      <c r="B12005" t="s">
        <v>17941</v>
      </c>
      <c r="C12005" t="s">
        <v>17683</v>
      </c>
      <c r="D12005" t="str">
        <f>"1501"</f>
        <v>1501</v>
      </c>
      <c r="E12005" t="s">
        <v>46</v>
      </c>
      <c r="F12005" t="s">
        <v>3750</v>
      </c>
      <c r="G12005" t="s">
        <v>16235</v>
      </c>
      <c r="H12005" t="s">
        <v>47054</v>
      </c>
      <c r="I12005" t="s">
        <v>47116</v>
      </c>
      <c r="J12005" t="s">
        <v>47117</v>
      </c>
      <c r="K12005" t="s">
        <v>47113</v>
      </c>
      <c r="L12005">
        <v>6.65</v>
      </c>
      <c r="M12005">
        <v>20</v>
      </c>
      <c r="N12005">
        <v>0</v>
      </c>
      <c r="O12005">
        <v>20</v>
      </c>
      <c r="P12005">
        <v>0</v>
      </c>
    </row>
    <row r="12006" spans="1:16" x14ac:dyDescent="0.25">
      <c r="A12006" t="s">
        <v>34677</v>
      </c>
      <c r="B12006" t="s">
        <v>9126</v>
      </c>
      <c r="C12006" t="s">
        <v>7407</v>
      </c>
      <c r="D12006" t="str">
        <f>"1501"</f>
        <v>1501</v>
      </c>
      <c r="E12006" t="s">
        <v>46</v>
      </c>
      <c r="F12006" t="s">
        <v>3750</v>
      </c>
      <c r="G12006" t="s">
        <v>16221</v>
      </c>
      <c r="H12006" t="s">
        <v>47054</v>
      </c>
      <c r="I12006" t="s">
        <v>47111</v>
      </c>
      <c r="J12006" t="s">
        <v>47112</v>
      </c>
      <c r="K12006" t="s">
        <v>47113</v>
      </c>
      <c r="L12006">
        <v>5.86</v>
      </c>
      <c r="M12006">
        <v>22</v>
      </c>
      <c r="N12006">
        <v>0</v>
      </c>
      <c r="O12006">
        <v>22</v>
      </c>
      <c r="P12006">
        <v>0</v>
      </c>
    </row>
    <row r="12007" spans="1:16" x14ac:dyDescent="0.25">
      <c r="A12007" t="s">
        <v>34678</v>
      </c>
      <c r="B12007" t="s">
        <v>17942</v>
      </c>
      <c r="C12007" t="s">
        <v>17943</v>
      </c>
      <c r="D12007" t="str">
        <f>"1501"</f>
        <v>1501</v>
      </c>
      <c r="E12007" t="s">
        <v>46</v>
      </c>
      <c r="F12007" t="s">
        <v>3750</v>
      </c>
      <c r="G12007" t="s">
        <v>16221</v>
      </c>
      <c r="H12007" t="s">
        <v>47054</v>
      </c>
      <c r="I12007" t="s">
        <v>47116</v>
      </c>
      <c r="J12007" t="s">
        <v>47117</v>
      </c>
      <c r="K12007" t="s">
        <v>47113</v>
      </c>
      <c r="L12007">
        <v>5.98</v>
      </c>
      <c r="M12007">
        <v>17</v>
      </c>
      <c r="N12007">
        <v>0</v>
      </c>
      <c r="O12007">
        <v>17</v>
      </c>
      <c r="P12007">
        <v>0</v>
      </c>
    </row>
    <row r="12008" spans="1:16" x14ac:dyDescent="0.25">
      <c r="A12008" t="s">
        <v>34679</v>
      </c>
      <c r="B12008" t="s">
        <v>14269</v>
      </c>
      <c r="C12008" t="s">
        <v>14270</v>
      </c>
      <c r="D12008" t="str">
        <f>"2549"</f>
        <v>2549</v>
      </c>
      <c r="E12008" t="s">
        <v>14271</v>
      </c>
      <c r="F12008" t="s">
        <v>3750</v>
      </c>
      <c r="G12008" t="s">
        <v>16234</v>
      </c>
      <c r="H12008" t="s">
        <v>47054</v>
      </c>
      <c r="I12008" t="s">
        <v>47120</v>
      </c>
      <c r="J12008" t="s">
        <v>47121</v>
      </c>
      <c r="K12008" t="s">
        <v>47113</v>
      </c>
      <c r="L12008">
        <v>18.48</v>
      </c>
      <c r="M12008">
        <v>69</v>
      </c>
      <c r="N12008">
        <v>0</v>
      </c>
      <c r="O12008">
        <v>69</v>
      </c>
      <c r="P12008">
        <v>0</v>
      </c>
    </row>
    <row r="12009" spans="1:16" x14ac:dyDescent="0.25">
      <c r="A12009" t="s">
        <v>34680</v>
      </c>
      <c r="B12009" t="s">
        <v>14269</v>
      </c>
      <c r="C12009" t="s">
        <v>14270</v>
      </c>
      <c r="D12009" t="str">
        <f>"6145"</f>
        <v>6145</v>
      </c>
      <c r="E12009" t="s">
        <v>14272</v>
      </c>
      <c r="F12009" t="s">
        <v>3750</v>
      </c>
      <c r="G12009" t="s">
        <v>16234</v>
      </c>
      <c r="H12009" t="s">
        <v>47054</v>
      </c>
      <c r="I12009" t="s">
        <v>47120</v>
      </c>
      <c r="J12009" t="s">
        <v>47121</v>
      </c>
      <c r="K12009" t="s">
        <v>47113</v>
      </c>
      <c r="L12009">
        <v>18.48</v>
      </c>
      <c r="M12009">
        <v>69</v>
      </c>
      <c r="N12009">
        <v>0</v>
      </c>
      <c r="O12009">
        <v>69</v>
      </c>
      <c r="P12009">
        <v>0</v>
      </c>
    </row>
    <row r="12010" spans="1:16" x14ac:dyDescent="0.25">
      <c r="A12010" t="s">
        <v>34681</v>
      </c>
      <c r="B12010" t="s">
        <v>14273</v>
      </c>
      <c r="C12010" t="s">
        <v>14274</v>
      </c>
      <c r="D12010" t="str">
        <f>"1001"</f>
        <v>1001</v>
      </c>
      <c r="E12010" t="s">
        <v>42</v>
      </c>
      <c r="F12010" t="s">
        <v>3750</v>
      </c>
      <c r="G12010" t="s">
        <v>16234</v>
      </c>
      <c r="H12010" t="s">
        <v>47054</v>
      </c>
      <c r="I12010" t="s">
        <v>47120</v>
      </c>
      <c r="J12010" t="s">
        <v>47121</v>
      </c>
      <c r="K12010" t="s">
        <v>47113</v>
      </c>
      <c r="L12010">
        <v>28.49</v>
      </c>
      <c r="M12010">
        <v>80</v>
      </c>
      <c r="N12010">
        <v>0</v>
      </c>
      <c r="O12010">
        <v>80</v>
      </c>
      <c r="P12010">
        <v>0</v>
      </c>
    </row>
    <row r="12011" spans="1:16" x14ac:dyDescent="0.25">
      <c r="A12011" t="s">
        <v>34682</v>
      </c>
      <c r="B12011" t="s">
        <v>14273</v>
      </c>
      <c r="C12011" t="s">
        <v>14274</v>
      </c>
      <c r="D12011" t="str">
        <f>"4101"</f>
        <v>4101</v>
      </c>
      <c r="E12011" t="s">
        <v>43</v>
      </c>
      <c r="F12011" t="s">
        <v>3750</v>
      </c>
      <c r="G12011" t="s">
        <v>16234</v>
      </c>
      <c r="H12011" t="s">
        <v>47054</v>
      </c>
      <c r="I12011" t="s">
        <v>47120</v>
      </c>
      <c r="J12011" t="s">
        <v>47121</v>
      </c>
      <c r="K12011" t="s">
        <v>47113</v>
      </c>
      <c r="L12011">
        <v>28.49</v>
      </c>
      <c r="M12011">
        <v>80</v>
      </c>
      <c r="N12011">
        <v>0</v>
      </c>
      <c r="O12011">
        <v>80</v>
      </c>
      <c r="P12011">
        <v>0</v>
      </c>
    </row>
    <row r="12012" spans="1:16" x14ac:dyDescent="0.25">
      <c r="A12012" t="s">
        <v>34683</v>
      </c>
      <c r="B12012" t="s">
        <v>14460</v>
      </c>
      <c r="C12012" t="s">
        <v>14457</v>
      </c>
      <c r="D12012" t="str">
        <f>"7470"</f>
        <v>7470</v>
      </c>
      <c r="E12012" t="s">
        <v>14459</v>
      </c>
      <c r="F12012" t="s">
        <v>3750</v>
      </c>
      <c r="G12012" t="s">
        <v>16234</v>
      </c>
      <c r="H12012" t="s">
        <v>47054</v>
      </c>
      <c r="I12012" t="s">
        <v>47120</v>
      </c>
      <c r="J12012" t="s">
        <v>47121</v>
      </c>
      <c r="K12012" t="s">
        <v>47113</v>
      </c>
      <c r="L12012">
        <v>24.63</v>
      </c>
      <c r="M12012">
        <v>79</v>
      </c>
      <c r="N12012">
        <v>0</v>
      </c>
      <c r="O12012">
        <v>79</v>
      </c>
      <c r="P12012">
        <v>0</v>
      </c>
    </row>
    <row r="12013" spans="1:16" x14ac:dyDescent="0.25">
      <c r="A12013" t="s">
        <v>34684</v>
      </c>
      <c r="B12013" t="s">
        <v>14458</v>
      </c>
      <c r="C12013" t="s">
        <v>14457</v>
      </c>
      <c r="D12013" t="str">
        <f>"2014"</f>
        <v>2014</v>
      </c>
      <c r="E12013" t="s">
        <v>14456</v>
      </c>
      <c r="F12013" t="s">
        <v>3750</v>
      </c>
      <c r="G12013" t="s">
        <v>16234</v>
      </c>
      <c r="H12013" t="s">
        <v>47054</v>
      </c>
      <c r="I12013" t="s">
        <v>47120</v>
      </c>
      <c r="J12013" t="s">
        <v>47121</v>
      </c>
      <c r="K12013" t="s">
        <v>47113</v>
      </c>
      <c r="L12013">
        <v>27.4</v>
      </c>
      <c r="M12013">
        <v>85</v>
      </c>
      <c r="N12013">
        <v>0</v>
      </c>
      <c r="O12013">
        <v>85</v>
      </c>
      <c r="P12013">
        <v>0</v>
      </c>
    </row>
    <row r="12014" spans="1:16" x14ac:dyDescent="0.25">
      <c r="A12014" t="s">
        <v>48452</v>
      </c>
      <c r="B12014" t="s">
        <v>48453</v>
      </c>
      <c r="C12014" t="s">
        <v>33603</v>
      </c>
      <c r="D12014" t="str">
        <f>"1001"</f>
        <v>1001</v>
      </c>
      <c r="E12014" t="s">
        <v>48454</v>
      </c>
      <c r="F12014" t="s">
        <v>47171</v>
      </c>
      <c r="G12014" t="s">
        <v>16234</v>
      </c>
      <c r="H12014" t="s">
        <v>47054</v>
      </c>
      <c r="I12014" t="s">
        <v>47120</v>
      </c>
      <c r="J12014" t="s">
        <v>47121</v>
      </c>
      <c r="K12014" t="s">
        <v>47113</v>
      </c>
      <c r="L12014">
        <v>25.83</v>
      </c>
      <c r="M12014">
        <v>96</v>
      </c>
      <c r="N12014">
        <v>259</v>
      </c>
      <c r="O12014">
        <v>96</v>
      </c>
      <c r="P12014">
        <v>259</v>
      </c>
    </row>
    <row r="12015" spans="1:16" x14ac:dyDescent="0.25">
      <c r="A12015" t="s">
        <v>48455</v>
      </c>
      <c r="B12015" t="s">
        <v>48453</v>
      </c>
      <c r="C12015" t="s">
        <v>33603</v>
      </c>
      <c r="D12015" t="str">
        <f>"3106"</f>
        <v>3106</v>
      </c>
      <c r="E12015" t="s">
        <v>48456</v>
      </c>
      <c r="F12015" t="s">
        <v>47488</v>
      </c>
      <c r="G12015" t="s">
        <v>16234</v>
      </c>
      <c r="H12015" t="s">
        <v>47054</v>
      </c>
      <c r="I12015" t="s">
        <v>47120</v>
      </c>
      <c r="J12015" t="s">
        <v>47121</v>
      </c>
      <c r="K12015" t="s">
        <v>47113</v>
      </c>
      <c r="L12015">
        <v>25.83</v>
      </c>
      <c r="M12015">
        <v>96</v>
      </c>
      <c r="N12015">
        <v>259</v>
      </c>
      <c r="O12015">
        <v>96</v>
      </c>
      <c r="P12015">
        <v>259</v>
      </c>
    </row>
    <row r="12016" spans="1:16" x14ac:dyDescent="0.25">
      <c r="A12016" t="s">
        <v>48457</v>
      </c>
      <c r="B12016" t="s">
        <v>48453</v>
      </c>
      <c r="C12016" t="s">
        <v>33603</v>
      </c>
      <c r="D12016" t="str">
        <f>"7233"</f>
        <v>7233</v>
      </c>
      <c r="E12016" t="s">
        <v>48458</v>
      </c>
      <c r="F12016" t="s">
        <v>47488</v>
      </c>
      <c r="G12016" t="s">
        <v>16234</v>
      </c>
      <c r="H12016" t="s">
        <v>47054</v>
      </c>
      <c r="I12016" t="s">
        <v>47120</v>
      </c>
      <c r="J12016" t="s">
        <v>47121</v>
      </c>
      <c r="K12016" t="s">
        <v>47113</v>
      </c>
      <c r="L12016">
        <v>25.83</v>
      </c>
      <c r="M12016">
        <v>96</v>
      </c>
      <c r="N12016">
        <v>259</v>
      </c>
      <c r="O12016">
        <v>96</v>
      </c>
      <c r="P12016">
        <v>259</v>
      </c>
    </row>
    <row r="12017" spans="1:16" x14ac:dyDescent="0.25">
      <c r="A12017" t="s">
        <v>34685</v>
      </c>
      <c r="B12017" t="s">
        <v>34686</v>
      </c>
      <c r="C12017" t="s">
        <v>20607</v>
      </c>
      <c r="D12017" t="str">
        <f>"1001"</f>
        <v>1001</v>
      </c>
      <c r="E12017" t="s">
        <v>34687</v>
      </c>
      <c r="F12017" t="s">
        <v>24617</v>
      </c>
      <c r="G12017" t="s">
        <v>16234</v>
      </c>
      <c r="H12017" t="s">
        <v>47054</v>
      </c>
      <c r="I12017" t="s">
        <v>47120</v>
      </c>
      <c r="J12017" t="s">
        <v>47121</v>
      </c>
      <c r="K12017" t="s">
        <v>47113</v>
      </c>
      <c r="L12017">
        <v>23.23</v>
      </c>
      <c r="M12017">
        <v>96</v>
      </c>
      <c r="N12017">
        <v>259</v>
      </c>
      <c r="O12017">
        <v>96</v>
      </c>
      <c r="P12017">
        <v>259</v>
      </c>
    </row>
    <row r="12018" spans="1:16" x14ac:dyDescent="0.25">
      <c r="A12018" t="s">
        <v>34688</v>
      </c>
      <c r="B12018" t="s">
        <v>34686</v>
      </c>
      <c r="C12018" t="s">
        <v>20607</v>
      </c>
      <c r="D12018" t="str">
        <f>"4059"</f>
        <v>4059</v>
      </c>
      <c r="E12018" t="s">
        <v>34689</v>
      </c>
      <c r="F12018" t="s">
        <v>24617</v>
      </c>
      <c r="G12018" t="s">
        <v>16234</v>
      </c>
      <c r="H12018" t="s">
        <v>47054</v>
      </c>
      <c r="I12018" t="s">
        <v>47120</v>
      </c>
      <c r="J12018" t="s">
        <v>47121</v>
      </c>
      <c r="K12018" t="s">
        <v>47113</v>
      </c>
      <c r="L12018">
        <v>23.23</v>
      </c>
      <c r="M12018">
        <v>96</v>
      </c>
      <c r="N12018">
        <v>259</v>
      </c>
      <c r="O12018">
        <v>96</v>
      </c>
      <c r="P12018">
        <v>259</v>
      </c>
    </row>
    <row r="12019" spans="1:16" x14ac:dyDescent="0.25">
      <c r="A12019" t="s">
        <v>34690</v>
      </c>
      <c r="B12019" t="s">
        <v>34686</v>
      </c>
      <c r="C12019" t="s">
        <v>20607</v>
      </c>
      <c r="D12019" t="str">
        <f>"4100"</f>
        <v>4100</v>
      </c>
      <c r="E12019" t="s">
        <v>34691</v>
      </c>
      <c r="F12019" t="s">
        <v>3750</v>
      </c>
      <c r="G12019" t="s">
        <v>16234</v>
      </c>
      <c r="H12019" t="s">
        <v>47054</v>
      </c>
      <c r="I12019" t="s">
        <v>47120</v>
      </c>
      <c r="J12019" t="s">
        <v>47121</v>
      </c>
      <c r="K12019" t="s">
        <v>47113</v>
      </c>
      <c r="L12019">
        <v>22.44</v>
      </c>
      <c r="M12019">
        <v>80</v>
      </c>
      <c r="N12019">
        <v>0</v>
      </c>
      <c r="O12019">
        <v>80</v>
      </c>
      <c r="P12019">
        <v>0</v>
      </c>
    </row>
    <row r="12020" spans="1:16" x14ac:dyDescent="0.25">
      <c r="A12020" t="s">
        <v>34692</v>
      </c>
      <c r="B12020" t="s">
        <v>34686</v>
      </c>
      <c r="C12020" t="s">
        <v>20607</v>
      </c>
      <c r="D12020" t="str">
        <f>"6000"</f>
        <v>6000</v>
      </c>
      <c r="E12020" t="s">
        <v>34693</v>
      </c>
      <c r="F12020" t="s">
        <v>3750</v>
      </c>
      <c r="G12020" t="s">
        <v>16234</v>
      </c>
      <c r="H12020" t="s">
        <v>47054</v>
      </c>
      <c r="I12020" t="s">
        <v>47120</v>
      </c>
      <c r="J12020" t="s">
        <v>47121</v>
      </c>
      <c r="K12020" t="s">
        <v>47113</v>
      </c>
      <c r="L12020">
        <v>22.44</v>
      </c>
      <c r="M12020">
        <v>80</v>
      </c>
      <c r="N12020">
        <v>0</v>
      </c>
      <c r="O12020">
        <v>80</v>
      </c>
      <c r="P12020">
        <v>0</v>
      </c>
    </row>
    <row r="12021" spans="1:16" x14ac:dyDescent="0.25">
      <c r="A12021" t="s">
        <v>34694</v>
      </c>
      <c r="B12021" t="s">
        <v>34686</v>
      </c>
      <c r="C12021" t="s">
        <v>20607</v>
      </c>
      <c r="D12021" t="str">
        <f>"7233"</f>
        <v>7233</v>
      </c>
      <c r="E12021" t="s">
        <v>34695</v>
      </c>
      <c r="F12021" t="s">
        <v>24617</v>
      </c>
      <c r="G12021" t="s">
        <v>16234</v>
      </c>
      <c r="H12021" t="s">
        <v>47054</v>
      </c>
      <c r="I12021" t="s">
        <v>47120</v>
      </c>
      <c r="J12021" t="s">
        <v>47121</v>
      </c>
      <c r="K12021" t="s">
        <v>47113</v>
      </c>
      <c r="L12021">
        <v>22.44</v>
      </c>
      <c r="M12021">
        <v>80</v>
      </c>
      <c r="N12021">
        <v>0</v>
      </c>
      <c r="O12021">
        <v>80</v>
      </c>
      <c r="P12021">
        <v>0</v>
      </c>
    </row>
    <row r="12022" spans="1:16" x14ac:dyDescent="0.25">
      <c r="A12022" t="s">
        <v>34696</v>
      </c>
      <c r="B12022" t="s">
        <v>34697</v>
      </c>
      <c r="C12022" t="s">
        <v>34698</v>
      </c>
      <c r="D12022" t="str">
        <f>"1700"</f>
        <v>1700</v>
      </c>
      <c r="E12022" t="s">
        <v>34699</v>
      </c>
      <c r="F12022" t="s">
        <v>24617</v>
      </c>
      <c r="G12022" t="s">
        <v>16234</v>
      </c>
      <c r="H12022" t="s">
        <v>47054</v>
      </c>
      <c r="I12022" t="s">
        <v>47120</v>
      </c>
      <c r="J12022" t="s">
        <v>47121</v>
      </c>
      <c r="K12022" t="s">
        <v>47113</v>
      </c>
      <c r="L12022">
        <v>22.15</v>
      </c>
      <c r="M12022">
        <v>96</v>
      </c>
      <c r="N12022">
        <v>259</v>
      </c>
      <c r="O12022">
        <v>96</v>
      </c>
      <c r="P12022">
        <v>259</v>
      </c>
    </row>
    <row r="12023" spans="1:16" x14ac:dyDescent="0.25">
      <c r="A12023" t="s">
        <v>34700</v>
      </c>
      <c r="B12023" t="s">
        <v>20768</v>
      </c>
      <c r="C12023" t="s">
        <v>20769</v>
      </c>
      <c r="D12023" t="str">
        <f>"1001"</f>
        <v>1001</v>
      </c>
      <c r="E12023" t="s">
        <v>42</v>
      </c>
      <c r="F12023" t="s">
        <v>16933</v>
      </c>
      <c r="G12023" t="s">
        <v>16233</v>
      </c>
      <c r="H12023" t="s">
        <v>47054</v>
      </c>
      <c r="I12023" t="s">
        <v>47120</v>
      </c>
      <c r="J12023" t="s">
        <v>47121</v>
      </c>
      <c r="K12023" t="s">
        <v>47113</v>
      </c>
      <c r="L12023">
        <v>13</v>
      </c>
      <c r="M12023">
        <v>51</v>
      </c>
      <c r="N12023">
        <v>0</v>
      </c>
      <c r="O12023">
        <v>51</v>
      </c>
      <c r="P12023">
        <v>0</v>
      </c>
    </row>
    <row r="12024" spans="1:16" x14ac:dyDescent="0.25">
      <c r="A12024" t="s">
        <v>34701</v>
      </c>
      <c r="B12024" t="s">
        <v>20768</v>
      </c>
      <c r="C12024" t="s">
        <v>20769</v>
      </c>
      <c r="D12024" t="str">
        <f>"1998"</f>
        <v>1998</v>
      </c>
      <c r="E12024" t="s">
        <v>60</v>
      </c>
      <c r="F12024" t="s">
        <v>16933</v>
      </c>
      <c r="G12024" t="s">
        <v>16233</v>
      </c>
      <c r="H12024" t="s">
        <v>47054</v>
      </c>
      <c r="I12024" t="s">
        <v>47120</v>
      </c>
      <c r="J12024" t="s">
        <v>47121</v>
      </c>
      <c r="K12024" t="s">
        <v>47113</v>
      </c>
      <c r="L12024">
        <v>13</v>
      </c>
      <c r="M12024">
        <v>51</v>
      </c>
      <c r="N12024">
        <v>0</v>
      </c>
      <c r="O12024">
        <v>51</v>
      </c>
      <c r="P12024">
        <v>0</v>
      </c>
    </row>
    <row r="12025" spans="1:16" x14ac:dyDescent="0.25">
      <c r="A12025" t="s">
        <v>34702</v>
      </c>
      <c r="B12025" t="s">
        <v>20768</v>
      </c>
      <c r="C12025" t="s">
        <v>20769</v>
      </c>
      <c r="D12025" t="str">
        <f>"3071"</f>
        <v>3071</v>
      </c>
      <c r="E12025" t="s">
        <v>34703</v>
      </c>
      <c r="F12025" t="s">
        <v>16933</v>
      </c>
      <c r="G12025" t="s">
        <v>16233</v>
      </c>
      <c r="H12025" t="s">
        <v>47054</v>
      </c>
      <c r="I12025" t="s">
        <v>47120</v>
      </c>
      <c r="J12025" t="s">
        <v>47121</v>
      </c>
      <c r="K12025" t="s">
        <v>47113</v>
      </c>
      <c r="L12025">
        <v>14.44</v>
      </c>
      <c r="M12025">
        <v>59</v>
      </c>
      <c r="N12025">
        <v>0</v>
      </c>
      <c r="O12025">
        <v>59</v>
      </c>
      <c r="P12025">
        <v>0</v>
      </c>
    </row>
    <row r="12026" spans="1:16" x14ac:dyDescent="0.25">
      <c r="A12026" t="s">
        <v>34704</v>
      </c>
      <c r="B12026" t="s">
        <v>20768</v>
      </c>
      <c r="C12026" t="s">
        <v>20769</v>
      </c>
      <c r="D12026" t="str">
        <f>"6497"</f>
        <v>6497</v>
      </c>
      <c r="E12026" t="s">
        <v>238</v>
      </c>
      <c r="F12026" t="s">
        <v>16933</v>
      </c>
      <c r="G12026" t="s">
        <v>16233</v>
      </c>
      <c r="H12026" t="s">
        <v>47054</v>
      </c>
      <c r="I12026" t="s">
        <v>47120</v>
      </c>
      <c r="J12026" t="s">
        <v>47121</v>
      </c>
      <c r="K12026" t="s">
        <v>47113</v>
      </c>
      <c r="L12026">
        <v>13</v>
      </c>
      <c r="M12026">
        <v>51</v>
      </c>
      <c r="N12026">
        <v>0</v>
      </c>
      <c r="O12026">
        <v>51</v>
      </c>
      <c r="P12026">
        <v>0</v>
      </c>
    </row>
    <row r="12027" spans="1:16" x14ac:dyDescent="0.25">
      <c r="A12027" t="s">
        <v>22799</v>
      </c>
      <c r="B12027" t="s">
        <v>22800</v>
      </c>
      <c r="C12027" t="s">
        <v>22801</v>
      </c>
      <c r="D12027" t="str">
        <f>"1001"</f>
        <v>1001</v>
      </c>
      <c r="E12027" t="s">
        <v>42</v>
      </c>
      <c r="F12027" t="s">
        <v>3750</v>
      </c>
      <c r="G12027" t="s">
        <v>16221</v>
      </c>
      <c r="H12027" t="s">
        <v>47054</v>
      </c>
      <c r="I12027" t="s">
        <v>47544</v>
      </c>
      <c r="J12027" t="s">
        <v>47545</v>
      </c>
      <c r="K12027" t="s">
        <v>47113</v>
      </c>
      <c r="L12027">
        <v>5.86</v>
      </c>
      <c r="M12027">
        <v>26</v>
      </c>
      <c r="N12027">
        <v>0</v>
      </c>
      <c r="O12027">
        <v>26</v>
      </c>
      <c r="P12027">
        <v>0</v>
      </c>
    </row>
    <row r="12028" spans="1:16" x14ac:dyDescent="0.25">
      <c r="A12028" t="s">
        <v>22802</v>
      </c>
      <c r="B12028" t="s">
        <v>22800</v>
      </c>
      <c r="C12028" t="s">
        <v>22801</v>
      </c>
      <c r="D12028" t="str">
        <f>"4100"</f>
        <v>4100</v>
      </c>
      <c r="E12028" t="s">
        <v>17644</v>
      </c>
      <c r="F12028" t="s">
        <v>3750</v>
      </c>
      <c r="G12028" t="s">
        <v>16221</v>
      </c>
      <c r="H12028" t="s">
        <v>47054</v>
      </c>
      <c r="I12028" t="s">
        <v>47544</v>
      </c>
      <c r="J12028" t="s">
        <v>47545</v>
      </c>
      <c r="K12028" t="s">
        <v>47113</v>
      </c>
      <c r="L12028">
        <v>5.86</v>
      </c>
      <c r="M12028">
        <v>26</v>
      </c>
      <c r="N12028">
        <v>0</v>
      </c>
      <c r="O12028">
        <v>26</v>
      </c>
      <c r="P12028">
        <v>0</v>
      </c>
    </row>
    <row r="12029" spans="1:16" x14ac:dyDescent="0.25">
      <c r="A12029" t="s">
        <v>34705</v>
      </c>
      <c r="B12029" t="s">
        <v>20771</v>
      </c>
      <c r="C12029" t="s">
        <v>20772</v>
      </c>
      <c r="D12029" t="str">
        <f>"1200"</f>
        <v>1200</v>
      </c>
      <c r="E12029" t="s">
        <v>20773</v>
      </c>
      <c r="F12029" t="s">
        <v>3750</v>
      </c>
      <c r="G12029" t="s">
        <v>16234</v>
      </c>
      <c r="H12029" t="s">
        <v>47054</v>
      </c>
      <c r="I12029" t="s">
        <v>47116</v>
      </c>
      <c r="J12029" t="s">
        <v>47117</v>
      </c>
      <c r="K12029" t="s">
        <v>47113</v>
      </c>
      <c r="L12029">
        <v>22.05</v>
      </c>
      <c r="M12029">
        <v>80</v>
      </c>
      <c r="N12029">
        <v>0</v>
      </c>
      <c r="O12029">
        <v>80</v>
      </c>
      <c r="P12029">
        <v>0</v>
      </c>
    </row>
    <row r="12030" spans="1:16" x14ac:dyDescent="0.25">
      <c r="A12030" t="s">
        <v>48459</v>
      </c>
      <c r="B12030" t="s">
        <v>48460</v>
      </c>
      <c r="C12030" t="s">
        <v>48461</v>
      </c>
      <c r="D12030" t="str">
        <f>"1406"</f>
        <v>1406</v>
      </c>
      <c r="E12030" t="s">
        <v>31944</v>
      </c>
      <c r="F12030" t="s">
        <v>47185</v>
      </c>
      <c r="G12030" t="s">
        <v>16234</v>
      </c>
      <c r="H12030" t="s">
        <v>47054</v>
      </c>
      <c r="I12030" t="s">
        <v>47116</v>
      </c>
      <c r="J12030" t="s">
        <v>47117</v>
      </c>
      <c r="K12030" t="s">
        <v>47113</v>
      </c>
      <c r="L12030">
        <v>30.09</v>
      </c>
      <c r="M12030">
        <v>114</v>
      </c>
      <c r="N12030">
        <v>309</v>
      </c>
      <c r="O12030">
        <v>114</v>
      </c>
      <c r="P12030">
        <v>309</v>
      </c>
    </row>
    <row r="12031" spans="1:16" x14ac:dyDescent="0.25">
      <c r="A12031" t="s">
        <v>48462</v>
      </c>
      <c r="B12031" t="s">
        <v>48463</v>
      </c>
      <c r="C12031" t="s">
        <v>48464</v>
      </c>
      <c r="D12031" t="str">
        <f>"3263"</f>
        <v>3263</v>
      </c>
      <c r="E12031" t="s">
        <v>48465</v>
      </c>
      <c r="F12031" t="s">
        <v>24627</v>
      </c>
      <c r="G12031" t="s">
        <v>16234</v>
      </c>
      <c r="H12031" t="s">
        <v>47054</v>
      </c>
      <c r="I12031" t="s">
        <v>47116</v>
      </c>
      <c r="J12031" t="s">
        <v>47117</v>
      </c>
      <c r="K12031" t="s">
        <v>47113</v>
      </c>
      <c r="L12031">
        <v>24.7</v>
      </c>
      <c r="M12031">
        <v>84.81</v>
      </c>
      <c r="N12031">
        <v>229</v>
      </c>
      <c r="O12031">
        <v>84.81</v>
      </c>
      <c r="P12031">
        <v>229</v>
      </c>
    </row>
    <row r="12032" spans="1:16" x14ac:dyDescent="0.25">
      <c r="A12032" t="s">
        <v>34706</v>
      </c>
      <c r="B12032" t="s">
        <v>15642</v>
      </c>
      <c r="C12032" t="s">
        <v>15450</v>
      </c>
      <c r="D12032" t="str">
        <f>"2000"</f>
        <v>2000</v>
      </c>
      <c r="E12032" t="s">
        <v>15643</v>
      </c>
      <c r="F12032" t="s">
        <v>3750</v>
      </c>
      <c r="G12032" t="s">
        <v>16234</v>
      </c>
      <c r="H12032" t="s">
        <v>47054</v>
      </c>
      <c r="I12032" t="s">
        <v>47116</v>
      </c>
      <c r="J12032" t="s">
        <v>47117</v>
      </c>
      <c r="K12032" t="s">
        <v>47113</v>
      </c>
      <c r="L12032">
        <v>19.2</v>
      </c>
      <c r="M12032">
        <v>74</v>
      </c>
      <c r="N12032">
        <v>0</v>
      </c>
      <c r="O12032">
        <v>74</v>
      </c>
      <c r="P12032">
        <v>0</v>
      </c>
    </row>
    <row r="12033" spans="1:16" x14ac:dyDescent="0.25">
      <c r="A12033" t="s">
        <v>48466</v>
      </c>
      <c r="B12033" t="s">
        <v>48467</v>
      </c>
      <c r="C12033" t="s">
        <v>33603</v>
      </c>
      <c r="D12033" t="str">
        <f>"3071"</f>
        <v>3071</v>
      </c>
      <c r="E12033" t="s">
        <v>48468</v>
      </c>
      <c r="F12033" t="s">
        <v>47185</v>
      </c>
      <c r="G12033" t="s">
        <v>16234</v>
      </c>
      <c r="H12033" t="s">
        <v>47054</v>
      </c>
      <c r="I12033" t="s">
        <v>47116</v>
      </c>
      <c r="J12033" t="s">
        <v>47117</v>
      </c>
      <c r="K12033" t="s">
        <v>47113</v>
      </c>
      <c r="L12033">
        <v>24.89</v>
      </c>
      <c r="M12033">
        <v>114</v>
      </c>
      <c r="N12033">
        <v>309</v>
      </c>
      <c r="O12033">
        <v>114</v>
      </c>
      <c r="P12033">
        <v>309</v>
      </c>
    </row>
    <row r="12034" spans="1:16" x14ac:dyDescent="0.25">
      <c r="A12034" t="s">
        <v>48469</v>
      </c>
      <c r="B12034" t="s">
        <v>48467</v>
      </c>
      <c r="C12034" t="s">
        <v>33603</v>
      </c>
      <c r="D12034" t="str">
        <f>"4100"</f>
        <v>4100</v>
      </c>
      <c r="E12034" t="s">
        <v>48470</v>
      </c>
      <c r="F12034" t="s">
        <v>47185</v>
      </c>
      <c r="G12034" t="s">
        <v>16234</v>
      </c>
      <c r="H12034" t="s">
        <v>47054</v>
      </c>
      <c r="I12034" t="s">
        <v>47116</v>
      </c>
      <c r="J12034" t="s">
        <v>47117</v>
      </c>
      <c r="K12034" t="s">
        <v>47113</v>
      </c>
      <c r="L12034">
        <v>24.89</v>
      </c>
      <c r="M12034">
        <v>114</v>
      </c>
      <c r="N12034">
        <v>309</v>
      </c>
      <c r="O12034">
        <v>114</v>
      </c>
      <c r="P12034">
        <v>309</v>
      </c>
    </row>
    <row r="12035" spans="1:16" x14ac:dyDescent="0.25">
      <c r="A12035" t="s">
        <v>48471</v>
      </c>
      <c r="B12035" t="s">
        <v>48467</v>
      </c>
      <c r="C12035" t="s">
        <v>33603</v>
      </c>
      <c r="D12035" t="str">
        <f>"7233"</f>
        <v>7233</v>
      </c>
      <c r="E12035" t="s">
        <v>48472</v>
      </c>
      <c r="F12035" t="s">
        <v>47185</v>
      </c>
      <c r="G12035" t="s">
        <v>16234</v>
      </c>
      <c r="H12035" t="s">
        <v>47054</v>
      </c>
      <c r="I12035" t="s">
        <v>47116</v>
      </c>
      <c r="J12035" t="s">
        <v>47117</v>
      </c>
      <c r="K12035" t="s">
        <v>47113</v>
      </c>
      <c r="L12035">
        <v>24.89</v>
      </c>
      <c r="M12035">
        <v>114</v>
      </c>
      <c r="N12035">
        <v>309</v>
      </c>
      <c r="O12035">
        <v>114</v>
      </c>
      <c r="P12035">
        <v>309</v>
      </c>
    </row>
    <row r="12036" spans="1:16" x14ac:dyDescent="0.25">
      <c r="A12036" t="s">
        <v>34707</v>
      </c>
      <c r="B12036" t="s">
        <v>20774</v>
      </c>
      <c r="C12036" t="s">
        <v>20775</v>
      </c>
      <c r="D12036" t="str">
        <f>"6059"</f>
        <v>6059</v>
      </c>
      <c r="E12036" t="s">
        <v>20776</v>
      </c>
      <c r="F12036" t="s">
        <v>3750</v>
      </c>
      <c r="G12036" t="s">
        <v>16234</v>
      </c>
      <c r="H12036" t="s">
        <v>47054</v>
      </c>
      <c r="I12036" t="s">
        <v>47116</v>
      </c>
      <c r="J12036" t="s">
        <v>47117</v>
      </c>
      <c r="K12036" t="s">
        <v>47113</v>
      </c>
      <c r="L12036">
        <v>22.05</v>
      </c>
      <c r="M12036">
        <v>80</v>
      </c>
      <c r="N12036">
        <v>0</v>
      </c>
      <c r="O12036">
        <v>80</v>
      </c>
      <c r="P12036">
        <v>0</v>
      </c>
    </row>
    <row r="12037" spans="1:16" x14ac:dyDescent="0.25">
      <c r="A12037" t="s">
        <v>34708</v>
      </c>
      <c r="B12037" t="s">
        <v>20777</v>
      </c>
      <c r="C12037" t="s">
        <v>20778</v>
      </c>
      <c r="D12037" t="str">
        <f>"1001"</f>
        <v>1001</v>
      </c>
      <c r="E12037" t="s">
        <v>20779</v>
      </c>
      <c r="F12037" t="s">
        <v>3750</v>
      </c>
      <c r="G12037" t="s">
        <v>16233</v>
      </c>
      <c r="H12037" t="s">
        <v>47054</v>
      </c>
      <c r="I12037" t="s">
        <v>47116</v>
      </c>
      <c r="J12037" t="s">
        <v>47117</v>
      </c>
      <c r="K12037" t="s">
        <v>47113</v>
      </c>
      <c r="L12037">
        <v>28.2</v>
      </c>
      <c r="M12037">
        <v>121</v>
      </c>
      <c r="N12037">
        <v>0</v>
      </c>
      <c r="O12037">
        <v>121</v>
      </c>
      <c r="P12037">
        <v>0</v>
      </c>
    </row>
    <row r="12038" spans="1:16" x14ac:dyDescent="0.25">
      <c r="A12038" t="s">
        <v>34709</v>
      </c>
      <c r="B12038" t="s">
        <v>20777</v>
      </c>
      <c r="C12038" t="s">
        <v>20778</v>
      </c>
      <c r="D12038" t="str">
        <f>"1700"</f>
        <v>1700</v>
      </c>
      <c r="E12038" t="s">
        <v>20780</v>
      </c>
      <c r="F12038" t="s">
        <v>3750</v>
      </c>
      <c r="G12038" t="s">
        <v>16233</v>
      </c>
      <c r="H12038" t="s">
        <v>47054</v>
      </c>
      <c r="I12038" t="s">
        <v>47116</v>
      </c>
      <c r="J12038" t="s">
        <v>47117</v>
      </c>
      <c r="K12038" t="s">
        <v>47113</v>
      </c>
      <c r="L12038">
        <v>26.59</v>
      </c>
      <c r="M12038">
        <v>121</v>
      </c>
      <c r="N12038">
        <v>0</v>
      </c>
      <c r="O12038">
        <v>121</v>
      </c>
      <c r="P12038">
        <v>0</v>
      </c>
    </row>
    <row r="12039" spans="1:16" x14ac:dyDescent="0.25">
      <c r="A12039" t="s">
        <v>48473</v>
      </c>
      <c r="B12039" t="s">
        <v>48474</v>
      </c>
      <c r="C12039" t="s">
        <v>48475</v>
      </c>
      <c r="D12039" t="str">
        <f>"1406"</f>
        <v>1406</v>
      </c>
      <c r="E12039" t="s">
        <v>31944</v>
      </c>
      <c r="F12039" t="s">
        <v>47163</v>
      </c>
      <c r="G12039" t="s">
        <v>16233</v>
      </c>
      <c r="H12039" t="s">
        <v>47054</v>
      </c>
      <c r="I12039" t="s">
        <v>47116</v>
      </c>
      <c r="J12039" t="s">
        <v>47117</v>
      </c>
      <c r="K12039" t="s">
        <v>47113</v>
      </c>
      <c r="L12039">
        <v>26.5</v>
      </c>
      <c r="M12039">
        <v>96</v>
      </c>
      <c r="N12039">
        <v>259</v>
      </c>
      <c r="O12039">
        <v>96</v>
      </c>
      <c r="P12039">
        <v>259</v>
      </c>
    </row>
    <row r="12040" spans="1:16" x14ac:dyDescent="0.25">
      <c r="A12040" t="s">
        <v>34710</v>
      </c>
      <c r="B12040" t="s">
        <v>20781</v>
      </c>
      <c r="C12040" t="s">
        <v>20782</v>
      </c>
      <c r="D12040" t="str">
        <f>"7233"</f>
        <v>7233</v>
      </c>
      <c r="E12040" t="s">
        <v>20783</v>
      </c>
      <c r="F12040" t="s">
        <v>3750</v>
      </c>
      <c r="G12040" t="s">
        <v>16234</v>
      </c>
      <c r="H12040" t="s">
        <v>47054</v>
      </c>
      <c r="I12040" t="s">
        <v>47116</v>
      </c>
      <c r="J12040" t="s">
        <v>47117</v>
      </c>
      <c r="K12040" t="s">
        <v>47113</v>
      </c>
      <c r="L12040">
        <v>24.93</v>
      </c>
      <c r="M12040">
        <v>108</v>
      </c>
      <c r="N12040">
        <v>0</v>
      </c>
      <c r="O12040">
        <v>108</v>
      </c>
      <c r="P12040">
        <v>0</v>
      </c>
    </row>
    <row r="12041" spans="1:16" x14ac:dyDescent="0.25">
      <c r="A12041" t="s">
        <v>34711</v>
      </c>
      <c r="B12041" t="s">
        <v>15644</v>
      </c>
      <c r="C12041" t="s">
        <v>15645</v>
      </c>
      <c r="D12041" t="str">
        <f>"1700"</f>
        <v>1700</v>
      </c>
      <c r="E12041" t="s">
        <v>15646</v>
      </c>
      <c r="F12041" t="s">
        <v>3750</v>
      </c>
      <c r="G12041" t="s">
        <v>16233</v>
      </c>
      <c r="H12041" t="s">
        <v>47054</v>
      </c>
      <c r="I12041" t="s">
        <v>47116</v>
      </c>
      <c r="J12041" t="s">
        <v>47117</v>
      </c>
      <c r="K12041" t="s">
        <v>47113</v>
      </c>
      <c r="L12041">
        <v>18.809999999999999</v>
      </c>
      <c r="M12041">
        <v>73</v>
      </c>
      <c r="N12041">
        <v>0</v>
      </c>
      <c r="O12041">
        <v>73</v>
      </c>
      <c r="P12041">
        <v>0</v>
      </c>
    </row>
    <row r="12042" spans="1:16" x14ac:dyDescent="0.25">
      <c r="A12042" t="s">
        <v>48476</v>
      </c>
      <c r="B12042" t="s">
        <v>48477</v>
      </c>
      <c r="C12042" t="s">
        <v>48478</v>
      </c>
      <c r="D12042" t="str">
        <f>"7233"</f>
        <v>7233</v>
      </c>
      <c r="E12042" t="s">
        <v>48472</v>
      </c>
      <c r="F12042" t="s">
        <v>31484</v>
      </c>
      <c r="G12042" t="s">
        <v>16233</v>
      </c>
      <c r="H12042" t="s">
        <v>47054</v>
      </c>
      <c r="I12042" t="s">
        <v>47116</v>
      </c>
      <c r="J12042" t="s">
        <v>47117</v>
      </c>
      <c r="K12042" t="s">
        <v>47113</v>
      </c>
      <c r="L12042">
        <v>21.29</v>
      </c>
      <c r="M12042">
        <v>96</v>
      </c>
      <c r="N12042">
        <v>259</v>
      </c>
      <c r="O12042">
        <v>96</v>
      </c>
      <c r="P12042">
        <v>259</v>
      </c>
    </row>
    <row r="12043" spans="1:16" x14ac:dyDescent="0.25">
      <c r="A12043" t="s">
        <v>34712</v>
      </c>
      <c r="B12043" t="s">
        <v>15647</v>
      </c>
      <c r="C12043" t="s">
        <v>15645</v>
      </c>
      <c r="D12043" t="str">
        <f>"4000"</f>
        <v>4000</v>
      </c>
      <c r="E12043" t="s">
        <v>15457</v>
      </c>
      <c r="F12043" t="s">
        <v>3750</v>
      </c>
      <c r="G12043" t="s">
        <v>16233</v>
      </c>
      <c r="H12043" t="s">
        <v>47054</v>
      </c>
      <c r="I12043" t="s">
        <v>47116</v>
      </c>
      <c r="J12043" t="s">
        <v>47117</v>
      </c>
      <c r="K12043" t="s">
        <v>47113</v>
      </c>
      <c r="L12043">
        <v>18.809999999999999</v>
      </c>
      <c r="M12043">
        <v>73</v>
      </c>
      <c r="N12043">
        <v>0</v>
      </c>
      <c r="O12043">
        <v>73</v>
      </c>
      <c r="P12043">
        <v>0</v>
      </c>
    </row>
    <row r="12044" spans="1:16" x14ac:dyDescent="0.25">
      <c r="A12044" t="s">
        <v>34713</v>
      </c>
      <c r="B12044" t="s">
        <v>17944</v>
      </c>
      <c r="C12044" t="s">
        <v>17945</v>
      </c>
      <c r="D12044" t="str">
        <f>"1700"</f>
        <v>1700</v>
      </c>
      <c r="E12044" t="s">
        <v>17946</v>
      </c>
      <c r="F12044" t="s">
        <v>3750</v>
      </c>
      <c r="G12044" t="s">
        <v>16233</v>
      </c>
      <c r="H12044" t="s">
        <v>47054</v>
      </c>
      <c r="I12044" t="s">
        <v>47116</v>
      </c>
      <c r="J12044" t="s">
        <v>47117</v>
      </c>
      <c r="K12044" t="s">
        <v>47113</v>
      </c>
      <c r="L12044">
        <v>25.58</v>
      </c>
      <c r="M12044">
        <v>73</v>
      </c>
      <c r="N12044">
        <v>0</v>
      </c>
      <c r="O12044">
        <v>73</v>
      </c>
      <c r="P12044">
        <v>0</v>
      </c>
    </row>
    <row r="12045" spans="1:16" x14ac:dyDescent="0.25">
      <c r="A12045" t="s">
        <v>34714</v>
      </c>
      <c r="B12045" t="s">
        <v>17947</v>
      </c>
      <c r="C12045" t="s">
        <v>17948</v>
      </c>
      <c r="D12045" t="str">
        <f>"1001"</f>
        <v>1001</v>
      </c>
      <c r="E12045" t="s">
        <v>17949</v>
      </c>
      <c r="F12045" t="s">
        <v>3750</v>
      </c>
      <c r="G12045" t="s">
        <v>16233</v>
      </c>
      <c r="H12045" t="s">
        <v>47054</v>
      </c>
      <c r="I12045" t="s">
        <v>47116</v>
      </c>
      <c r="J12045" t="s">
        <v>47117</v>
      </c>
      <c r="K12045" t="s">
        <v>47113</v>
      </c>
      <c r="L12045">
        <v>27.13</v>
      </c>
      <c r="M12045">
        <v>77</v>
      </c>
      <c r="N12045">
        <v>0</v>
      </c>
      <c r="O12045">
        <v>77</v>
      </c>
      <c r="P12045">
        <v>0</v>
      </c>
    </row>
    <row r="12046" spans="1:16" x14ac:dyDescent="0.25">
      <c r="A12046" t="s">
        <v>34715</v>
      </c>
      <c r="B12046" t="s">
        <v>20784</v>
      </c>
      <c r="C12046" t="s">
        <v>20785</v>
      </c>
      <c r="D12046" t="str">
        <f>"1200"</f>
        <v>1200</v>
      </c>
      <c r="E12046" t="s">
        <v>20786</v>
      </c>
      <c r="F12046" t="s">
        <v>3750</v>
      </c>
      <c r="G12046" t="s">
        <v>16233</v>
      </c>
      <c r="H12046" t="s">
        <v>47054</v>
      </c>
      <c r="I12046" t="s">
        <v>47116</v>
      </c>
      <c r="J12046" t="s">
        <v>47117</v>
      </c>
      <c r="K12046" t="s">
        <v>47113</v>
      </c>
      <c r="L12046">
        <v>18.47</v>
      </c>
      <c r="M12046">
        <v>67</v>
      </c>
      <c r="N12046">
        <v>0</v>
      </c>
      <c r="O12046">
        <v>67</v>
      </c>
      <c r="P12046">
        <v>0</v>
      </c>
    </row>
    <row r="12047" spans="1:16" x14ac:dyDescent="0.25">
      <c r="A12047" t="s">
        <v>34716</v>
      </c>
      <c r="B12047" t="s">
        <v>20784</v>
      </c>
      <c r="C12047" t="s">
        <v>20785</v>
      </c>
      <c r="D12047" t="str">
        <f>"8419"</f>
        <v>8419</v>
      </c>
      <c r="E12047" t="s">
        <v>20787</v>
      </c>
      <c r="F12047" t="s">
        <v>3750</v>
      </c>
      <c r="G12047" t="s">
        <v>16233</v>
      </c>
      <c r="H12047" t="s">
        <v>47054</v>
      </c>
      <c r="I12047" t="s">
        <v>47116</v>
      </c>
      <c r="J12047" t="s">
        <v>47117</v>
      </c>
      <c r="K12047" t="s">
        <v>47113</v>
      </c>
      <c r="L12047">
        <v>18.47</v>
      </c>
      <c r="M12047">
        <v>67</v>
      </c>
      <c r="N12047">
        <v>0</v>
      </c>
      <c r="O12047">
        <v>67</v>
      </c>
      <c r="P12047">
        <v>0</v>
      </c>
    </row>
    <row r="12048" spans="1:16" x14ac:dyDescent="0.25">
      <c r="A12048" t="s">
        <v>34717</v>
      </c>
      <c r="B12048" t="s">
        <v>15648</v>
      </c>
      <c r="C12048" t="s">
        <v>15450</v>
      </c>
      <c r="D12048" t="str">
        <f>"1001"</f>
        <v>1001</v>
      </c>
      <c r="E12048" t="s">
        <v>15649</v>
      </c>
      <c r="F12048" t="s">
        <v>3750</v>
      </c>
      <c r="G12048" t="s">
        <v>16234</v>
      </c>
      <c r="H12048" t="s">
        <v>47054</v>
      </c>
      <c r="I12048" t="s">
        <v>47116</v>
      </c>
      <c r="J12048" t="s">
        <v>47117</v>
      </c>
      <c r="K12048" t="s">
        <v>47113</v>
      </c>
      <c r="L12048">
        <v>19.2</v>
      </c>
      <c r="M12048">
        <v>74</v>
      </c>
      <c r="N12048">
        <v>0</v>
      </c>
      <c r="O12048">
        <v>74</v>
      </c>
      <c r="P12048">
        <v>0</v>
      </c>
    </row>
    <row r="12049" spans="1:16" x14ac:dyDescent="0.25">
      <c r="A12049" t="s">
        <v>34718</v>
      </c>
      <c r="B12049" t="s">
        <v>20788</v>
      </c>
      <c r="C12049" t="s">
        <v>20789</v>
      </c>
      <c r="D12049" t="str">
        <f>"1001"</f>
        <v>1001</v>
      </c>
      <c r="E12049" t="s">
        <v>20790</v>
      </c>
      <c r="F12049" t="s">
        <v>3750</v>
      </c>
      <c r="G12049" t="s">
        <v>16234</v>
      </c>
      <c r="H12049" t="s">
        <v>47054</v>
      </c>
      <c r="I12049" t="s">
        <v>47116</v>
      </c>
      <c r="J12049" t="s">
        <v>47117</v>
      </c>
      <c r="K12049" t="s">
        <v>47113</v>
      </c>
      <c r="L12049">
        <v>24.93</v>
      </c>
      <c r="M12049">
        <v>108</v>
      </c>
      <c r="N12049">
        <v>0</v>
      </c>
      <c r="O12049">
        <v>108</v>
      </c>
      <c r="P12049">
        <v>0</v>
      </c>
    </row>
    <row r="12050" spans="1:16" x14ac:dyDescent="0.25">
      <c r="A12050" t="s">
        <v>34719</v>
      </c>
      <c r="B12050" t="s">
        <v>20791</v>
      </c>
      <c r="C12050" t="s">
        <v>20792</v>
      </c>
      <c r="D12050" t="str">
        <f>"6000"</f>
        <v>6000</v>
      </c>
      <c r="E12050" t="s">
        <v>20793</v>
      </c>
      <c r="F12050" t="s">
        <v>3750</v>
      </c>
      <c r="G12050" t="s">
        <v>16234</v>
      </c>
      <c r="H12050" t="s">
        <v>47054</v>
      </c>
      <c r="I12050" t="s">
        <v>47116</v>
      </c>
      <c r="J12050" t="s">
        <v>47117</v>
      </c>
      <c r="K12050" t="s">
        <v>47113</v>
      </c>
      <c r="L12050">
        <v>20.68</v>
      </c>
      <c r="M12050">
        <v>34</v>
      </c>
      <c r="N12050">
        <v>0</v>
      </c>
      <c r="O12050">
        <v>34</v>
      </c>
      <c r="P12050">
        <v>0</v>
      </c>
    </row>
    <row r="12051" spans="1:16" x14ac:dyDescent="0.25">
      <c r="A12051" t="s">
        <v>34720</v>
      </c>
      <c r="B12051" t="s">
        <v>20794</v>
      </c>
      <c r="C12051" t="s">
        <v>20795</v>
      </c>
      <c r="D12051" t="str">
        <f>"2000"</f>
        <v>2000</v>
      </c>
      <c r="E12051" t="s">
        <v>20796</v>
      </c>
      <c r="F12051" t="s">
        <v>3750</v>
      </c>
      <c r="G12051" t="s">
        <v>16234</v>
      </c>
      <c r="H12051" t="s">
        <v>47054</v>
      </c>
      <c r="I12051" t="s">
        <v>47116</v>
      </c>
      <c r="J12051" t="s">
        <v>47117</v>
      </c>
      <c r="K12051" t="s">
        <v>47113</v>
      </c>
      <c r="L12051">
        <v>20.68</v>
      </c>
      <c r="M12051">
        <v>34</v>
      </c>
      <c r="N12051">
        <v>0</v>
      </c>
      <c r="O12051">
        <v>34</v>
      </c>
      <c r="P12051">
        <v>0</v>
      </c>
    </row>
    <row r="12052" spans="1:16" x14ac:dyDescent="0.25">
      <c r="A12052" t="s">
        <v>34721</v>
      </c>
      <c r="B12052" t="s">
        <v>20797</v>
      </c>
      <c r="C12052" t="s">
        <v>20798</v>
      </c>
      <c r="D12052" t="str">
        <f>"4000"</f>
        <v>4000</v>
      </c>
      <c r="E12052" t="s">
        <v>20799</v>
      </c>
      <c r="F12052" t="s">
        <v>3750</v>
      </c>
      <c r="G12052" t="s">
        <v>16234</v>
      </c>
      <c r="H12052" t="s">
        <v>47054</v>
      </c>
      <c r="I12052" t="s">
        <v>47116</v>
      </c>
      <c r="J12052" t="s">
        <v>47117</v>
      </c>
      <c r="K12052" t="s">
        <v>47113</v>
      </c>
      <c r="L12052">
        <v>24.82</v>
      </c>
      <c r="M12052">
        <v>107</v>
      </c>
      <c r="N12052">
        <v>0</v>
      </c>
      <c r="O12052">
        <v>107</v>
      </c>
      <c r="P12052">
        <v>0</v>
      </c>
    </row>
    <row r="12053" spans="1:16" x14ac:dyDescent="0.25">
      <c r="A12053" t="s">
        <v>34722</v>
      </c>
      <c r="B12053" t="s">
        <v>20800</v>
      </c>
      <c r="C12053" t="s">
        <v>20801</v>
      </c>
      <c r="D12053" t="str">
        <f>"1700"</f>
        <v>1700</v>
      </c>
      <c r="E12053" t="s">
        <v>20802</v>
      </c>
      <c r="F12053" t="s">
        <v>3750</v>
      </c>
      <c r="G12053" t="s">
        <v>16234</v>
      </c>
      <c r="H12053" t="s">
        <v>47054</v>
      </c>
      <c r="I12053" t="s">
        <v>47116</v>
      </c>
      <c r="J12053" t="s">
        <v>47117</v>
      </c>
      <c r="K12053" t="s">
        <v>47113</v>
      </c>
      <c r="L12053">
        <v>23.21</v>
      </c>
      <c r="M12053">
        <v>107</v>
      </c>
      <c r="N12053">
        <v>0</v>
      </c>
      <c r="O12053">
        <v>107</v>
      </c>
      <c r="P12053">
        <v>0</v>
      </c>
    </row>
    <row r="12054" spans="1:16" x14ac:dyDescent="0.25">
      <c r="A12054" t="s">
        <v>48479</v>
      </c>
      <c r="B12054" t="s">
        <v>48480</v>
      </c>
      <c r="C12054" t="s">
        <v>48481</v>
      </c>
      <c r="D12054" t="str">
        <f>"1700"</f>
        <v>1700</v>
      </c>
      <c r="E12054" t="s">
        <v>48482</v>
      </c>
      <c r="F12054" t="s">
        <v>31484</v>
      </c>
      <c r="G12054" t="s">
        <v>16233</v>
      </c>
      <c r="H12054" t="s">
        <v>47054</v>
      </c>
      <c r="I12054" t="s">
        <v>47116</v>
      </c>
      <c r="J12054" t="s">
        <v>47117</v>
      </c>
      <c r="K12054" t="s">
        <v>47113</v>
      </c>
      <c r="L12054">
        <v>22.7</v>
      </c>
      <c r="M12054">
        <v>96</v>
      </c>
      <c r="N12054">
        <v>259</v>
      </c>
      <c r="O12054">
        <v>96</v>
      </c>
      <c r="P12054">
        <v>259</v>
      </c>
    </row>
    <row r="12055" spans="1:16" x14ac:dyDescent="0.25">
      <c r="A12055" t="s">
        <v>48483</v>
      </c>
      <c r="B12055" t="s">
        <v>48484</v>
      </c>
      <c r="C12055" t="s">
        <v>48485</v>
      </c>
      <c r="D12055" t="str">
        <f>"1001"</f>
        <v>1001</v>
      </c>
      <c r="E12055" t="s">
        <v>48486</v>
      </c>
      <c r="F12055" t="s">
        <v>31484</v>
      </c>
      <c r="G12055" t="s">
        <v>16233</v>
      </c>
      <c r="H12055" t="s">
        <v>47054</v>
      </c>
      <c r="I12055" t="s">
        <v>47116</v>
      </c>
      <c r="J12055" t="s">
        <v>47117</v>
      </c>
      <c r="K12055" t="s">
        <v>47113</v>
      </c>
      <c r="L12055">
        <v>22.7</v>
      </c>
      <c r="M12055">
        <v>96</v>
      </c>
      <c r="N12055">
        <v>259</v>
      </c>
      <c r="O12055">
        <v>96</v>
      </c>
      <c r="P12055">
        <v>259</v>
      </c>
    </row>
    <row r="12056" spans="1:16" x14ac:dyDescent="0.25">
      <c r="A12056" t="s">
        <v>34723</v>
      </c>
      <c r="B12056" t="s">
        <v>20803</v>
      </c>
      <c r="C12056" t="s">
        <v>20804</v>
      </c>
      <c r="D12056" t="str">
        <f>"6059"</f>
        <v>6059</v>
      </c>
      <c r="E12056" t="s">
        <v>20776</v>
      </c>
      <c r="F12056" t="s">
        <v>3750</v>
      </c>
      <c r="G12056" t="s">
        <v>16233</v>
      </c>
      <c r="H12056" t="s">
        <v>47054</v>
      </c>
      <c r="I12056" t="s">
        <v>47116</v>
      </c>
      <c r="J12056" t="s">
        <v>47117</v>
      </c>
      <c r="K12056" t="s">
        <v>47113</v>
      </c>
      <c r="L12056">
        <v>21.58</v>
      </c>
      <c r="M12056">
        <v>95</v>
      </c>
      <c r="N12056">
        <v>0</v>
      </c>
      <c r="O12056">
        <v>95</v>
      </c>
      <c r="P12056">
        <v>0</v>
      </c>
    </row>
    <row r="12057" spans="1:16" x14ac:dyDescent="0.25">
      <c r="A12057" t="s">
        <v>34724</v>
      </c>
      <c r="B12057" t="s">
        <v>20805</v>
      </c>
      <c r="C12057" t="s">
        <v>20806</v>
      </c>
      <c r="D12057" t="str">
        <f>"1700"</f>
        <v>1700</v>
      </c>
      <c r="E12057" t="s">
        <v>20807</v>
      </c>
      <c r="F12057" t="s">
        <v>3750</v>
      </c>
      <c r="G12057" t="s">
        <v>16233</v>
      </c>
      <c r="H12057" t="s">
        <v>47054</v>
      </c>
      <c r="I12057" t="s">
        <v>47116</v>
      </c>
      <c r="J12057" t="s">
        <v>47117</v>
      </c>
      <c r="K12057" t="s">
        <v>47113</v>
      </c>
      <c r="L12057">
        <v>21.58</v>
      </c>
      <c r="M12057">
        <v>95</v>
      </c>
      <c r="N12057">
        <v>0</v>
      </c>
      <c r="O12057">
        <v>95</v>
      </c>
      <c r="P12057">
        <v>0</v>
      </c>
    </row>
    <row r="12058" spans="1:16" x14ac:dyDescent="0.25">
      <c r="A12058" t="s">
        <v>34725</v>
      </c>
      <c r="B12058" t="s">
        <v>20808</v>
      </c>
      <c r="C12058" t="s">
        <v>20809</v>
      </c>
      <c r="D12058" t="str">
        <f>"2500"</f>
        <v>2500</v>
      </c>
      <c r="E12058" t="s">
        <v>20810</v>
      </c>
      <c r="F12058" t="s">
        <v>3750</v>
      </c>
      <c r="G12058" t="s">
        <v>16233</v>
      </c>
      <c r="H12058" t="s">
        <v>47054</v>
      </c>
      <c r="I12058" t="s">
        <v>47116</v>
      </c>
      <c r="J12058" t="s">
        <v>47117</v>
      </c>
      <c r="K12058" t="s">
        <v>47113</v>
      </c>
      <c r="L12058">
        <v>21.49</v>
      </c>
      <c r="M12058">
        <v>93</v>
      </c>
      <c r="N12058">
        <v>0</v>
      </c>
      <c r="O12058">
        <v>93</v>
      </c>
      <c r="P12058">
        <v>0</v>
      </c>
    </row>
    <row r="12059" spans="1:16" x14ac:dyDescent="0.25">
      <c r="A12059" t="s">
        <v>34726</v>
      </c>
      <c r="B12059" t="s">
        <v>20811</v>
      </c>
      <c r="C12059" t="s">
        <v>20809</v>
      </c>
      <c r="D12059" t="str">
        <f>"1001"</f>
        <v>1001</v>
      </c>
      <c r="E12059" t="s">
        <v>20812</v>
      </c>
      <c r="F12059" t="s">
        <v>3750</v>
      </c>
      <c r="G12059" t="s">
        <v>16233</v>
      </c>
      <c r="H12059" t="s">
        <v>47054</v>
      </c>
      <c r="I12059" t="s">
        <v>47116</v>
      </c>
      <c r="J12059" t="s">
        <v>47117</v>
      </c>
      <c r="K12059" t="s">
        <v>47113</v>
      </c>
      <c r="L12059">
        <v>21.49</v>
      </c>
      <c r="M12059">
        <v>93</v>
      </c>
      <c r="N12059">
        <v>0</v>
      </c>
      <c r="O12059">
        <v>93</v>
      </c>
      <c r="P12059">
        <v>0</v>
      </c>
    </row>
    <row r="12060" spans="1:16" x14ac:dyDescent="0.25">
      <c r="A12060" t="s">
        <v>48487</v>
      </c>
      <c r="B12060" t="s">
        <v>48488</v>
      </c>
      <c r="C12060" t="s">
        <v>48489</v>
      </c>
      <c r="D12060" t="str">
        <f>"3501"</f>
        <v>3501</v>
      </c>
      <c r="E12060" t="s">
        <v>48465</v>
      </c>
      <c r="F12060" t="s">
        <v>47185</v>
      </c>
      <c r="G12060" t="s">
        <v>16234</v>
      </c>
      <c r="H12060" t="s">
        <v>47054</v>
      </c>
      <c r="I12060" t="s">
        <v>47116</v>
      </c>
      <c r="J12060" t="s">
        <v>47117</v>
      </c>
      <c r="K12060" t="s">
        <v>47113</v>
      </c>
      <c r="L12060">
        <v>30.7</v>
      </c>
      <c r="M12060">
        <v>114.44</v>
      </c>
      <c r="N12060">
        <v>309</v>
      </c>
      <c r="O12060">
        <v>114.44</v>
      </c>
      <c r="P12060">
        <v>309</v>
      </c>
    </row>
    <row r="12061" spans="1:16" x14ac:dyDescent="0.25">
      <c r="A12061" t="s">
        <v>48490</v>
      </c>
      <c r="B12061" t="s">
        <v>48491</v>
      </c>
      <c r="C12061" t="s">
        <v>48492</v>
      </c>
      <c r="D12061" t="str">
        <f>"3263"</f>
        <v>3263</v>
      </c>
      <c r="E12061" t="s">
        <v>48465</v>
      </c>
      <c r="F12061" t="s">
        <v>46687</v>
      </c>
      <c r="G12061" t="s">
        <v>16233</v>
      </c>
      <c r="H12061" t="s">
        <v>47054</v>
      </c>
      <c r="I12061" t="s">
        <v>47116</v>
      </c>
      <c r="J12061" t="s">
        <v>47117</v>
      </c>
      <c r="K12061" t="s">
        <v>47113</v>
      </c>
      <c r="L12061">
        <v>31.7</v>
      </c>
      <c r="M12061">
        <v>84.81</v>
      </c>
      <c r="N12061">
        <v>229</v>
      </c>
      <c r="O12061">
        <v>84.81</v>
      </c>
      <c r="P12061">
        <v>229</v>
      </c>
    </row>
    <row r="12062" spans="1:16" x14ac:dyDescent="0.25">
      <c r="A12062" t="s">
        <v>48493</v>
      </c>
      <c r="B12062" t="s">
        <v>48494</v>
      </c>
      <c r="C12062" t="s">
        <v>48495</v>
      </c>
      <c r="D12062" t="str">
        <f>"7233"</f>
        <v>7233</v>
      </c>
      <c r="E12062" t="s">
        <v>20783</v>
      </c>
      <c r="F12062" t="s">
        <v>47163</v>
      </c>
      <c r="G12062" t="s">
        <v>16234</v>
      </c>
      <c r="H12062" t="s">
        <v>47054</v>
      </c>
      <c r="I12062" t="s">
        <v>47116</v>
      </c>
      <c r="J12062" t="s">
        <v>47117</v>
      </c>
      <c r="K12062" t="s">
        <v>47113</v>
      </c>
      <c r="L12062">
        <v>21.71</v>
      </c>
      <c r="M12062">
        <v>92</v>
      </c>
      <c r="N12062">
        <v>249</v>
      </c>
      <c r="O12062">
        <v>92</v>
      </c>
      <c r="P12062">
        <v>249</v>
      </c>
    </row>
    <row r="12063" spans="1:16" x14ac:dyDescent="0.25">
      <c r="A12063" t="s">
        <v>34727</v>
      </c>
      <c r="B12063" t="s">
        <v>20813</v>
      </c>
      <c r="C12063" t="s">
        <v>20814</v>
      </c>
      <c r="D12063" t="str">
        <f>"1001"</f>
        <v>1001</v>
      </c>
      <c r="E12063" t="s">
        <v>20812</v>
      </c>
      <c r="F12063" t="s">
        <v>3750</v>
      </c>
      <c r="G12063" t="s">
        <v>16234</v>
      </c>
      <c r="H12063" t="s">
        <v>47054</v>
      </c>
      <c r="I12063" t="s">
        <v>47116</v>
      </c>
      <c r="J12063" t="s">
        <v>47117</v>
      </c>
      <c r="K12063" t="s">
        <v>47113</v>
      </c>
      <c r="L12063">
        <v>28.24</v>
      </c>
      <c r="M12063">
        <v>104</v>
      </c>
      <c r="N12063">
        <v>0</v>
      </c>
      <c r="O12063">
        <v>104</v>
      </c>
      <c r="P12063">
        <v>0</v>
      </c>
    </row>
    <row r="12064" spans="1:16" x14ac:dyDescent="0.25">
      <c r="A12064" t="s">
        <v>34728</v>
      </c>
      <c r="B12064" t="s">
        <v>20813</v>
      </c>
      <c r="C12064" t="s">
        <v>20814</v>
      </c>
      <c r="D12064" t="str">
        <f>"3000"</f>
        <v>3000</v>
      </c>
      <c r="E12064" t="s">
        <v>20815</v>
      </c>
      <c r="F12064" t="s">
        <v>3750</v>
      </c>
      <c r="G12064" t="s">
        <v>16234</v>
      </c>
      <c r="H12064" t="s">
        <v>47054</v>
      </c>
      <c r="I12064" t="s">
        <v>47116</v>
      </c>
      <c r="J12064" t="s">
        <v>47117</v>
      </c>
      <c r="K12064" t="s">
        <v>47113</v>
      </c>
      <c r="L12064">
        <v>28.93</v>
      </c>
      <c r="M12064">
        <v>104</v>
      </c>
      <c r="N12064">
        <v>0</v>
      </c>
      <c r="O12064">
        <v>104</v>
      </c>
      <c r="P12064">
        <v>0</v>
      </c>
    </row>
    <row r="12065" spans="1:16" x14ac:dyDescent="0.25">
      <c r="A12065" t="s">
        <v>34729</v>
      </c>
      <c r="B12065" t="s">
        <v>20816</v>
      </c>
      <c r="C12065" t="s">
        <v>20817</v>
      </c>
      <c r="D12065" t="str">
        <f>"4031"</f>
        <v>4031</v>
      </c>
      <c r="E12065" t="s">
        <v>20818</v>
      </c>
      <c r="F12065" t="s">
        <v>16762</v>
      </c>
      <c r="G12065" t="s">
        <v>16230</v>
      </c>
      <c r="H12065" t="s">
        <v>47054</v>
      </c>
      <c r="I12065" t="s">
        <v>47120</v>
      </c>
      <c r="J12065" t="s">
        <v>47121</v>
      </c>
      <c r="K12065" t="s">
        <v>47113</v>
      </c>
      <c r="L12065">
        <v>14.17</v>
      </c>
      <c r="M12065">
        <v>21</v>
      </c>
      <c r="N12065">
        <v>0</v>
      </c>
      <c r="O12065">
        <v>21</v>
      </c>
      <c r="P12065">
        <v>0</v>
      </c>
    </row>
    <row r="12066" spans="1:16" x14ac:dyDescent="0.25">
      <c r="A12066" t="s">
        <v>34730</v>
      </c>
      <c r="B12066" t="s">
        <v>20819</v>
      </c>
      <c r="C12066" t="s">
        <v>20820</v>
      </c>
      <c r="D12066" t="str">
        <f>"6432"</f>
        <v>6432</v>
      </c>
      <c r="E12066" t="s">
        <v>20821</v>
      </c>
      <c r="F12066" t="s">
        <v>16762</v>
      </c>
      <c r="G12066" t="s">
        <v>16230</v>
      </c>
      <c r="H12066" t="s">
        <v>47054</v>
      </c>
      <c r="I12066" t="s">
        <v>47120</v>
      </c>
      <c r="J12066" t="s">
        <v>47121</v>
      </c>
      <c r="K12066" t="s">
        <v>47113</v>
      </c>
      <c r="L12066">
        <v>13.5</v>
      </c>
      <c r="M12066">
        <v>21</v>
      </c>
      <c r="N12066">
        <v>0</v>
      </c>
      <c r="O12066">
        <v>21</v>
      </c>
      <c r="P12066">
        <v>0</v>
      </c>
    </row>
    <row r="12067" spans="1:16" x14ac:dyDescent="0.25">
      <c r="A12067" t="s">
        <v>34731</v>
      </c>
      <c r="B12067" t="s">
        <v>20822</v>
      </c>
      <c r="C12067" t="s">
        <v>20823</v>
      </c>
      <c r="D12067" t="str">
        <f>"1001"</f>
        <v>1001</v>
      </c>
      <c r="E12067" t="s">
        <v>42</v>
      </c>
      <c r="F12067" t="s">
        <v>3750</v>
      </c>
      <c r="G12067" t="s">
        <v>16221</v>
      </c>
      <c r="H12067" t="s">
        <v>47054</v>
      </c>
      <c r="I12067" t="s">
        <v>47118</v>
      </c>
      <c r="J12067" t="s">
        <v>47119</v>
      </c>
      <c r="K12067" t="s">
        <v>47113</v>
      </c>
      <c r="L12067">
        <v>9.4</v>
      </c>
      <c r="M12067">
        <v>12</v>
      </c>
      <c r="N12067">
        <v>0</v>
      </c>
      <c r="O12067">
        <v>12</v>
      </c>
      <c r="P12067">
        <v>0</v>
      </c>
    </row>
    <row r="12068" spans="1:16" x14ac:dyDescent="0.25">
      <c r="A12068" t="s">
        <v>34732</v>
      </c>
      <c r="B12068" t="s">
        <v>20822</v>
      </c>
      <c r="C12068" t="s">
        <v>20823</v>
      </c>
      <c r="D12068" t="str">
        <f>"1519"</f>
        <v>1519</v>
      </c>
      <c r="E12068" t="s">
        <v>9898</v>
      </c>
      <c r="F12068" t="s">
        <v>3750</v>
      </c>
      <c r="G12068" t="s">
        <v>16221</v>
      </c>
      <c r="H12068" t="s">
        <v>47054</v>
      </c>
      <c r="I12068" t="s">
        <v>47118</v>
      </c>
      <c r="J12068" t="s">
        <v>47119</v>
      </c>
      <c r="K12068" t="s">
        <v>47113</v>
      </c>
      <c r="L12068">
        <v>9.4</v>
      </c>
      <c r="M12068">
        <v>12</v>
      </c>
      <c r="N12068">
        <v>0</v>
      </c>
      <c r="O12068">
        <v>12</v>
      </c>
      <c r="P12068">
        <v>0</v>
      </c>
    </row>
    <row r="12069" spans="1:16" x14ac:dyDescent="0.25">
      <c r="A12069" t="s">
        <v>34733</v>
      </c>
      <c r="B12069" t="s">
        <v>20824</v>
      </c>
      <c r="C12069" t="s">
        <v>20825</v>
      </c>
      <c r="D12069" t="str">
        <f>"1081"</f>
        <v>1081</v>
      </c>
      <c r="E12069" t="s">
        <v>20826</v>
      </c>
      <c r="F12069" t="s">
        <v>16601</v>
      </c>
      <c r="G12069" t="s">
        <v>16221</v>
      </c>
      <c r="H12069" t="s">
        <v>47054</v>
      </c>
      <c r="I12069" t="s">
        <v>47118</v>
      </c>
      <c r="J12069" t="s">
        <v>47119</v>
      </c>
      <c r="K12069" t="s">
        <v>47113</v>
      </c>
      <c r="L12069">
        <v>11.35</v>
      </c>
      <c r="M12069">
        <v>15</v>
      </c>
      <c r="N12069">
        <v>0</v>
      </c>
      <c r="O12069">
        <v>15</v>
      </c>
      <c r="P12069">
        <v>0</v>
      </c>
    </row>
    <row r="12070" spans="1:16" x14ac:dyDescent="0.25">
      <c r="A12070" t="s">
        <v>34734</v>
      </c>
      <c r="B12070" t="s">
        <v>20824</v>
      </c>
      <c r="C12070" t="s">
        <v>20825</v>
      </c>
      <c r="D12070" t="str">
        <f>"1213"</f>
        <v>1213</v>
      </c>
      <c r="E12070" t="s">
        <v>20827</v>
      </c>
      <c r="F12070" t="s">
        <v>3750</v>
      </c>
      <c r="G12070" t="s">
        <v>16221</v>
      </c>
      <c r="H12070" t="s">
        <v>47054</v>
      </c>
      <c r="I12070" t="s">
        <v>47118</v>
      </c>
      <c r="J12070" t="s">
        <v>47119</v>
      </c>
      <c r="K12070" t="s">
        <v>47113</v>
      </c>
      <c r="L12070">
        <v>11.35</v>
      </c>
      <c r="M12070">
        <v>15</v>
      </c>
      <c r="N12070">
        <v>0</v>
      </c>
      <c r="O12070">
        <v>15</v>
      </c>
      <c r="P12070">
        <v>0</v>
      </c>
    </row>
    <row r="12071" spans="1:16" x14ac:dyDescent="0.25">
      <c r="A12071" t="s">
        <v>34735</v>
      </c>
      <c r="B12071" t="s">
        <v>20828</v>
      </c>
      <c r="C12071" t="s">
        <v>20829</v>
      </c>
      <c r="D12071" t="str">
        <f>"1001"</f>
        <v>1001</v>
      </c>
      <c r="E12071" t="s">
        <v>42</v>
      </c>
      <c r="F12071" t="s">
        <v>3750</v>
      </c>
      <c r="G12071" t="s">
        <v>16221</v>
      </c>
      <c r="H12071" t="s">
        <v>47054</v>
      </c>
      <c r="I12071" t="s">
        <v>47118</v>
      </c>
      <c r="J12071" t="s">
        <v>47119</v>
      </c>
      <c r="K12071" t="s">
        <v>47113</v>
      </c>
      <c r="L12071">
        <v>9.6199999999999992</v>
      </c>
      <c r="M12071">
        <v>12</v>
      </c>
      <c r="N12071">
        <v>0</v>
      </c>
      <c r="O12071">
        <v>12</v>
      </c>
      <c r="P12071">
        <v>0</v>
      </c>
    </row>
    <row r="12072" spans="1:16" x14ac:dyDescent="0.25">
      <c r="A12072" t="s">
        <v>34736</v>
      </c>
      <c r="B12072" t="s">
        <v>20828</v>
      </c>
      <c r="C12072" t="s">
        <v>20829</v>
      </c>
      <c r="D12072" t="str">
        <f>"6000"</f>
        <v>6000</v>
      </c>
      <c r="E12072" t="s">
        <v>17920</v>
      </c>
      <c r="F12072" t="s">
        <v>3750</v>
      </c>
      <c r="G12072" t="s">
        <v>16221</v>
      </c>
      <c r="H12072" t="s">
        <v>47054</v>
      </c>
      <c r="I12072" t="s">
        <v>47118</v>
      </c>
      <c r="J12072" t="s">
        <v>47119</v>
      </c>
      <c r="K12072" t="s">
        <v>47113</v>
      </c>
      <c r="L12072">
        <v>9.6199999999999992</v>
      </c>
      <c r="M12072">
        <v>12</v>
      </c>
      <c r="N12072">
        <v>0</v>
      </c>
      <c r="O12072">
        <v>12</v>
      </c>
      <c r="P12072">
        <v>0</v>
      </c>
    </row>
    <row r="12073" spans="1:16" x14ac:dyDescent="0.25">
      <c r="A12073" t="s">
        <v>34737</v>
      </c>
      <c r="B12073" t="s">
        <v>20830</v>
      </c>
      <c r="C12073" t="s">
        <v>20831</v>
      </c>
      <c r="D12073" t="str">
        <f>"1001"</f>
        <v>1001</v>
      </c>
      <c r="E12073" t="s">
        <v>42</v>
      </c>
      <c r="F12073" t="s">
        <v>16762</v>
      </c>
      <c r="G12073" t="s">
        <v>16230</v>
      </c>
      <c r="H12073" t="s">
        <v>47054</v>
      </c>
      <c r="I12073" t="s">
        <v>47118</v>
      </c>
      <c r="J12073" t="s">
        <v>47119</v>
      </c>
      <c r="K12073" t="s">
        <v>47113</v>
      </c>
      <c r="L12073">
        <v>12.9</v>
      </c>
      <c r="M12073">
        <v>21</v>
      </c>
      <c r="N12073">
        <v>0</v>
      </c>
      <c r="O12073">
        <v>21</v>
      </c>
      <c r="P12073">
        <v>0</v>
      </c>
    </row>
    <row r="12074" spans="1:16" x14ac:dyDescent="0.25">
      <c r="A12074" t="s">
        <v>34738</v>
      </c>
      <c r="B12074" t="s">
        <v>20830</v>
      </c>
      <c r="C12074" t="s">
        <v>20831</v>
      </c>
      <c r="D12074" t="str">
        <f>"6000"</f>
        <v>6000</v>
      </c>
      <c r="E12074" t="s">
        <v>7168</v>
      </c>
      <c r="F12074" t="s">
        <v>16762</v>
      </c>
      <c r="G12074" t="s">
        <v>16230</v>
      </c>
      <c r="H12074" t="s">
        <v>47054</v>
      </c>
      <c r="I12074" t="s">
        <v>47118</v>
      </c>
      <c r="J12074" t="s">
        <v>47119</v>
      </c>
      <c r="K12074" t="s">
        <v>47113</v>
      </c>
      <c r="L12074">
        <v>12.9</v>
      </c>
      <c r="M12074">
        <v>21</v>
      </c>
      <c r="N12074">
        <v>0</v>
      </c>
      <c r="O12074">
        <v>21</v>
      </c>
      <c r="P12074">
        <v>0</v>
      </c>
    </row>
    <row r="12075" spans="1:16" x14ac:dyDescent="0.25">
      <c r="A12075" t="s">
        <v>34739</v>
      </c>
      <c r="B12075" t="s">
        <v>34740</v>
      </c>
      <c r="C12075" t="s">
        <v>34741</v>
      </c>
      <c r="D12075" t="str">
        <f>"4143"</f>
        <v>4143</v>
      </c>
      <c r="E12075" t="s">
        <v>261</v>
      </c>
      <c r="F12075" t="s">
        <v>3750</v>
      </c>
      <c r="G12075" t="s">
        <v>16230</v>
      </c>
      <c r="H12075" t="s">
        <v>47054</v>
      </c>
      <c r="I12075" t="s">
        <v>47118</v>
      </c>
      <c r="J12075" t="s">
        <v>47119</v>
      </c>
      <c r="K12075" t="s">
        <v>47113</v>
      </c>
      <c r="L12075">
        <v>15.71</v>
      </c>
      <c r="M12075">
        <v>59</v>
      </c>
      <c r="N12075">
        <v>159</v>
      </c>
      <c r="O12075">
        <v>59</v>
      </c>
      <c r="P12075">
        <v>159</v>
      </c>
    </row>
    <row r="12076" spans="1:16" x14ac:dyDescent="0.25">
      <c r="A12076" t="s">
        <v>34742</v>
      </c>
      <c r="B12076" t="s">
        <v>34740</v>
      </c>
      <c r="C12076" t="s">
        <v>34741</v>
      </c>
      <c r="D12076" t="str">
        <f>"6000"</f>
        <v>6000</v>
      </c>
      <c r="E12076" t="s">
        <v>6279</v>
      </c>
      <c r="F12076" t="s">
        <v>3750</v>
      </c>
      <c r="G12076" t="s">
        <v>16230</v>
      </c>
      <c r="H12076" t="s">
        <v>47054</v>
      </c>
      <c r="I12076" t="s">
        <v>47118</v>
      </c>
      <c r="J12076" t="s">
        <v>47119</v>
      </c>
      <c r="K12076" t="s">
        <v>47113</v>
      </c>
      <c r="L12076">
        <v>15.71</v>
      </c>
      <c r="M12076">
        <v>59</v>
      </c>
      <c r="N12076">
        <v>159</v>
      </c>
      <c r="O12076">
        <v>59</v>
      </c>
      <c r="P12076">
        <v>159</v>
      </c>
    </row>
    <row r="12077" spans="1:16" x14ac:dyDescent="0.25">
      <c r="A12077" t="s">
        <v>34743</v>
      </c>
      <c r="B12077" t="s">
        <v>17950</v>
      </c>
      <c r="C12077" t="s">
        <v>17844</v>
      </c>
      <c r="D12077" t="s">
        <v>17819</v>
      </c>
      <c r="E12077" t="s">
        <v>17820</v>
      </c>
      <c r="F12077" t="s">
        <v>3750</v>
      </c>
      <c r="G12077" t="s">
        <v>16231</v>
      </c>
      <c r="H12077" t="s">
        <v>47054</v>
      </c>
      <c r="I12077" t="s">
        <v>47116</v>
      </c>
      <c r="J12077" t="s">
        <v>47117</v>
      </c>
      <c r="K12077" t="s">
        <v>47113</v>
      </c>
      <c r="L12077">
        <v>27.29</v>
      </c>
      <c r="M12077">
        <v>77</v>
      </c>
      <c r="N12077">
        <v>0</v>
      </c>
      <c r="O12077">
        <v>77</v>
      </c>
      <c r="P12077">
        <v>0</v>
      </c>
    </row>
    <row r="12078" spans="1:16" x14ac:dyDescent="0.25">
      <c r="A12078" t="s">
        <v>34744</v>
      </c>
      <c r="B12078" t="s">
        <v>17951</v>
      </c>
      <c r="C12078" t="s">
        <v>17952</v>
      </c>
      <c r="D12078" t="s">
        <v>17590</v>
      </c>
      <c r="E12078" t="s">
        <v>17591</v>
      </c>
      <c r="F12078" t="s">
        <v>3750</v>
      </c>
      <c r="G12078" t="s">
        <v>16231</v>
      </c>
      <c r="H12078" t="s">
        <v>47054</v>
      </c>
      <c r="I12078" t="s">
        <v>47116</v>
      </c>
      <c r="J12078" t="s">
        <v>47117</v>
      </c>
      <c r="K12078" t="s">
        <v>47113</v>
      </c>
      <c r="L12078">
        <v>28.37</v>
      </c>
      <c r="M12078">
        <v>80</v>
      </c>
      <c r="N12078">
        <v>0</v>
      </c>
      <c r="O12078">
        <v>80</v>
      </c>
      <c r="P12078">
        <v>0</v>
      </c>
    </row>
    <row r="12079" spans="1:16" x14ac:dyDescent="0.25">
      <c r="A12079" t="s">
        <v>34745</v>
      </c>
      <c r="B12079" t="s">
        <v>17953</v>
      </c>
      <c r="C12079" t="s">
        <v>16506</v>
      </c>
      <c r="D12079" t="s">
        <v>17954</v>
      </c>
      <c r="E12079" t="s">
        <v>17955</v>
      </c>
      <c r="F12079" t="s">
        <v>3750</v>
      </c>
      <c r="G12079" t="s">
        <v>16231</v>
      </c>
      <c r="H12079" t="s">
        <v>47054</v>
      </c>
      <c r="I12079" t="s">
        <v>47116</v>
      </c>
      <c r="J12079" t="s">
        <v>47117</v>
      </c>
      <c r="K12079" t="s">
        <v>47113</v>
      </c>
      <c r="L12079">
        <v>26.64</v>
      </c>
      <c r="M12079">
        <v>76</v>
      </c>
      <c r="N12079">
        <v>0</v>
      </c>
      <c r="O12079">
        <v>76</v>
      </c>
      <c r="P12079">
        <v>0</v>
      </c>
    </row>
    <row r="12080" spans="1:16" x14ac:dyDescent="0.25">
      <c r="A12080" t="s">
        <v>34746</v>
      </c>
      <c r="B12080" t="s">
        <v>20832</v>
      </c>
      <c r="C12080" t="s">
        <v>20688</v>
      </c>
      <c r="D12080" t="s">
        <v>17954</v>
      </c>
      <c r="E12080" t="s">
        <v>17955</v>
      </c>
      <c r="F12080" t="s">
        <v>3750</v>
      </c>
      <c r="G12080" t="s">
        <v>16231</v>
      </c>
      <c r="H12080" t="s">
        <v>47054</v>
      </c>
      <c r="I12080" t="s">
        <v>47116</v>
      </c>
      <c r="J12080" t="s">
        <v>47117</v>
      </c>
      <c r="K12080" t="s">
        <v>47113</v>
      </c>
      <c r="L12080">
        <v>35.83</v>
      </c>
      <c r="M12080">
        <v>63</v>
      </c>
      <c r="N12080">
        <v>0</v>
      </c>
      <c r="O12080">
        <v>63</v>
      </c>
      <c r="P12080">
        <v>0</v>
      </c>
    </row>
    <row r="12081" spans="1:16" x14ac:dyDescent="0.25">
      <c r="A12081" t="s">
        <v>34747</v>
      </c>
      <c r="B12081" t="s">
        <v>17956</v>
      </c>
      <c r="C12081" t="s">
        <v>17957</v>
      </c>
      <c r="D12081" t="s">
        <v>17954</v>
      </c>
      <c r="E12081" t="s">
        <v>17955</v>
      </c>
      <c r="F12081" t="s">
        <v>3750</v>
      </c>
      <c r="G12081" t="s">
        <v>16231</v>
      </c>
      <c r="H12081" t="s">
        <v>47054</v>
      </c>
      <c r="I12081" t="s">
        <v>47116</v>
      </c>
      <c r="J12081" t="s">
        <v>47117</v>
      </c>
      <c r="K12081" t="s">
        <v>47113</v>
      </c>
      <c r="L12081">
        <v>29.34</v>
      </c>
      <c r="M12081">
        <v>103</v>
      </c>
      <c r="N12081">
        <v>0</v>
      </c>
      <c r="O12081">
        <v>103</v>
      </c>
      <c r="P12081">
        <v>0</v>
      </c>
    </row>
    <row r="12082" spans="1:16" x14ac:dyDescent="0.25">
      <c r="A12082" t="s">
        <v>34748</v>
      </c>
      <c r="B12082" t="s">
        <v>20833</v>
      </c>
      <c r="C12082" t="s">
        <v>7872</v>
      </c>
      <c r="D12082" t="s">
        <v>17954</v>
      </c>
      <c r="E12082" t="s">
        <v>17955</v>
      </c>
      <c r="F12082" t="s">
        <v>3750</v>
      </c>
      <c r="G12082" t="s">
        <v>16224</v>
      </c>
      <c r="H12082" t="s">
        <v>47054</v>
      </c>
      <c r="I12082" t="s">
        <v>47116</v>
      </c>
      <c r="J12082" t="s">
        <v>47117</v>
      </c>
      <c r="K12082" t="s">
        <v>47113</v>
      </c>
      <c r="L12082">
        <v>40.5</v>
      </c>
      <c r="M12082">
        <v>63</v>
      </c>
      <c r="N12082">
        <v>0</v>
      </c>
      <c r="O12082">
        <v>63</v>
      </c>
      <c r="P12082">
        <v>0</v>
      </c>
    </row>
    <row r="12083" spans="1:16" x14ac:dyDescent="0.25">
      <c r="A12083" t="s">
        <v>34749</v>
      </c>
      <c r="B12083" t="s">
        <v>20834</v>
      </c>
      <c r="C12083" t="s">
        <v>20835</v>
      </c>
      <c r="D12083" t="s">
        <v>20836</v>
      </c>
      <c r="E12083" t="s">
        <v>20837</v>
      </c>
      <c r="F12083" t="s">
        <v>3750</v>
      </c>
      <c r="G12083" t="s">
        <v>16231</v>
      </c>
      <c r="H12083" t="s">
        <v>47054</v>
      </c>
      <c r="I12083" t="s">
        <v>47116</v>
      </c>
      <c r="J12083" t="s">
        <v>47117</v>
      </c>
      <c r="K12083" t="s">
        <v>47113</v>
      </c>
      <c r="L12083">
        <v>26.95</v>
      </c>
      <c r="M12083">
        <v>46</v>
      </c>
      <c r="N12083">
        <v>0</v>
      </c>
      <c r="O12083">
        <v>46</v>
      </c>
      <c r="P12083">
        <v>0</v>
      </c>
    </row>
    <row r="12084" spans="1:16" x14ac:dyDescent="0.25">
      <c r="A12084" t="s">
        <v>34750</v>
      </c>
      <c r="B12084" t="s">
        <v>20838</v>
      </c>
      <c r="C12084" t="s">
        <v>20839</v>
      </c>
      <c r="D12084" t="s">
        <v>20555</v>
      </c>
      <c r="E12084" t="s">
        <v>20556</v>
      </c>
      <c r="F12084" t="s">
        <v>3750</v>
      </c>
      <c r="G12084" t="s">
        <v>16231</v>
      </c>
      <c r="H12084" t="s">
        <v>47054</v>
      </c>
      <c r="I12084" t="s">
        <v>47116</v>
      </c>
      <c r="J12084" t="s">
        <v>47117</v>
      </c>
      <c r="K12084" t="s">
        <v>47113</v>
      </c>
      <c r="L12084">
        <v>33.21</v>
      </c>
      <c r="M12084">
        <v>40</v>
      </c>
      <c r="N12084">
        <v>0</v>
      </c>
      <c r="O12084">
        <v>40</v>
      </c>
      <c r="P12084">
        <v>0</v>
      </c>
    </row>
    <row r="12085" spans="1:16" x14ac:dyDescent="0.25">
      <c r="A12085" t="s">
        <v>34751</v>
      </c>
      <c r="B12085" t="s">
        <v>17958</v>
      </c>
      <c r="C12085" t="s">
        <v>17959</v>
      </c>
      <c r="D12085" t="s">
        <v>17960</v>
      </c>
      <c r="E12085" t="s">
        <v>17961</v>
      </c>
      <c r="F12085" t="s">
        <v>3750</v>
      </c>
      <c r="G12085" t="s">
        <v>16231</v>
      </c>
      <c r="H12085" t="s">
        <v>47054</v>
      </c>
      <c r="I12085" t="s">
        <v>47116</v>
      </c>
      <c r="J12085" t="s">
        <v>47117</v>
      </c>
      <c r="K12085" t="s">
        <v>47113</v>
      </c>
      <c r="L12085">
        <v>38.729999999999997</v>
      </c>
      <c r="M12085">
        <v>130</v>
      </c>
      <c r="N12085">
        <v>0</v>
      </c>
      <c r="O12085">
        <v>130</v>
      </c>
      <c r="P12085">
        <v>0</v>
      </c>
    </row>
    <row r="12086" spans="1:16" x14ac:dyDescent="0.25">
      <c r="A12086" t="s">
        <v>34752</v>
      </c>
      <c r="B12086" t="s">
        <v>20840</v>
      </c>
      <c r="C12086" t="s">
        <v>20841</v>
      </c>
      <c r="D12086" t="s">
        <v>20842</v>
      </c>
      <c r="E12086" t="s">
        <v>20843</v>
      </c>
      <c r="F12086" t="s">
        <v>3750</v>
      </c>
      <c r="G12086" t="s">
        <v>16231</v>
      </c>
      <c r="H12086" t="s">
        <v>47054</v>
      </c>
      <c r="I12086" t="s">
        <v>47116</v>
      </c>
      <c r="J12086" t="s">
        <v>47117</v>
      </c>
      <c r="K12086" t="s">
        <v>47113</v>
      </c>
      <c r="L12086">
        <v>39.630000000000003</v>
      </c>
      <c r="M12086">
        <v>63</v>
      </c>
      <c r="N12086">
        <v>0</v>
      </c>
      <c r="O12086">
        <v>63</v>
      </c>
      <c r="P12086">
        <v>0</v>
      </c>
    </row>
    <row r="12087" spans="1:16" x14ac:dyDescent="0.25">
      <c r="A12087" t="s">
        <v>34753</v>
      </c>
      <c r="B12087" t="s">
        <v>20844</v>
      </c>
      <c r="C12087" t="s">
        <v>20845</v>
      </c>
      <c r="D12087" t="s">
        <v>20846</v>
      </c>
      <c r="E12087" t="s">
        <v>20847</v>
      </c>
      <c r="F12087" t="s">
        <v>3750</v>
      </c>
      <c r="G12087" t="s">
        <v>16231</v>
      </c>
      <c r="H12087" t="s">
        <v>47054</v>
      </c>
      <c r="I12087" t="s">
        <v>47116</v>
      </c>
      <c r="J12087" t="s">
        <v>47117</v>
      </c>
      <c r="K12087" t="s">
        <v>47113</v>
      </c>
      <c r="L12087">
        <v>32.85</v>
      </c>
      <c r="M12087">
        <v>107</v>
      </c>
      <c r="N12087">
        <v>0</v>
      </c>
      <c r="O12087">
        <v>107</v>
      </c>
      <c r="P12087">
        <v>0</v>
      </c>
    </row>
    <row r="12088" spans="1:16" x14ac:dyDescent="0.25">
      <c r="A12088" t="s">
        <v>34754</v>
      </c>
      <c r="B12088" t="s">
        <v>17962</v>
      </c>
      <c r="C12088" t="s">
        <v>16506</v>
      </c>
      <c r="D12088" t="s">
        <v>17963</v>
      </c>
      <c r="E12088" t="s">
        <v>17964</v>
      </c>
      <c r="F12088" t="s">
        <v>3750</v>
      </c>
      <c r="G12088" t="s">
        <v>16231</v>
      </c>
      <c r="H12088" t="s">
        <v>47054</v>
      </c>
      <c r="I12088" t="s">
        <v>47116</v>
      </c>
      <c r="J12088" t="s">
        <v>47117</v>
      </c>
      <c r="K12088" t="s">
        <v>47113</v>
      </c>
      <c r="L12088">
        <v>25.24</v>
      </c>
      <c r="M12088">
        <v>90</v>
      </c>
      <c r="N12088">
        <v>0</v>
      </c>
      <c r="O12088">
        <v>90</v>
      </c>
      <c r="P12088">
        <v>0</v>
      </c>
    </row>
    <row r="12089" spans="1:16" x14ac:dyDescent="0.25">
      <c r="A12089" t="s">
        <v>19500</v>
      </c>
      <c r="B12089" t="s">
        <v>19501</v>
      </c>
      <c r="C12089" t="s">
        <v>19502</v>
      </c>
      <c r="D12089" t="s">
        <v>19503</v>
      </c>
      <c r="E12089" t="s">
        <v>19504</v>
      </c>
      <c r="F12089" t="s">
        <v>3750</v>
      </c>
      <c r="G12089" t="s">
        <v>16231</v>
      </c>
      <c r="H12089" t="s">
        <v>47054</v>
      </c>
      <c r="I12089" t="s">
        <v>47116</v>
      </c>
      <c r="J12089" t="s">
        <v>47117</v>
      </c>
      <c r="K12089" t="s">
        <v>47113</v>
      </c>
      <c r="L12089">
        <v>29.7</v>
      </c>
      <c r="M12089">
        <v>93</v>
      </c>
      <c r="N12089">
        <v>0</v>
      </c>
      <c r="O12089">
        <v>93</v>
      </c>
      <c r="P12089">
        <v>0</v>
      </c>
    </row>
    <row r="12090" spans="1:16" x14ac:dyDescent="0.25">
      <c r="A12090" t="s">
        <v>34755</v>
      </c>
      <c r="B12090" t="s">
        <v>20848</v>
      </c>
      <c r="C12090" t="s">
        <v>20849</v>
      </c>
      <c r="D12090" t="s">
        <v>17799</v>
      </c>
      <c r="E12090" t="s">
        <v>17800</v>
      </c>
      <c r="F12090" t="s">
        <v>3750</v>
      </c>
      <c r="G12090" t="s">
        <v>16231</v>
      </c>
      <c r="H12090" t="s">
        <v>47054</v>
      </c>
      <c r="I12090" t="s">
        <v>47116</v>
      </c>
      <c r="J12090" t="s">
        <v>47117</v>
      </c>
      <c r="K12090" t="s">
        <v>47113</v>
      </c>
      <c r="L12090">
        <v>24.52</v>
      </c>
      <c r="M12090">
        <v>40</v>
      </c>
      <c r="N12090">
        <v>0</v>
      </c>
      <c r="O12090">
        <v>40</v>
      </c>
      <c r="P12090">
        <v>0</v>
      </c>
    </row>
    <row r="12091" spans="1:16" x14ac:dyDescent="0.25">
      <c r="A12091" t="s">
        <v>34756</v>
      </c>
      <c r="B12091" t="s">
        <v>20850</v>
      </c>
      <c r="C12091" t="s">
        <v>20851</v>
      </c>
      <c r="D12091" t="s">
        <v>20555</v>
      </c>
      <c r="E12091" t="s">
        <v>20556</v>
      </c>
      <c r="F12091" t="s">
        <v>3750</v>
      </c>
      <c r="G12091" t="s">
        <v>16231</v>
      </c>
      <c r="H12091" t="s">
        <v>47054</v>
      </c>
      <c r="I12091" t="s">
        <v>47116</v>
      </c>
      <c r="J12091" t="s">
        <v>47117</v>
      </c>
      <c r="K12091" t="s">
        <v>47113</v>
      </c>
      <c r="L12091">
        <v>29.65</v>
      </c>
      <c r="M12091">
        <v>46</v>
      </c>
      <c r="N12091">
        <v>0</v>
      </c>
      <c r="O12091">
        <v>46</v>
      </c>
      <c r="P12091">
        <v>0</v>
      </c>
    </row>
    <row r="12092" spans="1:16" x14ac:dyDescent="0.25">
      <c r="A12092" t="s">
        <v>34757</v>
      </c>
      <c r="B12092" t="s">
        <v>20852</v>
      </c>
      <c r="C12092" t="s">
        <v>20853</v>
      </c>
      <c r="D12092" t="s">
        <v>20547</v>
      </c>
      <c r="E12092" t="s">
        <v>20548</v>
      </c>
      <c r="F12092" t="s">
        <v>3750</v>
      </c>
      <c r="G12092" t="s">
        <v>16231</v>
      </c>
      <c r="H12092" t="s">
        <v>47054</v>
      </c>
      <c r="I12092" t="s">
        <v>47116</v>
      </c>
      <c r="J12092" t="s">
        <v>47117</v>
      </c>
      <c r="K12092" t="s">
        <v>47113</v>
      </c>
      <c r="L12092">
        <v>37.47</v>
      </c>
      <c r="M12092">
        <v>63</v>
      </c>
      <c r="N12092">
        <v>0</v>
      </c>
      <c r="O12092">
        <v>63</v>
      </c>
      <c r="P12092">
        <v>0</v>
      </c>
    </row>
    <row r="12093" spans="1:16" x14ac:dyDescent="0.25">
      <c r="A12093" t="s">
        <v>34758</v>
      </c>
      <c r="B12093" t="s">
        <v>20854</v>
      </c>
      <c r="C12093" t="s">
        <v>20855</v>
      </c>
      <c r="D12093" t="s">
        <v>19503</v>
      </c>
      <c r="E12093" t="s">
        <v>19504</v>
      </c>
      <c r="F12093" t="s">
        <v>3750</v>
      </c>
      <c r="G12093" t="s">
        <v>16233</v>
      </c>
      <c r="H12093" t="s">
        <v>47054</v>
      </c>
      <c r="I12093" t="s">
        <v>47116</v>
      </c>
      <c r="J12093" t="s">
        <v>47117</v>
      </c>
      <c r="K12093" t="s">
        <v>47113</v>
      </c>
      <c r="L12093">
        <v>26.14</v>
      </c>
      <c r="M12093">
        <v>81</v>
      </c>
      <c r="N12093">
        <v>0</v>
      </c>
      <c r="O12093">
        <v>81</v>
      </c>
      <c r="P12093">
        <v>0</v>
      </c>
    </row>
    <row r="12094" spans="1:16" x14ac:dyDescent="0.25">
      <c r="A12094" t="s">
        <v>34759</v>
      </c>
      <c r="B12094" t="s">
        <v>20856</v>
      </c>
      <c r="C12094" t="s">
        <v>20857</v>
      </c>
      <c r="D12094" t="str">
        <f>"3000"</f>
        <v>3000</v>
      </c>
      <c r="E12094" t="s">
        <v>20858</v>
      </c>
      <c r="F12094" t="s">
        <v>3750</v>
      </c>
      <c r="G12094" t="s">
        <v>16231</v>
      </c>
      <c r="H12094" t="s">
        <v>47054</v>
      </c>
      <c r="I12094" t="s">
        <v>47116</v>
      </c>
      <c r="J12094" t="s">
        <v>47117</v>
      </c>
      <c r="K12094" t="s">
        <v>47113</v>
      </c>
      <c r="L12094">
        <v>27.7</v>
      </c>
      <c r="M12094">
        <v>91</v>
      </c>
      <c r="N12094">
        <v>0</v>
      </c>
      <c r="O12094">
        <v>91</v>
      </c>
      <c r="P12094">
        <v>0</v>
      </c>
    </row>
    <row r="12095" spans="1:16" x14ac:dyDescent="0.25">
      <c r="A12095" t="s">
        <v>34760</v>
      </c>
      <c r="B12095" t="s">
        <v>20856</v>
      </c>
      <c r="C12095" t="s">
        <v>20857</v>
      </c>
      <c r="D12095" t="s">
        <v>20859</v>
      </c>
      <c r="E12095" t="s">
        <v>20860</v>
      </c>
      <c r="F12095" t="s">
        <v>3750</v>
      </c>
      <c r="G12095" t="s">
        <v>16231</v>
      </c>
      <c r="H12095" t="s">
        <v>47054</v>
      </c>
      <c r="I12095" t="s">
        <v>47116</v>
      </c>
      <c r="J12095" t="s">
        <v>47117</v>
      </c>
      <c r="K12095" t="s">
        <v>47113</v>
      </c>
      <c r="L12095">
        <v>29.41</v>
      </c>
      <c r="M12095">
        <v>93</v>
      </c>
      <c r="N12095">
        <v>0</v>
      </c>
      <c r="O12095">
        <v>93</v>
      </c>
      <c r="P12095">
        <v>0</v>
      </c>
    </row>
    <row r="12096" spans="1:16" x14ac:dyDescent="0.25">
      <c r="A12096" t="s">
        <v>34761</v>
      </c>
      <c r="B12096" t="s">
        <v>20861</v>
      </c>
      <c r="C12096" t="s">
        <v>20862</v>
      </c>
      <c r="D12096" t="s">
        <v>20863</v>
      </c>
      <c r="E12096" t="s">
        <v>20864</v>
      </c>
      <c r="F12096" t="s">
        <v>3750</v>
      </c>
      <c r="G12096" t="s">
        <v>16231</v>
      </c>
      <c r="H12096" t="s">
        <v>47054</v>
      </c>
      <c r="I12096" t="s">
        <v>47116</v>
      </c>
      <c r="J12096" t="s">
        <v>47117</v>
      </c>
      <c r="K12096" t="s">
        <v>47113</v>
      </c>
      <c r="L12096">
        <v>36.72</v>
      </c>
      <c r="M12096">
        <v>63</v>
      </c>
      <c r="N12096">
        <v>0</v>
      </c>
      <c r="O12096">
        <v>63</v>
      </c>
      <c r="P12096">
        <v>0</v>
      </c>
    </row>
    <row r="12097" spans="1:16" x14ac:dyDescent="0.25">
      <c r="A12097" t="s">
        <v>34762</v>
      </c>
      <c r="B12097" t="s">
        <v>20865</v>
      </c>
      <c r="C12097" t="s">
        <v>20853</v>
      </c>
      <c r="D12097" t="s">
        <v>20836</v>
      </c>
      <c r="E12097" t="s">
        <v>20837</v>
      </c>
      <c r="F12097" t="s">
        <v>3750</v>
      </c>
      <c r="G12097" t="s">
        <v>16231</v>
      </c>
      <c r="H12097" t="s">
        <v>47054</v>
      </c>
      <c r="I12097" t="s">
        <v>47116</v>
      </c>
      <c r="J12097" t="s">
        <v>47117</v>
      </c>
      <c r="K12097" t="s">
        <v>47113</v>
      </c>
      <c r="L12097">
        <v>36.39</v>
      </c>
      <c r="M12097">
        <v>63</v>
      </c>
      <c r="N12097">
        <v>0</v>
      </c>
      <c r="O12097">
        <v>63</v>
      </c>
      <c r="P12097">
        <v>0</v>
      </c>
    </row>
    <row r="12098" spans="1:16" x14ac:dyDescent="0.25">
      <c r="A12098" t="s">
        <v>34763</v>
      </c>
      <c r="B12098" t="s">
        <v>20866</v>
      </c>
      <c r="C12098" t="s">
        <v>20839</v>
      </c>
      <c r="D12098" t="str">
        <f>"6000"</f>
        <v>6000</v>
      </c>
      <c r="E12098" t="s">
        <v>20867</v>
      </c>
      <c r="F12098" t="s">
        <v>3750</v>
      </c>
      <c r="G12098" t="s">
        <v>16231</v>
      </c>
      <c r="H12098" t="s">
        <v>47054</v>
      </c>
      <c r="I12098" t="s">
        <v>47116</v>
      </c>
      <c r="J12098" t="s">
        <v>47117</v>
      </c>
      <c r="K12098" t="s">
        <v>47113</v>
      </c>
      <c r="L12098">
        <v>24.52</v>
      </c>
      <c r="M12098">
        <v>40</v>
      </c>
      <c r="N12098">
        <v>0</v>
      </c>
      <c r="O12098">
        <v>40</v>
      </c>
      <c r="P12098">
        <v>0</v>
      </c>
    </row>
    <row r="12099" spans="1:16" x14ac:dyDescent="0.25">
      <c r="A12099" t="s">
        <v>19505</v>
      </c>
      <c r="B12099" t="s">
        <v>19506</v>
      </c>
      <c r="C12099" t="s">
        <v>19507</v>
      </c>
      <c r="D12099" t="s">
        <v>19508</v>
      </c>
      <c r="E12099" t="s">
        <v>19509</v>
      </c>
      <c r="F12099" t="s">
        <v>3750</v>
      </c>
      <c r="G12099" t="s">
        <v>16231</v>
      </c>
      <c r="H12099" t="s">
        <v>47054</v>
      </c>
      <c r="I12099" t="s">
        <v>47116</v>
      </c>
      <c r="J12099" t="s">
        <v>47117</v>
      </c>
      <c r="K12099" t="s">
        <v>47113</v>
      </c>
      <c r="L12099">
        <v>28.84</v>
      </c>
      <c r="M12099">
        <v>104</v>
      </c>
      <c r="N12099">
        <v>0</v>
      </c>
      <c r="O12099">
        <v>104</v>
      </c>
      <c r="P12099">
        <v>0</v>
      </c>
    </row>
    <row r="12100" spans="1:16" x14ac:dyDescent="0.25">
      <c r="A12100" t="s">
        <v>19510</v>
      </c>
      <c r="B12100" t="s">
        <v>19511</v>
      </c>
      <c r="C12100" t="s">
        <v>19512</v>
      </c>
      <c r="D12100" t="s">
        <v>19513</v>
      </c>
      <c r="E12100" t="s">
        <v>19514</v>
      </c>
      <c r="F12100" t="s">
        <v>3750</v>
      </c>
      <c r="G12100" t="s">
        <v>16231</v>
      </c>
      <c r="H12100" t="s">
        <v>47054</v>
      </c>
      <c r="I12100" t="s">
        <v>47116</v>
      </c>
      <c r="J12100" t="s">
        <v>47117</v>
      </c>
      <c r="K12100" t="s">
        <v>47113</v>
      </c>
      <c r="L12100">
        <v>27.7</v>
      </c>
      <c r="M12100">
        <v>93</v>
      </c>
      <c r="N12100">
        <v>0</v>
      </c>
      <c r="O12100">
        <v>93</v>
      </c>
      <c r="P12100">
        <v>0</v>
      </c>
    </row>
    <row r="12101" spans="1:16" x14ac:dyDescent="0.25">
      <c r="A12101" t="s">
        <v>34764</v>
      </c>
      <c r="B12101" t="s">
        <v>20868</v>
      </c>
      <c r="C12101" t="s">
        <v>20869</v>
      </c>
      <c r="D12101" t="s">
        <v>20547</v>
      </c>
      <c r="E12101" t="s">
        <v>20548</v>
      </c>
      <c r="F12101" t="s">
        <v>3750</v>
      </c>
      <c r="G12101" t="s">
        <v>16231</v>
      </c>
      <c r="H12101" t="s">
        <v>47054</v>
      </c>
      <c r="I12101" t="s">
        <v>47116</v>
      </c>
      <c r="J12101" t="s">
        <v>47117</v>
      </c>
      <c r="K12101" t="s">
        <v>47113</v>
      </c>
      <c r="L12101">
        <v>31.96</v>
      </c>
      <c r="M12101">
        <v>111</v>
      </c>
      <c r="N12101">
        <v>299</v>
      </c>
      <c r="O12101">
        <v>111</v>
      </c>
      <c r="P12101">
        <v>299</v>
      </c>
    </row>
    <row r="12102" spans="1:16" x14ac:dyDescent="0.25">
      <c r="A12102" t="s">
        <v>34765</v>
      </c>
      <c r="B12102" t="s">
        <v>20868</v>
      </c>
      <c r="C12102" t="s">
        <v>20869</v>
      </c>
      <c r="D12102" t="s">
        <v>20863</v>
      </c>
      <c r="E12102" t="s">
        <v>20864</v>
      </c>
      <c r="F12102" t="s">
        <v>3750</v>
      </c>
      <c r="G12102" t="s">
        <v>16231</v>
      </c>
      <c r="H12102" t="s">
        <v>47054</v>
      </c>
      <c r="I12102" t="s">
        <v>47116</v>
      </c>
      <c r="J12102" t="s">
        <v>47117</v>
      </c>
      <c r="K12102" t="s">
        <v>47113</v>
      </c>
      <c r="L12102">
        <v>32.4</v>
      </c>
      <c r="M12102">
        <v>40</v>
      </c>
      <c r="N12102">
        <v>0</v>
      </c>
      <c r="O12102">
        <v>40</v>
      </c>
      <c r="P12102">
        <v>0</v>
      </c>
    </row>
    <row r="12103" spans="1:16" x14ac:dyDescent="0.25">
      <c r="A12103" t="s">
        <v>34766</v>
      </c>
      <c r="B12103" t="s">
        <v>20870</v>
      </c>
      <c r="C12103" t="s">
        <v>20871</v>
      </c>
      <c r="D12103" t="s">
        <v>19503</v>
      </c>
      <c r="E12103" t="s">
        <v>19504</v>
      </c>
      <c r="F12103" t="s">
        <v>3750</v>
      </c>
      <c r="G12103" t="s">
        <v>47122</v>
      </c>
      <c r="H12103" t="s">
        <v>47054</v>
      </c>
      <c r="I12103" t="s">
        <v>47116</v>
      </c>
      <c r="J12103" t="s">
        <v>47117</v>
      </c>
      <c r="K12103" t="s">
        <v>47113</v>
      </c>
      <c r="L12103">
        <v>33.409999999999997</v>
      </c>
      <c r="M12103">
        <v>93</v>
      </c>
      <c r="N12103">
        <v>0</v>
      </c>
      <c r="O12103">
        <v>93</v>
      </c>
      <c r="P12103">
        <v>0</v>
      </c>
    </row>
    <row r="12104" spans="1:16" x14ac:dyDescent="0.25">
      <c r="A12104" t="s">
        <v>34767</v>
      </c>
      <c r="B12104" t="s">
        <v>20872</v>
      </c>
      <c r="C12104" t="s">
        <v>20873</v>
      </c>
      <c r="D12104" t="s">
        <v>20842</v>
      </c>
      <c r="E12104" t="s">
        <v>20843</v>
      </c>
      <c r="F12104" t="s">
        <v>3750</v>
      </c>
      <c r="G12104" t="s">
        <v>16231</v>
      </c>
      <c r="H12104" t="s">
        <v>47054</v>
      </c>
      <c r="I12104" t="s">
        <v>47116</v>
      </c>
      <c r="J12104" t="s">
        <v>47117</v>
      </c>
      <c r="K12104" t="s">
        <v>47113</v>
      </c>
      <c r="L12104">
        <v>36.5</v>
      </c>
      <c r="M12104">
        <v>46</v>
      </c>
      <c r="N12104">
        <v>0</v>
      </c>
      <c r="O12104">
        <v>46</v>
      </c>
      <c r="P12104">
        <v>0</v>
      </c>
    </row>
    <row r="12105" spans="1:16" x14ac:dyDescent="0.25">
      <c r="A12105" t="s">
        <v>34768</v>
      </c>
      <c r="B12105" t="s">
        <v>20874</v>
      </c>
      <c r="C12105" t="s">
        <v>20875</v>
      </c>
      <c r="D12105" t="s">
        <v>20863</v>
      </c>
      <c r="E12105" t="s">
        <v>20864</v>
      </c>
      <c r="F12105" t="s">
        <v>3750</v>
      </c>
      <c r="G12105" t="s">
        <v>16231</v>
      </c>
      <c r="H12105" t="s">
        <v>47054</v>
      </c>
      <c r="I12105" t="s">
        <v>47116</v>
      </c>
      <c r="J12105" t="s">
        <v>47117</v>
      </c>
      <c r="K12105" t="s">
        <v>47113</v>
      </c>
      <c r="L12105">
        <v>33.590000000000003</v>
      </c>
      <c r="M12105">
        <v>46</v>
      </c>
      <c r="N12105">
        <v>0</v>
      </c>
      <c r="O12105">
        <v>46</v>
      </c>
      <c r="P12105">
        <v>0</v>
      </c>
    </row>
    <row r="12106" spans="1:16" x14ac:dyDescent="0.25">
      <c r="A12106" t="s">
        <v>34769</v>
      </c>
      <c r="B12106" t="s">
        <v>19515</v>
      </c>
      <c r="C12106" t="s">
        <v>19516</v>
      </c>
      <c r="D12106" t="s">
        <v>19508</v>
      </c>
      <c r="E12106" t="s">
        <v>19509</v>
      </c>
      <c r="F12106" t="s">
        <v>3750</v>
      </c>
      <c r="G12106" t="s">
        <v>16231</v>
      </c>
      <c r="H12106" t="s">
        <v>47054</v>
      </c>
      <c r="I12106" t="s">
        <v>47116</v>
      </c>
      <c r="J12106" t="s">
        <v>47117</v>
      </c>
      <c r="K12106" t="s">
        <v>47113</v>
      </c>
      <c r="L12106">
        <v>25.98</v>
      </c>
      <c r="M12106">
        <v>77</v>
      </c>
      <c r="N12106">
        <v>0</v>
      </c>
      <c r="O12106">
        <v>77</v>
      </c>
      <c r="P12106">
        <v>0</v>
      </c>
    </row>
    <row r="12107" spans="1:16" x14ac:dyDescent="0.25">
      <c r="A12107" t="s">
        <v>34770</v>
      </c>
      <c r="B12107" t="s">
        <v>20876</v>
      </c>
      <c r="C12107" t="s">
        <v>20712</v>
      </c>
      <c r="D12107" t="s">
        <v>20836</v>
      </c>
      <c r="E12107" t="s">
        <v>20837</v>
      </c>
      <c r="F12107" t="s">
        <v>3750</v>
      </c>
      <c r="G12107" t="s">
        <v>16231</v>
      </c>
      <c r="H12107" t="s">
        <v>47054</v>
      </c>
      <c r="I12107" t="s">
        <v>47116</v>
      </c>
      <c r="J12107" t="s">
        <v>47117</v>
      </c>
      <c r="K12107" t="s">
        <v>47113</v>
      </c>
      <c r="L12107">
        <v>24.52</v>
      </c>
      <c r="M12107">
        <v>46</v>
      </c>
      <c r="N12107">
        <v>0</v>
      </c>
      <c r="O12107">
        <v>46</v>
      </c>
      <c r="P12107">
        <v>0</v>
      </c>
    </row>
    <row r="12108" spans="1:16" x14ac:dyDescent="0.25">
      <c r="A12108" t="s">
        <v>34771</v>
      </c>
      <c r="B12108" t="s">
        <v>20877</v>
      </c>
      <c r="C12108" t="s">
        <v>20878</v>
      </c>
      <c r="D12108" t="s">
        <v>20863</v>
      </c>
      <c r="E12108" t="s">
        <v>20864</v>
      </c>
      <c r="F12108" t="s">
        <v>3750</v>
      </c>
      <c r="G12108" t="s">
        <v>16231</v>
      </c>
      <c r="H12108" t="s">
        <v>47054</v>
      </c>
      <c r="I12108" t="s">
        <v>47116</v>
      </c>
      <c r="J12108" t="s">
        <v>47117</v>
      </c>
      <c r="K12108" t="s">
        <v>47113</v>
      </c>
      <c r="L12108">
        <v>27.54</v>
      </c>
      <c r="M12108">
        <v>34</v>
      </c>
      <c r="N12108">
        <v>0</v>
      </c>
      <c r="O12108">
        <v>34</v>
      </c>
      <c r="P12108">
        <v>0</v>
      </c>
    </row>
    <row r="12109" spans="1:16" x14ac:dyDescent="0.25">
      <c r="A12109" t="s">
        <v>34772</v>
      </c>
      <c r="B12109" t="s">
        <v>17965</v>
      </c>
      <c r="C12109" t="s">
        <v>17966</v>
      </c>
      <c r="D12109" t="s">
        <v>17967</v>
      </c>
      <c r="E12109" t="s">
        <v>17968</v>
      </c>
      <c r="F12109" t="s">
        <v>3750</v>
      </c>
      <c r="G12109" t="s">
        <v>16231</v>
      </c>
      <c r="H12109" t="s">
        <v>47054</v>
      </c>
      <c r="I12109" t="s">
        <v>47116</v>
      </c>
      <c r="J12109" t="s">
        <v>47117</v>
      </c>
      <c r="K12109" t="s">
        <v>47113</v>
      </c>
      <c r="L12109">
        <v>26.58</v>
      </c>
      <c r="M12109">
        <v>90</v>
      </c>
      <c r="N12109">
        <v>0</v>
      </c>
      <c r="O12109">
        <v>90</v>
      </c>
      <c r="P12109">
        <v>0</v>
      </c>
    </row>
    <row r="12110" spans="1:16" x14ac:dyDescent="0.25">
      <c r="A12110" t="s">
        <v>34773</v>
      </c>
      <c r="B12110" t="s">
        <v>20879</v>
      </c>
      <c r="C12110" t="s">
        <v>20880</v>
      </c>
      <c r="D12110" t="s">
        <v>19513</v>
      </c>
      <c r="E12110" t="s">
        <v>19514</v>
      </c>
      <c r="F12110" t="s">
        <v>3750</v>
      </c>
      <c r="G12110" t="s">
        <v>16231</v>
      </c>
      <c r="H12110" t="s">
        <v>47054</v>
      </c>
      <c r="I12110" t="s">
        <v>47116</v>
      </c>
      <c r="J12110" t="s">
        <v>47117</v>
      </c>
      <c r="K12110" t="s">
        <v>47113</v>
      </c>
      <c r="L12110">
        <v>27.41</v>
      </c>
      <c r="M12110">
        <v>93</v>
      </c>
      <c r="N12110">
        <v>0</v>
      </c>
      <c r="O12110">
        <v>93</v>
      </c>
      <c r="P12110">
        <v>0</v>
      </c>
    </row>
    <row r="12111" spans="1:16" x14ac:dyDescent="0.25">
      <c r="A12111" t="s">
        <v>19517</v>
      </c>
      <c r="B12111" t="s">
        <v>19518</v>
      </c>
      <c r="C12111" t="s">
        <v>19519</v>
      </c>
      <c r="D12111" t="s">
        <v>19503</v>
      </c>
      <c r="E12111" t="s">
        <v>19504</v>
      </c>
      <c r="F12111" t="s">
        <v>3750</v>
      </c>
      <c r="G12111" t="s">
        <v>16231</v>
      </c>
      <c r="H12111" t="s">
        <v>47054</v>
      </c>
      <c r="I12111" t="s">
        <v>47116</v>
      </c>
      <c r="J12111" t="s">
        <v>47117</v>
      </c>
      <c r="K12111" t="s">
        <v>47113</v>
      </c>
      <c r="L12111">
        <v>32.56</v>
      </c>
      <c r="M12111">
        <v>107</v>
      </c>
      <c r="N12111">
        <v>0</v>
      </c>
      <c r="O12111">
        <v>107</v>
      </c>
      <c r="P12111">
        <v>0</v>
      </c>
    </row>
    <row r="12112" spans="1:16" x14ac:dyDescent="0.25">
      <c r="A12112" t="s">
        <v>34774</v>
      </c>
      <c r="B12112" t="s">
        <v>34775</v>
      </c>
      <c r="C12112" t="s">
        <v>34776</v>
      </c>
      <c r="D12112" t="s">
        <v>34777</v>
      </c>
      <c r="E12112" t="s">
        <v>34778</v>
      </c>
      <c r="F12112" t="s">
        <v>3750</v>
      </c>
      <c r="G12112" t="s">
        <v>16231</v>
      </c>
      <c r="H12112" t="s">
        <v>47054</v>
      </c>
      <c r="I12112" t="s">
        <v>47120</v>
      </c>
      <c r="J12112" t="s">
        <v>47121</v>
      </c>
      <c r="K12112" t="s">
        <v>47113</v>
      </c>
      <c r="L12112">
        <v>24.36</v>
      </c>
      <c r="M12112">
        <v>94</v>
      </c>
      <c r="N12112">
        <v>0</v>
      </c>
      <c r="O12112">
        <v>94</v>
      </c>
      <c r="P12112">
        <v>0</v>
      </c>
    </row>
    <row r="12113" spans="1:16" x14ac:dyDescent="0.25">
      <c r="A12113" t="s">
        <v>48496</v>
      </c>
      <c r="B12113" t="s">
        <v>48497</v>
      </c>
      <c r="C12113" t="s">
        <v>48498</v>
      </c>
      <c r="D12113" t="s">
        <v>33624</v>
      </c>
      <c r="E12113" t="s">
        <v>33625</v>
      </c>
      <c r="F12113" t="s">
        <v>3750</v>
      </c>
      <c r="G12113" t="s">
        <v>16231</v>
      </c>
      <c r="H12113" t="s">
        <v>47054</v>
      </c>
      <c r="I12113" t="s">
        <v>47120</v>
      </c>
      <c r="J12113" t="s">
        <v>47121</v>
      </c>
      <c r="K12113" t="s">
        <v>47113</v>
      </c>
      <c r="L12113">
        <v>44.16</v>
      </c>
      <c r="M12113">
        <v>99</v>
      </c>
      <c r="N12113">
        <v>269</v>
      </c>
      <c r="O12113">
        <v>99</v>
      </c>
      <c r="P12113">
        <v>269</v>
      </c>
    </row>
    <row r="12114" spans="1:16" x14ac:dyDescent="0.25">
      <c r="A12114" t="s">
        <v>34779</v>
      </c>
      <c r="B12114" t="s">
        <v>34780</v>
      </c>
      <c r="C12114" t="s">
        <v>34781</v>
      </c>
      <c r="D12114" t="s">
        <v>34782</v>
      </c>
      <c r="E12114" t="s">
        <v>34783</v>
      </c>
      <c r="F12114" t="s">
        <v>3750</v>
      </c>
      <c r="G12114" t="s">
        <v>16231</v>
      </c>
      <c r="H12114" t="s">
        <v>47054</v>
      </c>
      <c r="I12114" t="s">
        <v>47120</v>
      </c>
      <c r="J12114" t="s">
        <v>47121</v>
      </c>
      <c r="K12114" t="s">
        <v>47113</v>
      </c>
      <c r="L12114">
        <v>32.67</v>
      </c>
      <c r="M12114">
        <v>111</v>
      </c>
      <c r="N12114">
        <v>299</v>
      </c>
      <c r="O12114">
        <v>111</v>
      </c>
      <c r="P12114">
        <v>299</v>
      </c>
    </row>
    <row r="12115" spans="1:16" x14ac:dyDescent="0.25">
      <c r="A12115" t="s">
        <v>34784</v>
      </c>
      <c r="B12115" t="s">
        <v>34785</v>
      </c>
      <c r="C12115" t="s">
        <v>34786</v>
      </c>
      <c r="D12115" t="s">
        <v>33624</v>
      </c>
      <c r="E12115" t="s">
        <v>33625</v>
      </c>
      <c r="F12115" t="s">
        <v>3750</v>
      </c>
      <c r="G12115" t="s">
        <v>16231</v>
      </c>
      <c r="H12115" t="s">
        <v>47054</v>
      </c>
      <c r="I12115" t="s">
        <v>47120</v>
      </c>
      <c r="J12115" t="s">
        <v>47121</v>
      </c>
      <c r="K12115" t="s">
        <v>47113</v>
      </c>
      <c r="L12115">
        <v>26.12</v>
      </c>
      <c r="M12115">
        <v>107</v>
      </c>
      <c r="N12115">
        <v>0</v>
      </c>
      <c r="O12115">
        <v>107</v>
      </c>
      <c r="P12115">
        <v>0</v>
      </c>
    </row>
    <row r="12116" spans="1:16" x14ac:dyDescent="0.25">
      <c r="A12116" t="s">
        <v>34787</v>
      </c>
      <c r="B12116" t="s">
        <v>34788</v>
      </c>
      <c r="C12116" t="s">
        <v>34789</v>
      </c>
      <c r="D12116" t="s">
        <v>33624</v>
      </c>
      <c r="E12116" t="s">
        <v>33625</v>
      </c>
      <c r="F12116" t="s">
        <v>3750</v>
      </c>
      <c r="G12116" t="s">
        <v>16231</v>
      </c>
      <c r="H12116" t="s">
        <v>47054</v>
      </c>
      <c r="I12116" t="s">
        <v>47120</v>
      </c>
      <c r="J12116" t="s">
        <v>47121</v>
      </c>
      <c r="K12116" t="s">
        <v>47113</v>
      </c>
      <c r="L12116">
        <v>27</v>
      </c>
      <c r="M12116">
        <v>107</v>
      </c>
      <c r="N12116">
        <v>0</v>
      </c>
      <c r="O12116">
        <v>107</v>
      </c>
      <c r="P12116">
        <v>0</v>
      </c>
    </row>
    <row r="12117" spans="1:16" x14ac:dyDescent="0.25">
      <c r="A12117" t="s">
        <v>34790</v>
      </c>
      <c r="B12117" t="s">
        <v>17969</v>
      </c>
      <c r="C12117" t="s">
        <v>14468</v>
      </c>
      <c r="D12117" t="str">
        <f>"1501"</f>
        <v>1501</v>
      </c>
      <c r="E12117" t="s">
        <v>46</v>
      </c>
      <c r="F12117" t="s">
        <v>16623</v>
      </c>
      <c r="G12117" t="s">
        <v>16235</v>
      </c>
      <c r="H12117" t="s">
        <v>47054</v>
      </c>
      <c r="I12117" t="s">
        <v>47569</v>
      </c>
      <c r="J12117" t="s">
        <v>47570</v>
      </c>
      <c r="K12117" t="s">
        <v>47113</v>
      </c>
      <c r="L12117">
        <v>29.7</v>
      </c>
      <c r="M12117">
        <v>55</v>
      </c>
      <c r="N12117">
        <v>0</v>
      </c>
      <c r="O12117">
        <v>55</v>
      </c>
      <c r="P12117">
        <v>0</v>
      </c>
    </row>
    <row r="12118" spans="1:16" x14ac:dyDescent="0.25">
      <c r="A12118" t="s">
        <v>34791</v>
      </c>
      <c r="B12118" t="s">
        <v>17970</v>
      </c>
      <c r="C12118" t="s">
        <v>14466</v>
      </c>
      <c r="D12118" t="str">
        <f>"1501"</f>
        <v>1501</v>
      </c>
      <c r="E12118" t="s">
        <v>46</v>
      </c>
      <c r="F12118" t="s">
        <v>3558</v>
      </c>
      <c r="G12118" t="s">
        <v>16222</v>
      </c>
      <c r="H12118" t="s">
        <v>47054</v>
      </c>
      <c r="I12118" t="s">
        <v>47569</v>
      </c>
      <c r="J12118" t="s">
        <v>47570</v>
      </c>
      <c r="K12118" t="s">
        <v>47113</v>
      </c>
      <c r="L12118">
        <v>22.94</v>
      </c>
      <c r="M12118">
        <v>55</v>
      </c>
      <c r="N12118">
        <v>0</v>
      </c>
      <c r="O12118">
        <v>55</v>
      </c>
      <c r="P12118">
        <v>0</v>
      </c>
    </row>
    <row r="12119" spans="1:16" x14ac:dyDescent="0.25">
      <c r="A12119" t="s">
        <v>34792</v>
      </c>
      <c r="B12119" t="s">
        <v>17971</v>
      </c>
      <c r="C12119" t="s">
        <v>15641</v>
      </c>
      <c r="D12119" t="str">
        <f>"1501"</f>
        <v>1501</v>
      </c>
      <c r="E12119" t="s">
        <v>46</v>
      </c>
      <c r="F12119" t="s">
        <v>3558</v>
      </c>
      <c r="G12119" t="s">
        <v>16222</v>
      </c>
      <c r="H12119" t="s">
        <v>47054</v>
      </c>
      <c r="I12119" t="s">
        <v>47569</v>
      </c>
      <c r="J12119" t="s">
        <v>47570</v>
      </c>
      <c r="K12119" t="s">
        <v>47113</v>
      </c>
      <c r="L12119">
        <v>17.72</v>
      </c>
      <c r="M12119">
        <v>52</v>
      </c>
      <c r="N12119">
        <v>0</v>
      </c>
      <c r="O12119">
        <v>52</v>
      </c>
      <c r="P12119">
        <v>0</v>
      </c>
    </row>
    <row r="12120" spans="1:16" x14ac:dyDescent="0.25">
      <c r="A12120" t="s">
        <v>34793</v>
      </c>
      <c r="B12120" t="s">
        <v>17972</v>
      </c>
      <c r="C12120" t="s">
        <v>17922</v>
      </c>
      <c r="D12120" t="str">
        <f>"1501"</f>
        <v>1501</v>
      </c>
      <c r="E12120" t="s">
        <v>46</v>
      </c>
      <c r="F12120" t="s">
        <v>16623</v>
      </c>
      <c r="G12120" t="s">
        <v>16235</v>
      </c>
      <c r="H12120" t="s">
        <v>47054</v>
      </c>
      <c r="I12120" t="s">
        <v>47569</v>
      </c>
      <c r="J12120" t="s">
        <v>47570</v>
      </c>
      <c r="K12120" t="s">
        <v>47113</v>
      </c>
      <c r="L12120">
        <v>22.6</v>
      </c>
      <c r="M12120">
        <v>55</v>
      </c>
      <c r="N12120">
        <v>0</v>
      </c>
      <c r="O12120">
        <v>55</v>
      </c>
      <c r="P12120">
        <v>0</v>
      </c>
    </row>
    <row r="12121" spans="1:16" x14ac:dyDescent="0.25">
      <c r="A12121" t="s">
        <v>34794</v>
      </c>
      <c r="B12121" t="s">
        <v>17973</v>
      </c>
      <c r="C12121" t="s">
        <v>15372</v>
      </c>
      <c r="D12121" t="str">
        <f>"1501"</f>
        <v>1501</v>
      </c>
      <c r="E12121" t="s">
        <v>46</v>
      </c>
      <c r="F12121" t="s">
        <v>16623</v>
      </c>
      <c r="G12121" t="s">
        <v>16222</v>
      </c>
      <c r="H12121" t="s">
        <v>47054</v>
      </c>
      <c r="I12121" t="s">
        <v>47569</v>
      </c>
      <c r="J12121" t="s">
        <v>47570</v>
      </c>
      <c r="K12121" t="s">
        <v>47113</v>
      </c>
      <c r="L12121">
        <v>27.6</v>
      </c>
      <c r="M12121">
        <v>55</v>
      </c>
      <c r="N12121">
        <v>0</v>
      </c>
      <c r="O12121">
        <v>55</v>
      </c>
      <c r="P12121">
        <v>0</v>
      </c>
    </row>
    <row r="12122" spans="1:16" x14ac:dyDescent="0.25">
      <c r="A12122" t="s">
        <v>34795</v>
      </c>
      <c r="B12122" t="s">
        <v>17974</v>
      </c>
      <c r="C12122" t="s">
        <v>16546</v>
      </c>
      <c r="D12122" t="str">
        <f>"1001"</f>
        <v>1001</v>
      </c>
      <c r="E12122" t="s">
        <v>42</v>
      </c>
      <c r="F12122" t="s">
        <v>3750</v>
      </c>
      <c r="G12122" t="s">
        <v>16235</v>
      </c>
      <c r="H12122" t="s">
        <v>47054</v>
      </c>
      <c r="I12122" t="s">
        <v>47116</v>
      </c>
      <c r="J12122" t="s">
        <v>47117</v>
      </c>
      <c r="K12122" t="s">
        <v>47113</v>
      </c>
      <c r="L12122">
        <v>15.42</v>
      </c>
      <c r="M12122">
        <v>45</v>
      </c>
      <c r="N12122">
        <v>0</v>
      </c>
      <c r="O12122">
        <v>45</v>
      </c>
      <c r="P12122">
        <v>0</v>
      </c>
    </row>
    <row r="12123" spans="1:16" x14ac:dyDescent="0.25">
      <c r="A12123" t="s">
        <v>34796</v>
      </c>
      <c r="B12123" t="s">
        <v>17974</v>
      </c>
      <c r="C12123" t="s">
        <v>16546</v>
      </c>
      <c r="D12123" t="str">
        <f>"2707"</f>
        <v>2707</v>
      </c>
      <c r="E12123" t="s">
        <v>3019</v>
      </c>
      <c r="F12123" t="s">
        <v>3750</v>
      </c>
      <c r="G12123" t="s">
        <v>16235</v>
      </c>
      <c r="H12123" t="s">
        <v>47054</v>
      </c>
      <c r="I12123" t="s">
        <v>47116</v>
      </c>
      <c r="J12123" t="s">
        <v>47117</v>
      </c>
      <c r="K12123" t="s">
        <v>47113</v>
      </c>
      <c r="L12123">
        <v>15.42</v>
      </c>
      <c r="M12123">
        <v>45</v>
      </c>
      <c r="N12123">
        <v>0</v>
      </c>
      <c r="O12123">
        <v>45</v>
      </c>
      <c r="P12123">
        <v>0</v>
      </c>
    </row>
    <row r="12124" spans="1:16" x14ac:dyDescent="0.25">
      <c r="A12124" t="s">
        <v>34797</v>
      </c>
      <c r="B12124" t="s">
        <v>17975</v>
      </c>
      <c r="C12124" t="s">
        <v>17976</v>
      </c>
      <c r="D12124" t="str">
        <f>"1001"</f>
        <v>1001</v>
      </c>
      <c r="E12124" t="s">
        <v>42</v>
      </c>
      <c r="F12124" t="s">
        <v>3750</v>
      </c>
      <c r="G12124" t="s">
        <v>16222</v>
      </c>
      <c r="H12124" t="s">
        <v>47054</v>
      </c>
      <c r="I12124" t="s">
        <v>47116</v>
      </c>
      <c r="J12124" t="s">
        <v>47117</v>
      </c>
      <c r="K12124" t="s">
        <v>47113</v>
      </c>
      <c r="L12124">
        <v>10.95</v>
      </c>
      <c r="M12124">
        <v>32</v>
      </c>
      <c r="N12124">
        <v>0</v>
      </c>
      <c r="O12124">
        <v>32</v>
      </c>
      <c r="P12124">
        <v>0</v>
      </c>
    </row>
    <row r="12125" spans="1:16" x14ac:dyDescent="0.25">
      <c r="A12125" t="s">
        <v>34798</v>
      </c>
      <c r="B12125" t="s">
        <v>17975</v>
      </c>
      <c r="C12125" t="s">
        <v>17976</v>
      </c>
      <c r="D12125" t="str">
        <f>"2707"</f>
        <v>2707</v>
      </c>
      <c r="E12125" t="s">
        <v>3019</v>
      </c>
      <c r="F12125" t="s">
        <v>3750</v>
      </c>
      <c r="G12125" t="s">
        <v>16222</v>
      </c>
      <c r="H12125" t="s">
        <v>47054</v>
      </c>
      <c r="I12125" t="s">
        <v>47116</v>
      </c>
      <c r="J12125" t="s">
        <v>47117</v>
      </c>
      <c r="K12125" t="s">
        <v>47113</v>
      </c>
      <c r="L12125">
        <v>10.95</v>
      </c>
      <c r="M12125">
        <v>32</v>
      </c>
      <c r="N12125">
        <v>0</v>
      </c>
      <c r="O12125">
        <v>32</v>
      </c>
      <c r="P12125">
        <v>0</v>
      </c>
    </row>
    <row r="12126" spans="1:16" x14ac:dyDescent="0.25">
      <c r="A12126" t="s">
        <v>34799</v>
      </c>
      <c r="B12126" t="s">
        <v>17977</v>
      </c>
      <c r="C12126" t="s">
        <v>17978</v>
      </c>
      <c r="D12126" t="str">
        <f>"1001"</f>
        <v>1001</v>
      </c>
      <c r="E12126" t="s">
        <v>42</v>
      </c>
      <c r="F12126" t="s">
        <v>3750</v>
      </c>
      <c r="G12126" t="s">
        <v>16222</v>
      </c>
      <c r="H12126" t="s">
        <v>47054</v>
      </c>
      <c r="I12126" t="s">
        <v>47116</v>
      </c>
      <c r="J12126" t="s">
        <v>47117</v>
      </c>
      <c r="K12126" t="s">
        <v>47113</v>
      </c>
      <c r="L12126">
        <v>13.14</v>
      </c>
      <c r="M12126">
        <v>39</v>
      </c>
      <c r="N12126">
        <v>0</v>
      </c>
      <c r="O12126">
        <v>39</v>
      </c>
      <c r="P12126">
        <v>0</v>
      </c>
    </row>
    <row r="12127" spans="1:16" x14ac:dyDescent="0.25">
      <c r="A12127" t="s">
        <v>34800</v>
      </c>
      <c r="B12127" t="s">
        <v>17977</v>
      </c>
      <c r="C12127" t="s">
        <v>17978</v>
      </c>
      <c r="D12127" t="str">
        <f>"2707"</f>
        <v>2707</v>
      </c>
      <c r="E12127" t="s">
        <v>3019</v>
      </c>
      <c r="F12127" t="s">
        <v>3750</v>
      </c>
      <c r="G12127" t="s">
        <v>16222</v>
      </c>
      <c r="H12127" t="s">
        <v>47054</v>
      </c>
      <c r="I12127" t="s">
        <v>47116</v>
      </c>
      <c r="J12127" t="s">
        <v>47117</v>
      </c>
      <c r="K12127" t="s">
        <v>47113</v>
      </c>
      <c r="L12127">
        <v>13.14</v>
      </c>
      <c r="M12127">
        <v>39</v>
      </c>
      <c r="N12127">
        <v>0</v>
      </c>
      <c r="O12127">
        <v>39</v>
      </c>
      <c r="P12127">
        <v>0</v>
      </c>
    </row>
    <row r="12128" spans="1:16" x14ac:dyDescent="0.25">
      <c r="A12128" t="s">
        <v>34801</v>
      </c>
      <c r="B12128" t="s">
        <v>17979</v>
      </c>
      <c r="C12128" t="s">
        <v>17980</v>
      </c>
      <c r="D12128" t="str">
        <f>"1427"</f>
        <v>1427</v>
      </c>
      <c r="E12128" t="s">
        <v>17981</v>
      </c>
      <c r="F12128" t="s">
        <v>3750</v>
      </c>
      <c r="G12128" t="s">
        <v>16222</v>
      </c>
      <c r="H12128" t="s">
        <v>47054</v>
      </c>
      <c r="I12128" t="s">
        <v>47116</v>
      </c>
      <c r="J12128" t="s">
        <v>47117</v>
      </c>
      <c r="K12128" t="s">
        <v>47113</v>
      </c>
      <c r="L12128">
        <v>10.95</v>
      </c>
      <c r="M12128">
        <v>32</v>
      </c>
      <c r="N12128">
        <v>0</v>
      </c>
      <c r="O12128">
        <v>32</v>
      </c>
      <c r="P12128">
        <v>0</v>
      </c>
    </row>
    <row r="12129" spans="1:16" x14ac:dyDescent="0.25">
      <c r="A12129" t="s">
        <v>34802</v>
      </c>
      <c r="B12129" t="s">
        <v>17979</v>
      </c>
      <c r="C12129" t="s">
        <v>17980</v>
      </c>
      <c r="D12129" t="str">
        <f>"6444"</f>
        <v>6444</v>
      </c>
      <c r="E12129" t="s">
        <v>17709</v>
      </c>
      <c r="F12129" t="s">
        <v>3750</v>
      </c>
      <c r="G12129" t="s">
        <v>16222</v>
      </c>
      <c r="H12129" t="s">
        <v>47054</v>
      </c>
      <c r="I12129" t="s">
        <v>47116</v>
      </c>
      <c r="J12129" t="s">
        <v>47117</v>
      </c>
      <c r="K12129" t="s">
        <v>47113</v>
      </c>
      <c r="L12129">
        <v>10.95</v>
      </c>
      <c r="M12129">
        <v>32</v>
      </c>
      <c r="N12129">
        <v>0</v>
      </c>
      <c r="O12129">
        <v>32</v>
      </c>
      <c r="P12129">
        <v>0</v>
      </c>
    </row>
    <row r="12130" spans="1:16" x14ac:dyDescent="0.25">
      <c r="A12130" t="s">
        <v>34803</v>
      </c>
      <c r="B12130" t="s">
        <v>17982</v>
      </c>
      <c r="C12130" t="s">
        <v>17983</v>
      </c>
      <c r="D12130" t="str">
        <f>"1001"</f>
        <v>1001</v>
      </c>
      <c r="E12130" t="s">
        <v>42</v>
      </c>
      <c r="F12130" t="s">
        <v>3750</v>
      </c>
      <c r="G12130" t="s">
        <v>16222</v>
      </c>
      <c r="H12130" t="s">
        <v>47054</v>
      </c>
      <c r="I12130" t="s">
        <v>47116</v>
      </c>
      <c r="J12130" t="s">
        <v>47117</v>
      </c>
      <c r="K12130" t="s">
        <v>47113</v>
      </c>
      <c r="L12130">
        <v>11.82</v>
      </c>
      <c r="M12130">
        <v>35</v>
      </c>
      <c r="N12130">
        <v>0</v>
      </c>
      <c r="O12130">
        <v>35</v>
      </c>
      <c r="P12130">
        <v>0</v>
      </c>
    </row>
    <row r="12131" spans="1:16" x14ac:dyDescent="0.25">
      <c r="A12131" t="s">
        <v>34804</v>
      </c>
      <c r="B12131" t="s">
        <v>17982</v>
      </c>
      <c r="C12131" t="s">
        <v>17983</v>
      </c>
      <c r="D12131" t="str">
        <f>"2707"</f>
        <v>2707</v>
      </c>
      <c r="E12131" t="s">
        <v>3019</v>
      </c>
      <c r="F12131" t="s">
        <v>3750</v>
      </c>
      <c r="G12131" t="s">
        <v>16222</v>
      </c>
      <c r="H12131" t="s">
        <v>47054</v>
      </c>
      <c r="I12131" t="s">
        <v>47116</v>
      </c>
      <c r="J12131" t="s">
        <v>47117</v>
      </c>
      <c r="K12131" t="s">
        <v>47113</v>
      </c>
      <c r="L12131">
        <v>13.14</v>
      </c>
      <c r="M12131">
        <v>39</v>
      </c>
      <c r="N12131">
        <v>0</v>
      </c>
      <c r="O12131">
        <v>39</v>
      </c>
      <c r="P12131">
        <v>0</v>
      </c>
    </row>
    <row r="12132" spans="1:16" x14ac:dyDescent="0.25">
      <c r="A12132" t="s">
        <v>34805</v>
      </c>
      <c r="B12132" t="s">
        <v>17984</v>
      </c>
      <c r="C12132" t="s">
        <v>17985</v>
      </c>
      <c r="D12132" t="str">
        <f>"1106"</f>
        <v>1106</v>
      </c>
      <c r="E12132" t="s">
        <v>460</v>
      </c>
      <c r="F12132" t="s">
        <v>3750</v>
      </c>
      <c r="G12132" t="s">
        <v>16222</v>
      </c>
      <c r="H12132" t="s">
        <v>47054</v>
      </c>
      <c r="I12132" t="s">
        <v>47116</v>
      </c>
      <c r="J12132" t="s">
        <v>47117</v>
      </c>
      <c r="K12132" t="s">
        <v>47113</v>
      </c>
      <c r="L12132">
        <v>11.96</v>
      </c>
      <c r="M12132">
        <v>33</v>
      </c>
      <c r="N12132">
        <v>0</v>
      </c>
      <c r="O12132">
        <v>33</v>
      </c>
      <c r="P12132">
        <v>0</v>
      </c>
    </row>
    <row r="12133" spans="1:16" x14ac:dyDescent="0.25">
      <c r="A12133" t="s">
        <v>34806</v>
      </c>
      <c r="B12133" t="s">
        <v>17984</v>
      </c>
      <c r="C12133" t="s">
        <v>17985</v>
      </c>
      <c r="D12133" t="str">
        <f>"4922"</f>
        <v>4922</v>
      </c>
      <c r="E12133" t="s">
        <v>17986</v>
      </c>
      <c r="F12133" t="s">
        <v>3750</v>
      </c>
      <c r="G12133" t="s">
        <v>16222</v>
      </c>
      <c r="H12133" t="s">
        <v>47054</v>
      </c>
      <c r="I12133" t="s">
        <v>47116</v>
      </c>
      <c r="J12133" t="s">
        <v>47117</v>
      </c>
      <c r="K12133" t="s">
        <v>47113</v>
      </c>
      <c r="L12133">
        <v>11.96</v>
      </c>
      <c r="M12133">
        <v>33</v>
      </c>
      <c r="N12133">
        <v>0</v>
      </c>
      <c r="O12133">
        <v>33</v>
      </c>
      <c r="P12133">
        <v>0</v>
      </c>
    </row>
    <row r="12134" spans="1:16" x14ac:dyDescent="0.25">
      <c r="A12134" t="s">
        <v>34807</v>
      </c>
      <c r="B12134" t="s">
        <v>17987</v>
      </c>
      <c r="C12134" t="s">
        <v>17988</v>
      </c>
      <c r="D12134" t="str">
        <f>"1001"</f>
        <v>1001</v>
      </c>
      <c r="E12134" t="s">
        <v>42</v>
      </c>
      <c r="F12134" t="s">
        <v>3750</v>
      </c>
      <c r="G12134" t="s">
        <v>16235</v>
      </c>
      <c r="H12134" t="s">
        <v>47054</v>
      </c>
      <c r="I12134" t="s">
        <v>47116</v>
      </c>
      <c r="J12134" t="s">
        <v>47117</v>
      </c>
      <c r="K12134" t="s">
        <v>47113</v>
      </c>
      <c r="L12134">
        <v>12.7</v>
      </c>
      <c r="M12134">
        <v>37</v>
      </c>
      <c r="N12134">
        <v>0</v>
      </c>
      <c r="O12134">
        <v>37</v>
      </c>
      <c r="P12134">
        <v>0</v>
      </c>
    </row>
    <row r="12135" spans="1:16" x14ac:dyDescent="0.25">
      <c r="A12135" t="s">
        <v>34808</v>
      </c>
      <c r="B12135" t="s">
        <v>17987</v>
      </c>
      <c r="C12135" t="s">
        <v>17988</v>
      </c>
      <c r="D12135" t="str">
        <f>"2707"</f>
        <v>2707</v>
      </c>
      <c r="E12135" t="s">
        <v>3019</v>
      </c>
      <c r="F12135" t="s">
        <v>3750</v>
      </c>
      <c r="G12135" t="s">
        <v>16235</v>
      </c>
      <c r="H12135" t="s">
        <v>47054</v>
      </c>
      <c r="I12135" t="s">
        <v>47116</v>
      </c>
      <c r="J12135" t="s">
        <v>47117</v>
      </c>
      <c r="K12135" t="s">
        <v>47113</v>
      </c>
      <c r="L12135">
        <v>12.7</v>
      </c>
      <c r="M12135">
        <v>37</v>
      </c>
      <c r="N12135">
        <v>0</v>
      </c>
      <c r="O12135">
        <v>37</v>
      </c>
      <c r="P12135">
        <v>0</v>
      </c>
    </row>
    <row r="12136" spans="1:16" x14ac:dyDescent="0.25">
      <c r="A12136" t="s">
        <v>34809</v>
      </c>
      <c r="B12136" t="s">
        <v>17989</v>
      </c>
      <c r="C12136" t="s">
        <v>17990</v>
      </c>
      <c r="D12136" t="str">
        <f>"1001"</f>
        <v>1001</v>
      </c>
      <c r="E12136" t="s">
        <v>42</v>
      </c>
      <c r="F12136" t="s">
        <v>3750</v>
      </c>
      <c r="G12136" t="s">
        <v>16224</v>
      </c>
      <c r="H12136" t="s">
        <v>47054</v>
      </c>
      <c r="I12136" t="s">
        <v>47120</v>
      </c>
      <c r="J12136" t="s">
        <v>47121</v>
      </c>
      <c r="K12136" t="s">
        <v>47113</v>
      </c>
      <c r="L12136">
        <v>18.27</v>
      </c>
      <c r="M12136">
        <v>52</v>
      </c>
      <c r="N12136">
        <v>0</v>
      </c>
      <c r="O12136">
        <v>52</v>
      </c>
      <c r="P12136">
        <v>0</v>
      </c>
    </row>
    <row r="12137" spans="1:16" x14ac:dyDescent="0.25">
      <c r="A12137" t="s">
        <v>34810</v>
      </c>
      <c r="B12137" t="s">
        <v>17989</v>
      </c>
      <c r="C12137" t="s">
        <v>17990</v>
      </c>
      <c r="D12137" t="str">
        <f>"1200"</f>
        <v>1200</v>
      </c>
      <c r="E12137" t="s">
        <v>241</v>
      </c>
      <c r="F12137" t="s">
        <v>3750</v>
      </c>
      <c r="G12137" t="s">
        <v>16224</v>
      </c>
      <c r="H12137" t="s">
        <v>47054</v>
      </c>
      <c r="I12137" t="s">
        <v>47120</v>
      </c>
      <c r="J12137" t="s">
        <v>47121</v>
      </c>
      <c r="K12137" t="s">
        <v>47113</v>
      </c>
      <c r="L12137">
        <v>16.559999999999999</v>
      </c>
      <c r="M12137">
        <v>49</v>
      </c>
      <c r="N12137">
        <v>0</v>
      </c>
      <c r="O12137">
        <v>49</v>
      </c>
      <c r="P12137">
        <v>0</v>
      </c>
    </row>
    <row r="12138" spans="1:16" x14ac:dyDescent="0.25">
      <c r="A12138" t="s">
        <v>34811</v>
      </c>
      <c r="B12138" t="s">
        <v>17989</v>
      </c>
      <c r="C12138" t="s">
        <v>17990</v>
      </c>
      <c r="D12138" t="str">
        <f>"4100"</f>
        <v>4100</v>
      </c>
      <c r="E12138" t="s">
        <v>2383</v>
      </c>
      <c r="F12138" t="s">
        <v>3750</v>
      </c>
      <c r="G12138" t="s">
        <v>16224</v>
      </c>
      <c r="H12138" t="s">
        <v>47054</v>
      </c>
      <c r="I12138" t="s">
        <v>47120</v>
      </c>
      <c r="J12138" t="s">
        <v>47121</v>
      </c>
      <c r="K12138" t="s">
        <v>47113</v>
      </c>
      <c r="L12138">
        <v>16.559999999999999</v>
      </c>
      <c r="M12138">
        <v>49</v>
      </c>
      <c r="N12138">
        <v>0</v>
      </c>
      <c r="O12138">
        <v>49</v>
      </c>
      <c r="P12138">
        <v>0</v>
      </c>
    </row>
    <row r="12139" spans="1:16" x14ac:dyDescent="0.25">
      <c r="A12139" t="s">
        <v>34812</v>
      </c>
      <c r="B12139" t="s">
        <v>17989</v>
      </c>
      <c r="C12139" t="s">
        <v>17990</v>
      </c>
      <c r="D12139" t="str">
        <f>"6000"</f>
        <v>6000</v>
      </c>
      <c r="E12139" t="s">
        <v>238</v>
      </c>
      <c r="F12139" t="s">
        <v>3750</v>
      </c>
      <c r="G12139" t="s">
        <v>16224</v>
      </c>
      <c r="H12139" t="s">
        <v>47054</v>
      </c>
      <c r="I12139" t="s">
        <v>47120</v>
      </c>
      <c r="J12139" t="s">
        <v>47121</v>
      </c>
      <c r="K12139" t="s">
        <v>47113</v>
      </c>
      <c r="L12139">
        <v>16.559999999999999</v>
      </c>
      <c r="M12139">
        <v>49</v>
      </c>
      <c r="N12139">
        <v>0</v>
      </c>
      <c r="O12139">
        <v>49</v>
      </c>
      <c r="P12139">
        <v>0</v>
      </c>
    </row>
    <row r="12140" spans="1:16" x14ac:dyDescent="0.25">
      <c r="A12140" t="s">
        <v>34813</v>
      </c>
      <c r="B12140" t="s">
        <v>17989</v>
      </c>
      <c r="C12140" t="s">
        <v>17990</v>
      </c>
      <c r="D12140" t="str">
        <f>"6444"</f>
        <v>6444</v>
      </c>
      <c r="E12140" t="s">
        <v>17709</v>
      </c>
      <c r="F12140" t="s">
        <v>3750</v>
      </c>
      <c r="G12140" t="s">
        <v>16224</v>
      </c>
      <c r="H12140" t="s">
        <v>47054</v>
      </c>
      <c r="I12140" t="s">
        <v>47120</v>
      </c>
      <c r="J12140" t="s">
        <v>47121</v>
      </c>
      <c r="K12140" t="s">
        <v>47113</v>
      </c>
      <c r="L12140">
        <v>19.7</v>
      </c>
      <c r="M12140">
        <v>56</v>
      </c>
      <c r="N12140">
        <v>0</v>
      </c>
      <c r="O12140">
        <v>56</v>
      </c>
      <c r="P12140">
        <v>0</v>
      </c>
    </row>
    <row r="12141" spans="1:16" x14ac:dyDescent="0.25">
      <c r="A12141" t="s">
        <v>34814</v>
      </c>
      <c r="B12141" t="s">
        <v>17991</v>
      </c>
      <c r="C12141" t="s">
        <v>17992</v>
      </c>
      <c r="D12141" t="str">
        <f>"1001"</f>
        <v>1001</v>
      </c>
      <c r="E12141" t="s">
        <v>42</v>
      </c>
      <c r="F12141" t="s">
        <v>3750</v>
      </c>
      <c r="G12141" t="s">
        <v>16222</v>
      </c>
      <c r="H12141" t="s">
        <v>47054</v>
      </c>
      <c r="I12141" t="s">
        <v>47120</v>
      </c>
      <c r="J12141" t="s">
        <v>47121</v>
      </c>
      <c r="K12141" t="s">
        <v>47113</v>
      </c>
      <c r="L12141">
        <v>17.03</v>
      </c>
      <c r="M12141">
        <v>48</v>
      </c>
      <c r="N12141">
        <v>0</v>
      </c>
      <c r="O12141">
        <v>48</v>
      </c>
      <c r="P12141">
        <v>0</v>
      </c>
    </row>
    <row r="12142" spans="1:16" x14ac:dyDescent="0.25">
      <c r="A12142" t="s">
        <v>34815</v>
      </c>
      <c r="B12142" t="s">
        <v>17991</v>
      </c>
      <c r="C12142" t="s">
        <v>17992</v>
      </c>
      <c r="D12142" t="str">
        <f>"1200"</f>
        <v>1200</v>
      </c>
      <c r="E12142" t="s">
        <v>241</v>
      </c>
      <c r="F12142" t="s">
        <v>3750</v>
      </c>
      <c r="G12142" t="s">
        <v>16222</v>
      </c>
      <c r="H12142" t="s">
        <v>47054</v>
      </c>
      <c r="I12142" t="s">
        <v>47120</v>
      </c>
      <c r="J12142" t="s">
        <v>47121</v>
      </c>
      <c r="K12142" t="s">
        <v>47113</v>
      </c>
      <c r="L12142">
        <v>15.81</v>
      </c>
      <c r="M12142">
        <v>47</v>
      </c>
      <c r="N12142">
        <v>0</v>
      </c>
      <c r="O12142">
        <v>47</v>
      </c>
      <c r="P12142">
        <v>0</v>
      </c>
    </row>
    <row r="12143" spans="1:16" x14ac:dyDescent="0.25">
      <c r="A12143" t="s">
        <v>34816</v>
      </c>
      <c r="B12143" t="s">
        <v>17991</v>
      </c>
      <c r="C12143" t="s">
        <v>17992</v>
      </c>
      <c r="D12143" t="str">
        <f>"4100"</f>
        <v>4100</v>
      </c>
      <c r="E12143" t="s">
        <v>2383</v>
      </c>
      <c r="F12143" t="s">
        <v>3750</v>
      </c>
      <c r="G12143" t="s">
        <v>16222</v>
      </c>
      <c r="H12143" t="s">
        <v>47054</v>
      </c>
      <c r="I12143" t="s">
        <v>47120</v>
      </c>
      <c r="J12143" t="s">
        <v>47121</v>
      </c>
      <c r="K12143" t="s">
        <v>47113</v>
      </c>
      <c r="L12143">
        <v>15.81</v>
      </c>
      <c r="M12143">
        <v>47</v>
      </c>
      <c r="N12143">
        <v>0</v>
      </c>
      <c r="O12143">
        <v>47</v>
      </c>
      <c r="P12143">
        <v>0</v>
      </c>
    </row>
    <row r="12144" spans="1:16" x14ac:dyDescent="0.25">
      <c r="A12144" t="s">
        <v>34817</v>
      </c>
      <c r="B12144" t="s">
        <v>17991</v>
      </c>
      <c r="C12144" t="s">
        <v>17992</v>
      </c>
      <c r="D12144" t="str">
        <f>"6000"</f>
        <v>6000</v>
      </c>
      <c r="E12144" t="s">
        <v>238</v>
      </c>
      <c r="F12144" t="s">
        <v>3750</v>
      </c>
      <c r="G12144" t="s">
        <v>16222</v>
      </c>
      <c r="H12144" t="s">
        <v>47054</v>
      </c>
      <c r="I12144" t="s">
        <v>47120</v>
      </c>
      <c r="J12144" t="s">
        <v>47121</v>
      </c>
      <c r="K12144" t="s">
        <v>47113</v>
      </c>
      <c r="L12144">
        <v>17.29</v>
      </c>
      <c r="M12144">
        <v>51</v>
      </c>
      <c r="N12144">
        <v>0</v>
      </c>
      <c r="O12144">
        <v>51</v>
      </c>
      <c r="P12144">
        <v>0</v>
      </c>
    </row>
    <row r="12145" spans="1:16" x14ac:dyDescent="0.25">
      <c r="A12145" t="s">
        <v>34818</v>
      </c>
      <c r="B12145" t="s">
        <v>17991</v>
      </c>
      <c r="C12145" t="s">
        <v>17992</v>
      </c>
      <c r="D12145" t="str">
        <f>"6444"</f>
        <v>6444</v>
      </c>
      <c r="E12145" t="s">
        <v>17709</v>
      </c>
      <c r="F12145" t="s">
        <v>3750</v>
      </c>
      <c r="G12145" t="s">
        <v>16222</v>
      </c>
      <c r="H12145" t="s">
        <v>47054</v>
      </c>
      <c r="I12145" t="s">
        <v>47120</v>
      </c>
      <c r="J12145" t="s">
        <v>47121</v>
      </c>
      <c r="K12145" t="s">
        <v>47113</v>
      </c>
      <c r="L12145">
        <v>18.89</v>
      </c>
      <c r="M12145">
        <v>54</v>
      </c>
      <c r="N12145">
        <v>0</v>
      </c>
      <c r="O12145">
        <v>54</v>
      </c>
      <c r="P12145">
        <v>0</v>
      </c>
    </row>
    <row r="12146" spans="1:16" x14ac:dyDescent="0.25">
      <c r="A12146" t="s">
        <v>34819</v>
      </c>
      <c r="B12146" t="s">
        <v>34820</v>
      </c>
      <c r="C12146" t="s">
        <v>34821</v>
      </c>
      <c r="D12146" t="str">
        <f>"1001"</f>
        <v>1001</v>
      </c>
      <c r="E12146" t="s">
        <v>34822</v>
      </c>
      <c r="F12146" t="s">
        <v>3750</v>
      </c>
      <c r="G12146" t="s">
        <v>16232</v>
      </c>
      <c r="H12146" t="s">
        <v>47054</v>
      </c>
      <c r="I12146" t="s">
        <v>47118</v>
      </c>
      <c r="J12146" t="s">
        <v>47119</v>
      </c>
      <c r="K12146" t="s">
        <v>47113</v>
      </c>
      <c r="L12146">
        <v>9.89</v>
      </c>
      <c r="M12146">
        <v>37</v>
      </c>
      <c r="N12146">
        <v>99</v>
      </c>
      <c r="O12146">
        <v>37</v>
      </c>
      <c r="P12146">
        <v>99</v>
      </c>
    </row>
    <row r="12147" spans="1:16" x14ac:dyDescent="0.25">
      <c r="A12147" t="s">
        <v>34823</v>
      </c>
      <c r="B12147" t="s">
        <v>34820</v>
      </c>
      <c r="C12147" t="s">
        <v>34821</v>
      </c>
      <c r="D12147" t="str">
        <f>"1700"</f>
        <v>1700</v>
      </c>
      <c r="E12147" t="s">
        <v>34824</v>
      </c>
      <c r="F12147" t="s">
        <v>3750</v>
      </c>
      <c r="G12147" t="s">
        <v>16232</v>
      </c>
      <c r="H12147" t="s">
        <v>47054</v>
      </c>
      <c r="I12147" t="s">
        <v>47118</v>
      </c>
      <c r="J12147" t="s">
        <v>47119</v>
      </c>
      <c r="K12147" t="s">
        <v>47113</v>
      </c>
      <c r="L12147">
        <v>10.24</v>
      </c>
      <c r="M12147">
        <v>37</v>
      </c>
      <c r="N12147">
        <v>99</v>
      </c>
      <c r="O12147">
        <v>37</v>
      </c>
      <c r="P12147">
        <v>99</v>
      </c>
    </row>
    <row r="12148" spans="1:16" x14ac:dyDescent="0.25">
      <c r="A12148" t="s">
        <v>34825</v>
      </c>
      <c r="B12148" t="s">
        <v>34820</v>
      </c>
      <c r="C12148" t="s">
        <v>34821</v>
      </c>
      <c r="D12148" t="str">
        <f>"6003"</f>
        <v>6003</v>
      </c>
      <c r="E12148" t="s">
        <v>34826</v>
      </c>
      <c r="F12148" t="s">
        <v>3750</v>
      </c>
      <c r="G12148" t="s">
        <v>16232</v>
      </c>
      <c r="H12148" t="s">
        <v>47054</v>
      </c>
      <c r="I12148" t="s">
        <v>47118</v>
      </c>
      <c r="J12148" t="s">
        <v>47119</v>
      </c>
      <c r="K12148" t="s">
        <v>47113</v>
      </c>
      <c r="L12148">
        <v>10.050000000000001</v>
      </c>
      <c r="M12148">
        <v>34</v>
      </c>
      <c r="N12148">
        <v>0</v>
      </c>
      <c r="O12148">
        <v>34</v>
      </c>
      <c r="P12148">
        <v>0</v>
      </c>
    </row>
    <row r="12149" spans="1:16" x14ac:dyDescent="0.25">
      <c r="A12149" t="s">
        <v>34827</v>
      </c>
      <c r="B12149" t="s">
        <v>34828</v>
      </c>
      <c r="C12149" t="s">
        <v>34829</v>
      </c>
      <c r="D12149" t="str">
        <f>"1001"</f>
        <v>1001</v>
      </c>
      <c r="E12149" t="s">
        <v>42</v>
      </c>
      <c r="F12149" t="s">
        <v>24622</v>
      </c>
      <c r="G12149" t="s">
        <v>16232</v>
      </c>
      <c r="H12149" t="s">
        <v>47054</v>
      </c>
      <c r="I12149" t="s">
        <v>47118</v>
      </c>
      <c r="J12149" t="s">
        <v>47119</v>
      </c>
      <c r="K12149" t="s">
        <v>47113</v>
      </c>
      <c r="L12149">
        <v>10.16</v>
      </c>
      <c r="M12149">
        <v>40</v>
      </c>
      <c r="N12149">
        <v>109</v>
      </c>
      <c r="O12149">
        <v>40</v>
      </c>
      <c r="P12149">
        <v>109</v>
      </c>
    </row>
    <row r="12150" spans="1:16" x14ac:dyDescent="0.25">
      <c r="A12150" t="s">
        <v>34830</v>
      </c>
      <c r="B12150" t="s">
        <v>34828</v>
      </c>
      <c r="C12150" t="s">
        <v>34829</v>
      </c>
      <c r="D12150" t="str">
        <f>"6000"</f>
        <v>6000</v>
      </c>
      <c r="E12150" t="s">
        <v>6279</v>
      </c>
      <c r="F12150" t="s">
        <v>24622</v>
      </c>
      <c r="G12150" t="s">
        <v>16232</v>
      </c>
      <c r="H12150" t="s">
        <v>47054</v>
      </c>
      <c r="I12150" t="s">
        <v>47118</v>
      </c>
      <c r="J12150" t="s">
        <v>47119</v>
      </c>
      <c r="K12150" t="s">
        <v>47113</v>
      </c>
      <c r="L12150">
        <v>10.16</v>
      </c>
      <c r="M12150">
        <v>40</v>
      </c>
      <c r="N12150">
        <v>109</v>
      </c>
      <c r="O12150">
        <v>40</v>
      </c>
      <c r="P12150">
        <v>109</v>
      </c>
    </row>
    <row r="12151" spans="1:16" x14ac:dyDescent="0.25">
      <c r="A12151" t="s">
        <v>34831</v>
      </c>
      <c r="B12151" t="s">
        <v>17993</v>
      </c>
      <c r="C12151" t="s">
        <v>17994</v>
      </c>
      <c r="D12151" t="str">
        <f>"1096"</f>
        <v>1096</v>
      </c>
      <c r="E12151" t="s">
        <v>4744</v>
      </c>
      <c r="F12151" t="s">
        <v>3750</v>
      </c>
      <c r="G12151" t="s">
        <v>16232</v>
      </c>
      <c r="H12151" t="s">
        <v>47054</v>
      </c>
      <c r="I12151" t="s">
        <v>47964</v>
      </c>
      <c r="J12151" t="s">
        <v>47965</v>
      </c>
      <c r="K12151" t="s">
        <v>47113</v>
      </c>
      <c r="L12151">
        <v>7.27</v>
      </c>
      <c r="M12151">
        <v>20</v>
      </c>
      <c r="N12151">
        <v>0</v>
      </c>
      <c r="O12151">
        <v>20</v>
      </c>
      <c r="P12151">
        <v>0</v>
      </c>
    </row>
    <row r="12152" spans="1:16" x14ac:dyDescent="0.25">
      <c r="A12152" t="s">
        <v>34832</v>
      </c>
      <c r="B12152" t="s">
        <v>17993</v>
      </c>
      <c r="C12152" t="s">
        <v>17994</v>
      </c>
      <c r="D12152" t="str">
        <f>"1708"</f>
        <v>1708</v>
      </c>
      <c r="E12152" t="s">
        <v>16240</v>
      </c>
      <c r="F12152" t="s">
        <v>3750</v>
      </c>
      <c r="G12152" t="s">
        <v>16232</v>
      </c>
      <c r="H12152" t="s">
        <v>47054</v>
      </c>
      <c r="I12152" t="s">
        <v>47964</v>
      </c>
      <c r="J12152" t="s">
        <v>47965</v>
      </c>
      <c r="K12152" t="s">
        <v>47113</v>
      </c>
      <c r="L12152">
        <v>7.6</v>
      </c>
      <c r="M12152">
        <v>26</v>
      </c>
      <c r="N12152">
        <v>0</v>
      </c>
      <c r="O12152">
        <v>26</v>
      </c>
      <c r="P12152">
        <v>0</v>
      </c>
    </row>
    <row r="12153" spans="1:16" x14ac:dyDescent="0.25">
      <c r="A12153" t="s">
        <v>34833</v>
      </c>
      <c r="B12153" t="s">
        <v>17993</v>
      </c>
      <c r="C12153" t="s">
        <v>17994</v>
      </c>
      <c r="D12153" t="str">
        <f>"8058"</f>
        <v>8058</v>
      </c>
      <c r="E12153" t="s">
        <v>17995</v>
      </c>
      <c r="F12153" t="s">
        <v>3750</v>
      </c>
      <c r="G12153" t="s">
        <v>16232</v>
      </c>
      <c r="H12153" t="s">
        <v>47054</v>
      </c>
      <c r="I12153" t="s">
        <v>47964</v>
      </c>
      <c r="J12153" t="s">
        <v>47965</v>
      </c>
      <c r="K12153" t="s">
        <v>47113</v>
      </c>
      <c r="L12153">
        <v>6.65</v>
      </c>
      <c r="M12153">
        <v>26</v>
      </c>
      <c r="N12153">
        <v>0</v>
      </c>
      <c r="O12153">
        <v>26</v>
      </c>
      <c r="P12153">
        <v>0</v>
      </c>
    </row>
    <row r="12154" spans="1:16" x14ac:dyDescent="0.25">
      <c r="A12154" t="s">
        <v>34834</v>
      </c>
      <c r="B12154" t="s">
        <v>17996</v>
      </c>
      <c r="C12154" t="s">
        <v>17997</v>
      </c>
      <c r="D12154" t="str">
        <f>"1700"</f>
        <v>1700</v>
      </c>
      <c r="E12154" t="s">
        <v>60</v>
      </c>
      <c r="F12154" t="s">
        <v>3750</v>
      </c>
      <c r="G12154" t="s">
        <v>16232</v>
      </c>
      <c r="H12154" t="s">
        <v>47054</v>
      </c>
      <c r="I12154" t="s">
        <v>47964</v>
      </c>
      <c r="J12154" t="s">
        <v>47965</v>
      </c>
      <c r="K12154" t="s">
        <v>47113</v>
      </c>
      <c r="L12154">
        <v>7.05</v>
      </c>
      <c r="M12154">
        <v>21</v>
      </c>
      <c r="N12154">
        <v>0</v>
      </c>
      <c r="O12154">
        <v>21</v>
      </c>
      <c r="P12154">
        <v>0</v>
      </c>
    </row>
    <row r="12155" spans="1:16" x14ac:dyDescent="0.25">
      <c r="A12155" t="s">
        <v>34835</v>
      </c>
      <c r="B12155" t="s">
        <v>20881</v>
      </c>
      <c r="C12155" t="s">
        <v>20882</v>
      </c>
      <c r="D12155" t="str">
        <f>"1001"</f>
        <v>1001</v>
      </c>
      <c r="E12155" t="s">
        <v>42</v>
      </c>
      <c r="F12155" t="s">
        <v>3750</v>
      </c>
      <c r="G12155" t="s">
        <v>16232</v>
      </c>
      <c r="H12155" t="s">
        <v>47054</v>
      </c>
      <c r="I12155" t="s">
        <v>47118</v>
      </c>
      <c r="J12155" t="s">
        <v>47119</v>
      </c>
      <c r="K12155" t="s">
        <v>47113</v>
      </c>
      <c r="L12155">
        <v>10.029999999999999</v>
      </c>
      <c r="M12155">
        <v>34</v>
      </c>
      <c r="N12155">
        <v>0</v>
      </c>
      <c r="O12155">
        <v>34</v>
      </c>
      <c r="P12155">
        <v>0</v>
      </c>
    </row>
    <row r="12156" spans="1:16" x14ac:dyDescent="0.25">
      <c r="A12156" t="s">
        <v>34836</v>
      </c>
      <c r="B12156" t="s">
        <v>20881</v>
      </c>
      <c r="C12156" t="s">
        <v>20882</v>
      </c>
      <c r="D12156" t="str">
        <f>"1700"</f>
        <v>1700</v>
      </c>
      <c r="E12156" t="s">
        <v>60</v>
      </c>
      <c r="F12156" t="s">
        <v>3750</v>
      </c>
      <c r="G12156" t="s">
        <v>16232</v>
      </c>
      <c r="H12156" t="s">
        <v>47054</v>
      </c>
      <c r="I12156" t="s">
        <v>47118</v>
      </c>
      <c r="J12156" t="s">
        <v>47119</v>
      </c>
      <c r="K12156" t="s">
        <v>47113</v>
      </c>
      <c r="L12156">
        <v>10.029999999999999</v>
      </c>
      <c r="M12156">
        <v>34</v>
      </c>
      <c r="N12156">
        <v>0</v>
      </c>
      <c r="O12156">
        <v>34</v>
      </c>
      <c r="P12156">
        <v>0</v>
      </c>
    </row>
    <row r="12157" spans="1:16" x14ac:dyDescent="0.25">
      <c r="A12157" t="s">
        <v>34837</v>
      </c>
      <c r="B12157" t="s">
        <v>20881</v>
      </c>
      <c r="C12157" t="s">
        <v>20882</v>
      </c>
      <c r="D12157" t="str">
        <f>"4100"</f>
        <v>4100</v>
      </c>
      <c r="E12157" t="s">
        <v>17644</v>
      </c>
      <c r="F12157" t="s">
        <v>3750</v>
      </c>
      <c r="G12157" t="s">
        <v>16232</v>
      </c>
      <c r="H12157" t="s">
        <v>47054</v>
      </c>
      <c r="I12157" t="s">
        <v>47118</v>
      </c>
      <c r="J12157" t="s">
        <v>47119</v>
      </c>
      <c r="K12157" t="s">
        <v>47113</v>
      </c>
      <c r="L12157">
        <v>9.98</v>
      </c>
      <c r="M12157">
        <v>33</v>
      </c>
      <c r="N12157">
        <v>0</v>
      </c>
      <c r="O12157">
        <v>33</v>
      </c>
      <c r="P12157">
        <v>0</v>
      </c>
    </row>
    <row r="12158" spans="1:16" x14ac:dyDescent="0.25">
      <c r="A12158" t="s">
        <v>34838</v>
      </c>
      <c r="B12158" t="s">
        <v>20881</v>
      </c>
      <c r="C12158" t="s">
        <v>20882</v>
      </c>
      <c r="D12158" t="str">
        <f>"6433"</f>
        <v>6433</v>
      </c>
      <c r="E12158" t="s">
        <v>7168</v>
      </c>
      <c r="F12158" t="s">
        <v>3750</v>
      </c>
      <c r="G12158" t="s">
        <v>16232</v>
      </c>
      <c r="H12158" t="s">
        <v>47054</v>
      </c>
      <c r="I12158" t="s">
        <v>47118</v>
      </c>
      <c r="J12158" t="s">
        <v>47119</v>
      </c>
      <c r="K12158" t="s">
        <v>47113</v>
      </c>
      <c r="L12158">
        <v>9.98</v>
      </c>
      <c r="M12158">
        <v>33</v>
      </c>
      <c r="N12158">
        <v>0</v>
      </c>
      <c r="O12158">
        <v>33</v>
      </c>
      <c r="P12158">
        <v>0</v>
      </c>
    </row>
    <row r="12159" spans="1:16" x14ac:dyDescent="0.25">
      <c r="A12159" t="s">
        <v>34839</v>
      </c>
      <c r="B12159" t="s">
        <v>17998</v>
      </c>
      <c r="C12159" t="s">
        <v>17999</v>
      </c>
      <c r="D12159" t="str">
        <f>"1001"</f>
        <v>1001</v>
      </c>
      <c r="E12159" t="s">
        <v>17259</v>
      </c>
      <c r="F12159" t="s">
        <v>3750</v>
      </c>
      <c r="G12159" t="s">
        <v>16235</v>
      </c>
      <c r="H12159" t="s">
        <v>47054</v>
      </c>
      <c r="I12159" t="s">
        <v>47569</v>
      </c>
      <c r="J12159" t="s">
        <v>47570</v>
      </c>
      <c r="K12159" t="s">
        <v>47113</v>
      </c>
      <c r="L12159">
        <v>14.8</v>
      </c>
      <c r="M12159">
        <v>42</v>
      </c>
      <c r="N12159">
        <v>0</v>
      </c>
      <c r="O12159">
        <v>42</v>
      </c>
      <c r="P12159">
        <v>0</v>
      </c>
    </row>
    <row r="12160" spans="1:16" x14ac:dyDescent="0.25">
      <c r="A12160" t="s">
        <v>34840</v>
      </c>
      <c r="B12160" t="s">
        <v>17998</v>
      </c>
      <c r="C12160" t="s">
        <v>17999</v>
      </c>
      <c r="D12160" t="str">
        <f>"4193"</f>
        <v>4193</v>
      </c>
      <c r="E12160" t="s">
        <v>9354</v>
      </c>
      <c r="F12160" t="s">
        <v>3750</v>
      </c>
      <c r="G12160" t="s">
        <v>16235</v>
      </c>
      <c r="H12160" t="s">
        <v>47054</v>
      </c>
      <c r="I12160" t="s">
        <v>47569</v>
      </c>
      <c r="J12160" t="s">
        <v>47570</v>
      </c>
      <c r="K12160" t="s">
        <v>47113</v>
      </c>
      <c r="L12160">
        <v>14.8</v>
      </c>
      <c r="M12160">
        <v>42</v>
      </c>
      <c r="N12160">
        <v>0</v>
      </c>
      <c r="O12160">
        <v>42</v>
      </c>
      <c r="P12160">
        <v>0</v>
      </c>
    </row>
    <row r="12161" spans="1:16" x14ac:dyDescent="0.25">
      <c r="A12161" t="s">
        <v>34841</v>
      </c>
      <c r="B12161" t="s">
        <v>18000</v>
      </c>
      <c r="C12161" t="s">
        <v>18001</v>
      </c>
      <c r="D12161" t="str">
        <f>"1840"</f>
        <v>1840</v>
      </c>
      <c r="E12161" t="s">
        <v>16339</v>
      </c>
      <c r="F12161" t="s">
        <v>3750</v>
      </c>
      <c r="G12161" t="s">
        <v>16235</v>
      </c>
      <c r="H12161" t="s">
        <v>47054</v>
      </c>
      <c r="I12161" t="s">
        <v>47569</v>
      </c>
      <c r="J12161" t="s">
        <v>47570</v>
      </c>
      <c r="K12161" t="s">
        <v>47113</v>
      </c>
      <c r="L12161">
        <v>14.8</v>
      </c>
      <c r="M12161">
        <v>42</v>
      </c>
      <c r="N12161">
        <v>0</v>
      </c>
      <c r="O12161">
        <v>42</v>
      </c>
      <c r="P12161">
        <v>0</v>
      </c>
    </row>
    <row r="12162" spans="1:16" x14ac:dyDescent="0.25">
      <c r="A12162" t="s">
        <v>34842</v>
      </c>
      <c r="B12162" t="s">
        <v>18000</v>
      </c>
      <c r="C12162" t="s">
        <v>18001</v>
      </c>
      <c r="D12162" t="str">
        <f>"6433"</f>
        <v>6433</v>
      </c>
      <c r="E12162" t="s">
        <v>18002</v>
      </c>
      <c r="F12162" t="s">
        <v>3750</v>
      </c>
      <c r="G12162" t="s">
        <v>16235</v>
      </c>
      <c r="H12162" t="s">
        <v>47054</v>
      </c>
      <c r="I12162" t="s">
        <v>47569</v>
      </c>
      <c r="J12162" t="s">
        <v>47570</v>
      </c>
      <c r="K12162" t="s">
        <v>47113</v>
      </c>
      <c r="L12162">
        <v>14.8</v>
      </c>
      <c r="M12162">
        <v>42</v>
      </c>
      <c r="N12162">
        <v>0</v>
      </c>
      <c r="O12162">
        <v>42</v>
      </c>
      <c r="P12162">
        <v>0</v>
      </c>
    </row>
    <row r="12163" spans="1:16" x14ac:dyDescent="0.25">
      <c r="A12163" t="s">
        <v>34843</v>
      </c>
      <c r="B12163" t="s">
        <v>18003</v>
      </c>
      <c r="C12163" t="s">
        <v>17999</v>
      </c>
      <c r="D12163" t="str">
        <f>"1001"</f>
        <v>1001</v>
      </c>
      <c r="E12163" t="s">
        <v>17259</v>
      </c>
      <c r="F12163" t="s">
        <v>3750</v>
      </c>
      <c r="G12163" t="s">
        <v>16222</v>
      </c>
      <c r="H12163" t="s">
        <v>47054</v>
      </c>
      <c r="I12163" t="s">
        <v>47569</v>
      </c>
      <c r="J12163" t="s">
        <v>47570</v>
      </c>
      <c r="K12163" t="s">
        <v>47113</v>
      </c>
      <c r="L12163">
        <v>10.29</v>
      </c>
      <c r="M12163">
        <v>29</v>
      </c>
      <c r="N12163">
        <v>0</v>
      </c>
      <c r="O12163">
        <v>29</v>
      </c>
      <c r="P12163">
        <v>0</v>
      </c>
    </row>
    <row r="12164" spans="1:16" x14ac:dyDescent="0.25">
      <c r="A12164" t="s">
        <v>34844</v>
      </c>
      <c r="B12164" t="s">
        <v>18003</v>
      </c>
      <c r="C12164" t="s">
        <v>17999</v>
      </c>
      <c r="D12164" t="str">
        <f>"4193"</f>
        <v>4193</v>
      </c>
      <c r="E12164" t="s">
        <v>9354</v>
      </c>
      <c r="F12164" t="s">
        <v>3750</v>
      </c>
      <c r="G12164" t="s">
        <v>16222</v>
      </c>
      <c r="H12164" t="s">
        <v>47054</v>
      </c>
      <c r="I12164" t="s">
        <v>47569</v>
      </c>
      <c r="J12164" t="s">
        <v>47570</v>
      </c>
      <c r="K12164" t="s">
        <v>47113</v>
      </c>
      <c r="L12164">
        <v>10.29</v>
      </c>
      <c r="M12164">
        <v>29</v>
      </c>
      <c r="N12164">
        <v>0</v>
      </c>
      <c r="O12164">
        <v>29</v>
      </c>
      <c r="P12164">
        <v>0</v>
      </c>
    </row>
    <row r="12165" spans="1:16" x14ac:dyDescent="0.25">
      <c r="A12165" t="s">
        <v>34845</v>
      </c>
      <c r="B12165" t="s">
        <v>18004</v>
      </c>
      <c r="C12165" t="s">
        <v>18001</v>
      </c>
      <c r="D12165" t="str">
        <f>"1840"</f>
        <v>1840</v>
      </c>
      <c r="E12165" t="s">
        <v>16339</v>
      </c>
      <c r="F12165" t="s">
        <v>3750</v>
      </c>
      <c r="G12165" t="s">
        <v>16222</v>
      </c>
      <c r="H12165" t="s">
        <v>47054</v>
      </c>
      <c r="I12165" t="s">
        <v>47569</v>
      </c>
      <c r="J12165" t="s">
        <v>47570</v>
      </c>
      <c r="K12165" t="s">
        <v>47113</v>
      </c>
      <c r="L12165">
        <v>10.29</v>
      </c>
      <c r="M12165">
        <v>29</v>
      </c>
      <c r="N12165">
        <v>0</v>
      </c>
      <c r="O12165">
        <v>29</v>
      </c>
      <c r="P12165">
        <v>0</v>
      </c>
    </row>
    <row r="12166" spans="1:16" x14ac:dyDescent="0.25">
      <c r="A12166" t="s">
        <v>34846</v>
      </c>
      <c r="B12166" t="s">
        <v>18004</v>
      </c>
      <c r="C12166" t="s">
        <v>18001</v>
      </c>
      <c r="D12166" t="str">
        <f>"6433"</f>
        <v>6433</v>
      </c>
      <c r="E12166" t="s">
        <v>18002</v>
      </c>
      <c r="F12166" t="s">
        <v>3750</v>
      </c>
      <c r="G12166" t="s">
        <v>16222</v>
      </c>
      <c r="H12166" t="s">
        <v>47054</v>
      </c>
      <c r="I12166" t="s">
        <v>47569</v>
      </c>
      <c r="J12166" t="s">
        <v>47570</v>
      </c>
      <c r="K12166" t="s">
        <v>47113</v>
      </c>
      <c r="L12166">
        <v>10.29</v>
      </c>
      <c r="M12166">
        <v>29</v>
      </c>
      <c r="N12166">
        <v>0</v>
      </c>
      <c r="O12166">
        <v>29</v>
      </c>
      <c r="P12166">
        <v>0</v>
      </c>
    </row>
    <row r="12167" spans="1:16" x14ac:dyDescent="0.25">
      <c r="A12167" t="s">
        <v>34847</v>
      </c>
      <c r="B12167" t="s">
        <v>18005</v>
      </c>
      <c r="C12167" t="s">
        <v>18006</v>
      </c>
      <c r="D12167" t="str">
        <f>"1779"</f>
        <v>1779</v>
      </c>
      <c r="E12167" t="s">
        <v>18007</v>
      </c>
      <c r="F12167" t="s">
        <v>3750</v>
      </c>
      <c r="G12167" t="s">
        <v>16230</v>
      </c>
      <c r="H12167" t="s">
        <v>47054</v>
      </c>
      <c r="I12167" t="s">
        <v>47118</v>
      </c>
      <c r="J12167" t="s">
        <v>47119</v>
      </c>
      <c r="K12167" t="s">
        <v>47113</v>
      </c>
      <c r="L12167">
        <v>12.92</v>
      </c>
      <c r="M12167">
        <v>38</v>
      </c>
      <c r="N12167">
        <v>0</v>
      </c>
      <c r="O12167">
        <v>38</v>
      </c>
      <c r="P12167">
        <v>0</v>
      </c>
    </row>
    <row r="12168" spans="1:16" x14ac:dyDescent="0.25">
      <c r="A12168" t="s">
        <v>34848</v>
      </c>
      <c r="B12168" t="s">
        <v>18005</v>
      </c>
      <c r="C12168" t="s">
        <v>18006</v>
      </c>
      <c r="D12168" t="str">
        <f>"1836"</f>
        <v>1836</v>
      </c>
      <c r="E12168" t="s">
        <v>18008</v>
      </c>
      <c r="F12168" t="s">
        <v>3750</v>
      </c>
      <c r="G12168" t="s">
        <v>16230</v>
      </c>
      <c r="H12168" t="s">
        <v>47054</v>
      </c>
      <c r="I12168" t="s">
        <v>47118</v>
      </c>
      <c r="J12168" t="s">
        <v>47119</v>
      </c>
      <c r="K12168" t="s">
        <v>47113</v>
      </c>
      <c r="L12168">
        <v>14.12</v>
      </c>
      <c r="M12168">
        <v>40</v>
      </c>
      <c r="N12168">
        <v>0</v>
      </c>
      <c r="O12168">
        <v>40</v>
      </c>
      <c r="P12168">
        <v>0</v>
      </c>
    </row>
    <row r="12169" spans="1:16" x14ac:dyDescent="0.25">
      <c r="A12169" t="s">
        <v>34849</v>
      </c>
      <c r="B12169" t="s">
        <v>18005</v>
      </c>
      <c r="C12169" t="s">
        <v>18006</v>
      </c>
      <c r="D12169" t="str">
        <f>"6432"</f>
        <v>6432</v>
      </c>
      <c r="E12169" t="s">
        <v>20883</v>
      </c>
      <c r="F12169" t="s">
        <v>3750</v>
      </c>
      <c r="G12169" t="s">
        <v>16230</v>
      </c>
      <c r="H12169" t="s">
        <v>47054</v>
      </c>
      <c r="I12169" t="s">
        <v>47118</v>
      </c>
      <c r="J12169" t="s">
        <v>47119</v>
      </c>
      <c r="K12169" t="s">
        <v>47113</v>
      </c>
      <c r="L12169">
        <v>13.79</v>
      </c>
      <c r="M12169">
        <v>21</v>
      </c>
      <c r="N12169">
        <v>0</v>
      </c>
      <c r="O12169">
        <v>21</v>
      </c>
      <c r="P12169">
        <v>0</v>
      </c>
    </row>
    <row r="12170" spans="1:16" x14ac:dyDescent="0.25">
      <c r="A12170" t="s">
        <v>34850</v>
      </c>
      <c r="B12170" t="s">
        <v>18005</v>
      </c>
      <c r="C12170" t="s">
        <v>18006</v>
      </c>
      <c r="D12170" t="str">
        <f>"7000"</f>
        <v>7000</v>
      </c>
      <c r="E12170" t="s">
        <v>20884</v>
      </c>
      <c r="F12170" t="s">
        <v>3750</v>
      </c>
      <c r="G12170" t="s">
        <v>16230</v>
      </c>
      <c r="H12170" t="s">
        <v>47054</v>
      </c>
      <c r="I12170" t="s">
        <v>47118</v>
      </c>
      <c r="J12170" t="s">
        <v>47119</v>
      </c>
      <c r="K12170" t="s">
        <v>47113</v>
      </c>
      <c r="L12170">
        <v>13.79</v>
      </c>
      <c r="M12170">
        <v>21</v>
      </c>
      <c r="N12170">
        <v>0</v>
      </c>
      <c r="O12170">
        <v>21</v>
      </c>
      <c r="P12170">
        <v>0</v>
      </c>
    </row>
    <row r="12171" spans="1:16" x14ac:dyDescent="0.25">
      <c r="A12171" t="s">
        <v>34851</v>
      </c>
      <c r="B12171" t="s">
        <v>18009</v>
      </c>
      <c r="C12171" t="s">
        <v>20885</v>
      </c>
      <c r="D12171" t="str">
        <f>"4342"</f>
        <v>4342</v>
      </c>
      <c r="E12171" t="s">
        <v>18010</v>
      </c>
      <c r="F12171" t="s">
        <v>3750</v>
      </c>
      <c r="G12171" t="s">
        <v>16230</v>
      </c>
      <c r="H12171" t="s">
        <v>47054</v>
      </c>
      <c r="I12171" t="s">
        <v>47118</v>
      </c>
      <c r="J12171" t="s">
        <v>47119</v>
      </c>
      <c r="K12171" t="s">
        <v>47113</v>
      </c>
      <c r="L12171">
        <v>12.22</v>
      </c>
      <c r="M12171">
        <v>34</v>
      </c>
      <c r="N12171">
        <v>0</v>
      </c>
      <c r="O12171">
        <v>34</v>
      </c>
      <c r="P12171">
        <v>0</v>
      </c>
    </row>
    <row r="12172" spans="1:16" x14ac:dyDescent="0.25">
      <c r="A12172" t="s">
        <v>34852</v>
      </c>
      <c r="B12172" t="s">
        <v>18009</v>
      </c>
      <c r="C12172" t="s">
        <v>20885</v>
      </c>
      <c r="D12172" t="str">
        <f>"6000"</f>
        <v>6000</v>
      </c>
      <c r="E12172" t="s">
        <v>18011</v>
      </c>
      <c r="F12172" t="s">
        <v>3750</v>
      </c>
      <c r="G12172" t="s">
        <v>16230</v>
      </c>
      <c r="H12172" t="s">
        <v>47054</v>
      </c>
      <c r="I12172" t="s">
        <v>47118</v>
      </c>
      <c r="J12172" t="s">
        <v>47119</v>
      </c>
      <c r="K12172" t="s">
        <v>47113</v>
      </c>
      <c r="L12172">
        <v>12.22</v>
      </c>
      <c r="M12172">
        <v>34</v>
      </c>
      <c r="N12172">
        <v>0</v>
      </c>
      <c r="O12172">
        <v>34</v>
      </c>
      <c r="P12172">
        <v>0</v>
      </c>
    </row>
    <row r="12173" spans="1:16" x14ac:dyDescent="0.25">
      <c r="A12173" t="s">
        <v>34853</v>
      </c>
      <c r="B12173" t="s">
        <v>20886</v>
      </c>
      <c r="C12173" t="s">
        <v>20887</v>
      </c>
      <c r="D12173" t="str">
        <f>"1001"</f>
        <v>1001</v>
      </c>
      <c r="E12173" t="s">
        <v>20888</v>
      </c>
      <c r="F12173" t="s">
        <v>3750</v>
      </c>
      <c r="G12173" t="s">
        <v>16230</v>
      </c>
      <c r="H12173" t="s">
        <v>47054</v>
      </c>
      <c r="I12173" t="s">
        <v>47118</v>
      </c>
      <c r="J12173" t="s">
        <v>47119</v>
      </c>
      <c r="K12173" t="s">
        <v>47113</v>
      </c>
      <c r="L12173">
        <v>13.72</v>
      </c>
      <c r="M12173">
        <v>52</v>
      </c>
      <c r="N12173">
        <v>0</v>
      </c>
      <c r="O12173">
        <v>52</v>
      </c>
      <c r="P12173">
        <v>0</v>
      </c>
    </row>
    <row r="12174" spans="1:16" x14ac:dyDescent="0.25">
      <c r="A12174" t="s">
        <v>34854</v>
      </c>
      <c r="B12174" t="s">
        <v>20886</v>
      </c>
      <c r="C12174" t="s">
        <v>20887</v>
      </c>
      <c r="D12174" t="str">
        <f>"1118"</f>
        <v>1118</v>
      </c>
      <c r="E12174" t="s">
        <v>34855</v>
      </c>
      <c r="F12174" t="s">
        <v>3750</v>
      </c>
      <c r="G12174" t="s">
        <v>16230</v>
      </c>
      <c r="H12174" t="s">
        <v>47054</v>
      </c>
      <c r="I12174" t="s">
        <v>47118</v>
      </c>
      <c r="J12174" t="s">
        <v>47119</v>
      </c>
      <c r="K12174" t="s">
        <v>47113</v>
      </c>
      <c r="L12174">
        <v>13.76</v>
      </c>
      <c r="M12174">
        <v>47</v>
      </c>
      <c r="N12174">
        <v>0</v>
      </c>
      <c r="O12174">
        <v>47</v>
      </c>
      <c r="P12174">
        <v>0</v>
      </c>
    </row>
    <row r="12175" spans="1:16" x14ac:dyDescent="0.25">
      <c r="A12175" t="s">
        <v>34856</v>
      </c>
      <c r="B12175" t="s">
        <v>20886</v>
      </c>
      <c r="C12175" t="s">
        <v>20887</v>
      </c>
      <c r="D12175" t="str">
        <f>"1700"</f>
        <v>1700</v>
      </c>
      <c r="E12175" t="s">
        <v>60</v>
      </c>
      <c r="F12175" t="s">
        <v>3750</v>
      </c>
      <c r="G12175" t="s">
        <v>16230</v>
      </c>
      <c r="H12175" t="s">
        <v>47054</v>
      </c>
      <c r="I12175" t="s">
        <v>47118</v>
      </c>
      <c r="J12175" t="s">
        <v>47119</v>
      </c>
      <c r="K12175" t="s">
        <v>47113</v>
      </c>
      <c r="L12175">
        <v>10.59</v>
      </c>
      <c r="M12175">
        <v>47</v>
      </c>
      <c r="N12175">
        <v>0</v>
      </c>
      <c r="O12175">
        <v>47</v>
      </c>
      <c r="P12175">
        <v>0</v>
      </c>
    </row>
    <row r="12176" spans="1:16" x14ac:dyDescent="0.25">
      <c r="A12176" t="s">
        <v>34857</v>
      </c>
      <c r="B12176" t="s">
        <v>20886</v>
      </c>
      <c r="C12176" t="s">
        <v>20887</v>
      </c>
      <c r="D12176" t="str">
        <f>"6000"</f>
        <v>6000</v>
      </c>
      <c r="E12176" t="s">
        <v>20889</v>
      </c>
      <c r="F12176" t="s">
        <v>3750</v>
      </c>
      <c r="G12176" t="s">
        <v>16230</v>
      </c>
      <c r="H12176" t="s">
        <v>47054</v>
      </c>
      <c r="I12176" t="s">
        <v>47118</v>
      </c>
      <c r="J12176" t="s">
        <v>47119</v>
      </c>
      <c r="K12176" t="s">
        <v>47113</v>
      </c>
      <c r="L12176">
        <v>14.81</v>
      </c>
      <c r="M12176">
        <v>52</v>
      </c>
      <c r="N12176">
        <v>0</v>
      </c>
      <c r="O12176">
        <v>52</v>
      </c>
      <c r="P12176">
        <v>0</v>
      </c>
    </row>
    <row r="12177" spans="1:16" x14ac:dyDescent="0.25">
      <c r="A12177" t="s">
        <v>34858</v>
      </c>
      <c r="B12177" t="s">
        <v>18012</v>
      </c>
      <c r="C12177" t="s">
        <v>18013</v>
      </c>
      <c r="D12177" t="str">
        <f>"1200"</f>
        <v>1200</v>
      </c>
      <c r="E12177" t="s">
        <v>18014</v>
      </c>
      <c r="F12177" t="s">
        <v>3750</v>
      </c>
      <c r="G12177" t="s">
        <v>16230</v>
      </c>
      <c r="H12177" t="s">
        <v>47054</v>
      </c>
      <c r="I12177" t="s">
        <v>47118</v>
      </c>
      <c r="J12177" t="s">
        <v>47119</v>
      </c>
      <c r="K12177" t="s">
        <v>47113</v>
      </c>
      <c r="L12177">
        <v>13.64</v>
      </c>
      <c r="M12177">
        <v>39</v>
      </c>
      <c r="N12177">
        <v>0</v>
      </c>
      <c r="O12177">
        <v>39</v>
      </c>
      <c r="P12177">
        <v>0</v>
      </c>
    </row>
    <row r="12178" spans="1:16" x14ac:dyDescent="0.25">
      <c r="A12178" t="s">
        <v>34859</v>
      </c>
      <c r="B12178" t="s">
        <v>18012</v>
      </c>
      <c r="C12178" t="s">
        <v>18013</v>
      </c>
      <c r="D12178" t="str">
        <f>"6433"</f>
        <v>6433</v>
      </c>
      <c r="E12178" t="s">
        <v>7168</v>
      </c>
      <c r="F12178" t="s">
        <v>3750</v>
      </c>
      <c r="G12178" t="s">
        <v>16230</v>
      </c>
      <c r="H12178" t="s">
        <v>47054</v>
      </c>
      <c r="I12178" t="s">
        <v>47118</v>
      </c>
      <c r="J12178" t="s">
        <v>47119</v>
      </c>
      <c r="K12178" t="s">
        <v>47113</v>
      </c>
      <c r="L12178">
        <v>13.64</v>
      </c>
      <c r="M12178">
        <v>39</v>
      </c>
      <c r="N12178">
        <v>0</v>
      </c>
      <c r="O12178">
        <v>39</v>
      </c>
      <c r="P12178">
        <v>0</v>
      </c>
    </row>
    <row r="12179" spans="1:16" x14ac:dyDescent="0.25">
      <c r="A12179" t="s">
        <v>34860</v>
      </c>
      <c r="B12179" t="s">
        <v>20890</v>
      </c>
      <c r="C12179" t="s">
        <v>20891</v>
      </c>
      <c r="D12179" t="str">
        <f>"1096"</f>
        <v>1096</v>
      </c>
      <c r="E12179" t="s">
        <v>15303</v>
      </c>
      <c r="F12179" t="s">
        <v>3750</v>
      </c>
      <c r="G12179" t="s">
        <v>16230</v>
      </c>
      <c r="H12179" t="s">
        <v>47054</v>
      </c>
      <c r="I12179" t="s">
        <v>47118</v>
      </c>
      <c r="J12179" t="s">
        <v>47119</v>
      </c>
      <c r="K12179" t="s">
        <v>47113</v>
      </c>
      <c r="L12179">
        <v>13.48</v>
      </c>
      <c r="M12179">
        <v>21</v>
      </c>
      <c r="N12179">
        <v>0</v>
      </c>
      <c r="O12179">
        <v>21</v>
      </c>
      <c r="P12179">
        <v>0</v>
      </c>
    </row>
    <row r="12180" spans="1:16" x14ac:dyDescent="0.25">
      <c r="A12180" t="s">
        <v>34861</v>
      </c>
      <c r="B12180" t="s">
        <v>20892</v>
      </c>
      <c r="C12180" t="s">
        <v>20893</v>
      </c>
      <c r="D12180" t="str">
        <f>"1708"</f>
        <v>1708</v>
      </c>
      <c r="E12180" t="s">
        <v>20894</v>
      </c>
      <c r="F12180" t="s">
        <v>3750</v>
      </c>
      <c r="G12180" t="s">
        <v>16230</v>
      </c>
      <c r="H12180" t="s">
        <v>47054</v>
      </c>
      <c r="I12180" t="s">
        <v>47118</v>
      </c>
      <c r="J12180" t="s">
        <v>47119</v>
      </c>
      <c r="K12180" t="s">
        <v>47113</v>
      </c>
      <c r="L12180">
        <v>13.48</v>
      </c>
      <c r="M12180">
        <v>21</v>
      </c>
      <c r="N12180">
        <v>0</v>
      </c>
      <c r="O12180">
        <v>21</v>
      </c>
      <c r="P12180">
        <v>0</v>
      </c>
    </row>
    <row r="12181" spans="1:16" x14ac:dyDescent="0.25">
      <c r="A12181" t="s">
        <v>34862</v>
      </c>
      <c r="B12181" t="s">
        <v>18015</v>
      </c>
      <c r="C12181" t="s">
        <v>20895</v>
      </c>
      <c r="D12181" t="str">
        <f>"6000"</f>
        <v>6000</v>
      </c>
      <c r="E12181" t="s">
        <v>6279</v>
      </c>
      <c r="F12181" t="s">
        <v>3750</v>
      </c>
      <c r="G12181" t="s">
        <v>16230</v>
      </c>
      <c r="H12181" t="s">
        <v>47054</v>
      </c>
      <c r="I12181" t="s">
        <v>47118</v>
      </c>
      <c r="J12181" t="s">
        <v>47119</v>
      </c>
      <c r="K12181" t="s">
        <v>47113</v>
      </c>
      <c r="L12181">
        <v>12.06</v>
      </c>
      <c r="M12181">
        <v>36</v>
      </c>
      <c r="N12181">
        <v>0</v>
      </c>
      <c r="O12181">
        <v>36</v>
      </c>
      <c r="P12181">
        <v>0</v>
      </c>
    </row>
    <row r="12182" spans="1:16" x14ac:dyDescent="0.25">
      <c r="A12182" t="s">
        <v>34863</v>
      </c>
      <c r="B12182" t="s">
        <v>18016</v>
      </c>
      <c r="C12182" t="s">
        <v>18017</v>
      </c>
      <c r="D12182" t="str">
        <f>"1001"</f>
        <v>1001</v>
      </c>
      <c r="E12182" t="s">
        <v>42</v>
      </c>
      <c r="F12182" t="s">
        <v>3750</v>
      </c>
      <c r="G12182" t="s">
        <v>16230</v>
      </c>
      <c r="H12182" t="s">
        <v>47054</v>
      </c>
      <c r="I12182" t="s">
        <v>47120</v>
      </c>
      <c r="J12182" t="s">
        <v>47121</v>
      </c>
      <c r="K12182" t="s">
        <v>47113</v>
      </c>
      <c r="L12182">
        <v>11.91</v>
      </c>
      <c r="M12182">
        <v>34</v>
      </c>
      <c r="N12182">
        <v>0</v>
      </c>
      <c r="O12182">
        <v>34</v>
      </c>
      <c r="P12182">
        <v>0</v>
      </c>
    </row>
    <row r="12183" spans="1:16" x14ac:dyDescent="0.25">
      <c r="A12183" t="s">
        <v>34864</v>
      </c>
      <c r="B12183" t="s">
        <v>18016</v>
      </c>
      <c r="C12183" t="s">
        <v>18017</v>
      </c>
      <c r="D12183" t="str">
        <f>"1700"</f>
        <v>1700</v>
      </c>
      <c r="E12183" t="s">
        <v>60</v>
      </c>
      <c r="F12183" t="s">
        <v>3750</v>
      </c>
      <c r="G12183" t="s">
        <v>16230</v>
      </c>
      <c r="H12183" t="s">
        <v>47054</v>
      </c>
      <c r="I12183" t="s">
        <v>47120</v>
      </c>
      <c r="J12183" t="s">
        <v>47121</v>
      </c>
      <c r="K12183" t="s">
        <v>47113</v>
      </c>
      <c r="L12183">
        <v>11.91</v>
      </c>
      <c r="M12183">
        <v>34</v>
      </c>
      <c r="N12183">
        <v>0</v>
      </c>
      <c r="O12183">
        <v>34</v>
      </c>
      <c r="P12183">
        <v>0</v>
      </c>
    </row>
    <row r="12184" spans="1:16" x14ac:dyDescent="0.25">
      <c r="A12184" t="s">
        <v>34865</v>
      </c>
      <c r="B12184" t="s">
        <v>18018</v>
      </c>
      <c r="C12184" t="s">
        <v>18019</v>
      </c>
      <c r="D12184" t="str">
        <f>"1001"</f>
        <v>1001</v>
      </c>
      <c r="E12184" t="s">
        <v>42</v>
      </c>
      <c r="F12184" t="s">
        <v>3750</v>
      </c>
      <c r="G12184" t="s">
        <v>46686</v>
      </c>
      <c r="H12184" t="s">
        <v>47054</v>
      </c>
      <c r="I12184" t="s">
        <v>47120</v>
      </c>
      <c r="J12184" t="s">
        <v>47121</v>
      </c>
      <c r="K12184" t="s">
        <v>47113</v>
      </c>
      <c r="L12184">
        <v>16.579999999999998</v>
      </c>
      <c r="M12184">
        <v>49</v>
      </c>
      <c r="N12184">
        <v>0</v>
      </c>
      <c r="O12184">
        <v>49</v>
      </c>
      <c r="P12184">
        <v>0</v>
      </c>
    </row>
    <row r="12185" spans="1:16" x14ac:dyDescent="0.25">
      <c r="A12185" t="s">
        <v>34866</v>
      </c>
      <c r="B12185" t="s">
        <v>18018</v>
      </c>
      <c r="C12185" t="s">
        <v>18019</v>
      </c>
      <c r="D12185" t="str">
        <f>"1519"</f>
        <v>1519</v>
      </c>
      <c r="E12185" t="s">
        <v>9898</v>
      </c>
      <c r="F12185" t="s">
        <v>3750</v>
      </c>
      <c r="G12185" t="s">
        <v>46686</v>
      </c>
      <c r="H12185" t="s">
        <v>47054</v>
      </c>
      <c r="I12185" t="s">
        <v>47120</v>
      </c>
      <c r="J12185" t="s">
        <v>47121</v>
      </c>
      <c r="K12185" t="s">
        <v>47113</v>
      </c>
      <c r="L12185">
        <v>16.579999999999998</v>
      </c>
      <c r="M12185">
        <v>49</v>
      </c>
      <c r="N12185">
        <v>0</v>
      </c>
      <c r="O12185">
        <v>49</v>
      </c>
      <c r="P12185">
        <v>0</v>
      </c>
    </row>
    <row r="12186" spans="1:16" x14ac:dyDescent="0.25">
      <c r="A12186" t="s">
        <v>34867</v>
      </c>
      <c r="B12186" t="s">
        <v>18020</v>
      </c>
      <c r="C12186" t="s">
        <v>18021</v>
      </c>
      <c r="D12186" t="str">
        <f>"4100"</f>
        <v>4100</v>
      </c>
      <c r="E12186" t="s">
        <v>18022</v>
      </c>
      <c r="F12186" t="s">
        <v>3750</v>
      </c>
      <c r="G12186" t="s">
        <v>16230</v>
      </c>
      <c r="H12186" t="s">
        <v>47054</v>
      </c>
      <c r="I12186" t="s">
        <v>47120</v>
      </c>
      <c r="J12186" t="s">
        <v>47121</v>
      </c>
      <c r="K12186" t="s">
        <v>47113</v>
      </c>
      <c r="L12186">
        <v>15.04</v>
      </c>
      <c r="M12186">
        <v>43</v>
      </c>
      <c r="N12186">
        <v>0</v>
      </c>
      <c r="O12186">
        <v>43</v>
      </c>
      <c r="P12186">
        <v>0</v>
      </c>
    </row>
    <row r="12187" spans="1:16" x14ac:dyDescent="0.25">
      <c r="A12187" t="s">
        <v>34868</v>
      </c>
      <c r="B12187" t="s">
        <v>20896</v>
      </c>
      <c r="C12187" t="s">
        <v>20897</v>
      </c>
      <c r="D12187" t="str">
        <f>"1075"</f>
        <v>1075</v>
      </c>
      <c r="E12187" t="s">
        <v>20898</v>
      </c>
      <c r="F12187" t="s">
        <v>3750</v>
      </c>
      <c r="G12187" t="s">
        <v>16235</v>
      </c>
      <c r="H12187" t="s">
        <v>47054</v>
      </c>
      <c r="I12187" t="s">
        <v>47120</v>
      </c>
      <c r="J12187" t="s">
        <v>47121</v>
      </c>
      <c r="K12187" t="s">
        <v>47113</v>
      </c>
      <c r="L12187">
        <v>15.04</v>
      </c>
      <c r="M12187">
        <v>26</v>
      </c>
      <c r="N12187">
        <v>0</v>
      </c>
      <c r="O12187">
        <v>26</v>
      </c>
      <c r="P12187">
        <v>0</v>
      </c>
    </row>
    <row r="12188" spans="1:16" x14ac:dyDescent="0.25">
      <c r="A12188" t="s">
        <v>34869</v>
      </c>
      <c r="B12188" t="s">
        <v>20896</v>
      </c>
      <c r="C12188" t="s">
        <v>20897</v>
      </c>
      <c r="D12188" t="str">
        <f>"6041"</f>
        <v>6041</v>
      </c>
      <c r="E12188" t="s">
        <v>20899</v>
      </c>
      <c r="F12188" t="s">
        <v>3750</v>
      </c>
      <c r="G12188" t="s">
        <v>16235</v>
      </c>
      <c r="H12188" t="s">
        <v>47054</v>
      </c>
      <c r="I12188" t="s">
        <v>47120</v>
      </c>
      <c r="J12188" t="s">
        <v>47121</v>
      </c>
      <c r="K12188" t="s">
        <v>47113</v>
      </c>
      <c r="L12188">
        <v>15.04</v>
      </c>
      <c r="M12188">
        <v>26</v>
      </c>
      <c r="N12188">
        <v>0</v>
      </c>
      <c r="O12188">
        <v>26</v>
      </c>
      <c r="P12188">
        <v>0</v>
      </c>
    </row>
    <row r="12189" spans="1:16" x14ac:dyDescent="0.25">
      <c r="A12189" t="s">
        <v>34870</v>
      </c>
      <c r="B12189" t="s">
        <v>20900</v>
      </c>
      <c r="C12189" t="s">
        <v>20901</v>
      </c>
      <c r="D12189" t="str">
        <f>"1075"</f>
        <v>1075</v>
      </c>
      <c r="E12189" t="s">
        <v>20898</v>
      </c>
      <c r="F12189" t="s">
        <v>3750</v>
      </c>
      <c r="G12189" t="s">
        <v>16222</v>
      </c>
      <c r="H12189" t="s">
        <v>47054</v>
      </c>
      <c r="I12189" t="s">
        <v>47120</v>
      </c>
      <c r="J12189" t="s">
        <v>47121</v>
      </c>
      <c r="K12189" t="s">
        <v>47113</v>
      </c>
      <c r="L12189">
        <v>13.45</v>
      </c>
      <c r="M12189">
        <v>21</v>
      </c>
      <c r="N12189">
        <v>0</v>
      </c>
      <c r="O12189">
        <v>21</v>
      </c>
      <c r="P12189">
        <v>0</v>
      </c>
    </row>
    <row r="12190" spans="1:16" x14ac:dyDescent="0.25">
      <c r="A12190" t="s">
        <v>34871</v>
      </c>
      <c r="B12190" t="s">
        <v>20900</v>
      </c>
      <c r="C12190" t="s">
        <v>20901</v>
      </c>
      <c r="D12190" t="str">
        <f>"6041"</f>
        <v>6041</v>
      </c>
      <c r="E12190" t="s">
        <v>20899</v>
      </c>
      <c r="F12190" t="s">
        <v>3750</v>
      </c>
      <c r="G12190" t="s">
        <v>16222</v>
      </c>
      <c r="H12190" t="s">
        <v>47054</v>
      </c>
      <c r="I12190" t="s">
        <v>47120</v>
      </c>
      <c r="J12190" t="s">
        <v>47121</v>
      </c>
      <c r="K12190" t="s">
        <v>47113</v>
      </c>
      <c r="L12190">
        <v>13.45</v>
      </c>
      <c r="M12190">
        <v>21</v>
      </c>
      <c r="N12190">
        <v>0</v>
      </c>
      <c r="O12190">
        <v>21</v>
      </c>
      <c r="P12190">
        <v>0</v>
      </c>
    </row>
    <row r="12191" spans="1:16" x14ac:dyDescent="0.25">
      <c r="A12191" t="s">
        <v>34872</v>
      </c>
      <c r="B12191" t="s">
        <v>20902</v>
      </c>
      <c r="C12191" t="s">
        <v>20903</v>
      </c>
      <c r="D12191" t="str">
        <f>"2707"</f>
        <v>2707</v>
      </c>
      <c r="E12191" t="s">
        <v>3019</v>
      </c>
      <c r="F12191" t="s">
        <v>3750</v>
      </c>
      <c r="G12191" t="s">
        <v>16222</v>
      </c>
      <c r="H12191" t="s">
        <v>47054</v>
      </c>
      <c r="I12191" t="s">
        <v>47120</v>
      </c>
      <c r="J12191" t="s">
        <v>47121</v>
      </c>
      <c r="K12191" t="s">
        <v>47113</v>
      </c>
      <c r="L12191">
        <v>15.32</v>
      </c>
      <c r="M12191">
        <v>24</v>
      </c>
      <c r="N12191">
        <v>0</v>
      </c>
      <c r="O12191">
        <v>24</v>
      </c>
      <c r="P12191">
        <v>0</v>
      </c>
    </row>
    <row r="12192" spans="1:16" x14ac:dyDescent="0.25">
      <c r="A12192" t="s">
        <v>34873</v>
      </c>
      <c r="B12192" t="s">
        <v>20902</v>
      </c>
      <c r="C12192" t="s">
        <v>20903</v>
      </c>
      <c r="D12192" t="str">
        <f>"4100"</f>
        <v>4100</v>
      </c>
      <c r="E12192" t="s">
        <v>17644</v>
      </c>
      <c r="F12192" t="s">
        <v>3750</v>
      </c>
      <c r="G12192" t="s">
        <v>16222</v>
      </c>
      <c r="H12192" t="s">
        <v>47054</v>
      </c>
      <c r="I12192" t="s">
        <v>47120</v>
      </c>
      <c r="J12192" t="s">
        <v>47121</v>
      </c>
      <c r="K12192" t="s">
        <v>47113</v>
      </c>
      <c r="L12192">
        <v>15.32</v>
      </c>
      <c r="M12192">
        <v>24</v>
      </c>
      <c r="N12192">
        <v>0</v>
      </c>
      <c r="O12192">
        <v>24</v>
      </c>
      <c r="P12192">
        <v>0</v>
      </c>
    </row>
    <row r="12193" spans="1:16" x14ac:dyDescent="0.25">
      <c r="A12193" t="s">
        <v>34874</v>
      </c>
      <c r="B12193" t="s">
        <v>20904</v>
      </c>
      <c r="C12193" t="s">
        <v>20905</v>
      </c>
      <c r="D12193" t="s">
        <v>20906</v>
      </c>
      <c r="E12193" t="s">
        <v>20907</v>
      </c>
      <c r="F12193" t="s">
        <v>3750</v>
      </c>
      <c r="G12193" t="s">
        <v>16231</v>
      </c>
      <c r="H12193" t="s">
        <v>47054</v>
      </c>
      <c r="I12193" t="s">
        <v>47116</v>
      </c>
      <c r="J12193" t="s">
        <v>47117</v>
      </c>
      <c r="K12193" t="s">
        <v>47113</v>
      </c>
      <c r="L12193">
        <v>31.11</v>
      </c>
      <c r="M12193">
        <v>93</v>
      </c>
      <c r="N12193">
        <v>0</v>
      </c>
      <c r="O12193">
        <v>93</v>
      </c>
      <c r="P12193">
        <v>0</v>
      </c>
    </row>
    <row r="12194" spans="1:16" x14ac:dyDescent="0.25">
      <c r="A12194" t="s">
        <v>34875</v>
      </c>
      <c r="B12194" t="s">
        <v>20908</v>
      </c>
      <c r="C12194" t="s">
        <v>20909</v>
      </c>
      <c r="D12194" t="s">
        <v>19513</v>
      </c>
      <c r="E12194" t="s">
        <v>19514</v>
      </c>
      <c r="F12194" t="s">
        <v>3750</v>
      </c>
      <c r="G12194" t="s">
        <v>16224</v>
      </c>
      <c r="H12194" t="s">
        <v>47054</v>
      </c>
      <c r="I12194" t="s">
        <v>47116</v>
      </c>
      <c r="J12194" t="s">
        <v>47117</v>
      </c>
      <c r="K12194" t="s">
        <v>47113</v>
      </c>
      <c r="L12194">
        <v>38.369999999999997</v>
      </c>
      <c r="M12194">
        <v>93</v>
      </c>
      <c r="N12194">
        <v>0</v>
      </c>
      <c r="O12194">
        <v>93</v>
      </c>
      <c r="P12194">
        <v>0</v>
      </c>
    </row>
    <row r="12195" spans="1:16" x14ac:dyDescent="0.25">
      <c r="A12195" t="s">
        <v>19520</v>
      </c>
      <c r="B12195" t="s">
        <v>19521</v>
      </c>
      <c r="C12195" t="s">
        <v>19522</v>
      </c>
      <c r="D12195" t="s">
        <v>19513</v>
      </c>
      <c r="E12195" t="s">
        <v>19514</v>
      </c>
      <c r="F12195" t="s">
        <v>3750</v>
      </c>
      <c r="G12195" t="s">
        <v>16234</v>
      </c>
      <c r="H12195" t="s">
        <v>47054</v>
      </c>
      <c r="I12195" t="s">
        <v>47116</v>
      </c>
      <c r="J12195" t="s">
        <v>47117</v>
      </c>
      <c r="K12195" t="s">
        <v>47113</v>
      </c>
      <c r="L12195">
        <v>31.26</v>
      </c>
      <c r="M12195">
        <v>93</v>
      </c>
      <c r="N12195">
        <v>0</v>
      </c>
      <c r="O12195">
        <v>93</v>
      </c>
      <c r="P12195">
        <v>0</v>
      </c>
    </row>
    <row r="12196" spans="1:16" x14ac:dyDescent="0.25">
      <c r="A12196" t="s">
        <v>34876</v>
      </c>
      <c r="B12196" t="s">
        <v>20910</v>
      </c>
      <c r="C12196" t="s">
        <v>20911</v>
      </c>
      <c r="D12196" t="s">
        <v>20906</v>
      </c>
      <c r="E12196" t="s">
        <v>20907</v>
      </c>
      <c r="F12196" t="s">
        <v>3750</v>
      </c>
      <c r="G12196" t="s">
        <v>16231</v>
      </c>
      <c r="H12196" t="s">
        <v>47054</v>
      </c>
      <c r="I12196" t="s">
        <v>47116</v>
      </c>
      <c r="J12196" t="s">
        <v>47117</v>
      </c>
      <c r="K12196" t="s">
        <v>47113</v>
      </c>
      <c r="L12196">
        <v>30.19</v>
      </c>
      <c r="M12196">
        <v>81</v>
      </c>
      <c r="N12196">
        <v>0</v>
      </c>
      <c r="O12196">
        <v>81</v>
      </c>
      <c r="P12196">
        <v>0</v>
      </c>
    </row>
    <row r="12197" spans="1:16" x14ac:dyDescent="0.25">
      <c r="A12197" t="s">
        <v>34877</v>
      </c>
      <c r="B12197" t="s">
        <v>9127</v>
      </c>
      <c r="C12197" t="s">
        <v>9128</v>
      </c>
      <c r="D12197" t="str">
        <f>"1746"</f>
        <v>1746</v>
      </c>
      <c r="E12197" t="s">
        <v>807</v>
      </c>
      <c r="F12197" t="s">
        <v>2068</v>
      </c>
      <c r="G12197" t="s">
        <v>16221</v>
      </c>
      <c r="H12197" t="s">
        <v>47054</v>
      </c>
      <c r="I12197" t="s">
        <v>47111</v>
      </c>
      <c r="J12197" t="s">
        <v>47112</v>
      </c>
      <c r="K12197" t="s">
        <v>47113</v>
      </c>
      <c r="L12197">
        <v>9.4700000000000006</v>
      </c>
      <c r="M12197">
        <v>21</v>
      </c>
      <c r="N12197">
        <v>0</v>
      </c>
      <c r="O12197">
        <v>21</v>
      </c>
      <c r="P12197">
        <v>0</v>
      </c>
    </row>
    <row r="12198" spans="1:16" x14ac:dyDescent="0.25">
      <c r="A12198" t="s">
        <v>34878</v>
      </c>
      <c r="B12198" t="s">
        <v>9129</v>
      </c>
      <c r="C12198" t="s">
        <v>9130</v>
      </c>
      <c r="D12198" t="str">
        <f>"1746"</f>
        <v>1746</v>
      </c>
      <c r="E12198" t="s">
        <v>807</v>
      </c>
      <c r="F12198" t="s">
        <v>1</v>
      </c>
      <c r="G12198" t="s">
        <v>16221</v>
      </c>
      <c r="H12198" t="s">
        <v>47054</v>
      </c>
      <c r="I12198" t="s">
        <v>47111</v>
      </c>
      <c r="J12198" t="s">
        <v>47112</v>
      </c>
      <c r="K12198" t="s">
        <v>47113</v>
      </c>
      <c r="L12198">
        <v>9.0299999999999994</v>
      </c>
      <c r="M12198">
        <v>22</v>
      </c>
      <c r="N12198">
        <v>0</v>
      </c>
      <c r="O12198">
        <v>22</v>
      </c>
      <c r="P12198">
        <v>0</v>
      </c>
    </row>
    <row r="12199" spans="1:16" x14ac:dyDescent="0.25">
      <c r="A12199" t="s">
        <v>34879</v>
      </c>
      <c r="B12199" t="s">
        <v>9131</v>
      </c>
      <c r="C12199" t="s">
        <v>9132</v>
      </c>
      <c r="D12199" t="str">
        <f>"4747"</f>
        <v>4747</v>
      </c>
      <c r="E12199" t="s">
        <v>9133</v>
      </c>
      <c r="F12199" t="s">
        <v>1</v>
      </c>
      <c r="G12199" t="s">
        <v>16221</v>
      </c>
      <c r="H12199" t="s">
        <v>47054</v>
      </c>
      <c r="I12199" t="s">
        <v>47111</v>
      </c>
      <c r="J12199" t="s">
        <v>47112</v>
      </c>
      <c r="K12199" t="s">
        <v>47113</v>
      </c>
      <c r="L12199">
        <v>9.0299999999999994</v>
      </c>
      <c r="M12199">
        <v>22</v>
      </c>
      <c r="N12199">
        <v>0</v>
      </c>
      <c r="O12199">
        <v>22</v>
      </c>
      <c r="P12199">
        <v>0</v>
      </c>
    </row>
    <row r="12200" spans="1:16" x14ac:dyDescent="0.25">
      <c r="A12200" t="s">
        <v>34880</v>
      </c>
      <c r="B12200" t="s">
        <v>9134</v>
      </c>
      <c r="C12200" t="s">
        <v>9135</v>
      </c>
      <c r="D12200" t="str">
        <f>"1035"</f>
        <v>1035</v>
      </c>
      <c r="E12200" t="s">
        <v>758</v>
      </c>
      <c r="F12200" t="s">
        <v>1</v>
      </c>
      <c r="G12200" t="s">
        <v>16221</v>
      </c>
      <c r="H12200" t="s">
        <v>47054</v>
      </c>
      <c r="I12200" t="s">
        <v>47111</v>
      </c>
      <c r="J12200" t="s">
        <v>47112</v>
      </c>
      <c r="K12200" t="s">
        <v>47113</v>
      </c>
      <c r="L12200">
        <v>9.0299999999999994</v>
      </c>
      <c r="M12200">
        <v>22</v>
      </c>
      <c r="N12200">
        <v>0</v>
      </c>
      <c r="O12200">
        <v>22</v>
      </c>
      <c r="P12200">
        <v>0</v>
      </c>
    </row>
    <row r="12201" spans="1:16" x14ac:dyDescent="0.25">
      <c r="A12201" t="s">
        <v>34881</v>
      </c>
      <c r="B12201" t="s">
        <v>9136</v>
      </c>
      <c r="C12201" t="s">
        <v>9137</v>
      </c>
      <c r="D12201" t="str">
        <f>"6437"</f>
        <v>6437</v>
      </c>
      <c r="E12201" t="s">
        <v>9138</v>
      </c>
      <c r="F12201" t="s">
        <v>1</v>
      </c>
      <c r="G12201" t="s">
        <v>16221</v>
      </c>
      <c r="H12201" t="s">
        <v>47054</v>
      </c>
      <c r="I12201" t="s">
        <v>47111</v>
      </c>
      <c r="J12201" t="s">
        <v>47112</v>
      </c>
      <c r="K12201" t="s">
        <v>47113</v>
      </c>
      <c r="L12201">
        <v>9.0299999999999994</v>
      </c>
      <c r="M12201">
        <v>22</v>
      </c>
      <c r="N12201">
        <v>0</v>
      </c>
      <c r="O12201">
        <v>22</v>
      </c>
      <c r="P12201">
        <v>0</v>
      </c>
    </row>
    <row r="12202" spans="1:16" x14ac:dyDescent="0.25">
      <c r="A12202" t="s">
        <v>34882</v>
      </c>
      <c r="B12202" t="s">
        <v>9139</v>
      </c>
      <c r="C12202" t="s">
        <v>9140</v>
      </c>
      <c r="D12202" t="str">
        <f>"1746"</f>
        <v>1746</v>
      </c>
      <c r="E12202" t="s">
        <v>807</v>
      </c>
      <c r="F12202" t="s">
        <v>1</v>
      </c>
      <c r="G12202" t="s">
        <v>16221</v>
      </c>
      <c r="H12202" t="s">
        <v>47054</v>
      </c>
      <c r="I12202" t="s">
        <v>47111</v>
      </c>
      <c r="J12202" t="s">
        <v>47112</v>
      </c>
      <c r="K12202" t="s">
        <v>47113</v>
      </c>
      <c r="L12202">
        <v>7.32</v>
      </c>
      <c r="M12202">
        <v>18</v>
      </c>
      <c r="N12202">
        <v>0</v>
      </c>
      <c r="O12202">
        <v>18</v>
      </c>
      <c r="P12202">
        <v>0</v>
      </c>
    </row>
    <row r="12203" spans="1:16" x14ac:dyDescent="0.25">
      <c r="A12203" t="s">
        <v>34883</v>
      </c>
      <c r="B12203" t="s">
        <v>9141</v>
      </c>
      <c r="C12203" t="s">
        <v>9142</v>
      </c>
      <c r="D12203" t="str">
        <f>"1035"</f>
        <v>1035</v>
      </c>
      <c r="E12203" t="s">
        <v>758</v>
      </c>
      <c r="F12203" t="s">
        <v>1</v>
      </c>
      <c r="G12203" t="s">
        <v>16221</v>
      </c>
      <c r="H12203" t="s">
        <v>47054</v>
      </c>
      <c r="I12203" t="s">
        <v>47111</v>
      </c>
      <c r="J12203" t="s">
        <v>47112</v>
      </c>
      <c r="K12203" t="s">
        <v>47113</v>
      </c>
      <c r="L12203">
        <v>9.0299999999999994</v>
      </c>
      <c r="M12203">
        <v>22</v>
      </c>
      <c r="N12203">
        <v>0</v>
      </c>
      <c r="O12203">
        <v>22</v>
      </c>
      <c r="P12203">
        <v>0</v>
      </c>
    </row>
    <row r="12204" spans="1:16" x14ac:dyDescent="0.25">
      <c r="A12204" t="s">
        <v>34884</v>
      </c>
      <c r="B12204" t="s">
        <v>9143</v>
      </c>
      <c r="C12204" t="s">
        <v>9144</v>
      </c>
      <c r="D12204" t="str">
        <f>"1035"</f>
        <v>1035</v>
      </c>
      <c r="E12204" t="s">
        <v>758</v>
      </c>
      <c r="F12204" t="s">
        <v>1</v>
      </c>
      <c r="G12204" t="s">
        <v>16221</v>
      </c>
      <c r="H12204" t="s">
        <v>47054</v>
      </c>
      <c r="I12204" t="s">
        <v>47111</v>
      </c>
      <c r="J12204" t="s">
        <v>47112</v>
      </c>
      <c r="K12204" t="s">
        <v>47113</v>
      </c>
      <c r="L12204">
        <v>7.32</v>
      </c>
      <c r="M12204">
        <v>18</v>
      </c>
      <c r="N12204">
        <v>0</v>
      </c>
      <c r="O12204">
        <v>18</v>
      </c>
      <c r="P12204">
        <v>0</v>
      </c>
    </row>
    <row r="12205" spans="1:16" x14ac:dyDescent="0.25">
      <c r="A12205" t="s">
        <v>34885</v>
      </c>
      <c r="B12205" t="s">
        <v>9145</v>
      </c>
      <c r="C12205" t="s">
        <v>9146</v>
      </c>
      <c r="D12205" t="str">
        <f>"6437"</f>
        <v>6437</v>
      </c>
      <c r="E12205" t="s">
        <v>9138</v>
      </c>
      <c r="F12205" t="s">
        <v>1</v>
      </c>
      <c r="G12205" t="s">
        <v>16221</v>
      </c>
      <c r="H12205" t="s">
        <v>47054</v>
      </c>
      <c r="I12205" t="s">
        <v>47111</v>
      </c>
      <c r="J12205" t="s">
        <v>47112</v>
      </c>
      <c r="K12205" t="s">
        <v>47113</v>
      </c>
      <c r="L12205">
        <v>7.32</v>
      </c>
      <c r="M12205">
        <v>18</v>
      </c>
      <c r="N12205">
        <v>0</v>
      </c>
      <c r="O12205">
        <v>18</v>
      </c>
      <c r="P12205">
        <v>0</v>
      </c>
    </row>
    <row r="12206" spans="1:16" x14ac:dyDescent="0.25">
      <c r="A12206" t="s">
        <v>34886</v>
      </c>
      <c r="B12206" t="s">
        <v>9147</v>
      </c>
      <c r="C12206" t="s">
        <v>9148</v>
      </c>
      <c r="D12206" t="str">
        <f>"1746"</f>
        <v>1746</v>
      </c>
      <c r="E12206" t="s">
        <v>807</v>
      </c>
      <c r="F12206" t="s">
        <v>1</v>
      </c>
      <c r="G12206" t="s">
        <v>16221</v>
      </c>
      <c r="H12206" t="s">
        <v>47054</v>
      </c>
      <c r="I12206" t="s">
        <v>47111</v>
      </c>
      <c r="J12206" t="s">
        <v>47112</v>
      </c>
      <c r="K12206" t="s">
        <v>47113</v>
      </c>
      <c r="L12206">
        <v>9.0299999999999994</v>
      </c>
      <c r="M12206">
        <v>22</v>
      </c>
      <c r="N12206">
        <v>0</v>
      </c>
      <c r="O12206">
        <v>22</v>
      </c>
      <c r="P12206">
        <v>0</v>
      </c>
    </row>
    <row r="12207" spans="1:16" x14ac:dyDescent="0.25">
      <c r="A12207" t="s">
        <v>34887</v>
      </c>
      <c r="B12207" t="s">
        <v>9147</v>
      </c>
      <c r="C12207" t="s">
        <v>9148</v>
      </c>
      <c r="D12207" t="str">
        <f>"6437"</f>
        <v>6437</v>
      </c>
      <c r="E12207" t="s">
        <v>9138</v>
      </c>
      <c r="F12207" t="s">
        <v>1</v>
      </c>
      <c r="G12207" t="s">
        <v>16221</v>
      </c>
      <c r="H12207" t="s">
        <v>47054</v>
      </c>
      <c r="I12207" t="s">
        <v>47111</v>
      </c>
      <c r="J12207" t="s">
        <v>47112</v>
      </c>
      <c r="K12207" t="s">
        <v>47113</v>
      </c>
      <c r="L12207">
        <v>9.0299999999999994</v>
      </c>
      <c r="M12207">
        <v>22</v>
      </c>
      <c r="N12207">
        <v>0</v>
      </c>
      <c r="O12207">
        <v>22</v>
      </c>
      <c r="P12207">
        <v>0</v>
      </c>
    </row>
    <row r="12208" spans="1:16" x14ac:dyDescent="0.25">
      <c r="A12208" t="s">
        <v>34888</v>
      </c>
      <c r="B12208" t="s">
        <v>9149</v>
      </c>
      <c r="C12208" t="s">
        <v>9150</v>
      </c>
      <c r="D12208" t="str">
        <f>"1746"</f>
        <v>1746</v>
      </c>
      <c r="E12208" t="s">
        <v>807</v>
      </c>
      <c r="F12208" t="s">
        <v>1</v>
      </c>
      <c r="G12208" t="s">
        <v>16221</v>
      </c>
      <c r="H12208" t="s">
        <v>47054</v>
      </c>
      <c r="I12208" t="s">
        <v>47111</v>
      </c>
      <c r="J12208" t="s">
        <v>47112</v>
      </c>
      <c r="K12208" t="s">
        <v>47113</v>
      </c>
      <c r="L12208">
        <v>9.0299999999999994</v>
      </c>
      <c r="M12208">
        <v>22</v>
      </c>
      <c r="N12208">
        <v>0</v>
      </c>
      <c r="O12208">
        <v>22</v>
      </c>
      <c r="P12208">
        <v>0</v>
      </c>
    </row>
    <row r="12209" spans="1:16" x14ac:dyDescent="0.25">
      <c r="A12209" t="s">
        <v>34889</v>
      </c>
      <c r="B12209" t="s">
        <v>9151</v>
      </c>
      <c r="C12209" t="s">
        <v>9152</v>
      </c>
      <c r="D12209" t="str">
        <f>"1035"</f>
        <v>1035</v>
      </c>
      <c r="E12209" t="s">
        <v>758</v>
      </c>
      <c r="F12209" t="s">
        <v>1</v>
      </c>
      <c r="G12209" t="s">
        <v>16221</v>
      </c>
      <c r="H12209" t="s">
        <v>47054</v>
      </c>
      <c r="I12209" t="s">
        <v>47111</v>
      </c>
      <c r="J12209" t="s">
        <v>47112</v>
      </c>
      <c r="K12209" t="s">
        <v>47113</v>
      </c>
      <c r="L12209">
        <v>9.0299999999999994</v>
      </c>
      <c r="M12209">
        <v>22</v>
      </c>
      <c r="N12209">
        <v>0</v>
      </c>
      <c r="O12209">
        <v>22</v>
      </c>
      <c r="P12209">
        <v>0</v>
      </c>
    </row>
    <row r="12210" spans="1:16" x14ac:dyDescent="0.25">
      <c r="A12210" t="s">
        <v>34890</v>
      </c>
      <c r="B12210" t="s">
        <v>9153</v>
      </c>
      <c r="C12210" t="s">
        <v>9154</v>
      </c>
      <c r="D12210" t="str">
        <f>"1746"</f>
        <v>1746</v>
      </c>
      <c r="E12210" t="s">
        <v>807</v>
      </c>
      <c r="F12210" t="s">
        <v>1</v>
      </c>
      <c r="G12210" t="s">
        <v>16221</v>
      </c>
      <c r="H12210" t="s">
        <v>47054</v>
      </c>
      <c r="I12210" t="s">
        <v>47111</v>
      </c>
      <c r="J12210" t="s">
        <v>47112</v>
      </c>
      <c r="K12210" t="s">
        <v>47113</v>
      </c>
      <c r="L12210">
        <v>9.0299999999999994</v>
      </c>
      <c r="M12210">
        <v>22</v>
      </c>
      <c r="N12210">
        <v>0</v>
      </c>
      <c r="O12210">
        <v>22</v>
      </c>
      <c r="P12210">
        <v>0</v>
      </c>
    </row>
    <row r="12211" spans="1:16" x14ac:dyDescent="0.25">
      <c r="A12211" t="s">
        <v>34891</v>
      </c>
      <c r="B12211" t="s">
        <v>9155</v>
      </c>
      <c r="C12211" t="s">
        <v>9156</v>
      </c>
      <c r="D12211" t="str">
        <f>"1739"</f>
        <v>1739</v>
      </c>
      <c r="E12211" t="s">
        <v>2698</v>
      </c>
      <c r="F12211" t="s">
        <v>1</v>
      </c>
      <c r="G12211" t="s">
        <v>16221</v>
      </c>
      <c r="H12211" t="s">
        <v>47054</v>
      </c>
      <c r="I12211" t="s">
        <v>47111</v>
      </c>
      <c r="J12211" t="s">
        <v>47112</v>
      </c>
      <c r="K12211" t="s">
        <v>47113</v>
      </c>
      <c r="L12211">
        <v>9.0299999999999994</v>
      </c>
      <c r="M12211">
        <v>22</v>
      </c>
      <c r="N12211">
        <v>0</v>
      </c>
      <c r="O12211">
        <v>22</v>
      </c>
      <c r="P12211">
        <v>0</v>
      </c>
    </row>
    <row r="12212" spans="1:16" x14ac:dyDescent="0.25">
      <c r="A12212" t="s">
        <v>34892</v>
      </c>
      <c r="B12212" t="s">
        <v>9157</v>
      </c>
      <c r="C12212" t="s">
        <v>9158</v>
      </c>
      <c r="D12212" t="str">
        <f>"8405"</f>
        <v>8405</v>
      </c>
      <c r="E12212" t="s">
        <v>2721</v>
      </c>
      <c r="F12212" t="s">
        <v>1</v>
      </c>
      <c r="G12212" t="s">
        <v>16221</v>
      </c>
      <c r="H12212" t="s">
        <v>47054</v>
      </c>
      <c r="I12212" t="s">
        <v>47111</v>
      </c>
      <c r="J12212" t="s">
        <v>47112</v>
      </c>
      <c r="K12212" t="s">
        <v>47113</v>
      </c>
      <c r="L12212">
        <v>9.0299999999999994</v>
      </c>
      <c r="M12212">
        <v>22</v>
      </c>
      <c r="N12212">
        <v>0</v>
      </c>
      <c r="O12212">
        <v>22</v>
      </c>
      <c r="P12212">
        <v>0</v>
      </c>
    </row>
    <row r="12213" spans="1:16" x14ac:dyDescent="0.25">
      <c r="A12213" t="s">
        <v>34893</v>
      </c>
      <c r="B12213" t="s">
        <v>9159</v>
      </c>
      <c r="C12213" t="s">
        <v>9160</v>
      </c>
      <c r="D12213" t="str">
        <f>"1746"</f>
        <v>1746</v>
      </c>
      <c r="E12213" t="s">
        <v>807</v>
      </c>
      <c r="F12213" t="s">
        <v>1</v>
      </c>
      <c r="G12213" t="s">
        <v>16221</v>
      </c>
      <c r="H12213" t="s">
        <v>47054</v>
      </c>
      <c r="I12213" t="s">
        <v>47111</v>
      </c>
      <c r="J12213" t="s">
        <v>47112</v>
      </c>
      <c r="K12213" t="s">
        <v>47113</v>
      </c>
      <c r="L12213">
        <v>9.0299999999999994</v>
      </c>
      <c r="M12213">
        <v>22</v>
      </c>
      <c r="N12213">
        <v>0</v>
      </c>
      <c r="O12213">
        <v>22</v>
      </c>
      <c r="P12213">
        <v>0</v>
      </c>
    </row>
    <row r="12214" spans="1:16" x14ac:dyDescent="0.25">
      <c r="A12214" t="s">
        <v>34894</v>
      </c>
      <c r="B12214" t="s">
        <v>9161</v>
      </c>
      <c r="C12214" t="s">
        <v>9162</v>
      </c>
      <c r="D12214" t="str">
        <f>"2373"</f>
        <v>2373</v>
      </c>
      <c r="E12214" t="s">
        <v>5954</v>
      </c>
      <c r="F12214" t="s">
        <v>2068</v>
      </c>
      <c r="G12214" t="s">
        <v>16221</v>
      </c>
      <c r="H12214" t="s">
        <v>47054</v>
      </c>
      <c r="I12214" t="s">
        <v>47111</v>
      </c>
      <c r="J12214" t="s">
        <v>47112</v>
      </c>
      <c r="K12214" t="s">
        <v>47113</v>
      </c>
      <c r="L12214">
        <v>9.4700000000000006</v>
      </c>
      <c r="M12214">
        <v>21</v>
      </c>
      <c r="N12214">
        <v>0</v>
      </c>
      <c r="O12214">
        <v>21</v>
      </c>
      <c r="P12214">
        <v>0</v>
      </c>
    </row>
    <row r="12215" spans="1:16" x14ac:dyDescent="0.25">
      <c r="A12215" t="s">
        <v>34895</v>
      </c>
      <c r="B12215" t="s">
        <v>9163</v>
      </c>
      <c r="C12215" t="s">
        <v>9164</v>
      </c>
      <c r="D12215" t="str">
        <f>"6480"</f>
        <v>6480</v>
      </c>
      <c r="E12215" t="s">
        <v>5969</v>
      </c>
      <c r="F12215" t="s">
        <v>2068</v>
      </c>
      <c r="G12215" t="s">
        <v>16221</v>
      </c>
      <c r="H12215" t="s">
        <v>47054</v>
      </c>
      <c r="I12215" t="s">
        <v>47111</v>
      </c>
      <c r="J12215" t="s">
        <v>47112</v>
      </c>
      <c r="K12215" t="s">
        <v>47113</v>
      </c>
      <c r="L12215">
        <v>9.8800000000000008</v>
      </c>
      <c r="M12215">
        <v>21</v>
      </c>
      <c r="N12215">
        <v>0</v>
      </c>
      <c r="O12215">
        <v>21</v>
      </c>
      <c r="P12215">
        <v>0</v>
      </c>
    </row>
    <row r="12216" spans="1:16" x14ac:dyDescent="0.25">
      <c r="A12216" t="s">
        <v>34896</v>
      </c>
      <c r="B12216" t="s">
        <v>9163</v>
      </c>
      <c r="C12216" t="s">
        <v>9164</v>
      </c>
      <c r="D12216" t="str">
        <f>"7023"</f>
        <v>7023</v>
      </c>
      <c r="E12216" t="s">
        <v>5863</v>
      </c>
      <c r="F12216" t="s">
        <v>2068</v>
      </c>
      <c r="G12216" t="s">
        <v>16221</v>
      </c>
      <c r="H12216" t="s">
        <v>47054</v>
      </c>
      <c r="I12216" t="s">
        <v>47111</v>
      </c>
      <c r="J12216" t="s">
        <v>47112</v>
      </c>
      <c r="K12216" t="s">
        <v>47113</v>
      </c>
      <c r="L12216">
        <v>9.8800000000000008</v>
      </c>
      <c r="M12216">
        <v>21</v>
      </c>
      <c r="N12216">
        <v>0</v>
      </c>
      <c r="O12216">
        <v>21</v>
      </c>
      <c r="P12216">
        <v>0</v>
      </c>
    </row>
    <row r="12217" spans="1:16" x14ac:dyDescent="0.25">
      <c r="A12217" t="s">
        <v>34897</v>
      </c>
      <c r="B12217" t="s">
        <v>9165</v>
      </c>
      <c r="C12217" t="s">
        <v>9046</v>
      </c>
      <c r="D12217" t="str">
        <f>"1746"</f>
        <v>1746</v>
      </c>
      <c r="E12217" t="s">
        <v>807</v>
      </c>
      <c r="F12217" t="s">
        <v>0</v>
      </c>
      <c r="G12217" t="s">
        <v>16232</v>
      </c>
      <c r="H12217" t="s">
        <v>47054</v>
      </c>
      <c r="I12217" t="s">
        <v>47118</v>
      </c>
      <c r="J12217" t="s">
        <v>47119</v>
      </c>
      <c r="K12217" t="s">
        <v>47113</v>
      </c>
      <c r="L12217">
        <v>15.89</v>
      </c>
      <c r="M12217">
        <v>35</v>
      </c>
      <c r="N12217">
        <v>0</v>
      </c>
      <c r="O12217">
        <v>35</v>
      </c>
      <c r="P12217">
        <v>0</v>
      </c>
    </row>
    <row r="12218" spans="1:16" x14ac:dyDescent="0.25">
      <c r="A12218" t="s">
        <v>34898</v>
      </c>
      <c r="B12218" t="s">
        <v>9166</v>
      </c>
      <c r="C12218" t="s">
        <v>9167</v>
      </c>
      <c r="D12218" t="str">
        <f>"1461"</f>
        <v>1461</v>
      </c>
      <c r="E12218" t="s">
        <v>5968</v>
      </c>
      <c r="F12218" t="s">
        <v>2068</v>
      </c>
      <c r="G12218" t="s">
        <v>16232</v>
      </c>
      <c r="H12218" t="s">
        <v>47054</v>
      </c>
      <c r="I12218" t="s">
        <v>47118</v>
      </c>
      <c r="J12218" t="s">
        <v>47119</v>
      </c>
      <c r="K12218" t="s">
        <v>47113</v>
      </c>
      <c r="L12218">
        <v>15.34</v>
      </c>
      <c r="M12218">
        <v>26</v>
      </c>
      <c r="N12218">
        <v>0</v>
      </c>
      <c r="O12218">
        <v>26</v>
      </c>
      <c r="P12218">
        <v>0</v>
      </c>
    </row>
    <row r="12219" spans="1:16" x14ac:dyDescent="0.25">
      <c r="A12219" t="s">
        <v>34899</v>
      </c>
      <c r="B12219" t="s">
        <v>9166</v>
      </c>
      <c r="C12219" t="s">
        <v>9167</v>
      </c>
      <c r="D12219" t="str">
        <f>"4788"</f>
        <v>4788</v>
      </c>
      <c r="E12219" t="s">
        <v>8716</v>
      </c>
      <c r="F12219" t="s">
        <v>2068</v>
      </c>
      <c r="G12219" t="s">
        <v>16232</v>
      </c>
      <c r="H12219" t="s">
        <v>47054</v>
      </c>
      <c r="I12219" t="s">
        <v>47118</v>
      </c>
      <c r="J12219" t="s">
        <v>47119</v>
      </c>
      <c r="K12219" t="s">
        <v>47113</v>
      </c>
      <c r="L12219">
        <v>15.34</v>
      </c>
      <c r="M12219">
        <v>26</v>
      </c>
      <c r="N12219">
        <v>0</v>
      </c>
      <c r="O12219">
        <v>26</v>
      </c>
      <c r="P12219">
        <v>0</v>
      </c>
    </row>
    <row r="12220" spans="1:16" x14ac:dyDescent="0.25">
      <c r="A12220" t="s">
        <v>34900</v>
      </c>
      <c r="B12220" t="s">
        <v>9168</v>
      </c>
      <c r="C12220" t="s">
        <v>9169</v>
      </c>
      <c r="D12220" t="str">
        <f>"3492"</f>
        <v>3492</v>
      </c>
      <c r="E12220" t="s">
        <v>9170</v>
      </c>
      <c r="F12220" t="s">
        <v>1</v>
      </c>
      <c r="G12220" t="s">
        <v>16234</v>
      </c>
      <c r="H12220" t="s">
        <v>47054</v>
      </c>
      <c r="I12220" t="s">
        <v>47136</v>
      </c>
      <c r="J12220" t="s">
        <v>47137</v>
      </c>
      <c r="K12220" t="s">
        <v>47113</v>
      </c>
      <c r="L12220">
        <v>29.79</v>
      </c>
      <c r="M12220">
        <v>73</v>
      </c>
      <c r="N12220">
        <v>0</v>
      </c>
      <c r="O12220">
        <v>73</v>
      </c>
      <c r="P12220">
        <v>0</v>
      </c>
    </row>
    <row r="12221" spans="1:16" x14ac:dyDescent="0.25">
      <c r="A12221" t="s">
        <v>34901</v>
      </c>
      <c r="B12221" t="s">
        <v>9171</v>
      </c>
      <c r="C12221" t="s">
        <v>9172</v>
      </c>
      <c r="D12221" t="str">
        <f>"2678"</f>
        <v>2678</v>
      </c>
      <c r="E12221" t="s">
        <v>9173</v>
      </c>
      <c r="F12221" t="s">
        <v>1</v>
      </c>
      <c r="G12221" t="s">
        <v>16234</v>
      </c>
      <c r="H12221" t="s">
        <v>47054</v>
      </c>
      <c r="I12221" t="s">
        <v>47120</v>
      </c>
      <c r="J12221" t="s">
        <v>47121</v>
      </c>
      <c r="K12221" t="s">
        <v>47113</v>
      </c>
      <c r="L12221">
        <v>27.63</v>
      </c>
      <c r="M12221">
        <v>68</v>
      </c>
      <c r="N12221">
        <v>0</v>
      </c>
      <c r="O12221">
        <v>68</v>
      </c>
      <c r="P12221">
        <v>0</v>
      </c>
    </row>
    <row r="12222" spans="1:16" x14ac:dyDescent="0.25">
      <c r="A12222" t="s">
        <v>34902</v>
      </c>
      <c r="B12222" t="s">
        <v>9174</v>
      </c>
      <c r="C12222" t="s">
        <v>9175</v>
      </c>
      <c r="D12222" t="str">
        <f>"2678"</f>
        <v>2678</v>
      </c>
      <c r="E12222" t="s">
        <v>9173</v>
      </c>
      <c r="F12222" t="s">
        <v>1</v>
      </c>
      <c r="G12222" t="s">
        <v>16233</v>
      </c>
      <c r="H12222" t="s">
        <v>47054</v>
      </c>
      <c r="I12222" t="s">
        <v>47120</v>
      </c>
      <c r="J12222" t="s">
        <v>47121</v>
      </c>
      <c r="K12222" t="s">
        <v>47113</v>
      </c>
      <c r="L12222">
        <v>22.21</v>
      </c>
      <c r="M12222">
        <v>55</v>
      </c>
      <c r="N12222">
        <v>0</v>
      </c>
      <c r="O12222">
        <v>55</v>
      </c>
      <c r="P12222">
        <v>0</v>
      </c>
    </row>
    <row r="12223" spans="1:16" x14ac:dyDescent="0.25">
      <c r="A12223" t="s">
        <v>34903</v>
      </c>
      <c r="B12223" t="s">
        <v>9176</v>
      </c>
      <c r="C12223" t="s">
        <v>9177</v>
      </c>
      <c r="D12223" t="str">
        <f>"1001"</f>
        <v>1001</v>
      </c>
      <c r="E12223" t="s">
        <v>9178</v>
      </c>
      <c r="F12223" t="s">
        <v>1</v>
      </c>
      <c r="G12223" t="s">
        <v>16233</v>
      </c>
      <c r="H12223" t="s">
        <v>47054</v>
      </c>
      <c r="I12223" t="s">
        <v>47120</v>
      </c>
      <c r="J12223" t="s">
        <v>47121</v>
      </c>
      <c r="K12223" t="s">
        <v>47113</v>
      </c>
      <c r="L12223">
        <v>27.36</v>
      </c>
      <c r="M12223">
        <v>68</v>
      </c>
      <c r="N12223">
        <v>0</v>
      </c>
      <c r="O12223">
        <v>68</v>
      </c>
      <c r="P12223">
        <v>0</v>
      </c>
    </row>
    <row r="12224" spans="1:16" x14ac:dyDescent="0.25">
      <c r="A12224" t="s">
        <v>34904</v>
      </c>
      <c r="B12224" t="s">
        <v>9176</v>
      </c>
      <c r="C12224" t="s">
        <v>9177</v>
      </c>
      <c r="D12224" t="str">
        <f>"2681"</f>
        <v>2681</v>
      </c>
      <c r="E12224" t="s">
        <v>9179</v>
      </c>
      <c r="F12224" t="s">
        <v>1</v>
      </c>
      <c r="G12224" t="s">
        <v>16233</v>
      </c>
      <c r="H12224" t="s">
        <v>47054</v>
      </c>
      <c r="I12224" t="s">
        <v>47120</v>
      </c>
      <c r="J12224" t="s">
        <v>47121</v>
      </c>
      <c r="K12224" t="s">
        <v>47113</v>
      </c>
      <c r="L12224">
        <v>27.36</v>
      </c>
      <c r="M12224">
        <v>67</v>
      </c>
      <c r="N12224">
        <v>0</v>
      </c>
      <c r="O12224">
        <v>67</v>
      </c>
      <c r="P12224">
        <v>0</v>
      </c>
    </row>
    <row r="12225" spans="1:16" x14ac:dyDescent="0.25">
      <c r="A12225" t="s">
        <v>34905</v>
      </c>
      <c r="B12225" t="s">
        <v>9176</v>
      </c>
      <c r="C12225" t="s">
        <v>9177</v>
      </c>
      <c r="D12225" t="str">
        <f>"3493"</f>
        <v>3493</v>
      </c>
      <c r="E12225" t="s">
        <v>9180</v>
      </c>
      <c r="F12225" t="s">
        <v>1</v>
      </c>
      <c r="G12225" t="s">
        <v>16233</v>
      </c>
      <c r="H12225" t="s">
        <v>47054</v>
      </c>
      <c r="I12225" t="s">
        <v>47120</v>
      </c>
      <c r="J12225" t="s">
        <v>47121</v>
      </c>
      <c r="K12225" t="s">
        <v>47113</v>
      </c>
      <c r="L12225">
        <v>27.36</v>
      </c>
      <c r="M12225">
        <v>68</v>
      </c>
      <c r="N12225">
        <v>0</v>
      </c>
      <c r="O12225">
        <v>68</v>
      </c>
      <c r="P12225">
        <v>0</v>
      </c>
    </row>
    <row r="12226" spans="1:16" x14ac:dyDescent="0.25">
      <c r="A12226" t="s">
        <v>34906</v>
      </c>
      <c r="B12226" t="s">
        <v>9176</v>
      </c>
      <c r="C12226" t="s">
        <v>9177</v>
      </c>
      <c r="D12226" t="str">
        <f>"6426"</f>
        <v>6426</v>
      </c>
      <c r="E12226" t="s">
        <v>9181</v>
      </c>
      <c r="F12226" t="s">
        <v>1</v>
      </c>
      <c r="G12226" t="s">
        <v>16233</v>
      </c>
      <c r="H12226" t="s">
        <v>47054</v>
      </c>
      <c r="I12226" t="s">
        <v>47120</v>
      </c>
      <c r="J12226" t="s">
        <v>47121</v>
      </c>
      <c r="K12226" t="s">
        <v>47113</v>
      </c>
      <c r="L12226">
        <v>27.36</v>
      </c>
      <c r="M12226">
        <v>68</v>
      </c>
      <c r="N12226">
        <v>0</v>
      </c>
      <c r="O12226">
        <v>68</v>
      </c>
      <c r="P12226">
        <v>0</v>
      </c>
    </row>
    <row r="12227" spans="1:16" x14ac:dyDescent="0.25">
      <c r="A12227" t="s">
        <v>34907</v>
      </c>
      <c r="B12227" t="s">
        <v>9182</v>
      </c>
      <c r="C12227" t="s">
        <v>9183</v>
      </c>
      <c r="D12227" t="str">
        <f>"4854"</f>
        <v>4854</v>
      </c>
      <c r="E12227" t="s">
        <v>9184</v>
      </c>
      <c r="F12227" t="s">
        <v>1</v>
      </c>
      <c r="G12227" t="s">
        <v>16233</v>
      </c>
      <c r="H12227" t="s">
        <v>47054</v>
      </c>
      <c r="I12227" t="s">
        <v>47136</v>
      </c>
      <c r="J12227" t="s">
        <v>47137</v>
      </c>
      <c r="K12227" t="s">
        <v>47113</v>
      </c>
      <c r="L12227">
        <v>30.08</v>
      </c>
      <c r="M12227">
        <v>74</v>
      </c>
      <c r="N12227">
        <v>0</v>
      </c>
      <c r="O12227">
        <v>74</v>
      </c>
      <c r="P12227">
        <v>0</v>
      </c>
    </row>
    <row r="12228" spans="1:16" x14ac:dyDescent="0.25">
      <c r="A12228" t="s">
        <v>34908</v>
      </c>
      <c r="B12228" t="s">
        <v>9185</v>
      </c>
      <c r="C12228" t="s">
        <v>9186</v>
      </c>
      <c r="D12228" t="str">
        <f>"2676"</f>
        <v>2676</v>
      </c>
      <c r="E12228" t="s">
        <v>9187</v>
      </c>
      <c r="F12228" t="s">
        <v>1</v>
      </c>
      <c r="G12228" t="s">
        <v>16233</v>
      </c>
      <c r="H12228" t="s">
        <v>47054</v>
      </c>
      <c r="I12228" t="s">
        <v>47120</v>
      </c>
      <c r="J12228" t="s">
        <v>47121</v>
      </c>
      <c r="K12228" t="s">
        <v>47113</v>
      </c>
      <c r="L12228">
        <v>18.77</v>
      </c>
      <c r="M12228">
        <v>44</v>
      </c>
      <c r="N12228">
        <v>0</v>
      </c>
      <c r="O12228">
        <v>44</v>
      </c>
      <c r="P12228">
        <v>0</v>
      </c>
    </row>
    <row r="12229" spans="1:16" x14ac:dyDescent="0.25">
      <c r="A12229" t="s">
        <v>34909</v>
      </c>
      <c r="B12229" t="s">
        <v>9185</v>
      </c>
      <c r="C12229" t="s">
        <v>9186</v>
      </c>
      <c r="D12229" t="str">
        <f>"2679"</f>
        <v>2679</v>
      </c>
      <c r="E12229" t="s">
        <v>9188</v>
      </c>
      <c r="F12229" t="s">
        <v>1</v>
      </c>
      <c r="G12229" t="s">
        <v>16233</v>
      </c>
      <c r="H12229" t="s">
        <v>47054</v>
      </c>
      <c r="I12229" t="s">
        <v>47120</v>
      </c>
      <c r="J12229" t="s">
        <v>47121</v>
      </c>
      <c r="K12229" t="s">
        <v>47113</v>
      </c>
      <c r="L12229">
        <v>18.96</v>
      </c>
      <c r="M12229">
        <v>47</v>
      </c>
      <c r="N12229">
        <v>0</v>
      </c>
      <c r="O12229">
        <v>47</v>
      </c>
      <c r="P12229">
        <v>0</v>
      </c>
    </row>
    <row r="12230" spans="1:16" x14ac:dyDescent="0.25">
      <c r="A12230" t="s">
        <v>34910</v>
      </c>
      <c r="B12230" t="s">
        <v>9185</v>
      </c>
      <c r="C12230" t="s">
        <v>9186</v>
      </c>
      <c r="D12230" t="str">
        <f>"4741"</f>
        <v>4741</v>
      </c>
      <c r="E12230" t="s">
        <v>9189</v>
      </c>
      <c r="F12230" t="s">
        <v>1</v>
      </c>
      <c r="G12230" t="s">
        <v>16233</v>
      </c>
      <c r="H12230" t="s">
        <v>47054</v>
      </c>
      <c r="I12230" t="s">
        <v>47120</v>
      </c>
      <c r="J12230" t="s">
        <v>47121</v>
      </c>
      <c r="K12230" t="s">
        <v>47113</v>
      </c>
      <c r="L12230">
        <v>18.77</v>
      </c>
      <c r="M12230">
        <v>44</v>
      </c>
      <c r="N12230">
        <v>0</v>
      </c>
      <c r="O12230">
        <v>44</v>
      </c>
      <c r="P12230">
        <v>0</v>
      </c>
    </row>
    <row r="12231" spans="1:16" x14ac:dyDescent="0.25">
      <c r="A12231" t="s">
        <v>34911</v>
      </c>
      <c r="B12231" t="s">
        <v>9185</v>
      </c>
      <c r="C12231" t="s">
        <v>9186</v>
      </c>
      <c r="D12231" t="str">
        <f>"4760"</f>
        <v>4760</v>
      </c>
      <c r="E12231" t="s">
        <v>9190</v>
      </c>
      <c r="F12231" t="s">
        <v>1</v>
      </c>
      <c r="G12231" t="s">
        <v>16233</v>
      </c>
      <c r="H12231" t="s">
        <v>47054</v>
      </c>
      <c r="I12231" t="s">
        <v>47120</v>
      </c>
      <c r="J12231" t="s">
        <v>47121</v>
      </c>
      <c r="K12231" t="s">
        <v>47113</v>
      </c>
      <c r="L12231">
        <v>18.96</v>
      </c>
      <c r="M12231">
        <v>47</v>
      </c>
      <c r="N12231">
        <v>0</v>
      </c>
      <c r="O12231">
        <v>47</v>
      </c>
      <c r="P12231">
        <v>0</v>
      </c>
    </row>
    <row r="12232" spans="1:16" x14ac:dyDescent="0.25">
      <c r="A12232" t="s">
        <v>34912</v>
      </c>
      <c r="B12232" t="s">
        <v>9185</v>
      </c>
      <c r="C12232" t="s">
        <v>9186</v>
      </c>
      <c r="D12232" t="str">
        <f>"7117"</f>
        <v>7117</v>
      </c>
      <c r="E12232" t="s">
        <v>9191</v>
      </c>
      <c r="F12232" t="s">
        <v>1</v>
      </c>
      <c r="G12232" t="s">
        <v>16233</v>
      </c>
      <c r="H12232" t="s">
        <v>47054</v>
      </c>
      <c r="I12232" t="s">
        <v>47120</v>
      </c>
      <c r="J12232" t="s">
        <v>47121</v>
      </c>
      <c r="K12232" t="s">
        <v>47113</v>
      </c>
      <c r="L12232">
        <v>18.77</v>
      </c>
      <c r="M12232">
        <v>44</v>
      </c>
      <c r="N12232">
        <v>0</v>
      </c>
      <c r="O12232">
        <v>44</v>
      </c>
      <c r="P12232">
        <v>0</v>
      </c>
    </row>
    <row r="12233" spans="1:16" x14ac:dyDescent="0.25">
      <c r="A12233" t="s">
        <v>34913</v>
      </c>
      <c r="B12233" t="s">
        <v>9185</v>
      </c>
      <c r="C12233" t="s">
        <v>9186</v>
      </c>
      <c r="D12233" t="str">
        <f>"7119"</f>
        <v>7119</v>
      </c>
      <c r="E12233" t="s">
        <v>9192</v>
      </c>
      <c r="F12233" t="s">
        <v>1</v>
      </c>
      <c r="G12233" t="s">
        <v>16233</v>
      </c>
      <c r="H12233" t="s">
        <v>47054</v>
      </c>
      <c r="I12233" t="s">
        <v>47120</v>
      </c>
      <c r="J12233" t="s">
        <v>47121</v>
      </c>
      <c r="K12233" t="s">
        <v>47113</v>
      </c>
      <c r="L12233">
        <v>18.96</v>
      </c>
      <c r="M12233">
        <v>47</v>
      </c>
      <c r="N12233">
        <v>0</v>
      </c>
      <c r="O12233">
        <v>47</v>
      </c>
      <c r="P12233">
        <v>0</v>
      </c>
    </row>
    <row r="12234" spans="1:16" x14ac:dyDescent="0.25">
      <c r="A12234" t="s">
        <v>34914</v>
      </c>
      <c r="B12234" t="s">
        <v>9193</v>
      </c>
      <c r="C12234" t="s">
        <v>9194</v>
      </c>
      <c r="D12234" t="str">
        <f>"2679"</f>
        <v>2679</v>
      </c>
      <c r="E12234" t="s">
        <v>9188</v>
      </c>
      <c r="F12234" t="s">
        <v>1</v>
      </c>
      <c r="G12234" t="s">
        <v>16234</v>
      </c>
      <c r="H12234" t="s">
        <v>47054</v>
      </c>
      <c r="I12234" t="s">
        <v>47120</v>
      </c>
      <c r="J12234" t="s">
        <v>47121</v>
      </c>
      <c r="K12234" t="s">
        <v>47113</v>
      </c>
      <c r="L12234">
        <v>21.22</v>
      </c>
      <c r="M12234">
        <v>52</v>
      </c>
      <c r="N12234">
        <v>0</v>
      </c>
      <c r="O12234">
        <v>52</v>
      </c>
      <c r="P12234">
        <v>0</v>
      </c>
    </row>
    <row r="12235" spans="1:16" x14ac:dyDescent="0.25">
      <c r="A12235" t="s">
        <v>34915</v>
      </c>
      <c r="B12235" t="s">
        <v>9193</v>
      </c>
      <c r="C12235" t="s">
        <v>9194</v>
      </c>
      <c r="D12235" t="str">
        <f>"6429"</f>
        <v>6429</v>
      </c>
      <c r="E12235" t="s">
        <v>9195</v>
      </c>
      <c r="F12235" t="s">
        <v>1</v>
      </c>
      <c r="G12235" t="s">
        <v>16234</v>
      </c>
      <c r="H12235" t="s">
        <v>47054</v>
      </c>
      <c r="I12235" t="s">
        <v>47120</v>
      </c>
      <c r="J12235" t="s">
        <v>47121</v>
      </c>
      <c r="K12235" t="s">
        <v>47113</v>
      </c>
      <c r="L12235">
        <v>21.22</v>
      </c>
      <c r="M12235">
        <v>52</v>
      </c>
      <c r="N12235">
        <v>0</v>
      </c>
      <c r="O12235">
        <v>52</v>
      </c>
      <c r="P12235">
        <v>0</v>
      </c>
    </row>
    <row r="12236" spans="1:16" x14ac:dyDescent="0.25">
      <c r="A12236" t="s">
        <v>34916</v>
      </c>
      <c r="B12236" t="s">
        <v>9196</v>
      </c>
      <c r="C12236" t="s">
        <v>5821</v>
      </c>
      <c r="D12236" t="str">
        <f>"1432"</f>
        <v>1432</v>
      </c>
      <c r="E12236" t="s">
        <v>9197</v>
      </c>
      <c r="F12236" t="s">
        <v>1</v>
      </c>
      <c r="G12236" t="s">
        <v>16234</v>
      </c>
      <c r="H12236" t="s">
        <v>47054</v>
      </c>
      <c r="I12236" t="s">
        <v>47120</v>
      </c>
      <c r="J12236" t="s">
        <v>47121</v>
      </c>
      <c r="K12236" t="s">
        <v>47113</v>
      </c>
      <c r="L12236">
        <v>27.63</v>
      </c>
      <c r="M12236">
        <v>68</v>
      </c>
      <c r="N12236">
        <v>0</v>
      </c>
      <c r="O12236">
        <v>68</v>
      </c>
      <c r="P12236">
        <v>0</v>
      </c>
    </row>
    <row r="12237" spans="1:16" x14ac:dyDescent="0.25">
      <c r="A12237" t="s">
        <v>34917</v>
      </c>
      <c r="B12237" t="s">
        <v>9198</v>
      </c>
      <c r="C12237" t="s">
        <v>9199</v>
      </c>
      <c r="D12237" t="str">
        <f>"1419"</f>
        <v>1419</v>
      </c>
      <c r="E12237" t="s">
        <v>2899</v>
      </c>
      <c r="F12237" t="s">
        <v>0</v>
      </c>
      <c r="G12237" t="s">
        <v>16235</v>
      </c>
      <c r="H12237" t="s">
        <v>47054</v>
      </c>
      <c r="I12237" t="s">
        <v>47118</v>
      </c>
      <c r="J12237" t="s">
        <v>47119</v>
      </c>
      <c r="K12237" t="s">
        <v>47113</v>
      </c>
      <c r="L12237">
        <v>32.92</v>
      </c>
      <c r="M12237">
        <v>68</v>
      </c>
      <c r="N12237">
        <v>0</v>
      </c>
      <c r="O12237">
        <v>68</v>
      </c>
      <c r="P12237">
        <v>0</v>
      </c>
    </row>
    <row r="12238" spans="1:16" x14ac:dyDescent="0.25">
      <c r="A12238" t="s">
        <v>34918</v>
      </c>
      <c r="B12238" t="s">
        <v>9200</v>
      </c>
      <c r="C12238" t="s">
        <v>9201</v>
      </c>
      <c r="D12238" t="str">
        <f>"1429"</f>
        <v>1429</v>
      </c>
      <c r="E12238" t="s">
        <v>9202</v>
      </c>
      <c r="F12238" t="s">
        <v>1</v>
      </c>
      <c r="G12238" t="s">
        <v>16233</v>
      </c>
      <c r="H12238" t="s">
        <v>47054</v>
      </c>
      <c r="I12238" t="s">
        <v>47136</v>
      </c>
      <c r="J12238" t="s">
        <v>47137</v>
      </c>
      <c r="K12238" t="s">
        <v>47113</v>
      </c>
      <c r="L12238">
        <v>29.79</v>
      </c>
      <c r="M12238">
        <v>73</v>
      </c>
      <c r="N12238">
        <v>0</v>
      </c>
      <c r="O12238">
        <v>73</v>
      </c>
      <c r="P12238">
        <v>0</v>
      </c>
    </row>
    <row r="12239" spans="1:16" x14ac:dyDescent="0.25">
      <c r="A12239" t="s">
        <v>34919</v>
      </c>
      <c r="B12239" t="s">
        <v>9200</v>
      </c>
      <c r="C12239" t="s">
        <v>9201</v>
      </c>
      <c r="D12239" t="str">
        <f>"2675"</f>
        <v>2675</v>
      </c>
      <c r="E12239" t="s">
        <v>9203</v>
      </c>
      <c r="F12239" t="s">
        <v>1</v>
      </c>
      <c r="G12239" t="s">
        <v>16233</v>
      </c>
      <c r="H12239" t="s">
        <v>47054</v>
      </c>
      <c r="I12239" t="s">
        <v>47136</v>
      </c>
      <c r="J12239" t="s">
        <v>47137</v>
      </c>
      <c r="K12239" t="s">
        <v>47113</v>
      </c>
      <c r="L12239">
        <v>29.79</v>
      </c>
      <c r="M12239">
        <v>73</v>
      </c>
      <c r="N12239">
        <v>0</v>
      </c>
      <c r="O12239">
        <v>73</v>
      </c>
      <c r="P12239">
        <v>0</v>
      </c>
    </row>
    <row r="12240" spans="1:16" x14ac:dyDescent="0.25">
      <c r="A12240" t="s">
        <v>34920</v>
      </c>
      <c r="B12240" t="s">
        <v>14275</v>
      </c>
      <c r="C12240" t="s">
        <v>14276</v>
      </c>
      <c r="D12240" t="str">
        <f>"3513"</f>
        <v>3513</v>
      </c>
      <c r="E12240" t="s">
        <v>14277</v>
      </c>
      <c r="F12240" t="s">
        <v>1</v>
      </c>
      <c r="G12240" t="s">
        <v>16233</v>
      </c>
      <c r="H12240" t="s">
        <v>47054</v>
      </c>
      <c r="I12240" t="s">
        <v>47136</v>
      </c>
      <c r="J12240" t="s">
        <v>47137</v>
      </c>
      <c r="K12240" t="s">
        <v>47113</v>
      </c>
      <c r="L12240">
        <v>29.95</v>
      </c>
      <c r="M12240">
        <v>49</v>
      </c>
      <c r="N12240">
        <v>0</v>
      </c>
      <c r="O12240">
        <v>49</v>
      </c>
      <c r="P12240">
        <v>0</v>
      </c>
    </row>
    <row r="12241" spans="1:16" x14ac:dyDescent="0.25">
      <c r="A12241" t="s">
        <v>34921</v>
      </c>
      <c r="B12241" t="s">
        <v>14455</v>
      </c>
      <c r="C12241" t="s">
        <v>14279</v>
      </c>
      <c r="D12241" t="str">
        <f>"3071"</f>
        <v>3071</v>
      </c>
      <c r="E12241" t="s">
        <v>14454</v>
      </c>
      <c r="F12241" t="s">
        <v>3670</v>
      </c>
      <c r="G12241" t="s">
        <v>16233</v>
      </c>
      <c r="H12241" t="s">
        <v>47071</v>
      </c>
      <c r="I12241" t="s">
        <v>47136</v>
      </c>
      <c r="J12241" t="s">
        <v>47137</v>
      </c>
      <c r="K12241" t="s">
        <v>47113</v>
      </c>
      <c r="L12241">
        <v>27.95</v>
      </c>
      <c r="M12241">
        <v>45</v>
      </c>
      <c r="N12241">
        <v>0</v>
      </c>
      <c r="O12241">
        <v>45</v>
      </c>
      <c r="P12241">
        <v>0</v>
      </c>
    </row>
    <row r="12242" spans="1:16" x14ac:dyDescent="0.25">
      <c r="A12242" t="s">
        <v>34922</v>
      </c>
      <c r="B12242" t="s">
        <v>14278</v>
      </c>
      <c r="C12242" t="s">
        <v>14279</v>
      </c>
      <c r="D12242" t="str">
        <f>"1001"</f>
        <v>1001</v>
      </c>
      <c r="E12242" t="s">
        <v>42</v>
      </c>
      <c r="F12242" t="s">
        <v>3670</v>
      </c>
      <c r="G12242" t="s">
        <v>16233</v>
      </c>
      <c r="H12242" t="s">
        <v>47071</v>
      </c>
      <c r="I12242" t="s">
        <v>47136</v>
      </c>
      <c r="J12242" t="s">
        <v>47137</v>
      </c>
      <c r="K12242" t="s">
        <v>47113</v>
      </c>
      <c r="L12242">
        <v>26.52</v>
      </c>
      <c r="M12242">
        <v>43</v>
      </c>
      <c r="N12242">
        <v>0</v>
      </c>
      <c r="O12242">
        <v>43</v>
      </c>
      <c r="P12242">
        <v>0</v>
      </c>
    </row>
    <row r="12243" spans="1:16" x14ac:dyDescent="0.25">
      <c r="A12243" t="s">
        <v>34923</v>
      </c>
      <c r="B12243" t="s">
        <v>14278</v>
      </c>
      <c r="C12243" t="s">
        <v>14279</v>
      </c>
      <c r="D12243" t="str">
        <f>"1700"</f>
        <v>1700</v>
      </c>
      <c r="E12243" t="s">
        <v>60</v>
      </c>
      <c r="F12243" t="s">
        <v>3670</v>
      </c>
      <c r="G12243" t="s">
        <v>16233</v>
      </c>
      <c r="H12243" t="s">
        <v>47071</v>
      </c>
      <c r="I12243" t="s">
        <v>47136</v>
      </c>
      <c r="J12243" t="s">
        <v>47137</v>
      </c>
      <c r="K12243" t="s">
        <v>47113</v>
      </c>
      <c r="L12243">
        <v>26.52</v>
      </c>
      <c r="M12243">
        <v>43</v>
      </c>
      <c r="N12243">
        <v>0</v>
      </c>
      <c r="O12243">
        <v>43</v>
      </c>
      <c r="P12243">
        <v>0</v>
      </c>
    </row>
    <row r="12244" spans="1:16" x14ac:dyDescent="0.25">
      <c r="A12244" t="s">
        <v>34924</v>
      </c>
      <c r="B12244" t="s">
        <v>14278</v>
      </c>
      <c r="C12244" t="s">
        <v>14279</v>
      </c>
      <c r="D12244" t="str">
        <f>"4930"</f>
        <v>4930</v>
      </c>
      <c r="E12244" t="s">
        <v>7389</v>
      </c>
      <c r="F12244" t="s">
        <v>3670</v>
      </c>
      <c r="G12244" t="s">
        <v>16233</v>
      </c>
      <c r="H12244" t="s">
        <v>47071</v>
      </c>
      <c r="I12244" t="s">
        <v>47136</v>
      </c>
      <c r="J12244" t="s">
        <v>47137</v>
      </c>
      <c r="K12244" t="s">
        <v>47113</v>
      </c>
      <c r="L12244">
        <v>26.52</v>
      </c>
      <c r="M12244">
        <v>43</v>
      </c>
      <c r="N12244">
        <v>0</v>
      </c>
      <c r="O12244">
        <v>43</v>
      </c>
      <c r="P12244">
        <v>0</v>
      </c>
    </row>
    <row r="12245" spans="1:16" x14ac:dyDescent="0.25">
      <c r="A12245" t="s">
        <v>34925</v>
      </c>
      <c r="B12245" t="s">
        <v>14278</v>
      </c>
      <c r="C12245" t="s">
        <v>14279</v>
      </c>
      <c r="D12245" t="str">
        <f>"6000"</f>
        <v>6000</v>
      </c>
      <c r="E12245" t="s">
        <v>238</v>
      </c>
      <c r="F12245" t="s">
        <v>3670</v>
      </c>
      <c r="G12245" t="s">
        <v>16233</v>
      </c>
      <c r="H12245" t="s">
        <v>47071</v>
      </c>
      <c r="I12245" t="s">
        <v>47136</v>
      </c>
      <c r="J12245" t="s">
        <v>47137</v>
      </c>
      <c r="K12245" t="s">
        <v>47113</v>
      </c>
      <c r="L12245">
        <v>26.52</v>
      </c>
      <c r="M12245">
        <v>43</v>
      </c>
      <c r="N12245">
        <v>0</v>
      </c>
      <c r="O12245">
        <v>43</v>
      </c>
      <c r="P12245">
        <v>0</v>
      </c>
    </row>
    <row r="12246" spans="1:16" x14ac:dyDescent="0.25">
      <c r="A12246" t="s">
        <v>34926</v>
      </c>
      <c r="B12246" t="s">
        <v>14280</v>
      </c>
      <c r="C12246" t="s">
        <v>14281</v>
      </c>
      <c r="D12246" t="str">
        <f>"1096"</f>
        <v>1096</v>
      </c>
      <c r="E12246" t="s">
        <v>14282</v>
      </c>
      <c r="F12246" t="s">
        <v>3670</v>
      </c>
      <c r="G12246" t="s">
        <v>16233</v>
      </c>
      <c r="H12246" t="s">
        <v>47071</v>
      </c>
      <c r="I12246" t="s">
        <v>47136</v>
      </c>
      <c r="J12246" t="s">
        <v>47137</v>
      </c>
      <c r="K12246" t="s">
        <v>47113</v>
      </c>
      <c r="L12246">
        <v>27.95</v>
      </c>
      <c r="M12246">
        <v>45</v>
      </c>
      <c r="N12246">
        <v>0</v>
      </c>
      <c r="O12246">
        <v>45</v>
      </c>
      <c r="P12246">
        <v>0</v>
      </c>
    </row>
    <row r="12247" spans="1:16" x14ac:dyDescent="0.25">
      <c r="A12247" t="s">
        <v>34927</v>
      </c>
      <c r="B12247" t="s">
        <v>14280</v>
      </c>
      <c r="C12247" t="s">
        <v>14281</v>
      </c>
      <c r="D12247" t="str">
        <f>"3339"</f>
        <v>3339</v>
      </c>
      <c r="E12247" t="s">
        <v>14283</v>
      </c>
      <c r="F12247" t="s">
        <v>3670</v>
      </c>
      <c r="G12247" t="s">
        <v>16233</v>
      </c>
      <c r="H12247" t="s">
        <v>47071</v>
      </c>
      <c r="I12247" t="s">
        <v>47136</v>
      </c>
      <c r="J12247" t="s">
        <v>47137</v>
      </c>
      <c r="K12247" t="s">
        <v>47113</v>
      </c>
      <c r="L12247">
        <v>27.95</v>
      </c>
      <c r="M12247">
        <v>45</v>
      </c>
      <c r="N12247">
        <v>0</v>
      </c>
      <c r="O12247">
        <v>45</v>
      </c>
      <c r="P12247">
        <v>0</v>
      </c>
    </row>
    <row r="12248" spans="1:16" x14ac:dyDescent="0.25">
      <c r="A12248" t="s">
        <v>34928</v>
      </c>
      <c r="B12248" t="s">
        <v>14280</v>
      </c>
      <c r="C12248" t="s">
        <v>14281</v>
      </c>
      <c r="D12248" t="str">
        <f>"4143"</f>
        <v>4143</v>
      </c>
      <c r="E12248" t="s">
        <v>14284</v>
      </c>
      <c r="F12248" t="s">
        <v>3750</v>
      </c>
      <c r="G12248" t="s">
        <v>16233</v>
      </c>
      <c r="H12248" t="s">
        <v>47071</v>
      </c>
      <c r="I12248" t="s">
        <v>47136</v>
      </c>
      <c r="J12248" t="s">
        <v>47137</v>
      </c>
      <c r="K12248" t="s">
        <v>47113</v>
      </c>
      <c r="L12248">
        <v>27.95</v>
      </c>
      <c r="M12248">
        <v>45</v>
      </c>
      <c r="N12248">
        <v>0</v>
      </c>
      <c r="O12248">
        <v>45</v>
      </c>
      <c r="P12248">
        <v>0</v>
      </c>
    </row>
    <row r="12249" spans="1:16" x14ac:dyDescent="0.25">
      <c r="A12249" t="s">
        <v>34929</v>
      </c>
      <c r="B12249" t="s">
        <v>14285</v>
      </c>
      <c r="C12249" t="s">
        <v>14286</v>
      </c>
      <c r="D12249" t="str">
        <f>"1001"</f>
        <v>1001</v>
      </c>
      <c r="E12249" t="s">
        <v>42</v>
      </c>
      <c r="F12249" t="s">
        <v>3670</v>
      </c>
      <c r="G12249" t="s">
        <v>16233</v>
      </c>
      <c r="H12249" t="s">
        <v>47071</v>
      </c>
      <c r="I12249" t="s">
        <v>47136</v>
      </c>
      <c r="J12249" t="s">
        <v>47137</v>
      </c>
      <c r="K12249" t="s">
        <v>47113</v>
      </c>
      <c r="L12249">
        <v>24.57</v>
      </c>
      <c r="M12249">
        <v>40</v>
      </c>
      <c r="N12249">
        <v>0</v>
      </c>
      <c r="O12249">
        <v>40</v>
      </c>
      <c r="P12249">
        <v>0</v>
      </c>
    </row>
    <row r="12250" spans="1:16" x14ac:dyDescent="0.25">
      <c r="A12250" t="s">
        <v>34930</v>
      </c>
      <c r="B12250" t="s">
        <v>14287</v>
      </c>
      <c r="C12250" t="s">
        <v>14288</v>
      </c>
      <c r="D12250" t="str">
        <f>"1001"</f>
        <v>1001</v>
      </c>
      <c r="E12250" t="s">
        <v>42</v>
      </c>
      <c r="F12250" t="s">
        <v>3670</v>
      </c>
      <c r="G12250" t="s">
        <v>16233</v>
      </c>
      <c r="H12250" t="s">
        <v>47071</v>
      </c>
      <c r="I12250" t="s">
        <v>47136</v>
      </c>
      <c r="J12250" t="s">
        <v>47137</v>
      </c>
      <c r="K12250" t="s">
        <v>47113</v>
      </c>
      <c r="L12250">
        <v>24.15</v>
      </c>
      <c r="M12250">
        <v>39</v>
      </c>
      <c r="N12250">
        <v>0</v>
      </c>
      <c r="O12250">
        <v>39</v>
      </c>
      <c r="P12250">
        <v>0</v>
      </c>
    </row>
    <row r="12251" spans="1:16" x14ac:dyDescent="0.25">
      <c r="A12251" t="s">
        <v>34931</v>
      </c>
      <c r="B12251" t="s">
        <v>14287</v>
      </c>
      <c r="C12251" t="s">
        <v>14288</v>
      </c>
      <c r="D12251" t="str">
        <f>"1700"</f>
        <v>1700</v>
      </c>
      <c r="E12251" t="s">
        <v>60</v>
      </c>
      <c r="F12251" t="s">
        <v>3670</v>
      </c>
      <c r="G12251" t="s">
        <v>16233</v>
      </c>
      <c r="H12251" t="s">
        <v>47071</v>
      </c>
      <c r="I12251" t="s">
        <v>47136</v>
      </c>
      <c r="J12251" t="s">
        <v>47137</v>
      </c>
      <c r="K12251" t="s">
        <v>47113</v>
      </c>
      <c r="L12251">
        <v>24.15</v>
      </c>
      <c r="M12251">
        <v>39</v>
      </c>
      <c r="N12251">
        <v>0</v>
      </c>
      <c r="O12251">
        <v>39</v>
      </c>
      <c r="P12251">
        <v>0</v>
      </c>
    </row>
    <row r="12252" spans="1:16" x14ac:dyDescent="0.25">
      <c r="A12252" t="s">
        <v>34932</v>
      </c>
      <c r="B12252" t="s">
        <v>14287</v>
      </c>
      <c r="C12252" t="s">
        <v>14288</v>
      </c>
      <c r="D12252" t="str">
        <f>"6000"</f>
        <v>6000</v>
      </c>
      <c r="E12252" t="s">
        <v>238</v>
      </c>
      <c r="F12252" t="s">
        <v>3670</v>
      </c>
      <c r="G12252" t="s">
        <v>16233</v>
      </c>
      <c r="H12252" t="s">
        <v>47071</v>
      </c>
      <c r="I12252" t="s">
        <v>47136</v>
      </c>
      <c r="J12252" t="s">
        <v>47137</v>
      </c>
      <c r="K12252" t="s">
        <v>47113</v>
      </c>
      <c r="L12252">
        <v>24.15</v>
      </c>
      <c r="M12252">
        <v>39</v>
      </c>
      <c r="N12252">
        <v>0</v>
      </c>
      <c r="O12252">
        <v>39</v>
      </c>
      <c r="P12252">
        <v>0</v>
      </c>
    </row>
    <row r="12253" spans="1:16" x14ac:dyDescent="0.25">
      <c r="A12253" t="s">
        <v>34933</v>
      </c>
      <c r="B12253" t="s">
        <v>14289</v>
      </c>
      <c r="C12253" t="s">
        <v>14290</v>
      </c>
      <c r="D12253" t="str">
        <f>"4185"</f>
        <v>4185</v>
      </c>
      <c r="E12253" t="s">
        <v>14291</v>
      </c>
      <c r="F12253" t="s">
        <v>3670</v>
      </c>
      <c r="G12253" t="s">
        <v>16233</v>
      </c>
      <c r="H12253" t="s">
        <v>47071</v>
      </c>
      <c r="I12253" t="s">
        <v>47136</v>
      </c>
      <c r="J12253" t="s">
        <v>47137</v>
      </c>
      <c r="K12253" t="s">
        <v>47113</v>
      </c>
      <c r="L12253">
        <v>32.020000000000003</v>
      </c>
      <c r="M12253">
        <v>52</v>
      </c>
      <c r="N12253">
        <v>0</v>
      </c>
      <c r="O12253">
        <v>52</v>
      </c>
      <c r="P12253">
        <v>0</v>
      </c>
    </row>
    <row r="12254" spans="1:16" x14ac:dyDescent="0.25">
      <c r="A12254" t="s">
        <v>34934</v>
      </c>
      <c r="B12254" t="s">
        <v>9204</v>
      </c>
      <c r="C12254" t="s">
        <v>9205</v>
      </c>
      <c r="D12254" t="s">
        <v>143</v>
      </c>
      <c r="E12254" t="s">
        <v>144</v>
      </c>
      <c r="F12254" t="s">
        <v>145</v>
      </c>
      <c r="G12254" t="s">
        <v>48499</v>
      </c>
      <c r="H12254" t="s">
        <v>47054</v>
      </c>
      <c r="I12254" t="s">
        <v>47111</v>
      </c>
      <c r="J12254" t="s">
        <v>47112</v>
      </c>
      <c r="K12254" t="s">
        <v>47113</v>
      </c>
      <c r="L12254">
        <v>9.34</v>
      </c>
      <c r="M12254">
        <v>15</v>
      </c>
      <c r="N12254">
        <v>0</v>
      </c>
      <c r="O12254">
        <v>15</v>
      </c>
      <c r="P12254">
        <v>0</v>
      </c>
    </row>
    <row r="12255" spans="1:16" x14ac:dyDescent="0.25">
      <c r="A12255" t="s">
        <v>34935</v>
      </c>
      <c r="B12255" t="s">
        <v>9206</v>
      </c>
      <c r="C12255" t="s">
        <v>9207</v>
      </c>
      <c r="D12255" t="s">
        <v>143</v>
      </c>
      <c r="E12255" t="s">
        <v>144</v>
      </c>
      <c r="F12255" t="s">
        <v>145</v>
      </c>
      <c r="G12255" t="s">
        <v>48499</v>
      </c>
      <c r="H12255" t="s">
        <v>47054</v>
      </c>
      <c r="I12255" t="s">
        <v>47111</v>
      </c>
      <c r="J12255" t="s">
        <v>47112</v>
      </c>
      <c r="K12255" t="s">
        <v>47113</v>
      </c>
      <c r="L12255">
        <v>9.34</v>
      </c>
      <c r="M12255">
        <v>15</v>
      </c>
      <c r="N12255">
        <v>0</v>
      </c>
      <c r="O12255">
        <v>15</v>
      </c>
      <c r="P12255">
        <v>0</v>
      </c>
    </row>
    <row r="12256" spans="1:16" x14ac:dyDescent="0.25">
      <c r="A12256" t="s">
        <v>34936</v>
      </c>
      <c r="B12256" t="s">
        <v>9208</v>
      </c>
      <c r="C12256" t="s">
        <v>9205</v>
      </c>
      <c r="D12256" t="s">
        <v>143</v>
      </c>
      <c r="E12256" t="s">
        <v>144</v>
      </c>
      <c r="F12256" t="s">
        <v>145</v>
      </c>
      <c r="G12256" t="s">
        <v>48499</v>
      </c>
      <c r="H12256" t="s">
        <v>47054</v>
      </c>
      <c r="I12256" t="s">
        <v>47111</v>
      </c>
      <c r="J12256" t="s">
        <v>47112</v>
      </c>
      <c r="K12256" t="s">
        <v>47113</v>
      </c>
      <c r="L12256">
        <v>9.34</v>
      </c>
      <c r="M12256">
        <v>15</v>
      </c>
      <c r="N12256">
        <v>0</v>
      </c>
      <c r="O12256">
        <v>15</v>
      </c>
      <c r="P12256">
        <v>0</v>
      </c>
    </row>
    <row r="12257" spans="1:16" x14ac:dyDescent="0.25">
      <c r="A12257" t="s">
        <v>34937</v>
      </c>
      <c r="B12257" t="s">
        <v>9209</v>
      </c>
      <c r="C12257" t="s">
        <v>9210</v>
      </c>
      <c r="D12257" t="s">
        <v>143</v>
      </c>
      <c r="E12257" t="s">
        <v>144</v>
      </c>
      <c r="F12257" t="s">
        <v>145</v>
      </c>
      <c r="G12257" t="s">
        <v>48499</v>
      </c>
      <c r="H12257" t="s">
        <v>47054</v>
      </c>
      <c r="I12257" t="s">
        <v>47111</v>
      </c>
      <c r="J12257" t="s">
        <v>47112</v>
      </c>
      <c r="K12257" t="s">
        <v>47113</v>
      </c>
      <c r="L12257">
        <v>9.34</v>
      </c>
      <c r="M12257">
        <v>15</v>
      </c>
      <c r="N12257">
        <v>0</v>
      </c>
      <c r="O12257">
        <v>15</v>
      </c>
      <c r="P12257">
        <v>0</v>
      </c>
    </row>
    <row r="12258" spans="1:16" x14ac:dyDescent="0.25">
      <c r="A12258" t="s">
        <v>34938</v>
      </c>
      <c r="B12258" t="s">
        <v>9211</v>
      </c>
      <c r="C12258" t="s">
        <v>9212</v>
      </c>
      <c r="D12258" t="s">
        <v>143</v>
      </c>
      <c r="E12258" t="s">
        <v>144</v>
      </c>
      <c r="F12258" t="s">
        <v>145</v>
      </c>
      <c r="G12258" t="s">
        <v>48499</v>
      </c>
      <c r="H12258" t="s">
        <v>47054</v>
      </c>
      <c r="I12258" t="s">
        <v>47116</v>
      </c>
      <c r="J12258" t="s">
        <v>47117</v>
      </c>
      <c r="K12258" t="s">
        <v>47113</v>
      </c>
      <c r="L12258">
        <v>9.34</v>
      </c>
      <c r="M12258">
        <v>15</v>
      </c>
      <c r="N12258">
        <v>0</v>
      </c>
      <c r="O12258">
        <v>15</v>
      </c>
      <c r="P12258">
        <v>0</v>
      </c>
    </row>
    <row r="12259" spans="1:16" x14ac:dyDescent="0.25">
      <c r="A12259" t="s">
        <v>34939</v>
      </c>
      <c r="B12259" t="s">
        <v>9213</v>
      </c>
      <c r="C12259" t="s">
        <v>9214</v>
      </c>
      <c r="D12259" t="s">
        <v>143</v>
      </c>
      <c r="E12259" t="s">
        <v>144</v>
      </c>
      <c r="F12259" t="s">
        <v>145</v>
      </c>
      <c r="G12259" t="s">
        <v>48499</v>
      </c>
      <c r="H12259" t="s">
        <v>47054</v>
      </c>
      <c r="I12259" t="s">
        <v>47111</v>
      </c>
      <c r="J12259" t="s">
        <v>47112</v>
      </c>
      <c r="K12259" t="s">
        <v>47113</v>
      </c>
      <c r="L12259">
        <v>9.34</v>
      </c>
      <c r="M12259">
        <v>15</v>
      </c>
      <c r="N12259">
        <v>0</v>
      </c>
      <c r="O12259">
        <v>15</v>
      </c>
      <c r="P12259">
        <v>0</v>
      </c>
    </row>
    <row r="12260" spans="1:16" x14ac:dyDescent="0.25">
      <c r="A12260" t="s">
        <v>34940</v>
      </c>
      <c r="B12260" t="s">
        <v>9215</v>
      </c>
      <c r="C12260" t="s">
        <v>9216</v>
      </c>
      <c r="D12260" t="s">
        <v>143</v>
      </c>
      <c r="E12260" t="s">
        <v>144</v>
      </c>
      <c r="F12260" t="s">
        <v>145</v>
      </c>
      <c r="G12260" t="s">
        <v>48499</v>
      </c>
      <c r="H12260" t="s">
        <v>47054</v>
      </c>
      <c r="I12260" t="s">
        <v>47111</v>
      </c>
      <c r="J12260" t="s">
        <v>47112</v>
      </c>
      <c r="K12260" t="s">
        <v>47113</v>
      </c>
      <c r="L12260">
        <v>9.34</v>
      </c>
      <c r="M12260">
        <v>15</v>
      </c>
      <c r="N12260">
        <v>0</v>
      </c>
      <c r="O12260">
        <v>15</v>
      </c>
      <c r="P12260">
        <v>0</v>
      </c>
    </row>
    <row r="12261" spans="1:16" x14ac:dyDescent="0.25">
      <c r="A12261" t="s">
        <v>34941</v>
      </c>
      <c r="B12261" t="s">
        <v>9217</v>
      </c>
      <c r="C12261" t="s">
        <v>20912</v>
      </c>
      <c r="D12261" t="s">
        <v>143</v>
      </c>
      <c r="E12261" t="s">
        <v>144</v>
      </c>
      <c r="F12261" t="s">
        <v>145</v>
      </c>
      <c r="G12261" t="s">
        <v>48499</v>
      </c>
      <c r="H12261" t="s">
        <v>47054</v>
      </c>
      <c r="I12261" t="s">
        <v>47114</v>
      </c>
      <c r="J12261" t="s">
        <v>47115</v>
      </c>
      <c r="K12261" t="s">
        <v>47113</v>
      </c>
      <c r="L12261">
        <v>9.34</v>
      </c>
      <c r="M12261">
        <v>15</v>
      </c>
      <c r="N12261">
        <v>0</v>
      </c>
      <c r="O12261">
        <v>15</v>
      </c>
      <c r="P12261">
        <v>0</v>
      </c>
    </row>
    <row r="12262" spans="1:16" x14ac:dyDescent="0.25">
      <c r="A12262" t="s">
        <v>34942</v>
      </c>
      <c r="B12262" t="s">
        <v>9219</v>
      </c>
      <c r="C12262" t="s">
        <v>9216</v>
      </c>
      <c r="D12262" t="s">
        <v>143</v>
      </c>
      <c r="E12262" t="s">
        <v>144</v>
      </c>
      <c r="F12262" t="s">
        <v>145</v>
      </c>
      <c r="G12262" t="s">
        <v>48499</v>
      </c>
      <c r="H12262" t="s">
        <v>47054</v>
      </c>
      <c r="I12262" t="s">
        <v>47111</v>
      </c>
      <c r="J12262" t="s">
        <v>47112</v>
      </c>
      <c r="K12262" t="s">
        <v>47113</v>
      </c>
      <c r="L12262">
        <v>9.34</v>
      </c>
      <c r="M12262">
        <v>15</v>
      </c>
      <c r="N12262">
        <v>0</v>
      </c>
      <c r="O12262">
        <v>15</v>
      </c>
      <c r="P12262">
        <v>0</v>
      </c>
    </row>
    <row r="12263" spans="1:16" x14ac:dyDescent="0.25">
      <c r="A12263" t="s">
        <v>34943</v>
      </c>
      <c r="B12263" t="s">
        <v>9220</v>
      </c>
      <c r="C12263" t="s">
        <v>9216</v>
      </c>
      <c r="D12263" t="str">
        <f>"9998"</f>
        <v>9998</v>
      </c>
      <c r="E12263" t="s">
        <v>9221</v>
      </c>
      <c r="F12263" t="s">
        <v>145</v>
      </c>
      <c r="G12263" t="s">
        <v>48499</v>
      </c>
      <c r="H12263" t="s">
        <v>47054</v>
      </c>
      <c r="I12263" t="s">
        <v>47111</v>
      </c>
      <c r="J12263" t="s">
        <v>47112</v>
      </c>
      <c r="K12263" t="s">
        <v>47113</v>
      </c>
      <c r="L12263">
        <v>9.34</v>
      </c>
      <c r="M12263">
        <v>15</v>
      </c>
      <c r="N12263">
        <v>0</v>
      </c>
      <c r="O12263">
        <v>15</v>
      </c>
      <c r="P12263">
        <v>0</v>
      </c>
    </row>
    <row r="12264" spans="1:16" x14ac:dyDescent="0.25">
      <c r="A12264" t="s">
        <v>34944</v>
      </c>
      <c r="B12264" t="s">
        <v>9220</v>
      </c>
      <c r="C12264" t="s">
        <v>9216</v>
      </c>
      <c r="D12264" t="s">
        <v>143</v>
      </c>
      <c r="E12264" t="s">
        <v>144</v>
      </c>
      <c r="F12264" t="s">
        <v>145</v>
      </c>
      <c r="G12264" t="s">
        <v>48499</v>
      </c>
      <c r="H12264" t="s">
        <v>47054</v>
      </c>
      <c r="I12264" t="s">
        <v>47111</v>
      </c>
      <c r="J12264" t="s">
        <v>47112</v>
      </c>
      <c r="K12264" t="s">
        <v>47113</v>
      </c>
      <c r="L12264">
        <v>9.34</v>
      </c>
      <c r="M12264">
        <v>15</v>
      </c>
      <c r="N12264">
        <v>0</v>
      </c>
      <c r="O12264">
        <v>15</v>
      </c>
      <c r="P12264">
        <v>0</v>
      </c>
    </row>
    <row r="12265" spans="1:16" x14ac:dyDescent="0.25">
      <c r="A12265" t="s">
        <v>34945</v>
      </c>
      <c r="B12265" t="s">
        <v>9222</v>
      </c>
      <c r="C12265" t="s">
        <v>9223</v>
      </c>
      <c r="D12265" t="s">
        <v>143</v>
      </c>
      <c r="E12265" t="s">
        <v>144</v>
      </c>
      <c r="F12265" t="s">
        <v>145</v>
      </c>
      <c r="G12265" t="s">
        <v>48499</v>
      </c>
      <c r="H12265" t="s">
        <v>47054</v>
      </c>
      <c r="I12265" t="s">
        <v>47111</v>
      </c>
      <c r="J12265" t="s">
        <v>47112</v>
      </c>
      <c r="K12265" t="s">
        <v>47113</v>
      </c>
      <c r="L12265">
        <v>9.34</v>
      </c>
      <c r="M12265">
        <v>15</v>
      </c>
      <c r="N12265">
        <v>0</v>
      </c>
      <c r="O12265">
        <v>15</v>
      </c>
      <c r="P12265">
        <v>0</v>
      </c>
    </row>
    <row r="12266" spans="1:16" x14ac:dyDescent="0.25">
      <c r="A12266" t="s">
        <v>34946</v>
      </c>
      <c r="B12266" t="s">
        <v>9224</v>
      </c>
      <c r="C12266" t="s">
        <v>9223</v>
      </c>
      <c r="D12266" t="s">
        <v>143</v>
      </c>
      <c r="E12266" t="s">
        <v>144</v>
      </c>
      <c r="F12266" t="s">
        <v>145</v>
      </c>
      <c r="G12266" t="s">
        <v>48499</v>
      </c>
      <c r="H12266" t="s">
        <v>47054</v>
      </c>
      <c r="I12266" t="s">
        <v>47111</v>
      </c>
      <c r="J12266" t="s">
        <v>47112</v>
      </c>
      <c r="K12266" t="s">
        <v>47113</v>
      </c>
      <c r="L12266">
        <v>9.34</v>
      </c>
      <c r="M12266">
        <v>15</v>
      </c>
      <c r="N12266">
        <v>0</v>
      </c>
      <c r="O12266">
        <v>15</v>
      </c>
      <c r="P12266">
        <v>0</v>
      </c>
    </row>
    <row r="12267" spans="1:16" x14ac:dyDescent="0.25">
      <c r="A12267" t="s">
        <v>34947</v>
      </c>
      <c r="B12267" t="s">
        <v>9225</v>
      </c>
      <c r="C12267" t="s">
        <v>9223</v>
      </c>
      <c r="D12267" t="s">
        <v>143</v>
      </c>
      <c r="E12267" t="s">
        <v>144</v>
      </c>
      <c r="F12267" t="s">
        <v>145</v>
      </c>
      <c r="G12267" t="s">
        <v>48499</v>
      </c>
      <c r="H12267" t="s">
        <v>47054</v>
      </c>
      <c r="I12267" t="s">
        <v>47111</v>
      </c>
      <c r="J12267" t="s">
        <v>47112</v>
      </c>
      <c r="K12267" t="s">
        <v>47113</v>
      </c>
      <c r="L12267">
        <v>9.34</v>
      </c>
      <c r="M12267">
        <v>15</v>
      </c>
      <c r="N12267">
        <v>0</v>
      </c>
      <c r="O12267">
        <v>15</v>
      </c>
      <c r="P12267">
        <v>0</v>
      </c>
    </row>
    <row r="12268" spans="1:16" x14ac:dyDescent="0.25">
      <c r="A12268" t="s">
        <v>34948</v>
      </c>
      <c r="B12268" t="s">
        <v>9226</v>
      </c>
      <c r="C12268" t="s">
        <v>9223</v>
      </c>
      <c r="D12268" t="s">
        <v>143</v>
      </c>
      <c r="E12268" t="s">
        <v>144</v>
      </c>
      <c r="F12268" t="s">
        <v>145</v>
      </c>
      <c r="G12268" t="s">
        <v>48499</v>
      </c>
      <c r="H12268" t="s">
        <v>47054</v>
      </c>
      <c r="I12268" t="s">
        <v>47111</v>
      </c>
      <c r="J12268" t="s">
        <v>47112</v>
      </c>
      <c r="K12268" t="s">
        <v>47113</v>
      </c>
      <c r="L12268">
        <v>9.34</v>
      </c>
      <c r="M12268">
        <v>15</v>
      </c>
      <c r="N12268">
        <v>0</v>
      </c>
      <c r="O12268">
        <v>15</v>
      </c>
      <c r="P12268">
        <v>0</v>
      </c>
    </row>
    <row r="12269" spans="1:16" x14ac:dyDescent="0.25">
      <c r="A12269" t="s">
        <v>14989</v>
      </c>
      <c r="B12269" t="s">
        <v>9227</v>
      </c>
      <c r="C12269" t="s">
        <v>9218</v>
      </c>
      <c r="D12269" t="s">
        <v>143</v>
      </c>
      <c r="E12269" t="s">
        <v>144</v>
      </c>
      <c r="F12269" t="s">
        <v>145</v>
      </c>
      <c r="G12269" t="s">
        <v>48499</v>
      </c>
      <c r="H12269" t="s">
        <v>47054</v>
      </c>
      <c r="I12269" t="s">
        <v>47111</v>
      </c>
      <c r="J12269" t="s">
        <v>47112</v>
      </c>
      <c r="K12269" t="s">
        <v>47113</v>
      </c>
      <c r="L12269">
        <v>9.34</v>
      </c>
      <c r="M12269">
        <v>15</v>
      </c>
      <c r="N12269">
        <v>0</v>
      </c>
      <c r="O12269">
        <v>15</v>
      </c>
      <c r="P12269">
        <v>0</v>
      </c>
    </row>
    <row r="12270" spans="1:16" x14ac:dyDescent="0.25">
      <c r="A12270" t="s">
        <v>34949</v>
      </c>
      <c r="B12270" t="s">
        <v>9228</v>
      </c>
      <c r="C12270" t="s">
        <v>9229</v>
      </c>
      <c r="D12270" t="s">
        <v>143</v>
      </c>
      <c r="E12270" t="s">
        <v>144</v>
      </c>
      <c r="F12270" t="s">
        <v>145</v>
      </c>
      <c r="G12270" t="s">
        <v>48499</v>
      </c>
      <c r="H12270" t="s">
        <v>47054</v>
      </c>
      <c r="I12270" t="s">
        <v>47114</v>
      </c>
      <c r="J12270" t="s">
        <v>47115</v>
      </c>
      <c r="K12270" t="s">
        <v>47113</v>
      </c>
      <c r="L12270">
        <v>9.34</v>
      </c>
      <c r="M12270">
        <v>15</v>
      </c>
      <c r="N12270">
        <v>0</v>
      </c>
      <c r="O12270">
        <v>15</v>
      </c>
      <c r="P12270">
        <v>0</v>
      </c>
    </row>
    <row r="12271" spans="1:16" x14ac:dyDescent="0.25">
      <c r="A12271" t="s">
        <v>34950</v>
      </c>
      <c r="B12271" t="s">
        <v>9230</v>
      </c>
      <c r="C12271" t="s">
        <v>9218</v>
      </c>
      <c r="D12271" t="s">
        <v>143</v>
      </c>
      <c r="E12271" t="s">
        <v>144</v>
      </c>
      <c r="F12271" t="s">
        <v>145</v>
      </c>
      <c r="G12271" t="s">
        <v>48499</v>
      </c>
      <c r="H12271" t="s">
        <v>47054</v>
      </c>
      <c r="I12271" t="s">
        <v>47114</v>
      </c>
      <c r="J12271" t="s">
        <v>47115</v>
      </c>
      <c r="K12271" t="s">
        <v>47113</v>
      </c>
      <c r="L12271">
        <v>9.34</v>
      </c>
      <c r="M12271">
        <v>15</v>
      </c>
      <c r="N12271">
        <v>0</v>
      </c>
      <c r="O12271">
        <v>15</v>
      </c>
      <c r="P12271">
        <v>0</v>
      </c>
    </row>
    <row r="12272" spans="1:16" x14ac:dyDescent="0.25">
      <c r="A12272" t="s">
        <v>34951</v>
      </c>
      <c r="B12272" t="s">
        <v>9231</v>
      </c>
      <c r="C12272" t="s">
        <v>9232</v>
      </c>
      <c r="D12272" t="s">
        <v>143</v>
      </c>
      <c r="E12272" t="s">
        <v>144</v>
      </c>
      <c r="F12272" t="s">
        <v>145</v>
      </c>
      <c r="G12272" t="s">
        <v>48499</v>
      </c>
      <c r="H12272" t="s">
        <v>47054</v>
      </c>
      <c r="I12272" t="s">
        <v>47111</v>
      </c>
      <c r="J12272" t="s">
        <v>47112</v>
      </c>
      <c r="K12272" t="s">
        <v>47113</v>
      </c>
      <c r="L12272">
        <v>9.34</v>
      </c>
      <c r="M12272">
        <v>15</v>
      </c>
      <c r="N12272">
        <v>0</v>
      </c>
      <c r="O12272">
        <v>15</v>
      </c>
      <c r="P12272">
        <v>0</v>
      </c>
    </row>
    <row r="12273" spans="1:16" x14ac:dyDescent="0.25">
      <c r="A12273" t="s">
        <v>34952</v>
      </c>
      <c r="B12273" t="s">
        <v>9233</v>
      </c>
      <c r="C12273" t="s">
        <v>9234</v>
      </c>
      <c r="D12273" t="s">
        <v>143</v>
      </c>
      <c r="E12273" t="s">
        <v>144</v>
      </c>
      <c r="F12273" t="s">
        <v>145</v>
      </c>
      <c r="G12273" t="s">
        <v>48500</v>
      </c>
      <c r="H12273" t="s">
        <v>47054</v>
      </c>
      <c r="I12273" t="s">
        <v>47114</v>
      </c>
      <c r="J12273" t="s">
        <v>47115</v>
      </c>
      <c r="K12273" t="s">
        <v>47113</v>
      </c>
      <c r="L12273">
        <v>9.34</v>
      </c>
      <c r="M12273">
        <v>15</v>
      </c>
      <c r="N12273">
        <v>0</v>
      </c>
      <c r="O12273">
        <v>15</v>
      </c>
      <c r="P12273">
        <v>0</v>
      </c>
    </row>
    <row r="12274" spans="1:16" x14ac:dyDescent="0.25">
      <c r="A12274" t="s">
        <v>34953</v>
      </c>
      <c r="B12274" t="s">
        <v>9235</v>
      </c>
      <c r="C12274" t="s">
        <v>9234</v>
      </c>
      <c r="D12274" t="s">
        <v>143</v>
      </c>
      <c r="E12274" t="s">
        <v>144</v>
      </c>
      <c r="F12274" t="s">
        <v>145</v>
      </c>
      <c r="G12274" t="s">
        <v>48500</v>
      </c>
      <c r="H12274" t="s">
        <v>47054</v>
      </c>
      <c r="I12274" t="s">
        <v>47114</v>
      </c>
      <c r="J12274" t="s">
        <v>47115</v>
      </c>
      <c r="K12274" t="s">
        <v>47113</v>
      </c>
      <c r="L12274">
        <v>9.34</v>
      </c>
      <c r="M12274">
        <v>15</v>
      </c>
      <c r="N12274">
        <v>0</v>
      </c>
      <c r="O12274">
        <v>15</v>
      </c>
      <c r="P12274">
        <v>0</v>
      </c>
    </row>
    <row r="12275" spans="1:16" x14ac:dyDescent="0.25">
      <c r="A12275" t="s">
        <v>14990</v>
      </c>
      <c r="B12275" t="s">
        <v>9236</v>
      </c>
      <c r="C12275" t="s">
        <v>9237</v>
      </c>
      <c r="D12275" t="s">
        <v>143</v>
      </c>
      <c r="E12275" t="s">
        <v>144</v>
      </c>
      <c r="F12275" t="s">
        <v>145</v>
      </c>
      <c r="G12275" t="s">
        <v>48501</v>
      </c>
      <c r="H12275" t="s">
        <v>47054</v>
      </c>
      <c r="I12275" t="s">
        <v>47111</v>
      </c>
      <c r="J12275" t="s">
        <v>47112</v>
      </c>
      <c r="K12275" t="s">
        <v>47113</v>
      </c>
      <c r="L12275">
        <v>9.34</v>
      </c>
      <c r="M12275">
        <v>15</v>
      </c>
      <c r="N12275">
        <v>0</v>
      </c>
      <c r="O12275">
        <v>15</v>
      </c>
      <c r="P12275">
        <v>0</v>
      </c>
    </row>
    <row r="12276" spans="1:16" x14ac:dyDescent="0.25">
      <c r="A12276" t="s">
        <v>34954</v>
      </c>
      <c r="B12276" t="s">
        <v>9238</v>
      </c>
      <c r="C12276" t="s">
        <v>9239</v>
      </c>
      <c r="D12276" t="s">
        <v>143</v>
      </c>
      <c r="E12276" t="s">
        <v>144</v>
      </c>
      <c r="F12276" t="s">
        <v>145</v>
      </c>
      <c r="G12276" t="s">
        <v>48500</v>
      </c>
      <c r="H12276" t="s">
        <v>47054</v>
      </c>
      <c r="I12276" t="s">
        <v>47111</v>
      </c>
      <c r="J12276" t="s">
        <v>47112</v>
      </c>
      <c r="K12276" t="s">
        <v>47113</v>
      </c>
      <c r="L12276">
        <v>9.34</v>
      </c>
      <c r="M12276">
        <v>15</v>
      </c>
      <c r="N12276">
        <v>0</v>
      </c>
      <c r="O12276">
        <v>15</v>
      </c>
      <c r="P12276">
        <v>0</v>
      </c>
    </row>
    <row r="12277" spans="1:16" x14ac:dyDescent="0.25">
      <c r="A12277" t="s">
        <v>34955</v>
      </c>
      <c r="B12277" t="s">
        <v>9240</v>
      </c>
      <c r="C12277" t="s">
        <v>9241</v>
      </c>
      <c r="D12277" t="s">
        <v>143</v>
      </c>
      <c r="E12277" t="s">
        <v>144</v>
      </c>
      <c r="F12277" t="s">
        <v>145</v>
      </c>
      <c r="G12277" t="s">
        <v>48500</v>
      </c>
      <c r="H12277" t="s">
        <v>47054</v>
      </c>
      <c r="I12277" t="s">
        <v>47111</v>
      </c>
      <c r="J12277" t="s">
        <v>47112</v>
      </c>
      <c r="K12277" t="s">
        <v>47113</v>
      </c>
      <c r="L12277">
        <v>9.34</v>
      </c>
      <c r="M12277">
        <v>15</v>
      </c>
      <c r="N12277">
        <v>0</v>
      </c>
      <c r="O12277">
        <v>15</v>
      </c>
      <c r="P12277">
        <v>0</v>
      </c>
    </row>
    <row r="12278" spans="1:16" x14ac:dyDescent="0.25">
      <c r="A12278" t="s">
        <v>14991</v>
      </c>
      <c r="B12278" t="s">
        <v>9242</v>
      </c>
      <c r="C12278" t="s">
        <v>9234</v>
      </c>
      <c r="D12278" t="s">
        <v>143</v>
      </c>
      <c r="E12278" t="s">
        <v>144</v>
      </c>
      <c r="F12278" t="s">
        <v>145</v>
      </c>
      <c r="G12278" t="s">
        <v>48500</v>
      </c>
      <c r="H12278" t="s">
        <v>47054</v>
      </c>
      <c r="I12278" t="s">
        <v>47111</v>
      </c>
      <c r="J12278" t="s">
        <v>47112</v>
      </c>
      <c r="K12278" t="s">
        <v>47113</v>
      </c>
      <c r="L12278">
        <v>9.34</v>
      </c>
      <c r="M12278">
        <v>15</v>
      </c>
      <c r="N12278">
        <v>0</v>
      </c>
      <c r="O12278">
        <v>15</v>
      </c>
      <c r="P12278">
        <v>0</v>
      </c>
    </row>
    <row r="12279" spans="1:16" x14ac:dyDescent="0.25">
      <c r="A12279" t="s">
        <v>140</v>
      </c>
      <c r="B12279" t="s">
        <v>141</v>
      </c>
      <c r="C12279" t="s">
        <v>142</v>
      </c>
      <c r="D12279" t="s">
        <v>143</v>
      </c>
      <c r="E12279" t="s">
        <v>144</v>
      </c>
      <c r="F12279" t="s">
        <v>145</v>
      </c>
      <c r="G12279" t="s">
        <v>48502</v>
      </c>
      <c r="H12279" t="s">
        <v>47054</v>
      </c>
      <c r="I12279" t="s">
        <v>47111</v>
      </c>
      <c r="J12279" t="s">
        <v>47112</v>
      </c>
      <c r="K12279" t="s">
        <v>47113</v>
      </c>
      <c r="L12279">
        <v>9.34</v>
      </c>
      <c r="M12279">
        <v>15</v>
      </c>
      <c r="N12279">
        <v>0</v>
      </c>
      <c r="O12279">
        <v>15</v>
      </c>
      <c r="P12279">
        <v>0</v>
      </c>
    </row>
    <row r="12280" spans="1:16" x14ac:dyDescent="0.25">
      <c r="A12280" t="s">
        <v>34956</v>
      </c>
      <c r="B12280" t="s">
        <v>9243</v>
      </c>
      <c r="C12280" t="s">
        <v>9244</v>
      </c>
      <c r="D12280" t="s">
        <v>143</v>
      </c>
      <c r="E12280" t="s">
        <v>144</v>
      </c>
      <c r="F12280" t="s">
        <v>145</v>
      </c>
      <c r="G12280" t="s">
        <v>48502</v>
      </c>
      <c r="H12280" t="s">
        <v>47054</v>
      </c>
      <c r="I12280" t="s">
        <v>47114</v>
      </c>
      <c r="J12280" t="s">
        <v>47115</v>
      </c>
      <c r="K12280" t="s">
        <v>47113</v>
      </c>
      <c r="L12280">
        <v>9.34</v>
      </c>
      <c r="M12280">
        <v>15</v>
      </c>
      <c r="N12280">
        <v>0</v>
      </c>
      <c r="O12280">
        <v>15</v>
      </c>
      <c r="P12280">
        <v>0</v>
      </c>
    </row>
    <row r="12281" spans="1:16" x14ac:dyDescent="0.25">
      <c r="A12281" t="s">
        <v>34957</v>
      </c>
      <c r="B12281" t="s">
        <v>9245</v>
      </c>
      <c r="C12281" t="s">
        <v>9246</v>
      </c>
      <c r="D12281" t="s">
        <v>143</v>
      </c>
      <c r="E12281" t="s">
        <v>144</v>
      </c>
      <c r="F12281" t="s">
        <v>145</v>
      </c>
      <c r="G12281" t="s">
        <v>48502</v>
      </c>
      <c r="H12281" t="s">
        <v>47054</v>
      </c>
      <c r="I12281" t="s">
        <v>47111</v>
      </c>
      <c r="J12281" t="s">
        <v>47112</v>
      </c>
      <c r="K12281" t="s">
        <v>47113</v>
      </c>
      <c r="L12281">
        <v>9.34</v>
      </c>
      <c r="M12281">
        <v>15</v>
      </c>
      <c r="N12281">
        <v>0</v>
      </c>
      <c r="O12281">
        <v>15</v>
      </c>
      <c r="P12281">
        <v>0</v>
      </c>
    </row>
    <row r="12282" spans="1:16" x14ac:dyDescent="0.25">
      <c r="A12282" t="s">
        <v>34958</v>
      </c>
      <c r="B12282" t="s">
        <v>9247</v>
      </c>
      <c r="C12282" t="s">
        <v>9248</v>
      </c>
      <c r="D12282" t="s">
        <v>143</v>
      </c>
      <c r="E12282" t="s">
        <v>144</v>
      </c>
      <c r="F12282" t="s">
        <v>145</v>
      </c>
      <c r="G12282" t="s">
        <v>48503</v>
      </c>
      <c r="H12282" t="s">
        <v>47054</v>
      </c>
      <c r="I12282" t="s">
        <v>47111</v>
      </c>
      <c r="J12282" t="s">
        <v>47112</v>
      </c>
      <c r="K12282" t="s">
        <v>47113</v>
      </c>
      <c r="L12282">
        <v>9.34</v>
      </c>
      <c r="M12282">
        <v>15</v>
      </c>
      <c r="N12282">
        <v>0</v>
      </c>
      <c r="O12282">
        <v>15</v>
      </c>
      <c r="P12282">
        <v>0</v>
      </c>
    </row>
    <row r="12283" spans="1:16" x14ac:dyDescent="0.25">
      <c r="A12283" t="s">
        <v>34959</v>
      </c>
      <c r="B12283" t="s">
        <v>9249</v>
      </c>
      <c r="C12283" t="s">
        <v>9250</v>
      </c>
      <c r="D12283" t="s">
        <v>143</v>
      </c>
      <c r="E12283" t="s">
        <v>144</v>
      </c>
      <c r="F12283" t="s">
        <v>145</v>
      </c>
      <c r="G12283" t="s">
        <v>48503</v>
      </c>
      <c r="H12283" t="s">
        <v>47054</v>
      </c>
      <c r="I12283" t="s">
        <v>47111</v>
      </c>
      <c r="J12283" t="s">
        <v>47112</v>
      </c>
      <c r="K12283" t="s">
        <v>47113</v>
      </c>
      <c r="L12283">
        <v>9.34</v>
      </c>
      <c r="M12283">
        <v>15</v>
      </c>
      <c r="N12283">
        <v>0</v>
      </c>
      <c r="O12283">
        <v>15</v>
      </c>
      <c r="P12283">
        <v>0</v>
      </c>
    </row>
    <row r="12284" spans="1:16" x14ac:dyDescent="0.25">
      <c r="A12284" t="s">
        <v>34960</v>
      </c>
      <c r="B12284" t="s">
        <v>9251</v>
      </c>
      <c r="C12284" t="s">
        <v>9252</v>
      </c>
      <c r="D12284" t="s">
        <v>143</v>
      </c>
      <c r="E12284" t="s">
        <v>144</v>
      </c>
      <c r="F12284" t="s">
        <v>145</v>
      </c>
      <c r="G12284" t="s">
        <v>48504</v>
      </c>
      <c r="H12284" t="s">
        <v>47054</v>
      </c>
      <c r="I12284" t="s">
        <v>47111</v>
      </c>
      <c r="J12284" t="s">
        <v>47112</v>
      </c>
      <c r="K12284" t="s">
        <v>47113</v>
      </c>
      <c r="L12284">
        <v>9.34</v>
      </c>
      <c r="M12284">
        <v>15</v>
      </c>
      <c r="N12284">
        <v>0</v>
      </c>
      <c r="O12284">
        <v>15</v>
      </c>
      <c r="P12284">
        <v>0</v>
      </c>
    </row>
    <row r="12285" spans="1:16" x14ac:dyDescent="0.25">
      <c r="A12285" t="s">
        <v>34961</v>
      </c>
      <c r="B12285" t="s">
        <v>9253</v>
      </c>
      <c r="C12285" t="s">
        <v>9248</v>
      </c>
      <c r="D12285" t="s">
        <v>143</v>
      </c>
      <c r="E12285" t="s">
        <v>144</v>
      </c>
      <c r="F12285" t="s">
        <v>145</v>
      </c>
      <c r="G12285" t="s">
        <v>48503</v>
      </c>
      <c r="H12285" t="s">
        <v>47054</v>
      </c>
      <c r="I12285" t="s">
        <v>47111</v>
      </c>
      <c r="J12285" t="s">
        <v>47112</v>
      </c>
      <c r="K12285" t="s">
        <v>47113</v>
      </c>
      <c r="L12285">
        <v>9.34</v>
      </c>
      <c r="M12285">
        <v>15</v>
      </c>
      <c r="N12285">
        <v>0</v>
      </c>
      <c r="O12285">
        <v>15</v>
      </c>
      <c r="P12285">
        <v>0</v>
      </c>
    </row>
    <row r="12286" spans="1:16" x14ac:dyDescent="0.25">
      <c r="A12286" t="s">
        <v>34962</v>
      </c>
      <c r="B12286" t="s">
        <v>9254</v>
      </c>
      <c r="C12286" t="s">
        <v>9255</v>
      </c>
      <c r="D12286" t="s">
        <v>143</v>
      </c>
      <c r="E12286" t="s">
        <v>144</v>
      </c>
      <c r="F12286" t="s">
        <v>145</v>
      </c>
      <c r="G12286" t="s">
        <v>48503</v>
      </c>
      <c r="H12286" t="s">
        <v>47054</v>
      </c>
      <c r="I12286" t="s">
        <v>47111</v>
      </c>
      <c r="J12286" t="s">
        <v>47112</v>
      </c>
      <c r="K12286" t="s">
        <v>47113</v>
      </c>
      <c r="L12286">
        <v>9.34</v>
      </c>
      <c r="M12286">
        <v>15</v>
      </c>
      <c r="N12286">
        <v>0</v>
      </c>
      <c r="O12286">
        <v>15</v>
      </c>
      <c r="P12286">
        <v>0</v>
      </c>
    </row>
    <row r="12287" spans="1:16" x14ac:dyDescent="0.25">
      <c r="A12287" t="s">
        <v>34963</v>
      </c>
      <c r="B12287" t="s">
        <v>9256</v>
      </c>
      <c r="C12287" t="s">
        <v>9257</v>
      </c>
      <c r="D12287" t="s">
        <v>143</v>
      </c>
      <c r="E12287" t="s">
        <v>144</v>
      </c>
      <c r="F12287" t="s">
        <v>145</v>
      </c>
      <c r="G12287" t="s">
        <v>48503</v>
      </c>
      <c r="H12287" t="s">
        <v>47054</v>
      </c>
      <c r="I12287" t="s">
        <v>47111</v>
      </c>
      <c r="J12287" t="s">
        <v>47112</v>
      </c>
      <c r="K12287" t="s">
        <v>47113</v>
      </c>
      <c r="L12287">
        <v>9.34</v>
      </c>
      <c r="M12287">
        <v>15</v>
      </c>
      <c r="N12287">
        <v>0</v>
      </c>
      <c r="O12287">
        <v>15</v>
      </c>
      <c r="P12287">
        <v>0</v>
      </c>
    </row>
    <row r="12288" spans="1:16" x14ac:dyDescent="0.25">
      <c r="A12288" t="s">
        <v>34964</v>
      </c>
      <c r="B12288" t="s">
        <v>20913</v>
      </c>
      <c r="C12288" t="s">
        <v>20914</v>
      </c>
      <c r="D12288" t="s">
        <v>143</v>
      </c>
      <c r="E12288" t="s">
        <v>144</v>
      </c>
      <c r="F12288" t="s">
        <v>145</v>
      </c>
      <c r="G12288" t="s">
        <v>48505</v>
      </c>
      <c r="I12288" t="s">
        <v>47114</v>
      </c>
      <c r="J12288" t="s">
        <v>47115</v>
      </c>
      <c r="K12288" t="s">
        <v>47113</v>
      </c>
      <c r="L12288">
        <v>8</v>
      </c>
      <c r="M12288">
        <v>43</v>
      </c>
      <c r="N12288">
        <v>0</v>
      </c>
      <c r="O12288">
        <v>43</v>
      </c>
      <c r="P12288">
        <v>0</v>
      </c>
    </row>
    <row r="12289" spans="1:16" x14ac:dyDescent="0.25">
      <c r="A12289" t="s">
        <v>34965</v>
      </c>
      <c r="B12289" t="s">
        <v>20915</v>
      </c>
      <c r="C12289" t="s">
        <v>20916</v>
      </c>
      <c r="D12289" t="s">
        <v>143</v>
      </c>
      <c r="E12289" t="s">
        <v>144</v>
      </c>
      <c r="F12289" t="s">
        <v>145</v>
      </c>
      <c r="G12289" t="s">
        <v>48505</v>
      </c>
      <c r="I12289" t="s">
        <v>47116</v>
      </c>
      <c r="J12289" t="s">
        <v>47117</v>
      </c>
      <c r="K12289" t="s">
        <v>47113</v>
      </c>
      <c r="L12289">
        <v>8</v>
      </c>
      <c r="M12289">
        <v>43</v>
      </c>
      <c r="N12289">
        <v>0</v>
      </c>
      <c r="O12289">
        <v>43</v>
      </c>
      <c r="P12289">
        <v>0</v>
      </c>
    </row>
    <row r="12290" spans="1:16" x14ac:dyDescent="0.25">
      <c r="A12290" t="s">
        <v>34966</v>
      </c>
      <c r="B12290" t="s">
        <v>20917</v>
      </c>
      <c r="C12290" t="s">
        <v>20918</v>
      </c>
      <c r="D12290" t="s">
        <v>143</v>
      </c>
      <c r="E12290" t="s">
        <v>144</v>
      </c>
      <c r="F12290" t="s">
        <v>145</v>
      </c>
      <c r="G12290" t="s">
        <v>48505</v>
      </c>
      <c r="I12290" t="s">
        <v>47114</v>
      </c>
      <c r="J12290" t="s">
        <v>47115</v>
      </c>
      <c r="K12290" t="s">
        <v>47113</v>
      </c>
      <c r="L12290">
        <v>8</v>
      </c>
      <c r="M12290">
        <v>43</v>
      </c>
      <c r="N12290">
        <v>0</v>
      </c>
      <c r="O12290">
        <v>43</v>
      </c>
      <c r="P12290">
        <v>0</v>
      </c>
    </row>
    <row r="12291" spans="1:16" x14ac:dyDescent="0.25">
      <c r="A12291" t="s">
        <v>34967</v>
      </c>
      <c r="B12291" t="s">
        <v>9258</v>
      </c>
      <c r="C12291" t="s">
        <v>9259</v>
      </c>
      <c r="D12291" t="s">
        <v>143</v>
      </c>
      <c r="E12291" t="s">
        <v>144</v>
      </c>
      <c r="F12291" t="s">
        <v>145</v>
      </c>
      <c r="G12291" t="s">
        <v>48506</v>
      </c>
      <c r="H12291" t="s">
        <v>47054</v>
      </c>
      <c r="I12291" t="s">
        <v>47114</v>
      </c>
      <c r="J12291" t="s">
        <v>47115</v>
      </c>
      <c r="K12291" t="s">
        <v>47113</v>
      </c>
      <c r="L12291">
        <v>9.34</v>
      </c>
      <c r="M12291">
        <v>15</v>
      </c>
      <c r="N12291">
        <v>0</v>
      </c>
      <c r="O12291">
        <v>15</v>
      </c>
      <c r="P12291">
        <v>0</v>
      </c>
    </row>
    <row r="12292" spans="1:16" x14ac:dyDescent="0.25">
      <c r="A12292" t="s">
        <v>34968</v>
      </c>
      <c r="B12292" t="s">
        <v>9260</v>
      </c>
      <c r="C12292" t="s">
        <v>9261</v>
      </c>
      <c r="D12292" t="s">
        <v>143</v>
      </c>
      <c r="E12292" t="s">
        <v>144</v>
      </c>
      <c r="F12292" t="s">
        <v>145</v>
      </c>
      <c r="G12292" t="s">
        <v>48507</v>
      </c>
      <c r="H12292" t="s">
        <v>47054</v>
      </c>
      <c r="I12292" t="s">
        <v>47114</v>
      </c>
      <c r="J12292" t="s">
        <v>47115</v>
      </c>
      <c r="K12292" t="s">
        <v>47113</v>
      </c>
      <c r="L12292">
        <v>9.34</v>
      </c>
      <c r="M12292">
        <v>15</v>
      </c>
      <c r="N12292">
        <v>0</v>
      </c>
      <c r="O12292">
        <v>15</v>
      </c>
      <c r="P12292">
        <v>0</v>
      </c>
    </row>
    <row r="12293" spans="1:16" x14ac:dyDescent="0.25">
      <c r="A12293" t="s">
        <v>34969</v>
      </c>
      <c r="B12293" t="s">
        <v>9262</v>
      </c>
      <c r="C12293" t="s">
        <v>9263</v>
      </c>
      <c r="D12293" t="s">
        <v>143</v>
      </c>
      <c r="E12293" t="s">
        <v>144</v>
      </c>
      <c r="F12293" t="s">
        <v>145</v>
      </c>
      <c r="G12293" t="s">
        <v>48507</v>
      </c>
      <c r="H12293" t="s">
        <v>47054</v>
      </c>
      <c r="I12293" t="s">
        <v>47114</v>
      </c>
      <c r="J12293" t="s">
        <v>47115</v>
      </c>
      <c r="K12293" t="s">
        <v>47113</v>
      </c>
      <c r="L12293">
        <v>9.34</v>
      </c>
      <c r="M12293">
        <v>15</v>
      </c>
      <c r="N12293">
        <v>0</v>
      </c>
      <c r="O12293">
        <v>15</v>
      </c>
      <c r="P12293">
        <v>0</v>
      </c>
    </row>
    <row r="12294" spans="1:16" x14ac:dyDescent="0.25">
      <c r="A12294" t="s">
        <v>34970</v>
      </c>
      <c r="B12294" t="s">
        <v>9264</v>
      </c>
      <c r="C12294" t="s">
        <v>9265</v>
      </c>
      <c r="D12294" t="s">
        <v>143</v>
      </c>
      <c r="E12294" t="s">
        <v>144</v>
      </c>
      <c r="F12294" t="s">
        <v>145</v>
      </c>
      <c r="G12294" t="s">
        <v>48506</v>
      </c>
      <c r="H12294" t="s">
        <v>47054</v>
      </c>
      <c r="I12294" t="s">
        <v>47114</v>
      </c>
      <c r="J12294" t="s">
        <v>47115</v>
      </c>
      <c r="K12294" t="s">
        <v>47113</v>
      </c>
      <c r="L12294">
        <v>9.34</v>
      </c>
      <c r="M12294">
        <v>15</v>
      </c>
      <c r="N12294">
        <v>0</v>
      </c>
      <c r="O12294">
        <v>15</v>
      </c>
      <c r="P12294">
        <v>0</v>
      </c>
    </row>
    <row r="12295" spans="1:16" x14ac:dyDescent="0.25">
      <c r="A12295" t="s">
        <v>34971</v>
      </c>
      <c r="B12295" t="s">
        <v>9266</v>
      </c>
      <c r="C12295" t="s">
        <v>9267</v>
      </c>
      <c r="D12295" t="s">
        <v>143</v>
      </c>
      <c r="E12295" t="s">
        <v>144</v>
      </c>
      <c r="F12295" t="s">
        <v>145</v>
      </c>
      <c r="G12295" t="s">
        <v>48505</v>
      </c>
      <c r="I12295" t="s">
        <v>47114</v>
      </c>
      <c r="J12295" t="s">
        <v>47115</v>
      </c>
      <c r="K12295" t="s">
        <v>47113</v>
      </c>
      <c r="L12295">
        <v>9.34</v>
      </c>
      <c r="M12295">
        <v>15</v>
      </c>
      <c r="N12295">
        <v>0</v>
      </c>
      <c r="O12295">
        <v>15</v>
      </c>
      <c r="P12295">
        <v>0</v>
      </c>
    </row>
    <row r="12296" spans="1:16" x14ac:dyDescent="0.25">
      <c r="A12296" t="s">
        <v>34972</v>
      </c>
      <c r="B12296" t="s">
        <v>20919</v>
      </c>
      <c r="C12296" t="s">
        <v>20920</v>
      </c>
      <c r="D12296" t="s">
        <v>143</v>
      </c>
      <c r="E12296" t="s">
        <v>144</v>
      </c>
      <c r="F12296" t="s">
        <v>145</v>
      </c>
      <c r="G12296" t="s">
        <v>48507</v>
      </c>
      <c r="I12296" t="s">
        <v>47136</v>
      </c>
      <c r="J12296" t="s">
        <v>47137</v>
      </c>
      <c r="K12296" t="s">
        <v>47113</v>
      </c>
      <c r="L12296">
        <v>8</v>
      </c>
      <c r="M12296">
        <v>43</v>
      </c>
      <c r="N12296">
        <v>0</v>
      </c>
      <c r="O12296">
        <v>43</v>
      </c>
      <c r="P12296">
        <v>0</v>
      </c>
    </row>
    <row r="12297" spans="1:16" x14ac:dyDescent="0.25">
      <c r="A12297" t="s">
        <v>34973</v>
      </c>
      <c r="B12297" t="s">
        <v>20921</v>
      </c>
      <c r="C12297" t="s">
        <v>20922</v>
      </c>
      <c r="D12297" t="s">
        <v>143</v>
      </c>
      <c r="E12297" t="s">
        <v>144</v>
      </c>
      <c r="F12297" t="s">
        <v>145</v>
      </c>
      <c r="G12297" t="s">
        <v>48507</v>
      </c>
      <c r="I12297" t="s">
        <v>47136</v>
      </c>
      <c r="J12297" t="s">
        <v>47137</v>
      </c>
      <c r="K12297" t="s">
        <v>47113</v>
      </c>
      <c r="L12297">
        <v>8</v>
      </c>
      <c r="M12297">
        <v>43</v>
      </c>
      <c r="N12297">
        <v>0</v>
      </c>
      <c r="O12297">
        <v>43</v>
      </c>
      <c r="P12297">
        <v>0</v>
      </c>
    </row>
    <row r="12298" spans="1:16" x14ac:dyDescent="0.25">
      <c r="A12298" t="s">
        <v>34974</v>
      </c>
      <c r="B12298" t="s">
        <v>9268</v>
      </c>
      <c r="C12298" t="s">
        <v>9261</v>
      </c>
      <c r="D12298" t="s">
        <v>143</v>
      </c>
      <c r="E12298" t="s">
        <v>144</v>
      </c>
      <c r="F12298" t="s">
        <v>145</v>
      </c>
      <c r="G12298" t="s">
        <v>48507</v>
      </c>
      <c r="H12298" t="s">
        <v>47054</v>
      </c>
      <c r="I12298" t="s">
        <v>47114</v>
      </c>
      <c r="J12298" t="s">
        <v>47115</v>
      </c>
      <c r="K12298" t="s">
        <v>47113</v>
      </c>
      <c r="L12298">
        <v>9.34</v>
      </c>
      <c r="M12298">
        <v>15</v>
      </c>
      <c r="N12298">
        <v>0</v>
      </c>
      <c r="O12298">
        <v>15</v>
      </c>
      <c r="P12298">
        <v>0</v>
      </c>
    </row>
    <row r="12299" spans="1:16" x14ac:dyDescent="0.25">
      <c r="A12299" t="s">
        <v>34975</v>
      </c>
      <c r="B12299" t="s">
        <v>9269</v>
      </c>
      <c r="C12299" t="s">
        <v>9265</v>
      </c>
      <c r="D12299" t="s">
        <v>143</v>
      </c>
      <c r="E12299" t="s">
        <v>144</v>
      </c>
      <c r="F12299" t="s">
        <v>145</v>
      </c>
      <c r="G12299" t="s">
        <v>48506</v>
      </c>
      <c r="H12299" t="s">
        <v>47054</v>
      </c>
      <c r="I12299" t="s">
        <v>47114</v>
      </c>
      <c r="J12299" t="s">
        <v>47115</v>
      </c>
      <c r="K12299" t="s">
        <v>47113</v>
      </c>
      <c r="L12299">
        <v>9.34</v>
      </c>
      <c r="M12299">
        <v>15</v>
      </c>
      <c r="N12299">
        <v>0</v>
      </c>
      <c r="O12299">
        <v>15</v>
      </c>
      <c r="P12299">
        <v>0</v>
      </c>
    </row>
    <row r="12300" spans="1:16" x14ac:dyDescent="0.25">
      <c r="A12300" t="s">
        <v>14992</v>
      </c>
      <c r="B12300" t="s">
        <v>9270</v>
      </c>
      <c r="C12300" t="s">
        <v>9271</v>
      </c>
      <c r="D12300" t="s">
        <v>143</v>
      </c>
      <c r="E12300" t="s">
        <v>144</v>
      </c>
      <c r="F12300" t="s">
        <v>145</v>
      </c>
      <c r="G12300" t="s">
        <v>48508</v>
      </c>
      <c r="H12300" t="s">
        <v>47054</v>
      </c>
      <c r="I12300" t="s">
        <v>47111</v>
      </c>
      <c r="J12300" t="s">
        <v>47112</v>
      </c>
      <c r="K12300" t="s">
        <v>47113</v>
      </c>
      <c r="L12300">
        <v>4.67</v>
      </c>
      <c r="M12300">
        <v>15</v>
      </c>
      <c r="N12300">
        <v>0</v>
      </c>
      <c r="O12300">
        <v>15</v>
      </c>
      <c r="P12300">
        <v>0</v>
      </c>
    </row>
    <row r="12301" spans="1:16" x14ac:dyDescent="0.25">
      <c r="A12301" t="s">
        <v>34976</v>
      </c>
      <c r="B12301" t="s">
        <v>9272</v>
      </c>
      <c r="C12301" t="s">
        <v>9273</v>
      </c>
      <c r="D12301" t="s">
        <v>143</v>
      </c>
      <c r="E12301" t="s">
        <v>144</v>
      </c>
      <c r="F12301" t="s">
        <v>145</v>
      </c>
      <c r="G12301" t="s">
        <v>48509</v>
      </c>
      <c r="H12301" t="s">
        <v>47054</v>
      </c>
      <c r="I12301" t="s">
        <v>47114</v>
      </c>
      <c r="J12301" t="s">
        <v>47115</v>
      </c>
      <c r="K12301" t="s">
        <v>47113</v>
      </c>
      <c r="L12301">
        <v>9.34</v>
      </c>
      <c r="M12301">
        <v>15</v>
      </c>
      <c r="N12301">
        <v>0</v>
      </c>
      <c r="O12301">
        <v>15</v>
      </c>
      <c r="P12301">
        <v>0</v>
      </c>
    </row>
    <row r="12302" spans="1:16" x14ac:dyDescent="0.25">
      <c r="A12302" t="s">
        <v>34977</v>
      </c>
      <c r="B12302" t="s">
        <v>9274</v>
      </c>
      <c r="C12302" t="s">
        <v>9273</v>
      </c>
      <c r="D12302" t="s">
        <v>143</v>
      </c>
      <c r="E12302" t="s">
        <v>144</v>
      </c>
      <c r="F12302" t="s">
        <v>145</v>
      </c>
      <c r="G12302" t="s">
        <v>48509</v>
      </c>
      <c r="H12302" t="s">
        <v>47054</v>
      </c>
      <c r="I12302" t="s">
        <v>47114</v>
      </c>
      <c r="J12302" t="s">
        <v>47115</v>
      </c>
      <c r="K12302" t="s">
        <v>47113</v>
      </c>
      <c r="L12302">
        <v>9.34</v>
      </c>
      <c r="M12302">
        <v>15</v>
      </c>
      <c r="N12302">
        <v>0</v>
      </c>
      <c r="O12302">
        <v>15</v>
      </c>
      <c r="P12302">
        <v>0</v>
      </c>
    </row>
    <row r="12303" spans="1:16" x14ac:dyDescent="0.25">
      <c r="A12303" t="s">
        <v>34978</v>
      </c>
      <c r="B12303" t="s">
        <v>9275</v>
      </c>
      <c r="C12303" t="s">
        <v>9276</v>
      </c>
      <c r="D12303" t="s">
        <v>143</v>
      </c>
      <c r="E12303" t="s">
        <v>144</v>
      </c>
      <c r="F12303" t="s">
        <v>145</v>
      </c>
      <c r="G12303" t="s">
        <v>47095</v>
      </c>
      <c r="H12303" t="s">
        <v>47054</v>
      </c>
      <c r="I12303" t="s">
        <v>47114</v>
      </c>
      <c r="J12303" t="s">
        <v>47115</v>
      </c>
      <c r="K12303" t="s">
        <v>47113</v>
      </c>
      <c r="L12303">
        <v>9.34</v>
      </c>
      <c r="M12303">
        <v>15</v>
      </c>
      <c r="N12303">
        <v>0</v>
      </c>
      <c r="O12303">
        <v>15</v>
      </c>
      <c r="P12303">
        <v>0</v>
      </c>
    </row>
    <row r="12304" spans="1:16" x14ac:dyDescent="0.25">
      <c r="A12304" t="s">
        <v>34979</v>
      </c>
      <c r="B12304" t="s">
        <v>9277</v>
      </c>
      <c r="C12304" t="s">
        <v>9278</v>
      </c>
      <c r="D12304" t="str">
        <f>"1217"</f>
        <v>1217</v>
      </c>
      <c r="E12304" t="s">
        <v>9279</v>
      </c>
      <c r="F12304" t="s">
        <v>56</v>
      </c>
      <c r="G12304" t="s">
        <v>16222</v>
      </c>
      <c r="H12304" t="s">
        <v>47126</v>
      </c>
      <c r="I12304" t="s">
        <v>47127</v>
      </c>
      <c r="J12304" t="s">
        <v>47128</v>
      </c>
      <c r="K12304" t="s">
        <v>47113</v>
      </c>
      <c r="L12304">
        <v>22.08</v>
      </c>
      <c r="M12304">
        <v>51</v>
      </c>
      <c r="N12304">
        <v>0</v>
      </c>
      <c r="O12304">
        <v>51</v>
      </c>
      <c r="P12304">
        <v>0</v>
      </c>
    </row>
    <row r="12305" spans="1:17" x14ac:dyDescent="0.25">
      <c r="A12305" t="s">
        <v>34980</v>
      </c>
      <c r="B12305" t="s">
        <v>9280</v>
      </c>
      <c r="C12305" t="s">
        <v>9281</v>
      </c>
      <c r="D12305" t="str">
        <f>"1700"</f>
        <v>1700</v>
      </c>
      <c r="E12305" t="s">
        <v>60</v>
      </c>
      <c r="F12305" t="s">
        <v>56</v>
      </c>
      <c r="G12305" t="s">
        <v>16221</v>
      </c>
      <c r="H12305" t="s">
        <v>47126</v>
      </c>
      <c r="I12305" t="s">
        <v>47127</v>
      </c>
      <c r="J12305" t="s">
        <v>47128</v>
      </c>
      <c r="K12305" t="s">
        <v>47113</v>
      </c>
      <c r="L12305">
        <v>19.87</v>
      </c>
      <c r="M12305">
        <v>52</v>
      </c>
      <c r="N12305">
        <v>0</v>
      </c>
      <c r="O12305">
        <v>52</v>
      </c>
      <c r="P12305">
        <v>0</v>
      </c>
    </row>
    <row r="12306" spans="1:17" x14ac:dyDescent="0.25">
      <c r="A12306" t="s">
        <v>34981</v>
      </c>
      <c r="B12306" t="s">
        <v>9280</v>
      </c>
      <c r="C12306" t="s">
        <v>9281</v>
      </c>
      <c r="D12306" t="str">
        <f>"4000"</f>
        <v>4000</v>
      </c>
      <c r="E12306" t="s">
        <v>190</v>
      </c>
      <c r="F12306" t="s">
        <v>56</v>
      </c>
      <c r="G12306" t="s">
        <v>16221</v>
      </c>
      <c r="H12306" t="s">
        <v>47126</v>
      </c>
      <c r="I12306" t="s">
        <v>47127</v>
      </c>
      <c r="J12306" t="s">
        <v>47128</v>
      </c>
      <c r="K12306" t="s">
        <v>47113</v>
      </c>
      <c r="L12306">
        <v>19.87</v>
      </c>
      <c r="M12306">
        <v>40</v>
      </c>
      <c r="N12306">
        <v>0</v>
      </c>
      <c r="O12306">
        <v>40</v>
      </c>
      <c r="P12306">
        <v>0</v>
      </c>
    </row>
    <row r="12307" spans="1:17" x14ac:dyDescent="0.25">
      <c r="A12307" t="s">
        <v>34982</v>
      </c>
      <c r="B12307" t="s">
        <v>9282</v>
      </c>
      <c r="C12307" t="s">
        <v>9283</v>
      </c>
      <c r="D12307" t="str">
        <f>"4168"</f>
        <v>4168</v>
      </c>
      <c r="E12307" t="s">
        <v>1132</v>
      </c>
      <c r="F12307" t="s">
        <v>56</v>
      </c>
      <c r="G12307" t="s">
        <v>16221</v>
      </c>
      <c r="H12307" t="s">
        <v>47054</v>
      </c>
      <c r="I12307" t="s">
        <v>47127</v>
      </c>
      <c r="J12307" t="s">
        <v>47128</v>
      </c>
      <c r="K12307" t="s">
        <v>47113</v>
      </c>
      <c r="L12307">
        <v>23.82</v>
      </c>
      <c r="M12307">
        <v>31</v>
      </c>
      <c r="N12307">
        <v>0</v>
      </c>
      <c r="O12307">
        <v>31</v>
      </c>
      <c r="P12307">
        <v>0</v>
      </c>
    </row>
    <row r="12308" spans="1:17" x14ac:dyDescent="0.25">
      <c r="A12308" t="s">
        <v>14993</v>
      </c>
      <c r="B12308" t="s">
        <v>146</v>
      </c>
      <c r="C12308" t="s">
        <v>147</v>
      </c>
      <c r="D12308" t="str">
        <f>"1286"</f>
        <v>1286</v>
      </c>
      <c r="E12308" t="s">
        <v>148</v>
      </c>
      <c r="F12308" t="s">
        <v>3</v>
      </c>
      <c r="G12308" t="s">
        <v>47091</v>
      </c>
      <c r="H12308" t="s">
        <v>47126</v>
      </c>
      <c r="I12308" t="s">
        <v>47127</v>
      </c>
      <c r="J12308" t="s">
        <v>47128</v>
      </c>
      <c r="K12308" t="s">
        <v>47113</v>
      </c>
      <c r="L12308">
        <v>13.58</v>
      </c>
      <c r="M12308">
        <v>27</v>
      </c>
      <c r="N12308">
        <v>0</v>
      </c>
      <c r="O12308">
        <v>27</v>
      </c>
      <c r="P12308">
        <v>0</v>
      </c>
    </row>
    <row r="12309" spans="1:17" x14ac:dyDescent="0.25">
      <c r="A12309" t="s">
        <v>34983</v>
      </c>
      <c r="B12309" t="s">
        <v>149</v>
      </c>
      <c r="C12309" t="s">
        <v>150</v>
      </c>
      <c r="D12309" t="str">
        <f>"1377"</f>
        <v>1377</v>
      </c>
      <c r="E12309" t="s">
        <v>74</v>
      </c>
      <c r="F12309" t="s">
        <v>3</v>
      </c>
      <c r="G12309" t="s">
        <v>47095</v>
      </c>
      <c r="H12309" t="s">
        <v>47126</v>
      </c>
      <c r="I12309" t="s">
        <v>47127</v>
      </c>
      <c r="J12309" t="s">
        <v>47128</v>
      </c>
      <c r="K12309" t="s">
        <v>47113</v>
      </c>
      <c r="L12309">
        <v>20.13</v>
      </c>
      <c r="M12309">
        <v>37</v>
      </c>
      <c r="N12309">
        <v>0</v>
      </c>
      <c r="O12309">
        <v>37</v>
      </c>
      <c r="P12309">
        <v>0</v>
      </c>
    </row>
    <row r="12310" spans="1:17" x14ac:dyDescent="0.25">
      <c r="A12310" t="s">
        <v>14994</v>
      </c>
      <c r="B12310" t="s">
        <v>149</v>
      </c>
      <c r="C12310" t="s">
        <v>150</v>
      </c>
      <c r="D12310" t="str">
        <f>"6500"</f>
        <v>6500</v>
      </c>
      <c r="E12310" t="s">
        <v>151</v>
      </c>
      <c r="F12310" t="s">
        <v>3</v>
      </c>
      <c r="G12310" t="s">
        <v>47095</v>
      </c>
      <c r="H12310" t="s">
        <v>47126</v>
      </c>
      <c r="I12310" t="s">
        <v>47127</v>
      </c>
      <c r="J12310" t="s">
        <v>47128</v>
      </c>
      <c r="K12310" t="s">
        <v>47113</v>
      </c>
      <c r="L12310">
        <v>20.14</v>
      </c>
      <c r="M12310">
        <v>37</v>
      </c>
      <c r="N12310">
        <v>0</v>
      </c>
      <c r="O12310">
        <v>37</v>
      </c>
      <c r="P12310">
        <v>0</v>
      </c>
    </row>
    <row r="12311" spans="1:17" x14ac:dyDescent="0.25">
      <c r="A12311" t="s">
        <v>34984</v>
      </c>
      <c r="B12311" t="s">
        <v>9284</v>
      </c>
      <c r="C12311" t="s">
        <v>9285</v>
      </c>
      <c r="D12311" t="str">
        <f>"1007"</f>
        <v>1007</v>
      </c>
      <c r="E12311" t="s">
        <v>162</v>
      </c>
      <c r="F12311" t="s">
        <v>3</v>
      </c>
      <c r="G12311" t="s">
        <v>47095</v>
      </c>
      <c r="H12311" t="s">
        <v>47126</v>
      </c>
      <c r="I12311" t="s">
        <v>47127</v>
      </c>
      <c r="J12311" t="s">
        <v>47128</v>
      </c>
      <c r="K12311" t="s">
        <v>47113</v>
      </c>
      <c r="L12311">
        <v>15.17</v>
      </c>
      <c r="M12311">
        <v>39</v>
      </c>
      <c r="N12311">
        <v>0</v>
      </c>
      <c r="O12311">
        <v>39</v>
      </c>
      <c r="P12311">
        <v>0</v>
      </c>
    </row>
    <row r="12312" spans="1:17" x14ac:dyDescent="0.25">
      <c r="A12312" t="s">
        <v>34985</v>
      </c>
      <c r="B12312" t="s">
        <v>9284</v>
      </c>
      <c r="C12312" t="s">
        <v>9285</v>
      </c>
      <c r="D12312" t="str">
        <f>"1285"</f>
        <v>1285</v>
      </c>
      <c r="E12312" t="s">
        <v>2148</v>
      </c>
      <c r="F12312" t="s">
        <v>3</v>
      </c>
      <c r="G12312" t="s">
        <v>47095</v>
      </c>
      <c r="H12312" t="s">
        <v>47126</v>
      </c>
      <c r="I12312" t="s">
        <v>47127</v>
      </c>
      <c r="J12312" t="s">
        <v>47128</v>
      </c>
      <c r="K12312" t="s">
        <v>47113</v>
      </c>
      <c r="L12312">
        <v>20.18</v>
      </c>
      <c r="M12312">
        <v>39</v>
      </c>
      <c r="N12312">
        <v>0</v>
      </c>
      <c r="O12312">
        <v>39</v>
      </c>
      <c r="P12312">
        <v>0</v>
      </c>
    </row>
    <row r="12313" spans="1:17" x14ac:dyDescent="0.25">
      <c r="A12313" t="s">
        <v>34986</v>
      </c>
      <c r="B12313" t="s">
        <v>9284</v>
      </c>
      <c r="C12313" t="s">
        <v>9285</v>
      </c>
      <c r="D12313" t="str">
        <f>"1700"</f>
        <v>1700</v>
      </c>
      <c r="E12313" t="s">
        <v>60</v>
      </c>
      <c r="F12313" t="s">
        <v>3</v>
      </c>
      <c r="G12313" t="s">
        <v>47095</v>
      </c>
      <c r="H12313" t="s">
        <v>47126</v>
      </c>
      <c r="I12313" t="s">
        <v>47127</v>
      </c>
      <c r="J12313" t="s">
        <v>47128</v>
      </c>
      <c r="K12313" t="s">
        <v>47113</v>
      </c>
      <c r="L12313">
        <v>20.18</v>
      </c>
      <c r="M12313">
        <v>39</v>
      </c>
      <c r="N12313">
        <v>0</v>
      </c>
      <c r="O12313">
        <v>39</v>
      </c>
      <c r="P12313">
        <v>0</v>
      </c>
    </row>
    <row r="12314" spans="1:17" x14ac:dyDescent="0.25">
      <c r="A12314" t="s">
        <v>34987</v>
      </c>
      <c r="B12314" t="s">
        <v>152</v>
      </c>
      <c r="C12314" t="s">
        <v>147</v>
      </c>
      <c r="D12314" t="str">
        <f>"1377"</f>
        <v>1377</v>
      </c>
      <c r="E12314" t="s">
        <v>74</v>
      </c>
      <c r="F12314" t="s">
        <v>3</v>
      </c>
      <c r="G12314" t="s">
        <v>47091</v>
      </c>
      <c r="H12314" t="s">
        <v>47126</v>
      </c>
      <c r="I12314" t="s">
        <v>47127</v>
      </c>
      <c r="J12314" t="s">
        <v>47128</v>
      </c>
      <c r="K12314" t="s">
        <v>47113</v>
      </c>
      <c r="L12314">
        <v>13.68</v>
      </c>
      <c r="M12314">
        <v>39</v>
      </c>
      <c r="N12314">
        <v>0</v>
      </c>
      <c r="O12314">
        <v>39</v>
      </c>
      <c r="P12314">
        <v>0</v>
      </c>
    </row>
    <row r="12315" spans="1:17" x14ac:dyDescent="0.25">
      <c r="A12315" t="s">
        <v>14995</v>
      </c>
      <c r="B12315" t="s">
        <v>152</v>
      </c>
      <c r="C12315" t="s">
        <v>147</v>
      </c>
      <c r="D12315" t="str">
        <f>"3301"</f>
        <v>3301</v>
      </c>
      <c r="E12315" t="s">
        <v>153</v>
      </c>
      <c r="F12315" t="s">
        <v>3</v>
      </c>
      <c r="G12315" t="s">
        <v>47091</v>
      </c>
      <c r="H12315" t="s">
        <v>47126</v>
      </c>
      <c r="I12315" t="s">
        <v>47127</v>
      </c>
      <c r="J12315" t="s">
        <v>47128</v>
      </c>
      <c r="K12315" t="s">
        <v>47113</v>
      </c>
      <c r="L12315">
        <v>13.68</v>
      </c>
      <c r="M12315">
        <v>39</v>
      </c>
      <c r="N12315">
        <v>0</v>
      </c>
      <c r="O12315">
        <v>39</v>
      </c>
      <c r="P12315">
        <v>0</v>
      </c>
    </row>
    <row r="12316" spans="1:17" x14ac:dyDescent="0.25">
      <c r="A12316" t="s">
        <v>14996</v>
      </c>
      <c r="B12316" t="s">
        <v>152</v>
      </c>
      <c r="C12316" t="s">
        <v>147</v>
      </c>
      <c r="D12316" t="str">
        <f>"4400"</f>
        <v>4400</v>
      </c>
      <c r="E12316" t="s">
        <v>154</v>
      </c>
      <c r="F12316" t="s">
        <v>3</v>
      </c>
      <c r="G12316" t="s">
        <v>47091</v>
      </c>
      <c r="H12316" t="s">
        <v>47126</v>
      </c>
      <c r="I12316" t="s">
        <v>47127</v>
      </c>
      <c r="J12316" t="s">
        <v>47128</v>
      </c>
      <c r="K12316" t="s">
        <v>47113</v>
      </c>
      <c r="L12316">
        <v>13.68</v>
      </c>
      <c r="M12316">
        <v>39</v>
      </c>
      <c r="N12316">
        <v>0</v>
      </c>
      <c r="O12316">
        <v>39</v>
      </c>
      <c r="P12316">
        <v>0</v>
      </c>
      <c r="Q12316" s="2"/>
    </row>
    <row r="12317" spans="1:17" x14ac:dyDescent="0.25">
      <c r="A12317" t="s">
        <v>14997</v>
      </c>
      <c r="B12317" t="s">
        <v>152</v>
      </c>
      <c r="C12317" t="s">
        <v>147</v>
      </c>
      <c r="D12317" t="str">
        <f>"6500"</f>
        <v>6500</v>
      </c>
      <c r="E12317" t="s">
        <v>151</v>
      </c>
      <c r="F12317" t="s">
        <v>3</v>
      </c>
      <c r="G12317" t="s">
        <v>47091</v>
      </c>
      <c r="H12317" t="s">
        <v>47126</v>
      </c>
      <c r="I12317" t="s">
        <v>47127</v>
      </c>
      <c r="J12317" t="s">
        <v>47128</v>
      </c>
      <c r="K12317" t="s">
        <v>47113</v>
      </c>
      <c r="L12317">
        <v>13.67</v>
      </c>
      <c r="M12317">
        <v>39</v>
      </c>
      <c r="N12317">
        <v>0</v>
      </c>
      <c r="O12317">
        <v>39</v>
      </c>
      <c r="P12317">
        <v>0</v>
      </c>
      <c r="Q12317" s="2"/>
    </row>
    <row r="12318" spans="1:17" x14ac:dyDescent="0.25">
      <c r="A12318" t="s">
        <v>34988</v>
      </c>
      <c r="B12318" t="s">
        <v>9286</v>
      </c>
      <c r="C12318" t="s">
        <v>9287</v>
      </c>
      <c r="D12318" t="str">
        <f>"1007"</f>
        <v>1007</v>
      </c>
      <c r="E12318" t="s">
        <v>162</v>
      </c>
      <c r="F12318" t="s">
        <v>3</v>
      </c>
      <c r="G12318" t="s">
        <v>47091</v>
      </c>
      <c r="H12318" t="s">
        <v>47126</v>
      </c>
      <c r="I12318" t="s">
        <v>47127</v>
      </c>
      <c r="J12318" t="s">
        <v>47128</v>
      </c>
      <c r="K12318" t="s">
        <v>47113</v>
      </c>
      <c r="L12318">
        <v>13.58</v>
      </c>
      <c r="M12318">
        <v>25</v>
      </c>
      <c r="N12318">
        <v>0</v>
      </c>
      <c r="O12318">
        <v>25</v>
      </c>
      <c r="P12318">
        <v>0</v>
      </c>
    </row>
    <row r="12319" spans="1:17" x14ac:dyDescent="0.25">
      <c r="A12319" t="s">
        <v>34989</v>
      </c>
      <c r="B12319" t="s">
        <v>9286</v>
      </c>
      <c r="C12319" t="s">
        <v>9287</v>
      </c>
      <c r="D12319" t="str">
        <f>"1286"</f>
        <v>1286</v>
      </c>
      <c r="E12319" t="s">
        <v>148</v>
      </c>
      <c r="F12319" t="s">
        <v>3</v>
      </c>
      <c r="G12319" t="s">
        <v>47091</v>
      </c>
      <c r="H12319" t="s">
        <v>47126</v>
      </c>
      <c r="I12319" t="s">
        <v>47127</v>
      </c>
      <c r="J12319" t="s">
        <v>47128</v>
      </c>
      <c r="K12319" t="s">
        <v>47113</v>
      </c>
      <c r="L12319">
        <v>13.58</v>
      </c>
      <c r="M12319">
        <v>25</v>
      </c>
      <c r="N12319">
        <v>0</v>
      </c>
      <c r="O12319">
        <v>25</v>
      </c>
      <c r="P12319">
        <v>0</v>
      </c>
    </row>
    <row r="12320" spans="1:17" x14ac:dyDescent="0.25">
      <c r="A12320" t="s">
        <v>34990</v>
      </c>
      <c r="B12320" t="s">
        <v>9286</v>
      </c>
      <c r="C12320" t="s">
        <v>9287</v>
      </c>
      <c r="D12320" t="str">
        <f>"1377"</f>
        <v>1377</v>
      </c>
      <c r="E12320" t="s">
        <v>74</v>
      </c>
      <c r="F12320" t="s">
        <v>3</v>
      </c>
      <c r="G12320" t="s">
        <v>47091</v>
      </c>
      <c r="H12320" t="s">
        <v>47126</v>
      </c>
      <c r="I12320" t="s">
        <v>47127</v>
      </c>
      <c r="J12320" t="s">
        <v>47128</v>
      </c>
      <c r="K12320" t="s">
        <v>47113</v>
      </c>
      <c r="L12320">
        <v>13.58</v>
      </c>
      <c r="M12320">
        <v>25</v>
      </c>
      <c r="N12320">
        <v>0</v>
      </c>
      <c r="O12320">
        <v>25</v>
      </c>
      <c r="P12320">
        <v>0</v>
      </c>
    </row>
    <row r="12321" spans="1:16" x14ac:dyDescent="0.25">
      <c r="A12321" t="s">
        <v>34991</v>
      </c>
      <c r="B12321" t="s">
        <v>9286</v>
      </c>
      <c r="C12321" t="s">
        <v>9287</v>
      </c>
      <c r="D12321" t="str">
        <f>"1700"</f>
        <v>1700</v>
      </c>
      <c r="E12321" t="s">
        <v>60</v>
      </c>
      <c r="F12321" t="s">
        <v>3</v>
      </c>
      <c r="G12321" t="s">
        <v>47091</v>
      </c>
      <c r="H12321" t="s">
        <v>47126</v>
      </c>
      <c r="I12321" t="s">
        <v>47127</v>
      </c>
      <c r="J12321" t="s">
        <v>47128</v>
      </c>
      <c r="K12321" t="s">
        <v>47113</v>
      </c>
      <c r="L12321">
        <v>13.58</v>
      </c>
      <c r="M12321">
        <v>25</v>
      </c>
      <c r="N12321">
        <v>0</v>
      </c>
      <c r="O12321">
        <v>25</v>
      </c>
      <c r="P12321">
        <v>0</v>
      </c>
    </row>
    <row r="12322" spans="1:16" x14ac:dyDescent="0.25">
      <c r="A12322" t="s">
        <v>34992</v>
      </c>
      <c r="B12322" t="s">
        <v>9286</v>
      </c>
      <c r="C12322" t="s">
        <v>9287</v>
      </c>
      <c r="D12322" t="str">
        <f>"4400"</f>
        <v>4400</v>
      </c>
      <c r="E12322" t="s">
        <v>154</v>
      </c>
      <c r="F12322" t="s">
        <v>3</v>
      </c>
      <c r="G12322" t="s">
        <v>47091</v>
      </c>
      <c r="H12322" t="s">
        <v>47126</v>
      </c>
      <c r="I12322" t="s">
        <v>47127</v>
      </c>
      <c r="J12322" t="s">
        <v>47128</v>
      </c>
      <c r="K12322" t="s">
        <v>47113</v>
      </c>
      <c r="L12322">
        <v>12.76</v>
      </c>
      <c r="M12322">
        <v>25</v>
      </c>
      <c r="N12322">
        <v>0</v>
      </c>
      <c r="O12322">
        <v>25</v>
      </c>
      <c r="P12322">
        <v>0</v>
      </c>
    </row>
    <row r="12323" spans="1:16" x14ac:dyDescent="0.25">
      <c r="A12323" t="s">
        <v>34993</v>
      </c>
      <c r="B12323" t="s">
        <v>9286</v>
      </c>
      <c r="C12323" t="s">
        <v>9287</v>
      </c>
      <c r="D12323" t="str">
        <f>"4677"</f>
        <v>4677</v>
      </c>
      <c r="E12323" t="s">
        <v>9288</v>
      </c>
      <c r="F12323" t="s">
        <v>3</v>
      </c>
      <c r="G12323" t="s">
        <v>47091</v>
      </c>
      <c r="H12323" t="s">
        <v>47126</v>
      </c>
      <c r="I12323" t="s">
        <v>47127</v>
      </c>
      <c r="J12323" t="s">
        <v>47128</v>
      </c>
      <c r="K12323" t="s">
        <v>47113</v>
      </c>
      <c r="L12323">
        <v>13.58</v>
      </c>
      <c r="M12323">
        <v>25</v>
      </c>
      <c r="N12323">
        <v>0</v>
      </c>
      <c r="O12323">
        <v>25</v>
      </c>
      <c r="P12323">
        <v>0</v>
      </c>
    </row>
    <row r="12324" spans="1:16" x14ac:dyDescent="0.25">
      <c r="A12324" t="s">
        <v>34994</v>
      </c>
      <c r="B12324" t="s">
        <v>9286</v>
      </c>
      <c r="C12324" t="s">
        <v>9287</v>
      </c>
      <c r="D12324" t="str">
        <f>"6500"</f>
        <v>6500</v>
      </c>
      <c r="E12324" t="s">
        <v>151</v>
      </c>
      <c r="F12324" t="s">
        <v>3</v>
      </c>
      <c r="G12324" t="s">
        <v>47091</v>
      </c>
      <c r="H12324" t="s">
        <v>47126</v>
      </c>
      <c r="I12324" t="s">
        <v>47127</v>
      </c>
      <c r="J12324" t="s">
        <v>47128</v>
      </c>
      <c r="K12324" t="s">
        <v>47113</v>
      </c>
      <c r="L12324">
        <v>13.58</v>
      </c>
      <c r="M12324">
        <v>25</v>
      </c>
      <c r="N12324">
        <v>0</v>
      </c>
      <c r="O12324">
        <v>25</v>
      </c>
      <c r="P12324">
        <v>0</v>
      </c>
    </row>
    <row r="12325" spans="1:16" x14ac:dyDescent="0.25">
      <c r="A12325" t="s">
        <v>34995</v>
      </c>
      <c r="B12325" t="s">
        <v>9289</v>
      </c>
      <c r="C12325" t="s">
        <v>9290</v>
      </c>
      <c r="D12325" t="str">
        <f>"1007"</f>
        <v>1007</v>
      </c>
      <c r="E12325" t="s">
        <v>162</v>
      </c>
      <c r="F12325" t="s">
        <v>3</v>
      </c>
      <c r="G12325" t="s">
        <v>47097</v>
      </c>
      <c r="I12325" t="s">
        <v>47127</v>
      </c>
      <c r="J12325" t="s">
        <v>47128</v>
      </c>
      <c r="K12325" t="s">
        <v>47113</v>
      </c>
      <c r="L12325">
        <v>15.74</v>
      </c>
      <c r="M12325">
        <v>27</v>
      </c>
      <c r="N12325">
        <v>0</v>
      </c>
      <c r="O12325">
        <v>27</v>
      </c>
      <c r="P12325">
        <v>0</v>
      </c>
    </row>
    <row r="12326" spans="1:16" x14ac:dyDescent="0.25">
      <c r="A12326" t="s">
        <v>34996</v>
      </c>
      <c r="B12326" t="s">
        <v>9289</v>
      </c>
      <c r="C12326" t="s">
        <v>9290</v>
      </c>
      <c r="D12326" t="str">
        <f>"1285"</f>
        <v>1285</v>
      </c>
      <c r="E12326" t="s">
        <v>2148</v>
      </c>
      <c r="F12326" t="s">
        <v>3</v>
      </c>
      <c r="G12326" t="s">
        <v>47097</v>
      </c>
      <c r="I12326" t="s">
        <v>47127</v>
      </c>
      <c r="J12326" t="s">
        <v>47128</v>
      </c>
      <c r="K12326" t="s">
        <v>47113</v>
      </c>
      <c r="L12326">
        <v>11.87</v>
      </c>
      <c r="M12326">
        <v>27</v>
      </c>
      <c r="N12326">
        <v>0</v>
      </c>
      <c r="O12326">
        <v>27</v>
      </c>
      <c r="P12326">
        <v>0</v>
      </c>
    </row>
    <row r="12327" spans="1:16" x14ac:dyDescent="0.25">
      <c r="A12327" t="s">
        <v>34997</v>
      </c>
      <c r="B12327" t="s">
        <v>9289</v>
      </c>
      <c r="C12327" t="s">
        <v>9290</v>
      </c>
      <c r="D12327" t="str">
        <f>"1286"</f>
        <v>1286</v>
      </c>
      <c r="E12327" t="s">
        <v>148</v>
      </c>
      <c r="F12327" t="s">
        <v>3</v>
      </c>
      <c r="G12327" t="s">
        <v>47097</v>
      </c>
      <c r="I12327" t="s">
        <v>47127</v>
      </c>
      <c r="J12327" t="s">
        <v>47128</v>
      </c>
      <c r="K12327" t="s">
        <v>47113</v>
      </c>
      <c r="L12327">
        <v>15.74</v>
      </c>
      <c r="M12327">
        <v>27</v>
      </c>
      <c r="N12327">
        <v>0</v>
      </c>
      <c r="O12327">
        <v>27</v>
      </c>
      <c r="P12327">
        <v>0</v>
      </c>
    </row>
    <row r="12328" spans="1:16" x14ac:dyDescent="0.25">
      <c r="A12328" t="s">
        <v>34998</v>
      </c>
      <c r="B12328" t="s">
        <v>9289</v>
      </c>
      <c r="C12328" t="s">
        <v>9290</v>
      </c>
      <c r="D12328" t="str">
        <f>"1377"</f>
        <v>1377</v>
      </c>
      <c r="E12328" t="s">
        <v>74</v>
      </c>
      <c r="F12328" t="s">
        <v>3</v>
      </c>
      <c r="G12328" t="s">
        <v>47097</v>
      </c>
      <c r="I12328" t="s">
        <v>47127</v>
      </c>
      <c r="J12328" t="s">
        <v>47128</v>
      </c>
      <c r="K12328" t="s">
        <v>47113</v>
      </c>
      <c r="L12328">
        <v>15.74</v>
      </c>
      <c r="M12328">
        <v>27</v>
      </c>
      <c r="N12328">
        <v>0</v>
      </c>
      <c r="O12328">
        <v>27</v>
      </c>
      <c r="P12328">
        <v>0</v>
      </c>
    </row>
    <row r="12329" spans="1:16" x14ac:dyDescent="0.25">
      <c r="A12329" t="s">
        <v>34999</v>
      </c>
      <c r="B12329" t="s">
        <v>9289</v>
      </c>
      <c r="C12329" t="s">
        <v>9290</v>
      </c>
      <c r="D12329" t="str">
        <f>"1700"</f>
        <v>1700</v>
      </c>
      <c r="E12329" t="s">
        <v>60</v>
      </c>
      <c r="F12329" t="s">
        <v>3</v>
      </c>
      <c r="G12329" t="s">
        <v>47097</v>
      </c>
      <c r="I12329" t="s">
        <v>47127</v>
      </c>
      <c r="J12329" t="s">
        <v>47128</v>
      </c>
      <c r="K12329" t="s">
        <v>47113</v>
      </c>
      <c r="L12329">
        <v>15.74</v>
      </c>
      <c r="M12329">
        <v>27</v>
      </c>
      <c r="N12329">
        <v>0</v>
      </c>
      <c r="O12329">
        <v>27</v>
      </c>
      <c r="P12329">
        <v>0</v>
      </c>
    </row>
    <row r="12330" spans="1:16" x14ac:dyDescent="0.25">
      <c r="A12330" t="s">
        <v>35000</v>
      </c>
      <c r="B12330" t="s">
        <v>9289</v>
      </c>
      <c r="C12330" t="s">
        <v>9290</v>
      </c>
      <c r="D12330" t="str">
        <f>"3196"</f>
        <v>3196</v>
      </c>
      <c r="E12330" t="s">
        <v>159</v>
      </c>
      <c r="F12330" t="s">
        <v>3</v>
      </c>
      <c r="G12330" t="s">
        <v>47097</v>
      </c>
      <c r="I12330" t="s">
        <v>47127</v>
      </c>
      <c r="J12330" t="s">
        <v>47128</v>
      </c>
      <c r="K12330" t="s">
        <v>47113</v>
      </c>
      <c r="L12330">
        <v>15.74</v>
      </c>
      <c r="M12330">
        <v>27</v>
      </c>
      <c r="N12330">
        <v>0</v>
      </c>
      <c r="O12330">
        <v>27</v>
      </c>
      <c r="P12330">
        <v>0</v>
      </c>
    </row>
    <row r="12331" spans="1:16" x14ac:dyDescent="0.25">
      <c r="A12331" t="s">
        <v>35001</v>
      </c>
      <c r="B12331" t="s">
        <v>9289</v>
      </c>
      <c r="C12331" t="s">
        <v>9290</v>
      </c>
      <c r="D12331" t="str">
        <f>"4400"</f>
        <v>4400</v>
      </c>
      <c r="E12331" t="s">
        <v>154</v>
      </c>
      <c r="F12331" t="s">
        <v>3</v>
      </c>
      <c r="G12331" t="s">
        <v>47097</v>
      </c>
      <c r="I12331" t="s">
        <v>47127</v>
      </c>
      <c r="J12331" t="s">
        <v>47128</v>
      </c>
      <c r="K12331" t="s">
        <v>47113</v>
      </c>
      <c r="L12331">
        <v>15.74</v>
      </c>
      <c r="M12331">
        <v>27</v>
      </c>
      <c r="N12331">
        <v>0</v>
      </c>
      <c r="O12331">
        <v>27</v>
      </c>
      <c r="P12331">
        <v>0</v>
      </c>
    </row>
    <row r="12332" spans="1:16" x14ac:dyDescent="0.25">
      <c r="A12332" t="s">
        <v>35002</v>
      </c>
      <c r="B12332" t="s">
        <v>9289</v>
      </c>
      <c r="C12332" t="s">
        <v>9290</v>
      </c>
      <c r="D12332" t="str">
        <f>"6500"</f>
        <v>6500</v>
      </c>
      <c r="E12332" t="s">
        <v>151</v>
      </c>
      <c r="F12332" t="s">
        <v>3</v>
      </c>
      <c r="G12332" t="s">
        <v>47097</v>
      </c>
      <c r="I12332" t="s">
        <v>47127</v>
      </c>
      <c r="J12332" t="s">
        <v>47128</v>
      </c>
      <c r="K12332" t="s">
        <v>47113</v>
      </c>
      <c r="L12332">
        <v>15.74</v>
      </c>
      <c r="M12332">
        <v>27</v>
      </c>
      <c r="N12332">
        <v>0</v>
      </c>
      <c r="O12332">
        <v>27</v>
      </c>
      <c r="P12332">
        <v>0</v>
      </c>
    </row>
    <row r="12333" spans="1:16" x14ac:dyDescent="0.25">
      <c r="A12333" t="s">
        <v>35003</v>
      </c>
      <c r="B12333" t="s">
        <v>155</v>
      </c>
      <c r="C12333" t="s">
        <v>156</v>
      </c>
      <c r="D12333" t="str">
        <f>"1007"</f>
        <v>1007</v>
      </c>
      <c r="E12333" t="s">
        <v>162</v>
      </c>
      <c r="F12333" t="s">
        <v>3</v>
      </c>
      <c r="G12333" t="s">
        <v>47091</v>
      </c>
      <c r="H12333" t="s">
        <v>47126</v>
      </c>
      <c r="I12333" t="s">
        <v>47127</v>
      </c>
      <c r="J12333" t="s">
        <v>47128</v>
      </c>
      <c r="K12333" t="s">
        <v>47113</v>
      </c>
      <c r="L12333">
        <v>14.3</v>
      </c>
      <c r="M12333">
        <v>27</v>
      </c>
      <c r="N12333">
        <v>0</v>
      </c>
      <c r="O12333">
        <v>27</v>
      </c>
      <c r="P12333">
        <v>0</v>
      </c>
    </row>
    <row r="12334" spans="1:16" x14ac:dyDescent="0.25">
      <c r="A12334" t="s">
        <v>35004</v>
      </c>
      <c r="B12334" t="s">
        <v>155</v>
      </c>
      <c r="C12334" t="s">
        <v>156</v>
      </c>
      <c r="D12334" t="str">
        <f>"1286"</f>
        <v>1286</v>
      </c>
      <c r="E12334" t="s">
        <v>148</v>
      </c>
      <c r="F12334" t="s">
        <v>3</v>
      </c>
      <c r="G12334" t="s">
        <v>47091</v>
      </c>
      <c r="H12334" t="s">
        <v>47126</v>
      </c>
      <c r="I12334" t="s">
        <v>47127</v>
      </c>
      <c r="J12334" t="s">
        <v>47128</v>
      </c>
      <c r="K12334" t="s">
        <v>47113</v>
      </c>
      <c r="L12334">
        <v>14.3</v>
      </c>
      <c r="M12334">
        <v>27</v>
      </c>
      <c r="N12334">
        <v>0</v>
      </c>
      <c r="O12334">
        <v>27</v>
      </c>
      <c r="P12334">
        <v>0</v>
      </c>
    </row>
    <row r="12335" spans="1:16" x14ac:dyDescent="0.25">
      <c r="A12335" t="s">
        <v>35005</v>
      </c>
      <c r="B12335" t="s">
        <v>155</v>
      </c>
      <c r="C12335" t="s">
        <v>156</v>
      </c>
      <c r="D12335" t="str">
        <f>"1377"</f>
        <v>1377</v>
      </c>
      <c r="E12335" t="s">
        <v>74</v>
      </c>
      <c r="F12335" t="s">
        <v>3</v>
      </c>
      <c r="G12335" t="s">
        <v>47091</v>
      </c>
      <c r="H12335" t="s">
        <v>47126</v>
      </c>
      <c r="I12335" t="s">
        <v>47127</v>
      </c>
      <c r="J12335" t="s">
        <v>47128</v>
      </c>
      <c r="K12335" t="s">
        <v>47113</v>
      </c>
      <c r="L12335">
        <v>14.3</v>
      </c>
      <c r="M12335">
        <v>27</v>
      </c>
      <c r="N12335">
        <v>0</v>
      </c>
      <c r="O12335">
        <v>27</v>
      </c>
      <c r="P12335">
        <v>0</v>
      </c>
    </row>
    <row r="12336" spans="1:16" x14ac:dyDescent="0.25">
      <c r="A12336" t="s">
        <v>35006</v>
      </c>
      <c r="B12336" t="s">
        <v>155</v>
      </c>
      <c r="C12336" t="s">
        <v>156</v>
      </c>
      <c r="D12336" t="str">
        <f>"1700"</f>
        <v>1700</v>
      </c>
      <c r="E12336" t="s">
        <v>60</v>
      </c>
      <c r="F12336" t="s">
        <v>3</v>
      </c>
      <c r="G12336" t="s">
        <v>47091</v>
      </c>
      <c r="H12336" t="s">
        <v>47126</v>
      </c>
      <c r="I12336" t="s">
        <v>47127</v>
      </c>
      <c r="J12336" t="s">
        <v>47128</v>
      </c>
      <c r="K12336" t="s">
        <v>47113</v>
      </c>
      <c r="L12336">
        <v>14.3</v>
      </c>
      <c r="M12336">
        <v>27</v>
      </c>
      <c r="N12336">
        <v>0</v>
      </c>
      <c r="O12336">
        <v>27</v>
      </c>
      <c r="P12336">
        <v>0</v>
      </c>
    </row>
    <row r="12337" spans="1:16" x14ac:dyDescent="0.25">
      <c r="A12337" t="s">
        <v>14998</v>
      </c>
      <c r="B12337" t="s">
        <v>155</v>
      </c>
      <c r="C12337" t="s">
        <v>156</v>
      </c>
      <c r="D12337" t="str">
        <f>"4400"</f>
        <v>4400</v>
      </c>
      <c r="E12337" t="s">
        <v>154</v>
      </c>
      <c r="F12337" t="s">
        <v>3</v>
      </c>
      <c r="G12337" t="s">
        <v>47091</v>
      </c>
      <c r="H12337" t="s">
        <v>47126</v>
      </c>
      <c r="I12337" t="s">
        <v>47127</v>
      </c>
      <c r="J12337" t="s">
        <v>47128</v>
      </c>
      <c r="K12337" t="s">
        <v>47113</v>
      </c>
      <c r="L12337">
        <v>14.3</v>
      </c>
      <c r="M12337">
        <v>27</v>
      </c>
      <c r="N12337">
        <v>0</v>
      </c>
      <c r="O12337">
        <v>27</v>
      </c>
      <c r="P12337">
        <v>0</v>
      </c>
    </row>
    <row r="12338" spans="1:16" x14ac:dyDescent="0.25">
      <c r="A12338" t="s">
        <v>35007</v>
      </c>
      <c r="B12338" t="s">
        <v>155</v>
      </c>
      <c r="C12338" t="s">
        <v>156</v>
      </c>
      <c r="D12338" t="str">
        <f>"6500"</f>
        <v>6500</v>
      </c>
      <c r="E12338" t="s">
        <v>151</v>
      </c>
      <c r="F12338" t="s">
        <v>3</v>
      </c>
      <c r="G12338" t="s">
        <v>47091</v>
      </c>
      <c r="H12338" t="s">
        <v>47126</v>
      </c>
      <c r="I12338" t="s">
        <v>47127</v>
      </c>
      <c r="J12338" t="s">
        <v>47128</v>
      </c>
      <c r="K12338" t="s">
        <v>47113</v>
      </c>
      <c r="L12338">
        <v>14.3</v>
      </c>
      <c r="M12338">
        <v>27</v>
      </c>
      <c r="N12338">
        <v>0</v>
      </c>
      <c r="O12338">
        <v>27</v>
      </c>
      <c r="P12338">
        <v>0</v>
      </c>
    </row>
    <row r="12339" spans="1:16" x14ac:dyDescent="0.25">
      <c r="A12339" t="s">
        <v>35008</v>
      </c>
      <c r="B12339" t="s">
        <v>157</v>
      </c>
      <c r="C12339" t="s">
        <v>158</v>
      </c>
      <c r="D12339" t="str">
        <f>"1700"</f>
        <v>1700</v>
      </c>
      <c r="E12339" t="s">
        <v>60</v>
      </c>
      <c r="F12339" t="s">
        <v>3</v>
      </c>
      <c r="G12339" t="s">
        <v>47097</v>
      </c>
      <c r="H12339" t="s">
        <v>47126</v>
      </c>
      <c r="I12339" t="s">
        <v>47127</v>
      </c>
      <c r="J12339" t="s">
        <v>47128</v>
      </c>
      <c r="K12339" t="s">
        <v>47113</v>
      </c>
      <c r="L12339">
        <v>14.28</v>
      </c>
      <c r="M12339">
        <v>27</v>
      </c>
      <c r="N12339">
        <v>0</v>
      </c>
      <c r="O12339">
        <v>27</v>
      </c>
      <c r="P12339">
        <v>0</v>
      </c>
    </row>
    <row r="12340" spans="1:16" x14ac:dyDescent="0.25">
      <c r="A12340" t="s">
        <v>14999</v>
      </c>
      <c r="B12340" t="s">
        <v>157</v>
      </c>
      <c r="C12340" t="s">
        <v>158</v>
      </c>
      <c r="D12340" t="str">
        <f>"3196"</f>
        <v>3196</v>
      </c>
      <c r="E12340" t="s">
        <v>159</v>
      </c>
      <c r="F12340" t="s">
        <v>3</v>
      </c>
      <c r="G12340" t="s">
        <v>47097</v>
      </c>
      <c r="H12340" t="s">
        <v>47126</v>
      </c>
      <c r="I12340" t="s">
        <v>47127</v>
      </c>
      <c r="J12340" t="s">
        <v>47128</v>
      </c>
      <c r="K12340" t="s">
        <v>47113</v>
      </c>
      <c r="L12340">
        <v>14.28</v>
      </c>
      <c r="M12340">
        <v>27</v>
      </c>
      <c r="N12340">
        <v>0</v>
      </c>
      <c r="O12340">
        <v>27</v>
      </c>
      <c r="P12340">
        <v>0</v>
      </c>
    </row>
    <row r="12341" spans="1:16" x14ac:dyDescent="0.25">
      <c r="A12341" t="s">
        <v>35009</v>
      </c>
      <c r="B12341" t="s">
        <v>157</v>
      </c>
      <c r="C12341" t="s">
        <v>158</v>
      </c>
      <c r="D12341" t="str">
        <f>"3301"</f>
        <v>3301</v>
      </c>
      <c r="E12341" t="s">
        <v>153</v>
      </c>
      <c r="F12341" t="s">
        <v>3</v>
      </c>
      <c r="G12341" t="s">
        <v>47097</v>
      </c>
      <c r="H12341" t="s">
        <v>47126</v>
      </c>
      <c r="I12341" t="s">
        <v>47127</v>
      </c>
      <c r="J12341" t="s">
        <v>47128</v>
      </c>
      <c r="K12341" t="s">
        <v>47113</v>
      </c>
      <c r="L12341">
        <v>10.75</v>
      </c>
      <c r="M12341">
        <v>27</v>
      </c>
      <c r="N12341">
        <v>0</v>
      </c>
      <c r="O12341">
        <v>27</v>
      </c>
      <c r="P12341">
        <v>0</v>
      </c>
    </row>
    <row r="12342" spans="1:16" x14ac:dyDescent="0.25">
      <c r="A12342" t="s">
        <v>35010</v>
      </c>
      <c r="B12342" t="s">
        <v>9291</v>
      </c>
      <c r="C12342" t="s">
        <v>147</v>
      </c>
      <c r="D12342" t="str">
        <f>"1007"</f>
        <v>1007</v>
      </c>
      <c r="E12342" t="s">
        <v>162</v>
      </c>
      <c r="F12342" t="s">
        <v>3</v>
      </c>
      <c r="G12342" t="s">
        <v>47091</v>
      </c>
      <c r="I12342" t="s">
        <v>47127</v>
      </c>
      <c r="J12342" t="s">
        <v>47128</v>
      </c>
      <c r="K12342" t="s">
        <v>47113</v>
      </c>
      <c r="L12342">
        <v>11.61</v>
      </c>
      <c r="M12342">
        <v>27</v>
      </c>
      <c r="N12342">
        <v>0</v>
      </c>
      <c r="O12342">
        <v>27</v>
      </c>
      <c r="P12342">
        <v>0</v>
      </c>
    </row>
    <row r="12343" spans="1:16" x14ac:dyDescent="0.25">
      <c r="A12343" t="s">
        <v>35011</v>
      </c>
      <c r="B12343" t="s">
        <v>9291</v>
      </c>
      <c r="C12343" t="s">
        <v>147</v>
      </c>
      <c r="D12343" t="str">
        <f>"1286"</f>
        <v>1286</v>
      </c>
      <c r="E12343" t="s">
        <v>148</v>
      </c>
      <c r="F12343" t="s">
        <v>3</v>
      </c>
      <c r="G12343" t="s">
        <v>47091</v>
      </c>
      <c r="I12343" t="s">
        <v>47127</v>
      </c>
      <c r="J12343" t="s">
        <v>47128</v>
      </c>
      <c r="K12343" t="s">
        <v>47113</v>
      </c>
      <c r="L12343">
        <v>11.61</v>
      </c>
      <c r="M12343">
        <v>27</v>
      </c>
      <c r="N12343">
        <v>0</v>
      </c>
      <c r="O12343">
        <v>27</v>
      </c>
      <c r="P12343">
        <v>0</v>
      </c>
    </row>
    <row r="12344" spans="1:16" x14ac:dyDescent="0.25">
      <c r="A12344" t="s">
        <v>35012</v>
      </c>
      <c r="B12344" t="s">
        <v>9291</v>
      </c>
      <c r="C12344" t="s">
        <v>147</v>
      </c>
      <c r="D12344" t="str">
        <f>"1377"</f>
        <v>1377</v>
      </c>
      <c r="E12344" t="s">
        <v>74</v>
      </c>
      <c r="F12344" t="s">
        <v>3</v>
      </c>
      <c r="G12344" t="s">
        <v>47091</v>
      </c>
      <c r="I12344" t="s">
        <v>47127</v>
      </c>
      <c r="J12344" t="s">
        <v>47128</v>
      </c>
      <c r="K12344" t="s">
        <v>47113</v>
      </c>
      <c r="L12344">
        <v>11.61</v>
      </c>
      <c r="M12344">
        <v>27</v>
      </c>
      <c r="N12344">
        <v>0</v>
      </c>
      <c r="O12344">
        <v>27</v>
      </c>
      <c r="P12344">
        <v>0</v>
      </c>
    </row>
    <row r="12345" spans="1:16" x14ac:dyDescent="0.25">
      <c r="A12345" t="s">
        <v>35013</v>
      </c>
      <c r="B12345" t="s">
        <v>9291</v>
      </c>
      <c r="C12345" t="s">
        <v>147</v>
      </c>
      <c r="D12345" t="str">
        <f>"1700"</f>
        <v>1700</v>
      </c>
      <c r="E12345" t="s">
        <v>60</v>
      </c>
      <c r="F12345" t="s">
        <v>3</v>
      </c>
      <c r="G12345" t="s">
        <v>47091</v>
      </c>
      <c r="I12345" t="s">
        <v>47127</v>
      </c>
      <c r="J12345" t="s">
        <v>47128</v>
      </c>
      <c r="K12345" t="s">
        <v>47113</v>
      </c>
      <c r="L12345">
        <v>11.61</v>
      </c>
      <c r="M12345">
        <v>27</v>
      </c>
      <c r="N12345">
        <v>0</v>
      </c>
      <c r="O12345">
        <v>27</v>
      </c>
      <c r="P12345">
        <v>0</v>
      </c>
    </row>
    <row r="12346" spans="1:16" x14ac:dyDescent="0.25">
      <c r="A12346" t="s">
        <v>35014</v>
      </c>
      <c r="B12346" t="s">
        <v>9291</v>
      </c>
      <c r="C12346" t="s">
        <v>147</v>
      </c>
      <c r="D12346" t="str">
        <f>"3196"</f>
        <v>3196</v>
      </c>
      <c r="E12346" t="s">
        <v>159</v>
      </c>
      <c r="F12346" t="s">
        <v>3</v>
      </c>
      <c r="G12346" t="s">
        <v>47091</v>
      </c>
      <c r="I12346" t="s">
        <v>47127</v>
      </c>
      <c r="J12346" t="s">
        <v>47128</v>
      </c>
      <c r="K12346" t="s">
        <v>47113</v>
      </c>
      <c r="L12346">
        <v>11.61</v>
      </c>
      <c r="M12346">
        <v>27</v>
      </c>
      <c r="N12346">
        <v>0</v>
      </c>
      <c r="O12346">
        <v>27</v>
      </c>
      <c r="P12346">
        <v>0</v>
      </c>
    </row>
    <row r="12347" spans="1:16" x14ac:dyDescent="0.25">
      <c r="A12347" t="s">
        <v>35015</v>
      </c>
      <c r="B12347" t="s">
        <v>9291</v>
      </c>
      <c r="C12347" t="s">
        <v>147</v>
      </c>
      <c r="D12347" t="str">
        <f>"4400"</f>
        <v>4400</v>
      </c>
      <c r="E12347" t="s">
        <v>154</v>
      </c>
      <c r="F12347" t="s">
        <v>3</v>
      </c>
      <c r="G12347" t="s">
        <v>47091</v>
      </c>
      <c r="I12347" t="s">
        <v>47127</v>
      </c>
      <c r="J12347" t="s">
        <v>47128</v>
      </c>
      <c r="K12347" t="s">
        <v>47113</v>
      </c>
      <c r="L12347">
        <v>11.61</v>
      </c>
      <c r="M12347">
        <v>27</v>
      </c>
      <c r="N12347">
        <v>0</v>
      </c>
      <c r="O12347">
        <v>27</v>
      </c>
      <c r="P12347">
        <v>0</v>
      </c>
    </row>
    <row r="12348" spans="1:16" x14ac:dyDescent="0.25">
      <c r="A12348" t="s">
        <v>35016</v>
      </c>
      <c r="B12348" t="s">
        <v>9291</v>
      </c>
      <c r="C12348" t="s">
        <v>147</v>
      </c>
      <c r="D12348" t="str">
        <f>"6500"</f>
        <v>6500</v>
      </c>
      <c r="E12348" t="s">
        <v>151</v>
      </c>
      <c r="F12348" t="s">
        <v>3</v>
      </c>
      <c r="G12348" t="s">
        <v>47091</v>
      </c>
      <c r="I12348" t="s">
        <v>47127</v>
      </c>
      <c r="J12348" t="s">
        <v>47128</v>
      </c>
      <c r="K12348" t="s">
        <v>47113</v>
      </c>
      <c r="L12348">
        <v>11.61</v>
      </c>
      <c r="M12348">
        <v>27</v>
      </c>
      <c r="N12348">
        <v>0</v>
      </c>
      <c r="O12348">
        <v>27</v>
      </c>
      <c r="P12348">
        <v>0</v>
      </c>
    </row>
    <row r="12349" spans="1:16" x14ac:dyDescent="0.25">
      <c r="A12349" t="s">
        <v>15000</v>
      </c>
      <c r="B12349" t="s">
        <v>160</v>
      </c>
      <c r="C12349" t="s">
        <v>161</v>
      </c>
      <c r="D12349" t="str">
        <f>"1007"</f>
        <v>1007</v>
      </c>
      <c r="E12349" t="s">
        <v>162</v>
      </c>
      <c r="F12349" t="s">
        <v>3</v>
      </c>
      <c r="G12349" t="s">
        <v>47097</v>
      </c>
      <c r="H12349" t="s">
        <v>47126</v>
      </c>
      <c r="I12349" t="s">
        <v>47127</v>
      </c>
      <c r="J12349" t="s">
        <v>47128</v>
      </c>
      <c r="K12349" t="s">
        <v>47113</v>
      </c>
      <c r="L12349">
        <v>8.74</v>
      </c>
      <c r="M12349">
        <v>21</v>
      </c>
      <c r="N12349">
        <v>0</v>
      </c>
      <c r="O12349">
        <v>21</v>
      </c>
      <c r="P12349">
        <v>0</v>
      </c>
    </row>
    <row r="12350" spans="1:16" x14ac:dyDescent="0.25">
      <c r="A12350" t="s">
        <v>35017</v>
      </c>
      <c r="B12350" t="s">
        <v>160</v>
      </c>
      <c r="C12350" t="s">
        <v>161</v>
      </c>
      <c r="D12350" t="str">
        <f>"1285"</f>
        <v>1285</v>
      </c>
      <c r="E12350" t="s">
        <v>2148</v>
      </c>
      <c r="F12350" t="s">
        <v>3</v>
      </c>
      <c r="G12350" t="s">
        <v>47097</v>
      </c>
      <c r="H12350" t="s">
        <v>47126</v>
      </c>
      <c r="I12350" t="s">
        <v>47127</v>
      </c>
      <c r="J12350" t="s">
        <v>47128</v>
      </c>
      <c r="K12350" t="s">
        <v>47113</v>
      </c>
      <c r="L12350">
        <v>8.74</v>
      </c>
      <c r="M12350">
        <v>21</v>
      </c>
      <c r="N12350">
        <v>0</v>
      </c>
      <c r="O12350">
        <v>21</v>
      </c>
      <c r="P12350">
        <v>0</v>
      </c>
    </row>
    <row r="12351" spans="1:16" x14ac:dyDescent="0.25">
      <c r="A12351" t="s">
        <v>35018</v>
      </c>
      <c r="B12351" t="s">
        <v>160</v>
      </c>
      <c r="C12351" t="s">
        <v>161</v>
      </c>
      <c r="D12351" t="str">
        <f>"1286"</f>
        <v>1286</v>
      </c>
      <c r="E12351" t="s">
        <v>148</v>
      </c>
      <c r="F12351" t="s">
        <v>3</v>
      </c>
      <c r="G12351" t="s">
        <v>47097</v>
      </c>
      <c r="H12351" t="s">
        <v>47126</v>
      </c>
      <c r="I12351" t="s">
        <v>47127</v>
      </c>
      <c r="J12351" t="s">
        <v>47128</v>
      </c>
      <c r="K12351" t="s">
        <v>47113</v>
      </c>
      <c r="L12351">
        <v>8.74</v>
      </c>
      <c r="M12351">
        <v>21</v>
      </c>
      <c r="N12351">
        <v>0</v>
      </c>
      <c r="O12351">
        <v>21</v>
      </c>
      <c r="P12351">
        <v>0</v>
      </c>
    </row>
    <row r="12352" spans="1:16" x14ac:dyDescent="0.25">
      <c r="A12352" t="s">
        <v>15001</v>
      </c>
      <c r="B12352" t="s">
        <v>160</v>
      </c>
      <c r="C12352" t="s">
        <v>161</v>
      </c>
      <c r="D12352" t="str">
        <f>"1377"</f>
        <v>1377</v>
      </c>
      <c r="E12352" t="s">
        <v>74</v>
      </c>
      <c r="F12352" t="s">
        <v>3</v>
      </c>
      <c r="G12352" t="s">
        <v>47097</v>
      </c>
      <c r="H12352" t="s">
        <v>47126</v>
      </c>
      <c r="I12352" t="s">
        <v>47127</v>
      </c>
      <c r="J12352" t="s">
        <v>47128</v>
      </c>
      <c r="K12352" t="s">
        <v>47113</v>
      </c>
      <c r="L12352">
        <v>8.74</v>
      </c>
      <c r="M12352">
        <v>21</v>
      </c>
      <c r="N12352">
        <v>0</v>
      </c>
      <c r="O12352">
        <v>21</v>
      </c>
      <c r="P12352">
        <v>0</v>
      </c>
    </row>
    <row r="12353" spans="1:16" x14ac:dyDescent="0.25">
      <c r="A12353" t="s">
        <v>35019</v>
      </c>
      <c r="B12353" t="s">
        <v>160</v>
      </c>
      <c r="C12353" t="s">
        <v>161</v>
      </c>
      <c r="D12353" t="str">
        <f>"1700"</f>
        <v>1700</v>
      </c>
      <c r="E12353" t="s">
        <v>60</v>
      </c>
      <c r="F12353" t="s">
        <v>3</v>
      </c>
      <c r="G12353" t="s">
        <v>47097</v>
      </c>
      <c r="H12353" t="s">
        <v>47126</v>
      </c>
      <c r="I12353" t="s">
        <v>47127</v>
      </c>
      <c r="J12353" t="s">
        <v>47128</v>
      </c>
      <c r="K12353" t="s">
        <v>47113</v>
      </c>
      <c r="L12353">
        <v>8.74</v>
      </c>
      <c r="M12353">
        <v>21</v>
      </c>
      <c r="N12353">
        <v>0</v>
      </c>
      <c r="O12353">
        <v>21</v>
      </c>
      <c r="P12353">
        <v>0</v>
      </c>
    </row>
    <row r="12354" spans="1:16" x14ac:dyDescent="0.25">
      <c r="A12354" t="s">
        <v>35020</v>
      </c>
      <c r="B12354" t="s">
        <v>160</v>
      </c>
      <c r="C12354" t="s">
        <v>161</v>
      </c>
      <c r="D12354" t="str">
        <f>"3196"</f>
        <v>3196</v>
      </c>
      <c r="E12354" t="s">
        <v>159</v>
      </c>
      <c r="F12354" t="s">
        <v>3</v>
      </c>
      <c r="G12354" t="s">
        <v>47097</v>
      </c>
      <c r="H12354" t="s">
        <v>47126</v>
      </c>
      <c r="I12354" t="s">
        <v>47127</v>
      </c>
      <c r="J12354" t="s">
        <v>47128</v>
      </c>
      <c r="K12354" t="s">
        <v>47113</v>
      </c>
      <c r="L12354">
        <v>8.74</v>
      </c>
      <c r="M12354">
        <v>21</v>
      </c>
      <c r="N12354">
        <v>0</v>
      </c>
      <c r="O12354">
        <v>21</v>
      </c>
      <c r="P12354">
        <v>0</v>
      </c>
    </row>
    <row r="12355" spans="1:16" x14ac:dyDescent="0.25">
      <c r="A12355" t="s">
        <v>35021</v>
      </c>
      <c r="B12355" t="s">
        <v>160</v>
      </c>
      <c r="C12355" t="s">
        <v>161</v>
      </c>
      <c r="D12355" t="str">
        <f>"4400"</f>
        <v>4400</v>
      </c>
      <c r="E12355" t="s">
        <v>154</v>
      </c>
      <c r="F12355" t="s">
        <v>3</v>
      </c>
      <c r="G12355" t="s">
        <v>47097</v>
      </c>
      <c r="H12355" t="s">
        <v>47126</v>
      </c>
      <c r="I12355" t="s">
        <v>47127</v>
      </c>
      <c r="J12355" t="s">
        <v>47128</v>
      </c>
      <c r="K12355" t="s">
        <v>47113</v>
      </c>
      <c r="L12355">
        <v>8.74</v>
      </c>
      <c r="M12355">
        <v>21</v>
      </c>
      <c r="N12355">
        <v>0</v>
      </c>
      <c r="O12355">
        <v>21</v>
      </c>
      <c r="P12355">
        <v>0</v>
      </c>
    </row>
    <row r="12356" spans="1:16" x14ac:dyDescent="0.25">
      <c r="A12356" t="s">
        <v>35022</v>
      </c>
      <c r="B12356" t="s">
        <v>160</v>
      </c>
      <c r="C12356" t="s">
        <v>161</v>
      </c>
      <c r="D12356" t="str">
        <f>"6500"</f>
        <v>6500</v>
      </c>
      <c r="E12356" t="s">
        <v>151</v>
      </c>
      <c r="F12356" t="s">
        <v>3</v>
      </c>
      <c r="G12356" t="s">
        <v>47097</v>
      </c>
      <c r="H12356" t="s">
        <v>47126</v>
      </c>
      <c r="I12356" t="s">
        <v>47127</v>
      </c>
      <c r="J12356" t="s">
        <v>47128</v>
      </c>
      <c r="K12356" t="s">
        <v>47113</v>
      </c>
      <c r="L12356">
        <v>8.74</v>
      </c>
      <c r="M12356">
        <v>21</v>
      </c>
      <c r="N12356">
        <v>0</v>
      </c>
      <c r="O12356">
        <v>21</v>
      </c>
      <c r="P12356">
        <v>0</v>
      </c>
    </row>
    <row r="12357" spans="1:16" x14ac:dyDescent="0.25">
      <c r="A12357" t="s">
        <v>35023</v>
      </c>
      <c r="B12357" t="s">
        <v>163</v>
      </c>
      <c r="C12357" t="s">
        <v>164</v>
      </c>
      <c r="D12357" t="str">
        <f>"1700"</f>
        <v>1700</v>
      </c>
      <c r="E12357" t="s">
        <v>60</v>
      </c>
      <c r="F12357" t="s">
        <v>3</v>
      </c>
      <c r="G12357" t="s">
        <v>47097</v>
      </c>
      <c r="H12357" t="s">
        <v>47126</v>
      </c>
      <c r="I12357" t="s">
        <v>47127</v>
      </c>
      <c r="J12357" t="s">
        <v>47128</v>
      </c>
      <c r="K12357" t="s">
        <v>47113</v>
      </c>
      <c r="L12357">
        <v>11.72</v>
      </c>
      <c r="M12357">
        <v>21</v>
      </c>
      <c r="N12357">
        <v>0</v>
      </c>
      <c r="O12357">
        <v>21</v>
      </c>
      <c r="P12357">
        <v>0</v>
      </c>
    </row>
    <row r="12358" spans="1:16" x14ac:dyDescent="0.25">
      <c r="A12358" t="s">
        <v>35024</v>
      </c>
      <c r="B12358" t="s">
        <v>163</v>
      </c>
      <c r="C12358" t="s">
        <v>164</v>
      </c>
      <c r="D12358" t="str">
        <f>"3196"</f>
        <v>3196</v>
      </c>
      <c r="E12358" t="s">
        <v>159</v>
      </c>
      <c r="F12358" t="s">
        <v>3</v>
      </c>
      <c r="G12358" t="s">
        <v>47097</v>
      </c>
      <c r="H12358" t="s">
        <v>47126</v>
      </c>
      <c r="I12358" t="s">
        <v>47127</v>
      </c>
      <c r="J12358" t="s">
        <v>47128</v>
      </c>
      <c r="K12358" t="s">
        <v>47113</v>
      </c>
      <c r="L12358">
        <v>11.72</v>
      </c>
      <c r="M12358">
        <v>21</v>
      </c>
      <c r="N12358">
        <v>0</v>
      </c>
      <c r="O12358">
        <v>21</v>
      </c>
      <c r="P12358">
        <v>0</v>
      </c>
    </row>
    <row r="12359" spans="1:16" x14ac:dyDescent="0.25">
      <c r="A12359" t="s">
        <v>35025</v>
      </c>
      <c r="B12359" t="s">
        <v>163</v>
      </c>
      <c r="C12359" t="s">
        <v>164</v>
      </c>
      <c r="D12359" t="str">
        <f>"3301"</f>
        <v>3301</v>
      </c>
      <c r="E12359" t="s">
        <v>153</v>
      </c>
      <c r="F12359" t="s">
        <v>3</v>
      </c>
      <c r="G12359" t="s">
        <v>47097</v>
      </c>
      <c r="H12359" t="s">
        <v>47126</v>
      </c>
      <c r="I12359" t="s">
        <v>47127</v>
      </c>
      <c r="J12359" t="s">
        <v>47128</v>
      </c>
      <c r="K12359" t="s">
        <v>47113</v>
      </c>
      <c r="L12359">
        <v>8.74</v>
      </c>
      <c r="M12359">
        <v>21</v>
      </c>
      <c r="N12359">
        <v>0</v>
      </c>
      <c r="O12359">
        <v>21</v>
      </c>
      <c r="P12359">
        <v>0</v>
      </c>
    </row>
    <row r="12360" spans="1:16" x14ac:dyDescent="0.25">
      <c r="A12360" t="s">
        <v>15002</v>
      </c>
      <c r="B12360" t="s">
        <v>165</v>
      </c>
      <c r="C12360" t="s">
        <v>166</v>
      </c>
      <c r="D12360" t="str">
        <f>"1377"</f>
        <v>1377</v>
      </c>
      <c r="E12360" t="s">
        <v>74</v>
      </c>
      <c r="F12360" t="s">
        <v>3</v>
      </c>
      <c r="G12360" t="s">
        <v>47098</v>
      </c>
      <c r="H12360" t="s">
        <v>47126</v>
      </c>
      <c r="I12360" t="s">
        <v>47127</v>
      </c>
      <c r="J12360" t="s">
        <v>47128</v>
      </c>
      <c r="K12360" t="s">
        <v>47113</v>
      </c>
      <c r="L12360">
        <v>33.590000000000003</v>
      </c>
      <c r="M12360">
        <v>66</v>
      </c>
      <c r="N12360">
        <v>0</v>
      </c>
      <c r="O12360">
        <v>66</v>
      </c>
      <c r="P12360">
        <v>0</v>
      </c>
    </row>
    <row r="12361" spans="1:16" x14ac:dyDescent="0.25">
      <c r="A12361" t="s">
        <v>15003</v>
      </c>
      <c r="B12361" t="s">
        <v>165</v>
      </c>
      <c r="C12361" t="s">
        <v>166</v>
      </c>
      <c r="D12361" t="str">
        <f>"4048"</f>
        <v>4048</v>
      </c>
      <c r="E12361" t="s">
        <v>167</v>
      </c>
      <c r="F12361" t="s">
        <v>3</v>
      </c>
      <c r="G12361" t="s">
        <v>47098</v>
      </c>
      <c r="H12361" t="s">
        <v>47126</v>
      </c>
      <c r="I12361" t="s">
        <v>47127</v>
      </c>
      <c r="J12361" t="s">
        <v>47128</v>
      </c>
      <c r="K12361" t="s">
        <v>47113</v>
      </c>
      <c r="L12361">
        <v>33.58</v>
      </c>
      <c r="M12361">
        <v>66</v>
      </c>
      <c r="N12361">
        <v>0</v>
      </c>
      <c r="O12361">
        <v>66</v>
      </c>
      <c r="P12361">
        <v>0</v>
      </c>
    </row>
    <row r="12362" spans="1:16" x14ac:dyDescent="0.25">
      <c r="A12362" t="s">
        <v>35026</v>
      </c>
      <c r="B12362" t="s">
        <v>165</v>
      </c>
      <c r="C12362" t="s">
        <v>166</v>
      </c>
      <c r="D12362" t="str">
        <f>"6500"</f>
        <v>6500</v>
      </c>
      <c r="E12362" t="s">
        <v>151</v>
      </c>
      <c r="F12362" t="s">
        <v>3</v>
      </c>
      <c r="G12362" t="s">
        <v>47098</v>
      </c>
      <c r="H12362" t="s">
        <v>47126</v>
      </c>
      <c r="I12362" t="s">
        <v>47127</v>
      </c>
      <c r="J12362" t="s">
        <v>47128</v>
      </c>
      <c r="K12362" t="s">
        <v>47113</v>
      </c>
      <c r="L12362">
        <v>33.58</v>
      </c>
      <c r="M12362">
        <v>66</v>
      </c>
      <c r="N12362">
        <v>0</v>
      </c>
      <c r="O12362">
        <v>66</v>
      </c>
      <c r="P12362">
        <v>0</v>
      </c>
    </row>
    <row r="12363" spans="1:16" x14ac:dyDescent="0.25">
      <c r="A12363" t="s">
        <v>35027</v>
      </c>
      <c r="B12363" t="s">
        <v>168</v>
      </c>
      <c r="C12363" t="s">
        <v>169</v>
      </c>
      <c r="D12363" t="str">
        <f>"1377"</f>
        <v>1377</v>
      </c>
      <c r="E12363" t="s">
        <v>74</v>
      </c>
      <c r="F12363" t="s">
        <v>3</v>
      </c>
      <c r="G12363" t="s">
        <v>47094</v>
      </c>
      <c r="H12363" t="s">
        <v>47126</v>
      </c>
      <c r="I12363" t="s">
        <v>47127</v>
      </c>
      <c r="J12363" t="s">
        <v>47128</v>
      </c>
      <c r="K12363" t="s">
        <v>47113</v>
      </c>
      <c r="L12363">
        <v>20.62</v>
      </c>
      <c r="M12363">
        <v>36</v>
      </c>
      <c r="N12363">
        <v>0</v>
      </c>
      <c r="O12363">
        <v>36</v>
      </c>
      <c r="P12363">
        <v>0</v>
      </c>
    </row>
    <row r="12364" spans="1:16" x14ac:dyDescent="0.25">
      <c r="A12364" t="s">
        <v>35028</v>
      </c>
      <c r="B12364" t="s">
        <v>168</v>
      </c>
      <c r="C12364" t="s">
        <v>169</v>
      </c>
      <c r="D12364" t="str">
        <f>"6500"</f>
        <v>6500</v>
      </c>
      <c r="E12364" t="s">
        <v>151</v>
      </c>
      <c r="F12364" t="s">
        <v>3</v>
      </c>
      <c r="G12364" t="s">
        <v>47094</v>
      </c>
      <c r="H12364" t="s">
        <v>47126</v>
      </c>
      <c r="I12364" t="s">
        <v>47127</v>
      </c>
      <c r="J12364" t="s">
        <v>47128</v>
      </c>
      <c r="K12364" t="s">
        <v>47113</v>
      </c>
      <c r="L12364">
        <v>20.62</v>
      </c>
      <c r="M12364">
        <v>36</v>
      </c>
      <c r="N12364">
        <v>0</v>
      </c>
      <c r="O12364">
        <v>36</v>
      </c>
      <c r="P12364">
        <v>0</v>
      </c>
    </row>
    <row r="12365" spans="1:16" x14ac:dyDescent="0.25">
      <c r="A12365" t="s">
        <v>35029</v>
      </c>
      <c r="B12365" t="s">
        <v>9292</v>
      </c>
      <c r="C12365" t="s">
        <v>9293</v>
      </c>
      <c r="D12365" t="str">
        <f>"1007"</f>
        <v>1007</v>
      </c>
      <c r="E12365" t="s">
        <v>162</v>
      </c>
      <c r="F12365" t="s">
        <v>3</v>
      </c>
      <c r="G12365" t="s">
        <v>47094</v>
      </c>
      <c r="H12365" t="s">
        <v>47126</v>
      </c>
      <c r="I12365" t="s">
        <v>47127</v>
      </c>
      <c r="J12365" t="s">
        <v>47128</v>
      </c>
      <c r="K12365" t="s">
        <v>47113</v>
      </c>
      <c r="L12365">
        <v>18.62</v>
      </c>
      <c r="M12365">
        <v>37</v>
      </c>
      <c r="N12365">
        <v>0</v>
      </c>
      <c r="O12365">
        <v>37</v>
      </c>
      <c r="P12365">
        <v>0</v>
      </c>
    </row>
    <row r="12366" spans="1:16" x14ac:dyDescent="0.25">
      <c r="A12366" t="s">
        <v>35030</v>
      </c>
      <c r="B12366" t="s">
        <v>9292</v>
      </c>
      <c r="C12366" t="s">
        <v>9293</v>
      </c>
      <c r="D12366" t="str">
        <f>"1285"</f>
        <v>1285</v>
      </c>
      <c r="E12366" t="s">
        <v>2148</v>
      </c>
      <c r="F12366" t="s">
        <v>3</v>
      </c>
      <c r="G12366" t="s">
        <v>47094</v>
      </c>
      <c r="H12366" t="s">
        <v>47126</v>
      </c>
      <c r="I12366" t="s">
        <v>47127</v>
      </c>
      <c r="J12366" t="s">
        <v>47128</v>
      </c>
      <c r="K12366" t="s">
        <v>47113</v>
      </c>
      <c r="L12366">
        <v>19.82</v>
      </c>
      <c r="M12366">
        <v>37</v>
      </c>
      <c r="N12366">
        <v>0</v>
      </c>
      <c r="O12366">
        <v>37</v>
      </c>
      <c r="P12366">
        <v>0</v>
      </c>
    </row>
    <row r="12367" spans="1:16" x14ac:dyDescent="0.25">
      <c r="A12367" t="s">
        <v>35031</v>
      </c>
      <c r="B12367" t="s">
        <v>9292</v>
      </c>
      <c r="C12367" t="s">
        <v>9293</v>
      </c>
      <c r="D12367" t="str">
        <f>"1700"</f>
        <v>1700</v>
      </c>
      <c r="E12367" t="s">
        <v>60</v>
      </c>
      <c r="F12367" t="s">
        <v>3</v>
      </c>
      <c r="G12367" t="s">
        <v>47094</v>
      </c>
      <c r="H12367" t="s">
        <v>47126</v>
      </c>
      <c r="I12367" t="s">
        <v>47127</v>
      </c>
      <c r="J12367" t="s">
        <v>47128</v>
      </c>
      <c r="K12367" t="s">
        <v>47113</v>
      </c>
      <c r="L12367">
        <v>18.62</v>
      </c>
      <c r="M12367">
        <v>37</v>
      </c>
      <c r="N12367">
        <v>0</v>
      </c>
      <c r="O12367">
        <v>37</v>
      </c>
      <c r="P12367">
        <v>0</v>
      </c>
    </row>
    <row r="12368" spans="1:16" x14ac:dyDescent="0.25">
      <c r="A12368" t="s">
        <v>35032</v>
      </c>
      <c r="B12368" t="s">
        <v>9294</v>
      </c>
      <c r="C12368" t="s">
        <v>9295</v>
      </c>
      <c r="D12368" t="str">
        <f>"1007"</f>
        <v>1007</v>
      </c>
      <c r="E12368" t="s">
        <v>162</v>
      </c>
      <c r="F12368" t="s">
        <v>3</v>
      </c>
      <c r="G12368" t="s">
        <v>47094</v>
      </c>
      <c r="H12368" t="s">
        <v>47126</v>
      </c>
      <c r="I12368" t="s">
        <v>47127</v>
      </c>
      <c r="J12368" t="s">
        <v>47128</v>
      </c>
      <c r="K12368" t="s">
        <v>47113</v>
      </c>
      <c r="L12368">
        <v>31.61</v>
      </c>
      <c r="M12368">
        <v>53</v>
      </c>
      <c r="N12368">
        <v>0</v>
      </c>
      <c r="O12368">
        <v>53</v>
      </c>
      <c r="P12368">
        <v>0</v>
      </c>
    </row>
    <row r="12369" spans="1:16" x14ac:dyDescent="0.25">
      <c r="A12369" t="s">
        <v>35033</v>
      </c>
      <c r="B12369" t="s">
        <v>9294</v>
      </c>
      <c r="C12369" t="s">
        <v>9295</v>
      </c>
      <c r="D12369" t="str">
        <f>"1285"</f>
        <v>1285</v>
      </c>
      <c r="E12369" t="s">
        <v>2148</v>
      </c>
      <c r="F12369" t="s">
        <v>3</v>
      </c>
      <c r="G12369" t="s">
        <v>47094</v>
      </c>
      <c r="H12369" t="s">
        <v>47126</v>
      </c>
      <c r="I12369" t="s">
        <v>47127</v>
      </c>
      <c r="J12369" t="s">
        <v>47128</v>
      </c>
      <c r="K12369" t="s">
        <v>47113</v>
      </c>
      <c r="L12369">
        <v>31.61</v>
      </c>
      <c r="M12369">
        <v>53</v>
      </c>
      <c r="N12369">
        <v>0</v>
      </c>
      <c r="O12369">
        <v>53</v>
      </c>
      <c r="P12369">
        <v>0</v>
      </c>
    </row>
    <row r="12370" spans="1:16" x14ac:dyDescent="0.25">
      <c r="A12370" t="s">
        <v>35034</v>
      </c>
      <c r="B12370" t="s">
        <v>9294</v>
      </c>
      <c r="C12370" t="s">
        <v>9295</v>
      </c>
      <c r="D12370" t="str">
        <f>"1700"</f>
        <v>1700</v>
      </c>
      <c r="E12370" t="s">
        <v>60</v>
      </c>
      <c r="F12370" t="s">
        <v>3</v>
      </c>
      <c r="G12370" t="s">
        <v>47094</v>
      </c>
      <c r="H12370" t="s">
        <v>47126</v>
      </c>
      <c r="I12370" t="s">
        <v>47127</v>
      </c>
      <c r="J12370" t="s">
        <v>47128</v>
      </c>
      <c r="K12370" t="s">
        <v>47113</v>
      </c>
      <c r="L12370">
        <v>31.61</v>
      </c>
      <c r="M12370">
        <v>53</v>
      </c>
      <c r="N12370">
        <v>0</v>
      </c>
      <c r="O12370">
        <v>53</v>
      </c>
      <c r="P12370">
        <v>0</v>
      </c>
    </row>
    <row r="12371" spans="1:16" x14ac:dyDescent="0.25">
      <c r="A12371" t="s">
        <v>15004</v>
      </c>
      <c r="B12371" t="s">
        <v>170</v>
      </c>
      <c r="C12371" t="s">
        <v>171</v>
      </c>
      <c r="D12371" t="str">
        <f>"1007"</f>
        <v>1007</v>
      </c>
      <c r="E12371" t="s">
        <v>162</v>
      </c>
      <c r="F12371" t="s">
        <v>3</v>
      </c>
      <c r="G12371" t="s">
        <v>47097</v>
      </c>
      <c r="H12371" t="s">
        <v>47126</v>
      </c>
      <c r="I12371" t="s">
        <v>47127</v>
      </c>
      <c r="J12371" t="s">
        <v>47128</v>
      </c>
      <c r="K12371" t="s">
        <v>47113</v>
      </c>
      <c r="L12371">
        <v>6.62</v>
      </c>
      <c r="M12371">
        <v>18</v>
      </c>
      <c r="N12371">
        <v>0</v>
      </c>
      <c r="O12371">
        <v>18</v>
      </c>
      <c r="P12371">
        <v>0</v>
      </c>
    </row>
    <row r="12372" spans="1:16" x14ac:dyDescent="0.25">
      <c r="A12372" t="s">
        <v>35035</v>
      </c>
      <c r="B12372" t="s">
        <v>170</v>
      </c>
      <c r="C12372" t="s">
        <v>171</v>
      </c>
      <c r="D12372" t="str">
        <f>"1286"</f>
        <v>1286</v>
      </c>
      <c r="E12372" t="s">
        <v>148</v>
      </c>
      <c r="F12372" t="s">
        <v>3</v>
      </c>
      <c r="G12372" t="s">
        <v>47097</v>
      </c>
      <c r="H12372" t="s">
        <v>47126</v>
      </c>
      <c r="I12372" t="s">
        <v>47127</v>
      </c>
      <c r="J12372" t="s">
        <v>47128</v>
      </c>
      <c r="K12372" t="s">
        <v>47113</v>
      </c>
      <c r="L12372">
        <v>6.61</v>
      </c>
      <c r="M12372">
        <v>18</v>
      </c>
      <c r="N12372">
        <v>0</v>
      </c>
      <c r="O12372">
        <v>18</v>
      </c>
      <c r="P12372">
        <v>0</v>
      </c>
    </row>
    <row r="12373" spans="1:16" x14ac:dyDescent="0.25">
      <c r="A12373" t="s">
        <v>35036</v>
      </c>
      <c r="B12373" t="s">
        <v>170</v>
      </c>
      <c r="C12373" t="s">
        <v>171</v>
      </c>
      <c r="D12373" t="str">
        <f>"1377"</f>
        <v>1377</v>
      </c>
      <c r="E12373" t="s">
        <v>74</v>
      </c>
      <c r="F12373" t="s">
        <v>3</v>
      </c>
      <c r="G12373" t="s">
        <v>47097</v>
      </c>
      <c r="H12373" t="s">
        <v>47126</v>
      </c>
      <c r="I12373" t="s">
        <v>47127</v>
      </c>
      <c r="J12373" t="s">
        <v>47128</v>
      </c>
      <c r="K12373" t="s">
        <v>47113</v>
      </c>
      <c r="L12373">
        <v>6.62</v>
      </c>
      <c r="M12373">
        <v>18</v>
      </c>
      <c r="N12373">
        <v>0</v>
      </c>
      <c r="O12373">
        <v>18</v>
      </c>
      <c r="P12373">
        <v>0</v>
      </c>
    </row>
    <row r="12374" spans="1:16" x14ac:dyDescent="0.25">
      <c r="A12374" t="s">
        <v>35037</v>
      </c>
      <c r="B12374" t="s">
        <v>170</v>
      </c>
      <c r="C12374" t="s">
        <v>171</v>
      </c>
      <c r="D12374" t="str">
        <f>"1700"</f>
        <v>1700</v>
      </c>
      <c r="E12374" t="s">
        <v>60</v>
      </c>
      <c r="F12374" t="s">
        <v>3</v>
      </c>
      <c r="G12374" t="s">
        <v>47097</v>
      </c>
      <c r="H12374" t="s">
        <v>47126</v>
      </c>
      <c r="I12374" t="s">
        <v>47127</v>
      </c>
      <c r="J12374" t="s">
        <v>47128</v>
      </c>
      <c r="K12374" t="s">
        <v>47113</v>
      </c>
      <c r="L12374">
        <v>6.61</v>
      </c>
      <c r="M12374">
        <v>18</v>
      </c>
      <c r="N12374">
        <v>0</v>
      </c>
      <c r="O12374">
        <v>18</v>
      </c>
      <c r="P12374">
        <v>0</v>
      </c>
    </row>
    <row r="12375" spans="1:16" x14ac:dyDescent="0.25">
      <c r="A12375" t="s">
        <v>35038</v>
      </c>
      <c r="B12375" t="s">
        <v>170</v>
      </c>
      <c r="C12375" t="s">
        <v>171</v>
      </c>
      <c r="D12375" t="str">
        <f>"3196"</f>
        <v>3196</v>
      </c>
      <c r="E12375" t="s">
        <v>159</v>
      </c>
      <c r="F12375" t="s">
        <v>3</v>
      </c>
      <c r="G12375" t="s">
        <v>47097</v>
      </c>
      <c r="H12375" t="s">
        <v>47126</v>
      </c>
      <c r="I12375" t="s">
        <v>47127</v>
      </c>
      <c r="J12375" t="s">
        <v>47128</v>
      </c>
      <c r="K12375" t="s">
        <v>47113</v>
      </c>
      <c r="L12375">
        <v>6.61</v>
      </c>
      <c r="M12375">
        <v>18</v>
      </c>
      <c r="N12375">
        <v>0</v>
      </c>
      <c r="O12375">
        <v>18</v>
      </c>
      <c r="P12375">
        <v>0</v>
      </c>
    </row>
    <row r="12376" spans="1:16" x14ac:dyDescent="0.25">
      <c r="A12376" t="s">
        <v>15005</v>
      </c>
      <c r="B12376" t="s">
        <v>170</v>
      </c>
      <c r="C12376" t="s">
        <v>171</v>
      </c>
      <c r="D12376" t="str">
        <f>"4400"</f>
        <v>4400</v>
      </c>
      <c r="E12376" t="s">
        <v>154</v>
      </c>
      <c r="F12376" t="s">
        <v>3</v>
      </c>
      <c r="G12376" t="s">
        <v>47097</v>
      </c>
      <c r="H12376" t="s">
        <v>47126</v>
      </c>
      <c r="I12376" t="s">
        <v>47127</v>
      </c>
      <c r="J12376" t="s">
        <v>47128</v>
      </c>
      <c r="K12376" t="s">
        <v>47113</v>
      </c>
      <c r="L12376">
        <v>6.62</v>
      </c>
      <c r="M12376">
        <v>18</v>
      </c>
      <c r="N12376">
        <v>0</v>
      </c>
      <c r="O12376">
        <v>18</v>
      </c>
      <c r="P12376">
        <v>0</v>
      </c>
    </row>
    <row r="12377" spans="1:16" x14ac:dyDescent="0.25">
      <c r="A12377" t="s">
        <v>15006</v>
      </c>
      <c r="B12377" t="s">
        <v>170</v>
      </c>
      <c r="C12377" t="s">
        <v>171</v>
      </c>
      <c r="D12377" t="str">
        <f>"6500"</f>
        <v>6500</v>
      </c>
      <c r="E12377" t="s">
        <v>151</v>
      </c>
      <c r="F12377" t="s">
        <v>3</v>
      </c>
      <c r="G12377" t="s">
        <v>47097</v>
      </c>
      <c r="H12377" t="s">
        <v>47126</v>
      </c>
      <c r="I12377" t="s">
        <v>47127</v>
      </c>
      <c r="J12377" t="s">
        <v>47128</v>
      </c>
      <c r="K12377" t="s">
        <v>47113</v>
      </c>
      <c r="L12377">
        <v>6.62</v>
      </c>
      <c r="M12377">
        <v>18</v>
      </c>
      <c r="N12377">
        <v>0</v>
      </c>
      <c r="O12377">
        <v>18</v>
      </c>
      <c r="P12377">
        <v>0</v>
      </c>
    </row>
    <row r="12378" spans="1:16" x14ac:dyDescent="0.25">
      <c r="A12378" t="s">
        <v>35039</v>
      </c>
      <c r="B12378" t="s">
        <v>172</v>
      </c>
      <c r="C12378" t="s">
        <v>173</v>
      </c>
      <c r="D12378" t="str">
        <f>"1286"</f>
        <v>1286</v>
      </c>
      <c r="E12378" t="s">
        <v>148</v>
      </c>
      <c r="F12378" t="s">
        <v>3</v>
      </c>
      <c r="G12378" t="s">
        <v>47091</v>
      </c>
      <c r="H12378" t="s">
        <v>47126</v>
      </c>
      <c r="I12378" t="s">
        <v>47127</v>
      </c>
      <c r="J12378" t="s">
        <v>47128</v>
      </c>
      <c r="K12378" t="s">
        <v>47113</v>
      </c>
      <c r="L12378">
        <v>13.45</v>
      </c>
      <c r="M12378">
        <v>25</v>
      </c>
      <c r="N12378">
        <v>0</v>
      </c>
      <c r="O12378">
        <v>25</v>
      </c>
      <c r="P12378">
        <v>0</v>
      </c>
    </row>
    <row r="12379" spans="1:16" x14ac:dyDescent="0.25">
      <c r="A12379" t="s">
        <v>15007</v>
      </c>
      <c r="B12379" t="s">
        <v>172</v>
      </c>
      <c r="C12379" t="s">
        <v>173</v>
      </c>
      <c r="D12379" t="str">
        <f>"1377"</f>
        <v>1377</v>
      </c>
      <c r="E12379" t="s">
        <v>74</v>
      </c>
      <c r="F12379" t="s">
        <v>3</v>
      </c>
      <c r="G12379" t="s">
        <v>47091</v>
      </c>
      <c r="H12379" t="s">
        <v>47126</v>
      </c>
      <c r="I12379" t="s">
        <v>47127</v>
      </c>
      <c r="J12379" t="s">
        <v>47128</v>
      </c>
      <c r="K12379" t="s">
        <v>47113</v>
      </c>
      <c r="L12379">
        <v>14.3</v>
      </c>
      <c r="M12379">
        <v>25</v>
      </c>
      <c r="N12379">
        <v>0</v>
      </c>
      <c r="O12379">
        <v>25</v>
      </c>
      <c r="P12379">
        <v>0</v>
      </c>
    </row>
    <row r="12380" spans="1:16" x14ac:dyDescent="0.25">
      <c r="A12380" t="s">
        <v>35040</v>
      </c>
      <c r="B12380" t="s">
        <v>172</v>
      </c>
      <c r="C12380" t="s">
        <v>173</v>
      </c>
      <c r="D12380" t="str">
        <f>"1378"</f>
        <v>1378</v>
      </c>
      <c r="E12380" t="s">
        <v>388</v>
      </c>
      <c r="F12380" t="s">
        <v>3</v>
      </c>
      <c r="G12380" t="s">
        <v>47091</v>
      </c>
      <c r="H12380" t="s">
        <v>47126</v>
      </c>
      <c r="I12380" t="s">
        <v>47127</v>
      </c>
      <c r="J12380" t="s">
        <v>47128</v>
      </c>
      <c r="K12380" t="s">
        <v>47113</v>
      </c>
      <c r="L12380">
        <v>14.3</v>
      </c>
      <c r="M12380">
        <v>25</v>
      </c>
      <c r="N12380">
        <v>0</v>
      </c>
      <c r="O12380">
        <v>25</v>
      </c>
      <c r="P12380">
        <v>0</v>
      </c>
    </row>
    <row r="12381" spans="1:16" x14ac:dyDescent="0.25">
      <c r="A12381" t="s">
        <v>35041</v>
      </c>
      <c r="B12381" t="s">
        <v>172</v>
      </c>
      <c r="C12381" t="s">
        <v>173</v>
      </c>
      <c r="D12381" t="str">
        <f>"1700"</f>
        <v>1700</v>
      </c>
      <c r="E12381" t="s">
        <v>60</v>
      </c>
      <c r="F12381" t="s">
        <v>3</v>
      </c>
      <c r="G12381" t="s">
        <v>47091</v>
      </c>
      <c r="H12381" t="s">
        <v>47126</v>
      </c>
      <c r="I12381" t="s">
        <v>47127</v>
      </c>
      <c r="J12381" t="s">
        <v>47128</v>
      </c>
      <c r="K12381" t="s">
        <v>47113</v>
      </c>
      <c r="L12381">
        <v>14.3</v>
      </c>
      <c r="M12381">
        <v>25</v>
      </c>
      <c r="N12381">
        <v>0</v>
      </c>
      <c r="O12381">
        <v>25</v>
      </c>
      <c r="P12381">
        <v>0</v>
      </c>
    </row>
    <row r="12382" spans="1:16" x14ac:dyDescent="0.25">
      <c r="A12382" t="s">
        <v>35042</v>
      </c>
      <c r="B12382" t="s">
        <v>172</v>
      </c>
      <c r="C12382" t="s">
        <v>173</v>
      </c>
      <c r="D12382" t="str">
        <f>"4400"</f>
        <v>4400</v>
      </c>
      <c r="E12382" t="s">
        <v>154</v>
      </c>
      <c r="F12382" t="s">
        <v>3</v>
      </c>
      <c r="G12382" t="s">
        <v>47091</v>
      </c>
      <c r="H12382" t="s">
        <v>47126</v>
      </c>
      <c r="I12382" t="s">
        <v>47127</v>
      </c>
      <c r="J12382" t="s">
        <v>47128</v>
      </c>
      <c r="K12382" t="s">
        <v>47113</v>
      </c>
      <c r="L12382">
        <v>13.45</v>
      </c>
      <c r="M12382">
        <v>25</v>
      </c>
      <c r="N12382">
        <v>0</v>
      </c>
      <c r="O12382">
        <v>25</v>
      </c>
      <c r="P12382">
        <v>0</v>
      </c>
    </row>
    <row r="12383" spans="1:16" x14ac:dyDescent="0.25">
      <c r="A12383" t="s">
        <v>15008</v>
      </c>
      <c r="B12383" t="s">
        <v>172</v>
      </c>
      <c r="C12383" t="s">
        <v>173</v>
      </c>
      <c r="D12383" t="str">
        <f>"6500"</f>
        <v>6500</v>
      </c>
      <c r="E12383" t="s">
        <v>151</v>
      </c>
      <c r="F12383" t="s">
        <v>3</v>
      </c>
      <c r="G12383" t="s">
        <v>47091</v>
      </c>
      <c r="H12383" t="s">
        <v>47126</v>
      </c>
      <c r="I12383" t="s">
        <v>47127</v>
      </c>
      <c r="J12383" t="s">
        <v>47128</v>
      </c>
      <c r="K12383" t="s">
        <v>47113</v>
      </c>
      <c r="L12383">
        <v>14.3</v>
      </c>
      <c r="M12383">
        <v>25</v>
      </c>
      <c r="N12383">
        <v>0</v>
      </c>
      <c r="O12383">
        <v>25</v>
      </c>
      <c r="P12383">
        <v>0</v>
      </c>
    </row>
    <row r="12384" spans="1:16" x14ac:dyDescent="0.25">
      <c r="A12384" t="s">
        <v>35043</v>
      </c>
      <c r="B12384" t="s">
        <v>9296</v>
      </c>
      <c r="C12384" t="s">
        <v>9297</v>
      </c>
      <c r="D12384" t="str">
        <f>"1286"</f>
        <v>1286</v>
      </c>
      <c r="E12384" t="s">
        <v>148</v>
      </c>
      <c r="F12384" t="s">
        <v>3</v>
      </c>
      <c r="G12384" t="s">
        <v>47091</v>
      </c>
      <c r="H12384" t="s">
        <v>47126</v>
      </c>
      <c r="I12384" t="s">
        <v>47127</v>
      </c>
      <c r="J12384" t="s">
        <v>47128</v>
      </c>
      <c r="K12384" t="s">
        <v>47113</v>
      </c>
      <c r="L12384">
        <v>10.199999999999999</v>
      </c>
      <c r="M12384">
        <v>27</v>
      </c>
      <c r="N12384">
        <v>0</v>
      </c>
      <c r="O12384">
        <v>27</v>
      </c>
      <c r="P12384">
        <v>0</v>
      </c>
    </row>
    <row r="12385" spans="1:16" x14ac:dyDescent="0.25">
      <c r="A12385" t="s">
        <v>35044</v>
      </c>
      <c r="B12385" t="s">
        <v>9296</v>
      </c>
      <c r="C12385" t="s">
        <v>9297</v>
      </c>
      <c r="D12385" t="str">
        <f>"1377"</f>
        <v>1377</v>
      </c>
      <c r="E12385" t="s">
        <v>74</v>
      </c>
      <c r="F12385" t="s">
        <v>3</v>
      </c>
      <c r="G12385" t="s">
        <v>47091</v>
      </c>
      <c r="H12385" t="s">
        <v>47126</v>
      </c>
      <c r="I12385" t="s">
        <v>47127</v>
      </c>
      <c r="J12385" t="s">
        <v>47128</v>
      </c>
      <c r="K12385" t="s">
        <v>47113</v>
      </c>
      <c r="L12385">
        <v>13.58</v>
      </c>
      <c r="M12385">
        <v>27</v>
      </c>
      <c r="N12385">
        <v>0</v>
      </c>
      <c r="O12385">
        <v>27</v>
      </c>
      <c r="P12385">
        <v>0</v>
      </c>
    </row>
    <row r="12386" spans="1:16" x14ac:dyDescent="0.25">
      <c r="A12386" t="s">
        <v>35045</v>
      </c>
      <c r="B12386" t="s">
        <v>9296</v>
      </c>
      <c r="C12386" t="s">
        <v>9297</v>
      </c>
      <c r="D12386" t="str">
        <f>"1378"</f>
        <v>1378</v>
      </c>
      <c r="E12386" t="s">
        <v>388</v>
      </c>
      <c r="F12386" t="s">
        <v>3</v>
      </c>
      <c r="G12386" t="s">
        <v>47091</v>
      </c>
      <c r="H12386" t="s">
        <v>47126</v>
      </c>
      <c r="I12386" t="s">
        <v>47127</v>
      </c>
      <c r="J12386" t="s">
        <v>47128</v>
      </c>
      <c r="K12386" t="s">
        <v>47113</v>
      </c>
      <c r="L12386">
        <v>13.58</v>
      </c>
      <c r="M12386">
        <v>27</v>
      </c>
      <c r="N12386">
        <v>0</v>
      </c>
      <c r="O12386">
        <v>27</v>
      </c>
      <c r="P12386">
        <v>0</v>
      </c>
    </row>
    <row r="12387" spans="1:16" x14ac:dyDescent="0.25">
      <c r="A12387" t="s">
        <v>35046</v>
      </c>
      <c r="B12387" t="s">
        <v>9296</v>
      </c>
      <c r="C12387" t="s">
        <v>9297</v>
      </c>
      <c r="D12387" t="str">
        <f>"1700"</f>
        <v>1700</v>
      </c>
      <c r="E12387" t="s">
        <v>60</v>
      </c>
      <c r="F12387" t="s">
        <v>3</v>
      </c>
      <c r="G12387" t="s">
        <v>47091</v>
      </c>
      <c r="H12387" t="s">
        <v>47126</v>
      </c>
      <c r="I12387" t="s">
        <v>47127</v>
      </c>
      <c r="J12387" t="s">
        <v>47128</v>
      </c>
      <c r="K12387" t="s">
        <v>47113</v>
      </c>
      <c r="L12387">
        <v>13.58</v>
      </c>
      <c r="M12387">
        <v>27</v>
      </c>
      <c r="N12387">
        <v>0</v>
      </c>
      <c r="O12387">
        <v>27</v>
      </c>
      <c r="P12387">
        <v>0</v>
      </c>
    </row>
    <row r="12388" spans="1:16" x14ac:dyDescent="0.25">
      <c r="A12388" t="s">
        <v>35047</v>
      </c>
      <c r="B12388" t="s">
        <v>9296</v>
      </c>
      <c r="C12388" t="s">
        <v>9297</v>
      </c>
      <c r="D12388" t="str">
        <f>"3196"</f>
        <v>3196</v>
      </c>
      <c r="E12388" t="s">
        <v>159</v>
      </c>
      <c r="F12388" t="s">
        <v>3</v>
      </c>
      <c r="G12388" t="s">
        <v>47091</v>
      </c>
      <c r="H12388" t="s">
        <v>47126</v>
      </c>
      <c r="I12388" t="s">
        <v>47127</v>
      </c>
      <c r="J12388" t="s">
        <v>47128</v>
      </c>
      <c r="K12388" t="s">
        <v>47113</v>
      </c>
      <c r="L12388">
        <v>10.199999999999999</v>
      </c>
      <c r="M12388">
        <v>27</v>
      </c>
      <c r="N12388">
        <v>0</v>
      </c>
      <c r="O12388">
        <v>27</v>
      </c>
      <c r="P12388">
        <v>0</v>
      </c>
    </row>
    <row r="12389" spans="1:16" x14ac:dyDescent="0.25">
      <c r="A12389" t="s">
        <v>35048</v>
      </c>
      <c r="B12389" t="s">
        <v>9296</v>
      </c>
      <c r="C12389" t="s">
        <v>9297</v>
      </c>
      <c r="D12389" t="str">
        <f>"4400"</f>
        <v>4400</v>
      </c>
      <c r="E12389" t="s">
        <v>154</v>
      </c>
      <c r="F12389" t="s">
        <v>3</v>
      </c>
      <c r="G12389" t="s">
        <v>47091</v>
      </c>
      <c r="H12389" t="s">
        <v>47126</v>
      </c>
      <c r="I12389" t="s">
        <v>47127</v>
      </c>
      <c r="J12389" t="s">
        <v>47128</v>
      </c>
      <c r="K12389" t="s">
        <v>47113</v>
      </c>
      <c r="L12389">
        <v>13.58</v>
      </c>
      <c r="M12389">
        <v>27</v>
      </c>
      <c r="N12389">
        <v>0</v>
      </c>
      <c r="O12389">
        <v>27</v>
      </c>
      <c r="P12389">
        <v>0</v>
      </c>
    </row>
    <row r="12390" spans="1:16" x14ac:dyDescent="0.25">
      <c r="A12390" t="s">
        <v>35049</v>
      </c>
      <c r="B12390" t="s">
        <v>9296</v>
      </c>
      <c r="C12390" t="s">
        <v>9297</v>
      </c>
      <c r="D12390" t="str">
        <f>"6000"</f>
        <v>6000</v>
      </c>
      <c r="E12390" t="s">
        <v>238</v>
      </c>
      <c r="F12390" t="s">
        <v>3</v>
      </c>
      <c r="G12390" t="s">
        <v>47091</v>
      </c>
      <c r="H12390" t="s">
        <v>47126</v>
      </c>
      <c r="I12390" t="s">
        <v>47127</v>
      </c>
      <c r="J12390" t="s">
        <v>47128</v>
      </c>
      <c r="K12390" t="s">
        <v>47113</v>
      </c>
      <c r="L12390">
        <v>10.199999999999999</v>
      </c>
      <c r="M12390">
        <v>27</v>
      </c>
      <c r="N12390">
        <v>0</v>
      </c>
      <c r="O12390">
        <v>27</v>
      </c>
      <c r="P12390">
        <v>0</v>
      </c>
    </row>
    <row r="12391" spans="1:16" x14ac:dyDescent="0.25">
      <c r="A12391" t="s">
        <v>35050</v>
      </c>
      <c r="B12391" t="s">
        <v>9296</v>
      </c>
      <c r="C12391" t="s">
        <v>9297</v>
      </c>
      <c r="D12391" t="str">
        <f>"6500"</f>
        <v>6500</v>
      </c>
      <c r="E12391" t="s">
        <v>151</v>
      </c>
      <c r="F12391" t="s">
        <v>3</v>
      </c>
      <c r="G12391" t="s">
        <v>47091</v>
      </c>
      <c r="H12391" t="s">
        <v>47126</v>
      </c>
      <c r="I12391" t="s">
        <v>47127</v>
      </c>
      <c r="J12391" t="s">
        <v>47128</v>
      </c>
      <c r="K12391" t="s">
        <v>47113</v>
      </c>
      <c r="L12391">
        <v>13.58</v>
      </c>
      <c r="M12391">
        <v>27</v>
      </c>
      <c r="N12391">
        <v>0</v>
      </c>
      <c r="O12391">
        <v>27</v>
      </c>
      <c r="P12391">
        <v>0</v>
      </c>
    </row>
    <row r="12392" spans="1:16" x14ac:dyDescent="0.25">
      <c r="A12392" t="s">
        <v>15009</v>
      </c>
      <c r="B12392" t="s">
        <v>174</v>
      </c>
      <c r="C12392" t="s">
        <v>175</v>
      </c>
      <c r="D12392" t="str">
        <f>"1286"</f>
        <v>1286</v>
      </c>
      <c r="E12392" t="s">
        <v>148</v>
      </c>
      <c r="F12392" t="s">
        <v>3</v>
      </c>
      <c r="G12392" t="s">
        <v>47097</v>
      </c>
      <c r="H12392" t="s">
        <v>47126</v>
      </c>
      <c r="I12392" t="s">
        <v>47127</v>
      </c>
      <c r="J12392" t="s">
        <v>47128</v>
      </c>
      <c r="K12392" t="s">
        <v>47113</v>
      </c>
      <c r="L12392">
        <v>11.11</v>
      </c>
      <c r="M12392">
        <v>21</v>
      </c>
      <c r="N12392">
        <v>0</v>
      </c>
      <c r="O12392">
        <v>21</v>
      </c>
      <c r="P12392">
        <v>0</v>
      </c>
    </row>
    <row r="12393" spans="1:16" x14ac:dyDescent="0.25">
      <c r="A12393" t="s">
        <v>35051</v>
      </c>
      <c r="B12393" t="s">
        <v>174</v>
      </c>
      <c r="C12393" t="s">
        <v>175</v>
      </c>
      <c r="D12393" t="str">
        <f>"1377"</f>
        <v>1377</v>
      </c>
      <c r="E12393" t="s">
        <v>74</v>
      </c>
      <c r="F12393" t="s">
        <v>3</v>
      </c>
      <c r="G12393" t="s">
        <v>47097</v>
      </c>
      <c r="H12393" t="s">
        <v>47126</v>
      </c>
      <c r="I12393" t="s">
        <v>47127</v>
      </c>
      <c r="J12393" t="s">
        <v>47128</v>
      </c>
      <c r="K12393" t="s">
        <v>47113</v>
      </c>
      <c r="L12393">
        <v>8.3699999999999992</v>
      </c>
      <c r="M12393">
        <v>21</v>
      </c>
      <c r="N12393">
        <v>0</v>
      </c>
      <c r="O12393">
        <v>21</v>
      </c>
      <c r="P12393">
        <v>0</v>
      </c>
    </row>
    <row r="12394" spans="1:16" x14ac:dyDescent="0.25">
      <c r="A12394" t="s">
        <v>35052</v>
      </c>
      <c r="B12394" t="s">
        <v>174</v>
      </c>
      <c r="C12394" t="s">
        <v>175</v>
      </c>
      <c r="D12394" t="str">
        <f>"1700"</f>
        <v>1700</v>
      </c>
      <c r="E12394" t="s">
        <v>60</v>
      </c>
      <c r="F12394" t="s">
        <v>3</v>
      </c>
      <c r="G12394" t="s">
        <v>47097</v>
      </c>
      <c r="H12394" t="s">
        <v>47126</v>
      </c>
      <c r="I12394" t="s">
        <v>47127</v>
      </c>
      <c r="J12394" t="s">
        <v>47128</v>
      </c>
      <c r="K12394" t="s">
        <v>47113</v>
      </c>
      <c r="L12394">
        <v>11.11</v>
      </c>
      <c r="M12394">
        <v>21</v>
      </c>
      <c r="N12394">
        <v>0</v>
      </c>
      <c r="O12394">
        <v>21</v>
      </c>
      <c r="P12394">
        <v>0</v>
      </c>
    </row>
    <row r="12395" spans="1:16" x14ac:dyDescent="0.25">
      <c r="A12395" t="s">
        <v>35053</v>
      </c>
      <c r="B12395" t="s">
        <v>174</v>
      </c>
      <c r="C12395" t="s">
        <v>175</v>
      </c>
      <c r="D12395" t="str">
        <f>"4400"</f>
        <v>4400</v>
      </c>
      <c r="E12395" t="s">
        <v>154</v>
      </c>
      <c r="F12395" t="s">
        <v>3</v>
      </c>
      <c r="G12395" t="s">
        <v>47097</v>
      </c>
      <c r="H12395" t="s">
        <v>47126</v>
      </c>
      <c r="I12395" t="s">
        <v>47127</v>
      </c>
      <c r="J12395" t="s">
        <v>47128</v>
      </c>
      <c r="K12395" t="s">
        <v>47113</v>
      </c>
      <c r="L12395">
        <v>11.11</v>
      </c>
      <c r="M12395">
        <v>21</v>
      </c>
      <c r="N12395">
        <v>0</v>
      </c>
      <c r="O12395">
        <v>21</v>
      </c>
      <c r="P12395">
        <v>0</v>
      </c>
    </row>
    <row r="12396" spans="1:16" x14ac:dyDescent="0.25">
      <c r="A12396" t="s">
        <v>35054</v>
      </c>
      <c r="B12396" t="s">
        <v>174</v>
      </c>
      <c r="C12396" t="s">
        <v>175</v>
      </c>
      <c r="D12396" t="str">
        <f>"6500"</f>
        <v>6500</v>
      </c>
      <c r="E12396" t="s">
        <v>151</v>
      </c>
      <c r="F12396" t="s">
        <v>3</v>
      </c>
      <c r="G12396" t="s">
        <v>47097</v>
      </c>
      <c r="H12396" t="s">
        <v>47126</v>
      </c>
      <c r="I12396" t="s">
        <v>47127</v>
      </c>
      <c r="J12396" t="s">
        <v>47128</v>
      </c>
      <c r="K12396" t="s">
        <v>47113</v>
      </c>
      <c r="L12396">
        <v>11.11</v>
      </c>
      <c r="M12396">
        <v>21</v>
      </c>
      <c r="N12396">
        <v>0</v>
      </c>
      <c r="O12396">
        <v>21</v>
      </c>
      <c r="P12396">
        <v>0</v>
      </c>
    </row>
    <row r="12397" spans="1:16" x14ac:dyDescent="0.25">
      <c r="A12397" t="s">
        <v>15010</v>
      </c>
      <c r="B12397" t="s">
        <v>176</v>
      </c>
      <c r="C12397" t="s">
        <v>177</v>
      </c>
      <c r="D12397" t="str">
        <f>"1286"</f>
        <v>1286</v>
      </c>
      <c r="E12397" t="s">
        <v>148</v>
      </c>
      <c r="F12397" t="s">
        <v>3</v>
      </c>
      <c r="G12397" t="s">
        <v>47097</v>
      </c>
      <c r="H12397" t="s">
        <v>47126</v>
      </c>
      <c r="I12397" t="s">
        <v>47127</v>
      </c>
      <c r="J12397" t="s">
        <v>47128</v>
      </c>
      <c r="K12397" t="s">
        <v>47113</v>
      </c>
      <c r="L12397">
        <v>14.3</v>
      </c>
      <c r="M12397">
        <v>27</v>
      </c>
      <c r="N12397">
        <v>0</v>
      </c>
      <c r="O12397">
        <v>27</v>
      </c>
      <c r="P12397">
        <v>0</v>
      </c>
    </row>
    <row r="12398" spans="1:16" x14ac:dyDescent="0.25">
      <c r="A12398" t="s">
        <v>15011</v>
      </c>
      <c r="B12398" t="s">
        <v>176</v>
      </c>
      <c r="C12398" t="s">
        <v>177</v>
      </c>
      <c r="D12398" t="str">
        <f>"1377"</f>
        <v>1377</v>
      </c>
      <c r="E12398" t="s">
        <v>74</v>
      </c>
      <c r="F12398" t="s">
        <v>3</v>
      </c>
      <c r="G12398" t="s">
        <v>47097</v>
      </c>
      <c r="H12398" t="s">
        <v>47126</v>
      </c>
      <c r="I12398" t="s">
        <v>47127</v>
      </c>
      <c r="J12398" t="s">
        <v>47128</v>
      </c>
      <c r="K12398" t="s">
        <v>47113</v>
      </c>
      <c r="L12398">
        <v>14.3</v>
      </c>
      <c r="M12398">
        <v>27</v>
      </c>
      <c r="N12398">
        <v>0</v>
      </c>
      <c r="O12398">
        <v>27</v>
      </c>
      <c r="P12398">
        <v>0</v>
      </c>
    </row>
    <row r="12399" spans="1:16" x14ac:dyDescent="0.25">
      <c r="A12399" t="s">
        <v>35055</v>
      </c>
      <c r="B12399" t="s">
        <v>176</v>
      </c>
      <c r="C12399" t="s">
        <v>177</v>
      </c>
      <c r="D12399" t="str">
        <f>"1700"</f>
        <v>1700</v>
      </c>
      <c r="E12399" t="s">
        <v>60</v>
      </c>
      <c r="F12399" t="s">
        <v>3</v>
      </c>
      <c r="G12399" t="s">
        <v>47097</v>
      </c>
      <c r="H12399" t="s">
        <v>47126</v>
      </c>
      <c r="I12399" t="s">
        <v>47127</v>
      </c>
      <c r="J12399" t="s">
        <v>47128</v>
      </c>
      <c r="K12399" t="s">
        <v>47113</v>
      </c>
      <c r="L12399">
        <v>14.3</v>
      </c>
      <c r="M12399">
        <v>27</v>
      </c>
      <c r="N12399">
        <v>0</v>
      </c>
      <c r="O12399">
        <v>27</v>
      </c>
      <c r="P12399">
        <v>0</v>
      </c>
    </row>
    <row r="12400" spans="1:16" x14ac:dyDescent="0.25">
      <c r="A12400" t="s">
        <v>35056</v>
      </c>
      <c r="B12400" t="s">
        <v>176</v>
      </c>
      <c r="C12400" t="s">
        <v>177</v>
      </c>
      <c r="D12400" t="str">
        <f>"4400"</f>
        <v>4400</v>
      </c>
      <c r="E12400" t="s">
        <v>154</v>
      </c>
      <c r="F12400" t="s">
        <v>3</v>
      </c>
      <c r="G12400" t="s">
        <v>47097</v>
      </c>
      <c r="H12400" t="s">
        <v>47126</v>
      </c>
      <c r="I12400" t="s">
        <v>47127</v>
      </c>
      <c r="J12400" t="s">
        <v>47128</v>
      </c>
      <c r="K12400" t="s">
        <v>47113</v>
      </c>
      <c r="L12400">
        <v>14.3</v>
      </c>
      <c r="M12400">
        <v>27</v>
      </c>
      <c r="N12400">
        <v>0</v>
      </c>
      <c r="O12400">
        <v>27</v>
      </c>
      <c r="P12400">
        <v>0</v>
      </c>
    </row>
    <row r="12401" spans="1:16" x14ac:dyDescent="0.25">
      <c r="A12401" t="s">
        <v>15012</v>
      </c>
      <c r="B12401" t="s">
        <v>176</v>
      </c>
      <c r="C12401" t="s">
        <v>177</v>
      </c>
      <c r="D12401" t="str">
        <f>"6500"</f>
        <v>6500</v>
      </c>
      <c r="E12401" t="s">
        <v>151</v>
      </c>
      <c r="F12401" t="s">
        <v>3</v>
      </c>
      <c r="G12401" t="s">
        <v>47097</v>
      </c>
      <c r="H12401" t="s">
        <v>47126</v>
      </c>
      <c r="I12401" t="s">
        <v>47127</v>
      </c>
      <c r="J12401" t="s">
        <v>47128</v>
      </c>
      <c r="K12401" t="s">
        <v>47113</v>
      </c>
      <c r="L12401">
        <v>14.3</v>
      </c>
      <c r="M12401">
        <v>27</v>
      </c>
      <c r="N12401">
        <v>0</v>
      </c>
      <c r="O12401">
        <v>27</v>
      </c>
      <c r="P12401">
        <v>0</v>
      </c>
    </row>
    <row r="12402" spans="1:16" x14ac:dyDescent="0.25">
      <c r="A12402" t="s">
        <v>35057</v>
      </c>
      <c r="B12402" t="s">
        <v>9298</v>
      </c>
      <c r="C12402" t="s">
        <v>9299</v>
      </c>
      <c r="D12402" t="str">
        <f>"1286"</f>
        <v>1286</v>
      </c>
      <c r="E12402" t="s">
        <v>148</v>
      </c>
      <c r="F12402" t="s">
        <v>3</v>
      </c>
      <c r="G12402" t="s">
        <v>47097</v>
      </c>
      <c r="I12402" t="s">
        <v>47127</v>
      </c>
      <c r="J12402" t="s">
        <v>47128</v>
      </c>
      <c r="K12402" t="s">
        <v>47113</v>
      </c>
      <c r="L12402">
        <v>11.59</v>
      </c>
      <c r="M12402">
        <v>21</v>
      </c>
      <c r="N12402">
        <v>0</v>
      </c>
      <c r="O12402">
        <v>21</v>
      </c>
      <c r="P12402">
        <v>0</v>
      </c>
    </row>
    <row r="12403" spans="1:16" x14ac:dyDescent="0.25">
      <c r="A12403" t="s">
        <v>35058</v>
      </c>
      <c r="B12403" t="s">
        <v>9298</v>
      </c>
      <c r="C12403" t="s">
        <v>9299</v>
      </c>
      <c r="D12403" t="str">
        <f>"1377"</f>
        <v>1377</v>
      </c>
      <c r="E12403" t="s">
        <v>74</v>
      </c>
      <c r="F12403" t="s">
        <v>3</v>
      </c>
      <c r="G12403" t="s">
        <v>47097</v>
      </c>
      <c r="I12403" t="s">
        <v>47127</v>
      </c>
      <c r="J12403" t="s">
        <v>47128</v>
      </c>
      <c r="K12403" t="s">
        <v>47113</v>
      </c>
      <c r="L12403">
        <v>11.59</v>
      </c>
      <c r="M12403">
        <v>21</v>
      </c>
      <c r="N12403">
        <v>0</v>
      </c>
      <c r="O12403">
        <v>21</v>
      </c>
      <c r="P12403">
        <v>0</v>
      </c>
    </row>
    <row r="12404" spans="1:16" x14ac:dyDescent="0.25">
      <c r="A12404" t="s">
        <v>35059</v>
      </c>
      <c r="B12404" t="s">
        <v>9298</v>
      </c>
      <c r="C12404" t="s">
        <v>9299</v>
      </c>
      <c r="D12404" t="str">
        <f>"1700"</f>
        <v>1700</v>
      </c>
      <c r="E12404" t="s">
        <v>60</v>
      </c>
      <c r="F12404" t="s">
        <v>3</v>
      </c>
      <c r="G12404" t="s">
        <v>47097</v>
      </c>
      <c r="I12404" t="s">
        <v>47127</v>
      </c>
      <c r="J12404" t="s">
        <v>47128</v>
      </c>
      <c r="K12404" t="s">
        <v>47113</v>
      </c>
      <c r="L12404">
        <v>11.59</v>
      </c>
      <c r="M12404">
        <v>21</v>
      </c>
      <c r="N12404">
        <v>0</v>
      </c>
      <c r="O12404">
        <v>21</v>
      </c>
      <c r="P12404">
        <v>0</v>
      </c>
    </row>
    <row r="12405" spans="1:16" x14ac:dyDescent="0.25">
      <c r="A12405" t="s">
        <v>35060</v>
      </c>
      <c r="B12405" t="s">
        <v>9298</v>
      </c>
      <c r="C12405" t="s">
        <v>9299</v>
      </c>
      <c r="D12405" t="str">
        <f>"4400"</f>
        <v>4400</v>
      </c>
      <c r="E12405" t="s">
        <v>154</v>
      </c>
      <c r="F12405" t="s">
        <v>3</v>
      </c>
      <c r="G12405" t="s">
        <v>47097</v>
      </c>
      <c r="I12405" t="s">
        <v>47127</v>
      </c>
      <c r="J12405" t="s">
        <v>47128</v>
      </c>
      <c r="K12405" t="s">
        <v>47113</v>
      </c>
      <c r="L12405">
        <v>11.59</v>
      </c>
      <c r="M12405">
        <v>21</v>
      </c>
      <c r="N12405">
        <v>0</v>
      </c>
      <c r="O12405">
        <v>21</v>
      </c>
      <c r="P12405">
        <v>0</v>
      </c>
    </row>
    <row r="12406" spans="1:16" x14ac:dyDescent="0.25">
      <c r="A12406" t="s">
        <v>35061</v>
      </c>
      <c r="B12406" t="s">
        <v>9298</v>
      </c>
      <c r="C12406" t="s">
        <v>9299</v>
      </c>
      <c r="D12406" t="str">
        <f>"6500"</f>
        <v>6500</v>
      </c>
      <c r="E12406" t="s">
        <v>151</v>
      </c>
      <c r="F12406" t="s">
        <v>3</v>
      </c>
      <c r="G12406" t="s">
        <v>47097</v>
      </c>
      <c r="I12406" t="s">
        <v>47127</v>
      </c>
      <c r="J12406" t="s">
        <v>47128</v>
      </c>
      <c r="K12406" t="s">
        <v>47113</v>
      </c>
      <c r="L12406">
        <v>11.59</v>
      </c>
      <c r="M12406">
        <v>21</v>
      </c>
      <c r="N12406">
        <v>0</v>
      </c>
      <c r="O12406">
        <v>21</v>
      </c>
      <c r="P12406">
        <v>0</v>
      </c>
    </row>
    <row r="12407" spans="1:16" x14ac:dyDescent="0.25">
      <c r="A12407" t="s">
        <v>35062</v>
      </c>
      <c r="B12407" t="s">
        <v>9300</v>
      </c>
      <c r="C12407" t="s">
        <v>9301</v>
      </c>
      <c r="D12407" t="str">
        <f>"1286"</f>
        <v>1286</v>
      </c>
      <c r="E12407" t="s">
        <v>148</v>
      </c>
      <c r="F12407" t="s">
        <v>3</v>
      </c>
      <c r="G12407" t="s">
        <v>47091</v>
      </c>
      <c r="H12407" t="s">
        <v>47126</v>
      </c>
      <c r="I12407" t="s">
        <v>47127</v>
      </c>
      <c r="J12407" t="s">
        <v>47128</v>
      </c>
      <c r="K12407" t="s">
        <v>47113</v>
      </c>
      <c r="L12407">
        <v>28.68</v>
      </c>
      <c r="M12407">
        <v>52</v>
      </c>
      <c r="N12407">
        <v>0</v>
      </c>
      <c r="O12407">
        <v>52</v>
      </c>
      <c r="P12407">
        <v>0</v>
      </c>
    </row>
    <row r="12408" spans="1:16" x14ac:dyDescent="0.25">
      <c r="A12408" t="s">
        <v>15013</v>
      </c>
      <c r="B12408" t="s">
        <v>178</v>
      </c>
      <c r="C12408" t="s">
        <v>179</v>
      </c>
      <c r="D12408" t="str">
        <f>"1286"</f>
        <v>1286</v>
      </c>
      <c r="E12408" t="s">
        <v>148</v>
      </c>
      <c r="F12408" t="s">
        <v>3</v>
      </c>
      <c r="G12408" t="s">
        <v>47098</v>
      </c>
      <c r="H12408" t="s">
        <v>47126</v>
      </c>
      <c r="I12408" t="s">
        <v>47127</v>
      </c>
      <c r="J12408" t="s">
        <v>47128</v>
      </c>
      <c r="K12408" t="s">
        <v>47113</v>
      </c>
      <c r="L12408">
        <v>38.47</v>
      </c>
      <c r="M12408">
        <v>68</v>
      </c>
      <c r="N12408">
        <v>0</v>
      </c>
      <c r="O12408">
        <v>68</v>
      </c>
      <c r="P12408">
        <v>0</v>
      </c>
    </row>
    <row r="12409" spans="1:16" x14ac:dyDescent="0.25">
      <c r="A12409" t="s">
        <v>35063</v>
      </c>
      <c r="B12409" t="s">
        <v>9302</v>
      </c>
      <c r="C12409" t="s">
        <v>9303</v>
      </c>
      <c r="D12409" t="str">
        <f>"1007"</f>
        <v>1007</v>
      </c>
      <c r="E12409" t="s">
        <v>162</v>
      </c>
      <c r="F12409" t="s">
        <v>3</v>
      </c>
      <c r="G12409" t="s">
        <v>47094</v>
      </c>
      <c r="I12409" t="s">
        <v>47127</v>
      </c>
      <c r="J12409" t="s">
        <v>47128</v>
      </c>
      <c r="K12409" t="s">
        <v>47113</v>
      </c>
      <c r="L12409">
        <v>21.01</v>
      </c>
      <c r="M12409">
        <v>39</v>
      </c>
      <c r="N12409">
        <v>0</v>
      </c>
      <c r="O12409">
        <v>39</v>
      </c>
      <c r="P12409">
        <v>0</v>
      </c>
    </row>
    <row r="12410" spans="1:16" x14ac:dyDescent="0.25">
      <c r="A12410" t="s">
        <v>35064</v>
      </c>
      <c r="B12410" t="s">
        <v>9302</v>
      </c>
      <c r="C12410" t="s">
        <v>9303</v>
      </c>
      <c r="D12410" t="str">
        <f>"1285"</f>
        <v>1285</v>
      </c>
      <c r="E12410" t="s">
        <v>2148</v>
      </c>
      <c r="F12410" t="s">
        <v>3</v>
      </c>
      <c r="G12410" t="s">
        <v>47094</v>
      </c>
      <c r="I12410" t="s">
        <v>47127</v>
      </c>
      <c r="J12410" t="s">
        <v>47128</v>
      </c>
      <c r="K12410" t="s">
        <v>47113</v>
      </c>
      <c r="L12410">
        <v>21.01</v>
      </c>
      <c r="M12410">
        <v>39</v>
      </c>
      <c r="N12410">
        <v>0</v>
      </c>
      <c r="O12410">
        <v>39</v>
      </c>
      <c r="P12410">
        <v>0</v>
      </c>
    </row>
    <row r="12411" spans="1:16" x14ac:dyDescent="0.25">
      <c r="A12411" t="s">
        <v>35065</v>
      </c>
      <c r="B12411" t="s">
        <v>9302</v>
      </c>
      <c r="C12411" t="s">
        <v>9303</v>
      </c>
      <c r="D12411" t="str">
        <f>"1700"</f>
        <v>1700</v>
      </c>
      <c r="E12411" t="s">
        <v>60</v>
      </c>
      <c r="F12411" t="s">
        <v>3</v>
      </c>
      <c r="G12411" t="s">
        <v>47094</v>
      </c>
      <c r="I12411" t="s">
        <v>47127</v>
      </c>
      <c r="J12411" t="s">
        <v>47128</v>
      </c>
      <c r="K12411" t="s">
        <v>47113</v>
      </c>
      <c r="L12411">
        <v>21.01</v>
      </c>
      <c r="M12411">
        <v>39</v>
      </c>
      <c r="N12411">
        <v>0</v>
      </c>
      <c r="O12411">
        <v>39</v>
      </c>
      <c r="P12411">
        <v>0</v>
      </c>
    </row>
    <row r="12412" spans="1:16" x14ac:dyDescent="0.25">
      <c r="A12412" t="s">
        <v>35066</v>
      </c>
      <c r="B12412" t="s">
        <v>9304</v>
      </c>
      <c r="C12412" t="s">
        <v>9305</v>
      </c>
      <c r="D12412" t="str">
        <f>"1007"</f>
        <v>1007</v>
      </c>
      <c r="E12412" t="s">
        <v>162</v>
      </c>
      <c r="F12412" t="s">
        <v>3</v>
      </c>
      <c r="G12412" t="s">
        <v>47097</v>
      </c>
      <c r="H12412" t="s">
        <v>47126</v>
      </c>
      <c r="I12412" t="s">
        <v>47127</v>
      </c>
      <c r="J12412" t="s">
        <v>47128</v>
      </c>
      <c r="K12412" t="s">
        <v>47113</v>
      </c>
      <c r="L12412">
        <v>26.67</v>
      </c>
      <c r="M12412">
        <v>72</v>
      </c>
      <c r="N12412">
        <v>0</v>
      </c>
      <c r="O12412">
        <v>72</v>
      </c>
      <c r="P12412">
        <v>0</v>
      </c>
    </row>
    <row r="12413" spans="1:16" x14ac:dyDescent="0.25">
      <c r="A12413" t="s">
        <v>35067</v>
      </c>
      <c r="B12413" t="s">
        <v>9304</v>
      </c>
      <c r="C12413" t="s">
        <v>9305</v>
      </c>
      <c r="D12413" t="str">
        <f>"1286"</f>
        <v>1286</v>
      </c>
      <c r="E12413" t="s">
        <v>148</v>
      </c>
      <c r="F12413" t="s">
        <v>3</v>
      </c>
      <c r="G12413" t="s">
        <v>47097</v>
      </c>
      <c r="H12413" t="s">
        <v>47126</v>
      </c>
      <c r="I12413" t="s">
        <v>47127</v>
      </c>
      <c r="J12413" t="s">
        <v>47128</v>
      </c>
      <c r="K12413" t="s">
        <v>47113</v>
      </c>
      <c r="L12413">
        <v>26.67</v>
      </c>
      <c r="M12413">
        <v>72</v>
      </c>
      <c r="N12413">
        <v>0</v>
      </c>
      <c r="O12413">
        <v>72</v>
      </c>
      <c r="P12413">
        <v>0</v>
      </c>
    </row>
    <row r="12414" spans="1:16" x14ac:dyDescent="0.25">
      <c r="A12414" t="s">
        <v>35068</v>
      </c>
      <c r="B12414" t="s">
        <v>9304</v>
      </c>
      <c r="C12414" t="s">
        <v>9305</v>
      </c>
      <c r="D12414" t="str">
        <f>"1377"</f>
        <v>1377</v>
      </c>
      <c r="E12414" t="s">
        <v>74</v>
      </c>
      <c r="F12414" t="s">
        <v>3</v>
      </c>
      <c r="G12414" t="s">
        <v>47097</v>
      </c>
      <c r="H12414" t="s">
        <v>47126</v>
      </c>
      <c r="I12414" t="s">
        <v>47127</v>
      </c>
      <c r="J12414" t="s">
        <v>47128</v>
      </c>
      <c r="K12414" t="s">
        <v>47113</v>
      </c>
      <c r="L12414">
        <v>26.67</v>
      </c>
      <c r="M12414">
        <v>72</v>
      </c>
      <c r="N12414">
        <v>0</v>
      </c>
      <c r="O12414">
        <v>72</v>
      </c>
      <c r="P12414">
        <v>0</v>
      </c>
    </row>
    <row r="12415" spans="1:16" x14ac:dyDescent="0.25">
      <c r="A12415" t="s">
        <v>35069</v>
      </c>
      <c r="B12415" t="s">
        <v>9304</v>
      </c>
      <c r="C12415" t="s">
        <v>9305</v>
      </c>
      <c r="D12415" t="str">
        <f>"3301"</f>
        <v>3301</v>
      </c>
      <c r="E12415" t="s">
        <v>153</v>
      </c>
      <c r="F12415" t="s">
        <v>3</v>
      </c>
      <c r="G12415" t="s">
        <v>47097</v>
      </c>
      <c r="H12415" t="s">
        <v>47126</v>
      </c>
      <c r="I12415" t="s">
        <v>47127</v>
      </c>
      <c r="J12415" t="s">
        <v>47128</v>
      </c>
      <c r="K12415" t="s">
        <v>47113</v>
      </c>
      <c r="L12415">
        <v>26.67</v>
      </c>
      <c r="M12415">
        <v>72</v>
      </c>
      <c r="N12415">
        <v>0</v>
      </c>
      <c r="O12415">
        <v>72</v>
      </c>
      <c r="P12415">
        <v>0</v>
      </c>
    </row>
    <row r="12416" spans="1:16" x14ac:dyDescent="0.25">
      <c r="A12416" t="s">
        <v>35070</v>
      </c>
      <c r="B12416" t="s">
        <v>9304</v>
      </c>
      <c r="C12416" t="s">
        <v>9305</v>
      </c>
      <c r="D12416" t="str">
        <f>"4400"</f>
        <v>4400</v>
      </c>
      <c r="E12416" t="s">
        <v>154</v>
      </c>
      <c r="F12416" t="s">
        <v>3</v>
      </c>
      <c r="G12416" t="s">
        <v>47097</v>
      </c>
      <c r="H12416" t="s">
        <v>47126</v>
      </c>
      <c r="I12416" t="s">
        <v>47127</v>
      </c>
      <c r="J12416" t="s">
        <v>47128</v>
      </c>
      <c r="K12416" t="s">
        <v>47113</v>
      </c>
      <c r="L12416">
        <v>26.67</v>
      </c>
      <c r="M12416">
        <v>72</v>
      </c>
      <c r="N12416">
        <v>0</v>
      </c>
      <c r="O12416">
        <v>72</v>
      </c>
      <c r="P12416">
        <v>0</v>
      </c>
    </row>
    <row r="12417" spans="1:16" x14ac:dyDescent="0.25">
      <c r="A12417" t="s">
        <v>35071</v>
      </c>
      <c r="B12417" t="s">
        <v>9304</v>
      </c>
      <c r="C12417" t="s">
        <v>9305</v>
      </c>
      <c r="D12417" t="str">
        <f>"6500"</f>
        <v>6500</v>
      </c>
      <c r="E12417" t="s">
        <v>151</v>
      </c>
      <c r="F12417" t="s">
        <v>3</v>
      </c>
      <c r="G12417" t="s">
        <v>47097</v>
      </c>
      <c r="H12417" t="s">
        <v>47126</v>
      </c>
      <c r="I12417" t="s">
        <v>47127</v>
      </c>
      <c r="J12417" t="s">
        <v>47128</v>
      </c>
      <c r="K12417" t="s">
        <v>47113</v>
      </c>
      <c r="L12417">
        <v>26.67</v>
      </c>
      <c r="M12417">
        <v>72</v>
      </c>
      <c r="N12417">
        <v>0</v>
      </c>
      <c r="O12417">
        <v>72</v>
      </c>
      <c r="P12417">
        <v>0</v>
      </c>
    </row>
    <row r="12418" spans="1:16" x14ac:dyDescent="0.25">
      <c r="A12418" t="s">
        <v>35072</v>
      </c>
      <c r="B12418" t="s">
        <v>9306</v>
      </c>
      <c r="C12418" t="s">
        <v>2151</v>
      </c>
      <c r="D12418" t="str">
        <f>"1007"</f>
        <v>1007</v>
      </c>
      <c r="E12418" t="s">
        <v>162</v>
      </c>
      <c r="F12418" t="s">
        <v>3</v>
      </c>
      <c r="G12418" t="s">
        <v>47096</v>
      </c>
      <c r="I12418" t="s">
        <v>47127</v>
      </c>
      <c r="J12418" t="s">
        <v>47128</v>
      </c>
      <c r="K12418" t="s">
        <v>47113</v>
      </c>
      <c r="L12418">
        <v>35.869999999999997</v>
      </c>
      <c r="M12418">
        <v>75</v>
      </c>
      <c r="N12418">
        <v>0</v>
      </c>
      <c r="O12418">
        <v>75</v>
      </c>
      <c r="P12418">
        <v>0</v>
      </c>
    </row>
    <row r="12419" spans="1:16" x14ac:dyDescent="0.25">
      <c r="A12419" t="s">
        <v>35073</v>
      </c>
      <c r="B12419" t="s">
        <v>9306</v>
      </c>
      <c r="C12419" t="s">
        <v>2151</v>
      </c>
      <c r="D12419" t="str">
        <f>"1286"</f>
        <v>1286</v>
      </c>
      <c r="E12419" t="s">
        <v>148</v>
      </c>
      <c r="F12419" t="s">
        <v>3</v>
      </c>
      <c r="G12419" t="s">
        <v>47096</v>
      </c>
      <c r="I12419" t="s">
        <v>47127</v>
      </c>
      <c r="J12419" t="s">
        <v>47128</v>
      </c>
      <c r="K12419" t="s">
        <v>47113</v>
      </c>
      <c r="L12419">
        <v>35.869999999999997</v>
      </c>
      <c r="M12419">
        <v>75</v>
      </c>
      <c r="N12419">
        <v>0</v>
      </c>
      <c r="O12419">
        <v>75</v>
      </c>
      <c r="P12419">
        <v>0</v>
      </c>
    </row>
    <row r="12420" spans="1:16" x14ac:dyDescent="0.25">
      <c r="A12420" t="s">
        <v>35074</v>
      </c>
      <c r="B12420" t="s">
        <v>9306</v>
      </c>
      <c r="C12420" t="s">
        <v>2151</v>
      </c>
      <c r="D12420" t="str">
        <f>"1377"</f>
        <v>1377</v>
      </c>
      <c r="E12420" t="s">
        <v>74</v>
      </c>
      <c r="F12420" t="s">
        <v>3</v>
      </c>
      <c r="G12420" t="s">
        <v>47096</v>
      </c>
      <c r="I12420" t="s">
        <v>47127</v>
      </c>
      <c r="J12420" t="s">
        <v>47128</v>
      </c>
      <c r="K12420" t="s">
        <v>47113</v>
      </c>
      <c r="L12420">
        <v>35.869999999999997</v>
      </c>
      <c r="M12420">
        <v>75</v>
      </c>
      <c r="N12420">
        <v>0</v>
      </c>
      <c r="O12420">
        <v>75</v>
      </c>
      <c r="P12420">
        <v>0</v>
      </c>
    </row>
    <row r="12421" spans="1:16" x14ac:dyDescent="0.25">
      <c r="A12421" t="s">
        <v>35075</v>
      </c>
      <c r="B12421" t="s">
        <v>9306</v>
      </c>
      <c r="C12421" t="s">
        <v>2151</v>
      </c>
      <c r="D12421" t="str">
        <f>"3301"</f>
        <v>3301</v>
      </c>
      <c r="E12421" t="s">
        <v>153</v>
      </c>
      <c r="F12421" t="s">
        <v>3</v>
      </c>
      <c r="G12421" t="s">
        <v>47096</v>
      </c>
      <c r="I12421" t="s">
        <v>47127</v>
      </c>
      <c r="J12421" t="s">
        <v>47128</v>
      </c>
      <c r="K12421" t="s">
        <v>47113</v>
      </c>
      <c r="L12421">
        <v>35.869999999999997</v>
      </c>
      <c r="M12421">
        <v>75</v>
      </c>
      <c r="N12421">
        <v>0</v>
      </c>
      <c r="O12421">
        <v>75</v>
      </c>
      <c r="P12421">
        <v>0</v>
      </c>
    </row>
    <row r="12422" spans="1:16" x14ac:dyDescent="0.25">
      <c r="A12422" t="s">
        <v>35076</v>
      </c>
      <c r="B12422" t="s">
        <v>9306</v>
      </c>
      <c r="C12422" t="s">
        <v>2151</v>
      </c>
      <c r="D12422" t="str">
        <f>"4400"</f>
        <v>4400</v>
      </c>
      <c r="E12422" t="s">
        <v>154</v>
      </c>
      <c r="F12422" t="s">
        <v>3</v>
      </c>
      <c r="G12422" t="s">
        <v>47096</v>
      </c>
      <c r="I12422" t="s">
        <v>47127</v>
      </c>
      <c r="J12422" t="s">
        <v>47128</v>
      </c>
      <c r="K12422" t="s">
        <v>47113</v>
      </c>
      <c r="L12422">
        <v>35.869999999999997</v>
      </c>
      <c r="M12422">
        <v>75</v>
      </c>
      <c r="N12422">
        <v>0</v>
      </c>
      <c r="O12422">
        <v>75</v>
      </c>
      <c r="P12422">
        <v>0</v>
      </c>
    </row>
    <row r="12423" spans="1:16" x14ac:dyDescent="0.25">
      <c r="A12423" t="s">
        <v>35077</v>
      </c>
      <c r="B12423" t="s">
        <v>9306</v>
      </c>
      <c r="C12423" t="s">
        <v>2151</v>
      </c>
      <c r="D12423" t="str">
        <f>"6500"</f>
        <v>6500</v>
      </c>
      <c r="E12423" t="s">
        <v>151</v>
      </c>
      <c r="F12423" t="s">
        <v>3</v>
      </c>
      <c r="G12423" t="s">
        <v>47096</v>
      </c>
      <c r="I12423" t="s">
        <v>47127</v>
      </c>
      <c r="J12423" t="s">
        <v>47128</v>
      </c>
      <c r="K12423" t="s">
        <v>47113</v>
      </c>
      <c r="L12423">
        <v>35.869999999999997</v>
      </c>
      <c r="M12423">
        <v>75</v>
      </c>
      <c r="N12423">
        <v>0</v>
      </c>
      <c r="O12423">
        <v>75</v>
      </c>
      <c r="P12423">
        <v>0</v>
      </c>
    </row>
    <row r="12424" spans="1:16" x14ac:dyDescent="0.25">
      <c r="A12424" t="s">
        <v>35078</v>
      </c>
      <c r="B12424" t="s">
        <v>9307</v>
      </c>
      <c r="C12424" t="s">
        <v>9308</v>
      </c>
      <c r="D12424" t="str">
        <f>"1007"</f>
        <v>1007</v>
      </c>
      <c r="E12424" t="s">
        <v>162</v>
      </c>
      <c r="F12424" t="s">
        <v>3</v>
      </c>
      <c r="G12424" t="s">
        <v>47096</v>
      </c>
      <c r="I12424" t="s">
        <v>47127</v>
      </c>
      <c r="J12424" t="s">
        <v>47128</v>
      </c>
      <c r="K12424" t="s">
        <v>47113</v>
      </c>
      <c r="L12424">
        <v>34.380000000000003</v>
      </c>
      <c r="M12424">
        <v>72</v>
      </c>
      <c r="N12424">
        <v>0</v>
      </c>
      <c r="O12424">
        <v>72</v>
      </c>
      <c r="P12424">
        <v>0</v>
      </c>
    </row>
    <row r="12425" spans="1:16" x14ac:dyDescent="0.25">
      <c r="A12425" t="s">
        <v>35079</v>
      </c>
      <c r="B12425" t="s">
        <v>9307</v>
      </c>
      <c r="C12425" t="s">
        <v>9308</v>
      </c>
      <c r="D12425" t="str">
        <f>"1286"</f>
        <v>1286</v>
      </c>
      <c r="E12425" t="s">
        <v>148</v>
      </c>
      <c r="F12425" t="s">
        <v>3</v>
      </c>
      <c r="G12425" t="s">
        <v>47096</v>
      </c>
      <c r="I12425" t="s">
        <v>47127</v>
      </c>
      <c r="J12425" t="s">
        <v>47128</v>
      </c>
      <c r="K12425" t="s">
        <v>47113</v>
      </c>
      <c r="L12425">
        <v>34.380000000000003</v>
      </c>
      <c r="M12425">
        <v>72</v>
      </c>
      <c r="N12425">
        <v>0</v>
      </c>
      <c r="O12425">
        <v>72</v>
      </c>
      <c r="P12425">
        <v>0</v>
      </c>
    </row>
    <row r="12426" spans="1:16" x14ac:dyDescent="0.25">
      <c r="A12426" t="s">
        <v>35080</v>
      </c>
      <c r="B12426" t="s">
        <v>9307</v>
      </c>
      <c r="C12426" t="s">
        <v>9308</v>
      </c>
      <c r="D12426" t="str">
        <f>"1377"</f>
        <v>1377</v>
      </c>
      <c r="E12426" t="s">
        <v>74</v>
      </c>
      <c r="F12426" t="s">
        <v>3</v>
      </c>
      <c r="G12426" t="s">
        <v>47096</v>
      </c>
      <c r="I12426" t="s">
        <v>47127</v>
      </c>
      <c r="J12426" t="s">
        <v>47128</v>
      </c>
      <c r="K12426" t="s">
        <v>47113</v>
      </c>
      <c r="L12426">
        <v>34.380000000000003</v>
      </c>
      <c r="M12426">
        <v>72</v>
      </c>
      <c r="N12426">
        <v>0</v>
      </c>
      <c r="O12426">
        <v>72</v>
      </c>
      <c r="P12426">
        <v>0</v>
      </c>
    </row>
    <row r="12427" spans="1:16" x14ac:dyDescent="0.25">
      <c r="A12427" t="s">
        <v>35081</v>
      </c>
      <c r="B12427" t="s">
        <v>9307</v>
      </c>
      <c r="C12427" t="s">
        <v>9308</v>
      </c>
      <c r="D12427" t="str">
        <f>"3301"</f>
        <v>3301</v>
      </c>
      <c r="E12427" t="s">
        <v>153</v>
      </c>
      <c r="F12427" t="s">
        <v>3</v>
      </c>
      <c r="G12427" t="s">
        <v>47096</v>
      </c>
      <c r="I12427" t="s">
        <v>47127</v>
      </c>
      <c r="J12427" t="s">
        <v>47128</v>
      </c>
      <c r="K12427" t="s">
        <v>47113</v>
      </c>
      <c r="L12427">
        <v>34.380000000000003</v>
      </c>
      <c r="M12427">
        <v>72</v>
      </c>
      <c r="N12427">
        <v>0</v>
      </c>
      <c r="O12427">
        <v>72</v>
      </c>
      <c r="P12427">
        <v>0</v>
      </c>
    </row>
    <row r="12428" spans="1:16" x14ac:dyDescent="0.25">
      <c r="A12428" t="s">
        <v>35082</v>
      </c>
      <c r="B12428" t="s">
        <v>9307</v>
      </c>
      <c r="C12428" t="s">
        <v>9308</v>
      </c>
      <c r="D12428" t="str">
        <f>"4400"</f>
        <v>4400</v>
      </c>
      <c r="E12428" t="s">
        <v>154</v>
      </c>
      <c r="F12428" t="s">
        <v>3</v>
      </c>
      <c r="G12428" t="s">
        <v>47096</v>
      </c>
      <c r="I12428" t="s">
        <v>47127</v>
      </c>
      <c r="J12428" t="s">
        <v>47128</v>
      </c>
      <c r="K12428" t="s">
        <v>47113</v>
      </c>
      <c r="L12428">
        <v>34.380000000000003</v>
      </c>
      <c r="M12428">
        <v>72</v>
      </c>
      <c r="N12428">
        <v>0</v>
      </c>
      <c r="O12428">
        <v>72</v>
      </c>
      <c r="P12428">
        <v>0</v>
      </c>
    </row>
    <row r="12429" spans="1:16" x14ac:dyDescent="0.25">
      <c r="A12429" t="s">
        <v>35083</v>
      </c>
      <c r="B12429" t="s">
        <v>9307</v>
      </c>
      <c r="C12429" t="s">
        <v>9308</v>
      </c>
      <c r="D12429" t="str">
        <f>"6500"</f>
        <v>6500</v>
      </c>
      <c r="E12429" t="s">
        <v>151</v>
      </c>
      <c r="F12429" t="s">
        <v>3</v>
      </c>
      <c r="G12429" t="s">
        <v>47096</v>
      </c>
      <c r="I12429" t="s">
        <v>47127</v>
      </c>
      <c r="J12429" t="s">
        <v>47128</v>
      </c>
      <c r="K12429" t="s">
        <v>47113</v>
      </c>
      <c r="L12429">
        <v>34.380000000000003</v>
      </c>
      <c r="M12429">
        <v>72</v>
      </c>
      <c r="N12429">
        <v>0</v>
      </c>
      <c r="O12429">
        <v>72</v>
      </c>
      <c r="P12429">
        <v>0</v>
      </c>
    </row>
    <row r="12430" spans="1:16" x14ac:dyDescent="0.25">
      <c r="A12430" t="s">
        <v>35084</v>
      </c>
      <c r="B12430" t="s">
        <v>9309</v>
      </c>
      <c r="C12430" t="s">
        <v>9310</v>
      </c>
      <c r="D12430" t="str">
        <f>"1007"</f>
        <v>1007</v>
      </c>
      <c r="E12430" t="s">
        <v>162</v>
      </c>
      <c r="F12430" t="s">
        <v>3</v>
      </c>
      <c r="G12430" t="s">
        <v>16224</v>
      </c>
      <c r="H12430" t="s">
        <v>47126</v>
      </c>
      <c r="I12430" t="s">
        <v>47127</v>
      </c>
      <c r="J12430" t="s">
        <v>47128</v>
      </c>
      <c r="K12430" t="s">
        <v>47113</v>
      </c>
      <c r="L12430">
        <v>29.89</v>
      </c>
      <c r="M12430">
        <v>72</v>
      </c>
      <c r="N12430">
        <v>0</v>
      </c>
      <c r="O12430">
        <v>72</v>
      </c>
      <c r="P12430">
        <v>0</v>
      </c>
    </row>
    <row r="12431" spans="1:16" x14ac:dyDescent="0.25">
      <c r="A12431" t="s">
        <v>35085</v>
      </c>
      <c r="B12431" t="s">
        <v>9309</v>
      </c>
      <c r="C12431" t="s">
        <v>9310</v>
      </c>
      <c r="D12431" t="str">
        <f>"1285"</f>
        <v>1285</v>
      </c>
      <c r="E12431" t="s">
        <v>2148</v>
      </c>
      <c r="F12431" t="s">
        <v>3</v>
      </c>
      <c r="G12431" t="s">
        <v>16224</v>
      </c>
      <c r="H12431" t="s">
        <v>47126</v>
      </c>
      <c r="I12431" t="s">
        <v>47127</v>
      </c>
      <c r="J12431" t="s">
        <v>47128</v>
      </c>
      <c r="K12431" t="s">
        <v>47113</v>
      </c>
      <c r="L12431">
        <v>34.049999999999997</v>
      </c>
      <c r="M12431">
        <v>72</v>
      </c>
      <c r="N12431">
        <v>0</v>
      </c>
      <c r="O12431">
        <v>72</v>
      </c>
      <c r="P12431">
        <v>0</v>
      </c>
    </row>
    <row r="12432" spans="1:16" x14ac:dyDescent="0.25">
      <c r="A12432" t="s">
        <v>35086</v>
      </c>
      <c r="B12432" t="s">
        <v>9309</v>
      </c>
      <c r="C12432" t="s">
        <v>9310</v>
      </c>
      <c r="D12432" t="str">
        <f>"1700"</f>
        <v>1700</v>
      </c>
      <c r="E12432" t="s">
        <v>60</v>
      </c>
      <c r="F12432" t="s">
        <v>3</v>
      </c>
      <c r="G12432" t="s">
        <v>16224</v>
      </c>
      <c r="H12432" t="s">
        <v>47126</v>
      </c>
      <c r="I12432" t="s">
        <v>47127</v>
      </c>
      <c r="J12432" t="s">
        <v>47128</v>
      </c>
      <c r="K12432" t="s">
        <v>47113</v>
      </c>
      <c r="L12432">
        <v>34.049999999999997</v>
      </c>
      <c r="M12432">
        <v>72</v>
      </c>
      <c r="N12432">
        <v>0</v>
      </c>
      <c r="O12432">
        <v>72</v>
      </c>
      <c r="P12432">
        <v>0</v>
      </c>
    </row>
    <row r="12433" spans="1:16" x14ac:dyDescent="0.25">
      <c r="A12433" t="s">
        <v>35087</v>
      </c>
      <c r="B12433" t="s">
        <v>9309</v>
      </c>
      <c r="C12433" t="s">
        <v>9310</v>
      </c>
      <c r="D12433" t="str">
        <f>"4643"</f>
        <v>4643</v>
      </c>
      <c r="E12433" t="s">
        <v>205</v>
      </c>
      <c r="F12433" t="s">
        <v>3</v>
      </c>
      <c r="G12433" t="s">
        <v>16224</v>
      </c>
      <c r="H12433" t="s">
        <v>47126</v>
      </c>
      <c r="I12433" t="s">
        <v>47127</v>
      </c>
      <c r="J12433" t="s">
        <v>47128</v>
      </c>
      <c r="K12433" t="s">
        <v>47113</v>
      </c>
      <c r="L12433">
        <v>34.049999999999997</v>
      </c>
      <c r="M12433">
        <v>72</v>
      </c>
      <c r="N12433">
        <v>0</v>
      </c>
      <c r="O12433">
        <v>72</v>
      </c>
      <c r="P12433">
        <v>0</v>
      </c>
    </row>
    <row r="12434" spans="1:16" x14ac:dyDescent="0.25">
      <c r="A12434" t="s">
        <v>35088</v>
      </c>
      <c r="B12434" t="s">
        <v>9309</v>
      </c>
      <c r="C12434" t="s">
        <v>9310</v>
      </c>
      <c r="D12434" t="str">
        <f>"6064"</f>
        <v>6064</v>
      </c>
      <c r="E12434" t="s">
        <v>87</v>
      </c>
      <c r="F12434" t="s">
        <v>3</v>
      </c>
      <c r="G12434" t="s">
        <v>16224</v>
      </c>
      <c r="H12434" t="s">
        <v>47126</v>
      </c>
      <c r="I12434" t="s">
        <v>47127</v>
      </c>
      <c r="J12434" t="s">
        <v>47128</v>
      </c>
      <c r="K12434" t="s">
        <v>47113</v>
      </c>
      <c r="L12434">
        <v>34.049999999999997</v>
      </c>
      <c r="M12434">
        <v>72</v>
      </c>
      <c r="N12434">
        <v>0</v>
      </c>
      <c r="O12434">
        <v>72</v>
      </c>
      <c r="P12434">
        <v>0</v>
      </c>
    </row>
    <row r="12435" spans="1:16" x14ac:dyDescent="0.25">
      <c r="A12435" t="s">
        <v>35089</v>
      </c>
      <c r="B12435" t="s">
        <v>9311</v>
      </c>
      <c r="C12435" t="s">
        <v>9295</v>
      </c>
      <c r="D12435" t="str">
        <f>"1007"</f>
        <v>1007</v>
      </c>
      <c r="E12435" t="s">
        <v>162</v>
      </c>
      <c r="F12435" t="s">
        <v>3</v>
      </c>
      <c r="G12435" t="s">
        <v>16235</v>
      </c>
      <c r="H12435" t="s">
        <v>47126</v>
      </c>
      <c r="I12435" t="s">
        <v>47127</v>
      </c>
      <c r="J12435" t="s">
        <v>47128</v>
      </c>
      <c r="K12435" t="s">
        <v>47113</v>
      </c>
      <c r="L12435">
        <v>30.47</v>
      </c>
      <c r="M12435">
        <v>64</v>
      </c>
      <c r="N12435">
        <v>0</v>
      </c>
      <c r="O12435">
        <v>64</v>
      </c>
      <c r="P12435">
        <v>0</v>
      </c>
    </row>
    <row r="12436" spans="1:16" x14ac:dyDescent="0.25">
      <c r="A12436" t="s">
        <v>35090</v>
      </c>
      <c r="B12436" t="s">
        <v>9311</v>
      </c>
      <c r="C12436" t="s">
        <v>9295</v>
      </c>
      <c r="D12436" t="str">
        <f>"1285"</f>
        <v>1285</v>
      </c>
      <c r="E12436" t="s">
        <v>2148</v>
      </c>
      <c r="F12436" t="s">
        <v>3</v>
      </c>
      <c r="G12436" t="s">
        <v>16235</v>
      </c>
      <c r="H12436" t="s">
        <v>47126</v>
      </c>
      <c r="I12436" t="s">
        <v>47127</v>
      </c>
      <c r="J12436" t="s">
        <v>47128</v>
      </c>
      <c r="K12436" t="s">
        <v>47113</v>
      </c>
      <c r="L12436">
        <v>32.54</v>
      </c>
      <c r="M12436">
        <v>64</v>
      </c>
      <c r="N12436">
        <v>0</v>
      </c>
      <c r="O12436">
        <v>64</v>
      </c>
      <c r="P12436">
        <v>0</v>
      </c>
    </row>
    <row r="12437" spans="1:16" x14ac:dyDescent="0.25">
      <c r="A12437" t="s">
        <v>35091</v>
      </c>
      <c r="B12437" t="s">
        <v>9311</v>
      </c>
      <c r="C12437" t="s">
        <v>9295</v>
      </c>
      <c r="D12437" t="str">
        <f>"1700"</f>
        <v>1700</v>
      </c>
      <c r="E12437" t="s">
        <v>60</v>
      </c>
      <c r="F12437" t="s">
        <v>3</v>
      </c>
      <c r="G12437" t="s">
        <v>16235</v>
      </c>
      <c r="H12437" t="s">
        <v>47126</v>
      </c>
      <c r="I12437" t="s">
        <v>47127</v>
      </c>
      <c r="J12437" t="s">
        <v>47128</v>
      </c>
      <c r="K12437" t="s">
        <v>47113</v>
      </c>
      <c r="L12437">
        <v>30.47</v>
      </c>
      <c r="M12437">
        <v>64</v>
      </c>
      <c r="N12437">
        <v>0</v>
      </c>
      <c r="O12437">
        <v>64</v>
      </c>
      <c r="P12437">
        <v>0</v>
      </c>
    </row>
    <row r="12438" spans="1:16" x14ac:dyDescent="0.25">
      <c r="A12438" t="s">
        <v>35092</v>
      </c>
      <c r="B12438" t="s">
        <v>9311</v>
      </c>
      <c r="C12438" t="s">
        <v>9295</v>
      </c>
      <c r="D12438" t="str">
        <f>"4643"</f>
        <v>4643</v>
      </c>
      <c r="E12438" t="s">
        <v>205</v>
      </c>
      <c r="F12438" t="s">
        <v>3</v>
      </c>
      <c r="G12438" t="s">
        <v>16235</v>
      </c>
      <c r="H12438" t="s">
        <v>47126</v>
      </c>
      <c r="I12438" t="s">
        <v>47127</v>
      </c>
      <c r="J12438" t="s">
        <v>47128</v>
      </c>
      <c r="K12438" t="s">
        <v>47113</v>
      </c>
      <c r="L12438">
        <v>17.010000000000002</v>
      </c>
      <c r="M12438">
        <v>64</v>
      </c>
      <c r="N12438">
        <v>0</v>
      </c>
      <c r="O12438">
        <v>64</v>
      </c>
      <c r="P12438">
        <v>0</v>
      </c>
    </row>
    <row r="12439" spans="1:16" x14ac:dyDescent="0.25">
      <c r="A12439" t="s">
        <v>35093</v>
      </c>
      <c r="B12439" t="s">
        <v>9311</v>
      </c>
      <c r="C12439" t="s">
        <v>9295</v>
      </c>
      <c r="D12439" t="str">
        <f>"6064"</f>
        <v>6064</v>
      </c>
      <c r="E12439" t="s">
        <v>87</v>
      </c>
      <c r="F12439" t="s">
        <v>3</v>
      </c>
      <c r="G12439" t="s">
        <v>16235</v>
      </c>
      <c r="H12439" t="s">
        <v>47126</v>
      </c>
      <c r="I12439" t="s">
        <v>47127</v>
      </c>
      <c r="J12439" t="s">
        <v>47128</v>
      </c>
      <c r="K12439" t="s">
        <v>47113</v>
      </c>
      <c r="L12439">
        <v>32.54</v>
      </c>
      <c r="M12439">
        <v>64</v>
      </c>
      <c r="N12439">
        <v>0</v>
      </c>
      <c r="O12439">
        <v>64</v>
      </c>
      <c r="P12439">
        <v>0</v>
      </c>
    </row>
    <row r="12440" spans="1:16" x14ac:dyDescent="0.25">
      <c r="A12440" t="s">
        <v>35094</v>
      </c>
      <c r="B12440" t="s">
        <v>9312</v>
      </c>
      <c r="C12440" t="s">
        <v>9313</v>
      </c>
      <c r="D12440" t="str">
        <f>"1007"</f>
        <v>1007</v>
      </c>
      <c r="E12440" t="s">
        <v>162</v>
      </c>
      <c r="F12440" t="s">
        <v>3</v>
      </c>
      <c r="G12440" t="s">
        <v>16221</v>
      </c>
      <c r="H12440" t="s">
        <v>47126</v>
      </c>
      <c r="I12440" t="s">
        <v>47127</v>
      </c>
      <c r="J12440" t="s">
        <v>47128</v>
      </c>
      <c r="K12440" t="s">
        <v>47113</v>
      </c>
      <c r="L12440">
        <v>18.059999999999999</v>
      </c>
      <c r="M12440">
        <v>34</v>
      </c>
      <c r="N12440">
        <v>0</v>
      </c>
      <c r="O12440">
        <v>34</v>
      </c>
      <c r="P12440">
        <v>0</v>
      </c>
    </row>
    <row r="12441" spans="1:16" x14ac:dyDescent="0.25">
      <c r="A12441" t="s">
        <v>35095</v>
      </c>
      <c r="B12441" t="s">
        <v>9312</v>
      </c>
      <c r="C12441" t="s">
        <v>9313</v>
      </c>
      <c r="D12441" t="str">
        <f>"1286"</f>
        <v>1286</v>
      </c>
      <c r="E12441" t="s">
        <v>148</v>
      </c>
      <c r="F12441" t="s">
        <v>3</v>
      </c>
      <c r="G12441" t="s">
        <v>16221</v>
      </c>
      <c r="H12441" t="s">
        <v>47126</v>
      </c>
      <c r="I12441" t="s">
        <v>47127</v>
      </c>
      <c r="J12441" t="s">
        <v>47128</v>
      </c>
      <c r="K12441" t="s">
        <v>47113</v>
      </c>
      <c r="L12441">
        <v>18.059999999999999</v>
      </c>
      <c r="M12441">
        <v>34</v>
      </c>
      <c r="N12441">
        <v>0</v>
      </c>
      <c r="O12441">
        <v>34</v>
      </c>
      <c r="P12441">
        <v>0</v>
      </c>
    </row>
    <row r="12442" spans="1:16" x14ac:dyDescent="0.25">
      <c r="A12442" t="s">
        <v>35096</v>
      </c>
      <c r="B12442" t="s">
        <v>9312</v>
      </c>
      <c r="C12442" t="s">
        <v>9313</v>
      </c>
      <c r="D12442" t="str">
        <f>"1377"</f>
        <v>1377</v>
      </c>
      <c r="E12442" t="s">
        <v>74</v>
      </c>
      <c r="F12442" t="s">
        <v>3</v>
      </c>
      <c r="G12442" t="s">
        <v>16221</v>
      </c>
      <c r="H12442" t="s">
        <v>47126</v>
      </c>
      <c r="I12442" t="s">
        <v>47127</v>
      </c>
      <c r="J12442" t="s">
        <v>47128</v>
      </c>
      <c r="K12442" t="s">
        <v>47113</v>
      </c>
      <c r="L12442">
        <v>18.059999999999999</v>
      </c>
      <c r="M12442">
        <v>34</v>
      </c>
      <c r="N12442">
        <v>0</v>
      </c>
      <c r="O12442">
        <v>34</v>
      </c>
      <c r="P12442">
        <v>0</v>
      </c>
    </row>
    <row r="12443" spans="1:16" x14ac:dyDescent="0.25">
      <c r="A12443" t="s">
        <v>35097</v>
      </c>
      <c r="B12443" t="s">
        <v>9312</v>
      </c>
      <c r="C12443" t="s">
        <v>9313</v>
      </c>
      <c r="D12443" t="str">
        <f>"1700"</f>
        <v>1700</v>
      </c>
      <c r="E12443" t="s">
        <v>60</v>
      </c>
      <c r="F12443" t="s">
        <v>3</v>
      </c>
      <c r="G12443" t="s">
        <v>16221</v>
      </c>
      <c r="H12443" t="s">
        <v>47126</v>
      </c>
      <c r="I12443" t="s">
        <v>47127</v>
      </c>
      <c r="J12443" t="s">
        <v>47128</v>
      </c>
      <c r="K12443" t="s">
        <v>47113</v>
      </c>
      <c r="L12443">
        <v>18.059999999999999</v>
      </c>
      <c r="M12443">
        <v>34</v>
      </c>
      <c r="N12443">
        <v>0</v>
      </c>
      <c r="O12443">
        <v>34</v>
      </c>
      <c r="P12443">
        <v>0</v>
      </c>
    </row>
    <row r="12444" spans="1:16" x14ac:dyDescent="0.25">
      <c r="A12444" t="s">
        <v>35098</v>
      </c>
      <c r="B12444" t="s">
        <v>9312</v>
      </c>
      <c r="C12444" t="s">
        <v>9313</v>
      </c>
      <c r="D12444" t="str">
        <f>"2069"</f>
        <v>2069</v>
      </c>
      <c r="E12444" t="s">
        <v>9314</v>
      </c>
      <c r="F12444" t="s">
        <v>3</v>
      </c>
      <c r="G12444" t="s">
        <v>16221</v>
      </c>
      <c r="H12444" t="s">
        <v>47126</v>
      </c>
      <c r="I12444" t="s">
        <v>47127</v>
      </c>
      <c r="J12444" t="s">
        <v>47128</v>
      </c>
      <c r="K12444" t="s">
        <v>47113</v>
      </c>
      <c r="L12444">
        <v>18.079999999999998</v>
      </c>
      <c r="M12444">
        <v>34</v>
      </c>
      <c r="N12444">
        <v>0</v>
      </c>
      <c r="O12444">
        <v>34</v>
      </c>
      <c r="P12444">
        <v>0</v>
      </c>
    </row>
    <row r="12445" spans="1:16" x14ac:dyDescent="0.25">
      <c r="A12445" t="s">
        <v>35099</v>
      </c>
      <c r="B12445" t="s">
        <v>9312</v>
      </c>
      <c r="C12445" t="s">
        <v>9313</v>
      </c>
      <c r="D12445" t="str">
        <f>"3196"</f>
        <v>3196</v>
      </c>
      <c r="E12445" t="s">
        <v>159</v>
      </c>
      <c r="F12445" t="s">
        <v>3</v>
      </c>
      <c r="G12445" t="s">
        <v>16221</v>
      </c>
      <c r="H12445" t="s">
        <v>47126</v>
      </c>
      <c r="I12445" t="s">
        <v>47127</v>
      </c>
      <c r="J12445" t="s">
        <v>47128</v>
      </c>
      <c r="K12445" t="s">
        <v>47113</v>
      </c>
      <c r="L12445">
        <v>18.079999999999998</v>
      </c>
      <c r="M12445">
        <v>34</v>
      </c>
      <c r="N12445">
        <v>0</v>
      </c>
      <c r="O12445">
        <v>34</v>
      </c>
      <c r="P12445">
        <v>0</v>
      </c>
    </row>
    <row r="12446" spans="1:16" x14ac:dyDescent="0.25">
      <c r="A12446" t="s">
        <v>35100</v>
      </c>
      <c r="B12446" t="s">
        <v>9312</v>
      </c>
      <c r="C12446" t="s">
        <v>9313</v>
      </c>
      <c r="D12446" t="str">
        <f>"4400"</f>
        <v>4400</v>
      </c>
      <c r="E12446" t="s">
        <v>154</v>
      </c>
      <c r="F12446" t="s">
        <v>3</v>
      </c>
      <c r="G12446" t="s">
        <v>16221</v>
      </c>
      <c r="H12446" t="s">
        <v>47126</v>
      </c>
      <c r="I12446" t="s">
        <v>47127</v>
      </c>
      <c r="J12446" t="s">
        <v>47128</v>
      </c>
      <c r="K12446" t="s">
        <v>47113</v>
      </c>
      <c r="L12446">
        <v>17.010000000000002</v>
      </c>
      <c r="M12446">
        <v>34</v>
      </c>
      <c r="N12446">
        <v>0</v>
      </c>
      <c r="O12446">
        <v>34</v>
      </c>
      <c r="P12446">
        <v>0</v>
      </c>
    </row>
    <row r="12447" spans="1:16" x14ac:dyDescent="0.25">
      <c r="A12447" t="s">
        <v>35101</v>
      </c>
      <c r="B12447" t="s">
        <v>9312</v>
      </c>
      <c r="C12447" t="s">
        <v>9313</v>
      </c>
      <c r="D12447" t="str">
        <f>"6064"</f>
        <v>6064</v>
      </c>
      <c r="E12447" t="s">
        <v>87</v>
      </c>
      <c r="F12447" t="s">
        <v>3</v>
      </c>
      <c r="G12447" t="s">
        <v>16221</v>
      </c>
      <c r="H12447" t="s">
        <v>47126</v>
      </c>
      <c r="I12447" t="s">
        <v>47127</v>
      </c>
      <c r="J12447" t="s">
        <v>47128</v>
      </c>
      <c r="K12447" t="s">
        <v>47113</v>
      </c>
      <c r="L12447">
        <v>17.010000000000002</v>
      </c>
      <c r="M12447">
        <v>34</v>
      </c>
      <c r="N12447">
        <v>0</v>
      </c>
      <c r="O12447">
        <v>34</v>
      </c>
      <c r="P12447">
        <v>0</v>
      </c>
    </row>
    <row r="12448" spans="1:16" x14ac:dyDescent="0.25">
      <c r="A12448" t="s">
        <v>35102</v>
      </c>
      <c r="B12448" t="s">
        <v>9315</v>
      </c>
      <c r="C12448" t="s">
        <v>9316</v>
      </c>
      <c r="D12448" t="str">
        <f>"1007"</f>
        <v>1007</v>
      </c>
      <c r="E12448" t="s">
        <v>162</v>
      </c>
      <c r="F12448" t="s">
        <v>3</v>
      </c>
      <c r="G12448" t="s">
        <v>16221</v>
      </c>
      <c r="I12448" t="s">
        <v>47127</v>
      </c>
      <c r="J12448" t="s">
        <v>47128</v>
      </c>
      <c r="K12448" t="s">
        <v>47113</v>
      </c>
      <c r="L12448">
        <v>15.45</v>
      </c>
      <c r="M12448">
        <v>39</v>
      </c>
      <c r="N12448">
        <v>0</v>
      </c>
      <c r="O12448">
        <v>39</v>
      </c>
      <c r="P12448">
        <v>0</v>
      </c>
    </row>
    <row r="12449" spans="1:16" x14ac:dyDescent="0.25">
      <c r="A12449" t="s">
        <v>35103</v>
      </c>
      <c r="B12449" t="s">
        <v>9315</v>
      </c>
      <c r="C12449" t="s">
        <v>9316</v>
      </c>
      <c r="D12449" t="str">
        <f>"1285"</f>
        <v>1285</v>
      </c>
      <c r="E12449" t="s">
        <v>2148</v>
      </c>
      <c r="F12449" t="s">
        <v>3</v>
      </c>
      <c r="G12449" t="s">
        <v>16221</v>
      </c>
      <c r="I12449" t="s">
        <v>47127</v>
      </c>
      <c r="J12449" t="s">
        <v>47128</v>
      </c>
      <c r="K12449" t="s">
        <v>47113</v>
      </c>
      <c r="L12449">
        <v>15.45</v>
      </c>
      <c r="M12449">
        <v>39</v>
      </c>
      <c r="N12449">
        <v>0</v>
      </c>
      <c r="O12449">
        <v>39</v>
      </c>
      <c r="P12449">
        <v>0</v>
      </c>
    </row>
    <row r="12450" spans="1:16" x14ac:dyDescent="0.25">
      <c r="A12450" t="s">
        <v>35104</v>
      </c>
      <c r="B12450" t="s">
        <v>9315</v>
      </c>
      <c r="C12450" t="s">
        <v>9316</v>
      </c>
      <c r="D12450" t="str">
        <f>"1700"</f>
        <v>1700</v>
      </c>
      <c r="E12450" t="s">
        <v>60</v>
      </c>
      <c r="F12450" t="s">
        <v>3</v>
      </c>
      <c r="G12450" t="s">
        <v>16221</v>
      </c>
      <c r="I12450" t="s">
        <v>47127</v>
      </c>
      <c r="J12450" t="s">
        <v>47128</v>
      </c>
      <c r="K12450" t="s">
        <v>47113</v>
      </c>
      <c r="L12450">
        <v>15.45</v>
      </c>
      <c r="M12450">
        <v>39</v>
      </c>
      <c r="N12450">
        <v>0</v>
      </c>
      <c r="O12450">
        <v>39</v>
      </c>
      <c r="P12450">
        <v>0</v>
      </c>
    </row>
    <row r="12451" spans="1:16" x14ac:dyDescent="0.25">
      <c r="A12451" t="s">
        <v>35105</v>
      </c>
      <c r="B12451" t="s">
        <v>9315</v>
      </c>
      <c r="C12451" t="s">
        <v>9316</v>
      </c>
      <c r="D12451" t="str">
        <f>"3196"</f>
        <v>3196</v>
      </c>
      <c r="E12451" t="s">
        <v>159</v>
      </c>
      <c r="F12451" t="s">
        <v>3</v>
      </c>
      <c r="G12451" t="s">
        <v>16221</v>
      </c>
      <c r="I12451" t="s">
        <v>47127</v>
      </c>
      <c r="J12451" t="s">
        <v>47128</v>
      </c>
      <c r="K12451" t="s">
        <v>47113</v>
      </c>
      <c r="L12451">
        <v>20.53</v>
      </c>
      <c r="M12451">
        <v>39</v>
      </c>
      <c r="N12451">
        <v>0</v>
      </c>
      <c r="O12451">
        <v>39</v>
      </c>
      <c r="P12451">
        <v>0</v>
      </c>
    </row>
    <row r="12452" spans="1:16" x14ac:dyDescent="0.25">
      <c r="A12452" t="s">
        <v>35106</v>
      </c>
      <c r="B12452" t="s">
        <v>9315</v>
      </c>
      <c r="C12452" t="s">
        <v>9316</v>
      </c>
      <c r="D12452" t="str">
        <f>"4400"</f>
        <v>4400</v>
      </c>
      <c r="E12452" t="s">
        <v>154</v>
      </c>
      <c r="F12452" t="s">
        <v>3</v>
      </c>
      <c r="G12452" t="s">
        <v>16221</v>
      </c>
      <c r="I12452" t="s">
        <v>47127</v>
      </c>
      <c r="J12452" t="s">
        <v>47128</v>
      </c>
      <c r="K12452" t="s">
        <v>47113</v>
      </c>
      <c r="L12452">
        <v>20.53</v>
      </c>
      <c r="M12452">
        <v>39</v>
      </c>
      <c r="N12452">
        <v>0</v>
      </c>
      <c r="O12452">
        <v>39</v>
      </c>
      <c r="P12452">
        <v>0</v>
      </c>
    </row>
    <row r="12453" spans="1:16" x14ac:dyDescent="0.25">
      <c r="A12453" t="s">
        <v>35107</v>
      </c>
      <c r="B12453" t="s">
        <v>9317</v>
      </c>
      <c r="C12453" t="s">
        <v>9318</v>
      </c>
      <c r="D12453" t="str">
        <f>"1007"</f>
        <v>1007</v>
      </c>
      <c r="E12453" t="s">
        <v>162</v>
      </c>
      <c r="F12453" t="s">
        <v>3</v>
      </c>
      <c r="G12453" t="s">
        <v>16221</v>
      </c>
      <c r="I12453" t="s">
        <v>47127</v>
      </c>
      <c r="J12453" t="s">
        <v>47128</v>
      </c>
      <c r="K12453" t="s">
        <v>47113</v>
      </c>
      <c r="L12453">
        <v>20.53</v>
      </c>
      <c r="M12453">
        <v>39</v>
      </c>
      <c r="N12453">
        <v>0</v>
      </c>
      <c r="O12453">
        <v>39</v>
      </c>
      <c r="P12453">
        <v>0</v>
      </c>
    </row>
    <row r="12454" spans="1:16" x14ac:dyDescent="0.25">
      <c r="A12454" t="s">
        <v>35108</v>
      </c>
      <c r="B12454" t="s">
        <v>9317</v>
      </c>
      <c r="C12454" t="s">
        <v>9318</v>
      </c>
      <c r="D12454" t="str">
        <f>"1285"</f>
        <v>1285</v>
      </c>
      <c r="E12454" t="s">
        <v>2148</v>
      </c>
      <c r="F12454" t="s">
        <v>3</v>
      </c>
      <c r="G12454" t="s">
        <v>16221</v>
      </c>
      <c r="I12454" t="s">
        <v>47127</v>
      </c>
      <c r="J12454" t="s">
        <v>47128</v>
      </c>
      <c r="K12454" t="s">
        <v>47113</v>
      </c>
      <c r="L12454">
        <v>15.45</v>
      </c>
      <c r="M12454">
        <v>39</v>
      </c>
      <c r="N12454">
        <v>0</v>
      </c>
      <c r="O12454">
        <v>39</v>
      </c>
      <c r="P12454">
        <v>0</v>
      </c>
    </row>
    <row r="12455" spans="1:16" x14ac:dyDescent="0.25">
      <c r="A12455" t="s">
        <v>35109</v>
      </c>
      <c r="B12455" t="s">
        <v>9317</v>
      </c>
      <c r="C12455" t="s">
        <v>9318</v>
      </c>
      <c r="D12455" t="str">
        <f>"1700"</f>
        <v>1700</v>
      </c>
      <c r="E12455" t="s">
        <v>60</v>
      </c>
      <c r="F12455" t="s">
        <v>3</v>
      </c>
      <c r="G12455" t="s">
        <v>16221</v>
      </c>
      <c r="I12455" t="s">
        <v>47127</v>
      </c>
      <c r="J12455" t="s">
        <v>47128</v>
      </c>
      <c r="K12455" t="s">
        <v>47113</v>
      </c>
      <c r="L12455">
        <v>15.45</v>
      </c>
      <c r="M12455">
        <v>39</v>
      </c>
      <c r="N12455">
        <v>0</v>
      </c>
      <c r="O12455">
        <v>39</v>
      </c>
      <c r="P12455">
        <v>0</v>
      </c>
    </row>
    <row r="12456" spans="1:16" x14ac:dyDescent="0.25">
      <c r="A12456" t="s">
        <v>35110</v>
      </c>
      <c r="B12456" t="s">
        <v>9317</v>
      </c>
      <c r="C12456" t="s">
        <v>9318</v>
      </c>
      <c r="D12456" t="str">
        <f>"3196"</f>
        <v>3196</v>
      </c>
      <c r="E12456" t="s">
        <v>159</v>
      </c>
      <c r="F12456" t="s">
        <v>3</v>
      </c>
      <c r="G12456" t="s">
        <v>16221</v>
      </c>
      <c r="I12456" t="s">
        <v>47127</v>
      </c>
      <c r="J12456" t="s">
        <v>47128</v>
      </c>
      <c r="K12456" t="s">
        <v>47113</v>
      </c>
      <c r="L12456">
        <v>20.53</v>
      </c>
      <c r="M12456">
        <v>39</v>
      </c>
      <c r="N12456">
        <v>0</v>
      </c>
      <c r="O12456">
        <v>39</v>
      </c>
      <c r="P12456">
        <v>0</v>
      </c>
    </row>
    <row r="12457" spans="1:16" x14ac:dyDescent="0.25">
      <c r="A12457" t="s">
        <v>35111</v>
      </c>
      <c r="B12457" t="s">
        <v>9317</v>
      </c>
      <c r="C12457" t="s">
        <v>9318</v>
      </c>
      <c r="D12457" t="str">
        <f>"4400"</f>
        <v>4400</v>
      </c>
      <c r="E12457" t="s">
        <v>154</v>
      </c>
      <c r="F12457" t="s">
        <v>3</v>
      </c>
      <c r="G12457" t="s">
        <v>16221</v>
      </c>
      <c r="I12457" t="s">
        <v>47127</v>
      </c>
      <c r="J12457" t="s">
        <v>47128</v>
      </c>
      <c r="K12457" t="s">
        <v>47113</v>
      </c>
      <c r="L12457">
        <v>20.53</v>
      </c>
      <c r="M12457">
        <v>39</v>
      </c>
      <c r="N12457">
        <v>0</v>
      </c>
      <c r="O12457">
        <v>39</v>
      </c>
      <c r="P12457">
        <v>0</v>
      </c>
    </row>
    <row r="12458" spans="1:16" x14ac:dyDescent="0.25">
      <c r="A12458" t="s">
        <v>35112</v>
      </c>
      <c r="B12458" t="s">
        <v>9319</v>
      </c>
      <c r="C12458" t="s">
        <v>9320</v>
      </c>
      <c r="D12458" t="str">
        <f>"1285"</f>
        <v>1285</v>
      </c>
      <c r="E12458" t="s">
        <v>2148</v>
      </c>
      <c r="F12458" t="s">
        <v>3</v>
      </c>
      <c r="G12458" t="s">
        <v>16221</v>
      </c>
      <c r="H12458" t="s">
        <v>47126</v>
      </c>
      <c r="I12458" t="s">
        <v>47127</v>
      </c>
      <c r="J12458" t="s">
        <v>47128</v>
      </c>
      <c r="K12458" t="s">
        <v>47113</v>
      </c>
      <c r="L12458">
        <v>18.079999999999998</v>
      </c>
      <c r="M12458">
        <v>38</v>
      </c>
      <c r="N12458">
        <v>0</v>
      </c>
      <c r="O12458">
        <v>38</v>
      </c>
      <c r="P12458">
        <v>0</v>
      </c>
    </row>
    <row r="12459" spans="1:16" x14ac:dyDescent="0.25">
      <c r="A12459" t="s">
        <v>35113</v>
      </c>
      <c r="B12459" t="s">
        <v>9319</v>
      </c>
      <c r="C12459" t="s">
        <v>9320</v>
      </c>
      <c r="D12459" t="str">
        <f>"1377"</f>
        <v>1377</v>
      </c>
      <c r="E12459" t="s">
        <v>74</v>
      </c>
      <c r="F12459" t="s">
        <v>3</v>
      </c>
      <c r="G12459" t="s">
        <v>16221</v>
      </c>
      <c r="H12459" t="s">
        <v>47126</v>
      </c>
      <c r="I12459" t="s">
        <v>47127</v>
      </c>
      <c r="J12459" t="s">
        <v>47128</v>
      </c>
      <c r="K12459" t="s">
        <v>47113</v>
      </c>
      <c r="L12459">
        <v>18.059999999999999</v>
      </c>
      <c r="M12459">
        <v>38</v>
      </c>
      <c r="N12459">
        <v>0</v>
      </c>
      <c r="O12459">
        <v>38</v>
      </c>
      <c r="P12459">
        <v>0</v>
      </c>
    </row>
    <row r="12460" spans="1:16" x14ac:dyDescent="0.25">
      <c r="A12460" t="s">
        <v>35114</v>
      </c>
      <c r="B12460" t="s">
        <v>9319</v>
      </c>
      <c r="C12460" t="s">
        <v>9320</v>
      </c>
      <c r="D12460" t="str">
        <f>"3196"</f>
        <v>3196</v>
      </c>
      <c r="E12460" t="s">
        <v>159</v>
      </c>
      <c r="F12460" t="s">
        <v>2</v>
      </c>
      <c r="G12460" t="s">
        <v>16221</v>
      </c>
      <c r="H12460" t="s">
        <v>47126</v>
      </c>
      <c r="I12460" t="s">
        <v>47127</v>
      </c>
      <c r="J12460" t="s">
        <v>47128</v>
      </c>
      <c r="K12460" t="s">
        <v>47113</v>
      </c>
      <c r="L12460">
        <v>17.010000000000002</v>
      </c>
      <c r="M12460">
        <v>38</v>
      </c>
      <c r="N12460">
        <v>0</v>
      </c>
      <c r="O12460">
        <v>38</v>
      </c>
      <c r="P12460">
        <v>0</v>
      </c>
    </row>
    <row r="12461" spans="1:16" x14ac:dyDescent="0.25">
      <c r="A12461" t="s">
        <v>35115</v>
      </c>
      <c r="B12461" t="s">
        <v>9321</v>
      </c>
      <c r="C12461" t="s">
        <v>9285</v>
      </c>
      <c r="D12461" t="str">
        <f>"1007"</f>
        <v>1007</v>
      </c>
      <c r="E12461" t="s">
        <v>162</v>
      </c>
      <c r="F12461" t="s">
        <v>3</v>
      </c>
      <c r="G12461" t="s">
        <v>16222</v>
      </c>
      <c r="H12461" t="s">
        <v>47126</v>
      </c>
      <c r="I12461" t="s">
        <v>47127</v>
      </c>
      <c r="J12461" t="s">
        <v>47128</v>
      </c>
      <c r="K12461" t="s">
        <v>47113</v>
      </c>
      <c r="L12461">
        <v>24.03</v>
      </c>
      <c r="M12461">
        <v>54</v>
      </c>
      <c r="N12461">
        <v>0</v>
      </c>
      <c r="O12461">
        <v>54</v>
      </c>
      <c r="P12461">
        <v>0</v>
      </c>
    </row>
    <row r="12462" spans="1:16" x14ac:dyDescent="0.25">
      <c r="A12462" t="s">
        <v>35116</v>
      </c>
      <c r="B12462" t="s">
        <v>9321</v>
      </c>
      <c r="C12462" t="s">
        <v>9285</v>
      </c>
      <c r="D12462" t="str">
        <f>"1285"</f>
        <v>1285</v>
      </c>
      <c r="E12462" t="s">
        <v>2148</v>
      </c>
      <c r="F12462" t="s">
        <v>3</v>
      </c>
      <c r="G12462" t="s">
        <v>16222</v>
      </c>
      <c r="H12462" t="s">
        <v>47126</v>
      </c>
      <c r="I12462" t="s">
        <v>47127</v>
      </c>
      <c r="J12462" t="s">
        <v>47128</v>
      </c>
      <c r="K12462" t="s">
        <v>47113</v>
      </c>
      <c r="L12462">
        <v>25.51</v>
      </c>
      <c r="M12462">
        <v>54</v>
      </c>
      <c r="N12462">
        <v>0</v>
      </c>
      <c r="O12462">
        <v>54</v>
      </c>
      <c r="P12462">
        <v>0</v>
      </c>
    </row>
    <row r="12463" spans="1:16" x14ac:dyDescent="0.25">
      <c r="A12463" t="s">
        <v>35117</v>
      </c>
      <c r="B12463" t="s">
        <v>9321</v>
      </c>
      <c r="C12463" t="s">
        <v>9285</v>
      </c>
      <c r="D12463" t="str">
        <f>"1700"</f>
        <v>1700</v>
      </c>
      <c r="E12463" t="s">
        <v>60</v>
      </c>
      <c r="F12463" t="s">
        <v>3</v>
      </c>
      <c r="G12463" t="s">
        <v>16222</v>
      </c>
      <c r="H12463" t="s">
        <v>47126</v>
      </c>
      <c r="I12463" t="s">
        <v>47127</v>
      </c>
      <c r="J12463" t="s">
        <v>47128</v>
      </c>
      <c r="K12463" t="s">
        <v>47113</v>
      </c>
      <c r="L12463">
        <v>25.53</v>
      </c>
      <c r="M12463">
        <v>54</v>
      </c>
      <c r="N12463">
        <v>0</v>
      </c>
      <c r="O12463">
        <v>54</v>
      </c>
      <c r="P12463">
        <v>0</v>
      </c>
    </row>
    <row r="12464" spans="1:16" x14ac:dyDescent="0.25">
      <c r="A12464" t="s">
        <v>35118</v>
      </c>
      <c r="B12464" t="s">
        <v>9321</v>
      </c>
      <c r="C12464" t="s">
        <v>9285</v>
      </c>
      <c r="D12464" t="str">
        <f>"4643"</f>
        <v>4643</v>
      </c>
      <c r="E12464" t="s">
        <v>205</v>
      </c>
      <c r="F12464" t="s">
        <v>3</v>
      </c>
      <c r="G12464" t="s">
        <v>16222</v>
      </c>
      <c r="H12464" t="s">
        <v>47126</v>
      </c>
      <c r="I12464" t="s">
        <v>47127</v>
      </c>
      <c r="J12464" t="s">
        <v>47128</v>
      </c>
      <c r="K12464" t="s">
        <v>47113</v>
      </c>
      <c r="L12464">
        <v>25.5</v>
      </c>
      <c r="M12464">
        <v>54</v>
      </c>
      <c r="N12464">
        <v>0</v>
      </c>
      <c r="O12464">
        <v>54</v>
      </c>
      <c r="P12464">
        <v>0</v>
      </c>
    </row>
    <row r="12465" spans="1:16" x14ac:dyDescent="0.25">
      <c r="A12465" t="s">
        <v>35119</v>
      </c>
      <c r="B12465" t="s">
        <v>9321</v>
      </c>
      <c r="C12465" t="s">
        <v>9285</v>
      </c>
      <c r="D12465" t="str">
        <f>"6064"</f>
        <v>6064</v>
      </c>
      <c r="E12465" t="s">
        <v>87</v>
      </c>
      <c r="F12465" t="s">
        <v>3</v>
      </c>
      <c r="G12465" t="s">
        <v>16222</v>
      </c>
      <c r="H12465" t="s">
        <v>47126</v>
      </c>
      <c r="I12465" t="s">
        <v>47127</v>
      </c>
      <c r="J12465" t="s">
        <v>47128</v>
      </c>
      <c r="K12465" t="s">
        <v>47113</v>
      </c>
      <c r="L12465">
        <v>25.53</v>
      </c>
      <c r="M12465">
        <v>54</v>
      </c>
      <c r="N12465">
        <v>0</v>
      </c>
      <c r="O12465">
        <v>54</v>
      </c>
      <c r="P12465">
        <v>0</v>
      </c>
    </row>
    <row r="12466" spans="1:16" x14ac:dyDescent="0.25">
      <c r="A12466" t="s">
        <v>35120</v>
      </c>
      <c r="B12466" t="s">
        <v>9322</v>
      </c>
      <c r="C12466" t="s">
        <v>9323</v>
      </c>
      <c r="D12466" t="str">
        <f>"1007"</f>
        <v>1007</v>
      </c>
      <c r="E12466" t="s">
        <v>162</v>
      </c>
      <c r="F12466" t="s">
        <v>3</v>
      </c>
      <c r="G12466" t="s">
        <v>16222</v>
      </c>
      <c r="H12466" t="s">
        <v>47126</v>
      </c>
      <c r="I12466" t="s">
        <v>47127</v>
      </c>
      <c r="J12466" t="s">
        <v>47128</v>
      </c>
      <c r="K12466" t="s">
        <v>47113</v>
      </c>
      <c r="L12466">
        <v>16</v>
      </c>
      <c r="M12466">
        <v>41</v>
      </c>
      <c r="N12466">
        <v>0</v>
      </c>
      <c r="O12466">
        <v>41</v>
      </c>
      <c r="P12466">
        <v>0</v>
      </c>
    </row>
    <row r="12467" spans="1:16" x14ac:dyDescent="0.25">
      <c r="A12467" t="s">
        <v>35121</v>
      </c>
      <c r="B12467" t="s">
        <v>9322</v>
      </c>
      <c r="C12467" t="s">
        <v>9323</v>
      </c>
      <c r="D12467" t="str">
        <f>"1286"</f>
        <v>1286</v>
      </c>
      <c r="E12467" t="s">
        <v>148</v>
      </c>
      <c r="F12467" t="s">
        <v>3</v>
      </c>
      <c r="G12467" t="s">
        <v>16222</v>
      </c>
      <c r="H12467" t="s">
        <v>47126</v>
      </c>
      <c r="I12467" t="s">
        <v>47127</v>
      </c>
      <c r="J12467" t="s">
        <v>47128</v>
      </c>
      <c r="K12467" t="s">
        <v>47113</v>
      </c>
      <c r="L12467">
        <v>21.28</v>
      </c>
      <c r="M12467">
        <v>41</v>
      </c>
      <c r="N12467">
        <v>0</v>
      </c>
      <c r="O12467">
        <v>41</v>
      </c>
      <c r="P12467">
        <v>0</v>
      </c>
    </row>
    <row r="12468" spans="1:16" x14ac:dyDescent="0.25">
      <c r="A12468" t="s">
        <v>35122</v>
      </c>
      <c r="B12468" t="s">
        <v>9322</v>
      </c>
      <c r="C12468" t="s">
        <v>9323</v>
      </c>
      <c r="D12468" t="str">
        <f>"1377"</f>
        <v>1377</v>
      </c>
      <c r="E12468" t="s">
        <v>74</v>
      </c>
      <c r="F12468" t="s">
        <v>3</v>
      </c>
      <c r="G12468" t="s">
        <v>16222</v>
      </c>
      <c r="H12468" t="s">
        <v>47126</v>
      </c>
      <c r="I12468" t="s">
        <v>47127</v>
      </c>
      <c r="J12468" t="s">
        <v>47128</v>
      </c>
      <c r="K12468" t="s">
        <v>47113</v>
      </c>
      <c r="L12468">
        <v>16</v>
      </c>
      <c r="M12468">
        <v>41</v>
      </c>
      <c r="N12468">
        <v>0</v>
      </c>
      <c r="O12468">
        <v>41</v>
      </c>
      <c r="P12468">
        <v>0</v>
      </c>
    </row>
    <row r="12469" spans="1:16" x14ac:dyDescent="0.25">
      <c r="A12469" t="s">
        <v>35123</v>
      </c>
      <c r="B12469" t="s">
        <v>9322</v>
      </c>
      <c r="C12469" t="s">
        <v>9323</v>
      </c>
      <c r="D12469" t="str">
        <f>"1700"</f>
        <v>1700</v>
      </c>
      <c r="E12469" t="s">
        <v>60</v>
      </c>
      <c r="F12469" t="s">
        <v>3</v>
      </c>
      <c r="G12469" t="s">
        <v>16222</v>
      </c>
      <c r="H12469" t="s">
        <v>47126</v>
      </c>
      <c r="I12469" t="s">
        <v>47127</v>
      </c>
      <c r="J12469" t="s">
        <v>47128</v>
      </c>
      <c r="K12469" t="s">
        <v>47113</v>
      </c>
      <c r="L12469">
        <v>16</v>
      </c>
      <c r="M12469">
        <v>41</v>
      </c>
      <c r="N12469">
        <v>0</v>
      </c>
      <c r="O12469">
        <v>41</v>
      </c>
      <c r="P12469">
        <v>0</v>
      </c>
    </row>
    <row r="12470" spans="1:16" x14ac:dyDescent="0.25">
      <c r="A12470" t="s">
        <v>35124</v>
      </c>
      <c r="B12470" t="s">
        <v>9322</v>
      </c>
      <c r="C12470" t="s">
        <v>9323</v>
      </c>
      <c r="D12470" t="str">
        <f>"2069"</f>
        <v>2069</v>
      </c>
      <c r="E12470" t="s">
        <v>9314</v>
      </c>
      <c r="F12470" t="s">
        <v>3</v>
      </c>
      <c r="G12470" t="s">
        <v>16222</v>
      </c>
      <c r="H12470" t="s">
        <v>47126</v>
      </c>
      <c r="I12470" t="s">
        <v>47127</v>
      </c>
      <c r="J12470" t="s">
        <v>47128</v>
      </c>
      <c r="K12470" t="s">
        <v>47113</v>
      </c>
      <c r="L12470">
        <v>16</v>
      </c>
      <c r="M12470">
        <v>41</v>
      </c>
      <c r="N12470">
        <v>0</v>
      </c>
      <c r="O12470">
        <v>41</v>
      </c>
      <c r="P12470">
        <v>0</v>
      </c>
    </row>
    <row r="12471" spans="1:16" x14ac:dyDescent="0.25">
      <c r="A12471" t="s">
        <v>35125</v>
      </c>
      <c r="B12471" t="s">
        <v>9322</v>
      </c>
      <c r="C12471" t="s">
        <v>9323</v>
      </c>
      <c r="D12471" t="str">
        <f>"3196"</f>
        <v>3196</v>
      </c>
      <c r="E12471" t="s">
        <v>159</v>
      </c>
      <c r="F12471" t="s">
        <v>3</v>
      </c>
      <c r="G12471" t="s">
        <v>16222</v>
      </c>
      <c r="H12471" t="s">
        <v>47126</v>
      </c>
      <c r="I12471" t="s">
        <v>47127</v>
      </c>
      <c r="J12471" t="s">
        <v>47128</v>
      </c>
      <c r="K12471" t="s">
        <v>47113</v>
      </c>
      <c r="L12471">
        <v>16</v>
      </c>
      <c r="M12471">
        <v>41</v>
      </c>
      <c r="N12471">
        <v>0</v>
      </c>
      <c r="O12471">
        <v>41</v>
      </c>
      <c r="P12471">
        <v>0</v>
      </c>
    </row>
    <row r="12472" spans="1:16" x14ac:dyDescent="0.25">
      <c r="A12472" t="s">
        <v>35126</v>
      </c>
      <c r="B12472" t="s">
        <v>9324</v>
      </c>
      <c r="C12472" t="s">
        <v>150</v>
      </c>
      <c r="D12472" t="str">
        <f>"1007"</f>
        <v>1007</v>
      </c>
      <c r="E12472" t="s">
        <v>162</v>
      </c>
      <c r="F12472" t="s">
        <v>3</v>
      </c>
      <c r="G12472" t="s">
        <v>47095</v>
      </c>
      <c r="H12472" t="s">
        <v>47126</v>
      </c>
      <c r="I12472" t="s">
        <v>47127</v>
      </c>
      <c r="J12472" t="s">
        <v>47128</v>
      </c>
      <c r="K12472" t="s">
        <v>47113</v>
      </c>
      <c r="L12472">
        <v>17.940000000000001</v>
      </c>
      <c r="M12472">
        <v>54</v>
      </c>
      <c r="N12472">
        <v>0</v>
      </c>
      <c r="O12472">
        <v>54</v>
      </c>
      <c r="P12472">
        <v>0</v>
      </c>
    </row>
    <row r="12473" spans="1:16" x14ac:dyDescent="0.25">
      <c r="A12473" t="s">
        <v>35127</v>
      </c>
      <c r="B12473" t="s">
        <v>9324</v>
      </c>
      <c r="C12473" t="s">
        <v>150</v>
      </c>
      <c r="D12473" t="str">
        <f>"1286"</f>
        <v>1286</v>
      </c>
      <c r="E12473" t="s">
        <v>148</v>
      </c>
      <c r="F12473" t="s">
        <v>3</v>
      </c>
      <c r="G12473" t="s">
        <v>47095</v>
      </c>
      <c r="H12473" t="s">
        <v>47126</v>
      </c>
      <c r="I12473" t="s">
        <v>47127</v>
      </c>
      <c r="J12473" t="s">
        <v>47128</v>
      </c>
      <c r="K12473" t="s">
        <v>47113</v>
      </c>
      <c r="L12473">
        <v>17.940000000000001</v>
      </c>
      <c r="M12473">
        <v>54</v>
      </c>
      <c r="N12473">
        <v>0</v>
      </c>
      <c r="O12473">
        <v>54</v>
      </c>
      <c r="P12473">
        <v>0</v>
      </c>
    </row>
    <row r="12474" spans="1:16" x14ac:dyDescent="0.25">
      <c r="A12474" t="s">
        <v>35128</v>
      </c>
      <c r="B12474" t="s">
        <v>9324</v>
      </c>
      <c r="C12474" t="s">
        <v>150</v>
      </c>
      <c r="D12474" t="str">
        <f>"1377"</f>
        <v>1377</v>
      </c>
      <c r="E12474" t="s">
        <v>74</v>
      </c>
      <c r="F12474" t="s">
        <v>3</v>
      </c>
      <c r="G12474" t="s">
        <v>47095</v>
      </c>
      <c r="H12474" t="s">
        <v>47126</v>
      </c>
      <c r="I12474" t="s">
        <v>47127</v>
      </c>
      <c r="J12474" t="s">
        <v>47128</v>
      </c>
      <c r="K12474" t="s">
        <v>47113</v>
      </c>
      <c r="L12474">
        <v>17.940000000000001</v>
      </c>
      <c r="M12474">
        <v>54</v>
      </c>
      <c r="N12474">
        <v>0</v>
      </c>
      <c r="O12474">
        <v>54</v>
      </c>
      <c r="P12474">
        <v>0</v>
      </c>
    </row>
    <row r="12475" spans="1:16" x14ac:dyDescent="0.25">
      <c r="A12475" t="s">
        <v>35129</v>
      </c>
      <c r="B12475" t="s">
        <v>9324</v>
      </c>
      <c r="C12475" t="s">
        <v>150</v>
      </c>
      <c r="D12475" t="str">
        <f>"1700"</f>
        <v>1700</v>
      </c>
      <c r="E12475" t="s">
        <v>60</v>
      </c>
      <c r="F12475" t="s">
        <v>3</v>
      </c>
      <c r="G12475" t="s">
        <v>47095</v>
      </c>
      <c r="H12475" t="s">
        <v>47126</v>
      </c>
      <c r="I12475" t="s">
        <v>47127</v>
      </c>
      <c r="J12475" t="s">
        <v>47128</v>
      </c>
      <c r="K12475" t="s">
        <v>47113</v>
      </c>
      <c r="L12475">
        <v>17.940000000000001</v>
      </c>
      <c r="M12475">
        <v>54</v>
      </c>
      <c r="N12475">
        <v>0</v>
      </c>
      <c r="O12475">
        <v>54</v>
      </c>
      <c r="P12475">
        <v>0</v>
      </c>
    </row>
    <row r="12476" spans="1:16" x14ac:dyDescent="0.25">
      <c r="A12476" t="s">
        <v>35130</v>
      </c>
      <c r="B12476" t="s">
        <v>9324</v>
      </c>
      <c r="C12476" t="s">
        <v>150</v>
      </c>
      <c r="D12476" t="str">
        <f>"3196"</f>
        <v>3196</v>
      </c>
      <c r="E12476" t="s">
        <v>159</v>
      </c>
      <c r="F12476" t="s">
        <v>3</v>
      </c>
      <c r="G12476" t="s">
        <v>47095</v>
      </c>
      <c r="H12476" t="s">
        <v>47126</v>
      </c>
      <c r="I12476" t="s">
        <v>47127</v>
      </c>
      <c r="J12476" t="s">
        <v>47128</v>
      </c>
      <c r="K12476" t="s">
        <v>47113</v>
      </c>
      <c r="L12476">
        <v>17.940000000000001</v>
      </c>
      <c r="M12476">
        <v>54</v>
      </c>
      <c r="N12476">
        <v>0</v>
      </c>
      <c r="O12476">
        <v>54</v>
      </c>
      <c r="P12476">
        <v>0</v>
      </c>
    </row>
    <row r="12477" spans="1:16" x14ac:dyDescent="0.25">
      <c r="A12477" t="s">
        <v>35131</v>
      </c>
      <c r="B12477" t="s">
        <v>9324</v>
      </c>
      <c r="C12477" t="s">
        <v>150</v>
      </c>
      <c r="D12477" t="str">
        <f>"4643"</f>
        <v>4643</v>
      </c>
      <c r="E12477" t="s">
        <v>205</v>
      </c>
      <c r="F12477" t="s">
        <v>3</v>
      </c>
      <c r="G12477" t="s">
        <v>47095</v>
      </c>
      <c r="H12477" t="s">
        <v>47126</v>
      </c>
      <c r="I12477" t="s">
        <v>47127</v>
      </c>
      <c r="J12477" t="s">
        <v>47128</v>
      </c>
      <c r="K12477" t="s">
        <v>47113</v>
      </c>
      <c r="L12477">
        <v>17.940000000000001</v>
      </c>
      <c r="M12477">
        <v>54</v>
      </c>
      <c r="N12477">
        <v>0</v>
      </c>
      <c r="O12477">
        <v>54</v>
      </c>
      <c r="P12477">
        <v>0</v>
      </c>
    </row>
    <row r="12478" spans="1:16" x14ac:dyDescent="0.25">
      <c r="A12478" t="s">
        <v>35132</v>
      </c>
      <c r="B12478" t="s">
        <v>9325</v>
      </c>
      <c r="C12478" t="s">
        <v>150</v>
      </c>
      <c r="D12478" t="str">
        <f>"1007"</f>
        <v>1007</v>
      </c>
      <c r="E12478" t="s">
        <v>162</v>
      </c>
      <c r="F12478" t="s">
        <v>3</v>
      </c>
      <c r="G12478" t="s">
        <v>16222</v>
      </c>
      <c r="I12478" t="s">
        <v>47127</v>
      </c>
      <c r="J12478" t="s">
        <v>47128</v>
      </c>
      <c r="K12478" t="s">
        <v>47113</v>
      </c>
      <c r="L12478">
        <v>23.81</v>
      </c>
      <c r="M12478">
        <v>50</v>
      </c>
      <c r="N12478">
        <v>0</v>
      </c>
      <c r="O12478">
        <v>50</v>
      </c>
      <c r="P12478">
        <v>0</v>
      </c>
    </row>
    <row r="12479" spans="1:16" x14ac:dyDescent="0.25">
      <c r="A12479" t="s">
        <v>35133</v>
      </c>
      <c r="B12479" t="s">
        <v>9325</v>
      </c>
      <c r="C12479" t="s">
        <v>150</v>
      </c>
      <c r="D12479" t="str">
        <f>"1286"</f>
        <v>1286</v>
      </c>
      <c r="E12479" t="s">
        <v>148</v>
      </c>
      <c r="F12479" t="s">
        <v>3</v>
      </c>
      <c r="G12479" t="s">
        <v>16222</v>
      </c>
      <c r="I12479" t="s">
        <v>47127</v>
      </c>
      <c r="J12479" t="s">
        <v>47128</v>
      </c>
      <c r="K12479" t="s">
        <v>47113</v>
      </c>
      <c r="L12479">
        <v>17.940000000000001</v>
      </c>
      <c r="M12479">
        <v>50</v>
      </c>
      <c r="N12479">
        <v>0</v>
      </c>
      <c r="O12479">
        <v>50</v>
      </c>
      <c r="P12479">
        <v>0</v>
      </c>
    </row>
    <row r="12480" spans="1:16" x14ac:dyDescent="0.25">
      <c r="A12480" t="s">
        <v>35134</v>
      </c>
      <c r="B12480" t="s">
        <v>9325</v>
      </c>
      <c r="C12480" t="s">
        <v>150</v>
      </c>
      <c r="D12480" t="str">
        <f>"1377"</f>
        <v>1377</v>
      </c>
      <c r="E12480" t="s">
        <v>74</v>
      </c>
      <c r="F12480" t="s">
        <v>3</v>
      </c>
      <c r="G12480" t="s">
        <v>16222</v>
      </c>
      <c r="I12480" t="s">
        <v>47127</v>
      </c>
      <c r="J12480" t="s">
        <v>47128</v>
      </c>
      <c r="K12480" t="s">
        <v>47113</v>
      </c>
      <c r="L12480">
        <v>23.81</v>
      </c>
      <c r="M12480">
        <v>50</v>
      </c>
      <c r="N12480">
        <v>0</v>
      </c>
      <c r="O12480">
        <v>50</v>
      </c>
      <c r="P12480">
        <v>0</v>
      </c>
    </row>
    <row r="12481" spans="1:16" x14ac:dyDescent="0.25">
      <c r="A12481" t="s">
        <v>35135</v>
      </c>
      <c r="B12481" t="s">
        <v>9325</v>
      </c>
      <c r="C12481" t="s">
        <v>150</v>
      </c>
      <c r="D12481" t="str">
        <f>"1700"</f>
        <v>1700</v>
      </c>
      <c r="E12481" t="s">
        <v>60</v>
      </c>
      <c r="F12481" t="s">
        <v>3</v>
      </c>
      <c r="G12481" t="s">
        <v>16222</v>
      </c>
      <c r="I12481" t="s">
        <v>47127</v>
      </c>
      <c r="J12481" t="s">
        <v>47128</v>
      </c>
      <c r="K12481" t="s">
        <v>47113</v>
      </c>
      <c r="L12481">
        <v>17.940000000000001</v>
      </c>
      <c r="M12481">
        <v>50</v>
      </c>
      <c r="N12481">
        <v>0</v>
      </c>
      <c r="O12481">
        <v>50</v>
      </c>
      <c r="P12481">
        <v>0</v>
      </c>
    </row>
    <row r="12482" spans="1:16" x14ac:dyDescent="0.25">
      <c r="A12482" t="s">
        <v>35136</v>
      </c>
      <c r="B12482" t="s">
        <v>9325</v>
      </c>
      <c r="C12482" t="s">
        <v>150</v>
      </c>
      <c r="D12482" t="str">
        <f>"3196"</f>
        <v>3196</v>
      </c>
      <c r="E12482" t="s">
        <v>159</v>
      </c>
      <c r="F12482" t="s">
        <v>3</v>
      </c>
      <c r="G12482" t="s">
        <v>16222</v>
      </c>
      <c r="I12482" t="s">
        <v>47127</v>
      </c>
      <c r="J12482" t="s">
        <v>47128</v>
      </c>
      <c r="K12482" t="s">
        <v>47113</v>
      </c>
      <c r="L12482">
        <v>23.81</v>
      </c>
      <c r="M12482">
        <v>50</v>
      </c>
      <c r="N12482">
        <v>0</v>
      </c>
      <c r="O12482">
        <v>50</v>
      </c>
      <c r="P12482">
        <v>0</v>
      </c>
    </row>
    <row r="12483" spans="1:16" x14ac:dyDescent="0.25">
      <c r="A12483" t="s">
        <v>35137</v>
      </c>
      <c r="B12483" t="s">
        <v>9325</v>
      </c>
      <c r="C12483" t="s">
        <v>150</v>
      </c>
      <c r="D12483" t="str">
        <f>"4643"</f>
        <v>4643</v>
      </c>
      <c r="E12483" t="s">
        <v>205</v>
      </c>
      <c r="F12483" t="s">
        <v>3</v>
      </c>
      <c r="G12483" t="s">
        <v>16222</v>
      </c>
      <c r="I12483" t="s">
        <v>47127</v>
      </c>
      <c r="J12483" t="s">
        <v>47128</v>
      </c>
      <c r="K12483" t="s">
        <v>47113</v>
      </c>
      <c r="L12483">
        <v>17.940000000000001</v>
      </c>
      <c r="M12483">
        <v>50</v>
      </c>
      <c r="N12483">
        <v>0</v>
      </c>
      <c r="O12483">
        <v>50</v>
      </c>
      <c r="P12483">
        <v>0</v>
      </c>
    </row>
    <row r="12484" spans="1:16" x14ac:dyDescent="0.25">
      <c r="A12484" t="s">
        <v>35138</v>
      </c>
      <c r="B12484" t="s">
        <v>9326</v>
      </c>
      <c r="C12484" t="s">
        <v>9327</v>
      </c>
      <c r="D12484" t="str">
        <f>"1007"</f>
        <v>1007</v>
      </c>
      <c r="E12484" t="s">
        <v>162</v>
      </c>
      <c r="F12484" t="s">
        <v>3</v>
      </c>
      <c r="G12484" t="s">
        <v>16222</v>
      </c>
      <c r="H12484" t="s">
        <v>47126</v>
      </c>
      <c r="I12484" t="s">
        <v>47127</v>
      </c>
      <c r="J12484" t="s">
        <v>47128</v>
      </c>
      <c r="K12484" t="s">
        <v>47113</v>
      </c>
      <c r="L12484">
        <v>19.55</v>
      </c>
      <c r="M12484">
        <v>39</v>
      </c>
      <c r="N12484">
        <v>0</v>
      </c>
      <c r="O12484">
        <v>39</v>
      </c>
      <c r="P12484">
        <v>0</v>
      </c>
    </row>
    <row r="12485" spans="1:16" x14ac:dyDescent="0.25">
      <c r="A12485" t="s">
        <v>35139</v>
      </c>
      <c r="B12485" t="s">
        <v>9326</v>
      </c>
      <c r="C12485" t="s">
        <v>9327</v>
      </c>
      <c r="D12485" t="str">
        <f>"1285"</f>
        <v>1285</v>
      </c>
      <c r="E12485" t="s">
        <v>2148</v>
      </c>
      <c r="F12485" t="s">
        <v>3</v>
      </c>
      <c r="G12485" t="s">
        <v>16222</v>
      </c>
      <c r="H12485" t="s">
        <v>47126</v>
      </c>
      <c r="I12485" t="s">
        <v>47127</v>
      </c>
      <c r="J12485" t="s">
        <v>47128</v>
      </c>
      <c r="K12485" t="s">
        <v>47113</v>
      </c>
      <c r="L12485">
        <v>20.75</v>
      </c>
      <c r="M12485">
        <v>39</v>
      </c>
      <c r="N12485">
        <v>0</v>
      </c>
      <c r="O12485">
        <v>39</v>
      </c>
      <c r="P12485">
        <v>0</v>
      </c>
    </row>
    <row r="12486" spans="1:16" x14ac:dyDescent="0.25">
      <c r="A12486" t="s">
        <v>35140</v>
      </c>
      <c r="B12486" t="s">
        <v>9326</v>
      </c>
      <c r="C12486" t="s">
        <v>9327</v>
      </c>
      <c r="D12486" t="str">
        <f>"1700"</f>
        <v>1700</v>
      </c>
      <c r="E12486" t="s">
        <v>60</v>
      </c>
      <c r="F12486" t="s">
        <v>3</v>
      </c>
      <c r="G12486" t="s">
        <v>16222</v>
      </c>
      <c r="H12486" t="s">
        <v>47126</v>
      </c>
      <c r="I12486" t="s">
        <v>47127</v>
      </c>
      <c r="J12486" t="s">
        <v>47128</v>
      </c>
      <c r="K12486" t="s">
        <v>47113</v>
      </c>
      <c r="L12486">
        <v>20.75</v>
      </c>
      <c r="M12486">
        <v>39</v>
      </c>
      <c r="N12486">
        <v>0</v>
      </c>
      <c r="O12486">
        <v>39</v>
      </c>
      <c r="P12486">
        <v>0</v>
      </c>
    </row>
    <row r="12487" spans="1:16" x14ac:dyDescent="0.25">
      <c r="A12487" t="s">
        <v>35141</v>
      </c>
      <c r="B12487" t="s">
        <v>9326</v>
      </c>
      <c r="C12487" t="s">
        <v>9327</v>
      </c>
      <c r="D12487" t="str">
        <f>"4643"</f>
        <v>4643</v>
      </c>
      <c r="E12487" t="s">
        <v>205</v>
      </c>
      <c r="F12487" t="s">
        <v>3</v>
      </c>
      <c r="G12487" t="s">
        <v>16222</v>
      </c>
      <c r="H12487" t="s">
        <v>47126</v>
      </c>
      <c r="I12487" t="s">
        <v>47127</v>
      </c>
      <c r="J12487" t="s">
        <v>47128</v>
      </c>
      <c r="K12487" t="s">
        <v>47113</v>
      </c>
      <c r="L12487">
        <v>20.75</v>
      </c>
      <c r="M12487">
        <v>39</v>
      </c>
      <c r="N12487">
        <v>0</v>
      </c>
      <c r="O12487">
        <v>39</v>
      </c>
      <c r="P12487">
        <v>0</v>
      </c>
    </row>
    <row r="12488" spans="1:16" x14ac:dyDescent="0.25">
      <c r="A12488" t="s">
        <v>35142</v>
      </c>
      <c r="B12488" t="s">
        <v>9326</v>
      </c>
      <c r="C12488" t="s">
        <v>9327</v>
      </c>
      <c r="D12488" t="str">
        <f>"6064"</f>
        <v>6064</v>
      </c>
      <c r="E12488" t="s">
        <v>87</v>
      </c>
      <c r="F12488" t="s">
        <v>3</v>
      </c>
      <c r="G12488" t="s">
        <v>16222</v>
      </c>
      <c r="H12488" t="s">
        <v>47126</v>
      </c>
      <c r="I12488" t="s">
        <v>47127</v>
      </c>
      <c r="J12488" t="s">
        <v>47128</v>
      </c>
      <c r="K12488" t="s">
        <v>47113</v>
      </c>
      <c r="L12488">
        <v>20.75</v>
      </c>
      <c r="M12488">
        <v>39</v>
      </c>
      <c r="N12488">
        <v>0</v>
      </c>
      <c r="O12488">
        <v>39</v>
      </c>
      <c r="P12488">
        <v>0</v>
      </c>
    </row>
    <row r="12489" spans="1:16" x14ac:dyDescent="0.25">
      <c r="A12489" t="s">
        <v>35143</v>
      </c>
      <c r="B12489" t="s">
        <v>9328</v>
      </c>
      <c r="C12489" t="s">
        <v>9329</v>
      </c>
      <c r="D12489" t="str">
        <f>"1377"</f>
        <v>1377</v>
      </c>
      <c r="E12489" t="s">
        <v>74</v>
      </c>
      <c r="F12489" t="s">
        <v>3</v>
      </c>
      <c r="G12489" t="s">
        <v>16221</v>
      </c>
      <c r="I12489" t="s">
        <v>47127</v>
      </c>
      <c r="J12489" t="s">
        <v>47128</v>
      </c>
      <c r="K12489" t="s">
        <v>47113</v>
      </c>
      <c r="L12489">
        <v>15.26</v>
      </c>
      <c r="M12489">
        <v>32</v>
      </c>
      <c r="N12489">
        <v>0</v>
      </c>
      <c r="O12489">
        <v>32</v>
      </c>
      <c r="P12489">
        <v>0</v>
      </c>
    </row>
    <row r="12490" spans="1:16" x14ac:dyDescent="0.25">
      <c r="A12490" t="s">
        <v>35144</v>
      </c>
      <c r="B12490" t="s">
        <v>9328</v>
      </c>
      <c r="C12490" t="s">
        <v>9329</v>
      </c>
      <c r="D12490" t="str">
        <f>"1700"</f>
        <v>1700</v>
      </c>
      <c r="E12490" t="s">
        <v>60</v>
      </c>
      <c r="F12490" t="s">
        <v>3</v>
      </c>
      <c r="G12490" t="s">
        <v>16221</v>
      </c>
      <c r="I12490" t="s">
        <v>47127</v>
      </c>
      <c r="J12490" t="s">
        <v>47128</v>
      </c>
      <c r="K12490" t="s">
        <v>47113</v>
      </c>
      <c r="L12490">
        <v>15.26</v>
      </c>
      <c r="M12490">
        <v>32</v>
      </c>
      <c r="N12490">
        <v>0</v>
      </c>
      <c r="O12490">
        <v>32</v>
      </c>
      <c r="P12490">
        <v>0</v>
      </c>
    </row>
    <row r="12491" spans="1:16" x14ac:dyDescent="0.25">
      <c r="A12491" t="s">
        <v>35145</v>
      </c>
      <c r="B12491" t="s">
        <v>9330</v>
      </c>
      <c r="C12491" t="s">
        <v>9331</v>
      </c>
      <c r="D12491" t="str">
        <f>"1007"</f>
        <v>1007</v>
      </c>
      <c r="E12491" t="s">
        <v>162</v>
      </c>
      <c r="F12491" t="s">
        <v>3</v>
      </c>
      <c r="G12491" t="s">
        <v>16221</v>
      </c>
      <c r="H12491" t="s">
        <v>47126</v>
      </c>
      <c r="I12491" t="s">
        <v>47127</v>
      </c>
      <c r="J12491" t="s">
        <v>47128</v>
      </c>
      <c r="K12491" t="s">
        <v>47113</v>
      </c>
      <c r="L12491">
        <v>13.55</v>
      </c>
      <c r="M12491">
        <v>27</v>
      </c>
      <c r="N12491">
        <v>0</v>
      </c>
      <c r="O12491">
        <v>27</v>
      </c>
      <c r="P12491">
        <v>0</v>
      </c>
    </row>
    <row r="12492" spans="1:16" x14ac:dyDescent="0.25">
      <c r="A12492" t="s">
        <v>35146</v>
      </c>
      <c r="B12492" t="s">
        <v>9330</v>
      </c>
      <c r="C12492" t="s">
        <v>9331</v>
      </c>
      <c r="D12492" t="str">
        <f>"1286"</f>
        <v>1286</v>
      </c>
      <c r="E12492" t="s">
        <v>148</v>
      </c>
      <c r="F12492" t="s">
        <v>3</v>
      </c>
      <c r="G12492" t="s">
        <v>16221</v>
      </c>
      <c r="H12492" t="s">
        <v>47126</v>
      </c>
      <c r="I12492" t="s">
        <v>47127</v>
      </c>
      <c r="J12492" t="s">
        <v>47128</v>
      </c>
      <c r="K12492" t="s">
        <v>47113</v>
      </c>
      <c r="L12492">
        <v>13.55</v>
      </c>
      <c r="M12492">
        <v>27</v>
      </c>
      <c r="N12492">
        <v>0</v>
      </c>
      <c r="O12492">
        <v>27</v>
      </c>
      <c r="P12492">
        <v>0</v>
      </c>
    </row>
    <row r="12493" spans="1:16" x14ac:dyDescent="0.25">
      <c r="A12493" t="s">
        <v>35147</v>
      </c>
      <c r="B12493" t="s">
        <v>9330</v>
      </c>
      <c r="C12493" t="s">
        <v>9331</v>
      </c>
      <c r="D12493" t="str">
        <f>"1377"</f>
        <v>1377</v>
      </c>
      <c r="E12493" t="s">
        <v>74</v>
      </c>
      <c r="F12493" t="s">
        <v>3</v>
      </c>
      <c r="G12493" t="s">
        <v>16221</v>
      </c>
      <c r="H12493" t="s">
        <v>47126</v>
      </c>
      <c r="I12493" t="s">
        <v>47127</v>
      </c>
      <c r="J12493" t="s">
        <v>47128</v>
      </c>
      <c r="K12493" t="s">
        <v>47113</v>
      </c>
      <c r="L12493">
        <v>13.55</v>
      </c>
      <c r="M12493">
        <v>27</v>
      </c>
      <c r="N12493">
        <v>0</v>
      </c>
      <c r="O12493">
        <v>27</v>
      </c>
      <c r="P12493">
        <v>0</v>
      </c>
    </row>
    <row r="12494" spans="1:16" x14ac:dyDescent="0.25">
      <c r="A12494" t="s">
        <v>35148</v>
      </c>
      <c r="B12494" t="s">
        <v>9330</v>
      </c>
      <c r="C12494" t="s">
        <v>9331</v>
      </c>
      <c r="D12494" t="str">
        <f>"1700"</f>
        <v>1700</v>
      </c>
      <c r="E12494" t="s">
        <v>60</v>
      </c>
      <c r="F12494" t="s">
        <v>3</v>
      </c>
      <c r="G12494" t="s">
        <v>16221</v>
      </c>
      <c r="H12494" t="s">
        <v>47126</v>
      </c>
      <c r="I12494" t="s">
        <v>47127</v>
      </c>
      <c r="J12494" t="s">
        <v>47128</v>
      </c>
      <c r="K12494" t="s">
        <v>47113</v>
      </c>
      <c r="L12494">
        <v>13.55</v>
      </c>
      <c r="M12494">
        <v>27</v>
      </c>
      <c r="N12494">
        <v>0</v>
      </c>
      <c r="O12494">
        <v>27</v>
      </c>
      <c r="P12494">
        <v>0</v>
      </c>
    </row>
    <row r="12495" spans="1:16" x14ac:dyDescent="0.25">
      <c r="A12495" t="s">
        <v>35149</v>
      </c>
      <c r="B12495" t="s">
        <v>9330</v>
      </c>
      <c r="C12495" t="s">
        <v>9331</v>
      </c>
      <c r="D12495" t="str">
        <f>"2069"</f>
        <v>2069</v>
      </c>
      <c r="E12495" t="s">
        <v>9314</v>
      </c>
      <c r="F12495" t="s">
        <v>5</v>
      </c>
      <c r="G12495" t="s">
        <v>16221</v>
      </c>
      <c r="H12495" t="s">
        <v>47126</v>
      </c>
      <c r="I12495" t="s">
        <v>47127</v>
      </c>
      <c r="J12495" t="s">
        <v>47128</v>
      </c>
      <c r="K12495" t="s">
        <v>47113</v>
      </c>
      <c r="L12495">
        <v>13.55</v>
      </c>
      <c r="M12495">
        <v>27</v>
      </c>
      <c r="N12495">
        <v>0</v>
      </c>
      <c r="O12495">
        <v>27</v>
      </c>
      <c r="P12495">
        <v>0</v>
      </c>
    </row>
    <row r="12496" spans="1:16" x14ac:dyDescent="0.25">
      <c r="A12496" t="s">
        <v>35150</v>
      </c>
      <c r="B12496" t="s">
        <v>9330</v>
      </c>
      <c r="C12496" t="s">
        <v>9331</v>
      </c>
      <c r="D12496" t="str">
        <f>"3196"</f>
        <v>3196</v>
      </c>
      <c r="E12496" t="s">
        <v>159</v>
      </c>
      <c r="F12496" t="s">
        <v>3</v>
      </c>
      <c r="G12496" t="s">
        <v>16221</v>
      </c>
      <c r="H12496" t="s">
        <v>47126</v>
      </c>
      <c r="I12496" t="s">
        <v>47127</v>
      </c>
      <c r="J12496" t="s">
        <v>47128</v>
      </c>
      <c r="K12496" t="s">
        <v>47113</v>
      </c>
      <c r="L12496">
        <v>13.55</v>
      </c>
      <c r="M12496">
        <v>27</v>
      </c>
      <c r="N12496">
        <v>0</v>
      </c>
      <c r="O12496">
        <v>27</v>
      </c>
      <c r="P12496">
        <v>0</v>
      </c>
    </row>
    <row r="12497" spans="1:16" x14ac:dyDescent="0.25">
      <c r="A12497" t="s">
        <v>35151</v>
      </c>
      <c r="B12497" t="s">
        <v>9332</v>
      </c>
      <c r="C12497" t="s">
        <v>9333</v>
      </c>
      <c r="D12497" t="str">
        <f>"1007"</f>
        <v>1007</v>
      </c>
      <c r="E12497" t="s">
        <v>162</v>
      </c>
      <c r="F12497" t="s">
        <v>3</v>
      </c>
      <c r="G12497" t="s">
        <v>16221</v>
      </c>
      <c r="H12497" t="s">
        <v>47126</v>
      </c>
      <c r="I12497" t="s">
        <v>47127</v>
      </c>
      <c r="J12497" t="s">
        <v>47128</v>
      </c>
      <c r="K12497" t="s">
        <v>47113</v>
      </c>
      <c r="L12497">
        <v>13.56</v>
      </c>
      <c r="M12497">
        <v>27</v>
      </c>
      <c r="N12497">
        <v>0</v>
      </c>
      <c r="O12497">
        <v>27</v>
      </c>
      <c r="P12497">
        <v>0</v>
      </c>
    </row>
    <row r="12498" spans="1:16" x14ac:dyDescent="0.25">
      <c r="A12498" t="s">
        <v>35152</v>
      </c>
      <c r="B12498" t="s">
        <v>9332</v>
      </c>
      <c r="C12498" t="s">
        <v>9333</v>
      </c>
      <c r="D12498" t="str">
        <f>"1285"</f>
        <v>1285</v>
      </c>
      <c r="E12498" t="s">
        <v>2148</v>
      </c>
      <c r="F12498" t="s">
        <v>3</v>
      </c>
      <c r="G12498" t="s">
        <v>16221</v>
      </c>
      <c r="H12498" t="s">
        <v>47126</v>
      </c>
      <c r="I12498" t="s">
        <v>47127</v>
      </c>
      <c r="J12498" t="s">
        <v>47128</v>
      </c>
      <c r="K12498" t="s">
        <v>47113</v>
      </c>
      <c r="L12498">
        <v>13.56</v>
      </c>
      <c r="M12498">
        <v>27</v>
      </c>
      <c r="N12498">
        <v>0</v>
      </c>
      <c r="O12498">
        <v>27</v>
      </c>
      <c r="P12498">
        <v>0</v>
      </c>
    </row>
    <row r="12499" spans="1:16" x14ac:dyDescent="0.25">
      <c r="A12499" t="s">
        <v>35153</v>
      </c>
      <c r="B12499" t="s">
        <v>9332</v>
      </c>
      <c r="C12499" t="s">
        <v>9333</v>
      </c>
      <c r="D12499" t="str">
        <f>"1700"</f>
        <v>1700</v>
      </c>
      <c r="E12499" t="s">
        <v>60</v>
      </c>
      <c r="F12499" t="s">
        <v>3</v>
      </c>
      <c r="G12499" t="s">
        <v>16221</v>
      </c>
      <c r="H12499" t="s">
        <v>47126</v>
      </c>
      <c r="I12499" t="s">
        <v>47127</v>
      </c>
      <c r="J12499" t="s">
        <v>47128</v>
      </c>
      <c r="K12499" t="s">
        <v>47113</v>
      </c>
      <c r="L12499">
        <v>13.56</v>
      </c>
      <c r="M12499">
        <v>27</v>
      </c>
      <c r="N12499">
        <v>0</v>
      </c>
      <c r="O12499">
        <v>27</v>
      </c>
      <c r="P12499">
        <v>0</v>
      </c>
    </row>
    <row r="12500" spans="1:16" x14ac:dyDescent="0.25">
      <c r="A12500" t="s">
        <v>35154</v>
      </c>
      <c r="B12500" t="s">
        <v>9332</v>
      </c>
      <c r="C12500" t="s">
        <v>9333</v>
      </c>
      <c r="D12500" t="str">
        <f>"3196"</f>
        <v>3196</v>
      </c>
      <c r="E12500" t="s">
        <v>159</v>
      </c>
      <c r="F12500" t="s">
        <v>3</v>
      </c>
      <c r="G12500" t="s">
        <v>16221</v>
      </c>
      <c r="H12500" t="s">
        <v>47126</v>
      </c>
      <c r="I12500" t="s">
        <v>47127</v>
      </c>
      <c r="J12500" t="s">
        <v>47128</v>
      </c>
      <c r="K12500" t="s">
        <v>47113</v>
      </c>
      <c r="L12500">
        <v>12.76</v>
      </c>
      <c r="M12500">
        <v>27</v>
      </c>
      <c r="N12500">
        <v>0</v>
      </c>
      <c r="O12500">
        <v>27</v>
      </c>
      <c r="P12500">
        <v>0</v>
      </c>
    </row>
    <row r="12501" spans="1:16" x14ac:dyDescent="0.25">
      <c r="A12501" t="s">
        <v>35155</v>
      </c>
      <c r="B12501" t="s">
        <v>9332</v>
      </c>
      <c r="C12501" t="s">
        <v>9333</v>
      </c>
      <c r="D12501" t="str">
        <f>"6182"</f>
        <v>6182</v>
      </c>
      <c r="E12501" t="s">
        <v>202</v>
      </c>
      <c r="F12501" t="s">
        <v>3</v>
      </c>
      <c r="G12501" t="s">
        <v>16221</v>
      </c>
      <c r="H12501" t="s">
        <v>47126</v>
      </c>
      <c r="I12501" t="s">
        <v>47127</v>
      </c>
      <c r="J12501" t="s">
        <v>47128</v>
      </c>
      <c r="K12501" t="s">
        <v>47113</v>
      </c>
      <c r="L12501">
        <v>12.76</v>
      </c>
      <c r="M12501">
        <v>27</v>
      </c>
      <c r="N12501">
        <v>0</v>
      </c>
      <c r="O12501">
        <v>27</v>
      </c>
      <c r="P12501">
        <v>0</v>
      </c>
    </row>
    <row r="12502" spans="1:16" x14ac:dyDescent="0.25">
      <c r="A12502" t="s">
        <v>35156</v>
      </c>
      <c r="B12502" t="s">
        <v>9334</v>
      </c>
      <c r="C12502" t="s">
        <v>9335</v>
      </c>
      <c r="D12502" t="str">
        <f>"1007"</f>
        <v>1007</v>
      </c>
      <c r="E12502" t="s">
        <v>162</v>
      </c>
      <c r="F12502" t="s">
        <v>3</v>
      </c>
      <c r="G12502" t="s">
        <v>16221</v>
      </c>
      <c r="H12502" t="s">
        <v>47126</v>
      </c>
      <c r="I12502" t="s">
        <v>47127</v>
      </c>
      <c r="J12502" t="s">
        <v>47128</v>
      </c>
      <c r="K12502" t="s">
        <v>47113</v>
      </c>
      <c r="L12502">
        <v>13.45</v>
      </c>
      <c r="M12502">
        <v>27</v>
      </c>
      <c r="N12502">
        <v>0</v>
      </c>
      <c r="O12502">
        <v>27</v>
      </c>
      <c r="P12502">
        <v>0</v>
      </c>
    </row>
    <row r="12503" spans="1:16" x14ac:dyDescent="0.25">
      <c r="A12503" t="s">
        <v>35157</v>
      </c>
      <c r="B12503" t="s">
        <v>9334</v>
      </c>
      <c r="C12503" t="s">
        <v>9335</v>
      </c>
      <c r="D12503" t="str">
        <f>"1285"</f>
        <v>1285</v>
      </c>
      <c r="E12503" t="s">
        <v>2148</v>
      </c>
      <c r="F12503" t="s">
        <v>3</v>
      </c>
      <c r="G12503" t="s">
        <v>16221</v>
      </c>
      <c r="H12503" t="s">
        <v>47126</v>
      </c>
      <c r="I12503" t="s">
        <v>47127</v>
      </c>
      <c r="J12503" t="s">
        <v>47128</v>
      </c>
      <c r="K12503" t="s">
        <v>47113</v>
      </c>
      <c r="L12503">
        <v>13.58</v>
      </c>
      <c r="M12503">
        <v>27</v>
      </c>
      <c r="N12503">
        <v>0</v>
      </c>
      <c r="O12503">
        <v>27</v>
      </c>
      <c r="P12503">
        <v>0</v>
      </c>
    </row>
    <row r="12504" spans="1:16" x14ac:dyDescent="0.25">
      <c r="A12504" t="s">
        <v>35158</v>
      </c>
      <c r="B12504" t="s">
        <v>9334</v>
      </c>
      <c r="C12504" t="s">
        <v>9335</v>
      </c>
      <c r="D12504" t="str">
        <f>"1700"</f>
        <v>1700</v>
      </c>
      <c r="E12504" t="s">
        <v>60</v>
      </c>
      <c r="F12504" t="s">
        <v>3</v>
      </c>
      <c r="G12504" t="s">
        <v>16221</v>
      </c>
      <c r="H12504" t="s">
        <v>47126</v>
      </c>
      <c r="I12504" t="s">
        <v>47127</v>
      </c>
      <c r="J12504" t="s">
        <v>47128</v>
      </c>
      <c r="K12504" t="s">
        <v>47113</v>
      </c>
      <c r="L12504">
        <v>13.58</v>
      </c>
      <c r="M12504">
        <v>27</v>
      </c>
      <c r="N12504">
        <v>0</v>
      </c>
      <c r="O12504">
        <v>27</v>
      </c>
      <c r="P12504">
        <v>0</v>
      </c>
    </row>
    <row r="12505" spans="1:16" x14ac:dyDescent="0.25">
      <c r="A12505" t="s">
        <v>35159</v>
      </c>
      <c r="B12505" t="s">
        <v>9334</v>
      </c>
      <c r="C12505" t="s">
        <v>9335</v>
      </c>
      <c r="D12505" t="str">
        <f>"4643"</f>
        <v>4643</v>
      </c>
      <c r="E12505" t="s">
        <v>205</v>
      </c>
      <c r="F12505" t="s">
        <v>3</v>
      </c>
      <c r="G12505" t="s">
        <v>16221</v>
      </c>
      <c r="H12505" t="s">
        <v>47126</v>
      </c>
      <c r="I12505" t="s">
        <v>47127</v>
      </c>
      <c r="J12505" t="s">
        <v>47128</v>
      </c>
      <c r="K12505" t="s">
        <v>47113</v>
      </c>
      <c r="L12505">
        <v>13.45</v>
      </c>
      <c r="M12505">
        <v>27</v>
      </c>
      <c r="N12505">
        <v>0</v>
      </c>
      <c r="O12505">
        <v>27</v>
      </c>
      <c r="P12505">
        <v>0</v>
      </c>
    </row>
    <row r="12506" spans="1:16" x14ac:dyDescent="0.25">
      <c r="A12506" t="s">
        <v>35160</v>
      </c>
      <c r="B12506" t="s">
        <v>9334</v>
      </c>
      <c r="C12506" t="s">
        <v>9335</v>
      </c>
      <c r="D12506" t="str">
        <f>"6064"</f>
        <v>6064</v>
      </c>
      <c r="E12506" t="s">
        <v>87</v>
      </c>
      <c r="F12506" t="s">
        <v>3</v>
      </c>
      <c r="G12506" t="s">
        <v>16221</v>
      </c>
      <c r="H12506" t="s">
        <v>47126</v>
      </c>
      <c r="I12506" t="s">
        <v>47127</v>
      </c>
      <c r="J12506" t="s">
        <v>47128</v>
      </c>
      <c r="K12506" t="s">
        <v>47113</v>
      </c>
      <c r="L12506">
        <v>13.58</v>
      </c>
      <c r="M12506">
        <v>27</v>
      </c>
      <c r="N12506">
        <v>0</v>
      </c>
      <c r="O12506">
        <v>27</v>
      </c>
      <c r="P12506">
        <v>0</v>
      </c>
    </row>
    <row r="12507" spans="1:16" x14ac:dyDescent="0.25">
      <c r="A12507" t="s">
        <v>35161</v>
      </c>
      <c r="B12507" t="s">
        <v>9336</v>
      </c>
      <c r="C12507" t="s">
        <v>9337</v>
      </c>
      <c r="D12507" t="str">
        <f>"1007"</f>
        <v>1007</v>
      </c>
      <c r="E12507" t="s">
        <v>162</v>
      </c>
      <c r="F12507" t="s">
        <v>3</v>
      </c>
      <c r="G12507" t="s">
        <v>16221</v>
      </c>
      <c r="H12507" t="s">
        <v>47126</v>
      </c>
      <c r="I12507" t="s">
        <v>47127</v>
      </c>
      <c r="J12507" t="s">
        <v>47128</v>
      </c>
      <c r="K12507" t="s">
        <v>47113</v>
      </c>
      <c r="L12507">
        <v>13.58</v>
      </c>
      <c r="M12507">
        <v>27</v>
      </c>
      <c r="N12507">
        <v>0</v>
      </c>
      <c r="O12507">
        <v>27</v>
      </c>
      <c r="P12507">
        <v>0</v>
      </c>
    </row>
    <row r="12508" spans="1:16" x14ac:dyDescent="0.25">
      <c r="A12508" t="s">
        <v>35162</v>
      </c>
      <c r="B12508" t="s">
        <v>9336</v>
      </c>
      <c r="C12508" t="s">
        <v>9337</v>
      </c>
      <c r="D12508" t="str">
        <f>"1285"</f>
        <v>1285</v>
      </c>
      <c r="E12508" t="s">
        <v>2148</v>
      </c>
      <c r="F12508" t="s">
        <v>3</v>
      </c>
      <c r="G12508" t="s">
        <v>16221</v>
      </c>
      <c r="H12508" t="s">
        <v>47126</v>
      </c>
      <c r="I12508" t="s">
        <v>47127</v>
      </c>
      <c r="J12508" t="s">
        <v>47128</v>
      </c>
      <c r="K12508" t="s">
        <v>47113</v>
      </c>
      <c r="L12508">
        <v>13.58</v>
      </c>
      <c r="M12508">
        <v>27</v>
      </c>
      <c r="N12508">
        <v>0</v>
      </c>
      <c r="O12508">
        <v>27</v>
      </c>
      <c r="P12508">
        <v>0</v>
      </c>
    </row>
    <row r="12509" spans="1:16" x14ac:dyDescent="0.25">
      <c r="A12509" t="s">
        <v>35163</v>
      </c>
      <c r="B12509" t="s">
        <v>9336</v>
      </c>
      <c r="C12509" t="s">
        <v>9337</v>
      </c>
      <c r="D12509" t="str">
        <f>"1700"</f>
        <v>1700</v>
      </c>
      <c r="E12509" t="s">
        <v>60</v>
      </c>
      <c r="F12509" t="s">
        <v>3</v>
      </c>
      <c r="G12509" t="s">
        <v>16221</v>
      </c>
      <c r="H12509" t="s">
        <v>47126</v>
      </c>
      <c r="I12509" t="s">
        <v>47127</v>
      </c>
      <c r="J12509" t="s">
        <v>47128</v>
      </c>
      <c r="K12509" t="s">
        <v>47113</v>
      </c>
      <c r="L12509">
        <v>13.58</v>
      </c>
      <c r="M12509">
        <v>27</v>
      </c>
      <c r="N12509">
        <v>0</v>
      </c>
      <c r="O12509">
        <v>27</v>
      </c>
      <c r="P12509">
        <v>0</v>
      </c>
    </row>
    <row r="12510" spans="1:16" x14ac:dyDescent="0.25">
      <c r="A12510" t="s">
        <v>35164</v>
      </c>
      <c r="B12510" t="s">
        <v>9336</v>
      </c>
      <c r="C12510" t="s">
        <v>9337</v>
      </c>
      <c r="D12510" t="str">
        <f>"4643"</f>
        <v>4643</v>
      </c>
      <c r="E12510" t="s">
        <v>205</v>
      </c>
      <c r="F12510" t="s">
        <v>3</v>
      </c>
      <c r="G12510" t="s">
        <v>16221</v>
      </c>
      <c r="H12510" t="s">
        <v>47126</v>
      </c>
      <c r="I12510" t="s">
        <v>47127</v>
      </c>
      <c r="J12510" t="s">
        <v>47128</v>
      </c>
      <c r="K12510" t="s">
        <v>47113</v>
      </c>
      <c r="L12510">
        <v>13.58</v>
      </c>
      <c r="M12510">
        <v>27</v>
      </c>
      <c r="N12510">
        <v>0</v>
      </c>
      <c r="O12510">
        <v>27</v>
      </c>
      <c r="P12510">
        <v>0</v>
      </c>
    </row>
    <row r="12511" spans="1:16" x14ac:dyDescent="0.25">
      <c r="A12511" t="s">
        <v>35165</v>
      </c>
      <c r="B12511" t="s">
        <v>9336</v>
      </c>
      <c r="C12511" t="s">
        <v>9337</v>
      </c>
      <c r="D12511" t="str">
        <f>"6064"</f>
        <v>6064</v>
      </c>
      <c r="E12511" t="s">
        <v>87</v>
      </c>
      <c r="F12511" t="s">
        <v>3</v>
      </c>
      <c r="G12511" t="s">
        <v>16221</v>
      </c>
      <c r="H12511" t="s">
        <v>47126</v>
      </c>
      <c r="I12511" t="s">
        <v>47127</v>
      </c>
      <c r="J12511" t="s">
        <v>47128</v>
      </c>
      <c r="K12511" t="s">
        <v>47113</v>
      </c>
      <c r="L12511">
        <v>13.58</v>
      </c>
      <c r="M12511">
        <v>27</v>
      </c>
      <c r="N12511">
        <v>0</v>
      </c>
      <c r="O12511">
        <v>27</v>
      </c>
      <c r="P12511">
        <v>0</v>
      </c>
    </row>
    <row r="12512" spans="1:16" x14ac:dyDescent="0.25">
      <c r="A12512" t="s">
        <v>35166</v>
      </c>
      <c r="B12512" t="s">
        <v>9338</v>
      </c>
      <c r="C12512" t="s">
        <v>9339</v>
      </c>
      <c r="D12512" t="str">
        <f>"1007"</f>
        <v>1007</v>
      </c>
      <c r="E12512" t="s">
        <v>162</v>
      </c>
      <c r="F12512" t="s">
        <v>3</v>
      </c>
      <c r="G12512" t="s">
        <v>16232</v>
      </c>
      <c r="I12512" t="s">
        <v>47127</v>
      </c>
      <c r="J12512" t="s">
        <v>47128</v>
      </c>
      <c r="K12512" t="s">
        <v>47113</v>
      </c>
      <c r="L12512">
        <v>14.29</v>
      </c>
      <c r="M12512">
        <v>27</v>
      </c>
      <c r="N12512">
        <v>0</v>
      </c>
      <c r="O12512">
        <v>27</v>
      </c>
      <c r="P12512">
        <v>0</v>
      </c>
    </row>
    <row r="12513" spans="1:16" x14ac:dyDescent="0.25">
      <c r="A12513" t="s">
        <v>35167</v>
      </c>
      <c r="B12513" t="s">
        <v>9338</v>
      </c>
      <c r="C12513" t="s">
        <v>9339</v>
      </c>
      <c r="D12513" t="str">
        <f>"1286"</f>
        <v>1286</v>
      </c>
      <c r="E12513" t="s">
        <v>148</v>
      </c>
      <c r="F12513" t="s">
        <v>3</v>
      </c>
      <c r="G12513" t="s">
        <v>16232</v>
      </c>
      <c r="I12513" t="s">
        <v>47127</v>
      </c>
      <c r="J12513" t="s">
        <v>47128</v>
      </c>
      <c r="K12513" t="s">
        <v>47113</v>
      </c>
      <c r="L12513">
        <v>14.29</v>
      </c>
      <c r="M12513">
        <v>27</v>
      </c>
      <c r="N12513">
        <v>0</v>
      </c>
      <c r="O12513">
        <v>27</v>
      </c>
      <c r="P12513">
        <v>0</v>
      </c>
    </row>
    <row r="12514" spans="1:16" x14ac:dyDescent="0.25">
      <c r="A12514" t="s">
        <v>35168</v>
      </c>
      <c r="B12514" t="s">
        <v>9338</v>
      </c>
      <c r="C12514" t="s">
        <v>9339</v>
      </c>
      <c r="D12514" t="str">
        <f>"1377"</f>
        <v>1377</v>
      </c>
      <c r="E12514" t="s">
        <v>74</v>
      </c>
      <c r="F12514" t="s">
        <v>3</v>
      </c>
      <c r="G12514" t="s">
        <v>16232</v>
      </c>
      <c r="I12514" t="s">
        <v>47127</v>
      </c>
      <c r="J12514" t="s">
        <v>47128</v>
      </c>
      <c r="K12514" t="s">
        <v>47113</v>
      </c>
      <c r="L12514">
        <v>14.29</v>
      </c>
      <c r="M12514">
        <v>27</v>
      </c>
      <c r="N12514">
        <v>0</v>
      </c>
      <c r="O12514">
        <v>27</v>
      </c>
      <c r="P12514">
        <v>0</v>
      </c>
    </row>
    <row r="12515" spans="1:16" x14ac:dyDescent="0.25">
      <c r="A12515" t="s">
        <v>35169</v>
      </c>
      <c r="B12515" t="s">
        <v>9338</v>
      </c>
      <c r="C12515" t="s">
        <v>9339</v>
      </c>
      <c r="D12515" t="str">
        <f>"1700"</f>
        <v>1700</v>
      </c>
      <c r="E12515" t="s">
        <v>60</v>
      </c>
      <c r="F12515" t="s">
        <v>3</v>
      </c>
      <c r="G12515" t="s">
        <v>16232</v>
      </c>
      <c r="I12515" t="s">
        <v>47127</v>
      </c>
      <c r="J12515" t="s">
        <v>47128</v>
      </c>
      <c r="K12515" t="s">
        <v>47113</v>
      </c>
      <c r="L12515">
        <v>14.29</v>
      </c>
      <c r="M12515">
        <v>27</v>
      </c>
      <c r="N12515">
        <v>0</v>
      </c>
      <c r="O12515">
        <v>27</v>
      </c>
      <c r="P12515">
        <v>0</v>
      </c>
    </row>
    <row r="12516" spans="1:16" x14ac:dyDescent="0.25">
      <c r="A12516" t="s">
        <v>35170</v>
      </c>
      <c r="B12516" t="s">
        <v>9338</v>
      </c>
      <c r="C12516" t="s">
        <v>9339</v>
      </c>
      <c r="D12516" t="str">
        <f>"3196"</f>
        <v>3196</v>
      </c>
      <c r="E12516" t="s">
        <v>159</v>
      </c>
      <c r="F12516" t="s">
        <v>3</v>
      </c>
      <c r="G12516" t="s">
        <v>16232</v>
      </c>
      <c r="I12516" t="s">
        <v>47127</v>
      </c>
      <c r="J12516" t="s">
        <v>47128</v>
      </c>
      <c r="K12516" t="s">
        <v>47113</v>
      </c>
      <c r="L12516">
        <v>10.75</v>
      </c>
      <c r="M12516">
        <v>27</v>
      </c>
      <c r="N12516">
        <v>0</v>
      </c>
      <c r="O12516">
        <v>27</v>
      </c>
      <c r="P12516">
        <v>0</v>
      </c>
    </row>
    <row r="12517" spans="1:16" x14ac:dyDescent="0.25">
      <c r="A12517" t="s">
        <v>35171</v>
      </c>
      <c r="B12517" t="s">
        <v>9338</v>
      </c>
      <c r="C12517" t="s">
        <v>9339</v>
      </c>
      <c r="D12517" t="str">
        <f>"4400"</f>
        <v>4400</v>
      </c>
      <c r="E12517" t="s">
        <v>154</v>
      </c>
      <c r="F12517" t="s">
        <v>3</v>
      </c>
      <c r="G12517" t="s">
        <v>16232</v>
      </c>
      <c r="I12517" t="s">
        <v>47127</v>
      </c>
      <c r="J12517" t="s">
        <v>47128</v>
      </c>
      <c r="K12517" t="s">
        <v>47113</v>
      </c>
      <c r="L12517">
        <v>14.29</v>
      </c>
      <c r="M12517">
        <v>27</v>
      </c>
      <c r="N12517">
        <v>0</v>
      </c>
      <c r="O12517">
        <v>27</v>
      </c>
      <c r="P12517">
        <v>0</v>
      </c>
    </row>
    <row r="12518" spans="1:16" x14ac:dyDescent="0.25">
      <c r="A12518" t="s">
        <v>35172</v>
      </c>
      <c r="B12518" t="s">
        <v>9340</v>
      </c>
      <c r="C12518" t="s">
        <v>9341</v>
      </c>
      <c r="D12518" t="str">
        <f>"1007"</f>
        <v>1007</v>
      </c>
      <c r="E12518" t="s">
        <v>162</v>
      </c>
      <c r="F12518" t="s">
        <v>3</v>
      </c>
      <c r="G12518" t="s">
        <v>16221</v>
      </c>
      <c r="H12518" t="s">
        <v>47126</v>
      </c>
      <c r="I12518" t="s">
        <v>47127</v>
      </c>
      <c r="J12518" t="s">
        <v>47128</v>
      </c>
      <c r="K12518" t="s">
        <v>47113</v>
      </c>
      <c r="L12518">
        <v>14.3</v>
      </c>
      <c r="M12518">
        <v>27</v>
      </c>
      <c r="N12518">
        <v>0</v>
      </c>
      <c r="O12518">
        <v>27</v>
      </c>
      <c r="P12518">
        <v>0</v>
      </c>
    </row>
    <row r="12519" spans="1:16" x14ac:dyDescent="0.25">
      <c r="A12519" t="s">
        <v>35173</v>
      </c>
      <c r="B12519" t="s">
        <v>9340</v>
      </c>
      <c r="C12519" t="s">
        <v>9341</v>
      </c>
      <c r="D12519" t="str">
        <f>"1285"</f>
        <v>1285</v>
      </c>
      <c r="E12519" t="s">
        <v>2148</v>
      </c>
      <c r="F12519" t="s">
        <v>3</v>
      </c>
      <c r="G12519" t="s">
        <v>16221</v>
      </c>
      <c r="H12519" t="s">
        <v>47126</v>
      </c>
      <c r="I12519" t="s">
        <v>47127</v>
      </c>
      <c r="J12519" t="s">
        <v>47128</v>
      </c>
      <c r="K12519" t="s">
        <v>47113</v>
      </c>
      <c r="L12519">
        <v>7.23</v>
      </c>
      <c r="M12519">
        <v>27</v>
      </c>
      <c r="N12519">
        <v>0</v>
      </c>
      <c r="O12519">
        <v>27</v>
      </c>
      <c r="P12519">
        <v>0</v>
      </c>
    </row>
    <row r="12520" spans="1:16" x14ac:dyDescent="0.25">
      <c r="A12520" t="s">
        <v>35174</v>
      </c>
      <c r="B12520" t="s">
        <v>9340</v>
      </c>
      <c r="C12520" t="s">
        <v>9341</v>
      </c>
      <c r="D12520" t="str">
        <f>"1377"</f>
        <v>1377</v>
      </c>
      <c r="E12520" t="s">
        <v>74</v>
      </c>
      <c r="F12520" t="s">
        <v>3</v>
      </c>
      <c r="G12520" t="s">
        <v>16221</v>
      </c>
      <c r="H12520" t="s">
        <v>47126</v>
      </c>
      <c r="I12520" t="s">
        <v>47127</v>
      </c>
      <c r="J12520" t="s">
        <v>47128</v>
      </c>
      <c r="K12520" t="s">
        <v>47113</v>
      </c>
      <c r="L12520">
        <v>14.3</v>
      </c>
      <c r="M12520">
        <v>27</v>
      </c>
      <c r="N12520">
        <v>0</v>
      </c>
      <c r="O12520">
        <v>27</v>
      </c>
      <c r="P12520">
        <v>0</v>
      </c>
    </row>
    <row r="12521" spans="1:16" x14ac:dyDescent="0.25">
      <c r="A12521" t="s">
        <v>35175</v>
      </c>
      <c r="B12521" t="s">
        <v>9340</v>
      </c>
      <c r="C12521" t="s">
        <v>9341</v>
      </c>
      <c r="D12521" t="str">
        <f>"1700"</f>
        <v>1700</v>
      </c>
      <c r="E12521" t="s">
        <v>60</v>
      </c>
      <c r="F12521" t="s">
        <v>3</v>
      </c>
      <c r="G12521" t="s">
        <v>16221</v>
      </c>
      <c r="H12521" t="s">
        <v>47126</v>
      </c>
      <c r="I12521" t="s">
        <v>47127</v>
      </c>
      <c r="J12521" t="s">
        <v>47128</v>
      </c>
      <c r="K12521" t="s">
        <v>47113</v>
      </c>
      <c r="L12521">
        <v>14.3</v>
      </c>
      <c r="M12521">
        <v>27</v>
      </c>
      <c r="N12521">
        <v>0</v>
      </c>
      <c r="O12521">
        <v>27</v>
      </c>
      <c r="P12521">
        <v>0</v>
      </c>
    </row>
    <row r="12522" spans="1:16" x14ac:dyDescent="0.25">
      <c r="A12522" t="s">
        <v>35176</v>
      </c>
      <c r="B12522" t="s">
        <v>9340</v>
      </c>
      <c r="C12522" t="s">
        <v>9341</v>
      </c>
      <c r="D12522" t="str">
        <f>"3196"</f>
        <v>3196</v>
      </c>
      <c r="E12522" t="s">
        <v>159</v>
      </c>
      <c r="F12522" t="s">
        <v>3</v>
      </c>
      <c r="G12522" t="s">
        <v>16221</v>
      </c>
      <c r="H12522" t="s">
        <v>47126</v>
      </c>
      <c r="I12522" t="s">
        <v>47127</v>
      </c>
      <c r="J12522" t="s">
        <v>47128</v>
      </c>
      <c r="K12522" t="s">
        <v>47113</v>
      </c>
      <c r="L12522">
        <v>14.3</v>
      </c>
      <c r="M12522">
        <v>27</v>
      </c>
      <c r="N12522">
        <v>0</v>
      </c>
      <c r="O12522">
        <v>27</v>
      </c>
      <c r="P12522">
        <v>0</v>
      </c>
    </row>
    <row r="12523" spans="1:16" x14ac:dyDescent="0.25">
      <c r="A12523" t="s">
        <v>35177</v>
      </c>
      <c r="B12523" t="s">
        <v>9340</v>
      </c>
      <c r="C12523" t="s">
        <v>9341</v>
      </c>
      <c r="D12523" t="str">
        <f>"6182"</f>
        <v>6182</v>
      </c>
      <c r="E12523" t="s">
        <v>202</v>
      </c>
      <c r="F12523" t="s">
        <v>2</v>
      </c>
      <c r="G12523" t="s">
        <v>16221</v>
      </c>
      <c r="H12523" t="s">
        <v>47126</v>
      </c>
      <c r="I12523" t="s">
        <v>47127</v>
      </c>
      <c r="J12523" t="s">
        <v>47128</v>
      </c>
      <c r="K12523" t="s">
        <v>47113</v>
      </c>
      <c r="L12523">
        <v>14.3</v>
      </c>
      <c r="M12523">
        <v>27</v>
      </c>
      <c r="N12523">
        <v>0</v>
      </c>
      <c r="O12523">
        <v>27</v>
      </c>
      <c r="P12523">
        <v>0</v>
      </c>
    </row>
    <row r="12524" spans="1:16" x14ac:dyDescent="0.25">
      <c r="A12524" t="s">
        <v>35178</v>
      </c>
      <c r="B12524" t="s">
        <v>9342</v>
      </c>
      <c r="C12524" t="s">
        <v>9343</v>
      </c>
      <c r="D12524" t="str">
        <f>"1007"</f>
        <v>1007</v>
      </c>
      <c r="E12524" t="s">
        <v>162</v>
      </c>
      <c r="F12524" t="s">
        <v>3</v>
      </c>
      <c r="G12524" t="s">
        <v>16221</v>
      </c>
      <c r="H12524" t="s">
        <v>47126</v>
      </c>
      <c r="I12524" t="s">
        <v>47127</v>
      </c>
      <c r="J12524" t="s">
        <v>47128</v>
      </c>
      <c r="K12524" t="s">
        <v>47113</v>
      </c>
      <c r="L12524">
        <v>10.199999999999999</v>
      </c>
      <c r="M12524">
        <v>27</v>
      </c>
      <c r="N12524">
        <v>0</v>
      </c>
      <c r="O12524">
        <v>27</v>
      </c>
      <c r="P12524">
        <v>0</v>
      </c>
    </row>
    <row r="12525" spans="1:16" x14ac:dyDescent="0.25">
      <c r="A12525" t="s">
        <v>35179</v>
      </c>
      <c r="B12525" t="s">
        <v>9342</v>
      </c>
      <c r="C12525" t="s">
        <v>9343</v>
      </c>
      <c r="D12525" t="str">
        <f>"1285"</f>
        <v>1285</v>
      </c>
      <c r="E12525" t="s">
        <v>2148</v>
      </c>
      <c r="F12525" t="s">
        <v>3</v>
      </c>
      <c r="G12525" t="s">
        <v>16221</v>
      </c>
      <c r="H12525" t="s">
        <v>47126</v>
      </c>
      <c r="I12525" t="s">
        <v>47127</v>
      </c>
      <c r="J12525" t="s">
        <v>47128</v>
      </c>
      <c r="K12525" t="s">
        <v>47113</v>
      </c>
      <c r="L12525">
        <v>13.58</v>
      </c>
      <c r="M12525">
        <v>38</v>
      </c>
      <c r="N12525">
        <v>0</v>
      </c>
      <c r="O12525">
        <v>38</v>
      </c>
      <c r="P12525">
        <v>0</v>
      </c>
    </row>
    <row r="12526" spans="1:16" x14ac:dyDescent="0.25">
      <c r="A12526" t="s">
        <v>35180</v>
      </c>
      <c r="B12526" t="s">
        <v>9342</v>
      </c>
      <c r="C12526" t="s">
        <v>9343</v>
      </c>
      <c r="D12526" t="str">
        <f>"1700"</f>
        <v>1700</v>
      </c>
      <c r="E12526" t="s">
        <v>60</v>
      </c>
      <c r="F12526" t="s">
        <v>3</v>
      </c>
      <c r="G12526" t="s">
        <v>16221</v>
      </c>
      <c r="H12526" t="s">
        <v>47126</v>
      </c>
      <c r="I12526" t="s">
        <v>47127</v>
      </c>
      <c r="J12526" t="s">
        <v>47128</v>
      </c>
      <c r="K12526" t="s">
        <v>47113</v>
      </c>
      <c r="L12526">
        <v>13.58</v>
      </c>
      <c r="M12526">
        <v>27</v>
      </c>
      <c r="N12526">
        <v>0</v>
      </c>
      <c r="O12526">
        <v>27</v>
      </c>
      <c r="P12526">
        <v>0</v>
      </c>
    </row>
    <row r="12527" spans="1:16" x14ac:dyDescent="0.25">
      <c r="A12527" t="s">
        <v>35181</v>
      </c>
      <c r="B12527" t="s">
        <v>9342</v>
      </c>
      <c r="C12527" t="s">
        <v>9343</v>
      </c>
      <c r="D12527" t="str">
        <f>"4643"</f>
        <v>4643</v>
      </c>
      <c r="E12527" t="s">
        <v>205</v>
      </c>
      <c r="F12527" t="s">
        <v>3</v>
      </c>
      <c r="G12527" t="s">
        <v>16221</v>
      </c>
      <c r="H12527" t="s">
        <v>47126</v>
      </c>
      <c r="I12527" t="s">
        <v>47127</v>
      </c>
      <c r="J12527" t="s">
        <v>47128</v>
      </c>
      <c r="K12527" t="s">
        <v>47113</v>
      </c>
      <c r="L12527">
        <v>28.94</v>
      </c>
      <c r="M12527">
        <v>27</v>
      </c>
      <c r="N12527">
        <v>0</v>
      </c>
      <c r="O12527">
        <v>27</v>
      </c>
      <c r="P12527">
        <v>0</v>
      </c>
    </row>
    <row r="12528" spans="1:16" x14ac:dyDescent="0.25">
      <c r="A12528" t="s">
        <v>35182</v>
      </c>
      <c r="B12528" t="s">
        <v>9342</v>
      </c>
      <c r="C12528" t="s">
        <v>9343</v>
      </c>
      <c r="D12528" t="str">
        <f>"6064"</f>
        <v>6064</v>
      </c>
      <c r="E12528" t="s">
        <v>87</v>
      </c>
      <c r="F12528" t="s">
        <v>3</v>
      </c>
      <c r="G12528" t="s">
        <v>16221</v>
      </c>
      <c r="H12528" t="s">
        <v>47126</v>
      </c>
      <c r="I12528" t="s">
        <v>47127</v>
      </c>
      <c r="J12528" t="s">
        <v>47128</v>
      </c>
      <c r="K12528" t="s">
        <v>47113</v>
      </c>
      <c r="L12528">
        <v>13.58</v>
      </c>
      <c r="M12528">
        <v>27</v>
      </c>
      <c r="N12528">
        <v>0</v>
      </c>
      <c r="O12528">
        <v>27</v>
      </c>
      <c r="P12528">
        <v>0</v>
      </c>
    </row>
    <row r="12529" spans="1:16" x14ac:dyDescent="0.25">
      <c r="A12529" t="s">
        <v>35183</v>
      </c>
      <c r="B12529" t="s">
        <v>9344</v>
      </c>
      <c r="C12529" t="s">
        <v>9345</v>
      </c>
      <c r="D12529" t="str">
        <f>"1007"</f>
        <v>1007</v>
      </c>
      <c r="E12529" t="s">
        <v>162</v>
      </c>
      <c r="F12529" t="s">
        <v>3</v>
      </c>
      <c r="G12529" t="s">
        <v>16221</v>
      </c>
      <c r="H12529" t="s">
        <v>47126</v>
      </c>
      <c r="I12529" t="s">
        <v>47127</v>
      </c>
      <c r="J12529" t="s">
        <v>47128</v>
      </c>
      <c r="K12529" t="s">
        <v>47113</v>
      </c>
      <c r="L12529">
        <v>13.55</v>
      </c>
      <c r="M12529">
        <v>27</v>
      </c>
      <c r="N12529">
        <v>0</v>
      </c>
      <c r="O12529">
        <v>27</v>
      </c>
      <c r="P12529">
        <v>0</v>
      </c>
    </row>
    <row r="12530" spans="1:16" x14ac:dyDescent="0.25">
      <c r="A12530" t="s">
        <v>35184</v>
      </c>
      <c r="B12530" t="s">
        <v>9344</v>
      </c>
      <c r="C12530" t="s">
        <v>9345</v>
      </c>
      <c r="D12530" t="str">
        <f>"1285"</f>
        <v>1285</v>
      </c>
      <c r="E12530" t="s">
        <v>2148</v>
      </c>
      <c r="F12530" t="s">
        <v>3</v>
      </c>
      <c r="G12530" t="s">
        <v>16221</v>
      </c>
      <c r="H12530" t="s">
        <v>47126</v>
      </c>
      <c r="I12530" t="s">
        <v>47127</v>
      </c>
      <c r="J12530" t="s">
        <v>47128</v>
      </c>
      <c r="K12530" t="s">
        <v>47113</v>
      </c>
      <c r="L12530">
        <v>13.55</v>
      </c>
      <c r="M12530">
        <v>27</v>
      </c>
      <c r="N12530">
        <v>0</v>
      </c>
      <c r="O12530">
        <v>27</v>
      </c>
      <c r="P12530">
        <v>0</v>
      </c>
    </row>
    <row r="12531" spans="1:16" x14ac:dyDescent="0.25">
      <c r="A12531" t="s">
        <v>35185</v>
      </c>
      <c r="B12531" t="s">
        <v>9344</v>
      </c>
      <c r="C12531" t="s">
        <v>9345</v>
      </c>
      <c r="D12531" t="str">
        <f>"1700"</f>
        <v>1700</v>
      </c>
      <c r="E12531" t="s">
        <v>60</v>
      </c>
      <c r="F12531" t="s">
        <v>3</v>
      </c>
      <c r="G12531" t="s">
        <v>16221</v>
      </c>
      <c r="H12531" t="s">
        <v>47126</v>
      </c>
      <c r="I12531" t="s">
        <v>47127</v>
      </c>
      <c r="J12531" t="s">
        <v>47128</v>
      </c>
      <c r="K12531" t="s">
        <v>47113</v>
      </c>
      <c r="L12531">
        <v>13.55</v>
      </c>
      <c r="M12531">
        <v>27</v>
      </c>
      <c r="N12531">
        <v>0</v>
      </c>
      <c r="O12531">
        <v>27</v>
      </c>
      <c r="P12531">
        <v>0</v>
      </c>
    </row>
    <row r="12532" spans="1:16" x14ac:dyDescent="0.25">
      <c r="A12532" t="s">
        <v>35186</v>
      </c>
      <c r="B12532" t="s">
        <v>9344</v>
      </c>
      <c r="C12532" t="s">
        <v>9345</v>
      </c>
      <c r="D12532" t="str">
        <f>"4643"</f>
        <v>4643</v>
      </c>
      <c r="E12532" t="s">
        <v>205</v>
      </c>
      <c r="F12532" t="s">
        <v>3</v>
      </c>
      <c r="G12532" t="s">
        <v>16221</v>
      </c>
      <c r="H12532" t="s">
        <v>47126</v>
      </c>
      <c r="I12532" t="s">
        <v>47127</v>
      </c>
      <c r="J12532" t="s">
        <v>47128</v>
      </c>
      <c r="K12532" t="s">
        <v>47113</v>
      </c>
      <c r="L12532">
        <v>13.55</v>
      </c>
      <c r="M12532">
        <v>38</v>
      </c>
      <c r="N12532">
        <v>0</v>
      </c>
      <c r="O12532">
        <v>38</v>
      </c>
      <c r="P12532">
        <v>0</v>
      </c>
    </row>
    <row r="12533" spans="1:16" x14ac:dyDescent="0.25">
      <c r="A12533" t="s">
        <v>35187</v>
      </c>
      <c r="B12533" t="s">
        <v>9344</v>
      </c>
      <c r="C12533" t="s">
        <v>9345</v>
      </c>
      <c r="D12533" t="str">
        <f>"6064"</f>
        <v>6064</v>
      </c>
      <c r="E12533" t="s">
        <v>87</v>
      </c>
      <c r="F12533" t="s">
        <v>3</v>
      </c>
      <c r="G12533" t="s">
        <v>16221</v>
      </c>
      <c r="H12533" t="s">
        <v>47126</v>
      </c>
      <c r="I12533" t="s">
        <v>47127</v>
      </c>
      <c r="J12533" t="s">
        <v>47128</v>
      </c>
      <c r="K12533" t="s">
        <v>47113</v>
      </c>
      <c r="L12533">
        <v>13.55</v>
      </c>
      <c r="M12533">
        <v>27</v>
      </c>
      <c r="N12533">
        <v>0</v>
      </c>
      <c r="O12533">
        <v>27</v>
      </c>
      <c r="P12533">
        <v>0</v>
      </c>
    </row>
    <row r="12534" spans="1:16" x14ac:dyDescent="0.25">
      <c r="A12534" t="s">
        <v>35188</v>
      </c>
      <c r="B12534" t="s">
        <v>9346</v>
      </c>
      <c r="C12534" t="s">
        <v>9347</v>
      </c>
      <c r="D12534" t="str">
        <f>"1007"</f>
        <v>1007</v>
      </c>
      <c r="E12534" t="s">
        <v>162</v>
      </c>
      <c r="F12534" t="s">
        <v>3</v>
      </c>
      <c r="G12534" t="s">
        <v>16221</v>
      </c>
      <c r="H12534" t="s">
        <v>47126</v>
      </c>
      <c r="I12534" t="s">
        <v>47127</v>
      </c>
      <c r="J12534" t="s">
        <v>47128</v>
      </c>
      <c r="K12534" t="s">
        <v>47113</v>
      </c>
      <c r="L12534">
        <v>10.199999999999999</v>
      </c>
      <c r="M12534">
        <v>27</v>
      </c>
      <c r="N12534">
        <v>0</v>
      </c>
      <c r="O12534">
        <v>27</v>
      </c>
      <c r="P12534">
        <v>0</v>
      </c>
    </row>
    <row r="12535" spans="1:16" x14ac:dyDescent="0.25">
      <c r="A12535" t="s">
        <v>35189</v>
      </c>
      <c r="B12535" t="s">
        <v>9346</v>
      </c>
      <c r="C12535" t="s">
        <v>9347</v>
      </c>
      <c r="D12535" t="str">
        <f>"1285"</f>
        <v>1285</v>
      </c>
      <c r="E12535" t="s">
        <v>2148</v>
      </c>
      <c r="F12535" t="s">
        <v>3</v>
      </c>
      <c r="G12535" t="s">
        <v>16221</v>
      </c>
      <c r="H12535" t="s">
        <v>47126</v>
      </c>
      <c r="I12535" t="s">
        <v>47127</v>
      </c>
      <c r="J12535" t="s">
        <v>47128</v>
      </c>
      <c r="K12535" t="s">
        <v>47113</v>
      </c>
      <c r="L12535">
        <v>10.199999999999999</v>
      </c>
      <c r="M12535">
        <v>27</v>
      </c>
      <c r="N12535">
        <v>0</v>
      </c>
      <c r="O12535">
        <v>27</v>
      </c>
      <c r="P12535">
        <v>0</v>
      </c>
    </row>
    <row r="12536" spans="1:16" x14ac:dyDescent="0.25">
      <c r="A12536" t="s">
        <v>35190</v>
      </c>
      <c r="B12536" t="s">
        <v>9346</v>
      </c>
      <c r="C12536" t="s">
        <v>9347</v>
      </c>
      <c r="D12536" t="str">
        <f>"1700"</f>
        <v>1700</v>
      </c>
      <c r="E12536" t="s">
        <v>60</v>
      </c>
      <c r="F12536" t="s">
        <v>3</v>
      </c>
      <c r="G12536" t="s">
        <v>16221</v>
      </c>
      <c r="H12536" t="s">
        <v>47126</v>
      </c>
      <c r="I12536" t="s">
        <v>47127</v>
      </c>
      <c r="J12536" t="s">
        <v>47128</v>
      </c>
      <c r="K12536" t="s">
        <v>47113</v>
      </c>
      <c r="L12536">
        <v>13.58</v>
      </c>
      <c r="M12536">
        <v>27</v>
      </c>
      <c r="N12536">
        <v>0</v>
      </c>
      <c r="O12536">
        <v>27</v>
      </c>
      <c r="P12536">
        <v>0</v>
      </c>
    </row>
    <row r="12537" spans="1:16" x14ac:dyDescent="0.25">
      <c r="A12537" t="s">
        <v>35191</v>
      </c>
      <c r="B12537" t="s">
        <v>9346</v>
      </c>
      <c r="C12537" t="s">
        <v>9347</v>
      </c>
      <c r="D12537" t="str">
        <f>"4643"</f>
        <v>4643</v>
      </c>
      <c r="E12537" t="s">
        <v>205</v>
      </c>
      <c r="F12537" t="s">
        <v>3</v>
      </c>
      <c r="G12537" t="s">
        <v>16221</v>
      </c>
      <c r="H12537" t="s">
        <v>47126</v>
      </c>
      <c r="I12537" t="s">
        <v>47127</v>
      </c>
      <c r="J12537" t="s">
        <v>47128</v>
      </c>
      <c r="K12537" t="s">
        <v>47113</v>
      </c>
      <c r="L12537">
        <v>10.199999999999999</v>
      </c>
      <c r="M12537">
        <v>27</v>
      </c>
      <c r="N12537">
        <v>0</v>
      </c>
      <c r="O12537">
        <v>27</v>
      </c>
      <c r="P12537">
        <v>0</v>
      </c>
    </row>
    <row r="12538" spans="1:16" x14ac:dyDescent="0.25">
      <c r="A12538" t="s">
        <v>35192</v>
      </c>
      <c r="B12538" t="s">
        <v>9346</v>
      </c>
      <c r="C12538" t="s">
        <v>9347</v>
      </c>
      <c r="D12538" t="str">
        <f>"6064"</f>
        <v>6064</v>
      </c>
      <c r="E12538" t="s">
        <v>87</v>
      </c>
      <c r="F12538" t="s">
        <v>3</v>
      </c>
      <c r="G12538" t="s">
        <v>16221</v>
      </c>
      <c r="H12538" t="s">
        <v>47126</v>
      </c>
      <c r="I12538" t="s">
        <v>47127</v>
      </c>
      <c r="J12538" t="s">
        <v>47128</v>
      </c>
      <c r="K12538" t="s">
        <v>47113</v>
      </c>
      <c r="L12538">
        <v>10.199999999999999</v>
      </c>
      <c r="M12538">
        <v>27</v>
      </c>
      <c r="N12538">
        <v>0</v>
      </c>
      <c r="O12538">
        <v>27</v>
      </c>
      <c r="P12538">
        <v>0</v>
      </c>
    </row>
    <row r="12539" spans="1:16" x14ac:dyDescent="0.25">
      <c r="A12539" t="s">
        <v>35193</v>
      </c>
      <c r="B12539" t="s">
        <v>9348</v>
      </c>
      <c r="C12539" t="s">
        <v>9349</v>
      </c>
      <c r="D12539" t="str">
        <f>"1001"</f>
        <v>1001</v>
      </c>
      <c r="E12539" t="s">
        <v>42</v>
      </c>
      <c r="F12539" t="s">
        <v>5</v>
      </c>
      <c r="G12539" t="s">
        <v>16221</v>
      </c>
      <c r="H12539" t="s">
        <v>47126</v>
      </c>
      <c r="I12539" t="s">
        <v>47127</v>
      </c>
      <c r="J12539" t="s">
        <v>47128</v>
      </c>
      <c r="K12539" t="s">
        <v>47113</v>
      </c>
      <c r="L12539">
        <v>13.58</v>
      </c>
      <c r="M12539">
        <v>27</v>
      </c>
      <c r="N12539">
        <v>0</v>
      </c>
      <c r="O12539">
        <v>27</v>
      </c>
      <c r="P12539">
        <v>0</v>
      </c>
    </row>
    <row r="12540" spans="1:16" x14ac:dyDescent="0.25">
      <c r="A12540" t="s">
        <v>35194</v>
      </c>
      <c r="B12540" t="s">
        <v>9348</v>
      </c>
      <c r="C12540" t="s">
        <v>9349</v>
      </c>
      <c r="D12540" t="str">
        <f>"1700"</f>
        <v>1700</v>
      </c>
      <c r="E12540" t="s">
        <v>60</v>
      </c>
      <c r="F12540" t="s">
        <v>5</v>
      </c>
      <c r="G12540" t="s">
        <v>16221</v>
      </c>
      <c r="H12540" t="s">
        <v>47126</v>
      </c>
      <c r="I12540" t="s">
        <v>47127</v>
      </c>
      <c r="J12540" t="s">
        <v>47128</v>
      </c>
      <c r="K12540" t="s">
        <v>47113</v>
      </c>
      <c r="L12540">
        <v>13.58</v>
      </c>
      <c r="M12540">
        <v>27</v>
      </c>
      <c r="N12540">
        <v>0</v>
      </c>
      <c r="O12540">
        <v>27</v>
      </c>
      <c r="P12540">
        <v>0</v>
      </c>
    </row>
    <row r="12541" spans="1:16" x14ac:dyDescent="0.25">
      <c r="A12541" t="s">
        <v>35195</v>
      </c>
      <c r="B12541" t="s">
        <v>9350</v>
      </c>
      <c r="C12541" t="s">
        <v>9351</v>
      </c>
      <c r="D12541" t="str">
        <f>"1001"</f>
        <v>1001</v>
      </c>
      <c r="E12541" t="s">
        <v>42</v>
      </c>
      <c r="F12541" t="s">
        <v>3</v>
      </c>
      <c r="G12541" t="s">
        <v>16222</v>
      </c>
      <c r="H12541" t="s">
        <v>47126</v>
      </c>
      <c r="I12541" t="s">
        <v>47127</v>
      </c>
      <c r="J12541" t="s">
        <v>47128</v>
      </c>
      <c r="K12541" t="s">
        <v>47113</v>
      </c>
      <c r="L12541">
        <v>25.56</v>
      </c>
      <c r="M12541">
        <v>54</v>
      </c>
      <c r="N12541">
        <v>0</v>
      </c>
      <c r="O12541">
        <v>54</v>
      </c>
      <c r="P12541">
        <v>0</v>
      </c>
    </row>
    <row r="12542" spans="1:16" x14ac:dyDescent="0.25">
      <c r="A12542" t="s">
        <v>35196</v>
      </c>
      <c r="B12542" t="s">
        <v>9350</v>
      </c>
      <c r="C12542" t="s">
        <v>9351</v>
      </c>
      <c r="D12542" t="str">
        <f>"1700"</f>
        <v>1700</v>
      </c>
      <c r="E12542" t="s">
        <v>60</v>
      </c>
      <c r="F12542" t="s">
        <v>3</v>
      </c>
      <c r="G12542" t="s">
        <v>16222</v>
      </c>
      <c r="H12542" t="s">
        <v>47126</v>
      </c>
      <c r="I12542" t="s">
        <v>47127</v>
      </c>
      <c r="J12542" t="s">
        <v>47128</v>
      </c>
      <c r="K12542" t="s">
        <v>47113</v>
      </c>
      <c r="L12542">
        <v>19.23</v>
      </c>
      <c r="M12542">
        <v>54</v>
      </c>
      <c r="N12542">
        <v>0</v>
      </c>
      <c r="O12542">
        <v>54</v>
      </c>
      <c r="P12542">
        <v>0</v>
      </c>
    </row>
    <row r="12543" spans="1:16" x14ac:dyDescent="0.25">
      <c r="A12543" t="s">
        <v>35197</v>
      </c>
      <c r="B12543" t="s">
        <v>9352</v>
      </c>
      <c r="C12543" t="s">
        <v>9353</v>
      </c>
      <c r="D12543" t="str">
        <f>"4193"</f>
        <v>4193</v>
      </c>
      <c r="E12543" t="s">
        <v>9354</v>
      </c>
      <c r="F12543" t="s">
        <v>3</v>
      </c>
      <c r="G12543" t="s">
        <v>16232</v>
      </c>
      <c r="I12543" t="s">
        <v>47127</v>
      </c>
      <c r="J12543" t="s">
        <v>47128</v>
      </c>
      <c r="K12543" t="s">
        <v>47113</v>
      </c>
      <c r="L12543">
        <v>12.14</v>
      </c>
      <c r="M12543">
        <v>27</v>
      </c>
      <c r="N12543">
        <v>0</v>
      </c>
      <c r="O12543">
        <v>27</v>
      </c>
      <c r="P12543">
        <v>0</v>
      </c>
    </row>
    <row r="12544" spans="1:16" x14ac:dyDescent="0.25">
      <c r="A12544" t="s">
        <v>35198</v>
      </c>
      <c r="B12544" t="s">
        <v>9355</v>
      </c>
      <c r="C12544" t="s">
        <v>9356</v>
      </c>
      <c r="D12544" t="str">
        <f>"1001"</f>
        <v>1001</v>
      </c>
      <c r="E12544" t="s">
        <v>42</v>
      </c>
      <c r="F12544" t="s">
        <v>3</v>
      </c>
      <c r="G12544" t="s">
        <v>16221</v>
      </c>
      <c r="I12544" t="s">
        <v>47127</v>
      </c>
      <c r="J12544" t="s">
        <v>47128</v>
      </c>
      <c r="K12544" t="s">
        <v>47113</v>
      </c>
      <c r="L12544">
        <v>17.329999999999998</v>
      </c>
      <c r="M12544">
        <v>34</v>
      </c>
      <c r="N12544">
        <v>0</v>
      </c>
      <c r="O12544">
        <v>34</v>
      </c>
      <c r="P12544">
        <v>0</v>
      </c>
    </row>
    <row r="12545" spans="1:16" x14ac:dyDescent="0.25">
      <c r="A12545" t="s">
        <v>35199</v>
      </c>
      <c r="B12545" t="s">
        <v>9355</v>
      </c>
      <c r="C12545" t="s">
        <v>9356</v>
      </c>
      <c r="D12545" t="str">
        <f>"1007"</f>
        <v>1007</v>
      </c>
      <c r="E12545" t="s">
        <v>162</v>
      </c>
      <c r="F12545" t="s">
        <v>3</v>
      </c>
      <c r="G12545" t="s">
        <v>16221</v>
      </c>
      <c r="I12545" t="s">
        <v>47127</v>
      </c>
      <c r="J12545" t="s">
        <v>47128</v>
      </c>
      <c r="K12545" t="s">
        <v>47113</v>
      </c>
      <c r="L12545">
        <v>13.05</v>
      </c>
      <c r="M12545">
        <v>34</v>
      </c>
      <c r="N12545">
        <v>0</v>
      </c>
      <c r="O12545">
        <v>34</v>
      </c>
      <c r="P12545">
        <v>0</v>
      </c>
    </row>
    <row r="12546" spans="1:16" x14ac:dyDescent="0.25">
      <c r="A12546" t="s">
        <v>35200</v>
      </c>
      <c r="B12546" t="s">
        <v>9355</v>
      </c>
      <c r="C12546" t="s">
        <v>9356</v>
      </c>
      <c r="D12546" t="str">
        <f>"1700"</f>
        <v>1700</v>
      </c>
      <c r="E12546" t="s">
        <v>60</v>
      </c>
      <c r="F12546" t="s">
        <v>3</v>
      </c>
      <c r="G12546" t="s">
        <v>16221</v>
      </c>
      <c r="I12546" t="s">
        <v>47127</v>
      </c>
      <c r="J12546" t="s">
        <v>47128</v>
      </c>
      <c r="K12546" t="s">
        <v>47113</v>
      </c>
      <c r="L12546">
        <v>13.05</v>
      </c>
      <c r="M12546">
        <v>34</v>
      </c>
      <c r="N12546">
        <v>0</v>
      </c>
      <c r="O12546">
        <v>34</v>
      </c>
      <c r="P12546">
        <v>0</v>
      </c>
    </row>
    <row r="12547" spans="1:16" x14ac:dyDescent="0.25">
      <c r="A12547" t="s">
        <v>35201</v>
      </c>
      <c r="B12547" t="s">
        <v>9355</v>
      </c>
      <c r="C12547" t="s">
        <v>9356</v>
      </c>
      <c r="D12547" t="str">
        <f>"2069"</f>
        <v>2069</v>
      </c>
      <c r="E12547" t="s">
        <v>9314</v>
      </c>
      <c r="F12547" t="s">
        <v>3</v>
      </c>
      <c r="G12547" t="s">
        <v>16221</v>
      </c>
      <c r="I12547" t="s">
        <v>47127</v>
      </c>
      <c r="J12547" t="s">
        <v>47128</v>
      </c>
      <c r="K12547" t="s">
        <v>47113</v>
      </c>
      <c r="L12547">
        <v>13.05</v>
      </c>
      <c r="M12547">
        <v>34</v>
      </c>
      <c r="N12547">
        <v>0</v>
      </c>
      <c r="O12547">
        <v>34</v>
      </c>
      <c r="P12547">
        <v>0</v>
      </c>
    </row>
    <row r="12548" spans="1:16" x14ac:dyDescent="0.25">
      <c r="A12548" t="s">
        <v>35202</v>
      </c>
      <c r="B12548" t="s">
        <v>9355</v>
      </c>
      <c r="C12548" t="s">
        <v>9356</v>
      </c>
      <c r="D12548" t="str">
        <f>"3196"</f>
        <v>3196</v>
      </c>
      <c r="E12548" t="s">
        <v>159</v>
      </c>
      <c r="F12548" t="s">
        <v>3</v>
      </c>
      <c r="G12548" t="s">
        <v>16221</v>
      </c>
      <c r="I12548" t="s">
        <v>47127</v>
      </c>
      <c r="J12548" t="s">
        <v>47128</v>
      </c>
      <c r="K12548" t="s">
        <v>47113</v>
      </c>
      <c r="L12548">
        <v>13.05</v>
      </c>
      <c r="M12548">
        <v>34</v>
      </c>
      <c r="N12548">
        <v>0</v>
      </c>
      <c r="O12548">
        <v>34</v>
      </c>
      <c r="P12548">
        <v>0</v>
      </c>
    </row>
    <row r="12549" spans="1:16" x14ac:dyDescent="0.25">
      <c r="A12549" t="s">
        <v>35203</v>
      </c>
      <c r="B12549" t="s">
        <v>9355</v>
      </c>
      <c r="C12549" t="s">
        <v>9356</v>
      </c>
      <c r="D12549" t="str">
        <f>"4400"</f>
        <v>4400</v>
      </c>
      <c r="E12549" t="s">
        <v>154</v>
      </c>
      <c r="F12549" t="s">
        <v>3</v>
      </c>
      <c r="G12549" t="s">
        <v>16221</v>
      </c>
      <c r="I12549" t="s">
        <v>47127</v>
      </c>
      <c r="J12549" t="s">
        <v>47128</v>
      </c>
      <c r="K12549" t="s">
        <v>47113</v>
      </c>
      <c r="L12549">
        <v>13.05</v>
      </c>
      <c r="M12549">
        <v>34</v>
      </c>
      <c r="N12549">
        <v>0</v>
      </c>
      <c r="O12549">
        <v>34</v>
      </c>
      <c r="P12549">
        <v>0</v>
      </c>
    </row>
    <row r="12550" spans="1:16" x14ac:dyDescent="0.25">
      <c r="A12550" t="s">
        <v>35204</v>
      </c>
      <c r="B12550" t="s">
        <v>9357</v>
      </c>
      <c r="C12550" t="s">
        <v>9358</v>
      </c>
      <c r="D12550" t="str">
        <f>"1700"</f>
        <v>1700</v>
      </c>
      <c r="E12550" t="s">
        <v>60</v>
      </c>
      <c r="F12550" t="s">
        <v>56</v>
      </c>
      <c r="G12550" t="s">
        <v>47091</v>
      </c>
      <c r="H12550" t="s">
        <v>47126</v>
      </c>
      <c r="I12550" t="s">
        <v>47127</v>
      </c>
      <c r="J12550" t="s">
        <v>47128</v>
      </c>
      <c r="K12550" t="s">
        <v>47113</v>
      </c>
      <c r="L12550">
        <v>21.41</v>
      </c>
      <c r="M12550">
        <v>42</v>
      </c>
      <c r="N12550">
        <v>0</v>
      </c>
      <c r="O12550">
        <v>42</v>
      </c>
      <c r="P12550">
        <v>0</v>
      </c>
    </row>
    <row r="12551" spans="1:16" x14ac:dyDescent="0.25">
      <c r="A12551" t="s">
        <v>46941</v>
      </c>
      <c r="B12551" t="s">
        <v>46707</v>
      </c>
      <c r="C12551" t="s">
        <v>46708</v>
      </c>
      <c r="D12551" t="s">
        <v>46709</v>
      </c>
      <c r="E12551" t="s">
        <v>46710</v>
      </c>
      <c r="F12551" t="s">
        <v>27965</v>
      </c>
      <c r="G12551" t="s">
        <v>47075</v>
      </c>
      <c r="H12551" t="s">
        <v>47071</v>
      </c>
      <c r="I12551" t="s">
        <v>47120</v>
      </c>
      <c r="J12551" t="s">
        <v>47121</v>
      </c>
      <c r="K12551" t="s">
        <v>47113</v>
      </c>
      <c r="L12551">
        <v>17.809999999999999</v>
      </c>
      <c r="M12551">
        <v>51</v>
      </c>
      <c r="N12551">
        <v>139</v>
      </c>
      <c r="O12551">
        <v>51</v>
      </c>
      <c r="P12551">
        <v>139</v>
      </c>
    </row>
    <row r="12552" spans="1:16" x14ac:dyDescent="0.25">
      <c r="A12552" t="s">
        <v>46942</v>
      </c>
      <c r="B12552" t="s">
        <v>46711</v>
      </c>
      <c r="C12552" t="s">
        <v>46712</v>
      </c>
      <c r="D12552" t="s">
        <v>46713</v>
      </c>
      <c r="E12552" t="s">
        <v>46714</v>
      </c>
      <c r="F12552" t="s">
        <v>27965</v>
      </c>
      <c r="G12552" t="s">
        <v>47072</v>
      </c>
      <c r="H12552" t="s">
        <v>47071</v>
      </c>
      <c r="I12552" t="s">
        <v>47116</v>
      </c>
      <c r="J12552" t="s">
        <v>47117</v>
      </c>
      <c r="K12552" t="s">
        <v>47113</v>
      </c>
      <c r="L12552">
        <v>21.94</v>
      </c>
      <c r="M12552">
        <v>59</v>
      </c>
      <c r="N12552">
        <v>159</v>
      </c>
      <c r="O12552">
        <v>59</v>
      </c>
      <c r="P12552">
        <v>159</v>
      </c>
    </row>
    <row r="12553" spans="1:16" x14ac:dyDescent="0.25">
      <c r="A12553" t="s">
        <v>46943</v>
      </c>
      <c r="B12553" t="s">
        <v>46715</v>
      </c>
      <c r="C12553" t="s">
        <v>46716</v>
      </c>
      <c r="D12553" t="s">
        <v>46717</v>
      </c>
      <c r="E12553" t="s">
        <v>46718</v>
      </c>
      <c r="F12553" t="s">
        <v>27965</v>
      </c>
      <c r="G12553" t="s">
        <v>47135</v>
      </c>
      <c r="H12553" t="s">
        <v>47071</v>
      </c>
      <c r="I12553" t="s">
        <v>47116</v>
      </c>
      <c r="J12553" t="s">
        <v>47117</v>
      </c>
      <c r="K12553" t="s">
        <v>47113</v>
      </c>
      <c r="L12553">
        <v>16.53</v>
      </c>
      <c r="M12553">
        <v>40</v>
      </c>
      <c r="N12553">
        <v>109</v>
      </c>
      <c r="O12553">
        <v>40</v>
      </c>
      <c r="P12553">
        <v>109</v>
      </c>
    </row>
    <row r="12554" spans="1:16" x14ac:dyDescent="0.25">
      <c r="A12554" t="s">
        <v>46944</v>
      </c>
      <c r="B12554" t="s">
        <v>46719</v>
      </c>
      <c r="C12554" t="s">
        <v>46720</v>
      </c>
      <c r="D12554" t="s">
        <v>46709</v>
      </c>
      <c r="E12554" t="s">
        <v>46710</v>
      </c>
      <c r="F12554" t="s">
        <v>27965</v>
      </c>
      <c r="G12554" t="s">
        <v>47080</v>
      </c>
      <c r="H12554" t="s">
        <v>47071</v>
      </c>
      <c r="I12554" t="s">
        <v>47120</v>
      </c>
      <c r="J12554" t="s">
        <v>47121</v>
      </c>
      <c r="K12554" t="s">
        <v>47113</v>
      </c>
      <c r="L12554">
        <v>13.48</v>
      </c>
      <c r="M12554">
        <v>40</v>
      </c>
      <c r="N12554">
        <v>109</v>
      </c>
      <c r="O12554">
        <v>40</v>
      </c>
      <c r="P12554">
        <v>109</v>
      </c>
    </row>
    <row r="12555" spans="1:16" x14ac:dyDescent="0.25">
      <c r="A12555" t="s">
        <v>46721</v>
      </c>
      <c r="B12555" t="s">
        <v>46722</v>
      </c>
      <c r="C12555" t="s">
        <v>46723</v>
      </c>
      <c r="D12555" t="s">
        <v>9513</v>
      </c>
      <c r="E12555" t="s">
        <v>9514</v>
      </c>
      <c r="F12555" t="s">
        <v>27965</v>
      </c>
      <c r="G12555" t="s">
        <v>47074</v>
      </c>
      <c r="H12555" t="s">
        <v>47071</v>
      </c>
      <c r="I12555" t="s">
        <v>47120</v>
      </c>
      <c r="J12555" t="s">
        <v>47121</v>
      </c>
      <c r="K12555" t="s">
        <v>47113</v>
      </c>
      <c r="L12555">
        <v>21.9</v>
      </c>
      <c r="M12555">
        <v>56</v>
      </c>
      <c r="N12555">
        <v>139</v>
      </c>
      <c r="O12555">
        <v>56</v>
      </c>
      <c r="P12555">
        <v>139</v>
      </c>
    </row>
    <row r="12556" spans="1:16" x14ac:dyDescent="0.25">
      <c r="A12556" t="s">
        <v>48510</v>
      </c>
      <c r="B12556" t="s">
        <v>48511</v>
      </c>
      <c r="C12556" t="s">
        <v>36156</v>
      </c>
      <c r="D12556" t="s">
        <v>238</v>
      </c>
      <c r="E12556" t="s">
        <v>238</v>
      </c>
      <c r="F12556" t="s">
        <v>15829</v>
      </c>
      <c r="G12556" t="s">
        <v>47074</v>
      </c>
      <c r="H12556" t="s">
        <v>47071</v>
      </c>
      <c r="I12556" t="s">
        <v>47120</v>
      </c>
      <c r="J12556" t="s">
        <v>47121</v>
      </c>
      <c r="K12556" t="s">
        <v>47113</v>
      </c>
      <c r="L12556">
        <v>22.55</v>
      </c>
      <c r="M12556">
        <v>70</v>
      </c>
      <c r="N12556">
        <v>189</v>
      </c>
      <c r="O12556">
        <v>70</v>
      </c>
      <c r="P12556">
        <v>189</v>
      </c>
    </row>
    <row r="12557" spans="1:16" x14ac:dyDescent="0.25">
      <c r="A12557" t="s">
        <v>48512</v>
      </c>
      <c r="B12557" t="s">
        <v>48513</v>
      </c>
      <c r="C12557" t="s">
        <v>48514</v>
      </c>
      <c r="D12557" t="s">
        <v>15752</v>
      </c>
      <c r="E12557" t="s">
        <v>15753</v>
      </c>
      <c r="F12557" t="s">
        <v>15829</v>
      </c>
      <c r="G12557" t="s">
        <v>47074</v>
      </c>
      <c r="H12557" t="s">
        <v>47071</v>
      </c>
      <c r="I12557" t="s">
        <v>47120</v>
      </c>
      <c r="J12557" t="s">
        <v>47121</v>
      </c>
      <c r="K12557" t="s">
        <v>47113</v>
      </c>
      <c r="L12557">
        <v>22.55</v>
      </c>
      <c r="M12557">
        <v>70</v>
      </c>
      <c r="N12557">
        <v>189</v>
      </c>
      <c r="O12557">
        <v>70</v>
      </c>
      <c r="P12557">
        <v>189</v>
      </c>
    </row>
    <row r="12558" spans="1:16" x14ac:dyDescent="0.25">
      <c r="A12558" t="s">
        <v>46945</v>
      </c>
      <c r="B12558" t="s">
        <v>46724</v>
      </c>
      <c r="C12558" t="s">
        <v>46725</v>
      </c>
      <c r="D12558" t="s">
        <v>14429</v>
      </c>
      <c r="E12558" t="s">
        <v>60</v>
      </c>
      <c r="F12558" t="s">
        <v>27965</v>
      </c>
      <c r="G12558" t="s">
        <v>47073</v>
      </c>
      <c r="H12558" t="s">
        <v>47071</v>
      </c>
      <c r="I12558" t="s">
        <v>47120</v>
      </c>
      <c r="J12558" t="s">
        <v>47121</v>
      </c>
      <c r="K12558" t="s">
        <v>47113</v>
      </c>
      <c r="L12558">
        <v>10.83</v>
      </c>
      <c r="M12558">
        <v>29</v>
      </c>
      <c r="N12558">
        <v>79</v>
      </c>
      <c r="O12558">
        <v>29</v>
      </c>
      <c r="P12558">
        <v>79</v>
      </c>
    </row>
    <row r="12559" spans="1:16" x14ac:dyDescent="0.25">
      <c r="A12559" t="s">
        <v>46946</v>
      </c>
      <c r="B12559" t="s">
        <v>46726</v>
      </c>
      <c r="C12559" t="s">
        <v>46727</v>
      </c>
      <c r="D12559" t="s">
        <v>35402</v>
      </c>
      <c r="E12559" t="s">
        <v>2383</v>
      </c>
      <c r="F12559" t="s">
        <v>27965</v>
      </c>
      <c r="G12559" t="s">
        <v>47073</v>
      </c>
      <c r="H12559" t="s">
        <v>47071</v>
      </c>
      <c r="I12559" t="s">
        <v>47120</v>
      </c>
      <c r="J12559" t="s">
        <v>47121</v>
      </c>
      <c r="K12559" t="s">
        <v>47113</v>
      </c>
      <c r="L12559">
        <v>10.83</v>
      </c>
      <c r="M12559">
        <v>29</v>
      </c>
      <c r="N12559">
        <v>79</v>
      </c>
      <c r="O12559">
        <v>29</v>
      </c>
      <c r="P12559">
        <v>79</v>
      </c>
    </row>
    <row r="12560" spans="1:16" x14ac:dyDescent="0.25">
      <c r="A12560" t="s">
        <v>46947</v>
      </c>
      <c r="B12560" t="s">
        <v>46728</v>
      </c>
      <c r="C12560" t="s">
        <v>20961</v>
      </c>
      <c r="D12560" t="s">
        <v>20974</v>
      </c>
      <c r="E12560" t="s">
        <v>20975</v>
      </c>
      <c r="F12560" t="s">
        <v>27965</v>
      </c>
      <c r="G12560" t="s">
        <v>47073</v>
      </c>
      <c r="H12560" t="s">
        <v>47071</v>
      </c>
      <c r="I12560" t="s">
        <v>47120</v>
      </c>
      <c r="J12560" t="s">
        <v>47121</v>
      </c>
      <c r="K12560" t="s">
        <v>47113</v>
      </c>
      <c r="L12560">
        <v>10.83</v>
      </c>
      <c r="M12560">
        <v>29</v>
      </c>
      <c r="N12560">
        <v>79</v>
      </c>
      <c r="O12560">
        <v>29</v>
      </c>
      <c r="P12560">
        <v>79</v>
      </c>
    </row>
    <row r="12561" spans="1:16" x14ac:dyDescent="0.25">
      <c r="A12561" t="s">
        <v>46948</v>
      </c>
      <c r="B12561" t="s">
        <v>46729</v>
      </c>
      <c r="C12561" t="s">
        <v>46730</v>
      </c>
      <c r="D12561" t="s">
        <v>15740</v>
      </c>
      <c r="E12561" t="s">
        <v>42</v>
      </c>
      <c r="F12561" t="s">
        <v>27965</v>
      </c>
      <c r="G12561" t="s">
        <v>47073</v>
      </c>
      <c r="H12561" t="s">
        <v>47071</v>
      </c>
      <c r="I12561" t="s">
        <v>47120</v>
      </c>
      <c r="J12561" t="s">
        <v>47121</v>
      </c>
      <c r="K12561" t="s">
        <v>47113</v>
      </c>
      <c r="L12561">
        <v>10.83</v>
      </c>
      <c r="M12561">
        <v>29</v>
      </c>
      <c r="N12561">
        <v>79</v>
      </c>
      <c r="O12561">
        <v>29</v>
      </c>
      <c r="P12561">
        <v>79</v>
      </c>
    </row>
    <row r="12562" spans="1:16" x14ac:dyDescent="0.25">
      <c r="A12562" t="s">
        <v>46949</v>
      </c>
      <c r="B12562" t="s">
        <v>46731</v>
      </c>
      <c r="C12562" t="s">
        <v>20961</v>
      </c>
      <c r="D12562" t="s">
        <v>238</v>
      </c>
      <c r="E12562" t="s">
        <v>238</v>
      </c>
      <c r="F12562" t="s">
        <v>27965</v>
      </c>
      <c r="G12562" t="s">
        <v>47073</v>
      </c>
      <c r="H12562" t="s">
        <v>47071</v>
      </c>
      <c r="I12562" t="s">
        <v>47120</v>
      </c>
      <c r="J12562" t="s">
        <v>47121</v>
      </c>
      <c r="K12562" t="s">
        <v>47113</v>
      </c>
      <c r="L12562">
        <v>10.83</v>
      </c>
      <c r="M12562">
        <v>29</v>
      </c>
      <c r="N12562">
        <v>79</v>
      </c>
      <c r="O12562">
        <v>29</v>
      </c>
      <c r="P12562">
        <v>79</v>
      </c>
    </row>
    <row r="12563" spans="1:16" x14ac:dyDescent="0.25">
      <c r="A12563" t="s">
        <v>46950</v>
      </c>
      <c r="B12563" t="s">
        <v>46732</v>
      </c>
      <c r="C12563" t="s">
        <v>46733</v>
      </c>
      <c r="D12563" t="s">
        <v>46709</v>
      </c>
      <c r="E12563" t="s">
        <v>46710</v>
      </c>
      <c r="F12563" t="s">
        <v>27965</v>
      </c>
      <c r="G12563" t="s">
        <v>47073</v>
      </c>
      <c r="H12563" t="s">
        <v>47071</v>
      </c>
      <c r="I12563" t="s">
        <v>47120</v>
      </c>
      <c r="J12563" t="s">
        <v>47121</v>
      </c>
      <c r="K12563" t="s">
        <v>47113</v>
      </c>
      <c r="L12563">
        <v>8.89</v>
      </c>
      <c r="M12563">
        <v>29</v>
      </c>
      <c r="N12563">
        <v>79</v>
      </c>
      <c r="O12563">
        <v>29</v>
      </c>
      <c r="P12563">
        <v>79</v>
      </c>
    </row>
    <row r="12564" spans="1:16" x14ac:dyDescent="0.25">
      <c r="A12564" t="s">
        <v>46951</v>
      </c>
      <c r="B12564" t="s">
        <v>46734</v>
      </c>
      <c r="C12564" t="s">
        <v>20961</v>
      </c>
      <c r="D12564" t="s">
        <v>14429</v>
      </c>
      <c r="E12564" t="s">
        <v>60</v>
      </c>
      <c r="F12564" t="s">
        <v>27965</v>
      </c>
      <c r="G12564" t="s">
        <v>47073</v>
      </c>
      <c r="H12564" t="s">
        <v>47071</v>
      </c>
      <c r="I12564" t="s">
        <v>47120</v>
      </c>
      <c r="J12564" t="s">
        <v>47121</v>
      </c>
      <c r="K12564" t="s">
        <v>47113</v>
      </c>
      <c r="L12564">
        <v>10.83</v>
      </c>
      <c r="M12564">
        <v>29</v>
      </c>
      <c r="N12564">
        <v>79</v>
      </c>
      <c r="O12564">
        <v>29</v>
      </c>
      <c r="P12564">
        <v>79</v>
      </c>
    </row>
    <row r="12565" spans="1:16" x14ac:dyDescent="0.25">
      <c r="A12565" t="s">
        <v>46952</v>
      </c>
      <c r="B12565" t="s">
        <v>46735</v>
      </c>
      <c r="C12565" t="s">
        <v>46736</v>
      </c>
      <c r="D12565" t="s">
        <v>14429</v>
      </c>
      <c r="E12565" t="s">
        <v>60</v>
      </c>
      <c r="F12565" t="s">
        <v>27965</v>
      </c>
      <c r="G12565" t="s">
        <v>47073</v>
      </c>
      <c r="H12565" t="s">
        <v>47071</v>
      </c>
      <c r="I12565" t="s">
        <v>47120</v>
      </c>
      <c r="J12565" t="s">
        <v>47121</v>
      </c>
      <c r="K12565" t="s">
        <v>47113</v>
      </c>
      <c r="L12565">
        <v>10.83</v>
      </c>
      <c r="M12565">
        <v>29</v>
      </c>
      <c r="N12565">
        <v>79</v>
      </c>
      <c r="O12565">
        <v>29</v>
      </c>
      <c r="P12565">
        <v>79</v>
      </c>
    </row>
    <row r="12566" spans="1:16" x14ac:dyDescent="0.25">
      <c r="A12566" t="s">
        <v>46953</v>
      </c>
      <c r="B12566" t="s">
        <v>46737</v>
      </c>
      <c r="C12566" t="s">
        <v>46738</v>
      </c>
      <c r="D12566" t="s">
        <v>46739</v>
      </c>
      <c r="E12566" t="s">
        <v>16567</v>
      </c>
      <c r="F12566" t="s">
        <v>27965</v>
      </c>
      <c r="G12566" t="s">
        <v>47135</v>
      </c>
      <c r="H12566" t="s">
        <v>47071</v>
      </c>
      <c r="I12566" t="s">
        <v>47120</v>
      </c>
      <c r="J12566" t="s">
        <v>47121</v>
      </c>
      <c r="K12566" t="s">
        <v>47113</v>
      </c>
      <c r="L12566">
        <v>15.97</v>
      </c>
      <c r="M12566">
        <v>40</v>
      </c>
      <c r="N12566">
        <v>109</v>
      </c>
      <c r="O12566">
        <v>40</v>
      </c>
      <c r="P12566">
        <v>109</v>
      </c>
    </row>
    <row r="12567" spans="1:16" x14ac:dyDescent="0.25">
      <c r="A12567" t="s">
        <v>35205</v>
      </c>
      <c r="B12567" t="s">
        <v>9359</v>
      </c>
      <c r="C12567" t="s">
        <v>9360</v>
      </c>
      <c r="D12567" t="str">
        <f>"7000"</f>
        <v>7000</v>
      </c>
      <c r="E12567" t="s">
        <v>185</v>
      </c>
      <c r="F12567" t="s">
        <v>6</v>
      </c>
      <c r="G12567" t="s">
        <v>16224</v>
      </c>
      <c r="H12567" t="s">
        <v>47126</v>
      </c>
      <c r="I12567" t="s">
        <v>47120</v>
      </c>
      <c r="J12567" t="s">
        <v>47121</v>
      </c>
      <c r="K12567" t="s">
        <v>47113</v>
      </c>
      <c r="L12567">
        <v>80.989999999999995</v>
      </c>
      <c r="M12567">
        <v>168</v>
      </c>
      <c r="N12567">
        <v>0</v>
      </c>
      <c r="O12567">
        <v>168</v>
      </c>
      <c r="P12567">
        <v>0</v>
      </c>
    </row>
    <row r="12568" spans="1:16" x14ac:dyDescent="0.25">
      <c r="A12568" t="s">
        <v>35206</v>
      </c>
      <c r="B12568" t="s">
        <v>9359</v>
      </c>
      <c r="C12568" t="s">
        <v>9360</v>
      </c>
      <c r="D12568" t="str">
        <f>"8038"</f>
        <v>8038</v>
      </c>
      <c r="E12568" t="s">
        <v>182</v>
      </c>
      <c r="F12568" t="s">
        <v>6</v>
      </c>
      <c r="G12568" t="s">
        <v>16224</v>
      </c>
      <c r="H12568" t="s">
        <v>47126</v>
      </c>
      <c r="I12568" t="s">
        <v>47120</v>
      </c>
      <c r="J12568" t="s">
        <v>47121</v>
      </c>
      <c r="K12568" t="s">
        <v>47113</v>
      </c>
      <c r="L12568">
        <v>80.989999999999995</v>
      </c>
      <c r="M12568">
        <v>168</v>
      </c>
      <c r="N12568">
        <v>0</v>
      </c>
      <c r="O12568">
        <v>168</v>
      </c>
      <c r="P12568">
        <v>0</v>
      </c>
    </row>
    <row r="12569" spans="1:16" x14ac:dyDescent="0.25">
      <c r="A12569" t="s">
        <v>35207</v>
      </c>
      <c r="B12569" t="s">
        <v>9361</v>
      </c>
      <c r="C12569" t="s">
        <v>9362</v>
      </c>
      <c r="D12569" t="str">
        <f>"4000"</f>
        <v>4000</v>
      </c>
      <c r="E12569" t="s">
        <v>190</v>
      </c>
      <c r="F12569" t="s">
        <v>6</v>
      </c>
      <c r="G12569" t="s">
        <v>47122</v>
      </c>
      <c r="H12569" t="s">
        <v>47126</v>
      </c>
      <c r="I12569" t="s">
        <v>47120</v>
      </c>
      <c r="J12569" t="s">
        <v>47121</v>
      </c>
      <c r="K12569" t="s">
        <v>47113</v>
      </c>
      <c r="L12569">
        <v>56.54</v>
      </c>
      <c r="M12569">
        <v>132</v>
      </c>
      <c r="N12569">
        <v>0</v>
      </c>
      <c r="O12569">
        <v>132</v>
      </c>
      <c r="P12569">
        <v>0</v>
      </c>
    </row>
    <row r="12570" spans="1:16" x14ac:dyDescent="0.25">
      <c r="A12570" t="s">
        <v>35208</v>
      </c>
      <c r="B12570" t="s">
        <v>9361</v>
      </c>
      <c r="C12570" t="s">
        <v>9362</v>
      </c>
      <c r="D12570" t="str">
        <f>"8039"</f>
        <v>8039</v>
      </c>
      <c r="E12570" t="s">
        <v>4631</v>
      </c>
      <c r="F12570" t="s">
        <v>6</v>
      </c>
      <c r="G12570" t="s">
        <v>47122</v>
      </c>
      <c r="H12570" t="s">
        <v>47126</v>
      </c>
      <c r="I12570" t="s">
        <v>47120</v>
      </c>
      <c r="J12570" t="s">
        <v>47121</v>
      </c>
      <c r="K12570" t="s">
        <v>47113</v>
      </c>
      <c r="L12570">
        <v>56.54</v>
      </c>
      <c r="M12570">
        <v>132</v>
      </c>
      <c r="N12570">
        <v>0</v>
      </c>
      <c r="O12570">
        <v>132</v>
      </c>
      <c r="P12570">
        <v>0</v>
      </c>
    </row>
    <row r="12571" spans="1:16" x14ac:dyDescent="0.25">
      <c r="A12571" t="s">
        <v>35209</v>
      </c>
      <c r="B12571" t="s">
        <v>9363</v>
      </c>
      <c r="C12571" t="s">
        <v>9364</v>
      </c>
      <c r="D12571" t="str">
        <f>"3106"</f>
        <v>3106</v>
      </c>
      <c r="E12571" t="s">
        <v>230</v>
      </c>
      <c r="F12571" t="s">
        <v>6</v>
      </c>
      <c r="G12571" t="s">
        <v>47098</v>
      </c>
      <c r="H12571" t="s">
        <v>47126</v>
      </c>
      <c r="I12571" t="s">
        <v>47120</v>
      </c>
      <c r="J12571" t="s">
        <v>47121</v>
      </c>
      <c r="K12571" t="s">
        <v>47113</v>
      </c>
      <c r="L12571">
        <v>70.95</v>
      </c>
      <c r="M12571">
        <v>178</v>
      </c>
      <c r="N12571">
        <v>0</v>
      </c>
      <c r="O12571">
        <v>178</v>
      </c>
      <c r="P12571">
        <v>0</v>
      </c>
    </row>
    <row r="12572" spans="1:16" x14ac:dyDescent="0.25">
      <c r="A12572" t="s">
        <v>35210</v>
      </c>
      <c r="B12572" t="s">
        <v>9363</v>
      </c>
      <c r="C12572" t="s">
        <v>9364</v>
      </c>
      <c r="D12572" t="str">
        <f>"8038"</f>
        <v>8038</v>
      </c>
      <c r="E12572" t="s">
        <v>182</v>
      </c>
      <c r="F12572" t="s">
        <v>6</v>
      </c>
      <c r="G12572" t="s">
        <v>47098</v>
      </c>
      <c r="H12572" t="s">
        <v>47126</v>
      </c>
      <c r="I12572" t="s">
        <v>47120</v>
      </c>
      <c r="J12572" t="s">
        <v>47121</v>
      </c>
      <c r="K12572" t="s">
        <v>47113</v>
      </c>
      <c r="L12572">
        <v>70.95</v>
      </c>
      <c r="M12572">
        <v>178</v>
      </c>
      <c r="N12572">
        <v>0</v>
      </c>
      <c r="O12572">
        <v>178</v>
      </c>
      <c r="P12572">
        <v>0</v>
      </c>
    </row>
    <row r="12573" spans="1:16" x14ac:dyDescent="0.25">
      <c r="A12573" t="s">
        <v>35211</v>
      </c>
      <c r="B12573" t="s">
        <v>180</v>
      </c>
      <c r="C12573" t="s">
        <v>181</v>
      </c>
      <c r="D12573" t="str">
        <f>"6000"</f>
        <v>6000</v>
      </c>
      <c r="E12573" t="s">
        <v>238</v>
      </c>
      <c r="F12573" t="s">
        <v>6</v>
      </c>
      <c r="G12573" t="s">
        <v>47098</v>
      </c>
      <c r="H12573" t="s">
        <v>47126</v>
      </c>
      <c r="I12573" t="s">
        <v>47120</v>
      </c>
      <c r="J12573" t="s">
        <v>47121</v>
      </c>
      <c r="K12573" t="s">
        <v>47113</v>
      </c>
      <c r="L12573">
        <v>72.72</v>
      </c>
      <c r="M12573">
        <v>183</v>
      </c>
      <c r="N12573">
        <v>0</v>
      </c>
      <c r="O12573">
        <v>183</v>
      </c>
      <c r="P12573">
        <v>0</v>
      </c>
    </row>
    <row r="12574" spans="1:16" x14ac:dyDescent="0.25">
      <c r="A12574" t="s">
        <v>15014</v>
      </c>
      <c r="B12574" t="s">
        <v>180</v>
      </c>
      <c r="C12574" t="s">
        <v>181</v>
      </c>
      <c r="D12574" t="str">
        <f>"8038"</f>
        <v>8038</v>
      </c>
      <c r="E12574" t="s">
        <v>182</v>
      </c>
      <c r="F12574" t="s">
        <v>6</v>
      </c>
      <c r="G12574" t="s">
        <v>47098</v>
      </c>
      <c r="H12574" t="s">
        <v>47126</v>
      </c>
      <c r="I12574" t="s">
        <v>47120</v>
      </c>
      <c r="J12574" t="s">
        <v>47121</v>
      </c>
      <c r="K12574" t="s">
        <v>47113</v>
      </c>
      <c r="L12574">
        <v>72.72</v>
      </c>
      <c r="M12574">
        <v>183</v>
      </c>
      <c r="N12574">
        <v>0</v>
      </c>
      <c r="O12574">
        <v>183</v>
      </c>
      <c r="P12574">
        <v>0</v>
      </c>
    </row>
    <row r="12575" spans="1:16" x14ac:dyDescent="0.25">
      <c r="A12575" t="s">
        <v>35212</v>
      </c>
      <c r="B12575" t="s">
        <v>183</v>
      </c>
      <c r="C12575" t="s">
        <v>184</v>
      </c>
      <c r="D12575" t="str">
        <f>"4171"</f>
        <v>4171</v>
      </c>
      <c r="E12575" t="s">
        <v>43</v>
      </c>
      <c r="F12575" t="s">
        <v>6</v>
      </c>
      <c r="G12575" t="s">
        <v>48515</v>
      </c>
      <c r="H12575" t="s">
        <v>47126</v>
      </c>
      <c r="I12575" t="s">
        <v>47120</v>
      </c>
      <c r="J12575" t="s">
        <v>47121</v>
      </c>
      <c r="K12575" t="s">
        <v>47113</v>
      </c>
      <c r="L12575">
        <v>52.12</v>
      </c>
      <c r="M12575">
        <v>133</v>
      </c>
      <c r="N12575">
        <v>0</v>
      </c>
      <c r="O12575">
        <v>133</v>
      </c>
      <c r="P12575">
        <v>0</v>
      </c>
    </row>
    <row r="12576" spans="1:16" x14ac:dyDescent="0.25">
      <c r="A12576" t="s">
        <v>15015</v>
      </c>
      <c r="B12576" t="s">
        <v>183</v>
      </c>
      <c r="C12576" t="s">
        <v>184</v>
      </c>
      <c r="D12576" t="str">
        <f>"7000"</f>
        <v>7000</v>
      </c>
      <c r="E12576" t="s">
        <v>185</v>
      </c>
      <c r="F12576" t="s">
        <v>6</v>
      </c>
      <c r="G12576" t="s">
        <v>48515</v>
      </c>
      <c r="H12576" t="s">
        <v>47126</v>
      </c>
      <c r="I12576" t="s">
        <v>47120</v>
      </c>
      <c r="J12576" t="s">
        <v>47121</v>
      </c>
      <c r="K12576" t="s">
        <v>47113</v>
      </c>
      <c r="L12576">
        <v>52.12</v>
      </c>
      <c r="M12576">
        <v>133</v>
      </c>
      <c r="N12576">
        <v>0</v>
      </c>
      <c r="O12576">
        <v>133</v>
      </c>
      <c r="P12576">
        <v>0</v>
      </c>
    </row>
    <row r="12577" spans="1:16" x14ac:dyDescent="0.25">
      <c r="A12577" t="s">
        <v>35213</v>
      </c>
      <c r="B12577" t="s">
        <v>20923</v>
      </c>
      <c r="C12577" t="s">
        <v>20924</v>
      </c>
      <c r="D12577" t="s">
        <v>15752</v>
      </c>
      <c r="E12577" t="s">
        <v>15753</v>
      </c>
      <c r="F12577" t="s">
        <v>17351</v>
      </c>
      <c r="G12577" t="s">
        <v>47075</v>
      </c>
      <c r="H12577" t="s">
        <v>47071</v>
      </c>
      <c r="I12577" t="s">
        <v>47120</v>
      </c>
      <c r="J12577" t="s">
        <v>47121</v>
      </c>
      <c r="K12577" t="s">
        <v>47113</v>
      </c>
      <c r="L12577">
        <v>22.83</v>
      </c>
      <c r="M12577">
        <v>45</v>
      </c>
      <c r="N12577">
        <v>0</v>
      </c>
      <c r="O12577">
        <v>45</v>
      </c>
      <c r="P12577">
        <v>0</v>
      </c>
    </row>
    <row r="12578" spans="1:16" x14ac:dyDescent="0.25">
      <c r="A12578" t="s">
        <v>35214</v>
      </c>
      <c r="B12578" t="s">
        <v>20925</v>
      </c>
      <c r="C12578" t="s">
        <v>20926</v>
      </c>
      <c r="D12578" t="s">
        <v>20927</v>
      </c>
      <c r="E12578" t="s">
        <v>20928</v>
      </c>
      <c r="F12578" t="s">
        <v>17351</v>
      </c>
      <c r="G12578" t="s">
        <v>47072</v>
      </c>
      <c r="H12578" t="s">
        <v>47071</v>
      </c>
      <c r="I12578" t="s">
        <v>47116</v>
      </c>
      <c r="J12578" t="s">
        <v>47117</v>
      </c>
      <c r="K12578" t="s">
        <v>47113</v>
      </c>
      <c r="L12578">
        <v>34.79</v>
      </c>
      <c r="M12578">
        <v>80</v>
      </c>
      <c r="N12578">
        <v>0</v>
      </c>
      <c r="O12578">
        <v>80</v>
      </c>
      <c r="P12578">
        <v>0</v>
      </c>
    </row>
    <row r="12579" spans="1:16" x14ac:dyDescent="0.25">
      <c r="A12579" t="s">
        <v>35215</v>
      </c>
      <c r="B12579" t="s">
        <v>20929</v>
      </c>
      <c r="C12579" t="s">
        <v>20930</v>
      </c>
      <c r="D12579" t="s">
        <v>20931</v>
      </c>
      <c r="E12579" t="s">
        <v>20932</v>
      </c>
      <c r="F12579" t="s">
        <v>17351</v>
      </c>
      <c r="G12579" t="s">
        <v>47072</v>
      </c>
      <c r="H12579" t="s">
        <v>47071</v>
      </c>
      <c r="I12579" t="s">
        <v>47116</v>
      </c>
      <c r="J12579" t="s">
        <v>47117</v>
      </c>
      <c r="K12579" t="s">
        <v>47113</v>
      </c>
      <c r="L12579">
        <v>39.51</v>
      </c>
      <c r="M12579">
        <v>80</v>
      </c>
      <c r="N12579">
        <v>0</v>
      </c>
      <c r="O12579">
        <v>80</v>
      </c>
      <c r="P12579">
        <v>0</v>
      </c>
    </row>
    <row r="12580" spans="1:16" x14ac:dyDescent="0.25">
      <c r="A12580" t="s">
        <v>35216</v>
      </c>
      <c r="B12580" t="s">
        <v>35217</v>
      </c>
      <c r="C12580" t="s">
        <v>35218</v>
      </c>
      <c r="D12580" t="s">
        <v>18055</v>
      </c>
      <c r="E12580" t="s">
        <v>18056</v>
      </c>
      <c r="F12580" t="s">
        <v>17351</v>
      </c>
      <c r="G12580" t="s">
        <v>47072</v>
      </c>
      <c r="H12580" t="s">
        <v>47071</v>
      </c>
      <c r="I12580" t="s">
        <v>47116</v>
      </c>
      <c r="J12580" t="s">
        <v>47117</v>
      </c>
      <c r="K12580" t="s">
        <v>47113</v>
      </c>
      <c r="L12580">
        <v>15.18</v>
      </c>
      <c r="M12580">
        <v>64</v>
      </c>
      <c r="N12580">
        <v>159</v>
      </c>
      <c r="O12580">
        <v>64</v>
      </c>
      <c r="P12580">
        <v>159</v>
      </c>
    </row>
    <row r="12581" spans="1:16" x14ac:dyDescent="0.25">
      <c r="A12581" t="s">
        <v>35219</v>
      </c>
      <c r="B12581" t="s">
        <v>20933</v>
      </c>
      <c r="C12581" t="s">
        <v>20934</v>
      </c>
      <c r="D12581" t="s">
        <v>20935</v>
      </c>
      <c r="E12581" t="s">
        <v>20936</v>
      </c>
      <c r="F12581" t="s">
        <v>17351</v>
      </c>
      <c r="G12581" t="s">
        <v>47072</v>
      </c>
      <c r="H12581" t="s">
        <v>47071</v>
      </c>
      <c r="I12581" t="s">
        <v>47116</v>
      </c>
      <c r="J12581" t="s">
        <v>47117</v>
      </c>
      <c r="K12581" t="s">
        <v>47113</v>
      </c>
      <c r="L12581">
        <v>21.3</v>
      </c>
      <c r="M12581">
        <v>52</v>
      </c>
      <c r="N12581">
        <v>0</v>
      </c>
      <c r="O12581">
        <v>52</v>
      </c>
      <c r="P12581">
        <v>0</v>
      </c>
    </row>
    <row r="12582" spans="1:16" x14ac:dyDescent="0.25">
      <c r="A12582" t="s">
        <v>35220</v>
      </c>
      <c r="B12582" t="s">
        <v>20937</v>
      </c>
      <c r="C12582" t="s">
        <v>20938</v>
      </c>
      <c r="D12582" t="s">
        <v>20939</v>
      </c>
      <c r="E12582" t="s">
        <v>20940</v>
      </c>
      <c r="F12582" t="s">
        <v>17351</v>
      </c>
      <c r="G12582" t="s">
        <v>47135</v>
      </c>
      <c r="H12582" t="s">
        <v>47071</v>
      </c>
      <c r="I12582" t="s">
        <v>47116</v>
      </c>
      <c r="J12582" t="s">
        <v>47117</v>
      </c>
      <c r="K12582" t="s">
        <v>47113</v>
      </c>
      <c r="L12582">
        <v>21.55</v>
      </c>
      <c r="M12582">
        <v>43</v>
      </c>
      <c r="N12582">
        <v>0</v>
      </c>
      <c r="O12582">
        <v>43</v>
      </c>
      <c r="P12582">
        <v>0</v>
      </c>
    </row>
    <row r="12583" spans="1:16" x14ac:dyDescent="0.25">
      <c r="A12583" t="s">
        <v>35221</v>
      </c>
      <c r="B12583" t="s">
        <v>20941</v>
      </c>
      <c r="C12583" t="s">
        <v>20942</v>
      </c>
      <c r="D12583" t="s">
        <v>15752</v>
      </c>
      <c r="E12583" t="s">
        <v>15753</v>
      </c>
      <c r="F12583" t="s">
        <v>17351</v>
      </c>
      <c r="G12583" t="s">
        <v>47080</v>
      </c>
      <c r="H12583" t="s">
        <v>47071</v>
      </c>
      <c r="I12583" t="s">
        <v>47120</v>
      </c>
      <c r="J12583" t="s">
        <v>47121</v>
      </c>
      <c r="K12583" t="s">
        <v>47113</v>
      </c>
      <c r="L12583">
        <v>14.16</v>
      </c>
      <c r="M12583">
        <v>28</v>
      </c>
      <c r="N12583">
        <v>0</v>
      </c>
      <c r="O12583">
        <v>28</v>
      </c>
      <c r="P12583">
        <v>0</v>
      </c>
    </row>
    <row r="12584" spans="1:16" x14ac:dyDescent="0.25">
      <c r="A12584" t="s">
        <v>35222</v>
      </c>
      <c r="B12584" t="s">
        <v>20943</v>
      </c>
      <c r="C12584" t="s">
        <v>20944</v>
      </c>
      <c r="D12584" t="s">
        <v>20945</v>
      </c>
      <c r="E12584" t="s">
        <v>20946</v>
      </c>
      <c r="F12584" t="s">
        <v>17351</v>
      </c>
      <c r="G12584" t="s">
        <v>47135</v>
      </c>
      <c r="H12584" t="s">
        <v>47071</v>
      </c>
      <c r="I12584" t="s">
        <v>47116</v>
      </c>
      <c r="J12584" t="s">
        <v>47117</v>
      </c>
      <c r="K12584" t="s">
        <v>47113</v>
      </c>
      <c r="L12584">
        <v>21.3</v>
      </c>
      <c r="M12584">
        <v>47</v>
      </c>
      <c r="N12584">
        <v>0</v>
      </c>
      <c r="O12584">
        <v>47</v>
      </c>
      <c r="P12584">
        <v>0</v>
      </c>
    </row>
    <row r="12585" spans="1:16" x14ac:dyDescent="0.25">
      <c r="A12585" t="s">
        <v>35223</v>
      </c>
      <c r="B12585" t="s">
        <v>20947</v>
      </c>
      <c r="C12585" t="s">
        <v>20948</v>
      </c>
      <c r="D12585" t="s">
        <v>20931</v>
      </c>
      <c r="E12585" t="s">
        <v>20932</v>
      </c>
      <c r="F12585" t="s">
        <v>17351</v>
      </c>
      <c r="G12585" t="s">
        <v>47135</v>
      </c>
      <c r="H12585" t="s">
        <v>47071</v>
      </c>
      <c r="I12585" t="s">
        <v>47116</v>
      </c>
      <c r="J12585" t="s">
        <v>47117</v>
      </c>
      <c r="K12585" t="s">
        <v>47113</v>
      </c>
      <c r="L12585">
        <v>24</v>
      </c>
      <c r="M12585">
        <v>52</v>
      </c>
      <c r="N12585">
        <v>0</v>
      </c>
      <c r="O12585">
        <v>52</v>
      </c>
      <c r="P12585">
        <v>0</v>
      </c>
    </row>
    <row r="12586" spans="1:16" x14ac:dyDescent="0.25">
      <c r="A12586" t="s">
        <v>35224</v>
      </c>
      <c r="B12586" t="s">
        <v>20949</v>
      </c>
      <c r="C12586" t="s">
        <v>20944</v>
      </c>
      <c r="D12586" t="s">
        <v>20950</v>
      </c>
      <c r="E12586" t="s">
        <v>20951</v>
      </c>
      <c r="F12586" t="s">
        <v>17351</v>
      </c>
      <c r="G12586" t="s">
        <v>47135</v>
      </c>
      <c r="H12586" t="s">
        <v>47071</v>
      </c>
      <c r="I12586" t="s">
        <v>47116</v>
      </c>
      <c r="J12586" t="s">
        <v>47117</v>
      </c>
      <c r="K12586" t="s">
        <v>47113</v>
      </c>
      <c r="L12586">
        <v>18.61</v>
      </c>
      <c r="M12586">
        <v>41</v>
      </c>
      <c r="N12586">
        <v>0</v>
      </c>
      <c r="O12586">
        <v>41</v>
      </c>
      <c r="P12586">
        <v>0</v>
      </c>
    </row>
    <row r="12587" spans="1:16" x14ac:dyDescent="0.25">
      <c r="A12587" t="s">
        <v>35225</v>
      </c>
      <c r="B12587" t="s">
        <v>20952</v>
      </c>
      <c r="C12587" t="s">
        <v>20953</v>
      </c>
      <c r="D12587" t="s">
        <v>20954</v>
      </c>
      <c r="E12587" t="s">
        <v>20955</v>
      </c>
      <c r="F12587" t="s">
        <v>17351</v>
      </c>
      <c r="G12587" t="s">
        <v>47074</v>
      </c>
      <c r="H12587" t="s">
        <v>47071</v>
      </c>
      <c r="I12587" t="s">
        <v>47120</v>
      </c>
      <c r="J12587" t="s">
        <v>47121</v>
      </c>
      <c r="K12587" t="s">
        <v>47113</v>
      </c>
      <c r="L12587">
        <v>17.05</v>
      </c>
      <c r="M12587">
        <v>34</v>
      </c>
      <c r="N12587">
        <v>0</v>
      </c>
      <c r="O12587">
        <v>34</v>
      </c>
      <c r="P12587">
        <v>0</v>
      </c>
    </row>
    <row r="12588" spans="1:16" x14ac:dyDescent="0.25">
      <c r="A12588" t="s">
        <v>35226</v>
      </c>
      <c r="B12588" t="s">
        <v>20956</v>
      </c>
      <c r="C12588" t="s">
        <v>20957</v>
      </c>
      <c r="D12588" t="s">
        <v>20958</v>
      </c>
      <c r="E12588" t="s">
        <v>20959</v>
      </c>
      <c r="F12588" t="s">
        <v>17351</v>
      </c>
      <c r="G12588" t="s">
        <v>47074</v>
      </c>
      <c r="H12588" t="s">
        <v>47071</v>
      </c>
      <c r="I12588" t="s">
        <v>47120</v>
      </c>
      <c r="J12588" t="s">
        <v>47121</v>
      </c>
      <c r="K12588" t="s">
        <v>47113</v>
      </c>
      <c r="L12588">
        <v>17.05</v>
      </c>
      <c r="M12588">
        <v>34</v>
      </c>
      <c r="N12588">
        <v>0</v>
      </c>
      <c r="O12588">
        <v>34</v>
      </c>
      <c r="P12588">
        <v>0</v>
      </c>
    </row>
    <row r="12589" spans="1:16" x14ac:dyDescent="0.25">
      <c r="A12589" t="s">
        <v>35227</v>
      </c>
      <c r="B12589" t="s">
        <v>20960</v>
      </c>
      <c r="C12589" t="s">
        <v>20961</v>
      </c>
      <c r="D12589" t="s">
        <v>20958</v>
      </c>
      <c r="E12589" t="s">
        <v>16567</v>
      </c>
      <c r="F12589" t="s">
        <v>17351</v>
      </c>
      <c r="G12589" t="s">
        <v>47073</v>
      </c>
      <c r="H12589" t="s">
        <v>47071</v>
      </c>
      <c r="I12589" t="s">
        <v>47120</v>
      </c>
      <c r="J12589" t="s">
        <v>47121</v>
      </c>
      <c r="K12589" t="s">
        <v>47113</v>
      </c>
      <c r="L12589">
        <v>10.119999999999999</v>
      </c>
      <c r="M12589">
        <v>20</v>
      </c>
      <c r="N12589">
        <v>0</v>
      </c>
      <c r="O12589">
        <v>20</v>
      </c>
      <c r="P12589">
        <v>0</v>
      </c>
    </row>
    <row r="12590" spans="1:16" x14ac:dyDescent="0.25">
      <c r="A12590" t="s">
        <v>35228</v>
      </c>
      <c r="B12590" t="s">
        <v>20960</v>
      </c>
      <c r="C12590" t="s">
        <v>20961</v>
      </c>
      <c r="D12590" t="s">
        <v>14429</v>
      </c>
      <c r="E12590" t="s">
        <v>60</v>
      </c>
      <c r="F12590" t="s">
        <v>17351</v>
      </c>
      <c r="G12590" t="s">
        <v>47073</v>
      </c>
      <c r="H12590" t="s">
        <v>47071</v>
      </c>
      <c r="I12590" t="s">
        <v>47120</v>
      </c>
      <c r="J12590" t="s">
        <v>47121</v>
      </c>
      <c r="K12590" t="s">
        <v>47113</v>
      </c>
      <c r="L12590">
        <v>10.93</v>
      </c>
      <c r="M12590">
        <v>37</v>
      </c>
      <c r="N12590">
        <v>0</v>
      </c>
      <c r="O12590">
        <v>37</v>
      </c>
      <c r="P12590">
        <v>0</v>
      </c>
    </row>
    <row r="12591" spans="1:16" x14ac:dyDescent="0.25">
      <c r="A12591" t="s">
        <v>35229</v>
      </c>
      <c r="B12591" t="s">
        <v>20962</v>
      </c>
      <c r="C12591" t="s">
        <v>20963</v>
      </c>
      <c r="D12591" t="s">
        <v>14429</v>
      </c>
      <c r="E12591" t="s">
        <v>60</v>
      </c>
      <c r="F12591" t="s">
        <v>17351</v>
      </c>
      <c r="G12591" t="s">
        <v>47073</v>
      </c>
      <c r="H12591" t="s">
        <v>47071</v>
      </c>
      <c r="I12591" t="s">
        <v>47120</v>
      </c>
      <c r="J12591" t="s">
        <v>47121</v>
      </c>
      <c r="K12591" t="s">
        <v>47113</v>
      </c>
      <c r="L12591">
        <v>11.28</v>
      </c>
      <c r="M12591">
        <v>22</v>
      </c>
      <c r="N12591">
        <v>0</v>
      </c>
      <c r="O12591">
        <v>22</v>
      </c>
      <c r="P12591">
        <v>0</v>
      </c>
    </row>
    <row r="12592" spans="1:16" x14ac:dyDescent="0.25">
      <c r="A12592" t="s">
        <v>35230</v>
      </c>
      <c r="B12592" t="s">
        <v>35231</v>
      </c>
      <c r="C12592" t="s">
        <v>35232</v>
      </c>
      <c r="D12592" t="s">
        <v>15692</v>
      </c>
      <c r="E12592" t="s">
        <v>46</v>
      </c>
      <c r="F12592" t="s">
        <v>17351</v>
      </c>
      <c r="G12592" t="s">
        <v>47073</v>
      </c>
      <c r="H12592" t="s">
        <v>47071</v>
      </c>
      <c r="I12592" t="s">
        <v>47120</v>
      </c>
      <c r="J12592" t="s">
        <v>47121</v>
      </c>
      <c r="K12592" t="s">
        <v>47113</v>
      </c>
      <c r="L12592">
        <v>12.16</v>
      </c>
      <c r="M12592">
        <v>22</v>
      </c>
      <c r="N12592">
        <v>0</v>
      </c>
      <c r="O12592">
        <v>22</v>
      </c>
      <c r="P12592">
        <v>0</v>
      </c>
    </row>
    <row r="12593" spans="1:16" x14ac:dyDescent="0.25">
      <c r="A12593" t="s">
        <v>35233</v>
      </c>
      <c r="B12593" t="s">
        <v>35231</v>
      </c>
      <c r="C12593" t="s">
        <v>35232</v>
      </c>
      <c r="D12593" t="s">
        <v>14429</v>
      </c>
      <c r="E12593" t="s">
        <v>60</v>
      </c>
      <c r="F12593" t="s">
        <v>17351</v>
      </c>
      <c r="G12593" t="s">
        <v>47073</v>
      </c>
      <c r="H12593" t="s">
        <v>47071</v>
      </c>
      <c r="I12593" t="s">
        <v>47120</v>
      </c>
      <c r="J12593" t="s">
        <v>47121</v>
      </c>
      <c r="K12593" t="s">
        <v>47113</v>
      </c>
      <c r="L12593">
        <v>12.16</v>
      </c>
      <c r="M12593">
        <v>22</v>
      </c>
      <c r="N12593">
        <v>0</v>
      </c>
      <c r="O12593">
        <v>22</v>
      </c>
      <c r="P12593">
        <v>0</v>
      </c>
    </row>
    <row r="12594" spans="1:16" x14ac:dyDescent="0.25">
      <c r="A12594" t="s">
        <v>35234</v>
      </c>
      <c r="B12594" t="s">
        <v>20964</v>
      </c>
      <c r="C12594" t="s">
        <v>20965</v>
      </c>
      <c r="D12594" t="s">
        <v>15692</v>
      </c>
      <c r="E12594" t="s">
        <v>46</v>
      </c>
      <c r="F12594" t="s">
        <v>17351</v>
      </c>
      <c r="G12594" t="s">
        <v>47073</v>
      </c>
      <c r="H12594" t="s">
        <v>47071</v>
      </c>
      <c r="I12594" t="s">
        <v>47120</v>
      </c>
      <c r="J12594" t="s">
        <v>47121</v>
      </c>
      <c r="K12594" t="s">
        <v>47113</v>
      </c>
      <c r="L12594">
        <v>11.28</v>
      </c>
      <c r="M12594">
        <v>22</v>
      </c>
      <c r="N12594">
        <v>0</v>
      </c>
      <c r="O12594">
        <v>22</v>
      </c>
      <c r="P12594">
        <v>0</v>
      </c>
    </row>
    <row r="12595" spans="1:16" x14ac:dyDescent="0.25">
      <c r="A12595" t="s">
        <v>35235</v>
      </c>
      <c r="B12595" t="s">
        <v>20966</v>
      </c>
      <c r="C12595" t="s">
        <v>20967</v>
      </c>
      <c r="D12595" t="s">
        <v>14429</v>
      </c>
      <c r="E12595" t="s">
        <v>60</v>
      </c>
      <c r="F12595" t="s">
        <v>17351</v>
      </c>
      <c r="G12595" t="s">
        <v>47073</v>
      </c>
      <c r="H12595" t="s">
        <v>47071</v>
      </c>
      <c r="I12595" t="s">
        <v>47120</v>
      </c>
      <c r="J12595" t="s">
        <v>47121</v>
      </c>
      <c r="K12595" t="s">
        <v>47113</v>
      </c>
      <c r="L12595">
        <v>10.119999999999999</v>
      </c>
      <c r="M12595">
        <v>20</v>
      </c>
      <c r="N12595">
        <v>0</v>
      </c>
      <c r="O12595">
        <v>20</v>
      </c>
      <c r="P12595">
        <v>0</v>
      </c>
    </row>
    <row r="12596" spans="1:16" x14ac:dyDescent="0.25">
      <c r="A12596" t="s">
        <v>35236</v>
      </c>
      <c r="B12596" t="s">
        <v>20968</v>
      </c>
      <c r="C12596" t="s">
        <v>20969</v>
      </c>
      <c r="D12596" t="s">
        <v>20970</v>
      </c>
      <c r="E12596" t="s">
        <v>20971</v>
      </c>
      <c r="F12596" t="s">
        <v>17351</v>
      </c>
      <c r="G12596" t="s">
        <v>47073</v>
      </c>
      <c r="H12596" t="s">
        <v>47071</v>
      </c>
      <c r="I12596" t="s">
        <v>47120</v>
      </c>
      <c r="J12596" t="s">
        <v>47121</v>
      </c>
      <c r="K12596" t="s">
        <v>47113</v>
      </c>
      <c r="L12596">
        <v>11.28</v>
      </c>
      <c r="M12596">
        <v>22</v>
      </c>
      <c r="N12596">
        <v>0</v>
      </c>
      <c r="O12596">
        <v>22</v>
      </c>
      <c r="P12596">
        <v>0</v>
      </c>
    </row>
    <row r="12597" spans="1:16" x14ac:dyDescent="0.25">
      <c r="A12597" t="s">
        <v>35237</v>
      </c>
      <c r="B12597" t="s">
        <v>20972</v>
      </c>
      <c r="C12597" t="s">
        <v>20965</v>
      </c>
      <c r="D12597" t="s">
        <v>14429</v>
      </c>
      <c r="E12597" t="s">
        <v>60</v>
      </c>
      <c r="F12597" t="s">
        <v>17351</v>
      </c>
      <c r="G12597" t="s">
        <v>47073</v>
      </c>
      <c r="H12597" t="s">
        <v>47071</v>
      </c>
      <c r="I12597" t="s">
        <v>47120</v>
      </c>
      <c r="J12597" t="s">
        <v>47121</v>
      </c>
      <c r="K12597" t="s">
        <v>47113</v>
      </c>
      <c r="L12597">
        <v>10.119999999999999</v>
      </c>
      <c r="M12597">
        <v>20</v>
      </c>
      <c r="N12597">
        <v>0</v>
      </c>
      <c r="O12597">
        <v>20</v>
      </c>
      <c r="P12597">
        <v>0</v>
      </c>
    </row>
    <row r="12598" spans="1:16" x14ac:dyDescent="0.25">
      <c r="A12598" t="s">
        <v>35238</v>
      </c>
      <c r="B12598" t="s">
        <v>20972</v>
      </c>
      <c r="C12598" t="s">
        <v>20965</v>
      </c>
      <c r="D12598" t="s">
        <v>20973</v>
      </c>
      <c r="E12598" t="s">
        <v>13190</v>
      </c>
      <c r="F12598" t="s">
        <v>17351</v>
      </c>
      <c r="G12598" t="s">
        <v>47073</v>
      </c>
      <c r="H12598" t="s">
        <v>47071</v>
      </c>
      <c r="I12598" t="s">
        <v>47120</v>
      </c>
      <c r="J12598" t="s">
        <v>47121</v>
      </c>
      <c r="K12598" t="s">
        <v>47113</v>
      </c>
      <c r="L12598">
        <v>10.119999999999999</v>
      </c>
      <c r="M12598">
        <v>20</v>
      </c>
      <c r="N12598">
        <v>0</v>
      </c>
      <c r="O12598">
        <v>20</v>
      </c>
      <c r="P12598">
        <v>0</v>
      </c>
    </row>
    <row r="12599" spans="1:16" x14ac:dyDescent="0.25">
      <c r="A12599" t="s">
        <v>35239</v>
      </c>
      <c r="B12599" t="s">
        <v>20972</v>
      </c>
      <c r="C12599" t="s">
        <v>20965</v>
      </c>
      <c r="D12599" t="s">
        <v>20974</v>
      </c>
      <c r="E12599" t="s">
        <v>20975</v>
      </c>
      <c r="F12599" t="s">
        <v>17351</v>
      </c>
      <c r="G12599" t="s">
        <v>47073</v>
      </c>
      <c r="H12599" t="s">
        <v>47071</v>
      </c>
      <c r="I12599" t="s">
        <v>47120</v>
      </c>
      <c r="J12599" t="s">
        <v>47121</v>
      </c>
      <c r="K12599" t="s">
        <v>47113</v>
      </c>
      <c r="L12599">
        <v>10.119999999999999</v>
      </c>
      <c r="M12599">
        <v>20</v>
      </c>
      <c r="N12599">
        <v>0</v>
      </c>
      <c r="O12599">
        <v>20</v>
      </c>
      <c r="P12599">
        <v>0</v>
      </c>
    </row>
    <row r="12600" spans="1:16" x14ac:dyDescent="0.25">
      <c r="A12600" t="s">
        <v>35240</v>
      </c>
      <c r="B12600" t="s">
        <v>20976</v>
      </c>
      <c r="C12600" t="s">
        <v>20977</v>
      </c>
      <c r="D12600" t="s">
        <v>14429</v>
      </c>
      <c r="E12600" t="s">
        <v>60</v>
      </c>
      <c r="F12600" t="s">
        <v>17351</v>
      </c>
      <c r="G12600" t="s">
        <v>47073</v>
      </c>
      <c r="H12600" t="s">
        <v>47071</v>
      </c>
      <c r="I12600" t="s">
        <v>47120</v>
      </c>
      <c r="J12600" t="s">
        <v>47121</v>
      </c>
      <c r="K12600" t="s">
        <v>47113</v>
      </c>
      <c r="L12600">
        <v>12.18</v>
      </c>
      <c r="M12600">
        <v>37</v>
      </c>
      <c r="N12600">
        <v>0</v>
      </c>
      <c r="O12600">
        <v>37</v>
      </c>
      <c r="P12600">
        <v>0</v>
      </c>
    </row>
    <row r="12601" spans="1:16" x14ac:dyDescent="0.25">
      <c r="A12601" t="s">
        <v>35241</v>
      </c>
      <c r="B12601" t="s">
        <v>20978</v>
      </c>
      <c r="C12601" t="s">
        <v>20979</v>
      </c>
      <c r="D12601" t="s">
        <v>15692</v>
      </c>
      <c r="E12601" t="s">
        <v>46</v>
      </c>
      <c r="F12601" t="s">
        <v>17351</v>
      </c>
      <c r="G12601" t="s">
        <v>47073</v>
      </c>
      <c r="H12601" t="s">
        <v>47071</v>
      </c>
      <c r="I12601" t="s">
        <v>47120</v>
      </c>
      <c r="J12601" t="s">
        <v>47121</v>
      </c>
      <c r="K12601" t="s">
        <v>47113</v>
      </c>
      <c r="L12601">
        <v>10.119999999999999</v>
      </c>
      <c r="M12601">
        <v>20</v>
      </c>
      <c r="N12601">
        <v>0</v>
      </c>
      <c r="O12601">
        <v>20</v>
      </c>
      <c r="P12601">
        <v>0</v>
      </c>
    </row>
    <row r="12602" spans="1:16" x14ac:dyDescent="0.25">
      <c r="A12602" t="s">
        <v>35242</v>
      </c>
      <c r="B12602" t="s">
        <v>20980</v>
      </c>
      <c r="C12602" t="s">
        <v>20981</v>
      </c>
      <c r="D12602" t="s">
        <v>15692</v>
      </c>
      <c r="E12602" t="s">
        <v>46</v>
      </c>
      <c r="F12602" t="s">
        <v>17351</v>
      </c>
      <c r="G12602" t="s">
        <v>47073</v>
      </c>
      <c r="H12602" t="s">
        <v>47071</v>
      </c>
      <c r="I12602" t="s">
        <v>47120</v>
      </c>
      <c r="J12602" t="s">
        <v>47121</v>
      </c>
      <c r="K12602" t="s">
        <v>47113</v>
      </c>
      <c r="L12602">
        <v>11.28</v>
      </c>
      <c r="M12602">
        <v>22</v>
      </c>
      <c r="N12602">
        <v>0</v>
      </c>
      <c r="O12602">
        <v>22</v>
      </c>
      <c r="P12602">
        <v>0</v>
      </c>
    </row>
    <row r="12603" spans="1:16" x14ac:dyDescent="0.25">
      <c r="A12603" t="s">
        <v>35243</v>
      </c>
      <c r="B12603" t="s">
        <v>20982</v>
      </c>
      <c r="C12603" t="s">
        <v>20983</v>
      </c>
      <c r="D12603" t="s">
        <v>20939</v>
      </c>
      <c r="E12603" t="s">
        <v>20940</v>
      </c>
      <c r="F12603" t="s">
        <v>17351</v>
      </c>
      <c r="G12603" t="s">
        <v>47138</v>
      </c>
      <c r="H12603" t="s">
        <v>47071</v>
      </c>
      <c r="I12603" t="s">
        <v>47120</v>
      </c>
      <c r="J12603" t="s">
        <v>47121</v>
      </c>
      <c r="K12603" t="s">
        <v>47113</v>
      </c>
      <c r="L12603">
        <v>22.83</v>
      </c>
      <c r="M12603">
        <v>45</v>
      </c>
      <c r="N12603">
        <v>0</v>
      </c>
      <c r="O12603">
        <v>45</v>
      </c>
      <c r="P12603">
        <v>0</v>
      </c>
    </row>
    <row r="12604" spans="1:16" x14ac:dyDescent="0.25">
      <c r="A12604" t="s">
        <v>35244</v>
      </c>
      <c r="B12604" t="s">
        <v>20984</v>
      </c>
      <c r="C12604" t="s">
        <v>20985</v>
      </c>
      <c r="D12604" t="s">
        <v>20986</v>
      </c>
      <c r="E12604" t="s">
        <v>20987</v>
      </c>
      <c r="F12604" t="s">
        <v>17351</v>
      </c>
      <c r="G12604" t="s">
        <v>47135</v>
      </c>
      <c r="H12604" t="s">
        <v>47071</v>
      </c>
      <c r="I12604" t="s">
        <v>47120</v>
      </c>
      <c r="J12604" t="s">
        <v>47121</v>
      </c>
      <c r="K12604" t="s">
        <v>47113</v>
      </c>
      <c r="L12604">
        <v>18.420000000000002</v>
      </c>
      <c r="M12604">
        <v>39</v>
      </c>
      <c r="N12604">
        <v>0</v>
      </c>
      <c r="O12604">
        <v>39</v>
      </c>
      <c r="P12604">
        <v>0</v>
      </c>
    </row>
    <row r="12605" spans="1:16" x14ac:dyDescent="0.25">
      <c r="A12605" t="s">
        <v>35245</v>
      </c>
      <c r="B12605" t="s">
        <v>20988</v>
      </c>
      <c r="C12605" t="s">
        <v>6697</v>
      </c>
      <c r="D12605" t="s">
        <v>15740</v>
      </c>
      <c r="E12605" t="s">
        <v>42</v>
      </c>
      <c r="F12605" t="s">
        <v>17351</v>
      </c>
      <c r="G12605" t="s">
        <v>47135</v>
      </c>
      <c r="H12605" t="s">
        <v>47071</v>
      </c>
      <c r="I12605" t="s">
        <v>47120</v>
      </c>
      <c r="J12605" t="s">
        <v>47121</v>
      </c>
      <c r="K12605" t="s">
        <v>47113</v>
      </c>
      <c r="L12605">
        <v>19.95</v>
      </c>
      <c r="M12605">
        <v>39</v>
      </c>
      <c r="N12605">
        <v>0</v>
      </c>
      <c r="O12605">
        <v>39</v>
      </c>
      <c r="P12605">
        <v>0</v>
      </c>
    </row>
    <row r="12606" spans="1:16" x14ac:dyDescent="0.25">
      <c r="A12606" t="s">
        <v>35246</v>
      </c>
      <c r="B12606" t="s">
        <v>20988</v>
      </c>
      <c r="C12606" t="s">
        <v>6697</v>
      </c>
      <c r="D12606" t="s">
        <v>20989</v>
      </c>
      <c r="E12606" t="s">
        <v>20990</v>
      </c>
      <c r="F12606" t="s">
        <v>17351</v>
      </c>
      <c r="G12606" t="s">
        <v>47135</v>
      </c>
      <c r="H12606" t="s">
        <v>47071</v>
      </c>
      <c r="I12606" t="s">
        <v>47120</v>
      </c>
      <c r="J12606" t="s">
        <v>47121</v>
      </c>
      <c r="K12606" t="s">
        <v>47113</v>
      </c>
      <c r="L12606">
        <v>19.95</v>
      </c>
      <c r="M12606">
        <v>39</v>
      </c>
      <c r="N12606">
        <v>0</v>
      </c>
      <c r="O12606">
        <v>39</v>
      </c>
      <c r="P12606">
        <v>0</v>
      </c>
    </row>
    <row r="12607" spans="1:16" x14ac:dyDescent="0.25">
      <c r="A12607" t="s">
        <v>35247</v>
      </c>
      <c r="B12607" t="s">
        <v>20991</v>
      </c>
      <c r="C12607" t="s">
        <v>20992</v>
      </c>
      <c r="D12607" t="s">
        <v>15651</v>
      </c>
      <c r="E12607" t="s">
        <v>15652</v>
      </c>
      <c r="F12607" t="s">
        <v>17351</v>
      </c>
      <c r="G12607" t="s">
        <v>47077</v>
      </c>
      <c r="H12607" t="s">
        <v>47071</v>
      </c>
      <c r="I12607" t="s">
        <v>47116</v>
      </c>
      <c r="J12607" t="s">
        <v>47117</v>
      </c>
      <c r="K12607" t="s">
        <v>47113</v>
      </c>
      <c r="L12607">
        <v>21.3</v>
      </c>
      <c r="M12607">
        <v>47</v>
      </c>
      <c r="N12607">
        <v>0</v>
      </c>
      <c r="O12607">
        <v>47</v>
      </c>
      <c r="P12607">
        <v>0</v>
      </c>
    </row>
    <row r="12608" spans="1:16" x14ac:dyDescent="0.25">
      <c r="A12608" t="s">
        <v>48516</v>
      </c>
      <c r="B12608" t="s">
        <v>48517</v>
      </c>
      <c r="C12608" t="s">
        <v>48518</v>
      </c>
      <c r="D12608" t="s">
        <v>35416</v>
      </c>
      <c r="E12608" t="s">
        <v>35417</v>
      </c>
      <c r="F12608" t="s">
        <v>47325</v>
      </c>
      <c r="G12608" t="s">
        <v>47075</v>
      </c>
      <c r="H12608" t="s">
        <v>47071</v>
      </c>
      <c r="I12608" t="s">
        <v>47120</v>
      </c>
      <c r="J12608" t="s">
        <v>47121</v>
      </c>
      <c r="K12608" t="s">
        <v>47113</v>
      </c>
      <c r="L12608">
        <v>16.28</v>
      </c>
      <c r="M12608">
        <v>56</v>
      </c>
      <c r="N12608">
        <v>139</v>
      </c>
      <c r="O12608">
        <v>56</v>
      </c>
      <c r="P12608">
        <v>139</v>
      </c>
    </row>
    <row r="12609" spans="1:16" x14ac:dyDescent="0.25">
      <c r="A12609" t="s">
        <v>48519</v>
      </c>
      <c r="B12609" t="s">
        <v>48520</v>
      </c>
      <c r="C12609" t="s">
        <v>48521</v>
      </c>
      <c r="D12609" t="s">
        <v>15740</v>
      </c>
      <c r="E12609" t="s">
        <v>42</v>
      </c>
      <c r="F12609" t="s">
        <v>47325</v>
      </c>
      <c r="G12609" t="s">
        <v>47075</v>
      </c>
      <c r="H12609" t="s">
        <v>47071</v>
      </c>
      <c r="I12609" t="s">
        <v>47120</v>
      </c>
      <c r="J12609" t="s">
        <v>47121</v>
      </c>
      <c r="K12609" t="s">
        <v>47113</v>
      </c>
      <c r="L12609">
        <v>20.12</v>
      </c>
      <c r="M12609">
        <v>56</v>
      </c>
      <c r="N12609">
        <v>139</v>
      </c>
      <c r="O12609">
        <v>56</v>
      </c>
      <c r="P12609">
        <v>139</v>
      </c>
    </row>
    <row r="12610" spans="1:16" x14ac:dyDescent="0.25">
      <c r="A12610" t="s">
        <v>48522</v>
      </c>
      <c r="B12610" t="s">
        <v>48523</v>
      </c>
      <c r="C12610" t="s">
        <v>48524</v>
      </c>
      <c r="D12610" t="s">
        <v>48525</v>
      </c>
      <c r="E12610" t="s">
        <v>48526</v>
      </c>
      <c r="F12610" t="s">
        <v>47325</v>
      </c>
      <c r="G12610" t="s">
        <v>47072</v>
      </c>
      <c r="H12610" t="s">
        <v>47071</v>
      </c>
      <c r="I12610" t="s">
        <v>47120</v>
      </c>
      <c r="J12610" t="s">
        <v>47121</v>
      </c>
      <c r="K12610" t="s">
        <v>47113</v>
      </c>
      <c r="L12610">
        <v>30.3</v>
      </c>
      <c r="M12610">
        <v>68</v>
      </c>
      <c r="N12610">
        <v>169</v>
      </c>
      <c r="O12610">
        <v>68</v>
      </c>
      <c r="P12610">
        <v>169</v>
      </c>
    </row>
    <row r="12611" spans="1:16" x14ac:dyDescent="0.25">
      <c r="A12611" t="s">
        <v>48527</v>
      </c>
      <c r="B12611" t="s">
        <v>48528</v>
      </c>
      <c r="C12611" t="s">
        <v>48524</v>
      </c>
      <c r="D12611" t="s">
        <v>20954</v>
      </c>
      <c r="E12611" t="s">
        <v>20955</v>
      </c>
      <c r="F12611" t="s">
        <v>47325</v>
      </c>
      <c r="G12611" t="s">
        <v>47072</v>
      </c>
      <c r="H12611" t="s">
        <v>47071</v>
      </c>
      <c r="I12611" t="s">
        <v>47120</v>
      </c>
      <c r="J12611" t="s">
        <v>47121</v>
      </c>
      <c r="K12611" t="s">
        <v>47113</v>
      </c>
      <c r="L12611">
        <v>30.3</v>
      </c>
      <c r="M12611">
        <v>68</v>
      </c>
      <c r="N12611">
        <v>169</v>
      </c>
      <c r="O12611">
        <v>68</v>
      </c>
      <c r="P12611">
        <v>169</v>
      </c>
    </row>
    <row r="12612" spans="1:16" x14ac:dyDescent="0.25">
      <c r="A12612" t="s">
        <v>48529</v>
      </c>
      <c r="B12612" t="s">
        <v>48530</v>
      </c>
      <c r="C12612" t="s">
        <v>48531</v>
      </c>
      <c r="D12612" t="s">
        <v>48532</v>
      </c>
      <c r="E12612" t="s">
        <v>48533</v>
      </c>
      <c r="F12612" t="s">
        <v>47325</v>
      </c>
      <c r="G12612" t="s">
        <v>47135</v>
      </c>
      <c r="H12612" t="s">
        <v>47071</v>
      </c>
      <c r="I12612" t="s">
        <v>47120</v>
      </c>
      <c r="J12612" t="s">
        <v>47121</v>
      </c>
      <c r="K12612" t="s">
        <v>47113</v>
      </c>
      <c r="L12612">
        <v>15.02</v>
      </c>
      <c r="M12612">
        <v>44</v>
      </c>
      <c r="N12612">
        <v>109</v>
      </c>
      <c r="O12612">
        <v>44</v>
      </c>
      <c r="P12612">
        <v>109</v>
      </c>
    </row>
    <row r="12613" spans="1:16" x14ac:dyDescent="0.25">
      <c r="A12613" t="s">
        <v>48534</v>
      </c>
      <c r="B12613" t="s">
        <v>48535</v>
      </c>
      <c r="C12613" t="s">
        <v>48536</v>
      </c>
      <c r="D12613" t="s">
        <v>48537</v>
      </c>
      <c r="E12613" t="s">
        <v>48538</v>
      </c>
      <c r="F12613" t="s">
        <v>47325</v>
      </c>
      <c r="G12613" t="s">
        <v>47135</v>
      </c>
      <c r="H12613" t="s">
        <v>47071</v>
      </c>
      <c r="I12613" t="s">
        <v>47120</v>
      </c>
      <c r="J12613" t="s">
        <v>47121</v>
      </c>
      <c r="K12613" t="s">
        <v>47113</v>
      </c>
      <c r="L12613">
        <v>17.559999999999999</v>
      </c>
      <c r="M12613">
        <v>44</v>
      </c>
      <c r="N12613">
        <v>109</v>
      </c>
      <c r="O12613">
        <v>44</v>
      </c>
      <c r="P12613">
        <v>109</v>
      </c>
    </row>
    <row r="12614" spans="1:16" x14ac:dyDescent="0.25">
      <c r="A12614" t="s">
        <v>48539</v>
      </c>
      <c r="B12614" t="s">
        <v>48540</v>
      </c>
      <c r="C12614" t="s">
        <v>48541</v>
      </c>
      <c r="D12614" t="s">
        <v>14429</v>
      </c>
      <c r="E12614" t="s">
        <v>60</v>
      </c>
      <c r="F12614" t="s">
        <v>47325</v>
      </c>
      <c r="G12614" t="s">
        <v>47079</v>
      </c>
      <c r="H12614" t="s">
        <v>47071</v>
      </c>
      <c r="I12614" t="s">
        <v>47120</v>
      </c>
      <c r="J12614" t="s">
        <v>47121</v>
      </c>
      <c r="K12614" t="s">
        <v>47113</v>
      </c>
      <c r="L12614">
        <v>15.02</v>
      </c>
      <c r="M12614">
        <v>32</v>
      </c>
      <c r="N12614">
        <v>79</v>
      </c>
      <c r="O12614">
        <v>32</v>
      </c>
      <c r="P12614">
        <v>79</v>
      </c>
    </row>
    <row r="12615" spans="1:16" x14ac:dyDescent="0.25">
      <c r="A12615" t="s">
        <v>48542</v>
      </c>
      <c r="B12615" t="s">
        <v>48543</v>
      </c>
      <c r="C12615" t="s">
        <v>48544</v>
      </c>
      <c r="D12615" t="s">
        <v>14429</v>
      </c>
      <c r="E12615" t="s">
        <v>60</v>
      </c>
      <c r="F12615" t="s">
        <v>47325</v>
      </c>
      <c r="G12615" t="s">
        <v>47073</v>
      </c>
      <c r="H12615" t="s">
        <v>47071</v>
      </c>
      <c r="I12615" t="s">
        <v>47120</v>
      </c>
      <c r="J12615" t="s">
        <v>47121</v>
      </c>
      <c r="K12615" t="s">
        <v>47113</v>
      </c>
      <c r="L12615">
        <v>6.89</v>
      </c>
      <c r="M12615">
        <v>28</v>
      </c>
      <c r="N12615">
        <v>69</v>
      </c>
      <c r="O12615">
        <v>28</v>
      </c>
      <c r="P12615">
        <v>69</v>
      </c>
    </row>
    <row r="12616" spans="1:16" x14ac:dyDescent="0.25">
      <c r="A12616" t="s">
        <v>48545</v>
      </c>
      <c r="B12616" t="s">
        <v>48546</v>
      </c>
      <c r="C12616" t="s">
        <v>48547</v>
      </c>
      <c r="D12616" t="s">
        <v>14429</v>
      </c>
      <c r="E12616" t="s">
        <v>60</v>
      </c>
      <c r="F12616" t="s">
        <v>47325</v>
      </c>
      <c r="G12616" t="s">
        <v>47073</v>
      </c>
      <c r="H12616" t="s">
        <v>47071</v>
      </c>
      <c r="I12616" t="s">
        <v>47120</v>
      </c>
      <c r="J12616" t="s">
        <v>47121</v>
      </c>
      <c r="K12616" t="s">
        <v>47113</v>
      </c>
      <c r="L12616">
        <v>6.89</v>
      </c>
      <c r="M12616">
        <v>28</v>
      </c>
      <c r="N12616">
        <v>69</v>
      </c>
      <c r="O12616">
        <v>28</v>
      </c>
      <c r="P12616">
        <v>69</v>
      </c>
    </row>
    <row r="12617" spans="1:16" x14ac:dyDescent="0.25">
      <c r="A12617" t="s">
        <v>48548</v>
      </c>
      <c r="B12617" t="s">
        <v>48549</v>
      </c>
      <c r="C12617" t="s">
        <v>20961</v>
      </c>
      <c r="D12617" t="s">
        <v>238</v>
      </c>
      <c r="E12617" t="s">
        <v>238</v>
      </c>
      <c r="F12617" t="s">
        <v>47325</v>
      </c>
      <c r="G12617" t="s">
        <v>47073</v>
      </c>
      <c r="H12617" t="s">
        <v>47071</v>
      </c>
      <c r="I12617" t="s">
        <v>47120</v>
      </c>
      <c r="J12617" t="s">
        <v>47121</v>
      </c>
      <c r="K12617" t="s">
        <v>47113</v>
      </c>
      <c r="L12617">
        <v>9.93</v>
      </c>
      <c r="M12617">
        <v>28</v>
      </c>
      <c r="N12617">
        <v>69</v>
      </c>
      <c r="O12617">
        <v>28</v>
      </c>
      <c r="P12617">
        <v>69</v>
      </c>
    </row>
    <row r="12618" spans="1:16" x14ac:dyDescent="0.25">
      <c r="A12618" t="s">
        <v>48550</v>
      </c>
      <c r="B12618" t="s">
        <v>48549</v>
      </c>
      <c r="C12618" t="s">
        <v>20961</v>
      </c>
      <c r="D12618" t="s">
        <v>35416</v>
      </c>
      <c r="E12618" t="s">
        <v>35417</v>
      </c>
      <c r="F12618" t="s">
        <v>47325</v>
      </c>
      <c r="G12618" t="s">
        <v>47073</v>
      </c>
      <c r="H12618" t="s">
        <v>47071</v>
      </c>
      <c r="I12618" t="s">
        <v>47120</v>
      </c>
      <c r="J12618" t="s">
        <v>47121</v>
      </c>
      <c r="K12618" t="s">
        <v>47113</v>
      </c>
      <c r="L12618">
        <v>9.93</v>
      </c>
      <c r="M12618">
        <v>28</v>
      </c>
      <c r="N12618">
        <v>69</v>
      </c>
      <c r="O12618">
        <v>28</v>
      </c>
      <c r="P12618">
        <v>69</v>
      </c>
    </row>
    <row r="12619" spans="1:16" x14ac:dyDescent="0.25">
      <c r="A12619" t="s">
        <v>48551</v>
      </c>
      <c r="B12619" t="s">
        <v>48552</v>
      </c>
      <c r="C12619" t="s">
        <v>158</v>
      </c>
      <c r="D12619" t="s">
        <v>14429</v>
      </c>
      <c r="E12619" t="s">
        <v>60</v>
      </c>
      <c r="F12619" t="s">
        <v>47325</v>
      </c>
      <c r="G12619" t="s">
        <v>47073</v>
      </c>
      <c r="H12619" t="s">
        <v>47071</v>
      </c>
      <c r="I12619" t="s">
        <v>47120</v>
      </c>
      <c r="J12619" t="s">
        <v>47121</v>
      </c>
      <c r="K12619" t="s">
        <v>47113</v>
      </c>
      <c r="L12619">
        <v>9.93</v>
      </c>
      <c r="M12619">
        <v>28</v>
      </c>
      <c r="N12619">
        <v>69</v>
      </c>
      <c r="O12619">
        <v>28</v>
      </c>
      <c r="P12619">
        <v>69</v>
      </c>
    </row>
    <row r="12620" spans="1:16" x14ac:dyDescent="0.25">
      <c r="A12620" t="s">
        <v>48553</v>
      </c>
      <c r="B12620" t="s">
        <v>48554</v>
      </c>
      <c r="C12620" t="s">
        <v>48555</v>
      </c>
      <c r="D12620" t="s">
        <v>14429</v>
      </c>
      <c r="E12620" t="s">
        <v>60</v>
      </c>
      <c r="F12620" t="s">
        <v>47325</v>
      </c>
      <c r="G12620" t="s">
        <v>47073</v>
      </c>
      <c r="H12620" t="s">
        <v>47071</v>
      </c>
      <c r="I12620" t="s">
        <v>47120</v>
      </c>
      <c r="J12620" t="s">
        <v>47121</v>
      </c>
      <c r="K12620" t="s">
        <v>47113</v>
      </c>
      <c r="L12620">
        <v>9.93</v>
      </c>
      <c r="M12620">
        <v>28</v>
      </c>
      <c r="N12620">
        <v>69</v>
      </c>
      <c r="O12620">
        <v>28</v>
      </c>
      <c r="P12620">
        <v>69</v>
      </c>
    </row>
    <row r="12621" spans="1:16" x14ac:dyDescent="0.25">
      <c r="A12621" t="s">
        <v>35248</v>
      </c>
      <c r="B12621" t="s">
        <v>35249</v>
      </c>
      <c r="C12621" t="s">
        <v>35250</v>
      </c>
      <c r="D12621" t="s">
        <v>35251</v>
      </c>
      <c r="E12621" t="s">
        <v>35252</v>
      </c>
      <c r="F12621" t="s">
        <v>3750</v>
      </c>
      <c r="G12621" t="s">
        <v>47072</v>
      </c>
      <c r="H12621" t="s">
        <v>47071</v>
      </c>
      <c r="I12621" t="s">
        <v>47120</v>
      </c>
      <c r="J12621" t="s">
        <v>47121</v>
      </c>
      <c r="K12621" t="s">
        <v>47113</v>
      </c>
      <c r="L12621">
        <v>18.22</v>
      </c>
      <c r="M12621">
        <v>68</v>
      </c>
      <c r="N12621">
        <v>169</v>
      </c>
      <c r="O12621">
        <v>68</v>
      </c>
      <c r="P12621">
        <v>169</v>
      </c>
    </row>
    <row r="12622" spans="1:16" x14ac:dyDescent="0.25">
      <c r="A12622" t="s">
        <v>35253</v>
      </c>
      <c r="B12622" t="s">
        <v>35254</v>
      </c>
      <c r="C12622" t="s">
        <v>18122</v>
      </c>
      <c r="D12622" t="s">
        <v>35255</v>
      </c>
      <c r="E12622" t="s">
        <v>35256</v>
      </c>
      <c r="F12622" t="s">
        <v>24019</v>
      </c>
      <c r="G12622" t="s">
        <v>47072</v>
      </c>
      <c r="H12622" t="s">
        <v>47071</v>
      </c>
      <c r="I12622" t="s">
        <v>47116</v>
      </c>
      <c r="J12622" t="s">
        <v>47117</v>
      </c>
      <c r="K12622" t="s">
        <v>47113</v>
      </c>
      <c r="L12622">
        <v>20.74</v>
      </c>
      <c r="M12622">
        <v>52</v>
      </c>
      <c r="N12622">
        <v>0</v>
      </c>
      <c r="O12622">
        <v>52</v>
      </c>
      <c r="P12622">
        <v>0</v>
      </c>
    </row>
    <row r="12623" spans="1:16" x14ac:dyDescent="0.25">
      <c r="A12623" t="s">
        <v>35257</v>
      </c>
      <c r="B12623" t="s">
        <v>35258</v>
      </c>
      <c r="C12623" t="s">
        <v>21005</v>
      </c>
      <c r="D12623" t="s">
        <v>9538</v>
      </c>
      <c r="E12623" t="s">
        <v>9539</v>
      </c>
      <c r="F12623" t="s">
        <v>24019</v>
      </c>
      <c r="G12623" t="s">
        <v>47072</v>
      </c>
      <c r="H12623" t="s">
        <v>47071</v>
      </c>
      <c r="I12623" t="s">
        <v>47116</v>
      </c>
      <c r="J12623" t="s">
        <v>47117</v>
      </c>
      <c r="K12623" t="s">
        <v>47113</v>
      </c>
      <c r="L12623">
        <v>33.869999999999997</v>
      </c>
      <c r="M12623">
        <v>80</v>
      </c>
      <c r="N12623">
        <v>0</v>
      </c>
      <c r="O12623">
        <v>80</v>
      </c>
      <c r="P12623">
        <v>0</v>
      </c>
    </row>
    <row r="12624" spans="1:16" x14ac:dyDescent="0.25">
      <c r="A12624" t="s">
        <v>35259</v>
      </c>
      <c r="B12624" t="s">
        <v>35260</v>
      </c>
      <c r="C12624" t="s">
        <v>35261</v>
      </c>
      <c r="D12624" t="s">
        <v>15716</v>
      </c>
      <c r="E12624" t="s">
        <v>15717</v>
      </c>
      <c r="F12624" t="s">
        <v>24019</v>
      </c>
      <c r="G12624" t="s">
        <v>47072</v>
      </c>
      <c r="H12624" t="s">
        <v>47071</v>
      </c>
      <c r="I12624" t="s">
        <v>47116</v>
      </c>
      <c r="J12624" t="s">
        <v>47117</v>
      </c>
      <c r="K12624" t="s">
        <v>47113</v>
      </c>
      <c r="L12624">
        <v>20.74</v>
      </c>
      <c r="M12624">
        <v>52</v>
      </c>
      <c r="N12624">
        <v>0</v>
      </c>
      <c r="O12624">
        <v>52</v>
      </c>
      <c r="P12624">
        <v>0</v>
      </c>
    </row>
    <row r="12625" spans="1:16" x14ac:dyDescent="0.25">
      <c r="A12625" t="s">
        <v>35262</v>
      </c>
      <c r="B12625" t="s">
        <v>35263</v>
      </c>
      <c r="C12625" t="s">
        <v>35264</v>
      </c>
      <c r="D12625" t="s">
        <v>9579</v>
      </c>
      <c r="E12625" t="s">
        <v>35265</v>
      </c>
      <c r="F12625" t="s">
        <v>3750</v>
      </c>
      <c r="G12625" t="s">
        <v>47072</v>
      </c>
      <c r="H12625" t="s">
        <v>47071</v>
      </c>
      <c r="I12625" t="s">
        <v>47116</v>
      </c>
      <c r="J12625" t="s">
        <v>47117</v>
      </c>
      <c r="K12625" t="s">
        <v>47113</v>
      </c>
      <c r="L12625">
        <v>14.85</v>
      </c>
      <c r="M12625">
        <v>64</v>
      </c>
      <c r="N12625">
        <v>159</v>
      </c>
      <c r="O12625">
        <v>64</v>
      </c>
      <c r="P12625">
        <v>159</v>
      </c>
    </row>
    <row r="12626" spans="1:16" x14ac:dyDescent="0.25">
      <c r="A12626" t="s">
        <v>35266</v>
      </c>
      <c r="B12626" t="s">
        <v>35267</v>
      </c>
      <c r="C12626" t="s">
        <v>35268</v>
      </c>
      <c r="D12626" t="s">
        <v>35269</v>
      </c>
      <c r="E12626" t="s">
        <v>9586</v>
      </c>
      <c r="F12626" t="s">
        <v>24019</v>
      </c>
      <c r="G12626" t="s">
        <v>47077</v>
      </c>
      <c r="H12626" t="s">
        <v>47071</v>
      </c>
      <c r="I12626" t="s">
        <v>47120</v>
      </c>
      <c r="J12626" t="s">
        <v>47121</v>
      </c>
      <c r="K12626" t="s">
        <v>47113</v>
      </c>
      <c r="L12626">
        <v>22.23</v>
      </c>
      <c r="M12626">
        <v>44</v>
      </c>
      <c r="N12626">
        <v>0</v>
      </c>
      <c r="O12626">
        <v>44</v>
      </c>
      <c r="P12626">
        <v>0</v>
      </c>
    </row>
    <row r="12627" spans="1:16" x14ac:dyDescent="0.25">
      <c r="A12627" t="s">
        <v>35270</v>
      </c>
      <c r="B12627" t="s">
        <v>35267</v>
      </c>
      <c r="C12627" t="s">
        <v>35268</v>
      </c>
      <c r="D12627" t="s">
        <v>9587</v>
      </c>
      <c r="E12627" t="s">
        <v>9588</v>
      </c>
      <c r="F12627" t="s">
        <v>24019</v>
      </c>
      <c r="G12627" t="s">
        <v>47077</v>
      </c>
      <c r="H12627" t="s">
        <v>47071</v>
      </c>
      <c r="I12627" t="s">
        <v>47120</v>
      </c>
      <c r="J12627" t="s">
        <v>47121</v>
      </c>
      <c r="K12627" t="s">
        <v>47113</v>
      </c>
      <c r="L12627">
        <v>22.23</v>
      </c>
      <c r="M12627">
        <v>44</v>
      </c>
      <c r="N12627">
        <v>0</v>
      </c>
      <c r="O12627">
        <v>44</v>
      </c>
      <c r="P12627">
        <v>0</v>
      </c>
    </row>
    <row r="12628" spans="1:16" x14ac:dyDescent="0.25">
      <c r="A12628" t="s">
        <v>35271</v>
      </c>
      <c r="B12628" t="s">
        <v>35267</v>
      </c>
      <c r="C12628" t="s">
        <v>35268</v>
      </c>
      <c r="D12628" t="s">
        <v>18095</v>
      </c>
      <c r="E12628" t="s">
        <v>18096</v>
      </c>
      <c r="F12628" t="s">
        <v>24019</v>
      </c>
      <c r="G12628" t="s">
        <v>47077</v>
      </c>
      <c r="H12628" t="s">
        <v>47071</v>
      </c>
      <c r="I12628" t="s">
        <v>47120</v>
      </c>
      <c r="J12628" t="s">
        <v>47121</v>
      </c>
      <c r="K12628" t="s">
        <v>47113</v>
      </c>
      <c r="L12628">
        <v>22.23</v>
      </c>
      <c r="M12628">
        <v>44</v>
      </c>
      <c r="N12628">
        <v>0</v>
      </c>
      <c r="O12628">
        <v>44</v>
      </c>
      <c r="P12628">
        <v>0</v>
      </c>
    </row>
    <row r="12629" spans="1:16" x14ac:dyDescent="0.25">
      <c r="A12629" t="s">
        <v>22548</v>
      </c>
      <c r="B12629" t="s">
        <v>20993</v>
      </c>
      <c r="C12629" t="s">
        <v>20994</v>
      </c>
      <c r="D12629" t="s">
        <v>15734</v>
      </c>
      <c r="E12629" t="s">
        <v>15735</v>
      </c>
      <c r="F12629" t="s">
        <v>20053</v>
      </c>
      <c r="G12629" t="s">
        <v>47075</v>
      </c>
      <c r="H12629" t="s">
        <v>47071</v>
      </c>
      <c r="I12629" t="s">
        <v>47120</v>
      </c>
      <c r="J12629" t="s">
        <v>47121</v>
      </c>
      <c r="K12629" t="s">
        <v>47113</v>
      </c>
      <c r="L12629">
        <v>22.83</v>
      </c>
      <c r="M12629">
        <v>44</v>
      </c>
      <c r="N12629">
        <v>0</v>
      </c>
      <c r="O12629">
        <v>44</v>
      </c>
      <c r="P12629">
        <v>0</v>
      </c>
    </row>
    <row r="12630" spans="1:16" x14ac:dyDescent="0.25">
      <c r="A12630" t="s">
        <v>35272</v>
      </c>
      <c r="B12630" t="s">
        <v>35273</v>
      </c>
      <c r="C12630" t="s">
        <v>35274</v>
      </c>
      <c r="D12630" t="s">
        <v>15692</v>
      </c>
      <c r="E12630" t="s">
        <v>46</v>
      </c>
      <c r="F12630" t="s">
        <v>20053</v>
      </c>
      <c r="G12630" t="s">
        <v>47075</v>
      </c>
      <c r="H12630" t="s">
        <v>47071</v>
      </c>
      <c r="I12630" t="s">
        <v>47120</v>
      </c>
      <c r="J12630" t="s">
        <v>47121</v>
      </c>
      <c r="K12630" t="s">
        <v>47113</v>
      </c>
      <c r="L12630">
        <v>15.96</v>
      </c>
      <c r="M12630">
        <v>40</v>
      </c>
      <c r="N12630">
        <v>0</v>
      </c>
      <c r="O12630">
        <v>40</v>
      </c>
      <c r="P12630">
        <v>0</v>
      </c>
    </row>
    <row r="12631" spans="1:16" x14ac:dyDescent="0.25">
      <c r="A12631" t="s">
        <v>35275</v>
      </c>
      <c r="B12631" t="s">
        <v>20995</v>
      </c>
      <c r="C12631" t="s">
        <v>20996</v>
      </c>
      <c r="D12631" t="s">
        <v>20997</v>
      </c>
      <c r="E12631" t="s">
        <v>20998</v>
      </c>
      <c r="F12631" t="s">
        <v>20053</v>
      </c>
      <c r="G12631" t="s">
        <v>47075</v>
      </c>
      <c r="H12631" t="s">
        <v>47071</v>
      </c>
      <c r="I12631" t="s">
        <v>47120</v>
      </c>
      <c r="J12631" t="s">
        <v>47121</v>
      </c>
      <c r="K12631" t="s">
        <v>47113</v>
      </c>
      <c r="L12631">
        <v>22.83</v>
      </c>
      <c r="M12631">
        <v>44</v>
      </c>
      <c r="N12631">
        <v>0</v>
      </c>
      <c r="O12631">
        <v>44</v>
      </c>
      <c r="P12631">
        <v>0</v>
      </c>
    </row>
    <row r="12632" spans="1:16" x14ac:dyDescent="0.25">
      <c r="A12632" t="s">
        <v>35276</v>
      </c>
      <c r="B12632" t="s">
        <v>35277</v>
      </c>
      <c r="C12632" t="s">
        <v>35278</v>
      </c>
      <c r="D12632" t="s">
        <v>238</v>
      </c>
      <c r="E12632" t="s">
        <v>238</v>
      </c>
      <c r="F12632" t="s">
        <v>20053</v>
      </c>
      <c r="G12632" t="s">
        <v>47075</v>
      </c>
      <c r="H12632" t="s">
        <v>47071</v>
      </c>
      <c r="I12632" t="s">
        <v>47120</v>
      </c>
      <c r="J12632" t="s">
        <v>47121</v>
      </c>
      <c r="K12632" t="s">
        <v>47113</v>
      </c>
      <c r="L12632">
        <v>15.96</v>
      </c>
      <c r="M12632">
        <v>40</v>
      </c>
      <c r="N12632">
        <v>0</v>
      </c>
      <c r="O12632">
        <v>40</v>
      </c>
      <c r="P12632">
        <v>0</v>
      </c>
    </row>
    <row r="12633" spans="1:16" x14ac:dyDescent="0.25">
      <c r="A12633" t="s">
        <v>35279</v>
      </c>
      <c r="B12633" t="s">
        <v>20999</v>
      </c>
      <c r="C12633" t="s">
        <v>21000</v>
      </c>
      <c r="D12633" t="s">
        <v>15692</v>
      </c>
      <c r="E12633" t="s">
        <v>46</v>
      </c>
      <c r="F12633" t="s">
        <v>20053</v>
      </c>
      <c r="G12633" t="s">
        <v>47076</v>
      </c>
      <c r="H12633" t="s">
        <v>47071</v>
      </c>
      <c r="I12633" t="s">
        <v>47120</v>
      </c>
      <c r="J12633" t="s">
        <v>47121</v>
      </c>
      <c r="K12633" t="s">
        <v>47113</v>
      </c>
      <c r="L12633">
        <v>36.450000000000003</v>
      </c>
      <c r="M12633">
        <v>24</v>
      </c>
      <c r="N12633">
        <v>0</v>
      </c>
      <c r="O12633">
        <v>24</v>
      </c>
      <c r="P12633">
        <v>0</v>
      </c>
    </row>
    <row r="12634" spans="1:16" x14ac:dyDescent="0.25">
      <c r="A12634" t="s">
        <v>35280</v>
      </c>
      <c r="B12634" t="s">
        <v>20999</v>
      </c>
      <c r="C12634" t="s">
        <v>21000</v>
      </c>
      <c r="D12634" t="s">
        <v>15651</v>
      </c>
      <c r="E12634" t="s">
        <v>15652</v>
      </c>
      <c r="F12634" t="s">
        <v>20053</v>
      </c>
      <c r="G12634" t="s">
        <v>47076</v>
      </c>
      <c r="H12634" t="s">
        <v>47071</v>
      </c>
      <c r="I12634" t="s">
        <v>47120</v>
      </c>
      <c r="J12634" t="s">
        <v>47121</v>
      </c>
      <c r="K12634" t="s">
        <v>47113</v>
      </c>
      <c r="L12634">
        <v>11.28</v>
      </c>
      <c r="M12634">
        <v>24</v>
      </c>
      <c r="N12634">
        <v>0</v>
      </c>
      <c r="O12634">
        <v>24</v>
      </c>
      <c r="P12634">
        <v>0</v>
      </c>
    </row>
    <row r="12635" spans="1:16" x14ac:dyDescent="0.25">
      <c r="A12635" t="s">
        <v>35281</v>
      </c>
      <c r="B12635" t="s">
        <v>21001</v>
      </c>
      <c r="C12635" t="s">
        <v>21002</v>
      </c>
      <c r="D12635" t="s">
        <v>18545</v>
      </c>
      <c r="E12635" t="s">
        <v>21003</v>
      </c>
      <c r="F12635" t="s">
        <v>20053</v>
      </c>
      <c r="G12635" t="s">
        <v>47076</v>
      </c>
      <c r="H12635" t="s">
        <v>47071</v>
      </c>
      <c r="I12635" t="s">
        <v>47120</v>
      </c>
      <c r="J12635" t="s">
        <v>47121</v>
      </c>
      <c r="K12635" t="s">
        <v>47113</v>
      </c>
      <c r="L12635">
        <v>28.62</v>
      </c>
      <c r="M12635">
        <v>52</v>
      </c>
      <c r="N12635">
        <v>0</v>
      </c>
      <c r="O12635">
        <v>52</v>
      </c>
      <c r="P12635">
        <v>0</v>
      </c>
    </row>
    <row r="12636" spans="1:16" x14ac:dyDescent="0.25">
      <c r="A12636" t="s">
        <v>22549</v>
      </c>
      <c r="B12636" t="s">
        <v>21004</v>
      </c>
      <c r="C12636" t="s">
        <v>21005</v>
      </c>
      <c r="D12636" t="s">
        <v>21006</v>
      </c>
      <c r="E12636" t="s">
        <v>21007</v>
      </c>
      <c r="F12636" t="s">
        <v>20053</v>
      </c>
      <c r="G12636" t="s">
        <v>47072</v>
      </c>
      <c r="H12636" t="s">
        <v>47071</v>
      </c>
      <c r="I12636" t="s">
        <v>47116</v>
      </c>
      <c r="J12636" t="s">
        <v>47117</v>
      </c>
      <c r="K12636" t="s">
        <v>47113</v>
      </c>
      <c r="L12636">
        <v>34.79</v>
      </c>
      <c r="M12636">
        <v>80</v>
      </c>
      <c r="N12636">
        <v>0</v>
      </c>
      <c r="O12636">
        <v>80</v>
      </c>
      <c r="P12636">
        <v>0</v>
      </c>
    </row>
    <row r="12637" spans="1:16" x14ac:dyDescent="0.25">
      <c r="A12637" t="s">
        <v>35282</v>
      </c>
      <c r="B12637" t="s">
        <v>21008</v>
      </c>
      <c r="C12637" t="s">
        <v>18122</v>
      </c>
      <c r="D12637" t="s">
        <v>9476</v>
      </c>
      <c r="E12637" t="s">
        <v>9477</v>
      </c>
      <c r="F12637" t="s">
        <v>20053</v>
      </c>
      <c r="G12637" t="s">
        <v>47072</v>
      </c>
      <c r="H12637" t="s">
        <v>47071</v>
      </c>
      <c r="I12637" t="s">
        <v>47116</v>
      </c>
      <c r="J12637" t="s">
        <v>47117</v>
      </c>
      <c r="K12637" t="s">
        <v>47113</v>
      </c>
      <c r="L12637">
        <v>21.31</v>
      </c>
      <c r="M12637">
        <v>52</v>
      </c>
      <c r="N12637">
        <v>0</v>
      </c>
      <c r="O12637">
        <v>52</v>
      </c>
      <c r="P12637">
        <v>0</v>
      </c>
    </row>
    <row r="12638" spans="1:16" x14ac:dyDescent="0.25">
      <c r="A12638" t="s">
        <v>35283</v>
      </c>
      <c r="B12638" t="s">
        <v>21008</v>
      </c>
      <c r="C12638" t="s">
        <v>18122</v>
      </c>
      <c r="D12638" t="s">
        <v>21009</v>
      </c>
      <c r="E12638" t="s">
        <v>21010</v>
      </c>
      <c r="F12638" t="s">
        <v>20053</v>
      </c>
      <c r="G12638" t="s">
        <v>47072</v>
      </c>
      <c r="H12638" t="s">
        <v>47071</v>
      </c>
      <c r="I12638" t="s">
        <v>47116</v>
      </c>
      <c r="J12638" t="s">
        <v>47117</v>
      </c>
      <c r="K12638" t="s">
        <v>47113</v>
      </c>
      <c r="L12638">
        <v>21.31</v>
      </c>
      <c r="M12638">
        <v>52</v>
      </c>
      <c r="N12638">
        <v>0</v>
      </c>
      <c r="O12638">
        <v>52</v>
      </c>
      <c r="P12638">
        <v>0</v>
      </c>
    </row>
    <row r="12639" spans="1:16" x14ac:dyDescent="0.25">
      <c r="A12639" t="s">
        <v>22550</v>
      </c>
      <c r="B12639" t="s">
        <v>21008</v>
      </c>
      <c r="C12639" t="s">
        <v>18122</v>
      </c>
      <c r="D12639" t="s">
        <v>21011</v>
      </c>
      <c r="E12639" t="s">
        <v>21012</v>
      </c>
      <c r="F12639" t="s">
        <v>20053</v>
      </c>
      <c r="G12639" t="s">
        <v>47072</v>
      </c>
      <c r="H12639" t="s">
        <v>47071</v>
      </c>
      <c r="I12639" t="s">
        <v>47116</v>
      </c>
      <c r="J12639" t="s">
        <v>47117</v>
      </c>
      <c r="K12639" t="s">
        <v>47113</v>
      </c>
      <c r="L12639">
        <v>21.31</v>
      </c>
      <c r="M12639">
        <v>52</v>
      </c>
      <c r="N12639">
        <v>0</v>
      </c>
      <c r="O12639">
        <v>52</v>
      </c>
      <c r="P12639">
        <v>0</v>
      </c>
    </row>
    <row r="12640" spans="1:16" x14ac:dyDescent="0.25">
      <c r="A12640" t="s">
        <v>35284</v>
      </c>
      <c r="B12640" t="s">
        <v>21013</v>
      </c>
      <c r="C12640" t="s">
        <v>21014</v>
      </c>
      <c r="D12640" t="s">
        <v>21015</v>
      </c>
      <c r="E12640" t="s">
        <v>21016</v>
      </c>
      <c r="F12640" t="s">
        <v>20053</v>
      </c>
      <c r="G12640" t="s">
        <v>47072</v>
      </c>
      <c r="H12640" t="s">
        <v>47071</v>
      </c>
      <c r="I12640" t="s">
        <v>47116</v>
      </c>
      <c r="J12640" t="s">
        <v>47117</v>
      </c>
      <c r="K12640" t="s">
        <v>47113</v>
      </c>
      <c r="L12640">
        <v>39.89</v>
      </c>
      <c r="M12640">
        <v>80</v>
      </c>
      <c r="N12640">
        <v>0</v>
      </c>
      <c r="O12640">
        <v>80</v>
      </c>
      <c r="P12640">
        <v>0</v>
      </c>
    </row>
    <row r="12641" spans="1:16" x14ac:dyDescent="0.25">
      <c r="A12641" t="s">
        <v>35285</v>
      </c>
      <c r="B12641" t="s">
        <v>21017</v>
      </c>
      <c r="C12641" t="s">
        <v>18122</v>
      </c>
      <c r="D12641" t="s">
        <v>21018</v>
      </c>
      <c r="E12641" t="s">
        <v>21019</v>
      </c>
      <c r="F12641" t="s">
        <v>20053</v>
      </c>
      <c r="G12641" t="s">
        <v>47072</v>
      </c>
      <c r="H12641" t="s">
        <v>47071</v>
      </c>
      <c r="I12641" t="s">
        <v>47116</v>
      </c>
      <c r="J12641" t="s">
        <v>47117</v>
      </c>
      <c r="K12641" t="s">
        <v>47113</v>
      </c>
      <c r="L12641">
        <v>21.11</v>
      </c>
      <c r="M12641">
        <v>52</v>
      </c>
      <c r="N12641">
        <v>0</v>
      </c>
      <c r="O12641">
        <v>52</v>
      </c>
      <c r="P12641">
        <v>0</v>
      </c>
    </row>
    <row r="12642" spans="1:16" x14ac:dyDescent="0.25">
      <c r="A12642" t="s">
        <v>35286</v>
      </c>
      <c r="B12642" t="s">
        <v>21020</v>
      </c>
      <c r="C12642" t="s">
        <v>18122</v>
      </c>
      <c r="D12642" t="s">
        <v>21021</v>
      </c>
      <c r="E12642" t="s">
        <v>21022</v>
      </c>
      <c r="F12642" t="s">
        <v>20053</v>
      </c>
      <c r="G12642" t="s">
        <v>47072</v>
      </c>
      <c r="H12642" t="s">
        <v>47071</v>
      </c>
      <c r="I12642" t="s">
        <v>47116</v>
      </c>
      <c r="J12642" t="s">
        <v>47117</v>
      </c>
      <c r="K12642" t="s">
        <v>47113</v>
      </c>
      <c r="L12642">
        <v>21.31</v>
      </c>
      <c r="M12642">
        <v>52</v>
      </c>
      <c r="N12642">
        <v>0</v>
      </c>
      <c r="O12642">
        <v>52</v>
      </c>
      <c r="P12642">
        <v>0</v>
      </c>
    </row>
    <row r="12643" spans="1:16" x14ac:dyDescent="0.25">
      <c r="A12643" t="s">
        <v>35287</v>
      </c>
      <c r="B12643" t="s">
        <v>21020</v>
      </c>
      <c r="C12643" t="s">
        <v>18122</v>
      </c>
      <c r="D12643" t="s">
        <v>35288</v>
      </c>
      <c r="E12643" t="s">
        <v>35289</v>
      </c>
      <c r="F12643" t="s">
        <v>20053</v>
      </c>
      <c r="G12643" t="s">
        <v>47072</v>
      </c>
      <c r="H12643" t="s">
        <v>47071</v>
      </c>
      <c r="I12643" t="s">
        <v>47116</v>
      </c>
      <c r="J12643" t="s">
        <v>47117</v>
      </c>
      <c r="K12643" t="s">
        <v>47113</v>
      </c>
      <c r="L12643">
        <v>21.31</v>
      </c>
      <c r="M12643">
        <v>52</v>
      </c>
      <c r="N12643">
        <v>0</v>
      </c>
      <c r="O12643">
        <v>52</v>
      </c>
      <c r="P12643">
        <v>0</v>
      </c>
    </row>
    <row r="12644" spans="1:16" x14ac:dyDescent="0.25">
      <c r="A12644" t="s">
        <v>35290</v>
      </c>
      <c r="B12644" t="s">
        <v>35291</v>
      </c>
      <c r="C12644" t="s">
        <v>35292</v>
      </c>
      <c r="D12644" t="s">
        <v>35293</v>
      </c>
      <c r="E12644" t="s">
        <v>35294</v>
      </c>
      <c r="F12644" t="s">
        <v>20053</v>
      </c>
      <c r="G12644" t="s">
        <v>47072</v>
      </c>
      <c r="H12644" t="s">
        <v>47071</v>
      </c>
      <c r="I12644" t="s">
        <v>47116</v>
      </c>
      <c r="J12644" t="s">
        <v>47117</v>
      </c>
      <c r="K12644" t="s">
        <v>47113</v>
      </c>
      <c r="L12644">
        <v>18.260000000000002</v>
      </c>
      <c r="M12644">
        <v>49</v>
      </c>
      <c r="N12644">
        <v>0</v>
      </c>
      <c r="O12644">
        <v>49</v>
      </c>
      <c r="P12644">
        <v>0</v>
      </c>
    </row>
    <row r="12645" spans="1:16" x14ac:dyDescent="0.25">
      <c r="A12645" t="s">
        <v>35295</v>
      </c>
      <c r="B12645" t="s">
        <v>35296</v>
      </c>
      <c r="C12645" t="s">
        <v>35292</v>
      </c>
      <c r="D12645" t="s">
        <v>18055</v>
      </c>
      <c r="E12645" t="s">
        <v>18056</v>
      </c>
      <c r="F12645" t="s">
        <v>20053</v>
      </c>
      <c r="G12645" t="s">
        <v>47072</v>
      </c>
      <c r="H12645" t="s">
        <v>47071</v>
      </c>
      <c r="I12645" t="s">
        <v>47116</v>
      </c>
      <c r="J12645" t="s">
        <v>47117</v>
      </c>
      <c r="K12645" t="s">
        <v>47113</v>
      </c>
      <c r="L12645">
        <v>18.260000000000002</v>
      </c>
      <c r="M12645">
        <v>49</v>
      </c>
      <c r="N12645">
        <v>0</v>
      </c>
      <c r="O12645">
        <v>49</v>
      </c>
      <c r="P12645">
        <v>0</v>
      </c>
    </row>
    <row r="12646" spans="1:16" x14ac:dyDescent="0.25">
      <c r="A12646" t="s">
        <v>35297</v>
      </c>
      <c r="B12646" t="s">
        <v>35298</v>
      </c>
      <c r="C12646" t="s">
        <v>35299</v>
      </c>
      <c r="D12646" t="s">
        <v>20954</v>
      </c>
      <c r="E12646" t="s">
        <v>20955</v>
      </c>
      <c r="F12646" t="s">
        <v>20053</v>
      </c>
      <c r="G12646" t="s">
        <v>47072</v>
      </c>
      <c r="H12646" t="s">
        <v>47071</v>
      </c>
      <c r="I12646" t="s">
        <v>47116</v>
      </c>
      <c r="J12646" t="s">
        <v>47117</v>
      </c>
      <c r="K12646" t="s">
        <v>47113</v>
      </c>
      <c r="L12646">
        <v>14.87</v>
      </c>
      <c r="M12646">
        <v>35</v>
      </c>
      <c r="N12646">
        <v>0</v>
      </c>
      <c r="O12646">
        <v>35</v>
      </c>
      <c r="P12646">
        <v>0</v>
      </c>
    </row>
    <row r="12647" spans="1:16" x14ac:dyDescent="0.25">
      <c r="A12647" t="s">
        <v>35300</v>
      </c>
      <c r="B12647" t="s">
        <v>35301</v>
      </c>
      <c r="C12647" t="s">
        <v>35292</v>
      </c>
      <c r="D12647" t="s">
        <v>35302</v>
      </c>
      <c r="E12647" t="s">
        <v>35303</v>
      </c>
      <c r="F12647" t="s">
        <v>20053</v>
      </c>
      <c r="G12647" t="s">
        <v>47072</v>
      </c>
      <c r="H12647" t="s">
        <v>47071</v>
      </c>
      <c r="I12647" t="s">
        <v>47116</v>
      </c>
      <c r="J12647" t="s">
        <v>47117</v>
      </c>
      <c r="K12647" t="s">
        <v>47113</v>
      </c>
      <c r="L12647">
        <v>18.260000000000002</v>
      </c>
      <c r="M12647">
        <v>53</v>
      </c>
      <c r="N12647">
        <v>0</v>
      </c>
      <c r="O12647">
        <v>53</v>
      </c>
      <c r="P12647">
        <v>0</v>
      </c>
    </row>
    <row r="12648" spans="1:16" x14ac:dyDescent="0.25">
      <c r="A12648" t="s">
        <v>35304</v>
      </c>
      <c r="B12648" t="s">
        <v>35305</v>
      </c>
      <c r="C12648" t="s">
        <v>35306</v>
      </c>
      <c r="D12648" t="s">
        <v>35307</v>
      </c>
      <c r="E12648" t="s">
        <v>35308</v>
      </c>
      <c r="F12648" t="s">
        <v>20053</v>
      </c>
      <c r="G12648" t="s">
        <v>47072</v>
      </c>
      <c r="H12648" t="s">
        <v>47071</v>
      </c>
      <c r="I12648" t="s">
        <v>47116</v>
      </c>
      <c r="J12648" t="s">
        <v>47117</v>
      </c>
      <c r="K12648" t="s">
        <v>47113</v>
      </c>
      <c r="L12648">
        <v>18.260000000000002</v>
      </c>
      <c r="M12648">
        <v>49</v>
      </c>
      <c r="N12648">
        <v>0</v>
      </c>
      <c r="O12648">
        <v>49</v>
      </c>
      <c r="P12648">
        <v>0</v>
      </c>
    </row>
    <row r="12649" spans="1:16" x14ac:dyDescent="0.25">
      <c r="A12649" t="s">
        <v>35309</v>
      </c>
      <c r="B12649" t="s">
        <v>21023</v>
      </c>
      <c r="C12649" t="s">
        <v>35310</v>
      </c>
      <c r="D12649" t="s">
        <v>21024</v>
      </c>
      <c r="E12649" t="s">
        <v>21025</v>
      </c>
      <c r="F12649" t="s">
        <v>20053</v>
      </c>
      <c r="G12649" t="s">
        <v>47072</v>
      </c>
      <c r="H12649" t="s">
        <v>47071</v>
      </c>
      <c r="I12649" t="s">
        <v>47116</v>
      </c>
      <c r="J12649" t="s">
        <v>47117</v>
      </c>
      <c r="K12649" t="s">
        <v>47113</v>
      </c>
      <c r="L12649">
        <v>21.31</v>
      </c>
      <c r="M12649">
        <v>52</v>
      </c>
      <c r="N12649">
        <v>0</v>
      </c>
      <c r="O12649">
        <v>52</v>
      </c>
      <c r="P12649">
        <v>0</v>
      </c>
    </row>
    <row r="12650" spans="1:16" x14ac:dyDescent="0.25">
      <c r="A12650" t="s">
        <v>35311</v>
      </c>
      <c r="B12650" t="s">
        <v>21026</v>
      </c>
      <c r="C12650" t="s">
        <v>18122</v>
      </c>
      <c r="D12650" t="s">
        <v>18545</v>
      </c>
      <c r="E12650" t="s">
        <v>21027</v>
      </c>
      <c r="F12650" t="s">
        <v>20053</v>
      </c>
      <c r="G12650" t="s">
        <v>47072</v>
      </c>
      <c r="H12650" t="s">
        <v>47071</v>
      </c>
      <c r="I12650" t="s">
        <v>47116</v>
      </c>
      <c r="J12650" t="s">
        <v>47117</v>
      </c>
      <c r="K12650" t="s">
        <v>47113</v>
      </c>
      <c r="L12650">
        <v>21.31</v>
      </c>
      <c r="M12650">
        <v>52</v>
      </c>
      <c r="N12650">
        <v>0</v>
      </c>
      <c r="O12650">
        <v>52</v>
      </c>
      <c r="P12650">
        <v>0</v>
      </c>
    </row>
    <row r="12651" spans="1:16" x14ac:dyDescent="0.25">
      <c r="A12651" t="s">
        <v>35312</v>
      </c>
      <c r="B12651" t="s">
        <v>35313</v>
      </c>
      <c r="C12651" t="s">
        <v>35314</v>
      </c>
      <c r="D12651" t="s">
        <v>35315</v>
      </c>
      <c r="E12651" t="s">
        <v>35316</v>
      </c>
      <c r="F12651" t="s">
        <v>20053</v>
      </c>
      <c r="G12651" t="s">
        <v>47072</v>
      </c>
      <c r="H12651" t="s">
        <v>47071</v>
      </c>
      <c r="I12651" t="s">
        <v>47116</v>
      </c>
      <c r="J12651" t="s">
        <v>47117</v>
      </c>
      <c r="K12651" t="s">
        <v>47113</v>
      </c>
      <c r="L12651">
        <v>14.87</v>
      </c>
      <c r="M12651">
        <v>34</v>
      </c>
      <c r="N12651">
        <v>0</v>
      </c>
      <c r="O12651">
        <v>34</v>
      </c>
      <c r="P12651">
        <v>0</v>
      </c>
    </row>
    <row r="12652" spans="1:16" x14ac:dyDescent="0.25">
      <c r="A12652" t="s">
        <v>35317</v>
      </c>
      <c r="B12652" t="s">
        <v>35318</v>
      </c>
      <c r="C12652" t="s">
        <v>35319</v>
      </c>
      <c r="D12652" t="s">
        <v>35320</v>
      </c>
      <c r="E12652" t="s">
        <v>35321</v>
      </c>
      <c r="F12652" t="s">
        <v>20053</v>
      </c>
      <c r="G12652" t="s">
        <v>47072</v>
      </c>
      <c r="H12652" t="s">
        <v>47071</v>
      </c>
      <c r="I12652" t="s">
        <v>47116</v>
      </c>
      <c r="J12652" t="s">
        <v>47117</v>
      </c>
      <c r="K12652" t="s">
        <v>47113</v>
      </c>
      <c r="L12652">
        <v>14.87</v>
      </c>
      <c r="M12652">
        <v>34</v>
      </c>
      <c r="N12652">
        <v>0</v>
      </c>
      <c r="O12652">
        <v>34</v>
      </c>
      <c r="P12652">
        <v>0</v>
      </c>
    </row>
    <row r="12653" spans="1:16" x14ac:dyDescent="0.25">
      <c r="A12653" t="s">
        <v>35322</v>
      </c>
      <c r="B12653" t="s">
        <v>21028</v>
      </c>
      <c r="C12653" t="s">
        <v>15709</v>
      </c>
      <c r="D12653" t="s">
        <v>21029</v>
      </c>
      <c r="E12653" t="s">
        <v>21030</v>
      </c>
      <c r="F12653" t="s">
        <v>20053</v>
      </c>
      <c r="G12653" t="s">
        <v>47072</v>
      </c>
      <c r="H12653" t="s">
        <v>47071</v>
      </c>
      <c r="I12653" t="s">
        <v>47116</v>
      </c>
      <c r="J12653" t="s">
        <v>47117</v>
      </c>
      <c r="K12653" t="s">
        <v>47113</v>
      </c>
      <c r="L12653">
        <v>34.79</v>
      </c>
      <c r="M12653">
        <v>80</v>
      </c>
      <c r="N12653">
        <v>0</v>
      </c>
      <c r="O12653">
        <v>80</v>
      </c>
      <c r="P12653">
        <v>0</v>
      </c>
    </row>
    <row r="12654" spans="1:16" x14ac:dyDescent="0.25">
      <c r="A12654" t="s">
        <v>35323</v>
      </c>
      <c r="B12654" t="s">
        <v>21028</v>
      </c>
      <c r="C12654" t="s">
        <v>15709</v>
      </c>
      <c r="D12654" t="s">
        <v>18055</v>
      </c>
      <c r="E12654" t="s">
        <v>18056</v>
      </c>
      <c r="F12654" t="s">
        <v>20053</v>
      </c>
      <c r="G12654" t="s">
        <v>47072</v>
      </c>
      <c r="H12654" t="s">
        <v>47071</v>
      </c>
      <c r="I12654" t="s">
        <v>47116</v>
      </c>
      <c r="J12654" t="s">
        <v>47117</v>
      </c>
      <c r="K12654" t="s">
        <v>47113</v>
      </c>
      <c r="L12654">
        <v>34.79</v>
      </c>
      <c r="M12654">
        <v>80</v>
      </c>
      <c r="N12654">
        <v>0</v>
      </c>
      <c r="O12654">
        <v>80</v>
      </c>
      <c r="P12654">
        <v>0</v>
      </c>
    </row>
    <row r="12655" spans="1:16" x14ac:dyDescent="0.25">
      <c r="A12655" t="s">
        <v>35324</v>
      </c>
      <c r="B12655" t="s">
        <v>21031</v>
      </c>
      <c r="C12655" t="s">
        <v>21032</v>
      </c>
      <c r="D12655" t="s">
        <v>18055</v>
      </c>
      <c r="E12655" t="s">
        <v>18056</v>
      </c>
      <c r="F12655" t="s">
        <v>20053</v>
      </c>
      <c r="G12655" t="s">
        <v>47072</v>
      </c>
      <c r="H12655" t="s">
        <v>47071</v>
      </c>
      <c r="I12655" t="s">
        <v>47116</v>
      </c>
      <c r="J12655" t="s">
        <v>47117</v>
      </c>
      <c r="K12655" t="s">
        <v>47113</v>
      </c>
      <c r="L12655">
        <v>34.79</v>
      </c>
      <c r="M12655">
        <v>80</v>
      </c>
      <c r="N12655">
        <v>0</v>
      </c>
      <c r="O12655">
        <v>80</v>
      </c>
      <c r="P12655">
        <v>0</v>
      </c>
    </row>
    <row r="12656" spans="1:16" x14ac:dyDescent="0.25">
      <c r="A12656" t="s">
        <v>35325</v>
      </c>
      <c r="B12656" t="s">
        <v>35326</v>
      </c>
      <c r="C12656" t="s">
        <v>35327</v>
      </c>
      <c r="D12656" t="s">
        <v>20986</v>
      </c>
      <c r="E12656" t="s">
        <v>20987</v>
      </c>
      <c r="F12656" t="s">
        <v>20053</v>
      </c>
      <c r="G12656" t="s">
        <v>47072</v>
      </c>
      <c r="H12656" t="s">
        <v>47071</v>
      </c>
      <c r="I12656" t="s">
        <v>47116</v>
      </c>
      <c r="J12656" t="s">
        <v>47117</v>
      </c>
      <c r="K12656" t="s">
        <v>47113</v>
      </c>
      <c r="L12656">
        <v>14.87</v>
      </c>
      <c r="M12656">
        <v>34</v>
      </c>
      <c r="N12656">
        <v>0</v>
      </c>
      <c r="O12656">
        <v>34</v>
      </c>
      <c r="P12656">
        <v>0</v>
      </c>
    </row>
    <row r="12657" spans="1:16" x14ac:dyDescent="0.25">
      <c r="A12657" t="s">
        <v>35328</v>
      </c>
      <c r="B12657" t="s">
        <v>35329</v>
      </c>
      <c r="C12657" t="s">
        <v>35330</v>
      </c>
      <c r="D12657" t="s">
        <v>15740</v>
      </c>
      <c r="E12657" t="s">
        <v>42</v>
      </c>
      <c r="F12657" t="s">
        <v>20053</v>
      </c>
      <c r="G12657" t="s">
        <v>47072</v>
      </c>
      <c r="H12657" t="s">
        <v>47071</v>
      </c>
      <c r="I12657" t="s">
        <v>47120</v>
      </c>
      <c r="J12657" t="s">
        <v>47121</v>
      </c>
      <c r="K12657" t="s">
        <v>47113</v>
      </c>
      <c r="L12657">
        <v>21.94</v>
      </c>
      <c r="M12657">
        <v>56</v>
      </c>
      <c r="N12657">
        <v>139</v>
      </c>
      <c r="O12657">
        <v>56</v>
      </c>
      <c r="P12657">
        <v>139</v>
      </c>
    </row>
    <row r="12658" spans="1:16" x14ac:dyDescent="0.25">
      <c r="A12658" t="s">
        <v>35331</v>
      </c>
      <c r="B12658" t="s">
        <v>21033</v>
      </c>
      <c r="C12658" t="s">
        <v>21034</v>
      </c>
      <c r="D12658" t="s">
        <v>21035</v>
      </c>
      <c r="E12658" t="s">
        <v>21036</v>
      </c>
      <c r="F12658" t="s">
        <v>20053</v>
      </c>
      <c r="G12658" t="s">
        <v>47077</v>
      </c>
      <c r="H12658" t="s">
        <v>47071</v>
      </c>
      <c r="I12658" t="s">
        <v>47116</v>
      </c>
      <c r="J12658" t="s">
        <v>47117</v>
      </c>
      <c r="K12658" t="s">
        <v>47113</v>
      </c>
      <c r="L12658">
        <v>25.72</v>
      </c>
      <c r="M12658">
        <v>52</v>
      </c>
      <c r="N12658">
        <v>0</v>
      </c>
      <c r="O12658">
        <v>52</v>
      </c>
      <c r="P12658">
        <v>0</v>
      </c>
    </row>
    <row r="12659" spans="1:16" x14ac:dyDescent="0.25">
      <c r="A12659" t="s">
        <v>22551</v>
      </c>
      <c r="B12659" t="s">
        <v>21037</v>
      </c>
      <c r="C12659" t="s">
        <v>21038</v>
      </c>
      <c r="D12659" t="s">
        <v>21039</v>
      </c>
      <c r="E12659" t="s">
        <v>21040</v>
      </c>
      <c r="F12659" t="s">
        <v>20053</v>
      </c>
      <c r="G12659" t="s">
        <v>47078</v>
      </c>
      <c r="H12659" t="s">
        <v>47071</v>
      </c>
      <c r="I12659" t="s">
        <v>47120</v>
      </c>
      <c r="J12659" t="s">
        <v>47121</v>
      </c>
      <c r="K12659" t="s">
        <v>47113</v>
      </c>
      <c r="L12659">
        <v>14.16</v>
      </c>
      <c r="M12659">
        <v>26</v>
      </c>
      <c r="N12659">
        <v>0</v>
      </c>
      <c r="O12659">
        <v>26</v>
      </c>
      <c r="P12659">
        <v>0</v>
      </c>
    </row>
    <row r="12660" spans="1:16" x14ac:dyDescent="0.25">
      <c r="A12660" t="s">
        <v>22552</v>
      </c>
      <c r="B12660" t="s">
        <v>21041</v>
      </c>
      <c r="C12660" t="s">
        <v>21042</v>
      </c>
      <c r="D12660" t="s">
        <v>15692</v>
      </c>
      <c r="E12660" t="s">
        <v>46</v>
      </c>
      <c r="F12660" t="s">
        <v>20053</v>
      </c>
      <c r="G12660" t="s">
        <v>47078</v>
      </c>
      <c r="H12660" t="s">
        <v>47071</v>
      </c>
      <c r="I12660" t="s">
        <v>47120</v>
      </c>
      <c r="J12660" t="s">
        <v>47121</v>
      </c>
      <c r="K12660" t="s">
        <v>47113</v>
      </c>
      <c r="L12660">
        <v>13.01</v>
      </c>
      <c r="M12660">
        <v>26</v>
      </c>
      <c r="N12660">
        <v>0</v>
      </c>
      <c r="O12660">
        <v>26</v>
      </c>
      <c r="P12660">
        <v>0</v>
      </c>
    </row>
    <row r="12661" spans="1:16" x14ac:dyDescent="0.25">
      <c r="A12661" t="s">
        <v>22553</v>
      </c>
      <c r="B12661" t="s">
        <v>21043</v>
      </c>
      <c r="C12661" t="s">
        <v>21044</v>
      </c>
      <c r="D12661" t="s">
        <v>15692</v>
      </c>
      <c r="E12661" t="s">
        <v>46</v>
      </c>
      <c r="F12661" t="s">
        <v>20053</v>
      </c>
      <c r="G12661" t="s">
        <v>47078</v>
      </c>
      <c r="H12661" t="s">
        <v>47071</v>
      </c>
      <c r="I12661" t="s">
        <v>47120</v>
      </c>
      <c r="J12661" t="s">
        <v>47121</v>
      </c>
      <c r="K12661" t="s">
        <v>47113</v>
      </c>
      <c r="L12661">
        <v>11.28</v>
      </c>
      <c r="M12661">
        <v>24</v>
      </c>
      <c r="N12661">
        <v>0</v>
      </c>
      <c r="O12661">
        <v>24</v>
      </c>
      <c r="P12661">
        <v>0</v>
      </c>
    </row>
    <row r="12662" spans="1:16" x14ac:dyDescent="0.25">
      <c r="A12662" t="s">
        <v>22554</v>
      </c>
      <c r="B12662" t="s">
        <v>21045</v>
      </c>
      <c r="C12662" t="s">
        <v>21046</v>
      </c>
      <c r="D12662" t="s">
        <v>15692</v>
      </c>
      <c r="E12662" t="s">
        <v>46</v>
      </c>
      <c r="F12662" t="s">
        <v>20053</v>
      </c>
      <c r="G12662" t="s">
        <v>47078</v>
      </c>
      <c r="H12662" t="s">
        <v>47071</v>
      </c>
      <c r="I12662" t="s">
        <v>47120</v>
      </c>
      <c r="J12662" t="s">
        <v>47121</v>
      </c>
      <c r="K12662" t="s">
        <v>47113</v>
      </c>
      <c r="L12662">
        <v>11.28</v>
      </c>
      <c r="M12662">
        <v>22</v>
      </c>
      <c r="N12662">
        <v>0</v>
      </c>
      <c r="O12662">
        <v>22</v>
      </c>
      <c r="P12662">
        <v>0</v>
      </c>
    </row>
    <row r="12663" spans="1:16" x14ac:dyDescent="0.25">
      <c r="A12663" t="s">
        <v>35332</v>
      </c>
      <c r="B12663" t="s">
        <v>21047</v>
      </c>
      <c r="C12663" t="s">
        <v>21048</v>
      </c>
      <c r="D12663" t="s">
        <v>15692</v>
      </c>
      <c r="E12663" t="s">
        <v>46</v>
      </c>
      <c r="F12663" t="s">
        <v>20053</v>
      </c>
      <c r="G12663" t="s">
        <v>47075</v>
      </c>
      <c r="H12663" t="s">
        <v>47071</v>
      </c>
      <c r="I12663" t="s">
        <v>47120</v>
      </c>
      <c r="J12663" t="s">
        <v>47121</v>
      </c>
      <c r="K12663" t="s">
        <v>47113</v>
      </c>
      <c r="L12663">
        <v>18.079999999999998</v>
      </c>
      <c r="M12663">
        <v>34</v>
      </c>
      <c r="N12663">
        <v>0</v>
      </c>
      <c r="O12663">
        <v>34</v>
      </c>
      <c r="P12663">
        <v>0</v>
      </c>
    </row>
    <row r="12664" spans="1:16" x14ac:dyDescent="0.25">
      <c r="A12664" t="s">
        <v>35333</v>
      </c>
      <c r="B12664" t="s">
        <v>21049</v>
      </c>
      <c r="C12664" t="s">
        <v>21050</v>
      </c>
      <c r="D12664" t="s">
        <v>15752</v>
      </c>
      <c r="E12664" t="s">
        <v>15753</v>
      </c>
      <c r="F12664" t="s">
        <v>20053</v>
      </c>
      <c r="G12664" t="s">
        <v>47079</v>
      </c>
      <c r="H12664" t="s">
        <v>47071</v>
      </c>
      <c r="I12664" t="s">
        <v>47120</v>
      </c>
      <c r="J12664" t="s">
        <v>47121</v>
      </c>
      <c r="K12664" t="s">
        <v>47113</v>
      </c>
      <c r="L12664">
        <v>17.05</v>
      </c>
      <c r="M12664">
        <v>34</v>
      </c>
      <c r="N12664">
        <v>0</v>
      </c>
      <c r="O12664">
        <v>34</v>
      </c>
      <c r="P12664">
        <v>0</v>
      </c>
    </row>
    <row r="12665" spans="1:16" x14ac:dyDescent="0.25">
      <c r="A12665" t="s">
        <v>35334</v>
      </c>
      <c r="B12665" t="s">
        <v>21051</v>
      </c>
      <c r="C12665" t="s">
        <v>21052</v>
      </c>
      <c r="D12665" t="s">
        <v>21039</v>
      </c>
      <c r="E12665" t="s">
        <v>21040</v>
      </c>
      <c r="F12665" t="s">
        <v>20053</v>
      </c>
      <c r="G12665" t="s">
        <v>47079</v>
      </c>
      <c r="H12665" t="s">
        <v>47071</v>
      </c>
      <c r="I12665" t="s">
        <v>47120</v>
      </c>
      <c r="J12665" t="s">
        <v>47121</v>
      </c>
      <c r="K12665" t="s">
        <v>47113</v>
      </c>
      <c r="L12665">
        <v>17.05</v>
      </c>
      <c r="M12665">
        <v>34</v>
      </c>
      <c r="N12665">
        <v>0</v>
      </c>
      <c r="O12665">
        <v>34</v>
      </c>
      <c r="P12665">
        <v>0</v>
      </c>
    </row>
    <row r="12666" spans="1:16" x14ac:dyDescent="0.25">
      <c r="A12666" t="s">
        <v>22555</v>
      </c>
      <c r="B12666" t="s">
        <v>21053</v>
      </c>
      <c r="C12666" t="s">
        <v>21054</v>
      </c>
      <c r="D12666" t="s">
        <v>15734</v>
      </c>
      <c r="E12666" t="s">
        <v>15735</v>
      </c>
      <c r="F12666" t="s">
        <v>20053</v>
      </c>
      <c r="G12666" t="s">
        <v>47080</v>
      </c>
      <c r="H12666" t="s">
        <v>47071</v>
      </c>
      <c r="I12666" t="s">
        <v>47120</v>
      </c>
      <c r="J12666" t="s">
        <v>47121</v>
      </c>
      <c r="K12666" t="s">
        <v>47113</v>
      </c>
      <c r="L12666">
        <v>17.05</v>
      </c>
      <c r="M12666">
        <v>34</v>
      </c>
      <c r="N12666">
        <v>0</v>
      </c>
      <c r="O12666">
        <v>34</v>
      </c>
      <c r="P12666">
        <v>0</v>
      </c>
    </row>
    <row r="12667" spans="1:16" x14ac:dyDescent="0.25">
      <c r="A12667" t="s">
        <v>35335</v>
      </c>
      <c r="B12667" t="s">
        <v>35336</v>
      </c>
      <c r="C12667" t="s">
        <v>35337</v>
      </c>
      <c r="D12667" t="s">
        <v>15692</v>
      </c>
      <c r="E12667" t="s">
        <v>46</v>
      </c>
      <c r="F12667" t="s">
        <v>20053</v>
      </c>
      <c r="G12667" t="s">
        <v>47080</v>
      </c>
      <c r="H12667" t="s">
        <v>47071</v>
      </c>
      <c r="I12667" t="s">
        <v>47120</v>
      </c>
      <c r="J12667" t="s">
        <v>47121</v>
      </c>
      <c r="K12667" t="s">
        <v>47113</v>
      </c>
      <c r="L12667">
        <v>11.04</v>
      </c>
      <c r="M12667">
        <v>23</v>
      </c>
      <c r="N12667">
        <v>0</v>
      </c>
      <c r="O12667">
        <v>23</v>
      </c>
      <c r="P12667">
        <v>0</v>
      </c>
    </row>
    <row r="12668" spans="1:16" x14ac:dyDescent="0.25">
      <c r="A12668" t="s">
        <v>35338</v>
      </c>
      <c r="B12668" t="s">
        <v>21055</v>
      </c>
      <c r="C12668" t="s">
        <v>21056</v>
      </c>
      <c r="D12668" t="s">
        <v>20997</v>
      </c>
      <c r="E12668" t="s">
        <v>20998</v>
      </c>
      <c r="F12668" t="s">
        <v>20053</v>
      </c>
      <c r="G12668" t="s">
        <v>47080</v>
      </c>
      <c r="H12668" t="s">
        <v>47071</v>
      </c>
      <c r="I12668" t="s">
        <v>47120</v>
      </c>
      <c r="J12668" t="s">
        <v>47121</v>
      </c>
      <c r="K12668" t="s">
        <v>47113</v>
      </c>
      <c r="L12668">
        <v>17.05</v>
      </c>
      <c r="M12668">
        <v>34</v>
      </c>
      <c r="N12668">
        <v>0</v>
      </c>
      <c r="O12668">
        <v>34</v>
      </c>
      <c r="P12668">
        <v>0</v>
      </c>
    </row>
    <row r="12669" spans="1:16" x14ac:dyDescent="0.25">
      <c r="A12669" t="s">
        <v>35339</v>
      </c>
      <c r="B12669" t="s">
        <v>35340</v>
      </c>
      <c r="C12669" t="s">
        <v>35341</v>
      </c>
      <c r="D12669" t="s">
        <v>238</v>
      </c>
      <c r="E12669" t="s">
        <v>238</v>
      </c>
      <c r="F12669" t="s">
        <v>20053</v>
      </c>
      <c r="G12669" t="s">
        <v>47080</v>
      </c>
      <c r="H12669" t="s">
        <v>47071</v>
      </c>
      <c r="I12669" t="s">
        <v>47120</v>
      </c>
      <c r="J12669" t="s">
        <v>47121</v>
      </c>
      <c r="K12669" t="s">
        <v>47113</v>
      </c>
      <c r="L12669">
        <v>11.04</v>
      </c>
      <c r="M12669">
        <v>23</v>
      </c>
      <c r="N12669">
        <v>0</v>
      </c>
      <c r="O12669">
        <v>23</v>
      </c>
      <c r="P12669">
        <v>0</v>
      </c>
    </row>
    <row r="12670" spans="1:16" x14ac:dyDescent="0.25">
      <c r="A12670" t="s">
        <v>35342</v>
      </c>
      <c r="B12670" t="s">
        <v>21057</v>
      </c>
      <c r="C12670" t="s">
        <v>21058</v>
      </c>
      <c r="D12670" t="s">
        <v>21059</v>
      </c>
      <c r="E12670" t="s">
        <v>21060</v>
      </c>
      <c r="F12670" t="s">
        <v>20053</v>
      </c>
      <c r="G12670" t="s">
        <v>47074</v>
      </c>
      <c r="H12670" t="s">
        <v>47071</v>
      </c>
      <c r="I12670" t="s">
        <v>47120</v>
      </c>
      <c r="J12670" t="s">
        <v>47121</v>
      </c>
      <c r="K12670" t="s">
        <v>47113</v>
      </c>
      <c r="L12670">
        <v>22.83</v>
      </c>
      <c r="M12670">
        <v>52</v>
      </c>
      <c r="N12670">
        <v>0</v>
      </c>
      <c r="O12670">
        <v>52</v>
      </c>
      <c r="P12670">
        <v>0</v>
      </c>
    </row>
    <row r="12671" spans="1:16" x14ac:dyDescent="0.25">
      <c r="A12671" t="s">
        <v>35343</v>
      </c>
      <c r="B12671" t="s">
        <v>35344</v>
      </c>
      <c r="C12671" t="s">
        <v>35345</v>
      </c>
      <c r="D12671" t="s">
        <v>14429</v>
      </c>
      <c r="E12671" t="s">
        <v>60</v>
      </c>
      <c r="F12671" t="s">
        <v>20053</v>
      </c>
      <c r="G12671" t="s">
        <v>47074</v>
      </c>
      <c r="H12671" t="s">
        <v>47071</v>
      </c>
      <c r="I12671" t="s">
        <v>47120</v>
      </c>
      <c r="J12671" t="s">
        <v>47121</v>
      </c>
      <c r="K12671" t="s">
        <v>47113</v>
      </c>
      <c r="L12671">
        <v>21.31</v>
      </c>
      <c r="M12671">
        <v>52</v>
      </c>
      <c r="N12671">
        <v>0</v>
      </c>
      <c r="O12671">
        <v>52</v>
      </c>
      <c r="P12671">
        <v>0</v>
      </c>
    </row>
    <row r="12672" spans="1:16" x14ac:dyDescent="0.25">
      <c r="A12672" t="s">
        <v>35346</v>
      </c>
      <c r="B12672" t="s">
        <v>21061</v>
      </c>
      <c r="C12672" t="s">
        <v>21062</v>
      </c>
      <c r="D12672" t="s">
        <v>15692</v>
      </c>
      <c r="E12672" t="s">
        <v>46</v>
      </c>
      <c r="F12672" t="s">
        <v>20053</v>
      </c>
      <c r="G12672" t="s">
        <v>47074</v>
      </c>
      <c r="H12672" t="s">
        <v>47071</v>
      </c>
      <c r="I12672" t="s">
        <v>47120</v>
      </c>
      <c r="J12672" t="s">
        <v>47121</v>
      </c>
      <c r="K12672" t="s">
        <v>47113</v>
      </c>
      <c r="L12672">
        <v>11.28</v>
      </c>
      <c r="M12672">
        <v>22</v>
      </c>
      <c r="N12672">
        <v>0</v>
      </c>
      <c r="O12672">
        <v>22</v>
      </c>
      <c r="P12672">
        <v>0</v>
      </c>
    </row>
    <row r="12673" spans="1:16" x14ac:dyDescent="0.25">
      <c r="A12673" t="s">
        <v>35347</v>
      </c>
      <c r="B12673" t="s">
        <v>22557</v>
      </c>
      <c r="C12673" t="s">
        <v>22558</v>
      </c>
      <c r="D12673" t="s">
        <v>15740</v>
      </c>
      <c r="E12673" t="s">
        <v>42</v>
      </c>
      <c r="F12673" t="s">
        <v>20053</v>
      </c>
      <c r="G12673" t="s">
        <v>47073</v>
      </c>
      <c r="H12673" t="s">
        <v>47071</v>
      </c>
      <c r="I12673" t="s">
        <v>47120</v>
      </c>
      <c r="J12673" t="s">
        <v>47121</v>
      </c>
      <c r="K12673" t="s">
        <v>47113</v>
      </c>
      <c r="L12673">
        <v>6.75</v>
      </c>
      <c r="M12673">
        <v>17</v>
      </c>
      <c r="N12673">
        <v>0</v>
      </c>
      <c r="O12673">
        <v>17</v>
      </c>
      <c r="P12673">
        <v>0</v>
      </c>
    </row>
    <row r="12674" spans="1:16" x14ac:dyDescent="0.25">
      <c r="A12674" t="s">
        <v>35348</v>
      </c>
      <c r="B12674" t="s">
        <v>22557</v>
      </c>
      <c r="C12674" t="s">
        <v>22558</v>
      </c>
      <c r="D12674" t="s">
        <v>238</v>
      </c>
      <c r="E12674" t="s">
        <v>238</v>
      </c>
      <c r="F12674" t="s">
        <v>20053</v>
      </c>
      <c r="G12674" t="s">
        <v>47073</v>
      </c>
      <c r="H12674" t="s">
        <v>47071</v>
      </c>
      <c r="I12674" t="s">
        <v>47120</v>
      </c>
      <c r="J12674" t="s">
        <v>47121</v>
      </c>
      <c r="K12674" t="s">
        <v>47113</v>
      </c>
      <c r="L12674">
        <v>6.75</v>
      </c>
      <c r="M12674">
        <v>17</v>
      </c>
      <c r="N12674">
        <v>0</v>
      </c>
      <c r="O12674">
        <v>17</v>
      </c>
      <c r="P12674">
        <v>0</v>
      </c>
    </row>
    <row r="12675" spans="1:16" x14ac:dyDescent="0.25">
      <c r="A12675" t="s">
        <v>22556</v>
      </c>
      <c r="B12675" t="s">
        <v>22557</v>
      </c>
      <c r="C12675" t="s">
        <v>22558</v>
      </c>
      <c r="D12675" t="s">
        <v>14429</v>
      </c>
      <c r="E12675" t="s">
        <v>60</v>
      </c>
      <c r="F12675" t="s">
        <v>20053</v>
      </c>
      <c r="G12675" t="s">
        <v>47073</v>
      </c>
      <c r="H12675" t="s">
        <v>47071</v>
      </c>
      <c r="I12675" t="s">
        <v>47120</v>
      </c>
      <c r="J12675" t="s">
        <v>47121</v>
      </c>
      <c r="K12675" t="s">
        <v>47113</v>
      </c>
      <c r="L12675">
        <v>6.75</v>
      </c>
      <c r="M12675">
        <v>17</v>
      </c>
      <c r="N12675">
        <v>0</v>
      </c>
      <c r="O12675">
        <v>17</v>
      </c>
      <c r="P12675">
        <v>0</v>
      </c>
    </row>
    <row r="12676" spans="1:16" x14ac:dyDescent="0.25">
      <c r="A12676" t="s">
        <v>35349</v>
      </c>
      <c r="B12676" t="s">
        <v>21063</v>
      </c>
      <c r="C12676" t="s">
        <v>21064</v>
      </c>
      <c r="D12676" t="s">
        <v>14429</v>
      </c>
      <c r="E12676" t="s">
        <v>60</v>
      </c>
      <c r="F12676" t="s">
        <v>20053</v>
      </c>
      <c r="G12676" t="s">
        <v>47073</v>
      </c>
      <c r="H12676" t="s">
        <v>47071</v>
      </c>
      <c r="I12676" t="s">
        <v>47120</v>
      </c>
      <c r="J12676" t="s">
        <v>47121</v>
      </c>
      <c r="K12676" t="s">
        <v>47113</v>
      </c>
      <c r="L12676">
        <v>10.119999999999999</v>
      </c>
      <c r="M12676">
        <v>20</v>
      </c>
      <c r="N12676">
        <v>0</v>
      </c>
      <c r="O12676">
        <v>20</v>
      </c>
      <c r="P12676">
        <v>0</v>
      </c>
    </row>
    <row r="12677" spans="1:16" x14ac:dyDescent="0.25">
      <c r="A12677" t="s">
        <v>22559</v>
      </c>
      <c r="B12677" t="s">
        <v>21065</v>
      </c>
      <c r="C12677" t="s">
        <v>21066</v>
      </c>
      <c r="D12677" t="s">
        <v>21067</v>
      </c>
      <c r="E12677" t="s">
        <v>21068</v>
      </c>
      <c r="F12677" t="s">
        <v>20053</v>
      </c>
      <c r="G12677" t="s">
        <v>47073</v>
      </c>
      <c r="H12677" t="s">
        <v>47071</v>
      </c>
      <c r="I12677" t="s">
        <v>47120</v>
      </c>
      <c r="J12677" t="s">
        <v>47121</v>
      </c>
      <c r="K12677" t="s">
        <v>47113</v>
      </c>
      <c r="L12677">
        <v>10.119999999999999</v>
      </c>
      <c r="M12677">
        <v>20</v>
      </c>
      <c r="N12677">
        <v>0</v>
      </c>
      <c r="O12677">
        <v>20</v>
      </c>
      <c r="P12677">
        <v>0</v>
      </c>
    </row>
    <row r="12678" spans="1:16" x14ac:dyDescent="0.25">
      <c r="A12678" t="s">
        <v>35350</v>
      </c>
      <c r="B12678" t="s">
        <v>21069</v>
      </c>
      <c r="C12678" t="s">
        <v>21070</v>
      </c>
      <c r="D12678" t="s">
        <v>14429</v>
      </c>
      <c r="E12678" t="s">
        <v>60</v>
      </c>
      <c r="F12678" t="s">
        <v>20053</v>
      </c>
      <c r="G12678" t="s">
        <v>47073</v>
      </c>
      <c r="H12678" t="s">
        <v>47071</v>
      </c>
      <c r="I12678" t="s">
        <v>47120</v>
      </c>
      <c r="J12678" t="s">
        <v>47121</v>
      </c>
      <c r="K12678" t="s">
        <v>47113</v>
      </c>
      <c r="L12678">
        <v>10.119999999999999</v>
      </c>
      <c r="M12678">
        <v>20</v>
      </c>
      <c r="N12678">
        <v>0</v>
      </c>
      <c r="O12678">
        <v>20</v>
      </c>
      <c r="P12678">
        <v>0</v>
      </c>
    </row>
    <row r="12679" spans="1:16" x14ac:dyDescent="0.25">
      <c r="A12679" t="s">
        <v>22560</v>
      </c>
      <c r="B12679" t="s">
        <v>21071</v>
      </c>
      <c r="C12679" t="s">
        <v>21072</v>
      </c>
      <c r="D12679" t="s">
        <v>15752</v>
      </c>
      <c r="E12679" t="s">
        <v>15753</v>
      </c>
      <c r="F12679" t="s">
        <v>20053</v>
      </c>
      <c r="G12679" t="s">
        <v>47073</v>
      </c>
      <c r="H12679" t="s">
        <v>47071</v>
      </c>
      <c r="I12679" t="s">
        <v>47120</v>
      </c>
      <c r="J12679" t="s">
        <v>47121</v>
      </c>
      <c r="K12679" t="s">
        <v>47113</v>
      </c>
      <c r="L12679">
        <v>11.28</v>
      </c>
      <c r="M12679">
        <v>22</v>
      </c>
      <c r="N12679">
        <v>0</v>
      </c>
      <c r="O12679">
        <v>22</v>
      </c>
      <c r="P12679">
        <v>0</v>
      </c>
    </row>
    <row r="12680" spans="1:16" x14ac:dyDescent="0.25">
      <c r="A12680" t="s">
        <v>22561</v>
      </c>
      <c r="B12680" t="s">
        <v>21073</v>
      </c>
      <c r="C12680" t="s">
        <v>21074</v>
      </c>
      <c r="D12680" t="s">
        <v>20997</v>
      </c>
      <c r="E12680" t="s">
        <v>20998</v>
      </c>
      <c r="F12680" t="s">
        <v>20053</v>
      </c>
      <c r="G12680" t="s">
        <v>47073</v>
      </c>
      <c r="H12680" t="s">
        <v>47071</v>
      </c>
      <c r="I12680" t="s">
        <v>47120</v>
      </c>
      <c r="J12680" t="s">
        <v>47121</v>
      </c>
      <c r="K12680" t="s">
        <v>47113</v>
      </c>
      <c r="L12680">
        <v>10.119999999999999</v>
      </c>
      <c r="M12680">
        <v>20</v>
      </c>
      <c r="N12680">
        <v>0</v>
      </c>
      <c r="O12680">
        <v>20</v>
      </c>
      <c r="P12680">
        <v>0</v>
      </c>
    </row>
    <row r="12681" spans="1:16" x14ac:dyDescent="0.25">
      <c r="A12681" t="s">
        <v>35351</v>
      </c>
      <c r="B12681" t="s">
        <v>21075</v>
      </c>
      <c r="C12681" t="s">
        <v>21076</v>
      </c>
      <c r="D12681" t="s">
        <v>21059</v>
      </c>
      <c r="E12681" t="s">
        <v>21060</v>
      </c>
      <c r="F12681" t="s">
        <v>20053</v>
      </c>
      <c r="G12681" t="s">
        <v>47073</v>
      </c>
      <c r="H12681" t="s">
        <v>47071</v>
      </c>
      <c r="I12681" t="s">
        <v>47120</v>
      </c>
      <c r="J12681" t="s">
        <v>47121</v>
      </c>
      <c r="K12681" t="s">
        <v>47113</v>
      </c>
      <c r="L12681">
        <v>11.28</v>
      </c>
      <c r="M12681">
        <v>20</v>
      </c>
      <c r="N12681">
        <v>0</v>
      </c>
      <c r="O12681">
        <v>20</v>
      </c>
      <c r="P12681">
        <v>0</v>
      </c>
    </row>
    <row r="12682" spans="1:16" x14ac:dyDescent="0.25">
      <c r="A12682" t="s">
        <v>35352</v>
      </c>
      <c r="B12682" t="s">
        <v>21077</v>
      </c>
      <c r="C12682" t="s">
        <v>21078</v>
      </c>
      <c r="D12682" t="s">
        <v>15740</v>
      </c>
      <c r="E12682" t="s">
        <v>42</v>
      </c>
      <c r="F12682" t="s">
        <v>20053</v>
      </c>
      <c r="G12682" t="s">
        <v>47073</v>
      </c>
      <c r="H12682" t="s">
        <v>47071</v>
      </c>
      <c r="I12682" t="s">
        <v>47120</v>
      </c>
      <c r="J12682" t="s">
        <v>47121</v>
      </c>
      <c r="K12682" t="s">
        <v>47113</v>
      </c>
      <c r="L12682">
        <v>11.28</v>
      </c>
      <c r="M12682">
        <v>22</v>
      </c>
      <c r="N12682">
        <v>0</v>
      </c>
      <c r="O12682">
        <v>22</v>
      </c>
      <c r="P12682">
        <v>0</v>
      </c>
    </row>
    <row r="12683" spans="1:16" x14ac:dyDescent="0.25">
      <c r="A12683" t="s">
        <v>35353</v>
      </c>
      <c r="B12683" t="s">
        <v>21079</v>
      </c>
      <c r="C12683" t="s">
        <v>21080</v>
      </c>
      <c r="D12683" t="s">
        <v>21081</v>
      </c>
      <c r="E12683" t="s">
        <v>21082</v>
      </c>
      <c r="F12683" t="s">
        <v>20053</v>
      </c>
      <c r="G12683" t="s">
        <v>47073</v>
      </c>
      <c r="H12683" t="s">
        <v>47071</v>
      </c>
      <c r="I12683" t="s">
        <v>47120</v>
      </c>
      <c r="J12683" t="s">
        <v>47121</v>
      </c>
      <c r="K12683" t="s">
        <v>47113</v>
      </c>
      <c r="L12683">
        <v>11.28</v>
      </c>
      <c r="M12683">
        <v>22</v>
      </c>
      <c r="N12683">
        <v>0</v>
      </c>
      <c r="O12683">
        <v>22</v>
      </c>
      <c r="P12683">
        <v>0</v>
      </c>
    </row>
    <row r="12684" spans="1:16" x14ac:dyDescent="0.25">
      <c r="A12684" t="s">
        <v>35354</v>
      </c>
      <c r="B12684" t="s">
        <v>21083</v>
      </c>
      <c r="C12684" t="s">
        <v>21084</v>
      </c>
      <c r="D12684" t="s">
        <v>15692</v>
      </c>
      <c r="E12684" t="s">
        <v>46</v>
      </c>
      <c r="F12684" t="s">
        <v>20053</v>
      </c>
      <c r="G12684" t="s">
        <v>47073</v>
      </c>
      <c r="H12684" t="s">
        <v>47071</v>
      </c>
      <c r="I12684" t="s">
        <v>47120</v>
      </c>
      <c r="J12684" t="s">
        <v>47121</v>
      </c>
      <c r="K12684" t="s">
        <v>47113</v>
      </c>
      <c r="L12684">
        <v>10.72</v>
      </c>
      <c r="M12684">
        <v>20</v>
      </c>
      <c r="N12684">
        <v>0</v>
      </c>
      <c r="O12684">
        <v>20</v>
      </c>
      <c r="P12684">
        <v>0</v>
      </c>
    </row>
    <row r="12685" spans="1:16" x14ac:dyDescent="0.25">
      <c r="A12685" t="s">
        <v>35355</v>
      </c>
      <c r="B12685" t="s">
        <v>21085</v>
      </c>
      <c r="C12685" t="s">
        <v>21086</v>
      </c>
      <c r="D12685" t="s">
        <v>15692</v>
      </c>
      <c r="E12685" t="s">
        <v>46</v>
      </c>
      <c r="F12685" t="s">
        <v>20053</v>
      </c>
      <c r="G12685" t="s">
        <v>47073</v>
      </c>
      <c r="H12685" t="s">
        <v>47071</v>
      </c>
      <c r="I12685" t="s">
        <v>47120</v>
      </c>
      <c r="J12685" t="s">
        <v>47121</v>
      </c>
      <c r="K12685" t="s">
        <v>47113</v>
      </c>
      <c r="L12685">
        <v>10.119999999999999</v>
      </c>
      <c r="M12685">
        <v>20</v>
      </c>
      <c r="N12685">
        <v>0</v>
      </c>
      <c r="O12685">
        <v>20</v>
      </c>
      <c r="P12685">
        <v>0</v>
      </c>
    </row>
    <row r="12686" spans="1:16" x14ac:dyDescent="0.25">
      <c r="A12686" t="s">
        <v>35356</v>
      </c>
      <c r="B12686" t="s">
        <v>35357</v>
      </c>
      <c r="C12686" t="s">
        <v>35358</v>
      </c>
      <c r="D12686" t="s">
        <v>35359</v>
      </c>
      <c r="E12686" t="s">
        <v>9786</v>
      </c>
      <c r="F12686" t="s">
        <v>20053</v>
      </c>
      <c r="G12686" t="s">
        <v>47073</v>
      </c>
      <c r="H12686" t="s">
        <v>47071</v>
      </c>
      <c r="I12686" t="s">
        <v>47120</v>
      </c>
      <c r="J12686" t="s">
        <v>47121</v>
      </c>
      <c r="K12686" t="s">
        <v>47113</v>
      </c>
      <c r="L12686">
        <v>6.59</v>
      </c>
      <c r="M12686">
        <v>17</v>
      </c>
      <c r="N12686">
        <v>0</v>
      </c>
      <c r="O12686">
        <v>17</v>
      </c>
      <c r="P12686">
        <v>0</v>
      </c>
    </row>
    <row r="12687" spans="1:16" x14ac:dyDescent="0.25">
      <c r="A12687" t="s">
        <v>35360</v>
      </c>
      <c r="B12687" t="s">
        <v>35357</v>
      </c>
      <c r="C12687" t="s">
        <v>35358</v>
      </c>
      <c r="D12687" t="s">
        <v>14429</v>
      </c>
      <c r="E12687" t="s">
        <v>60</v>
      </c>
      <c r="F12687" t="s">
        <v>20053</v>
      </c>
      <c r="G12687" t="s">
        <v>47073</v>
      </c>
      <c r="H12687" t="s">
        <v>47071</v>
      </c>
      <c r="I12687" t="s">
        <v>47120</v>
      </c>
      <c r="J12687" t="s">
        <v>47121</v>
      </c>
      <c r="K12687" t="s">
        <v>47113</v>
      </c>
      <c r="L12687">
        <v>6.75</v>
      </c>
      <c r="M12687">
        <v>17</v>
      </c>
      <c r="N12687">
        <v>0</v>
      </c>
      <c r="O12687">
        <v>17</v>
      </c>
      <c r="P12687">
        <v>0</v>
      </c>
    </row>
    <row r="12688" spans="1:16" x14ac:dyDescent="0.25">
      <c r="A12688" t="s">
        <v>35361</v>
      </c>
      <c r="B12688" t="s">
        <v>35362</v>
      </c>
      <c r="C12688" t="s">
        <v>35363</v>
      </c>
      <c r="D12688" t="s">
        <v>35364</v>
      </c>
      <c r="E12688" t="s">
        <v>35365</v>
      </c>
      <c r="F12688" t="s">
        <v>20053</v>
      </c>
      <c r="G12688" t="s">
        <v>47073</v>
      </c>
      <c r="H12688" t="s">
        <v>47071</v>
      </c>
      <c r="I12688" t="s">
        <v>47120</v>
      </c>
      <c r="J12688" t="s">
        <v>47121</v>
      </c>
      <c r="K12688" t="s">
        <v>47113</v>
      </c>
      <c r="L12688">
        <v>6.75</v>
      </c>
      <c r="M12688">
        <v>17</v>
      </c>
      <c r="N12688">
        <v>0</v>
      </c>
      <c r="O12688">
        <v>17</v>
      </c>
      <c r="P12688">
        <v>0</v>
      </c>
    </row>
    <row r="12689" spans="1:16" x14ac:dyDescent="0.25">
      <c r="A12689" t="s">
        <v>35366</v>
      </c>
      <c r="B12689" t="s">
        <v>35362</v>
      </c>
      <c r="C12689" t="s">
        <v>35363</v>
      </c>
      <c r="D12689" t="s">
        <v>15740</v>
      </c>
      <c r="E12689" t="s">
        <v>42</v>
      </c>
      <c r="F12689" t="s">
        <v>20053</v>
      </c>
      <c r="G12689" t="s">
        <v>47073</v>
      </c>
      <c r="H12689" t="s">
        <v>47071</v>
      </c>
      <c r="I12689" t="s">
        <v>47120</v>
      </c>
      <c r="J12689" t="s">
        <v>47121</v>
      </c>
      <c r="K12689" t="s">
        <v>47113</v>
      </c>
      <c r="L12689">
        <v>6.75</v>
      </c>
      <c r="M12689">
        <v>17</v>
      </c>
      <c r="N12689">
        <v>0</v>
      </c>
      <c r="O12689">
        <v>17</v>
      </c>
      <c r="P12689">
        <v>0</v>
      </c>
    </row>
    <row r="12690" spans="1:16" x14ac:dyDescent="0.25">
      <c r="A12690" t="s">
        <v>35367</v>
      </c>
      <c r="B12690" t="s">
        <v>35362</v>
      </c>
      <c r="C12690" t="s">
        <v>35363</v>
      </c>
      <c r="D12690" t="s">
        <v>15692</v>
      </c>
      <c r="E12690" t="s">
        <v>46</v>
      </c>
      <c r="F12690" t="s">
        <v>20053</v>
      </c>
      <c r="G12690" t="s">
        <v>47073</v>
      </c>
      <c r="H12690" t="s">
        <v>47071</v>
      </c>
      <c r="I12690" t="s">
        <v>47120</v>
      </c>
      <c r="J12690" t="s">
        <v>47121</v>
      </c>
      <c r="K12690" t="s">
        <v>47113</v>
      </c>
      <c r="L12690">
        <v>6.75</v>
      </c>
      <c r="M12690">
        <v>17</v>
      </c>
      <c r="N12690">
        <v>0</v>
      </c>
      <c r="O12690">
        <v>17</v>
      </c>
      <c r="P12690">
        <v>0</v>
      </c>
    </row>
    <row r="12691" spans="1:16" x14ac:dyDescent="0.25">
      <c r="A12691" t="s">
        <v>22562</v>
      </c>
      <c r="B12691" t="s">
        <v>22563</v>
      </c>
      <c r="C12691" t="s">
        <v>22564</v>
      </c>
      <c r="D12691" t="s">
        <v>14429</v>
      </c>
      <c r="E12691" t="s">
        <v>60</v>
      </c>
      <c r="F12691" t="s">
        <v>20053</v>
      </c>
      <c r="G12691" t="s">
        <v>47073</v>
      </c>
      <c r="H12691" t="s">
        <v>47071</v>
      </c>
      <c r="I12691" t="s">
        <v>47120</v>
      </c>
      <c r="J12691" t="s">
        <v>47121</v>
      </c>
      <c r="K12691" t="s">
        <v>47113</v>
      </c>
      <c r="L12691">
        <v>6.75</v>
      </c>
      <c r="M12691">
        <v>17</v>
      </c>
      <c r="N12691">
        <v>0</v>
      </c>
      <c r="O12691">
        <v>17</v>
      </c>
      <c r="P12691">
        <v>0</v>
      </c>
    </row>
    <row r="12692" spans="1:16" x14ac:dyDescent="0.25">
      <c r="A12692" t="s">
        <v>35368</v>
      </c>
      <c r="B12692" t="s">
        <v>35369</v>
      </c>
      <c r="C12692" t="s">
        <v>35370</v>
      </c>
      <c r="D12692" t="s">
        <v>238</v>
      </c>
      <c r="E12692" t="s">
        <v>238</v>
      </c>
      <c r="F12692" t="s">
        <v>20053</v>
      </c>
      <c r="G12692" t="s">
        <v>47073</v>
      </c>
      <c r="H12692" t="s">
        <v>47071</v>
      </c>
      <c r="I12692" t="s">
        <v>47120</v>
      </c>
      <c r="J12692" t="s">
        <v>47121</v>
      </c>
      <c r="K12692" t="s">
        <v>47113</v>
      </c>
      <c r="L12692">
        <v>6.75</v>
      </c>
      <c r="M12692">
        <v>17</v>
      </c>
      <c r="N12692">
        <v>0</v>
      </c>
      <c r="O12692">
        <v>17</v>
      </c>
      <c r="P12692">
        <v>0</v>
      </c>
    </row>
    <row r="12693" spans="1:16" x14ac:dyDescent="0.25">
      <c r="A12693" t="s">
        <v>35371</v>
      </c>
      <c r="B12693" t="s">
        <v>35372</v>
      </c>
      <c r="C12693" t="s">
        <v>35373</v>
      </c>
      <c r="D12693" t="s">
        <v>15756</v>
      </c>
      <c r="E12693" t="s">
        <v>15757</v>
      </c>
      <c r="F12693" t="s">
        <v>20053</v>
      </c>
      <c r="G12693" t="s">
        <v>47073</v>
      </c>
      <c r="H12693" t="s">
        <v>47071</v>
      </c>
      <c r="I12693" t="s">
        <v>47120</v>
      </c>
      <c r="J12693" t="s">
        <v>47121</v>
      </c>
      <c r="K12693" t="s">
        <v>47113</v>
      </c>
      <c r="L12693">
        <v>6.75</v>
      </c>
      <c r="M12693">
        <v>17</v>
      </c>
      <c r="N12693">
        <v>0</v>
      </c>
      <c r="O12693">
        <v>17</v>
      </c>
      <c r="P12693">
        <v>0</v>
      </c>
    </row>
    <row r="12694" spans="1:16" x14ac:dyDescent="0.25">
      <c r="A12694" t="s">
        <v>35374</v>
      </c>
      <c r="B12694" t="s">
        <v>35372</v>
      </c>
      <c r="C12694" t="s">
        <v>35373</v>
      </c>
      <c r="D12694" t="s">
        <v>14429</v>
      </c>
      <c r="E12694" t="s">
        <v>60</v>
      </c>
      <c r="F12694" t="s">
        <v>20053</v>
      </c>
      <c r="G12694" t="s">
        <v>47073</v>
      </c>
      <c r="H12694" t="s">
        <v>47071</v>
      </c>
      <c r="I12694" t="s">
        <v>47120</v>
      </c>
      <c r="J12694" t="s">
        <v>47121</v>
      </c>
      <c r="K12694" t="s">
        <v>47113</v>
      </c>
      <c r="L12694">
        <v>6.75</v>
      </c>
      <c r="M12694">
        <v>17</v>
      </c>
      <c r="N12694">
        <v>0</v>
      </c>
      <c r="O12694">
        <v>17</v>
      </c>
      <c r="P12694">
        <v>0</v>
      </c>
    </row>
    <row r="12695" spans="1:16" x14ac:dyDescent="0.25">
      <c r="A12695" t="s">
        <v>35375</v>
      </c>
      <c r="B12695" t="s">
        <v>35376</v>
      </c>
      <c r="C12695" t="s">
        <v>35377</v>
      </c>
      <c r="D12695" t="s">
        <v>15692</v>
      </c>
      <c r="E12695" t="s">
        <v>46</v>
      </c>
      <c r="F12695" t="s">
        <v>20053</v>
      </c>
      <c r="G12695" t="s">
        <v>47073</v>
      </c>
      <c r="H12695" t="s">
        <v>47071</v>
      </c>
      <c r="I12695" t="s">
        <v>47120</v>
      </c>
      <c r="J12695" t="s">
        <v>47121</v>
      </c>
      <c r="K12695" t="s">
        <v>47113</v>
      </c>
      <c r="L12695">
        <v>6.75</v>
      </c>
      <c r="M12695">
        <v>17</v>
      </c>
      <c r="N12695">
        <v>0</v>
      </c>
      <c r="O12695">
        <v>17</v>
      </c>
      <c r="P12695">
        <v>0</v>
      </c>
    </row>
    <row r="12696" spans="1:16" x14ac:dyDescent="0.25">
      <c r="A12696" t="s">
        <v>35378</v>
      </c>
      <c r="B12696" t="s">
        <v>35379</v>
      </c>
      <c r="C12696" t="s">
        <v>35380</v>
      </c>
      <c r="D12696" t="s">
        <v>35381</v>
      </c>
      <c r="E12696" t="s">
        <v>35382</v>
      </c>
      <c r="F12696" t="s">
        <v>20053</v>
      </c>
      <c r="G12696" t="s">
        <v>47073</v>
      </c>
      <c r="H12696" t="s">
        <v>47071</v>
      </c>
      <c r="I12696" t="s">
        <v>47120</v>
      </c>
      <c r="J12696" t="s">
        <v>47121</v>
      </c>
      <c r="K12696" t="s">
        <v>47113</v>
      </c>
      <c r="L12696">
        <v>6.75</v>
      </c>
      <c r="M12696">
        <v>17</v>
      </c>
      <c r="N12696">
        <v>0</v>
      </c>
      <c r="O12696">
        <v>17</v>
      </c>
      <c r="P12696">
        <v>0</v>
      </c>
    </row>
    <row r="12697" spans="1:16" x14ac:dyDescent="0.25">
      <c r="A12697" t="s">
        <v>35383</v>
      </c>
      <c r="B12697" t="s">
        <v>21087</v>
      </c>
      <c r="C12697" t="s">
        <v>21088</v>
      </c>
      <c r="D12697" t="s">
        <v>14429</v>
      </c>
      <c r="E12697" t="s">
        <v>60</v>
      </c>
      <c r="F12697" t="s">
        <v>20053</v>
      </c>
      <c r="G12697" t="s">
        <v>47073</v>
      </c>
      <c r="H12697" t="s">
        <v>47071</v>
      </c>
      <c r="I12697" t="s">
        <v>47120</v>
      </c>
      <c r="J12697" t="s">
        <v>47121</v>
      </c>
      <c r="K12697" t="s">
        <v>47113</v>
      </c>
      <c r="L12697">
        <v>10.119999999999999</v>
      </c>
      <c r="M12697">
        <v>20</v>
      </c>
      <c r="N12697">
        <v>0</v>
      </c>
      <c r="O12697">
        <v>20</v>
      </c>
      <c r="P12697">
        <v>0</v>
      </c>
    </row>
    <row r="12698" spans="1:16" x14ac:dyDescent="0.25">
      <c r="A12698" t="s">
        <v>35384</v>
      </c>
      <c r="B12698" t="s">
        <v>21089</v>
      </c>
      <c r="C12698" t="s">
        <v>18087</v>
      </c>
      <c r="D12698" t="s">
        <v>15692</v>
      </c>
      <c r="E12698" t="s">
        <v>46</v>
      </c>
      <c r="F12698" t="s">
        <v>20053</v>
      </c>
      <c r="G12698" t="s">
        <v>47074</v>
      </c>
      <c r="H12698" t="s">
        <v>47071</v>
      </c>
      <c r="I12698" t="s">
        <v>47120</v>
      </c>
      <c r="J12698" t="s">
        <v>47121</v>
      </c>
      <c r="K12698" t="s">
        <v>47113</v>
      </c>
      <c r="L12698">
        <v>10.119999999999999</v>
      </c>
      <c r="M12698">
        <v>20</v>
      </c>
      <c r="N12698">
        <v>0</v>
      </c>
      <c r="O12698">
        <v>20</v>
      </c>
      <c r="P12698">
        <v>0</v>
      </c>
    </row>
    <row r="12699" spans="1:16" x14ac:dyDescent="0.25">
      <c r="A12699" t="s">
        <v>35385</v>
      </c>
      <c r="B12699" t="s">
        <v>21089</v>
      </c>
      <c r="C12699" t="s">
        <v>18087</v>
      </c>
      <c r="D12699" t="s">
        <v>15752</v>
      </c>
      <c r="E12699" t="s">
        <v>15753</v>
      </c>
      <c r="F12699" t="s">
        <v>20053</v>
      </c>
      <c r="G12699" t="s">
        <v>47074</v>
      </c>
      <c r="H12699" t="s">
        <v>47071</v>
      </c>
      <c r="I12699" t="s">
        <v>47120</v>
      </c>
      <c r="J12699" t="s">
        <v>47121</v>
      </c>
      <c r="K12699" t="s">
        <v>47113</v>
      </c>
      <c r="L12699">
        <v>10.119999999999999</v>
      </c>
      <c r="M12699">
        <v>20</v>
      </c>
      <c r="N12699">
        <v>0</v>
      </c>
      <c r="O12699">
        <v>20</v>
      </c>
      <c r="P12699">
        <v>0</v>
      </c>
    </row>
    <row r="12700" spans="1:16" x14ac:dyDescent="0.25">
      <c r="A12700" t="s">
        <v>35386</v>
      </c>
      <c r="B12700" t="s">
        <v>21089</v>
      </c>
      <c r="C12700" t="s">
        <v>18087</v>
      </c>
      <c r="D12700" t="s">
        <v>14429</v>
      </c>
      <c r="E12700" t="s">
        <v>60</v>
      </c>
      <c r="F12700" t="s">
        <v>20053</v>
      </c>
      <c r="G12700" t="s">
        <v>47074</v>
      </c>
      <c r="H12700" t="s">
        <v>47071</v>
      </c>
      <c r="I12700" t="s">
        <v>47120</v>
      </c>
      <c r="J12700" t="s">
        <v>47121</v>
      </c>
      <c r="K12700" t="s">
        <v>47113</v>
      </c>
      <c r="L12700">
        <v>10.119999999999999</v>
      </c>
      <c r="M12700">
        <v>20</v>
      </c>
      <c r="N12700">
        <v>0</v>
      </c>
      <c r="O12700">
        <v>20</v>
      </c>
      <c r="P12700">
        <v>0</v>
      </c>
    </row>
    <row r="12701" spans="1:16" x14ac:dyDescent="0.25">
      <c r="A12701" t="s">
        <v>35387</v>
      </c>
      <c r="B12701" t="s">
        <v>21090</v>
      </c>
      <c r="C12701" t="s">
        <v>18087</v>
      </c>
      <c r="D12701" t="s">
        <v>21067</v>
      </c>
      <c r="E12701" t="s">
        <v>21068</v>
      </c>
      <c r="F12701" t="s">
        <v>20053</v>
      </c>
      <c r="G12701" t="s">
        <v>47073</v>
      </c>
      <c r="H12701" t="s">
        <v>47071</v>
      </c>
      <c r="I12701" t="s">
        <v>47120</v>
      </c>
      <c r="J12701" t="s">
        <v>47121</v>
      </c>
      <c r="K12701" t="s">
        <v>47113</v>
      </c>
      <c r="L12701">
        <v>8.67</v>
      </c>
      <c r="M12701">
        <v>20</v>
      </c>
      <c r="N12701">
        <v>0</v>
      </c>
      <c r="O12701">
        <v>20</v>
      </c>
      <c r="P12701">
        <v>0</v>
      </c>
    </row>
    <row r="12702" spans="1:16" x14ac:dyDescent="0.25">
      <c r="A12702" t="s">
        <v>35388</v>
      </c>
      <c r="B12702" t="s">
        <v>21090</v>
      </c>
      <c r="C12702" t="s">
        <v>18087</v>
      </c>
      <c r="D12702" t="s">
        <v>15692</v>
      </c>
      <c r="E12702" t="s">
        <v>46</v>
      </c>
      <c r="F12702" t="s">
        <v>20053</v>
      </c>
      <c r="G12702" t="s">
        <v>47073</v>
      </c>
      <c r="H12702" t="s">
        <v>47071</v>
      </c>
      <c r="I12702" t="s">
        <v>47120</v>
      </c>
      <c r="J12702" t="s">
        <v>47121</v>
      </c>
      <c r="K12702" t="s">
        <v>47113</v>
      </c>
      <c r="L12702">
        <v>9.85</v>
      </c>
      <c r="M12702">
        <v>20</v>
      </c>
      <c r="N12702">
        <v>0</v>
      </c>
      <c r="O12702">
        <v>20</v>
      </c>
      <c r="P12702">
        <v>0</v>
      </c>
    </row>
    <row r="12703" spans="1:16" x14ac:dyDescent="0.25">
      <c r="A12703" t="s">
        <v>35389</v>
      </c>
      <c r="B12703" t="s">
        <v>21090</v>
      </c>
      <c r="C12703" t="s">
        <v>18087</v>
      </c>
      <c r="D12703" t="s">
        <v>15752</v>
      </c>
      <c r="E12703" t="s">
        <v>15753</v>
      </c>
      <c r="F12703" t="s">
        <v>20053</v>
      </c>
      <c r="G12703" t="s">
        <v>47073</v>
      </c>
      <c r="H12703" t="s">
        <v>47071</v>
      </c>
      <c r="I12703" t="s">
        <v>47120</v>
      </c>
      <c r="J12703" t="s">
        <v>47121</v>
      </c>
      <c r="K12703" t="s">
        <v>47113</v>
      </c>
      <c r="L12703">
        <v>9.85</v>
      </c>
      <c r="M12703">
        <v>20</v>
      </c>
      <c r="N12703">
        <v>0</v>
      </c>
      <c r="O12703">
        <v>20</v>
      </c>
      <c r="P12703">
        <v>0</v>
      </c>
    </row>
    <row r="12704" spans="1:16" x14ac:dyDescent="0.25">
      <c r="A12704" t="s">
        <v>35390</v>
      </c>
      <c r="B12704" t="s">
        <v>21090</v>
      </c>
      <c r="C12704" t="s">
        <v>18087</v>
      </c>
      <c r="D12704" t="s">
        <v>21081</v>
      </c>
      <c r="E12704" t="s">
        <v>21082</v>
      </c>
      <c r="F12704" t="s">
        <v>20053</v>
      </c>
      <c r="G12704" t="s">
        <v>47073</v>
      </c>
      <c r="H12704" t="s">
        <v>47071</v>
      </c>
      <c r="I12704" t="s">
        <v>47120</v>
      </c>
      <c r="J12704" t="s">
        <v>47121</v>
      </c>
      <c r="K12704" t="s">
        <v>47113</v>
      </c>
      <c r="L12704">
        <v>9.85</v>
      </c>
      <c r="M12704">
        <v>20</v>
      </c>
      <c r="N12704">
        <v>0</v>
      </c>
      <c r="O12704">
        <v>20</v>
      </c>
      <c r="P12704">
        <v>0</v>
      </c>
    </row>
    <row r="12705" spans="1:16" x14ac:dyDescent="0.25">
      <c r="A12705" t="s">
        <v>35391</v>
      </c>
      <c r="B12705" t="s">
        <v>21090</v>
      </c>
      <c r="C12705" t="s">
        <v>18087</v>
      </c>
      <c r="D12705" t="s">
        <v>238</v>
      </c>
      <c r="E12705" t="s">
        <v>238</v>
      </c>
      <c r="F12705" t="s">
        <v>20053</v>
      </c>
      <c r="G12705" t="s">
        <v>47073</v>
      </c>
      <c r="H12705" t="s">
        <v>47071</v>
      </c>
      <c r="I12705" t="s">
        <v>47120</v>
      </c>
      <c r="J12705" t="s">
        <v>47121</v>
      </c>
      <c r="K12705" t="s">
        <v>47113</v>
      </c>
      <c r="L12705">
        <v>8.67</v>
      </c>
      <c r="M12705">
        <v>20</v>
      </c>
      <c r="N12705">
        <v>0</v>
      </c>
      <c r="O12705">
        <v>20</v>
      </c>
      <c r="P12705">
        <v>0</v>
      </c>
    </row>
    <row r="12706" spans="1:16" x14ac:dyDescent="0.25">
      <c r="A12706" t="s">
        <v>35392</v>
      </c>
      <c r="B12706" t="s">
        <v>21090</v>
      </c>
      <c r="C12706" t="s">
        <v>18087</v>
      </c>
      <c r="D12706" t="s">
        <v>15651</v>
      </c>
      <c r="E12706" t="s">
        <v>15652</v>
      </c>
      <c r="F12706" t="s">
        <v>20053</v>
      </c>
      <c r="G12706" t="s">
        <v>47073</v>
      </c>
      <c r="H12706" t="s">
        <v>47071</v>
      </c>
      <c r="I12706" t="s">
        <v>47120</v>
      </c>
      <c r="J12706" t="s">
        <v>47121</v>
      </c>
      <c r="K12706" t="s">
        <v>47113</v>
      </c>
      <c r="L12706">
        <v>9.85</v>
      </c>
      <c r="M12706">
        <v>20</v>
      </c>
      <c r="N12706">
        <v>0</v>
      </c>
      <c r="O12706">
        <v>20</v>
      </c>
      <c r="P12706">
        <v>0</v>
      </c>
    </row>
    <row r="12707" spans="1:16" x14ac:dyDescent="0.25">
      <c r="A12707" t="s">
        <v>35393</v>
      </c>
      <c r="B12707" t="s">
        <v>21090</v>
      </c>
      <c r="C12707" t="s">
        <v>18087</v>
      </c>
      <c r="D12707" t="s">
        <v>14429</v>
      </c>
      <c r="E12707" t="s">
        <v>60</v>
      </c>
      <c r="F12707" t="s">
        <v>20053</v>
      </c>
      <c r="G12707" t="s">
        <v>47073</v>
      </c>
      <c r="H12707" t="s">
        <v>47071</v>
      </c>
      <c r="I12707" t="s">
        <v>47120</v>
      </c>
      <c r="J12707" t="s">
        <v>47121</v>
      </c>
      <c r="K12707" t="s">
        <v>47113</v>
      </c>
      <c r="L12707">
        <v>8.67</v>
      </c>
      <c r="M12707">
        <v>20</v>
      </c>
      <c r="N12707">
        <v>0</v>
      </c>
      <c r="O12707">
        <v>20</v>
      </c>
      <c r="P12707">
        <v>0</v>
      </c>
    </row>
    <row r="12708" spans="1:16" x14ac:dyDescent="0.25">
      <c r="A12708" t="s">
        <v>35394</v>
      </c>
      <c r="B12708" t="s">
        <v>21091</v>
      </c>
      <c r="C12708" t="s">
        <v>21092</v>
      </c>
      <c r="D12708" t="s">
        <v>21093</v>
      </c>
      <c r="E12708" t="s">
        <v>21094</v>
      </c>
      <c r="F12708" t="s">
        <v>20053</v>
      </c>
      <c r="G12708" t="s">
        <v>47077</v>
      </c>
      <c r="H12708" t="s">
        <v>47071</v>
      </c>
      <c r="I12708" t="s">
        <v>47120</v>
      </c>
      <c r="J12708" t="s">
        <v>47121</v>
      </c>
      <c r="K12708" t="s">
        <v>47113</v>
      </c>
      <c r="L12708">
        <v>22.83</v>
      </c>
      <c r="M12708">
        <v>44</v>
      </c>
      <c r="N12708">
        <v>0</v>
      </c>
      <c r="O12708">
        <v>44</v>
      </c>
      <c r="P12708">
        <v>0</v>
      </c>
    </row>
    <row r="12709" spans="1:16" x14ac:dyDescent="0.25">
      <c r="A12709" t="s">
        <v>35395</v>
      </c>
      <c r="B12709" t="s">
        <v>21095</v>
      </c>
      <c r="C12709" t="s">
        <v>21096</v>
      </c>
      <c r="D12709" t="s">
        <v>20997</v>
      </c>
      <c r="E12709" t="s">
        <v>20998</v>
      </c>
      <c r="F12709" t="s">
        <v>20053</v>
      </c>
      <c r="G12709" t="s">
        <v>47077</v>
      </c>
      <c r="H12709" t="s">
        <v>47071</v>
      </c>
      <c r="I12709" t="s">
        <v>47120</v>
      </c>
      <c r="J12709" t="s">
        <v>47121</v>
      </c>
      <c r="K12709" t="s">
        <v>47113</v>
      </c>
      <c r="L12709">
        <v>22.83</v>
      </c>
      <c r="M12709">
        <v>44</v>
      </c>
      <c r="N12709">
        <v>0</v>
      </c>
      <c r="O12709">
        <v>44</v>
      </c>
      <c r="P12709">
        <v>0</v>
      </c>
    </row>
    <row r="12710" spans="1:16" x14ac:dyDescent="0.25">
      <c r="A12710" t="s">
        <v>22565</v>
      </c>
      <c r="B12710" t="s">
        <v>21095</v>
      </c>
      <c r="C12710" t="s">
        <v>21096</v>
      </c>
      <c r="D12710" t="s">
        <v>21093</v>
      </c>
      <c r="E12710" t="s">
        <v>21094</v>
      </c>
      <c r="F12710" t="s">
        <v>20053</v>
      </c>
      <c r="G12710" t="s">
        <v>47077</v>
      </c>
      <c r="H12710" t="s">
        <v>47071</v>
      </c>
      <c r="I12710" t="s">
        <v>47120</v>
      </c>
      <c r="J12710" t="s">
        <v>47121</v>
      </c>
      <c r="K12710" t="s">
        <v>47113</v>
      </c>
      <c r="L12710">
        <v>22.83</v>
      </c>
      <c r="M12710">
        <v>44</v>
      </c>
      <c r="N12710">
        <v>0</v>
      </c>
      <c r="O12710">
        <v>44</v>
      </c>
      <c r="P12710">
        <v>0</v>
      </c>
    </row>
    <row r="12711" spans="1:16" x14ac:dyDescent="0.25">
      <c r="A12711" t="s">
        <v>35396</v>
      </c>
      <c r="B12711" t="s">
        <v>9365</v>
      </c>
      <c r="C12711" t="s">
        <v>9366</v>
      </c>
      <c r="D12711" t="str">
        <f>"1001"</f>
        <v>1001</v>
      </c>
      <c r="E12711" t="s">
        <v>42</v>
      </c>
      <c r="F12711" t="s">
        <v>5</v>
      </c>
      <c r="G12711" t="s">
        <v>46688</v>
      </c>
      <c r="H12711" t="s">
        <v>47071</v>
      </c>
      <c r="I12711" t="s">
        <v>48040</v>
      </c>
      <c r="J12711" t="s">
        <v>48041</v>
      </c>
      <c r="K12711" t="s">
        <v>47113</v>
      </c>
      <c r="L12711">
        <v>15.57</v>
      </c>
      <c r="M12711">
        <v>34</v>
      </c>
      <c r="N12711">
        <v>0</v>
      </c>
      <c r="O12711">
        <v>34</v>
      </c>
      <c r="P12711">
        <v>0</v>
      </c>
    </row>
    <row r="12712" spans="1:16" x14ac:dyDescent="0.25">
      <c r="A12712" t="s">
        <v>35397</v>
      </c>
      <c r="B12712" t="s">
        <v>9365</v>
      </c>
      <c r="C12712" t="s">
        <v>9366</v>
      </c>
      <c r="D12712" t="str">
        <f>"1200"</f>
        <v>1200</v>
      </c>
      <c r="E12712" t="s">
        <v>241</v>
      </c>
      <c r="F12712" t="s">
        <v>5</v>
      </c>
      <c r="G12712" t="s">
        <v>46688</v>
      </c>
      <c r="H12712" t="s">
        <v>47071</v>
      </c>
      <c r="I12712" t="s">
        <v>48040</v>
      </c>
      <c r="J12712" t="s">
        <v>48041</v>
      </c>
      <c r="K12712" t="s">
        <v>47113</v>
      </c>
      <c r="L12712">
        <v>15.57</v>
      </c>
      <c r="M12712">
        <v>34</v>
      </c>
      <c r="N12712">
        <v>0</v>
      </c>
      <c r="O12712">
        <v>34</v>
      </c>
      <c r="P12712">
        <v>0</v>
      </c>
    </row>
    <row r="12713" spans="1:16" x14ac:dyDescent="0.25">
      <c r="A12713" t="s">
        <v>35398</v>
      </c>
      <c r="B12713" t="s">
        <v>9365</v>
      </c>
      <c r="C12713" t="s">
        <v>9366</v>
      </c>
      <c r="D12713" t="str">
        <f>"4100"</f>
        <v>4100</v>
      </c>
      <c r="E12713" t="s">
        <v>2383</v>
      </c>
      <c r="F12713" t="s">
        <v>5</v>
      </c>
      <c r="G12713" t="s">
        <v>46688</v>
      </c>
      <c r="H12713" t="s">
        <v>47071</v>
      </c>
      <c r="I12713" t="s">
        <v>48040</v>
      </c>
      <c r="J12713" t="s">
        <v>48041</v>
      </c>
      <c r="K12713" t="s">
        <v>47113</v>
      </c>
      <c r="L12713">
        <v>15.57</v>
      </c>
      <c r="M12713">
        <v>34</v>
      </c>
      <c r="N12713">
        <v>0</v>
      </c>
      <c r="O12713">
        <v>34</v>
      </c>
      <c r="P12713">
        <v>0</v>
      </c>
    </row>
    <row r="12714" spans="1:16" x14ac:dyDescent="0.25">
      <c r="A12714" t="s">
        <v>35399</v>
      </c>
      <c r="B12714" t="s">
        <v>35400</v>
      </c>
      <c r="C12714" t="s">
        <v>35401</v>
      </c>
      <c r="D12714" t="s">
        <v>35402</v>
      </c>
      <c r="E12714" t="s">
        <v>2383</v>
      </c>
      <c r="F12714" t="s">
        <v>24019</v>
      </c>
      <c r="G12714" t="s">
        <v>47075</v>
      </c>
      <c r="H12714" t="s">
        <v>47071</v>
      </c>
      <c r="I12714" t="s">
        <v>47120</v>
      </c>
      <c r="J12714" t="s">
        <v>47121</v>
      </c>
      <c r="K12714" t="s">
        <v>47113</v>
      </c>
      <c r="L12714">
        <v>25.6</v>
      </c>
      <c r="M12714">
        <v>52</v>
      </c>
      <c r="N12714">
        <v>129</v>
      </c>
      <c r="O12714">
        <v>52</v>
      </c>
      <c r="P12714">
        <v>129</v>
      </c>
    </row>
    <row r="12715" spans="1:16" x14ac:dyDescent="0.25">
      <c r="A12715" t="s">
        <v>35403</v>
      </c>
      <c r="B12715" t="s">
        <v>35400</v>
      </c>
      <c r="C12715" t="s">
        <v>35401</v>
      </c>
      <c r="D12715" t="s">
        <v>238</v>
      </c>
      <c r="E12715" t="s">
        <v>238</v>
      </c>
      <c r="F12715" t="s">
        <v>24019</v>
      </c>
      <c r="G12715" t="s">
        <v>47075</v>
      </c>
      <c r="H12715" t="s">
        <v>47071</v>
      </c>
      <c r="I12715" t="s">
        <v>47120</v>
      </c>
      <c r="J12715" t="s">
        <v>47121</v>
      </c>
      <c r="K12715" t="s">
        <v>47113</v>
      </c>
      <c r="L12715">
        <v>25.6</v>
      </c>
      <c r="M12715">
        <v>52</v>
      </c>
      <c r="N12715">
        <v>129</v>
      </c>
      <c r="O12715">
        <v>52</v>
      </c>
      <c r="P12715">
        <v>129</v>
      </c>
    </row>
    <row r="12716" spans="1:16" x14ac:dyDescent="0.25">
      <c r="A12716" t="s">
        <v>35404</v>
      </c>
      <c r="B12716" t="s">
        <v>35405</v>
      </c>
      <c r="C12716" t="s">
        <v>35406</v>
      </c>
      <c r="D12716" t="s">
        <v>15740</v>
      </c>
      <c r="E12716" t="s">
        <v>42</v>
      </c>
      <c r="F12716" t="s">
        <v>24019</v>
      </c>
      <c r="G12716" t="s">
        <v>47075</v>
      </c>
      <c r="H12716" t="s">
        <v>47071</v>
      </c>
      <c r="I12716" t="s">
        <v>47120</v>
      </c>
      <c r="J12716" t="s">
        <v>47121</v>
      </c>
      <c r="K12716" t="s">
        <v>47113</v>
      </c>
      <c r="L12716">
        <v>22.23</v>
      </c>
      <c r="M12716">
        <v>44</v>
      </c>
      <c r="N12716">
        <v>0</v>
      </c>
      <c r="O12716">
        <v>44</v>
      </c>
      <c r="P12716">
        <v>0</v>
      </c>
    </row>
    <row r="12717" spans="1:16" x14ac:dyDescent="0.25">
      <c r="A12717" t="s">
        <v>35407</v>
      </c>
      <c r="B12717" t="s">
        <v>35408</v>
      </c>
      <c r="C12717" t="s">
        <v>35409</v>
      </c>
      <c r="D12717" t="s">
        <v>21035</v>
      </c>
      <c r="E12717" t="s">
        <v>21036</v>
      </c>
      <c r="F12717" t="s">
        <v>24019</v>
      </c>
      <c r="G12717" t="s">
        <v>47075</v>
      </c>
      <c r="H12717" t="s">
        <v>47071</v>
      </c>
      <c r="I12717" t="s">
        <v>47120</v>
      </c>
      <c r="J12717" t="s">
        <v>47121</v>
      </c>
      <c r="K12717" t="s">
        <v>47113</v>
      </c>
      <c r="L12717">
        <v>23.37</v>
      </c>
      <c r="M12717">
        <v>48</v>
      </c>
      <c r="N12717">
        <v>0</v>
      </c>
      <c r="O12717">
        <v>48</v>
      </c>
      <c r="P12717">
        <v>0</v>
      </c>
    </row>
    <row r="12718" spans="1:16" x14ac:dyDescent="0.25">
      <c r="A12718" t="s">
        <v>35410</v>
      </c>
      <c r="B12718" t="s">
        <v>35411</v>
      </c>
      <c r="C12718" t="s">
        <v>35412</v>
      </c>
      <c r="D12718" t="s">
        <v>15740</v>
      </c>
      <c r="E12718" t="s">
        <v>42</v>
      </c>
      <c r="F12718" t="s">
        <v>24019</v>
      </c>
      <c r="G12718" t="s">
        <v>47075</v>
      </c>
      <c r="H12718" t="s">
        <v>47071</v>
      </c>
      <c r="I12718" t="s">
        <v>47120</v>
      </c>
      <c r="J12718" t="s">
        <v>47121</v>
      </c>
      <c r="K12718" t="s">
        <v>47113</v>
      </c>
      <c r="L12718">
        <v>22.23</v>
      </c>
      <c r="M12718">
        <v>44</v>
      </c>
      <c r="N12718">
        <v>0</v>
      </c>
      <c r="O12718">
        <v>44</v>
      </c>
      <c r="P12718">
        <v>0</v>
      </c>
    </row>
    <row r="12719" spans="1:16" x14ac:dyDescent="0.25">
      <c r="A12719" t="s">
        <v>35413</v>
      </c>
      <c r="B12719" t="s">
        <v>35411</v>
      </c>
      <c r="C12719" t="s">
        <v>35412</v>
      </c>
      <c r="D12719" t="s">
        <v>15692</v>
      </c>
      <c r="E12719" t="s">
        <v>46</v>
      </c>
      <c r="F12719" t="s">
        <v>24019</v>
      </c>
      <c r="G12719" t="s">
        <v>47075</v>
      </c>
      <c r="H12719" t="s">
        <v>47071</v>
      </c>
      <c r="I12719" t="s">
        <v>47120</v>
      </c>
      <c r="J12719" t="s">
        <v>47121</v>
      </c>
      <c r="K12719" t="s">
        <v>47113</v>
      </c>
      <c r="L12719">
        <v>22.23</v>
      </c>
      <c r="M12719">
        <v>44</v>
      </c>
      <c r="N12719">
        <v>0</v>
      </c>
      <c r="O12719">
        <v>44</v>
      </c>
      <c r="P12719">
        <v>0</v>
      </c>
    </row>
    <row r="12720" spans="1:16" x14ac:dyDescent="0.25">
      <c r="A12720" t="s">
        <v>35414</v>
      </c>
      <c r="B12720" t="s">
        <v>35411</v>
      </c>
      <c r="C12720" t="s">
        <v>35412</v>
      </c>
      <c r="D12720" t="s">
        <v>15752</v>
      </c>
      <c r="E12720" t="s">
        <v>15753</v>
      </c>
      <c r="F12720" t="s">
        <v>24019</v>
      </c>
      <c r="G12720" t="s">
        <v>47075</v>
      </c>
      <c r="H12720" t="s">
        <v>47071</v>
      </c>
      <c r="I12720" t="s">
        <v>47120</v>
      </c>
      <c r="J12720" t="s">
        <v>47121</v>
      </c>
      <c r="K12720" t="s">
        <v>47113</v>
      </c>
      <c r="L12720">
        <v>22.23</v>
      </c>
      <c r="M12720">
        <v>44</v>
      </c>
      <c r="N12720">
        <v>0</v>
      </c>
      <c r="O12720">
        <v>44</v>
      </c>
      <c r="P12720">
        <v>0</v>
      </c>
    </row>
    <row r="12721" spans="1:16" x14ac:dyDescent="0.25">
      <c r="A12721" t="s">
        <v>35415</v>
      </c>
      <c r="B12721" t="s">
        <v>35411</v>
      </c>
      <c r="C12721" t="s">
        <v>35412</v>
      </c>
      <c r="D12721" t="s">
        <v>35416</v>
      </c>
      <c r="E12721" t="s">
        <v>35417</v>
      </c>
      <c r="F12721" t="s">
        <v>24019</v>
      </c>
      <c r="G12721" t="s">
        <v>47075</v>
      </c>
      <c r="H12721" t="s">
        <v>47071</v>
      </c>
      <c r="I12721" t="s">
        <v>47120</v>
      </c>
      <c r="J12721" t="s">
        <v>47121</v>
      </c>
      <c r="K12721" t="s">
        <v>47113</v>
      </c>
      <c r="L12721">
        <v>22.23</v>
      </c>
      <c r="M12721">
        <v>44</v>
      </c>
      <c r="N12721">
        <v>0</v>
      </c>
      <c r="O12721">
        <v>44</v>
      </c>
      <c r="P12721">
        <v>0</v>
      </c>
    </row>
    <row r="12722" spans="1:16" x14ac:dyDescent="0.25">
      <c r="A12722" t="s">
        <v>35418</v>
      </c>
      <c r="B12722" t="s">
        <v>35411</v>
      </c>
      <c r="C12722" t="s">
        <v>35412</v>
      </c>
      <c r="D12722" t="s">
        <v>15651</v>
      </c>
      <c r="E12722" t="s">
        <v>15652</v>
      </c>
      <c r="F12722" t="s">
        <v>24019</v>
      </c>
      <c r="G12722" t="s">
        <v>47075</v>
      </c>
      <c r="H12722" t="s">
        <v>47071</v>
      </c>
      <c r="I12722" t="s">
        <v>47120</v>
      </c>
      <c r="J12722" t="s">
        <v>47121</v>
      </c>
      <c r="K12722" t="s">
        <v>47113</v>
      </c>
      <c r="L12722">
        <v>22.23</v>
      </c>
      <c r="M12722">
        <v>44</v>
      </c>
      <c r="N12722">
        <v>0</v>
      </c>
      <c r="O12722">
        <v>44</v>
      </c>
      <c r="P12722">
        <v>0</v>
      </c>
    </row>
    <row r="12723" spans="1:16" x14ac:dyDescent="0.25">
      <c r="A12723" t="s">
        <v>35419</v>
      </c>
      <c r="B12723" t="s">
        <v>35420</v>
      </c>
      <c r="C12723" t="s">
        <v>35421</v>
      </c>
      <c r="D12723" t="s">
        <v>15740</v>
      </c>
      <c r="E12723" t="s">
        <v>42</v>
      </c>
      <c r="F12723" t="s">
        <v>24019</v>
      </c>
      <c r="G12723" t="s">
        <v>47076</v>
      </c>
      <c r="H12723" t="s">
        <v>47071</v>
      </c>
      <c r="I12723" t="s">
        <v>47120</v>
      </c>
      <c r="J12723" t="s">
        <v>47121</v>
      </c>
      <c r="K12723" t="s">
        <v>47113</v>
      </c>
      <c r="L12723">
        <v>36.299999999999997</v>
      </c>
      <c r="M12723">
        <v>80</v>
      </c>
      <c r="N12723">
        <v>0</v>
      </c>
      <c r="O12723">
        <v>80</v>
      </c>
      <c r="P12723">
        <v>0</v>
      </c>
    </row>
    <row r="12724" spans="1:16" x14ac:dyDescent="0.25">
      <c r="A12724" t="s">
        <v>35422</v>
      </c>
      <c r="B12724" t="s">
        <v>35423</v>
      </c>
      <c r="C12724" t="s">
        <v>18102</v>
      </c>
      <c r="D12724" t="s">
        <v>15740</v>
      </c>
      <c r="E12724" t="s">
        <v>42</v>
      </c>
      <c r="F12724" t="s">
        <v>24019</v>
      </c>
      <c r="G12724" t="s">
        <v>47076</v>
      </c>
      <c r="H12724" t="s">
        <v>47071</v>
      </c>
      <c r="I12724" t="s">
        <v>47120</v>
      </c>
      <c r="J12724" t="s">
        <v>47121</v>
      </c>
      <c r="K12724" t="s">
        <v>47113</v>
      </c>
      <c r="L12724">
        <v>33.49</v>
      </c>
      <c r="M12724">
        <v>60</v>
      </c>
      <c r="N12724">
        <v>0</v>
      </c>
      <c r="O12724">
        <v>60</v>
      </c>
      <c r="P12724">
        <v>0</v>
      </c>
    </row>
    <row r="12725" spans="1:16" x14ac:dyDescent="0.25">
      <c r="A12725" t="s">
        <v>35424</v>
      </c>
      <c r="B12725" t="s">
        <v>35423</v>
      </c>
      <c r="C12725" t="s">
        <v>18102</v>
      </c>
      <c r="D12725" t="s">
        <v>35425</v>
      </c>
      <c r="E12725" t="s">
        <v>35426</v>
      </c>
      <c r="F12725" t="s">
        <v>24019</v>
      </c>
      <c r="G12725" t="s">
        <v>47076</v>
      </c>
      <c r="H12725" t="s">
        <v>47071</v>
      </c>
      <c r="I12725" t="s">
        <v>47120</v>
      </c>
      <c r="J12725" t="s">
        <v>47121</v>
      </c>
      <c r="K12725" t="s">
        <v>47113</v>
      </c>
      <c r="L12725">
        <v>33.49</v>
      </c>
      <c r="M12725">
        <v>60</v>
      </c>
      <c r="N12725">
        <v>0</v>
      </c>
      <c r="O12725">
        <v>60</v>
      </c>
      <c r="P12725">
        <v>0</v>
      </c>
    </row>
    <row r="12726" spans="1:16" x14ac:dyDescent="0.25">
      <c r="A12726" t="s">
        <v>35427</v>
      </c>
      <c r="B12726" t="s">
        <v>35428</v>
      </c>
      <c r="C12726" t="s">
        <v>35292</v>
      </c>
      <c r="D12726" t="s">
        <v>35429</v>
      </c>
      <c r="E12726" t="s">
        <v>35430</v>
      </c>
      <c r="F12726" t="s">
        <v>24019</v>
      </c>
      <c r="G12726" t="s">
        <v>47072</v>
      </c>
      <c r="H12726" t="s">
        <v>47071</v>
      </c>
      <c r="I12726" t="s">
        <v>47120</v>
      </c>
      <c r="J12726" t="s">
        <v>47121</v>
      </c>
      <c r="K12726" t="s">
        <v>47113</v>
      </c>
      <c r="L12726">
        <v>35</v>
      </c>
      <c r="M12726">
        <v>76</v>
      </c>
      <c r="N12726">
        <v>189</v>
      </c>
      <c r="O12726">
        <v>76</v>
      </c>
      <c r="P12726">
        <v>189</v>
      </c>
    </row>
    <row r="12727" spans="1:16" x14ac:dyDescent="0.25">
      <c r="A12727" t="s">
        <v>35431</v>
      </c>
      <c r="B12727" t="s">
        <v>35432</v>
      </c>
      <c r="C12727" t="s">
        <v>35433</v>
      </c>
      <c r="D12727" t="s">
        <v>35434</v>
      </c>
      <c r="E12727" t="s">
        <v>35435</v>
      </c>
      <c r="F12727" t="s">
        <v>24019</v>
      </c>
      <c r="G12727" t="s">
        <v>47072</v>
      </c>
      <c r="H12727" t="s">
        <v>47071</v>
      </c>
      <c r="I12727" t="s">
        <v>47116</v>
      </c>
      <c r="J12727" t="s">
        <v>47117</v>
      </c>
      <c r="K12727" t="s">
        <v>47113</v>
      </c>
      <c r="L12727">
        <v>33.869999999999997</v>
      </c>
      <c r="M12727">
        <v>80</v>
      </c>
      <c r="N12727">
        <v>0</v>
      </c>
      <c r="O12727">
        <v>80</v>
      </c>
      <c r="P12727">
        <v>0</v>
      </c>
    </row>
    <row r="12728" spans="1:16" x14ac:dyDescent="0.25">
      <c r="A12728" t="s">
        <v>35436</v>
      </c>
      <c r="B12728" t="s">
        <v>35437</v>
      </c>
      <c r="C12728" t="s">
        <v>35310</v>
      </c>
      <c r="D12728" t="s">
        <v>35438</v>
      </c>
      <c r="E12728" t="s">
        <v>35439</v>
      </c>
      <c r="F12728" t="s">
        <v>24019</v>
      </c>
      <c r="G12728" t="s">
        <v>47072</v>
      </c>
      <c r="H12728" t="s">
        <v>47071</v>
      </c>
      <c r="I12728" t="s">
        <v>47116</v>
      </c>
      <c r="J12728" t="s">
        <v>47117</v>
      </c>
      <c r="K12728" t="s">
        <v>47113</v>
      </c>
      <c r="L12728">
        <v>20.74</v>
      </c>
      <c r="M12728">
        <v>52</v>
      </c>
      <c r="N12728">
        <v>0</v>
      </c>
      <c r="O12728">
        <v>52</v>
      </c>
      <c r="P12728">
        <v>0</v>
      </c>
    </row>
    <row r="12729" spans="1:16" x14ac:dyDescent="0.25">
      <c r="A12729" t="s">
        <v>35440</v>
      </c>
      <c r="B12729" t="s">
        <v>35441</v>
      </c>
      <c r="C12729" t="s">
        <v>35442</v>
      </c>
      <c r="D12729" t="s">
        <v>35443</v>
      </c>
      <c r="E12729" t="s">
        <v>35444</v>
      </c>
      <c r="F12729" t="s">
        <v>24019</v>
      </c>
      <c r="G12729" t="s">
        <v>47072</v>
      </c>
      <c r="H12729" t="s">
        <v>47071</v>
      </c>
      <c r="I12729" t="s">
        <v>47116</v>
      </c>
      <c r="J12729" t="s">
        <v>47117</v>
      </c>
      <c r="K12729" t="s">
        <v>47113</v>
      </c>
      <c r="L12729">
        <v>23.37</v>
      </c>
      <c r="M12729">
        <v>52</v>
      </c>
      <c r="N12729">
        <v>0</v>
      </c>
      <c r="O12729">
        <v>52</v>
      </c>
      <c r="P12729">
        <v>0</v>
      </c>
    </row>
    <row r="12730" spans="1:16" x14ac:dyDescent="0.25">
      <c r="A12730" t="s">
        <v>35445</v>
      </c>
      <c r="B12730" t="s">
        <v>35446</v>
      </c>
      <c r="C12730" t="s">
        <v>21005</v>
      </c>
      <c r="D12730" t="s">
        <v>35447</v>
      </c>
      <c r="E12730" t="s">
        <v>35448</v>
      </c>
      <c r="F12730" t="s">
        <v>24019</v>
      </c>
      <c r="G12730" t="s">
        <v>47072</v>
      </c>
      <c r="H12730" t="s">
        <v>47071</v>
      </c>
      <c r="I12730" t="s">
        <v>47116</v>
      </c>
      <c r="J12730" t="s">
        <v>47117</v>
      </c>
      <c r="K12730" t="s">
        <v>47113</v>
      </c>
      <c r="L12730">
        <v>33.869999999999997</v>
      </c>
      <c r="M12730">
        <v>80</v>
      </c>
      <c r="N12730">
        <v>0</v>
      </c>
      <c r="O12730">
        <v>80</v>
      </c>
      <c r="P12730">
        <v>0</v>
      </c>
    </row>
    <row r="12731" spans="1:16" x14ac:dyDescent="0.25">
      <c r="A12731" t="s">
        <v>35449</v>
      </c>
      <c r="B12731" t="s">
        <v>35450</v>
      </c>
      <c r="C12731" t="s">
        <v>35451</v>
      </c>
      <c r="D12731" t="s">
        <v>35452</v>
      </c>
      <c r="E12731" t="s">
        <v>35453</v>
      </c>
      <c r="F12731" t="s">
        <v>24019</v>
      </c>
      <c r="G12731" t="s">
        <v>47072</v>
      </c>
      <c r="H12731" t="s">
        <v>47071</v>
      </c>
      <c r="I12731" t="s">
        <v>47116</v>
      </c>
      <c r="J12731" t="s">
        <v>47117</v>
      </c>
      <c r="K12731" t="s">
        <v>47113</v>
      </c>
      <c r="L12731">
        <v>23.37</v>
      </c>
      <c r="M12731">
        <v>52</v>
      </c>
      <c r="N12731">
        <v>0</v>
      </c>
      <c r="O12731">
        <v>52</v>
      </c>
      <c r="P12731">
        <v>0</v>
      </c>
    </row>
    <row r="12732" spans="1:16" x14ac:dyDescent="0.25">
      <c r="A12732" t="s">
        <v>35454</v>
      </c>
      <c r="B12732" t="s">
        <v>35450</v>
      </c>
      <c r="C12732" t="s">
        <v>35451</v>
      </c>
      <c r="D12732" t="s">
        <v>35455</v>
      </c>
      <c r="E12732" t="s">
        <v>35456</v>
      </c>
      <c r="F12732" t="s">
        <v>24019</v>
      </c>
      <c r="G12732" t="s">
        <v>47072</v>
      </c>
      <c r="H12732" t="s">
        <v>47071</v>
      </c>
      <c r="I12732" t="s">
        <v>47116</v>
      </c>
      <c r="J12732" t="s">
        <v>47117</v>
      </c>
      <c r="K12732" t="s">
        <v>47113</v>
      </c>
      <c r="L12732">
        <v>23.37</v>
      </c>
      <c r="M12732">
        <v>52</v>
      </c>
      <c r="N12732">
        <v>0</v>
      </c>
      <c r="O12732">
        <v>52</v>
      </c>
      <c r="P12732">
        <v>0</v>
      </c>
    </row>
    <row r="12733" spans="1:16" x14ac:dyDescent="0.25">
      <c r="A12733" t="s">
        <v>35457</v>
      </c>
      <c r="B12733" t="s">
        <v>35458</v>
      </c>
      <c r="C12733" t="s">
        <v>32500</v>
      </c>
      <c r="D12733" t="s">
        <v>18055</v>
      </c>
      <c r="E12733" t="s">
        <v>18056</v>
      </c>
      <c r="F12733" t="s">
        <v>24019</v>
      </c>
      <c r="G12733" t="s">
        <v>47072</v>
      </c>
      <c r="H12733" t="s">
        <v>47071</v>
      </c>
      <c r="I12733" t="s">
        <v>47116</v>
      </c>
      <c r="J12733" t="s">
        <v>47117</v>
      </c>
      <c r="K12733" t="s">
        <v>47113</v>
      </c>
      <c r="L12733">
        <v>33.869999999999997</v>
      </c>
      <c r="M12733">
        <v>80</v>
      </c>
      <c r="N12733">
        <v>0</v>
      </c>
      <c r="O12733">
        <v>80</v>
      </c>
      <c r="P12733">
        <v>0</v>
      </c>
    </row>
    <row r="12734" spans="1:16" x14ac:dyDescent="0.25">
      <c r="A12734" t="s">
        <v>35459</v>
      </c>
      <c r="B12734" t="s">
        <v>35458</v>
      </c>
      <c r="C12734" t="s">
        <v>32500</v>
      </c>
      <c r="D12734" t="s">
        <v>18138</v>
      </c>
      <c r="E12734" t="s">
        <v>18139</v>
      </c>
      <c r="F12734" t="s">
        <v>24019</v>
      </c>
      <c r="G12734" t="s">
        <v>47072</v>
      </c>
      <c r="H12734" t="s">
        <v>47071</v>
      </c>
      <c r="I12734" t="s">
        <v>47116</v>
      </c>
      <c r="J12734" t="s">
        <v>47117</v>
      </c>
      <c r="K12734" t="s">
        <v>47113</v>
      </c>
      <c r="L12734">
        <v>33.869999999999997</v>
      </c>
      <c r="M12734">
        <v>80</v>
      </c>
      <c r="N12734">
        <v>0</v>
      </c>
      <c r="O12734">
        <v>80</v>
      </c>
      <c r="P12734">
        <v>0</v>
      </c>
    </row>
    <row r="12735" spans="1:16" x14ac:dyDescent="0.25">
      <c r="A12735" t="s">
        <v>35460</v>
      </c>
      <c r="B12735" t="s">
        <v>35461</v>
      </c>
      <c r="C12735" t="s">
        <v>16144</v>
      </c>
      <c r="D12735" t="s">
        <v>18055</v>
      </c>
      <c r="E12735" t="s">
        <v>18056</v>
      </c>
      <c r="F12735" t="s">
        <v>24019</v>
      </c>
      <c r="G12735" t="s">
        <v>47072</v>
      </c>
      <c r="H12735" t="s">
        <v>47071</v>
      </c>
      <c r="I12735" t="s">
        <v>47120</v>
      </c>
      <c r="J12735" t="s">
        <v>47121</v>
      </c>
      <c r="K12735" t="s">
        <v>47113</v>
      </c>
      <c r="L12735">
        <v>35</v>
      </c>
      <c r="M12735">
        <v>76</v>
      </c>
      <c r="N12735">
        <v>189</v>
      </c>
      <c r="O12735">
        <v>76</v>
      </c>
      <c r="P12735">
        <v>189</v>
      </c>
    </row>
    <row r="12736" spans="1:16" x14ac:dyDescent="0.25">
      <c r="A12736" t="s">
        <v>35462</v>
      </c>
      <c r="B12736" t="s">
        <v>35463</v>
      </c>
      <c r="C12736" t="s">
        <v>35464</v>
      </c>
      <c r="D12736" t="s">
        <v>9520</v>
      </c>
      <c r="E12736" t="s">
        <v>8838</v>
      </c>
      <c r="F12736" t="s">
        <v>24019</v>
      </c>
      <c r="G12736" t="s">
        <v>47077</v>
      </c>
      <c r="H12736" t="s">
        <v>47071</v>
      </c>
      <c r="I12736" t="s">
        <v>47120</v>
      </c>
      <c r="J12736" t="s">
        <v>47121</v>
      </c>
      <c r="K12736" t="s">
        <v>47113</v>
      </c>
      <c r="L12736">
        <v>25.93</v>
      </c>
      <c r="M12736">
        <v>64</v>
      </c>
      <c r="N12736">
        <v>159</v>
      </c>
      <c r="O12736">
        <v>64</v>
      </c>
      <c r="P12736">
        <v>159</v>
      </c>
    </row>
    <row r="12737" spans="1:16" x14ac:dyDescent="0.25">
      <c r="A12737" t="s">
        <v>35465</v>
      </c>
      <c r="B12737" t="s">
        <v>35463</v>
      </c>
      <c r="C12737" t="s">
        <v>35464</v>
      </c>
      <c r="D12737" t="s">
        <v>35381</v>
      </c>
      <c r="E12737" t="s">
        <v>35382</v>
      </c>
      <c r="F12737" t="s">
        <v>24019</v>
      </c>
      <c r="G12737" t="s">
        <v>47077</v>
      </c>
      <c r="H12737" t="s">
        <v>47071</v>
      </c>
      <c r="I12737" t="s">
        <v>47120</v>
      </c>
      <c r="J12737" t="s">
        <v>47121</v>
      </c>
      <c r="K12737" t="s">
        <v>47113</v>
      </c>
      <c r="L12737">
        <v>25.93</v>
      </c>
      <c r="M12737">
        <v>64</v>
      </c>
      <c r="N12737">
        <v>159</v>
      </c>
      <c r="O12737">
        <v>64</v>
      </c>
      <c r="P12737">
        <v>159</v>
      </c>
    </row>
    <row r="12738" spans="1:16" x14ac:dyDescent="0.25">
      <c r="A12738" t="s">
        <v>35466</v>
      </c>
      <c r="B12738" t="s">
        <v>35467</v>
      </c>
      <c r="C12738" t="s">
        <v>18122</v>
      </c>
      <c r="D12738" t="s">
        <v>35468</v>
      </c>
      <c r="E12738" t="s">
        <v>35469</v>
      </c>
      <c r="F12738" t="s">
        <v>24019</v>
      </c>
      <c r="G12738" t="s">
        <v>47077</v>
      </c>
      <c r="H12738" t="s">
        <v>47071</v>
      </c>
      <c r="I12738" t="s">
        <v>47116</v>
      </c>
      <c r="J12738" t="s">
        <v>47117</v>
      </c>
      <c r="K12738" t="s">
        <v>47113</v>
      </c>
      <c r="L12738">
        <v>20.74</v>
      </c>
      <c r="M12738">
        <v>52</v>
      </c>
      <c r="N12738">
        <v>0</v>
      </c>
      <c r="O12738">
        <v>52</v>
      </c>
      <c r="P12738">
        <v>0</v>
      </c>
    </row>
    <row r="12739" spans="1:16" x14ac:dyDescent="0.25">
      <c r="A12739" t="s">
        <v>35470</v>
      </c>
      <c r="B12739" t="s">
        <v>35467</v>
      </c>
      <c r="C12739" t="s">
        <v>18122</v>
      </c>
      <c r="D12739" t="s">
        <v>35471</v>
      </c>
      <c r="E12739" t="s">
        <v>35472</v>
      </c>
      <c r="F12739" t="s">
        <v>24019</v>
      </c>
      <c r="G12739" t="s">
        <v>47077</v>
      </c>
      <c r="H12739" t="s">
        <v>47071</v>
      </c>
      <c r="I12739" t="s">
        <v>47116</v>
      </c>
      <c r="J12739" t="s">
        <v>47117</v>
      </c>
      <c r="K12739" t="s">
        <v>47113</v>
      </c>
      <c r="L12739">
        <v>20.74</v>
      </c>
      <c r="M12739">
        <v>52</v>
      </c>
      <c r="N12739">
        <v>0</v>
      </c>
      <c r="O12739">
        <v>52</v>
      </c>
      <c r="P12739">
        <v>0</v>
      </c>
    </row>
    <row r="12740" spans="1:16" x14ac:dyDescent="0.25">
      <c r="A12740" t="s">
        <v>35473</v>
      </c>
      <c r="B12740" t="s">
        <v>35474</v>
      </c>
      <c r="C12740" t="s">
        <v>4249</v>
      </c>
      <c r="D12740" t="s">
        <v>35475</v>
      </c>
      <c r="E12740" t="s">
        <v>35476</v>
      </c>
      <c r="F12740" t="s">
        <v>24019</v>
      </c>
      <c r="G12740" t="s">
        <v>47072</v>
      </c>
      <c r="H12740" t="s">
        <v>47071</v>
      </c>
      <c r="I12740" t="s">
        <v>47116</v>
      </c>
      <c r="J12740" t="s">
        <v>47117</v>
      </c>
      <c r="K12740" t="s">
        <v>47113</v>
      </c>
      <c r="L12740">
        <v>20.74</v>
      </c>
      <c r="M12740">
        <v>52</v>
      </c>
      <c r="N12740">
        <v>0</v>
      </c>
      <c r="O12740">
        <v>52</v>
      </c>
      <c r="P12740">
        <v>0</v>
      </c>
    </row>
    <row r="12741" spans="1:16" x14ac:dyDescent="0.25">
      <c r="A12741" t="s">
        <v>35477</v>
      </c>
      <c r="B12741" t="s">
        <v>35478</v>
      </c>
      <c r="C12741" t="s">
        <v>35479</v>
      </c>
      <c r="D12741" t="s">
        <v>35480</v>
      </c>
      <c r="E12741" t="s">
        <v>35481</v>
      </c>
      <c r="F12741" t="s">
        <v>24019</v>
      </c>
      <c r="G12741" t="s">
        <v>47072</v>
      </c>
      <c r="H12741" t="s">
        <v>47071</v>
      </c>
      <c r="I12741" t="s">
        <v>47116</v>
      </c>
      <c r="J12741" t="s">
        <v>47117</v>
      </c>
      <c r="K12741" t="s">
        <v>47113</v>
      </c>
      <c r="L12741">
        <v>33.869999999999997</v>
      </c>
      <c r="M12741">
        <v>80</v>
      </c>
      <c r="N12741">
        <v>0</v>
      </c>
      <c r="O12741">
        <v>80</v>
      </c>
      <c r="P12741">
        <v>0</v>
      </c>
    </row>
    <row r="12742" spans="1:16" x14ac:dyDescent="0.25">
      <c r="A12742" t="s">
        <v>35482</v>
      </c>
      <c r="B12742" t="s">
        <v>35483</v>
      </c>
      <c r="C12742" t="s">
        <v>35484</v>
      </c>
      <c r="D12742" t="s">
        <v>35485</v>
      </c>
      <c r="E12742" t="s">
        <v>35486</v>
      </c>
      <c r="F12742" t="s">
        <v>24019</v>
      </c>
      <c r="G12742" t="s">
        <v>47072</v>
      </c>
      <c r="H12742" t="s">
        <v>47071</v>
      </c>
      <c r="I12742" t="s">
        <v>47116</v>
      </c>
      <c r="J12742" t="s">
        <v>47117</v>
      </c>
      <c r="K12742" t="s">
        <v>47113</v>
      </c>
      <c r="L12742">
        <v>23.37</v>
      </c>
      <c r="M12742">
        <v>52</v>
      </c>
      <c r="N12742">
        <v>0</v>
      </c>
      <c r="O12742">
        <v>52</v>
      </c>
      <c r="P12742">
        <v>0</v>
      </c>
    </row>
    <row r="12743" spans="1:16" x14ac:dyDescent="0.25">
      <c r="A12743" t="s">
        <v>35487</v>
      </c>
      <c r="B12743" t="s">
        <v>35488</v>
      </c>
      <c r="C12743" t="s">
        <v>15709</v>
      </c>
      <c r="D12743" t="s">
        <v>35489</v>
      </c>
      <c r="E12743" t="s">
        <v>35490</v>
      </c>
      <c r="F12743" t="s">
        <v>24019</v>
      </c>
      <c r="G12743" t="s">
        <v>47072</v>
      </c>
      <c r="H12743" t="s">
        <v>47071</v>
      </c>
      <c r="I12743" t="s">
        <v>47116</v>
      </c>
      <c r="J12743" t="s">
        <v>47117</v>
      </c>
      <c r="K12743" t="s">
        <v>47113</v>
      </c>
      <c r="L12743">
        <v>33.869999999999997</v>
      </c>
      <c r="M12743">
        <v>80</v>
      </c>
      <c r="N12743">
        <v>0</v>
      </c>
      <c r="O12743">
        <v>80</v>
      </c>
      <c r="P12743">
        <v>0</v>
      </c>
    </row>
    <row r="12744" spans="1:16" x14ac:dyDescent="0.25">
      <c r="A12744" t="s">
        <v>35491</v>
      </c>
      <c r="B12744" t="s">
        <v>35492</v>
      </c>
      <c r="C12744" t="s">
        <v>35493</v>
      </c>
      <c r="D12744" t="s">
        <v>21152</v>
      </c>
      <c r="E12744" t="s">
        <v>21153</v>
      </c>
      <c r="F12744" t="s">
        <v>24019</v>
      </c>
      <c r="G12744" t="s">
        <v>47072</v>
      </c>
      <c r="H12744" t="s">
        <v>47071</v>
      </c>
      <c r="I12744" t="s">
        <v>47116</v>
      </c>
      <c r="J12744" t="s">
        <v>47117</v>
      </c>
      <c r="K12744" t="s">
        <v>47113</v>
      </c>
      <c r="L12744">
        <v>33.869999999999997</v>
      </c>
      <c r="M12744">
        <v>80</v>
      </c>
      <c r="N12744">
        <v>0</v>
      </c>
      <c r="O12744">
        <v>80</v>
      </c>
      <c r="P12744">
        <v>0</v>
      </c>
    </row>
    <row r="12745" spans="1:16" x14ac:dyDescent="0.25">
      <c r="A12745" t="s">
        <v>35494</v>
      </c>
      <c r="B12745" t="s">
        <v>35495</v>
      </c>
      <c r="C12745" t="s">
        <v>35433</v>
      </c>
      <c r="D12745" t="s">
        <v>18055</v>
      </c>
      <c r="E12745" t="s">
        <v>18056</v>
      </c>
      <c r="F12745" t="s">
        <v>24019</v>
      </c>
      <c r="G12745" t="s">
        <v>47072</v>
      </c>
      <c r="H12745" t="s">
        <v>47071</v>
      </c>
      <c r="I12745" t="s">
        <v>47116</v>
      </c>
      <c r="J12745" t="s">
        <v>47117</v>
      </c>
      <c r="K12745" t="s">
        <v>47113</v>
      </c>
      <c r="L12745">
        <v>33.869999999999997</v>
      </c>
      <c r="M12745">
        <v>80</v>
      </c>
      <c r="N12745">
        <v>0</v>
      </c>
      <c r="O12745">
        <v>80</v>
      </c>
      <c r="P12745">
        <v>0</v>
      </c>
    </row>
    <row r="12746" spans="1:16" x14ac:dyDescent="0.25">
      <c r="A12746" t="s">
        <v>35496</v>
      </c>
      <c r="B12746" t="s">
        <v>35497</v>
      </c>
      <c r="C12746" t="s">
        <v>35498</v>
      </c>
      <c r="D12746" t="s">
        <v>15692</v>
      </c>
      <c r="E12746" t="s">
        <v>46</v>
      </c>
      <c r="F12746" t="s">
        <v>24019</v>
      </c>
      <c r="G12746" t="s">
        <v>47078</v>
      </c>
      <c r="H12746" t="s">
        <v>47071</v>
      </c>
      <c r="I12746" t="s">
        <v>47120</v>
      </c>
      <c r="J12746" t="s">
        <v>47121</v>
      </c>
      <c r="K12746" t="s">
        <v>47113</v>
      </c>
      <c r="L12746">
        <v>16.600000000000001</v>
      </c>
      <c r="M12746">
        <v>34</v>
      </c>
      <c r="N12746">
        <v>0</v>
      </c>
      <c r="O12746">
        <v>34</v>
      </c>
      <c r="P12746">
        <v>0</v>
      </c>
    </row>
    <row r="12747" spans="1:16" x14ac:dyDescent="0.25">
      <c r="A12747" t="s">
        <v>35499</v>
      </c>
      <c r="B12747" t="s">
        <v>35500</v>
      </c>
      <c r="C12747" t="s">
        <v>35501</v>
      </c>
      <c r="D12747" t="s">
        <v>15692</v>
      </c>
      <c r="E12747" t="s">
        <v>46</v>
      </c>
      <c r="F12747" t="s">
        <v>24019</v>
      </c>
      <c r="G12747" t="s">
        <v>47078</v>
      </c>
      <c r="H12747" t="s">
        <v>47071</v>
      </c>
      <c r="I12747" t="s">
        <v>47120</v>
      </c>
      <c r="J12747" t="s">
        <v>47121</v>
      </c>
      <c r="K12747" t="s">
        <v>47113</v>
      </c>
      <c r="L12747">
        <v>12.66</v>
      </c>
      <c r="M12747">
        <v>28</v>
      </c>
      <c r="N12747">
        <v>0</v>
      </c>
      <c r="O12747">
        <v>28</v>
      </c>
      <c r="P12747">
        <v>0</v>
      </c>
    </row>
    <row r="12748" spans="1:16" x14ac:dyDescent="0.25">
      <c r="A12748" t="s">
        <v>35502</v>
      </c>
      <c r="B12748" t="s">
        <v>35503</v>
      </c>
      <c r="C12748" t="s">
        <v>35504</v>
      </c>
      <c r="D12748" t="s">
        <v>9513</v>
      </c>
      <c r="E12748" t="s">
        <v>9514</v>
      </c>
      <c r="F12748" t="s">
        <v>24019</v>
      </c>
      <c r="G12748" t="s">
        <v>47078</v>
      </c>
      <c r="H12748" t="s">
        <v>47071</v>
      </c>
      <c r="I12748" t="s">
        <v>47120</v>
      </c>
      <c r="J12748" t="s">
        <v>47121</v>
      </c>
      <c r="K12748" t="s">
        <v>47113</v>
      </c>
      <c r="L12748">
        <v>19.41</v>
      </c>
      <c r="M12748">
        <v>40</v>
      </c>
      <c r="N12748">
        <v>0</v>
      </c>
      <c r="O12748">
        <v>40</v>
      </c>
      <c r="P12748">
        <v>0</v>
      </c>
    </row>
    <row r="12749" spans="1:16" x14ac:dyDescent="0.25">
      <c r="A12749" t="s">
        <v>35505</v>
      </c>
      <c r="B12749" t="s">
        <v>35506</v>
      </c>
      <c r="C12749" t="s">
        <v>35507</v>
      </c>
      <c r="D12749" t="s">
        <v>14429</v>
      </c>
      <c r="E12749" t="s">
        <v>60</v>
      </c>
      <c r="F12749" t="s">
        <v>24019</v>
      </c>
      <c r="G12749" t="s">
        <v>47078</v>
      </c>
      <c r="H12749" t="s">
        <v>47071</v>
      </c>
      <c r="I12749" t="s">
        <v>47120</v>
      </c>
      <c r="J12749" t="s">
        <v>47121</v>
      </c>
      <c r="K12749" t="s">
        <v>47113</v>
      </c>
      <c r="L12749">
        <v>12.66</v>
      </c>
      <c r="M12749">
        <v>28</v>
      </c>
      <c r="N12749">
        <v>0</v>
      </c>
      <c r="O12749">
        <v>28</v>
      </c>
      <c r="P12749">
        <v>0</v>
      </c>
    </row>
    <row r="12750" spans="1:16" x14ac:dyDescent="0.25">
      <c r="A12750" t="s">
        <v>35508</v>
      </c>
      <c r="B12750" t="s">
        <v>35509</v>
      </c>
      <c r="C12750" t="s">
        <v>35510</v>
      </c>
      <c r="D12750" t="s">
        <v>15692</v>
      </c>
      <c r="E12750" t="s">
        <v>46</v>
      </c>
      <c r="F12750" t="s">
        <v>24019</v>
      </c>
      <c r="G12750" t="s">
        <v>47078</v>
      </c>
      <c r="H12750" t="s">
        <v>47071</v>
      </c>
      <c r="I12750" t="s">
        <v>47120</v>
      </c>
      <c r="J12750" t="s">
        <v>47121</v>
      </c>
      <c r="K12750" t="s">
        <v>47113</v>
      </c>
      <c r="L12750">
        <v>13.79</v>
      </c>
      <c r="M12750">
        <v>28</v>
      </c>
      <c r="N12750">
        <v>0</v>
      </c>
      <c r="O12750">
        <v>28</v>
      </c>
      <c r="P12750">
        <v>0</v>
      </c>
    </row>
    <row r="12751" spans="1:16" x14ac:dyDescent="0.25">
      <c r="A12751" t="s">
        <v>35511</v>
      </c>
      <c r="B12751" t="s">
        <v>35512</v>
      </c>
      <c r="C12751" t="s">
        <v>10647</v>
      </c>
      <c r="D12751" t="s">
        <v>15740</v>
      </c>
      <c r="E12751" t="s">
        <v>42</v>
      </c>
      <c r="F12751" t="s">
        <v>24019</v>
      </c>
      <c r="G12751" t="s">
        <v>47078</v>
      </c>
      <c r="H12751" t="s">
        <v>47071</v>
      </c>
      <c r="I12751" t="s">
        <v>47120</v>
      </c>
      <c r="J12751" t="s">
        <v>47121</v>
      </c>
      <c r="K12751" t="s">
        <v>47113</v>
      </c>
      <c r="L12751">
        <v>19.41</v>
      </c>
      <c r="M12751">
        <v>40</v>
      </c>
      <c r="N12751">
        <v>0</v>
      </c>
      <c r="O12751">
        <v>40</v>
      </c>
      <c r="P12751">
        <v>0</v>
      </c>
    </row>
    <row r="12752" spans="1:16" x14ac:dyDescent="0.25">
      <c r="A12752" t="s">
        <v>35513</v>
      </c>
      <c r="B12752" t="s">
        <v>35512</v>
      </c>
      <c r="C12752" t="s">
        <v>10647</v>
      </c>
      <c r="D12752" t="s">
        <v>15692</v>
      </c>
      <c r="E12752" t="s">
        <v>46</v>
      </c>
      <c r="F12752" t="s">
        <v>24019</v>
      </c>
      <c r="G12752" t="s">
        <v>47078</v>
      </c>
      <c r="H12752" t="s">
        <v>47071</v>
      </c>
      <c r="I12752" t="s">
        <v>47120</v>
      </c>
      <c r="J12752" t="s">
        <v>47121</v>
      </c>
      <c r="K12752" t="s">
        <v>47113</v>
      </c>
      <c r="L12752">
        <v>19.41</v>
      </c>
      <c r="M12752">
        <v>40</v>
      </c>
      <c r="N12752">
        <v>0</v>
      </c>
      <c r="O12752">
        <v>40</v>
      </c>
      <c r="P12752">
        <v>0</v>
      </c>
    </row>
    <row r="12753" spans="1:16" x14ac:dyDescent="0.25">
      <c r="A12753" t="s">
        <v>35514</v>
      </c>
      <c r="B12753" t="s">
        <v>35512</v>
      </c>
      <c r="C12753" t="s">
        <v>10647</v>
      </c>
      <c r="D12753" t="s">
        <v>15752</v>
      </c>
      <c r="E12753" t="s">
        <v>15753</v>
      </c>
      <c r="F12753" t="s">
        <v>24019</v>
      </c>
      <c r="G12753" t="s">
        <v>47078</v>
      </c>
      <c r="H12753" t="s">
        <v>47071</v>
      </c>
      <c r="I12753" t="s">
        <v>47120</v>
      </c>
      <c r="J12753" t="s">
        <v>47121</v>
      </c>
      <c r="K12753" t="s">
        <v>47113</v>
      </c>
      <c r="L12753">
        <v>19.41</v>
      </c>
      <c r="M12753">
        <v>40</v>
      </c>
      <c r="N12753">
        <v>0</v>
      </c>
      <c r="O12753">
        <v>40</v>
      </c>
      <c r="P12753">
        <v>0</v>
      </c>
    </row>
    <row r="12754" spans="1:16" x14ac:dyDescent="0.25">
      <c r="A12754" t="s">
        <v>35515</v>
      </c>
      <c r="B12754" t="s">
        <v>35512</v>
      </c>
      <c r="C12754" t="s">
        <v>10647</v>
      </c>
      <c r="D12754" t="s">
        <v>35416</v>
      </c>
      <c r="E12754" t="s">
        <v>35417</v>
      </c>
      <c r="F12754" t="s">
        <v>24019</v>
      </c>
      <c r="G12754" t="s">
        <v>47078</v>
      </c>
      <c r="H12754" t="s">
        <v>47071</v>
      </c>
      <c r="I12754" t="s">
        <v>47120</v>
      </c>
      <c r="J12754" t="s">
        <v>47121</v>
      </c>
      <c r="K12754" t="s">
        <v>47113</v>
      </c>
      <c r="L12754">
        <v>19.41</v>
      </c>
      <c r="M12754">
        <v>40</v>
      </c>
      <c r="N12754">
        <v>0</v>
      </c>
      <c r="O12754">
        <v>40</v>
      </c>
      <c r="P12754">
        <v>0</v>
      </c>
    </row>
    <row r="12755" spans="1:16" x14ac:dyDescent="0.25">
      <c r="A12755" t="s">
        <v>35516</v>
      </c>
      <c r="B12755" t="s">
        <v>35512</v>
      </c>
      <c r="C12755" t="s">
        <v>10647</v>
      </c>
      <c r="D12755" t="s">
        <v>15651</v>
      </c>
      <c r="E12755" t="s">
        <v>15652</v>
      </c>
      <c r="F12755" t="s">
        <v>24019</v>
      </c>
      <c r="G12755" t="s">
        <v>47078</v>
      </c>
      <c r="H12755" t="s">
        <v>47071</v>
      </c>
      <c r="I12755" t="s">
        <v>47120</v>
      </c>
      <c r="J12755" t="s">
        <v>47121</v>
      </c>
      <c r="K12755" t="s">
        <v>47113</v>
      </c>
      <c r="L12755">
        <v>19.41</v>
      </c>
      <c r="M12755">
        <v>40</v>
      </c>
      <c r="N12755">
        <v>0</v>
      </c>
      <c r="O12755">
        <v>40</v>
      </c>
      <c r="P12755">
        <v>0</v>
      </c>
    </row>
    <row r="12756" spans="1:16" x14ac:dyDescent="0.25">
      <c r="A12756" t="s">
        <v>35517</v>
      </c>
      <c r="B12756" t="s">
        <v>35518</v>
      </c>
      <c r="C12756" t="s">
        <v>35519</v>
      </c>
      <c r="D12756" t="s">
        <v>15734</v>
      </c>
      <c r="E12756" t="s">
        <v>15735</v>
      </c>
      <c r="F12756" t="s">
        <v>24019</v>
      </c>
      <c r="G12756" t="s">
        <v>47078</v>
      </c>
      <c r="H12756" t="s">
        <v>47071</v>
      </c>
      <c r="I12756" t="s">
        <v>47120</v>
      </c>
      <c r="J12756" t="s">
        <v>47121</v>
      </c>
      <c r="K12756" t="s">
        <v>47113</v>
      </c>
      <c r="L12756">
        <v>13.79</v>
      </c>
      <c r="M12756">
        <v>28</v>
      </c>
      <c r="N12756">
        <v>0</v>
      </c>
      <c r="O12756">
        <v>28</v>
      </c>
      <c r="P12756">
        <v>0</v>
      </c>
    </row>
    <row r="12757" spans="1:16" x14ac:dyDescent="0.25">
      <c r="A12757" t="s">
        <v>35520</v>
      </c>
      <c r="B12757" t="s">
        <v>35521</v>
      </c>
      <c r="C12757" t="s">
        <v>35522</v>
      </c>
      <c r="D12757" t="s">
        <v>35416</v>
      </c>
      <c r="E12757" t="s">
        <v>35417</v>
      </c>
      <c r="F12757" t="s">
        <v>24019</v>
      </c>
      <c r="G12757" t="s">
        <v>47079</v>
      </c>
      <c r="H12757" t="s">
        <v>47071</v>
      </c>
      <c r="I12757" t="s">
        <v>47120</v>
      </c>
      <c r="J12757" t="s">
        <v>47121</v>
      </c>
      <c r="K12757" t="s">
        <v>47113</v>
      </c>
      <c r="L12757">
        <v>16.600000000000001</v>
      </c>
      <c r="M12757">
        <v>34</v>
      </c>
      <c r="N12757">
        <v>0</v>
      </c>
      <c r="O12757">
        <v>34</v>
      </c>
      <c r="P12757">
        <v>0</v>
      </c>
    </row>
    <row r="12758" spans="1:16" x14ac:dyDescent="0.25">
      <c r="A12758" t="s">
        <v>35523</v>
      </c>
      <c r="B12758" t="s">
        <v>35524</v>
      </c>
      <c r="C12758" t="s">
        <v>35525</v>
      </c>
      <c r="D12758" t="s">
        <v>35425</v>
      </c>
      <c r="E12758" t="s">
        <v>35426</v>
      </c>
      <c r="F12758" t="s">
        <v>24019</v>
      </c>
      <c r="G12758" t="s">
        <v>47079</v>
      </c>
      <c r="H12758" t="s">
        <v>47071</v>
      </c>
      <c r="I12758" t="s">
        <v>47120</v>
      </c>
      <c r="J12758" t="s">
        <v>47121</v>
      </c>
      <c r="K12758" t="s">
        <v>47113</v>
      </c>
      <c r="L12758">
        <v>19.41</v>
      </c>
      <c r="M12758">
        <v>40</v>
      </c>
      <c r="N12758">
        <v>0</v>
      </c>
      <c r="O12758">
        <v>40</v>
      </c>
      <c r="P12758">
        <v>0</v>
      </c>
    </row>
    <row r="12759" spans="1:16" x14ac:dyDescent="0.25">
      <c r="A12759" t="s">
        <v>35526</v>
      </c>
      <c r="B12759" t="s">
        <v>35527</v>
      </c>
      <c r="C12759" t="s">
        <v>35528</v>
      </c>
      <c r="D12759" t="s">
        <v>35402</v>
      </c>
      <c r="E12759" t="s">
        <v>2383</v>
      </c>
      <c r="F12759" t="s">
        <v>24019</v>
      </c>
      <c r="G12759" t="s">
        <v>47080</v>
      </c>
      <c r="H12759" t="s">
        <v>47071</v>
      </c>
      <c r="I12759" t="s">
        <v>47120</v>
      </c>
      <c r="J12759" t="s">
        <v>47121</v>
      </c>
      <c r="K12759" t="s">
        <v>47113</v>
      </c>
      <c r="L12759">
        <v>17.5</v>
      </c>
      <c r="M12759">
        <v>40</v>
      </c>
      <c r="N12759">
        <v>99</v>
      </c>
      <c r="O12759">
        <v>40</v>
      </c>
      <c r="P12759">
        <v>99</v>
      </c>
    </row>
    <row r="12760" spans="1:16" x14ac:dyDescent="0.25">
      <c r="A12760" t="s">
        <v>35529</v>
      </c>
      <c r="B12760" t="s">
        <v>35527</v>
      </c>
      <c r="C12760" t="s">
        <v>35528</v>
      </c>
      <c r="D12760" t="s">
        <v>238</v>
      </c>
      <c r="E12760" t="s">
        <v>238</v>
      </c>
      <c r="F12760" t="s">
        <v>24019</v>
      </c>
      <c r="G12760" t="s">
        <v>47080</v>
      </c>
      <c r="H12760" t="s">
        <v>47071</v>
      </c>
      <c r="I12760" t="s">
        <v>47120</v>
      </c>
      <c r="J12760" t="s">
        <v>47121</v>
      </c>
      <c r="K12760" t="s">
        <v>47113</v>
      </c>
      <c r="L12760">
        <v>17.5</v>
      </c>
      <c r="M12760">
        <v>40</v>
      </c>
      <c r="N12760">
        <v>99</v>
      </c>
      <c r="O12760">
        <v>40</v>
      </c>
      <c r="P12760">
        <v>99</v>
      </c>
    </row>
    <row r="12761" spans="1:16" x14ac:dyDescent="0.25">
      <c r="A12761" t="s">
        <v>35530</v>
      </c>
      <c r="B12761" t="s">
        <v>35531</v>
      </c>
      <c r="C12761" t="s">
        <v>21096</v>
      </c>
      <c r="D12761" t="s">
        <v>35532</v>
      </c>
      <c r="E12761" t="s">
        <v>35533</v>
      </c>
      <c r="F12761" t="s">
        <v>24019</v>
      </c>
      <c r="G12761" t="s">
        <v>47080</v>
      </c>
      <c r="H12761" t="s">
        <v>47071</v>
      </c>
      <c r="I12761" t="s">
        <v>47120</v>
      </c>
      <c r="J12761" t="s">
        <v>47121</v>
      </c>
      <c r="K12761" t="s">
        <v>47113</v>
      </c>
      <c r="L12761">
        <v>20.74</v>
      </c>
      <c r="M12761">
        <v>40</v>
      </c>
      <c r="N12761">
        <v>0</v>
      </c>
      <c r="O12761">
        <v>40</v>
      </c>
      <c r="P12761">
        <v>0</v>
      </c>
    </row>
    <row r="12762" spans="1:16" x14ac:dyDescent="0.25">
      <c r="A12762" t="s">
        <v>35534</v>
      </c>
      <c r="B12762" t="s">
        <v>35535</v>
      </c>
      <c r="C12762" t="s">
        <v>35536</v>
      </c>
      <c r="D12762" t="s">
        <v>21035</v>
      </c>
      <c r="E12762" t="s">
        <v>21036</v>
      </c>
      <c r="F12762" t="s">
        <v>24019</v>
      </c>
      <c r="G12762" t="s">
        <v>47080</v>
      </c>
      <c r="H12762" t="s">
        <v>47071</v>
      </c>
      <c r="I12762" t="s">
        <v>47120</v>
      </c>
      <c r="J12762" t="s">
        <v>47121</v>
      </c>
      <c r="K12762" t="s">
        <v>47113</v>
      </c>
      <c r="L12762">
        <v>20.74</v>
      </c>
      <c r="M12762">
        <v>40</v>
      </c>
      <c r="N12762">
        <v>0</v>
      </c>
      <c r="O12762">
        <v>40</v>
      </c>
      <c r="P12762">
        <v>0</v>
      </c>
    </row>
    <row r="12763" spans="1:16" x14ac:dyDescent="0.25">
      <c r="A12763" t="s">
        <v>35537</v>
      </c>
      <c r="B12763" t="s">
        <v>35538</v>
      </c>
      <c r="C12763" t="s">
        <v>35409</v>
      </c>
      <c r="D12763" t="s">
        <v>15740</v>
      </c>
      <c r="E12763" t="s">
        <v>42</v>
      </c>
      <c r="F12763" t="s">
        <v>24019</v>
      </c>
      <c r="G12763" t="s">
        <v>47080</v>
      </c>
      <c r="H12763" t="s">
        <v>47071</v>
      </c>
      <c r="I12763" t="s">
        <v>47120</v>
      </c>
      <c r="J12763" t="s">
        <v>47121</v>
      </c>
      <c r="K12763" t="s">
        <v>47113</v>
      </c>
      <c r="L12763">
        <v>16.600000000000001</v>
      </c>
      <c r="M12763">
        <v>34</v>
      </c>
      <c r="N12763">
        <v>0</v>
      </c>
      <c r="O12763">
        <v>34</v>
      </c>
      <c r="P12763">
        <v>0</v>
      </c>
    </row>
    <row r="12764" spans="1:16" x14ac:dyDescent="0.25">
      <c r="A12764" t="s">
        <v>35539</v>
      </c>
      <c r="B12764" t="s">
        <v>35538</v>
      </c>
      <c r="C12764" t="s">
        <v>35409</v>
      </c>
      <c r="D12764" t="s">
        <v>15692</v>
      </c>
      <c r="E12764" t="s">
        <v>46</v>
      </c>
      <c r="F12764" t="s">
        <v>24019</v>
      </c>
      <c r="G12764" t="s">
        <v>47080</v>
      </c>
      <c r="H12764" t="s">
        <v>47071</v>
      </c>
      <c r="I12764" t="s">
        <v>47120</v>
      </c>
      <c r="J12764" t="s">
        <v>47121</v>
      </c>
      <c r="K12764" t="s">
        <v>47113</v>
      </c>
      <c r="L12764">
        <v>16.600000000000001</v>
      </c>
      <c r="M12764">
        <v>34</v>
      </c>
      <c r="N12764">
        <v>0</v>
      </c>
      <c r="O12764">
        <v>34</v>
      </c>
      <c r="P12764">
        <v>0</v>
      </c>
    </row>
    <row r="12765" spans="1:16" x14ac:dyDescent="0.25">
      <c r="A12765" t="s">
        <v>35540</v>
      </c>
      <c r="B12765" t="s">
        <v>35538</v>
      </c>
      <c r="C12765" t="s">
        <v>35409</v>
      </c>
      <c r="D12765" t="s">
        <v>15752</v>
      </c>
      <c r="E12765" t="s">
        <v>15753</v>
      </c>
      <c r="F12765" t="s">
        <v>24019</v>
      </c>
      <c r="G12765" t="s">
        <v>47080</v>
      </c>
      <c r="H12765" t="s">
        <v>47071</v>
      </c>
      <c r="I12765" t="s">
        <v>47120</v>
      </c>
      <c r="J12765" t="s">
        <v>47121</v>
      </c>
      <c r="K12765" t="s">
        <v>47113</v>
      </c>
      <c r="L12765">
        <v>16.600000000000001</v>
      </c>
      <c r="M12765">
        <v>34</v>
      </c>
      <c r="N12765">
        <v>0</v>
      </c>
      <c r="O12765">
        <v>34</v>
      </c>
      <c r="P12765">
        <v>0</v>
      </c>
    </row>
    <row r="12766" spans="1:16" x14ac:dyDescent="0.25">
      <c r="A12766" t="s">
        <v>35541</v>
      </c>
      <c r="B12766" t="s">
        <v>35538</v>
      </c>
      <c r="C12766" t="s">
        <v>35409</v>
      </c>
      <c r="D12766" t="s">
        <v>35416</v>
      </c>
      <c r="E12766" t="s">
        <v>35417</v>
      </c>
      <c r="F12766" t="s">
        <v>24019</v>
      </c>
      <c r="G12766" t="s">
        <v>47080</v>
      </c>
      <c r="H12766" t="s">
        <v>47071</v>
      </c>
      <c r="I12766" t="s">
        <v>47120</v>
      </c>
      <c r="J12766" t="s">
        <v>47121</v>
      </c>
      <c r="K12766" t="s">
        <v>47113</v>
      </c>
      <c r="L12766">
        <v>16.600000000000001</v>
      </c>
      <c r="M12766">
        <v>34</v>
      </c>
      <c r="N12766">
        <v>0</v>
      </c>
      <c r="O12766">
        <v>34</v>
      </c>
      <c r="P12766">
        <v>0</v>
      </c>
    </row>
    <row r="12767" spans="1:16" x14ac:dyDescent="0.25">
      <c r="A12767" t="s">
        <v>35542</v>
      </c>
      <c r="B12767" t="s">
        <v>35538</v>
      </c>
      <c r="C12767" t="s">
        <v>35409</v>
      </c>
      <c r="D12767" t="s">
        <v>15651</v>
      </c>
      <c r="E12767" t="s">
        <v>15652</v>
      </c>
      <c r="F12767" t="s">
        <v>24019</v>
      </c>
      <c r="G12767" t="s">
        <v>47080</v>
      </c>
      <c r="H12767" t="s">
        <v>47071</v>
      </c>
      <c r="I12767" t="s">
        <v>47120</v>
      </c>
      <c r="J12767" t="s">
        <v>47121</v>
      </c>
      <c r="K12767" t="s">
        <v>47113</v>
      </c>
      <c r="L12767">
        <v>16.600000000000001</v>
      </c>
      <c r="M12767">
        <v>34</v>
      </c>
      <c r="N12767">
        <v>0</v>
      </c>
      <c r="O12767">
        <v>34</v>
      </c>
      <c r="P12767">
        <v>0</v>
      </c>
    </row>
    <row r="12768" spans="1:16" x14ac:dyDescent="0.25">
      <c r="A12768" t="s">
        <v>35543</v>
      </c>
      <c r="B12768" t="s">
        <v>35544</v>
      </c>
      <c r="C12768" t="s">
        <v>35545</v>
      </c>
      <c r="D12768" t="s">
        <v>15740</v>
      </c>
      <c r="E12768" t="s">
        <v>42</v>
      </c>
      <c r="F12768" t="s">
        <v>24019</v>
      </c>
      <c r="G12768" t="s">
        <v>47080</v>
      </c>
      <c r="H12768" t="s">
        <v>47071</v>
      </c>
      <c r="I12768" t="s">
        <v>47120</v>
      </c>
      <c r="J12768" t="s">
        <v>47121</v>
      </c>
      <c r="K12768" t="s">
        <v>47113</v>
      </c>
      <c r="L12768">
        <v>19.41</v>
      </c>
      <c r="M12768">
        <v>40</v>
      </c>
      <c r="N12768">
        <v>0</v>
      </c>
      <c r="O12768">
        <v>40</v>
      </c>
      <c r="P12768">
        <v>0</v>
      </c>
    </row>
    <row r="12769" spans="1:16" x14ac:dyDescent="0.25">
      <c r="A12769" t="s">
        <v>35546</v>
      </c>
      <c r="B12769" t="s">
        <v>35547</v>
      </c>
      <c r="C12769" t="s">
        <v>35548</v>
      </c>
      <c r="D12769" t="s">
        <v>14429</v>
      </c>
      <c r="E12769" t="s">
        <v>60</v>
      </c>
      <c r="F12769" t="s">
        <v>24019</v>
      </c>
      <c r="G12769" t="s">
        <v>47074</v>
      </c>
      <c r="H12769" t="s">
        <v>47071</v>
      </c>
      <c r="I12769" t="s">
        <v>47120</v>
      </c>
      <c r="J12769" t="s">
        <v>47121</v>
      </c>
      <c r="K12769" t="s">
        <v>47113</v>
      </c>
      <c r="L12769">
        <v>25.47</v>
      </c>
      <c r="M12769">
        <v>52</v>
      </c>
      <c r="N12769">
        <v>129</v>
      </c>
      <c r="O12769">
        <v>52</v>
      </c>
      <c r="P12769">
        <v>129</v>
      </c>
    </row>
    <row r="12770" spans="1:16" x14ac:dyDescent="0.25">
      <c r="A12770" t="s">
        <v>35549</v>
      </c>
      <c r="B12770" t="s">
        <v>35550</v>
      </c>
      <c r="C12770" t="s">
        <v>35551</v>
      </c>
      <c r="D12770" t="s">
        <v>15752</v>
      </c>
      <c r="E12770" t="s">
        <v>15753</v>
      </c>
      <c r="F12770" t="s">
        <v>24019</v>
      </c>
      <c r="G12770" t="s">
        <v>47074</v>
      </c>
      <c r="H12770" t="s">
        <v>47071</v>
      </c>
      <c r="I12770" t="s">
        <v>47120</v>
      </c>
      <c r="J12770" t="s">
        <v>47121</v>
      </c>
      <c r="K12770" t="s">
        <v>47113</v>
      </c>
      <c r="L12770">
        <v>25.04</v>
      </c>
      <c r="M12770">
        <v>52</v>
      </c>
      <c r="N12770">
        <v>0</v>
      </c>
      <c r="O12770">
        <v>52</v>
      </c>
      <c r="P12770">
        <v>0</v>
      </c>
    </row>
    <row r="12771" spans="1:16" x14ac:dyDescent="0.25">
      <c r="A12771" t="s">
        <v>35552</v>
      </c>
      <c r="B12771" t="s">
        <v>35553</v>
      </c>
      <c r="C12771" t="s">
        <v>35554</v>
      </c>
      <c r="D12771" t="s">
        <v>238</v>
      </c>
      <c r="E12771" t="s">
        <v>238</v>
      </c>
      <c r="F12771" t="s">
        <v>24019</v>
      </c>
      <c r="G12771" t="s">
        <v>47074</v>
      </c>
      <c r="H12771" t="s">
        <v>47071</v>
      </c>
      <c r="I12771" t="s">
        <v>47120</v>
      </c>
      <c r="J12771" t="s">
        <v>47121</v>
      </c>
      <c r="K12771" t="s">
        <v>47113</v>
      </c>
      <c r="L12771">
        <v>25.6</v>
      </c>
      <c r="M12771">
        <v>76</v>
      </c>
      <c r="N12771">
        <v>189</v>
      </c>
      <c r="O12771">
        <v>76</v>
      </c>
      <c r="P12771">
        <v>189</v>
      </c>
    </row>
    <row r="12772" spans="1:16" x14ac:dyDescent="0.25">
      <c r="A12772" t="s">
        <v>35555</v>
      </c>
      <c r="B12772" t="s">
        <v>35556</v>
      </c>
      <c r="C12772" t="s">
        <v>35557</v>
      </c>
      <c r="D12772" t="s">
        <v>14429</v>
      </c>
      <c r="E12772" t="s">
        <v>60</v>
      </c>
      <c r="F12772" t="s">
        <v>24019</v>
      </c>
      <c r="G12772" t="s">
        <v>47074</v>
      </c>
      <c r="H12772" t="s">
        <v>47071</v>
      </c>
      <c r="I12772" t="s">
        <v>47120</v>
      </c>
      <c r="J12772" t="s">
        <v>47121</v>
      </c>
      <c r="K12772" t="s">
        <v>47113</v>
      </c>
      <c r="L12772">
        <v>25.6</v>
      </c>
      <c r="M12772">
        <v>76</v>
      </c>
      <c r="N12772">
        <v>189</v>
      </c>
      <c r="O12772">
        <v>76</v>
      </c>
      <c r="P12772">
        <v>189</v>
      </c>
    </row>
    <row r="12773" spans="1:16" x14ac:dyDescent="0.25">
      <c r="A12773" t="s">
        <v>35558</v>
      </c>
      <c r="B12773" t="s">
        <v>35559</v>
      </c>
      <c r="C12773" t="s">
        <v>35560</v>
      </c>
      <c r="D12773" t="s">
        <v>15740</v>
      </c>
      <c r="E12773" t="s">
        <v>42</v>
      </c>
      <c r="F12773" t="s">
        <v>24019</v>
      </c>
      <c r="G12773" t="s">
        <v>47074</v>
      </c>
      <c r="H12773" t="s">
        <v>47071</v>
      </c>
      <c r="I12773" t="s">
        <v>47120</v>
      </c>
      <c r="J12773" t="s">
        <v>47121</v>
      </c>
      <c r="K12773" t="s">
        <v>47113</v>
      </c>
      <c r="L12773">
        <v>19.41</v>
      </c>
      <c r="M12773">
        <v>52</v>
      </c>
      <c r="N12773">
        <v>0</v>
      </c>
      <c r="O12773">
        <v>52</v>
      </c>
      <c r="P12773">
        <v>0</v>
      </c>
    </row>
    <row r="12774" spans="1:16" x14ac:dyDescent="0.25">
      <c r="A12774" t="s">
        <v>35561</v>
      </c>
      <c r="B12774" t="s">
        <v>35562</v>
      </c>
      <c r="C12774" t="s">
        <v>35563</v>
      </c>
      <c r="D12774" t="s">
        <v>238</v>
      </c>
      <c r="E12774" t="s">
        <v>238</v>
      </c>
      <c r="F12774" t="s">
        <v>24019</v>
      </c>
      <c r="G12774" t="s">
        <v>47074</v>
      </c>
      <c r="H12774" t="s">
        <v>47071</v>
      </c>
      <c r="I12774" t="s">
        <v>47120</v>
      </c>
      <c r="J12774" t="s">
        <v>47121</v>
      </c>
      <c r="K12774" t="s">
        <v>47113</v>
      </c>
      <c r="L12774">
        <v>25.6</v>
      </c>
      <c r="M12774">
        <v>76</v>
      </c>
      <c r="N12774">
        <v>189</v>
      </c>
      <c r="O12774">
        <v>76</v>
      </c>
      <c r="P12774">
        <v>189</v>
      </c>
    </row>
    <row r="12775" spans="1:16" x14ac:dyDescent="0.25">
      <c r="A12775" t="s">
        <v>35564</v>
      </c>
      <c r="B12775" t="s">
        <v>35565</v>
      </c>
      <c r="C12775" t="s">
        <v>35566</v>
      </c>
      <c r="D12775" t="s">
        <v>14429</v>
      </c>
      <c r="E12775" t="s">
        <v>60</v>
      </c>
      <c r="F12775" t="s">
        <v>24019</v>
      </c>
      <c r="G12775" t="s">
        <v>47074</v>
      </c>
      <c r="H12775" t="s">
        <v>47071</v>
      </c>
      <c r="I12775" t="s">
        <v>47120</v>
      </c>
      <c r="J12775" t="s">
        <v>47121</v>
      </c>
      <c r="K12775" t="s">
        <v>47113</v>
      </c>
      <c r="L12775">
        <v>25.6</v>
      </c>
      <c r="M12775">
        <v>76</v>
      </c>
      <c r="N12775">
        <v>189</v>
      </c>
      <c r="O12775">
        <v>76</v>
      </c>
      <c r="P12775">
        <v>189</v>
      </c>
    </row>
    <row r="12776" spans="1:16" x14ac:dyDescent="0.25">
      <c r="A12776" t="s">
        <v>35567</v>
      </c>
      <c r="B12776" t="s">
        <v>35568</v>
      </c>
      <c r="C12776" t="s">
        <v>35569</v>
      </c>
      <c r="D12776" t="s">
        <v>15734</v>
      </c>
      <c r="E12776" t="s">
        <v>15735</v>
      </c>
      <c r="F12776" t="s">
        <v>24019</v>
      </c>
      <c r="G12776" t="s">
        <v>47074</v>
      </c>
      <c r="H12776" t="s">
        <v>47071</v>
      </c>
      <c r="I12776" t="s">
        <v>47120</v>
      </c>
      <c r="J12776" t="s">
        <v>47121</v>
      </c>
      <c r="K12776" t="s">
        <v>47113</v>
      </c>
      <c r="L12776">
        <v>22.23</v>
      </c>
      <c r="M12776">
        <v>52</v>
      </c>
      <c r="N12776">
        <v>0</v>
      </c>
      <c r="O12776">
        <v>52</v>
      </c>
      <c r="P12776">
        <v>0</v>
      </c>
    </row>
    <row r="12777" spans="1:16" x14ac:dyDescent="0.25">
      <c r="A12777" t="s">
        <v>35570</v>
      </c>
      <c r="B12777" t="s">
        <v>35571</v>
      </c>
      <c r="C12777" t="s">
        <v>35572</v>
      </c>
      <c r="D12777" t="s">
        <v>15740</v>
      </c>
      <c r="E12777" t="s">
        <v>42</v>
      </c>
      <c r="F12777" t="s">
        <v>24019</v>
      </c>
      <c r="G12777" t="s">
        <v>47074</v>
      </c>
      <c r="H12777" t="s">
        <v>47071</v>
      </c>
      <c r="I12777" t="s">
        <v>47120</v>
      </c>
      <c r="J12777" t="s">
        <v>47121</v>
      </c>
      <c r="K12777" t="s">
        <v>47113</v>
      </c>
      <c r="L12777">
        <v>22.23</v>
      </c>
      <c r="M12777">
        <v>52</v>
      </c>
      <c r="N12777">
        <v>0</v>
      </c>
      <c r="O12777">
        <v>52</v>
      </c>
      <c r="P12777">
        <v>0</v>
      </c>
    </row>
    <row r="12778" spans="1:16" x14ac:dyDescent="0.25">
      <c r="A12778" t="s">
        <v>35573</v>
      </c>
      <c r="B12778" t="s">
        <v>35574</v>
      </c>
      <c r="C12778" t="s">
        <v>35575</v>
      </c>
      <c r="D12778" t="s">
        <v>238</v>
      </c>
      <c r="E12778" t="s">
        <v>238</v>
      </c>
      <c r="F12778" t="s">
        <v>24019</v>
      </c>
      <c r="G12778" t="s">
        <v>47073</v>
      </c>
      <c r="H12778" t="s">
        <v>47071</v>
      </c>
      <c r="I12778" t="s">
        <v>47120</v>
      </c>
      <c r="J12778" t="s">
        <v>47121</v>
      </c>
      <c r="K12778" t="s">
        <v>47113</v>
      </c>
      <c r="L12778">
        <v>12.64</v>
      </c>
      <c r="M12778">
        <v>24</v>
      </c>
      <c r="N12778">
        <v>59</v>
      </c>
      <c r="O12778">
        <v>24</v>
      </c>
      <c r="P12778">
        <v>59</v>
      </c>
    </row>
    <row r="12779" spans="1:16" x14ac:dyDescent="0.25">
      <c r="A12779" t="s">
        <v>35576</v>
      </c>
      <c r="B12779" t="s">
        <v>35577</v>
      </c>
      <c r="C12779" t="s">
        <v>35578</v>
      </c>
      <c r="D12779" t="s">
        <v>35402</v>
      </c>
      <c r="E12779" t="s">
        <v>2383</v>
      </c>
      <c r="F12779" t="s">
        <v>24019</v>
      </c>
      <c r="G12779" t="s">
        <v>47073</v>
      </c>
      <c r="H12779" t="s">
        <v>47071</v>
      </c>
      <c r="I12779" t="s">
        <v>47120</v>
      </c>
      <c r="J12779" t="s">
        <v>47121</v>
      </c>
      <c r="K12779" t="s">
        <v>47113</v>
      </c>
      <c r="L12779">
        <v>10.31</v>
      </c>
      <c r="M12779">
        <v>20</v>
      </c>
      <c r="N12779">
        <v>49</v>
      </c>
      <c r="O12779">
        <v>20</v>
      </c>
      <c r="P12779">
        <v>49</v>
      </c>
    </row>
    <row r="12780" spans="1:16" x14ac:dyDescent="0.25">
      <c r="A12780" t="s">
        <v>35579</v>
      </c>
      <c r="B12780" t="s">
        <v>35580</v>
      </c>
      <c r="C12780" t="s">
        <v>15755</v>
      </c>
      <c r="D12780" t="s">
        <v>15692</v>
      </c>
      <c r="E12780" t="s">
        <v>46</v>
      </c>
      <c r="F12780" t="s">
        <v>24019</v>
      </c>
      <c r="G12780" t="s">
        <v>47073</v>
      </c>
      <c r="H12780" t="s">
        <v>47071</v>
      </c>
      <c r="I12780" t="s">
        <v>47120</v>
      </c>
      <c r="J12780" t="s">
        <v>47121</v>
      </c>
      <c r="K12780" t="s">
        <v>47113</v>
      </c>
      <c r="L12780">
        <v>12.64</v>
      </c>
      <c r="M12780">
        <v>24</v>
      </c>
      <c r="N12780">
        <v>59</v>
      </c>
      <c r="O12780">
        <v>24</v>
      </c>
      <c r="P12780">
        <v>59</v>
      </c>
    </row>
    <row r="12781" spans="1:16" x14ac:dyDescent="0.25">
      <c r="A12781" t="s">
        <v>35581</v>
      </c>
      <c r="B12781" t="s">
        <v>35580</v>
      </c>
      <c r="C12781" t="s">
        <v>15755</v>
      </c>
      <c r="D12781" t="s">
        <v>14429</v>
      </c>
      <c r="E12781" t="s">
        <v>60</v>
      </c>
      <c r="F12781" t="s">
        <v>24019</v>
      </c>
      <c r="G12781" t="s">
        <v>47073</v>
      </c>
      <c r="H12781" t="s">
        <v>47071</v>
      </c>
      <c r="I12781" t="s">
        <v>47120</v>
      </c>
      <c r="J12781" t="s">
        <v>47121</v>
      </c>
      <c r="K12781" t="s">
        <v>47113</v>
      </c>
      <c r="L12781">
        <v>12.64</v>
      </c>
      <c r="M12781">
        <v>24</v>
      </c>
      <c r="N12781">
        <v>59</v>
      </c>
      <c r="O12781">
        <v>24</v>
      </c>
      <c r="P12781">
        <v>59</v>
      </c>
    </row>
    <row r="12782" spans="1:16" x14ac:dyDescent="0.25">
      <c r="A12782" t="s">
        <v>35582</v>
      </c>
      <c r="B12782" t="s">
        <v>35583</v>
      </c>
      <c r="C12782" t="s">
        <v>35584</v>
      </c>
      <c r="D12782" t="s">
        <v>15740</v>
      </c>
      <c r="E12782" t="s">
        <v>42</v>
      </c>
      <c r="F12782" t="s">
        <v>24019</v>
      </c>
      <c r="G12782" t="s">
        <v>47073</v>
      </c>
      <c r="H12782" t="s">
        <v>47071</v>
      </c>
      <c r="I12782" t="s">
        <v>47120</v>
      </c>
      <c r="J12782" t="s">
        <v>47121</v>
      </c>
      <c r="K12782" t="s">
        <v>47113</v>
      </c>
      <c r="L12782">
        <v>12.64</v>
      </c>
      <c r="M12782">
        <v>24</v>
      </c>
      <c r="N12782">
        <v>59</v>
      </c>
      <c r="O12782">
        <v>24</v>
      </c>
      <c r="P12782">
        <v>59</v>
      </c>
    </row>
    <row r="12783" spans="1:16" x14ac:dyDescent="0.25">
      <c r="A12783" t="s">
        <v>35585</v>
      </c>
      <c r="B12783" t="s">
        <v>35583</v>
      </c>
      <c r="C12783" t="s">
        <v>35584</v>
      </c>
      <c r="D12783" t="s">
        <v>20986</v>
      </c>
      <c r="E12783" t="s">
        <v>20987</v>
      </c>
      <c r="F12783" t="s">
        <v>24019</v>
      </c>
      <c r="G12783" t="s">
        <v>47073</v>
      </c>
      <c r="H12783" t="s">
        <v>47071</v>
      </c>
      <c r="I12783" t="s">
        <v>47120</v>
      </c>
      <c r="J12783" t="s">
        <v>47121</v>
      </c>
      <c r="K12783" t="s">
        <v>47113</v>
      </c>
      <c r="L12783">
        <v>12.64</v>
      </c>
      <c r="M12783">
        <v>24</v>
      </c>
      <c r="N12783">
        <v>59</v>
      </c>
      <c r="O12783">
        <v>24</v>
      </c>
      <c r="P12783">
        <v>59</v>
      </c>
    </row>
    <row r="12784" spans="1:16" x14ac:dyDescent="0.25">
      <c r="A12784" t="s">
        <v>35586</v>
      </c>
      <c r="B12784" t="s">
        <v>35587</v>
      </c>
      <c r="C12784" t="s">
        <v>20961</v>
      </c>
      <c r="D12784" t="s">
        <v>35588</v>
      </c>
      <c r="E12784" t="s">
        <v>35589</v>
      </c>
      <c r="F12784" t="s">
        <v>24019</v>
      </c>
      <c r="G12784" t="s">
        <v>47073</v>
      </c>
      <c r="H12784" t="s">
        <v>47071</v>
      </c>
      <c r="I12784" t="s">
        <v>47120</v>
      </c>
      <c r="J12784" t="s">
        <v>47121</v>
      </c>
      <c r="K12784" t="s">
        <v>47113</v>
      </c>
      <c r="L12784">
        <v>12.64</v>
      </c>
      <c r="M12784">
        <v>24</v>
      </c>
      <c r="N12784">
        <v>59</v>
      </c>
      <c r="O12784">
        <v>24</v>
      </c>
      <c r="P12784">
        <v>59</v>
      </c>
    </row>
    <row r="12785" spans="1:16" x14ac:dyDescent="0.25">
      <c r="A12785" t="s">
        <v>35590</v>
      </c>
      <c r="B12785" t="s">
        <v>35587</v>
      </c>
      <c r="C12785" t="s">
        <v>20961</v>
      </c>
      <c r="D12785" t="s">
        <v>14429</v>
      </c>
      <c r="E12785" t="s">
        <v>60</v>
      </c>
      <c r="F12785" t="s">
        <v>24019</v>
      </c>
      <c r="G12785" t="s">
        <v>47073</v>
      </c>
      <c r="H12785" t="s">
        <v>47071</v>
      </c>
      <c r="I12785" t="s">
        <v>47120</v>
      </c>
      <c r="J12785" t="s">
        <v>47121</v>
      </c>
      <c r="K12785" t="s">
        <v>47113</v>
      </c>
      <c r="L12785">
        <v>12.64</v>
      </c>
      <c r="M12785">
        <v>24</v>
      </c>
      <c r="N12785">
        <v>59</v>
      </c>
      <c r="O12785">
        <v>24</v>
      </c>
      <c r="P12785">
        <v>59</v>
      </c>
    </row>
    <row r="12786" spans="1:16" x14ac:dyDescent="0.25">
      <c r="A12786" t="s">
        <v>35591</v>
      </c>
      <c r="B12786" t="s">
        <v>35592</v>
      </c>
      <c r="C12786" t="s">
        <v>35593</v>
      </c>
      <c r="D12786" t="s">
        <v>35588</v>
      </c>
      <c r="E12786" t="s">
        <v>35589</v>
      </c>
      <c r="F12786" t="s">
        <v>24019</v>
      </c>
      <c r="G12786" t="s">
        <v>47073</v>
      </c>
      <c r="H12786" t="s">
        <v>47071</v>
      </c>
      <c r="I12786" t="s">
        <v>47120</v>
      </c>
      <c r="J12786" t="s">
        <v>47121</v>
      </c>
      <c r="K12786" t="s">
        <v>47113</v>
      </c>
      <c r="L12786">
        <v>10.31</v>
      </c>
      <c r="M12786">
        <v>20</v>
      </c>
      <c r="N12786">
        <v>49</v>
      </c>
      <c r="O12786">
        <v>20</v>
      </c>
      <c r="P12786">
        <v>49</v>
      </c>
    </row>
    <row r="12787" spans="1:16" x14ac:dyDescent="0.25">
      <c r="A12787" t="s">
        <v>35594</v>
      </c>
      <c r="B12787" t="s">
        <v>35592</v>
      </c>
      <c r="C12787" t="s">
        <v>35593</v>
      </c>
      <c r="D12787" t="s">
        <v>20986</v>
      </c>
      <c r="E12787" t="s">
        <v>20987</v>
      </c>
      <c r="F12787" t="s">
        <v>24019</v>
      </c>
      <c r="G12787" t="s">
        <v>47073</v>
      </c>
      <c r="H12787" t="s">
        <v>47071</v>
      </c>
      <c r="I12787" t="s">
        <v>47120</v>
      </c>
      <c r="J12787" t="s">
        <v>47121</v>
      </c>
      <c r="K12787" t="s">
        <v>47113</v>
      </c>
      <c r="L12787">
        <v>10.31</v>
      </c>
      <c r="M12787">
        <v>20</v>
      </c>
      <c r="N12787">
        <v>49</v>
      </c>
      <c r="O12787">
        <v>20</v>
      </c>
      <c r="P12787">
        <v>49</v>
      </c>
    </row>
    <row r="12788" spans="1:16" x14ac:dyDescent="0.25">
      <c r="A12788" t="s">
        <v>35595</v>
      </c>
      <c r="B12788" t="s">
        <v>35596</v>
      </c>
      <c r="C12788" t="s">
        <v>35597</v>
      </c>
      <c r="D12788" t="s">
        <v>14429</v>
      </c>
      <c r="E12788" t="s">
        <v>60</v>
      </c>
      <c r="F12788" t="s">
        <v>24019</v>
      </c>
      <c r="G12788" t="s">
        <v>47073</v>
      </c>
      <c r="H12788" t="s">
        <v>47071</v>
      </c>
      <c r="I12788" t="s">
        <v>47120</v>
      </c>
      <c r="J12788" t="s">
        <v>47121</v>
      </c>
      <c r="K12788" t="s">
        <v>47113</v>
      </c>
      <c r="L12788">
        <v>12.64</v>
      </c>
      <c r="M12788">
        <v>24</v>
      </c>
      <c r="N12788">
        <v>59</v>
      </c>
      <c r="O12788">
        <v>24</v>
      </c>
      <c r="P12788">
        <v>59</v>
      </c>
    </row>
    <row r="12789" spans="1:16" x14ac:dyDescent="0.25">
      <c r="A12789" t="s">
        <v>35598</v>
      </c>
      <c r="B12789" t="s">
        <v>35599</v>
      </c>
      <c r="C12789" t="s">
        <v>35600</v>
      </c>
      <c r="D12789" t="s">
        <v>238</v>
      </c>
      <c r="E12789" t="s">
        <v>238</v>
      </c>
      <c r="F12789" t="s">
        <v>24019</v>
      </c>
      <c r="G12789" t="s">
        <v>47073</v>
      </c>
      <c r="H12789" t="s">
        <v>47071</v>
      </c>
      <c r="I12789" t="s">
        <v>47120</v>
      </c>
      <c r="J12789" t="s">
        <v>47121</v>
      </c>
      <c r="K12789" t="s">
        <v>47113</v>
      </c>
      <c r="L12789">
        <v>12.64</v>
      </c>
      <c r="M12789">
        <v>24</v>
      </c>
      <c r="N12789">
        <v>59</v>
      </c>
      <c r="O12789">
        <v>24</v>
      </c>
      <c r="P12789">
        <v>59</v>
      </c>
    </row>
    <row r="12790" spans="1:16" x14ac:dyDescent="0.25">
      <c r="A12790" t="s">
        <v>35601</v>
      </c>
      <c r="B12790" t="s">
        <v>35602</v>
      </c>
      <c r="C12790" t="s">
        <v>35603</v>
      </c>
      <c r="D12790" t="s">
        <v>15740</v>
      </c>
      <c r="E12790" t="s">
        <v>42</v>
      </c>
      <c r="F12790" t="s">
        <v>24019</v>
      </c>
      <c r="G12790" t="s">
        <v>47073</v>
      </c>
      <c r="H12790" t="s">
        <v>47071</v>
      </c>
      <c r="I12790" t="s">
        <v>47120</v>
      </c>
      <c r="J12790" t="s">
        <v>47121</v>
      </c>
      <c r="K12790" t="s">
        <v>47113</v>
      </c>
      <c r="L12790">
        <v>15.88</v>
      </c>
      <c r="M12790">
        <v>32</v>
      </c>
      <c r="N12790">
        <v>79</v>
      </c>
      <c r="O12790">
        <v>32</v>
      </c>
      <c r="P12790">
        <v>79</v>
      </c>
    </row>
    <row r="12791" spans="1:16" x14ac:dyDescent="0.25">
      <c r="A12791" t="s">
        <v>35604</v>
      </c>
      <c r="B12791" t="s">
        <v>35602</v>
      </c>
      <c r="C12791" t="s">
        <v>35603</v>
      </c>
      <c r="D12791" t="s">
        <v>14429</v>
      </c>
      <c r="E12791" t="s">
        <v>60</v>
      </c>
      <c r="F12791" t="s">
        <v>24019</v>
      </c>
      <c r="G12791" t="s">
        <v>47073</v>
      </c>
      <c r="H12791" t="s">
        <v>47071</v>
      </c>
      <c r="I12791" t="s">
        <v>47120</v>
      </c>
      <c r="J12791" t="s">
        <v>47121</v>
      </c>
      <c r="K12791" t="s">
        <v>47113</v>
      </c>
      <c r="L12791">
        <v>15.88</v>
      </c>
      <c r="M12791">
        <v>32</v>
      </c>
      <c r="N12791">
        <v>79</v>
      </c>
      <c r="O12791">
        <v>32</v>
      </c>
      <c r="P12791">
        <v>79</v>
      </c>
    </row>
    <row r="12792" spans="1:16" x14ac:dyDescent="0.25">
      <c r="A12792" t="s">
        <v>35605</v>
      </c>
      <c r="B12792" t="s">
        <v>35606</v>
      </c>
      <c r="C12792" t="s">
        <v>35370</v>
      </c>
      <c r="D12792" t="s">
        <v>35607</v>
      </c>
      <c r="E12792" t="s">
        <v>35608</v>
      </c>
      <c r="F12792" t="s">
        <v>24019</v>
      </c>
      <c r="G12792" t="s">
        <v>47073</v>
      </c>
      <c r="H12792" t="s">
        <v>47071</v>
      </c>
      <c r="I12792" t="s">
        <v>47120</v>
      </c>
      <c r="J12792" t="s">
        <v>47121</v>
      </c>
      <c r="K12792" t="s">
        <v>47113</v>
      </c>
      <c r="L12792">
        <v>10.98</v>
      </c>
      <c r="M12792">
        <v>22</v>
      </c>
      <c r="N12792">
        <v>0</v>
      </c>
      <c r="O12792">
        <v>22</v>
      </c>
      <c r="P12792">
        <v>0</v>
      </c>
    </row>
    <row r="12793" spans="1:16" x14ac:dyDescent="0.25">
      <c r="A12793" t="s">
        <v>35609</v>
      </c>
      <c r="B12793" t="s">
        <v>35610</v>
      </c>
      <c r="C12793" t="s">
        <v>35611</v>
      </c>
      <c r="D12793" t="s">
        <v>15692</v>
      </c>
      <c r="E12793" t="s">
        <v>46</v>
      </c>
      <c r="F12793" t="s">
        <v>24019</v>
      </c>
      <c r="G12793" t="s">
        <v>47073</v>
      </c>
      <c r="H12793" t="s">
        <v>47071</v>
      </c>
      <c r="I12793" t="s">
        <v>47120</v>
      </c>
      <c r="J12793" t="s">
        <v>47121</v>
      </c>
      <c r="K12793" t="s">
        <v>47113</v>
      </c>
      <c r="L12793">
        <v>10.98</v>
      </c>
      <c r="M12793">
        <v>22</v>
      </c>
      <c r="N12793">
        <v>0</v>
      </c>
      <c r="O12793">
        <v>22</v>
      </c>
      <c r="P12793">
        <v>0</v>
      </c>
    </row>
    <row r="12794" spans="1:16" x14ac:dyDescent="0.25">
      <c r="A12794" t="s">
        <v>35612</v>
      </c>
      <c r="B12794" t="s">
        <v>35613</v>
      </c>
      <c r="C12794" t="s">
        <v>35614</v>
      </c>
      <c r="D12794" t="s">
        <v>14429</v>
      </c>
      <c r="E12794" t="s">
        <v>60</v>
      </c>
      <c r="F12794" t="s">
        <v>24019</v>
      </c>
      <c r="G12794" t="s">
        <v>47073</v>
      </c>
      <c r="H12794" t="s">
        <v>47071</v>
      </c>
      <c r="I12794" t="s">
        <v>47120</v>
      </c>
      <c r="J12794" t="s">
        <v>47121</v>
      </c>
      <c r="K12794" t="s">
        <v>47113</v>
      </c>
      <c r="L12794">
        <v>10.98</v>
      </c>
      <c r="M12794">
        <v>22</v>
      </c>
      <c r="N12794">
        <v>0</v>
      </c>
      <c r="O12794">
        <v>22</v>
      </c>
      <c r="P12794">
        <v>0</v>
      </c>
    </row>
    <row r="12795" spans="1:16" x14ac:dyDescent="0.25">
      <c r="A12795" t="s">
        <v>35615</v>
      </c>
      <c r="B12795" t="s">
        <v>35616</v>
      </c>
      <c r="C12795" t="s">
        <v>35617</v>
      </c>
      <c r="D12795" t="s">
        <v>9513</v>
      </c>
      <c r="E12795" t="s">
        <v>9514</v>
      </c>
      <c r="F12795" t="s">
        <v>24019</v>
      </c>
      <c r="G12795" t="s">
        <v>47073</v>
      </c>
      <c r="H12795" t="s">
        <v>47071</v>
      </c>
      <c r="I12795" t="s">
        <v>47120</v>
      </c>
      <c r="J12795" t="s">
        <v>47121</v>
      </c>
      <c r="K12795" t="s">
        <v>47113</v>
      </c>
      <c r="L12795">
        <v>10.98</v>
      </c>
      <c r="M12795">
        <v>22</v>
      </c>
      <c r="N12795">
        <v>0</v>
      </c>
      <c r="O12795">
        <v>22</v>
      </c>
      <c r="P12795">
        <v>0</v>
      </c>
    </row>
    <row r="12796" spans="1:16" x14ac:dyDescent="0.25">
      <c r="A12796" t="s">
        <v>35618</v>
      </c>
      <c r="B12796" t="s">
        <v>35619</v>
      </c>
      <c r="C12796" t="s">
        <v>35620</v>
      </c>
      <c r="D12796" t="s">
        <v>15692</v>
      </c>
      <c r="E12796" t="s">
        <v>46</v>
      </c>
      <c r="F12796" t="s">
        <v>24019</v>
      </c>
      <c r="G12796" t="s">
        <v>47073</v>
      </c>
      <c r="H12796" t="s">
        <v>47071</v>
      </c>
      <c r="I12796" t="s">
        <v>47120</v>
      </c>
      <c r="J12796" t="s">
        <v>47121</v>
      </c>
      <c r="K12796" t="s">
        <v>47113</v>
      </c>
      <c r="L12796">
        <v>10.98</v>
      </c>
      <c r="M12796">
        <v>22</v>
      </c>
      <c r="N12796">
        <v>0</v>
      </c>
      <c r="O12796">
        <v>22</v>
      </c>
      <c r="P12796">
        <v>0</v>
      </c>
    </row>
    <row r="12797" spans="1:16" x14ac:dyDescent="0.25">
      <c r="A12797" t="s">
        <v>35621</v>
      </c>
      <c r="B12797" t="s">
        <v>35619</v>
      </c>
      <c r="C12797" t="s">
        <v>35620</v>
      </c>
      <c r="D12797" t="s">
        <v>35425</v>
      </c>
      <c r="E12797" t="s">
        <v>35426</v>
      </c>
      <c r="F12797" t="s">
        <v>24019</v>
      </c>
      <c r="G12797" t="s">
        <v>47073</v>
      </c>
      <c r="H12797" t="s">
        <v>47071</v>
      </c>
      <c r="I12797" t="s">
        <v>47120</v>
      </c>
      <c r="J12797" t="s">
        <v>47121</v>
      </c>
      <c r="K12797" t="s">
        <v>47113</v>
      </c>
      <c r="L12797">
        <v>10.98</v>
      </c>
      <c r="M12797">
        <v>22</v>
      </c>
      <c r="N12797">
        <v>0</v>
      </c>
      <c r="O12797">
        <v>22</v>
      </c>
      <c r="P12797">
        <v>0</v>
      </c>
    </row>
    <row r="12798" spans="1:16" x14ac:dyDescent="0.25">
      <c r="A12798" t="s">
        <v>35622</v>
      </c>
      <c r="B12798" t="s">
        <v>35623</v>
      </c>
      <c r="C12798" t="s">
        <v>35624</v>
      </c>
      <c r="D12798" t="s">
        <v>15740</v>
      </c>
      <c r="E12798" t="s">
        <v>42</v>
      </c>
      <c r="F12798" t="s">
        <v>24019</v>
      </c>
      <c r="G12798" t="s">
        <v>47073</v>
      </c>
      <c r="H12798" t="s">
        <v>47071</v>
      </c>
      <c r="I12798" t="s">
        <v>47120</v>
      </c>
      <c r="J12798" t="s">
        <v>47121</v>
      </c>
      <c r="K12798" t="s">
        <v>47113</v>
      </c>
      <c r="L12798">
        <v>12.66</v>
      </c>
      <c r="M12798">
        <v>26</v>
      </c>
      <c r="N12798">
        <v>0</v>
      </c>
      <c r="O12798">
        <v>26</v>
      </c>
      <c r="P12798">
        <v>0</v>
      </c>
    </row>
    <row r="12799" spans="1:16" x14ac:dyDescent="0.25">
      <c r="A12799" t="s">
        <v>35625</v>
      </c>
      <c r="B12799" t="s">
        <v>35623</v>
      </c>
      <c r="C12799" t="s">
        <v>35624</v>
      </c>
      <c r="D12799" t="s">
        <v>35416</v>
      </c>
      <c r="E12799" t="s">
        <v>35417</v>
      </c>
      <c r="F12799" t="s">
        <v>24019</v>
      </c>
      <c r="G12799" t="s">
        <v>47073</v>
      </c>
      <c r="H12799" t="s">
        <v>47071</v>
      </c>
      <c r="I12799" t="s">
        <v>47120</v>
      </c>
      <c r="J12799" t="s">
        <v>47121</v>
      </c>
      <c r="K12799" t="s">
        <v>47113</v>
      </c>
      <c r="L12799">
        <v>12.66</v>
      </c>
      <c r="M12799">
        <v>26</v>
      </c>
      <c r="N12799">
        <v>0</v>
      </c>
      <c r="O12799">
        <v>26</v>
      </c>
      <c r="P12799">
        <v>0</v>
      </c>
    </row>
    <row r="12800" spans="1:16" x14ac:dyDescent="0.25">
      <c r="A12800" t="s">
        <v>35626</v>
      </c>
      <c r="B12800" t="s">
        <v>35627</v>
      </c>
      <c r="C12800" t="s">
        <v>35628</v>
      </c>
      <c r="D12800" t="s">
        <v>15740</v>
      </c>
      <c r="E12800" t="s">
        <v>42</v>
      </c>
      <c r="F12800" t="s">
        <v>24019</v>
      </c>
      <c r="G12800" t="s">
        <v>47073</v>
      </c>
      <c r="H12800" t="s">
        <v>47071</v>
      </c>
      <c r="I12800" t="s">
        <v>47120</v>
      </c>
      <c r="J12800" t="s">
        <v>47121</v>
      </c>
      <c r="K12800" t="s">
        <v>47113</v>
      </c>
      <c r="L12800">
        <v>9.85</v>
      </c>
      <c r="M12800">
        <v>20</v>
      </c>
      <c r="N12800">
        <v>0</v>
      </c>
      <c r="O12800">
        <v>20</v>
      </c>
      <c r="P12800">
        <v>0</v>
      </c>
    </row>
    <row r="12801" spans="1:16" x14ac:dyDescent="0.25">
      <c r="A12801" t="s">
        <v>35629</v>
      </c>
      <c r="B12801" t="s">
        <v>35630</v>
      </c>
      <c r="C12801" t="s">
        <v>18087</v>
      </c>
      <c r="D12801" t="s">
        <v>15740</v>
      </c>
      <c r="E12801" t="s">
        <v>42</v>
      </c>
      <c r="F12801" t="s">
        <v>24019</v>
      </c>
      <c r="G12801" t="s">
        <v>47073</v>
      </c>
      <c r="H12801" t="s">
        <v>47071</v>
      </c>
      <c r="I12801" t="s">
        <v>47120</v>
      </c>
      <c r="J12801" t="s">
        <v>47121</v>
      </c>
      <c r="K12801" t="s">
        <v>47113</v>
      </c>
      <c r="L12801">
        <v>10</v>
      </c>
      <c r="M12801">
        <v>20</v>
      </c>
      <c r="N12801">
        <v>0</v>
      </c>
      <c r="O12801">
        <v>20</v>
      </c>
      <c r="P12801">
        <v>0</v>
      </c>
    </row>
    <row r="12802" spans="1:16" x14ac:dyDescent="0.25">
      <c r="A12802" t="s">
        <v>35631</v>
      </c>
      <c r="B12802" t="s">
        <v>35630</v>
      </c>
      <c r="C12802" t="s">
        <v>18087</v>
      </c>
      <c r="D12802" t="s">
        <v>15692</v>
      </c>
      <c r="E12802" t="s">
        <v>46</v>
      </c>
      <c r="F12802" t="s">
        <v>24019</v>
      </c>
      <c r="G12802" t="s">
        <v>47073</v>
      </c>
      <c r="H12802" t="s">
        <v>47071</v>
      </c>
      <c r="I12802" t="s">
        <v>47120</v>
      </c>
      <c r="J12802" t="s">
        <v>47121</v>
      </c>
      <c r="K12802" t="s">
        <v>47113</v>
      </c>
      <c r="L12802">
        <v>10</v>
      </c>
      <c r="M12802">
        <v>20</v>
      </c>
      <c r="N12802">
        <v>0</v>
      </c>
      <c r="O12802">
        <v>20</v>
      </c>
      <c r="P12802">
        <v>0</v>
      </c>
    </row>
    <row r="12803" spans="1:16" x14ac:dyDescent="0.25">
      <c r="A12803" t="s">
        <v>35632</v>
      </c>
      <c r="B12803" t="s">
        <v>35630</v>
      </c>
      <c r="C12803" t="s">
        <v>18087</v>
      </c>
      <c r="D12803" t="s">
        <v>15752</v>
      </c>
      <c r="E12803" t="s">
        <v>15753</v>
      </c>
      <c r="F12803" t="s">
        <v>24019</v>
      </c>
      <c r="G12803" t="s">
        <v>47073</v>
      </c>
      <c r="H12803" t="s">
        <v>47071</v>
      </c>
      <c r="I12803" t="s">
        <v>47120</v>
      </c>
      <c r="J12803" t="s">
        <v>47121</v>
      </c>
      <c r="K12803" t="s">
        <v>47113</v>
      </c>
      <c r="L12803">
        <v>10</v>
      </c>
      <c r="M12803">
        <v>20</v>
      </c>
      <c r="N12803">
        <v>0</v>
      </c>
      <c r="O12803">
        <v>20</v>
      </c>
      <c r="P12803">
        <v>0</v>
      </c>
    </row>
    <row r="12804" spans="1:16" x14ac:dyDescent="0.25">
      <c r="A12804" t="s">
        <v>35633</v>
      </c>
      <c r="B12804" t="s">
        <v>35630</v>
      </c>
      <c r="C12804" t="s">
        <v>18087</v>
      </c>
      <c r="D12804" t="s">
        <v>9513</v>
      </c>
      <c r="E12804" t="s">
        <v>9514</v>
      </c>
      <c r="F12804" t="s">
        <v>24019</v>
      </c>
      <c r="G12804" t="s">
        <v>47073</v>
      </c>
      <c r="H12804" t="s">
        <v>47071</v>
      </c>
      <c r="I12804" t="s">
        <v>47120</v>
      </c>
      <c r="J12804" t="s">
        <v>47121</v>
      </c>
      <c r="K12804" t="s">
        <v>47113</v>
      </c>
      <c r="L12804">
        <v>10</v>
      </c>
      <c r="M12804">
        <v>20</v>
      </c>
      <c r="N12804">
        <v>0</v>
      </c>
      <c r="O12804">
        <v>20</v>
      </c>
      <c r="P12804">
        <v>0</v>
      </c>
    </row>
    <row r="12805" spans="1:16" x14ac:dyDescent="0.25">
      <c r="A12805" t="s">
        <v>35634</v>
      </c>
      <c r="B12805" t="s">
        <v>35630</v>
      </c>
      <c r="C12805" t="s">
        <v>18087</v>
      </c>
      <c r="D12805" t="s">
        <v>35416</v>
      </c>
      <c r="E12805" t="s">
        <v>35417</v>
      </c>
      <c r="F12805" t="s">
        <v>24019</v>
      </c>
      <c r="G12805" t="s">
        <v>47073</v>
      </c>
      <c r="H12805" t="s">
        <v>47071</v>
      </c>
      <c r="I12805" t="s">
        <v>47120</v>
      </c>
      <c r="J12805" t="s">
        <v>47121</v>
      </c>
      <c r="K12805" t="s">
        <v>47113</v>
      </c>
      <c r="L12805">
        <v>10</v>
      </c>
      <c r="M12805">
        <v>20</v>
      </c>
      <c r="N12805">
        <v>0</v>
      </c>
      <c r="O12805">
        <v>20</v>
      </c>
      <c r="P12805">
        <v>0</v>
      </c>
    </row>
    <row r="12806" spans="1:16" x14ac:dyDescent="0.25">
      <c r="A12806" t="s">
        <v>35635</v>
      </c>
      <c r="B12806" t="s">
        <v>35630</v>
      </c>
      <c r="C12806" t="s">
        <v>18087</v>
      </c>
      <c r="D12806" t="s">
        <v>15651</v>
      </c>
      <c r="E12806" t="s">
        <v>15652</v>
      </c>
      <c r="F12806" t="s">
        <v>24019</v>
      </c>
      <c r="G12806" t="s">
        <v>47073</v>
      </c>
      <c r="H12806" t="s">
        <v>47071</v>
      </c>
      <c r="I12806" t="s">
        <v>47120</v>
      </c>
      <c r="J12806" t="s">
        <v>47121</v>
      </c>
      <c r="K12806" t="s">
        <v>47113</v>
      </c>
      <c r="L12806">
        <v>10</v>
      </c>
      <c r="M12806">
        <v>20</v>
      </c>
      <c r="N12806">
        <v>0</v>
      </c>
      <c r="O12806">
        <v>20</v>
      </c>
      <c r="P12806">
        <v>0</v>
      </c>
    </row>
    <row r="12807" spans="1:16" x14ac:dyDescent="0.25">
      <c r="A12807" t="s">
        <v>35636</v>
      </c>
      <c r="B12807" t="s">
        <v>35630</v>
      </c>
      <c r="C12807" t="s">
        <v>18087</v>
      </c>
      <c r="D12807" t="s">
        <v>14429</v>
      </c>
      <c r="E12807" t="s">
        <v>60</v>
      </c>
      <c r="F12807" t="s">
        <v>24019</v>
      </c>
      <c r="G12807" t="s">
        <v>47073</v>
      </c>
      <c r="H12807" t="s">
        <v>47071</v>
      </c>
      <c r="I12807" t="s">
        <v>47120</v>
      </c>
      <c r="J12807" t="s">
        <v>47121</v>
      </c>
      <c r="K12807" t="s">
        <v>47113</v>
      </c>
      <c r="L12807">
        <v>10</v>
      </c>
      <c r="M12807">
        <v>20</v>
      </c>
      <c r="N12807">
        <v>0</v>
      </c>
      <c r="O12807">
        <v>20</v>
      </c>
      <c r="P12807">
        <v>0</v>
      </c>
    </row>
    <row r="12808" spans="1:16" x14ac:dyDescent="0.25">
      <c r="A12808" t="s">
        <v>46954</v>
      </c>
      <c r="B12808" t="s">
        <v>35638</v>
      </c>
      <c r="C12808" t="s">
        <v>35639</v>
      </c>
      <c r="D12808" t="s">
        <v>15740</v>
      </c>
      <c r="E12808" t="s">
        <v>42</v>
      </c>
      <c r="F12808" t="s">
        <v>24019</v>
      </c>
      <c r="G12808" t="s">
        <v>47077</v>
      </c>
      <c r="H12808" t="s">
        <v>47071</v>
      </c>
      <c r="I12808" t="s">
        <v>47120</v>
      </c>
      <c r="J12808" t="s">
        <v>47121</v>
      </c>
      <c r="K12808" t="s">
        <v>47113</v>
      </c>
      <c r="L12808">
        <v>15.93</v>
      </c>
      <c r="M12808">
        <v>59</v>
      </c>
      <c r="N12808">
        <v>159</v>
      </c>
      <c r="O12808">
        <v>59</v>
      </c>
      <c r="P12808">
        <v>159</v>
      </c>
    </row>
    <row r="12809" spans="1:16" x14ac:dyDescent="0.25">
      <c r="A12809" t="s">
        <v>35637</v>
      </c>
      <c r="B12809" t="s">
        <v>35638</v>
      </c>
      <c r="C12809" t="s">
        <v>35639</v>
      </c>
      <c r="D12809" t="s">
        <v>35640</v>
      </c>
      <c r="E12809" t="s">
        <v>35641</v>
      </c>
      <c r="F12809" t="s">
        <v>24019</v>
      </c>
      <c r="G12809" t="s">
        <v>47077</v>
      </c>
      <c r="H12809" t="s">
        <v>47071</v>
      </c>
      <c r="I12809" t="s">
        <v>47120</v>
      </c>
      <c r="J12809" t="s">
        <v>47121</v>
      </c>
      <c r="K12809" t="s">
        <v>47113</v>
      </c>
      <c r="L12809">
        <v>20.61</v>
      </c>
      <c r="M12809">
        <v>64</v>
      </c>
      <c r="N12809">
        <v>159</v>
      </c>
      <c r="O12809">
        <v>64</v>
      </c>
      <c r="P12809">
        <v>159</v>
      </c>
    </row>
    <row r="12810" spans="1:16" x14ac:dyDescent="0.25">
      <c r="A12810" t="s">
        <v>35642</v>
      </c>
      <c r="B12810" t="s">
        <v>9367</v>
      </c>
      <c r="C12810" t="s">
        <v>9368</v>
      </c>
      <c r="D12810" t="str">
        <f>"1001"</f>
        <v>1001</v>
      </c>
      <c r="E12810" t="s">
        <v>42</v>
      </c>
      <c r="F12810" t="s">
        <v>5</v>
      </c>
      <c r="G12810" t="s">
        <v>46688</v>
      </c>
      <c r="H12810" t="s">
        <v>47071</v>
      </c>
      <c r="I12810" t="s">
        <v>47120</v>
      </c>
      <c r="J12810" t="s">
        <v>47121</v>
      </c>
      <c r="K12810" t="s">
        <v>47113</v>
      </c>
      <c r="L12810">
        <v>14.12</v>
      </c>
      <c r="M12810">
        <v>28</v>
      </c>
      <c r="N12810">
        <v>0</v>
      </c>
      <c r="O12810">
        <v>28</v>
      </c>
      <c r="P12810">
        <v>0</v>
      </c>
    </row>
    <row r="12811" spans="1:16" x14ac:dyDescent="0.25">
      <c r="A12811" t="s">
        <v>35643</v>
      </c>
      <c r="B12811" t="s">
        <v>9367</v>
      </c>
      <c r="C12811" t="s">
        <v>9368</v>
      </c>
      <c r="D12811" t="str">
        <f>"1501"</f>
        <v>1501</v>
      </c>
      <c r="E12811" t="s">
        <v>9369</v>
      </c>
      <c r="F12811" t="s">
        <v>5</v>
      </c>
      <c r="G12811" t="s">
        <v>46688</v>
      </c>
      <c r="H12811" t="s">
        <v>47071</v>
      </c>
      <c r="I12811" t="s">
        <v>47120</v>
      </c>
      <c r="J12811" t="s">
        <v>47121</v>
      </c>
      <c r="K12811" t="s">
        <v>47113</v>
      </c>
      <c r="L12811">
        <v>14.12</v>
      </c>
      <c r="M12811">
        <v>28</v>
      </c>
      <c r="N12811">
        <v>0</v>
      </c>
      <c r="O12811">
        <v>28</v>
      </c>
      <c r="P12811">
        <v>0</v>
      </c>
    </row>
    <row r="12812" spans="1:16" x14ac:dyDescent="0.25">
      <c r="A12812" t="s">
        <v>35644</v>
      </c>
      <c r="B12812" t="s">
        <v>9367</v>
      </c>
      <c r="C12812" t="s">
        <v>9368</v>
      </c>
      <c r="D12812" t="str">
        <f>"2500"</f>
        <v>2500</v>
      </c>
      <c r="E12812" t="s">
        <v>1747</v>
      </c>
      <c r="F12812" t="s">
        <v>5</v>
      </c>
      <c r="G12812" t="s">
        <v>46688</v>
      </c>
      <c r="H12812" t="s">
        <v>47071</v>
      </c>
      <c r="I12812" t="s">
        <v>47120</v>
      </c>
      <c r="J12812" t="s">
        <v>47121</v>
      </c>
      <c r="K12812" t="s">
        <v>47113</v>
      </c>
      <c r="L12812">
        <v>14.12</v>
      </c>
      <c r="M12812">
        <v>28</v>
      </c>
      <c r="N12812">
        <v>0</v>
      </c>
      <c r="O12812">
        <v>28</v>
      </c>
      <c r="P12812">
        <v>0</v>
      </c>
    </row>
    <row r="12813" spans="1:16" x14ac:dyDescent="0.25">
      <c r="A12813" t="s">
        <v>35645</v>
      </c>
      <c r="B12813" t="s">
        <v>9367</v>
      </c>
      <c r="C12813" t="s">
        <v>9368</v>
      </c>
      <c r="D12813" t="str">
        <f>"4059"</f>
        <v>4059</v>
      </c>
      <c r="E12813" t="s">
        <v>1847</v>
      </c>
      <c r="F12813" t="s">
        <v>5</v>
      </c>
      <c r="G12813" t="s">
        <v>46688</v>
      </c>
      <c r="H12813" t="s">
        <v>47071</v>
      </c>
      <c r="I12813" t="s">
        <v>47120</v>
      </c>
      <c r="J12813" t="s">
        <v>47121</v>
      </c>
      <c r="K12813" t="s">
        <v>47113</v>
      </c>
      <c r="L12813">
        <v>14.12</v>
      </c>
      <c r="M12813">
        <v>28</v>
      </c>
      <c r="N12813">
        <v>0</v>
      </c>
      <c r="O12813">
        <v>28</v>
      </c>
      <c r="P12813">
        <v>0</v>
      </c>
    </row>
    <row r="12814" spans="1:16" x14ac:dyDescent="0.25">
      <c r="A12814" t="s">
        <v>35646</v>
      </c>
      <c r="B12814" t="s">
        <v>9367</v>
      </c>
      <c r="C12814" t="s">
        <v>9368</v>
      </c>
      <c r="D12814" t="str">
        <f>"4100"</f>
        <v>4100</v>
      </c>
      <c r="E12814" t="s">
        <v>2383</v>
      </c>
      <c r="F12814" t="s">
        <v>5</v>
      </c>
      <c r="G12814" t="s">
        <v>46688</v>
      </c>
      <c r="H12814" t="s">
        <v>47071</v>
      </c>
      <c r="I12814" t="s">
        <v>47120</v>
      </c>
      <c r="J12814" t="s">
        <v>47121</v>
      </c>
      <c r="K12814" t="s">
        <v>47113</v>
      </c>
      <c r="L12814">
        <v>14.12</v>
      </c>
      <c r="M12814">
        <v>28</v>
      </c>
      <c r="N12814">
        <v>0</v>
      </c>
      <c r="O12814">
        <v>28</v>
      </c>
      <c r="P12814">
        <v>0</v>
      </c>
    </row>
    <row r="12815" spans="1:16" x14ac:dyDescent="0.25">
      <c r="A12815" t="s">
        <v>35647</v>
      </c>
      <c r="B12815" t="s">
        <v>9367</v>
      </c>
      <c r="C12815" t="s">
        <v>9368</v>
      </c>
      <c r="D12815" t="str">
        <f>"6000"</f>
        <v>6000</v>
      </c>
      <c r="E12815" t="s">
        <v>238</v>
      </c>
      <c r="F12815" t="s">
        <v>5</v>
      </c>
      <c r="G12815" t="s">
        <v>46688</v>
      </c>
      <c r="H12815" t="s">
        <v>47071</v>
      </c>
      <c r="I12815" t="s">
        <v>47120</v>
      </c>
      <c r="J12815" t="s">
        <v>47121</v>
      </c>
      <c r="K12815" t="s">
        <v>47113</v>
      </c>
      <c r="L12815">
        <v>14.12</v>
      </c>
      <c r="M12815">
        <v>28</v>
      </c>
      <c r="N12815">
        <v>0</v>
      </c>
      <c r="O12815">
        <v>28</v>
      </c>
      <c r="P12815">
        <v>0</v>
      </c>
    </row>
    <row r="12816" spans="1:16" x14ac:dyDescent="0.25">
      <c r="A12816" t="s">
        <v>35648</v>
      </c>
      <c r="B12816" t="s">
        <v>9370</v>
      </c>
      <c r="C12816" t="s">
        <v>9371</v>
      </c>
      <c r="D12816" t="str">
        <f>"1001"</f>
        <v>1001</v>
      </c>
      <c r="E12816" t="s">
        <v>42</v>
      </c>
      <c r="F12816" t="s">
        <v>5</v>
      </c>
      <c r="G12816" t="s">
        <v>46688</v>
      </c>
      <c r="H12816" t="s">
        <v>47071</v>
      </c>
      <c r="I12816" t="s">
        <v>47120</v>
      </c>
      <c r="J12816" t="s">
        <v>47121</v>
      </c>
      <c r="K12816" t="s">
        <v>47113</v>
      </c>
      <c r="L12816">
        <v>9.19</v>
      </c>
      <c r="M12816">
        <v>22</v>
      </c>
      <c r="N12816">
        <v>0</v>
      </c>
      <c r="O12816">
        <v>22</v>
      </c>
      <c r="P12816">
        <v>0</v>
      </c>
    </row>
    <row r="12817" spans="1:16" x14ac:dyDescent="0.25">
      <c r="A12817" t="s">
        <v>35649</v>
      </c>
      <c r="B12817" t="s">
        <v>9370</v>
      </c>
      <c r="C12817" t="s">
        <v>9371</v>
      </c>
      <c r="D12817" t="str">
        <f>"4100"</f>
        <v>4100</v>
      </c>
      <c r="E12817" t="s">
        <v>2383</v>
      </c>
      <c r="F12817" t="s">
        <v>5</v>
      </c>
      <c r="G12817" t="s">
        <v>46688</v>
      </c>
      <c r="H12817" t="s">
        <v>47071</v>
      </c>
      <c r="I12817" t="s">
        <v>47120</v>
      </c>
      <c r="J12817" t="s">
        <v>47121</v>
      </c>
      <c r="K12817" t="s">
        <v>47113</v>
      </c>
      <c r="L12817">
        <v>9.19</v>
      </c>
      <c r="M12817">
        <v>22</v>
      </c>
      <c r="N12817">
        <v>0</v>
      </c>
      <c r="O12817">
        <v>22</v>
      </c>
      <c r="P12817">
        <v>0</v>
      </c>
    </row>
    <row r="12818" spans="1:16" x14ac:dyDescent="0.25">
      <c r="A12818" t="s">
        <v>35650</v>
      </c>
      <c r="B12818" t="s">
        <v>9372</v>
      </c>
      <c r="C12818" t="s">
        <v>9373</v>
      </c>
      <c r="D12818" t="str">
        <f>"1001"</f>
        <v>1001</v>
      </c>
      <c r="E12818" t="s">
        <v>42</v>
      </c>
      <c r="F12818" t="s">
        <v>5</v>
      </c>
      <c r="G12818" t="s">
        <v>46688</v>
      </c>
      <c r="H12818" t="s">
        <v>47071</v>
      </c>
      <c r="I12818" t="s">
        <v>47120</v>
      </c>
      <c r="J12818" t="s">
        <v>47121</v>
      </c>
      <c r="K12818" t="s">
        <v>47113</v>
      </c>
      <c r="L12818">
        <v>16.559999999999999</v>
      </c>
      <c r="M12818">
        <v>28</v>
      </c>
      <c r="N12818">
        <v>0</v>
      </c>
      <c r="O12818">
        <v>28</v>
      </c>
      <c r="P12818">
        <v>0</v>
      </c>
    </row>
    <row r="12819" spans="1:16" x14ac:dyDescent="0.25">
      <c r="A12819" t="s">
        <v>35651</v>
      </c>
      <c r="B12819" t="s">
        <v>9372</v>
      </c>
      <c r="C12819" t="s">
        <v>9373</v>
      </c>
      <c r="D12819" t="str">
        <f>"2502"</f>
        <v>2502</v>
      </c>
      <c r="E12819" t="s">
        <v>260</v>
      </c>
      <c r="F12819" t="s">
        <v>5</v>
      </c>
      <c r="G12819" t="s">
        <v>46688</v>
      </c>
      <c r="H12819" t="s">
        <v>47071</v>
      </c>
      <c r="I12819" t="s">
        <v>47120</v>
      </c>
      <c r="J12819" t="s">
        <v>47121</v>
      </c>
      <c r="K12819" t="s">
        <v>47113</v>
      </c>
      <c r="L12819">
        <v>16.559999999999999</v>
      </c>
      <c r="M12819">
        <v>28</v>
      </c>
      <c r="N12819">
        <v>0</v>
      </c>
      <c r="O12819">
        <v>28</v>
      </c>
      <c r="P12819">
        <v>0</v>
      </c>
    </row>
    <row r="12820" spans="1:16" x14ac:dyDescent="0.25">
      <c r="A12820" t="s">
        <v>35652</v>
      </c>
      <c r="B12820" t="s">
        <v>9372</v>
      </c>
      <c r="C12820" t="s">
        <v>9373</v>
      </c>
      <c r="D12820" t="str">
        <f>"4253"</f>
        <v>4253</v>
      </c>
      <c r="E12820" t="s">
        <v>9374</v>
      </c>
      <c r="F12820" t="s">
        <v>5</v>
      </c>
      <c r="G12820" t="s">
        <v>46688</v>
      </c>
      <c r="H12820" t="s">
        <v>47071</v>
      </c>
      <c r="I12820" t="s">
        <v>47120</v>
      </c>
      <c r="J12820" t="s">
        <v>47121</v>
      </c>
      <c r="K12820" t="s">
        <v>47113</v>
      </c>
      <c r="L12820">
        <v>16.559999999999999</v>
      </c>
      <c r="M12820">
        <v>28</v>
      </c>
      <c r="N12820">
        <v>0</v>
      </c>
      <c r="O12820">
        <v>28</v>
      </c>
      <c r="P12820">
        <v>0</v>
      </c>
    </row>
    <row r="12821" spans="1:16" x14ac:dyDescent="0.25">
      <c r="A12821" t="s">
        <v>35653</v>
      </c>
      <c r="B12821" t="s">
        <v>9372</v>
      </c>
      <c r="C12821" t="s">
        <v>9373</v>
      </c>
      <c r="D12821" t="str">
        <f>"6064"</f>
        <v>6064</v>
      </c>
      <c r="E12821" t="s">
        <v>87</v>
      </c>
      <c r="F12821" t="s">
        <v>5</v>
      </c>
      <c r="G12821" t="s">
        <v>46688</v>
      </c>
      <c r="H12821" t="s">
        <v>47071</v>
      </c>
      <c r="I12821" t="s">
        <v>47120</v>
      </c>
      <c r="J12821" t="s">
        <v>47121</v>
      </c>
      <c r="K12821" t="s">
        <v>47113</v>
      </c>
      <c r="L12821">
        <v>16.559999999999999</v>
      </c>
      <c r="M12821">
        <v>28</v>
      </c>
      <c r="N12821">
        <v>0</v>
      </c>
      <c r="O12821">
        <v>28</v>
      </c>
      <c r="P12821">
        <v>0</v>
      </c>
    </row>
    <row r="12822" spans="1:16" x14ac:dyDescent="0.25">
      <c r="A12822" t="s">
        <v>35654</v>
      </c>
      <c r="B12822" t="s">
        <v>9375</v>
      </c>
      <c r="C12822" t="s">
        <v>7745</v>
      </c>
      <c r="D12822" t="str">
        <f>"1100"</f>
        <v>1100</v>
      </c>
      <c r="E12822" t="s">
        <v>54</v>
      </c>
      <c r="F12822" t="s">
        <v>2068</v>
      </c>
      <c r="G12822" t="s">
        <v>46688</v>
      </c>
      <c r="H12822" t="s">
        <v>47071</v>
      </c>
      <c r="I12822" t="s">
        <v>47120</v>
      </c>
      <c r="J12822" t="s">
        <v>47121</v>
      </c>
      <c r="K12822" t="s">
        <v>47113</v>
      </c>
      <c r="L12822">
        <v>20.51</v>
      </c>
      <c r="M12822">
        <v>48</v>
      </c>
      <c r="N12822">
        <v>0</v>
      </c>
      <c r="O12822">
        <v>48</v>
      </c>
      <c r="P12822">
        <v>0</v>
      </c>
    </row>
    <row r="12823" spans="1:16" x14ac:dyDescent="0.25">
      <c r="A12823" t="s">
        <v>35655</v>
      </c>
      <c r="B12823" t="s">
        <v>9375</v>
      </c>
      <c r="C12823" t="s">
        <v>7745</v>
      </c>
      <c r="D12823" t="str">
        <f>"1470"</f>
        <v>1470</v>
      </c>
      <c r="E12823" t="s">
        <v>7746</v>
      </c>
      <c r="F12823" t="s">
        <v>2068</v>
      </c>
      <c r="G12823" t="s">
        <v>46688</v>
      </c>
      <c r="H12823" t="s">
        <v>47071</v>
      </c>
      <c r="I12823" t="s">
        <v>47120</v>
      </c>
      <c r="J12823" t="s">
        <v>47121</v>
      </c>
      <c r="K12823" t="s">
        <v>47113</v>
      </c>
      <c r="L12823">
        <v>20.51</v>
      </c>
      <c r="M12823">
        <v>48</v>
      </c>
      <c r="N12823">
        <v>0</v>
      </c>
      <c r="O12823">
        <v>48</v>
      </c>
      <c r="P12823">
        <v>0</v>
      </c>
    </row>
    <row r="12824" spans="1:16" x14ac:dyDescent="0.25">
      <c r="A12824" t="s">
        <v>35656</v>
      </c>
      <c r="B12824" t="s">
        <v>9375</v>
      </c>
      <c r="C12824" t="s">
        <v>7745</v>
      </c>
      <c r="D12824" t="str">
        <f>"2699"</f>
        <v>2699</v>
      </c>
      <c r="E12824" t="s">
        <v>7747</v>
      </c>
      <c r="F12824" t="s">
        <v>2068</v>
      </c>
      <c r="G12824" t="s">
        <v>46688</v>
      </c>
      <c r="H12824" t="s">
        <v>47071</v>
      </c>
      <c r="I12824" t="s">
        <v>47120</v>
      </c>
      <c r="J12824" t="s">
        <v>47121</v>
      </c>
      <c r="K12824" t="s">
        <v>47113</v>
      </c>
      <c r="L12824">
        <v>20.51</v>
      </c>
      <c r="M12824">
        <v>48</v>
      </c>
      <c r="N12824">
        <v>0</v>
      </c>
      <c r="O12824">
        <v>48</v>
      </c>
      <c r="P12824">
        <v>0</v>
      </c>
    </row>
    <row r="12825" spans="1:16" x14ac:dyDescent="0.25">
      <c r="A12825" t="s">
        <v>35657</v>
      </c>
      <c r="B12825" t="s">
        <v>9375</v>
      </c>
      <c r="C12825" t="s">
        <v>7745</v>
      </c>
      <c r="D12825" t="str">
        <f>"8411"</f>
        <v>8411</v>
      </c>
      <c r="E12825" t="s">
        <v>7748</v>
      </c>
      <c r="F12825" t="s">
        <v>2068</v>
      </c>
      <c r="G12825" t="s">
        <v>46688</v>
      </c>
      <c r="H12825" t="s">
        <v>47071</v>
      </c>
      <c r="I12825" t="s">
        <v>47120</v>
      </c>
      <c r="J12825" t="s">
        <v>47121</v>
      </c>
      <c r="K12825" t="s">
        <v>47113</v>
      </c>
      <c r="L12825">
        <v>20.51</v>
      </c>
      <c r="M12825">
        <v>48</v>
      </c>
      <c r="N12825">
        <v>0</v>
      </c>
      <c r="O12825">
        <v>48</v>
      </c>
      <c r="P12825">
        <v>0</v>
      </c>
    </row>
    <row r="12826" spans="1:16" x14ac:dyDescent="0.25">
      <c r="A12826" t="s">
        <v>35658</v>
      </c>
      <c r="B12826" t="s">
        <v>9376</v>
      </c>
      <c r="C12826" t="s">
        <v>9377</v>
      </c>
      <c r="D12826" t="str">
        <f>"1100"</f>
        <v>1100</v>
      </c>
      <c r="E12826" t="s">
        <v>54</v>
      </c>
      <c r="F12826" t="s">
        <v>2068</v>
      </c>
      <c r="G12826" t="s">
        <v>46688</v>
      </c>
      <c r="H12826" t="s">
        <v>47071</v>
      </c>
      <c r="I12826" t="s">
        <v>47120</v>
      </c>
      <c r="J12826" t="s">
        <v>47121</v>
      </c>
      <c r="K12826" t="s">
        <v>47113</v>
      </c>
      <c r="L12826">
        <v>21.88</v>
      </c>
      <c r="M12826">
        <v>51</v>
      </c>
      <c r="N12826">
        <v>0</v>
      </c>
      <c r="O12826">
        <v>51</v>
      </c>
      <c r="P12826">
        <v>0</v>
      </c>
    </row>
    <row r="12827" spans="1:16" x14ac:dyDescent="0.25">
      <c r="A12827" t="s">
        <v>35659</v>
      </c>
      <c r="B12827" t="s">
        <v>9376</v>
      </c>
      <c r="C12827" t="s">
        <v>9377</v>
      </c>
      <c r="D12827" t="str">
        <f>"1470"</f>
        <v>1470</v>
      </c>
      <c r="E12827" t="s">
        <v>7746</v>
      </c>
      <c r="F12827" t="s">
        <v>2068</v>
      </c>
      <c r="G12827" t="s">
        <v>46688</v>
      </c>
      <c r="H12827" t="s">
        <v>47071</v>
      </c>
      <c r="I12827" t="s">
        <v>47120</v>
      </c>
      <c r="J12827" t="s">
        <v>47121</v>
      </c>
      <c r="K12827" t="s">
        <v>47113</v>
      </c>
      <c r="L12827">
        <v>21.88</v>
      </c>
      <c r="M12827">
        <v>51</v>
      </c>
      <c r="N12827">
        <v>0</v>
      </c>
      <c r="O12827">
        <v>51</v>
      </c>
      <c r="P12827">
        <v>0</v>
      </c>
    </row>
    <row r="12828" spans="1:16" x14ac:dyDescent="0.25">
      <c r="A12828" t="s">
        <v>35660</v>
      </c>
      <c r="B12828" t="s">
        <v>9376</v>
      </c>
      <c r="C12828" t="s">
        <v>9377</v>
      </c>
      <c r="D12828" t="str">
        <f>"2699"</f>
        <v>2699</v>
      </c>
      <c r="E12828" t="s">
        <v>7747</v>
      </c>
      <c r="F12828" t="s">
        <v>2068</v>
      </c>
      <c r="G12828" t="s">
        <v>46688</v>
      </c>
      <c r="H12828" t="s">
        <v>47071</v>
      </c>
      <c r="I12828" t="s">
        <v>47120</v>
      </c>
      <c r="J12828" t="s">
        <v>47121</v>
      </c>
      <c r="K12828" t="s">
        <v>47113</v>
      </c>
      <c r="L12828">
        <v>21.88</v>
      </c>
      <c r="M12828">
        <v>51</v>
      </c>
      <c r="N12828">
        <v>0</v>
      </c>
      <c r="O12828">
        <v>51</v>
      </c>
      <c r="P12828">
        <v>0</v>
      </c>
    </row>
    <row r="12829" spans="1:16" x14ac:dyDescent="0.25">
      <c r="A12829" t="s">
        <v>35661</v>
      </c>
      <c r="B12829" t="s">
        <v>9376</v>
      </c>
      <c r="C12829" t="s">
        <v>9377</v>
      </c>
      <c r="D12829" t="str">
        <f>"8411"</f>
        <v>8411</v>
      </c>
      <c r="E12829" t="s">
        <v>7748</v>
      </c>
      <c r="F12829" t="s">
        <v>2068</v>
      </c>
      <c r="G12829" t="s">
        <v>46688</v>
      </c>
      <c r="H12829" t="s">
        <v>47071</v>
      </c>
      <c r="I12829" t="s">
        <v>47120</v>
      </c>
      <c r="J12829" t="s">
        <v>47121</v>
      </c>
      <c r="K12829" t="s">
        <v>47113</v>
      </c>
      <c r="L12829">
        <v>21.88</v>
      </c>
      <c r="M12829">
        <v>51</v>
      </c>
      <c r="N12829">
        <v>0</v>
      </c>
      <c r="O12829">
        <v>51</v>
      </c>
      <c r="P12829">
        <v>0</v>
      </c>
    </row>
    <row r="12830" spans="1:16" x14ac:dyDescent="0.25">
      <c r="A12830" t="s">
        <v>35662</v>
      </c>
      <c r="B12830" t="s">
        <v>9378</v>
      </c>
      <c r="C12830" t="s">
        <v>7750</v>
      </c>
      <c r="D12830" t="str">
        <f>"1001"</f>
        <v>1001</v>
      </c>
      <c r="E12830" t="s">
        <v>42</v>
      </c>
      <c r="F12830" t="s">
        <v>2068</v>
      </c>
      <c r="G12830" t="s">
        <v>46688</v>
      </c>
      <c r="H12830" t="s">
        <v>47071</v>
      </c>
      <c r="I12830" t="s">
        <v>47120</v>
      </c>
      <c r="J12830" t="s">
        <v>47121</v>
      </c>
      <c r="K12830" t="s">
        <v>47113</v>
      </c>
      <c r="L12830">
        <v>31.45</v>
      </c>
      <c r="M12830">
        <v>73</v>
      </c>
      <c r="N12830">
        <v>0</v>
      </c>
      <c r="O12830">
        <v>73</v>
      </c>
      <c r="P12830">
        <v>0</v>
      </c>
    </row>
    <row r="12831" spans="1:16" x14ac:dyDescent="0.25">
      <c r="A12831" t="s">
        <v>35663</v>
      </c>
      <c r="B12831" t="s">
        <v>9378</v>
      </c>
      <c r="C12831" t="s">
        <v>7750</v>
      </c>
      <c r="D12831" t="str">
        <f>"3525"</f>
        <v>3525</v>
      </c>
      <c r="E12831" t="s">
        <v>7751</v>
      </c>
      <c r="F12831" t="s">
        <v>2068</v>
      </c>
      <c r="G12831" t="s">
        <v>46688</v>
      </c>
      <c r="H12831" t="s">
        <v>47071</v>
      </c>
      <c r="I12831" t="s">
        <v>47120</v>
      </c>
      <c r="J12831" t="s">
        <v>47121</v>
      </c>
      <c r="K12831" t="s">
        <v>47113</v>
      </c>
      <c r="L12831">
        <v>31.45</v>
      </c>
      <c r="M12831">
        <v>73</v>
      </c>
      <c r="N12831">
        <v>0</v>
      </c>
      <c r="O12831">
        <v>73</v>
      </c>
      <c r="P12831">
        <v>0</v>
      </c>
    </row>
    <row r="12832" spans="1:16" x14ac:dyDescent="0.25">
      <c r="A12832" t="s">
        <v>35664</v>
      </c>
      <c r="B12832" t="s">
        <v>9378</v>
      </c>
      <c r="C12832" t="s">
        <v>7750</v>
      </c>
      <c r="D12832" t="str">
        <f>"4048"</f>
        <v>4048</v>
      </c>
      <c r="E12832" t="s">
        <v>710</v>
      </c>
      <c r="F12832" t="s">
        <v>2068</v>
      </c>
      <c r="G12832" t="s">
        <v>46688</v>
      </c>
      <c r="H12832" t="s">
        <v>47071</v>
      </c>
      <c r="I12832" t="s">
        <v>47120</v>
      </c>
      <c r="J12832" t="s">
        <v>47121</v>
      </c>
      <c r="K12832" t="s">
        <v>47113</v>
      </c>
      <c r="L12832">
        <v>31.45</v>
      </c>
      <c r="M12832">
        <v>73</v>
      </c>
      <c r="N12832">
        <v>0</v>
      </c>
      <c r="O12832">
        <v>73</v>
      </c>
      <c r="P12832">
        <v>0</v>
      </c>
    </row>
    <row r="12833" spans="1:16" x14ac:dyDescent="0.25">
      <c r="A12833" t="s">
        <v>35665</v>
      </c>
      <c r="B12833" t="s">
        <v>9378</v>
      </c>
      <c r="C12833" t="s">
        <v>7750</v>
      </c>
      <c r="D12833" t="str">
        <f>"7123"</f>
        <v>7123</v>
      </c>
      <c r="E12833" t="s">
        <v>9379</v>
      </c>
      <c r="F12833" t="s">
        <v>2068</v>
      </c>
      <c r="G12833" t="s">
        <v>46688</v>
      </c>
      <c r="H12833" t="s">
        <v>47071</v>
      </c>
      <c r="I12833" t="s">
        <v>47120</v>
      </c>
      <c r="J12833" t="s">
        <v>47121</v>
      </c>
      <c r="K12833" t="s">
        <v>47113</v>
      </c>
      <c r="L12833">
        <v>31.45</v>
      </c>
      <c r="M12833">
        <v>73</v>
      </c>
      <c r="N12833">
        <v>0</v>
      </c>
      <c r="O12833">
        <v>73</v>
      </c>
      <c r="P12833">
        <v>0</v>
      </c>
    </row>
    <row r="12834" spans="1:16" x14ac:dyDescent="0.25">
      <c r="A12834" t="s">
        <v>35666</v>
      </c>
      <c r="B12834" t="s">
        <v>9378</v>
      </c>
      <c r="C12834" t="s">
        <v>7750</v>
      </c>
      <c r="D12834" t="str">
        <f>"8411"</f>
        <v>8411</v>
      </c>
      <c r="E12834" t="s">
        <v>7748</v>
      </c>
      <c r="F12834" t="s">
        <v>2068</v>
      </c>
      <c r="G12834" t="s">
        <v>46688</v>
      </c>
      <c r="H12834" t="s">
        <v>47071</v>
      </c>
      <c r="I12834" t="s">
        <v>47120</v>
      </c>
      <c r="J12834" t="s">
        <v>47121</v>
      </c>
      <c r="K12834" t="s">
        <v>47113</v>
      </c>
      <c r="L12834">
        <v>31.45</v>
      </c>
      <c r="M12834">
        <v>73</v>
      </c>
      <c r="N12834">
        <v>0</v>
      </c>
      <c r="O12834">
        <v>73</v>
      </c>
      <c r="P12834">
        <v>0</v>
      </c>
    </row>
    <row r="12835" spans="1:16" x14ac:dyDescent="0.25">
      <c r="A12835" t="s">
        <v>35667</v>
      </c>
      <c r="B12835" t="s">
        <v>9380</v>
      </c>
      <c r="C12835" t="s">
        <v>7753</v>
      </c>
      <c r="D12835" t="str">
        <f>"1001"</f>
        <v>1001</v>
      </c>
      <c r="E12835" t="s">
        <v>42</v>
      </c>
      <c r="F12835" t="s">
        <v>2068</v>
      </c>
      <c r="G12835" t="s">
        <v>46688</v>
      </c>
      <c r="H12835" t="s">
        <v>47071</v>
      </c>
      <c r="I12835" t="s">
        <v>47120</v>
      </c>
      <c r="J12835" t="s">
        <v>47121</v>
      </c>
      <c r="K12835" t="s">
        <v>47113</v>
      </c>
      <c r="L12835">
        <v>19.14</v>
      </c>
      <c r="M12835">
        <v>44</v>
      </c>
      <c r="N12835">
        <v>0</v>
      </c>
      <c r="O12835">
        <v>44</v>
      </c>
      <c r="P12835">
        <v>0</v>
      </c>
    </row>
    <row r="12836" spans="1:16" x14ac:dyDescent="0.25">
      <c r="A12836" t="s">
        <v>35668</v>
      </c>
      <c r="B12836" t="s">
        <v>9380</v>
      </c>
      <c r="C12836" t="s">
        <v>7753</v>
      </c>
      <c r="D12836" t="str">
        <f>"3528"</f>
        <v>3528</v>
      </c>
      <c r="E12836" t="s">
        <v>9381</v>
      </c>
      <c r="F12836" t="s">
        <v>2068</v>
      </c>
      <c r="G12836" t="s">
        <v>46688</v>
      </c>
      <c r="H12836" t="s">
        <v>47071</v>
      </c>
      <c r="I12836" t="s">
        <v>47120</v>
      </c>
      <c r="J12836" t="s">
        <v>47121</v>
      </c>
      <c r="K12836" t="s">
        <v>47113</v>
      </c>
      <c r="L12836">
        <v>19.14</v>
      </c>
      <c r="M12836">
        <v>44</v>
      </c>
      <c r="N12836">
        <v>0</v>
      </c>
      <c r="O12836">
        <v>44</v>
      </c>
      <c r="P12836">
        <v>0</v>
      </c>
    </row>
    <row r="12837" spans="1:16" x14ac:dyDescent="0.25">
      <c r="A12837" t="s">
        <v>35669</v>
      </c>
      <c r="B12837" t="s">
        <v>9380</v>
      </c>
      <c r="C12837" t="s">
        <v>7753</v>
      </c>
      <c r="D12837" t="str">
        <f>"4048"</f>
        <v>4048</v>
      </c>
      <c r="E12837" t="s">
        <v>710</v>
      </c>
      <c r="F12837" t="s">
        <v>2068</v>
      </c>
      <c r="G12837" t="s">
        <v>46688</v>
      </c>
      <c r="H12837" t="s">
        <v>47071</v>
      </c>
      <c r="I12837" t="s">
        <v>47120</v>
      </c>
      <c r="J12837" t="s">
        <v>47121</v>
      </c>
      <c r="K12837" t="s">
        <v>47113</v>
      </c>
      <c r="L12837">
        <v>19.14</v>
      </c>
      <c r="M12837">
        <v>44</v>
      </c>
      <c r="N12837">
        <v>0</v>
      </c>
      <c r="O12837">
        <v>44</v>
      </c>
      <c r="P12837">
        <v>0</v>
      </c>
    </row>
    <row r="12838" spans="1:16" x14ac:dyDescent="0.25">
      <c r="A12838" t="s">
        <v>35670</v>
      </c>
      <c r="B12838" t="s">
        <v>9380</v>
      </c>
      <c r="C12838" t="s">
        <v>7753</v>
      </c>
      <c r="D12838" t="str">
        <f>"4168"</f>
        <v>4168</v>
      </c>
      <c r="E12838" t="s">
        <v>1132</v>
      </c>
      <c r="F12838" t="s">
        <v>2068</v>
      </c>
      <c r="G12838" t="s">
        <v>46688</v>
      </c>
      <c r="H12838" t="s">
        <v>47071</v>
      </c>
      <c r="I12838" t="s">
        <v>47120</v>
      </c>
      <c r="J12838" t="s">
        <v>47121</v>
      </c>
      <c r="K12838" t="s">
        <v>47113</v>
      </c>
      <c r="L12838">
        <v>19.14</v>
      </c>
      <c r="M12838">
        <v>44</v>
      </c>
      <c r="N12838">
        <v>0</v>
      </c>
      <c r="O12838">
        <v>44</v>
      </c>
      <c r="P12838">
        <v>0</v>
      </c>
    </row>
    <row r="12839" spans="1:16" x14ac:dyDescent="0.25">
      <c r="A12839" t="s">
        <v>35671</v>
      </c>
      <c r="B12839" t="s">
        <v>9380</v>
      </c>
      <c r="C12839" t="s">
        <v>7753</v>
      </c>
      <c r="D12839" t="str">
        <f>"8411"</f>
        <v>8411</v>
      </c>
      <c r="E12839" t="s">
        <v>7748</v>
      </c>
      <c r="F12839" t="s">
        <v>2068</v>
      </c>
      <c r="G12839" t="s">
        <v>46688</v>
      </c>
      <c r="H12839" t="s">
        <v>47071</v>
      </c>
      <c r="I12839" t="s">
        <v>47120</v>
      </c>
      <c r="J12839" t="s">
        <v>47121</v>
      </c>
      <c r="K12839" t="s">
        <v>47113</v>
      </c>
      <c r="L12839">
        <v>19.14</v>
      </c>
      <c r="M12839">
        <v>44</v>
      </c>
      <c r="N12839">
        <v>0</v>
      </c>
      <c r="O12839">
        <v>44</v>
      </c>
      <c r="P12839">
        <v>0</v>
      </c>
    </row>
    <row r="12840" spans="1:16" x14ac:dyDescent="0.25">
      <c r="A12840" t="s">
        <v>35672</v>
      </c>
      <c r="B12840" t="s">
        <v>9382</v>
      </c>
      <c r="C12840" t="s">
        <v>9383</v>
      </c>
      <c r="D12840" t="str">
        <f>"1001"</f>
        <v>1001</v>
      </c>
      <c r="E12840" t="s">
        <v>42</v>
      </c>
      <c r="F12840" t="s">
        <v>2068</v>
      </c>
      <c r="G12840" t="s">
        <v>46688</v>
      </c>
      <c r="H12840" t="s">
        <v>47071</v>
      </c>
      <c r="I12840" t="s">
        <v>47120</v>
      </c>
      <c r="J12840" t="s">
        <v>47121</v>
      </c>
      <c r="K12840" t="s">
        <v>47113</v>
      </c>
      <c r="L12840">
        <v>20.51</v>
      </c>
      <c r="M12840">
        <v>48</v>
      </c>
      <c r="N12840">
        <v>0</v>
      </c>
      <c r="O12840">
        <v>48</v>
      </c>
      <c r="P12840">
        <v>0</v>
      </c>
    </row>
    <row r="12841" spans="1:16" x14ac:dyDescent="0.25">
      <c r="A12841" t="s">
        <v>35673</v>
      </c>
      <c r="B12841" t="s">
        <v>9382</v>
      </c>
      <c r="C12841" t="s">
        <v>9383</v>
      </c>
      <c r="D12841" t="str">
        <f>"2375"</f>
        <v>2375</v>
      </c>
      <c r="E12841" t="s">
        <v>7758</v>
      </c>
      <c r="F12841" t="s">
        <v>2068</v>
      </c>
      <c r="G12841" t="s">
        <v>46688</v>
      </c>
      <c r="H12841" t="s">
        <v>47071</v>
      </c>
      <c r="I12841" t="s">
        <v>47120</v>
      </c>
      <c r="J12841" t="s">
        <v>47121</v>
      </c>
      <c r="K12841" t="s">
        <v>47113</v>
      </c>
      <c r="L12841">
        <v>20.51</v>
      </c>
      <c r="M12841">
        <v>48</v>
      </c>
      <c r="N12841">
        <v>0</v>
      </c>
      <c r="O12841">
        <v>48</v>
      </c>
      <c r="P12841">
        <v>0</v>
      </c>
    </row>
    <row r="12842" spans="1:16" x14ac:dyDescent="0.25">
      <c r="A12842" t="s">
        <v>35674</v>
      </c>
      <c r="B12842" t="s">
        <v>9382</v>
      </c>
      <c r="C12842" t="s">
        <v>9383</v>
      </c>
      <c r="D12842" t="str">
        <f>"2500"</f>
        <v>2500</v>
      </c>
      <c r="E12842" t="s">
        <v>1747</v>
      </c>
      <c r="F12842" t="s">
        <v>2068</v>
      </c>
      <c r="G12842" t="s">
        <v>46688</v>
      </c>
      <c r="H12842" t="s">
        <v>47071</v>
      </c>
      <c r="I12842" t="s">
        <v>47120</v>
      </c>
      <c r="J12842" t="s">
        <v>47121</v>
      </c>
      <c r="K12842" t="s">
        <v>47113</v>
      </c>
      <c r="L12842">
        <v>20.51</v>
      </c>
      <c r="M12842">
        <v>48</v>
      </c>
      <c r="N12842">
        <v>0</v>
      </c>
      <c r="O12842">
        <v>48</v>
      </c>
      <c r="P12842">
        <v>0</v>
      </c>
    </row>
    <row r="12843" spans="1:16" x14ac:dyDescent="0.25">
      <c r="A12843" t="s">
        <v>35675</v>
      </c>
      <c r="B12843" t="s">
        <v>9382</v>
      </c>
      <c r="C12843" t="s">
        <v>9383</v>
      </c>
      <c r="D12843" t="str">
        <f>"3525"</f>
        <v>3525</v>
      </c>
      <c r="E12843" t="s">
        <v>7751</v>
      </c>
      <c r="F12843" t="s">
        <v>2068</v>
      </c>
      <c r="G12843" t="s">
        <v>46688</v>
      </c>
      <c r="H12843" t="s">
        <v>47071</v>
      </c>
      <c r="I12843" t="s">
        <v>47120</v>
      </c>
      <c r="J12843" t="s">
        <v>47121</v>
      </c>
      <c r="K12843" t="s">
        <v>47113</v>
      </c>
      <c r="L12843">
        <v>20.51</v>
      </c>
      <c r="M12843">
        <v>48</v>
      </c>
      <c r="N12843">
        <v>0</v>
      </c>
      <c r="O12843">
        <v>48</v>
      </c>
      <c r="P12843">
        <v>0</v>
      </c>
    </row>
    <row r="12844" spans="1:16" x14ac:dyDescent="0.25">
      <c r="A12844" t="s">
        <v>35676</v>
      </c>
      <c r="B12844" t="s">
        <v>9382</v>
      </c>
      <c r="C12844" t="s">
        <v>9383</v>
      </c>
      <c r="D12844" t="str">
        <f>"4048"</f>
        <v>4048</v>
      </c>
      <c r="E12844" t="s">
        <v>710</v>
      </c>
      <c r="F12844" t="s">
        <v>2068</v>
      </c>
      <c r="G12844" t="s">
        <v>46688</v>
      </c>
      <c r="H12844" t="s">
        <v>47071</v>
      </c>
      <c r="I12844" t="s">
        <v>47120</v>
      </c>
      <c r="J12844" t="s">
        <v>47121</v>
      </c>
      <c r="K12844" t="s">
        <v>47113</v>
      </c>
      <c r="L12844">
        <v>20.51</v>
      </c>
      <c r="M12844">
        <v>48</v>
      </c>
      <c r="N12844">
        <v>0</v>
      </c>
      <c r="O12844">
        <v>48</v>
      </c>
      <c r="P12844">
        <v>0</v>
      </c>
    </row>
    <row r="12845" spans="1:16" x14ac:dyDescent="0.25">
      <c r="A12845" t="s">
        <v>35677</v>
      </c>
      <c r="B12845" t="s">
        <v>9382</v>
      </c>
      <c r="C12845" t="s">
        <v>9383</v>
      </c>
      <c r="D12845" t="str">
        <f>"9614"</f>
        <v>9614</v>
      </c>
      <c r="E12845" t="s">
        <v>2314</v>
      </c>
      <c r="F12845" t="s">
        <v>2068</v>
      </c>
      <c r="G12845" t="s">
        <v>46688</v>
      </c>
      <c r="H12845" t="s">
        <v>47071</v>
      </c>
      <c r="I12845" t="s">
        <v>47120</v>
      </c>
      <c r="J12845" t="s">
        <v>47121</v>
      </c>
      <c r="K12845" t="s">
        <v>47113</v>
      </c>
      <c r="L12845">
        <v>20.51</v>
      </c>
      <c r="M12845">
        <v>48</v>
      </c>
      <c r="N12845">
        <v>0</v>
      </c>
      <c r="O12845">
        <v>48</v>
      </c>
      <c r="P12845">
        <v>0</v>
      </c>
    </row>
    <row r="12846" spans="1:16" x14ac:dyDescent="0.25">
      <c r="A12846" t="s">
        <v>35678</v>
      </c>
      <c r="B12846" t="s">
        <v>9384</v>
      </c>
      <c r="C12846" t="s">
        <v>9385</v>
      </c>
      <c r="D12846" t="str">
        <f>"1001"</f>
        <v>1001</v>
      </c>
      <c r="E12846" t="s">
        <v>42</v>
      </c>
      <c r="F12846" t="s">
        <v>2068</v>
      </c>
      <c r="G12846" t="s">
        <v>46688</v>
      </c>
      <c r="H12846" t="s">
        <v>47071</v>
      </c>
      <c r="I12846" t="s">
        <v>47120</v>
      </c>
      <c r="J12846" t="s">
        <v>47121</v>
      </c>
      <c r="K12846" t="s">
        <v>47113</v>
      </c>
      <c r="L12846">
        <v>20.51</v>
      </c>
      <c r="M12846">
        <v>48</v>
      </c>
      <c r="N12846">
        <v>0</v>
      </c>
      <c r="O12846">
        <v>48</v>
      </c>
      <c r="P12846">
        <v>0</v>
      </c>
    </row>
    <row r="12847" spans="1:16" x14ac:dyDescent="0.25">
      <c r="A12847" t="s">
        <v>35679</v>
      </c>
      <c r="B12847" t="s">
        <v>9384</v>
      </c>
      <c r="C12847" t="s">
        <v>9385</v>
      </c>
      <c r="D12847" t="str">
        <f>"3525"</f>
        <v>3525</v>
      </c>
      <c r="E12847" t="s">
        <v>7751</v>
      </c>
      <c r="F12847" t="s">
        <v>2068</v>
      </c>
      <c r="G12847" t="s">
        <v>46688</v>
      </c>
      <c r="H12847" t="s">
        <v>47071</v>
      </c>
      <c r="I12847" t="s">
        <v>47120</v>
      </c>
      <c r="J12847" t="s">
        <v>47121</v>
      </c>
      <c r="K12847" t="s">
        <v>47113</v>
      </c>
      <c r="L12847">
        <v>20.51</v>
      </c>
      <c r="M12847">
        <v>48</v>
      </c>
      <c r="N12847">
        <v>0</v>
      </c>
      <c r="O12847">
        <v>48</v>
      </c>
      <c r="P12847">
        <v>0</v>
      </c>
    </row>
    <row r="12848" spans="1:16" x14ac:dyDescent="0.25">
      <c r="A12848" t="s">
        <v>35680</v>
      </c>
      <c r="B12848" t="s">
        <v>9384</v>
      </c>
      <c r="C12848" t="s">
        <v>9385</v>
      </c>
      <c r="D12848" t="str">
        <f>"4048"</f>
        <v>4048</v>
      </c>
      <c r="E12848" t="s">
        <v>710</v>
      </c>
      <c r="F12848" t="s">
        <v>2068</v>
      </c>
      <c r="G12848" t="s">
        <v>46688</v>
      </c>
      <c r="H12848" t="s">
        <v>47071</v>
      </c>
      <c r="I12848" t="s">
        <v>47120</v>
      </c>
      <c r="J12848" t="s">
        <v>47121</v>
      </c>
      <c r="K12848" t="s">
        <v>47113</v>
      </c>
      <c r="L12848">
        <v>20.51</v>
      </c>
      <c r="M12848">
        <v>48</v>
      </c>
      <c r="N12848">
        <v>0</v>
      </c>
      <c r="O12848">
        <v>48</v>
      </c>
      <c r="P12848">
        <v>0</v>
      </c>
    </row>
    <row r="12849" spans="1:16" x14ac:dyDescent="0.25">
      <c r="A12849" t="s">
        <v>35681</v>
      </c>
      <c r="B12849" t="s">
        <v>9384</v>
      </c>
      <c r="C12849" t="s">
        <v>9385</v>
      </c>
      <c r="D12849" t="str">
        <f>"8416"</f>
        <v>8416</v>
      </c>
      <c r="E12849" t="s">
        <v>9386</v>
      </c>
      <c r="F12849" t="s">
        <v>2068</v>
      </c>
      <c r="G12849" t="s">
        <v>46688</v>
      </c>
      <c r="H12849" t="s">
        <v>47071</v>
      </c>
      <c r="I12849" t="s">
        <v>47120</v>
      </c>
      <c r="J12849" t="s">
        <v>47121</v>
      </c>
      <c r="K12849" t="s">
        <v>47113</v>
      </c>
      <c r="L12849">
        <v>20.51</v>
      </c>
      <c r="M12849">
        <v>48</v>
      </c>
      <c r="N12849">
        <v>0</v>
      </c>
      <c r="O12849">
        <v>48</v>
      </c>
      <c r="P12849">
        <v>0</v>
      </c>
    </row>
    <row r="12850" spans="1:16" x14ac:dyDescent="0.25">
      <c r="A12850" t="s">
        <v>35682</v>
      </c>
      <c r="B12850" t="s">
        <v>9384</v>
      </c>
      <c r="C12850" t="s">
        <v>9385</v>
      </c>
      <c r="D12850" t="str">
        <f>"9614"</f>
        <v>9614</v>
      </c>
      <c r="E12850" t="s">
        <v>2314</v>
      </c>
      <c r="F12850" t="s">
        <v>2068</v>
      </c>
      <c r="G12850" t="s">
        <v>46688</v>
      </c>
      <c r="H12850" t="s">
        <v>47071</v>
      </c>
      <c r="I12850" t="s">
        <v>47120</v>
      </c>
      <c r="J12850" t="s">
        <v>47121</v>
      </c>
      <c r="K12850" t="s">
        <v>47113</v>
      </c>
      <c r="L12850">
        <v>20.51</v>
      </c>
      <c r="M12850">
        <v>48</v>
      </c>
      <c r="N12850">
        <v>0</v>
      </c>
      <c r="O12850">
        <v>48</v>
      </c>
      <c r="P12850">
        <v>0</v>
      </c>
    </row>
    <row r="12851" spans="1:16" x14ac:dyDescent="0.25">
      <c r="A12851" t="s">
        <v>35683</v>
      </c>
      <c r="B12851" t="s">
        <v>9387</v>
      </c>
      <c r="C12851" t="s">
        <v>9388</v>
      </c>
      <c r="D12851" t="str">
        <f>"1001"</f>
        <v>1001</v>
      </c>
      <c r="E12851" t="s">
        <v>42</v>
      </c>
      <c r="F12851" t="s">
        <v>2068</v>
      </c>
      <c r="G12851" t="s">
        <v>46688</v>
      </c>
      <c r="H12851" t="s">
        <v>47071</v>
      </c>
      <c r="I12851" t="s">
        <v>47120</v>
      </c>
      <c r="J12851" t="s">
        <v>47121</v>
      </c>
      <c r="K12851" t="s">
        <v>47113</v>
      </c>
      <c r="L12851">
        <v>21.88</v>
      </c>
      <c r="M12851">
        <v>51</v>
      </c>
      <c r="N12851">
        <v>0</v>
      </c>
      <c r="O12851">
        <v>51</v>
      </c>
      <c r="P12851">
        <v>0</v>
      </c>
    </row>
    <row r="12852" spans="1:16" x14ac:dyDescent="0.25">
      <c r="A12852" t="s">
        <v>35684</v>
      </c>
      <c r="B12852" t="s">
        <v>9387</v>
      </c>
      <c r="C12852" t="s">
        <v>9388</v>
      </c>
      <c r="D12852" t="str">
        <f>"3525"</f>
        <v>3525</v>
      </c>
      <c r="E12852" t="s">
        <v>7751</v>
      </c>
      <c r="F12852" t="s">
        <v>2068</v>
      </c>
      <c r="G12852" t="s">
        <v>46688</v>
      </c>
      <c r="H12852" t="s">
        <v>47071</v>
      </c>
      <c r="I12852" t="s">
        <v>47120</v>
      </c>
      <c r="J12852" t="s">
        <v>47121</v>
      </c>
      <c r="K12852" t="s">
        <v>47113</v>
      </c>
      <c r="L12852">
        <v>21.88</v>
      </c>
      <c r="M12852">
        <v>51</v>
      </c>
      <c r="N12852">
        <v>0</v>
      </c>
      <c r="O12852">
        <v>51</v>
      </c>
      <c r="P12852">
        <v>0</v>
      </c>
    </row>
    <row r="12853" spans="1:16" x14ac:dyDescent="0.25">
      <c r="A12853" t="s">
        <v>35685</v>
      </c>
      <c r="B12853" t="s">
        <v>9387</v>
      </c>
      <c r="C12853" t="s">
        <v>9388</v>
      </c>
      <c r="D12853" t="str">
        <f>"4048"</f>
        <v>4048</v>
      </c>
      <c r="E12853" t="s">
        <v>710</v>
      </c>
      <c r="F12853" t="s">
        <v>2068</v>
      </c>
      <c r="G12853" t="s">
        <v>46688</v>
      </c>
      <c r="H12853" t="s">
        <v>47071</v>
      </c>
      <c r="I12853" t="s">
        <v>47120</v>
      </c>
      <c r="J12853" t="s">
        <v>47121</v>
      </c>
      <c r="K12853" t="s">
        <v>47113</v>
      </c>
      <c r="L12853">
        <v>21.88</v>
      </c>
      <c r="M12853">
        <v>51</v>
      </c>
      <c r="N12853">
        <v>0</v>
      </c>
      <c r="O12853">
        <v>51</v>
      </c>
      <c r="P12853">
        <v>0</v>
      </c>
    </row>
    <row r="12854" spans="1:16" x14ac:dyDescent="0.25">
      <c r="A12854" t="s">
        <v>35686</v>
      </c>
      <c r="B12854" t="s">
        <v>9387</v>
      </c>
      <c r="C12854" t="s">
        <v>9388</v>
      </c>
      <c r="D12854" t="str">
        <f>"8416"</f>
        <v>8416</v>
      </c>
      <c r="E12854" t="s">
        <v>9386</v>
      </c>
      <c r="F12854" t="s">
        <v>2068</v>
      </c>
      <c r="G12854" t="s">
        <v>46688</v>
      </c>
      <c r="H12854" t="s">
        <v>47071</v>
      </c>
      <c r="I12854" t="s">
        <v>47120</v>
      </c>
      <c r="J12854" t="s">
        <v>47121</v>
      </c>
      <c r="K12854" t="s">
        <v>47113</v>
      </c>
      <c r="L12854">
        <v>21.88</v>
      </c>
      <c r="M12854">
        <v>51</v>
      </c>
      <c r="N12854">
        <v>0</v>
      </c>
      <c r="O12854">
        <v>51</v>
      </c>
      <c r="P12854">
        <v>0</v>
      </c>
    </row>
    <row r="12855" spans="1:16" x14ac:dyDescent="0.25">
      <c r="A12855" t="s">
        <v>35687</v>
      </c>
      <c r="B12855" t="s">
        <v>9387</v>
      </c>
      <c r="C12855" t="s">
        <v>9388</v>
      </c>
      <c r="D12855" t="str">
        <f>"9614"</f>
        <v>9614</v>
      </c>
      <c r="E12855" t="s">
        <v>2314</v>
      </c>
      <c r="F12855" t="s">
        <v>2068</v>
      </c>
      <c r="G12855" t="s">
        <v>46688</v>
      </c>
      <c r="H12855" t="s">
        <v>47071</v>
      </c>
      <c r="I12855" t="s">
        <v>47120</v>
      </c>
      <c r="J12855" t="s">
        <v>47121</v>
      </c>
      <c r="K12855" t="s">
        <v>47113</v>
      </c>
      <c r="L12855">
        <v>21.88</v>
      </c>
      <c r="M12855">
        <v>51</v>
      </c>
      <c r="N12855">
        <v>0</v>
      </c>
      <c r="O12855">
        <v>51</v>
      </c>
      <c r="P12855">
        <v>0</v>
      </c>
    </row>
    <row r="12856" spans="1:16" x14ac:dyDescent="0.25">
      <c r="A12856" t="s">
        <v>35688</v>
      </c>
      <c r="B12856" t="s">
        <v>9389</v>
      </c>
      <c r="C12856" t="s">
        <v>9390</v>
      </c>
      <c r="D12856" t="str">
        <f>"1001"</f>
        <v>1001</v>
      </c>
      <c r="E12856" t="s">
        <v>42</v>
      </c>
      <c r="F12856" t="s">
        <v>2068</v>
      </c>
      <c r="G12856" t="s">
        <v>46688</v>
      </c>
      <c r="H12856" t="s">
        <v>47071</v>
      </c>
      <c r="I12856" t="s">
        <v>47120</v>
      </c>
      <c r="J12856" t="s">
        <v>47121</v>
      </c>
      <c r="K12856" t="s">
        <v>47113</v>
      </c>
      <c r="L12856">
        <v>25.98</v>
      </c>
      <c r="M12856">
        <v>60</v>
      </c>
      <c r="N12856">
        <v>0</v>
      </c>
      <c r="O12856">
        <v>60</v>
      </c>
      <c r="P12856">
        <v>0</v>
      </c>
    </row>
    <row r="12857" spans="1:16" x14ac:dyDescent="0.25">
      <c r="A12857" t="s">
        <v>35689</v>
      </c>
      <c r="B12857" t="s">
        <v>9389</v>
      </c>
      <c r="C12857" t="s">
        <v>9390</v>
      </c>
      <c r="D12857" t="str">
        <f>"1468"</f>
        <v>1468</v>
      </c>
      <c r="E12857" t="s">
        <v>7761</v>
      </c>
      <c r="F12857" t="s">
        <v>2068</v>
      </c>
      <c r="G12857" t="s">
        <v>46688</v>
      </c>
      <c r="H12857" t="s">
        <v>47071</v>
      </c>
      <c r="I12857" t="s">
        <v>47120</v>
      </c>
      <c r="J12857" t="s">
        <v>47121</v>
      </c>
      <c r="K12857" t="s">
        <v>47113</v>
      </c>
      <c r="L12857">
        <v>25.98</v>
      </c>
      <c r="M12857">
        <v>60</v>
      </c>
      <c r="N12857">
        <v>0</v>
      </c>
      <c r="O12857">
        <v>60</v>
      </c>
      <c r="P12857">
        <v>0</v>
      </c>
    </row>
    <row r="12858" spans="1:16" x14ac:dyDescent="0.25">
      <c r="A12858" t="s">
        <v>35690</v>
      </c>
      <c r="B12858" t="s">
        <v>9389</v>
      </c>
      <c r="C12858" t="s">
        <v>9390</v>
      </c>
      <c r="D12858" t="str">
        <f>"2725"</f>
        <v>2725</v>
      </c>
      <c r="E12858" t="s">
        <v>9391</v>
      </c>
      <c r="F12858" t="s">
        <v>2068</v>
      </c>
      <c r="G12858" t="s">
        <v>46688</v>
      </c>
      <c r="H12858" t="s">
        <v>47071</v>
      </c>
      <c r="I12858" t="s">
        <v>47120</v>
      </c>
      <c r="J12858" t="s">
        <v>47121</v>
      </c>
      <c r="K12858" t="s">
        <v>47113</v>
      </c>
      <c r="L12858">
        <v>25.98</v>
      </c>
      <c r="M12858">
        <v>60</v>
      </c>
      <c r="N12858">
        <v>0</v>
      </c>
      <c r="O12858">
        <v>60</v>
      </c>
      <c r="P12858">
        <v>0</v>
      </c>
    </row>
    <row r="12859" spans="1:16" x14ac:dyDescent="0.25">
      <c r="A12859" t="s">
        <v>35691</v>
      </c>
      <c r="B12859" t="s">
        <v>9389</v>
      </c>
      <c r="C12859" t="s">
        <v>9390</v>
      </c>
      <c r="D12859" t="str">
        <f>"4048"</f>
        <v>4048</v>
      </c>
      <c r="E12859" t="s">
        <v>710</v>
      </c>
      <c r="F12859" t="s">
        <v>2068</v>
      </c>
      <c r="G12859" t="s">
        <v>46688</v>
      </c>
      <c r="H12859" t="s">
        <v>47071</v>
      </c>
      <c r="I12859" t="s">
        <v>47120</v>
      </c>
      <c r="J12859" t="s">
        <v>47121</v>
      </c>
      <c r="K12859" t="s">
        <v>47113</v>
      </c>
      <c r="L12859">
        <v>25.98</v>
      </c>
      <c r="M12859">
        <v>60</v>
      </c>
      <c r="N12859">
        <v>0</v>
      </c>
      <c r="O12859">
        <v>60</v>
      </c>
      <c r="P12859">
        <v>0</v>
      </c>
    </row>
    <row r="12860" spans="1:16" x14ac:dyDescent="0.25">
      <c r="A12860" t="s">
        <v>35692</v>
      </c>
      <c r="B12860" t="s">
        <v>9389</v>
      </c>
      <c r="C12860" t="s">
        <v>9390</v>
      </c>
      <c r="D12860" t="str">
        <f>"8411"</f>
        <v>8411</v>
      </c>
      <c r="E12860" t="s">
        <v>7748</v>
      </c>
      <c r="F12860" t="s">
        <v>2068</v>
      </c>
      <c r="G12860" t="s">
        <v>46688</v>
      </c>
      <c r="H12860" t="s">
        <v>47071</v>
      </c>
      <c r="I12860" t="s">
        <v>47120</v>
      </c>
      <c r="J12860" t="s">
        <v>47121</v>
      </c>
      <c r="K12860" t="s">
        <v>47113</v>
      </c>
      <c r="L12860">
        <v>25.98</v>
      </c>
      <c r="M12860">
        <v>60</v>
      </c>
      <c r="N12860">
        <v>0</v>
      </c>
      <c r="O12860">
        <v>60</v>
      </c>
      <c r="P12860">
        <v>0</v>
      </c>
    </row>
    <row r="12861" spans="1:16" x14ac:dyDescent="0.25">
      <c r="A12861" t="s">
        <v>35693</v>
      </c>
      <c r="B12861" t="s">
        <v>9392</v>
      </c>
      <c r="C12861" t="s">
        <v>9393</v>
      </c>
      <c r="D12861" t="str">
        <f>"1100"</f>
        <v>1100</v>
      </c>
      <c r="E12861" t="s">
        <v>54</v>
      </c>
      <c r="F12861" t="s">
        <v>2068</v>
      </c>
      <c r="G12861" t="s">
        <v>46688</v>
      </c>
      <c r="H12861" t="s">
        <v>47071</v>
      </c>
      <c r="I12861" t="s">
        <v>47120</v>
      </c>
      <c r="J12861" t="s">
        <v>47121</v>
      </c>
      <c r="K12861" t="s">
        <v>47113</v>
      </c>
      <c r="L12861">
        <v>21.88</v>
      </c>
      <c r="M12861">
        <v>51</v>
      </c>
      <c r="N12861">
        <v>0</v>
      </c>
      <c r="O12861">
        <v>51</v>
      </c>
      <c r="P12861">
        <v>0</v>
      </c>
    </row>
    <row r="12862" spans="1:16" x14ac:dyDescent="0.25">
      <c r="A12862" t="s">
        <v>35694</v>
      </c>
      <c r="B12862" t="s">
        <v>9392</v>
      </c>
      <c r="C12862" t="s">
        <v>9393</v>
      </c>
      <c r="D12862" t="str">
        <f>"2725"</f>
        <v>2725</v>
      </c>
      <c r="E12862" t="s">
        <v>9391</v>
      </c>
      <c r="F12862" t="s">
        <v>2068</v>
      </c>
      <c r="G12862" t="s">
        <v>46688</v>
      </c>
      <c r="H12862" t="s">
        <v>47071</v>
      </c>
      <c r="I12862" t="s">
        <v>47120</v>
      </c>
      <c r="J12862" t="s">
        <v>47121</v>
      </c>
      <c r="K12862" t="s">
        <v>47113</v>
      </c>
      <c r="L12862">
        <v>21.88</v>
      </c>
      <c r="M12862">
        <v>51</v>
      </c>
      <c r="N12862">
        <v>0</v>
      </c>
      <c r="O12862">
        <v>51</v>
      </c>
      <c r="P12862">
        <v>0</v>
      </c>
    </row>
    <row r="12863" spans="1:16" x14ac:dyDescent="0.25">
      <c r="A12863" t="s">
        <v>35695</v>
      </c>
      <c r="B12863" t="s">
        <v>9392</v>
      </c>
      <c r="C12863" t="s">
        <v>9393</v>
      </c>
      <c r="D12863" t="str">
        <f>"4881"</f>
        <v>4881</v>
      </c>
      <c r="E12863" t="s">
        <v>9394</v>
      </c>
      <c r="F12863" t="s">
        <v>2068</v>
      </c>
      <c r="G12863" t="s">
        <v>46688</v>
      </c>
      <c r="H12863" t="s">
        <v>47071</v>
      </c>
      <c r="I12863" t="s">
        <v>47120</v>
      </c>
      <c r="J12863" t="s">
        <v>47121</v>
      </c>
      <c r="K12863" t="s">
        <v>47113</v>
      </c>
      <c r="L12863">
        <v>21.88</v>
      </c>
      <c r="M12863">
        <v>51</v>
      </c>
      <c r="N12863">
        <v>0</v>
      </c>
      <c r="O12863">
        <v>51</v>
      </c>
      <c r="P12863">
        <v>0</v>
      </c>
    </row>
    <row r="12864" spans="1:16" x14ac:dyDescent="0.25">
      <c r="A12864" t="s">
        <v>35696</v>
      </c>
      <c r="B12864" t="s">
        <v>9392</v>
      </c>
      <c r="C12864" t="s">
        <v>9393</v>
      </c>
      <c r="D12864" t="str">
        <f>"6492"</f>
        <v>6492</v>
      </c>
      <c r="E12864" t="s">
        <v>9395</v>
      </c>
      <c r="F12864" t="s">
        <v>2068</v>
      </c>
      <c r="G12864" t="s">
        <v>46688</v>
      </c>
      <c r="H12864" t="s">
        <v>47071</v>
      </c>
      <c r="I12864" t="s">
        <v>47120</v>
      </c>
      <c r="J12864" t="s">
        <v>47121</v>
      </c>
      <c r="K12864" t="s">
        <v>47113</v>
      </c>
      <c r="L12864">
        <v>21.88</v>
      </c>
      <c r="M12864">
        <v>51</v>
      </c>
      <c r="N12864">
        <v>0</v>
      </c>
      <c r="O12864">
        <v>51</v>
      </c>
      <c r="P12864">
        <v>0</v>
      </c>
    </row>
    <row r="12865" spans="1:16" x14ac:dyDescent="0.25">
      <c r="A12865" t="s">
        <v>35697</v>
      </c>
      <c r="B12865" t="s">
        <v>9396</v>
      </c>
      <c r="C12865" t="s">
        <v>9397</v>
      </c>
      <c r="D12865" t="str">
        <f>"1001"</f>
        <v>1001</v>
      </c>
      <c r="E12865" t="s">
        <v>42</v>
      </c>
      <c r="F12865" t="s">
        <v>2068</v>
      </c>
      <c r="G12865" t="s">
        <v>46688</v>
      </c>
      <c r="H12865" t="s">
        <v>47071</v>
      </c>
      <c r="I12865" t="s">
        <v>47120</v>
      </c>
      <c r="J12865" t="s">
        <v>47121</v>
      </c>
      <c r="K12865" t="s">
        <v>47113</v>
      </c>
      <c r="L12865">
        <v>20.51</v>
      </c>
      <c r="M12865">
        <v>48</v>
      </c>
      <c r="N12865">
        <v>0</v>
      </c>
      <c r="O12865">
        <v>48</v>
      </c>
      <c r="P12865">
        <v>0</v>
      </c>
    </row>
    <row r="12866" spans="1:16" x14ac:dyDescent="0.25">
      <c r="A12866" t="s">
        <v>35698</v>
      </c>
      <c r="B12866" t="s">
        <v>9396</v>
      </c>
      <c r="C12866" t="s">
        <v>9397</v>
      </c>
      <c r="D12866" t="str">
        <f>"3525"</f>
        <v>3525</v>
      </c>
      <c r="E12866" t="s">
        <v>7751</v>
      </c>
      <c r="F12866" t="s">
        <v>2068</v>
      </c>
      <c r="G12866" t="s">
        <v>46688</v>
      </c>
      <c r="H12866" t="s">
        <v>47071</v>
      </c>
      <c r="I12866" t="s">
        <v>47120</v>
      </c>
      <c r="J12866" t="s">
        <v>47121</v>
      </c>
      <c r="K12866" t="s">
        <v>47113</v>
      </c>
      <c r="L12866">
        <v>20.51</v>
      </c>
      <c r="M12866">
        <v>48</v>
      </c>
      <c r="N12866">
        <v>0</v>
      </c>
      <c r="O12866">
        <v>48</v>
      </c>
      <c r="P12866">
        <v>0</v>
      </c>
    </row>
    <row r="12867" spans="1:16" x14ac:dyDescent="0.25">
      <c r="A12867" t="s">
        <v>35699</v>
      </c>
      <c r="B12867" t="s">
        <v>9396</v>
      </c>
      <c r="C12867" t="s">
        <v>9397</v>
      </c>
      <c r="D12867" t="str">
        <f>"4048"</f>
        <v>4048</v>
      </c>
      <c r="E12867" t="s">
        <v>710</v>
      </c>
      <c r="F12867" t="s">
        <v>2068</v>
      </c>
      <c r="G12867" t="s">
        <v>46688</v>
      </c>
      <c r="H12867" t="s">
        <v>47071</v>
      </c>
      <c r="I12867" t="s">
        <v>47120</v>
      </c>
      <c r="J12867" t="s">
        <v>47121</v>
      </c>
      <c r="K12867" t="s">
        <v>47113</v>
      </c>
      <c r="L12867">
        <v>20.51</v>
      </c>
      <c r="M12867">
        <v>48</v>
      </c>
      <c r="N12867">
        <v>0</v>
      </c>
      <c r="O12867">
        <v>48</v>
      </c>
      <c r="P12867">
        <v>0</v>
      </c>
    </row>
    <row r="12868" spans="1:16" x14ac:dyDescent="0.25">
      <c r="A12868" t="s">
        <v>35700</v>
      </c>
      <c r="B12868" t="s">
        <v>9396</v>
      </c>
      <c r="C12868" t="s">
        <v>9397</v>
      </c>
      <c r="D12868" t="str">
        <f>"6450"</f>
        <v>6450</v>
      </c>
      <c r="E12868" t="s">
        <v>9398</v>
      </c>
      <c r="F12868" t="s">
        <v>2068</v>
      </c>
      <c r="G12868" t="s">
        <v>46688</v>
      </c>
      <c r="H12868" t="s">
        <v>47071</v>
      </c>
      <c r="I12868" t="s">
        <v>47120</v>
      </c>
      <c r="J12868" t="s">
        <v>47121</v>
      </c>
      <c r="K12868" t="s">
        <v>47113</v>
      </c>
      <c r="L12868">
        <v>20.51</v>
      </c>
      <c r="M12868">
        <v>48</v>
      </c>
      <c r="N12868">
        <v>0</v>
      </c>
      <c r="O12868">
        <v>48</v>
      </c>
      <c r="P12868">
        <v>0</v>
      </c>
    </row>
    <row r="12869" spans="1:16" x14ac:dyDescent="0.25">
      <c r="A12869" t="s">
        <v>35701</v>
      </c>
      <c r="B12869" t="s">
        <v>9396</v>
      </c>
      <c r="C12869" t="s">
        <v>9397</v>
      </c>
      <c r="D12869" t="str">
        <f>"6475"</f>
        <v>6475</v>
      </c>
      <c r="E12869" t="s">
        <v>9399</v>
      </c>
      <c r="F12869" t="s">
        <v>2068</v>
      </c>
      <c r="G12869" t="s">
        <v>46688</v>
      </c>
      <c r="H12869" t="s">
        <v>47071</v>
      </c>
      <c r="I12869" t="s">
        <v>47120</v>
      </c>
      <c r="J12869" t="s">
        <v>47121</v>
      </c>
      <c r="K12869" t="s">
        <v>47113</v>
      </c>
      <c r="L12869">
        <v>20.51</v>
      </c>
      <c r="M12869">
        <v>48</v>
      </c>
      <c r="N12869">
        <v>0</v>
      </c>
      <c r="O12869">
        <v>48</v>
      </c>
      <c r="P12869">
        <v>0</v>
      </c>
    </row>
    <row r="12870" spans="1:16" x14ac:dyDescent="0.25">
      <c r="A12870" t="s">
        <v>35702</v>
      </c>
      <c r="B12870" t="s">
        <v>9400</v>
      </c>
      <c r="C12870" t="s">
        <v>7757</v>
      </c>
      <c r="D12870" t="str">
        <f>"1001"</f>
        <v>1001</v>
      </c>
      <c r="E12870" t="s">
        <v>42</v>
      </c>
      <c r="F12870" t="s">
        <v>2068</v>
      </c>
      <c r="G12870" t="s">
        <v>46688</v>
      </c>
      <c r="H12870" t="s">
        <v>47071</v>
      </c>
      <c r="I12870" t="s">
        <v>47120</v>
      </c>
      <c r="J12870" t="s">
        <v>47121</v>
      </c>
      <c r="K12870" t="s">
        <v>47113</v>
      </c>
      <c r="L12870">
        <v>20.51</v>
      </c>
      <c r="M12870">
        <v>48</v>
      </c>
      <c r="N12870">
        <v>0</v>
      </c>
      <c r="O12870">
        <v>48</v>
      </c>
      <c r="P12870">
        <v>0</v>
      </c>
    </row>
    <row r="12871" spans="1:16" x14ac:dyDescent="0.25">
      <c r="A12871" t="s">
        <v>35703</v>
      </c>
      <c r="B12871" t="s">
        <v>9400</v>
      </c>
      <c r="C12871" t="s">
        <v>7757</v>
      </c>
      <c r="D12871" t="str">
        <f>"2375"</f>
        <v>2375</v>
      </c>
      <c r="E12871" t="s">
        <v>7758</v>
      </c>
      <c r="F12871" t="s">
        <v>2068</v>
      </c>
      <c r="G12871" t="s">
        <v>46688</v>
      </c>
      <c r="H12871" t="s">
        <v>47071</v>
      </c>
      <c r="I12871" t="s">
        <v>47120</v>
      </c>
      <c r="J12871" t="s">
        <v>47121</v>
      </c>
      <c r="K12871" t="s">
        <v>47113</v>
      </c>
      <c r="L12871">
        <v>20.51</v>
      </c>
      <c r="M12871">
        <v>48</v>
      </c>
      <c r="N12871">
        <v>0</v>
      </c>
      <c r="O12871">
        <v>48</v>
      </c>
      <c r="P12871">
        <v>0</v>
      </c>
    </row>
    <row r="12872" spans="1:16" x14ac:dyDescent="0.25">
      <c r="A12872" t="s">
        <v>35704</v>
      </c>
      <c r="B12872" t="s">
        <v>9400</v>
      </c>
      <c r="C12872" t="s">
        <v>7757</v>
      </c>
      <c r="D12872" t="str">
        <f>"4048"</f>
        <v>4048</v>
      </c>
      <c r="E12872" t="s">
        <v>710</v>
      </c>
      <c r="F12872" t="s">
        <v>2068</v>
      </c>
      <c r="G12872" t="s">
        <v>46688</v>
      </c>
      <c r="H12872" t="s">
        <v>47071</v>
      </c>
      <c r="I12872" t="s">
        <v>47120</v>
      </c>
      <c r="J12872" t="s">
        <v>47121</v>
      </c>
      <c r="K12872" t="s">
        <v>47113</v>
      </c>
      <c r="L12872">
        <v>20.51</v>
      </c>
      <c r="M12872">
        <v>48</v>
      </c>
      <c r="N12872">
        <v>0</v>
      </c>
      <c r="O12872">
        <v>48</v>
      </c>
      <c r="P12872">
        <v>0</v>
      </c>
    </row>
    <row r="12873" spans="1:16" x14ac:dyDescent="0.25">
      <c r="A12873" t="s">
        <v>35705</v>
      </c>
      <c r="B12873" t="s">
        <v>9401</v>
      </c>
      <c r="C12873" t="s">
        <v>9402</v>
      </c>
      <c r="D12873" t="str">
        <f>"4048"</f>
        <v>4048</v>
      </c>
      <c r="E12873" t="s">
        <v>710</v>
      </c>
      <c r="F12873" t="s">
        <v>2068</v>
      </c>
      <c r="G12873" t="s">
        <v>46688</v>
      </c>
      <c r="H12873" t="s">
        <v>47071</v>
      </c>
      <c r="I12873" t="s">
        <v>47120</v>
      </c>
      <c r="J12873" t="s">
        <v>47121</v>
      </c>
      <c r="K12873" t="s">
        <v>47113</v>
      </c>
      <c r="L12873">
        <v>21.88</v>
      </c>
      <c r="M12873">
        <v>51</v>
      </c>
      <c r="N12873">
        <v>0</v>
      </c>
      <c r="O12873">
        <v>51</v>
      </c>
      <c r="P12873">
        <v>0</v>
      </c>
    </row>
    <row r="12874" spans="1:16" x14ac:dyDescent="0.25">
      <c r="A12874" t="s">
        <v>35706</v>
      </c>
      <c r="B12874" t="s">
        <v>9403</v>
      </c>
      <c r="C12874" t="s">
        <v>9404</v>
      </c>
      <c r="D12874" t="str">
        <f>"1001"</f>
        <v>1001</v>
      </c>
      <c r="E12874" t="s">
        <v>42</v>
      </c>
      <c r="F12874" t="s">
        <v>2068</v>
      </c>
      <c r="G12874" t="s">
        <v>46688</v>
      </c>
      <c r="H12874" t="s">
        <v>47071</v>
      </c>
      <c r="I12874" t="s">
        <v>47120</v>
      </c>
      <c r="J12874" t="s">
        <v>47121</v>
      </c>
      <c r="K12874" t="s">
        <v>47113</v>
      </c>
      <c r="L12874">
        <v>25.98</v>
      </c>
      <c r="M12874">
        <v>60</v>
      </c>
      <c r="N12874">
        <v>0</v>
      </c>
      <c r="O12874">
        <v>60</v>
      </c>
      <c r="P12874">
        <v>0</v>
      </c>
    </row>
    <row r="12875" spans="1:16" x14ac:dyDescent="0.25">
      <c r="A12875" t="s">
        <v>35707</v>
      </c>
      <c r="B12875" t="s">
        <v>9403</v>
      </c>
      <c r="C12875" t="s">
        <v>9404</v>
      </c>
      <c r="D12875" t="str">
        <f>"2054"</f>
        <v>2054</v>
      </c>
      <c r="E12875" t="s">
        <v>7762</v>
      </c>
      <c r="F12875" t="s">
        <v>2068</v>
      </c>
      <c r="G12875" t="s">
        <v>46688</v>
      </c>
      <c r="H12875" t="s">
        <v>47071</v>
      </c>
      <c r="I12875" t="s">
        <v>47120</v>
      </c>
      <c r="J12875" t="s">
        <v>47121</v>
      </c>
      <c r="K12875" t="s">
        <v>47113</v>
      </c>
      <c r="L12875">
        <v>25.98</v>
      </c>
      <c r="M12875">
        <v>60</v>
      </c>
      <c r="N12875">
        <v>0</v>
      </c>
      <c r="O12875">
        <v>60</v>
      </c>
      <c r="P12875">
        <v>0</v>
      </c>
    </row>
    <row r="12876" spans="1:16" x14ac:dyDescent="0.25">
      <c r="A12876" t="s">
        <v>35708</v>
      </c>
      <c r="B12876" t="s">
        <v>9403</v>
      </c>
      <c r="C12876" t="s">
        <v>9404</v>
      </c>
      <c r="D12876" t="str">
        <f>"8411"</f>
        <v>8411</v>
      </c>
      <c r="E12876" t="s">
        <v>7748</v>
      </c>
      <c r="F12876" t="s">
        <v>2068</v>
      </c>
      <c r="G12876" t="s">
        <v>46688</v>
      </c>
      <c r="H12876" t="s">
        <v>47071</v>
      </c>
      <c r="I12876" t="s">
        <v>47120</v>
      </c>
      <c r="J12876" t="s">
        <v>47121</v>
      </c>
      <c r="K12876" t="s">
        <v>47113</v>
      </c>
      <c r="L12876">
        <v>25.98</v>
      </c>
      <c r="M12876">
        <v>60</v>
      </c>
      <c r="N12876">
        <v>0</v>
      </c>
      <c r="O12876">
        <v>60</v>
      </c>
      <c r="P12876">
        <v>0</v>
      </c>
    </row>
    <row r="12877" spans="1:16" x14ac:dyDescent="0.25">
      <c r="A12877" t="s">
        <v>35709</v>
      </c>
      <c r="B12877" t="s">
        <v>9403</v>
      </c>
      <c r="C12877" t="s">
        <v>9404</v>
      </c>
      <c r="D12877" t="str">
        <f>"8416"</f>
        <v>8416</v>
      </c>
      <c r="E12877" t="s">
        <v>9386</v>
      </c>
      <c r="F12877" t="s">
        <v>2068</v>
      </c>
      <c r="G12877" t="s">
        <v>46688</v>
      </c>
      <c r="H12877" t="s">
        <v>47071</v>
      </c>
      <c r="I12877" t="s">
        <v>47120</v>
      </c>
      <c r="J12877" t="s">
        <v>47121</v>
      </c>
      <c r="K12877" t="s">
        <v>47113</v>
      </c>
      <c r="L12877">
        <v>25.98</v>
      </c>
      <c r="M12877">
        <v>60</v>
      </c>
      <c r="N12877">
        <v>0</v>
      </c>
      <c r="O12877">
        <v>60</v>
      </c>
      <c r="P12877">
        <v>0</v>
      </c>
    </row>
    <row r="12878" spans="1:16" x14ac:dyDescent="0.25">
      <c r="A12878" t="s">
        <v>35710</v>
      </c>
      <c r="B12878" t="s">
        <v>9405</v>
      </c>
      <c r="C12878" t="s">
        <v>9406</v>
      </c>
      <c r="D12878" t="str">
        <f>"1001"</f>
        <v>1001</v>
      </c>
      <c r="E12878" t="s">
        <v>42</v>
      </c>
      <c r="F12878" t="s">
        <v>2068</v>
      </c>
      <c r="G12878" t="s">
        <v>46688</v>
      </c>
      <c r="H12878" t="s">
        <v>47071</v>
      </c>
      <c r="I12878" t="s">
        <v>47120</v>
      </c>
      <c r="J12878" t="s">
        <v>47121</v>
      </c>
      <c r="K12878" t="s">
        <v>47113</v>
      </c>
      <c r="L12878">
        <v>17.78</v>
      </c>
      <c r="M12878">
        <v>41</v>
      </c>
      <c r="N12878">
        <v>0</v>
      </c>
      <c r="O12878">
        <v>41</v>
      </c>
      <c r="P12878">
        <v>0</v>
      </c>
    </row>
    <row r="12879" spans="1:16" x14ac:dyDescent="0.25">
      <c r="A12879" t="s">
        <v>35711</v>
      </c>
      <c r="B12879" t="s">
        <v>9405</v>
      </c>
      <c r="C12879" t="s">
        <v>9406</v>
      </c>
      <c r="D12879" t="str">
        <f>"1468"</f>
        <v>1468</v>
      </c>
      <c r="E12879" t="s">
        <v>7761</v>
      </c>
      <c r="F12879" t="s">
        <v>2068</v>
      </c>
      <c r="G12879" t="s">
        <v>46688</v>
      </c>
      <c r="H12879" t="s">
        <v>47071</v>
      </c>
      <c r="I12879" t="s">
        <v>47120</v>
      </c>
      <c r="J12879" t="s">
        <v>47121</v>
      </c>
      <c r="K12879" t="s">
        <v>47113</v>
      </c>
      <c r="L12879">
        <v>17.78</v>
      </c>
      <c r="M12879">
        <v>41</v>
      </c>
      <c r="N12879">
        <v>0</v>
      </c>
      <c r="O12879">
        <v>41</v>
      </c>
      <c r="P12879">
        <v>0</v>
      </c>
    </row>
    <row r="12880" spans="1:16" x14ac:dyDescent="0.25">
      <c r="A12880" t="s">
        <v>35712</v>
      </c>
      <c r="B12880" t="s">
        <v>9405</v>
      </c>
      <c r="C12880" t="s">
        <v>9406</v>
      </c>
      <c r="D12880" t="str">
        <f>"3525"</f>
        <v>3525</v>
      </c>
      <c r="E12880" t="s">
        <v>7751</v>
      </c>
      <c r="F12880" t="s">
        <v>2068</v>
      </c>
      <c r="G12880" t="s">
        <v>46688</v>
      </c>
      <c r="H12880" t="s">
        <v>47071</v>
      </c>
      <c r="I12880" t="s">
        <v>47120</v>
      </c>
      <c r="J12880" t="s">
        <v>47121</v>
      </c>
      <c r="K12880" t="s">
        <v>47113</v>
      </c>
      <c r="L12880">
        <v>17.78</v>
      </c>
      <c r="M12880">
        <v>41</v>
      </c>
      <c r="N12880">
        <v>0</v>
      </c>
      <c r="O12880">
        <v>41</v>
      </c>
      <c r="P12880">
        <v>0</v>
      </c>
    </row>
    <row r="12881" spans="1:16" x14ac:dyDescent="0.25">
      <c r="A12881" t="s">
        <v>35713</v>
      </c>
      <c r="B12881" t="s">
        <v>9405</v>
      </c>
      <c r="C12881" t="s">
        <v>9406</v>
      </c>
      <c r="D12881" t="str">
        <f>"4048"</f>
        <v>4048</v>
      </c>
      <c r="E12881" t="s">
        <v>710</v>
      </c>
      <c r="F12881" t="s">
        <v>2068</v>
      </c>
      <c r="G12881" t="s">
        <v>46688</v>
      </c>
      <c r="H12881" t="s">
        <v>47071</v>
      </c>
      <c r="I12881" t="s">
        <v>47120</v>
      </c>
      <c r="J12881" t="s">
        <v>47121</v>
      </c>
      <c r="K12881" t="s">
        <v>47113</v>
      </c>
      <c r="L12881">
        <v>17.78</v>
      </c>
      <c r="M12881">
        <v>41</v>
      </c>
      <c r="N12881">
        <v>0</v>
      </c>
      <c r="O12881">
        <v>41</v>
      </c>
      <c r="P12881">
        <v>0</v>
      </c>
    </row>
    <row r="12882" spans="1:16" x14ac:dyDescent="0.25">
      <c r="A12882" t="s">
        <v>35714</v>
      </c>
      <c r="B12882" t="s">
        <v>9405</v>
      </c>
      <c r="C12882" t="s">
        <v>9406</v>
      </c>
      <c r="D12882" t="str">
        <f>"8411"</f>
        <v>8411</v>
      </c>
      <c r="E12882" t="s">
        <v>7748</v>
      </c>
      <c r="F12882" t="s">
        <v>2068</v>
      </c>
      <c r="G12882" t="s">
        <v>46688</v>
      </c>
      <c r="H12882" t="s">
        <v>47071</v>
      </c>
      <c r="I12882" t="s">
        <v>47120</v>
      </c>
      <c r="J12882" t="s">
        <v>47121</v>
      </c>
      <c r="K12882" t="s">
        <v>47113</v>
      </c>
      <c r="L12882">
        <v>17.78</v>
      </c>
      <c r="M12882">
        <v>41</v>
      </c>
      <c r="N12882">
        <v>0</v>
      </c>
      <c r="O12882">
        <v>41</v>
      </c>
      <c r="P12882">
        <v>0</v>
      </c>
    </row>
    <row r="12883" spans="1:16" x14ac:dyDescent="0.25">
      <c r="A12883" t="s">
        <v>35715</v>
      </c>
      <c r="B12883" t="s">
        <v>9405</v>
      </c>
      <c r="C12883" t="s">
        <v>9406</v>
      </c>
      <c r="D12883" t="str">
        <f>"8416"</f>
        <v>8416</v>
      </c>
      <c r="E12883" t="s">
        <v>9386</v>
      </c>
      <c r="F12883" t="s">
        <v>2068</v>
      </c>
      <c r="G12883" t="s">
        <v>46688</v>
      </c>
      <c r="H12883" t="s">
        <v>47071</v>
      </c>
      <c r="I12883" t="s">
        <v>47120</v>
      </c>
      <c r="J12883" t="s">
        <v>47121</v>
      </c>
      <c r="K12883" t="s">
        <v>47113</v>
      </c>
      <c r="L12883">
        <v>17.78</v>
      </c>
      <c r="M12883">
        <v>41</v>
      </c>
      <c r="N12883">
        <v>0</v>
      </c>
      <c r="O12883">
        <v>41</v>
      </c>
      <c r="P12883">
        <v>0</v>
      </c>
    </row>
    <row r="12884" spans="1:16" x14ac:dyDescent="0.25">
      <c r="A12884" t="s">
        <v>35716</v>
      </c>
      <c r="B12884" t="s">
        <v>9405</v>
      </c>
      <c r="C12884" t="s">
        <v>9406</v>
      </c>
      <c r="D12884" t="str">
        <f>"9614"</f>
        <v>9614</v>
      </c>
      <c r="E12884" t="s">
        <v>2314</v>
      </c>
      <c r="F12884" t="s">
        <v>2068</v>
      </c>
      <c r="G12884" t="s">
        <v>46688</v>
      </c>
      <c r="H12884" t="s">
        <v>47071</v>
      </c>
      <c r="I12884" t="s">
        <v>47120</v>
      </c>
      <c r="J12884" t="s">
        <v>47121</v>
      </c>
      <c r="K12884" t="s">
        <v>47113</v>
      </c>
      <c r="L12884">
        <v>17.78</v>
      </c>
      <c r="M12884">
        <v>41</v>
      </c>
      <c r="N12884">
        <v>0</v>
      </c>
      <c r="O12884">
        <v>41</v>
      </c>
      <c r="P12884">
        <v>0</v>
      </c>
    </row>
    <row r="12885" spans="1:16" x14ac:dyDescent="0.25">
      <c r="A12885" t="s">
        <v>35717</v>
      </c>
      <c r="B12885" t="s">
        <v>9407</v>
      </c>
      <c r="C12885" t="s">
        <v>7760</v>
      </c>
      <c r="D12885" t="str">
        <f>"1468"</f>
        <v>1468</v>
      </c>
      <c r="E12885" t="s">
        <v>7761</v>
      </c>
      <c r="F12885" t="s">
        <v>2068</v>
      </c>
      <c r="G12885" t="s">
        <v>46688</v>
      </c>
      <c r="H12885" t="s">
        <v>47071</v>
      </c>
      <c r="I12885" t="s">
        <v>47120</v>
      </c>
      <c r="J12885" t="s">
        <v>47121</v>
      </c>
      <c r="K12885" t="s">
        <v>47113</v>
      </c>
      <c r="L12885">
        <v>19.14</v>
      </c>
      <c r="M12885">
        <v>44</v>
      </c>
      <c r="N12885">
        <v>0</v>
      </c>
      <c r="O12885">
        <v>44</v>
      </c>
      <c r="P12885">
        <v>0</v>
      </c>
    </row>
    <row r="12886" spans="1:16" x14ac:dyDescent="0.25">
      <c r="A12886" t="s">
        <v>35718</v>
      </c>
      <c r="B12886" t="s">
        <v>9407</v>
      </c>
      <c r="C12886" t="s">
        <v>7760</v>
      </c>
      <c r="D12886" t="str">
        <f>"1470"</f>
        <v>1470</v>
      </c>
      <c r="E12886" t="s">
        <v>7746</v>
      </c>
      <c r="F12886" t="s">
        <v>2068</v>
      </c>
      <c r="G12886" t="s">
        <v>46688</v>
      </c>
      <c r="H12886" t="s">
        <v>47071</v>
      </c>
      <c r="I12886" t="s">
        <v>47120</v>
      </c>
      <c r="J12886" t="s">
        <v>47121</v>
      </c>
      <c r="K12886" t="s">
        <v>47113</v>
      </c>
      <c r="L12886">
        <v>19.14</v>
      </c>
      <c r="M12886">
        <v>44</v>
      </c>
      <c r="N12886">
        <v>0</v>
      </c>
      <c r="O12886">
        <v>44</v>
      </c>
      <c r="P12886">
        <v>0</v>
      </c>
    </row>
    <row r="12887" spans="1:16" x14ac:dyDescent="0.25">
      <c r="A12887" t="s">
        <v>35719</v>
      </c>
      <c r="B12887" t="s">
        <v>9407</v>
      </c>
      <c r="C12887" t="s">
        <v>7760</v>
      </c>
      <c r="D12887" t="str">
        <f>"2054"</f>
        <v>2054</v>
      </c>
      <c r="E12887" t="s">
        <v>7762</v>
      </c>
      <c r="F12887" t="s">
        <v>2068</v>
      </c>
      <c r="G12887" t="s">
        <v>46688</v>
      </c>
      <c r="H12887" t="s">
        <v>47071</v>
      </c>
      <c r="I12887" t="s">
        <v>47120</v>
      </c>
      <c r="J12887" t="s">
        <v>47121</v>
      </c>
      <c r="K12887" t="s">
        <v>47113</v>
      </c>
      <c r="L12887">
        <v>19.14</v>
      </c>
      <c r="M12887">
        <v>44</v>
      </c>
      <c r="N12887">
        <v>0</v>
      </c>
      <c r="O12887">
        <v>44</v>
      </c>
      <c r="P12887">
        <v>0</v>
      </c>
    </row>
    <row r="12888" spans="1:16" x14ac:dyDescent="0.25">
      <c r="A12888" t="s">
        <v>35720</v>
      </c>
      <c r="B12888" t="s">
        <v>9407</v>
      </c>
      <c r="C12888" t="s">
        <v>7760</v>
      </c>
      <c r="D12888" t="str">
        <f>"2725"</f>
        <v>2725</v>
      </c>
      <c r="E12888" t="s">
        <v>9391</v>
      </c>
      <c r="F12888" t="s">
        <v>2068</v>
      </c>
      <c r="G12888" t="s">
        <v>46688</v>
      </c>
      <c r="H12888" t="s">
        <v>47071</v>
      </c>
      <c r="I12888" t="s">
        <v>47120</v>
      </c>
      <c r="J12888" t="s">
        <v>47121</v>
      </c>
      <c r="K12888" t="s">
        <v>47113</v>
      </c>
      <c r="L12888">
        <v>19.14</v>
      </c>
      <c r="M12888">
        <v>44</v>
      </c>
      <c r="N12888">
        <v>0</v>
      </c>
      <c r="O12888">
        <v>44</v>
      </c>
      <c r="P12888">
        <v>0</v>
      </c>
    </row>
    <row r="12889" spans="1:16" x14ac:dyDescent="0.25">
      <c r="A12889" t="s">
        <v>35721</v>
      </c>
      <c r="B12889" t="s">
        <v>9407</v>
      </c>
      <c r="C12889" t="s">
        <v>7760</v>
      </c>
      <c r="D12889" t="str">
        <f>"4881"</f>
        <v>4881</v>
      </c>
      <c r="E12889" t="s">
        <v>9394</v>
      </c>
      <c r="F12889" t="s">
        <v>2068</v>
      </c>
      <c r="G12889" t="s">
        <v>46688</v>
      </c>
      <c r="H12889" t="s">
        <v>47071</v>
      </c>
      <c r="I12889" t="s">
        <v>47120</v>
      </c>
      <c r="J12889" t="s">
        <v>47121</v>
      </c>
      <c r="K12889" t="s">
        <v>47113</v>
      </c>
      <c r="L12889">
        <v>19.14</v>
      </c>
      <c r="M12889">
        <v>44</v>
      </c>
      <c r="N12889">
        <v>0</v>
      </c>
      <c r="O12889">
        <v>44</v>
      </c>
      <c r="P12889">
        <v>0</v>
      </c>
    </row>
    <row r="12890" spans="1:16" x14ac:dyDescent="0.25">
      <c r="A12890" t="s">
        <v>35722</v>
      </c>
      <c r="B12890" t="s">
        <v>9408</v>
      </c>
      <c r="C12890" t="s">
        <v>9409</v>
      </c>
      <c r="D12890" t="str">
        <f>"1001"</f>
        <v>1001</v>
      </c>
      <c r="E12890" t="s">
        <v>42</v>
      </c>
      <c r="F12890" t="s">
        <v>2068</v>
      </c>
      <c r="G12890" t="s">
        <v>48556</v>
      </c>
      <c r="H12890" t="s">
        <v>47071</v>
      </c>
      <c r="I12890" t="s">
        <v>47120</v>
      </c>
      <c r="J12890" t="s">
        <v>47121</v>
      </c>
      <c r="K12890" t="s">
        <v>47113</v>
      </c>
      <c r="L12890">
        <v>19.14</v>
      </c>
      <c r="M12890">
        <v>44</v>
      </c>
      <c r="N12890">
        <v>0</v>
      </c>
      <c r="O12890">
        <v>44</v>
      </c>
      <c r="P12890">
        <v>0</v>
      </c>
    </row>
    <row r="12891" spans="1:16" x14ac:dyDescent="0.25">
      <c r="A12891" t="s">
        <v>35723</v>
      </c>
      <c r="B12891" t="s">
        <v>9408</v>
      </c>
      <c r="C12891" t="s">
        <v>9409</v>
      </c>
      <c r="D12891" t="str">
        <f>"1462"</f>
        <v>1462</v>
      </c>
      <c r="E12891" t="s">
        <v>9410</v>
      </c>
      <c r="F12891" t="s">
        <v>2068</v>
      </c>
      <c r="G12891" t="s">
        <v>48556</v>
      </c>
      <c r="H12891" t="s">
        <v>47071</v>
      </c>
      <c r="I12891" t="s">
        <v>47120</v>
      </c>
      <c r="J12891" t="s">
        <v>47121</v>
      </c>
      <c r="K12891" t="s">
        <v>47113</v>
      </c>
      <c r="L12891">
        <v>19.14</v>
      </c>
      <c r="M12891">
        <v>44</v>
      </c>
      <c r="N12891">
        <v>0</v>
      </c>
      <c r="O12891">
        <v>44</v>
      </c>
      <c r="P12891">
        <v>0</v>
      </c>
    </row>
    <row r="12892" spans="1:16" x14ac:dyDescent="0.25">
      <c r="A12892" t="s">
        <v>35724</v>
      </c>
      <c r="B12892" t="s">
        <v>9408</v>
      </c>
      <c r="C12892" t="s">
        <v>9409</v>
      </c>
      <c r="D12892" t="str">
        <f>"2725"</f>
        <v>2725</v>
      </c>
      <c r="E12892" t="s">
        <v>9391</v>
      </c>
      <c r="F12892" t="s">
        <v>2068</v>
      </c>
      <c r="G12892" t="s">
        <v>48556</v>
      </c>
      <c r="H12892" t="s">
        <v>47071</v>
      </c>
      <c r="I12892" t="s">
        <v>47120</v>
      </c>
      <c r="J12892" t="s">
        <v>47121</v>
      </c>
      <c r="K12892" t="s">
        <v>47113</v>
      </c>
      <c r="L12892">
        <v>19.14</v>
      </c>
      <c r="M12892">
        <v>44</v>
      </c>
      <c r="N12892">
        <v>0</v>
      </c>
      <c r="O12892">
        <v>44</v>
      </c>
      <c r="P12892">
        <v>0</v>
      </c>
    </row>
    <row r="12893" spans="1:16" x14ac:dyDescent="0.25">
      <c r="A12893" t="s">
        <v>35725</v>
      </c>
      <c r="B12893" t="s">
        <v>9408</v>
      </c>
      <c r="C12893" t="s">
        <v>9409</v>
      </c>
      <c r="D12893" t="str">
        <f>"4048"</f>
        <v>4048</v>
      </c>
      <c r="E12893" t="s">
        <v>710</v>
      </c>
      <c r="F12893" t="s">
        <v>2068</v>
      </c>
      <c r="G12893" t="s">
        <v>48556</v>
      </c>
      <c r="H12893" t="s">
        <v>47071</v>
      </c>
      <c r="I12893" t="s">
        <v>47120</v>
      </c>
      <c r="J12893" t="s">
        <v>47121</v>
      </c>
      <c r="K12893" t="s">
        <v>47113</v>
      </c>
      <c r="L12893">
        <v>19.14</v>
      </c>
      <c r="M12893">
        <v>44</v>
      </c>
      <c r="N12893">
        <v>0</v>
      </c>
      <c r="O12893">
        <v>44</v>
      </c>
      <c r="P12893">
        <v>0</v>
      </c>
    </row>
    <row r="12894" spans="1:16" x14ac:dyDescent="0.25">
      <c r="A12894" t="s">
        <v>35726</v>
      </c>
      <c r="B12894" t="s">
        <v>9408</v>
      </c>
      <c r="C12894" t="s">
        <v>9409</v>
      </c>
      <c r="D12894" t="str">
        <f>"6132"</f>
        <v>6132</v>
      </c>
      <c r="E12894" t="s">
        <v>9411</v>
      </c>
      <c r="F12894" t="s">
        <v>2068</v>
      </c>
      <c r="G12894" t="s">
        <v>48556</v>
      </c>
      <c r="H12894" t="s">
        <v>47071</v>
      </c>
      <c r="I12894" t="s">
        <v>47120</v>
      </c>
      <c r="J12894" t="s">
        <v>47121</v>
      </c>
      <c r="K12894" t="s">
        <v>47113</v>
      </c>
      <c r="L12894">
        <v>19.14</v>
      </c>
      <c r="M12894">
        <v>44</v>
      </c>
      <c r="N12894">
        <v>0</v>
      </c>
      <c r="O12894">
        <v>44</v>
      </c>
      <c r="P12894">
        <v>0</v>
      </c>
    </row>
    <row r="12895" spans="1:16" x14ac:dyDescent="0.25">
      <c r="A12895" t="s">
        <v>35727</v>
      </c>
      <c r="B12895" t="s">
        <v>9408</v>
      </c>
      <c r="C12895" t="s">
        <v>9409</v>
      </c>
      <c r="D12895" t="str">
        <f>"9614"</f>
        <v>9614</v>
      </c>
      <c r="E12895" t="s">
        <v>2314</v>
      </c>
      <c r="F12895" t="s">
        <v>2068</v>
      </c>
      <c r="G12895" t="s">
        <v>48556</v>
      </c>
      <c r="H12895" t="s">
        <v>47071</v>
      </c>
      <c r="I12895" t="s">
        <v>47120</v>
      </c>
      <c r="J12895" t="s">
        <v>47121</v>
      </c>
      <c r="K12895" t="s">
        <v>47113</v>
      </c>
      <c r="L12895">
        <v>19.14</v>
      </c>
      <c r="M12895">
        <v>44</v>
      </c>
      <c r="N12895">
        <v>0</v>
      </c>
      <c r="O12895">
        <v>44</v>
      </c>
      <c r="P12895">
        <v>0</v>
      </c>
    </row>
    <row r="12896" spans="1:16" x14ac:dyDescent="0.25">
      <c r="A12896" t="s">
        <v>35728</v>
      </c>
      <c r="B12896" t="s">
        <v>9412</v>
      </c>
      <c r="C12896" t="s">
        <v>9413</v>
      </c>
      <c r="D12896" t="str">
        <f>"1001"</f>
        <v>1001</v>
      </c>
      <c r="E12896" t="s">
        <v>42</v>
      </c>
      <c r="F12896" t="s">
        <v>2068</v>
      </c>
      <c r="G12896" t="s">
        <v>46688</v>
      </c>
      <c r="H12896" t="s">
        <v>47071</v>
      </c>
      <c r="I12896" t="s">
        <v>47120</v>
      </c>
      <c r="J12896" t="s">
        <v>47121</v>
      </c>
      <c r="K12896" t="s">
        <v>47113</v>
      </c>
      <c r="L12896">
        <v>19.14</v>
      </c>
      <c r="M12896">
        <v>44</v>
      </c>
      <c r="N12896">
        <v>0</v>
      </c>
      <c r="O12896">
        <v>44</v>
      </c>
      <c r="P12896">
        <v>0</v>
      </c>
    </row>
    <row r="12897" spans="1:16" x14ac:dyDescent="0.25">
      <c r="A12897" t="s">
        <v>35729</v>
      </c>
      <c r="B12897" t="s">
        <v>9412</v>
      </c>
      <c r="C12897" t="s">
        <v>9413</v>
      </c>
      <c r="D12897" t="str">
        <f>"1470"</f>
        <v>1470</v>
      </c>
      <c r="E12897" t="s">
        <v>7746</v>
      </c>
      <c r="F12897" t="s">
        <v>2068</v>
      </c>
      <c r="G12897" t="s">
        <v>46688</v>
      </c>
      <c r="H12897" t="s">
        <v>47071</v>
      </c>
      <c r="I12897" t="s">
        <v>47120</v>
      </c>
      <c r="J12897" t="s">
        <v>47121</v>
      </c>
      <c r="K12897" t="s">
        <v>47113</v>
      </c>
      <c r="L12897">
        <v>19.14</v>
      </c>
      <c r="M12897">
        <v>44</v>
      </c>
      <c r="N12897">
        <v>0</v>
      </c>
      <c r="O12897">
        <v>44</v>
      </c>
      <c r="P12897">
        <v>0</v>
      </c>
    </row>
    <row r="12898" spans="1:16" x14ac:dyDescent="0.25">
      <c r="A12898" t="s">
        <v>35730</v>
      </c>
      <c r="B12898" t="s">
        <v>9412</v>
      </c>
      <c r="C12898" t="s">
        <v>9413</v>
      </c>
      <c r="D12898" t="str">
        <f>"1704"</f>
        <v>1704</v>
      </c>
      <c r="E12898" t="s">
        <v>7181</v>
      </c>
      <c r="F12898" t="s">
        <v>2068</v>
      </c>
      <c r="G12898" t="s">
        <v>46688</v>
      </c>
      <c r="H12898" t="s">
        <v>47071</v>
      </c>
      <c r="I12898" t="s">
        <v>47120</v>
      </c>
      <c r="J12898" t="s">
        <v>47121</v>
      </c>
      <c r="K12898" t="s">
        <v>47113</v>
      </c>
      <c r="L12898">
        <v>19.14</v>
      </c>
      <c r="M12898">
        <v>44</v>
      </c>
      <c r="N12898">
        <v>0</v>
      </c>
      <c r="O12898">
        <v>44</v>
      </c>
      <c r="P12898">
        <v>0</v>
      </c>
    </row>
    <row r="12899" spans="1:16" x14ac:dyDescent="0.25">
      <c r="A12899" t="s">
        <v>35731</v>
      </c>
      <c r="B12899" t="s">
        <v>9412</v>
      </c>
      <c r="C12899" t="s">
        <v>9413</v>
      </c>
      <c r="D12899" t="str">
        <f>"2054"</f>
        <v>2054</v>
      </c>
      <c r="E12899" t="s">
        <v>7762</v>
      </c>
      <c r="F12899" t="s">
        <v>2068</v>
      </c>
      <c r="G12899" t="s">
        <v>46688</v>
      </c>
      <c r="H12899" t="s">
        <v>47071</v>
      </c>
      <c r="I12899" t="s">
        <v>47120</v>
      </c>
      <c r="J12899" t="s">
        <v>47121</v>
      </c>
      <c r="K12899" t="s">
        <v>47113</v>
      </c>
      <c r="L12899">
        <v>19.14</v>
      </c>
      <c r="M12899">
        <v>44</v>
      </c>
      <c r="N12899">
        <v>0</v>
      </c>
      <c r="O12899">
        <v>44</v>
      </c>
      <c r="P12899">
        <v>0</v>
      </c>
    </row>
    <row r="12900" spans="1:16" x14ac:dyDescent="0.25">
      <c r="A12900" t="s">
        <v>35732</v>
      </c>
      <c r="B12900" t="s">
        <v>9412</v>
      </c>
      <c r="C12900" t="s">
        <v>9413</v>
      </c>
      <c r="D12900" t="str">
        <f>"4048"</f>
        <v>4048</v>
      </c>
      <c r="E12900" t="s">
        <v>710</v>
      </c>
      <c r="F12900" t="s">
        <v>2068</v>
      </c>
      <c r="G12900" t="s">
        <v>46688</v>
      </c>
      <c r="H12900" t="s">
        <v>47071</v>
      </c>
      <c r="I12900" t="s">
        <v>47120</v>
      </c>
      <c r="J12900" t="s">
        <v>47121</v>
      </c>
      <c r="K12900" t="s">
        <v>47113</v>
      </c>
      <c r="L12900">
        <v>19.14</v>
      </c>
      <c r="M12900">
        <v>44</v>
      </c>
      <c r="N12900">
        <v>0</v>
      </c>
      <c r="O12900">
        <v>44</v>
      </c>
      <c r="P12900">
        <v>0</v>
      </c>
    </row>
    <row r="12901" spans="1:16" x14ac:dyDescent="0.25">
      <c r="A12901" t="s">
        <v>35733</v>
      </c>
      <c r="B12901" t="s">
        <v>9412</v>
      </c>
      <c r="C12901" t="s">
        <v>9413</v>
      </c>
      <c r="D12901" t="str">
        <f>"4881"</f>
        <v>4881</v>
      </c>
      <c r="E12901" t="s">
        <v>9394</v>
      </c>
      <c r="F12901" t="s">
        <v>2068</v>
      </c>
      <c r="G12901" t="s">
        <v>46688</v>
      </c>
      <c r="H12901" t="s">
        <v>47071</v>
      </c>
      <c r="I12901" t="s">
        <v>47120</v>
      </c>
      <c r="J12901" t="s">
        <v>47121</v>
      </c>
      <c r="K12901" t="s">
        <v>47113</v>
      </c>
      <c r="L12901">
        <v>19.14</v>
      </c>
      <c r="M12901">
        <v>44</v>
      </c>
      <c r="N12901">
        <v>0</v>
      </c>
      <c r="O12901">
        <v>44</v>
      </c>
      <c r="P12901">
        <v>0</v>
      </c>
    </row>
    <row r="12902" spans="1:16" x14ac:dyDescent="0.25">
      <c r="A12902" t="s">
        <v>35734</v>
      </c>
      <c r="B12902" t="s">
        <v>9412</v>
      </c>
      <c r="C12902" t="s">
        <v>9413</v>
      </c>
      <c r="D12902" t="str">
        <f>"8413"</f>
        <v>8413</v>
      </c>
      <c r="E12902" t="s">
        <v>2313</v>
      </c>
      <c r="F12902" t="s">
        <v>2068</v>
      </c>
      <c r="G12902" t="s">
        <v>46688</v>
      </c>
      <c r="H12902" t="s">
        <v>47071</v>
      </c>
      <c r="I12902" t="s">
        <v>47120</v>
      </c>
      <c r="J12902" t="s">
        <v>47121</v>
      </c>
      <c r="K12902" t="s">
        <v>47113</v>
      </c>
      <c r="L12902">
        <v>19.14</v>
      </c>
      <c r="M12902">
        <v>44</v>
      </c>
      <c r="N12902">
        <v>0</v>
      </c>
      <c r="O12902">
        <v>44</v>
      </c>
      <c r="P12902">
        <v>0</v>
      </c>
    </row>
    <row r="12903" spans="1:16" x14ac:dyDescent="0.25">
      <c r="A12903" t="s">
        <v>35735</v>
      </c>
      <c r="B12903" t="s">
        <v>9412</v>
      </c>
      <c r="C12903" t="s">
        <v>9413</v>
      </c>
      <c r="D12903" t="str">
        <f>"9614"</f>
        <v>9614</v>
      </c>
      <c r="E12903" t="s">
        <v>2314</v>
      </c>
      <c r="F12903" t="s">
        <v>2068</v>
      </c>
      <c r="G12903" t="s">
        <v>46688</v>
      </c>
      <c r="H12903" t="s">
        <v>47071</v>
      </c>
      <c r="I12903" t="s">
        <v>47120</v>
      </c>
      <c r="J12903" t="s">
        <v>47121</v>
      </c>
      <c r="K12903" t="s">
        <v>47113</v>
      </c>
      <c r="L12903">
        <v>19.14</v>
      </c>
      <c r="M12903">
        <v>44</v>
      </c>
      <c r="N12903">
        <v>0</v>
      </c>
      <c r="O12903">
        <v>44</v>
      </c>
      <c r="P12903">
        <v>0</v>
      </c>
    </row>
    <row r="12904" spans="1:16" x14ac:dyDescent="0.25">
      <c r="A12904" t="s">
        <v>35736</v>
      </c>
      <c r="B12904" t="s">
        <v>9414</v>
      </c>
      <c r="C12904" t="s">
        <v>9415</v>
      </c>
      <c r="D12904" t="str">
        <f>"1001"</f>
        <v>1001</v>
      </c>
      <c r="E12904" t="s">
        <v>5979</v>
      </c>
      <c r="F12904" t="s">
        <v>2068</v>
      </c>
      <c r="G12904" t="s">
        <v>46688</v>
      </c>
      <c r="H12904" t="s">
        <v>47071</v>
      </c>
      <c r="I12904" t="s">
        <v>48040</v>
      </c>
      <c r="J12904" t="s">
        <v>48041</v>
      </c>
      <c r="K12904" t="s">
        <v>47113</v>
      </c>
      <c r="L12904">
        <v>16.41</v>
      </c>
      <c r="M12904">
        <v>38</v>
      </c>
      <c r="N12904">
        <v>0</v>
      </c>
      <c r="O12904">
        <v>38</v>
      </c>
      <c r="P12904">
        <v>0</v>
      </c>
    </row>
    <row r="12905" spans="1:16" x14ac:dyDescent="0.25">
      <c r="A12905" t="s">
        <v>35737</v>
      </c>
      <c r="B12905" t="s">
        <v>9414</v>
      </c>
      <c r="C12905" t="s">
        <v>9415</v>
      </c>
      <c r="D12905" t="str">
        <f>"2054"</f>
        <v>2054</v>
      </c>
      <c r="E12905" t="s">
        <v>7762</v>
      </c>
      <c r="F12905" t="s">
        <v>2068</v>
      </c>
      <c r="G12905" t="s">
        <v>46688</v>
      </c>
      <c r="H12905" t="s">
        <v>47071</v>
      </c>
      <c r="I12905" t="s">
        <v>48040</v>
      </c>
      <c r="J12905" t="s">
        <v>48041</v>
      </c>
      <c r="K12905" t="s">
        <v>47113</v>
      </c>
      <c r="L12905">
        <v>16.41</v>
      </c>
      <c r="M12905">
        <v>38</v>
      </c>
      <c r="N12905">
        <v>0</v>
      </c>
      <c r="O12905">
        <v>38</v>
      </c>
      <c r="P12905">
        <v>0</v>
      </c>
    </row>
    <row r="12906" spans="1:16" x14ac:dyDescent="0.25">
      <c r="A12906" t="s">
        <v>35738</v>
      </c>
      <c r="B12906" t="s">
        <v>9414</v>
      </c>
      <c r="C12906" t="s">
        <v>9415</v>
      </c>
      <c r="D12906" t="str">
        <f>"8411"</f>
        <v>8411</v>
      </c>
      <c r="E12906" t="s">
        <v>7748</v>
      </c>
      <c r="F12906" t="s">
        <v>2068</v>
      </c>
      <c r="G12906" t="s">
        <v>46688</v>
      </c>
      <c r="H12906" t="s">
        <v>47071</v>
      </c>
      <c r="I12906" t="s">
        <v>48040</v>
      </c>
      <c r="J12906" t="s">
        <v>48041</v>
      </c>
      <c r="K12906" t="s">
        <v>47113</v>
      </c>
      <c r="L12906">
        <v>16.41</v>
      </c>
      <c r="M12906">
        <v>38</v>
      </c>
      <c r="N12906">
        <v>0</v>
      </c>
      <c r="O12906">
        <v>38</v>
      </c>
      <c r="P12906">
        <v>0</v>
      </c>
    </row>
    <row r="12907" spans="1:16" x14ac:dyDescent="0.25">
      <c r="A12907" t="s">
        <v>35739</v>
      </c>
      <c r="B12907" t="s">
        <v>9416</v>
      </c>
      <c r="C12907" t="s">
        <v>9417</v>
      </c>
      <c r="D12907" t="str">
        <f>"1001"</f>
        <v>1001</v>
      </c>
      <c r="E12907" t="s">
        <v>5979</v>
      </c>
      <c r="F12907" t="s">
        <v>2068</v>
      </c>
      <c r="G12907" t="s">
        <v>48039</v>
      </c>
      <c r="H12907" t="s">
        <v>47071</v>
      </c>
      <c r="I12907" t="s">
        <v>48040</v>
      </c>
      <c r="J12907" t="s">
        <v>48041</v>
      </c>
      <c r="K12907" t="s">
        <v>47113</v>
      </c>
      <c r="L12907">
        <v>19.14</v>
      </c>
      <c r="M12907">
        <v>44</v>
      </c>
      <c r="N12907">
        <v>0</v>
      </c>
      <c r="O12907">
        <v>44</v>
      </c>
      <c r="P12907">
        <v>0</v>
      </c>
    </row>
    <row r="12908" spans="1:16" x14ac:dyDescent="0.25">
      <c r="A12908" t="s">
        <v>35740</v>
      </c>
      <c r="B12908" t="s">
        <v>9416</v>
      </c>
      <c r="C12908" t="s">
        <v>9417</v>
      </c>
      <c r="D12908" t="str">
        <f>"2054"</f>
        <v>2054</v>
      </c>
      <c r="E12908" t="s">
        <v>7762</v>
      </c>
      <c r="F12908" t="s">
        <v>2068</v>
      </c>
      <c r="G12908" t="s">
        <v>48039</v>
      </c>
      <c r="H12908" t="s">
        <v>47071</v>
      </c>
      <c r="I12908" t="s">
        <v>48040</v>
      </c>
      <c r="J12908" t="s">
        <v>48041</v>
      </c>
      <c r="K12908" t="s">
        <v>47113</v>
      </c>
      <c r="L12908">
        <v>19.14</v>
      </c>
      <c r="M12908">
        <v>44</v>
      </c>
      <c r="N12908">
        <v>0</v>
      </c>
      <c r="O12908">
        <v>44</v>
      </c>
      <c r="P12908">
        <v>0</v>
      </c>
    </row>
    <row r="12909" spans="1:16" x14ac:dyDescent="0.25">
      <c r="A12909" t="s">
        <v>35741</v>
      </c>
      <c r="B12909" t="s">
        <v>9416</v>
      </c>
      <c r="C12909" t="s">
        <v>9417</v>
      </c>
      <c r="D12909" t="str">
        <f>"8411"</f>
        <v>8411</v>
      </c>
      <c r="E12909" t="s">
        <v>7748</v>
      </c>
      <c r="F12909" t="s">
        <v>2068</v>
      </c>
      <c r="G12909" t="s">
        <v>48039</v>
      </c>
      <c r="H12909" t="s">
        <v>47071</v>
      </c>
      <c r="I12909" t="s">
        <v>48040</v>
      </c>
      <c r="J12909" t="s">
        <v>48041</v>
      </c>
      <c r="K12909" t="s">
        <v>47113</v>
      </c>
      <c r="L12909">
        <v>19.14</v>
      </c>
      <c r="M12909">
        <v>44</v>
      </c>
      <c r="N12909">
        <v>0</v>
      </c>
      <c r="O12909">
        <v>44</v>
      </c>
      <c r="P12909">
        <v>0</v>
      </c>
    </row>
    <row r="12910" spans="1:16" x14ac:dyDescent="0.25">
      <c r="A12910" t="s">
        <v>35742</v>
      </c>
      <c r="B12910" t="s">
        <v>9418</v>
      </c>
      <c r="C12910" t="s">
        <v>9419</v>
      </c>
      <c r="D12910" t="str">
        <f>"1001"</f>
        <v>1001</v>
      </c>
      <c r="E12910" t="s">
        <v>5979</v>
      </c>
      <c r="F12910" t="s">
        <v>2068</v>
      </c>
      <c r="G12910" t="s">
        <v>47131</v>
      </c>
      <c r="H12910" t="s">
        <v>47071</v>
      </c>
      <c r="I12910" t="s">
        <v>48040</v>
      </c>
      <c r="J12910" t="s">
        <v>48041</v>
      </c>
      <c r="K12910" t="s">
        <v>47113</v>
      </c>
      <c r="L12910">
        <v>20.51</v>
      </c>
      <c r="M12910">
        <v>48</v>
      </c>
      <c r="N12910">
        <v>0</v>
      </c>
      <c r="O12910">
        <v>48</v>
      </c>
      <c r="P12910">
        <v>0</v>
      </c>
    </row>
    <row r="12911" spans="1:16" x14ac:dyDescent="0.25">
      <c r="A12911" t="s">
        <v>35743</v>
      </c>
      <c r="B12911" t="s">
        <v>9418</v>
      </c>
      <c r="C12911" t="s">
        <v>9419</v>
      </c>
      <c r="D12911" t="str">
        <f>"2054"</f>
        <v>2054</v>
      </c>
      <c r="E12911" t="s">
        <v>7762</v>
      </c>
      <c r="F12911" t="s">
        <v>2068</v>
      </c>
      <c r="G12911" t="s">
        <v>47131</v>
      </c>
      <c r="H12911" t="s">
        <v>47071</v>
      </c>
      <c r="I12911" t="s">
        <v>48040</v>
      </c>
      <c r="J12911" t="s">
        <v>48041</v>
      </c>
      <c r="K12911" t="s">
        <v>47113</v>
      </c>
      <c r="L12911">
        <v>20.51</v>
      </c>
      <c r="M12911">
        <v>48</v>
      </c>
      <c r="N12911">
        <v>0</v>
      </c>
      <c r="O12911">
        <v>48</v>
      </c>
      <c r="P12911">
        <v>0</v>
      </c>
    </row>
    <row r="12912" spans="1:16" x14ac:dyDescent="0.25">
      <c r="A12912" t="s">
        <v>35744</v>
      </c>
      <c r="B12912" t="s">
        <v>9418</v>
      </c>
      <c r="C12912" t="s">
        <v>9419</v>
      </c>
      <c r="D12912" t="str">
        <f>"8411"</f>
        <v>8411</v>
      </c>
      <c r="E12912" t="s">
        <v>7748</v>
      </c>
      <c r="F12912" t="s">
        <v>2068</v>
      </c>
      <c r="G12912" t="s">
        <v>47131</v>
      </c>
      <c r="H12912" t="s">
        <v>47071</v>
      </c>
      <c r="I12912" t="s">
        <v>48040</v>
      </c>
      <c r="J12912" t="s">
        <v>48041</v>
      </c>
      <c r="K12912" t="s">
        <v>47113</v>
      </c>
      <c r="L12912">
        <v>20.51</v>
      </c>
      <c r="M12912">
        <v>48</v>
      </c>
      <c r="N12912">
        <v>0</v>
      </c>
      <c r="O12912">
        <v>48</v>
      </c>
      <c r="P12912">
        <v>0</v>
      </c>
    </row>
    <row r="12913" spans="1:16" x14ac:dyDescent="0.25">
      <c r="A12913" t="s">
        <v>35745</v>
      </c>
      <c r="B12913" t="s">
        <v>9420</v>
      </c>
      <c r="C12913" t="s">
        <v>9421</v>
      </c>
      <c r="D12913" t="str">
        <f>"1001"</f>
        <v>1001</v>
      </c>
      <c r="E12913" t="s">
        <v>42</v>
      </c>
      <c r="F12913" t="s">
        <v>2068</v>
      </c>
      <c r="G12913" t="s">
        <v>46688</v>
      </c>
      <c r="H12913" t="s">
        <v>47071</v>
      </c>
      <c r="I12913" t="s">
        <v>48040</v>
      </c>
      <c r="J12913" t="s">
        <v>48041</v>
      </c>
      <c r="K12913" t="s">
        <v>47113</v>
      </c>
      <c r="L12913">
        <v>16.41</v>
      </c>
      <c r="M12913">
        <v>38</v>
      </c>
      <c r="N12913">
        <v>0</v>
      </c>
      <c r="O12913">
        <v>38</v>
      </c>
      <c r="P12913">
        <v>0</v>
      </c>
    </row>
    <row r="12914" spans="1:16" x14ac:dyDescent="0.25">
      <c r="A12914" t="s">
        <v>35746</v>
      </c>
      <c r="B12914" t="s">
        <v>9420</v>
      </c>
      <c r="C12914" t="s">
        <v>9421</v>
      </c>
      <c r="D12914" t="str">
        <f>"1468"</f>
        <v>1468</v>
      </c>
      <c r="E12914" t="s">
        <v>7761</v>
      </c>
      <c r="F12914" t="s">
        <v>2068</v>
      </c>
      <c r="G12914" t="s">
        <v>46688</v>
      </c>
      <c r="H12914" t="s">
        <v>47071</v>
      </c>
      <c r="I12914" t="s">
        <v>48040</v>
      </c>
      <c r="J12914" t="s">
        <v>48041</v>
      </c>
      <c r="K12914" t="s">
        <v>47113</v>
      </c>
      <c r="L12914">
        <v>16.41</v>
      </c>
      <c r="M12914">
        <v>38</v>
      </c>
      <c r="N12914">
        <v>0</v>
      </c>
      <c r="O12914">
        <v>38</v>
      </c>
      <c r="P12914">
        <v>0</v>
      </c>
    </row>
    <row r="12915" spans="1:16" x14ac:dyDescent="0.25">
      <c r="A12915" t="s">
        <v>35747</v>
      </c>
      <c r="B12915" t="s">
        <v>9420</v>
      </c>
      <c r="C12915" t="s">
        <v>9421</v>
      </c>
      <c r="D12915" t="str">
        <f>"2725"</f>
        <v>2725</v>
      </c>
      <c r="E12915" t="s">
        <v>9391</v>
      </c>
      <c r="F12915" t="s">
        <v>2068</v>
      </c>
      <c r="G12915" t="s">
        <v>46688</v>
      </c>
      <c r="H12915" t="s">
        <v>47071</v>
      </c>
      <c r="I12915" t="s">
        <v>48040</v>
      </c>
      <c r="J12915" t="s">
        <v>48041</v>
      </c>
      <c r="K12915" t="s">
        <v>47113</v>
      </c>
      <c r="L12915">
        <v>16.41</v>
      </c>
      <c r="M12915">
        <v>38</v>
      </c>
      <c r="N12915">
        <v>0</v>
      </c>
      <c r="O12915">
        <v>38</v>
      </c>
      <c r="P12915">
        <v>0</v>
      </c>
    </row>
    <row r="12916" spans="1:16" x14ac:dyDescent="0.25">
      <c r="A12916" t="s">
        <v>35748</v>
      </c>
      <c r="B12916" t="s">
        <v>9420</v>
      </c>
      <c r="C12916" t="s">
        <v>9421</v>
      </c>
      <c r="D12916" t="str">
        <f>"3525"</f>
        <v>3525</v>
      </c>
      <c r="E12916" t="s">
        <v>7751</v>
      </c>
      <c r="F12916" t="s">
        <v>2068</v>
      </c>
      <c r="G12916" t="s">
        <v>46688</v>
      </c>
      <c r="H12916" t="s">
        <v>47071</v>
      </c>
      <c r="I12916" t="s">
        <v>48040</v>
      </c>
      <c r="J12916" t="s">
        <v>48041</v>
      </c>
      <c r="K12916" t="s">
        <v>47113</v>
      </c>
      <c r="L12916">
        <v>16.41</v>
      </c>
      <c r="M12916">
        <v>38</v>
      </c>
      <c r="N12916">
        <v>0</v>
      </c>
      <c r="O12916">
        <v>38</v>
      </c>
      <c r="P12916">
        <v>0</v>
      </c>
    </row>
    <row r="12917" spans="1:16" x14ac:dyDescent="0.25">
      <c r="A12917" t="s">
        <v>35749</v>
      </c>
      <c r="B12917" t="s">
        <v>9420</v>
      </c>
      <c r="C12917" t="s">
        <v>9421</v>
      </c>
      <c r="D12917" t="str">
        <f>"4048"</f>
        <v>4048</v>
      </c>
      <c r="E12917" t="s">
        <v>710</v>
      </c>
      <c r="F12917" t="s">
        <v>2068</v>
      </c>
      <c r="G12917" t="s">
        <v>46688</v>
      </c>
      <c r="H12917" t="s">
        <v>47071</v>
      </c>
      <c r="I12917" t="s">
        <v>48040</v>
      </c>
      <c r="J12917" t="s">
        <v>48041</v>
      </c>
      <c r="K12917" t="s">
        <v>47113</v>
      </c>
      <c r="L12917">
        <v>16.41</v>
      </c>
      <c r="M12917">
        <v>38</v>
      </c>
      <c r="N12917">
        <v>0</v>
      </c>
      <c r="O12917">
        <v>38</v>
      </c>
      <c r="P12917">
        <v>0</v>
      </c>
    </row>
    <row r="12918" spans="1:16" x14ac:dyDescent="0.25">
      <c r="A12918" t="s">
        <v>35750</v>
      </c>
      <c r="B12918" t="s">
        <v>9420</v>
      </c>
      <c r="C12918" t="s">
        <v>9421</v>
      </c>
      <c r="D12918" t="str">
        <f>"8411"</f>
        <v>8411</v>
      </c>
      <c r="E12918" t="s">
        <v>7748</v>
      </c>
      <c r="F12918" t="s">
        <v>2068</v>
      </c>
      <c r="G12918" t="s">
        <v>46688</v>
      </c>
      <c r="H12918" t="s">
        <v>47071</v>
      </c>
      <c r="I12918" t="s">
        <v>48040</v>
      </c>
      <c r="J12918" t="s">
        <v>48041</v>
      </c>
      <c r="K12918" t="s">
        <v>47113</v>
      </c>
      <c r="L12918">
        <v>16.41</v>
      </c>
      <c r="M12918">
        <v>38</v>
      </c>
      <c r="N12918">
        <v>0</v>
      </c>
      <c r="O12918">
        <v>38</v>
      </c>
      <c r="P12918">
        <v>0</v>
      </c>
    </row>
    <row r="12919" spans="1:16" x14ac:dyDescent="0.25">
      <c r="A12919" t="s">
        <v>35751</v>
      </c>
      <c r="B12919" t="s">
        <v>9422</v>
      </c>
      <c r="C12919" t="s">
        <v>9423</v>
      </c>
      <c r="D12919" t="str">
        <f>"1001"</f>
        <v>1001</v>
      </c>
      <c r="E12919" t="s">
        <v>42</v>
      </c>
      <c r="F12919" t="s">
        <v>2068</v>
      </c>
      <c r="G12919" t="s">
        <v>48039</v>
      </c>
      <c r="H12919" t="s">
        <v>47071</v>
      </c>
      <c r="I12919" t="s">
        <v>48040</v>
      </c>
      <c r="J12919" t="s">
        <v>48041</v>
      </c>
      <c r="K12919" t="s">
        <v>47113</v>
      </c>
      <c r="L12919">
        <v>19.14</v>
      </c>
      <c r="M12919">
        <v>44</v>
      </c>
      <c r="N12919">
        <v>0</v>
      </c>
      <c r="O12919">
        <v>44</v>
      </c>
      <c r="P12919">
        <v>0</v>
      </c>
    </row>
    <row r="12920" spans="1:16" x14ac:dyDescent="0.25">
      <c r="A12920" t="s">
        <v>35752</v>
      </c>
      <c r="B12920" t="s">
        <v>9422</v>
      </c>
      <c r="C12920" t="s">
        <v>9423</v>
      </c>
      <c r="D12920" t="str">
        <f>"1468"</f>
        <v>1468</v>
      </c>
      <c r="E12920" t="s">
        <v>7761</v>
      </c>
      <c r="F12920" t="s">
        <v>2068</v>
      </c>
      <c r="G12920" t="s">
        <v>48039</v>
      </c>
      <c r="H12920" t="s">
        <v>47071</v>
      </c>
      <c r="I12920" t="s">
        <v>48040</v>
      </c>
      <c r="J12920" t="s">
        <v>48041</v>
      </c>
      <c r="K12920" t="s">
        <v>47113</v>
      </c>
      <c r="L12920">
        <v>19.14</v>
      </c>
      <c r="M12920">
        <v>44</v>
      </c>
      <c r="N12920">
        <v>0</v>
      </c>
      <c r="O12920">
        <v>44</v>
      </c>
      <c r="P12920">
        <v>0</v>
      </c>
    </row>
    <row r="12921" spans="1:16" x14ac:dyDescent="0.25">
      <c r="A12921" t="s">
        <v>35753</v>
      </c>
      <c r="B12921" t="s">
        <v>9422</v>
      </c>
      <c r="C12921" t="s">
        <v>9423</v>
      </c>
      <c r="D12921" t="str">
        <f>"2725"</f>
        <v>2725</v>
      </c>
      <c r="E12921" t="s">
        <v>9391</v>
      </c>
      <c r="F12921" t="s">
        <v>2068</v>
      </c>
      <c r="G12921" t="s">
        <v>48039</v>
      </c>
      <c r="H12921" t="s">
        <v>47071</v>
      </c>
      <c r="I12921" t="s">
        <v>48040</v>
      </c>
      <c r="J12921" t="s">
        <v>48041</v>
      </c>
      <c r="K12921" t="s">
        <v>47113</v>
      </c>
      <c r="L12921">
        <v>19.14</v>
      </c>
      <c r="M12921">
        <v>44</v>
      </c>
      <c r="N12921">
        <v>0</v>
      </c>
      <c r="O12921">
        <v>44</v>
      </c>
      <c r="P12921">
        <v>0</v>
      </c>
    </row>
    <row r="12922" spans="1:16" x14ac:dyDescent="0.25">
      <c r="A12922" t="s">
        <v>35754</v>
      </c>
      <c r="B12922" t="s">
        <v>9422</v>
      </c>
      <c r="C12922" t="s">
        <v>9423</v>
      </c>
      <c r="D12922" t="str">
        <f>"3525"</f>
        <v>3525</v>
      </c>
      <c r="E12922" t="s">
        <v>7751</v>
      </c>
      <c r="F12922" t="s">
        <v>2068</v>
      </c>
      <c r="G12922" t="s">
        <v>48039</v>
      </c>
      <c r="H12922" t="s">
        <v>47071</v>
      </c>
      <c r="I12922" t="s">
        <v>48040</v>
      </c>
      <c r="J12922" t="s">
        <v>48041</v>
      </c>
      <c r="K12922" t="s">
        <v>47113</v>
      </c>
      <c r="L12922">
        <v>19.14</v>
      </c>
      <c r="M12922">
        <v>44</v>
      </c>
      <c r="N12922">
        <v>0</v>
      </c>
      <c r="O12922">
        <v>44</v>
      </c>
      <c r="P12922">
        <v>0</v>
      </c>
    </row>
    <row r="12923" spans="1:16" x14ac:dyDescent="0.25">
      <c r="A12923" t="s">
        <v>35755</v>
      </c>
      <c r="B12923" t="s">
        <v>9422</v>
      </c>
      <c r="C12923" t="s">
        <v>9423</v>
      </c>
      <c r="D12923" t="str">
        <f>"4048"</f>
        <v>4048</v>
      </c>
      <c r="E12923" t="s">
        <v>710</v>
      </c>
      <c r="F12923" t="s">
        <v>2068</v>
      </c>
      <c r="G12923" t="s">
        <v>48039</v>
      </c>
      <c r="H12923" t="s">
        <v>47071</v>
      </c>
      <c r="I12923" t="s">
        <v>48040</v>
      </c>
      <c r="J12923" t="s">
        <v>48041</v>
      </c>
      <c r="K12923" t="s">
        <v>47113</v>
      </c>
      <c r="L12923">
        <v>19.14</v>
      </c>
      <c r="M12923">
        <v>44</v>
      </c>
      <c r="N12923">
        <v>0</v>
      </c>
      <c r="O12923">
        <v>44</v>
      </c>
      <c r="P12923">
        <v>0</v>
      </c>
    </row>
    <row r="12924" spans="1:16" x14ac:dyDescent="0.25">
      <c r="A12924" t="s">
        <v>35756</v>
      </c>
      <c r="B12924" t="s">
        <v>9422</v>
      </c>
      <c r="C12924" t="s">
        <v>9423</v>
      </c>
      <c r="D12924" t="str">
        <f>"8411"</f>
        <v>8411</v>
      </c>
      <c r="E12924" t="s">
        <v>7748</v>
      </c>
      <c r="F12924" t="s">
        <v>2068</v>
      </c>
      <c r="G12924" t="s">
        <v>48039</v>
      </c>
      <c r="H12924" t="s">
        <v>47071</v>
      </c>
      <c r="I12924" t="s">
        <v>48040</v>
      </c>
      <c r="J12924" t="s">
        <v>48041</v>
      </c>
      <c r="K12924" t="s">
        <v>47113</v>
      </c>
      <c r="L12924">
        <v>19.14</v>
      </c>
      <c r="M12924">
        <v>44</v>
      </c>
      <c r="N12924">
        <v>0</v>
      </c>
      <c r="O12924">
        <v>44</v>
      </c>
      <c r="P12924">
        <v>0</v>
      </c>
    </row>
    <row r="12925" spans="1:16" x14ac:dyDescent="0.25">
      <c r="A12925" t="s">
        <v>35757</v>
      </c>
      <c r="B12925" t="s">
        <v>9424</v>
      </c>
      <c r="C12925" t="s">
        <v>9425</v>
      </c>
      <c r="D12925" t="str">
        <f>"1001"</f>
        <v>1001</v>
      </c>
      <c r="E12925" t="s">
        <v>42</v>
      </c>
      <c r="F12925" t="s">
        <v>2068</v>
      </c>
      <c r="G12925" t="s">
        <v>47131</v>
      </c>
      <c r="H12925" t="s">
        <v>47071</v>
      </c>
      <c r="I12925" t="s">
        <v>48040</v>
      </c>
      <c r="J12925" t="s">
        <v>48041</v>
      </c>
      <c r="K12925" t="s">
        <v>47113</v>
      </c>
      <c r="L12925">
        <v>27.35</v>
      </c>
      <c r="M12925">
        <v>63</v>
      </c>
      <c r="N12925">
        <v>0</v>
      </c>
      <c r="O12925">
        <v>63</v>
      </c>
      <c r="P12925">
        <v>0</v>
      </c>
    </row>
    <row r="12926" spans="1:16" x14ac:dyDescent="0.25">
      <c r="A12926" t="s">
        <v>35758</v>
      </c>
      <c r="B12926" t="s">
        <v>9424</v>
      </c>
      <c r="C12926" t="s">
        <v>9425</v>
      </c>
      <c r="D12926" t="str">
        <f>"1468"</f>
        <v>1468</v>
      </c>
      <c r="E12926" t="s">
        <v>7761</v>
      </c>
      <c r="F12926" t="s">
        <v>2068</v>
      </c>
      <c r="G12926" t="s">
        <v>47131</v>
      </c>
      <c r="H12926" t="s">
        <v>47071</v>
      </c>
      <c r="I12926" t="s">
        <v>48040</v>
      </c>
      <c r="J12926" t="s">
        <v>48041</v>
      </c>
      <c r="K12926" t="s">
        <v>47113</v>
      </c>
      <c r="L12926">
        <v>27.35</v>
      </c>
      <c r="M12926">
        <v>63</v>
      </c>
      <c r="N12926">
        <v>0</v>
      </c>
      <c r="O12926">
        <v>63</v>
      </c>
      <c r="P12926">
        <v>0</v>
      </c>
    </row>
    <row r="12927" spans="1:16" x14ac:dyDescent="0.25">
      <c r="A12927" t="s">
        <v>35759</v>
      </c>
      <c r="B12927" t="s">
        <v>9424</v>
      </c>
      <c r="C12927" t="s">
        <v>9425</v>
      </c>
      <c r="D12927" t="str">
        <f>"2725"</f>
        <v>2725</v>
      </c>
      <c r="E12927" t="s">
        <v>9391</v>
      </c>
      <c r="F12927" t="s">
        <v>2068</v>
      </c>
      <c r="G12927" t="s">
        <v>47131</v>
      </c>
      <c r="H12927" t="s">
        <v>47071</v>
      </c>
      <c r="I12927" t="s">
        <v>48040</v>
      </c>
      <c r="J12927" t="s">
        <v>48041</v>
      </c>
      <c r="K12927" t="s">
        <v>47113</v>
      </c>
      <c r="L12927">
        <v>27.35</v>
      </c>
      <c r="M12927">
        <v>63</v>
      </c>
      <c r="N12927">
        <v>0</v>
      </c>
      <c r="O12927">
        <v>63</v>
      </c>
      <c r="P12927">
        <v>0</v>
      </c>
    </row>
    <row r="12928" spans="1:16" x14ac:dyDescent="0.25">
      <c r="A12928" t="s">
        <v>35760</v>
      </c>
      <c r="B12928" t="s">
        <v>9424</v>
      </c>
      <c r="C12928" t="s">
        <v>9425</v>
      </c>
      <c r="D12928" t="str">
        <f>"3525"</f>
        <v>3525</v>
      </c>
      <c r="E12928" t="s">
        <v>7751</v>
      </c>
      <c r="F12928" t="s">
        <v>2068</v>
      </c>
      <c r="G12928" t="s">
        <v>47131</v>
      </c>
      <c r="H12928" t="s">
        <v>47071</v>
      </c>
      <c r="I12928" t="s">
        <v>48040</v>
      </c>
      <c r="J12928" t="s">
        <v>48041</v>
      </c>
      <c r="K12928" t="s">
        <v>47113</v>
      </c>
      <c r="L12928">
        <v>27.35</v>
      </c>
      <c r="M12928">
        <v>63</v>
      </c>
      <c r="N12928">
        <v>0</v>
      </c>
      <c r="O12928">
        <v>63</v>
      </c>
      <c r="P12928">
        <v>0</v>
      </c>
    </row>
    <row r="12929" spans="1:16" x14ac:dyDescent="0.25">
      <c r="A12929" t="s">
        <v>35761</v>
      </c>
      <c r="B12929" t="s">
        <v>9424</v>
      </c>
      <c r="C12929" t="s">
        <v>9425</v>
      </c>
      <c r="D12929" t="str">
        <f>"4048"</f>
        <v>4048</v>
      </c>
      <c r="E12929" t="s">
        <v>710</v>
      </c>
      <c r="F12929" t="s">
        <v>2068</v>
      </c>
      <c r="G12929" t="s">
        <v>47131</v>
      </c>
      <c r="H12929" t="s">
        <v>47071</v>
      </c>
      <c r="I12929" t="s">
        <v>48040</v>
      </c>
      <c r="J12929" t="s">
        <v>48041</v>
      </c>
      <c r="K12929" t="s">
        <v>47113</v>
      </c>
      <c r="L12929">
        <v>27.35</v>
      </c>
      <c r="M12929">
        <v>63</v>
      </c>
      <c r="N12929">
        <v>0</v>
      </c>
      <c r="O12929">
        <v>63</v>
      </c>
      <c r="P12929">
        <v>0</v>
      </c>
    </row>
    <row r="12930" spans="1:16" x14ac:dyDescent="0.25">
      <c r="A12930" t="s">
        <v>35762</v>
      </c>
      <c r="B12930" t="s">
        <v>9424</v>
      </c>
      <c r="C12930" t="s">
        <v>9425</v>
      </c>
      <c r="D12930" t="str">
        <f>"8411"</f>
        <v>8411</v>
      </c>
      <c r="E12930" t="s">
        <v>7748</v>
      </c>
      <c r="F12930" t="s">
        <v>2068</v>
      </c>
      <c r="G12930" t="s">
        <v>47131</v>
      </c>
      <c r="H12930" t="s">
        <v>47071</v>
      </c>
      <c r="I12930" t="s">
        <v>48040</v>
      </c>
      <c r="J12930" t="s">
        <v>48041</v>
      </c>
      <c r="K12930" t="s">
        <v>47113</v>
      </c>
      <c r="L12930">
        <v>27.35</v>
      </c>
      <c r="M12930">
        <v>63</v>
      </c>
      <c r="N12930">
        <v>0</v>
      </c>
      <c r="O12930">
        <v>63</v>
      </c>
      <c r="P12930">
        <v>0</v>
      </c>
    </row>
    <row r="12931" spans="1:16" x14ac:dyDescent="0.25">
      <c r="A12931" t="s">
        <v>35763</v>
      </c>
      <c r="B12931" t="s">
        <v>9426</v>
      </c>
      <c r="C12931" t="s">
        <v>9427</v>
      </c>
      <c r="D12931" t="str">
        <f>"1001"</f>
        <v>1001</v>
      </c>
      <c r="E12931" t="s">
        <v>42</v>
      </c>
      <c r="F12931" t="s">
        <v>2068</v>
      </c>
      <c r="G12931" t="s">
        <v>46688</v>
      </c>
      <c r="H12931" t="s">
        <v>47071</v>
      </c>
      <c r="I12931" t="s">
        <v>48040</v>
      </c>
      <c r="J12931" t="s">
        <v>48041</v>
      </c>
      <c r="K12931" t="s">
        <v>47113</v>
      </c>
      <c r="L12931">
        <v>10.94</v>
      </c>
      <c r="M12931">
        <v>25</v>
      </c>
      <c r="N12931">
        <v>0</v>
      </c>
      <c r="O12931">
        <v>25</v>
      </c>
      <c r="P12931">
        <v>0</v>
      </c>
    </row>
    <row r="12932" spans="1:16" x14ac:dyDescent="0.25">
      <c r="A12932" t="s">
        <v>35764</v>
      </c>
      <c r="B12932" t="s">
        <v>9426</v>
      </c>
      <c r="C12932" t="s">
        <v>9427</v>
      </c>
      <c r="D12932" t="str">
        <f>"1468"</f>
        <v>1468</v>
      </c>
      <c r="E12932" t="s">
        <v>7761</v>
      </c>
      <c r="F12932" t="s">
        <v>2068</v>
      </c>
      <c r="G12932" t="s">
        <v>46688</v>
      </c>
      <c r="H12932" t="s">
        <v>47071</v>
      </c>
      <c r="I12932" t="s">
        <v>48040</v>
      </c>
      <c r="J12932" t="s">
        <v>48041</v>
      </c>
      <c r="K12932" t="s">
        <v>47113</v>
      </c>
      <c r="L12932">
        <v>10.94</v>
      </c>
      <c r="M12932">
        <v>25</v>
      </c>
      <c r="N12932">
        <v>0</v>
      </c>
      <c r="O12932">
        <v>25</v>
      </c>
      <c r="P12932">
        <v>0</v>
      </c>
    </row>
    <row r="12933" spans="1:16" x14ac:dyDescent="0.25">
      <c r="A12933" t="s">
        <v>35765</v>
      </c>
      <c r="B12933" t="s">
        <v>9426</v>
      </c>
      <c r="C12933" t="s">
        <v>9427</v>
      </c>
      <c r="D12933" t="str">
        <f>"1704"</f>
        <v>1704</v>
      </c>
      <c r="E12933" t="s">
        <v>7181</v>
      </c>
      <c r="F12933" t="s">
        <v>2068</v>
      </c>
      <c r="G12933" t="s">
        <v>46688</v>
      </c>
      <c r="H12933" t="s">
        <v>47071</v>
      </c>
      <c r="I12933" t="s">
        <v>48040</v>
      </c>
      <c r="J12933" t="s">
        <v>48041</v>
      </c>
      <c r="K12933" t="s">
        <v>47113</v>
      </c>
      <c r="L12933">
        <v>10.94</v>
      </c>
      <c r="M12933">
        <v>25</v>
      </c>
      <c r="N12933">
        <v>0</v>
      </c>
      <c r="O12933">
        <v>25</v>
      </c>
      <c r="P12933">
        <v>0</v>
      </c>
    </row>
    <row r="12934" spans="1:16" x14ac:dyDescent="0.25">
      <c r="A12934" t="s">
        <v>35766</v>
      </c>
      <c r="B12934" t="s">
        <v>9426</v>
      </c>
      <c r="C12934" t="s">
        <v>9427</v>
      </c>
      <c r="D12934" t="str">
        <f>"2054"</f>
        <v>2054</v>
      </c>
      <c r="E12934" t="s">
        <v>7762</v>
      </c>
      <c r="F12934" t="s">
        <v>2068</v>
      </c>
      <c r="G12934" t="s">
        <v>46688</v>
      </c>
      <c r="H12934" t="s">
        <v>47071</v>
      </c>
      <c r="I12934" t="s">
        <v>48040</v>
      </c>
      <c r="J12934" t="s">
        <v>48041</v>
      </c>
      <c r="K12934" t="s">
        <v>47113</v>
      </c>
      <c r="L12934">
        <v>10.94</v>
      </c>
      <c r="M12934">
        <v>25</v>
      </c>
      <c r="N12934">
        <v>0</v>
      </c>
      <c r="O12934">
        <v>25</v>
      </c>
      <c r="P12934">
        <v>0</v>
      </c>
    </row>
    <row r="12935" spans="1:16" x14ac:dyDescent="0.25">
      <c r="A12935" t="s">
        <v>35767</v>
      </c>
      <c r="B12935" t="s">
        <v>9426</v>
      </c>
      <c r="C12935" t="s">
        <v>9427</v>
      </c>
      <c r="D12935" t="str">
        <f>"2375"</f>
        <v>2375</v>
      </c>
      <c r="E12935" t="s">
        <v>7758</v>
      </c>
      <c r="F12935" t="s">
        <v>2068</v>
      </c>
      <c r="G12935" t="s">
        <v>46688</v>
      </c>
      <c r="H12935" t="s">
        <v>47071</v>
      </c>
      <c r="I12935" t="s">
        <v>48040</v>
      </c>
      <c r="J12935" t="s">
        <v>48041</v>
      </c>
      <c r="K12935" t="s">
        <v>47113</v>
      </c>
      <c r="L12935">
        <v>10.94</v>
      </c>
      <c r="M12935">
        <v>25</v>
      </c>
      <c r="N12935">
        <v>0</v>
      </c>
      <c r="O12935">
        <v>25</v>
      </c>
      <c r="P12935">
        <v>0</v>
      </c>
    </row>
    <row r="12936" spans="1:16" x14ac:dyDescent="0.25">
      <c r="A12936" t="s">
        <v>35768</v>
      </c>
      <c r="B12936" t="s">
        <v>9426</v>
      </c>
      <c r="C12936" t="s">
        <v>9427</v>
      </c>
      <c r="D12936" t="str">
        <f>"4048"</f>
        <v>4048</v>
      </c>
      <c r="E12936" t="s">
        <v>710</v>
      </c>
      <c r="F12936" t="s">
        <v>2068</v>
      </c>
      <c r="G12936" t="s">
        <v>46688</v>
      </c>
      <c r="H12936" t="s">
        <v>47071</v>
      </c>
      <c r="I12936" t="s">
        <v>48040</v>
      </c>
      <c r="J12936" t="s">
        <v>48041</v>
      </c>
      <c r="K12936" t="s">
        <v>47113</v>
      </c>
      <c r="L12936">
        <v>10.94</v>
      </c>
      <c r="M12936">
        <v>25</v>
      </c>
      <c r="N12936">
        <v>0</v>
      </c>
      <c r="O12936">
        <v>25</v>
      </c>
      <c r="P12936">
        <v>0</v>
      </c>
    </row>
    <row r="12937" spans="1:16" x14ac:dyDescent="0.25">
      <c r="A12937" t="s">
        <v>35769</v>
      </c>
      <c r="B12937" t="s">
        <v>9426</v>
      </c>
      <c r="C12937" t="s">
        <v>9427</v>
      </c>
      <c r="D12937" t="str">
        <f>"6132"</f>
        <v>6132</v>
      </c>
      <c r="E12937" t="s">
        <v>9411</v>
      </c>
      <c r="F12937" t="s">
        <v>2068</v>
      </c>
      <c r="G12937" t="s">
        <v>46688</v>
      </c>
      <c r="H12937" t="s">
        <v>47071</v>
      </c>
      <c r="I12937" t="s">
        <v>48040</v>
      </c>
      <c r="J12937" t="s">
        <v>48041</v>
      </c>
      <c r="K12937" t="s">
        <v>47113</v>
      </c>
      <c r="L12937">
        <v>10.94</v>
      </c>
      <c r="M12937">
        <v>25</v>
      </c>
      <c r="N12937">
        <v>0</v>
      </c>
      <c r="O12937">
        <v>25</v>
      </c>
      <c r="P12937">
        <v>0</v>
      </c>
    </row>
    <row r="12938" spans="1:16" x14ac:dyDescent="0.25">
      <c r="A12938" t="s">
        <v>35770</v>
      </c>
      <c r="B12938" t="s">
        <v>9426</v>
      </c>
      <c r="C12938" t="s">
        <v>9427</v>
      </c>
      <c r="D12938" t="str">
        <f>"6475"</f>
        <v>6475</v>
      </c>
      <c r="E12938" t="s">
        <v>9399</v>
      </c>
      <c r="F12938" t="s">
        <v>2068</v>
      </c>
      <c r="G12938" t="s">
        <v>46688</v>
      </c>
      <c r="H12938" t="s">
        <v>47071</v>
      </c>
      <c r="I12938" t="s">
        <v>48040</v>
      </c>
      <c r="J12938" t="s">
        <v>48041</v>
      </c>
      <c r="K12938" t="s">
        <v>47113</v>
      </c>
      <c r="L12938">
        <v>10.94</v>
      </c>
      <c r="M12938">
        <v>25</v>
      </c>
      <c r="N12938">
        <v>0</v>
      </c>
      <c r="O12938">
        <v>25</v>
      </c>
      <c r="P12938">
        <v>0</v>
      </c>
    </row>
    <row r="12939" spans="1:16" x14ac:dyDescent="0.25">
      <c r="A12939" t="s">
        <v>35771</v>
      </c>
      <c r="B12939" t="s">
        <v>9426</v>
      </c>
      <c r="C12939" t="s">
        <v>9427</v>
      </c>
      <c r="D12939" t="str">
        <f>"7123"</f>
        <v>7123</v>
      </c>
      <c r="E12939" t="s">
        <v>9379</v>
      </c>
      <c r="F12939" t="s">
        <v>2068</v>
      </c>
      <c r="G12939" t="s">
        <v>46688</v>
      </c>
      <c r="H12939" t="s">
        <v>47071</v>
      </c>
      <c r="I12939" t="s">
        <v>48040</v>
      </c>
      <c r="J12939" t="s">
        <v>48041</v>
      </c>
      <c r="K12939" t="s">
        <v>47113</v>
      </c>
      <c r="L12939">
        <v>10.94</v>
      </c>
      <c r="M12939">
        <v>25</v>
      </c>
      <c r="N12939">
        <v>0</v>
      </c>
      <c r="O12939">
        <v>25</v>
      </c>
      <c r="P12939">
        <v>0</v>
      </c>
    </row>
    <row r="12940" spans="1:16" x14ac:dyDescent="0.25">
      <c r="A12940" t="s">
        <v>35772</v>
      </c>
      <c r="B12940" t="s">
        <v>9428</v>
      </c>
      <c r="C12940" t="s">
        <v>9429</v>
      </c>
      <c r="D12940" t="str">
        <f>"1001"</f>
        <v>1001</v>
      </c>
      <c r="E12940" t="s">
        <v>42</v>
      </c>
      <c r="F12940" t="s">
        <v>2068</v>
      </c>
      <c r="G12940" t="s">
        <v>47131</v>
      </c>
      <c r="H12940" t="s">
        <v>47071</v>
      </c>
      <c r="I12940" t="s">
        <v>48040</v>
      </c>
      <c r="J12940" t="s">
        <v>48041</v>
      </c>
      <c r="K12940" t="s">
        <v>47113</v>
      </c>
      <c r="L12940">
        <v>17.78</v>
      </c>
      <c r="M12940">
        <v>41</v>
      </c>
      <c r="N12940">
        <v>0</v>
      </c>
      <c r="O12940">
        <v>41</v>
      </c>
      <c r="P12940">
        <v>0</v>
      </c>
    </row>
    <row r="12941" spans="1:16" x14ac:dyDescent="0.25">
      <c r="A12941" t="s">
        <v>35773</v>
      </c>
      <c r="B12941" t="s">
        <v>9428</v>
      </c>
      <c r="C12941" t="s">
        <v>9429</v>
      </c>
      <c r="D12941" t="str">
        <f>"1468"</f>
        <v>1468</v>
      </c>
      <c r="E12941" t="s">
        <v>7761</v>
      </c>
      <c r="F12941" t="s">
        <v>2068</v>
      </c>
      <c r="G12941" t="s">
        <v>47131</v>
      </c>
      <c r="H12941" t="s">
        <v>47071</v>
      </c>
      <c r="I12941" t="s">
        <v>48040</v>
      </c>
      <c r="J12941" t="s">
        <v>48041</v>
      </c>
      <c r="K12941" t="s">
        <v>47113</v>
      </c>
      <c r="L12941">
        <v>17.78</v>
      </c>
      <c r="M12941">
        <v>41</v>
      </c>
      <c r="N12941">
        <v>0</v>
      </c>
      <c r="O12941">
        <v>41</v>
      </c>
      <c r="P12941">
        <v>0</v>
      </c>
    </row>
    <row r="12942" spans="1:16" x14ac:dyDescent="0.25">
      <c r="A12942" t="s">
        <v>35774</v>
      </c>
      <c r="B12942" t="s">
        <v>9428</v>
      </c>
      <c r="C12942" t="s">
        <v>9429</v>
      </c>
      <c r="D12942" t="str">
        <f>"1704"</f>
        <v>1704</v>
      </c>
      <c r="E12942" t="s">
        <v>7181</v>
      </c>
      <c r="F12942" t="s">
        <v>2068</v>
      </c>
      <c r="G12942" t="s">
        <v>47131</v>
      </c>
      <c r="H12942" t="s">
        <v>47071</v>
      </c>
      <c r="I12942" t="s">
        <v>48040</v>
      </c>
      <c r="J12942" t="s">
        <v>48041</v>
      </c>
      <c r="K12942" t="s">
        <v>47113</v>
      </c>
      <c r="L12942">
        <v>17.78</v>
      </c>
      <c r="M12942">
        <v>41</v>
      </c>
      <c r="N12942">
        <v>0</v>
      </c>
      <c r="O12942">
        <v>41</v>
      </c>
      <c r="P12942">
        <v>0</v>
      </c>
    </row>
    <row r="12943" spans="1:16" x14ac:dyDescent="0.25">
      <c r="A12943" t="s">
        <v>35775</v>
      </c>
      <c r="B12943" t="s">
        <v>9428</v>
      </c>
      <c r="C12943" t="s">
        <v>9429</v>
      </c>
      <c r="D12943" t="str">
        <f>"2054"</f>
        <v>2054</v>
      </c>
      <c r="E12943" t="s">
        <v>7762</v>
      </c>
      <c r="F12943" t="s">
        <v>2068</v>
      </c>
      <c r="G12943" t="s">
        <v>47131</v>
      </c>
      <c r="H12943" t="s">
        <v>47071</v>
      </c>
      <c r="I12943" t="s">
        <v>48040</v>
      </c>
      <c r="J12943" t="s">
        <v>48041</v>
      </c>
      <c r="K12943" t="s">
        <v>47113</v>
      </c>
      <c r="L12943">
        <v>17.78</v>
      </c>
      <c r="M12943">
        <v>41</v>
      </c>
      <c r="N12943">
        <v>0</v>
      </c>
      <c r="O12943">
        <v>41</v>
      </c>
      <c r="P12943">
        <v>0</v>
      </c>
    </row>
    <row r="12944" spans="1:16" x14ac:dyDescent="0.25">
      <c r="A12944" t="s">
        <v>35776</v>
      </c>
      <c r="B12944" t="s">
        <v>9428</v>
      </c>
      <c r="C12944" t="s">
        <v>9429</v>
      </c>
      <c r="D12944" t="str">
        <f>"2375"</f>
        <v>2375</v>
      </c>
      <c r="E12944" t="s">
        <v>7758</v>
      </c>
      <c r="F12944" t="s">
        <v>2068</v>
      </c>
      <c r="G12944" t="s">
        <v>47131</v>
      </c>
      <c r="H12944" t="s">
        <v>47071</v>
      </c>
      <c r="I12944" t="s">
        <v>48040</v>
      </c>
      <c r="J12944" t="s">
        <v>48041</v>
      </c>
      <c r="K12944" t="s">
        <v>47113</v>
      </c>
      <c r="L12944">
        <v>17.78</v>
      </c>
      <c r="M12944">
        <v>41</v>
      </c>
      <c r="N12944">
        <v>0</v>
      </c>
      <c r="O12944">
        <v>41</v>
      </c>
      <c r="P12944">
        <v>0</v>
      </c>
    </row>
    <row r="12945" spans="1:16" x14ac:dyDescent="0.25">
      <c r="A12945" t="s">
        <v>35777</v>
      </c>
      <c r="B12945" t="s">
        <v>9428</v>
      </c>
      <c r="C12945" t="s">
        <v>9429</v>
      </c>
      <c r="D12945" t="str">
        <f>"4048"</f>
        <v>4048</v>
      </c>
      <c r="E12945" t="s">
        <v>710</v>
      </c>
      <c r="F12945" t="s">
        <v>2068</v>
      </c>
      <c r="G12945" t="s">
        <v>47131</v>
      </c>
      <c r="H12945" t="s">
        <v>47071</v>
      </c>
      <c r="I12945" t="s">
        <v>48040</v>
      </c>
      <c r="J12945" t="s">
        <v>48041</v>
      </c>
      <c r="K12945" t="s">
        <v>47113</v>
      </c>
      <c r="L12945">
        <v>17.78</v>
      </c>
      <c r="M12945">
        <v>41</v>
      </c>
      <c r="N12945">
        <v>0</v>
      </c>
      <c r="O12945">
        <v>41</v>
      </c>
      <c r="P12945">
        <v>0</v>
      </c>
    </row>
    <row r="12946" spans="1:16" x14ac:dyDescent="0.25">
      <c r="A12946" t="s">
        <v>35778</v>
      </c>
      <c r="B12946" t="s">
        <v>9428</v>
      </c>
      <c r="C12946" t="s">
        <v>9429</v>
      </c>
      <c r="D12946" t="str">
        <f>"6132"</f>
        <v>6132</v>
      </c>
      <c r="E12946" t="s">
        <v>9411</v>
      </c>
      <c r="F12946" t="s">
        <v>2068</v>
      </c>
      <c r="G12946" t="s">
        <v>47131</v>
      </c>
      <c r="H12946" t="s">
        <v>47071</v>
      </c>
      <c r="I12946" t="s">
        <v>48040</v>
      </c>
      <c r="J12946" t="s">
        <v>48041</v>
      </c>
      <c r="K12946" t="s">
        <v>47113</v>
      </c>
      <c r="L12946">
        <v>17.78</v>
      </c>
      <c r="M12946">
        <v>41</v>
      </c>
      <c r="N12946">
        <v>0</v>
      </c>
      <c r="O12946">
        <v>41</v>
      </c>
      <c r="P12946">
        <v>0</v>
      </c>
    </row>
    <row r="12947" spans="1:16" x14ac:dyDescent="0.25">
      <c r="A12947" t="s">
        <v>35779</v>
      </c>
      <c r="B12947" t="s">
        <v>9428</v>
      </c>
      <c r="C12947" t="s">
        <v>9429</v>
      </c>
      <c r="D12947" t="str">
        <f>"6475"</f>
        <v>6475</v>
      </c>
      <c r="E12947" t="s">
        <v>9399</v>
      </c>
      <c r="F12947" t="s">
        <v>2068</v>
      </c>
      <c r="G12947" t="s">
        <v>47131</v>
      </c>
      <c r="H12947" t="s">
        <v>47071</v>
      </c>
      <c r="I12947" t="s">
        <v>48040</v>
      </c>
      <c r="J12947" t="s">
        <v>48041</v>
      </c>
      <c r="K12947" t="s">
        <v>47113</v>
      </c>
      <c r="L12947">
        <v>17.78</v>
      </c>
      <c r="M12947">
        <v>41</v>
      </c>
      <c r="N12947">
        <v>0</v>
      </c>
      <c r="O12947">
        <v>41</v>
      </c>
      <c r="P12947">
        <v>0</v>
      </c>
    </row>
    <row r="12948" spans="1:16" x14ac:dyDescent="0.25">
      <c r="A12948" t="s">
        <v>35780</v>
      </c>
      <c r="B12948" t="s">
        <v>9428</v>
      </c>
      <c r="C12948" t="s">
        <v>9429</v>
      </c>
      <c r="D12948" t="str">
        <f>"7123"</f>
        <v>7123</v>
      </c>
      <c r="E12948" t="s">
        <v>9379</v>
      </c>
      <c r="F12948" t="s">
        <v>2068</v>
      </c>
      <c r="G12948" t="s">
        <v>47131</v>
      </c>
      <c r="H12948" t="s">
        <v>47071</v>
      </c>
      <c r="I12948" t="s">
        <v>48040</v>
      </c>
      <c r="J12948" t="s">
        <v>48041</v>
      </c>
      <c r="K12948" t="s">
        <v>47113</v>
      </c>
      <c r="L12948">
        <v>17.78</v>
      </c>
      <c r="M12948">
        <v>41</v>
      </c>
      <c r="N12948">
        <v>0</v>
      </c>
      <c r="O12948">
        <v>41</v>
      </c>
      <c r="P12948">
        <v>0</v>
      </c>
    </row>
    <row r="12949" spans="1:16" x14ac:dyDescent="0.25">
      <c r="A12949" t="s">
        <v>35781</v>
      </c>
      <c r="B12949" t="s">
        <v>9430</v>
      </c>
      <c r="C12949" t="s">
        <v>9431</v>
      </c>
      <c r="D12949" t="str">
        <f>"1001"</f>
        <v>1001</v>
      </c>
      <c r="E12949" t="s">
        <v>42</v>
      </c>
      <c r="F12949" t="s">
        <v>2068</v>
      </c>
      <c r="G12949" t="s">
        <v>46688</v>
      </c>
      <c r="H12949" t="s">
        <v>47071</v>
      </c>
      <c r="I12949" t="s">
        <v>48040</v>
      </c>
      <c r="J12949" t="s">
        <v>48041</v>
      </c>
      <c r="K12949" t="s">
        <v>47113</v>
      </c>
      <c r="L12949">
        <v>16.41</v>
      </c>
      <c r="M12949">
        <v>38</v>
      </c>
      <c r="N12949">
        <v>0</v>
      </c>
      <c r="O12949">
        <v>38</v>
      </c>
      <c r="P12949">
        <v>0</v>
      </c>
    </row>
    <row r="12950" spans="1:16" x14ac:dyDescent="0.25">
      <c r="A12950" t="s">
        <v>35782</v>
      </c>
      <c r="B12950" t="s">
        <v>9430</v>
      </c>
      <c r="C12950" t="s">
        <v>9431</v>
      </c>
      <c r="D12950" t="str">
        <f>"1468"</f>
        <v>1468</v>
      </c>
      <c r="E12950" t="s">
        <v>7761</v>
      </c>
      <c r="F12950" t="s">
        <v>2068</v>
      </c>
      <c r="G12950" t="s">
        <v>46688</v>
      </c>
      <c r="H12950" t="s">
        <v>47071</v>
      </c>
      <c r="I12950" t="s">
        <v>48040</v>
      </c>
      <c r="J12950" t="s">
        <v>48041</v>
      </c>
      <c r="K12950" t="s">
        <v>47113</v>
      </c>
      <c r="L12950">
        <v>16.41</v>
      </c>
      <c r="M12950">
        <v>38</v>
      </c>
      <c r="N12950">
        <v>0</v>
      </c>
      <c r="O12950">
        <v>38</v>
      </c>
      <c r="P12950">
        <v>0</v>
      </c>
    </row>
    <row r="12951" spans="1:16" x14ac:dyDescent="0.25">
      <c r="A12951" t="s">
        <v>35783</v>
      </c>
      <c r="B12951" t="s">
        <v>9430</v>
      </c>
      <c r="C12951" t="s">
        <v>9431</v>
      </c>
      <c r="D12951" t="str">
        <f>"1704"</f>
        <v>1704</v>
      </c>
      <c r="E12951" t="s">
        <v>7181</v>
      </c>
      <c r="F12951" t="s">
        <v>2068</v>
      </c>
      <c r="G12951" t="s">
        <v>46688</v>
      </c>
      <c r="H12951" t="s">
        <v>47071</v>
      </c>
      <c r="I12951" t="s">
        <v>48040</v>
      </c>
      <c r="J12951" t="s">
        <v>48041</v>
      </c>
      <c r="K12951" t="s">
        <v>47113</v>
      </c>
      <c r="L12951">
        <v>16.41</v>
      </c>
      <c r="M12951">
        <v>38</v>
      </c>
      <c r="N12951">
        <v>0</v>
      </c>
      <c r="O12951">
        <v>38</v>
      </c>
      <c r="P12951">
        <v>0</v>
      </c>
    </row>
    <row r="12952" spans="1:16" x14ac:dyDescent="0.25">
      <c r="A12952" t="s">
        <v>35784</v>
      </c>
      <c r="B12952" t="s">
        <v>9430</v>
      </c>
      <c r="C12952" t="s">
        <v>9431</v>
      </c>
      <c r="D12952" t="str">
        <f>"2375"</f>
        <v>2375</v>
      </c>
      <c r="E12952" t="s">
        <v>7758</v>
      </c>
      <c r="F12952" t="s">
        <v>2068</v>
      </c>
      <c r="G12952" t="s">
        <v>46688</v>
      </c>
      <c r="H12952" t="s">
        <v>47071</v>
      </c>
      <c r="I12952" t="s">
        <v>48040</v>
      </c>
      <c r="J12952" t="s">
        <v>48041</v>
      </c>
      <c r="K12952" t="s">
        <v>47113</v>
      </c>
      <c r="L12952">
        <v>16.41</v>
      </c>
      <c r="M12952">
        <v>38</v>
      </c>
      <c r="N12952">
        <v>0</v>
      </c>
      <c r="O12952">
        <v>38</v>
      </c>
      <c r="P12952">
        <v>0</v>
      </c>
    </row>
    <row r="12953" spans="1:16" x14ac:dyDescent="0.25">
      <c r="A12953" t="s">
        <v>35785</v>
      </c>
      <c r="B12953" t="s">
        <v>9430</v>
      </c>
      <c r="C12953" t="s">
        <v>9431</v>
      </c>
      <c r="D12953" t="str">
        <f>"3525"</f>
        <v>3525</v>
      </c>
      <c r="E12953" t="s">
        <v>7751</v>
      </c>
      <c r="F12953" t="s">
        <v>2068</v>
      </c>
      <c r="G12953" t="s">
        <v>46688</v>
      </c>
      <c r="H12953" t="s">
        <v>47071</v>
      </c>
      <c r="I12953" t="s">
        <v>48040</v>
      </c>
      <c r="J12953" t="s">
        <v>48041</v>
      </c>
      <c r="K12953" t="s">
        <v>47113</v>
      </c>
      <c r="L12953">
        <v>16.41</v>
      </c>
      <c r="M12953">
        <v>38</v>
      </c>
      <c r="N12953">
        <v>0</v>
      </c>
      <c r="O12953">
        <v>38</v>
      </c>
      <c r="P12953">
        <v>0</v>
      </c>
    </row>
    <row r="12954" spans="1:16" x14ac:dyDescent="0.25">
      <c r="A12954" t="s">
        <v>35786</v>
      </c>
      <c r="B12954" t="s">
        <v>9430</v>
      </c>
      <c r="C12954" t="s">
        <v>9431</v>
      </c>
      <c r="D12954" t="str">
        <f>"4048"</f>
        <v>4048</v>
      </c>
      <c r="E12954" t="s">
        <v>710</v>
      </c>
      <c r="F12954" t="s">
        <v>2068</v>
      </c>
      <c r="G12954" t="s">
        <v>46688</v>
      </c>
      <c r="H12954" t="s">
        <v>47071</v>
      </c>
      <c r="I12954" t="s">
        <v>48040</v>
      </c>
      <c r="J12954" t="s">
        <v>48041</v>
      </c>
      <c r="K12954" t="s">
        <v>47113</v>
      </c>
      <c r="L12954">
        <v>16.41</v>
      </c>
      <c r="M12954">
        <v>38</v>
      </c>
      <c r="N12954">
        <v>0</v>
      </c>
      <c r="O12954">
        <v>38</v>
      </c>
      <c r="P12954">
        <v>0</v>
      </c>
    </row>
    <row r="12955" spans="1:16" x14ac:dyDescent="0.25">
      <c r="A12955" t="s">
        <v>35787</v>
      </c>
      <c r="B12955" t="s">
        <v>9430</v>
      </c>
      <c r="C12955" t="s">
        <v>9431</v>
      </c>
      <c r="D12955" t="str">
        <f>"6132"</f>
        <v>6132</v>
      </c>
      <c r="E12955" t="s">
        <v>9411</v>
      </c>
      <c r="F12955" t="s">
        <v>2068</v>
      </c>
      <c r="G12955" t="s">
        <v>46688</v>
      </c>
      <c r="H12955" t="s">
        <v>47071</v>
      </c>
      <c r="I12955" t="s">
        <v>48040</v>
      </c>
      <c r="J12955" t="s">
        <v>48041</v>
      </c>
      <c r="K12955" t="s">
        <v>47113</v>
      </c>
      <c r="L12955">
        <v>16.41</v>
      </c>
      <c r="M12955">
        <v>38</v>
      </c>
      <c r="N12955">
        <v>0</v>
      </c>
      <c r="O12955">
        <v>38</v>
      </c>
      <c r="P12955">
        <v>0</v>
      </c>
    </row>
    <row r="12956" spans="1:16" x14ac:dyDescent="0.25">
      <c r="A12956" t="s">
        <v>35788</v>
      </c>
      <c r="B12956" t="s">
        <v>9430</v>
      </c>
      <c r="C12956" t="s">
        <v>9431</v>
      </c>
      <c r="D12956" t="str">
        <f>"6475"</f>
        <v>6475</v>
      </c>
      <c r="E12956" t="s">
        <v>9399</v>
      </c>
      <c r="F12956" t="s">
        <v>2068</v>
      </c>
      <c r="G12956" t="s">
        <v>46688</v>
      </c>
      <c r="H12956" t="s">
        <v>47071</v>
      </c>
      <c r="I12956" t="s">
        <v>48040</v>
      </c>
      <c r="J12956" t="s">
        <v>48041</v>
      </c>
      <c r="K12956" t="s">
        <v>47113</v>
      </c>
      <c r="L12956">
        <v>16.41</v>
      </c>
      <c r="M12956">
        <v>38</v>
      </c>
      <c r="N12956">
        <v>0</v>
      </c>
      <c r="O12956">
        <v>38</v>
      </c>
      <c r="P12956">
        <v>0</v>
      </c>
    </row>
    <row r="12957" spans="1:16" x14ac:dyDescent="0.25">
      <c r="A12957" t="s">
        <v>35789</v>
      </c>
      <c r="B12957" t="s">
        <v>9430</v>
      </c>
      <c r="C12957" t="s">
        <v>9431</v>
      </c>
      <c r="D12957" t="str">
        <f>"7123"</f>
        <v>7123</v>
      </c>
      <c r="E12957" t="s">
        <v>9379</v>
      </c>
      <c r="F12957" t="s">
        <v>2068</v>
      </c>
      <c r="G12957" t="s">
        <v>46688</v>
      </c>
      <c r="H12957" t="s">
        <v>47071</v>
      </c>
      <c r="I12957" t="s">
        <v>48040</v>
      </c>
      <c r="J12957" t="s">
        <v>48041</v>
      </c>
      <c r="K12957" t="s">
        <v>47113</v>
      </c>
      <c r="L12957">
        <v>16.41</v>
      </c>
      <c r="M12957">
        <v>38</v>
      </c>
      <c r="N12957">
        <v>0</v>
      </c>
      <c r="O12957">
        <v>38</v>
      </c>
      <c r="P12957">
        <v>0</v>
      </c>
    </row>
    <row r="12958" spans="1:16" x14ac:dyDescent="0.25">
      <c r="A12958" t="s">
        <v>35790</v>
      </c>
      <c r="B12958" t="s">
        <v>9432</v>
      </c>
      <c r="C12958" t="s">
        <v>9433</v>
      </c>
      <c r="D12958" t="str">
        <f>"1001"</f>
        <v>1001</v>
      </c>
      <c r="E12958" t="s">
        <v>42</v>
      </c>
      <c r="F12958" t="s">
        <v>2068</v>
      </c>
      <c r="G12958" t="s">
        <v>47131</v>
      </c>
      <c r="H12958" t="s">
        <v>47071</v>
      </c>
      <c r="I12958" t="s">
        <v>48040</v>
      </c>
      <c r="J12958" t="s">
        <v>48041</v>
      </c>
      <c r="K12958" t="s">
        <v>47113</v>
      </c>
      <c r="L12958">
        <v>41.03</v>
      </c>
      <c r="M12958">
        <v>95</v>
      </c>
      <c r="N12958">
        <v>0</v>
      </c>
      <c r="O12958">
        <v>95</v>
      </c>
      <c r="P12958">
        <v>0</v>
      </c>
    </row>
    <row r="12959" spans="1:16" x14ac:dyDescent="0.25">
      <c r="A12959" t="s">
        <v>35791</v>
      </c>
      <c r="B12959" t="s">
        <v>9432</v>
      </c>
      <c r="C12959" t="s">
        <v>9433</v>
      </c>
      <c r="D12959" t="str">
        <f>"1468"</f>
        <v>1468</v>
      </c>
      <c r="E12959" t="s">
        <v>7761</v>
      </c>
      <c r="F12959" t="s">
        <v>2068</v>
      </c>
      <c r="G12959" t="s">
        <v>47131</v>
      </c>
      <c r="H12959" t="s">
        <v>47071</v>
      </c>
      <c r="I12959" t="s">
        <v>48040</v>
      </c>
      <c r="J12959" t="s">
        <v>48041</v>
      </c>
      <c r="K12959" t="s">
        <v>47113</v>
      </c>
      <c r="L12959">
        <v>41.03</v>
      </c>
      <c r="M12959">
        <v>95</v>
      </c>
      <c r="N12959">
        <v>0</v>
      </c>
      <c r="O12959">
        <v>95</v>
      </c>
      <c r="P12959">
        <v>0</v>
      </c>
    </row>
    <row r="12960" spans="1:16" x14ac:dyDescent="0.25">
      <c r="A12960" t="s">
        <v>35792</v>
      </c>
      <c r="B12960" t="s">
        <v>9432</v>
      </c>
      <c r="C12960" t="s">
        <v>9433</v>
      </c>
      <c r="D12960" t="str">
        <f>"1704"</f>
        <v>1704</v>
      </c>
      <c r="E12960" t="s">
        <v>7181</v>
      </c>
      <c r="F12960" t="s">
        <v>2068</v>
      </c>
      <c r="G12960" t="s">
        <v>47131</v>
      </c>
      <c r="H12960" t="s">
        <v>47071</v>
      </c>
      <c r="I12960" t="s">
        <v>48040</v>
      </c>
      <c r="J12960" t="s">
        <v>48041</v>
      </c>
      <c r="K12960" t="s">
        <v>47113</v>
      </c>
      <c r="L12960">
        <v>41.03</v>
      </c>
      <c r="M12960">
        <v>95</v>
      </c>
      <c r="N12960">
        <v>0</v>
      </c>
      <c r="O12960">
        <v>95</v>
      </c>
      <c r="P12960">
        <v>0</v>
      </c>
    </row>
    <row r="12961" spans="1:16" x14ac:dyDescent="0.25">
      <c r="A12961" t="s">
        <v>35793</v>
      </c>
      <c r="B12961" t="s">
        <v>9432</v>
      </c>
      <c r="C12961" t="s">
        <v>9433</v>
      </c>
      <c r="D12961" t="str">
        <f>"2375"</f>
        <v>2375</v>
      </c>
      <c r="E12961" t="s">
        <v>7758</v>
      </c>
      <c r="F12961" t="s">
        <v>2068</v>
      </c>
      <c r="G12961" t="s">
        <v>47131</v>
      </c>
      <c r="H12961" t="s">
        <v>47071</v>
      </c>
      <c r="I12961" t="s">
        <v>48040</v>
      </c>
      <c r="J12961" t="s">
        <v>48041</v>
      </c>
      <c r="K12961" t="s">
        <v>47113</v>
      </c>
      <c r="L12961">
        <v>41.03</v>
      </c>
      <c r="M12961">
        <v>95</v>
      </c>
      <c r="N12961">
        <v>0</v>
      </c>
      <c r="O12961">
        <v>95</v>
      </c>
      <c r="P12961">
        <v>0</v>
      </c>
    </row>
    <row r="12962" spans="1:16" x14ac:dyDescent="0.25">
      <c r="A12962" t="s">
        <v>35794</v>
      </c>
      <c r="B12962" t="s">
        <v>9432</v>
      </c>
      <c r="C12962" t="s">
        <v>9433</v>
      </c>
      <c r="D12962" t="str">
        <f>"3525"</f>
        <v>3525</v>
      </c>
      <c r="E12962" t="s">
        <v>7751</v>
      </c>
      <c r="F12962" t="s">
        <v>2068</v>
      </c>
      <c r="G12962" t="s">
        <v>47131</v>
      </c>
      <c r="H12962" t="s">
        <v>47071</v>
      </c>
      <c r="I12962" t="s">
        <v>48040</v>
      </c>
      <c r="J12962" t="s">
        <v>48041</v>
      </c>
      <c r="K12962" t="s">
        <v>47113</v>
      </c>
      <c r="L12962">
        <v>41.03</v>
      </c>
      <c r="M12962">
        <v>95</v>
      </c>
      <c r="N12962">
        <v>0</v>
      </c>
      <c r="O12962">
        <v>95</v>
      </c>
      <c r="P12962">
        <v>0</v>
      </c>
    </row>
    <row r="12963" spans="1:16" x14ac:dyDescent="0.25">
      <c r="A12963" t="s">
        <v>35795</v>
      </c>
      <c r="B12963" t="s">
        <v>9432</v>
      </c>
      <c r="C12963" t="s">
        <v>9433</v>
      </c>
      <c r="D12963" t="str">
        <f>"4048"</f>
        <v>4048</v>
      </c>
      <c r="E12963" t="s">
        <v>710</v>
      </c>
      <c r="F12963" t="s">
        <v>2068</v>
      </c>
      <c r="G12963" t="s">
        <v>47131</v>
      </c>
      <c r="H12963" t="s">
        <v>47071</v>
      </c>
      <c r="I12963" t="s">
        <v>48040</v>
      </c>
      <c r="J12963" t="s">
        <v>48041</v>
      </c>
      <c r="K12963" t="s">
        <v>47113</v>
      </c>
      <c r="L12963">
        <v>41.03</v>
      </c>
      <c r="M12963">
        <v>95</v>
      </c>
      <c r="N12963">
        <v>0</v>
      </c>
      <c r="O12963">
        <v>95</v>
      </c>
      <c r="P12963">
        <v>0</v>
      </c>
    </row>
    <row r="12964" spans="1:16" x14ac:dyDescent="0.25">
      <c r="A12964" t="s">
        <v>35796</v>
      </c>
      <c r="B12964" t="s">
        <v>9432</v>
      </c>
      <c r="C12964" t="s">
        <v>9433</v>
      </c>
      <c r="D12964" t="str">
        <f>"6132"</f>
        <v>6132</v>
      </c>
      <c r="E12964" t="s">
        <v>9411</v>
      </c>
      <c r="F12964" t="s">
        <v>2068</v>
      </c>
      <c r="G12964" t="s">
        <v>47131</v>
      </c>
      <c r="H12964" t="s">
        <v>47071</v>
      </c>
      <c r="I12964" t="s">
        <v>48040</v>
      </c>
      <c r="J12964" t="s">
        <v>48041</v>
      </c>
      <c r="K12964" t="s">
        <v>47113</v>
      </c>
      <c r="L12964">
        <v>41.03</v>
      </c>
      <c r="M12964">
        <v>95</v>
      </c>
      <c r="N12964">
        <v>0</v>
      </c>
      <c r="O12964">
        <v>95</v>
      </c>
      <c r="P12964">
        <v>0</v>
      </c>
    </row>
    <row r="12965" spans="1:16" x14ac:dyDescent="0.25">
      <c r="A12965" t="s">
        <v>35797</v>
      </c>
      <c r="B12965" t="s">
        <v>9432</v>
      </c>
      <c r="C12965" t="s">
        <v>9433</v>
      </c>
      <c r="D12965" t="str">
        <f>"6475"</f>
        <v>6475</v>
      </c>
      <c r="E12965" t="s">
        <v>9399</v>
      </c>
      <c r="F12965" t="s">
        <v>2068</v>
      </c>
      <c r="G12965" t="s">
        <v>47131</v>
      </c>
      <c r="H12965" t="s">
        <v>47071</v>
      </c>
      <c r="I12965" t="s">
        <v>48040</v>
      </c>
      <c r="J12965" t="s">
        <v>48041</v>
      </c>
      <c r="K12965" t="s">
        <v>47113</v>
      </c>
      <c r="L12965">
        <v>41.03</v>
      </c>
      <c r="M12965">
        <v>95</v>
      </c>
      <c r="N12965">
        <v>0</v>
      </c>
      <c r="O12965">
        <v>95</v>
      </c>
      <c r="P12965">
        <v>0</v>
      </c>
    </row>
    <row r="12966" spans="1:16" x14ac:dyDescent="0.25">
      <c r="A12966" t="s">
        <v>35798</v>
      </c>
      <c r="B12966" t="s">
        <v>9432</v>
      </c>
      <c r="C12966" t="s">
        <v>9433</v>
      </c>
      <c r="D12966" t="str">
        <f>"7123"</f>
        <v>7123</v>
      </c>
      <c r="E12966" t="s">
        <v>9379</v>
      </c>
      <c r="F12966" t="s">
        <v>2068</v>
      </c>
      <c r="G12966" t="s">
        <v>47131</v>
      </c>
      <c r="H12966" t="s">
        <v>47071</v>
      </c>
      <c r="I12966" t="s">
        <v>48040</v>
      </c>
      <c r="J12966" t="s">
        <v>48041</v>
      </c>
      <c r="K12966" t="s">
        <v>47113</v>
      </c>
      <c r="L12966">
        <v>41.03</v>
      </c>
      <c r="M12966">
        <v>95</v>
      </c>
      <c r="N12966">
        <v>0</v>
      </c>
      <c r="O12966">
        <v>95</v>
      </c>
      <c r="P12966">
        <v>0</v>
      </c>
    </row>
    <row r="12967" spans="1:16" x14ac:dyDescent="0.25">
      <c r="A12967" t="s">
        <v>35799</v>
      </c>
      <c r="B12967" t="s">
        <v>9434</v>
      </c>
      <c r="C12967" t="s">
        <v>9435</v>
      </c>
      <c r="D12967" t="str">
        <f>"1001"</f>
        <v>1001</v>
      </c>
      <c r="E12967" t="s">
        <v>42</v>
      </c>
      <c r="F12967" t="s">
        <v>2068</v>
      </c>
      <c r="G12967" t="s">
        <v>46688</v>
      </c>
      <c r="H12967" t="s">
        <v>47071</v>
      </c>
      <c r="I12967" t="s">
        <v>48040</v>
      </c>
      <c r="J12967" t="s">
        <v>48041</v>
      </c>
      <c r="K12967" t="s">
        <v>47113</v>
      </c>
      <c r="L12967">
        <v>16.41</v>
      </c>
      <c r="M12967">
        <v>38</v>
      </c>
      <c r="N12967">
        <v>0</v>
      </c>
      <c r="O12967">
        <v>38</v>
      </c>
      <c r="P12967">
        <v>0</v>
      </c>
    </row>
    <row r="12968" spans="1:16" x14ac:dyDescent="0.25">
      <c r="A12968" t="s">
        <v>35800</v>
      </c>
      <c r="B12968" t="s">
        <v>9434</v>
      </c>
      <c r="C12968" t="s">
        <v>9435</v>
      </c>
      <c r="D12968" t="str">
        <f>"1468"</f>
        <v>1468</v>
      </c>
      <c r="E12968" t="s">
        <v>7761</v>
      </c>
      <c r="F12968" t="s">
        <v>2068</v>
      </c>
      <c r="G12968" t="s">
        <v>46688</v>
      </c>
      <c r="H12968" t="s">
        <v>47071</v>
      </c>
      <c r="I12968" t="s">
        <v>48040</v>
      </c>
      <c r="J12968" t="s">
        <v>48041</v>
      </c>
      <c r="K12968" t="s">
        <v>47113</v>
      </c>
      <c r="L12968">
        <v>16.41</v>
      </c>
      <c r="M12968">
        <v>38</v>
      </c>
      <c r="N12968">
        <v>0</v>
      </c>
      <c r="O12968">
        <v>38</v>
      </c>
      <c r="P12968">
        <v>0</v>
      </c>
    </row>
    <row r="12969" spans="1:16" x14ac:dyDescent="0.25">
      <c r="A12969" t="s">
        <v>35801</v>
      </c>
      <c r="B12969" t="s">
        <v>9434</v>
      </c>
      <c r="C12969" t="s">
        <v>9435</v>
      </c>
      <c r="D12969" t="str">
        <f>"3525"</f>
        <v>3525</v>
      </c>
      <c r="E12969" t="s">
        <v>7751</v>
      </c>
      <c r="F12969" t="s">
        <v>2068</v>
      </c>
      <c r="G12969" t="s">
        <v>46688</v>
      </c>
      <c r="H12969" t="s">
        <v>47071</v>
      </c>
      <c r="I12969" t="s">
        <v>48040</v>
      </c>
      <c r="J12969" t="s">
        <v>48041</v>
      </c>
      <c r="K12969" t="s">
        <v>47113</v>
      </c>
      <c r="L12969">
        <v>16.41</v>
      </c>
      <c r="M12969">
        <v>38</v>
      </c>
      <c r="N12969">
        <v>0</v>
      </c>
      <c r="O12969">
        <v>38</v>
      </c>
      <c r="P12969">
        <v>0</v>
      </c>
    </row>
    <row r="12970" spans="1:16" x14ac:dyDescent="0.25">
      <c r="A12970" t="s">
        <v>35802</v>
      </c>
      <c r="B12970" t="s">
        <v>9434</v>
      </c>
      <c r="C12970" t="s">
        <v>9435</v>
      </c>
      <c r="D12970" t="str">
        <f>"4048"</f>
        <v>4048</v>
      </c>
      <c r="E12970" t="s">
        <v>710</v>
      </c>
      <c r="F12970" t="s">
        <v>2068</v>
      </c>
      <c r="G12970" t="s">
        <v>46688</v>
      </c>
      <c r="H12970" t="s">
        <v>47071</v>
      </c>
      <c r="I12970" t="s">
        <v>48040</v>
      </c>
      <c r="J12970" t="s">
        <v>48041</v>
      </c>
      <c r="K12970" t="s">
        <v>47113</v>
      </c>
      <c r="L12970">
        <v>16.41</v>
      </c>
      <c r="M12970">
        <v>38</v>
      </c>
      <c r="N12970">
        <v>0</v>
      </c>
      <c r="O12970">
        <v>38</v>
      </c>
      <c r="P12970">
        <v>0</v>
      </c>
    </row>
    <row r="12971" spans="1:16" x14ac:dyDescent="0.25">
      <c r="A12971" t="s">
        <v>35803</v>
      </c>
      <c r="B12971" t="s">
        <v>9434</v>
      </c>
      <c r="C12971" t="s">
        <v>9435</v>
      </c>
      <c r="D12971" t="str">
        <f>"6132"</f>
        <v>6132</v>
      </c>
      <c r="E12971" t="s">
        <v>9411</v>
      </c>
      <c r="F12971" t="s">
        <v>2068</v>
      </c>
      <c r="G12971" t="s">
        <v>46688</v>
      </c>
      <c r="H12971" t="s">
        <v>47071</v>
      </c>
      <c r="I12971" t="s">
        <v>48040</v>
      </c>
      <c r="J12971" t="s">
        <v>48041</v>
      </c>
      <c r="K12971" t="s">
        <v>47113</v>
      </c>
      <c r="L12971">
        <v>16.41</v>
      </c>
      <c r="M12971">
        <v>38</v>
      </c>
      <c r="N12971">
        <v>0</v>
      </c>
      <c r="O12971">
        <v>38</v>
      </c>
      <c r="P12971">
        <v>0</v>
      </c>
    </row>
    <row r="12972" spans="1:16" x14ac:dyDescent="0.25">
      <c r="A12972" t="s">
        <v>35804</v>
      </c>
      <c r="B12972" t="s">
        <v>9434</v>
      </c>
      <c r="C12972" t="s">
        <v>9435</v>
      </c>
      <c r="D12972" t="str">
        <f>"6475"</f>
        <v>6475</v>
      </c>
      <c r="E12972" t="s">
        <v>9399</v>
      </c>
      <c r="F12972" t="s">
        <v>2068</v>
      </c>
      <c r="G12972" t="s">
        <v>46688</v>
      </c>
      <c r="H12972" t="s">
        <v>47071</v>
      </c>
      <c r="I12972" t="s">
        <v>48040</v>
      </c>
      <c r="J12972" t="s">
        <v>48041</v>
      </c>
      <c r="K12972" t="s">
        <v>47113</v>
      </c>
      <c r="L12972">
        <v>16.41</v>
      </c>
      <c r="M12972">
        <v>38</v>
      </c>
      <c r="N12972">
        <v>0</v>
      </c>
      <c r="O12972">
        <v>38</v>
      </c>
      <c r="P12972">
        <v>0</v>
      </c>
    </row>
    <row r="12973" spans="1:16" x14ac:dyDescent="0.25">
      <c r="A12973" t="s">
        <v>35805</v>
      </c>
      <c r="B12973" t="s">
        <v>9436</v>
      </c>
      <c r="C12973" t="s">
        <v>9437</v>
      </c>
      <c r="D12973" t="str">
        <f>"1001"</f>
        <v>1001</v>
      </c>
      <c r="E12973" t="s">
        <v>42</v>
      </c>
      <c r="F12973" t="s">
        <v>2068</v>
      </c>
      <c r="G12973" t="s">
        <v>46688</v>
      </c>
      <c r="H12973" t="s">
        <v>47071</v>
      </c>
      <c r="I12973" t="s">
        <v>48040</v>
      </c>
      <c r="J12973" t="s">
        <v>48041</v>
      </c>
      <c r="K12973" t="s">
        <v>47113</v>
      </c>
      <c r="L12973">
        <v>16.41</v>
      </c>
      <c r="M12973">
        <v>38</v>
      </c>
      <c r="N12973">
        <v>0</v>
      </c>
      <c r="O12973">
        <v>38</v>
      </c>
      <c r="P12973">
        <v>0</v>
      </c>
    </row>
    <row r="12974" spans="1:16" x14ac:dyDescent="0.25">
      <c r="A12974" t="s">
        <v>35806</v>
      </c>
      <c r="B12974" t="s">
        <v>9436</v>
      </c>
      <c r="C12974" t="s">
        <v>9437</v>
      </c>
      <c r="D12974" t="str">
        <f>"1081"</f>
        <v>1081</v>
      </c>
      <c r="E12974" t="s">
        <v>18023</v>
      </c>
      <c r="F12974" t="s">
        <v>15183</v>
      </c>
      <c r="G12974" t="s">
        <v>46688</v>
      </c>
      <c r="H12974" t="s">
        <v>47071</v>
      </c>
      <c r="I12974" t="s">
        <v>48040</v>
      </c>
      <c r="J12974" t="s">
        <v>48041</v>
      </c>
      <c r="K12974" t="s">
        <v>47113</v>
      </c>
      <c r="L12974">
        <v>17.989999999999998</v>
      </c>
      <c r="M12974">
        <v>38</v>
      </c>
      <c r="N12974">
        <v>0</v>
      </c>
      <c r="O12974">
        <v>38</v>
      </c>
      <c r="P12974">
        <v>0</v>
      </c>
    </row>
    <row r="12975" spans="1:16" x14ac:dyDescent="0.25">
      <c r="A12975" t="s">
        <v>35807</v>
      </c>
      <c r="B12975" t="s">
        <v>9436</v>
      </c>
      <c r="C12975" t="s">
        <v>9437</v>
      </c>
      <c r="D12975" t="str">
        <f>"1462"</f>
        <v>1462</v>
      </c>
      <c r="E12975" t="s">
        <v>9410</v>
      </c>
      <c r="F12975" t="s">
        <v>2068</v>
      </c>
      <c r="G12975" t="s">
        <v>46688</v>
      </c>
      <c r="H12975" t="s">
        <v>47071</v>
      </c>
      <c r="I12975" t="s">
        <v>48040</v>
      </c>
      <c r="J12975" t="s">
        <v>48041</v>
      </c>
      <c r="K12975" t="s">
        <v>47113</v>
      </c>
      <c r="L12975">
        <v>16.41</v>
      </c>
      <c r="M12975">
        <v>38</v>
      </c>
      <c r="N12975">
        <v>0</v>
      </c>
      <c r="O12975">
        <v>38</v>
      </c>
      <c r="P12975">
        <v>0</v>
      </c>
    </row>
    <row r="12976" spans="1:16" x14ac:dyDescent="0.25">
      <c r="A12976" t="s">
        <v>35808</v>
      </c>
      <c r="B12976" t="s">
        <v>9436</v>
      </c>
      <c r="C12976" t="s">
        <v>9437</v>
      </c>
      <c r="D12976" t="str">
        <f>"1477"</f>
        <v>1477</v>
      </c>
      <c r="E12976" t="s">
        <v>9438</v>
      </c>
      <c r="F12976" t="s">
        <v>2068</v>
      </c>
      <c r="G12976" t="s">
        <v>46688</v>
      </c>
      <c r="H12976" t="s">
        <v>47071</v>
      </c>
      <c r="I12976" t="s">
        <v>48040</v>
      </c>
      <c r="J12976" t="s">
        <v>48041</v>
      </c>
      <c r="K12976" t="s">
        <v>47113</v>
      </c>
      <c r="L12976">
        <v>16.41</v>
      </c>
      <c r="M12976">
        <v>38</v>
      </c>
      <c r="N12976">
        <v>0</v>
      </c>
      <c r="O12976">
        <v>38</v>
      </c>
      <c r="P12976">
        <v>0</v>
      </c>
    </row>
    <row r="12977" spans="1:16" x14ac:dyDescent="0.25">
      <c r="A12977" t="s">
        <v>35809</v>
      </c>
      <c r="B12977" t="s">
        <v>9436</v>
      </c>
      <c r="C12977" t="s">
        <v>9437</v>
      </c>
      <c r="D12977" t="str">
        <f>"1700"</f>
        <v>1700</v>
      </c>
      <c r="E12977" t="s">
        <v>60</v>
      </c>
      <c r="F12977" t="s">
        <v>2068</v>
      </c>
      <c r="G12977" t="s">
        <v>46688</v>
      </c>
      <c r="H12977" t="s">
        <v>47071</v>
      </c>
      <c r="I12977" t="s">
        <v>48040</v>
      </c>
      <c r="J12977" t="s">
        <v>48041</v>
      </c>
      <c r="K12977" t="s">
        <v>47113</v>
      </c>
      <c r="L12977">
        <v>16.41</v>
      </c>
      <c r="M12977">
        <v>38</v>
      </c>
      <c r="N12977">
        <v>0</v>
      </c>
      <c r="O12977">
        <v>38</v>
      </c>
      <c r="P12977">
        <v>0</v>
      </c>
    </row>
    <row r="12978" spans="1:16" x14ac:dyDescent="0.25">
      <c r="A12978" t="s">
        <v>35810</v>
      </c>
      <c r="B12978" t="s">
        <v>9436</v>
      </c>
      <c r="C12978" t="s">
        <v>9437</v>
      </c>
      <c r="D12978" t="str">
        <f>"2375"</f>
        <v>2375</v>
      </c>
      <c r="E12978" t="s">
        <v>7758</v>
      </c>
      <c r="F12978" t="s">
        <v>2068</v>
      </c>
      <c r="G12978" t="s">
        <v>46688</v>
      </c>
      <c r="H12978" t="s">
        <v>47071</v>
      </c>
      <c r="I12978" t="s">
        <v>48040</v>
      </c>
      <c r="J12978" t="s">
        <v>48041</v>
      </c>
      <c r="K12978" t="s">
        <v>47113</v>
      </c>
      <c r="L12978">
        <v>16.41</v>
      </c>
      <c r="M12978">
        <v>38</v>
      </c>
      <c r="N12978">
        <v>0</v>
      </c>
      <c r="O12978">
        <v>38</v>
      </c>
      <c r="P12978">
        <v>0</v>
      </c>
    </row>
    <row r="12979" spans="1:16" x14ac:dyDescent="0.25">
      <c r="A12979" t="s">
        <v>35811</v>
      </c>
      <c r="B12979" t="s">
        <v>9436</v>
      </c>
      <c r="C12979" t="s">
        <v>9437</v>
      </c>
      <c r="D12979" t="str">
        <f>"2377"</f>
        <v>2377</v>
      </c>
      <c r="E12979" t="s">
        <v>9439</v>
      </c>
      <c r="F12979" t="s">
        <v>2068</v>
      </c>
      <c r="G12979" t="s">
        <v>46688</v>
      </c>
      <c r="H12979" t="s">
        <v>47071</v>
      </c>
      <c r="I12979" t="s">
        <v>48040</v>
      </c>
      <c r="J12979" t="s">
        <v>48041</v>
      </c>
      <c r="K12979" t="s">
        <v>47113</v>
      </c>
      <c r="L12979">
        <v>16.41</v>
      </c>
      <c r="M12979">
        <v>38</v>
      </c>
      <c r="N12979">
        <v>0</v>
      </c>
      <c r="O12979">
        <v>38</v>
      </c>
      <c r="P12979">
        <v>0</v>
      </c>
    </row>
    <row r="12980" spans="1:16" x14ac:dyDescent="0.25">
      <c r="A12980" t="s">
        <v>35812</v>
      </c>
      <c r="B12980" t="s">
        <v>9436</v>
      </c>
      <c r="C12980" t="s">
        <v>9437</v>
      </c>
      <c r="D12980" t="str">
        <f>"3525"</f>
        <v>3525</v>
      </c>
      <c r="E12980" t="s">
        <v>7751</v>
      </c>
      <c r="F12980" t="s">
        <v>2068</v>
      </c>
      <c r="G12980" t="s">
        <v>46688</v>
      </c>
      <c r="H12980" t="s">
        <v>47071</v>
      </c>
      <c r="I12980" t="s">
        <v>48040</v>
      </c>
      <c r="J12980" t="s">
        <v>48041</v>
      </c>
      <c r="K12980" t="s">
        <v>47113</v>
      </c>
      <c r="L12980">
        <v>16.41</v>
      </c>
      <c r="M12980">
        <v>38</v>
      </c>
      <c r="N12980">
        <v>0</v>
      </c>
      <c r="O12980">
        <v>38</v>
      </c>
      <c r="P12980">
        <v>0</v>
      </c>
    </row>
    <row r="12981" spans="1:16" x14ac:dyDescent="0.25">
      <c r="A12981" t="s">
        <v>35813</v>
      </c>
      <c r="B12981" t="s">
        <v>9436</v>
      </c>
      <c r="C12981" t="s">
        <v>9437</v>
      </c>
      <c r="D12981" t="str">
        <f>"4048"</f>
        <v>4048</v>
      </c>
      <c r="E12981" t="s">
        <v>710</v>
      </c>
      <c r="F12981" t="s">
        <v>2068</v>
      </c>
      <c r="G12981" t="s">
        <v>46688</v>
      </c>
      <c r="H12981" t="s">
        <v>47071</v>
      </c>
      <c r="I12981" t="s">
        <v>48040</v>
      </c>
      <c r="J12981" t="s">
        <v>48041</v>
      </c>
      <c r="K12981" t="s">
        <v>47113</v>
      </c>
      <c r="L12981">
        <v>16.41</v>
      </c>
      <c r="M12981">
        <v>38</v>
      </c>
      <c r="N12981">
        <v>0</v>
      </c>
      <c r="O12981">
        <v>38</v>
      </c>
      <c r="P12981">
        <v>0</v>
      </c>
    </row>
    <row r="12982" spans="1:16" x14ac:dyDescent="0.25">
      <c r="A12982" t="s">
        <v>35814</v>
      </c>
      <c r="B12982" t="s">
        <v>9436</v>
      </c>
      <c r="C12982" t="s">
        <v>9437</v>
      </c>
      <c r="D12982" t="str">
        <f>"6475"</f>
        <v>6475</v>
      </c>
      <c r="E12982" t="s">
        <v>9399</v>
      </c>
      <c r="F12982" t="s">
        <v>2068</v>
      </c>
      <c r="G12982" t="s">
        <v>46688</v>
      </c>
      <c r="H12982" t="s">
        <v>47071</v>
      </c>
      <c r="I12982" t="s">
        <v>48040</v>
      </c>
      <c r="J12982" t="s">
        <v>48041</v>
      </c>
      <c r="K12982" t="s">
        <v>47113</v>
      </c>
      <c r="L12982">
        <v>16.41</v>
      </c>
      <c r="M12982">
        <v>38</v>
      </c>
      <c r="N12982">
        <v>0</v>
      </c>
      <c r="O12982">
        <v>38</v>
      </c>
      <c r="P12982">
        <v>0</v>
      </c>
    </row>
    <row r="12983" spans="1:16" x14ac:dyDescent="0.25">
      <c r="A12983" t="s">
        <v>35815</v>
      </c>
      <c r="B12983" t="s">
        <v>9436</v>
      </c>
      <c r="C12983" t="s">
        <v>9437</v>
      </c>
      <c r="D12983" t="str">
        <f>"8411"</f>
        <v>8411</v>
      </c>
      <c r="E12983" t="s">
        <v>7748</v>
      </c>
      <c r="F12983" t="s">
        <v>2068</v>
      </c>
      <c r="G12983" t="s">
        <v>46688</v>
      </c>
      <c r="H12983" t="s">
        <v>47071</v>
      </c>
      <c r="I12983" t="s">
        <v>48040</v>
      </c>
      <c r="J12983" t="s">
        <v>48041</v>
      </c>
      <c r="K12983" t="s">
        <v>47113</v>
      </c>
      <c r="L12983">
        <v>16.41</v>
      </c>
      <c r="M12983">
        <v>38</v>
      </c>
      <c r="N12983">
        <v>0</v>
      </c>
      <c r="O12983">
        <v>38</v>
      </c>
      <c r="P12983">
        <v>0</v>
      </c>
    </row>
    <row r="12984" spans="1:16" x14ac:dyDescent="0.25">
      <c r="A12984" t="s">
        <v>35816</v>
      </c>
      <c r="B12984" t="s">
        <v>9436</v>
      </c>
      <c r="C12984" t="s">
        <v>9437</v>
      </c>
      <c r="D12984" t="str">
        <f>"8413"</f>
        <v>8413</v>
      </c>
      <c r="E12984" t="s">
        <v>2313</v>
      </c>
      <c r="F12984" t="s">
        <v>2068</v>
      </c>
      <c r="G12984" t="s">
        <v>46688</v>
      </c>
      <c r="H12984" t="s">
        <v>47071</v>
      </c>
      <c r="I12984" t="s">
        <v>48040</v>
      </c>
      <c r="J12984" t="s">
        <v>48041</v>
      </c>
      <c r="K12984" t="s">
        <v>47113</v>
      </c>
      <c r="L12984">
        <v>16.41</v>
      </c>
      <c r="M12984">
        <v>38</v>
      </c>
      <c r="N12984">
        <v>0</v>
      </c>
      <c r="O12984">
        <v>38</v>
      </c>
      <c r="P12984">
        <v>0</v>
      </c>
    </row>
    <row r="12985" spans="1:16" x14ac:dyDescent="0.25">
      <c r="A12985" t="s">
        <v>35817</v>
      </c>
      <c r="B12985" t="s">
        <v>9436</v>
      </c>
      <c r="C12985" t="s">
        <v>9437</v>
      </c>
      <c r="D12985" t="str">
        <f>"8416"</f>
        <v>8416</v>
      </c>
      <c r="E12985" t="s">
        <v>9386</v>
      </c>
      <c r="F12985" t="s">
        <v>2068</v>
      </c>
      <c r="G12985" t="s">
        <v>46688</v>
      </c>
      <c r="H12985" t="s">
        <v>47071</v>
      </c>
      <c r="I12985" t="s">
        <v>48040</v>
      </c>
      <c r="J12985" t="s">
        <v>48041</v>
      </c>
      <c r="K12985" t="s">
        <v>47113</v>
      </c>
      <c r="L12985">
        <v>16.41</v>
      </c>
      <c r="M12985">
        <v>38</v>
      </c>
      <c r="N12985">
        <v>0</v>
      </c>
      <c r="O12985">
        <v>38</v>
      </c>
      <c r="P12985">
        <v>0</v>
      </c>
    </row>
    <row r="12986" spans="1:16" x14ac:dyDescent="0.25">
      <c r="A12986" t="s">
        <v>35818</v>
      </c>
      <c r="B12986" t="s">
        <v>9440</v>
      </c>
      <c r="C12986" t="s">
        <v>9441</v>
      </c>
      <c r="D12986" t="str">
        <f>"1001"</f>
        <v>1001</v>
      </c>
      <c r="E12986" t="s">
        <v>42</v>
      </c>
      <c r="F12986" t="s">
        <v>2068</v>
      </c>
      <c r="G12986" t="s">
        <v>46688</v>
      </c>
      <c r="H12986" t="s">
        <v>47071</v>
      </c>
      <c r="I12986" t="s">
        <v>48040</v>
      </c>
      <c r="J12986" t="s">
        <v>48041</v>
      </c>
      <c r="K12986" t="s">
        <v>47113</v>
      </c>
      <c r="L12986">
        <v>13.68</v>
      </c>
      <c r="M12986">
        <v>32</v>
      </c>
      <c r="N12986">
        <v>0</v>
      </c>
      <c r="O12986">
        <v>32</v>
      </c>
      <c r="P12986">
        <v>0</v>
      </c>
    </row>
    <row r="12987" spans="1:16" x14ac:dyDescent="0.25">
      <c r="A12987" t="s">
        <v>35819</v>
      </c>
      <c r="B12987" t="s">
        <v>9440</v>
      </c>
      <c r="C12987" t="s">
        <v>9441</v>
      </c>
      <c r="D12987" t="str">
        <f>"1468"</f>
        <v>1468</v>
      </c>
      <c r="E12987" t="s">
        <v>7761</v>
      </c>
      <c r="F12987" t="s">
        <v>2068</v>
      </c>
      <c r="G12987" t="s">
        <v>46688</v>
      </c>
      <c r="H12987" t="s">
        <v>47071</v>
      </c>
      <c r="I12987" t="s">
        <v>48040</v>
      </c>
      <c r="J12987" t="s">
        <v>48041</v>
      </c>
      <c r="K12987" t="s">
        <v>47113</v>
      </c>
      <c r="L12987">
        <v>13.68</v>
      </c>
      <c r="M12987">
        <v>32</v>
      </c>
      <c r="N12987">
        <v>0</v>
      </c>
      <c r="O12987">
        <v>32</v>
      </c>
      <c r="P12987">
        <v>0</v>
      </c>
    </row>
    <row r="12988" spans="1:16" x14ac:dyDescent="0.25">
      <c r="A12988" t="s">
        <v>35820</v>
      </c>
      <c r="B12988" t="s">
        <v>9440</v>
      </c>
      <c r="C12988" t="s">
        <v>9441</v>
      </c>
      <c r="D12988" t="str">
        <f>"1704"</f>
        <v>1704</v>
      </c>
      <c r="E12988" t="s">
        <v>7181</v>
      </c>
      <c r="F12988" t="s">
        <v>2068</v>
      </c>
      <c r="G12988" t="s">
        <v>46688</v>
      </c>
      <c r="H12988" t="s">
        <v>47071</v>
      </c>
      <c r="I12988" t="s">
        <v>48040</v>
      </c>
      <c r="J12988" t="s">
        <v>48041</v>
      </c>
      <c r="K12988" t="s">
        <v>47113</v>
      </c>
      <c r="L12988">
        <v>13.68</v>
      </c>
      <c r="M12988">
        <v>32</v>
      </c>
      <c r="N12988">
        <v>0</v>
      </c>
      <c r="O12988">
        <v>32</v>
      </c>
      <c r="P12988">
        <v>0</v>
      </c>
    </row>
    <row r="12989" spans="1:16" x14ac:dyDescent="0.25">
      <c r="A12989" t="s">
        <v>35821</v>
      </c>
      <c r="B12989" t="s">
        <v>9440</v>
      </c>
      <c r="C12989" t="s">
        <v>9441</v>
      </c>
      <c r="D12989" t="str">
        <f>"2375"</f>
        <v>2375</v>
      </c>
      <c r="E12989" t="s">
        <v>7758</v>
      </c>
      <c r="F12989" t="s">
        <v>2068</v>
      </c>
      <c r="G12989" t="s">
        <v>46688</v>
      </c>
      <c r="H12989" t="s">
        <v>47071</v>
      </c>
      <c r="I12989" t="s">
        <v>48040</v>
      </c>
      <c r="J12989" t="s">
        <v>48041</v>
      </c>
      <c r="K12989" t="s">
        <v>47113</v>
      </c>
      <c r="L12989">
        <v>13.68</v>
      </c>
      <c r="M12989">
        <v>32</v>
      </c>
      <c r="N12989">
        <v>0</v>
      </c>
      <c r="O12989">
        <v>32</v>
      </c>
      <c r="P12989">
        <v>0</v>
      </c>
    </row>
    <row r="12990" spans="1:16" x14ac:dyDescent="0.25">
      <c r="A12990" t="s">
        <v>35822</v>
      </c>
      <c r="B12990" t="s">
        <v>9440</v>
      </c>
      <c r="C12990" t="s">
        <v>9441</v>
      </c>
      <c r="D12990" t="str">
        <f>"3525"</f>
        <v>3525</v>
      </c>
      <c r="E12990" t="s">
        <v>7751</v>
      </c>
      <c r="F12990" t="s">
        <v>2068</v>
      </c>
      <c r="G12990" t="s">
        <v>46688</v>
      </c>
      <c r="H12990" t="s">
        <v>47071</v>
      </c>
      <c r="I12990" t="s">
        <v>48040</v>
      </c>
      <c r="J12990" t="s">
        <v>48041</v>
      </c>
      <c r="K12990" t="s">
        <v>47113</v>
      </c>
      <c r="L12990">
        <v>13.68</v>
      </c>
      <c r="M12990">
        <v>32</v>
      </c>
      <c r="N12990">
        <v>0</v>
      </c>
      <c r="O12990">
        <v>32</v>
      </c>
      <c r="P12990">
        <v>0</v>
      </c>
    </row>
    <row r="12991" spans="1:16" x14ac:dyDescent="0.25">
      <c r="A12991" t="s">
        <v>35823</v>
      </c>
      <c r="B12991" t="s">
        <v>9440</v>
      </c>
      <c r="C12991" t="s">
        <v>9441</v>
      </c>
      <c r="D12991" t="str">
        <f>"4048"</f>
        <v>4048</v>
      </c>
      <c r="E12991" t="s">
        <v>710</v>
      </c>
      <c r="F12991" t="s">
        <v>2068</v>
      </c>
      <c r="G12991" t="s">
        <v>46688</v>
      </c>
      <c r="H12991" t="s">
        <v>47071</v>
      </c>
      <c r="I12991" t="s">
        <v>48040</v>
      </c>
      <c r="J12991" t="s">
        <v>48041</v>
      </c>
      <c r="K12991" t="s">
        <v>47113</v>
      </c>
      <c r="L12991">
        <v>13.68</v>
      </c>
      <c r="M12991">
        <v>32</v>
      </c>
      <c r="N12991">
        <v>0</v>
      </c>
      <c r="O12991">
        <v>32</v>
      </c>
      <c r="P12991">
        <v>0</v>
      </c>
    </row>
    <row r="12992" spans="1:16" x14ac:dyDescent="0.25">
      <c r="A12992" t="s">
        <v>35824</v>
      </c>
      <c r="B12992" t="s">
        <v>9440</v>
      </c>
      <c r="C12992" t="s">
        <v>9441</v>
      </c>
      <c r="D12992" t="str">
        <f>"6132"</f>
        <v>6132</v>
      </c>
      <c r="E12992" t="s">
        <v>9411</v>
      </c>
      <c r="F12992" t="s">
        <v>2068</v>
      </c>
      <c r="G12992" t="s">
        <v>46688</v>
      </c>
      <c r="H12992" t="s">
        <v>47071</v>
      </c>
      <c r="I12992" t="s">
        <v>48040</v>
      </c>
      <c r="J12992" t="s">
        <v>48041</v>
      </c>
      <c r="K12992" t="s">
        <v>47113</v>
      </c>
      <c r="L12992">
        <v>13.68</v>
      </c>
      <c r="M12992">
        <v>32</v>
      </c>
      <c r="N12992">
        <v>0</v>
      </c>
      <c r="O12992">
        <v>32</v>
      </c>
      <c r="P12992">
        <v>0</v>
      </c>
    </row>
    <row r="12993" spans="1:16" x14ac:dyDescent="0.25">
      <c r="A12993" t="s">
        <v>35825</v>
      </c>
      <c r="B12993" t="s">
        <v>9440</v>
      </c>
      <c r="C12993" t="s">
        <v>9441</v>
      </c>
      <c r="D12993" t="str">
        <f>"6475"</f>
        <v>6475</v>
      </c>
      <c r="E12993" t="s">
        <v>9399</v>
      </c>
      <c r="F12993" t="s">
        <v>2068</v>
      </c>
      <c r="G12993" t="s">
        <v>46688</v>
      </c>
      <c r="H12993" t="s">
        <v>47071</v>
      </c>
      <c r="I12993" t="s">
        <v>48040</v>
      </c>
      <c r="J12993" t="s">
        <v>48041</v>
      </c>
      <c r="K12993" t="s">
        <v>47113</v>
      </c>
      <c r="L12993">
        <v>13.68</v>
      </c>
      <c r="M12993">
        <v>32</v>
      </c>
      <c r="N12993">
        <v>0</v>
      </c>
      <c r="O12993">
        <v>32</v>
      </c>
      <c r="P12993">
        <v>0</v>
      </c>
    </row>
    <row r="12994" spans="1:16" x14ac:dyDescent="0.25">
      <c r="A12994" t="s">
        <v>35826</v>
      </c>
      <c r="B12994" t="s">
        <v>9440</v>
      </c>
      <c r="C12994" t="s">
        <v>9441</v>
      </c>
      <c r="D12994" t="str">
        <f>"7123"</f>
        <v>7123</v>
      </c>
      <c r="E12994" t="s">
        <v>9379</v>
      </c>
      <c r="F12994" t="s">
        <v>2068</v>
      </c>
      <c r="G12994" t="s">
        <v>46688</v>
      </c>
      <c r="H12994" t="s">
        <v>47071</v>
      </c>
      <c r="I12994" t="s">
        <v>48040</v>
      </c>
      <c r="J12994" t="s">
        <v>48041</v>
      </c>
      <c r="K12994" t="s">
        <v>47113</v>
      </c>
      <c r="L12994">
        <v>13.68</v>
      </c>
      <c r="M12994">
        <v>32</v>
      </c>
      <c r="N12994">
        <v>0</v>
      </c>
      <c r="O12994">
        <v>32</v>
      </c>
      <c r="P12994">
        <v>0</v>
      </c>
    </row>
    <row r="12995" spans="1:16" x14ac:dyDescent="0.25">
      <c r="A12995" t="s">
        <v>35827</v>
      </c>
      <c r="B12995" t="s">
        <v>9442</v>
      </c>
      <c r="C12995" t="s">
        <v>9443</v>
      </c>
      <c r="D12995" t="str">
        <f>"1001"</f>
        <v>1001</v>
      </c>
      <c r="E12995" t="s">
        <v>42</v>
      </c>
      <c r="F12995" t="s">
        <v>2068</v>
      </c>
      <c r="G12995" t="s">
        <v>48039</v>
      </c>
      <c r="H12995" t="s">
        <v>47071</v>
      </c>
      <c r="I12995" t="s">
        <v>48040</v>
      </c>
      <c r="J12995" t="s">
        <v>48041</v>
      </c>
      <c r="K12995" t="s">
        <v>47113</v>
      </c>
      <c r="L12995">
        <v>20.51</v>
      </c>
      <c r="M12995">
        <v>48</v>
      </c>
      <c r="N12995">
        <v>0</v>
      </c>
      <c r="O12995">
        <v>48</v>
      </c>
      <c r="P12995">
        <v>0</v>
      </c>
    </row>
    <row r="12996" spans="1:16" x14ac:dyDescent="0.25">
      <c r="A12996" t="s">
        <v>35828</v>
      </c>
      <c r="B12996" t="s">
        <v>9442</v>
      </c>
      <c r="C12996" t="s">
        <v>9443</v>
      </c>
      <c r="D12996" t="str">
        <f>"1462"</f>
        <v>1462</v>
      </c>
      <c r="E12996" t="s">
        <v>9410</v>
      </c>
      <c r="F12996" t="s">
        <v>2068</v>
      </c>
      <c r="G12996" t="s">
        <v>48039</v>
      </c>
      <c r="H12996" t="s">
        <v>47071</v>
      </c>
      <c r="I12996" t="s">
        <v>48040</v>
      </c>
      <c r="J12996" t="s">
        <v>48041</v>
      </c>
      <c r="K12996" t="s">
        <v>47113</v>
      </c>
      <c r="L12996">
        <v>20.51</v>
      </c>
      <c r="M12996">
        <v>48</v>
      </c>
      <c r="N12996">
        <v>0</v>
      </c>
      <c r="O12996">
        <v>48</v>
      </c>
      <c r="P12996">
        <v>0</v>
      </c>
    </row>
    <row r="12997" spans="1:16" x14ac:dyDescent="0.25">
      <c r="A12997" t="s">
        <v>35829</v>
      </c>
      <c r="B12997" t="s">
        <v>9442</v>
      </c>
      <c r="C12997" t="s">
        <v>9443</v>
      </c>
      <c r="D12997" t="str">
        <f>"1477"</f>
        <v>1477</v>
      </c>
      <c r="E12997" t="s">
        <v>9438</v>
      </c>
      <c r="F12997" t="s">
        <v>2068</v>
      </c>
      <c r="G12997" t="s">
        <v>48039</v>
      </c>
      <c r="H12997" t="s">
        <v>47071</v>
      </c>
      <c r="I12997" t="s">
        <v>48040</v>
      </c>
      <c r="J12997" t="s">
        <v>48041</v>
      </c>
      <c r="K12997" t="s">
        <v>47113</v>
      </c>
      <c r="L12997">
        <v>20.51</v>
      </c>
      <c r="M12997">
        <v>48</v>
      </c>
      <c r="N12997">
        <v>0</v>
      </c>
      <c r="O12997">
        <v>48</v>
      </c>
      <c r="P12997">
        <v>0</v>
      </c>
    </row>
    <row r="12998" spans="1:16" x14ac:dyDescent="0.25">
      <c r="A12998" t="s">
        <v>35830</v>
      </c>
      <c r="B12998" t="s">
        <v>9442</v>
      </c>
      <c r="C12998" t="s">
        <v>9443</v>
      </c>
      <c r="D12998" t="str">
        <f>"1700"</f>
        <v>1700</v>
      </c>
      <c r="E12998" t="s">
        <v>60</v>
      </c>
      <c r="F12998" t="s">
        <v>2068</v>
      </c>
      <c r="G12998" t="s">
        <v>48039</v>
      </c>
      <c r="H12998" t="s">
        <v>47071</v>
      </c>
      <c r="I12998" t="s">
        <v>48040</v>
      </c>
      <c r="J12998" t="s">
        <v>48041</v>
      </c>
      <c r="K12998" t="s">
        <v>47113</v>
      </c>
      <c r="L12998">
        <v>20.51</v>
      </c>
      <c r="M12998">
        <v>48</v>
      </c>
      <c r="N12998">
        <v>0</v>
      </c>
      <c r="O12998">
        <v>48</v>
      </c>
      <c r="P12998">
        <v>0</v>
      </c>
    </row>
    <row r="12999" spans="1:16" x14ac:dyDescent="0.25">
      <c r="A12999" t="s">
        <v>35831</v>
      </c>
      <c r="B12999" t="s">
        <v>9442</v>
      </c>
      <c r="C12999" t="s">
        <v>9443</v>
      </c>
      <c r="D12999" t="str">
        <f>"2375"</f>
        <v>2375</v>
      </c>
      <c r="E12999" t="s">
        <v>7758</v>
      </c>
      <c r="F12999" t="s">
        <v>2068</v>
      </c>
      <c r="G12999" t="s">
        <v>48039</v>
      </c>
      <c r="H12999" t="s">
        <v>47071</v>
      </c>
      <c r="I12999" t="s">
        <v>48040</v>
      </c>
      <c r="J12999" t="s">
        <v>48041</v>
      </c>
      <c r="K12999" t="s">
        <v>47113</v>
      </c>
      <c r="L12999">
        <v>20.51</v>
      </c>
      <c r="M12999">
        <v>48</v>
      </c>
      <c r="N12999">
        <v>0</v>
      </c>
      <c r="O12999">
        <v>48</v>
      </c>
      <c r="P12999">
        <v>0</v>
      </c>
    </row>
    <row r="13000" spans="1:16" x14ac:dyDescent="0.25">
      <c r="A13000" t="s">
        <v>35832</v>
      </c>
      <c r="B13000" t="s">
        <v>9442</v>
      </c>
      <c r="C13000" t="s">
        <v>9443</v>
      </c>
      <c r="D13000" t="str">
        <f>"2377"</f>
        <v>2377</v>
      </c>
      <c r="E13000" t="s">
        <v>9439</v>
      </c>
      <c r="F13000" t="s">
        <v>2068</v>
      </c>
      <c r="G13000" t="s">
        <v>48039</v>
      </c>
      <c r="H13000" t="s">
        <v>47071</v>
      </c>
      <c r="I13000" t="s">
        <v>48040</v>
      </c>
      <c r="J13000" t="s">
        <v>48041</v>
      </c>
      <c r="K13000" t="s">
        <v>47113</v>
      </c>
      <c r="L13000">
        <v>20.51</v>
      </c>
      <c r="M13000">
        <v>48</v>
      </c>
      <c r="N13000">
        <v>0</v>
      </c>
      <c r="O13000">
        <v>48</v>
      </c>
      <c r="P13000">
        <v>0</v>
      </c>
    </row>
    <row r="13001" spans="1:16" x14ac:dyDescent="0.25">
      <c r="A13001" t="s">
        <v>35833</v>
      </c>
      <c r="B13001" t="s">
        <v>9442</v>
      </c>
      <c r="C13001" t="s">
        <v>9443</v>
      </c>
      <c r="D13001" t="str">
        <f>"3525"</f>
        <v>3525</v>
      </c>
      <c r="E13001" t="s">
        <v>7751</v>
      </c>
      <c r="F13001" t="s">
        <v>2068</v>
      </c>
      <c r="G13001" t="s">
        <v>48039</v>
      </c>
      <c r="H13001" t="s">
        <v>47071</v>
      </c>
      <c r="I13001" t="s">
        <v>48040</v>
      </c>
      <c r="J13001" t="s">
        <v>48041</v>
      </c>
      <c r="K13001" t="s">
        <v>47113</v>
      </c>
      <c r="L13001">
        <v>20.51</v>
      </c>
      <c r="M13001">
        <v>48</v>
      </c>
      <c r="N13001">
        <v>0</v>
      </c>
      <c r="O13001">
        <v>48</v>
      </c>
      <c r="P13001">
        <v>0</v>
      </c>
    </row>
    <row r="13002" spans="1:16" x14ac:dyDescent="0.25">
      <c r="A13002" t="s">
        <v>35834</v>
      </c>
      <c r="B13002" t="s">
        <v>9442</v>
      </c>
      <c r="C13002" t="s">
        <v>9443</v>
      </c>
      <c r="D13002" t="str">
        <f>"4048"</f>
        <v>4048</v>
      </c>
      <c r="E13002" t="s">
        <v>710</v>
      </c>
      <c r="F13002" t="s">
        <v>2068</v>
      </c>
      <c r="G13002" t="s">
        <v>48039</v>
      </c>
      <c r="H13002" t="s">
        <v>47071</v>
      </c>
      <c r="I13002" t="s">
        <v>48040</v>
      </c>
      <c r="J13002" t="s">
        <v>48041</v>
      </c>
      <c r="K13002" t="s">
        <v>47113</v>
      </c>
      <c r="L13002">
        <v>20.51</v>
      </c>
      <c r="M13002">
        <v>48</v>
      </c>
      <c r="N13002">
        <v>0</v>
      </c>
      <c r="O13002">
        <v>48</v>
      </c>
      <c r="P13002">
        <v>0</v>
      </c>
    </row>
    <row r="13003" spans="1:16" x14ac:dyDescent="0.25">
      <c r="A13003" t="s">
        <v>35835</v>
      </c>
      <c r="B13003" t="s">
        <v>9442</v>
      </c>
      <c r="C13003" t="s">
        <v>9443</v>
      </c>
      <c r="D13003" t="str">
        <f>"6475"</f>
        <v>6475</v>
      </c>
      <c r="E13003" t="s">
        <v>9399</v>
      </c>
      <c r="F13003" t="s">
        <v>2068</v>
      </c>
      <c r="G13003" t="s">
        <v>48039</v>
      </c>
      <c r="H13003" t="s">
        <v>47071</v>
      </c>
      <c r="I13003" t="s">
        <v>48040</v>
      </c>
      <c r="J13003" t="s">
        <v>48041</v>
      </c>
      <c r="K13003" t="s">
        <v>47113</v>
      </c>
      <c r="L13003">
        <v>20.51</v>
      </c>
      <c r="M13003">
        <v>48</v>
      </c>
      <c r="N13003">
        <v>0</v>
      </c>
      <c r="O13003">
        <v>48</v>
      </c>
      <c r="P13003">
        <v>0</v>
      </c>
    </row>
    <row r="13004" spans="1:16" x14ac:dyDescent="0.25">
      <c r="A13004" t="s">
        <v>35836</v>
      </c>
      <c r="B13004" t="s">
        <v>9442</v>
      </c>
      <c r="C13004" t="s">
        <v>9443</v>
      </c>
      <c r="D13004" t="str">
        <f>"8411"</f>
        <v>8411</v>
      </c>
      <c r="E13004" t="s">
        <v>7748</v>
      </c>
      <c r="F13004" t="s">
        <v>2068</v>
      </c>
      <c r="G13004" t="s">
        <v>48039</v>
      </c>
      <c r="H13004" t="s">
        <v>47071</v>
      </c>
      <c r="I13004" t="s">
        <v>48040</v>
      </c>
      <c r="J13004" t="s">
        <v>48041</v>
      </c>
      <c r="K13004" t="s">
        <v>47113</v>
      </c>
      <c r="L13004">
        <v>20.51</v>
      </c>
      <c r="M13004">
        <v>48</v>
      </c>
      <c r="N13004">
        <v>0</v>
      </c>
      <c r="O13004">
        <v>48</v>
      </c>
      <c r="P13004">
        <v>0</v>
      </c>
    </row>
    <row r="13005" spans="1:16" x14ac:dyDescent="0.25">
      <c r="A13005" t="s">
        <v>35837</v>
      </c>
      <c r="B13005" t="s">
        <v>9442</v>
      </c>
      <c r="C13005" t="s">
        <v>9443</v>
      </c>
      <c r="D13005" t="str">
        <f>"8413"</f>
        <v>8413</v>
      </c>
      <c r="E13005" t="s">
        <v>2313</v>
      </c>
      <c r="F13005" t="s">
        <v>2068</v>
      </c>
      <c r="G13005" t="s">
        <v>48039</v>
      </c>
      <c r="H13005" t="s">
        <v>47071</v>
      </c>
      <c r="I13005" t="s">
        <v>48040</v>
      </c>
      <c r="J13005" t="s">
        <v>48041</v>
      </c>
      <c r="K13005" t="s">
        <v>47113</v>
      </c>
      <c r="L13005">
        <v>20.51</v>
      </c>
      <c r="M13005">
        <v>48</v>
      </c>
      <c r="N13005">
        <v>0</v>
      </c>
      <c r="O13005">
        <v>48</v>
      </c>
      <c r="P13005">
        <v>0</v>
      </c>
    </row>
    <row r="13006" spans="1:16" x14ac:dyDescent="0.25">
      <c r="A13006" t="s">
        <v>35838</v>
      </c>
      <c r="B13006" t="s">
        <v>9442</v>
      </c>
      <c r="C13006" t="s">
        <v>9443</v>
      </c>
      <c r="D13006" t="str">
        <f>"8416"</f>
        <v>8416</v>
      </c>
      <c r="E13006" t="s">
        <v>9386</v>
      </c>
      <c r="F13006" t="s">
        <v>2068</v>
      </c>
      <c r="G13006" t="s">
        <v>48039</v>
      </c>
      <c r="H13006" t="s">
        <v>47071</v>
      </c>
      <c r="I13006" t="s">
        <v>48040</v>
      </c>
      <c r="J13006" t="s">
        <v>48041</v>
      </c>
      <c r="K13006" t="s">
        <v>47113</v>
      </c>
      <c r="L13006">
        <v>20.51</v>
      </c>
      <c r="M13006">
        <v>48</v>
      </c>
      <c r="N13006">
        <v>0</v>
      </c>
      <c r="O13006">
        <v>48</v>
      </c>
      <c r="P13006">
        <v>0</v>
      </c>
    </row>
    <row r="13007" spans="1:16" x14ac:dyDescent="0.25">
      <c r="A13007" t="s">
        <v>35839</v>
      </c>
      <c r="B13007" t="s">
        <v>9444</v>
      </c>
      <c r="C13007" t="s">
        <v>9445</v>
      </c>
      <c r="D13007" t="str">
        <f>"1001"</f>
        <v>1001</v>
      </c>
      <c r="E13007" t="s">
        <v>42</v>
      </c>
      <c r="F13007" t="s">
        <v>2068</v>
      </c>
      <c r="G13007" t="s">
        <v>46688</v>
      </c>
      <c r="H13007" t="s">
        <v>47071</v>
      </c>
      <c r="I13007" t="s">
        <v>48040</v>
      </c>
      <c r="J13007" t="s">
        <v>48041</v>
      </c>
      <c r="K13007" t="s">
        <v>47113</v>
      </c>
      <c r="L13007">
        <v>19.14</v>
      </c>
      <c r="M13007">
        <v>44</v>
      </c>
      <c r="N13007">
        <v>0</v>
      </c>
      <c r="O13007">
        <v>44</v>
      </c>
      <c r="P13007">
        <v>0</v>
      </c>
    </row>
    <row r="13008" spans="1:16" x14ac:dyDescent="0.25">
      <c r="A13008" t="s">
        <v>35840</v>
      </c>
      <c r="B13008" t="s">
        <v>9444</v>
      </c>
      <c r="C13008" t="s">
        <v>9445</v>
      </c>
      <c r="D13008" t="str">
        <f>"1700"</f>
        <v>1700</v>
      </c>
      <c r="E13008" t="s">
        <v>60</v>
      </c>
      <c r="F13008" t="s">
        <v>2068</v>
      </c>
      <c r="G13008" t="s">
        <v>46688</v>
      </c>
      <c r="H13008" t="s">
        <v>47071</v>
      </c>
      <c r="I13008" t="s">
        <v>48040</v>
      </c>
      <c r="J13008" t="s">
        <v>48041</v>
      </c>
      <c r="K13008" t="s">
        <v>47113</v>
      </c>
      <c r="L13008">
        <v>19.14</v>
      </c>
      <c r="M13008">
        <v>44</v>
      </c>
      <c r="N13008">
        <v>0</v>
      </c>
      <c r="O13008">
        <v>44</v>
      </c>
      <c r="P13008">
        <v>0</v>
      </c>
    </row>
    <row r="13009" spans="1:16" x14ac:dyDescent="0.25">
      <c r="A13009" t="s">
        <v>35841</v>
      </c>
      <c r="B13009" t="s">
        <v>9444</v>
      </c>
      <c r="C13009" t="s">
        <v>9445</v>
      </c>
      <c r="D13009" t="str">
        <f>"3525"</f>
        <v>3525</v>
      </c>
      <c r="E13009" t="s">
        <v>7751</v>
      </c>
      <c r="F13009" t="s">
        <v>2068</v>
      </c>
      <c r="G13009" t="s">
        <v>46688</v>
      </c>
      <c r="H13009" t="s">
        <v>47071</v>
      </c>
      <c r="I13009" t="s">
        <v>48040</v>
      </c>
      <c r="J13009" t="s">
        <v>48041</v>
      </c>
      <c r="K13009" t="s">
        <v>47113</v>
      </c>
      <c r="L13009">
        <v>19.14</v>
      </c>
      <c r="M13009">
        <v>44</v>
      </c>
      <c r="N13009">
        <v>0</v>
      </c>
      <c r="O13009">
        <v>44</v>
      </c>
      <c r="P13009">
        <v>0</v>
      </c>
    </row>
    <row r="13010" spans="1:16" x14ac:dyDescent="0.25">
      <c r="A13010" t="s">
        <v>35842</v>
      </c>
      <c r="B13010" t="s">
        <v>9444</v>
      </c>
      <c r="C13010" t="s">
        <v>9445</v>
      </c>
      <c r="D13010" t="str">
        <f>"3528"</f>
        <v>3528</v>
      </c>
      <c r="E13010" t="s">
        <v>9381</v>
      </c>
      <c r="F13010" t="s">
        <v>2068</v>
      </c>
      <c r="G13010" t="s">
        <v>46688</v>
      </c>
      <c r="H13010" t="s">
        <v>47071</v>
      </c>
      <c r="I13010" t="s">
        <v>48040</v>
      </c>
      <c r="J13010" t="s">
        <v>48041</v>
      </c>
      <c r="K13010" t="s">
        <v>47113</v>
      </c>
      <c r="L13010">
        <v>19.14</v>
      </c>
      <c r="M13010">
        <v>44</v>
      </c>
      <c r="N13010">
        <v>0</v>
      </c>
      <c r="O13010">
        <v>44</v>
      </c>
      <c r="P13010">
        <v>0</v>
      </c>
    </row>
    <row r="13011" spans="1:16" x14ac:dyDescent="0.25">
      <c r="A13011" t="s">
        <v>35843</v>
      </c>
      <c r="B13011" t="s">
        <v>9444</v>
      </c>
      <c r="C13011" t="s">
        <v>9445</v>
      </c>
      <c r="D13011" t="str">
        <f>"4048"</f>
        <v>4048</v>
      </c>
      <c r="E13011" t="s">
        <v>710</v>
      </c>
      <c r="F13011" t="s">
        <v>2068</v>
      </c>
      <c r="G13011" t="s">
        <v>46688</v>
      </c>
      <c r="H13011" t="s">
        <v>47071</v>
      </c>
      <c r="I13011" t="s">
        <v>48040</v>
      </c>
      <c r="J13011" t="s">
        <v>48041</v>
      </c>
      <c r="K13011" t="s">
        <v>47113</v>
      </c>
      <c r="L13011">
        <v>19.14</v>
      </c>
      <c r="M13011">
        <v>44</v>
      </c>
      <c r="N13011">
        <v>0</v>
      </c>
      <c r="O13011">
        <v>44</v>
      </c>
      <c r="P13011">
        <v>0</v>
      </c>
    </row>
    <row r="13012" spans="1:16" x14ac:dyDescent="0.25">
      <c r="A13012" t="s">
        <v>35844</v>
      </c>
      <c r="B13012" t="s">
        <v>9444</v>
      </c>
      <c r="C13012" t="s">
        <v>9445</v>
      </c>
      <c r="D13012" t="str">
        <f>"6475"</f>
        <v>6475</v>
      </c>
      <c r="E13012" t="s">
        <v>9399</v>
      </c>
      <c r="F13012" t="s">
        <v>2068</v>
      </c>
      <c r="G13012" t="s">
        <v>46688</v>
      </c>
      <c r="H13012" t="s">
        <v>47071</v>
      </c>
      <c r="I13012" t="s">
        <v>48040</v>
      </c>
      <c r="J13012" t="s">
        <v>48041</v>
      </c>
      <c r="K13012" t="s">
        <v>47113</v>
      </c>
      <c r="L13012">
        <v>19.14</v>
      </c>
      <c r="M13012">
        <v>44</v>
      </c>
      <c r="N13012">
        <v>0</v>
      </c>
      <c r="O13012">
        <v>44</v>
      </c>
      <c r="P13012">
        <v>0</v>
      </c>
    </row>
    <row r="13013" spans="1:16" x14ac:dyDescent="0.25">
      <c r="A13013" t="s">
        <v>35845</v>
      </c>
      <c r="B13013" t="s">
        <v>9444</v>
      </c>
      <c r="C13013" t="s">
        <v>9445</v>
      </c>
      <c r="D13013" t="str">
        <f>"8416"</f>
        <v>8416</v>
      </c>
      <c r="E13013" t="s">
        <v>9386</v>
      </c>
      <c r="F13013" t="s">
        <v>2068</v>
      </c>
      <c r="G13013" t="s">
        <v>46688</v>
      </c>
      <c r="H13013" t="s">
        <v>47071</v>
      </c>
      <c r="I13013" t="s">
        <v>48040</v>
      </c>
      <c r="J13013" t="s">
        <v>48041</v>
      </c>
      <c r="K13013" t="s">
        <v>47113</v>
      </c>
      <c r="L13013">
        <v>19.14</v>
      </c>
      <c r="M13013">
        <v>44</v>
      </c>
      <c r="N13013">
        <v>0</v>
      </c>
      <c r="O13013">
        <v>44</v>
      </c>
      <c r="P13013">
        <v>0</v>
      </c>
    </row>
    <row r="13014" spans="1:16" x14ac:dyDescent="0.25">
      <c r="A13014" t="s">
        <v>35846</v>
      </c>
      <c r="B13014" t="s">
        <v>9446</v>
      </c>
      <c r="C13014" t="s">
        <v>9447</v>
      </c>
      <c r="D13014" t="str">
        <f>"1001"</f>
        <v>1001</v>
      </c>
      <c r="E13014" t="s">
        <v>5979</v>
      </c>
      <c r="F13014" t="s">
        <v>2068</v>
      </c>
      <c r="G13014" t="s">
        <v>46688</v>
      </c>
      <c r="H13014" t="s">
        <v>47071</v>
      </c>
      <c r="I13014" t="s">
        <v>48040</v>
      </c>
      <c r="J13014" t="s">
        <v>48041</v>
      </c>
      <c r="K13014" t="s">
        <v>47113</v>
      </c>
      <c r="L13014">
        <v>19.14</v>
      </c>
      <c r="M13014">
        <v>38</v>
      </c>
      <c r="N13014">
        <v>0</v>
      </c>
      <c r="O13014">
        <v>38</v>
      </c>
      <c r="P13014">
        <v>0</v>
      </c>
    </row>
    <row r="13015" spans="1:16" x14ac:dyDescent="0.25">
      <c r="A13015" t="s">
        <v>35847</v>
      </c>
      <c r="B13015" t="s">
        <v>9446</v>
      </c>
      <c r="C13015" t="s">
        <v>9447</v>
      </c>
      <c r="D13015" t="str">
        <f>"1462"</f>
        <v>1462</v>
      </c>
      <c r="E13015" t="s">
        <v>9410</v>
      </c>
      <c r="F13015" t="s">
        <v>2068</v>
      </c>
      <c r="G13015" t="s">
        <v>46688</v>
      </c>
      <c r="H13015" t="s">
        <v>47071</v>
      </c>
      <c r="I13015" t="s">
        <v>48040</v>
      </c>
      <c r="J13015" t="s">
        <v>48041</v>
      </c>
      <c r="K13015" t="s">
        <v>47113</v>
      </c>
      <c r="L13015">
        <v>19.14</v>
      </c>
      <c r="M13015">
        <v>38</v>
      </c>
      <c r="N13015">
        <v>0</v>
      </c>
      <c r="O13015">
        <v>38</v>
      </c>
      <c r="P13015">
        <v>0</v>
      </c>
    </row>
    <row r="13016" spans="1:16" x14ac:dyDescent="0.25">
      <c r="A13016" t="s">
        <v>35848</v>
      </c>
      <c r="B13016" t="s">
        <v>9446</v>
      </c>
      <c r="C13016" t="s">
        <v>9447</v>
      </c>
      <c r="D13016" t="str">
        <f>"2054"</f>
        <v>2054</v>
      </c>
      <c r="E13016" t="s">
        <v>7762</v>
      </c>
      <c r="F13016" t="s">
        <v>2068</v>
      </c>
      <c r="G13016" t="s">
        <v>46688</v>
      </c>
      <c r="H13016" t="s">
        <v>47071</v>
      </c>
      <c r="I13016" t="s">
        <v>48040</v>
      </c>
      <c r="J13016" t="s">
        <v>48041</v>
      </c>
      <c r="K13016" t="s">
        <v>47113</v>
      </c>
      <c r="L13016">
        <v>19.14</v>
      </c>
      <c r="M13016">
        <v>38</v>
      </c>
      <c r="N13016">
        <v>0</v>
      </c>
      <c r="O13016">
        <v>38</v>
      </c>
      <c r="P13016">
        <v>0</v>
      </c>
    </row>
    <row r="13017" spans="1:16" x14ac:dyDescent="0.25">
      <c r="A13017" t="s">
        <v>35849</v>
      </c>
      <c r="B13017" t="s">
        <v>9446</v>
      </c>
      <c r="C13017" t="s">
        <v>9447</v>
      </c>
      <c r="D13017" t="str">
        <f>"8411"</f>
        <v>8411</v>
      </c>
      <c r="E13017" t="s">
        <v>7748</v>
      </c>
      <c r="F13017" t="s">
        <v>2068</v>
      </c>
      <c r="G13017" t="s">
        <v>46688</v>
      </c>
      <c r="H13017" t="s">
        <v>47071</v>
      </c>
      <c r="I13017" t="s">
        <v>48040</v>
      </c>
      <c r="J13017" t="s">
        <v>48041</v>
      </c>
      <c r="K13017" t="s">
        <v>47113</v>
      </c>
      <c r="L13017">
        <v>19.14</v>
      </c>
      <c r="M13017">
        <v>38</v>
      </c>
      <c r="N13017">
        <v>0</v>
      </c>
      <c r="O13017">
        <v>38</v>
      </c>
      <c r="P13017">
        <v>0</v>
      </c>
    </row>
    <row r="13018" spans="1:16" x14ac:dyDescent="0.25">
      <c r="A13018" t="s">
        <v>35850</v>
      </c>
      <c r="B13018" t="s">
        <v>9448</v>
      </c>
      <c r="C13018" t="s">
        <v>9449</v>
      </c>
      <c r="D13018" t="str">
        <f>"1001"</f>
        <v>1001</v>
      </c>
      <c r="E13018" t="s">
        <v>42</v>
      </c>
      <c r="F13018" t="s">
        <v>2068</v>
      </c>
      <c r="G13018" t="s">
        <v>46688</v>
      </c>
      <c r="H13018" t="s">
        <v>47071</v>
      </c>
      <c r="I13018" t="s">
        <v>47120</v>
      </c>
      <c r="J13018" t="s">
        <v>47121</v>
      </c>
      <c r="K13018" t="s">
        <v>47113</v>
      </c>
      <c r="L13018">
        <v>17.78</v>
      </c>
      <c r="M13018">
        <v>41</v>
      </c>
      <c r="N13018">
        <v>0</v>
      </c>
      <c r="O13018">
        <v>41</v>
      </c>
      <c r="P13018">
        <v>0</v>
      </c>
    </row>
    <row r="13019" spans="1:16" x14ac:dyDescent="0.25">
      <c r="A13019" t="s">
        <v>35851</v>
      </c>
      <c r="B13019" t="s">
        <v>9448</v>
      </c>
      <c r="C13019" t="s">
        <v>9449</v>
      </c>
      <c r="D13019" t="str">
        <f>"1468"</f>
        <v>1468</v>
      </c>
      <c r="E13019" t="s">
        <v>7761</v>
      </c>
      <c r="F13019" t="s">
        <v>2068</v>
      </c>
      <c r="G13019" t="s">
        <v>46688</v>
      </c>
      <c r="H13019" t="s">
        <v>47071</v>
      </c>
      <c r="I13019" t="s">
        <v>47120</v>
      </c>
      <c r="J13019" t="s">
        <v>47121</v>
      </c>
      <c r="K13019" t="s">
        <v>47113</v>
      </c>
      <c r="L13019">
        <v>17.78</v>
      </c>
      <c r="M13019">
        <v>41</v>
      </c>
      <c r="N13019">
        <v>0</v>
      </c>
      <c r="O13019">
        <v>41</v>
      </c>
      <c r="P13019">
        <v>0</v>
      </c>
    </row>
    <row r="13020" spans="1:16" x14ac:dyDescent="0.25">
      <c r="A13020" t="s">
        <v>35852</v>
      </c>
      <c r="B13020" t="s">
        <v>9448</v>
      </c>
      <c r="C13020" t="s">
        <v>9449</v>
      </c>
      <c r="D13020" t="str">
        <f>"2054"</f>
        <v>2054</v>
      </c>
      <c r="E13020" t="s">
        <v>7762</v>
      </c>
      <c r="F13020" t="s">
        <v>2068</v>
      </c>
      <c r="G13020" t="s">
        <v>46688</v>
      </c>
      <c r="H13020" t="s">
        <v>47071</v>
      </c>
      <c r="I13020" t="s">
        <v>47120</v>
      </c>
      <c r="J13020" t="s">
        <v>47121</v>
      </c>
      <c r="K13020" t="s">
        <v>47113</v>
      </c>
      <c r="L13020">
        <v>17.78</v>
      </c>
      <c r="M13020">
        <v>41</v>
      </c>
      <c r="N13020">
        <v>0</v>
      </c>
      <c r="O13020">
        <v>41</v>
      </c>
      <c r="P13020">
        <v>0</v>
      </c>
    </row>
    <row r="13021" spans="1:16" x14ac:dyDescent="0.25">
      <c r="A13021" t="s">
        <v>35853</v>
      </c>
      <c r="B13021" t="s">
        <v>9448</v>
      </c>
      <c r="C13021" t="s">
        <v>9449</v>
      </c>
      <c r="D13021" t="str">
        <f>"2699"</f>
        <v>2699</v>
      </c>
      <c r="E13021" t="s">
        <v>7747</v>
      </c>
      <c r="F13021" t="s">
        <v>2068</v>
      </c>
      <c r="G13021" t="s">
        <v>46688</v>
      </c>
      <c r="H13021" t="s">
        <v>47071</v>
      </c>
      <c r="I13021" t="s">
        <v>47120</v>
      </c>
      <c r="J13021" t="s">
        <v>47121</v>
      </c>
      <c r="K13021" t="s">
        <v>47113</v>
      </c>
      <c r="L13021">
        <v>17.78</v>
      </c>
      <c r="M13021">
        <v>41</v>
      </c>
      <c r="N13021">
        <v>0</v>
      </c>
      <c r="O13021">
        <v>41</v>
      </c>
      <c r="P13021">
        <v>0</v>
      </c>
    </row>
    <row r="13022" spans="1:16" x14ac:dyDescent="0.25">
      <c r="A13022" t="s">
        <v>35854</v>
      </c>
      <c r="B13022" t="s">
        <v>9448</v>
      </c>
      <c r="C13022" t="s">
        <v>9449</v>
      </c>
      <c r="D13022" t="str">
        <f>"4048"</f>
        <v>4048</v>
      </c>
      <c r="E13022" t="s">
        <v>710</v>
      </c>
      <c r="F13022" t="s">
        <v>2068</v>
      </c>
      <c r="G13022" t="s">
        <v>46688</v>
      </c>
      <c r="H13022" t="s">
        <v>47071</v>
      </c>
      <c r="I13022" t="s">
        <v>47120</v>
      </c>
      <c r="J13022" t="s">
        <v>47121</v>
      </c>
      <c r="K13022" t="s">
        <v>47113</v>
      </c>
      <c r="L13022">
        <v>17.78</v>
      </c>
      <c r="M13022">
        <v>41</v>
      </c>
      <c r="N13022">
        <v>0</v>
      </c>
      <c r="O13022">
        <v>41</v>
      </c>
      <c r="P13022">
        <v>0</v>
      </c>
    </row>
    <row r="13023" spans="1:16" x14ac:dyDescent="0.25">
      <c r="A13023" t="s">
        <v>35855</v>
      </c>
      <c r="B13023" t="s">
        <v>9450</v>
      </c>
      <c r="C13023" t="s">
        <v>9451</v>
      </c>
      <c r="D13023" t="str">
        <f>"1001"</f>
        <v>1001</v>
      </c>
      <c r="E13023" t="s">
        <v>42</v>
      </c>
      <c r="F13023" t="s">
        <v>2068</v>
      </c>
      <c r="G13023" t="s">
        <v>46688</v>
      </c>
      <c r="H13023" t="s">
        <v>47071</v>
      </c>
      <c r="I13023" t="s">
        <v>47120</v>
      </c>
      <c r="J13023" t="s">
        <v>47121</v>
      </c>
      <c r="K13023" t="s">
        <v>47113</v>
      </c>
      <c r="L13023">
        <v>17.78</v>
      </c>
      <c r="M13023">
        <v>41</v>
      </c>
      <c r="N13023">
        <v>0</v>
      </c>
      <c r="O13023">
        <v>41</v>
      </c>
      <c r="P13023">
        <v>0</v>
      </c>
    </row>
    <row r="13024" spans="1:16" x14ac:dyDescent="0.25">
      <c r="A13024" t="s">
        <v>35856</v>
      </c>
      <c r="B13024" t="s">
        <v>9450</v>
      </c>
      <c r="C13024" t="s">
        <v>9451</v>
      </c>
      <c r="D13024" t="str">
        <f>"1468"</f>
        <v>1468</v>
      </c>
      <c r="E13024" t="s">
        <v>7761</v>
      </c>
      <c r="F13024" t="s">
        <v>2068</v>
      </c>
      <c r="G13024" t="s">
        <v>46688</v>
      </c>
      <c r="H13024" t="s">
        <v>47071</v>
      </c>
      <c r="I13024" t="s">
        <v>47120</v>
      </c>
      <c r="J13024" t="s">
        <v>47121</v>
      </c>
      <c r="K13024" t="s">
        <v>47113</v>
      </c>
      <c r="L13024">
        <v>17.78</v>
      </c>
      <c r="M13024">
        <v>41</v>
      </c>
      <c r="N13024">
        <v>0</v>
      </c>
      <c r="O13024">
        <v>41</v>
      </c>
      <c r="P13024">
        <v>0</v>
      </c>
    </row>
    <row r="13025" spans="1:16" x14ac:dyDescent="0.25">
      <c r="A13025" t="s">
        <v>35857</v>
      </c>
      <c r="B13025" t="s">
        <v>9450</v>
      </c>
      <c r="C13025" t="s">
        <v>9451</v>
      </c>
      <c r="D13025" t="str">
        <f>"3525"</f>
        <v>3525</v>
      </c>
      <c r="E13025" t="s">
        <v>7751</v>
      </c>
      <c r="F13025" t="s">
        <v>2068</v>
      </c>
      <c r="G13025" t="s">
        <v>46688</v>
      </c>
      <c r="H13025" t="s">
        <v>47071</v>
      </c>
      <c r="I13025" t="s">
        <v>47120</v>
      </c>
      <c r="J13025" t="s">
        <v>47121</v>
      </c>
      <c r="K13025" t="s">
        <v>47113</v>
      </c>
      <c r="L13025">
        <v>17.78</v>
      </c>
      <c r="M13025">
        <v>41</v>
      </c>
      <c r="N13025">
        <v>0</v>
      </c>
      <c r="O13025">
        <v>41</v>
      </c>
      <c r="P13025">
        <v>0</v>
      </c>
    </row>
    <row r="13026" spans="1:16" x14ac:dyDescent="0.25">
      <c r="A13026" t="s">
        <v>35858</v>
      </c>
      <c r="B13026" t="s">
        <v>9450</v>
      </c>
      <c r="C13026" t="s">
        <v>9451</v>
      </c>
      <c r="D13026" t="str">
        <f>"4048"</f>
        <v>4048</v>
      </c>
      <c r="E13026" t="s">
        <v>710</v>
      </c>
      <c r="F13026" t="s">
        <v>2068</v>
      </c>
      <c r="G13026" t="s">
        <v>46688</v>
      </c>
      <c r="H13026" t="s">
        <v>47071</v>
      </c>
      <c r="I13026" t="s">
        <v>47120</v>
      </c>
      <c r="J13026" t="s">
        <v>47121</v>
      </c>
      <c r="K13026" t="s">
        <v>47113</v>
      </c>
      <c r="L13026">
        <v>17.78</v>
      </c>
      <c r="M13026">
        <v>41</v>
      </c>
      <c r="N13026">
        <v>0</v>
      </c>
      <c r="O13026">
        <v>41</v>
      </c>
      <c r="P13026">
        <v>0</v>
      </c>
    </row>
    <row r="13027" spans="1:16" x14ac:dyDescent="0.25">
      <c r="A13027" t="s">
        <v>35859</v>
      </c>
      <c r="B13027" t="s">
        <v>9450</v>
      </c>
      <c r="C13027" t="s">
        <v>9451</v>
      </c>
      <c r="D13027" t="str">
        <f>"8416"</f>
        <v>8416</v>
      </c>
      <c r="E13027" t="s">
        <v>9386</v>
      </c>
      <c r="F13027" t="s">
        <v>2068</v>
      </c>
      <c r="G13027" t="s">
        <v>46688</v>
      </c>
      <c r="H13027" t="s">
        <v>47071</v>
      </c>
      <c r="I13027" t="s">
        <v>47120</v>
      </c>
      <c r="J13027" t="s">
        <v>47121</v>
      </c>
      <c r="K13027" t="s">
        <v>47113</v>
      </c>
      <c r="L13027">
        <v>17.78</v>
      </c>
      <c r="M13027">
        <v>41</v>
      </c>
      <c r="N13027">
        <v>0</v>
      </c>
      <c r="O13027">
        <v>41</v>
      </c>
      <c r="P13027">
        <v>0</v>
      </c>
    </row>
    <row r="13028" spans="1:16" x14ac:dyDescent="0.25">
      <c r="A13028" t="s">
        <v>35860</v>
      </c>
      <c r="B13028" t="s">
        <v>9450</v>
      </c>
      <c r="C13028" t="s">
        <v>9451</v>
      </c>
      <c r="D13028" t="str">
        <f>"9614"</f>
        <v>9614</v>
      </c>
      <c r="E13028" t="s">
        <v>2314</v>
      </c>
      <c r="F13028" t="s">
        <v>2068</v>
      </c>
      <c r="G13028" t="s">
        <v>46688</v>
      </c>
      <c r="H13028" t="s">
        <v>47071</v>
      </c>
      <c r="I13028" t="s">
        <v>47120</v>
      </c>
      <c r="J13028" t="s">
        <v>47121</v>
      </c>
      <c r="K13028" t="s">
        <v>47113</v>
      </c>
      <c r="L13028">
        <v>17.78</v>
      </c>
      <c r="M13028">
        <v>41</v>
      </c>
      <c r="N13028">
        <v>0</v>
      </c>
      <c r="O13028">
        <v>41</v>
      </c>
      <c r="P13028">
        <v>0</v>
      </c>
    </row>
    <row r="13029" spans="1:16" x14ac:dyDescent="0.25">
      <c r="A13029" t="s">
        <v>35861</v>
      </c>
      <c r="B13029" t="s">
        <v>9452</v>
      </c>
      <c r="C13029" t="s">
        <v>9453</v>
      </c>
      <c r="D13029" t="str">
        <f>"1001"</f>
        <v>1001</v>
      </c>
      <c r="E13029" t="s">
        <v>42</v>
      </c>
      <c r="F13029" t="s">
        <v>2068</v>
      </c>
      <c r="G13029" t="s">
        <v>46688</v>
      </c>
      <c r="H13029" t="s">
        <v>47071</v>
      </c>
      <c r="I13029" t="s">
        <v>47120</v>
      </c>
      <c r="J13029" t="s">
        <v>47121</v>
      </c>
      <c r="K13029" t="s">
        <v>47113</v>
      </c>
      <c r="L13029">
        <v>27.35</v>
      </c>
      <c r="M13029">
        <v>63</v>
      </c>
      <c r="N13029">
        <v>0</v>
      </c>
      <c r="O13029">
        <v>63</v>
      </c>
      <c r="P13029">
        <v>0</v>
      </c>
    </row>
    <row r="13030" spans="1:16" x14ac:dyDescent="0.25">
      <c r="A13030" t="s">
        <v>35862</v>
      </c>
      <c r="B13030" t="s">
        <v>9452</v>
      </c>
      <c r="C13030" t="s">
        <v>9453</v>
      </c>
      <c r="D13030" t="str">
        <f>"1468"</f>
        <v>1468</v>
      </c>
      <c r="E13030" t="s">
        <v>7761</v>
      </c>
      <c r="F13030" t="s">
        <v>2068</v>
      </c>
      <c r="G13030" t="s">
        <v>46688</v>
      </c>
      <c r="H13030" t="s">
        <v>47071</v>
      </c>
      <c r="I13030" t="s">
        <v>47120</v>
      </c>
      <c r="J13030" t="s">
        <v>47121</v>
      </c>
      <c r="K13030" t="s">
        <v>47113</v>
      </c>
      <c r="L13030">
        <v>27.35</v>
      </c>
      <c r="M13030">
        <v>63</v>
      </c>
      <c r="N13030">
        <v>0</v>
      </c>
      <c r="O13030">
        <v>63</v>
      </c>
      <c r="P13030">
        <v>0</v>
      </c>
    </row>
    <row r="13031" spans="1:16" x14ac:dyDescent="0.25">
      <c r="A13031" t="s">
        <v>35863</v>
      </c>
      <c r="B13031" t="s">
        <v>9452</v>
      </c>
      <c r="C13031" t="s">
        <v>9453</v>
      </c>
      <c r="D13031" t="str">
        <f>"4048"</f>
        <v>4048</v>
      </c>
      <c r="E13031" t="s">
        <v>710</v>
      </c>
      <c r="F13031" t="s">
        <v>2068</v>
      </c>
      <c r="G13031" t="s">
        <v>46688</v>
      </c>
      <c r="H13031" t="s">
        <v>47071</v>
      </c>
      <c r="I13031" t="s">
        <v>47120</v>
      </c>
      <c r="J13031" t="s">
        <v>47121</v>
      </c>
      <c r="K13031" t="s">
        <v>47113</v>
      </c>
      <c r="L13031">
        <v>27.35</v>
      </c>
      <c r="M13031">
        <v>63</v>
      </c>
      <c r="N13031">
        <v>0</v>
      </c>
      <c r="O13031">
        <v>63</v>
      </c>
      <c r="P13031">
        <v>0</v>
      </c>
    </row>
    <row r="13032" spans="1:16" x14ac:dyDescent="0.25">
      <c r="A13032" t="s">
        <v>35864</v>
      </c>
      <c r="B13032" t="s">
        <v>9452</v>
      </c>
      <c r="C13032" t="s">
        <v>9453</v>
      </c>
      <c r="D13032" t="str">
        <f>"8416"</f>
        <v>8416</v>
      </c>
      <c r="E13032" t="s">
        <v>9386</v>
      </c>
      <c r="F13032" t="s">
        <v>2068</v>
      </c>
      <c r="G13032" t="s">
        <v>46688</v>
      </c>
      <c r="H13032" t="s">
        <v>47071</v>
      </c>
      <c r="I13032" t="s">
        <v>47120</v>
      </c>
      <c r="J13032" t="s">
        <v>47121</v>
      </c>
      <c r="K13032" t="s">
        <v>47113</v>
      </c>
      <c r="L13032">
        <v>27.35</v>
      </c>
      <c r="M13032">
        <v>63</v>
      </c>
      <c r="N13032">
        <v>0</v>
      </c>
      <c r="O13032">
        <v>63</v>
      </c>
      <c r="P13032">
        <v>0</v>
      </c>
    </row>
    <row r="13033" spans="1:16" x14ac:dyDescent="0.25">
      <c r="A13033" t="s">
        <v>35865</v>
      </c>
      <c r="B13033" t="s">
        <v>9452</v>
      </c>
      <c r="C13033" t="s">
        <v>9453</v>
      </c>
      <c r="D13033" t="str">
        <f>"9614"</f>
        <v>9614</v>
      </c>
      <c r="E13033" t="s">
        <v>2314</v>
      </c>
      <c r="F13033" t="s">
        <v>2068</v>
      </c>
      <c r="G13033" t="s">
        <v>46688</v>
      </c>
      <c r="H13033" t="s">
        <v>47071</v>
      </c>
      <c r="I13033" t="s">
        <v>47120</v>
      </c>
      <c r="J13033" t="s">
        <v>47121</v>
      </c>
      <c r="K13033" t="s">
        <v>47113</v>
      </c>
      <c r="L13033">
        <v>27.35</v>
      </c>
      <c r="M13033">
        <v>63</v>
      </c>
      <c r="N13033">
        <v>0</v>
      </c>
      <c r="O13033">
        <v>63</v>
      </c>
      <c r="P13033">
        <v>0</v>
      </c>
    </row>
    <row r="13034" spans="1:16" x14ac:dyDescent="0.25">
      <c r="A13034" t="s">
        <v>35866</v>
      </c>
      <c r="B13034" t="s">
        <v>9454</v>
      </c>
      <c r="C13034" t="s">
        <v>9455</v>
      </c>
      <c r="D13034" t="str">
        <f>"1001"</f>
        <v>1001</v>
      </c>
      <c r="E13034" t="s">
        <v>42</v>
      </c>
      <c r="F13034" t="s">
        <v>1</v>
      </c>
      <c r="G13034" t="s">
        <v>46688</v>
      </c>
      <c r="H13034" t="s">
        <v>47071</v>
      </c>
      <c r="I13034" t="s">
        <v>47111</v>
      </c>
      <c r="J13034" t="s">
        <v>47112</v>
      </c>
      <c r="K13034" t="s">
        <v>47113</v>
      </c>
      <c r="L13034">
        <v>23.23</v>
      </c>
      <c r="M13034">
        <v>29</v>
      </c>
      <c r="N13034">
        <v>0</v>
      </c>
      <c r="O13034">
        <v>29</v>
      </c>
      <c r="P13034">
        <v>0</v>
      </c>
    </row>
    <row r="13035" spans="1:16" x14ac:dyDescent="0.25">
      <c r="A13035" t="s">
        <v>35867</v>
      </c>
      <c r="B13035" t="s">
        <v>9454</v>
      </c>
      <c r="C13035" t="s">
        <v>9455</v>
      </c>
      <c r="D13035" t="str">
        <f>"1200"</f>
        <v>1200</v>
      </c>
      <c r="E13035" t="s">
        <v>241</v>
      </c>
      <c r="F13035" t="s">
        <v>1</v>
      </c>
      <c r="G13035" t="s">
        <v>46688</v>
      </c>
      <c r="H13035" t="s">
        <v>47071</v>
      </c>
      <c r="I13035" t="s">
        <v>47111</v>
      </c>
      <c r="J13035" t="s">
        <v>47112</v>
      </c>
      <c r="K13035" t="s">
        <v>47113</v>
      </c>
      <c r="L13035">
        <v>23.23</v>
      </c>
      <c r="M13035">
        <v>29</v>
      </c>
      <c r="N13035">
        <v>0</v>
      </c>
      <c r="O13035">
        <v>29</v>
      </c>
      <c r="P13035">
        <v>0</v>
      </c>
    </row>
    <row r="13036" spans="1:16" x14ac:dyDescent="0.25">
      <c r="A13036" t="s">
        <v>35868</v>
      </c>
      <c r="B13036" t="s">
        <v>9454</v>
      </c>
      <c r="C13036" t="s">
        <v>9455</v>
      </c>
      <c r="D13036" t="str">
        <f>"4101"</f>
        <v>4101</v>
      </c>
      <c r="E13036" t="s">
        <v>43</v>
      </c>
      <c r="F13036" t="s">
        <v>1</v>
      </c>
      <c r="G13036" t="s">
        <v>46688</v>
      </c>
      <c r="H13036" t="s">
        <v>47071</v>
      </c>
      <c r="I13036" t="s">
        <v>47111</v>
      </c>
      <c r="J13036" t="s">
        <v>47112</v>
      </c>
      <c r="K13036" t="s">
        <v>47113</v>
      </c>
      <c r="L13036">
        <v>23.23</v>
      </c>
      <c r="M13036">
        <v>29</v>
      </c>
      <c r="N13036">
        <v>0</v>
      </c>
      <c r="O13036">
        <v>29</v>
      </c>
      <c r="P13036">
        <v>0</v>
      </c>
    </row>
    <row r="13037" spans="1:16" x14ac:dyDescent="0.25">
      <c r="A13037" t="s">
        <v>35869</v>
      </c>
      <c r="B13037" t="s">
        <v>9454</v>
      </c>
      <c r="C13037" t="s">
        <v>9455</v>
      </c>
      <c r="D13037" t="str">
        <f>"6372"</f>
        <v>6372</v>
      </c>
      <c r="E13037" t="s">
        <v>9456</v>
      </c>
      <c r="F13037" t="s">
        <v>1</v>
      </c>
      <c r="G13037" t="s">
        <v>46688</v>
      </c>
      <c r="H13037" t="s">
        <v>47071</v>
      </c>
      <c r="I13037" t="s">
        <v>47111</v>
      </c>
      <c r="J13037" t="s">
        <v>47112</v>
      </c>
      <c r="K13037" t="s">
        <v>47113</v>
      </c>
      <c r="L13037">
        <v>23.23</v>
      </c>
      <c r="M13037">
        <v>29</v>
      </c>
      <c r="N13037">
        <v>0</v>
      </c>
      <c r="O13037">
        <v>29</v>
      </c>
      <c r="P13037">
        <v>0</v>
      </c>
    </row>
    <row r="13038" spans="1:16" x14ac:dyDescent="0.25">
      <c r="A13038" t="s">
        <v>35870</v>
      </c>
      <c r="B13038" t="s">
        <v>9457</v>
      </c>
      <c r="C13038" t="s">
        <v>9458</v>
      </c>
      <c r="D13038" t="str">
        <f>"1001"</f>
        <v>1001</v>
      </c>
      <c r="E13038" t="s">
        <v>42</v>
      </c>
      <c r="F13038" t="s">
        <v>1</v>
      </c>
      <c r="G13038" t="s">
        <v>46688</v>
      </c>
      <c r="H13038" t="s">
        <v>47071</v>
      </c>
      <c r="I13038" t="s">
        <v>47111</v>
      </c>
      <c r="J13038" t="s">
        <v>47112</v>
      </c>
      <c r="K13038" t="s">
        <v>47113</v>
      </c>
      <c r="L13038">
        <v>17.420000000000002</v>
      </c>
      <c r="M13038">
        <v>22</v>
      </c>
      <c r="N13038">
        <v>0</v>
      </c>
      <c r="O13038">
        <v>22</v>
      </c>
      <c r="P13038">
        <v>0</v>
      </c>
    </row>
    <row r="13039" spans="1:16" x14ac:dyDescent="0.25">
      <c r="A13039" t="s">
        <v>35871</v>
      </c>
      <c r="B13039" t="s">
        <v>9457</v>
      </c>
      <c r="C13039" t="s">
        <v>9458</v>
      </c>
      <c r="D13039" t="str">
        <f>"1200"</f>
        <v>1200</v>
      </c>
      <c r="E13039" t="s">
        <v>241</v>
      </c>
      <c r="F13039" t="s">
        <v>1</v>
      </c>
      <c r="G13039" t="s">
        <v>46688</v>
      </c>
      <c r="H13039" t="s">
        <v>47071</v>
      </c>
      <c r="I13039" t="s">
        <v>47111</v>
      </c>
      <c r="J13039" t="s">
        <v>47112</v>
      </c>
      <c r="K13039" t="s">
        <v>47113</v>
      </c>
      <c r="L13039">
        <v>17.420000000000002</v>
      </c>
      <c r="M13039">
        <v>22</v>
      </c>
      <c r="N13039">
        <v>0</v>
      </c>
      <c r="O13039">
        <v>22</v>
      </c>
      <c r="P13039">
        <v>0</v>
      </c>
    </row>
    <row r="13040" spans="1:16" x14ac:dyDescent="0.25">
      <c r="A13040" t="s">
        <v>15016</v>
      </c>
      <c r="B13040" t="s">
        <v>9457</v>
      </c>
      <c r="C13040" t="s">
        <v>9458</v>
      </c>
      <c r="D13040" t="str">
        <f>"4101"</f>
        <v>4101</v>
      </c>
      <c r="E13040" t="s">
        <v>43</v>
      </c>
      <c r="F13040" t="s">
        <v>1</v>
      </c>
      <c r="G13040" t="s">
        <v>46688</v>
      </c>
      <c r="H13040" t="s">
        <v>47071</v>
      </c>
      <c r="I13040" t="s">
        <v>47111</v>
      </c>
      <c r="J13040" t="s">
        <v>47112</v>
      </c>
      <c r="K13040" t="s">
        <v>47113</v>
      </c>
      <c r="L13040">
        <v>17.420000000000002</v>
      </c>
      <c r="M13040">
        <v>22</v>
      </c>
      <c r="N13040">
        <v>0</v>
      </c>
      <c r="O13040">
        <v>22</v>
      </c>
      <c r="P13040">
        <v>0</v>
      </c>
    </row>
    <row r="13041" spans="1:16" x14ac:dyDescent="0.25">
      <c r="A13041" t="s">
        <v>35872</v>
      </c>
      <c r="B13041" t="s">
        <v>9457</v>
      </c>
      <c r="C13041" t="s">
        <v>9458</v>
      </c>
      <c r="D13041" t="str">
        <f>"6372"</f>
        <v>6372</v>
      </c>
      <c r="E13041" t="s">
        <v>9456</v>
      </c>
      <c r="F13041" t="s">
        <v>1</v>
      </c>
      <c r="G13041" t="s">
        <v>46688</v>
      </c>
      <c r="H13041" t="s">
        <v>47071</v>
      </c>
      <c r="I13041" t="s">
        <v>47111</v>
      </c>
      <c r="J13041" t="s">
        <v>47112</v>
      </c>
      <c r="K13041" t="s">
        <v>47113</v>
      </c>
      <c r="L13041">
        <v>17.420000000000002</v>
      </c>
      <c r="M13041">
        <v>22</v>
      </c>
      <c r="N13041">
        <v>0</v>
      </c>
      <c r="O13041">
        <v>22</v>
      </c>
      <c r="P13041">
        <v>0</v>
      </c>
    </row>
    <row r="13042" spans="1:16" x14ac:dyDescent="0.25">
      <c r="A13042" t="s">
        <v>35873</v>
      </c>
      <c r="B13042" t="s">
        <v>16359</v>
      </c>
      <c r="C13042" t="s">
        <v>16360</v>
      </c>
      <c r="D13042" t="str">
        <f>"1001"</f>
        <v>1001</v>
      </c>
      <c r="E13042" t="s">
        <v>42</v>
      </c>
      <c r="F13042" t="s">
        <v>3670</v>
      </c>
      <c r="G13042" t="s">
        <v>46688</v>
      </c>
      <c r="H13042" t="s">
        <v>47071</v>
      </c>
      <c r="I13042" t="s">
        <v>47120</v>
      </c>
      <c r="J13042" t="s">
        <v>47121</v>
      </c>
      <c r="K13042" t="s">
        <v>47113</v>
      </c>
      <c r="L13042">
        <v>20.149999999999999</v>
      </c>
      <c r="M13042">
        <v>30</v>
      </c>
      <c r="N13042">
        <v>0</v>
      </c>
      <c r="O13042">
        <v>30</v>
      </c>
      <c r="P13042">
        <v>0</v>
      </c>
    </row>
    <row r="13043" spans="1:16" x14ac:dyDescent="0.25">
      <c r="A13043" t="s">
        <v>35874</v>
      </c>
      <c r="B13043" t="s">
        <v>16359</v>
      </c>
      <c r="C13043" t="s">
        <v>16360</v>
      </c>
      <c r="D13043" t="str">
        <f>"6498"</f>
        <v>6498</v>
      </c>
      <c r="E13043" t="s">
        <v>16361</v>
      </c>
      <c r="F13043" t="s">
        <v>3670</v>
      </c>
      <c r="G13043" t="s">
        <v>46688</v>
      </c>
      <c r="H13043" t="s">
        <v>47071</v>
      </c>
      <c r="I13043" t="s">
        <v>47120</v>
      </c>
      <c r="J13043" t="s">
        <v>47121</v>
      </c>
      <c r="K13043" t="s">
        <v>47113</v>
      </c>
      <c r="L13043">
        <v>20.149999999999999</v>
      </c>
      <c r="M13043">
        <v>30</v>
      </c>
      <c r="N13043">
        <v>0</v>
      </c>
      <c r="O13043">
        <v>30</v>
      </c>
      <c r="P13043">
        <v>0</v>
      </c>
    </row>
    <row r="13044" spans="1:16" x14ac:dyDescent="0.25">
      <c r="A13044" t="s">
        <v>35875</v>
      </c>
      <c r="B13044" t="s">
        <v>16362</v>
      </c>
      <c r="C13044" t="s">
        <v>16363</v>
      </c>
      <c r="D13044" t="str">
        <f>"1001"</f>
        <v>1001</v>
      </c>
      <c r="E13044" t="s">
        <v>42</v>
      </c>
      <c r="F13044" t="s">
        <v>3670</v>
      </c>
      <c r="G13044" t="s">
        <v>46688</v>
      </c>
      <c r="H13044" t="s">
        <v>47071</v>
      </c>
      <c r="I13044" t="s">
        <v>47120</v>
      </c>
      <c r="J13044" t="s">
        <v>47121</v>
      </c>
      <c r="K13044" t="s">
        <v>47113</v>
      </c>
      <c r="L13044">
        <v>20.149999999999999</v>
      </c>
      <c r="M13044">
        <v>30</v>
      </c>
      <c r="N13044">
        <v>0</v>
      </c>
      <c r="O13044">
        <v>30</v>
      </c>
      <c r="P13044">
        <v>0</v>
      </c>
    </row>
    <row r="13045" spans="1:16" x14ac:dyDescent="0.25">
      <c r="A13045" t="s">
        <v>35876</v>
      </c>
      <c r="B13045" t="s">
        <v>16362</v>
      </c>
      <c r="C13045" t="s">
        <v>16363</v>
      </c>
      <c r="D13045" t="str">
        <f>"6498"</f>
        <v>6498</v>
      </c>
      <c r="E13045" t="s">
        <v>16361</v>
      </c>
      <c r="F13045" t="s">
        <v>3670</v>
      </c>
      <c r="G13045" t="s">
        <v>46688</v>
      </c>
      <c r="H13045" t="s">
        <v>47071</v>
      </c>
      <c r="I13045" t="s">
        <v>47120</v>
      </c>
      <c r="J13045" t="s">
        <v>47121</v>
      </c>
      <c r="K13045" t="s">
        <v>47113</v>
      </c>
      <c r="L13045">
        <v>20.149999999999999</v>
      </c>
      <c r="M13045">
        <v>30</v>
      </c>
      <c r="N13045">
        <v>0</v>
      </c>
      <c r="O13045">
        <v>30</v>
      </c>
      <c r="P13045">
        <v>0</v>
      </c>
    </row>
    <row r="13046" spans="1:16" x14ac:dyDescent="0.25">
      <c r="A13046" t="s">
        <v>35877</v>
      </c>
      <c r="B13046" t="s">
        <v>18024</v>
      </c>
      <c r="C13046" t="s">
        <v>18025</v>
      </c>
      <c r="D13046" t="str">
        <f>"1001"</f>
        <v>1001</v>
      </c>
      <c r="E13046" t="s">
        <v>42</v>
      </c>
      <c r="F13046" t="s">
        <v>3670</v>
      </c>
      <c r="G13046" t="s">
        <v>46688</v>
      </c>
      <c r="H13046" t="s">
        <v>47071</v>
      </c>
      <c r="I13046" t="s">
        <v>48040</v>
      </c>
      <c r="J13046" t="s">
        <v>48041</v>
      </c>
      <c r="K13046" t="s">
        <v>47113</v>
      </c>
      <c r="L13046">
        <v>10.71</v>
      </c>
      <c r="M13046">
        <v>26</v>
      </c>
      <c r="N13046">
        <v>0</v>
      </c>
      <c r="O13046">
        <v>26</v>
      </c>
      <c r="P13046">
        <v>0</v>
      </c>
    </row>
    <row r="13047" spans="1:16" x14ac:dyDescent="0.25">
      <c r="A13047" t="s">
        <v>35878</v>
      </c>
      <c r="B13047" t="s">
        <v>18024</v>
      </c>
      <c r="C13047" t="s">
        <v>18025</v>
      </c>
      <c r="D13047" t="str">
        <f>"1496"</f>
        <v>1496</v>
      </c>
      <c r="E13047" t="s">
        <v>7098</v>
      </c>
      <c r="F13047" t="s">
        <v>3670</v>
      </c>
      <c r="G13047" t="s">
        <v>46688</v>
      </c>
      <c r="H13047" t="s">
        <v>47071</v>
      </c>
      <c r="I13047" t="s">
        <v>48040</v>
      </c>
      <c r="J13047" t="s">
        <v>48041</v>
      </c>
      <c r="K13047" t="s">
        <v>47113</v>
      </c>
      <c r="L13047">
        <v>10.71</v>
      </c>
      <c r="M13047">
        <v>26</v>
      </c>
      <c r="N13047">
        <v>0</v>
      </c>
      <c r="O13047">
        <v>26</v>
      </c>
      <c r="P13047">
        <v>0</v>
      </c>
    </row>
    <row r="13048" spans="1:16" x14ac:dyDescent="0.25">
      <c r="A13048" t="s">
        <v>35879</v>
      </c>
      <c r="B13048" t="s">
        <v>18024</v>
      </c>
      <c r="C13048" t="s">
        <v>18025</v>
      </c>
      <c r="D13048" t="str">
        <f>"4100"</f>
        <v>4100</v>
      </c>
      <c r="E13048" t="s">
        <v>2383</v>
      </c>
      <c r="F13048" t="s">
        <v>15183</v>
      </c>
      <c r="G13048" t="s">
        <v>46688</v>
      </c>
      <c r="H13048" t="s">
        <v>47071</v>
      </c>
      <c r="I13048" t="s">
        <v>48040</v>
      </c>
      <c r="J13048" t="s">
        <v>48041</v>
      </c>
      <c r="K13048" t="s">
        <v>47113</v>
      </c>
      <c r="L13048">
        <v>10.71</v>
      </c>
      <c r="M13048">
        <v>29</v>
      </c>
      <c r="N13048">
        <v>0</v>
      </c>
      <c r="O13048">
        <v>29</v>
      </c>
      <c r="P13048">
        <v>0</v>
      </c>
    </row>
    <row r="13049" spans="1:16" x14ac:dyDescent="0.25">
      <c r="A13049" t="s">
        <v>35880</v>
      </c>
      <c r="B13049" t="s">
        <v>18024</v>
      </c>
      <c r="C13049" t="s">
        <v>18025</v>
      </c>
      <c r="D13049" t="str">
        <f>"4930"</f>
        <v>4930</v>
      </c>
      <c r="E13049" t="s">
        <v>7389</v>
      </c>
      <c r="F13049" t="s">
        <v>3670</v>
      </c>
      <c r="G13049" t="s">
        <v>46688</v>
      </c>
      <c r="H13049" t="s">
        <v>47071</v>
      </c>
      <c r="I13049" t="s">
        <v>48040</v>
      </c>
      <c r="J13049" t="s">
        <v>48041</v>
      </c>
      <c r="K13049" t="s">
        <v>47113</v>
      </c>
      <c r="L13049">
        <v>10.71</v>
      </c>
      <c r="M13049">
        <v>26</v>
      </c>
      <c r="N13049">
        <v>0</v>
      </c>
      <c r="O13049">
        <v>26</v>
      </c>
      <c r="P13049">
        <v>0</v>
      </c>
    </row>
    <row r="13050" spans="1:16" x14ac:dyDescent="0.25">
      <c r="A13050" t="s">
        <v>35881</v>
      </c>
      <c r="B13050" t="s">
        <v>18024</v>
      </c>
      <c r="C13050" t="s">
        <v>18025</v>
      </c>
      <c r="D13050" t="str">
        <f>"6064"</f>
        <v>6064</v>
      </c>
      <c r="E13050" t="s">
        <v>87</v>
      </c>
      <c r="F13050" t="s">
        <v>3670</v>
      </c>
      <c r="G13050" t="s">
        <v>46688</v>
      </c>
      <c r="H13050" t="s">
        <v>47071</v>
      </c>
      <c r="I13050" t="s">
        <v>48040</v>
      </c>
      <c r="J13050" t="s">
        <v>48041</v>
      </c>
      <c r="K13050" t="s">
        <v>47113</v>
      </c>
      <c r="L13050">
        <v>10.71</v>
      </c>
      <c r="M13050">
        <v>26</v>
      </c>
      <c r="N13050">
        <v>0</v>
      </c>
      <c r="O13050">
        <v>26</v>
      </c>
      <c r="P13050">
        <v>0</v>
      </c>
    </row>
    <row r="13051" spans="1:16" x14ac:dyDescent="0.25">
      <c r="A13051" t="s">
        <v>35882</v>
      </c>
      <c r="B13051" t="s">
        <v>18026</v>
      </c>
      <c r="C13051" t="s">
        <v>18027</v>
      </c>
      <c r="D13051" t="str">
        <f>"1001"</f>
        <v>1001</v>
      </c>
      <c r="E13051" t="s">
        <v>42</v>
      </c>
      <c r="F13051" t="s">
        <v>3670</v>
      </c>
      <c r="G13051" t="s">
        <v>46688</v>
      </c>
      <c r="H13051" t="s">
        <v>47071</v>
      </c>
      <c r="I13051" t="s">
        <v>47120</v>
      </c>
      <c r="J13051" t="s">
        <v>47121</v>
      </c>
      <c r="K13051" t="s">
        <v>47113</v>
      </c>
      <c r="L13051">
        <v>20.09</v>
      </c>
      <c r="M13051">
        <v>26</v>
      </c>
      <c r="N13051">
        <v>0</v>
      </c>
      <c r="O13051">
        <v>26</v>
      </c>
      <c r="P13051">
        <v>0</v>
      </c>
    </row>
    <row r="13052" spans="1:16" x14ac:dyDescent="0.25">
      <c r="A13052" t="s">
        <v>35883</v>
      </c>
      <c r="B13052" t="s">
        <v>18026</v>
      </c>
      <c r="C13052" t="s">
        <v>18027</v>
      </c>
      <c r="D13052" t="str">
        <f>"6064"</f>
        <v>6064</v>
      </c>
      <c r="E13052" t="s">
        <v>87</v>
      </c>
      <c r="F13052" t="s">
        <v>3670</v>
      </c>
      <c r="G13052" t="s">
        <v>46688</v>
      </c>
      <c r="H13052" t="s">
        <v>47071</v>
      </c>
      <c r="I13052" t="s">
        <v>47120</v>
      </c>
      <c r="J13052" t="s">
        <v>47121</v>
      </c>
      <c r="K13052" t="s">
        <v>47113</v>
      </c>
      <c r="L13052">
        <v>20.09</v>
      </c>
      <c r="M13052">
        <v>26</v>
      </c>
      <c r="N13052">
        <v>0</v>
      </c>
      <c r="O13052">
        <v>26</v>
      </c>
      <c r="P13052">
        <v>0</v>
      </c>
    </row>
    <row r="13053" spans="1:16" x14ac:dyDescent="0.25">
      <c r="A13053" t="s">
        <v>35884</v>
      </c>
      <c r="B13053" t="s">
        <v>35885</v>
      </c>
      <c r="C13053" t="s">
        <v>35886</v>
      </c>
      <c r="D13053" t="str">
        <f>"1001"</f>
        <v>1001</v>
      </c>
      <c r="E13053" t="s">
        <v>42</v>
      </c>
      <c r="F13053" t="s">
        <v>15183</v>
      </c>
      <c r="G13053" t="s">
        <v>46688</v>
      </c>
      <c r="H13053" t="s">
        <v>47071</v>
      </c>
      <c r="I13053" t="s">
        <v>47120</v>
      </c>
      <c r="J13053" t="s">
        <v>47121</v>
      </c>
      <c r="K13053" t="s">
        <v>47113</v>
      </c>
      <c r="L13053">
        <v>22.5</v>
      </c>
      <c r="M13053">
        <v>60</v>
      </c>
      <c r="N13053">
        <v>0</v>
      </c>
      <c r="O13053">
        <v>60</v>
      </c>
      <c r="P13053">
        <v>0</v>
      </c>
    </row>
    <row r="13054" spans="1:16" x14ac:dyDescent="0.25">
      <c r="A13054" t="s">
        <v>35887</v>
      </c>
      <c r="B13054" t="s">
        <v>35888</v>
      </c>
      <c r="C13054" t="s">
        <v>35889</v>
      </c>
      <c r="D13054" t="str">
        <f>"1001"</f>
        <v>1001</v>
      </c>
      <c r="E13054" t="s">
        <v>42</v>
      </c>
      <c r="F13054" t="s">
        <v>15183</v>
      </c>
      <c r="G13054" t="s">
        <v>46688</v>
      </c>
      <c r="H13054" t="s">
        <v>47071</v>
      </c>
      <c r="I13054" t="s">
        <v>48040</v>
      </c>
      <c r="J13054" t="s">
        <v>48041</v>
      </c>
      <c r="K13054" t="s">
        <v>47113</v>
      </c>
      <c r="L13054">
        <v>15</v>
      </c>
      <c r="M13054">
        <v>29</v>
      </c>
      <c r="N13054">
        <v>0</v>
      </c>
      <c r="O13054">
        <v>29</v>
      </c>
      <c r="P13054">
        <v>0</v>
      </c>
    </row>
    <row r="13055" spans="1:16" x14ac:dyDescent="0.25">
      <c r="A13055" t="s">
        <v>35890</v>
      </c>
      <c r="B13055" t="s">
        <v>35888</v>
      </c>
      <c r="C13055" t="s">
        <v>35889</v>
      </c>
      <c r="D13055" t="str">
        <f>"4100"</f>
        <v>4100</v>
      </c>
      <c r="E13055" t="s">
        <v>2383</v>
      </c>
      <c r="F13055" t="s">
        <v>15183</v>
      </c>
      <c r="G13055" t="s">
        <v>46688</v>
      </c>
      <c r="H13055" t="s">
        <v>47071</v>
      </c>
      <c r="I13055" t="s">
        <v>48040</v>
      </c>
      <c r="J13055" t="s">
        <v>48041</v>
      </c>
      <c r="K13055" t="s">
        <v>47113</v>
      </c>
      <c r="L13055">
        <v>15</v>
      </c>
      <c r="M13055">
        <v>29</v>
      </c>
      <c r="N13055">
        <v>0</v>
      </c>
      <c r="O13055">
        <v>29</v>
      </c>
      <c r="P13055">
        <v>0</v>
      </c>
    </row>
    <row r="13056" spans="1:16" x14ac:dyDescent="0.25">
      <c r="A13056" t="s">
        <v>35891</v>
      </c>
      <c r="B13056" t="s">
        <v>35892</v>
      </c>
      <c r="C13056" t="s">
        <v>35893</v>
      </c>
      <c r="D13056" t="str">
        <f>"1001"</f>
        <v>1001</v>
      </c>
      <c r="E13056" t="s">
        <v>42</v>
      </c>
      <c r="F13056" t="s">
        <v>15183</v>
      </c>
      <c r="G13056" t="s">
        <v>47131</v>
      </c>
      <c r="H13056" t="s">
        <v>47071</v>
      </c>
      <c r="I13056" t="s">
        <v>48040</v>
      </c>
      <c r="J13056" t="s">
        <v>48041</v>
      </c>
      <c r="K13056" t="s">
        <v>47113</v>
      </c>
      <c r="L13056">
        <v>22.5</v>
      </c>
      <c r="M13056">
        <v>43</v>
      </c>
      <c r="N13056">
        <v>0</v>
      </c>
      <c r="O13056">
        <v>43</v>
      </c>
      <c r="P13056">
        <v>0</v>
      </c>
    </row>
    <row r="13057" spans="1:16" x14ac:dyDescent="0.25">
      <c r="A13057" t="s">
        <v>35894</v>
      </c>
      <c r="B13057" t="s">
        <v>35892</v>
      </c>
      <c r="C13057" t="s">
        <v>35893</v>
      </c>
      <c r="D13057" t="str">
        <f>"4100"</f>
        <v>4100</v>
      </c>
      <c r="E13057" t="s">
        <v>2383</v>
      </c>
      <c r="F13057" t="s">
        <v>15183</v>
      </c>
      <c r="G13057" t="s">
        <v>47131</v>
      </c>
      <c r="H13057" t="s">
        <v>47071</v>
      </c>
      <c r="I13057" t="s">
        <v>48040</v>
      </c>
      <c r="J13057" t="s">
        <v>48041</v>
      </c>
      <c r="K13057" t="s">
        <v>47113</v>
      </c>
      <c r="L13057">
        <v>22.5</v>
      </c>
      <c r="M13057">
        <v>43</v>
      </c>
      <c r="N13057">
        <v>0</v>
      </c>
      <c r="O13057">
        <v>43</v>
      </c>
      <c r="P13057">
        <v>0</v>
      </c>
    </row>
    <row r="13058" spans="1:16" x14ac:dyDescent="0.25">
      <c r="A13058" t="s">
        <v>35895</v>
      </c>
      <c r="B13058" t="s">
        <v>35896</v>
      </c>
      <c r="C13058" t="s">
        <v>35897</v>
      </c>
      <c r="D13058" t="str">
        <f>"1001"</f>
        <v>1001</v>
      </c>
      <c r="E13058" t="s">
        <v>42</v>
      </c>
      <c r="F13058" t="s">
        <v>15183</v>
      </c>
      <c r="G13058" t="s">
        <v>48039</v>
      </c>
      <c r="H13058" t="s">
        <v>47071</v>
      </c>
      <c r="I13058" t="s">
        <v>48040</v>
      </c>
      <c r="J13058" t="s">
        <v>48041</v>
      </c>
      <c r="K13058" t="s">
        <v>47113</v>
      </c>
      <c r="L13058">
        <v>22.5</v>
      </c>
      <c r="M13058">
        <v>43</v>
      </c>
      <c r="N13058">
        <v>0</v>
      </c>
      <c r="O13058">
        <v>43</v>
      </c>
      <c r="P13058">
        <v>0</v>
      </c>
    </row>
    <row r="13059" spans="1:16" x14ac:dyDescent="0.25">
      <c r="A13059" t="s">
        <v>35898</v>
      </c>
      <c r="B13059" t="s">
        <v>35896</v>
      </c>
      <c r="C13059" t="s">
        <v>35897</v>
      </c>
      <c r="D13059" t="str">
        <f>"4100"</f>
        <v>4100</v>
      </c>
      <c r="E13059" t="s">
        <v>2383</v>
      </c>
      <c r="F13059" t="s">
        <v>15183</v>
      </c>
      <c r="G13059" t="s">
        <v>48039</v>
      </c>
      <c r="H13059" t="s">
        <v>47071</v>
      </c>
      <c r="I13059" t="s">
        <v>48040</v>
      </c>
      <c r="J13059" t="s">
        <v>48041</v>
      </c>
      <c r="K13059" t="s">
        <v>47113</v>
      </c>
      <c r="L13059">
        <v>22.5</v>
      </c>
      <c r="M13059">
        <v>43</v>
      </c>
      <c r="N13059">
        <v>0</v>
      </c>
      <c r="O13059">
        <v>43</v>
      </c>
      <c r="P13059">
        <v>0</v>
      </c>
    </row>
    <row r="13060" spans="1:16" x14ac:dyDescent="0.25">
      <c r="A13060" t="s">
        <v>35899</v>
      </c>
      <c r="B13060" t="s">
        <v>18028</v>
      </c>
      <c r="C13060" t="s">
        <v>18029</v>
      </c>
      <c r="D13060" t="str">
        <f>"1001"</f>
        <v>1001</v>
      </c>
      <c r="E13060" t="s">
        <v>42</v>
      </c>
      <c r="F13060" t="s">
        <v>3558</v>
      </c>
      <c r="G13060" t="s">
        <v>46688</v>
      </c>
      <c r="H13060" t="s">
        <v>47071</v>
      </c>
      <c r="I13060" t="s">
        <v>47120</v>
      </c>
      <c r="J13060" t="s">
        <v>47121</v>
      </c>
      <c r="K13060" t="s">
        <v>47113</v>
      </c>
      <c r="L13060">
        <v>20.09</v>
      </c>
      <c r="M13060">
        <v>26</v>
      </c>
      <c r="N13060">
        <v>0</v>
      </c>
      <c r="O13060">
        <v>26</v>
      </c>
      <c r="P13060">
        <v>0</v>
      </c>
    </row>
    <row r="13061" spans="1:16" x14ac:dyDescent="0.25">
      <c r="A13061" t="s">
        <v>35900</v>
      </c>
      <c r="B13061" t="s">
        <v>18028</v>
      </c>
      <c r="C13061" t="s">
        <v>18029</v>
      </c>
      <c r="D13061" t="str">
        <f>"4100"</f>
        <v>4100</v>
      </c>
      <c r="E13061" t="s">
        <v>2383</v>
      </c>
      <c r="F13061" t="s">
        <v>3558</v>
      </c>
      <c r="G13061" t="s">
        <v>46688</v>
      </c>
      <c r="H13061" t="s">
        <v>47071</v>
      </c>
      <c r="I13061" t="s">
        <v>47120</v>
      </c>
      <c r="J13061" t="s">
        <v>47121</v>
      </c>
      <c r="K13061" t="s">
        <v>47113</v>
      </c>
      <c r="L13061">
        <v>20.09</v>
      </c>
      <c r="M13061">
        <v>29</v>
      </c>
      <c r="N13061">
        <v>0</v>
      </c>
      <c r="O13061">
        <v>29</v>
      </c>
      <c r="P13061">
        <v>0</v>
      </c>
    </row>
    <row r="13062" spans="1:16" x14ac:dyDescent="0.25">
      <c r="A13062" t="s">
        <v>35901</v>
      </c>
      <c r="B13062" t="s">
        <v>18030</v>
      </c>
      <c r="C13062" t="s">
        <v>18031</v>
      </c>
      <c r="D13062" t="str">
        <f>"1001"</f>
        <v>1001</v>
      </c>
      <c r="E13062" t="s">
        <v>42</v>
      </c>
      <c r="F13062" t="s">
        <v>3558</v>
      </c>
      <c r="G13062" t="s">
        <v>46688</v>
      </c>
      <c r="H13062" t="s">
        <v>47071</v>
      </c>
      <c r="I13062" t="s">
        <v>47120</v>
      </c>
      <c r="J13062" t="s">
        <v>47121</v>
      </c>
      <c r="K13062" t="s">
        <v>47113</v>
      </c>
      <c r="L13062">
        <v>21.42</v>
      </c>
      <c r="M13062">
        <v>29</v>
      </c>
      <c r="N13062">
        <v>0</v>
      </c>
      <c r="O13062">
        <v>29</v>
      </c>
      <c r="P13062">
        <v>0</v>
      </c>
    </row>
    <row r="13063" spans="1:16" x14ac:dyDescent="0.25">
      <c r="A13063" t="s">
        <v>46955</v>
      </c>
      <c r="B13063" t="s">
        <v>18030</v>
      </c>
      <c r="C13063" t="s">
        <v>18031</v>
      </c>
      <c r="D13063" t="str">
        <f>"1468"</f>
        <v>1468</v>
      </c>
      <c r="E13063" t="s">
        <v>7761</v>
      </c>
      <c r="F13063" t="s">
        <v>3558</v>
      </c>
      <c r="G13063" t="s">
        <v>46688</v>
      </c>
      <c r="H13063" t="s">
        <v>47071</v>
      </c>
      <c r="I13063" t="s">
        <v>47120</v>
      </c>
      <c r="J13063" t="s">
        <v>47121</v>
      </c>
      <c r="K13063" t="s">
        <v>47113</v>
      </c>
      <c r="L13063">
        <v>25.67</v>
      </c>
      <c r="M13063">
        <v>36</v>
      </c>
      <c r="N13063">
        <v>89</v>
      </c>
      <c r="O13063">
        <v>36</v>
      </c>
      <c r="P13063">
        <v>89</v>
      </c>
    </row>
    <row r="13064" spans="1:16" x14ac:dyDescent="0.25">
      <c r="A13064" t="s">
        <v>46956</v>
      </c>
      <c r="B13064" t="s">
        <v>18030</v>
      </c>
      <c r="C13064" t="s">
        <v>18031</v>
      </c>
      <c r="D13064" t="str">
        <f>"1712"</f>
        <v>1712</v>
      </c>
      <c r="E13064" t="s">
        <v>16339</v>
      </c>
      <c r="F13064" t="s">
        <v>3558</v>
      </c>
      <c r="G13064" t="s">
        <v>46688</v>
      </c>
      <c r="H13064" t="s">
        <v>47071</v>
      </c>
      <c r="I13064" t="s">
        <v>47120</v>
      </c>
      <c r="J13064" t="s">
        <v>47121</v>
      </c>
      <c r="K13064" t="s">
        <v>47113</v>
      </c>
      <c r="L13064">
        <v>25.67</v>
      </c>
      <c r="M13064">
        <v>36</v>
      </c>
      <c r="N13064">
        <v>89</v>
      </c>
      <c r="O13064">
        <v>36</v>
      </c>
      <c r="P13064">
        <v>89</v>
      </c>
    </row>
    <row r="13065" spans="1:16" x14ac:dyDescent="0.25">
      <c r="A13065" t="s">
        <v>46957</v>
      </c>
      <c r="B13065" t="s">
        <v>18030</v>
      </c>
      <c r="C13065" t="s">
        <v>18031</v>
      </c>
      <c r="D13065" t="str">
        <f>"1836"</f>
        <v>1836</v>
      </c>
      <c r="E13065" t="s">
        <v>46740</v>
      </c>
      <c r="F13065" t="s">
        <v>3558</v>
      </c>
      <c r="G13065" t="s">
        <v>46688</v>
      </c>
      <c r="H13065" t="s">
        <v>47071</v>
      </c>
      <c r="I13065" t="s">
        <v>47120</v>
      </c>
      <c r="J13065" t="s">
        <v>47121</v>
      </c>
      <c r="K13065" t="s">
        <v>47113</v>
      </c>
      <c r="L13065">
        <v>25.67</v>
      </c>
      <c r="M13065">
        <v>36</v>
      </c>
      <c r="N13065">
        <v>89</v>
      </c>
      <c r="O13065">
        <v>36</v>
      </c>
      <c r="P13065">
        <v>89</v>
      </c>
    </row>
    <row r="13066" spans="1:16" x14ac:dyDescent="0.25">
      <c r="A13066" t="s">
        <v>35902</v>
      </c>
      <c r="B13066" t="s">
        <v>18030</v>
      </c>
      <c r="C13066" t="s">
        <v>18031</v>
      </c>
      <c r="D13066" t="str">
        <f>"4100"</f>
        <v>4100</v>
      </c>
      <c r="E13066" t="s">
        <v>2383</v>
      </c>
      <c r="F13066" t="s">
        <v>3558</v>
      </c>
      <c r="G13066" t="s">
        <v>46688</v>
      </c>
      <c r="H13066" t="s">
        <v>47071</v>
      </c>
      <c r="I13066" t="s">
        <v>47120</v>
      </c>
      <c r="J13066" t="s">
        <v>47121</v>
      </c>
      <c r="K13066" t="s">
        <v>47113</v>
      </c>
      <c r="L13066">
        <v>25.67</v>
      </c>
      <c r="M13066">
        <v>36</v>
      </c>
      <c r="N13066">
        <v>89</v>
      </c>
      <c r="O13066">
        <v>36</v>
      </c>
      <c r="P13066">
        <v>89</v>
      </c>
    </row>
    <row r="13067" spans="1:16" x14ac:dyDescent="0.25">
      <c r="A13067" t="s">
        <v>35903</v>
      </c>
      <c r="B13067" t="s">
        <v>18030</v>
      </c>
      <c r="C13067" t="s">
        <v>18031</v>
      </c>
      <c r="D13067" t="str">
        <f>"6064"</f>
        <v>6064</v>
      </c>
      <c r="E13067" t="s">
        <v>87</v>
      </c>
      <c r="F13067" t="s">
        <v>3558</v>
      </c>
      <c r="G13067" t="s">
        <v>46688</v>
      </c>
      <c r="H13067" t="s">
        <v>47071</v>
      </c>
      <c r="I13067" t="s">
        <v>47120</v>
      </c>
      <c r="J13067" t="s">
        <v>47121</v>
      </c>
      <c r="K13067" t="s">
        <v>47113</v>
      </c>
      <c r="L13067">
        <v>21.42</v>
      </c>
      <c r="M13067">
        <v>29</v>
      </c>
      <c r="N13067">
        <v>0</v>
      </c>
      <c r="O13067">
        <v>29</v>
      </c>
      <c r="P13067">
        <v>0</v>
      </c>
    </row>
    <row r="13068" spans="1:16" x14ac:dyDescent="0.25">
      <c r="A13068" t="s">
        <v>35904</v>
      </c>
      <c r="B13068" t="s">
        <v>18032</v>
      </c>
      <c r="C13068" t="s">
        <v>18033</v>
      </c>
      <c r="D13068" t="str">
        <f>"1001"</f>
        <v>1001</v>
      </c>
      <c r="E13068" t="s">
        <v>42</v>
      </c>
      <c r="F13068" t="s">
        <v>15183</v>
      </c>
      <c r="G13068" t="s">
        <v>46688</v>
      </c>
      <c r="H13068" t="s">
        <v>47071</v>
      </c>
      <c r="I13068" t="s">
        <v>48040</v>
      </c>
      <c r="J13068" t="s">
        <v>48041</v>
      </c>
      <c r="K13068" t="s">
        <v>47113</v>
      </c>
      <c r="L13068">
        <v>21.53</v>
      </c>
      <c r="M13068">
        <v>29</v>
      </c>
      <c r="N13068">
        <v>0</v>
      </c>
      <c r="O13068">
        <v>29</v>
      </c>
      <c r="P13068">
        <v>0</v>
      </c>
    </row>
    <row r="13069" spans="1:16" x14ac:dyDescent="0.25">
      <c r="A13069" t="s">
        <v>35905</v>
      </c>
      <c r="B13069" t="s">
        <v>18032</v>
      </c>
      <c r="C13069" t="s">
        <v>18033</v>
      </c>
      <c r="D13069" t="str">
        <f>"1468"</f>
        <v>1468</v>
      </c>
      <c r="E13069" t="s">
        <v>7761</v>
      </c>
      <c r="F13069" t="s">
        <v>15183</v>
      </c>
      <c r="G13069" t="s">
        <v>46688</v>
      </c>
      <c r="H13069" t="s">
        <v>47071</v>
      </c>
      <c r="I13069" t="s">
        <v>48040</v>
      </c>
      <c r="J13069" t="s">
        <v>48041</v>
      </c>
      <c r="K13069" t="s">
        <v>47113</v>
      </c>
      <c r="L13069">
        <v>21.53</v>
      </c>
      <c r="M13069">
        <v>29</v>
      </c>
      <c r="N13069">
        <v>0</v>
      </c>
      <c r="O13069">
        <v>29</v>
      </c>
      <c r="P13069">
        <v>0</v>
      </c>
    </row>
    <row r="13070" spans="1:16" x14ac:dyDescent="0.25">
      <c r="A13070" t="s">
        <v>35906</v>
      </c>
      <c r="B13070" t="s">
        <v>18032</v>
      </c>
      <c r="C13070" t="s">
        <v>18033</v>
      </c>
      <c r="D13070" t="str">
        <f>"1701"</f>
        <v>1701</v>
      </c>
      <c r="E13070" t="s">
        <v>55</v>
      </c>
      <c r="F13070" t="s">
        <v>15183</v>
      </c>
      <c r="G13070" t="s">
        <v>46688</v>
      </c>
      <c r="H13070" t="s">
        <v>47071</v>
      </c>
      <c r="I13070" t="s">
        <v>48040</v>
      </c>
      <c r="J13070" t="s">
        <v>48041</v>
      </c>
      <c r="K13070" t="s">
        <v>47113</v>
      </c>
      <c r="L13070">
        <v>21.53</v>
      </c>
      <c r="M13070">
        <v>29</v>
      </c>
      <c r="N13070">
        <v>0</v>
      </c>
      <c r="O13070">
        <v>29</v>
      </c>
      <c r="P13070">
        <v>0</v>
      </c>
    </row>
    <row r="13071" spans="1:16" x14ac:dyDescent="0.25">
      <c r="A13071" t="s">
        <v>35907</v>
      </c>
      <c r="B13071" t="s">
        <v>18032</v>
      </c>
      <c r="C13071" t="s">
        <v>18033</v>
      </c>
      <c r="D13071" t="str">
        <f>"6064"</f>
        <v>6064</v>
      </c>
      <c r="E13071" t="s">
        <v>87</v>
      </c>
      <c r="F13071" t="s">
        <v>15183</v>
      </c>
      <c r="G13071" t="s">
        <v>46688</v>
      </c>
      <c r="H13071" t="s">
        <v>47071</v>
      </c>
      <c r="I13071" t="s">
        <v>48040</v>
      </c>
      <c r="J13071" t="s">
        <v>48041</v>
      </c>
      <c r="K13071" t="s">
        <v>47113</v>
      </c>
      <c r="L13071">
        <v>21.53</v>
      </c>
      <c r="M13071">
        <v>29</v>
      </c>
      <c r="N13071">
        <v>0</v>
      </c>
      <c r="O13071">
        <v>29</v>
      </c>
      <c r="P13071">
        <v>0</v>
      </c>
    </row>
    <row r="13072" spans="1:16" x14ac:dyDescent="0.25">
      <c r="A13072" t="s">
        <v>35908</v>
      </c>
      <c r="B13072" t="s">
        <v>35909</v>
      </c>
      <c r="C13072" t="s">
        <v>35910</v>
      </c>
      <c r="D13072" t="str">
        <f>"1001"</f>
        <v>1001</v>
      </c>
      <c r="E13072" t="s">
        <v>42</v>
      </c>
      <c r="F13072" t="s">
        <v>20053</v>
      </c>
      <c r="G13072" t="s">
        <v>46688</v>
      </c>
      <c r="H13072" t="s">
        <v>47071</v>
      </c>
      <c r="I13072" t="s">
        <v>47120</v>
      </c>
      <c r="J13072" t="s">
        <v>47121</v>
      </c>
      <c r="K13072" t="s">
        <v>47113</v>
      </c>
      <c r="L13072">
        <v>32.99</v>
      </c>
      <c r="M13072">
        <v>54</v>
      </c>
      <c r="N13072">
        <v>0</v>
      </c>
      <c r="O13072">
        <v>54</v>
      </c>
      <c r="P13072">
        <v>0</v>
      </c>
    </row>
    <row r="13073" spans="1:16" x14ac:dyDescent="0.25">
      <c r="A13073" t="s">
        <v>35911</v>
      </c>
      <c r="B13073" t="s">
        <v>18034</v>
      </c>
      <c r="C13073" t="s">
        <v>18035</v>
      </c>
      <c r="D13073" t="str">
        <f>"1001"</f>
        <v>1001</v>
      </c>
      <c r="E13073" t="s">
        <v>42</v>
      </c>
      <c r="F13073" t="s">
        <v>15183</v>
      </c>
      <c r="G13073" t="s">
        <v>46688</v>
      </c>
      <c r="H13073" t="s">
        <v>47071</v>
      </c>
      <c r="I13073" t="s">
        <v>48040</v>
      </c>
      <c r="J13073" t="s">
        <v>48041</v>
      </c>
      <c r="K13073" t="s">
        <v>47113</v>
      </c>
      <c r="L13073">
        <v>15</v>
      </c>
      <c r="M13073">
        <v>60</v>
      </c>
      <c r="N13073">
        <v>0</v>
      </c>
      <c r="O13073">
        <v>60</v>
      </c>
      <c r="P13073">
        <v>0</v>
      </c>
    </row>
    <row r="13074" spans="1:16" x14ac:dyDescent="0.25">
      <c r="A13074" t="s">
        <v>35912</v>
      </c>
      <c r="B13074" t="s">
        <v>18034</v>
      </c>
      <c r="C13074" t="s">
        <v>18035</v>
      </c>
      <c r="D13074" t="str">
        <f>"5000"</f>
        <v>5000</v>
      </c>
      <c r="E13074" t="s">
        <v>9881</v>
      </c>
      <c r="F13074" t="s">
        <v>15183</v>
      </c>
      <c r="G13074" t="s">
        <v>46688</v>
      </c>
      <c r="H13074" t="s">
        <v>47071</v>
      </c>
      <c r="I13074" t="s">
        <v>48040</v>
      </c>
      <c r="J13074" t="s">
        <v>48041</v>
      </c>
      <c r="K13074" t="s">
        <v>47113</v>
      </c>
      <c r="L13074">
        <v>14.35</v>
      </c>
      <c r="M13074">
        <v>20</v>
      </c>
      <c r="N13074">
        <v>0</v>
      </c>
      <c r="O13074">
        <v>20</v>
      </c>
      <c r="P13074">
        <v>0</v>
      </c>
    </row>
    <row r="13075" spans="1:16" x14ac:dyDescent="0.25">
      <c r="A13075" t="s">
        <v>35913</v>
      </c>
      <c r="B13075" t="s">
        <v>18036</v>
      </c>
      <c r="C13075" t="s">
        <v>18037</v>
      </c>
      <c r="D13075" t="str">
        <f>"6064"</f>
        <v>6064</v>
      </c>
      <c r="E13075" t="s">
        <v>87</v>
      </c>
      <c r="F13075" t="s">
        <v>15183</v>
      </c>
      <c r="G13075" t="s">
        <v>48557</v>
      </c>
      <c r="H13075" t="s">
        <v>47071</v>
      </c>
      <c r="I13075" t="s">
        <v>47120</v>
      </c>
      <c r="J13075" t="s">
        <v>47121</v>
      </c>
      <c r="K13075" t="s">
        <v>47113</v>
      </c>
      <c r="L13075">
        <v>17.22</v>
      </c>
      <c r="M13075">
        <v>22</v>
      </c>
      <c r="N13075">
        <v>0</v>
      </c>
      <c r="O13075">
        <v>22</v>
      </c>
      <c r="P13075">
        <v>0</v>
      </c>
    </row>
    <row r="13076" spans="1:16" x14ac:dyDescent="0.25">
      <c r="A13076" t="s">
        <v>35914</v>
      </c>
      <c r="B13076" t="s">
        <v>18038</v>
      </c>
      <c r="C13076" t="s">
        <v>18039</v>
      </c>
      <c r="D13076" t="str">
        <f>"1001"</f>
        <v>1001</v>
      </c>
      <c r="E13076" t="s">
        <v>42</v>
      </c>
      <c r="F13076" t="s">
        <v>15183</v>
      </c>
      <c r="G13076" t="s">
        <v>46688</v>
      </c>
      <c r="H13076" t="s">
        <v>47071</v>
      </c>
      <c r="I13076" t="s">
        <v>47120</v>
      </c>
      <c r="J13076" t="s">
        <v>47121</v>
      </c>
      <c r="K13076" t="s">
        <v>47113</v>
      </c>
      <c r="L13076">
        <v>25.5</v>
      </c>
      <c r="M13076">
        <v>46</v>
      </c>
      <c r="N13076">
        <v>0</v>
      </c>
      <c r="O13076">
        <v>46</v>
      </c>
      <c r="P13076">
        <v>0</v>
      </c>
    </row>
    <row r="13077" spans="1:16" x14ac:dyDescent="0.25">
      <c r="A13077" t="s">
        <v>35915</v>
      </c>
      <c r="B13077" t="s">
        <v>18038</v>
      </c>
      <c r="C13077" t="s">
        <v>18039</v>
      </c>
      <c r="D13077" t="str">
        <f>"1468"</f>
        <v>1468</v>
      </c>
      <c r="E13077" t="s">
        <v>7761</v>
      </c>
      <c r="F13077" t="s">
        <v>15183</v>
      </c>
      <c r="G13077" t="s">
        <v>46688</v>
      </c>
      <c r="H13077" t="s">
        <v>47071</v>
      </c>
      <c r="I13077" t="s">
        <v>47120</v>
      </c>
      <c r="J13077" t="s">
        <v>47121</v>
      </c>
      <c r="K13077" t="s">
        <v>47113</v>
      </c>
      <c r="L13077">
        <v>25.5</v>
      </c>
      <c r="M13077">
        <v>46</v>
      </c>
      <c r="N13077">
        <v>0</v>
      </c>
      <c r="O13077">
        <v>46</v>
      </c>
      <c r="P13077">
        <v>0</v>
      </c>
    </row>
    <row r="13078" spans="1:16" x14ac:dyDescent="0.25">
      <c r="A13078" t="s">
        <v>35916</v>
      </c>
      <c r="B13078" t="s">
        <v>18038</v>
      </c>
      <c r="C13078" t="s">
        <v>18039</v>
      </c>
      <c r="D13078" t="str">
        <f>"4100"</f>
        <v>4100</v>
      </c>
      <c r="E13078" t="s">
        <v>2383</v>
      </c>
      <c r="F13078" t="s">
        <v>15183</v>
      </c>
      <c r="G13078" t="s">
        <v>46688</v>
      </c>
      <c r="H13078" t="s">
        <v>47071</v>
      </c>
      <c r="I13078" t="s">
        <v>47120</v>
      </c>
      <c r="J13078" t="s">
        <v>47121</v>
      </c>
      <c r="K13078" t="s">
        <v>47113</v>
      </c>
      <c r="L13078">
        <v>25.5</v>
      </c>
      <c r="M13078">
        <v>46</v>
      </c>
      <c r="N13078">
        <v>0</v>
      </c>
      <c r="O13078">
        <v>46</v>
      </c>
      <c r="P13078">
        <v>0</v>
      </c>
    </row>
    <row r="13079" spans="1:16" x14ac:dyDescent="0.25">
      <c r="A13079" t="s">
        <v>35917</v>
      </c>
      <c r="B13079" t="s">
        <v>21097</v>
      </c>
      <c r="C13079" t="s">
        <v>21098</v>
      </c>
      <c r="D13079" t="str">
        <f>"4100"</f>
        <v>4100</v>
      </c>
      <c r="E13079" t="s">
        <v>17644</v>
      </c>
      <c r="F13079" t="s">
        <v>16623</v>
      </c>
      <c r="G13079" t="s">
        <v>46688</v>
      </c>
      <c r="H13079" t="s">
        <v>47071</v>
      </c>
      <c r="I13079" t="s">
        <v>47120</v>
      </c>
      <c r="J13079" t="s">
        <v>47121</v>
      </c>
      <c r="K13079" t="s">
        <v>47113</v>
      </c>
      <c r="L13079">
        <v>27.28</v>
      </c>
      <c r="M13079">
        <v>56</v>
      </c>
      <c r="N13079">
        <v>0</v>
      </c>
      <c r="O13079">
        <v>56</v>
      </c>
      <c r="P13079">
        <v>0</v>
      </c>
    </row>
    <row r="13080" spans="1:16" x14ac:dyDescent="0.25">
      <c r="A13080" t="s">
        <v>35918</v>
      </c>
      <c r="B13080" t="s">
        <v>21099</v>
      </c>
      <c r="C13080" t="s">
        <v>21100</v>
      </c>
      <c r="D13080" t="str">
        <f>"4344"</f>
        <v>4344</v>
      </c>
      <c r="E13080" t="s">
        <v>21101</v>
      </c>
      <c r="F13080" t="s">
        <v>16623</v>
      </c>
      <c r="G13080" t="s">
        <v>46688</v>
      </c>
      <c r="H13080" t="s">
        <v>47071</v>
      </c>
      <c r="I13080" t="s">
        <v>47120</v>
      </c>
      <c r="J13080" t="s">
        <v>47121</v>
      </c>
      <c r="K13080" t="s">
        <v>47113</v>
      </c>
      <c r="L13080">
        <v>28.88</v>
      </c>
      <c r="M13080">
        <v>60</v>
      </c>
      <c r="N13080">
        <v>0</v>
      </c>
      <c r="O13080">
        <v>60</v>
      </c>
      <c r="P13080">
        <v>0</v>
      </c>
    </row>
    <row r="13081" spans="1:16" x14ac:dyDescent="0.25">
      <c r="A13081" t="s">
        <v>35919</v>
      </c>
      <c r="B13081" t="s">
        <v>21102</v>
      </c>
      <c r="C13081" t="s">
        <v>21103</v>
      </c>
      <c r="D13081" t="str">
        <f>"4344"</f>
        <v>4344</v>
      </c>
      <c r="E13081" t="s">
        <v>21101</v>
      </c>
      <c r="F13081" t="s">
        <v>16623</v>
      </c>
      <c r="G13081" t="s">
        <v>46688</v>
      </c>
      <c r="H13081" t="s">
        <v>47071</v>
      </c>
      <c r="I13081" t="s">
        <v>47120</v>
      </c>
      <c r="J13081" t="s">
        <v>47121</v>
      </c>
      <c r="K13081" t="s">
        <v>47113</v>
      </c>
      <c r="L13081">
        <v>32.090000000000003</v>
      </c>
      <c r="M13081">
        <v>67</v>
      </c>
      <c r="N13081">
        <v>0</v>
      </c>
      <c r="O13081">
        <v>67</v>
      </c>
      <c r="P13081">
        <v>0</v>
      </c>
    </row>
    <row r="13082" spans="1:16" x14ac:dyDescent="0.25">
      <c r="A13082" t="s">
        <v>35920</v>
      </c>
      <c r="B13082" t="s">
        <v>21104</v>
      </c>
      <c r="C13082" t="s">
        <v>21105</v>
      </c>
      <c r="D13082" t="str">
        <f>"4100"</f>
        <v>4100</v>
      </c>
      <c r="E13082" t="s">
        <v>17644</v>
      </c>
      <c r="F13082" t="s">
        <v>16623</v>
      </c>
      <c r="G13082" t="s">
        <v>46688</v>
      </c>
      <c r="H13082" t="s">
        <v>47071</v>
      </c>
      <c r="I13082" t="s">
        <v>47120</v>
      </c>
      <c r="J13082" t="s">
        <v>47121</v>
      </c>
      <c r="K13082" t="s">
        <v>47113</v>
      </c>
      <c r="L13082">
        <v>25.67</v>
      </c>
      <c r="M13082">
        <v>54</v>
      </c>
      <c r="N13082">
        <v>0</v>
      </c>
      <c r="O13082">
        <v>54</v>
      </c>
      <c r="P13082">
        <v>0</v>
      </c>
    </row>
    <row r="13083" spans="1:16" x14ac:dyDescent="0.25">
      <c r="A13083" t="s">
        <v>35921</v>
      </c>
      <c r="B13083" t="s">
        <v>21104</v>
      </c>
      <c r="C13083" t="s">
        <v>21105</v>
      </c>
      <c r="D13083" t="str">
        <f>"6064"</f>
        <v>6064</v>
      </c>
      <c r="E13083" t="s">
        <v>21106</v>
      </c>
      <c r="F13083" t="s">
        <v>16623</v>
      </c>
      <c r="G13083" t="s">
        <v>46688</v>
      </c>
      <c r="H13083" t="s">
        <v>47071</v>
      </c>
      <c r="I13083" t="s">
        <v>47120</v>
      </c>
      <c r="J13083" t="s">
        <v>47121</v>
      </c>
      <c r="K13083" t="s">
        <v>47113</v>
      </c>
      <c r="L13083">
        <v>25.67</v>
      </c>
      <c r="M13083">
        <v>54</v>
      </c>
      <c r="N13083">
        <v>0</v>
      </c>
      <c r="O13083">
        <v>54</v>
      </c>
      <c r="P13083">
        <v>0</v>
      </c>
    </row>
    <row r="13084" spans="1:16" x14ac:dyDescent="0.25">
      <c r="A13084" t="s">
        <v>35922</v>
      </c>
      <c r="B13084" t="s">
        <v>35923</v>
      </c>
      <c r="C13084" t="s">
        <v>35924</v>
      </c>
      <c r="D13084" t="str">
        <f>"4344"</f>
        <v>4344</v>
      </c>
      <c r="E13084" t="s">
        <v>21101</v>
      </c>
      <c r="F13084" t="s">
        <v>16623</v>
      </c>
      <c r="G13084" t="s">
        <v>46688</v>
      </c>
      <c r="H13084" t="s">
        <v>47071</v>
      </c>
      <c r="I13084" t="s">
        <v>47120</v>
      </c>
      <c r="J13084" t="s">
        <v>47121</v>
      </c>
      <c r="K13084" t="s">
        <v>47113</v>
      </c>
      <c r="L13084">
        <v>29.99</v>
      </c>
      <c r="M13084">
        <v>56</v>
      </c>
      <c r="N13084">
        <v>0</v>
      </c>
      <c r="O13084">
        <v>56</v>
      </c>
      <c r="P13084">
        <v>0</v>
      </c>
    </row>
    <row r="13085" spans="1:16" x14ac:dyDescent="0.25">
      <c r="A13085" t="s">
        <v>35925</v>
      </c>
      <c r="B13085" t="s">
        <v>35926</v>
      </c>
      <c r="C13085" t="s">
        <v>35927</v>
      </c>
      <c r="D13085" t="str">
        <f>"1001"</f>
        <v>1001</v>
      </c>
      <c r="E13085" t="s">
        <v>42</v>
      </c>
      <c r="F13085" t="s">
        <v>16623</v>
      </c>
      <c r="G13085" t="s">
        <v>46688</v>
      </c>
      <c r="H13085" t="s">
        <v>47071</v>
      </c>
      <c r="I13085" t="s">
        <v>47120</v>
      </c>
      <c r="J13085" t="s">
        <v>47121</v>
      </c>
      <c r="K13085" t="s">
        <v>47113</v>
      </c>
      <c r="L13085">
        <v>22.5</v>
      </c>
      <c r="M13085">
        <v>43</v>
      </c>
      <c r="N13085">
        <v>0</v>
      </c>
      <c r="O13085">
        <v>43</v>
      </c>
      <c r="P13085">
        <v>0</v>
      </c>
    </row>
    <row r="13086" spans="1:16" x14ac:dyDescent="0.25">
      <c r="A13086" t="s">
        <v>35928</v>
      </c>
      <c r="B13086" t="s">
        <v>35926</v>
      </c>
      <c r="C13086" t="s">
        <v>35927</v>
      </c>
      <c r="D13086" t="str">
        <f>"3514"</f>
        <v>3514</v>
      </c>
      <c r="E13086" t="s">
        <v>16876</v>
      </c>
      <c r="F13086" t="s">
        <v>16623</v>
      </c>
      <c r="G13086" t="s">
        <v>46688</v>
      </c>
      <c r="H13086" t="s">
        <v>47071</v>
      </c>
      <c r="I13086" t="s">
        <v>47120</v>
      </c>
      <c r="J13086" t="s">
        <v>47121</v>
      </c>
      <c r="K13086" t="s">
        <v>47113</v>
      </c>
      <c r="L13086">
        <v>22.5</v>
      </c>
      <c r="M13086">
        <v>43</v>
      </c>
      <c r="N13086">
        <v>0</v>
      </c>
      <c r="O13086">
        <v>43</v>
      </c>
      <c r="P13086">
        <v>0</v>
      </c>
    </row>
    <row r="13087" spans="1:16" x14ac:dyDescent="0.25">
      <c r="A13087" t="s">
        <v>35929</v>
      </c>
      <c r="B13087" t="s">
        <v>35926</v>
      </c>
      <c r="C13087" t="s">
        <v>35927</v>
      </c>
      <c r="D13087" t="str">
        <f>"4100"</f>
        <v>4100</v>
      </c>
      <c r="E13087" t="s">
        <v>17644</v>
      </c>
      <c r="F13087" t="s">
        <v>16623</v>
      </c>
      <c r="G13087" t="s">
        <v>46688</v>
      </c>
      <c r="H13087" t="s">
        <v>47071</v>
      </c>
      <c r="I13087" t="s">
        <v>47120</v>
      </c>
      <c r="J13087" t="s">
        <v>47121</v>
      </c>
      <c r="K13087" t="s">
        <v>47113</v>
      </c>
      <c r="L13087">
        <v>22.5</v>
      </c>
      <c r="M13087">
        <v>43</v>
      </c>
      <c r="N13087">
        <v>0</v>
      </c>
      <c r="O13087">
        <v>43</v>
      </c>
      <c r="P13087">
        <v>0</v>
      </c>
    </row>
    <row r="13088" spans="1:16" x14ac:dyDescent="0.25">
      <c r="A13088" t="s">
        <v>35930</v>
      </c>
      <c r="B13088" t="s">
        <v>21107</v>
      </c>
      <c r="C13088" t="s">
        <v>21108</v>
      </c>
      <c r="D13088" t="str">
        <f>"4144"</f>
        <v>4144</v>
      </c>
      <c r="E13088" t="s">
        <v>21109</v>
      </c>
      <c r="F13088" t="s">
        <v>16623</v>
      </c>
      <c r="G13088" t="s">
        <v>46688</v>
      </c>
      <c r="H13088" t="s">
        <v>47071</v>
      </c>
      <c r="I13088" t="s">
        <v>47120</v>
      </c>
      <c r="J13088" t="s">
        <v>47121</v>
      </c>
      <c r="K13088" t="s">
        <v>47113</v>
      </c>
      <c r="L13088">
        <v>27.28</v>
      </c>
      <c r="M13088">
        <v>56</v>
      </c>
      <c r="N13088">
        <v>0</v>
      </c>
      <c r="O13088">
        <v>56</v>
      </c>
      <c r="P13088">
        <v>0</v>
      </c>
    </row>
    <row r="13089" spans="1:16" x14ac:dyDescent="0.25">
      <c r="A13089" t="s">
        <v>35931</v>
      </c>
      <c r="B13089" t="s">
        <v>35932</v>
      </c>
      <c r="C13089" t="s">
        <v>35933</v>
      </c>
      <c r="D13089" t="str">
        <f>"1001"</f>
        <v>1001</v>
      </c>
      <c r="E13089" t="s">
        <v>42</v>
      </c>
      <c r="F13089" t="s">
        <v>16623</v>
      </c>
      <c r="G13089" t="s">
        <v>46688</v>
      </c>
      <c r="H13089" t="s">
        <v>47071</v>
      </c>
      <c r="I13089" t="s">
        <v>47120</v>
      </c>
      <c r="J13089" t="s">
        <v>47121</v>
      </c>
      <c r="K13089" t="s">
        <v>47113</v>
      </c>
      <c r="L13089">
        <v>22.5</v>
      </c>
      <c r="M13089">
        <v>43</v>
      </c>
      <c r="N13089">
        <v>0</v>
      </c>
      <c r="O13089">
        <v>43</v>
      </c>
      <c r="P13089">
        <v>0</v>
      </c>
    </row>
    <row r="13090" spans="1:16" x14ac:dyDescent="0.25">
      <c r="A13090" t="s">
        <v>35934</v>
      </c>
      <c r="B13090" t="s">
        <v>35932</v>
      </c>
      <c r="C13090" t="s">
        <v>35933</v>
      </c>
      <c r="D13090" t="str">
        <f>"3514"</f>
        <v>3514</v>
      </c>
      <c r="E13090" t="s">
        <v>16876</v>
      </c>
      <c r="F13090" t="s">
        <v>16623</v>
      </c>
      <c r="G13090" t="s">
        <v>46688</v>
      </c>
      <c r="H13090" t="s">
        <v>47071</v>
      </c>
      <c r="I13090" t="s">
        <v>47120</v>
      </c>
      <c r="J13090" t="s">
        <v>47121</v>
      </c>
      <c r="K13090" t="s">
        <v>47113</v>
      </c>
      <c r="L13090">
        <v>22.5</v>
      </c>
      <c r="M13090">
        <v>43</v>
      </c>
      <c r="N13090">
        <v>0</v>
      </c>
      <c r="O13090">
        <v>43</v>
      </c>
      <c r="P13090">
        <v>0</v>
      </c>
    </row>
    <row r="13091" spans="1:16" x14ac:dyDescent="0.25">
      <c r="A13091" t="s">
        <v>35935</v>
      </c>
      <c r="B13091" t="s">
        <v>21110</v>
      </c>
      <c r="C13091" t="s">
        <v>21111</v>
      </c>
      <c r="D13091" t="str">
        <f>"1001"</f>
        <v>1001</v>
      </c>
      <c r="E13091" t="s">
        <v>42</v>
      </c>
      <c r="F13091" t="s">
        <v>3750</v>
      </c>
      <c r="G13091" t="s">
        <v>46688</v>
      </c>
      <c r="H13091" t="s">
        <v>47071</v>
      </c>
      <c r="I13091" t="s">
        <v>47120</v>
      </c>
      <c r="J13091" t="s">
        <v>47121</v>
      </c>
      <c r="K13091" t="s">
        <v>47113</v>
      </c>
      <c r="L13091">
        <v>9.94</v>
      </c>
      <c r="M13091">
        <v>34</v>
      </c>
      <c r="N13091">
        <v>0</v>
      </c>
      <c r="O13091">
        <v>34</v>
      </c>
      <c r="P13091">
        <v>0</v>
      </c>
    </row>
    <row r="13092" spans="1:16" x14ac:dyDescent="0.25">
      <c r="A13092" t="s">
        <v>35936</v>
      </c>
      <c r="B13092" t="s">
        <v>21110</v>
      </c>
      <c r="C13092" t="s">
        <v>21111</v>
      </c>
      <c r="D13092" t="str">
        <f>"3071"</f>
        <v>3071</v>
      </c>
      <c r="E13092" t="s">
        <v>4767</v>
      </c>
      <c r="F13092" t="s">
        <v>3750</v>
      </c>
      <c r="G13092" t="s">
        <v>46688</v>
      </c>
      <c r="H13092" t="s">
        <v>47071</v>
      </c>
      <c r="I13092" t="s">
        <v>47120</v>
      </c>
      <c r="J13092" t="s">
        <v>47121</v>
      </c>
      <c r="K13092" t="s">
        <v>47113</v>
      </c>
      <c r="L13092">
        <v>9.94</v>
      </c>
      <c r="M13092">
        <v>34</v>
      </c>
      <c r="N13092">
        <v>0</v>
      </c>
      <c r="O13092">
        <v>34</v>
      </c>
      <c r="P13092">
        <v>0</v>
      </c>
    </row>
    <row r="13093" spans="1:16" x14ac:dyDescent="0.25">
      <c r="A13093" t="s">
        <v>35937</v>
      </c>
      <c r="B13093" t="s">
        <v>21112</v>
      </c>
      <c r="C13093" t="s">
        <v>21113</v>
      </c>
      <c r="D13093" t="str">
        <f>"1001"</f>
        <v>1001</v>
      </c>
      <c r="E13093" t="s">
        <v>42</v>
      </c>
      <c r="F13093" t="s">
        <v>3750</v>
      </c>
      <c r="G13093" t="s">
        <v>46688</v>
      </c>
      <c r="H13093" t="s">
        <v>47071</v>
      </c>
      <c r="I13093" t="s">
        <v>47120</v>
      </c>
      <c r="J13093" t="s">
        <v>47121</v>
      </c>
      <c r="K13093" t="s">
        <v>47113</v>
      </c>
      <c r="L13093">
        <v>9.94</v>
      </c>
      <c r="M13093">
        <v>34</v>
      </c>
      <c r="N13093">
        <v>0</v>
      </c>
      <c r="O13093">
        <v>34</v>
      </c>
      <c r="P13093">
        <v>0</v>
      </c>
    </row>
    <row r="13094" spans="1:16" x14ac:dyDescent="0.25">
      <c r="A13094" t="s">
        <v>35938</v>
      </c>
      <c r="B13094" t="s">
        <v>21112</v>
      </c>
      <c r="C13094" t="s">
        <v>21113</v>
      </c>
      <c r="D13094" t="str">
        <f>"1700"</f>
        <v>1700</v>
      </c>
      <c r="E13094" t="s">
        <v>60</v>
      </c>
      <c r="F13094" t="s">
        <v>3750</v>
      </c>
      <c r="G13094" t="s">
        <v>46688</v>
      </c>
      <c r="H13094" t="s">
        <v>47071</v>
      </c>
      <c r="I13094" t="s">
        <v>47120</v>
      </c>
      <c r="J13094" t="s">
        <v>47121</v>
      </c>
      <c r="K13094" t="s">
        <v>47113</v>
      </c>
      <c r="L13094">
        <v>9.94</v>
      </c>
      <c r="M13094">
        <v>34</v>
      </c>
      <c r="N13094">
        <v>0</v>
      </c>
      <c r="O13094">
        <v>34</v>
      </c>
      <c r="P13094">
        <v>0</v>
      </c>
    </row>
    <row r="13095" spans="1:16" x14ac:dyDescent="0.25">
      <c r="A13095" t="s">
        <v>35939</v>
      </c>
      <c r="B13095" t="s">
        <v>21114</v>
      </c>
      <c r="C13095" t="s">
        <v>21115</v>
      </c>
      <c r="D13095" t="str">
        <f>"4100"</f>
        <v>4100</v>
      </c>
      <c r="E13095" t="s">
        <v>2383</v>
      </c>
      <c r="F13095" t="s">
        <v>3750</v>
      </c>
      <c r="G13095" t="s">
        <v>46688</v>
      </c>
      <c r="H13095" t="s">
        <v>47071</v>
      </c>
      <c r="I13095" t="s">
        <v>47120</v>
      </c>
      <c r="J13095" t="s">
        <v>47121</v>
      </c>
      <c r="K13095" t="s">
        <v>47113</v>
      </c>
      <c r="L13095">
        <v>9.94</v>
      </c>
      <c r="M13095">
        <v>34</v>
      </c>
      <c r="N13095">
        <v>0</v>
      </c>
      <c r="O13095">
        <v>34</v>
      </c>
      <c r="P13095">
        <v>0</v>
      </c>
    </row>
    <row r="13096" spans="1:16" x14ac:dyDescent="0.25">
      <c r="A13096" t="s">
        <v>35940</v>
      </c>
      <c r="B13096" t="s">
        <v>21114</v>
      </c>
      <c r="C13096" t="s">
        <v>21115</v>
      </c>
      <c r="D13096" t="str">
        <f>"6433"</f>
        <v>6433</v>
      </c>
      <c r="E13096" t="s">
        <v>7168</v>
      </c>
      <c r="F13096" t="s">
        <v>3750</v>
      </c>
      <c r="G13096" t="s">
        <v>46688</v>
      </c>
      <c r="H13096" t="s">
        <v>47071</v>
      </c>
      <c r="I13096" t="s">
        <v>47120</v>
      </c>
      <c r="J13096" t="s">
        <v>47121</v>
      </c>
      <c r="K13096" t="s">
        <v>47113</v>
      </c>
      <c r="L13096">
        <v>9.94</v>
      </c>
      <c r="M13096">
        <v>34</v>
      </c>
      <c r="N13096">
        <v>0</v>
      </c>
      <c r="O13096">
        <v>34</v>
      </c>
      <c r="P13096">
        <v>0</v>
      </c>
    </row>
    <row r="13097" spans="1:16" x14ac:dyDescent="0.25">
      <c r="A13097" t="s">
        <v>35941</v>
      </c>
      <c r="B13097" t="s">
        <v>35942</v>
      </c>
      <c r="C13097" t="s">
        <v>35943</v>
      </c>
      <c r="D13097" t="str">
        <f>"1001"</f>
        <v>1001</v>
      </c>
      <c r="E13097" t="s">
        <v>42</v>
      </c>
      <c r="F13097" t="s">
        <v>20053</v>
      </c>
      <c r="G13097" t="s">
        <v>46688</v>
      </c>
      <c r="H13097" t="s">
        <v>47071</v>
      </c>
      <c r="I13097" t="s">
        <v>47176</v>
      </c>
      <c r="J13097" t="s">
        <v>47177</v>
      </c>
      <c r="K13097" t="s">
        <v>47113</v>
      </c>
      <c r="L13097">
        <v>17.399999999999999</v>
      </c>
      <c r="M13097">
        <v>29</v>
      </c>
      <c r="N13097">
        <v>0</v>
      </c>
      <c r="O13097">
        <v>29</v>
      </c>
      <c r="P13097">
        <v>0</v>
      </c>
    </row>
    <row r="13098" spans="1:16" x14ac:dyDescent="0.25">
      <c r="A13098" t="s">
        <v>35944</v>
      </c>
      <c r="B13098" t="s">
        <v>35942</v>
      </c>
      <c r="C13098" t="s">
        <v>35943</v>
      </c>
      <c r="D13098" t="str">
        <f>"6064"</f>
        <v>6064</v>
      </c>
      <c r="E13098" t="s">
        <v>87</v>
      </c>
      <c r="F13098" t="s">
        <v>20053</v>
      </c>
      <c r="G13098" t="s">
        <v>46688</v>
      </c>
      <c r="H13098" t="s">
        <v>47071</v>
      </c>
      <c r="I13098" t="s">
        <v>47176</v>
      </c>
      <c r="J13098" t="s">
        <v>47177</v>
      </c>
      <c r="K13098" t="s">
        <v>47113</v>
      </c>
      <c r="L13098">
        <v>17.399999999999999</v>
      </c>
      <c r="M13098">
        <v>29</v>
      </c>
      <c r="N13098">
        <v>0</v>
      </c>
      <c r="O13098">
        <v>29</v>
      </c>
      <c r="P13098">
        <v>0</v>
      </c>
    </row>
    <row r="13099" spans="1:16" x14ac:dyDescent="0.25">
      <c r="A13099" t="s">
        <v>35945</v>
      </c>
      <c r="B13099" t="s">
        <v>35946</v>
      </c>
      <c r="C13099" t="s">
        <v>9437</v>
      </c>
      <c r="D13099" t="str">
        <f>"1102"</f>
        <v>1102</v>
      </c>
      <c r="E13099" t="s">
        <v>4741</v>
      </c>
      <c r="F13099" t="s">
        <v>20053</v>
      </c>
      <c r="G13099" t="s">
        <v>46688</v>
      </c>
      <c r="H13099" t="s">
        <v>47071</v>
      </c>
      <c r="I13099" t="s">
        <v>48040</v>
      </c>
      <c r="J13099" t="s">
        <v>48041</v>
      </c>
      <c r="K13099" t="s">
        <v>47113</v>
      </c>
      <c r="L13099">
        <v>20.99</v>
      </c>
      <c r="M13099">
        <v>29</v>
      </c>
      <c r="N13099">
        <v>0</v>
      </c>
      <c r="O13099">
        <v>29</v>
      </c>
      <c r="P13099">
        <v>0</v>
      </c>
    </row>
    <row r="13100" spans="1:16" x14ac:dyDescent="0.25">
      <c r="A13100" t="s">
        <v>35947</v>
      </c>
      <c r="B13100" t="s">
        <v>35946</v>
      </c>
      <c r="C13100" t="s">
        <v>9437</v>
      </c>
      <c r="D13100" t="str">
        <f>"3071"</f>
        <v>3071</v>
      </c>
      <c r="E13100" t="s">
        <v>4767</v>
      </c>
      <c r="F13100" t="s">
        <v>20053</v>
      </c>
      <c r="G13100" t="s">
        <v>46688</v>
      </c>
      <c r="H13100" t="s">
        <v>47071</v>
      </c>
      <c r="I13100" t="s">
        <v>48040</v>
      </c>
      <c r="J13100" t="s">
        <v>48041</v>
      </c>
      <c r="K13100" t="s">
        <v>47113</v>
      </c>
      <c r="L13100">
        <v>20.99</v>
      </c>
      <c r="M13100">
        <v>29</v>
      </c>
      <c r="N13100">
        <v>0</v>
      </c>
      <c r="O13100">
        <v>29</v>
      </c>
      <c r="P13100">
        <v>0</v>
      </c>
    </row>
    <row r="13101" spans="1:16" x14ac:dyDescent="0.25">
      <c r="A13101" t="s">
        <v>35948</v>
      </c>
      <c r="B13101" t="s">
        <v>21116</v>
      </c>
      <c r="C13101" t="s">
        <v>21117</v>
      </c>
      <c r="D13101" t="str">
        <f>"1001"</f>
        <v>1001</v>
      </c>
      <c r="E13101" t="s">
        <v>42</v>
      </c>
      <c r="F13101" t="s">
        <v>17351</v>
      </c>
      <c r="G13101" t="s">
        <v>46688</v>
      </c>
      <c r="H13101" t="s">
        <v>47071</v>
      </c>
      <c r="I13101" t="s">
        <v>47176</v>
      </c>
      <c r="J13101" t="s">
        <v>47177</v>
      </c>
      <c r="K13101" t="s">
        <v>47113</v>
      </c>
      <c r="L13101">
        <v>0</v>
      </c>
      <c r="M13101">
        <v>34</v>
      </c>
      <c r="N13101">
        <v>0</v>
      </c>
      <c r="O13101">
        <v>34</v>
      </c>
      <c r="P13101">
        <v>0</v>
      </c>
    </row>
    <row r="13102" spans="1:16" x14ac:dyDescent="0.25">
      <c r="A13102" t="s">
        <v>35949</v>
      </c>
      <c r="B13102" t="s">
        <v>21118</v>
      </c>
      <c r="C13102" t="s">
        <v>21119</v>
      </c>
      <c r="D13102" t="str">
        <f>"1700"</f>
        <v>1700</v>
      </c>
      <c r="E13102" t="s">
        <v>60</v>
      </c>
      <c r="F13102" t="s">
        <v>16933</v>
      </c>
      <c r="G13102" t="s">
        <v>46688</v>
      </c>
      <c r="H13102" t="s">
        <v>47071</v>
      </c>
      <c r="I13102" t="s">
        <v>47176</v>
      </c>
      <c r="J13102" t="s">
        <v>47177</v>
      </c>
      <c r="K13102" t="s">
        <v>47113</v>
      </c>
      <c r="L13102">
        <v>0</v>
      </c>
      <c r="M13102">
        <v>34</v>
      </c>
      <c r="N13102">
        <v>0</v>
      </c>
      <c r="O13102">
        <v>34</v>
      </c>
      <c r="P13102">
        <v>0</v>
      </c>
    </row>
    <row r="13103" spans="1:16" x14ac:dyDescent="0.25">
      <c r="A13103" t="s">
        <v>35950</v>
      </c>
      <c r="B13103" t="s">
        <v>21120</v>
      </c>
      <c r="C13103" t="s">
        <v>16430</v>
      </c>
      <c r="D13103" t="str">
        <f>"8393"</f>
        <v>8393</v>
      </c>
      <c r="E13103" t="s">
        <v>21121</v>
      </c>
      <c r="F13103" t="s">
        <v>17351</v>
      </c>
      <c r="G13103" t="s">
        <v>48556</v>
      </c>
      <c r="H13103" t="s">
        <v>47071</v>
      </c>
      <c r="I13103" t="s">
        <v>47176</v>
      </c>
      <c r="J13103" t="s">
        <v>47177</v>
      </c>
      <c r="K13103" t="s">
        <v>47113</v>
      </c>
      <c r="L13103">
        <v>0</v>
      </c>
      <c r="M13103">
        <v>34</v>
      </c>
      <c r="N13103">
        <v>0</v>
      </c>
      <c r="O13103">
        <v>34</v>
      </c>
      <c r="P13103">
        <v>0</v>
      </c>
    </row>
    <row r="13104" spans="1:16" x14ac:dyDescent="0.25">
      <c r="A13104" t="s">
        <v>35951</v>
      </c>
      <c r="B13104" t="s">
        <v>15650</v>
      </c>
      <c r="C13104" t="s">
        <v>18040</v>
      </c>
      <c r="D13104" t="s">
        <v>15651</v>
      </c>
      <c r="E13104" t="s">
        <v>15652</v>
      </c>
      <c r="F13104" t="s">
        <v>3670</v>
      </c>
      <c r="G13104" t="s">
        <v>47074</v>
      </c>
      <c r="H13104" t="s">
        <v>47071</v>
      </c>
      <c r="I13104" t="s">
        <v>47120</v>
      </c>
      <c r="J13104" t="s">
        <v>47121</v>
      </c>
      <c r="K13104" t="s">
        <v>47113</v>
      </c>
      <c r="L13104">
        <v>22.11</v>
      </c>
      <c r="M13104">
        <v>32</v>
      </c>
      <c r="N13104">
        <v>0</v>
      </c>
      <c r="O13104">
        <v>32</v>
      </c>
      <c r="P13104">
        <v>0</v>
      </c>
    </row>
    <row r="13105" spans="1:16" x14ac:dyDescent="0.25">
      <c r="A13105" t="s">
        <v>35952</v>
      </c>
      <c r="B13105" t="s">
        <v>15653</v>
      </c>
      <c r="C13105" t="s">
        <v>18041</v>
      </c>
      <c r="D13105" t="s">
        <v>15654</v>
      </c>
      <c r="E13105" t="s">
        <v>15655</v>
      </c>
      <c r="F13105" t="s">
        <v>3670</v>
      </c>
      <c r="G13105" t="s">
        <v>47074</v>
      </c>
      <c r="H13105" t="s">
        <v>47071</v>
      </c>
      <c r="I13105" t="s">
        <v>47120</v>
      </c>
      <c r="J13105" t="s">
        <v>47121</v>
      </c>
      <c r="K13105" t="s">
        <v>47113</v>
      </c>
      <c r="L13105">
        <v>22.11</v>
      </c>
      <c r="M13105">
        <v>32</v>
      </c>
      <c r="N13105">
        <v>0</v>
      </c>
      <c r="O13105">
        <v>32</v>
      </c>
      <c r="P13105">
        <v>0</v>
      </c>
    </row>
    <row r="13106" spans="1:16" x14ac:dyDescent="0.25">
      <c r="A13106" t="s">
        <v>46958</v>
      </c>
      <c r="B13106" t="s">
        <v>46741</v>
      </c>
      <c r="C13106" t="s">
        <v>46742</v>
      </c>
      <c r="D13106" t="s">
        <v>36030</v>
      </c>
      <c r="E13106" t="s">
        <v>36031</v>
      </c>
      <c r="F13106" t="s">
        <v>16623</v>
      </c>
      <c r="G13106" t="s">
        <v>47081</v>
      </c>
      <c r="H13106" t="s">
        <v>47071</v>
      </c>
      <c r="I13106" t="s">
        <v>47116</v>
      </c>
      <c r="J13106" t="s">
        <v>47117</v>
      </c>
      <c r="K13106" t="s">
        <v>47113</v>
      </c>
      <c r="L13106">
        <v>16.37</v>
      </c>
      <c r="M13106">
        <v>70</v>
      </c>
      <c r="N13106">
        <v>189</v>
      </c>
      <c r="O13106">
        <v>70</v>
      </c>
      <c r="P13106">
        <v>189</v>
      </c>
    </row>
    <row r="13107" spans="1:16" x14ac:dyDescent="0.25">
      <c r="A13107" t="s">
        <v>46959</v>
      </c>
      <c r="B13107" t="s">
        <v>46743</v>
      </c>
      <c r="C13107" t="s">
        <v>46744</v>
      </c>
      <c r="D13107" t="s">
        <v>46745</v>
      </c>
      <c r="E13107" t="s">
        <v>46746</v>
      </c>
      <c r="F13107" t="s">
        <v>27965</v>
      </c>
      <c r="G13107" t="s">
        <v>47145</v>
      </c>
      <c r="H13107" t="s">
        <v>47071</v>
      </c>
      <c r="I13107" t="s">
        <v>47120</v>
      </c>
      <c r="J13107" t="s">
        <v>47121</v>
      </c>
      <c r="K13107" t="s">
        <v>47113</v>
      </c>
      <c r="L13107">
        <v>10.17</v>
      </c>
      <c r="M13107">
        <v>37</v>
      </c>
      <c r="N13107">
        <v>99</v>
      </c>
      <c r="O13107">
        <v>37</v>
      </c>
      <c r="P13107">
        <v>99</v>
      </c>
    </row>
    <row r="13108" spans="1:16" x14ac:dyDescent="0.25">
      <c r="A13108" t="s">
        <v>46960</v>
      </c>
      <c r="B13108" t="s">
        <v>46747</v>
      </c>
      <c r="C13108" t="s">
        <v>46748</v>
      </c>
      <c r="D13108" t="s">
        <v>35315</v>
      </c>
      <c r="E13108" t="s">
        <v>35316</v>
      </c>
      <c r="F13108" t="s">
        <v>27965</v>
      </c>
      <c r="G13108" t="s">
        <v>47081</v>
      </c>
      <c r="H13108" t="s">
        <v>47071</v>
      </c>
      <c r="I13108" t="s">
        <v>47120</v>
      </c>
      <c r="J13108" t="s">
        <v>47121</v>
      </c>
      <c r="K13108" t="s">
        <v>47113</v>
      </c>
      <c r="L13108">
        <v>20.34</v>
      </c>
      <c r="M13108">
        <v>70</v>
      </c>
      <c r="N13108">
        <v>189</v>
      </c>
      <c r="O13108">
        <v>70</v>
      </c>
      <c r="P13108">
        <v>189</v>
      </c>
    </row>
    <row r="13109" spans="1:16" x14ac:dyDescent="0.25">
      <c r="A13109" t="s">
        <v>46961</v>
      </c>
      <c r="B13109" t="s">
        <v>46749</v>
      </c>
      <c r="C13109" t="s">
        <v>35988</v>
      </c>
      <c r="D13109" t="s">
        <v>14429</v>
      </c>
      <c r="E13109" t="s">
        <v>60</v>
      </c>
      <c r="F13109" t="s">
        <v>27965</v>
      </c>
      <c r="G13109" t="s">
        <v>47081</v>
      </c>
      <c r="H13109" t="s">
        <v>47071</v>
      </c>
      <c r="I13109" t="s">
        <v>47116</v>
      </c>
      <c r="J13109" t="s">
        <v>47117</v>
      </c>
      <c r="K13109" t="s">
        <v>47113</v>
      </c>
      <c r="L13109">
        <v>15.4</v>
      </c>
      <c r="M13109">
        <v>59</v>
      </c>
      <c r="N13109">
        <v>159</v>
      </c>
      <c r="O13109">
        <v>59</v>
      </c>
      <c r="P13109">
        <v>159</v>
      </c>
    </row>
    <row r="13110" spans="1:16" x14ac:dyDescent="0.25">
      <c r="A13110" t="s">
        <v>46962</v>
      </c>
      <c r="B13110" t="s">
        <v>46750</v>
      </c>
      <c r="C13110" t="s">
        <v>46751</v>
      </c>
      <c r="D13110" t="s">
        <v>21130</v>
      </c>
      <c r="E13110" t="s">
        <v>21131</v>
      </c>
      <c r="F13110" t="s">
        <v>27965</v>
      </c>
      <c r="G13110" t="s">
        <v>47083</v>
      </c>
      <c r="H13110" t="s">
        <v>47071</v>
      </c>
      <c r="I13110" t="s">
        <v>47120</v>
      </c>
      <c r="J13110" t="s">
        <v>47121</v>
      </c>
      <c r="K13110" t="s">
        <v>47113</v>
      </c>
      <c r="L13110">
        <v>16.79</v>
      </c>
      <c r="M13110">
        <v>59</v>
      </c>
      <c r="N13110">
        <v>159</v>
      </c>
      <c r="O13110">
        <v>59</v>
      </c>
      <c r="P13110">
        <v>159</v>
      </c>
    </row>
    <row r="13111" spans="1:16" x14ac:dyDescent="0.25">
      <c r="A13111" t="s">
        <v>46963</v>
      </c>
      <c r="B13111" t="s">
        <v>46752</v>
      </c>
      <c r="C13111" t="s">
        <v>46753</v>
      </c>
      <c r="D13111" t="s">
        <v>35302</v>
      </c>
      <c r="E13111" t="s">
        <v>35303</v>
      </c>
      <c r="F13111" t="s">
        <v>27965</v>
      </c>
      <c r="G13111" t="s">
        <v>47147</v>
      </c>
      <c r="H13111" t="s">
        <v>47071</v>
      </c>
      <c r="I13111" t="s">
        <v>47120</v>
      </c>
      <c r="J13111" t="s">
        <v>47121</v>
      </c>
      <c r="K13111" t="s">
        <v>47113</v>
      </c>
      <c r="L13111">
        <v>13.22</v>
      </c>
      <c r="M13111">
        <v>40</v>
      </c>
      <c r="N13111">
        <v>109</v>
      </c>
      <c r="O13111">
        <v>40</v>
      </c>
      <c r="P13111">
        <v>109</v>
      </c>
    </row>
    <row r="13112" spans="1:16" x14ac:dyDescent="0.25">
      <c r="A13112" t="s">
        <v>46964</v>
      </c>
      <c r="B13112" t="s">
        <v>46754</v>
      </c>
      <c r="C13112" t="s">
        <v>46755</v>
      </c>
      <c r="D13112" t="s">
        <v>21130</v>
      </c>
      <c r="E13112" t="s">
        <v>21131</v>
      </c>
      <c r="F13112" t="s">
        <v>27965</v>
      </c>
      <c r="G13112" t="s">
        <v>47147</v>
      </c>
      <c r="H13112" t="s">
        <v>47071</v>
      </c>
      <c r="I13112" t="s">
        <v>47120</v>
      </c>
      <c r="J13112" t="s">
        <v>47121</v>
      </c>
      <c r="K13112" t="s">
        <v>47113</v>
      </c>
      <c r="L13112">
        <v>14.39</v>
      </c>
      <c r="M13112">
        <v>40</v>
      </c>
      <c r="N13112">
        <v>109</v>
      </c>
      <c r="O13112">
        <v>40</v>
      </c>
      <c r="P13112">
        <v>109</v>
      </c>
    </row>
    <row r="13113" spans="1:16" x14ac:dyDescent="0.25">
      <c r="A13113" t="s">
        <v>48558</v>
      </c>
      <c r="B13113" t="s">
        <v>48559</v>
      </c>
      <c r="C13113" t="s">
        <v>36156</v>
      </c>
      <c r="D13113" t="s">
        <v>18070</v>
      </c>
      <c r="E13113" t="s">
        <v>814</v>
      </c>
      <c r="F13113" t="s">
        <v>15829</v>
      </c>
      <c r="G13113" t="s">
        <v>47086</v>
      </c>
      <c r="H13113" t="s">
        <v>47071</v>
      </c>
      <c r="I13113" t="s">
        <v>47120</v>
      </c>
      <c r="J13113" t="s">
        <v>47121</v>
      </c>
      <c r="K13113" t="s">
        <v>47113</v>
      </c>
      <c r="L13113">
        <v>22.55</v>
      </c>
      <c r="M13113">
        <v>70</v>
      </c>
      <c r="N13113">
        <v>189</v>
      </c>
      <c r="O13113">
        <v>70</v>
      </c>
      <c r="P13113">
        <v>189</v>
      </c>
    </row>
    <row r="13114" spans="1:16" x14ac:dyDescent="0.25">
      <c r="A13114" t="s">
        <v>48560</v>
      </c>
      <c r="B13114" t="s">
        <v>48561</v>
      </c>
      <c r="C13114" t="s">
        <v>48562</v>
      </c>
      <c r="D13114" t="s">
        <v>46761</v>
      </c>
      <c r="E13114" t="s">
        <v>46762</v>
      </c>
      <c r="F13114" t="s">
        <v>15829</v>
      </c>
      <c r="G13114" t="s">
        <v>47086</v>
      </c>
      <c r="H13114" t="s">
        <v>47071</v>
      </c>
      <c r="I13114" t="s">
        <v>47120</v>
      </c>
      <c r="J13114" t="s">
        <v>47121</v>
      </c>
      <c r="K13114" t="s">
        <v>47113</v>
      </c>
      <c r="L13114">
        <v>22.55</v>
      </c>
      <c r="M13114">
        <v>70</v>
      </c>
      <c r="N13114">
        <v>189</v>
      </c>
      <c r="O13114">
        <v>70</v>
      </c>
      <c r="P13114">
        <v>189</v>
      </c>
    </row>
    <row r="13115" spans="1:16" x14ac:dyDescent="0.25">
      <c r="A13115" t="s">
        <v>46965</v>
      </c>
      <c r="B13115" t="s">
        <v>46756</v>
      </c>
      <c r="C13115" t="s">
        <v>46757</v>
      </c>
      <c r="D13115" t="s">
        <v>21130</v>
      </c>
      <c r="E13115" t="s">
        <v>21131</v>
      </c>
      <c r="F13115" t="s">
        <v>27965</v>
      </c>
      <c r="G13115" t="s">
        <v>47087</v>
      </c>
      <c r="H13115" t="s">
        <v>47071</v>
      </c>
      <c r="I13115" t="s">
        <v>47120</v>
      </c>
      <c r="J13115" t="s">
        <v>47121</v>
      </c>
      <c r="K13115" t="s">
        <v>47113</v>
      </c>
      <c r="L13115">
        <v>10.83</v>
      </c>
      <c r="M13115">
        <v>29</v>
      </c>
      <c r="N13115">
        <v>79</v>
      </c>
      <c r="O13115">
        <v>29</v>
      </c>
      <c r="P13115">
        <v>79</v>
      </c>
    </row>
    <row r="13116" spans="1:16" x14ac:dyDescent="0.25">
      <c r="A13116" t="s">
        <v>48563</v>
      </c>
      <c r="B13116" t="s">
        <v>46756</v>
      </c>
      <c r="C13116" t="s">
        <v>46757</v>
      </c>
      <c r="D13116" t="s">
        <v>15752</v>
      </c>
      <c r="E13116" t="s">
        <v>15753</v>
      </c>
      <c r="F13116" t="s">
        <v>27965</v>
      </c>
      <c r="G13116" t="s">
        <v>47087</v>
      </c>
      <c r="H13116" t="s">
        <v>47071</v>
      </c>
      <c r="I13116" t="s">
        <v>47120</v>
      </c>
      <c r="J13116" t="s">
        <v>47121</v>
      </c>
      <c r="K13116" t="s">
        <v>47113</v>
      </c>
      <c r="L13116">
        <v>12.85</v>
      </c>
      <c r="M13116">
        <v>29</v>
      </c>
      <c r="N13116">
        <v>79</v>
      </c>
      <c r="O13116">
        <v>29</v>
      </c>
      <c r="P13116">
        <v>79</v>
      </c>
    </row>
    <row r="13117" spans="1:16" x14ac:dyDescent="0.25">
      <c r="A13117" t="s">
        <v>46966</v>
      </c>
      <c r="B13117" t="s">
        <v>46758</v>
      </c>
      <c r="C13117" t="s">
        <v>20961</v>
      </c>
      <c r="D13117" t="s">
        <v>18070</v>
      </c>
      <c r="E13117" t="s">
        <v>814</v>
      </c>
      <c r="F13117" t="s">
        <v>27965</v>
      </c>
      <c r="G13117" t="s">
        <v>47087</v>
      </c>
      <c r="H13117" t="s">
        <v>47071</v>
      </c>
      <c r="I13117" t="s">
        <v>47120</v>
      </c>
      <c r="J13117" t="s">
        <v>47121</v>
      </c>
      <c r="K13117" t="s">
        <v>47113</v>
      </c>
      <c r="L13117">
        <v>10.83</v>
      </c>
      <c r="M13117">
        <v>29</v>
      </c>
      <c r="N13117">
        <v>79</v>
      </c>
      <c r="O13117">
        <v>29</v>
      </c>
      <c r="P13117">
        <v>79</v>
      </c>
    </row>
    <row r="13118" spans="1:16" x14ac:dyDescent="0.25">
      <c r="A13118" t="s">
        <v>46967</v>
      </c>
      <c r="B13118" t="s">
        <v>46758</v>
      </c>
      <c r="C13118" t="s">
        <v>20961</v>
      </c>
      <c r="D13118" t="s">
        <v>14429</v>
      </c>
      <c r="E13118" t="s">
        <v>60</v>
      </c>
      <c r="F13118" t="s">
        <v>27965</v>
      </c>
      <c r="G13118" t="s">
        <v>47087</v>
      </c>
      <c r="H13118" t="s">
        <v>47071</v>
      </c>
      <c r="I13118" t="s">
        <v>47120</v>
      </c>
      <c r="J13118" t="s">
        <v>47121</v>
      </c>
      <c r="K13118" t="s">
        <v>47113</v>
      </c>
      <c r="L13118">
        <v>10.83</v>
      </c>
      <c r="M13118">
        <v>29</v>
      </c>
      <c r="N13118">
        <v>79</v>
      </c>
      <c r="O13118">
        <v>29</v>
      </c>
      <c r="P13118">
        <v>79</v>
      </c>
    </row>
    <row r="13119" spans="1:16" x14ac:dyDescent="0.25">
      <c r="A13119" t="s">
        <v>46968</v>
      </c>
      <c r="B13119" t="s">
        <v>46759</v>
      </c>
      <c r="C13119" t="s">
        <v>46760</v>
      </c>
      <c r="D13119" t="s">
        <v>46761</v>
      </c>
      <c r="E13119" t="s">
        <v>46762</v>
      </c>
      <c r="F13119" t="s">
        <v>27965</v>
      </c>
      <c r="G13119" t="s">
        <v>47087</v>
      </c>
      <c r="H13119" t="s">
        <v>47071</v>
      </c>
      <c r="I13119" t="s">
        <v>47120</v>
      </c>
      <c r="J13119" t="s">
        <v>47121</v>
      </c>
      <c r="K13119" t="s">
        <v>47113</v>
      </c>
      <c r="L13119">
        <v>10.83</v>
      </c>
      <c r="M13119">
        <v>29</v>
      </c>
      <c r="N13119">
        <v>79</v>
      </c>
      <c r="O13119">
        <v>29</v>
      </c>
      <c r="P13119">
        <v>79</v>
      </c>
    </row>
    <row r="13120" spans="1:16" x14ac:dyDescent="0.25">
      <c r="A13120" t="s">
        <v>46969</v>
      </c>
      <c r="B13120" t="s">
        <v>46763</v>
      </c>
      <c r="C13120" t="s">
        <v>46764</v>
      </c>
      <c r="D13120" t="s">
        <v>14429</v>
      </c>
      <c r="E13120" t="s">
        <v>60</v>
      </c>
      <c r="F13120" t="s">
        <v>27965</v>
      </c>
      <c r="G13120" t="s">
        <v>47087</v>
      </c>
      <c r="H13120" t="s">
        <v>47071</v>
      </c>
      <c r="I13120" t="s">
        <v>47120</v>
      </c>
      <c r="J13120" t="s">
        <v>47121</v>
      </c>
      <c r="K13120" t="s">
        <v>47113</v>
      </c>
      <c r="L13120">
        <v>10.83</v>
      </c>
      <c r="M13120">
        <v>29</v>
      </c>
      <c r="N13120">
        <v>79</v>
      </c>
      <c r="O13120">
        <v>29</v>
      </c>
      <c r="P13120">
        <v>79</v>
      </c>
    </row>
    <row r="13121" spans="1:16" x14ac:dyDescent="0.25">
      <c r="A13121" t="s">
        <v>35953</v>
      </c>
      <c r="B13121" t="s">
        <v>35954</v>
      </c>
      <c r="C13121" t="s">
        <v>35955</v>
      </c>
      <c r="D13121" t="str">
        <f>"1001"</f>
        <v>1001</v>
      </c>
      <c r="E13121" t="s">
        <v>42</v>
      </c>
      <c r="F13121" t="s">
        <v>20053</v>
      </c>
      <c r="G13121" t="s">
        <v>46688</v>
      </c>
      <c r="H13121" t="s">
        <v>47071</v>
      </c>
      <c r="I13121" t="s">
        <v>47120</v>
      </c>
      <c r="J13121" t="s">
        <v>47121</v>
      </c>
      <c r="K13121" t="s">
        <v>47113</v>
      </c>
      <c r="L13121">
        <v>23.99</v>
      </c>
      <c r="M13121">
        <v>43</v>
      </c>
      <c r="N13121">
        <v>0</v>
      </c>
      <c r="O13121">
        <v>43</v>
      </c>
      <c r="P13121">
        <v>0</v>
      </c>
    </row>
    <row r="13122" spans="1:16" x14ac:dyDescent="0.25">
      <c r="A13122" t="s">
        <v>35956</v>
      </c>
      <c r="B13122" t="s">
        <v>35954</v>
      </c>
      <c r="C13122" t="s">
        <v>35955</v>
      </c>
      <c r="D13122" t="str">
        <f>"4143"</f>
        <v>4143</v>
      </c>
      <c r="E13122" t="s">
        <v>261</v>
      </c>
      <c r="F13122" t="s">
        <v>20053</v>
      </c>
      <c r="G13122" t="s">
        <v>46688</v>
      </c>
      <c r="H13122" t="s">
        <v>47071</v>
      </c>
      <c r="I13122" t="s">
        <v>47120</v>
      </c>
      <c r="J13122" t="s">
        <v>47121</v>
      </c>
      <c r="K13122" t="s">
        <v>47113</v>
      </c>
      <c r="L13122">
        <v>23.99</v>
      </c>
      <c r="M13122">
        <v>43</v>
      </c>
      <c r="N13122">
        <v>0</v>
      </c>
      <c r="O13122">
        <v>43</v>
      </c>
      <c r="P13122">
        <v>0</v>
      </c>
    </row>
    <row r="13123" spans="1:16" x14ac:dyDescent="0.25">
      <c r="A13123" t="s">
        <v>22566</v>
      </c>
      <c r="B13123" t="s">
        <v>21122</v>
      </c>
      <c r="C13123" t="s">
        <v>21123</v>
      </c>
      <c r="D13123" t="s">
        <v>9513</v>
      </c>
      <c r="E13123" t="s">
        <v>9514</v>
      </c>
      <c r="F13123" t="s">
        <v>17351</v>
      </c>
      <c r="G13123" t="s">
        <v>47145</v>
      </c>
      <c r="H13123" t="s">
        <v>47071</v>
      </c>
      <c r="I13123" t="s">
        <v>47120</v>
      </c>
      <c r="J13123" t="s">
        <v>47121</v>
      </c>
      <c r="K13123" t="s">
        <v>47113</v>
      </c>
      <c r="L13123">
        <v>19.95</v>
      </c>
      <c r="M13123">
        <v>39</v>
      </c>
      <c r="N13123">
        <v>0</v>
      </c>
      <c r="O13123">
        <v>39</v>
      </c>
      <c r="P13123">
        <v>0</v>
      </c>
    </row>
    <row r="13124" spans="1:16" x14ac:dyDescent="0.25">
      <c r="A13124" t="s">
        <v>22567</v>
      </c>
      <c r="B13124" t="s">
        <v>21124</v>
      </c>
      <c r="C13124" t="s">
        <v>21125</v>
      </c>
      <c r="D13124" t="s">
        <v>21126</v>
      </c>
      <c r="E13124" t="s">
        <v>21127</v>
      </c>
      <c r="F13124" t="s">
        <v>17351</v>
      </c>
      <c r="G13124" t="s">
        <v>47082</v>
      </c>
      <c r="H13124" t="s">
        <v>47071</v>
      </c>
      <c r="I13124" t="s">
        <v>47120</v>
      </c>
      <c r="J13124" t="s">
        <v>47121</v>
      </c>
      <c r="K13124" t="s">
        <v>47113</v>
      </c>
      <c r="L13124">
        <v>22.83</v>
      </c>
      <c r="M13124">
        <v>45</v>
      </c>
      <c r="N13124">
        <v>0</v>
      </c>
      <c r="O13124">
        <v>45</v>
      </c>
      <c r="P13124">
        <v>0</v>
      </c>
    </row>
    <row r="13125" spans="1:16" x14ac:dyDescent="0.25">
      <c r="A13125" t="s">
        <v>22568</v>
      </c>
      <c r="B13125" t="s">
        <v>21128</v>
      </c>
      <c r="C13125" t="s">
        <v>21129</v>
      </c>
      <c r="D13125" t="s">
        <v>21130</v>
      </c>
      <c r="E13125" t="s">
        <v>21131</v>
      </c>
      <c r="F13125" t="s">
        <v>17351</v>
      </c>
      <c r="G13125" t="s">
        <v>47082</v>
      </c>
      <c r="H13125" t="s">
        <v>47071</v>
      </c>
      <c r="I13125" t="s">
        <v>47120</v>
      </c>
      <c r="J13125" t="s">
        <v>47121</v>
      </c>
      <c r="K13125" t="s">
        <v>47113</v>
      </c>
      <c r="L13125">
        <v>19.95</v>
      </c>
      <c r="M13125">
        <v>39</v>
      </c>
      <c r="N13125">
        <v>0</v>
      </c>
      <c r="O13125">
        <v>39</v>
      </c>
      <c r="P13125">
        <v>0</v>
      </c>
    </row>
    <row r="13126" spans="1:16" x14ac:dyDescent="0.25">
      <c r="A13126" t="s">
        <v>22569</v>
      </c>
      <c r="B13126" t="s">
        <v>21132</v>
      </c>
      <c r="C13126" t="s">
        <v>21133</v>
      </c>
      <c r="D13126" t="s">
        <v>21134</v>
      </c>
      <c r="E13126" t="s">
        <v>21135</v>
      </c>
      <c r="F13126" t="s">
        <v>17351</v>
      </c>
      <c r="G13126" t="s">
        <v>47149</v>
      </c>
      <c r="H13126" t="s">
        <v>47071</v>
      </c>
      <c r="I13126" t="s">
        <v>47116</v>
      </c>
      <c r="J13126" t="s">
        <v>47117</v>
      </c>
      <c r="K13126" t="s">
        <v>47113</v>
      </c>
      <c r="L13126">
        <v>24</v>
      </c>
      <c r="M13126">
        <v>52</v>
      </c>
      <c r="N13126">
        <v>0</v>
      </c>
      <c r="O13126">
        <v>52</v>
      </c>
      <c r="P13126">
        <v>0</v>
      </c>
    </row>
    <row r="13127" spans="1:16" x14ac:dyDescent="0.25">
      <c r="A13127" t="s">
        <v>35957</v>
      </c>
      <c r="B13127" t="s">
        <v>35958</v>
      </c>
      <c r="C13127" t="s">
        <v>35959</v>
      </c>
      <c r="D13127" t="s">
        <v>35960</v>
      </c>
      <c r="E13127" t="s">
        <v>35961</v>
      </c>
      <c r="F13127" t="s">
        <v>17351</v>
      </c>
      <c r="G13127" t="s">
        <v>47081</v>
      </c>
      <c r="H13127" t="s">
        <v>47071</v>
      </c>
      <c r="I13127" t="s">
        <v>47116</v>
      </c>
      <c r="J13127" t="s">
        <v>47117</v>
      </c>
      <c r="K13127" t="s">
        <v>47113</v>
      </c>
      <c r="L13127">
        <v>14.87</v>
      </c>
      <c r="M13127">
        <v>34</v>
      </c>
      <c r="N13127">
        <v>0</v>
      </c>
      <c r="O13127">
        <v>34</v>
      </c>
      <c r="P13127">
        <v>0</v>
      </c>
    </row>
    <row r="13128" spans="1:16" x14ac:dyDescent="0.25">
      <c r="A13128" t="s">
        <v>22570</v>
      </c>
      <c r="B13128" t="s">
        <v>21136</v>
      </c>
      <c r="C13128" t="s">
        <v>21137</v>
      </c>
      <c r="D13128" t="s">
        <v>21138</v>
      </c>
      <c r="E13128" t="s">
        <v>21139</v>
      </c>
      <c r="F13128" t="s">
        <v>17351</v>
      </c>
      <c r="G13128" t="s">
        <v>47081</v>
      </c>
      <c r="H13128" t="s">
        <v>47071</v>
      </c>
      <c r="I13128" t="s">
        <v>47116</v>
      </c>
      <c r="J13128" t="s">
        <v>47117</v>
      </c>
      <c r="K13128" t="s">
        <v>47113</v>
      </c>
      <c r="L13128">
        <v>34.79</v>
      </c>
      <c r="M13128">
        <v>80</v>
      </c>
      <c r="N13128">
        <v>0</v>
      </c>
      <c r="O13128">
        <v>80</v>
      </c>
      <c r="P13128">
        <v>0</v>
      </c>
    </row>
    <row r="13129" spans="1:16" x14ac:dyDescent="0.25">
      <c r="A13129" t="s">
        <v>22571</v>
      </c>
      <c r="B13129" t="s">
        <v>21140</v>
      </c>
      <c r="C13129" t="s">
        <v>21141</v>
      </c>
      <c r="D13129" t="s">
        <v>14429</v>
      </c>
      <c r="E13129" t="s">
        <v>60</v>
      </c>
      <c r="F13129" t="s">
        <v>17351</v>
      </c>
      <c r="G13129" t="s">
        <v>47081</v>
      </c>
      <c r="H13129" t="s">
        <v>47071</v>
      </c>
      <c r="I13129" t="s">
        <v>47116</v>
      </c>
      <c r="J13129" t="s">
        <v>47117</v>
      </c>
      <c r="K13129" t="s">
        <v>47113</v>
      </c>
      <c r="L13129">
        <v>24.19</v>
      </c>
      <c r="M13129">
        <v>52</v>
      </c>
      <c r="N13129">
        <v>0</v>
      </c>
      <c r="O13129">
        <v>52</v>
      </c>
      <c r="P13129">
        <v>0</v>
      </c>
    </row>
    <row r="13130" spans="1:16" x14ac:dyDescent="0.25">
      <c r="A13130" t="s">
        <v>35962</v>
      </c>
      <c r="B13130" t="s">
        <v>21142</v>
      </c>
      <c r="C13130" t="s">
        <v>21143</v>
      </c>
      <c r="D13130" t="s">
        <v>21144</v>
      </c>
      <c r="E13130" t="s">
        <v>21145</v>
      </c>
      <c r="F13130" t="s">
        <v>17351</v>
      </c>
      <c r="G13130" t="s">
        <v>47147</v>
      </c>
      <c r="H13130" t="s">
        <v>47071</v>
      </c>
      <c r="I13130" t="s">
        <v>47120</v>
      </c>
      <c r="J13130" t="s">
        <v>47121</v>
      </c>
      <c r="K13130" t="s">
        <v>47113</v>
      </c>
      <c r="L13130">
        <v>19.95</v>
      </c>
      <c r="M13130">
        <v>39</v>
      </c>
      <c r="N13130">
        <v>0</v>
      </c>
      <c r="O13130">
        <v>39</v>
      </c>
      <c r="P13130">
        <v>0</v>
      </c>
    </row>
    <row r="13131" spans="1:16" x14ac:dyDescent="0.25">
      <c r="A13131" t="s">
        <v>22572</v>
      </c>
      <c r="B13131" t="s">
        <v>21146</v>
      </c>
      <c r="C13131" t="s">
        <v>21147</v>
      </c>
      <c r="D13131" t="s">
        <v>21130</v>
      </c>
      <c r="E13131" t="s">
        <v>21131</v>
      </c>
      <c r="F13131" t="s">
        <v>17351</v>
      </c>
      <c r="G13131" t="s">
        <v>47085</v>
      </c>
      <c r="H13131" t="s">
        <v>47071</v>
      </c>
      <c r="I13131" t="s">
        <v>47120</v>
      </c>
      <c r="J13131" t="s">
        <v>47121</v>
      </c>
      <c r="K13131" t="s">
        <v>47113</v>
      </c>
      <c r="L13131">
        <v>17.05</v>
      </c>
      <c r="M13131">
        <v>34</v>
      </c>
      <c r="N13131">
        <v>0</v>
      </c>
      <c r="O13131">
        <v>34</v>
      </c>
      <c r="P13131">
        <v>0</v>
      </c>
    </row>
    <row r="13132" spans="1:16" x14ac:dyDescent="0.25">
      <c r="A13132" t="s">
        <v>22573</v>
      </c>
      <c r="B13132" t="s">
        <v>21148</v>
      </c>
      <c r="C13132" t="s">
        <v>21149</v>
      </c>
      <c r="D13132" t="s">
        <v>21134</v>
      </c>
      <c r="E13132" t="s">
        <v>21135</v>
      </c>
      <c r="F13132" t="s">
        <v>17351</v>
      </c>
      <c r="G13132" t="s">
        <v>47083</v>
      </c>
      <c r="H13132" t="s">
        <v>47071</v>
      </c>
      <c r="I13132" t="s">
        <v>47116</v>
      </c>
      <c r="J13132" t="s">
        <v>47117</v>
      </c>
      <c r="K13132" t="s">
        <v>47113</v>
      </c>
      <c r="L13132">
        <v>21.3</v>
      </c>
      <c r="M13132">
        <v>47</v>
      </c>
      <c r="N13132">
        <v>0</v>
      </c>
      <c r="O13132">
        <v>47</v>
      </c>
      <c r="P13132">
        <v>0</v>
      </c>
    </row>
    <row r="13133" spans="1:16" x14ac:dyDescent="0.25">
      <c r="A13133" t="s">
        <v>22574</v>
      </c>
      <c r="B13133" t="s">
        <v>21150</v>
      </c>
      <c r="C13133" t="s">
        <v>21151</v>
      </c>
      <c r="D13133" t="s">
        <v>21152</v>
      </c>
      <c r="E13133" t="s">
        <v>21153</v>
      </c>
      <c r="F13133" t="s">
        <v>17351</v>
      </c>
      <c r="G13133" t="s">
        <v>47147</v>
      </c>
      <c r="H13133" t="s">
        <v>47071</v>
      </c>
      <c r="I13133" t="s">
        <v>47116</v>
      </c>
      <c r="J13133" t="s">
        <v>47117</v>
      </c>
      <c r="K13133" t="s">
        <v>47113</v>
      </c>
      <c r="L13133">
        <v>21.3</v>
      </c>
      <c r="M13133">
        <v>47</v>
      </c>
      <c r="N13133">
        <v>0</v>
      </c>
      <c r="O13133">
        <v>47</v>
      </c>
      <c r="P13133">
        <v>0</v>
      </c>
    </row>
    <row r="13134" spans="1:16" x14ac:dyDescent="0.25">
      <c r="A13134" t="s">
        <v>22575</v>
      </c>
      <c r="B13134" t="s">
        <v>21154</v>
      </c>
      <c r="C13134" t="s">
        <v>21155</v>
      </c>
      <c r="D13134" t="s">
        <v>21156</v>
      </c>
      <c r="E13134" t="s">
        <v>21157</v>
      </c>
      <c r="F13134" t="s">
        <v>17351</v>
      </c>
      <c r="G13134" t="s">
        <v>47147</v>
      </c>
      <c r="H13134" t="s">
        <v>47071</v>
      </c>
      <c r="I13134" t="s">
        <v>47116</v>
      </c>
      <c r="J13134" t="s">
        <v>47117</v>
      </c>
      <c r="K13134" t="s">
        <v>47113</v>
      </c>
      <c r="L13134">
        <v>15.91</v>
      </c>
      <c r="M13134">
        <v>35</v>
      </c>
      <c r="N13134">
        <v>0</v>
      </c>
      <c r="O13134">
        <v>35</v>
      </c>
      <c r="P13134">
        <v>0</v>
      </c>
    </row>
    <row r="13135" spans="1:16" x14ac:dyDescent="0.25">
      <c r="A13135" t="s">
        <v>22576</v>
      </c>
      <c r="B13135" t="s">
        <v>21158</v>
      </c>
      <c r="C13135" t="s">
        <v>21159</v>
      </c>
      <c r="D13135" t="s">
        <v>21160</v>
      </c>
      <c r="E13135" t="s">
        <v>21161</v>
      </c>
      <c r="F13135" t="s">
        <v>17351</v>
      </c>
      <c r="G13135" t="s">
        <v>47147</v>
      </c>
      <c r="H13135" t="s">
        <v>47071</v>
      </c>
      <c r="I13135" t="s">
        <v>47116</v>
      </c>
      <c r="J13135" t="s">
        <v>47117</v>
      </c>
      <c r="K13135" t="s">
        <v>47113</v>
      </c>
      <c r="L13135">
        <v>21.3</v>
      </c>
      <c r="M13135">
        <v>47</v>
      </c>
      <c r="N13135">
        <v>0</v>
      </c>
      <c r="O13135">
        <v>47</v>
      </c>
      <c r="P13135">
        <v>0</v>
      </c>
    </row>
    <row r="13136" spans="1:16" x14ac:dyDescent="0.25">
      <c r="A13136" t="s">
        <v>22577</v>
      </c>
      <c r="B13136" t="s">
        <v>21162</v>
      </c>
      <c r="C13136" t="s">
        <v>21163</v>
      </c>
      <c r="D13136" t="s">
        <v>21134</v>
      </c>
      <c r="E13136" t="s">
        <v>21135</v>
      </c>
      <c r="F13136" t="s">
        <v>17351</v>
      </c>
      <c r="G13136" t="s">
        <v>47147</v>
      </c>
      <c r="H13136" t="s">
        <v>47071</v>
      </c>
      <c r="I13136" t="s">
        <v>47116</v>
      </c>
      <c r="J13136" t="s">
        <v>47117</v>
      </c>
      <c r="K13136" t="s">
        <v>47113</v>
      </c>
      <c r="L13136">
        <v>18.61</v>
      </c>
      <c r="M13136">
        <v>41</v>
      </c>
      <c r="N13136">
        <v>0</v>
      </c>
      <c r="O13136">
        <v>41</v>
      </c>
      <c r="P13136">
        <v>0</v>
      </c>
    </row>
    <row r="13137" spans="1:16" x14ac:dyDescent="0.25">
      <c r="A13137" t="s">
        <v>22578</v>
      </c>
      <c r="B13137" t="s">
        <v>21164</v>
      </c>
      <c r="C13137" t="s">
        <v>21165</v>
      </c>
      <c r="D13137" t="s">
        <v>21126</v>
      </c>
      <c r="E13137" t="s">
        <v>21127</v>
      </c>
      <c r="F13137" t="s">
        <v>17351</v>
      </c>
      <c r="G13137" t="s">
        <v>47151</v>
      </c>
      <c r="H13137" t="s">
        <v>47071</v>
      </c>
      <c r="I13137" t="s">
        <v>47120</v>
      </c>
      <c r="J13137" t="s">
        <v>47121</v>
      </c>
      <c r="K13137" t="s">
        <v>47113</v>
      </c>
      <c r="L13137">
        <v>11.28</v>
      </c>
      <c r="M13137">
        <v>22</v>
      </c>
      <c r="N13137">
        <v>0</v>
      </c>
      <c r="O13137">
        <v>22</v>
      </c>
      <c r="P13137">
        <v>0</v>
      </c>
    </row>
    <row r="13138" spans="1:16" x14ac:dyDescent="0.25">
      <c r="A13138" t="s">
        <v>22579</v>
      </c>
      <c r="B13138" t="s">
        <v>21166</v>
      </c>
      <c r="C13138" t="s">
        <v>21167</v>
      </c>
      <c r="D13138" t="s">
        <v>21130</v>
      </c>
      <c r="E13138" t="s">
        <v>21131</v>
      </c>
      <c r="F13138" t="s">
        <v>17351</v>
      </c>
      <c r="G13138" t="s">
        <v>47084</v>
      </c>
      <c r="H13138" t="s">
        <v>47071</v>
      </c>
      <c r="I13138" t="s">
        <v>47120</v>
      </c>
      <c r="J13138" t="s">
        <v>47121</v>
      </c>
      <c r="K13138" t="s">
        <v>47113</v>
      </c>
      <c r="L13138">
        <v>11.28</v>
      </c>
      <c r="M13138">
        <v>22</v>
      </c>
      <c r="N13138">
        <v>0</v>
      </c>
      <c r="O13138">
        <v>22</v>
      </c>
      <c r="P13138">
        <v>0</v>
      </c>
    </row>
    <row r="13139" spans="1:16" x14ac:dyDescent="0.25">
      <c r="A13139" t="s">
        <v>22580</v>
      </c>
      <c r="B13139" t="s">
        <v>21166</v>
      </c>
      <c r="C13139" t="s">
        <v>21167</v>
      </c>
      <c r="D13139" t="s">
        <v>21168</v>
      </c>
      <c r="E13139" t="s">
        <v>21169</v>
      </c>
      <c r="F13139" t="s">
        <v>17351</v>
      </c>
      <c r="G13139" t="s">
        <v>47084</v>
      </c>
      <c r="H13139" t="s">
        <v>47071</v>
      </c>
      <c r="I13139" t="s">
        <v>47120</v>
      </c>
      <c r="J13139" t="s">
        <v>47121</v>
      </c>
      <c r="K13139" t="s">
        <v>47113</v>
      </c>
      <c r="L13139">
        <v>11.28</v>
      </c>
      <c r="M13139">
        <v>22</v>
      </c>
      <c r="N13139">
        <v>0</v>
      </c>
      <c r="O13139">
        <v>22</v>
      </c>
      <c r="P13139">
        <v>0</v>
      </c>
    </row>
    <row r="13140" spans="1:16" x14ac:dyDescent="0.25">
      <c r="A13140" t="s">
        <v>22581</v>
      </c>
      <c r="B13140" t="s">
        <v>21170</v>
      </c>
      <c r="C13140" t="s">
        <v>21171</v>
      </c>
      <c r="D13140" t="s">
        <v>21130</v>
      </c>
      <c r="E13140" t="s">
        <v>21131</v>
      </c>
      <c r="F13140" t="s">
        <v>17351</v>
      </c>
      <c r="G13140" t="s">
        <v>47084</v>
      </c>
      <c r="H13140" t="s">
        <v>47071</v>
      </c>
      <c r="I13140" t="s">
        <v>47120</v>
      </c>
      <c r="J13140" t="s">
        <v>47121</v>
      </c>
      <c r="K13140" t="s">
        <v>47113</v>
      </c>
      <c r="L13140">
        <v>11.28</v>
      </c>
      <c r="M13140">
        <v>22</v>
      </c>
      <c r="N13140">
        <v>0</v>
      </c>
      <c r="O13140">
        <v>22</v>
      </c>
      <c r="P13140">
        <v>0</v>
      </c>
    </row>
    <row r="13141" spans="1:16" x14ac:dyDescent="0.25">
      <c r="A13141" t="s">
        <v>22582</v>
      </c>
      <c r="B13141" t="s">
        <v>21172</v>
      </c>
      <c r="C13141" t="s">
        <v>21173</v>
      </c>
      <c r="D13141" t="s">
        <v>9513</v>
      </c>
      <c r="E13141" t="s">
        <v>9514</v>
      </c>
      <c r="F13141" t="s">
        <v>17351</v>
      </c>
      <c r="G13141" t="s">
        <v>47084</v>
      </c>
      <c r="H13141" t="s">
        <v>47071</v>
      </c>
      <c r="I13141" t="s">
        <v>47120</v>
      </c>
      <c r="J13141" t="s">
        <v>47121</v>
      </c>
      <c r="K13141" t="s">
        <v>47113</v>
      </c>
      <c r="L13141">
        <v>11.28</v>
      </c>
      <c r="M13141">
        <v>22</v>
      </c>
      <c r="N13141">
        <v>0</v>
      </c>
      <c r="O13141">
        <v>22</v>
      </c>
      <c r="P13141">
        <v>0</v>
      </c>
    </row>
    <row r="13142" spans="1:16" x14ac:dyDescent="0.25">
      <c r="A13142" t="s">
        <v>22583</v>
      </c>
      <c r="B13142" t="s">
        <v>21174</v>
      </c>
      <c r="C13142" t="s">
        <v>21175</v>
      </c>
      <c r="D13142" t="s">
        <v>15692</v>
      </c>
      <c r="E13142" t="s">
        <v>46</v>
      </c>
      <c r="F13142" t="s">
        <v>17351</v>
      </c>
      <c r="G13142" t="s">
        <v>47084</v>
      </c>
      <c r="H13142" t="s">
        <v>47071</v>
      </c>
      <c r="I13142" t="s">
        <v>47120</v>
      </c>
      <c r="J13142" t="s">
        <v>47121</v>
      </c>
      <c r="K13142" t="s">
        <v>47113</v>
      </c>
      <c r="L13142">
        <v>11.28</v>
      </c>
      <c r="M13142">
        <v>22</v>
      </c>
      <c r="N13142">
        <v>0</v>
      </c>
      <c r="O13142">
        <v>22</v>
      </c>
      <c r="P13142">
        <v>0</v>
      </c>
    </row>
    <row r="13143" spans="1:16" x14ac:dyDescent="0.25">
      <c r="A13143" t="s">
        <v>22584</v>
      </c>
      <c r="B13143" t="s">
        <v>21176</v>
      </c>
      <c r="C13143" t="s">
        <v>21177</v>
      </c>
      <c r="D13143" t="s">
        <v>21126</v>
      </c>
      <c r="E13143" t="s">
        <v>21127</v>
      </c>
      <c r="F13143" t="s">
        <v>17351</v>
      </c>
      <c r="G13143" t="s">
        <v>47085</v>
      </c>
      <c r="H13143" t="s">
        <v>47071</v>
      </c>
      <c r="I13143" t="s">
        <v>47120</v>
      </c>
      <c r="J13143" t="s">
        <v>47121</v>
      </c>
      <c r="K13143" t="s">
        <v>47113</v>
      </c>
      <c r="L13143">
        <v>19.95</v>
      </c>
      <c r="M13143">
        <v>39</v>
      </c>
      <c r="N13143">
        <v>0</v>
      </c>
      <c r="O13143">
        <v>39</v>
      </c>
      <c r="P13143">
        <v>0</v>
      </c>
    </row>
    <row r="13144" spans="1:16" x14ac:dyDescent="0.25">
      <c r="A13144" t="s">
        <v>35963</v>
      </c>
      <c r="B13144" t="s">
        <v>21178</v>
      </c>
      <c r="C13144" t="s">
        <v>21179</v>
      </c>
      <c r="D13144" t="s">
        <v>21130</v>
      </c>
      <c r="E13144" t="s">
        <v>21131</v>
      </c>
      <c r="F13144" t="s">
        <v>17351</v>
      </c>
      <c r="G13144" t="s">
        <v>47086</v>
      </c>
      <c r="H13144" t="s">
        <v>47071</v>
      </c>
      <c r="I13144" t="s">
        <v>47120</v>
      </c>
      <c r="J13144" t="s">
        <v>47121</v>
      </c>
      <c r="K13144" t="s">
        <v>47113</v>
      </c>
      <c r="L13144">
        <v>19.95</v>
      </c>
      <c r="M13144">
        <v>39</v>
      </c>
      <c r="N13144">
        <v>0</v>
      </c>
      <c r="O13144">
        <v>39</v>
      </c>
      <c r="P13144">
        <v>0</v>
      </c>
    </row>
    <row r="13145" spans="1:16" x14ac:dyDescent="0.25">
      <c r="A13145" t="s">
        <v>35964</v>
      </c>
      <c r="B13145" t="s">
        <v>21180</v>
      </c>
      <c r="C13145" t="s">
        <v>21181</v>
      </c>
      <c r="D13145" t="s">
        <v>18070</v>
      </c>
      <c r="E13145" t="s">
        <v>814</v>
      </c>
      <c r="F13145" t="s">
        <v>17351</v>
      </c>
      <c r="G13145" t="s">
        <v>47086</v>
      </c>
      <c r="H13145" t="s">
        <v>47071</v>
      </c>
      <c r="I13145" t="s">
        <v>47120</v>
      </c>
      <c r="J13145" t="s">
        <v>47121</v>
      </c>
      <c r="K13145" t="s">
        <v>47113</v>
      </c>
      <c r="L13145">
        <v>19.95</v>
      </c>
      <c r="M13145">
        <v>39</v>
      </c>
      <c r="N13145">
        <v>0</v>
      </c>
      <c r="O13145">
        <v>39</v>
      </c>
      <c r="P13145">
        <v>0</v>
      </c>
    </row>
    <row r="13146" spans="1:16" x14ac:dyDescent="0.25">
      <c r="A13146" t="s">
        <v>22585</v>
      </c>
      <c r="B13146" t="s">
        <v>21182</v>
      </c>
      <c r="C13146" t="s">
        <v>21183</v>
      </c>
      <c r="D13146" t="s">
        <v>14429</v>
      </c>
      <c r="E13146" t="s">
        <v>60</v>
      </c>
      <c r="F13146" t="s">
        <v>17351</v>
      </c>
      <c r="G13146" t="s">
        <v>47087</v>
      </c>
      <c r="H13146" t="s">
        <v>47071</v>
      </c>
      <c r="I13146" t="s">
        <v>47120</v>
      </c>
      <c r="J13146" t="s">
        <v>47121</v>
      </c>
      <c r="K13146" t="s">
        <v>47113</v>
      </c>
      <c r="L13146">
        <v>10.119999999999999</v>
      </c>
      <c r="M13146">
        <v>20</v>
      </c>
      <c r="N13146">
        <v>0</v>
      </c>
      <c r="O13146">
        <v>20</v>
      </c>
      <c r="P13146">
        <v>0</v>
      </c>
    </row>
    <row r="13147" spans="1:16" x14ac:dyDescent="0.25">
      <c r="A13147" t="s">
        <v>35965</v>
      </c>
      <c r="B13147" t="s">
        <v>21184</v>
      </c>
      <c r="C13147" t="s">
        <v>21185</v>
      </c>
      <c r="D13147" t="s">
        <v>15692</v>
      </c>
      <c r="E13147" t="s">
        <v>46</v>
      </c>
      <c r="F13147" t="s">
        <v>20053</v>
      </c>
      <c r="G13147" t="s">
        <v>47087</v>
      </c>
      <c r="H13147" t="s">
        <v>47071</v>
      </c>
      <c r="I13147" t="s">
        <v>47120</v>
      </c>
      <c r="J13147" t="s">
        <v>47121</v>
      </c>
      <c r="K13147" t="s">
        <v>47113</v>
      </c>
      <c r="L13147">
        <v>11.28</v>
      </c>
      <c r="M13147">
        <v>22</v>
      </c>
      <c r="N13147">
        <v>0</v>
      </c>
      <c r="O13147">
        <v>22</v>
      </c>
      <c r="P13147">
        <v>0</v>
      </c>
    </row>
    <row r="13148" spans="1:16" x14ac:dyDescent="0.25">
      <c r="A13148" t="s">
        <v>35966</v>
      </c>
      <c r="B13148" t="s">
        <v>21184</v>
      </c>
      <c r="C13148" t="s">
        <v>21185</v>
      </c>
      <c r="D13148" t="s">
        <v>14429</v>
      </c>
      <c r="E13148" t="s">
        <v>60</v>
      </c>
      <c r="F13148" t="s">
        <v>20053</v>
      </c>
      <c r="G13148" t="s">
        <v>47087</v>
      </c>
      <c r="H13148" t="s">
        <v>47071</v>
      </c>
      <c r="I13148" t="s">
        <v>47120</v>
      </c>
      <c r="J13148" t="s">
        <v>47121</v>
      </c>
      <c r="K13148" t="s">
        <v>47113</v>
      </c>
      <c r="L13148">
        <v>11.28</v>
      </c>
      <c r="M13148">
        <v>22</v>
      </c>
      <c r="N13148">
        <v>0</v>
      </c>
      <c r="O13148">
        <v>22</v>
      </c>
      <c r="P13148">
        <v>0</v>
      </c>
    </row>
    <row r="13149" spans="1:16" x14ac:dyDescent="0.25">
      <c r="A13149" t="s">
        <v>22586</v>
      </c>
      <c r="B13149" t="s">
        <v>21186</v>
      </c>
      <c r="C13149" t="s">
        <v>21187</v>
      </c>
      <c r="D13149" t="s">
        <v>21126</v>
      </c>
      <c r="E13149" t="s">
        <v>21127</v>
      </c>
      <c r="F13149" t="s">
        <v>17351</v>
      </c>
      <c r="G13149" t="s">
        <v>47087</v>
      </c>
      <c r="H13149" t="s">
        <v>47071</v>
      </c>
      <c r="I13149" t="s">
        <v>47120</v>
      </c>
      <c r="J13149" t="s">
        <v>47121</v>
      </c>
      <c r="K13149" t="s">
        <v>47113</v>
      </c>
      <c r="L13149">
        <v>11.28</v>
      </c>
      <c r="M13149">
        <v>22</v>
      </c>
      <c r="N13149">
        <v>0</v>
      </c>
      <c r="O13149">
        <v>22</v>
      </c>
      <c r="P13149">
        <v>0</v>
      </c>
    </row>
    <row r="13150" spans="1:16" x14ac:dyDescent="0.25">
      <c r="A13150" t="s">
        <v>22587</v>
      </c>
      <c r="B13150" t="s">
        <v>21186</v>
      </c>
      <c r="C13150" t="s">
        <v>21187</v>
      </c>
      <c r="D13150" t="s">
        <v>21130</v>
      </c>
      <c r="E13150" t="s">
        <v>21131</v>
      </c>
      <c r="F13150" t="s">
        <v>17351</v>
      </c>
      <c r="G13150" t="s">
        <v>47087</v>
      </c>
      <c r="H13150" t="s">
        <v>47071</v>
      </c>
      <c r="I13150" t="s">
        <v>47120</v>
      </c>
      <c r="J13150" t="s">
        <v>47121</v>
      </c>
      <c r="K13150" t="s">
        <v>47113</v>
      </c>
      <c r="L13150">
        <v>11.28</v>
      </c>
      <c r="M13150">
        <v>22</v>
      </c>
      <c r="N13150">
        <v>0</v>
      </c>
      <c r="O13150">
        <v>22</v>
      </c>
      <c r="P13150">
        <v>0</v>
      </c>
    </row>
    <row r="13151" spans="1:16" x14ac:dyDescent="0.25">
      <c r="A13151" t="s">
        <v>22588</v>
      </c>
      <c r="B13151" t="s">
        <v>21186</v>
      </c>
      <c r="C13151" t="s">
        <v>21187</v>
      </c>
      <c r="D13151" t="s">
        <v>21144</v>
      </c>
      <c r="E13151" t="s">
        <v>21145</v>
      </c>
      <c r="F13151" t="s">
        <v>17351</v>
      </c>
      <c r="G13151" t="s">
        <v>47087</v>
      </c>
      <c r="H13151" t="s">
        <v>47071</v>
      </c>
      <c r="I13151" t="s">
        <v>47120</v>
      </c>
      <c r="J13151" t="s">
        <v>47121</v>
      </c>
      <c r="K13151" t="s">
        <v>47113</v>
      </c>
      <c r="L13151">
        <v>11.28</v>
      </c>
      <c r="M13151">
        <v>22</v>
      </c>
      <c r="N13151">
        <v>0</v>
      </c>
      <c r="O13151">
        <v>22</v>
      </c>
      <c r="P13151">
        <v>0</v>
      </c>
    </row>
    <row r="13152" spans="1:16" x14ac:dyDescent="0.25">
      <c r="A13152" t="s">
        <v>48564</v>
      </c>
      <c r="B13152" t="s">
        <v>48565</v>
      </c>
      <c r="C13152" t="s">
        <v>46748</v>
      </c>
      <c r="D13152" t="s">
        <v>48566</v>
      </c>
      <c r="E13152" t="s">
        <v>48567</v>
      </c>
      <c r="F13152" t="s">
        <v>47325</v>
      </c>
      <c r="G13152" t="s">
        <v>47081</v>
      </c>
      <c r="H13152" t="s">
        <v>47071</v>
      </c>
      <c r="I13152" t="s">
        <v>47120</v>
      </c>
      <c r="J13152" t="s">
        <v>47121</v>
      </c>
      <c r="K13152" t="s">
        <v>47113</v>
      </c>
      <c r="L13152">
        <v>27.75</v>
      </c>
      <c r="M13152">
        <v>68</v>
      </c>
      <c r="N13152">
        <v>169</v>
      </c>
      <c r="O13152">
        <v>68</v>
      </c>
      <c r="P13152">
        <v>169</v>
      </c>
    </row>
    <row r="13153" spans="1:16" x14ac:dyDescent="0.25">
      <c r="A13153" t="s">
        <v>48568</v>
      </c>
      <c r="B13153" t="s">
        <v>48569</v>
      </c>
      <c r="C13153" t="s">
        <v>46753</v>
      </c>
      <c r="D13153" t="s">
        <v>18070</v>
      </c>
      <c r="E13153" t="s">
        <v>814</v>
      </c>
      <c r="F13153" t="s">
        <v>47325</v>
      </c>
      <c r="G13153" t="s">
        <v>47147</v>
      </c>
      <c r="H13153" t="s">
        <v>47071</v>
      </c>
      <c r="I13153" t="s">
        <v>47120</v>
      </c>
      <c r="J13153" t="s">
        <v>47121</v>
      </c>
      <c r="K13153" t="s">
        <v>47113</v>
      </c>
      <c r="L13153">
        <v>15.02</v>
      </c>
      <c r="M13153">
        <v>44</v>
      </c>
      <c r="N13153">
        <v>109</v>
      </c>
      <c r="O13153">
        <v>44</v>
      </c>
      <c r="P13153">
        <v>109</v>
      </c>
    </row>
    <row r="13154" spans="1:16" x14ac:dyDescent="0.25">
      <c r="A13154" t="s">
        <v>48570</v>
      </c>
      <c r="B13154" t="s">
        <v>48571</v>
      </c>
      <c r="C13154" t="s">
        <v>48572</v>
      </c>
      <c r="D13154" t="s">
        <v>21081</v>
      </c>
      <c r="E13154" t="s">
        <v>21082</v>
      </c>
      <c r="F13154" t="s">
        <v>47325</v>
      </c>
      <c r="G13154" t="s">
        <v>47087</v>
      </c>
      <c r="H13154" t="s">
        <v>47071</v>
      </c>
      <c r="I13154" t="s">
        <v>47120</v>
      </c>
      <c r="J13154" t="s">
        <v>47121</v>
      </c>
      <c r="K13154" t="s">
        <v>47113</v>
      </c>
      <c r="L13154">
        <v>9.93</v>
      </c>
      <c r="M13154">
        <v>28</v>
      </c>
      <c r="N13154">
        <v>69</v>
      </c>
      <c r="O13154">
        <v>28</v>
      </c>
      <c r="P13154">
        <v>69</v>
      </c>
    </row>
    <row r="13155" spans="1:16" x14ac:dyDescent="0.25">
      <c r="A13155" t="s">
        <v>48573</v>
      </c>
      <c r="B13155" t="s">
        <v>48571</v>
      </c>
      <c r="C13155" t="s">
        <v>48572</v>
      </c>
      <c r="D13155" t="s">
        <v>36030</v>
      </c>
      <c r="E13155" t="s">
        <v>36031</v>
      </c>
      <c r="F13155" t="s">
        <v>47325</v>
      </c>
      <c r="G13155" t="s">
        <v>47087</v>
      </c>
      <c r="H13155" t="s">
        <v>47071</v>
      </c>
      <c r="I13155" t="s">
        <v>47120</v>
      </c>
      <c r="J13155" t="s">
        <v>47121</v>
      </c>
      <c r="K13155" t="s">
        <v>47113</v>
      </c>
      <c r="L13155">
        <v>9.93</v>
      </c>
      <c r="M13155">
        <v>28</v>
      </c>
      <c r="N13155">
        <v>69</v>
      </c>
      <c r="O13155">
        <v>28</v>
      </c>
      <c r="P13155">
        <v>69</v>
      </c>
    </row>
    <row r="13156" spans="1:16" x14ac:dyDescent="0.25">
      <c r="A13156" t="s">
        <v>48574</v>
      </c>
      <c r="B13156" t="s">
        <v>48575</v>
      </c>
      <c r="C13156" t="s">
        <v>48576</v>
      </c>
      <c r="D13156" t="s">
        <v>14429</v>
      </c>
      <c r="E13156" t="s">
        <v>60</v>
      </c>
      <c r="F13156" t="s">
        <v>47325</v>
      </c>
      <c r="G13156" t="s">
        <v>47087</v>
      </c>
      <c r="H13156" t="s">
        <v>47071</v>
      </c>
      <c r="I13156" t="s">
        <v>47120</v>
      </c>
      <c r="J13156" t="s">
        <v>47121</v>
      </c>
      <c r="K13156" t="s">
        <v>47113</v>
      </c>
      <c r="L13156">
        <v>9.93</v>
      </c>
      <c r="M13156">
        <v>28</v>
      </c>
      <c r="N13156">
        <v>69</v>
      </c>
      <c r="O13156">
        <v>28</v>
      </c>
      <c r="P13156">
        <v>69</v>
      </c>
    </row>
    <row r="13157" spans="1:16" x14ac:dyDescent="0.25">
      <c r="A13157" t="s">
        <v>48577</v>
      </c>
      <c r="B13157" t="s">
        <v>48578</v>
      </c>
      <c r="C13157" t="s">
        <v>48579</v>
      </c>
      <c r="D13157" t="s">
        <v>48580</v>
      </c>
      <c r="E13157" t="s">
        <v>48581</v>
      </c>
      <c r="F13157" t="s">
        <v>47325</v>
      </c>
      <c r="G13157" t="s">
        <v>47087</v>
      </c>
      <c r="H13157" t="s">
        <v>47071</v>
      </c>
      <c r="I13157" t="s">
        <v>47120</v>
      </c>
      <c r="J13157" t="s">
        <v>47121</v>
      </c>
      <c r="K13157" t="s">
        <v>47113</v>
      </c>
      <c r="L13157">
        <v>8.14</v>
      </c>
      <c r="M13157">
        <v>28</v>
      </c>
      <c r="N13157">
        <v>69</v>
      </c>
      <c r="O13157">
        <v>28</v>
      </c>
      <c r="P13157">
        <v>69</v>
      </c>
    </row>
    <row r="13158" spans="1:16" x14ac:dyDescent="0.25">
      <c r="A13158" t="s">
        <v>48582</v>
      </c>
      <c r="B13158" t="s">
        <v>48583</v>
      </c>
      <c r="C13158" t="s">
        <v>48584</v>
      </c>
      <c r="D13158" t="s">
        <v>8967</v>
      </c>
      <c r="E13158" t="s">
        <v>8968</v>
      </c>
      <c r="F13158" t="s">
        <v>47325</v>
      </c>
      <c r="G13158" t="s">
        <v>47087</v>
      </c>
      <c r="H13158" t="s">
        <v>47071</v>
      </c>
      <c r="I13158" t="s">
        <v>47120</v>
      </c>
      <c r="J13158" t="s">
        <v>47121</v>
      </c>
      <c r="K13158" t="s">
        <v>47113</v>
      </c>
      <c r="L13158">
        <v>8.14</v>
      </c>
      <c r="M13158">
        <v>28</v>
      </c>
      <c r="N13158">
        <v>69</v>
      </c>
      <c r="O13158">
        <v>28</v>
      </c>
      <c r="P13158">
        <v>69</v>
      </c>
    </row>
    <row r="13159" spans="1:16" x14ac:dyDescent="0.25">
      <c r="A13159" t="s">
        <v>35967</v>
      </c>
      <c r="B13159" t="s">
        <v>35968</v>
      </c>
      <c r="C13159" t="s">
        <v>35969</v>
      </c>
      <c r="D13159" t="s">
        <v>35970</v>
      </c>
      <c r="E13159" t="s">
        <v>35971</v>
      </c>
      <c r="F13159" t="s">
        <v>3750</v>
      </c>
      <c r="G13159" t="s">
        <v>47081</v>
      </c>
      <c r="H13159" t="s">
        <v>47071</v>
      </c>
      <c r="I13159" t="s">
        <v>47116</v>
      </c>
      <c r="J13159" t="s">
        <v>47117</v>
      </c>
      <c r="K13159" t="s">
        <v>47113</v>
      </c>
      <c r="L13159">
        <v>14.87</v>
      </c>
      <c r="M13159">
        <v>35</v>
      </c>
      <c r="N13159">
        <v>0</v>
      </c>
      <c r="O13159">
        <v>35</v>
      </c>
      <c r="P13159">
        <v>0</v>
      </c>
    </row>
    <row r="13160" spans="1:16" x14ac:dyDescent="0.25">
      <c r="A13160" t="s">
        <v>35972</v>
      </c>
      <c r="B13160" t="s">
        <v>35973</v>
      </c>
      <c r="C13160" t="s">
        <v>21207</v>
      </c>
      <c r="D13160" t="s">
        <v>18111</v>
      </c>
      <c r="E13160" t="s">
        <v>18112</v>
      </c>
      <c r="F13160" t="s">
        <v>24019</v>
      </c>
      <c r="G13160" t="s">
        <v>47081</v>
      </c>
      <c r="H13160" t="s">
        <v>47071</v>
      </c>
      <c r="I13160" t="s">
        <v>47116</v>
      </c>
      <c r="J13160" t="s">
        <v>47117</v>
      </c>
      <c r="K13160" t="s">
        <v>47113</v>
      </c>
      <c r="L13160">
        <v>18.12</v>
      </c>
      <c r="M13160">
        <v>52</v>
      </c>
      <c r="N13160">
        <v>0</v>
      </c>
      <c r="O13160">
        <v>52</v>
      </c>
      <c r="P13160">
        <v>0</v>
      </c>
    </row>
    <row r="13161" spans="1:16" x14ac:dyDescent="0.25">
      <c r="A13161" t="s">
        <v>35974</v>
      </c>
      <c r="B13161" t="s">
        <v>35975</v>
      </c>
      <c r="C13161" t="s">
        <v>35969</v>
      </c>
      <c r="D13161" t="s">
        <v>35960</v>
      </c>
      <c r="E13161" t="s">
        <v>35961</v>
      </c>
      <c r="F13161" t="s">
        <v>3750</v>
      </c>
      <c r="G13161" t="s">
        <v>47081</v>
      </c>
      <c r="H13161" t="s">
        <v>47071</v>
      </c>
      <c r="I13161" t="s">
        <v>47116</v>
      </c>
      <c r="J13161" t="s">
        <v>47117</v>
      </c>
      <c r="K13161" t="s">
        <v>47113</v>
      </c>
      <c r="L13161">
        <v>14.87</v>
      </c>
      <c r="M13161">
        <v>35</v>
      </c>
      <c r="N13161">
        <v>0</v>
      </c>
      <c r="O13161">
        <v>35</v>
      </c>
      <c r="P13161">
        <v>0</v>
      </c>
    </row>
    <row r="13162" spans="1:16" x14ac:dyDescent="0.25">
      <c r="A13162" t="s">
        <v>35976</v>
      </c>
      <c r="B13162" t="s">
        <v>35977</v>
      </c>
      <c r="C13162" t="s">
        <v>16144</v>
      </c>
      <c r="D13162" t="s">
        <v>35970</v>
      </c>
      <c r="E13162" t="s">
        <v>35971</v>
      </c>
      <c r="F13162" t="s">
        <v>24019</v>
      </c>
      <c r="G13162" t="s">
        <v>47081</v>
      </c>
      <c r="H13162" t="s">
        <v>47071</v>
      </c>
      <c r="I13162" t="s">
        <v>47116</v>
      </c>
      <c r="J13162" t="s">
        <v>47117</v>
      </c>
      <c r="K13162" t="s">
        <v>47113</v>
      </c>
      <c r="L13162">
        <v>26.71</v>
      </c>
      <c r="M13162">
        <v>76</v>
      </c>
      <c r="N13162">
        <v>189</v>
      </c>
      <c r="O13162">
        <v>76</v>
      </c>
      <c r="P13162">
        <v>189</v>
      </c>
    </row>
    <row r="13163" spans="1:16" x14ac:dyDescent="0.25">
      <c r="A13163" t="s">
        <v>35978</v>
      </c>
      <c r="B13163" t="s">
        <v>35979</v>
      </c>
      <c r="C13163" t="s">
        <v>9460</v>
      </c>
      <c r="D13163" t="s">
        <v>9480</v>
      </c>
      <c r="E13163" t="s">
        <v>9481</v>
      </c>
      <c r="F13163" t="s">
        <v>24019</v>
      </c>
      <c r="G13163" t="s">
        <v>47081</v>
      </c>
      <c r="H13163" t="s">
        <v>47071</v>
      </c>
      <c r="I13163" t="s">
        <v>47116</v>
      </c>
      <c r="J13163" t="s">
        <v>47117</v>
      </c>
      <c r="K13163" t="s">
        <v>47113</v>
      </c>
      <c r="L13163">
        <v>33.869999999999997</v>
      </c>
      <c r="M13163">
        <v>80</v>
      </c>
      <c r="N13163">
        <v>0</v>
      </c>
      <c r="O13163">
        <v>80</v>
      </c>
      <c r="P13163">
        <v>0</v>
      </c>
    </row>
    <row r="13164" spans="1:16" x14ac:dyDescent="0.25">
      <c r="A13164" t="s">
        <v>48585</v>
      </c>
      <c r="B13164" t="s">
        <v>48586</v>
      </c>
      <c r="C13164" t="s">
        <v>48587</v>
      </c>
      <c r="D13164" t="str">
        <f>"1074"</f>
        <v>1074</v>
      </c>
      <c r="E13164" t="s">
        <v>48588</v>
      </c>
      <c r="F13164" t="s">
        <v>47325</v>
      </c>
      <c r="G13164" t="s">
        <v>46688</v>
      </c>
      <c r="H13164" t="s">
        <v>47071</v>
      </c>
      <c r="I13164" t="s">
        <v>47120</v>
      </c>
      <c r="J13164" t="s">
        <v>47121</v>
      </c>
      <c r="K13164" t="s">
        <v>47113</v>
      </c>
      <c r="L13164">
        <v>6.9</v>
      </c>
      <c r="M13164">
        <v>20</v>
      </c>
      <c r="N13164">
        <v>49</v>
      </c>
      <c r="O13164">
        <v>20</v>
      </c>
      <c r="P13164">
        <v>49</v>
      </c>
    </row>
    <row r="13165" spans="1:16" x14ac:dyDescent="0.25">
      <c r="A13165" t="s">
        <v>48589</v>
      </c>
      <c r="B13165" t="s">
        <v>48586</v>
      </c>
      <c r="C13165" t="s">
        <v>48587</v>
      </c>
      <c r="D13165" t="str">
        <f>"3196"</f>
        <v>3196</v>
      </c>
      <c r="E13165" t="s">
        <v>48590</v>
      </c>
      <c r="F13165" t="s">
        <v>47325</v>
      </c>
      <c r="G13165" t="s">
        <v>46688</v>
      </c>
      <c r="H13165" t="s">
        <v>47071</v>
      </c>
      <c r="I13165" t="s">
        <v>47120</v>
      </c>
      <c r="J13165" t="s">
        <v>47121</v>
      </c>
      <c r="K13165" t="s">
        <v>47113</v>
      </c>
      <c r="L13165">
        <v>6.9</v>
      </c>
      <c r="M13165">
        <v>20</v>
      </c>
      <c r="N13165">
        <v>49</v>
      </c>
      <c r="O13165">
        <v>20</v>
      </c>
      <c r="P13165">
        <v>49</v>
      </c>
    </row>
    <row r="13166" spans="1:16" x14ac:dyDescent="0.25">
      <c r="A13166" t="s">
        <v>48591</v>
      </c>
      <c r="B13166" t="s">
        <v>48586</v>
      </c>
      <c r="C13166" t="s">
        <v>48587</v>
      </c>
      <c r="D13166" t="str">
        <f>"4100"</f>
        <v>4100</v>
      </c>
      <c r="E13166" t="s">
        <v>48592</v>
      </c>
      <c r="F13166" t="s">
        <v>47325</v>
      </c>
      <c r="G13166" t="s">
        <v>46688</v>
      </c>
      <c r="H13166" t="s">
        <v>47071</v>
      </c>
      <c r="I13166" t="s">
        <v>47120</v>
      </c>
      <c r="J13166" t="s">
        <v>47121</v>
      </c>
      <c r="K13166" t="s">
        <v>47113</v>
      </c>
      <c r="L13166">
        <v>6.9</v>
      </c>
      <c r="M13166">
        <v>20</v>
      </c>
      <c r="N13166">
        <v>49</v>
      </c>
      <c r="O13166">
        <v>20</v>
      </c>
      <c r="P13166">
        <v>49</v>
      </c>
    </row>
    <row r="13167" spans="1:16" x14ac:dyDescent="0.25">
      <c r="A13167" t="s">
        <v>48593</v>
      </c>
      <c r="B13167" t="s">
        <v>48586</v>
      </c>
      <c r="C13167" t="s">
        <v>48587</v>
      </c>
      <c r="D13167" t="s">
        <v>46899</v>
      </c>
      <c r="E13167" t="s">
        <v>48594</v>
      </c>
      <c r="F13167" t="s">
        <v>47325</v>
      </c>
      <c r="G13167" t="s">
        <v>46688</v>
      </c>
      <c r="H13167" t="s">
        <v>47071</v>
      </c>
      <c r="I13167" t="s">
        <v>47120</v>
      </c>
      <c r="J13167" t="s">
        <v>47121</v>
      </c>
      <c r="K13167" t="s">
        <v>47113</v>
      </c>
      <c r="L13167">
        <v>6.9</v>
      </c>
      <c r="M13167">
        <v>20</v>
      </c>
      <c r="N13167">
        <v>49</v>
      </c>
      <c r="O13167">
        <v>20</v>
      </c>
      <c r="P13167">
        <v>49</v>
      </c>
    </row>
    <row r="13168" spans="1:16" x14ac:dyDescent="0.25">
      <c r="A13168" t="s">
        <v>22589</v>
      </c>
      <c r="B13168" t="s">
        <v>21188</v>
      </c>
      <c r="C13168" t="s">
        <v>21189</v>
      </c>
      <c r="D13168" t="s">
        <v>21190</v>
      </c>
      <c r="E13168" t="s">
        <v>21191</v>
      </c>
      <c r="F13168" t="s">
        <v>20053</v>
      </c>
      <c r="G13168" t="s">
        <v>47145</v>
      </c>
      <c r="H13168" t="s">
        <v>47071</v>
      </c>
      <c r="I13168" t="s">
        <v>47120</v>
      </c>
      <c r="J13168" t="s">
        <v>47121</v>
      </c>
      <c r="K13168" t="s">
        <v>47113</v>
      </c>
      <c r="L13168">
        <v>19.95</v>
      </c>
      <c r="M13168">
        <v>40</v>
      </c>
      <c r="N13168">
        <v>0</v>
      </c>
      <c r="O13168">
        <v>40</v>
      </c>
      <c r="P13168">
        <v>0</v>
      </c>
    </row>
    <row r="13169" spans="1:16" x14ac:dyDescent="0.25">
      <c r="A13169" t="s">
        <v>22590</v>
      </c>
      <c r="B13169" t="s">
        <v>21192</v>
      </c>
      <c r="C13169" t="s">
        <v>21193</v>
      </c>
      <c r="D13169" t="s">
        <v>15740</v>
      </c>
      <c r="E13169" t="s">
        <v>42</v>
      </c>
      <c r="F13169" t="s">
        <v>20053</v>
      </c>
      <c r="G13169" t="s">
        <v>47145</v>
      </c>
      <c r="H13169" t="s">
        <v>47071</v>
      </c>
      <c r="I13169" t="s">
        <v>47120</v>
      </c>
      <c r="J13169" t="s">
        <v>47121</v>
      </c>
      <c r="K13169" t="s">
        <v>47113</v>
      </c>
      <c r="L13169">
        <v>19.95</v>
      </c>
      <c r="M13169">
        <v>40</v>
      </c>
      <c r="N13169">
        <v>0</v>
      </c>
      <c r="O13169">
        <v>40</v>
      </c>
      <c r="P13169">
        <v>0</v>
      </c>
    </row>
    <row r="13170" spans="1:16" x14ac:dyDescent="0.25">
      <c r="A13170" t="s">
        <v>35980</v>
      </c>
      <c r="B13170" t="s">
        <v>21194</v>
      </c>
      <c r="C13170" t="s">
        <v>21195</v>
      </c>
      <c r="D13170" t="s">
        <v>21196</v>
      </c>
      <c r="E13170" t="s">
        <v>21197</v>
      </c>
      <c r="F13170" t="s">
        <v>20053</v>
      </c>
      <c r="G13170" t="s">
        <v>47082</v>
      </c>
      <c r="H13170" t="s">
        <v>47071</v>
      </c>
      <c r="I13170" t="s">
        <v>47120</v>
      </c>
      <c r="J13170" t="s">
        <v>47121</v>
      </c>
      <c r="K13170" t="s">
        <v>47113</v>
      </c>
      <c r="L13170">
        <v>22.83</v>
      </c>
      <c r="M13170">
        <v>44</v>
      </c>
      <c r="N13170">
        <v>0</v>
      </c>
      <c r="O13170">
        <v>44</v>
      </c>
      <c r="P13170">
        <v>0</v>
      </c>
    </row>
    <row r="13171" spans="1:16" x14ac:dyDescent="0.25">
      <c r="A13171" t="s">
        <v>35981</v>
      </c>
      <c r="B13171" t="s">
        <v>35982</v>
      </c>
      <c r="C13171" t="s">
        <v>35278</v>
      </c>
      <c r="D13171" t="s">
        <v>15740</v>
      </c>
      <c r="E13171" t="s">
        <v>42</v>
      </c>
      <c r="F13171" t="s">
        <v>20053</v>
      </c>
      <c r="G13171" t="s">
        <v>47082</v>
      </c>
      <c r="H13171" t="s">
        <v>47071</v>
      </c>
      <c r="I13171" t="s">
        <v>47120</v>
      </c>
      <c r="J13171" t="s">
        <v>47121</v>
      </c>
      <c r="K13171" t="s">
        <v>47113</v>
      </c>
      <c r="L13171">
        <v>15.96</v>
      </c>
      <c r="M13171">
        <v>40</v>
      </c>
      <c r="N13171">
        <v>0</v>
      </c>
      <c r="O13171">
        <v>40</v>
      </c>
      <c r="P13171">
        <v>0</v>
      </c>
    </row>
    <row r="13172" spans="1:16" x14ac:dyDescent="0.25">
      <c r="A13172" t="s">
        <v>35983</v>
      </c>
      <c r="B13172" t="s">
        <v>35982</v>
      </c>
      <c r="C13172" t="s">
        <v>35278</v>
      </c>
      <c r="D13172" t="s">
        <v>18070</v>
      </c>
      <c r="E13172" t="s">
        <v>814</v>
      </c>
      <c r="F13172" t="s">
        <v>20053</v>
      </c>
      <c r="G13172" t="s">
        <v>47082</v>
      </c>
      <c r="H13172" t="s">
        <v>47071</v>
      </c>
      <c r="I13172" t="s">
        <v>47120</v>
      </c>
      <c r="J13172" t="s">
        <v>47121</v>
      </c>
      <c r="K13172" t="s">
        <v>47113</v>
      </c>
      <c r="L13172">
        <v>15.96</v>
      </c>
      <c r="M13172">
        <v>40</v>
      </c>
      <c r="N13172">
        <v>0</v>
      </c>
      <c r="O13172">
        <v>40</v>
      </c>
      <c r="P13172">
        <v>0</v>
      </c>
    </row>
    <row r="13173" spans="1:16" x14ac:dyDescent="0.25">
      <c r="A13173" t="s">
        <v>22591</v>
      </c>
      <c r="B13173" t="s">
        <v>21198</v>
      </c>
      <c r="C13173" t="s">
        <v>21199</v>
      </c>
      <c r="D13173" t="s">
        <v>21200</v>
      </c>
      <c r="E13173" t="s">
        <v>21201</v>
      </c>
      <c r="F13173" t="s">
        <v>20053</v>
      </c>
      <c r="G13173" t="s">
        <v>47081</v>
      </c>
      <c r="H13173" t="s">
        <v>47071</v>
      </c>
      <c r="I13173" t="s">
        <v>47116</v>
      </c>
      <c r="J13173" t="s">
        <v>47117</v>
      </c>
      <c r="K13173" t="s">
        <v>47113</v>
      </c>
      <c r="L13173">
        <v>21.31</v>
      </c>
      <c r="M13173">
        <v>52</v>
      </c>
      <c r="N13173">
        <v>0</v>
      </c>
      <c r="O13173">
        <v>52</v>
      </c>
      <c r="P13173">
        <v>0</v>
      </c>
    </row>
    <row r="13174" spans="1:16" x14ac:dyDescent="0.25">
      <c r="A13174" t="s">
        <v>35984</v>
      </c>
      <c r="B13174" t="s">
        <v>21202</v>
      </c>
      <c r="C13174" t="s">
        <v>21203</v>
      </c>
      <c r="D13174" t="s">
        <v>21204</v>
      </c>
      <c r="E13174" t="s">
        <v>21205</v>
      </c>
      <c r="F13174" t="s">
        <v>20053</v>
      </c>
      <c r="G13174" t="s">
        <v>47081</v>
      </c>
      <c r="H13174" t="s">
        <v>47071</v>
      </c>
      <c r="I13174" t="s">
        <v>47116</v>
      </c>
      <c r="J13174" t="s">
        <v>47117</v>
      </c>
      <c r="K13174" t="s">
        <v>47113</v>
      </c>
      <c r="L13174">
        <v>34.79</v>
      </c>
      <c r="M13174">
        <v>80</v>
      </c>
      <c r="N13174">
        <v>0</v>
      </c>
      <c r="O13174">
        <v>80</v>
      </c>
      <c r="P13174">
        <v>0</v>
      </c>
    </row>
    <row r="13175" spans="1:16" x14ac:dyDescent="0.25">
      <c r="A13175" t="s">
        <v>22592</v>
      </c>
      <c r="B13175" t="s">
        <v>21206</v>
      </c>
      <c r="C13175" t="s">
        <v>21207</v>
      </c>
      <c r="D13175" t="s">
        <v>21208</v>
      </c>
      <c r="E13175" t="s">
        <v>21209</v>
      </c>
      <c r="F13175" t="s">
        <v>20053</v>
      </c>
      <c r="G13175" t="s">
        <v>47081</v>
      </c>
      <c r="H13175" t="s">
        <v>47071</v>
      </c>
      <c r="I13175" t="s">
        <v>47116</v>
      </c>
      <c r="J13175" t="s">
        <v>47117</v>
      </c>
      <c r="K13175" t="s">
        <v>47113</v>
      </c>
      <c r="L13175">
        <v>21.31</v>
      </c>
      <c r="M13175">
        <v>52</v>
      </c>
      <c r="N13175">
        <v>0</v>
      </c>
      <c r="O13175">
        <v>52</v>
      </c>
      <c r="P13175">
        <v>0</v>
      </c>
    </row>
    <row r="13176" spans="1:16" x14ac:dyDescent="0.25">
      <c r="A13176" t="s">
        <v>35985</v>
      </c>
      <c r="B13176" t="s">
        <v>21210</v>
      </c>
      <c r="C13176" t="s">
        <v>21211</v>
      </c>
      <c r="D13176" t="s">
        <v>21212</v>
      </c>
      <c r="E13176" t="s">
        <v>21213</v>
      </c>
      <c r="F13176" t="s">
        <v>20053</v>
      </c>
      <c r="G13176" t="s">
        <v>47081</v>
      </c>
      <c r="H13176" t="s">
        <v>47071</v>
      </c>
      <c r="I13176" t="s">
        <v>47116</v>
      </c>
      <c r="J13176" t="s">
        <v>47117</v>
      </c>
      <c r="K13176" t="s">
        <v>47113</v>
      </c>
      <c r="L13176">
        <v>34.79</v>
      </c>
      <c r="M13176">
        <v>80</v>
      </c>
      <c r="N13176">
        <v>0</v>
      </c>
      <c r="O13176">
        <v>80</v>
      </c>
      <c r="P13176">
        <v>0</v>
      </c>
    </row>
    <row r="13177" spans="1:16" x14ac:dyDescent="0.25">
      <c r="A13177" t="s">
        <v>22593</v>
      </c>
      <c r="B13177" t="s">
        <v>21214</v>
      </c>
      <c r="C13177" t="s">
        <v>21207</v>
      </c>
      <c r="D13177" t="s">
        <v>21215</v>
      </c>
      <c r="E13177" t="s">
        <v>21216</v>
      </c>
      <c r="F13177" t="s">
        <v>20053</v>
      </c>
      <c r="G13177" t="s">
        <v>47081</v>
      </c>
      <c r="H13177" t="s">
        <v>47071</v>
      </c>
      <c r="I13177" t="s">
        <v>47116</v>
      </c>
      <c r="J13177" t="s">
        <v>47117</v>
      </c>
      <c r="K13177" t="s">
        <v>47113</v>
      </c>
      <c r="L13177">
        <v>21.31</v>
      </c>
      <c r="M13177">
        <v>52</v>
      </c>
      <c r="N13177">
        <v>0</v>
      </c>
      <c r="O13177">
        <v>52</v>
      </c>
      <c r="P13177">
        <v>0</v>
      </c>
    </row>
    <row r="13178" spans="1:16" x14ac:dyDescent="0.25">
      <c r="A13178" t="s">
        <v>35986</v>
      </c>
      <c r="B13178" t="s">
        <v>35987</v>
      </c>
      <c r="C13178" t="s">
        <v>35988</v>
      </c>
      <c r="D13178" t="s">
        <v>15740</v>
      </c>
      <c r="E13178" t="s">
        <v>42</v>
      </c>
      <c r="F13178" t="s">
        <v>20053</v>
      </c>
      <c r="G13178" t="s">
        <v>47081</v>
      </c>
      <c r="H13178" t="s">
        <v>47071</v>
      </c>
      <c r="I13178" t="s">
        <v>47116</v>
      </c>
      <c r="J13178" t="s">
        <v>47117</v>
      </c>
      <c r="K13178" t="s">
        <v>47113</v>
      </c>
      <c r="L13178">
        <v>14.85</v>
      </c>
      <c r="M13178">
        <v>64</v>
      </c>
      <c r="N13178">
        <v>159</v>
      </c>
      <c r="O13178">
        <v>64</v>
      </c>
      <c r="P13178">
        <v>159</v>
      </c>
    </row>
    <row r="13179" spans="1:16" x14ac:dyDescent="0.25">
      <c r="A13179" t="s">
        <v>35989</v>
      </c>
      <c r="B13179" t="s">
        <v>35990</v>
      </c>
      <c r="C13179" t="s">
        <v>35991</v>
      </c>
      <c r="D13179" t="s">
        <v>35992</v>
      </c>
      <c r="E13179" t="s">
        <v>35993</v>
      </c>
      <c r="F13179" t="s">
        <v>20053</v>
      </c>
      <c r="G13179" t="s">
        <v>47081</v>
      </c>
      <c r="H13179" t="s">
        <v>47071</v>
      </c>
      <c r="I13179" t="s">
        <v>47116</v>
      </c>
      <c r="J13179" t="s">
        <v>47117</v>
      </c>
      <c r="K13179" t="s">
        <v>47113</v>
      </c>
      <c r="L13179">
        <v>14.87</v>
      </c>
      <c r="M13179">
        <v>34</v>
      </c>
      <c r="N13179">
        <v>0</v>
      </c>
      <c r="O13179">
        <v>34</v>
      </c>
      <c r="P13179">
        <v>0</v>
      </c>
    </row>
    <row r="13180" spans="1:16" x14ac:dyDescent="0.25">
      <c r="A13180" t="s">
        <v>35994</v>
      </c>
      <c r="B13180" t="s">
        <v>35995</v>
      </c>
      <c r="C13180" t="s">
        <v>35996</v>
      </c>
      <c r="D13180" t="s">
        <v>35997</v>
      </c>
      <c r="E13180" t="s">
        <v>35998</v>
      </c>
      <c r="F13180" t="s">
        <v>20053</v>
      </c>
      <c r="G13180" t="s">
        <v>47081</v>
      </c>
      <c r="H13180" t="s">
        <v>47071</v>
      </c>
      <c r="I13180" t="s">
        <v>47116</v>
      </c>
      <c r="J13180" t="s">
        <v>47117</v>
      </c>
      <c r="K13180" t="s">
        <v>47113</v>
      </c>
      <c r="L13180">
        <v>14.87</v>
      </c>
      <c r="M13180">
        <v>34</v>
      </c>
      <c r="N13180">
        <v>0</v>
      </c>
      <c r="O13180">
        <v>34</v>
      </c>
      <c r="P13180">
        <v>0</v>
      </c>
    </row>
    <row r="13181" spans="1:16" x14ac:dyDescent="0.25">
      <c r="A13181" t="s">
        <v>35999</v>
      </c>
      <c r="B13181" t="s">
        <v>36000</v>
      </c>
      <c r="C13181" t="s">
        <v>36001</v>
      </c>
      <c r="D13181" t="s">
        <v>35302</v>
      </c>
      <c r="E13181" t="s">
        <v>35303</v>
      </c>
      <c r="F13181" t="s">
        <v>20053</v>
      </c>
      <c r="G13181" t="s">
        <v>47081</v>
      </c>
      <c r="H13181" t="s">
        <v>47071</v>
      </c>
      <c r="I13181" t="s">
        <v>47116</v>
      </c>
      <c r="J13181" t="s">
        <v>47117</v>
      </c>
      <c r="K13181" t="s">
        <v>47113</v>
      </c>
      <c r="L13181">
        <v>18.260000000000002</v>
      </c>
      <c r="M13181">
        <v>49</v>
      </c>
      <c r="N13181">
        <v>0</v>
      </c>
      <c r="O13181">
        <v>49</v>
      </c>
      <c r="P13181">
        <v>0</v>
      </c>
    </row>
    <row r="13182" spans="1:16" x14ac:dyDescent="0.25">
      <c r="A13182" t="s">
        <v>36002</v>
      </c>
      <c r="B13182" t="s">
        <v>36003</v>
      </c>
      <c r="C13182" t="s">
        <v>36001</v>
      </c>
      <c r="D13182" t="s">
        <v>36004</v>
      </c>
      <c r="E13182" t="s">
        <v>36005</v>
      </c>
      <c r="F13182" t="s">
        <v>20053</v>
      </c>
      <c r="G13182" t="s">
        <v>47081</v>
      </c>
      <c r="H13182" t="s">
        <v>47071</v>
      </c>
      <c r="I13182" t="s">
        <v>47116</v>
      </c>
      <c r="J13182" t="s">
        <v>47117</v>
      </c>
      <c r="K13182" t="s">
        <v>47113</v>
      </c>
      <c r="L13182">
        <v>18.260000000000002</v>
      </c>
      <c r="M13182">
        <v>49</v>
      </c>
      <c r="N13182">
        <v>0</v>
      </c>
      <c r="O13182">
        <v>49</v>
      </c>
      <c r="P13182">
        <v>0</v>
      </c>
    </row>
    <row r="13183" spans="1:16" x14ac:dyDescent="0.25">
      <c r="A13183" t="s">
        <v>36006</v>
      </c>
      <c r="B13183" t="s">
        <v>36007</v>
      </c>
      <c r="C13183" t="s">
        <v>36008</v>
      </c>
      <c r="D13183" t="s">
        <v>20954</v>
      </c>
      <c r="E13183" t="s">
        <v>20955</v>
      </c>
      <c r="F13183" t="s">
        <v>20053</v>
      </c>
      <c r="G13183" t="s">
        <v>47081</v>
      </c>
      <c r="H13183" t="s">
        <v>47071</v>
      </c>
      <c r="I13183" t="s">
        <v>47116</v>
      </c>
      <c r="J13183" t="s">
        <v>47117</v>
      </c>
      <c r="K13183" t="s">
        <v>47113</v>
      </c>
      <c r="L13183">
        <v>14.75</v>
      </c>
      <c r="M13183">
        <v>35</v>
      </c>
      <c r="N13183">
        <v>0</v>
      </c>
      <c r="O13183">
        <v>35</v>
      </c>
      <c r="P13183">
        <v>0</v>
      </c>
    </row>
    <row r="13184" spans="1:16" x14ac:dyDescent="0.25">
      <c r="A13184" t="s">
        <v>36009</v>
      </c>
      <c r="B13184" t="s">
        <v>21217</v>
      </c>
      <c r="C13184" t="s">
        <v>21207</v>
      </c>
      <c r="D13184" t="s">
        <v>21218</v>
      </c>
      <c r="E13184" t="s">
        <v>21219</v>
      </c>
      <c r="F13184" t="s">
        <v>20053</v>
      </c>
      <c r="G13184" t="s">
        <v>47081</v>
      </c>
      <c r="H13184" t="s">
        <v>47071</v>
      </c>
      <c r="I13184" t="s">
        <v>47116</v>
      </c>
      <c r="J13184" t="s">
        <v>47117</v>
      </c>
      <c r="K13184" t="s">
        <v>47113</v>
      </c>
      <c r="L13184">
        <v>21.31</v>
      </c>
      <c r="M13184">
        <v>52</v>
      </c>
      <c r="N13184">
        <v>0</v>
      </c>
      <c r="O13184">
        <v>52</v>
      </c>
      <c r="P13184">
        <v>0</v>
      </c>
    </row>
    <row r="13185" spans="1:16" x14ac:dyDescent="0.25">
      <c r="A13185" t="s">
        <v>36010</v>
      </c>
      <c r="B13185" t="s">
        <v>21220</v>
      </c>
      <c r="C13185" t="s">
        <v>21221</v>
      </c>
      <c r="D13185" t="s">
        <v>18111</v>
      </c>
      <c r="E13185" t="s">
        <v>21222</v>
      </c>
      <c r="F13185" t="s">
        <v>20053</v>
      </c>
      <c r="G13185" t="s">
        <v>47081</v>
      </c>
      <c r="H13185" t="s">
        <v>47071</v>
      </c>
      <c r="I13185" t="s">
        <v>47116</v>
      </c>
      <c r="J13185" t="s">
        <v>47117</v>
      </c>
      <c r="K13185" t="s">
        <v>47113</v>
      </c>
      <c r="L13185">
        <v>34.79</v>
      </c>
      <c r="M13185">
        <v>80</v>
      </c>
      <c r="N13185">
        <v>0</v>
      </c>
      <c r="O13185">
        <v>80</v>
      </c>
      <c r="P13185">
        <v>0</v>
      </c>
    </row>
    <row r="13186" spans="1:16" x14ac:dyDescent="0.25">
      <c r="A13186" t="s">
        <v>36011</v>
      </c>
      <c r="B13186" t="s">
        <v>21223</v>
      </c>
      <c r="C13186" t="s">
        <v>21224</v>
      </c>
      <c r="D13186" t="s">
        <v>9579</v>
      </c>
      <c r="E13186" t="s">
        <v>9580</v>
      </c>
      <c r="F13186" t="s">
        <v>20053</v>
      </c>
      <c r="G13186" t="s">
        <v>47083</v>
      </c>
      <c r="H13186" t="s">
        <v>47071</v>
      </c>
      <c r="I13186" t="s">
        <v>47116</v>
      </c>
      <c r="J13186" t="s">
        <v>47117</v>
      </c>
      <c r="K13186" t="s">
        <v>47113</v>
      </c>
      <c r="L13186">
        <v>18.61</v>
      </c>
      <c r="M13186">
        <v>48</v>
      </c>
      <c r="N13186">
        <v>0</v>
      </c>
      <c r="O13186">
        <v>48</v>
      </c>
      <c r="P13186">
        <v>0</v>
      </c>
    </row>
    <row r="13187" spans="1:16" x14ac:dyDescent="0.25">
      <c r="A13187" t="s">
        <v>36012</v>
      </c>
      <c r="B13187" t="s">
        <v>21225</v>
      </c>
      <c r="C13187" t="s">
        <v>21207</v>
      </c>
      <c r="D13187" t="s">
        <v>21226</v>
      </c>
      <c r="E13187" t="s">
        <v>21227</v>
      </c>
      <c r="F13187" t="s">
        <v>20053</v>
      </c>
      <c r="G13187" t="s">
        <v>47081</v>
      </c>
      <c r="H13187" t="s">
        <v>47071</v>
      </c>
      <c r="I13187" t="s">
        <v>47116</v>
      </c>
      <c r="J13187" t="s">
        <v>47117</v>
      </c>
      <c r="K13187" t="s">
        <v>47113</v>
      </c>
      <c r="L13187">
        <v>18.61</v>
      </c>
      <c r="M13187">
        <v>48</v>
      </c>
      <c r="N13187">
        <v>0</v>
      </c>
      <c r="O13187">
        <v>48</v>
      </c>
      <c r="P13187">
        <v>0</v>
      </c>
    </row>
    <row r="13188" spans="1:16" x14ac:dyDescent="0.25">
      <c r="A13188" t="s">
        <v>22594</v>
      </c>
      <c r="B13188" t="s">
        <v>21228</v>
      </c>
      <c r="C13188" t="s">
        <v>21207</v>
      </c>
      <c r="D13188" t="s">
        <v>21229</v>
      </c>
      <c r="E13188" t="s">
        <v>21230</v>
      </c>
      <c r="F13188" t="s">
        <v>20053</v>
      </c>
      <c r="G13188" t="s">
        <v>47081</v>
      </c>
      <c r="H13188" t="s">
        <v>47071</v>
      </c>
      <c r="I13188" t="s">
        <v>47116</v>
      </c>
      <c r="J13188" t="s">
        <v>47117</v>
      </c>
      <c r="K13188" t="s">
        <v>47113</v>
      </c>
      <c r="L13188">
        <v>18.61</v>
      </c>
      <c r="M13188">
        <v>48</v>
      </c>
      <c r="N13188">
        <v>0</v>
      </c>
      <c r="O13188">
        <v>48</v>
      </c>
      <c r="P13188">
        <v>0</v>
      </c>
    </row>
    <row r="13189" spans="1:16" x14ac:dyDescent="0.25">
      <c r="A13189" t="s">
        <v>36013</v>
      </c>
      <c r="B13189" t="s">
        <v>36014</v>
      </c>
      <c r="C13189" t="s">
        <v>36015</v>
      </c>
      <c r="D13189" t="s">
        <v>18070</v>
      </c>
      <c r="E13189" t="s">
        <v>814</v>
      </c>
      <c r="F13189" t="s">
        <v>20053</v>
      </c>
      <c r="G13189" t="s">
        <v>47083</v>
      </c>
      <c r="H13189" t="s">
        <v>47071</v>
      </c>
      <c r="I13189" t="s">
        <v>47116</v>
      </c>
      <c r="J13189" t="s">
        <v>47117</v>
      </c>
      <c r="K13189" t="s">
        <v>47113</v>
      </c>
      <c r="L13189">
        <v>14.87</v>
      </c>
      <c r="M13189">
        <v>34</v>
      </c>
      <c r="N13189">
        <v>0</v>
      </c>
      <c r="O13189">
        <v>34</v>
      </c>
      <c r="P13189">
        <v>0</v>
      </c>
    </row>
    <row r="13190" spans="1:16" x14ac:dyDescent="0.25">
      <c r="A13190" t="s">
        <v>22595</v>
      </c>
      <c r="B13190" t="s">
        <v>21231</v>
      </c>
      <c r="C13190" t="s">
        <v>21232</v>
      </c>
      <c r="D13190" t="s">
        <v>21233</v>
      </c>
      <c r="E13190" t="s">
        <v>21234</v>
      </c>
      <c r="F13190" t="s">
        <v>20053</v>
      </c>
      <c r="G13190" t="s">
        <v>47084</v>
      </c>
      <c r="H13190" t="s">
        <v>47071</v>
      </c>
      <c r="I13190" t="s">
        <v>47120</v>
      </c>
      <c r="J13190" t="s">
        <v>47121</v>
      </c>
      <c r="K13190" t="s">
        <v>47113</v>
      </c>
      <c r="L13190">
        <v>13.01</v>
      </c>
      <c r="M13190">
        <v>26</v>
      </c>
      <c r="N13190">
        <v>0</v>
      </c>
      <c r="O13190">
        <v>26</v>
      </c>
      <c r="P13190">
        <v>0</v>
      </c>
    </row>
    <row r="13191" spans="1:16" x14ac:dyDescent="0.25">
      <c r="A13191" t="s">
        <v>22596</v>
      </c>
      <c r="B13191" t="s">
        <v>21235</v>
      </c>
      <c r="C13191" t="s">
        <v>21236</v>
      </c>
      <c r="D13191" t="s">
        <v>21237</v>
      </c>
      <c r="E13191" t="s">
        <v>21238</v>
      </c>
      <c r="F13191" t="s">
        <v>20053</v>
      </c>
      <c r="G13191" t="s">
        <v>47084</v>
      </c>
      <c r="H13191" t="s">
        <v>47071</v>
      </c>
      <c r="I13191" t="s">
        <v>47120</v>
      </c>
      <c r="J13191" t="s">
        <v>47121</v>
      </c>
      <c r="K13191" t="s">
        <v>47113</v>
      </c>
      <c r="L13191">
        <v>13.77</v>
      </c>
      <c r="M13191">
        <v>26</v>
      </c>
      <c r="N13191">
        <v>0</v>
      </c>
      <c r="O13191">
        <v>26</v>
      </c>
      <c r="P13191">
        <v>0</v>
      </c>
    </row>
    <row r="13192" spans="1:16" x14ac:dyDescent="0.25">
      <c r="A13192" t="s">
        <v>22597</v>
      </c>
      <c r="B13192" t="s">
        <v>21239</v>
      </c>
      <c r="C13192" t="s">
        <v>18146</v>
      </c>
      <c r="D13192" t="s">
        <v>15692</v>
      </c>
      <c r="E13192" t="s">
        <v>46</v>
      </c>
      <c r="F13192" t="s">
        <v>20053</v>
      </c>
      <c r="G13192" t="s">
        <v>47084</v>
      </c>
      <c r="H13192" t="s">
        <v>47071</v>
      </c>
      <c r="I13192" t="s">
        <v>47120</v>
      </c>
      <c r="J13192" t="s">
        <v>47121</v>
      </c>
      <c r="K13192" t="s">
        <v>47113</v>
      </c>
      <c r="L13192">
        <v>13.01</v>
      </c>
      <c r="M13192">
        <v>26</v>
      </c>
      <c r="N13192">
        <v>0</v>
      </c>
      <c r="O13192">
        <v>26</v>
      </c>
      <c r="P13192">
        <v>0</v>
      </c>
    </row>
    <row r="13193" spans="1:16" x14ac:dyDescent="0.25">
      <c r="A13193" t="s">
        <v>22598</v>
      </c>
      <c r="B13193" t="s">
        <v>21240</v>
      </c>
      <c r="C13193" t="s">
        <v>21241</v>
      </c>
      <c r="D13193" t="s">
        <v>14429</v>
      </c>
      <c r="E13193" t="s">
        <v>60</v>
      </c>
      <c r="F13193" t="s">
        <v>20053</v>
      </c>
      <c r="G13193" t="s">
        <v>47084</v>
      </c>
      <c r="H13193" t="s">
        <v>47071</v>
      </c>
      <c r="I13193" t="s">
        <v>47120</v>
      </c>
      <c r="J13193" t="s">
        <v>47121</v>
      </c>
      <c r="K13193" t="s">
        <v>47113</v>
      </c>
      <c r="L13193">
        <v>13.01</v>
      </c>
      <c r="M13193">
        <v>26</v>
      </c>
      <c r="N13193">
        <v>0</v>
      </c>
      <c r="O13193">
        <v>26</v>
      </c>
      <c r="P13193">
        <v>0</v>
      </c>
    </row>
    <row r="13194" spans="1:16" x14ac:dyDescent="0.25">
      <c r="A13194" t="s">
        <v>22599</v>
      </c>
      <c r="B13194" t="s">
        <v>21242</v>
      </c>
      <c r="C13194" t="s">
        <v>21243</v>
      </c>
      <c r="D13194" t="s">
        <v>15692</v>
      </c>
      <c r="E13194" t="s">
        <v>46</v>
      </c>
      <c r="F13194" t="s">
        <v>20053</v>
      </c>
      <c r="G13194" t="s">
        <v>47082</v>
      </c>
      <c r="H13194" t="s">
        <v>47071</v>
      </c>
      <c r="I13194" t="s">
        <v>47120</v>
      </c>
      <c r="J13194" t="s">
        <v>47121</v>
      </c>
      <c r="K13194" t="s">
        <v>47113</v>
      </c>
      <c r="L13194">
        <v>19.95</v>
      </c>
      <c r="M13194">
        <v>40</v>
      </c>
      <c r="N13194">
        <v>0</v>
      </c>
      <c r="O13194">
        <v>40</v>
      </c>
      <c r="P13194">
        <v>0</v>
      </c>
    </row>
    <row r="13195" spans="1:16" x14ac:dyDescent="0.25">
      <c r="A13195" t="s">
        <v>22600</v>
      </c>
      <c r="B13195" t="s">
        <v>21244</v>
      </c>
      <c r="C13195" t="s">
        <v>21243</v>
      </c>
      <c r="D13195" t="s">
        <v>15734</v>
      </c>
      <c r="E13195" t="s">
        <v>15735</v>
      </c>
      <c r="F13195" t="s">
        <v>20053</v>
      </c>
      <c r="G13195" t="s">
        <v>47082</v>
      </c>
      <c r="H13195" t="s">
        <v>47071</v>
      </c>
      <c r="I13195" t="s">
        <v>47120</v>
      </c>
      <c r="J13195" t="s">
        <v>47121</v>
      </c>
      <c r="K13195" t="s">
        <v>47113</v>
      </c>
      <c r="L13195">
        <v>14.16</v>
      </c>
      <c r="M13195">
        <v>28</v>
      </c>
      <c r="N13195">
        <v>0</v>
      </c>
      <c r="O13195">
        <v>28</v>
      </c>
      <c r="P13195">
        <v>0</v>
      </c>
    </row>
    <row r="13196" spans="1:16" x14ac:dyDescent="0.25">
      <c r="A13196" t="s">
        <v>22601</v>
      </c>
      <c r="B13196" t="s">
        <v>21245</v>
      </c>
      <c r="C13196" t="s">
        <v>21241</v>
      </c>
      <c r="D13196" t="s">
        <v>21246</v>
      </c>
      <c r="E13196" t="s">
        <v>21247</v>
      </c>
      <c r="F13196" t="s">
        <v>20053</v>
      </c>
      <c r="G13196" t="s">
        <v>47084</v>
      </c>
      <c r="H13196" t="s">
        <v>47071</v>
      </c>
      <c r="I13196" t="s">
        <v>47120</v>
      </c>
      <c r="J13196" t="s">
        <v>47121</v>
      </c>
      <c r="K13196" t="s">
        <v>47113</v>
      </c>
      <c r="L13196">
        <v>13.01</v>
      </c>
      <c r="M13196">
        <v>26</v>
      </c>
      <c r="N13196">
        <v>0</v>
      </c>
      <c r="O13196">
        <v>26</v>
      </c>
      <c r="P13196">
        <v>0</v>
      </c>
    </row>
    <row r="13197" spans="1:16" x14ac:dyDescent="0.25">
      <c r="A13197" t="s">
        <v>36016</v>
      </c>
      <c r="B13197" t="s">
        <v>21248</v>
      </c>
      <c r="C13197" t="s">
        <v>21249</v>
      </c>
      <c r="D13197" t="s">
        <v>21237</v>
      </c>
      <c r="E13197" t="s">
        <v>21238</v>
      </c>
      <c r="F13197" t="s">
        <v>20053</v>
      </c>
      <c r="G13197" t="s">
        <v>47084</v>
      </c>
      <c r="H13197" t="s">
        <v>47071</v>
      </c>
      <c r="I13197" t="s">
        <v>47120</v>
      </c>
      <c r="J13197" t="s">
        <v>47121</v>
      </c>
      <c r="K13197" t="s">
        <v>47113</v>
      </c>
      <c r="L13197">
        <v>10.119999999999999</v>
      </c>
      <c r="M13197">
        <v>20</v>
      </c>
      <c r="N13197">
        <v>0</v>
      </c>
      <c r="O13197">
        <v>20</v>
      </c>
      <c r="P13197">
        <v>0</v>
      </c>
    </row>
    <row r="13198" spans="1:16" x14ac:dyDescent="0.25">
      <c r="A13198" t="s">
        <v>22602</v>
      </c>
      <c r="B13198" t="s">
        <v>21250</v>
      </c>
      <c r="C13198" t="s">
        <v>21251</v>
      </c>
      <c r="D13198" t="s">
        <v>15752</v>
      </c>
      <c r="E13198" t="s">
        <v>15753</v>
      </c>
      <c r="F13198" t="s">
        <v>20053</v>
      </c>
      <c r="G13198" t="s">
        <v>47084</v>
      </c>
      <c r="H13198" t="s">
        <v>47071</v>
      </c>
      <c r="I13198" t="s">
        <v>47120</v>
      </c>
      <c r="J13198" t="s">
        <v>47121</v>
      </c>
      <c r="K13198" t="s">
        <v>47113</v>
      </c>
      <c r="L13198">
        <v>14.16</v>
      </c>
      <c r="M13198">
        <v>22</v>
      </c>
      <c r="N13198">
        <v>0</v>
      </c>
      <c r="O13198">
        <v>22</v>
      </c>
      <c r="P13198">
        <v>0</v>
      </c>
    </row>
    <row r="13199" spans="1:16" x14ac:dyDescent="0.25">
      <c r="A13199" t="s">
        <v>22603</v>
      </c>
      <c r="B13199" t="s">
        <v>21252</v>
      </c>
      <c r="C13199" t="s">
        <v>21253</v>
      </c>
      <c r="D13199" t="s">
        <v>14429</v>
      </c>
      <c r="E13199" t="s">
        <v>60</v>
      </c>
      <c r="F13199" t="s">
        <v>20053</v>
      </c>
      <c r="G13199" t="s">
        <v>47084</v>
      </c>
      <c r="H13199" t="s">
        <v>47071</v>
      </c>
      <c r="I13199" t="s">
        <v>47120</v>
      </c>
      <c r="J13199" t="s">
        <v>47121</v>
      </c>
      <c r="K13199" t="s">
        <v>47113</v>
      </c>
      <c r="L13199">
        <v>10.119999999999999</v>
      </c>
      <c r="M13199">
        <v>20</v>
      </c>
      <c r="N13199">
        <v>0</v>
      </c>
      <c r="O13199">
        <v>20</v>
      </c>
      <c r="P13199">
        <v>0</v>
      </c>
    </row>
    <row r="13200" spans="1:16" x14ac:dyDescent="0.25">
      <c r="A13200" t="s">
        <v>22604</v>
      </c>
      <c r="B13200" t="s">
        <v>21254</v>
      </c>
      <c r="C13200" t="s">
        <v>21255</v>
      </c>
      <c r="D13200" t="s">
        <v>15740</v>
      </c>
      <c r="E13200" t="s">
        <v>42</v>
      </c>
      <c r="F13200" t="s">
        <v>20053</v>
      </c>
      <c r="G13200" t="s">
        <v>47084</v>
      </c>
      <c r="H13200" t="s">
        <v>47071</v>
      </c>
      <c r="I13200" t="s">
        <v>47120</v>
      </c>
      <c r="J13200" t="s">
        <v>47121</v>
      </c>
      <c r="K13200" t="s">
        <v>47113</v>
      </c>
      <c r="L13200">
        <v>11.28</v>
      </c>
      <c r="M13200">
        <v>22</v>
      </c>
      <c r="N13200">
        <v>0</v>
      </c>
      <c r="O13200">
        <v>22</v>
      </c>
      <c r="P13200">
        <v>0</v>
      </c>
    </row>
    <row r="13201" spans="1:16" x14ac:dyDescent="0.25">
      <c r="A13201" t="s">
        <v>36017</v>
      </c>
      <c r="B13201" t="s">
        <v>21256</v>
      </c>
      <c r="C13201" t="s">
        <v>21257</v>
      </c>
      <c r="D13201" t="s">
        <v>21196</v>
      </c>
      <c r="E13201" t="s">
        <v>21197</v>
      </c>
      <c r="F13201" t="s">
        <v>17351</v>
      </c>
      <c r="G13201" t="s">
        <v>47085</v>
      </c>
      <c r="H13201" t="s">
        <v>47071</v>
      </c>
      <c r="I13201" t="s">
        <v>47120</v>
      </c>
      <c r="J13201" t="s">
        <v>47121</v>
      </c>
      <c r="K13201" t="s">
        <v>47113</v>
      </c>
      <c r="L13201">
        <v>17.05</v>
      </c>
      <c r="M13201">
        <v>34</v>
      </c>
      <c r="N13201">
        <v>0</v>
      </c>
      <c r="O13201">
        <v>34</v>
      </c>
      <c r="P13201">
        <v>0</v>
      </c>
    </row>
    <row r="13202" spans="1:16" x14ac:dyDescent="0.25">
      <c r="A13202" t="s">
        <v>22605</v>
      </c>
      <c r="B13202" t="s">
        <v>22606</v>
      </c>
      <c r="C13202" t="s">
        <v>22607</v>
      </c>
      <c r="D13202" t="s">
        <v>15740</v>
      </c>
      <c r="E13202" t="s">
        <v>42</v>
      </c>
      <c r="F13202" t="s">
        <v>20053</v>
      </c>
      <c r="G13202" t="s">
        <v>47085</v>
      </c>
      <c r="H13202" t="s">
        <v>47071</v>
      </c>
      <c r="I13202" t="s">
        <v>47120</v>
      </c>
      <c r="J13202" t="s">
        <v>47121</v>
      </c>
      <c r="K13202" t="s">
        <v>47113</v>
      </c>
      <c r="L13202">
        <v>11.04</v>
      </c>
      <c r="M13202">
        <v>23</v>
      </c>
      <c r="N13202">
        <v>0</v>
      </c>
      <c r="O13202">
        <v>23</v>
      </c>
      <c r="P13202">
        <v>0</v>
      </c>
    </row>
    <row r="13203" spans="1:16" x14ac:dyDescent="0.25">
      <c r="A13203" t="s">
        <v>22608</v>
      </c>
      <c r="B13203" t="s">
        <v>22606</v>
      </c>
      <c r="C13203" t="s">
        <v>22607</v>
      </c>
      <c r="D13203" t="s">
        <v>18070</v>
      </c>
      <c r="E13203" t="s">
        <v>814</v>
      </c>
      <c r="F13203" t="s">
        <v>20053</v>
      </c>
      <c r="G13203" t="s">
        <v>47085</v>
      </c>
      <c r="H13203" t="s">
        <v>47071</v>
      </c>
      <c r="I13203" t="s">
        <v>47120</v>
      </c>
      <c r="J13203" t="s">
        <v>47121</v>
      </c>
      <c r="K13203" t="s">
        <v>47113</v>
      </c>
      <c r="L13203">
        <v>11.04</v>
      </c>
      <c r="M13203">
        <v>23</v>
      </c>
      <c r="N13203">
        <v>0</v>
      </c>
      <c r="O13203">
        <v>23</v>
      </c>
      <c r="P13203">
        <v>0</v>
      </c>
    </row>
    <row r="13204" spans="1:16" x14ac:dyDescent="0.25">
      <c r="A13204" t="s">
        <v>36018</v>
      </c>
      <c r="B13204" t="s">
        <v>21258</v>
      </c>
      <c r="C13204" t="s">
        <v>21259</v>
      </c>
      <c r="D13204" t="s">
        <v>21246</v>
      </c>
      <c r="E13204" t="s">
        <v>21247</v>
      </c>
      <c r="F13204" t="s">
        <v>20053</v>
      </c>
      <c r="G13204" t="s">
        <v>47086</v>
      </c>
      <c r="H13204" t="s">
        <v>47071</v>
      </c>
      <c r="I13204" t="s">
        <v>47120</v>
      </c>
      <c r="J13204" t="s">
        <v>47121</v>
      </c>
      <c r="K13204" t="s">
        <v>47113</v>
      </c>
      <c r="L13204">
        <v>22.83</v>
      </c>
      <c r="M13204">
        <v>52</v>
      </c>
      <c r="N13204">
        <v>0</v>
      </c>
      <c r="O13204">
        <v>52</v>
      </c>
      <c r="P13204">
        <v>0</v>
      </c>
    </row>
    <row r="13205" spans="1:16" x14ac:dyDescent="0.25">
      <c r="A13205" t="s">
        <v>36019</v>
      </c>
      <c r="B13205" t="s">
        <v>36020</v>
      </c>
      <c r="C13205" t="s">
        <v>36021</v>
      </c>
      <c r="D13205" t="s">
        <v>21237</v>
      </c>
      <c r="E13205" t="s">
        <v>21238</v>
      </c>
      <c r="F13205" t="s">
        <v>20053</v>
      </c>
      <c r="G13205" t="s">
        <v>47086</v>
      </c>
      <c r="H13205" t="s">
        <v>47071</v>
      </c>
      <c r="I13205" t="s">
        <v>47120</v>
      </c>
      <c r="J13205" t="s">
        <v>47121</v>
      </c>
      <c r="K13205" t="s">
        <v>47113</v>
      </c>
      <c r="L13205">
        <v>21.31</v>
      </c>
      <c r="M13205">
        <v>52</v>
      </c>
      <c r="N13205">
        <v>0</v>
      </c>
      <c r="O13205">
        <v>52</v>
      </c>
      <c r="P13205">
        <v>0</v>
      </c>
    </row>
    <row r="13206" spans="1:16" x14ac:dyDescent="0.25">
      <c r="A13206" t="s">
        <v>36022</v>
      </c>
      <c r="B13206" t="s">
        <v>36023</v>
      </c>
      <c r="C13206" t="s">
        <v>36024</v>
      </c>
      <c r="D13206" t="s">
        <v>15692</v>
      </c>
      <c r="E13206" t="s">
        <v>46</v>
      </c>
      <c r="F13206" t="s">
        <v>20053</v>
      </c>
      <c r="G13206" t="s">
        <v>47087</v>
      </c>
      <c r="H13206" t="s">
        <v>47071</v>
      </c>
      <c r="I13206" t="s">
        <v>47120</v>
      </c>
      <c r="J13206" t="s">
        <v>47121</v>
      </c>
      <c r="K13206" t="s">
        <v>47113</v>
      </c>
      <c r="L13206">
        <v>7.97</v>
      </c>
      <c r="M13206">
        <v>17</v>
      </c>
      <c r="N13206">
        <v>0</v>
      </c>
      <c r="O13206">
        <v>17</v>
      </c>
      <c r="P13206">
        <v>0</v>
      </c>
    </row>
    <row r="13207" spans="1:16" x14ac:dyDescent="0.25">
      <c r="A13207" t="s">
        <v>22609</v>
      </c>
      <c r="B13207" t="s">
        <v>22610</v>
      </c>
      <c r="C13207" t="s">
        <v>22611</v>
      </c>
      <c r="D13207" t="s">
        <v>15692</v>
      </c>
      <c r="E13207" t="s">
        <v>46</v>
      </c>
      <c r="F13207" t="s">
        <v>20053</v>
      </c>
      <c r="G13207" t="s">
        <v>47087</v>
      </c>
      <c r="H13207" t="s">
        <v>47071</v>
      </c>
      <c r="I13207" t="s">
        <v>47120</v>
      </c>
      <c r="J13207" t="s">
        <v>47121</v>
      </c>
      <c r="K13207" t="s">
        <v>47113</v>
      </c>
      <c r="L13207">
        <v>7.97</v>
      </c>
      <c r="M13207">
        <v>17</v>
      </c>
      <c r="N13207">
        <v>0</v>
      </c>
      <c r="O13207">
        <v>17</v>
      </c>
      <c r="P13207">
        <v>0</v>
      </c>
    </row>
    <row r="13208" spans="1:16" x14ac:dyDescent="0.25">
      <c r="A13208" t="s">
        <v>36025</v>
      </c>
      <c r="B13208" t="s">
        <v>22610</v>
      </c>
      <c r="C13208" t="s">
        <v>22611</v>
      </c>
      <c r="D13208" t="s">
        <v>14429</v>
      </c>
      <c r="E13208" t="s">
        <v>60</v>
      </c>
      <c r="F13208" t="s">
        <v>20053</v>
      </c>
      <c r="G13208" t="s">
        <v>47087</v>
      </c>
      <c r="H13208" t="s">
        <v>47071</v>
      </c>
      <c r="I13208" t="s">
        <v>47120</v>
      </c>
      <c r="J13208" t="s">
        <v>47121</v>
      </c>
      <c r="K13208" t="s">
        <v>47113</v>
      </c>
      <c r="L13208">
        <v>7.97</v>
      </c>
      <c r="M13208">
        <v>17</v>
      </c>
      <c r="N13208">
        <v>0</v>
      </c>
      <c r="O13208">
        <v>17</v>
      </c>
      <c r="P13208">
        <v>0</v>
      </c>
    </row>
    <row r="13209" spans="1:16" x14ac:dyDescent="0.25">
      <c r="A13209" t="s">
        <v>36026</v>
      </c>
      <c r="B13209" t="s">
        <v>36027</v>
      </c>
      <c r="C13209" t="s">
        <v>36028</v>
      </c>
      <c r="D13209" t="s">
        <v>15692</v>
      </c>
      <c r="E13209" t="s">
        <v>46</v>
      </c>
      <c r="F13209" t="s">
        <v>20053</v>
      </c>
      <c r="G13209" t="s">
        <v>47087</v>
      </c>
      <c r="H13209" t="s">
        <v>47071</v>
      </c>
      <c r="I13209" t="s">
        <v>47120</v>
      </c>
      <c r="J13209" t="s">
        <v>47121</v>
      </c>
      <c r="K13209" t="s">
        <v>47113</v>
      </c>
      <c r="L13209">
        <v>7.97</v>
      </c>
      <c r="M13209">
        <v>17</v>
      </c>
      <c r="N13209">
        <v>0</v>
      </c>
      <c r="O13209">
        <v>17</v>
      </c>
      <c r="P13209">
        <v>0</v>
      </c>
    </row>
    <row r="13210" spans="1:16" x14ac:dyDescent="0.25">
      <c r="A13210" t="s">
        <v>36029</v>
      </c>
      <c r="B13210" t="s">
        <v>36027</v>
      </c>
      <c r="C13210" t="s">
        <v>36028</v>
      </c>
      <c r="D13210" t="s">
        <v>36030</v>
      </c>
      <c r="E13210" t="s">
        <v>36031</v>
      </c>
      <c r="F13210" t="s">
        <v>20053</v>
      </c>
      <c r="G13210" t="s">
        <v>47087</v>
      </c>
      <c r="H13210" t="s">
        <v>47071</v>
      </c>
      <c r="I13210" t="s">
        <v>47120</v>
      </c>
      <c r="J13210" t="s">
        <v>47121</v>
      </c>
      <c r="K13210" t="s">
        <v>47113</v>
      </c>
      <c r="L13210">
        <v>7.97</v>
      </c>
      <c r="M13210">
        <v>17</v>
      </c>
      <c r="N13210">
        <v>0</v>
      </c>
      <c r="O13210">
        <v>17</v>
      </c>
      <c r="P13210">
        <v>0</v>
      </c>
    </row>
    <row r="13211" spans="1:16" x14ac:dyDescent="0.25">
      <c r="A13211" t="s">
        <v>22612</v>
      </c>
      <c r="B13211" t="s">
        <v>22613</v>
      </c>
      <c r="C13211" t="s">
        <v>22614</v>
      </c>
      <c r="D13211" t="s">
        <v>15692</v>
      </c>
      <c r="E13211" t="s">
        <v>46</v>
      </c>
      <c r="F13211" t="s">
        <v>20053</v>
      </c>
      <c r="G13211" t="s">
        <v>47087</v>
      </c>
      <c r="H13211" t="s">
        <v>47071</v>
      </c>
      <c r="I13211" t="s">
        <v>47120</v>
      </c>
      <c r="J13211" t="s">
        <v>47121</v>
      </c>
      <c r="K13211" t="s">
        <v>47113</v>
      </c>
      <c r="L13211">
        <v>7.97</v>
      </c>
      <c r="M13211">
        <v>17</v>
      </c>
      <c r="N13211">
        <v>0</v>
      </c>
      <c r="O13211">
        <v>17</v>
      </c>
      <c r="P13211">
        <v>0</v>
      </c>
    </row>
    <row r="13212" spans="1:16" x14ac:dyDescent="0.25">
      <c r="A13212" t="s">
        <v>22615</v>
      </c>
      <c r="B13212" t="s">
        <v>22616</v>
      </c>
      <c r="C13212" t="s">
        <v>22617</v>
      </c>
      <c r="D13212" t="s">
        <v>14429</v>
      </c>
      <c r="E13212" t="s">
        <v>60</v>
      </c>
      <c r="F13212" t="s">
        <v>20053</v>
      </c>
      <c r="G13212" t="s">
        <v>47087</v>
      </c>
      <c r="H13212" t="s">
        <v>47071</v>
      </c>
      <c r="I13212" t="s">
        <v>47120</v>
      </c>
      <c r="J13212" t="s">
        <v>47121</v>
      </c>
      <c r="K13212" t="s">
        <v>47113</v>
      </c>
      <c r="L13212">
        <v>7.97</v>
      </c>
      <c r="M13212">
        <v>17</v>
      </c>
      <c r="N13212">
        <v>0</v>
      </c>
      <c r="O13212">
        <v>17</v>
      </c>
      <c r="P13212">
        <v>0</v>
      </c>
    </row>
    <row r="13213" spans="1:16" x14ac:dyDescent="0.25">
      <c r="A13213" t="s">
        <v>36032</v>
      </c>
      <c r="B13213" t="s">
        <v>36033</v>
      </c>
      <c r="C13213" t="s">
        <v>36034</v>
      </c>
      <c r="D13213" t="s">
        <v>36030</v>
      </c>
      <c r="E13213" t="s">
        <v>36031</v>
      </c>
      <c r="F13213" t="s">
        <v>20053</v>
      </c>
      <c r="G13213" t="s">
        <v>47087</v>
      </c>
      <c r="H13213" t="s">
        <v>47071</v>
      </c>
      <c r="I13213" t="s">
        <v>47120</v>
      </c>
      <c r="J13213" t="s">
        <v>47121</v>
      </c>
      <c r="K13213" t="s">
        <v>47113</v>
      </c>
      <c r="L13213">
        <v>7.97</v>
      </c>
      <c r="M13213">
        <v>17</v>
      </c>
      <c r="N13213">
        <v>0</v>
      </c>
      <c r="O13213">
        <v>17</v>
      </c>
      <c r="P13213">
        <v>0</v>
      </c>
    </row>
    <row r="13214" spans="1:16" x14ac:dyDescent="0.25">
      <c r="A13214" t="s">
        <v>36035</v>
      </c>
      <c r="B13214" t="s">
        <v>36033</v>
      </c>
      <c r="C13214" t="s">
        <v>36034</v>
      </c>
      <c r="D13214" t="s">
        <v>14429</v>
      </c>
      <c r="E13214" t="s">
        <v>60</v>
      </c>
      <c r="F13214" t="s">
        <v>20053</v>
      </c>
      <c r="G13214" t="s">
        <v>47087</v>
      </c>
      <c r="H13214" t="s">
        <v>47071</v>
      </c>
      <c r="I13214" t="s">
        <v>47120</v>
      </c>
      <c r="J13214" t="s">
        <v>47121</v>
      </c>
      <c r="K13214" t="s">
        <v>47113</v>
      </c>
      <c r="L13214">
        <v>7.97</v>
      </c>
      <c r="M13214">
        <v>17</v>
      </c>
      <c r="N13214">
        <v>0</v>
      </c>
      <c r="O13214">
        <v>17</v>
      </c>
      <c r="P13214">
        <v>0</v>
      </c>
    </row>
    <row r="13215" spans="1:16" x14ac:dyDescent="0.25">
      <c r="A13215" t="s">
        <v>36036</v>
      </c>
      <c r="B13215" t="s">
        <v>36037</v>
      </c>
      <c r="C13215" t="s">
        <v>36038</v>
      </c>
      <c r="D13215" t="s">
        <v>36030</v>
      </c>
      <c r="E13215" t="s">
        <v>36031</v>
      </c>
      <c r="F13215" t="s">
        <v>20053</v>
      </c>
      <c r="G13215" t="s">
        <v>47087</v>
      </c>
      <c r="H13215" t="s">
        <v>47071</v>
      </c>
      <c r="I13215" t="s">
        <v>47120</v>
      </c>
      <c r="J13215" t="s">
        <v>47121</v>
      </c>
      <c r="K13215" t="s">
        <v>47113</v>
      </c>
      <c r="L13215">
        <v>7.97</v>
      </c>
      <c r="M13215">
        <v>17</v>
      </c>
      <c r="N13215">
        <v>0</v>
      </c>
      <c r="O13215">
        <v>17</v>
      </c>
      <c r="P13215">
        <v>0</v>
      </c>
    </row>
    <row r="13216" spans="1:16" x14ac:dyDescent="0.25">
      <c r="A13216" t="s">
        <v>36039</v>
      </c>
      <c r="B13216" t="s">
        <v>36037</v>
      </c>
      <c r="C13216" t="s">
        <v>36038</v>
      </c>
      <c r="D13216" t="s">
        <v>14429</v>
      </c>
      <c r="E13216" t="s">
        <v>60</v>
      </c>
      <c r="F13216" t="s">
        <v>20053</v>
      </c>
      <c r="G13216" t="s">
        <v>47087</v>
      </c>
      <c r="H13216" t="s">
        <v>47071</v>
      </c>
      <c r="I13216" t="s">
        <v>47120</v>
      </c>
      <c r="J13216" t="s">
        <v>47121</v>
      </c>
      <c r="K13216" t="s">
        <v>47113</v>
      </c>
      <c r="L13216">
        <v>7.97</v>
      </c>
      <c r="M13216">
        <v>17</v>
      </c>
      <c r="N13216">
        <v>0</v>
      </c>
      <c r="O13216">
        <v>17</v>
      </c>
      <c r="P13216">
        <v>0</v>
      </c>
    </row>
    <row r="13217" spans="1:16" x14ac:dyDescent="0.25">
      <c r="A13217" t="s">
        <v>22618</v>
      </c>
      <c r="B13217" t="s">
        <v>22619</v>
      </c>
      <c r="C13217" t="s">
        <v>22620</v>
      </c>
      <c r="D13217" t="s">
        <v>15740</v>
      </c>
      <c r="E13217" t="s">
        <v>42</v>
      </c>
      <c r="F13217" t="s">
        <v>20053</v>
      </c>
      <c r="G13217" t="s">
        <v>47087</v>
      </c>
      <c r="H13217" t="s">
        <v>47071</v>
      </c>
      <c r="I13217" t="s">
        <v>47120</v>
      </c>
      <c r="J13217" t="s">
        <v>47121</v>
      </c>
      <c r="K13217" t="s">
        <v>47113</v>
      </c>
      <c r="L13217">
        <v>7.97</v>
      </c>
      <c r="M13217">
        <v>17</v>
      </c>
      <c r="N13217">
        <v>0</v>
      </c>
      <c r="O13217">
        <v>17</v>
      </c>
      <c r="P13217">
        <v>0</v>
      </c>
    </row>
    <row r="13218" spans="1:16" x14ac:dyDescent="0.25">
      <c r="A13218" t="s">
        <v>22621</v>
      </c>
      <c r="B13218" t="s">
        <v>22619</v>
      </c>
      <c r="C13218" t="s">
        <v>22620</v>
      </c>
      <c r="D13218" t="s">
        <v>14429</v>
      </c>
      <c r="E13218" t="s">
        <v>60</v>
      </c>
      <c r="F13218" t="s">
        <v>20053</v>
      </c>
      <c r="G13218" t="s">
        <v>47087</v>
      </c>
      <c r="H13218" t="s">
        <v>47071</v>
      </c>
      <c r="I13218" t="s">
        <v>47120</v>
      </c>
      <c r="J13218" t="s">
        <v>47121</v>
      </c>
      <c r="K13218" t="s">
        <v>47113</v>
      </c>
      <c r="L13218">
        <v>7.97</v>
      </c>
      <c r="M13218">
        <v>17</v>
      </c>
      <c r="N13218">
        <v>0</v>
      </c>
      <c r="O13218">
        <v>17</v>
      </c>
      <c r="P13218">
        <v>0</v>
      </c>
    </row>
    <row r="13219" spans="1:16" x14ac:dyDescent="0.25">
      <c r="A13219" t="s">
        <v>36040</v>
      </c>
      <c r="B13219" t="s">
        <v>21260</v>
      </c>
      <c r="C13219" t="s">
        <v>18087</v>
      </c>
      <c r="D13219" t="s">
        <v>18070</v>
      </c>
      <c r="E13219" t="s">
        <v>814</v>
      </c>
      <c r="F13219" t="s">
        <v>20053</v>
      </c>
      <c r="G13219" t="s">
        <v>47086</v>
      </c>
      <c r="H13219" t="s">
        <v>47071</v>
      </c>
      <c r="I13219" t="s">
        <v>47120</v>
      </c>
      <c r="J13219" t="s">
        <v>47121</v>
      </c>
      <c r="K13219" t="s">
        <v>47113</v>
      </c>
      <c r="L13219">
        <v>9.19</v>
      </c>
      <c r="M13219">
        <v>20</v>
      </c>
      <c r="N13219">
        <v>49</v>
      </c>
      <c r="O13219">
        <v>20</v>
      </c>
      <c r="P13219">
        <v>49</v>
      </c>
    </row>
    <row r="13220" spans="1:16" x14ac:dyDescent="0.25">
      <c r="A13220" t="s">
        <v>36041</v>
      </c>
      <c r="B13220" t="s">
        <v>21260</v>
      </c>
      <c r="C13220" t="s">
        <v>18087</v>
      </c>
      <c r="D13220" t="s">
        <v>14429</v>
      </c>
      <c r="E13220" t="s">
        <v>60</v>
      </c>
      <c r="F13220" t="s">
        <v>20053</v>
      </c>
      <c r="G13220" t="s">
        <v>47086</v>
      </c>
      <c r="H13220" t="s">
        <v>47071</v>
      </c>
      <c r="I13220" t="s">
        <v>47120</v>
      </c>
      <c r="J13220" t="s">
        <v>47121</v>
      </c>
      <c r="K13220" t="s">
        <v>47113</v>
      </c>
      <c r="L13220">
        <v>9.19</v>
      </c>
      <c r="M13220">
        <v>20</v>
      </c>
      <c r="N13220">
        <v>49</v>
      </c>
      <c r="O13220">
        <v>20</v>
      </c>
      <c r="P13220">
        <v>49</v>
      </c>
    </row>
    <row r="13221" spans="1:16" x14ac:dyDescent="0.25">
      <c r="A13221" t="s">
        <v>36042</v>
      </c>
      <c r="B13221" t="s">
        <v>36043</v>
      </c>
      <c r="C13221" t="s">
        <v>36044</v>
      </c>
      <c r="D13221" t="s">
        <v>15692</v>
      </c>
      <c r="E13221" t="s">
        <v>46</v>
      </c>
      <c r="F13221" t="s">
        <v>24019</v>
      </c>
      <c r="G13221" t="s">
        <v>47082</v>
      </c>
      <c r="H13221" t="s">
        <v>47071</v>
      </c>
      <c r="I13221" t="s">
        <v>47120</v>
      </c>
      <c r="J13221" t="s">
        <v>47121</v>
      </c>
      <c r="K13221" t="s">
        <v>47113</v>
      </c>
      <c r="L13221">
        <v>25.6</v>
      </c>
      <c r="M13221">
        <v>52</v>
      </c>
      <c r="N13221">
        <v>129</v>
      </c>
      <c r="O13221">
        <v>52</v>
      </c>
      <c r="P13221">
        <v>129</v>
      </c>
    </row>
    <row r="13222" spans="1:16" x14ac:dyDescent="0.25">
      <c r="A13222" t="s">
        <v>36045</v>
      </c>
      <c r="B13222" t="s">
        <v>36043</v>
      </c>
      <c r="C13222" t="s">
        <v>36044</v>
      </c>
      <c r="D13222" t="s">
        <v>36046</v>
      </c>
      <c r="E13222" t="s">
        <v>36047</v>
      </c>
      <c r="F13222" t="s">
        <v>24019</v>
      </c>
      <c r="G13222" t="s">
        <v>47082</v>
      </c>
      <c r="H13222" t="s">
        <v>47071</v>
      </c>
      <c r="I13222" t="s">
        <v>47120</v>
      </c>
      <c r="J13222" t="s">
        <v>47121</v>
      </c>
      <c r="K13222" t="s">
        <v>47113</v>
      </c>
      <c r="L13222">
        <v>25.6</v>
      </c>
      <c r="M13222">
        <v>52</v>
      </c>
      <c r="N13222">
        <v>129</v>
      </c>
      <c r="O13222">
        <v>52</v>
      </c>
      <c r="P13222">
        <v>129</v>
      </c>
    </row>
    <row r="13223" spans="1:16" x14ac:dyDescent="0.25">
      <c r="A13223" t="s">
        <v>36048</v>
      </c>
      <c r="B13223" t="s">
        <v>36049</v>
      </c>
      <c r="C13223" t="s">
        <v>35569</v>
      </c>
      <c r="D13223" t="s">
        <v>15734</v>
      </c>
      <c r="E13223" t="s">
        <v>15735</v>
      </c>
      <c r="F13223" t="s">
        <v>24019</v>
      </c>
      <c r="G13223" t="s">
        <v>47082</v>
      </c>
      <c r="H13223" t="s">
        <v>47071</v>
      </c>
      <c r="I13223" t="s">
        <v>47120</v>
      </c>
      <c r="J13223" t="s">
        <v>47121</v>
      </c>
      <c r="K13223" t="s">
        <v>47113</v>
      </c>
      <c r="L13223">
        <v>23.37</v>
      </c>
      <c r="M13223">
        <v>48</v>
      </c>
      <c r="N13223">
        <v>0</v>
      </c>
      <c r="O13223">
        <v>48</v>
      </c>
      <c r="P13223">
        <v>0</v>
      </c>
    </row>
    <row r="13224" spans="1:16" x14ac:dyDescent="0.25">
      <c r="A13224" t="s">
        <v>36050</v>
      </c>
      <c r="B13224" t="s">
        <v>36051</v>
      </c>
      <c r="C13224" t="s">
        <v>36052</v>
      </c>
      <c r="D13224" t="s">
        <v>15740</v>
      </c>
      <c r="E13224" t="s">
        <v>42</v>
      </c>
      <c r="F13224" t="s">
        <v>24019</v>
      </c>
      <c r="G13224" t="s">
        <v>47082</v>
      </c>
      <c r="H13224" t="s">
        <v>47071</v>
      </c>
      <c r="I13224" t="s">
        <v>47120</v>
      </c>
      <c r="J13224" t="s">
        <v>47121</v>
      </c>
      <c r="K13224" t="s">
        <v>47113</v>
      </c>
      <c r="L13224">
        <v>22.23</v>
      </c>
      <c r="M13224">
        <v>44</v>
      </c>
      <c r="N13224">
        <v>0</v>
      </c>
      <c r="O13224">
        <v>44</v>
      </c>
      <c r="P13224">
        <v>0</v>
      </c>
    </row>
    <row r="13225" spans="1:16" x14ac:dyDescent="0.25">
      <c r="A13225" t="s">
        <v>36053</v>
      </c>
      <c r="B13225" t="s">
        <v>36051</v>
      </c>
      <c r="C13225" t="s">
        <v>36052</v>
      </c>
      <c r="D13225" t="s">
        <v>15692</v>
      </c>
      <c r="E13225" t="s">
        <v>46</v>
      </c>
      <c r="F13225" t="s">
        <v>24019</v>
      </c>
      <c r="G13225" t="s">
        <v>47082</v>
      </c>
      <c r="H13225" t="s">
        <v>47071</v>
      </c>
      <c r="I13225" t="s">
        <v>47120</v>
      </c>
      <c r="J13225" t="s">
        <v>47121</v>
      </c>
      <c r="K13225" t="s">
        <v>47113</v>
      </c>
      <c r="L13225">
        <v>22.23</v>
      </c>
      <c r="M13225">
        <v>44</v>
      </c>
      <c r="N13225">
        <v>0</v>
      </c>
      <c r="O13225">
        <v>44</v>
      </c>
      <c r="P13225">
        <v>0</v>
      </c>
    </row>
    <row r="13226" spans="1:16" x14ac:dyDescent="0.25">
      <c r="A13226" t="s">
        <v>36054</v>
      </c>
      <c r="B13226" t="s">
        <v>36055</v>
      </c>
      <c r="C13226" t="s">
        <v>36056</v>
      </c>
      <c r="D13226" t="s">
        <v>15740</v>
      </c>
      <c r="E13226" t="s">
        <v>42</v>
      </c>
      <c r="F13226" t="s">
        <v>24019</v>
      </c>
      <c r="G13226" t="s">
        <v>47082</v>
      </c>
      <c r="H13226" t="s">
        <v>47071</v>
      </c>
      <c r="I13226" t="s">
        <v>47120</v>
      </c>
      <c r="J13226" t="s">
        <v>47121</v>
      </c>
      <c r="K13226" t="s">
        <v>47113</v>
      </c>
      <c r="L13226">
        <v>25.04</v>
      </c>
      <c r="M13226">
        <v>52</v>
      </c>
      <c r="N13226">
        <v>0</v>
      </c>
      <c r="O13226">
        <v>52</v>
      </c>
      <c r="P13226">
        <v>0</v>
      </c>
    </row>
    <row r="13227" spans="1:16" x14ac:dyDescent="0.25">
      <c r="A13227" t="s">
        <v>36057</v>
      </c>
      <c r="B13227" t="s">
        <v>36058</v>
      </c>
      <c r="C13227" t="s">
        <v>18102</v>
      </c>
      <c r="D13227" t="s">
        <v>36059</v>
      </c>
      <c r="E13227" t="s">
        <v>36060</v>
      </c>
      <c r="F13227" t="s">
        <v>24019</v>
      </c>
      <c r="G13227" t="s">
        <v>47149</v>
      </c>
      <c r="H13227" t="s">
        <v>47071</v>
      </c>
      <c r="I13227" t="s">
        <v>47120</v>
      </c>
      <c r="J13227" t="s">
        <v>47121</v>
      </c>
      <c r="K13227" t="s">
        <v>47113</v>
      </c>
      <c r="L13227">
        <v>33.49</v>
      </c>
      <c r="M13227">
        <v>60</v>
      </c>
      <c r="N13227">
        <v>0</v>
      </c>
      <c r="O13227">
        <v>60</v>
      </c>
      <c r="P13227">
        <v>0</v>
      </c>
    </row>
    <row r="13228" spans="1:16" x14ac:dyDescent="0.25">
      <c r="A13228" t="s">
        <v>36061</v>
      </c>
      <c r="B13228" t="s">
        <v>36062</v>
      </c>
      <c r="C13228" t="s">
        <v>36063</v>
      </c>
      <c r="D13228" t="s">
        <v>36064</v>
      </c>
      <c r="E13228" t="s">
        <v>36065</v>
      </c>
      <c r="F13228" t="s">
        <v>24019</v>
      </c>
      <c r="G13228" t="s">
        <v>47081</v>
      </c>
      <c r="H13228" t="s">
        <v>47071</v>
      </c>
      <c r="I13228" t="s">
        <v>47120</v>
      </c>
      <c r="J13228" t="s">
        <v>47121</v>
      </c>
      <c r="K13228" t="s">
        <v>47113</v>
      </c>
      <c r="L13228">
        <v>35.33</v>
      </c>
      <c r="M13228">
        <v>76</v>
      </c>
      <c r="N13228">
        <v>189</v>
      </c>
      <c r="O13228">
        <v>76</v>
      </c>
      <c r="P13228">
        <v>189</v>
      </c>
    </row>
    <row r="13229" spans="1:16" x14ac:dyDescent="0.25">
      <c r="A13229" t="s">
        <v>36066</v>
      </c>
      <c r="B13229" t="s">
        <v>36067</v>
      </c>
      <c r="C13229" t="s">
        <v>36068</v>
      </c>
      <c r="D13229" t="s">
        <v>36069</v>
      </c>
      <c r="E13229" t="s">
        <v>36070</v>
      </c>
      <c r="F13229" t="s">
        <v>24019</v>
      </c>
      <c r="G13229" t="s">
        <v>47081</v>
      </c>
      <c r="H13229" t="s">
        <v>47071</v>
      </c>
      <c r="I13229" t="s">
        <v>47116</v>
      </c>
      <c r="J13229" t="s">
        <v>47117</v>
      </c>
      <c r="K13229" t="s">
        <v>47113</v>
      </c>
      <c r="L13229">
        <v>33.869999999999997</v>
      </c>
      <c r="M13229">
        <v>80</v>
      </c>
      <c r="N13229">
        <v>0</v>
      </c>
      <c r="O13229">
        <v>80</v>
      </c>
      <c r="P13229">
        <v>0</v>
      </c>
    </row>
    <row r="13230" spans="1:16" x14ac:dyDescent="0.25">
      <c r="A13230" t="s">
        <v>36071</v>
      </c>
      <c r="B13230" t="s">
        <v>36072</v>
      </c>
      <c r="C13230" t="s">
        <v>36073</v>
      </c>
      <c r="D13230" t="s">
        <v>36074</v>
      </c>
      <c r="E13230" t="s">
        <v>36075</v>
      </c>
      <c r="F13230" t="s">
        <v>24019</v>
      </c>
      <c r="G13230" t="s">
        <v>47081</v>
      </c>
      <c r="H13230" t="s">
        <v>47071</v>
      </c>
      <c r="I13230" t="s">
        <v>47116</v>
      </c>
      <c r="J13230" t="s">
        <v>47117</v>
      </c>
      <c r="K13230" t="s">
        <v>47113</v>
      </c>
      <c r="L13230">
        <v>23.37</v>
      </c>
      <c r="M13230">
        <v>52</v>
      </c>
      <c r="N13230">
        <v>0</v>
      </c>
      <c r="O13230">
        <v>52</v>
      </c>
      <c r="P13230">
        <v>0</v>
      </c>
    </row>
    <row r="13231" spans="1:16" x14ac:dyDescent="0.25">
      <c r="A13231" t="s">
        <v>36076</v>
      </c>
      <c r="B13231" t="s">
        <v>36077</v>
      </c>
      <c r="C13231" t="s">
        <v>21710</v>
      </c>
      <c r="D13231" t="s">
        <v>35960</v>
      </c>
      <c r="E13231" t="s">
        <v>35961</v>
      </c>
      <c r="F13231" t="s">
        <v>24019</v>
      </c>
      <c r="G13231" t="s">
        <v>47081</v>
      </c>
      <c r="H13231" t="s">
        <v>47071</v>
      </c>
      <c r="I13231" t="s">
        <v>47116</v>
      </c>
      <c r="J13231" t="s">
        <v>47117</v>
      </c>
      <c r="K13231" t="s">
        <v>47113</v>
      </c>
      <c r="L13231">
        <v>33.869999999999997</v>
      </c>
      <c r="M13231">
        <v>80</v>
      </c>
      <c r="N13231">
        <v>0</v>
      </c>
      <c r="O13231">
        <v>80</v>
      </c>
      <c r="P13231">
        <v>0</v>
      </c>
    </row>
    <row r="13232" spans="1:16" x14ac:dyDescent="0.25">
      <c r="A13232" t="s">
        <v>36078</v>
      </c>
      <c r="B13232" t="s">
        <v>36079</v>
      </c>
      <c r="C13232" t="s">
        <v>36080</v>
      </c>
      <c r="D13232" t="s">
        <v>15740</v>
      </c>
      <c r="E13232" t="s">
        <v>42</v>
      </c>
      <c r="F13232" t="s">
        <v>24019</v>
      </c>
      <c r="G13232" t="s">
        <v>47081</v>
      </c>
      <c r="H13232" t="s">
        <v>47071</v>
      </c>
      <c r="I13232" t="s">
        <v>47116</v>
      </c>
      <c r="J13232" t="s">
        <v>47117</v>
      </c>
      <c r="K13232" t="s">
        <v>47113</v>
      </c>
      <c r="L13232">
        <v>22.23</v>
      </c>
      <c r="M13232">
        <v>52</v>
      </c>
      <c r="N13232">
        <v>0</v>
      </c>
      <c r="O13232">
        <v>52</v>
      </c>
      <c r="P13232">
        <v>0</v>
      </c>
    </row>
    <row r="13233" spans="1:16" x14ac:dyDescent="0.25">
      <c r="A13233" t="s">
        <v>36081</v>
      </c>
      <c r="B13233" t="s">
        <v>36082</v>
      </c>
      <c r="C13233" t="s">
        <v>36083</v>
      </c>
      <c r="D13233" t="s">
        <v>36084</v>
      </c>
      <c r="E13233" t="s">
        <v>36085</v>
      </c>
      <c r="F13233" t="s">
        <v>24019</v>
      </c>
      <c r="G13233" t="s">
        <v>47081</v>
      </c>
      <c r="H13233" t="s">
        <v>47071</v>
      </c>
      <c r="I13233" t="s">
        <v>47116</v>
      </c>
      <c r="J13233" t="s">
        <v>47117</v>
      </c>
      <c r="K13233" t="s">
        <v>47113</v>
      </c>
      <c r="L13233">
        <v>20.74</v>
      </c>
      <c r="M13233">
        <v>52</v>
      </c>
      <c r="N13233">
        <v>0</v>
      </c>
      <c r="O13233">
        <v>52</v>
      </c>
      <c r="P13233">
        <v>0</v>
      </c>
    </row>
    <row r="13234" spans="1:16" x14ac:dyDescent="0.25">
      <c r="A13234" t="s">
        <v>36086</v>
      </c>
      <c r="B13234" t="s">
        <v>36087</v>
      </c>
      <c r="C13234" t="s">
        <v>36068</v>
      </c>
      <c r="D13234" t="s">
        <v>36088</v>
      </c>
      <c r="E13234" t="s">
        <v>36089</v>
      </c>
      <c r="F13234" t="s">
        <v>24019</v>
      </c>
      <c r="G13234" t="s">
        <v>47081</v>
      </c>
      <c r="H13234" t="s">
        <v>47071</v>
      </c>
      <c r="I13234" t="s">
        <v>47116</v>
      </c>
      <c r="J13234" t="s">
        <v>47117</v>
      </c>
      <c r="K13234" t="s">
        <v>47113</v>
      </c>
      <c r="L13234">
        <v>34.46</v>
      </c>
      <c r="M13234">
        <v>76</v>
      </c>
      <c r="N13234">
        <v>189</v>
      </c>
      <c r="O13234">
        <v>76</v>
      </c>
      <c r="P13234">
        <v>189</v>
      </c>
    </row>
    <row r="13235" spans="1:16" x14ac:dyDescent="0.25">
      <c r="A13235" t="s">
        <v>36090</v>
      </c>
      <c r="B13235" t="s">
        <v>36091</v>
      </c>
      <c r="C13235" t="s">
        <v>36015</v>
      </c>
      <c r="D13235" t="s">
        <v>15740</v>
      </c>
      <c r="E13235" t="s">
        <v>42</v>
      </c>
      <c r="F13235" t="s">
        <v>24019</v>
      </c>
      <c r="G13235" t="s">
        <v>47083</v>
      </c>
      <c r="H13235" t="s">
        <v>47071</v>
      </c>
      <c r="I13235" t="s">
        <v>47120</v>
      </c>
      <c r="J13235" t="s">
        <v>47121</v>
      </c>
      <c r="K13235" t="s">
        <v>47113</v>
      </c>
      <c r="L13235">
        <v>25.6</v>
      </c>
      <c r="M13235">
        <v>64</v>
      </c>
      <c r="N13235">
        <v>159</v>
      </c>
      <c r="O13235">
        <v>64</v>
      </c>
      <c r="P13235">
        <v>159</v>
      </c>
    </row>
    <row r="13236" spans="1:16" x14ac:dyDescent="0.25">
      <c r="A13236" t="s">
        <v>36092</v>
      </c>
      <c r="B13236" t="s">
        <v>36091</v>
      </c>
      <c r="C13236" t="s">
        <v>36015</v>
      </c>
      <c r="D13236" t="s">
        <v>36093</v>
      </c>
      <c r="E13236" t="s">
        <v>36094</v>
      </c>
      <c r="F13236" t="s">
        <v>24019</v>
      </c>
      <c r="G13236" t="s">
        <v>47083</v>
      </c>
      <c r="H13236" t="s">
        <v>47071</v>
      </c>
      <c r="I13236" t="s">
        <v>47120</v>
      </c>
      <c r="J13236" t="s">
        <v>47121</v>
      </c>
      <c r="K13236" t="s">
        <v>47113</v>
      </c>
      <c r="L13236">
        <v>25.6</v>
      </c>
      <c r="M13236">
        <v>64</v>
      </c>
      <c r="N13236">
        <v>159</v>
      </c>
      <c r="O13236">
        <v>64</v>
      </c>
      <c r="P13236">
        <v>159</v>
      </c>
    </row>
    <row r="13237" spans="1:16" x14ac:dyDescent="0.25">
      <c r="A13237" t="s">
        <v>36095</v>
      </c>
      <c r="B13237" t="s">
        <v>36096</v>
      </c>
      <c r="C13237" t="s">
        <v>36097</v>
      </c>
      <c r="D13237" t="s">
        <v>15666</v>
      </c>
      <c r="E13237" t="s">
        <v>15667</v>
      </c>
      <c r="F13237" t="s">
        <v>24019</v>
      </c>
      <c r="G13237" t="s">
        <v>47081</v>
      </c>
      <c r="H13237" t="s">
        <v>47071</v>
      </c>
      <c r="I13237" t="s">
        <v>47120</v>
      </c>
      <c r="J13237" t="s">
        <v>47121</v>
      </c>
      <c r="K13237" t="s">
        <v>47113</v>
      </c>
      <c r="L13237">
        <v>18.12</v>
      </c>
      <c r="M13237">
        <v>52</v>
      </c>
      <c r="N13237">
        <v>0</v>
      </c>
      <c r="O13237">
        <v>52</v>
      </c>
      <c r="P13237">
        <v>0</v>
      </c>
    </row>
    <row r="13238" spans="1:16" x14ac:dyDescent="0.25">
      <c r="A13238" t="s">
        <v>36098</v>
      </c>
      <c r="B13238" t="s">
        <v>36099</v>
      </c>
      <c r="C13238" t="s">
        <v>36100</v>
      </c>
      <c r="D13238" t="s">
        <v>15692</v>
      </c>
      <c r="E13238" t="s">
        <v>46</v>
      </c>
      <c r="F13238" t="s">
        <v>24019</v>
      </c>
      <c r="G13238" t="s">
        <v>47084</v>
      </c>
      <c r="H13238" t="s">
        <v>47071</v>
      </c>
      <c r="I13238" t="s">
        <v>47120</v>
      </c>
      <c r="J13238" t="s">
        <v>47121</v>
      </c>
      <c r="K13238" t="s">
        <v>47113</v>
      </c>
      <c r="L13238">
        <v>16.600000000000001</v>
      </c>
      <c r="M13238">
        <v>34</v>
      </c>
      <c r="N13238">
        <v>0</v>
      </c>
      <c r="O13238">
        <v>34</v>
      </c>
      <c r="P13238">
        <v>0</v>
      </c>
    </row>
    <row r="13239" spans="1:16" x14ac:dyDescent="0.25">
      <c r="A13239" t="s">
        <v>36101</v>
      </c>
      <c r="B13239" t="s">
        <v>36102</v>
      </c>
      <c r="C13239" t="s">
        <v>36103</v>
      </c>
      <c r="D13239" t="s">
        <v>15692</v>
      </c>
      <c r="E13239" t="s">
        <v>46</v>
      </c>
      <c r="F13239" t="s">
        <v>24019</v>
      </c>
      <c r="G13239" t="s">
        <v>47084</v>
      </c>
      <c r="H13239" t="s">
        <v>47071</v>
      </c>
      <c r="I13239" t="s">
        <v>47120</v>
      </c>
      <c r="J13239" t="s">
        <v>47121</v>
      </c>
      <c r="K13239" t="s">
        <v>47113</v>
      </c>
      <c r="L13239">
        <v>13.79</v>
      </c>
      <c r="M13239">
        <v>28</v>
      </c>
      <c r="N13239">
        <v>0</v>
      </c>
      <c r="O13239">
        <v>28</v>
      </c>
      <c r="P13239">
        <v>0</v>
      </c>
    </row>
    <row r="13240" spans="1:16" x14ac:dyDescent="0.25">
      <c r="A13240" t="s">
        <v>36104</v>
      </c>
      <c r="B13240" t="s">
        <v>36105</v>
      </c>
      <c r="C13240" t="s">
        <v>36106</v>
      </c>
      <c r="D13240" t="s">
        <v>15692</v>
      </c>
      <c r="E13240" t="s">
        <v>46</v>
      </c>
      <c r="F13240" t="s">
        <v>24019</v>
      </c>
      <c r="G13240" t="s">
        <v>47084</v>
      </c>
      <c r="H13240" t="s">
        <v>47071</v>
      </c>
      <c r="I13240" t="s">
        <v>47120</v>
      </c>
      <c r="J13240" t="s">
        <v>47121</v>
      </c>
      <c r="K13240" t="s">
        <v>47113</v>
      </c>
      <c r="L13240">
        <v>19.41</v>
      </c>
      <c r="M13240">
        <v>40</v>
      </c>
      <c r="N13240">
        <v>0</v>
      </c>
      <c r="O13240">
        <v>40</v>
      </c>
      <c r="P13240">
        <v>0</v>
      </c>
    </row>
    <row r="13241" spans="1:16" x14ac:dyDescent="0.25">
      <c r="A13241" t="s">
        <v>36107</v>
      </c>
      <c r="B13241" t="s">
        <v>36108</v>
      </c>
      <c r="C13241" t="s">
        <v>36109</v>
      </c>
      <c r="D13241" t="s">
        <v>36030</v>
      </c>
      <c r="E13241" t="s">
        <v>36031</v>
      </c>
      <c r="F13241" t="s">
        <v>24019</v>
      </c>
      <c r="G13241" t="s">
        <v>47084</v>
      </c>
      <c r="H13241" t="s">
        <v>47071</v>
      </c>
      <c r="I13241" t="s">
        <v>47120</v>
      </c>
      <c r="J13241" t="s">
        <v>47121</v>
      </c>
      <c r="K13241" t="s">
        <v>47113</v>
      </c>
      <c r="L13241">
        <v>15.88</v>
      </c>
      <c r="M13241">
        <v>32</v>
      </c>
      <c r="N13241">
        <v>79</v>
      </c>
      <c r="O13241">
        <v>32</v>
      </c>
      <c r="P13241">
        <v>79</v>
      </c>
    </row>
    <row r="13242" spans="1:16" x14ac:dyDescent="0.25">
      <c r="A13242" t="s">
        <v>36110</v>
      </c>
      <c r="B13242" t="s">
        <v>36111</v>
      </c>
      <c r="C13242" t="s">
        <v>36112</v>
      </c>
      <c r="D13242" t="s">
        <v>15692</v>
      </c>
      <c r="E13242" t="s">
        <v>46</v>
      </c>
      <c r="F13242" t="s">
        <v>24019</v>
      </c>
      <c r="G13242" t="s">
        <v>47084</v>
      </c>
      <c r="H13242" t="s">
        <v>47071</v>
      </c>
      <c r="I13242" t="s">
        <v>47120</v>
      </c>
      <c r="J13242" t="s">
        <v>47121</v>
      </c>
      <c r="K13242" t="s">
        <v>47113</v>
      </c>
      <c r="L13242">
        <v>10.98</v>
      </c>
      <c r="M13242">
        <v>22</v>
      </c>
      <c r="N13242">
        <v>0</v>
      </c>
      <c r="O13242">
        <v>22</v>
      </c>
      <c r="P13242">
        <v>0</v>
      </c>
    </row>
    <row r="13243" spans="1:16" x14ac:dyDescent="0.25">
      <c r="A13243" t="s">
        <v>36113</v>
      </c>
      <c r="B13243" t="s">
        <v>36114</v>
      </c>
      <c r="C13243" t="s">
        <v>36115</v>
      </c>
      <c r="D13243" t="s">
        <v>36116</v>
      </c>
      <c r="E13243" t="s">
        <v>36117</v>
      </c>
      <c r="F13243" t="s">
        <v>24019</v>
      </c>
      <c r="G13243" t="s">
        <v>47084</v>
      </c>
      <c r="H13243" t="s">
        <v>47071</v>
      </c>
      <c r="I13243" t="s">
        <v>47120</v>
      </c>
      <c r="J13243" t="s">
        <v>47121</v>
      </c>
      <c r="K13243" t="s">
        <v>47113</v>
      </c>
      <c r="L13243">
        <v>10.98</v>
      </c>
      <c r="M13243">
        <v>22</v>
      </c>
      <c r="N13243">
        <v>0</v>
      </c>
      <c r="O13243">
        <v>22</v>
      </c>
      <c r="P13243">
        <v>0</v>
      </c>
    </row>
    <row r="13244" spans="1:16" x14ac:dyDescent="0.25">
      <c r="A13244" t="s">
        <v>36118</v>
      </c>
      <c r="B13244" t="s">
        <v>36119</v>
      </c>
      <c r="C13244" t="s">
        <v>36120</v>
      </c>
      <c r="D13244" t="s">
        <v>14429</v>
      </c>
      <c r="E13244" t="s">
        <v>60</v>
      </c>
      <c r="F13244" t="s">
        <v>24019</v>
      </c>
      <c r="G13244" t="s">
        <v>47084</v>
      </c>
      <c r="H13244" t="s">
        <v>47071</v>
      </c>
      <c r="I13244" t="s">
        <v>47120</v>
      </c>
      <c r="J13244" t="s">
        <v>47121</v>
      </c>
      <c r="K13244" t="s">
        <v>47113</v>
      </c>
      <c r="L13244">
        <v>10.98</v>
      </c>
      <c r="M13244">
        <v>22</v>
      </c>
      <c r="N13244">
        <v>0</v>
      </c>
      <c r="O13244">
        <v>22</v>
      </c>
      <c r="P13244">
        <v>0</v>
      </c>
    </row>
    <row r="13245" spans="1:16" x14ac:dyDescent="0.25">
      <c r="A13245" t="s">
        <v>36121</v>
      </c>
      <c r="B13245" t="s">
        <v>36122</v>
      </c>
      <c r="C13245" t="s">
        <v>36123</v>
      </c>
      <c r="D13245" t="s">
        <v>18070</v>
      </c>
      <c r="E13245" t="s">
        <v>814</v>
      </c>
      <c r="F13245" t="s">
        <v>24019</v>
      </c>
      <c r="G13245" t="s">
        <v>47084</v>
      </c>
      <c r="H13245" t="s">
        <v>47071</v>
      </c>
      <c r="I13245" t="s">
        <v>47120</v>
      </c>
      <c r="J13245" t="s">
        <v>47121</v>
      </c>
      <c r="K13245" t="s">
        <v>47113</v>
      </c>
      <c r="L13245">
        <v>10.98</v>
      </c>
      <c r="M13245">
        <v>22</v>
      </c>
      <c r="N13245">
        <v>0</v>
      </c>
      <c r="O13245">
        <v>22</v>
      </c>
      <c r="P13245">
        <v>0</v>
      </c>
    </row>
    <row r="13246" spans="1:16" x14ac:dyDescent="0.25">
      <c r="A13246" t="s">
        <v>36124</v>
      </c>
      <c r="B13246" t="s">
        <v>36125</v>
      </c>
      <c r="C13246" t="s">
        <v>36126</v>
      </c>
      <c r="D13246" t="s">
        <v>36127</v>
      </c>
      <c r="E13246" t="s">
        <v>36128</v>
      </c>
      <c r="F13246" t="s">
        <v>24019</v>
      </c>
      <c r="G13246" t="s">
        <v>47084</v>
      </c>
      <c r="H13246" t="s">
        <v>47071</v>
      </c>
      <c r="I13246" t="s">
        <v>47120</v>
      </c>
      <c r="J13246" t="s">
        <v>47121</v>
      </c>
      <c r="K13246" t="s">
        <v>47113</v>
      </c>
      <c r="L13246">
        <v>10.98</v>
      </c>
      <c r="M13246">
        <v>22</v>
      </c>
      <c r="N13246">
        <v>0</v>
      </c>
      <c r="O13246">
        <v>22</v>
      </c>
      <c r="P13246">
        <v>0</v>
      </c>
    </row>
    <row r="13247" spans="1:16" x14ac:dyDescent="0.25">
      <c r="A13247" t="s">
        <v>36129</v>
      </c>
      <c r="B13247" t="s">
        <v>36130</v>
      </c>
      <c r="C13247" t="s">
        <v>36131</v>
      </c>
      <c r="D13247" t="s">
        <v>15692</v>
      </c>
      <c r="E13247" t="s">
        <v>46</v>
      </c>
      <c r="F13247" t="s">
        <v>24019</v>
      </c>
      <c r="G13247" t="s">
        <v>47085</v>
      </c>
      <c r="H13247" t="s">
        <v>47071</v>
      </c>
      <c r="I13247" t="s">
        <v>47120</v>
      </c>
      <c r="J13247" t="s">
        <v>47121</v>
      </c>
      <c r="K13247" t="s">
        <v>47113</v>
      </c>
      <c r="L13247">
        <v>19.13</v>
      </c>
      <c r="M13247">
        <v>40</v>
      </c>
      <c r="N13247">
        <v>99</v>
      </c>
      <c r="O13247">
        <v>40</v>
      </c>
      <c r="P13247">
        <v>99</v>
      </c>
    </row>
    <row r="13248" spans="1:16" x14ac:dyDescent="0.25">
      <c r="A13248" t="s">
        <v>36132</v>
      </c>
      <c r="B13248" t="s">
        <v>36130</v>
      </c>
      <c r="C13248" t="s">
        <v>36131</v>
      </c>
      <c r="D13248" t="s">
        <v>36046</v>
      </c>
      <c r="E13248" t="s">
        <v>36047</v>
      </c>
      <c r="F13248" t="s">
        <v>24019</v>
      </c>
      <c r="G13248" t="s">
        <v>47085</v>
      </c>
      <c r="H13248" t="s">
        <v>47071</v>
      </c>
      <c r="I13248" t="s">
        <v>47120</v>
      </c>
      <c r="J13248" t="s">
        <v>47121</v>
      </c>
      <c r="K13248" t="s">
        <v>47113</v>
      </c>
      <c r="L13248">
        <v>19.13</v>
      </c>
      <c r="M13248">
        <v>40</v>
      </c>
      <c r="N13248">
        <v>99</v>
      </c>
      <c r="O13248">
        <v>40</v>
      </c>
      <c r="P13248">
        <v>99</v>
      </c>
    </row>
    <row r="13249" spans="1:16" x14ac:dyDescent="0.25">
      <c r="A13249" t="s">
        <v>36133</v>
      </c>
      <c r="B13249" t="s">
        <v>36134</v>
      </c>
      <c r="C13249" t="s">
        <v>35569</v>
      </c>
      <c r="D13249" t="s">
        <v>15734</v>
      </c>
      <c r="E13249" t="s">
        <v>15735</v>
      </c>
      <c r="F13249" t="s">
        <v>24019</v>
      </c>
      <c r="G13249" t="s">
        <v>47085</v>
      </c>
      <c r="H13249" t="s">
        <v>47071</v>
      </c>
      <c r="I13249" t="s">
        <v>47120</v>
      </c>
      <c r="J13249" t="s">
        <v>47121</v>
      </c>
      <c r="K13249" t="s">
        <v>47113</v>
      </c>
      <c r="L13249">
        <v>18.12</v>
      </c>
      <c r="M13249">
        <v>34</v>
      </c>
      <c r="N13249">
        <v>0</v>
      </c>
      <c r="O13249">
        <v>34</v>
      </c>
      <c r="P13249">
        <v>0</v>
      </c>
    </row>
    <row r="13250" spans="1:16" x14ac:dyDescent="0.25">
      <c r="A13250" t="s">
        <v>36135</v>
      </c>
      <c r="B13250" t="s">
        <v>36136</v>
      </c>
      <c r="C13250" t="s">
        <v>36137</v>
      </c>
      <c r="D13250" t="s">
        <v>15740</v>
      </c>
      <c r="E13250" t="s">
        <v>42</v>
      </c>
      <c r="F13250" t="s">
        <v>24019</v>
      </c>
      <c r="G13250" t="s">
        <v>47085</v>
      </c>
      <c r="H13250" t="s">
        <v>47071</v>
      </c>
      <c r="I13250" t="s">
        <v>47120</v>
      </c>
      <c r="J13250" t="s">
        <v>47121</v>
      </c>
      <c r="K13250" t="s">
        <v>47113</v>
      </c>
      <c r="L13250">
        <v>16.600000000000001</v>
      </c>
      <c r="M13250">
        <v>34</v>
      </c>
      <c r="N13250">
        <v>0</v>
      </c>
      <c r="O13250">
        <v>34</v>
      </c>
      <c r="P13250">
        <v>0</v>
      </c>
    </row>
    <row r="13251" spans="1:16" x14ac:dyDescent="0.25">
      <c r="A13251" t="s">
        <v>36138</v>
      </c>
      <c r="B13251" t="s">
        <v>36136</v>
      </c>
      <c r="C13251" t="s">
        <v>36137</v>
      </c>
      <c r="D13251" t="s">
        <v>15692</v>
      </c>
      <c r="E13251" t="s">
        <v>46</v>
      </c>
      <c r="F13251" t="s">
        <v>24019</v>
      </c>
      <c r="G13251" t="s">
        <v>47085</v>
      </c>
      <c r="H13251" t="s">
        <v>47071</v>
      </c>
      <c r="I13251" t="s">
        <v>47120</v>
      </c>
      <c r="J13251" t="s">
        <v>47121</v>
      </c>
      <c r="K13251" t="s">
        <v>47113</v>
      </c>
      <c r="L13251">
        <v>16.600000000000001</v>
      </c>
      <c r="M13251">
        <v>34</v>
      </c>
      <c r="N13251">
        <v>0</v>
      </c>
      <c r="O13251">
        <v>34</v>
      </c>
      <c r="P13251">
        <v>0</v>
      </c>
    </row>
    <row r="13252" spans="1:16" x14ac:dyDescent="0.25">
      <c r="A13252" t="s">
        <v>36139</v>
      </c>
      <c r="B13252" t="s">
        <v>36140</v>
      </c>
      <c r="C13252" t="s">
        <v>36141</v>
      </c>
      <c r="D13252" t="s">
        <v>15740</v>
      </c>
      <c r="E13252" t="s">
        <v>42</v>
      </c>
      <c r="F13252" t="s">
        <v>24019</v>
      </c>
      <c r="G13252" t="s">
        <v>47085</v>
      </c>
      <c r="H13252" t="s">
        <v>47071</v>
      </c>
      <c r="I13252" t="s">
        <v>47120</v>
      </c>
      <c r="J13252" t="s">
        <v>47121</v>
      </c>
      <c r="K13252" t="s">
        <v>47113</v>
      </c>
      <c r="L13252">
        <v>19.41</v>
      </c>
      <c r="M13252">
        <v>40</v>
      </c>
      <c r="N13252">
        <v>0</v>
      </c>
      <c r="O13252">
        <v>40</v>
      </c>
      <c r="P13252">
        <v>0</v>
      </c>
    </row>
    <row r="13253" spans="1:16" x14ac:dyDescent="0.25">
      <c r="A13253" t="s">
        <v>36142</v>
      </c>
      <c r="B13253" t="s">
        <v>36143</v>
      </c>
      <c r="C13253" t="s">
        <v>36144</v>
      </c>
      <c r="D13253" t="s">
        <v>21126</v>
      </c>
      <c r="E13253" t="s">
        <v>21127</v>
      </c>
      <c r="F13253" t="s">
        <v>24019</v>
      </c>
      <c r="G13253" t="s">
        <v>47086</v>
      </c>
      <c r="H13253" t="s">
        <v>47071</v>
      </c>
      <c r="I13253" t="s">
        <v>47120</v>
      </c>
      <c r="J13253" t="s">
        <v>47121</v>
      </c>
      <c r="K13253" t="s">
        <v>47113</v>
      </c>
      <c r="L13253">
        <v>25.04</v>
      </c>
      <c r="M13253">
        <v>52</v>
      </c>
      <c r="N13253">
        <v>0</v>
      </c>
      <c r="O13253">
        <v>52</v>
      </c>
      <c r="P13253">
        <v>0</v>
      </c>
    </row>
    <row r="13254" spans="1:16" x14ac:dyDescent="0.25">
      <c r="A13254" t="s">
        <v>36145</v>
      </c>
      <c r="B13254" t="s">
        <v>36146</v>
      </c>
      <c r="C13254" t="s">
        <v>36147</v>
      </c>
      <c r="D13254" t="s">
        <v>18070</v>
      </c>
      <c r="E13254" t="s">
        <v>814</v>
      </c>
      <c r="F13254" t="s">
        <v>24019</v>
      </c>
      <c r="G13254" t="s">
        <v>47086</v>
      </c>
      <c r="H13254" t="s">
        <v>47071</v>
      </c>
      <c r="I13254" t="s">
        <v>47120</v>
      </c>
      <c r="J13254" t="s">
        <v>47121</v>
      </c>
      <c r="K13254" t="s">
        <v>47113</v>
      </c>
      <c r="L13254">
        <v>22.23</v>
      </c>
      <c r="M13254">
        <v>52</v>
      </c>
      <c r="N13254">
        <v>0</v>
      </c>
      <c r="O13254">
        <v>52</v>
      </c>
      <c r="P13254">
        <v>0</v>
      </c>
    </row>
    <row r="13255" spans="1:16" x14ac:dyDescent="0.25">
      <c r="A13255" t="s">
        <v>36148</v>
      </c>
      <c r="B13255" t="s">
        <v>36149</v>
      </c>
      <c r="C13255" t="s">
        <v>36150</v>
      </c>
      <c r="D13255" t="s">
        <v>36030</v>
      </c>
      <c r="E13255" t="s">
        <v>36031</v>
      </c>
      <c r="F13255" t="s">
        <v>24019</v>
      </c>
      <c r="G13255" t="s">
        <v>47086</v>
      </c>
      <c r="H13255" t="s">
        <v>47071</v>
      </c>
      <c r="I13255" t="s">
        <v>47120</v>
      </c>
      <c r="J13255" t="s">
        <v>47121</v>
      </c>
      <c r="K13255" t="s">
        <v>47113</v>
      </c>
      <c r="L13255">
        <v>25.6</v>
      </c>
      <c r="M13255">
        <v>76</v>
      </c>
      <c r="N13255">
        <v>189</v>
      </c>
      <c r="O13255">
        <v>76</v>
      </c>
      <c r="P13255">
        <v>189</v>
      </c>
    </row>
    <row r="13256" spans="1:16" x14ac:dyDescent="0.25">
      <c r="A13256" t="s">
        <v>36151</v>
      </c>
      <c r="B13256" t="s">
        <v>36152</v>
      </c>
      <c r="C13256" t="s">
        <v>36153</v>
      </c>
      <c r="D13256" t="s">
        <v>14429</v>
      </c>
      <c r="E13256" t="s">
        <v>60</v>
      </c>
      <c r="F13256" t="s">
        <v>24019</v>
      </c>
      <c r="G13256" t="s">
        <v>47086</v>
      </c>
      <c r="H13256" t="s">
        <v>47071</v>
      </c>
      <c r="I13256" t="s">
        <v>47120</v>
      </c>
      <c r="J13256" t="s">
        <v>47121</v>
      </c>
      <c r="K13256" t="s">
        <v>47113</v>
      </c>
      <c r="L13256">
        <v>25.6</v>
      </c>
      <c r="M13256">
        <v>76</v>
      </c>
      <c r="N13256">
        <v>189</v>
      </c>
      <c r="O13256">
        <v>76</v>
      </c>
      <c r="P13256">
        <v>189</v>
      </c>
    </row>
    <row r="13257" spans="1:16" x14ac:dyDescent="0.25">
      <c r="A13257" t="s">
        <v>36154</v>
      </c>
      <c r="B13257" t="s">
        <v>36155</v>
      </c>
      <c r="C13257" t="s">
        <v>36156</v>
      </c>
      <c r="D13257" t="s">
        <v>36030</v>
      </c>
      <c r="E13257" t="s">
        <v>36031</v>
      </c>
      <c r="F13257" t="s">
        <v>24019</v>
      </c>
      <c r="G13257" t="s">
        <v>47086</v>
      </c>
      <c r="H13257" t="s">
        <v>47071</v>
      </c>
      <c r="I13257" t="s">
        <v>47120</v>
      </c>
      <c r="J13257" t="s">
        <v>47121</v>
      </c>
      <c r="K13257" t="s">
        <v>47113</v>
      </c>
      <c r="L13257">
        <v>25.6</v>
      </c>
      <c r="M13257">
        <v>76</v>
      </c>
      <c r="N13257">
        <v>189</v>
      </c>
      <c r="O13257">
        <v>76</v>
      </c>
      <c r="P13257">
        <v>189</v>
      </c>
    </row>
    <row r="13258" spans="1:16" x14ac:dyDescent="0.25">
      <c r="A13258" t="s">
        <v>36157</v>
      </c>
      <c r="B13258" t="s">
        <v>36158</v>
      </c>
      <c r="C13258" t="s">
        <v>35560</v>
      </c>
      <c r="D13258" t="s">
        <v>15740</v>
      </c>
      <c r="E13258" t="s">
        <v>42</v>
      </c>
      <c r="F13258" t="s">
        <v>24019</v>
      </c>
      <c r="G13258" t="s">
        <v>47086</v>
      </c>
      <c r="H13258" t="s">
        <v>47071</v>
      </c>
      <c r="I13258" t="s">
        <v>47120</v>
      </c>
      <c r="J13258" t="s">
        <v>47121</v>
      </c>
      <c r="K13258" t="s">
        <v>47113</v>
      </c>
      <c r="L13258">
        <v>19.41</v>
      </c>
      <c r="M13258">
        <v>52</v>
      </c>
      <c r="N13258">
        <v>0</v>
      </c>
      <c r="O13258">
        <v>52</v>
      </c>
      <c r="P13258">
        <v>0</v>
      </c>
    </row>
    <row r="13259" spans="1:16" x14ac:dyDescent="0.25">
      <c r="A13259" t="s">
        <v>36159</v>
      </c>
      <c r="B13259" t="s">
        <v>36160</v>
      </c>
      <c r="C13259" t="s">
        <v>36161</v>
      </c>
      <c r="D13259" t="s">
        <v>15734</v>
      </c>
      <c r="E13259" t="s">
        <v>15735</v>
      </c>
      <c r="F13259" t="s">
        <v>24019</v>
      </c>
      <c r="G13259" t="s">
        <v>47086</v>
      </c>
      <c r="H13259" t="s">
        <v>47071</v>
      </c>
      <c r="I13259" t="s">
        <v>47120</v>
      </c>
      <c r="J13259" t="s">
        <v>47121</v>
      </c>
      <c r="K13259" t="s">
        <v>47113</v>
      </c>
      <c r="L13259">
        <v>22.23</v>
      </c>
      <c r="M13259">
        <v>52</v>
      </c>
      <c r="N13259">
        <v>0</v>
      </c>
      <c r="O13259">
        <v>52</v>
      </c>
      <c r="P13259">
        <v>0</v>
      </c>
    </row>
    <row r="13260" spans="1:16" x14ac:dyDescent="0.25">
      <c r="A13260" t="s">
        <v>36162</v>
      </c>
      <c r="B13260" t="s">
        <v>36163</v>
      </c>
      <c r="C13260" t="s">
        <v>36164</v>
      </c>
      <c r="D13260" t="s">
        <v>36046</v>
      </c>
      <c r="E13260" t="s">
        <v>36047</v>
      </c>
      <c r="F13260" t="s">
        <v>24019</v>
      </c>
      <c r="G13260" t="s">
        <v>47087</v>
      </c>
      <c r="H13260" t="s">
        <v>47071</v>
      </c>
      <c r="I13260" t="s">
        <v>47120</v>
      </c>
      <c r="J13260" t="s">
        <v>47121</v>
      </c>
      <c r="K13260" t="s">
        <v>47113</v>
      </c>
      <c r="L13260">
        <v>12.64</v>
      </c>
      <c r="M13260">
        <v>24</v>
      </c>
      <c r="N13260">
        <v>59</v>
      </c>
      <c r="O13260">
        <v>24</v>
      </c>
      <c r="P13260">
        <v>59</v>
      </c>
    </row>
    <row r="13261" spans="1:16" x14ac:dyDescent="0.25">
      <c r="A13261" t="s">
        <v>36165</v>
      </c>
      <c r="B13261" t="s">
        <v>36163</v>
      </c>
      <c r="C13261" t="s">
        <v>36164</v>
      </c>
      <c r="D13261" t="s">
        <v>9513</v>
      </c>
      <c r="E13261" t="s">
        <v>9514</v>
      </c>
      <c r="F13261" t="s">
        <v>24019</v>
      </c>
      <c r="G13261" t="s">
        <v>47087</v>
      </c>
      <c r="H13261" t="s">
        <v>47071</v>
      </c>
      <c r="I13261" t="s">
        <v>47120</v>
      </c>
      <c r="J13261" t="s">
        <v>47121</v>
      </c>
      <c r="K13261" t="s">
        <v>47113</v>
      </c>
      <c r="L13261">
        <v>12.64</v>
      </c>
      <c r="M13261">
        <v>24</v>
      </c>
      <c r="N13261">
        <v>59</v>
      </c>
      <c r="O13261">
        <v>24</v>
      </c>
      <c r="P13261">
        <v>59</v>
      </c>
    </row>
    <row r="13262" spans="1:16" x14ac:dyDescent="0.25">
      <c r="A13262" t="s">
        <v>36166</v>
      </c>
      <c r="B13262" t="s">
        <v>36167</v>
      </c>
      <c r="C13262" t="s">
        <v>36168</v>
      </c>
      <c r="D13262" t="s">
        <v>9513</v>
      </c>
      <c r="E13262" t="s">
        <v>9514</v>
      </c>
      <c r="F13262" t="s">
        <v>24019</v>
      </c>
      <c r="G13262" t="s">
        <v>47087</v>
      </c>
      <c r="H13262" t="s">
        <v>47071</v>
      </c>
      <c r="I13262" t="s">
        <v>47120</v>
      </c>
      <c r="J13262" t="s">
        <v>47121</v>
      </c>
      <c r="K13262" t="s">
        <v>47113</v>
      </c>
      <c r="L13262">
        <v>12.64</v>
      </c>
      <c r="M13262">
        <v>24</v>
      </c>
      <c r="N13262">
        <v>59</v>
      </c>
      <c r="O13262">
        <v>24</v>
      </c>
      <c r="P13262">
        <v>59</v>
      </c>
    </row>
    <row r="13263" spans="1:16" x14ac:dyDescent="0.25">
      <c r="A13263" t="s">
        <v>36169</v>
      </c>
      <c r="B13263" t="s">
        <v>36170</v>
      </c>
      <c r="C13263" t="s">
        <v>36171</v>
      </c>
      <c r="D13263" t="s">
        <v>36030</v>
      </c>
      <c r="E13263" t="s">
        <v>36031</v>
      </c>
      <c r="F13263" t="s">
        <v>24019</v>
      </c>
      <c r="G13263" t="s">
        <v>47087</v>
      </c>
      <c r="H13263" t="s">
        <v>47071</v>
      </c>
      <c r="I13263" t="s">
        <v>47120</v>
      </c>
      <c r="J13263" t="s">
        <v>47121</v>
      </c>
      <c r="K13263" t="s">
        <v>47113</v>
      </c>
      <c r="L13263">
        <v>10.31</v>
      </c>
      <c r="M13263">
        <v>20</v>
      </c>
      <c r="N13263">
        <v>49</v>
      </c>
      <c r="O13263">
        <v>20</v>
      </c>
      <c r="P13263">
        <v>49</v>
      </c>
    </row>
    <row r="13264" spans="1:16" x14ac:dyDescent="0.25">
      <c r="A13264" t="s">
        <v>36172</v>
      </c>
      <c r="B13264" t="s">
        <v>36173</v>
      </c>
      <c r="C13264" t="s">
        <v>36174</v>
      </c>
      <c r="D13264" t="s">
        <v>36175</v>
      </c>
      <c r="E13264" t="s">
        <v>36176</v>
      </c>
      <c r="F13264" t="s">
        <v>24019</v>
      </c>
      <c r="G13264" t="s">
        <v>47087</v>
      </c>
      <c r="H13264" t="s">
        <v>47071</v>
      </c>
      <c r="I13264" t="s">
        <v>47120</v>
      </c>
      <c r="J13264" t="s">
        <v>47121</v>
      </c>
      <c r="K13264" t="s">
        <v>47113</v>
      </c>
      <c r="L13264">
        <v>12.64</v>
      </c>
      <c r="M13264">
        <v>24</v>
      </c>
      <c r="N13264">
        <v>59</v>
      </c>
      <c r="O13264">
        <v>24</v>
      </c>
      <c r="P13264">
        <v>59</v>
      </c>
    </row>
    <row r="13265" spans="1:16" x14ac:dyDescent="0.25">
      <c r="A13265" t="s">
        <v>36177</v>
      </c>
      <c r="B13265" t="s">
        <v>36178</v>
      </c>
      <c r="C13265" t="s">
        <v>21185</v>
      </c>
      <c r="D13265" t="s">
        <v>36175</v>
      </c>
      <c r="E13265" t="s">
        <v>36176</v>
      </c>
      <c r="F13265" t="s">
        <v>24019</v>
      </c>
      <c r="G13265" t="s">
        <v>47087</v>
      </c>
      <c r="H13265" t="s">
        <v>47071</v>
      </c>
      <c r="I13265" t="s">
        <v>47120</v>
      </c>
      <c r="J13265" t="s">
        <v>47121</v>
      </c>
      <c r="K13265" t="s">
        <v>47113</v>
      </c>
      <c r="L13265">
        <v>12.64</v>
      </c>
      <c r="M13265">
        <v>24</v>
      </c>
      <c r="N13265">
        <v>59</v>
      </c>
      <c r="O13265">
        <v>24</v>
      </c>
      <c r="P13265">
        <v>59</v>
      </c>
    </row>
    <row r="13266" spans="1:16" x14ac:dyDescent="0.25">
      <c r="A13266" t="s">
        <v>36179</v>
      </c>
      <c r="B13266" t="s">
        <v>36180</v>
      </c>
      <c r="C13266" t="s">
        <v>36181</v>
      </c>
      <c r="D13266" t="s">
        <v>14429</v>
      </c>
      <c r="E13266" t="s">
        <v>60</v>
      </c>
      <c r="F13266" t="s">
        <v>24019</v>
      </c>
      <c r="G13266" t="s">
        <v>47087</v>
      </c>
      <c r="H13266" t="s">
        <v>47071</v>
      </c>
      <c r="I13266" t="s">
        <v>47120</v>
      </c>
      <c r="J13266" t="s">
        <v>47121</v>
      </c>
      <c r="K13266" t="s">
        <v>47113</v>
      </c>
      <c r="L13266">
        <v>12.64</v>
      </c>
      <c r="M13266">
        <v>24</v>
      </c>
      <c r="N13266">
        <v>59</v>
      </c>
      <c r="O13266">
        <v>24</v>
      </c>
      <c r="P13266">
        <v>59</v>
      </c>
    </row>
    <row r="13267" spans="1:16" x14ac:dyDescent="0.25">
      <c r="A13267" t="s">
        <v>36182</v>
      </c>
      <c r="B13267" t="s">
        <v>36183</v>
      </c>
      <c r="C13267" t="s">
        <v>20961</v>
      </c>
      <c r="D13267" t="s">
        <v>36030</v>
      </c>
      <c r="E13267" t="s">
        <v>36031</v>
      </c>
      <c r="F13267" t="s">
        <v>24019</v>
      </c>
      <c r="G13267" t="s">
        <v>47087</v>
      </c>
      <c r="H13267" t="s">
        <v>47071</v>
      </c>
      <c r="I13267" t="s">
        <v>47120</v>
      </c>
      <c r="J13267" t="s">
        <v>47121</v>
      </c>
      <c r="K13267" t="s">
        <v>47113</v>
      </c>
      <c r="L13267">
        <v>12.64</v>
      </c>
      <c r="M13267">
        <v>24</v>
      </c>
      <c r="N13267">
        <v>59</v>
      </c>
      <c r="O13267">
        <v>24</v>
      </c>
      <c r="P13267">
        <v>59</v>
      </c>
    </row>
    <row r="13268" spans="1:16" x14ac:dyDescent="0.25">
      <c r="A13268" t="s">
        <v>36184</v>
      </c>
      <c r="B13268" t="s">
        <v>36185</v>
      </c>
      <c r="C13268" t="s">
        <v>36186</v>
      </c>
      <c r="D13268" t="s">
        <v>14429</v>
      </c>
      <c r="E13268" t="s">
        <v>60</v>
      </c>
      <c r="F13268" t="s">
        <v>24019</v>
      </c>
      <c r="G13268" t="s">
        <v>47087</v>
      </c>
      <c r="H13268" t="s">
        <v>47071</v>
      </c>
      <c r="I13268" t="s">
        <v>47120</v>
      </c>
      <c r="J13268" t="s">
        <v>47121</v>
      </c>
      <c r="K13268" t="s">
        <v>47113</v>
      </c>
      <c r="L13268">
        <v>12.64</v>
      </c>
      <c r="M13268">
        <v>24</v>
      </c>
      <c r="N13268">
        <v>59</v>
      </c>
      <c r="O13268">
        <v>24</v>
      </c>
      <c r="P13268">
        <v>59</v>
      </c>
    </row>
    <row r="13269" spans="1:16" x14ac:dyDescent="0.25">
      <c r="A13269" t="s">
        <v>36187</v>
      </c>
      <c r="B13269" t="s">
        <v>36188</v>
      </c>
      <c r="C13269" t="s">
        <v>36189</v>
      </c>
      <c r="D13269" t="s">
        <v>15740</v>
      </c>
      <c r="E13269" t="s">
        <v>42</v>
      </c>
      <c r="F13269" t="s">
        <v>24019</v>
      </c>
      <c r="G13269" t="s">
        <v>47084</v>
      </c>
      <c r="H13269" t="s">
        <v>47071</v>
      </c>
      <c r="I13269" t="s">
        <v>47120</v>
      </c>
      <c r="J13269" t="s">
        <v>47121</v>
      </c>
      <c r="K13269" t="s">
        <v>47113</v>
      </c>
      <c r="L13269">
        <v>9.85</v>
      </c>
      <c r="M13269">
        <v>20</v>
      </c>
      <c r="N13269">
        <v>0</v>
      </c>
      <c r="O13269">
        <v>20</v>
      </c>
      <c r="P13269">
        <v>0</v>
      </c>
    </row>
    <row r="13270" spans="1:16" x14ac:dyDescent="0.25">
      <c r="A13270" t="s">
        <v>36190</v>
      </c>
      <c r="B13270" t="s">
        <v>36188</v>
      </c>
      <c r="C13270" t="s">
        <v>36189</v>
      </c>
      <c r="D13270" t="s">
        <v>18070</v>
      </c>
      <c r="E13270" t="s">
        <v>814</v>
      </c>
      <c r="F13270" t="s">
        <v>24019</v>
      </c>
      <c r="G13270" t="s">
        <v>47084</v>
      </c>
      <c r="H13270" t="s">
        <v>47071</v>
      </c>
      <c r="I13270" t="s">
        <v>47120</v>
      </c>
      <c r="J13270" t="s">
        <v>47121</v>
      </c>
      <c r="K13270" t="s">
        <v>47113</v>
      </c>
      <c r="L13270">
        <v>9.85</v>
      </c>
      <c r="M13270">
        <v>20</v>
      </c>
      <c r="N13270">
        <v>0</v>
      </c>
      <c r="O13270">
        <v>20</v>
      </c>
      <c r="P13270">
        <v>0</v>
      </c>
    </row>
    <row r="13271" spans="1:16" x14ac:dyDescent="0.25">
      <c r="A13271" t="s">
        <v>36191</v>
      </c>
      <c r="B13271" t="s">
        <v>36188</v>
      </c>
      <c r="C13271" t="s">
        <v>36189</v>
      </c>
      <c r="D13271" t="s">
        <v>15692</v>
      </c>
      <c r="E13271" t="s">
        <v>46</v>
      </c>
      <c r="F13271" t="s">
        <v>24019</v>
      </c>
      <c r="G13271" t="s">
        <v>47084</v>
      </c>
      <c r="H13271" t="s">
        <v>47071</v>
      </c>
      <c r="I13271" t="s">
        <v>47120</v>
      </c>
      <c r="J13271" t="s">
        <v>47121</v>
      </c>
      <c r="K13271" t="s">
        <v>47113</v>
      </c>
      <c r="L13271">
        <v>9.85</v>
      </c>
      <c r="M13271">
        <v>20</v>
      </c>
      <c r="N13271">
        <v>0</v>
      </c>
      <c r="O13271">
        <v>20</v>
      </c>
      <c r="P13271">
        <v>0</v>
      </c>
    </row>
    <row r="13272" spans="1:16" x14ac:dyDescent="0.25">
      <c r="A13272" t="s">
        <v>36192</v>
      </c>
      <c r="B13272" t="s">
        <v>36188</v>
      </c>
      <c r="C13272" t="s">
        <v>36189</v>
      </c>
      <c r="D13272" t="s">
        <v>36046</v>
      </c>
      <c r="E13272" t="s">
        <v>36047</v>
      </c>
      <c r="F13272" t="s">
        <v>24019</v>
      </c>
      <c r="G13272" t="s">
        <v>47084</v>
      </c>
      <c r="H13272" t="s">
        <v>47071</v>
      </c>
      <c r="I13272" t="s">
        <v>47120</v>
      </c>
      <c r="J13272" t="s">
        <v>47121</v>
      </c>
      <c r="K13272" t="s">
        <v>47113</v>
      </c>
      <c r="L13272">
        <v>9.85</v>
      </c>
      <c r="M13272">
        <v>20</v>
      </c>
      <c r="N13272">
        <v>0</v>
      </c>
      <c r="O13272">
        <v>20</v>
      </c>
      <c r="P13272">
        <v>0</v>
      </c>
    </row>
    <row r="13273" spans="1:16" x14ac:dyDescent="0.25">
      <c r="A13273" t="s">
        <v>36193</v>
      </c>
      <c r="B13273" t="s">
        <v>36188</v>
      </c>
      <c r="C13273" t="s">
        <v>36189</v>
      </c>
      <c r="D13273" t="s">
        <v>14429</v>
      </c>
      <c r="E13273" t="s">
        <v>60</v>
      </c>
      <c r="F13273" t="s">
        <v>24019</v>
      </c>
      <c r="G13273" t="s">
        <v>47084</v>
      </c>
      <c r="H13273" t="s">
        <v>47071</v>
      </c>
      <c r="I13273" t="s">
        <v>47120</v>
      </c>
      <c r="J13273" t="s">
        <v>47121</v>
      </c>
      <c r="K13273" t="s">
        <v>47113</v>
      </c>
      <c r="L13273">
        <v>9.85</v>
      </c>
      <c r="M13273">
        <v>20</v>
      </c>
      <c r="N13273">
        <v>0</v>
      </c>
      <c r="O13273">
        <v>20</v>
      </c>
      <c r="P13273">
        <v>0</v>
      </c>
    </row>
    <row r="13274" spans="1:16" x14ac:dyDescent="0.25">
      <c r="A13274" t="s">
        <v>36194</v>
      </c>
      <c r="B13274" t="s">
        <v>36195</v>
      </c>
      <c r="C13274" t="s">
        <v>36196</v>
      </c>
      <c r="D13274" t="s">
        <v>15740</v>
      </c>
      <c r="E13274" t="s">
        <v>42</v>
      </c>
      <c r="F13274" t="s">
        <v>24019</v>
      </c>
      <c r="G13274" t="s">
        <v>47084</v>
      </c>
      <c r="H13274" t="s">
        <v>47071</v>
      </c>
      <c r="I13274" t="s">
        <v>47120</v>
      </c>
      <c r="J13274" t="s">
        <v>47121</v>
      </c>
      <c r="K13274" t="s">
        <v>47113</v>
      </c>
      <c r="L13274">
        <v>9.85</v>
      </c>
      <c r="M13274">
        <v>20</v>
      </c>
      <c r="N13274">
        <v>0</v>
      </c>
      <c r="O13274">
        <v>20</v>
      </c>
      <c r="P13274">
        <v>0</v>
      </c>
    </row>
    <row r="13275" spans="1:16" x14ac:dyDescent="0.25">
      <c r="A13275" t="s">
        <v>36197</v>
      </c>
      <c r="B13275" t="s">
        <v>15656</v>
      </c>
      <c r="C13275" t="s">
        <v>15657</v>
      </c>
      <c r="D13275" t="s">
        <v>15658</v>
      </c>
      <c r="E13275" t="s">
        <v>15659</v>
      </c>
      <c r="F13275" t="s">
        <v>3670</v>
      </c>
      <c r="G13275" t="s">
        <v>47152</v>
      </c>
      <c r="H13275" t="s">
        <v>47071</v>
      </c>
      <c r="I13275" t="s">
        <v>47120</v>
      </c>
      <c r="J13275" t="s">
        <v>47121</v>
      </c>
      <c r="K13275" t="s">
        <v>47113</v>
      </c>
      <c r="L13275">
        <v>19.309999999999999</v>
      </c>
      <c r="M13275">
        <v>28</v>
      </c>
      <c r="N13275">
        <v>0</v>
      </c>
      <c r="O13275">
        <v>28</v>
      </c>
      <c r="P13275">
        <v>0</v>
      </c>
    </row>
    <row r="13276" spans="1:16" x14ac:dyDescent="0.25">
      <c r="A13276" t="s">
        <v>36198</v>
      </c>
      <c r="B13276" t="s">
        <v>15660</v>
      </c>
      <c r="C13276" t="s">
        <v>15661</v>
      </c>
      <c r="D13276" t="s">
        <v>15662</v>
      </c>
      <c r="E13276" t="s">
        <v>15663</v>
      </c>
      <c r="F13276" t="s">
        <v>3670</v>
      </c>
      <c r="G13276" t="s">
        <v>47081</v>
      </c>
      <c r="H13276" t="s">
        <v>47071</v>
      </c>
      <c r="I13276" t="s">
        <v>47120</v>
      </c>
      <c r="J13276" t="s">
        <v>47121</v>
      </c>
      <c r="K13276" t="s">
        <v>47113</v>
      </c>
      <c r="L13276">
        <v>19.309999999999999</v>
      </c>
      <c r="M13276">
        <v>28</v>
      </c>
      <c r="N13276">
        <v>0</v>
      </c>
      <c r="O13276">
        <v>28</v>
      </c>
      <c r="P13276">
        <v>0</v>
      </c>
    </row>
    <row r="13277" spans="1:16" x14ac:dyDescent="0.25">
      <c r="A13277" t="s">
        <v>36199</v>
      </c>
      <c r="B13277" t="s">
        <v>15664</v>
      </c>
      <c r="C13277" t="s">
        <v>15665</v>
      </c>
      <c r="D13277" t="s">
        <v>15666</v>
      </c>
      <c r="E13277" t="s">
        <v>15667</v>
      </c>
      <c r="F13277" t="s">
        <v>3670</v>
      </c>
      <c r="G13277" t="s">
        <v>47083</v>
      </c>
      <c r="H13277" t="s">
        <v>47071</v>
      </c>
      <c r="I13277" t="s">
        <v>47120</v>
      </c>
      <c r="J13277" t="s">
        <v>47121</v>
      </c>
      <c r="K13277" t="s">
        <v>47113</v>
      </c>
      <c r="L13277">
        <v>22.11</v>
      </c>
      <c r="M13277">
        <v>32</v>
      </c>
      <c r="N13277">
        <v>0</v>
      </c>
      <c r="O13277">
        <v>32</v>
      </c>
      <c r="P13277">
        <v>0</v>
      </c>
    </row>
    <row r="13278" spans="1:16" x14ac:dyDescent="0.25">
      <c r="A13278" t="s">
        <v>36200</v>
      </c>
      <c r="B13278" t="s">
        <v>15668</v>
      </c>
      <c r="C13278" t="s">
        <v>15669</v>
      </c>
      <c r="D13278" t="s">
        <v>15670</v>
      </c>
      <c r="E13278" t="s">
        <v>15671</v>
      </c>
      <c r="F13278" t="s">
        <v>3670</v>
      </c>
      <c r="G13278" t="s">
        <v>47081</v>
      </c>
      <c r="H13278" t="s">
        <v>47071</v>
      </c>
      <c r="I13278" t="s">
        <v>47120</v>
      </c>
      <c r="J13278" t="s">
        <v>47121</v>
      </c>
      <c r="K13278" t="s">
        <v>47113</v>
      </c>
      <c r="L13278">
        <v>20.99</v>
      </c>
      <c r="M13278">
        <v>32</v>
      </c>
      <c r="N13278">
        <v>0</v>
      </c>
      <c r="O13278">
        <v>32</v>
      </c>
      <c r="P13278">
        <v>0</v>
      </c>
    </row>
    <row r="13279" spans="1:16" x14ac:dyDescent="0.25">
      <c r="A13279" t="s">
        <v>36201</v>
      </c>
      <c r="B13279" t="s">
        <v>15672</v>
      </c>
      <c r="C13279" t="s">
        <v>15673</v>
      </c>
      <c r="D13279" t="s">
        <v>15674</v>
      </c>
      <c r="E13279" t="s">
        <v>15675</v>
      </c>
      <c r="F13279" t="s">
        <v>3670</v>
      </c>
      <c r="G13279" t="s">
        <v>47081</v>
      </c>
      <c r="H13279" t="s">
        <v>47071</v>
      </c>
      <c r="I13279" t="s">
        <v>47120</v>
      </c>
      <c r="J13279" t="s">
        <v>47121</v>
      </c>
      <c r="K13279" t="s">
        <v>47113</v>
      </c>
      <c r="L13279">
        <v>36.1</v>
      </c>
      <c r="M13279">
        <v>51</v>
      </c>
      <c r="N13279">
        <v>0</v>
      </c>
      <c r="O13279">
        <v>51</v>
      </c>
      <c r="P13279">
        <v>0</v>
      </c>
    </row>
    <row r="13280" spans="1:16" x14ac:dyDescent="0.25">
      <c r="A13280" t="s">
        <v>36202</v>
      </c>
      <c r="B13280" t="s">
        <v>15676</v>
      </c>
      <c r="C13280" t="s">
        <v>15677</v>
      </c>
      <c r="D13280" t="s">
        <v>14429</v>
      </c>
      <c r="E13280" t="s">
        <v>60</v>
      </c>
      <c r="F13280" t="s">
        <v>3670</v>
      </c>
      <c r="G13280" t="s">
        <v>47151</v>
      </c>
      <c r="H13280" t="s">
        <v>47071</v>
      </c>
      <c r="I13280" t="s">
        <v>47120</v>
      </c>
      <c r="J13280" t="s">
        <v>47121</v>
      </c>
      <c r="K13280" t="s">
        <v>47113</v>
      </c>
      <c r="L13280">
        <v>9.8000000000000007</v>
      </c>
      <c r="M13280">
        <v>14</v>
      </c>
      <c r="N13280">
        <v>0</v>
      </c>
      <c r="O13280">
        <v>14</v>
      </c>
      <c r="P13280">
        <v>0</v>
      </c>
    </row>
    <row r="13281" spans="1:16" x14ac:dyDescent="0.25">
      <c r="A13281" t="s">
        <v>36203</v>
      </c>
      <c r="B13281" t="s">
        <v>15678</v>
      </c>
      <c r="C13281" t="s">
        <v>18042</v>
      </c>
      <c r="D13281" t="s">
        <v>15679</v>
      </c>
      <c r="E13281" t="s">
        <v>15680</v>
      </c>
      <c r="F13281" t="s">
        <v>3670</v>
      </c>
      <c r="G13281" t="s">
        <v>47087</v>
      </c>
      <c r="H13281" t="s">
        <v>47071</v>
      </c>
      <c r="I13281" t="s">
        <v>47120</v>
      </c>
      <c r="J13281" t="s">
        <v>47121</v>
      </c>
      <c r="K13281" t="s">
        <v>47113</v>
      </c>
      <c r="L13281">
        <v>8.4</v>
      </c>
      <c r="M13281">
        <v>12</v>
      </c>
      <c r="N13281">
        <v>0</v>
      </c>
      <c r="O13281">
        <v>12</v>
      </c>
      <c r="P13281">
        <v>0</v>
      </c>
    </row>
    <row r="13282" spans="1:16" x14ac:dyDescent="0.25">
      <c r="A13282" t="s">
        <v>36204</v>
      </c>
      <c r="B13282" t="s">
        <v>15678</v>
      </c>
      <c r="C13282" t="s">
        <v>18042</v>
      </c>
      <c r="D13282" t="s">
        <v>15681</v>
      </c>
      <c r="E13282" t="s">
        <v>15682</v>
      </c>
      <c r="F13282" t="s">
        <v>3670</v>
      </c>
      <c r="G13282" t="s">
        <v>47087</v>
      </c>
      <c r="H13282" t="s">
        <v>47071</v>
      </c>
      <c r="I13282" t="s">
        <v>47120</v>
      </c>
      <c r="J13282" t="s">
        <v>47121</v>
      </c>
      <c r="K13282" t="s">
        <v>47113</v>
      </c>
      <c r="L13282">
        <v>8.4</v>
      </c>
      <c r="M13282">
        <v>12</v>
      </c>
      <c r="N13282">
        <v>0</v>
      </c>
      <c r="O13282">
        <v>12</v>
      </c>
      <c r="P13282">
        <v>0</v>
      </c>
    </row>
    <row r="13283" spans="1:16" x14ac:dyDescent="0.25">
      <c r="A13283" t="s">
        <v>36205</v>
      </c>
      <c r="B13283" t="s">
        <v>15683</v>
      </c>
      <c r="C13283" t="s">
        <v>15684</v>
      </c>
      <c r="D13283" t="s">
        <v>15679</v>
      </c>
      <c r="E13283" t="s">
        <v>15680</v>
      </c>
      <c r="F13283" t="s">
        <v>3670</v>
      </c>
      <c r="G13283" t="s">
        <v>47087</v>
      </c>
      <c r="H13283" t="s">
        <v>47071</v>
      </c>
      <c r="I13283" t="s">
        <v>47120</v>
      </c>
      <c r="J13283" t="s">
        <v>47121</v>
      </c>
      <c r="K13283" t="s">
        <v>47113</v>
      </c>
      <c r="L13283">
        <v>10.92</v>
      </c>
      <c r="M13283">
        <v>16</v>
      </c>
      <c r="N13283">
        <v>0</v>
      </c>
      <c r="O13283">
        <v>16</v>
      </c>
      <c r="P13283">
        <v>0</v>
      </c>
    </row>
    <row r="13284" spans="1:16" x14ac:dyDescent="0.25">
      <c r="A13284" t="s">
        <v>36206</v>
      </c>
      <c r="B13284" t="s">
        <v>15683</v>
      </c>
      <c r="C13284" t="s">
        <v>15684</v>
      </c>
      <c r="D13284" t="s">
        <v>14429</v>
      </c>
      <c r="E13284" t="s">
        <v>60</v>
      </c>
      <c r="F13284" t="s">
        <v>3670</v>
      </c>
      <c r="G13284" t="s">
        <v>47087</v>
      </c>
      <c r="H13284" t="s">
        <v>47071</v>
      </c>
      <c r="I13284" t="s">
        <v>47120</v>
      </c>
      <c r="J13284" t="s">
        <v>47121</v>
      </c>
      <c r="K13284" t="s">
        <v>47113</v>
      </c>
      <c r="L13284">
        <v>10.92</v>
      </c>
      <c r="M13284">
        <v>16</v>
      </c>
      <c r="N13284">
        <v>0</v>
      </c>
      <c r="O13284">
        <v>16</v>
      </c>
      <c r="P13284">
        <v>0</v>
      </c>
    </row>
    <row r="13285" spans="1:16" x14ac:dyDescent="0.25">
      <c r="A13285" t="s">
        <v>36207</v>
      </c>
      <c r="B13285" t="s">
        <v>15685</v>
      </c>
      <c r="C13285" t="s">
        <v>15686</v>
      </c>
      <c r="D13285" t="s">
        <v>15658</v>
      </c>
      <c r="E13285" t="s">
        <v>15659</v>
      </c>
      <c r="F13285" t="s">
        <v>3670</v>
      </c>
      <c r="G13285" t="s">
        <v>47085</v>
      </c>
      <c r="H13285" t="s">
        <v>47071</v>
      </c>
      <c r="I13285" t="s">
        <v>47120</v>
      </c>
      <c r="J13285" t="s">
        <v>47121</v>
      </c>
      <c r="K13285" t="s">
        <v>47113</v>
      </c>
      <c r="L13285">
        <v>16.52</v>
      </c>
      <c r="M13285">
        <v>24</v>
      </c>
      <c r="N13285">
        <v>0</v>
      </c>
      <c r="O13285">
        <v>24</v>
      </c>
      <c r="P13285">
        <v>0</v>
      </c>
    </row>
    <row r="13286" spans="1:16" x14ac:dyDescent="0.25">
      <c r="A13286" t="s">
        <v>36208</v>
      </c>
      <c r="B13286" t="s">
        <v>15687</v>
      </c>
      <c r="C13286" t="s">
        <v>15688</v>
      </c>
      <c r="D13286" t="s">
        <v>14429</v>
      </c>
      <c r="E13286" t="s">
        <v>60</v>
      </c>
      <c r="F13286" t="s">
        <v>3670</v>
      </c>
      <c r="G13286" t="s">
        <v>47087</v>
      </c>
      <c r="H13286" t="s">
        <v>47071</v>
      </c>
      <c r="I13286" t="s">
        <v>47120</v>
      </c>
      <c r="J13286" t="s">
        <v>47121</v>
      </c>
      <c r="K13286" t="s">
        <v>47113</v>
      </c>
      <c r="L13286">
        <v>10.92</v>
      </c>
      <c r="M13286">
        <v>16</v>
      </c>
      <c r="N13286">
        <v>0</v>
      </c>
      <c r="O13286">
        <v>16</v>
      </c>
      <c r="P13286">
        <v>0</v>
      </c>
    </row>
    <row r="13287" spans="1:16" x14ac:dyDescent="0.25">
      <c r="A13287" t="s">
        <v>36209</v>
      </c>
      <c r="B13287" t="s">
        <v>15689</v>
      </c>
      <c r="C13287" t="s">
        <v>10773</v>
      </c>
      <c r="D13287" t="s">
        <v>15662</v>
      </c>
      <c r="E13287" t="s">
        <v>15663</v>
      </c>
      <c r="F13287" t="s">
        <v>3670</v>
      </c>
      <c r="G13287" t="s">
        <v>47146</v>
      </c>
      <c r="H13287" t="s">
        <v>47071</v>
      </c>
      <c r="I13287" t="s">
        <v>47120</v>
      </c>
      <c r="J13287" t="s">
        <v>47121</v>
      </c>
      <c r="K13287" t="s">
        <v>47113</v>
      </c>
      <c r="L13287">
        <v>24.91</v>
      </c>
      <c r="M13287">
        <v>36</v>
      </c>
      <c r="N13287">
        <v>0</v>
      </c>
      <c r="O13287">
        <v>36</v>
      </c>
      <c r="P13287">
        <v>0</v>
      </c>
    </row>
    <row r="13288" spans="1:16" x14ac:dyDescent="0.25">
      <c r="A13288" t="s">
        <v>46765</v>
      </c>
      <c r="B13288" t="s">
        <v>46766</v>
      </c>
      <c r="C13288" t="s">
        <v>46767</v>
      </c>
      <c r="D13288" t="s">
        <v>46768</v>
      </c>
      <c r="E13288" t="s">
        <v>46769</v>
      </c>
      <c r="F13288" t="s">
        <v>27965</v>
      </c>
      <c r="G13288" t="s">
        <v>47074</v>
      </c>
      <c r="H13288" t="s">
        <v>47071</v>
      </c>
      <c r="I13288" t="s">
        <v>47120</v>
      </c>
      <c r="J13288" t="s">
        <v>47121</v>
      </c>
      <c r="K13288" t="s">
        <v>47113</v>
      </c>
      <c r="L13288">
        <v>24.67</v>
      </c>
      <c r="M13288">
        <v>56</v>
      </c>
      <c r="N13288">
        <v>139</v>
      </c>
      <c r="O13288">
        <v>56</v>
      </c>
      <c r="P13288">
        <v>139</v>
      </c>
    </row>
    <row r="13289" spans="1:16" x14ac:dyDescent="0.25">
      <c r="A13289" t="s">
        <v>48595</v>
      </c>
      <c r="B13289" t="s">
        <v>48596</v>
      </c>
      <c r="C13289" t="s">
        <v>48597</v>
      </c>
      <c r="D13289" t="s">
        <v>46850</v>
      </c>
      <c r="E13289" t="s">
        <v>46851</v>
      </c>
      <c r="F13289" t="s">
        <v>27965</v>
      </c>
      <c r="G13289" t="s">
        <v>47074</v>
      </c>
      <c r="H13289" t="s">
        <v>47071</v>
      </c>
      <c r="I13289" t="s">
        <v>47120</v>
      </c>
      <c r="J13289" t="s">
        <v>47121</v>
      </c>
      <c r="K13289" t="s">
        <v>47113</v>
      </c>
      <c r="L13289">
        <v>21.9</v>
      </c>
      <c r="M13289">
        <v>56</v>
      </c>
      <c r="N13289">
        <v>139</v>
      </c>
      <c r="O13289">
        <v>56</v>
      </c>
      <c r="P13289">
        <v>139</v>
      </c>
    </row>
    <row r="13290" spans="1:16" x14ac:dyDescent="0.25">
      <c r="A13290" t="s">
        <v>46970</v>
      </c>
      <c r="B13290" t="s">
        <v>46770</v>
      </c>
      <c r="C13290" t="s">
        <v>46771</v>
      </c>
      <c r="D13290" t="s">
        <v>15692</v>
      </c>
      <c r="E13290" t="s">
        <v>46</v>
      </c>
      <c r="F13290" t="s">
        <v>27965</v>
      </c>
      <c r="G13290" t="s">
        <v>47074</v>
      </c>
      <c r="H13290" t="s">
        <v>47071</v>
      </c>
      <c r="I13290" t="s">
        <v>47120</v>
      </c>
      <c r="J13290" t="s">
        <v>47121</v>
      </c>
      <c r="K13290" t="s">
        <v>47113</v>
      </c>
      <c r="L13290">
        <v>24.67</v>
      </c>
      <c r="M13290">
        <v>56</v>
      </c>
      <c r="N13290">
        <v>139</v>
      </c>
      <c r="O13290">
        <v>56</v>
      </c>
      <c r="P13290">
        <v>139</v>
      </c>
    </row>
    <row r="13291" spans="1:16" x14ac:dyDescent="0.25">
      <c r="A13291" t="s">
        <v>48598</v>
      </c>
      <c r="B13291" t="s">
        <v>48599</v>
      </c>
      <c r="C13291" t="s">
        <v>48600</v>
      </c>
      <c r="D13291" t="s">
        <v>14429</v>
      </c>
      <c r="E13291" t="s">
        <v>60</v>
      </c>
      <c r="F13291" t="s">
        <v>47325</v>
      </c>
      <c r="G13291" t="s">
        <v>47074</v>
      </c>
      <c r="H13291" t="s">
        <v>47071</v>
      </c>
      <c r="I13291" t="s">
        <v>47120</v>
      </c>
      <c r="J13291" t="s">
        <v>47121</v>
      </c>
      <c r="K13291" t="s">
        <v>47113</v>
      </c>
      <c r="L13291">
        <v>22.45</v>
      </c>
      <c r="M13291">
        <v>52</v>
      </c>
      <c r="N13291">
        <v>129</v>
      </c>
      <c r="O13291">
        <v>52</v>
      </c>
      <c r="P13291">
        <v>129</v>
      </c>
    </row>
    <row r="13292" spans="1:16" x14ac:dyDescent="0.25">
      <c r="A13292" t="s">
        <v>36210</v>
      </c>
      <c r="B13292" t="s">
        <v>9459</v>
      </c>
      <c r="C13292" t="s">
        <v>9460</v>
      </c>
      <c r="D13292" t="s">
        <v>9461</v>
      </c>
      <c r="E13292" t="s">
        <v>9462</v>
      </c>
      <c r="F13292" t="s">
        <v>2068</v>
      </c>
      <c r="G13292" t="s">
        <v>47081</v>
      </c>
      <c r="H13292" t="s">
        <v>47071</v>
      </c>
      <c r="I13292" t="s">
        <v>47120</v>
      </c>
      <c r="J13292" t="s">
        <v>47121</v>
      </c>
      <c r="K13292" t="s">
        <v>47113</v>
      </c>
      <c r="L13292">
        <v>21.79</v>
      </c>
      <c r="M13292">
        <v>50</v>
      </c>
      <c r="N13292">
        <v>0</v>
      </c>
      <c r="O13292">
        <v>50</v>
      </c>
      <c r="P13292">
        <v>0</v>
      </c>
    </row>
    <row r="13293" spans="1:16" x14ac:dyDescent="0.25">
      <c r="A13293" t="s">
        <v>36211</v>
      </c>
      <c r="B13293" t="s">
        <v>9459</v>
      </c>
      <c r="C13293" t="s">
        <v>9460</v>
      </c>
      <c r="D13293" t="s">
        <v>9463</v>
      </c>
      <c r="E13293" t="s">
        <v>9464</v>
      </c>
      <c r="F13293" t="s">
        <v>2068</v>
      </c>
      <c r="G13293" t="s">
        <v>47081</v>
      </c>
      <c r="H13293" t="s">
        <v>47071</v>
      </c>
      <c r="I13293" t="s">
        <v>47120</v>
      </c>
      <c r="J13293" t="s">
        <v>47121</v>
      </c>
      <c r="K13293" t="s">
        <v>47113</v>
      </c>
      <c r="L13293">
        <v>21.79</v>
      </c>
      <c r="M13293">
        <v>50</v>
      </c>
      <c r="N13293">
        <v>0</v>
      </c>
      <c r="O13293">
        <v>50</v>
      </c>
      <c r="P13293">
        <v>0</v>
      </c>
    </row>
    <row r="13294" spans="1:16" x14ac:dyDescent="0.25">
      <c r="A13294" t="s">
        <v>36212</v>
      </c>
      <c r="B13294" t="s">
        <v>9459</v>
      </c>
      <c r="C13294" t="s">
        <v>9460</v>
      </c>
      <c r="D13294" t="s">
        <v>9465</v>
      </c>
      <c r="E13294" t="s">
        <v>9466</v>
      </c>
      <c r="F13294" t="s">
        <v>2068</v>
      </c>
      <c r="G13294" t="s">
        <v>47081</v>
      </c>
      <c r="H13294" t="s">
        <v>47071</v>
      </c>
      <c r="I13294" t="s">
        <v>47120</v>
      </c>
      <c r="J13294" t="s">
        <v>47121</v>
      </c>
      <c r="K13294" t="s">
        <v>47113</v>
      </c>
      <c r="L13294">
        <v>21.79</v>
      </c>
      <c r="M13294">
        <v>50</v>
      </c>
      <c r="N13294">
        <v>0</v>
      </c>
      <c r="O13294">
        <v>50</v>
      </c>
      <c r="P13294">
        <v>0</v>
      </c>
    </row>
    <row r="13295" spans="1:16" x14ac:dyDescent="0.25">
      <c r="A13295" t="s">
        <v>36213</v>
      </c>
      <c r="B13295" t="s">
        <v>9467</v>
      </c>
      <c r="C13295" t="s">
        <v>9468</v>
      </c>
      <c r="D13295" t="str">
        <f>"1001"</f>
        <v>1001</v>
      </c>
      <c r="E13295" t="s">
        <v>9469</v>
      </c>
      <c r="F13295" t="s">
        <v>2068</v>
      </c>
      <c r="G13295" t="s">
        <v>47081</v>
      </c>
      <c r="H13295" t="s">
        <v>47071</v>
      </c>
      <c r="I13295" t="s">
        <v>47120</v>
      </c>
      <c r="J13295" t="s">
        <v>47121</v>
      </c>
      <c r="K13295" t="s">
        <v>47113</v>
      </c>
      <c r="L13295">
        <v>21.79</v>
      </c>
      <c r="M13295">
        <v>50</v>
      </c>
      <c r="N13295">
        <v>0</v>
      </c>
      <c r="O13295">
        <v>50</v>
      </c>
      <c r="P13295">
        <v>0</v>
      </c>
    </row>
    <row r="13296" spans="1:16" x14ac:dyDescent="0.25">
      <c r="A13296" t="s">
        <v>36214</v>
      </c>
      <c r="B13296" t="s">
        <v>9467</v>
      </c>
      <c r="C13296" t="s">
        <v>9468</v>
      </c>
      <c r="D13296" t="str">
        <f>"3540"</f>
        <v>3540</v>
      </c>
      <c r="E13296" t="s">
        <v>9470</v>
      </c>
      <c r="F13296" t="s">
        <v>2068</v>
      </c>
      <c r="G13296" t="s">
        <v>47081</v>
      </c>
      <c r="H13296" t="s">
        <v>47071</v>
      </c>
      <c r="I13296" t="s">
        <v>47120</v>
      </c>
      <c r="J13296" t="s">
        <v>47121</v>
      </c>
      <c r="K13296" t="s">
        <v>47113</v>
      </c>
      <c r="L13296">
        <v>21.79</v>
      </c>
      <c r="M13296">
        <v>50</v>
      </c>
      <c r="N13296">
        <v>0</v>
      </c>
      <c r="O13296">
        <v>50</v>
      </c>
      <c r="P13296">
        <v>0</v>
      </c>
    </row>
    <row r="13297" spans="1:17" x14ac:dyDescent="0.25">
      <c r="A13297" t="s">
        <v>36215</v>
      </c>
      <c r="B13297" t="s">
        <v>9467</v>
      </c>
      <c r="C13297" t="s">
        <v>9468</v>
      </c>
      <c r="D13297" t="str">
        <f>"6024"</f>
        <v>6024</v>
      </c>
      <c r="E13297" t="s">
        <v>9471</v>
      </c>
      <c r="F13297" t="s">
        <v>2068</v>
      </c>
      <c r="G13297" t="s">
        <v>47081</v>
      </c>
      <c r="H13297" t="s">
        <v>47071</v>
      </c>
      <c r="I13297" t="s">
        <v>47120</v>
      </c>
      <c r="J13297" t="s">
        <v>47121</v>
      </c>
      <c r="K13297" t="s">
        <v>47113</v>
      </c>
      <c r="L13297">
        <v>21.79</v>
      </c>
      <c r="M13297">
        <v>50</v>
      </c>
      <c r="N13297">
        <v>0</v>
      </c>
      <c r="O13297">
        <v>50</v>
      </c>
      <c r="P13297">
        <v>0</v>
      </c>
    </row>
    <row r="13298" spans="1:17" x14ac:dyDescent="0.25">
      <c r="A13298" t="s">
        <v>36216</v>
      </c>
      <c r="B13298" t="s">
        <v>9467</v>
      </c>
      <c r="C13298" t="s">
        <v>9468</v>
      </c>
      <c r="D13298" t="str">
        <f>"6413"</f>
        <v>6413</v>
      </c>
      <c r="E13298" t="s">
        <v>9472</v>
      </c>
      <c r="F13298" t="s">
        <v>2068</v>
      </c>
      <c r="G13298" t="s">
        <v>47081</v>
      </c>
      <c r="H13298" t="s">
        <v>47071</v>
      </c>
      <c r="I13298" t="s">
        <v>47120</v>
      </c>
      <c r="J13298" t="s">
        <v>47121</v>
      </c>
      <c r="K13298" t="s">
        <v>47113</v>
      </c>
      <c r="L13298">
        <v>21.79</v>
      </c>
      <c r="M13298">
        <v>50</v>
      </c>
      <c r="N13298">
        <v>0</v>
      </c>
      <c r="O13298">
        <v>50</v>
      </c>
      <c r="P13298">
        <v>0</v>
      </c>
    </row>
    <row r="13299" spans="1:17" x14ac:dyDescent="0.25">
      <c r="A13299" t="s">
        <v>36217</v>
      </c>
      <c r="B13299" t="s">
        <v>9473</v>
      </c>
      <c r="C13299" t="s">
        <v>9460</v>
      </c>
      <c r="D13299" t="s">
        <v>9474</v>
      </c>
      <c r="E13299" t="s">
        <v>9475</v>
      </c>
      <c r="F13299" t="s">
        <v>2068</v>
      </c>
      <c r="G13299" t="s">
        <v>47081</v>
      </c>
      <c r="H13299" t="s">
        <v>47071</v>
      </c>
      <c r="I13299" t="s">
        <v>47120</v>
      </c>
      <c r="J13299" t="s">
        <v>47121</v>
      </c>
      <c r="K13299" t="s">
        <v>47113</v>
      </c>
      <c r="L13299">
        <v>21.79</v>
      </c>
      <c r="M13299">
        <v>50</v>
      </c>
      <c r="N13299">
        <v>0</v>
      </c>
      <c r="O13299">
        <v>50</v>
      </c>
      <c r="P13299">
        <v>0</v>
      </c>
    </row>
    <row r="13300" spans="1:17" x14ac:dyDescent="0.25">
      <c r="A13300" t="s">
        <v>36218</v>
      </c>
      <c r="B13300" t="s">
        <v>9473</v>
      </c>
      <c r="C13300" t="s">
        <v>9460</v>
      </c>
      <c r="D13300" t="s">
        <v>9476</v>
      </c>
      <c r="E13300" t="s">
        <v>9477</v>
      </c>
      <c r="F13300" t="s">
        <v>2068</v>
      </c>
      <c r="G13300" t="s">
        <v>47081</v>
      </c>
      <c r="H13300" t="s">
        <v>47071</v>
      </c>
      <c r="I13300" t="s">
        <v>47120</v>
      </c>
      <c r="J13300" t="s">
        <v>47121</v>
      </c>
      <c r="K13300" t="s">
        <v>47113</v>
      </c>
      <c r="L13300">
        <v>21.79</v>
      </c>
      <c r="M13300">
        <v>50</v>
      </c>
      <c r="N13300">
        <v>0</v>
      </c>
      <c r="O13300">
        <v>50</v>
      </c>
      <c r="P13300">
        <v>0</v>
      </c>
    </row>
    <row r="13301" spans="1:17" x14ac:dyDescent="0.25">
      <c r="A13301" t="s">
        <v>36219</v>
      </c>
      <c r="B13301" t="s">
        <v>9478</v>
      </c>
      <c r="C13301" t="s">
        <v>9479</v>
      </c>
      <c r="D13301" t="s">
        <v>9480</v>
      </c>
      <c r="E13301" t="s">
        <v>9481</v>
      </c>
      <c r="F13301" t="s">
        <v>2068</v>
      </c>
      <c r="G13301" t="s">
        <v>47081</v>
      </c>
      <c r="H13301" t="s">
        <v>47071</v>
      </c>
      <c r="I13301" t="s">
        <v>47120</v>
      </c>
      <c r="J13301" t="s">
        <v>47121</v>
      </c>
      <c r="K13301" t="s">
        <v>47113</v>
      </c>
      <c r="L13301">
        <v>43.02</v>
      </c>
      <c r="M13301">
        <v>100</v>
      </c>
      <c r="N13301">
        <v>0</v>
      </c>
      <c r="O13301">
        <v>100</v>
      </c>
      <c r="P13301">
        <v>0</v>
      </c>
    </row>
    <row r="13302" spans="1:17" x14ac:dyDescent="0.25">
      <c r="A13302" t="s">
        <v>36220</v>
      </c>
      <c r="B13302" t="s">
        <v>9482</v>
      </c>
      <c r="C13302" t="s">
        <v>9483</v>
      </c>
      <c r="D13302" t="str">
        <f>"2054"</f>
        <v>2054</v>
      </c>
      <c r="E13302" t="s">
        <v>7762</v>
      </c>
      <c r="F13302" t="s">
        <v>2068</v>
      </c>
      <c r="G13302" t="s">
        <v>47149</v>
      </c>
      <c r="H13302" t="s">
        <v>47071</v>
      </c>
      <c r="I13302" t="s">
        <v>47118</v>
      </c>
      <c r="J13302" t="s">
        <v>47119</v>
      </c>
      <c r="K13302" t="s">
        <v>47113</v>
      </c>
      <c r="L13302">
        <v>21.79</v>
      </c>
      <c r="M13302">
        <v>50</v>
      </c>
      <c r="N13302">
        <v>0</v>
      </c>
      <c r="O13302">
        <v>50</v>
      </c>
      <c r="P13302">
        <v>0</v>
      </c>
    </row>
    <row r="13303" spans="1:17" x14ac:dyDescent="0.25">
      <c r="A13303" t="s">
        <v>36221</v>
      </c>
      <c r="B13303" t="s">
        <v>9484</v>
      </c>
      <c r="C13303" t="s">
        <v>9485</v>
      </c>
      <c r="D13303" t="str">
        <f>"1001"</f>
        <v>1001</v>
      </c>
      <c r="E13303" t="s">
        <v>42</v>
      </c>
      <c r="F13303" t="s">
        <v>2068</v>
      </c>
      <c r="G13303" t="s">
        <v>47087</v>
      </c>
      <c r="H13303" t="s">
        <v>47071</v>
      </c>
      <c r="I13303" t="s">
        <v>47118</v>
      </c>
      <c r="J13303" t="s">
        <v>47119</v>
      </c>
      <c r="K13303" t="s">
        <v>47113</v>
      </c>
      <c r="L13303">
        <v>9.66</v>
      </c>
      <c r="M13303">
        <v>22</v>
      </c>
      <c r="N13303">
        <v>0</v>
      </c>
      <c r="O13303">
        <v>22</v>
      </c>
      <c r="P13303">
        <v>0</v>
      </c>
    </row>
    <row r="13304" spans="1:17" x14ac:dyDescent="0.25">
      <c r="A13304" t="s">
        <v>36222</v>
      </c>
      <c r="B13304" t="s">
        <v>9486</v>
      </c>
      <c r="C13304" t="s">
        <v>9485</v>
      </c>
      <c r="D13304" t="str">
        <f>"6413"</f>
        <v>6413</v>
      </c>
      <c r="E13304" t="s">
        <v>9487</v>
      </c>
      <c r="F13304" t="s">
        <v>2068</v>
      </c>
      <c r="G13304" t="s">
        <v>47087</v>
      </c>
      <c r="H13304" t="s">
        <v>47071</v>
      </c>
      <c r="I13304" t="s">
        <v>47118</v>
      </c>
      <c r="J13304" t="s">
        <v>47119</v>
      </c>
      <c r="K13304" t="s">
        <v>47113</v>
      </c>
      <c r="L13304">
        <v>9.66</v>
      </c>
      <c r="M13304">
        <v>22</v>
      </c>
      <c r="N13304">
        <v>0</v>
      </c>
      <c r="O13304">
        <v>22</v>
      </c>
      <c r="P13304">
        <v>0</v>
      </c>
    </row>
    <row r="13305" spans="1:17" x14ac:dyDescent="0.25">
      <c r="A13305" t="s">
        <v>36223</v>
      </c>
      <c r="B13305" t="s">
        <v>9488</v>
      </c>
      <c r="C13305" t="s">
        <v>9485</v>
      </c>
      <c r="D13305" t="str">
        <f>"2707"</f>
        <v>2707</v>
      </c>
      <c r="E13305" t="s">
        <v>3019</v>
      </c>
      <c r="F13305" t="s">
        <v>2068</v>
      </c>
      <c r="G13305" t="s">
        <v>47087</v>
      </c>
      <c r="H13305" t="s">
        <v>47071</v>
      </c>
      <c r="I13305" t="s">
        <v>47118</v>
      </c>
      <c r="J13305" t="s">
        <v>47119</v>
      </c>
      <c r="K13305" t="s">
        <v>47113</v>
      </c>
      <c r="L13305">
        <v>9.66</v>
      </c>
      <c r="M13305">
        <v>22</v>
      </c>
      <c r="N13305">
        <v>0</v>
      </c>
      <c r="O13305">
        <v>22</v>
      </c>
      <c r="P13305">
        <v>0</v>
      </c>
    </row>
    <row r="13306" spans="1:17" x14ac:dyDescent="0.25">
      <c r="A13306" t="s">
        <v>36224</v>
      </c>
      <c r="B13306" t="s">
        <v>9489</v>
      </c>
      <c r="C13306" t="s">
        <v>9490</v>
      </c>
      <c r="D13306" t="str">
        <f>"1501"</f>
        <v>1501</v>
      </c>
      <c r="E13306" t="s">
        <v>46</v>
      </c>
      <c r="F13306" t="s">
        <v>2068</v>
      </c>
      <c r="G13306" t="s">
        <v>47152</v>
      </c>
      <c r="H13306" t="s">
        <v>47071</v>
      </c>
      <c r="I13306" t="s">
        <v>47118</v>
      </c>
      <c r="J13306" t="s">
        <v>47119</v>
      </c>
      <c r="K13306" t="s">
        <v>47113</v>
      </c>
      <c r="L13306">
        <v>10.76</v>
      </c>
      <c r="M13306">
        <v>25</v>
      </c>
      <c r="N13306">
        <v>0</v>
      </c>
      <c r="O13306">
        <v>25</v>
      </c>
      <c r="P13306">
        <v>0</v>
      </c>
    </row>
    <row r="13307" spans="1:17" x14ac:dyDescent="0.25">
      <c r="A13307" t="s">
        <v>36225</v>
      </c>
      <c r="B13307" t="s">
        <v>9489</v>
      </c>
      <c r="C13307" t="s">
        <v>9490</v>
      </c>
      <c r="D13307" t="str">
        <f>"2707"</f>
        <v>2707</v>
      </c>
      <c r="E13307" t="s">
        <v>3019</v>
      </c>
      <c r="F13307" t="s">
        <v>2068</v>
      </c>
      <c r="G13307" t="s">
        <v>47152</v>
      </c>
      <c r="H13307" t="s">
        <v>47071</v>
      </c>
      <c r="I13307" t="s">
        <v>47118</v>
      </c>
      <c r="J13307" t="s">
        <v>47119</v>
      </c>
      <c r="K13307" t="s">
        <v>47113</v>
      </c>
      <c r="L13307">
        <v>10.76</v>
      </c>
      <c r="M13307">
        <v>25</v>
      </c>
      <c r="N13307">
        <v>0</v>
      </c>
      <c r="O13307">
        <v>25</v>
      </c>
      <c r="P13307">
        <v>0</v>
      </c>
    </row>
    <row r="13308" spans="1:17" x14ac:dyDescent="0.25">
      <c r="A13308" t="s">
        <v>36226</v>
      </c>
      <c r="B13308" t="s">
        <v>9491</v>
      </c>
      <c r="C13308" t="s">
        <v>9485</v>
      </c>
      <c r="D13308" t="str">
        <f>"1800"</f>
        <v>1800</v>
      </c>
      <c r="E13308" t="s">
        <v>1999</v>
      </c>
      <c r="F13308" t="s">
        <v>2068</v>
      </c>
      <c r="G13308" t="s">
        <v>47087</v>
      </c>
      <c r="H13308" t="s">
        <v>47071</v>
      </c>
      <c r="I13308" t="s">
        <v>47118</v>
      </c>
      <c r="J13308" t="s">
        <v>47119</v>
      </c>
      <c r="K13308" t="s">
        <v>47113</v>
      </c>
      <c r="L13308">
        <v>9.66</v>
      </c>
      <c r="M13308">
        <v>22</v>
      </c>
      <c r="N13308">
        <v>0</v>
      </c>
      <c r="O13308">
        <v>22</v>
      </c>
      <c r="P13308">
        <v>0</v>
      </c>
    </row>
    <row r="13309" spans="1:17" x14ac:dyDescent="0.25">
      <c r="A13309" t="s">
        <v>36227</v>
      </c>
      <c r="B13309" t="s">
        <v>9492</v>
      </c>
      <c r="C13309" t="s">
        <v>9493</v>
      </c>
      <c r="D13309" t="str">
        <f>"6202"</f>
        <v>6202</v>
      </c>
      <c r="E13309" t="s">
        <v>814</v>
      </c>
      <c r="F13309" t="s">
        <v>2068</v>
      </c>
      <c r="G13309" t="s">
        <v>47087</v>
      </c>
      <c r="H13309" t="s">
        <v>47071</v>
      </c>
      <c r="I13309" t="s">
        <v>47118</v>
      </c>
      <c r="J13309" t="s">
        <v>47119</v>
      </c>
      <c r="K13309" t="s">
        <v>47113</v>
      </c>
      <c r="L13309">
        <v>9.66</v>
      </c>
      <c r="M13309">
        <v>22</v>
      </c>
      <c r="N13309">
        <v>0</v>
      </c>
      <c r="O13309">
        <v>22</v>
      </c>
      <c r="P13309">
        <v>0</v>
      </c>
    </row>
    <row r="13310" spans="1:17" x14ac:dyDescent="0.25">
      <c r="A13310" t="s">
        <v>36228</v>
      </c>
      <c r="B13310" t="s">
        <v>9494</v>
      </c>
      <c r="C13310" t="s">
        <v>9460</v>
      </c>
      <c r="D13310" t="str">
        <f>"4745"</f>
        <v>4745</v>
      </c>
      <c r="E13310" t="s">
        <v>9495</v>
      </c>
      <c r="F13310" t="s">
        <v>2068</v>
      </c>
      <c r="G13310" t="s">
        <v>47081</v>
      </c>
      <c r="H13310" t="s">
        <v>47071</v>
      </c>
      <c r="I13310" t="s">
        <v>47120</v>
      </c>
      <c r="J13310" t="s">
        <v>47121</v>
      </c>
      <c r="K13310" t="s">
        <v>47113</v>
      </c>
      <c r="L13310">
        <v>19.03</v>
      </c>
      <c r="M13310">
        <v>44</v>
      </c>
      <c r="N13310">
        <v>0</v>
      </c>
      <c r="O13310">
        <v>44</v>
      </c>
      <c r="P13310">
        <v>0</v>
      </c>
      <c r="Q13310" s="2"/>
    </row>
    <row r="13311" spans="1:17" x14ac:dyDescent="0.25">
      <c r="A13311" t="s">
        <v>36229</v>
      </c>
      <c r="B13311" t="s">
        <v>9494</v>
      </c>
      <c r="C13311" t="s">
        <v>9460</v>
      </c>
      <c r="D13311" t="s">
        <v>9496</v>
      </c>
      <c r="E13311" t="s">
        <v>9497</v>
      </c>
      <c r="F13311" t="s">
        <v>2068</v>
      </c>
      <c r="G13311" t="s">
        <v>47081</v>
      </c>
      <c r="H13311" t="s">
        <v>47071</v>
      </c>
      <c r="I13311" t="s">
        <v>47120</v>
      </c>
      <c r="J13311" t="s">
        <v>47121</v>
      </c>
      <c r="K13311" t="s">
        <v>47113</v>
      </c>
      <c r="L13311">
        <v>19.03</v>
      </c>
      <c r="M13311">
        <v>44</v>
      </c>
      <c r="N13311">
        <v>0</v>
      </c>
      <c r="O13311">
        <v>44</v>
      </c>
      <c r="P13311">
        <v>0</v>
      </c>
      <c r="Q13311" s="2"/>
    </row>
    <row r="13312" spans="1:17" x14ac:dyDescent="0.25">
      <c r="A13312" t="s">
        <v>36230</v>
      </c>
      <c r="B13312" t="s">
        <v>9498</v>
      </c>
      <c r="C13312" t="s">
        <v>9499</v>
      </c>
      <c r="D13312" t="s">
        <v>9496</v>
      </c>
      <c r="E13312" t="s">
        <v>9497</v>
      </c>
      <c r="F13312" t="s">
        <v>2068</v>
      </c>
      <c r="G13312" t="s">
        <v>47081</v>
      </c>
      <c r="H13312" t="s">
        <v>47071</v>
      </c>
      <c r="I13312" t="s">
        <v>47120</v>
      </c>
      <c r="J13312" t="s">
        <v>47121</v>
      </c>
      <c r="K13312" t="s">
        <v>47113</v>
      </c>
      <c r="L13312">
        <v>19.03</v>
      </c>
      <c r="M13312">
        <v>44</v>
      </c>
      <c r="N13312">
        <v>0</v>
      </c>
      <c r="O13312">
        <v>44</v>
      </c>
      <c r="P13312">
        <v>0</v>
      </c>
    </row>
    <row r="13313" spans="1:16" x14ac:dyDescent="0.25">
      <c r="A13313" t="s">
        <v>36231</v>
      </c>
      <c r="B13313" t="s">
        <v>9498</v>
      </c>
      <c r="C13313" t="s">
        <v>9499</v>
      </c>
      <c r="D13313" t="s">
        <v>9500</v>
      </c>
      <c r="E13313" t="s">
        <v>9501</v>
      </c>
      <c r="F13313" t="s">
        <v>2068</v>
      </c>
      <c r="G13313" t="s">
        <v>47081</v>
      </c>
      <c r="H13313" t="s">
        <v>47071</v>
      </c>
      <c r="I13313" t="s">
        <v>47120</v>
      </c>
      <c r="J13313" t="s">
        <v>47121</v>
      </c>
      <c r="K13313" t="s">
        <v>47113</v>
      </c>
      <c r="L13313">
        <v>21.79</v>
      </c>
      <c r="M13313">
        <v>50</v>
      </c>
      <c r="N13313">
        <v>0</v>
      </c>
      <c r="O13313">
        <v>50</v>
      </c>
      <c r="P13313">
        <v>0</v>
      </c>
    </row>
    <row r="13314" spans="1:16" x14ac:dyDescent="0.25">
      <c r="A13314" t="s">
        <v>36232</v>
      </c>
      <c r="B13314" t="s">
        <v>9502</v>
      </c>
      <c r="C13314" t="s">
        <v>9479</v>
      </c>
      <c r="D13314" t="s">
        <v>9480</v>
      </c>
      <c r="E13314" t="s">
        <v>9481</v>
      </c>
      <c r="F13314" t="s">
        <v>2068</v>
      </c>
      <c r="G13314" t="s">
        <v>47081</v>
      </c>
      <c r="H13314" t="s">
        <v>47071</v>
      </c>
      <c r="I13314" t="s">
        <v>47120</v>
      </c>
      <c r="J13314" t="s">
        <v>47121</v>
      </c>
      <c r="K13314" t="s">
        <v>47113</v>
      </c>
      <c r="L13314">
        <v>32.82</v>
      </c>
      <c r="M13314">
        <v>76</v>
      </c>
      <c r="N13314">
        <v>0</v>
      </c>
      <c r="O13314">
        <v>76</v>
      </c>
      <c r="P13314">
        <v>0</v>
      </c>
    </row>
    <row r="13315" spans="1:16" x14ac:dyDescent="0.25">
      <c r="A13315" t="s">
        <v>36233</v>
      </c>
      <c r="B13315" t="s">
        <v>9503</v>
      </c>
      <c r="C13315" t="s">
        <v>9504</v>
      </c>
      <c r="D13315" t="str">
        <f>"1104"</f>
        <v>1104</v>
      </c>
      <c r="E13315" t="s">
        <v>9505</v>
      </c>
      <c r="F13315" t="s">
        <v>2068</v>
      </c>
      <c r="G13315" t="s">
        <v>47081</v>
      </c>
      <c r="H13315" t="s">
        <v>47071</v>
      </c>
      <c r="I13315" t="s">
        <v>47120</v>
      </c>
      <c r="J13315" t="s">
        <v>47121</v>
      </c>
      <c r="K13315" t="s">
        <v>47113</v>
      </c>
      <c r="L13315">
        <v>19.03</v>
      </c>
      <c r="M13315">
        <v>44</v>
      </c>
      <c r="N13315">
        <v>0</v>
      </c>
      <c r="O13315">
        <v>44</v>
      </c>
      <c r="P13315">
        <v>0</v>
      </c>
    </row>
    <row r="13316" spans="1:16" x14ac:dyDescent="0.25">
      <c r="A13316" t="s">
        <v>36234</v>
      </c>
      <c r="B13316" t="s">
        <v>9506</v>
      </c>
      <c r="C13316" t="s">
        <v>9479</v>
      </c>
      <c r="D13316" t="s">
        <v>9480</v>
      </c>
      <c r="E13316" t="s">
        <v>9481</v>
      </c>
      <c r="F13316" t="s">
        <v>2068</v>
      </c>
      <c r="G13316" t="s">
        <v>47081</v>
      </c>
      <c r="H13316" t="s">
        <v>47071</v>
      </c>
      <c r="I13316" t="s">
        <v>47120</v>
      </c>
      <c r="J13316" t="s">
        <v>47121</v>
      </c>
      <c r="K13316" t="s">
        <v>47113</v>
      </c>
      <c r="L13316">
        <v>43.02</v>
      </c>
      <c r="M13316">
        <v>100</v>
      </c>
      <c r="N13316">
        <v>0</v>
      </c>
      <c r="O13316">
        <v>100</v>
      </c>
      <c r="P13316">
        <v>0</v>
      </c>
    </row>
    <row r="13317" spans="1:16" x14ac:dyDescent="0.25">
      <c r="A13317" t="s">
        <v>36235</v>
      </c>
      <c r="B13317" t="s">
        <v>9507</v>
      </c>
      <c r="C13317" t="s">
        <v>9508</v>
      </c>
      <c r="D13317" t="s">
        <v>9509</v>
      </c>
      <c r="E13317" t="s">
        <v>9510</v>
      </c>
      <c r="F13317" t="s">
        <v>2068</v>
      </c>
      <c r="G13317" t="s">
        <v>47150</v>
      </c>
      <c r="H13317" t="s">
        <v>47071</v>
      </c>
      <c r="I13317" t="s">
        <v>47118</v>
      </c>
      <c r="J13317" t="s">
        <v>47119</v>
      </c>
      <c r="K13317" t="s">
        <v>47113</v>
      </c>
      <c r="L13317">
        <v>13.51</v>
      </c>
      <c r="M13317">
        <v>31</v>
      </c>
      <c r="N13317">
        <v>0</v>
      </c>
      <c r="O13317">
        <v>31</v>
      </c>
      <c r="P13317">
        <v>0</v>
      </c>
    </row>
    <row r="13318" spans="1:16" x14ac:dyDescent="0.25">
      <c r="A13318" t="s">
        <v>36236</v>
      </c>
      <c r="B13318" t="s">
        <v>15690</v>
      </c>
      <c r="C13318" t="s">
        <v>15691</v>
      </c>
      <c r="D13318" t="s">
        <v>15692</v>
      </c>
      <c r="E13318" t="s">
        <v>46</v>
      </c>
      <c r="F13318" t="s">
        <v>3670</v>
      </c>
      <c r="G13318" t="s">
        <v>47075</v>
      </c>
      <c r="H13318" t="s">
        <v>47071</v>
      </c>
      <c r="I13318" t="s">
        <v>47120</v>
      </c>
      <c r="J13318" t="s">
        <v>47121</v>
      </c>
      <c r="K13318" t="s">
        <v>47113</v>
      </c>
      <c r="L13318">
        <v>13.72</v>
      </c>
      <c r="M13318">
        <v>20</v>
      </c>
      <c r="N13318">
        <v>0</v>
      </c>
      <c r="O13318">
        <v>20</v>
      </c>
      <c r="P13318">
        <v>0</v>
      </c>
    </row>
    <row r="13319" spans="1:16" x14ac:dyDescent="0.25">
      <c r="A13319" t="s">
        <v>36237</v>
      </c>
      <c r="B13319" t="s">
        <v>15693</v>
      </c>
      <c r="C13319" t="s">
        <v>15694</v>
      </c>
      <c r="D13319" t="s">
        <v>15695</v>
      </c>
      <c r="E13319" t="s">
        <v>15696</v>
      </c>
      <c r="F13319" t="s">
        <v>3670</v>
      </c>
      <c r="G13319" t="s">
        <v>47075</v>
      </c>
      <c r="H13319" t="s">
        <v>47071</v>
      </c>
      <c r="I13319" t="s">
        <v>47120</v>
      </c>
      <c r="J13319" t="s">
        <v>47121</v>
      </c>
      <c r="K13319" t="s">
        <v>47113</v>
      </c>
      <c r="L13319">
        <v>24.91</v>
      </c>
      <c r="M13319">
        <v>36</v>
      </c>
      <c r="N13319">
        <v>0</v>
      </c>
      <c r="O13319">
        <v>36</v>
      </c>
      <c r="P13319">
        <v>0</v>
      </c>
    </row>
    <row r="13320" spans="1:16" x14ac:dyDescent="0.25">
      <c r="A13320" t="s">
        <v>36238</v>
      </c>
      <c r="B13320" t="s">
        <v>15697</v>
      </c>
      <c r="C13320" t="s">
        <v>14549</v>
      </c>
      <c r="D13320" t="s">
        <v>15698</v>
      </c>
      <c r="E13320" t="s">
        <v>15699</v>
      </c>
      <c r="F13320" t="s">
        <v>3670</v>
      </c>
      <c r="G13320" t="s">
        <v>47072</v>
      </c>
      <c r="H13320" t="s">
        <v>47071</v>
      </c>
      <c r="I13320" t="s">
        <v>47120</v>
      </c>
      <c r="J13320" t="s">
        <v>47121</v>
      </c>
      <c r="K13320" t="s">
        <v>47113</v>
      </c>
      <c r="L13320">
        <v>22.11</v>
      </c>
      <c r="M13320">
        <v>32</v>
      </c>
      <c r="N13320">
        <v>0</v>
      </c>
      <c r="O13320">
        <v>32</v>
      </c>
      <c r="P13320">
        <v>0</v>
      </c>
    </row>
    <row r="13321" spans="1:16" x14ac:dyDescent="0.25">
      <c r="A13321" t="s">
        <v>36239</v>
      </c>
      <c r="B13321" t="s">
        <v>15700</v>
      </c>
      <c r="C13321" t="s">
        <v>15701</v>
      </c>
      <c r="D13321" t="s">
        <v>15702</v>
      </c>
      <c r="E13321" t="s">
        <v>15703</v>
      </c>
      <c r="F13321" t="s">
        <v>3670</v>
      </c>
      <c r="G13321" t="s">
        <v>47135</v>
      </c>
      <c r="H13321" t="s">
        <v>47071</v>
      </c>
      <c r="I13321" t="s">
        <v>47120</v>
      </c>
      <c r="J13321" t="s">
        <v>47121</v>
      </c>
      <c r="K13321" t="s">
        <v>47113</v>
      </c>
      <c r="L13321">
        <v>16.52</v>
      </c>
      <c r="M13321">
        <v>24</v>
      </c>
      <c r="N13321">
        <v>0</v>
      </c>
      <c r="O13321">
        <v>24</v>
      </c>
      <c r="P13321">
        <v>0</v>
      </c>
    </row>
    <row r="13322" spans="1:16" x14ac:dyDescent="0.25">
      <c r="A13322" t="s">
        <v>36240</v>
      </c>
      <c r="B13322" t="s">
        <v>15704</v>
      </c>
      <c r="C13322" t="s">
        <v>15705</v>
      </c>
      <c r="D13322" t="s">
        <v>15706</v>
      </c>
      <c r="E13322" t="s">
        <v>15707</v>
      </c>
      <c r="F13322" t="s">
        <v>3670</v>
      </c>
      <c r="G13322" t="s">
        <v>47072</v>
      </c>
      <c r="H13322" t="s">
        <v>47071</v>
      </c>
      <c r="I13322" t="s">
        <v>47120</v>
      </c>
      <c r="J13322" t="s">
        <v>47121</v>
      </c>
      <c r="K13322" t="s">
        <v>47113</v>
      </c>
      <c r="L13322">
        <v>22.11</v>
      </c>
      <c r="M13322">
        <v>32</v>
      </c>
      <c r="N13322">
        <v>0</v>
      </c>
      <c r="O13322">
        <v>32</v>
      </c>
      <c r="P13322">
        <v>0</v>
      </c>
    </row>
    <row r="13323" spans="1:16" x14ac:dyDescent="0.25">
      <c r="A13323" t="s">
        <v>36241</v>
      </c>
      <c r="B13323" t="s">
        <v>15708</v>
      </c>
      <c r="C13323" t="s">
        <v>15709</v>
      </c>
      <c r="D13323" t="s">
        <v>15651</v>
      </c>
      <c r="E13323" t="s">
        <v>15652</v>
      </c>
      <c r="F13323" t="s">
        <v>3670</v>
      </c>
      <c r="G13323" t="s">
        <v>47072</v>
      </c>
      <c r="H13323" t="s">
        <v>47071</v>
      </c>
      <c r="I13323" t="s">
        <v>47120</v>
      </c>
      <c r="J13323" t="s">
        <v>47121</v>
      </c>
      <c r="K13323" t="s">
        <v>47113</v>
      </c>
      <c r="L13323">
        <v>36.1</v>
      </c>
      <c r="M13323">
        <v>51</v>
      </c>
      <c r="N13323">
        <v>0</v>
      </c>
      <c r="O13323">
        <v>51</v>
      </c>
      <c r="P13323">
        <v>0</v>
      </c>
    </row>
    <row r="13324" spans="1:16" x14ac:dyDescent="0.25">
      <c r="A13324" t="s">
        <v>36242</v>
      </c>
      <c r="B13324" t="s">
        <v>15710</v>
      </c>
      <c r="C13324" t="s">
        <v>15711</v>
      </c>
      <c r="D13324" t="s">
        <v>15712</v>
      </c>
      <c r="E13324" t="s">
        <v>15713</v>
      </c>
      <c r="F13324" t="s">
        <v>3670</v>
      </c>
      <c r="G13324" t="s">
        <v>47072</v>
      </c>
      <c r="H13324" t="s">
        <v>47071</v>
      </c>
      <c r="I13324" t="s">
        <v>47120</v>
      </c>
      <c r="J13324" t="s">
        <v>47121</v>
      </c>
      <c r="K13324" t="s">
        <v>47113</v>
      </c>
      <c r="L13324">
        <v>41.7</v>
      </c>
      <c r="M13324">
        <v>59</v>
      </c>
      <c r="N13324">
        <v>0</v>
      </c>
      <c r="O13324">
        <v>59</v>
      </c>
      <c r="P13324">
        <v>0</v>
      </c>
    </row>
    <row r="13325" spans="1:16" x14ac:dyDescent="0.25">
      <c r="A13325" t="s">
        <v>36243</v>
      </c>
      <c r="B13325" t="s">
        <v>15714</v>
      </c>
      <c r="C13325" t="s">
        <v>15715</v>
      </c>
      <c r="D13325" t="s">
        <v>15716</v>
      </c>
      <c r="E13325" t="s">
        <v>15717</v>
      </c>
      <c r="F13325" t="s">
        <v>3670</v>
      </c>
      <c r="G13325" t="s">
        <v>47135</v>
      </c>
      <c r="H13325" t="s">
        <v>47071</v>
      </c>
      <c r="I13325" t="s">
        <v>47120</v>
      </c>
      <c r="J13325" t="s">
        <v>47121</v>
      </c>
      <c r="K13325" t="s">
        <v>47113</v>
      </c>
      <c r="L13325">
        <v>13.72</v>
      </c>
      <c r="M13325">
        <v>20</v>
      </c>
      <c r="N13325">
        <v>0</v>
      </c>
      <c r="O13325">
        <v>20</v>
      </c>
      <c r="P13325">
        <v>0</v>
      </c>
    </row>
    <row r="13326" spans="1:16" x14ac:dyDescent="0.25">
      <c r="A13326" t="s">
        <v>36244</v>
      </c>
      <c r="B13326" t="s">
        <v>15718</v>
      </c>
      <c r="C13326" t="s">
        <v>15719</v>
      </c>
      <c r="D13326" t="s">
        <v>15716</v>
      </c>
      <c r="E13326" t="s">
        <v>15717</v>
      </c>
      <c r="F13326" t="s">
        <v>3670</v>
      </c>
      <c r="G13326" t="s">
        <v>47072</v>
      </c>
      <c r="H13326" t="s">
        <v>47071</v>
      </c>
      <c r="I13326" t="s">
        <v>47120</v>
      </c>
      <c r="J13326" t="s">
        <v>47121</v>
      </c>
      <c r="K13326" t="s">
        <v>47113</v>
      </c>
      <c r="L13326">
        <v>19.309999999999999</v>
      </c>
      <c r="M13326">
        <v>28</v>
      </c>
      <c r="N13326">
        <v>0</v>
      </c>
      <c r="O13326">
        <v>28</v>
      </c>
      <c r="P13326">
        <v>0</v>
      </c>
    </row>
    <row r="13327" spans="1:16" x14ac:dyDescent="0.25">
      <c r="A13327" t="s">
        <v>36245</v>
      </c>
      <c r="B13327" t="s">
        <v>15720</v>
      </c>
      <c r="C13327" t="s">
        <v>15721</v>
      </c>
      <c r="D13327" t="s">
        <v>15722</v>
      </c>
      <c r="E13327" t="s">
        <v>15723</v>
      </c>
      <c r="F13327" t="s">
        <v>3670</v>
      </c>
      <c r="G13327" t="s">
        <v>47072</v>
      </c>
      <c r="H13327" t="s">
        <v>47071</v>
      </c>
      <c r="I13327" t="s">
        <v>47120</v>
      </c>
      <c r="J13327" t="s">
        <v>47121</v>
      </c>
      <c r="K13327" t="s">
        <v>47113</v>
      </c>
      <c r="L13327">
        <v>41.7</v>
      </c>
      <c r="M13327">
        <v>59</v>
      </c>
      <c r="N13327">
        <v>0</v>
      </c>
      <c r="O13327">
        <v>59</v>
      </c>
      <c r="P13327">
        <v>0</v>
      </c>
    </row>
    <row r="13328" spans="1:16" x14ac:dyDescent="0.25">
      <c r="A13328" t="s">
        <v>36246</v>
      </c>
      <c r="B13328" t="s">
        <v>15724</v>
      </c>
      <c r="C13328" t="s">
        <v>15725</v>
      </c>
      <c r="D13328" t="s">
        <v>15698</v>
      </c>
      <c r="E13328" t="s">
        <v>15699</v>
      </c>
      <c r="F13328" t="s">
        <v>3670</v>
      </c>
      <c r="G13328" t="s">
        <v>47079</v>
      </c>
      <c r="H13328" t="s">
        <v>47071</v>
      </c>
      <c r="I13328" t="s">
        <v>47120</v>
      </c>
      <c r="J13328" t="s">
        <v>47121</v>
      </c>
      <c r="K13328" t="s">
        <v>47113</v>
      </c>
      <c r="L13328">
        <v>16.52</v>
      </c>
      <c r="M13328">
        <v>24</v>
      </c>
      <c r="N13328">
        <v>0</v>
      </c>
      <c r="O13328">
        <v>24</v>
      </c>
      <c r="P13328">
        <v>0</v>
      </c>
    </row>
    <row r="13329" spans="1:16" x14ac:dyDescent="0.25">
      <c r="A13329" t="s">
        <v>36247</v>
      </c>
      <c r="B13329" t="s">
        <v>15726</v>
      </c>
      <c r="C13329" t="s">
        <v>15727</v>
      </c>
      <c r="D13329" t="s">
        <v>15728</v>
      </c>
      <c r="E13329" t="s">
        <v>15729</v>
      </c>
      <c r="F13329" t="s">
        <v>3670</v>
      </c>
      <c r="G13329" t="s">
        <v>47076</v>
      </c>
      <c r="H13329" t="s">
        <v>47071</v>
      </c>
      <c r="I13329" t="s">
        <v>47120</v>
      </c>
      <c r="J13329" t="s">
        <v>47121</v>
      </c>
      <c r="K13329" t="s">
        <v>47113</v>
      </c>
      <c r="L13329">
        <v>27.71</v>
      </c>
      <c r="M13329">
        <v>39</v>
      </c>
      <c r="N13329">
        <v>0</v>
      </c>
      <c r="O13329">
        <v>39</v>
      </c>
      <c r="P13329">
        <v>0</v>
      </c>
    </row>
    <row r="13330" spans="1:16" x14ac:dyDescent="0.25">
      <c r="A13330" t="s">
        <v>36248</v>
      </c>
      <c r="B13330" t="s">
        <v>15730</v>
      </c>
      <c r="C13330" t="s">
        <v>15731</v>
      </c>
      <c r="D13330" t="s">
        <v>15651</v>
      </c>
      <c r="E13330" t="s">
        <v>15652</v>
      </c>
      <c r="F13330" t="s">
        <v>3670</v>
      </c>
      <c r="G13330" t="s">
        <v>48601</v>
      </c>
      <c r="H13330" t="s">
        <v>47071</v>
      </c>
      <c r="I13330" t="s">
        <v>47120</v>
      </c>
      <c r="J13330" t="s">
        <v>47121</v>
      </c>
      <c r="K13330" t="s">
        <v>47113</v>
      </c>
      <c r="L13330">
        <v>8.4</v>
      </c>
      <c r="M13330">
        <v>12</v>
      </c>
      <c r="N13330">
        <v>0</v>
      </c>
      <c r="O13330">
        <v>12</v>
      </c>
      <c r="P13330">
        <v>0</v>
      </c>
    </row>
    <row r="13331" spans="1:16" x14ac:dyDescent="0.25">
      <c r="A13331" t="s">
        <v>36249</v>
      </c>
      <c r="B13331" t="s">
        <v>15730</v>
      </c>
      <c r="C13331" t="s">
        <v>15731</v>
      </c>
      <c r="D13331" t="s">
        <v>14429</v>
      </c>
      <c r="E13331" t="s">
        <v>60</v>
      </c>
      <c r="F13331" t="s">
        <v>3670</v>
      </c>
      <c r="G13331" t="s">
        <v>48601</v>
      </c>
      <c r="H13331" t="s">
        <v>47071</v>
      </c>
      <c r="I13331" t="s">
        <v>47120</v>
      </c>
      <c r="J13331" t="s">
        <v>47121</v>
      </c>
      <c r="K13331" t="s">
        <v>47113</v>
      </c>
      <c r="L13331">
        <v>8.4</v>
      </c>
      <c r="M13331">
        <v>12</v>
      </c>
      <c r="N13331">
        <v>0</v>
      </c>
      <c r="O13331">
        <v>12</v>
      </c>
      <c r="P13331">
        <v>0</v>
      </c>
    </row>
    <row r="13332" spans="1:16" x14ac:dyDescent="0.25">
      <c r="A13332" t="s">
        <v>36250</v>
      </c>
      <c r="B13332" t="s">
        <v>15732</v>
      </c>
      <c r="C13332" t="s">
        <v>15733</v>
      </c>
      <c r="D13332" t="s">
        <v>15734</v>
      </c>
      <c r="E13332" t="s">
        <v>15735</v>
      </c>
      <c r="F13332" t="s">
        <v>3670</v>
      </c>
      <c r="G13332" t="s">
        <v>47077</v>
      </c>
      <c r="H13332" t="s">
        <v>47071</v>
      </c>
      <c r="I13332" t="s">
        <v>47120</v>
      </c>
      <c r="J13332" t="s">
        <v>47121</v>
      </c>
      <c r="K13332" t="s">
        <v>47113</v>
      </c>
      <c r="L13332">
        <v>16.52</v>
      </c>
      <c r="M13332">
        <v>24</v>
      </c>
      <c r="N13332">
        <v>0</v>
      </c>
      <c r="O13332">
        <v>24</v>
      </c>
      <c r="P13332">
        <v>0</v>
      </c>
    </row>
    <row r="13333" spans="1:16" x14ac:dyDescent="0.25">
      <c r="A13333" t="s">
        <v>36251</v>
      </c>
      <c r="B13333" t="s">
        <v>15736</v>
      </c>
      <c r="C13333" t="s">
        <v>15737</v>
      </c>
      <c r="D13333" t="s">
        <v>15695</v>
      </c>
      <c r="E13333" t="s">
        <v>15696</v>
      </c>
      <c r="F13333" t="s">
        <v>3670</v>
      </c>
      <c r="G13333" t="s">
        <v>47080</v>
      </c>
      <c r="H13333" t="s">
        <v>47071</v>
      </c>
      <c r="I13333" t="s">
        <v>47120</v>
      </c>
      <c r="J13333" t="s">
        <v>47121</v>
      </c>
      <c r="K13333" t="s">
        <v>47113</v>
      </c>
      <c r="L13333">
        <v>16.52</v>
      </c>
      <c r="M13333">
        <v>24</v>
      </c>
      <c r="N13333">
        <v>0</v>
      </c>
      <c r="O13333">
        <v>24</v>
      </c>
      <c r="P13333">
        <v>0</v>
      </c>
    </row>
    <row r="13334" spans="1:16" x14ac:dyDescent="0.25">
      <c r="A13334" t="s">
        <v>36252</v>
      </c>
      <c r="B13334" t="s">
        <v>15738</v>
      </c>
      <c r="C13334" t="s">
        <v>15739</v>
      </c>
      <c r="D13334" t="s">
        <v>15740</v>
      </c>
      <c r="E13334" t="s">
        <v>42</v>
      </c>
      <c r="F13334" t="s">
        <v>3670</v>
      </c>
      <c r="G13334" t="s">
        <v>47073</v>
      </c>
      <c r="H13334" t="s">
        <v>47071</v>
      </c>
      <c r="I13334" t="s">
        <v>47120</v>
      </c>
      <c r="J13334" t="s">
        <v>47121</v>
      </c>
      <c r="K13334" t="s">
        <v>47113</v>
      </c>
      <c r="L13334">
        <v>8.4</v>
      </c>
      <c r="M13334">
        <v>12</v>
      </c>
      <c r="N13334">
        <v>0</v>
      </c>
      <c r="O13334">
        <v>12</v>
      </c>
      <c r="P13334">
        <v>0</v>
      </c>
    </row>
    <row r="13335" spans="1:16" x14ac:dyDescent="0.25">
      <c r="A13335" t="s">
        <v>36253</v>
      </c>
      <c r="B13335" t="s">
        <v>15738</v>
      </c>
      <c r="C13335" t="s">
        <v>15739</v>
      </c>
      <c r="D13335" t="s">
        <v>14429</v>
      </c>
      <c r="E13335" t="s">
        <v>60</v>
      </c>
      <c r="F13335" t="s">
        <v>3670</v>
      </c>
      <c r="G13335" t="s">
        <v>47073</v>
      </c>
      <c r="H13335" t="s">
        <v>47071</v>
      </c>
      <c r="I13335" t="s">
        <v>47120</v>
      </c>
      <c r="J13335" t="s">
        <v>47121</v>
      </c>
      <c r="K13335" t="s">
        <v>47113</v>
      </c>
      <c r="L13335">
        <v>8.4</v>
      </c>
      <c r="M13335">
        <v>12</v>
      </c>
      <c r="N13335">
        <v>0</v>
      </c>
      <c r="O13335">
        <v>12</v>
      </c>
      <c r="P13335">
        <v>0</v>
      </c>
    </row>
    <row r="13336" spans="1:16" x14ac:dyDescent="0.25">
      <c r="A13336" t="s">
        <v>36254</v>
      </c>
      <c r="B13336" t="s">
        <v>15741</v>
      </c>
      <c r="C13336" t="s">
        <v>15742</v>
      </c>
      <c r="D13336" t="s">
        <v>15651</v>
      </c>
      <c r="E13336" t="s">
        <v>15652</v>
      </c>
      <c r="F13336" t="s">
        <v>3670</v>
      </c>
      <c r="G13336" t="s">
        <v>47073</v>
      </c>
      <c r="H13336" t="s">
        <v>47071</v>
      </c>
      <c r="I13336" t="s">
        <v>47120</v>
      </c>
      <c r="J13336" t="s">
        <v>47121</v>
      </c>
      <c r="K13336" t="s">
        <v>47113</v>
      </c>
      <c r="L13336">
        <v>9.8000000000000007</v>
      </c>
      <c r="M13336">
        <v>14</v>
      </c>
      <c r="N13336">
        <v>0</v>
      </c>
      <c r="O13336">
        <v>14</v>
      </c>
      <c r="P13336">
        <v>0</v>
      </c>
    </row>
    <row r="13337" spans="1:16" x14ac:dyDescent="0.25">
      <c r="A13337" t="s">
        <v>36255</v>
      </c>
      <c r="B13337" t="s">
        <v>15743</v>
      </c>
      <c r="C13337" t="s">
        <v>15744</v>
      </c>
      <c r="D13337" t="s">
        <v>15745</v>
      </c>
      <c r="E13337" t="s">
        <v>15746</v>
      </c>
      <c r="F13337" t="s">
        <v>3670</v>
      </c>
      <c r="G13337" t="s">
        <v>47073</v>
      </c>
      <c r="H13337" t="s">
        <v>47071</v>
      </c>
      <c r="I13337" t="s">
        <v>47120</v>
      </c>
      <c r="J13337" t="s">
        <v>47121</v>
      </c>
      <c r="K13337" t="s">
        <v>47113</v>
      </c>
      <c r="L13337">
        <v>9.8000000000000007</v>
      </c>
      <c r="M13337">
        <v>14</v>
      </c>
      <c r="N13337">
        <v>0</v>
      </c>
      <c r="O13337">
        <v>14</v>
      </c>
      <c r="P13337">
        <v>0</v>
      </c>
    </row>
    <row r="13338" spans="1:16" x14ac:dyDescent="0.25">
      <c r="A13338" t="s">
        <v>36256</v>
      </c>
      <c r="B13338" t="s">
        <v>15747</v>
      </c>
      <c r="C13338" t="s">
        <v>15748</v>
      </c>
      <c r="D13338" t="s">
        <v>15654</v>
      </c>
      <c r="E13338" t="s">
        <v>15655</v>
      </c>
      <c r="F13338" t="s">
        <v>3670</v>
      </c>
      <c r="G13338" t="s">
        <v>47073</v>
      </c>
      <c r="H13338" t="s">
        <v>47071</v>
      </c>
      <c r="I13338" t="s">
        <v>47120</v>
      </c>
      <c r="J13338" t="s">
        <v>47121</v>
      </c>
      <c r="K13338" t="s">
        <v>47113</v>
      </c>
      <c r="L13338">
        <v>9.8000000000000007</v>
      </c>
      <c r="M13338">
        <v>14</v>
      </c>
      <c r="N13338">
        <v>0</v>
      </c>
      <c r="O13338">
        <v>14</v>
      </c>
      <c r="P13338">
        <v>0</v>
      </c>
    </row>
    <row r="13339" spans="1:16" x14ac:dyDescent="0.25">
      <c r="A13339" t="s">
        <v>36257</v>
      </c>
      <c r="B13339" t="s">
        <v>15747</v>
      </c>
      <c r="C13339" t="s">
        <v>15748</v>
      </c>
      <c r="D13339" t="s">
        <v>15749</v>
      </c>
      <c r="E13339" t="s">
        <v>15750</v>
      </c>
      <c r="F13339" t="s">
        <v>3670</v>
      </c>
      <c r="G13339" t="s">
        <v>47073</v>
      </c>
      <c r="H13339" t="s">
        <v>47071</v>
      </c>
      <c r="I13339" t="s">
        <v>47120</v>
      </c>
      <c r="J13339" t="s">
        <v>47121</v>
      </c>
      <c r="K13339" t="s">
        <v>47113</v>
      </c>
      <c r="L13339">
        <v>9.8000000000000007</v>
      </c>
      <c r="M13339">
        <v>14</v>
      </c>
      <c r="N13339">
        <v>0</v>
      </c>
      <c r="O13339">
        <v>14</v>
      </c>
      <c r="P13339">
        <v>0</v>
      </c>
    </row>
    <row r="13340" spans="1:16" x14ac:dyDescent="0.25">
      <c r="A13340" t="s">
        <v>36258</v>
      </c>
      <c r="B13340" t="s">
        <v>15751</v>
      </c>
      <c r="C13340" t="s">
        <v>15739</v>
      </c>
      <c r="D13340" t="s">
        <v>15752</v>
      </c>
      <c r="E13340" t="s">
        <v>15753</v>
      </c>
      <c r="F13340" t="s">
        <v>3670</v>
      </c>
      <c r="G13340" t="s">
        <v>47073</v>
      </c>
      <c r="H13340" t="s">
        <v>47071</v>
      </c>
      <c r="I13340" t="s">
        <v>47120</v>
      </c>
      <c r="J13340" t="s">
        <v>47121</v>
      </c>
      <c r="K13340" t="s">
        <v>47113</v>
      </c>
      <c r="L13340">
        <v>8.3800000000000008</v>
      </c>
      <c r="M13340">
        <v>12</v>
      </c>
      <c r="N13340">
        <v>0</v>
      </c>
      <c r="O13340">
        <v>12</v>
      </c>
      <c r="P13340">
        <v>0</v>
      </c>
    </row>
    <row r="13341" spans="1:16" x14ac:dyDescent="0.25">
      <c r="A13341" t="s">
        <v>36259</v>
      </c>
      <c r="B13341" t="s">
        <v>15751</v>
      </c>
      <c r="C13341" t="s">
        <v>15739</v>
      </c>
      <c r="D13341" t="s">
        <v>15651</v>
      </c>
      <c r="E13341" t="s">
        <v>15652</v>
      </c>
      <c r="F13341" t="s">
        <v>3670</v>
      </c>
      <c r="G13341" t="s">
        <v>47073</v>
      </c>
      <c r="H13341" t="s">
        <v>47071</v>
      </c>
      <c r="I13341" t="s">
        <v>47120</v>
      </c>
      <c r="J13341" t="s">
        <v>47121</v>
      </c>
      <c r="K13341" t="s">
        <v>47113</v>
      </c>
      <c r="L13341">
        <v>8.3800000000000008</v>
      </c>
      <c r="M13341">
        <v>12</v>
      </c>
      <c r="N13341">
        <v>0</v>
      </c>
      <c r="O13341">
        <v>12</v>
      </c>
      <c r="P13341">
        <v>0</v>
      </c>
    </row>
    <row r="13342" spans="1:16" x14ac:dyDescent="0.25">
      <c r="A13342" t="s">
        <v>36260</v>
      </c>
      <c r="B13342" t="s">
        <v>15754</v>
      </c>
      <c r="C13342" t="s">
        <v>15755</v>
      </c>
      <c r="D13342" t="s">
        <v>15756</v>
      </c>
      <c r="E13342" t="s">
        <v>15757</v>
      </c>
      <c r="F13342" t="s">
        <v>3670</v>
      </c>
      <c r="G13342" t="s">
        <v>47073</v>
      </c>
      <c r="H13342" t="s">
        <v>47071</v>
      </c>
      <c r="I13342" t="s">
        <v>47120</v>
      </c>
      <c r="J13342" t="s">
        <v>47121</v>
      </c>
      <c r="K13342" t="s">
        <v>47113</v>
      </c>
      <c r="L13342">
        <v>10.92</v>
      </c>
      <c r="M13342">
        <v>16</v>
      </c>
      <c r="N13342">
        <v>0</v>
      </c>
      <c r="O13342">
        <v>16</v>
      </c>
      <c r="P13342">
        <v>0</v>
      </c>
    </row>
    <row r="13343" spans="1:16" x14ac:dyDescent="0.25">
      <c r="A13343" t="s">
        <v>36261</v>
      </c>
      <c r="B13343" t="s">
        <v>15754</v>
      </c>
      <c r="C13343" t="s">
        <v>15755</v>
      </c>
      <c r="D13343" t="s">
        <v>15654</v>
      </c>
      <c r="E13343" t="s">
        <v>15655</v>
      </c>
      <c r="F13343" t="s">
        <v>3670</v>
      </c>
      <c r="G13343" t="s">
        <v>47073</v>
      </c>
      <c r="H13343" t="s">
        <v>47071</v>
      </c>
      <c r="I13343" t="s">
        <v>47120</v>
      </c>
      <c r="J13343" t="s">
        <v>47121</v>
      </c>
      <c r="K13343" t="s">
        <v>47113</v>
      </c>
      <c r="L13343">
        <v>10.92</v>
      </c>
      <c r="M13343">
        <v>16</v>
      </c>
      <c r="N13343">
        <v>0</v>
      </c>
      <c r="O13343">
        <v>16</v>
      </c>
      <c r="P13343">
        <v>0</v>
      </c>
    </row>
    <row r="13344" spans="1:16" x14ac:dyDescent="0.25">
      <c r="A13344" t="s">
        <v>36262</v>
      </c>
      <c r="B13344" t="s">
        <v>15758</v>
      </c>
      <c r="C13344" t="s">
        <v>15759</v>
      </c>
      <c r="D13344" t="s">
        <v>15702</v>
      </c>
      <c r="E13344" t="s">
        <v>15703</v>
      </c>
      <c r="F13344" t="s">
        <v>3670</v>
      </c>
      <c r="G13344" t="s">
        <v>47075</v>
      </c>
      <c r="H13344" t="s">
        <v>47071</v>
      </c>
      <c r="I13344" t="s">
        <v>47120</v>
      </c>
      <c r="J13344" t="s">
        <v>47121</v>
      </c>
      <c r="K13344" t="s">
        <v>47113</v>
      </c>
      <c r="L13344">
        <v>24.91</v>
      </c>
      <c r="M13344">
        <v>36</v>
      </c>
      <c r="N13344">
        <v>0</v>
      </c>
      <c r="O13344">
        <v>36</v>
      </c>
      <c r="P13344">
        <v>0</v>
      </c>
    </row>
    <row r="13345" spans="1:16" x14ac:dyDescent="0.25">
      <c r="A13345" t="s">
        <v>36263</v>
      </c>
      <c r="B13345" t="s">
        <v>15760</v>
      </c>
      <c r="C13345" t="s">
        <v>15761</v>
      </c>
      <c r="D13345" t="s">
        <v>15651</v>
      </c>
      <c r="E13345" t="s">
        <v>15652</v>
      </c>
      <c r="F13345" t="s">
        <v>3670</v>
      </c>
      <c r="G13345" t="s">
        <v>47135</v>
      </c>
      <c r="H13345" t="s">
        <v>47071</v>
      </c>
      <c r="I13345" t="s">
        <v>47120</v>
      </c>
      <c r="J13345" t="s">
        <v>47121</v>
      </c>
      <c r="K13345" t="s">
        <v>47113</v>
      </c>
      <c r="L13345">
        <v>19.309999999999999</v>
      </c>
      <c r="M13345">
        <v>28</v>
      </c>
      <c r="N13345">
        <v>0</v>
      </c>
      <c r="O13345">
        <v>28</v>
      </c>
      <c r="P13345">
        <v>0</v>
      </c>
    </row>
    <row r="13346" spans="1:16" x14ac:dyDescent="0.25">
      <c r="A13346" t="s">
        <v>46772</v>
      </c>
      <c r="B13346" t="s">
        <v>46773</v>
      </c>
      <c r="C13346" t="s">
        <v>48602</v>
      </c>
      <c r="D13346" t="s">
        <v>18070</v>
      </c>
      <c r="E13346" t="s">
        <v>814</v>
      </c>
      <c r="F13346" t="s">
        <v>27965</v>
      </c>
      <c r="G13346" t="s">
        <v>47086</v>
      </c>
      <c r="H13346" t="s">
        <v>47071</v>
      </c>
      <c r="I13346" t="s">
        <v>47120</v>
      </c>
      <c r="J13346" t="s">
        <v>47121</v>
      </c>
      <c r="K13346" t="s">
        <v>47113</v>
      </c>
      <c r="L13346">
        <v>21.9</v>
      </c>
      <c r="M13346">
        <v>56</v>
      </c>
      <c r="N13346">
        <v>139</v>
      </c>
      <c r="O13346">
        <v>56</v>
      </c>
      <c r="P13346">
        <v>139</v>
      </c>
    </row>
    <row r="13347" spans="1:16" x14ac:dyDescent="0.25">
      <c r="A13347" t="s">
        <v>46774</v>
      </c>
      <c r="B13347" t="s">
        <v>46775</v>
      </c>
      <c r="C13347" t="s">
        <v>48603</v>
      </c>
      <c r="D13347" t="s">
        <v>18070</v>
      </c>
      <c r="E13347" t="s">
        <v>814</v>
      </c>
      <c r="F13347" t="s">
        <v>27965</v>
      </c>
      <c r="G13347" t="s">
        <v>47086</v>
      </c>
      <c r="H13347" t="s">
        <v>47071</v>
      </c>
      <c r="I13347" t="s">
        <v>47120</v>
      </c>
      <c r="J13347" t="s">
        <v>47121</v>
      </c>
      <c r="K13347" t="s">
        <v>47113</v>
      </c>
      <c r="L13347">
        <v>24.67</v>
      </c>
      <c r="M13347">
        <v>56</v>
      </c>
      <c r="N13347">
        <v>139</v>
      </c>
      <c r="O13347">
        <v>56</v>
      </c>
      <c r="P13347">
        <v>139</v>
      </c>
    </row>
    <row r="13348" spans="1:16" x14ac:dyDescent="0.25">
      <c r="A13348" t="s">
        <v>46971</v>
      </c>
      <c r="B13348" t="s">
        <v>46776</v>
      </c>
      <c r="C13348" t="s">
        <v>46771</v>
      </c>
      <c r="D13348" t="s">
        <v>18070</v>
      </c>
      <c r="E13348" t="s">
        <v>814</v>
      </c>
      <c r="F13348" t="s">
        <v>27965</v>
      </c>
      <c r="G13348" t="s">
        <v>47086</v>
      </c>
      <c r="H13348" t="s">
        <v>47071</v>
      </c>
      <c r="I13348" t="s">
        <v>47120</v>
      </c>
      <c r="J13348" t="s">
        <v>47121</v>
      </c>
      <c r="K13348" t="s">
        <v>47113</v>
      </c>
      <c r="L13348">
        <v>24.67</v>
      </c>
      <c r="M13348">
        <v>56</v>
      </c>
      <c r="N13348">
        <v>139</v>
      </c>
      <c r="O13348">
        <v>56</v>
      </c>
      <c r="P13348">
        <v>139</v>
      </c>
    </row>
    <row r="13349" spans="1:16" x14ac:dyDescent="0.25">
      <c r="A13349" t="s">
        <v>48604</v>
      </c>
      <c r="B13349" t="s">
        <v>48605</v>
      </c>
      <c r="C13349" t="s">
        <v>48600</v>
      </c>
      <c r="D13349" t="s">
        <v>14429</v>
      </c>
      <c r="E13349" t="s">
        <v>60</v>
      </c>
      <c r="F13349" t="s">
        <v>47325</v>
      </c>
      <c r="G13349" t="s">
        <v>47086</v>
      </c>
      <c r="H13349" t="s">
        <v>47071</v>
      </c>
      <c r="I13349" t="s">
        <v>47120</v>
      </c>
      <c r="J13349" t="s">
        <v>47121</v>
      </c>
      <c r="K13349" t="s">
        <v>47113</v>
      </c>
      <c r="L13349">
        <v>22.45</v>
      </c>
      <c r="M13349">
        <v>52</v>
      </c>
      <c r="N13349">
        <v>129</v>
      </c>
      <c r="O13349">
        <v>52</v>
      </c>
      <c r="P13349">
        <v>129</v>
      </c>
    </row>
    <row r="13350" spans="1:16" x14ac:dyDescent="0.25">
      <c r="A13350" t="s">
        <v>48606</v>
      </c>
      <c r="B13350" t="s">
        <v>48607</v>
      </c>
      <c r="C13350" t="s">
        <v>48608</v>
      </c>
      <c r="D13350" t="s">
        <v>36030</v>
      </c>
      <c r="E13350" t="s">
        <v>36031</v>
      </c>
      <c r="F13350" t="s">
        <v>47325</v>
      </c>
      <c r="G13350" t="s">
        <v>47086</v>
      </c>
      <c r="H13350" t="s">
        <v>47071</v>
      </c>
      <c r="I13350" t="s">
        <v>47120</v>
      </c>
      <c r="J13350" t="s">
        <v>47121</v>
      </c>
      <c r="K13350" t="s">
        <v>47113</v>
      </c>
      <c r="L13350">
        <v>22.45</v>
      </c>
      <c r="M13350">
        <v>52</v>
      </c>
      <c r="N13350">
        <v>129</v>
      </c>
      <c r="O13350">
        <v>52</v>
      </c>
      <c r="P13350">
        <v>129</v>
      </c>
    </row>
    <row r="13351" spans="1:16" x14ac:dyDescent="0.25">
      <c r="A13351" t="s">
        <v>36264</v>
      </c>
      <c r="B13351" t="s">
        <v>9511</v>
      </c>
      <c r="C13351" t="s">
        <v>9512</v>
      </c>
      <c r="D13351" t="s">
        <v>9513</v>
      </c>
      <c r="E13351" t="s">
        <v>9514</v>
      </c>
      <c r="F13351" t="s">
        <v>2068</v>
      </c>
      <c r="G13351" t="s">
        <v>47075</v>
      </c>
      <c r="H13351" t="s">
        <v>47071</v>
      </c>
      <c r="I13351" t="s">
        <v>47118</v>
      </c>
      <c r="J13351" t="s">
        <v>47119</v>
      </c>
      <c r="K13351" t="s">
        <v>47113</v>
      </c>
      <c r="L13351">
        <v>19.03</v>
      </c>
      <c r="M13351">
        <v>44</v>
      </c>
      <c r="N13351">
        <v>0</v>
      </c>
      <c r="O13351">
        <v>44</v>
      </c>
      <c r="P13351">
        <v>0</v>
      </c>
    </row>
    <row r="13352" spans="1:16" x14ac:dyDescent="0.25">
      <c r="A13352" t="s">
        <v>36265</v>
      </c>
      <c r="B13352" t="s">
        <v>9515</v>
      </c>
      <c r="C13352" t="s">
        <v>2723</v>
      </c>
      <c r="D13352" t="str">
        <f>"2375"</f>
        <v>2375</v>
      </c>
      <c r="E13352" t="s">
        <v>7758</v>
      </c>
      <c r="F13352" t="s">
        <v>2068</v>
      </c>
      <c r="G13352" t="s">
        <v>47077</v>
      </c>
      <c r="H13352" t="s">
        <v>47071</v>
      </c>
      <c r="I13352" t="s">
        <v>47120</v>
      </c>
      <c r="J13352" t="s">
        <v>47121</v>
      </c>
      <c r="K13352" t="s">
        <v>47113</v>
      </c>
      <c r="L13352">
        <v>21.79</v>
      </c>
      <c r="M13352">
        <v>50</v>
      </c>
      <c r="N13352">
        <v>0</v>
      </c>
      <c r="O13352">
        <v>50</v>
      </c>
      <c r="P13352">
        <v>0</v>
      </c>
    </row>
    <row r="13353" spans="1:16" x14ac:dyDescent="0.25">
      <c r="A13353" t="s">
        <v>36266</v>
      </c>
      <c r="B13353" t="s">
        <v>9515</v>
      </c>
      <c r="C13353" t="s">
        <v>2723</v>
      </c>
      <c r="D13353" t="str">
        <f>"9614"</f>
        <v>9614</v>
      </c>
      <c r="E13353" t="s">
        <v>2314</v>
      </c>
      <c r="F13353" t="s">
        <v>2068</v>
      </c>
      <c r="G13353" t="s">
        <v>47077</v>
      </c>
      <c r="H13353" t="s">
        <v>47071</v>
      </c>
      <c r="I13353" t="s">
        <v>47120</v>
      </c>
      <c r="J13353" t="s">
        <v>47121</v>
      </c>
      <c r="K13353" t="s">
        <v>47113</v>
      </c>
      <c r="L13353">
        <v>21.79</v>
      </c>
      <c r="M13353">
        <v>50</v>
      </c>
      <c r="N13353">
        <v>0</v>
      </c>
      <c r="O13353">
        <v>50</v>
      </c>
      <c r="P13353">
        <v>0</v>
      </c>
    </row>
    <row r="13354" spans="1:16" x14ac:dyDescent="0.25">
      <c r="A13354" t="s">
        <v>36267</v>
      </c>
      <c r="B13354" t="s">
        <v>9516</v>
      </c>
      <c r="C13354" t="s">
        <v>9517</v>
      </c>
      <c r="D13354" t="s">
        <v>9518</v>
      </c>
      <c r="E13354" t="s">
        <v>9519</v>
      </c>
      <c r="F13354" t="s">
        <v>2068</v>
      </c>
      <c r="G13354" t="s">
        <v>47072</v>
      </c>
      <c r="H13354" t="s">
        <v>47071</v>
      </c>
      <c r="I13354" t="s">
        <v>47120</v>
      </c>
      <c r="J13354" t="s">
        <v>47121</v>
      </c>
      <c r="K13354" t="s">
        <v>47113</v>
      </c>
      <c r="L13354">
        <v>31.45</v>
      </c>
      <c r="M13354">
        <v>73</v>
      </c>
      <c r="N13354">
        <v>0</v>
      </c>
      <c r="O13354">
        <v>73</v>
      </c>
      <c r="P13354">
        <v>0</v>
      </c>
    </row>
    <row r="13355" spans="1:16" x14ac:dyDescent="0.25">
      <c r="A13355" t="s">
        <v>36268</v>
      </c>
      <c r="B13355" t="s">
        <v>9516</v>
      </c>
      <c r="C13355" t="s">
        <v>9517</v>
      </c>
      <c r="D13355" t="s">
        <v>9520</v>
      </c>
      <c r="E13355" t="s">
        <v>9521</v>
      </c>
      <c r="F13355" t="s">
        <v>2068</v>
      </c>
      <c r="G13355" t="s">
        <v>47072</v>
      </c>
      <c r="H13355" t="s">
        <v>47071</v>
      </c>
      <c r="I13355" t="s">
        <v>47120</v>
      </c>
      <c r="J13355" t="s">
        <v>47121</v>
      </c>
      <c r="K13355" t="s">
        <v>47113</v>
      </c>
      <c r="L13355">
        <v>31.45</v>
      </c>
      <c r="M13355">
        <v>73</v>
      </c>
      <c r="N13355">
        <v>0</v>
      </c>
      <c r="O13355">
        <v>73</v>
      </c>
      <c r="P13355">
        <v>0</v>
      </c>
    </row>
    <row r="13356" spans="1:16" x14ac:dyDescent="0.25">
      <c r="A13356" t="s">
        <v>36269</v>
      </c>
      <c r="B13356" t="s">
        <v>9522</v>
      </c>
      <c r="C13356" t="s">
        <v>19539</v>
      </c>
      <c r="D13356" t="s">
        <v>9523</v>
      </c>
      <c r="E13356" t="s">
        <v>9524</v>
      </c>
      <c r="F13356" t="s">
        <v>2068</v>
      </c>
      <c r="G13356" t="s">
        <v>47072</v>
      </c>
      <c r="H13356" t="s">
        <v>47071</v>
      </c>
      <c r="I13356" t="s">
        <v>47120</v>
      </c>
      <c r="J13356" t="s">
        <v>47121</v>
      </c>
      <c r="K13356" t="s">
        <v>47113</v>
      </c>
      <c r="L13356">
        <v>27.31</v>
      </c>
      <c r="M13356">
        <v>63</v>
      </c>
      <c r="N13356">
        <v>0</v>
      </c>
      <c r="O13356">
        <v>63</v>
      </c>
      <c r="P13356">
        <v>0</v>
      </c>
    </row>
    <row r="13357" spans="1:16" x14ac:dyDescent="0.25">
      <c r="A13357" t="s">
        <v>36270</v>
      </c>
      <c r="B13357" t="s">
        <v>9525</v>
      </c>
      <c r="C13357" t="s">
        <v>2723</v>
      </c>
      <c r="D13357" t="s">
        <v>9526</v>
      </c>
      <c r="E13357" t="s">
        <v>9527</v>
      </c>
      <c r="F13357" t="s">
        <v>2068</v>
      </c>
      <c r="G13357" t="s">
        <v>47072</v>
      </c>
      <c r="H13357" t="s">
        <v>47071</v>
      </c>
      <c r="I13357" t="s">
        <v>47120</v>
      </c>
      <c r="J13357" t="s">
        <v>47121</v>
      </c>
      <c r="K13357" t="s">
        <v>47113</v>
      </c>
      <c r="L13357">
        <v>32.82</v>
      </c>
      <c r="M13357">
        <v>76</v>
      </c>
      <c r="N13357">
        <v>0</v>
      </c>
      <c r="O13357">
        <v>76</v>
      </c>
      <c r="P13357">
        <v>0</v>
      </c>
    </row>
    <row r="13358" spans="1:16" x14ac:dyDescent="0.25">
      <c r="A13358" t="s">
        <v>36271</v>
      </c>
      <c r="B13358" t="s">
        <v>9528</v>
      </c>
      <c r="C13358" t="s">
        <v>4283</v>
      </c>
      <c r="D13358" t="s">
        <v>9529</v>
      </c>
      <c r="E13358" t="s">
        <v>9530</v>
      </c>
      <c r="F13358" t="s">
        <v>2068</v>
      </c>
      <c r="G13358" t="s">
        <v>47072</v>
      </c>
      <c r="H13358" t="s">
        <v>47071</v>
      </c>
      <c r="I13358" t="s">
        <v>47120</v>
      </c>
      <c r="J13358" t="s">
        <v>47121</v>
      </c>
      <c r="K13358" t="s">
        <v>47113</v>
      </c>
      <c r="L13358">
        <v>21.79</v>
      </c>
      <c r="M13358">
        <v>50</v>
      </c>
      <c r="N13358">
        <v>0</v>
      </c>
      <c r="O13358">
        <v>50</v>
      </c>
      <c r="P13358">
        <v>0</v>
      </c>
    </row>
    <row r="13359" spans="1:16" x14ac:dyDescent="0.25">
      <c r="A13359" t="s">
        <v>36272</v>
      </c>
      <c r="B13359" t="s">
        <v>9531</v>
      </c>
      <c r="C13359" t="s">
        <v>3773</v>
      </c>
      <c r="D13359" t="s">
        <v>9532</v>
      </c>
      <c r="E13359" t="s">
        <v>9533</v>
      </c>
      <c r="F13359" t="s">
        <v>2068</v>
      </c>
      <c r="G13359" t="s">
        <v>47072</v>
      </c>
      <c r="H13359" t="s">
        <v>47071</v>
      </c>
      <c r="I13359" t="s">
        <v>47120</v>
      </c>
      <c r="J13359" t="s">
        <v>47121</v>
      </c>
      <c r="K13359" t="s">
        <v>47113</v>
      </c>
      <c r="L13359">
        <v>24.54</v>
      </c>
      <c r="M13359">
        <v>57</v>
      </c>
      <c r="N13359">
        <v>0</v>
      </c>
      <c r="O13359">
        <v>57</v>
      </c>
      <c r="P13359">
        <v>0</v>
      </c>
    </row>
    <row r="13360" spans="1:16" x14ac:dyDescent="0.25">
      <c r="A13360" t="s">
        <v>36273</v>
      </c>
      <c r="B13360" t="s">
        <v>9531</v>
      </c>
      <c r="C13360" t="s">
        <v>3773</v>
      </c>
      <c r="D13360" t="s">
        <v>9534</v>
      </c>
      <c r="E13360" t="s">
        <v>9535</v>
      </c>
      <c r="F13360" t="s">
        <v>2068</v>
      </c>
      <c r="G13360" t="s">
        <v>47072</v>
      </c>
      <c r="H13360" t="s">
        <v>47071</v>
      </c>
      <c r="I13360" t="s">
        <v>47120</v>
      </c>
      <c r="J13360" t="s">
        <v>47121</v>
      </c>
      <c r="K13360" t="s">
        <v>47113</v>
      </c>
      <c r="L13360">
        <v>24.54</v>
      </c>
      <c r="M13360">
        <v>57</v>
      </c>
      <c r="N13360">
        <v>0</v>
      </c>
      <c r="O13360">
        <v>57</v>
      </c>
      <c r="P13360">
        <v>0</v>
      </c>
    </row>
    <row r="13361" spans="1:16" x14ac:dyDescent="0.25">
      <c r="A13361" t="s">
        <v>36274</v>
      </c>
      <c r="B13361" t="s">
        <v>9536</v>
      </c>
      <c r="C13361" t="s">
        <v>9537</v>
      </c>
      <c r="D13361" t="s">
        <v>9538</v>
      </c>
      <c r="E13361" t="s">
        <v>9539</v>
      </c>
      <c r="F13361" t="s">
        <v>2068</v>
      </c>
      <c r="G13361" t="s">
        <v>47072</v>
      </c>
      <c r="H13361" t="s">
        <v>47071</v>
      </c>
      <c r="I13361" t="s">
        <v>47120</v>
      </c>
      <c r="J13361" t="s">
        <v>47121</v>
      </c>
      <c r="K13361" t="s">
        <v>47113</v>
      </c>
      <c r="L13361">
        <v>43.02</v>
      </c>
      <c r="M13361">
        <v>100</v>
      </c>
      <c r="N13361">
        <v>0</v>
      </c>
      <c r="O13361">
        <v>100</v>
      </c>
      <c r="P13361">
        <v>0</v>
      </c>
    </row>
    <row r="13362" spans="1:16" x14ac:dyDescent="0.25">
      <c r="A13362" t="s">
        <v>36275</v>
      </c>
      <c r="B13362" t="s">
        <v>9540</v>
      </c>
      <c r="C13362" t="s">
        <v>9517</v>
      </c>
      <c r="D13362" t="str">
        <f>"1001"</f>
        <v>1001</v>
      </c>
      <c r="E13362" t="s">
        <v>42</v>
      </c>
      <c r="F13362" t="s">
        <v>2068</v>
      </c>
      <c r="G13362" t="s">
        <v>47072</v>
      </c>
      <c r="H13362" t="s">
        <v>47071</v>
      </c>
      <c r="I13362" t="s">
        <v>47120</v>
      </c>
      <c r="J13362" t="s">
        <v>47121</v>
      </c>
      <c r="K13362" t="s">
        <v>47113</v>
      </c>
      <c r="L13362">
        <v>27.04</v>
      </c>
      <c r="M13362">
        <v>63</v>
      </c>
      <c r="N13362">
        <v>0</v>
      </c>
      <c r="O13362">
        <v>63</v>
      </c>
      <c r="P13362">
        <v>0</v>
      </c>
    </row>
    <row r="13363" spans="1:16" x14ac:dyDescent="0.25">
      <c r="A13363" t="s">
        <v>36276</v>
      </c>
      <c r="B13363" t="s">
        <v>9541</v>
      </c>
      <c r="C13363" t="s">
        <v>9542</v>
      </c>
      <c r="D13363" t="str">
        <f>"2686"</f>
        <v>2686</v>
      </c>
      <c r="E13363" t="s">
        <v>9543</v>
      </c>
      <c r="F13363" t="s">
        <v>2068</v>
      </c>
      <c r="G13363" t="s">
        <v>47078</v>
      </c>
      <c r="H13363" t="s">
        <v>47071</v>
      </c>
      <c r="I13363" t="s">
        <v>47118</v>
      </c>
      <c r="J13363" t="s">
        <v>47119</v>
      </c>
      <c r="K13363" t="s">
        <v>47113</v>
      </c>
      <c r="L13363">
        <v>13.51</v>
      </c>
      <c r="M13363">
        <v>31</v>
      </c>
      <c r="N13363">
        <v>0</v>
      </c>
      <c r="O13363">
        <v>31</v>
      </c>
      <c r="P13363">
        <v>0</v>
      </c>
    </row>
    <row r="13364" spans="1:16" x14ac:dyDescent="0.25">
      <c r="A13364" t="s">
        <v>36277</v>
      </c>
      <c r="B13364" t="s">
        <v>9544</v>
      </c>
      <c r="C13364" t="s">
        <v>9545</v>
      </c>
      <c r="D13364" t="str">
        <f>"6492"</f>
        <v>6492</v>
      </c>
      <c r="E13364" t="s">
        <v>9395</v>
      </c>
      <c r="F13364" t="s">
        <v>2068</v>
      </c>
      <c r="G13364" t="s">
        <v>47073</v>
      </c>
      <c r="H13364" t="s">
        <v>47071</v>
      </c>
      <c r="I13364" t="s">
        <v>47118</v>
      </c>
      <c r="J13364" t="s">
        <v>47119</v>
      </c>
      <c r="K13364" t="s">
        <v>47113</v>
      </c>
      <c r="L13364">
        <v>9.66</v>
      </c>
      <c r="M13364">
        <v>22</v>
      </c>
      <c r="N13364">
        <v>0</v>
      </c>
      <c r="O13364">
        <v>22</v>
      </c>
      <c r="P13364">
        <v>0</v>
      </c>
    </row>
    <row r="13365" spans="1:16" x14ac:dyDescent="0.25">
      <c r="A13365" t="s">
        <v>36278</v>
      </c>
      <c r="B13365" t="s">
        <v>9546</v>
      </c>
      <c r="C13365" t="s">
        <v>9545</v>
      </c>
      <c r="D13365" t="str">
        <f>"1001"</f>
        <v>1001</v>
      </c>
      <c r="E13365" t="s">
        <v>42</v>
      </c>
      <c r="F13365" t="s">
        <v>2068</v>
      </c>
      <c r="G13365" t="s">
        <v>47073</v>
      </c>
      <c r="H13365" t="s">
        <v>47071</v>
      </c>
      <c r="I13365" t="s">
        <v>47118</v>
      </c>
      <c r="J13365" t="s">
        <v>47119</v>
      </c>
      <c r="K13365" t="s">
        <v>47113</v>
      </c>
      <c r="L13365">
        <v>9.66</v>
      </c>
      <c r="M13365">
        <v>22</v>
      </c>
      <c r="N13365">
        <v>0</v>
      </c>
      <c r="O13365">
        <v>22</v>
      </c>
      <c r="P13365">
        <v>0</v>
      </c>
    </row>
    <row r="13366" spans="1:16" x14ac:dyDescent="0.25">
      <c r="A13366" t="s">
        <v>36279</v>
      </c>
      <c r="B13366" t="s">
        <v>9547</v>
      </c>
      <c r="C13366" t="s">
        <v>9548</v>
      </c>
      <c r="D13366" t="str">
        <f>"3534"</f>
        <v>3534</v>
      </c>
      <c r="E13366" t="s">
        <v>9549</v>
      </c>
      <c r="F13366" t="s">
        <v>2068</v>
      </c>
      <c r="G13366" t="s">
        <v>47076</v>
      </c>
      <c r="H13366" t="s">
        <v>47071</v>
      </c>
      <c r="I13366" t="s">
        <v>47118</v>
      </c>
      <c r="J13366" t="s">
        <v>47119</v>
      </c>
      <c r="K13366" t="s">
        <v>47113</v>
      </c>
      <c r="L13366">
        <v>27.31</v>
      </c>
      <c r="M13366">
        <v>63</v>
      </c>
      <c r="N13366">
        <v>0</v>
      </c>
      <c r="O13366">
        <v>63</v>
      </c>
      <c r="P13366">
        <v>0</v>
      </c>
    </row>
    <row r="13367" spans="1:16" x14ac:dyDescent="0.25">
      <c r="A13367" t="s">
        <v>36280</v>
      </c>
      <c r="B13367" t="s">
        <v>9550</v>
      </c>
      <c r="C13367" t="s">
        <v>9551</v>
      </c>
      <c r="D13367" t="str">
        <f>"1800"</f>
        <v>1800</v>
      </c>
      <c r="E13367" t="s">
        <v>1999</v>
      </c>
      <c r="F13367" t="s">
        <v>2068</v>
      </c>
      <c r="G13367" t="s">
        <v>47073</v>
      </c>
      <c r="H13367" t="s">
        <v>47071</v>
      </c>
      <c r="I13367" t="s">
        <v>47118</v>
      </c>
      <c r="J13367" t="s">
        <v>47119</v>
      </c>
      <c r="K13367" t="s">
        <v>47113</v>
      </c>
      <c r="L13367">
        <v>8</v>
      </c>
      <c r="M13367">
        <v>18</v>
      </c>
      <c r="N13367">
        <v>0</v>
      </c>
      <c r="O13367">
        <v>18</v>
      </c>
      <c r="P13367">
        <v>0</v>
      </c>
    </row>
    <row r="13368" spans="1:16" x14ac:dyDescent="0.25">
      <c r="A13368" t="s">
        <v>36281</v>
      </c>
      <c r="B13368" t="s">
        <v>9552</v>
      </c>
      <c r="C13368" t="s">
        <v>9551</v>
      </c>
      <c r="D13368" t="str">
        <f>"9614"</f>
        <v>9614</v>
      </c>
      <c r="E13368" t="s">
        <v>2314</v>
      </c>
      <c r="F13368" t="s">
        <v>2068</v>
      </c>
      <c r="G13368" t="s">
        <v>47073</v>
      </c>
      <c r="H13368" t="s">
        <v>47071</v>
      </c>
      <c r="I13368" t="s">
        <v>47118</v>
      </c>
      <c r="J13368" t="s">
        <v>47119</v>
      </c>
      <c r="K13368" t="s">
        <v>47113</v>
      </c>
      <c r="L13368">
        <v>8</v>
      </c>
      <c r="M13368">
        <v>18</v>
      </c>
      <c r="N13368">
        <v>0</v>
      </c>
      <c r="O13368">
        <v>18</v>
      </c>
      <c r="P13368">
        <v>0</v>
      </c>
    </row>
    <row r="13369" spans="1:16" x14ac:dyDescent="0.25">
      <c r="A13369" t="s">
        <v>36282</v>
      </c>
      <c r="B13369" t="s">
        <v>9553</v>
      </c>
      <c r="C13369" t="s">
        <v>9551</v>
      </c>
      <c r="D13369" t="str">
        <f>"1001"</f>
        <v>1001</v>
      </c>
      <c r="E13369" t="s">
        <v>42</v>
      </c>
      <c r="F13369" t="s">
        <v>2068</v>
      </c>
      <c r="G13369" t="s">
        <v>47073</v>
      </c>
      <c r="H13369" t="s">
        <v>47071</v>
      </c>
      <c r="I13369" t="s">
        <v>47118</v>
      </c>
      <c r="J13369" t="s">
        <v>47119</v>
      </c>
      <c r="K13369" t="s">
        <v>47113</v>
      </c>
      <c r="L13369">
        <v>8</v>
      </c>
      <c r="M13369">
        <v>18</v>
      </c>
      <c r="N13369">
        <v>0</v>
      </c>
      <c r="O13369">
        <v>18</v>
      </c>
      <c r="P13369">
        <v>0</v>
      </c>
    </row>
    <row r="13370" spans="1:16" x14ac:dyDescent="0.25">
      <c r="A13370" t="s">
        <v>36283</v>
      </c>
      <c r="B13370" t="s">
        <v>9554</v>
      </c>
      <c r="C13370" t="s">
        <v>9551</v>
      </c>
      <c r="D13370" t="str">
        <f>"1501"</f>
        <v>1501</v>
      </c>
      <c r="E13370" t="s">
        <v>46</v>
      </c>
      <c r="F13370" t="s">
        <v>2068</v>
      </c>
      <c r="G13370" t="s">
        <v>47073</v>
      </c>
      <c r="H13370" t="s">
        <v>47071</v>
      </c>
      <c r="I13370" t="s">
        <v>47118</v>
      </c>
      <c r="J13370" t="s">
        <v>47119</v>
      </c>
      <c r="K13370" t="s">
        <v>47113</v>
      </c>
      <c r="L13370">
        <v>8</v>
      </c>
      <c r="M13370">
        <v>18</v>
      </c>
      <c r="N13370">
        <v>0</v>
      </c>
      <c r="O13370">
        <v>18</v>
      </c>
      <c r="P13370">
        <v>0</v>
      </c>
    </row>
    <row r="13371" spans="1:16" x14ac:dyDescent="0.25">
      <c r="A13371" t="s">
        <v>36284</v>
      </c>
      <c r="B13371" t="s">
        <v>9555</v>
      </c>
      <c r="C13371" t="s">
        <v>9556</v>
      </c>
      <c r="D13371" t="str">
        <f>"9614"</f>
        <v>9614</v>
      </c>
      <c r="E13371" t="s">
        <v>2314</v>
      </c>
      <c r="F13371" t="s">
        <v>2068</v>
      </c>
      <c r="G13371" t="s">
        <v>47073</v>
      </c>
      <c r="H13371" t="s">
        <v>47071</v>
      </c>
      <c r="I13371" t="s">
        <v>47118</v>
      </c>
      <c r="J13371" t="s">
        <v>47119</v>
      </c>
      <c r="K13371" t="s">
        <v>47113</v>
      </c>
      <c r="L13371">
        <v>8</v>
      </c>
      <c r="M13371">
        <v>18</v>
      </c>
      <c r="N13371">
        <v>0</v>
      </c>
      <c r="O13371">
        <v>18</v>
      </c>
      <c r="P13371">
        <v>0</v>
      </c>
    </row>
    <row r="13372" spans="1:16" x14ac:dyDescent="0.25">
      <c r="A13372" t="s">
        <v>36285</v>
      </c>
      <c r="B13372" t="s">
        <v>9557</v>
      </c>
      <c r="C13372" t="s">
        <v>9558</v>
      </c>
      <c r="D13372" t="str">
        <f>"1800"</f>
        <v>1800</v>
      </c>
      <c r="E13372" t="s">
        <v>1999</v>
      </c>
      <c r="F13372" t="s">
        <v>2068</v>
      </c>
      <c r="G13372" t="s">
        <v>47073</v>
      </c>
      <c r="H13372" t="s">
        <v>47071</v>
      </c>
      <c r="I13372" t="s">
        <v>47118</v>
      </c>
      <c r="J13372" t="s">
        <v>47119</v>
      </c>
      <c r="K13372" t="s">
        <v>47113</v>
      </c>
      <c r="L13372">
        <v>8</v>
      </c>
      <c r="M13372">
        <v>18</v>
      </c>
      <c r="N13372">
        <v>0</v>
      </c>
      <c r="O13372">
        <v>18</v>
      </c>
      <c r="P13372">
        <v>0</v>
      </c>
    </row>
    <row r="13373" spans="1:16" x14ac:dyDescent="0.25">
      <c r="A13373" t="s">
        <v>36286</v>
      </c>
      <c r="B13373" t="s">
        <v>9559</v>
      </c>
      <c r="C13373" t="s">
        <v>9560</v>
      </c>
      <c r="D13373" t="str">
        <f>"1501"</f>
        <v>1501</v>
      </c>
      <c r="E13373" t="s">
        <v>46</v>
      </c>
      <c r="F13373" t="s">
        <v>2068</v>
      </c>
      <c r="G13373" t="s">
        <v>47073</v>
      </c>
      <c r="H13373" t="s">
        <v>47071</v>
      </c>
      <c r="I13373" t="s">
        <v>47118</v>
      </c>
      <c r="J13373" t="s">
        <v>47119</v>
      </c>
      <c r="K13373" t="s">
        <v>47113</v>
      </c>
      <c r="L13373">
        <v>8</v>
      </c>
      <c r="M13373">
        <v>18</v>
      </c>
      <c r="N13373">
        <v>0</v>
      </c>
      <c r="O13373">
        <v>18</v>
      </c>
      <c r="P13373">
        <v>0</v>
      </c>
    </row>
    <row r="13374" spans="1:16" x14ac:dyDescent="0.25">
      <c r="A13374" t="s">
        <v>36287</v>
      </c>
      <c r="B13374" t="s">
        <v>9561</v>
      </c>
      <c r="C13374" t="s">
        <v>9562</v>
      </c>
      <c r="D13374" t="str">
        <f>"1800"</f>
        <v>1800</v>
      </c>
      <c r="E13374" t="s">
        <v>1999</v>
      </c>
      <c r="F13374" t="s">
        <v>2068</v>
      </c>
      <c r="G13374" t="s">
        <v>47073</v>
      </c>
      <c r="H13374" t="s">
        <v>47071</v>
      </c>
      <c r="I13374" t="s">
        <v>47118</v>
      </c>
      <c r="J13374" t="s">
        <v>47119</v>
      </c>
      <c r="K13374" t="s">
        <v>47113</v>
      </c>
      <c r="L13374">
        <v>8</v>
      </c>
      <c r="M13374">
        <v>18</v>
      </c>
      <c r="N13374">
        <v>0</v>
      </c>
      <c r="O13374">
        <v>18</v>
      </c>
      <c r="P13374">
        <v>0</v>
      </c>
    </row>
    <row r="13375" spans="1:16" x14ac:dyDescent="0.25">
      <c r="A13375" t="s">
        <v>36288</v>
      </c>
      <c r="B13375" t="s">
        <v>9563</v>
      </c>
      <c r="C13375" t="s">
        <v>9564</v>
      </c>
      <c r="D13375" t="s">
        <v>9565</v>
      </c>
      <c r="E13375" t="s">
        <v>9566</v>
      </c>
      <c r="F13375" t="s">
        <v>2068</v>
      </c>
      <c r="G13375" t="s">
        <v>47073</v>
      </c>
      <c r="H13375" t="s">
        <v>47071</v>
      </c>
      <c r="I13375" t="s">
        <v>47118</v>
      </c>
      <c r="J13375" t="s">
        <v>47119</v>
      </c>
      <c r="K13375" t="s">
        <v>47113</v>
      </c>
      <c r="L13375">
        <v>8</v>
      </c>
      <c r="M13375">
        <v>18</v>
      </c>
      <c r="N13375">
        <v>0</v>
      </c>
      <c r="O13375">
        <v>18</v>
      </c>
      <c r="P13375">
        <v>0</v>
      </c>
    </row>
    <row r="13376" spans="1:16" x14ac:dyDescent="0.25">
      <c r="A13376" t="s">
        <v>36289</v>
      </c>
      <c r="B13376" t="s">
        <v>9567</v>
      </c>
      <c r="C13376" t="s">
        <v>9568</v>
      </c>
      <c r="D13376" t="str">
        <f>"1501"</f>
        <v>1501</v>
      </c>
      <c r="E13376" t="s">
        <v>46</v>
      </c>
      <c r="F13376" t="s">
        <v>2068</v>
      </c>
      <c r="G13376" t="s">
        <v>47073</v>
      </c>
      <c r="H13376" t="s">
        <v>47071</v>
      </c>
      <c r="I13376" t="s">
        <v>47118</v>
      </c>
      <c r="J13376" t="s">
        <v>47119</v>
      </c>
      <c r="K13376" t="s">
        <v>47113</v>
      </c>
      <c r="L13376">
        <v>8</v>
      </c>
      <c r="M13376">
        <v>18</v>
      </c>
      <c r="N13376">
        <v>0</v>
      </c>
      <c r="O13376">
        <v>18</v>
      </c>
      <c r="P13376">
        <v>0</v>
      </c>
    </row>
    <row r="13377" spans="1:16" x14ac:dyDescent="0.25">
      <c r="A13377" t="s">
        <v>36290</v>
      </c>
      <c r="B13377" t="s">
        <v>9569</v>
      </c>
      <c r="C13377" t="s">
        <v>9568</v>
      </c>
      <c r="D13377" t="str">
        <f>"1800"</f>
        <v>1800</v>
      </c>
      <c r="E13377" t="s">
        <v>1999</v>
      </c>
      <c r="F13377" t="s">
        <v>2068</v>
      </c>
      <c r="G13377" t="s">
        <v>47073</v>
      </c>
      <c r="H13377" t="s">
        <v>47071</v>
      </c>
      <c r="I13377" t="s">
        <v>47118</v>
      </c>
      <c r="J13377" t="s">
        <v>47119</v>
      </c>
      <c r="K13377" t="s">
        <v>47113</v>
      </c>
      <c r="L13377">
        <v>8</v>
      </c>
      <c r="M13377">
        <v>18</v>
      </c>
      <c r="N13377">
        <v>0</v>
      </c>
      <c r="O13377">
        <v>18</v>
      </c>
      <c r="P13377">
        <v>0</v>
      </c>
    </row>
    <row r="13378" spans="1:16" x14ac:dyDescent="0.25">
      <c r="A13378" t="s">
        <v>36291</v>
      </c>
      <c r="B13378" t="s">
        <v>9570</v>
      </c>
      <c r="C13378" t="s">
        <v>9571</v>
      </c>
      <c r="D13378" t="str">
        <f>"1501"</f>
        <v>1501</v>
      </c>
      <c r="E13378" t="s">
        <v>46</v>
      </c>
      <c r="F13378" t="s">
        <v>2068</v>
      </c>
      <c r="G13378" t="s">
        <v>47073</v>
      </c>
      <c r="H13378" t="s">
        <v>47071</v>
      </c>
      <c r="I13378" t="s">
        <v>47118</v>
      </c>
      <c r="J13378" t="s">
        <v>47119</v>
      </c>
      <c r="K13378" t="s">
        <v>47113</v>
      </c>
      <c r="L13378">
        <v>8</v>
      </c>
      <c r="M13378">
        <v>18</v>
      </c>
      <c r="N13378">
        <v>0</v>
      </c>
      <c r="O13378">
        <v>18</v>
      </c>
      <c r="P13378">
        <v>0</v>
      </c>
    </row>
    <row r="13379" spans="1:16" x14ac:dyDescent="0.25">
      <c r="A13379" t="s">
        <v>36292</v>
      </c>
      <c r="B13379" t="s">
        <v>9572</v>
      </c>
      <c r="C13379" t="s">
        <v>9573</v>
      </c>
      <c r="D13379" t="str">
        <f>"1001"</f>
        <v>1001</v>
      </c>
      <c r="E13379" t="s">
        <v>42</v>
      </c>
      <c r="F13379" t="s">
        <v>2068</v>
      </c>
      <c r="G13379" t="s">
        <v>47073</v>
      </c>
      <c r="H13379" t="s">
        <v>47071</v>
      </c>
      <c r="I13379" t="s">
        <v>47118</v>
      </c>
      <c r="J13379" t="s">
        <v>47119</v>
      </c>
      <c r="K13379" t="s">
        <v>47113</v>
      </c>
      <c r="L13379">
        <v>8</v>
      </c>
      <c r="M13379">
        <v>18</v>
      </c>
      <c r="N13379">
        <v>0</v>
      </c>
      <c r="O13379">
        <v>18</v>
      </c>
      <c r="P13379">
        <v>0</v>
      </c>
    </row>
    <row r="13380" spans="1:16" x14ac:dyDescent="0.25">
      <c r="A13380" t="s">
        <v>36293</v>
      </c>
      <c r="B13380" t="s">
        <v>9574</v>
      </c>
      <c r="C13380" t="s">
        <v>9556</v>
      </c>
      <c r="D13380" t="str">
        <f>"1001"</f>
        <v>1001</v>
      </c>
      <c r="E13380" t="s">
        <v>42</v>
      </c>
      <c r="F13380" t="s">
        <v>2068</v>
      </c>
      <c r="G13380" t="s">
        <v>47073</v>
      </c>
      <c r="H13380" t="s">
        <v>47071</v>
      </c>
      <c r="I13380" t="s">
        <v>47118</v>
      </c>
      <c r="J13380" t="s">
        <v>47119</v>
      </c>
      <c r="K13380" t="s">
        <v>47113</v>
      </c>
      <c r="L13380">
        <v>8</v>
      </c>
      <c r="M13380">
        <v>18</v>
      </c>
      <c r="N13380">
        <v>0</v>
      </c>
      <c r="O13380">
        <v>18</v>
      </c>
      <c r="P13380">
        <v>0</v>
      </c>
    </row>
    <row r="13381" spans="1:16" x14ac:dyDescent="0.25">
      <c r="A13381" t="s">
        <v>36294</v>
      </c>
      <c r="B13381" t="s">
        <v>9575</v>
      </c>
      <c r="C13381" t="s">
        <v>9571</v>
      </c>
      <c r="D13381" t="str">
        <f>"1800"</f>
        <v>1800</v>
      </c>
      <c r="E13381" t="s">
        <v>1999</v>
      </c>
      <c r="F13381" t="s">
        <v>2068</v>
      </c>
      <c r="G13381" t="s">
        <v>47073</v>
      </c>
      <c r="H13381" t="s">
        <v>47071</v>
      </c>
      <c r="I13381" t="s">
        <v>47118</v>
      </c>
      <c r="J13381" t="s">
        <v>47119</v>
      </c>
      <c r="K13381" t="s">
        <v>47113</v>
      </c>
      <c r="L13381">
        <v>8</v>
      </c>
      <c r="M13381">
        <v>18</v>
      </c>
      <c r="N13381">
        <v>0</v>
      </c>
      <c r="O13381">
        <v>18</v>
      </c>
      <c r="P13381">
        <v>0</v>
      </c>
    </row>
    <row r="13382" spans="1:16" x14ac:dyDescent="0.25">
      <c r="A13382" t="s">
        <v>36295</v>
      </c>
      <c r="B13382" t="s">
        <v>9576</v>
      </c>
      <c r="C13382" t="s">
        <v>3813</v>
      </c>
      <c r="D13382" t="s">
        <v>9577</v>
      </c>
      <c r="E13382" t="s">
        <v>9578</v>
      </c>
      <c r="F13382" t="s">
        <v>2068</v>
      </c>
      <c r="G13382" t="s">
        <v>47072</v>
      </c>
      <c r="H13382" t="s">
        <v>47071</v>
      </c>
      <c r="I13382" t="s">
        <v>47118</v>
      </c>
      <c r="J13382" t="s">
        <v>47119</v>
      </c>
      <c r="K13382" t="s">
        <v>47113</v>
      </c>
      <c r="L13382">
        <v>19.03</v>
      </c>
      <c r="M13382">
        <v>44</v>
      </c>
      <c r="N13382">
        <v>0</v>
      </c>
      <c r="O13382">
        <v>44</v>
      </c>
      <c r="P13382">
        <v>0</v>
      </c>
    </row>
    <row r="13383" spans="1:16" x14ac:dyDescent="0.25">
      <c r="A13383" t="s">
        <v>36296</v>
      </c>
      <c r="B13383" t="s">
        <v>9576</v>
      </c>
      <c r="C13383" t="s">
        <v>3813</v>
      </c>
      <c r="D13383" t="s">
        <v>9579</v>
      </c>
      <c r="E13383" t="s">
        <v>9580</v>
      </c>
      <c r="F13383" t="s">
        <v>2068</v>
      </c>
      <c r="G13383" t="s">
        <v>47072</v>
      </c>
      <c r="H13383" t="s">
        <v>47071</v>
      </c>
      <c r="I13383" t="s">
        <v>47118</v>
      </c>
      <c r="J13383" t="s">
        <v>47119</v>
      </c>
      <c r="K13383" t="s">
        <v>47113</v>
      </c>
      <c r="L13383">
        <v>21.79</v>
      </c>
      <c r="M13383">
        <v>50</v>
      </c>
      <c r="N13383">
        <v>0</v>
      </c>
      <c r="O13383">
        <v>50</v>
      </c>
      <c r="P13383">
        <v>0</v>
      </c>
    </row>
    <row r="13384" spans="1:16" x14ac:dyDescent="0.25">
      <c r="A13384" t="s">
        <v>36297</v>
      </c>
      <c r="B13384" t="s">
        <v>9576</v>
      </c>
      <c r="C13384" t="s">
        <v>3813</v>
      </c>
      <c r="D13384" t="s">
        <v>9581</v>
      </c>
      <c r="E13384" t="s">
        <v>9582</v>
      </c>
      <c r="F13384" t="s">
        <v>2068</v>
      </c>
      <c r="G13384" t="s">
        <v>47072</v>
      </c>
      <c r="H13384" t="s">
        <v>47071</v>
      </c>
      <c r="I13384" t="s">
        <v>47118</v>
      </c>
      <c r="J13384" t="s">
        <v>47119</v>
      </c>
      <c r="K13384" t="s">
        <v>47113</v>
      </c>
      <c r="L13384">
        <v>21.79</v>
      </c>
      <c r="M13384">
        <v>50</v>
      </c>
      <c r="N13384">
        <v>0</v>
      </c>
      <c r="O13384">
        <v>50</v>
      </c>
      <c r="P13384">
        <v>0</v>
      </c>
    </row>
    <row r="13385" spans="1:16" x14ac:dyDescent="0.25">
      <c r="A13385" t="s">
        <v>36298</v>
      </c>
      <c r="B13385" t="s">
        <v>9583</v>
      </c>
      <c r="C13385" t="s">
        <v>9537</v>
      </c>
      <c r="D13385" t="s">
        <v>9538</v>
      </c>
      <c r="E13385" t="s">
        <v>9539</v>
      </c>
      <c r="F13385" t="s">
        <v>2068</v>
      </c>
      <c r="G13385" t="s">
        <v>47072</v>
      </c>
      <c r="H13385" t="s">
        <v>47071</v>
      </c>
      <c r="I13385" t="s">
        <v>47118</v>
      </c>
      <c r="J13385" t="s">
        <v>47119</v>
      </c>
      <c r="K13385" t="s">
        <v>47113</v>
      </c>
      <c r="L13385">
        <v>32.82</v>
      </c>
      <c r="M13385">
        <v>76</v>
      </c>
      <c r="N13385">
        <v>0</v>
      </c>
      <c r="O13385">
        <v>76</v>
      </c>
      <c r="P13385">
        <v>0</v>
      </c>
    </row>
    <row r="13386" spans="1:16" x14ac:dyDescent="0.25">
      <c r="A13386" t="s">
        <v>36299</v>
      </c>
      <c r="B13386" t="s">
        <v>9584</v>
      </c>
      <c r="C13386" t="s">
        <v>9517</v>
      </c>
      <c r="D13386" t="s">
        <v>9520</v>
      </c>
      <c r="E13386" t="s">
        <v>9521</v>
      </c>
      <c r="F13386" t="s">
        <v>2068</v>
      </c>
      <c r="G13386" t="s">
        <v>47072</v>
      </c>
      <c r="H13386" t="s">
        <v>47071</v>
      </c>
      <c r="I13386" t="s">
        <v>47118</v>
      </c>
      <c r="J13386" t="s">
        <v>47119</v>
      </c>
      <c r="K13386" t="s">
        <v>47113</v>
      </c>
      <c r="L13386">
        <v>21.79</v>
      </c>
      <c r="M13386">
        <v>50</v>
      </c>
      <c r="N13386">
        <v>0</v>
      </c>
      <c r="O13386">
        <v>50</v>
      </c>
      <c r="P13386">
        <v>0</v>
      </c>
    </row>
    <row r="13387" spans="1:16" x14ac:dyDescent="0.25">
      <c r="A13387" t="s">
        <v>36300</v>
      </c>
      <c r="B13387" t="s">
        <v>9585</v>
      </c>
      <c r="C13387" t="s">
        <v>9517</v>
      </c>
      <c r="D13387" t="str">
        <f>"4101"</f>
        <v>4101</v>
      </c>
      <c r="E13387" t="s">
        <v>9586</v>
      </c>
      <c r="F13387" t="s">
        <v>2068</v>
      </c>
      <c r="G13387" t="s">
        <v>47077</v>
      </c>
      <c r="H13387" t="s">
        <v>47071</v>
      </c>
      <c r="I13387" t="s">
        <v>47118</v>
      </c>
      <c r="J13387" t="s">
        <v>47119</v>
      </c>
      <c r="K13387" t="s">
        <v>47113</v>
      </c>
      <c r="L13387">
        <v>21.79</v>
      </c>
      <c r="M13387">
        <v>50</v>
      </c>
      <c r="N13387">
        <v>0</v>
      </c>
      <c r="O13387">
        <v>50</v>
      </c>
      <c r="P13387">
        <v>0</v>
      </c>
    </row>
    <row r="13388" spans="1:16" x14ac:dyDescent="0.25">
      <c r="A13388" t="s">
        <v>36301</v>
      </c>
      <c r="B13388" t="s">
        <v>9585</v>
      </c>
      <c r="C13388" t="s">
        <v>9517</v>
      </c>
      <c r="D13388" t="s">
        <v>9587</v>
      </c>
      <c r="E13388" t="s">
        <v>9588</v>
      </c>
      <c r="F13388" t="s">
        <v>2068</v>
      </c>
      <c r="G13388" t="s">
        <v>47077</v>
      </c>
      <c r="H13388" t="s">
        <v>47071</v>
      </c>
      <c r="I13388" t="s">
        <v>47118</v>
      </c>
      <c r="J13388" t="s">
        <v>47119</v>
      </c>
      <c r="K13388" t="s">
        <v>47113</v>
      </c>
      <c r="L13388">
        <v>21.79</v>
      </c>
      <c r="M13388">
        <v>50</v>
      </c>
      <c r="N13388">
        <v>0</v>
      </c>
      <c r="O13388">
        <v>50</v>
      </c>
      <c r="P13388">
        <v>0</v>
      </c>
    </row>
    <row r="13389" spans="1:16" x14ac:dyDescent="0.25">
      <c r="A13389" t="s">
        <v>36302</v>
      </c>
      <c r="B13389" t="s">
        <v>9589</v>
      </c>
      <c r="C13389" t="s">
        <v>9517</v>
      </c>
      <c r="D13389" t="s">
        <v>9520</v>
      </c>
      <c r="E13389" t="s">
        <v>9521</v>
      </c>
      <c r="F13389" t="s">
        <v>2068</v>
      </c>
      <c r="G13389" t="s">
        <v>47077</v>
      </c>
      <c r="H13389" t="s">
        <v>47071</v>
      </c>
      <c r="I13389" t="s">
        <v>47120</v>
      </c>
      <c r="J13389" t="s">
        <v>47121</v>
      </c>
      <c r="K13389" t="s">
        <v>47113</v>
      </c>
      <c r="L13389">
        <v>31.45</v>
      </c>
      <c r="M13389">
        <v>73</v>
      </c>
      <c r="N13389">
        <v>0</v>
      </c>
      <c r="O13389">
        <v>73</v>
      </c>
      <c r="P13389">
        <v>0</v>
      </c>
    </row>
    <row r="13390" spans="1:16" x14ac:dyDescent="0.25">
      <c r="A13390" t="s">
        <v>36303</v>
      </c>
      <c r="B13390" t="s">
        <v>9590</v>
      </c>
      <c r="C13390" t="s">
        <v>9591</v>
      </c>
      <c r="D13390" t="s">
        <v>9592</v>
      </c>
      <c r="E13390" t="s">
        <v>9593</v>
      </c>
      <c r="F13390" t="s">
        <v>2068</v>
      </c>
      <c r="G13390" t="s">
        <v>47076</v>
      </c>
      <c r="H13390" t="s">
        <v>47071</v>
      </c>
      <c r="I13390" t="s">
        <v>47118</v>
      </c>
      <c r="J13390" t="s">
        <v>47119</v>
      </c>
      <c r="K13390" t="s">
        <v>47113</v>
      </c>
      <c r="L13390">
        <v>24.54</v>
      </c>
      <c r="M13390">
        <v>57</v>
      </c>
      <c r="N13390">
        <v>0</v>
      </c>
      <c r="O13390">
        <v>57</v>
      </c>
      <c r="P13390">
        <v>0</v>
      </c>
    </row>
    <row r="13391" spans="1:16" x14ac:dyDescent="0.25">
      <c r="A13391" t="s">
        <v>36304</v>
      </c>
      <c r="B13391" t="s">
        <v>9594</v>
      </c>
      <c r="C13391" t="s">
        <v>2800</v>
      </c>
      <c r="D13391" t="s">
        <v>9595</v>
      </c>
      <c r="E13391" t="s">
        <v>9596</v>
      </c>
      <c r="F13391" t="s">
        <v>2068</v>
      </c>
      <c r="G13391" t="s">
        <v>47079</v>
      </c>
      <c r="H13391" t="s">
        <v>47071</v>
      </c>
      <c r="I13391" t="s">
        <v>47118</v>
      </c>
      <c r="J13391" t="s">
        <v>47119</v>
      </c>
      <c r="K13391" t="s">
        <v>47113</v>
      </c>
      <c r="L13391">
        <v>13.51</v>
      </c>
      <c r="M13391">
        <v>31</v>
      </c>
      <c r="N13391">
        <v>0</v>
      </c>
      <c r="O13391">
        <v>31</v>
      </c>
      <c r="P13391">
        <v>0</v>
      </c>
    </row>
    <row r="13392" spans="1:16" x14ac:dyDescent="0.25">
      <c r="A13392" t="s">
        <v>36305</v>
      </c>
      <c r="B13392" t="s">
        <v>15762</v>
      </c>
      <c r="C13392" t="s">
        <v>15657</v>
      </c>
      <c r="D13392" t="s">
        <v>15658</v>
      </c>
      <c r="E13392" t="s">
        <v>15659</v>
      </c>
      <c r="F13392" t="s">
        <v>3670</v>
      </c>
      <c r="G13392" t="s">
        <v>47152</v>
      </c>
      <c r="H13392" t="s">
        <v>47071</v>
      </c>
      <c r="I13392" t="s">
        <v>47120</v>
      </c>
      <c r="J13392" t="s">
        <v>47121</v>
      </c>
      <c r="K13392" t="s">
        <v>47113</v>
      </c>
      <c r="L13392">
        <v>19.309999999999999</v>
      </c>
      <c r="M13392">
        <v>28</v>
      </c>
      <c r="N13392">
        <v>0</v>
      </c>
      <c r="O13392">
        <v>28</v>
      </c>
      <c r="P13392">
        <v>0</v>
      </c>
    </row>
    <row r="13393" spans="1:16" x14ac:dyDescent="0.25">
      <c r="A13393" t="s">
        <v>36306</v>
      </c>
      <c r="B13393" t="s">
        <v>15763</v>
      </c>
      <c r="C13393" t="s">
        <v>15661</v>
      </c>
      <c r="D13393" t="s">
        <v>15662</v>
      </c>
      <c r="E13393" t="s">
        <v>15663</v>
      </c>
      <c r="F13393" t="s">
        <v>3670</v>
      </c>
      <c r="G13393" t="s">
        <v>47081</v>
      </c>
      <c r="H13393" t="s">
        <v>47071</v>
      </c>
      <c r="I13393" t="s">
        <v>47120</v>
      </c>
      <c r="J13393" t="s">
        <v>47121</v>
      </c>
      <c r="K13393" t="s">
        <v>47113</v>
      </c>
      <c r="L13393">
        <v>19.309999999999999</v>
      </c>
      <c r="M13393">
        <v>28</v>
      </c>
      <c r="N13393">
        <v>0</v>
      </c>
      <c r="O13393">
        <v>28</v>
      </c>
      <c r="P13393">
        <v>0</v>
      </c>
    </row>
    <row r="13394" spans="1:16" x14ac:dyDescent="0.25">
      <c r="A13394" t="s">
        <v>36307</v>
      </c>
      <c r="B13394" t="s">
        <v>15764</v>
      </c>
      <c r="C13394" t="s">
        <v>15665</v>
      </c>
      <c r="D13394" t="s">
        <v>15666</v>
      </c>
      <c r="E13394" t="s">
        <v>15667</v>
      </c>
      <c r="F13394" t="s">
        <v>3670</v>
      </c>
      <c r="G13394" t="s">
        <v>47083</v>
      </c>
      <c r="H13394" t="s">
        <v>47071</v>
      </c>
      <c r="I13394" t="s">
        <v>47120</v>
      </c>
      <c r="J13394" t="s">
        <v>47121</v>
      </c>
      <c r="K13394" t="s">
        <v>47113</v>
      </c>
      <c r="L13394">
        <v>22.11</v>
      </c>
      <c r="M13394">
        <v>32</v>
      </c>
      <c r="N13394">
        <v>0</v>
      </c>
      <c r="O13394">
        <v>32</v>
      </c>
      <c r="P13394">
        <v>0</v>
      </c>
    </row>
    <row r="13395" spans="1:16" x14ac:dyDescent="0.25">
      <c r="A13395" t="s">
        <v>36308</v>
      </c>
      <c r="B13395" t="s">
        <v>15765</v>
      </c>
      <c r="C13395" t="s">
        <v>15669</v>
      </c>
      <c r="D13395" t="s">
        <v>15670</v>
      </c>
      <c r="E13395" t="s">
        <v>15671</v>
      </c>
      <c r="F13395" t="s">
        <v>3670</v>
      </c>
      <c r="G13395" t="s">
        <v>47081</v>
      </c>
      <c r="H13395" t="s">
        <v>47071</v>
      </c>
      <c r="I13395" t="s">
        <v>47120</v>
      </c>
      <c r="J13395" t="s">
        <v>47121</v>
      </c>
      <c r="K13395" t="s">
        <v>47113</v>
      </c>
      <c r="L13395">
        <v>20.99</v>
      </c>
      <c r="M13395">
        <v>32</v>
      </c>
      <c r="N13395">
        <v>0</v>
      </c>
      <c r="O13395">
        <v>32</v>
      </c>
      <c r="P13395">
        <v>0</v>
      </c>
    </row>
    <row r="13396" spans="1:16" x14ac:dyDescent="0.25">
      <c r="A13396" t="s">
        <v>36309</v>
      </c>
      <c r="B13396" t="s">
        <v>15766</v>
      </c>
      <c r="C13396" t="s">
        <v>15673</v>
      </c>
      <c r="D13396" t="s">
        <v>15674</v>
      </c>
      <c r="E13396" t="s">
        <v>15675</v>
      </c>
      <c r="F13396" t="s">
        <v>3670</v>
      </c>
      <c r="G13396" t="s">
        <v>47081</v>
      </c>
      <c r="H13396" t="s">
        <v>47071</v>
      </c>
      <c r="I13396" t="s">
        <v>47120</v>
      </c>
      <c r="J13396" t="s">
        <v>47121</v>
      </c>
      <c r="K13396" t="s">
        <v>47113</v>
      </c>
      <c r="L13396">
        <v>36.1</v>
      </c>
      <c r="M13396">
        <v>51</v>
      </c>
      <c r="N13396">
        <v>0</v>
      </c>
      <c r="O13396">
        <v>51</v>
      </c>
      <c r="P13396">
        <v>0</v>
      </c>
    </row>
    <row r="13397" spans="1:16" x14ac:dyDescent="0.25">
      <c r="A13397" t="s">
        <v>36310</v>
      </c>
      <c r="B13397" t="s">
        <v>15767</v>
      </c>
      <c r="C13397" t="s">
        <v>15677</v>
      </c>
      <c r="D13397" t="s">
        <v>14429</v>
      </c>
      <c r="E13397" t="s">
        <v>60</v>
      </c>
      <c r="F13397" t="s">
        <v>3670</v>
      </c>
      <c r="G13397" t="s">
        <v>47151</v>
      </c>
      <c r="H13397" t="s">
        <v>47071</v>
      </c>
      <c r="I13397" t="s">
        <v>47120</v>
      </c>
      <c r="J13397" t="s">
        <v>47121</v>
      </c>
      <c r="K13397" t="s">
        <v>47113</v>
      </c>
      <c r="L13397">
        <v>9.8000000000000007</v>
      </c>
      <c r="M13397">
        <v>14</v>
      </c>
      <c r="N13397">
        <v>0</v>
      </c>
      <c r="O13397">
        <v>14</v>
      </c>
      <c r="P13397">
        <v>0</v>
      </c>
    </row>
    <row r="13398" spans="1:16" x14ac:dyDescent="0.25">
      <c r="A13398" t="s">
        <v>36311</v>
      </c>
      <c r="B13398" t="s">
        <v>15768</v>
      </c>
      <c r="C13398" t="s">
        <v>18042</v>
      </c>
      <c r="D13398" t="s">
        <v>15679</v>
      </c>
      <c r="E13398" t="s">
        <v>15680</v>
      </c>
      <c r="F13398" t="s">
        <v>3670</v>
      </c>
      <c r="G13398" t="s">
        <v>47087</v>
      </c>
      <c r="H13398" t="s">
        <v>47071</v>
      </c>
      <c r="I13398" t="s">
        <v>47120</v>
      </c>
      <c r="J13398" t="s">
        <v>47121</v>
      </c>
      <c r="K13398" t="s">
        <v>47113</v>
      </c>
      <c r="L13398">
        <v>8.4</v>
      </c>
      <c r="M13398">
        <v>12</v>
      </c>
      <c r="N13398">
        <v>0</v>
      </c>
      <c r="O13398">
        <v>12</v>
      </c>
      <c r="P13398">
        <v>0</v>
      </c>
    </row>
    <row r="13399" spans="1:16" x14ac:dyDescent="0.25">
      <c r="A13399" t="s">
        <v>36312</v>
      </c>
      <c r="B13399" t="s">
        <v>15768</v>
      </c>
      <c r="C13399" t="s">
        <v>18042</v>
      </c>
      <c r="D13399" t="s">
        <v>15681</v>
      </c>
      <c r="E13399" t="s">
        <v>15682</v>
      </c>
      <c r="F13399" t="s">
        <v>3670</v>
      </c>
      <c r="G13399" t="s">
        <v>47087</v>
      </c>
      <c r="H13399" t="s">
        <v>47071</v>
      </c>
      <c r="I13399" t="s">
        <v>47120</v>
      </c>
      <c r="J13399" t="s">
        <v>47121</v>
      </c>
      <c r="K13399" t="s">
        <v>47113</v>
      </c>
      <c r="L13399">
        <v>8.4</v>
      </c>
      <c r="M13399">
        <v>12</v>
      </c>
      <c r="N13399">
        <v>0</v>
      </c>
      <c r="O13399">
        <v>12</v>
      </c>
      <c r="P13399">
        <v>0</v>
      </c>
    </row>
    <row r="13400" spans="1:16" x14ac:dyDescent="0.25">
      <c r="A13400" t="s">
        <v>36313</v>
      </c>
      <c r="B13400" t="s">
        <v>15769</v>
      </c>
      <c r="C13400" t="s">
        <v>15684</v>
      </c>
      <c r="D13400" t="s">
        <v>15679</v>
      </c>
      <c r="E13400" t="s">
        <v>15680</v>
      </c>
      <c r="F13400" t="s">
        <v>3670</v>
      </c>
      <c r="G13400" t="s">
        <v>47087</v>
      </c>
      <c r="H13400" t="s">
        <v>47071</v>
      </c>
      <c r="I13400" t="s">
        <v>47120</v>
      </c>
      <c r="J13400" t="s">
        <v>47121</v>
      </c>
      <c r="K13400" t="s">
        <v>47113</v>
      </c>
      <c r="L13400">
        <v>10.92</v>
      </c>
      <c r="M13400">
        <v>16</v>
      </c>
      <c r="N13400">
        <v>0</v>
      </c>
      <c r="O13400">
        <v>16</v>
      </c>
      <c r="P13400">
        <v>0</v>
      </c>
    </row>
    <row r="13401" spans="1:16" x14ac:dyDescent="0.25">
      <c r="A13401" t="s">
        <v>36314</v>
      </c>
      <c r="B13401" t="s">
        <v>15769</v>
      </c>
      <c r="C13401" t="s">
        <v>15684</v>
      </c>
      <c r="D13401" t="s">
        <v>14429</v>
      </c>
      <c r="E13401" t="s">
        <v>60</v>
      </c>
      <c r="F13401" t="s">
        <v>3670</v>
      </c>
      <c r="G13401" t="s">
        <v>47087</v>
      </c>
      <c r="H13401" t="s">
        <v>47071</v>
      </c>
      <c r="I13401" t="s">
        <v>47120</v>
      </c>
      <c r="J13401" t="s">
        <v>47121</v>
      </c>
      <c r="K13401" t="s">
        <v>47113</v>
      </c>
      <c r="L13401">
        <v>10.92</v>
      </c>
      <c r="M13401">
        <v>16</v>
      </c>
      <c r="N13401">
        <v>0</v>
      </c>
      <c r="O13401">
        <v>16</v>
      </c>
      <c r="P13401">
        <v>0</v>
      </c>
    </row>
    <row r="13402" spans="1:16" x14ac:dyDescent="0.25">
      <c r="A13402" t="s">
        <v>36315</v>
      </c>
      <c r="B13402" t="s">
        <v>15770</v>
      </c>
      <c r="C13402" t="s">
        <v>15771</v>
      </c>
      <c r="D13402" t="s">
        <v>15658</v>
      </c>
      <c r="E13402" t="s">
        <v>15659</v>
      </c>
      <c r="F13402" t="s">
        <v>3670</v>
      </c>
      <c r="G13402" t="s">
        <v>47085</v>
      </c>
      <c r="H13402" t="s">
        <v>47071</v>
      </c>
      <c r="I13402" t="s">
        <v>47120</v>
      </c>
      <c r="J13402" t="s">
        <v>47121</v>
      </c>
      <c r="K13402" t="s">
        <v>47113</v>
      </c>
      <c r="L13402">
        <v>16.52</v>
      </c>
      <c r="M13402">
        <v>24</v>
      </c>
      <c r="N13402">
        <v>0</v>
      </c>
      <c r="O13402">
        <v>24</v>
      </c>
      <c r="P13402">
        <v>0</v>
      </c>
    </row>
    <row r="13403" spans="1:16" x14ac:dyDescent="0.25">
      <c r="A13403" t="s">
        <v>36316</v>
      </c>
      <c r="B13403" t="s">
        <v>15772</v>
      </c>
      <c r="C13403" t="s">
        <v>15688</v>
      </c>
      <c r="D13403" t="s">
        <v>14429</v>
      </c>
      <c r="E13403" t="s">
        <v>60</v>
      </c>
      <c r="F13403" t="s">
        <v>3670</v>
      </c>
      <c r="G13403" t="s">
        <v>47087</v>
      </c>
      <c r="H13403" t="s">
        <v>47071</v>
      </c>
      <c r="I13403" t="s">
        <v>47120</v>
      </c>
      <c r="J13403" t="s">
        <v>47121</v>
      </c>
      <c r="K13403" t="s">
        <v>47113</v>
      </c>
      <c r="L13403">
        <v>10.92</v>
      </c>
      <c r="M13403">
        <v>16</v>
      </c>
      <c r="N13403">
        <v>0</v>
      </c>
      <c r="O13403">
        <v>16</v>
      </c>
      <c r="P13403">
        <v>0</v>
      </c>
    </row>
    <row r="13404" spans="1:16" x14ac:dyDescent="0.25">
      <c r="A13404" t="s">
        <v>36317</v>
      </c>
      <c r="B13404" t="s">
        <v>15773</v>
      </c>
      <c r="C13404" t="s">
        <v>10773</v>
      </c>
      <c r="D13404" t="s">
        <v>15662</v>
      </c>
      <c r="E13404" t="s">
        <v>15663</v>
      </c>
      <c r="F13404" t="s">
        <v>3670</v>
      </c>
      <c r="G13404" t="s">
        <v>47146</v>
      </c>
      <c r="H13404" t="s">
        <v>47071</v>
      </c>
      <c r="I13404" t="s">
        <v>47120</v>
      </c>
      <c r="J13404" t="s">
        <v>47121</v>
      </c>
      <c r="K13404" t="s">
        <v>47113</v>
      </c>
      <c r="L13404">
        <v>24.91</v>
      </c>
      <c r="M13404">
        <v>36</v>
      </c>
      <c r="N13404">
        <v>0</v>
      </c>
      <c r="O13404">
        <v>36</v>
      </c>
      <c r="P13404">
        <v>0</v>
      </c>
    </row>
    <row r="13405" spans="1:16" x14ac:dyDescent="0.25">
      <c r="A13405" t="s">
        <v>36318</v>
      </c>
      <c r="B13405" t="s">
        <v>9597</v>
      </c>
      <c r="C13405" t="s">
        <v>9598</v>
      </c>
      <c r="D13405" t="s">
        <v>9461</v>
      </c>
      <c r="E13405" t="s">
        <v>9462</v>
      </c>
      <c r="F13405" t="s">
        <v>2068</v>
      </c>
      <c r="G13405" t="s">
        <v>47081</v>
      </c>
      <c r="H13405" t="s">
        <v>47071</v>
      </c>
      <c r="I13405" t="s">
        <v>47120</v>
      </c>
      <c r="J13405" t="s">
        <v>47121</v>
      </c>
      <c r="K13405" t="s">
        <v>47113</v>
      </c>
      <c r="L13405">
        <v>21.79</v>
      </c>
      <c r="M13405">
        <v>50</v>
      </c>
      <c r="N13405">
        <v>0</v>
      </c>
      <c r="O13405">
        <v>50</v>
      </c>
      <c r="P13405">
        <v>0</v>
      </c>
    </row>
    <row r="13406" spans="1:16" x14ac:dyDescent="0.25">
      <c r="A13406" t="s">
        <v>36319</v>
      </c>
      <c r="B13406" t="s">
        <v>9597</v>
      </c>
      <c r="C13406" t="s">
        <v>9598</v>
      </c>
      <c r="D13406" t="s">
        <v>9463</v>
      </c>
      <c r="E13406" t="s">
        <v>9464</v>
      </c>
      <c r="F13406" t="s">
        <v>2068</v>
      </c>
      <c r="G13406" t="s">
        <v>47081</v>
      </c>
      <c r="H13406" t="s">
        <v>47071</v>
      </c>
      <c r="I13406" t="s">
        <v>47120</v>
      </c>
      <c r="J13406" t="s">
        <v>47121</v>
      </c>
      <c r="K13406" t="s">
        <v>47113</v>
      </c>
      <c r="L13406">
        <v>21.79</v>
      </c>
      <c r="M13406">
        <v>50</v>
      </c>
      <c r="N13406">
        <v>0</v>
      </c>
      <c r="O13406">
        <v>50</v>
      </c>
      <c r="P13406">
        <v>0</v>
      </c>
    </row>
    <row r="13407" spans="1:16" x14ac:dyDescent="0.25">
      <c r="A13407" t="s">
        <v>36320</v>
      </c>
      <c r="B13407" t="s">
        <v>9597</v>
      </c>
      <c r="C13407" t="s">
        <v>9598</v>
      </c>
      <c r="D13407" t="s">
        <v>9465</v>
      </c>
      <c r="E13407" t="s">
        <v>9466</v>
      </c>
      <c r="F13407" t="s">
        <v>2068</v>
      </c>
      <c r="G13407" t="s">
        <v>47081</v>
      </c>
      <c r="H13407" t="s">
        <v>47071</v>
      </c>
      <c r="I13407" t="s">
        <v>47120</v>
      </c>
      <c r="J13407" t="s">
        <v>47121</v>
      </c>
      <c r="K13407" t="s">
        <v>47113</v>
      </c>
      <c r="L13407">
        <v>21.79</v>
      </c>
      <c r="M13407">
        <v>50</v>
      </c>
      <c r="N13407">
        <v>0</v>
      </c>
      <c r="O13407">
        <v>50</v>
      </c>
      <c r="P13407">
        <v>0</v>
      </c>
    </row>
    <row r="13408" spans="1:16" x14ac:dyDescent="0.25">
      <c r="A13408" t="s">
        <v>36321</v>
      </c>
      <c r="B13408" t="s">
        <v>9599</v>
      </c>
      <c r="C13408" t="s">
        <v>21261</v>
      </c>
      <c r="D13408" t="str">
        <f>"1001"</f>
        <v>1001</v>
      </c>
      <c r="E13408" t="s">
        <v>9469</v>
      </c>
      <c r="F13408" t="s">
        <v>2068</v>
      </c>
      <c r="G13408" t="s">
        <v>47081</v>
      </c>
      <c r="H13408" t="s">
        <v>47071</v>
      </c>
      <c r="I13408" t="s">
        <v>47120</v>
      </c>
      <c r="J13408" t="s">
        <v>47121</v>
      </c>
      <c r="K13408" t="s">
        <v>47113</v>
      </c>
      <c r="L13408">
        <v>21.79</v>
      </c>
      <c r="M13408">
        <v>50</v>
      </c>
      <c r="N13408">
        <v>0</v>
      </c>
      <c r="O13408">
        <v>50</v>
      </c>
      <c r="P13408">
        <v>0</v>
      </c>
    </row>
    <row r="13409" spans="1:16" x14ac:dyDescent="0.25">
      <c r="A13409" t="s">
        <v>36322</v>
      </c>
      <c r="B13409" t="s">
        <v>9599</v>
      </c>
      <c r="C13409" t="s">
        <v>21261</v>
      </c>
      <c r="D13409" t="str">
        <f>"3540"</f>
        <v>3540</v>
      </c>
      <c r="E13409" t="s">
        <v>9470</v>
      </c>
      <c r="F13409" t="s">
        <v>2068</v>
      </c>
      <c r="G13409" t="s">
        <v>47081</v>
      </c>
      <c r="H13409" t="s">
        <v>47071</v>
      </c>
      <c r="I13409" t="s">
        <v>47120</v>
      </c>
      <c r="J13409" t="s">
        <v>47121</v>
      </c>
      <c r="K13409" t="s">
        <v>47113</v>
      </c>
      <c r="L13409">
        <v>21.79</v>
      </c>
      <c r="M13409">
        <v>50</v>
      </c>
      <c r="N13409">
        <v>0</v>
      </c>
      <c r="O13409">
        <v>50</v>
      </c>
      <c r="P13409">
        <v>0</v>
      </c>
    </row>
    <row r="13410" spans="1:16" x14ac:dyDescent="0.25">
      <c r="A13410" t="s">
        <v>36323</v>
      </c>
      <c r="B13410" t="s">
        <v>9599</v>
      </c>
      <c r="C13410" t="s">
        <v>21261</v>
      </c>
      <c r="D13410" t="str">
        <f>"6024"</f>
        <v>6024</v>
      </c>
      <c r="E13410" t="s">
        <v>9471</v>
      </c>
      <c r="F13410" t="s">
        <v>2068</v>
      </c>
      <c r="G13410" t="s">
        <v>47081</v>
      </c>
      <c r="H13410" t="s">
        <v>47071</v>
      </c>
      <c r="I13410" t="s">
        <v>47120</v>
      </c>
      <c r="J13410" t="s">
        <v>47121</v>
      </c>
      <c r="K13410" t="s">
        <v>47113</v>
      </c>
      <c r="L13410">
        <v>21.79</v>
      </c>
      <c r="M13410">
        <v>50</v>
      </c>
      <c r="N13410">
        <v>0</v>
      </c>
      <c r="O13410">
        <v>50</v>
      </c>
      <c r="P13410">
        <v>0</v>
      </c>
    </row>
    <row r="13411" spans="1:16" x14ac:dyDescent="0.25">
      <c r="A13411" t="s">
        <v>36324</v>
      </c>
      <c r="B13411" t="s">
        <v>9599</v>
      </c>
      <c r="C13411" t="s">
        <v>21261</v>
      </c>
      <c r="D13411" t="str">
        <f>"6413"</f>
        <v>6413</v>
      </c>
      <c r="E13411" t="s">
        <v>9600</v>
      </c>
      <c r="F13411" t="s">
        <v>2068</v>
      </c>
      <c r="G13411" t="s">
        <v>47081</v>
      </c>
      <c r="H13411" t="s">
        <v>47071</v>
      </c>
      <c r="I13411" t="s">
        <v>47120</v>
      </c>
      <c r="J13411" t="s">
        <v>47121</v>
      </c>
      <c r="K13411" t="s">
        <v>47113</v>
      </c>
      <c r="L13411">
        <v>21.79</v>
      </c>
      <c r="M13411">
        <v>50</v>
      </c>
      <c r="N13411">
        <v>0</v>
      </c>
      <c r="O13411">
        <v>50</v>
      </c>
      <c r="P13411">
        <v>0</v>
      </c>
    </row>
    <row r="13412" spans="1:16" x14ac:dyDescent="0.25">
      <c r="A13412" t="s">
        <v>36325</v>
      </c>
      <c r="B13412" t="s">
        <v>9601</v>
      </c>
      <c r="C13412" t="s">
        <v>9460</v>
      </c>
      <c r="D13412" t="s">
        <v>9474</v>
      </c>
      <c r="E13412" t="s">
        <v>9475</v>
      </c>
      <c r="F13412" t="s">
        <v>2068</v>
      </c>
      <c r="G13412" t="s">
        <v>47081</v>
      </c>
      <c r="H13412" t="s">
        <v>47071</v>
      </c>
      <c r="I13412" t="s">
        <v>47120</v>
      </c>
      <c r="J13412" t="s">
        <v>47121</v>
      </c>
      <c r="K13412" t="s">
        <v>47113</v>
      </c>
      <c r="L13412">
        <v>21.79</v>
      </c>
      <c r="M13412">
        <v>50</v>
      </c>
      <c r="N13412">
        <v>0</v>
      </c>
      <c r="O13412">
        <v>50</v>
      </c>
      <c r="P13412">
        <v>0</v>
      </c>
    </row>
    <row r="13413" spans="1:16" x14ac:dyDescent="0.25">
      <c r="A13413" t="s">
        <v>36326</v>
      </c>
      <c r="B13413" t="s">
        <v>9601</v>
      </c>
      <c r="C13413" t="s">
        <v>9460</v>
      </c>
      <c r="D13413" t="s">
        <v>9476</v>
      </c>
      <c r="E13413" t="s">
        <v>9477</v>
      </c>
      <c r="F13413" t="s">
        <v>2068</v>
      </c>
      <c r="G13413" t="s">
        <v>47081</v>
      </c>
      <c r="H13413" t="s">
        <v>47071</v>
      </c>
      <c r="I13413" t="s">
        <v>47120</v>
      </c>
      <c r="J13413" t="s">
        <v>47121</v>
      </c>
      <c r="K13413" t="s">
        <v>47113</v>
      </c>
      <c r="L13413">
        <v>21.79</v>
      </c>
      <c r="M13413">
        <v>50</v>
      </c>
      <c r="N13413">
        <v>0</v>
      </c>
      <c r="O13413">
        <v>50</v>
      </c>
      <c r="P13413">
        <v>0</v>
      </c>
    </row>
    <row r="13414" spans="1:16" x14ac:dyDescent="0.25">
      <c r="A13414" t="s">
        <v>36327</v>
      </c>
      <c r="B13414" t="s">
        <v>9602</v>
      </c>
      <c r="C13414" t="s">
        <v>9479</v>
      </c>
      <c r="D13414" t="s">
        <v>9480</v>
      </c>
      <c r="E13414" t="s">
        <v>9481</v>
      </c>
      <c r="F13414" t="s">
        <v>2068</v>
      </c>
      <c r="G13414" t="s">
        <v>47081</v>
      </c>
      <c r="H13414" t="s">
        <v>47071</v>
      </c>
      <c r="I13414" t="s">
        <v>47120</v>
      </c>
      <c r="J13414" t="s">
        <v>47121</v>
      </c>
      <c r="K13414" t="s">
        <v>47113</v>
      </c>
      <c r="L13414">
        <v>43.02</v>
      </c>
      <c r="M13414">
        <v>100</v>
      </c>
      <c r="N13414">
        <v>0</v>
      </c>
      <c r="O13414">
        <v>100</v>
      </c>
      <c r="P13414">
        <v>0</v>
      </c>
    </row>
    <row r="13415" spans="1:16" x14ac:dyDescent="0.25">
      <c r="A13415" t="s">
        <v>36328</v>
      </c>
      <c r="B13415" t="s">
        <v>9603</v>
      </c>
      <c r="C13415" t="s">
        <v>9483</v>
      </c>
      <c r="D13415" t="str">
        <f>"2054"</f>
        <v>2054</v>
      </c>
      <c r="E13415" t="s">
        <v>7762</v>
      </c>
      <c r="F13415" t="s">
        <v>2068</v>
      </c>
      <c r="G13415" t="s">
        <v>47149</v>
      </c>
      <c r="H13415" t="s">
        <v>47071</v>
      </c>
      <c r="I13415" t="s">
        <v>47118</v>
      </c>
      <c r="J13415" t="s">
        <v>47119</v>
      </c>
      <c r="K13415" t="s">
        <v>47113</v>
      </c>
      <c r="L13415">
        <v>21.79</v>
      </c>
      <c r="M13415">
        <v>50</v>
      </c>
      <c r="N13415">
        <v>0</v>
      </c>
      <c r="O13415">
        <v>50</v>
      </c>
      <c r="P13415">
        <v>0</v>
      </c>
    </row>
    <row r="13416" spans="1:16" x14ac:dyDescent="0.25">
      <c r="A13416" t="s">
        <v>36329</v>
      </c>
      <c r="B13416" t="s">
        <v>9604</v>
      </c>
      <c r="C13416" t="s">
        <v>9485</v>
      </c>
      <c r="D13416" t="str">
        <f>"1001"</f>
        <v>1001</v>
      </c>
      <c r="E13416" t="s">
        <v>42</v>
      </c>
      <c r="F13416" t="s">
        <v>2068</v>
      </c>
      <c r="G13416" t="s">
        <v>47087</v>
      </c>
      <c r="H13416" t="s">
        <v>47071</v>
      </c>
      <c r="I13416" t="s">
        <v>47118</v>
      </c>
      <c r="J13416" t="s">
        <v>47119</v>
      </c>
      <c r="K13416" t="s">
        <v>47113</v>
      </c>
      <c r="L13416">
        <v>9.66</v>
      </c>
      <c r="M13416">
        <v>22</v>
      </c>
      <c r="N13416">
        <v>0</v>
      </c>
      <c r="O13416">
        <v>22</v>
      </c>
      <c r="P13416">
        <v>0</v>
      </c>
    </row>
    <row r="13417" spans="1:16" x14ac:dyDescent="0.25">
      <c r="A13417" t="s">
        <v>36330</v>
      </c>
      <c r="B13417" t="s">
        <v>9605</v>
      </c>
      <c r="C13417" t="s">
        <v>9485</v>
      </c>
      <c r="D13417" t="str">
        <f>"6413"</f>
        <v>6413</v>
      </c>
      <c r="E13417" t="s">
        <v>9487</v>
      </c>
      <c r="F13417" t="s">
        <v>2068</v>
      </c>
      <c r="G13417" t="s">
        <v>47087</v>
      </c>
      <c r="H13417" t="s">
        <v>47071</v>
      </c>
      <c r="I13417" t="s">
        <v>47118</v>
      </c>
      <c r="J13417" t="s">
        <v>47119</v>
      </c>
      <c r="K13417" t="s">
        <v>47113</v>
      </c>
      <c r="L13417">
        <v>9.66</v>
      </c>
      <c r="M13417">
        <v>22</v>
      </c>
      <c r="N13417">
        <v>0</v>
      </c>
      <c r="O13417">
        <v>22</v>
      </c>
      <c r="P13417">
        <v>0</v>
      </c>
    </row>
    <row r="13418" spans="1:16" x14ac:dyDescent="0.25">
      <c r="A13418" t="s">
        <v>36331</v>
      </c>
      <c r="B13418" t="s">
        <v>9606</v>
      </c>
      <c r="C13418" t="s">
        <v>9485</v>
      </c>
      <c r="D13418" t="str">
        <f>"2707"</f>
        <v>2707</v>
      </c>
      <c r="E13418" t="s">
        <v>3019</v>
      </c>
      <c r="F13418" t="s">
        <v>2068</v>
      </c>
      <c r="G13418" t="s">
        <v>47087</v>
      </c>
      <c r="H13418" t="s">
        <v>47071</v>
      </c>
      <c r="I13418" t="s">
        <v>47118</v>
      </c>
      <c r="J13418" t="s">
        <v>47119</v>
      </c>
      <c r="K13418" t="s">
        <v>47113</v>
      </c>
      <c r="L13418">
        <v>9.66</v>
      </c>
      <c r="M13418">
        <v>22</v>
      </c>
      <c r="N13418">
        <v>0</v>
      </c>
      <c r="O13418">
        <v>22</v>
      </c>
      <c r="P13418">
        <v>0</v>
      </c>
    </row>
    <row r="13419" spans="1:16" x14ac:dyDescent="0.25">
      <c r="A13419" t="s">
        <v>36332</v>
      </c>
      <c r="B13419" t="s">
        <v>9607</v>
      </c>
      <c r="C13419" t="s">
        <v>9490</v>
      </c>
      <c r="D13419" t="str">
        <f>"1501"</f>
        <v>1501</v>
      </c>
      <c r="E13419" t="s">
        <v>46</v>
      </c>
      <c r="F13419" t="s">
        <v>2068</v>
      </c>
      <c r="G13419" t="s">
        <v>47152</v>
      </c>
      <c r="H13419" t="s">
        <v>47071</v>
      </c>
      <c r="I13419" t="s">
        <v>47118</v>
      </c>
      <c r="J13419" t="s">
        <v>47119</v>
      </c>
      <c r="K13419" t="s">
        <v>47113</v>
      </c>
      <c r="L13419">
        <v>10.76</v>
      </c>
      <c r="M13419">
        <v>25</v>
      </c>
      <c r="N13419">
        <v>0</v>
      </c>
      <c r="O13419">
        <v>25</v>
      </c>
      <c r="P13419">
        <v>0</v>
      </c>
    </row>
    <row r="13420" spans="1:16" x14ac:dyDescent="0.25">
      <c r="A13420" t="s">
        <v>36333</v>
      </c>
      <c r="B13420" t="s">
        <v>9607</v>
      </c>
      <c r="C13420" t="s">
        <v>9490</v>
      </c>
      <c r="D13420" t="str">
        <f>"2707"</f>
        <v>2707</v>
      </c>
      <c r="E13420" t="s">
        <v>3019</v>
      </c>
      <c r="F13420" t="s">
        <v>2068</v>
      </c>
      <c r="G13420" t="s">
        <v>47152</v>
      </c>
      <c r="H13420" t="s">
        <v>47071</v>
      </c>
      <c r="I13420" t="s">
        <v>47118</v>
      </c>
      <c r="J13420" t="s">
        <v>47119</v>
      </c>
      <c r="K13420" t="s">
        <v>47113</v>
      </c>
      <c r="L13420">
        <v>10.76</v>
      </c>
      <c r="M13420">
        <v>25</v>
      </c>
      <c r="N13420">
        <v>0</v>
      </c>
      <c r="O13420">
        <v>25</v>
      </c>
      <c r="P13420">
        <v>0</v>
      </c>
    </row>
    <row r="13421" spans="1:16" x14ac:dyDescent="0.25">
      <c r="A13421" t="s">
        <v>36334</v>
      </c>
      <c r="B13421" t="s">
        <v>9608</v>
      </c>
      <c r="C13421" t="s">
        <v>9485</v>
      </c>
      <c r="D13421" t="str">
        <f>"1800"</f>
        <v>1800</v>
      </c>
      <c r="E13421" t="s">
        <v>1999</v>
      </c>
      <c r="F13421" t="s">
        <v>2068</v>
      </c>
      <c r="G13421" t="s">
        <v>47087</v>
      </c>
      <c r="H13421" t="s">
        <v>47071</v>
      </c>
      <c r="I13421" t="s">
        <v>47118</v>
      </c>
      <c r="J13421" t="s">
        <v>47119</v>
      </c>
      <c r="K13421" t="s">
        <v>47113</v>
      </c>
      <c r="L13421">
        <v>9.66</v>
      </c>
      <c r="M13421">
        <v>22</v>
      </c>
      <c r="N13421">
        <v>0</v>
      </c>
      <c r="O13421">
        <v>22</v>
      </c>
      <c r="P13421">
        <v>0</v>
      </c>
    </row>
    <row r="13422" spans="1:16" x14ac:dyDescent="0.25">
      <c r="A13422" t="s">
        <v>36335</v>
      </c>
      <c r="B13422" t="s">
        <v>9609</v>
      </c>
      <c r="C13422" t="s">
        <v>9493</v>
      </c>
      <c r="D13422" t="str">
        <f>"6202"</f>
        <v>6202</v>
      </c>
      <c r="E13422" t="s">
        <v>814</v>
      </c>
      <c r="F13422" t="s">
        <v>2068</v>
      </c>
      <c r="G13422" t="s">
        <v>47087</v>
      </c>
      <c r="H13422" t="s">
        <v>47071</v>
      </c>
      <c r="I13422" t="s">
        <v>47118</v>
      </c>
      <c r="J13422" t="s">
        <v>47119</v>
      </c>
      <c r="K13422" t="s">
        <v>47113</v>
      </c>
      <c r="L13422">
        <v>9.66</v>
      </c>
      <c r="M13422">
        <v>22</v>
      </c>
      <c r="N13422">
        <v>0</v>
      </c>
      <c r="O13422">
        <v>22</v>
      </c>
      <c r="P13422">
        <v>0</v>
      </c>
    </row>
    <row r="13423" spans="1:16" x14ac:dyDescent="0.25">
      <c r="A13423" t="s">
        <v>36336</v>
      </c>
      <c r="B13423" t="s">
        <v>9610</v>
      </c>
      <c r="C13423" t="s">
        <v>9460</v>
      </c>
      <c r="D13423" t="str">
        <f>"4745"</f>
        <v>4745</v>
      </c>
      <c r="E13423" t="s">
        <v>9495</v>
      </c>
      <c r="F13423" t="s">
        <v>2068</v>
      </c>
      <c r="G13423" t="s">
        <v>47081</v>
      </c>
      <c r="H13423" t="s">
        <v>47071</v>
      </c>
      <c r="I13423" t="s">
        <v>47120</v>
      </c>
      <c r="J13423" t="s">
        <v>47121</v>
      </c>
      <c r="K13423" t="s">
        <v>47113</v>
      </c>
      <c r="L13423">
        <v>19.03</v>
      </c>
      <c r="M13423">
        <v>44</v>
      </c>
      <c r="N13423">
        <v>0</v>
      </c>
      <c r="O13423">
        <v>44</v>
      </c>
      <c r="P13423">
        <v>0</v>
      </c>
    </row>
    <row r="13424" spans="1:16" x14ac:dyDescent="0.25">
      <c r="A13424" t="s">
        <v>36337</v>
      </c>
      <c r="B13424" t="s">
        <v>9610</v>
      </c>
      <c r="C13424" t="s">
        <v>9460</v>
      </c>
      <c r="D13424" t="s">
        <v>9496</v>
      </c>
      <c r="E13424" t="s">
        <v>9497</v>
      </c>
      <c r="F13424" t="s">
        <v>2068</v>
      </c>
      <c r="G13424" t="s">
        <v>47081</v>
      </c>
      <c r="H13424" t="s">
        <v>47071</v>
      </c>
      <c r="I13424" t="s">
        <v>47120</v>
      </c>
      <c r="J13424" t="s">
        <v>47121</v>
      </c>
      <c r="K13424" t="s">
        <v>47113</v>
      </c>
      <c r="L13424">
        <v>19.03</v>
      </c>
      <c r="M13424">
        <v>44</v>
      </c>
      <c r="N13424">
        <v>0</v>
      </c>
      <c r="O13424">
        <v>44</v>
      </c>
      <c r="P13424">
        <v>0</v>
      </c>
    </row>
    <row r="13425" spans="1:16" x14ac:dyDescent="0.25">
      <c r="A13425" t="s">
        <v>36338</v>
      </c>
      <c r="B13425" t="s">
        <v>9611</v>
      </c>
      <c r="C13425" t="s">
        <v>9499</v>
      </c>
      <c r="D13425" t="s">
        <v>9496</v>
      </c>
      <c r="E13425" t="s">
        <v>9497</v>
      </c>
      <c r="F13425" t="s">
        <v>2068</v>
      </c>
      <c r="G13425" t="s">
        <v>47081</v>
      </c>
      <c r="H13425" t="s">
        <v>47071</v>
      </c>
      <c r="I13425" t="s">
        <v>47120</v>
      </c>
      <c r="J13425" t="s">
        <v>47121</v>
      </c>
      <c r="K13425" t="s">
        <v>47113</v>
      </c>
      <c r="L13425">
        <v>19.03</v>
      </c>
      <c r="M13425">
        <v>44</v>
      </c>
      <c r="N13425">
        <v>0</v>
      </c>
      <c r="O13425">
        <v>44</v>
      </c>
      <c r="P13425">
        <v>0</v>
      </c>
    </row>
    <row r="13426" spans="1:16" x14ac:dyDescent="0.25">
      <c r="A13426" t="s">
        <v>36339</v>
      </c>
      <c r="B13426" t="s">
        <v>9611</v>
      </c>
      <c r="C13426" t="s">
        <v>9499</v>
      </c>
      <c r="D13426" t="s">
        <v>9500</v>
      </c>
      <c r="E13426" t="s">
        <v>9501</v>
      </c>
      <c r="F13426" t="s">
        <v>2068</v>
      </c>
      <c r="G13426" t="s">
        <v>47081</v>
      </c>
      <c r="H13426" t="s">
        <v>47071</v>
      </c>
      <c r="I13426" t="s">
        <v>47120</v>
      </c>
      <c r="J13426" t="s">
        <v>47121</v>
      </c>
      <c r="K13426" t="s">
        <v>47113</v>
      </c>
      <c r="L13426">
        <v>21.79</v>
      </c>
      <c r="M13426">
        <v>50</v>
      </c>
      <c r="N13426">
        <v>0</v>
      </c>
      <c r="O13426">
        <v>50</v>
      </c>
      <c r="P13426">
        <v>0</v>
      </c>
    </row>
    <row r="13427" spans="1:16" x14ac:dyDescent="0.25">
      <c r="A13427" t="s">
        <v>36340</v>
      </c>
      <c r="B13427" t="s">
        <v>9612</v>
      </c>
      <c r="C13427" t="s">
        <v>9479</v>
      </c>
      <c r="D13427" t="s">
        <v>9480</v>
      </c>
      <c r="E13427" t="s">
        <v>9481</v>
      </c>
      <c r="F13427" t="s">
        <v>2068</v>
      </c>
      <c r="G13427" t="s">
        <v>47081</v>
      </c>
      <c r="H13427" t="s">
        <v>47071</v>
      </c>
      <c r="I13427" t="s">
        <v>47120</v>
      </c>
      <c r="J13427" t="s">
        <v>47121</v>
      </c>
      <c r="K13427" t="s">
        <v>47113</v>
      </c>
      <c r="L13427">
        <v>32.82</v>
      </c>
      <c r="M13427">
        <v>76</v>
      </c>
      <c r="N13427">
        <v>0</v>
      </c>
      <c r="O13427">
        <v>76</v>
      </c>
      <c r="P13427">
        <v>0</v>
      </c>
    </row>
    <row r="13428" spans="1:16" x14ac:dyDescent="0.25">
      <c r="A13428" t="s">
        <v>36341</v>
      </c>
      <c r="B13428" t="s">
        <v>9613</v>
      </c>
      <c r="C13428" t="s">
        <v>9504</v>
      </c>
      <c r="D13428" t="str">
        <f>"1104"</f>
        <v>1104</v>
      </c>
      <c r="E13428" t="s">
        <v>9505</v>
      </c>
      <c r="F13428" t="s">
        <v>2068</v>
      </c>
      <c r="G13428" t="s">
        <v>47081</v>
      </c>
      <c r="H13428" t="s">
        <v>47071</v>
      </c>
      <c r="I13428" t="s">
        <v>47120</v>
      </c>
      <c r="J13428" t="s">
        <v>47121</v>
      </c>
      <c r="K13428" t="s">
        <v>47113</v>
      </c>
      <c r="L13428">
        <v>19.03</v>
      </c>
      <c r="M13428">
        <v>44</v>
      </c>
      <c r="N13428">
        <v>0</v>
      </c>
      <c r="O13428">
        <v>44</v>
      </c>
      <c r="P13428">
        <v>0</v>
      </c>
    </row>
    <row r="13429" spans="1:16" x14ac:dyDescent="0.25">
      <c r="A13429" t="s">
        <v>36342</v>
      </c>
      <c r="B13429" t="s">
        <v>9614</v>
      </c>
      <c r="C13429" t="s">
        <v>9479</v>
      </c>
      <c r="D13429" t="s">
        <v>9480</v>
      </c>
      <c r="E13429" t="s">
        <v>9481</v>
      </c>
      <c r="F13429" t="s">
        <v>2068</v>
      </c>
      <c r="G13429" t="s">
        <v>47081</v>
      </c>
      <c r="H13429" t="s">
        <v>47071</v>
      </c>
      <c r="I13429" t="s">
        <v>47120</v>
      </c>
      <c r="J13429" t="s">
        <v>47121</v>
      </c>
      <c r="K13429" t="s">
        <v>47113</v>
      </c>
      <c r="L13429">
        <v>43.02</v>
      </c>
      <c r="M13429">
        <v>100</v>
      </c>
      <c r="N13429">
        <v>0</v>
      </c>
      <c r="O13429">
        <v>100</v>
      </c>
      <c r="P13429">
        <v>0</v>
      </c>
    </row>
    <row r="13430" spans="1:16" x14ac:dyDescent="0.25">
      <c r="A13430" t="s">
        <v>36343</v>
      </c>
      <c r="B13430" t="s">
        <v>9615</v>
      </c>
      <c r="C13430" t="s">
        <v>9508</v>
      </c>
      <c r="D13430" t="s">
        <v>9509</v>
      </c>
      <c r="E13430" t="s">
        <v>9510</v>
      </c>
      <c r="F13430" t="s">
        <v>2068</v>
      </c>
      <c r="G13430" t="s">
        <v>47150</v>
      </c>
      <c r="H13430" t="s">
        <v>47071</v>
      </c>
      <c r="I13430" t="s">
        <v>47118</v>
      </c>
      <c r="J13430" t="s">
        <v>47119</v>
      </c>
      <c r="K13430" t="s">
        <v>47113</v>
      </c>
      <c r="L13430">
        <v>13.51</v>
      </c>
      <c r="M13430">
        <v>31</v>
      </c>
      <c r="N13430">
        <v>0</v>
      </c>
      <c r="O13430">
        <v>31</v>
      </c>
      <c r="P13430">
        <v>0</v>
      </c>
    </row>
    <row r="13431" spans="1:16" x14ac:dyDescent="0.25">
      <c r="A13431" t="s">
        <v>36344</v>
      </c>
      <c r="B13431" t="s">
        <v>15774</v>
      </c>
      <c r="C13431" t="s">
        <v>15691</v>
      </c>
      <c r="D13431" t="s">
        <v>15692</v>
      </c>
      <c r="E13431" t="s">
        <v>46</v>
      </c>
      <c r="F13431" t="s">
        <v>3670</v>
      </c>
      <c r="G13431" t="s">
        <v>47075</v>
      </c>
      <c r="H13431" t="s">
        <v>47071</v>
      </c>
      <c r="I13431" t="s">
        <v>47120</v>
      </c>
      <c r="J13431" t="s">
        <v>47121</v>
      </c>
      <c r="K13431" t="s">
        <v>47113</v>
      </c>
      <c r="L13431">
        <v>13.72</v>
      </c>
      <c r="M13431">
        <v>20</v>
      </c>
      <c r="N13431">
        <v>0</v>
      </c>
      <c r="O13431">
        <v>20</v>
      </c>
      <c r="P13431">
        <v>0</v>
      </c>
    </row>
    <row r="13432" spans="1:16" x14ac:dyDescent="0.25">
      <c r="A13432" t="s">
        <v>36345</v>
      </c>
      <c r="B13432" t="s">
        <v>15775</v>
      </c>
      <c r="C13432" t="s">
        <v>15694</v>
      </c>
      <c r="D13432" t="s">
        <v>15695</v>
      </c>
      <c r="E13432" t="s">
        <v>15696</v>
      </c>
      <c r="F13432" t="s">
        <v>3670</v>
      </c>
      <c r="G13432" t="s">
        <v>47075</v>
      </c>
      <c r="H13432" t="s">
        <v>47071</v>
      </c>
      <c r="I13432" t="s">
        <v>47120</v>
      </c>
      <c r="J13432" t="s">
        <v>47121</v>
      </c>
      <c r="K13432" t="s">
        <v>47113</v>
      </c>
      <c r="L13432">
        <v>24.91</v>
      </c>
      <c r="M13432">
        <v>36</v>
      </c>
      <c r="N13432">
        <v>0</v>
      </c>
      <c r="O13432">
        <v>36</v>
      </c>
      <c r="P13432">
        <v>0</v>
      </c>
    </row>
    <row r="13433" spans="1:16" x14ac:dyDescent="0.25">
      <c r="A13433" t="s">
        <v>36346</v>
      </c>
      <c r="B13433" t="s">
        <v>15776</v>
      </c>
      <c r="C13433" t="s">
        <v>14549</v>
      </c>
      <c r="D13433" t="s">
        <v>15698</v>
      </c>
      <c r="E13433" t="s">
        <v>15699</v>
      </c>
      <c r="F13433" t="s">
        <v>3670</v>
      </c>
      <c r="G13433" t="s">
        <v>47072</v>
      </c>
      <c r="H13433" t="s">
        <v>47071</v>
      </c>
      <c r="I13433" t="s">
        <v>47120</v>
      </c>
      <c r="J13433" t="s">
        <v>47121</v>
      </c>
      <c r="K13433" t="s">
        <v>47113</v>
      </c>
      <c r="L13433">
        <v>22.11</v>
      </c>
      <c r="M13433">
        <v>32</v>
      </c>
      <c r="N13433">
        <v>0</v>
      </c>
      <c r="O13433">
        <v>32</v>
      </c>
      <c r="P13433">
        <v>0</v>
      </c>
    </row>
    <row r="13434" spans="1:16" x14ac:dyDescent="0.25">
      <c r="A13434" t="s">
        <v>36347</v>
      </c>
      <c r="B13434" t="s">
        <v>15777</v>
      </c>
      <c r="C13434" t="s">
        <v>15701</v>
      </c>
      <c r="D13434" t="s">
        <v>15702</v>
      </c>
      <c r="E13434" t="s">
        <v>15703</v>
      </c>
      <c r="F13434" t="s">
        <v>3670</v>
      </c>
      <c r="G13434" t="s">
        <v>47135</v>
      </c>
      <c r="H13434" t="s">
        <v>47071</v>
      </c>
      <c r="I13434" t="s">
        <v>47120</v>
      </c>
      <c r="J13434" t="s">
        <v>47121</v>
      </c>
      <c r="K13434" t="s">
        <v>47113</v>
      </c>
      <c r="L13434">
        <v>16.52</v>
      </c>
      <c r="M13434">
        <v>24</v>
      </c>
      <c r="N13434">
        <v>0</v>
      </c>
      <c r="O13434">
        <v>24</v>
      </c>
      <c r="P13434">
        <v>0</v>
      </c>
    </row>
    <row r="13435" spans="1:16" x14ac:dyDescent="0.25">
      <c r="A13435" t="s">
        <v>36348</v>
      </c>
      <c r="B13435" t="s">
        <v>15778</v>
      </c>
      <c r="C13435" t="s">
        <v>15779</v>
      </c>
      <c r="D13435" t="s">
        <v>15706</v>
      </c>
      <c r="E13435" t="s">
        <v>15707</v>
      </c>
      <c r="F13435" t="s">
        <v>3670</v>
      </c>
      <c r="G13435" t="s">
        <v>47072</v>
      </c>
      <c r="H13435" t="s">
        <v>47071</v>
      </c>
      <c r="I13435" t="s">
        <v>47120</v>
      </c>
      <c r="J13435" t="s">
        <v>47121</v>
      </c>
      <c r="K13435" t="s">
        <v>47113</v>
      </c>
      <c r="L13435">
        <v>22.11</v>
      </c>
      <c r="M13435">
        <v>32</v>
      </c>
      <c r="N13435">
        <v>0</v>
      </c>
      <c r="O13435">
        <v>32</v>
      </c>
      <c r="P13435">
        <v>0</v>
      </c>
    </row>
    <row r="13436" spans="1:16" x14ac:dyDescent="0.25">
      <c r="A13436" t="s">
        <v>36349</v>
      </c>
      <c r="B13436" t="s">
        <v>15780</v>
      </c>
      <c r="C13436" t="s">
        <v>15709</v>
      </c>
      <c r="D13436" t="s">
        <v>15651</v>
      </c>
      <c r="E13436" t="s">
        <v>15652</v>
      </c>
      <c r="F13436" t="s">
        <v>3670</v>
      </c>
      <c r="G13436" t="s">
        <v>47072</v>
      </c>
      <c r="H13436" t="s">
        <v>47071</v>
      </c>
      <c r="I13436" t="s">
        <v>47120</v>
      </c>
      <c r="J13436" t="s">
        <v>47121</v>
      </c>
      <c r="K13436" t="s">
        <v>47113</v>
      </c>
      <c r="L13436">
        <v>36.1</v>
      </c>
      <c r="M13436">
        <v>51</v>
      </c>
      <c r="N13436">
        <v>0</v>
      </c>
      <c r="O13436">
        <v>51</v>
      </c>
      <c r="P13436">
        <v>0</v>
      </c>
    </row>
    <row r="13437" spans="1:16" x14ac:dyDescent="0.25">
      <c r="A13437" t="s">
        <v>36350</v>
      </c>
      <c r="B13437" t="s">
        <v>15781</v>
      </c>
      <c r="C13437" t="s">
        <v>15711</v>
      </c>
      <c r="D13437" t="s">
        <v>15712</v>
      </c>
      <c r="E13437" t="s">
        <v>15713</v>
      </c>
      <c r="F13437" t="s">
        <v>3670</v>
      </c>
      <c r="G13437" t="s">
        <v>47072</v>
      </c>
      <c r="H13437" t="s">
        <v>47071</v>
      </c>
      <c r="I13437" t="s">
        <v>47120</v>
      </c>
      <c r="J13437" t="s">
        <v>47121</v>
      </c>
      <c r="K13437" t="s">
        <v>47113</v>
      </c>
      <c r="L13437">
        <v>41.7</v>
      </c>
      <c r="M13437">
        <v>59</v>
      </c>
      <c r="N13437">
        <v>0</v>
      </c>
      <c r="O13437">
        <v>59</v>
      </c>
      <c r="P13437">
        <v>0</v>
      </c>
    </row>
    <row r="13438" spans="1:16" x14ac:dyDescent="0.25">
      <c r="A13438" t="s">
        <v>36351</v>
      </c>
      <c r="B13438" t="s">
        <v>15782</v>
      </c>
      <c r="C13438" t="s">
        <v>15783</v>
      </c>
      <c r="D13438" t="s">
        <v>15716</v>
      </c>
      <c r="E13438" t="s">
        <v>15717</v>
      </c>
      <c r="F13438" t="s">
        <v>3670</v>
      </c>
      <c r="G13438" t="s">
        <v>47135</v>
      </c>
      <c r="H13438" t="s">
        <v>47071</v>
      </c>
      <c r="I13438" t="s">
        <v>47120</v>
      </c>
      <c r="J13438" t="s">
        <v>47121</v>
      </c>
      <c r="K13438" t="s">
        <v>47113</v>
      </c>
      <c r="L13438">
        <v>13.72</v>
      </c>
      <c r="M13438">
        <v>20</v>
      </c>
      <c r="N13438">
        <v>0</v>
      </c>
      <c r="O13438">
        <v>20</v>
      </c>
      <c r="P13438">
        <v>0</v>
      </c>
    </row>
    <row r="13439" spans="1:16" x14ac:dyDescent="0.25">
      <c r="A13439" t="s">
        <v>36352</v>
      </c>
      <c r="B13439" t="s">
        <v>15784</v>
      </c>
      <c r="C13439" t="s">
        <v>15785</v>
      </c>
      <c r="D13439" t="s">
        <v>15716</v>
      </c>
      <c r="E13439" t="s">
        <v>15717</v>
      </c>
      <c r="F13439" t="s">
        <v>3670</v>
      </c>
      <c r="G13439" t="s">
        <v>47072</v>
      </c>
      <c r="H13439" t="s">
        <v>47071</v>
      </c>
      <c r="I13439" t="s">
        <v>47120</v>
      </c>
      <c r="J13439" t="s">
        <v>47121</v>
      </c>
      <c r="K13439" t="s">
        <v>47113</v>
      </c>
      <c r="L13439">
        <v>19.309999999999999</v>
      </c>
      <c r="M13439">
        <v>28</v>
      </c>
      <c r="N13439">
        <v>0</v>
      </c>
      <c r="O13439">
        <v>28</v>
      </c>
      <c r="P13439">
        <v>0</v>
      </c>
    </row>
    <row r="13440" spans="1:16" x14ac:dyDescent="0.25">
      <c r="A13440" t="s">
        <v>36353</v>
      </c>
      <c r="B13440" t="s">
        <v>15786</v>
      </c>
      <c r="C13440" t="s">
        <v>15787</v>
      </c>
      <c r="D13440" t="s">
        <v>15722</v>
      </c>
      <c r="E13440" t="s">
        <v>15723</v>
      </c>
      <c r="F13440" t="s">
        <v>3670</v>
      </c>
      <c r="G13440" t="s">
        <v>47072</v>
      </c>
      <c r="H13440" t="s">
        <v>47071</v>
      </c>
      <c r="I13440" t="s">
        <v>47120</v>
      </c>
      <c r="J13440" t="s">
        <v>47121</v>
      </c>
      <c r="K13440" t="s">
        <v>47113</v>
      </c>
      <c r="L13440">
        <v>41.7</v>
      </c>
      <c r="M13440">
        <v>59</v>
      </c>
      <c r="N13440">
        <v>0</v>
      </c>
      <c r="O13440">
        <v>59</v>
      </c>
      <c r="P13440">
        <v>0</v>
      </c>
    </row>
    <row r="13441" spans="1:16" x14ac:dyDescent="0.25">
      <c r="A13441" t="s">
        <v>36354</v>
      </c>
      <c r="B13441" t="s">
        <v>15788</v>
      </c>
      <c r="C13441" t="s">
        <v>15725</v>
      </c>
      <c r="D13441" t="s">
        <v>15698</v>
      </c>
      <c r="E13441" t="s">
        <v>15699</v>
      </c>
      <c r="F13441" t="s">
        <v>3670</v>
      </c>
      <c r="G13441" t="s">
        <v>47079</v>
      </c>
      <c r="H13441" t="s">
        <v>47071</v>
      </c>
      <c r="I13441" t="s">
        <v>47120</v>
      </c>
      <c r="J13441" t="s">
        <v>47121</v>
      </c>
      <c r="K13441" t="s">
        <v>47113</v>
      </c>
      <c r="L13441">
        <v>16.52</v>
      </c>
      <c r="M13441">
        <v>24</v>
      </c>
      <c r="N13441">
        <v>0</v>
      </c>
      <c r="O13441">
        <v>24</v>
      </c>
      <c r="P13441">
        <v>0</v>
      </c>
    </row>
    <row r="13442" spans="1:16" x14ac:dyDescent="0.25">
      <c r="A13442" t="s">
        <v>36355</v>
      </c>
      <c r="B13442" t="s">
        <v>15789</v>
      </c>
      <c r="C13442" t="s">
        <v>15727</v>
      </c>
      <c r="D13442" t="s">
        <v>15728</v>
      </c>
      <c r="E13442" t="s">
        <v>15729</v>
      </c>
      <c r="F13442" t="s">
        <v>3670</v>
      </c>
      <c r="G13442" t="s">
        <v>47076</v>
      </c>
      <c r="H13442" t="s">
        <v>47071</v>
      </c>
      <c r="I13442" t="s">
        <v>47120</v>
      </c>
      <c r="J13442" t="s">
        <v>47121</v>
      </c>
      <c r="K13442" t="s">
        <v>47113</v>
      </c>
      <c r="L13442">
        <v>27.71</v>
      </c>
      <c r="M13442">
        <v>39</v>
      </c>
      <c r="N13442">
        <v>0</v>
      </c>
      <c r="O13442">
        <v>39</v>
      </c>
      <c r="P13442">
        <v>0</v>
      </c>
    </row>
    <row r="13443" spans="1:16" x14ac:dyDescent="0.25">
      <c r="A13443" t="s">
        <v>36356</v>
      </c>
      <c r="B13443" t="s">
        <v>15790</v>
      </c>
      <c r="C13443" t="s">
        <v>15731</v>
      </c>
      <c r="D13443" t="s">
        <v>15651</v>
      </c>
      <c r="E13443" t="s">
        <v>15652</v>
      </c>
      <c r="F13443" t="s">
        <v>3670</v>
      </c>
      <c r="G13443" t="s">
        <v>48601</v>
      </c>
      <c r="H13443" t="s">
        <v>47071</v>
      </c>
      <c r="I13443" t="s">
        <v>47120</v>
      </c>
      <c r="J13443" t="s">
        <v>47121</v>
      </c>
      <c r="K13443" t="s">
        <v>47113</v>
      </c>
      <c r="L13443">
        <v>8.4</v>
      </c>
      <c r="M13443">
        <v>12</v>
      </c>
      <c r="N13443">
        <v>0</v>
      </c>
      <c r="O13443">
        <v>12</v>
      </c>
      <c r="P13443">
        <v>0</v>
      </c>
    </row>
    <row r="13444" spans="1:16" x14ac:dyDescent="0.25">
      <c r="A13444" t="s">
        <v>36357</v>
      </c>
      <c r="B13444" t="s">
        <v>15790</v>
      </c>
      <c r="C13444" t="s">
        <v>15731</v>
      </c>
      <c r="D13444" t="s">
        <v>14429</v>
      </c>
      <c r="E13444" t="s">
        <v>60</v>
      </c>
      <c r="F13444" t="s">
        <v>3670</v>
      </c>
      <c r="G13444" t="s">
        <v>48601</v>
      </c>
      <c r="H13444" t="s">
        <v>47071</v>
      </c>
      <c r="I13444" t="s">
        <v>47120</v>
      </c>
      <c r="J13444" t="s">
        <v>47121</v>
      </c>
      <c r="K13444" t="s">
        <v>47113</v>
      </c>
      <c r="L13444">
        <v>8.4</v>
      </c>
      <c r="M13444">
        <v>12</v>
      </c>
      <c r="N13444">
        <v>0</v>
      </c>
      <c r="O13444">
        <v>12</v>
      </c>
      <c r="P13444">
        <v>0</v>
      </c>
    </row>
    <row r="13445" spans="1:16" x14ac:dyDescent="0.25">
      <c r="A13445" t="s">
        <v>36358</v>
      </c>
      <c r="B13445" t="s">
        <v>15791</v>
      </c>
      <c r="C13445" t="s">
        <v>15792</v>
      </c>
      <c r="D13445" t="s">
        <v>15734</v>
      </c>
      <c r="E13445" t="s">
        <v>15735</v>
      </c>
      <c r="F13445" t="s">
        <v>3670</v>
      </c>
      <c r="G13445" t="s">
        <v>47077</v>
      </c>
      <c r="H13445" t="s">
        <v>47071</v>
      </c>
      <c r="I13445" t="s">
        <v>47120</v>
      </c>
      <c r="J13445" t="s">
        <v>47121</v>
      </c>
      <c r="K13445" t="s">
        <v>47113</v>
      </c>
      <c r="L13445">
        <v>16.52</v>
      </c>
      <c r="M13445">
        <v>24</v>
      </c>
      <c r="N13445">
        <v>0</v>
      </c>
      <c r="O13445">
        <v>24</v>
      </c>
      <c r="P13445">
        <v>0</v>
      </c>
    </row>
    <row r="13446" spans="1:16" x14ac:dyDescent="0.25">
      <c r="A13446" t="s">
        <v>36359</v>
      </c>
      <c r="B13446" t="s">
        <v>15793</v>
      </c>
      <c r="C13446" t="s">
        <v>15737</v>
      </c>
      <c r="D13446" t="s">
        <v>15695</v>
      </c>
      <c r="E13446" t="s">
        <v>15696</v>
      </c>
      <c r="F13446" t="s">
        <v>3670</v>
      </c>
      <c r="G13446" t="s">
        <v>47080</v>
      </c>
      <c r="H13446" t="s">
        <v>47071</v>
      </c>
      <c r="I13446" t="s">
        <v>47120</v>
      </c>
      <c r="J13446" t="s">
        <v>47121</v>
      </c>
      <c r="K13446" t="s">
        <v>47113</v>
      </c>
      <c r="L13446">
        <v>16.52</v>
      </c>
      <c r="M13446">
        <v>24</v>
      </c>
      <c r="N13446">
        <v>0</v>
      </c>
      <c r="O13446">
        <v>24</v>
      </c>
      <c r="P13446">
        <v>0</v>
      </c>
    </row>
    <row r="13447" spans="1:16" x14ac:dyDescent="0.25">
      <c r="A13447" t="s">
        <v>36360</v>
      </c>
      <c r="B13447" t="s">
        <v>15794</v>
      </c>
      <c r="C13447" t="s">
        <v>15739</v>
      </c>
      <c r="D13447" t="s">
        <v>15740</v>
      </c>
      <c r="E13447" t="s">
        <v>42</v>
      </c>
      <c r="F13447" t="s">
        <v>3670</v>
      </c>
      <c r="G13447" t="s">
        <v>47073</v>
      </c>
      <c r="H13447" t="s">
        <v>47071</v>
      </c>
      <c r="I13447" t="s">
        <v>47120</v>
      </c>
      <c r="J13447" t="s">
        <v>47121</v>
      </c>
      <c r="K13447" t="s">
        <v>47113</v>
      </c>
      <c r="L13447">
        <v>8.4</v>
      </c>
      <c r="M13447">
        <v>12</v>
      </c>
      <c r="N13447">
        <v>0</v>
      </c>
      <c r="O13447">
        <v>12</v>
      </c>
      <c r="P13447">
        <v>0</v>
      </c>
    </row>
    <row r="13448" spans="1:16" x14ac:dyDescent="0.25">
      <c r="A13448" t="s">
        <v>36361</v>
      </c>
      <c r="B13448" t="s">
        <v>15794</v>
      </c>
      <c r="C13448" t="s">
        <v>15739</v>
      </c>
      <c r="D13448" t="s">
        <v>14429</v>
      </c>
      <c r="E13448" t="s">
        <v>60</v>
      </c>
      <c r="F13448" t="s">
        <v>3670</v>
      </c>
      <c r="G13448" t="s">
        <v>47073</v>
      </c>
      <c r="H13448" t="s">
        <v>47071</v>
      </c>
      <c r="I13448" t="s">
        <v>47120</v>
      </c>
      <c r="J13448" t="s">
        <v>47121</v>
      </c>
      <c r="K13448" t="s">
        <v>47113</v>
      </c>
      <c r="L13448">
        <v>8.4</v>
      </c>
      <c r="M13448">
        <v>12</v>
      </c>
      <c r="N13448">
        <v>0</v>
      </c>
      <c r="O13448">
        <v>12</v>
      </c>
      <c r="P13448">
        <v>0</v>
      </c>
    </row>
    <row r="13449" spans="1:16" x14ac:dyDescent="0.25">
      <c r="A13449" t="s">
        <v>36362</v>
      </c>
      <c r="B13449" t="s">
        <v>15795</v>
      </c>
      <c r="C13449" t="s">
        <v>15742</v>
      </c>
      <c r="D13449" t="s">
        <v>15651</v>
      </c>
      <c r="E13449" t="s">
        <v>15652</v>
      </c>
      <c r="F13449" t="s">
        <v>3670</v>
      </c>
      <c r="G13449" t="s">
        <v>47073</v>
      </c>
      <c r="H13449" t="s">
        <v>47071</v>
      </c>
      <c r="I13449" t="s">
        <v>47120</v>
      </c>
      <c r="J13449" t="s">
        <v>47121</v>
      </c>
      <c r="K13449" t="s">
        <v>47113</v>
      </c>
      <c r="L13449">
        <v>9.8000000000000007</v>
      </c>
      <c r="M13449">
        <v>14</v>
      </c>
      <c r="N13449">
        <v>0</v>
      </c>
      <c r="O13449">
        <v>14</v>
      </c>
      <c r="P13449">
        <v>0</v>
      </c>
    </row>
    <row r="13450" spans="1:16" x14ac:dyDescent="0.25">
      <c r="A13450" t="s">
        <v>36363</v>
      </c>
      <c r="B13450" t="s">
        <v>15796</v>
      </c>
      <c r="C13450" t="s">
        <v>15744</v>
      </c>
      <c r="D13450" t="s">
        <v>15745</v>
      </c>
      <c r="E13450" t="s">
        <v>15746</v>
      </c>
      <c r="F13450" t="s">
        <v>3670</v>
      </c>
      <c r="G13450" t="s">
        <v>47073</v>
      </c>
      <c r="H13450" t="s">
        <v>47071</v>
      </c>
      <c r="I13450" t="s">
        <v>47120</v>
      </c>
      <c r="J13450" t="s">
        <v>47121</v>
      </c>
      <c r="K13450" t="s">
        <v>47113</v>
      </c>
      <c r="L13450">
        <v>9.8000000000000007</v>
      </c>
      <c r="M13450">
        <v>14</v>
      </c>
      <c r="N13450">
        <v>0</v>
      </c>
      <c r="O13450">
        <v>14</v>
      </c>
      <c r="P13450">
        <v>0</v>
      </c>
    </row>
    <row r="13451" spans="1:16" x14ac:dyDescent="0.25">
      <c r="A13451" t="s">
        <v>36364</v>
      </c>
      <c r="B13451" t="s">
        <v>15797</v>
      </c>
      <c r="C13451" t="s">
        <v>15748</v>
      </c>
      <c r="D13451" t="s">
        <v>15654</v>
      </c>
      <c r="E13451" t="s">
        <v>15655</v>
      </c>
      <c r="F13451" t="s">
        <v>3670</v>
      </c>
      <c r="G13451" t="s">
        <v>47073</v>
      </c>
      <c r="H13451" t="s">
        <v>47071</v>
      </c>
      <c r="I13451" t="s">
        <v>47120</v>
      </c>
      <c r="J13451" t="s">
        <v>47121</v>
      </c>
      <c r="K13451" t="s">
        <v>47113</v>
      </c>
      <c r="L13451">
        <v>9.8000000000000007</v>
      </c>
      <c r="M13451">
        <v>14</v>
      </c>
      <c r="N13451">
        <v>0</v>
      </c>
      <c r="O13451">
        <v>14</v>
      </c>
      <c r="P13451">
        <v>0</v>
      </c>
    </row>
    <row r="13452" spans="1:16" x14ac:dyDescent="0.25">
      <c r="A13452" t="s">
        <v>36365</v>
      </c>
      <c r="B13452" t="s">
        <v>15797</v>
      </c>
      <c r="C13452" t="s">
        <v>15748</v>
      </c>
      <c r="D13452" t="s">
        <v>15749</v>
      </c>
      <c r="E13452" t="s">
        <v>15750</v>
      </c>
      <c r="F13452" t="s">
        <v>3670</v>
      </c>
      <c r="G13452" t="s">
        <v>47073</v>
      </c>
      <c r="H13452" t="s">
        <v>47071</v>
      </c>
      <c r="I13452" t="s">
        <v>47120</v>
      </c>
      <c r="J13452" t="s">
        <v>47121</v>
      </c>
      <c r="K13452" t="s">
        <v>47113</v>
      </c>
      <c r="L13452">
        <v>9.8000000000000007</v>
      </c>
      <c r="M13452">
        <v>14</v>
      </c>
      <c r="N13452">
        <v>0</v>
      </c>
      <c r="O13452">
        <v>14</v>
      </c>
      <c r="P13452">
        <v>0</v>
      </c>
    </row>
    <row r="13453" spans="1:16" x14ac:dyDescent="0.25">
      <c r="A13453" t="s">
        <v>36366</v>
      </c>
      <c r="B13453" t="s">
        <v>15798</v>
      </c>
      <c r="C13453" t="s">
        <v>15739</v>
      </c>
      <c r="D13453" t="s">
        <v>15752</v>
      </c>
      <c r="E13453" t="s">
        <v>15753</v>
      </c>
      <c r="F13453" t="s">
        <v>3670</v>
      </c>
      <c r="G13453" t="s">
        <v>47073</v>
      </c>
      <c r="H13453" t="s">
        <v>47071</v>
      </c>
      <c r="I13453" t="s">
        <v>47120</v>
      </c>
      <c r="J13453" t="s">
        <v>47121</v>
      </c>
      <c r="K13453" t="s">
        <v>47113</v>
      </c>
      <c r="L13453">
        <v>8.3800000000000008</v>
      </c>
      <c r="M13453">
        <v>12</v>
      </c>
      <c r="N13453">
        <v>0</v>
      </c>
      <c r="O13453">
        <v>12</v>
      </c>
      <c r="P13453">
        <v>0</v>
      </c>
    </row>
    <row r="13454" spans="1:16" x14ac:dyDescent="0.25">
      <c r="A13454" t="s">
        <v>36367</v>
      </c>
      <c r="B13454" t="s">
        <v>15798</v>
      </c>
      <c r="C13454" t="s">
        <v>15739</v>
      </c>
      <c r="D13454" t="s">
        <v>15651</v>
      </c>
      <c r="E13454" t="s">
        <v>15652</v>
      </c>
      <c r="F13454" t="s">
        <v>3670</v>
      </c>
      <c r="G13454" t="s">
        <v>47073</v>
      </c>
      <c r="H13454" t="s">
        <v>47071</v>
      </c>
      <c r="I13454" t="s">
        <v>47120</v>
      </c>
      <c r="J13454" t="s">
        <v>47121</v>
      </c>
      <c r="K13454" t="s">
        <v>47113</v>
      </c>
      <c r="L13454">
        <v>8.3800000000000008</v>
      </c>
      <c r="M13454">
        <v>12</v>
      </c>
      <c r="N13454">
        <v>0</v>
      </c>
      <c r="O13454">
        <v>12</v>
      </c>
      <c r="P13454">
        <v>0</v>
      </c>
    </row>
    <row r="13455" spans="1:16" x14ac:dyDescent="0.25">
      <c r="A13455" t="s">
        <v>36368</v>
      </c>
      <c r="B13455" t="s">
        <v>15799</v>
      </c>
      <c r="C13455" t="s">
        <v>15755</v>
      </c>
      <c r="D13455" t="s">
        <v>15756</v>
      </c>
      <c r="E13455" t="s">
        <v>15757</v>
      </c>
      <c r="F13455" t="s">
        <v>3670</v>
      </c>
      <c r="G13455" t="s">
        <v>47073</v>
      </c>
      <c r="H13455" t="s">
        <v>47071</v>
      </c>
      <c r="I13455" t="s">
        <v>47120</v>
      </c>
      <c r="J13455" t="s">
        <v>47121</v>
      </c>
      <c r="K13455" t="s">
        <v>47113</v>
      </c>
      <c r="L13455">
        <v>10.92</v>
      </c>
      <c r="M13455">
        <v>16</v>
      </c>
      <c r="N13455">
        <v>0</v>
      </c>
      <c r="O13455">
        <v>16</v>
      </c>
      <c r="P13455">
        <v>0</v>
      </c>
    </row>
    <row r="13456" spans="1:16" x14ac:dyDescent="0.25">
      <c r="A13456" t="s">
        <v>36369</v>
      </c>
      <c r="B13456" t="s">
        <v>15799</v>
      </c>
      <c r="C13456" t="s">
        <v>15755</v>
      </c>
      <c r="D13456" t="s">
        <v>15654</v>
      </c>
      <c r="E13456" t="s">
        <v>15655</v>
      </c>
      <c r="F13456" t="s">
        <v>3670</v>
      </c>
      <c r="G13456" t="s">
        <v>47073</v>
      </c>
      <c r="H13456" t="s">
        <v>47071</v>
      </c>
      <c r="I13456" t="s">
        <v>47120</v>
      </c>
      <c r="J13456" t="s">
        <v>47121</v>
      </c>
      <c r="K13456" t="s">
        <v>47113</v>
      </c>
      <c r="L13456">
        <v>10.92</v>
      </c>
      <c r="M13456">
        <v>16</v>
      </c>
      <c r="N13456">
        <v>0</v>
      </c>
      <c r="O13456">
        <v>16</v>
      </c>
      <c r="P13456">
        <v>0</v>
      </c>
    </row>
    <row r="13457" spans="1:16" x14ac:dyDescent="0.25">
      <c r="A13457" t="s">
        <v>36370</v>
      </c>
      <c r="B13457" t="s">
        <v>15800</v>
      </c>
      <c r="C13457" t="s">
        <v>15759</v>
      </c>
      <c r="D13457" t="s">
        <v>15702</v>
      </c>
      <c r="E13457" t="s">
        <v>15703</v>
      </c>
      <c r="F13457" t="s">
        <v>3670</v>
      </c>
      <c r="G13457" t="s">
        <v>47075</v>
      </c>
      <c r="H13457" t="s">
        <v>47071</v>
      </c>
      <c r="I13457" t="s">
        <v>47120</v>
      </c>
      <c r="J13457" t="s">
        <v>47121</v>
      </c>
      <c r="K13457" t="s">
        <v>47113</v>
      </c>
      <c r="L13457">
        <v>24.91</v>
      </c>
      <c r="M13457">
        <v>36</v>
      </c>
      <c r="N13457">
        <v>0</v>
      </c>
      <c r="O13457">
        <v>36</v>
      </c>
      <c r="P13457">
        <v>0</v>
      </c>
    </row>
    <row r="13458" spans="1:16" x14ac:dyDescent="0.25">
      <c r="A13458" t="s">
        <v>36371</v>
      </c>
      <c r="B13458" t="s">
        <v>15801</v>
      </c>
      <c r="C13458" t="s">
        <v>15761</v>
      </c>
      <c r="D13458" t="s">
        <v>15651</v>
      </c>
      <c r="E13458" t="s">
        <v>15652</v>
      </c>
      <c r="F13458" t="s">
        <v>3670</v>
      </c>
      <c r="G13458" t="s">
        <v>47135</v>
      </c>
      <c r="H13458" t="s">
        <v>47071</v>
      </c>
      <c r="I13458" t="s">
        <v>47120</v>
      </c>
      <c r="J13458" t="s">
        <v>47121</v>
      </c>
      <c r="K13458" t="s">
        <v>47113</v>
      </c>
      <c r="L13458">
        <v>19.309999999999999</v>
      </c>
      <c r="M13458">
        <v>28</v>
      </c>
      <c r="N13458">
        <v>0</v>
      </c>
      <c r="O13458">
        <v>28</v>
      </c>
      <c r="P13458">
        <v>0</v>
      </c>
    </row>
    <row r="13459" spans="1:16" x14ac:dyDescent="0.25">
      <c r="A13459" t="s">
        <v>46972</v>
      </c>
      <c r="B13459" t="s">
        <v>46777</v>
      </c>
      <c r="C13459" t="s">
        <v>46778</v>
      </c>
      <c r="D13459" t="s">
        <v>15734</v>
      </c>
      <c r="E13459" t="s">
        <v>15735</v>
      </c>
      <c r="F13459" t="s">
        <v>27965</v>
      </c>
      <c r="G13459" t="s">
        <v>47145</v>
      </c>
      <c r="H13459" t="s">
        <v>47071</v>
      </c>
      <c r="I13459" t="s">
        <v>47120</v>
      </c>
      <c r="J13459" t="s">
        <v>47121</v>
      </c>
      <c r="K13459" t="s">
        <v>47113</v>
      </c>
      <c r="L13459">
        <v>27.26</v>
      </c>
      <c r="M13459">
        <v>52</v>
      </c>
      <c r="N13459">
        <v>129</v>
      </c>
      <c r="O13459">
        <v>52</v>
      </c>
      <c r="P13459">
        <v>129</v>
      </c>
    </row>
    <row r="13460" spans="1:16" x14ac:dyDescent="0.25">
      <c r="A13460" t="s">
        <v>46973</v>
      </c>
      <c r="B13460" t="s">
        <v>46779</v>
      </c>
      <c r="C13460" t="s">
        <v>21211</v>
      </c>
      <c r="D13460" t="s">
        <v>46780</v>
      </c>
      <c r="E13460" t="s">
        <v>46781</v>
      </c>
      <c r="F13460" t="s">
        <v>27965</v>
      </c>
      <c r="G13460" t="s">
        <v>47081</v>
      </c>
      <c r="H13460" t="s">
        <v>47071</v>
      </c>
      <c r="I13460" t="s">
        <v>47116</v>
      </c>
      <c r="J13460" t="s">
        <v>47117</v>
      </c>
      <c r="K13460" t="s">
        <v>47113</v>
      </c>
      <c r="L13460">
        <v>35.729999999999997</v>
      </c>
      <c r="M13460">
        <v>80</v>
      </c>
      <c r="N13460">
        <v>199</v>
      </c>
      <c r="O13460">
        <v>80</v>
      </c>
      <c r="P13460">
        <v>199</v>
      </c>
    </row>
    <row r="13461" spans="1:16" x14ac:dyDescent="0.25">
      <c r="A13461" t="s">
        <v>46974</v>
      </c>
      <c r="B13461" t="s">
        <v>46782</v>
      </c>
      <c r="C13461" t="s">
        <v>46783</v>
      </c>
      <c r="D13461" t="s">
        <v>46784</v>
      </c>
      <c r="E13461" t="s">
        <v>46785</v>
      </c>
      <c r="F13461" t="s">
        <v>27965</v>
      </c>
      <c r="G13461" t="s">
        <v>47081</v>
      </c>
      <c r="H13461" t="s">
        <v>47071</v>
      </c>
      <c r="I13461" t="s">
        <v>47116</v>
      </c>
      <c r="J13461" t="s">
        <v>47117</v>
      </c>
      <c r="K13461" t="s">
        <v>47113</v>
      </c>
      <c r="L13461">
        <v>24.67</v>
      </c>
      <c r="M13461">
        <v>52</v>
      </c>
      <c r="N13461">
        <v>129</v>
      </c>
      <c r="O13461">
        <v>52</v>
      </c>
      <c r="P13461">
        <v>129</v>
      </c>
    </row>
    <row r="13462" spans="1:16" x14ac:dyDescent="0.25">
      <c r="A13462" t="s">
        <v>46975</v>
      </c>
      <c r="B13462" t="s">
        <v>46786</v>
      </c>
      <c r="C13462" t="s">
        <v>46787</v>
      </c>
      <c r="D13462" t="s">
        <v>46788</v>
      </c>
      <c r="E13462" t="s">
        <v>46789</v>
      </c>
      <c r="F13462" t="s">
        <v>27965</v>
      </c>
      <c r="G13462" t="s">
        <v>47081</v>
      </c>
      <c r="H13462" t="s">
        <v>47071</v>
      </c>
      <c r="I13462" t="s">
        <v>47116</v>
      </c>
      <c r="J13462" t="s">
        <v>47117</v>
      </c>
      <c r="K13462" t="s">
        <v>47113</v>
      </c>
      <c r="L13462">
        <v>35.76</v>
      </c>
      <c r="M13462">
        <v>80</v>
      </c>
      <c r="N13462">
        <v>199</v>
      </c>
      <c r="O13462">
        <v>80</v>
      </c>
      <c r="P13462">
        <v>199</v>
      </c>
    </row>
    <row r="13463" spans="1:16" x14ac:dyDescent="0.25">
      <c r="A13463" t="s">
        <v>46976</v>
      </c>
      <c r="B13463" t="s">
        <v>46790</v>
      </c>
      <c r="C13463" t="s">
        <v>46791</v>
      </c>
      <c r="D13463" t="s">
        <v>9513</v>
      </c>
      <c r="E13463" t="s">
        <v>9514</v>
      </c>
      <c r="F13463" t="s">
        <v>27965</v>
      </c>
      <c r="G13463" t="s">
        <v>47087</v>
      </c>
      <c r="H13463" t="s">
        <v>47071</v>
      </c>
      <c r="I13463" t="s">
        <v>47120</v>
      </c>
      <c r="J13463" t="s">
        <v>47121</v>
      </c>
      <c r="K13463" t="s">
        <v>47113</v>
      </c>
      <c r="L13463">
        <v>15</v>
      </c>
      <c r="M13463">
        <v>28</v>
      </c>
      <c r="N13463">
        <v>69</v>
      </c>
      <c r="O13463">
        <v>28</v>
      </c>
      <c r="P13463">
        <v>69</v>
      </c>
    </row>
    <row r="13464" spans="1:16" x14ac:dyDescent="0.25">
      <c r="A13464" t="s">
        <v>46977</v>
      </c>
      <c r="B13464" t="s">
        <v>46792</v>
      </c>
      <c r="C13464" t="s">
        <v>46793</v>
      </c>
      <c r="D13464" t="s">
        <v>46794</v>
      </c>
      <c r="E13464" t="s">
        <v>46795</v>
      </c>
      <c r="F13464" t="s">
        <v>27965</v>
      </c>
      <c r="G13464" t="s">
        <v>47147</v>
      </c>
      <c r="H13464" t="s">
        <v>47071</v>
      </c>
      <c r="I13464" t="s">
        <v>47116</v>
      </c>
      <c r="J13464" t="s">
        <v>47117</v>
      </c>
      <c r="K13464" t="s">
        <v>47113</v>
      </c>
      <c r="L13464">
        <v>24.67</v>
      </c>
      <c r="M13464">
        <v>52</v>
      </c>
      <c r="N13464">
        <v>129</v>
      </c>
      <c r="O13464">
        <v>52</v>
      </c>
      <c r="P13464">
        <v>129</v>
      </c>
    </row>
    <row r="13465" spans="1:16" x14ac:dyDescent="0.25">
      <c r="A13465" t="s">
        <v>48609</v>
      </c>
      <c r="B13465" t="s">
        <v>48610</v>
      </c>
      <c r="C13465" t="s">
        <v>46793</v>
      </c>
      <c r="D13465" t="s">
        <v>48611</v>
      </c>
      <c r="E13465" t="s">
        <v>8242</v>
      </c>
      <c r="F13465" t="s">
        <v>27965</v>
      </c>
      <c r="G13465" t="s">
        <v>47147</v>
      </c>
      <c r="H13465" t="s">
        <v>47071</v>
      </c>
      <c r="I13465" t="s">
        <v>47116</v>
      </c>
      <c r="J13465" t="s">
        <v>47117</v>
      </c>
      <c r="K13465" t="s">
        <v>47113</v>
      </c>
      <c r="L13465">
        <v>24.67</v>
      </c>
      <c r="M13465">
        <v>52</v>
      </c>
      <c r="N13465">
        <v>129</v>
      </c>
      <c r="O13465">
        <v>52</v>
      </c>
      <c r="P13465">
        <v>129</v>
      </c>
    </row>
    <row r="13466" spans="1:16" x14ac:dyDescent="0.25">
      <c r="A13466" t="s">
        <v>46978</v>
      </c>
      <c r="B13466" t="s">
        <v>46796</v>
      </c>
      <c r="C13466" t="s">
        <v>46797</v>
      </c>
      <c r="D13466" t="s">
        <v>9513</v>
      </c>
      <c r="E13466" t="s">
        <v>9514</v>
      </c>
      <c r="F13466" t="s">
        <v>27965</v>
      </c>
      <c r="G13466" t="s">
        <v>47087</v>
      </c>
      <c r="H13466" t="s">
        <v>47071</v>
      </c>
      <c r="I13466" t="s">
        <v>47120</v>
      </c>
      <c r="J13466" t="s">
        <v>47121</v>
      </c>
      <c r="K13466" t="s">
        <v>47113</v>
      </c>
      <c r="L13466">
        <v>15</v>
      </c>
      <c r="M13466">
        <v>28</v>
      </c>
      <c r="N13466">
        <v>69</v>
      </c>
      <c r="O13466">
        <v>28</v>
      </c>
      <c r="P13466">
        <v>69</v>
      </c>
    </row>
    <row r="13467" spans="1:16" x14ac:dyDescent="0.25">
      <c r="A13467" t="s">
        <v>46979</v>
      </c>
      <c r="B13467" t="s">
        <v>46798</v>
      </c>
      <c r="C13467" t="s">
        <v>46799</v>
      </c>
      <c r="D13467" t="s">
        <v>46800</v>
      </c>
      <c r="E13467" t="s">
        <v>46801</v>
      </c>
      <c r="F13467" t="s">
        <v>27965</v>
      </c>
      <c r="G13467" t="s">
        <v>47087</v>
      </c>
      <c r="H13467" t="s">
        <v>47071</v>
      </c>
      <c r="I13467" t="s">
        <v>47120</v>
      </c>
      <c r="J13467" t="s">
        <v>47121</v>
      </c>
      <c r="K13467" t="s">
        <v>47113</v>
      </c>
      <c r="L13467">
        <v>16.36</v>
      </c>
      <c r="M13467">
        <v>40</v>
      </c>
      <c r="N13467">
        <v>99</v>
      </c>
      <c r="O13467">
        <v>40</v>
      </c>
      <c r="P13467">
        <v>99</v>
      </c>
    </row>
    <row r="13468" spans="1:16" x14ac:dyDescent="0.25">
      <c r="A13468" t="s">
        <v>46980</v>
      </c>
      <c r="B13468" t="s">
        <v>46802</v>
      </c>
      <c r="C13468" t="s">
        <v>46803</v>
      </c>
      <c r="D13468" t="s">
        <v>14429</v>
      </c>
      <c r="E13468" t="s">
        <v>60</v>
      </c>
      <c r="F13468" t="s">
        <v>27965</v>
      </c>
      <c r="G13468" t="s">
        <v>47087</v>
      </c>
      <c r="H13468" t="s">
        <v>47071</v>
      </c>
      <c r="I13468" t="s">
        <v>48612</v>
      </c>
      <c r="J13468" t="s">
        <v>48613</v>
      </c>
      <c r="K13468" t="s">
        <v>47113</v>
      </c>
      <c r="L13468">
        <v>13.78</v>
      </c>
      <c r="M13468">
        <v>26</v>
      </c>
      <c r="N13468">
        <v>65</v>
      </c>
      <c r="O13468">
        <v>26</v>
      </c>
      <c r="P13468">
        <v>65</v>
      </c>
    </row>
    <row r="13469" spans="1:16" x14ac:dyDescent="0.25">
      <c r="A13469" t="s">
        <v>46981</v>
      </c>
      <c r="B13469" t="s">
        <v>46804</v>
      </c>
      <c r="C13469" t="s">
        <v>46805</v>
      </c>
      <c r="D13469" t="s">
        <v>18070</v>
      </c>
      <c r="E13469" t="s">
        <v>814</v>
      </c>
      <c r="F13469" t="s">
        <v>27965</v>
      </c>
      <c r="G13469" t="s">
        <v>47087</v>
      </c>
      <c r="H13469" t="s">
        <v>47071</v>
      </c>
      <c r="I13469" t="s">
        <v>48612</v>
      </c>
      <c r="J13469" t="s">
        <v>48613</v>
      </c>
      <c r="K13469" t="s">
        <v>47113</v>
      </c>
      <c r="L13469">
        <v>10.81</v>
      </c>
      <c r="M13469">
        <v>20</v>
      </c>
      <c r="N13469">
        <v>49</v>
      </c>
      <c r="O13469">
        <v>20</v>
      </c>
      <c r="P13469">
        <v>49</v>
      </c>
    </row>
    <row r="13470" spans="1:16" x14ac:dyDescent="0.25">
      <c r="A13470" t="s">
        <v>48614</v>
      </c>
      <c r="B13470" t="s">
        <v>48615</v>
      </c>
      <c r="C13470" t="s">
        <v>46891</v>
      </c>
      <c r="D13470" t="s">
        <v>15734</v>
      </c>
      <c r="E13470" t="s">
        <v>15735</v>
      </c>
      <c r="F13470" t="s">
        <v>27965</v>
      </c>
      <c r="G13470" t="s">
        <v>47087</v>
      </c>
      <c r="H13470" t="s">
        <v>47071</v>
      </c>
      <c r="I13470" t="s">
        <v>48612</v>
      </c>
      <c r="J13470" t="s">
        <v>48613</v>
      </c>
      <c r="K13470" t="s">
        <v>47113</v>
      </c>
      <c r="L13470">
        <v>13.58</v>
      </c>
      <c r="M13470">
        <v>28</v>
      </c>
      <c r="N13470">
        <v>69</v>
      </c>
      <c r="O13470">
        <v>28</v>
      </c>
      <c r="P13470">
        <v>69</v>
      </c>
    </row>
    <row r="13471" spans="1:16" x14ac:dyDescent="0.25">
      <c r="A13471" t="s">
        <v>48616</v>
      </c>
      <c r="B13471" t="s">
        <v>48617</v>
      </c>
      <c r="C13471" t="s">
        <v>46893</v>
      </c>
      <c r="D13471" t="s">
        <v>15692</v>
      </c>
      <c r="E13471" t="s">
        <v>46</v>
      </c>
      <c r="F13471" t="s">
        <v>27965</v>
      </c>
      <c r="G13471" t="s">
        <v>47151</v>
      </c>
      <c r="H13471" t="s">
        <v>47071</v>
      </c>
      <c r="I13471" t="s">
        <v>47120</v>
      </c>
      <c r="J13471" t="s">
        <v>47121</v>
      </c>
      <c r="K13471" t="s">
        <v>47113</v>
      </c>
      <c r="L13471">
        <v>10.81</v>
      </c>
      <c r="M13471">
        <v>20</v>
      </c>
      <c r="N13471">
        <v>49</v>
      </c>
      <c r="O13471">
        <v>20</v>
      </c>
      <c r="P13471">
        <v>49</v>
      </c>
    </row>
    <row r="13472" spans="1:16" x14ac:dyDescent="0.25">
      <c r="A13472" t="s">
        <v>46982</v>
      </c>
      <c r="B13472" t="s">
        <v>46806</v>
      </c>
      <c r="C13472" t="s">
        <v>46807</v>
      </c>
      <c r="D13472" t="s">
        <v>46800</v>
      </c>
      <c r="E13472" t="s">
        <v>46801</v>
      </c>
      <c r="F13472" t="s">
        <v>27965</v>
      </c>
      <c r="G13472" t="s">
        <v>47085</v>
      </c>
      <c r="H13472" t="s">
        <v>47071</v>
      </c>
      <c r="I13472" t="s">
        <v>47120</v>
      </c>
      <c r="J13472" t="s">
        <v>47121</v>
      </c>
      <c r="K13472" t="s">
        <v>47113</v>
      </c>
      <c r="L13472">
        <v>16.36</v>
      </c>
      <c r="M13472">
        <v>40</v>
      </c>
      <c r="N13472">
        <v>99</v>
      </c>
      <c r="O13472">
        <v>40</v>
      </c>
      <c r="P13472">
        <v>99</v>
      </c>
    </row>
    <row r="13473" spans="1:16" x14ac:dyDescent="0.25">
      <c r="A13473" t="s">
        <v>48618</v>
      </c>
      <c r="B13473" t="s">
        <v>48619</v>
      </c>
      <c r="C13473" t="s">
        <v>48620</v>
      </c>
      <c r="D13473" t="s">
        <v>18070</v>
      </c>
      <c r="E13473" t="s">
        <v>814</v>
      </c>
      <c r="F13473" t="s">
        <v>27965</v>
      </c>
      <c r="G13473" t="s">
        <v>47085</v>
      </c>
      <c r="H13473" t="s">
        <v>47071</v>
      </c>
      <c r="I13473" t="s">
        <v>47120</v>
      </c>
      <c r="J13473" t="s">
        <v>47121</v>
      </c>
      <c r="K13473" t="s">
        <v>47113</v>
      </c>
      <c r="L13473">
        <v>15.66</v>
      </c>
      <c r="M13473">
        <v>40</v>
      </c>
      <c r="N13473">
        <v>99</v>
      </c>
      <c r="O13473">
        <v>40</v>
      </c>
      <c r="P13473">
        <v>99</v>
      </c>
    </row>
    <row r="13474" spans="1:16" x14ac:dyDescent="0.25">
      <c r="A13474" t="s">
        <v>48621</v>
      </c>
      <c r="B13474" t="s">
        <v>48619</v>
      </c>
      <c r="C13474" t="s">
        <v>48620</v>
      </c>
      <c r="D13474" t="s">
        <v>9513</v>
      </c>
      <c r="E13474" t="s">
        <v>9514</v>
      </c>
      <c r="F13474" t="s">
        <v>27965</v>
      </c>
      <c r="G13474" t="s">
        <v>47085</v>
      </c>
      <c r="H13474" t="s">
        <v>47071</v>
      </c>
      <c r="I13474" t="s">
        <v>47120</v>
      </c>
      <c r="J13474" t="s">
        <v>47121</v>
      </c>
      <c r="K13474" t="s">
        <v>47113</v>
      </c>
      <c r="L13474">
        <v>15.66</v>
      </c>
      <c r="M13474">
        <v>40</v>
      </c>
      <c r="N13474">
        <v>99</v>
      </c>
      <c r="O13474">
        <v>40</v>
      </c>
      <c r="P13474">
        <v>99</v>
      </c>
    </row>
    <row r="13475" spans="1:16" x14ac:dyDescent="0.25">
      <c r="A13475" t="s">
        <v>48622</v>
      </c>
      <c r="B13475" t="s">
        <v>48623</v>
      </c>
      <c r="C13475" t="s">
        <v>46896</v>
      </c>
      <c r="D13475" t="s">
        <v>21144</v>
      </c>
      <c r="E13475" t="s">
        <v>21145</v>
      </c>
      <c r="F13475" t="s">
        <v>27965</v>
      </c>
      <c r="G13475" t="s">
        <v>47087</v>
      </c>
      <c r="H13475" t="s">
        <v>47071</v>
      </c>
      <c r="I13475" t="s">
        <v>47120</v>
      </c>
      <c r="J13475" t="s">
        <v>47121</v>
      </c>
      <c r="K13475" t="s">
        <v>47113</v>
      </c>
      <c r="L13475">
        <v>11.95</v>
      </c>
      <c r="M13475">
        <v>20</v>
      </c>
      <c r="N13475">
        <v>49</v>
      </c>
      <c r="O13475">
        <v>20</v>
      </c>
      <c r="P13475">
        <v>49</v>
      </c>
    </row>
    <row r="13476" spans="1:16" x14ac:dyDescent="0.25">
      <c r="A13476" t="s">
        <v>36372</v>
      </c>
      <c r="B13476" t="s">
        <v>36373</v>
      </c>
      <c r="C13476" t="s">
        <v>36374</v>
      </c>
      <c r="D13476" t="s">
        <v>21134</v>
      </c>
      <c r="E13476" t="s">
        <v>21135</v>
      </c>
      <c r="F13476" t="s">
        <v>17351</v>
      </c>
      <c r="G13476" t="s">
        <v>47149</v>
      </c>
      <c r="H13476" t="s">
        <v>47071</v>
      </c>
      <c r="I13476" t="s">
        <v>47116</v>
      </c>
      <c r="J13476" t="s">
        <v>47117</v>
      </c>
      <c r="K13476" t="s">
        <v>47113</v>
      </c>
      <c r="L13476">
        <v>27.25</v>
      </c>
      <c r="M13476">
        <v>52</v>
      </c>
      <c r="N13476">
        <v>0</v>
      </c>
      <c r="O13476">
        <v>52</v>
      </c>
      <c r="P13476">
        <v>0</v>
      </c>
    </row>
    <row r="13477" spans="1:16" x14ac:dyDescent="0.25">
      <c r="A13477" t="s">
        <v>36375</v>
      </c>
      <c r="B13477" t="s">
        <v>36376</v>
      </c>
      <c r="C13477" t="s">
        <v>21187</v>
      </c>
      <c r="D13477" t="s">
        <v>21130</v>
      </c>
      <c r="E13477" t="s">
        <v>21131</v>
      </c>
      <c r="F13477" t="s">
        <v>17351</v>
      </c>
      <c r="G13477" t="s">
        <v>47087</v>
      </c>
      <c r="H13477" t="s">
        <v>47071</v>
      </c>
      <c r="I13477" t="s">
        <v>47120</v>
      </c>
      <c r="J13477" t="s">
        <v>47121</v>
      </c>
      <c r="K13477" t="s">
        <v>47113</v>
      </c>
      <c r="L13477">
        <v>11.95</v>
      </c>
      <c r="M13477">
        <v>28</v>
      </c>
      <c r="N13477">
        <v>0</v>
      </c>
      <c r="O13477">
        <v>28</v>
      </c>
      <c r="P13477">
        <v>0</v>
      </c>
    </row>
    <row r="13478" spans="1:16" x14ac:dyDescent="0.25">
      <c r="A13478" t="s">
        <v>48624</v>
      </c>
      <c r="B13478" t="s">
        <v>48625</v>
      </c>
      <c r="C13478" t="s">
        <v>21193</v>
      </c>
      <c r="D13478" t="s">
        <v>15734</v>
      </c>
      <c r="E13478" t="s">
        <v>15735</v>
      </c>
      <c r="F13478" t="s">
        <v>47325</v>
      </c>
      <c r="G13478" t="s">
        <v>47145</v>
      </c>
      <c r="H13478" t="s">
        <v>47071</v>
      </c>
      <c r="I13478" t="s">
        <v>47120</v>
      </c>
      <c r="J13478" t="s">
        <v>47121</v>
      </c>
      <c r="K13478" t="s">
        <v>47113</v>
      </c>
      <c r="L13478">
        <v>22.45</v>
      </c>
      <c r="M13478">
        <v>56</v>
      </c>
      <c r="N13478">
        <v>139</v>
      </c>
      <c r="O13478">
        <v>56</v>
      </c>
      <c r="P13478">
        <v>139</v>
      </c>
    </row>
    <row r="13479" spans="1:16" x14ac:dyDescent="0.25">
      <c r="A13479" t="s">
        <v>48626</v>
      </c>
      <c r="B13479" t="s">
        <v>48627</v>
      </c>
      <c r="C13479" t="s">
        <v>48628</v>
      </c>
      <c r="D13479" t="s">
        <v>48629</v>
      </c>
      <c r="E13479" t="s">
        <v>48630</v>
      </c>
      <c r="F13479" t="s">
        <v>47325</v>
      </c>
      <c r="G13479" t="s">
        <v>47081</v>
      </c>
      <c r="H13479" t="s">
        <v>47071</v>
      </c>
      <c r="I13479" t="s">
        <v>47116</v>
      </c>
      <c r="J13479" t="s">
        <v>47117</v>
      </c>
      <c r="K13479" t="s">
        <v>47113</v>
      </c>
      <c r="L13479">
        <v>31.55</v>
      </c>
      <c r="M13479">
        <v>80</v>
      </c>
      <c r="N13479">
        <v>199</v>
      </c>
      <c r="O13479">
        <v>80</v>
      </c>
      <c r="P13479">
        <v>199</v>
      </c>
    </row>
    <row r="13480" spans="1:16" x14ac:dyDescent="0.25">
      <c r="A13480" t="s">
        <v>48631</v>
      </c>
      <c r="B13480" t="s">
        <v>48632</v>
      </c>
      <c r="C13480" t="s">
        <v>21147</v>
      </c>
      <c r="D13480" t="s">
        <v>15692</v>
      </c>
      <c r="E13480" t="s">
        <v>46</v>
      </c>
      <c r="F13480" t="s">
        <v>47325</v>
      </c>
      <c r="G13480" t="s">
        <v>47147</v>
      </c>
      <c r="H13480" t="s">
        <v>47071</v>
      </c>
      <c r="I13480" t="s">
        <v>47120</v>
      </c>
      <c r="J13480" t="s">
        <v>47121</v>
      </c>
      <c r="K13480" t="s">
        <v>47113</v>
      </c>
      <c r="L13480">
        <v>13</v>
      </c>
      <c r="M13480">
        <v>32</v>
      </c>
      <c r="N13480">
        <v>79</v>
      </c>
      <c r="O13480">
        <v>32</v>
      </c>
      <c r="P13480">
        <v>79</v>
      </c>
    </row>
    <row r="13481" spans="1:16" x14ac:dyDescent="0.25">
      <c r="A13481" t="s">
        <v>48633</v>
      </c>
      <c r="B13481" t="s">
        <v>48634</v>
      </c>
      <c r="C13481" t="s">
        <v>46793</v>
      </c>
      <c r="D13481" t="s">
        <v>48629</v>
      </c>
      <c r="E13481" t="s">
        <v>48630</v>
      </c>
      <c r="F13481" t="s">
        <v>47325</v>
      </c>
      <c r="G13481" t="s">
        <v>47147</v>
      </c>
      <c r="H13481" t="s">
        <v>47071</v>
      </c>
      <c r="I13481" t="s">
        <v>47116</v>
      </c>
      <c r="J13481" t="s">
        <v>47117</v>
      </c>
      <c r="K13481" t="s">
        <v>47113</v>
      </c>
      <c r="L13481">
        <v>23.6</v>
      </c>
      <c r="M13481">
        <v>56</v>
      </c>
      <c r="N13481">
        <v>139</v>
      </c>
      <c r="O13481">
        <v>56</v>
      </c>
      <c r="P13481">
        <v>139</v>
      </c>
    </row>
    <row r="13482" spans="1:16" x14ac:dyDescent="0.25">
      <c r="A13482" t="s">
        <v>48635</v>
      </c>
      <c r="B13482" t="s">
        <v>48636</v>
      </c>
      <c r="C13482" t="s">
        <v>48637</v>
      </c>
      <c r="D13482" t="s">
        <v>48638</v>
      </c>
      <c r="E13482" t="s">
        <v>48639</v>
      </c>
      <c r="F13482" t="s">
        <v>47325</v>
      </c>
      <c r="G13482" t="s">
        <v>47147</v>
      </c>
      <c r="H13482" t="s">
        <v>47071</v>
      </c>
      <c r="I13482" t="s">
        <v>47116</v>
      </c>
      <c r="J13482" t="s">
        <v>47117</v>
      </c>
      <c r="K13482" t="s">
        <v>47113</v>
      </c>
      <c r="L13482">
        <v>20.95</v>
      </c>
      <c r="M13482">
        <v>52</v>
      </c>
      <c r="N13482">
        <v>129</v>
      </c>
      <c r="O13482">
        <v>52</v>
      </c>
      <c r="P13482">
        <v>129</v>
      </c>
    </row>
    <row r="13483" spans="1:16" x14ac:dyDescent="0.25">
      <c r="A13483" t="s">
        <v>48640</v>
      </c>
      <c r="B13483" t="s">
        <v>48641</v>
      </c>
      <c r="C13483" t="s">
        <v>48642</v>
      </c>
      <c r="D13483" t="s">
        <v>48643</v>
      </c>
      <c r="E13483" t="s">
        <v>48644</v>
      </c>
      <c r="F13483" t="s">
        <v>47325</v>
      </c>
      <c r="G13483" t="s">
        <v>47147</v>
      </c>
      <c r="H13483" t="s">
        <v>47071</v>
      </c>
      <c r="I13483" t="s">
        <v>47116</v>
      </c>
      <c r="J13483" t="s">
        <v>47117</v>
      </c>
      <c r="K13483" t="s">
        <v>47113</v>
      </c>
      <c r="L13483">
        <v>23.6</v>
      </c>
      <c r="M13483">
        <v>56</v>
      </c>
      <c r="N13483">
        <v>139</v>
      </c>
      <c r="O13483">
        <v>56</v>
      </c>
      <c r="P13483">
        <v>139</v>
      </c>
    </row>
    <row r="13484" spans="1:16" x14ac:dyDescent="0.25">
      <c r="A13484" t="s">
        <v>48645</v>
      </c>
      <c r="B13484" t="s">
        <v>48646</v>
      </c>
      <c r="C13484" t="s">
        <v>48647</v>
      </c>
      <c r="D13484" t="s">
        <v>14429</v>
      </c>
      <c r="E13484" t="s">
        <v>60</v>
      </c>
      <c r="F13484" t="s">
        <v>47325</v>
      </c>
      <c r="G13484" t="s">
        <v>47147</v>
      </c>
      <c r="H13484" t="s">
        <v>47071</v>
      </c>
      <c r="I13484" t="s">
        <v>47116</v>
      </c>
      <c r="J13484" t="s">
        <v>47117</v>
      </c>
      <c r="K13484" t="s">
        <v>47113</v>
      </c>
      <c r="L13484">
        <v>18.29</v>
      </c>
      <c r="M13484">
        <v>52</v>
      </c>
      <c r="N13484">
        <v>129</v>
      </c>
      <c r="O13484">
        <v>52</v>
      </c>
      <c r="P13484">
        <v>129</v>
      </c>
    </row>
    <row r="13485" spans="1:16" x14ac:dyDescent="0.25">
      <c r="A13485" t="s">
        <v>48648</v>
      </c>
      <c r="B13485" t="s">
        <v>48649</v>
      </c>
      <c r="C13485" t="s">
        <v>48650</v>
      </c>
      <c r="D13485" t="s">
        <v>48651</v>
      </c>
      <c r="E13485" t="s">
        <v>48652</v>
      </c>
      <c r="F13485" t="s">
        <v>47325</v>
      </c>
      <c r="G13485" t="s">
        <v>47147</v>
      </c>
      <c r="H13485" t="s">
        <v>47071</v>
      </c>
      <c r="I13485" t="s">
        <v>47116</v>
      </c>
      <c r="J13485" t="s">
        <v>47117</v>
      </c>
      <c r="K13485" t="s">
        <v>47113</v>
      </c>
      <c r="L13485">
        <v>18.29</v>
      </c>
      <c r="M13485">
        <v>52</v>
      </c>
      <c r="N13485">
        <v>129</v>
      </c>
      <c r="O13485">
        <v>52</v>
      </c>
      <c r="P13485">
        <v>129</v>
      </c>
    </row>
    <row r="13486" spans="1:16" x14ac:dyDescent="0.25">
      <c r="A13486" t="s">
        <v>48653</v>
      </c>
      <c r="B13486" t="s">
        <v>48654</v>
      </c>
      <c r="C13486" t="s">
        <v>48655</v>
      </c>
      <c r="D13486" t="s">
        <v>48656</v>
      </c>
      <c r="E13486" t="s">
        <v>48657</v>
      </c>
      <c r="F13486" t="s">
        <v>47325</v>
      </c>
      <c r="G13486" t="s">
        <v>47147</v>
      </c>
      <c r="H13486" t="s">
        <v>47071</v>
      </c>
      <c r="I13486" t="s">
        <v>47116</v>
      </c>
      <c r="J13486" t="s">
        <v>47117</v>
      </c>
      <c r="K13486" t="s">
        <v>47113</v>
      </c>
      <c r="L13486">
        <v>15.64</v>
      </c>
      <c r="M13486">
        <v>40</v>
      </c>
      <c r="N13486">
        <v>99</v>
      </c>
      <c r="O13486">
        <v>40</v>
      </c>
      <c r="P13486">
        <v>99</v>
      </c>
    </row>
    <row r="13487" spans="1:16" x14ac:dyDescent="0.25">
      <c r="A13487" t="s">
        <v>48658</v>
      </c>
      <c r="B13487" t="s">
        <v>48659</v>
      </c>
      <c r="C13487" t="s">
        <v>48660</v>
      </c>
      <c r="D13487" t="s">
        <v>48661</v>
      </c>
      <c r="E13487" t="s">
        <v>48662</v>
      </c>
      <c r="F13487" t="s">
        <v>47325</v>
      </c>
      <c r="G13487" t="s">
        <v>47147</v>
      </c>
      <c r="H13487" t="s">
        <v>47071</v>
      </c>
      <c r="I13487" t="s">
        <v>47116</v>
      </c>
      <c r="J13487" t="s">
        <v>47117</v>
      </c>
      <c r="K13487" t="s">
        <v>47113</v>
      </c>
      <c r="L13487">
        <v>18.29</v>
      </c>
      <c r="M13487">
        <v>52</v>
      </c>
      <c r="N13487">
        <v>129</v>
      </c>
      <c r="O13487">
        <v>52</v>
      </c>
      <c r="P13487">
        <v>129</v>
      </c>
    </row>
    <row r="13488" spans="1:16" x14ac:dyDescent="0.25">
      <c r="A13488" t="s">
        <v>48663</v>
      </c>
      <c r="B13488" t="s">
        <v>48664</v>
      </c>
      <c r="C13488" t="s">
        <v>48665</v>
      </c>
      <c r="D13488" t="s">
        <v>48666</v>
      </c>
      <c r="E13488" t="s">
        <v>48667</v>
      </c>
      <c r="F13488" t="s">
        <v>47325</v>
      </c>
      <c r="G13488" t="s">
        <v>47147</v>
      </c>
      <c r="H13488" t="s">
        <v>47071</v>
      </c>
      <c r="I13488" t="s">
        <v>47120</v>
      </c>
      <c r="J13488" t="s">
        <v>47121</v>
      </c>
      <c r="K13488" t="s">
        <v>47113</v>
      </c>
      <c r="L13488">
        <v>20.95</v>
      </c>
      <c r="M13488">
        <v>52</v>
      </c>
      <c r="N13488">
        <v>129</v>
      </c>
      <c r="O13488">
        <v>52</v>
      </c>
      <c r="P13488">
        <v>129</v>
      </c>
    </row>
    <row r="13489" spans="1:16" x14ac:dyDescent="0.25">
      <c r="A13489" t="s">
        <v>48668</v>
      </c>
      <c r="B13489" t="s">
        <v>48669</v>
      </c>
      <c r="C13489" t="s">
        <v>21185</v>
      </c>
      <c r="D13489" t="s">
        <v>14429</v>
      </c>
      <c r="E13489" t="s">
        <v>60</v>
      </c>
      <c r="F13489" t="s">
        <v>47325</v>
      </c>
      <c r="G13489" t="s">
        <v>47087</v>
      </c>
      <c r="H13489" t="s">
        <v>47071</v>
      </c>
      <c r="I13489" t="s">
        <v>47120</v>
      </c>
      <c r="J13489" t="s">
        <v>47121</v>
      </c>
      <c r="K13489" t="s">
        <v>47113</v>
      </c>
      <c r="L13489">
        <v>11.08</v>
      </c>
      <c r="M13489">
        <v>20</v>
      </c>
      <c r="N13489">
        <v>49</v>
      </c>
      <c r="O13489">
        <v>20</v>
      </c>
      <c r="P13489">
        <v>49</v>
      </c>
    </row>
    <row r="13490" spans="1:16" x14ac:dyDescent="0.25">
      <c r="A13490" t="s">
        <v>48670</v>
      </c>
      <c r="B13490" t="s">
        <v>48671</v>
      </c>
      <c r="C13490" t="s">
        <v>48672</v>
      </c>
      <c r="D13490" t="s">
        <v>48673</v>
      </c>
      <c r="E13490" t="s">
        <v>48674</v>
      </c>
      <c r="F13490" t="s">
        <v>47325</v>
      </c>
      <c r="G13490" t="s">
        <v>47150</v>
      </c>
      <c r="H13490" t="s">
        <v>47071</v>
      </c>
      <c r="I13490" t="s">
        <v>47120</v>
      </c>
      <c r="J13490" t="s">
        <v>47121</v>
      </c>
      <c r="K13490" t="s">
        <v>47113</v>
      </c>
      <c r="L13490">
        <v>12.79</v>
      </c>
      <c r="M13490">
        <v>40</v>
      </c>
      <c r="N13490">
        <v>99</v>
      </c>
      <c r="O13490">
        <v>40</v>
      </c>
      <c r="P13490">
        <v>99</v>
      </c>
    </row>
    <row r="13491" spans="1:16" x14ac:dyDescent="0.25">
      <c r="A13491" t="s">
        <v>48675</v>
      </c>
      <c r="B13491" t="s">
        <v>48676</v>
      </c>
      <c r="C13491" t="s">
        <v>48677</v>
      </c>
      <c r="D13491" t="s">
        <v>14429</v>
      </c>
      <c r="E13491" t="s">
        <v>60</v>
      </c>
      <c r="F13491" t="s">
        <v>47325</v>
      </c>
      <c r="G13491" t="s">
        <v>47087</v>
      </c>
      <c r="H13491" t="s">
        <v>47071</v>
      </c>
      <c r="I13491" t="s">
        <v>47120</v>
      </c>
      <c r="J13491" t="s">
        <v>47121</v>
      </c>
      <c r="K13491" t="s">
        <v>47113</v>
      </c>
      <c r="L13491">
        <v>11.08</v>
      </c>
      <c r="M13491">
        <v>26</v>
      </c>
      <c r="N13491">
        <v>65</v>
      </c>
      <c r="O13491">
        <v>26</v>
      </c>
      <c r="P13491">
        <v>65</v>
      </c>
    </row>
    <row r="13492" spans="1:16" x14ac:dyDescent="0.25">
      <c r="A13492" t="s">
        <v>48678</v>
      </c>
      <c r="B13492" t="s">
        <v>48679</v>
      </c>
      <c r="C13492" t="s">
        <v>20961</v>
      </c>
      <c r="D13492" t="s">
        <v>18070</v>
      </c>
      <c r="E13492" t="s">
        <v>814</v>
      </c>
      <c r="F13492" t="s">
        <v>47325</v>
      </c>
      <c r="G13492" t="s">
        <v>47087</v>
      </c>
      <c r="H13492" t="s">
        <v>47071</v>
      </c>
      <c r="I13492" t="s">
        <v>47120</v>
      </c>
      <c r="J13492" t="s">
        <v>47121</v>
      </c>
      <c r="K13492" t="s">
        <v>47113</v>
      </c>
      <c r="L13492">
        <v>9.9499999999999993</v>
      </c>
      <c r="M13492">
        <v>20</v>
      </c>
      <c r="N13492">
        <v>49</v>
      </c>
      <c r="O13492">
        <v>20</v>
      </c>
      <c r="P13492">
        <v>49</v>
      </c>
    </row>
    <row r="13493" spans="1:16" x14ac:dyDescent="0.25">
      <c r="A13493" t="s">
        <v>48680</v>
      </c>
      <c r="B13493" t="s">
        <v>48679</v>
      </c>
      <c r="C13493" t="s">
        <v>20961</v>
      </c>
      <c r="D13493" t="s">
        <v>15692</v>
      </c>
      <c r="E13493" t="s">
        <v>46</v>
      </c>
      <c r="F13493" t="s">
        <v>47325</v>
      </c>
      <c r="G13493" t="s">
        <v>47087</v>
      </c>
      <c r="H13493" t="s">
        <v>47071</v>
      </c>
      <c r="I13493" t="s">
        <v>47120</v>
      </c>
      <c r="J13493" t="s">
        <v>47121</v>
      </c>
      <c r="K13493" t="s">
        <v>47113</v>
      </c>
      <c r="L13493">
        <v>9.9499999999999993</v>
      </c>
      <c r="M13493">
        <v>20</v>
      </c>
      <c r="N13493">
        <v>49</v>
      </c>
      <c r="O13493">
        <v>20</v>
      </c>
      <c r="P13493">
        <v>49</v>
      </c>
    </row>
    <row r="13494" spans="1:16" x14ac:dyDescent="0.25">
      <c r="A13494" t="s">
        <v>48681</v>
      </c>
      <c r="B13494" t="s">
        <v>48682</v>
      </c>
      <c r="C13494" t="s">
        <v>48683</v>
      </c>
      <c r="D13494" t="s">
        <v>18070</v>
      </c>
      <c r="E13494" t="s">
        <v>814</v>
      </c>
      <c r="F13494" t="s">
        <v>47325</v>
      </c>
      <c r="G13494" t="s">
        <v>47087</v>
      </c>
      <c r="H13494" t="s">
        <v>47071</v>
      </c>
      <c r="I13494" t="s">
        <v>47120</v>
      </c>
      <c r="J13494" t="s">
        <v>47121</v>
      </c>
      <c r="K13494" t="s">
        <v>47113</v>
      </c>
      <c r="L13494">
        <v>11.08</v>
      </c>
      <c r="M13494">
        <v>20</v>
      </c>
      <c r="N13494">
        <v>49</v>
      </c>
      <c r="O13494">
        <v>20</v>
      </c>
      <c r="P13494">
        <v>49</v>
      </c>
    </row>
    <row r="13495" spans="1:16" x14ac:dyDescent="0.25">
      <c r="A13495" t="s">
        <v>48684</v>
      </c>
      <c r="B13495" t="s">
        <v>48682</v>
      </c>
      <c r="C13495" t="s">
        <v>48683</v>
      </c>
      <c r="D13495" t="s">
        <v>48685</v>
      </c>
      <c r="E13495" t="s">
        <v>48686</v>
      </c>
      <c r="F13495" t="s">
        <v>47325</v>
      </c>
      <c r="G13495" t="s">
        <v>47087</v>
      </c>
      <c r="H13495" t="s">
        <v>47071</v>
      </c>
      <c r="I13495" t="s">
        <v>47120</v>
      </c>
      <c r="J13495" t="s">
        <v>47121</v>
      </c>
      <c r="K13495" t="s">
        <v>47113</v>
      </c>
      <c r="L13495">
        <v>11.08</v>
      </c>
      <c r="M13495">
        <v>20</v>
      </c>
      <c r="N13495">
        <v>49</v>
      </c>
      <c r="O13495">
        <v>20</v>
      </c>
      <c r="P13495">
        <v>49</v>
      </c>
    </row>
    <row r="13496" spans="1:16" x14ac:dyDescent="0.25">
      <c r="A13496" t="s">
        <v>48687</v>
      </c>
      <c r="B13496" t="s">
        <v>48688</v>
      </c>
      <c r="C13496" t="s">
        <v>48689</v>
      </c>
      <c r="D13496" t="s">
        <v>14429</v>
      </c>
      <c r="E13496" t="s">
        <v>60</v>
      </c>
      <c r="F13496" t="s">
        <v>47325</v>
      </c>
      <c r="G13496" t="s">
        <v>47151</v>
      </c>
      <c r="H13496" t="s">
        <v>47071</v>
      </c>
      <c r="I13496" t="s">
        <v>47120</v>
      </c>
      <c r="J13496" t="s">
        <v>47121</v>
      </c>
      <c r="K13496" t="s">
        <v>47113</v>
      </c>
      <c r="L13496">
        <v>12.79</v>
      </c>
      <c r="M13496">
        <v>28</v>
      </c>
      <c r="N13496">
        <v>69</v>
      </c>
      <c r="O13496">
        <v>28</v>
      </c>
      <c r="P13496">
        <v>69</v>
      </c>
    </row>
    <row r="13497" spans="1:16" x14ac:dyDescent="0.25">
      <c r="A13497" t="s">
        <v>48690</v>
      </c>
      <c r="B13497" t="s">
        <v>48691</v>
      </c>
      <c r="C13497" t="s">
        <v>48692</v>
      </c>
      <c r="D13497" t="s">
        <v>15692</v>
      </c>
      <c r="E13497" t="s">
        <v>46</v>
      </c>
      <c r="F13497" t="s">
        <v>47325</v>
      </c>
      <c r="G13497" t="s">
        <v>47087</v>
      </c>
      <c r="H13497" t="s">
        <v>47071</v>
      </c>
      <c r="I13497" t="s">
        <v>47120</v>
      </c>
      <c r="J13497" t="s">
        <v>47121</v>
      </c>
      <c r="K13497" t="s">
        <v>47113</v>
      </c>
      <c r="L13497">
        <v>11.08</v>
      </c>
      <c r="M13497">
        <v>20</v>
      </c>
      <c r="N13497">
        <v>49</v>
      </c>
      <c r="O13497">
        <v>20</v>
      </c>
      <c r="P13497">
        <v>49</v>
      </c>
    </row>
    <row r="13498" spans="1:16" x14ac:dyDescent="0.25">
      <c r="A13498" t="s">
        <v>48693</v>
      </c>
      <c r="B13498" t="s">
        <v>48691</v>
      </c>
      <c r="C13498" t="s">
        <v>48692</v>
      </c>
      <c r="D13498" t="s">
        <v>14429</v>
      </c>
      <c r="E13498" t="s">
        <v>60</v>
      </c>
      <c r="F13498" t="s">
        <v>47325</v>
      </c>
      <c r="G13498" t="s">
        <v>47087</v>
      </c>
      <c r="H13498" t="s">
        <v>47071</v>
      </c>
      <c r="I13498" t="s">
        <v>47120</v>
      </c>
      <c r="J13498" t="s">
        <v>47121</v>
      </c>
      <c r="K13498" t="s">
        <v>47113</v>
      </c>
      <c r="L13498">
        <v>11.08</v>
      </c>
      <c r="M13498">
        <v>20</v>
      </c>
      <c r="N13498">
        <v>49</v>
      </c>
      <c r="O13498">
        <v>20</v>
      </c>
      <c r="P13498">
        <v>49</v>
      </c>
    </row>
    <row r="13499" spans="1:16" x14ac:dyDescent="0.25">
      <c r="A13499" t="s">
        <v>48694</v>
      </c>
      <c r="B13499" t="s">
        <v>48695</v>
      </c>
      <c r="C13499" t="s">
        <v>48696</v>
      </c>
      <c r="D13499" t="s">
        <v>14429</v>
      </c>
      <c r="E13499" t="s">
        <v>60</v>
      </c>
      <c r="F13499" t="s">
        <v>47325</v>
      </c>
      <c r="G13499" t="s">
        <v>47087</v>
      </c>
      <c r="H13499" t="s">
        <v>47071</v>
      </c>
      <c r="I13499" t="s">
        <v>47120</v>
      </c>
      <c r="J13499" t="s">
        <v>47121</v>
      </c>
      <c r="K13499" t="s">
        <v>47113</v>
      </c>
      <c r="L13499">
        <v>11.08</v>
      </c>
      <c r="M13499">
        <v>20</v>
      </c>
      <c r="N13499">
        <v>49</v>
      </c>
      <c r="O13499">
        <v>20</v>
      </c>
      <c r="P13499">
        <v>49</v>
      </c>
    </row>
    <row r="13500" spans="1:16" x14ac:dyDescent="0.25">
      <c r="A13500" t="s">
        <v>48697</v>
      </c>
      <c r="B13500" t="s">
        <v>48698</v>
      </c>
      <c r="C13500" t="s">
        <v>36592</v>
      </c>
      <c r="D13500" t="s">
        <v>15692</v>
      </c>
      <c r="E13500" t="s">
        <v>46</v>
      </c>
      <c r="F13500" t="s">
        <v>47325</v>
      </c>
      <c r="G13500" t="s">
        <v>47082</v>
      </c>
      <c r="H13500" t="s">
        <v>47071</v>
      </c>
      <c r="I13500" t="s">
        <v>47120</v>
      </c>
      <c r="J13500" t="s">
        <v>47121</v>
      </c>
      <c r="K13500" t="s">
        <v>47113</v>
      </c>
      <c r="L13500">
        <v>16.77</v>
      </c>
      <c r="M13500">
        <v>40</v>
      </c>
      <c r="N13500">
        <v>99</v>
      </c>
      <c r="O13500">
        <v>40</v>
      </c>
      <c r="P13500">
        <v>99</v>
      </c>
    </row>
    <row r="13501" spans="1:16" x14ac:dyDescent="0.25">
      <c r="A13501" t="s">
        <v>36377</v>
      </c>
      <c r="B13501" t="s">
        <v>9616</v>
      </c>
      <c r="C13501" t="s">
        <v>9512</v>
      </c>
      <c r="D13501" t="s">
        <v>9513</v>
      </c>
      <c r="E13501" t="s">
        <v>9514</v>
      </c>
      <c r="F13501" t="s">
        <v>2068</v>
      </c>
      <c r="G13501" t="s">
        <v>47075</v>
      </c>
      <c r="H13501" t="s">
        <v>47071</v>
      </c>
      <c r="I13501" t="s">
        <v>47118</v>
      </c>
      <c r="J13501" t="s">
        <v>47119</v>
      </c>
      <c r="K13501" t="s">
        <v>47113</v>
      </c>
      <c r="L13501">
        <v>19.03</v>
      </c>
      <c r="M13501">
        <v>44</v>
      </c>
      <c r="N13501">
        <v>0</v>
      </c>
      <c r="O13501">
        <v>44</v>
      </c>
      <c r="P13501">
        <v>0</v>
      </c>
    </row>
    <row r="13502" spans="1:16" x14ac:dyDescent="0.25">
      <c r="A13502" t="s">
        <v>36378</v>
      </c>
      <c r="B13502" t="s">
        <v>9617</v>
      </c>
      <c r="C13502" t="s">
        <v>2723</v>
      </c>
      <c r="D13502" t="str">
        <f>"2375"</f>
        <v>2375</v>
      </c>
      <c r="E13502" t="s">
        <v>7758</v>
      </c>
      <c r="F13502" t="s">
        <v>2068</v>
      </c>
      <c r="G13502" t="s">
        <v>47077</v>
      </c>
      <c r="H13502" t="s">
        <v>47071</v>
      </c>
      <c r="I13502" t="s">
        <v>47120</v>
      </c>
      <c r="J13502" t="s">
        <v>47121</v>
      </c>
      <c r="K13502" t="s">
        <v>47113</v>
      </c>
      <c r="L13502">
        <v>21.79</v>
      </c>
      <c r="M13502">
        <v>50</v>
      </c>
      <c r="N13502">
        <v>0</v>
      </c>
      <c r="O13502">
        <v>50</v>
      </c>
      <c r="P13502">
        <v>0</v>
      </c>
    </row>
    <row r="13503" spans="1:16" x14ac:dyDescent="0.25">
      <c r="A13503" t="s">
        <v>36379</v>
      </c>
      <c r="B13503" t="s">
        <v>9617</v>
      </c>
      <c r="C13503" t="s">
        <v>2723</v>
      </c>
      <c r="D13503" t="str">
        <f>"9614"</f>
        <v>9614</v>
      </c>
      <c r="E13503" t="s">
        <v>2314</v>
      </c>
      <c r="F13503" t="s">
        <v>2068</v>
      </c>
      <c r="G13503" t="s">
        <v>47077</v>
      </c>
      <c r="H13503" t="s">
        <v>47071</v>
      </c>
      <c r="I13503" t="s">
        <v>47120</v>
      </c>
      <c r="J13503" t="s">
        <v>47121</v>
      </c>
      <c r="K13503" t="s">
        <v>47113</v>
      </c>
      <c r="L13503">
        <v>21.79</v>
      </c>
      <c r="M13503">
        <v>50</v>
      </c>
      <c r="N13503">
        <v>0</v>
      </c>
      <c r="O13503">
        <v>50</v>
      </c>
      <c r="P13503">
        <v>0</v>
      </c>
    </row>
    <row r="13504" spans="1:16" x14ac:dyDescent="0.25">
      <c r="A13504" t="s">
        <v>36380</v>
      </c>
      <c r="B13504" t="s">
        <v>9618</v>
      </c>
      <c r="C13504" t="s">
        <v>9517</v>
      </c>
      <c r="D13504" t="s">
        <v>9520</v>
      </c>
      <c r="E13504" t="s">
        <v>9521</v>
      </c>
      <c r="F13504" t="s">
        <v>2068</v>
      </c>
      <c r="G13504" t="s">
        <v>47072</v>
      </c>
      <c r="H13504" t="s">
        <v>47071</v>
      </c>
      <c r="I13504" t="s">
        <v>47120</v>
      </c>
      <c r="J13504" t="s">
        <v>47121</v>
      </c>
      <c r="K13504" t="s">
        <v>47113</v>
      </c>
      <c r="L13504">
        <v>31.45</v>
      </c>
      <c r="M13504">
        <v>73</v>
      </c>
      <c r="N13504">
        <v>0</v>
      </c>
      <c r="O13504">
        <v>73</v>
      </c>
      <c r="P13504">
        <v>0</v>
      </c>
    </row>
    <row r="13505" spans="1:16" x14ac:dyDescent="0.25">
      <c r="A13505" t="s">
        <v>36381</v>
      </c>
      <c r="B13505" t="s">
        <v>9619</v>
      </c>
      <c r="C13505" t="s">
        <v>9620</v>
      </c>
      <c r="D13505" t="s">
        <v>9523</v>
      </c>
      <c r="E13505" t="s">
        <v>9524</v>
      </c>
      <c r="F13505" t="s">
        <v>2068</v>
      </c>
      <c r="G13505" t="s">
        <v>47072</v>
      </c>
      <c r="H13505" t="s">
        <v>47071</v>
      </c>
      <c r="I13505" t="s">
        <v>47120</v>
      </c>
      <c r="J13505" t="s">
        <v>47121</v>
      </c>
      <c r="K13505" t="s">
        <v>47113</v>
      </c>
      <c r="L13505">
        <v>27.31</v>
      </c>
      <c r="M13505">
        <v>63</v>
      </c>
      <c r="N13505">
        <v>0</v>
      </c>
      <c r="O13505">
        <v>63</v>
      </c>
      <c r="P13505">
        <v>0</v>
      </c>
    </row>
    <row r="13506" spans="1:16" x14ac:dyDescent="0.25">
      <c r="A13506" t="s">
        <v>36382</v>
      </c>
      <c r="B13506" t="s">
        <v>9621</v>
      </c>
      <c r="C13506" t="s">
        <v>2723</v>
      </c>
      <c r="D13506" t="s">
        <v>9526</v>
      </c>
      <c r="E13506" t="s">
        <v>9527</v>
      </c>
      <c r="F13506" t="s">
        <v>2068</v>
      </c>
      <c r="G13506" t="s">
        <v>47072</v>
      </c>
      <c r="H13506" t="s">
        <v>47071</v>
      </c>
      <c r="I13506" t="s">
        <v>47120</v>
      </c>
      <c r="J13506" t="s">
        <v>47121</v>
      </c>
      <c r="K13506" t="s">
        <v>47113</v>
      </c>
      <c r="L13506">
        <v>32.82</v>
      </c>
      <c r="M13506">
        <v>76</v>
      </c>
      <c r="N13506">
        <v>0</v>
      </c>
      <c r="O13506">
        <v>76</v>
      </c>
      <c r="P13506">
        <v>0</v>
      </c>
    </row>
    <row r="13507" spans="1:16" x14ac:dyDescent="0.25">
      <c r="A13507" t="s">
        <v>36383</v>
      </c>
      <c r="B13507" t="s">
        <v>9622</v>
      </c>
      <c r="C13507" t="s">
        <v>4283</v>
      </c>
      <c r="D13507" t="s">
        <v>9529</v>
      </c>
      <c r="E13507" t="s">
        <v>9530</v>
      </c>
      <c r="F13507" t="s">
        <v>2068</v>
      </c>
      <c r="G13507" t="s">
        <v>47072</v>
      </c>
      <c r="H13507" t="s">
        <v>47071</v>
      </c>
      <c r="I13507" t="s">
        <v>47120</v>
      </c>
      <c r="J13507" t="s">
        <v>47121</v>
      </c>
      <c r="K13507" t="s">
        <v>47113</v>
      </c>
      <c r="L13507">
        <v>21.79</v>
      </c>
      <c r="M13507">
        <v>50</v>
      </c>
      <c r="N13507">
        <v>0</v>
      </c>
      <c r="O13507">
        <v>50</v>
      </c>
      <c r="P13507">
        <v>0</v>
      </c>
    </row>
    <row r="13508" spans="1:16" x14ac:dyDescent="0.25">
      <c r="A13508" t="s">
        <v>36384</v>
      </c>
      <c r="B13508" t="s">
        <v>9623</v>
      </c>
      <c r="C13508" t="s">
        <v>3773</v>
      </c>
      <c r="D13508" t="s">
        <v>9532</v>
      </c>
      <c r="E13508" t="s">
        <v>9533</v>
      </c>
      <c r="F13508" t="s">
        <v>2068</v>
      </c>
      <c r="G13508" t="s">
        <v>47072</v>
      </c>
      <c r="H13508" t="s">
        <v>47071</v>
      </c>
      <c r="I13508" t="s">
        <v>47120</v>
      </c>
      <c r="J13508" t="s">
        <v>47121</v>
      </c>
      <c r="K13508" t="s">
        <v>47113</v>
      </c>
      <c r="L13508">
        <v>24.54</v>
      </c>
      <c r="M13508">
        <v>57</v>
      </c>
      <c r="N13508">
        <v>0</v>
      </c>
      <c r="O13508">
        <v>57</v>
      </c>
      <c r="P13508">
        <v>0</v>
      </c>
    </row>
    <row r="13509" spans="1:16" x14ac:dyDescent="0.25">
      <c r="A13509" t="s">
        <v>36385</v>
      </c>
      <c r="B13509" t="s">
        <v>9624</v>
      </c>
      <c r="C13509" t="s">
        <v>9537</v>
      </c>
      <c r="D13509" t="s">
        <v>9538</v>
      </c>
      <c r="E13509" t="s">
        <v>9539</v>
      </c>
      <c r="F13509" t="s">
        <v>2068</v>
      </c>
      <c r="G13509" t="s">
        <v>47072</v>
      </c>
      <c r="H13509" t="s">
        <v>47071</v>
      </c>
      <c r="I13509" t="s">
        <v>47120</v>
      </c>
      <c r="J13509" t="s">
        <v>47121</v>
      </c>
      <c r="K13509" t="s">
        <v>47113</v>
      </c>
      <c r="L13509">
        <v>43.02</v>
      </c>
      <c r="M13509">
        <v>100</v>
      </c>
      <c r="N13509">
        <v>0</v>
      </c>
      <c r="O13509">
        <v>100</v>
      </c>
      <c r="P13509">
        <v>0</v>
      </c>
    </row>
    <row r="13510" spans="1:16" x14ac:dyDescent="0.25">
      <c r="A13510" t="s">
        <v>36386</v>
      </c>
      <c r="B13510" t="s">
        <v>9625</v>
      </c>
      <c r="C13510" t="s">
        <v>9517</v>
      </c>
      <c r="D13510" t="str">
        <f>"1001"</f>
        <v>1001</v>
      </c>
      <c r="E13510" t="s">
        <v>42</v>
      </c>
      <c r="F13510" t="s">
        <v>2068</v>
      </c>
      <c r="G13510" t="s">
        <v>47072</v>
      </c>
      <c r="H13510" t="s">
        <v>47071</v>
      </c>
      <c r="I13510" t="s">
        <v>47120</v>
      </c>
      <c r="J13510" t="s">
        <v>47121</v>
      </c>
      <c r="K13510" t="s">
        <v>47113</v>
      </c>
      <c r="L13510">
        <v>27.04</v>
      </c>
      <c r="M13510">
        <v>63</v>
      </c>
      <c r="N13510">
        <v>0</v>
      </c>
      <c r="O13510">
        <v>63</v>
      </c>
      <c r="P13510">
        <v>0</v>
      </c>
    </row>
    <row r="13511" spans="1:16" x14ac:dyDescent="0.25">
      <c r="A13511" t="s">
        <v>36387</v>
      </c>
      <c r="B13511" t="s">
        <v>9626</v>
      </c>
      <c r="C13511" t="s">
        <v>9542</v>
      </c>
      <c r="D13511" t="str">
        <f>"2686"</f>
        <v>2686</v>
      </c>
      <c r="E13511" t="s">
        <v>9543</v>
      </c>
      <c r="F13511" t="s">
        <v>2068</v>
      </c>
      <c r="G13511" t="s">
        <v>47078</v>
      </c>
      <c r="H13511" t="s">
        <v>47071</v>
      </c>
      <c r="I13511" t="s">
        <v>47118</v>
      </c>
      <c r="J13511" t="s">
        <v>47119</v>
      </c>
      <c r="K13511" t="s">
        <v>47113</v>
      </c>
      <c r="L13511">
        <v>13.51</v>
      </c>
      <c r="M13511">
        <v>31</v>
      </c>
      <c r="N13511">
        <v>0</v>
      </c>
      <c r="O13511">
        <v>31</v>
      </c>
      <c r="P13511">
        <v>0</v>
      </c>
    </row>
    <row r="13512" spans="1:16" x14ac:dyDescent="0.25">
      <c r="A13512" t="s">
        <v>36388</v>
      </c>
      <c r="B13512" t="s">
        <v>9627</v>
      </c>
      <c r="C13512" t="s">
        <v>9545</v>
      </c>
      <c r="D13512" t="str">
        <f>"6492"</f>
        <v>6492</v>
      </c>
      <c r="E13512" t="s">
        <v>9395</v>
      </c>
      <c r="F13512" t="s">
        <v>2068</v>
      </c>
      <c r="G13512" t="s">
        <v>47073</v>
      </c>
      <c r="H13512" t="s">
        <v>47071</v>
      </c>
      <c r="I13512" t="s">
        <v>47118</v>
      </c>
      <c r="J13512" t="s">
        <v>47119</v>
      </c>
      <c r="K13512" t="s">
        <v>47113</v>
      </c>
      <c r="L13512">
        <v>9.66</v>
      </c>
      <c r="M13512">
        <v>22</v>
      </c>
      <c r="N13512">
        <v>0</v>
      </c>
      <c r="O13512">
        <v>22</v>
      </c>
      <c r="P13512">
        <v>0</v>
      </c>
    </row>
    <row r="13513" spans="1:16" x14ac:dyDescent="0.25">
      <c r="A13513" t="s">
        <v>36389</v>
      </c>
      <c r="B13513" t="s">
        <v>9628</v>
      </c>
      <c r="C13513" t="s">
        <v>9545</v>
      </c>
      <c r="D13513" t="str">
        <f>"1001"</f>
        <v>1001</v>
      </c>
      <c r="E13513" t="s">
        <v>42</v>
      </c>
      <c r="F13513" t="s">
        <v>2068</v>
      </c>
      <c r="G13513" t="s">
        <v>47073</v>
      </c>
      <c r="H13513" t="s">
        <v>47071</v>
      </c>
      <c r="I13513" t="s">
        <v>47118</v>
      </c>
      <c r="J13513" t="s">
        <v>47119</v>
      </c>
      <c r="K13513" t="s">
        <v>47113</v>
      </c>
      <c r="L13513">
        <v>9.66</v>
      </c>
      <c r="M13513">
        <v>22</v>
      </c>
      <c r="N13513">
        <v>0</v>
      </c>
      <c r="O13513">
        <v>22</v>
      </c>
      <c r="P13513">
        <v>0</v>
      </c>
    </row>
    <row r="13514" spans="1:16" x14ac:dyDescent="0.25">
      <c r="A13514" t="s">
        <v>36390</v>
      </c>
      <c r="B13514" t="s">
        <v>9629</v>
      </c>
      <c r="C13514" t="s">
        <v>9548</v>
      </c>
      <c r="D13514" t="str">
        <f>"3534"</f>
        <v>3534</v>
      </c>
      <c r="E13514" t="s">
        <v>9549</v>
      </c>
      <c r="F13514" t="s">
        <v>2068</v>
      </c>
      <c r="G13514" t="s">
        <v>47076</v>
      </c>
      <c r="H13514" t="s">
        <v>47071</v>
      </c>
      <c r="I13514" t="s">
        <v>47118</v>
      </c>
      <c r="J13514" t="s">
        <v>47119</v>
      </c>
      <c r="K13514" t="s">
        <v>47113</v>
      </c>
      <c r="L13514">
        <v>27.31</v>
      </c>
      <c r="M13514">
        <v>63</v>
      </c>
      <c r="N13514">
        <v>0</v>
      </c>
      <c r="O13514">
        <v>63</v>
      </c>
      <c r="P13514">
        <v>0</v>
      </c>
    </row>
    <row r="13515" spans="1:16" x14ac:dyDescent="0.25">
      <c r="A13515" t="s">
        <v>36391</v>
      </c>
      <c r="B13515" t="s">
        <v>9630</v>
      </c>
      <c r="C13515" t="s">
        <v>9551</v>
      </c>
      <c r="D13515" t="str">
        <f>"1800"</f>
        <v>1800</v>
      </c>
      <c r="E13515" t="s">
        <v>1999</v>
      </c>
      <c r="F13515" t="s">
        <v>2068</v>
      </c>
      <c r="G13515" t="s">
        <v>47073</v>
      </c>
      <c r="H13515" t="s">
        <v>47071</v>
      </c>
      <c r="I13515" t="s">
        <v>47118</v>
      </c>
      <c r="J13515" t="s">
        <v>47119</v>
      </c>
      <c r="K13515" t="s">
        <v>47113</v>
      </c>
      <c r="L13515">
        <v>8</v>
      </c>
      <c r="M13515">
        <v>18</v>
      </c>
      <c r="N13515">
        <v>0</v>
      </c>
      <c r="O13515">
        <v>18</v>
      </c>
      <c r="P13515">
        <v>0</v>
      </c>
    </row>
    <row r="13516" spans="1:16" x14ac:dyDescent="0.25">
      <c r="A13516" t="s">
        <v>36392</v>
      </c>
      <c r="B13516" t="s">
        <v>9631</v>
      </c>
      <c r="C13516" t="s">
        <v>9551</v>
      </c>
      <c r="D13516" t="str">
        <f>"9614"</f>
        <v>9614</v>
      </c>
      <c r="E13516" t="s">
        <v>2314</v>
      </c>
      <c r="F13516" t="s">
        <v>2068</v>
      </c>
      <c r="G13516" t="s">
        <v>47073</v>
      </c>
      <c r="H13516" t="s">
        <v>47071</v>
      </c>
      <c r="I13516" t="s">
        <v>47118</v>
      </c>
      <c r="J13516" t="s">
        <v>47119</v>
      </c>
      <c r="K13516" t="s">
        <v>47113</v>
      </c>
      <c r="L13516">
        <v>8</v>
      </c>
      <c r="M13516">
        <v>18</v>
      </c>
      <c r="N13516">
        <v>0</v>
      </c>
      <c r="O13516">
        <v>18</v>
      </c>
      <c r="P13516">
        <v>0</v>
      </c>
    </row>
    <row r="13517" spans="1:16" x14ac:dyDescent="0.25">
      <c r="A13517" t="s">
        <v>36393</v>
      </c>
      <c r="B13517" t="s">
        <v>9632</v>
      </c>
      <c r="C13517" t="s">
        <v>9551</v>
      </c>
      <c r="D13517" t="str">
        <f>"1001"</f>
        <v>1001</v>
      </c>
      <c r="E13517" t="s">
        <v>42</v>
      </c>
      <c r="F13517" t="s">
        <v>2068</v>
      </c>
      <c r="G13517" t="s">
        <v>47073</v>
      </c>
      <c r="H13517" t="s">
        <v>47071</v>
      </c>
      <c r="I13517" t="s">
        <v>47118</v>
      </c>
      <c r="J13517" t="s">
        <v>47119</v>
      </c>
      <c r="K13517" t="s">
        <v>47113</v>
      </c>
      <c r="L13517">
        <v>8</v>
      </c>
      <c r="M13517">
        <v>18</v>
      </c>
      <c r="N13517">
        <v>0</v>
      </c>
      <c r="O13517">
        <v>18</v>
      </c>
      <c r="P13517">
        <v>0</v>
      </c>
    </row>
    <row r="13518" spans="1:16" x14ac:dyDescent="0.25">
      <c r="A13518" t="s">
        <v>36394</v>
      </c>
      <c r="B13518" t="s">
        <v>9633</v>
      </c>
      <c r="C13518" t="s">
        <v>9551</v>
      </c>
      <c r="D13518" t="str">
        <f>"1501"</f>
        <v>1501</v>
      </c>
      <c r="E13518" t="s">
        <v>46</v>
      </c>
      <c r="F13518" t="s">
        <v>2068</v>
      </c>
      <c r="G13518" t="s">
        <v>47073</v>
      </c>
      <c r="H13518" t="s">
        <v>47071</v>
      </c>
      <c r="I13518" t="s">
        <v>47118</v>
      </c>
      <c r="J13518" t="s">
        <v>47119</v>
      </c>
      <c r="K13518" t="s">
        <v>47113</v>
      </c>
      <c r="L13518">
        <v>8</v>
      </c>
      <c r="M13518">
        <v>18</v>
      </c>
      <c r="N13518">
        <v>0</v>
      </c>
      <c r="O13518">
        <v>18</v>
      </c>
      <c r="P13518">
        <v>0</v>
      </c>
    </row>
    <row r="13519" spans="1:16" x14ac:dyDescent="0.25">
      <c r="A13519" t="s">
        <v>36395</v>
      </c>
      <c r="B13519" t="s">
        <v>9634</v>
      </c>
      <c r="C13519" t="s">
        <v>9556</v>
      </c>
      <c r="D13519" t="str">
        <f>"9614"</f>
        <v>9614</v>
      </c>
      <c r="E13519" t="s">
        <v>2314</v>
      </c>
      <c r="F13519" t="s">
        <v>2068</v>
      </c>
      <c r="G13519" t="s">
        <v>47073</v>
      </c>
      <c r="H13519" t="s">
        <v>47071</v>
      </c>
      <c r="I13519" t="s">
        <v>47118</v>
      </c>
      <c r="J13519" t="s">
        <v>47119</v>
      </c>
      <c r="K13519" t="s">
        <v>47113</v>
      </c>
      <c r="L13519">
        <v>8</v>
      </c>
      <c r="M13519">
        <v>18</v>
      </c>
      <c r="N13519">
        <v>0</v>
      </c>
      <c r="O13519">
        <v>18</v>
      </c>
      <c r="P13519">
        <v>0</v>
      </c>
    </row>
    <row r="13520" spans="1:16" x14ac:dyDescent="0.25">
      <c r="A13520" t="s">
        <v>36396</v>
      </c>
      <c r="B13520" t="s">
        <v>9635</v>
      </c>
      <c r="C13520" t="s">
        <v>9558</v>
      </c>
      <c r="D13520" t="str">
        <f>"1800"</f>
        <v>1800</v>
      </c>
      <c r="E13520" t="s">
        <v>1999</v>
      </c>
      <c r="F13520" t="s">
        <v>2068</v>
      </c>
      <c r="G13520" t="s">
        <v>47073</v>
      </c>
      <c r="H13520" t="s">
        <v>47071</v>
      </c>
      <c r="I13520" t="s">
        <v>47118</v>
      </c>
      <c r="J13520" t="s">
        <v>47119</v>
      </c>
      <c r="K13520" t="s">
        <v>47113</v>
      </c>
      <c r="L13520">
        <v>8</v>
      </c>
      <c r="M13520">
        <v>18</v>
      </c>
      <c r="N13520">
        <v>0</v>
      </c>
      <c r="O13520">
        <v>18</v>
      </c>
      <c r="P13520">
        <v>0</v>
      </c>
    </row>
    <row r="13521" spans="1:16" x14ac:dyDescent="0.25">
      <c r="A13521" t="s">
        <v>36397</v>
      </c>
      <c r="B13521" t="s">
        <v>9636</v>
      </c>
      <c r="C13521" t="s">
        <v>9560</v>
      </c>
      <c r="D13521" t="str">
        <f>"1501"</f>
        <v>1501</v>
      </c>
      <c r="E13521" t="s">
        <v>46</v>
      </c>
      <c r="F13521" t="s">
        <v>2068</v>
      </c>
      <c r="G13521" t="s">
        <v>47073</v>
      </c>
      <c r="H13521" t="s">
        <v>47071</v>
      </c>
      <c r="I13521" t="s">
        <v>47118</v>
      </c>
      <c r="J13521" t="s">
        <v>47119</v>
      </c>
      <c r="K13521" t="s">
        <v>47113</v>
      </c>
      <c r="L13521">
        <v>8</v>
      </c>
      <c r="M13521">
        <v>18</v>
      </c>
      <c r="N13521">
        <v>0</v>
      </c>
      <c r="O13521">
        <v>18</v>
      </c>
      <c r="P13521">
        <v>0</v>
      </c>
    </row>
    <row r="13522" spans="1:16" x14ac:dyDescent="0.25">
      <c r="A13522" t="s">
        <v>36398</v>
      </c>
      <c r="B13522" t="s">
        <v>9637</v>
      </c>
      <c r="C13522" t="s">
        <v>9564</v>
      </c>
      <c r="D13522" t="str">
        <f>"1800"</f>
        <v>1800</v>
      </c>
      <c r="E13522" t="s">
        <v>1999</v>
      </c>
      <c r="F13522" t="s">
        <v>2068</v>
      </c>
      <c r="G13522" t="s">
        <v>47073</v>
      </c>
      <c r="H13522" t="s">
        <v>47071</v>
      </c>
      <c r="I13522" t="s">
        <v>47118</v>
      </c>
      <c r="J13522" t="s">
        <v>47119</v>
      </c>
      <c r="K13522" t="s">
        <v>47113</v>
      </c>
      <c r="L13522">
        <v>8</v>
      </c>
      <c r="M13522">
        <v>18</v>
      </c>
      <c r="N13522">
        <v>0</v>
      </c>
      <c r="O13522">
        <v>18</v>
      </c>
      <c r="P13522">
        <v>0</v>
      </c>
    </row>
    <row r="13523" spans="1:16" x14ac:dyDescent="0.25">
      <c r="A13523" t="s">
        <v>36399</v>
      </c>
      <c r="B13523" t="s">
        <v>9638</v>
      </c>
      <c r="C13523" t="s">
        <v>9564</v>
      </c>
      <c r="D13523" t="s">
        <v>9565</v>
      </c>
      <c r="E13523" t="s">
        <v>9566</v>
      </c>
      <c r="F13523" t="s">
        <v>2068</v>
      </c>
      <c r="G13523" t="s">
        <v>47073</v>
      </c>
      <c r="H13523" t="s">
        <v>47071</v>
      </c>
      <c r="I13523" t="s">
        <v>47118</v>
      </c>
      <c r="J13523" t="s">
        <v>47119</v>
      </c>
      <c r="K13523" t="s">
        <v>47113</v>
      </c>
      <c r="L13523">
        <v>8</v>
      </c>
      <c r="M13523">
        <v>18</v>
      </c>
      <c r="N13523">
        <v>0</v>
      </c>
      <c r="O13523">
        <v>18</v>
      </c>
      <c r="P13523">
        <v>0</v>
      </c>
    </row>
    <row r="13524" spans="1:16" x14ac:dyDescent="0.25">
      <c r="A13524" t="s">
        <v>36400</v>
      </c>
      <c r="B13524" t="s">
        <v>9639</v>
      </c>
      <c r="C13524" t="s">
        <v>9568</v>
      </c>
      <c r="D13524" t="str">
        <f>"1501"</f>
        <v>1501</v>
      </c>
      <c r="E13524" t="s">
        <v>46</v>
      </c>
      <c r="F13524" t="s">
        <v>2068</v>
      </c>
      <c r="G13524" t="s">
        <v>47073</v>
      </c>
      <c r="H13524" t="s">
        <v>47071</v>
      </c>
      <c r="I13524" t="s">
        <v>47118</v>
      </c>
      <c r="J13524" t="s">
        <v>47119</v>
      </c>
      <c r="K13524" t="s">
        <v>47113</v>
      </c>
      <c r="L13524">
        <v>8</v>
      </c>
      <c r="M13524">
        <v>18</v>
      </c>
      <c r="N13524">
        <v>0</v>
      </c>
      <c r="O13524">
        <v>18</v>
      </c>
      <c r="P13524">
        <v>0</v>
      </c>
    </row>
    <row r="13525" spans="1:16" x14ac:dyDescent="0.25">
      <c r="A13525" t="s">
        <v>36401</v>
      </c>
      <c r="B13525" t="s">
        <v>9640</v>
      </c>
      <c r="C13525" t="s">
        <v>9568</v>
      </c>
      <c r="D13525" t="str">
        <f>"1800"</f>
        <v>1800</v>
      </c>
      <c r="E13525" t="s">
        <v>1999</v>
      </c>
      <c r="F13525" t="s">
        <v>2068</v>
      </c>
      <c r="G13525" t="s">
        <v>47073</v>
      </c>
      <c r="H13525" t="s">
        <v>47071</v>
      </c>
      <c r="I13525" t="s">
        <v>47118</v>
      </c>
      <c r="J13525" t="s">
        <v>47119</v>
      </c>
      <c r="K13525" t="s">
        <v>47113</v>
      </c>
      <c r="L13525">
        <v>8</v>
      </c>
      <c r="M13525">
        <v>18</v>
      </c>
      <c r="N13525">
        <v>0</v>
      </c>
      <c r="O13525">
        <v>18</v>
      </c>
      <c r="P13525">
        <v>0</v>
      </c>
    </row>
    <row r="13526" spans="1:16" x14ac:dyDescent="0.25">
      <c r="A13526" t="s">
        <v>36402</v>
      </c>
      <c r="B13526" t="s">
        <v>9641</v>
      </c>
      <c r="C13526" t="s">
        <v>9571</v>
      </c>
      <c r="D13526" t="str">
        <f>"1501"</f>
        <v>1501</v>
      </c>
      <c r="E13526" t="s">
        <v>46</v>
      </c>
      <c r="F13526" t="s">
        <v>2068</v>
      </c>
      <c r="G13526" t="s">
        <v>47073</v>
      </c>
      <c r="H13526" t="s">
        <v>47071</v>
      </c>
      <c r="I13526" t="s">
        <v>47118</v>
      </c>
      <c r="J13526" t="s">
        <v>47119</v>
      </c>
      <c r="K13526" t="s">
        <v>47113</v>
      </c>
      <c r="L13526">
        <v>8</v>
      </c>
      <c r="M13526">
        <v>18</v>
      </c>
      <c r="N13526">
        <v>0</v>
      </c>
      <c r="O13526">
        <v>18</v>
      </c>
      <c r="P13526">
        <v>0</v>
      </c>
    </row>
    <row r="13527" spans="1:16" x14ac:dyDescent="0.25">
      <c r="A13527" t="s">
        <v>36403</v>
      </c>
      <c r="B13527" t="s">
        <v>9642</v>
      </c>
      <c r="C13527" t="s">
        <v>9573</v>
      </c>
      <c r="D13527" t="str">
        <f>"1001"</f>
        <v>1001</v>
      </c>
      <c r="E13527" t="s">
        <v>42</v>
      </c>
      <c r="F13527" t="s">
        <v>2068</v>
      </c>
      <c r="G13527" t="s">
        <v>47073</v>
      </c>
      <c r="H13527" t="s">
        <v>47071</v>
      </c>
      <c r="I13527" t="s">
        <v>47118</v>
      </c>
      <c r="J13527" t="s">
        <v>47119</v>
      </c>
      <c r="K13527" t="s">
        <v>47113</v>
      </c>
      <c r="L13527">
        <v>8</v>
      </c>
      <c r="M13527">
        <v>18</v>
      </c>
      <c r="N13527">
        <v>0</v>
      </c>
      <c r="O13527">
        <v>18</v>
      </c>
      <c r="P13527">
        <v>0</v>
      </c>
    </row>
    <row r="13528" spans="1:16" x14ac:dyDescent="0.25">
      <c r="A13528" t="s">
        <v>36404</v>
      </c>
      <c r="B13528" t="s">
        <v>9643</v>
      </c>
      <c r="C13528" t="s">
        <v>9556</v>
      </c>
      <c r="D13528" t="str">
        <f>"1001"</f>
        <v>1001</v>
      </c>
      <c r="E13528" t="s">
        <v>42</v>
      </c>
      <c r="F13528" t="s">
        <v>2068</v>
      </c>
      <c r="G13528" t="s">
        <v>47073</v>
      </c>
      <c r="H13528" t="s">
        <v>47071</v>
      </c>
      <c r="I13528" t="s">
        <v>47118</v>
      </c>
      <c r="J13528" t="s">
        <v>47119</v>
      </c>
      <c r="K13528" t="s">
        <v>47113</v>
      </c>
      <c r="L13528">
        <v>8</v>
      </c>
      <c r="M13528">
        <v>18</v>
      </c>
      <c r="N13528">
        <v>0</v>
      </c>
      <c r="O13528">
        <v>18</v>
      </c>
      <c r="P13528">
        <v>0</v>
      </c>
    </row>
    <row r="13529" spans="1:16" x14ac:dyDescent="0.25">
      <c r="A13529" t="s">
        <v>36405</v>
      </c>
      <c r="B13529" t="s">
        <v>9644</v>
      </c>
      <c r="C13529" t="s">
        <v>9571</v>
      </c>
      <c r="D13529" t="str">
        <f>"1800"</f>
        <v>1800</v>
      </c>
      <c r="E13529" t="s">
        <v>1999</v>
      </c>
      <c r="F13529" t="s">
        <v>2068</v>
      </c>
      <c r="G13529" t="s">
        <v>47073</v>
      </c>
      <c r="H13529" t="s">
        <v>47071</v>
      </c>
      <c r="I13529" t="s">
        <v>47118</v>
      </c>
      <c r="J13529" t="s">
        <v>47119</v>
      </c>
      <c r="K13529" t="s">
        <v>47113</v>
      </c>
      <c r="L13529">
        <v>8</v>
      </c>
      <c r="M13529">
        <v>18</v>
      </c>
      <c r="N13529">
        <v>0</v>
      </c>
      <c r="O13529">
        <v>18</v>
      </c>
      <c r="P13529">
        <v>0</v>
      </c>
    </row>
    <row r="13530" spans="1:16" x14ac:dyDescent="0.25">
      <c r="A13530" t="s">
        <v>36406</v>
      </c>
      <c r="B13530" t="s">
        <v>18043</v>
      </c>
      <c r="C13530" t="s">
        <v>18044</v>
      </c>
      <c r="D13530" t="s">
        <v>15740</v>
      </c>
      <c r="E13530" t="s">
        <v>42</v>
      </c>
      <c r="F13530" t="s">
        <v>16601</v>
      </c>
      <c r="G13530" t="s">
        <v>47082</v>
      </c>
      <c r="H13530" t="s">
        <v>47071</v>
      </c>
      <c r="I13530" t="s">
        <v>47120</v>
      </c>
      <c r="J13530" t="s">
        <v>47121</v>
      </c>
      <c r="K13530" t="s">
        <v>47113</v>
      </c>
      <c r="L13530">
        <v>27.8</v>
      </c>
      <c r="M13530">
        <v>33</v>
      </c>
      <c r="N13530">
        <v>0</v>
      </c>
      <c r="O13530">
        <v>33</v>
      </c>
      <c r="P13530">
        <v>0</v>
      </c>
    </row>
    <row r="13531" spans="1:16" x14ac:dyDescent="0.25">
      <c r="A13531" t="s">
        <v>36407</v>
      </c>
      <c r="B13531" t="s">
        <v>18045</v>
      </c>
      <c r="C13531" t="s">
        <v>18046</v>
      </c>
      <c r="D13531" t="s">
        <v>18047</v>
      </c>
      <c r="E13531" t="s">
        <v>18048</v>
      </c>
      <c r="F13531" t="s">
        <v>16601</v>
      </c>
      <c r="G13531" t="s">
        <v>47082</v>
      </c>
      <c r="H13531" t="s">
        <v>47071</v>
      </c>
      <c r="I13531" t="s">
        <v>47120</v>
      </c>
      <c r="J13531" t="s">
        <v>47121</v>
      </c>
      <c r="K13531" t="s">
        <v>47113</v>
      </c>
      <c r="L13531">
        <v>27.8</v>
      </c>
      <c r="M13531">
        <v>33</v>
      </c>
      <c r="N13531">
        <v>0</v>
      </c>
      <c r="O13531">
        <v>33</v>
      </c>
      <c r="P13531">
        <v>0</v>
      </c>
    </row>
    <row r="13532" spans="1:16" x14ac:dyDescent="0.25">
      <c r="A13532" t="s">
        <v>36408</v>
      </c>
      <c r="B13532" t="s">
        <v>18049</v>
      </c>
      <c r="C13532" t="s">
        <v>18050</v>
      </c>
      <c r="D13532" t="s">
        <v>15740</v>
      </c>
      <c r="E13532" t="s">
        <v>42</v>
      </c>
      <c r="F13532" t="s">
        <v>16601</v>
      </c>
      <c r="G13532" t="s">
        <v>47083</v>
      </c>
      <c r="H13532" t="s">
        <v>47071</v>
      </c>
      <c r="I13532" t="s">
        <v>47120</v>
      </c>
      <c r="J13532" t="s">
        <v>47121</v>
      </c>
      <c r="K13532" t="s">
        <v>47113</v>
      </c>
      <c r="L13532">
        <v>24.68</v>
      </c>
      <c r="M13532">
        <v>29</v>
      </c>
      <c r="N13532">
        <v>0</v>
      </c>
      <c r="O13532">
        <v>29</v>
      </c>
      <c r="P13532">
        <v>0</v>
      </c>
    </row>
    <row r="13533" spans="1:16" x14ac:dyDescent="0.25">
      <c r="A13533" t="s">
        <v>36409</v>
      </c>
      <c r="B13533" t="s">
        <v>18049</v>
      </c>
      <c r="C13533" t="s">
        <v>18050</v>
      </c>
      <c r="D13533" t="s">
        <v>18051</v>
      </c>
      <c r="E13533" t="s">
        <v>18052</v>
      </c>
      <c r="F13533" t="s">
        <v>16601</v>
      </c>
      <c r="G13533" t="s">
        <v>47083</v>
      </c>
      <c r="H13533" t="s">
        <v>47071</v>
      </c>
      <c r="I13533" t="s">
        <v>47120</v>
      </c>
      <c r="J13533" t="s">
        <v>47121</v>
      </c>
      <c r="K13533" t="s">
        <v>47113</v>
      </c>
      <c r="L13533">
        <v>24.68</v>
      </c>
      <c r="M13533">
        <v>29</v>
      </c>
      <c r="N13533">
        <v>0</v>
      </c>
      <c r="O13533">
        <v>29</v>
      </c>
      <c r="P13533">
        <v>0</v>
      </c>
    </row>
    <row r="13534" spans="1:16" x14ac:dyDescent="0.25">
      <c r="A13534" t="s">
        <v>36410</v>
      </c>
      <c r="B13534" t="s">
        <v>18049</v>
      </c>
      <c r="C13534" t="s">
        <v>18050</v>
      </c>
      <c r="D13534" t="s">
        <v>18053</v>
      </c>
      <c r="E13534" t="s">
        <v>18054</v>
      </c>
      <c r="F13534" t="s">
        <v>16601</v>
      </c>
      <c r="G13534" t="s">
        <v>47083</v>
      </c>
      <c r="H13534" t="s">
        <v>47071</v>
      </c>
      <c r="I13534" t="s">
        <v>47120</v>
      </c>
      <c r="J13534" t="s">
        <v>47121</v>
      </c>
      <c r="K13534" t="s">
        <v>47113</v>
      </c>
      <c r="L13534">
        <v>24.68</v>
      </c>
      <c r="M13534">
        <v>29</v>
      </c>
      <c r="N13534">
        <v>0</v>
      </c>
      <c r="O13534">
        <v>29</v>
      </c>
      <c r="P13534">
        <v>0</v>
      </c>
    </row>
    <row r="13535" spans="1:16" x14ac:dyDescent="0.25">
      <c r="A13535" t="s">
        <v>36411</v>
      </c>
      <c r="B13535" t="s">
        <v>18049</v>
      </c>
      <c r="C13535" t="s">
        <v>18050</v>
      </c>
      <c r="D13535" t="s">
        <v>18055</v>
      </c>
      <c r="E13535" t="s">
        <v>18056</v>
      </c>
      <c r="F13535" t="s">
        <v>16601</v>
      </c>
      <c r="G13535" t="s">
        <v>47083</v>
      </c>
      <c r="H13535" t="s">
        <v>47071</v>
      </c>
      <c r="I13535" t="s">
        <v>47120</v>
      </c>
      <c r="J13535" t="s">
        <v>47121</v>
      </c>
      <c r="K13535" t="s">
        <v>47113</v>
      </c>
      <c r="L13535">
        <v>24.68</v>
      </c>
      <c r="M13535">
        <v>29</v>
      </c>
      <c r="N13535">
        <v>0</v>
      </c>
      <c r="O13535">
        <v>29</v>
      </c>
      <c r="P13535">
        <v>0</v>
      </c>
    </row>
    <row r="13536" spans="1:16" x14ac:dyDescent="0.25">
      <c r="A13536" t="s">
        <v>36412</v>
      </c>
      <c r="B13536" t="s">
        <v>18057</v>
      </c>
      <c r="C13536" t="s">
        <v>18050</v>
      </c>
      <c r="D13536" t="s">
        <v>18058</v>
      </c>
      <c r="E13536" t="s">
        <v>18059</v>
      </c>
      <c r="F13536" t="s">
        <v>16601</v>
      </c>
      <c r="G13536" t="s">
        <v>47083</v>
      </c>
      <c r="H13536" t="s">
        <v>47071</v>
      </c>
      <c r="I13536" t="s">
        <v>47116</v>
      </c>
      <c r="J13536" t="s">
        <v>47117</v>
      </c>
      <c r="K13536" t="s">
        <v>47113</v>
      </c>
      <c r="L13536">
        <v>24.68</v>
      </c>
      <c r="M13536">
        <v>29</v>
      </c>
      <c r="N13536">
        <v>0</v>
      </c>
      <c r="O13536">
        <v>29</v>
      </c>
      <c r="P13536">
        <v>0</v>
      </c>
    </row>
    <row r="13537" spans="1:16" x14ac:dyDescent="0.25">
      <c r="A13537" t="s">
        <v>36413</v>
      </c>
      <c r="B13537" t="s">
        <v>18060</v>
      </c>
      <c r="C13537" t="s">
        <v>18061</v>
      </c>
      <c r="D13537" t="s">
        <v>18062</v>
      </c>
      <c r="E13537" t="s">
        <v>18063</v>
      </c>
      <c r="F13537" t="s">
        <v>16601</v>
      </c>
      <c r="G13537" t="s">
        <v>47081</v>
      </c>
      <c r="H13537" t="s">
        <v>47071</v>
      </c>
      <c r="I13537" t="s">
        <v>47116</v>
      </c>
      <c r="J13537" t="s">
        <v>47117</v>
      </c>
      <c r="K13537" t="s">
        <v>47113</v>
      </c>
      <c r="L13537">
        <v>40.299999999999997</v>
      </c>
      <c r="M13537">
        <v>48</v>
      </c>
      <c r="N13537">
        <v>0</v>
      </c>
      <c r="O13537">
        <v>48</v>
      </c>
      <c r="P13537">
        <v>0</v>
      </c>
    </row>
    <row r="13538" spans="1:16" x14ac:dyDescent="0.25">
      <c r="A13538" t="s">
        <v>36414</v>
      </c>
      <c r="B13538" t="s">
        <v>18064</v>
      </c>
      <c r="C13538" t="s">
        <v>18065</v>
      </c>
      <c r="D13538" t="s">
        <v>18066</v>
      </c>
      <c r="E13538" t="s">
        <v>18067</v>
      </c>
      <c r="F13538" t="s">
        <v>16601</v>
      </c>
      <c r="G13538" t="s">
        <v>47081</v>
      </c>
      <c r="H13538" t="s">
        <v>47071</v>
      </c>
      <c r="I13538" t="s">
        <v>47116</v>
      </c>
      <c r="J13538" t="s">
        <v>47117</v>
      </c>
      <c r="K13538" t="s">
        <v>47113</v>
      </c>
      <c r="L13538">
        <v>40.299999999999997</v>
      </c>
      <c r="M13538">
        <v>48</v>
      </c>
      <c r="N13538">
        <v>0</v>
      </c>
      <c r="O13538">
        <v>48</v>
      </c>
      <c r="P13538">
        <v>0</v>
      </c>
    </row>
    <row r="13539" spans="1:16" x14ac:dyDescent="0.25">
      <c r="A13539" t="s">
        <v>36415</v>
      </c>
      <c r="B13539" t="s">
        <v>18068</v>
      </c>
      <c r="C13539" t="s">
        <v>18069</v>
      </c>
      <c r="D13539" t="s">
        <v>18070</v>
      </c>
      <c r="E13539" t="s">
        <v>814</v>
      </c>
      <c r="F13539" t="s">
        <v>16601</v>
      </c>
      <c r="G13539" t="s">
        <v>47087</v>
      </c>
      <c r="H13539" t="s">
        <v>47071</v>
      </c>
      <c r="I13539" t="s">
        <v>47120</v>
      </c>
      <c r="J13539" t="s">
        <v>47121</v>
      </c>
      <c r="K13539" t="s">
        <v>47113</v>
      </c>
      <c r="L13539">
        <v>12.18</v>
      </c>
      <c r="M13539">
        <v>18</v>
      </c>
      <c r="N13539">
        <v>0</v>
      </c>
      <c r="O13539">
        <v>18</v>
      </c>
      <c r="P13539">
        <v>0</v>
      </c>
    </row>
    <row r="13540" spans="1:16" x14ac:dyDescent="0.25">
      <c r="A13540" t="s">
        <v>36416</v>
      </c>
      <c r="B13540" t="s">
        <v>18071</v>
      </c>
      <c r="C13540" t="s">
        <v>18072</v>
      </c>
      <c r="D13540" t="s">
        <v>18073</v>
      </c>
      <c r="E13540" t="s">
        <v>18074</v>
      </c>
      <c r="F13540" t="s">
        <v>16601</v>
      </c>
      <c r="G13540" t="s">
        <v>47082</v>
      </c>
      <c r="H13540" t="s">
        <v>47071</v>
      </c>
      <c r="I13540" t="s">
        <v>47120</v>
      </c>
      <c r="J13540" t="s">
        <v>47121</v>
      </c>
      <c r="K13540" t="s">
        <v>47113</v>
      </c>
      <c r="L13540">
        <v>12.18</v>
      </c>
      <c r="M13540">
        <v>18</v>
      </c>
      <c r="N13540">
        <v>0</v>
      </c>
      <c r="O13540">
        <v>18</v>
      </c>
      <c r="P13540">
        <v>0</v>
      </c>
    </row>
    <row r="13541" spans="1:16" x14ac:dyDescent="0.25">
      <c r="A13541" t="s">
        <v>36417</v>
      </c>
      <c r="B13541" t="s">
        <v>18075</v>
      </c>
      <c r="C13541" t="s">
        <v>18076</v>
      </c>
      <c r="D13541" t="s">
        <v>15740</v>
      </c>
      <c r="E13541" t="s">
        <v>42</v>
      </c>
      <c r="F13541" t="s">
        <v>16601</v>
      </c>
      <c r="G13541" t="s">
        <v>47082</v>
      </c>
      <c r="H13541" t="s">
        <v>47071</v>
      </c>
      <c r="I13541" t="s">
        <v>47120</v>
      </c>
      <c r="J13541" t="s">
        <v>47121</v>
      </c>
      <c r="K13541" t="s">
        <v>47113</v>
      </c>
      <c r="L13541">
        <v>18.43</v>
      </c>
      <c r="M13541">
        <v>22</v>
      </c>
      <c r="N13541">
        <v>0</v>
      </c>
      <c r="O13541">
        <v>22</v>
      </c>
      <c r="P13541">
        <v>0</v>
      </c>
    </row>
    <row r="13542" spans="1:16" x14ac:dyDescent="0.25">
      <c r="A13542" t="s">
        <v>36418</v>
      </c>
      <c r="B13542" t="s">
        <v>18077</v>
      </c>
      <c r="C13542" t="s">
        <v>18078</v>
      </c>
      <c r="D13542" t="s">
        <v>15740</v>
      </c>
      <c r="E13542" t="s">
        <v>42</v>
      </c>
      <c r="F13542" t="s">
        <v>16601</v>
      </c>
      <c r="G13542" t="s">
        <v>47087</v>
      </c>
      <c r="H13542" t="s">
        <v>47071</v>
      </c>
      <c r="I13542" t="s">
        <v>47120</v>
      </c>
      <c r="J13542" t="s">
        <v>47121</v>
      </c>
      <c r="K13542" t="s">
        <v>47113</v>
      </c>
      <c r="L13542">
        <v>12.18</v>
      </c>
      <c r="M13542">
        <v>18</v>
      </c>
      <c r="N13542">
        <v>0</v>
      </c>
      <c r="O13542">
        <v>18</v>
      </c>
      <c r="P13542">
        <v>0</v>
      </c>
    </row>
    <row r="13543" spans="1:16" x14ac:dyDescent="0.25">
      <c r="A13543" t="s">
        <v>36419</v>
      </c>
      <c r="B13543" t="s">
        <v>18079</v>
      </c>
      <c r="C13543" t="s">
        <v>18080</v>
      </c>
      <c r="D13543" t="s">
        <v>15692</v>
      </c>
      <c r="E13543" t="s">
        <v>46</v>
      </c>
      <c r="F13543" t="s">
        <v>16601</v>
      </c>
      <c r="G13543" t="s">
        <v>47082</v>
      </c>
      <c r="H13543" t="s">
        <v>47071</v>
      </c>
      <c r="I13543" t="s">
        <v>47120</v>
      </c>
      <c r="J13543" t="s">
        <v>47121</v>
      </c>
      <c r="K13543" t="s">
        <v>47113</v>
      </c>
      <c r="L13543">
        <v>18.43</v>
      </c>
      <c r="M13543">
        <v>22</v>
      </c>
      <c r="N13543">
        <v>0</v>
      </c>
      <c r="O13543">
        <v>22</v>
      </c>
      <c r="P13543">
        <v>0</v>
      </c>
    </row>
    <row r="13544" spans="1:16" x14ac:dyDescent="0.25">
      <c r="A13544" t="s">
        <v>36420</v>
      </c>
      <c r="B13544" t="s">
        <v>18081</v>
      </c>
      <c r="C13544" t="s">
        <v>18082</v>
      </c>
      <c r="D13544" t="s">
        <v>15740</v>
      </c>
      <c r="E13544" t="s">
        <v>42</v>
      </c>
      <c r="F13544" t="s">
        <v>16601</v>
      </c>
      <c r="G13544" t="s">
        <v>47085</v>
      </c>
      <c r="H13544" t="s">
        <v>47071</v>
      </c>
      <c r="I13544" t="s">
        <v>47120</v>
      </c>
      <c r="J13544" t="s">
        <v>47121</v>
      </c>
      <c r="K13544" t="s">
        <v>47113</v>
      </c>
      <c r="L13544">
        <v>21.55</v>
      </c>
      <c r="M13544">
        <v>26</v>
      </c>
      <c r="N13544">
        <v>0</v>
      </c>
      <c r="O13544">
        <v>26</v>
      </c>
      <c r="P13544">
        <v>0</v>
      </c>
    </row>
    <row r="13545" spans="1:16" x14ac:dyDescent="0.25">
      <c r="A13545" t="s">
        <v>36421</v>
      </c>
      <c r="B13545" t="s">
        <v>18083</v>
      </c>
      <c r="C13545" t="s">
        <v>15771</v>
      </c>
      <c r="D13545" t="s">
        <v>18084</v>
      </c>
      <c r="E13545" t="s">
        <v>18085</v>
      </c>
      <c r="F13545" t="s">
        <v>16601</v>
      </c>
      <c r="G13545" t="s">
        <v>47085</v>
      </c>
      <c r="H13545" t="s">
        <v>47071</v>
      </c>
      <c r="I13545" t="s">
        <v>47120</v>
      </c>
      <c r="J13545" t="s">
        <v>47121</v>
      </c>
      <c r="K13545" t="s">
        <v>47113</v>
      </c>
      <c r="L13545">
        <v>21.55</v>
      </c>
      <c r="M13545">
        <v>26</v>
      </c>
      <c r="N13545">
        <v>0</v>
      </c>
      <c r="O13545">
        <v>26</v>
      </c>
      <c r="P13545">
        <v>0</v>
      </c>
    </row>
    <row r="13546" spans="1:16" x14ac:dyDescent="0.25">
      <c r="A13546" t="s">
        <v>36422</v>
      </c>
      <c r="B13546" t="s">
        <v>18086</v>
      </c>
      <c r="C13546" t="s">
        <v>18087</v>
      </c>
      <c r="D13546" t="s">
        <v>15740</v>
      </c>
      <c r="E13546" t="s">
        <v>42</v>
      </c>
      <c r="F13546" t="s">
        <v>16601</v>
      </c>
      <c r="G13546" t="s">
        <v>47087</v>
      </c>
      <c r="H13546" t="s">
        <v>47071</v>
      </c>
      <c r="I13546" t="s">
        <v>47120</v>
      </c>
      <c r="J13546" t="s">
        <v>47121</v>
      </c>
      <c r="K13546" t="s">
        <v>47113</v>
      </c>
      <c r="L13546">
        <v>10.94</v>
      </c>
      <c r="M13546">
        <v>16</v>
      </c>
      <c r="N13546">
        <v>0</v>
      </c>
      <c r="O13546">
        <v>16</v>
      </c>
      <c r="P13546">
        <v>0</v>
      </c>
    </row>
    <row r="13547" spans="1:16" x14ac:dyDescent="0.25">
      <c r="A13547" t="s">
        <v>36423</v>
      </c>
      <c r="B13547" t="s">
        <v>18086</v>
      </c>
      <c r="C13547" t="s">
        <v>18087</v>
      </c>
      <c r="D13547" t="s">
        <v>18088</v>
      </c>
      <c r="E13547" t="s">
        <v>18089</v>
      </c>
      <c r="F13547" t="s">
        <v>16601</v>
      </c>
      <c r="G13547" t="s">
        <v>47087</v>
      </c>
      <c r="H13547" t="s">
        <v>47071</v>
      </c>
      <c r="I13547" t="s">
        <v>47120</v>
      </c>
      <c r="J13547" t="s">
        <v>47121</v>
      </c>
      <c r="K13547" t="s">
        <v>47113</v>
      </c>
      <c r="L13547">
        <v>10.94</v>
      </c>
      <c r="M13547">
        <v>16</v>
      </c>
      <c r="N13547">
        <v>0</v>
      </c>
      <c r="O13547">
        <v>16</v>
      </c>
      <c r="P13547">
        <v>0</v>
      </c>
    </row>
    <row r="13548" spans="1:16" x14ac:dyDescent="0.25">
      <c r="A13548" t="s">
        <v>36424</v>
      </c>
      <c r="B13548" t="s">
        <v>18086</v>
      </c>
      <c r="C13548" t="s">
        <v>18087</v>
      </c>
      <c r="D13548" t="s">
        <v>15658</v>
      </c>
      <c r="E13548" t="s">
        <v>15659</v>
      </c>
      <c r="F13548" t="s">
        <v>16601</v>
      </c>
      <c r="G13548" t="s">
        <v>47087</v>
      </c>
      <c r="H13548" t="s">
        <v>47071</v>
      </c>
      <c r="I13548" t="s">
        <v>47120</v>
      </c>
      <c r="J13548" t="s">
        <v>47121</v>
      </c>
      <c r="K13548" t="s">
        <v>47113</v>
      </c>
      <c r="L13548">
        <v>10.94</v>
      </c>
      <c r="M13548">
        <v>16</v>
      </c>
      <c r="N13548">
        <v>0</v>
      </c>
      <c r="O13548">
        <v>16</v>
      </c>
      <c r="P13548">
        <v>0</v>
      </c>
    </row>
    <row r="13549" spans="1:16" x14ac:dyDescent="0.25">
      <c r="A13549" t="s">
        <v>36425</v>
      </c>
      <c r="B13549" t="s">
        <v>18090</v>
      </c>
      <c r="C13549" t="s">
        <v>18091</v>
      </c>
      <c r="D13549" t="s">
        <v>15740</v>
      </c>
      <c r="E13549" t="s">
        <v>42</v>
      </c>
      <c r="F13549" t="s">
        <v>16601</v>
      </c>
      <c r="G13549" t="s">
        <v>47087</v>
      </c>
      <c r="H13549" t="s">
        <v>47071</v>
      </c>
      <c r="I13549" t="s">
        <v>47120</v>
      </c>
      <c r="J13549" t="s">
        <v>47121</v>
      </c>
      <c r="K13549" t="s">
        <v>47113</v>
      </c>
      <c r="L13549">
        <v>10.94</v>
      </c>
      <c r="M13549">
        <v>16</v>
      </c>
      <c r="N13549">
        <v>0</v>
      </c>
      <c r="O13549">
        <v>16</v>
      </c>
      <c r="P13549">
        <v>0</v>
      </c>
    </row>
    <row r="13550" spans="1:16" x14ac:dyDescent="0.25">
      <c r="A13550" t="s">
        <v>36426</v>
      </c>
      <c r="B13550" t="s">
        <v>18092</v>
      </c>
      <c r="C13550" t="s">
        <v>18093</v>
      </c>
      <c r="D13550" t="s">
        <v>14429</v>
      </c>
      <c r="E13550" t="s">
        <v>60</v>
      </c>
      <c r="F13550" t="s">
        <v>16601</v>
      </c>
      <c r="G13550" t="s">
        <v>47087</v>
      </c>
      <c r="H13550" t="s">
        <v>47071</v>
      </c>
      <c r="I13550" t="s">
        <v>47120</v>
      </c>
      <c r="J13550" t="s">
        <v>47121</v>
      </c>
      <c r="K13550" t="s">
        <v>47113</v>
      </c>
      <c r="L13550">
        <v>10.94</v>
      </c>
      <c r="M13550">
        <v>16</v>
      </c>
      <c r="N13550">
        <v>0</v>
      </c>
      <c r="O13550">
        <v>16</v>
      </c>
      <c r="P13550">
        <v>0</v>
      </c>
    </row>
    <row r="13551" spans="1:16" x14ac:dyDescent="0.25">
      <c r="A13551" t="s">
        <v>48699</v>
      </c>
      <c r="B13551" t="s">
        <v>48700</v>
      </c>
      <c r="C13551" t="s">
        <v>48701</v>
      </c>
      <c r="D13551" t="s">
        <v>18070</v>
      </c>
      <c r="E13551" t="s">
        <v>814</v>
      </c>
      <c r="F13551" t="s">
        <v>27965</v>
      </c>
      <c r="G13551" t="s">
        <v>47082</v>
      </c>
      <c r="H13551" t="s">
        <v>47071</v>
      </c>
      <c r="I13551" t="s">
        <v>47120</v>
      </c>
      <c r="J13551" t="s">
        <v>47121</v>
      </c>
      <c r="K13551" t="s">
        <v>47113</v>
      </c>
      <c r="L13551">
        <v>20.97</v>
      </c>
      <c r="M13551">
        <v>52</v>
      </c>
      <c r="N13551">
        <v>129</v>
      </c>
      <c r="O13551">
        <v>52</v>
      </c>
      <c r="P13551">
        <v>129</v>
      </c>
    </row>
    <row r="13552" spans="1:16" x14ac:dyDescent="0.25">
      <c r="A13552" t="s">
        <v>48702</v>
      </c>
      <c r="B13552" t="s">
        <v>48700</v>
      </c>
      <c r="C13552" t="s">
        <v>48701</v>
      </c>
      <c r="D13552" t="s">
        <v>9513</v>
      </c>
      <c r="E13552" t="s">
        <v>9514</v>
      </c>
      <c r="F13552" t="s">
        <v>27965</v>
      </c>
      <c r="G13552" t="s">
        <v>47082</v>
      </c>
      <c r="H13552" t="s">
        <v>47071</v>
      </c>
      <c r="I13552" t="s">
        <v>47120</v>
      </c>
      <c r="J13552" t="s">
        <v>47121</v>
      </c>
      <c r="K13552" t="s">
        <v>47113</v>
      </c>
      <c r="L13552">
        <v>20.97</v>
      </c>
      <c r="M13552">
        <v>52</v>
      </c>
      <c r="N13552">
        <v>129</v>
      </c>
      <c r="O13552">
        <v>52</v>
      </c>
      <c r="P13552">
        <v>129</v>
      </c>
    </row>
    <row r="13553" spans="1:16" x14ac:dyDescent="0.25">
      <c r="A13553" t="s">
        <v>48703</v>
      </c>
      <c r="B13553" t="s">
        <v>48704</v>
      </c>
      <c r="C13553" t="s">
        <v>36080</v>
      </c>
      <c r="D13553" t="s">
        <v>18070</v>
      </c>
      <c r="E13553" t="s">
        <v>814</v>
      </c>
      <c r="F13553" t="s">
        <v>47325</v>
      </c>
      <c r="G13553" t="s">
        <v>47081</v>
      </c>
      <c r="H13553" t="s">
        <v>47071</v>
      </c>
      <c r="I13553" t="s">
        <v>47116</v>
      </c>
      <c r="J13553" t="s">
        <v>47117</v>
      </c>
      <c r="K13553" t="s">
        <v>47113</v>
      </c>
      <c r="L13553">
        <v>20.95</v>
      </c>
      <c r="M13553">
        <v>52</v>
      </c>
      <c r="N13553">
        <v>129</v>
      </c>
      <c r="O13553">
        <v>52</v>
      </c>
      <c r="P13553">
        <v>129</v>
      </c>
    </row>
    <row r="13554" spans="1:16" x14ac:dyDescent="0.25">
      <c r="A13554" t="s">
        <v>48705</v>
      </c>
      <c r="B13554" t="s">
        <v>48706</v>
      </c>
      <c r="C13554" t="s">
        <v>36189</v>
      </c>
      <c r="D13554" t="s">
        <v>18070</v>
      </c>
      <c r="E13554" t="s">
        <v>814</v>
      </c>
      <c r="F13554" t="s">
        <v>47325</v>
      </c>
      <c r="G13554" t="s">
        <v>47087</v>
      </c>
      <c r="H13554" t="s">
        <v>47071</v>
      </c>
      <c r="I13554" t="s">
        <v>47120</v>
      </c>
      <c r="J13554" t="s">
        <v>47121</v>
      </c>
      <c r="K13554" t="s">
        <v>47113</v>
      </c>
      <c r="L13554">
        <v>9.9499999999999993</v>
      </c>
      <c r="M13554">
        <v>20</v>
      </c>
      <c r="N13554">
        <v>49</v>
      </c>
      <c r="O13554">
        <v>20</v>
      </c>
      <c r="P13554">
        <v>49</v>
      </c>
    </row>
    <row r="13555" spans="1:16" x14ac:dyDescent="0.25">
      <c r="A13555" t="s">
        <v>48707</v>
      </c>
      <c r="B13555" t="s">
        <v>48706</v>
      </c>
      <c r="C13555" t="s">
        <v>36189</v>
      </c>
      <c r="D13555" t="s">
        <v>14429</v>
      </c>
      <c r="E13555" t="s">
        <v>60</v>
      </c>
      <c r="F13555" t="s">
        <v>47325</v>
      </c>
      <c r="G13555" t="s">
        <v>47087</v>
      </c>
      <c r="H13555" t="s">
        <v>47071</v>
      </c>
      <c r="I13555" t="s">
        <v>47120</v>
      </c>
      <c r="J13555" t="s">
        <v>47121</v>
      </c>
      <c r="K13555" t="s">
        <v>47113</v>
      </c>
      <c r="L13555">
        <v>9.9499999999999993</v>
      </c>
      <c r="M13555">
        <v>20</v>
      </c>
      <c r="N13555">
        <v>49</v>
      </c>
      <c r="O13555">
        <v>20</v>
      </c>
      <c r="P13555">
        <v>49</v>
      </c>
    </row>
    <row r="13556" spans="1:16" x14ac:dyDescent="0.25">
      <c r="A13556" t="s">
        <v>47088</v>
      </c>
      <c r="B13556" t="s">
        <v>46809</v>
      </c>
      <c r="C13556" t="s">
        <v>36196</v>
      </c>
      <c r="D13556" t="s">
        <v>46899</v>
      </c>
      <c r="E13556" t="s">
        <v>27778</v>
      </c>
      <c r="F13556" t="s">
        <v>24019</v>
      </c>
      <c r="G13556" t="s">
        <v>47087</v>
      </c>
      <c r="H13556" t="s">
        <v>47071</v>
      </c>
      <c r="I13556" t="s">
        <v>47120</v>
      </c>
      <c r="J13556" t="s">
        <v>47121</v>
      </c>
      <c r="K13556" t="s">
        <v>47113</v>
      </c>
      <c r="L13556">
        <v>11.95</v>
      </c>
      <c r="M13556">
        <v>20</v>
      </c>
      <c r="N13556">
        <v>49</v>
      </c>
      <c r="O13556">
        <v>20</v>
      </c>
      <c r="P13556">
        <v>49</v>
      </c>
    </row>
    <row r="13557" spans="1:16" x14ac:dyDescent="0.25">
      <c r="A13557" t="s">
        <v>46808</v>
      </c>
      <c r="B13557" t="s">
        <v>46809</v>
      </c>
      <c r="C13557" t="s">
        <v>36196</v>
      </c>
      <c r="D13557" t="s">
        <v>18070</v>
      </c>
      <c r="E13557" t="s">
        <v>814</v>
      </c>
      <c r="F13557" t="s">
        <v>24019</v>
      </c>
      <c r="G13557" t="s">
        <v>47087</v>
      </c>
      <c r="H13557" t="s">
        <v>47071</v>
      </c>
      <c r="I13557" t="s">
        <v>47120</v>
      </c>
      <c r="J13557" t="s">
        <v>47121</v>
      </c>
      <c r="K13557" t="s">
        <v>47113</v>
      </c>
      <c r="L13557">
        <v>11.95</v>
      </c>
      <c r="M13557">
        <v>20</v>
      </c>
      <c r="N13557">
        <v>49</v>
      </c>
      <c r="O13557">
        <v>20</v>
      </c>
      <c r="P13557">
        <v>49</v>
      </c>
    </row>
    <row r="13558" spans="1:16" x14ac:dyDescent="0.25">
      <c r="A13558" t="s">
        <v>46810</v>
      </c>
      <c r="B13558" t="s">
        <v>46809</v>
      </c>
      <c r="C13558" t="s">
        <v>36196</v>
      </c>
      <c r="D13558" t="s">
        <v>14429</v>
      </c>
      <c r="E13558" t="s">
        <v>60</v>
      </c>
      <c r="F13558" t="s">
        <v>24019</v>
      </c>
      <c r="G13558" t="s">
        <v>47087</v>
      </c>
      <c r="H13558" t="s">
        <v>47071</v>
      </c>
      <c r="I13558" t="s">
        <v>47120</v>
      </c>
      <c r="J13558" t="s">
        <v>47121</v>
      </c>
      <c r="K13558" t="s">
        <v>47113</v>
      </c>
      <c r="L13558">
        <v>11.95</v>
      </c>
      <c r="M13558">
        <v>20</v>
      </c>
      <c r="N13558">
        <v>49</v>
      </c>
      <c r="O13558">
        <v>20</v>
      </c>
      <c r="P13558">
        <v>49</v>
      </c>
    </row>
    <row r="13559" spans="1:16" x14ac:dyDescent="0.25">
      <c r="A13559" t="s">
        <v>36427</v>
      </c>
      <c r="B13559" t="s">
        <v>9645</v>
      </c>
      <c r="C13559" t="s">
        <v>3813</v>
      </c>
      <c r="D13559" t="s">
        <v>9577</v>
      </c>
      <c r="E13559" t="s">
        <v>9578</v>
      </c>
      <c r="F13559" t="s">
        <v>2068</v>
      </c>
      <c r="G13559" t="s">
        <v>47072</v>
      </c>
      <c r="H13559" t="s">
        <v>47071</v>
      </c>
      <c r="I13559" t="s">
        <v>47118</v>
      </c>
      <c r="J13559" t="s">
        <v>47119</v>
      </c>
      <c r="K13559" t="s">
        <v>47113</v>
      </c>
      <c r="L13559">
        <v>19.03</v>
      </c>
      <c r="M13559">
        <v>44</v>
      </c>
      <c r="N13559">
        <v>0</v>
      </c>
      <c r="O13559">
        <v>44</v>
      </c>
      <c r="P13559">
        <v>0</v>
      </c>
    </row>
    <row r="13560" spans="1:16" x14ac:dyDescent="0.25">
      <c r="A13560" t="s">
        <v>36428</v>
      </c>
      <c r="B13560" t="s">
        <v>9645</v>
      </c>
      <c r="C13560" t="s">
        <v>3813</v>
      </c>
      <c r="D13560" t="s">
        <v>9579</v>
      </c>
      <c r="E13560" t="s">
        <v>9580</v>
      </c>
      <c r="F13560" t="s">
        <v>2068</v>
      </c>
      <c r="G13560" t="s">
        <v>47072</v>
      </c>
      <c r="H13560" t="s">
        <v>47071</v>
      </c>
      <c r="I13560" t="s">
        <v>47118</v>
      </c>
      <c r="J13560" t="s">
        <v>47119</v>
      </c>
      <c r="K13560" t="s">
        <v>47113</v>
      </c>
      <c r="L13560">
        <v>21.79</v>
      </c>
      <c r="M13560">
        <v>50</v>
      </c>
      <c r="N13560">
        <v>0</v>
      </c>
      <c r="O13560">
        <v>50</v>
      </c>
      <c r="P13560">
        <v>0</v>
      </c>
    </row>
    <row r="13561" spans="1:16" x14ac:dyDescent="0.25">
      <c r="A13561" t="s">
        <v>36429</v>
      </c>
      <c r="B13561" t="s">
        <v>9645</v>
      </c>
      <c r="C13561" t="s">
        <v>3813</v>
      </c>
      <c r="D13561" t="s">
        <v>9581</v>
      </c>
      <c r="E13561" t="s">
        <v>9582</v>
      </c>
      <c r="F13561" t="s">
        <v>2068</v>
      </c>
      <c r="G13561" t="s">
        <v>47072</v>
      </c>
      <c r="H13561" t="s">
        <v>47071</v>
      </c>
      <c r="I13561" t="s">
        <v>47118</v>
      </c>
      <c r="J13561" t="s">
        <v>47119</v>
      </c>
      <c r="K13561" t="s">
        <v>47113</v>
      </c>
      <c r="L13561">
        <v>21.79</v>
      </c>
      <c r="M13561">
        <v>50</v>
      </c>
      <c r="N13561">
        <v>0</v>
      </c>
      <c r="O13561">
        <v>50</v>
      </c>
      <c r="P13561">
        <v>0</v>
      </c>
    </row>
    <row r="13562" spans="1:16" x14ac:dyDescent="0.25">
      <c r="A13562" t="s">
        <v>36430</v>
      </c>
      <c r="B13562" t="s">
        <v>9646</v>
      </c>
      <c r="C13562" t="s">
        <v>9647</v>
      </c>
      <c r="D13562" t="s">
        <v>9538</v>
      </c>
      <c r="E13562" t="s">
        <v>9539</v>
      </c>
      <c r="F13562" t="s">
        <v>2068</v>
      </c>
      <c r="G13562" t="s">
        <v>47072</v>
      </c>
      <c r="H13562" t="s">
        <v>47071</v>
      </c>
      <c r="I13562" t="s">
        <v>47118</v>
      </c>
      <c r="J13562" t="s">
        <v>47119</v>
      </c>
      <c r="K13562" t="s">
        <v>47113</v>
      </c>
      <c r="L13562">
        <v>32.82</v>
      </c>
      <c r="M13562">
        <v>76</v>
      </c>
      <c r="N13562">
        <v>0</v>
      </c>
      <c r="O13562">
        <v>76</v>
      </c>
      <c r="P13562">
        <v>0</v>
      </c>
    </row>
    <row r="13563" spans="1:16" x14ac:dyDescent="0.25">
      <c r="A13563" t="s">
        <v>36431</v>
      </c>
      <c r="B13563" t="s">
        <v>9648</v>
      </c>
      <c r="C13563" t="s">
        <v>9517</v>
      </c>
      <c r="D13563" t="s">
        <v>9520</v>
      </c>
      <c r="E13563" t="s">
        <v>9521</v>
      </c>
      <c r="F13563" t="s">
        <v>2068</v>
      </c>
      <c r="G13563" t="s">
        <v>47072</v>
      </c>
      <c r="H13563" t="s">
        <v>47071</v>
      </c>
      <c r="I13563" t="s">
        <v>47118</v>
      </c>
      <c r="J13563" t="s">
        <v>47119</v>
      </c>
      <c r="K13563" t="s">
        <v>47113</v>
      </c>
      <c r="L13563">
        <v>21.79</v>
      </c>
      <c r="M13563">
        <v>50</v>
      </c>
      <c r="N13563">
        <v>0</v>
      </c>
      <c r="O13563">
        <v>50</v>
      </c>
      <c r="P13563">
        <v>0</v>
      </c>
    </row>
    <row r="13564" spans="1:16" x14ac:dyDescent="0.25">
      <c r="A13564" t="s">
        <v>36432</v>
      </c>
      <c r="B13564" t="s">
        <v>9649</v>
      </c>
      <c r="C13564" t="s">
        <v>9517</v>
      </c>
      <c r="D13564" t="str">
        <f>"4101"</f>
        <v>4101</v>
      </c>
      <c r="E13564" t="s">
        <v>9586</v>
      </c>
      <c r="F13564" t="s">
        <v>2068</v>
      </c>
      <c r="G13564" t="s">
        <v>47077</v>
      </c>
      <c r="H13564" t="s">
        <v>47071</v>
      </c>
      <c r="I13564" t="s">
        <v>47118</v>
      </c>
      <c r="J13564" t="s">
        <v>47119</v>
      </c>
      <c r="K13564" t="s">
        <v>47113</v>
      </c>
      <c r="L13564">
        <v>21.79</v>
      </c>
      <c r="M13564">
        <v>50</v>
      </c>
      <c r="N13564">
        <v>0</v>
      </c>
      <c r="O13564">
        <v>50</v>
      </c>
      <c r="P13564">
        <v>0</v>
      </c>
    </row>
    <row r="13565" spans="1:16" x14ac:dyDescent="0.25">
      <c r="A13565" t="s">
        <v>36433</v>
      </c>
      <c r="B13565" t="s">
        <v>9649</v>
      </c>
      <c r="C13565" t="s">
        <v>9517</v>
      </c>
      <c r="D13565" t="s">
        <v>9587</v>
      </c>
      <c r="E13565" t="s">
        <v>9588</v>
      </c>
      <c r="F13565" t="s">
        <v>2068</v>
      </c>
      <c r="G13565" t="s">
        <v>47077</v>
      </c>
      <c r="H13565" t="s">
        <v>47071</v>
      </c>
      <c r="I13565" t="s">
        <v>47118</v>
      </c>
      <c r="J13565" t="s">
        <v>47119</v>
      </c>
      <c r="K13565" t="s">
        <v>47113</v>
      </c>
      <c r="L13565">
        <v>21.79</v>
      </c>
      <c r="M13565">
        <v>50</v>
      </c>
      <c r="N13565">
        <v>0</v>
      </c>
      <c r="O13565">
        <v>50</v>
      </c>
      <c r="P13565">
        <v>0</v>
      </c>
    </row>
    <row r="13566" spans="1:16" x14ac:dyDescent="0.25">
      <c r="A13566" t="s">
        <v>36434</v>
      </c>
      <c r="B13566" t="s">
        <v>9650</v>
      </c>
      <c r="C13566" t="s">
        <v>9517</v>
      </c>
      <c r="D13566" t="s">
        <v>9520</v>
      </c>
      <c r="E13566" t="s">
        <v>9521</v>
      </c>
      <c r="F13566" t="s">
        <v>2068</v>
      </c>
      <c r="G13566" t="s">
        <v>47077</v>
      </c>
      <c r="H13566" t="s">
        <v>47071</v>
      </c>
      <c r="I13566" t="s">
        <v>47120</v>
      </c>
      <c r="J13566" t="s">
        <v>47121</v>
      </c>
      <c r="K13566" t="s">
        <v>47113</v>
      </c>
      <c r="L13566">
        <v>31.45</v>
      </c>
      <c r="M13566">
        <v>73</v>
      </c>
      <c r="N13566">
        <v>0</v>
      </c>
      <c r="O13566">
        <v>73</v>
      </c>
      <c r="P13566">
        <v>0</v>
      </c>
    </row>
    <row r="13567" spans="1:16" x14ac:dyDescent="0.25">
      <c r="A13567" t="s">
        <v>36435</v>
      </c>
      <c r="B13567" t="s">
        <v>9651</v>
      </c>
      <c r="C13567" t="s">
        <v>9591</v>
      </c>
      <c r="D13567" t="s">
        <v>9592</v>
      </c>
      <c r="E13567" t="s">
        <v>9593</v>
      </c>
      <c r="F13567" t="s">
        <v>2068</v>
      </c>
      <c r="G13567" t="s">
        <v>47076</v>
      </c>
      <c r="H13567" t="s">
        <v>47071</v>
      </c>
      <c r="I13567" t="s">
        <v>47118</v>
      </c>
      <c r="J13567" t="s">
        <v>47119</v>
      </c>
      <c r="K13567" t="s">
        <v>47113</v>
      </c>
      <c r="L13567">
        <v>24.54</v>
      </c>
      <c r="M13567">
        <v>57</v>
      </c>
      <c r="N13567">
        <v>0</v>
      </c>
      <c r="O13567">
        <v>57</v>
      </c>
      <c r="P13567">
        <v>0</v>
      </c>
    </row>
    <row r="13568" spans="1:16" x14ac:dyDescent="0.25">
      <c r="A13568" t="s">
        <v>36436</v>
      </c>
      <c r="B13568" t="s">
        <v>9652</v>
      </c>
      <c r="C13568" t="s">
        <v>2800</v>
      </c>
      <c r="D13568" t="s">
        <v>9595</v>
      </c>
      <c r="E13568" t="s">
        <v>9596</v>
      </c>
      <c r="F13568" t="s">
        <v>2068</v>
      </c>
      <c r="G13568" t="s">
        <v>47079</v>
      </c>
      <c r="H13568" t="s">
        <v>47071</v>
      </c>
      <c r="I13568" t="s">
        <v>47118</v>
      </c>
      <c r="J13568" t="s">
        <v>47119</v>
      </c>
      <c r="K13568" t="s">
        <v>47113</v>
      </c>
      <c r="L13568">
        <v>13.51</v>
      </c>
      <c r="M13568">
        <v>31</v>
      </c>
      <c r="N13568">
        <v>0</v>
      </c>
      <c r="O13568">
        <v>31</v>
      </c>
      <c r="P13568">
        <v>0</v>
      </c>
    </row>
    <row r="13569" spans="1:16" x14ac:dyDescent="0.25">
      <c r="A13569" t="s">
        <v>36437</v>
      </c>
      <c r="B13569" t="s">
        <v>15802</v>
      </c>
      <c r="C13569" t="s">
        <v>15657</v>
      </c>
      <c r="D13569" t="s">
        <v>15658</v>
      </c>
      <c r="E13569" t="s">
        <v>15659</v>
      </c>
      <c r="F13569" t="s">
        <v>3670</v>
      </c>
      <c r="G13569" t="s">
        <v>47152</v>
      </c>
      <c r="H13569" t="s">
        <v>47071</v>
      </c>
      <c r="I13569" t="s">
        <v>47120</v>
      </c>
      <c r="J13569" t="s">
        <v>47121</v>
      </c>
      <c r="K13569" t="s">
        <v>47113</v>
      </c>
      <c r="L13569">
        <v>19.309999999999999</v>
      </c>
      <c r="M13569">
        <v>28</v>
      </c>
      <c r="N13569">
        <v>0</v>
      </c>
      <c r="O13569">
        <v>28</v>
      </c>
      <c r="P13569">
        <v>0</v>
      </c>
    </row>
    <row r="13570" spans="1:16" x14ac:dyDescent="0.25">
      <c r="A13570" t="s">
        <v>36438</v>
      </c>
      <c r="B13570" t="s">
        <v>15803</v>
      </c>
      <c r="C13570" t="s">
        <v>15661</v>
      </c>
      <c r="D13570" t="s">
        <v>15662</v>
      </c>
      <c r="E13570" t="s">
        <v>15663</v>
      </c>
      <c r="F13570" t="s">
        <v>3670</v>
      </c>
      <c r="G13570" t="s">
        <v>47081</v>
      </c>
      <c r="H13570" t="s">
        <v>47071</v>
      </c>
      <c r="I13570" t="s">
        <v>47120</v>
      </c>
      <c r="J13570" t="s">
        <v>47121</v>
      </c>
      <c r="K13570" t="s">
        <v>47113</v>
      </c>
      <c r="L13570">
        <v>19.309999999999999</v>
      </c>
      <c r="M13570">
        <v>28</v>
      </c>
      <c r="N13570">
        <v>0</v>
      </c>
      <c r="O13570">
        <v>28</v>
      </c>
      <c r="P13570">
        <v>0</v>
      </c>
    </row>
    <row r="13571" spans="1:16" x14ac:dyDescent="0.25">
      <c r="A13571" t="s">
        <v>36439</v>
      </c>
      <c r="B13571" t="s">
        <v>15804</v>
      </c>
      <c r="C13571" t="s">
        <v>15805</v>
      </c>
      <c r="D13571" t="s">
        <v>15666</v>
      </c>
      <c r="E13571" t="s">
        <v>15667</v>
      </c>
      <c r="F13571" t="s">
        <v>3670</v>
      </c>
      <c r="G13571" t="s">
        <v>47083</v>
      </c>
      <c r="H13571" t="s">
        <v>47071</v>
      </c>
      <c r="I13571" t="s">
        <v>47120</v>
      </c>
      <c r="J13571" t="s">
        <v>47121</v>
      </c>
      <c r="K13571" t="s">
        <v>47113</v>
      </c>
      <c r="L13571">
        <v>22.11</v>
      </c>
      <c r="M13571">
        <v>32</v>
      </c>
      <c r="N13571">
        <v>0</v>
      </c>
      <c r="O13571">
        <v>32</v>
      </c>
      <c r="P13571">
        <v>0</v>
      </c>
    </row>
    <row r="13572" spans="1:16" x14ac:dyDescent="0.25">
      <c r="A13572" t="s">
        <v>36440</v>
      </c>
      <c r="B13572" t="s">
        <v>15806</v>
      </c>
      <c r="C13572" t="s">
        <v>15669</v>
      </c>
      <c r="D13572" t="s">
        <v>15670</v>
      </c>
      <c r="E13572" t="s">
        <v>15671</v>
      </c>
      <c r="F13572" t="s">
        <v>3670</v>
      </c>
      <c r="G13572" t="s">
        <v>47081</v>
      </c>
      <c r="H13572" t="s">
        <v>47071</v>
      </c>
      <c r="I13572" t="s">
        <v>47120</v>
      </c>
      <c r="J13572" t="s">
        <v>47121</v>
      </c>
      <c r="K13572" t="s">
        <v>47113</v>
      </c>
      <c r="L13572">
        <v>20.99</v>
      </c>
      <c r="M13572">
        <v>32</v>
      </c>
      <c r="N13572">
        <v>0</v>
      </c>
      <c r="O13572">
        <v>32</v>
      </c>
      <c r="P13572">
        <v>0</v>
      </c>
    </row>
    <row r="13573" spans="1:16" x14ac:dyDescent="0.25">
      <c r="A13573" t="s">
        <v>36441</v>
      </c>
      <c r="B13573" t="s">
        <v>15807</v>
      </c>
      <c r="C13573" t="s">
        <v>15808</v>
      </c>
      <c r="D13573" t="s">
        <v>15674</v>
      </c>
      <c r="E13573" t="s">
        <v>15675</v>
      </c>
      <c r="F13573" t="s">
        <v>3670</v>
      </c>
      <c r="G13573" t="s">
        <v>47081</v>
      </c>
      <c r="H13573" t="s">
        <v>47071</v>
      </c>
      <c r="I13573" t="s">
        <v>47120</v>
      </c>
      <c r="J13573" t="s">
        <v>47121</v>
      </c>
      <c r="K13573" t="s">
        <v>47113</v>
      </c>
      <c r="L13573">
        <v>36.1</v>
      </c>
      <c r="M13573">
        <v>51</v>
      </c>
      <c r="N13573">
        <v>0</v>
      </c>
      <c r="O13573">
        <v>51</v>
      </c>
      <c r="P13573">
        <v>0</v>
      </c>
    </row>
    <row r="13574" spans="1:16" x14ac:dyDescent="0.25">
      <c r="A13574" t="s">
        <v>36442</v>
      </c>
      <c r="B13574" t="s">
        <v>15809</v>
      </c>
      <c r="C13574" t="s">
        <v>15677</v>
      </c>
      <c r="D13574" t="s">
        <v>14429</v>
      </c>
      <c r="E13574" t="s">
        <v>60</v>
      </c>
      <c r="F13574" t="s">
        <v>3670</v>
      </c>
      <c r="G13574" t="s">
        <v>47151</v>
      </c>
      <c r="H13574" t="s">
        <v>47071</v>
      </c>
      <c r="I13574" t="s">
        <v>47120</v>
      </c>
      <c r="J13574" t="s">
        <v>47121</v>
      </c>
      <c r="K13574" t="s">
        <v>47113</v>
      </c>
      <c r="L13574">
        <v>9.8000000000000007</v>
      </c>
      <c r="M13574">
        <v>14</v>
      </c>
      <c r="N13574">
        <v>0</v>
      </c>
      <c r="O13574">
        <v>14</v>
      </c>
      <c r="P13574">
        <v>0</v>
      </c>
    </row>
    <row r="13575" spans="1:16" x14ac:dyDescent="0.25">
      <c r="A13575" t="s">
        <v>36443</v>
      </c>
      <c r="B13575" t="s">
        <v>15810</v>
      </c>
      <c r="C13575" t="s">
        <v>18042</v>
      </c>
      <c r="D13575" t="s">
        <v>15679</v>
      </c>
      <c r="E13575" t="s">
        <v>15680</v>
      </c>
      <c r="F13575" t="s">
        <v>3670</v>
      </c>
      <c r="G13575" t="s">
        <v>47087</v>
      </c>
      <c r="H13575" t="s">
        <v>47071</v>
      </c>
      <c r="I13575" t="s">
        <v>47120</v>
      </c>
      <c r="J13575" t="s">
        <v>47121</v>
      </c>
      <c r="K13575" t="s">
        <v>47113</v>
      </c>
      <c r="L13575">
        <v>8.4</v>
      </c>
      <c r="M13575">
        <v>12</v>
      </c>
      <c r="N13575">
        <v>0</v>
      </c>
      <c r="O13575">
        <v>12</v>
      </c>
      <c r="P13575">
        <v>0</v>
      </c>
    </row>
    <row r="13576" spans="1:16" x14ac:dyDescent="0.25">
      <c r="A13576" t="s">
        <v>36444</v>
      </c>
      <c r="B13576" t="s">
        <v>15810</v>
      </c>
      <c r="C13576" t="s">
        <v>18042</v>
      </c>
      <c r="D13576" t="s">
        <v>15681</v>
      </c>
      <c r="E13576" t="s">
        <v>15682</v>
      </c>
      <c r="F13576" t="s">
        <v>3670</v>
      </c>
      <c r="G13576" t="s">
        <v>47087</v>
      </c>
      <c r="H13576" t="s">
        <v>47071</v>
      </c>
      <c r="I13576" t="s">
        <v>47120</v>
      </c>
      <c r="J13576" t="s">
        <v>47121</v>
      </c>
      <c r="K13576" t="s">
        <v>47113</v>
      </c>
      <c r="L13576">
        <v>8.4</v>
      </c>
      <c r="M13576">
        <v>12</v>
      </c>
      <c r="N13576">
        <v>0</v>
      </c>
      <c r="O13576">
        <v>12</v>
      </c>
      <c r="P13576">
        <v>0</v>
      </c>
    </row>
    <row r="13577" spans="1:16" x14ac:dyDescent="0.25">
      <c r="A13577" t="s">
        <v>36445</v>
      </c>
      <c r="B13577" t="s">
        <v>15811</v>
      </c>
      <c r="C13577" t="s">
        <v>15684</v>
      </c>
      <c r="D13577" t="s">
        <v>15679</v>
      </c>
      <c r="E13577" t="s">
        <v>15680</v>
      </c>
      <c r="F13577" t="s">
        <v>3670</v>
      </c>
      <c r="G13577" t="s">
        <v>47087</v>
      </c>
      <c r="H13577" t="s">
        <v>47071</v>
      </c>
      <c r="I13577" t="s">
        <v>47120</v>
      </c>
      <c r="J13577" t="s">
        <v>47121</v>
      </c>
      <c r="K13577" t="s">
        <v>47113</v>
      </c>
      <c r="L13577">
        <v>10.92</v>
      </c>
      <c r="M13577">
        <v>16</v>
      </c>
      <c r="N13577">
        <v>0</v>
      </c>
      <c r="O13577">
        <v>16</v>
      </c>
      <c r="P13577">
        <v>0</v>
      </c>
    </row>
    <row r="13578" spans="1:16" x14ac:dyDescent="0.25">
      <c r="A13578" t="s">
        <v>36446</v>
      </c>
      <c r="B13578" t="s">
        <v>15811</v>
      </c>
      <c r="C13578" t="s">
        <v>15684</v>
      </c>
      <c r="D13578" t="s">
        <v>14429</v>
      </c>
      <c r="E13578" t="s">
        <v>60</v>
      </c>
      <c r="F13578" t="s">
        <v>3670</v>
      </c>
      <c r="G13578" t="s">
        <v>47087</v>
      </c>
      <c r="H13578" t="s">
        <v>47071</v>
      </c>
      <c r="I13578" t="s">
        <v>47120</v>
      </c>
      <c r="J13578" t="s">
        <v>47121</v>
      </c>
      <c r="K13578" t="s">
        <v>47113</v>
      </c>
      <c r="L13578">
        <v>10.92</v>
      </c>
      <c r="M13578">
        <v>16</v>
      </c>
      <c r="N13578">
        <v>0</v>
      </c>
      <c r="O13578">
        <v>16</v>
      </c>
      <c r="P13578">
        <v>0</v>
      </c>
    </row>
    <row r="13579" spans="1:16" x14ac:dyDescent="0.25">
      <c r="A13579" t="s">
        <v>36447</v>
      </c>
      <c r="B13579" t="s">
        <v>15812</v>
      </c>
      <c r="C13579" t="s">
        <v>15771</v>
      </c>
      <c r="D13579" t="s">
        <v>15658</v>
      </c>
      <c r="E13579" t="s">
        <v>15659</v>
      </c>
      <c r="F13579" t="s">
        <v>3670</v>
      </c>
      <c r="G13579" t="s">
        <v>47085</v>
      </c>
      <c r="H13579" t="s">
        <v>47071</v>
      </c>
      <c r="I13579" t="s">
        <v>47120</v>
      </c>
      <c r="J13579" t="s">
        <v>47121</v>
      </c>
      <c r="K13579" t="s">
        <v>47113</v>
      </c>
      <c r="L13579">
        <v>16.52</v>
      </c>
      <c r="M13579">
        <v>24</v>
      </c>
      <c r="N13579">
        <v>0</v>
      </c>
      <c r="O13579">
        <v>24</v>
      </c>
      <c r="P13579">
        <v>0</v>
      </c>
    </row>
    <row r="13580" spans="1:16" x14ac:dyDescent="0.25">
      <c r="A13580" t="s">
        <v>36448</v>
      </c>
      <c r="B13580" t="s">
        <v>15813</v>
      </c>
      <c r="C13580" t="s">
        <v>15688</v>
      </c>
      <c r="D13580" t="s">
        <v>14429</v>
      </c>
      <c r="E13580" t="s">
        <v>60</v>
      </c>
      <c r="F13580" t="s">
        <v>3670</v>
      </c>
      <c r="G13580" t="s">
        <v>47087</v>
      </c>
      <c r="H13580" t="s">
        <v>47071</v>
      </c>
      <c r="I13580" t="s">
        <v>47120</v>
      </c>
      <c r="J13580" t="s">
        <v>47121</v>
      </c>
      <c r="K13580" t="s">
        <v>47113</v>
      </c>
      <c r="L13580">
        <v>10.92</v>
      </c>
      <c r="M13580">
        <v>16</v>
      </c>
      <c r="N13580">
        <v>0</v>
      </c>
      <c r="O13580">
        <v>16</v>
      </c>
      <c r="P13580">
        <v>0</v>
      </c>
    </row>
    <row r="13581" spans="1:16" x14ac:dyDescent="0.25">
      <c r="A13581" t="s">
        <v>36449</v>
      </c>
      <c r="B13581" t="s">
        <v>15814</v>
      </c>
      <c r="C13581" t="s">
        <v>10773</v>
      </c>
      <c r="D13581" t="s">
        <v>15662</v>
      </c>
      <c r="E13581" t="s">
        <v>15663</v>
      </c>
      <c r="F13581" t="s">
        <v>3670</v>
      </c>
      <c r="G13581" t="s">
        <v>47146</v>
      </c>
      <c r="H13581" t="s">
        <v>47071</v>
      </c>
      <c r="I13581" t="s">
        <v>47120</v>
      </c>
      <c r="J13581" t="s">
        <v>47121</v>
      </c>
      <c r="K13581" t="s">
        <v>47113</v>
      </c>
      <c r="L13581">
        <v>24.91</v>
      </c>
      <c r="M13581">
        <v>36</v>
      </c>
      <c r="N13581">
        <v>0</v>
      </c>
      <c r="O13581">
        <v>36</v>
      </c>
      <c r="P13581">
        <v>0</v>
      </c>
    </row>
    <row r="13582" spans="1:16" x14ac:dyDescent="0.25">
      <c r="A13582" t="s">
        <v>36450</v>
      </c>
      <c r="B13582" t="s">
        <v>36451</v>
      </c>
      <c r="C13582" t="s">
        <v>36452</v>
      </c>
      <c r="D13582" t="s">
        <v>21035</v>
      </c>
      <c r="E13582" t="s">
        <v>21036</v>
      </c>
      <c r="F13582" t="s">
        <v>16623</v>
      </c>
      <c r="G13582" t="s">
        <v>47075</v>
      </c>
      <c r="H13582" t="s">
        <v>47071</v>
      </c>
      <c r="I13582" t="s">
        <v>47120</v>
      </c>
      <c r="J13582" t="s">
        <v>47121</v>
      </c>
      <c r="K13582" t="s">
        <v>47113</v>
      </c>
      <c r="L13582">
        <v>21.31</v>
      </c>
      <c r="M13582">
        <v>22</v>
      </c>
      <c r="N13582">
        <v>0</v>
      </c>
      <c r="O13582">
        <v>22</v>
      </c>
      <c r="P13582">
        <v>0</v>
      </c>
    </row>
    <row r="13583" spans="1:16" x14ac:dyDescent="0.25">
      <c r="A13583" t="s">
        <v>36453</v>
      </c>
      <c r="B13583" t="s">
        <v>36454</v>
      </c>
      <c r="C13583" t="s">
        <v>36455</v>
      </c>
      <c r="D13583" t="s">
        <v>21035</v>
      </c>
      <c r="E13583" t="s">
        <v>21036</v>
      </c>
      <c r="F13583" t="s">
        <v>16623</v>
      </c>
      <c r="G13583" t="s">
        <v>47080</v>
      </c>
      <c r="H13583" t="s">
        <v>47071</v>
      </c>
      <c r="I13583" t="s">
        <v>47120</v>
      </c>
      <c r="J13583" t="s">
        <v>47121</v>
      </c>
      <c r="K13583" t="s">
        <v>47113</v>
      </c>
      <c r="L13583">
        <v>21.31</v>
      </c>
      <c r="M13583">
        <v>22</v>
      </c>
      <c r="N13583">
        <v>0</v>
      </c>
      <c r="O13583">
        <v>22</v>
      </c>
      <c r="P13583">
        <v>0</v>
      </c>
    </row>
    <row r="13584" spans="1:16" x14ac:dyDescent="0.25">
      <c r="A13584" t="s">
        <v>46983</v>
      </c>
      <c r="B13584" t="s">
        <v>46811</v>
      </c>
      <c r="C13584" t="s">
        <v>46812</v>
      </c>
      <c r="D13584" t="s">
        <v>15692</v>
      </c>
      <c r="E13584" t="s">
        <v>46</v>
      </c>
      <c r="F13584" t="s">
        <v>27965</v>
      </c>
      <c r="G13584" t="s">
        <v>47075</v>
      </c>
      <c r="H13584" t="s">
        <v>47071</v>
      </c>
      <c r="I13584" t="s">
        <v>47120</v>
      </c>
      <c r="J13584" t="s">
        <v>47121</v>
      </c>
      <c r="K13584" t="s">
        <v>47113</v>
      </c>
      <c r="L13584">
        <v>27.26</v>
      </c>
      <c r="M13584">
        <v>52</v>
      </c>
      <c r="N13584">
        <v>129</v>
      </c>
      <c r="O13584">
        <v>52</v>
      </c>
      <c r="P13584">
        <v>129</v>
      </c>
    </row>
    <row r="13585" spans="1:16" x14ac:dyDescent="0.25">
      <c r="A13585" t="s">
        <v>46984</v>
      </c>
      <c r="B13585" t="s">
        <v>46813</v>
      </c>
      <c r="C13585" t="s">
        <v>46814</v>
      </c>
      <c r="D13585" t="s">
        <v>9513</v>
      </c>
      <c r="E13585" t="s">
        <v>9514</v>
      </c>
      <c r="F13585" t="s">
        <v>27965</v>
      </c>
      <c r="G13585" t="s">
        <v>47075</v>
      </c>
      <c r="H13585" t="s">
        <v>47071</v>
      </c>
      <c r="I13585" t="s">
        <v>47120</v>
      </c>
      <c r="J13585" t="s">
        <v>47121</v>
      </c>
      <c r="K13585" t="s">
        <v>47113</v>
      </c>
      <c r="L13585">
        <v>21.9</v>
      </c>
      <c r="M13585">
        <v>52</v>
      </c>
      <c r="N13585">
        <v>129</v>
      </c>
      <c r="O13585">
        <v>52</v>
      </c>
      <c r="P13585">
        <v>129</v>
      </c>
    </row>
    <row r="13586" spans="1:16" x14ac:dyDescent="0.25">
      <c r="A13586" t="s">
        <v>48708</v>
      </c>
      <c r="B13586" t="s">
        <v>48709</v>
      </c>
      <c r="C13586" t="s">
        <v>48710</v>
      </c>
      <c r="D13586" t="s">
        <v>15740</v>
      </c>
      <c r="E13586" t="s">
        <v>42</v>
      </c>
      <c r="F13586" t="s">
        <v>27965</v>
      </c>
      <c r="G13586" t="s">
        <v>47075</v>
      </c>
      <c r="H13586" t="s">
        <v>47071</v>
      </c>
      <c r="I13586" t="s">
        <v>47120</v>
      </c>
      <c r="J13586" t="s">
        <v>47121</v>
      </c>
      <c r="K13586" t="s">
        <v>47113</v>
      </c>
      <c r="L13586">
        <v>23.08</v>
      </c>
      <c r="M13586">
        <v>52</v>
      </c>
      <c r="N13586">
        <v>129</v>
      </c>
      <c r="O13586">
        <v>52</v>
      </c>
      <c r="P13586">
        <v>129</v>
      </c>
    </row>
    <row r="13587" spans="1:16" x14ac:dyDescent="0.25">
      <c r="A13587" t="s">
        <v>46985</v>
      </c>
      <c r="B13587" t="s">
        <v>46815</v>
      </c>
      <c r="C13587" t="s">
        <v>21000</v>
      </c>
      <c r="D13587" t="s">
        <v>46816</v>
      </c>
      <c r="E13587" t="s">
        <v>46817</v>
      </c>
      <c r="F13587" t="s">
        <v>27965</v>
      </c>
      <c r="G13587" t="s">
        <v>47076</v>
      </c>
      <c r="H13587" t="s">
        <v>47071</v>
      </c>
      <c r="I13587" t="s">
        <v>47120</v>
      </c>
      <c r="J13587" t="s">
        <v>47121</v>
      </c>
      <c r="K13587" t="s">
        <v>47113</v>
      </c>
      <c r="L13587">
        <v>39.51</v>
      </c>
      <c r="M13587">
        <v>60</v>
      </c>
      <c r="N13587">
        <v>149</v>
      </c>
      <c r="O13587">
        <v>60</v>
      </c>
      <c r="P13587">
        <v>149</v>
      </c>
    </row>
    <row r="13588" spans="1:16" x14ac:dyDescent="0.25">
      <c r="A13588" t="s">
        <v>46986</v>
      </c>
      <c r="B13588" t="s">
        <v>46818</v>
      </c>
      <c r="C13588" t="s">
        <v>46819</v>
      </c>
      <c r="D13588" t="s">
        <v>46820</v>
      </c>
      <c r="E13588" t="s">
        <v>46821</v>
      </c>
      <c r="F13588" t="s">
        <v>27965</v>
      </c>
      <c r="G13588" t="s">
        <v>47072</v>
      </c>
      <c r="H13588" t="s">
        <v>47071</v>
      </c>
      <c r="I13588" t="s">
        <v>47116</v>
      </c>
      <c r="J13588" t="s">
        <v>47117</v>
      </c>
      <c r="K13588" t="s">
        <v>47113</v>
      </c>
      <c r="L13588">
        <v>24.67</v>
      </c>
      <c r="M13588">
        <v>52</v>
      </c>
      <c r="N13588">
        <v>129</v>
      </c>
      <c r="O13588">
        <v>52</v>
      </c>
      <c r="P13588">
        <v>129</v>
      </c>
    </row>
    <row r="13589" spans="1:16" x14ac:dyDescent="0.25">
      <c r="A13589" t="s">
        <v>46987</v>
      </c>
      <c r="B13589" t="s">
        <v>46822</v>
      </c>
      <c r="C13589" t="s">
        <v>15709</v>
      </c>
      <c r="D13589" t="s">
        <v>46823</v>
      </c>
      <c r="E13589" t="s">
        <v>46824</v>
      </c>
      <c r="F13589" t="s">
        <v>27965</v>
      </c>
      <c r="G13589" t="s">
        <v>47072</v>
      </c>
      <c r="H13589" t="s">
        <v>47071</v>
      </c>
      <c r="I13589" t="s">
        <v>47116</v>
      </c>
      <c r="J13589" t="s">
        <v>47117</v>
      </c>
      <c r="K13589" t="s">
        <v>47113</v>
      </c>
      <c r="L13589">
        <v>39.51</v>
      </c>
      <c r="M13589">
        <v>80</v>
      </c>
      <c r="N13589">
        <v>199</v>
      </c>
      <c r="O13589">
        <v>80</v>
      </c>
      <c r="P13589">
        <v>199</v>
      </c>
    </row>
    <row r="13590" spans="1:16" x14ac:dyDescent="0.25">
      <c r="A13590" t="s">
        <v>48711</v>
      </c>
      <c r="B13590" t="s">
        <v>48712</v>
      </c>
      <c r="C13590" t="s">
        <v>48713</v>
      </c>
      <c r="D13590" t="s">
        <v>48714</v>
      </c>
      <c r="E13590" t="s">
        <v>48715</v>
      </c>
      <c r="F13590" t="s">
        <v>27965</v>
      </c>
      <c r="G13590" t="s">
        <v>47072</v>
      </c>
      <c r="H13590" t="s">
        <v>47071</v>
      </c>
      <c r="I13590" t="s">
        <v>47116</v>
      </c>
      <c r="J13590" t="s">
        <v>47117</v>
      </c>
      <c r="K13590" t="s">
        <v>47113</v>
      </c>
      <c r="L13590">
        <v>21.88</v>
      </c>
      <c r="M13590">
        <v>52</v>
      </c>
      <c r="N13590">
        <v>129</v>
      </c>
      <c r="O13590">
        <v>52</v>
      </c>
      <c r="P13590">
        <v>129</v>
      </c>
    </row>
    <row r="13591" spans="1:16" x14ac:dyDescent="0.25">
      <c r="A13591" t="s">
        <v>46988</v>
      </c>
      <c r="B13591" t="s">
        <v>46825</v>
      </c>
      <c r="C13591" t="s">
        <v>15709</v>
      </c>
      <c r="D13591" t="s">
        <v>46826</v>
      </c>
      <c r="E13591" t="s">
        <v>46827</v>
      </c>
      <c r="F13591" t="s">
        <v>27965</v>
      </c>
      <c r="G13591" t="s">
        <v>47072</v>
      </c>
      <c r="H13591" t="s">
        <v>47071</v>
      </c>
      <c r="I13591" t="s">
        <v>47116</v>
      </c>
      <c r="J13591" t="s">
        <v>47117</v>
      </c>
      <c r="K13591" t="s">
        <v>47113</v>
      </c>
      <c r="L13591">
        <v>35.76</v>
      </c>
      <c r="M13591">
        <v>80</v>
      </c>
      <c r="N13591">
        <v>199</v>
      </c>
      <c r="O13591">
        <v>80</v>
      </c>
      <c r="P13591">
        <v>199</v>
      </c>
    </row>
    <row r="13592" spans="1:16" x14ac:dyDescent="0.25">
      <c r="A13592" t="s">
        <v>46989</v>
      </c>
      <c r="B13592" t="s">
        <v>46828</v>
      </c>
      <c r="C13592" t="s">
        <v>46829</v>
      </c>
      <c r="D13592" t="s">
        <v>46830</v>
      </c>
      <c r="E13592" t="s">
        <v>46831</v>
      </c>
      <c r="F13592" t="s">
        <v>27965</v>
      </c>
      <c r="G13592" t="s">
        <v>47072</v>
      </c>
      <c r="H13592" t="s">
        <v>47071</v>
      </c>
      <c r="I13592" t="s">
        <v>47116</v>
      </c>
      <c r="J13592" t="s">
        <v>47117</v>
      </c>
      <c r="K13592" t="s">
        <v>47113</v>
      </c>
      <c r="L13592">
        <v>35.76</v>
      </c>
      <c r="M13592">
        <v>80</v>
      </c>
      <c r="N13592">
        <v>199</v>
      </c>
      <c r="O13592">
        <v>80</v>
      </c>
      <c r="P13592">
        <v>199</v>
      </c>
    </row>
    <row r="13593" spans="1:16" x14ac:dyDescent="0.25">
      <c r="A13593" t="s">
        <v>46990</v>
      </c>
      <c r="B13593" t="s">
        <v>46832</v>
      </c>
      <c r="C13593" t="s">
        <v>35451</v>
      </c>
      <c r="D13593" t="s">
        <v>46833</v>
      </c>
      <c r="E13593" t="s">
        <v>46834</v>
      </c>
      <c r="F13593" t="s">
        <v>27965</v>
      </c>
      <c r="G13593" t="s">
        <v>47072</v>
      </c>
      <c r="H13593" t="s">
        <v>47071</v>
      </c>
      <c r="I13593" t="s">
        <v>47116</v>
      </c>
      <c r="J13593" t="s">
        <v>47117</v>
      </c>
      <c r="K13593" t="s">
        <v>47113</v>
      </c>
      <c r="L13593">
        <v>24.67</v>
      </c>
      <c r="M13593">
        <v>52</v>
      </c>
      <c r="N13593">
        <v>129</v>
      </c>
      <c r="O13593">
        <v>52</v>
      </c>
      <c r="P13593">
        <v>129</v>
      </c>
    </row>
    <row r="13594" spans="1:16" x14ac:dyDescent="0.25">
      <c r="A13594" t="s">
        <v>46991</v>
      </c>
      <c r="B13594" t="s">
        <v>46835</v>
      </c>
      <c r="C13594" t="s">
        <v>35451</v>
      </c>
      <c r="D13594" t="s">
        <v>46836</v>
      </c>
      <c r="E13594" t="s">
        <v>46837</v>
      </c>
      <c r="F13594" t="s">
        <v>27965</v>
      </c>
      <c r="G13594" t="s">
        <v>47072</v>
      </c>
      <c r="H13594" t="s">
        <v>47071</v>
      </c>
      <c r="I13594" t="s">
        <v>47116</v>
      </c>
      <c r="J13594" t="s">
        <v>47117</v>
      </c>
      <c r="K13594" t="s">
        <v>47113</v>
      </c>
      <c r="L13594">
        <v>24.67</v>
      </c>
      <c r="M13594">
        <v>52</v>
      </c>
      <c r="N13594">
        <v>129</v>
      </c>
      <c r="O13594">
        <v>52</v>
      </c>
      <c r="P13594">
        <v>129</v>
      </c>
    </row>
    <row r="13595" spans="1:16" x14ac:dyDescent="0.25">
      <c r="A13595" t="s">
        <v>46992</v>
      </c>
      <c r="B13595" t="s">
        <v>46838</v>
      </c>
      <c r="C13595" t="s">
        <v>46839</v>
      </c>
      <c r="D13595" t="s">
        <v>46840</v>
      </c>
      <c r="E13595" t="s">
        <v>46841</v>
      </c>
      <c r="F13595" t="s">
        <v>27965</v>
      </c>
      <c r="G13595" t="s">
        <v>47135</v>
      </c>
      <c r="H13595" t="s">
        <v>47071</v>
      </c>
      <c r="I13595" t="s">
        <v>47116</v>
      </c>
      <c r="J13595" t="s">
        <v>47117</v>
      </c>
      <c r="K13595" t="s">
        <v>47113</v>
      </c>
      <c r="L13595">
        <v>35.76</v>
      </c>
      <c r="M13595">
        <v>80</v>
      </c>
      <c r="N13595">
        <v>199</v>
      </c>
      <c r="O13595">
        <v>80</v>
      </c>
      <c r="P13595">
        <v>199</v>
      </c>
    </row>
    <row r="13596" spans="1:16" x14ac:dyDescent="0.25">
      <c r="A13596" t="s">
        <v>48716</v>
      </c>
      <c r="B13596" t="s">
        <v>48717</v>
      </c>
      <c r="C13596" t="s">
        <v>46829</v>
      </c>
      <c r="D13596" t="s">
        <v>48718</v>
      </c>
      <c r="E13596" t="s">
        <v>48719</v>
      </c>
      <c r="F13596" t="s">
        <v>27965</v>
      </c>
      <c r="G13596" t="s">
        <v>47072</v>
      </c>
      <c r="H13596" t="s">
        <v>47071</v>
      </c>
      <c r="I13596" t="s">
        <v>47116</v>
      </c>
      <c r="J13596" t="s">
        <v>47117</v>
      </c>
      <c r="K13596" t="s">
        <v>47113</v>
      </c>
      <c r="L13596">
        <v>32.51</v>
      </c>
      <c r="M13596">
        <v>80</v>
      </c>
      <c r="N13596">
        <v>199</v>
      </c>
      <c r="O13596">
        <v>80</v>
      </c>
      <c r="P13596">
        <v>199</v>
      </c>
    </row>
    <row r="13597" spans="1:16" x14ac:dyDescent="0.25">
      <c r="A13597" t="s">
        <v>46993</v>
      </c>
      <c r="B13597" t="s">
        <v>46842</v>
      </c>
      <c r="C13597" t="s">
        <v>46843</v>
      </c>
      <c r="D13597" t="s">
        <v>9513</v>
      </c>
      <c r="E13597" t="s">
        <v>9514</v>
      </c>
      <c r="F13597" t="s">
        <v>27965</v>
      </c>
      <c r="G13597" t="s">
        <v>47080</v>
      </c>
      <c r="H13597" t="s">
        <v>47071</v>
      </c>
      <c r="I13597" t="s">
        <v>47120</v>
      </c>
      <c r="J13597" t="s">
        <v>47121</v>
      </c>
      <c r="K13597" t="s">
        <v>47113</v>
      </c>
      <c r="L13597">
        <v>16.36</v>
      </c>
      <c r="M13597">
        <v>40</v>
      </c>
      <c r="N13597">
        <v>99</v>
      </c>
      <c r="O13597">
        <v>40</v>
      </c>
      <c r="P13597">
        <v>99</v>
      </c>
    </row>
    <row r="13598" spans="1:16" x14ac:dyDescent="0.25">
      <c r="A13598" t="s">
        <v>46994</v>
      </c>
      <c r="B13598" t="s">
        <v>46844</v>
      </c>
      <c r="C13598" t="s">
        <v>46845</v>
      </c>
      <c r="D13598" t="s">
        <v>46846</v>
      </c>
      <c r="E13598" t="s">
        <v>46847</v>
      </c>
      <c r="F13598" t="s">
        <v>27965</v>
      </c>
      <c r="G13598" t="s">
        <v>47135</v>
      </c>
      <c r="H13598" t="s">
        <v>47071</v>
      </c>
      <c r="I13598" t="s">
        <v>47116</v>
      </c>
      <c r="J13598" t="s">
        <v>47117</v>
      </c>
      <c r="K13598" t="s">
        <v>47113</v>
      </c>
      <c r="L13598">
        <v>19.13</v>
      </c>
      <c r="M13598">
        <v>40</v>
      </c>
      <c r="N13598">
        <v>99</v>
      </c>
      <c r="O13598">
        <v>40</v>
      </c>
      <c r="P13598">
        <v>99</v>
      </c>
    </row>
    <row r="13599" spans="1:16" x14ac:dyDescent="0.25">
      <c r="A13599" t="s">
        <v>46995</v>
      </c>
      <c r="B13599" t="s">
        <v>46848</v>
      </c>
      <c r="C13599" t="s">
        <v>46839</v>
      </c>
      <c r="D13599" t="s">
        <v>46836</v>
      </c>
      <c r="E13599" t="s">
        <v>46837</v>
      </c>
      <c r="F13599" t="s">
        <v>27965</v>
      </c>
      <c r="G13599" t="s">
        <v>47135</v>
      </c>
      <c r="H13599" t="s">
        <v>47071</v>
      </c>
      <c r="I13599" t="s">
        <v>47116</v>
      </c>
      <c r="J13599" t="s">
        <v>47117</v>
      </c>
      <c r="K13599" t="s">
        <v>47113</v>
      </c>
      <c r="L13599">
        <v>24.65</v>
      </c>
      <c r="M13599">
        <v>52</v>
      </c>
      <c r="N13599">
        <v>129</v>
      </c>
      <c r="O13599">
        <v>52</v>
      </c>
      <c r="P13599">
        <v>129</v>
      </c>
    </row>
    <row r="13600" spans="1:16" x14ac:dyDescent="0.25">
      <c r="A13600" t="s">
        <v>46996</v>
      </c>
      <c r="B13600" t="s">
        <v>46849</v>
      </c>
      <c r="C13600" t="s">
        <v>46845</v>
      </c>
      <c r="D13600" t="s">
        <v>46816</v>
      </c>
      <c r="E13600" t="s">
        <v>46817</v>
      </c>
      <c r="F13600" t="s">
        <v>27965</v>
      </c>
      <c r="G13600" t="s">
        <v>47135</v>
      </c>
      <c r="H13600" t="s">
        <v>47071</v>
      </c>
      <c r="I13600" t="s">
        <v>47116</v>
      </c>
      <c r="J13600" t="s">
        <v>47117</v>
      </c>
      <c r="K13600" t="s">
        <v>47113</v>
      </c>
      <c r="L13600">
        <v>21.89</v>
      </c>
      <c r="M13600">
        <v>52</v>
      </c>
      <c r="N13600">
        <v>129</v>
      </c>
      <c r="O13600">
        <v>52</v>
      </c>
      <c r="P13600">
        <v>129</v>
      </c>
    </row>
    <row r="13601" spans="1:16" x14ac:dyDescent="0.25">
      <c r="A13601" t="s">
        <v>46997</v>
      </c>
      <c r="B13601" t="s">
        <v>46849</v>
      </c>
      <c r="C13601" t="s">
        <v>46845</v>
      </c>
      <c r="D13601" t="s">
        <v>46850</v>
      </c>
      <c r="E13601" t="s">
        <v>46851</v>
      </c>
      <c r="F13601" t="s">
        <v>27965</v>
      </c>
      <c r="G13601" t="s">
        <v>47135</v>
      </c>
      <c r="H13601" t="s">
        <v>47071</v>
      </c>
      <c r="I13601" t="s">
        <v>47116</v>
      </c>
      <c r="J13601" t="s">
        <v>47117</v>
      </c>
      <c r="K13601" t="s">
        <v>47113</v>
      </c>
      <c r="L13601">
        <v>21.9</v>
      </c>
      <c r="M13601">
        <v>52</v>
      </c>
      <c r="N13601">
        <v>129</v>
      </c>
      <c r="O13601">
        <v>52</v>
      </c>
      <c r="P13601">
        <v>129</v>
      </c>
    </row>
    <row r="13602" spans="1:16" x14ac:dyDescent="0.25">
      <c r="A13602" t="s">
        <v>48720</v>
      </c>
      <c r="B13602" t="s">
        <v>46849</v>
      </c>
      <c r="C13602" t="s">
        <v>46845</v>
      </c>
      <c r="D13602" t="s">
        <v>48721</v>
      </c>
      <c r="E13602" t="s">
        <v>9456</v>
      </c>
      <c r="F13602" t="s">
        <v>27965</v>
      </c>
      <c r="G13602" t="s">
        <v>47135</v>
      </c>
      <c r="H13602" t="s">
        <v>47071</v>
      </c>
      <c r="I13602" t="s">
        <v>47116</v>
      </c>
      <c r="J13602" t="s">
        <v>47117</v>
      </c>
      <c r="K13602" t="s">
        <v>47113</v>
      </c>
      <c r="L13602">
        <v>21.9</v>
      </c>
      <c r="M13602">
        <v>52</v>
      </c>
      <c r="N13602">
        <v>129</v>
      </c>
      <c r="O13602">
        <v>52</v>
      </c>
      <c r="P13602">
        <v>129</v>
      </c>
    </row>
    <row r="13603" spans="1:16" x14ac:dyDescent="0.25">
      <c r="A13603" t="s">
        <v>46998</v>
      </c>
      <c r="B13603" t="s">
        <v>46852</v>
      </c>
      <c r="C13603" t="s">
        <v>46853</v>
      </c>
      <c r="D13603" t="s">
        <v>15692</v>
      </c>
      <c r="E13603" t="s">
        <v>46</v>
      </c>
      <c r="F13603" t="s">
        <v>27965</v>
      </c>
      <c r="G13603" t="s">
        <v>47080</v>
      </c>
      <c r="H13603" t="s">
        <v>47071</v>
      </c>
      <c r="I13603" t="s">
        <v>47120</v>
      </c>
      <c r="J13603" t="s">
        <v>47121</v>
      </c>
      <c r="K13603" t="s">
        <v>47113</v>
      </c>
      <c r="L13603">
        <v>21.13</v>
      </c>
      <c r="M13603">
        <v>40</v>
      </c>
      <c r="N13603">
        <v>99</v>
      </c>
      <c r="O13603">
        <v>40</v>
      </c>
      <c r="P13603">
        <v>99</v>
      </c>
    </row>
    <row r="13604" spans="1:16" x14ac:dyDescent="0.25">
      <c r="A13604" t="s">
        <v>48722</v>
      </c>
      <c r="B13604" t="s">
        <v>48723</v>
      </c>
      <c r="C13604" t="s">
        <v>48724</v>
      </c>
      <c r="D13604" t="s">
        <v>15740</v>
      </c>
      <c r="E13604" t="s">
        <v>42</v>
      </c>
      <c r="F13604" t="s">
        <v>27965</v>
      </c>
      <c r="G13604" t="s">
        <v>47080</v>
      </c>
      <c r="H13604" t="s">
        <v>47071</v>
      </c>
      <c r="I13604" t="s">
        <v>47120</v>
      </c>
      <c r="J13604" t="s">
        <v>47121</v>
      </c>
      <c r="K13604" t="s">
        <v>47113</v>
      </c>
      <c r="L13604">
        <v>18.309999999999999</v>
      </c>
      <c r="M13604">
        <v>36</v>
      </c>
      <c r="N13604">
        <v>89</v>
      </c>
      <c r="O13604">
        <v>36</v>
      </c>
      <c r="P13604">
        <v>89</v>
      </c>
    </row>
    <row r="13605" spans="1:16" x14ac:dyDescent="0.25">
      <c r="A13605" t="s">
        <v>46999</v>
      </c>
      <c r="B13605" t="s">
        <v>46854</v>
      </c>
      <c r="C13605" t="s">
        <v>46855</v>
      </c>
      <c r="D13605" t="s">
        <v>15692</v>
      </c>
      <c r="E13605" t="s">
        <v>46</v>
      </c>
      <c r="F13605" t="s">
        <v>27965</v>
      </c>
      <c r="G13605" t="s">
        <v>47073</v>
      </c>
      <c r="H13605" t="s">
        <v>47054</v>
      </c>
      <c r="I13605" t="s">
        <v>47120</v>
      </c>
      <c r="J13605" t="s">
        <v>47121</v>
      </c>
      <c r="K13605" t="s">
        <v>47113</v>
      </c>
      <c r="L13605">
        <v>10.72</v>
      </c>
      <c r="M13605">
        <v>20</v>
      </c>
      <c r="N13605">
        <v>49</v>
      </c>
      <c r="O13605">
        <v>20</v>
      </c>
      <c r="P13605">
        <v>49</v>
      </c>
    </row>
    <row r="13606" spans="1:16" x14ac:dyDescent="0.25">
      <c r="A13606" t="s">
        <v>47000</v>
      </c>
      <c r="B13606" t="s">
        <v>46856</v>
      </c>
      <c r="C13606" t="s">
        <v>46857</v>
      </c>
      <c r="D13606" t="s">
        <v>46816</v>
      </c>
      <c r="E13606" t="s">
        <v>46817</v>
      </c>
      <c r="F13606" t="s">
        <v>27965</v>
      </c>
      <c r="G13606" t="s">
        <v>47073</v>
      </c>
      <c r="H13606" t="s">
        <v>47071</v>
      </c>
      <c r="I13606" t="s">
        <v>47120</v>
      </c>
      <c r="J13606" t="s">
        <v>47121</v>
      </c>
      <c r="K13606" t="s">
        <v>47113</v>
      </c>
      <c r="L13606">
        <v>11.95</v>
      </c>
      <c r="M13606">
        <v>20</v>
      </c>
      <c r="N13606">
        <v>49</v>
      </c>
      <c r="O13606">
        <v>20</v>
      </c>
      <c r="P13606">
        <v>49</v>
      </c>
    </row>
    <row r="13607" spans="1:16" x14ac:dyDescent="0.25">
      <c r="A13607" t="s">
        <v>47001</v>
      </c>
      <c r="B13607" t="s">
        <v>46858</v>
      </c>
      <c r="C13607" t="s">
        <v>46859</v>
      </c>
      <c r="D13607" t="s">
        <v>9513</v>
      </c>
      <c r="E13607" t="s">
        <v>9514</v>
      </c>
      <c r="F13607" t="s">
        <v>27965</v>
      </c>
      <c r="G13607" t="s">
        <v>47073</v>
      </c>
      <c r="H13607" t="s">
        <v>47071</v>
      </c>
      <c r="I13607" t="s">
        <v>47120</v>
      </c>
      <c r="J13607" t="s">
        <v>47121</v>
      </c>
      <c r="K13607" t="s">
        <v>47113</v>
      </c>
      <c r="L13607">
        <v>10.72</v>
      </c>
      <c r="M13607">
        <v>20</v>
      </c>
      <c r="N13607">
        <v>49</v>
      </c>
      <c r="O13607">
        <v>20</v>
      </c>
      <c r="P13607">
        <v>49</v>
      </c>
    </row>
    <row r="13608" spans="1:16" x14ac:dyDescent="0.25">
      <c r="A13608" t="s">
        <v>47002</v>
      </c>
      <c r="B13608" t="s">
        <v>46860</v>
      </c>
      <c r="C13608" t="s">
        <v>46861</v>
      </c>
      <c r="D13608" t="s">
        <v>46862</v>
      </c>
      <c r="E13608" t="s">
        <v>13112</v>
      </c>
      <c r="F13608" t="s">
        <v>27965</v>
      </c>
      <c r="G13608" t="s">
        <v>47073</v>
      </c>
      <c r="H13608" t="s">
        <v>47071</v>
      </c>
      <c r="I13608" t="s">
        <v>47120</v>
      </c>
      <c r="J13608" t="s">
        <v>47121</v>
      </c>
      <c r="K13608" t="s">
        <v>47113</v>
      </c>
      <c r="L13608">
        <v>10.81</v>
      </c>
      <c r="M13608">
        <v>20</v>
      </c>
      <c r="N13608">
        <v>49</v>
      </c>
      <c r="O13608">
        <v>20</v>
      </c>
      <c r="P13608">
        <v>49</v>
      </c>
    </row>
    <row r="13609" spans="1:16" x14ac:dyDescent="0.25">
      <c r="A13609" t="s">
        <v>47003</v>
      </c>
      <c r="B13609" t="s">
        <v>46863</v>
      </c>
      <c r="C13609" t="s">
        <v>46864</v>
      </c>
      <c r="D13609" t="s">
        <v>46768</v>
      </c>
      <c r="E13609" t="s">
        <v>46769</v>
      </c>
      <c r="F13609" t="s">
        <v>27965</v>
      </c>
      <c r="G13609" t="s">
        <v>47073</v>
      </c>
      <c r="H13609" t="s">
        <v>47071</v>
      </c>
      <c r="I13609" t="s">
        <v>47120</v>
      </c>
      <c r="J13609" t="s">
        <v>47121</v>
      </c>
      <c r="K13609" t="s">
        <v>47113</v>
      </c>
      <c r="L13609">
        <v>15</v>
      </c>
      <c r="M13609">
        <v>28</v>
      </c>
      <c r="N13609">
        <v>69</v>
      </c>
      <c r="O13609">
        <v>28</v>
      </c>
      <c r="P13609">
        <v>69</v>
      </c>
    </row>
    <row r="13610" spans="1:16" x14ac:dyDescent="0.25">
      <c r="A13610" t="s">
        <v>47004</v>
      </c>
      <c r="B13610" t="s">
        <v>46865</v>
      </c>
      <c r="C13610" t="s">
        <v>20961</v>
      </c>
      <c r="D13610" t="s">
        <v>46862</v>
      </c>
      <c r="E13610" t="s">
        <v>13112</v>
      </c>
      <c r="F13610" t="s">
        <v>27965</v>
      </c>
      <c r="G13610" t="s">
        <v>47073</v>
      </c>
      <c r="H13610" t="s">
        <v>47071</v>
      </c>
      <c r="I13610" t="s">
        <v>47120</v>
      </c>
      <c r="J13610" t="s">
        <v>47121</v>
      </c>
      <c r="K13610" t="s">
        <v>47113</v>
      </c>
      <c r="L13610">
        <v>10.72</v>
      </c>
      <c r="M13610">
        <v>20</v>
      </c>
      <c r="N13610">
        <v>49</v>
      </c>
      <c r="O13610">
        <v>20</v>
      </c>
      <c r="P13610">
        <v>49</v>
      </c>
    </row>
    <row r="13611" spans="1:16" x14ac:dyDescent="0.25">
      <c r="A13611" t="s">
        <v>48725</v>
      </c>
      <c r="B13611" t="s">
        <v>48726</v>
      </c>
      <c r="C13611" t="s">
        <v>48727</v>
      </c>
      <c r="D13611" t="s">
        <v>48728</v>
      </c>
      <c r="E13611" t="s">
        <v>16399</v>
      </c>
      <c r="F13611" t="s">
        <v>27965</v>
      </c>
      <c r="G13611" t="s">
        <v>47073</v>
      </c>
      <c r="H13611" t="s">
        <v>47071</v>
      </c>
      <c r="I13611" t="s">
        <v>47120</v>
      </c>
      <c r="J13611" t="s">
        <v>47121</v>
      </c>
      <c r="K13611" t="s">
        <v>47113</v>
      </c>
      <c r="L13611">
        <v>10.81</v>
      </c>
      <c r="M13611">
        <v>20</v>
      </c>
      <c r="N13611">
        <v>39</v>
      </c>
      <c r="O13611">
        <v>20</v>
      </c>
      <c r="P13611">
        <v>39</v>
      </c>
    </row>
    <row r="13612" spans="1:16" x14ac:dyDescent="0.25">
      <c r="A13612" t="s">
        <v>47005</v>
      </c>
      <c r="B13612" t="s">
        <v>46866</v>
      </c>
      <c r="C13612" t="s">
        <v>46867</v>
      </c>
      <c r="D13612" t="s">
        <v>14429</v>
      </c>
      <c r="E13612" t="s">
        <v>60</v>
      </c>
      <c r="F13612" t="s">
        <v>27965</v>
      </c>
      <c r="G13612" t="s">
        <v>47073</v>
      </c>
      <c r="H13612" t="s">
        <v>47071</v>
      </c>
      <c r="I13612" t="s">
        <v>47120</v>
      </c>
      <c r="J13612" t="s">
        <v>47121</v>
      </c>
      <c r="K13612" t="s">
        <v>47113</v>
      </c>
      <c r="L13612">
        <v>11.95</v>
      </c>
      <c r="M13612">
        <v>20</v>
      </c>
      <c r="N13612">
        <v>49</v>
      </c>
      <c r="O13612">
        <v>20</v>
      </c>
      <c r="P13612">
        <v>49</v>
      </c>
    </row>
    <row r="13613" spans="1:16" x14ac:dyDescent="0.25">
      <c r="A13613" t="s">
        <v>47006</v>
      </c>
      <c r="B13613" t="s">
        <v>46868</v>
      </c>
      <c r="C13613" t="s">
        <v>46869</v>
      </c>
      <c r="D13613" t="s">
        <v>15734</v>
      </c>
      <c r="E13613" t="s">
        <v>15735</v>
      </c>
      <c r="F13613" t="s">
        <v>27965</v>
      </c>
      <c r="G13613" t="s">
        <v>47073</v>
      </c>
      <c r="H13613" t="s">
        <v>47071</v>
      </c>
      <c r="I13613" t="s">
        <v>47120</v>
      </c>
      <c r="J13613" t="s">
        <v>47121</v>
      </c>
      <c r="K13613" t="s">
        <v>47113</v>
      </c>
      <c r="L13613">
        <v>13.58</v>
      </c>
      <c r="M13613">
        <v>28</v>
      </c>
      <c r="N13613">
        <v>69</v>
      </c>
      <c r="O13613">
        <v>28</v>
      </c>
      <c r="P13613">
        <v>69</v>
      </c>
    </row>
    <row r="13614" spans="1:16" x14ac:dyDescent="0.25">
      <c r="A13614" t="s">
        <v>48729</v>
      </c>
      <c r="B13614" t="s">
        <v>46870</v>
      </c>
      <c r="C13614" t="s">
        <v>35373</v>
      </c>
      <c r="D13614" t="s">
        <v>48728</v>
      </c>
      <c r="E13614" t="s">
        <v>16399</v>
      </c>
      <c r="F13614" t="s">
        <v>27965</v>
      </c>
      <c r="G13614" t="s">
        <v>47073</v>
      </c>
      <c r="H13614" t="s">
        <v>47071</v>
      </c>
      <c r="I13614" t="s">
        <v>47120</v>
      </c>
      <c r="J13614" t="s">
        <v>47121</v>
      </c>
      <c r="K13614" t="s">
        <v>47113</v>
      </c>
      <c r="L13614">
        <v>10.81</v>
      </c>
      <c r="M13614">
        <v>20</v>
      </c>
      <c r="N13614">
        <v>49</v>
      </c>
      <c r="O13614">
        <v>20</v>
      </c>
      <c r="P13614">
        <v>49</v>
      </c>
    </row>
    <row r="13615" spans="1:16" x14ac:dyDescent="0.25">
      <c r="A13615" t="s">
        <v>47007</v>
      </c>
      <c r="B13615" t="s">
        <v>46870</v>
      </c>
      <c r="C13615" t="s">
        <v>35373</v>
      </c>
      <c r="D13615" t="s">
        <v>46871</v>
      </c>
      <c r="E13615" t="s">
        <v>9456</v>
      </c>
      <c r="F13615" t="s">
        <v>27965</v>
      </c>
      <c r="G13615" t="s">
        <v>47073</v>
      </c>
      <c r="H13615" t="s">
        <v>47071</v>
      </c>
      <c r="I13615" t="s">
        <v>47120</v>
      </c>
      <c r="J13615" t="s">
        <v>47121</v>
      </c>
      <c r="K13615" t="s">
        <v>47113</v>
      </c>
      <c r="L13615">
        <v>10.81</v>
      </c>
      <c r="M13615">
        <v>20</v>
      </c>
      <c r="N13615">
        <v>49</v>
      </c>
      <c r="O13615">
        <v>20</v>
      </c>
      <c r="P13615">
        <v>49</v>
      </c>
    </row>
    <row r="13616" spans="1:16" x14ac:dyDescent="0.25">
      <c r="A13616" t="s">
        <v>48730</v>
      </c>
      <c r="B13616" t="s">
        <v>48731</v>
      </c>
      <c r="C13616" t="s">
        <v>48732</v>
      </c>
      <c r="D13616" t="s">
        <v>15740</v>
      </c>
      <c r="E13616" t="s">
        <v>42</v>
      </c>
      <c r="F13616" t="s">
        <v>27965</v>
      </c>
      <c r="G13616" t="s">
        <v>47073</v>
      </c>
      <c r="H13616" t="s">
        <v>47071</v>
      </c>
      <c r="I13616" t="s">
        <v>47120</v>
      </c>
      <c r="J13616" t="s">
        <v>47121</v>
      </c>
      <c r="K13616" t="s">
        <v>47113</v>
      </c>
      <c r="L13616">
        <v>11.95</v>
      </c>
      <c r="M13616">
        <v>20</v>
      </c>
      <c r="N13616">
        <v>49</v>
      </c>
      <c r="O13616">
        <v>20</v>
      </c>
      <c r="P13616">
        <v>49</v>
      </c>
    </row>
    <row r="13617" spans="1:16" x14ac:dyDescent="0.25">
      <c r="A13617" t="s">
        <v>48733</v>
      </c>
      <c r="B13617" t="s">
        <v>48731</v>
      </c>
      <c r="C13617" t="s">
        <v>48732</v>
      </c>
      <c r="D13617" t="s">
        <v>46862</v>
      </c>
      <c r="E13617" t="s">
        <v>13112</v>
      </c>
      <c r="F13617" t="s">
        <v>27965</v>
      </c>
      <c r="G13617" t="s">
        <v>47073</v>
      </c>
      <c r="H13617" t="s">
        <v>47071</v>
      </c>
      <c r="I13617" t="s">
        <v>47120</v>
      </c>
      <c r="J13617" t="s">
        <v>47121</v>
      </c>
      <c r="K13617" t="s">
        <v>47113</v>
      </c>
      <c r="L13617">
        <v>9.2899999999999991</v>
      </c>
      <c r="M13617">
        <v>20</v>
      </c>
      <c r="N13617">
        <v>49</v>
      </c>
      <c r="O13617">
        <v>20</v>
      </c>
      <c r="P13617">
        <v>49</v>
      </c>
    </row>
    <row r="13618" spans="1:16" x14ac:dyDescent="0.25">
      <c r="A13618" t="s">
        <v>48734</v>
      </c>
      <c r="B13618" t="s">
        <v>48731</v>
      </c>
      <c r="C13618" t="s">
        <v>48732</v>
      </c>
      <c r="D13618" t="s">
        <v>14429</v>
      </c>
      <c r="E13618" t="s">
        <v>60</v>
      </c>
      <c r="F13618" t="s">
        <v>27965</v>
      </c>
      <c r="G13618" t="s">
        <v>47073</v>
      </c>
      <c r="H13618" t="s">
        <v>47071</v>
      </c>
      <c r="I13618" t="s">
        <v>47120</v>
      </c>
      <c r="J13618" t="s">
        <v>47121</v>
      </c>
      <c r="K13618" t="s">
        <v>47113</v>
      </c>
      <c r="L13618">
        <v>11.95</v>
      </c>
      <c r="M13618">
        <v>20</v>
      </c>
      <c r="N13618">
        <v>49</v>
      </c>
      <c r="O13618">
        <v>20</v>
      </c>
      <c r="P13618">
        <v>49</v>
      </c>
    </row>
    <row r="13619" spans="1:16" x14ac:dyDescent="0.25">
      <c r="A13619" t="s">
        <v>48735</v>
      </c>
      <c r="B13619" t="s">
        <v>48736</v>
      </c>
      <c r="C13619" t="s">
        <v>48737</v>
      </c>
      <c r="D13619" t="s">
        <v>14429</v>
      </c>
      <c r="E13619" t="s">
        <v>60</v>
      </c>
      <c r="F13619" t="s">
        <v>15829</v>
      </c>
      <c r="G13619" t="s">
        <v>47073</v>
      </c>
      <c r="H13619" t="s">
        <v>47071</v>
      </c>
      <c r="I13619" t="s">
        <v>47120</v>
      </c>
      <c r="J13619" t="s">
        <v>47121</v>
      </c>
      <c r="K13619" t="s">
        <v>47113</v>
      </c>
      <c r="L13619">
        <v>9.2899999999999991</v>
      </c>
      <c r="M13619">
        <v>20</v>
      </c>
      <c r="N13619">
        <v>49</v>
      </c>
      <c r="O13619">
        <v>20</v>
      </c>
      <c r="P13619">
        <v>49</v>
      </c>
    </row>
    <row r="13620" spans="1:16" x14ac:dyDescent="0.25">
      <c r="A13620" t="s">
        <v>36456</v>
      </c>
      <c r="B13620" t="s">
        <v>36457</v>
      </c>
      <c r="C13620" t="s">
        <v>36458</v>
      </c>
      <c r="D13620" t="s">
        <v>15752</v>
      </c>
      <c r="E13620" t="s">
        <v>15753</v>
      </c>
      <c r="F13620" t="s">
        <v>17351</v>
      </c>
      <c r="G13620" t="s">
        <v>47075</v>
      </c>
      <c r="H13620" t="s">
        <v>47071</v>
      </c>
      <c r="I13620" t="s">
        <v>47120</v>
      </c>
      <c r="J13620" t="s">
        <v>47121</v>
      </c>
      <c r="K13620" t="s">
        <v>47113</v>
      </c>
      <c r="L13620">
        <v>24.2</v>
      </c>
      <c r="M13620">
        <v>52</v>
      </c>
      <c r="N13620">
        <v>0</v>
      </c>
      <c r="O13620">
        <v>52</v>
      </c>
      <c r="P13620">
        <v>0</v>
      </c>
    </row>
    <row r="13621" spans="1:16" x14ac:dyDescent="0.25">
      <c r="A13621" t="s">
        <v>36459</v>
      </c>
      <c r="B13621" t="s">
        <v>36460</v>
      </c>
      <c r="C13621" t="s">
        <v>20930</v>
      </c>
      <c r="D13621" t="s">
        <v>20931</v>
      </c>
      <c r="E13621" t="s">
        <v>20932</v>
      </c>
      <c r="F13621" t="s">
        <v>17351</v>
      </c>
      <c r="G13621" t="s">
        <v>47072</v>
      </c>
      <c r="H13621" t="s">
        <v>47071</v>
      </c>
      <c r="I13621" t="s">
        <v>47116</v>
      </c>
      <c r="J13621" t="s">
        <v>47117</v>
      </c>
      <c r="K13621" t="s">
        <v>47113</v>
      </c>
      <c r="L13621">
        <v>39.51</v>
      </c>
      <c r="M13621">
        <v>80</v>
      </c>
      <c r="N13621">
        <v>0</v>
      </c>
      <c r="O13621">
        <v>80</v>
      </c>
      <c r="P13621">
        <v>0</v>
      </c>
    </row>
    <row r="13622" spans="1:16" x14ac:dyDescent="0.25">
      <c r="A13622" t="s">
        <v>36461</v>
      </c>
      <c r="B13622" t="s">
        <v>36462</v>
      </c>
      <c r="C13622" t="s">
        <v>20942</v>
      </c>
      <c r="D13622" t="s">
        <v>15752</v>
      </c>
      <c r="E13622" t="s">
        <v>15753</v>
      </c>
      <c r="F13622" t="s">
        <v>17351</v>
      </c>
      <c r="G13622" t="s">
        <v>47080</v>
      </c>
      <c r="H13622" t="s">
        <v>47071</v>
      </c>
      <c r="I13622" t="s">
        <v>47116</v>
      </c>
      <c r="J13622" t="s">
        <v>47117</v>
      </c>
      <c r="K13622" t="s">
        <v>47113</v>
      </c>
      <c r="L13622">
        <v>15</v>
      </c>
      <c r="M13622">
        <v>28</v>
      </c>
      <c r="N13622">
        <v>0</v>
      </c>
      <c r="O13622">
        <v>28</v>
      </c>
      <c r="P13622">
        <v>0</v>
      </c>
    </row>
    <row r="13623" spans="1:16" x14ac:dyDescent="0.25">
      <c r="A13623" t="s">
        <v>36463</v>
      </c>
      <c r="B13623" t="s">
        <v>36464</v>
      </c>
      <c r="C13623" t="s">
        <v>36465</v>
      </c>
      <c r="D13623" t="s">
        <v>20950</v>
      </c>
      <c r="E13623" t="s">
        <v>20951</v>
      </c>
      <c r="F13623" t="s">
        <v>17351</v>
      </c>
      <c r="G13623" t="s">
        <v>47135</v>
      </c>
      <c r="H13623" t="s">
        <v>47071</v>
      </c>
      <c r="I13623" t="s">
        <v>47116</v>
      </c>
      <c r="J13623" t="s">
        <v>47117</v>
      </c>
      <c r="K13623" t="s">
        <v>47113</v>
      </c>
      <c r="L13623">
        <v>18.420000000000002</v>
      </c>
      <c r="M13623">
        <v>48</v>
      </c>
      <c r="N13623">
        <v>119</v>
      </c>
      <c r="O13623">
        <v>48</v>
      </c>
      <c r="P13623">
        <v>119</v>
      </c>
    </row>
    <row r="13624" spans="1:16" x14ac:dyDescent="0.25">
      <c r="A13624" t="s">
        <v>36466</v>
      </c>
      <c r="B13624" t="s">
        <v>36467</v>
      </c>
      <c r="C13624" t="s">
        <v>36468</v>
      </c>
      <c r="D13624" t="s">
        <v>15692</v>
      </c>
      <c r="E13624" t="s">
        <v>46</v>
      </c>
      <c r="F13624" t="s">
        <v>17351</v>
      </c>
      <c r="G13624" t="s">
        <v>47073</v>
      </c>
      <c r="H13624" t="s">
        <v>47071</v>
      </c>
      <c r="I13624" t="s">
        <v>47120</v>
      </c>
      <c r="J13624" t="s">
        <v>47121</v>
      </c>
      <c r="K13624" t="s">
        <v>47113</v>
      </c>
      <c r="L13624">
        <v>11.95</v>
      </c>
      <c r="M13624">
        <v>28</v>
      </c>
      <c r="N13624">
        <v>0</v>
      </c>
      <c r="O13624">
        <v>28</v>
      </c>
      <c r="P13624">
        <v>0</v>
      </c>
    </row>
    <row r="13625" spans="1:16" x14ac:dyDescent="0.25">
      <c r="A13625" t="s">
        <v>36469</v>
      </c>
      <c r="B13625" t="s">
        <v>36470</v>
      </c>
      <c r="C13625" t="s">
        <v>36471</v>
      </c>
      <c r="D13625" t="s">
        <v>20939</v>
      </c>
      <c r="E13625" t="s">
        <v>20940</v>
      </c>
      <c r="F13625" t="s">
        <v>17351</v>
      </c>
      <c r="G13625" t="s">
        <v>47138</v>
      </c>
      <c r="H13625" t="s">
        <v>47071</v>
      </c>
      <c r="I13625" t="s">
        <v>47116</v>
      </c>
      <c r="J13625" t="s">
        <v>47117</v>
      </c>
      <c r="K13625" t="s">
        <v>47113</v>
      </c>
      <c r="L13625">
        <v>21.1</v>
      </c>
      <c r="M13625">
        <v>76</v>
      </c>
      <c r="N13625">
        <v>189</v>
      </c>
      <c r="O13625">
        <v>76</v>
      </c>
      <c r="P13625">
        <v>189</v>
      </c>
    </row>
    <row r="13626" spans="1:16" x14ac:dyDescent="0.25">
      <c r="A13626" t="s">
        <v>36472</v>
      </c>
      <c r="B13626" t="s">
        <v>36473</v>
      </c>
      <c r="C13626" t="s">
        <v>36474</v>
      </c>
      <c r="D13626" t="s">
        <v>15651</v>
      </c>
      <c r="E13626" t="s">
        <v>15652</v>
      </c>
      <c r="F13626" t="s">
        <v>17351</v>
      </c>
      <c r="G13626" t="s">
        <v>47077</v>
      </c>
      <c r="H13626" t="s">
        <v>47071</v>
      </c>
      <c r="I13626" t="s">
        <v>47116</v>
      </c>
      <c r="J13626" t="s">
        <v>47117</v>
      </c>
      <c r="K13626" t="s">
        <v>47113</v>
      </c>
      <c r="L13626">
        <v>24.2</v>
      </c>
      <c r="M13626">
        <v>52</v>
      </c>
      <c r="N13626">
        <v>0</v>
      </c>
      <c r="O13626">
        <v>52</v>
      </c>
      <c r="P13626">
        <v>0</v>
      </c>
    </row>
    <row r="13627" spans="1:16" x14ac:dyDescent="0.25">
      <c r="A13627" t="s">
        <v>48738</v>
      </c>
      <c r="B13627" t="s">
        <v>48739</v>
      </c>
      <c r="C13627" t="s">
        <v>48740</v>
      </c>
      <c r="D13627" t="s">
        <v>46816</v>
      </c>
      <c r="E13627" t="s">
        <v>46817</v>
      </c>
      <c r="F13627" t="s">
        <v>47325</v>
      </c>
      <c r="G13627" t="s">
        <v>47075</v>
      </c>
      <c r="H13627" t="s">
        <v>47071</v>
      </c>
      <c r="I13627" t="s">
        <v>47120</v>
      </c>
      <c r="J13627" t="s">
        <v>47121</v>
      </c>
      <c r="K13627" t="s">
        <v>47113</v>
      </c>
      <c r="L13627">
        <v>22.45</v>
      </c>
      <c r="M13627">
        <v>52</v>
      </c>
      <c r="N13627">
        <v>129</v>
      </c>
      <c r="O13627">
        <v>52</v>
      </c>
      <c r="P13627">
        <v>129</v>
      </c>
    </row>
    <row r="13628" spans="1:16" x14ac:dyDescent="0.25">
      <c r="A13628" t="s">
        <v>48741</v>
      </c>
      <c r="B13628" t="s">
        <v>48742</v>
      </c>
      <c r="C13628" t="s">
        <v>48743</v>
      </c>
      <c r="D13628" t="s">
        <v>15692</v>
      </c>
      <c r="E13628" t="s">
        <v>46</v>
      </c>
      <c r="F13628" t="s">
        <v>47325</v>
      </c>
      <c r="G13628" t="s">
        <v>47075</v>
      </c>
      <c r="H13628" t="s">
        <v>47071</v>
      </c>
      <c r="I13628" t="s">
        <v>47120</v>
      </c>
      <c r="J13628" t="s">
        <v>47121</v>
      </c>
      <c r="K13628" t="s">
        <v>47113</v>
      </c>
      <c r="L13628">
        <v>19.61</v>
      </c>
      <c r="M13628">
        <v>52</v>
      </c>
      <c r="N13628">
        <v>129</v>
      </c>
      <c r="O13628">
        <v>52</v>
      </c>
      <c r="P13628">
        <v>129</v>
      </c>
    </row>
    <row r="13629" spans="1:16" x14ac:dyDescent="0.25">
      <c r="A13629" t="s">
        <v>48744</v>
      </c>
      <c r="B13629" t="s">
        <v>48745</v>
      </c>
      <c r="C13629" t="s">
        <v>48746</v>
      </c>
      <c r="D13629" t="s">
        <v>48747</v>
      </c>
      <c r="E13629" t="s">
        <v>48748</v>
      </c>
      <c r="F13629" t="s">
        <v>47325</v>
      </c>
      <c r="G13629" t="s">
        <v>48749</v>
      </c>
      <c r="H13629" t="s">
        <v>47071</v>
      </c>
      <c r="I13629" t="s">
        <v>47120</v>
      </c>
      <c r="J13629" t="s">
        <v>47121</v>
      </c>
      <c r="K13629" t="s">
        <v>47113</v>
      </c>
      <c r="L13629">
        <v>26.25</v>
      </c>
      <c r="M13629">
        <v>68</v>
      </c>
      <c r="N13629">
        <v>169</v>
      </c>
      <c r="O13629">
        <v>68</v>
      </c>
      <c r="P13629">
        <v>169</v>
      </c>
    </row>
    <row r="13630" spans="1:16" x14ac:dyDescent="0.25">
      <c r="A13630" t="s">
        <v>48750</v>
      </c>
      <c r="B13630" t="s">
        <v>48751</v>
      </c>
      <c r="C13630" t="s">
        <v>35310</v>
      </c>
      <c r="D13630" t="s">
        <v>48752</v>
      </c>
      <c r="E13630" t="s">
        <v>48753</v>
      </c>
      <c r="F13630" t="s">
        <v>47325</v>
      </c>
      <c r="G13630" t="s">
        <v>47072</v>
      </c>
      <c r="H13630" t="s">
        <v>47071</v>
      </c>
      <c r="I13630" t="s">
        <v>47116</v>
      </c>
      <c r="J13630" t="s">
        <v>47117</v>
      </c>
      <c r="K13630" t="s">
        <v>47113</v>
      </c>
      <c r="L13630">
        <v>13</v>
      </c>
      <c r="M13630">
        <v>52</v>
      </c>
      <c r="N13630">
        <v>129</v>
      </c>
      <c r="O13630">
        <v>52</v>
      </c>
      <c r="P13630">
        <v>129</v>
      </c>
    </row>
    <row r="13631" spans="1:16" x14ac:dyDescent="0.25">
      <c r="A13631" t="s">
        <v>48754</v>
      </c>
      <c r="B13631" t="s">
        <v>48755</v>
      </c>
      <c r="C13631" t="s">
        <v>48713</v>
      </c>
      <c r="D13631" t="s">
        <v>48756</v>
      </c>
      <c r="E13631" t="s">
        <v>48757</v>
      </c>
      <c r="F13631" t="s">
        <v>47325</v>
      </c>
      <c r="G13631" t="s">
        <v>47072</v>
      </c>
      <c r="H13631" t="s">
        <v>47071</v>
      </c>
      <c r="I13631" t="s">
        <v>47116</v>
      </c>
      <c r="J13631" t="s">
        <v>47117</v>
      </c>
      <c r="K13631" t="s">
        <v>47113</v>
      </c>
      <c r="L13631">
        <v>20.95</v>
      </c>
      <c r="M13631">
        <v>52</v>
      </c>
      <c r="N13631">
        <v>129</v>
      </c>
      <c r="O13631">
        <v>52</v>
      </c>
      <c r="P13631">
        <v>129</v>
      </c>
    </row>
    <row r="13632" spans="1:16" x14ac:dyDescent="0.25">
      <c r="A13632" t="s">
        <v>48758</v>
      </c>
      <c r="B13632" t="s">
        <v>48759</v>
      </c>
      <c r="C13632" t="s">
        <v>35310</v>
      </c>
      <c r="D13632" t="s">
        <v>48760</v>
      </c>
      <c r="E13632" t="s">
        <v>48761</v>
      </c>
      <c r="F13632" t="s">
        <v>47325</v>
      </c>
      <c r="G13632" t="s">
        <v>47072</v>
      </c>
      <c r="H13632" t="s">
        <v>47071</v>
      </c>
      <c r="I13632" t="s">
        <v>47116</v>
      </c>
      <c r="J13632" t="s">
        <v>47117</v>
      </c>
      <c r="K13632" t="s">
        <v>47113</v>
      </c>
      <c r="L13632">
        <v>20.95</v>
      </c>
      <c r="M13632">
        <v>52</v>
      </c>
      <c r="N13632">
        <v>129</v>
      </c>
      <c r="O13632">
        <v>52</v>
      </c>
      <c r="P13632">
        <v>129</v>
      </c>
    </row>
    <row r="13633" spans="1:16" x14ac:dyDescent="0.25">
      <c r="A13633" t="s">
        <v>48762</v>
      </c>
      <c r="B13633" t="s">
        <v>48763</v>
      </c>
      <c r="C13633" t="s">
        <v>15709</v>
      </c>
      <c r="D13633" t="s">
        <v>48764</v>
      </c>
      <c r="E13633" t="s">
        <v>48765</v>
      </c>
      <c r="F13633" t="s">
        <v>47325</v>
      </c>
      <c r="G13633" t="s">
        <v>47072</v>
      </c>
      <c r="H13633" t="s">
        <v>47071</v>
      </c>
      <c r="I13633" t="s">
        <v>47116</v>
      </c>
      <c r="J13633" t="s">
        <v>47117</v>
      </c>
      <c r="K13633" t="s">
        <v>47113</v>
      </c>
      <c r="L13633">
        <v>34.200000000000003</v>
      </c>
      <c r="M13633">
        <v>80</v>
      </c>
      <c r="N13633">
        <v>199</v>
      </c>
      <c r="O13633">
        <v>80</v>
      </c>
      <c r="P13633">
        <v>199</v>
      </c>
    </row>
    <row r="13634" spans="1:16" x14ac:dyDescent="0.25">
      <c r="A13634" t="s">
        <v>48766</v>
      </c>
      <c r="B13634" t="s">
        <v>48767</v>
      </c>
      <c r="C13634" t="s">
        <v>35310</v>
      </c>
      <c r="D13634" t="s">
        <v>35402</v>
      </c>
      <c r="E13634" t="s">
        <v>2383</v>
      </c>
      <c r="F13634" t="s">
        <v>47325</v>
      </c>
      <c r="G13634" t="s">
        <v>47072</v>
      </c>
      <c r="H13634" t="s">
        <v>47071</v>
      </c>
      <c r="I13634" t="s">
        <v>47116</v>
      </c>
      <c r="J13634" t="s">
        <v>47117</v>
      </c>
      <c r="K13634" t="s">
        <v>47113</v>
      </c>
      <c r="L13634">
        <v>13</v>
      </c>
      <c r="M13634">
        <v>52</v>
      </c>
      <c r="N13634">
        <v>129</v>
      </c>
      <c r="O13634">
        <v>52</v>
      </c>
      <c r="P13634">
        <v>129</v>
      </c>
    </row>
    <row r="13635" spans="1:16" x14ac:dyDescent="0.25">
      <c r="A13635" t="s">
        <v>48768</v>
      </c>
      <c r="B13635" t="s">
        <v>48769</v>
      </c>
      <c r="C13635" t="s">
        <v>35310</v>
      </c>
      <c r="D13635" t="s">
        <v>48770</v>
      </c>
      <c r="E13635" t="s">
        <v>48771</v>
      </c>
      <c r="F13635" t="s">
        <v>47325</v>
      </c>
      <c r="G13635" t="s">
        <v>47072</v>
      </c>
      <c r="H13635" t="s">
        <v>47071</v>
      </c>
      <c r="I13635" t="s">
        <v>47116</v>
      </c>
      <c r="J13635" t="s">
        <v>47117</v>
      </c>
      <c r="K13635" t="s">
        <v>47113</v>
      </c>
      <c r="L13635">
        <v>13</v>
      </c>
      <c r="M13635">
        <v>52</v>
      </c>
      <c r="N13635">
        <v>129</v>
      </c>
      <c r="O13635">
        <v>52</v>
      </c>
      <c r="P13635">
        <v>129</v>
      </c>
    </row>
    <row r="13636" spans="1:16" x14ac:dyDescent="0.25">
      <c r="A13636" t="s">
        <v>48772</v>
      </c>
      <c r="B13636" t="s">
        <v>48773</v>
      </c>
      <c r="C13636" t="s">
        <v>48774</v>
      </c>
      <c r="D13636" t="s">
        <v>48756</v>
      </c>
      <c r="E13636" t="s">
        <v>48757</v>
      </c>
      <c r="F13636" t="s">
        <v>47325</v>
      </c>
      <c r="G13636" t="s">
        <v>47072</v>
      </c>
      <c r="H13636" t="s">
        <v>47071</v>
      </c>
      <c r="I13636" t="s">
        <v>47116</v>
      </c>
      <c r="J13636" t="s">
        <v>47117</v>
      </c>
      <c r="K13636" t="s">
        <v>47113</v>
      </c>
      <c r="L13636">
        <v>23.6</v>
      </c>
      <c r="M13636">
        <v>52</v>
      </c>
      <c r="N13636">
        <v>129</v>
      </c>
      <c r="O13636">
        <v>52</v>
      </c>
      <c r="P13636">
        <v>129</v>
      </c>
    </row>
    <row r="13637" spans="1:16" x14ac:dyDescent="0.25">
      <c r="A13637" t="s">
        <v>48775</v>
      </c>
      <c r="B13637" t="s">
        <v>48776</v>
      </c>
      <c r="C13637" t="s">
        <v>48777</v>
      </c>
      <c r="D13637" t="s">
        <v>46816</v>
      </c>
      <c r="E13637" t="s">
        <v>46817</v>
      </c>
      <c r="F13637" t="s">
        <v>47325</v>
      </c>
      <c r="G13637" t="s">
        <v>47135</v>
      </c>
      <c r="H13637" t="s">
        <v>47071</v>
      </c>
      <c r="I13637" t="s">
        <v>47120</v>
      </c>
      <c r="J13637" t="s">
        <v>47121</v>
      </c>
      <c r="K13637" t="s">
        <v>47113</v>
      </c>
      <c r="L13637">
        <v>15.64</v>
      </c>
      <c r="M13637">
        <v>40</v>
      </c>
      <c r="N13637">
        <v>99</v>
      </c>
      <c r="O13637">
        <v>40</v>
      </c>
      <c r="P13637">
        <v>99</v>
      </c>
    </row>
    <row r="13638" spans="1:16" x14ac:dyDescent="0.25">
      <c r="A13638" t="s">
        <v>48778</v>
      </c>
      <c r="B13638" t="s">
        <v>48779</v>
      </c>
      <c r="C13638" t="s">
        <v>48780</v>
      </c>
      <c r="D13638" t="s">
        <v>15692</v>
      </c>
      <c r="E13638" t="s">
        <v>46</v>
      </c>
      <c r="F13638" t="s">
        <v>47325</v>
      </c>
      <c r="G13638" t="s">
        <v>47135</v>
      </c>
      <c r="H13638" t="s">
        <v>47071</v>
      </c>
      <c r="I13638" t="s">
        <v>47116</v>
      </c>
      <c r="J13638" t="s">
        <v>47117</v>
      </c>
      <c r="K13638" t="s">
        <v>47113</v>
      </c>
      <c r="L13638">
        <v>15.64</v>
      </c>
      <c r="M13638">
        <v>40</v>
      </c>
      <c r="N13638">
        <v>99</v>
      </c>
      <c r="O13638">
        <v>40</v>
      </c>
      <c r="P13638">
        <v>99</v>
      </c>
    </row>
    <row r="13639" spans="1:16" x14ac:dyDescent="0.25">
      <c r="A13639" t="s">
        <v>48781</v>
      </c>
      <c r="B13639" t="s">
        <v>48782</v>
      </c>
      <c r="C13639" t="s">
        <v>48783</v>
      </c>
      <c r="D13639" t="s">
        <v>48784</v>
      </c>
      <c r="E13639" t="s">
        <v>48785</v>
      </c>
      <c r="F13639" t="s">
        <v>47325</v>
      </c>
      <c r="G13639" t="s">
        <v>47135</v>
      </c>
      <c r="H13639" t="s">
        <v>47071</v>
      </c>
      <c r="I13639" t="s">
        <v>47116</v>
      </c>
      <c r="J13639" t="s">
        <v>47117</v>
      </c>
      <c r="K13639" t="s">
        <v>47113</v>
      </c>
      <c r="L13639">
        <v>20.95</v>
      </c>
      <c r="M13639">
        <v>52</v>
      </c>
      <c r="N13639">
        <v>129</v>
      </c>
      <c r="O13639">
        <v>52</v>
      </c>
      <c r="P13639">
        <v>129</v>
      </c>
    </row>
    <row r="13640" spans="1:16" x14ac:dyDescent="0.25">
      <c r="A13640" t="s">
        <v>48786</v>
      </c>
      <c r="B13640" t="s">
        <v>48787</v>
      </c>
      <c r="C13640" t="s">
        <v>48788</v>
      </c>
      <c r="D13640" t="s">
        <v>20989</v>
      </c>
      <c r="E13640" t="s">
        <v>20990</v>
      </c>
      <c r="F13640" t="s">
        <v>47325</v>
      </c>
      <c r="G13640" t="s">
        <v>47079</v>
      </c>
      <c r="H13640" t="s">
        <v>47071</v>
      </c>
      <c r="I13640" t="s">
        <v>47120</v>
      </c>
      <c r="J13640" t="s">
        <v>47121</v>
      </c>
      <c r="K13640" t="s">
        <v>47113</v>
      </c>
      <c r="L13640">
        <v>22.45</v>
      </c>
      <c r="M13640">
        <v>52</v>
      </c>
      <c r="N13640">
        <v>129</v>
      </c>
      <c r="O13640">
        <v>52</v>
      </c>
      <c r="P13640">
        <v>129</v>
      </c>
    </row>
    <row r="13641" spans="1:16" x14ac:dyDescent="0.25">
      <c r="A13641" t="s">
        <v>48789</v>
      </c>
      <c r="B13641" t="s">
        <v>48790</v>
      </c>
      <c r="C13641" t="s">
        <v>48791</v>
      </c>
      <c r="D13641" t="s">
        <v>48756</v>
      </c>
      <c r="E13641" t="s">
        <v>48757</v>
      </c>
      <c r="F13641" t="s">
        <v>47325</v>
      </c>
      <c r="G13641" t="s">
        <v>47135</v>
      </c>
      <c r="H13641" t="s">
        <v>47071</v>
      </c>
      <c r="I13641" t="s">
        <v>47116</v>
      </c>
      <c r="J13641" t="s">
        <v>47117</v>
      </c>
      <c r="K13641" t="s">
        <v>47113</v>
      </c>
      <c r="L13641">
        <v>23.6</v>
      </c>
      <c r="M13641">
        <v>56</v>
      </c>
      <c r="N13641">
        <v>139</v>
      </c>
      <c r="O13641">
        <v>56</v>
      </c>
      <c r="P13641">
        <v>139</v>
      </c>
    </row>
    <row r="13642" spans="1:16" x14ac:dyDescent="0.25">
      <c r="A13642" t="s">
        <v>48792</v>
      </c>
      <c r="B13642" t="s">
        <v>48793</v>
      </c>
      <c r="C13642" t="s">
        <v>46839</v>
      </c>
      <c r="D13642" t="s">
        <v>48794</v>
      </c>
      <c r="E13642" t="s">
        <v>48795</v>
      </c>
      <c r="F13642" t="s">
        <v>47325</v>
      </c>
      <c r="G13642" t="s">
        <v>47135</v>
      </c>
      <c r="H13642" t="s">
        <v>47071</v>
      </c>
      <c r="I13642" t="s">
        <v>47116</v>
      </c>
      <c r="J13642" t="s">
        <v>47117</v>
      </c>
      <c r="K13642" t="s">
        <v>47113</v>
      </c>
      <c r="L13642">
        <v>23.6</v>
      </c>
      <c r="M13642">
        <v>56</v>
      </c>
      <c r="N13642">
        <v>139</v>
      </c>
      <c r="O13642">
        <v>56</v>
      </c>
      <c r="P13642">
        <v>139</v>
      </c>
    </row>
    <row r="13643" spans="1:16" x14ac:dyDescent="0.25">
      <c r="A13643" t="s">
        <v>48796</v>
      </c>
      <c r="B13643" t="s">
        <v>48797</v>
      </c>
      <c r="C13643" t="s">
        <v>48791</v>
      </c>
      <c r="D13643" t="s">
        <v>48643</v>
      </c>
      <c r="E13643" t="s">
        <v>48644</v>
      </c>
      <c r="F13643" t="s">
        <v>47325</v>
      </c>
      <c r="G13643" t="s">
        <v>47135</v>
      </c>
      <c r="H13643" t="s">
        <v>47071</v>
      </c>
      <c r="I13643" t="s">
        <v>47116</v>
      </c>
      <c r="J13643" t="s">
        <v>47117</v>
      </c>
      <c r="K13643" t="s">
        <v>47113</v>
      </c>
      <c r="L13643">
        <v>23.6</v>
      </c>
      <c r="M13643">
        <v>80</v>
      </c>
      <c r="N13643">
        <v>199</v>
      </c>
      <c r="O13643">
        <v>80</v>
      </c>
      <c r="P13643">
        <v>199</v>
      </c>
    </row>
    <row r="13644" spans="1:16" x14ac:dyDescent="0.25">
      <c r="A13644" t="s">
        <v>48798</v>
      </c>
      <c r="B13644" t="s">
        <v>48799</v>
      </c>
      <c r="C13644" t="s">
        <v>46839</v>
      </c>
      <c r="D13644" t="s">
        <v>48800</v>
      </c>
      <c r="E13644" t="s">
        <v>48801</v>
      </c>
      <c r="F13644" t="s">
        <v>47325</v>
      </c>
      <c r="G13644" t="s">
        <v>47135</v>
      </c>
      <c r="H13644" t="s">
        <v>47071</v>
      </c>
      <c r="I13644" t="s">
        <v>47116</v>
      </c>
      <c r="J13644" t="s">
        <v>47117</v>
      </c>
      <c r="K13644" t="s">
        <v>47113</v>
      </c>
      <c r="L13644">
        <v>18.29</v>
      </c>
      <c r="M13644">
        <v>52</v>
      </c>
      <c r="N13644">
        <v>129</v>
      </c>
      <c r="O13644">
        <v>52</v>
      </c>
      <c r="P13644">
        <v>129</v>
      </c>
    </row>
    <row r="13645" spans="1:16" x14ac:dyDescent="0.25">
      <c r="A13645" t="s">
        <v>48802</v>
      </c>
      <c r="B13645" t="s">
        <v>48803</v>
      </c>
      <c r="C13645" t="s">
        <v>15709</v>
      </c>
      <c r="D13645" t="s">
        <v>48804</v>
      </c>
      <c r="E13645" t="s">
        <v>48805</v>
      </c>
      <c r="F13645" t="s">
        <v>47325</v>
      </c>
      <c r="G13645" t="s">
        <v>47072</v>
      </c>
      <c r="H13645" t="s">
        <v>47071</v>
      </c>
      <c r="I13645" t="s">
        <v>47116</v>
      </c>
      <c r="J13645" t="s">
        <v>47117</v>
      </c>
      <c r="K13645" t="s">
        <v>47113</v>
      </c>
      <c r="L13645">
        <v>23.6</v>
      </c>
      <c r="M13645">
        <v>80</v>
      </c>
      <c r="N13645">
        <v>199</v>
      </c>
      <c r="O13645">
        <v>80</v>
      </c>
      <c r="P13645">
        <v>199</v>
      </c>
    </row>
    <row r="13646" spans="1:16" x14ac:dyDescent="0.25">
      <c r="A13646" t="s">
        <v>48806</v>
      </c>
      <c r="B13646" t="s">
        <v>48807</v>
      </c>
      <c r="C13646" t="s">
        <v>48808</v>
      </c>
      <c r="D13646" t="s">
        <v>48809</v>
      </c>
      <c r="E13646" t="s">
        <v>48810</v>
      </c>
      <c r="F13646" t="s">
        <v>47325</v>
      </c>
      <c r="G13646" t="s">
        <v>47135</v>
      </c>
      <c r="H13646" t="s">
        <v>47071</v>
      </c>
      <c r="I13646" t="s">
        <v>47116</v>
      </c>
      <c r="J13646" t="s">
        <v>47117</v>
      </c>
      <c r="K13646" t="s">
        <v>47113</v>
      </c>
      <c r="L13646">
        <v>20.95</v>
      </c>
      <c r="M13646">
        <v>52</v>
      </c>
      <c r="N13646">
        <v>129</v>
      </c>
      <c r="O13646">
        <v>52</v>
      </c>
      <c r="P13646">
        <v>129</v>
      </c>
    </row>
    <row r="13647" spans="1:16" x14ac:dyDescent="0.25">
      <c r="A13647" t="s">
        <v>48811</v>
      </c>
      <c r="B13647" t="s">
        <v>48812</v>
      </c>
      <c r="C13647" t="s">
        <v>16972</v>
      </c>
      <c r="D13647" t="s">
        <v>15734</v>
      </c>
      <c r="E13647" t="s">
        <v>15735</v>
      </c>
      <c r="F13647" t="s">
        <v>47325</v>
      </c>
      <c r="G13647" t="s">
        <v>48601</v>
      </c>
      <c r="H13647" t="s">
        <v>47071</v>
      </c>
      <c r="I13647" t="s">
        <v>47120</v>
      </c>
      <c r="J13647" t="s">
        <v>47121</v>
      </c>
      <c r="K13647" t="s">
        <v>47113</v>
      </c>
      <c r="L13647">
        <v>11.08</v>
      </c>
      <c r="M13647">
        <v>26</v>
      </c>
      <c r="N13647">
        <v>65</v>
      </c>
      <c r="O13647">
        <v>26</v>
      </c>
      <c r="P13647">
        <v>65</v>
      </c>
    </row>
    <row r="13648" spans="1:16" x14ac:dyDescent="0.25">
      <c r="A13648" t="s">
        <v>48813</v>
      </c>
      <c r="B13648" t="s">
        <v>48814</v>
      </c>
      <c r="C13648" t="s">
        <v>48815</v>
      </c>
      <c r="D13648" t="s">
        <v>15692</v>
      </c>
      <c r="E13648" t="s">
        <v>46</v>
      </c>
      <c r="F13648" t="s">
        <v>47325</v>
      </c>
      <c r="G13648" t="s">
        <v>48601</v>
      </c>
      <c r="H13648" t="s">
        <v>47071</v>
      </c>
      <c r="I13648" t="s">
        <v>47120</v>
      </c>
      <c r="J13648" t="s">
        <v>47121</v>
      </c>
      <c r="K13648" t="s">
        <v>47113</v>
      </c>
      <c r="L13648">
        <v>11.08</v>
      </c>
      <c r="M13648">
        <v>26</v>
      </c>
      <c r="N13648">
        <v>65</v>
      </c>
      <c r="O13648">
        <v>26</v>
      </c>
      <c r="P13648">
        <v>65</v>
      </c>
    </row>
    <row r="13649" spans="1:16" x14ac:dyDescent="0.25">
      <c r="A13649" t="s">
        <v>48816</v>
      </c>
      <c r="B13649" t="s">
        <v>48817</v>
      </c>
      <c r="C13649" t="s">
        <v>48818</v>
      </c>
      <c r="D13649" t="s">
        <v>14429</v>
      </c>
      <c r="E13649" t="s">
        <v>60</v>
      </c>
      <c r="F13649" t="s">
        <v>47325</v>
      </c>
      <c r="G13649" t="s">
        <v>47079</v>
      </c>
      <c r="H13649" t="s">
        <v>47071</v>
      </c>
      <c r="I13649" t="s">
        <v>47120</v>
      </c>
      <c r="J13649" t="s">
        <v>47121</v>
      </c>
      <c r="K13649" t="s">
        <v>47113</v>
      </c>
      <c r="L13649">
        <v>16.77</v>
      </c>
      <c r="M13649">
        <v>40</v>
      </c>
      <c r="N13649">
        <v>99</v>
      </c>
      <c r="O13649">
        <v>40</v>
      </c>
      <c r="P13649">
        <v>99</v>
      </c>
    </row>
    <row r="13650" spans="1:16" x14ac:dyDescent="0.25">
      <c r="A13650" t="s">
        <v>48819</v>
      </c>
      <c r="B13650" t="s">
        <v>48820</v>
      </c>
      <c r="C13650" t="s">
        <v>48818</v>
      </c>
      <c r="D13650" t="s">
        <v>20989</v>
      </c>
      <c r="E13650" t="s">
        <v>20990</v>
      </c>
      <c r="F13650" t="s">
        <v>47325</v>
      </c>
      <c r="G13650" t="s">
        <v>47079</v>
      </c>
      <c r="H13650" t="s">
        <v>47071</v>
      </c>
      <c r="I13650" t="s">
        <v>47120</v>
      </c>
      <c r="J13650" t="s">
        <v>47121</v>
      </c>
      <c r="K13650" t="s">
        <v>47113</v>
      </c>
      <c r="L13650">
        <v>19.61</v>
      </c>
      <c r="M13650">
        <v>52</v>
      </c>
      <c r="N13650">
        <v>129</v>
      </c>
      <c r="O13650">
        <v>52</v>
      </c>
      <c r="P13650">
        <v>129</v>
      </c>
    </row>
    <row r="13651" spans="1:16" x14ac:dyDescent="0.25">
      <c r="A13651" t="s">
        <v>48821</v>
      </c>
      <c r="B13651" t="s">
        <v>48822</v>
      </c>
      <c r="C13651" t="s">
        <v>46855</v>
      </c>
      <c r="D13651" t="s">
        <v>46862</v>
      </c>
      <c r="E13651" t="s">
        <v>13112</v>
      </c>
      <c r="F13651" t="s">
        <v>47325</v>
      </c>
      <c r="G13651" t="s">
        <v>47073</v>
      </c>
      <c r="H13651" t="s">
        <v>47071</v>
      </c>
      <c r="I13651" t="s">
        <v>47120</v>
      </c>
      <c r="J13651" t="s">
        <v>47121</v>
      </c>
      <c r="K13651" t="s">
        <v>47113</v>
      </c>
      <c r="L13651">
        <v>9.0299999999999994</v>
      </c>
      <c r="M13651">
        <v>20</v>
      </c>
      <c r="N13651">
        <v>49</v>
      </c>
      <c r="O13651">
        <v>20</v>
      </c>
      <c r="P13651">
        <v>49</v>
      </c>
    </row>
    <row r="13652" spans="1:16" x14ac:dyDescent="0.25">
      <c r="A13652" t="s">
        <v>48823</v>
      </c>
      <c r="B13652" t="s">
        <v>48822</v>
      </c>
      <c r="C13652" t="s">
        <v>46855</v>
      </c>
      <c r="D13652" t="s">
        <v>14429</v>
      </c>
      <c r="E13652" t="s">
        <v>60</v>
      </c>
      <c r="F13652" t="s">
        <v>47325</v>
      </c>
      <c r="G13652" t="s">
        <v>47073</v>
      </c>
      <c r="H13652" t="s">
        <v>47071</v>
      </c>
      <c r="I13652" t="s">
        <v>47120</v>
      </c>
      <c r="J13652" t="s">
        <v>47121</v>
      </c>
      <c r="K13652" t="s">
        <v>47113</v>
      </c>
      <c r="L13652">
        <v>9.9499999999999993</v>
      </c>
      <c r="M13652">
        <v>20</v>
      </c>
      <c r="N13652">
        <v>49</v>
      </c>
      <c r="O13652">
        <v>20</v>
      </c>
      <c r="P13652">
        <v>49</v>
      </c>
    </row>
    <row r="13653" spans="1:16" x14ac:dyDescent="0.25">
      <c r="A13653" t="s">
        <v>48824</v>
      </c>
      <c r="B13653" t="s">
        <v>48825</v>
      </c>
      <c r="C13653" t="s">
        <v>48826</v>
      </c>
      <c r="D13653" t="s">
        <v>15734</v>
      </c>
      <c r="E13653" t="s">
        <v>15735</v>
      </c>
      <c r="F13653" t="s">
        <v>47325</v>
      </c>
      <c r="G13653" t="s">
        <v>47073</v>
      </c>
      <c r="H13653" t="s">
        <v>47071</v>
      </c>
      <c r="I13653" t="s">
        <v>47120</v>
      </c>
      <c r="J13653" t="s">
        <v>47121</v>
      </c>
      <c r="K13653" t="s">
        <v>47113</v>
      </c>
      <c r="L13653">
        <v>11.08</v>
      </c>
      <c r="M13653">
        <v>20</v>
      </c>
      <c r="N13653">
        <v>49</v>
      </c>
      <c r="O13653">
        <v>20</v>
      </c>
      <c r="P13653">
        <v>49</v>
      </c>
    </row>
    <row r="13654" spans="1:16" x14ac:dyDescent="0.25">
      <c r="A13654" t="s">
        <v>48827</v>
      </c>
      <c r="B13654" t="s">
        <v>48828</v>
      </c>
      <c r="C13654" t="s">
        <v>48829</v>
      </c>
      <c r="D13654" t="s">
        <v>46816</v>
      </c>
      <c r="E13654" t="s">
        <v>46817</v>
      </c>
      <c r="F13654" t="s">
        <v>47325</v>
      </c>
      <c r="G13654" t="s">
        <v>47073</v>
      </c>
      <c r="H13654" t="s">
        <v>47071</v>
      </c>
      <c r="I13654" t="s">
        <v>47120</v>
      </c>
      <c r="J13654" t="s">
        <v>47121</v>
      </c>
      <c r="K13654" t="s">
        <v>47113</v>
      </c>
      <c r="L13654">
        <v>11.08</v>
      </c>
      <c r="M13654">
        <v>20</v>
      </c>
      <c r="N13654">
        <v>49</v>
      </c>
      <c r="O13654">
        <v>20</v>
      </c>
      <c r="P13654">
        <v>49</v>
      </c>
    </row>
    <row r="13655" spans="1:16" x14ac:dyDescent="0.25">
      <c r="A13655" t="s">
        <v>48830</v>
      </c>
      <c r="B13655" t="s">
        <v>48828</v>
      </c>
      <c r="C13655" t="s">
        <v>48829</v>
      </c>
      <c r="D13655" t="s">
        <v>14429</v>
      </c>
      <c r="E13655" t="s">
        <v>60</v>
      </c>
      <c r="F13655" t="s">
        <v>47325</v>
      </c>
      <c r="G13655" t="s">
        <v>47073</v>
      </c>
      <c r="H13655" t="s">
        <v>47071</v>
      </c>
      <c r="I13655" t="s">
        <v>47120</v>
      </c>
      <c r="J13655" t="s">
        <v>47121</v>
      </c>
      <c r="K13655" t="s">
        <v>47113</v>
      </c>
      <c r="L13655">
        <v>11.08</v>
      </c>
      <c r="M13655">
        <v>20</v>
      </c>
      <c r="N13655">
        <v>49</v>
      </c>
      <c r="O13655">
        <v>20</v>
      </c>
      <c r="P13655">
        <v>49</v>
      </c>
    </row>
    <row r="13656" spans="1:16" x14ac:dyDescent="0.25">
      <c r="A13656" t="s">
        <v>48831</v>
      </c>
      <c r="B13656" t="s">
        <v>48832</v>
      </c>
      <c r="C13656" t="s">
        <v>48826</v>
      </c>
      <c r="D13656" t="s">
        <v>14429</v>
      </c>
      <c r="E13656" t="s">
        <v>60</v>
      </c>
      <c r="F13656" t="s">
        <v>47325</v>
      </c>
      <c r="G13656" t="s">
        <v>47073</v>
      </c>
      <c r="H13656" t="s">
        <v>47071</v>
      </c>
      <c r="I13656" t="s">
        <v>47120</v>
      </c>
      <c r="J13656" t="s">
        <v>47121</v>
      </c>
      <c r="K13656" t="s">
        <v>47113</v>
      </c>
      <c r="L13656">
        <v>9.9499999999999993</v>
      </c>
      <c r="M13656">
        <v>20</v>
      </c>
      <c r="N13656">
        <v>49</v>
      </c>
      <c r="O13656">
        <v>20</v>
      </c>
      <c r="P13656">
        <v>49</v>
      </c>
    </row>
    <row r="13657" spans="1:16" x14ac:dyDescent="0.25">
      <c r="A13657" t="s">
        <v>48833</v>
      </c>
      <c r="B13657" t="s">
        <v>48834</v>
      </c>
      <c r="C13657" t="s">
        <v>48835</v>
      </c>
      <c r="D13657" t="s">
        <v>15692</v>
      </c>
      <c r="E13657" t="s">
        <v>46</v>
      </c>
      <c r="F13657" t="s">
        <v>47325</v>
      </c>
      <c r="G13657" t="s">
        <v>47073</v>
      </c>
      <c r="H13657" t="s">
        <v>47071</v>
      </c>
      <c r="I13657" t="s">
        <v>47120</v>
      </c>
      <c r="J13657" t="s">
        <v>47121</v>
      </c>
      <c r="K13657" t="s">
        <v>47113</v>
      </c>
      <c r="L13657">
        <v>11.08</v>
      </c>
      <c r="M13657">
        <v>20</v>
      </c>
      <c r="N13657">
        <v>49</v>
      </c>
      <c r="O13657">
        <v>20</v>
      </c>
      <c r="P13657">
        <v>49</v>
      </c>
    </row>
    <row r="13658" spans="1:16" x14ac:dyDescent="0.25">
      <c r="A13658" t="s">
        <v>48836</v>
      </c>
      <c r="B13658" t="s">
        <v>48837</v>
      </c>
      <c r="C13658" t="s">
        <v>48838</v>
      </c>
      <c r="D13658" t="s">
        <v>14429</v>
      </c>
      <c r="E13658" t="s">
        <v>60</v>
      </c>
      <c r="F13658" t="s">
        <v>47325</v>
      </c>
      <c r="G13658" t="s">
        <v>47073</v>
      </c>
      <c r="H13658" t="s">
        <v>47071</v>
      </c>
      <c r="I13658" t="s">
        <v>47120</v>
      </c>
      <c r="J13658" t="s">
        <v>47121</v>
      </c>
      <c r="K13658" t="s">
        <v>47113</v>
      </c>
      <c r="L13658">
        <v>9.9499999999999993</v>
      </c>
      <c r="M13658">
        <v>20</v>
      </c>
      <c r="N13658">
        <v>49</v>
      </c>
      <c r="O13658">
        <v>20</v>
      </c>
      <c r="P13658">
        <v>49</v>
      </c>
    </row>
    <row r="13659" spans="1:16" x14ac:dyDescent="0.25">
      <c r="A13659" t="s">
        <v>48839</v>
      </c>
      <c r="B13659" t="s">
        <v>48840</v>
      </c>
      <c r="C13659" t="s">
        <v>48841</v>
      </c>
      <c r="D13659" t="s">
        <v>15734</v>
      </c>
      <c r="E13659" t="s">
        <v>15735</v>
      </c>
      <c r="F13659" t="s">
        <v>47325</v>
      </c>
      <c r="G13659" t="s">
        <v>47073</v>
      </c>
      <c r="H13659" t="s">
        <v>47071</v>
      </c>
      <c r="I13659" t="s">
        <v>47120</v>
      </c>
      <c r="J13659" t="s">
        <v>47121</v>
      </c>
      <c r="K13659" t="s">
        <v>47113</v>
      </c>
      <c r="L13659">
        <v>11.08</v>
      </c>
      <c r="M13659">
        <v>20</v>
      </c>
      <c r="N13659">
        <v>49</v>
      </c>
      <c r="O13659">
        <v>20</v>
      </c>
      <c r="P13659">
        <v>49</v>
      </c>
    </row>
    <row r="13660" spans="1:16" x14ac:dyDescent="0.25">
      <c r="A13660" t="s">
        <v>48842</v>
      </c>
      <c r="B13660" t="s">
        <v>48843</v>
      </c>
      <c r="C13660" t="s">
        <v>48844</v>
      </c>
      <c r="D13660" t="s">
        <v>15752</v>
      </c>
      <c r="E13660" t="s">
        <v>15753</v>
      </c>
      <c r="F13660" t="s">
        <v>47325</v>
      </c>
      <c r="G13660" t="s">
        <v>47073</v>
      </c>
      <c r="H13660" t="s">
        <v>47071</v>
      </c>
      <c r="I13660" t="s">
        <v>47120</v>
      </c>
      <c r="J13660" t="s">
        <v>47121</v>
      </c>
      <c r="K13660" t="s">
        <v>47113</v>
      </c>
      <c r="L13660">
        <v>10.97</v>
      </c>
      <c r="M13660">
        <v>20</v>
      </c>
      <c r="N13660">
        <v>49</v>
      </c>
      <c r="O13660">
        <v>20</v>
      </c>
      <c r="P13660">
        <v>49</v>
      </c>
    </row>
    <row r="13661" spans="1:16" x14ac:dyDescent="0.25">
      <c r="A13661" t="s">
        <v>48845</v>
      </c>
      <c r="B13661" t="s">
        <v>48843</v>
      </c>
      <c r="C13661" t="s">
        <v>48844</v>
      </c>
      <c r="D13661" t="s">
        <v>14429</v>
      </c>
      <c r="E13661" t="s">
        <v>60</v>
      </c>
      <c r="F13661" t="s">
        <v>47325</v>
      </c>
      <c r="G13661" t="s">
        <v>47073</v>
      </c>
      <c r="H13661" t="s">
        <v>47071</v>
      </c>
      <c r="I13661" t="s">
        <v>47120</v>
      </c>
      <c r="J13661" t="s">
        <v>47121</v>
      </c>
      <c r="K13661" t="s">
        <v>47113</v>
      </c>
      <c r="L13661">
        <v>10.97</v>
      </c>
      <c r="M13661">
        <v>20</v>
      </c>
      <c r="N13661">
        <v>49</v>
      </c>
      <c r="O13661">
        <v>20</v>
      </c>
      <c r="P13661">
        <v>49</v>
      </c>
    </row>
    <row r="13662" spans="1:16" x14ac:dyDescent="0.25">
      <c r="A13662" t="s">
        <v>48846</v>
      </c>
      <c r="B13662" t="s">
        <v>48847</v>
      </c>
      <c r="C13662" t="s">
        <v>48848</v>
      </c>
      <c r="D13662" t="s">
        <v>15692</v>
      </c>
      <c r="E13662" t="s">
        <v>46</v>
      </c>
      <c r="F13662" t="s">
        <v>47325</v>
      </c>
      <c r="G13662" t="s">
        <v>47073</v>
      </c>
      <c r="H13662" t="s">
        <v>47071</v>
      </c>
      <c r="I13662" t="s">
        <v>47120</v>
      </c>
      <c r="J13662" t="s">
        <v>47121</v>
      </c>
      <c r="K13662" t="s">
        <v>47113</v>
      </c>
      <c r="L13662">
        <v>11.08</v>
      </c>
      <c r="M13662">
        <v>26</v>
      </c>
      <c r="N13662">
        <v>65</v>
      </c>
      <c r="O13662">
        <v>26</v>
      </c>
      <c r="P13662">
        <v>65</v>
      </c>
    </row>
    <row r="13663" spans="1:16" x14ac:dyDescent="0.25">
      <c r="A13663" t="s">
        <v>48849</v>
      </c>
      <c r="B13663" t="s">
        <v>48847</v>
      </c>
      <c r="C13663" t="s">
        <v>48848</v>
      </c>
      <c r="D13663" t="s">
        <v>14429</v>
      </c>
      <c r="E13663" t="s">
        <v>60</v>
      </c>
      <c r="F13663" t="s">
        <v>47325</v>
      </c>
      <c r="G13663" t="s">
        <v>47073</v>
      </c>
      <c r="H13663" t="s">
        <v>47071</v>
      </c>
      <c r="I13663" t="s">
        <v>47120</v>
      </c>
      <c r="J13663" t="s">
        <v>47121</v>
      </c>
      <c r="K13663" t="s">
        <v>47113</v>
      </c>
      <c r="L13663">
        <v>11.08</v>
      </c>
      <c r="M13663">
        <v>26</v>
      </c>
      <c r="N13663">
        <v>65</v>
      </c>
      <c r="O13663">
        <v>26</v>
      </c>
      <c r="P13663">
        <v>65</v>
      </c>
    </row>
    <row r="13664" spans="1:16" x14ac:dyDescent="0.25">
      <c r="A13664" t="s">
        <v>48850</v>
      </c>
      <c r="B13664" t="s">
        <v>48851</v>
      </c>
      <c r="C13664" t="s">
        <v>48852</v>
      </c>
      <c r="D13664" t="s">
        <v>15692</v>
      </c>
      <c r="E13664" t="s">
        <v>46</v>
      </c>
      <c r="F13664" t="s">
        <v>47325</v>
      </c>
      <c r="G13664" t="s">
        <v>47073</v>
      </c>
      <c r="H13664" t="s">
        <v>47071</v>
      </c>
      <c r="I13664" t="s">
        <v>47120</v>
      </c>
      <c r="J13664" t="s">
        <v>47121</v>
      </c>
      <c r="K13664" t="s">
        <v>47113</v>
      </c>
      <c r="L13664">
        <v>11.08</v>
      </c>
      <c r="M13664">
        <v>20</v>
      </c>
      <c r="N13664">
        <v>49</v>
      </c>
      <c r="O13664">
        <v>20</v>
      </c>
      <c r="P13664">
        <v>49</v>
      </c>
    </row>
    <row r="13665" spans="1:16" x14ac:dyDescent="0.25">
      <c r="A13665" t="s">
        <v>48853</v>
      </c>
      <c r="B13665" t="s">
        <v>48854</v>
      </c>
      <c r="C13665" t="s">
        <v>48855</v>
      </c>
      <c r="D13665" t="s">
        <v>15692</v>
      </c>
      <c r="E13665" t="s">
        <v>46</v>
      </c>
      <c r="F13665" t="s">
        <v>47325</v>
      </c>
      <c r="G13665" t="s">
        <v>47073</v>
      </c>
      <c r="H13665" t="s">
        <v>47071</v>
      </c>
      <c r="I13665" t="s">
        <v>47120</v>
      </c>
      <c r="J13665" t="s">
        <v>47121</v>
      </c>
      <c r="K13665" t="s">
        <v>47113</v>
      </c>
      <c r="L13665">
        <v>11.08</v>
      </c>
      <c r="M13665">
        <v>20</v>
      </c>
      <c r="N13665">
        <v>49</v>
      </c>
      <c r="O13665">
        <v>20</v>
      </c>
      <c r="P13665">
        <v>49</v>
      </c>
    </row>
    <row r="13666" spans="1:16" x14ac:dyDescent="0.25">
      <c r="A13666" t="s">
        <v>36475</v>
      </c>
      <c r="B13666" t="s">
        <v>9653</v>
      </c>
      <c r="C13666" t="s">
        <v>9460</v>
      </c>
      <c r="D13666" t="s">
        <v>9461</v>
      </c>
      <c r="E13666" t="s">
        <v>9462</v>
      </c>
      <c r="F13666" t="s">
        <v>2068</v>
      </c>
      <c r="G13666" t="s">
        <v>47081</v>
      </c>
      <c r="H13666" t="s">
        <v>47071</v>
      </c>
      <c r="I13666" t="s">
        <v>47120</v>
      </c>
      <c r="J13666" t="s">
        <v>47121</v>
      </c>
      <c r="K13666" t="s">
        <v>47113</v>
      </c>
      <c r="L13666">
        <v>24.54</v>
      </c>
      <c r="M13666">
        <v>57</v>
      </c>
      <c r="N13666">
        <v>0</v>
      </c>
      <c r="O13666">
        <v>57</v>
      </c>
      <c r="P13666">
        <v>0</v>
      </c>
    </row>
    <row r="13667" spans="1:16" x14ac:dyDescent="0.25">
      <c r="A13667" t="s">
        <v>36476</v>
      </c>
      <c r="B13667" t="s">
        <v>9653</v>
      </c>
      <c r="C13667" t="s">
        <v>9460</v>
      </c>
      <c r="D13667" t="s">
        <v>9463</v>
      </c>
      <c r="E13667" t="s">
        <v>9464</v>
      </c>
      <c r="F13667" t="s">
        <v>2068</v>
      </c>
      <c r="G13667" t="s">
        <v>47081</v>
      </c>
      <c r="H13667" t="s">
        <v>47071</v>
      </c>
      <c r="I13667" t="s">
        <v>47120</v>
      </c>
      <c r="J13667" t="s">
        <v>47121</v>
      </c>
      <c r="K13667" t="s">
        <v>47113</v>
      </c>
      <c r="L13667">
        <v>24.54</v>
      </c>
      <c r="M13667">
        <v>57</v>
      </c>
      <c r="N13667">
        <v>0</v>
      </c>
      <c r="O13667">
        <v>57</v>
      </c>
      <c r="P13667">
        <v>0</v>
      </c>
    </row>
    <row r="13668" spans="1:16" x14ac:dyDescent="0.25">
      <c r="A13668" t="s">
        <v>36477</v>
      </c>
      <c r="B13668" t="s">
        <v>9653</v>
      </c>
      <c r="C13668" t="s">
        <v>9460</v>
      </c>
      <c r="D13668" t="s">
        <v>9465</v>
      </c>
      <c r="E13668" t="s">
        <v>9466</v>
      </c>
      <c r="F13668" t="s">
        <v>2068</v>
      </c>
      <c r="G13668" t="s">
        <v>47081</v>
      </c>
      <c r="H13668" t="s">
        <v>47071</v>
      </c>
      <c r="I13668" t="s">
        <v>47120</v>
      </c>
      <c r="J13668" t="s">
        <v>47121</v>
      </c>
      <c r="K13668" t="s">
        <v>47113</v>
      </c>
      <c r="L13668">
        <v>24.54</v>
      </c>
      <c r="M13668">
        <v>57</v>
      </c>
      <c r="N13668">
        <v>0</v>
      </c>
      <c r="O13668">
        <v>57</v>
      </c>
      <c r="P13668">
        <v>0</v>
      </c>
    </row>
    <row r="13669" spans="1:16" x14ac:dyDescent="0.25">
      <c r="A13669" t="s">
        <v>36478</v>
      </c>
      <c r="B13669" t="s">
        <v>9654</v>
      </c>
      <c r="C13669" t="s">
        <v>9655</v>
      </c>
      <c r="D13669" t="str">
        <f>"1001"</f>
        <v>1001</v>
      </c>
      <c r="E13669" t="s">
        <v>9469</v>
      </c>
      <c r="F13669" t="s">
        <v>2068</v>
      </c>
      <c r="G13669" t="s">
        <v>47081</v>
      </c>
      <c r="H13669" t="s">
        <v>47071</v>
      </c>
      <c r="I13669" t="s">
        <v>47120</v>
      </c>
      <c r="J13669" t="s">
        <v>47121</v>
      </c>
      <c r="K13669" t="s">
        <v>47113</v>
      </c>
      <c r="L13669">
        <v>24.54</v>
      </c>
      <c r="M13669">
        <v>57</v>
      </c>
      <c r="N13669">
        <v>0</v>
      </c>
      <c r="O13669">
        <v>57</v>
      </c>
      <c r="P13669">
        <v>0</v>
      </c>
    </row>
    <row r="13670" spans="1:16" x14ac:dyDescent="0.25">
      <c r="A13670" t="s">
        <v>36479</v>
      </c>
      <c r="B13670" t="s">
        <v>9654</v>
      </c>
      <c r="C13670" t="s">
        <v>9655</v>
      </c>
      <c r="D13670" t="str">
        <f>"3540"</f>
        <v>3540</v>
      </c>
      <c r="E13670" t="s">
        <v>9470</v>
      </c>
      <c r="F13670" t="s">
        <v>2068</v>
      </c>
      <c r="G13670" t="s">
        <v>47081</v>
      </c>
      <c r="H13670" t="s">
        <v>47071</v>
      </c>
      <c r="I13670" t="s">
        <v>47120</v>
      </c>
      <c r="J13670" t="s">
        <v>47121</v>
      </c>
      <c r="K13670" t="s">
        <v>47113</v>
      </c>
      <c r="L13670">
        <v>24.54</v>
      </c>
      <c r="M13670">
        <v>57</v>
      </c>
      <c r="N13670">
        <v>0</v>
      </c>
      <c r="O13670">
        <v>57</v>
      </c>
      <c r="P13670">
        <v>0</v>
      </c>
    </row>
    <row r="13671" spans="1:16" x14ac:dyDescent="0.25">
      <c r="A13671" t="s">
        <v>36480</v>
      </c>
      <c r="B13671" t="s">
        <v>9654</v>
      </c>
      <c r="C13671" t="s">
        <v>9655</v>
      </c>
      <c r="D13671" t="str">
        <f>"6024"</f>
        <v>6024</v>
      </c>
      <c r="E13671" t="s">
        <v>9471</v>
      </c>
      <c r="F13671" t="s">
        <v>2068</v>
      </c>
      <c r="G13671" t="s">
        <v>47081</v>
      </c>
      <c r="H13671" t="s">
        <v>47071</v>
      </c>
      <c r="I13671" t="s">
        <v>47120</v>
      </c>
      <c r="J13671" t="s">
        <v>47121</v>
      </c>
      <c r="K13671" t="s">
        <v>47113</v>
      </c>
      <c r="L13671">
        <v>24.54</v>
      </c>
      <c r="M13671">
        <v>57</v>
      </c>
      <c r="N13671">
        <v>0</v>
      </c>
      <c r="O13671">
        <v>57</v>
      </c>
      <c r="P13671">
        <v>0</v>
      </c>
    </row>
    <row r="13672" spans="1:16" x14ac:dyDescent="0.25">
      <c r="A13672" t="s">
        <v>36481</v>
      </c>
      <c r="B13672" t="s">
        <v>9654</v>
      </c>
      <c r="C13672" t="s">
        <v>9655</v>
      </c>
      <c r="D13672" t="str">
        <f>"6413"</f>
        <v>6413</v>
      </c>
      <c r="E13672" t="s">
        <v>9600</v>
      </c>
      <c r="F13672" t="s">
        <v>2068</v>
      </c>
      <c r="G13672" t="s">
        <v>47081</v>
      </c>
      <c r="H13672" t="s">
        <v>47071</v>
      </c>
      <c r="I13672" t="s">
        <v>47120</v>
      </c>
      <c r="J13672" t="s">
        <v>47121</v>
      </c>
      <c r="K13672" t="s">
        <v>47113</v>
      </c>
      <c r="L13672">
        <v>24.54</v>
      </c>
      <c r="M13672">
        <v>57</v>
      </c>
      <c r="N13672">
        <v>0</v>
      </c>
      <c r="O13672">
        <v>57</v>
      </c>
      <c r="P13672">
        <v>0</v>
      </c>
    </row>
    <row r="13673" spans="1:16" x14ac:dyDescent="0.25">
      <c r="A13673" t="s">
        <v>36482</v>
      </c>
      <c r="B13673" t="s">
        <v>9656</v>
      </c>
      <c r="C13673" t="s">
        <v>9460</v>
      </c>
      <c r="D13673" t="s">
        <v>9474</v>
      </c>
      <c r="E13673" t="s">
        <v>9475</v>
      </c>
      <c r="F13673" t="s">
        <v>2068</v>
      </c>
      <c r="G13673" t="s">
        <v>47081</v>
      </c>
      <c r="H13673" t="s">
        <v>47071</v>
      </c>
      <c r="I13673" t="s">
        <v>47120</v>
      </c>
      <c r="J13673" t="s">
        <v>47121</v>
      </c>
      <c r="K13673" t="s">
        <v>47113</v>
      </c>
      <c r="L13673">
        <v>24.54</v>
      </c>
      <c r="M13673">
        <v>57</v>
      </c>
      <c r="N13673">
        <v>0</v>
      </c>
      <c r="O13673">
        <v>57</v>
      </c>
      <c r="P13673">
        <v>0</v>
      </c>
    </row>
    <row r="13674" spans="1:16" x14ac:dyDescent="0.25">
      <c r="A13674" t="s">
        <v>36483</v>
      </c>
      <c r="B13674" t="s">
        <v>9656</v>
      </c>
      <c r="C13674" t="s">
        <v>9460</v>
      </c>
      <c r="D13674" t="s">
        <v>9579</v>
      </c>
      <c r="E13674" t="s">
        <v>9580</v>
      </c>
      <c r="F13674" t="s">
        <v>2068</v>
      </c>
      <c r="G13674" t="s">
        <v>47081</v>
      </c>
      <c r="H13674" t="s">
        <v>47071</v>
      </c>
      <c r="I13674" t="s">
        <v>47120</v>
      </c>
      <c r="J13674" t="s">
        <v>47121</v>
      </c>
      <c r="K13674" t="s">
        <v>47113</v>
      </c>
      <c r="L13674">
        <v>24.54</v>
      </c>
      <c r="M13674">
        <v>57</v>
      </c>
      <c r="N13674">
        <v>0</v>
      </c>
      <c r="O13674">
        <v>57</v>
      </c>
      <c r="P13674">
        <v>0</v>
      </c>
    </row>
    <row r="13675" spans="1:16" x14ac:dyDescent="0.25">
      <c r="A13675" t="s">
        <v>36484</v>
      </c>
      <c r="B13675" t="s">
        <v>9656</v>
      </c>
      <c r="C13675" t="s">
        <v>9460</v>
      </c>
      <c r="D13675" t="s">
        <v>9476</v>
      </c>
      <c r="E13675" t="s">
        <v>9477</v>
      </c>
      <c r="F13675" t="s">
        <v>2068</v>
      </c>
      <c r="G13675" t="s">
        <v>47081</v>
      </c>
      <c r="H13675" t="s">
        <v>47071</v>
      </c>
      <c r="I13675" t="s">
        <v>47120</v>
      </c>
      <c r="J13675" t="s">
        <v>47121</v>
      </c>
      <c r="K13675" t="s">
        <v>47113</v>
      </c>
      <c r="L13675">
        <v>24.54</v>
      </c>
      <c r="M13675">
        <v>57</v>
      </c>
      <c r="N13675">
        <v>0</v>
      </c>
      <c r="O13675">
        <v>57</v>
      </c>
      <c r="P13675">
        <v>0</v>
      </c>
    </row>
    <row r="13676" spans="1:16" x14ac:dyDescent="0.25">
      <c r="A13676" t="s">
        <v>36485</v>
      </c>
      <c r="B13676" t="s">
        <v>9657</v>
      </c>
      <c r="C13676" t="s">
        <v>9479</v>
      </c>
      <c r="D13676" t="s">
        <v>9480</v>
      </c>
      <c r="E13676" t="s">
        <v>9481</v>
      </c>
      <c r="F13676" t="s">
        <v>2068</v>
      </c>
      <c r="G13676" t="s">
        <v>47081</v>
      </c>
      <c r="H13676" t="s">
        <v>47071</v>
      </c>
      <c r="I13676" t="s">
        <v>47120</v>
      </c>
      <c r="J13676" t="s">
        <v>47121</v>
      </c>
      <c r="K13676" t="s">
        <v>47113</v>
      </c>
      <c r="L13676">
        <v>45.79</v>
      </c>
      <c r="M13676">
        <v>106</v>
      </c>
      <c r="N13676">
        <v>0</v>
      </c>
      <c r="O13676">
        <v>106</v>
      </c>
      <c r="P13676">
        <v>0</v>
      </c>
    </row>
    <row r="13677" spans="1:16" x14ac:dyDescent="0.25">
      <c r="A13677" t="s">
        <v>36486</v>
      </c>
      <c r="B13677" t="s">
        <v>9658</v>
      </c>
      <c r="C13677" t="s">
        <v>9483</v>
      </c>
      <c r="D13677" t="str">
        <f>"2054"</f>
        <v>2054</v>
      </c>
      <c r="E13677" t="s">
        <v>7762</v>
      </c>
      <c r="F13677" t="s">
        <v>2068</v>
      </c>
      <c r="G13677" t="s">
        <v>47149</v>
      </c>
      <c r="H13677" t="s">
        <v>47071</v>
      </c>
      <c r="I13677" t="s">
        <v>47118</v>
      </c>
      <c r="J13677" t="s">
        <v>47119</v>
      </c>
      <c r="K13677" t="s">
        <v>47113</v>
      </c>
      <c r="L13677">
        <v>24.54</v>
      </c>
      <c r="M13677">
        <v>57</v>
      </c>
      <c r="N13677">
        <v>0</v>
      </c>
      <c r="O13677">
        <v>57</v>
      </c>
      <c r="P13677">
        <v>0</v>
      </c>
    </row>
    <row r="13678" spans="1:16" x14ac:dyDescent="0.25">
      <c r="A13678" t="s">
        <v>36487</v>
      </c>
      <c r="B13678" t="s">
        <v>9659</v>
      </c>
      <c r="C13678" t="s">
        <v>9485</v>
      </c>
      <c r="D13678" t="str">
        <f>"1001"</f>
        <v>1001</v>
      </c>
      <c r="E13678" t="s">
        <v>42</v>
      </c>
      <c r="F13678" t="s">
        <v>2068</v>
      </c>
      <c r="G13678" t="s">
        <v>47087</v>
      </c>
      <c r="H13678" t="s">
        <v>47071</v>
      </c>
      <c r="I13678" t="s">
        <v>47118</v>
      </c>
      <c r="J13678" t="s">
        <v>47119</v>
      </c>
      <c r="K13678" t="s">
        <v>47113</v>
      </c>
      <c r="L13678">
        <v>12.41</v>
      </c>
      <c r="M13678">
        <v>29</v>
      </c>
      <c r="N13678">
        <v>0</v>
      </c>
      <c r="O13678">
        <v>29</v>
      </c>
      <c r="P13678">
        <v>0</v>
      </c>
    </row>
    <row r="13679" spans="1:16" x14ac:dyDescent="0.25">
      <c r="A13679" t="s">
        <v>36488</v>
      </c>
      <c r="B13679" t="s">
        <v>9660</v>
      </c>
      <c r="C13679" t="s">
        <v>9485</v>
      </c>
      <c r="D13679" t="str">
        <f>"6413"</f>
        <v>6413</v>
      </c>
      <c r="E13679" t="s">
        <v>9487</v>
      </c>
      <c r="F13679" t="s">
        <v>3750</v>
      </c>
      <c r="G13679" t="s">
        <v>47087</v>
      </c>
      <c r="H13679" t="s">
        <v>47071</v>
      </c>
      <c r="I13679" t="s">
        <v>47118</v>
      </c>
      <c r="J13679" t="s">
        <v>47119</v>
      </c>
      <c r="K13679" t="s">
        <v>47113</v>
      </c>
      <c r="L13679">
        <v>12.41</v>
      </c>
      <c r="M13679">
        <v>29</v>
      </c>
      <c r="N13679">
        <v>0</v>
      </c>
      <c r="O13679">
        <v>29</v>
      </c>
      <c r="P13679">
        <v>0</v>
      </c>
    </row>
    <row r="13680" spans="1:16" x14ac:dyDescent="0.25">
      <c r="A13680" t="s">
        <v>36489</v>
      </c>
      <c r="B13680" t="s">
        <v>9661</v>
      </c>
      <c r="C13680" t="s">
        <v>9485</v>
      </c>
      <c r="D13680" t="str">
        <f>"2707"</f>
        <v>2707</v>
      </c>
      <c r="E13680" t="s">
        <v>3019</v>
      </c>
      <c r="F13680" t="s">
        <v>2068</v>
      </c>
      <c r="G13680" t="s">
        <v>47087</v>
      </c>
      <c r="H13680" t="s">
        <v>47071</v>
      </c>
      <c r="I13680" t="s">
        <v>47118</v>
      </c>
      <c r="J13680" t="s">
        <v>47119</v>
      </c>
      <c r="K13680" t="s">
        <v>47113</v>
      </c>
      <c r="L13680">
        <v>12.41</v>
      </c>
      <c r="M13680">
        <v>29</v>
      </c>
      <c r="N13680">
        <v>0</v>
      </c>
      <c r="O13680">
        <v>29</v>
      </c>
      <c r="P13680">
        <v>0</v>
      </c>
    </row>
    <row r="13681" spans="1:16" x14ac:dyDescent="0.25">
      <c r="A13681" t="s">
        <v>36490</v>
      </c>
      <c r="B13681" t="s">
        <v>9662</v>
      </c>
      <c r="C13681" t="s">
        <v>9490</v>
      </c>
      <c r="D13681" t="str">
        <f>"1501"</f>
        <v>1501</v>
      </c>
      <c r="E13681" t="s">
        <v>46</v>
      </c>
      <c r="F13681" t="s">
        <v>2068</v>
      </c>
      <c r="G13681" t="s">
        <v>47152</v>
      </c>
      <c r="H13681" t="s">
        <v>47071</v>
      </c>
      <c r="I13681" t="s">
        <v>47118</v>
      </c>
      <c r="J13681" t="s">
        <v>47119</v>
      </c>
      <c r="K13681" t="s">
        <v>47113</v>
      </c>
      <c r="L13681">
        <v>13.51</v>
      </c>
      <c r="M13681">
        <v>31</v>
      </c>
      <c r="N13681">
        <v>0</v>
      </c>
      <c r="O13681">
        <v>31</v>
      </c>
      <c r="P13681">
        <v>0</v>
      </c>
    </row>
    <row r="13682" spans="1:16" x14ac:dyDescent="0.25">
      <c r="A13682" t="s">
        <v>36491</v>
      </c>
      <c r="B13682" t="s">
        <v>9662</v>
      </c>
      <c r="C13682" t="s">
        <v>9490</v>
      </c>
      <c r="D13682" t="str">
        <f>"2707"</f>
        <v>2707</v>
      </c>
      <c r="E13682" t="s">
        <v>3019</v>
      </c>
      <c r="F13682" t="s">
        <v>2068</v>
      </c>
      <c r="G13682" t="s">
        <v>47152</v>
      </c>
      <c r="H13682" t="s">
        <v>47071</v>
      </c>
      <c r="I13682" t="s">
        <v>47118</v>
      </c>
      <c r="J13682" t="s">
        <v>47119</v>
      </c>
      <c r="K13682" t="s">
        <v>47113</v>
      </c>
      <c r="L13682">
        <v>13.51</v>
      </c>
      <c r="M13682">
        <v>31</v>
      </c>
      <c r="N13682">
        <v>0</v>
      </c>
      <c r="O13682">
        <v>31</v>
      </c>
      <c r="P13682">
        <v>0</v>
      </c>
    </row>
    <row r="13683" spans="1:16" x14ac:dyDescent="0.25">
      <c r="A13683" t="s">
        <v>36492</v>
      </c>
      <c r="B13683" t="s">
        <v>9663</v>
      </c>
      <c r="C13683" t="s">
        <v>9485</v>
      </c>
      <c r="D13683" t="str">
        <f>"1800"</f>
        <v>1800</v>
      </c>
      <c r="E13683" t="s">
        <v>1999</v>
      </c>
      <c r="F13683" t="s">
        <v>2068</v>
      </c>
      <c r="G13683" t="s">
        <v>47087</v>
      </c>
      <c r="H13683" t="s">
        <v>47071</v>
      </c>
      <c r="I13683" t="s">
        <v>47118</v>
      </c>
      <c r="J13683" t="s">
        <v>47119</v>
      </c>
      <c r="K13683" t="s">
        <v>47113</v>
      </c>
      <c r="L13683">
        <v>12.41</v>
      </c>
      <c r="M13683">
        <v>29</v>
      </c>
      <c r="N13683">
        <v>0</v>
      </c>
      <c r="O13683">
        <v>29</v>
      </c>
      <c r="P13683">
        <v>0</v>
      </c>
    </row>
    <row r="13684" spans="1:16" x14ac:dyDescent="0.25">
      <c r="A13684" t="s">
        <v>36493</v>
      </c>
      <c r="B13684" t="s">
        <v>9664</v>
      </c>
      <c r="C13684" t="s">
        <v>9493</v>
      </c>
      <c r="D13684" t="str">
        <f>"6202"</f>
        <v>6202</v>
      </c>
      <c r="E13684" t="s">
        <v>814</v>
      </c>
      <c r="F13684" t="s">
        <v>2068</v>
      </c>
      <c r="G13684" t="s">
        <v>47087</v>
      </c>
      <c r="H13684" t="s">
        <v>47071</v>
      </c>
      <c r="I13684" t="s">
        <v>47118</v>
      </c>
      <c r="J13684" t="s">
        <v>47119</v>
      </c>
      <c r="K13684" t="s">
        <v>47113</v>
      </c>
      <c r="L13684">
        <v>12.41</v>
      </c>
      <c r="M13684">
        <v>29</v>
      </c>
      <c r="N13684">
        <v>0</v>
      </c>
      <c r="O13684">
        <v>29</v>
      </c>
      <c r="P13684">
        <v>0</v>
      </c>
    </row>
    <row r="13685" spans="1:16" x14ac:dyDescent="0.25">
      <c r="A13685" t="s">
        <v>47008</v>
      </c>
      <c r="B13685" t="s">
        <v>46872</v>
      </c>
      <c r="C13685" t="s">
        <v>46873</v>
      </c>
      <c r="D13685" t="s">
        <v>238</v>
      </c>
      <c r="E13685" t="s">
        <v>238</v>
      </c>
      <c r="F13685" t="s">
        <v>3750</v>
      </c>
      <c r="G13685" t="s">
        <v>47073</v>
      </c>
      <c r="H13685" t="s">
        <v>47071</v>
      </c>
      <c r="I13685" t="s">
        <v>47120</v>
      </c>
      <c r="J13685" t="s">
        <v>47121</v>
      </c>
      <c r="K13685" t="s">
        <v>47113</v>
      </c>
      <c r="L13685">
        <v>7.82</v>
      </c>
      <c r="M13685">
        <v>29</v>
      </c>
      <c r="N13685">
        <v>79</v>
      </c>
      <c r="O13685">
        <v>29</v>
      </c>
      <c r="P13685">
        <v>79</v>
      </c>
    </row>
    <row r="13686" spans="1:16" x14ac:dyDescent="0.25">
      <c r="A13686" t="s">
        <v>36494</v>
      </c>
      <c r="B13686" t="s">
        <v>18094</v>
      </c>
      <c r="C13686" t="s">
        <v>18087</v>
      </c>
      <c r="D13686" t="s">
        <v>18095</v>
      </c>
      <c r="E13686" t="s">
        <v>18096</v>
      </c>
      <c r="F13686" t="s">
        <v>15183</v>
      </c>
      <c r="G13686" t="s">
        <v>47073</v>
      </c>
      <c r="H13686" t="s">
        <v>47071</v>
      </c>
      <c r="I13686" t="s">
        <v>47120</v>
      </c>
      <c r="J13686" t="s">
        <v>47121</v>
      </c>
      <c r="K13686" t="s">
        <v>47113</v>
      </c>
      <c r="L13686">
        <v>9.3800000000000008</v>
      </c>
      <c r="M13686">
        <v>16</v>
      </c>
      <c r="N13686">
        <v>0</v>
      </c>
      <c r="O13686">
        <v>16</v>
      </c>
      <c r="P13686">
        <v>0</v>
      </c>
    </row>
    <row r="13687" spans="1:16" x14ac:dyDescent="0.25">
      <c r="A13687" t="s">
        <v>36495</v>
      </c>
      <c r="B13687" t="s">
        <v>18094</v>
      </c>
      <c r="C13687" t="s">
        <v>18087</v>
      </c>
      <c r="D13687" t="s">
        <v>14429</v>
      </c>
      <c r="E13687" t="s">
        <v>60</v>
      </c>
      <c r="F13687" t="s">
        <v>15183</v>
      </c>
      <c r="G13687" t="s">
        <v>47073</v>
      </c>
      <c r="H13687" t="s">
        <v>47071</v>
      </c>
      <c r="I13687" t="s">
        <v>47120</v>
      </c>
      <c r="J13687" t="s">
        <v>47121</v>
      </c>
      <c r="K13687" t="s">
        <v>47113</v>
      </c>
      <c r="L13687">
        <v>9.3800000000000008</v>
      </c>
      <c r="M13687">
        <v>16</v>
      </c>
      <c r="N13687">
        <v>0</v>
      </c>
      <c r="O13687">
        <v>16</v>
      </c>
      <c r="P13687">
        <v>0</v>
      </c>
    </row>
    <row r="13688" spans="1:16" x14ac:dyDescent="0.25">
      <c r="A13688" t="s">
        <v>36496</v>
      </c>
      <c r="B13688" t="s">
        <v>36497</v>
      </c>
      <c r="C13688" t="s">
        <v>18087</v>
      </c>
      <c r="D13688" t="s">
        <v>15740</v>
      </c>
      <c r="E13688" t="s">
        <v>42</v>
      </c>
      <c r="F13688" t="s">
        <v>24019</v>
      </c>
      <c r="G13688" t="s">
        <v>47073</v>
      </c>
      <c r="H13688" t="s">
        <v>47071</v>
      </c>
      <c r="I13688" t="s">
        <v>47120</v>
      </c>
      <c r="J13688" t="s">
        <v>47121</v>
      </c>
      <c r="K13688" t="s">
        <v>47113</v>
      </c>
      <c r="L13688">
        <v>10.74</v>
      </c>
      <c r="M13688">
        <v>20</v>
      </c>
      <c r="N13688">
        <v>0</v>
      </c>
      <c r="O13688">
        <v>20</v>
      </c>
      <c r="P13688">
        <v>0</v>
      </c>
    </row>
    <row r="13689" spans="1:16" x14ac:dyDescent="0.25">
      <c r="A13689" t="s">
        <v>36498</v>
      </c>
      <c r="B13689" t="s">
        <v>36497</v>
      </c>
      <c r="C13689" t="s">
        <v>18087</v>
      </c>
      <c r="D13689" t="s">
        <v>15692</v>
      </c>
      <c r="E13689" t="s">
        <v>46</v>
      </c>
      <c r="F13689" t="s">
        <v>24019</v>
      </c>
      <c r="G13689" t="s">
        <v>47073</v>
      </c>
      <c r="H13689" t="s">
        <v>47071</v>
      </c>
      <c r="I13689" t="s">
        <v>47120</v>
      </c>
      <c r="J13689" t="s">
        <v>47121</v>
      </c>
      <c r="K13689" t="s">
        <v>47113</v>
      </c>
      <c r="L13689">
        <v>10.74</v>
      </c>
      <c r="M13689">
        <v>20</v>
      </c>
      <c r="N13689">
        <v>0</v>
      </c>
      <c r="O13689">
        <v>20</v>
      </c>
      <c r="P13689">
        <v>0</v>
      </c>
    </row>
    <row r="13690" spans="1:16" x14ac:dyDescent="0.25">
      <c r="A13690" t="s">
        <v>36499</v>
      </c>
      <c r="B13690" t="s">
        <v>36497</v>
      </c>
      <c r="C13690" t="s">
        <v>18087</v>
      </c>
      <c r="D13690" t="s">
        <v>15752</v>
      </c>
      <c r="E13690" t="s">
        <v>15753</v>
      </c>
      <c r="F13690" t="s">
        <v>24019</v>
      </c>
      <c r="G13690" t="s">
        <v>47073</v>
      </c>
      <c r="H13690" t="s">
        <v>47071</v>
      </c>
      <c r="I13690" t="s">
        <v>47120</v>
      </c>
      <c r="J13690" t="s">
        <v>47121</v>
      </c>
      <c r="K13690" t="s">
        <v>47113</v>
      </c>
      <c r="L13690">
        <v>10.74</v>
      </c>
      <c r="M13690">
        <v>20</v>
      </c>
      <c r="N13690">
        <v>0</v>
      </c>
      <c r="O13690">
        <v>20</v>
      </c>
      <c r="P13690">
        <v>0</v>
      </c>
    </row>
    <row r="13691" spans="1:16" x14ac:dyDescent="0.25">
      <c r="A13691" t="s">
        <v>36500</v>
      </c>
      <c r="B13691" t="s">
        <v>36497</v>
      </c>
      <c r="C13691" t="s">
        <v>18087</v>
      </c>
      <c r="D13691" t="s">
        <v>238</v>
      </c>
      <c r="E13691" t="s">
        <v>238</v>
      </c>
      <c r="F13691" t="s">
        <v>24019</v>
      </c>
      <c r="G13691" t="s">
        <v>47073</v>
      </c>
      <c r="H13691" t="s">
        <v>47071</v>
      </c>
      <c r="I13691" t="s">
        <v>47120</v>
      </c>
      <c r="J13691" t="s">
        <v>47121</v>
      </c>
      <c r="K13691" t="s">
        <v>47113</v>
      </c>
      <c r="L13691">
        <v>10.74</v>
      </c>
      <c r="M13691">
        <v>20</v>
      </c>
      <c r="N13691">
        <v>0</v>
      </c>
      <c r="O13691">
        <v>20</v>
      </c>
      <c r="P13691">
        <v>0</v>
      </c>
    </row>
    <row r="13692" spans="1:16" x14ac:dyDescent="0.25">
      <c r="A13692" t="s">
        <v>36501</v>
      </c>
      <c r="B13692" t="s">
        <v>36497</v>
      </c>
      <c r="C13692" t="s">
        <v>18087</v>
      </c>
      <c r="D13692" t="s">
        <v>15651</v>
      </c>
      <c r="E13692" t="s">
        <v>15652</v>
      </c>
      <c r="F13692" t="s">
        <v>24019</v>
      </c>
      <c r="G13692" t="s">
        <v>47073</v>
      </c>
      <c r="H13692" t="s">
        <v>47071</v>
      </c>
      <c r="I13692" t="s">
        <v>47120</v>
      </c>
      <c r="J13692" t="s">
        <v>47121</v>
      </c>
      <c r="K13692" t="s">
        <v>47113</v>
      </c>
      <c r="L13692">
        <v>10.74</v>
      </c>
      <c r="M13692">
        <v>20</v>
      </c>
      <c r="N13692">
        <v>0</v>
      </c>
      <c r="O13692">
        <v>20</v>
      </c>
      <c r="P13692">
        <v>0</v>
      </c>
    </row>
    <row r="13693" spans="1:16" x14ac:dyDescent="0.25">
      <c r="A13693" t="s">
        <v>36502</v>
      </c>
      <c r="B13693" t="s">
        <v>18097</v>
      </c>
      <c r="C13693" t="s">
        <v>18098</v>
      </c>
      <c r="D13693" t="s">
        <v>18099</v>
      </c>
      <c r="E13693" t="s">
        <v>18100</v>
      </c>
      <c r="F13693" t="s">
        <v>16601</v>
      </c>
      <c r="G13693" t="s">
        <v>47075</v>
      </c>
      <c r="H13693" t="s">
        <v>47071</v>
      </c>
      <c r="I13693" t="s">
        <v>47120</v>
      </c>
      <c r="J13693" t="s">
        <v>47121</v>
      </c>
      <c r="K13693" t="s">
        <v>47113</v>
      </c>
      <c r="L13693">
        <v>24.68</v>
      </c>
      <c r="M13693">
        <v>29</v>
      </c>
      <c r="N13693">
        <v>0</v>
      </c>
      <c r="O13693">
        <v>29</v>
      </c>
      <c r="P13693">
        <v>0</v>
      </c>
    </row>
    <row r="13694" spans="1:16" x14ac:dyDescent="0.25">
      <c r="A13694" t="s">
        <v>36503</v>
      </c>
      <c r="B13694" t="s">
        <v>18101</v>
      </c>
      <c r="C13694" t="s">
        <v>18102</v>
      </c>
      <c r="D13694" t="s">
        <v>18103</v>
      </c>
      <c r="E13694" t="s">
        <v>18104</v>
      </c>
      <c r="F13694" t="s">
        <v>16601</v>
      </c>
      <c r="G13694" t="s">
        <v>47076</v>
      </c>
      <c r="H13694" t="s">
        <v>47071</v>
      </c>
      <c r="I13694" t="s">
        <v>47120</v>
      </c>
      <c r="J13694" t="s">
        <v>47121</v>
      </c>
      <c r="K13694" t="s">
        <v>47113</v>
      </c>
      <c r="L13694">
        <v>37.18</v>
      </c>
      <c r="M13694">
        <v>48</v>
      </c>
      <c r="N13694">
        <v>0</v>
      </c>
      <c r="O13694">
        <v>48</v>
      </c>
      <c r="P13694">
        <v>0</v>
      </c>
    </row>
    <row r="13695" spans="1:16" x14ac:dyDescent="0.25">
      <c r="A13695" t="s">
        <v>36504</v>
      </c>
      <c r="B13695" t="s">
        <v>18105</v>
      </c>
      <c r="C13695" t="s">
        <v>18106</v>
      </c>
      <c r="D13695" t="s">
        <v>18107</v>
      </c>
      <c r="E13695" t="s">
        <v>18108</v>
      </c>
      <c r="F13695" t="s">
        <v>16601</v>
      </c>
      <c r="G13695" t="s">
        <v>47076</v>
      </c>
      <c r="H13695" t="s">
        <v>47071</v>
      </c>
      <c r="I13695" t="s">
        <v>47116</v>
      </c>
      <c r="J13695" t="s">
        <v>47117</v>
      </c>
      <c r="K13695" t="s">
        <v>47113</v>
      </c>
      <c r="L13695">
        <v>34.049999999999997</v>
      </c>
      <c r="M13695">
        <v>46</v>
      </c>
      <c r="N13695">
        <v>0</v>
      </c>
      <c r="O13695">
        <v>46</v>
      </c>
      <c r="P13695">
        <v>0</v>
      </c>
    </row>
    <row r="13696" spans="1:16" x14ac:dyDescent="0.25">
      <c r="A13696" t="s">
        <v>36505</v>
      </c>
      <c r="B13696" t="s">
        <v>18109</v>
      </c>
      <c r="C13696" t="s">
        <v>18110</v>
      </c>
      <c r="D13696" t="s">
        <v>18111</v>
      </c>
      <c r="E13696" t="s">
        <v>18112</v>
      </c>
      <c r="F13696" t="s">
        <v>16601</v>
      </c>
      <c r="G13696" t="s">
        <v>47075</v>
      </c>
      <c r="H13696" t="s">
        <v>47071</v>
      </c>
      <c r="I13696" t="s">
        <v>47116</v>
      </c>
      <c r="J13696" t="s">
        <v>47117</v>
      </c>
      <c r="K13696" t="s">
        <v>47113</v>
      </c>
      <c r="L13696">
        <v>30.93</v>
      </c>
      <c r="M13696">
        <v>37</v>
      </c>
      <c r="N13696">
        <v>0</v>
      </c>
      <c r="O13696">
        <v>37</v>
      </c>
      <c r="P13696">
        <v>0</v>
      </c>
    </row>
    <row r="13697" spans="1:16" x14ac:dyDescent="0.25">
      <c r="A13697" t="s">
        <v>36506</v>
      </c>
      <c r="B13697" t="s">
        <v>18113</v>
      </c>
      <c r="C13697" t="s">
        <v>18114</v>
      </c>
      <c r="D13697" t="s">
        <v>15740</v>
      </c>
      <c r="E13697" t="s">
        <v>42</v>
      </c>
      <c r="F13697" t="s">
        <v>16601</v>
      </c>
      <c r="G13697" t="s">
        <v>47072</v>
      </c>
      <c r="H13697" t="s">
        <v>47071</v>
      </c>
      <c r="I13697" t="s">
        <v>47116</v>
      </c>
      <c r="J13697" t="s">
        <v>47117</v>
      </c>
      <c r="K13697" t="s">
        <v>47113</v>
      </c>
      <c r="L13697">
        <v>40.299999999999997</v>
      </c>
      <c r="M13697">
        <v>48</v>
      </c>
      <c r="N13697">
        <v>0</v>
      </c>
      <c r="O13697">
        <v>48</v>
      </c>
      <c r="P13697">
        <v>0</v>
      </c>
    </row>
    <row r="13698" spans="1:16" x14ac:dyDescent="0.25">
      <c r="A13698" t="s">
        <v>36507</v>
      </c>
      <c r="B13698" t="s">
        <v>18115</v>
      </c>
      <c r="C13698" t="s">
        <v>18116</v>
      </c>
      <c r="D13698" t="s">
        <v>18099</v>
      </c>
      <c r="E13698" t="s">
        <v>18100</v>
      </c>
      <c r="F13698" t="s">
        <v>16601</v>
      </c>
      <c r="G13698" t="s">
        <v>47072</v>
      </c>
      <c r="H13698" t="s">
        <v>47071</v>
      </c>
      <c r="I13698" t="s">
        <v>47116</v>
      </c>
      <c r="J13698" t="s">
        <v>47117</v>
      </c>
      <c r="K13698" t="s">
        <v>47113</v>
      </c>
      <c r="L13698">
        <v>27.8</v>
      </c>
      <c r="M13698">
        <v>33</v>
      </c>
      <c r="N13698">
        <v>0</v>
      </c>
      <c r="O13698">
        <v>33</v>
      </c>
      <c r="P13698">
        <v>0</v>
      </c>
    </row>
    <row r="13699" spans="1:16" x14ac:dyDescent="0.25">
      <c r="A13699" t="s">
        <v>36508</v>
      </c>
      <c r="B13699" t="s">
        <v>18117</v>
      </c>
      <c r="C13699" t="s">
        <v>18118</v>
      </c>
      <c r="D13699" t="s">
        <v>18119</v>
      </c>
      <c r="E13699" t="s">
        <v>18120</v>
      </c>
      <c r="F13699" t="s">
        <v>16601</v>
      </c>
      <c r="G13699" t="s">
        <v>47072</v>
      </c>
      <c r="H13699" t="s">
        <v>47071</v>
      </c>
      <c r="I13699" t="s">
        <v>47116</v>
      </c>
      <c r="J13699" t="s">
        <v>47117</v>
      </c>
      <c r="K13699" t="s">
        <v>47113</v>
      </c>
      <c r="L13699">
        <v>40.299999999999997</v>
      </c>
      <c r="M13699">
        <v>48</v>
      </c>
      <c r="N13699">
        <v>0</v>
      </c>
      <c r="O13699">
        <v>48</v>
      </c>
      <c r="P13699">
        <v>0</v>
      </c>
    </row>
    <row r="13700" spans="1:16" x14ac:dyDescent="0.25">
      <c r="A13700" t="s">
        <v>36509</v>
      </c>
      <c r="B13700" t="s">
        <v>18121</v>
      </c>
      <c r="C13700" t="s">
        <v>18122</v>
      </c>
      <c r="D13700" t="s">
        <v>18123</v>
      </c>
      <c r="E13700" t="s">
        <v>18124</v>
      </c>
      <c r="F13700" t="s">
        <v>16601</v>
      </c>
      <c r="G13700" t="s">
        <v>47072</v>
      </c>
      <c r="H13700" t="s">
        <v>47071</v>
      </c>
      <c r="I13700" t="s">
        <v>47116</v>
      </c>
      <c r="J13700" t="s">
        <v>47117</v>
      </c>
      <c r="K13700" t="s">
        <v>47113</v>
      </c>
      <c r="L13700">
        <v>27.8</v>
      </c>
      <c r="M13700">
        <v>33</v>
      </c>
      <c r="N13700">
        <v>0</v>
      </c>
      <c r="O13700">
        <v>33</v>
      </c>
      <c r="P13700">
        <v>0</v>
      </c>
    </row>
    <row r="13701" spans="1:16" x14ac:dyDescent="0.25">
      <c r="A13701" t="s">
        <v>36510</v>
      </c>
      <c r="B13701" t="s">
        <v>18125</v>
      </c>
      <c r="C13701" t="s">
        <v>18126</v>
      </c>
      <c r="D13701" t="s">
        <v>18127</v>
      </c>
      <c r="E13701" t="s">
        <v>18128</v>
      </c>
      <c r="F13701" t="s">
        <v>16601</v>
      </c>
      <c r="G13701" t="s">
        <v>47072</v>
      </c>
      <c r="H13701" t="s">
        <v>47071</v>
      </c>
      <c r="I13701" t="s">
        <v>47116</v>
      </c>
      <c r="J13701" t="s">
        <v>47117</v>
      </c>
      <c r="K13701" t="s">
        <v>47113</v>
      </c>
      <c r="L13701">
        <v>27.8</v>
      </c>
      <c r="M13701">
        <v>33</v>
      </c>
      <c r="N13701">
        <v>0</v>
      </c>
      <c r="O13701">
        <v>33</v>
      </c>
      <c r="P13701">
        <v>0</v>
      </c>
    </row>
    <row r="13702" spans="1:16" x14ac:dyDescent="0.25">
      <c r="A13702" t="s">
        <v>36511</v>
      </c>
      <c r="B13702" t="s">
        <v>18129</v>
      </c>
      <c r="C13702" t="s">
        <v>18130</v>
      </c>
      <c r="D13702" t="s">
        <v>18131</v>
      </c>
      <c r="E13702" t="s">
        <v>18132</v>
      </c>
      <c r="F13702" t="s">
        <v>16601</v>
      </c>
      <c r="G13702" t="s">
        <v>47072</v>
      </c>
      <c r="H13702" t="s">
        <v>47071</v>
      </c>
      <c r="I13702" t="s">
        <v>47120</v>
      </c>
      <c r="J13702" t="s">
        <v>47121</v>
      </c>
      <c r="K13702" t="s">
        <v>47113</v>
      </c>
      <c r="L13702">
        <v>27.8</v>
      </c>
      <c r="M13702">
        <v>33</v>
      </c>
      <c r="N13702">
        <v>0</v>
      </c>
      <c r="O13702">
        <v>33</v>
      </c>
      <c r="P13702">
        <v>0</v>
      </c>
    </row>
    <row r="13703" spans="1:16" x14ac:dyDescent="0.25">
      <c r="A13703" t="s">
        <v>36512</v>
      </c>
      <c r="B13703" t="s">
        <v>18133</v>
      </c>
      <c r="C13703" t="s">
        <v>18134</v>
      </c>
      <c r="D13703" t="s">
        <v>18135</v>
      </c>
      <c r="E13703" t="s">
        <v>18136</v>
      </c>
      <c r="F13703" t="s">
        <v>16601</v>
      </c>
      <c r="G13703" t="s">
        <v>47072</v>
      </c>
      <c r="H13703" t="s">
        <v>47071</v>
      </c>
      <c r="I13703" t="s">
        <v>47116</v>
      </c>
      <c r="J13703" t="s">
        <v>47117</v>
      </c>
      <c r="K13703" t="s">
        <v>47113</v>
      </c>
      <c r="L13703">
        <v>40.299999999999997</v>
      </c>
      <c r="M13703">
        <v>48</v>
      </c>
      <c r="N13703">
        <v>0</v>
      </c>
      <c r="O13703">
        <v>48</v>
      </c>
      <c r="P13703">
        <v>0</v>
      </c>
    </row>
    <row r="13704" spans="1:16" x14ac:dyDescent="0.25">
      <c r="A13704" t="s">
        <v>36513</v>
      </c>
      <c r="B13704" t="s">
        <v>18137</v>
      </c>
      <c r="C13704" t="s">
        <v>18122</v>
      </c>
      <c r="D13704" t="s">
        <v>18138</v>
      </c>
      <c r="E13704" t="s">
        <v>18139</v>
      </c>
      <c r="F13704" t="s">
        <v>16601</v>
      </c>
      <c r="G13704" t="s">
        <v>47072</v>
      </c>
      <c r="H13704" t="s">
        <v>47071</v>
      </c>
      <c r="I13704" t="s">
        <v>47116</v>
      </c>
      <c r="J13704" t="s">
        <v>47117</v>
      </c>
      <c r="K13704" t="s">
        <v>47113</v>
      </c>
      <c r="L13704">
        <v>24.68</v>
      </c>
      <c r="M13704">
        <v>29</v>
      </c>
      <c r="N13704">
        <v>0</v>
      </c>
      <c r="O13704">
        <v>29</v>
      </c>
      <c r="P13704">
        <v>0</v>
      </c>
    </row>
    <row r="13705" spans="1:16" x14ac:dyDescent="0.25">
      <c r="A13705" t="s">
        <v>36514</v>
      </c>
      <c r="B13705" t="s">
        <v>18140</v>
      </c>
      <c r="C13705" t="s">
        <v>18141</v>
      </c>
      <c r="D13705" t="s">
        <v>18103</v>
      </c>
      <c r="E13705" t="s">
        <v>18104</v>
      </c>
      <c r="F13705" t="s">
        <v>16601</v>
      </c>
      <c r="G13705" t="s">
        <v>47072</v>
      </c>
      <c r="H13705" t="s">
        <v>47071</v>
      </c>
      <c r="I13705" t="s">
        <v>47116</v>
      </c>
      <c r="J13705" t="s">
        <v>47117</v>
      </c>
      <c r="K13705" t="s">
        <v>47113</v>
      </c>
      <c r="L13705">
        <v>40.299999999999997</v>
      </c>
      <c r="M13705">
        <v>48</v>
      </c>
      <c r="N13705">
        <v>0</v>
      </c>
      <c r="O13705">
        <v>48</v>
      </c>
      <c r="P13705">
        <v>0</v>
      </c>
    </row>
    <row r="13706" spans="1:16" x14ac:dyDescent="0.25">
      <c r="A13706" t="s">
        <v>36515</v>
      </c>
      <c r="B13706" t="s">
        <v>18142</v>
      </c>
      <c r="C13706" t="s">
        <v>18143</v>
      </c>
      <c r="D13706" t="s">
        <v>18107</v>
      </c>
      <c r="E13706" t="s">
        <v>18144</v>
      </c>
      <c r="F13706" t="s">
        <v>16601</v>
      </c>
      <c r="G13706" t="s">
        <v>47072</v>
      </c>
      <c r="H13706" t="s">
        <v>47071</v>
      </c>
      <c r="I13706" t="s">
        <v>47116</v>
      </c>
      <c r="J13706" t="s">
        <v>47117</v>
      </c>
      <c r="K13706" t="s">
        <v>47113</v>
      </c>
      <c r="L13706">
        <v>24.68</v>
      </c>
      <c r="M13706">
        <v>29</v>
      </c>
      <c r="N13706">
        <v>0</v>
      </c>
      <c r="O13706">
        <v>29</v>
      </c>
      <c r="P13706">
        <v>0</v>
      </c>
    </row>
    <row r="13707" spans="1:16" x14ac:dyDescent="0.25">
      <c r="A13707" t="s">
        <v>36516</v>
      </c>
      <c r="B13707" t="s">
        <v>21262</v>
      </c>
      <c r="C13707" t="s">
        <v>21263</v>
      </c>
      <c r="D13707" t="s">
        <v>21264</v>
      </c>
      <c r="E13707" t="s">
        <v>21265</v>
      </c>
      <c r="F13707" t="s">
        <v>16601</v>
      </c>
      <c r="G13707" t="s">
        <v>47072</v>
      </c>
      <c r="H13707" t="s">
        <v>47071</v>
      </c>
      <c r="I13707" t="s">
        <v>47116</v>
      </c>
      <c r="J13707" t="s">
        <v>47117</v>
      </c>
      <c r="K13707" t="s">
        <v>47113</v>
      </c>
      <c r="L13707">
        <v>25.98</v>
      </c>
      <c r="M13707">
        <v>40</v>
      </c>
      <c r="N13707">
        <v>0</v>
      </c>
      <c r="O13707">
        <v>40</v>
      </c>
      <c r="P13707">
        <v>0</v>
      </c>
    </row>
    <row r="13708" spans="1:16" x14ac:dyDescent="0.25">
      <c r="A13708" t="s">
        <v>36517</v>
      </c>
      <c r="B13708" t="s">
        <v>18145</v>
      </c>
      <c r="C13708" t="s">
        <v>18146</v>
      </c>
      <c r="D13708" t="s">
        <v>15692</v>
      </c>
      <c r="E13708" t="s">
        <v>46</v>
      </c>
      <c r="F13708" t="s">
        <v>16601</v>
      </c>
      <c r="G13708" t="s">
        <v>47073</v>
      </c>
      <c r="H13708" t="s">
        <v>47071</v>
      </c>
      <c r="I13708" t="s">
        <v>47120</v>
      </c>
      <c r="J13708" t="s">
        <v>47121</v>
      </c>
      <c r="K13708" t="s">
        <v>47113</v>
      </c>
      <c r="L13708">
        <v>12.18</v>
      </c>
      <c r="M13708">
        <v>18</v>
      </c>
      <c r="N13708">
        <v>0</v>
      </c>
      <c r="O13708">
        <v>18</v>
      </c>
      <c r="P13708">
        <v>0</v>
      </c>
    </row>
    <row r="13709" spans="1:16" x14ac:dyDescent="0.25">
      <c r="A13709" t="s">
        <v>36518</v>
      </c>
      <c r="B13709" t="s">
        <v>18147</v>
      </c>
      <c r="C13709" t="s">
        <v>18148</v>
      </c>
      <c r="D13709" t="s">
        <v>18149</v>
      </c>
      <c r="E13709" t="s">
        <v>18150</v>
      </c>
      <c r="F13709" t="s">
        <v>16601</v>
      </c>
      <c r="G13709" t="s">
        <v>47075</v>
      </c>
      <c r="H13709" t="s">
        <v>47071</v>
      </c>
      <c r="I13709" t="s">
        <v>47120</v>
      </c>
      <c r="J13709" t="s">
        <v>47121</v>
      </c>
      <c r="K13709" t="s">
        <v>47113</v>
      </c>
      <c r="L13709">
        <v>18.43</v>
      </c>
      <c r="M13709">
        <v>22</v>
      </c>
      <c r="N13709">
        <v>0</v>
      </c>
      <c r="O13709">
        <v>22</v>
      </c>
      <c r="P13709">
        <v>0</v>
      </c>
    </row>
    <row r="13710" spans="1:16" x14ac:dyDescent="0.25">
      <c r="A13710" t="s">
        <v>36519</v>
      </c>
      <c r="B13710" t="s">
        <v>18151</v>
      </c>
      <c r="C13710" t="s">
        <v>18152</v>
      </c>
      <c r="D13710" t="s">
        <v>14429</v>
      </c>
      <c r="E13710" t="s">
        <v>60</v>
      </c>
      <c r="F13710" t="s">
        <v>16601</v>
      </c>
      <c r="G13710" t="s">
        <v>47073</v>
      </c>
      <c r="H13710" t="s">
        <v>47071</v>
      </c>
      <c r="I13710" t="s">
        <v>47120</v>
      </c>
      <c r="J13710" t="s">
        <v>47121</v>
      </c>
      <c r="K13710" t="s">
        <v>47113</v>
      </c>
      <c r="L13710">
        <v>12.18</v>
      </c>
      <c r="M13710">
        <v>18</v>
      </c>
      <c r="N13710">
        <v>0</v>
      </c>
      <c r="O13710">
        <v>18</v>
      </c>
      <c r="P13710">
        <v>0</v>
      </c>
    </row>
    <row r="13711" spans="1:16" x14ac:dyDescent="0.25">
      <c r="A13711" t="s">
        <v>36520</v>
      </c>
      <c r="B13711" t="s">
        <v>18153</v>
      </c>
      <c r="C13711" t="s">
        <v>18154</v>
      </c>
      <c r="D13711" t="s">
        <v>15692</v>
      </c>
      <c r="E13711" t="s">
        <v>46</v>
      </c>
      <c r="F13711" t="s">
        <v>16601</v>
      </c>
      <c r="G13711" t="s">
        <v>47073</v>
      </c>
      <c r="H13711" t="s">
        <v>47071</v>
      </c>
      <c r="I13711" t="s">
        <v>47120</v>
      </c>
      <c r="J13711" t="s">
        <v>47121</v>
      </c>
      <c r="K13711" t="s">
        <v>47113</v>
      </c>
      <c r="L13711">
        <v>12.18</v>
      </c>
      <c r="M13711">
        <v>18</v>
      </c>
      <c r="N13711">
        <v>0</v>
      </c>
      <c r="O13711">
        <v>18</v>
      </c>
      <c r="P13711">
        <v>0</v>
      </c>
    </row>
    <row r="13712" spans="1:16" x14ac:dyDescent="0.25">
      <c r="A13712" t="s">
        <v>36521</v>
      </c>
      <c r="B13712" t="s">
        <v>18155</v>
      </c>
      <c r="C13712" t="s">
        <v>18156</v>
      </c>
      <c r="D13712" t="s">
        <v>15734</v>
      </c>
      <c r="E13712" t="s">
        <v>15735</v>
      </c>
      <c r="F13712" t="s">
        <v>16601</v>
      </c>
      <c r="G13712" t="s">
        <v>47076</v>
      </c>
      <c r="H13712" t="s">
        <v>47071</v>
      </c>
      <c r="I13712" t="s">
        <v>47120</v>
      </c>
      <c r="J13712" t="s">
        <v>47121</v>
      </c>
      <c r="K13712" t="s">
        <v>47113</v>
      </c>
      <c r="L13712">
        <v>24.68</v>
      </c>
      <c r="M13712">
        <v>29</v>
      </c>
      <c r="N13712">
        <v>0</v>
      </c>
      <c r="O13712">
        <v>29</v>
      </c>
      <c r="P13712">
        <v>0</v>
      </c>
    </row>
    <row r="13713" spans="1:16" x14ac:dyDescent="0.25">
      <c r="A13713" t="s">
        <v>36522</v>
      </c>
      <c r="B13713" t="s">
        <v>18157</v>
      </c>
      <c r="C13713" t="s">
        <v>18158</v>
      </c>
      <c r="D13713" t="s">
        <v>15740</v>
      </c>
      <c r="E13713" t="s">
        <v>42</v>
      </c>
      <c r="F13713" t="s">
        <v>16601</v>
      </c>
      <c r="G13713" t="s">
        <v>47073</v>
      </c>
      <c r="H13713" t="s">
        <v>47071</v>
      </c>
      <c r="I13713" t="s">
        <v>47120</v>
      </c>
      <c r="J13713" t="s">
        <v>47121</v>
      </c>
      <c r="K13713" t="s">
        <v>47113</v>
      </c>
      <c r="L13713">
        <v>12.18</v>
      </c>
      <c r="M13713">
        <v>18</v>
      </c>
      <c r="N13713">
        <v>0</v>
      </c>
      <c r="O13713">
        <v>18</v>
      </c>
      <c r="P13713">
        <v>0</v>
      </c>
    </row>
    <row r="13714" spans="1:16" x14ac:dyDescent="0.25">
      <c r="A13714" t="s">
        <v>36523</v>
      </c>
      <c r="B13714" t="s">
        <v>18159</v>
      </c>
      <c r="C13714" t="s">
        <v>18160</v>
      </c>
      <c r="D13714" t="s">
        <v>15752</v>
      </c>
      <c r="E13714" t="s">
        <v>15753</v>
      </c>
      <c r="F13714" t="s">
        <v>16601</v>
      </c>
      <c r="G13714" t="s">
        <v>47073</v>
      </c>
      <c r="H13714" t="s">
        <v>47071</v>
      </c>
      <c r="I13714" t="s">
        <v>47120</v>
      </c>
      <c r="J13714" t="s">
        <v>47121</v>
      </c>
      <c r="K13714" t="s">
        <v>47113</v>
      </c>
      <c r="L13714">
        <v>12.18</v>
      </c>
      <c r="M13714">
        <v>18</v>
      </c>
      <c r="N13714">
        <v>0</v>
      </c>
      <c r="O13714">
        <v>18</v>
      </c>
      <c r="P13714">
        <v>0</v>
      </c>
    </row>
    <row r="13715" spans="1:16" x14ac:dyDescent="0.25">
      <c r="A13715" t="s">
        <v>36524</v>
      </c>
      <c r="B13715" t="s">
        <v>18161</v>
      </c>
      <c r="C13715" t="s">
        <v>18162</v>
      </c>
      <c r="D13715" t="s">
        <v>15692</v>
      </c>
      <c r="E13715" t="s">
        <v>46</v>
      </c>
      <c r="F13715" t="s">
        <v>16601</v>
      </c>
      <c r="G13715" t="s">
        <v>47075</v>
      </c>
      <c r="H13715" t="s">
        <v>47071</v>
      </c>
      <c r="I13715" t="s">
        <v>47120</v>
      </c>
      <c r="J13715" t="s">
        <v>47121</v>
      </c>
      <c r="K13715" t="s">
        <v>47113</v>
      </c>
      <c r="L13715">
        <v>18.43</v>
      </c>
      <c r="M13715">
        <v>22</v>
      </c>
      <c r="N13715">
        <v>0</v>
      </c>
      <c r="O13715">
        <v>22</v>
      </c>
      <c r="P13715">
        <v>0</v>
      </c>
    </row>
    <row r="13716" spans="1:16" x14ac:dyDescent="0.25">
      <c r="A13716" t="s">
        <v>36525</v>
      </c>
      <c r="B13716" t="s">
        <v>18163</v>
      </c>
      <c r="C13716" t="s">
        <v>18164</v>
      </c>
      <c r="D13716" t="s">
        <v>18165</v>
      </c>
      <c r="E13716" t="s">
        <v>18166</v>
      </c>
      <c r="F13716" t="s">
        <v>16601</v>
      </c>
      <c r="G13716" t="s">
        <v>48749</v>
      </c>
      <c r="H13716" t="s">
        <v>47071</v>
      </c>
      <c r="I13716" t="s">
        <v>47120</v>
      </c>
      <c r="J13716" t="s">
        <v>47121</v>
      </c>
      <c r="K13716" t="s">
        <v>47113</v>
      </c>
      <c r="L13716">
        <v>21.55</v>
      </c>
      <c r="M13716">
        <v>26</v>
      </c>
      <c r="N13716">
        <v>0</v>
      </c>
      <c r="O13716">
        <v>26</v>
      </c>
      <c r="P13716">
        <v>0</v>
      </c>
    </row>
    <row r="13717" spans="1:16" x14ac:dyDescent="0.25">
      <c r="A13717" t="s">
        <v>36526</v>
      </c>
      <c r="B13717" t="s">
        <v>18167</v>
      </c>
      <c r="C13717" t="s">
        <v>18168</v>
      </c>
      <c r="D13717" t="s">
        <v>15734</v>
      </c>
      <c r="E13717" t="s">
        <v>15735</v>
      </c>
      <c r="F13717" t="s">
        <v>16601</v>
      </c>
      <c r="G13717" t="s">
        <v>47077</v>
      </c>
      <c r="H13717" t="s">
        <v>47071</v>
      </c>
      <c r="I13717" t="s">
        <v>47116</v>
      </c>
      <c r="J13717" t="s">
        <v>47117</v>
      </c>
      <c r="K13717" t="s">
        <v>47113</v>
      </c>
      <c r="L13717">
        <v>26.68</v>
      </c>
      <c r="M13717">
        <v>29</v>
      </c>
      <c r="N13717">
        <v>0</v>
      </c>
      <c r="O13717">
        <v>29</v>
      </c>
      <c r="P13717">
        <v>0</v>
      </c>
    </row>
    <row r="13718" spans="1:16" x14ac:dyDescent="0.25">
      <c r="A13718" t="s">
        <v>36527</v>
      </c>
      <c r="B13718" t="s">
        <v>18169</v>
      </c>
      <c r="C13718" t="s">
        <v>18170</v>
      </c>
      <c r="D13718" t="s">
        <v>18099</v>
      </c>
      <c r="E13718" t="s">
        <v>18100</v>
      </c>
      <c r="F13718" t="s">
        <v>16601</v>
      </c>
      <c r="G13718" t="s">
        <v>47080</v>
      </c>
      <c r="H13718" t="s">
        <v>47071</v>
      </c>
      <c r="I13718" t="s">
        <v>47120</v>
      </c>
      <c r="J13718" t="s">
        <v>47121</v>
      </c>
      <c r="K13718" t="s">
        <v>47113</v>
      </c>
      <c r="L13718">
        <v>18.43</v>
      </c>
      <c r="M13718">
        <v>22</v>
      </c>
      <c r="N13718">
        <v>0</v>
      </c>
      <c r="O13718">
        <v>22</v>
      </c>
      <c r="P13718">
        <v>0</v>
      </c>
    </row>
    <row r="13719" spans="1:16" x14ac:dyDescent="0.25">
      <c r="A13719" t="s">
        <v>36528</v>
      </c>
      <c r="B13719" t="s">
        <v>18171</v>
      </c>
      <c r="C13719" t="s">
        <v>18172</v>
      </c>
      <c r="D13719" t="s">
        <v>15740</v>
      </c>
      <c r="E13719" t="s">
        <v>42</v>
      </c>
      <c r="F13719" t="s">
        <v>16601</v>
      </c>
      <c r="G13719" t="s">
        <v>47077</v>
      </c>
      <c r="H13719" t="s">
        <v>47071</v>
      </c>
      <c r="I13719" t="s">
        <v>47120</v>
      </c>
      <c r="J13719" t="s">
        <v>47121</v>
      </c>
      <c r="K13719" t="s">
        <v>47113</v>
      </c>
      <c r="L13719">
        <v>24.68</v>
      </c>
      <c r="M13719">
        <v>29</v>
      </c>
      <c r="N13719">
        <v>0</v>
      </c>
      <c r="O13719">
        <v>29</v>
      </c>
      <c r="P13719">
        <v>0</v>
      </c>
    </row>
    <row r="13720" spans="1:16" x14ac:dyDescent="0.25">
      <c r="A13720" t="s">
        <v>36529</v>
      </c>
      <c r="B13720" t="s">
        <v>36530</v>
      </c>
      <c r="C13720" t="s">
        <v>35341</v>
      </c>
      <c r="D13720" t="s">
        <v>15692</v>
      </c>
      <c r="E13720" t="s">
        <v>46</v>
      </c>
      <c r="F13720" t="s">
        <v>16601</v>
      </c>
      <c r="G13720" t="s">
        <v>47080</v>
      </c>
      <c r="H13720" t="s">
        <v>47071</v>
      </c>
      <c r="I13720" t="s">
        <v>47120</v>
      </c>
      <c r="J13720" t="s">
        <v>47121</v>
      </c>
      <c r="K13720" t="s">
        <v>47113</v>
      </c>
      <c r="L13720">
        <v>8.24</v>
      </c>
      <c r="M13720">
        <v>48</v>
      </c>
      <c r="N13720">
        <v>119</v>
      </c>
      <c r="O13720">
        <v>48</v>
      </c>
      <c r="P13720">
        <v>119</v>
      </c>
    </row>
    <row r="13721" spans="1:16" x14ac:dyDescent="0.25">
      <c r="A13721" t="s">
        <v>36531</v>
      </c>
      <c r="B13721" t="s">
        <v>18173</v>
      </c>
      <c r="C13721" t="s">
        <v>18174</v>
      </c>
      <c r="D13721" t="s">
        <v>15692</v>
      </c>
      <c r="E13721" t="s">
        <v>46</v>
      </c>
      <c r="F13721" t="s">
        <v>16601</v>
      </c>
      <c r="G13721" t="s">
        <v>47080</v>
      </c>
      <c r="H13721" t="s">
        <v>47071</v>
      </c>
      <c r="I13721" t="s">
        <v>47120</v>
      </c>
      <c r="J13721" t="s">
        <v>47121</v>
      </c>
      <c r="K13721" t="s">
        <v>47113</v>
      </c>
      <c r="L13721">
        <v>18.43</v>
      </c>
      <c r="M13721">
        <v>22</v>
      </c>
      <c r="N13721">
        <v>0</v>
      </c>
      <c r="O13721">
        <v>22</v>
      </c>
      <c r="P13721">
        <v>0</v>
      </c>
    </row>
    <row r="13722" spans="1:16" x14ac:dyDescent="0.25">
      <c r="A13722" t="s">
        <v>36532</v>
      </c>
      <c r="B13722" t="s">
        <v>18175</v>
      </c>
      <c r="C13722" t="s">
        <v>18176</v>
      </c>
      <c r="D13722" t="s">
        <v>18111</v>
      </c>
      <c r="E13722" t="s">
        <v>18112</v>
      </c>
      <c r="F13722" t="s">
        <v>16601</v>
      </c>
      <c r="G13722" t="s">
        <v>47077</v>
      </c>
      <c r="H13722" t="s">
        <v>47071</v>
      </c>
      <c r="I13722" t="s">
        <v>47116</v>
      </c>
      <c r="J13722" t="s">
        <v>47117</v>
      </c>
      <c r="K13722" t="s">
        <v>47113</v>
      </c>
      <c r="L13722">
        <v>24.68</v>
      </c>
      <c r="M13722">
        <v>29</v>
      </c>
      <c r="N13722">
        <v>0</v>
      </c>
      <c r="O13722">
        <v>29</v>
      </c>
      <c r="P13722">
        <v>0</v>
      </c>
    </row>
    <row r="13723" spans="1:16" x14ac:dyDescent="0.25">
      <c r="A13723" t="s">
        <v>36533</v>
      </c>
      <c r="B13723" t="s">
        <v>18177</v>
      </c>
      <c r="C13723" t="s">
        <v>18178</v>
      </c>
      <c r="D13723" t="s">
        <v>15692</v>
      </c>
      <c r="E13723" t="s">
        <v>46</v>
      </c>
      <c r="F13723" t="s">
        <v>16601</v>
      </c>
      <c r="G13723" t="s">
        <v>47073</v>
      </c>
      <c r="H13723" t="s">
        <v>47071</v>
      </c>
      <c r="I13723" t="s">
        <v>47120</v>
      </c>
      <c r="J13723" t="s">
        <v>47121</v>
      </c>
      <c r="K13723" t="s">
        <v>47113</v>
      </c>
      <c r="L13723">
        <v>10.94</v>
      </c>
      <c r="M13723">
        <v>16</v>
      </c>
      <c r="N13723">
        <v>0</v>
      </c>
      <c r="O13723">
        <v>16</v>
      </c>
      <c r="P13723">
        <v>0</v>
      </c>
    </row>
    <row r="13724" spans="1:16" x14ac:dyDescent="0.25">
      <c r="A13724" t="s">
        <v>36534</v>
      </c>
      <c r="B13724" t="s">
        <v>18179</v>
      </c>
      <c r="C13724" t="s">
        <v>18180</v>
      </c>
      <c r="D13724" t="s">
        <v>18165</v>
      </c>
      <c r="E13724" t="s">
        <v>18166</v>
      </c>
      <c r="F13724" t="s">
        <v>16601</v>
      </c>
      <c r="G13724" t="s">
        <v>47073</v>
      </c>
      <c r="H13724" t="s">
        <v>47071</v>
      </c>
      <c r="I13724" t="s">
        <v>47120</v>
      </c>
      <c r="J13724" t="s">
        <v>47121</v>
      </c>
      <c r="K13724" t="s">
        <v>47113</v>
      </c>
      <c r="L13724">
        <v>15.3</v>
      </c>
      <c r="M13724">
        <v>22</v>
      </c>
      <c r="N13724">
        <v>0</v>
      </c>
      <c r="O13724">
        <v>22</v>
      </c>
      <c r="P13724">
        <v>0</v>
      </c>
    </row>
    <row r="13725" spans="1:16" x14ac:dyDescent="0.25">
      <c r="A13725" t="s">
        <v>36535</v>
      </c>
      <c r="B13725" t="s">
        <v>18181</v>
      </c>
      <c r="C13725" t="s">
        <v>18182</v>
      </c>
      <c r="D13725" t="s">
        <v>15740</v>
      </c>
      <c r="E13725" t="s">
        <v>42</v>
      </c>
      <c r="F13725" t="s">
        <v>16601</v>
      </c>
      <c r="G13725" t="s">
        <v>47073</v>
      </c>
      <c r="H13725" t="s">
        <v>47071</v>
      </c>
      <c r="I13725" t="s">
        <v>47120</v>
      </c>
      <c r="J13725" t="s">
        <v>47121</v>
      </c>
      <c r="K13725" t="s">
        <v>47113</v>
      </c>
      <c r="L13725">
        <v>10.94</v>
      </c>
      <c r="M13725">
        <v>16</v>
      </c>
      <c r="N13725">
        <v>0</v>
      </c>
      <c r="O13725">
        <v>16</v>
      </c>
      <c r="P13725">
        <v>0</v>
      </c>
    </row>
    <row r="13726" spans="1:16" x14ac:dyDescent="0.25">
      <c r="A13726" t="s">
        <v>36536</v>
      </c>
      <c r="B13726" t="s">
        <v>18183</v>
      </c>
      <c r="C13726" t="s">
        <v>18184</v>
      </c>
      <c r="D13726" t="s">
        <v>14429</v>
      </c>
      <c r="E13726" t="s">
        <v>60</v>
      </c>
      <c r="F13726" t="s">
        <v>16601</v>
      </c>
      <c r="G13726" t="s">
        <v>47073</v>
      </c>
      <c r="H13726" t="s">
        <v>47071</v>
      </c>
      <c r="I13726" t="s">
        <v>47120</v>
      </c>
      <c r="J13726" t="s">
        <v>47121</v>
      </c>
      <c r="K13726" t="s">
        <v>47113</v>
      </c>
      <c r="L13726">
        <v>10.94</v>
      </c>
      <c r="M13726">
        <v>16</v>
      </c>
      <c r="N13726">
        <v>0</v>
      </c>
      <c r="O13726">
        <v>16</v>
      </c>
      <c r="P13726">
        <v>0</v>
      </c>
    </row>
    <row r="13727" spans="1:16" x14ac:dyDescent="0.25">
      <c r="A13727" t="s">
        <v>36537</v>
      </c>
      <c r="B13727" t="s">
        <v>18185</v>
      </c>
      <c r="C13727" t="s">
        <v>18186</v>
      </c>
      <c r="D13727" t="s">
        <v>14429</v>
      </c>
      <c r="E13727" t="s">
        <v>60</v>
      </c>
      <c r="F13727" t="s">
        <v>16601</v>
      </c>
      <c r="G13727" t="s">
        <v>47073</v>
      </c>
      <c r="H13727" t="s">
        <v>47071</v>
      </c>
      <c r="I13727" t="s">
        <v>47120</v>
      </c>
      <c r="J13727" t="s">
        <v>47121</v>
      </c>
      <c r="K13727" t="s">
        <v>47113</v>
      </c>
      <c r="L13727">
        <v>10.94</v>
      </c>
      <c r="M13727">
        <v>16</v>
      </c>
      <c r="N13727">
        <v>0</v>
      </c>
      <c r="O13727">
        <v>16</v>
      </c>
      <c r="P13727">
        <v>0</v>
      </c>
    </row>
    <row r="13728" spans="1:16" x14ac:dyDescent="0.25">
      <c r="A13728" t="s">
        <v>36538</v>
      </c>
      <c r="B13728" t="s">
        <v>18187</v>
      </c>
      <c r="C13728" t="s">
        <v>18188</v>
      </c>
      <c r="D13728" t="s">
        <v>15692</v>
      </c>
      <c r="E13728" t="s">
        <v>46</v>
      </c>
      <c r="F13728" t="s">
        <v>16601</v>
      </c>
      <c r="G13728" t="s">
        <v>47073</v>
      </c>
      <c r="H13728" t="s">
        <v>47071</v>
      </c>
      <c r="I13728" t="s">
        <v>47120</v>
      </c>
      <c r="J13728" t="s">
        <v>47121</v>
      </c>
      <c r="K13728" t="s">
        <v>47113</v>
      </c>
      <c r="L13728">
        <v>10.94</v>
      </c>
      <c r="M13728">
        <v>16</v>
      </c>
      <c r="N13728">
        <v>0</v>
      </c>
      <c r="O13728">
        <v>16</v>
      </c>
      <c r="P13728">
        <v>0</v>
      </c>
    </row>
    <row r="13729" spans="1:16" x14ac:dyDescent="0.25">
      <c r="A13729" t="s">
        <v>36539</v>
      </c>
      <c r="B13729" t="s">
        <v>18189</v>
      </c>
      <c r="C13729" t="s">
        <v>18190</v>
      </c>
      <c r="D13729" t="s">
        <v>18191</v>
      </c>
      <c r="E13729" t="s">
        <v>18192</v>
      </c>
      <c r="F13729" t="s">
        <v>16601</v>
      </c>
      <c r="G13729" t="s">
        <v>47073</v>
      </c>
      <c r="H13729" t="s">
        <v>47071</v>
      </c>
      <c r="I13729" t="s">
        <v>47120</v>
      </c>
      <c r="J13729" t="s">
        <v>47121</v>
      </c>
      <c r="K13729" t="s">
        <v>47113</v>
      </c>
      <c r="L13729">
        <v>10.94</v>
      </c>
      <c r="M13729">
        <v>16</v>
      </c>
      <c r="N13729">
        <v>0</v>
      </c>
      <c r="O13729">
        <v>16</v>
      </c>
      <c r="P13729">
        <v>0</v>
      </c>
    </row>
    <row r="13730" spans="1:16" x14ac:dyDescent="0.25">
      <c r="A13730" t="s">
        <v>36540</v>
      </c>
      <c r="B13730" t="s">
        <v>18189</v>
      </c>
      <c r="C13730" t="s">
        <v>18190</v>
      </c>
      <c r="D13730" t="s">
        <v>18193</v>
      </c>
      <c r="E13730" t="s">
        <v>18194</v>
      </c>
      <c r="F13730" t="s">
        <v>16601</v>
      </c>
      <c r="G13730" t="s">
        <v>47073</v>
      </c>
      <c r="H13730" t="s">
        <v>47071</v>
      </c>
      <c r="I13730" t="s">
        <v>47120</v>
      </c>
      <c r="J13730" t="s">
        <v>47121</v>
      </c>
      <c r="K13730" t="s">
        <v>47113</v>
      </c>
      <c r="L13730">
        <v>10.94</v>
      </c>
      <c r="M13730">
        <v>16</v>
      </c>
      <c r="N13730">
        <v>0</v>
      </c>
      <c r="O13730">
        <v>16</v>
      </c>
      <c r="P13730">
        <v>0</v>
      </c>
    </row>
    <row r="13731" spans="1:16" x14ac:dyDescent="0.25">
      <c r="A13731" t="s">
        <v>36541</v>
      </c>
      <c r="B13731" t="s">
        <v>18195</v>
      </c>
      <c r="C13731" t="s">
        <v>18196</v>
      </c>
      <c r="D13731" t="s">
        <v>15752</v>
      </c>
      <c r="E13731" t="s">
        <v>15753</v>
      </c>
      <c r="F13731" t="s">
        <v>16601</v>
      </c>
      <c r="G13731" t="s">
        <v>47073</v>
      </c>
      <c r="H13731" t="s">
        <v>47071</v>
      </c>
      <c r="I13731" t="s">
        <v>47120</v>
      </c>
      <c r="J13731" t="s">
        <v>47121</v>
      </c>
      <c r="K13731" t="s">
        <v>47113</v>
      </c>
      <c r="L13731">
        <v>10.94</v>
      </c>
      <c r="M13731">
        <v>16</v>
      </c>
      <c r="N13731">
        <v>0</v>
      </c>
      <c r="O13731">
        <v>16</v>
      </c>
      <c r="P13731">
        <v>0</v>
      </c>
    </row>
    <row r="13732" spans="1:16" x14ac:dyDescent="0.25">
      <c r="A13732" t="s">
        <v>46874</v>
      </c>
      <c r="B13732" t="s">
        <v>46875</v>
      </c>
      <c r="C13732" t="s">
        <v>46876</v>
      </c>
      <c r="D13732" t="s">
        <v>46816</v>
      </c>
      <c r="E13732" t="s">
        <v>46817</v>
      </c>
      <c r="F13732" t="s">
        <v>27965</v>
      </c>
      <c r="G13732" t="s">
        <v>47073</v>
      </c>
      <c r="H13732" t="s">
        <v>47071</v>
      </c>
      <c r="I13732" t="s">
        <v>47120</v>
      </c>
      <c r="J13732" t="s">
        <v>47121</v>
      </c>
      <c r="K13732" t="s">
        <v>47113</v>
      </c>
      <c r="L13732">
        <v>11.95</v>
      </c>
      <c r="M13732">
        <v>20</v>
      </c>
      <c r="N13732">
        <v>49</v>
      </c>
      <c r="O13732">
        <v>20</v>
      </c>
      <c r="P13732">
        <v>49</v>
      </c>
    </row>
    <row r="13733" spans="1:16" x14ac:dyDescent="0.25">
      <c r="A13733" t="s">
        <v>46877</v>
      </c>
      <c r="B13733" t="s">
        <v>46875</v>
      </c>
      <c r="C13733" t="s">
        <v>46876</v>
      </c>
      <c r="D13733" t="s">
        <v>46878</v>
      </c>
      <c r="E13733" t="s">
        <v>46879</v>
      </c>
      <c r="F13733" t="s">
        <v>27965</v>
      </c>
      <c r="G13733" t="s">
        <v>47073</v>
      </c>
      <c r="H13733" t="s">
        <v>47071</v>
      </c>
      <c r="I13733" t="s">
        <v>47120</v>
      </c>
      <c r="J13733" t="s">
        <v>47121</v>
      </c>
      <c r="K13733" t="s">
        <v>47113</v>
      </c>
      <c r="L13733">
        <v>11.95</v>
      </c>
      <c r="M13733">
        <v>20</v>
      </c>
      <c r="N13733">
        <v>49</v>
      </c>
      <c r="O13733">
        <v>20</v>
      </c>
      <c r="P13733">
        <v>49</v>
      </c>
    </row>
    <row r="13734" spans="1:16" x14ac:dyDescent="0.25">
      <c r="A13734" t="s">
        <v>48856</v>
      </c>
      <c r="B13734" t="s">
        <v>46875</v>
      </c>
      <c r="C13734" t="s">
        <v>46876</v>
      </c>
      <c r="D13734" t="s">
        <v>46850</v>
      </c>
      <c r="E13734" t="s">
        <v>46851</v>
      </c>
      <c r="F13734" t="s">
        <v>27965</v>
      </c>
      <c r="G13734" t="s">
        <v>47073</v>
      </c>
      <c r="H13734" t="s">
        <v>47071</v>
      </c>
      <c r="I13734" t="s">
        <v>47120</v>
      </c>
      <c r="J13734" t="s">
        <v>47121</v>
      </c>
      <c r="K13734" t="s">
        <v>47113</v>
      </c>
      <c r="L13734">
        <v>10.220000000000001</v>
      </c>
      <c r="M13734">
        <v>20</v>
      </c>
      <c r="N13734">
        <v>49</v>
      </c>
      <c r="O13734">
        <v>20</v>
      </c>
      <c r="P13734">
        <v>49</v>
      </c>
    </row>
    <row r="13735" spans="1:16" x14ac:dyDescent="0.25">
      <c r="A13735" t="s">
        <v>36542</v>
      </c>
      <c r="B13735" t="s">
        <v>9665</v>
      </c>
      <c r="C13735" t="s">
        <v>9460</v>
      </c>
      <c r="D13735" t="str">
        <f>"4745"</f>
        <v>4745</v>
      </c>
      <c r="E13735" t="s">
        <v>9495</v>
      </c>
      <c r="F13735" t="s">
        <v>2068</v>
      </c>
      <c r="G13735" t="s">
        <v>47081</v>
      </c>
      <c r="H13735" t="s">
        <v>47071</v>
      </c>
      <c r="I13735" t="s">
        <v>47120</v>
      </c>
      <c r="J13735" t="s">
        <v>47121</v>
      </c>
      <c r="K13735" t="s">
        <v>47113</v>
      </c>
      <c r="L13735">
        <v>24.54</v>
      </c>
      <c r="M13735">
        <v>57</v>
      </c>
      <c r="N13735">
        <v>0</v>
      </c>
      <c r="O13735">
        <v>57</v>
      </c>
      <c r="P13735">
        <v>0</v>
      </c>
    </row>
    <row r="13736" spans="1:16" x14ac:dyDescent="0.25">
      <c r="A13736" t="s">
        <v>36543</v>
      </c>
      <c r="B13736" t="s">
        <v>9665</v>
      </c>
      <c r="C13736" t="s">
        <v>9460</v>
      </c>
      <c r="D13736" t="s">
        <v>9496</v>
      </c>
      <c r="E13736" t="s">
        <v>9497</v>
      </c>
      <c r="F13736" t="s">
        <v>2068</v>
      </c>
      <c r="G13736" t="s">
        <v>47081</v>
      </c>
      <c r="H13736" t="s">
        <v>47071</v>
      </c>
      <c r="I13736" t="s">
        <v>47120</v>
      </c>
      <c r="J13736" t="s">
        <v>47121</v>
      </c>
      <c r="K13736" t="s">
        <v>47113</v>
      </c>
      <c r="L13736">
        <v>21.79</v>
      </c>
      <c r="M13736">
        <v>50</v>
      </c>
      <c r="N13736">
        <v>0</v>
      </c>
      <c r="O13736">
        <v>50</v>
      </c>
      <c r="P13736">
        <v>0</v>
      </c>
    </row>
    <row r="13737" spans="1:16" x14ac:dyDescent="0.25">
      <c r="A13737" t="s">
        <v>36544</v>
      </c>
      <c r="B13737" t="s">
        <v>9666</v>
      </c>
      <c r="C13737" t="s">
        <v>9499</v>
      </c>
      <c r="D13737" t="s">
        <v>9496</v>
      </c>
      <c r="E13737" t="s">
        <v>9497</v>
      </c>
      <c r="F13737" t="s">
        <v>2068</v>
      </c>
      <c r="G13737" t="s">
        <v>47081</v>
      </c>
      <c r="H13737" t="s">
        <v>47071</v>
      </c>
      <c r="I13737" t="s">
        <v>47120</v>
      </c>
      <c r="J13737" t="s">
        <v>47121</v>
      </c>
      <c r="K13737" t="s">
        <v>47113</v>
      </c>
      <c r="L13737">
        <v>21.79</v>
      </c>
      <c r="M13737">
        <v>50</v>
      </c>
      <c r="N13737">
        <v>0</v>
      </c>
      <c r="O13737">
        <v>50</v>
      </c>
      <c r="P13737">
        <v>0</v>
      </c>
    </row>
    <row r="13738" spans="1:16" x14ac:dyDescent="0.25">
      <c r="A13738" t="s">
        <v>36545</v>
      </c>
      <c r="B13738" t="s">
        <v>9666</v>
      </c>
      <c r="C13738" t="s">
        <v>9499</v>
      </c>
      <c r="D13738" t="s">
        <v>9500</v>
      </c>
      <c r="E13738" t="s">
        <v>9501</v>
      </c>
      <c r="F13738" t="s">
        <v>2068</v>
      </c>
      <c r="G13738" t="s">
        <v>47081</v>
      </c>
      <c r="H13738" t="s">
        <v>47071</v>
      </c>
      <c r="I13738" t="s">
        <v>47120</v>
      </c>
      <c r="J13738" t="s">
        <v>47121</v>
      </c>
      <c r="K13738" t="s">
        <v>47113</v>
      </c>
      <c r="L13738">
        <v>24.54</v>
      </c>
      <c r="M13738">
        <v>57</v>
      </c>
      <c r="N13738">
        <v>0</v>
      </c>
      <c r="O13738">
        <v>57</v>
      </c>
      <c r="P13738">
        <v>0</v>
      </c>
    </row>
    <row r="13739" spans="1:16" x14ac:dyDescent="0.25">
      <c r="A13739" t="s">
        <v>36546</v>
      </c>
      <c r="B13739" t="s">
        <v>9667</v>
      </c>
      <c r="C13739" t="s">
        <v>9479</v>
      </c>
      <c r="D13739" t="s">
        <v>9480</v>
      </c>
      <c r="E13739" t="s">
        <v>9481</v>
      </c>
      <c r="F13739" t="s">
        <v>2068</v>
      </c>
      <c r="G13739" t="s">
        <v>47081</v>
      </c>
      <c r="H13739" t="s">
        <v>47071</v>
      </c>
      <c r="I13739" t="s">
        <v>47120</v>
      </c>
      <c r="J13739" t="s">
        <v>47121</v>
      </c>
      <c r="K13739" t="s">
        <v>47113</v>
      </c>
      <c r="L13739">
        <v>35.58</v>
      </c>
      <c r="M13739">
        <v>82</v>
      </c>
      <c r="N13739">
        <v>0</v>
      </c>
      <c r="O13739">
        <v>82</v>
      </c>
      <c r="P13739">
        <v>0</v>
      </c>
    </row>
    <row r="13740" spans="1:16" x14ac:dyDescent="0.25">
      <c r="A13740" t="s">
        <v>36547</v>
      </c>
      <c r="B13740" t="s">
        <v>9668</v>
      </c>
      <c r="C13740" t="s">
        <v>9504</v>
      </c>
      <c r="D13740" t="str">
        <f>"1104"</f>
        <v>1104</v>
      </c>
      <c r="E13740" t="s">
        <v>9505</v>
      </c>
      <c r="F13740" t="s">
        <v>2068</v>
      </c>
      <c r="G13740" t="s">
        <v>47081</v>
      </c>
      <c r="H13740" t="s">
        <v>47071</v>
      </c>
      <c r="I13740" t="s">
        <v>47120</v>
      </c>
      <c r="J13740" t="s">
        <v>47121</v>
      </c>
      <c r="K13740" t="s">
        <v>47113</v>
      </c>
      <c r="L13740">
        <v>21.79</v>
      </c>
      <c r="M13740">
        <v>50</v>
      </c>
      <c r="N13740">
        <v>0</v>
      </c>
      <c r="O13740">
        <v>50</v>
      </c>
      <c r="P13740">
        <v>0</v>
      </c>
    </row>
    <row r="13741" spans="1:16" x14ac:dyDescent="0.25">
      <c r="A13741" t="s">
        <v>36548</v>
      </c>
      <c r="B13741" t="s">
        <v>9669</v>
      </c>
      <c r="C13741" t="s">
        <v>9479</v>
      </c>
      <c r="D13741" t="s">
        <v>9480</v>
      </c>
      <c r="E13741" t="s">
        <v>9481</v>
      </c>
      <c r="F13741" t="s">
        <v>2068</v>
      </c>
      <c r="G13741" t="s">
        <v>47081</v>
      </c>
      <c r="H13741" t="s">
        <v>47071</v>
      </c>
      <c r="I13741" t="s">
        <v>47120</v>
      </c>
      <c r="J13741" t="s">
        <v>47121</v>
      </c>
      <c r="K13741" t="s">
        <v>47113</v>
      </c>
      <c r="L13741">
        <v>45.79</v>
      </c>
      <c r="M13741">
        <v>106</v>
      </c>
      <c r="N13741">
        <v>0</v>
      </c>
      <c r="O13741">
        <v>106</v>
      </c>
      <c r="P13741">
        <v>0</v>
      </c>
    </row>
    <row r="13742" spans="1:16" x14ac:dyDescent="0.25">
      <c r="A13742" t="s">
        <v>36549</v>
      </c>
      <c r="B13742" t="s">
        <v>9670</v>
      </c>
      <c r="C13742" t="s">
        <v>9508</v>
      </c>
      <c r="D13742" t="s">
        <v>9509</v>
      </c>
      <c r="E13742" t="s">
        <v>9510</v>
      </c>
      <c r="F13742" t="s">
        <v>2068</v>
      </c>
      <c r="G13742" t="s">
        <v>47150</v>
      </c>
      <c r="H13742" t="s">
        <v>47071</v>
      </c>
      <c r="I13742" t="s">
        <v>47118</v>
      </c>
      <c r="J13742" t="s">
        <v>47119</v>
      </c>
      <c r="K13742" t="s">
        <v>47113</v>
      </c>
      <c r="L13742">
        <v>16.28</v>
      </c>
      <c r="M13742">
        <v>38</v>
      </c>
      <c r="N13742">
        <v>0</v>
      </c>
      <c r="O13742">
        <v>38</v>
      </c>
      <c r="P13742">
        <v>0</v>
      </c>
    </row>
    <row r="13743" spans="1:16" x14ac:dyDescent="0.25">
      <c r="A13743" t="s">
        <v>36550</v>
      </c>
      <c r="B13743" t="s">
        <v>15815</v>
      </c>
      <c r="C13743" t="s">
        <v>15691</v>
      </c>
      <c r="D13743" t="s">
        <v>15692</v>
      </c>
      <c r="E13743" t="s">
        <v>46</v>
      </c>
      <c r="F13743" t="s">
        <v>3670</v>
      </c>
      <c r="G13743" t="s">
        <v>47075</v>
      </c>
      <c r="H13743" t="s">
        <v>47071</v>
      </c>
      <c r="I13743" t="s">
        <v>47120</v>
      </c>
      <c r="J13743" t="s">
        <v>47121</v>
      </c>
      <c r="K13743" t="s">
        <v>47113</v>
      </c>
      <c r="L13743">
        <v>13.72</v>
      </c>
      <c r="M13743">
        <v>20</v>
      </c>
      <c r="N13743">
        <v>0</v>
      </c>
      <c r="O13743">
        <v>20</v>
      </c>
      <c r="P13743">
        <v>0</v>
      </c>
    </row>
    <row r="13744" spans="1:16" x14ac:dyDescent="0.25">
      <c r="A13744" t="s">
        <v>36551</v>
      </c>
      <c r="B13744" t="s">
        <v>15816</v>
      </c>
      <c r="C13744" t="s">
        <v>15694</v>
      </c>
      <c r="D13744" t="s">
        <v>15695</v>
      </c>
      <c r="E13744" t="s">
        <v>15696</v>
      </c>
      <c r="F13744" t="s">
        <v>3670</v>
      </c>
      <c r="G13744" t="s">
        <v>47075</v>
      </c>
      <c r="H13744" t="s">
        <v>47071</v>
      </c>
      <c r="I13744" t="s">
        <v>47120</v>
      </c>
      <c r="J13744" t="s">
        <v>47121</v>
      </c>
      <c r="K13744" t="s">
        <v>47113</v>
      </c>
      <c r="L13744">
        <v>24.91</v>
      </c>
      <c r="M13744">
        <v>36</v>
      </c>
      <c r="N13744">
        <v>0</v>
      </c>
      <c r="O13744">
        <v>36</v>
      </c>
      <c r="P13744">
        <v>0</v>
      </c>
    </row>
    <row r="13745" spans="1:16" x14ac:dyDescent="0.25">
      <c r="A13745" t="s">
        <v>36552</v>
      </c>
      <c r="B13745" t="s">
        <v>15817</v>
      </c>
      <c r="C13745" t="s">
        <v>14549</v>
      </c>
      <c r="D13745" t="s">
        <v>15698</v>
      </c>
      <c r="E13745" t="s">
        <v>15699</v>
      </c>
      <c r="F13745" t="s">
        <v>3670</v>
      </c>
      <c r="G13745" t="s">
        <v>47072</v>
      </c>
      <c r="H13745" t="s">
        <v>47071</v>
      </c>
      <c r="I13745" t="s">
        <v>47120</v>
      </c>
      <c r="J13745" t="s">
        <v>47121</v>
      </c>
      <c r="K13745" t="s">
        <v>47113</v>
      </c>
      <c r="L13745">
        <v>22.11</v>
      </c>
      <c r="M13745">
        <v>32</v>
      </c>
      <c r="N13745">
        <v>0</v>
      </c>
      <c r="O13745">
        <v>32</v>
      </c>
      <c r="P13745">
        <v>0</v>
      </c>
    </row>
    <row r="13746" spans="1:16" x14ac:dyDescent="0.25">
      <c r="A13746" t="s">
        <v>36553</v>
      </c>
      <c r="B13746" t="s">
        <v>15818</v>
      </c>
      <c r="C13746" t="s">
        <v>15701</v>
      </c>
      <c r="D13746" t="s">
        <v>15702</v>
      </c>
      <c r="E13746" t="s">
        <v>15703</v>
      </c>
      <c r="F13746" t="s">
        <v>3670</v>
      </c>
      <c r="G13746" t="s">
        <v>47135</v>
      </c>
      <c r="H13746" t="s">
        <v>47071</v>
      </c>
      <c r="I13746" t="s">
        <v>47120</v>
      </c>
      <c r="J13746" t="s">
        <v>47121</v>
      </c>
      <c r="K13746" t="s">
        <v>47113</v>
      </c>
      <c r="L13746">
        <v>16.52</v>
      </c>
      <c r="M13746">
        <v>24</v>
      </c>
      <c r="N13746">
        <v>0</v>
      </c>
      <c r="O13746">
        <v>24</v>
      </c>
      <c r="P13746">
        <v>0</v>
      </c>
    </row>
    <row r="13747" spans="1:16" x14ac:dyDescent="0.25">
      <c r="A13747" t="s">
        <v>36554</v>
      </c>
      <c r="B13747" t="s">
        <v>15819</v>
      </c>
      <c r="C13747" t="s">
        <v>15820</v>
      </c>
      <c r="D13747" t="s">
        <v>15706</v>
      </c>
      <c r="E13747" t="s">
        <v>15707</v>
      </c>
      <c r="F13747" t="s">
        <v>3670</v>
      </c>
      <c r="G13747" t="s">
        <v>47072</v>
      </c>
      <c r="H13747" t="s">
        <v>47071</v>
      </c>
      <c r="I13747" t="s">
        <v>47120</v>
      </c>
      <c r="J13747" t="s">
        <v>47121</v>
      </c>
      <c r="K13747" t="s">
        <v>47113</v>
      </c>
      <c r="L13747">
        <v>22.11</v>
      </c>
      <c r="M13747">
        <v>32</v>
      </c>
      <c r="N13747">
        <v>0</v>
      </c>
      <c r="O13747">
        <v>32</v>
      </c>
      <c r="P13747">
        <v>0</v>
      </c>
    </row>
    <row r="13748" spans="1:16" x14ac:dyDescent="0.25">
      <c r="A13748" t="s">
        <v>36555</v>
      </c>
      <c r="B13748" t="s">
        <v>15821</v>
      </c>
      <c r="C13748" t="s">
        <v>15709</v>
      </c>
      <c r="D13748" t="s">
        <v>15651</v>
      </c>
      <c r="E13748" t="s">
        <v>15652</v>
      </c>
      <c r="F13748" t="s">
        <v>3670</v>
      </c>
      <c r="G13748" t="s">
        <v>47072</v>
      </c>
      <c r="H13748" t="s">
        <v>47071</v>
      </c>
      <c r="I13748" t="s">
        <v>47120</v>
      </c>
      <c r="J13748" t="s">
        <v>47121</v>
      </c>
      <c r="K13748" t="s">
        <v>47113</v>
      </c>
      <c r="L13748">
        <v>36.1</v>
      </c>
      <c r="M13748">
        <v>51</v>
      </c>
      <c r="N13748">
        <v>0</v>
      </c>
      <c r="O13748">
        <v>51</v>
      </c>
      <c r="P13748">
        <v>0</v>
      </c>
    </row>
    <row r="13749" spans="1:16" x14ac:dyDescent="0.25">
      <c r="A13749" t="s">
        <v>36556</v>
      </c>
      <c r="B13749" t="s">
        <v>15822</v>
      </c>
      <c r="C13749" t="s">
        <v>15711</v>
      </c>
      <c r="D13749" t="s">
        <v>15712</v>
      </c>
      <c r="E13749" t="s">
        <v>15713</v>
      </c>
      <c r="F13749" t="s">
        <v>3670</v>
      </c>
      <c r="G13749" t="s">
        <v>47072</v>
      </c>
      <c r="H13749" t="s">
        <v>47071</v>
      </c>
      <c r="I13749" t="s">
        <v>47120</v>
      </c>
      <c r="J13749" t="s">
        <v>47121</v>
      </c>
      <c r="K13749" t="s">
        <v>47113</v>
      </c>
      <c r="L13749">
        <v>41.7</v>
      </c>
      <c r="M13749">
        <v>59</v>
      </c>
      <c r="N13749">
        <v>0</v>
      </c>
      <c r="O13749">
        <v>59</v>
      </c>
      <c r="P13749">
        <v>0</v>
      </c>
    </row>
    <row r="13750" spans="1:16" x14ac:dyDescent="0.25">
      <c r="A13750" t="s">
        <v>36557</v>
      </c>
      <c r="B13750" t="s">
        <v>15823</v>
      </c>
      <c r="C13750" t="s">
        <v>15783</v>
      </c>
      <c r="D13750" t="s">
        <v>15716</v>
      </c>
      <c r="E13750" t="s">
        <v>15717</v>
      </c>
      <c r="F13750" t="s">
        <v>3670</v>
      </c>
      <c r="G13750" t="s">
        <v>47135</v>
      </c>
      <c r="H13750" t="s">
        <v>47071</v>
      </c>
      <c r="I13750" t="s">
        <v>47120</v>
      </c>
      <c r="J13750" t="s">
        <v>47121</v>
      </c>
      <c r="K13750" t="s">
        <v>47113</v>
      </c>
      <c r="L13750">
        <v>13.72</v>
      </c>
      <c r="M13750">
        <v>20</v>
      </c>
      <c r="N13750">
        <v>0</v>
      </c>
      <c r="O13750">
        <v>20</v>
      </c>
      <c r="P13750">
        <v>0</v>
      </c>
    </row>
    <row r="13751" spans="1:16" x14ac:dyDescent="0.25">
      <c r="A13751" t="s">
        <v>36558</v>
      </c>
      <c r="B13751" t="s">
        <v>15824</v>
      </c>
      <c r="C13751" t="s">
        <v>15825</v>
      </c>
      <c r="D13751" t="s">
        <v>15716</v>
      </c>
      <c r="E13751" t="s">
        <v>15717</v>
      </c>
      <c r="F13751" t="s">
        <v>3670</v>
      </c>
      <c r="G13751" t="s">
        <v>47072</v>
      </c>
      <c r="H13751" t="s">
        <v>47071</v>
      </c>
      <c r="I13751" t="s">
        <v>47120</v>
      </c>
      <c r="J13751" t="s">
        <v>47121</v>
      </c>
      <c r="K13751" t="s">
        <v>47113</v>
      </c>
      <c r="L13751">
        <v>19.309999999999999</v>
      </c>
      <c r="M13751">
        <v>28</v>
      </c>
      <c r="N13751">
        <v>0</v>
      </c>
      <c r="O13751">
        <v>28</v>
      </c>
      <c r="P13751">
        <v>0</v>
      </c>
    </row>
    <row r="13752" spans="1:16" x14ac:dyDescent="0.25">
      <c r="A13752" t="s">
        <v>36559</v>
      </c>
      <c r="B13752" t="s">
        <v>15826</v>
      </c>
      <c r="C13752" t="s">
        <v>15787</v>
      </c>
      <c r="D13752" t="s">
        <v>15722</v>
      </c>
      <c r="E13752" t="s">
        <v>15723</v>
      </c>
      <c r="F13752" t="s">
        <v>3670</v>
      </c>
      <c r="G13752" t="s">
        <v>47072</v>
      </c>
      <c r="H13752" t="s">
        <v>47071</v>
      </c>
      <c r="I13752" t="s">
        <v>47120</v>
      </c>
      <c r="J13752" t="s">
        <v>47121</v>
      </c>
      <c r="K13752" t="s">
        <v>47113</v>
      </c>
      <c r="L13752">
        <v>41.7</v>
      </c>
      <c r="M13752">
        <v>59</v>
      </c>
      <c r="N13752">
        <v>0</v>
      </c>
      <c r="O13752">
        <v>59</v>
      </c>
      <c r="P13752">
        <v>0</v>
      </c>
    </row>
    <row r="13753" spans="1:16" x14ac:dyDescent="0.25">
      <c r="A13753" t="s">
        <v>36560</v>
      </c>
      <c r="B13753" t="s">
        <v>15827</v>
      </c>
      <c r="C13753" t="s">
        <v>15725</v>
      </c>
      <c r="D13753" t="s">
        <v>15698</v>
      </c>
      <c r="E13753" t="s">
        <v>15699</v>
      </c>
      <c r="F13753" t="s">
        <v>3670</v>
      </c>
      <c r="G13753" t="s">
        <v>47079</v>
      </c>
      <c r="H13753" t="s">
        <v>47071</v>
      </c>
      <c r="I13753" t="s">
        <v>47120</v>
      </c>
      <c r="J13753" t="s">
        <v>47121</v>
      </c>
      <c r="K13753" t="s">
        <v>47113</v>
      </c>
      <c r="L13753">
        <v>16.52</v>
      </c>
      <c r="M13753">
        <v>24</v>
      </c>
      <c r="N13753">
        <v>0</v>
      </c>
      <c r="O13753">
        <v>24</v>
      </c>
      <c r="P13753">
        <v>0</v>
      </c>
    </row>
    <row r="13754" spans="1:16" x14ac:dyDescent="0.25">
      <c r="A13754" t="s">
        <v>36561</v>
      </c>
      <c r="B13754" t="s">
        <v>15828</v>
      </c>
      <c r="C13754" t="s">
        <v>15727</v>
      </c>
      <c r="D13754" t="s">
        <v>15728</v>
      </c>
      <c r="E13754" t="s">
        <v>15729</v>
      </c>
      <c r="F13754" t="s">
        <v>15829</v>
      </c>
      <c r="G13754" t="s">
        <v>47076</v>
      </c>
      <c r="H13754" t="s">
        <v>47071</v>
      </c>
      <c r="I13754" t="s">
        <v>47120</v>
      </c>
      <c r="J13754" t="s">
        <v>47121</v>
      </c>
      <c r="K13754" t="s">
        <v>47113</v>
      </c>
      <c r="L13754">
        <v>27.71</v>
      </c>
      <c r="M13754">
        <v>39</v>
      </c>
      <c r="N13754">
        <v>0</v>
      </c>
      <c r="O13754">
        <v>39</v>
      </c>
      <c r="P13754">
        <v>0</v>
      </c>
    </row>
    <row r="13755" spans="1:16" x14ac:dyDescent="0.25">
      <c r="A13755" t="s">
        <v>36562</v>
      </c>
      <c r="B13755" t="s">
        <v>15830</v>
      </c>
      <c r="C13755" t="s">
        <v>15731</v>
      </c>
      <c r="D13755" t="s">
        <v>15651</v>
      </c>
      <c r="E13755" t="s">
        <v>15652</v>
      </c>
      <c r="F13755" t="s">
        <v>3670</v>
      </c>
      <c r="G13755" t="s">
        <v>48601</v>
      </c>
      <c r="H13755" t="s">
        <v>47071</v>
      </c>
      <c r="I13755" t="s">
        <v>47120</v>
      </c>
      <c r="J13755" t="s">
        <v>47121</v>
      </c>
      <c r="K13755" t="s">
        <v>47113</v>
      </c>
      <c r="L13755">
        <v>8.4</v>
      </c>
      <c r="M13755">
        <v>12</v>
      </c>
      <c r="N13755">
        <v>0</v>
      </c>
      <c r="O13755">
        <v>12</v>
      </c>
      <c r="P13755">
        <v>0</v>
      </c>
    </row>
    <row r="13756" spans="1:16" x14ac:dyDescent="0.25">
      <c r="A13756" t="s">
        <v>36563</v>
      </c>
      <c r="B13756" t="s">
        <v>15830</v>
      </c>
      <c r="C13756" t="s">
        <v>15731</v>
      </c>
      <c r="D13756" t="s">
        <v>14429</v>
      </c>
      <c r="E13756" t="s">
        <v>60</v>
      </c>
      <c r="F13756" t="s">
        <v>3670</v>
      </c>
      <c r="G13756" t="s">
        <v>48601</v>
      </c>
      <c r="H13756" t="s">
        <v>47071</v>
      </c>
      <c r="I13756" t="s">
        <v>47120</v>
      </c>
      <c r="J13756" t="s">
        <v>47121</v>
      </c>
      <c r="K13756" t="s">
        <v>47113</v>
      </c>
      <c r="L13756">
        <v>8.4</v>
      </c>
      <c r="M13756">
        <v>12</v>
      </c>
      <c r="N13756">
        <v>0</v>
      </c>
      <c r="O13756">
        <v>12</v>
      </c>
      <c r="P13756">
        <v>0</v>
      </c>
    </row>
    <row r="13757" spans="1:16" x14ac:dyDescent="0.25">
      <c r="A13757" t="s">
        <v>36564</v>
      </c>
      <c r="B13757" t="s">
        <v>15831</v>
      </c>
      <c r="C13757" t="s">
        <v>15792</v>
      </c>
      <c r="D13757" t="s">
        <v>15734</v>
      </c>
      <c r="E13757" t="s">
        <v>15735</v>
      </c>
      <c r="F13757" t="s">
        <v>3670</v>
      </c>
      <c r="G13757" t="s">
        <v>47077</v>
      </c>
      <c r="H13757" t="s">
        <v>47071</v>
      </c>
      <c r="I13757" t="s">
        <v>47120</v>
      </c>
      <c r="J13757" t="s">
        <v>47121</v>
      </c>
      <c r="K13757" t="s">
        <v>47113</v>
      </c>
      <c r="L13757">
        <v>16.52</v>
      </c>
      <c r="M13757">
        <v>24</v>
      </c>
      <c r="N13757">
        <v>0</v>
      </c>
      <c r="O13757">
        <v>24</v>
      </c>
      <c r="P13757">
        <v>0</v>
      </c>
    </row>
    <row r="13758" spans="1:16" x14ac:dyDescent="0.25">
      <c r="A13758" t="s">
        <v>36565</v>
      </c>
      <c r="B13758" t="s">
        <v>15832</v>
      </c>
      <c r="C13758" t="s">
        <v>15739</v>
      </c>
      <c r="D13758" t="s">
        <v>15740</v>
      </c>
      <c r="E13758" t="s">
        <v>42</v>
      </c>
      <c r="F13758" t="s">
        <v>3670</v>
      </c>
      <c r="G13758" t="s">
        <v>47073</v>
      </c>
      <c r="H13758" t="s">
        <v>47071</v>
      </c>
      <c r="I13758" t="s">
        <v>47120</v>
      </c>
      <c r="J13758" t="s">
        <v>47121</v>
      </c>
      <c r="K13758" t="s">
        <v>47113</v>
      </c>
      <c r="L13758">
        <v>8.4</v>
      </c>
      <c r="M13758">
        <v>12</v>
      </c>
      <c r="N13758">
        <v>0</v>
      </c>
      <c r="O13758">
        <v>12</v>
      </c>
      <c r="P13758">
        <v>0</v>
      </c>
    </row>
    <row r="13759" spans="1:16" x14ac:dyDescent="0.25">
      <c r="A13759" t="s">
        <v>36566</v>
      </c>
      <c r="B13759" t="s">
        <v>15832</v>
      </c>
      <c r="C13759" t="s">
        <v>15739</v>
      </c>
      <c r="D13759" t="s">
        <v>14429</v>
      </c>
      <c r="E13759" t="s">
        <v>60</v>
      </c>
      <c r="F13759" t="s">
        <v>3670</v>
      </c>
      <c r="G13759" t="s">
        <v>47073</v>
      </c>
      <c r="H13759" t="s">
        <v>47071</v>
      </c>
      <c r="I13759" t="s">
        <v>47120</v>
      </c>
      <c r="J13759" t="s">
        <v>47121</v>
      </c>
      <c r="K13759" t="s">
        <v>47113</v>
      </c>
      <c r="L13759">
        <v>8.4</v>
      </c>
      <c r="M13759">
        <v>12</v>
      </c>
      <c r="N13759">
        <v>0</v>
      </c>
      <c r="O13759">
        <v>12</v>
      </c>
      <c r="P13759">
        <v>0</v>
      </c>
    </row>
    <row r="13760" spans="1:16" x14ac:dyDescent="0.25">
      <c r="A13760" t="s">
        <v>36567</v>
      </c>
      <c r="B13760" t="s">
        <v>15833</v>
      </c>
      <c r="C13760" t="s">
        <v>15742</v>
      </c>
      <c r="D13760" t="s">
        <v>15651</v>
      </c>
      <c r="E13760" t="s">
        <v>15652</v>
      </c>
      <c r="F13760" t="s">
        <v>3670</v>
      </c>
      <c r="G13760" t="s">
        <v>47073</v>
      </c>
      <c r="H13760" t="s">
        <v>47071</v>
      </c>
      <c r="I13760" t="s">
        <v>47120</v>
      </c>
      <c r="J13760" t="s">
        <v>47121</v>
      </c>
      <c r="K13760" t="s">
        <v>47113</v>
      </c>
      <c r="L13760">
        <v>9.8000000000000007</v>
      </c>
      <c r="M13760">
        <v>14</v>
      </c>
      <c r="N13760">
        <v>0</v>
      </c>
      <c r="O13760">
        <v>14</v>
      </c>
      <c r="P13760">
        <v>0</v>
      </c>
    </row>
    <row r="13761" spans="1:16" x14ac:dyDescent="0.25">
      <c r="A13761" t="s">
        <v>36568</v>
      </c>
      <c r="B13761" t="s">
        <v>15834</v>
      </c>
      <c r="C13761" t="s">
        <v>15744</v>
      </c>
      <c r="D13761" t="s">
        <v>15745</v>
      </c>
      <c r="E13761" t="s">
        <v>15746</v>
      </c>
      <c r="F13761" t="s">
        <v>3670</v>
      </c>
      <c r="G13761" t="s">
        <v>47073</v>
      </c>
      <c r="H13761" t="s">
        <v>47071</v>
      </c>
      <c r="I13761" t="s">
        <v>47120</v>
      </c>
      <c r="J13761" t="s">
        <v>47121</v>
      </c>
      <c r="K13761" t="s">
        <v>47113</v>
      </c>
      <c r="L13761">
        <v>9.8000000000000007</v>
      </c>
      <c r="M13761">
        <v>14</v>
      </c>
      <c r="N13761">
        <v>0</v>
      </c>
      <c r="O13761">
        <v>14</v>
      </c>
      <c r="P13761">
        <v>0</v>
      </c>
    </row>
    <row r="13762" spans="1:16" x14ac:dyDescent="0.25">
      <c r="A13762" t="s">
        <v>36569</v>
      </c>
      <c r="B13762" t="s">
        <v>15835</v>
      </c>
      <c r="C13762" t="s">
        <v>15748</v>
      </c>
      <c r="D13762" t="s">
        <v>15654</v>
      </c>
      <c r="E13762" t="s">
        <v>15655</v>
      </c>
      <c r="F13762" t="s">
        <v>3670</v>
      </c>
      <c r="G13762" t="s">
        <v>47073</v>
      </c>
      <c r="H13762" t="s">
        <v>47071</v>
      </c>
      <c r="I13762" t="s">
        <v>47120</v>
      </c>
      <c r="J13762" t="s">
        <v>47121</v>
      </c>
      <c r="K13762" t="s">
        <v>47113</v>
      </c>
      <c r="L13762">
        <v>9.8000000000000007</v>
      </c>
      <c r="M13762">
        <v>14</v>
      </c>
      <c r="N13762">
        <v>0</v>
      </c>
      <c r="O13762">
        <v>14</v>
      </c>
      <c r="P13762">
        <v>0</v>
      </c>
    </row>
    <row r="13763" spans="1:16" x14ac:dyDescent="0.25">
      <c r="A13763" t="s">
        <v>36570</v>
      </c>
      <c r="B13763" t="s">
        <v>15835</v>
      </c>
      <c r="C13763" t="s">
        <v>15748</v>
      </c>
      <c r="D13763" t="s">
        <v>15749</v>
      </c>
      <c r="E13763" t="s">
        <v>15750</v>
      </c>
      <c r="F13763" t="s">
        <v>3670</v>
      </c>
      <c r="G13763" t="s">
        <v>47073</v>
      </c>
      <c r="H13763" t="s">
        <v>47071</v>
      </c>
      <c r="I13763" t="s">
        <v>47120</v>
      </c>
      <c r="J13763" t="s">
        <v>47121</v>
      </c>
      <c r="K13763" t="s">
        <v>47113</v>
      </c>
      <c r="L13763">
        <v>9.8000000000000007</v>
      </c>
      <c r="M13763">
        <v>14</v>
      </c>
      <c r="N13763">
        <v>0</v>
      </c>
      <c r="O13763">
        <v>14</v>
      </c>
      <c r="P13763">
        <v>0</v>
      </c>
    </row>
    <row r="13764" spans="1:16" x14ac:dyDescent="0.25">
      <c r="A13764" t="s">
        <v>36571</v>
      </c>
      <c r="B13764" t="s">
        <v>15836</v>
      </c>
      <c r="C13764" t="s">
        <v>15739</v>
      </c>
      <c r="D13764" t="s">
        <v>15752</v>
      </c>
      <c r="E13764" t="s">
        <v>15753</v>
      </c>
      <c r="F13764" t="s">
        <v>3670</v>
      </c>
      <c r="G13764" t="s">
        <v>47073</v>
      </c>
      <c r="H13764" t="s">
        <v>47071</v>
      </c>
      <c r="I13764" t="s">
        <v>47120</v>
      </c>
      <c r="J13764" t="s">
        <v>47121</v>
      </c>
      <c r="K13764" t="s">
        <v>47113</v>
      </c>
      <c r="L13764">
        <v>8.3800000000000008</v>
      </c>
      <c r="M13764">
        <v>12</v>
      </c>
      <c r="N13764">
        <v>0</v>
      </c>
      <c r="O13764">
        <v>12</v>
      </c>
      <c r="P13764">
        <v>0</v>
      </c>
    </row>
    <row r="13765" spans="1:16" x14ac:dyDescent="0.25">
      <c r="A13765" t="s">
        <v>36572</v>
      </c>
      <c r="B13765" t="s">
        <v>15836</v>
      </c>
      <c r="C13765" t="s">
        <v>15739</v>
      </c>
      <c r="D13765" t="s">
        <v>15651</v>
      </c>
      <c r="E13765" t="s">
        <v>15652</v>
      </c>
      <c r="F13765" t="s">
        <v>3670</v>
      </c>
      <c r="G13765" t="s">
        <v>47073</v>
      </c>
      <c r="H13765" t="s">
        <v>47071</v>
      </c>
      <c r="I13765" t="s">
        <v>47120</v>
      </c>
      <c r="J13765" t="s">
        <v>47121</v>
      </c>
      <c r="K13765" t="s">
        <v>47113</v>
      </c>
      <c r="L13765">
        <v>8.3800000000000008</v>
      </c>
      <c r="M13765">
        <v>12</v>
      </c>
      <c r="N13765">
        <v>0</v>
      </c>
      <c r="O13765">
        <v>12</v>
      </c>
      <c r="P13765">
        <v>0</v>
      </c>
    </row>
    <row r="13766" spans="1:16" x14ac:dyDescent="0.25">
      <c r="A13766" t="s">
        <v>36573</v>
      </c>
      <c r="B13766" t="s">
        <v>15837</v>
      </c>
      <c r="C13766" t="s">
        <v>15755</v>
      </c>
      <c r="D13766" t="s">
        <v>15756</v>
      </c>
      <c r="E13766" t="s">
        <v>15757</v>
      </c>
      <c r="F13766" t="s">
        <v>3670</v>
      </c>
      <c r="G13766" t="s">
        <v>47073</v>
      </c>
      <c r="H13766" t="s">
        <v>47071</v>
      </c>
      <c r="I13766" t="s">
        <v>47120</v>
      </c>
      <c r="J13766" t="s">
        <v>47121</v>
      </c>
      <c r="K13766" t="s">
        <v>47113</v>
      </c>
      <c r="L13766">
        <v>10.92</v>
      </c>
      <c r="M13766">
        <v>16</v>
      </c>
      <c r="N13766">
        <v>0</v>
      </c>
      <c r="O13766">
        <v>16</v>
      </c>
      <c r="P13766">
        <v>0</v>
      </c>
    </row>
    <row r="13767" spans="1:16" x14ac:dyDescent="0.25">
      <c r="A13767" t="s">
        <v>36574</v>
      </c>
      <c r="B13767" t="s">
        <v>15837</v>
      </c>
      <c r="C13767" t="s">
        <v>15755</v>
      </c>
      <c r="D13767" t="s">
        <v>15654</v>
      </c>
      <c r="E13767" t="s">
        <v>15655</v>
      </c>
      <c r="F13767" t="s">
        <v>3670</v>
      </c>
      <c r="G13767" t="s">
        <v>47073</v>
      </c>
      <c r="H13767" t="s">
        <v>47071</v>
      </c>
      <c r="I13767" t="s">
        <v>47120</v>
      </c>
      <c r="J13767" t="s">
        <v>47121</v>
      </c>
      <c r="K13767" t="s">
        <v>47113</v>
      </c>
      <c r="L13767">
        <v>10.92</v>
      </c>
      <c r="M13767">
        <v>16</v>
      </c>
      <c r="N13767">
        <v>0</v>
      </c>
      <c r="O13767">
        <v>16</v>
      </c>
      <c r="P13767">
        <v>0</v>
      </c>
    </row>
    <row r="13768" spans="1:16" x14ac:dyDescent="0.25">
      <c r="A13768" t="s">
        <v>36575</v>
      </c>
      <c r="B13768" t="s">
        <v>15838</v>
      </c>
      <c r="C13768" t="s">
        <v>15759</v>
      </c>
      <c r="D13768" t="s">
        <v>15702</v>
      </c>
      <c r="E13768" t="s">
        <v>15703</v>
      </c>
      <c r="F13768" t="s">
        <v>3670</v>
      </c>
      <c r="G13768" t="s">
        <v>47075</v>
      </c>
      <c r="H13768" t="s">
        <v>47071</v>
      </c>
      <c r="I13768" t="s">
        <v>47120</v>
      </c>
      <c r="J13768" t="s">
        <v>47121</v>
      </c>
      <c r="K13768" t="s">
        <v>47113</v>
      </c>
      <c r="L13768">
        <v>24.91</v>
      </c>
      <c r="M13768">
        <v>36</v>
      </c>
      <c r="N13768">
        <v>0</v>
      </c>
      <c r="O13768">
        <v>36</v>
      </c>
      <c r="P13768">
        <v>0</v>
      </c>
    </row>
    <row r="13769" spans="1:16" x14ac:dyDescent="0.25">
      <c r="A13769" t="s">
        <v>36576</v>
      </c>
      <c r="B13769" t="s">
        <v>15839</v>
      </c>
      <c r="C13769" t="s">
        <v>15761</v>
      </c>
      <c r="D13769" t="s">
        <v>15651</v>
      </c>
      <c r="E13769" t="s">
        <v>15652</v>
      </c>
      <c r="F13769" t="s">
        <v>3670</v>
      </c>
      <c r="G13769" t="s">
        <v>47135</v>
      </c>
      <c r="H13769" t="s">
        <v>47071</v>
      </c>
      <c r="I13769" t="s">
        <v>47120</v>
      </c>
      <c r="J13769" t="s">
        <v>47121</v>
      </c>
      <c r="K13769" t="s">
        <v>47113</v>
      </c>
      <c r="L13769">
        <v>19.309999999999999</v>
      </c>
      <c r="M13769">
        <v>28</v>
      </c>
      <c r="N13769">
        <v>0</v>
      </c>
      <c r="O13769">
        <v>28</v>
      </c>
      <c r="P13769">
        <v>0</v>
      </c>
    </row>
    <row r="13770" spans="1:16" x14ac:dyDescent="0.25">
      <c r="A13770" t="s">
        <v>47009</v>
      </c>
      <c r="B13770" t="s">
        <v>46880</v>
      </c>
      <c r="C13770" t="s">
        <v>46778</v>
      </c>
      <c r="D13770" t="s">
        <v>15734</v>
      </c>
      <c r="E13770" t="s">
        <v>15735</v>
      </c>
      <c r="F13770" t="s">
        <v>27965</v>
      </c>
      <c r="G13770" t="s">
        <v>47145</v>
      </c>
      <c r="H13770" t="s">
        <v>47071</v>
      </c>
      <c r="I13770" t="s">
        <v>47120</v>
      </c>
      <c r="J13770" t="s">
        <v>47121</v>
      </c>
      <c r="K13770" t="s">
        <v>47113</v>
      </c>
      <c r="L13770">
        <v>27.26</v>
      </c>
      <c r="M13770">
        <v>52</v>
      </c>
      <c r="N13770">
        <v>129</v>
      </c>
      <c r="O13770">
        <v>52</v>
      </c>
      <c r="P13770">
        <v>129</v>
      </c>
    </row>
    <row r="13771" spans="1:16" x14ac:dyDescent="0.25">
      <c r="A13771" t="s">
        <v>47010</v>
      </c>
      <c r="B13771" t="s">
        <v>46881</v>
      </c>
      <c r="C13771" t="s">
        <v>21211</v>
      </c>
      <c r="D13771" t="s">
        <v>46780</v>
      </c>
      <c r="E13771" t="s">
        <v>46781</v>
      </c>
      <c r="F13771" t="s">
        <v>27965</v>
      </c>
      <c r="G13771" t="s">
        <v>47081</v>
      </c>
      <c r="H13771" t="s">
        <v>47071</v>
      </c>
      <c r="I13771" t="s">
        <v>47116</v>
      </c>
      <c r="J13771" t="s">
        <v>47117</v>
      </c>
      <c r="K13771" t="s">
        <v>47113</v>
      </c>
      <c r="L13771">
        <v>35.729999999999997</v>
      </c>
      <c r="M13771">
        <v>80</v>
      </c>
      <c r="N13771">
        <v>199</v>
      </c>
      <c r="O13771">
        <v>80</v>
      </c>
      <c r="P13771">
        <v>199</v>
      </c>
    </row>
    <row r="13772" spans="1:16" x14ac:dyDescent="0.25">
      <c r="A13772" t="s">
        <v>47011</v>
      </c>
      <c r="B13772" t="s">
        <v>46882</v>
      </c>
      <c r="C13772" t="s">
        <v>46783</v>
      </c>
      <c r="D13772" t="s">
        <v>46784</v>
      </c>
      <c r="E13772" t="s">
        <v>46785</v>
      </c>
      <c r="F13772" t="s">
        <v>27965</v>
      </c>
      <c r="G13772" t="s">
        <v>47081</v>
      </c>
      <c r="H13772" t="s">
        <v>47071</v>
      </c>
      <c r="I13772" t="s">
        <v>47116</v>
      </c>
      <c r="J13772" t="s">
        <v>47117</v>
      </c>
      <c r="K13772" t="s">
        <v>47113</v>
      </c>
      <c r="L13772">
        <v>24.67</v>
      </c>
      <c r="M13772">
        <v>52</v>
      </c>
      <c r="N13772">
        <v>129</v>
      </c>
      <c r="O13772">
        <v>52</v>
      </c>
      <c r="P13772">
        <v>129</v>
      </c>
    </row>
    <row r="13773" spans="1:16" x14ac:dyDescent="0.25">
      <c r="A13773" t="s">
        <v>47012</v>
      </c>
      <c r="B13773" t="s">
        <v>46883</v>
      </c>
      <c r="C13773" t="s">
        <v>46787</v>
      </c>
      <c r="D13773" t="s">
        <v>46788</v>
      </c>
      <c r="E13773" t="s">
        <v>46789</v>
      </c>
      <c r="F13773" t="s">
        <v>27965</v>
      </c>
      <c r="G13773" t="s">
        <v>47081</v>
      </c>
      <c r="H13773" t="s">
        <v>47071</v>
      </c>
      <c r="I13773" t="s">
        <v>47116</v>
      </c>
      <c r="J13773" t="s">
        <v>47117</v>
      </c>
      <c r="K13773" t="s">
        <v>47113</v>
      </c>
      <c r="L13773">
        <v>35.76</v>
      </c>
      <c r="M13773">
        <v>80</v>
      </c>
      <c r="N13773">
        <v>199</v>
      </c>
      <c r="O13773">
        <v>80</v>
      </c>
      <c r="P13773">
        <v>199</v>
      </c>
    </row>
    <row r="13774" spans="1:16" x14ac:dyDescent="0.25">
      <c r="A13774" t="s">
        <v>47013</v>
      </c>
      <c r="B13774" t="s">
        <v>46884</v>
      </c>
      <c r="C13774" t="s">
        <v>46791</v>
      </c>
      <c r="D13774" t="s">
        <v>9513</v>
      </c>
      <c r="E13774" t="s">
        <v>9514</v>
      </c>
      <c r="F13774" t="s">
        <v>27965</v>
      </c>
      <c r="G13774" t="s">
        <v>47087</v>
      </c>
      <c r="H13774" t="s">
        <v>47071</v>
      </c>
      <c r="I13774" t="s">
        <v>47120</v>
      </c>
      <c r="J13774" t="s">
        <v>47121</v>
      </c>
      <c r="K13774" t="s">
        <v>47113</v>
      </c>
      <c r="L13774">
        <v>15</v>
      </c>
      <c r="M13774">
        <v>28</v>
      </c>
      <c r="N13774">
        <v>69</v>
      </c>
      <c r="O13774">
        <v>28</v>
      </c>
      <c r="P13774">
        <v>69</v>
      </c>
    </row>
    <row r="13775" spans="1:16" x14ac:dyDescent="0.25">
      <c r="A13775" t="s">
        <v>47014</v>
      </c>
      <c r="B13775" t="s">
        <v>46885</v>
      </c>
      <c r="C13775" t="s">
        <v>46793</v>
      </c>
      <c r="D13775" t="s">
        <v>46794</v>
      </c>
      <c r="E13775" t="s">
        <v>46795</v>
      </c>
      <c r="F13775" t="s">
        <v>27965</v>
      </c>
      <c r="G13775" t="s">
        <v>47147</v>
      </c>
      <c r="H13775" t="s">
        <v>47071</v>
      </c>
      <c r="I13775" t="s">
        <v>47116</v>
      </c>
      <c r="J13775" t="s">
        <v>47117</v>
      </c>
      <c r="K13775" t="s">
        <v>47113</v>
      </c>
      <c r="L13775">
        <v>24.67</v>
      </c>
      <c r="M13775">
        <v>52</v>
      </c>
      <c r="N13775">
        <v>129</v>
      </c>
      <c r="O13775">
        <v>52</v>
      </c>
      <c r="P13775">
        <v>129</v>
      </c>
    </row>
    <row r="13776" spans="1:16" x14ac:dyDescent="0.25">
      <c r="A13776" t="s">
        <v>48857</v>
      </c>
      <c r="B13776" t="s">
        <v>48858</v>
      </c>
      <c r="C13776" t="s">
        <v>46793</v>
      </c>
      <c r="D13776" t="s">
        <v>48611</v>
      </c>
      <c r="E13776" t="s">
        <v>8242</v>
      </c>
      <c r="F13776" t="s">
        <v>27965</v>
      </c>
      <c r="G13776" t="s">
        <v>47081</v>
      </c>
      <c r="H13776" t="s">
        <v>47071</v>
      </c>
      <c r="I13776" t="s">
        <v>47116</v>
      </c>
      <c r="J13776" t="s">
        <v>47117</v>
      </c>
      <c r="K13776" t="s">
        <v>47113</v>
      </c>
      <c r="L13776">
        <v>24.67</v>
      </c>
      <c r="M13776">
        <v>52</v>
      </c>
      <c r="N13776">
        <v>129</v>
      </c>
      <c r="O13776">
        <v>52</v>
      </c>
      <c r="P13776">
        <v>129</v>
      </c>
    </row>
    <row r="13777" spans="1:16" x14ac:dyDescent="0.25">
      <c r="A13777" t="s">
        <v>47015</v>
      </c>
      <c r="B13777" t="s">
        <v>46886</v>
      </c>
      <c r="C13777" t="s">
        <v>46797</v>
      </c>
      <c r="D13777" t="s">
        <v>9513</v>
      </c>
      <c r="E13777" t="s">
        <v>9514</v>
      </c>
      <c r="F13777" t="s">
        <v>27965</v>
      </c>
      <c r="G13777" t="s">
        <v>47087</v>
      </c>
      <c r="H13777" t="s">
        <v>47071</v>
      </c>
      <c r="I13777" t="s">
        <v>47120</v>
      </c>
      <c r="J13777" t="s">
        <v>47121</v>
      </c>
      <c r="K13777" t="s">
        <v>47113</v>
      </c>
      <c r="L13777">
        <v>15</v>
      </c>
      <c r="M13777">
        <v>28</v>
      </c>
      <c r="N13777">
        <v>69</v>
      </c>
      <c r="O13777">
        <v>28</v>
      </c>
      <c r="P13777">
        <v>69</v>
      </c>
    </row>
    <row r="13778" spans="1:16" x14ac:dyDescent="0.25">
      <c r="A13778" t="s">
        <v>47016</v>
      </c>
      <c r="B13778" t="s">
        <v>46887</v>
      </c>
      <c r="C13778" t="s">
        <v>46799</v>
      </c>
      <c r="D13778" t="s">
        <v>46800</v>
      </c>
      <c r="E13778" t="s">
        <v>46801</v>
      </c>
      <c r="F13778" t="s">
        <v>27965</v>
      </c>
      <c r="G13778" t="s">
        <v>47087</v>
      </c>
      <c r="H13778" t="s">
        <v>47071</v>
      </c>
      <c r="I13778" t="s">
        <v>47120</v>
      </c>
      <c r="J13778" t="s">
        <v>47121</v>
      </c>
      <c r="K13778" t="s">
        <v>47113</v>
      </c>
      <c r="L13778">
        <v>16.36</v>
      </c>
      <c r="M13778">
        <v>40</v>
      </c>
      <c r="N13778">
        <v>99</v>
      </c>
      <c r="O13778">
        <v>40</v>
      </c>
      <c r="P13778">
        <v>99</v>
      </c>
    </row>
    <row r="13779" spans="1:16" x14ac:dyDescent="0.25">
      <c r="A13779" t="s">
        <v>47017</v>
      </c>
      <c r="B13779" t="s">
        <v>46888</v>
      </c>
      <c r="C13779" t="s">
        <v>46803</v>
      </c>
      <c r="D13779" t="s">
        <v>14429</v>
      </c>
      <c r="E13779" t="s">
        <v>60</v>
      </c>
      <c r="F13779" t="s">
        <v>27965</v>
      </c>
      <c r="G13779" t="s">
        <v>47087</v>
      </c>
      <c r="H13779" t="s">
        <v>47071</v>
      </c>
      <c r="I13779" t="s">
        <v>47120</v>
      </c>
      <c r="J13779" t="s">
        <v>47121</v>
      </c>
      <c r="K13779" t="s">
        <v>47113</v>
      </c>
      <c r="L13779">
        <v>13.78</v>
      </c>
      <c r="M13779">
        <v>26</v>
      </c>
      <c r="N13779">
        <v>65</v>
      </c>
      <c r="O13779">
        <v>26</v>
      </c>
      <c r="P13779">
        <v>65</v>
      </c>
    </row>
    <row r="13780" spans="1:16" x14ac:dyDescent="0.25">
      <c r="A13780" t="s">
        <v>47018</v>
      </c>
      <c r="B13780" t="s">
        <v>46889</v>
      </c>
      <c r="C13780" t="s">
        <v>46805</v>
      </c>
      <c r="D13780" t="s">
        <v>18070</v>
      </c>
      <c r="E13780" t="s">
        <v>814</v>
      </c>
      <c r="F13780" t="s">
        <v>27965</v>
      </c>
      <c r="G13780" t="s">
        <v>47087</v>
      </c>
      <c r="H13780" t="s">
        <v>47071</v>
      </c>
      <c r="I13780" t="s">
        <v>47120</v>
      </c>
      <c r="J13780" t="s">
        <v>47121</v>
      </c>
      <c r="K13780" t="s">
        <v>47113</v>
      </c>
      <c r="L13780">
        <v>10.81</v>
      </c>
      <c r="M13780">
        <v>20</v>
      </c>
      <c r="N13780">
        <v>49</v>
      </c>
      <c r="O13780">
        <v>20</v>
      </c>
      <c r="P13780">
        <v>49</v>
      </c>
    </row>
    <row r="13781" spans="1:16" x14ac:dyDescent="0.25">
      <c r="A13781" t="s">
        <v>47019</v>
      </c>
      <c r="B13781" t="s">
        <v>46890</v>
      </c>
      <c r="C13781" t="s">
        <v>46891</v>
      </c>
      <c r="D13781" t="s">
        <v>15734</v>
      </c>
      <c r="E13781" t="s">
        <v>15735</v>
      </c>
      <c r="F13781" t="s">
        <v>27965</v>
      </c>
      <c r="G13781" t="s">
        <v>47087</v>
      </c>
      <c r="H13781" t="s">
        <v>47071</v>
      </c>
      <c r="I13781" t="s">
        <v>47120</v>
      </c>
      <c r="J13781" t="s">
        <v>47121</v>
      </c>
      <c r="K13781" t="s">
        <v>47113</v>
      </c>
      <c r="L13781">
        <v>13.58</v>
      </c>
      <c r="M13781">
        <v>28</v>
      </c>
      <c r="N13781">
        <v>69</v>
      </c>
      <c r="O13781">
        <v>28</v>
      </c>
      <c r="P13781">
        <v>69</v>
      </c>
    </row>
    <row r="13782" spans="1:16" x14ac:dyDescent="0.25">
      <c r="A13782" t="s">
        <v>47020</v>
      </c>
      <c r="B13782" t="s">
        <v>46892</v>
      </c>
      <c r="C13782" t="s">
        <v>46893</v>
      </c>
      <c r="D13782" t="s">
        <v>15692</v>
      </c>
      <c r="E13782" t="s">
        <v>46</v>
      </c>
      <c r="F13782" t="s">
        <v>27965</v>
      </c>
      <c r="G13782" t="s">
        <v>47151</v>
      </c>
      <c r="H13782" t="s">
        <v>47071</v>
      </c>
      <c r="I13782" t="s">
        <v>47120</v>
      </c>
      <c r="J13782" t="s">
        <v>47121</v>
      </c>
      <c r="K13782" t="s">
        <v>47113</v>
      </c>
      <c r="L13782">
        <v>10.81</v>
      </c>
      <c r="M13782">
        <v>20</v>
      </c>
      <c r="N13782">
        <v>49</v>
      </c>
      <c r="O13782">
        <v>20</v>
      </c>
      <c r="P13782">
        <v>49</v>
      </c>
    </row>
    <row r="13783" spans="1:16" x14ac:dyDescent="0.25">
      <c r="A13783" t="s">
        <v>47021</v>
      </c>
      <c r="B13783" t="s">
        <v>46894</v>
      </c>
      <c r="C13783" t="s">
        <v>46807</v>
      </c>
      <c r="D13783" t="s">
        <v>46800</v>
      </c>
      <c r="E13783" t="s">
        <v>46801</v>
      </c>
      <c r="F13783" t="s">
        <v>27965</v>
      </c>
      <c r="G13783" t="s">
        <v>47085</v>
      </c>
      <c r="H13783" t="s">
        <v>47071</v>
      </c>
      <c r="I13783" t="s">
        <v>47120</v>
      </c>
      <c r="J13783" t="s">
        <v>47121</v>
      </c>
      <c r="K13783" t="s">
        <v>47113</v>
      </c>
      <c r="L13783">
        <v>16.36</v>
      </c>
      <c r="M13783">
        <v>40</v>
      </c>
      <c r="N13783">
        <v>99</v>
      </c>
      <c r="O13783">
        <v>40</v>
      </c>
      <c r="P13783">
        <v>99</v>
      </c>
    </row>
    <row r="13784" spans="1:16" x14ac:dyDescent="0.25">
      <c r="A13784" t="s">
        <v>48859</v>
      </c>
      <c r="B13784" t="s">
        <v>48860</v>
      </c>
      <c r="C13784" t="s">
        <v>48620</v>
      </c>
      <c r="D13784" t="s">
        <v>18070</v>
      </c>
      <c r="E13784" t="s">
        <v>814</v>
      </c>
      <c r="F13784" t="s">
        <v>27965</v>
      </c>
      <c r="G13784" t="s">
        <v>47085</v>
      </c>
      <c r="H13784" t="s">
        <v>47071</v>
      </c>
      <c r="I13784" t="s">
        <v>47120</v>
      </c>
      <c r="J13784" t="s">
        <v>47121</v>
      </c>
      <c r="K13784" t="s">
        <v>47113</v>
      </c>
      <c r="L13784">
        <v>15.66</v>
      </c>
      <c r="M13784">
        <v>40</v>
      </c>
      <c r="N13784">
        <v>99</v>
      </c>
      <c r="O13784">
        <v>40</v>
      </c>
      <c r="P13784">
        <v>99</v>
      </c>
    </row>
    <row r="13785" spans="1:16" x14ac:dyDescent="0.25">
      <c r="A13785" t="s">
        <v>48861</v>
      </c>
      <c r="B13785" t="s">
        <v>48860</v>
      </c>
      <c r="C13785" t="s">
        <v>48620</v>
      </c>
      <c r="D13785" t="s">
        <v>9513</v>
      </c>
      <c r="E13785" t="s">
        <v>9514</v>
      </c>
      <c r="F13785" t="s">
        <v>27965</v>
      </c>
      <c r="G13785" t="s">
        <v>47085</v>
      </c>
      <c r="H13785" t="s">
        <v>47071</v>
      </c>
      <c r="I13785" t="s">
        <v>47120</v>
      </c>
      <c r="J13785" t="s">
        <v>47121</v>
      </c>
      <c r="K13785" t="s">
        <v>47113</v>
      </c>
      <c r="L13785">
        <v>15.66</v>
      </c>
      <c r="M13785">
        <v>40</v>
      </c>
      <c r="N13785">
        <v>99</v>
      </c>
      <c r="O13785">
        <v>40</v>
      </c>
      <c r="P13785">
        <v>99</v>
      </c>
    </row>
    <row r="13786" spans="1:16" x14ac:dyDescent="0.25">
      <c r="A13786" t="s">
        <v>47022</v>
      </c>
      <c r="B13786" t="s">
        <v>46895</v>
      </c>
      <c r="C13786" t="s">
        <v>46896</v>
      </c>
      <c r="D13786" t="s">
        <v>21144</v>
      </c>
      <c r="E13786" t="s">
        <v>21145</v>
      </c>
      <c r="F13786" t="s">
        <v>27965</v>
      </c>
      <c r="G13786" t="s">
        <v>47087</v>
      </c>
      <c r="H13786" t="s">
        <v>47071</v>
      </c>
      <c r="I13786" t="s">
        <v>48612</v>
      </c>
      <c r="J13786" t="s">
        <v>48613</v>
      </c>
      <c r="K13786" t="s">
        <v>47113</v>
      </c>
      <c r="L13786">
        <v>10.81</v>
      </c>
      <c r="M13786">
        <v>20</v>
      </c>
      <c r="N13786">
        <v>49</v>
      </c>
      <c r="O13786">
        <v>20</v>
      </c>
      <c r="P13786">
        <v>49</v>
      </c>
    </row>
    <row r="13787" spans="1:16" x14ac:dyDescent="0.25">
      <c r="A13787" t="s">
        <v>36577</v>
      </c>
      <c r="B13787" t="s">
        <v>36578</v>
      </c>
      <c r="C13787" t="s">
        <v>36374</v>
      </c>
      <c r="D13787" t="s">
        <v>21134</v>
      </c>
      <c r="E13787" t="s">
        <v>21135</v>
      </c>
      <c r="F13787" t="s">
        <v>17351</v>
      </c>
      <c r="G13787" t="s">
        <v>47149</v>
      </c>
      <c r="H13787" t="s">
        <v>47071</v>
      </c>
      <c r="I13787" t="s">
        <v>47116</v>
      </c>
      <c r="J13787" t="s">
        <v>47117</v>
      </c>
      <c r="K13787" t="s">
        <v>47113</v>
      </c>
      <c r="L13787">
        <v>27.25</v>
      </c>
      <c r="M13787">
        <v>52</v>
      </c>
      <c r="N13787">
        <v>0</v>
      </c>
      <c r="O13787">
        <v>52</v>
      </c>
      <c r="P13787">
        <v>0</v>
      </c>
    </row>
    <row r="13788" spans="1:16" x14ac:dyDescent="0.25">
      <c r="A13788" t="s">
        <v>36579</v>
      </c>
      <c r="B13788" t="s">
        <v>36580</v>
      </c>
      <c r="C13788" t="s">
        <v>36581</v>
      </c>
      <c r="D13788" t="s">
        <v>21134</v>
      </c>
      <c r="E13788" t="s">
        <v>21135</v>
      </c>
      <c r="F13788" t="s">
        <v>17351</v>
      </c>
      <c r="G13788" t="s">
        <v>47081</v>
      </c>
      <c r="H13788" t="s">
        <v>47071</v>
      </c>
      <c r="I13788" t="s">
        <v>47116</v>
      </c>
      <c r="J13788" t="s">
        <v>47117</v>
      </c>
      <c r="K13788" t="s">
        <v>47113</v>
      </c>
      <c r="L13788">
        <v>24.2</v>
      </c>
      <c r="M13788">
        <v>52</v>
      </c>
      <c r="N13788">
        <v>0</v>
      </c>
      <c r="O13788">
        <v>52</v>
      </c>
      <c r="P13788">
        <v>0</v>
      </c>
    </row>
    <row r="13789" spans="1:16" x14ac:dyDescent="0.25">
      <c r="A13789" t="s">
        <v>36582</v>
      </c>
      <c r="B13789" t="s">
        <v>36583</v>
      </c>
      <c r="C13789" t="s">
        <v>36584</v>
      </c>
      <c r="D13789" t="s">
        <v>21156</v>
      </c>
      <c r="E13789" t="s">
        <v>21157</v>
      </c>
      <c r="F13789" t="s">
        <v>17351</v>
      </c>
      <c r="G13789" t="s">
        <v>47147</v>
      </c>
      <c r="H13789" t="s">
        <v>47071</v>
      </c>
      <c r="I13789" t="s">
        <v>47116</v>
      </c>
      <c r="J13789" t="s">
        <v>47117</v>
      </c>
      <c r="K13789" t="s">
        <v>47113</v>
      </c>
      <c r="L13789">
        <v>18.07</v>
      </c>
      <c r="M13789">
        <v>34</v>
      </c>
      <c r="N13789">
        <v>0</v>
      </c>
      <c r="O13789">
        <v>34</v>
      </c>
      <c r="P13789">
        <v>0</v>
      </c>
    </row>
    <row r="13790" spans="1:16" x14ac:dyDescent="0.25">
      <c r="A13790" t="s">
        <v>36585</v>
      </c>
      <c r="B13790" t="s">
        <v>36586</v>
      </c>
      <c r="C13790" t="s">
        <v>21165</v>
      </c>
      <c r="D13790" t="s">
        <v>21126</v>
      </c>
      <c r="E13790" t="s">
        <v>21127</v>
      </c>
      <c r="F13790" t="s">
        <v>17351</v>
      </c>
      <c r="G13790" t="s">
        <v>47084</v>
      </c>
      <c r="H13790" t="s">
        <v>47071</v>
      </c>
      <c r="I13790" t="s">
        <v>47120</v>
      </c>
      <c r="J13790" t="s">
        <v>47121</v>
      </c>
      <c r="K13790" t="s">
        <v>47113</v>
      </c>
      <c r="L13790">
        <v>11.95</v>
      </c>
      <c r="M13790">
        <v>28</v>
      </c>
      <c r="N13790">
        <v>0</v>
      </c>
      <c r="O13790">
        <v>28</v>
      </c>
      <c r="P13790">
        <v>0</v>
      </c>
    </row>
    <row r="13791" spans="1:16" x14ac:dyDescent="0.25">
      <c r="A13791" t="s">
        <v>36587</v>
      </c>
      <c r="B13791" t="s">
        <v>36588</v>
      </c>
      <c r="C13791" t="s">
        <v>21167</v>
      </c>
      <c r="D13791" t="s">
        <v>21130</v>
      </c>
      <c r="E13791" t="s">
        <v>21131</v>
      </c>
      <c r="F13791" t="s">
        <v>17351</v>
      </c>
      <c r="G13791" t="s">
        <v>47084</v>
      </c>
      <c r="H13791" t="s">
        <v>47071</v>
      </c>
      <c r="I13791" t="s">
        <v>47120</v>
      </c>
      <c r="J13791" t="s">
        <v>47121</v>
      </c>
      <c r="K13791" t="s">
        <v>47113</v>
      </c>
      <c r="L13791">
        <v>11.95</v>
      </c>
      <c r="M13791">
        <v>28</v>
      </c>
      <c r="N13791">
        <v>0</v>
      </c>
      <c r="O13791">
        <v>28</v>
      </c>
      <c r="P13791">
        <v>0</v>
      </c>
    </row>
    <row r="13792" spans="1:16" x14ac:dyDescent="0.25">
      <c r="A13792" t="s">
        <v>36589</v>
      </c>
      <c r="B13792" t="s">
        <v>36588</v>
      </c>
      <c r="C13792" t="s">
        <v>21167</v>
      </c>
      <c r="D13792" t="s">
        <v>21168</v>
      </c>
      <c r="E13792" t="s">
        <v>21169</v>
      </c>
      <c r="F13792" t="s">
        <v>17351</v>
      </c>
      <c r="G13792" t="s">
        <v>47084</v>
      </c>
      <c r="H13792" t="s">
        <v>47071</v>
      </c>
      <c r="I13792" t="s">
        <v>47120</v>
      </c>
      <c r="J13792" t="s">
        <v>47121</v>
      </c>
      <c r="K13792" t="s">
        <v>47113</v>
      </c>
      <c r="L13792">
        <v>11.95</v>
      </c>
      <c r="M13792">
        <v>28</v>
      </c>
      <c r="N13792">
        <v>0</v>
      </c>
      <c r="O13792">
        <v>28</v>
      </c>
      <c r="P13792">
        <v>0</v>
      </c>
    </row>
    <row r="13793" spans="1:16" x14ac:dyDescent="0.25">
      <c r="A13793" t="s">
        <v>36590</v>
      </c>
      <c r="B13793" t="s">
        <v>36591</v>
      </c>
      <c r="C13793" t="s">
        <v>36592</v>
      </c>
      <c r="D13793" t="s">
        <v>21126</v>
      </c>
      <c r="E13793" t="s">
        <v>21127</v>
      </c>
      <c r="F13793" t="s">
        <v>17351</v>
      </c>
      <c r="G13793" t="s">
        <v>47084</v>
      </c>
      <c r="H13793" t="s">
        <v>47071</v>
      </c>
      <c r="I13793" t="s">
        <v>47120</v>
      </c>
      <c r="J13793" t="s">
        <v>47121</v>
      </c>
      <c r="K13793" t="s">
        <v>47113</v>
      </c>
      <c r="L13793">
        <v>15</v>
      </c>
      <c r="M13793">
        <v>34</v>
      </c>
      <c r="N13793">
        <v>0</v>
      </c>
      <c r="O13793">
        <v>34</v>
      </c>
      <c r="P13793">
        <v>0</v>
      </c>
    </row>
    <row r="13794" spans="1:16" x14ac:dyDescent="0.25">
      <c r="A13794" t="s">
        <v>36593</v>
      </c>
      <c r="B13794" t="s">
        <v>36594</v>
      </c>
      <c r="C13794" t="s">
        <v>36595</v>
      </c>
      <c r="D13794" t="s">
        <v>14429</v>
      </c>
      <c r="E13794" t="s">
        <v>60</v>
      </c>
      <c r="F13794" t="s">
        <v>17351</v>
      </c>
      <c r="G13794" t="s">
        <v>47087</v>
      </c>
      <c r="H13794" t="s">
        <v>47071</v>
      </c>
      <c r="I13794" t="s">
        <v>47120</v>
      </c>
      <c r="J13794" t="s">
        <v>47121</v>
      </c>
      <c r="K13794" t="s">
        <v>47113</v>
      </c>
      <c r="L13794">
        <v>10.73</v>
      </c>
      <c r="M13794">
        <v>26</v>
      </c>
      <c r="N13794">
        <v>0</v>
      </c>
      <c r="O13794">
        <v>26</v>
      </c>
      <c r="P13794">
        <v>0</v>
      </c>
    </row>
    <row r="13795" spans="1:16" x14ac:dyDescent="0.25">
      <c r="A13795" t="s">
        <v>36596</v>
      </c>
      <c r="B13795" t="s">
        <v>36597</v>
      </c>
      <c r="C13795" t="s">
        <v>21187</v>
      </c>
      <c r="D13795" t="s">
        <v>21126</v>
      </c>
      <c r="E13795" t="s">
        <v>21127</v>
      </c>
      <c r="F13795" t="s">
        <v>17351</v>
      </c>
      <c r="G13795" t="s">
        <v>47087</v>
      </c>
      <c r="H13795" t="s">
        <v>47071</v>
      </c>
      <c r="I13795" t="s">
        <v>47120</v>
      </c>
      <c r="J13795" t="s">
        <v>47121</v>
      </c>
      <c r="K13795" t="s">
        <v>47113</v>
      </c>
      <c r="L13795">
        <v>11.95</v>
      </c>
      <c r="M13795">
        <v>28</v>
      </c>
      <c r="N13795">
        <v>0</v>
      </c>
      <c r="O13795">
        <v>28</v>
      </c>
      <c r="P13795">
        <v>0</v>
      </c>
    </row>
    <row r="13796" spans="1:16" x14ac:dyDescent="0.25">
      <c r="A13796" t="s">
        <v>36598</v>
      </c>
      <c r="B13796" t="s">
        <v>36597</v>
      </c>
      <c r="C13796" t="s">
        <v>21187</v>
      </c>
      <c r="D13796" t="s">
        <v>21130</v>
      </c>
      <c r="E13796" t="s">
        <v>21131</v>
      </c>
      <c r="F13796" t="s">
        <v>17351</v>
      </c>
      <c r="G13796" t="s">
        <v>47087</v>
      </c>
      <c r="H13796" t="s">
        <v>47071</v>
      </c>
      <c r="I13796" t="s">
        <v>47120</v>
      </c>
      <c r="J13796" t="s">
        <v>47121</v>
      </c>
      <c r="K13796" t="s">
        <v>47113</v>
      </c>
      <c r="L13796">
        <v>11.95</v>
      </c>
      <c r="M13796">
        <v>28</v>
      </c>
      <c r="N13796">
        <v>0</v>
      </c>
      <c r="O13796">
        <v>28</v>
      </c>
      <c r="P13796">
        <v>0</v>
      </c>
    </row>
    <row r="13797" spans="1:16" x14ac:dyDescent="0.25">
      <c r="A13797" t="s">
        <v>48862</v>
      </c>
      <c r="B13797" t="s">
        <v>48863</v>
      </c>
      <c r="C13797" t="s">
        <v>48628</v>
      </c>
      <c r="D13797" t="s">
        <v>48629</v>
      </c>
      <c r="E13797" t="s">
        <v>48630</v>
      </c>
      <c r="F13797" t="s">
        <v>47325</v>
      </c>
      <c r="G13797" t="s">
        <v>47081</v>
      </c>
      <c r="H13797" t="s">
        <v>47071</v>
      </c>
      <c r="I13797" t="s">
        <v>47116</v>
      </c>
      <c r="J13797" t="s">
        <v>47117</v>
      </c>
      <c r="K13797" t="s">
        <v>47113</v>
      </c>
      <c r="L13797">
        <v>31.55</v>
      </c>
      <c r="M13797">
        <v>80</v>
      </c>
      <c r="N13797">
        <v>199</v>
      </c>
      <c r="O13797">
        <v>80</v>
      </c>
      <c r="P13797">
        <v>199</v>
      </c>
    </row>
    <row r="13798" spans="1:16" x14ac:dyDescent="0.25">
      <c r="A13798" t="s">
        <v>48864</v>
      </c>
      <c r="B13798" t="s">
        <v>48865</v>
      </c>
      <c r="C13798" t="s">
        <v>21147</v>
      </c>
      <c r="D13798" t="s">
        <v>15692</v>
      </c>
      <c r="E13798" t="s">
        <v>46</v>
      </c>
      <c r="F13798" t="s">
        <v>47325</v>
      </c>
      <c r="G13798" t="s">
        <v>47147</v>
      </c>
      <c r="H13798" t="s">
        <v>47071</v>
      </c>
      <c r="I13798" t="s">
        <v>47120</v>
      </c>
      <c r="J13798" t="s">
        <v>47121</v>
      </c>
      <c r="K13798" t="s">
        <v>47113</v>
      </c>
      <c r="L13798">
        <v>13</v>
      </c>
      <c r="M13798">
        <v>32</v>
      </c>
      <c r="N13798">
        <v>79</v>
      </c>
      <c r="O13798">
        <v>32</v>
      </c>
      <c r="P13798">
        <v>79</v>
      </c>
    </row>
    <row r="13799" spans="1:16" x14ac:dyDescent="0.25">
      <c r="A13799" t="s">
        <v>48866</v>
      </c>
      <c r="B13799" t="s">
        <v>48867</v>
      </c>
      <c r="C13799" t="s">
        <v>46793</v>
      </c>
      <c r="D13799" t="s">
        <v>48629</v>
      </c>
      <c r="E13799" t="s">
        <v>48630</v>
      </c>
      <c r="F13799" t="s">
        <v>47325</v>
      </c>
      <c r="G13799" t="s">
        <v>47147</v>
      </c>
      <c r="H13799" t="s">
        <v>47071</v>
      </c>
      <c r="I13799" t="s">
        <v>47116</v>
      </c>
      <c r="J13799" t="s">
        <v>47117</v>
      </c>
      <c r="K13799" t="s">
        <v>47113</v>
      </c>
      <c r="L13799">
        <v>23.6</v>
      </c>
      <c r="M13799">
        <v>56</v>
      </c>
      <c r="N13799">
        <v>139</v>
      </c>
      <c r="O13799">
        <v>56</v>
      </c>
      <c r="P13799">
        <v>139</v>
      </c>
    </row>
    <row r="13800" spans="1:16" x14ac:dyDescent="0.25">
      <c r="A13800" t="s">
        <v>48868</v>
      </c>
      <c r="B13800" t="s">
        <v>48869</v>
      </c>
      <c r="C13800" t="s">
        <v>48637</v>
      </c>
      <c r="D13800" t="s">
        <v>48638</v>
      </c>
      <c r="E13800" t="s">
        <v>48639</v>
      </c>
      <c r="F13800" t="s">
        <v>47325</v>
      </c>
      <c r="G13800" t="s">
        <v>47147</v>
      </c>
      <c r="H13800" t="s">
        <v>47071</v>
      </c>
      <c r="I13800" t="s">
        <v>47116</v>
      </c>
      <c r="J13800" t="s">
        <v>47117</v>
      </c>
      <c r="K13800" t="s">
        <v>47113</v>
      </c>
      <c r="L13800">
        <v>20.95</v>
      </c>
      <c r="M13800">
        <v>52</v>
      </c>
      <c r="N13800">
        <v>129</v>
      </c>
      <c r="O13800">
        <v>52</v>
      </c>
      <c r="P13800">
        <v>129</v>
      </c>
    </row>
    <row r="13801" spans="1:16" x14ac:dyDescent="0.25">
      <c r="A13801" t="s">
        <v>48870</v>
      </c>
      <c r="B13801" t="s">
        <v>48871</v>
      </c>
      <c r="C13801" t="s">
        <v>48642</v>
      </c>
      <c r="D13801" t="s">
        <v>48643</v>
      </c>
      <c r="E13801" t="s">
        <v>48644</v>
      </c>
      <c r="F13801" t="s">
        <v>47325</v>
      </c>
      <c r="G13801" t="s">
        <v>47147</v>
      </c>
      <c r="H13801" t="s">
        <v>47071</v>
      </c>
      <c r="I13801" t="s">
        <v>47116</v>
      </c>
      <c r="J13801" t="s">
        <v>47117</v>
      </c>
      <c r="K13801" t="s">
        <v>47113</v>
      </c>
      <c r="L13801">
        <v>23.6</v>
      </c>
      <c r="M13801">
        <v>56</v>
      </c>
      <c r="N13801">
        <v>139</v>
      </c>
      <c r="O13801">
        <v>56</v>
      </c>
      <c r="P13801">
        <v>139</v>
      </c>
    </row>
    <row r="13802" spans="1:16" x14ac:dyDescent="0.25">
      <c r="A13802" t="s">
        <v>48872</v>
      </c>
      <c r="B13802" t="s">
        <v>48873</v>
      </c>
      <c r="C13802" t="s">
        <v>48650</v>
      </c>
      <c r="D13802" t="s">
        <v>48651</v>
      </c>
      <c r="E13802" t="s">
        <v>48652</v>
      </c>
      <c r="F13802" t="s">
        <v>47325</v>
      </c>
      <c r="G13802" t="s">
        <v>47147</v>
      </c>
      <c r="H13802" t="s">
        <v>47071</v>
      </c>
      <c r="I13802" t="s">
        <v>47116</v>
      </c>
      <c r="J13802" t="s">
        <v>47117</v>
      </c>
      <c r="K13802" t="s">
        <v>47113</v>
      </c>
      <c r="L13802">
        <v>18.29</v>
      </c>
      <c r="M13802">
        <v>52</v>
      </c>
      <c r="N13802">
        <v>129</v>
      </c>
      <c r="O13802">
        <v>52</v>
      </c>
      <c r="P13802">
        <v>129</v>
      </c>
    </row>
    <row r="13803" spans="1:16" x14ac:dyDescent="0.25">
      <c r="A13803" t="s">
        <v>48874</v>
      </c>
      <c r="B13803" t="s">
        <v>48875</v>
      </c>
      <c r="C13803" t="s">
        <v>48655</v>
      </c>
      <c r="D13803" t="s">
        <v>48656</v>
      </c>
      <c r="E13803" t="s">
        <v>48657</v>
      </c>
      <c r="F13803" t="s">
        <v>47325</v>
      </c>
      <c r="G13803" t="s">
        <v>47147</v>
      </c>
      <c r="H13803" t="s">
        <v>47071</v>
      </c>
      <c r="I13803" t="s">
        <v>47116</v>
      </c>
      <c r="J13803" t="s">
        <v>47117</v>
      </c>
      <c r="K13803" t="s">
        <v>47113</v>
      </c>
      <c r="L13803">
        <v>15.64</v>
      </c>
      <c r="M13803">
        <v>40</v>
      </c>
      <c r="N13803">
        <v>99</v>
      </c>
      <c r="O13803">
        <v>40</v>
      </c>
      <c r="P13803">
        <v>99</v>
      </c>
    </row>
    <row r="13804" spans="1:16" x14ac:dyDescent="0.25">
      <c r="A13804" t="s">
        <v>48876</v>
      </c>
      <c r="B13804" t="s">
        <v>48877</v>
      </c>
      <c r="C13804" t="s">
        <v>48660</v>
      </c>
      <c r="D13804" t="s">
        <v>48661</v>
      </c>
      <c r="E13804" t="s">
        <v>48662</v>
      </c>
      <c r="F13804" t="s">
        <v>47325</v>
      </c>
      <c r="G13804" t="s">
        <v>47147</v>
      </c>
      <c r="H13804" t="s">
        <v>47071</v>
      </c>
      <c r="I13804" t="s">
        <v>47116</v>
      </c>
      <c r="J13804" t="s">
        <v>47117</v>
      </c>
      <c r="K13804" t="s">
        <v>47113</v>
      </c>
      <c r="L13804">
        <v>18.29</v>
      </c>
      <c r="M13804">
        <v>52</v>
      </c>
      <c r="N13804">
        <v>129</v>
      </c>
      <c r="O13804">
        <v>52</v>
      </c>
      <c r="P13804">
        <v>129</v>
      </c>
    </row>
    <row r="13805" spans="1:16" x14ac:dyDescent="0.25">
      <c r="A13805" t="s">
        <v>48878</v>
      </c>
      <c r="B13805" t="s">
        <v>48879</v>
      </c>
      <c r="C13805" t="s">
        <v>48665</v>
      </c>
      <c r="D13805" t="s">
        <v>48666</v>
      </c>
      <c r="E13805" t="s">
        <v>48667</v>
      </c>
      <c r="F13805" t="s">
        <v>47325</v>
      </c>
      <c r="G13805" t="s">
        <v>47147</v>
      </c>
      <c r="H13805" t="s">
        <v>47071</v>
      </c>
      <c r="I13805" t="s">
        <v>47120</v>
      </c>
      <c r="J13805" t="s">
        <v>47121</v>
      </c>
      <c r="K13805" t="s">
        <v>47113</v>
      </c>
      <c r="L13805">
        <v>20.95</v>
      </c>
      <c r="M13805">
        <v>52</v>
      </c>
      <c r="N13805">
        <v>129</v>
      </c>
      <c r="O13805">
        <v>52</v>
      </c>
      <c r="P13805">
        <v>129</v>
      </c>
    </row>
    <row r="13806" spans="1:16" x14ac:dyDescent="0.25">
      <c r="A13806" t="s">
        <v>48880</v>
      </c>
      <c r="B13806" t="s">
        <v>48881</v>
      </c>
      <c r="C13806" t="s">
        <v>21185</v>
      </c>
      <c r="D13806" t="s">
        <v>14429</v>
      </c>
      <c r="E13806" t="s">
        <v>60</v>
      </c>
      <c r="F13806" t="s">
        <v>47325</v>
      </c>
      <c r="G13806" t="s">
        <v>47087</v>
      </c>
      <c r="H13806" t="s">
        <v>47071</v>
      </c>
      <c r="I13806" t="s">
        <v>47120</v>
      </c>
      <c r="J13806" t="s">
        <v>47121</v>
      </c>
      <c r="K13806" t="s">
        <v>47113</v>
      </c>
      <c r="L13806">
        <v>11.08</v>
      </c>
      <c r="M13806">
        <v>20</v>
      </c>
      <c r="N13806">
        <v>49</v>
      </c>
      <c r="O13806">
        <v>20</v>
      </c>
      <c r="P13806">
        <v>49</v>
      </c>
    </row>
    <row r="13807" spans="1:16" x14ac:dyDescent="0.25">
      <c r="A13807" t="s">
        <v>48882</v>
      </c>
      <c r="B13807" t="s">
        <v>48883</v>
      </c>
      <c r="C13807" t="s">
        <v>48672</v>
      </c>
      <c r="D13807" t="s">
        <v>48673</v>
      </c>
      <c r="E13807" t="s">
        <v>48674</v>
      </c>
      <c r="F13807" t="s">
        <v>47325</v>
      </c>
      <c r="G13807" t="s">
        <v>47150</v>
      </c>
      <c r="H13807" t="s">
        <v>47071</v>
      </c>
      <c r="I13807" t="s">
        <v>47120</v>
      </c>
      <c r="J13807" t="s">
        <v>47121</v>
      </c>
      <c r="K13807" t="s">
        <v>47113</v>
      </c>
      <c r="L13807">
        <v>12.79</v>
      </c>
      <c r="M13807">
        <v>40</v>
      </c>
      <c r="N13807">
        <v>99</v>
      </c>
      <c r="O13807">
        <v>40</v>
      </c>
      <c r="P13807">
        <v>99</v>
      </c>
    </row>
    <row r="13808" spans="1:16" x14ac:dyDescent="0.25">
      <c r="A13808" t="s">
        <v>48884</v>
      </c>
      <c r="B13808" t="s">
        <v>48885</v>
      </c>
      <c r="C13808" t="s">
        <v>48886</v>
      </c>
      <c r="D13808" t="s">
        <v>14429</v>
      </c>
      <c r="E13808" t="s">
        <v>60</v>
      </c>
      <c r="F13808" t="s">
        <v>47325</v>
      </c>
      <c r="G13808" t="s">
        <v>47087</v>
      </c>
      <c r="H13808" t="s">
        <v>47071</v>
      </c>
      <c r="I13808" t="s">
        <v>47120</v>
      </c>
      <c r="J13808" t="s">
        <v>47121</v>
      </c>
      <c r="K13808" t="s">
        <v>47113</v>
      </c>
      <c r="L13808">
        <v>11.08</v>
      </c>
      <c r="M13808">
        <v>26</v>
      </c>
      <c r="N13808">
        <v>65</v>
      </c>
      <c r="O13808">
        <v>26</v>
      </c>
      <c r="P13808">
        <v>65</v>
      </c>
    </row>
    <row r="13809" spans="1:16" x14ac:dyDescent="0.25">
      <c r="A13809" t="s">
        <v>48887</v>
      </c>
      <c r="B13809" t="s">
        <v>48888</v>
      </c>
      <c r="C13809" t="s">
        <v>20961</v>
      </c>
      <c r="D13809" t="s">
        <v>18070</v>
      </c>
      <c r="E13809" t="s">
        <v>814</v>
      </c>
      <c r="F13809" t="s">
        <v>47325</v>
      </c>
      <c r="G13809" t="s">
        <v>47087</v>
      </c>
      <c r="H13809" t="s">
        <v>47071</v>
      </c>
      <c r="I13809" t="s">
        <v>47120</v>
      </c>
      <c r="J13809" t="s">
        <v>47121</v>
      </c>
      <c r="K13809" t="s">
        <v>47113</v>
      </c>
      <c r="L13809">
        <v>9.9499999999999993</v>
      </c>
      <c r="M13809">
        <v>20</v>
      </c>
      <c r="N13809">
        <v>49</v>
      </c>
      <c r="O13809">
        <v>20</v>
      </c>
      <c r="P13809">
        <v>49</v>
      </c>
    </row>
    <row r="13810" spans="1:16" x14ac:dyDescent="0.25">
      <c r="A13810" t="s">
        <v>48889</v>
      </c>
      <c r="B13810" t="s">
        <v>48888</v>
      </c>
      <c r="C13810" t="s">
        <v>20961</v>
      </c>
      <c r="D13810" t="s">
        <v>15692</v>
      </c>
      <c r="E13810" t="s">
        <v>46</v>
      </c>
      <c r="F13810" t="s">
        <v>47325</v>
      </c>
      <c r="G13810" t="s">
        <v>47087</v>
      </c>
      <c r="H13810" t="s">
        <v>47071</v>
      </c>
      <c r="I13810" t="s">
        <v>47120</v>
      </c>
      <c r="J13810" t="s">
        <v>47121</v>
      </c>
      <c r="K13810" t="s">
        <v>47113</v>
      </c>
      <c r="L13810">
        <v>9.9499999999999993</v>
      </c>
      <c r="M13810">
        <v>20</v>
      </c>
      <c r="N13810">
        <v>49</v>
      </c>
      <c r="O13810">
        <v>20</v>
      </c>
      <c r="P13810">
        <v>49</v>
      </c>
    </row>
    <row r="13811" spans="1:16" x14ac:dyDescent="0.25">
      <c r="A13811" t="s">
        <v>48890</v>
      </c>
      <c r="B13811" t="s">
        <v>48891</v>
      </c>
      <c r="C13811" t="s">
        <v>48683</v>
      </c>
      <c r="D13811" t="s">
        <v>18070</v>
      </c>
      <c r="E13811" t="s">
        <v>814</v>
      </c>
      <c r="F13811" t="s">
        <v>47325</v>
      </c>
      <c r="G13811" t="s">
        <v>47087</v>
      </c>
      <c r="H13811" t="s">
        <v>47071</v>
      </c>
      <c r="I13811" t="s">
        <v>47120</v>
      </c>
      <c r="J13811" t="s">
        <v>47121</v>
      </c>
      <c r="K13811" t="s">
        <v>47113</v>
      </c>
      <c r="L13811">
        <v>11.08</v>
      </c>
      <c r="M13811">
        <v>20</v>
      </c>
      <c r="N13811">
        <v>49</v>
      </c>
      <c r="O13811">
        <v>20</v>
      </c>
      <c r="P13811">
        <v>49</v>
      </c>
    </row>
    <row r="13812" spans="1:16" x14ac:dyDescent="0.25">
      <c r="A13812" t="s">
        <v>48892</v>
      </c>
      <c r="B13812" t="s">
        <v>48891</v>
      </c>
      <c r="C13812" t="s">
        <v>48683</v>
      </c>
      <c r="D13812" t="s">
        <v>48685</v>
      </c>
      <c r="E13812" t="s">
        <v>48686</v>
      </c>
      <c r="F13812" t="s">
        <v>47325</v>
      </c>
      <c r="G13812" t="s">
        <v>47087</v>
      </c>
      <c r="H13812" t="s">
        <v>47071</v>
      </c>
      <c r="I13812" t="s">
        <v>47120</v>
      </c>
      <c r="J13812" t="s">
        <v>47121</v>
      </c>
      <c r="K13812" t="s">
        <v>47113</v>
      </c>
      <c r="L13812">
        <v>11.08</v>
      </c>
      <c r="M13812">
        <v>20</v>
      </c>
      <c r="N13812">
        <v>49</v>
      </c>
      <c r="O13812">
        <v>20</v>
      </c>
      <c r="P13812">
        <v>49</v>
      </c>
    </row>
    <row r="13813" spans="1:16" x14ac:dyDescent="0.25">
      <c r="A13813" t="s">
        <v>48893</v>
      </c>
      <c r="B13813" t="s">
        <v>48894</v>
      </c>
      <c r="C13813" t="s">
        <v>48689</v>
      </c>
      <c r="D13813" t="s">
        <v>14429</v>
      </c>
      <c r="E13813" t="s">
        <v>60</v>
      </c>
      <c r="F13813" t="s">
        <v>47325</v>
      </c>
      <c r="G13813" t="s">
        <v>47087</v>
      </c>
      <c r="H13813" t="s">
        <v>47071</v>
      </c>
      <c r="I13813" t="s">
        <v>47120</v>
      </c>
      <c r="J13813" t="s">
        <v>47121</v>
      </c>
      <c r="K13813" t="s">
        <v>47113</v>
      </c>
      <c r="L13813">
        <v>12.79</v>
      </c>
      <c r="M13813">
        <v>28</v>
      </c>
      <c r="N13813">
        <v>69</v>
      </c>
      <c r="O13813">
        <v>28</v>
      </c>
      <c r="P13813">
        <v>69</v>
      </c>
    </row>
    <row r="13814" spans="1:16" x14ac:dyDescent="0.25">
      <c r="A13814" t="s">
        <v>48895</v>
      </c>
      <c r="B13814" t="s">
        <v>48896</v>
      </c>
      <c r="C13814" t="s">
        <v>48692</v>
      </c>
      <c r="D13814" t="s">
        <v>15692</v>
      </c>
      <c r="E13814" t="s">
        <v>46</v>
      </c>
      <c r="F13814" t="s">
        <v>47325</v>
      </c>
      <c r="G13814" t="s">
        <v>47087</v>
      </c>
      <c r="H13814" t="s">
        <v>47071</v>
      </c>
      <c r="I13814" t="s">
        <v>47120</v>
      </c>
      <c r="J13814" t="s">
        <v>47121</v>
      </c>
      <c r="K13814" t="s">
        <v>47113</v>
      </c>
      <c r="L13814">
        <v>11.08</v>
      </c>
      <c r="M13814">
        <v>20</v>
      </c>
      <c r="N13814">
        <v>49</v>
      </c>
      <c r="O13814">
        <v>20</v>
      </c>
      <c r="P13814">
        <v>49</v>
      </c>
    </row>
    <row r="13815" spans="1:16" x14ac:dyDescent="0.25">
      <c r="A13815" t="s">
        <v>48897</v>
      </c>
      <c r="B13815" t="s">
        <v>48896</v>
      </c>
      <c r="C13815" t="s">
        <v>48692</v>
      </c>
      <c r="D13815" t="s">
        <v>14429</v>
      </c>
      <c r="E13815" t="s">
        <v>60</v>
      </c>
      <c r="F13815" t="s">
        <v>47325</v>
      </c>
      <c r="G13815" t="s">
        <v>47087</v>
      </c>
      <c r="H13815" t="s">
        <v>47071</v>
      </c>
      <c r="I13815" t="s">
        <v>47120</v>
      </c>
      <c r="J13815" t="s">
        <v>47121</v>
      </c>
      <c r="K13815" t="s">
        <v>47113</v>
      </c>
      <c r="L13815">
        <v>11.08</v>
      </c>
      <c r="M13815">
        <v>20</v>
      </c>
      <c r="N13815">
        <v>49</v>
      </c>
      <c r="O13815">
        <v>20</v>
      </c>
      <c r="P13815">
        <v>49</v>
      </c>
    </row>
    <row r="13816" spans="1:16" x14ac:dyDescent="0.25">
      <c r="A13816" t="s">
        <v>48898</v>
      </c>
      <c r="B13816" t="s">
        <v>48899</v>
      </c>
      <c r="C13816" t="s">
        <v>48696</v>
      </c>
      <c r="D13816" t="s">
        <v>14429</v>
      </c>
      <c r="E13816" t="s">
        <v>60</v>
      </c>
      <c r="F13816" t="s">
        <v>47325</v>
      </c>
      <c r="G13816" t="s">
        <v>47087</v>
      </c>
      <c r="H13816" t="s">
        <v>47071</v>
      </c>
      <c r="I13816" t="s">
        <v>47120</v>
      </c>
      <c r="J13816" t="s">
        <v>47121</v>
      </c>
      <c r="K13816" t="s">
        <v>47113</v>
      </c>
      <c r="L13816">
        <v>11.08</v>
      </c>
      <c r="M13816">
        <v>20</v>
      </c>
      <c r="N13816">
        <v>49</v>
      </c>
      <c r="O13816">
        <v>20</v>
      </c>
      <c r="P13816">
        <v>49</v>
      </c>
    </row>
    <row r="13817" spans="1:16" x14ac:dyDescent="0.25">
      <c r="A13817" t="s">
        <v>48900</v>
      </c>
      <c r="B13817" t="s">
        <v>48901</v>
      </c>
      <c r="C13817" t="s">
        <v>36592</v>
      </c>
      <c r="D13817" t="s">
        <v>15692</v>
      </c>
      <c r="E13817" t="s">
        <v>46</v>
      </c>
      <c r="F13817" t="s">
        <v>47325</v>
      </c>
      <c r="G13817" t="s">
        <v>47082</v>
      </c>
      <c r="H13817" t="s">
        <v>47071</v>
      </c>
      <c r="I13817" t="s">
        <v>47120</v>
      </c>
      <c r="J13817" t="s">
        <v>47121</v>
      </c>
      <c r="K13817" t="s">
        <v>47113</v>
      </c>
      <c r="L13817">
        <v>16.77</v>
      </c>
      <c r="M13817">
        <v>40</v>
      </c>
      <c r="N13817">
        <v>99</v>
      </c>
      <c r="O13817">
        <v>40</v>
      </c>
      <c r="P13817">
        <v>99</v>
      </c>
    </row>
    <row r="13818" spans="1:16" x14ac:dyDescent="0.25">
      <c r="A13818" t="s">
        <v>36599</v>
      </c>
      <c r="B13818" t="s">
        <v>9671</v>
      </c>
      <c r="C13818" t="s">
        <v>9512</v>
      </c>
      <c r="D13818" t="s">
        <v>9513</v>
      </c>
      <c r="E13818" t="s">
        <v>9514</v>
      </c>
      <c r="F13818" t="s">
        <v>2068</v>
      </c>
      <c r="G13818" t="s">
        <v>47075</v>
      </c>
      <c r="H13818" t="s">
        <v>47071</v>
      </c>
      <c r="I13818" t="s">
        <v>47118</v>
      </c>
      <c r="J13818" t="s">
        <v>47119</v>
      </c>
      <c r="K13818" t="s">
        <v>47113</v>
      </c>
      <c r="L13818">
        <v>21.79</v>
      </c>
      <c r="M13818">
        <v>50</v>
      </c>
      <c r="N13818">
        <v>0</v>
      </c>
      <c r="O13818">
        <v>50</v>
      </c>
      <c r="P13818">
        <v>0</v>
      </c>
    </row>
    <row r="13819" spans="1:16" x14ac:dyDescent="0.25">
      <c r="A13819" t="s">
        <v>36600</v>
      </c>
      <c r="B13819" t="s">
        <v>9672</v>
      </c>
      <c r="C13819" t="s">
        <v>19539</v>
      </c>
      <c r="D13819" t="str">
        <f>"2375"</f>
        <v>2375</v>
      </c>
      <c r="E13819" t="s">
        <v>7758</v>
      </c>
      <c r="F13819" t="s">
        <v>2068</v>
      </c>
      <c r="G13819" t="s">
        <v>47077</v>
      </c>
      <c r="H13819" t="s">
        <v>47071</v>
      </c>
      <c r="I13819" t="s">
        <v>47120</v>
      </c>
      <c r="J13819" t="s">
        <v>47121</v>
      </c>
      <c r="K13819" t="s">
        <v>47113</v>
      </c>
      <c r="L13819">
        <v>24.54</v>
      </c>
      <c r="M13819">
        <v>57</v>
      </c>
      <c r="N13819">
        <v>0</v>
      </c>
      <c r="O13819">
        <v>57</v>
      </c>
      <c r="P13819">
        <v>0</v>
      </c>
    </row>
    <row r="13820" spans="1:16" x14ac:dyDescent="0.25">
      <c r="A13820" t="s">
        <v>36601</v>
      </c>
      <c r="B13820" t="s">
        <v>9672</v>
      </c>
      <c r="C13820" t="s">
        <v>19539</v>
      </c>
      <c r="D13820" t="str">
        <f>"9614"</f>
        <v>9614</v>
      </c>
      <c r="E13820" t="s">
        <v>2314</v>
      </c>
      <c r="F13820" t="s">
        <v>2068</v>
      </c>
      <c r="G13820" t="s">
        <v>47077</v>
      </c>
      <c r="H13820" t="s">
        <v>47071</v>
      </c>
      <c r="I13820" t="s">
        <v>47120</v>
      </c>
      <c r="J13820" t="s">
        <v>47121</v>
      </c>
      <c r="K13820" t="s">
        <v>47113</v>
      </c>
      <c r="L13820">
        <v>24.54</v>
      </c>
      <c r="M13820">
        <v>57</v>
      </c>
      <c r="N13820">
        <v>0</v>
      </c>
      <c r="O13820">
        <v>57</v>
      </c>
      <c r="P13820">
        <v>0</v>
      </c>
    </row>
    <row r="13821" spans="1:16" x14ac:dyDescent="0.25">
      <c r="A13821" t="s">
        <v>36602</v>
      </c>
      <c r="B13821" t="s">
        <v>9673</v>
      </c>
      <c r="C13821" t="s">
        <v>9517</v>
      </c>
      <c r="D13821" t="s">
        <v>9520</v>
      </c>
      <c r="E13821" t="s">
        <v>9521</v>
      </c>
      <c r="F13821" t="s">
        <v>2068</v>
      </c>
      <c r="G13821" t="s">
        <v>47072</v>
      </c>
      <c r="H13821" t="s">
        <v>47071</v>
      </c>
      <c r="I13821" t="s">
        <v>47120</v>
      </c>
      <c r="J13821" t="s">
        <v>47121</v>
      </c>
      <c r="K13821" t="s">
        <v>47113</v>
      </c>
      <c r="L13821">
        <v>34.200000000000003</v>
      </c>
      <c r="M13821">
        <v>79</v>
      </c>
      <c r="N13821">
        <v>0</v>
      </c>
      <c r="O13821">
        <v>79</v>
      </c>
      <c r="P13821">
        <v>0</v>
      </c>
    </row>
    <row r="13822" spans="1:16" x14ac:dyDescent="0.25">
      <c r="A13822" t="s">
        <v>36603</v>
      </c>
      <c r="B13822" t="s">
        <v>9674</v>
      </c>
      <c r="C13822" t="s">
        <v>9620</v>
      </c>
      <c r="D13822" t="s">
        <v>9523</v>
      </c>
      <c r="E13822" t="s">
        <v>9524</v>
      </c>
      <c r="F13822" t="s">
        <v>2068</v>
      </c>
      <c r="G13822" t="s">
        <v>47072</v>
      </c>
      <c r="H13822" t="s">
        <v>47071</v>
      </c>
      <c r="I13822" t="s">
        <v>47120</v>
      </c>
      <c r="J13822" t="s">
        <v>47121</v>
      </c>
      <c r="K13822" t="s">
        <v>47113</v>
      </c>
      <c r="L13822">
        <v>30.07</v>
      </c>
      <c r="M13822">
        <v>70</v>
      </c>
      <c r="N13822">
        <v>0</v>
      </c>
      <c r="O13822">
        <v>70</v>
      </c>
      <c r="P13822">
        <v>0</v>
      </c>
    </row>
    <row r="13823" spans="1:16" x14ac:dyDescent="0.25">
      <c r="A13823" t="s">
        <v>36604</v>
      </c>
      <c r="B13823" t="s">
        <v>9675</v>
      </c>
      <c r="C13823" t="s">
        <v>2723</v>
      </c>
      <c r="D13823" t="s">
        <v>9526</v>
      </c>
      <c r="E13823" t="s">
        <v>9527</v>
      </c>
      <c r="F13823" t="s">
        <v>2068</v>
      </c>
      <c r="G13823" t="s">
        <v>47072</v>
      </c>
      <c r="H13823" t="s">
        <v>47071</v>
      </c>
      <c r="I13823" t="s">
        <v>47120</v>
      </c>
      <c r="J13823" t="s">
        <v>47121</v>
      </c>
      <c r="K13823" t="s">
        <v>47113</v>
      </c>
      <c r="L13823">
        <v>35.58</v>
      </c>
      <c r="M13823">
        <v>82</v>
      </c>
      <c r="N13823">
        <v>0</v>
      </c>
      <c r="O13823">
        <v>82</v>
      </c>
      <c r="P13823">
        <v>0</v>
      </c>
    </row>
    <row r="13824" spans="1:16" x14ac:dyDescent="0.25">
      <c r="A13824" t="s">
        <v>36605</v>
      </c>
      <c r="B13824" t="s">
        <v>9676</v>
      </c>
      <c r="C13824" t="s">
        <v>4283</v>
      </c>
      <c r="D13824" t="s">
        <v>9529</v>
      </c>
      <c r="E13824" t="s">
        <v>9530</v>
      </c>
      <c r="F13824" t="s">
        <v>2068</v>
      </c>
      <c r="G13824" t="s">
        <v>47072</v>
      </c>
      <c r="H13824" t="s">
        <v>47071</v>
      </c>
      <c r="I13824" t="s">
        <v>47120</v>
      </c>
      <c r="J13824" t="s">
        <v>47121</v>
      </c>
      <c r="K13824" t="s">
        <v>47113</v>
      </c>
      <c r="L13824">
        <v>24.54</v>
      </c>
      <c r="M13824">
        <v>57</v>
      </c>
      <c r="N13824">
        <v>0</v>
      </c>
      <c r="O13824">
        <v>57</v>
      </c>
      <c r="P13824">
        <v>0</v>
      </c>
    </row>
    <row r="13825" spans="1:16" x14ac:dyDescent="0.25">
      <c r="A13825" t="s">
        <v>36606</v>
      </c>
      <c r="B13825" t="s">
        <v>9677</v>
      </c>
      <c r="C13825" t="s">
        <v>3773</v>
      </c>
      <c r="D13825" t="s">
        <v>9532</v>
      </c>
      <c r="E13825" t="s">
        <v>9533</v>
      </c>
      <c r="F13825" t="s">
        <v>2068</v>
      </c>
      <c r="G13825" t="s">
        <v>47072</v>
      </c>
      <c r="H13825" t="s">
        <v>47071</v>
      </c>
      <c r="I13825" t="s">
        <v>47120</v>
      </c>
      <c r="J13825" t="s">
        <v>47121</v>
      </c>
      <c r="K13825" t="s">
        <v>47113</v>
      </c>
      <c r="L13825">
        <v>27.31</v>
      </c>
      <c r="M13825">
        <v>63</v>
      </c>
      <c r="N13825">
        <v>0</v>
      </c>
      <c r="O13825">
        <v>63</v>
      </c>
      <c r="P13825">
        <v>0</v>
      </c>
    </row>
    <row r="13826" spans="1:16" x14ac:dyDescent="0.25">
      <c r="A13826" t="s">
        <v>36607</v>
      </c>
      <c r="B13826" t="s">
        <v>9678</v>
      </c>
      <c r="C13826" t="s">
        <v>9537</v>
      </c>
      <c r="D13826" t="s">
        <v>9538</v>
      </c>
      <c r="E13826" t="s">
        <v>9539</v>
      </c>
      <c r="F13826" t="s">
        <v>2068</v>
      </c>
      <c r="G13826" t="s">
        <v>47072</v>
      </c>
      <c r="H13826" t="s">
        <v>47071</v>
      </c>
      <c r="I13826" t="s">
        <v>47120</v>
      </c>
      <c r="J13826" t="s">
        <v>47121</v>
      </c>
      <c r="K13826" t="s">
        <v>47113</v>
      </c>
      <c r="L13826">
        <v>45.79</v>
      </c>
      <c r="M13826">
        <v>106</v>
      </c>
      <c r="N13826">
        <v>0</v>
      </c>
      <c r="O13826">
        <v>106</v>
      </c>
      <c r="P13826">
        <v>0</v>
      </c>
    </row>
    <row r="13827" spans="1:16" x14ac:dyDescent="0.25">
      <c r="A13827" t="s">
        <v>36608</v>
      </c>
      <c r="B13827" t="s">
        <v>9679</v>
      </c>
      <c r="C13827" t="s">
        <v>9517</v>
      </c>
      <c r="D13827" t="str">
        <f>"1001"</f>
        <v>1001</v>
      </c>
      <c r="E13827" t="s">
        <v>42</v>
      </c>
      <c r="F13827" t="s">
        <v>2068</v>
      </c>
      <c r="G13827" t="s">
        <v>47072</v>
      </c>
      <c r="H13827" t="s">
        <v>47071</v>
      </c>
      <c r="I13827" t="s">
        <v>47120</v>
      </c>
      <c r="J13827" t="s">
        <v>47121</v>
      </c>
      <c r="K13827" t="s">
        <v>47113</v>
      </c>
      <c r="L13827">
        <v>29.79</v>
      </c>
      <c r="M13827">
        <v>69</v>
      </c>
      <c r="N13827">
        <v>0</v>
      </c>
      <c r="O13827">
        <v>69</v>
      </c>
      <c r="P13827">
        <v>0</v>
      </c>
    </row>
    <row r="13828" spans="1:16" x14ac:dyDescent="0.25">
      <c r="A13828" t="s">
        <v>36609</v>
      </c>
      <c r="B13828" t="s">
        <v>9680</v>
      </c>
      <c r="C13828" t="s">
        <v>9542</v>
      </c>
      <c r="D13828" t="str">
        <f>"2686"</f>
        <v>2686</v>
      </c>
      <c r="E13828" t="s">
        <v>9543</v>
      </c>
      <c r="F13828" t="s">
        <v>2068</v>
      </c>
      <c r="G13828" t="s">
        <v>47078</v>
      </c>
      <c r="H13828" t="s">
        <v>47071</v>
      </c>
      <c r="I13828" t="s">
        <v>47118</v>
      </c>
      <c r="J13828" t="s">
        <v>47119</v>
      </c>
      <c r="K13828" t="s">
        <v>47113</v>
      </c>
      <c r="L13828">
        <v>16.28</v>
      </c>
      <c r="M13828">
        <v>38</v>
      </c>
      <c r="N13828">
        <v>0</v>
      </c>
      <c r="O13828">
        <v>38</v>
      </c>
      <c r="P13828">
        <v>0</v>
      </c>
    </row>
    <row r="13829" spans="1:16" x14ac:dyDescent="0.25">
      <c r="A13829" t="s">
        <v>36610</v>
      </c>
      <c r="B13829" t="s">
        <v>9681</v>
      </c>
      <c r="C13829" t="s">
        <v>9545</v>
      </c>
      <c r="D13829" t="str">
        <f>"6492"</f>
        <v>6492</v>
      </c>
      <c r="E13829" t="s">
        <v>9395</v>
      </c>
      <c r="F13829" t="s">
        <v>2068</v>
      </c>
      <c r="G13829" t="s">
        <v>47073</v>
      </c>
      <c r="H13829" t="s">
        <v>47071</v>
      </c>
      <c r="I13829" t="s">
        <v>47118</v>
      </c>
      <c r="J13829" t="s">
        <v>47119</v>
      </c>
      <c r="K13829" t="s">
        <v>47113</v>
      </c>
      <c r="L13829">
        <v>12.41</v>
      </c>
      <c r="M13829">
        <v>29</v>
      </c>
      <c r="N13829">
        <v>0</v>
      </c>
      <c r="O13829">
        <v>29</v>
      </c>
      <c r="P13829">
        <v>0</v>
      </c>
    </row>
    <row r="13830" spans="1:16" x14ac:dyDescent="0.25">
      <c r="A13830" t="s">
        <v>36611</v>
      </c>
      <c r="B13830" t="s">
        <v>9682</v>
      </c>
      <c r="C13830" t="s">
        <v>9548</v>
      </c>
      <c r="D13830" t="str">
        <f>"3534"</f>
        <v>3534</v>
      </c>
      <c r="E13830" t="s">
        <v>9549</v>
      </c>
      <c r="F13830" t="s">
        <v>2068</v>
      </c>
      <c r="G13830" t="s">
        <v>47076</v>
      </c>
      <c r="H13830" t="s">
        <v>47071</v>
      </c>
      <c r="I13830" t="s">
        <v>47118</v>
      </c>
      <c r="J13830" t="s">
        <v>47119</v>
      </c>
      <c r="K13830" t="s">
        <v>47113</v>
      </c>
      <c r="L13830">
        <v>30.07</v>
      </c>
      <c r="M13830">
        <v>70</v>
      </c>
      <c r="N13830">
        <v>0</v>
      </c>
      <c r="O13830">
        <v>70</v>
      </c>
      <c r="P13830">
        <v>0</v>
      </c>
    </row>
    <row r="13831" spans="1:16" x14ac:dyDescent="0.25">
      <c r="A13831" t="s">
        <v>36612</v>
      </c>
      <c r="B13831" t="s">
        <v>9683</v>
      </c>
      <c r="C13831" t="s">
        <v>9551</v>
      </c>
      <c r="D13831" t="str">
        <f>"1800"</f>
        <v>1800</v>
      </c>
      <c r="E13831" t="s">
        <v>1999</v>
      </c>
      <c r="F13831" t="s">
        <v>2068</v>
      </c>
      <c r="G13831" t="s">
        <v>47073</v>
      </c>
      <c r="H13831" t="s">
        <v>47071</v>
      </c>
      <c r="I13831" t="s">
        <v>47118</v>
      </c>
      <c r="J13831" t="s">
        <v>47119</v>
      </c>
      <c r="K13831" t="s">
        <v>47113</v>
      </c>
      <c r="L13831">
        <v>10.76</v>
      </c>
      <c r="M13831">
        <v>25</v>
      </c>
      <c r="N13831">
        <v>0</v>
      </c>
      <c r="O13831">
        <v>25</v>
      </c>
      <c r="P13831">
        <v>0</v>
      </c>
    </row>
    <row r="13832" spans="1:16" x14ac:dyDescent="0.25">
      <c r="A13832" t="s">
        <v>36613</v>
      </c>
      <c r="B13832" t="s">
        <v>9684</v>
      </c>
      <c r="C13832" t="s">
        <v>9551</v>
      </c>
      <c r="D13832" t="str">
        <f>"9614"</f>
        <v>9614</v>
      </c>
      <c r="E13832" t="s">
        <v>2314</v>
      </c>
      <c r="F13832" t="s">
        <v>2068</v>
      </c>
      <c r="G13832" t="s">
        <v>47073</v>
      </c>
      <c r="H13832" t="s">
        <v>47071</v>
      </c>
      <c r="I13832" t="s">
        <v>47118</v>
      </c>
      <c r="J13832" t="s">
        <v>47119</v>
      </c>
      <c r="K13832" t="s">
        <v>47113</v>
      </c>
      <c r="L13832">
        <v>10.76</v>
      </c>
      <c r="M13832">
        <v>25</v>
      </c>
      <c r="N13832">
        <v>0</v>
      </c>
      <c r="O13832">
        <v>25</v>
      </c>
      <c r="P13832">
        <v>0</v>
      </c>
    </row>
    <row r="13833" spans="1:16" x14ac:dyDescent="0.25">
      <c r="A13833" t="s">
        <v>36614</v>
      </c>
      <c r="B13833" t="s">
        <v>9685</v>
      </c>
      <c r="C13833" t="s">
        <v>9551</v>
      </c>
      <c r="D13833" t="str">
        <f>"1001"</f>
        <v>1001</v>
      </c>
      <c r="E13833" t="s">
        <v>42</v>
      </c>
      <c r="F13833" t="s">
        <v>2068</v>
      </c>
      <c r="G13833" t="s">
        <v>47073</v>
      </c>
      <c r="H13833" t="s">
        <v>47071</v>
      </c>
      <c r="I13833" t="s">
        <v>47118</v>
      </c>
      <c r="J13833" t="s">
        <v>47119</v>
      </c>
      <c r="K13833" t="s">
        <v>47113</v>
      </c>
      <c r="L13833">
        <v>10.76</v>
      </c>
      <c r="M13833">
        <v>25</v>
      </c>
      <c r="N13833">
        <v>0</v>
      </c>
      <c r="O13833">
        <v>25</v>
      </c>
      <c r="P13833">
        <v>0</v>
      </c>
    </row>
    <row r="13834" spans="1:16" x14ac:dyDescent="0.25">
      <c r="A13834" t="s">
        <v>36615</v>
      </c>
      <c r="B13834" t="s">
        <v>9686</v>
      </c>
      <c r="C13834" t="s">
        <v>9551</v>
      </c>
      <c r="D13834" t="str">
        <f>"1501"</f>
        <v>1501</v>
      </c>
      <c r="E13834" t="s">
        <v>46</v>
      </c>
      <c r="F13834" t="s">
        <v>2068</v>
      </c>
      <c r="G13834" t="s">
        <v>47073</v>
      </c>
      <c r="H13834" t="s">
        <v>47071</v>
      </c>
      <c r="I13834" t="s">
        <v>47118</v>
      </c>
      <c r="J13834" t="s">
        <v>47119</v>
      </c>
      <c r="K13834" t="s">
        <v>47113</v>
      </c>
      <c r="L13834">
        <v>10.76</v>
      </c>
      <c r="M13834">
        <v>25</v>
      </c>
      <c r="N13834">
        <v>0</v>
      </c>
      <c r="O13834">
        <v>25</v>
      </c>
      <c r="P13834">
        <v>0</v>
      </c>
    </row>
    <row r="13835" spans="1:16" x14ac:dyDescent="0.25">
      <c r="A13835" t="s">
        <v>36616</v>
      </c>
      <c r="B13835" t="s">
        <v>9687</v>
      </c>
      <c r="C13835" t="s">
        <v>9556</v>
      </c>
      <c r="D13835" t="str">
        <f>"9614"</f>
        <v>9614</v>
      </c>
      <c r="E13835" t="s">
        <v>2314</v>
      </c>
      <c r="F13835" t="s">
        <v>2068</v>
      </c>
      <c r="G13835" t="s">
        <v>47073</v>
      </c>
      <c r="H13835" t="s">
        <v>47071</v>
      </c>
      <c r="I13835" t="s">
        <v>47118</v>
      </c>
      <c r="J13835" t="s">
        <v>47119</v>
      </c>
      <c r="K13835" t="s">
        <v>47113</v>
      </c>
      <c r="L13835">
        <v>10.76</v>
      </c>
      <c r="M13835">
        <v>25</v>
      </c>
      <c r="N13835">
        <v>0</v>
      </c>
      <c r="O13835">
        <v>25</v>
      </c>
      <c r="P13835">
        <v>0</v>
      </c>
    </row>
    <row r="13836" spans="1:16" x14ac:dyDescent="0.25">
      <c r="A13836" t="s">
        <v>36617</v>
      </c>
      <c r="B13836" t="s">
        <v>9688</v>
      </c>
      <c r="C13836" t="s">
        <v>9558</v>
      </c>
      <c r="D13836" t="str">
        <f>"1800"</f>
        <v>1800</v>
      </c>
      <c r="E13836" t="s">
        <v>1999</v>
      </c>
      <c r="F13836" t="s">
        <v>2068</v>
      </c>
      <c r="G13836" t="s">
        <v>47073</v>
      </c>
      <c r="H13836" t="s">
        <v>47071</v>
      </c>
      <c r="I13836" t="s">
        <v>47118</v>
      </c>
      <c r="J13836" t="s">
        <v>47119</v>
      </c>
      <c r="K13836" t="s">
        <v>47113</v>
      </c>
      <c r="L13836">
        <v>10.76</v>
      </c>
      <c r="M13836">
        <v>25</v>
      </c>
      <c r="N13836">
        <v>0</v>
      </c>
      <c r="O13836">
        <v>25</v>
      </c>
      <c r="P13836">
        <v>0</v>
      </c>
    </row>
    <row r="13837" spans="1:16" x14ac:dyDescent="0.25">
      <c r="A13837" t="s">
        <v>36618</v>
      </c>
      <c r="B13837" t="s">
        <v>9689</v>
      </c>
      <c r="C13837" t="s">
        <v>9560</v>
      </c>
      <c r="D13837" t="str">
        <f>"1501"</f>
        <v>1501</v>
      </c>
      <c r="E13837" t="s">
        <v>46</v>
      </c>
      <c r="F13837" t="s">
        <v>2068</v>
      </c>
      <c r="G13837" t="s">
        <v>47073</v>
      </c>
      <c r="H13837" t="s">
        <v>47071</v>
      </c>
      <c r="I13837" t="s">
        <v>47118</v>
      </c>
      <c r="J13837" t="s">
        <v>47119</v>
      </c>
      <c r="K13837" t="s">
        <v>47113</v>
      </c>
      <c r="L13837">
        <v>10.76</v>
      </c>
      <c r="M13837">
        <v>25</v>
      </c>
      <c r="N13837">
        <v>0</v>
      </c>
      <c r="O13837">
        <v>25</v>
      </c>
      <c r="P13837">
        <v>0</v>
      </c>
    </row>
    <row r="13838" spans="1:16" x14ac:dyDescent="0.25">
      <c r="A13838" t="s">
        <v>36619</v>
      </c>
      <c r="B13838" t="s">
        <v>9690</v>
      </c>
      <c r="C13838" t="s">
        <v>9564</v>
      </c>
      <c r="D13838" t="str">
        <f>"1800"</f>
        <v>1800</v>
      </c>
      <c r="E13838" t="s">
        <v>1999</v>
      </c>
      <c r="F13838" t="s">
        <v>2068</v>
      </c>
      <c r="G13838" t="s">
        <v>47073</v>
      </c>
      <c r="H13838" t="s">
        <v>47071</v>
      </c>
      <c r="I13838" t="s">
        <v>47118</v>
      </c>
      <c r="J13838" t="s">
        <v>47119</v>
      </c>
      <c r="K13838" t="s">
        <v>47113</v>
      </c>
      <c r="L13838">
        <v>10.76</v>
      </c>
      <c r="M13838">
        <v>25</v>
      </c>
      <c r="N13838">
        <v>0</v>
      </c>
      <c r="O13838">
        <v>25</v>
      </c>
      <c r="P13838">
        <v>0</v>
      </c>
    </row>
    <row r="13839" spans="1:16" x14ac:dyDescent="0.25">
      <c r="A13839" t="s">
        <v>36620</v>
      </c>
      <c r="B13839" t="s">
        <v>9691</v>
      </c>
      <c r="C13839" t="s">
        <v>9564</v>
      </c>
      <c r="D13839" t="s">
        <v>9565</v>
      </c>
      <c r="E13839" t="s">
        <v>9566</v>
      </c>
      <c r="F13839" t="s">
        <v>2068</v>
      </c>
      <c r="G13839" t="s">
        <v>47073</v>
      </c>
      <c r="H13839" t="s">
        <v>47071</v>
      </c>
      <c r="I13839" t="s">
        <v>47118</v>
      </c>
      <c r="J13839" t="s">
        <v>47119</v>
      </c>
      <c r="K13839" t="s">
        <v>47113</v>
      </c>
      <c r="L13839">
        <v>10.76</v>
      </c>
      <c r="M13839">
        <v>25</v>
      </c>
      <c r="N13839">
        <v>0</v>
      </c>
      <c r="O13839">
        <v>25</v>
      </c>
      <c r="P13839">
        <v>0</v>
      </c>
    </row>
    <row r="13840" spans="1:16" x14ac:dyDescent="0.25">
      <c r="A13840" t="s">
        <v>36621</v>
      </c>
      <c r="B13840" t="s">
        <v>9692</v>
      </c>
      <c r="C13840" t="s">
        <v>9568</v>
      </c>
      <c r="D13840" t="str">
        <f>"1501"</f>
        <v>1501</v>
      </c>
      <c r="E13840" t="s">
        <v>46</v>
      </c>
      <c r="F13840" t="s">
        <v>2068</v>
      </c>
      <c r="G13840" t="s">
        <v>47073</v>
      </c>
      <c r="H13840" t="s">
        <v>47071</v>
      </c>
      <c r="I13840" t="s">
        <v>47118</v>
      </c>
      <c r="J13840" t="s">
        <v>47119</v>
      </c>
      <c r="K13840" t="s">
        <v>47113</v>
      </c>
      <c r="L13840">
        <v>10.76</v>
      </c>
      <c r="M13840">
        <v>25</v>
      </c>
      <c r="N13840">
        <v>0</v>
      </c>
      <c r="O13840">
        <v>25</v>
      </c>
      <c r="P13840">
        <v>0</v>
      </c>
    </row>
    <row r="13841" spans="1:16" x14ac:dyDescent="0.25">
      <c r="A13841" t="s">
        <v>36622</v>
      </c>
      <c r="B13841" t="s">
        <v>9693</v>
      </c>
      <c r="C13841" t="s">
        <v>9573</v>
      </c>
      <c r="D13841" t="str">
        <f>"1001"</f>
        <v>1001</v>
      </c>
      <c r="E13841" t="s">
        <v>42</v>
      </c>
      <c r="F13841" t="s">
        <v>2068</v>
      </c>
      <c r="G13841" t="s">
        <v>47073</v>
      </c>
      <c r="H13841" t="s">
        <v>47071</v>
      </c>
      <c r="I13841" t="s">
        <v>47118</v>
      </c>
      <c r="J13841" t="s">
        <v>47119</v>
      </c>
      <c r="K13841" t="s">
        <v>47113</v>
      </c>
      <c r="L13841">
        <v>10.76</v>
      </c>
      <c r="M13841">
        <v>25</v>
      </c>
      <c r="N13841">
        <v>0</v>
      </c>
      <c r="O13841">
        <v>25</v>
      </c>
      <c r="P13841">
        <v>0</v>
      </c>
    </row>
    <row r="13842" spans="1:16" x14ac:dyDescent="0.25">
      <c r="A13842" t="s">
        <v>36623</v>
      </c>
      <c r="B13842" t="s">
        <v>9694</v>
      </c>
      <c r="C13842" t="s">
        <v>9556</v>
      </c>
      <c r="D13842" t="str">
        <f>"1001"</f>
        <v>1001</v>
      </c>
      <c r="E13842" t="s">
        <v>42</v>
      </c>
      <c r="F13842" t="s">
        <v>2068</v>
      </c>
      <c r="G13842" t="s">
        <v>47073</v>
      </c>
      <c r="H13842" t="s">
        <v>47071</v>
      </c>
      <c r="I13842" t="s">
        <v>47118</v>
      </c>
      <c r="J13842" t="s">
        <v>47119</v>
      </c>
      <c r="K13842" t="s">
        <v>47113</v>
      </c>
      <c r="L13842">
        <v>10.76</v>
      </c>
      <c r="M13842">
        <v>25</v>
      </c>
      <c r="N13842">
        <v>0</v>
      </c>
      <c r="O13842">
        <v>25</v>
      </c>
      <c r="P13842">
        <v>0</v>
      </c>
    </row>
    <row r="13843" spans="1:16" x14ac:dyDescent="0.25">
      <c r="A13843" t="s">
        <v>36624</v>
      </c>
      <c r="B13843" t="s">
        <v>18197</v>
      </c>
      <c r="C13843" t="s">
        <v>18044</v>
      </c>
      <c r="D13843" t="s">
        <v>15740</v>
      </c>
      <c r="E13843" t="s">
        <v>42</v>
      </c>
      <c r="F13843" t="s">
        <v>16601</v>
      </c>
      <c r="G13843" t="s">
        <v>47082</v>
      </c>
      <c r="H13843" t="s">
        <v>47071</v>
      </c>
      <c r="I13843" t="s">
        <v>47120</v>
      </c>
      <c r="J13843" t="s">
        <v>47121</v>
      </c>
      <c r="K13843" t="s">
        <v>47113</v>
      </c>
      <c r="L13843">
        <v>27.8</v>
      </c>
      <c r="M13843">
        <v>33</v>
      </c>
      <c r="N13843">
        <v>0</v>
      </c>
      <c r="O13843">
        <v>33</v>
      </c>
      <c r="P13843">
        <v>0</v>
      </c>
    </row>
    <row r="13844" spans="1:16" x14ac:dyDescent="0.25">
      <c r="A13844" t="s">
        <v>36625</v>
      </c>
      <c r="B13844" t="s">
        <v>18198</v>
      </c>
      <c r="C13844" t="s">
        <v>18199</v>
      </c>
      <c r="D13844" t="s">
        <v>18084</v>
      </c>
      <c r="E13844" t="s">
        <v>18085</v>
      </c>
      <c r="F13844" t="s">
        <v>16601</v>
      </c>
      <c r="G13844" t="s">
        <v>47082</v>
      </c>
      <c r="H13844" t="s">
        <v>47071</v>
      </c>
      <c r="I13844" t="s">
        <v>47120</v>
      </c>
      <c r="J13844" t="s">
        <v>47121</v>
      </c>
      <c r="K13844" t="s">
        <v>47113</v>
      </c>
      <c r="L13844">
        <v>27.8</v>
      </c>
      <c r="M13844">
        <v>33</v>
      </c>
      <c r="N13844">
        <v>0</v>
      </c>
      <c r="O13844">
        <v>33</v>
      </c>
      <c r="P13844">
        <v>0</v>
      </c>
    </row>
    <row r="13845" spans="1:16" x14ac:dyDescent="0.25">
      <c r="A13845" t="s">
        <v>36626</v>
      </c>
      <c r="B13845" t="s">
        <v>18200</v>
      </c>
      <c r="C13845" t="s">
        <v>18046</v>
      </c>
      <c r="D13845" t="s">
        <v>18047</v>
      </c>
      <c r="E13845" t="s">
        <v>18048</v>
      </c>
      <c r="F13845" t="s">
        <v>16601</v>
      </c>
      <c r="G13845" t="s">
        <v>47082</v>
      </c>
      <c r="H13845" t="s">
        <v>47071</v>
      </c>
      <c r="I13845" t="s">
        <v>47120</v>
      </c>
      <c r="J13845" t="s">
        <v>47121</v>
      </c>
      <c r="K13845" t="s">
        <v>47113</v>
      </c>
      <c r="L13845">
        <v>27.8</v>
      </c>
      <c r="M13845">
        <v>33</v>
      </c>
      <c r="N13845">
        <v>0</v>
      </c>
      <c r="O13845">
        <v>33</v>
      </c>
      <c r="P13845">
        <v>0</v>
      </c>
    </row>
    <row r="13846" spans="1:16" x14ac:dyDescent="0.25">
      <c r="A13846" t="s">
        <v>36627</v>
      </c>
      <c r="B13846" t="s">
        <v>18201</v>
      </c>
      <c r="C13846" t="s">
        <v>18050</v>
      </c>
      <c r="D13846" t="s">
        <v>15740</v>
      </c>
      <c r="E13846" t="s">
        <v>42</v>
      </c>
      <c r="F13846" t="s">
        <v>16601</v>
      </c>
      <c r="G13846" t="s">
        <v>47083</v>
      </c>
      <c r="H13846" t="s">
        <v>47071</v>
      </c>
      <c r="I13846" t="s">
        <v>47120</v>
      </c>
      <c r="J13846" t="s">
        <v>47121</v>
      </c>
      <c r="K13846" t="s">
        <v>47113</v>
      </c>
      <c r="L13846">
        <v>24.68</v>
      </c>
      <c r="M13846">
        <v>29</v>
      </c>
      <c r="N13846">
        <v>0</v>
      </c>
      <c r="O13846">
        <v>29</v>
      </c>
      <c r="P13846">
        <v>0</v>
      </c>
    </row>
    <row r="13847" spans="1:16" x14ac:dyDescent="0.25">
      <c r="A13847" t="s">
        <v>36628</v>
      </c>
      <c r="B13847" t="s">
        <v>18201</v>
      </c>
      <c r="C13847" t="s">
        <v>18050</v>
      </c>
      <c r="D13847" t="s">
        <v>18051</v>
      </c>
      <c r="E13847" t="s">
        <v>18052</v>
      </c>
      <c r="F13847" t="s">
        <v>16601</v>
      </c>
      <c r="G13847" t="s">
        <v>47083</v>
      </c>
      <c r="H13847" t="s">
        <v>47071</v>
      </c>
      <c r="I13847" t="s">
        <v>47120</v>
      </c>
      <c r="J13847" t="s">
        <v>47121</v>
      </c>
      <c r="K13847" t="s">
        <v>47113</v>
      </c>
      <c r="L13847">
        <v>24.68</v>
      </c>
      <c r="M13847">
        <v>29</v>
      </c>
      <c r="N13847">
        <v>0</v>
      </c>
      <c r="O13847">
        <v>29</v>
      </c>
      <c r="P13847">
        <v>0</v>
      </c>
    </row>
    <row r="13848" spans="1:16" x14ac:dyDescent="0.25">
      <c r="A13848" t="s">
        <v>36629</v>
      </c>
      <c r="B13848" t="s">
        <v>18201</v>
      </c>
      <c r="C13848" t="s">
        <v>18050</v>
      </c>
      <c r="D13848" t="s">
        <v>18053</v>
      </c>
      <c r="E13848" t="s">
        <v>18054</v>
      </c>
      <c r="F13848" t="s">
        <v>16601</v>
      </c>
      <c r="G13848" t="s">
        <v>47083</v>
      </c>
      <c r="H13848" t="s">
        <v>47071</v>
      </c>
      <c r="I13848" t="s">
        <v>47120</v>
      </c>
      <c r="J13848" t="s">
        <v>47121</v>
      </c>
      <c r="K13848" t="s">
        <v>47113</v>
      </c>
      <c r="L13848">
        <v>24.68</v>
      </c>
      <c r="M13848">
        <v>29</v>
      </c>
      <c r="N13848">
        <v>0</v>
      </c>
      <c r="O13848">
        <v>29</v>
      </c>
      <c r="P13848">
        <v>0</v>
      </c>
    </row>
    <row r="13849" spans="1:16" x14ac:dyDescent="0.25">
      <c r="A13849" t="s">
        <v>36630</v>
      </c>
      <c r="B13849" t="s">
        <v>18201</v>
      </c>
      <c r="C13849" t="s">
        <v>18050</v>
      </c>
      <c r="D13849" t="s">
        <v>18055</v>
      </c>
      <c r="E13849" t="s">
        <v>18056</v>
      </c>
      <c r="F13849" t="s">
        <v>16601</v>
      </c>
      <c r="G13849" t="s">
        <v>47083</v>
      </c>
      <c r="H13849" t="s">
        <v>47071</v>
      </c>
      <c r="I13849" t="s">
        <v>47120</v>
      </c>
      <c r="J13849" t="s">
        <v>47121</v>
      </c>
      <c r="K13849" t="s">
        <v>47113</v>
      </c>
      <c r="L13849">
        <v>24.68</v>
      </c>
      <c r="M13849">
        <v>29</v>
      </c>
      <c r="N13849">
        <v>0</v>
      </c>
      <c r="O13849">
        <v>29</v>
      </c>
      <c r="P13849">
        <v>0</v>
      </c>
    </row>
    <row r="13850" spans="1:16" x14ac:dyDescent="0.25">
      <c r="A13850" t="s">
        <v>36631</v>
      </c>
      <c r="B13850" t="s">
        <v>18202</v>
      </c>
      <c r="C13850" t="s">
        <v>18050</v>
      </c>
      <c r="D13850" t="s">
        <v>18058</v>
      </c>
      <c r="E13850" t="s">
        <v>18059</v>
      </c>
      <c r="F13850" t="s">
        <v>16601</v>
      </c>
      <c r="G13850" t="s">
        <v>47083</v>
      </c>
      <c r="H13850" t="s">
        <v>47071</v>
      </c>
      <c r="I13850" t="s">
        <v>47116</v>
      </c>
      <c r="J13850" t="s">
        <v>47117</v>
      </c>
      <c r="K13850" t="s">
        <v>47113</v>
      </c>
      <c r="L13850">
        <v>24.68</v>
      </c>
      <c r="M13850">
        <v>29</v>
      </c>
      <c r="N13850">
        <v>0</v>
      </c>
      <c r="O13850">
        <v>29</v>
      </c>
      <c r="P13850">
        <v>0</v>
      </c>
    </row>
    <row r="13851" spans="1:16" x14ac:dyDescent="0.25">
      <c r="A13851" t="s">
        <v>36632</v>
      </c>
      <c r="B13851" t="s">
        <v>18203</v>
      </c>
      <c r="C13851" t="s">
        <v>18061</v>
      </c>
      <c r="D13851" t="s">
        <v>18062</v>
      </c>
      <c r="E13851" t="s">
        <v>18063</v>
      </c>
      <c r="F13851" t="s">
        <v>16601</v>
      </c>
      <c r="G13851" t="s">
        <v>47081</v>
      </c>
      <c r="H13851" t="s">
        <v>47071</v>
      </c>
      <c r="I13851" t="s">
        <v>47116</v>
      </c>
      <c r="J13851" t="s">
        <v>47117</v>
      </c>
      <c r="K13851" t="s">
        <v>47113</v>
      </c>
      <c r="L13851">
        <v>24.68</v>
      </c>
      <c r="M13851">
        <v>48</v>
      </c>
      <c r="N13851">
        <v>0</v>
      </c>
      <c r="O13851">
        <v>48</v>
      </c>
      <c r="P13851">
        <v>0</v>
      </c>
    </row>
    <row r="13852" spans="1:16" x14ac:dyDescent="0.25">
      <c r="A13852" t="s">
        <v>36633</v>
      </c>
      <c r="B13852" t="s">
        <v>18204</v>
      </c>
      <c r="C13852" t="s">
        <v>18205</v>
      </c>
      <c r="D13852" t="s">
        <v>18066</v>
      </c>
      <c r="E13852" t="s">
        <v>18067</v>
      </c>
      <c r="F13852" t="s">
        <v>16601</v>
      </c>
      <c r="G13852" t="s">
        <v>47081</v>
      </c>
      <c r="H13852" t="s">
        <v>47071</v>
      </c>
      <c r="I13852" t="s">
        <v>47116</v>
      </c>
      <c r="J13852" t="s">
        <v>47117</v>
      </c>
      <c r="K13852" t="s">
        <v>47113</v>
      </c>
      <c r="L13852">
        <v>40.299999999999997</v>
      </c>
      <c r="M13852">
        <v>48</v>
      </c>
      <c r="N13852">
        <v>0</v>
      </c>
      <c r="O13852">
        <v>48</v>
      </c>
      <c r="P13852">
        <v>0</v>
      </c>
    </row>
    <row r="13853" spans="1:16" x14ac:dyDescent="0.25">
      <c r="A13853" t="s">
        <v>36634</v>
      </c>
      <c r="B13853" t="s">
        <v>18206</v>
      </c>
      <c r="C13853" t="s">
        <v>18069</v>
      </c>
      <c r="D13853" t="s">
        <v>18070</v>
      </c>
      <c r="E13853" t="s">
        <v>814</v>
      </c>
      <c r="F13853" t="s">
        <v>16601</v>
      </c>
      <c r="G13853" t="s">
        <v>47087</v>
      </c>
      <c r="H13853" t="s">
        <v>47071</v>
      </c>
      <c r="I13853" t="s">
        <v>47120</v>
      </c>
      <c r="J13853" t="s">
        <v>47121</v>
      </c>
      <c r="K13853" t="s">
        <v>47113</v>
      </c>
      <c r="L13853">
        <v>12.18</v>
      </c>
      <c r="M13853">
        <v>18</v>
      </c>
      <c r="N13853">
        <v>0</v>
      </c>
      <c r="O13853">
        <v>18</v>
      </c>
      <c r="P13853">
        <v>0</v>
      </c>
    </row>
    <row r="13854" spans="1:16" x14ac:dyDescent="0.25">
      <c r="A13854" t="s">
        <v>36635</v>
      </c>
      <c r="B13854" t="s">
        <v>18207</v>
      </c>
      <c r="C13854" t="s">
        <v>18072</v>
      </c>
      <c r="D13854" t="s">
        <v>18073</v>
      </c>
      <c r="E13854" t="s">
        <v>18074</v>
      </c>
      <c r="F13854" t="s">
        <v>16601</v>
      </c>
      <c r="G13854" t="s">
        <v>47082</v>
      </c>
      <c r="H13854" t="s">
        <v>47071</v>
      </c>
      <c r="I13854" t="s">
        <v>47120</v>
      </c>
      <c r="J13854" t="s">
        <v>47121</v>
      </c>
      <c r="K13854" t="s">
        <v>47113</v>
      </c>
      <c r="L13854">
        <v>12.18</v>
      </c>
      <c r="M13854">
        <v>18</v>
      </c>
      <c r="N13854">
        <v>0</v>
      </c>
      <c r="O13854">
        <v>18</v>
      </c>
      <c r="P13854">
        <v>0</v>
      </c>
    </row>
    <row r="13855" spans="1:16" x14ac:dyDescent="0.25">
      <c r="A13855" t="s">
        <v>36636</v>
      </c>
      <c r="B13855" t="s">
        <v>18208</v>
      </c>
      <c r="C13855" t="s">
        <v>18209</v>
      </c>
      <c r="D13855" t="s">
        <v>15740</v>
      </c>
      <c r="E13855" t="s">
        <v>42</v>
      </c>
      <c r="F13855" t="s">
        <v>16601</v>
      </c>
      <c r="G13855" t="s">
        <v>47082</v>
      </c>
      <c r="H13855" t="s">
        <v>47071</v>
      </c>
      <c r="I13855" t="s">
        <v>47120</v>
      </c>
      <c r="J13855" t="s">
        <v>47121</v>
      </c>
      <c r="K13855" t="s">
        <v>47113</v>
      </c>
      <c r="L13855">
        <v>18.43</v>
      </c>
      <c r="M13855">
        <v>22</v>
      </c>
      <c r="N13855">
        <v>0</v>
      </c>
      <c r="O13855">
        <v>22</v>
      </c>
      <c r="P13855">
        <v>0</v>
      </c>
    </row>
    <row r="13856" spans="1:16" x14ac:dyDescent="0.25">
      <c r="A13856" t="s">
        <v>36637</v>
      </c>
      <c r="B13856" t="s">
        <v>18210</v>
      </c>
      <c r="C13856" t="s">
        <v>18078</v>
      </c>
      <c r="D13856" t="s">
        <v>15740</v>
      </c>
      <c r="E13856" t="s">
        <v>42</v>
      </c>
      <c r="F13856" t="s">
        <v>16601</v>
      </c>
      <c r="G13856" t="s">
        <v>47087</v>
      </c>
      <c r="H13856" t="s">
        <v>47071</v>
      </c>
      <c r="I13856" t="s">
        <v>47120</v>
      </c>
      <c r="J13856" t="s">
        <v>47121</v>
      </c>
      <c r="K13856" t="s">
        <v>47113</v>
      </c>
      <c r="L13856">
        <v>12.18</v>
      </c>
      <c r="M13856">
        <v>18</v>
      </c>
      <c r="N13856">
        <v>0</v>
      </c>
      <c r="O13856">
        <v>18</v>
      </c>
      <c r="P13856">
        <v>0</v>
      </c>
    </row>
    <row r="13857" spans="1:16" x14ac:dyDescent="0.25">
      <c r="A13857" t="s">
        <v>36638</v>
      </c>
      <c r="B13857" t="s">
        <v>18211</v>
      </c>
      <c r="C13857" t="s">
        <v>18080</v>
      </c>
      <c r="D13857" t="s">
        <v>15692</v>
      </c>
      <c r="E13857" t="s">
        <v>46</v>
      </c>
      <c r="F13857" t="s">
        <v>16601</v>
      </c>
      <c r="G13857" t="s">
        <v>47082</v>
      </c>
      <c r="H13857" t="s">
        <v>47071</v>
      </c>
      <c r="I13857" t="s">
        <v>47120</v>
      </c>
      <c r="J13857" t="s">
        <v>47121</v>
      </c>
      <c r="K13857" t="s">
        <v>47113</v>
      </c>
      <c r="L13857">
        <v>18.43</v>
      </c>
      <c r="M13857">
        <v>22</v>
      </c>
      <c r="N13857">
        <v>0</v>
      </c>
      <c r="O13857">
        <v>22</v>
      </c>
      <c r="P13857">
        <v>0</v>
      </c>
    </row>
    <row r="13858" spans="1:16" x14ac:dyDescent="0.25">
      <c r="A13858" t="s">
        <v>36639</v>
      </c>
      <c r="B13858" t="s">
        <v>18212</v>
      </c>
      <c r="C13858" t="s">
        <v>18213</v>
      </c>
      <c r="D13858" t="s">
        <v>15740</v>
      </c>
      <c r="E13858" t="s">
        <v>42</v>
      </c>
      <c r="F13858" t="s">
        <v>16601</v>
      </c>
      <c r="G13858" t="s">
        <v>47082</v>
      </c>
      <c r="H13858" t="s">
        <v>47071</v>
      </c>
      <c r="I13858" t="s">
        <v>47120</v>
      </c>
      <c r="J13858" t="s">
        <v>47121</v>
      </c>
      <c r="K13858" t="s">
        <v>47113</v>
      </c>
      <c r="L13858">
        <v>21.55</v>
      </c>
      <c r="M13858">
        <v>26</v>
      </c>
      <c r="N13858">
        <v>0</v>
      </c>
      <c r="O13858">
        <v>26</v>
      </c>
      <c r="P13858">
        <v>0</v>
      </c>
    </row>
    <row r="13859" spans="1:16" x14ac:dyDescent="0.25">
      <c r="A13859" t="s">
        <v>36640</v>
      </c>
      <c r="B13859" t="s">
        <v>18214</v>
      </c>
      <c r="C13859" t="s">
        <v>15771</v>
      </c>
      <c r="D13859" t="s">
        <v>18084</v>
      </c>
      <c r="E13859" t="s">
        <v>18085</v>
      </c>
      <c r="F13859" t="s">
        <v>16601</v>
      </c>
      <c r="G13859" t="s">
        <v>47085</v>
      </c>
      <c r="H13859" t="s">
        <v>47071</v>
      </c>
      <c r="I13859" t="s">
        <v>47120</v>
      </c>
      <c r="J13859" t="s">
        <v>47121</v>
      </c>
      <c r="K13859" t="s">
        <v>47113</v>
      </c>
      <c r="L13859">
        <v>21.55</v>
      </c>
      <c r="M13859">
        <v>26</v>
      </c>
      <c r="N13859">
        <v>0</v>
      </c>
      <c r="O13859">
        <v>26</v>
      </c>
      <c r="P13859">
        <v>0</v>
      </c>
    </row>
    <row r="13860" spans="1:16" x14ac:dyDescent="0.25">
      <c r="A13860" t="s">
        <v>36641</v>
      </c>
      <c r="B13860" t="s">
        <v>18215</v>
      </c>
      <c r="C13860" t="s">
        <v>18087</v>
      </c>
      <c r="D13860" t="s">
        <v>15740</v>
      </c>
      <c r="E13860" t="s">
        <v>42</v>
      </c>
      <c r="F13860" t="s">
        <v>16601</v>
      </c>
      <c r="G13860" t="s">
        <v>47087</v>
      </c>
      <c r="H13860" t="s">
        <v>47071</v>
      </c>
      <c r="I13860" t="s">
        <v>47120</v>
      </c>
      <c r="J13860" t="s">
        <v>47121</v>
      </c>
      <c r="K13860" t="s">
        <v>47113</v>
      </c>
      <c r="L13860">
        <v>10.94</v>
      </c>
      <c r="M13860">
        <v>16</v>
      </c>
      <c r="N13860">
        <v>0</v>
      </c>
      <c r="O13860">
        <v>16</v>
      </c>
      <c r="P13860">
        <v>0</v>
      </c>
    </row>
    <row r="13861" spans="1:16" x14ac:dyDescent="0.25">
      <c r="A13861" t="s">
        <v>36642</v>
      </c>
      <c r="B13861" t="s">
        <v>18215</v>
      </c>
      <c r="C13861" t="s">
        <v>18087</v>
      </c>
      <c r="D13861" t="s">
        <v>18088</v>
      </c>
      <c r="E13861" t="s">
        <v>18089</v>
      </c>
      <c r="F13861" t="s">
        <v>16601</v>
      </c>
      <c r="G13861" t="s">
        <v>47087</v>
      </c>
      <c r="H13861" t="s">
        <v>47071</v>
      </c>
      <c r="I13861" t="s">
        <v>47120</v>
      </c>
      <c r="J13861" t="s">
        <v>47121</v>
      </c>
      <c r="K13861" t="s">
        <v>47113</v>
      </c>
      <c r="L13861">
        <v>10.220000000000001</v>
      </c>
      <c r="M13861">
        <v>16</v>
      </c>
      <c r="N13861">
        <v>0</v>
      </c>
      <c r="O13861">
        <v>16</v>
      </c>
      <c r="P13861">
        <v>0</v>
      </c>
    </row>
    <row r="13862" spans="1:16" x14ac:dyDescent="0.25">
      <c r="A13862" t="s">
        <v>36643</v>
      </c>
      <c r="B13862" t="s">
        <v>18215</v>
      </c>
      <c r="C13862" t="s">
        <v>18087</v>
      </c>
      <c r="D13862" t="s">
        <v>15658</v>
      </c>
      <c r="E13862" t="s">
        <v>15659</v>
      </c>
      <c r="F13862" t="s">
        <v>16601</v>
      </c>
      <c r="G13862" t="s">
        <v>47087</v>
      </c>
      <c r="H13862" t="s">
        <v>47071</v>
      </c>
      <c r="I13862" t="s">
        <v>47120</v>
      </c>
      <c r="J13862" t="s">
        <v>47121</v>
      </c>
      <c r="K13862" t="s">
        <v>47113</v>
      </c>
      <c r="L13862">
        <v>10.220000000000001</v>
      </c>
      <c r="M13862">
        <v>16</v>
      </c>
      <c r="N13862">
        <v>0</v>
      </c>
      <c r="O13862">
        <v>16</v>
      </c>
      <c r="P13862">
        <v>0</v>
      </c>
    </row>
    <row r="13863" spans="1:16" x14ac:dyDescent="0.25">
      <c r="A13863" t="s">
        <v>36644</v>
      </c>
      <c r="B13863" t="s">
        <v>18216</v>
      </c>
      <c r="C13863" t="s">
        <v>18093</v>
      </c>
      <c r="D13863" t="s">
        <v>14429</v>
      </c>
      <c r="E13863" t="s">
        <v>60</v>
      </c>
      <c r="F13863" t="s">
        <v>16601</v>
      </c>
      <c r="G13863" t="s">
        <v>47087</v>
      </c>
      <c r="H13863" t="s">
        <v>47071</v>
      </c>
      <c r="I13863" t="s">
        <v>47120</v>
      </c>
      <c r="J13863" t="s">
        <v>47121</v>
      </c>
      <c r="K13863" t="s">
        <v>47113</v>
      </c>
      <c r="L13863">
        <v>10.94</v>
      </c>
      <c r="M13863">
        <v>16</v>
      </c>
      <c r="N13863">
        <v>0</v>
      </c>
      <c r="O13863">
        <v>16</v>
      </c>
      <c r="P13863">
        <v>0</v>
      </c>
    </row>
    <row r="13864" spans="1:16" x14ac:dyDescent="0.25">
      <c r="A13864" t="s">
        <v>48902</v>
      </c>
      <c r="B13864" t="s">
        <v>48903</v>
      </c>
      <c r="C13864" t="s">
        <v>48701</v>
      </c>
      <c r="D13864" t="s">
        <v>18070</v>
      </c>
      <c r="E13864" t="s">
        <v>814</v>
      </c>
      <c r="F13864" t="s">
        <v>27965</v>
      </c>
      <c r="G13864" t="s">
        <v>47082</v>
      </c>
      <c r="H13864" t="s">
        <v>47071</v>
      </c>
      <c r="I13864" t="s">
        <v>47120</v>
      </c>
      <c r="J13864" t="s">
        <v>47121</v>
      </c>
      <c r="K13864" t="s">
        <v>47113</v>
      </c>
      <c r="L13864">
        <v>20.97</v>
      </c>
      <c r="M13864">
        <v>52</v>
      </c>
      <c r="N13864">
        <v>129</v>
      </c>
      <c r="O13864">
        <v>52</v>
      </c>
      <c r="P13864">
        <v>129</v>
      </c>
    </row>
    <row r="13865" spans="1:16" x14ac:dyDescent="0.25">
      <c r="A13865" t="s">
        <v>48904</v>
      </c>
      <c r="B13865" t="s">
        <v>48903</v>
      </c>
      <c r="C13865" t="s">
        <v>48701</v>
      </c>
      <c r="D13865" t="s">
        <v>9513</v>
      </c>
      <c r="E13865" t="s">
        <v>9514</v>
      </c>
      <c r="F13865" t="s">
        <v>27965</v>
      </c>
      <c r="G13865" t="s">
        <v>47082</v>
      </c>
      <c r="H13865" t="s">
        <v>47071</v>
      </c>
      <c r="I13865" t="s">
        <v>47120</v>
      </c>
      <c r="J13865" t="s">
        <v>47121</v>
      </c>
      <c r="K13865" t="s">
        <v>47113</v>
      </c>
      <c r="L13865">
        <v>20.97</v>
      </c>
      <c r="M13865">
        <v>52</v>
      </c>
      <c r="N13865">
        <v>129</v>
      </c>
      <c r="O13865">
        <v>52</v>
      </c>
      <c r="P13865">
        <v>129</v>
      </c>
    </row>
    <row r="13866" spans="1:16" x14ac:dyDescent="0.25">
      <c r="A13866" t="s">
        <v>48905</v>
      </c>
      <c r="B13866" t="s">
        <v>48906</v>
      </c>
      <c r="C13866" t="s">
        <v>36080</v>
      </c>
      <c r="D13866" t="s">
        <v>18070</v>
      </c>
      <c r="E13866" t="s">
        <v>814</v>
      </c>
      <c r="F13866" t="s">
        <v>47325</v>
      </c>
      <c r="G13866" t="s">
        <v>47081</v>
      </c>
      <c r="H13866" t="s">
        <v>47071</v>
      </c>
      <c r="I13866" t="s">
        <v>47116</v>
      </c>
      <c r="J13866" t="s">
        <v>47117</v>
      </c>
      <c r="K13866" t="s">
        <v>47113</v>
      </c>
      <c r="L13866">
        <v>20.95</v>
      </c>
      <c r="M13866">
        <v>52</v>
      </c>
      <c r="N13866">
        <v>129</v>
      </c>
      <c r="O13866">
        <v>52</v>
      </c>
      <c r="P13866">
        <v>129</v>
      </c>
    </row>
    <row r="13867" spans="1:16" x14ac:dyDescent="0.25">
      <c r="A13867" t="s">
        <v>48907</v>
      </c>
      <c r="B13867" t="s">
        <v>48908</v>
      </c>
      <c r="C13867" t="s">
        <v>36189</v>
      </c>
      <c r="D13867" t="s">
        <v>18070</v>
      </c>
      <c r="E13867" t="s">
        <v>814</v>
      </c>
      <c r="F13867" t="s">
        <v>47325</v>
      </c>
      <c r="G13867" t="s">
        <v>47087</v>
      </c>
      <c r="H13867" t="s">
        <v>47071</v>
      </c>
      <c r="I13867" t="s">
        <v>47120</v>
      </c>
      <c r="J13867" t="s">
        <v>47121</v>
      </c>
      <c r="K13867" t="s">
        <v>47113</v>
      </c>
      <c r="L13867">
        <v>9.9499999999999993</v>
      </c>
      <c r="M13867">
        <v>20</v>
      </c>
      <c r="N13867">
        <v>49</v>
      </c>
      <c r="O13867">
        <v>20</v>
      </c>
      <c r="P13867">
        <v>49</v>
      </c>
    </row>
    <row r="13868" spans="1:16" x14ac:dyDescent="0.25">
      <c r="A13868" t="s">
        <v>48909</v>
      </c>
      <c r="B13868" t="s">
        <v>48908</v>
      </c>
      <c r="C13868" t="s">
        <v>36189</v>
      </c>
      <c r="D13868" t="s">
        <v>14429</v>
      </c>
      <c r="E13868" t="s">
        <v>60</v>
      </c>
      <c r="F13868" t="s">
        <v>47325</v>
      </c>
      <c r="G13868" t="s">
        <v>47087</v>
      </c>
      <c r="H13868" t="s">
        <v>47071</v>
      </c>
      <c r="I13868" t="s">
        <v>47120</v>
      </c>
      <c r="J13868" t="s">
        <v>47121</v>
      </c>
      <c r="K13868" t="s">
        <v>47113</v>
      </c>
      <c r="L13868">
        <v>9.9499999999999993</v>
      </c>
      <c r="M13868">
        <v>20</v>
      </c>
      <c r="N13868">
        <v>49</v>
      </c>
      <c r="O13868">
        <v>20</v>
      </c>
      <c r="P13868">
        <v>49</v>
      </c>
    </row>
    <row r="13869" spans="1:16" x14ac:dyDescent="0.25">
      <c r="A13869" t="s">
        <v>46897</v>
      </c>
      <c r="B13869" t="s">
        <v>46898</v>
      </c>
      <c r="C13869" t="s">
        <v>36196</v>
      </c>
      <c r="D13869" t="s">
        <v>46899</v>
      </c>
      <c r="E13869" t="s">
        <v>27778</v>
      </c>
      <c r="F13869" t="s">
        <v>24019</v>
      </c>
      <c r="G13869" t="s">
        <v>47087</v>
      </c>
      <c r="H13869" t="s">
        <v>47071</v>
      </c>
      <c r="I13869" t="s">
        <v>47120</v>
      </c>
      <c r="J13869" t="s">
        <v>47121</v>
      </c>
      <c r="K13869" t="s">
        <v>47113</v>
      </c>
      <c r="L13869">
        <v>11.95</v>
      </c>
      <c r="M13869">
        <v>20</v>
      </c>
      <c r="N13869">
        <v>49</v>
      </c>
      <c r="O13869">
        <v>20</v>
      </c>
      <c r="P13869">
        <v>49</v>
      </c>
    </row>
    <row r="13870" spans="1:16" x14ac:dyDescent="0.25">
      <c r="A13870" t="s">
        <v>46900</v>
      </c>
      <c r="B13870" t="s">
        <v>46898</v>
      </c>
      <c r="C13870" t="s">
        <v>36196</v>
      </c>
      <c r="D13870" t="s">
        <v>18070</v>
      </c>
      <c r="E13870" t="s">
        <v>814</v>
      </c>
      <c r="F13870" t="s">
        <v>24019</v>
      </c>
      <c r="G13870" t="s">
        <v>47087</v>
      </c>
      <c r="H13870" t="s">
        <v>47071</v>
      </c>
      <c r="I13870" t="s">
        <v>47120</v>
      </c>
      <c r="J13870" t="s">
        <v>47121</v>
      </c>
      <c r="K13870" t="s">
        <v>47113</v>
      </c>
      <c r="L13870">
        <v>11.95</v>
      </c>
      <c r="M13870">
        <v>20</v>
      </c>
      <c r="N13870">
        <v>49</v>
      </c>
      <c r="O13870">
        <v>20</v>
      </c>
      <c r="P13870">
        <v>49</v>
      </c>
    </row>
    <row r="13871" spans="1:16" x14ac:dyDescent="0.25">
      <c r="A13871" t="s">
        <v>48910</v>
      </c>
      <c r="B13871" t="s">
        <v>46898</v>
      </c>
      <c r="C13871" t="s">
        <v>36196</v>
      </c>
      <c r="D13871" t="s">
        <v>14429</v>
      </c>
      <c r="E13871" t="s">
        <v>60</v>
      </c>
      <c r="F13871" t="s">
        <v>24019</v>
      </c>
      <c r="G13871" t="s">
        <v>47087</v>
      </c>
      <c r="H13871" t="s">
        <v>47071</v>
      </c>
      <c r="I13871" t="s">
        <v>47120</v>
      </c>
      <c r="J13871" t="s">
        <v>47121</v>
      </c>
      <c r="K13871" t="s">
        <v>47113</v>
      </c>
      <c r="L13871">
        <v>11.95</v>
      </c>
      <c r="M13871">
        <v>20</v>
      </c>
      <c r="N13871">
        <v>49</v>
      </c>
      <c r="O13871">
        <v>20</v>
      </c>
      <c r="P13871">
        <v>49</v>
      </c>
    </row>
    <row r="13872" spans="1:16" x14ac:dyDescent="0.25">
      <c r="A13872" t="s">
        <v>36645</v>
      </c>
      <c r="B13872" t="s">
        <v>9695</v>
      </c>
      <c r="C13872" t="s">
        <v>3813</v>
      </c>
      <c r="D13872" t="s">
        <v>9577</v>
      </c>
      <c r="E13872" t="s">
        <v>9578</v>
      </c>
      <c r="F13872" t="s">
        <v>2068</v>
      </c>
      <c r="G13872" t="s">
        <v>47072</v>
      </c>
      <c r="H13872" t="s">
        <v>47071</v>
      </c>
      <c r="I13872" t="s">
        <v>47118</v>
      </c>
      <c r="J13872" t="s">
        <v>47119</v>
      </c>
      <c r="K13872" t="s">
        <v>47113</v>
      </c>
      <c r="L13872">
        <v>21.79</v>
      </c>
      <c r="M13872">
        <v>50</v>
      </c>
      <c r="N13872">
        <v>0</v>
      </c>
      <c r="O13872">
        <v>50</v>
      </c>
      <c r="P13872">
        <v>0</v>
      </c>
    </row>
    <row r="13873" spans="1:16" x14ac:dyDescent="0.25">
      <c r="A13873" t="s">
        <v>36646</v>
      </c>
      <c r="B13873" t="s">
        <v>9695</v>
      </c>
      <c r="C13873" t="s">
        <v>3813</v>
      </c>
      <c r="D13873" t="s">
        <v>9579</v>
      </c>
      <c r="E13873" t="s">
        <v>9580</v>
      </c>
      <c r="F13873" t="s">
        <v>2068</v>
      </c>
      <c r="G13873" t="s">
        <v>47072</v>
      </c>
      <c r="H13873" t="s">
        <v>47071</v>
      </c>
      <c r="I13873" t="s">
        <v>47118</v>
      </c>
      <c r="J13873" t="s">
        <v>47119</v>
      </c>
      <c r="K13873" t="s">
        <v>47113</v>
      </c>
      <c r="L13873">
        <v>24.54</v>
      </c>
      <c r="M13873">
        <v>57</v>
      </c>
      <c r="N13873">
        <v>0</v>
      </c>
      <c r="O13873">
        <v>57</v>
      </c>
      <c r="P13873">
        <v>0</v>
      </c>
    </row>
    <row r="13874" spans="1:16" x14ac:dyDescent="0.25">
      <c r="A13874" t="s">
        <v>36647</v>
      </c>
      <c r="B13874" t="s">
        <v>9695</v>
      </c>
      <c r="C13874" t="s">
        <v>3813</v>
      </c>
      <c r="D13874" t="s">
        <v>9581</v>
      </c>
      <c r="E13874" t="s">
        <v>9582</v>
      </c>
      <c r="F13874" t="s">
        <v>2068</v>
      </c>
      <c r="G13874" t="s">
        <v>47072</v>
      </c>
      <c r="H13874" t="s">
        <v>47071</v>
      </c>
      <c r="I13874" t="s">
        <v>47118</v>
      </c>
      <c r="J13874" t="s">
        <v>47119</v>
      </c>
      <c r="K13874" t="s">
        <v>47113</v>
      </c>
      <c r="L13874">
        <v>24.54</v>
      </c>
      <c r="M13874">
        <v>57</v>
      </c>
      <c r="N13874">
        <v>0</v>
      </c>
      <c r="O13874">
        <v>57</v>
      </c>
      <c r="P13874">
        <v>0</v>
      </c>
    </row>
    <row r="13875" spans="1:16" x14ac:dyDescent="0.25">
      <c r="A13875" t="s">
        <v>36648</v>
      </c>
      <c r="B13875" t="s">
        <v>9696</v>
      </c>
      <c r="C13875" t="s">
        <v>9647</v>
      </c>
      <c r="D13875" t="s">
        <v>9538</v>
      </c>
      <c r="E13875" t="s">
        <v>9539</v>
      </c>
      <c r="F13875" t="s">
        <v>2068</v>
      </c>
      <c r="G13875" t="s">
        <v>47072</v>
      </c>
      <c r="H13875" t="s">
        <v>47071</v>
      </c>
      <c r="I13875" t="s">
        <v>47118</v>
      </c>
      <c r="J13875" t="s">
        <v>47119</v>
      </c>
      <c r="K13875" t="s">
        <v>47113</v>
      </c>
      <c r="L13875">
        <v>35.58</v>
      </c>
      <c r="M13875">
        <v>82</v>
      </c>
      <c r="N13875">
        <v>0</v>
      </c>
      <c r="O13875">
        <v>82</v>
      </c>
      <c r="P13875">
        <v>0</v>
      </c>
    </row>
    <row r="13876" spans="1:16" x14ac:dyDescent="0.25">
      <c r="A13876" t="s">
        <v>36649</v>
      </c>
      <c r="B13876" t="s">
        <v>9697</v>
      </c>
      <c r="C13876" t="s">
        <v>9517</v>
      </c>
      <c r="D13876" t="s">
        <v>9520</v>
      </c>
      <c r="E13876" t="s">
        <v>9521</v>
      </c>
      <c r="F13876" t="s">
        <v>2068</v>
      </c>
      <c r="G13876" t="s">
        <v>47072</v>
      </c>
      <c r="H13876" t="s">
        <v>47071</v>
      </c>
      <c r="I13876" t="s">
        <v>47118</v>
      </c>
      <c r="J13876" t="s">
        <v>47119</v>
      </c>
      <c r="K13876" t="s">
        <v>47113</v>
      </c>
      <c r="L13876">
        <v>24.54</v>
      </c>
      <c r="M13876">
        <v>57</v>
      </c>
      <c r="N13876">
        <v>0</v>
      </c>
      <c r="O13876">
        <v>57</v>
      </c>
      <c r="P13876">
        <v>0</v>
      </c>
    </row>
    <row r="13877" spans="1:16" x14ac:dyDescent="0.25">
      <c r="A13877" t="s">
        <v>36650</v>
      </c>
      <c r="B13877" t="s">
        <v>9698</v>
      </c>
      <c r="C13877" t="s">
        <v>9517</v>
      </c>
      <c r="D13877" t="str">
        <f>"4101"</f>
        <v>4101</v>
      </c>
      <c r="E13877" t="s">
        <v>9586</v>
      </c>
      <c r="F13877" t="s">
        <v>2068</v>
      </c>
      <c r="G13877" t="s">
        <v>47077</v>
      </c>
      <c r="H13877" t="s">
        <v>47071</v>
      </c>
      <c r="I13877" t="s">
        <v>47118</v>
      </c>
      <c r="J13877" t="s">
        <v>47119</v>
      </c>
      <c r="K13877" t="s">
        <v>47113</v>
      </c>
      <c r="L13877">
        <v>24.54</v>
      </c>
      <c r="M13877">
        <v>57</v>
      </c>
      <c r="N13877">
        <v>0</v>
      </c>
      <c r="O13877">
        <v>57</v>
      </c>
      <c r="P13877">
        <v>0</v>
      </c>
    </row>
    <row r="13878" spans="1:16" x14ac:dyDescent="0.25">
      <c r="A13878" t="s">
        <v>36651</v>
      </c>
      <c r="B13878" t="s">
        <v>9698</v>
      </c>
      <c r="C13878" t="s">
        <v>9517</v>
      </c>
      <c r="D13878" t="s">
        <v>9587</v>
      </c>
      <c r="E13878" t="s">
        <v>9588</v>
      </c>
      <c r="F13878" t="s">
        <v>2068</v>
      </c>
      <c r="G13878" t="s">
        <v>47077</v>
      </c>
      <c r="H13878" t="s">
        <v>47071</v>
      </c>
      <c r="I13878" t="s">
        <v>47118</v>
      </c>
      <c r="J13878" t="s">
        <v>47119</v>
      </c>
      <c r="K13878" t="s">
        <v>47113</v>
      </c>
      <c r="L13878">
        <v>24.54</v>
      </c>
      <c r="M13878">
        <v>57</v>
      </c>
      <c r="N13878">
        <v>0</v>
      </c>
      <c r="O13878">
        <v>57</v>
      </c>
      <c r="P13878">
        <v>0</v>
      </c>
    </row>
    <row r="13879" spans="1:16" x14ac:dyDescent="0.25">
      <c r="A13879" t="s">
        <v>36652</v>
      </c>
      <c r="B13879" t="s">
        <v>9699</v>
      </c>
      <c r="C13879" t="s">
        <v>9517</v>
      </c>
      <c r="D13879" t="s">
        <v>9520</v>
      </c>
      <c r="E13879" t="s">
        <v>9521</v>
      </c>
      <c r="F13879" t="s">
        <v>2068</v>
      </c>
      <c r="G13879" t="s">
        <v>47077</v>
      </c>
      <c r="H13879" t="s">
        <v>47071</v>
      </c>
      <c r="I13879" t="s">
        <v>47120</v>
      </c>
      <c r="J13879" t="s">
        <v>47121</v>
      </c>
      <c r="K13879" t="s">
        <v>47113</v>
      </c>
      <c r="L13879">
        <v>34.200000000000003</v>
      </c>
      <c r="M13879">
        <v>79</v>
      </c>
      <c r="N13879">
        <v>0</v>
      </c>
      <c r="O13879">
        <v>79</v>
      </c>
      <c r="P13879">
        <v>0</v>
      </c>
    </row>
    <row r="13880" spans="1:16" x14ac:dyDescent="0.25">
      <c r="A13880" t="s">
        <v>36653</v>
      </c>
      <c r="B13880" t="s">
        <v>9700</v>
      </c>
      <c r="C13880" t="s">
        <v>9591</v>
      </c>
      <c r="D13880" t="s">
        <v>9592</v>
      </c>
      <c r="E13880" t="s">
        <v>9593</v>
      </c>
      <c r="F13880" t="s">
        <v>2068</v>
      </c>
      <c r="G13880" t="s">
        <v>47076</v>
      </c>
      <c r="H13880" t="s">
        <v>47071</v>
      </c>
      <c r="I13880" t="s">
        <v>47118</v>
      </c>
      <c r="J13880" t="s">
        <v>47119</v>
      </c>
      <c r="K13880" t="s">
        <v>47113</v>
      </c>
      <c r="L13880">
        <v>27.31</v>
      </c>
      <c r="M13880">
        <v>63</v>
      </c>
      <c r="N13880">
        <v>0</v>
      </c>
      <c r="O13880">
        <v>63</v>
      </c>
      <c r="P13880">
        <v>0</v>
      </c>
    </row>
    <row r="13881" spans="1:16" x14ac:dyDescent="0.25">
      <c r="A13881" t="s">
        <v>36654</v>
      </c>
      <c r="B13881" t="s">
        <v>9701</v>
      </c>
      <c r="C13881" t="s">
        <v>2800</v>
      </c>
      <c r="D13881" t="s">
        <v>9595</v>
      </c>
      <c r="E13881" t="s">
        <v>9596</v>
      </c>
      <c r="F13881" t="s">
        <v>2068</v>
      </c>
      <c r="G13881" t="s">
        <v>47079</v>
      </c>
      <c r="H13881" t="s">
        <v>47071</v>
      </c>
      <c r="I13881" t="s">
        <v>47118</v>
      </c>
      <c r="J13881" t="s">
        <v>47119</v>
      </c>
      <c r="K13881" t="s">
        <v>47113</v>
      </c>
      <c r="L13881">
        <v>16.28</v>
      </c>
      <c r="M13881">
        <v>38</v>
      </c>
      <c r="N13881">
        <v>0</v>
      </c>
      <c r="O13881">
        <v>38</v>
      </c>
      <c r="P13881">
        <v>0</v>
      </c>
    </row>
    <row r="13882" spans="1:16" x14ac:dyDescent="0.25">
      <c r="A13882" t="s">
        <v>36655</v>
      </c>
      <c r="B13882" t="s">
        <v>36656</v>
      </c>
      <c r="C13882" t="s">
        <v>36452</v>
      </c>
      <c r="D13882" t="s">
        <v>21035</v>
      </c>
      <c r="E13882" t="s">
        <v>21036</v>
      </c>
      <c r="F13882" t="s">
        <v>16623</v>
      </c>
      <c r="G13882" t="s">
        <v>47075</v>
      </c>
      <c r="H13882" t="s">
        <v>47071</v>
      </c>
      <c r="I13882" t="s">
        <v>47120</v>
      </c>
      <c r="J13882" t="s">
        <v>47121</v>
      </c>
      <c r="K13882" t="s">
        <v>47113</v>
      </c>
      <c r="L13882">
        <v>21.31</v>
      </c>
      <c r="M13882">
        <v>22</v>
      </c>
      <c r="N13882">
        <v>0</v>
      </c>
      <c r="O13882">
        <v>22</v>
      </c>
      <c r="P13882">
        <v>0</v>
      </c>
    </row>
    <row r="13883" spans="1:16" x14ac:dyDescent="0.25">
      <c r="A13883" t="s">
        <v>36657</v>
      </c>
      <c r="B13883" t="s">
        <v>36658</v>
      </c>
      <c r="C13883" t="s">
        <v>36455</v>
      </c>
      <c r="D13883" t="s">
        <v>21035</v>
      </c>
      <c r="E13883" t="s">
        <v>21036</v>
      </c>
      <c r="F13883" t="s">
        <v>16623</v>
      </c>
      <c r="G13883" t="s">
        <v>47080</v>
      </c>
      <c r="H13883" t="s">
        <v>47071</v>
      </c>
      <c r="I13883" t="s">
        <v>47120</v>
      </c>
      <c r="J13883" t="s">
        <v>47121</v>
      </c>
      <c r="K13883" t="s">
        <v>47113</v>
      </c>
      <c r="L13883">
        <v>21.31</v>
      </c>
      <c r="M13883">
        <v>22</v>
      </c>
      <c r="N13883">
        <v>0</v>
      </c>
      <c r="O13883">
        <v>22</v>
      </c>
      <c r="P13883">
        <v>0</v>
      </c>
    </row>
    <row r="13884" spans="1:16" x14ac:dyDescent="0.25">
      <c r="A13884" t="s">
        <v>47023</v>
      </c>
      <c r="B13884" t="s">
        <v>46901</v>
      </c>
      <c r="C13884" t="s">
        <v>46812</v>
      </c>
      <c r="D13884" t="s">
        <v>15692</v>
      </c>
      <c r="E13884" t="s">
        <v>46</v>
      </c>
      <c r="F13884" t="s">
        <v>27965</v>
      </c>
      <c r="G13884" t="s">
        <v>47082</v>
      </c>
      <c r="H13884" t="s">
        <v>47071</v>
      </c>
      <c r="I13884" t="s">
        <v>47120</v>
      </c>
      <c r="J13884" t="s">
        <v>47121</v>
      </c>
      <c r="K13884" t="s">
        <v>47113</v>
      </c>
      <c r="L13884">
        <v>27.26</v>
      </c>
      <c r="M13884">
        <v>52</v>
      </c>
      <c r="N13884">
        <v>129</v>
      </c>
      <c r="O13884">
        <v>52</v>
      </c>
      <c r="P13884">
        <v>129</v>
      </c>
    </row>
    <row r="13885" spans="1:16" x14ac:dyDescent="0.25">
      <c r="A13885" t="s">
        <v>48911</v>
      </c>
      <c r="B13885" t="s">
        <v>48912</v>
      </c>
      <c r="C13885" t="s">
        <v>48710</v>
      </c>
      <c r="D13885" t="s">
        <v>15740</v>
      </c>
      <c r="E13885" t="s">
        <v>42</v>
      </c>
      <c r="F13885" t="s">
        <v>27965</v>
      </c>
      <c r="G13885" t="s">
        <v>47075</v>
      </c>
      <c r="H13885" t="s">
        <v>47071</v>
      </c>
      <c r="I13885" t="s">
        <v>47120</v>
      </c>
      <c r="J13885" t="s">
        <v>47121</v>
      </c>
      <c r="K13885" t="s">
        <v>47113</v>
      </c>
      <c r="L13885">
        <v>23.08</v>
      </c>
      <c r="M13885">
        <v>52</v>
      </c>
      <c r="N13885">
        <v>129</v>
      </c>
      <c r="O13885">
        <v>52</v>
      </c>
      <c r="P13885">
        <v>129</v>
      </c>
    </row>
    <row r="13886" spans="1:16" x14ac:dyDescent="0.25">
      <c r="A13886" t="s">
        <v>47024</v>
      </c>
      <c r="B13886" t="s">
        <v>46902</v>
      </c>
      <c r="C13886" t="s">
        <v>21000</v>
      </c>
      <c r="D13886" t="s">
        <v>46816</v>
      </c>
      <c r="E13886" t="s">
        <v>46817</v>
      </c>
      <c r="F13886" t="s">
        <v>27965</v>
      </c>
      <c r="G13886" t="s">
        <v>47076</v>
      </c>
      <c r="H13886" t="s">
        <v>47071</v>
      </c>
      <c r="I13886" t="s">
        <v>47120</v>
      </c>
      <c r="J13886" t="s">
        <v>47121</v>
      </c>
      <c r="K13886" t="s">
        <v>47113</v>
      </c>
      <c r="L13886">
        <v>39.51</v>
      </c>
      <c r="M13886">
        <v>60</v>
      </c>
      <c r="N13886">
        <v>149</v>
      </c>
      <c r="O13886">
        <v>60</v>
      </c>
      <c r="P13886">
        <v>149</v>
      </c>
    </row>
    <row r="13887" spans="1:16" x14ac:dyDescent="0.25">
      <c r="A13887" t="s">
        <v>47025</v>
      </c>
      <c r="B13887" t="s">
        <v>46903</v>
      </c>
      <c r="C13887" t="s">
        <v>46819</v>
      </c>
      <c r="D13887" t="s">
        <v>46820</v>
      </c>
      <c r="E13887" t="s">
        <v>46821</v>
      </c>
      <c r="F13887" t="s">
        <v>27965</v>
      </c>
      <c r="G13887" t="s">
        <v>47072</v>
      </c>
      <c r="H13887" t="s">
        <v>47071</v>
      </c>
      <c r="I13887" t="s">
        <v>47116</v>
      </c>
      <c r="J13887" t="s">
        <v>47117</v>
      </c>
      <c r="K13887" t="s">
        <v>47113</v>
      </c>
      <c r="L13887">
        <v>24.67</v>
      </c>
      <c r="M13887">
        <v>52</v>
      </c>
      <c r="N13887">
        <v>129</v>
      </c>
      <c r="O13887">
        <v>52</v>
      </c>
      <c r="P13887">
        <v>129</v>
      </c>
    </row>
    <row r="13888" spans="1:16" x14ac:dyDescent="0.25">
      <c r="A13888" t="s">
        <v>47026</v>
      </c>
      <c r="B13888" t="s">
        <v>46904</v>
      </c>
      <c r="C13888" t="s">
        <v>15709</v>
      </c>
      <c r="D13888" t="s">
        <v>46823</v>
      </c>
      <c r="E13888" t="s">
        <v>46824</v>
      </c>
      <c r="F13888" t="s">
        <v>27965</v>
      </c>
      <c r="G13888" t="s">
        <v>47072</v>
      </c>
      <c r="H13888" t="s">
        <v>47071</v>
      </c>
      <c r="I13888" t="s">
        <v>47116</v>
      </c>
      <c r="J13888" t="s">
        <v>47117</v>
      </c>
      <c r="K13888" t="s">
        <v>47113</v>
      </c>
      <c r="L13888">
        <v>39.51</v>
      </c>
      <c r="M13888">
        <v>80</v>
      </c>
      <c r="N13888">
        <v>199</v>
      </c>
      <c r="O13888">
        <v>80</v>
      </c>
      <c r="P13888">
        <v>199</v>
      </c>
    </row>
    <row r="13889" spans="1:16" x14ac:dyDescent="0.25">
      <c r="A13889" t="s">
        <v>48913</v>
      </c>
      <c r="B13889" t="s">
        <v>48914</v>
      </c>
      <c r="C13889" t="s">
        <v>48713</v>
      </c>
      <c r="D13889" t="s">
        <v>48714</v>
      </c>
      <c r="E13889" t="s">
        <v>48715</v>
      </c>
      <c r="F13889" t="s">
        <v>27965</v>
      </c>
      <c r="G13889" t="s">
        <v>47072</v>
      </c>
      <c r="H13889" t="s">
        <v>47071</v>
      </c>
      <c r="I13889" t="s">
        <v>47116</v>
      </c>
      <c r="J13889" t="s">
        <v>47117</v>
      </c>
      <c r="K13889" t="s">
        <v>47113</v>
      </c>
      <c r="L13889">
        <v>21.88</v>
      </c>
      <c r="M13889">
        <v>52</v>
      </c>
      <c r="N13889">
        <v>129</v>
      </c>
      <c r="O13889">
        <v>52</v>
      </c>
      <c r="P13889">
        <v>129</v>
      </c>
    </row>
    <row r="13890" spans="1:16" x14ac:dyDescent="0.25">
      <c r="A13890" t="s">
        <v>47027</v>
      </c>
      <c r="B13890" t="s">
        <v>46905</v>
      </c>
      <c r="C13890" t="s">
        <v>15709</v>
      </c>
      <c r="D13890" t="s">
        <v>46826</v>
      </c>
      <c r="E13890" t="s">
        <v>46827</v>
      </c>
      <c r="F13890" t="s">
        <v>27965</v>
      </c>
      <c r="G13890" t="s">
        <v>47072</v>
      </c>
      <c r="H13890" t="s">
        <v>47071</v>
      </c>
      <c r="I13890" t="s">
        <v>47116</v>
      </c>
      <c r="J13890" t="s">
        <v>47117</v>
      </c>
      <c r="K13890" t="s">
        <v>47113</v>
      </c>
      <c r="L13890">
        <v>35.76</v>
      </c>
      <c r="M13890">
        <v>80</v>
      </c>
      <c r="N13890">
        <v>199</v>
      </c>
      <c r="O13890">
        <v>80</v>
      </c>
      <c r="P13890">
        <v>199</v>
      </c>
    </row>
    <row r="13891" spans="1:16" x14ac:dyDescent="0.25">
      <c r="A13891" t="s">
        <v>47028</v>
      </c>
      <c r="B13891" t="s">
        <v>46906</v>
      </c>
      <c r="C13891" t="s">
        <v>46829</v>
      </c>
      <c r="D13891" t="s">
        <v>46830</v>
      </c>
      <c r="E13891" t="s">
        <v>46831</v>
      </c>
      <c r="F13891" t="s">
        <v>27965</v>
      </c>
      <c r="G13891" t="s">
        <v>47072</v>
      </c>
      <c r="H13891" t="s">
        <v>47071</v>
      </c>
      <c r="I13891" t="s">
        <v>47116</v>
      </c>
      <c r="J13891" t="s">
        <v>47117</v>
      </c>
      <c r="K13891" t="s">
        <v>47113</v>
      </c>
      <c r="L13891">
        <v>35.76</v>
      </c>
      <c r="M13891">
        <v>80</v>
      </c>
      <c r="N13891">
        <v>199</v>
      </c>
      <c r="O13891">
        <v>80</v>
      </c>
      <c r="P13891">
        <v>199</v>
      </c>
    </row>
    <row r="13892" spans="1:16" x14ac:dyDescent="0.25">
      <c r="A13892" t="s">
        <v>47029</v>
      </c>
      <c r="B13892" t="s">
        <v>46907</v>
      </c>
      <c r="C13892" t="s">
        <v>35451</v>
      </c>
      <c r="D13892" t="s">
        <v>46833</v>
      </c>
      <c r="E13892" t="s">
        <v>46834</v>
      </c>
      <c r="F13892" t="s">
        <v>27965</v>
      </c>
      <c r="G13892" t="s">
        <v>47072</v>
      </c>
      <c r="H13892" t="s">
        <v>47071</v>
      </c>
      <c r="I13892" t="s">
        <v>47116</v>
      </c>
      <c r="J13892" t="s">
        <v>47117</v>
      </c>
      <c r="K13892" t="s">
        <v>47113</v>
      </c>
      <c r="L13892">
        <v>24.67</v>
      </c>
      <c r="M13892">
        <v>52</v>
      </c>
      <c r="N13892">
        <v>129</v>
      </c>
      <c r="O13892">
        <v>52</v>
      </c>
      <c r="P13892">
        <v>129</v>
      </c>
    </row>
    <row r="13893" spans="1:16" x14ac:dyDescent="0.25">
      <c r="A13893" t="s">
        <v>47030</v>
      </c>
      <c r="B13893" t="s">
        <v>46908</v>
      </c>
      <c r="C13893" t="s">
        <v>35451</v>
      </c>
      <c r="D13893" t="s">
        <v>46836</v>
      </c>
      <c r="E13893" t="s">
        <v>46837</v>
      </c>
      <c r="F13893" t="s">
        <v>27965</v>
      </c>
      <c r="G13893" t="s">
        <v>47072</v>
      </c>
      <c r="H13893" t="s">
        <v>47071</v>
      </c>
      <c r="I13893" t="s">
        <v>47116</v>
      </c>
      <c r="J13893" t="s">
        <v>47117</v>
      </c>
      <c r="K13893" t="s">
        <v>47113</v>
      </c>
      <c r="L13893">
        <v>24.67</v>
      </c>
      <c r="M13893">
        <v>52</v>
      </c>
      <c r="N13893">
        <v>129</v>
      </c>
      <c r="O13893">
        <v>52</v>
      </c>
      <c r="P13893">
        <v>129</v>
      </c>
    </row>
    <row r="13894" spans="1:16" x14ac:dyDescent="0.25">
      <c r="A13894" t="s">
        <v>47031</v>
      </c>
      <c r="B13894" t="s">
        <v>46909</v>
      </c>
      <c r="C13894" t="s">
        <v>46839</v>
      </c>
      <c r="D13894" t="s">
        <v>46840</v>
      </c>
      <c r="E13894" t="s">
        <v>46841</v>
      </c>
      <c r="F13894" t="s">
        <v>27965</v>
      </c>
      <c r="G13894" t="s">
        <v>47135</v>
      </c>
      <c r="H13894" t="s">
        <v>47071</v>
      </c>
      <c r="I13894" t="s">
        <v>47116</v>
      </c>
      <c r="J13894" t="s">
        <v>47117</v>
      </c>
      <c r="K13894" t="s">
        <v>47113</v>
      </c>
      <c r="L13894">
        <v>35.76</v>
      </c>
      <c r="M13894">
        <v>80</v>
      </c>
      <c r="N13894">
        <v>199</v>
      </c>
      <c r="O13894">
        <v>80</v>
      </c>
      <c r="P13894">
        <v>199</v>
      </c>
    </row>
    <row r="13895" spans="1:16" x14ac:dyDescent="0.25">
      <c r="A13895" t="s">
        <v>48915</v>
      </c>
      <c r="B13895" t="s">
        <v>48916</v>
      </c>
      <c r="C13895" t="s">
        <v>46829</v>
      </c>
      <c r="D13895" t="s">
        <v>48718</v>
      </c>
      <c r="E13895" t="s">
        <v>48719</v>
      </c>
      <c r="F13895" t="s">
        <v>27965</v>
      </c>
      <c r="G13895" t="s">
        <v>47072</v>
      </c>
      <c r="H13895" t="s">
        <v>47071</v>
      </c>
      <c r="I13895" t="s">
        <v>47116</v>
      </c>
      <c r="J13895" t="s">
        <v>47117</v>
      </c>
      <c r="K13895" t="s">
        <v>47113</v>
      </c>
      <c r="L13895">
        <v>32.51</v>
      </c>
      <c r="M13895">
        <v>80</v>
      </c>
      <c r="N13895">
        <v>199</v>
      </c>
      <c r="O13895">
        <v>80</v>
      </c>
      <c r="P13895">
        <v>199</v>
      </c>
    </row>
    <row r="13896" spans="1:16" x14ac:dyDescent="0.25">
      <c r="A13896" t="s">
        <v>47032</v>
      </c>
      <c r="B13896" t="s">
        <v>46910</v>
      </c>
      <c r="C13896" t="s">
        <v>15709</v>
      </c>
      <c r="D13896" t="s">
        <v>46846</v>
      </c>
      <c r="E13896" t="s">
        <v>46847</v>
      </c>
      <c r="F13896" t="s">
        <v>27965</v>
      </c>
      <c r="G13896" t="s">
        <v>47135</v>
      </c>
      <c r="H13896" t="s">
        <v>47071</v>
      </c>
      <c r="I13896" t="s">
        <v>47116</v>
      </c>
      <c r="J13896" t="s">
        <v>47117</v>
      </c>
      <c r="K13896" t="s">
        <v>47113</v>
      </c>
      <c r="L13896">
        <v>19.13</v>
      </c>
      <c r="M13896">
        <v>40</v>
      </c>
      <c r="N13896">
        <v>99</v>
      </c>
      <c r="O13896">
        <v>40</v>
      </c>
      <c r="P13896">
        <v>99</v>
      </c>
    </row>
    <row r="13897" spans="1:16" x14ac:dyDescent="0.25">
      <c r="A13897" t="s">
        <v>47033</v>
      </c>
      <c r="B13897" t="s">
        <v>46911</v>
      </c>
      <c r="C13897" t="s">
        <v>46839</v>
      </c>
      <c r="D13897" t="s">
        <v>46836</v>
      </c>
      <c r="E13897" t="s">
        <v>46837</v>
      </c>
      <c r="F13897" t="s">
        <v>27965</v>
      </c>
      <c r="G13897" t="s">
        <v>47135</v>
      </c>
      <c r="H13897" t="s">
        <v>47071</v>
      </c>
      <c r="I13897" t="s">
        <v>47116</v>
      </c>
      <c r="J13897" t="s">
        <v>47117</v>
      </c>
      <c r="K13897" t="s">
        <v>47113</v>
      </c>
      <c r="L13897">
        <v>14.48</v>
      </c>
      <c r="M13897">
        <v>52</v>
      </c>
      <c r="N13897">
        <v>129</v>
      </c>
      <c r="O13897">
        <v>52</v>
      </c>
      <c r="P13897">
        <v>129</v>
      </c>
    </row>
    <row r="13898" spans="1:16" x14ac:dyDescent="0.25">
      <c r="A13898" t="s">
        <v>47034</v>
      </c>
      <c r="B13898" t="s">
        <v>46912</v>
      </c>
      <c r="C13898" t="s">
        <v>46845</v>
      </c>
      <c r="D13898" t="s">
        <v>46816</v>
      </c>
      <c r="E13898" t="s">
        <v>46817</v>
      </c>
      <c r="F13898" t="s">
        <v>27965</v>
      </c>
      <c r="G13898" t="s">
        <v>47135</v>
      </c>
      <c r="H13898" t="s">
        <v>47071</v>
      </c>
      <c r="I13898" t="s">
        <v>47116</v>
      </c>
      <c r="J13898" t="s">
        <v>47117</v>
      </c>
      <c r="K13898" t="s">
        <v>47113</v>
      </c>
      <c r="L13898">
        <v>21.89</v>
      </c>
      <c r="M13898">
        <v>52</v>
      </c>
      <c r="N13898">
        <v>129</v>
      </c>
      <c r="O13898">
        <v>52</v>
      </c>
      <c r="P13898">
        <v>129</v>
      </c>
    </row>
    <row r="13899" spans="1:16" x14ac:dyDescent="0.25">
      <c r="A13899" t="s">
        <v>47035</v>
      </c>
      <c r="B13899" t="s">
        <v>46912</v>
      </c>
      <c r="C13899" t="s">
        <v>46845</v>
      </c>
      <c r="D13899" t="s">
        <v>46850</v>
      </c>
      <c r="E13899" t="s">
        <v>46851</v>
      </c>
      <c r="F13899" t="s">
        <v>27965</v>
      </c>
      <c r="G13899" t="s">
        <v>47135</v>
      </c>
      <c r="H13899" t="s">
        <v>47071</v>
      </c>
      <c r="I13899" t="s">
        <v>47116</v>
      </c>
      <c r="J13899" t="s">
        <v>47117</v>
      </c>
      <c r="K13899" t="s">
        <v>47113</v>
      </c>
      <c r="L13899">
        <v>21.89</v>
      </c>
      <c r="M13899">
        <v>52</v>
      </c>
      <c r="N13899">
        <v>129</v>
      </c>
      <c r="O13899">
        <v>52</v>
      </c>
      <c r="P13899">
        <v>129</v>
      </c>
    </row>
    <row r="13900" spans="1:16" x14ac:dyDescent="0.25">
      <c r="A13900" t="s">
        <v>48917</v>
      </c>
      <c r="B13900" t="s">
        <v>46912</v>
      </c>
      <c r="C13900" t="s">
        <v>46845</v>
      </c>
      <c r="D13900" t="s">
        <v>48721</v>
      </c>
      <c r="E13900" t="s">
        <v>9456</v>
      </c>
      <c r="F13900" t="s">
        <v>27965</v>
      </c>
      <c r="G13900" t="s">
        <v>47135</v>
      </c>
      <c r="H13900" t="s">
        <v>47071</v>
      </c>
      <c r="I13900" t="s">
        <v>47116</v>
      </c>
      <c r="J13900" t="s">
        <v>47117</v>
      </c>
      <c r="K13900" t="s">
        <v>47113</v>
      </c>
      <c r="L13900">
        <v>21.9</v>
      </c>
      <c r="M13900">
        <v>52</v>
      </c>
      <c r="N13900">
        <v>129</v>
      </c>
      <c r="O13900">
        <v>52</v>
      </c>
      <c r="P13900">
        <v>129</v>
      </c>
    </row>
    <row r="13901" spans="1:16" x14ac:dyDescent="0.25">
      <c r="A13901" t="s">
        <v>47036</v>
      </c>
      <c r="B13901" t="s">
        <v>46913</v>
      </c>
      <c r="C13901" t="s">
        <v>46853</v>
      </c>
      <c r="D13901" t="s">
        <v>15692</v>
      </c>
      <c r="E13901" t="s">
        <v>46</v>
      </c>
      <c r="F13901" t="s">
        <v>27965</v>
      </c>
      <c r="G13901" t="s">
        <v>47080</v>
      </c>
      <c r="H13901" t="s">
        <v>47071</v>
      </c>
      <c r="I13901" t="s">
        <v>47120</v>
      </c>
      <c r="J13901" t="s">
        <v>47121</v>
      </c>
      <c r="K13901" t="s">
        <v>47113</v>
      </c>
      <c r="L13901">
        <v>21.13</v>
      </c>
      <c r="M13901">
        <v>40</v>
      </c>
      <c r="N13901">
        <v>99</v>
      </c>
      <c r="O13901">
        <v>40</v>
      </c>
      <c r="P13901">
        <v>99</v>
      </c>
    </row>
    <row r="13902" spans="1:16" x14ac:dyDescent="0.25">
      <c r="A13902" t="s">
        <v>48918</v>
      </c>
      <c r="B13902" t="s">
        <v>48919</v>
      </c>
      <c r="C13902" t="s">
        <v>48724</v>
      </c>
      <c r="D13902" t="s">
        <v>15740</v>
      </c>
      <c r="E13902" t="s">
        <v>42</v>
      </c>
      <c r="F13902" t="s">
        <v>27965</v>
      </c>
      <c r="G13902" t="s">
        <v>47080</v>
      </c>
      <c r="H13902" t="s">
        <v>47071</v>
      </c>
      <c r="I13902" t="s">
        <v>47120</v>
      </c>
      <c r="J13902" t="s">
        <v>47121</v>
      </c>
      <c r="K13902" t="s">
        <v>47113</v>
      </c>
      <c r="L13902">
        <v>18.309999999999999</v>
      </c>
      <c r="M13902">
        <v>36</v>
      </c>
      <c r="N13902">
        <v>89</v>
      </c>
      <c r="O13902">
        <v>36</v>
      </c>
      <c r="P13902">
        <v>89</v>
      </c>
    </row>
    <row r="13903" spans="1:16" x14ac:dyDescent="0.25">
      <c r="A13903" t="s">
        <v>47037</v>
      </c>
      <c r="B13903" t="s">
        <v>46914</v>
      </c>
      <c r="C13903" t="s">
        <v>46855</v>
      </c>
      <c r="D13903" t="s">
        <v>15692</v>
      </c>
      <c r="E13903" t="s">
        <v>46</v>
      </c>
      <c r="F13903" t="s">
        <v>27965</v>
      </c>
      <c r="G13903" t="s">
        <v>47073</v>
      </c>
      <c r="H13903" t="s">
        <v>47054</v>
      </c>
      <c r="I13903" t="s">
        <v>47120</v>
      </c>
      <c r="J13903" t="s">
        <v>47121</v>
      </c>
      <c r="K13903" t="s">
        <v>47113</v>
      </c>
      <c r="L13903">
        <v>10.72</v>
      </c>
      <c r="M13903">
        <v>20</v>
      </c>
      <c r="N13903">
        <v>49</v>
      </c>
      <c r="O13903">
        <v>20</v>
      </c>
      <c r="P13903">
        <v>49</v>
      </c>
    </row>
    <row r="13904" spans="1:16" x14ac:dyDescent="0.25">
      <c r="A13904" t="s">
        <v>47038</v>
      </c>
      <c r="B13904" t="s">
        <v>46915</v>
      </c>
      <c r="C13904" t="s">
        <v>46857</v>
      </c>
      <c r="D13904" t="s">
        <v>46816</v>
      </c>
      <c r="E13904" t="s">
        <v>46817</v>
      </c>
      <c r="F13904" t="s">
        <v>27965</v>
      </c>
      <c r="G13904" t="s">
        <v>47073</v>
      </c>
      <c r="H13904" t="s">
        <v>47071</v>
      </c>
      <c r="I13904" t="s">
        <v>47120</v>
      </c>
      <c r="J13904" t="s">
        <v>47121</v>
      </c>
      <c r="K13904" t="s">
        <v>47113</v>
      </c>
      <c r="L13904">
        <v>11.95</v>
      </c>
      <c r="M13904">
        <v>20</v>
      </c>
      <c r="N13904">
        <v>49</v>
      </c>
      <c r="O13904">
        <v>20</v>
      </c>
      <c r="P13904">
        <v>49</v>
      </c>
    </row>
    <row r="13905" spans="1:16" x14ac:dyDescent="0.25">
      <c r="A13905" t="s">
        <v>47039</v>
      </c>
      <c r="B13905" t="s">
        <v>46916</v>
      </c>
      <c r="C13905" t="s">
        <v>46859</v>
      </c>
      <c r="D13905" t="s">
        <v>9513</v>
      </c>
      <c r="E13905" t="s">
        <v>9514</v>
      </c>
      <c r="F13905" t="s">
        <v>27965</v>
      </c>
      <c r="G13905" t="s">
        <v>47073</v>
      </c>
      <c r="H13905" t="s">
        <v>47071</v>
      </c>
      <c r="I13905" t="s">
        <v>47120</v>
      </c>
      <c r="J13905" t="s">
        <v>47121</v>
      </c>
      <c r="K13905" t="s">
        <v>47113</v>
      </c>
      <c r="L13905">
        <v>10.72</v>
      </c>
      <c r="M13905">
        <v>20</v>
      </c>
      <c r="N13905">
        <v>49</v>
      </c>
      <c r="O13905">
        <v>20</v>
      </c>
      <c r="P13905">
        <v>49</v>
      </c>
    </row>
    <row r="13906" spans="1:16" x14ac:dyDescent="0.25">
      <c r="A13906" t="s">
        <v>47040</v>
      </c>
      <c r="B13906" t="s">
        <v>46917</v>
      </c>
      <c r="C13906" t="s">
        <v>46861</v>
      </c>
      <c r="D13906" t="s">
        <v>46862</v>
      </c>
      <c r="E13906" t="s">
        <v>13112</v>
      </c>
      <c r="F13906" t="s">
        <v>27965</v>
      </c>
      <c r="G13906" t="s">
        <v>47073</v>
      </c>
      <c r="H13906" t="s">
        <v>47071</v>
      </c>
      <c r="I13906" t="s">
        <v>47120</v>
      </c>
      <c r="J13906" t="s">
        <v>47121</v>
      </c>
      <c r="K13906" t="s">
        <v>47113</v>
      </c>
      <c r="L13906">
        <v>10.81</v>
      </c>
      <c r="M13906">
        <v>20</v>
      </c>
      <c r="N13906">
        <v>49</v>
      </c>
      <c r="O13906">
        <v>20</v>
      </c>
      <c r="P13906">
        <v>49</v>
      </c>
    </row>
    <row r="13907" spans="1:16" x14ac:dyDescent="0.25">
      <c r="A13907" t="s">
        <v>47041</v>
      </c>
      <c r="B13907" t="s">
        <v>46918</v>
      </c>
      <c r="C13907" t="s">
        <v>20961</v>
      </c>
      <c r="D13907" t="s">
        <v>46862</v>
      </c>
      <c r="E13907" t="s">
        <v>13112</v>
      </c>
      <c r="F13907" t="s">
        <v>27965</v>
      </c>
      <c r="G13907" t="s">
        <v>47073</v>
      </c>
      <c r="H13907" t="s">
        <v>47071</v>
      </c>
      <c r="I13907" t="s">
        <v>47120</v>
      </c>
      <c r="J13907" t="s">
        <v>47121</v>
      </c>
      <c r="K13907" t="s">
        <v>47113</v>
      </c>
      <c r="L13907">
        <v>10.72</v>
      </c>
      <c r="M13907">
        <v>20</v>
      </c>
      <c r="N13907">
        <v>49</v>
      </c>
      <c r="O13907">
        <v>20</v>
      </c>
      <c r="P13907">
        <v>49</v>
      </c>
    </row>
    <row r="13908" spans="1:16" x14ac:dyDescent="0.25">
      <c r="A13908" t="s">
        <v>48920</v>
      </c>
      <c r="B13908" t="s">
        <v>48921</v>
      </c>
      <c r="C13908" t="s">
        <v>48727</v>
      </c>
      <c r="D13908" t="s">
        <v>48728</v>
      </c>
      <c r="E13908" t="s">
        <v>16399</v>
      </c>
      <c r="F13908" t="s">
        <v>27965</v>
      </c>
      <c r="G13908" t="s">
        <v>47073</v>
      </c>
      <c r="H13908" t="s">
        <v>47071</v>
      </c>
      <c r="I13908" t="s">
        <v>47120</v>
      </c>
      <c r="J13908" t="s">
        <v>47121</v>
      </c>
      <c r="K13908" t="s">
        <v>47113</v>
      </c>
      <c r="L13908">
        <v>10.81</v>
      </c>
      <c r="M13908">
        <v>20</v>
      </c>
      <c r="N13908">
        <v>39</v>
      </c>
      <c r="O13908">
        <v>20</v>
      </c>
      <c r="P13908">
        <v>39</v>
      </c>
    </row>
    <row r="13909" spans="1:16" x14ac:dyDescent="0.25">
      <c r="A13909" t="s">
        <v>47042</v>
      </c>
      <c r="B13909" t="s">
        <v>46919</v>
      </c>
      <c r="C13909" t="s">
        <v>46867</v>
      </c>
      <c r="D13909" t="s">
        <v>14429</v>
      </c>
      <c r="E13909" t="s">
        <v>60</v>
      </c>
      <c r="F13909" t="s">
        <v>27965</v>
      </c>
      <c r="G13909" t="s">
        <v>47073</v>
      </c>
      <c r="H13909" t="s">
        <v>47071</v>
      </c>
      <c r="I13909" t="s">
        <v>47120</v>
      </c>
      <c r="J13909" t="s">
        <v>47121</v>
      </c>
      <c r="K13909" t="s">
        <v>47113</v>
      </c>
      <c r="L13909">
        <v>11.95</v>
      </c>
      <c r="M13909">
        <v>20</v>
      </c>
      <c r="N13909">
        <v>49</v>
      </c>
      <c r="O13909">
        <v>20</v>
      </c>
      <c r="P13909">
        <v>49</v>
      </c>
    </row>
    <row r="13910" spans="1:16" x14ac:dyDescent="0.25">
      <c r="A13910" t="s">
        <v>47043</v>
      </c>
      <c r="B13910" t="s">
        <v>46920</v>
      </c>
      <c r="C13910" t="s">
        <v>46869</v>
      </c>
      <c r="D13910" t="s">
        <v>15734</v>
      </c>
      <c r="E13910" t="s">
        <v>15735</v>
      </c>
      <c r="F13910" t="s">
        <v>27965</v>
      </c>
      <c r="G13910" t="s">
        <v>47073</v>
      </c>
      <c r="H13910" t="s">
        <v>47071</v>
      </c>
      <c r="I13910" t="s">
        <v>47120</v>
      </c>
      <c r="J13910" t="s">
        <v>47121</v>
      </c>
      <c r="K13910" t="s">
        <v>47113</v>
      </c>
      <c r="L13910">
        <v>13.58</v>
      </c>
      <c r="M13910">
        <v>28</v>
      </c>
      <c r="N13910">
        <v>69</v>
      </c>
      <c r="O13910">
        <v>28</v>
      </c>
      <c r="P13910">
        <v>69</v>
      </c>
    </row>
    <row r="13911" spans="1:16" x14ac:dyDescent="0.25">
      <c r="A13911" t="s">
        <v>48922</v>
      </c>
      <c r="B13911" t="s">
        <v>46921</v>
      </c>
      <c r="C13911" t="s">
        <v>35373</v>
      </c>
      <c r="D13911" t="s">
        <v>48728</v>
      </c>
      <c r="E13911" t="s">
        <v>16399</v>
      </c>
      <c r="F13911" t="s">
        <v>27965</v>
      </c>
      <c r="G13911" t="s">
        <v>47073</v>
      </c>
      <c r="H13911" t="s">
        <v>47071</v>
      </c>
      <c r="I13911" t="s">
        <v>47120</v>
      </c>
      <c r="J13911" t="s">
        <v>47121</v>
      </c>
      <c r="K13911" t="s">
        <v>47113</v>
      </c>
      <c r="L13911">
        <v>10.81</v>
      </c>
      <c r="M13911">
        <v>20</v>
      </c>
      <c r="N13911">
        <v>49</v>
      </c>
      <c r="O13911">
        <v>20</v>
      </c>
      <c r="P13911">
        <v>49</v>
      </c>
    </row>
    <row r="13912" spans="1:16" x14ac:dyDescent="0.25">
      <c r="A13912" t="s">
        <v>47044</v>
      </c>
      <c r="B13912" t="s">
        <v>46921</v>
      </c>
      <c r="C13912" t="s">
        <v>35373</v>
      </c>
      <c r="D13912" t="s">
        <v>46871</v>
      </c>
      <c r="E13912" t="s">
        <v>9456</v>
      </c>
      <c r="F13912" t="s">
        <v>27965</v>
      </c>
      <c r="G13912" t="s">
        <v>47073</v>
      </c>
      <c r="H13912" t="s">
        <v>47071</v>
      </c>
      <c r="I13912" t="s">
        <v>47120</v>
      </c>
      <c r="J13912" t="s">
        <v>47121</v>
      </c>
      <c r="K13912" t="s">
        <v>47113</v>
      </c>
      <c r="L13912">
        <v>10.81</v>
      </c>
      <c r="M13912">
        <v>20</v>
      </c>
      <c r="N13912">
        <v>49</v>
      </c>
      <c r="O13912">
        <v>20</v>
      </c>
      <c r="P13912">
        <v>49</v>
      </c>
    </row>
    <row r="13913" spans="1:16" x14ac:dyDescent="0.25">
      <c r="A13913" t="s">
        <v>48923</v>
      </c>
      <c r="B13913" t="s">
        <v>48924</v>
      </c>
      <c r="C13913" t="s">
        <v>48732</v>
      </c>
      <c r="D13913" t="s">
        <v>15740</v>
      </c>
      <c r="E13913" t="s">
        <v>42</v>
      </c>
      <c r="F13913" t="s">
        <v>27965</v>
      </c>
      <c r="G13913" t="s">
        <v>47073</v>
      </c>
      <c r="H13913" t="s">
        <v>47071</v>
      </c>
      <c r="I13913" t="s">
        <v>47120</v>
      </c>
      <c r="J13913" t="s">
        <v>47121</v>
      </c>
      <c r="K13913" t="s">
        <v>47113</v>
      </c>
      <c r="L13913">
        <v>11.95</v>
      </c>
      <c r="M13913">
        <v>20</v>
      </c>
      <c r="N13913">
        <v>49</v>
      </c>
      <c r="O13913">
        <v>20</v>
      </c>
      <c r="P13913">
        <v>49</v>
      </c>
    </row>
    <row r="13914" spans="1:16" x14ac:dyDescent="0.25">
      <c r="A13914" t="s">
        <v>48925</v>
      </c>
      <c r="B13914" t="s">
        <v>48924</v>
      </c>
      <c r="C13914" t="s">
        <v>48732</v>
      </c>
      <c r="D13914" t="s">
        <v>46862</v>
      </c>
      <c r="E13914" t="s">
        <v>13112</v>
      </c>
      <c r="F13914" t="s">
        <v>27965</v>
      </c>
      <c r="G13914" t="s">
        <v>47073</v>
      </c>
      <c r="H13914" t="s">
        <v>47071</v>
      </c>
      <c r="I13914" t="s">
        <v>47120</v>
      </c>
      <c r="J13914" t="s">
        <v>47121</v>
      </c>
      <c r="K13914" t="s">
        <v>47113</v>
      </c>
      <c r="L13914">
        <v>9.2899999999999991</v>
      </c>
      <c r="M13914">
        <v>20</v>
      </c>
      <c r="N13914">
        <v>49</v>
      </c>
      <c r="O13914">
        <v>20</v>
      </c>
      <c r="P13914">
        <v>49</v>
      </c>
    </row>
    <row r="13915" spans="1:16" x14ac:dyDescent="0.25">
      <c r="A13915" t="s">
        <v>48926</v>
      </c>
      <c r="B13915" t="s">
        <v>48924</v>
      </c>
      <c r="C13915" t="s">
        <v>48732</v>
      </c>
      <c r="D13915" t="s">
        <v>14429</v>
      </c>
      <c r="E13915" t="s">
        <v>60</v>
      </c>
      <c r="F13915" t="s">
        <v>27965</v>
      </c>
      <c r="G13915" t="s">
        <v>47073</v>
      </c>
      <c r="H13915" t="s">
        <v>47071</v>
      </c>
      <c r="I13915" t="s">
        <v>47120</v>
      </c>
      <c r="J13915" t="s">
        <v>47121</v>
      </c>
      <c r="K13915" t="s">
        <v>47113</v>
      </c>
      <c r="L13915">
        <v>11.95</v>
      </c>
      <c r="M13915">
        <v>20</v>
      </c>
      <c r="N13915">
        <v>49</v>
      </c>
      <c r="O13915">
        <v>20</v>
      </c>
      <c r="P13915">
        <v>49</v>
      </c>
    </row>
    <row r="13916" spans="1:16" x14ac:dyDescent="0.25">
      <c r="A13916" t="s">
        <v>48927</v>
      </c>
      <c r="B13916" t="s">
        <v>48928</v>
      </c>
      <c r="C13916" t="s">
        <v>48737</v>
      </c>
      <c r="D13916" t="s">
        <v>14429</v>
      </c>
      <c r="E13916" t="s">
        <v>60</v>
      </c>
      <c r="F13916" t="s">
        <v>15829</v>
      </c>
      <c r="G13916" t="s">
        <v>47073</v>
      </c>
      <c r="H13916" t="s">
        <v>47071</v>
      </c>
      <c r="I13916" t="s">
        <v>47120</v>
      </c>
      <c r="J13916" t="s">
        <v>47121</v>
      </c>
      <c r="K13916" t="s">
        <v>47113</v>
      </c>
      <c r="L13916">
        <v>9.2899999999999991</v>
      </c>
      <c r="M13916">
        <v>20</v>
      </c>
      <c r="N13916">
        <v>49</v>
      </c>
      <c r="O13916">
        <v>20</v>
      </c>
      <c r="P13916">
        <v>49</v>
      </c>
    </row>
    <row r="13917" spans="1:16" x14ac:dyDescent="0.25">
      <c r="A13917" t="s">
        <v>36659</v>
      </c>
      <c r="B13917" t="s">
        <v>36660</v>
      </c>
      <c r="C13917" t="s">
        <v>36458</v>
      </c>
      <c r="D13917" t="s">
        <v>15752</v>
      </c>
      <c r="E13917" t="s">
        <v>15753</v>
      </c>
      <c r="F13917" t="s">
        <v>17351</v>
      </c>
      <c r="G13917" t="s">
        <v>47075</v>
      </c>
      <c r="H13917" t="s">
        <v>47071</v>
      </c>
      <c r="I13917" t="s">
        <v>47120</v>
      </c>
      <c r="J13917" t="s">
        <v>47121</v>
      </c>
      <c r="K13917" t="s">
        <v>47113</v>
      </c>
      <c r="L13917">
        <v>24.2</v>
      </c>
      <c r="M13917">
        <v>52</v>
      </c>
      <c r="N13917">
        <v>0</v>
      </c>
      <c r="O13917">
        <v>52</v>
      </c>
      <c r="P13917">
        <v>0</v>
      </c>
    </row>
    <row r="13918" spans="1:16" x14ac:dyDescent="0.25">
      <c r="A13918" t="s">
        <v>36661</v>
      </c>
      <c r="B13918" t="s">
        <v>36662</v>
      </c>
      <c r="C13918" t="s">
        <v>20930</v>
      </c>
      <c r="D13918" t="s">
        <v>20931</v>
      </c>
      <c r="E13918" t="s">
        <v>20932</v>
      </c>
      <c r="F13918" t="s">
        <v>17351</v>
      </c>
      <c r="G13918" t="s">
        <v>47072</v>
      </c>
      <c r="H13918" t="s">
        <v>47071</v>
      </c>
      <c r="I13918" t="s">
        <v>47116</v>
      </c>
      <c r="J13918" t="s">
        <v>47117</v>
      </c>
      <c r="K13918" t="s">
        <v>47113</v>
      </c>
      <c r="L13918">
        <v>39.51</v>
      </c>
      <c r="M13918">
        <v>80</v>
      </c>
      <c r="N13918">
        <v>0</v>
      </c>
      <c r="O13918">
        <v>80</v>
      </c>
      <c r="P13918">
        <v>0</v>
      </c>
    </row>
    <row r="13919" spans="1:16" x14ac:dyDescent="0.25">
      <c r="A13919" t="s">
        <v>36663</v>
      </c>
      <c r="B13919" t="s">
        <v>36664</v>
      </c>
      <c r="C13919" t="s">
        <v>36665</v>
      </c>
      <c r="D13919" t="s">
        <v>20935</v>
      </c>
      <c r="E13919" t="s">
        <v>20936</v>
      </c>
      <c r="F13919" t="s">
        <v>17351</v>
      </c>
      <c r="G13919" t="s">
        <v>47072</v>
      </c>
      <c r="H13919" t="s">
        <v>47071</v>
      </c>
      <c r="I13919" t="s">
        <v>47116</v>
      </c>
      <c r="J13919" t="s">
        <v>47117</v>
      </c>
      <c r="K13919" t="s">
        <v>47113</v>
      </c>
      <c r="L13919">
        <v>24.2</v>
      </c>
      <c r="M13919">
        <v>52</v>
      </c>
      <c r="N13919">
        <v>0</v>
      </c>
      <c r="O13919">
        <v>52</v>
      </c>
      <c r="P13919">
        <v>0</v>
      </c>
    </row>
    <row r="13920" spans="1:16" x14ac:dyDescent="0.25">
      <c r="A13920" t="s">
        <v>36666</v>
      </c>
      <c r="B13920" t="s">
        <v>36667</v>
      </c>
      <c r="C13920" t="s">
        <v>20942</v>
      </c>
      <c r="D13920" t="s">
        <v>15752</v>
      </c>
      <c r="E13920" t="s">
        <v>15753</v>
      </c>
      <c r="F13920" t="s">
        <v>17351</v>
      </c>
      <c r="G13920" t="s">
        <v>47080</v>
      </c>
      <c r="H13920" t="s">
        <v>47071</v>
      </c>
      <c r="I13920" t="s">
        <v>47116</v>
      </c>
      <c r="J13920" t="s">
        <v>47117</v>
      </c>
      <c r="K13920" t="s">
        <v>47113</v>
      </c>
      <c r="L13920">
        <v>15</v>
      </c>
      <c r="M13920">
        <v>28</v>
      </c>
      <c r="N13920">
        <v>0</v>
      </c>
      <c r="O13920">
        <v>28</v>
      </c>
      <c r="P13920">
        <v>0</v>
      </c>
    </row>
    <row r="13921" spans="1:16" x14ac:dyDescent="0.25">
      <c r="A13921" t="s">
        <v>36668</v>
      </c>
      <c r="B13921" t="s">
        <v>36669</v>
      </c>
      <c r="C13921" t="s">
        <v>36465</v>
      </c>
      <c r="D13921" t="s">
        <v>20945</v>
      </c>
      <c r="E13921" t="s">
        <v>20946</v>
      </c>
      <c r="F13921" t="s">
        <v>17351</v>
      </c>
      <c r="G13921" t="s">
        <v>47135</v>
      </c>
      <c r="H13921" t="s">
        <v>47071</v>
      </c>
      <c r="I13921" t="s">
        <v>47116</v>
      </c>
      <c r="J13921" t="s">
        <v>47117</v>
      </c>
      <c r="K13921" t="s">
        <v>47113</v>
      </c>
      <c r="L13921">
        <v>24.2</v>
      </c>
      <c r="M13921">
        <v>52</v>
      </c>
      <c r="N13921">
        <v>0</v>
      </c>
      <c r="O13921">
        <v>52</v>
      </c>
      <c r="P13921">
        <v>0</v>
      </c>
    </row>
    <row r="13922" spans="1:16" x14ac:dyDescent="0.25">
      <c r="A13922" t="s">
        <v>36670</v>
      </c>
      <c r="B13922" t="s">
        <v>36671</v>
      </c>
      <c r="C13922" t="s">
        <v>36672</v>
      </c>
      <c r="D13922" t="s">
        <v>20958</v>
      </c>
      <c r="E13922" t="s">
        <v>36673</v>
      </c>
      <c r="F13922" t="s">
        <v>17351</v>
      </c>
      <c r="G13922" t="s">
        <v>47073</v>
      </c>
      <c r="H13922" t="s">
        <v>47071</v>
      </c>
      <c r="I13922" t="s">
        <v>47120</v>
      </c>
      <c r="J13922" t="s">
        <v>47121</v>
      </c>
      <c r="K13922" t="s">
        <v>47113</v>
      </c>
      <c r="L13922">
        <v>10.73</v>
      </c>
      <c r="M13922">
        <v>26</v>
      </c>
      <c r="N13922">
        <v>0</v>
      </c>
      <c r="O13922">
        <v>26</v>
      </c>
      <c r="P13922">
        <v>0</v>
      </c>
    </row>
    <row r="13923" spans="1:16" x14ac:dyDescent="0.25">
      <c r="A13923" t="s">
        <v>36674</v>
      </c>
      <c r="B13923" t="s">
        <v>36671</v>
      </c>
      <c r="C13923" t="s">
        <v>36672</v>
      </c>
      <c r="D13923" t="s">
        <v>14429</v>
      </c>
      <c r="E13923" t="s">
        <v>60</v>
      </c>
      <c r="F13923" t="s">
        <v>17351</v>
      </c>
      <c r="G13923" t="s">
        <v>47073</v>
      </c>
      <c r="H13923" t="s">
        <v>47071</v>
      </c>
      <c r="I13923" t="s">
        <v>47120</v>
      </c>
      <c r="J13923" t="s">
        <v>47121</v>
      </c>
      <c r="K13923" t="s">
        <v>47113</v>
      </c>
      <c r="L13923">
        <v>10.73</v>
      </c>
      <c r="M13923">
        <v>26</v>
      </c>
      <c r="N13923">
        <v>0</v>
      </c>
      <c r="O13923">
        <v>26</v>
      </c>
      <c r="P13923">
        <v>0</v>
      </c>
    </row>
    <row r="13924" spans="1:16" x14ac:dyDescent="0.25">
      <c r="A13924" t="s">
        <v>36675</v>
      </c>
      <c r="B13924" t="s">
        <v>36676</v>
      </c>
      <c r="C13924" t="s">
        <v>36677</v>
      </c>
      <c r="D13924" t="s">
        <v>14429</v>
      </c>
      <c r="E13924" t="s">
        <v>60</v>
      </c>
      <c r="F13924" t="s">
        <v>17351</v>
      </c>
      <c r="G13924" t="s">
        <v>47073</v>
      </c>
      <c r="H13924" t="s">
        <v>47071</v>
      </c>
      <c r="I13924" t="s">
        <v>47120</v>
      </c>
      <c r="J13924" t="s">
        <v>47121</v>
      </c>
      <c r="K13924" t="s">
        <v>47113</v>
      </c>
      <c r="L13924">
        <v>11.95</v>
      </c>
      <c r="M13924">
        <v>28</v>
      </c>
      <c r="N13924">
        <v>0</v>
      </c>
      <c r="O13924">
        <v>28</v>
      </c>
      <c r="P13924">
        <v>0</v>
      </c>
    </row>
    <row r="13925" spans="1:16" x14ac:dyDescent="0.25">
      <c r="A13925" t="s">
        <v>36678</v>
      </c>
      <c r="B13925" t="s">
        <v>36679</v>
      </c>
      <c r="C13925" t="s">
        <v>36680</v>
      </c>
      <c r="D13925" t="s">
        <v>14429</v>
      </c>
      <c r="E13925" t="s">
        <v>60</v>
      </c>
      <c r="F13925" t="s">
        <v>17351</v>
      </c>
      <c r="G13925" t="s">
        <v>47073</v>
      </c>
      <c r="H13925" t="s">
        <v>47071</v>
      </c>
      <c r="I13925" t="s">
        <v>47120</v>
      </c>
      <c r="J13925" t="s">
        <v>47121</v>
      </c>
      <c r="K13925" t="s">
        <v>47113</v>
      </c>
      <c r="L13925">
        <v>10.73</v>
      </c>
      <c r="M13925">
        <v>26</v>
      </c>
      <c r="N13925">
        <v>0</v>
      </c>
      <c r="O13925">
        <v>26</v>
      </c>
      <c r="P13925">
        <v>0</v>
      </c>
    </row>
    <row r="13926" spans="1:16" x14ac:dyDescent="0.25">
      <c r="A13926" t="s">
        <v>36681</v>
      </c>
      <c r="B13926" t="s">
        <v>36682</v>
      </c>
      <c r="C13926" t="s">
        <v>20965</v>
      </c>
      <c r="D13926" t="s">
        <v>15692</v>
      </c>
      <c r="E13926" t="s">
        <v>46</v>
      </c>
      <c r="F13926" t="s">
        <v>17351</v>
      </c>
      <c r="G13926" t="s">
        <v>47073</v>
      </c>
      <c r="H13926" t="s">
        <v>47071</v>
      </c>
      <c r="I13926" t="s">
        <v>47120</v>
      </c>
      <c r="J13926" t="s">
        <v>47121</v>
      </c>
      <c r="K13926" t="s">
        <v>47113</v>
      </c>
      <c r="L13926">
        <v>11.95</v>
      </c>
      <c r="M13926">
        <v>28</v>
      </c>
      <c r="N13926">
        <v>0</v>
      </c>
      <c r="O13926">
        <v>28</v>
      </c>
      <c r="P13926">
        <v>0</v>
      </c>
    </row>
    <row r="13927" spans="1:16" x14ac:dyDescent="0.25">
      <c r="A13927" t="s">
        <v>36683</v>
      </c>
      <c r="B13927" t="s">
        <v>36684</v>
      </c>
      <c r="C13927" t="s">
        <v>20967</v>
      </c>
      <c r="D13927" t="s">
        <v>14429</v>
      </c>
      <c r="E13927" t="s">
        <v>60</v>
      </c>
      <c r="F13927" t="s">
        <v>17351</v>
      </c>
      <c r="G13927" t="s">
        <v>47073</v>
      </c>
      <c r="H13927" t="s">
        <v>47071</v>
      </c>
      <c r="I13927" t="s">
        <v>47120</v>
      </c>
      <c r="J13927" t="s">
        <v>47121</v>
      </c>
      <c r="K13927" t="s">
        <v>47113</v>
      </c>
      <c r="L13927">
        <v>10.73</v>
      </c>
      <c r="M13927">
        <v>26</v>
      </c>
      <c r="N13927">
        <v>0</v>
      </c>
      <c r="O13927">
        <v>26</v>
      </c>
      <c r="P13927">
        <v>0</v>
      </c>
    </row>
    <row r="13928" spans="1:16" x14ac:dyDescent="0.25">
      <c r="A13928" t="s">
        <v>36685</v>
      </c>
      <c r="B13928" t="s">
        <v>36686</v>
      </c>
      <c r="C13928" t="s">
        <v>36687</v>
      </c>
      <c r="D13928" t="s">
        <v>20970</v>
      </c>
      <c r="E13928" t="s">
        <v>20971</v>
      </c>
      <c r="F13928" t="s">
        <v>17351</v>
      </c>
      <c r="G13928" t="s">
        <v>47073</v>
      </c>
      <c r="H13928" t="s">
        <v>47071</v>
      </c>
      <c r="I13928" t="s">
        <v>47120</v>
      </c>
      <c r="J13928" t="s">
        <v>47121</v>
      </c>
      <c r="K13928" t="s">
        <v>47113</v>
      </c>
      <c r="L13928">
        <v>11.95</v>
      </c>
      <c r="M13928">
        <v>28</v>
      </c>
      <c r="N13928">
        <v>0</v>
      </c>
      <c r="O13928">
        <v>28</v>
      </c>
      <c r="P13928">
        <v>0</v>
      </c>
    </row>
    <row r="13929" spans="1:16" x14ac:dyDescent="0.25">
      <c r="A13929" t="s">
        <v>36688</v>
      </c>
      <c r="B13929" t="s">
        <v>36689</v>
      </c>
      <c r="C13929" t="s">
        <v>20979</v>
      </c>
      <c r="D13929" t="s">
        <v>15692</v>
      </c>
      <c r="E13929" t="s">
        <v>46</v>
      </c>
      <c r="F13929" t="s">
        <v>17351</v>
      </c>
      <c r="G13929" t="s">
        <v>47073</v>
      </c>
      <c r="H13929" t="s">
        <v>47071</v>
      </c>
      <c r="I13929" t="s">
        <v>47120</v>
      </c>
      <c r="J13929" t="s">
        <v>47121</v>
      </c>
      <c r="K13929" t="s">
        <v>47113</v>
      </c>
      <c r="L13929">
        <v>10.73</v>
      </c>
      <c r="M13929">
        <v>26</v>
      </c>
      <c r="N13929">
        <v>0</v>
      </c>
      <c r="O13929">
        <v>26</v>
      </c>
      <c r="P13929">
        <v>0</v>
      </c>
    </row>
    <row r="13930" spans="1:16" x14ac:dyDescent="0.25">
      <c r="A13930" t="s">
        <v>36690</v>
      </c>
      <c r="B13930" t="s">
        <v>36691</v>
      </c>
      <c r="C13930" t="s">
        <v>36468</v>
      </c>
      <c r="D13930" t="s">
        <v>15692</v>
      </c>
      <c r="E13930" t="s">
        <v>46</v>
      </c>
      <c r="F13930" t="s">
        <v>17351</v>
      </c>
      <c r="G13930" t="s">
        <v>47073</v>
      </c>
      <c r="H13930" t="s">
        <v>47071</v>
      </c>
      <c r="I13930" t="s">
        <v>47120</v>
      </c>
      <c r="J13930" t="s">
        <v>47121</v>
      </c>
      <c r="K13930" t="s">
        <v>47113</v>
      </c>
      <c r="L13930">
        <v>11.95</v>
      </c>
      <c r="M13930">
        <v>28</v>
      </c>
      <c r="N13930">
        <v>0</v>
      </c>
      <c r="O13930">
        <v>28</v>
      </c>
      <c r="P13930">
        <v>0</v>
      </c>
    </row>
    <row r="13931" spans="1:16" x14ac:dyDescent="0.25">
      <c r="A13931" t="s">
        <v>36692</v>
      </c>
      <c r="B13931" t="s">
        <v>36693</v>
      </c>
      <c r="C13931" t="s">
        <v>36694</v>
      </c>
      <c r="D13931" t="s">
        <v>20986</v>
      </c>
      <c r="E13931" t="s">
        <v>20987</v>
      </c>
      <c r="F13931" t="s">
        <v>17351</v>
      </c>
      <c r="G13931" t="s">
        <v>47135</v>
      </c>
      <c r="H13931" t="s">
        <v>47071</v>
      </c>
      <c r="I13931" t="s">
        <v>47116</v>
      </c>
      <c r="J13931" t="s">
        <v>47117</v>
      </c>
      <c r="K13931" t="s">
        <v>47113</v>
      </c>
      <c r="L13931">
        <v>21.13</v>
      </c>
      <c r="M13931">
        <v>40</v>
      </c>
      <c r="N13931">
        <v>0</v>
      </c>
      <c r="O13931">
        <v>40</v>
      </c>
      <c r="P13931">
        <v>0</v>
      </c>
    </row>
    <row r="13932" spans="1:16" x14ac:dyDescent="0.25">
      <c r="A13932" t="s">
        <v>48929</v>
      </c>
      <c r="B13932" t="s">
        <v>48930</v>
      </c>
      <c r="C13932" t="s">
        <v>48740</v>
      </c>
      <c r="D13932" t="s">
        <v>46816</v>
      </c>
      <c r="E13932" t="s">
        <v>46817</v>
      </c>
      <c r="F13932" t="s">
        <v>47325</v>
      </c>
      <c r="G13932" t="s">
        <v>47075</v>
      </c>
      <c r="H13932" t="s">
        <v>47071</v>
      </c>
      <c r="I13932" t="s">
        <v>47120</v>
      </c>
      <c r="J13932" t="s">
        <v>47121</v>
      </c>
      <c r="K13932" t="s">
        <v>47113</v>
      </c>
      <c r="L13932">
        <v>22.45</v>
      </c>
      <c r="M13932">
        <v>52</v>
      </c>
      <c r="N13932">
        <v>129</v>
      </c>
      <c r="O13932">
        <v>52</v>
      </c>
      <c r="P13932">
        <v>129</v>
      </c>
    </row>
    <row r="13933" spans="1:16" x14ac:dyDescent="0.25">
      <c r="A13933" t="s">
        <v>48931</v>
      </c>
      <c r="B13933" t="s">
        <v>48932</v>
      </c>
      <c r="C13933" t="s">
        <v>48743</v>
      </c>
      <c r="D13933" t="s">
        <v>15692</v>
      </c>
      <c r="E13933" t="s">
        <v>46</v>
      </c>
      <c r="F13933" t="s">
        <v>47325</v>
      </c>
      <c r="G13933" t="s">
        <v>47075</v>
      </c>
      <c r="H13933" t="s">
        <v>47071</v>
      </c>
      <c r="I13933" t="s">
        <v>47120</v>
      </c>
      <c r="J13933" t="s">
        <v>47121</v>
      </c>
      <c r="K13933" t="s">
        <v>47113</v>
      </c>
      <c r="L13933">
        <v>19.61</v>
      </c>
      <c r="M13933">
        <v>52</v>
      </c>
      <c r="N13933">
        <v>129</v>
      </c>
      <c r="O13933">
        <v>52</v>
      </c>
      <c r="P13933">
        <v>129</v>
      </c>
    </row>
    <row r="13934" spans="1:16" x14ac:dyDescent="0.25">
      <c r="A13934" t="s">
        <v>48933</v>
      </c>
      <c r="B13934" t="s">
        <v>48934</v>
      </c>
      <c r="C13934" t="s">
        <v>48746</v>
      </c>
      <c r="D13934" t="s">
        <v>48747</v>
      </c>
      <c r="E13934" t="s">
        <v>48748</v>
      </c>
      <c r="F13934" t="s">
        <v>47325</v>
      </c>
      <c r="G13934" t="s">
        <v>48749</v>
      </c>
      <c r="H13934" t="s">
        <v>47071</v>
      </c>
      <c r="I13934" t="s">
        <v>47120</v>
      </c>
      <c r="J13934" t="s">
        <v>47121</v>
      </c>
      <c r="K13934" t="s">
        <v>47113</v>
      </c>
      <c r="L13934">
        <v>26.25</v>
      </c>
      <c r="M13934">
        <v>68</v>
      </c>
      <c r="N13934">
        <v>169</v>
      </c>
      <c r="O13934">
        <v>68</v>
      </c>
      <c r="P13934">
        <v>169</v>
      </c>
    </row>
    <row r="13935" spans="1:16" x14ac:dyDescent="0.25">
      <c r="A13935" t="s">
        <v>48935</v>
      </c>
      <c r="B13935" t="s">
        <v>48936</v>
      </c>
      <c r="C13935" t="s">
        <v>35310</v>
      </c>
      <c r="D13935" t="s">
        <v>48752</v>
      </c>
      <c r="E13935" t="s">
        <v>48753</v>
      </c>
      <c r="F13935" t="s">
        <v>47325</v>
      </c>
      <c r="G13935" t="s">
        <v>47072</v>
      </c>
      <c r="H13935" t="s">
        <v>47071</v>
      </c>
      <c r="I13935" t="s">
        <v>47116</v>
      </c>
      <c r="J13935" t="s">
        <v>47117</v>
      </c>
      <c r="K13935" t="s">
        <v>47113</v>
      </c>
      <c r="L13935">
        <v>13</v>
      </c>
      <c r="M13935">
        <v>52</v>
      </c>
      <c r="N13935">
        <v>129</v>
      </c>
      <c r="O13935">
        <v>52</v>
      </c>
      <c r="P13935">
        <v>129</v>
      </c>
    </row>
    <row r="13936" spans="1:16" x14ac:dyDescent="0.25">
      <c r="A13936" t="s">
        <v>48937</v>
      </c>
      <c r="B13936" t="s">
        <v>48938</v>
      </c>
      <c r="C13936" t="s">
        <v>48713</v>
      </c>
      <c r="D13936" t="s">
        <v>48756</v>
      </c>
      <c r="E13936" t="s">
        <v>48757</v>
      </c>
      <c r="F13936" t="s">
        <v>47325</v>
      </c>
      <c r="G13936" t="s">
        <v>47072</v>
      </c>
      <c r="H13936" t="s">
        <v>47071</v>
      </c>
      <c r="I13936" t="s">
        <v>47116</v>
      </c>
      <c r="J13936" t="s">
        <v>47117</v>
      </c>
      <c r="K13936" t="s">
        <v>47113</v>
      </c>
      <c r="L13936">
        <v>20.95</v>
      </c>
      <c r="M13936">
        <v>52</v>
      </c>
      <c r="N13936">
        <v>129</v>
      </c>
      <c r="O13936">
        <v>52</v>
      </c>
      <c r="P13936">
        <v>129</v>
      </c>
    </row>
    <row r="13937" spans="1:16" x14ac:dyDescent="0.25">
      <c r="A13937" t="s">
        <v>48939</v>
      </c>
      <c r="B13937" t="s">
        <v>48940</v>
      </c>
      <c r="C13937" t="s">
        <v>35310</v>
      </c>
      <c r="D13937" t="s">
        <v>48760</v>
      </c>
      <c r="E13937" t="s">
        <v>48761</v>
      </c>
      <c r="F13937" t="s">
        <v>47325</v>
      </c>
      <c r="G13937" t="s">
        <v>47072</v>
      </c>
      <c r="H13937" t="s">
        <v>47071</v>
      </c>
      <c r="I13937" t="s">
        <v>47116</v>
      </c>
      <c r="J13937" t="s">
        <v>47117</v>
      </c>
      <c r="K13937" t="s">
        <v>47113</v>
      </c>
      <c r="L13937">
        <v>20.95</v>
      </c>
      <c r="M13937">
        <v>52</v>
      </c>
      <c r="N13937">
        <v>129</v>
      </c>
      <c r="O13937">
        <v>52</v>
      </c>
      <c r="P13937">
        <v>129</v>
      </c>
    </row>
    <row r="13938" spans="1:16" x14ac:dyDescent="0.25">
      <c r="A13938" t="s">
        <v>48941</v>
      </c>
      <c r="B13938" t="s">
        <v>48942</v>
      </c>
      <c r="C13938" t="s">
        <v>15709</v>
      </c>
      <c r="D13938" t="s">
        <v>48764</v>
      </c>
      <c r="E13938" t="s">
        <v>48765</v>
      </c>
      <c r="F13938" t="s">
        <v>47325</v>
      </c>
      <c r="G13938" t="s">
        <v>47072</v>
      </c>
      <c r="H13938" t="s">
        <v>47071</v>
      </c>
      <c r="I13938" t="s">
        <v>47116</v>
      </c>
      <c r="J13938" t="s">
        <v>47117</v>
      </c>
      <c r="K13938" t="s">
        <v>47113</v>
      </c>
      <c r="L13938">
        <v>34.200000000000003</v>
      </c>
      <c r="M13938">
        <v>80</v>
      </c>
      <c r="N13938">
        <v>199</v>
      </c>
      <c r="O13938">
        <v>80</v>
      </c>
      <c r="P13938">
        <v>199</v>
      </c>
    </row>
    <row r="13939" spans="1:16" x14ac:dyDescent="0.25">
      <c r="A13939" t="s">
        <v>48943</v>
      </c>
      <c r="B13939" t="s">
        <v>48944</v>
      </c>
      <c r="C13939" t="s">
        <v>35310</v>
      </c>
      <c r="D13939" t="s">
        <v>35402</v>
      </c>
      <c r="E13939" t="s">
        <v>2383</v>
      </c>
      <c r="F13939" t="s">
        <v>47325</v>
      </c>
      <c r="G13939" t="s">
        <v>47072</v>
      </c>
      <c r="H13939" t="s">
        <v>47071</v>
      </c>
      <c r="I13939" t="s">
        <v>47116</v>
      </c>
      <c r="J13939" t="s">
        <v>47117</v>
      </c>
      <c r="K13939" t="s">
        <v>47113</v>
      </c>
      <c r="L13939">
        <v>13</v>
      </c>
      <c r="M13939">
        <v>52</v>
      </c>
      <c r="N13939">
        <v>129</v>
      </c>
      <c r="O13939">
        <v>52</v>
      </c>
      <c r="P13939">
        <v>129</v>
      </c>
    </row>
    <row r="13940" spans="1:16" x14ac:dyDescent="0.25">
      <c r="A13940" t="s">
        <v>48945</v>
      </c>
      <c r="B13940" t="s">
        <v>48946</v>
      </c>
      <c r="C13940" t="s">
        <v>35310</v>
      </c>
      <c r="D13940" t="s">
        <v>48770</v>
      </c>
      <c r="E13940" t="s">
        <v>48771</v>
      </c>
      <c r="F13940" t="s">
        <v>47325</v>
      </c>
      <c r="G13940" t="s">
        <v>47072</v>
      </c>
      <c r="H13940" t="s">
        <v>47071</v>
      </c>
      <c r="I13940" t="s">
        <v>47116</v>
      </c>
      <c r="J13940" t="s">
        <v>47117</v>
      </c>
      <c r="K13940" t="s">
        <v>47113</v>
      </c>
      <c r="L13940">
        <v>13</v>
      </c>
      <c r="M13940">
        <v>52</v>
      </c>
      <c r="N13940">
        <v>129</v>
      </c>
      <c r="O13940">
        <v>52</v>
      </c>
      <c r="P13940">
        <v>129</v>
      </c>
    </row>
    <row r="13941" spans="1:16" x14ac:dyDescent="0.25">
      <c r="A13941" t="s">
        <v>48947</v>
      </c>
      <c r="B13941" t="s">
        <v>48948</v>
      </c>
      <c r="C13941" t="s">
        <v>48774</v>
      </c>
      <c r="D13941" t="s">
        <v>48756</v>
      </c>
      <c r="E13941" t="s">
        <v>48757</v>
      </c>
      <c r="F13941" t="s">
        <v>47325</v>
      </c>
      <c r="G13941" t="s">
        <v>47072</v>
      </c>
      <c r="H13941" t="s">
        <v>47071</v>
      </c>
      <c r="I13941" t="s">
        <v>47116</v>
      </c>
      <c r="J13941" t="s">
        <v>47117</v>
      </c>
      <c r="K13941" t="s">
        <v>47113</v>
      </c>
      <c r="L13941">
        <v>23.6</v>
      </c>
      <c r="M13941">
        <v>52</v>
      </c>
      <c r="N13941">
        <v>129</v>
      </c>
      <c r="O13941">
        <v>52</v>
      </c>
      <c r="P13941">
        <v>129</v>
      </c>
    </row>
    <row r="13942" spans="1:16" x14ac:dyDescent="0.25">
      <c r="A13942" t="s">
        <v>48949</v>
      </c>
      <c r="B13942" t="s">
        <v>48950</v>
      </c>
      <c r="C13942" t="s">
        <v>48777</v>
      </c>
      <c r="D13942" t="s">
        <v>46816</v>
      </c>
      <c r="E13942" t="s">
        <v>46817</v>
      </c>
      <c r="F13942" t="s">
        <v>47325</v>
      </c>
      <c r="G13942" t="s">
        <v>47135</v>
      </c>
      <c r="H13942" t="s">
        <v>47071</v>
      </c>
      <c r="I13942" t="s">
        <v>47120</v>
      </c>
      <c r="J13942" t="s">
        <v>47121</v>
      </c>
      <c r="K13942" t="s">
        <v>47113</v>
      </c>
      <c r="L13942">
        <v>15.64</v>
      </c>
      <c r="M13942">
        <v>40</v>
      </c>
      <c r="N13942">
        <v>99</v>
      </c>
      <c r="O13942">
        <v>40</v>
      </c>
      <c r="P13942">
        <v>99</v>
      </c>
    </row>
    <row r="13943" spans="1:16" x14ac:dyDescent="0.25">
      <c r="A13943" t="s">
        <v>48951</v>
      </c>
      <c r="B13943" t="s">
        <v>48952</v>
      </c>
      <c r="C13943" t="s">
        <v>48780</v>
      </c>
      <c r="D13943" t="s">
        <v>15692</v>
      </c>
      <c r="E13943" t="s">
        <v>46</v>
      </c>
      <c r="F13943" t="s">
        <v>47325</v>
      </c>
      <c r="G13943" t="s">
        <v>47135</v>
      </c>
      <c r="H13943" t="s">
        <v>47071</v>
      </c>
      <c r="I13943" t="s">
        <v>47120</v>
      </c>
      <c r="J13943" t="s">
        <v>47121</v>
      </c>
      <c r="K13943" t="s">
        <v>47113</v>
      </c>
      <c r="L13943">
        <v>15.64</v>
      </c>
      <c r="M13943">
        <v>40</v>
      </c>
      <c r="N13943">
        <v>99</v>
      </c>
      <c r="O13943">
        <v>40</v>
      </c>
      <c r="P13943">
        <v>99</v>
      </c>
    </row>
    <row r="13944" spans="1:16" x14ac:dyDescent="0.25">
      <c r="A13944" t="s">
        <v>48953</v>
      </c>
      <c r="B13944" t="s">
        <v>48954</v>
      </c>
      <c r="C13944" t="s">
        <v>48783</v>
      </c>
      <c r="D13944" t="s">
        <v>48784</v>
      </c>
      <c r="E13944" t="s">
        <v>48785</v>
      </c>
      <c r="F13944" t="s">
        <v>47325</v>
      </c>
      <c r="G13944" t="s">
        <v>47135</v>
      </c>
      <c r="H13944" t="s">
        <v>47071</v>
      </c>
      <c r="I13944" t="s">
        <v>47116</v>
      </c>
      <c r="J13944" t="s">
        <v>47117</v>
      </c>
      <c r="K13944" t="s">
        <v>47113</v>
      </c>
      <c r="L13944">
        <v>20.95</v>
      </c>
      <c r="M13944">
        <v>52</v>
      </c>
      <c r="N13944">
        <v>129</v>
      </c>
      <c r="O13944">
        <v>52</v>
      </c>
      <c r="P13944">
        <v>129</v>
      </c>
    </row>
    <row r="13945" spans="1:16" x14ac:dyDescent="0.25">
      <c r="A13945" t="s">
        <v>48955</v>
      </c>
      <c r="B13945" t="s">
        <v>48956</v>
      </c>
      <c r="C13945" t="s">
        <v>48788</v>
      </c>
      <c r="D13945" t="s">
        <v>20989</v>
      </c>
      <c r="E13945" t="s">
        <v>20990</v>
      </c>
      <c r="F13945" t="s">
        <v>47325</v>
      </c>
      <c r="G13945" t="s">
        <v>47079</v>
      </c>
      <c r="H13945" t="s">
        <v>47071</v>
      </c>
      <c r="I13945" t="s">
        <v>47120</v>
      </c>
      <c r="J13945" t="s">
        <v>47121</v>
      </c>
      <c r="K13945" t="s">
        <v>47113</v>
      </c>
      <c r="L13945">
        <v>22.45</v>
      </c>
      <c r="M13945">
        <v>52</v>
      </c>
      <c r="N13945">
        <v>129</v>
      </c>
      <c r="O13945">
        <v>52</v>
      </c>
      <c r="P13945">
        <v>129</v>
      </c>
    </row>
    <row r="13946" spans="1:16" x14ac:dyDescent="0.25">
      <c r="A13946" t="s">
        <v>48957</v>
      </c>
      <c r="B13946" t="s">
        <v>48958</v>
      </c>
      <c r="C13946" t="s">
        <v>48791</v>
      </c>
      <c r="D13946" t="s">
        <v>48643</v>
      </c>
      <c r="E13946" t="s">
        <v>48644</v>
      </c>
      <c r="F13946" t="s">
        <v>47325</v>
      </c>
      <c r="G13946" t="s">
        <v>47135</v>
      </c>
      <c r="H13946" t="s">
        <v>47071</v>
      </c>
      <c r="I13946" t="s">
        <v>47116</v>
      </c>
      <c r="J13946" t="s">
        <v>47117</v>
      </c>
      <c r="K13946" t="s">
        <v>47113</v>
      </c>
      <c r="L13946">
        <v>23.6</v>
      </c>
      <c r="M13946">
        <v>80</v>
      </c>
      <c r="N13946">
        <v>199</v>
      </c>
      <c r="O13946">
        <v>80</v>
      </c>
      <c r="P13946">
        <v>199</v>
      </c>
    </row>
    <row r="13947" spans="1:16" x14ac:dyDescent="0.25">
      <c r="A13947" t="s">
        <v>48959</v>
      </c>
      <c r="B13947" t="s">
        <v>48960</v>
      </c>
      <c r="C13947" t="s">
        <v>46839</v>
      </c>
      <c r="D13947" t="s">
        <v>48800</v>
      </c>
      <c r="E13947" t="s">
        <v>48801</v>
      </c>
      <c r="F13947" t="s">
        <v>47325</v>
      </c>
      <c r="G13947" t="s">
        <v>47135</v>
      </c>
      <c r="H13947" t="s">
        <v>47071</v>
      </c>
      <c r="I13947" t="s">
        <v>47116</v>
      </c>
      <c r="J13947" t="s">
        <v>47117</v>
      </c>
      <c r="K13947" t="s">
        <v>47113</v>
      </c>
      <c r="L13947">
        <v>18.29</v>
      </c>
      <c r="M13947">
        <v>52</v>
      </c>
      <c r="N13947">
        <v>129</v>
      </c>
      <c r="O13947">
        <v>52</v>
      </c>
      <c r="P13947">
        <v>129</v>
      </c>
    </row>
    <row r="13948" spans="1:16" x14ac:dyDescent="0.25">
      <c r="A13948" t="s">
        <v>48961</v>
      </c>
      <c r="B13948" t="s">
        <v>48962</v>
      </c>
      <c r="C13948" t="s">
        <v>15709</v>
      </c>
      <c r="D13948" t="s">
        <v>48804</v>
      </c>
      <c r="E13948" t="s">
        <v>48805</v>
      </c>
      <c r="F13948" t="s">
        <v>47325</v>
      </c>
      <c r="G13948" t="s">
        <v>47072</v>
      </c>
      <c r="H13948" t="s">
        <v>47071</v>
      </c>
      <c r="I13948" t="s">
        <v>47116</v>
      </c>
      <c r="J13948" t="s">
        <v>47117</v>
      </c>
      <c r="K13948" t="s">
        <v>47113</v>
      </c>
      <c r="L13948">
        <v>23.6</v>
      </c>
      <c r="M13948">
        <v>80</v>
      </c>
      <c r="N13948">
        <v>199</v>
      </c>
      <c r="O13948">
        <v>80</v>
      </c>
      <c r="P13948">
        <v>199</v>
      </c>
    </row>
    <row r="13949" spans="1:16" x14ac:dyDescent="0.25">
      <c r="A13949" t="s">
        <v>48963</v>
      </c>
      <c r="B13949" t="s">
        <v>48964</v>
      </c>
      <c r="C13949" t="s">
        <v>48808</v>
      </c>
      <c r="D13949" t="s">
        <v>48809</v>
      </c>
      <c r="E13949" t="s">
        <v>48810</v>
      </c>
      <c r="F13949" t="s">
        <v>47325</v>
      </c>
      <c r="G13949" t="s">
        <v>47135</v>
      </c>
      <c r="H13949" t="s">
        <v>47071</v>
      </c>
      <c r="I13949" t="s">
        <v>47116</v>
      </c>
      <c r="J13949" t="s">
        <v>47117</v>
      </c>
      <c r="K13949" t="s">
        <v>47113</v>
      </c>
      <c r="L13949">
        <v>20.95</v>
      </c>
      <c r="M13949">
        <v>52</v>
      </c>
      <c r="N13949">
        <v>129</v>
      </c>
      <c r="O13949">
        <v>52</v>
      </c>
      <c r="P13949">
        <v>129</v>
      </c>
    </row>
    <row r="13950" spans="1:16" x14ac:dyDescent="0.25">
      <c r="A13950" t="s">
        <v>48965</v>
      </c>
      <c r="B13950" t="s">
        <v>48966</v>
      </c>
      <c r="C13950" t="s">
        <v>48818</v>
      </c>
      <c r="D13950" t="s">
        <v>20989</v>
      </c>
      <c r="E13950" t="s">
        <v>20990</v>
      </c>
      <c r="F13950" t="s">
        <v>47325</v>
      </c>
      <c r="G13950" t="s">
        <v>47079</v>
      </c>
      <c r="H13950" t="s">
        <v>47071</v>
      </c>
      <c r="I13950" t="s">
        <v>47120</v>
      </c>
      <c r="J13950" t="s">
        <v>47121</v>
      </c>
      <c r="K13950" t="s">
        <v>47113</v>
      </c>
      <c r="L13950">
        <v>19.61</v>
      </c>
      <c r="M13950">
        <v>52</v>
      </c>
      <c r="N13950">
        <v>129</v>
      </c>
      <c r="O13950">
        <v>52</v>
      </c>
      <c r="P13950">
        <v>129</v>
      </c>
    </row>
    <row r="13951" spans="1:16" x14ac:dyDescent="0.25">
      <c r="A13951" t="s">
        <v>48967</v>
      </c>
      <c r="B13951" t="s">
        <v>48968</v>
      </c>
      <c r="C13951" t="s">
        <v>46855</v>
      </c>
      <c r="D13951" t="s">
        <v>46862</v>
      </c>
      <c r="E13951" t="s">
        <v>13112</v>
      </c>
      <c r="F13951" t="s">
        <v>47325</v>
      </c>
      <c r="G13951" t="s">
        <v>47073</v>
      </c>
      <c r="H13951" t="s">
        <v>47071</v>
      </c>
      <c r="I13951" t="s">
        <v>47120</v>
      </c>
      <c r="J13951" t="s">
        <v>47121</v>
      </c>
      <c r="K13951" t="s">
        <v>47113</v>
      </c>
      <c r="L13951">
        <v>9.0299999999999994</v>
      </c>
      <c r="M13951">
        <v>20</v>
      </c>
      <c r="N13951">
        <v>49</v>
      </c>
      <c r="O13951">
        <v>20</v>
      </c>
      <c r="P13951">
        <v>49</v>
      </c>
    </row>
    <row r="13952" spans="1:16" x14ac:dyDescent="0.25">
      <c r="A13952" t="s">
        <v>48969</v>
      </c>
      <c r="B13952" t="s">
        <v>48968</v>
      </c>
      <c r="C13952" t="s">
        <v>46855</v>
      </c>
      <c r="D13952" t="s">
        <v>14429</v>
      </c>
      <c r="E13952" t="s">
        <v>60</v>
      </c>
      <c r="F13952" t="s">
        <v>47325</v>
      </c>
      <c r="G13952" t="s">
        <v>47073</v>
      </c>
      <c r="H13952" t="s">
        <v>47071</v>
      </c>
      <c r="I13952" t="s">
        <v>47120</v>
      </c>
      <c r="J13952" t="s">
        <v>47121</v>
      </c>
      <c r="K13952" t="s">
        <v>47113</v>
      </c>
      <c r="L13952">
        <v>9.9499999999999993</v>
      </c>
      <c r="M13952">
        <v>20</v>
      </c>
      <c r="N13952">
        <v>49</v>
      </c>
      <c r="O13952">
        <v>20</v>
      </c>
      <c r="P13952">
        <v>49</v>
      </c>
    </row>
    <row r="13953" spans="1:16" x14ac:dyDescent="0.25">
      <c r="A13953" t="s">
        <v>48970</v>
      </c>
      <c r="B13953" t="s">
        <v>48971</v>
      </c>
      <c r="C13953" t="s">
        <v>48826</v>
      </c>
      <c r="D13953" t="s">
        <v>15734</v>
      </c>
      <c r="E13953" t="s">
        <v>15735</v>
      </c>
      <c r="F13953" t="s">
        <v>47325</v>
      </c>
      <c r="G13953" t="s">
        <v>47073</v>
      </c>
      <c r="H13953" t="s">
        <v>47071</v>
      </c>
      <c r="I13953" t="s">
        <v>47120</v>
      </c>
      <c r="J13953" t="s">
        <v>47121</v>
      </c>
      <c r="K13953" t="s">
        <v>47113</v>
      </c>
      <c r="L13953">
        <v>11.08</v>
      </c>
      <c r="M13953">
        <v>20</v>
      </c>
      <c r="N13953">
        <v>49</v>
      </c>
      <c r="O13953">
        <v>20</v>
      </c>
      <c r="P13953">
        <v>49</v>
      </c>
    </row>
    <row r="13954" spans="1:16" x14ac:dyDescent="0.25">
      <c r="A13954" t="s">
        <v>48972</v>
      </c>
      <c r="B13954" t="s">
        <v>48973</v>
      </c>
      <c r="C13954" t="s">
        <v>48829</v>
      </c>
      <c r="D13954" t="s">
        <v>46816</v>
      </c>
      <c r="E13954" t="s">
        <v>46817</v>
      </c>
      <c r="F13954" t="s">
        <v>47325</v>
      </c>
      <c r="G13954" t="s">
        <v>47073</v>
      </c>
      <c r="H13954" t="s">
        <v>47071</v>
      </c>
      <c r="I13954" t="s">
        <v>47120</v>
      </c>
      <c r="J13954" t="s">
        <v>47121</v>
      </c>
      <c r="K13954" t="s">
        <v>47113</v>
      </c>
      <c r="L13954">
        <v>11.08</v>
      </c>
      <c r="M13954">
        <v>20</v>
      </c>
      <c r="N13954">
        <v>49</v>
      </c>
      <c r="O13954">
        <v>20</v>
      </c>
      <c r="P13954">
        <v>49</v>
      </c>
    </row>
    <row r="13955" spans="1:16" x14ac:dyDescent="0.25">
      <c r="A13955" t="s">
        <v>48974</v>
      </c>
      <c r="B13955" t="s">
        <v>48973</v>
      </c>
      <c r="C13955" t="s">
        <v>48829</v>
      </c>
      <c r="D13955" t="s">
        <v>14429</v>
      </c>
      <c r="E13955" t="s">
        <v>60</v>
      </c>
      <c r="F13955" t="s">
        <v>47325</v>
      </c>
      <c r="G13955" t="s">
        <v>47073</v>
      </c>
      <c r="H13955" t="s">
        <v>47071</v>
      </c>
      <c r="I13955" t="s">
        <v>47120</v>
      </c>
      <c r="J13955" t="s">
        <v>47121</v>
      </c>
      <c r="K13955" t="s">
        <v>47113</v>
      </c>
      <c r="L13955">
        <v>11.08</v>
      </c>
      <c r="M13955">
        <v>20</v>
      </c>
      <c r="N13955">
        <v>49</v>
      </c>
      <c r="O13955">
        <v>20</v>
      </c>
      <c r="P13955">
        <v>49</v>
      </c>
    </row>
    <row r="13956" spans="1:16" x14ac:dyDescent="0.25">
      <c r="A13956" t="s">
        <v>48975</v>
      </c>
      <c r="B13956" t="s">
        <v>48976</v>
      </c>
      <c r="C13956" t="s">
        <v>48977</v>
      </c>
      <c r="D13956" t="s">
        <v>14429</v>
      </c>
      <c r="E13956" t="s">
        <v>60</v>
      </c>
      <c r="F13956" t="s">
        <v>47325</v>
      </c>
      <c r="G13956" t="s">
        <v>47073</v>
      </c>
      <c r="H13956" t="s">
        <v>47071</v>
      </c>
      <c r="I13956" t="s">
        <v>47120</v>
      </c>
      <c r="J13956" t="s">
        <v>47121</v>
      </c>
      <c r="K13956" t="s">
        <v>47113</v>
      </c>
      <c r="L13956">
        <v>9.9499999999999993</v>
      </c>
      <c r="M13956">
        <v>20</v>
      </c>
      <c r="N13956">
        <v>49</v>
      </c>
      <c r="O13956">
        <v>20</v>
      </c>
      <c r="P13956">
        <v>49</v>
      </c>
    </row>
    <row r="13957" spans="1:16" x14ac:dyDescent="0.25">
      <c r="A13957" t="s">
        <v>48978</v>
      </c>
      <c r="B13957" t="s">
        <v>48979</v>
      </c>
      <c r="C13957" t="s">
        <v>48841</v>
      </c>
      <c r="D13957" t="s">
        <v>15734</v>
      </c>
      <c r="E13957" t="s">
        <v>15735</v>
      </c>
      <c r="F13957" t="s">
        <v>47325</v>
      </c>
      <c r="G13957" t="s">
        <v>47073</v>
      </c>
      <c r="H13957" t="s">
        <v>47071</v>
      </c>
      <c r="I13957" t="s">
        <v>47120</v>
      </c>
      <c r="J13957" t="s">
        <v>47121</v>
      </c>
      <c r="K13957" t="s">
        <v>47113</v>
      </c>
      <c r="L13957">
        <v>11.08</v>
      </c>
      <c r="M13957">
        <v>20</v>
      </c>
      <c r="N13957">
        <v>49</v>
      </c>
      <c r="O13957">
        <v>20</v>
      </c>
      <c r="P13957">
        <v>49</v>
      </c>
    </row>
    <row r="13958" spans="1:16" x14ac:dyDescent="0.25">
      <c r="A13958" t="s">
        <v>48980</v>
      </c>
      <c r="B13958" t="s">
        <v>48981</v>
      </c>
      <c r="C13958" t="s">
        <v>48844</v>
      </c>
      <c r="D13958" t="s">
        <v>15752</v>
      </c>
      <c r="E13958" t="s">
        <v>15753</v>
      </c>
      <c r="F13958" t="s">
        <v>47325</v>
      </c>
      <c r="G13958" t="s">
        <v>47073</v>
      </c>
      <c r="H13958" t="s">
        <v>47071</v>
      </c>
      <c r="I13958" t="s">
        <v>47120</v>
      </c>
      <c r="J13958" t="s">
        <v>47121</v>
      </c>
      <c r="K13958" t="s">
        <v>47113</v>
      </c>
      <c r="L13958">
        <v>10.97</v>
      </c>
      <c r="M13958">
        <v>20</v>
      </c>
      <c r="N13958">
        <v>49</v>
      </c>
      <c r="O13958">
        <v>20</v>
      </c>
      <c r="P13958">
        <v>49</v>
      </c>
    </row>
    <row r="13959" spans="1:16" x14ac:dyDescent="0.25">
      <c r="A13959" t="s">
        <v>48982</v>
      </c>
      <c r="B13959" t="s">
        <v>48981</v>
      </c>
      <c r="C13959" t="s">
        <v>48844</v>
      </c>
      <c r="D13959" t="s">
        <v>14429</v>
      </c>
      <c r="E13959" t="s">
        <v>60</v>
      </c>
      <c r="F13959" t="s">
        <v>47325</v>
      </c>
      <c r="G13959" t="s">
        <v>47073</v>
      </c>
      <c r="H13959" t="s">
        <v>47071</v>
      </c>
      <c r="I13959" t="s">
        <v>47120</v>
      </c>
      <c r="J13959" t="s">
        <v>47121</v>
      </c>
      <c r="K13959" t="s">
        <v>47113</v>
      </c>
      <c r="L13959">
        <v>10.97</v>
      </c>
      <c r="M13959">
        <v>20</v>
      </c>
      <c r="N13959">
        <v>49</v>
      </c>
      <c r="O13959">
        <v>20</v>
      </c>
      <c r="P13959">
        <v>49</v>
      </c>
    </row>
    <row r="13960" spans="1:16" x14ac:dyDescent="0.25">
      <c r="A13960" t="s">
        <v>48983</v>
      </c>
      <c r="B13960" t="s">
        <v>48984</v>
      </c>
      <c r="C13960" t="s">
        <v>48848</v>
      </c>
      <c r="D13960" t="s">
        <v>15692</v>
      </c>
      <c r="E13960" t="s">
        <v>46</v>
      </c>
      <c r="F13960" t="s">
        <v>47325</v>
      </c>
      <c r="G13960" t="s">
        <v>47073</v>
      </c>
      <c r="H13960" t="s">
        <v>47071</v>
      </c>
      <c r="I13960" t="s">
        <v>47120</v>
      </c>
      <c r="J13960" t="s">
        <v>47121</v>
      </c>
      <c r="K13960" t="s">
        <v>47113</v>
      </c>
      <c r="L13960">
        <v>11.08</v>
      </c>
      <c r="M13960">
        <v>26</v>
      </c>
      <c r="N13960">
        <v>65</v>
      </c>
      <c r="O13960">
        <v>26</v>
      </c>
      <c r="P13960">
        <v>65</v>
      </c>
    </row>
    <row r="13961" spans="1:16" x14ac:dyDescent="0.25">
      <c r="A13961" t="s">
        <v>48985</v>
      </c>
      <c r="B13961" t="s">
        <v>48984</v>
      </c>
      <c r="C13961" t="s">
        <v>48848</v>
      </c>
      <c r="D13961" t="s">
        <v>14429</v>
      </c>
      <c r="E13961" t="s">
        <v>60</v>
      </c>
      <c r="F13961" t="s">
        <v>47325</v>
      </c>
      <c r="G13961" t="s">
        <v>47073</v>
      </c>
      <c r="H13961" t="s">
        <v>47071</v>
      </c>
      <c r="I13961" t="s">
        <v>47120</v>
      </c>
      <c r="J13961" t="s">
        <v>47121</v>
      </c>
      <c r="K13961" t="s">
        <v>47113</v>
      </c>
      <c r="L13961">
        <v>11.08</v>
      </c>
      <c r="M13961">
        <v>26</v>
      </c>
      <c r="N13961">
        <v>65</v>
      </c>
      <c r="O13961">
        <v>26</v>
      </c>
      <c r="P13961">
        <v>65</v>
      </c>
    </row>
    <row r="13962" spans="1:16" x14ac:dyDescent="0.25">
      <c r="A13962" t="s">
        <v>48986</v>
      </c>
      <c r="B13962" t="s">
        <v>48987</v>
      </c>
      <c r="C13962" t="s">
        <v>48852</v>
      </c>
      <c r="D13962" t="s">
        <v>15692</v>
      </c>
      <c r="E13962" t="s">
        <v>46</v>
      </c>
      <c r="F13962" t="s">
        <v>47325</v>
      </c>
      <c r="G13962" t="s">
        <v>47073</v>
      </c>
      <c r="H13962" t="s">
        <v>47071</v>
      </c>
      <c r="I13962" t="s">
        <v>47120</v>
      </c>
      <c r="J13962" t="s">
        <v>47121</v>
      </c>
      <c r="K13962" t="s">
        <v>47113</v>
      </c>
      <c r="L13962">
        <v>11.08</v>
      </c>
      <c r="M13962">
        <v>20</v>
      </c>
      <c r="N13962">
        <v>49</v>
      </c>
      <c r="O13962">
        <v>20</v>
      </c>
      <c r="P13962">
        <v>49</v>
      </c>
    </row>
    <row r="13963" spans="1:16" x14ac:dyDescent="0.25">
      <c r="A13963" t="s">
        <v>48988</v>
      </c>
      <c r="B13963" t="s">
        <v>48989</v>
      </c>
      <c r="C13963" t="s">
        <v>48855</v>
      </c>
      <c r="D13963" t="s">
        <v>15692</v>
      </c>
      <c r="E13963" t="s">
        <v>46</v>
      </c>
      <c r="F13963" t="s">
        <v>47325</v>
      </c>
      <c r="G13963" t="s">
        <v>47073</v>
      </c>
      <c r="H13963" t="s">
        <v>47071</v>
      </c>
      <c r="I13963" t="s">
        <v>47120</v>
      </c>
      <c r="J13963" t="s">
        <v>47121</v>
      </c>
      <c r="K13963" t="s">
        <v>47113</v>
      </c>
      <c r="L13963">
        <v>11.08</v>
      </c>
      <c r="M13963">
        <v>20</v>
      </c>
      <c r="N13963">
        <v>49</v>
      </c>
      <c r="O13963">
        <v>20</v>
      </c>
      <c r="P13963">
        <v>49</v>
      </c>
    </row>
    <row r="13964" spans="1:16" x14ac:dyDescent="0.25">
      <c r="A13964" t="s">
        <v>36695</v>
      </c>
      <c r="B13964" t="s">
        <v>18217</v>
      </c>
      <c r="C13964" t="s">
        <v>18087</v>
      </c>
      <c r="D13964" t="s">
        <v>18095</v>
      </c>
      <c r="E13964" t="s">
        <v>18096</v>
      </c>
      <c r="F13964" t="s">
        <v>15183</v>
      </c>
      <c r="G13964" t="s">
        <v>47073</v>
      </c>
      <c r="H13964" t="s">
        <v>47071</v>
      </c>
      <c r="I13964" t="s">
        <v>47120</v>
      </c>
      <c r="J13964" t="s">
        <v>47121</v>
      </c>
      <c r="K13964" t="s">
        <v>47113</v>
      </c>
      <c r="L13964">
        <v>9.3800000000000008</v>
      </c>
      <c r="M13964">
        <v>16</v>
      </c>
      <c r="N13964">
        <v>0</v>
      </c>
      <c r="O13964">
        <v>16</v>
      </c>
      <c r="P13964">
        <v>0</v>
      </c>
    </row>
    <row r="13965" spans="1:16" x14ac:dyDescent="0.25">
      <c r="A13965" t="s">
        <v>36696</v>
      </c>
      <c r="B13965" t="s">
        <v>18217</v>
      </c>
      <c r="C13965" t="s">
        <v>18087</v>
      </c>
      <c r="D13965" t="s">
        <v>14429</v>
      </c>
      <c r="E13965" t="s">
        <v>60</v>
      </c>
      <c r="F13965" t="s">
        <v>15183</v>
      </c>
      <c r="G13965" t="s">
        <v>47073</v>
      </c>
      <c r="H13965" t="s">
        <v>47071</v>
      </c>
      <c r="I13965" t="s">
        <v>47120</v>
      </c>
      <c r="J13965" t="s">
        <v>47121</v>
      </c>
      <c r="K13965" t="s">
        <v>47113</v>
      </c>
      <c r="L13965">
        <v>9.3800000000000008</v>
      </c>
      <c r="M13965">
        <v>16</v>
      </c>
      <c r="N13965">
        <v>0</v>
      </c>
      <c r="O13965">
        <v>16</v>
      </c>
      <c r="P13965">
        <v>0</v>
      </c>
    </row>
    <row r="13966" spans="1:16" x14ac:dyDescent="0.25">
      <c r="A13966" t="s">
        <v>36697</v>
      </c>
      <c r="B13966" t="s">
        <v>36698</v>
      </c>
      <c r="C13966" t="s">
        <v>18087</v>
      </c>
      <c r="D13966" t="s">
        <v>15740</v>
      </c>
      <c r="E13966" t="s">
        <v>42</v>
      </c>
      <c r="F13966" t="s">
        <v>24019</v>
      </c>
      <c r="G13966" t="s">
        <v>47073</v>
      </c>
      <c r="H13966" t="s">
        <v>47071</v>
      </c>
      <c r="I13966" t="s">
        <v>47120</v>
      </c>
      <c r="J13966" t="s">
        <v>47121</v>
      </c>
      <c r="K13966" t="s">
        <v>47113</v>
      </c>
      <c r="L13966">
        <v>10.74</v>
      </c>
      <c r="M13966">
        <v>20</v>
      </c>
      <c r="N13966">
        <v>0</v>
      </c>
      <c r="O13966">
        <v>20</v>
      </c>
      <c r="P13966">
        <v>0</v>
      </c>
    </row>
    <row r="13967" spans="1:16" x14ac:dyDescent="0.25">
      <c r="A13967" t="s">
        <v>36699</v>
      </c>
      <c r="B13967" t="s">
        <v>36698</v>
      </c>
      <c r="C13967" t="s">
        <v>18087</v>
      </c>
      <c r="D13967" t="s">
        <v>15692</v>
      </c>
      <c r="E13967" t="s">
        <v>46</v>
      </c>
      <c r="F13967" t="s">
        <v>24019</v>
      </c>
      <c r="G13967" t="s">
        <v>47073</v>
      </c>
      <c r="H13967" t="s">
        <v>47071</v>
      </c>
      <c r="I13967" t="s">
        <v>47120</v>
      </c>
      <c r="J13967" t="s">
        <v>47121</v>
      </c>
      <c r="K13967" t="s">
        <v>47113</v>
      </c>
      <c r="L13967">
        <v>10.74</v>
      </c>
      <c r="M13967">
        <v>20</v>
      </c>
      <c r="N13967">
        <v>0</v>
      </c>
      <c r="O13967">
        <v>20</v>
      </c>
      <c r="P13967">
        <v>0</v>
      </c>
    </row>
    <row r="13968" spans="1:16" x14ac:dyDescent="0.25">
      <c r="A13968" t="s">
        <v>36700</v>
      </c>
      <c r="B13968" t="s">
        <v>36698</v>
      </c>
      <c r="C13968" t="s">
        <v>18087</v>
      </c>
      <c r="D13968" t="s">
        <v>15752</v>
      </c>
      <c r="E13968" t="s">
        <v>15753</v>
      </c>
      <c r="F13968" t="s">
        <v>24019</v>
      </c>
      <c r="G13968" t="s">
        <v>47073</v>
      </c>
      <c r="H13968" t="s">
        <v>47071</v>
      </c>
      <c r="I13968" t="s">
        <v>47120</v>
      </c>
      <c r="J13968" t="s">
        <v>47121</v>
      </c>
      <c r="K13968" t="s">
        <v>47113</v>
      </c>
      <c r="L13968">
        <v>10.74</v>
      </c>
      <c r="M13968">
        <v>20</v>
      </c>
      <c r="N13968">
        <v>0</v>
      </c>
      <c r="O13968">
        <v>20</v>
      </c>
      <c r="P13968">
        <v>0</v>
      </c>
    </row>
    <row r="13969" spans="1:16" x14ac:dyDescent="0.25">
      <c r="A13969" t="s">
        <v>36701</v>
      </c>
      <c r="B13969" t="s">
        <v>36698</v>
      </c>
      <c r="C13969" t="s">
        <v>18087</v>
      </c>
      <c r="D13969" t="s">
        <v>238</v>
      </c>
      <c r="E13969" t="s">
        <v>238</v>
      </c>
      <c r="F13969" t="s">
        <v>24019</v>
      </c>
      <c r="G13969" t="s">
        <v>47073</v>
      </c>
      <c r="H13969" t="s">
        <v>47071</v>
      </c>
      <c r="I13969" t="s">
        <v>47120</v>
      </c>
      <c r="J13969" t="s">
        <v>47121</v>
      </c>
      <c r="K13969" t="s">
        <v>47113</v>
      </c>
      <c r="L13969">
        <v>10.74</v>
      </c>
      <c r="M13969">
        <v>20</v>
      </c>
      <c r="N13969">
        <v>0</v>
      </c>
      <c r="O13969">
        <v>20</v>
      </c>
      <c r="P13969">
        <v>0</v>
      </c>
    </row>
    <row r="13970" spans="1:16" x14ac:dyDescent="0.25">
      <c r="A13970" t="s">
        <v>36702</v>
      </c>
      <c r="B13970" t="s">
        <v>36698</v>
      </c>
      <c r="C13970" t="s">
        <v>18087</v>
      </c>
      <c r="D13970" t="s">
        <v>15651</v>
      </c>
      <c r="E13970" t="s">
        <v>15652</v>
      </c>
      <c r="F13970" t="s">
        <v>24019</v>
      </c>
      <c r="G13970" t="s">
        <v>47073</v>
      </c>
      <c r="H13970" t="s">
        <v>47071</v>
      </c>
      <c r="I13970" t="s">
        <v>47120</v>
      </c>
      <c r="J13970" t="s">
        <v>47121</v>
      </c>
      <c r="K13970" t="s">
        <v>47113</v>
      </c>
      <c r="L13970">
        <v>10.74</v>
      </c>
      <c r="M13970">
        <v>20</v>
      </c>
      <c r="N13970">
        <v>0</v>
      </c>
      <c r="O13970">
        <v>20</v>
      </c>
      <c r="P13970">
        <v>0</v>
      </c>
    </row>
    <row r="13971" spans="1:16" x14ac:dyDescent="0.25">
      <c r="A13971" t="s">
        <v>36703</v>
      </c>
      <c r="B13971" t="s">
        <v>18218</v>
      </c>
      <c r="C13971" t="s">
        <v>18098</v>
      </c>
      <c r="D13971" t="s">
        <v>18099</v>
      </c>
      <c r="E13971" t="s">
        <v>18100</v>
      </c>
      <c r="F13971" t="s">
        <v>16601</v>
      </c>
      <c r="G13971" t="s">
        <v>47075</v>
      </c>
      <c r="H13971" t="s">
        <v>47071</v>
      </c>
      <c r="I13971" t="s">
        <v>47120</v>
      </c>
      <c r="J13971" t="s">
        <v>47121</v>
      </c>
      <c r="K13971" t="s">
        <v>47113</v>
      </c>
      <c r="L13971">
        <v>24.68</v>
      </c>
      <c r="M13971">
        <v>29</v>
      </c>
      <c r="N13971">
        <v>0</v>
      </c>
      <c r="O13971">
        <v>29</v>
      </c>
      <c r="P13971">
        <v>0</v>
      </c>
    </row>
    <row r="13972" spans="1:16" x14ac:dyDescent="0.25">
      <c r="A13972" t="s">
        <v>36704</v>
      </c>
      <c r="B13972" t="s">
        <v>18219</v>
      </c>
      <c r="C13972" t="s">
        <v>18102</v>
      </c>
      <c r="D13972" t="s">
        <v>18103</v>
      </c>
      <c r="E13972" t="s">
        <v>18104</v>
      </c>
      <c r="F13972" t="s">
        <v>16601</v>
      </c>
      <c r="G13972" t="s">
        <v>47076</v>
      </c>
      <c r="H13972" t="s">
        <v>47071</v>
      </c>
      <c r="I13972" t="s">
        <v>47120</v>
      </c>
      <c r="J13972" t="s">
        <v>47121</v>
      </c>
      <c r="K13972" t="s">
        <v>47113</v>
      </c>
      <c r="L13972">
        <v>37.18</v>
      </c>
      <c r="M13972">
        <v>48</v>
      </c>
      <c r="N13972">
        <v>0</v>
      </c>
      <c r="O13972">
        <v>48</v>
      </c>
      <c r="P13972">
        <v>0</v>
      </c>
    </row>
    <row r="13973" spans="1:16" x14ac:dyDescent="0.25">
      <c r="A13973" t="s">
        <v>36705</v>
      </c>
      <c r="B13973" t="s">
        <v>18220</v>
      </c>
      <c r="C13973" t="s">
        <v>18106</v>
      </c>
      <c r="D13973" t="s">
        <v>18107</v>
      </c>
      <c r="E13973" t="s">
        <v>18108</v>
      </c>
      <c r="F13973" t="s">
        <v>16601</v>
      </c>
      <c r="G13973" t="s">
        <v>47076</v>
      </c>
      <c r="H13973" t="s">
        <v>47071</v>
      </c>
      <c r="I13973" t="s">
        <v>47116</v>
      </c>
      <c r="J13973" t="s">
        <v>47117</v>
      </c>
      <c r="K13973" t="s">
        <v>47113</v>
      </c>
      <c r="L13973">
        <v>34.049999999999997</v>
      </c>
      <c r="M13973">
        <v>46</v>
      </c>
      <c r="N13973">
        <v>0</v>
      </c>
      <c r="O13973">
        <v>46</v>
      </c>
      <c r="P13973">
        <v>0</v>
      </c>
    </row>
    <row r="13974" spans="1:16" x14ac:dyDescent="0.25">
      <c r="A13974" t="s">
        <v>36706</v>
      </c>
      <c r="B13974" t="s">
        <v>18221</v>
      </c>
      <c r="C13974" t="s">
        <v>18110</v>
      </c>
      <c r="D13974" t="s">
        <v>18111</v>
      </c>
      <c r="E13974" t="s">
        <v>18112</v>
      </c>
      <c r="F13974" t="s">
        <v>16601</v>
      </c>
      <c r="G13974" t="s">
        <v>47076</v>
      </c>
      <c r="H13974" t="s">
        <v>47071</v>
      </c>
      <c r="I13974" t="s">
        <v>47116</v>
      </c>
      <c r="J13974" t="s">
        <v>47117</v>
      </c>
      <c r="K13974" t="s">
        <v>47113</v>
      </c>
      <c r="L13974">
        <v>30.93</v>
      </c>
      <c r="M13974">
        <v>37</v>
      </c>
      <c r="N13974">
        <v>0</v>
      </c>
      <c r="O13974">
        <v>37</v>
      </c>
      <c r="P13974">
        <v>0</v>
      </c>
    </row>
    <row r="13975" spans="1:16" x14ac:dyDescent="0.25">
      <c r="A13975" t="s">
        <v>36707</v>
      </c>
      <c r="B13975" t="s">
        <v>18222</v>
      </c>
      <c r="C13975" t="s">
        <v>18114</v>
      </c>
      <c r="D13975" t="s">
        <v>15740</v>
      </c>
      <c r="E13975" t="s">
        <v>42</v>
      </c>
      <c r="F13975" t="s">
        <v>16601</v>
      </c>
      <c r="G13975" t="s">
        <v>47072</v>
      </c>
      <c r="H13975" t="s">
        <v>47071</v>
      </c>
      <c r="I13975" t="s">
        <v>47116</v>
      </c>
      <c r="J13975" t="s">
        <v>47117</v>
      </c>
      <c r="K13975" t="s">
        <v>47113</v>
      </c>
      <c r="L13975">
        <v>40.299999999999997</v>
      </c>
      <c r="M13975">
        <v>48</v>
      </c>
      <c r="N13975">
        <v>0</v>
      </c>
      <c r="O13975">
        <v>48</v>
      </c>
      <c r="P13975">
        <v>0</v>
      </c>
    </row>
    <row r="13976" spans="1:16" x14ac:dyDescent="0.25">
      <c r="A13976" t="s">
        <v>36708</v>
      </c>
      <c r="B13976" t="s">
        <v>18223</v>
      </c>
      <c r="C13976" t="s">
        <v>18116</v>
      </c>
      <c r="D13976" t="s">
        <v>18099</v>
      </c>
      <c r="E13976" t="s">
        <v>18100</v>
      </c>
      <c r="F13976" t="s">
        <v>16601</v>
      </c>
      <c r="G13976" t="s">
        <v>47072</v>
      </c>
      <c r="H13976" t="s">
        <v>47071</v>
      </c>
      <c r="I13976" t="s">
        <v>47116</v>
      </c>
      <c r="J13976" t="s">
        <v>47117</v>
      </c>
      <c r="K13976" t="s">
        <v>47113</v>
      </c>
      <c r="L13976">
        <v>27.8</v>
      </c>
      <c r="M13976">
        <v>33</v>
      </c>
      <c r="N13976">
        <v>0</v>
      </c>
      <c r="O13976">
        <v>33</v>
      </c>
      <c r="P13976">
        <v>0</v>
      </c>
    </row>
    <row r="13977" spans="1:16" x14ac:dyDescent="0.25">
      <c r="A13977" t="s">
        <v>36709</v>
      </c>
      <c r="B13977" t="s">
        <v>18224</v>
      </c>
      <c r="C13977" t="s">
        <v>18118</v>
      </c>
      <c r="D13977" t="s">
        <v>18119</v>
      </c>
      <c r="E13977" t="s">
        <v>18120</v>
      </c>
      <c r="F13977" t="s">
        <v>16601</v>
      </c>
      <c r="G13977" t="s">
        <v>47072</v>
      </c>
      <c r="H13977" t="s">
        <v>47071</v>
      </c>
      <c r="I13977" t="s">
        <v>47116</v>
      </c>
      <c r="J13977" t="s">
        <v>47117</v>
      </c>
      <c r="K13977" t="s">
        <v>47113</v>
      </c>
      <c r="L13977">
        <v>40.299999999999997</v>
      </c>
      <c r="M13977">
        <v>48</v>
      </c>
      <c r="N13977">
        <v>0</v>
      </c>
      <c r="O13977">
        <v>48</v>
      </c>
      <c r="P13977">
        <v>0</v>
      </c>
    </row>
    <row r="13978" spans="1:16" x14ac:dyDescent="0.25">
      <c r="A13978" t="s">
        <v>36710</v>
      </c>
      <c r="B13978" t="s">
        <v>18225</v>
      </c>
      <c r="C13978" t="s">
        <v>18122</v>
      </c>
      <c r="D13978" t="s">
        <v>18123</v>
      </c>
      <c r="E13978" t="s">
        <v>18124</v>
      </c>
      <c r="F13978" t="s">
        <v>16601</v>
      </c>
      <c r="G13978" t="s">
        <v>47072</v>
      </c>
      <c r="H13978" t="s">
        <v>47071</v>
      </c>
      <c r="I13978" t="s">
        <v>47116</v>
      </c>
      <c r="J13978" t="s">
        <v>47117</v>
      </c>
      <c r="K13978" t="s">
        <v>47113</v>
      </c>
      <c r="L13978">
        <v>27.8</v>
      </c>
      <c r="M13978">
        <v>33</v>
      </c>
      <c r="N13978">
        <v>0</v>
      </c>
      <c r="O13978">
        <v>33</v>
      </c>
      <c r="P13978">
        <v>0</v>
      </c>
    </row>
    <row r="13979" spans="1:16" x14ac:dyDescent="0.25">
      <c r="A13979" t="s">
        <v>36711</v>
      </c>
      <c r="B13979" t="s">
        <v>18226</v>
      </c>
      <c r="C13979" t="s">
        <v>18126</v>
      </c>
      <c r="D13979" t="s">
        <v>18127</v>
      </c>
      <c r="E13979" t="s">
        <v>18128</v>
      </c>
      <c r="F13979" t="s">
        <v>16601</v>
      </c>
      <c r="G13979" t="s">
        <v>47072</v>
      </c>
      <c r="H13979" t="s">
        <v>47071</v>
      </c>
      <c r="I13979" t="s">
        <v>47116</v>
      </c>
      <c r="J13979" t="s">
        <v>47117</v>
      </c>
      <c r="K13979" t="s">
        <v>47113</v>
      </c>
      <c r="L13979">
        <v>27.8</v>
      </c>
      <c r="M13979">
        <v>33</v>
      </c>
      <c r="N13979">
        <v>0</v>
      </c>
      <c r="O13979">
        <v>33</v>
      </c>
      <c r="P13979">
        <v>0</v>
      </c>
    </row>
    <row r="13980" spans="1:16" x14ac:dyDescent="0.25">
      <c r="A13980" t="s">
        <v>36712</v>
      </c>
      <c r="B13980" t="s">
        <v>18227</v>
      </c>
      <c r="C13980" t="s">
        <v>18130</v>
      </c>
      <c r="D13980" t="s">
        <v>18131</v>
      </c>
      <c r="E13980" t="s">
        <v>18132</v>
      </c>
      <c r="F13980" t="s">
        <v>16601</v>
      </c>
      <c r="G13980" t="s">
        <v>47072</v>
      </c>
      <c r="H13980" t="s">
        <v>47071</v>
      </c>
      <c r="I13980" t="s">
        <v>47120</v>
      </c>
      <c r="J13980" t="s">
        <v>47121</v>
      </c>
      <c r="K13980" t="s">
        <v>47113</v>
      </c>
      <c r="L13980">
        <v>27.8</v>
      </c>
      <c r="M13980">
        <v>33</v>
      </c>
      <c r="N13980">
        <v>0</v>
      </c>
      <c r="O13980">
        <v>33</v>
      </c>
      <c r="P13980">
        <v>0</v>
      </c>
    </row>
    <row r="13981" spans="1:16" x14ac:dyDescent="0.25">
      <c r="A13981" t="s">
        <v>36713</v>
      </c>
      <c r="B13981" t="s">
        <v>18228</v>
      </c>
      <c r="C13981" t="s">
        <v>18229</v>
      </c>
      <c r="D13981" t="s">
        <v>18135</v>
      </c>
      <c r="E13981" t="s">
        <v>18136</v>
      </c>
      <c r="F13981" t="s">
        <v>16601</v>
      </c>
      <c r="G13981" t="s">
        <v>47072</v>
      </c>
      <c r="H13981" t="s">
        <v>47071</v>
      </c>
      <c r="I13981" t="s">
        <v>47116</v>
      </c>
      <c r="J13981" t="s">
        <v>47117</v>
      </c>
      <c r="K13981" t="s">
        <v>47113</v>
      </c>
      <c r="L13981">
        <v>40.299999999999997</v>
      </c>
      <c r="M13981">
        <v>48</v>
      </c>
      <c r="N13981">
        <v>0</v>
      </c>
      <c r="O13981">
        <v>48</v>
      </c>
      <c r="P13981">
        <v>0</v>
      </c>
    </row>
    <row r="13982" spans="1:16" x14ac:dyDescent="0.25">
      <c r="A13982" t="s">
        <v>36714</v>
      </c>
      <c r="B13982" t="s">
        <v>18230</v>
      </c>
      <c r="C13982" t="s">
        <v>18122</v>
      </c>
      <c r="D13982" t="s">
        <v>18138</v>
      </c>
      <c r="E13982" t="s">
        <v>18139</v>
      </c>
      <c r="F13982" t="s">
        <v>16601</v>
      </c>
      <c r="G13982" t="s">
        <v>47072</v>
      </c>
      <c r="H13982" t="s">
        <v>47071</v>
      </c>
      <c r="I13982" t="s">
        <v>47116</v>
      </c>
      <c r="J13982" t="s">
        <v>47117</v>
      </c>
      <c r="K13982" t="s">
        <v>47113</v>
      </c>
      <c r="L13982">
        <v>24.68</v>
      </c>
      <c r="M13982">
        <v>29</v>
      </c>
      <c r="N13982">
        <v>0</v>
      </c>
      <c r="O13982">
        <v>29</v>
      </c>
      <c r="P13982">
        <v>0</v>
      </c>
    </row>
    <row r="13983" spans="1:16" x14ac:dyDescent="0.25">
      <c r="A13983" t="s">
        <v>36715</v>
      </c>
      <c r="B13983" t="s">
        <v>18231</v>
      </c>
      <c r="C13983" t="s">
        <v>18141</v>
      </c>
      <c r="D13983" t="s">
        <v>18103</v>
      </c>
      <c r="E13983" t="s">
        <v>18104</v>
      </c>
      <c r="F13983" t="s">
        <v>16601</v>
      </c>
      <c r="G13983" t="s">
        <v>47072</v>
      </c>
      <c r="H13983" t="s">
        <v>47071</v>
      </c>
      <c r="I13983" t="s">
        <v>47116</v>
      </c>
      <c r="J13983" t="s">
        <v>47117</v>
      </c>
      <c r="K13983" t="s">
        <v>47113</v>
      </c>
      <c r="L13983">
        <v>40.299999999999997</v>
      </c>
      <c r="M13983">
        <v>48</v>
      </c>
      <c r="N13983">
        <v>0</v>
      </c>
      <c r="O13983">
        <v>48</v>
      </c>
      <c r="P13983">
        <v>0</v>
      </c>
    </row>
    <row r="13984" spans="1:16" x14ac:dyDescent="0.25">
      <c r="A13984" t="s">
        <v>36716</v>
      </c>
      <c r="B13984" t="s">
        <v>18232</v>
      </c>
      <c r="C13984" t="s">
        <v>18233</v>
      </c>
      <c r="D13984" t="s">
        <v>18107</v>
      </c>
      <c r="E13984" t="s">
        <v>18108</v>
      </c>
      <c r="F13984" t="s">
        <v>16601</v>
      </c>
      <c r="G13984" t="s">
        <v>47072</v>
      </c>
      <c r="H13984" t="s">
        <v>47071</v>
      </c>
      <c r="I13984" t="s">
        <v>47116</v>
      </c>
      <c r="J13984" t="s">
        <v>47117</v>
      </c>
      <c r="K13984" t="s">
        <v>47113</v>
      </c>
      <c r="L13984">
        <v>24.68</v>
      </c>
      <c r="M13984">
        <v>29</v>
      </c>
      <c r="N13984">
        <v>0</v>
      </c>
      <c r="O13984">
        <v>29</v>
      </c>
      <c r="P13984">
        <v>0</v>
      </c>
    </row>
    <row r="13985" spans="1:16" x14ac:dyDescent="0.25">
      <c r="A13985" t="s">
        <v>36717</v>
      </c>
      <c r="B13985" t="s">
        <v>21266</v>
      </c>
      <c r="C13985" t="s">
        <v>21263</v>
      </c>
      <c r="D13985" t="s">
        <v>21264</v>
      </c>
      <c r="E13985" t="s">
        <v>21265</v>
      </c>
      <c r="F13985" t="s">
        <v>16601</v>
      </c>
      <c r="G13985" t="s">
        <v>47072</v>
      </c>
      <c r="H13985" t="s">
        <v>47071</v>
      </c>
      <c r="I13985" t="s">
        <v>47116</v>
      </c>
      <c r="J13985" t="s">
        <v>47117</v>
      </c>
      <c r="K13985" t="s">
        <v>47113</v>
      </c>
      <c r="L13985">
        <v>25.98</v>
      </c>
      <c r="M13985">
        <v>40</v>
      </c>
      <c r="N13985">
        <v>0</v>
      </c>
      <c r="O13985">
        <v>40</v>
      </c>
      <c r="P13985">
        <v>0</v>
      </c>
    </row>
    <row r="13986" spans="1:16" x14ac:dyDescent="0.25">
      <c r="A13986" t="s">
        <v>36718</v>
      </c>
      <c r="B13986" t="s">
        <v>18234</v>
      </c>
      <c r="C13986" t="s">
        <v>18146</v>
      </c>
      <c r="D13986" t="s">
        <v>15692</v>
      </c>
      <c r="E13986" t="s">
        <v>46</v>
      </c>
      <c r="F13986" t="s">
        <v>16601</v>
      </c>
      <c r="G13986" t="s">
        <v>47073</v>
      </c>
      <c r="H13986" t="s">
        <v>47071</v>
      </c>
      <c r="I13986" t="s">
        <v>47120</v>
      </c>
      <c r="J13986" t="s">
        <v>47121</v>
      </c>
      <c r="K13986" t="s">
        <v>47113</v>
      </c>
      <c r="L13986">
        <v>12.18</v>
      </c>
      <c r="M13986">
        <v>18</v>
      </c>
      <c r="N13986">
        <v>0</v>
      </c>
      <c r="O13986">
        <v>18</v>
      </c>
      <c r="P13986">
        <v>0</v>
      </c>
    </row>
    <row r="13987" spans="1:16" x14ac:dyDescent="0.25">
      <c r="A13987" t="s">
        <v>36719</v>
      </c>
      <c r="B13987" t="s">
        <v>18235</v>
      </c>
      <c r="C13987" t="s">
        <v>18148</v>
      </c>
      <c r="D13987" t="s">
        <v>18149</v>
      </c>
      <c r="E13987" t="s">
        <v>18150</v>
      </c>
      <c r="F13987" t="s">
        <v>16601</v>
      </c>
      <c r="G13987" t="s">
        <v>47075</v>
      </c>
      <c r="H13987" t="s">
        <v>47071</v>
      </c>
      <c r="I13987" t="s">
        <v>47120</v>
      </c>
      <c r="J13987" t="s">
        <v>47121</v>
      </c>
      <c r="K13987" t="s">
        <v>47113</v>
      </c>
      <c r="L13987">
        <v>18.43</v>
      </c>
      <c r="M13987">
        <v>22</v>
      </c>
      <c r="N13987">
        <v>0</v>
      </c>
      <c r="O13987">
        <v>22</v>
      </c>
      <c r="P13987">
        <v>0</v>
      </c>
    </row>
    <row r="13988" spans="1:16" x14ac:dyDescent="0.25">
      <c r="A13988" t="s">
        <v>36720</v>
      </c>
      <c r="B13988" t="s">
        <v>18236</v>
      </c>
      <c r="C13988" t="s">
        <v>18152</v>
      </c>
      <c r="D13988" t="s">
        <v>14429</v>
      </c>
      <c r="E13988" t="s">
        <v>60</v>
      </c>
      <c r="F13988" t="s">
        <v>16601</v>
      </c>
      <c r="G13988" t="s">
        <v>47073</v>
      </c>
      <c r="H13988" t="s">
        <v>47071</v>
      </c>
      <c r="I13988" t="s">
        <v>47120</v>
      </c>
      <c r="J13988" t="s">
        <v>47121</v>
      </c>
      <c r="K13988" t="s">
        <v>47113</v>
      </c>
      <c r="L13988">
        <v>12.18</v>
      </c>
      <c r="M13988">
        <v>18</v>
      </c>
      <c r="N13988">
        <v>0</v>
      </c>
      <c r="O13988">
        <v>18</v>
      </c>
      <c r="P13988">
        <v>0</v>
      </c>
    </row>
    <row r="13989" spans="1:16" x14ac:dyDescent="0.25">
      <c r="A13989" t="s">
        <v>36721</v>
      </c>
      <c r="B13989" t="s">
        <v>18237</v>
      </c>
      <c r="C13989" t="s">
        <v>18154</v>
      </c>
      <c r="D13989" t="s">
        <v>15692</v>
      </c>
      <c r="E13989" t="s">
        <v>46</v>
      </c>
      <c r="F13989" t="s">
        <v>16601</v>
      </c>
      <c r="G13989" t="s">
        <v>47073</v>
      </c>
      <c r="H13989" t="s">
        <v>47071</v>
      </c>
      <c r="I13989" t="s">
        <v>47120</v>
      </c>
      <c r="J13989" t="s">
        <v>47121</v>
      </c>
      <c r="K13989" t="s">
        <v>47113</v>
      </c>
      <c r="L13989">
        <v>12.18</v>
      </c>
      <c r="M13989">
        <v>18</v>
      </c>
      <c r="N13989">
        <v>0</v>
      </c>
      <c r="O13989">
        <v>18</v>
      </c>
      <c r="P13989">
        <v>0</v>
      </c>
    </row>
    <row r="13990" spans="1:16" x14ac:dyDescent="0.25">
      <c r="A13990" t="s">
        <v>36722</v>
      </c>
      <c r="B13990" t="s">
        <v>18238</v>
      </c>
      <c r="C13990" t="s">
        <v>18156</v>
      </c>
      <c r="D13990" t="s">
        <v>15734</v>
      </c>
      <c r="E13990" t="s">
        <v>15735</v>
      </c>
      <c r="F13990" t="s">
        <v>16601</v>
      </c>
      <c r="G13990" t="s">
        <v>47076</v>
      </c>
      <c r="H13990" t="s">
        <v>47071</v>
      </c>
      <c r="I13990" t="s">
        <v>47120</v>
      </c>
      <c r="J13990" t="s">
        <v>47121</v>
      </c>
      <c r="K13990" t="s">
        <v>47113</v>
      </c>
      <c r="L13990">
        <v>24.68</v>
      </c>
      <c r="M13990">
        <v>29</v>
      </c>
      <c r="N13990">
        <v>0</v>
      </c>
      <c r="O13990">
        <v>29</v>
      </c>
      <c r="P13990">
        <v>0</v>
      </c>
    </row>
    <row r="13991" spans="1:16" x14ac:dyDescent="0.25">
      <c r="A13991" t="s">
        <v>36723</v>
      </c>
      <c r="B13991" t="s">
        <v>18239</v>
      </c>
      <c r="C13991" t="s">
        <v>18158</v>
      </c>
      <c r="D13991" t="s">
        <v>15740</v>
      </c>
      <c r="E13991" t="s">
        <v>42</v>
      </c>
      <c r="F13991" t="s">
        <v>16601</v>
      </c>
      <c r="G13991" t="s">
        <v>47073</v>
      </c>
      <c r="H13991" t="s">
        <v>47071</v>
      </c>
      <c r="I13991" t="s">
        <v>47120</v>
      </c>
      <c r="J13991" t="s">
        <v>47121</v>
      </c>
      <c r="K13991" t="s">
        <v>47113</v>
      </c>
      <c r="L13991">
        <v>12.18</v>
      </c>
      <c r="M13991">
        <v>18</v>
      </c>
      <c r="N13991">
        <v>0</v>
      </c>
      <c r="O13991">
        <v>18</v>
      </c>
      <c r="P13991">
        <v>0</v>
      </c>
    </row>
    <row r="13992" spans="1:16" x14ac:dyDescent="0.25">
      <c r="A13992" t="s">
        <v>36724</v>
      </c>
      <c r="B13992" t="s">
        <v>18240</v>
      </c>
      <c r="C13992" t="s">
        <v>18160</v>
      </c>
      <c r="D13992" t="s">
        <v>15752</v>
      </c>
      <c r="E13992" t="s">
        <v>15753</v>
      </c>
      <c r="F13992" t="s">
        <v>16601</v>
      </c>
      <c r="G13992" t="s">
        <v>47073</v>
      </c>
      <c r="H13992" t="s">
        <v>47071</v>
      </c>
      <c r="I13992" t="s">
        <v>47120</v>
      </c>
      <c r="J13992" t="s">
        <v>47121</v>
      </c>
      <c r="K13992" t="s">
        <v>47113</v>
      </c>
      <c r="L13992">
        <v>12.18</v>
      </c>
      <c r="M13992">
        <v>18</v>
      </c>
      <c r="N13992">
        <v>0</v>
      </c>
      <c r="O13992">
        <v>18</v>
      </c>
      <c r="P13992">
        <v>0</v>
      </c>
    </row>
    <row r="13993" spans="1:16" x14ac:dyDescent="0.25">
      <c r="A13993" t="s">
        <v>36725</v>
      </c>
      <c r="B13993" t="s">
        <v>18241</v>
      </c>
      <c r="C13993" t="s">
        <v>18162</v>
      </c>
      <c r="D13993" t="s">
        <v>15692</v>
      </c>
      <c r="E13993" t="s">
        <v>46</v>
      </c>
      <c r="F13993" t="s">
        <v>16601</v>
      </c>
      <c r="G13993" t="s">
        <v>47075</v>
      </c>
      <c r="H13993" t="s">
        <v>47071</v>
      </c>
      <c r="I13993" t="s">
        <v>47120</v>
      </c>
      <c r="J13993" t="s">
        <v>47121</v>
      </c>
      <c r="K13993" t="s">
        <v>47113</v>
      </c>
      <c r="L13993">
        <v>18.43</v>
      </c>
      <c r="M13993">
        <v>22</v>
      </c>
      <c r="N13993">
        <v>0</v>
      </c>
      <c r="O13993">
        <v>22</v>
      </c>
      <c r="P13993">
        <v>0</v>
      </c>
    </row>
    <row r="13994" spans="1:16" x14ac:dyDescent="0.25">
      <c r="A13994" t="s">
        <v>36726</v>
      </c>
      <c r="B13994" t="s">
        <v>18242</v>
      </c>
      <c r="C13994" t="s">
        <v>18164</v>
      </c>
      <c r="D13994" t="s">
        <v>18165</v>
      </c>
      <c r="E13994" t="s">
        <v>18166</v>
      </c>
      <c r="F13994" t="s">
        <v>16601</v>
      </c>
      <c r="G13994" t="s">
        <v>48749</v>
      </c>
      <c r="H13994" t="s">
        <v>47071</v>
      </c>
      <c r="I13994" t="s">
        <v>47120</v>
      </c>
      <c r="J13994" t="s">
        <v>47121</v>
      </c>
      <c r="K13994" t="s">
        <v>47113</v>
      </c>
      <c r="L13994">
        <v>21.55</v>
      </c>
      <c r="M13994">
        <v>26</v>
      </c>
      <c r="N13994">
        <v>0</v>
      </c>
      <c r="O13994">
        <v>26</v>
      </c>
      <c r="P13994">
        <v>0</v>
      </c>
    </row>
    <row r="13995" spans="1:16" x14ac:dyDescent="0.25">
      <c r="A13995" t="s">
        <v>36727</v>
      </c>
      <c r="B13995" t="s">
        <v>18243</v>
      </c>
      <c r="C13995" t="s">
        <v>18244</v>
      </c>
      <c r="D13995" t="s">
        <v>15734</v>
      </c>
      <c r="E13995" t="s">
        <v>15735</v>
      </c>
      <c r="F13995" t="s">
        <v>16601</v>
      </c>
      <c r="G13995" t="s">
        <v>47077</v>
      </c>
      <c r="H13995" t="s">
        <v>47071</v>
      </c>
      <c r="I13995" t="s">
        <v>47116</v>
      </c>
      <c r="J13995" t="s">
        <v>47117</v>
      </c>
      <c r="K13995" t="s">
        <v>47113</v>
      </c>
      <c r="L13995">
        <v>24.68</v>
      </c>
      <c r="M13995">
        <v>29</v>
      </c>
      <c r="N13995">
        <v>0</v>
      </c>
      <c r="O13995">
        <v>29</v>
      </c>
      <c r="P13995">
        <v>0</v>
      </c>
    </row>
    <row r="13996" spans="1:16" x14ac:dyDescent="0.25">
      <c r="A13996" t="s">
        <v>36728</v>
      </c>
      <c r="B13996" t="s">
        <v>18245</v>
      </c>
      <c r="C13996" t="s">
        <v>18170</v>
      </c>
      <c r="D13996" t="s">
        <v>18099</v>
      </c>
      <c r="E13996" t="s">
        <v>18100</v>
      </c>
      <c r="F13996" t="s">
        <v>16601</v>
      </c>
      <c r="G13996" t="s">
        <v>47080</v>
      </c>
      <c r="H13996" t="s">
        <v>47071</v>
      </c>
      <c r="I13996" t="s">
        <v>47120</v>
      </c>
      <c r="J13996" t="s">
        <v>47121</v>
      </c>
      <c r="K13996" t="s">
        <v>47113</v>
      </c>
      <c r="L13996">
        <v>18.43</v>
      </c>
      <c r="M13996">
        <v>22</v>
      </c>
      <c r="N13996">
        <v>0</v>
      </c>
      <c r="O13996">
        <v>22</v>
      </c>
      <c r="P13996">
        <v>0</v>
      </c>
    </row>
    <row r="13997" spans="1:16" x14ac:dyDescent="0.25">
      <c r="A13997" t="s">
        <v>36729</v>
      </c>
      <c r="B13997" t="s">
        <v>18246</v>
      </c>
      <c r="C13997" t="s">
        <v>18247</v>
      </c>
      <c r="D13997" t="s">
        <v>15740</v>
      </c>
      <c r="E13997" t="s">
        <v>42</v>
      </c>
      <c r="F13997" t="s">
        <v>16601</v>
      </c>
      <c r="G13997" t="s">
        <v>47077</v>
      </c>
      <c r="H13997" t="s">
        <v>47071</v>
      </c>
      <c r="I13997" t="s">
        <v>47120</v>
      </c>
      <c r="J13997" t="s">
        <v>47121</v>
      </c>
      <c r="K13997" t="s">
        <v>47113</v>
      </c>
      <c r="L13997">
        <v>24.68</v>
      </c>
      <c r="M13997">
        <v>29</v>
      </c>
      <c r="N13997">
        <v>0</v>
      </c>
      <c r="O13997">
        <v>29</v>
      </c>
      <c r="P13997">
        <v>0</v>
      </c>
    </row>
    <row r="13998" spans="1:16" x14ac:dyDescent="0.25">
      <c r="A13998" t="s">
        <v>36730</v>
      </c>
      <c r="B13998" t="s">
        <v>18248</v>
      </c>
      <c r="C13998" t="s">
        <v>18174</v>
      </c>
      <c r="D13998" t="s">
        <v>15692</v>
      </c>
      <c r="E13998" t="s">
        <v>46</v>
      </c>
      <c r="F13998" t="s">
        <v>16601</v>
      </c>
      <c r="G13998" t="s">
        <v>47080</v>
      </c>
      <c r="H13998" t="s">
        <v>47071</v>
      </c>
      <c r="I13998" t="s">
        <v>47120</v>
      </c>
      <c r="J13998" t="s">
        <v>47121</v>
      </c>
      <c r="K13998" t="s">
        <v>47113</v>
      </c>
      <c r="L13998">
        <v>18.43</v>
      </c>
      <c r="M13998">
        <v>22</v>
      </c>
      <c r="N13998">
        <v>0</v>
      </c>
      <c r="O13998">
        <v>22</v>
      </c>
      <c r="P13998">
        <v>0</v>
      </c>
    </row>
    <row r="13999" spans="1:16" x14ac:dyDescent="0.25">
      <c r="A13999" t="s">
        <v>36731</v>
      </c>
      <c r="B13999" t="s">
        <v>21267</v>
      </c>
      <c r="C13999" t="s">
        <v>18176</v>
      </c>
      <c r="D13999" t="s">
        <v>18111</v>
      </c>
      <c r="E13999" t="s">
        <v>18112</v>
      </c>
      <c r="F13999" t="s">
        <v>16601</v>
      </c>
      <c r="G13999" t="s">
        <v>47077</v>
      </c>
      <c r="H13999" t="s">
        <v>47071</v>
      </c>
      <c r="I13999" t="s">
        <v>47116</v>
      </c>
      <c r="J13999" t="s">
        <v>47117</v>
      </c>
      <c r="K13999" t="s">
        <v>47113</v>
      </c>
      <c r="L13999">
        <v>23.07</v>
      </c>
      <c r="M13999">
        <v>36</v>
      </c>
      <c r="N13999">
        <v>0</v>
      </c>
      <c r="O13999">
        <v>36</v>
      </c>
      <c r="P13999">
        <v>0</v>
      </c>
    </row>
    <row r="14000" spans="1:16" x14ac:dyDescent="0.25">
      <c r="A14000" t="s">
        <v>36732</v>
      </c>
      <c r="B14000" t="s">
        <v>18249</v>
      </c>
      <c r="C14000" t="s">
        <v>18178</v>
      </c>
      <c r="D14000" t="s">
        <v>15692</v>
      </c>
      <c r="E14000" t="s">
        <v>46</v>
      </c>
      <c r="F14000" t="s">
        <v>16601</v>
      </c>
      <c r="G14000" t="s">
        <v>47073</v>
      </c>
      <c r="H14000" t="s">
        <v>47071</v>
      </c>
      <c r="I14000" t="s">
        <v>47120</v>
      </c>
      <c r="J14000" t="s">
        <v>47121</v>
      </c>
      <c r="K14000" t="s">
        <v>47113</v>
      </c>
      <c r="L14000">
        <v>10.94</v>
      </c>
      <c r="M14000">
        <v>16</v>
      </c>
      <c r="N14000">
        <v>0</v>
      </c>
      <c r="O14000">
        <v>16</v>
      </c>
      <c r="P14000">
        <v>0</v>
      </c>
    </row>
    <row r="14001" spans="1:16" x14ac:dyDescent="0.25">
      <c r="A14001" t="s">
        <v>36733</v>
      </c>
      <c r="B14001" t="s">
        <v>18250</v>
      </c>
      <c r="C14001" t="s">
        <v>18180</v>
      </c>
      <c r="D14001" t="s">
        <v>18165</v>
      </c>
      <c r="E14001" t="s">
        <v>18166</v>
      </c>
      <c r="F14001" t="s">
        <v>16601</v>
      </c>
      <c r="G14001" t="s">
        <v>47073</v>
      </c>
      <c r="H14001" t="s">
        <v>47071</v>
      </c>
      <c r="I14001" t="s">
        <v>47120</v>
      </c>
      <c r="J14001" t="s">
        <v>47121</v>
      </c>
      <c r="K14001" t="s">
        <v>47113</v>
      </c>
      <c r="L14001">
        <v>15.3</v>
      </c>
      <c r="M14001">
        <v>22</v>
      </c>
      <c r="N14001">
        <v>0</v>
      </c>
      <c r="O14001">
        <v>22</v>
      </c>
      <c r="P14001">
        <v>0</v>
      </c>
    </row>
    <row r="14002" spans="1:16" x14ac:dyDescent="0.25">
      <c r="A14002" t="s">
        <v>36734</v>
      </c>
      <c r="B14002" t="s">
        <v>18251</v>
      </c>
      <c r="C14002" t="s">
        <v>18182</v>
      </c>
      <c r="D14002" t="s">
        <v>15740</v>
      </c>
      <c r="E14002" t="s">
        <v>42</v>
      </c>
      <c r="F14002" t="s">
        <v>16601</v>
      </c>
      <c r="G14002" t="s">
        <v>47073</v>
      </c>
      <c r="H14002" t="s">
        <v>47071</v>
      </c>
      <c r="I14002" t="s">
        <v>47120</v>
      </c>
      <c r="J14002" t="s">
        <v>47121</v>
      </c>
      <c r="K14002" t="s">
        <v>47113</v>
      </c>
      <c r="L14002">
        <v>10.94</v>
      </c>
      <c r="M14002">
        <v>16</v>
      </c>
      <c r="N14002">
        <v>0</v>
      </c>
      <c r="O14002">
        <v>16</v>
      </c>
      <c r="P14002">
        <v>0</v>
      </c>
    </row>
    <row r="14003" spans="1:16" x14ac:dyDescent="0.25">
      <c r="A14003" t="s">
        <v>36735</v>
      </c>
      <c r="B14003" t="s">
        <v>18252</v>
      </c>
      <c r="C14003" t="s">
        <v>18184</v>
      </c>
      <c r="D14003" t="s">
        <v>14429</v>
      </c>
      <c r="E14003" t="s">
        <v>60</v>
      </c>
      <c r="F14003" t="s">
        <v>16601</v>
      </c>
      <c r="G14003" t="s">
        <v>47073</v>
      </c>
      <c r="H14003" t="s">
        <v>47071</v>
      </c>
      <c r="I14003" t="s">
        <v>47120</v>
      </c>
      <c r="J14003" t="s">
        <v>47121</v>
      </c>
      <c r="K14003" t="s">
        <v>47113</v>
      </c>
      <c r="L14003">
        <v>10.94</v>
      </c>
      <c r="M14003">
        <v>16</v>
      </c>
      <c r="N14003">
        <v>0</v>
      </c>
      <c r="O14003">
        <v>16</v>
      </c>
      <c r="P14003">
        <v>0</v>
      </c>
    </row>
    <row r="14004" spans="1:16" x14ac:dyDescent="0.25">
      <c r="A14004" t="s">
        <v>36736</v>
      </c>
      <c r="B14004" t="s">
        <v>18253</v>
      </c>
      <c r="C14004" t="s">
        <v>18186</v>
      </c>
      <c r="D14004" t="s">
        <v>14429</v>
      </c>
      <c r="E14004" t="s">
        <v>60</v>
      </c>
      <c r="F14004" t="s">
        <v>16601</v>
      </c>
      <c r="G14004" t="s">
        <v>47073</v>
      </c>
      <c r="H14004" t="s">
        <v>47071</v>
      </c>
      <c r="I14004" t="s">
        <v>47120</v>
      </c>
      <c r="J14004" t="s">
        <v>47121</v>
      </c>
      <c r="K14004" t="s">
        <v>47113</v>
      </c>
      <c r="L14004">
        <v>10.94</v>
      </c>
      <c r="M14004">
        <v>16</v>
      </c>
      <c r="N14004">
        <v>0</v>
      </c>
      <c r="O14004">
        <v>16</v>
      </c>
      <c r="P14004">
        <v>0</v>
      </c>
    </row>
    <row r="14005" spans="1:16" x14ac:dyDescent="0.25">
      <c r="A14005" t="s">
        <v>36737</v>
      </c>
      <c r="B14005" t="s">
        <v>18254</v>
      </c>
      <c r="C14005" t="s">
        <v>18188</v>
      </c>
      <c r="D14005" t="s">
        <v>15692</v>
      </c>
      <c r="E14005" t="s">
        <v>46</v>
      </c>
      <c r="F14005" t="s">
        <v>16601</v>
      </c>
      <c r="G14005" t="s">
        <v>47073</v>
      </c>
      <c r="H14005" t="s">
        <v>47071</v>
      </c>
      <c r="I14005" t="s">
        <v>47120</v>
      </c>
      <c r="J14005" t="s">
        <v>47121</v>
      </c>
      <c r="K14005" t="s">
        <v>47113</v>
      </c>
      <c r="L14005">
        <v>10.94</v>
      </c>
      <c r="M14005">
        <v>16</v>
      </c>
      <c r="N14005">
        <v>0</v>
      </c>
      <c r="O14005">
        <v>16</v>
      </c>
      <c r="P14005">
        <v>0</v>
      </c>
    </row>
    <row r="14006" spans="1:16" x14ac:dyDescent="0.25">
      <c r="A14006" t="s">
        <v>36738</v>
      </c>
      <c r="B14006" t="s">
        <v>18255</v>
      </c>
      <c r="C14006" t="s">
        <v>18190</v>
      </c>
      <c r="D14006" t="s">
        <v>18191</v>
      </c>
      <c r="E14006" t="s">
        <v>18192</v>
      </c>
      <c r="F14006" t="s">
        <v>16601</v>
      </c>
      <c r="G14006" t="s">
        <v>47073</v>
      </c>
      <c r="H14006" t="s">
        <v>47071</v>
      </c>
      <c r="I14006" t="s">
        <v>47120</v>
      </c>
      <c r="J14006" t="s">
        <v>47121</v>
      </c>
      <c r="K14006" t="s">
        <v>47113</v>
      </c>
      <c r="L14006">
        <v>10.94</v>
      </c>
      <c r="M14006">
        <v>16</v>
      </c>
      <c r="N14006">
        <v>0</v>
      </c>
      <c r="O14006">
        <v>16</v>
      </c>
      <c r="P14006">
        <v>0</v>
      </c>
    </row>
    <row r="14007" spans="1:16" x14ac:dyDescent="0.25">
      <c r="A14007" t="s">
        <v>36739</v>
      </c>
      <c r="B14007" t="s">
        <v>18255</v>
      </c>
      <c r="C14007" t="s">
        <v>18190</v>
      </c>
      <c r="D14007" t="s">
        <v>18193</v>
      </c>
      <c r="E14007" t="s">
        <v>18194</v>
      </c>
      <c r="F14007" t="s">
        <v>16601</v>
      </c>
      <c r="G14007" t="s">
        <v>47073</v>
      </c>
      <c r="H14007" t="s">
        <v>47071</v>
      </c>
      <c r="I14007" t="s">
        <v>47120</v>
      </c>
      <c r="J14007" t="s">
        <v>47121</v>
      </c>
      <c r="K14007" t="s">
        <v>47113</v>
      </c>
      <c r="L14007">
        <v>10.94</v>
      </c>
      <c r="M14007">
        <v>16</v>
      </c>
      <c r="N14007">
        <v>0</v>
      </c>
      <c r="O14007">
        <v>16</v>
      </c>
      <c r="P14007">
        <v>0</v>
      </c>
    </row>
    <row r="14008" spans="1:16" x14ac:dyDescent="0.25">
      <c r="A14008" t="s">
        <v>36740</v>
      </c>
      <c r="B14008" t="s">
        <v>18256</v>
      </c>
      <c r="C14008" t="s">
        <v>18196</v>
      </c>
      <c r="D14008" t="s">
        <v>15752</v>
      </c>
      <c r="E14008" t="s">
        <v>15753</v>
      </c>
      <c r="F14008" t="s">
        <v>16601</v>
      </c>
      <c r="G14008" t="s">
        <v>47073</v>
      </c>
      <c r="H14008" t="s">
        <v>47071</v>
      </c>
      <c r="I14008" t="s">
        <v>47120</v>
      </c>
      <c r="J14008" t="s">
        <v>47121</v>
      </c>
      <c r="K14008" t="s">
        <v>47113</v>
      </c>
      <c r="L14008">
        <v>10.94</v>
      </c>
      <c r="M14008">
        <v>16</v>
      </c>
      <c r="N14008">
        <v>0</v>
      </c>
      <c r="O14008">
        <v>16</v>
      </c>
      <c r="P14008">
        <v>0</v>
      </c>
    </row>
    <row r="14009" spans="1:16" x14ac:dyDescent="0.25">
      <c r="A14009" t="s">
        <v>46922</v>
      </c>
      <c r="B14009" t="s">
        <v>46923</v>
      </c>
      <c r="C14009" t="s">
        <v>46876</v>
      </c>
      <c r="D14009" t="s">
        <v>46816</v>
      </c>
      <c r="E14009" t="s">
        <v>46817</v>
      </c>
      <c r="F14009" t="s">
        <v>27965</v>
      </c>
      <c r="G14009" t="s">
        <v>47073</v>
      </c>
      <c r="H14009" t="s">
        <v>47071</v>
      </c>
      <c r="I14009" t="s">
        <v>47120</v>
      </c>
      <c r="J14009" t="s">
        <v>47121</v>
      </c>
      <c r="K14009" t="s">
        <v>47113</v>
      </c>
      <c r="L14009">
        <v>11.95</v>
      </c>
      <c r="M14009">
        <v>20</v>
      </c>
      <c r="N14009">
        <v>49</v>
      </c>
      <c r="O14009">
        <v>20</v>
      </c>
      <c r="P14009">
        <v>49</v>
      </c>
    </row>
    <row r="14010" spans="1:16" x14ac:dyDescent="0.25">
      <c r="A14010" t="s">
        <v>46924</v>
      </c>
      <c r="B14010" t="s">
        <v>46923</v>
      </c>
      <c r="C14010" t="s">
        <v>46876</v>
      </c>
      <c r="D14010" t="s">
        <v>46878</v>
      </c>
      <c r="E14010" t="s">
        <v>46879</v>
      </c>
      <c r="F14010" t="s">
        <v>27965</v>
      </c>
      <c r="G14010" t="s">
        <v>47073</v>
      </c>
      <c r="H14010" t="s">
        <v>47071</v>
      </c>
      <c r="I14010" t="s">
        <v>47120</v>
      </c>
      <c r="J14010" t="s">
        <v>47121</v>
      </c>
      <c r="K14010" t="s">
        <v>47113</v>
      </c>
      <c r="L14010">
        <v>11.95</v>
      </c>
      <c r="M14010">
        <v>20</v>
      </c>
      <c r="N14010">
        <v>49</v>
      </c>
      <c r="O14010">
        <v>20</v>
      </c>
      <c r="P14010">
        <v>49</v>
      </c>
    </row>
    <row r="14011" spans="1:16" x14ac:dyDescent="0.25">
      <c r="A14011" t="s">
        <v>48990</v>
      </c>
      <c r="B14011" t="s">
        <v>46923</v>
      </c>
      <c r="C14011" t="s">
        <v>46876</v>
      </c>
      <c r="D14011" t="s">
        <v>46850</v>
      </c>
      <c r="E14011" t="s">
        <v>46851</v>
      </c>
      <c r="F14011" t="s">
        <v>27965</v>
      </c>
      <c r="G14011" t="s">
        <v>47073</v>
      </c>
      <c r="H14011" t="s">
        <v>47071</v>
      </c>
      <c r="I14011" t="s">
        <v>47120</v>
      </c>
      <c r="J14011" t="s">
        <v>47121</v>
      </c>
      <c r="K14011" t="s">
        <v>47113</v>
      </c>
      <c r="L14011">
        <v>10.220000000000001</v>
      </c>
      <c r="M14011">
        <v>20</v>
      </c>
      <c r="N14011">
        <v>49</v>
      </c>
      <c r="O14011">
        <v>20</v>
      </c>
      <c r="P14011">
        <v>49</v>
      </c>
    </row>
    <row r="14012" spans="1:16" x14ac:dyDescent="0.25">
      <c r="A14012" t="s">
        <v>48991</v>
      </c>
      <c r="B14012" t="s">
        <v>48992</v>
      </c>
      <c r="C14012" t="s">
        <v>48993</v>
      </c>
      <c r="D14012" t="str">
        <f>"4143"</f>
        <v>4143</v>
      </c>
      <c r="E14012" t="s">
        <v>261</v>
      </c>
      <c r="F14012" t="s">
        <v>47325</v>
      </c>
      <c r="G14012" t="s">
        <v>47053</v>
      </c>
      <c r="H14012" t="s">
        <v>47052</v>
      </c>
      <c r="I14012" t="s">
        <v>47120</v>
      </c>
      <c r="J14012" t="s">
        <v>47121</v>
      </c>
      <c r="K14012" t="s">
        <v>47113</v>
      </c>
      <c r="L14012">
        <v>31.39</v>
      </c>
      <c r="M14012">
        <v>27</v>
      </c>
      <c r="N14012">
        <v>27</v>
      </c>
      <c r="O14012">
        <v>27</v>
      </c>
      <c r="P14012">
        <v>27</v>
      </c>
    </row>
    <row r="14013" spans="1:16" x14ac:dyDescent="0.25">
      <c r="A14013" t="s">
        <v>48994</v>
      </c>
      <c r="B14013" t="s">
        <v>48995</v>
      </c>
      <c r="C14013" t="s">
        <v>48996</v>
      </c>
      <c r="D14013" t="str">
        <f>"9602"</f>
        <v>9602</v>
      </c>
      <c r="E14013" t="s">
        <v>24018</v>
      </c>
      <c r="F14013" t="s">
        <v>47325</v>
      </c>
      <c r="G14013" t="s">
        <v>48997</v>
      </c>
      <c r="H14013" t="s">
        <v>47052</v>
      </c>
      <c r="I14013" t="s">
        <v>47120</v>
      </c>
      <c r="J14013" t="s">
        <v>47121</v>
      </c>
      <c r="K14013" t="s">
        <v>47113</v>
      </c>
      <c r="L14013">
        <v>6.43</v>
      </c>
      <c r="M14013">
        <v>6</v>
      </c>
      <c r="N14013">
        <v>6</v>
      </c>
      <c r="O14013">
        <v>6</v>
      </c>
      <c r="P14013">
        <v>6</v>
      </c>
    </row>
    <row r="14014" spans="1:16" x14ac:dyDescent="0.25">
      <c r="A14014" t="s">
        <v>36741</v>
      </c>
      <c r="B14014" t="s">
        <v>36742</v>
      </c>
      <c r="C14014" t="s">
        <v>36743</v>
      </c>
      <c r="D14014" t="str">
        <f>"1001"</f>
        <v>1001</v>
      </c>
      <c r="E14014" t="s">
        <v>42</v>
      </c>
      <c r="F14014" t="s">
        <v>27965</v>
      </c>
      <c r="G14014" t="s">
        <v>48998</v>
      </c>
      <c r="H14014" t="s">
        <v>47052</v>
      </c>
      <c r="I14014" t="s">
        <v>48999</v>
      </c>
      <c r="J14014" t="s">
        <v>49000</v>
      </c>
      <c r="K14014" t="s">
        <v>47113</v>
      </c>
      <c r="L14014">
        <v>85.56</v>
      </c>
      <c r="M14014">
        <v>136</v>
      </c>
      <c r="N14014">
        <v>299</v>
      </c>
      <c r="O14014">
        <v>136</v>
      </c>
      <c r="P14014">
        <v>299</v>
      </c>
    </row>
    <row r="14015" spans="1:16" x14ac:dyDescent="0.25">
      <c r="A14015" t="s">
        <v>36744</v>
      </c>
      <c r="B14015" t="s">
        <v>36742</v>
      </c>
      <c r="C14015" t="s">
        <v>36743</v>
      </c>
      <c r="D14015" t="str">
        <f>"2000"</f>
        <v>2000</v>
      </c>
      <c r="E14015" t="s">
        <v>36745</v>
      </c>
      <c r="F14015" t="s">
        <v>27965</v>
      </c>
      <c r="G14015" t="s">
        <v>48998</v>
      </c>
      <c r="H14015" t="s">
        <v>47052</v>
      </c>
      <c r="I14015" t="s">
        <v>48999</v>
      </c>
      <c r="J14015" t="s">
        <v>49000</v>
      </c>
      <c r="K14015" t="s">
        <v>47113</v>
      </c>
      <c r="L14015">
        <v>85.56</v>
      </c>
      <c r="M14015">
        <v>136</v>
      </c>
      <c r="N14015">
        <v>299</v>
      </c>
      <c r="O14015">
        <v>136</v>
      </c>
      <c r="P14015">
        <v>299</v>
      </c>
    </row>
    <row r="14016" spans="1:16" x14ac:dyDescent="0.25">
      <c r="A14016" t="s">
        <v>36746</v>
      </c>
      <c r="B14016" t="s">
        <v>36742</v>
      </c>
      <c r="C14016" t="s">
        <v>36743</v>
      </c>
      <c r="D14016" t="str">
        <f>"5060"</f>
        <v>5060</v>
      </c>
      <c r="E14016" t="s">
        <v>12313</v>
      </c>
      <c r="F14016" t="s">
        <v>27965</v>
      </c>
      <c r="G14016" t="s">
        <v>48998</v>
      </c>
      <c r="H14016" t="s">
        <v>47052</v>
      </c>
      <c r="I14016" t="s">
        <v>48999</v>
      </c>
      <c r="J14016" t="s">
        <v>49000</v>
      </c>
      <c r="K14016" t="s">
        <v>47113</v>
      </c>
      <c r="L14016">
        <v>85.56</v>
      </c>
      <c r="M14016">
        <v>136</v>
      </c>
      <c r="N14016">
        <v>299</v>
      </c>
      <c r="O14016">
        <v>136</v>
      </c>
      <c r="P14016">
        <v>299</v>
      </c>
    </row>
    <row r="14017" spans="1:16" x14ac:dyDescent="0.25">
      <c r="A14017" t="s">
        <v>36747</v>
      </c>
      <c r="B14017" t="s">
        <v>36742</v>
      </c>
      <c r="C14017" t="s">
        <v>36743</v>
      </c>
      <c r="D14017" t="str">
        <f>"7100"</f>
        <v>7100</v>
      </c>
      <c r="E14017" t="s">
        <v>36748</v>
      </c>
      <c r="F14017" t="s">
        <v>27965</v>
      </c>
      <c r="G14017" t="s">
        <v>48998</v>
      </c>
      <c r="H14017" t="s">
        <v>47052</v>
      </c>
      <c r="I14017" t="s">
        <v>48999</v>
      </c>
      <c r="J14017" t="s">
        <v>49000</v>
      </c>
      <c r="K14017" t="s">
        <v>47113</v>
      </c>
      <c r="L14017">
        <v>82.22</v>
      </c>
      <c r="M14017">
        <v>136</v>
      </c>
      <c r="N14017">
        <v>299</v>
      </c>
      <c r="O14017">
        <v>136</v>
      </c>
      <c r="P14017">
        <v>299</v>
      </c>
    </row>
    <row r="14018" spans="1:16" x14ac:dyDescent="0.25">
      <c r="A14018" t="s">
        <v>36749</v>
      </c>
      <c r="B14018" t="s">
        <v>36742</v>
      </c>
      <c r="C14018" t="s">
        <v>36743</v>
      </c>
      <c r="D14018" t="s">
        <v>36750</v>
      </c>
      <c r="E14018" t="s">
        <v>8321</v>
      </c>
      <c r="F14018" t="s">
        <v>27965</v>
      </c>
      <c r="G14018" t="s">
        <v>48998</v>
      </c>
      <c r="H14018" t="s">
        <v>47052</v>
      </c>
      <c r="I14018" t="s">
        <v>48999</v>
      </c>
      <c r="J14018" t="s">
        <v>49000</v>
      </c>
      <c r="K14018" t="s">
        <v>47113</v>
      </c>
      <c r="L14018">
        <v>85.56</v>
      </c>
      <c r="M14018">
        <v>136</v>
      </c>
      <c r="N14018">
        <v>299</v>
      </c>
      <c r="O14018">
        <v>136</v>
      </c>
      <c r="P14018">
        <v>299</v>
      </c>
    </row>
    <row r="14019" spans="1:16" x14ac:dyDescent="0.25">
      <c r="A14019" t="s">
        <v>36751</v>
      </c>
      <c r="B14019" t="s">
        <v>36752</v>
      </c>
      <c r="C14019" t="s">
        <v>36753</v>
      </c>
      <c r="D14019" t="str">
        <f>"1001"</f>
        <v>1001</v>
      </c>
      <c r="E14019" t="s">
        <v>42</v>
      </c>
      <c r="F14019" t="s">
        <v>27965</v>
      </c>
      <c r="G14019" t="s">
        <v>48998</v>
      </c>
      <c r="H14019" t="s">
        <v>47052</v>
      </c>
      <c r="I14019" t="s">
        <v>48999</v>
      </c>
      <c r="J14019" t="s">
        <v>49000</v>
      </c>
      <c r="K14019" t="s">
        <v>47113</v>
      </c>
      <c r="L14019">
        <v>85.56</v>
      </c>
      <c r="M14019">
        <v>136</v>
      </c>
      <c r="N14019">
        <v>299</v>
      </c>
      <c r="O14019">
        <v>136</v>
      </c>
      <c r="P14019">
        <v>299</v>
      </c>
    </row>
    <row r="14020" spans="1:16" x14ac:dyDescent="0.25">
      <c r="A14020" t="s">
        <v>36754</v>
      </c>
      <c r="B14020" t="s">
        <v>36752</v>
      </c>
      <c r="C14020" t="s">
        <v>36753</v>
      </c>
      <c r="D14020" t="str">
        <f>"2000"</f>
        <v>2000</v>
      </c>
      <c r="E14020" t="s">
        <v>36745</v>
      </c>
      <c r="F14020" t="s">
        <v>27965</v>
      </c>
      <c r="G14020" t="s">
        <v>48998</v>
      </c>
      <c r="H14020" t="s">
        <v>47052</v>
      </c>
      <c r="I14020" t="s">
        <v>48999</v>
      </c>
      <c r="J14020" t="s">
        <v>49000</v>
      </c>
      <c r="K14020" t="s">
        <v>47113</v>
      </c>
      <c r="L14020">
        <v>85.56</v>
      </c>
      <c r="M14020">
        <v>136</v>
      </c>
      <c r="N14020">
        <v>299</v>
      </c>
      <c r="O14020">
        <v>136</v>
      </c>
      <c r="P14020">
        <v>299</v>
      </c>
    </row>
    <row r="14021" spans="1:16" x14ac:dyDescent="0.25">
      <c r="A14021" t="s">
        <v>36755</v>
      </c>
      <c r="B14021" t="s">
        <v>36752</v>
      </c>
      <c r="C14021" t="s">
        <v>36753</v>
      </c>
      <c r="D14021" t="str">
        <f>"2001"</f>
        <v>2001</v>
      </c>
      <c r="E14021" t="s">
        <v>36756</v>
      </c>
      <c r="F14021" t="s">
        <v>27965</v>
      </c>
      <c r="G14021" t="s">
        <v>48998</v>
      </c>
      <c r="H14021" t="s">
        <v>47052</v>
      </c>
      <c r="I14021" t="s">
        <v>48999</v>
      </c>
      <c r="J14021" t="s">
        <v>49000</v>
      </c>
      <c r="K14021" t="s">
        <v>47113</v>
      </c>
      <c r="L14021">
        <v>82.22</v>
      </c>
      <c r="M14021">
        <v>136</v>
      </c>
      <c r="N14021">
        <v>299</v>
      </c>
      <c r="O14021">
        <v>136</v>
      </c>
      <c r="P14021">
        <v>299</v>
      </c>
    </row>
    <row r="14022" spans="1:16" x14ac:dyDescent="0.25">
      <c r="A14022" t="s">
        <v>36757</v>
      </c>
      <c r="B14022" t="s">
        <v>36752</v>
      </c>
      <c r="C14022" t="s">
        <v>36753</v>
      </c>
      <c r="D14022" t="str">
        <f>"3070"</f>
        <v>3070</v>
      </c>
      <c r="E14022" t="s">
        <v>36758</v>
      </c>
      <c r="F14022" t="s">
        <v>27965</v>
      </c>
      <c r="G14022" t="s">
        <v>48998</v>
      </c>
      <c r="H14022" t="s">
        <v>47052</v>
      </c>
      <c r="I14022" t="s">
        <v>48999</v>
      </c>
      <c r="J14022" t="s">
        <v>49000</v>
      </c>
      <c r="K14022" t="s">
        <v>47113</v>
      </c>
      <c r="L14022">
        <v>85.56</v>
      </c>
      <c r="M14022">
        <v>136</v>
      </c>
      <c r="N14022">
        <v>299</v>
      </c>
      <c r="O14022">
        <v>136</v>
      </c>
      <c r="P14022">
        <v>299</v>
      </c>
    </row>
    <row r="14023" spans="1:16" x14ac:dyDescent="0.25">
      <c r="A14023" t="s">
        <v>36759</v>
      </c>
      <c r="B14023" t="s">
        <v>36752</v>
      </c>
      <c r="C14023" t="s">
        <v>36753</v>
      </c>
      <c r="D14023" t="str">
        <f>"6003"</f>
        <v>6003</v>
      </c>
      <c r="E14023" t="s">
        <v>36760</v>
      </c>
      <c r="F14023" t="s">
        <v>27965</v>
      </c>
      <c r="G14023" t="s">
        <v>48998</v>
      </c>
      <c r="H14023" t="s">
        <v>47052</v>
      </c>
      <c r="I14023" t="s">
        <v>48999</v>
      </c>
      <c r="J14023" t="s">
        <v>49000</v>
      </c>
      <c r="K14023" t="s">
        <v>47113</v>
      </c>
      <c r="L14023">
        <v>85.56</v>
      </c>
      <c r="M14023">
        <v>136</v>
      </c>
      <c r="N14023">
        <v>299</v>
      </c>
      <c r="O14023">
        <v>136</v>
      </c>
      <c r="P14023">
        <v>299</v>
      </c>
    </row>
    <row r="14024" spans="1:16" x14ac:dyDescent="0.25">
      <c r="A14024" t="s">
        <v>36761</v>
      </c>
      <c r="B14024" t="s">
        <v>36762</v>
      </c>
      <c r="C14024" t="s">
        <v>36763</v>
      </c>
      <c r="D14024" t="str">
        <f>"1001"</f>
        <v>1001</v>
      </c>
      <c r="E14024" t="s">
        <v>42</v>
      </c>
      <c r="F14024" t="s">
        <v>27965</v>
      </c>
      <c r="G14024" t="s">
        <v>48998</v>
      </c>
      <c r="H14024" t="s">
        <v>47052</v>
      </c>
      <c r="I14024" t="s">
        <v>48999</v>
      </c>
      <c r="J14024" t="s">
        <v>49000</v>
      </c>
      <c r="K14024" t="s">
        <v>47113</v>
      </c>
      <c r="L14024">
        <v>85.56</v>
      </c>
      <c r="M14024">
        <v>136</v>
      </c>
      <c r="N14024">
        <v>299</v>
      </c>
      <c r="O14024">
        <v>136</v>
      </c>
      <c r="P14024">
        <v>299</v>
      </c>
    </row>
    <row r="14025" spans="1:16" x14ac:dyDescent="0.25">
      <c r="A14025" t="s">
        <v>36764</v>
      </c>
      <c r="B14025" t="s">
        <v>36762</v>
      </c>
      <c r="C14025" t="s">
        <v>36763</v>
      </c>
      <c r="D14025" t="str">
        <f>"1700"</f>
        <v>1700</v>
      </c>
      <c r="E14025" t="s">
        <v>16012</v>
      </c>
      <c r="F14025" t="s">
        <v>27965</v>
      </c>
      <c r="G14025" t="s">
        <v>48998</v>
      </c>
      <c r="H14025" t="s">
        <v>47052</v>
      </c>
      <c r="I14025" t="s">
        <v>48999</v>
      </c>
      <c r="J14025" t="s">
        <v>49000</v>
      </c>
      <c r="K14025" t="s">
        <v>47113</v>
      </c>
      <c r="L14025">
        <v>85.56</v>
      </c>
      <c r="M14025">
        <v>136</v>
      </c>
      <c r="N14025">
        <v>299</v>
      </c>
      <c r="O14025">
        <v>136</v>
      </c>
      <c r="P14025">
        <v>299</v>
      </c>
    </row>
    <row r="14026" spans="1:16" x14ac:dyDescent="0.25">
      <c r="A14026" t="s">
        <v>36765</v>
      </c>
      <c r="B14026" t="s">
        <v>36762</v>
      </c>
      <c r="C14026" t="s">
        <v>36763</v>
      </c>
      <c r="D14026" t="str">
        <f>"2000"</f>
        <v>2000</v>
      </c>
      <c r="E14026" t="s">
        <v>36745</v>
      </c>
      <c r="F14026" t="s">
        <v>27965</v>
      </c>
      <c r="G14026" t="s">
        <v>48998</v>
      </c>
      <c r="H14026" t="s">
        <v>47052</v>
      </c>
      <c r="I14026" t="s">
        <v>48999</v>
      </c>
      <c r="J14026" t="s">
        <v>49000</v>
      </c>
      <c r="K14026" t="s">
        <v>47113</v>
      </c>
      <c r="L14026">
        <v>85.56</v>
      </c>
      <c r="M14026">
        <v>136</v>
      </c>
      <c r="N14026">
        <v>299</v>
      </c>
      <c r="O14026">
        <v>136</v>
      </c>
      <c r="P14026">
        <v>299</v>
      </c>
    </row>
    <row r="14027" spans="1:16" x14ac:dyDescent="0.25">
      <c r="A14027" t="s">
        <v>36766</v>
      </c>
      <c r="B14027" t="s">
        <v>36762</v>
      </c>
      <c r="C14027" t="s">
        <v>36763</v>
      </c>
      <c r="D14027" t="str">
        <f>"2213"</f>
        <v>2213</v>
      </c>
      <c r="E14027" t="s">
        <v>36767</v>
      </c>
      <c r="F14027" t="s">
        <v>27965</v>
      </c>
      <c r="G14027" t="s">
        <v>48998</v>
      </c>
      <c r="H14027" t="s">
        <v>47052</v>
      </c>
      <c r="I14027" t="s">
        <v>48999</v>
      </c>
      <c r="J14027" t="s">
        <v>49000</v>
      </c>
      <c r="K14027" t="s">
        <v>47113</v>
      </c>
      <c r="L14027">
        <v>85.56</v>
      </c>
      <c r="M14027">
        <v>136</v>
      </c>
      <c r="N14027">
        <v>299</v>
      </c>
      <c r="O14027">
        <v>136</v>
      </c>
      <c r="P14027">
        <v>299</v>
      </c>
    </row>
    <row r="14028" spans="1:16" x14ac:dyDescent="0.25">
      <c r="A14028" t="s">
        <v>36768</v>
      </c>
      <c r="B14028" t="s">
        <v>36762</v>
      </c>
      <c r="C14028" t="s">
        <v>36763</v>
      </c>
      <c r="D14028" t="str">
        <f>"2602"</f>
        <v>2602</v>
      </c>
      <c r="E14028" t="s">
        <v>36769</v>
      </c>
      <c r="F14028" t="s">
        <v>27965</v>
      </c>
      <c r="G14028" t="s">
        <v>48998</v>
      </c>
      <c r="H14028" t="s">
        <v>47052</v>
      </c>
      <c r="I14028" t="s">
        <v>48999</v>
      </c>
      <c r="J14028" t="s">
        <v>49000</v>
      </c>
      <c r="K14028" t="s">
        <v>47113</v>
      </c>
      <c r="L14028">
        <v>82.22</v>
      </c>
      <c r="M14028">
        <v>136</v>
      </c>
      <c r="N14028">
        <v>299</v>
      </c>
      <c r="O14028">
        <v>136</v>
      </c>
      <c r="P14028">
        <v>299</v>
      </c>
    </row>
    <row r="14029" spans="1:16" x14ac:dyDescent="0.25">
      <c r="A14029" t="s">
        <v>36770</v>
      </c>
      <c r="B14029" t="s">
        <v>36771</v>
      </c>
      <c r="C14029" t="s">
        <v>36772</v>
      </c>
      <c r="D14029" t="str">
        <f>"2502"</f>
        <v>2502</v>
      </c>
      <c r="E14029" t="s">
        <v>260</v>
      </c>
      <c r="F14029" t="s">
        <v>16623</v>
      </c>
      <c r="G14029" t="s">
        <v>47089</v>
      </c>
      <c r="H14029" t="s">
        <v>47052</v>
      </c>
      <c r="I14029" t="s">
        <v>47116</v>
      </c>
      <c r="J14029" t="s">
        <v>47117</v>
      </c>
      <c r="K14029" t="s">
        <v>47113</v>
      </c>
      <c r="L14029">
        <v>130.34</v>
      </c>
      <c r="M14029">
        <v>266</v>
      </c>
      <c r="N14029">
        <v>0</v>
      </c>
      <c r="O14029">
        <v>266</v>
      </c>
      <c r="P14029">
        <v>0</v>
      </c>
    </row>
    <row r="14030" spans="1:16" x14ac:dyDescent="0.25">
      <c r="A14030" t="s">
        <v>36773</v>
      </c>
      <c r="B14030" t="s">
        <v>36774</v>
      </c>
      <c r="C14030" t="s">
        <v>36775</v>
      </c>
      <c r="D14030" t="str">
        <f>"2502"</f>
        <v>2502</v>
      </c>
      <c r="E14030" t="s">
        <v>260</v>
      </c>
      <c r="F14030" t="s">
        <v>16623</v>
      </c>
      <c r="G14030" t="s">
        <v>47089</v>
      </c>
      <c r="H14030" t="s">
        <v>47052</v>
      </c>
      <c r="I14030" t="s">
        <v>47111</v>
      </c>
      <c r="J14030" t="s">
        <v>47112</v>
      </c>
      <c r="K14030" t="s">
        <v>47113</v>
      </c>
      <c r="L14030">
        <v>113.42</v>
      </c>
      <c r="M14030">
        <v>222</v>
      </c>
      <c r="N14030">
        <v>0</v>
      </c>
      <c r="O14030">
        <v>222</v>
      </c>
      <c r="P14030">
        <v>0</v>
      </c>
    </row>
    <row r="14031" spans="1:16" x14ac:dyDescent="0.25">
      <c r="A14031" t="s">
        <v>36776</v>
      </c>
      <c r="B14031" t="s">
        <v>36777</v>
      </c>
      <c r="C14031" t="s">
        <v>36778</v>
      </c>
      <c r="D14031" t="str">
        <f>"2502"</f>
        <v>2502</v>
      </c>
      <c r="E14031" t="s">
        <v>260</v>
      </c>
      <c r="F14031" t="s">
        <v>16623</v>
      </c>
      <c r="G14031" t="s">
        <v>47089</v>
      </c>
      <c r="H14031" t="s">
        <v>47052</v>
      </c>
      <c r="I14031" t="s">
        <v>47116</v>
      </c>
      <c r="J14031" t="s">
        <v>47117</v>
      </c>
      <c r="K14031" t="s">
        <v>47113</v>
      </c>
      <c r="L14031">
        <v>131.69</v>
      </c>
      <c r="M14031">
        <v>266</v>
      </c>
      <c r="N14031">
        <v>0</v>
      </c>
      <c r="O14031">
        <v>266</v>
      </c>
      <c r="P14031">
        <v>0</v>
      </c>
    </row>
    <row r="14032" spans="1:16" x14ac:dyDescent="0.25">
      <c r="A14032" t="s">
        <v>36779</v>
      </c>
      <c r="B14032" t="s">
        <v>36780</v>
      </c>
      <c r="C14032" t="s">
        <v>36781</v>
      </c>
      <c r="D14032" t="str">
        <f>"1001"</f>
        <v>1001</v>
      </c>
      <c r="E14032" t="s">
        <v>42</v>
      </c>
      <c r="F14032" t="s">
        <v>16623</v>
      </c>
      <c r="G14032" t="s">
        <v>47089</v>
      </c>
      <c r="H14032" t="s">
        <v>47052</v>
      </c>
      <c r="I14032" t="s">
        <v>47116</v>
      </c>
      <c r="J14032" t="s">
        <v>47117</v>
      </c>
      <c r="K14032" t="s">
        <v>47113</v>
      </c>
      <c r="L14032">
        <v>5.98</v>
      </c>
      <c r="M14032">
        <v>8</v>
      </c>
      <c r="N14032">
        <v>0</v>
      </c>
      <c r="O14032">
        <v>8</v>
      </c>
      <c r="P14032">
        <v>0</v>
      </c>
    </row>
    <row r="14033" spans="1:16" x14ac:dyDescent="0.25">
      <c r="A14033" t="s">
        <v>36782</v>
      </c>
      <c r="B14033" t="s">
        <v>36780</v>
      </c>
      <c r="C14033" t="s">
        <v>36781</v>
      </c>
      <c r="D14033" t="str">
        <f>"2502"</f>
        <v>2502</v>
      </c>
      <c r="E14033" t="s">
        <v>260</v>
      </c>
      <c r="F14033" t="s">
        <v>16623</v>
      </c>
      <c r="G14033" t="s">
        <v>47089</v>
      </c>
      <c r="H14033" t="s">
        <v>47052</v>
      </c>
      <c r="I14033" t="s">
        <v>47116</v>
      </c>
      <c r="J14033" t="s">
        <v>47117</v>
      </c>
      <c r="K14033" t="s">
        <v>47113</v>
      </c>
      <c r="L14033">
        <v>5.98</v>
      </c>
      <c r="M14033">
        <v>8</v>
      </c>
      <c r="N14033">
        <v>0</v>
      </c>
      <c r="O14033">
        <v>8</v>
      </c>
      <c r="P14033">
        <v>0</v>
      </c>
    </row>
    <row r="14034" spans="1:16" x14ac:dyDescent="0.25">
      <c r="A14034" t="s">
        <v>36783</v>
      </c>
      <c r="B14034" t="s">
        <v>36784</v>
      </c>
      <c r="C14034" t="s">
        <v>36785</v>
      </c>
      <c r="D14034" t="str">
        <f>"1001"</f>
        <v>1001</v>
      </c>
      <c r="E14034" t="s">
        <v>42</v>
      </c>
      <c r="F14034" t="s">
        <v>24019</v>
      </c>
      <c r="G14034" t="s">
        <v>47089</v>
      </c>
      <c r="H14034" t="s">
        <v>47052</v>
      </c>
      <c r="I14034" t="s">
        <v>47118</v>
      </c>
      <c r="J14034" t="s">
        <v>47119</v>
      </c>
      <c r="K14034" t="s">
        <v>47113</v>
      </c>
      <c r="L14034">
        <v>25.23</v>
      </c>
      <c r="M14034">
        <v>64</v>
      </c>
      <c r="N14034">
        <v>0</v>
      </c>
      <c r="O14034">
        <v>64</v>
      </c>
      <c r="P14034">
        <v>0</v>
      </c>
    </row>
    <row r="14035" spans="1:16" x14ac:dyDescent="0.25">
      <c r="A14035" t="s">
        <v>36786</v>
      </c>
      <c r="B14035" t="s">
        <v>36784</v>
      </c>
      <c r="C14035" t="s">
        <v>36785</v>
      </c>
      <c r="D14035" t="str">
        <f>"3071"</f>
        <v>3071</v>
      </c>
      <c r="E14035" t="s">
        <v>4767</v>
      </c>
      <c r="F14035" t="s">
        <v>24019</v>
      </c>
      <c r="G14035" t="s">
        <v>47089</v>
      </c>
      <c r="H14035" t="s">
        <v>47052</v>
      </c>
      <c r="I14035" t="s">
        <v>47118</v>
      </c>
      <c r="J14035" t="s">
        <v>47119</v>
      </c>
      <c r="K14035" t="s">
        <v>47113</v>
      </c>
      <c r="L14035">
        <v>27.09</v>
      </c>
      <c r="M14035">
        <v>64</v>
      </c>
      <c r="N14035">
        <v>0</v>
      </c>
      <c r="O14035">
        <v>64</v>
      </c>
      <c r="P14035">
        <v>0</v>
      </c>
    </row>
    <row r="14036" spans="1:16" x14ac:dyDescent="0.25">
      <c r="A14036" t="s">
        <v>36787</v>
      </c>
      <c r="B14036" t="s">
        <v>36788</v>
      </c>
      <c r="C14036" t="s">
        <v>36789</v>
      </c>
      <c r="D14036" t="str">
        <f>"1001"</f>
        <v>1001</v>
      </c>
      <c r="E14036" t="s">
        <v>42</v>
      </c>
      <c r="F14036" t="s">
        <v>24019</v>
      </c>
      <c r="G14036" t="s">
        <v>47089</v>
      </c>
      <c r="H14036" t="s">
        <v>47052</v>
      </c>
      <c r="I14036" t="s">
        <v>47118</v>
      </c>
      <c r="J14036" t="s">
        <v>47119</v>
      </c>
      <c r="K14036" t="s">
        <v>47113</v>
      </c>
      <c r="L14036">
        <v>29.9</v>
      </c>
      <c r="M14036">
        <v>64</v>
      </c>
      <c r="N14036">
        <v>0</v>
      </c>
      <c r="O14036">
        <v>64</v>
      </c>
      <c r="P14036">
        <v>0</v>
      </c>
    </row>
    <row r="14037" spans="1:16" x14ac:dyDescent="0.25">
      <c r="A14037" t="s">
        <v>36790</v>
      </c>
      <c r="B14037" t="s">
        <v>36791</v>
      </c>
      <c r="C14037" t="s">
        <v>36792</v>
      </c>
      <c r="D14037" t="str">
        <f>"1001"</f>
        <v>1001</v>
      </c>
      <c r="E14037" t="s">
        <v>42</v>
      </c>
      <c r="F14037" t="s">
        <v>24019</v>
      </c>
      <c r="G14037" t="s">
        <v>47089</v>
      </c>
      <c r="H14037" t="s">
        <v>47052</v>
      </c>
      <c r="I14037" t="s">
        <v>47118</v>
      </c>
      <c r="J14037" t="s">
        <v>47119</v>
      </c>
      <c r="K14037" t="s">
        <v>47113</v>
      </c>
      <c r="L14037">
        <v>38.31</v>
      </c>
      <c r="M14037">
        <v>80</v>
      </c>
      <c r="N14037">
        <v>0</v>
      </c>
      <c r="O14037">
        <v>80</v>
      </c>
      <c r="P14037">
        <v>0</v>
      </c>
    </row>
    <row r="14038" spans="1:16" x14ac:dyDescent="0.25">
      <c r="A14038" t="s">
        <v>36793</v>
      </c>
      <c r="B14038" t="s">
        <v>36794</v>
      </c>
      <c r="C14038" t="s">
        <v>36795</v>
      </c>
      <c r="D14038" t="str">
        <f>"1001"</f>
        <v>1001</v>
      </c>
      <c r="E14038" t="s">
        <v>42</v>
      </c>
      <c r="F14038" t="s">
        <v>24019</v>
      </c>
      <c r="G14038" t="s">
        <v>47089</v>
      </c>
      <c r="H14038" t="s">
        <v>47052</v>
      </c>
      <c r="I14038" t="s">
        <v>47118</v>
      </c>
      <c r="J14038" t="s">
        <v>47119</v>
      </c>
      <c r="K14038" t="s">
        <v>47113</v>
      </c>
      <c r="L14038">
        <v>50.45</v>
      </c>
      <c r="M14038">
        <v>104</v>
      </c>
      <c r="N14038">
        <v>0</v>
      </c>
      <c r="O14038">
        <v>104</v>
      </c>
      <c r="P14038">
        <v>0</v>
      </c>
    </row>
    <row r="14039" spans="1:16" x14ac:dyDescent="0.25">
      <c r="A14039" t="s">
        <v>49001</v>
      </c>
      <c r="B14039" t="s">
        <v>49002</v>
      </c>
      <c r="C14039" t="s">
        <v>49003</v>
      </c>
      <c r="D14039" t="str">
        <f>"4143"</f>
        <v>4143</v>
      </c>
      <c r="E14039" t="s">
        <v>261</v>
      </c>
      <c r="F14039" t="s">
        <v>47325</v>
      </c>
      <c r="G14039" t="s">
        <v>47089</v>
      </c>
      <c r="H14039" t="s">
        <v>47052</v>
      </c>
      <c r="I14039" t="s">
        <v>47118</v>
      </c>
      <c r="J14039" t="s">
        <v>47119</v>
      </c>
      <c r="K14039" t="s">
        <v>47113</v>
      </c>
      <c r="L14039">
        <v>35.72</v>
      </c>
      <c r="M14039">
        <v>80</v>
      </c>
      <c r="N14039">
        <v>199</v>
      </c>
      <c r="O14039">
        <v>80</v>
      </c>
      <c r="P14039">
        <v>199</v>
      </c>
    </row>
    <row r="14040" spans="1:16" x14ac:dyDescent="0.25">
      <c r="A14040" t="s">
        <v>36796</v>
      </c>
      <c r="B14040" t="s">
        <v>9702</v>
      </c>
      <c r="C14040" t="s">
        <v>9703</v>
      </c>
      <c r="D14040" t="str">
        <f>"3152"</f>
        <v>3152</v>
      </c>
      <c r="E14040" t="s">
        <v>1840</v>
      </c>
      <c r="F14040" t="s">
        <v>52</v>
      </c>
      <c r="G14040" t="s">
        <v>16235</v>
      </c>
      <c r="H14040" t="s">
        <v>47126</v>
      </c>
      <c r="I14040" t="s">
        <v>47127</v>
      </c>
      <c r="J14040" t="s">
        <v>47128</v>
      </c>
      <c r="K14040" t="s">
        <v>47113</v>
      </c>
      <c r="L14040">
        <v>55.62</v>
      </c>
      <c r="M14040">
        <v>86</v>
      </c>
      <c r="N14040">
        <v>0</v>
      </c>
      <c r="O14040">
        <v>86</v>
      </c>
      <c r="P14040">
        <v>0</v>
      </c>
    </row>
    <row r="14041" spans="1:16" x14ac:dyDescent="0.25">
      <c r="A14041" t="s">
        <v>36797</v>
      </c>
      <c r="B14041" t="s">
        <v>9704</v>
      </c>
      <c r="C14041" t="s">
        <v>9705</v>
      </c>
      <c r="D14041" t="str">
        <f>"1200"</f>
        <v>1200</v>
      </c>
      <c r="E14041" t="s">
        <v>241</v>
      </c>
      <c r="F14041" t="s">
        <v>6</v>
      </c>
      <c r="G14041" t="s">
        <v>46686</v>
      </c>
      <c r="H14041" t="s">
        <v>47126</v>
      </c>
      <c r="I14041" t="s">
        <v>47127</v>
      </c>
      <c r="J14041" t="s">
        <v>47128</v>
      </c>
      <c r="K14041" t="s">
        <v>47113</v>
      </c>
      <c r="L14041">
        <v>53.11</v>
      </c>
      <c r="M14041">
        <v>146</v>
      </c>
      <c r="N14041">
        <v>0</v>
      </c>
      <c r="O14041">
        <v>146</v>
      </c>
      <c r="P14041">
        <v>0</v>
      </c>
    </row>
    <row r="14042" spans="1:16" x14ac:dyDescent="0.25">
      <c r="A14042" t="s">
        <v>36798</v>
      </c>
      <c r="B14042" t="s">
        <v>9704</v>
      </c>
      <c r="C14042" t="s">
        <v>9705</v>
      </c>
      <c r="D14042" t="str">
        <f>"6000"</f>
        <v>6000</v>
      </c>
      <c r="E14042" t="s">
        <v>238</v>
      </c>
      <c r="F14042" t="s">
        <v>6</v>
      </c>
      <c r="G14042" t="s">
        <v>46686</v>
      </c>
      <c r="H14042" t="s">
        <v>47126</v>
      </c>
      <c r="I14042" t="s">
        <v>47127</v>
      </c>
      <c r="J14042" t="s">
        <v>47128</v>
      </c>
      <c r="K14042" t="s">
        <v>47113</v>
      </c>
      <c r="L14042">
        <v>53.11</v>
      </c>
      <c r="M14042">
        <v>147</v>
      </c>
      <c r="N14042">
        <v>0</v>
      </c>
      <c r="O14042">
        <v>147</v>
      </c>
      <c r="P14042">
        <v>0</v>
      </c>
    </row>
    <row r="14043" spans="1:16" x14ac:dyDescent="0.25">
      <c r="A14043" t="s">
        <v>36799</v>
      </c>
      <c r="B14043" t="s">
        <v>9706</v>
      </c>
      <c r="C14043" t="s">
        <v>9707</v>
      </c>
      <c r="D14043" t="str">
        <f>"2504"</f>
        <v>2504</v>
      </c>
      <c r="E14043" t="s">
        <v>9708</v>
      </c>
      <c r="F14043" t="s">
        <v>6</v>
      </c>
      <c r="G14043" t="s">
        <v>46686</v>
      </c>
      <c r="H14043" t="s">
        <v>47126</v>
      </c>
      <c r="I14043" t="s">
        <v>47127</v>
      </c>
      <c r="J14043" t="s">
        <v>47128</v>
      </c>
      <c r="K14043" t="s">
        <v>47113</v>
      </c>
      <c r="L14043">
        <v>68.05</v>
      </c>
      <c r="M14043">
        <v>125</v>
      </c>
      <c r="N14043">
        <v>0</v>
      </c>
      <c r="O14043">
        <v>125</v>
      </c>
      <c r="P14043">
        <v>0</v>
      </c>
    </row>
    <row r="14044" spans="1:16" x14ac:dyDescent="0.25">
      <c r="A14044" t="s">
        <v>36800</v>
      </c>
      <c r="B14044" t="s">
        <v>9709</v>
      </c>
      <c r="C14044" t="s">
        <v>9710</v>
      </c>
      <c r="D14044" t="str">
        <f>"1001"</f>
        <v>1001</v>
      </c>
      <c r="E14044" t="s">
        <v>42</v>
      </c>
      <c r="F14044" t="s">
        <v>6</v>
      </c>
      <c r="G14044" t="s">
        <v>16232</v>
      </c>
      <c r="H14044" t="s">
        <v>47126</v>
      </c>
      <c r="I14044" t="s">
        <v>47127</v>
      </c>
      <c r="J14044" t="s">
        <v>47128</v>
      </c>
      <c r="K14044" t="s">
        <v>47113</v>
      </c>
      <c r="L14044">
        <v>20.62</v>
      </c>
      <c r="M14044">
        <v>63</v>
      </c>
      <c r="N14044">
        <v>0</v>
      </c>
      <c r="O14044">
        <v>63</v>
      </c>
      <c r="P14044">
        <v>0</v>
      </c>
    </row>
    <row r="14045" spans="1:16" x14ac:dyDescent="0.25">
      <c r="A14045" t="s">
        <v>36801</v>
      </c>
      <c r="B14045" t="s">
        <v>9709</v>
      </c>
      <c r="C14045" t="s">
        <v>9710</v>
      </c>
      <c r="D14045" t="str">
        <f>"2000"</f>
        <v>2000</v>
      </c>
      <c r="E14045" t="s">
        <v>248</v>
      </c>
      <c r="F14045" t="s">
        <v>6</v>
      </c>
      <c r="G14045" t="s">
        <v>16232</v>
      </c>
      <c r="H14045" t="s">
        <v>47126</v>
      </c>
      <c r="I14045" t="s">
        <v>47127</v>
      </c>
      <c r="J14045" t="s">
        <v>47128</v>
      </c>
      <c r="K14045" t="s">
        <v>47113</v>
      </c>
      <c r="L14045">
        <v>20.62</v>
      </c>
      <c r="M14045">
        <v>63</v>
      </c>
      <c r="N14045">
        <v>0</v>
      </c>
      <c r="O14045">
        <v>63</v>
      </c>
      <c r="P14045">
        <v>0</v>
      </c>
    </row>
    <row r="14046" spans="1:16" x14ac:dyDescent="0.25">
      <c r="A14046" t="s">
        <v>36802</v>
      </c>
      <c r="B14046" t="s">
        <v>9709</v>
      </c>
      <c r="C14046" t="s">
        <v>9710</v>
      </c>
      <c r="D14046" t="str">
        <f>"6003"</f>
        <v>6003</v>
      </c>
      <c r="E14046" t="s">
        <v>9711</v>
      </c>
      <c r="F14046" t="s">
        <v>6</v>
      </c>
      <c r="G14046" t="s">
        <v>16232</v>
      </c>
      <c r="H14046" t="s">
        <v>47126</v>
      </c>
      <c r="I14046" t="s">
        <v>47127</v>
      </c>
      <c r="J14046" t="s">
        <v>47128</v>
      </c>
      <c r="K14046" t="s">
        <v>47113</v>
      </c>
      <c r="L14046">
        <v>20.62</v>
      </c>
      <c r="M14046">
        <v>63</v>
      </c>
      <c r="N14046">
        <v>0</v>
      </c>
      <c r="O14046">
        <v>63</v>
      </c>
      <c r="P14046">
        <v>0</v>
      </c>
    </row>
    <row r="14047" spans="1:16" x14ac:dyDescent="0.25">
      <c r="A14047" t="s">
        <v>36803</v>
      </c>
      <c r="B14047" t="s">
        <v>9709</v>
      </c>
      <c r="C14047" t="s">
        <v>9710</v>
      </c>
      <c r="D14047" t="str">
        <f>"6500"</f>
        <v>6500</v>
      </c>
      <c r="E14047" t="s">
        <v>151</v>
      </c>
      <c r="F14047" t="s">
        <v>6</v>
      </c>
      <c r="G14047" t="s">
        <v>16232</v>
      </c>
      <c r="H14047" t="s">
        <v>47126</v>
      </c>
      <c r="I14047" t="s">
        <v>47127</v>
      </c>
      <c r="J14047" t="s">
        <v>47128</v>
      </c>
      <c r="K14047" t="s">
        <v>47113</v>
      </c>
      <c r="L14047">
        <v>20.62</v>
      </c>
      <c r="M14047">
        <v>63</v>
      </c>
      <c r="N14047">
        <v>0</v>
      </c>
      <c r="O14047">
        <v>63</v>
      </c>
      <c r="P14047">
        <v>0</v>
      </c>
    </row>
    <row r="14048" spans="1:16" x14ac:dyDescent="0.25">
      <c r="A14048" t="s">
        <v>36804</v>
      </c>
      <c r="B14048" t="s">
        <v>9712</v>
      </c>
      <c r="C14048" t="s">
        <v>9713</v>
      </c>
      <c r="D14048" t="str">
        <f>"1501"</f>
        <v>1501</v>
      </c>
      <c r="E14048" t="s">
        <v>46</v>
      </c>
      <c r="F14048" t="s">
        <v>52</v>
      </c>
      <c r="G14048" t="s">
        <v>16235</v>
      </c>
      <c r="H14048" t="s">
        <v>47126</v>
      </c>
      <c r="I14048" t="s">
        <v>47127</v>
      </c>
      <c r="J14048" t="s">
        <v>47128</v>
      </c>
      <c r="K14048" t="s">
        <v>47113</v>
      </c>
      <c r="L14048">
        <v>64.39</v>
      </c>
      <c r="M14048">
        <v>108</v>
      </c>
      <c r="N14048">
        <v>0</v>
      </c>
      <c r="O14048">
        <v>108</v>
      </c>
      <c r="P14048">
        <v>0</v>
      </c>
    </row>
    <row r="14049" spans="1:16" x14ac:dyDescent="0.25">
      <c r="A14049" t="s">
        <v>36805</v>
      </c>
      <c r="B14049" t="s">
        <v>9714</v>
      </c>
      <c r="C14049" t="s">
        <v>9715</v>
      </c>
      <c r="D14049" t="str">
        <f>"2000"</f>
        <v>2000</v>
      </c>
      <c r="E14049" t="s">
        <v>248</v>
      </c>
      <c r="F14049" t="s">
        <v>6</v>
      </c>
      <c r="G14049" t="s">
        <v>46686</v>
      </c>
      <c r="H14049" t="s">
        <v>47126</v>
      </c>
      <c r="I14049" t="s">
        <v>47127</v>
      </c>
      <c r="J14049" t="s">
        <v>47128</v>
      </c>
      <c r="K14049" t="s">
        <v>47113</v>
      </c>
      <c r="L14049">
        <v>71.23</v>
      </c>
      <c r="M14049">
        <v>194</v>
      </c>
      <c r="N14049">
        <v>0</v>
      </c>
      <c r="O14049">
        <v>194</v>
      </c>
      <c r="P14049">
        <v>0</v>
      </c>
    </row>
    <row r="14050" spans="1:16" x14ac:dyDescent="0.25">
      <c r="A14050" t="s">
        <v>36806</v>
      </c>
      <c r="B14050" t="s">
        <v>9716</v>
      </c>
      <c r="C14050" t="s">
        <v>9717</v>
      </c>
      <c r="D14050" t="str">
        <f>"4100"</f>
        <v>4100</v>
      </c>
      <c r="E14050" t="s">
        <v>2383</v>
      </c>
      <c r="F14050" t="s">
        <v>52</v>
      </c>
      <c r="G14050" t="s">
        <v>16235</v>
      </c>
      <c r="H14050" t="s">
        <v>47126</v>
      </c>
      <c r="I14050" t="s">
        <v>47127</v>
      </c>
      <c r="J14050" t="s">
        <v>47128</v>
      </c>
      <c r="K14050" t="s">
        <v>47113</v>
      </c>
      <c r="L14050">
        <v>55.9</v>
      </c>
      <c r="M14050">
        <v>80</v>
      </c>
      <c r="N14050">
        <v>0</v>
      </c>
      <c r="O14050">
        <v>80</v>
      </c>
      <c r="P14050">
        <v>0</v>
      </c>
    </row>
    <row r="14051" spans="1:16" x14ac:dyDescent="0.25">
      <c r="A14051" t="s">
        <v>36807</v>
      </c>
      <c r="B14051" t="s">
        <v>36808</v>
      </c>
      <c r="C14051" t="s">
        <v>36809</v>
      </c>
      <c r="D14051" t="str">
        <f>"1001"</f>
        <v>1001</v>
      </c>
      <c r="E14051" t="s">
        <v>42</v>
      </c>
      <c r="F14051" t="s">
        <v>24019</v>
      </c>
      <c r="G14051" t="s">
        <v>16226</v>
      </c>
      <c r="H14051" t="s">
        <v>47052</v>
      </c>
      <c r="I14051" t="s">
        <v>47118</v>
      </c>
      <c r="J14051" t="s">
        <v>47119</v>
      </c>
      <c r="K14051" t="s">
        <v>47113</v>
      </c>
      <c r="L14051">
        <v>11.21</v>
      </c>
      <c r="M14051">
        <v>44</v>
      </c>
      <c r="N14051">
        <v>0</v>
      </c>
      <c r="O14051">
        <v>44</v>
      </c>
      <c r="P14051">
        <v>0</v>
      </c>
    </row>
    <row r="14052" spans="1:16" x14ac:dyDescent="0.25">
      <c r="A14052" t="s">
        <v>49004</v>
      </c>
      <c r="B14052" t="s">
        <v>36808</v>
      </c>
      <c r="C14052" t="s">
        <v>36809</v>
      </c>
      <c r="D14052" t="str">
        <f>"2000"</f>
        <v>2000</v>
      </c>
      <c r="E14052" t="s">
        <v>248</v>
      </c>
      <c r="F14052" t="s">
        <v>24019</v>
      </c>
      <c r="G14052" t="s">
        <v>16226</v>
      </c>
      <c r="H14052" t="s">
        <v>47052</v>
      </c>
      <c r="I14052" t="s">
        <v>47118</v>
      </c>
      <c r="J14052" t="s">
        <v>47119</v>
      </c>
      <c r="K14052" t="s">
        <v>47113</v>
      </c>
      <c r="L14052">
        <v>12.2</v>
      </c>
      <c r="M14052">
        <v>32</v>
      </c>
      <c r="N14052">
        <v>79</v>
      </c>
      <c r="O14052">
        <v>32</v>
      </c>
      <c r="P14052">
        <v>79</v>
      </c>
    </row>
    <row r="14053" spans="1:16" x14ac:dyDescent="0.25">
      <c r="A14053" t="s">
        <v>36810</v>
      </c>
      <c r="B14053" t="s">
        <v>36811</v>
      </c>
      <c r="C14053" t="s">
        <v>36812</v>
      </c>
      <c r="D14053" t="str">
        <f>"2000"</f>
        <v>2000</v>
      </c>
      <c r="E14053" t="s">
        <v>36813</v>
      </c>
      <c r="F14053" t="s">
        <v>24019</v>
      </c>
      <c r="G14053" t="s">
        <v>16226</v>
      </c>
      <c r="H14053" t="s">
        <v>47052</v>
      </c>
      <c r="I14053" t="s">
        <v>47118</v>
      </c>
      <c r="J14053" t="s">
        <v>47119</v>
      </c>
      <c r="K14053" t="s">
        <v>47113</v>
      </c>
      <c r="L14053">
        <v>23.5</v>
      </c>
      <c r="M14053">
        <v>72</v>
      </c>
      <c r="N14053">
        <v>0</v>
      </c>
      <c r="O14053">
        <v>72</v>
      </c>
      <c r="P14053">
        <v>0</v>
      </c>
    </row>
    <row r="14054" spans="1:16" x14ac:dyDescent="0.25">
      <c r="A14054" t="s">
        <v>36814</v>
      </c>
      <c r="B14054" t="s">
        <v>36815</v>
      </c>
      <c r="C14054" t="s">
        <v>36816</v>
      </c>
      <c r="D14054" t="str">
        <f>"1001"</f>
        <v>1001</v>
      </c>
      <c r="E14054" t="s">
        <v>42</v>
      </c>
      <c r="F14054" t="s">
        <v>24019</v>
      </c>
      <c r="G14054" t="s">
        <v>16226</v>
      </c>
      <c r="H14054" t="s">
        <v>47052</v>
      </c>
      <c r="I14054" t="s">
        <v>47118</v>
      </c>
      <c r="J14054" t="s">
        <v>47119</v>
      </c>
      <c r="K14054" t="s">
        <v>47113</v>
      </c>
      <c r="L14054">
        <v>12.25</v>
      </c>
      <c r="M14054">
        <v>40</v>
      </c>
      <c r="N14054">
        <v>0</v>
      </c>
      <c r="O14054">
        <v>40</v>
      </c>
      <c r="P14054">
        <v>0</v>
      </c>
    </row>
    <row r="14055" spans="1:16" x14ac:dyDescent="0.25">
      <c r="A14055" t="s">
        <v>36817</v>
      </c>
      <c r="B14055" t="s">
        <v>36815</v>
      </c>
      <c r="C14055" t="s">
        <v>36816</v>
      </c>
      <c r="D14055" t="str">
        <f>"2000"</f>
        <v>2000</v>
      </c>
      <c r="E14055" t="s">
        <v>36813</v>
      </c>
      <c r="F14055" t="s">
        <v>24019</v>
      </c>
      <c r="G14055" t="s">
        <v>16226</v>
      </c>
      <c r="H14055" t="s">
        <v>47052</v>
      </c>
      <c r="I14055" t="s">
        <v>47118</v>
      </c>
      <c r="J14055" t="s">
        <v>47119</v>
      </c>
      <c r="K14055" t="s">
        <v>47113</v>
      </c>
      <c r="L14055">
        <v>12.25</v>
      </c>
      <c r="M14055">
        <v>40</v>
      </c>
      <c r="N14055">
        <v>0</v>
      </c>
      <c r="O14055">
        <v>40</v>
      </c>
      <c r="P14055">
        <v>0</v>
      </c>
    </row>
    <row r="14056" spans="1:16" x14ac:dyDescent="0.25">
      <c r="A14056" t="s">
        <v>36818</v>
      </c>
      <c r="B14056" t="s">
        <v>36815</v>
      </c>
      <c r="C14056" t="s">
        <v>36816</v>
      </c>
      <c r="D14056" t="str">
        <f>"2140"</f>
        <v>2140</v>
      </c>
      <c r="E14056" t="s">
        <v>9721</v>
      </c>
      <c r="F14056" t="s">
        <v>24019</v>
      </c>
      <c r="G14056" t="s">
        <v>16226</v>
      </c>
      <c r="H14056" t="s">
        <v>47052</v>
      </c>
      <c r="I14056" t="s">
        <v>47118</v>
      </c>
      <c r="J14056" t="s">
        <v>47119</v>
      </c>
      <c r="K14056" t="s">
        <v>47113</v>
      </c>
      <c r="L14056">
        <v>12.25</v>
      </c>
      <c r="M14056">
        <v>40</v>
      </c>
      <c r="N14056">
        <v>0</v>
      </c>
      <c r="O14056">
        <v>40</v>
      </c>
      <c r="P14056">
        <v>0</v>
      </c>
    </row>
    <row r="14057" spans="1:16" x14ac:dyDescent="0.25">
      <c r="A14057" t="s">
        <v>49005</v>
      </c>
      <c r="B14057" t="s">
        <v>49006</v>
      </c>
      <c r="C14057" t="s">
        <v>49007</v>
      </c>
      <c r="D14057" t="str">
        <f>"3071"</f>
        <v>3071</v>
      </c>
      <c r="E14057" t="s">
        <v>20770</v>
      </c>
      <c r="F14057" t="s">
        <v>47325</v>
      </c>
      <c r="G14057" t="s">
        <v>16226</v>
      </c>
      <c r="H14057" t="s">
        <v>47052</v>
      </c>
      <c r="I14057" t="s">
        <v>47118</v>
      </c>
      <c r="J14057" t="s">
        <v>47119</v>
      </c>
      <c r="K14057" t="s">
        <v>47113</v>
      </c>
      <c r="L14057">
        <v>7.74</v>
      </c>
      <c r="M14057">
        <v>32</v>
      </c>
      <c r="N14057">
        <v>79</v>
      </c>
      <c r="O14057">
        <v>32</v>
      </c>
      <c r="P14057">
        <v>79</v>
      </c>
    </row>
    <row r="14058" spans="1:16" x14ac:dyDescent="0.25">
      <c r="A14058" t="s">
        <v>49008</v>
      </c>
      <c r="B14058" t="s">
        <v>49009</v>
      </c>
      <c r="C14058" t="s">
        <v>49010</v>
      </c>
      <c r="D14058" t="str">
        <f>"1001"</f>
        <v>1001</v>
      </c>
      <c r="E14058" t="s">
        <v>42</v>
      </c>
      <c r="F14058" t="s">
        <v>47325</v>
      </c>
      <c r="G14058" t="s">
        <v>16226</v>
      </c>
      <c r="H14058" t="s">
        <v>47052</v>
      </c>
      <c r="I14058" t="s">
        <v>47118</v>
      </c>
      <c r="J14058" t="s">
        <v>47119</v>
      </c>
      <c r="K14058" t="s">
        <v>47113</v>
      </c>
      <c r="L14058">
        <v>14.94</v>
      </c>
      <c r="M14058">
        <v>32</v>
      </c>
      <c r="N14058">
        <v>79</v>
      </c>
      <c r="O14058">
        <v>32</v>
      </c>
      <c r="P14058">
        <v>79</v>
      </c>
    </row>
    <row r="14059" spans="1:16" x14ac:dyDescent="0.25">
      <c r="A14059" t="s">
        <v>36819</v>
      </c>
      <c r="B14059" t="s">
        <v>9718</v>
      </c>
      <c r="C14059" t="s">
        <v>9719</v>
      </c>
      <c r="D14059" t="str">
        <f>"1501"</f>
        <v>1501</v>
      </c>
      <c r="E14059" t="s">
        <v>46</v>
      </c>
      <c r="F14059" t="s">
        <v>6</v>
      </c>
      <c r="G14059" t="s">
        <v>16235</v>
      </c>
      <c r="H14059" t="s">
        <v>47126</v>
      </c>
      <c r="I14059" t="s">
        <v>47127</v>
      </c>
      <c r="J14059" t="s">
        <v>47128</v>
      </c>
      <c r="K14059" t="s">
        <v>47113</v>
      </c>
      <c r="L14059">
        <v>73.459999999999994</v>
      </c>
      <c r="M14059">
        <v>134</v>
      </c>
      <c r="N14059">
        <v>0</v>
      </c>
      <c r="O14059">
        <v>134</v>
      </c>
      <c r="P14059">
        <v>0</v>
      </c>
    </row>
    <row r="14060" spans="1:16" x14ac:dyDescent="0.25">
      <c r="A14060" t="s">
        <v>36820</v>
      </c>
      <c r="B14060" t="s">
        <v>36821</v>
      </c>
      <c r="C14060" t="s">
        <v>36822</v>
      </c>
      <c r="D14060" t="str">
        <f>"9602"</f>
        <v>9602</v>
      </c>
      <c r="E14060" t="s">
        <v>24018</v>
      </c>
      <c r="F14060" t="s">
        <v>17351</v>
      </c>
      <c r="G14060" t="s">
        <v>47062</v>
      </c>
      <c r="H14060" t="s">
        <v>47052</v>
      </c>
      <c r="I14060" t="s">
        <v>47120</v>
      </c>
      <c r="J14060" t="s">
        <v>47121</v>
      </c>
      <c r="K14060" t="s">
        <v>47113</v>
      </c>
      <c r="L14060">
        <v>16.82</v>
      </c>
      <c r="M14060">
        <v>92</v>
      </c>
      <c r="N14060">
        <v>0</v>
      </c>
      <c r="O14060">
        <v>92</v>
      </c>
      <c r="P14060">
        <v>0</v>
      </c>
    </row>
    <row r="14061" spans="1:16" x14ac:dyDescent="0.25">
      <c r="A14061" t="s">
        <v>36823</v>
      </c>
      <c r="B14061" t="s">
        <v>36824</v>
      </c>
      <c r="C14061" t="s">
        <v>36825</v>
      </c>
      <c r="D14061" t="str">
        <f>"1081"</f>
        <v>1081</v>
      </c>
      <c r="E14061" t="s">
        <v>14428</v>
      </c>
      <c r="F14061" t="s">
        <v>24019</v>
      </c>
      <c r="G14061" t="s">
        <v>47062</v>
      </c>
      <c r="H14061" t="s">
        <v>47052</v>
      </c>
      <c r="I14061" t="s">
        <v>47120</v>
      </c>
      <c r="J14061" t="s">
        <v>47121</v>
      </c>
      <c r="K14061" t="s">
        <v>47113</v>
      </c>
      <c r="L14061">
        <v>16.82</v>
      </c>
      <c r="M14061">
        <v>28</v>
      </c>
      <c r="N14061">
        <v>69</v>
      </c>
      <c r="O14061">
        <v>28</v>
      </c>
      <c r="P14061">
        <v>69</v>
      </c>
    </row>
    <row r="14062" spans="1:16" x14ac:dyDescent="0.25">
      <c r="A14062" t="s">
        <v>49011</v>
      </c>
      <c r="B14062" t="s">
        <v>49012</v>
      </c>
      <c r="C14062" t="s">
        <v>49013</v>
      </c>
      <c r="D14062" t="str">
        <f>"1001"</f>
        <v>1001</v>
      </c>
      <c r="E14062" t="s">
        <v>42</v>
      </c>
      <c r="F14062" t="s">
        <v>47325</v>
      </c>
      <c r="G14062" t="s">
        <v>47062</v>
      </c>
      <c r="H14062" t="s">
        <v>47052</v>
      </c>
      <c r="I14062" t="s">
        <v>47120</v>
      </c>
      <c r="J14062" t="s">
        <v>47121</v>
      </c>
      <c r="K14062" t="s">
        <v>47113</v>
      </c>
      <c r="L14062">
        <v>14.33</v>
      </c>
      <c r="M14062">
        <v>36</v>
      </c>
      <c r="N14062">
        <v>89</v>
      </c>
      <c r="O14062">
        <v>36</v>
      </c>
      <c r="P14062">
        <v>89</v>
      </c>
    </row>
    <row r="14063" spans="1:16" x14ac:dyDescent="0.25">
      <c r="A14063" t="s">
        <v>49014</v>
      </c>
      <c r="B14063" t="s">
        <v>49012</v>
      </c>
      <c r="C14063" t="s">
        <v>49013</v>
      </c>
      <c r="D14063" t="str">
        <f>"4100"</f>
        <v>4100</v>
      </c>
      <c r="E14063" t="s">
        <v>2383</v>
      </c>
      <c r="F14063" t="s">
        <v>47325</v>
      </c>
      <c r="G14063" t="s">
        <v>47062</v>
      </c>
      <c r="H14063" t="s">
        <v>47052</v>
      </c>
      <c r="I14063" t="s">
        <v>47120</v>
      </c>
      <c r="J14063" t="s">
        <v>47121</v>
      </c>
      <c r="K14063" t="s">
        <v>47113</v>
      </c>
      <c r="L14063">
        <v>14.33</v>
      </c>
      <c r="M14063">
        <v>36</v>
      </c>
      <c r="N14063">
        <v>89</v>
      </c>
      <c r="O14063">
        <v>36</v>
      </c>
      <c r="P14063">
        <v>89</v>
      </c>
    </row>
    <row r="14064" spans="1:16" x14ac:dyDescent="0.25">
      <c r="A14064" t="s">
        <v>49015</v>
      </c>
      <c r="B14064" t="s">
        <v>49012</v>
      </c>
      <c r="C14064" t="s">
        <v>49013</v>
      </c>
      <c r="D14064" t="str">
        <f>"6064"</f>
        <v>6064</v>
      </c>
      <c r="E14064" t="s">
        <v>87</v>
      </c>
      <c r="F14064" t="s">
        <v>47325</v>
      </c>
      <c r="G14064" t="s">
        <v>47062</v>
      </c>
      <c r="H14064" t="s">
        <v>47052</v>
      </c>
      <c r="I14064" t="s">
        <v>47120</v>
      </c>
      <c r="J14064" t="s">
        <v>47121</v>
      </c>
      <c r="K14064" t="s">
        <v>47113</v>
      </c>
      <c r="L14064">
        <v>14.33</v>
      </c>
      <c r="M14064">
        <v>36</v>
      </c>
      <c r="N14064">
        <v>89</v>
      </c>
      <c r="O14064">
        <v>36</v>
      </c>
      <c r="P14064">
        <v>89</v>
      </c>
    </row>
    <row r="14065" spans="1:16" x14ac:dyDescent="0.25">
      <c r="A14065" t="s">
        <v>49016</v>
      </c>
      <c r="B14065" t="s">
        <v>49017</v>
      </c>
      <c r="C14065" t="s">
        <v>36825</v>
      </c>
      <c r="D14065" t="str">
        <f>"1767"</f>
        <v>1767</v>
      </c>
      <c r="E14065" t="s">
        <v>49018</v>
      </c>
      <c r="F14065" t="s">
        <v>47325</v>
      </c>
      <c r="G14065" t="s">
        <v>47062</v>
      </c>
      <c r="H14065" t="s">
        <v>47052</v>
      </c>
      <c r="I14065" t="s">
        <v>47120</v>
      </c>
      <c r="J14065" t="s">
        <v>47121</v>
      </c>
      <c r="K14065" t="s">
        <v>47113</v>
      </c>
      <c r="L14065">
        <v>14.33</v>
      </c>
      <c r="M14065">
        <v>28</v>
      </c>
      <c r="N14065">
        <v>69</v>
      </c>
      <c r="O14065">
        <v>28</v>
      </c>
      <c r="P14065">
        <v>69</v>
      </c>
    </row>
    <row r="14066" spans="1:16" x14ac:dyDescent="0.25">
      <c r="A14066" t="s">
        <v>49019</v>
      </c>
      <c r="B14066" t="s">
        <v>49020</v>
      </c>
      <c r="C14066" t="s">
        <v>49021</v>
      </c>
      <c r="D14066" t="str">
        <f>"9602"</f>
        <v>9602</v>
      </c>
      <c r="E14066" t="s">
        <v>24018</v>
      </c>
      <c r="F14066" t="s">
        <v>47325</v>
      </c>
      <c r="G14066" t="s">
        <v>48997</v>
      </c>
      <c r="H14066" t="s">
        <v>47052</v>
      </c>
      <c r="I14066" t="s">
        <v>47120</v>
      </c>
      <c r="J14066" t="s">
        <v>47121</v>
      </c>
      <c r="K14066" t="s">
        <v>47113</v>
      </c>
      <c r="L14066">
        <v>3.29</v>
      </c>
      <c r="M14066">
        <v>3</v>
      </c>
      <c r="N14066">
        <v>3</v>
      </c>
      <c r="O14066">
        <v>3</v>
      </c>
      <c r="P14066">
        <v>3</v>
      </c>
    </row>
    <row r="14067" spans="1:16" x14ac:dyDescent="0.25">
      <c r="A14067" t="s">
        <v>36826</v>
      </c>
      <c r="B14067" t="s">
        <v>9720</v>
      </c>
      <c r="C14067" t="s">
        <v>187</v>
      </c>
      <c r="D14067" t="str">
        <f>"1001"</f>
        <v>1001</v>
      </c>
      <c r="E14067" t="s">
        <v>42</v>
      </c>
      <c r="F14067" t="s">
        <v>2</v>
      </c>
      <c r="G14067" t="s">
        <v>47098</v>
      </c>
      <c r="H14067" t="s">
        <v>47126</v>
      </c>
      <c r="I14067" t="s">
        <v>47139</v>
      </c>
      <c r="J14067" t="s">
        <v>47140</v>
      </c>
      <c r="K14067" t="s">
        <v>47113</v>
      </c>
      <c r="L14067">
        <v>99.43</v>
      </c>
      <c r="M14067">
        <v>228</v>
      </c>
      <c r="N14067">
        <v>0</v>
      </c>
      <c r="O14067">
        <v>228</v>
      </c>
      <c r="P14067">
        <v>0</v>
      </c>
    </row>
    <row r="14068" spans="1:16" x14ac:dyDescent="0.25">
      <c r="A14068" t="s">
        <v>36827</v>
      </c>
      <c r="B14068" t="s">
        <v>9720</v>
      </c>
      <c r="C14068" t="s">
        <v>187</v>
      </c>
      <c r="D14068" t="str">
        <f>"2140"</f>
        <v>2140</v>
      </c>
      <c r="E14068" t="s">
        <v>9721</v>
      </c>
      <c r="F14068" t="s">
        <v>2</v>
      </c>
      <c r="G14068" t="s">
        <v>47098</v>
      </c>
      <c r="H14068" t="s">
        <v>47126</v>
      </c>
      <c r="I14068" t="s">
        <v>47139</v>
      </c>
      <c r="J14068" t="s">
        <v>47140</v>
      </c>
      <c r="K14068" t="s">
        <v>47113</v>
      </c>
      <c r="L14068">
        <v>99.43</v>
      </c>
      <c r="M14068">
        <v>228</v>
      </c>
      <c r="N14068">
        <v>0</v>
      </c>
      <c r="O14068">
        <v>228</v>
      </c>
      <c r="P14068">
        <v>0</v>
      </c>
    </row>
    <row r="14069" spans="1:16" x14ac:dyDescent="0.25">
      <c r="A14069" t="s">
        <v>36828</v>
      </c>
      <c r="B14069" t="s">
        <v>9722</v>
      </c>
      <c r="C14069" t="s">
        <v>9723</v>
      </c>
      <c r="D14069" t="str">
        <f>"6844"</f>
        <v>6844</v>
      </c>
      <c r="E14069" t="s">
        <v>9724</v>
      </c>
      <c r="F14069" t="s">
        <v>2</v>
      </c>
      <c r="G14069" t="s">
        <v>47098</v>
      </c>
      <c r="H14069" t="s">
        <v>47126</v>
      </c>
      <c r="I14069" t="s">
        <v>47139</v>
      </c>
      <c r="J14069" t="s">
        <v>47140</v>
      </c>
      <c r="K14069" t="s">
        <v>47113</v>
      </c>
      <c r="L14069">
        <v>92.07</v>
      </c>
      <c r="M14069">
        <v>212</v>
      </c>
      <c r="N14069">
        <v>0</v>
      </c>
      <c r="O14069">
        <v>212</v>
      </c>
      <c r="P14069">
        <v>0</v>
      </c>
    </row>
    <row r="14070" spans="1:16" x14ac:dyDescent="0.25">
      <c r="A14070" t="s">
        <v>36829</v>
      </c>
      <c r="B14070" t="s">
        <v>9722</v>
      </c>
      <c r="C14070" t="s">
        <v>9723</v>
      </c>
      <c r="D14070" t="str">
        <f>"7000"</f>
        <v>7000</v>
      </c>
      <c r="E14070" t="s">
        <v>185</v>
      </c>
      <c r="F14070" t="s">
        <v>2</v>
      </c>
      <c r="G14070" t="s">
        <v>47098</v>
      </c>
      <c r="H14070" t="s">
        <v>47126</v>
      </c>
      <c r="I14070" t="s">
        <v>47139</v>
      </c>
      <c r="J14070" t="s">
        <v>47140</v>
      </c>
      <c r="K14070" t="s">
        <v>47113</v>
      </c>
      <c r="L14070">
        <v>92.08</v>
      </c>
      <c r="M14070">
        <v>212</v>
      </c>
      <c r="N14070">
        <v>0</v>
      </c>
      <c r="O14070">
        <v>212</v>
      </c>
      <c r="P14070">
        <v>0</v>
      </c>
    </row>
    <row r="14071" spans="1:16" x14ac:dyDescent="0.25">
      <c r="A14071" t="s">
        <v>36830</v>
      </c>
      <c r="B14071" t="s">
        <v>9725</v>
      </c>
      <c r="C14071" t="s">
        <v>9726</v>
      </c>
      <c r="D14071" t="str">
        <f>"7000"</f>
        <v>7000</v>
      </c>
      <c r="E14071" t="s">
        <v>185</v>
      </c>
      <c r="F14071" t="s">
        <v>2</v>
      </c>
      <c r="G14071" t="s">
        <v>47098</v>
      </c>
      <c r="I14071" t="s">
        <v>47139</v>
      </c>
      <c r="J14071" t="s">
        <v>47140</v>
      </c>
      <c r="K14071" t="s">
        <v>47113</v>
      </c>
      <c r="L14071">
        <v>107.2</v>
      </c>
      <c r="M14071">
        <v>212</v>
      </c>
      <c r="N14071">
        <v>0</v>
      </c>
      <c r="O14071">
        <v>212</v>
      </c>
      <c r="P14071">
        <v>0</v>
      </c>
    </row>
    <row r="14072" spans="1:16" x14ac:dyDescent="0.25">
      <c r="A14072" t="s">
        <v>36831</v>
      </c>
      <c r="B14072" t="s">
        <v>9727</v>
      </c>
      <c r="C14072" t="s">
        <v>187</v>
      </c>
      <c r="D14072" t="str">
        <f>"2351"</f>
        <v>2351</v>
      </c>
      <c r="E14072" t="s">
        <v>9728</v>
      </c>
      <c r="F14072" t="s">
        <v>2</v>
      </c>
      <c r="G14072" t="s">
        <v>47098</v>
      </c>
      <c r="I14072" t="s">
        <v>47139</v>
      </c>
      <c r="J14072" t="s">
        <v>47140</v>
      </c>
      <c r="K14072" t="s">
        <v>47113</v>
      </c>
      <c r="L14072">
        <v>98.42</v>
      </c>
      <c r="M14072">
        <v>223</v>
      </c>
      <c r="N14072">
        <v>0</v>
      </c>
      <c r="O14072">
        <v>223</v>
      </c>
      <c r="P14072">
        <v>0</v>
      </c>
    </row>
    <row r="14073" spans="1:16" x14ac:dyDescent="0.25">
      <c r="A14073" t="s">
        <v>36832</v>
      </c>
      <c r="B14073" t="s">
        <v>9727</v>
      </c>
      <c r="C14073" t="s">
        <v>187</v>
      </c>
      <c r="D14073" t="str">
        <f>"4000"</f>
        <v>4000</v>
      </c>
      <c r="E14073" t="s">
        <v>190</v>
      </c>
      <c r="F14073" t="s">
        <v>2</v>
      </c>
      <c r="G14073" t="s">
        <v>47098</v>
      </c>
      <c r="I14073" t="s">
        <v>47139</v>
      </c>
      <c r="J14073" t="s">
        <v>47140</v>
      </c>
      <c r="K14073" t="s">
        <v>47113</v>
      </c>
      <c r="L14073">
        <v>98.42</v>
      </c>
      <c r="M14073">
        <v>223</v>
      </c>
      <c r="N14073">
        <v>0</v>
      </c>
      <c r="O14073">
        <v>223</v>
      </c>
      <c r="P14073">
        <v>0</v>
      </c>
    </row>
    <row r="14074" spans="1:16" x14ac:dyDescent="0.25">
      <c r="A14074" t="s">
        <v>15017</v>
      </c>
      <c r="B14074" t="s">
        <v>186</v>
      </c>
      <c r="C14074" t="s">
        <v>187</v>
      </c>
      <c r="D14074" t="str">
        <f>"1001"</f>
        <v>1001</v>
      </c>
      <c r="E14074" t="s">
        <v>42</v>
      </c>
      <c r="F14074" t="s">
        <v>2</v>
      </c>
      <c r="G14074" t="s">
        <v>47098</v>
      </c>
      <c r="H14074" t="s">
        <v>47126</v>
      </c>
      <c r="I14074" t="s">
        <v>47139</v>
      </c>
      <c r="J14074" t="s">
        <v>47140</v>
      </c>
      <c r="K14074" t="s">
        <v>47113</v>
      </c>
      <c r="L14074">
        <v>117.4</v>
      </c>
      <c r="M14074">
        <v>268</v>
      </c>
      <c r="N14074">
        <v>0</v>
      </c>
      <c r="O14074">
        <v>268</v>
      </c>
      <c r="P14074">
        <v>0</v>
      </c>
    </row>
    <row r="14075" spans="1:16" x14ac:dyDescent="0.25">
      <c r="A14075" t="s">
        <v>36833</v>
      </c>
      <c r="B14075" t="s">
        <v>186</v>
      </c>
      <c r="C14075" t="s">
        <v>187</v>
      </c>
      <c r="D14075" t="str">
        <f>"1200"</f>
        <v>1200</v>
      </c>
      <c r="E14075" t="s">
        <v>241</v>
      </c>
      <c r="F14075" t="s">
        <v>2</v>
      </c>
      <c r="G14075" t="s">
        <v>47098</v>
      </c>
      <c r="H14075" t="s">
        <v>47126</v>
      </c>
      <c r="I14075" t="s">
        <v>47139</v>
      </c>
      <c r="J14075" t="s">
        <v>47140</v>
      </c>
      <c r="K14075" t="s">
        <v>47113</v>
      </c>
      <c r="L14075">
        <v>117.16</v>
      </c>
      <c r="M14075">
        <v>268</v>
      </c>
      <c r="N14075">
        <v>0</v>
      </c>
      <c r="O14075">
        <v>268</v>
      </c>
      <c r="P14075">
        <v>0</v>
      </c>
    </row>
    <row r="14076" spans="1:16" x14ac:dyDescent="0.25">
      <c r="A14076" t="s">
        <v>36834</v>
      </c>
      <c r="B14076" t="s">
        <v>186</v>
      </c>
      <c r="C14076" t="s">
        <v>187</v>
      </c>
      <c r="D14076" t="str">
        <f>"6000"</f>
        <v>6000</v>
      </c>
      <c r="E14076" t="s">
        <v>238</v>
      </c>
      <c r="F14076" t="s">
        <v>2</v>
      </c>
      <c r="G14076" t="s">
        <v>47098</v>
      </c>
      <c r="H14076" t="s">
        <v>47126</v>
      </c>
      <c r="I14076" t="s">
        <v>47139</v>
      </c>
      <c r="J14076" t="s">
        <v>47140</v>
      </c>
      <c r="K14076" t="s">
        <v>47113</v>
      </c>
      <c r="L14076">
        <v>117.44</v>
      </c>
      <c r="M14076">
        <v>268</v>
      </c>
      <c r="N14076">
        <v>0</v>
      </c>
      <c r="O14076">
        <v>268</v>
      </c>
      <c r="P14076">
        <v>0</v>
      </c>
    </row>
    <row r="14077" spans="1:16" x14ac:dyDescent="0.25">
      <c r="A14077" t="s">
        <v>36835</v>
      </c>
      <c r="B14077" t="s">
        <v>188</v>
      </c>
      <c r="C14077" t="s">
        <v>189</v>
      </c>
      <c r="D14077" t="str">
        <f>"1001"</f>
        <v>1001</v>
      </c>
      <c r="E14077" t="s">
        <v>42</v>
      </c>
      <c r="F14077" t="s">
        <v>2</v>
      </c>
      <c r="G14077" t="s">
        <v>47098</v>
      </c>
      <c r="H14077" t="s">
        <v>47126</v>
      </c>
      <c r="I14077" t="s">
        <v>47139</v>
      </c>
      <c r="J14077" t="s">
        <v>47140</v>
      </c>
      <c r="K14077" t="s">
        <v>47113</v>
      </c>
      <c r="L14077">
        <v>85.23</v>
      </c>
      <c r="M14077">
        <v>197</v>
      </c>
      <c r="N14077">
        <v>0</v>
      </c>
      <c r="O14077">
        <v>197</v>
      </c>
      <c r="P14077">
        <v>0</v>
      </c>
    </row>
    <row r="14078" spans="1:16" x14ac:dyDescent="0.25">
      <c r="A14078" t="s">
        <v>36836</v>
      </c>
      <c r="B14078" t="s">
        <v>188</v>
      </c>
      <c r="C14078" t="s">
        <v>189</v>
      </c>
      <c r="D14078" t="str">
        <f>"3000"</f>
        <v>3000</v>
      </c>
      <c r="E14078" t="s">
        <v>2220</v>
      </c>
      <c r="F14078" t="s">
        <v>2</v>
      </c>
      <c r="G14078" t="s">
        <v>47098</v>
      </c>
      <c r="H14078" t="s">
        <v>47126</v>
      </c>
      <c r="I14078" t="s">
        <v>47139</v>
      </c>
      <c r="J14078" t="s">
        <v>47140</v>
      </c>
      <c r="K14078" t="s">
        <v>47113</v>
      </c>
      <c r="L14078">
        <v>85.23</v>
      </c>
      <c r="M14078">
        <v>197</v>
      </c>
      <c r="N14078">
        <v>0</v>
      </c>
      <c r="O14078">
        <v>197</v>
      </c>
      <c r="P14078">
        <v>0</v>
      </c>
    </row>
    <row r="14079" spans="1:16" x14ac:dyDescent="0.25">
      <c r="A14079" t="s">
        <v>15018</v>
      </c>
      <c r="B14079" t="s">
        <v>188</v>
      </c>
      <c r="C14079" t="s">
        <v>189</v>
      </c>
      <c r="D14079" t="str">
        <f>"4000"</f>
        <v>4000</v>
      </c>
      <c r="E14079" t="s">
        <v>190</v>
      </c>
      <c r="F14079" t="s">
        <v>2</v>
      </c>
      <c r="G14079" t="s">
        <v>47098</v>
      </c>
      <c r="H14079" t="s">
        <v>47126</v>
      </c>
      <c r="I14079" t="s">
        <v>47139</v>
      </c>
      <c r="J14079" t="s">
        <v>47140</v>
      </c>
      <c r="K14079" t="s">
        <v>47113</v>
      </c>
      <c r="L14079">
        <v>85.5</v>
      </c>
      <c r="M14079">
        <v>197</v>
      </c>
      <c r="N14079">
        <v>0</v>
      </c>
      <c r="O14079">
        <v>197</v>
      </c>
      <c r="P14079">
        <v>0</v>
      </c>
    </row>
    <row r="14080" spans="1:16" x14ac:dyDescent="0.25">
      <c r="A14080" t="s">
        <v>36837</v>
      </c>
      <c r="B14080" t="s">
        <v>188</v>
      </c>
      <c r="C14080" t="s">
        <v>189</v>
      </c>
      <c r="D14080" t="str">
        <f>"5301"</f>
        <v>5301</v>
      </c>
      <c r="E14080" t="s">
        <v>1940</v>
      </c>
      <c r="F14080" t="s">
        <v>2</v>
      </c>
      <c r="G14080" t="s">
        <v>47098</v>
      </c>
      <c r="H14080" t="s">
        <v>47126</v>
      </c>
      <c r="I14080" t="s">
        <v>47139</v>
      </c>
      <c r="J14080" t="s">
        <v>47140</v>
      </c>
      <c r="K14080" t="s">
        <v>47113</v>
      </c>
      <c r="L14080">
        <v>85.23</v>
      </c>
      <c r="M14080">
        <v>197</v>
      </c>
      <c r="N14080">
        <v>0</v>
      </c>
      <c r="O14080">
        <v>197</v>
      </c>
      <c r="P14080">
        <v>0</v>
      </c>
    </row>
    <row r="14081" spans="1:16" x14ac:dyDescent="0.25">
      <c r="A14081" t="s">
        <v>36838</v>
      </c>
      <c r="B14081" t="s">
        <v>188</v>
      </c>
      <c r="C14081" t="s">
        <v>189</v>
      </c>
      <c r="D14081" t="str">
        <f>"6000"</f>
        <v>6000</v>
      </c>
      <c r="E14081" t="s">
        <v>238</v>
      </c>
      <c r="F14081" t="s">
        <v>2</v>
      </c>
      <c r="G14081" t="s">
        <v>47098</v>
      </c>
      <c r="H14081" t="s">
        <v>47126</v>
      </c>
      <c r="I14081" t="s">
        <v>47139</v>
      </c>
      <c r="J14081" t="s">
        <v>47140</v>
      </c>
      <c r="K14081" t="s">
        <v>47113</v>
      </c>
      <c r="L14081">
        <v>85.44</v>
      </c>
      <c r="M14081">
        <v>197</v>
      </c>
      <c r="N14081">
        <v>0</v>
      </c>
      <c r="O14081">
        <v>197</v>
      </c>
      <c r="P14081">
        <v>0</v>
      </c>
    </row>
    <row r="14082" spans="1:16" x14ac:dyDescent="0.25">
      <c r="A14082" t="s">
        <v>36839</v>
      </c>
      <c r="B14082" t="s">
        <v>9729</v>
      </c>
      <c r="C14082" t="s">
        <v>9730</v>
      </c>
      <c r="D14082" t="str">
        <f>"1001"</f>
        <v>1001</v>
      </c>
      <c r="E14082" t="s">
        <v>42</v>
      </c>
      <c r="F14082" t="s">
        <v>2</v>
      </c>
      <c r="G14082" t="s">
        <v>16224</v>
      </c>
      <c r="H14082" t="s">
        <v>47126</v>
      </c>
      <c r="I14082" t="s">
        <v>47139</v>
      </c>
      <c r="J14082" t="s">
        <v>47140</v>
      </c>
      <c r="K14082" t="s">
        <v>47113</v>
      </c>
      <c r="L14082">
        <v>109.11</v>
      </c>
      <c r="M14082">
        <v>248</v>
      </c>
      <c r="N14082">
        <v>0</v>
      </c>
      <c r="O14082">
        <v>248</v>
      </c>
      <c r="P14082">
        <v>0</v>
      </c>
    </row>
    <row r="14083" spans="1:16" x14ac:dyDescent="0.25">
      <c r="A14083" t="s">
        <v>36840</v>
      </c>
      <c r="B14083" t="s">
        <v>9729</v>
      </c>
      <c r="C14083" t="s">
        <v>9730</v>
      </c>
      <c r="D14083" t="str">
        <f>"3251"</f>
        <v>3251</v>
      </c>
      <c r="E14083" t="s">
        <v>3835</v>
      </c>
      <c r="F14083" t="s">
        <v>2</v>
      </c>
      <c r="G14083" t="s">
        <v>16224</v>
      </c>
      <c r="H14083" t="s">
        <v>47126</v>
      </c>
      <c r="I14083" t="s">
        <v>47139</v>
      </c>
      <c r="J14083" t="s">
        <v>47140</v>
      </c>
      <c r="K14083" t="s">
        <v>47113</v>
      </c>
      <c r="L14083">
        <v>109.51</v>
      </c>
      <c r="M14083">
        <v>248</v>
      </c>
      <c r="N14083">
        <v>0</v>
      </c>
      <c r="O14083">
        <v>248</v>
      </c>
      <c r="P14083">
        <v>0</v>
      </c>
    </row>
    <row r="14084" spans="1:16" x14ac:dyDescent="0.25">
      <c r="A14084" t="s">
        <v>36841</v>
      </c>
      <c r="B14084" t="s">
        <v>9729</v>
      </c>
      <c r="C14084" t="s">
        <v>9730</v>
      </c>
      <c r="D14084" t="str">
        <f>"4000"</f>
        <v>4000</v>
      </c>
      <c r="E14084" t="s">
        <v>190</v>
      </c>
      <c r="F14084" t="s">
        <v>2</v>
      </c>
      <c r="G14084" t="s">
        <v>16224</v>
      </c>
      <c r="H14084" t="s">
        <v>47126</v>
      </c>
      <c r="I14084" t="s">
        <v>47139</v>
      </c>
      <c r="J14084" t="s">
        <v>47140</v>
      </c>
      <c r="K14084" t="s">
        <v>47113</v>
      </c>
      <c r="L14084">
        <v>109.36</v>
      </c>
      <c r="M14084">
        <v>248</v>
      </c>
      <c r="N14084">
        <v>0</v>
      </c>
      <c r="O14084">
        <v>248</v>
      </c>
      <c r="P14084">
        <v>0</v>
      </c>
    </row>
    <row r="14085" spans="1:16" x14ac:dyDescent="0.25">
      <c r="A14085" t="s">
        <v>36842</v>
      </c>
      <c r="B14085" t="s">
        <v>9729</v>
      </c>
      <c r="C14085" t="s">
        <v>9730</v>
      </c>
      <c r="D14085" t="str">
        <f>"6000"</f>
        <v>6000</v>
      </c>
      <c r="E14085" t="s">
        <v>238</v>
      </c>
      <c r="F14085" t="s">
        <v>2</v>
      </c>
      <c r="G14085" t="s">
        <v>16224</v>
      </c>
      <c r="H14085" t="s">
        <v>47126</v>
      </c>
      <c r="I14085" t="s">
        <v>47139</v>
      </c>
      <c r="J14085" t="s">
        <v>47140</v>
      </c>
      <c r="K14085" t="s">
        <v>47113</v>
      </c>
      <c r="L14085">
        <v>109.51</v>
      </c>
      <c r="M14085">
        <v>248</v>
      </c>
      <c r="N14085">
        <v>0</v>
      </c>
      <c r="O14085">
        <v>248</v>
      </c>
      <c r="P14085">
        <v>0</v>
      </c>
    </row>
    <row r="14086" spans="1:16" x14ac:dyDescent="0.25">
      <c r="A14086" t="s">
        <v>36843</v>
      </c>
      <c r="B14086" t="s">
        <v>9731</v>
      </c>
      <c r="C14086" t="s">
        <v>9732</v>
      </c>
      <c r="D14086" t="str">
        <f>"2351"</f>
        <v>2351</v>
      </c>
      <c r="E14086" t="s">
        <v>9728</v>
      </c>
      <c r="F14086" t="s">
        <v>2</v>
      </c>
      <c r="G14086" t="s">
        <v>16224</v>
      </c>
      <c r="I14086" t="s">
        <v>47139</v>
      </c>
      <c r="J14086" t="s">
        <v>47140</v>
      </c>
      <c r="K14086" t="s">
        <v>47113</v>
      </c>
      <c r="L14086">
        <v>104.43</v>
      </c>
      <c r="M14086">
        <v>236</v>
      </c>
      <c r="N14086">
        <v>0</v>
      </c>
      <c r="O14086">
        <v>236</v>
      </c>
      <c r="P14086">
        <v>0</v>
      </c>
    </row>
    <row r="14087" spans="1:16" x14ac:dyDescent="0.25">
      <c r="A14087" t="s">
        <v>36844</v>
      </c>
      <c r="B14087" t="s">
        <v>9731</v>
      </c>
      <c r="C14087" t="s">
        <v>9732</v>
      </c>
      <c r="D14087" t="str">
        <f>"3251"</f>
        <v>3251</v>
      </c>
      <c r="E14087" t="s">
        <v>3835</v>
      </c>
      <c r="F14087" t="s">
        <v>2</v>
      </c>
      <c r="G14087" t="s">
        <v>16224</v>
      </c>
      <c r="I14087" t="s">
        <v>47139</v>
      </c>
      <c r="J14087" t="s">
        <v>47140</v>
      </c>
      <c r="K14087" t="s">
        <v>47113</v>
      </c>
      <c r="L14087">
        <v>112.56</v>
      </c>
      <c r="M14087">
        <v>236</v>
      </c>
      <c r="N14087">
        <v>0</v>
      </c>
      <c r="O14087">
        <v>236</v>
      </c>
      <c r="P14087">
        <v>0</v>
      </c>
    </row>
    <row r="14088" spans="1:16" x14ac:dyDescent="0.25">
      <c r="A14088" t="s">
        <v>36845</v>
      </c>
      <c r="B14088" t="s">
        <v>9733</v>
      </c>
      <c r="C14088" t="s">
        <v>9734</v>
      </c>
      <c r="D14088" t="str">
        <f>"1001"</f>
        <v>1001</v>
      </c>
      <c r="E14088" t="s">
        <v>42</v>
      </c>
      <c r="F14088" t="s">
        <v>2</v>
      </c>
      <c r="G14088" t="s">
        <v>16224</v>
      </c>
      <c r="H14088" t="s">
        <v>47126</v>
      </c>
      <c r="I14088" t="s">
        <v>47139</v>
      </c>
      <c r="J14088" t="s">
        <v>47140</v>
      </c>
      <c r="K14088" t="s">
        <v>47113</v>
      </c>
      <c r="L14088">
        <v>159.88999999999999</v>
      </c>
      <c r="M14088">
        <v>362</v>
      </c>
      <c r="N14088">
        <v>0</v>
      </c>
      <c r="O14088">
        <v>362</v>
      </c>
      <c r="P14088">
        <v>0</v>
      </c>
    </row>
    <row r="14089" spans="1:16" x14ac:dyDescent="0.25">
      <c r="A14089" t="s">
        <v>36846</v>
      </c>
      <c r="B14089" t="s">
        <v>9733</v>
      </c>
      <c r="C14089" t="s">
        <v>9734</v>
      </c>
      <c r="D14089" t="str">
        <f>"2000"</f>
        <v>2000</v>
      </c>
      <c r="E14089" t="s">
        <v>248</v>
      </c>
      <c r="F14089" t="s">
        <v>2</v>
      </c>
      <c r="G14089" t="s">
        <v>16224</v>
      </c>
      <c r="H14089" t="s">
        <v>47126</v>
      </c>
      <c r="I14089" t="s">
        <v>47139</v>
      </c>
      <c r="J14089" t="s">
        <v>47140</v>
      </c>
      <c r="K14089" t="s">
        <v>47113</v>
      </c>
      <c r="L14089">
        <v>159.91</v>
      </c>
      <c r="M14089">
        <v>362</v>
      </c>
      <c r="N14089">
        <v>0</v>
      </c>
      <c r="O14089">
        <v>362</v>
      </c>
      <c r="P14089">
        <v>0</v>
      </c>
    </row>
    <row r="14090" spans="1:16" x14ac:dyDescent="0.25">
      <c r="A14090" t="s">
        <v>36847</v>
      </c>
      <c r="B14090" t="s">
        <v>9735</v>
      </c>
      <c r="C14090" t="s">
        <v>9736</v>
      </c>
      <c r="D14090" t="str">
        <f>"2140"</f>
        <v>2140</v>
      </c>
      <c r="E14090" t="s">
        <v>9721</v>
      </c>
      <c r="F14090" t="s">
        <v>2</v>
      </c>
      <c r="G14090" t="s">
        <v>16224</v>
      </c>
      <c r="H14090" t="s">
        <v>47126</v>
      </c>
      <c r="I14090" t="s">
        <v>47139</v>
      </c>
      <c r="J14090" t="s">
        <v>47140</v>
      </c>
      <c r="K14090" t="s">
        <v>47113</v>
      </c>
      <c r="L14090">
        <v>90.31</v>
      </c>
      <c r="M14090">
        <v>208</v>
      </c>
      <c r="N14090">
        <v>0</v>
      </c>
      <c r="O14090">
        <v>208</v>
      </c>
      <c r="P14090">
        <v>0</v>
      </c>
    </row>
    <row r="14091" spans="1:16" x14ac:dyDescent="0.25">
      <c r="A14091" t="s">
        <v>36848</v>
      </c>
      <c r="B14091" t="s">
        <v>9735</v>
      </c>
      <c r="C14091" t="s">
        <v>9736</v>
      </c>
      <c r="D14091" t="str">
        <f>"3251"</f>
        <v>3251</v>
      </c>
      <c r="E14091" t="s">
        <v>3835</v>
      </c>
      <c r="F14091" t="s">
        <v>2</v>
      </c>
      <c r="G14091" t="s">
        <v>16224</v>
      </c>
      <c r="H14091" t="s">
        <v>47126</v>
      </c>
      <c r="I14091" t="s">
        <v>47139</v>
      </c>
      <c r="J14091" t="s">
        <v>47140</v>
      </c>
      <c r="K14091" t="s">
        <v>47113</v>
      </c>
      <c r="L14091">
        <v>91.5</v>
      </c>
      <c r="M14091">
        <v>208</v>
      </c>
      <c r="N14091">
        <v>0</v>
      </c>
      <c r="O14091">
        <v>208</v>
      </c>
      <c r="P14091">
        <v>0</v>
      </c>
    </row>
    <row r="14092" spans="1:16" x14ac:dyDescent="0.25">
      <c r="A14092" t="s">
        <v>36849</v>
      </c>
      <c r="B14092" t="s">
        <v>9735</v>
      </c>
      <c r="C14092" t="s">
        <v>9736</v>
      </c>
      <c r="D14092" t="str">
        <f>"4000"</f>
        <v>4000</v>
      </c>
      <c r="E14092" t="s">
        <v>190</v>
      </c>
      <c r="F14092" t="s">
        <v>2</v>
      </c>
      <c r="G14092" t="s">
        <v>16224</v>
      </c>
      <c r="H14092" t="s">
        <v>47126</v>
      </c>
      <c r="I14092" t="s">
        <v>47139</v>
      </c>
      <c r="J14092" t="s">
        <v>47140</v>
      </c>
      <c r="K14092" t="s">
        <v>47113</v>
      </c>
      <c r="L14092">
        <v>90.5</v>
      </c>
      <c r="M14092">
        <v>208</v>
      </c>
      <c r="N14092">
        <v>0</v>
      </c>
      <c r="O14092">
        <v>208</v>
      </c>
      <c r="P14092">
        <v>0</v>
      </c>
    </row>
    <row r="14093" spans="1:16" x14ac:dyDescent="0.25">
      <c r="A14093" t="s">
        <v>36850</v>
      </c>
      <c r="B14093" t="s">
        <v>9735</v>
      </c>
      <c r="C14093" t="s">
        <v>9736</v>
      </c>
      <c r="D14093" t="str">
        <f>"6285"</f>
        <v>6285</v>
      </c>
      <c r="E14093" t="s">
        <v>9737</v>
      </c>
      <c r="F14093" t="s">
        <v>2</v>
      </c>
      <c r="G14093" t="s">
        <v>16224</v>
      </c>
      <c r="H14093" t="s">
        <v>47126</v>
      </c>
      <c r="I14093" t="s">
        <v>47139</v>
      </c>
      <c r="J14093" t="s">
        <v>47140</v>
      </c>
      <c r="K14093" t="s">
        <v>47113</v>
      </c>
      <c r="L14093">
        <v>98.91</v>
      </c>
      <c r="M14093">
        <v>208</v>
      </c>
      <c r="N14093">
        <v>0</v>
      </c>
      <c r="O14093">
        <v>208</v>
      </c>
      <c r="P14093">
        <v>0</v>
      </c>
    </row>
    <row r="14094" spans="1:16" x14ac:dyDescent="0.25">
      <c r="A14094" t="s">
        <v>36851</v>
      </c>
      <c r="B14094" t="s">
        <v>9738</v>
      </c>
      <c r="C14094" t="s">
        <v>187</v>
      </c>
      <c r="D14094" t="str">
        <f>"1001"</f>
        <v>1001</v>
      </c>
      <c r="E14094" t="s">
        <v>42</v>
      </c>
      <c r="F14094" t="s">
        <v>2</v>
      </c>
      <c r="G14094" t="s">
        <v>16224</v>
      </c>
      <c r="I14094" t="s">
        <v>47139</v>
      </c>
      <c r="J14094" t="s">
        <v>47140</v>
      </c>
      <c r="K14094" t="s">
        <v>47113</v>
      </c>
      <c r="L14094">
        <v>148.63</v>
      </c>
      <c r="M14094">
        <v>312</v>
      </c>
      <c r="N14094">
        <v>0</v>
      </c>
      <c r="O14094">
        <v>312</v>
      </c>
      <c r="P14094">
        <v>0</v>
      </c>
    </row>
    <row r="14095" spans="1:16" x14ac:dyDescent="0.25">
      <c r="A14095" t="s">
        <v>36852</v>
      </c>
      <c r="B14095" t="s">
        <v>9738</v>
      </c>
      <c r="C14095" t="s">
        <v>187</v>
      </c>
      <c r="D14095" t="str">
        <f>"4000"</f>
        <v>4000</v>
      </c>
      <c r="E14095" t="s">
        <v>190</v>
      </c>
      <c r="F14095" t="s">
        <v>2</v>
      </c>
      <c r="G14095" t="s">
        <v>16224</v>
      </c>
      <c r="I14095" t="s">
        <v>47139</v>
      </c>
      <c r="J14095" t="s">
        <v>47140</v>
      </c>
      <c r="K14095" t="s">
        <v>47113</v>
      </c>
      <c r="L14095">
        <v>148.63</v>
      </c>
      <c r="M14095">
        <v>312</v>
      </c>
      <c r="N14095">
        <v>0</v>
      </c>
      <c r="O14095">
        <v>312</v>
      </c>
      <c r="P14095">
        <v>0</v>
      </c>
    </row>
    <row r="14096" spans="1:16" x14ac:dyDescent="0.25">
      <c r="A14096" t="s">
        <v>36853</v>
      </c>
      <c r="B14096" t="s">
        <v>36854</v>
      </c>
      <c r="C14096" t="s">
        <v>36855</v>
      </c>
      <c r="D14096" t="str">
        <f>"4106"</f>
        <v>4106</v>
      </c>
      <c r="E14096" t="s">
        <v>36856</v>
      </c>
      <c r="F14096" t="s">
        <v>17351</v>
      </c>
      <c r="G14096" t="s">
        <v>47130</v>
      </c>
      <c r="H14096" t="s">
        <v>47052</v>
      </c>
      <c r="I14096" t="s">
        <v>47118</v>
      </c>
      <c r="J14096" t="s">
        <v>47119</v>
      </c>
      <c r="K14096" t="s">
        <v>47113</v>
      </c>
      <c r="L14096">
        <v>17.149999999999999</v>
      </c>
      <c r="M14096">
        <v>40</v>
      </c>
      <c r="N14096">
        <v>0</v>
      </c>
      <c r="O14096">
        <v>40</v>
      </c>
      <c r="P14096">
        <v>0</v>
      </c>
    </row>
    <row r="14097" spans="1:16" x14ac:dyDescent="0.25">
      <c r="A14097" t="s">
        <v>36857</v>
      </c>
      <c r="B14097" t="s">
        <v>36854</v>
      </c>
      <c r="C14097" t="s">
        <v>36855</v>
      </c>
      <c r="D14097" t="str">
        <f>"4401"</f>
        <v>4401</v>
      </c>
      <c r="E14097" t="s">
        <v>36858</v>
      </c>
      <c r="F14097" t="s">
        <v>17351</v>
      </c>
      <c r="G14097" t="s">
        <v>47130</v>
      </c>
      <c r="H14097" t="s">
        <v>47052</v>
      </c>
      <c r="I14097" t="s">
        <v>47118</v>
      </c>
      <c r="J14097" t="s">
        <v>47119</v>
      </c>
      <c r="K14097" t="s">
        <v>47113</v>
      </c>
      <c r="L14097">
        <v>17.149999999999999</v>
      </c>
      <c r="M14097">
        <v>40</v>
      </c>
      <c r="N14097">
        <v>0</v>
      </c>
      <c r="O14097">
        <v>40</v>
      </c>
      <c r="P14097">
        <v>0</v>
      </c>
    </row>
    <row r="14098" spans="1:16" x14ac:dyDescent="0.25">
      <c r="A14098" t="s">
        <v>36859</v>
      </c>
      <c r="B14098" t="s">
        <v>36854</v>
      </c>
      <c r="C14098" t="s">
        <v>36855</v>
      </c>
      <c r="D14098" t="str">
        <f>"4448"</f>
        <v>4448</v>
      </c>
      <c r="E14098" t="s">
        <v>36860</v>
      </c>
      <c r="F14098" t="s">
        <v>17351</v>
      </c>
      <c r="G14098" t="s">
        <v>47130</v>
      </c>
      <c r="H14098" t="s">
        <v>47052</v>
      </c>
      <c r="I14098" t="s">
        <v>47118</v>
      </c>
      <c r="J14098" t="s">
        <v>47119</v>
      </c>
      <c r="K14098" t="s">
        <v>47113</v>
      </c>
      <c r="L14098">
        <v>17.149999999999999</v>
      </c>
      <c r="M14098">
        <v>40</v>
      </c>
      <c r="N14098">
        <v>0</v>
      </c>
      <c r="O14098">
        <v>40</v>
      </c>
      <c r="P14098">
        <v>0</v>
      </c>
    </row>
    <row r="14099" spans="1:16" x14ac:dyDescent="0.25">
      <c r="A14099" t="s">
        <v>36861</v>
      </c>
      <c r="B14099" t="s">
        <v>36854</v>
      </c>
      <c r="C14099" t="s">
        <v>36855</v>
      </c>
      <c r="D14099" t="str">
        <f>"4602"</f>
        <v>4602</v>
      </c>
      <c r="E14099" t="s">
        <v>36862</v>
      </c>
      <c r="F14099" t="s">
        <v>17351</v>
      </c>
      <c r="G14099" t="s">
        <v>47130</v>
      </c>
      <c r="H14099" t="s">
        <v>47052</v>
      </c>
      <c r="I14099" t="s">
        <v>47118</v>
      </c>
      <c r="J14099" t="s">
        <v>47119</v>
      </c>
      <c r="K14099" t="s">
        <v>47113</v>
      </c>
      <c r="L14099">
        <v>17.149999999999999</v>
      </c>
      <c r="M14099">
        <v>40</v>
      </c>
      <c r="N14099">
        <v>0</v>
      </c>
      <c r="O14099">
        <v>40</v>
      </c>
      <c r="P14099">
        <v>0</v>
      </c>
    </row>
    <row r="14100" spans="1:16" x14ac:dyDescent="0.25">
      <c r="A14100" t="s">
        <v>36863</v>
      </c>
      <c r="B14100" t="s">
        <v>36854</v>
      </c>
      <c r="C14100" t="s">
        <v>36855</v>
      </c>
      <c r="D14100" t="str">
        <f>"4609"</f>
        <v>4609</v>
      </c>
      <c r="E14100" t="s">
        <v>36864</v>
      </c>
      <c r="F14100" t="s">
        <v>17351</v>
      </c>
      <c r="G14100" t="s">
        <v>47130</v>
      </c>
      <c r="H14100" t="s">
        <v>47052</v>
      </c>
      <c r="I14100" t="s">
        <v>47118</v>
      </c>
      <c r="J14100" t="s">
        <v>47119</v>
      </c>
      <c r="K14100" t="s">
        <v>47113</v>
      </c>
      <c r="L14100">
        <v>17.149999999999999</v>
      </c>
      <c r="M14100">
        <v>40</v>
      </c>
      <c r="N14100">
        <v>0</v>
      </c>
      <c r="O14100">
        <v>40</v>
      </c>
      <c r="P14100">
        <v>0</v>
      </c>
    </row>
    <row r="14101" spans="1:16" x14ac:dyDescent="0.25">
      <c r="A14101" t="s">
        <v>36865</v>
      </c>
      <c r="B14101" t="s">
        <v>36866</v>
      </c>
      <c r="C14101" t="s">
        <v>36867</v>
      </c>
      <c r="D14101" t="str">
        <f>"1001"</f>
        <v>1001</v>
      </c>
      <c r="E14101" t="s">
        <v>42</v>
      </c>
      <c r="F14101" t="s">
        <v>21629</v>
      </c>
      <c r="G14101" t="s">
        <v>48038</v>
      </c>
      <c r="H14101" t="s">
        <v>47052</v>
      </c>
      <c r="I14101" t="s">
        <v>47118</v>
      </c>
      <c r="J14101" t="s">
        <v>47119</v>
      </c>
      <c r="K14101" t="s">
        <v>47113</v>
      </c>
      <c r="L14101">
        <v>45.31</v>
      </c>
      <c r="M14101">
        <v>92</v>
      </c>
      <c r="N14101">
        <v>269</v>
      </c>
      <c r="O14101">
        <v>92</v>
      </c>
      <c r="P14101">
        <v>269</v>
      </c>
    </row>
    <row r="14102" spans="1:16" x14ac:dyDescent="0.25">
      <c r="A14102" t="s">
        <v>36868</v>
      </c>
      <c r="B14102" t="s">
        <v>36866</v>
      </c>
      <c r="C14102" t="s">
        <v>36867</v>
      </c>
      <c r="D14102" t="str">
        <f>"1700"</f>
        <v>1700</v>
      </c>
      <c r="E14102" t="s">
        <v>60</v>
      </c>
      <c r="F14102" t="s">
        <v>21629</v>
      </c>
      <c r="G14102" t="s">
        <v>48038</v>
      </c>
      <c r="H14102" t="s">
        <v>47052</v>
      </c>
      <c r="I14102" t="s">
        <v>47118</v>
      </c>
      <c r="J14102" t="s">
        <v>47119</v>
      </c>
      <c r="K14102" t="s">
        <v>47113</v>
      </c>
      <c r="L14102">
        <v>45.31</v>
      </c>
      <c r="M14102">
        <v>92</v>
      </c>
      <c r="N14102">
        <v>269</v>
      </c>
      <c r="O14102">
        <v>92</v>
      </c>
      <c r="P14102">
        <v>269</v>
      </c>
    </row>
    <row r="14103" spans="1:16" x14ac:dyDescent="0.25">
      <c r="A14103" t="s">
        <v>36869</v>
      </c>
      <c r="B14103" t="s">
        <v>36866</v>
      </c>
      <c r="C14103" t="s">
        <v>36867</v>
      </c>
      <c r="D14103" t="str">
        <f>"6064"</f>
        <v>6064</v>
      </c>
      <c r="E14103" t="s">
        <v>87</v>
      </c>
      <c r="F14103" t="s">
        <v>21629</v>
      </c>
      <c r="G14103" t="s">
        <v>48038</v>
      </c>
      <c r="H14103" t="s">
        <v>47052</v>
      </c>
      <c r="I14103" t="s">
        <v>47118</v>
      </c>
      <c r="J14103" t="s">
        <v>47119</v>
      </c>
      <c r="K14103" t="s">
        <v>47113</v>
      </c>
      <c r="L14103">
        <v>45.31</v>
      </c>
      <c r="M14103">
        <v>92</v>
      </c>
      <c r="N14103">
        <v>269</v>
      </c>
      <c r="O14103">
        <v>92</v>
      </c>
      <c r="P14103">
        <v>269</v>
      </c>
    </row>
    <row r="14104" spans="1:16" x14ac:dyDescent="0.25">
      <c r="A14104" t="s">
        <v>36870</v>
      </c>
      <c r="B14104" t="s">
        <v>36871</v>
      </c>
      <c r="C14104" t="s">
        <v>36872</v>
      </c>
      <c r="D14104" t="str">
        <f>"4143"</f>
        <v>4143</v>
      </c>
      <c r="E14104" t="s">
        <v>261</v>
      </c>
      <c r="F14104" t="s">
        <v>21629</v>
      </c>
      <c r="G14104" t="s">
        <v>48038</v>
      </c>
      <c r="H14104" t="s">
        <v>47052</v>
      </c>
      <c r="I14104" t="s">
        <v>47118</v>
      </c>
      <c r="J14104" t="s">
        <v>47119</v>
      </c>
      <c r="K14104" t="s">
        <v>47113</v>
      </c>
      <c r="L14104">
        <v>45.31</v>
      </c>
      <c r="M14104">
        <v>92</v>
      </c>
      <c r="N14104">
        <v>269</v>
      </c>
      <c r="O14104">
        <v>92</v>
      </c>
      <c r="P14104">
        <v>269</v>
      </c>
    </row>
    <row r="14105" spans="1:16" x14ac:dyDescent="0.25">
      <c r="A14105" t="s">
        <v>49022</v>
      </c>
      <c r="B14105" t="s">
        <v>49023</v>
      </c>
      <c r="C14105" t="s">
        <v>49024</v>
      </c>
      <c r="D14105" t="str">
        <f>"4193"</f>
        <v>4193</v>
      </c>
      <c r="E14105" t="s">
        <v>49025</v>
      </c>
      <c r="F14105" t="s">
        <v>47325</v>
      </c>
      <c r="G14105" t="s">
        <v>48038</v>
      </c>
      <c r="H14105" t="s">
        <v>47052</v>
      </c>
      <c r="I14105" t="s">
        <v>47120</v>
      </c>
      <c r="J14105" t="s">
        <v>47121</v>
      </c>
      <c r="K14105" t="s">
        <v>47113</v>
      </c>
      <c r="L14105">
        <v>12.03</v>
      </c>
      <c r="M14105">
        <v>32</v>
      </c>
      <c r="N14105">
        <v>79</v>
      </c>
      <c r="O14105">
        <v>32</v>
      </c>
      <c r="P14105">
        <v>79</v>
      </c>
    </row>
    <row r="14106" spans="1:16" x14ac:dyDescent="0.25">
      <c r="A14106" t="s">
        <v>49026</v>
      </c>
      <c r="B14106" t="s">
        <v>49023</v>
      </c>
      <c r="C14106" t="s">
        <v>49024</v>
      </c>
      <c r="D14106" t="s">
        <v>46899</v>
      </c>
      <c r="E14106" t="s">
        <v>48594</v>
      </c>
      <c r="F14106" t="s">
        <v>47325</v>
      </c>
      <c r="G14106" t="s">
        <v>48038</v>
      </c>
      <c r="H14106" t="s">
        <v>47052</v>
      </c>
      <c r="I14106" t="s">
        <v>47120</v>
      </c>
      <c r="J14106" t="s">
        <v>47121</v>
      </c>
      <c r="K14106" t="s">
        <v>47113</v>
      </c>
      <c r="L14106">
        <v>12.03</v>
      </c>
      <c r="M14106">
        <v>32</v>
      </c>
      <c r="N14106">
        <v>79</v>
      </c>
      <c r="O14106">
        <v>32</v>
      </c>
      <c r="P14106">
        <v>79</v>
      </c>
    </row>
    <row r="14107" spans="1:16" x14ac:dyDescent="0.25">
      <c r="A14107" t="s">
        <v>49027</v>
      </c>
      <c r="B14107" t="s">
        <v>49023</v>
      </c>
      <c r="C14107" t="s">
        <v>49024</v>
      </c>
      <c r="D14107" t="s">
        <v>35381</v>
      </c>
      <c r="E14107" t="s">
        <v>49028</v>
      </c>
      <c r="F14107" t="s">
        <v>47325</v>
      </c>
      <c r="G14107" t="s">
        <v>48038</v>
      </c>
      <c r="H14107" t="s">
        <v>47052</v>
      </c>
      <c r="I14107" t="s">
        <v>47120</v>
      </c>
      <c r="J14107" t="s">
        <v>47121</v>
      </c>
      <c r="K14107" t="s">
        <v>47113</v>
      </c>
      <c r="L14107">
        <v>13.03</v>
      </c>
      <c r="M14107">
        <v>32</v>
      </c>
      <c r="N14107">
        <v>79</v>
      </c>
      <c r="O14107">
        <v>32</v>
      </c>
      <c r="P14107">
        <v>79</v>
      </c>
    </row>
    <row r="14108" spans="1:16" x14ac:dyDescent="0.25">
      <c r="A14108" t="s">
        <v>36873</v>
      </c>
      <c r="B14108" t="s">
        <v>9739</v>
      </c>
      <c r="C14108" t="s">
        <v>9740</v>
      </c>
      <c r="D14108" t="str">
        <f>"1700"</f>
        <v>1700</v>
      </c>
      <c r="E14108" t="s">
        <v>60</v>
      </c>
      <c r="F14108" t="s">
        <v>2</v>
      </c>
      <c r="G14108" t="s">
        <v>16221</v>
      </c>
      <c r="I14108" t="s">
        <v>47127</v>
      </c>
      <c r="J14108" t="s">
        <v>47128</v>
      </c>
      <c r="K14108" t="s">
        <v>47113</v>
      </c>
      <c r="L14108">
        <v>13.43</v>
      </c>
      <c r="M14108">
        <v>30</v>
      </c>
      <c r="N14108">
        <v>0</v>
      </c>
      <c r="O14108">
        <v>30</v>
      </c>
      <c r="P14108">
        <v>0</v>
      </c>
    </row>
    <row r="14109" spans="1:16" x14ac:dyDescent="0.25">
      <c r="A14109" t="s">
        <v>36874</v>
      </c>
      <c r="B14109" t="s">
        <v>9739</v>
      </c>
      <c r="C14109" t="s">
        <v>9740</v>
      </c>
      <c r="D14109" t="str">
        <f>"4646"</f>
        <v>4646</v>
      </c>
      <c r="E14109" t="s">
        <v>9741</v>
      </c>
      <c r="F14109" t="s">
        <v>2</v>
      </c>
      <c r="G14109" t="s">
        <v>16221</v>
      </c>
      <c r="I14109" t="s">
        <v>47127</v>
      </c>
      <c r="J14109" t="s">
        <v>47128</v>
      </c>
      <c r="K14109" t="s">
        <v>47113</v>
      </c>
      <c r="L14109">
        <v>13.43</v>
      </c>
      <c r="M14109">
        <v>30</v>
      </c>
      <c r="N14109">
        <v>0</v>
      </c>
      <c r="O14109">
        <v>30</v>
      </c>
      <c r="P14109">
        <v>0</v>
      </c>
    </row>
    <row r="14110" spans="1:16" x14ac:dyDescent="0.25">
      <c r="A14110" t="s">
        <v>36875</v>
      </c>
      <c r="B14110" t="s">
        <v>9739</v>
      </c>
      <c r="C14110" t="s">
        <v>9740</v>
      </c>
      <c r="D14110" t="str">
        <f>"6182"</f>
        <v>6182</v>
      </c>
      <c r="E14110" t="s">
        <v>202</v>
      </c>
      <c r="F14110" t="s">
        <v>2</v>
      </c>
      <c r="G14110" t="s">
        <v>16221</v>
      </c>
      <c r="I14110" t="s">
        <v>47127</v>
      </c>
      <c r="J14110" t="s">
        <v>47128</v>
      </c>
      <c r="K14110" t="s">
        <v>47113</v>
      </c>
      <c r="L14110">
        <v>13.43</v>
      </c>
      <c r="M14110">
        <v>30</v>
      </c>
      <c r="N14110">
        <v>0</v>
      </c>
      <c r="O14110">
        <v>30</v>
      </c>
      <c r="P14110">
        <v>0</v>
      </c>
    </row>
    <row r="14111" spans="1:16" x14ac:dyDescent="0.25">
      <c r="A14111" t="s">
        <v>36876</v>
      </c>
      <c r="B14111" t="s">
        <v>9742</v>
      </c>
      <c r="C14111" t="s">
        <v>9743</v>
      </c>
      <c r="D14111" t="str">
        <f>"1700"</f>
        <v>1700</v>
      </c>
      <c r="E14111" t="s">
        <v>60</v>
      </c>
      <c r="F14111" t="s">
        <v>2</v>
      </c>
      <c r="G14111" t="s">
        <v>16235</v>
      </c>
      <c r="I14111" t="s">
        <v>47127</v>
      </c>
      <c r="J14111" t="s">
        <v>47128</v>
      </c>
      <c r="K14111" t="s">
        <v>47113</v>
      </c>
      <c r="L14111">
        <v>50.35</v>
      </c>
      <c r="M14111">
        <v>90</v>
      </c>
      <c r="N14111">
        <v>0</v>
      </c>
      <c r="O14111">
        <v>90</v>
      </c>
      <c r="P14111">
        <v>0</v>
      </c>
    </row>
    <row r="14112" spans="1:16" x14ac:dyDescent="0.25">
      <c r="A14112" t="s">
        <v>36877</v>
      </c>
      <c r="B14112" t="s">
        <v>9742</v>
      </c>
      <c r="C14112" t="s">
        <v>9743</v>
      </c>
      <c r="D14112" t="str">
        <f>"6182"</f>
        <v>6182</v>
      </c>
      <c r="E14112" t="s">
        <v>202</v>
      </c>
      <c r="F14112" t="s">
        <v>2</v>
      </c>
      <c r="G14112" t="s">
        <v>16235</v>
      </c>
      <c r="I14112" t="s">
        <v>47127</v>
      </c>
      <c r="J14112" t="s">
        <v>47128</v>
      </c>
      <c r="K14112" t="s">
        <v>47113</v>
      </c>
      <c r="L14112">
        <v>50.35</v>
      </c>
      <c r="M14112">
        <v>90</v>
      </c>
      <c r="N14112">
        <v>0</v>
      </c>
      <c r="O14112">
        <v>90</v>
      </c>
      <c r="P14112">
        <v>0</v>
      </c>
    </row>
    <row r="14113" spans="1:16" x14ac:dyDescent="0.25">
      <c r="A14113" t="s">
        <v>36878</v>
      </c>
      <c r="B14113" t="s">
        <v>9744</v>
      </c>
      <c r="C14113" t="s">
        <v>9745</v>
      </c>
      <c r="D14113" t="str">
        <f>"1278"</f>
        <v>1278</v>
      </c>
      <c r="E14113" t="s">
        <v>100</v>
      </c>
      <c r="F14113" t="s">
        <v>2</v>
      </c>
      <c r="G14113" t="s">
        <v>47061</v>
      </c>
      <c r="H14113" t="s">
        <v>47126</v>
      </c>
      <c r="I14113" t="s">
        <v>47127</v>
      </c>
      <c r="J14113" t="s">
        <v>47128</v>
      </c>
      <c r="K14113" t="s">
        <v>47113</v>
      </c>
      <c r="L14113">
        <v>15.47</v>
      </c>
      <c r="M14113">
        <v>33</v>
      </c>
      <c r="N14113">
        <v>0</v>
      </c>
      <c r="O14113">
        <v>33</v>
      </c>
      <c r="P14113">
        <v>0</v>
      </c>
    </row>
    <row r="14114" spans="1:16" x14ac:dyDescent="0.25">
      <c r="A14114" t="s">
        <v>36879</v>
      </c>
      <c r="B14114" t="s">
        <v>9746</v>
      </c>
      <c r="C14114" t="s">
        <v>9747</v>
      </c>
      <c r="D14114" t="str">
        <f>"1200"</f>
        <v>1200</v>
      </c>
      <c r="E14114" t="s">
        <v>241</v>
      </c>
      <c r="F14114" t="s">
        <v>2</v>
      </c>
      <c r="G14114" t="s">
        <v>16232</v>
      </c>
      <c r="I14114" t="s">
        <v>47127</v>
      </c>
      <c r="J14114" t="s">
        <v>47128</v>
      </c>
      <c r="K14114" t="s">
        <v>47113</v>
      </c>
      <c r="L14114">
        <v>27.72</v>
      </c>
      <c r="M14114">
        <v>60</v>
      </c>
      <c r="N14114">
        <v>0</v>
      </c>
      <c r="O14114">
        <v>60</v>
      </c>
      <c r="P14114">
        <v>0</v>
      </c>
    </row>
    <row r="14115" spans="1:16" x14ac:dyDescent="0.25">
      <c r="A14115" t="s">
        <v>36880</v>
      </c>
      <c r="B14115" t="s">
        <v>9746</v>
      </c>
      <c r="C14115" t="s">
        <v>9747</v>
      </c>
      <c r="D14115" t="str">
        <f>"4400"</f>
        <v>4400</v>
      </c>
      <c r="E14115" t="s">
        <v>154</v>
      </c>
      <c r="F14115" t="s">
        <v>2</v>
      </c>
      <c r="G14115" t="s">
        <v>16232</v>
      </c>
      <c r="I14115" t="s">
        <v>47127</v>
      </c>
      <c r="J14115" t="s">
        <v>47128</v>
      </c>
      <c r="K14115" t="s">
        <v>47113</v>
      </c>
      <c r="L14115">
        <v>27.72</v>
      </c>
      <c r="M14115">
        <v>60</v>
      </c>
      <c r="N14115">
        <v>0</v>
      </c>
      <c r="O14115">
        <v>60</v>
      </c>
      <c r="P14115">
        <v>0</v>
      </c>
    </row>
    <row r="14116" spans="1:16" x14ac:dyDescent="0.25">
      <c r="A14116" t="s">
        <v>36881</v>
      </c>
      <c r="B14116" t="s">
        <v>9746</v>
      </c>
      <c r="C14116" t="s">
        <v>9747</v>
      </c>
      <c r="D14116" t="str">
        <f>"4643"</f>
        <v>4643</v>
      </c>
      <c r="E14116" t="s">
        <v>205</v>
      </c>
      <c r="F14116" t="s">
        <v>2</v>
      </c>
      <c r="G14116" t="s">
        <v>16232</v>
      </c>
      <c r="I14116" t="s">
        <v>47127</v>
      </c>
      <c r="J14116" t="s">
        <v>47128</v>
      </c>
      <c r="K14116" t="s">
        <v>47113</v>
      </c>
      <c r="L14116">
        <v>27.72</v>
      </c>
      <c r="M14116">
        <v>60</v>
      </c>
      <c r="N14116">
        <v>0</v>
      </c>
      <c r="O14116">
        <v>60</v>
      </c>
      <c r="P14116">
        <v>0</v>
      </c>
    </row>
    <row r="14117" spans="1:16" x14ac:dyDescent="0.25">
      <c r="A14117" t="s">
        <v>36882</v>
      </c>
      <c r="B14117" t="s">
        <v>9748</v>
      </c>
      <c r="C14117" t="s">
        <v>9748</v>
      </c>
      <c r="D14117" t="str">
        <f>"1001"</f>
        <v>1001</v>
      </c>
      <c r="E14117" t="s">
        <v>42</v>
      </c>
      <c r="F14117" t="s">
        <v>2</v>
      </c>
      <c r="G14117" t="s">
        <v>16232</v>
      </c>
      <c r="I14117" t="s">
        <v>47127</v>
      </c>
      <c r="J14117" t="s">
        <v>47128</v>
      </c>
      <c r="K14117" t="s">
        <v>47113</v>
      </c>
      <c r="L14117">
        <v>28.17</v>
      </c>
      <c r="M14117">
        <v>66</v>
      </c>
      <c r="N14117">
        <v>0</v>
      </c>
      <c r="O14117">
        <v>66</v>
      </c>
      <c r="P14117">
        <v>0</v>
      </c>
    </row>
    <row r="14118" spans="1:16" x14ac:dyDescent="0.25">
      <c r="A14118" t="s">
        <v>36883</v>
      </c>
      <c r="B14118" t="s">
        <v>9748</v>
      </c>
      <c r="C14118" t="s">
        <v>9748</v>
      </c>
      <c r="D14118" t="str">
        <f>"1200"</f>
        <v>1200</v>
      </c>
      <c r="E14118" t="s">
        <v>241</v>
      </c>
      <c r="F14118" t="s">
        <v>2</v>
      </c>
      <c r="G14118" t="s">
        <v>16232</v>
      </c>
      <c r="I14118" t="s">
        <v>47127</v>
      </c>
      <c r="J14118" t="s">
        <v>47128</v>
      </c>
      <c r="K14118" t="s">
        <v>47113</v>
      </c>
      <c r="L14118">
        <v>30.19</v>
      </c>
      <c r="M14118">
        <v>66</v>
      </c>
      <c r="N14118">
        <v>0</v>
      </c>
      <c r="O14118">
        <v>66</v>
      </c>
      <c r="P14118">
        <v>0</v>
      </c>
    </row>
    <row r="14119" spans="1:16" x14ac:dyDescent="0.25">
      <c r="A14119" t="s">
        <v>36884</v>
      </c>
      <c r="B14119" t="s">
        <v>9748</v>
      </c>
      <c r="C14119" t="s">
        <v>9748</v>
      </c>
      <c r="D14119" t="str">
        <f>"4400"</f>
        <v>4400</v>
      </c>
      <c r="E14119" t="s">
        <v>154</v>
      </c>
      <c r="F14119" t="s">
        <v>2</v>
      </c>
      <c r="G14119" t="s">
        <v>16232</v>
      </c>
      <c r="I14119" t="s">
        <v>47127</v>
      </c>
      <c r="J14119" t="s">
        <v>47128</v>
      </c>
      <c r="K14119" t="s">
        <v>47113</v>
      </c>
      <c r="L14119">
        <v>30.19</v>
      </c>
      <c r="M14119">
        <v>66</v>
      </c>
      <c r="N14119">
        <v>0</v>
      </c>
      <c r="O14119">
        <v>66</v>
      </c>
      <c r="P14119">
        <v>0</v>
      </c>
    </row>
    <row r="14120" spans="1:16" x14ac:dyDescent="0.25">
      <c r="A14120" t="s">
        <v>36885</v>
      </c>
      <c r="B14120" t="s">
        <v>9748</v>
      </c>
      <c r="C14120" t="s">
        <v>9748</v>
      </c>
      <c r="D14120" t="str">
        <f>"4643"</f>
        <v>4643</v>
      </c>
      <c r="E14120" t="s">
        <v>205</v>
      </c>
      <c r="F14120" t="s">
        <v>2</v>
      </c>
      <c r="G14120" t="s">
        <v>16232</v>
      </c>
      <c r="I14120" t="s">
        <v>47127</v>
      </c>
      <c r="J14120" t="s">
        <v>47128</v>
      </c>
      <c r="K14120" t="s">
        <v>47113</v>
      </c>
      <c r="L14120">
        <v>30.19</v>
      </c>
      <c r="M14120">
        <v>66</v>
      </c>
      <c r="N14120">
        <v>0</v>
      </c>
      <c r="O14120">
        <v>66</v>
      </c>
      <c r="P14120">
        <v>0</v>
      </c>
    </row>
    <row r="14121" spans="1:16" x14ac:dyDescent="0.25">
      <c r="A14121" t="s">
        <v>36886</v>
      </c>
      <c r="B14121" t="s">
        <v>9749</v>
      </c>
      <c r="C14121" t="s">
        <v>9750</v>
      </c>
      <c r="D14121" t="str">
        <f>"4643"</f>
        <v>4643</v>
      </c>
      <c r="E14121" t="s">
        <v>205</v>
      </c>
      <c r="F14121" t="s">
        <v>2</v>
      </c>
      <c r="G14121" t="s">
        <v>46686</v>
      </c>
      <c r="I14121" t="s">
        <v>47127</v>
      </c>
      <c r="J14121" t="s">
        <v>47128</v>
      </c>
      <c r="K14121" t="s">
        <v>47113</v>
      </c>
      <c r="L14121">
        <v>38.17</v>
      </c>
      <c r="M14121">
        <v>89</v>
      </c>
      <c r="N14121">
        <v>0</v>
      </c>
      <c r="O14121">
        <v>89</v>
      </c>
      <c r="P14121">
        <v>0</v>
      </c>
    </row>
    <row r="14122" spans="1:16" x14ac:dyDescent="0.25">
      <c r="A14122" t="s">
        <v>36887</v>
      </c>
      <c r="B14122" t="s">
        <v>9751</v>
      </c>
      <c r="C14122" t="s">
        <v>9752</v>
      </c>
      <c r="D14122" t="str">
        <f>"4643"</f>
        <v>4643</v>
      </c>
      <c r="E14122" t="s">
        <v>205</v>
      </c>
      <c r="F14122" t="s">
        <v>2</v>
      </c>
      <c r="G14122" t="s">
        <v>16232</v>
      </c>
      <c r="I14122" t="s">
        <v>47127</v>
      </c>
      <c r="J14122" t="s">
        <v>47128</v>
      </c>
      <c r="K14122" t="s">
        <v>47113</v>
      </c>
      <c r="L14122">
        <v>38.979999999999997</v>
      </c>
      <c r="M14122">
        <v>77</v>
      </c>
      <c r="N14122">
        <v>0</v>
      </c>
      <c r="O14122">
        <v>77</v>
      </c>
      <c r="P14122">
        <v>0</v>
      </c>
    </row>
    <row r="14123" spans="1:16" x14ac:dyDescent="0.25">
      <c r="A14123" t="s">
        <v>36888</v>
      </c>
      <c r="B14123" t="s">
        <v>9753</v>
      </c>
      <c r="C14123" t="s">
        <v>9754</v>
      </c>
      <c r="D14123" t="str">
        <f>"1200"</f>
        <v>1200</v>
      </c>
      <c r="E14123" t="s">
        <v>241</v>
      </c>
      <c r="F14123" t="s">
        <v>3</v>
      </c>
      <c r="G14123" t="s">
        <v>47096</v>
      </c>
      <c r="H14123" t="s">
        <v>47126</v>
      </c>
      <c r="I14123" t="s">
        <v>47127</v>
      </c>
      <c r="J14123" t="s">
        <v>47128</v>
      </c>
      <c r="K14123" t="s">
        <v>47113</v>
      </c>
      <c r="L14123">
        <v>32.619999999999997</v>
      </c>
      <c r="M14123">
        <v>86</v>
      </c>
      <c r="N14123">
        <v>0</v>
      </c>
      <c r="O14123">
        <v>86</v>
      </c>
      <c r="P14123">
        <v>0</v>
      </c>
    </row>
    <row r="14124" spans="1:16" x14ac:dyDescent="0.25">
      <c r="A14124" t="s">
        <v>36889</v>
      </c>
      <c r="B14124" t="s">
        <v>9753</v>
      </c>
      <c r="C14124" t="s">
        <v>9754</v>
      </c>
      <c r="D14124" t="str">
        <f>"1368"</f>
        <v>1368</v>
      </c>
      <c r="E14124" t="s">
        <v>194</v>
      </c>
      <c r="F14124" t="s">
        <v>2</v>
      </c>
      <c r="G14124" t="s">
        <v>47096</v>
      </c>
      <c r="H14124" t="s">
        <v>47126</v>
      </c>
      <c r="I14124" t="s">
        <v>47127</v>
      </c>
      <c r="J14124" t="s">
        <v>47128</v>
      </c>
      <c r="K14124" t="s">
        <v>47113</v>
      </c>
      <c r="L14124">
        <v>35.049999999999997</v>
      </c>
      <c r="M14124">
        <v>86</v>
      </c>
      <c r="N14124">
        <v>0</v>
      </c>
      <c r="O14124">
        <v>86</v>
      </c>
      <c r="P14124">
        <v>0</v>
      </c>
    </row>
    <row r="14125" spans="1:16" x14ac:dyDescent="0.25">
      <c r="A14125" t="s">
        <v>36890</v>
      </c>
      <c r="B14125" t="s">
        <v>9753</v>
      </c>
      <c r="C14125" t="s">
        <v>9754</v>
      </c>
      <c r="D14125" t="str">
        <f>"1700"</f>
        <v>1700</v>
      </c>
      <c r="E14125" t="s">
        <v>60</v>
      </c>
      <c r="F14125" t="s">
        <v>3</v>
      </c>
      <c r="G14125" t="s">
        <v>47096</v>
      </c>
      <c r="H14125" t="s">
        <v>47126</v>
      </c>
      <c r="I14125" t="s">
        <v>47127</v>
      </c>
      <c r="J14125" t="s">
        <v>47128</v>
      </c>
      <c r="K14125" t="s">
        <v>47113</v>
      </c>
      <c r="L14125">
        <v>32.619999999999997</v>
      </c>
      <c r="M14125">
        <v>86</v>
      </c>
      <c r="N14125">
        <v>0</v>
      </c>
      <c r="O14125">
        <v>86</v>
      </c>
      <c r="P14125">
        <v>0</v>
      </c>
    </row>
    <row r="14126" spans="1:16" x14ac:dyDescent="0.25">
      <c r="A14126" t="s">
        <v>36891</v>
      </c>
      <c r="B14126" t="s">
        <v>9753</v>
      </c>
      <c r="C14126" t="s">
        <v>9754</v>
      </c>
      <c r="D14126" t="str">
        <f>"2500"</f>
        <v>2500</v>
      </c>
      <c r="E14126" t="s">
        <v>1747</v>
      </c>
      <c r="F14126" t="s">
        <v>2</v>
      </c>
      <c r="G14126" t="s">
        <v>47096</v>
      </c>
      <c r="H14126" t="s">
        <v>47126</v>
      </c>
      <c r="I14126" t="s">
        <v>47127</v>
      </c>
      <c r="J14126" t="s">
        <v>47128</v>
      </c>
      <c r="K14126" t="s">
        <v>47113</v>
      </c>
      <c r="L14126">
        <v>32.619999999999997</v>
      </c>
      <c r="M14126">
        <v>86</v>
      </c>
      <c r="N14126">
        <v>0</v>
      </c>
      <c r="O14126">
        <v>86</v>
      </c>
      <c r="P14126">
        <v>0</v>
      </c>
    </row>
    <row r="14127" spans="1:16" x14ac:dyDescent="0.25">
      <c r="A14127" t="s">
        <v>36892</v>
      </c>
      <c r="B14127" t="s">
        <v>9753</v>
      </c>
      <c r="C14127" t="s">
        <v>9754</v>
      </c>
      <c r="D14127" t="str">
        <f>"4502"</f>
        <v>4502</v>
      </c>
      <c r="E14127" t="s">
        <v>9755</v>
      </c>
      <c r="F14127" t="s">
        <v>2</v>
      </c>
      <c r="G14127" t="s">
        <v>47096</v>
      </c>
      <c r="H14127" t="s">
        <v>47126</v>
      </c>
      <c r="I14127" t="s">
        <v>47127</v>
      </c>
      <c r="J14127" t="s">
        <v>47128</v>
      </c>
      <c r="K14127" t="s">
        <v>47113</v>
      </c>
      <c r="L14127">
        <v>35.049999999999997</v>
      </c>
      <c r="M14127">
        <v>86</v>
      </c>
      <c r="N14127">
        <v>0</v>
      </c>
      <c r="O14127">
        <v>86</v>
      </c>
      <c r="P14127">
        <v>0</v>
      </c>
    </row>
    <row r="14128" spans="1:16" x14ac:dyDescent="0.25">
      <c r="A14128" t="s">
        <v>36893</v>
      </c>
      <c r="B14128" t="s">
        <v>9753</v>
      </c>
      <c r="C14128" t="s">
        <v>9754</v>
      </c>
      <c r="D14128" t="str">
        <f>"4677"</f>
        <v>4677</v>
      </c>
      <c r="E14128" t="s">
        <v>9288</v>
      </c>
      <c r="F14128" t="s">
        <v>2</v>
      </c>
      <c r="G14128" t="s">
        <v>47096</v>
      </c>
      <c r="H14128" t="s">
        <v>47126</v>
      </c>
      <c r="I14128" t="s">
        <v>47127</v>
      </c>
      <c r="J14128" t="s">
        <v>47128</v>
      </c>
      <c r="K14128" t="s">
        <v>47113</v>
      </c>
      <c r="L14128">
        <v>35.049999999999997</v>
      </c>
      <c r="M14128">
        <v>86</v>
      </c>
      <c r="N14128">
        <v>0</v>
      </c>
      <c r="O14128">
        <v>86</v>
      </c>
      <c r="P14128">
        <v>0</v>
      </c>
    </row>
    <row r="14129" spans="1:16" x14ac:dyDescent="0.25">
      <c r="A14129" t="s">
        <v>36894</v>
      </c>
      <c r="B14129" t="s">
        <v>9753</v>
      </c>
      <c r="C14129" t="s">
        <v>9754</v>
      </c>
      <c r="D14129" t="str">
        <f>"6500"</f>
        <v>6500</v>
      </c>
      <c r="E14129" t="s">
        <v>151</v>
      </c>
      <c r="F14129" t="s">
        <v>2</v>
      </c>
      <c r="G14129" t="s">
        <v>47096</v>
      </c>
      <c r="H14129" t="s">
        <v>47126</v>
      </c>
      <c r="I14129" t="s">
        <v>47127</v>
      </c>
      <c r="J14129" t="s">
        <v>47128</v>
      </c>
      <c r="K14129" t="s">
        <v>47113</v>
      </c>
      <c r="L14129">
        <v>35.049999999999997</v>
      </c>
      <c r="M14129">
        <v>86</v>
      </c>
      <c r="N14129">
        <v>0</v>
      </c>
      <c r="O14129">
        <v>86</v>
      </c>
      <c r="P14129">
        <v>0</v>
      </c>
    </row>
    <row r="14130" spans="1:16" x14ac:dyDescent="0.25">
      <c r="A14130" t="s">
        <v>36895</v>
      </c>
      <c r="B14130" t="s">
        <v>9756</v>
      </c>
      <c r="C14130" t="s">
        <v>9757</v>
      </c>
      <c r="D14130" t="str">
        <f>"1368"</f>
        <v>1368</v>
      </c>
      <c r="E14130" t="s">
        <v>194</v>
      </c>
      <c r="F14130" t="s">
        <v>2</v>
      </c>
      <c r="G14130" t="s">
        <v>47096</v>
      </c>
      <c r="H14130" t="s">
        <v>47126</v>
      </c>
      <c r="I14130" t="s">
        <v>47127</v>
      </c>
      <c r="J14130" t="s">
        <v>47128</v>
      </c>
      <c r="K14130" t="s">
        <v>47113</v>
      </c>
      <c r="L14130">
        <v>35.049999999999997</v>
      </c>
      <c r="M14130">
        <v>91</v>
      </c>
      <c r="N14130">
        <v>0</v>
      </c>
      <c r="O14130">
        <v>91</v>
      </c>
      <c r="P14130">
        <v>0</v>
      </c>
    </row>
    <row r="14131" spans="1:16" x14ac:dyDescent="0.25">
      <c r="A14131" t="s">
        <v>36896</v>
      </c>
      <c r="B14131" t="s">
        <v>9756</v>
      </c>
      <c r="C14131" t="s">
        <v>9757</v>
      </c>
      <c r="D14131" t="str">
        <f>"2500"</f>
        <v>2500</v>
      </c>
      <c r="E14131" t="s">
        <v>1747</v>
      </c>
      <c r="F14131" t="s">
        <v>2</v>
      </c>
      <c r="G14131" t="s">
        <v>47096</v>
      </c>
      <c r="H14131" t="s">
        <v>47126</v>
      </c>
      <c r="I14131" t="s">
        <v>47127</v>
      </c>
      <c r="J14131" t="s">
        <v>47128</v>
      </c>
      <c r="K14131" t="s">
        <v>47113</v>
      </c>
      <c r="L14131">
        <v>35.049999999999997</v>
      </c>
      <c r="M14131">
        <v>92</v>
      </c>
      <c r="N14131">
        <v>0</v>
      </c>
      <c r="O14131">
        <v>92</v>
      </c>
      <c r="P14131">
        <v>0</v>
      </c>
    </row>
    <row r="14132" spans="1:16" x14ac:dyDescent="0.25">
      <c r="A14132" t="s">
        <v>36897</v>
      </c>
      <c r="B14132" t="s">
        <v>9756</v>
      </c>
      <c r="C14132" t="s">
        <v>9757</v>
      </c>
      <c r="D14132" t="str">
        <f>"4100"</f>
        <v>4100</v>
      </c>
      <c r="E14132" t="s">
        <v>2383</v>
      </c>
      <c r="F14132" t="s">
        <v>2</v>
      </c>
      <c r="G14132" t="s">
        <v>47096</v>
      </c>
      <c r="H14132" t="s">
        <v>47126</v>
      </c>
      <c r="I14132" t="s">
        <v>47127</v>
      </c>
      <c r="J14132" t="s">
        <v>47128</v>
      </c>
      <c r="K14132" t="s">
        <v>47113</v>
      </c>
      <c r="L14132">
        <v>35.17</v>
      </c>
      <c r="M14132">
        <v>92</v>
      </c>
      <c r="N14132">
        <v>0</v>
      </c>
      <c r="O14132">
        <v>92</v>
      </c>
      <c r="P14132">
        <v>0</v>
      </c>
    </row>
    <row r="14133" spans="1:16" x14ac:dyDescent="0.25">
      <c r="A14133" t="s">
        <v>36898</v>
      </c>
      <c r="B14133" t="s">
        <v>9756</v>
      </c>
      <c r="C14133" t="s">
        <v>9757</v>
      </c>
      <c r="D14133" t="str">
        <f>"4502"</f>
        <v>4502</v>
      </c>
      <c r="E14133" t="s">
        <v>9755</v>
      </c>
      <c r="F14133" t="s">
        <v>2</v>
      </c>
      <c r="G14133" t="s">
        <v>47096</v>
      </c>
      <c r="H14133" t="s">
        <v>47126</v>
      </c>
      <c r="I14133" t="s">
        <v>47127</v>
      </c>
      <c r="J14133" t="s">
        <v>47128</v>
      </c>
      <c r="K14133" t="s">
        <v>47113</v>
      </c>
      <c r="L14133">
        <v>35.049999999999997</v>
      </c>
      <c r="M14133">
        <v>92</v>
      </c>
      <c r="N14133">
        <v>0</v>
      </c>
      <c r="O14133">
        <v>92</v>
      </c>
      <c r="P14133">
        <v>0</v>
      </c>
    </row>
    <row r="14134" spans="1:16" x14ac:dyDescent="0.25">
      <c r="A14134" t="s">
        <v>36899</v>
      </c>
      <c r="B14134" t="s">
        <v>9756</v>
      </c>
      <c r="C14134" t="s">
        <v>9757</v>
      </c>
      <c r="D14134" t="str">
        <f>"4643"</f>
        <v>4643</v>
      </c>
      <c r="E14134" t="s">
        <v>205</v>
      </c>
      <c r="F14134" t="s">
        <v>2</v>
      </c>
      <c r="G14134" t="s">
        <v>47096</v>
      </c>
      <c r="H14134" t="s">
        <v>47126</v>
      </c>
      <c r="I14134" t="s">
        <v>47127</v>
      </c>
      <c r="J14134" t="s">
        <v>47128</v>
      </c>
      <c r="K14134" t="s">
        <v>47113</v>
      </c>
      <c r="L14134">
        <v>35.049999999999997</v>
      </c>
      <c r="M14134">
        <v>92</v>
      </c>
      <c r="N14134">
        <v>0</v>
      </c>
      <c r="O14134">
        <v>92</v>
      </c>
      <c r="P14134">
        <v>0</v>
      </c>
    </row>
    <row r="14135" spans="1:16" x14ac:dyDescent="0.25">
      <c r="A14135" t="s">
        <v>36900</v>
      </c>
      <c r="B14135" t="s">
        <v>9758</v>
      </c>
      <c r="C14135" t="s">
        <v>9759</v>
      </c>
      <c r="D14135" t="str">
        <f>"4100"</f>
        <v>4100</v>
      </c>
      <c r="E14135" t="s">
        <v>2383</v>
      </c>
      <c r="F14135" t="s">
        <v>2</v>
      </c>
      <c r="G14135" t="s">
        <v>47096</v>
      </c>
      <c r="I14135" t="s">
        <v>47127</v>
      </c>
      <c r="J14135" t="s">
        <v>47128</v>
      </c>
      <c r="K14135" t="s">
        <v>47113</v>
      </c>
      <c r="L14135">
        <v>27.02</v>
      </c>
      <c r="M14135">
        <v>57</v>
      </c>
      <c r="N14135">
        <v>0</v>
      </c>
      <c r="O14135">
        <v>57</v>
      </c>
      <c r="P14135">
        <v>0</v>
      </c>
    </row>
    <row r="14136" spans="1:16" x14ac:dyDescent="0.25">
      <c r="A14136" t="s">
        <v>36901</v>
      </c>
      <c r="B14136" t="s">
        <v>9758</v>
      </c>
      <c r="C14136" t="s">
        <v>9759</v>
      </c>
      <c r="D14136" t="str">
        <f>"4643"</f>
        <v>4643</v>
      </c>
      <c r="E14136" t="s">
        <v>205</v>
      </c>
      <c r="F14136" t="s">
        <v>2</v>
      </c>
      <c r="G14136" t="s">
        <v>47096</v>
      </c>
      <c r="I14136" t="s">
        <v>47127</v>
      </c>
      <c r="J14136" t="s">
        <v>47128</v>
      </c>
      <c r="K14136" t="s">
        <v>47113</v>
      </c>
      <c r="L14136">
        <v>27.02</v>
      </c>
      <c r="M14136">
        <v>57</v>
      </c>
      <c r="N14136">
        <v>0</v>
      </c>
      <c r="O14136">
        <v>57</v>
      </c>
      <c r="P14136">
        <v>0</v>
      </c>
    </row>
    <row r="14137" spans="1:16" x14ac:dyDescent="0.25">
      <c r="A14137" t="s">
        <v>36902</v>
      </c>
      <c r="B14137" t="s">
        <v>9760</v>
      </c>
      <c r="C14137" t="s">
        <v>9761</v>
      </c>
      <c r="D14137" t="str">
        <f>"4100"</f>
        <v>4100</v>
      </c>
      <c r="E14137" t="s">
        <v>2383</v>
      </c>
      <c r="F14137" t="s">
        <v>2</v>
      </c>
      <c r="G14137" t="s">
        <v>47096</v>
      </c>
      <c r="I14137" t="s">
        <v>47127</v>
      </c>
      <c r="J14137" t="s">
        <v>47128</v>
      </c>
      <c r="K14137" t="s">
        <v>47113</v>
      </c>
      <c r="L14137">
        <v>46.43</v>
      </c>
      <c r="M14137">
        <v>84</v>
      </c>
      <c r="N14137">
        <v>0</v>
      </c>
      <c r="O14137">
        <v>84</v>
      </c>
      <c r="P14137">
        <v>0</v>
      </c>
    </row>
    <row r="14138" spans="1:16" x14ac:dyDescent="0.25">
      <c r="A14138" t="s">
        <v>36903</v>
      </c>
      <c r="B14138" t="s">
        <v>9762</v>
      </c>
      <c r="C14138" t="s">
        <v>2241</v>
      </c>
      <c r="D14138" t="str">
        <f>"1700"</f>
        <v>1700</v>
      </c>
      <c r="E14138" t="s">
        <v>60</v>
      </c>
      <c r="F14138" t="s">
        <v>2</v>
      </c>
      <c r="G14138" t="s">
        <v>47096</v>
      </c>
      <c r="I14138" t="s">
        <v>47127</v>
      </c>
      <c r="J14138" t="s">
        <v>47128</v>
      </c>
      <c r="K14138" t="s">
        <v>47113</v>
      </c>
      <c r="L14138">
        <v>43.13</v>
      </c>
      <c r="M14138">
        <v>94</v>
      </c>
      <c r="N14138">
        <v>0</v>
      </c>
      <c r="O14138">
        <v>94</v>
      </c>
      <c r="P14138">
        <v>0</v>
      </c>
    </row>
    <row r="14139" spans="1:16" x14ac:dyDescent="0.25">
      <c r="A14139" t="s">
        <v>36904</v>
      </c>
      <c r="B14139" t="s">
        <v>9762</v>
      </c>
      <c r="C14139" t="s">
        <v>2241</v>
      </c>
      <c r="D14139" t="str">
        <f>"4400"</f>
        <v>4400</v>
      </c>
      <c r="E14139" t="s">
        <v>154</v>
      </c>
      <c r="F14139" t="s">
        <v>2</v>
      </c>
      <c r="G14139" t="s">
        <v>47096</v>
      </c>
      <c r="I14139" t="s">
        <v>47127</v>
      </c>
      <c r="J14139" t="s">
        <v>47128</v>
      </c>
      <c r="K14139" t="s">
        <v>47113</v>
      </c>
      <c r="L14139">
        <v>43.13</v>
      </c>
      <c r="M14139">
        <v>94</v>
      </c>
      <c r="N14139">
        <v>0</v>
      </c>
      <c r="O14139">
        <v>94</v>
      </c>
      <c r="P14139">
        <v>0</v>
      </c>
    </row>
    <row r="14140" spans="1:16" x14ac:dyDescent="0.25">
      <c r="A14140" t="s">
        <v>36905</v>
      </c>
      <c r="B14140" t="s">
        <v>9762</v>
      </c>
      <c r="C14140" t="s">
        <v>2241</v>
      </c>
      <c r="D14140" t="str">
        <f>"4502"</f>
        <v>4502</v>
      </c>
      <c r="E14140" t="s">
        <v>9755</v>
      </c>
      <c r="F14140" t="s">
        <v>2</v>
      </c>
      <c r="G14140" t="s">
        <v>47096</v>
      </c>
      <c r="I14140" t="s">
        <v>47127</v>
      </c>
      <c r="J14140" t="s">
        <v>47128</v>
      </c>
      <c r="K14140" t="s">
        <v>47113</v>
      </c>
      <c r="L14140">
        <v>40.24</v>
      </c>
      <c r="M14140">
        <v>94</v>
      </c>
      <c r="N14140">
        <v>0</v>
      </c>
      <c r="O14140">
        <v>94</v>
      </c>
      <c r="P14140">
        <v>0</v>
      </c>
    </row>
    <row r="14141" spans="1:16" x14ac:dyDescent="0.25">
      <c r="A14141" t="s">
        <v>36906</v>
      </c>
      <c r="B14141" t="s">
        <v>9763</v>
      </c>
      <c r="C14141" t="s">
        <v>9764</v>
      </c>
      <c r="D14141" t="str">
        <f>"1368"</f>
        <v>1368</v>
      </c>
      <c r="E14141" t="s">
        <v>194</v>
      </c>
      <c r="F14141" t="s">
        <v>2</v>
      </c>
      <c r="G14141" t="s">
        <v>47097</v>
      </c>
      <c r="I14141" t="s">
        <v>47127</v>
      </c>
      <c r="J14141" t="s">
        <v>47128</v>
      </c>
      <c r="K14141" t="s">
        <v>47113</v>
      </c>
      <c r="L14141">
        <v>35.049999999999997</v>
      </c>
      <c r="M14141">
        <v>78</v>
      </c>
      <c r="N14141">
        <v>0</v>
      </c>
      <c r="O14141">
        <v>78</v>
      </c>
      <c r="P14141">
        <v>0</v>
      </c>
    </row>
    <row r="14142" spans="1:16" x14ac:dyDescent="0.25">
      <c r="A14142" t="s">
        <v>36907</v>
      </c>
      <c r="B14142" t="s">
        <v>9763</v>
      </c>
      <c r="C14142" t="s">
        <v>9764</v>
      </c>
      <c r="D14142" t="str">
        <f>"4502"</f>
        <v>4502</v>
      </c>
      <c r="E14142" t="s">
        <v>9755</v>
      </c>
      <c r="F14142" t="s">
        <v>2</v>
      </c>
      <c r="G14142" t="s">
        <v>47097</v>
      </c>
      <c r="I14142" t="s">
        <v>47127</v>
      </c>
      <c r="J14142" t="s">
        <v>47128</v>
      </c>
      <c r="K14142" t="s">
        <v>47113</v>
      </c>
      <c r="L14142">
        <v>35.049999999999997</v>
      </c>
      <c r="M14142">
        <v>78</v>
      </c>
      <c r="N14142">
        <v>0</v>
      </c>
      <c r="O14142">
        <v>78</v>
      </c>
      <c r="P14142">
        <v>0</v>
      </c>
    </row>
    <row r="14143" spans="1:16" x14ac:dyDescent="0.25">
      <c r="A14143" t="s">
        <v>36908</v>
      </c>
      <c r="B14143" t="s">
        <v>9765</v>
      </c>
      <c r="C14143" t="s">
        <v>9766</v>
      </c>
      <c r="D14143" t="str">
        <f>"4193"</f>
        <v>4193</v>
      </c>
      <c r="E14143" t="s">
        <v>9354</v>
      </c>
      <c r="F14143" t="s">
        <v>2</v>
      </c>
      <c r="G14143" t="s">
        <v>16221</v>
      </c>
      <c r="H14143" t="s">
        <v>47126</v>
      </c>
      <c r="I14143" t="s">
        <v>47127</v>
      </c>
      <c r="J14143" t="s">
        <v>47128</v>
      </c>
      <c r="K14143" t="s">
        <v>47113</v>
      </c>
      <c r="L14143">
        <v>20.43</v>
      </c>
      <c r="M14143">
        <v>63</v>
      </c>
      <c r="N14143">
        <v>0</v>
      </c>
      <c r="O14143">
        <v>63</v>
      </c>
      <c r="P14143">
        <v>0</v>
      </c>
    </row>
    <row r="14144" spans="1:16" x14ac:dyDescent="0.25">
      <c r="A14144" t="s">
        <v>15019</v>
      </c>
      <c r="B14144" t="s">
        <v>9767</v>
      </c>
      <c r="C14144" t="s">
        <v>9768</v>
      </c>
      <c r="D14144" t="str">
        <f>"1368"</f>
        <v>1368</v>
      </c>
      <c r="E14144" t="s">
        <v>194</v>
      </c>
      <c r="F14144" t="s">
        <v>2</v>
      </c>
      <c r="G14144" t="s">
        <v>16221</v>
      </c>
      <c r="H14144" t="s">
        <v>47126</v>
      </c>
      <c r="I14144" t="s">
        <v>47127</v>
      </c>
      <c r="J14144" t="s">
        <v>47128</v>
      </c>
      <c r="K14144" t="s">
        <v>47113</v>
      </c>
      <c r="L14144">
        <v>17.87</v>
      </c>
      <c r="M14144">
        <v>38</v>
      </c>
      <c r="N14144">
        <v>0</v>
      </c>
      <c r="O14144">
        <v>38</v>
      </c>
      <c r="P14144">
        <v>0</v>
      </c>
    </row>
    <row r="14145" spans="1:16" x14ac:dyDescent="0.25">
      <c r="A14145" t="s">
        <v>36909</v>
      </c>
      <c r="B14145" t="s">
        <v>9767</v>
      </c>
      <c r="C14145" t="s">
        <v>9768</v>
      </c>
      <c r="D14145" t="str">
        <f>"1700"</f>
        <v>1700</v>
      </c>
      <c r="E14145" t="s">
        <v>60</v>
      </c>
      <c r="F14145" t="s">
        <v>2</v>
      </c>
      <c r="G14145" t="s">
        <v>16221</v>
      </c>
      <c r="H14145" t="s">
        <v>47126</v>
      </c>
      <c r="I14145" t="s">
        <v>47127</v>
      </c>
      <c r="J14145" t="s">
        <v>47128</v>
      </c>
      <c r="K14145" t="s">
        <v>47113</v>
      </c>
      <c r="L14145">
        <v>17.87</v>
      </c>
      <c r="M14145">
        <v>38</v>
      </c>
      <c r="N14145">
        <v>0</v>
      </c>
      <c r="O14145">
        <v>38</v>
      </c>
      <c r="P14145">
        <v>0</v>
      </c>
    </row>
    <row r="14146" spans="1:16" x14ac:dyDescent="0.25">
      <c r="A14146" t="s">
        <v>36910</v>
      </c>
      <c r="B14146" t="s">
        <v>9767</v>
      </c>
      <c r="C14146" t="s">
        <v>9768</v>
      </c>
      <c r="D14146" t="str">
        <f>"3252"</f>
        <v>3252</v>
      </c>
      <c r="E14146" t="s">
        <v>9769</v>
      </c>
      <c r="F14146" t="s">
        <v>2</v>
      </c>
      <c r="G14146" t="s">
        <v>16221</v>
      </c>
      <c r="H14146" t="s">
        <v>47126</v>
      </c>
      <c r="I14146" t="s">
        <v>47127</v>
      </c>
      <c r="J14146" t="s">
        <v>47128</v>
      </c>
      <c r="K14146" t="s">
        <v>47113</v>
      </c>
      <c r="L14146">
        <v>17.87</v>
      </c>
      <c r="M14146">
        <v>38</v>
      </c>
      <c r="N14146">
        <v>0</v>
      </c>
      <c r="O14146">
        <v>38</v>
      </c>
      <c r="P14146">
        <v>0</v>
      </c>
    </row>
    <row r="14147" spans="1:16" x14ac:dyDescent="0.25">
      <c r="A14147" t="s">
        <v>36911</v>
      </c>
      <c r="B14147" t="s">
        <v>9767</v>
      </c>
      <c r="C14147" t="s">
        <v>9768</v>
      </c>
      <c r="D14147" t="str">
        <f>"4645"</f>
        <v>4645</v>
      </c>
      <c r="E14147" t="s">
        <v>9770</v>
      </c>
      <c r="F14147" t="s">
        <v>2</v>
      </c>
      <c r="G14147" t="s">
        <v>16221</v>
      </c>
      <c r="H14147" t="s">
        <v>47126</v>
      </c>
      <c r="I14147" t="s">
        <v>47127</v>
      </c>
      <c r="J14147" t="s">
        <v>47128</v>
      </c>
      <c r="K14147" t="s">
        <v>47113</v>
      </c>
      <c r="L14147">
        <v>17.87</v>
      </c>
      <c r="M14147">
        <v>38</v>
      </c>
      <c r="N14147">
        <v>0</v>
      </c>
      <c r="O14147">
        <v>38</v>
      </c>
      <c r="P14147">
        <v>0</v>
      </c>
    </row>
    <row r="14148" spans="1:16" x14ac:dyDescent="0.25">
      <c r="A14148" t="s">
        <v>36912</v>
      </c>
      <c r="B14148" t="s">
        <v>9767</v>
      </c>
      <c r="C14148" t="s">
        <v>9768</v>
      </c>
      <c r="D14148" t="str">
        <f>"4646"</f>
        <v>4646</v>
      </c>
      <c r="E14148" t="s">
        <v>9741</v>
      </c>
      <c r="F14148" t="s">
        <v>2</v>
      </c>
      <c r="G14148" t="s">
        <v>16221</v>
      </c>
      <c r="H14148" t="s">
        <v>47126</v>
      </c>
      <c r="I14148" t="s">
        <v>47127</v>
      </c>
      <c r="J14148" t="s">
        <v>47128</v>
      </c>
      <c r="K14148" t="s">
        <v>47113</v>
      </c>
      <c r="L14148">
        <v>17.87</v>
      </c>
      <c r="M14148">
        <v>38</v>
      </c>
      <c r="N14148">
        <v>0</v>
      </c>
      <c r="O14148">
        <v>38</v>
      </c>
      <c r="P14148">
        <v>0</v>
      </c>
    </row>
    <row r="14149" spans="1:16" x14ac:dyDescent="0.25">
      <c r="A14149" t="s">
        <v>36913</v>
      </c>
      <c r="B14149" t="s">
        <v>9771</v>
      </c>
      <c r="C14149" t="s">
        <v>9772</v>
      </c>
      <c r="D14149" t="str">
        <f>"1370"</f>
        <v>1370</v>
      </c>
      <c r="E14149" t="s">
        <v>2162</v>
      </c>
      <c r="F14149" t="s">
        <v>2</v>
      </c>
      <c r="G14149" t="s">
        <v>16221</v>
      </c>
      <c r="I14149" t="s">
        <v>47127</v>
      </c>
      <c r="J14149" t="s">
        <v>47128</v>
      </c>
      <c r="K14149" t="s">
        <v>47113</v>
      </c>
      <c r="L14149">
        <v>18.32</v>
      </c>
      <c r="M14149">
        <v>37</v>
      </c>
      <c r="N14149">
        <v>0</v>
      </c>
      <c r="O14149">
        <v>37</v>
      </c>
      <c r="P14149">
        <v>0</v>
      </c>
    </row>
    <row r="14150" spans="1:16" x14ac:dyDescent="0.25">
      <c r="A14150" t="s">
        <v>36914</v>
      </c>
      <c r="B14150" t="s">
        <v>9773</v>
      </c>
      <c r="C14150" t="s">
        <v>9774</v>
      </c>
      <c r="D14150" t="str">
        <f>"1700"</f>
        <v>1700</v>
      </c>
      <c r="E14150" t="s">
        <v>60</v>
      </c>
      <c r="F14150" t="s">
        <v>2</v>
      </c>
      <c r="G14150" t="s">
        <v>16235</v>
      </c>
      <c r="H14150" t="s">
        <v>47126</v>
      </c>
      <c r="I14150" t="s">
        <v>47127</v>
      </c>
      <c r="J14150" t="s">
        <v>47128</v>
      </c>
      <c r="K14150" t="s">
        <v>47113</v>
      </c>
      <c r="L14150">
        <v>41.39</v>
      </c>
      <c r="M14150">
        <v>125</v>
      </c>
      <c r="N14150">
        <v>0</v>
      </c>
      <c r="O14150">
        <v>125</v>
      </c>
      <c r="P14150">
        <v>0</v>
      </c>
    </row>
    <row r="14151" spans="1:16" x14ac:dyDescent="0.25">
      <c r="A14151" t="s">
        <v>36915</v>
      </c>
      <c r="B14151" t="s">
        <v>9773</v>
      </c>
      <c r="C14151" t="s">
        <v>9774</v>
      </c>
      <c r="D14151" t="str">
        <f>"3195"</f>
        <v>3195</v>
      </c>
      <c r="E14151" t="s">
        <v>9775</v>
      </c>
      <c r="F14151" t="s">
        <v>2</v>
      </c>
      <c r="G14151" t="s">
        <v>16235</v>
      </c>
      <c r="H14151" t="s">
        <v>47126</v>
      </c>
      <c r="I14151" t="s">
        <v>47127</v>
      </c>
      <c r="J14151" t="s">
        <v>47128</v>
      </c>
      <c r="K14151" t="s">
        <v>47113</v>
      </c>
      <c r="L14151">
        <v>41.36</v>
      </c>
      <c r="M14151">
        <v>125</v>
      </c>
      <c r="N14151">
        <v>0</v>
      </c>
      <c r="O14151">
        <v>125</v>
      </c>
      <c r="P14151">
        <v>0</v>
      </c>
    </row>
    <row r="14152" spans="1:16" x14ac:dyDescent="0.25">
      <c r="A14152" t="s">
        <v>36916</v>
      </c>
      <c r="B14152" t="s">
        <v>9773</v>
      </c>
      <c r="C14152" t="s">
        <v>9774</v>
      </c>
      <c r="D14152" t="str">
        <f>"4643"</f>
        <v>4643</v>
      </c>
      <c r="E14152" t="s">
        <v>205</v>
      </c>
      <c r="F14152" t="s">
        <v>2</v>
      </c>
      <c r="G14152" t="s">
        <v>16235</v>
      </c>
      <c r="H14152" t="s">
        <v>47126</v>
      </c>
      <c r="I14152" t="s">
        <v>47127</v>
      </c>
      <c r="J14152" t="s">
        <v>47128</v>
      </c>
      <c r="K14152" t="s">
        <v>47113</v>
      </c>
      <c r="L14152">
        <v>41.37</v>
      </c>
      <c r="M14152">
        <v>125</v>
      </c>
      <c r="N14152">
        <v>0</v>
      </c>
      <c r="O14152">
        <v>125</v>
      </c>
      <c r="P14152">
        <v>0</v>
      </c>
    </row>
    <row r="14153" spans="1:16" x14ac:dyDescent="0.25">
      <c r="A14153" t="s">
        <v>36917</v>
      </c>
      <c r="B14153" t="s">
        <v>9773</v>
      </c>
      <c r="C14153" t="s">
        <v>9774</v>
      </c>
      <c r="D14153" t="str">
        <f>"6182"</f>
        <v>6182</v>
      </c>
      <c r="E14153" t="s">
        <v>202</v>
      </c>
      <c r="F14153" t="s">
        <v>2</v>
      </c>
      <c r="G14153" t="s">
        <v>16235</v>
      </c>
      <c r="H14153" t="s">
        <v>47126</v>
      </c>
      <c r="I14153" t="s">
        <v>47127</v>
      </c>
      <c r="J14153" t="s">
        <v>47128</v>
      </c>
      <c r="K14153" t="s">
        <v>47113</v>
      </c>
      <c r="L14153">
        <v>41.44</v>
      </c>
      <c r="M14153">
        <v>125</v>
      </c>
      <c r="N14153">
        <v>0</v>
      </c>
      <c r="O14153">
        <v>125</v>
      </c>
      <c r="P14153">
        <v>0</v>
      </c>
    </row>
    <row r="14154" spans="1:16" x14ac:dyDescent="0.25">
      <c r="A14154" t="s">
        <v>36918</v>
      </c>
      <c r="B14154" t="s">
        <v>9776</v>
      </c>
      <c r="C14154" t="s">
        <v>9777</v>
      </c>
      <c r="D14154" t="str">
        <f>"1278"</f>
        <v>1278</v>
      </c>
      <c r="E14154" t="s">
        <v>100</v>
      </c>
      <c r="F14154" t="s">
        <v>2</v>
      </c>
      <c r="G14154" t="s">
        <v>16235</v>
      </c>
      <c r="H14154" t="s">
        <v>47126</v>
      </c>
      <c r="I14154" t="s">
        <v>47127</v>
      </c>
      <c r="J14154" t="s">
        <v>47128</v>
      </c>
      <c r="K14154" t="s">
        <v>47113</v>
      </c>
      <c r="L14154">
        <v>41.65</v>
      </c>
      <c r="M14154">
        <v>77</v>
      </c>
      <c r="N14154">
        <v>0</v>
      </c>
      <c r="O14154">
        <v>77</v>
      </c>
      <c r="P14154">
        <v>0</v>
      </c>
    </row>
    <row r="14155" spans="1:16" x14ac:dyDescent="0.25">
      <c r="A14155" t="s">
        <v>36919</v>
      </c>
      <c r="B14155" t="s">
        <v>9776</v>
      </c>
      <c r="C14155" t="s">
        <v>9777</v>
      </c>
      <c r="D14155" t="str">
        <f>"3195"</f>
        <v>3195</v>
      </c>
      <c r="E14155" t="s">
        <v>9775</v>
      </c>
      <c r="F14155" t="s">
        <v>2</v>
      </c>
      <c r="G14155" t="s">
        <v>16235</v>
      </c>
      <c r="H14155" t="s">
        <v>47126</v>
      </c>
      <c r="I14155" t="s">
        <v>47127</v>
      </c>
      <c r="J14155" t="s">
        <v>47128</v>
      </c>
      <c r="K14155" t="s">
        <v>47113</v>
      </c>
      <c r="L14155">
        <v>41.29</v>
      </c>
      <c r="M14155">
        <v>101</v>
      </c>
      <c r="N14155">
        <v>0</v>
      </c>
      <c r="O14155">
        <v>101</v>
      </c>
      <c r="P14155">
        <v>0</v>
      </c>
    </row>
    <row r="14156" spans="1:16" x14ac:dyDescent="0.25">
      <c r="A14156" t="s">
        <v>36920</v>
      </c>
      <c r="B14156" t="s">
        <v>9776</v>
      </c>
      <c r="C14156" t="s">
        <v>9777</v>
      </c>
      <c r="D14156" t="str">
        <f>"4643"</f>
        <v>4643</v>
      </c>
      <c r="E14156" t="s">
        <v>205</v>
      </c>
      <c r="F14156" t="s">
        <v>2</v>
      </c>
      <c r="G14156" t="s">
        <v>16235</v>
      </c>
      <c r="H14156" t="s">
        <v>47126</v>
      </c>
      <c r="I14156" t="s">
        <v>47127</v>
      </c>
      <c r="J14156" t="s">
        <v>47128</v>
      </c>
      <c r="K14156" t="s">
        <v>47113</v>
      </c>
      <c r="L14156">
        <v>41.3</v>
      </c>
      <c r="M14156">
        <v>77</v>
      </c>
      <c r="N14156">
        <v>0</v>
      </c>
      <c r="O14156">
        <v>77</v>
      </c>
      <c r="P14156">
        <v>0</v>
      </c>
    </row>
    <row r="14157" spans="1:16" x14ac:dyDescent="0.25">
      <c r="A14157" t="s">
        <v>36921</v>
      </c>
      <c r="B14157" t="s">
        <v>9776</v>
      </c>
      <c r="C14157" t="s">
        <v>9777</v>
      </c>
      <c r="D14157" t="str">
        <f>"4645"</f>
        <v>4645</v>
      </c>
      <c r="E14157" t="s">
        <v>9770</v>
      </c>
      <c r="F14157" t="s">
        <v>2</v>
      </c>
      <c r="G14157" t="s">
        <v>16235</v>
      </c>
      <c r="H14157" t="s">
        <v>47126</v>
      </c>
      <c r="I14157" t="s">
        <v>47127</v>
      </c>
      <c r="J14157" t="s">
        <v>47128</v>
      </c>
      <c r="K14157" t="s">
        <v>47113</v>
      </c>
      <c r="L14157">
        <v>41.32</v>
      </c>
      <c r="M14157">
        <v>77</v>
      </c>
      <c r="N14157">
        <v>0</v>
      </c>
      <c r="O14157">
        <v>77</v>
      </c>
      <c r="P14157">
        <v>0</v>
      </c>
    </row>
    <row r="14158" spans="1:16" x14ac:dyDescent="0.25">
      <c r="A14158" t="s">
        <v>36922</v>
      </c>
      <c r="B14158" t="s">
        <v>9776</v>
      </c>
      <c r="C14158" t="s">
        <v>9777</v>
      </c>
      <c r="D14158" t="str">
        <f>"6182"</f>
        <v>6182</v>
      </c>
      <c r="E14158" t="s">
        <v>202</v>
      </c>
      <c r="F14158" t="s">
        <v>2</v>
      </c>
      <c r="G14158" t="s">
        <v>16235</v>
      </c>
      <c r="H14158" t="s">
        <v>47126</v>
      </c>
      <c r="I14158" t="s">
        <v>47127</v>
      </c>
      <c r="J14158" t="s">
        <v>47128</v>
      </c>
      <c r="K14158" t="s">
        <v>47113</v>
      </c>
      <c r="L14158">
        <v>41.29</v>
      </c>
      <c r="M14158">
        <v>77</v>
      </c>
      <c r="N14158">
        <v>0</v>
      </c>
      <c r="O14158">
        <v>77</v>
      </c>
      <c r="P14158">
        <v>0</v>
      </c>
    </row>
    <row r="14159" spans="1:16" x14ac:dyDescent="0.25">
      <c r="A14159" t="s">
        <v>36923</v>
      </c>
      <c r="B14159" t="s">
        <v>9778</v>
      </c>
      <c r="C14159" t="s">
        <v>9779</v>
      </c>
      <c r="D14159" t="str">
        <f>"1368"</f>
        <v>1368</v>
      </c>
      <c r="E14159" t="s">
        <v>194</v>
      </c>
      <c r="F14159" t="s">
        <v>2</v>
      </c>
      <c r="G14159" t="s">
        <v>16221</v>
      </c>
      <c r="H14159" t="s">
        <v>47126</v>
      </c>
      <c r="I14159" t="s">
        <v>47127</v>
      </c>
      <c r="J14159" t="s">
        <v>47128</v>
      </c>
      <c r="K14159" t="s">
        <v>47113</v>
      </c>
      <c r="L14159">
        <v>18.62</v>
      </c>
      <c r="M14159">
        <v>56</v>
      </c>
      <c r="N14159">
        <v>0</v>
      </c>
      <c r="O14159">
        <v>56</v>
      </c>
      <c r="P14159">
        <v>0</v>
      </c>
    </row>
    <row r="14160" spans="1:16" x14ac:dyDescent="0.25">
      <c r="A14160" t="s">
        <v>36924</v>
      </c>
      <c r="B14160" t="s">
        <v>9778</v>
      </c>
      <c r="C14160" t="s">
        <v>9779</v>
      </c>
      <c r="D14160" t="str">
        <f>"1700"</f>
        <v>1700</v>
      </c>
      <c r="E14160" t="s">
        <v>60</v>
      </c>
      <c r="F14160" t="s">
        <v>2</v>
      </c>
      <c r="G14160" t="s">
        <v>16221</v>
      </c>
      <c r="H14160" t="s">
        <v>47126</v>
      </c>
      <c r="I14160" t="s">
        <v>47127</v>
      </c>
      <c r="J14160" t="s">
        <v>47128</v>
      </c>
      <c r="K14160" t="s">
        <v>47113</v>
      </c>
      <c r="L14160">
        <v>18.63</v>
      </c>
      <c r="M14160">
        <v>56</v>
      </c>
      <c r="N14160">
        <v>0</v>
      </c>
      <c r="O14160">
        <v>56</v>
      </c>
      <c r="P14160">
        <v>0</v>
      </c>
    </row>
    <row r="14161" spans="1:16" x14ac:dyDescent="0.25">
      <c r="A14161" t="s">
        <v>36925</v>
      </c>
      <c r="B14161" t="s">
        <v>9778</v>
      </c>
      <c r="C14161" t="s">
        <v>9779</v>
      </c>
      <c r="D14161" t="str">
        <f>"4644"</f>
        <v>4644</v>
      </c>
      <c r="E14161" t="s">
        <v>201</v>
      </c>
      <c r="F14161" t="s">
        <v>2</v>
      </c>
      <c r="G14161" t="s">
        <v>16221</v>
      </c>
      <c r="H14161" t="s">
        <v>47126</v>
      </c>
      <c r="I14161" t="s">
        <v>47127</v>
      </c>
      <c r="J14161" t="s">
        <v>47128</v>
      </c>
      <c r="K14161" t="s">
        <v>47113</v>
      </c>
      <c r="L14161">
        <v>21.15</v>
      </c>
      <c r="M14161">
        <v>56</v>
      </c>
      <c r="N14161">
        <v>0</v>
      </c>
      <c r="O14161">
        <v>56</v>
      </c>
      <c r="P14161">
        <v>0</v>
      </c>
    </row>
    <row r="14162" spans="1:16" x14ac:dyDescent="0.25">
      <c r="A14162" t="s">
        <v>36926</v>
      </c>
      <c r="B14162" t="s">
        <v>9778</v>
      </c>
      <c r="C14162" t="s">
        <v>9779</v>
      </c>
      <c r="D14162" t="str">
        <f>"6182"</f>
        <v>6182</v>
      </c>
      <c r="E14162" t="s">
        <v>202</v>
      </c>
      <c r="F14162" t="s">
        <v>2</v>
      </c>
      <c r="G14162" t="s">
        <v>16221</v>
      </c>
      <c r="H14162" t="s">
        <v>47126</v>
      </c>
      <c r="I14162" t="s">
        <v>47127</v>
      </c>
      <c r="J14162" t="s">
        <v>47128</v>
      </c>
      <c r="K14162" t="s">
        <v>47113</v>
      </c>
      <c r="L14162">
        <v>18.62</v>
      </c>
      <c r="M14162">
        <v>56</v>
      </c>
      <c r="N14162">
        <v>0</v>
      </c>
      <c r="O14162">
        <v>56</v>
      </c>
      <c r="P14162">
        <v>0</v>
      </c>
    </row>
    <row r="14163" spans="1:16" x14ac:dyDescent="0.25">
      <c r="A14163" t="s">
        <v>36927</v>
      </c>
      <c r="B14163" t="s">
        <v>9780</v>
      </c>
      <c r="C14163" t="s">
        <v>9781</v>
      </c>
      <c r="D14163" t="str">
        <f>"1368"</f>
        <v>1368</v>
      </c>
      <c r="E14163" t="s">
        <v>194</v>
      </c>
      <c r="F14163" t="s">
        <v>2</v>
      </c>
      <c r="G14163" t="s">
        <v>16221</v>
      </c>
      <c r="I14163" t="s">
        <v>47127</v>
      </c>
      <c r="J14163" t="s">
        <v>47128</v>
      </c>
      <c r="K14163" t="s">
        <v>47113</v>
      </c>
      <c r="L14163">
        <v>19.559999999999999</v>
      </c>
      <c r="M14163">
        <v>38</v>
      </c>
      <c r="N14163">
        <v>0</v>
      </c>
      <c r="O14163">
        <v>38</v>
      </c>
      <c r="P14163">
        <v>0</v>
      </c>
    </row>
    <row r="14164" spans="1:16" x14ac:dyDescent="0.25">
      <c r="A14164" t="s">
        <v>36928</v>
      </c>
      <c r="B14164" t="s">
        <v>9780</v>
      </c>
      <c r="C14164" t="s">
        <v>9781</v>
      </c>
      <c r="D14164" t="str">
        <f>"1700"</f>
        <v>1700</v>
      </c>
      <c r="E14164" t="s">
        <v>60</v>
      </c>
      <c r="F14164" t="s">
        <v>2</v>
      </c>
      <c r="G14164" t="s">
        <v>16221</v>
      </c>
      <c r="I14164" t="s">
        <v>47127</v>
      </c>
      <c r="J14164" t="s">
        <v>47128</v>
      </c>
      <c r="K14164" t="s">
        <v>47113</v>
      </c>
      <c r="L14164">
        <v>19.559999999999999</v>
      </c>
      <c r="M14164">
        <v>38</v>
      </c>
      <c r="N14164">
        <v>0</v>
      </c>
      <c r="O14164">
        <v>38</v>
      </c>
      <c r="P14164">
        <v>0</v>
      </c>
    </row>
    <row r="14165" spans="1:16" x14ac:dyDescent="0.25">
      <c r="A14165" t="s">
        <v>36929</v>
      </c>
      <c r="B14165" t="s">
        <v>9780</v>
      </c>
      <c r="C14165" t="s">
        <v>9781</v>
      </c>
      <c r="D14165" t="str">
        <f>"3195"</f>
        <v>3195</v>
      </c>
      <c r="E14165" t="s">
        <v>9775</v>
      </c>
      <c r="F14165" t="s">
        <v>2</v>
      </c>
      <c r="G14165" t="s">
        <v>16221</v>
      </c>
      <c r="I14165" t="s">
        <v>47127</v>
      </c>
      <c r="J14165" t="s">
        <v>47128</v>
      </c>
      <c r="K14165" t="s">
        <v>47113</v>
      </c>
      <c r="L14165">
        <v>19.559999999999999</v>
      </c>
      <c r="M14165">
        <v>52</v>
      </c>
      <c r="N14165">
        <v>0</v>
      </c>
      <c r="O14165">
        <v>52</v>
      </c>
      <c r="P14165">
        <v>0</v>
      </c>
    </row>
    <row r="14166" spans="1:16" x14ac:dyDescent="0.25">
      <c r="A14166" t="s">
        <v>36930</v>
      </c>
      <c r="B14166" t="s">
        <v>9780</v>
      </c>
      <c r="C14166" t="s">
        <v>9781</v>
      </c>
      <c r="D14166" t="str">
        <f>"4643"</f>
        <v>4643</v>
      </c>
      <c r="E14166" t="s">
        <v>205</v>
      </c>
      <c r="F14166" t="s">
        <v>2</v>
      </c>
      <c r="G14166" t="s">
        <v>16221</v>
      </c>
      <c r="I14166" t="s">
        <v>47127</v>
      </c>
      <c r="J14166" t="s">
        <v>47128</v>
      </c>
      <c r="K14166" t="s">
        <v>47113</v>
      </c>
      <c r="L14166">
        <v>19.559999999999999</v>
      </c>
      <c r="M14166">
        <v>38</v>
      </c>
      <c r="N14166">
        <v>0</v>
      </c>
      <c r="O14166">
        <v>38</v>
      </c>
      <c r="P14166">
        <v>0</v>
      </c>
    </row>
    <row r="14167" spans="1:16" x14ac:dyDescent="0.25">
      <c r="A14167" t="s">
        <v>36931</v>
      </c>
      <c r="B14167" t="s">
        <v>9782</v>
      </c>
      <c r="C14167" t="s">
        <v>9783</v>
      </c>
      <c r="D14167" t="str">
        <f>"1004"</f>
        <v>1004</v>
      </c>
      <c r="E14167" t="s">
        <v>200</v>
      </c>
      <c r="F14167" t="s">
        <v>2</v>
      </c>
      <c r="G14167" t="s">
        <v>16221</v>
      </c>
      <c r="H14167" t="s">
        <v>47126</v>
      </c>
      <c r="I14167" t="s">
        <v>47127</v>
      </c>
      <c r="J14167" t="s">
        <v>47128</v>
      </c>
      <c r="K14167" t="s">
        <v>47113</v>
      </c>
      <c r="L14167">
        <v>20.74</v>
      </c>
      <c r="M14167">
        <v>38</v>
      </c>
      <c r="N14167">
        <v>0</v>
      </c>
      <c r="O14167">
        <v>38</v>
      </c>
      <c r="P14167">
        <v>0</v>
      </c>
    </row>
    <row r="14168" spans="1:16" x14ac:dyDescent="0.25">
      <c r="A14168" t="s">
        <v>36932</v>
      </c>
      <c r="B14168" t="s">
        <v>9782</v>
      </c>
      <c r="C14168" t="s">
        <v>9783</v>
      </c>
      <c r="D14168" t="str">
        <f>"1368"</f>
        <v>1368</v>
      </c>
      <c r="E14168" t="s">
        <v>194</v>
      </c>
      <c r="F14168" t="s">
        <v>2</v>
      </c>
      <c r="G14168" t="s">
        <v>16221</v>
      </c>
      <c r="H14168" t="s">
        <v>47126</v>
      </c>
      <c r="I14168" t="s">
        <v>47127</v>
      </c>
      <c r="J14168" t="s">
        <v>47128</v>
      </c>
      <c r="K14168" t="s">
        <v>47113</v>
      </c>
      <c r="L14168">
        <v>20.62</v>
      </c>
      <c r="M14168">
        <v>38</v>
      </c>
      <c r="N14168">
        <v>0</v>
      </c>
      <c r="O14168">
        <v>38</v>
      </c>
      <c r="P14168">
        <v>0</v>
      </c>
    </row>
    <row r="14169" spans="1:16" x14ac:dyDescent="0.25">
      <c r="A14169" t="s">
        <v>36933</v>
      </c>
      <c r="B14169" t="s">
        <v>9782</v>
      </c>
      <c r="C14169" t="s">
        <v>9783</v>
      </c>
      <c r="D14169" t="str">
        <f>"1700"</f>
        <v>1700</v>
      </c>
      <c r="E14169" t="s">
        <v>60</v>
      </c>
      <c r="F14169" t="s">
        <v>2</v>
      </c>
      <c r="G14169" t="s">
        <v>16221</v>
      </c>
      <c r="H14169" t="s">
        <v>47126</v>
      </c>
      <c r="I14169" t="s">
        <v>47127</v>
      </c>
      <c r="J14169" t="s">
        <v>47128</v>
      </c>
      <c r="K14169" t="s">
        <v>47113</v>
      </c>
      <c r="L14169">
        <v>20.79</v>
      </c>
      <c r="M14169">
        <v>38</v>
      </c>
      <c r="N14169">
        <v>0</v>
      </c>
      <c r="O14169">
        <v>38</v>
      </c>
      <c r="P14169">
        <v>0</v>
      </c>
    </row>
    <row r="14170" spans="1:16" x14ac:dyDescent="0.25">
      <c r="A14170" t="s">
        <v>36934</v>
      </c>
      <c r="B14170" t="s">
        <v>9782</v>
      </c>
      <c r="C14170" t="s">
        <v>9783</v>
      </c>
      <c r="D14170" t="str">
        <f>"3195"</f>
        <v>3195</v>
      </c>
      <c r="E14170" t="s">
        <v>9775</v>
      </c>
      <c r="F14170" t="s">
        <v>2</v>
      </c>
      <c r="G14170" t="s">
        <v>16221</v>
      </c>
      <c r="H14170" t="s">
        <v>47126</v>
      </c>
      <c r="I14170" t="s">
        <v>47127</v>
      </c>
      <c r="J14170" t="s">
        <v>47128</v>
      </c>
      <c r="K14170" t="s">
        <v>47113</v>
      </c>
      <c r="L14170">
        <v>20.59</v>
      </c>
      <c r="M14170">
        <v>38</v>
      </c>
      <c r="N14170">
        <v>0</v>
      </c>
      <c r="O14170">
        <v>38</v>
      </c>
      <c r="P14170">
        <v>0</v>
      </c>
    </row>
    <row r="14171" spans="1:16" x14ac:dyDescent="0.25">
      <c r="A14171" t="s">
        <v>36935</v>
      </c>
      <c r="B14171" t="s">
        <v>9782</v>
      </c>
      <c r="C14171" t="s">
        <v>9783</v>
      </c>
      <c r="D14171" t="str">
        <f>"4643"</f>
        <v>4643</v>
      </c>
      <c r="E14171" t="s">
        <v>205</v>
      </c>
      <c r="F14171" t="s">
        <v>2</v>
      </c>
      <c r="G14171" t="s">
        <v>16221</v>
      </c>
      <c r="H14171" t="s">
        <v>47126</v>
      </c>
      <c r="I14171" t="s">
        <v>47127</v>
      </c>
      <c r="J14171" t="s">
        <v>47128</v>
      </c>
      <c r="K14171" t="s">
        <v>47113</v>
      </c>
      <c r="L14171">
        <v>20.58</v>
      </c>
      <c r="M14171">
        <v>38</v>
      </c>
      <c r="N14171">
        <v>0</v>
      </c>
      <c r="O14171">
        <v>38</v>
      </c>
      <c r="P14171">
        <v>0</v>
      </c>
    </row>
    <row r="14172" spans="1:16" x14ac:dyDescent="0.25">
      <c r="A14172" t="s">
        <v>36936</v>
      </c>
      <c r="B14172" t="s">
        <v>9782</v>
      </c>
      <c r="C14172" t="s">
        <v>9783</v>
      </c>
      <c r="D14172" t="str">
        <f>"4645"</f>
        <v>4645</v>
      </c>
      <c r="E14172" t="s">
        <v>9770</v>
      </c>
      <c r="F14172" t="s">
        <v>2</v>
      </c>
      <c r="G14172" t="s">
        <v>16221</v>
      </c>
      <c r="H14172" t="s">
        <v>47126</v>
      </c>
      <c r="I14172" t="s">
        <v>47127</v>
      </c>
      <c r="J14172" t="s">
        <v>47128</v>
      </c>
      <c r="K14172" t="s">
        <v>47113</v>
      </c>
      <c r="L14172">
        <v>20.63</v>
      </c>
      <c r="M14172">
        <v>38</v>
      </c>
      <c r="N14172">
        <v>0</v>
      </c>
      <c r="O14172">
        <v>38</v>
      </c>
      <c r="P14172">
        <v>0</v>
      </c>
    </row>
    <row r="14173" spans="1:16" x14ac:dyDescent="0.25">
      <c r="A14173" t="s">
        <v>36937</v>
      </c>
      <c r="B14173" t="s">
        <v>9782</v>
      </c>
      <c r="C14173" t="s">
        <v>9783</v>
      </c>
      <c r="D14173" t="str">
        <f>"4646"</f>
        <v>4646</v>
      </c>
      <c r="E14173" t="s">
        <v>9741</v>
      </c>
      <c r="F14173" t="s">
        <v>2</v>
      </c>
      <c r="G14173" t="s">
        <v>16221</v>
      </c>
      <c r="H14173" t="s">
        <v>47126</v>
      </c>
      <c r="I14173" t="s">
        <v>47127</v>
      </c>
      <c r="J14173" t="s">
        <v>47128</v>
      </c>
      <c r="K14173" t="s">
        <v>47113</v>
      </c>
      <c r="L14173">
        <v>20.79</v>
      </c>
      <c r="M14173">
        <v>38</v>
      </c>
      <c r="N14173">
        <v>0</v>
      </c>
      <c r="O14173">
        <v>38</v>
      </c>
      <c r="P14173">
        <v>0</v>
      </c>
    </row>
    <row r="14174" spans="1:16" x14ac:dyDescent="0.25">
      <c r="A14174" t="s">
        <v>36938</v>
      </c>
      <c r="B14174" t="s">
        <v>9782</v>
      </c>
      <c r="C14174" t="s">
        <v>9783</v>
      </c>
      <c r="D14174" t="str">
        <f>"6012"</f>
        <v>6012</v>
      </c>
      <c r="E14174" t="s">
        <v>206</v>
      </c>
      <c r="F14174" t="s">
        <v>2</v>
      </c>
      <c r="G14174" t="s">
        <v>16221</v>
      </c>
      <c r="H14174" t="s">
        <v>47126</v>
      </c>
      <c r="I14174" t="s">
        <v>47127</v>
      </c>
      <c r="J14174" t="s">
        <v>47128</v>
      </c>
      <c r="K14174" t="s">
        <v>47113</v>
      </c>
      <c r="L14174">
        <v>20.73</v>
      </c>
      <c r="M14174">
        <v>38</v>
      </c>
      <c r="N14174">
        <v>0</v>
      </c>
      <c r="O14174">
        <v>38</v>
      </c>
      <c r="P14174">
        <v>0</v>
      </c>
    </row>
    <row r="14175" spans="1:16" x14ac:dyDescent="0.25">
      <c r="A14175" t="s">
        <v>36939</v>
      </c>
      <c r="B14175" t="s">
        <v>9784</v>
      </c>
      <c r="C14175" t="s">
        <v>9785</v>
      </c>
      <c r="D14175" t="str">
        <f>"1368"</f>
        <v>1368</v>
      </c>
      <c r="E14175" t="s">
        <v>194</v>
      </c>
      <c r="F14175" t="s">
        <v>2</v>
      </c>
      <c r="G14175" t="s">
        <v>16221</v>
      </c>
      <c r="H14175" t="s">
        <v>47126</v>
      </c>
      <c r="I14175" t="s">
        <v>47127</v>
      </c>
      <c r="J14175" t="s">
        <v>47128</v>
      </c>
      <c r="K14175" t="s">
        <v>47113</v>
      </c>
      <c r="L14175">
        <v>18.809999999999999</v>
      </c>
      <c r="M14175">
        <v>39</v>
      </c>
      <c r="N14175">
        <v>0</v>
      </c>
      <c r="O14175">
        <v>39</v>
      </c>
      <c r="P14175">
        <v>0</v>
      </c>
    </row>
    <row r="14176" spans="1:16" x14ac:dyDescent="0.25">
      <c r="A14176" t="s">
        <v>36940</v>
      </c>
      <c r="B14176" t="s">
        <v>9784</v>
      </c>
      <c r="C14176" t="s">
        <v>9785</v>
      </c>
      <c r="D14176" t="str">
        <f>"1700"</f>
        <v>1700</v>
      </c>
      <c r="E14176" t="s">
        <v>60</v>
      </c>
      <c r="F14176" t="s">
        <v>2</v>
      </c>
      <c r="G14176" t="s">
        <v>16221</v>
      </c>
      <c r="H14176" t="s">
        <v>47126</v>
      </c>
      <c r="I14176" t="s">
        <v>47127</v>
      </c>
      <c r="J14176" t="s">
        <v>47128</v>
      </c>
      <c r="K14176" t="s">
        <v>47113</v>
      </c>
      <c r="L14176">
        <v>18.82</v>
      </c>
      <c r="M14176">
        <v>39</v>
      </c>
      <c r="N14176">
        <v>0</v>
      </c>
      <c r="O14176">
        <v>39</v>
      </c>
      <c r="P14176">
        <v>0</v>
      </c>
    </row>
    <row r="14177" spans="1:16" x14ac:dyDescent="0.25">
      <c r="A14177" t="s">
        <v>36941</v>
      </c>
      <c r="B14177" t="s">
        <v>9784</v>
      </c>
      <c r="C14177" t="s">
        <v>9785</v>
      </c>
      <c r="D14177" t="str">
        <f>"3195"</f>
        <v>3195</v>
      </c>
      <c r="E14177" t="s">
        <v>9775</v>
      </c>
      <c r="F14177" t="s">
        <v>2</v>
      </c>
      <c r="G14177" t="s">
        <v>16221</v>
      </c>
      <c r="H14177" t="s">
        <v>47126</v>
      </c>
      <c r="I14177" t="s">
        <v>47127</v>
      </c>
      <c r="J14177" t="s">
        <v>47128</v>
      </c>
      <c r="K14177" t="s">
        <v>47113</v>
      </c>
      <c r="L14177">
        <v>18.809999999999999</v>
      </c>
      <c r="M14177">
        <v>39</v>
      </c>
      <c r="N14177">
        <v>0</v>
      </c>
      <c r="O14177">
        <v>39</v>
      </c>
      <c r="P14177">
        <v>0</v>
      </c>
    </row>
    <row r="14178" spans="1:16" x14ac:dyDescent="0.25">
      <c r="A14178" t="s">
        <v>36942</v>
      </c>
      <c r="B14178" t="s">
        <v>9784</v>
      </c>
      <c r="C14178" t="s">
        <v>9785</v>
      </c>
      <c r="D14178" t="str">
        <f>"4643"</f>
        <v>4643</v>
      </c>
      <c r="E14178" t="s">
        <v>205</v>
      </c>
      <c r="F14178" t="s">
        <v>2</v>
      </c>
      <c r="G14178" t="s">
        <v>16221</v>
      </c>
      <c r="H14178" t="s">
        <v>47126</v>
      </c>
      <c r="I14178" t="s">
        <v>47127</v>
      </c>
      <c r="J14178" t="s">
        <v>47128</v>
      </c>
      <c r="K14178" t="s">
        <v>47113</v>
      </c>
      <c r="L14178">
        <v>18.8</v>
      </c>
      <c r="M14178">
        <v>39</v>
      </c>
      <c r="N14178">
        <v>0</v>
      </c>
      <c r="O14178">
        <v>39</v>
      </c>
      <c r="P14178">
        <v>0</v>
      </c>
    </row>
    <row r="14179" spans="1:16" x14ac:dyDescent="0.25">
      <c r="A14179" t="s">
        <v>36943</v>
      </c>
      <c r="B14179" t="s">
        <v>9784</v>
      </c>
      <c r="C14179" t="s">
        <v>9785</v>
      </c>
      <c r="D14179" t="str">
        <f>"4645"</f>
        <v>4645</v>
      </c>
      <c r="E14179" t="s">
        <v>9770</v>
      </c>
      <c r="F14179" t="s">
        <v>2</v>
      </c>
      <c r="G14179" t="s">
        <v>16221</v>
      </c>
      <c r="H14179" t="s">
        <v>47126</v>
      </c>
      <c r="I14179" t="s">
        <v>47127</v>
      </c>
      <c r="J14179" t="s">
        <v>47128</v>
      </c>
      <c r="K14179" t="s">
        <v>47113</v>
      </c>
      <c r="L14179">
        <v>18.809999999999999</v>
      </c>
      <c r="M14179">
        <v>39</v>
      </c>
      <c r="N14179">
        <v>0</v>
      </c>
      <c r="O14179">
        <v>39</v>
      </c>
      <c r="P14179">
        <v>0</v>
      </c>
    </row>
    <row r="14180" spans="1:16" x14ac:dyDescent="0.25">
      <c r="A14180" t="s">
        <v>36944</v>
      </c>
      <c r="B14180" t="s">
        <v>9784</v>
      </c>
      <c r="C14180" t="s">
        <v>9785</v>
      </c>
      <c r="D14180" t="str">
        <f>"6182"</f>
        <v>6182</v>
      </c>
      <c r="E14180" t="s">
        <v>202</v>
      </c>
      <c r="F14180" t="s">
        <v>2</v>
      </c>
      <c r="G14180" t="s">
        <v>16221</v>
      </c>
      <c r="H14180" t="s">
        <v>47126</v>
      </c>
      <c r="I14180" t="s">
        <v>47127</v>
      </c>
      <c r="J14180" t="s">
        <v>47128</v>
      </c>
      <c r="K14180" t="s">
        <v>47113</v>
      </c>
      <c r="L14180">
        <v>18.829999999999998</v>
      </c>
      <c r="M14180">
        <v>39</v>
      </c>
      <c r="N14180">
        <v>0</v>
      </c>
      <c r="O14180">
        <v>39</v>
      </c>
      <c r="P14180">
        <v>0</v>
      </c>
    </row>
    <row r="14181" spans="1:16" x14ac:dyDescent="0.25">
      <c r="A14181" t="s">
        <v>36945</v>
      </c>
      <c r="B14181" t="s">
        <v>9784</v>
      </c>
      <c r="C14181" t="s">
        <v>9785</v>
      </c>
      <c r="D14181" t="str">
        <f>"8000"</f>
        <v>8000</v>
      </c>
      <c r="E14181" t="s">
        <v>9786</v>
      </c>
      <c r="F14181" t="s">
        <v>2</v>
      </c>
      <c r="G14181" t="s">
        <v>16221</v>
      </c>
      <c r="H14181" t="s">
        <v>47126</v>
      </c>
      <c r="I14181" t="s">
        <v>47127</v>
      </c>
      <c r="J14181" t="s">
        <v>47128</v>
      </c>
      <c r="K14181" t="s">
        <v>47113</v>
      </c>
      <c r="L14181">
        <v>22.81</v>
      </c>
      <c r="M14181">
        <v>39</v>
      </c>
      <c r="N14181">
        <v>0</v>
      </c>
      <c r="O14181">
        <v>39</v>
      </c>
      <c r="P14181">
        <v>0</v>
      </c>
    </row>
    <row r="14182" spans="1:16" x14ac:dyDescent="0.25">
      <c r="A14182" t="s">
        <v>36946</v>
      </c>
      <c r="B14182" t="s">
        <v>9787</v>
      </c>
      <c r="C14182" t="s">
        <v>9788</v>
      </c>
      <c r="D14182" t="str">
        <f>"4643"</f>
        <v>4643</v>
      </c>
      <c r="E14182" t="s">
        <v>205</v>
      </c>
      <c r="F14182" t="s">
        <v>2</v>
      </c>
      <c r="G14182" t="s">
        <v>16235</v>
      </c>
      <c r="I14182" t="s">
        <v>47127</v>
      </c>
      <c r="J14182" t="s">
        <v>47128</v>
      </c>
      <c r="K14182" t="s">
        <v>47113</v>
      </c>
      <c r="L14182">
        <v>43.18</v>
      </c>
      <c r="M14182">
        <v>113</v>
      </c>
      <c r="N14182">
        <v>0</v>
      </c>
      <c r="O14182">
        <v>113</v>
      </c>
      <c r="P14182">
        <v>0</v>
      </c>
    </row>
    <row r="14183" spans="1:16" x14ac:dyDescent="0.25">
      <c r="A14183" t="s">
        <v>36947</v>
      </c>
      <c r="B14183" t="s">
        <v>9789</v>
      </c>
      <c r="C14183" t="s">
        <v>9790</v>
      </c>
      <c r="D14183" t="str">
        <f>"6182"</f>
        <v>6182</v>
      </c>
      <c r="E14183" t="s">
        <v>202</v>
      </c>
      <c r="F14183" t="s">
        <v>2</v>
      </c>
      <c r="G14183" t="s">
        <v>16221</v>
      </c>
      <c r="H14183" t="s">
        <v>47126</v>
      </c>
      <c r="I14183" t="s">
        <v>47127</v>
      </c>
      <c r="J14183" t="s">
        <v>47128</v>
      </c>
      <c r="K14183" t="s">
        <v>47113</v>
      </c>
      <c r="L14183">
        <v>13.41</v>
      </c>
      <c r="M14183">
        <v>29</v>
      </c>
      <c r="N14183">
        <v>0</v>
      </c>
      <c r="O14183">
        <v>29</v>
      </c>
      <c r="P14183">
        <v>0</v>
      </c>
    </row>
    <row r="14184" spans="1:16" x14ac:dyDescent="0.25">
      <c r="A14184" t="s">
        <v>36948</v>
      </c>
      <c r="B14184" t="s">
        <v>9791</v>
      </c>
      <c r="C14184" t="s">
        <v>9790</v>
      </c>
      <c r="D14184" t="str">
        <f>"1278"</f>
        <v>1278</v>
      </c>
      <c r="E14184" t="s">
        <v>100</v>
      </c>
      <c r="F14184" t="s">
        <v>2</v>
      </c>
      <c r="G14184" t="s">
        <v>16221</v>
      </c>
      <c r="H14184" t="s">
        <v>47126</v>
      </c>
      <c r="I14184" t="s">
        <v>47127</v>
      </c>
      <c r="J14184" t="s">
        <v>47128</v>
      </c>
      <c r="K14184" t="s">
        <v>47113</v>
      </c>
      <c r="L14184">
        <v>13.67</v>
      </c>
      <c r="M14184">
        <v>44</v>
      </c>
      <c r="N14184">
        <v>0</v>
      </c>
      <c r="O14184">
        <v>44</v>
      </c>
      <c r="P14184">
        <v>0</v>
      </c>
    </row>
    <row r="14185" spans="1:16" x14ac:dyDescent="0.25">
      <c r="A14185" t="s">
        <v>15020</v>
      </c>
      <c r="B14185" t="s">
        <v>9791</v>
      </c>
      <c r="C14185" t="s">
        <v>9790</v>
      </c>
      <c r="D14185" t="str">
        <f>"1700"</f>
        <v>1700</v>
      </c>
      <c r="E14185" t="s">
        <v>60</v>
      </c>
      <c r="F14185" t="s">
        <v>2</v>
      </c>
      <c r="G14185" t="s">
        <v>16221</v>
      </c>
      <c r="H14185" t="s">
        <v>47126</v>
      </c>
      <c r="I14185" t="s">
        <v>47127</v>
      </c>
      <c r="J14185" t="s">
        <v>47128</v>
      </c>
      <c r="K14185" t="s">
        <v>47113</v>
      </c>
      <c r="L14185">
        <v>13.72</v>
      </c>
      <c r="M14185">
        <v>44</v>
      </c>
      <c r="N14185">
        <v>0</v>
      </c>
      <c r="O14185">
        <v>44</v>
      </c>
      <c r="P14185">
        <v>0</v>
      </c>
    </row>
    <row r="14186" spans="1:16" x14ac:dyDescent="0.25">
      <c r="A14186" t="s">
        <v>36949</v>
      </c>
      <c r="B14186" t="s">
        <v>9791</v>
      </c>
      <c r="C14186" t="s">
        <v>9790</v>
      </c>
      <c r="D14186" t="str">
        <f>"3195"</f>
        <v>3195</v>
      </c>
      <c r="E14186" t="s">
        <v>9775</v>
      </c>
      <c r="F14186" t="s">
        <v>2</v>
      </c>
      <c r="G14186" t="s">
        <v>16221</v>
      </c>
      <c r="H14186" t="s">
        <v>47126</v>
      </c>
      <c r="I14186" t="s">
        <v>47127</v>
      </c>
      <c r="J14186" t="s">
        <v>47128</v>
      </c>
      <c r="K14186" t="s">
        <v>47113</v>
      </c>
      <c r="L14186">
        <v>13.67</v>
      </c>
      <c r="M14186">
        <v>44</v>
      </c>
      <c r="N14186">
        <v>0</v>
      </c>
      <c r="O14186">
        <v>44</v>
      </c>
      <c r="P14186">
        <v>0</v>
      </c>
    </row>
    <row r="14187" spans="1:16" x14ac:dyDescent="0.25">
      <c r="A14187" t="s">
        <v>36950</v>
      </c>
      <c r="B14187" t="s">
        <v>9791</v>
      </c>
      <c r="C14187" t="s">
        <v>9790</v>
      </c>
      <c r="D14187" t="str">
        <f>"4646"</f>
        <v>4646</v>
      </c>
      <c r="E14187" t="s">
        <v>9741</v>
      </c>
      <c r="F14187" t="s">
        <v>2</v>
      </c>
      <c r="G14187" t="s">
        <v>16221</v>
      </c>
      <c r="H14187" t="s">
        <v>47126</v>
      </c>
      <c r="I14187" t="s">
        <v>47127</v>
      </c>
      <c r="J14187" t="s">
        <v>47128</v>
      </c>
      <c r="K14187" t="s">
        <v>47113</v>
      </c>
      <c r="L14187">
        <v>13.67</v>
      </c>
      <c r="M14187">
        <v>44</v>
      </c>
      <c r="N14187">
        <v>0</v>
      </c>
      <c r="O14187">
        <v>44</v>
      </c>
      <c r="P14187">
        <v>0</v>
      </c>
    </row>
    <row r="14188" spans="1:16" x14ac:dyDescent="0.25">
      <c r="A14188" t="s">
        <v>36951</v>
      </c>
      <c r="B14188" t="s">
        <v>9792</v>
      </c>
      <c r="C14188" t="s">
        <v>9793</v>
      </c>
      <c r="D14188" t="str">
        <f>"1004"</f>
        <v>1004</v>
      </c>
      <c r="E14188" t="s">
        <v>200</v>
      </c>
      <c r="F14188" t="s">
        <v>2</v>
      </c>
      <c r="G14188" t="s">
        <v>16221</v>
      </c>
      <c r="H14188" t="s">
        <v>47126</v>
      </c>
      <c r="I14188" t="s">
        <v>47127</v>
      </c>
      <c r="J14188" t="s">
        <v>47128</v>
      </c>
      <c r="K14188" t="s">
        <v>47113</v>
      </c>
      <c r="L14188">
        <v>16.28</v>
      </c>
      <c r="M14188">
        <v>29</v>
      </c>
      <c r="N14188">
        <v>0</v>
      </c>
      <c r="O14188">
        <v>29</v>
      </c>
      <c r="P14188">
        <v>0</v>
      </c>
    </row>
    <row r="14189" spans="1:16" x14ac:dyDescent="0.25">
      <c r="A14189" t="s">
        <v>36952</v>
      </c>
      <c r="B14189" t="s">
        <v>9792</v>
      </c>
      <c r="C14189" t="s">
        <v>9793</v>
      </c>
      <c r="D14189" t="str">
        <f>"1924"</f>
        <v>1924</v>
      </c>
      <c r="E14189" t="s">
        <v>9794</v>
      </c>
      <c r="F14189" t="s">
        <v>2</v>
      </c>
      <c r="G14189" t="s">
        <v>16221</v>
      </c>
      <c r="H14189" t="s">
        <v>47126</v>
      </c>
      <c r="I14189" t="s">
        <v>47127</v>
      </c>
      <c r="J14189" t="s">
        <v>47128</v>
      </c>
      <c r="K14189" t="s">
        <v>47113</v>
      </c>
      <c r="L14189">
        <v>13.41</v>
      </c>
      <c r="M14189">
        <v>29</v>
      </c>
      <c r="N14189">
        <v>0</v>
      </c>
      <c r="O14189">
        <v>29</v>
      </c>
      <c r="P14189">
        <v>0</v>
      </c>
    </row>
    <row r="14190" spans="1:16" x14ac:dyDescent="0.25">
      <c r="A14190" t="s">
        <v>36953</v>
      </c>
      <c r="B14190" t="s">
        <v>9792</v>
      </c>
      <c r="C14190" t="s">
        <v>9793</v>
      </c>
      <c r="D14190" t="str">
        <f>"4646"</f>
        <v>4646</v>
      </c>
      <c r="E14190" t="s">
        <v>9741</v>
      </c>
      <c r="F14190" t="s">
        <v>2</v>
      </c>
      <c r="G14190" t="s">
        <v>16221</v>
      </c>
      <c r="H14190" t="s">
        <v>47126</v>
      </c>
      <c r="I14190" t="s">
        <v>47127</v>
      </c>
      <c r="J14190" t="s">
        <v>47128</v>
      </c>
      <c r="K14190" t="s">
        <v>47113</v>
      </c>
      <c r="L14190">
        <v>13.51</v>
      </c>
      <c r="M14190">
        <v>29</v>
      </c>
      <c r="N14190">
        <v>0</v>
      </c>
      <c r="O14190">
        <v>29</v>
      </c>
      <c r="P14190">
        <v>0</v>
      </c>
    </row>
    <row r="14191" spans="1:16" x14ac:dyDescent="0.25">
      <c r="A14191" t="s">
        <v>36954</v>
      </c>
      <c r="B14191" t="s">
        <v>9795</v>
      </c>
      <c r="C14191" t="s">
        <v>9796</v>
      </c>
      <c r="D14191" t="str">
        <f>"1004"</f>
        <v>1004</v>
      </c>
      <c r="E14191" t="s">
        <v>200</v>
      </c>
      <c r="F14191" t="s">
        <v>2</v>
      </c>
      <c r="G14191" t="s">
        <v>16221</v>
      </c>
      <c r="H14191" t="s">
        <v>47126</v>
      </c>
      <c r="I14191" t="s">
        <v>47127</v>
      </c>
      <c r="J14191" t="s">
        <v>47128</v>
      </c>
      <c r="K14191" t="s">
        <v>47113</v>
      </c>
      <c r="L14191">
        <v>13.88</v>
      </c>
      <c r="M14191">
        <v>34</v>
      </c>
      <c r="N14191">
        <v>0</v>
      </c>
      <c r="O14191">
        <v>34</v>
      </c>
      <c r="P14191">
        <v>0</v>
      </c>
    </row>
    <row r="14192" spans="1:16" x14ac:dyDescent="0.25">
      <c r="A14192" t="s">
        <v>36955</v>
      </c>
      <c r="B14192" t="s">
        <v>9795</v>
      </c>
      <c r="C14192" t="s">
        <v>9796</v>
      </c>
      <c r="D14192" t="str">
        <f>"1278"</f>
        <v>1278</v>
      </c>
      <c r="E14192" t="s">
        <v>100</v>
      </c>
      <c r="F14192" t="s">
        <v>2</v>
      </c>
      <c r="G14192" t="s">
        <v>16221</v>
      </c>
      <c r="H14192" t="s">
        <v>47126</v>
      </c>
      <c r="I14192" t="s">
        <v>47127</v>
      </c>
      <c r="J14192" t="s">
        <v>47128</v>
      </c>
      <c r="K14192" t="s">
        <v>47113</v>
      </c>
      <c r="L14192">
        <v>13.88</v>
      </c>
      <c r="M14192">
        <v>34</v>
      </c>
      <c r="N14192">
        <v>0</v>
      </c>
      <c r="O14192">
        <v>34</v>
      </c>
      <c r="P14192">
        <v>0</v>
      </c>
    </row>
    <row r="14193" spans="1:16" x14ac:dyDescent="0.25">
      <c r="A14193" t="s">
        <v>36956</v>
      </c>
      <c r="B14193" t="s">
        <v>9795</v>
      </c>
      <c r="C14193" t="s">
        <v>9796</v>
      </c>
      <c r="D14193" t="str">
        <f>"1700"</f>
        <v>1700</v>
      </c>
      <c r="E14193" t="s">
        <v>60</v>
      </c>
      <c r="F14193" t="s">
        <v>2</v>
      </c>
      <c r="G14193" t="s">
        <v>16221</v>
      </c>
      <c r="H14193" t="s">
        <v>47126</v>
      </c>
      <c r="I14193" t="s">
        <v>47127</v>
      </c>
      <c r="J14193" t="s">
        <v>47128</v>
      </c>
      <c r="K14193" t="s">
        <v>47113</v>
      </c>
      <c r="L14193">
        <v>13.88</v>
      </c>
      <c r="M14193">
        <v>34</v>
      </c>
      <c r="N14193">
        <v>0</v>
      </c>
      <c r="O14193">
        <v>34</v>
      </c>
      <c r="P14193">
        <v>0</v>
      </c>
    </row>
    <row r="14194" spans="1:16" x14ac:dyDescent="0.25">
      <c r="A14194" t="s">
        <v>36957</v>
      </c>
      <c r="B14194" t="s">
        <v>9795</v>
      </c>
      <c r="C14194" t="s">
        <v>9796</v>
      </c>
      <c r="D14194" t="str">
        <f>"4643"</f>
        <v>4643</v>
      </c>
      <c r="E14194" t="s">
        <v>205</v>
      </c>
      <c r="F14194" t="s">
        <v>2</v>
      </c>
      <c r="G14194" t="s">
        <v>16221</v>
      </c>
      <c r="H14194" t="s">
        <v>47126</v>
      </c>
      <c r="I14194" t="s">
        <v>47127</v>
      </c>
      <c r="J14194" t="s">
        <v>47128</v>
      </c>
      <c r="K14194" t="s">
        <v>47113</v>
      </c>
      <c r="L14194">
        <v>16.79</v>
      </c>
      <c r="M14194">
        <v>34</v>
      </c>
      <c r="N14194">
        <v>0</v>
      </c>
      <c r="O14194">
        <v>34</v>
      </c>
      <c r="P14194">
        <v>0</v>
      </c>
    </row>
    <row r="14195" spans="1:16" x14ac:dyDescent="0.25">
      <c r="A14195" t="s">
        <v>36958</v>
      </c>
      <c r="B14195" t="s">
        <v>9795</v>
      </c>
      <c r="C14195" t="s">
        <v>9796</v>
      </c>
      <c r="D14195" t="str">
        <f>"6182"</f>
        <v>6182</v>
      </c>
      <c r="E14195" t="s">
        <v>202</v>
      </c>
      <c r="F14195" t="s">
        <v>2</v>
      </c>
      <c r="G14195" t="s">
        <v>16221</v>
      </c>
      <c r="H14195" t="s">
        <v>47126</v>
      </c>
      <c r="I14195" t="s">
        <v>47127</v>
      </c>
      <c r="J14195" t="s">
        <v>47128</v>
      </c>
      <c r="K14195" t="s">
        <v>47113</v>
      </c>
      <c r="L14195">
        <v>13.88</v>
      </c>
      <c r="M14195">
        <v>34</v>
      </c>
      <c r="N14195">
        <v>0</v>
      </c>
      <c r="O14195">
        <v>34</v>
      </c>
      <c r="P14195">
        <v>0</v>
      </c>
    </row>
    <row r="14196" spans="1:16" x14ac:dyDescent="0.25">
      <c r="A14196" t="s">
        <v>36959</v>
      </c>
      <c r="B14196" t="s">
        <v>9797</v>
      </c>
      <c r="C14196" t="s">
        <v>9798</v>
      </c>
      <c r="D14196" t="str">
        <f>"1700"</f>
        <v>1700</v>
      </c>
      <c r="E14196" t="s">
        <v>60</v>
      </c>
      <c r="F14196" t="s">
        <v>2</v>
      </c>
      <c r="G14196" t="s">
        <v>16221</v>
      </c>
      <c r="H14196" t="s">
        <v>47126</v>
      </c>
      <c r="I14196" t="s">
        <v>47127</v>
      </c>
      <c r="J14196" t="s">
        <v>47128</v>
      </c>
      <c r="K14196" t="s">
        <v>47113</v>
      </c>
      <c r="L14196">
        <v>14.6</v>
      </c>
      <c r="M14196">
        <v>31</v>
      </c>
      <c r="N14196">
        <v>0</v>
      </c>
      <c r="O14196">
        <v>31</v>
      </c>
      <c r="P14196">
        <v>0</v>
      </c>
    </row>
    <row r="14197" spans="1:16" x14ac:dyDescent="0.25">
      <c r="A14197" t="s">
        <v>36960</v>
      </c>
      <c r="B14197" t="s">
        <v>9797</v>
      </c>
      <c r="C14197" t="s">
        <v>9798</v>
      </c>
      <c r="D14197" t="str">
        <f>"4646"</f>
        <v>4646</v>
      </c>
      <c r="E14197" t="s">
        <v>9741</v>
      </c>
      <c r="F14197" t="s">
        <v>2</v>
      </c>
      <c r="G14197" t="s">
        <v>16221</v>
      </c>
      <c r="H14197" t="s">
        <v>47126</v>
      </c>
      <c r="I14197" t="s">
        <v>47127</v>
      </c>
      <c r="J14197" t="s">
        <v>47128</v>
      </c>
      <c r="K14197" t="s">
        <v>47113</v>
      </c>
      <c r="L14197">
        <v>14.6</v>
      </c>
      <c r="M14197">
        <v>31</v>
      </c>
      <c r="N14197">
        <v>0</v>
      </c>
      <c r="O14197">
        <v>31</v>
      </c>
      <c r="P14197">
        <v>0</v>
      </c>
    </row>
    <row r="14198" spans="1:16" x14ac:dyDescent="0.25">
      <c r="A14198" t="s">
        <v>36961</v>
      </c>
      <c r="B14198" t="s">
        <v>9799</v>
      </c>
      <c r="C14198" t="s">
        <v>9800</v>
      </c>
      <c r="D14198" t="str">
        <f>"1700"</f>
        <v>1700</v>
      </c>
      <c r="E14198" t="s">
        <v>60</v>
      </c>
      <c r="F14198" t="s">
        <v>2</v>
      </c>
      <c r="G14198" t="s">
        <v>16221</v>
      </c>
      <c r="H14198" t="s">
        <v>47126</v>
      </c>
      <c r="I14198" t="s">
        <v>47127</v>
      </c>
      <c r="J14198" t="s">
        <v>47128</v>
      </c>
      <c r="K14198" t="s">
        <v>47113</v>
      </c>
      <c r="L14198">
        <v>13.43</v>
      </c>
      <c r="M14198">
        <v>43</v>
      </c>
      <c r="N14198">
        <v>0</v>
      </c>
      <c r="O14198">
        <v>43</v>
      </c>
      <c r="P14198">
        <v>0</v>
      </c>
    </row>
    <row r="14199" spans="1:16" x14ac:dyDescent="0.25">
      <c r="A14199" t="s">
        <v>36962</v>
      </c>
      <c r="B14199" t="s">
        <v>9799</v>
      </c>
      <c r="C14199" t="s">
        <v>9800</v>
      </c>
      <c r="D14199" t="str">
        <f>"3195"</f>
        <v>3195</v>
      </c>
      <c r="E14199" t="s">
        <v>9775</v>
      </c>
      <c r="F14199" t="s">
        <v>2</v>
      </c>
      <c r="G14199" t="s">
        <v>16221</v>
      </c>
      <c r="H14199" t="s">
        <v>47126</v>
      </c>
      <c r="I14199" t="s">
        <v>47127</v>
      </c>
      <c r="J14199" t="s">
        <v>47128</v>
      </c>
      <c r="K14199" t="s">
        <v>47113</v>
      </c>
      <c r="L14199">
        <v>13.42</v>
      </c>
      <c r="M14199">
        <v>43</v>
      </c>
      <c r="N14199">
        <v>0</v>
      </c>
      <c r="O14199">
        <v>43</v>
      </c>
      <c r="P14199">
        <v>0</v>
      </c>
    </row>
    <row r="14200" spans="1:16" x14ac:dyDescent="0.25">
      <c r="A14200" t="s">
        <v>36963</v>
      </c>
      <c r="B14200" t="s">
        <v>9799</v>
      </c>
      <c r="C14200" t="s">
        <v>9800</v>
      </c>
      <c r="D14200" t="str">
        <f>"4643"</f>
        <v>4643</v>
      </c>
      <c r="E14200" t="s">
        <v>205</v>
      </c>
      <c r="F14200" t="s">
        <v>2</v>
      </c>
      <c r="G14200" t="s">
        <v>16221</v>
      </c>
      <c r="H14200" t="s">
        <v>47126</v>
      </c>
      <c r="I14200" t="s">
        <v>47127</v>
      </c>
      <c r="J14200" t="s">
        <v>47128</v>
      </c>
      <c r="K14200" t="s">
        <v>47113</v>
      </c>
      <c r="L14200">
        <v>13.42</v>
      </c>
      <c r="M14200">
        <v>43</v>
      </c>
      <c r="N14200">
        <v>0</v>
      </c>
      <c r="O14200">
        <v>43</v>
      </c>
      <c r="P14200">
        <v>0</v>
      </c>
    </row>
    <row r="14201" spans="1:16" x14ac:dyDescent="0.25">
      <c r="A14201" t="s">
        <v>36964</v>
      </c>
      <c r="B14201" t="s">
        <v>9799</v>
      </c>
      <c r="C14201" t="s">
        <v>9800</v>
      </c>
      <c r="D14201" t="str">
        <f>"4645"</f>
        <v>4645</v>
      </c>
      <c r="E14201" t="s">
        <v>9770</v>
      </c>
      <c r="F14201" t="s">
        <v>2</v>
      </c>
      <c r="G14201" t="s">
        <v>16221</v>
      </c>
      <c r="H14201" t="s">
        <v>47126</v>
      </c>
      <c r="I14201" t="s">
        <v>47127</v>
      </c>
      <c r="J14201" t="s">
        <v>47128</v>
      </c>
      <c r="K14201" t="s">
        <v>47113</v>
      </c>
      <c r="L14201">
        <v>13.42</v>
      </c>
      <c r="M14201">
        <v>43</v>
      </c>
      <c r="N14201">
        <v>0</v>
      </c>
      <c r="O14201">
        <v>43</v>
      </c>
      <c r="P14201">
        <v>0</v>
      </c>
    </row>
    <row r="14202" spans="1:16" x14ac:dyDescent="0.25">
      <c r="A14202" t="s">
        <v>36965</v>
      </c>
      <c r="B14202" t="s">
        <v>9799</v>
      </c>
      <c r="C14202" t="s">
        <v>9800</v>
      </c>
      <c r="D14202" t="str">
        <f>"6182"</f>
        <v>6182</v>
      </c>
      <c r="E14202" t="s">
        <v>202</v>
      </c>
      <c r="F14202" t="s">
        <v>2</v>
      </c>
      <c r="G14202" t="s">
        <v>16221</v>
      </c>
      <c r="H14202" t="s">
        <v>47126</v>
      </c>
      <c r="I14202" t="s">
        <v>47127</v>
      </c>
      <c r="J14202" t="s">
        <v>47128</v>
      </c>
      <c r="K14202" t="s">
        <v>47113</v>
      </c>
      <c r="L14202">
        <v>13.43</v>
      </c>
      <c r="M14202">
        <v>43</v>
      </c>
      <c r="N14202">
        <v>0</v>
      </c>
      <c r="O14202">
        <v>43</v>
      </c>
      <c r="P14202">
        <v>0</v>
      </c>
    </row>
    <row r="14203" spans="1:16" x14ac:dyDescent="0.25">
      <c r="A14203" t="s">
        <v>36966</v>
      </c>
      <c r="B14203" t="s">
        <v>9801</v>
      </c>
      <c r="C14203" t="s">
        <v>9802</v>
      </c>
      <c r="D14203" t="str">
        <f>"1278"</f>
        <v>1278</v>
      </c>
      <c r="E14203" t="s">
        <v>100</v>
      </c>
      <c r="F14203" t="s">
        <v>2</v>
      </c>
      <c r="G14203" t="s">
        <v>16221</v>
      </c>
      <c r="H14203" t="s">
        <v>47126</v>
      </c>
      <c r="I14203" t="s">
        <v>47127</v>
      </c>
      <c r="J14203" t="s">
        <v>47128</v>
      </c>
      <c r="K14203" t="s">
        <v>47113</v>
      </c>
      <c r="L14203">
        <v>13.67</v>
      </c>
      <c r="M14203">
        <v>44</v>
      </c>
      <c r="N14203">
        <v>0</v>
      </c>
      <c r="O14203">
        <v>44</v>
      </c>
      <c r="P14203">
        <v>0</v>
      </c>
    </row>
    <row r="14204" spans="1:16" x14ac:dyDescent="0.25">
      <c r="A14204" t="s">
        <v>36967</v>
      </c>
      <c r="B14204" t="s">
        <v>9801</v>
      </c>
      <c r="C14204" t="s">
        <v>9802</v>
      </c>
      <c r="D14204" t="str">
        <f>"1700"</f>
        <v>1700</v>
      </c>
      <c r="E14204" t="s">
        <v>60</v>
      </c>
      <c r="F14204" t="s">
        <v>2</v>
      </c>
      <c r="G14204" t="s">
        <v>16221</v>
      </c>
      <c r="H14204" t="s">
        <v>47126</v>
      </c>
      <c r="I14204" t="s">
        <v>47127</v>
      </c>
      <c r="J14204" t="s">
        <v>47128</v>
      </c>
      <c r="K14204" t="s">
        <v>47113</v>
      </c>
      <c r="L14204">
        <v>13.67</v>
      </c>
      <c r="M14204">
        <v>44</v>
      </c>
      <c r="N14204">
        <v>0</v>
      </c>
      <c r="O14204">
        <v>44</v>
      </c>
      <c r="P14204">
        <v>0</v>
      </c>
    </row>
    <row r="14205" spans="1:16" x14ac:dyDescent="0.25">
      <c r="A14205" t="s">
        <v>36968</v>
      </c>
      <c r="B14205" t="s">
        <v>9801</v>
      </c>
      <c r="C14205" t="s">
        <v>9802</v>
      </c>
      <c r="D14205" t="str">
        <f>"4646"</f>
        <v>4646</v>
      </c>
      <c r="E14205" t="s">
        <v>9741</v>
      </c>
      <c r="F14205" t="s">
        <v>2</v>
      </c>
      <c r="G14205" t="s">
        <v>16221</v>
      </c>
      <c r="H14205" t="s">
        <v>47126</v>
      </c>
      <c r="I14205" t="s">
        <v>47127</v>
      </c>
      <c r="J14205" t="s">
        <v>47128</v>
      </c>
      <c r="K14205" t="s">
        <v>47113</v>
      </c>
      <c r="L14205">
        <v>13.67</v>
      </c>
      <c r="M14205">
        <v>44</v>
      </c>
      <c r="N14205">
        <v>0</v>
      </c>
      <c r="O14205">
        <v>44</v>
      </c>
      <c r="P14205">
        <v>0</v>
      </c>
    </row>
    <row r="14206" spans="1:16" x14ac:dyDescent="0.25">
      <c r="A14206" t="s">
        <v>36969</v>
      </c>
      <c r="B14206" t="s">
        <v>9801</v>
      </c>
      <c r="C14206" t="s">
        <v>9802</v>
      </c>
      <c r="D14206" t="str">
        <f>"6182"</f>
        <v>6182</v>
      </c>
      <c r="E14206" t="s">
        <v>202</v>
      </c>
      <c r="F14206" t="s">
        <v>2</v>
      </c>
      <c r="G14206" t="s">
        <v>16221</v>
      </c>
      <c r="H14206" t="s">
        <v>47126</v>
      </c>
      <c r="I14206" t="s">
        <v>47127</v>
      </c>
      <c r="J14206" t="s">
        <v>47128</v>
      </c>
      <c r="K14206" t="s">
        <v>47113</v>
      </c>
      <c r="L14206">
        <v>13.67</v>
      </c>
      <c r="M14206">
        <v>44</v>
      </c>
      <c r="N14206">
        <v>0</v>
      </c>
      <c r="O14206">
        <v>44</v>
      </c>
      <c r="P14206">
        <v>0</v>
      </c>
    </row>
    <row r="14207" spans="1:16" x14ac:dyDescent="0.25">
      <c r="A14207" t="s">
        <v>36970</v>
      </c>
      <c r="B14207" t="s">
        <v>9803</v>
      </c>
      <c r="C14207" t="s">
        <v>9804</v>
      </c>
      <c r="D14207" t="str">
        <f>"1278"</f>
        <v>1278</v>
      </c>
      <c r="E14207" t="s">
        <v>100</v>
      </c>
      <c r="F14207" t="s">
        <v>2</v>
      </c>
      <c r="G14207" t="s">
        <v>16221</v>
      </c>
      <c r="H14207" t="s">
        <v>47126</v>
      </c>
      <c r="I14207" t="s">
        <v>47127</v>
      </c>
      <c r="J14207" t="s">
        <v>47128</v>
      </c>
      <c r="K14207" t="s">
        <v>47113</v>
      </c>
      <c r="L14207">
        <v>16.52</v>
      </c>
      <c r="M14207">
        <v>34</v>
      </c>
      <c r="N14207">
        <v>0</v>
      </c>
      <c r="O14207">
        <v>34</v>
      </c>
      <c r="P14207">
        <v>0</v>
      </c>
    </row>
    <row r="14208" spans="1:16" x14ac:dyDescent="0.25">
      <c r="A14208" t="s">
        <v>36971</v>
      </c>
      <c r="B14208" t="s">
        <v>9803</v>
      </c>
      <c r="C14208" t="s">
        <v>9804</v>
      </c>
      <c r="D14208" t="str">
        <f>"1700"</f>
        <v>1700</v>
      </c>
      <c r="E14208" t="s">
        <v>60</v>
      </c>
      <c r="F14208" t="s">
        <v>2</v>
      </c>
      <c r="G14208" t="s">
        <v>16221</v>
      </c>
      <c r="H14208" t="s">
        <v>47126</v>
      </c>
      <c r="I14208" t="s">
        <v>47127</v>
      </c>
      <c r="J14208" t="s">
        <v>47128</v>
      </c>
      <c r="K14208" t="s">
        <v>47113</v>
      </c>
      <c r="L14208">
        <v>14.62</v>
      </c>
      <c r="M14208">
        <v>34</v>
      </c>
      <c r="N14208">
        <v>0</v>
      </c>
      <c r="O14208">
        <v>34</v>
      </c>
      <c r="P14208">
        <v>0</v>
      </c>
    </row>
    <row r="14209" spans="1:16" x14ac:dyDescent="0.25">
      <c r="A14209" t="s">
        <v>36972</v>
      </c>
      <c r="B14209" t="s">
        <v>9803</v>
      </c>
      <c r="C14209" t="s">
        <v>9804</v>
      </c>
      <c r="D14209" t="str">
        <f>"4646"</f>
        <v>4646</v>
      </c>
      <c r="E14209" t="s">
        <v>9741</v>
      </c>
      <c r="F14209" t="s">
        <v>2</v>
      </c>
      <c r="G14209" t="s">
        <v>16221</v>
      </c>
      <c r="H14209" t="s">
        <v>47126</v>
      </c>
      <c r="I14209" t="s">
        <v>47127</v>
      </c>
      <c r="J14209" t="s">
        <v>47128</v>
      </c>
      <c r="K14209" t="s">
        <v>47113</v>
      </c>
      <c r="L14209">
        <v>14.6</v>
      </c>
      <c r="M14209">
        <v>34</v>
      </c>
      <c r="N14209">
        <v>0</v>
      </c>
      <c r="O14209">
        <v>34</v>
      </c>
      <c r="P14209">
        <v>0</v>
      </c>
    </row>
    <row r="14210" spans="1:16" x14ac:dyDescent="0.25">
      <c r="A14210" t="s">
        <v>36973</v>
      </c>
      <c r="B14210" t="s">
        <v>9803</v>
      </c>
      <c r="C14210" t="s">
        <v>9804</v>
      </c>
      <c r="D14210" t="str">
        <f>"6182"</f>
        <v>6182</v>
      </c>
      <c r="E14210" t="s">
        <v>202</v>
      </c>
      <c r="F14210" t="s">
        <v>2</v>
      </c>
      <c r="G14210" t="s">
        <v>16221</v>
      </c>
      <c r="H14210" t="s">
        <v>47126</v>
      </c>
      <c r="I14210" t="s">
        <v>47127</v>
      </c>
      <c r="J14210" t="s">
        <v>47128</v>
      </c>
      <c r="K14210" t="s">
        <v>47113</v>
      </c>
      <c r="L14210">
        <v>16.52</v>
      </c>
      <c r="M14210">
        <v>34</v>
      </c>
      <c r="N14210">
        <v>0</v>
      </c>
      <c r="O14210">
        <v>34</v>
      </c>
      <c r="P14210">
        <v>0</v>
      </c>
    </row>
    <row r="14211" spans="1:16" x14ac:dyDescent="0.25">
      <c r="A14211" t="s">
        <v>36974</v>
      </c>
      <c r="B14211" t="s">
        <v>9805</v>
      </c>
      <c r="C14211" t="s">
        <v>9806</v>
      </c>
      <c r="D14211" t="str">
        <f>"1278"</f>
        <v>1278</v>
      </c>
      <c r="E14211" t="s">
        <v>100</v>
      </c>
      <c r="F14211" t="s">
        <v>2</v>
      </c>
      <c r="G14211" t="s">
        <v>16221</v>
      </c>
      <c r="H14211" t="s">
        <v>47126</v>
      </c>
      <c r="I14211" t="s">
        <v>47127</v>
      </c>
      <c r="J14211" t="s">
        <v>47128</v>
      </c>
      <c r="K14211" t="s">
        <v>47113</v>
      </c>
      <c r="L14211">
        <v>16.52</v>
      </c>
      <c r="M14211">
        <v>30</v>
      </c>
      <c r="N14211">
        <v>0</v>
      </c>
      <c r="O14211">
        <v>30</v>
      </c>
      <c r="P14211">
        <v>0</v>
      </c>
    </row>
    <row r="14212" spans="1:16" x14ac:dyDescent="0.25">
      <c r="A14212" t="s">
        <v>36975</v>
      </c>
      <c r="B14212" t="s">
        <v>9805</v>
      </c>
      <c r="C14212" t="s">
        <v>9806</v>
      </c>
      <c r="D14212" t="str">
        <f>"4646"</f>
        <v>4646</v>
      </c>
      <c r="E14212" t="s">
        <v>9741</v>
      </c>
      <c r="F14212" t="s">
        <v>2</v>
      </c>
      <c r="G14212" t="s">
        <v>16221</v>
      </c>
      <c r="H14212" t="s">
        <v>47126</v>
      </c>
      <c r="I14212" t="s">
        <v>47127</v>
      </c>
      <c r="J14212" t="s">
        <v>47128</v>
      </c>
      <c r="K14212" t="s">
        <v>47113</v>
      </c>
      <c r="L14212">
        <v>13.88</v>
      </c>
      <c r="M14212">
        <v>30</v>
      </c>
      <c r="N14212">
        <v>0</v>
      </c>
      <c r="O14212">
        <v>30</v>
      </c>
      <c r="P14212">
        <v>0</v>
      </c>
    </row>
    <row r="14213" spans="1:16" x14ac:dyDescent="0.25">
      <c r="A14213" t="s">
        <v>36976</v>
      </c>
      <c r="B14213" t="s">
        <v>9805</v>
      </c>
      <c r="C14213" t="s">
        <v>9806</v>
      </c>
      <c r="D14213" t="str">
        <f>"6182"</f>
        <v>6182</v>
      </c>
      <c r="E14213" t="s">
        <v>202</v>
      </c>
      <c r="F14213" t="s">
        <v>2</v>
      </c>
      <c r="G14213" t="s">
        <v>16221</v>
      </c>
      <c r="H14213" t="s">
        <v>47126</v>
      </c>
      <c r="I14213" t="s">
        <v>47127</v>
      </c>
      <c r="J14213" t="s">
        <v>47128</v>
      </c>
      <c r="K14213" t="s">
        <v>47113</v>
      </c>
      <c r="L14213">
        <v>13.88</v>
      </c>
      <c r="M14213">
        <v>30</v>
      </c>
      <c r="N14213">
        <v>0</v>
      </c>
      <c r="O14213">
        <v>30</v>
      </c>
      <c r="P14213">
        <v>0</v>
      </c>
    </row>
    <row r="14214" spans="1:16" x14ac:dyDescent="0.25">
      <c r="A14214" t="s">
        <v>36977</v>
      </c>
      <c r="B14214" t="s">
        <v>9807</v>
      </c>
      <c r="C14214" t="s">
        <v>457</v>
      </c>
      <c r="D14214" t="str">
        <f>"1004"</f>
        <v>1004</v>
      </c>
      <c r="E14214" t="s">
        <v>200</v>
      </c>
      <c r="F14214" t="s">
        <v>2</v>
      </c>
      <c r="G14214" t="s">
        <v>16221</v>
      </c>
      <c r="H14214" t="s">
        <v>47126</v>
      </c>
      <c r="I14214" t="s">
        <v>47127</v>
      </c>
      <c r="J14214" t="s">
        <v>47128</v>
      </c>
      <c r="K14214" t="s">
        <v>47113</v>
      </c>
      <c r="L14214">
        <v>13.7</v>
      </c>
      <c r="M14214">
        <v>29</v>
      </c>
      <c r="N14214">
        <v>0</v>
      </c>
      <c r="O14214">
        <v>29</v>
      </c>
      <c r="P14214">
        <v>0</v>
      </c>
    </row>
    <row r="14215" spans="1:16" x14ac:dyDescent="0.25">
      <c r="A14215" t="s">
        <v>36978</v>
      </c>
      <c r="B14215" t="s">
        <v>9807</v>
      </c>
      <c r="C14215" t="s">
        <v>457</v>
      </c>
      <c r="D14215" t="str">
        <f>"4646"</f>
        <v>4646</v>
      </c>
      <c r="E14215" t="s">
        <v>9741</v>
      </c>
      <c r="F14215" t="s">
        <v>2</v>
      </c>
      <c r="G14215" t="s">
        <v>16221</v>
      </c>
      <c r="H14215" t="s">
        <v>47126</v>
      </c>
      <c r="I14215" t="s">
        <v>47127</v>
      </c>
      <c r="J14215" t="s">
        <v>47128</v>
      </c>
      <c r="K14215" t="s">
        <v>47113</v>
      </c>
      <c r="L14215">
        <v>13.69</v>
      </c>
      <c r="M14215">
        <v>29</v>
      </c>
      <c r="N14215">
        <v>0</v>
      </c>
      <c r="O14215">
        <v>29</v>
      </c>
      <c r="P14215">
        <v>0</v>
      </c>
    </row>
    <row r="14216" spans="1:16" x14ac:dyDescent="0.25">
      <c r="A14216" t="s">
        <v>36979</v>
      </c>
      <c r="B14216" t="s">
        <v>9808</v>
      </c>
      <c r="C14216" t="s">
        <v>9809</v>
      </c>
      <c r="D14216" t="str">
        <f>"1368"</f>
        <v>1368</v>
      </c>
      <c r="E14216" t="s">
        <v>194</v>
      </c>
      <c r="F14216" t="s">
        <v>2</v>
      </c>
      <c r="G14216" t="s">
        <v>16221</v>
      </c>
      <c r="H14216" t="s">
        <v>47126</v>
      </c>
      <c r="I14216" t="s">
        <v>47127</v>
      </c>
      <c r="J14216" t="s">
        <v>47128</v>
      </c>
      <c r="K14216" t="s">
        <v>47113</v>
      </c>
      <c r="L14216">
        <v>14.36</v>
      </c>
      <c r="M14216">
        <v>45</v>
      </c>
      <c r="N14216">
        <v>0</v>
      </c>
      <c r="O14216">
        <v>45</v>
      </c>
      <c r="P14216">
        <v>0</v>
      </c>
    </row>
    <row r="14217" spans="1:16" x14ac:dyDescent="0.25">
      <c r="A14217" t="s">
        <v>36980</v>
      </c>
      <c r="B14217" t="s">
        <v>9808</v>
      </c>
      <c r="C14217" t="s">
        <v>9809</v>
      </c>
      <c r="D14217" t="str">
        <f>"1700"</f>
        <v>1700</v>
      </c>
      <c r="E14217" t="s">
        <v>60</v>
      </c>
      <c r="F14217" t="s">
        <v>2</v>
      </c>
      <c r="G14217" t="s">
        <v>16221</v>
      </c>
      <c r="H14217" t="s">
        <v>47126</v>
      </c>
      <c r="I14217" t="s">
        <v>47127</v>
      </c>
      <c r="J14217" t="s">
        <v>47128</v>
      </c>
      <c r="K14217" t="s">
        <v>47113</v>
      </c>
      <c r="L14217">
        <v>14.34</v>
      </c>
      <c r="M14217">
        <v>45</v>
      </c>
      <c r="N14217">
        <v>0</v>
      </c>
      <c r="O14217">
        <v>45</v>
      </c>
      <c r="P14217">
        <v>0</v>
      </c>
    </row>
    <row r="14218" spans="1:16" x14ac:dyDescent="0.25">
      <c r="A14218" t="s">
        <v>36981</v>
      </c>
      <c r="B14218" t="s">
        <v>9808</v>
      </c>
      <c r="C14218" t="s">
        <v>9809</v>
      </c>
      <c r="D14218" t="str">
        <f>"3195"</f>
        <v>3195</v>
      </c>
      <c r="E14218" t="s">
        <v>9775</v>
      </c>
      <c r="F14218" t="s">
        <v>2</v>
      </c>
      <c r="G14218" t="s">
        <v>16221</v>
      </c>
      <c r="H14218" t="s">
        <v>47126</v>
      </c>
      <c r="I14218" t="s">
        <v>47127</v>
      </c>
      <c r="J14218" t="s">
        <v>47128</v>
      </c>
      <c r="K14218" t="s">
        <v>47113</v>
      </c>
      <c r="L14218">
        <v>14.31</v>
      </c>
      <c r="M14218">
        <v>45</v>
      </c>
      <c r="N14218">
        <v>0</v>
      </c>
      <c r="O14218">
        <v>45</v>
      </c>
      <c r="P14218">
        <v>0</v>
      </c>
    </row>
    <row r="14219" spans="1:16" x14ac:dyDescent="0.25">
      <c r="A14219" t="s">
        <v>36982</v>
      </c>
      <c r="B14219" t="s">
        <v>9808</v>
      </c>
      <c r="C14219" t="s">
        <v>9809</v>
      </c>
      <c r="D14219" t="str">
        <f>"4645"</f>
        <v>4645</v>
      </c>
      <c r="E14219" t="s">
        <v>9770</v>
      </c>
      <c r="F14219" t="s">
        <v>2</v>
      </c>
      <c r="G14219" t="s">
        <v>16221</v>
      </c>
      <c r="H14219" t="s">
        <v>47126</v>
      </c>
      <c r="I14219" t="s">
        <v>47127</v>
      </c>
      <c r="J14219" t="s">
        <v>47128</v>
      </c>
      <c r="K14219" t="s">
        <v>47113</v>
      </c>
      <c r="L14219">
        <v>14.38</v>
      </c>
      <c r="M14219">
        <v>45</v>
      </c>
      <c r="N14219">
        <v>0</v>
      </c>
      <c r="O14219">
        <v>45</v>
      </c>
      <c r="P14219">
        <v>0</v>
      </c>
    </row>
    <row r="14220" spans="1:16" x14ac:dyDescent="0.25">
      <c r="A14220" t="s">
        <v>36983</v>
      </c>
      <c r="B14220" t="s">
        <v>9808</v>
      </c>
      <c r="C14220" t="s">
        <v>9809</v>
      </c>
      <c r="D14220" t="str">
        <f>"4646"</f>
        <v>4646</v>
      </c>
      <c r="E14220" t="s">
        <v>9741</v>
      </c>
      <c r="F14220" t="s">
        <v>2</v>
      </c>
      <c r="G14220" t="s">
        <v>16221</v>
      </c>
      <c r="H14220" t="s">
        <v>47126</v>
      </c>
      <c r="I14220" t="s">
        <v>47127</v>
      </c>
      <c r="J14220" t="s">
        <v>47128</v>
      </c>
      <c r="K14220" t="s">
        <v>47113</v>
      </c>
      <c r="L14220">
        <v>14.47</v>
      </c>
      <c r="M14220">
        <v>45</v>
      </c>
      <c r="N14220">
        <v>0</v>
      </c>
      <c r="O14220">
        <v>45</v>
      </c>
      <c r="P14220">
        <v>0</v>
      </c>
    </row>
    <row r="14221" spans="1:16" x14ac:dyDescent="0.25">
      <c r="A14221" t="s">
        <v>36984</v>
      </c>
      <c r="B14221" t="s">
        <v>9808</v>
      </c>
      <c r="C14221" t="s">
        <v>9809</v>
      </c>
      <c r="D14221" t="str">
        <f>"7000"</f>
        <v>7000</v>
      </c>
      <c r="E14221" t="s">
        <v>185</v>
      </c>
      <c r="F14221" t="s">
        <v>2</v>
      </c>
      <c r="G14221" t="s">
        <v>16221</v>
      </c>
      <c r="H14221" t="s">
        <v>47126</v>
      </c>
      <c r="I14221" t="s">
        <v>47127</v>
      </c>
      <c r="J14221" t="s">
        <v>47128</v>
      </c>
      <c r="K14221" t="s">
        <v>47113</v>
      </c>
      <c r="L14221">
        <v>14.31</v>
      </c>
      <c r="M14221">
        <v>45</v>
      </c>
      <c r="N14221">
        <v>0</v>
      </c>
      <c r="O14221">
        <v>45</v>
      </c>
      <c r="P14221">
        <v>0</v>
      </c>
    </row>
    <row r="14222" spans="1:16" x14ac:dyDescent="0.25">
      <c r="A14222" t="s">
        <v>36985</v>
      </c>
      <c r="B14222" t="s">
        <v>9810</v>
      </c>
      <c r="C14222" t="s">
        <v>9811</v>
      </c>
      <c r="D14222" t="str">
        <f>"1004"</f>
        <v>1004</v>
      </c>
      <c r="E14222" t="s">
        <v>200</v>
      </c>
      <c r="F14222" t="s">
        <v>2</v>
      </c>
      <c r="G14222" t="s">
        <v>16221</v>
      </c>
      <c r="H14222" t="s">
        <v>47126</v>
      </c>
      <c r="I14222" t="s">
        <v>47127</v>
      </c>
      <c r="J14222" t="s">
        <v>47128</v>
      </c>
      <c r="K14222" t="s">
        <v>47113</v>
      </c>
      <c r="L14222">
        <v>16.079999999999998</v>
      </c>
      <c r="M14222">
        <v>34</v>
      </c>
      <c r="N14222">
        <v>0</v>
      </c>
      <c r="O14222">
        <v>34</v>
      </c>
      <c r="P14222">
        <v>0</v>
      </c>
    </row>
    <row r="14223" spans="1:16" x14ac:dyDescent="0.25">
      <c r="A14223" t="s">
        <v>36986</v>
      </c>
      <c r="B14223" t="s">
        <v>9810</v>
      </c>
      <c r="C14223" t="s">
        <v>9811</v>
      </c>
      <c r="D14223" t="str">
        <f>"6012"</f>
        <v>6012</v>
      </c>
      <c r="E14223" t="s">
        <v>206</v>
      </c>
      <c r="F14223" t="s">
        <v>2</v>
      </c>
      <c r="G14223" t="s">
        <v>16221</v>
      </c>
      <c r="H14223" t="s">
        <v>47126</v>
      </c>
      <c r="I14223" t="s">
        <v>47127</v>
      </c>
      <c r="J14223" t="s">
        <v>47128</v>
      </c>
      <c r="K14223" t="s">
        <v>47113</v>
      </c>
      <c r="L14223">
        <v>16.13</v>
      </c>
      <c r="M14223">
        <v>34</v>
      </c>
      <c r="N14223">
        <v>0</v>
      </c>
      <c r="O14223">
        <v>34</v>
      </c>
      <c r="P14223">
        <v>0</v>
      </c>
    </row>
    <row r="14224" spans="1:16" x14ac:dyDescent="0.25">
      <c r="A14224" t="s">
        <v>36987</v>
      </c>
      <c r="B14224" t="s">
        <v>9812</v>
      </c>
      <c r="C14224" t="s">
        <v>9813</v>
      </c>
      <c r="D14224" t="str">
        <f>"4646"</f>
        <v>4646</v>
      </c>
      <c r="E14224" t="s">
        <v>9741</v>
      </c>
      <c r="F14224" t="s">
        <v>2</v>
      </c>
      <c r="G14224" t="s">
        <v>16221</v>
      </c>
      <c r="H14224" t="s">
        <v>47126</v>
      </c>
      <c r="I14224" t="s">
        <v>47127</v>
      </c>
      <c r="J14224" t="s">
        <v>47128</v>
      </c>
      <c r="K14224" t="s">
        <v>47113</v>
      </c>
      <c r="L14224">
        <v>16.899999999999999</v>
      </c>
      <c r="M14224">
        <v>36</v>
      </c>
      <c r="N14224">
        <v>0</v>
      </c>
      <c r="O14224">
        <v>36</v>
      </c>
      <c r="P14224">
        <v>0</v>
      </c>
    </row>
    <row r="14225" spans="1:16" x14ac:dyDescent="0.25">
      <c r="A14225" t="s">
        <v>36988</v>
      </c>
      <c r="B14225" t="s">
        <v>9814</v>
      </c>
      <c r="C14225" t="s">
        <v>9815</v>
      </c>
      <c r="D14225" t="str">
        <f>"4643"</f>
        <v>4643</v>
      </c>
      <c r="E14225" t="s">
        <v>205</v>
      </c>
      <c r="F14225" t="s">
        <v>2</v>
      </c>
      <c r="G14225" t="s">
        <v>16235</v>
      </c>
      <c r="H14225" t="s">
        <v>47126</v>
      </c>
      <c r="I14225" t="s">
        <v>47127</v>
      </c>
      <c r="J14225" t="s">
        <v>47128</v>
      </c>
      <c r="K14225" t="s">
        <v>47113</v>
      </c>
      <c r="L14225">
        <v>38.5</v>
      </c>
      <c r="M14225">
        <v>85</v>
      </c>
      <c r="N14225">
        <v>0</v>
      </c>
      <c r="O14225">
        <v>85</v>
      </c>
      <c r="P14225">
        <v>0</v>
      </c>
    </row>
    <row r="14226" spans="1:16" x14ac:dyDescent="0.25">
      <c r="A14226" t="s">
        <v>36989</v>
      </c>
      <c r="B14226" t="s">
        <v>9814</v>
      </c>
      <c r="C14226" t="s">
        <v>9815</v>
      </c>
      <c r="D14226" t="str">
        <f>"4645"</f>
        <v>4645</v>
      </c>
      <c r="E14226" t="s">
        <v>9770</v>
      </c>
      <c r="F14226" t="s">
        <v>2</v>
      </c>
      <c r="G14226" t="s">
        <v>16235</v>
      </c>
      <c r="H14226" t="s">
        <v>47126</v>
      </c>
      <c r="I14226" t="s">
        <v>47127</v>
      </c>
      <c r="J14226" t="s">
        <v>47128</v>
      </c>
      <c r="K14226" t="s">
        <v>47113</v>
      </c>
      <c r="L14226">
        <v>38.51</v>
      </c>
      <c r="M14226">
        <v>85</v>
      </c>
      <c r="N14226">
        <v>0</v>
      </c>
      <c r="O14226">
        <v>85</v>
      </c>
      <c r="P14226">
        <v>0</v>
      </c>
    </row>
    <row r="14227" spans="1:16" x14ac:dyDescent="0.25">
      <c r="A14227" t="s">
        <v>36990</v>
      </c>
      <c r="B14227" t="s">
        <v>9816</v>
      </c>
      <c r="C14227" t="s">
        <v>9817</v>
      </c>
      <c r="D14227" t="str">
        <f>"1924"</f>
        <v>1924</v>
      </c>
      <c r="E14227" t="s">
        <v>9794</v>
      </c>
      <c r="F14227" t="s">
        <v>2</v>
      </c>
      <c r="G14227" t="s">
        <v>16221</v>
      </c>
      <c r="I14227" t="s">
        <v>47127</v>
      </c>
      <c r="J14227" t="s">
        <v>47128</v>
      </c>
      <c r="K14227" t="s">
        <v>47113</v>
      </c>
      <c r="L14227">
        <v>18.25</v>
      </c>
      <c r="M14227">
        <v>57</v>
      </c>
      <c r="N14227">
        <v>0</v>
      </c>
      <c r="O14227">
        <v>57</v>
      </c>
      <c r="P14227">
        <v>0</v>
      </c>
    </row>
    <row r="14228" spans="1:16" x14ac:dyDescent="0.25">
      <c r="A14228" t="s">
        <v>36991</v>
      </c>
      <c r="B14228" t="s">
        <v>9816</v>
      </c>
      <c r="C14228" t="s">
        <v>9817</v>
      </c>
      <c r="D14228" t="str">
        <f>"4646"</f>
        <v>4646</v>
      </c>
      <c r="E14228" t="s">
        <v>9741</v>
      </c>
      <c r="F14228" t="s">
        <v>2</v>
      </c>
      <c r="G14228" t="s">
        <v>16221</v>
      </c>
      <c r="I14228" t="s">
        <v>47127</v>
      </c>
      <c r="J14228" t="s">
        <v>47128</v>
      </c>
      <c r="K14228" t="s">
        <v>47113</v>
      </c>
      <c r="L14228">
        <v>18.25</v>
      </c>
      <c r="M14228">
        <v>57</v>
      </c>
      <c r="N14228">
        <v>0</v>
      </c>
      <c r="O14228">
        <v>57</v>
      </c>
      <c r="P14228">
        <v>0</v>
      </c>
    </row>
    <row r="14229" spans="1:16" x14ac:dyDescent="0.25">
      <c r="A14229" t="s">
        <v>36992</v>
      </c>
      <c r="B14229" t="s">
        <v>9818</v>
      </c>
      <c r="C14229" t="s">
        <v>9819</v>
      </c>
      <c r="D14229" t="str">
        <f>"1278"</f>
        <v>1278</v>
      </c>
      <c r="E14229" t="s">
        <v>100</v>
      </c>
      <c r="F14229" t="s">
        <v>2</v>
      </c>
      <c r="G14229" t="s">
        <v>16235</v>
      </c>
      <c r="H14229" t="s">
        <v>47126</v>
      </c>
      <c r="I14229" t="s">
        <v>47127</v>
      </c>
      <c r="J14229" t="s">
        <v>47128</v>
      </c>
      <c r="K14229" t="s">
        <v>47113</v>
      </c>
      <c r="L14229">
        <v>43.13</v>
      </c>
      <c r="M14229">
        <v>65</v>
      </c>
      <c r="N14229">
        <v>0</v>
      </c>
      <c r="O14229">
        <v>65</v>
      </c>
      <c r="P14229">
        <v>0</v>
      </c>
    </row>
    <row r="14230" spans="1:16" x14ac:dyDescent="0.25">
      <c r="A14230" t="s">
        <v>36993</v>
      </c>
      <c r="B14230" t="s">
        <v>9820</v>
      </c>
      <c r="C14230" t="s">
        <v>9821</v>
      </c>
      <c r="D14230" t="str">
        <f>"4643"</f>
        <v>4643</v>
      </c>
      <c r="E14230" t="s">
        <v>205</v>
      </c>
      <c r="F14230" t="s">
        <v>2</v>
      </c>
      <c r="G14230" t="s">
        <v>16235</v>
      </c>
      <c r="I14230" t="s">
        <v>47127</v>
      </c>
      <c r="J14230" t="s">
        <v>47128</v>
      </c>
      <c r="K14230" t="s">
        <v>47113</v>
      </c>
      <c r="L14230">
        <v>43.87</v>
      </c>
      <c r="M14230">
        <v>90</v>
      </c>
      <c r="N14230">
        <v>0</v>
      </c>
      <c r="O14230">
        <v>90</v>
      </c>
      <c r="P14230">
        <v>0</v>
      </c>
    </row>
    <row r="14231" spans="1:16" x14ac:dyDescent="0.25">
      <c r="A14231" t="s">
        <v>36994</v>
      </c>
      <c r="B14231" t="s">
        <v>9822</v>
      </c>
      <c r="C14231" t="s">
        <v>9823</v>
      </c>
      <c r="D14231" t="str">
        <f>"1278"</f>
        <v>1278</v>
      </c>
      <c r="E14231" t="s">
        <v>100</v>
      </c>
      <c r="F14231" t="s">
        <v>2</v>
      </c>
      <c r="G14231" t="s">
        <v>16235</v>
      </c>
      <c r="H14231" t="s">
        <v>47126</v>
      </c>
      <c r="I14231" t="s">
        <v>47127</v>
      </c>
      <c r="J14231" t="s">
        <v>47128</v>
      </c>
      <c r="K14231" t="s">
        <v>47113</v>
      </c>
      <c r="L14231">
        <v>43.36</v>
      </c>
      <c r="M14231">
        <v>80</v>
      </c>
      <c r="N14231">
        <v>0</v>
      </c>
      <c r="O14231">
        <v>80</v>
      </c>
      <c r="P14231">
        <v>0</v>
      </c>
    </row>
    <row r="14232" spans="1:16" x14ac:dyDescent="0.25">
      <c r="A14232" t="s">
        <v>36995</v>
      </c>
      <c r="B14232" t="s">
        <v>9822</v>
      </c>
      <c r="C14232" t="s">
        <v>9823</v>
      </c>
      <c r="D14232" t="str">
        <f>"4643"</f>
        <v>4643</v>
      </c>
      <c r="E14232" t="s">
        <v>205</v>
      </c>
      <c r="F14232" t="s">
        <v>2</v>
      </c>
      <c r="G14232" t="s">
        <v>16235</v>
      </c>
      <c r="H14232" t="s">
        <v>47126</v>
      </c>
      <c r="I14232" t="s">
        <v>47127</v>
      </c>
      <c r="J14232" t="s">
        <v>47128</v>
      </c>
      <c r="K14232" t="s">
        <v>47113</v>
      </c>
      <c r="L14232">
        <v>43.37</v>
      </c>
      <c r="M14232">
        <v>80</v>
      </c>
      <c r="N14232">
        <v>0</v>
      </c>
      <c r="O14232">
        <v>80</v>
      </c>
      <c r="P14232">
        <v>0</v>
      </c>
    </row>
    <row r="14233" spans="1:16" x14ac:dyDescent="0.25">
      <c r="A14233" t="s">
        <v>36996</v>
      </c>
      <c r="B14233" t="s">
        <v>9824</v>
      </c>
      <c r="C14233" t="s">
        <v>9825</v>
      </c>
      <c r="D14233" t="str">
        <f>"4645"</f>
        <v>4645</v>
      </c>
      <c r="E14233" t="s">
        <v>9770</v>
      </c>
      <c r="F14233" t="s">
        <v>2</v>
      </c>
      <c r="G14233" t="s">
        <v>16235</v>
      </c>
      <c r="I14233" t="s">
        <v>47127</v>
      </c>
      <c r="J14233" t="s">
        <v>47128</v>
      </c>
      <c r="K14233" t="s">
        <v>47113</v>
      </c>
      <c r="L14233">
        <v>43.25</v>
      </c>
      <c r="M14233">
        <v>113</v>
      </c>
      <c r="N14233">
        <v>0</v>
      </c>
      <c r="O14233">
        <v>113</v>
      </c>
      <c r="P14233">
        <v>0</v>
      </c>
    </row>
    <row r="14234" spans="1:16" x14ac:dyDescent="0.25">
      <c r="A14234" t="s">
        <v>36997</v>
      </c>
      <c r="B14234" t="s">
        <v>9826</v>
      </c>
      <c r="C14234" t="s">
        <v>9827</v>
      </c>
      <c r="D14234" t="str">
        <f>"4646"</f>
        <v>4646</v>
      </c>
      <c r="E14234" t="s">
        <v>9741</v>
      </c>
      <c r="F14234" t="s">
        <v>2</v>
      </c>
      <c r="G14234" t="s">
        <v>16235</v>
      </c>
      <c r="H14234" t="s">
        <v>47126</v>
      </c>
      <c r="I14234" t="s">
        <v>47127</v>
      </c>
      <c r="J14234" t="s">
        <v>47128</v>
      </c>
      <c r="K14234" t="s">
        <v>47113</v>
      </c>
      <c r="L14234">
        <v>44.52</v>
      </c>
      <c r="M14234">
        <v>83</v>
      </c>
      <c r="N14234">
        <v>0</v>
      </c>
      <c r="O14234">
        <v>83</v>
      </c>
      <c r="P14234">
        <v>0</v>
      </c>
    </row>
    <row r="14235" spans="1:16" x14ac:dyDescent="0.25">
      <c r="A14235" t="s">
        <v>36998</v>
      </c>
      <c r="B14235" t="s">
        <v>9826</v>
      </c>
      <c r="C14235" t="s">
        <v>9827</v>
      </c>
      <c r="D14235" t="str">
        <f>"6182"</f>
        <v>6182</v>
      </c>
      <c r="E14235" t="s">
        <v>202</v>
      </c>
      <c r="F14235" t="s">
        <v>2</v>
      </c>
      <c r="G14235" t="s">
        <v>16235</v>
      </c>
      <c r="H14235" t="s">
        <v>47126</v>
      </c>
      <c r="I14235" t="s">
        <v>47127</v>
      </c>
      <c r="J14235" t="s">
        <v>47128</v>
      </c>
      <c r="K14235" t="s">
        <v>47113</v>
      </c>
      <c r="L14235">
        <v>32.869999999999997</v>
      </c>
      <c r="M14235">
        <v>83</v>
      </c>
      <c r="N14235">
        <v>0</v>
      </c>
      <c r="O14235">
        <v>83</v>
      </c>
      <c r="P14235">
        <v>0</v>
      </c>
    </row>
    <row r="14236" spans="1:16" x14ac:dyDescent="0.25">
      <c r="A14236" t="s">
        <v>36999</v>
      </c>
      <c r="B14236" t="s">
        <v>9828</v>
      </c>
      <c r="C14236" t="s">
        <v>9829</v>
      </c>
      <c r="D14236" t="str">
        <f>"1004"</f>
        <v>1004</v>
      </c>
      <c r="E14236" t="s">
        <v>200</v>
      </c>
      <c r="F14236" t="s">
        <v>2</v>
      </c>
      <c r="G14236" t="s">
        <v>16235</v>
      </c>
      <c r="I14236" t="s">
        <v>47127</v>
      </c>
      <c r="J14236" t="s">
        <v>47128</v>
      </c>
      <c r="K14236" t="s">
        <v>47113</v>
      </c>
      <c r="L14236">
        <v>36.68</v>
      </c>
      <c r="M14236">
        <v>73</v>
      </c>
      <c r="N14236">
        <v>0</v>
      </c>
      <c r="O14236">
        <v>73</v>
      </c>
      <c r="P14236">
        <v>0</v>
      </c>
    </row>
    <row r="14237" spans="1:16" x14ac:dyDescent="0.25">
      <c r="A14237" t="s">
        <v>37000</v>
      </c>
      <c r="B14237" t="s">
        <v>9830</v>
      </c>
      <c r="C14237" t="s">
        <v>9831</v>
      </c>
      <c r="D14237" t="str">
        <f>"1278"</f>
        <v>1278</v>
      </c>
      <c r="E14237" t="s">
        <v>100</v>
      </c>
      <c r="F14237" t="s">
        <v>2</v>
      </c>
      <c r="G14237" t="s">
        <v>16235</v>
      </c>
      <c r="H14237" t="s">
        <v>47126</v>
      </c>
      <c r="I14237" t="s">
        <v>47127</v>
      </c>
      <c r="J14237" t="s">
        <v>47128</v>
      </c>
      <c r="K14237" t="s">
        <v>47113</v>
      </c>
      <c r="L14237">
        <v>39.799999999999997</v>
      </c>
      <c r="M14237">
        <v>83</v>
      </c>
      <c r="N14237">
        <v>0</v>
      </c>
      <c r="O14237">
        <v>83</v>
      </c>
      <c r="P14237">
        <v>0</v>
      </c>
    </row>
    <row r="14238" spans="1:16" x14ac:dyDescent="0.25">
      <c r="A14238" t="s">
        <v>37001</v>
      </c>
      <c r="B14238" t="s">
        <v>9830</v>
      </c>
      <c r="C14238" t="s">
        <v>9831</v>
      </c>
      <c r="D14238" t="str">
        <f>"4645"</f>
        <v>4645</v>
      </c>
      <c r="E14238" t="s">
        <v>9770</v>
      </c>
      <c r="F14238" t="s">
        <v>2</v>
      </c>
      <c r="G14238" t="s">
        <v>16235</v>
      </c>
      <c r="H14238" t="s">
        <v>47126</v>
      </c>
      <c r="I14238" t="s">
        <v>47127</v>
      </c>
      <c r="J14238" t="s">
        <v>47128</v>
      </c>
      <c r="K14238" t="s">
        <v>47113</v>
      </c>
      <c r="L14238">
        <v>39.78</v>
      </c>
      <c r="M14238">
        <v>83</v>
      </c>
      <c r="N14238">
        <v>0</v>
      </c>
      <c r="O14238">
        <v>83</v>
      </c>
      <c r="P14238">
        <v>0</v>
      </c>
    </row>
    <row r="14239" spans="1:16" x14ac:dyDescent="0.25">
      <c r="A14239" t="s">
        <v>37002</v>
      </c>
      <c r="B14239" t="s">
        <v>9832</v>
      </c>
      <c r="C14239" t="s">
        <v>9833</v>
      </c>
      <c r="D14239" t="str">
        <f>"1278"</f>
        <v>1278</v>
      </c>
      <c r="E14239" t="s">
        <v>100</v>
      </c>
      <c r="F14239" t="s">
        <v>2</v>
      </c>
      <c r="G14239" t="s">
        <v>16222</v>
      </c>
      <c r="I14239" t="s">
        <v>47127</v>
      </c>
      <c r="J14239" t="s">
        <v>47128</v>
      </c>
      <c r="K14239" t="s">
        <v>47113</v>
      </c>
      <c r="L14239">
        <v>23.59</v>
      </c>
      <c r="M14239">
        <v>73</v>
      </c>
      <c r="N14239">
        <v>0</v>
      </c>
      <c r="O14239">
        <v>73</v>
      </c>
      <c r="P14239">
        <v>0</v>
      </c>
    </row>
    <row r="14240" spans="1:16" x14ac:dyDescent="0.25">
      <c r="A14240" t="s">
        <v>37003</v>
      </c>
      <c r="B14240" t="s">
        <v>9832</v>
      </c>
      <c r="C14240" t="s">
        <v>9833</v>
      </c>
      <c r="D14240" t="str">
        <f>"4643"</f>
        <v>4643</v>
      </c>
      <c r="E14240" t="s">
        <v>205</v>
      </c>
      <c r="F14240" t="s">
        <v>2</v>
      </c>
      <c r="G14240" t="s">
        <v>16222</v>
      </c>
      <c r="I14240" t="s">
        <v>47127</v>
      </c>
      <c r="J14240" t="s">
        <v>47128</v>
      </c>
      <c r="K14240" t="s">
        <v>47113</v>
      </c>
      <c r="L14240">
        <v>23.59</v>
      </c>
      <c r="M14240">
        <v>73</v>
      </c>
      <c r="N14240">
        <v>0</v>
      </c>
      <c r="O14240">
        <v>73</v>
      </c>
      <c r="P14240">
        <v>0</v>
      </c>
    </row>
    <row r="14241" spans="1:16" x14ac:dyDescent="0.25">
      <c r="A14241" t="s">
        <v>37004</v>
      </c>
      <c r="B14241" t="s">
        <v>9834</v>
      </c>
      <c r="C14241" t="s">
        <v>9833</v>
      </c>
      <c r="D14241" t="str">
        <f>"4643"</f>
        <v>4643</v>
      </c>
      <c r="E14241" t="s">
        <v>205</v>
      </c>
      <c r="F14241" t="s">
        <v>2</v>
      </c>
      <c r="G14241" t="s">
        <v>16222</v>
      </c>
      <c r="I14241" t="s">
        <v>47127</v>
      </c>
      <c r="J14241" t="s">
        <v>47128</v>
      </c>
      <c r="K14241" t="s">
        <v>47113</v>
      </c>
      <c r="L14241">
        <v>23.54</v>
      </c>
      <c r="M14241">
        <v>75</v>
      </c>
      <c r="N14241">
        <v>0</v>
      </c>
      <c r="O14241">
        <v>75</v>
      </c>
      <c r="P14241">
        <v>0</v>
      </c>
    </row>
    <row r="14242" spans="1:16" x14ac:dyDescent="0.25">
      <c r="A14242" t="s">
        <v>37005</v>
      </c>
      <c r="B14242" t="s">
        <v>9834</v>
      </c>
      <c r="C14242" t="s">
        <v>9833</v>
      </c>
      <c r="D14242" t="str">
        <f>"6182"</f>
        <v>6182</v>
      </c>
      <c r="E14242" t="s">
        <v>202</v>
      </c>
      <c r="F14242" t="s">
        <v>2</v>
      </c>
      <c r="G14242" t="s">
        <v>16222</v>
      </c>
      <c r="I14242" t="s">
        <v>47127</v>
      </c>
      <c r="J14242" t="s">
        <v>47128</v>
      </c>
      <c r="K14242" t="s">
        <v>47113</v>
      </c>
      <c r="L14242">
        <v>23.54</v>
      </c>
      <c r="M14242">
        <v>75</v>
      </c>
      <c r="N14242">
        <v>0</v>
      </c>
      <c r="O14242">
        <v>75</v>
      </c>
      <c r="P14242">
        <v>0</v>
      </c>
    </row>
    <row r="14243" spans="1:16" x14ac:dyDescent="0.25">
      <c r="A14243" t="s">
        <v>37006</v>
      </c>
      <c r="B14243" t="s">
        <v>9835</v>
      </c>
      <c r="C14243" t="s">
        <v>9836</v>
      </c>
      <c r="D14243" t="str">
        <f>"1368"</f>
        <v>1368</v>
      </c>
      <c r="E14243" t="s">
        <v>194</v>
      </c>
      <c r="F14243" t="s">
        <v>2</v>
      </c>
      <c r="G14243" t="s">
        <v>47097</v>
      </c>
      <c r="I14243" t="s">
        <v>47127</v>
      </c>
      <c r="J14243" t="s">
        <v>47128</v>
      </c>
      <c r="K14243" t="s">
        <v>47113</v>
      </c>
      <c r="L14243">
        <v>18.63</v>
      </c>
      <c r="M14243">
        <v>38</v>
      </c>
      <c r="N14243">
        <v>0</v>
      </c>
      <c r="O14243">
        <v>38</v>
      </c>
      <c r="P14243">
        <v>0</v>
      </c>
    </row>
    <row r="14244" spans="1:16" x14ac:dyDescent="0.25">
      <c r="A14244" t="s">
        <v>37007</v>
      </c>
      <c r="B14244" t="s">
        <v>9835</v>
      </c>
      <c r="C14244" t="s">
        <v>9836</v>
      </c>
      <c r="D14244" t="str">
        <f>"1700"</f>
        <v>1700</v>
      </c>
      <c r="E14244" t="s">
        <v>60</v>
      </c>
      <c r="F14244" t="s">
        <v>2</v>
      </c>
      <c r="G14244" t="s">
        <v>47097</v>
      </c>
      <c r="I14244" t="s">
        <v>47127</v>
      </c>
      <c r="J14244" t="s">
        <v>47128</v>
      </c>
      <c r="K14244" t="s">
        <v>47113</v>
      </c>
      <c r="L14244">
        <v>18.63</v>
      </c>
      <c r="M14244">
        <v>38</v>
      </c>
      <c r="N14244">
        <v>0</v>
      </c>
      <c r="O14244">
        <v>38</v>
      </c>
      <c r="P14244">
        <v>0</v>
      </c>
    </row>
    <row r="14245" spans="1:16" x14ac:dyDescent="0.25">
      <c r="A14245" t="s">
        <v>37008</v>
      </c>
      <c r="B14245" t="s">
        <v>9835</v>
      </c>
      <c r="C14245" t="s">
        <v>9836</v>
      </c>
      <c r="D14245" t="str">
        <f>"4400"</f>
        <v>4400</v>
      </c>
      <c r="E14245" t="s">
        <v>154</v>
      </c>
      <c r="F14245" t="s">
        <v>2</v>
      </c>
      <c r="G14245" t="s">
        <v>47097</v>
      </c>
      <c r="I14245" t="s">
        <v>47127</v>
      </c>
      <c r="J14245" t="s">
        <v>47128</v>
      </c>
      <c r="K14245" t="s">
        <v>47113</v>
      </c>
      <c r="L14245">
        <v>18.63</v>
      </c>
      <c r="M14245">
        <v>38</v>
      </c>
      <c r="N14245">
        <v>0</v>
      </c>
      <c r="O14245">
        <v>38</v>
      </c>
      <c r="P14245">
        <v>0</v>
      </c>
    </row>
    <row r="14246" spans="1:16" x14ac:dyDescent="0.25">
      <c r="A14246" t="s">
        <v>37009</v>
      </c>
      <c r="B14246" t="s">
        <v>9835</v>
      </c>
      <c r="C14246" t="s">
        <v>9836</v>
      </c>
      <c r="D14246" t="str">
        <f>"4644"</f>
        <v>4644</v>
      </c>
      <c r="E14246" t="s">
        <v>201</v>
      </c>
      <c r="F14246" t="s">
        <v>2</v>
      </c>
      <c r="G14246" t="s">
        <v>47097</v>
      </c>
      <c r="I14246" t="s">
        <v>47127</v>
      </c>
      <c r="J14246" t="s">
        <v>47128</v>
      </c>
      <c r="K14246" t="s">
        <v>47113</v>
      </c>
      <c r="L14246">
        <v>18.63</v>
      </c>
      <c r="M14246">
        <v>38</v>
      </c>
      <c r="N14246">
        <v>0</v>
      </c>
      <c r="O14246">
        <v>38</v>
      </c>
      <c r="P14246">
        <v>0</v>
      </c>
    </row>
    <row r="14247" spans="1:16" x14ac:dyDescent="0.25">
      <c r="A14247" t="s">
        <v>37010</v>
      </c>
      <c r="B14247" t="s">
        <v>9835</v>
      </c>
      <c r="C14247" t="s">
        <v>9836</v>
      </c>
      <c r="D14247" t="str">
        <f>"4646"</f>
        <v>4646</v>
      </c>
      <c r="E14247" t="s">
        <v>9741</v>
      </c>
      <c r="F14247" t="s">
        <v>2</v>
      </c>
      <c r="G14247" t="s">
        <v>47097</v>
      </c>
      <c r="I14247" t="s">
        <v>47127</v>
      </c>
      <c r="J14247" t="s">
        <v>47128</v>
      </c>
      <c r="K14247" t="s">
        <v>47113</v>
      </c>
      <c r="L14247">
        <v>18.63</v>
      </c>
      <c r="M14247">
        <v>38</v>
      </c>
      <c r="N14247">
        <v>0</v>
      </c>
      <c r="O14247">
        <v>38</v>
      </c>
      <c r="P14247">
        <v>0</v>
      </c>
    </row>
    <row r="14248" spans="1:16" x14ac:dyDescent="0.25">
      <c r="A14248" t="s">
        <v>37011</v>
      </c>
      <c r="B14248" t="s">
        <v>9835</v>
      </c>
      <c r="C14248" t="s">
        <v>9836</v>
      </c>
      <c r="D14248" t="str">
        <f>"6182"</f>
        <v>6182</v>
      </c>
      <c r="E14248" t="s">
        <v>202</v>
      </c>
      <c r="F14248" t="s">
        <v>2</v>
      </c>
      <c r="G14248" t="s">
        <v>47097</v>
      </c>
      <c r="I14248" t="s">
        <v>47127</v>
      </c>
      <c r="J14248" t="s">
        <v>47128</v>
      </c>
      <c r="K14248" t="s">
        <v>47113</v>
      </c>
      <c r="L14248">
        <v>18.63</v>
      </c>
      <c r="M14248">
        <v>38</v>
      </c>
      <c r="N14248">
        <v>0</v>
      </c>
      <c r="O14248">
        <v>38</v>
      </c>
      <c r="P14248">
        <v>0</v>
      </c>
    </row>
    <row r="14249" spans="1:16" x14ac:dyDescent="0.25">
      <c r="A14249" t="s">
        <v>37012</v>
      </c>
      <c r="B14249" t="s">
        <v>9835</v>
      </c>
      <c r="C14249" t="s">
        <v>9836</v>
      </c>
      <c r="D14249" t="str">
        <f>"6500"</f>
        <v>6500</v>
      </c>
      <c r="E14249" t="s">
        <v>151</v>
      </c>
      <c r="F14249" t="s">
        <v>2</v>
      </c>
      <c r="G14249" t="s">
        <v>47097</v>
      </c>
      <c r="I14249" t="s">
        <v>47127</v>
      </c>
      <c r="J14249" t="s">
        <v>47128</v>
      </c>
      <c r="K14249" t="s">
        <v>47113</v>
      </c>
      <c r="L14249">
        <v>18.63</v>
      </c>
      <c r="M14249">
        <v>38</v>
      </c>
      <c r="N14249">
        <v>0</v>
      </c>
      <c r="O14249">
        <v>38</v>
      </c>
      <c r="P14249">
        <v>0</v>
      </c>
    </row>
    <row r="14250" spans="1:16" x14ac:dyDescent="0.25">
      <c r="A14250" t="s">
        <v>37013</v>
      </c>
      <c r="B14250" t="s">
        <v>9837</v>
      </c>
      <c r="C14250" t="s">
        <v>9838</v>
      </c>
      <c r="D14250" t="str">
        <f>"1278"</f>
        <v>1278</v>
      </c>
      <c r="E14250" t="s">
        <v>100</v>
      </c>
      <c r="F14250" t="s">
        <v>2</v>
      </c>
      <c r="G14250" t="s">
        <v>47094</v>
      </c>
      <c r="H14250" t="s">
        <v>47126</v>
      </c>
      <c r="I14250" t="s">
        <v>47127</v>
      </c>
      <c r="J14250" t="s">
        <v>47128</v>
      </c>
      <c r="K14250" t="s">
        <v>47113</v>
      </c>
      <c r="L14250">
        <v>42.16</v>
      </c>
      <c r="M14250">
        <v>83</v>
      </c>
      <c r="N14250">
        <v>0</v>
      </c>
      <c r="O14250">
        <v>83</v>
      </c>
      <c r="P14250">
        <v>0</v>
      </c>
    </row>
    <row r="14251" spans="1:16" x14ac:dyDescent="0.25">
      <c r="A14251" t="s">
        <v>37014</v>
      </c>
      <c r="B14251" t="s">
        <v>9837</v>
      </c>
      <c r="C14251" t="s">
        <v>9838</v>
      </c>
      <c r="D14251" t="str">
        <f>"1700"</f>
        <v>1700</v>
      </c>
      <c r="E14251" t="s">
        <v>60</v>
      </c>
      <c r="F14251" t="s">
        <v>2</v>
      </c>
      <c r="G14251" t="s">
        <v>47094</v>
      </c>
      <c r="H14251" t="s">
        <v>47126</v>
      </c>
      <c r="I14251" t="s">
        <v>47127</v>
      </c>
      <c r="J14251" t="s">
        <v>47128</v>
      </c>
      <c r="K14251" t="s">
        <v>47113</v>
      </c>
      <c r="L14251">
        <v>42.16</v>
      </c>
      <c r="M14251">
        <v>83</v>
      </c>
      <c r="N14251">
        <v>0</v>
      </c>
      <c r="O14251">
        <v>83</v>
      </c>
      <c r="P14251">
        <v>0</v>
      </c>
    </row>
    <row r="14252" spans="1:16" x14ac:dyDescent="0.25">
      <c r="A14252" t="s">
        <v>37015</v>
      </c>
      <c r="B14252" t="s">
        <v>9837</v>
      </c>
      <c r="C14252" t="s">
        <v>9838</v>
      </c>
      <c r="D14252" t="str">
        <f>"3195"</f>
        <v>3195</v>
      </c>
      <c r="E14252" t="s">
        <v>9775</v>
      </c>
      <c r="F14252" t="s">
        <v>2</v>
      </c>
      <c r="G14252" t="s">
        <v>47094</v>
      </c>
      <c r="H14252" t="s">
        <v>47126</v>
      </c>
      <c r="I14252" t="s">
        <v>47127</v>
      </c>
      <c r="J14252" t="s">
        <v>47128</v>
      </c>
      <c r="K14252" t="s">
        <v>47113</v>
      </c>
      <c r="L14252">
        <v>42.16</v>
      </c>
      <c r="M14252">
        <v>83</v>
      </c>
      <c r="N14252">
        <v>0</v>
      </c>
      <c r="O14252">
        <v>83</v>
      </c>
      <c r="P14252">
        <v>0</v>
      </c>
    </row>
    <row r="14253" spans="1:16" x14ac:dyDescent="0.25">
      <c r="A14253" t="s">
        <v>37016</v>
      </c>
      <c r="B14253" t="s">
        <v>9837</v>
      </c>
      <c r="C14253" t="s">
        <v>9838</v>
      </c>
      <c r="D14253" t="str">
        <f>"4000"</f>
        <v>4000</v>
      </c>
      <c r="E14253" t="s">
        <v>190</v>
      </c>
      <c r="F14253" t="s">
        <v>2</v>
      </c>
      <c r="G14253" t="s">
        <v>47094</v>
      </c>
      <c r="H14253" t="s">
        <v>47126</v>
      </c>
      <c r="I14253" t="s">
        <v>47127</v>
      </c>
      <c r="J14253" t="s">
        <v>47128</v>
      </c>
      <c r="K14253" t="s">
        <v>47113</v>
      </c>
      <c r="L14253">
        <v>42.16</v>
      </c>
      <c r="M14253">
        <v>83</v>
      </c>
      <c r="N14253">
        <v>0</v>
      </c>
      <c r="O14253">
        <v>83</v>
      </c>
      <c r="P14253">
        <v>0</v>
      </c>
    </row>
    <row r="14254" spans="1:16" x14ac:dyDescent="0.25">
      <c r="A14254" t="s">
        <v>37017</v>
      </c>
      <c r="B14254" t="s">
        <v>9837</v>
      </c>
      <c r="C14254" t="s">
        <v>9838</v>
      </c>
      <c r="D14254" t="str">
        <f>"6182"</f>
        <v>6182</v>
      </c>
      <c r="E14254" t="s">
        <v>202</v>
      </c>
      <c r="F14254" t="s">
        <v>2</v>
      </c>
      <c r="G14254" t="s">
        <v>47094</v>
      </c>
      <c r="H14254" t="s">
        <v>47126</v>
      </c>
      <c r="I14254" t="s">
        <v>47127</v>
      </c>
      <c r="J14254" t="s">
        <v>47128</v>
      </c>
      <c r="K14254" t="s">
        <v>47113</v>
      </c>
      <c r="L14254">
        <v>42.16</v>
      </c>
      <c r="M14254">
        <v>83</v>
      </c>
      <c r="N14254">
        <v>0</v>
      </c>
      <c r="O14254">
        <v>83</v>
      </c>
      <c r="P14254">
        <v>0</v>
      </c>
    </row>
    <row r="14255" spans="1:16" x14ac:dyDescent="0.25">
      <c r="A14255" t="s">
        <v>37018</v>
      </c>
      <c r="B14255" t="s">
        <v>9839</v>
      </c>
      <c r="C14255" t="s">
        <v>21268</v>
      </c>
      <c r="D14255" t="str">
        <f>"1004"</f>
        <v>1004</v>
      </c>
      <c r="E14255" t="s">
        <v>200</v>
      </c>
      <c r="F14255" t="s">
        <v>2</v>
      </c>
      <c r="G14255" t="s">
        <v>47091</v>
      </c>
      <c r="H14255" t="s">
        <v>47126</v>
      </c>
      <c r="I14255" t="s">
        <v>47127</v>
      </c>
      <c r="J14255" t="s">
        <v>47128</v>
      </c>
      <c r="K14255" t="s">
        <v>47113</v>
      </c>
      <c r="L14255">
        <v>17.72</v>
      </c>
      <c r="M14255">
        <v>47</v>
      </c>
      <c r="N14255">
        <v>0</v>
      </c>
      <c r="O14255">
        <v>47</v>
      </c>
      <c r="P14255">
        <v>0</v>
      </c>
    </row>
    <row r="14256" spans="1:16" x14ac:dyDescent="0.25">
      <c r="A14256" t="s">
        <v>37019</v>
      </c>
      <c r="B14256" t="s">
        <v>9839</v>
      </c>
      <c r="C14256" t="s">
        <v>21268</v>
      </c>
      <c r="D14256" t="str">
        <f>"1368"</f>
        <v>1368</v>
      </c>
      <c r="E14256" t="s">
        <v>194</v>
      </c>
      <c r="F14256" t="s">
        <v>2</v>
      </c>
      <c r="G14256" t="s">
        <v>47091</v>
      </c>
      <c r="H14256" t="s">
        <v>47126</v>
      </c>
      <c r="I14256" t="s">
        <v>47127</v>
      </c>
      <c r="J14256" t="s">
        <v>47128</v>
      </c>
      <c r="K14256" t="s">
        <v>47113</v>
      </c>
      <c r="L14256">
        <v>14.73</v>
      </c>
      <c r="M14256">
        <v>47</v>
      </c>
      <c r="N14256">
        <v>0</v>
      </c>
      <c r="O14256">
        <v>47</v>
      </c>
      <c r="P14256">
        <v>0</v>
      </c>
    </row>
    <row r="14257" spans="1:16" x14ac:dyDescent="0.25">
      <c r="A14257" t="s">
        <v>37020</v>
      </c>
      <c r="B14257" t="s">
        <v>9839</v>
      </c>
      <c r="C14257" t="s">
        <v>21268</v>
      </c>
      <c r="D14257" t="str">
        <f>"1700"</f>
        <v>1700</v>
      </c>
      <c r="E14257" t="s">
        <v>60</v>
      </c>
      <c r="F14257" t="s">
        <v>2</v>
      </c>
      <c r="G14257" t="s">
        <v>47091</v>
      </c>
      <c r="H14257" t="s">
        <v>47126</v>
      </c>
      <c r="I14257" t="s">
        <v>47127</v>
      </c>
      <c r="J14257" t="s">
        <v>47128</v>
      </c>
      <c r="K14257" t="s">
        <v>47113</v>
      </c>
      <c r="L14257">
        <v>14.73</v>
      </c>
      <c r="M14257">
        <v>47</v>
      </c>
      <c r="N14257">
        <v>0</v>
      </c>
      <c r="O14257">
        <v>47</v>
      </c>
      <c r="P14257">
        <v>0</v>
      </c>
    </row>
    <row r="14258" spans="1:16" x14ac:dyDescent="0.25">
      <c r="A14258" t="s">
        <v>37021</v>
      </c>
      <c r="B14258" t="s">
        <v>9839</v>
      </c>
      <c r="C14258" t="s">
        <v>21268</v>
      </c>
      <c r="D14258" t="str">
        <f>"3195"</f>
        <v>3195</v>
      </c>
      <c r="E14258" t="s">
        <v>9775</v>
      </c>
      <c r="F14258" t="s">
        <v>2</v>
      </c>
      <c r="G14258" t="s">
        <v>47091</v>
      </c>
      <c r="H14258" t="s">
        <v>47126</v>
      </c>
      <c r="I14258" t="s">
        <v>47127</v>
      </c>
      <c r="J14258" t="s">
        <v>47128</v>
      </c>
      <c r="K14258" t="s">
        <v>47113</v>
      </c>
      <c r="L14258">
        <v>14.73</v>
      </c>
      <c r="M14258">
        <v>47</v>
      </c>
      <c r="N14258">
        <v>0</v>
      </c>
      <c r="O14258">
        <v>47</v>
      </c>
      <c r="P14258">
        <v>0</v>
      </c>
    </row>
    <row r="14259" spans="1:16" x14ac:dyDescent="0.25">
      <c r="A14259" t="s">
        <v>37022</v>
      </c>
      <c r="B14259" t="s">
        <v>9839</v>
      </c>
      <c r="C14259" t="s">
        <v>21268</v>
      </c>
      <c r="D14259" t="str">
        <f>"4644"</f>
        <v>4644</v>
      </c>
      <c r="E14259" t="s">
        <v>201</v>
      </c>
      <c r="F14259" t="s">
        <v>2</v>
      </c>
      <c r="G14259" t="s">
        <v>47091</v>
      </c>
      <c r="H14259" t="s">
        <v>47126</v>
      </c>
      <c r="I14259" t="s">
        <v>47127</v>
      </c>
      <c r="J14259" t="s">
        <v>47128</v>
      </c>
      <c r="K14259" t="s">
        <v>47113</v>
      </c>
      <c r="L14259">
        <v>14.73</v>
      </c>
      <c r="M14259">
        <v>47</v>
      </c>
      <c r="N14259">
        <v>0</v>
      </c>
      <c r="O14259">
        <v>47</v>
      </c>
      <c r="P14259">
        <v>0</v>
      </c>
    </row>
    <row r="14260" spans="1:16" x14ac:dyDescent="0.25">
      <c r="A14260" t="s">
        <v>37023</v>
      </c>
      <c r="B14260" t="s">
        <v>9839</v>
      </c>
      <c r="C14260" t="s">
        <v>21268</v>
      </c>
      <c r="D14260" t="str">
        <f>"4645"</f>
        <v>4645</v>
      </c>
      <c r="E14260" t="s">
        <v>9770</v>
      </c>
      <c r="F14260" t="s">
        <v>2</v>
      </c>
      <c r="G14260" t="s">
        <v>47091</v>
      </c>
      <c r="H14260" t="s">
        <v>47126</v>
      </c>
      <c r="I14260" t="s">
        <v>47127</v>
      </c>
      <c r="J14260" t="s">
        <v>47128</v>
      </c>
      <c r="K14260" t="s">
        <v>47113</v>
      </c>
      <c r="L14260">
        <v>14.73</v>
      </c>
      <c r="M14260">
        <v>47</v>
      </c>
      <c r="N14260">
        <v>0</v>
      </c>
      <c r="O14260">
        <v>47</v>
      </c>
      <c r="P14260">
        <v>0</v>
      </c>
    </row>
    <row r="14261" spans="1:16" x14ac:dyDescent="0.25">
      <c r="A14261" t="s">
        <v>37024</v>
      </c>
      <c r="B14261" t="s">
        <v>9839</v>
      </c>
      <c r="C14261" t="s">
        <v>21268</v>
      </c>
      <c r="D14261" t="str">
        <f>"4646"</f>
        <v>4646</v>
      </c>
      <c r="E14261" t="s">
        <v>9741</v>
      </c>
      <c r="F14261" t="s">
        <v>2</v>
      </c>
      <c r="G14261" t="s">
        <v>47091</v>
      </c>
      <c r="H14261" t="s">
        <v>47126</v>
      </c>
      <c r="I14261" t="s">
        <v>47127</v>
      </c>
      <c r="J14261" t="s">
        <v>47128</v>
      </c>
      <c r="K14261" t="s">
        <v>47113</v>
      </c>
      <c r="L14261">
        <v>14.73</v>
      </c>
      <c r="M14261">
        <v>47</v>
      </c>
      <c r="N14261">
        <v>0</v>
      </c>
      <c r="O14261">
        <v>47</v>
      </c>
      <c r="P14261">
        <v>0</v>
      </c>
    </row>
    <row r="14262" spans="1:16" x14ac:dyDescent="0.25">
      <c r="A14262" t="s">
        <v>15021</v>
      </c>
      <c r="B14262" t="s">
        <v>9839</v>
      </c>
      <c r="C14262" t="s">
        <v>21268</v>
      </c>
      <c r="D14262" t="str">
        <f>"6500"</f>
        <v>6500</v>
      </c>
      <c r="E14262" t="s">
        <v>151</v>
      </c>
      <c r="F14262" t="s">
        <v>2</v>
      </c>
      <c r="G14262" t="s">
        <v>47091</v>
      </c>
      <c r="H14262" t="s">
        <v>47126</v>
      </c>
      <c r="I14262" t="s">
        <v>47127</v>
      </c>
      <c r="J14262" t="s">
        <v>47128</v>
      </c>
      <c r="K14262" t="s">
        <v>47113</v>
      </c>
      <c r="L14262">
        <v>14.73</v>
      </c>
      <c r="M14262">
        <v>47</v>
      </c>
      <c r="N14262">
        <v>0</v>
      </c>
      <c r="O14262">
        <v>47</v>
      </c>
      <c r="P14262">
        <v>0</v>
      </c>
    </row>
    <row r="14263" spans="1:16" x14ac:dyDescent="0.25">
      <c r="A14263" t="s">
        <v>15022</v>
      </c>
      <c r="B14263" t="s">
        <v>191</v>
      </c>
      <c r="C14263" t="s">
        <v>192</v>
      </c>
      <c r="D14263" t="str">
        <f>"1278"</f>
        <v>1278</v>
      </c>
      <c r="E14263" t="s">
        <v>100</v>
      </c>
      <c r="F14263" t="s">
        <v>2</v>
      </c>
      <c r="G14263" t="s">
        <v>47091</v>
      </c>
      <c r="H14263" t="s">
        <v>47126</v>
      </c>
      <c r="I14263" t="s">
        <v>47127</v>
      </c>
      <c r="J14263" t="s">
        <v>47128</v>
      </c>
      <c r="K14263" t="s">
        <v>47113</v>
      </c>
      <c r="L14263">
        <v>15.36</v>
      </c>
      <c r="M14263">
        <v>33</v>
      </c>
      <c r="N14263">
        <v>0</v>
      </c>
      <c r="O14263">
        <v>33</v>
      </c>
      <c r="P14263">
        <v>0</v>
      </c>
    </row>
    <row r="14264" spans="1:16" x14ac:dyDescent="0.25">
      <c r="A14264" t="s">
        <v>37025</v>
      </c>
      <c r="B14264" t="s">
        <v>191</v>
      </c>
      <c r="C14264" t="s">
        <v>192</v>
      </c>
      <c r="D14264" t="str">
        <f>"1700"</f>
        <v>1700</v>
      </c>
      <c r="E14264" t="s">
        <v>60</v>
      </c>
      <c r="F14264" t="s">
        <v>2</v>
      </c>
      <c r="G14264" t="s">
        <v>47091</v>
      </c>
      <c r="H14264" t="s">
        <v>47126</v>
      </c>
      <c r="I14264" t="s">
        <v>47127</v>
      </c>
      <c r="J14264" t="s">
        <v>47128</v>
      </c>
      <c r="K14264" t="s">
        <v>47113</v>
      </c>
      <c r="L14264">
        <v>15.37</v>
      </c>
      <c r="M14264">
        <v>33</v>
      </c>
      <c r="N14264">
        <v>0</v>
      </c>
      <c r="O14264">
        <v>33</v>
      </c>
      <c r="P14264">
        <v>0</v>
      </c>
    </row>
    <row r="14265" spans="1:16" x14ac:dyDescent="0.25">
      <c r="A14265" t="s">
        <v>37026</v>
      </c>
      <c r="B14265" t="s">
        <v>9840</v>
      </c>
      <c r="C14265" t="s">
        <v>9841</v>
      </c>
      <c r="D14265" t="str">
        <f>"1368"</f>
        <v>1368</v>
      </c>
      <c r="E14265" t="s">
        <v>194</v>
      </c>
      <c r="F14265" t="s">
        <v>2</v>
      </c>
      <c r="G14265" t="s">
        <v>47094</v>
      </c>
      <c r="I14265" t="s">
        <v>47127</v>
      </c>
      <c r="J14265" t="s">
        <v>47128</v>
      </c>
      <c r="K14265" t="s">
        <v>47113</v>
      </c>
      <c r="L14265">
        <v>43.35</v>
      </c>
      <c r="M14265">
        <v>80</v>
      </c>
      <c r="N14265">
        <v>0</v>
      </c>
      <c r="O14265">
        <v>80</v>
      </c>
      <c r="P14265">
        <v>0</v>
      </c>
    </row>
    <row r="14266" spans="1:16" x14ac:dyDescent="0.25">
      <c r="A14266" t="s">
        <v>37027</v>
      </c>
      <c r="B14266" t="s">
        <v>9840</v>
      </c>
      <c r="C14266" t="s">
        <v>9841</v>
      </c>
      <c r="D14266" t="str">
        <f>"4644"</f>
        <v>4644</v>
      </c>
      <c r="E14266" t="s">
        <v>201</v>
      </c>
      <c r="F14266" t="s">
        <v>2</v>
      </c>
      <c r="G14266" t="s">
        <v>47094</v>
      </c>
      <c r="I14266" t="s">
        <v>47127</v>
      </c>
      <c r="J14266" t="s">
        <v>47128</v>
      </c>
      <c r="K14266" t="s">
        <v>47113</v>
      </c>
      <c r="L14266">
        <v>43.35</v>
      </c>
      <c r="M14266">
        <v>80</v>
      </c>
      <c r="N14266">
        <v>0</v>
      </c>
      <c r="O14266">
        <v>80</v>
      </c>
      <c r="P14266">
        <v>0</v>
      </c>
    </row>
    <row r="14267" spans="1:16" x14ac:dyDescent="0.25">
      <c r="A14267" t="s">
        <v>37028</v>
      </c>
      <c r="B14267" t="s">
        <v>9840</v>
      </c>
      <c r="C14267" t="s">
        <v>9841</v>
      </c>
      <c r="D14267" t="str">
        <f>"4645"</f>
        <v>4645</v>
      </c>
      <c r="E14267" t="s">
        <v>9770</v>
      </c>
      <c r="F14267" t="s">
        <v>2</v>
      </c>
      <c r="G14267" t="s">
        <v>47094</v>
      </c>
      <c r="I14267" t="s">
        <v>47127</v>
      </c>
      <c r="J14267" t="s">
        <v>47128</v>
      </c>
      <c r="K14267" t="s">
        <v>47113</v>
      </c>
      <c r="L14267">
        <v>43.35</v>
      </c>
      <c r="M14267">
        <v>80</v>
      </c>
      <c r="N14267">
        <v>0</v>
      </c>
      <c r="O14267">
        <v>80</v>
      </c>
      <c r="P14267">
        <v>0</v>
      </c>
    </row>
    <row r="14268" spans="1:16" x14ac:dyDescent="0.25">
      <c r="A14268" t="s">
        <v>37029</v>
      </c>
      <c r="B14268" t="s">
        <v>9840</v>
      </c>
      <c r="C14268" t="s">
        <v>9841</v>
      </c>
      <c r="D14268" t="str">
        <f>"6500"</f>
        <v>6500</v>
      </c>
      <c r="E14268" t="s">
        <v>151</v>
      </c>
      <c r="F14268" t="s">
        <v>2</v>
      </c>
      <c r="G14268" t="s">
        <v>47094</v>
      </c>
      <c r="I14268" t="s">
        <v>47127</v>
      </c>
      <c r="J14268" t="s">
        <v>47128</v>
      </c>
      <c r="K14268" t="s">
        <v>47113</v>
      </c>
      <c r="L14268">
        <v>43.35</v>
      </c>
      <c r="M14268">
        <v>80</v>
      </c>
      <c r="N14268">
        <v>0</v>
      </c>
      <c r="O14268">
        <v>80</v>
      </c>
      <c r="P14268">
        <v>0</v>
      </c>
    </row>
    <row r="14269" spans="1:16" x14ac:dyDescent="0.25">
      <c r="A14269" t="s">
        <v>37030</v>
      </c>
      <c r="B14269" t="s">
        <v>9842</v>
      </c>
      <c r="C14269" t="s">
        <v>9843</v>
      </c>
      <c r="D14269" t="str">
        <f>"1368"</f>
        <v>1368</v>
      </c>
      <c r="E14269" t="s">
        <v>194</v>
      </c>
      <c r="F14269" t="s">
        <v>2</v>
      </c>
      <c r="G14269" t="s">
        <v>47097</v>
      </c>
      <c r="I14269" t="s">
        <v>47127</v>
      </c>
      <c r="J14269" t="s">
        <v>47128</v>
      </c>
      <c r="K14269" t="s">
        <v>47113</v>
      </c>
      <c r="L14269">
        <v>19.97</v>
      </c>
      <c r="M14269">
        <v>63</v>
      </c>
      <c r="N14269">
        <v>0</v>
      </c>
      <c r="O14269">
        <v>63</v>
      </c>
      <c r="P14269">
        <v>0</v>
      </c>
    </row>
    <row r="14270" spans="1:16" x14ac:dyDescent="0.25">
      <c r="A14270" t="s">
        <v>37031</v>
      </c>
      <c r="B14270" t="s">
        <v>9842</v>
      </c>
      <c r="C14270" t="s">
        <v>9843</v>
      </c>
      <c r="D14270" t="str">
        <f>"3195"</f>
        <v>3195</v>
      </c>
      <c r="E14270" t="s">
        <v>9775</v>
      </c>
      <c r="F14270" t="s">
        <v>2</v>
      </c>
      <c r="G14270" t="s">
        <v>47097</v>
      </c>
      <c r="I14270" t="s">
        <v>47127</v>
      </c>
      <c r="J14270" t="s">
        <v>47128</v>
      </c>
      <c r="K14270" t="s">
        <v>47113</v>
      </c>
      <c r="L14270">
        <v>19.97</v>
      </c>
      <c r="M14270">
        <v>63</v>
      </c>
      <c r="N14270">
        <v>0</v>
      </c>
      <c r="O14270">
        <v>63</v>
      </c>
      <c r="P14270">
        <v>0</v>
      </c>
    </row>
    <row r="14271" spans="1:16" x14ac:dyDescent="0.25">
      <c r="A14271" t="s">
        <v>37032</v>
      </c>
      <c r="B14271" t="s">
        <v>9842</v>
      </c>
      <c r="C14271" t="s">
        <v>9843</v>
      </c>
      <c r="D14271" t="str">
        <f>"4644"</f>
        <v>4644</v>
      </c>
      <c r="E14271" t="s">
        <v>201</v>
      </c>
      <c r="F14271" t="s">
        <v>2</v>
      </c>
      <c r="G14271" t="s">
        <v>47097</v>
      </c>
      <c r="I14271" t="s">
        <v>47127</v>
      </c>
      <c r="J14271" t="s">
        <v>47128</v>
      </c>
      <c r="K14271" t="s">
        <v>47113</v>
      </c>
      <c r="L14271">
        <v>19.97</v>
      </c>
      <c r="M14271">
        <v>63</v>
      </c>
      <c r="N14271">
        <v>0</v>
      </c>
      <c r="O14271">
        <v>63</v>
      </c>
      <c r="P14271">
        <v>0</v>
      </c>
    </row>
    <row r="14272" spans="1:16" x14ac:dyDescent="0.25">
      <c r="A14272" t="s">
        <v>37033</v>
      </c>
      <c r="B14272" t="s">
        <v>9842</v>
      </c>
      <c r="C14272" t="s">
        <v>9843</v>
      </c>
      <c r="D14272" t="str">
        <f>"4645"</f>
        <v>4645</v>
      </c>
      <c r="E14272" t="s">
        <v>9770</v>
      </c>
      <c r="F14272" t="s">
        <v>2</v>
      </c>
      <c r="G14272" t="s">
        <v>47097</v>
      </c>
      <c r="I14272" t="s">
        <v>47127</v>
      </c>
      <c r="J14272" t="s">
        <v>47128</v>
      </c>
      <c r="K14272" t="s">
        <v>47113</v>
      </c>
      <c r="L14272">
        <v>19.97</v>
      </c>
      <c r="M14272">
        <v>63</v>
      </c>
      <c r="N14272">
        <v>0</v>
      </c>
      <c r="O14272">
        <v>63</v>
      </c>
      <c r="P14272">
        <v>0</v>
      </c>
    </row>
    <row r="14273" spans="1:16" x14ac:dyDescent="0.25">
      <c r="A14273" t="s">
        <v>37034</v>
      </c>
      <c r="B14273" t="s">
        <v>9842</v>
      </c>
      <c r="C14273" t="s">
        <v>9843</v>
      </c>
      <c r="D14273" t="str">
        <f>"4646"</f>
        <v>4646</v>
      </c>
      <c r="E14273" t="s">
        <v>9741</v>
      </c>
      <c r="F14273" t="s">
        <v>2</v>
      </c>
      <c r="G14273" t="s">
        <v>47097</v>
      </c>
      <c r="I14273" t="s">
        <v>47127</v>
      </c>
      <c r="J14273" t="s">
        <v>47128</v>
      </c>
      <c r="K14273" t="s">
        <v>47113</v>
      </c>
      <c r="L14273">
        <v>19.97</v>
      </c>
      <c r="M14273">
        <v>63</v>
      </c>
      <c r="N14273">
        <v>0</v>
      </c>
      <c r="O14273">
        <v>63</v>
      </c>
      <c r="P14273">
        <v>0</v>
      </c>
    </row>
    <row r="14274" spans="1:16" x14ac:dyDescent="0.25">
      <c r="A14274" t="s">
        <v>37035</v>
      </c>
      <c r="B14274" t="s">
        <v>9842</v>
      </c>
      <c r="C14274" t="s">
        <v>9843</v>
      </c>
      <c r="D14274" t="str">
        <f>"6500"</f>
        <v>6500</v>
      </c>
      <c r="E14274" t="s">
        <v>151</v>
      </c>
      <c r="F14274" t="s">
        <v>2</v>
      </c>
      <c r="G14274" t="s">
        <v>47097</v>
      </c>
      <c r="I14274" t="s">
        <v>47127</v>
      </c>
      <c r="J14274" t="s">
        <v>47128</v>
      </c>
      <c r="K14274" t="s">
        <v>47113</v>
      </c>
      <c r="L14274">
        <v>19.97</v>
      </c>
      <c r="M14274">
        <v>63</v>
      </c>
      <c r="N14274">
        <v>0</v>
      </c>
      <c r="O14274">
        <v>63</v>
      </c>
      <c r="P14274">
        <v>0</v>
      </c>
    </row>
    <row r="14275" spans="1:16" x14ac:dyDescent="0.25">
      <c r="A14275" t="s">
        <v>37036</v>
      </c>
      <c r="B14275" t="s">
        <v>9844</v>
      </c>
      <c r="C14275" t="s">
        <v>9845</v>
      </c>
      <c r="D14275" t="str">
        <f>"1368"</f>
        <v>1368</v>
      </c>
      <c r="E14275" t="s">
        <v>194</v>
      </c>
      <c r="F14275" t="s">
        <v>2</v>
      </c>
      <c r="G14275" t="s">
        <v>47097</v>
      </c>
      <c r="I14275" t="s">
        <v>47127</v>
      </c>
      <c r="J14275" t="s">
        <v>47128</v>
      </c>
      <c r="K14275" t="s">
        <v>47113</v>
      </c>
      <c r="L14275">
        <v>18.71</v>
      </c>
      <c r="M14275">
        <v>38</v>
      </c>
      <c r="N14275">
        <v>0</v>
      </c>
      <c r="O14275">
        <v>38</v>
      </c>
      <c r="P14275">
        <v>0</v>
      </c>
    </row>
    <row r="14276" spans="1:16" x14ac:dyDescent="0.25">
      <c r="A14276" t="s">
        <v>37037</v>
      </c>
      <c r="B14276" t="s">
        <v>9844</v>
      </c>
      <c r="C14276" t="s">
        <v>9845</v>
      </c>
      <c r="D14276" t="str">
        <f>"3195"</f>
        <v>3195</v>
      </c>
      <c r="E14276" t="s">
        <v>9775</v>
      </c>
      <c r="F14276" t="s">
        <v>2</v>
      </c>
      <c r="G14276" t="s">
        <v>47097</v>
      </c>
      <c r="I14276" t="s">
        <v>47127</v>
      </c>
      <c r="J14276" t="s">
        <v>47128</v>
      </c>
      <c r="K14276" t="s">
        <v>47113</v>
      </c>
      <c r="L14276">
        <v>18.71</v>
      </c>
      <c r="M14276">
        <v>38</v>
      </c>
      <c r="N14276">
        <v>0</v>
      </c>
      <c r="O14276">
        <v>38</v>
      </c>
      <c r="P14276">
        <v>0</v>
      </c>
    </row>
    <row r="14277" spans="1:16" x14ac:dyDescent="0.25">
      <c r="A14277" t="s">
        <v>37038</v>
      </c>
      <c r="B14277" t="s">
        <v>9844</v>
      </c>
      <c r="C14277" t="s">
        <v>9845</v>
      </c>
      <c r="D14277" t="str">
        <f>"4644"</f>
        <v>4644</v>
      </c>
      <c r="E14277" t="s">
        <v>201</v>
      </c>
      <c r="F14277" t="s">
        <v>2</v>
      </c>
      <c r="G14277" t="s">
        <v>47097</v>
      </c>
      <c r="I14277" t="s">
        <v>47127</v>
      </c>
      <c r="J14277" t="s">
        <v>47128</v>
      </c>
      <c r="K14277" t="s">
        <v>47113</v>
      </c>
      <c r="L14277">
        <v>18.71</v>
      </c>
      <c r="M14277">
        <v>38</v>
      </c>
      <c r="N14277">
        <v>0</v>
      </c>
      <c r="O14277">
        <v>38</v>
      </c>
      <c r="P14277">
        <v>0</v>
      </c>
    </row>
    <row r="14278" spans="1:16" x14ac:dyDescent="0.25">
      <c r="A14278" t="s">
        <v>37039</v>
      </c>
      <c r="B14278" t="s">
        <v>9844</v>
      </c>
      <c r="C14278" t="s">
        <v>9845</v>
      </c>
      <c r="D14278" t="str">
        <f>"4645"</f>
        <v>4645</v>
      </c>
      <c r="E14278" t="s">
        <v>9770</v>
      </c>
      <c r="F14278" t="s">
        <v>2</v>
      </c>
      <c r="G14278" t="s">
        <v>47097</v>
      </c>
      <c r="I14278" t="s">
        <v>47127</v>
      </c>
      <c r="J14278" t="s">
        <v>47128</v>
      </c>
      <c r="K14278" t="s">
        <v>47113</v>
      </c>
      <c r="L14278">
        <v>18.71</v>
      </c>
      <c r="M14278">
        <v>38</v>
      </c>
      <c r="N14278">
        <v>0</v>
      </c>
      <c r="O14278">
        <v>38</v>
      </c>
      <c r="P14278">
        <v>0</v>
      </c>
    </row>
    <row r="14279" spans="1:16" x14ac:dyDescent="0.25">
      <c r="A14279" t="s">
        <v>37040</v>
      </c>
      <c r="B14279" t="s">
        <v>9844</v>
      </c>
      <c r="C14279" t="s">
        <v>9845</v>
      </c>
      <c r="D14279" t="str">
        <f>"4646"</f>
        <v>4646</v>
      </c>
      <c r="E14279" t="s">
        <v>9741</v>
      </c>
      <c r="F14279" t="s">
        <v>2</v>
      </c>
      <c r="G14279" t="s">
        <v>47097</v>
      </c>
      <c r="I14279" t="s">
        <v>47127</v>
      </c>
      <c r="J14279" t="s">
        <v>47128</v>
      </c>
      <c r="K14279" t="s">
        <v>47113</v>
      </c>
      <c r="L14279">
        <v>17.829999999999998</v>
      </c>
      <c r="M14279">
        <v>38</v>
      </c>
      <c r="N14279">
        <v>0</v>
      </c>
      <c r="O14279">
        <v>38</v>
      </c>
      <c r="P14279">
        <v>0</v>
      </c>
    </row>
    <row r="14280" spans="1:16" x14ac:dyDescent="0.25">
      <c r="A14280" t="s">
        <v>37041</v>
      </c>
      <c r="B14280" t="s">
        <v>9844</v>
      </c>
      <c r="C14280" t="s">
        <v>9845</v>
      </c>
      <c r="D14280" t="str">
        <f>"6500"</f>
        <v>6500</v>
      </c>
      <c r="E14280" t="s">
        <v>151</v>
      </c>
      <c r="F14280" t="s">
        <v>2</v>
      </c>
      <c r="G14280" t="s">
        <v>47097</v>
      </c>
      <c r="I14280" t="s">
        <v>47127</v>
      </c>
      <c r="J14280" t="s">
        <v>47128</v>
      </c>
      <c r="K14280" t="s">
        <v>47113</v>
      </c>
      <c r="L14280">
        <v>18.71</v>
      </c>
      <c r="M14280">
        <v>38</v>
      </c>
      <c r="N14280">
        <v>0</v>
      </c>
      <c r="O14280">
        <v>38</v>
      </c>
      <c r="P14280">
        <v>0</v>
      </c>
    </row>
    <row r="14281" spans="1:16" x14ac:dyDescent="0.25">
      <c r="A14281" t="s">
        <v>37042</v>
      </c>
      <c r="B14281" t="s">
        <v>9846</v>
      </c>
      <c r="C14281" t="s">
        <v>9847</v>
      </c>
      <c r="D14281" t="str">
        <f>"1368"</f>
        <v>1368</v>
      </c>
      <c r="E14281" t="s">
        <v>194</v>
      </c>
      <c r="F14281" t="s">
        <v>2</v>
      </c>
      <c r="G14281" t="s">
        <v>47097</v>
      </c>
      <c r="I14281" t="s">
        <v>47127</v>
      </c>
      <c r="J14281" t="s">
        <v>47128</v>
      </c>
      <c r="K14281" t="s">
        <v>47113</v>
      </c>
      <c r="L14281">
        <v>15.87</v>
      </c>
      <c r="M14281">
        <v>34</v>
      </c>
      <c r="N14281">
        <v>0</v>
      </c>
      <c r="O14281">
        <v>34</v>
      </c>
      <c r="P14281">
        <v>0</v>
      </c>
    </row>
    <row r="14282" spans="1:16" x14ac:dyDescent="0.25">
      <c r="A14282" t="s">
        <v>37043</v>
      </c>
      <c r="B14282" t="s">
        <v>9846</v>
      </c>
      <c r="C14282" t="s">
        <v>9847</v>
      </c>
      <c r="D14282" t="str">
        <f>"1700"</f>
        <v>1700</v>
      </c>
      <c r="E14282" t="s">
        <v>60</v>
      </c>
      <c r="F14282" t="s">
        <v>2</v>
      </c>
      <c r="G14282" t="s">
        <v>47097</v>
      </c>
      <c r="I14282" t="s">
        <v>47127</v>
      </c>
      <c r="J14282" t="s">
        <v>47128</v>
      </c>
      <c r="K14282" t="s">
        <v>47113</v>
      </c>
      <c r="L14282">
        <v>15.87</v>
      </c>
      <c r="M14282">
        <v>34</v>
      </c>
      <c r="N14282">
        <v>0</v>
      </c>
      <c r="O14282">
        <v>34</v>
      </c>
      <c r="P14282">
        <v>0</v>
      </c>
    </row>
    <row r="14283" spans="1:16" x14ac:dyDescent="0.25">
      <c r="A14283" t="s">
        <v>37044</v>
      </c>
      <c r="B14283" t="s">
        <v>9846</v>
      </c>
      <c r="C14283" t="s">
        <v>9847</v>
      </c>
      <c r="D14283" t="str">
        <f>"3000"</f>
        <v>3000</v>
      </c>
      <c r="E14283" t="s">
        <v>2220</v>
      </c>
      <c r="F14283" t="s">
        <v>2</v>
      </c>
      <c r="G14283" t="s">
        <v>47097</v>
      </c>
      <c r="I14283" t="s">
        <v>47127</v>
      </c>
      <c r="J14283" t="s">
        <v>47128</v>
      </c>
      <c r="K14283" t="s">
        <v>47113</v>
      </c>
      <c r="L14283">
        <v>15.87</v>
      </c>
      <c r="M14283">
        <v>34</v>
      </c>
      <c r="N14283">
        <v>0</v>
      </c>
      <c r="O14283">
        <v>34</v>
      </c>
      <c r="P14283">
        <v>0</v>
      </c>
    </row>
    <row r="14284" spans="1:16" x14ac:dyDescent="0.25">
      <c r="A14284" t="s">
        <v>37045</v>
      </c>
      <c r="B14284" t="s">
        <v>9846</v>
      </c>
      <c r="C14284" t="s">
        <v>9847</v>
      </c>
      <c r="D14284" t="str">
        <f>"4643"</f>
        <v>4643</v>
      </c>
      <c r="E14284" t="s">
        <v>205</v>
      </c>
      <c r="F14284" t="s">
        <v>2</v>
      </c>
      <c r="G14284" t="s">
        <v>47097</v>
      </c>
      <c r="I14284" t="s">
        <v>47127</v>
      </c>
      <c r="J14284" t="s">
        <v>47128</v>
      </c>
      <c r="K14284" t="s">
        <v>47113</v>
      </c>
      <c r="L14284">
        <v>15.87</v>
      </c>
      <c r="M14284">
        <v>34</v>
      </c>
      <c r="N14284">
        <v>0</v>
      </c>
      <c r="O14284">
        <v>34</v>
      </c>
      <c r="P14284">
        <v>0</v>
      </c>
    </row>
    <row r="14285" spans="1:16" x14ac:dyDescent="0.25">
      <c r="A14285" t="s">
        <v>37046</v>
      </c>
      <c r="B14285" t="s">
        <v>9846</v>
      </c>
      <c r="C14285" t="s">
        <v>9847</v>
      </c>
      <c r="D14285" t="str">
        <f>"4644"</f>
        <v>4644</v>
      </c>
      <c r="E14285" t="s">
        <v>201</v>
      </c>
      <c r="F14285" t="s">
        <v>2</v>
      </c>
      <c r="G14285" t="s">
        <v>47097</v>
      </c>
      <c r="I14285" t="s">
        <v>47127</v>
      </c>
      <c r="J14285" t="s">
        <v>47128</v>
      </c>
      <c r="K14285" t="s">
        <v>47113</v>
      </c>
      <c r="L14285">
        <v>15.87</v>
      </c>
      <c r="M14285">
        <v>34</v>
      </c>
      <c r="N14285">
        <v>0</v>
      </c>
      <c r="O14285">
        <v>34</v>
      </c>
      <c r="P14285">
        <v>0</v>
      </c>
    </row>
    <row r="14286" spans="1:16" x14ac:dyDescent="0.25">
      <c r="A14286" t="s">
        <v>37047</v>
      </c>
      <c r="B14286" t="s">
        <v>9846</v>
      </c>
      <c r="C14286" t="s">
        <v>9847</v>
      </c>
      <c r="D14286" t="str">
        <f>"4645"</f>
        <v>4645</v>
      </c>
      <c r="E14286" t="s">
        <v>9770</v>
      </c>
      <c r="F14286" t="s">
        <v>2</v>
      </c>
      <c r="G14286" t="s">
        <v>47097</v>
      </c>
      <c r="I14286" t="s">
        <v>47127</v>
      </c>
      <c r="J14286" t="s">
        <v>47128</v>
      </c>
      <c r="K14286" t="s">
        <v>47113</v>
      </c>
      <c r="L14286">
        <v>15.87</v>
      </c>
      <c r="M14286">
        <v>34</v>
      </c>
      <c r="N14286">
        <v>0</v>
      </c>
      <c r="O14286">
        <v>34</v>
      </c>
      <c r="P14286">
        <v>0</v>
      </c>
    </row>
    <row r="14287" spans="1:16" x14ac:dyDescent="0.25">
      <c r="A14287" t="s">
        <v>37048</v>
      </c>
      <c r="B14287" t="s">
        <v>9846</v>
      </c>
      <c r="C14287" t="s">
        <v>9847</v>
      </c>
      <c r="D14287" t="str">
        <f>"6500"</f>
        <v>6500</v>
      </c>
      <c r="E14287" t="s">
        <v>151</v>
      </c>
      <c r="F14287" t="s">
        <v>2</v>
      </c>
      <c r="G14287" t="s">
        <v>47097</v>
      </c>
      <c r="I14287" t="s">
        <v>47127</v>
      </c>
      <c r="J14287" t="s">
        <v>47128</v>
      </c>
      <c r="K14287" t="s">
        <v>47113</v>
      </c>
      <c r="L14287">
        <v>15.87</v>
      </c>
      <c r="M14287">
        <v>34</v>
      </c>
      <c r="N14287">
        <v>0</v>
      </c>
      <c r="O14287">
        <v>34</v>
      </c>
      <c r="P14287">
        <v>0</v>
      </c>
    </row>
    <row r="14288" spans="1:16" x14ac:dyDescent="0.25">
      <c r="A14288" t="s">
        <v>37049</v>
      </c>
      <c r="B14288" t="s">
        <v>9848</v>
      </c>
      <c r="C14288" t="s">
        <v>9849</v>
      </c>
      <c r="D14288" t="str">
        <f>"1700"</f>
        <v>1700</v>
      </c>
      <c r="E14288" t="s">
        <v>60</v>
      </c>
      <c r="F14288" t="s">
        <v>2</v>
      </c>
      <c r="G14288" t="s">
        <v>47094</v>
      </c>
      <c r="I14288" t="s">
        <v>47127</v>
      </c>
      <c r="J14288" t="s">
        <v>47128</v>
      </c>
      <c r="K14288" t="s">
        <v>47113</v>
      </c>
      <c r="L14288">
        <v>39.950000000000003</v>
      </c>
      <c r="M14288">
        <v>88</v>
      </c>
      <c r="N14288">
        <v>0</v>
      </c>
      <c r="O14288">
        <v>88</v>
      </c>
      <c r="P14288">
        <v>0</v>
      </c>
    </row>
    <row r="14289" spans="1:16" x14ac:dyDescent="0.25">
      <c r="A14289" t="s">
        <v>37050</v>
      </c>
      <c r="B14289" t="s">
        <v>9848</v>
      </c>
      <c r="C14289" t="s">
        <v>9849</v>
      </c>
      <c r="D14289" t="str">
        <f>"3000"</f>
        <v>3000</v>
      </c>
      <c r="E14289" t="s">
        <v>2220</v>
      </c>
      <c r="F14289" t="s">
        <v>2</v>
      </c>
      <c r="G14289" t="s">
        <v>47094</v>
      </c>
      <c r="I14289" t="s">
        <v>47127</v>
      </c>
      <c r="J14289" t="s">
        <v>47128</v>
      </c>
      <c r="K14289" t="s">
        <v>47113</v>
      </c>
      <c r="L14289">
        <v>37.71</v>
      </c>
      <c r="M14289">
        <v>88</v>
      </c>
      <c r="N14289">
        <v>0</v>
      </c>
      <c r="O14289">
        <v>88</v>
      </c>
      <c r="P14289">
        <v>0</v>
      </c>
    </row>
    <row r="14290" spans="1:16" x14ac:dyDescent="0.25">
      <c r="A14290" t="s">
        <v>37051</v>
      </c>
      <c r="B14290" t="s">
        <v>9848</v>
      </c>
      <c r="C14290" t="s">
        <v>9849</v>
      </c>
      <c r="D14290" t="str">
        <f>"4643"</f>
        <v>4643</v>
      </c>
      <c r="E14290" t="s">
        <v>205</v>
      </c>
      <c r="F14290" t="s">
        <v>2</v>
      </c>
      <c r="G14290" t="s">
        <v>47094</v>
      </c>
      <c r="I14290" t="s">
        <v>47127</v>
      </c>
      <c r="J14290" t="s">
        <v>47128</v>
      </c>
      <c r="K14290" t="s">
        <v>47113</v>
      </c>
      <c r="L14290">
        <v>40.270000000000003</v>
      </c>
      <c r="M14290">
        <v>88</v>
      </c>
      <c r="N14290">
        <v>0</v>
      </c>
      <c r="O14290">
        <v>88</v>
      </c>
      <c r="P14290">
        <v>0</v>
      </c>
    </row>
    <row r="14291" spans="1:16" x14ac:dyDescent="0.25">
      <c r="A14291" t="s">
        <v>37052</v>
      </c>
      <c r="B14291" t="s">
        <v>9848</v>
      </c>
      <c r="C14291" t="s">
        <v>9849</v>
      </c>
      <c r="D14291" t="str">
        <f>"4646"</f>
        <v>4646</v>
      </c>
      <c r="E14291" t="s">
        <v>9741</v>
      </c>
      <c r="F14291" t="s">
        <v>2</v>
      </c>
      <c r="G14291" t="s">
        <v>47094</v>
      </c>
      <c r="I14291" t="s">
        <v>47127</v>
      </c>
      <c r="J14291" t="s">
        <v>47128</v>
      </c>
      <c r="K14291" t="s">
        <v>47113</v>
      </c>
      <c r="L14291">
        <v>37.71</v>
      </c>
      <c r="M14291">
        <v>88</v>
      </c>
      <c r="N14291">
        <v>0</v>
      </c>
      <c r="O14291">
        <v>88</v>
      </c>
      <c r="P14291">
        <v>0</v>
      </c>
    </row>
    <row r="14292" spans="1:16" x14ac:dyDescent="0.25">
      <c r="A14292" t="s">
        <v>37053</v>
      </c>
      <c r="B14292" t="s">
        <v>9848</v>
      </c>
      <c r="C14292" t="s">
        <v>9849</v>
      </c>
      <c r="D14292" t="str">
        <f>"6182"</f>
        <v>6182</v>
      </c>
      <c r="E14292" t="s">
        <v>202</v>
      </c>
      <c r="F14292" t="s">
        <v>2</v>
      </c>
      <c r="G14292" t="s">
        <v>47094</v>
      </c>
      <c r="I14292" t="s">
        <v>47127</v>
      </c>
      <c r="J14292" t="s">
        <v>47128</v>
      </c>
      <c r="K14292" t="s">
        <v>47113</v>
      </c>
      <c r="L14292">
        <v>39.950000000000003</v>
      </c>
      <c r="M14292">
        <v>88</v>
      </c>
      <c r="N14292">
        <v>0</v>
      </c>
      <c r="O14292">
        <v>88</v>
      </c>
      <c r="P14292">
        <v>0</v>
      </c>
    </row>
    <row r="14293" spans="1:16" x14ac:dyDescent="0.25">
      <c r="A14293" t="s">
        <v>15023</v>
      </c>
      <c r="B14293" t="s">
        <v>193</v>
      </c>
      <c r="C14293" t="s">
        <v>37054</v>
      </c>
      <c r="D14293" t="str">
        <f>"1368"</f>
        <v>1368</v>
      </c>
      <c r="E14293" t="s">
        <v>194</v>
      </c>
      <c r="F14293" t="s">
        <v>2</v>
      </c>
      <c r="G14293" t="s">
        <v>47097</v>
      </c>
      <c r="H14293" t="s">
        <v>47126</v>
      </c>
      <c r="I14293" t="s">
        <v>47127</v>
      </c>
      <c r="J14293" t="s">
        <v>47128</v>
      </c>
      <c r="K14293" t="s">
        <v>47113</v>
      </c>
      <c r="L14293">
        <v>18.579999999999998</v>
      </c>
      <c r="M14293">
        <v>38</v>
      </c>
      <c r="N14293">
        <v>0</v>
      </c>
      <c r="O14293">
        <v>38</v>
      </c>
      <c r="P14293">
        <v>0</v>
      </c>
    </row>
    <row r="14294" spans="1:16" x14ac:dyDescent="0.25">
      <c r="A14294" t="s">
        <v>37055</v>
      </c>
      <c r="B14294" t="s">
        <v>193</v>
      </c>
      <c r="C14294" t="s">
        <v>37054</v>
      </c>
      <c r="D14294" t="str">
        <f>"4400"</f>
        <v>4400</v>
      </c>
      <c r="E14294" t="s">
        <v>154</v>
      </c>
      <c r="F14294" t="s">
        <v>2</v>
      </c>
      <c r="G14294" t="s">
        <v>47097</v>
      </c>
      <c r="H14294" t="s">
        <v>47126</v>
      </c>
      <c r="I14294" t="s">
        <v>47127</v>
      </c>
      <c r="J14294" t="s">
        <v>47128</v>
      </c>
      <c r="K14294" t="s">
        <v>47113</v>
      </c>
      <c r="L14294">
        <v>18.600000000000001</v>
      </c>
      <c r="M14294">
        <v>38</v>
      </c>
      <c r="N14294">
        <v>0</v>
      </c>
      <c r="O14294">
        <v>38</v>
      </c>
      <c r="P14294">
        <v>0</v>
      </c>
    </row>
    <row r="14295" spans="1:16" x14ac:dyDescent="0.25">
      <c r="A14295" t="s">
        <v>37056</v>
      </c>
      <c r="B14295" t="s">
        <v>193</v>
      </c>
      <c r="C14295" t="s">
        <v>37054</v>
      </c>
      <c r="D14295" t="str">
        <f>"4644"</f>
        <v>4644</v>
      </c>
      <c r="E14295" t="s">
        <v>201</v>
      </c>
      <c r="F14295" t="s">
        <v>2</v>
      </c>
      <c r="G14295" t="s">
        <v>47097</v>
      </c>
      <c r="H14295" t="s">
        <v>47126</v>
      </c>
      <c r="I14295" t="s">
        <v>47127</v>
      </c>
      <c r="J14295" t="s">
        <v>47128</v>
      </c>
      <c r="K14295" t="s">
        <v>47113</v>
      </c>
      <c r="L14295">
        <v>18.600000000000001</v>
      </c>
      <c r="M14295">
        <v>38</v>
      </c>
      <c r="N14295">
        <v>0</v>
      </c>
      <c r="O14295">
        <v>38</v>
      </c>
      <c r="P14295">
        <v>0</v>
      </c>
    </row>
    <row r="14296" spans="1:16" x14ac:dyDescent="0.25">
      <c r="A14296" t="s">
        <v>37057</v>
      </c>
      <c r="B14296" t="s">
        <v>193</v>
      </c>
      <c r="C14296" t="s">
        <v>37054</v>
      </c>
      <c r="D14296" t="str">
        <f>"6182"</f>
        <v>6182</v>
      </c>
      <c r="E14296" t="s">
        <v>202</v>
      </c>
      <c r="F14296" t="s">
        <v>2</v>
      </c>
      <c r="G14296" t="s">
        <v>47097</v>
      </c>
      <c r="H14296" t="s">
        <v>47126</v>
      </c>
      <c r="I14296" t="s">
        <v>47127</v>
      </c>
      <c r="J14296" t="s">
        <v>47128</v>
      </c>
      <c r="K14296" t="s">
        <v>47113</v>
      </c>
      <c r="L14296">
        <v>18.600000000000001</v>
      </c>
      <c r="M14296">
        <v>38</v>
      </c>
      <c r="N14296">
        <v>0</v>
      </c>
      <c r="O14296">
        <v>38</v>
      </c>
      <c r="P14296">
        <v>0</v>
      </c>
    </row>
    <row r="14297" spans="1:16" x14ac:dyDescent="0.25">
      <c r="A14297" t="s">
        <v>37058</v>
      </c>
      <c r="B14297" t="s">
        <v>9850</v>
      </c>
      <c r="C14297" t="s">
        <v>9851</v>
      </c>
      <c r="D14297" t="str">
        <f>"1368"</f>
        <v>1368</v>
      </c>
      <c r="E14297" t="s">
        <v>194</v>
      </c>
      <c r="F14297" t="s">
        <v>2</v>
      </c>
      <c r="G14297" t="s">
        <v>47097</v>
      </c>
      <c r="H14297" t="s">
        <v>47126</v>
      </c>
      <c r="I14297" t="s">
        <v>47127</v>
      </c>
      <c r="J14297" t="s">
        <v>47128</v>
      </c>
      <c r="K14297" t="s">
        <v>47113</v>
      </c>
      <c r="L14297">
        <v>18.399999999999999</v>
      </c>
      <c r="M14297">
        <v>38</v>
      </c>
      <c r="N14297">
        <v>0</v>
      </c>
      <c r="O14297">
        <v>38</v>
      </c>
      <c r="P14297">
        <v>0</v>
      </c>
    </row>
    <row r="14298" spans="1:16" x14ac:dyDescent="0.25">
      <c r="A14298" t="s">
        <v>37059</v>
      </c>
      <c r="B14298" t="s">
        <v>9850</v>
      </c>
      <c r="C14298" t="s">
        <v>9851</v>
      </c>
      <c r="D14298" t="str">
        <f>"1700"</f>
        <v>1700</v>
      </c>
      <c r="E14298" t="s">
        <v>60</v>
      </c>
      <c r="F14298" t="s">
        <v>2</v>
      </c>
      <c r="G14298" t="s">
        <v>47097</v>
      </c>
      <c r="H14298" t="s">
        <v>47126</v>
      </c>
      <c r="I14298" t="s">
        <v>47127</v>
      </c>
      <c r="J14298" t="s">
        <v>47128</v>
      </c>
      <c r="K14298" t="s">
        <v>47113</v>
      </c>
      <c r="L14298">
        <v>18.399999999999999</v>
      </c>
      <c r="M14298">
        <v>38</v>
      </c>
      <c r="N14298">
        <v>0</v>
      </c>
      <c r="O14298">
        <v>38</v>
      </c>
      <c r="P14298">
        <v>0</v>
      </c>
    </row>
    <row r="14299" spans="1:16" x14ac:dyDescent="0.25">
      <c r="A14299" t="s">
        <v>37060</v>
      </c>
      <c r="B14299" t="s">
        <v>9850</v>
      </c>
      <c r="C14299" t="s">
        <v>9851</v>
      </c>
      <c r="D14299" t="str">
        <f>"4400"</f>
        <v>4400</v>
      </c>
      <c r="E14299" t="s">
        <v>154</v>
      </c>
      <c r="F14299" t="s">
        <v>2</v>
      </c>
      <c r="G14299" t="s">
        <v>47097</v>
      </c>
      <c r="H14299" t="s">
        <v>47126</v>
      </c>
      <c r="I14299" t="s">
        <v>47127</v>
      </c>
      <c r="J14299" t="s">
        <v>47128</v>
      </c>
      <c r="K14299" t="s">
        <v>47113</v>
      </c>
      <c r="L14299">
        <v>18.399999999999999</v>
      </c>
      <c r="M14299">
        <v>38</v>
      </c>
      <c r="N14299">
        <v>0</v>
      </c>
      <c r="O14299">
        <v>38</v>
      </c>
      <c r="P14299">
        <v>0</v>
      </c>
    </row>
    <row r="14300" spans="1:16" x14ac:dyDescent="0.25">
      <c r="A14300" t="s">
        <v>37061</v>
      </c>
      <c r="B14300" t="s">
        <v>9850</v>
      </c>
      <c r="C14300" t="s">
        <v>9851</v>
      </c>
      <c r="D14300" t="str">
        <f>"4644"</f>
        <v>4644</v>
      </c>
      <c r="E14300" t="s">
        <v>201</v>
      </c>
      <c r="F14300" t="s">
        <v>2</v>
      </c>
      <c r="G14300" t="s">
        <v>47097</v>
      </c>
      <c r="H14300" t="s">
        <v>47126</v>
      </c>
      <c r="I14300" t="s">
        <v>47127</v>
      </c>
      <c r="J14300" t="s">
        <v>47128</v>
      </c>
      <c r="K14300" t="s">
        <v>47113</v>
      </c>
      <c r="L14300">
        <v>18.399999999999999</v>
      </c>
      <c r="M14300">
        <v>38</v>
      </c>
      <c r="N14300">
        <v>0</v>
      </c>
      <c r="O14300">
        <v>38</v>
      </c>
      <c r="P14300">
        <v>0</v>
      </c>
    </row>
    <row r="14301" spans="1:16" x14ac:dyDescent="0.25">
      <c r="A14301" t="s">
        <v>37062</v>
      </c>
      <c r="B14301" t="s">
        <v>9850</v>
      </c>
      <c r="C14301" t="s">
        <v>9851</v>
      </c>
      <c r="D14301" t="str">
        <f>"4646"</f>
        <v>4646</v>
      </c>
      <c r="E14301" t="s">
        <v>9741</v>
      </c>
      <c r="F14301" t="s">
        <v>2</v>
      </c>
      <c r="G14301" t="s">
        <v>47097</v>
      </c>
      <c r="H14301" t="s">
        <v>47126</v>
      </c>
      <c r="I14301" t="s">
        <v>47127</v>
      </c>
      <c r="J14301" t="s">
        <v>47128</v>
      </c>
      <c r="K14301" t="s">
        <v>47113</v>
      </c>
      <c r="L14301">
        <v>18.510000000000002</v>
      </c>
      <c r="M14301">
        <v>38</v>
      </c>
      <c r="N14301">
        <v>0</v>
      </c>
      <c r="O14301">
        <v>38</v>
      </c>
      <c r="P14301">
        <v>0</v>
      </c>
    </row>
    <row r="14302" spans="1:16" x14ac:dyDescent="0.25">
      <c r="A14302" t="s">
        <v>37063</v>
      </c>
      <c r="B14302" t="s">
        <v>9850</v>
      </c>
      <c r="C14302" t="s">
        <v>9851</v>
      </c>
      <c r="D14302" t="str">
        <f>"6500"</f>
        <v>6500</v>
      </c>
      <c r="E14302" t="s">
        <v>151</v>
      </c>
      <c r="F14302" t="s">
        <v>2</v>
      </c>
      <c r="G14302" t="s">
        <v>47097</v>
      </c>
      <c r="H14302" t="s">
        <v>47126</v>
      </c>
      <c r="I14302" t="s">
        <v>47127</v>
      </c>
      <c r="J14302" t="s">
        <v>47128</v>
      </c>
      <c r="K14302" t="s">
        <v>47113</v>
      </c>
      <c r="L14302">
        <v>18.399999999999999</v>
      </c>
      <c r="M14302">
        <v>38</v>
      </c>
      <c r="N14302">
        <v>0</v>
      </c>
      <c r="O14302">
        <v>38</v>
      </c>
      <c r="P14302">
        <v>0</v>
      </c>
    </row>
    <row r="14303" spans="1:16" x14ac:dyDescent="0.25">
      <c r="A14303" t="s">
        <v>37064</v>
      </c>
      <c r="B14303" t="s">
        <v>195</v>
      </c>
      <c r="C14303" t="s">
        <v>196</v>
      </c>
      <c r="D14303" t="str">
        <f>"1369"</f>
        <v>1369</v>
      </c>
      <c r="E14303" t="s">
        <v>197</v>
      </c>
      <c r="F14303" t="s">
        <v>2</v>
      </c>
      <c r="G14303" t="s">
        <v>47094</v>
      </c>
      <c r="H14303" t="s">
        <v>47126</v>
      </c>
      <c r="I14303" t="s">
        <v>47127</v>
      </c>
      <c r="J14303" t="s">
        <v>47128</v>
      </c>
      <c r="K14303" t="s">
        <v>47113</v>
      </c>
      <c r="L14303">
        <v>25.05</v>
      </c>
      <c r="M14303">
        <v>52</v>
      </c>
      <c r="N14303">
        <v>0</v>
      </c>
      <c r="O14303">
        <v>52</v>
      </c>
      <c r="P14303">
        <v>0</v>
      </c>
    </row>
    <row r="14304" spans="1:16" x14ac:dyDescent="0.25">
      <c r="A14304" t="s">
        <v>37065</v>
      </c>
      <c r="B14304" t="s">
        <v>195</v>
      </c>
      <c r="C14304" t="s">
        <v>196</v>
      </c>
      <c r="D14304" t="str">
        <f>"1700"</f>
        <v>1700</v>
      </c>
      <c r="E14304" t="s">
        <v>60</v>
      </c>
      <c r="F14304" t="s">
        <v>2</v>
      </c>
      <c r="G14304" t="s">
        <v>47094</v>
      </c>
      <c r="H14304" t="s">
        <v>47126</v>
      </c>
      <c r="I14304" t="s">
        <v>47127</v>
      </c>
      <c r="J14304" t="s">
        <v>47128</v>
      </c>
      <c r="K14304" t="s">
        <v>47113</v>
      </c>
      <c r="L14304">
        <v>25.05</v>
      </c>
      <c r="M14304">
        <v>52</v>
      </c>
      <c r="N14304">
        <v>0</v>
      </c>
      <c r="O14304">
        <v>52</v>
      </c>
      <c r="P14304">
        <v>0</v>
      </c>
    </row>
    <row r="14305" spans="1:16" x14ac:dyDescent="0.25">
      <c r="A14305" t="s">
        <v>37066</v>
      </c>
      <c r="B14305" t="s">
        <v>195</v>
      </c>
      <c r="C14305" t="s">
        <v>196</v>
      </c>
      <c r="D14305" t="str">
        <f>"4644"</f>
        <v>4644</v>
      </c>
      <c r="E14305" t="s">
        <v>201</v>
      </c>
      <c r="F14305" t="s">
        <v>2</v>
      </c>
      <c r="G14305" t="s">
        <v>47094</v>
      </c>
      <c r="H14305" t="s">
        <v>47126</v>
      </c>
      <c r="I14305" t="s">
        <v>47127</v>
      </c>
      <c r="J14305" t="s">
        <v>47128</v>
      </c>
      <c r="K14305" t="s">
        <v>47113</v>
      </c>
      <c r="L14305">
        <v>25.05</v>
      </c>
      <c r="M14305">
        <v>52</v>
      </c>
      <c r="N14305">
        <v>0</v>
      </c>
      <c r="O14305">
        <v>52</v>
      </c>
      <c r="P14305">
        <v>0</v>
      </c>
    </row>
    <row r="14306" spans="1:16" x14ac:dyDescent="0.25">
      <c r="A14306" t="s">
        <v>37067</v>
      </c>
      <c r="B14306" t="s">
        <v>9852</v>
      </c>
      <c r="C14306" t="s">
        <v>9853</v>
      </c>
      <c r="D14306" t="str">
        <f>"1278"</f>
        <v>1278</v>
      </c>
      <c r="E14306" t="s">
        <v>100</v>
      </c>
      <c r="F14306" t="s">
        <v>2</v>
      </c>
      <c r="G14306" t="s">
        <v>47094</v>
      </c>
      <c r="H14306" t="s">
        <v>47126</v>
      </c>
      <c r="I14306" t="s">
        <v>47127</v>
      </c>
      <c r="J14306" t="s">
        <v>47128</v>
      </c>
      <c r="K14306" t="s">
        <v>47113</v>
      </c>
      <c r="L14306">
        <v>38.590000000000003</v>
      </c>
      <c r="M14306">
        <v>80</v>
      </c>
      <c r="N14306">
        <v>0</v>
      </c>
      <c r="O14306">
        <v>80</v>
      </c>
      <c r="P14306">
        <v>0</v>
      </c>
    </row>
    <row r="14307" spans="1:16" x14ac:dyDescent="0.25">
      <c r="A14307" t="s">
        <v>37068</v>
      </c>
      <c r="B14307" t="s">
        <v>9852</v>
      </c>
      <c r="C14307" t="s">
        <v>9853</v>
      </c>
      <c r="D14307" t="str">
        <f>"1700"</f>
        <v>1700</v>
      </c>
      <c r="E14307" t="s">
        <v>60</v>
      </c>
      <c r="F14307" t="s">
        <v>2</v>
      </c>
      <c r="G14307" t="s">
        <v>47094</v>
      </c>
      <c r="H14307" t="s">
        <v>47126</v>
      </c>
      <c r="I14307" t="s">
        <v>47127</v>
      </c>
      <c r="J14307" t="s">
        <v>47128</v>
      </c>
      <c r="K14307" t="s">
        <v>47113</v>
      </c>
      <c r="L14307">
        <v>38.590000000000003</v>
      </c>
      <c r="M14307">
        <v>80</v>
      </c>
      <c r="N14307">
        <v>0</v>
      </c>
      <c r="O14307">
        <v>80</v>
      </c>
      <c r="P14307">
        <v>0</v>
      </c>
    </row>
    <row r="14308" spans="1:16" x14ac:dyDescent="0.25">
      <c r="A14308" t="s">
        <v>37069</v>
      </c>
      <c r="B14308" t="s">
        <v>9852</v>
      </c>
      <c r="C14308" t="s">
        <v>9853</v>
      </c>
      <c r="D14308" t="str">
        <f>"3000"</f>
        <v>3000</v>
      </c>
      <c r="E14308" t="s">
        <v>2220</v>
      </c>
      <c r="F14308" t="s">
        <v>2</v>
      </c>
      <c r="G14308" t="s">
        <v>47094</v>
      </c>
      <c r="H14308" t="s">
        <v>47126</v>
      </c>
      <c r="I14308" t="s">
        <v>47127</v>
      </c>
      <c r="J14308" t="s">
        <v>47128</v>
      </c>
      <c r="K14308" t="s">
        <v>47113</v>
      </c>
      <c r="L14308">
        <v>38.590000000000003</v>
      </c>
      <c r="M14308">
        <v>80</v>
      </c>
      <c r="N14308">
        <v>0</v>
      </c>
      <c r="O14308">
        <v>80</v>
      </c>
      <c r="P14308">
        <v>0</v>
      </c>
    </row>
    <row r="14309" spans="1:16" x14ac:dyDescent="0.25">
      <c r="A14309" t="s">
        <v>37070</v>
      </c>
      <c r="B14309" t="s">
        <v>9852</v>
      </c>
      <c r="C14309" t="s">
        <v>9853</v>
      </c>
      <c r="D14309" t="str">
        <f>"4643"</f>
        <v>4643</v>
      </c>
      <c r="E14309" t="s">
        <v>205</v>
      </c>
      <c r="F14309" t="s">
        <v>2</v>
      </c>
      <c r="G14309" t="s">
        <v>47094</v>
      </c>
      <c r="H14309" t="s">
        <v>47126</v>
      </c>
      <c r="I14309" t="s">
        <v>47127</v>
      </c>
      <c r="J14309" t="s">
        <v>47128</v>
      </c>
      <c r="K14309" t="s">
        <v>47113</v>
      </c>
      <c r="L14309">
        <v>39.5</v>
      </c>
      <c r="M14309">
        <v>80</v>
      </c>
      <c r="N14309">
        <v>0</v>
      </c>
      <c r="O14309">
        <v>80</v>
      </c>
      <c r="P14309">
        <v>0</v>
      </c>
    </row>
    <row r="14310" spans="1:16" x14ac:dyDescent="0.25">
      <c r="A14310" t="s">
        <v>37071</v>
      </c>
      <c r="B14310" t="s">
        <v>9852</v>
      </c>
      <c r="C14310" t="s">
        <v>9853</v>
      </c>
      <c r="D14310" t="str">
        <f>"4644"</f>
        <v>4644</v>
      </c>
      <c r="E14310" t="s">
        <v>201</v>
      </c>
      <c r="F14310" t="s">
        <v>56</v>
      </c>
      <c r="G14310" t="s">
        <v>47094</v>
      </c>
      <c r="H14310" t="s">
        <v>47126</v>
      </c>
      <c r="I14310" t="s">
        <v>47127</v>
      </c>
      <c r="J14310" t="s">
        <v>47128</v>
      </c>
      <c r="K14310" t="s">
        <v>47113</v>
      </c>
      <c r="L14310">
        <v>38.590000000000003</v>
      </c>
      <c r="M14310">
        <v>80</v>
      </c>
      <c r="N14310">
        <v>0</v>
      </c>
      <c r="O14310">
        <v>80</v>
      </c>
      <c r="P14310">
        <v>0</v>
      </c>
    </row>
    <row r="14311" spans="1:16" x14ac:dyDescent="0.25">
      <c r="A14311" t="s">
        <v>37072</v>
      </c>
      <c r="B14311" t="s">
        <v>9852</v>
      </c>
      <c r="C14311" t="s">
        <v>9853</v>
      </c>
      <c r="D14311" t="str">
        <f>"6182"</f>
        <v>6182</v>
      </c>
      <c r="E14311" t="s">
        <v>202</v>
      </c>
      <c r="F14311" t="s">
        <v>2</v>
      </c>
      <c r="G14311" t="s">
        <v>47094</v>
      </c>
      <c r="H14311" t="s">
        <v>47126</v>
      </c>
      <c r="I14311" t="s">
        <v>47127</v>
      </c>
      <c r="J14311" t="s">
        <v>47128</v>
      </c>
      <c r="K14311" t="s">
        <v>47113</v>
      </c>
      <c r="L14311">
        <v>38.590000000000003</v>
      </c>
      <c r="M14311">
        <v>80</v>
      </c>
      <c r="N14311">
        <v>0</v>
      </c>
      <c r="O14311">
        <v>80</v>
      </c>
      <c r="P14311">
        <v>0</v>
      </c>
    </row>
    <row r="14312" spans="1:16" x14ac:dyDescent="0.25">
      <c r="A14312" t="s">
        <v>37073</v>
      </c>
      <c r="B14312" t="s">
        <v>9852</v>
      </c>
      <c r="C14312" t="s">
        <v>9853</v>
      </c>
      <c r="D14312" t="str">
        <f>"6500"</f>
        <v>6500</v>
      </c>
      <c r="E14312" t="s">
        <v>151</v>
      </c>
      <c r="F14312" t="s">
        <v>2</v>
      </c>
      <c r="G14312" t="s">
        <v>47094</v>
      </c>
      <c r="H14312" t="s">
        <v>47126</v>
      </c>
      <c r="I14312" t="s">
        <v>47127</v>
      </c>
      <c r="J14312" t="s">
        <v>47128</v>
      </c>
      <c r="K14312" t="s">
        <v>47113</v>
      </c>
      <c r="L14312">
        <v>38.590000000000003</v>
      </c>
      <c r="M14312">
        <v>80</v>
      </c>
      <c r="N14312">
        <v>0</v>
      </c>
      <c r="O14312">
        <v>80</v>
      </c>
      <c r="P14312">
        <v>0</v>
      </c>
    </row>
    <row r="14313" spans="1:16" x14ac:dyDescent="0.25">
      <c r="A14313" t="s">
        <v>37074</v>
      </c>
      <c r="B14313" t="s">
        <v>9854</v>
      </c>
      <c r="C14313" t="s">
        <v>9855</v>
      </c>
      <c r="D14313" t="str">
        <f>"1700"</f>
        <v>1700</v>
      </c>
      <c r="E14313" t="s">
        <v>60</v>
      </c>
      <c r="F14313" t="s">
        <v>2</v>
      </c>
      <c r="G14313" t="s">
        <v>47095</v>
      </c>
      <c r="I14313" t="s">
        <v>47127</v>
      </c>
      <c r="J14313" t="s">
        <v>47128</v>
      </c>
      <c r="K14313" t="s">
        <v>47113</v>
      </c>
      <c r="L14313">
        <v>36.68</v>
      </c>
      <c r="M14313">
        <v>85</v>
      </c>
      <c r="N14313">
        <v>0</v>
      </c>
      <c r="O14313">
        <v>85</v>
      </c>
      <c r="P14313">
        <v>0</v>
      </c>
    </row>
    <row r="14314" spans="1:16" x14ac:dyDescent="0.25">
      <c r="A14314" t="s">
        <v>37075</v>
      </c>
      <c r="B14314" t="s">
        <v>9854</v>
      </c>
      <c r="C14314" t="s">
        <v>9855</v>
      </c>
      <c r="D14314" t="str">
        <f>"3000"</f>
        <v>3000</v>
      </c>
      <c r="E14314" t="s">
        <v>2220</v>
      </c>
      <c r="F14314" t="s">
        <v>2</v>
      </c>
      <c r="G14314" t="s">
        <v>47095</v>
      </c>
      <c r="I14314" t="s">
        <v>47127</v>
      </c>
      <c r="J14314" t="s">
        <v>47128</v>
      </c>
      <c r="K14314" t="s">
        <v>47113</v>
      </c>
      <c r="L14314">
        <v>39.49</v>
      </c>
      <c r="M14314">
        <v>85</v>
      </c>
      <c r="N14314">
        <v>0</v>
      </c>
      <c r="O14314">
        <v>85</v>
      </c>
      <c r="P14314">
        <v>0</v>
      </c>
    </row>
    <row r="14315" spans="1:16" x14ac:dyDescent="0.25">
      <c r="A14315" t="s">
        <v>37076</v>
      </c>
      <c r="B14315" t="s">
        <v>9854</v>
      </c>
      <c r="C14315" t="s">
        <v>9855</v>
      </c>
      <c r="D14315" t="str">
        <f>"4168"</f>
        <v>4168</v>
      </c>
      <c r="E14315" t="s">
        <v>1132</v>
      </c>
      <c r="F14315" t="s">
        <v>2</v>
      </c>
      <c r="G14315" t="s">
        <v>47095</v>
      </c>
      <c r="I14315" t="s">
        <v>47127</v>
      </c>
      <c r="J14315" t="s">
        <v>47128</v>
      </c>
      <c r="K14315" t="s">
        <v>47113</v>
      </c>
      <c r="L14315">
        <v>36.68</v>
      </c>
      <c r="M14315">
        <v>85</v>
      </c>
      <c r="N14315">
        <v>0</v>
      </c>
      <c r="O14315">
        <v>85</v>
      </c>
      <c r="P14315">
        <v>0</v>
      </c>
    </row>
    <row r="14316" spans="1:16" x14ac:dyDescent="0.25">
      <c r="A14316" t="s">
        <v>37077</v>
      </c>
      <c r="B14316" t="s">
        <v>9854</v>
      </c>
      <c r="C14316" t="s">
        <v>9855</v>
      </c>
      <c r="D14316" t="str">
        <f>"4644"</f>
        <v>4644</v>
      </c>
      <c r="E14316" t="s">
        <v>201</v>
      </c>
      <c r="F14316" t="s">
        <v>2</v>
      </c>
      <c r="G14316" t="s">
        <v>47095</v>
      </c>
      <c r="I14316" t="s">
        <v>47127</v>
      </c>
      <c r="J14316" t="s">
        <v>47128</v>
      </c>
      <c r="K14316" t="s">
        <v>47113</v>
      </c>
      <c r="L14316">
        <v>39.5</v>
      </c>
      <c r="M14316">
        <v>85</v>
      </c>
      <c r="N14316">
        <v>0</v>
      </c>
      <c r="O14316">
        <v>85</v>
      </c>
      <c r="P14316">
        <v>0</v>
      </c>
    </row>
    <row r="14317" spans="1:16" x14ac:dyDescent="0.25">
      <c r="A14317" t="s">
        <v>37078</v>
      </c>
      <c r="B14317" t="s">
        <v>9854</v>
      </c>
      <c r="C14317" t="s">
        <v>9855</v>
      </c>
      <c r="D14317" t="str">
        <f>"6500"</f>
        <v>6500</v>
      </c>
      <c r="E14317" t="s">
        <v>151</v>
      </c>
      <c r="F14317" t="s">
        <v>2</v>
      </c>
      <c r="G14317" t="s">
        <v>47095</v>
      </c>
      <c r="I14317" t="s">
        <v>47127</v>
      </c>
      <c r="J14317" t="s">
        <v>47128</v>
      </c>
      <c r="K14317" t="s">
        <v>47113</v>
      </c>
      <c r="L14317">
        <v>39.5</v>
      </c>
      <c r="M14317">
        <v>85</v>
      </c>
      <c r="N14317">
        <v>0</v>
      </c>
      <c r="O14317">
        <v>85</v>
      </c>
      <c r="P14317">
        <v>0</v>
      </c>
    </row>
    <row r="14318" spans="1:16" x14ac:dyDescent="0.25">
      <c r="A14318" t="s">
        <v>37079</v>
      </c>
      <c r="B14318" t="s">
        <v>9856</v>
      </c>
      <c r="C14318" t="s">
        <v>9857</v>
      </c>
      <c r="D14318" t="str">
        <f>"1004"</f>
        <v>1004</v>
      </c>
      <c r="E14318" t="s">
        <v>200</v>
      </c>
      <c r="F14318" t="s">
        <v>2</v>
      </c>
      <c r="G14318" t="s">
        <v>47094</v>
      </c>
      <c r="H14318" t="s">
        <v>47126</v>
      </c>
      <c r="I14318" t="s">
        <v>47127</v>
      </c>
      <c r="J14318" t="s">
        <v>47128</v>
      </c>
      <c r="K14318" t="s">
        <v>47113</v>
      </c>
      <c r="L14318">
        <v>38.57</v>
      </c>
      <c r="M14318">
        <v>73</v>
      </c>
      <c r="N14318">
        <v>0</v>
      </c>
      <c r="O14318">
        <v>73</v>
      </c>
      <c r="P14318">
        <v>0</v>
      </c>
    </row>
    <row r="14319" spans="1:16" x14ac:dyDescent="0.25">
      <c r="A14319" t="s">
        <v>37080</v>
      </c>
      <c r="B14319" t="s">
        <v>9856</v>
      </c>
      <c r="C14319" t="s">
        <v>9857</v>
      </c>
      <c r="D14319" t="str">
        <f>"1278"</f>
        <v>1278</v>
      </c>
      <c r="E14319" t="s">
        <v>100</v>
      </c>
      <c r="F14319" t="s">
        <v>2</v>
      </c>
      <c r="G14319" t="s">
        <v>47094</v>
      </c>
      <c r="H14319" t="s">
        <v>47126</v>
      </c>
      <c r="I14319" t="s">
        <v>47127</v>
      </c>
      <c r="J14319" t="s">
        <v>47128</v>
      </c>
      <c r="K14319" t="s">
        <v>47113</v>
      </c>
      <c r="L14319">
        <v>38.58</v>
      </c>
      <c r="M14319">
        <v>73</v>
      </c>
      <c r="N14319">
        <v>0</v>
      </c>
      <c r="O14319">
        <v>73</v>
      </c>
      <c r="P14319">
        <v>0</v>
      </c>
    </row>
    <row r="14320" spans="1:16" x14ac:dyDescent="0.25">
      <c r="A14320" t="s">
        <v>37081</v>
      </c>
      <c r="B14320" t="s">
        <v>9856</v>
      </c>
      <c r="C14320" t="s">
        <v>9857</v>
      </c>
      <c r="D14320" t="str">
        <f>"1700"</f>
        <v>1700</v>
      </c>
      <c r="E14320" t="s">
        <v>60</v>
      </c>
      <c r="F14320" t="s">
        <v>2</v>
      </c>
      <c r="G14320" t="s">
        <v>47094</v>
      </c>
      <c r="H14320" t="s">
        <v>47126</v>
      </c>
      <c r="I14320" t="s">
        <v>47127</v>
      </c>
      <c r="J14320" t="s">
        <v>47128</v>
      </c>
      <c r="K14320" t="s">
        <v>47113</v>
      </c>
      <c r="L14320">
        <v>36.68</v>
      </c>
      <c r="M14320">
        <v>73</v>
      </c>
      <c r="N14320">
        <v>0</v>
      </c>
      <c r="O14320">
        <v>73</v>
      </c>
      <c r="P14320">
        <v>0</v>
      </c>
    </row>
    <row r="14321" spans="1:16" x14ac:dyDescent="0.25">
      <c r="A14321" t="s">
        <v>37082</v>
      </c>
      <c r="B14321" t="s">
        <v>9856</v>
      </c>
      <c r="C14321" t="s">
        <v>9857</v>
      </c>
      <c r="D14321" t="str">
        <f>"4645"</f>
        <v>4645</v>
      </c>
      <c r="E14321" t="s">
        <v>9770</v>
      </c>
      <c r="F14321" t="s">
        <v>2</v>
      </c>
      <c r="G14321" t="s">
        <v>47094</v>
      </c>
      <c r="H14321" t="s">
        <v>47126</v>
      </c>
      <c r="I14321" t="s">
        <v>47127</v>
      </c>
      <c r="J14321" t="s">
        <v>47128</v>
      </c>
      <c r="K14321" t="s">
        <v>47113</v>
      </c>
      <c r="L14321">
        <v>38.590000000000003</v>
      </c>
      <c r="M14321">
        <v>73</v>
      </c>
      <c r="N14321">
        <v>0</v>
      </c>
      <c r="O14321">
        <v>73</v>
      </c>
      <c r="P14321">
        <v>0</v>
      </c>
    </row>
    <row r="14322" spans="1:16" x14ac:dyDescent="0.25">
      <c r="A14322" t="s">
        <v>37083</v>
      </c>
      <c r="B14322" t="s">
        <v>9856</v>
      </c>
      <c r="C14322" t="s">
        <v>9857</v>
      </c>
      <c r="D14322" t="str">
        <f>"6182"</f>
        <v>6182</v>
      </c>
      <c r="E14322" t="s">
        <v>202</v>
      </c>
      <c r="F14322" t="s">
        <v>2</v>
      </c>
      <c r="G14322" t="s">
        <v>47094</v>
      </c>
      <c r="H14322" t="s">
        <v>47126</v>
      </c>
      <c r="I14322" t="s">
        <v>47127</v>
      </c>
      <c r="J14322" t="s">
        <v>47128</v>
      </c>
      <c r="K14322" t="s">
        <v>47113</v>
      </c>
      <c r="L14322">
        <v>38.58</v>
      </c>
      <c r="M14322">
        <v>73</v>
      </c>
      <c r="N14322">
        <v>0</v>
      </c>
      <c r="O14322">
        <v>73</v>
      </c>
      <c r="P14322">
        <v>0</v>
      </c>
    </row>
    <row r="14323" spans="1:16" x14ac:dyDescent="0.25">
      <c r="A14323" t="s">
        <v>37084</v>
      </c>
      <c r="B14323" t="s">
        <v>9858</v>
      </c>
      <c r="C14323" t="s">
        <v>9859</v>
      </c>
      <c r="D14323" t="str">
        <f>"1700"</f>
        <v>1700</v>
      </c>
      <c r="E14323" t="s">
        <v>60</v>
      </c>
      <c r="F14323" t="s">
        <v>2</v>
      </c>
      <c r="G14323" t="s">
        <v>47095</v>
      </c>
      <c r="I14323" t="s">
        <v>47127</v>
      </c>
      <c r="J14323" t="s">
        <v>47128</v>
      </c>
      <c r="K14323" t="s">
        <v>47113</v>
      </c>
      <c r="L14323">
        <v>22.89</v>
      </c>
      <c r="M14323">
        <v>48</v>
      </c>
      <c r="N14323">
        <v>0</v>
      </c>
      <c r="O14323">
        <v>48</v>
      </c>
      <c r="P14323">
        <v>0</v>
      </c>
    </row>
    <row r="14324" spans="1:16" x14ac:dyDescent="0.25">
      <c r="A14324" t="s">
        <v>37085</v>
      </c>
      <c r="B14324" t="s">
        <v>9858</v>
      </c>
      <c r="C14324" t="s">
        <v>9859</v>
      </c>
      <c r="D14324" t="str">
        <f>"4644"</f>
        <v>4644</v>
      </c>
      <c r="E14324" t="s">
        <v>201</v>
      </c>
      <c r="F14324" t="s">
        <v>2</v>
      </c>
      <c r="G14324" t="s">
        <v>47095</v>
      </c>
      <c r="I14324" t="s">
        <v>47127</v>
      </c>
      <c r="J14324" t="s">
        <v>47128</v>
      </c>
      <c r="K14324" t="s">
        <v>47113</v>
      </c>
      <c r="L14324">
        <v>22.89</v>
      </c>
      <c r="M14324">
        <v>48</v>
      </c>
      <c r="N14324">
        <v>0</v>
      </c>
      <c r="O14324">
        <v>48</v>
      </c>
      <c r="P14324">
        <v>0</v>
      </c>
    </row>
    <row r="14325" spans="1:16" x14ac:dyDescent="0.25">
      <c r="A14325" t="s">
        <v>37086</v>
      </c>
      <c r="B14325" t="s">
        <v>9858</v>
      </c>
      <c r="C14325" t="s">
        <v>9859</v>
      </c>
      <c r="D14325" t="str">
        <f>"4645"</f>
        <v>4645</v>
      </c>
      <c r="E14325" t="s">
        <v>9770</v>
      </c>
      <c r="F14325" t="s">
        <v>2</v>
      </c>
      <c r="G14325" t="s">
        <v>47095</v>
      </c>
      <c r="I14325" t="s">
        <v>47127</v>
      </c>
      <c r="J14325" t="s">
        <v>47128</v>
      </c>
      <c r="K14325" t="s">
        <v>47113</v>
      </c>
      <c r="L14325">
        <v>21.27</v>
      </c>
      <c r="M14325">
        <v>48</v>
      </c>
      <c r="N14325">
        <v>0</v>
      </c>
      <c r="O14325">
        <v>48</v>
      </c>
      <c r="P14325">
        <v>0</v>
      </c>
    </row>
    <row r="14326" spans="1:16" x14ac:dyDescent="0.25">
      <c r="A14326" t="s">
        <v>37087</v>
      </c>
      <c r="B14326" t="s">
        <v>9858</v>
      </c>
      <c r="C14326" t="s">
        <v>9859</v>
      </c>
      <c r="D14326" t="str">
        <f>"6500"</f>
        <v>6500</v>
      </c>
      <c r="E14326" t="s">
        <v>151</v>
      </c>
      <c r="F14326" t="s">
        <v>2</v>
      </c>
      <c r="G14326" t="s">
        <v>47095</v>
      </c>
      <c r="I14326" t="s">
        <v>47127</v>
      </c>
      <c r="J14326" t="s">
        <v>47128</v>
      </c>
      <c r="K14326" t="s">
        <v>47113</v>
      </c>
      <c r="L14326">
        <v>22.91</v>
      </c>
      <c r="M14326">
        <v>48</v>
      </c>
      <c r="N14326">
        <v>0</v>
      </c>
      <c r="O14326">
        <v>48</v>
      </c>
      <c r="P14326">
        <v>0</v>
      </c>
    </row>
    <row r="14327" spans="1:16" x14ac:dyDescent="0.25">
      <c r="A14327" t="s">
        <v>37088</v>
      </c>
      <c r="B14327" t="s">
        <v>9860</v>
      </c>
      <c r="C14327" t="s">
        <v>9861</v>
      </c>
      <c r="D14327" t="str">
        <f>"1004"</f>
        <v>1004</v>
      </c>
      <c r="E14327" t="s">
        <v>200</v>
      </c>
      <c r="F14327" t="s">
        <v>2</v>
      </c>
      <c r="G14327" t="s">
        <v>47095</v>
      </c>
      <c r="H14327" t="s">
        <v>47126</v>
      </c>
      <c r="I14327" t="s">
        <v>47127</v>
      </c>
      <c r="J14327" t="s">
        <v>47128</v>
      </c>
      <c r="K14327" t="s">
        <v>47113</v>
      </c>
      <c r="L14327">
        <v>22.38</v>
      </c>
      <c r="M14327">
        <v>42</v>
      </c>
      <c r="N14327">
        <v>0</v>
      </c>
      <c r="O14327">
        <v>42</v>
      </c>
      <c r="P14327">
        <v>0</v>
      </c>
    </row>
    <row r="14328" spans="1:16" x14ac:dyDescent="0.25">
      <c r="A14328" t="s">
        <v>37089</v>
      </c>
      <c r="B14328" t="s">
        <v>9860</v>
      </c>
      <c r="C14328" t="s">
        <v>9861</v>
      </c>
      <c r="D14328" t="str">
        <f>"1278"</f>
        <v>1278</v>
      </c>
      <c r="E14328" t="s">
        <v>100</v>
      </c>
      <c r="F14328" t="s">
        <v>2</v>
      </c>
      <c r="G14328" t="s">
        <v>47095</v>
      </c>
      <c r="H14328" t="s">
        <v>47126</v>
      </c>
      <c r="I14328" t="s">
        <v>47127</v>
      </c>
      <c r="J14328" t="s">
        <v>47128</v>
      </c>
      <c r="K14328" t="s">
        <v>47113</v>
      </c>
      <c r="L14328">
        <v>22.39</v>
      </c>
      <c r="M14328">
        <v>42</v>
      </c>
      <c r="N14328">
        <v>0</v>
      </c>
      <c r="O14328">
        <v>42</v>
      </c>
      <c r="P14328">
        <v>0</v>
      </c>
    </row>
    <row r="14329" spans="1:16" x14ac:dyDescent="0.25">
      <c r="A14329" t="s">
        <v>37090</v>
      </c>
      <c r="B14329" t="s">
        <v>9860</v>
      </c>
      <c r="C14329" t="s">
        <v>9861</v>
      </c>
      <c r="D14329" t="str">
        <f>"1700"</f>
        <v>1700</v>
      </c>
      <c r="E14329" t="s">
        <v>60</v>
      </c>
      <c r="F14329" t="s">
        <v>2</v>
      </c>
      <c r="G14329" t="s">
        <v>47095</v>
      </c>
      <c r="H14329" t="s">
        <v>47126</v>
      </c>
      <c r="I14329" t="s">
        <v>47127</v>
      </c>
      <c r="J14329" t="s">
        <v>47128</v>
      </c>
      <c r="K14329" t="s">
        <v>47113</v>
      </c>
      <c r="L14329">
        <v>22.38</v>
      </c>
      <c r="M14329">
        <v>42</v>
      </c>
      <c r="N14329">
        <v>0</v>
      </c>
      <c r="O14329">
        <v>42</v>
      </c>
      <c r="P14329">
        <v>0</v>
      </c>
    </row>
    <row r="14330" spans="1:16" x14ac:dyDescent="0.25">
      <c r="A14330" t="s">
        <v>37091</v>
      </c>
      <c r="B14330" t="s">
        <v>9860</v>
      </c>
      <c r="C14330" t="s">
        <v>9861</v>
      </c>
      <c r="D14330" t="str">
        <f>"4645"</f>
        <v>4645</v>
      </c>
      <c r="E14330" t="s">
        <v>9770</v>
      </c>
      <c r="F14330" t="s">
        <v>2</v>
      </c>
      <c r="G14330" t="s">
        <v>47095</v>
      </c>
      <c r="H14330" t="s">
        <v>47126</v>
      </c>
      <c r="I14330" t="s">
        <v>47127</v>
      </c>
      <c r="J14330" t="s">
        <v>47128</v>
      </c>
      <c r="K14330" t="s">
        <v>47113</v>
      </c>
      <c r="L14330">
        <v>22.38</v>
      </c>
      <c r="M14330">
        <v>42</v>
      </c>
      <c r="N14330">
        <v>0</v>
      </c>
      <c r="O14330">
        <v>42</v>
      </c>
      <c r="P14330">
        <v>0</v>
      </c>
    </row>
    <row r="14331" spans="1:16" x14ac:dyDescent="0.25">
      <c r="A14331" t="s">
        <v>37092</v>
      </c>
      <c r="B14331" t="s">
        <v>9860</v>
      </c>
      <c r="C14331" t="s">
        <v>9861</v>
      </c>
      <c r="D14331" t="str">
        <f>"6182"</f>
        <v>6182</v>
      </c>
      <c r="E14331" t="s">
        <v>202</v>
      </c>
      <c r="F14331" t="s">
        <v>2</v>
      </c>
      <c r="G14331" t="s">
        <v>47095</v>
      </c>
      <c r="H14331" t="s">
        <v>47126</v>
      </c>
      <c r="I14331" t="s">
        <v>47127</v>
      </c>
      <c r="J14331" t="s">
        <v>47128</v>
      </c>
      <c r="K14331" t="s">
        <v>47113</v>
      </c>
      <c r="L14331">
        <v>22.37</v>
      </c>
      <c r="M14331">
        <v>42</v>
      </c>
      <c r="N14331">
        <v>0</v>
      </c>
      <c r="O14331">
        <v>42</v>
      </c>
      <c r="P14331">
        <v>0</v>
      </c>
    </row>
    <row r="14332" spans="1:16" x14ac:dyDescent="0.25">
      <c r="A14332" t="s">
        <v>37093</v>
      </c>
      <c r="B14332" t="s">
        <v>9862</v>
      </c>
      <c r="C14332" t="s">
        <v>9863</v>
      </c>
      <c r="D14332" t="str">
        <f>"1278"</f>
        <v>1278</v>
      </c>
      <c r="E14332" t="s">
        <v>100</v>
      </c>
      <c r="F14332" t="s">
        <v>2</v>
      </c>
      <c r="G14332" t="s">
        <v>47095</v>
      </c>
      <c r="H14332" t="s">
        <v>47126</v>
      </c>
      <c r="I14332" t="s">
        <v>47127</v>
      </c>
      <c r="J14332" t="s">
        <v>47128</v>
      </c>
      <c r="K14332" t="s">
        <v>47113</v>
      </c>
      <c r="L14332">
        <v>22.34</v>
      </c>
      <c r="M14332">
        <v>48</v>
      </c>
      <c r="N14332">
        <v>0</v>
      </c>
      <c r="O14332">
        <v>48</v>
      </c>
      <c r="P14332">
        <v>0</v>
      </c>
    </row>
    <row r="14333" spans="1:16" x14ac:dyDescent="0.25">
      <c r="A14333" t="s">
        <v>37094</v>
      </c>
      <c r="B14333" t="s">
        <v>9864</v>
      </c>
      <c r="C14333" t="s">
        <v>9865</v>
      </c>
      <c r="D14333" t="str">
        <f>"1278"</f>
        <v>1278</v>
      </c>
      <c r="E14333" t="s">
        <v>100</v>
      </c>
      <c r="F14333" t="s">
        <v>2</v>
      </c>
      <c r="G14333" t="s">
        <v>16222</v>
      </c>
      <c r="I14333" t="s">
        <v>47127</v>
      </c>
      <c r="J14333" t="s">
        <v>47128</v>
      </c>
      <c r="K14333" t="s">
        <v>47113</v>
      </c>
      <c r="L14333">
        <v>22.39</v>
      </c>
      <c r="M14333">
        <v>48</v>
      </c>
      <c r="N14333">
        <v>0</v>
      </c>
      <c r="O14333">
        <v>48</v>
      </c>
      <c r="P14333">
        <v>0</v>
      </c>
    </row>
    <row r="14334" spans="1:16" x14ac:dyDescent="0.25">
      <c r="A14334" t="s">
        <v>37095</v>
      </c>
      <c r="B14334" t="s">
        <v>9866</v>
      </c>
      <c r="C14334" t="s">
        <v>9867</v>
      </c>
      <c r="D14334" t="str">
        <f>"1368"</f>
        <v>1368</v>
      </c>
      <c r="E14334" t="s">
        <v>194</v>
      </c>
      <c r="F14334" t="s">
        <v>2</v>
      </c>
      <c r="G14334" t="s">
        <v>47095</v>
      </c>
      <c r="I14334" t="s">
        <v>47127</v>
      </c>
      <c r="J14334" t="s">
        <v>47128</v>
      </c>
      <c r="K14334" t="s">
        <v>47113</v>
      </c>
      <c r="L14334">
        <v>19.36</v>
      </c>
      <c r="M14334">
        <v>62</v>
      </c>
      <c r="N14334">
        <v>0</v>
      </c>
      <c r="O14334">
        <v>62</v>
      </c>
      <c r="P14334">
        <v>0</v>
      </c>
    </row>
    <row r="14335" spans="1:16" x14ac:dyDescent="0.25">
      <c r="A14335" t="s">
        <v>37096</v>
      </c>
      <c r="B14335" t="s">
        <v>9866</v>
      </c>
      <c r="C14335" t="s">
        <v>9867</v>
      </c>
      <c r="D14335" t="str">
        <f>"3000"</f>
        <v>3000</v>
      </c>
      <c r="E14335" t="s">
        <v>2220</v>
      </c>
      <c r="F14335" t="s">
        <v>2</v>
      </c>
      <c r="G14335" t="s">
        <v>47095</v>
      </c>
      <c r="I14335" t="s">
        <v>47127</v>
      </c>
      <c r="J14335" t="s">
        <v>47128</v>
      </c>
      <c r="K14335" t="s">
        <v>47113</v>
      </c>
      <c r="L14335">
        <v>19.36</v>
      </c>
      <c r="M14335">
        <v>62</v>
      </c>
      <c r="N14335">
        <v>0</v>
      </c>
      <c r="O14335">
        <v>62</v>
      </c>
      <c r="P14335">
        <v>0</v>
      </c>
    </row>
    <row r="14336" spans="1:16" x14ac:dyDescent="0.25">
      <c r="A14336" t="s">
        <v>37097</v>
      </c>
      <c r="B14336" t="s">
        <v>9866</v>
      </c>
      <c r="C14336" t="s">
        <v>9867</v>
      </c>
      <c r="D14336" t="str">
        <f>"4645"</f>
        <v>4645</v>
      </c>
      <c r="E14336" t="s">
        <v>9770</v>
      </c>
      <c r="F14336" t="s">
        <v>2</v>
      </c>
      <c r="G14336" t="s">
        <v>47095</v>
      </c>
      <c r="I14336" t="s">
        <v>47127</v>
      </c>
      <c r="J14336" t="s">
        <v>47128</v>
      </c>
      <c r="K14336" t="s">
        <v>47113</v>
      </c>
      <c r="L14336">
        <v>19.36</v>
      </c>
      <c r="M14336">
        <v>62</v>
      </c>
      <c r="N14336">
        <v>0</v>
      </c>
      <c r="O14336">
        <v>62</v>
      </c>
      <c r="P14336">
        <v>0</v>
      </c>
    </row>
    <row r="14337" spans="1:16" x14ac:dyDescent="0.25">
      <c r="A14337" t="s">
        <v>37098</v>
      </c>
      <c r="B14337" t="s">
        <v>9866</v>
      </c>
      <c r="C14337" t="s">
        <v>9867</v>
      </c>
      <c r="D14337" t="str">
        <f>"4646"</f>
        <v>4646</v>
      </c>
      <c r="E14337" t="s">
        <v>9741</v>
      </c>
      <c r="F14337" t="s">
        <v>2</v>
      </c>
      <c r="G14337" t="s">
        <v>47095</v>
      </c>
      <c r="I14337" t="s">
        <v>47127</v>
      </c>
      <c r="J14337" t="s">
        <v>47128</v>
      </c>
      <c r="K14337" t="s">
        <v>47113</v>
      </c>
      <c r="L14337">
        <v>23.51</v>
      </c>
      <c r="M14337">
        <v>62</v>
      </c>
      <c r="N14337">
        <v>0</v>
      </c>
      <c r="O14337">
        <v>62</v>
      </c>
      <c r="P14337">
        <v>0</v>
      </c>
    </row>
    <row r="14338" spans="1:16" x14ac:dyDescent="0.25">
      <c r="A14338" t="s">
        <v>37099</v>
      </c>
      <c r="B14338" t="s">
        <v>9866</v>
      </c>
      <c r="C14338" t="s">
        <v>9867</v>
      </c>
      <c r="D14338" t="str">
        <f>"6500"</f>
        <v>6500</v>
      </c>
      <c r="E14338" t="s">
        <v>151</v>
      </c>
      <c r="F14338" t="s">
        <v>2</v>
      </c>
      <c r="G14338" t="s">
        <v>47095</v>
      </c>
      <c r="I14338" t="s">
        <v>47127</v>
      </c>
      <c r="J14338" t="s">
        <v>47128</v>
      </c>
      <c r="K14338" t="s">
        <v>47113</v>
      </c>
      <c r="L14338">
        <v>19.36</v>
      </c>
      <c r="M14338">
        <v>62</v>
      </c>
      <c r="N14338">
        <v>0</v>
      </c>
      <c r="O14338">
        <v>62</v>
      </c>
      <c r="P14338">
        <v>0</v>
      </c>
    </row>
    <row r="14339" spans="1:16" x14ac:dyDescent="0.25">
      <c r="A14339" t="s">
        <v>15024</v>
      </c>
      <c r="B14339" t="s">
        <v>198</v>
      </c>
      <c r="C14339" t="s">
        <v>199</v>
      </c>
      <c r="D14339" t="str">
        <f>"1004"</f>
        <v>1004</v>
      </c>
      <c r="E14339" t="s">
        <v>200</v>
      </c>
      <c r="F14339" t="s">
        <v>2</v>
      </c>
      <c r="G14339" t="s">
        <v>47091</v>
      </c>
      <c r="H14339" t="s">
        <v>47126</v>
      </c>
      <c r="I14339" t="s">
        <v>47127</v>
      </c>
      <c r="J14339" t="s">
        <v>47128</v>
      </c>
      <c r="K14339" t="s">
        <v>47113</v>
      </c>
      <c r="L14339">
        <v>13.67</v>
      </c>
      <c r="M14339">
        <v>43</v>
      </c>
      <c r="N14339">
        <v>0</v>
      </c>
      <c r="O14339">
        <v>43</v>
      </c>
      <c r="P14339">
        <v>0</v>
      </c>
    </row>
    <row r="14340" spans="1:16" x14ac:dyDescent="0.25">
      <c r="A14340" t="s">
        <v>37100</v>
      </c>
      <c r="B14340" t="s">
        <v>198</v>
      </c>
      <c r="C14340" t="s">
        <v>199</v>
      </c>
      <c r="D14340" t="str">
        <f>"1700"</f>
        <v>1700</v>
      </c>
      <c r="E14340" t="s">
        <v>60</v>
      </c>
      <c r="F14340" t="s">
        <v>2</v>
      </c>
      <c r="G14340" t="s">
        <v>47091</v>
      </c>
      <c r="H14340" t="s">
        <v>47126</v>
      </c>
      <c r="I14340" t="s">
        <v>47127</v>
      </c>
      <c r="J14340" t="s">
        <v>47128</v>
      </c>
      <c r="K14340" t="s">
        <v>47113</v>
      </c>
      <c r="L14340">
        <v>13.52</v>
      </c>
      <c r="M14340">
        <v>43</v>
      </c>
      <c r="N14340">
        <v>0</v>
      </c>
      <c r="O14340">
        <v>43</v>
      </c>
      <c r="P14340">
        <v>0</v>
      </c>
    </row>
    <row r="14341" spans="1:16" x14ac:dyDescent="0.25">
      <c r="A14341" t="s">
        <v>37101</v>
      </c>
      <c r="B14341" t="s">
        <v>198</v>
      </c>
      <c r="C14341" t="s">
        <v>199</v>
      </c>
      <c r="D14341" t="str">
        <f>"3195"</f>
        <v>3195</v>
      </c>
      <c r="E14341" t="s">
        <v>9775</v>
      </c>
      <c r="F14341" t="s">
        <v>2</v>
      </c>
      <c r="G14341" t="s">
        <v>47091</v>
      </c>
      <c r="H14341" t="s">
        <v>47126</v>
      </c>
      <c r="I14341" t="s">
        <v>47127</v>
      </c>
      <c r="J14341" t="s">
        <v>47128</v>
      </c>
      <c r="K14341" t="s">
        <v>47113</v>
      </c>
      <c r="L14341">
        <v>13.58</v>
      </c>
      <c r="M14341">
        <v>43</v>
      </c>
      <c r="N14341">
        <v>0</v>
      </c>
      <c r="O14341">
        <v>43</v>
      </c>
      <c r="P14341">
        <v>0</v>
      </c>
    </row>
    <row r="14342" spans="1:16" x14ac:dyDescent="0.25">
      <c r="A14342" t="s">
        <v>15025</v>
      </c>
      <c r="B14342" t="s">
        <v>198</v>
      </c>
      <c r="C14342" t="s">
        <v>199</v>
      </c>
      <c r="D14342" t="str">
        <f>"4644"</f>
        <v>4644</v>
      </c>
      <c r="E14342" t="s">
        <v>201</v>
      </c>
      <c r="F14342" t="s">
        <v>2</v>
      </c>
      <c r="G14342" t="s">
        <v>47091</v>
      </c>
      <c r="H14342" t="s">
        <v>47126</v>
      </c>
      <c r="I14342" t="s">
        <v>47127</v>
      </c>
      <c r="J14342" t="s">
        <v>47128</v>
      </c>
      <c r="K14342" t="s">
        <v>47113</v>
      </c>
      <c r="L14342">
        <v>13.54</v>
      </c>
      <c r="M14342">
        <v>43</v>
      </c>
      <c r="N14342">
        <v>0</v>
      </c>
      <c r="O14342">
        <v>43</v>
      </c>
      <c r="P14342">
        <v>0</v>
      </c>
    </row>
    <row r="14343" spans="1:16" x14ac:dyDescent="0.25">
      <c r="A14343" t="s">
        <v>15026</v>
      </c>
      <c r="B14343" t="s">
        <v>198</v>
      </c>
      <c r="C14343" t="s">
        <v>199</v>
      </c>
      <c r="D14343" t="str">
        <f>"6182"</f>
        <v>6182</v>
      </c>
      <c r="E14343" t="s">
        <v>202</v>
      </c>
      <c r="F14343" t="s">
        <v>2</v>
      </c>
      <c r="G14343" t="s">
        <v>47091</v>
      </c>
      <c r="H14343" t="s">
        <v>47126</v>
      </c>
      <c r="I14343" t="s">
        <v>47127</v>
      </c>
      <c r="J14343" t="s">
        <v>47128</v>
      </c>
      <c r="K14343" t="s">
        <v>47113</v>
      </c>
      <c r="L14343">
        <v>13.61</v>
      </c>
      <c r="M14343">
        <v>43</v>
      </c>
      <c r="N14343">
        <v>0</v>
      </c>
      <c r="O14343">
        <v>43</v>
      </c>
      <c r="P14343">
        <v>0</v>
      </c>
    </row>
    <row r="14344" spans="1:16" x14ac:dyDescent="0.25">
      <c r="A14344" t="s">
        <v>37102</v>
      </c>
      <c r="B14344" t="s">
        <v>198</v>
      </c>
      <c r="C14344" t="s">
        <v>199</v>
      </c>
      <c r="D14344" t="str">
        <f>"6500"</f>
        <v>6500</v>
      </c>
      <c r="E14344" t="s">
        <v>151</v>
      </c>
      <c r="F14344" t="s">
        <v>2</v>
      </c>
      <c r="G14344" t="s">
        <v>47091</v>
      </c>
      <c r="H14344" t="s">
        <v>47126</v>
      </c>
      <c r="I14344" t="s">
        <v>47127</v>
      </c>
      <c r="J14344" t="s">
        <v>47128</v>
      </c>
      <c r="K14344" t="s">
        <v>47113</v>
      </c>
      <c r="L14344">
        <v>13.54</v>
      </c>
      <c r="M14344">
        <v>43</v>
      </c>
      <c r="N14344">
        <v>0</v>
      </c>
      <c r="O14344">
        <v>43</v>
      </c>
      <c r="P14344">
        <v>0</v>
      </c>
    </row>
    <row r="14345" spans="1:16" x14ac:dyDescent="0.25">
      <c r="A14345" t="s">
        <v>37103</v>
      </c>
      <c r="B14345" t="s">
        <v>203</v>
      </c>
      <c r="C14345" t="s">
        <v>204</v>
      </c>
      <c r="D14345" t="str">
        <f>"1004"</f>
        <v>1004</v>
      </c>
      <c r="E14345" t="s">
        <v>200</v>
      </c>
      <c r="F14345" t="s">
        <v>2</v>
      </c>
      <c r="G14345" t="s">
        <v>47091</v>
      </c>
      <c r="H14345" t="s">
        <v>47126</v>
      </c>
      <c r="I14345" t="s">
        <v>47127</v>
      </c>
      <c r="J14345" t="s">
        <v>47128</v>
      </c>
      <c r="K14345" t="s">
        <v>47113</v>
      </c>
      <c r="L14345">
        <v>13.43</v>
      </c>
      <c r="M14345">
        <v>28</v>
      </c>
      <c r="N14345">
        <v>0</v>
      </c>
      <c r="O14345">
        <v>28</v>
      </c>
      <c r="P14345">
        <v>0</v>
      </c>
    </row>
    <row r="14346" spans="1:16" x14ac:dyDescent="0.25">
      <c r="A14346" t="s">
        <v>15027</v>
      </c>
      <c r="B14346" t="s">
        <v>203</v>
      </c>
      <c r="C14346" t="s">
        <v>204</v>
      </c>
      <c r="D14346" t="str">
        <f>"4643"</f>
        <v>4643</v>
      </c>
      <c r="E14346" t="s">
        <v>205</v>
      </c>
      <c r="F14346" t="s">
        <v>2</v>
      </c>
      <c r="G14346" t="s">
        <v>47091</v>
      </c>
      <c r="H14346" t="s">
        <v>47126</v>
      </c>
      <c r="I14346" t="s">
        <v>47127</v>
      </c>
      <c r="J14346" t="s">
        <v>47128</v>
      </c>
      <c r="K14346" t="s">
        <v>47113</v>
      </c>
      <c r="L14346">
        <v>13.43</v>
      </c>
      <c r="M14346">
        <v>28</v>
      </c>
      <c r="N14346">
        <v>0</v>
      </c>
      <c r="O14346">
        <v>28</v>
      </c>
      <c r="P14346">
        <v>0</v>
      </c>
    </row>
    <row r="14347" spans="1:16" x14ac:dyDescent="0.25">
      <c r="A14347" t="s">
        <v>15028</v>
      </c>
      <c r="B14347" t="s">
        <v>203</v>
      </c>
      <c r="C14347" t="s">
        <v>204</v>
      </c>
      <c r="D14347" t="str">
        <f>"6012"</f>
        <v>6012</v>
      </c>
      <c r="E14347" t="s">
        <v>206</v>
      </c>
      <c r="F14347" t="s">
        <v>2</v>
      </c>
      <c r="G14347" t="s">
        <v>47091</v>
      </c>
      <c r="H14347" t="s">
        <v>47126</v>
      </c>
      <c r="I14347" t="s">
        <v>47127</v>
      </c>
      <c r="J14347" t="s">
        <v>47128</v>
      </c>
      <c r="K14347" t="s">
        <v>47113</v>
      </c>
      <c r="L14347">
        <v>13.42</v>
      </c>
      <c r="M14347">
        <v>28</v>
      </c>
      <c r="N14347">
        <v>0</v>
      </c>
      <c r="O14347">
        <v>28</v>
      </c>
      <c r="P14347">
        <v>0</v>
      </c>
    </row>
    <row r="14348" spans="1:16" x14ac:dyDescent="0.25">
      <c r="A14348" t="s">
        <v>37104</v>
      </c>
      <c r="B14348" t="s">
        <v>207</v>
      </c>
      <c r="C14348" t="s">
        <v>208</v>
      </c>
      <c r="D14348" t="str">
        <f>"1004"</f>
        <v>1004</v>
      </c>
      <c r="E14348" t="s">
        <v>200</v>
      </c>
      <c r="F14348" t="s">
        <v>2</v>
      </c>
      <c r="G14348" t="s">
        <v>47091</v>
      </c>
      <c r="H14348" t="s">
        <v>47126</v>
      </c>
      <c r="I14348" t="s">
        <v>47127</v>
      </c>
      <c r="J14348" t="s">
        <v>47128</v>
      </c>
      <c r="K14348" t="s">
        <v>47113</v>
      </c>
      <c r="L14348">
        <v>13.67</v>
      </c>
      <c r="M14348">
        <v>28</v>
      </c>
      <c r="N14348">
        <v>0</v>
      </c>
      <c r="O14348">
        <v>28</v>
      </c>
      <c r="P14348">
        <v>0</v>
      </c>
    </row>
    <row r="14349" spans="1:16" x14ac:dyDescent="0.25">
      <c r="A14349" t="s">
        <v>15029</v>
      </c>
      <c r="B14349" t="s">
        <v>207</v>
      </c>
      <c r="C14349" t="s">
        <v>208</v>
      </c>
      <c r="D14349" t="str">
        <f>"1278"</f>
        <v>1278</v>
      </c>
      <c r="E14349" t="s">
        <v>100</v>
      </c>
      <c r="F14349" t="s">
        <v>2</v>
      </c>
      <c r="G14349" t="s">
        <v>47091</v>
      </c>
      <c r="H14349" t="s">
        <v>47126</v>
      </c>
      <c r="I14349" t="s">
        <v>47127</v>
      </c>
      <c r="J14349" t="s">
        <v>47128</v>
      </c>
      <c r="K14349" t="s">
        <v>47113</v>
      </c>
      <c r="L14349">
        <v>13.67</v>
      </c>
      <c r="M14349">
        <v>28</v>
      </c>
      <c r="N14349">
        <v>0</v>
      </c>
      <c r="O14349">
        <v>28</v>
      </c>
      <c r="P14349">
        <v>0</v>
      </c>
    </row>
    <row r="14350" spans="1:16" x14ac:dyDescent="0.25">
      <c r="A14350" t="s">
        <v>15030</v>
      </c>
      <c r="B14350" t="s">
        <v>207</v>
      </c>
      <c r="C14350" t="s">
        <v>208</v>
      </c>
      <c r="D14350" t="str">
        <f>"1700"</f>
        <v>1700</v>
      </c>
      <c r="E14350" t="s">
        <v>60</v>
      </c>
      <c r="F14350" t="s">
        <v>2</v>
      </c>
      <c r="G14350" t="s">
        <v>47091</v>
      </c>
      <c r="H14350" t="s">
        <v>47126</v>
      </c>
      <c r="I14350" t="s">
        <v>47127</v>
      </c>
      <c r="J14350" t="s">
        <v>47128</v>
      </c>
      <c r="K14350" t="s">
        <v>47113</v>
      </c>
      <c r="L14350">
        <v>13.67</v>
      </c>
      <c r="M14350">
        <v>28</v>
      </c>
      <c r="N14350">
        <v>0</v>
      </c>
      <c r="O14350">
        <v>28</v>
      </c>
      <c r="P14350">
        <v>0</v>
      </c>
    </row>
    <row r="14351" spans="1:16" x14ac:dyDescent="0.25">
      <c r="A14351" t="s">
        <v>37105</v>
      </c>
      <c r="B14351" t="s">
        <v>207</v>
      </c>
      <c r="C14351" t="s">
        <v>208</v>
      </c>
      <c r="D14351" t="str">
        <f>"4645"</f>
        <v>4645</v>
      </c>
      <c r="E14351" t="s">
        <v>9770</v>
      </c>
      <c r="F14351" t="s">
        <v>2</v>
      </c>
      <c r="G14351" t="s">
        <v>47091</v>
      </c>
      <c r="H14351" t="s">
        <v>47126</v>
      </c>
      <c r="I14351" t="s">
        <v>47127</v>
      </c>
      <c r="J14351" t="s">
        <v>47128</v>
      </c>
      <c r="K14351" t="s">
        <v>47113</v>
      </c>
      <c r="L14351">
        <v>13.67</v>
      </c>
      <c r="M14351">
        <v>28</v>
      </c>
      <c r="N14351">
        <v>0</v>
      </c>
      <c r="O14351">
        <v>28</v>
      </c>
      <c r="P14351">
        <v>0</v>
      </c>
    </row>
    <row r="14352" spans="1:16" x14ac:dyDescent="0.25">
      <c r="A14352" t="s">
        <v>37106</v>
      </c>
      <c r="B14352" t="s">
        <v>207</v>
      </c>
      <c r="C14352" t="s">
        <v>208</v>
      </c>
      <c r="D14352" t="str">
        <f>"6182"</f>
        <v>6182</v>
      </c>
      <c r="E14352" t="s">
        <v>202</v>
      </c>
      <c r="F14352" t="s">
        <v>2</v>
      </c>
      <c r="G14352" t="s">
        <v>47091</v>
      </c>
      <c r="H14352" t="s">
        <v>47126</v>
      </c>
      <c r="I14352" t="s">
        <v>47127</v>
      </c>
      <c r="J14352" t="s">
        <v>47128</v>
      </c>
      <c r="K14352" t="s">
        <v>47113</v>
      </c>
      <c r="L14352">
        <v>13.67</v>
      </c>
      <c r="M14352">
        <v>28</v>
      </c>
      <c r="N14352">
        <v>0</v>
      </c>
      <c r="O14352">
        <v>28</v>
      </c>
      <c r="P14352">
        <v>0</v>
      </c>
    </row>
    <row r="14353" spans="1:16" x14ac:dyDescent="0.25">
      <c r="A14353" t="s">
        <v>37107</v>
      </c>
      <c r="B14353" t="s">
        <v>9868</v>
      </c>
      <c r="C14353" t="s">
        <v>9869</v>
      </c>
      <c r="D14353" t="str">
        <f>"1278"</f>
        <v>1278</v>
      </c>
      <c r="E14353" t="s">
        <v>100</v>
      </c>
      <c r="F14353" t="s">
        <v>2</v>
      </c>
      <c r="G14353" t="s">
        <v>47091</v>
      </c>
      <c r="H14353" t="s">
        <v>47126</v>
      </c>
      <c r="I14353" t="s">
        <v>47127</v>
      </c>
      <c r="J14353" t="s">
        <v>47128</v>
      </c>
      <c r="K14353" t="s">
        <v>47113</v>
      </c>
      <c r="L14353">
        <v>13.85</v>
      </c>
      <c r="M14353">
        <v>30</v>
      </c>
      <c r="N14353">
        <v>0</v>
      </c>
      <c r="O14353">
        <v>30</v>
      </c>
      <c r="P14353">
        <v>0</v>
      </c>
    </row>
    <row r="14354" spans="1:16" x14ac:dyDescent="0.25">
      <c r="A14354" t="s">
        <v>37108</v>
      </c>
      <c r="B14354" t="s">
        <v>9868</v>
      </c>
      <c r="C14354" t="s">
        <v>9869</v>
      </c>
      <c r="D14354" t="str">
        <f>"1700"</f>
        <v>1700</v>
      </c>
      <c r="E14354" t="s">
        <v>60</v>
      </c>
      <c r="F14354" t="s">
        <v>2</v>
      </c>
      <c r="G14354" t="s">
        <v>47091</v>
      </c>
      <c r="H14354" t="s">
        <v>47126</v>
      </c>
      <c r="I14354" t="s">
        <v>47127</v>
      </c>
      <c r="J14354" t="s">
        <v>47128</v>
      </c>
      <c r="K14354" t="s">
        <v>47113</v>
      </c>
      <c r="L14354">
        <v>13.83</v>
      </c>
      <c r="M14354">
        <v>30</v>
      </c>
      <c r="N14354">
        <v>0</v>
      </c>
      <c r="O14354">
        <v>30</v>
      </c>
      <c r="P14354">
        <v>0</v>
      </c>
    </row>
    <row r="14355" spans="1:16" x14ac:dyDescent="0.25">
      <c r="A14355" t="s">
        <v>37109</v>
      </c>
      <c r="B14355" t="s">
        <v>9868</v>
      </c>
      <c r="C14355" t="s">
        <v>9869</v>
      </c>
      <c r="D14355" t="str">
        <f>"4644"</f>
        <v>4644</v>
      </c>
      <c r="E14355" t="s">
        <v>201</v>
      </c>
      <c r="F14355" t="s">
        <v>2</v>
      </c>
      <c r="G14355" t="s">
        <v>47091</v>
      </c>
      <c r="H14355" t="s">
        <v>47126</v>
      </c>
      <c r="I14355" t="s">
        <v>47127</v>
      </c>
      <c r="J14355" t="s">
        <v>47128</v>
      </c>
      <c r="K14355" t="s">
        <v>47113</v>
      </c>
      <c r="L14355">
        <v>13.83</v>
      </c>
      <c r="M14355">
        <v>30</v>
      </c>
      <c r="N14355">
        <v>0</v>
      </c>
      <c r="O14355">
        <v>30</v>
      </c>
      <c r="P14355">
        <v>0</v>
      </c>
    </row>
    <row r="14356" spans="1:16" x14ac:dyDescent="0.25">
      <c r="A14356" t="s">
        <v>37110</v>
      </c>
      <c r="B14356" t="s">
        <v>9868</v>
      </c>
      <c r="C14356" t="s">
        <v>9869</v>
      </c>
      <c r="D14356" t="str">
        <f>"6500"</f>
        <v>6500</v>
      </c>
      <c r="E14356" t="s">
        <v>151</v>
      </c>
      <c r="F14356" t="s">
        <v>2</v>
      </c>
      <c r="G14356" t="s">
        <v>47091</v>
      </c>
      <c r="H14356" t="s">
        <v>47126</v>
      </c>
      <c r="I14356" t="s">
        <v>47127</v>
      </c>
      <c r="J14356" t="s">
        <v>47128</v>
      </c>
      <c r="K14356" t="s">
        <v>47113</v>
      </c>
      <c r="L14356">
        <v>13.83</v>
      </c>
      <c r="M14356">
        <v>30</v>
      </c>
      <c r="N14356">
        <v>0</v>
      </c>
      <c r="O14356">
        <v>30</v>
      </c>
      <c r="P14356">
        <v>0</v>
      </c>
    </row>
    <row r="14357" spans="1:16" x14ac:dyDescent="0.25">
      <c r="A14357" t="s">
        <v>37111</v>
      </c>
      <c r="B14357" t="s">
        <v>209</v>
      </c>
      <c r="C14357" t="s">
        <v>210</v>
      </c>
      <c r="D14357" t="str">
        <f>"1700"</f>
        <v>1700</v>
      </c>
      <c r="E14357" t="s">
        <v>60</v>
      </c>
      <c r="F14357" t="s">
        <v>2</v>
      </c>
      <c r="G14357" t="s">
        <v>47092</v>
      </c>
      <c r="H14357" t="s">
        <v>47126</v>
      </c>
      <c r="I14357" t="s">
        <v>47127</v>
      </c>
      <c r="J14357" t="s">
        <v>47128</v>
      </c>
      <c r="K14357" t="s">
        <v>47113</v>
      </c>
      <c r="L14357">
        <v>11.14</v>
      </c>
      <c r="M14357">
        <v>24</v>
      </c>
      <c r="N14357">
        <v>0</v>
      </c>
      <c r="O14357">
        <v>24</v>
      </c>
      <c r="P14357">
        <v>0</v>
      </c>
    </row>
    <row r="14358" spans="1:16" x14ac:dyDescent="0.25">
      <c r="A14358" t="s">
        <v>37112</v>
      </c>
      <c r="B14358" t="s">
        <v>209</v>
      </c>
      <c r="C14358" t="s">
        <v>210</v>
      </c>
      <c r="D14358" t="str">
        <f>"3195"</f>
        <v>3195</v>
      </c>
      <c r="E14358" t="s">
        <v>9775</v>
      </c>
      <c r="F14358" t="s">
        <v>2</v>
      </c>
      <c r="G14358" t="s">
        <v>47092</v>
      </c>
      <c r="H14358" t="s">
        <v>47126</v>
      </c>
      <c r="I14358" t="s">
        <v>47127</v>
      </c>
      <c r="J14358" t="s">
        <v>47128</v>
      </c>
      <c r="K14358" t="s">
        <v>47113</v>
      </c>
      <c r="L14358">
        <v>11.15</v>
      </c>
      <c r="M14358">
        <v>24</v>
      </c>
      <c r="N14358">
        <v>0</v>
      </c>
      <c r="O14358">
        <v>24</v>
      </c>
      <c r="P14358">
        <v>0</v>
      </c>
    </row>
    <row r="14359" spans="1:16" x14ac:dyDescent="0.25">
      <c r="A14359" t="s">
        <v>15031</v>
      </c>
      <c r="B14359" t="s">
        <v>209</v>
      </c>
      <c r="C14359" t="s">
        <v>210</v>
      </c>
      <c r="D14359" t="str">
        <f>"4644"</f>
        <v>4644</v>
      </c>
      <c r="E14359" t="s">
        <v>201</v>
      </c>
      <c r="F14359" t="s">
        <v>2</v>
      </c>
      <c r="G14359" t="s">
        <v>47092</v>
      </c>
      <c r="H14359" t="s">
        <v>47126</v>
      </c>
      <c r="I14359" t="s">
        <v>47127</v>
      </c>
      <c r="J14359" t="s">
        <v>47128</v>
      </c>
      <c r="K14359" t="s">
        <v>47113</v>
      </c>
      <c r="L14359">
        <v>11.15</v>
      </c>
      <c r="M14359">
        <v>24</v>
      </c>
      <c r="N14359">
        <v>0</v>
      </c>
      <c r="O14359">
        <v>24</v>
      </c>
      <c r="P14359">
        <v>0</v>
      </c>
    </row>
    <row r="14360" spans="1:16" x14ac:dyDescent="0.25">
      <c r="A14360" t="s">
        <v>37113</v>
      </c>
      <c r="B14360" t="s">
        <v>209</v>
      </c>
      <c r="C14360" t="s">
        <v>210</v>
      </c>
      <c r="D14360" t="str">
        <f>"4645"</f>
        <v>4645</v>
      </c>
      <c r="E14360" t="s">
        <v>9770</v>
      </c>
      <c r="F14360" t="s">
        <v>2</v>
      </c>
      <c r="G14360" t="s">
        <v>47092</v>
      </c>
      <c r="H14360" t="s">
        <v>47126</v>
      </c>
      <c r="I14360" t="s">
        <v>47127</v>
      </c>
      <c r="J14360" t="s">
        <v>47128</v>
      </c>
      <c r="K14360" t="s">
        <v>47113</v>
      </c>
      <c r="L14360">
        <v>13.2</v>
      </c>
      <c r="M14360">
        <v>24</v>
      </c>
      <c r="N14360">
        <v>0</v>
      </c>
      <c r="O14360">
        <v>24</v>
      </c>
      <c r="P14360">
        <v>0</v>
      </c>
    </row>
    <row r="14361" spans="1:16" x14ac:dyDescent="0.25">
      <c r="A14361" t="s">
        <v>37114</v>
      </c>
      <c r="B14361" t="s">
        <v>209</v>
      </c>
      <c r="C14361" t="s">
        <v>210</v>
      </c>
      <c r="D14361" t="str">
        <f>"4646"</f>
        <v>4646</v>
      </c>
      <c r="E14361" t="s">
        <v>9741</v>
      </c>
      <c r="F14361" t="s">
        <v>2</v>
      </c>
      <c r="G14361" t="s">
        <v>47092</v>
      </c>
      <c r="H14361" t="s">
        <v>47126</v>
      </c>
      <c r="I14361" t="s">
        <v>47127</v>
      </c>
      <c r="J14361" t="s">
        <v>47128</v>
      </c>
      <c r="K14361" t="s">
        <v>47113</v>
      </c>
      <c r="L14361">
        <v>11.14</v>
      </c>
      <c r="M14361">
        <v>24</v>
      </c>
      <c r="N14361">
        <v>0</v>
      </c>
      <c r="O14361">
        <v>24</v>
      </c>
      <c r="P14361">
        <v>0</v>
      </c>
    </row>
    <row r="14362" spans="1:16" x14ac:dyDescent="0.25">
      <c r="A14362" t="s">
        <v>37115</v>
      </c>
      <c r="B14362" t="s">
        <v>209</v>
      </c>
      <c r="C14362" t="s">
        <v>210</v>
      </c>
      <c r="D14362" t="str">
        <f>"6500"</f>
        <v>6500</v>
      </c>
      <c r="E14362" t="s">
        <v>151</v>
      </c>
      <c r="F14362" t="s">
        <v>2</v>
      </c>
      <c r="G14362" t="s">
        <v>47092</v>
      </c>
      <c r="H14362" t="s">
        <v>47126</v>
      </c>
      <c r="I14362" t="s">
        <v>47127</v>
      </c>
      <c r="J14362" t="s">
        <v>47128</v>
      </c>
      <c r="K14362" t="s">
        <v>47113</v>
      </c>
      <c r="L14362">
        <v>11.15</v>
      </c>
      <c r="M14362">
        <v>24</v>
      </c>
      <c r="N14362">
        <v>0</v>
      </c>
      <c r="O14362">
        <v>24</v>
      </c>
      <c r="P14362">
        <v>0</v>
      </c>
    </row>
    <row r="14363" spans="1:16" x14ac:dyDescent="0.25">
      <c r="A14363" t="s">
        <v>37116</v>
      </c>
      <c r="B14363" t="s">
        <v>9870</v>
      </c>
      <c r="C14363" t="s">
        <v>9871</v>
      </c>
      <c r="D14363" t="str">
        <f>"1700"</f>
        <v>1700</v>
      </c>
      <c r="E14363" t="s">
        <v>60</v>
      </c>
      <c r="F14363" t="s">
        <v>2</v>
      </c>
      <c r="G14363" t="s">
        <v>47091</v>
      </c>
      <c r="I14363" t="s">
        <v>47127</v>
      </c>
      <c r="J14363" t="s">
        <v>47128</v>
      </c>
      <c r="K14363" t="s">
        <v>47113</v>
      </c>
      <c r="L14363">
        <v>13.58</v>
      </c>
      <c r="M14363">
        <v>29</v>
      </c>
      <c r="N14363">
        <v>0</v>
      </c>
      <c r="O14363">
        <v>29</v>
      </c>
      <c r="P14363">
        <v>0</v>
      </c>
    </row>
    <row r="14364" spans="1:16" x14ac:dyDescent="0.25">
      <c r="A14364" t="s">
        <v>37117</v>
      </c>
      <c r="B14364" t="s">
        <v>9870</v>
      </c>
      <c r="C14364" t="s">
        <v>9871</v>
      </c>
      <c r="D14364" t="str">
        <f>"3195"</f>
        <v>3195</v>
      </c>
      <c r="E14364" t="s">
        <v>9775</v>
      </c>
      <c r="F14364" t="s">
        <v>2</v>
      </c>
      <c r="G14364" t="s">
        <v>47091</v>
      </c>
      <c r="I14364" t="s">
        <v>47127</v>
      </c>
      <c r="J14364" t="s">
        <v>47128</v>
      </c>
      <c r="K14364" t="s">
        <v>47113</v>
      </c>
      <c r="L14364">
        <v>13.58</v>
      </c>
      <c r="M14364">
        <v>29</v>
      </c>
      <c r="N14364">
        <v>0</v>
      </c>
      <c r="O14364">
        <v>29</v>
      </c>
      <c r="P14364">
        <v>0</v>
      </c>
    </row>
    <row r="14365" spans="1:16" x14ac:dyDescent="0.25">
      <c r="A14365" t="s">
        <v>37118</v>
      </c>
      <c r="B14365" t="s">
        <v>9870</v>
      </c>
      <c r="C14365" t="s">
        <v>9871</v>
      </c>
      <c r="D14365" t="str">
        <f>"4644"</f>
        <v>4644</v>
      </c>
      <c r="E14365" t="s">
        <v>201</v>
      </c>
      <c r="F14365" t="s">
        <v>2</v>
      </c>
      <c r="G14365" t="s">
        <v>47091</v>
      </c>
      <c r="I14365" t="s">
        <v>47127</v>
      </c>
      <c r="J14365" t="s">
        <v>47128</v>
      </c>
      <c r="K14365" t="s">
        <v>47113</v>
      </c>
      <c r="L14365">
        <v>13.58</v>
      </c>
      <c r="M14365">
        <v>29</v>
      </c>
      <c r="N14365">
        <v>0</v>
      </c>
      <c r="O14365">
        <v>29</v>
      </c>
      <c r="P14365">
        <v>0</v>
      </c>
    </row>
    <row r="14366" spans="1:16" x14ac:dyDescent="0.25">
      <c r="A14366" t="s">
        <v>37119</v>
      </c>
      <c r="B14366" t="s">
        <v>9870</v>
      </c>
      <c r="C14366" t="s">
        <v>9871</v>
      </c>
      <c r="D14366" t="str">
        <f>"4646"</f>
        <v>4646</v>
      </c>
      <c r="E14366" t="s">
        <v>9741</v>
      </c>
      <c r="F14366" t="s">
        <v>2</v>
      </c>
      <c r="G14366" t="s">
        <v>47091</v>
      </c>
      <c r="I14366" t="s">
        <v>47127</v>
      </c>
      <c r="J14366" t="s">
        <v>47128</v>
      </c>
      <c r="K14366" t="s">
        <v>47113</v>
      </c>
      <c r="L14366">
        <v>13.58</v>
      </c>
      <c r="M14366">
        <v>29</v>
      </c>
      <c r="N14366">
        <v>0</v>
      </c>
      <c r="O14366">
        <v>29</v>
      </c>
      <c r="P14366">
        <v>0</v>
      </c>
    </row>
    <row r="14367" spans="1:16" x14ac:dyDescent="0.25">
      <c r="A14367" t="s">
        <v>37120</v>
      </c>
      <c r="B14367" t="s">
        <v>9870</v>
      </c>
      <c r="C14367" t="s">
        <v>9871</v>
      </c>
      <c r="D14367" t="str">
        <f>"6500"</f>
        <v>6500</v>
      </c>
      <c r="E14367" t="s">
        <v>151</v>
      </c>
      <c r="F14367" t="s">
        <v>2</v>
      </c>
      <c r="G14367" t="s">
        <v>47091</v>
      </c>
      <c r="I14367" t="s">
        <v>47127</v>
      </c>
      <c r="J14367" t="s">
        <v>47128</v>
      </c>
      <c r="K14367" t="s">
        <v>47113</v>
      </c>
      <c r="L14367">
        <v>13.58</v>
      </c>
      <c r="M14367">
        <v>29</v>
      </c>
      <c r="N14367">
        <v>0</v>
      </c>
      <c r="O14367">
        <v>29</v>
      </c>
      <c r="P14367">
        <v>0</v>
      </c>
    </row>
    <row r="14368" spans="1:16" x14ac:dyDescent="0.25">
      <c r="A14368" t="s">
        <v>37121</v>
      </c>
      <c r="B14368" t="s">
        <v>21269</v>
      </c>
      <c r="C14368" t="s">
        <v>21270</v>
      </c>
      <c r="D14368" t="str">
        <f>"4143"</f>
        <v>4143</v>
      </c>
      <c r="E14368" t="s">
        <v>261</v>
      </c>
      <c r="F14368" t="s">
        <v>16601</v>
      </c>
      <c r="G14368" t="s">
        <v>47053</v>
      </c>
      <c r="H14368" t="s">
        <v>47071</v>
      </c>
      <c r="I14368" t="s">
        <v>47120</v>
      </c>
      <c r="J14368" t="s">
        <v>47121</v>
      </c>
      <c r="K14368" t="s">
        <v>47113</v>
      </c>
      <c r="L14368">
        <v>11.35</v>
      </c>
      <c r="M14368">
        <v>33</v>
      </c>
      <c r="N14368">
        <v>0</v>
      </c>
      <c r="O14368">
        <v>33</v>
      </c>
      <c r="P14368">
        <v>0</v>
      </c>
    </row>
    <row r="14369" spans="1:16" x14ac:dyDescent="0.25">
      <c r="A14369" t="s">
        <v>37122</v>
      </c>
      <c r="B14369" t="s">
        <v>21271</v>
      </c>
      <c r="C14369" t="s">
        <v>21272</v>
      </c>
      <c r="D14369" t="str">
        <f>"1495"</f>
        <v>1495</v>
      </c>
      <c r="E14369" t="s">
        <v>18259</v>
      </c>
      <c r="F14369" t="s">
        <v>15183</v>
      </c>
      <c r="G14369" t="s">
        <v>47061</v>
      </c>
      <c r="H14369" t="s">
        <v>47071</v>
      </c>
      <c r="I14369" t="s">
        <v>47120</v>
      </c>
      <c r="J14369" t="s">
        <v>47121</v>
      </c>
      <c r="K14369" t="s">
        <v>47113</v>
      </c>
      <c r="L14369">
        <v>10.98</v>
      </c>
      <c r="M14369">
        <v>33</v>
      </c>
      <c r="N14369">
        <v>0</v>
      </c>
      <c r="O14369">
        <v>33</v>
      </c>
      <c r="P14369">
        <v>0</v>
      </c>
    </row>
    <row r="14370" spans="1:16" x14ac:dyDescent="0.25">
      <c r="A14370" t="s">
        <v>37123</v>
      </c>
      <c r="B14370" t="s">
        <v>18257</v>
      </c>
      <c r="C14370" t="s">
        <v>18258</v>
      </c>
      <c r="D14370" t="str">
        <f>"1495"</f>
        <v>1495</v>
      </c>
      <c r="E14370" t="s">
        <v>18259</v>
      </c>
      <c r="F14370" t="s">
        <v>16601</v>
      </c>
      <c r="G14370" t="s">
        <v>47053</v>
      </c>
      <c r="H14370" t="s">
        <v>47071</v>
      </c>
      <c r="I14370" t="s">
        <v>47120</v>
      </c>
      <c r="J14370" t="s">
        <v>47121</v>
      </c>
      <c r="K14370" t="s">
        <v>47113</v>
      </c>
      <c r="L14370">
        <v>5.03</v>
      </c>
      <c r="M14370">
        <v>6</v>
      </c>
      <c r="N14370">
        <v>0</v>
      </c>
      <c r="O14370">
        <v>6</v>
      </c>
      <c r="P14370">
        <v>0</v>
      </c>
    </row>
    <row r="14371" spans="1:16" x14ac:dyDescent="0.25">
      <c r="A14371" t="s">
        <v>37124</v>
      </c>
      <c r="B14371" t="s">
        <v>18260</v>
      </c>
      <c r="C14371" t="s">
        <v>18261</v>
      </c>
      <c r="D14371" t="str">
        <f>"4143"</f>
        <v>4143</v>
      </c>
      <c r="E14371" t="s">
        <v>261</v>
      </c>
      <c r="F14371" t="s">
        <v>16601</v>
      </c>
      <c r="G14371" t="s">
        <v>47129</v>
      </c>
      <c r="H14371" t="s">
        <v>47071</v>
      </c>
      <c r="I14371" t="s">
        <v>47120</v>
      </c>
      <c r="J14371" t="s">
        <v>47121</v>
      </c>
      <c r="K14371" t="s">
        <v>47113</v>
      </c>
      <c r="L14371">
        <v>11.94</v>
      </c>
      <c r="M14371">
        <v>55</v>
      </c>
      <c r="N14371">
        <v>0</v>
      </c>
      <c r="O14371">
        <v>55</v>
      </c>
      <c r="P14371">
        <v>0</v>
      </c>
    </row>
    <row r="14372" spans="1:16" x14ac:dyDescent="0.25">
      <c r="A14372" t="s">
        <v>37125</v>
      </c>
      <c r="B14372" t="s">
        <v>18262</v>
      </c>
      <c r="C14372" t="s">
        <v>18263</v>
      </c>
      <c r="D14372" t="str">
        <f>"1001"</f>
        <v>1001</v>
      </c>
      <c r="E14372" t="s">
        <v>8835</v>
      </c>
      <c r="F14372" t="s">
        <v>16601</v>
      </c>
      <c r="G14372" t="s">
        <v>47053</v>
      </c>
      <c r="H14372" t="s">
        <v>47071</v>
      </c>
      <c r="I14372" t="s">
        <v>47120</v>
      </c>
      <c r="J14372" t="s">
        <v>47121</v>
      </c>
      <c r="K14372" t="s">
        <v>47113</v>
      </c>
      <c r="L14372">
        <v>10.47</v>
      </c>
      <c r="M14372">
        <v>26</v>
      </c>
      <c r="N14372">
        <v>0</v>
      </c>
      <c r="O14372">
        <v>26</v>
      </c>
      <c r="P14372">
        <v>0</v>
      </c>
    </row>
    <row r="14373" spans="1:16" x14ac:dyDescent="0.25">
      <c r="A14373" t="s">
        <v>37126</v>
      </c>
      <c r="B14373" t="s">
        <v>9872</v>
      </c>
      <c r="C14373" t="s">
        <v>9873</v>
      </c>
      <c r="D14373" t="str">
        <f>"3105"</f>
        <v>3105</v>
      </c>
      <c r="E14373" t="s">
        <v>8217</v>
      </c>
      <c r="F14373" t="s">
        <v>6</v>
      </c>
      <c r="G14373" t="s">
        <v>47094</v>
      </c>
      <c r="H14373" t="s">
        <v>47126</v>
      </c>
      <c r="I14373" t="s">
        <v>47127</v>
      </c>
      <c r="J14373" t="s">
        <v>47128</v>
      </c>
      <c r="K14373" t="s">
        <v>47113</v>
      </c>
      <c r="L14373">
        <v>66.650000000000006</v>
      </c>
      <c r="M14373">
        <v>122</v>
      </c>
      <c r="N14373">
        <v>0</v>
      </c>
      <c r="O14373">
        <v>122</v>
      </c>
      <c r="P14373">
        <v>0</v>
      </c>
    </row>
    <row r="14374" spans="1:16" x14ac:dyDescent="0.25">
      <c r="A14374" t="s">
        <v>37127</v>
      </c>
      <c r="B14374" t="s">
        <v>9874</v>
      </c>
      <c r="C14374" t="s">
        <v>9875</v>
      </c>
      <c r="D14374" t="str">
        <f>"1200"</f>
        <v>1200</v>
      </c>
      <c r="E14374" t="s">
        <v>241</v>
      </c>
      <c r="F14374" t="s">
        <v>6</v>
      </c>
      <c r="G14374" t="s">
        <v>47096</v>
      </c>
      <c r="H14374" t="s">
        <v>47126</v>
      </c>
      <c r="I14374" t="s">
        <v>47127</v>
      </c>
      <c r="J14374" t="s">
        <v>47128</v>
      </c>
      <c r="K14374" t="s">
        <v>47113</v>
      </c>
      <c r="L14374">
        <v>61.86</v>
      </c>
      <c r="M14374">
        <v>168</v>
      </c>
      <c r="N14374">
        <v>0</v>
      </c>
      <c r="O14374">
        <v>168</v>
      </c>
      <c r="P14374">
        <v>0</v>
      </c>
    </row>
    <row r="14375" spans="1:16" x14ac:dyDescent="0.25">
      <c r="A14375" t="s">
        <v>37128</v>
      </c>
      <c r="B14375" t="s">
        <v>9874</v>
      </c>
      <c r="C14375" t="s">
        <v>9875</v>
      </c>
      <c r="D14375" t="str">
        <f>"4100"</f>
        <v>4100</v>
      </c>
      <c r="E14375" t="s">
        <v>2383</v>
      </c>
      <c r="F14375" t="s">
        <v>6</v>
      </c>
      <c r="G14375" t="s">
        <v>47096</v>
      </c>
      <c r="H14375" t="s">
        <v>47126</v>
      </c>
      <c r="I14375" t="s">
        <v>47127</v>
      </c>
      <c r="J14375" t="s">
        <v>47128</v>
      </c>
      <c r="K14375" t="s">
        <v>47113</v>
      </c>
      <c r="L14375">
        <v>61.86</v>
      </c>
      <c r="M14375">
        <v>168</v>
      </c>
      <c r="N14375">
        <v>0</v>
      </c>
      <c r="O14375">
        <v>168</v>
      </c>
      <c r="P14375">
        <v>0</v>
      </c>
    </row>
    <row r="14376" spans="1:16" x14ac:dyDescent="0.25">
      <c r="A14376" t="s">
        <v>37129</v>
      </c>
      <c r="B14376" t="s">
        <v>9876</v>
      </c>
      <c r="C14376" t="s">
        <v>9877</v>
      </c>
      <c r="D14376" t="str">
        <f>"1001"</f>
        <v>1001</v>
      </c>
      <c r="E14376" t="s">
        <v>42</v>
      </c>
      <c r="F14376" t="s">
        <v>5</v>
      </c>
      <c r="G14376" t="s">
        <v>16224</v>
      </c>
      <c r="H14376" t="s">
        <v>47126</v>
      </c>
      <c r="I14376" t="s">
        <v>47120</v>
      </c>
      <c r="J14376" t="s">
        <v>47121</v>
      </c>
      <c r="K14376" t="s">
        <v>47113</v>
      </c>
      <c r="L14376">
        <v>90.32</v>
      </c>
      <c r="M14376">
        <v>228</v>
      </c>
      <c r="N14376">
        <v>0</v>
      </c>
      <c r="O14376">
        <v>228</v>
      </c>
      <c r="P14376">
        <v>0</v>
      </c>
    </row>
    <row r="14377" spans="1:16" x14ac:dyDescent="0.25">
      <c r="A14377" t="s">
        <v>37130</v>
      </c>
      <c r="B14377" t="s">
        <v>9878</v>
      </c>
      <c r="C14377" t="s">
        <v>229</v>
      </c>
      <c r="D14377" t="str">
        <f>"1004"</f>
        <v>1004</v>
      </c>
      <c r="E14377" t="s">
        <v>200</v>
      </c>
      <c r="F14377" t="s">
        <v>5</v>
      </c>
      <c r="G14377" t="s">
        <v>47098</v>
      </c>
      <c r="H14377" t="s">
        <v>47126</v>
      </c>
      <c r="I14377" t="s">
        <v>47120</v>
      </c>
      <c r="J14377" t="s">
        <v>47121</v>
      </c>
      <c r="K14377" t="s">
        <v>47113</v>
      </c>
      <c r="L14377">
        <v>73.69</v>
      </c>
      <c r="M14377">
        <v>186</v>
      </c>
      <c r="N14377">
        <v>0</v>
      </c>
      <c r="O14377">
        <v>186</v>
      </c>
      <c r="P14377">
        <v>0</v>
      </c>
    </row>
    <row r="14378" spans="1:16" x14ac:dyDescent="0.25">
      <c r="A14378" t="s">
        <v>37131</v>
      </c>
      <c r="B14378" t="s">
        <v>9878</v>
      </c>
      <c r="C14378" t="s">
        <v>229</v>
      </c>
      <c r="D14378" t="str">
        <f>"3071"</f>
        <v>3071</v>
      </c>
      <c r="E14378" t="s">
        <v>4767</v>
      </c>
      <c r="F14378" t="s">
        <v>5</v>
      </c>
      <c r="G14378" t="s">
        <v>47098</v>
      </c>
      <c r="H14378" t="s">
        <v>47126</v>
      </c>
      <c r="I14378" t="s">
        <v>47120</v>
      </c>
      <c r="J14378" t="s">
        <v>47121</v>
      </c>
      <c r="K14378" t="s">
        <v>47113</v>
      </c>
      <c r="L14378">
        <v>73.69</v>
      </c>
      <c r="M14378">
        <v>186</v>
      </c>
      <c r="N14378">
        <v>0</v>
      </c>
      <c r="O14378">
        <v>186</v>
      </c>
      <c r="P14378">
        <v>0</v>
      </c>
    </row>
    <row r="14379" spans="1:16" x14ac:dyDescent="0.25">
      <c r="A14379" t="s">
        <v>37132</v>
      </c>
      <c r="B14379" t="s">
        <v>9879</v>
      </c>
      <c r="C14379" t="s">
        <v>9880</v>
      </c>
      <c r="D14379" t="str">
        <f>"1001"</f>
        <v>1001</v>
      </c>
      <c r="E14379" t="s">
        <v>42</v>
      </c>
      <c r="F14379" t="s">
        <v>5</v>
      </c>
      <c r="G14379" t="s">
        <v>47098</v>
      </c>
      <c r="H14379" t="s">
        <v>47126</v>
      </c>
      <c r="I14379" t="s">
        <v>47120</v>
      </c>
      <c r="J14379" t="s">
        <v>47121</v>
      </c>
      <c r="K14379" t="s">
        <v>47113</v>
      </c>
      <c r="L14379">
        <v>73.69</v>
      </c>
      <c r="M14379">
        <v>186</v>
      </c>
      <c r="N14379">
        <v>0</v>
      </c>
      <c r="O14379">
        <v>186</v>
      </c>
      <c r="P14379">
        <v>0</v>
      </c>
    </row>
    <row r="14380" spans="1:16" x14ac:dyDescent="0.25">
      <c r="A14380" t="s">
        <v>15032</v>
      </c>
      <c r="B14380" t="s">
        <v>211</v>
      </c>
      <c r="C14380" t="s">
        <v>212</v>
      </c>
      <c r="D14380" t="str">
        <f>"1001"</f>
        <v>1001</v>
      </c>
      <c r="E14380" t="s">
        <v>42</v>
      </c>
      <c r="F14380" t="s">
        <v>5</v>
      </c>
      <c r="G14380" t="s">
        <v>47098</v>
      </c>
      <c r="H14380" t="s">
        <v>47126</v>
      </c>
      <c r="I14380" t="s">
        <v>47120</v>
      </c>
      <c r="J14380" t="s">
        <v>47121</v>
      </c>
      <c r="K14380" t="s">
        <v>47113</v>
      </c>
      <c r="L14380">
        <v>53.35</v>
      </c>
      <c r="M14380">
        <v>138</v>
      </c>
      <c r="N14380">
        <v>0</v>
      </c>
      <c r="O14380">
        <v>138</v>
      </c>
      <c r="P14380">
        <v>0</v>
      </c>
    </row>
    <row r="14381" spans="1:16" x14ac:dyDescent="0.25">
      <c r="A14381" t="s">
        <v>37133</v>
      </c>
      <c r="B14381" t="s">
        <v>211</v>
      </c>
      <c r="C14381" t="s">
        <v>212</v>
      </c>
      <c r="D14381" t="str">
        <f>"4448"</f>
        <v>4448</v>
      </c>
      <c r="E14381" t="s">
        <v>1866</v>
      </c>
      <c r="F14381" t="s">
        <v>5</v>
      </c>
      <c r="G14381" t="s">
        <v>47098</v>
      </c>
      <c r="H14381" t="s">
        <v>47126</v>
      </c>
      <c r="I14381" t="s">
        <v>47120</v>
      </c>
      <c r="J14381" t="s">
        <v>47121</v>
      </c>
      <c r="K14381" t="s">
        <v>47113</v>
      </c>
      <c r="L14381">
        <v>53.35</v>
      </c>
      <c r="M14381">
        <v>138</v>
      </c>
      <c r="N14381">
        <v>0</v>
      </c>
      <c r="O14381">
        <v>138</v>
      </c>
      <c r="P14381">
        <v>0</v>
      </c>
    </row>
    <row r="14382" spans="1:16" x14ac:dyDescent="0.25">
      <c r="A14382" t="s">
        <v>37134</v>
      </c>
      <c r="B14382" t="s">
        <v>211</v>
      </c>
      <c r="C14382" t="s">
        <v>212</v>
      </c>
      <c r="D14382" t="str">
        <f>"5000"</f>
        <v>5000</v>
      </c>
      <c r="E14382" t="s">
        <v>9881</v>
      </c>
      <c r="F14382" t="s">
        <v>5</v>
      </c>
      <c r="G14382" t="s">
        <v>47098</v>
      </c>
      <c r="H14382" t="s">
        <v>47126</v>
      </c>
      <c r="I14382" t="s">
        <v>47120</v>
      </c>
      <c r="J14382" t="s">
        <v>47121</v>
      </c>
      <c r="K14382" t="s">
        <v>47113</v>
      </c>
      <c r="L14382">
        <v>53.35</v>
      </c>
      <c r="M14382">
        <v>138</v>
      </c>
      <c r="N14382">
        <v>0</v>
      </c>
      <c r="O14382">
        <v>138</v>
      </c>
      <c r="P14382">
        <v>0</v>
      </c>
    </row>
    <row r="14383" spans="1:16" x14ac:dyDescent="0.25">
      <c r="A14383" t="s">
        <v>15033</v>
      </c>
      <c r="B14383" t="s">
        <v>213</v>
      </c>
      <c r="C14383" t="s">
        <v>214</v>
      </c>
      <c r="D14383" t="str">
        <f>"1001"</f>
        <v>1001</v>
      </c>
      <c r="E14383" t="s">
        <v>42</v>
      </c>
      <c r="F14383" t="s">
        <v>5</v>
      </c>
      <c r="G14383" t="s">
        <v>47098</v>
      </c>
      <c r="H14383" t="s">
        <v>47126</v>
      </c>
      <c r="I14383" t="s">
        <v>47120</v>
      </c>
      <c r="J14383" t="s">
        <v>47121</v>
      </c>
      <c r="K14383" t="s">
        <v>47113</v>
      </c>
      <c r="L14383">
        <v>72.66</v>
      </c>
      <c r="M14383">
        <v>188</v>
      </c>
      <c r="N14383">
        <v>0</v>
      </c>
      <c r="O14383">
        <v>188</v>
      </c>
      <c r="P14383">
        <v>0</v>
      </c>
    </row>
    <row r="14384" spans="1:16" x14ac:dyDescent="0.25">
      <c r="A14384" t="s">
        <v>37135</v>
      </c>
      <c r="B14384" t="s">
        <v>213</v>
      </c>
      <c r="C14384" t="s">
        <v>214</v>
      </c>
      <c r="D14384" t="str">
        <f>"5000"</f>
        <v>5000</v>
      </c>
      <c r="E14384" t="s">
        <v>9881</v>
      </c>
      <c r="F14384" t="s">
        <v>5</v>
      </c>
      <c r="G14384" t="s">
        <v>47098</v>
      </c>
      <c r="H14384" t="s">
        <v>47126</v>
      </c>
      <c r="I14384" t="s">
        <v>47120</v>
      </c>
      <c r="J14384" t="s">
        <v>47121</v>
      </c>
      <c r="K14384" t="s">
        <v>47113</v>
      </c>
      <c r="L14384">
        <v>72.66</v>
      </c>
      <c r="M14384">
        <v>188</v>
      </c>
      <c r="N14384">
        <v>0</v>
      </c>
      <c r="O14384">
        <v>188</v>
      </c>
      <c r="P14384">
        <v>0</v>
      </c>
    </row>
    <row r="14385" spans="1:16" x14ac:dyDescent="0.25">
      <c r="A14385" t="s">
        <v>37136</v>
      </c>
      <c r="B14385" t="s">
        <v>215</v>
      </c>
      <c r="C14385" t="s">
        <v>216</v>
      </c>
      <c r="D14385" t="str">
        <f>"2001"</f>
        <v>2001</v>
      </c>
      <c r="E14385" t="s">
        <v>2354</v>
      </c>
      <c r="F14385" t="s">
        <v>5</v>
      </c>
      <c r="G14385" t="s">
        <v>47098</v>
      </c>
      <c r="H14385" t="s">
        <v>47126</v>
      </c>
      <c r="I14385" t="s">
        <v>47120</v>
      </c>
      <c r="J14385" t="s">
        <v>47121</v>
      </c>
      <c r="K14385" t="s">
        <v>47113</v>
      </c>
      <c r="L14385">
        <v>76.52</v>
      </c>
      <c r="M14385">
        <v>193</v>
      </c>
      <c r="N14385">
        <v>0</v>
      </c>
      <c r="O14385">
        <v>193</v>
      </c>
      <c r="P14385">
        <v>0</v>
      </c>
    </row>
    <row r="14386" spans="1:16" x14ac:dyDescent="0.25">
      <c r="A14386" t="s">
        <v>37137</v>
      </c>
      <c r="B14386" t="s">
        <v>215</v>
      </c>
      <c r="C14386" t="s">
        <v>216</v>
      </c>
      <c r="D14386" t="str">
        <f>"4819"</f>
        <v>4819</v>
      </c>
      <c r="E14386" t="s">
        <v>221</v>
      </c>
      <c r="F14386" t="s">
        <v>5</v>
      </c>
      <c r="G14386" t="s">
        <v>47098</v>
      </c>
      <c r="H14386" t="s">
        <v>47126</v>
      </c>
      <c r="I14386" t="s">
        <v>47120</v>
      </c>
      <c r="J14386" t="s">
        <v>47121</v>
      </c>
      <c r="K14386" t="s">
        <v>47113</v>
      </c>
      <c r="L14386">
        <v>76.52</v>
      </c>
      <c r="M14386">
        <v>193</v>
      </c>
      <c r="N14386">
        <v>0</v>
      </c>
      <c r="O14386">
        <v>193</v>
      </c>
      <c r="P14386">
        <v>0</v>
      </c>
    </row>
    <row r="14387" spans="1:16" x14ac:dyDescent="0.25">
      <c r="A14387" t="s">
        <v>15034</v>
      </c>
      <c r="B14387" t="s">
        <v>215</v>
      </c>
      <c r="C14387" t="s">
        <v>216</v>
      </c>
      <c r="D14387" t="str">
        <f>"8220"</f>
        <v>8220</v>
      </c>
      <c r="E14387" t="s">
        <v>217</v>
      </c>
      <c r="F14387" t="s">
        <v>5</v>
      </c>
      <c r="G14387" t="s">
        <v>47098</v>
      </c>
      <c r="H14387" t="s">
        <v>47126</v>
      </c>
      <c r="I14387" t="s">
        <v>47120</v>
      </c>
      <c r="J14387" t="s">
        <v>47121</v>
      </c>
      <c r="K14387" t="s">
        <v>47113</v>
      </c>
      <c r="L14387">
        <v>76.52</v>
      </c>
      <c r="M14387">
        <v>193</v>
      </c>
      <c r="N14387">
        <v>0</v>
      </c>
      <c r="O14387">
        <v>193</v>
      </c>
      <c r="P14387">
        <v>0</v>
      </c>
    </row>
    <row r="14388" spans="1:16" x14ac:dyDescent="0.25">
      <c r="A14388" t="s">
        <v>15035</v>
      </c>
      <c r="B14388" t="s">
        <v>218</v>
      </c>
      <c r="C14388" t="s">
        <v>219</v>
      </c>
      <c r="D14388" t="str">
        <f>"1700"</f>
        <v>1700</v>
      </c>
      <c r="E14388" t="s">
        <v>60</v>
      </c>
      <c r="F14388" t="s">
        <v>5</v>
      </c>
      <c r="G14388" t="s">
        <v>48515</v>
      </c>
      <c r="H14388" t="s">
        <v>47126</v>
      </c>
      <c r="I14388" t="s">
        <v>47120</v>
      </c>
      <c r="J14388" t="s">
        <v>47121</v>
      </c>
      <c r="K14388" t="s">
        <v>47113</v>
      </c>
      <c r="L14388">
        <v>61.62</v>
      </c>
      <c r="M14388">
        <v>164</v>
      </c>
      <c r="N14388">
        <v>0</v>
      </c>
      <c r="O14388">
        <v>164</v>
      </c>
      <c r="P14388">
        <v>0</v>
      </c>
    </row>
    <row r="14389" spans="1:16" x14ac:dyDescent="0.25">
      <c r="A14389" t="s">
        <v>15036</v>
      </c>
      <c r="B14389" t="s">
        <v>218</v>
      </c>
      <c r="C14389" t="s">
        <v>219</v>
      </c>
      <c r="D14389" t="str">
        <f>"4542"</f>
        <v>4542</v>
      </c>
      <c r="E14389" t="s">
        <v>220</v>
      </c>
      <c r="F14389" t="s">
        <v>5</v>
      </c>
      <c r="G14389" t="s">
        <v>48515</v>
      </c>
      <c r="H14389" t="s">
        <v>47126</v>
      </c>
      <c r="I14389" t="s">
        <v>47120</v>
      </c>
      <c r="J14389" t="s">
        <v>47121</v>
      </c>
      <c r="K14389" t="s">
        <v>47113</v>
      </c>
      <c r="L14389">
        <v>61.62</v>
      </c>
      <c r="M14389">
        <v>164</v>
      </c>
      <c r="N14389">
        <v>0</v>
      </c>
      <c r="O14389">
        <v>164</v>
      </c>
      <c r="P14389">
        <v>0</v>
      </c>
    </row>
    <row r="14390" spans="1:16" x14ac:dyDescent="0.25">
      <c r="A14390" t="s">
        <v>37138</v>
      </c>
      <c r="B14390" t="s">
        <v>218</v>
      </c>
      <c r="C14390" t="s">
        <v>219</v>
      </c>
      <c r="D14390" t="str">
        <f>"4819"</f>
        <v>4819</v>
      </c>
      <c r="E14390" t="s">
        <v>221</v>
      </c>
      <c r="F14390" t="s">
        <v>5</v>
      </c>
      <c r="G14390" t="s">
        <v>48515</v>
      </c>
      <c r="H14390" t="s">
        <v>47126</v>
      </c>
      <c r="I14390" t="s">
        <v>47120</v>
      </c>
      <c r="J14390" t="s">
        <v>47121</v>
      </c>
      <c r="K14390" t="s">
        <v>47113</v>
      </c>
      <c r="L14390">
        <v>61.62</v>
      </c>
      <c r="M14390">
        <v>164</v>
      </c>
      <c r="N14390">
        <v>0</v>
      </c>
      <c r="O14390">
        <v>164</v>
      </c>
      <c r="P14390">
        <v>0</v>
      </c>
    </row>
    <row r="14391" spans="1:16" x14ac:dyDescent="0.25">
      <c r="A14391" t="s">
        <v>37139</v>
      </c>
      <c r="B14391" t="s">
        <v>218</v>
      </c>
      <c r="C14391" t="s">
        <v>219</v>
      </c>
      <c r="D14391" t="str">
        <f>"8220"</f>
        <v>8220</v>
      </c>
      <c r="E14391" t="s">
        <v>217</v>
      </c>
      <c r="F14391" t="s">
        <v>5</v>
      </c>
      <c r="G14391" t="s">
        <v>48515</v>
      </c>
      <c r="H14391" t="s">
        <v>47126</v>
      </c>
      <c r="I14391" t="s">
        <v>47120</v>
      </c>
      <c r="J14391" t="s">
        <v>47121</v>
      </c>
      <c r="K14391" t="s">
        <v>47113</v>
      </c>
      <c r="L14391">
        <v>65.19</v>
      </c>
      <c r="M14391">
        <v>164</v>
      </c>
      <c r="N14391">
        <v>0</v>
      </c>
      <c r="O14391">
        <v>164</v>
      </c>
      <c r="P14391">
        <v>0</v>
      </c>
    </row>
    <row r="14392" spans="1:16" x14ac:dyDescent="0.25">
      <c r="A14392" t="s">
        <v>15037</v>
      </c>
      <c r="B14392" t="s">
        <v>222</v>
      </c>
      <c r="C14392" t="s">
        <v>223</v>
      </c>
      <c r="D14392" t="str">
        <f>"1403"</f>
        <v>1403</v>
      </c>
      <c r="E14392" t="s">
        <v>224</v>
      </c>
      <c r="F14392" t="s">
        <v>5</v>
      </c>
      <c r="G14392" t="s">
        <v>47098</v>
      </c>
      <c r="H14392" t="s">
        <v>47126</v>
      </c>
      <c r="I14392" t="s">
        <v>47120</v>
      </c>
      <c r="J14392" t="s">
        <v>47121</v>
      </c>
      <c r="K14392" t="s">
        <v>47113</v>
      </c>
      <c r="L14392">
        <v>56.1</v>
      </c>
      <c r="M14392">
        <v>145</v>
      </c>
      <c r="N14392">
        <v>0</v>
      </c>
      <c r="O14392">
        <v>145</v>
      </c>
      <c r="P14392">
        <v>0</v>
      </c>
    </row>
    <row r="14393" spans="1:16" x14ac:dyDescent="0.25">
      <c r="A14393" t="s">
        <v>15038</v>
      </c>
      <c r="B14393" t="s">
        <v>222</v>
      </c>
      <c r="C14393" t="s">
        <v>223</v>
      </c>
      <c r="D14393" t="str">
        <f>"7100"</f>
        <v>7100</v>
      </c>
      <c r="E14393" t="s">
        <v>225</v>
      </c>
      <c r="F14393" t="s">
        <v>5</v>
      </c>
      <c r="G14393" t="s">
        <v>47098</v>
      </c>
      <c r="H14393" t="s">
        <v>47126</v>
      </c>
      <c r="I14393" t="s">
        <v>47120</v>
      </c>
      <c r="J14393" t="s">
        <v>47121</v>
      </c>
      <c r="K14393" t="s">
        <v>47113</v>
      </c>
      <c r="L14393">
        <v>56.1</v>
      </c>
      <c r="M14393">
        <v>145</v>
      </c>
      <c r="N14393">
        <v>0</v>
      </c>
      <c r="O14393">
        <v>145</v>
      </c>
      <c r="P14393">
        <v>0</v>
      </c>
    </row>
    <row r="14394" spans="1:16" x14ac:dyDescent="0.25">
      <c r="A14394" t="s">
        <v>37140</v>
      </c>
      <c r="B14394" t="s">
        <v>226</v>
      </c>
      <c r="C14394" t="s">
        <v>227</v>
      </c>
      <c r="D14394" t="str">
        <f>"1403"</f>
        <v>1403</v>
      </c>
      <c r="E14394" t="s">
        <v>224</v>
      </c>
      <c r="F14394" t="s">
        <v>5</v>
      </c>
      <c r="G14394" t="s">
        <v>47098</v>
      </c>
      <c r="H14394" t="s">
        <v>47126</v>
      </c>
      <c r="I14394" t="s">
        <v>47120</v>
      </c>
      <c r="J14394" t="s">
        <v>47121</v>
      </c>
      <c r="K14394" t="s">
        <v>47113</v>
      </c>
      <c r="L14394">
        <v>52.42</v>
      </c>
      <c r="M14394">
        <v>136</v>
      </c>
      <c r="N14394">
        <v>0</v>
      </c>
      <c r="O14394">
        <v>136</v>
      </c>
      <c r="P14394">
        <v>0</v>
      </c>
    </row>
    <row r="14395" spans="1:16" x14ac:dyDescent="0.25">
      <c r="A14395" t="s">
        <v>15039</v>
      </c>
      <c r="B14395" t="s">
        <v>226</v>
      </c>
      <c r="C14395" t="s">
        <v>227</v>
      </c>
      <c r="D14395" t="str">
        <f>"7100"</f>
        <v>7100</v>
      </c>
      <c r="E14395" t="s">
        <v>225</v>
      </c>
      <c r="F14395" t="s">
        <v>5</v>
      </c>
      <c r="G14395" t="s">
        <v>47098</v>
      </c>
      <c r="H14395" t="s">
        <v>47126</v>
      </c>
      <c r="I14395" t="s">
        <v>47120</v>
      </c>
      <c r="J14395" t="s">
        <v>47121</v>
      </c>
      <c r="K14395" t="s">
        <v>47113</v>
      </c>
      <c r="L14395">
        <v>52.42</v>
      </c>
      <c r="M14395">
        <v>136</v>
      </c>
      <c r="N14395">
        <v>0</v>
      </c>
      <c r="O14395">
        <v>136</v>
      </c>
      <c r="P14395">
        <v>0</v>
      </c>
    </row>
    <row r="14396" spans="1:16" x14ac:dyDescent="0.25">
      <c r="A14396" t="s">
        <v>15040</v>
      </c>
      <c r="B14396" t="s">
        <v>228</v>
      </c>
      <c r="C14396" t="s">
        <v>229</v>
      </c>
      <c r="D14396" t="str">
        <f>"1004"</f>
        <v>1004</v>
      </c>
      <c r="E14396" t="s">
        <v>200</v>
      </c>
      <c r="F14396" t="s">
        <v>5</v>
      </c>
      <c r="G14396" t="s">
        <v>47102</v>
      </c>
      <c r="H14396" t="s">
        <v>47126</v>
      </c>
      <c r="I14396" t="s">
        <v>47120</v>
      </c>
      <c r="J14396" t="s">
        <v>47121</v>
      </c>
      <c r="K14396" t="s">
        <v>47113</v>
      </c>
      <c r="L14396">
        <v>91.97</v>
      </c>
      <c r="M14396">
        <v>231</v>
      </c>
      <c r="N14396">
        <v>0</v>
      </c>
      <c r="O14396">
        <v>231</v>
      </c>
      <c r="P14396">
        <v>0</v>
      </c>
    </row>
    <row r="14397" spans="1:16" x14ac:dyDescent="0.25">
      <c r="A14397" t="s">
        <v>15041</v>
      </c>
      <c r="B14397" t="s">
        <v>228</v>
      </c>
      <c r="C14397" t="s">
        <v>229</v>
      </c>
      <c r="D14397" t="str">
        <f>"3106"</f>
        <v>3106</v>
      </c>
      <c r="E14397" t="s">
        <v>230</v>
      </c>
      <c r="F14397" t="s">
        <v>5</v>
      </c>
      <c r="G14397" t="s">
        <v>47102</v>
      </c>
      <c r="H14397" t="s">
        <v>47126</v>
      </c>
      <c r="I14397" t="s">
        <v>47120</v>
      </c>
      <c r="J14397" t="s">
        <v>47121</v>
      </c>
      <c r="K14397" t="s">
        <v>47113</v>
      </c>
      <c r="L14397">
        <v>91.78</v>
      </c>
      <c r="M14397">
        <v>231</v>
      </c>
      <c r="N14397">
        <v>0</v>
      </c>
      <c r="O14397">
        <v>231</v>
      </c>
      <c r="P14397">
        <v>0</v>
      </c>
    </row>
    <row r="14398" spans="1:16" x14ac:dyDescent="0.25">
      <c r="A14398" t="s">
        <v>15042</v>
      </c>
      <c r="B14398" t="s">
        <v>228</v>
      </c>
      <c r="C14398" t="s">
        <v>229</v>
      </c>
      <c r="D14398" t="str">
        <f>"8220"</f>
        <v>8220</v>
      </c>
      <c r="E14398" t="s">
        <v>217</v>
      </c>
      <c r="F14398" t="s">
        <v>5</v>
      </c>
      <c r="G14398" t="s">
        <v>47102</v>
      </c>
      <c r="H14398" t="s">
        <v>47126</v>
      </c>
      <c r="I14398" t="s">
        <v>47120</v>
      </c>
      <c r="J14398" t="s">
        <v>47121</v>
      </c>
      <c r="K14398" t="s">
        <v>47113</v>
      </c>
      <c r="L14398">
        <v>91.97</v>
      </c>
      <c r="M14398">
        <v>231</v>
      </c>
      <c r="N14398">
        <v>0</v>
      </c>
      <c r="O14398">
        <v>231</v>
      </c>
      <c r="P14398">
        <v>0</v>
      </c>
    </row>
    <row r="14399" spans="1:16" x14ac:dyDescent="0.25">
      <c r="A14399" t="s">
        <v>37141</v>
      </c>
      <c r="B14399" t="s">
        <v>231</v>
      </c>
      <c r="C14399" t="s">
        <v>229</v>
      </c>
      <c r="D14399" t="str">
        <f>"1004"</f>
        <v>1004</v>
      </c>
      <c r="E14399" t="s">
        <v>200</v>
      </c>
      <c r="F14399" t="s">
        <v>5</v>
      </c>
      <c r="G14399" t="s">
        <v>47098</v>
      </c>
      <c r="H14399" t="s">
        <v>47126</v>
      </c>
      <c r="I14399" t="s">
        <v>47120</v>
      </c>
      <c r="J14399" t="s">
        <v>47121</v>
      </c>
      <c r="K14399" t="s">
        <v>47113</v>
      </c>
      <c r="L14399">
        <v>193.67</v>
      </c>
      <c r="M14399">
        <v>488</v>
      </c>
      <c r="N14399">
        <v>0</v>
      </c>
      <c r="O14399">
        <v>488</v>
      </c>
      <c r="P14399">
        <v>0</v>
      </c>
    </row>
    <row r="14400" spans="1:16" x14ac:dyDescent="0.25">
      <c r="A14400" t="s">
        <v>15043</v>
      </c>
      <c r="B14400" t="s">
        <v>231</v>
      </c>
      <c r="C14400" t="s">
        <v>229</v>
      </c>
      <c r="D14400" t="str">
        <f>"3106"</f>
        <v>3106</v>
      </c>
      <c r="E14400" t="s">
        <v>230</v>
      </c>
      <c r="F14400" t="s">
        <v>5</v>
      </c>
      <c r="G14400" t="s">
        <v>47098</v>
      </c>
      <c r="H14400" t="s">
        <v>47126</v>
      </c>
      <c r="I14400" t="s">
        <v>47120</v>
      </c>
      <c r="J14400" t="s">
        <v>47121</v>
      </c>
      <c r="K14400" t="s">
        <v>47113</v>
      </c>
      <c r="L14400">
        <v>193.08</v>
      </c>
      <c r="M14400">
        <v>488</v>
      </c>
      <c r="N14400">
        <v>0</v>
      </c>
      <c r="O14400">
        <v>488</v>
      </c>
      <c r="P14400">
        <v>0</v>
      </c>
    </row>
    <row r="14401" spans="1:16" x14ac:dyDescent="0.25">
      <c r="A14401" t="s">
        <v>37142</v>
      </c>
      <c r="B14401" t="s">
        <v>9882</v>
      </c>
      <c r="C14401" t="s">
        <v>9883</v>
      </c>
      <c r="D14401" t="str">
        <f>"1004"</f>
        <v>1004</v>
      </c>
      <c r="E14401" t="s">
        <v>200</v>
      </c>
      <c r="F14401" t="s">
        <v>5</v>
      </c>
      <c r="G14401" t="s">
        <v>47098</v>
      </c>
      <c r="H14401" t="s">
        <v>47126</v>
      </c>
      <c r="I14401" t="s">
        <v>47178</v>
      </c>
      <c r="J14401" t="s">
        <v>47179</v>
      </c>
      <c r="K14401" t="s">
        <v>47113</v>
      </c>
      <c r="L14401">
        <v>70.86</v>
      </c>
      <c r="M14401">
        <v>179</v>
      </c>
      <c r="N14401">
        <v>0</v>
      </c>
      <c r="O14401">
        <v>179</v>
      </c>
      <c r="P14401">
        <v>0</v>
      </c>
    </row>
    <row r="14402" spans="1:16" x14ac:dyDescent="0.25">
      <c r="A14402" t="s">
        <v>37143</v>
      </c>
      <c r="B14402" t="s">
        <v>9882</v>
      </c>
      <c r="C14402" t="s">
        <v>9883</v>
      </c>
      <c r="D14402" t="str">
        <f>"3071"</f>
        <v>3071</v>
      </c>
      <c r="E14402" t="s">
        <v>4767</v>
      </c>
      <c r="F14402" t="s">
        <v>5</v>
      </c>
      <c r="G14402" t="s">
        <v>47098</v>
      </c>
      <c r="H14402" t="s">
        <v>47126</v>
      </c>
      <c r="I14402" t="s">
        <v>47178</v>
      </c>
      <c r="J14402" t="s">
        <v>47179</v>
      </c>
      <c r="K14402" t="s">
        <v>47113</v>
      </c>
      <c r="L14402">
        <v>71.739999999999995</v>
      </c>
      <c r="M14402">
        <v>179</v>
      </c>
      <c r="N14402">
        <v>0</v>
      </c>
      <c r="O14402">
        <v>179</v>
      </c>
      <c r="P14402">
        <v>0</v>
      </c>
    </row>
    <row r="14403" spans="1:16" x14ac:dyDescent="0.25">
      <c r="A14403" t="s">
        <v>37144</v>
      </c>
      <c r="B14403" t="s">
        <v>9882</v>
      </c>
      <c r="C14403" t="s">
        <v>9883</v>
      </c>
      <c r="D14403" t="str">
        <f>"8220"</f>
        <v>8220</v>
      </c>
      <c r="E14403" t="s">
        <v>217</v>
      </c>
      <c r="F14403" t="s">
        <v>5</v>
      </c>
      <c r="G14403" t="s">
        <v>47098</v>
      </c>
      <c r="H14403" t="s">
        <v>47126</v>
      </c>
      <c r="I14403" t="s">
        <v>47178</v>
      </c>
      <c r="J14403" t="s">
        <v>47179</v>
      </c>
      <c r="K14403" t="s">
        <v>47113</v>
      </c>
      <c r="L14403">
        <v>70.86</v>
      </c>
      <c r="M14403">
        <v>179</v>
      </c>
      <c r="N14403">
        <v>0</v>
      </c>
      <c r="O14403">
        <v>179</v>
      </c>
      <c r="P14403">
        <v>0</v>
      </c>
    </row>
    <row r="14404" spans="1:16" x14ac:dyDescent="0.25">
      <c r="A14404" t="s">
        <v>37145</v>
      </c>
      <c r="B14404" t="s">
        <v>9884</v>
      </c>
      <c r="C14404" t="s">
        <v>216</v>
      </c>
      <c r="D14404" t="str">
        <f>"1004"</f>
        <v>1004</v>
      </c>
      <c r="E14404" t="s">
        <v>200</v>
      </c>
      <c r="F14404" t="s">
        <v>5</v>
      </c>
      <c r="G14404" t="s">
        <v>16224</v>
      </c>
      <c r="H14404" t="s">
        <v>47126</v>
      </c>
      <c r="I14404" t="s">
        <v>47178</v>
      </c>
      <c r="J14404" t="s">
        <v>47179</v>
      </c>
      <c r="K14404" t="s">
        <v>47113</v>
      </c>
      <c r="L14404">
        <v>78.42</v>
      </c>
      <c r="M14404">
        <v>198</v>
      </c>
      <c r="N14404">
        <v>0</v>
      </c>
      <c r="O14404">
        <v>198</v>
      </c>
      <c r="P14404">
        <v>0</v>
      </c>
    </row>
    <row r="14405" spans="1:16" x14ac:dyDescent="0.25">
      <c r="A14405" t="s">
        <v>37146</v>
      </c>
      <c r="B14405" t="s">
        <v>9884</v>
      </c>
      <c r="C14405" t="s">
        <v>216</v>
      </c>
      <c r="D14405" t="str">
        <f>"4542"</f>
        <v>4542</v>
      </c>
      <c r="E14405" t="s">
        <v>220</v>
      </c>
      <c r="F14405" t="s">
        <v>5</v>
      </c>
      <c r="G14405" t="s">
        <v>16224</v>
      </c>
      <c r="H14405" t="s">
        <v>47126</v>
      </c>
      <c r="I14405" t="s">
        <v>47178</v>
      </c>
      <c r="J14405" t="s">
        <v>47179</v>
      </c>
      <c r="K14405" t="s">
        <v>47113</v>
      </c>
      <c r="L14405">
        <v>76.34</v>
      </c>
      <c r="M14405">
        <v>198</v>
      </c>
      <c r="N14405">
        <v>0</v>
      </c>
      <c r="O14405">
        <v>198</v>
      </c>
      <c r="P14405">
        <v>0</v>
      </c>
    </row>
    <row r="14406" spans="1:16" x14ac:dyDescent="0.25">
      <c r="A14406" t="s">
        <v>15044</v>
      </c>
      <c r="B14406" t="s">
        <v>9884</v>
      </c>
      <c r="C14406" t="s">
        <v>216</v>
      </c>
      <c r="D14406" t="str">
        <f>"4819"</f>
        <v>4819</v>
      </c>
      <c r="E14406" t="s">
        <v>221</v>
      </c>
      <c r="F14406" t="s">
        <v>5</v>
      </c>
      <c r="G14406" t="s">
        <v>16224</v>
      </c>
      <c r="H14406" t="s">
        <v>47126</v>
      </c>
      <c r="I14406" t="s">
        <v>47178</v>
      </c>
      <c r="J14406" t="s">
        <v>47179</v>
      </c>
      <c r="K14406" t="s">
        <v>47113</v>
      </c>
      <c r="L14406">
        <v>76.34</v>
      </c>
      <c r="M14406">
        <v>198</v>
      </c>
      <c r="N14406">
        <v>0</v>
      </c>
      <c r="O14406">
        <v>198</v>
      </c>
      <c r="P14406">
        <v>0</v>
      </c>
    </row>
    <row r="14407" spans="1:16" x14ac:dyDescent="0.25">
      <c r="A14407" t="s">
        <v>37147</v>
      </c>
      <c r="B14407" t="s">
        <v>9885</v>
      </c>
      <c r="C14407" t="s">
        <v>219</v>
      </c>
      <c r="D14407" t="str">
        <f>"4542"</f>
        <v>4542</v>
      </c>
      <c r="E14407" t="s">
        <v>220</v>
      </c>
      <c r="F14407" t="s">
        <v>5</v>
      </c>
      <c r="G14407" t="s">
        <v>47122</v>
      </c>
      <c r="H14407" t="s">
        <v>47126</v>
      </c>
      <c r="I14407" t="s">
        <v>47178</v>
      </c>
      <c r="J14407" t="s">
        <v>47179</v>
      </c>
      <c r="K14407" t="s">
        <v>47113</v>
      </c>
      <c r="L14407">
        <v>54.72</v>
      </c>
      <c r="M14407">
        <v>140</v>
      </c>
      <c r="N14407">
        <v>0</v>
      </c>
      <c r="O14407">
        <v>140</v>
      </c>
      <c r="P14407">
        <v>0</v>
      </c>
    </row>
    <row r="14408" spans="1:16" x14ac:dyDescent="0.25">
      <c r="A14408" t="s">
        <v>37148</v>
      </c>
      <c r="B14408" t="s">
        <v>9885</v>
      </c>
      <c r="C14408" t="s">
        <v>219</v>
      </c>
      <c r="D14408" t="str">
        <f>"4819"</f>
        <v>4819</v>
      </c>
      <c r="E14408" t="s">
        <v>221</v>
      </c>
      <c r="F14408" t="s">
        <v>5</v>
      </c>
      <c r="G14408" t="s">
        <v>47122</v>
      </c>
      <c r="H14408" t="s">
        <v>47126</v>
      </c>
      <c r="I14408" t="s">
        <v>47178</v>
      </c>
      <c r="J14408" t="s">
        <v>47179</v>
      </c>
      <c r="K14408" t="s">
        <v>47113</v>
      </c>
      <c r="L14408">
        <v>55.74</v>
      </c>
      <c r="M14408">
        <v>140</v>
      </c>
      <c r="N14408">
        <v>0</v>
      </c>
      <c r="O14408">
        <v>140</v>
      </c>
      <c r="P14408">
        <v>0</v>
      </c>
    </row>
    <row r="14409" spans="1:16" x14ac:dyDescent="0.25">
      <c r="A14409" t="s">
        <v>37149</v>
      </c>
      <c r="B14409" t="s">
        <v>9885</v>
      </c>
      <c r="C14409" t="s">
        <v>219</v>
      </c>
      <c r="D14409" t="str">
        <f>"8220"</f>
        <v>8220</v>
      </c>
      <c r="E14409" t="s">
        <v>217</v>
      </c>
      <c r="F14409" t="s">
        <v>5</v>
      </c>
      <c r="G14409" t="s">
        <v>47122</v>
      </c>
      <c r="H14409" t="s">
        <v>47126</v>
      </c>
      <c r="I14409" t="s">
        <v>47178</v>
      </c>
      <c r="J14409" t="s">
        <v>47179</v>
      </c>
      <c r="K14409" t="s">
        <v>47113</v>
      </c>
      <c r="L14409">
        <v>54.72</v>
      </c>
      <c r="M14409">
        <v>140</v>
      </c>
      <c r="N14409">
        <v>0</v>
      </c>
      <c r="O14409">
        <v>140</v>
      </c>
      <c r="P14409">
        <v>0</v>
      </c>
    </row>
    <row r="14410" spans="1:16" x14ac:dyDescent="0.25">
      <c r="A14410" t="s">
        <v>37150</v>
      </c>
      <c r="B14410" t="s">
        <v>9886</v>
      </c>
      <c r="C14410" t="s">
        <v>9887</v>
      </c>
      <c r="D14410" t="str">
        <f>"1004"</f>
        <v>1004</v>
      </c>
      <c r="E14410" t="s">
        <v>200</v>
      </c>
      <c r="F14410" t="s">
        <v>5</v>
      </c>
      <c r="G14410" t="s">
        <v>16224</v>
      </c>
      <c r="H14410" t="s">
        <v>47126</v>
      </c>
      <c r="I14410" t="s">
        <v>47178</v>
      </c>
      <c r="J14410" t="s">
        <v>47179</v>
      </c>
      <c r="K14410" t="s">
        <v>47113</v>
      </c>
      <c r="L14410">
        <v>82.31</v>
      </c>
      <c r="M14410">
        <v>212</v>
      </c>
      <c r="N14410">
        <v>0</v>
      </c>
      <c r="O14410">
        <v>212</v>
      </c>
      <c r="P14410">
        <v>0</v>
      </c>
    </row>
    <row r="14411" spans="1:16" x14ac:dyDescent="0.25">
      <c r="A14411" t="s">
        <v>37151</v>
      </c>
      <c r="B14411" t="s">
        <v>9886</v>
      </c>
      <c r="C14411" t="s">
        <v>9887</v>
      </c>
      <c r="D14411" t="str">
        <f>"4819"</f>
        <v>4819</v>
      </c>
      <c r="E14411" t="s">
        <v>221</v>
      </c>
      <c r="F14411" t="s">
        <v>5</v>
      </c>
      <c r="G14411" t="s">
        <v>16224</v>
      </c>
      <c r="H14411" t="s">
        <v>47126</v>
      </c>
      <c r="I14411" t="s">
        <v>47178</v>
      </c>
      <c r="J14411" t="s">
        <v>47179</v>
      </c>
      <c r="K14411" t="s">
        <v>47113</v>
      </c>
      <c r="L14411">
        <v>84.08</v>
      </c>
      <c r="M14411">
        <v>212</v>
      </c>
      <c r="N14411">
        <v>0</v>
      </c>
      <c r="O14411">
        <v>212</v>
      </c>
      <c r="P14411">
        <v>0</v>
      </c>
    </row>
    <row r="14412" spans="1:16" x14ac:dyDescent="0.25">
      <c r="A14412" t="s">
        <v>37152</v>
      </c>
      <c r="B14412" t="s">
        <v>9886</v>
      </c>
      <c r="C14412" t="s">
        <v>9887</v>
      </c>
      <c r="D14412" t="str">
        <f>"8220"</f>
        <v>8220</v>
      </c>
      <c r="E14412" t="s">
        <v>217</v>
      </c>
      <c r="F14412" t="s">
        <v>5</v>
      </c>
      <c r="G14412" t="s">
        <v>16224</v>
      </c>
      <c r="H14412" t="s">
        <v>47126</v>
      </c>
      <c r="I14412" t="s">
        <v>47178</v>
      </c>
      <c r="J14412" t="s">
        <v>47179</v>
      </c>
      <c r="K14412" t="s">
        <v>47113</v>
      </c>
      <c r="L14412">
        <v>82.31</v>
      </c>
      <c r="M14412">
        <v>212</v>
      </c>
      <c r="N14412">
        <v>0</v>
      </c>
      <c r="O14412">
        <v>212</v>
      </c>
      <c r="P14412">
        <v>0</v>
      </c>
    </row>
    <row r="14413" spans="1:16" x14ac:dyDescent="0.25">
      <c r="A14413" t="s">
        <v>37153</v>
      </c>
      <c r="B14413" t="s">
        <v>9888</v>
      </c>
      <c r="C14413" t="s">
        <v>9889</v>
      </c>
      <c r="D14413" t="str">
        <f>"1004"</f>
        <v>1004</v>
      </c>
      <c r="E14413" t="s">
        <v>200</v>
      </c>
      <c r="F14413" t="s">
        <v>5</v>
      </c>
      <c r="G14413" t="s">
        <v>16224</v>
      </c>
      <c r="H14413" t="s">
        <v>47126</v>
      </c>
      <c r="I14413" t="s">
        <v>47120</v>
      </c>
      <c r="J14413" t="s">
        <v>47121</v>
      </c>
      <c r="K14413" t="s">
        <v>47113</v>
      </c>
      <c r="L14413">
        <v>59.79</v>
      </c>
      <c r="M14413">
        <v>155</v>
      </c>
      <c r="N14413">
        <v>0</v>
      </c>
      <c r="O14413">
        <v>155</v>
      </c>
      <c r="P14413">
        <v>0</v>
      </c>
    </row>
    <row r="14414" spans="1:16" x14ac:dyDescent="0.25">
      <c r="A14414" t="s">
        <v>37154</v>
      </c>
      <c r="B14414" t="s">
        <v>9888</v>
      </c>
      <c r="C14414" t="s">
        <v>9889</v>
      </c>
      <c r="D14414" t="str">
        <f>"3106"</f>
        <v>3106</v>
      </c>
      <c r="E14414" t="s">
        <v>230</v>
      </c>
      <c r="F14414" t="s">
        <v>5</v>
      </c>
      <c r="G14414" t="s">
        <v>16224</v>
      </c>
      <c r="H14414" t="s">
        <v>47126</v>
      </c>
      <c r="I14414" t="s">
        <v>47120</v>
      </c>
      <c r="J14414" t="s">
        <v>47121</v>
      </c>
      <c r="K14414" t="s">
        <v>47113</v>
      </c>
      <c r="L14414">
        <v>59.79</v>
      </c>
      <c r="M14414">
        <v>155</v>
      </c>
      <c r="N14414">
        <v>0</v>
      </c>
      <c r="O14414">
        <v>155</v>
      </c>
      <c r="P14414">
        <v>0</v>
      </c>
    </row>
    <row r="14415" spans="1:16" x14ac:dyDescent="0.25">
      <c r="A14415" t="s">
        <v>15045</v>
      </c>
      <c r="B14415" t="s">
        <v>9888</v>
      </c>
      <c r="C14415" t="s">
        <v>9889</v>
      </c>
      <c r="D14415" t="str">
        <f>"8220"</f>
        <v>8220</v>
      </c>
      <c r="E14415" t="s">
        <v>217</v>
      </c>
      <c r="F14415" t="s">
        <v>5</v>
      </c>
      <c r="G14415" t="s">
        <v>16224</v>
      </c>
      <c r="H14415" t="s">
        <v>47126</v>
      </c>
      <c r="I14415" t="s">
        <v>47120</v>
      </c>
      <c r="J14415" t="s">
        <v>47121</v>
      </c>
      <c r="K14415" t="s">
        <v>47113</v>
      </c>
      <c r="L14415">
        <v>61.4</v>
      </c>
      <c r="M14415">
        <v>155</v>
      </c>
      <c r="N14415">
        <v>0</v>
      </c>
      <c r="O14415">
        <v>155</v>
      </c>
      <c r="P14415">
        <v>0</v>
      </c>
    </row>
    <row r="14416" spans="1:16" x14ac:dyDescent="0.25">
      <c r="A14416" t="s">
        <v>37155</v>
      </c>
      <c r="B14416" t="s">
        <v>9890</v>
      </c>
      <c r="C14416" t="s">
        <v>9891</v>
      </c>
      <c r="D14416" t="str">
        <f>"1004"</f>
        <v>1004</v>
      </c>
      <c r="E14416" t="s">
        <v>200</v>
      </c>
      <c r="F14416" t="s">
        <v>5</v>
      </c>
      <c r="G14416" t="s">
        <v>16224</v>
      </c>
      <c r="H14416" t="s">
        <v>47126</v>
      </c>
      <c r="I14416" t="s">
        <v>47178</v>
      </c>
      <c r="J14416" t="s">
        <v>47179</v>
      </c>
      <c r="K14416" t="s">
        <v>47113</v>
      </c>
      <c r="L14416">
        <v>60.46</v>
      </c>
      <c r="M14416">
        <v>152</v>
      </c>
      <c r="N14416">
        <v>0</v>
      </c>
      <c r="O14416">
        <v>152</v>
      </c>
      <c r="P14416">
        <v>0</v>
      </c>
    </row>
    <row r="14417" spans="1:16" x14ac:dyDescent="0.25">
      <c r="A14417" t="s">
        <v>37156</v>
      </c>
      <c r="B14417" t="s">
        <v>9890</v>
      </c>
      <c r="C14417" t="s">
        <v>9891</v>
      </c>
      <c r="D14417" t="str">
        <f>"3071"</f>
        <v>3071</v>
      </c>
      <c r="E14417" t="s">
        <v>4767</v>
      </c>
      <c r="F14417" t="s">
        <v>5</v>
      </c>
      <c r="G14417" t="s">
        <v>16224</v>
      </c>
      <c r="H14417" t="s">
        <v>47126</v>
      </c>
      <c r="I14417" t="s">
        <v>47178</v>
      </c>
      <c r="J14417" t="s">
        <v>47179</v>
      </c>
      <c r="K14417" t="s">
        <v>47113</v>
      </c>
      <c r="L14417">
        <v>60.46</v>
      </c>
      <c r="M14417">
        <v>152</v>
      </c>
      <c r="N14417">
        <v>0</v>
      </c>
      <c r="O14417">
        <v>152</v>
      </c>
      <c r="P14417">
        <v>0</v>
      </c>
    </row>
    <row r="14418" spans="1:16" x14ac:dyDescent="0.25">
      <c r="A14418" t="s">
        <v>37157</v>
      </c>
      <c r="B14418" t="s">
        <v>9890</v>
      </c>
      <c r="C14418" t="s">
        <v>9891</v>
      </c>
      <c r="D14418" t="str">
        <f>"3106"</f>
        <v>3106</v>
      </c>
      <c r="E14418" t="s">
        <v>230</v>
      </c>
      <c r="F14418" t="s">
        <v>5</v>
      </c>
      <c r="G14418" t="s">
        <v>16224</v>
      </c>
      <c r="H14418" t="s">
        <v>47126</v>
      </c>
      <c r="I14418" t="s">
        <v>47178</v>
      </c>
      <c r="J14418" t="s">
        <v>47179</v>
      </c>
      <c r="K14418" t="s">
        <v>47113</v>
      </c>
      <c r="L14418">
        <v>60.46</v>
      </c>
      <c r="M14418">
        <v>152</v>
      </c>
      <c r="N14418">
        <v>0</v>
      </c>
      <c r="O14418">
        <v>152</v>
      </c>
      <c r="P14418">
        <v>0</v>
      </c>
    </row>
    <row r="14419" spans="1:16" x14ac:dyDescent="0.25">
      <c r="A14419" t="s">
        <v>37158</v>
      </c>
      <c r="B14419" t="s">
        <v>9890</v>
      </c>
      <c r="C14419" t="s">
        <v>9891</v>
      </c>
      <c r="D14419" t="str">
        <f>"8220"</f>
        <v>8220</v>
      </c>
      <c r="E14419" t="s">
        <v>217</v>
      </c>
      <c r="F14419" t="s">
        <v>5</v>
      </c>
      <c r="G14419" t="s">
        <v>16224</v>
      </c>
      <c r="H14419" t="s">
        <v>47126</v>
      </c>
      <c r="I14419" t="s">
        <v>47178</v>
      </c>
      <c r="J14419" t="s">
        <v>47179</v>
      </c>
      <c r="K14419" t="s">
        <v>47113</v>
      </c>
      <c r="L14419">
        <v>60.46</v>
      </c>
      <c r="M14419">
        <v>152</v>
      </c>
      <c r="N14419">
        <v>0</v>
      </c>
      <c r="O14419">
        <v>152</v>
      </c>
      <c r="P14419">
        <v>0</v>
      </c>
    </row>
    <row r="14420" spans="1:16" x14ac:dyDescent="0.25">
      <c r="A14420" t="s">
        <v>37159</v>
      </c>
      <c r="B14420" t="s">
        <v>9892</v>
      </c>
      <c r="C14420" t="s">
        <v>9893</v>
      </c>
      <c r="D14420" t="str">
        <f>"1001"</f>
        <v>1001</v>
      </c>
      <c r="E14420" t="s">
        <v>42</v>
      </c>
      <c r="F14420" t="s">
        <v>5</v>
      </c>
      <c r="G14420" t="s">
        <v>47098</v>
      </c>
      <c r="H14420" t="s">
        <v>47126</v>
      </c>
      <c r="I14420" t="s">
        <v>47139</v>
      </c>
      <c r="J14420" t="s">
        <v>47140</v>
      </c>
      <c r="K14420" t="s">
        <v>47113</v>
      </c>
      <c r="L14420">
        <v>136.12</v>
      </c>
      <c r="M14420">
        <v>310</v>
      </c>
      <c r="N14420">
        <v>0</v>
      </c>
      <c r="O14420">
        <v>310</v>
      </c>
      <c r="P14420">
        <v>0</v>
      </c>
    </row>
    <row r="14421" spans="1:16" x14ac:dyDescent="0.25">
      <c r="A14421" t="s">
        <v>37160</v>
      </c>
      <c r="B14421" t="s">
        <v>9892</v>
      </c>
      <c r="C14421" t="s">
        <v>9893</v>
      </c>
      <c r="D14421" t="str">
        <f>"6000"</f>
        <v>6000</v>
      </c>
      <c r="E14421" t="s">
        <v>238</v>
      </c>
      <c r="F14421" t="s">
        <v>5</v>
      </c>
      <c r="G14421" t="s">
        <v>47098</v>
      </c>
      <c r="H14421" t="s">
        <v>47126</v>
      </c>
      <c r="I14421" t="s">
        <v>47139</v>
      </c>
      <c r="J14421" t="s">
        <v>47140</v>
      </c>
      <c r="K14421" t="s">
        <v>47113</v>
      </c>
      <c r="L14421">
        <v>136.12</v>
      </c>
      <c r="M14421">
        <v>310</v>
      </c>
      <c r="N14421">
        <v>0</v>
      </c>
      <c r="O14421">
        <v>310</v>
      </c>
      <c r="P14421">
        <v>0</v>
      </c>
    </row>
    <row r="14422" spans="1:16" x14ac:dyDescent="0.25">
      <c r="A14422" t="s">
        <v>37161</v>
      </c>
      <c r="B14422" t="s">
        <v>9894</v>
      </c>
      <c r="C14422" t="s">
        <v>9895</v>
      </c>
      <c r="D14422" t="str">
        <f>"5000"</f>
        <v>5000</v>
      </c>
      <c r="E14422" t="s">
        <v>9881</v>
      </c>
      <c r="F14422" t="s">
        <v>5</v>
      </c>
      <c r="G14422" t="s">
        <v>47098</v>
      </c>
      <c r="H14422" t="s">
        <v>47126</v>
      </c>
      <c r="I14422" t="s">
        <v>47139</v>
      </c>
      <c r="J14422" t="s">
        <v>47140</v>
      </c>
      <c r="K14422" t="s">
        <v>47113</v>
      </c>
      <c r="L14422">
        <v>104.85</v>
      </c>
      <c r="M14422">
        <v>245</v>
      </c>
      <c r="N14422">
        <v>0</v>
      </c>
      <c r="O14422">
        <v>245</v>
      </c>
      <c r="P14422">
        <v>0</v>
      </c>
    </row>
    <row r="14423" spans="1:16" x14ac:dyDescent="0.25">
      <c r="A14423" t="s">
        <v>37162</v>
      </c>
      <c r="B14423" t="s">
        <v>9894</v>
      </c>
      <c r="C14423" t="s">
        <v>9895</v>
      </c>
      <c r="D14423" t="str">
        <f>"6500"</f>
        <v>6500</v>
      </c>
      <c r="E14423" t="s">
        <v>151</v>
      </c>
      <c r="F14423" t="s">
        <v>5</v>
      </c>
      <c r="G14423" t="s">
        <v>47098</v>
      </c>
      <c r="H14423" t="s">
        <v>47126</v>
      </c>
      <c r="I14423" t="s">
        <v>47139</v>
      </c>
      <c r="J14423" t="s">
        <v>47140</v>
      </c>
      <c r="K14423" t="s">
        <v>47113</v>
      </c>
      <c r="L14423">
        <v>104.85</v>
      </c>
      <c r="M14423">
        <v>245</v>
      </c>
      <c r="N14423">
        <v>0</v>
      </c>
      <c r="O14423">
        <v>245</v>
      </c>
      <c r="P14423">
        <v>0</v>
      </c>
    </row>
    <row r="14424" spans="1:16" x14ac:dyDescent="0.25">
      <c r="A14424" t="s">
        <v>37163</v>
      </c>
      <c r="B14424" t="s">
        <v>9894</v>
      </c>
      <c r="C14424" t="s">
        <v>9895</v>
      </c>
      <c r="D14424" t="str">
        <f>"8000"</f>
        <v>8000</v>
      </c>
      <c r="E14424" t="s">
        <v>9786</v>
      </c>
      <c r="F14424" t="s">
        <v>5</v>
      </c>
      <c r="G14424" t="s">
        <v>47098</v>
      </c>
      <c r="H14424" t="s">
        <v>47126</v>
      </c>
      <c r="I14424" t="s">
        <v>47139</v>
      </c>
      <c r="J14424" t="s">
        <v>47140</v>
      </c>
      <c r="K14424" t="s">
        <v>47113</v>
      </c>
      <c r="L14424">
        <v>104.85</v>
      </c>
      <c r="M14424">
        <v>245</v>
      </c>
      <c r="N14424">
        <v>0</v>
      </c>
      <c r="O14424">
        <v>245</v>
      </c>
      <c r="P14424">
        <v>0</v>
      </c>
    </row>
    <row r="14425" spans="1:16" x14ac:dyDescent="0.25">
      <c r="A14425" t="s">
        <v>15046</v>
      </c>
      <c r="B14425" t="s">
        <v>232</v>
      </c>
      <c r="C14425" t="s">
        <v>233</v>
      </c>
      <c r="D14425" t="str">
        <f>"1001"</f>
        <v>1001</v>
      </c>
      <c r="E14425" t="s">
        <v>42</v>
      </c>
      <c r="F14425" t="s">
        <v>5</v>
      </c>
      <c r="G14425" t="s">
        <v>47098</v>
      </c>
      <c r="H14425" t="s">
        <v>47126</v>
      </c>
      <c r="I14425" t="s">
        <v>47139</v>
      </c>
      <c r="J14425" t="s">
        <v>47140</v>
      </c>
      <c r="K14425" t="s">
        <v>47113</v>
      </c>
      <c r="L14425">
        <v>93.81</v>
      </c>
      <c r="M14425">
        <v>218</v>
      </c>
      <c r="N14425">
        <v>0</v>
      </c>
      <c r="O14425">
        <v>218</v>
      </c>
      <c r="P14425">
        <v>0</v>
      </c>
    </row>
    <row r="14426" spans="1:16" x14ac:dyDescent="0.25">
      <c r="A14426" t="s">
        <v>37164</v>
      </c>
      <c r="B14426" t="s">
        <v>232</v>
      </c>
      <c r="C14426" t="s">
        <v>233</v>
      </c>
      <c r="D14426" t="str">
        <f>"1200"</f>
        <v>1200</v>
      </c>
      <c r="E14426" t="s">
        <v>241</v>
      </c>
      <c r="F14426" t="s">
        <v>5</v>
      </c>
      <c r="G14426" t="s">
        <v>47098</v>
      </c>
      <c r="H14426" t="s">
        <v>47126</v>
      </c>
      <c r="I14426" t="s">
        <v>47139</v>
      </c>
      <c r="J14426" t="s">
        <v>47140</v>
      </c>
      <c r="K14426" t="s">
        <v>47113</v>
      </c>
      <c r="L14426">
        <v>93.81</v>
      </c>
      <c r="M14426">
        <v>218</v>
      </c>
      <c r="N14426">
        <v>0</v>
      </c>
      <c r="O14426">
        <v>218</v>
      </c>
      <c r="P14426">
        <v>0</v>
      </c>
    </row>
    <row r="14427" spans="1:16" x14ac:dyDescent="0.25">
      <c r="A14427" t="s">
        <v>37165</v>
      </c>
      <c r="B14427" t="s">
        <v>232</v>
      </c>
      <c r="C14427" t="s">
        <v>233</v>
      </c>
      <c r="D14427" t="str">
        <f>"1700"</f>
        <v>1700</v>
      </c>
      <c r="E14427" t="s">
        <v>60</v>
      </c>
      <c r="F14427" t="s">
        <v>5</v>
      </c>
      <c r="G14427" t="s">
        <v>47098</v>
      </c>
      <c r="H14427" t="s">
        <v>47126</v>
      </c>
      <c r="I14427" t="s">
        <v>47139</v>
      </c>
      <c r="J14427" t="s">
        <v>47140</v>
      </c>
      <c r="K14427" t="s">
        <v>47113</v>
      </c>
      <c r="L14427">
        <v>93.81</v>
      </c>
      <c r="M14427">
        <v>218</v>
      </c>
      <c r="N14427">
        <v>0</v>
      </c>
      <c r="O14427">
        <v>218</v>
      </c>
      <c r="P14427">
        <v>0</v>
      </c>
    </row>
    <row r="14428" spans="1:16" x14ac:dyDescent="0.25">
      <c r="A14428" t="s">
        <v>37166</v>
      </c>
      <c r="B14428" t="s">
        <v>232</v>
      </c>
      <c r="C14428" t="s">
        <v>233</v>
      </c>
      <c r="D14428" t="str">
        <f>"6346"</f>
        <v>6346</v>
      </c>
      <c r="E14428" t="s">
        <v>9896</v>
      </c>
      <c r="F14428" t="s">
        <v>5</v>
      </c>
      <c r="G14428" t="s">
        <v>47098</v>
      </c>
      <c r="H14428" t="s">
        <v>47126</v>
      </c>
      <c r="I14428" t="s">
        <v>47139</v>
      </c>
      <c r="J14428" t="s">
        <v>47140</v>
      </c>
      <c r="K14428" t="s">
        <v>47113</v>
      </c>
      <c r="L14428">
        <v>93.81</v>
      </c>
      <c r="M14428">
        <v>218</v>
      </c>
      <c r="N14428">
        <v>0</v>
      </c>
      <c r="O14428">
        <v>218</v>
      </c>
      <c r="P14428">
        <v>0</v>
      </c>
    </row>
    <row r="14429" spans="1:16" x14ac:dyDescent="0.25">
      <c r="A14429" t="s">
        <v>15047</v>
      </c>
      <c r="B14429" t="s">
        <v>234</v>
      </c>
      <c r="C14429" t="s">
        <v>233</v>
      </c>
      <c r="D14429" t="str">
        <f>"3443"</f>
        <v>3443</v>
      </c>
      <c r="E14429" t="s">
        <v>235</v>
      </c>
      <c r="F14429" t="s">
        <v>5</v>
      </c>
      <c r="G14429" t="s">
        <v>47098</v>
      </c>
      <c r="H14429" t="s">
        <v>47126</v>
      </c>
      <c r="I14429" t="s">
        <v>47139</v>
      </c>
      <c r="J14429" t="s">
        <v>47140</v>
      </c>
      <c r="K14429" t="s">
        <v>47113</v>
      </c>
      <c r="L14429">
        <v>113.13</v>
      </c>
      <c r="M14429">
        <v>265</v>
      </c>
      <c r="N14429">
        <v>0</v>
      </c>
      <c r="O14429">
        <v>265</v>
      </c>
      <c r="P14429">
        <v>0</v>
      </c>
    </row>
    <row r="14430" spans="1:16" x14ac:dyDescent="0.25">
      <c r="A14430" t="s">
        <v>37167</v>
      </c>
      <c r="B14430" t="s">
        <v>9897</v>
      </c>
      <c r="C14430" t="s">
        <v>4364</v>
      </c>
      <c r="D14430" t="str">
        <f>"1001"</f>
        <v>1001</v>
      </c>
      <c r="E14430" t="s">
        <v>42</v>
      </c>
      <c r="F14430" t="s">
        <v>5</v>
      </c>
      <c r="G14430" t="s">
        <v>47098</v>
      </c>
      <c r="H14430" t="s">
        <v>47126</v>
      </c>
      <c r="I14430" t="s">
        <v>47139</v>
      </c>
      <c r="J14430" t="s">
        <v>47140</v>
      </c>
      <c r="K14430" t="s">
        <v>47113</v>
      </c>
      <c r="L14430">
        <v>222.57</v>
      </c>
      <c r="M14430">
        <v>513</v>
      </c>
      <c r="N14430">
        <v>0</v>
      </c>
      <c r="O14430">
        <v>513</v>
      </c>
      <c r="P14430">
        <v>0</v>
      </c>
    </row>
    <row r="14431" spans="1:16" x14ac:dyDescent="0.25">
      <c r="A14431" t="s">
        <v>37168</v>
      </c>
      <c r="B14431" t="s">
        <v>9897</v>
      </c>
      <c r="C14431" t="s">
        <v>4364</v>
      </c>
      <c r="D14431" t="str">
        <f>"1519"</f>
        <v>1519</v>
      </c>
      <c r="E14431" t="s">
        <v>9898</v>
      </c>
      <c r="F14431" t="s">
        <v>5</v>
      </c>
      <c r="G14431" t="s">
        <v>47098</v>
      </c>
      <c r="H14431" t="s">
        <v>47126</v>
      </c>
      <c r="I14431" t="s">
        <v>47139</v>
      </c>
      <c r="J14431" t="s">
        <v>47140</v>
      </c>
      <c r="K14431" t="s">
        <v>47113</v>
      </c>
      <c r="L14431">
        <v>222.57</v>
      </c>
      <c r="M14431">
        <v>513</v>
      </c>
      <c r="N14431">
        <v>0</v>
      </c>
      <c r="O14431">
        <v>513</v>
      </c>
      <c r="P14431">
        <v>0</v>
      </c>
    </row>
    <row r="14432" spans="1:16" x14ac:dyDescent="0.25">
      <c r="A14432" t="s">
        <v>37169</v>
      </c>
      <c r="B14432" t="s">
        <v>236</v>
      </c>
      <c r="C14432" t="s">
        <v>237</v>
      </c>
      <c r="D14432" t="str">
        <f>"1001"</f>
        <v>1001</v>
      </c>
      <c r="E14432" t="s">
        <v>42</v>
      </c>
      <c r="F14432" t="s">
        <v>5</v>
      </c>
      <c r="G14432" t="s">
        <v>47098</v>
      </c>
      <c r="H14432" t="s">
        <v>47126</v>
      </c>
      <c r="I14432" t="s">
        <v>47139</v>
      </c>
      <c r="J14432" t="s">
        <v>47140</v>
      </c>
      <c r="K14432" t="s">
        <v>47113</v>
      </c>
      <c r="L14432">
        <v>126.47</v>
      </c>
      <c r="M14432">
        <v>275</v>
      </c>
      <c r="N14432">
        <v>0</v>
      </c>
      <c r="O14432">
        <v>275</v>
      </c>
      <c r="P14432">
        <v>0</v>
      </c>
    </row>
    <row r="14433" spans="1:16" x14ac:dyDescent="0.25">
      <c r="A14433" t="s">
        <v>15048</v>
      </c>
      <c r="B14433" t="s">
        <v>236</v>
      </c>
      <c r="C14433" t="s">
        <v>237</v>
      </c>
      <c r="D14433" t="str">
        <f>"6000"</f>
        <v>6000</v>
      </c>
      <c r="E14433" t="s">
        <v>238</v>
      </c>
      <c r="F14433" t="s">
        <v>5</v>
      </c>
      <c r="G14433" t="s">
        <v>47098</v>
      </c>
      <c r="H14433" t="s">
        <v>47126</v>
      </c>
      <c r="I14433" t="s">
        <v>47139</v>
      </c>
      <c r="J14433" t="s">
        <v>47140</v>
      </c>
      <c r="K14433" t="s">
        <v>47113</v>
      </c>
      <c r="L14433">
        <v>126.47</v>
      </c>
      <c r="M14433">
        <v>275</v>
      </c>
      <c r="N14433">
        <v>0</v>
      </c>
      <c r="O14433">
        <v>275</v>
      </c>
      <c r="P14433">
        <v>0</v>
      </c>
    </row>
    <row r="14434" spans="1:16" x14ac:dyDescent="0.25">
      <c r="A14434" t="s">
        <v>37170</v>
      </c>
      <c r="B14434" t="s">
        <v>9899</v>
      </c>
      <c r="C14434" t="s">
        <v>240</v>
      </c>
      <c r="D14434" t="str">
        <f>"6347"</f>
        <v>6347</v>
      </c>
      <c r="E14434" t="s">
        <v>9900</v>
      </c>
      <c r="F14434" t="s">
        <v>5</v>
      </c>
      <c r="G14434" t="s">
        <v>47098</v>
      </c>
      <c r="H14434" t="s">
        <v>47126</v>
      </c>
      <c r="I14434" t="s">
        <v>47139</v>
      </c>
      <c r="J14434" t="s">
        <v>47140</v>
      </c>
      <c r="K14434" t="s">
        <v>47113</v>
      </c>
      <c r="L14434">
        <v>138.87</v>
      </c>
      <c r="M14434">
        <v>325</v>
      </c>
      <c r="N14434">
        <v>0</v>
      </c>
      <c r="O14434">
        <v>325</v>
      </c>
      <c r="P14434">
        <v>0</v>
      </c>
    </row>
    <row r="14435" spans="1:16" x14ac:dyDescent="0.25">
      <c r="A14435" t="s">
        <v>15049</v>
      </c>
      <c r="B14435" t="s">
        <v>239</v>
      </c>
      <c r="C14435" t="s">
        <v>240</v>
      </c>
      <c r="D14435" t="str">
        <f>"1001"</f>
        <v>1001</v>
      </c>
      <c r="E14435" t="s">
        <v>42</v>
      </c>
      <c r="F14435" t="s">
        <v>5</v>
      </c>
      <c r="G14435" t="s">
        <v>47098</v>
      </c>
      <c r="H14435" t="s">
        <v>47126</v>
      </c>
      <c r="I14435" t="s">
        <v>47139</v>
      </c>
      <c r="J14435" t="s">
        <v>47140</v>
      </c>
      <c r="K14435" t="s">
        <v>47113</v>
      </c>
      <c r="L14435">
        <v>122.79</v>
      </c>
      <c r="M14435">
        <v>285</v>
      </c>
      <c r="N14435">
        <v>0</v>
      </c>
      <c r="O14435">
        <v>285</v>
      </c>
      <c r="P14435">
        <v>0</v>
      </c>
    </row>
    <row r="14436" spans="1:16" x14ac:dyDescent="0.25">
      <c r="A14436" t="s">
        <v>15050</v>
      </c>
      <c r="B14436" t="s">
        <v>239</v>
      </c>
      <c r="C14436" t="s">
        <v>240</v>
      </c>
      <c r="D14436" t="str">
        <f>"1200"</f>
        <v>1200</v>
      </c>
      <c r="E14436" t="s">
        <v>241</v>
      </c>
      <c r="F14436" t="s">
        <v>5</v>
      </c>
      <c r="G14436" t="s">
        <v>47098</v>
      </c>
      <c r="H14436" t="s">
        <v>47126</v>
      </c>
      <c r="I14436" t="s">
        <v>47139</v>
      </c>
      <c r="J14436" t="s">
        <v>47140</v>
      </c>
      <c r="K14436" t="s">
        <v>47113</v>
      </c>
      <c r="L14436">
        <v>122.79</v>
      </c>
      <c r="M14436">
        <v>285</v>
      </c>
      <c r="N14436">
        <v>0</v>
      </c>
      <c r="O14436">
        <v>285</v>
      </c>
      <c r="P14436">
        <v>0</v>
      </c>
    </row>
    <row r="14437" spans="1:16" x14ac:dyDescent="0.25">
      <c r="A14437" t="s">
        <v>37171</v>
      </c>
      <c r="B14437" t="s">
        <v>239</v>
      </c>
      <c r="C14437" t="s">
        <v>240</v>
      </c>
      <c r="D14437" t="str">
        <f>"6346"</f>
        <v>6346</v>
      </c>
      <c r="E14437" t="s">
        <v>9896</v>
      </c>
      <c r="F14437" t="s">
        <v>5</v>
      </c>
      <c r="G14437" t="s">
        <v>47098</v>
      </c>
      <c r="H14437" t="s">
        <v>47126</v>
      </c>
      <c r="I14437" t="s">
        <v>47139</v>
      </c>
      <c r="J14437" t="s">
        <v>47140</v>
      </c>
      <c r="K14437" t="s">
        <v>47113</v>
      </c>
      <c r="L14437">
        <v>122.79</v>
      </c>
      <c r="M14437">
        <v>285</v>
      </c>
      <c r="N14437">
        <v>0</v>
      </c>
      <c r="O14437">
        <v>285</v>
      </c>
      <c r="P14437">
        <v>0</v>
      </c>
    </row>
    <row r="14438" spans="1:16" x14ac:dyDescent="0.25">
      <c r="A14438" t="s">
        <v>37172</v>
      </c>
      <c r="B14438" t="s">
        <v>9901</v>
      </c>
      <c r="C14438" t="s">
        <v>9902</v>
      </c>
      <c r="D14438" t="str">
        <f>"1001"</f>
        <v>1001</v>
      </c>
      <c r="E14438" t="s">
        <v>42</v>
      </c>
      <c r="F14438" t="s">
        <v>5</v>
      </c>
      <c r="G14438" t="s">
        <v>16224</v>
      </c>
      <c r="H14438" t="s">
        <v>47126</v>
      </c>
      <c r="I14438" t="s">
        <v>47139</v>
      </c>
      <c r="J14438" t="s">
        <v>47140</v>
      </c>
      <c r="K14438" t="s">
        <v>47113</v>
      </c>
      <c r="L14438">
        <v>133.56</v>
      </c>
      <c r="M14438">
        <v>310</v>
      </c>
      <c r="N14438">
        <v>0</v>
      </c>
      <c r="O14438">
        <v>310</v>
      </c>
      <c r="P14438">
        <v>0</v>
      </c>
    </row>
    <row r="14439" spans="1:16" x14ac:dyDescent="0.25">
      <c r="A14439" t="s">
        <v>37173</v>
      </c>
      <c r="B14439" t="s">
        <v>9901</v>
      </c>
      <c r="C14439" t="s">
        <v>9902</v>
      </c>
      <c r="D14439" t="str">
        <f>"1200"</f>
        <v>1200</v>
      </c>
      <c r="E14439" t="s">
        <v>241</v>
      </c>
      <c r="F14439" t="s">
        <v>5</v>
      </c>
      <c r="G14439" t="s">
        <v>16224</v>
      </c>
      <c r="H14439" t="s">
        <v>47126</v>
      </c>
      <c r="I14439" t="s">
        <v>47139</v>
      </c>
      <c r="J14439" t="s">
        <v>47140</v>
      </c>
      <c r="K14439" t="s">
        <v>47113</v>
      </c>
      <c r="L14439">
        <v>133.65</v>
      </c>
      <c r="M14439">
        <v>310</v>
      </c>
      <c r="N14439">
        <v>0</v>
      </c>
      <c r="O14439">
        <v>310</v>
      </c>
      <c r="P14439">
        <v>0</v>
      </c>
    </row>
    <row r="14440" spans="1:16" x14ac:dyDescent="0.25">
      <c r="A14440" t="s">
        <v>37174</v>
      </c>
      <c r="B14440" t="s">
        <v>9901</v>
      </c>
      <c r="C14440" t="s">
        <v>9902</v>
      </c>
      <c r="D14440" t="str">
        <f>"2140"</f>
        <v>2140</v>
      </c>
      <c r="E14440" t="s">
        <v>9721</v>
      </c>
      <c r="F14440" t="s">
        <v>5</v>
      </c>
      <c r="G14440" t="s">
        <v>16224</v>
      </c>
      <c r="H14440" t="s">
        <v>47126</v>
      </c>
      <c r="I14440" t="s">
        <v>47139</v>
      </c>
      <c r="J14440" t="s">
        <v>47140</v>
      </c>
      <c r="K14440" t="s">
        <v>47113</v>
      </c>
      <c r="L14440">
        <v>134.02000000000001</v>
      </c>
      <c r="M14440">
        <v>310</v>
      </c>
      <c r="N14440">
        <v>0</v>
      </c>
      <c r="O14440">
        <v>310</v>
      </c>
      <c r="P14440">
        <v>0</v>
      </c>
    </row>
    <row r="14441" spans="1:16" x14ac:dyDescent="0.25">
      <c r="A14441" t="s">
        <v>37175</v>
      </c>
      <c r="B14441" t="s">
        <v>9903</v>
      </c>
      <c r="C14441" t="s">
        <v>9904</v>
      </c>
      <c r="D14441" t="str">
        <f>"1001"</f>
        <v>1001</v>
      </c>
      <c r="E14441" t="s">
        <v>42</v>
      </c>
      <c r="F14441" t="s">
        <v>5</v>
      </c>
      <c r="G14441" t="s">
        <v>16224</v>
      </c>
      <c r="H14441" t="s">
        <v>47126</v>
      </c>
      <c r="I14441" t="s">
        <v>47139</v>
      </c>
      <c r="J14441" t="s">
        <v>47140</v>
      </c>
      <c r="K14441" t="s">
        <v>47113</v>
      </c>
      <c r="L14441">
        <v>130.6</v>
      </c>
      <c r="M14441">
        <v>298</v>
      </c>
      <c r="N14441">
        <v>0</v>
      </c>
      <c r="O14441">
        <v>298</v>
      </c>
      <c r="P14441">
        <v>0</v>
      </c>
    </row>
    <row r="14442" spans="1:16" x14ac:dyDescent="0.25">
      <c r="A14442" t="s">
        <v>37176</v>
      </c>
      <c r="B14442" t="s">
        <v>9903</v>
      </c>
      <c r="C14442" t="s">
        <v>9904</v>
      </c>
      <c r="D14442" t="str">
        <f>"6346"</f>
        <v>6346</v>
      </c>
      <c r="E14442" t="s">
        <v>9896</v>
      </c>
      <c r="F14442" t="s">
        <v>5</v>
      </c>
      <c r="G14442" t="s">
        <v>16224</v>
      </c>
      <c r="H14442" t="s">
        <v>47126</v>
      </c>
      <c r="I14442" t="s">
        <v>47139</v>
      </c>
      <c r="J14442" t="s">
        <v>47140</v>
      </c>
      <c r="K14442" t="s">
        <v>47113</v>
      </c>
      <c r="L14442">
        <v>130.6</v>
      </c>
      <c r="M14442">
        <v>298</v>
      </c>
      <c r="N14442">
        <v>0</v>
      </c>
      <c r="O14442">
        <v>298</v>
      </c>
      <c r="P14442">
        <v>0</v>
      </c>
    </row>
    <row r="14443" spans="1:16" x14ac:dyDescent="0.25">
      <c r="A14443" t="s">
        <v>37177</v>
      </c>
      <c r="B14443" t="s">
        <v>9905</v>
      </c>
      <c r="C14443" t="s">
        <v>243</v>
      </c>
      <c r="D14443" t="str">
        <f>"1004"</f>
        <v>1004</v>
      </c>
      <c r="E14443" t="s">
        <v>200</v>
      </c>
      <c r="F14443" t="s">
        <v>5</v>
      </c>
      <c r="G14443" t="s">
        <v>47098</v>
      </c>
      <c r="H14443" t="s">
        <v>47126</v>
      </c>
      <c r="I14443" t="s">
        <v>47178</v>
      </c>
      <c r="J14443" t="s">
        <v>47179</v>
      </c>
      <c r="K14443" t="s">
        <v>47113</v>
      </c>
      <c r="L14443">
        <v>57.95</v>
      </c>
      <c r="M14443">
        <v>150</v>
      </c>
      <c r="N14443">
        <v>0</v>
      </c>
      <c r="O14443">
        <v>150</v>
      </c>
      <c r="P14443">
        <v>0</v>
      </c>
    </row>
    <row r="14444" spans="1:16" x14ac:dyDescent="0.25">
      <c r="A14444" t="s">
        <v>37178</v>
      </c>
      <c r="B14444" t="s">
        <v>9906</v>
      </c>
      <c r="C14444" t="s">
        <v>9907</v>
      </c>
      <c r="D14444" t="str">
        <f>"4000"</f>
        <v>4000</v>
      </c>
      <c r="E14444" t="s">
        <v>190</v>
      </c>
      <c r="F14444" t="s">
        <v>5</v>
      </c>
      <c r="G14444" t="s">
        <v>16224</v>
      </c>
      <c r="H14444" t="s">
        <v>47126</v>
      </c>
      <c r="I14444" t="s">
        <v>47139</v>
      </c>
      <c r="J14444" t="s">
        <v>47140</v>
      </c>
      <c r="K14444" t="s">
        <v>47113</v>
      </c>
      <c r="L14444">
        <v>163.71</v>
      </c>
      <c r="M14444">
        <v>375</v>
      </c>
      <c r="N14444">
        <v>0</v>
      </c>
      <c r="O14444">
        <v>375</v>
      </c>
      <c r="P14444">
        <v>0</v>
      </c>
    </row>
    <row r="14445" spans="1:16" x14ac:dyDescent="0.25">
      <c r="A14445" t="s">
        <v>37179</v>
      </c>
      <c r="B14445" t="s">
        <v>9906</v>
      </c>
      <c r="C14445" t="s">
        <v>9907</v>
      </c>
      <c r="D14445" t="str">
        <f>"6000"</f>
        <v>6000</v>
      </c>
      <c r="E14445" t="s">
        <v>238</v>
      </c>
      <c r="F14445" t="s">
        <v>5</v>
      </c>
      <c r="G14445" t="s">
        <v>16224</v>
      </c>
      <c r="H14445" t="s">
        <v>47126</v>
      </c>
      <c r="I14445" t="s">
        <v>47139</v>
      </c>
      <c r="J14445" t="s">
        <v>47140</v>
      </c>
      <c r="K14445" t="s">
        <v>47113</v>
      </c>
      <c r="L14445">
        <v>163.71</v>
      </c>
      <c r="M14445">
        <v>375</v>
      </c>
      <c r="N14445">
        <v>0</v>
      </c>
      <c r="O14445">
        <v>375</v>
      </c>
      <c r="P14445">
        <v>0</v>
      </c>
    </row>
    <row r="14446" spans="1:16" x14ac:dyDescent="0.25">
      <c r="A14446" t="s">
        <v>37180</v>
      </c>
      <c r="B14446" t="s">
        <v>9906</v>
      </c>
      <c r="C14446" t="s">
        <v>9907</v>
      </c>
      <c r="D14446" t="str">
        <f>"6346"</f>
        <v>6346</v>
      </c>
      <c r="E14446" t="s">
        <v>9896</v>
      </c>
      <c r="F14446" t="s">
        <v>5</v>
      </c>
      <c r="G14446" t="s">
        <v>16224</v>
      </c>
      <c r="H14446" t="s">
        <v>47126</v>
      </c>
      <c r="I14446" t="s">
        <v>47139</v>
      </c>
      <c r="J14446" t="s">
        <v>47140</v>
      </c>
      <c r="K14446" t="s">
        <v>47113</v>
      </c>
      <c r="L14446">
        <v>163.71</v>
      </c>
      <c r="M14446">
        <v>375</v>
      </c>
      <c r="N14446">
        <v>0</v>
      </c>
      <c r="O14446">
        <v>375</v>
      </c>
      <c r="P14446">
        <v>0</v>
      </c>
    </row>
    <row r="14447" spans="1:16" x14ac:dyDescent="0.25">
      <c r="A14447" t="s">
        <v>15051</v>
      </c>
      <c r="B14447" t="s">
        <v>242</v>
      </c>
      <c r="C14447" t="s">
        <v>243</v>
      </c>
      <c r="D14447" t="str">
        <f>"3106"</f>
        <v>3106</v>
      </c>
      <c r="E14447" t="s">
        <v>230</v>
      </c>
      <c r="F14447" t="s">
        <v>5</v>
      </c>
      <c r="G14447" t="s">
        <v>47098</v>
      </c>
      <c r="H14447" t="s">
        <v>47126</v>
      </c>
      <c r="I14447" t="s">
        <v>47120</v>
      </c>
      <c r="J14447" t="s">
        <v>47121</v>
      </c>
      <c r="K14447" t="s">
        <v>47113</v>
      </c>
      <c r="L14447">
        <v>160.94999999999999</v>
      </c>
      <c r="M14447">
        <v>417</v>
      </c>
      <c r="N14447">
        <v>0</v>
      </c>
      <c r="O14447">
        <v>417</v>
      </c>
      <c r="P14447">
        <v>0</v>
      </c>
    </row>
    <row r="14448" spans="1:16" x14ac:dyDescent="0.25">
      <c r="A14448" t="s">
        <v>37181</v>
      </c>
      <c r="B14448" t="s">
        <v>9908</v>
      </c>
      <c r="C14448" t="s">
        <v>240</v>
      </c>
      <c r="D14448" t="str">
        <f>"3443"</f>
        <v>3443</v>
      </c>
      <c r="E14448" t="s">
        <v>235</v>
      </c>
      <c r="F14448" t="s">
        <v>5</v>
      </c>
      <c r="G14448" t="s">
        <v>16224</v>
      </c>
      <c r="I14448" t="s">
        <v>47139</v>
      </c>
      <c r="J14448" t="s">
        <v>47140</v>
      </c>
      <c r="K14448" t="s">
        <v>47113</v>
      </c>
      <c r="L14448">
        <v>126.92</v>
      </c>
      <c r="M14448">
        <v>295</v>
      </c>
      <c r="N14448">
        <v>0</v>
      </c>
      <c r="O14448">
        <v>295</v>
      </c>
      <c r="P14448">
        <v>0</v>
      </c>
    </row>
    <row r="14449" spans="1:16" x14ac:dyDescent="0.25">
      <c r="A14449" t="s">
        <v>37182</v>
      </c>
      <c r="B14449" t="s">
        <v>9909</v>
      </c>
      <c r="C14449" t="s">
        <v>233</v>
      </c>
      <c r="D14449" t="str">
        <f>"1001"</f>
        <v>1001</v>
      </c>
      <c r="E14449" t="s">
        <v>42</v>
      </c>
      <c r="F14449" t="s">
        <v>5</v>
      </c>
      <c r="G14449" t="s">
        <v>16224</v>
      </c>
      <c r="H14449" t="s">
        <v>47126</v>
      </c>
      <c r="I14449" t="s">
        <v>47139</v>
      </c>
      <c r="J14449" t="s">
        <v>47140</v>
      </c>
      <c r="K14449" t="s">
        <v>47113</v>
      </c>
      <c r="L14449">
        <v>108.53</v>
      </c>
      <c r="M14449">
        <v>253</v>
      </c>
      <c r="N14449">
        <v>0</v>
      </c>
      <c r="O14449">
        <v>253</v>
      </c>
      <c r="P14449">
        <v>0</v>
      </c>
    </row>
    <row r="14450" spans="1:16" x14ac:dyDescent="0.25">
      <c r="A14450" t="s">
        <v>37183</v>
      </c>
      <c r="B14450" t="s">
        <v>9909</v>
      </c>
      <c r="C14450" t="s">
        <v>233</v>
      </c>
      <c r="D14450" t="str">
        <f>"1200"</f>
        <v>1200</v>
      </c>
      <c r="E14450" t="s">
        <v>241</v>
      </c>
      <c r="F14450" t="s">
        <v>5</v>
      </c>
      <c r="G14450" t="s">
        <v>16224</v>
      </c>
      <c r="H14450" t="s">
        <v>47126</v>
      </c>
      <c r="I14450" t="s">
        <v>47139</v>
      </c>
      <c r="J14450" t="s">
        <v>47140</v>
      </c>
      <c r="K14450" t="s">
        <v>47113</v>
      </c>
      <c r="L14450">
        <v>108.53</v>
      </c>
      <c r="M14450">
        <v>253</v>
      </c>
      <c r="N14450">
        <v>0</v>
      </c>
      <c r="O14450">
        <v>253</v>
      </c>
      <c r="P14450">
        <v>0</v>
      </c>
    </row>
    <row r="14451" spans="1:16" x14ac:dyDescent="0.25">
      <c r="A14451" t="s">
        <v>37184</v>
      </c>
      <c r="B14451" t="s">
        <v>9910</v>
      </c>
      <c r="C14451" t="s">
        <v>4364</v>
      </c>
      <c r="D14451" t="str">
        <f>"1001"</f>
        <v>1001</v>
      </c>
      <c r="E14451" t="s">
        <v>42</v>
      </c>
      <c r="F14451" t="s">
        <v>5</v>
      </c>
      <c r="G14451" t="s">
        <v>16224</v>
      </c>
      <c r="H14451" t="s">
        <v>47126</v>
      </c>
      <c r="I14451" t="s">
        <v>47139</v>
      </c>
      <c r="J14451" t="s">
        <v>47140</v>
      </c>
      <c r="K14451" t="s">
        <v>47113</v>
      </c>
      <c r="L14451">
        <v>163.71</v>
      </c>
      <c r="M14451">
        <v>375</v>
      </c>
      <c r="N14451">
        <v>0</v>
      </c>
      <c r="O14451">
        <v>375</v>
      </c>
      <c r="P14451">
        <v>0</v>
      </c>
    </row>
    <row r="14452" spans="1:16" x14ac:dyDescent="0.25">
      <c r="A14452" t="s">
        <v>37185</v>
      </c>
      <c r="B14452" t="s">
        <v>9911</v>
      </c>
      <c r="C14452" t="s">
        <v>9889</v>
      </c>
      <c r="D14452" t="str">
        <f>"1004"</f>
        <v>1004</v>
      </c>
      <c r="E14452" t="s">
        <v>200</v>
      </c>
      <c r="F14452" t="s">
        <v>5</v>
      </c>
      <c r="G14452" t="s">
        <v>16224</v>
      </c>
      <c r="H14452" t="s">
        <v>47126</v>
      </c>
      <c r="I14452" t="s">
        <v>47120</v>
      </c>
      <c r="J14452" t="s">
        <v>47121</v>
      </c>
      <c r="K14452" t="s">
        <v>47113</v>
      </c>
      <c r="L14452">
        <v>68.959999999999994</v>
      </c>
      <c r="M14452">
        <v>174</v>
      </c>
      <c r="N14452">
        <v>0</v>
      </c>
      <c r="O14452">
        <v>174</v>
      </c>
      <c r="P14452">
        <v>0</v>
      </c>
    </row>
    <row r="14453" spans="1:16" x14ac:dyDescent="0.25">
      <c r="A14453" t="s">
        <v>37186</v>
      </c>
      <c r="B14453" t="s">
        <v>9911</v>
      </c>
      <c r="C14453" t="s">
        <v>9889</v>
      </c>
      <c r="D14453" t="str">
        <f>"3071"</f>
        <v>3071</v>
      </c>
      <c r="E14453" t="s">
        <v>4767</v>
      </c>
      <c r="F14453" t="s">
        <v>5</v>
      </c>
      <c r="G14453" t="s">
        <v>16224</v>
      </c>
      <c r="H14453" t="s">
        <v>47126</v>
      </c>
      <c r="I14453" t="s">
        <v>47120</v>
      </c>
      <c r="J14453" t="s">
        <v>47121</v>
      </c>
      <c r="K14453" t="s">
        <v>47113</v>
      </c>
      <c r="L14453">
        <v>68.959999999999994</v>
      </c>
      <c r="M14453">
        <v>174</v>
      </c>
      <c r="N14453">
        <v>0</v>
      </c>
      <c r="O14453">
        <v>174</v>
      </c>
      <c r="P14453">
        <v>0</v>
      </c>
    </row>
    <row r="14454" spans="1:16" x14ac:dyDescent="0.25">
      <c r="A14454" t="s">
        <v>37187</v>
      </c>
      <c r="B14454" t="s">
        <v>244</v>
      </c>
      <c r="C14454" t="s">
        <v>245</v>
      </c>
      <c r="D14454" t="str">
        <f>"1001"</f>
        <v>1001</v>
      </c>
      <c r="E14454" t="s">
        <v>42</v>
      </c>
      <c r="F14454" t="s">
        <v>5</v>
      </c>
      <c r="G14454" t="s">
        <v>47098</v>
      </c>
      <c r="H14454" t="s">
        <v>47126</v>
      </c>
      <c r="I14454" t="s">
        <v>47120</v>
      </c>
      <c r="J14454" t="s">
        <v>47121</v>
      </c>
      <c r="K14454" t="s">
        <v>47113</v>
      </c>
      <c r="L14454">
        <v>48.74</v>
      </c>
      <c r="M14454">
        <v>126</v>
      </c>
      <c r="N14454">
        <v>0</v>
      </c>
      <c r="O14454">
        <v>126</v>
      </c>
      <c r="P14454">
        <v>0</v>
      </c>
    </row>
    <row r="14455" spans="1:16" x14ac:dyDescent="0.25">
      <c r="A14455" t="s">
        <v>37188</v>
      </c>
      <c r="B14455" t="s">
        <v>244</v>
      </c>
      <c r="C14455" t="s">
        <v>245</v>
      </c>
      <c r="D14455" t="str">
        <f>"5339"</f>
        <v>5339</v>
      </c>
      <c r="E14455" t="s">
        <v>9912</v>
      </c>
      <c r="F14455" t="s">
        <v>5</v>
      </c>
      <c r="G14455" t="s">
        <v>47098</v>
      </c>
      <c r="H14455" t="s">
        <v>47126</v>
      </c>
      <c r="I14455" t="s">
        <v>47120</v>
      </c>
      <c r="J14455" t="s">
        <v>47121</v>
      </c>
      <c r="K14455" t="s">
        <v>47113</v>
      </c>
      <c r="L14455">
        <v>48.74</v>
      </c>
      <c r="M14455">
        <v>126</v>
      </c>
      <c r="N14455">
        <v>0</v>
      </c>
      <c r="O14455">
        <v>126</v>
      </c>
      <c r="P14455">
        <v>0</v>
      </c>
    </row>
    <row r="14456" spans="1:16" x14ac:dyDescent="0.25">
      <c r="A14456" t="s">
        <v>15052</v>
      </c>
      <c r="B14456" t="s">
        <v>246</v>
      </c>
      <c r="C14456" t="s">
        <v>247</v>
      </c>
      <c r="D14456" t="str">
        <f>"1001"</f>
        <v>1001</v>
      </c>
      <c r="E14456" t="s">
        <v>42</v>
      </c>
      <c r="F14456" t="s">
        <v>5</v>
      </c>
      <c r="G14456" t="s">
        <v>47098</v>
      </c>
      <c r="H14456" t="s">
        <v>47126</v>
      </c>
      <c r="I14456" t="s">
        <v>47120</v>
      </c>
      <c r="J14456" t="s">
        <v>47121</v>
      </c>
      <c r="K14456" t="s">
        <v>47113</v>
      </c>
      <c r="L14456">
        <v>63.46</v>
      </c>
      <c r="M14456">
        <v>164</v>
      </c>
      <c r="N14456">
        <v>0</v>
      </c>
      <c r="O14456">
        <v>164</v>
      </c>
      <c r="P14456">
        <v>0</v>
      </c>
    </row>
    <row r="14457" spans="1:16" x14ac:dyDescent="0.25">
      <c r="A14457" t="s">
        <v>15053</v>
      </c>
      <c r="B14457" t="s">
        <v>246</v>
      </c>
      <c r="C14457" t="s">
        <v>247</v>
      </c>
      <c r="D14457" t="str">
        <f>"2000"</f>
        <v>2000</v>
      </c>
      <c r="E14457" t="s">
        <v>248</v>
      </c>
      <c r="F14457" t="s">
        <v>5</v>
      </c>
      <c r="G14457" t="s">
        <v>47098</v>
      </c>
      <c r="H14457" t="s">
        <v>47126</v>
      </c>
      <c r="I14457" t="s">
        <v>47120</v>
      </c>
      <c r="J14457" t="s">
        <v>47121</v>
      </c>
      <c r="K14457" t="s">
        <v>47113</v>
      </c>
      <c r="L14457">
        <v>63.46</v>
      </c>
      <c r="M14457">
        <v>164</v>
      </c>
      <c r="N14457">
        <v>0</v>
      </c>
      <c r="O14457">
        <v>164</v>
      </c>
      <c r="P14457">
        <v>0</v>
      </c>
    </row>
    <row r="14458" spans="1:16" x14ac:dyDescent="0.25">
      <c r="A14458" t="s">
        <v>15054</v>
      </c>
      <c r="B14458" t="s">
        <v>249</v>
      </c>
      <c r="C14458" t="s">
        <v>250</v>
      </c>
      <c r="D14458" t="str">
        <f>"1001"</f>
        <v>1001</v>
      </c>
      <c r="E14458" t="s">
        <v>42</v>
      </c>
      <c r="F14458" t="s">
        <v>5</v>
      </c>
      <c r="G14458" t="s">
        <v>47098</v>
      </c>
      <c r="H14458" t="s">
        <v>47126</v>
      </c>
      <c r="I14458" t="s">
        <v>47120</v>
      </c>
      <c r="J14458" t="s">
        <v>47121</v>
      </c>
      <c r="K14458" t="s">
        <v>47113</v>
      </c>
      <c r="L14458">
        <v>60.46</v>
      </c>
      <c r="M14458">
        <v>131</v>
      </c>
      <c r="N14458">
        <v>0</v>
      </c>
      <c r="O14458">
        <v>131</v>
      </c>
      <c r="P14458">
        <v>0</v>
      </c>
    </row>
    <row r="14459" spans="1:16" x14ac:dyDescent="0.25">
      <c r="A14459" t="s">
        <v>37189</v>
      </c>
      <c r="B14459" t="s">
        <v>249</v>
      </c>
      <c r="C14459" t="s">
        <v>250</v>
      </c>
      <c r="D14459" t="str">
        <f>"2000"</f>
        <v>2000</v>
      </c>
      <c r="E14459" t="s">
        <v>248</v>
      </c>
      <c r="F14459" t="s">
        <v>5</v>
      </c>
      <c r="G14459" t="s">
        <v>47098</v>
      </c>
      <c r="H14459" t="s">
        <v>47126</v>
      </c>
      <c r="I14459" t="s">
        <v>47120</v>
      </c>
      <c r="J14459" t="s">
        <v>47121</v>
      </c>
      <c r="K14459" t="s">
        <v>47113</v>
      </c>
      <c r="L14459">
        <v>50.58</v>
      </c>
      <c r="M14459">
        <v>131</v>
      </c>
      <c r="N14459">
        <v>0</v>
      </c>
      <c r="O14459">
        <v>131</v>
      </c>
      <c r="P14459">
        <v>0</v>
      </c>
    </row>
    <row r="14460" spans="1:16" x14ac:dyDescent="0.25">
      <c r="A14460" t="s">
        <v>37190</v>
      </c>
      <c r="B14460" t="s">
        <v>9913</v>
      </c>
      <c r="C14460" t="s">
        <v>243</v>
      </c>
      <c r="D14460" t="str">
        <f>"1004"</f>
        <v>1004</v>
      </c>
      <c r="E14460" t="s">
        <v>200</v>
      </c>
      <c r="F14460" t="s">
        <v>5</v>
      </c>
      <c r="G14460" t="s">
        <v>16224</v>
      </c>
      <c r="H14460" t="s">
        <v>47126</v>
      </c>
      <c r="I14460" t="s">
        <v>47120</v>
      </c>
      <c r="J14460" t="s">
        <v>47121</v>
      </c>
      <c r="K14460" t="s">
        <v>47113</v>
      </c>
      <c r="L14460">
        <v>66.22</v>
      </c>
      <c r="M14460">
        <v>171</v>
      </c>
      <c r="N14460">
        <v>0</v>
      </c>
      <c r="O14460">
        <v>171</v>
      </c>
      <c r="P14460">
        <v>0</v>
      </c>
    </row>
    <row r="14461" spans="1:16" x14ac:dyDescent="0.25">
      <c r="A14461" t="s">
        <v>37191</v>
      </c>
      <c r="B14461" t="s">
        <v>9914</v>
      </c>
      <c r="C14461" t="s">
        <v>9915</v>
      </c>
      <c r="D14461" t="str">
        <f>"1001"</f>
        <v>1001</v>
      </c>
      <c r="E14461" t="s">
        <v>42</v>
      </c>
      <c r="F14461" t="s">
        <v>5</v>
      </c>
      <c r="G14461" t="s">
        <v>16224</v>
      </c>
      <c r="H14461" t="s">
        <v>47126</v>
      </c>
      <c r="I14461" t="s">
        <v>47120</v>
      </c>
      <c r="J14461" t="s">
        <v>47121</v>
      </c>
      <c r="K14461" t="s">
        <v>47113</v>
      </c>
      <c r="L14461">
        <v>54.26</v>
      </c>
      <c r="M14461">
        <v>140</v>
      </c>
      <c r="N14461">
        <v>0</v>
      </c>
      <c r="O14461">
        <v>140</v>
      </c>
      <c r="P14461">
        <v>0</v>
      </c>
    </row>
    <row r="14462" spans="1:16" x14ac:dyDescent="0.25">
      <c r="A14462" t="s">
        <v>37192</v>
      </c>
      <c r="B14462" t="s">
        <v>9916</v>
      </c>
      <c r="C14462" t="s">
        <v>250</v>
      </c>
      <c r="D14462" t="str">
        <f>"1001"</f>
        <v>1001</v>
      </c>
      <c r="E14462" t="s">
        <v>42</v>
      </c>
      <c r="F14462" t="s">
        <v>5</v>
      </c>
      <c r="G14462" t="s">
        <v>16224</v>
      </c>
      <c r="H14462" t="s">
        <v>47126</v>
      </c>
      <c r="I14462" t="s">
        <v>47120</v>
      </c>
      <c r="J14462" t="s">
        <v>47121</v>
      </c>
      <c r="K14462" t="s">
        <v>47113</v>
      </c>
      <c r="L14462">
        <v>51.51</v>
      </c>
      <c r="M14462">
        <v>133</v>
      </c>
      <c r="N14462">
        <v>0</v>
      </c>
      <c r="O14462">
        <v>133</v>
      </c>
      <c r="P14462">
        <v>0</v>
      </c>
    </row>
    <row r="14463" spans="1:16" x14ac:dyDescent="0.25">
      <c r="A14463" t="s">
        <v>37193</v>
      </c>
      <c r="B14463" t="s">
        <v>9917</v>
      </c>
      <c r="C14463" t="s">
        <v>9918</v>
      </c>
      <c r="D14463" t="str">
        <f>"1001"</f>
        <v>1001</v>
      </c>
      <c r="E14463" t="s">
        <v>42</v>
      </c>
      <c r="F14463" t="s">
        <v>5</v>
      </c>
      <c r="G14463" t="s">
        <v>16448</v>
      </c>
      <c r="H14463" t="s">
        <v>47126</v>
      </c>
      <c r="I14463" t="s">
        <v>47120</v>
      </c>
      <c r="J14463" t="s">
        <v>47121</v>
      </c>
      <c r="K14463" t="s">
        <v>47113</v>
      </c>
      <c r="L14463">
        <v>38.74</v>
      </c>
      <c r="M14463">
        <v>143</v>
      </c>
      <c r="N14463">
        <v>0</v>
      </c>
      <c r="O14463">
        <v>143</v>
      </c>
      <c r="P14463">
        <v>0</v>
      </c>
    </row>
    <row r="14464" spans="1:16" x14ac:dyDescent="0.25">
      <c r="A14464" t="s">
        <v>15055</v>
      </c>
      <c r="B14464" t="s">
        <v>251</v>
      </c>
      <c r="C14464" t="s">
        <v>252</v>
      </c>
      <c r="D14464" t="str">
        <f>"1258"</f>
        <v>1258</v>
      </c>
      <c r="E14464" t="s">
        <v>253</v>
      </c>
      <c r="F14464" t="s">
        <v>4</v>
      </c>
      <c r="G14464" t="s">
        <v>47098</v>
      </c>
      <c r="H14464" t="s">
        <v>47126</v>
      </c>
      <c r="I14464" t="s">
        <v>47139</v>
      </c>
      <c r="J14464" t="s">
        <v>47140</v>
      </c>
      <c r="K14464" t="s">
        <v>47113</v>
      </c>
      <c r="L14464">
        <v>158.52000000000001</v>
      </c>
      <c r="M14464">
        <v>345</v>
      </c>
      <c r="N14464">
        <v>0</v>
      </c>
      <c r="O14464">
        <v>345</v>
      </c>
      <c r="P14464">
        <v>0</v>
      </c>
    </row>
    <row r="14465" spans="1:16" x14ac:dyDescent="0.25">
      <c r="A14465" t="s">
        <v>37194</v>
      </c>
      <c r="B14465" t="s">
        <v>251</v>
      </c>
      <c r="C14465" t="s">
        <v>252</v>
      </c>
      <c r="D14465" t="str">
        <f>"6069"</f>
        <v>6069</v>
      </c>
      <c r="E14465" t="s">
        <v>9919</v>
      </c>
      <c r="F14465" t="s">
        <v>4</v>
      </c>
      <c r="G14465" t="s">
        <v>47098</v>
      </c>
      <c r="H14465" t="s">
        <v>47126</v>
      </c>
      <c r="I14465" t="s">
        <v>47139</v>
      </c>
      <c r="J14465" t="s">
        <v>47140</v>
      </c>
      <c r="K14465" t="s">
        <v>47113</v>
      </c>
      <c r="L14465">
        <v>158.52000000000001</v>
      </c>
      <c r="M14465">
        <v>345</v>
      </c>
      <c r="N14465">
        <v>0</v>
      </c>
      <c r="O14465">
        <v>345</v>
      </c>
      <c r="P14465">
        <v>0</v>
      </c>
    </row>
    <row r="14466" spans="1:16" x14ac:dyDescent="0.25">
      <c r="A14466" t="s">
        <v>15056</v>
      </c>
      <c r="B14466" t="s">
        <v>251</v>
      </c>
      <c r="C14466" t="s">
        <v>252</v>
      </c>
      <c r="D14466" t="str">
        <f>"7116"</f>
        <v>7116</v>
      </c>
      <c r="E14466" t="s">
        <v>254</v>
      </c>
      <c r="F14466" t="s">
        <v>4</v>
      </c>
      <c r="G14466" t="s">
        <v>47098</v>
      </c>
      <c r="H14466" t="s">
        <v>47126</v>
      </c>
      <c r="I14466" t="s">
        <v>47139</v>
      </c>
      <c r="J14466" t="s">
        <v>47140</v>
      </c>
      <c r="K14466" t="s">
        <v>47113</v>
      </c>
      <c r="L14466">
        <v>158.52000000000001</v>
      </c>
      <c r="M14466">
        <v>345</v>
      </c>
      <c r="N14466">
        <v>0</v>
      </c>
      <c r="O14466">
        <v>345</v>
      </c>
      <c r="P14466">
        <v>0</v>
      </c>
    </row>
    <row r="14467" spans="1:16" x14ac:dyDescent="0.25">
      <c r="A14467" t="s">
        <v>37195</v>
      </c>
      <c r="B14467" t="s">
        <v>9920</v>
      </c>
      <c r="C14467" t="s">
        <v>9921</v>
      </c>
      <c r="D14467" t="str">
        <f>"1001"</f>
        <v>1001</v>
      </c>
      <c r="E14467" t="s">
        <v>42</v>
      </c>
      <c r="F14467" t="s">
        <v>4</v>
      </c>
      <c r="G14467" t="s">
        <v>47098</v>
      </c>
      <c r="H14467" t="s">
        <v>47126</v>
      </c>
      <c r="I14467" t="s">
        <v>47139</v>
      </c>
      <c r="J14467" t="s">
        <v>47140</v>
      </c>
      <c r="K14467" t="s">
        <v>47113</v>
      </c>
      <c r="L14467">
        <v>152.96</v>
      </c>
      <c r="M14467">
        <v>345</v>
      </c>
      <c r="N14467">
        <v>0</v>
      </c>
      <c r="O14467">
        <v>345</v>
      </c>
      <c r="P14467">
        <v>0</v>
      </c>
    </row>
    <row r="14468" spans="1:16" x14ac:dyDescent="0.25">
      <c r="A14468" t="s">
        <v>37196</v>
      </c>
      <c r="B14468" t="s">
        <v>9922</v>
      </c>
      <c r="C14468" t="s">
        <v>9923</v>
      </c>
      <c r="D14468" t="str">
        <f>"3443"</f>
        <v>3443</v>
      </c>
      <c r="E14468" t="s">
        <v>235</v>
      </c>
      <c r="F14468" t="s">
        <v>4</v>
      </c>
      <c r="G14468" t="s">
        <v>47098</v>
      </c>
      <c r="H14468" t="s">
        <v>47126</v>
      </c>
      <c r="I14468" t="s">
        <v>47139</v>
      </c>
      <c r="J14468" t="s">
        <v>47140</v>
      </c>
      <c r="K14468" t="s">
        <v>47113</v>
      </c>
      <c r="L14468">
        <v>158.52000000000001</v>
      </c>
      <c r="M14468">
        <v>345</v>
      </c>
      <c r="N14468">
        <v>0</v>
      </c>
      <c r="O14468">
        <v>345</v>
      </c>
      <c r="P14468">
        <v>0</v>
      </c>
    </row>
    <row r="14469" spans="1:16" x14ac:dyDescent="0.25">
      <c r="A14469" t="s">
        <v>37197</v>
      </c>
      <c r="B14469" t="s">
        <v>9924</v>
      </c>
      <c r="C14469" t="s">
        <v>9925</v>
      </c>
      <c r="D14469" t="str">
        <f>"3443"</f>
        <v>3443</v>
      </c>
      <c r="E14469" t="s">
        <v>235</v>
      </c>
      <c r="F14469" t="s">
        <v>4</v>
      </c>
      <c r="G14469" t="s">
        <v>16224</v>
      </c>
      <c r="H14469" t="s">
        <v>47126</v>
      </c>
      <c r="I14469" t="s">
        <v>47139</v>
      </c>
      <c r="J14469" t="s">
        <v>47140</v>
      </c>
      <c r="K14469" t="s">
        <v>47113</v>
      </c>
      <c r="L14469">
        <v>144.62</v>
      </c>
      <c r="M14469">
        <v>315</v>
      </c>
      <c r="N14469">
        <v>0</v>
      </c>
      <c r="O14469">
        <v>315</v>
      </c>
      <c r="P14469">
        <v>0</v>
      </c>
    </row>
    <row r="14470" spans="1:16" x14ac:dyDescent="0.25">
      <c r="A14470" t="s">
        <v>37198</v>
      </c>
      <c r="B14470" t="s">
        <v>9926</v>
      </c>
      <c r="C14470" t="s">
        <v>9927</v>
      </c>
      <c r="D14470" t="str">
        <f>"3443"</f>
        <v>3443</v>
      </c>
      <c r="E14470" t="s">
        <v>235</v>
      </c>
      <c r="F14470" t="s">
        <v>4</v>
      </c>
      <c r="G14470" t="s">
        <v>16224</v>
      </c>
      <c r="H14470" t="s">
        <v>47126</v>
      </c>
      <c r="I14470" t="s">
        <v>47120</v>
      </c>
      <c r="J14470" t="s">
        <v>47121</v>
      </c>
      <c r="K14470" t="s">
        <v>47113</v>
      </c>
      <c r="L14470">
        <v>89</v>
      </c>
      <c r="M14470">
        <v>216</v>
      </c>
      <c r="N14470">
        <v>0</v>
      </c>
      <c r="O14470">
        <v>216</v>
      </c>
      <c r="P14470">
        <v>0</v>
      </c>
    </row>
    <row r="14471" spans="1:16" x14ac:dyDescent="0.25">
      <c r="A14471" t="s">
        <v>37199</v>
      </c>
      <c r="B14471" t="s">
        <v>9928</v>
      </c>
      <c r="C14471" t="s">
        <v>9929</v>
      </c>
      <c r="D14471" t="str">
        <f>"3443"</f>
        <v>3443</v>
      </c>
      <c r="E14471" t="s">
        <v>235</v>
      </c>
      <c r="F14471" t="s">
        <v>4</v>
      </c>
      <c r="G14471" t="s">
        <v>47098</v>
      </c>
      <c r="H14471" t="s">
        <v>47126</v>
      </c>
      <c r="I14471" t="s">
        <v>47120</v>
      </c>
      <c r="J14471" t="s">
        <v>47121</v>
      </c>
      <c r="K14471" t="s">
        <v>47113</v>
      </c>
      <c r="L14471">
        <v>107.54</v>
      </c>
      <c r="M14471">
        <v>261</v>
      </c>
      <c r="N14471">
        <v>0</v>
      </c>
      <c r="O14471">
        <v>261</v>
      </c>
      <c r="P14471">
        <v>0</v>
      </c>
    </row>
    <row r="14472" spans="1:16" x14ac:dyDescent="0.25">
      <c r="A14472" t="s">
        <v>37200</v>
      </c>
      <c r="B14472" t="s">
        <v>9930</v>
      </c>
      <c r="C14472" t="s">
        <v>9931</v>
      </c>
      <c r="D14472" t="str">
        <f>"1100"</f>
        <v>1100</v>
      </c>
      <c r="E14472" t="s">
        <v>54</v>
      </c>
      <c r="F14472" t="s">
        <v>6</v>
      </c>
      <c r="G14472" t="s">
        <v>47096</v>
      </c>
      <c r="H14472" t="s">
        <v>47126</v>
      </c>
      <c r="I14472" t="s">
        <v>47127</v>
      </c>
      <c r="J14472" t="s">
        <v>47128</v>
      </c>
      <c r="K14472" t="s">
        <v>47113</v>
      </c>
      <c r="L14472">
        <v>53.24</v>
      </c>
      <c r="M14472">
        <v>146</v>
      </c>
      <c r="N14472">
        <v>0</v>
      </c>
      <c r="O14472">
        <v>146</v>
      </c>
      <c r="P14472">
        <v>0</v>
      </c>
    </row>
    <row r="14473" spans="1:16" x14ac:dyDescent="0.25">
      <c r="A14473" t="s">
        <v>37201</v>
      </c>
      <c r="B14473" t="s">
        <v>9932</v>
      </c>
      <c r="C14473" t="s">
        <v>9933</v>
      </c>
      <c r="D14473" t="str">
        <f>"1100"</f>
        <v>1100</v>
      </c>
      <c r="E14473" t="s">
        <v>54</v>
      </c>
      <c r="F14473" t="s">
        <v>6</v>
      </c>
      <c r="G14473" t="s">
        <v>47096</v>
      </c>
      <c r="H14473" t="s">
        <v>47126</v>
      </c>
      <c r="I14473" t="s">
        <v>47127</v>
      </c>
      <c r="J14473" t="s">
        <v>47128</v>
      </c>
      <c r="K14473" t="s">
        <v>47113</v>
      </c>
      <c r="L14473">
        <v>58.73</v>
      </c>
      <c r="M14473">
        <v>159</v>
      </c>
      <c r="N14473">
        <v>0</v>
      </c>
      <c r="O14473">
        <v>159</v>
      </c>
      <c r="P14473">
        <v>0</v>
      </c>
    </row>
    <row r="14474" spans="1:16" x14ac:dyDescent="0.25">
      <c r="A14474" t="s">
        <v>37202</v>
      </c>
      <c r="B14474" t="s">
        <v>37203</v>
      </c>
      <c r="C14474" t="s">
        <v>37204</v>
      </c>
      <c r="D14474" t="str">
        <f>"1001"</f>
        <v>1001</v>
      </c>
      <c r="E14474" t="s">
        <v>42</v>
      </c>
      <c r="F14474" t="s">
        <v>24019</v>
      </c>
      <c r="G14474" t="s">
        <v>47090</v>
      </c>
      <c r="H14474" t="s">
        <v>47052</v>
      </c>
      <c r="I14474" t="s">
        <v>47118</v>
      </c>
      <c r="J14474" t="s">
        <v>47119</v>
      </c>
      <c r="K14474" t="s">
        <v>47113</v>
      </c>
      <c r="L14474">
        <v>6.75</v>
      </c>
      <c r="M14474">
        <v>40</v>
      </c>
      <c r="N14474">
        <v>0</v>
      </c>
      <c r="O14474">
        <v>40</v>
      </c>
      <c r="P14474">
        <v>0</v>
      </c>
    </row>
    <row r="14475" spans="1:16" x14ac:dyDescent="0.25">
      <c r="A14475" t="s">
        <v>37205</v>
      </c>
      <c r="B14475" t="s">
        <v>37203</v>
      </c>
      <c r="C14475" t="s">
        <v>37204</v>
      </c>
      <c r="D14475" t="str">
        <f>"2000"</f>
        <v>2000</v>
      </c>
      <c r="E14475" t="s">
        <v>36813</v>
      </c>
      <c r="F14475" t="s">
        <v>24019</v>
      </c>
      <c r="G14475" t="s">
        <v>47090</v>
      </c>
      <c r="H14475" t="s">
        <v>47052</v>
      </c>
      <c r="I14475" t="s">
        <v>47118</v>
      </c>
      <c r="J14475" t="s">
        <v>47119</v>
      </c>
      <c r="K14475" t="s">
        <v>47113</v>
      </c>
      <c r="L14475">
        <v>6.75</v>
      </c>
      <c r="M14475">
        <v>40</v>
      </c>
      <c r="N14475">
        <v>0</v>
      </c>
      <c r="O14475">
        <v>40</v>
      </c>
      <c r="P14475">
        <v>0</v>
      </c>
    </row>
    <row r="14476" spans="1:16" x14ac:dyDescent="0.25">
      <c r="A14476" t="s">
        <v>37206</v>
      </c>
      <c r="B14476" t="s">
        <v>37203</v>
      </c>
      <c r="C14476" t="s">
        <v>37204</v>
      </c>
      <c r="D14476" t="str">
        <f>"2140"</f>
        <v>2140</v>
      </c>
      <c r="E14476" t="s">
        <v>9721</v>
      </c>
      <c r="F14476" t="s">
        <v>24019</v>
      </c>
      <c r="G14476" t="s">
        <v>47090</v>
      </c>
      <c r="H14476" t="s">
        <v>47052</v>
      </c>
      <c r="I14476" t="s">
        <v>47118</v>
      </c>
      <c r="J14476" t="s">
        <v>47119</v>
      </c>
      <c r="K14476" t="s">
        <v>47113</v>
      </c>
      <c r="L14476">
        <v>6.75</v>
      </c>
      <c r="M14476">
        <v>40</v>
      </c>
      <c r="N14476">
        <v>0</v>
      </c>
      <c r="O14476">
        <v>40</v>
      </c>
      <c r="P14476">
        <v>0</v>
      </c>
    </row>
    <row r="14477" spans="1:16" x14ac:dyDescent="0.25">
      <c r="A14477" t="s">
        <v>37207</v>
      </c>
      <c r="B14477" t="s">
        <v>37208</v>
      </c>
      <c r="C14477" t="s">
        <v>37209</v>
      </c>
      <c r="D14477" t="str">
        <f>"2000"</f>
        <v>2000</v>
      </c>
      <c r="E14477" t="s">
        <v>36813</v>
      </c>
      <c r="F14477" t="s">
        <v>24019</v>
      </c>
      <c r="G14477" t="s">
        <v>47090</v>
      </c>
      <c r="H14477" t="s">
        <v>47052</v>
      </c>
      <c r="I14477" t="s">
        <v>47118</v>
      </c>
      <c r="J14477" t="s">
        <v>47119</v>
      </c>
      <c r="K14477" t="s">
        <v>47113</v>
      </c>
      <c r="L14477">
        <v>13.19</v>
      </c>
      <c r="M14477">
        <v>56</v>
      </c>
      <c r="N14477">
        <v>0</v>
      </c>
      <c r="O14477">
        <v>56</v>
      </c>
      <c r="P14477">
        <v>0</v>
      </c>
    </row>
    <row r="14478" spans="1:16" x14ac:dyDescent="0.25">
      <c r="A14478" t="s">
        <v>37210</v>
      </c>
      <c r="B14478" t="s">
        <v>9934</v>
      </c>
      <c r="C14478" t="s">
        <v>9935</v>
      </c>
      <c r="D14478" t="str">
        <f>"1001"</f>
        <v>1001</v>
      </c>
      <c r="E14478" t="s">
        <v>42</v>
      </c>
      <c r="F14478" t="s">
        <v>52</v>
      </c>
      <c r="G14478" t="s">
        <v>47098</v>
      </c>
      <c r="H14478" t="s">
        <v>47054</v>
      </c>
      <c r="I14478" t="s">
        <v>47120</v>
      </c>
      <c r="J14478" t="s">
        <v>47121</v>
      </c>
      <c r="K14478" t="s">
        <v>47113</v>
      </c>
      <c r="L14478">
        <v>278.22000000000003</v>
      </c>
      <c r="M14478">
        <v>683</v>
      </c>
      <c r="N14478">
        <v>0</v>
      </c>
      <c r="O14478">
        <v>683</v>
      </c>
      <c r="P14478">
        <v>0</v>
      </c>
    </row>
    <row r="14479" spans="1:16" x14ac:dyDescent="0.25">
      <c r="A14479" t="s">
        <v>15057</v>
      </c>
      <c r="B14479" t="s">
        <v>255</v>
      </c>
      <c r="C14479" t="s">
        <v>256</v>
      </c>
      <c r="D14479" t="str">
        <f>"2000"</f>
        <v>2000</v>
      </c>
      <c r="E14479" t="s">
        <v>248</v>
      </c>
      <c r="F14479" t="s">
        <v>8</v>
      </c>
      <c r="G14479" t="s">
        <v>47098</v>
      </c>
      <c r="H14479" t="s">
        <v>47126</v>
      </c>
      <c r="I14479" t="s">
        <v>47120</v>
      </c>
      <c r="J14479" t="s">
        <v>47121</v>
      </c>
      <c r="K14479" t="s">
        <v>47113</v>
      </c>
      <c r="L14479">
        <v>142.26</v>
      </c>
      <c r="M14479">
        <v>352</v>
      </c>
      <c r="N14479">
        <v>0</v>
      </c>
      <c r="O14479">
        <v>352</v>
      </c>
      <c r="P14479">
        <v>0</v>
      </c>
    </row>
    <row r="14480" spans="1:16" x14ac:dyDescent="0.25">
      <c r="A14480" t="s">
        <v>37211</v>
      </c>
      <c r="B14480" t="s">
        <v>9936</v>
      </c>
      <c r="C14480" t="s">
        <v>9937</v>
      </c>
      <c r="D14480" t="str">
        <f>"1001"</f>
        <v>1001</v>
      </c>
      <c r="E14480" t="s">
        <v>42</v>
      </c>
      <c r="F14480" t="s">
        <v>8</v>
      </c>
      <c r="G14480" t="s">
        <v>47098</v>
      </c>
      <c r="H14480" t="s">
        <v>47054</v>
      </c>
      <c r="I14480" t="s">
        <v>47120</v>
      </c>
      <c r="J14480" t="s">
        <v>47121</v>
      </c>
      <c r="K14480" t="s">
        <v>47113</v>
      </c>
      <c r="L14480">
        <v>128.77000000000001</v>
      </c>
      <c r="M14480">
        <v>324</v>
      </c>
      <c r="N14480">
        <v>0</v>
      </c>
      <c r="O14480">
        <v>324</v>
      </c>
      <c r="P14480">
        <v>0</v>
      </c>
    </row>
    <row r="14481" spans="1:16" x14ac:dyDescent="0.25">
      <c r="A14481" t="s">
        <v>37212</v>
      </c>
      <c r="B14481" t="s">
        <v>9936</v>
      </c>
      <c r="C14481" t="s">
        <v>9937</v>
      </c>
      <c r="D14481" t="str">
        <f>"2000"</f>
        <v>2000</v>
      </c>
      <c r="E14481" t="s">
        <v>248</v>
      </c>
      <c r="F14481" t="s">
        <v>7</v>
      </c>
      <c r="G14481" t="s">
        <v>47098</v>
      </c>
      <c r="H14481" t="s">
        <v>47054</v>
      </c>
      <c r="I14481" t="s">
        <v>47120</v>
      </c>
      <c r="J14481" t="s">
        <v>47121</v>
      </c>
      <c r="K14481" t="s">
        <v>47113</v>
      </c>
      <c r="L14481">
        <v>159.38</v>
      </c>
      <c r="M14481">
        <v>336</v>
      </c>
      <c r="N14481">
        <v>0</v>
      </c>
      <c r="O14481">
        <v>336</v>
      </c>
      <c r="P14481">
        <v>0</v>
      </c>
    </row>
    <row r="14482" spans="1:16" x14ac:dyDescent="0.25">
      <c r="A14482" t="s">
        <v>37213</v>
      </c>
      <c r="B14482" t="s">
        <v>9938</v>
      </c>
      <c r="C14482" t="s">
        <v>258</v>
      </c>
      <c r="D14482" t="str">
        <f>"1001"</f>
        <v>1001</v>
      </c>
      <c r="E14482" t="s">
        <v>42</v>
      </c>
      <c r="F14482" t="s">
        <v>52</v>
      </c>
      <c r="G14482" t="s">
        <v>47099</v>
      </c>
      <c r="H14482" t="s">
        <v>47126</v>
      </c>
      <c r="I14482" t="s">
        <v>47120</v>
      </c>
      <c r="J14482" t="s">
        <v>47121</v>
      </c>
      <c r="K14482" t="s">
        <v>47113</v>
      </c>
      <c r="L14482">
        <v>140.13</v>
      </c>
      <c r="M14482">
        <v>445</v>
      </c>
      <c r="N14482">
        <v>0</v>
      </c>
      <c r="O14482">
        <v>445</v>
      </c>
      <c r="P14482">
        <v>0</v>
      </c>
    </row>
    <row r="14483" spans="1:16" x14ac:dyDescent="0.25">
      <c r="A14483" t="s">
        <v>37214</v>
      </c>
      <c r="B14483" t="s">
        <v>9938</v>
      </c>
      <c r="C14483" t="s">
        <v>258</v>
      </c>
      <c r="D14483" t="str">
        <f>"1200"</f>
        <v>1200</v>
      </c>
      <c r="E14483" t="s">
        <v>241</v>
      </c>
      <c r="F14483" t="s">
        <v>52</v>
      </c>
      <c r="G14483" t="s">
        <v>47099</v>
      </c>
      <c r="H14483" t="s">
        <v>47126</v>
      </c>
      <c r="I14483" t="s">
        <v>47120</v>
      </c>
      <c r="J14483" t="s">
        <v>47121</v>
      </c>
      <c r="K14483" t="s">
        <v>47113</v>
      </c>
      <c r="L14483">
        <v>186.74</v>
      </c>
      <c r="M14483">
        <v>458</v>
      </c>
      <c r="N14483">
        <v>0</v>
      </c>
      <c r="O14483">
        <v>458</v>
      </c>
      <c r="P14483">
        <v>0</v>
      </c>
    </row>
    <row r="14484" spans="1:16" x14ac:dyDescent="0.25">
      <c r="A14484" t="s">
        <v>37215</v>
      </c>
      <c r="B14484" t="s">
        <v>9939</v>
      </c>
      <c r="C14484" t="s">
        <v>263</v>
      </c>
      <c r="D14484" t="str">
        <f>"1001"</f>
        <v>1001</v>
      </c>
      <c r="E14484" t="s">
        <v>42</v>
      </c>
      <c r="F14484" t="s">
        <v>52</v>
      </c>
      <c r="G14484" t="s">
        <v>47099</v>
      </c>
      <c r="H14484" t="s">
        <v>47126</v>
      </c>
      <c r="I14484" t="s">
        <v>47120</v>
      </c>
      <c r="J14484" t="s">
        <v>47121</v>
      </c>
      <c r="K14484" t="s">
        <v>47113</v>
      </c>
      <c r="L14484">
        <v>171.65</v>
      </c>
      <c r="M14484">
        <v>445</v>
      </c>
      <c r="N14484">
        <v>0</v>
      </c>
      <c r="O14484">
        <v>445</v>
      </c>
      <c r="P14484">
        <v>0</v>
      </c>
    </row>
    <row r="14485" spans="1:16" x14ac:dyDescent="0.25">
      <c r="A14485" t="s">
        <v>15058</v>
      </c>
      <c r="B14485" t="s">
        <v>257</v>
      </c>
      <c r="C14485" t="s">
        <v>258</v>
      </c>
      <c r="D14485" t="str">
        <f>"1001"</f>
        <v>1001</v>
      </c>
      <c r="E14485" t="s">
        <v>42</v>
      </c>
      <c r="F14485" t="s">
        <v>52</v>
      </c>
      <c r="G14485" t="s">
        <v>47099</v>
      </c>
      <c r="H14485" t="s">
        <v>47126</v>
      </c>
      <c r="I14485" t="s">
        <v>47120</v>
      </c>
      <c r="J14485" t="s">
        <v>47121</v>
      </c>
      <c r="K14485" t="s">
        <v>47113</v>
      </c>
      <c r="L14485">
        <v>186.66</v>
      </c>
      <c r="M14485">
        <v>351</v>
      </c>
      <c r="N14485">
        <v>0</v>
      </c>
      <c r="O14485">
        <v>351</v>
      </c>
      <c r="P14485">
        <v>0</v>
      </c>
    </row>
    <row r="14486" spans="1:16" x14ac:dyDescent="0.25">
      <c r="A14486" t="s">
        <v>37216</v>
      </c>
      <c r="B14486" t="s">
        <v>257</v>
      </c>
      <c r="C14486" t="s">
        <v>258</v>
      </c>
      <c r="D14486" t="str">
        <f>"1126"</f>
        <v>1126</v>
      </c>
      <c r="E14486" t="s">
        <v>264</v>
      </c>
      <c r="F14486" t="s">
        <v>7</v>
      </c>
      <c r="G14486" t="s">
        <v>47099</v>
      </c>
      <c r="H14486" t="s">
        <v>47126</v>
      </c>
      <c r="I14486" t="s">
        <v>47120</v>
      </c>
      <c r="J14486" t="s">
        <v>47121</v>
      </c>
      <c r="K14486" t="s">
        <v>47113</v>
      </c>
      <c r="L14486">
        <v>196.17</v>
      </c>
      <c r="M14486">
        <v>445</v>
      </c>
      <c r="N14486">
        <v>0</v>
      </c>
      <c r="O14486">
        <v>445</v>
      </c>
      <c r="P14486">
        <v>0</v>
      </c>
    </row>
    <row r="14487" spans="1:16" x14ac:dyDescent="0.25">
      <c r="A14487" t="s">
        <v>15059</v>
      </c>
      <c r="B14487" t="s">
        <v>257</v>
      </c>
      <c r="C14487" t="s">
        <v>258</v>
      </c>
      <c r="D14487" t="str">
        <f>"2207"</f>
        <v>2207</v>
      </c>
      <c r="E14487" t="s">
        <v>259</v>
      </c>
      <c r="F14487" t="s">
        <v>7</v>
      </c>
      <c r="G14487" t="s">
        <v>47099</v>
      </c>
      <c r="H14487" t="s">
        <v>47126</v>
      </c>
      <c r="I14487" t="s">
        <v>47120</v>
      </c>
      <c r="J14487" t="s">
        <v>47121</v>
      </c>
      <c r="K14487" t="s">
        <v>47113</v>
      </c>
      <c r="L14487">
        <v>185.43</v>
      </c>
      <c r="M14487">
        <v>445</v>
      </c>
      <c r="N14487">
        <v>0</v>
      </c>
      <c r="O14487">
        <v>445</v>
      </c>
      <c r="P14487">
        <v>0</v>
      </c>
    </row>
    <row r="14488" spans="1:16" x14ac:dyDescent="0.25">
      <c r="A14488" t="s">
        <v>37217</v>
      </c>
      <c r="B14488" t="s">
        <v>257</v>
      </c>
      <c r="C14488" t="s">
        <v>258</v>
      </c>
      <c r="D14488" t="str">
        <f>"2500"</f>
        <v>2500</v>
      </c>
      <c r="E14488" t="s">
        <v>1747</v>
      </c>
      <c r="F14488" t="s">
        <v>7</v>
      </c>
      <c r="G14488" t="s">
        <v>47099</v>
      </c>
      <c r="H14488" t="s">
        <v>47126</v>
      </c>
      <c r="I14488" t="s">
        <v>47120</v>
      </c>
      <c r="J14488" t="s">
        <v>47121</v>
      </c>
      <c r="K14488" t="s">
        <v>47113</v>
      </c>
      <c r="L14488">
        <v>196.17</v>
      </c>
      <c r="M14488">
        <v>445</v>
      </c>
      <c r="N14488">
        <v>0</v>
      </c>
      <c r="O14488">
        <v>445</v>
      </c>
      <c r="P14488">
        <v>0</v>
      </c>
    </row>
    <row r="14489" spans="1:16" x14ac:dyDescent="0.25">
      <c r="A14489" t="s">
        <v>15060</v>
      </c>
      <c r="B14489" t="s">
        <v>257</v>
      </c>
      <c r="C14489" t="s">
        <v>258</v>
      </c>
      <c r="D14489" t="str">
        <f>"2502"</f>
        <v>2502</v>
      </c>
      <c r="E14489" t="s">
        <v>260</v>
      </c>
      <c r="F14489" t="s">
        <v>7</v>
      </c>
      <c r="G14489" t="s">
        <v>47099</v>
      </c>
      <c r="H14489" t="s">
        <v>47126</v>
      </c>
      <c r="I14489" t="s">
        <v>47120</v>
      </c>
      <c r="J14489" t="s">
        <v>47121</v>
      </c>
      <c r="K14489" t="s">
        <v>47113</v>
      </c>
      <c r="L14489">
        <v>185.43</v>
      </c>
      <c r="M14489">
        <v>445</v>
      </c>
      <c r="N14489">
        <v>0</v>
      </c>
      <c r="O14489">
        <v>445</v>
      </c>
      <c r="P14489">
        <v>0</v>
      </c>
    </row>
    <row r="14490" spans="1:16" x14ac:dyDescent="0.25">
      <c r="A14490" t="s">
        <v>37218</v>
      </c>
      <c r="B14490" t="s">
        <v>257</v>
      </c>
      <c r="C14490" t="s">
        <v>258</v>
      </c>
      <c r="D14490" t="str">
        <f>"3073"</f>
        <v>3073</v>
      </c>
      <c r="E14490" t="s">
        <v>9940</v>
      </c>
      <c r="F14490" t="s">
        <v>7</v>
      </c>
      <c r="G14490" t="s">
        <v>47099</v>
      </c>
      <c r="H14490" t="s">
        <v>47126</v>
      </c>
      <c r="I14490" t="s">
        <v>47120</v>
      </c>
      <c r="J14490" t="s">
        <v>47121</v>
      </c>
      <c r="K14490" t="s">
        <v>47113</v>
      </c>
      <c r="L14490">
        <v>196.17</v>
      </c>
      <c r="M14490">
        <v>445</v>
      </c>
      <c r="N14490">
        <v>0</v>
      </c>
      <c r="O14490">
        <v>445</v>
      </c>
      <c r="P14490">
        <v>0</v>
      </c>
    </row>
    <row r="14491" spans="1:16" x14ac:dyDescent="0.25">
      <c r="A14491" t="s">
        <v>15061</v>
      </c>
      <c r="B14491" t="s">
        <v>257</v>
      </c>
      <c r="C14491" t="s">
        <v>258</v>
      </c>
      <c r="D14491" t="str">
        <f>"4143"</f>
        <v>4143</v>
      </c>
      <c r="E14491" t="s">
        <v>261</v>
      </c>
      <c r="F14491" t="s">
        <v>7</v>
      </c>
      <c r="G14491" t="s">
        <v>47099</v>
      </c>
      <c r="H14491" t="s">
        <v>47126</v>
      </c>
      <c r="I14491" t="s">
        <v>47120</v>
      </c>
      <c r="J14491" t="s">
        <v>47121</v>
      </c>
      <c r="K14491" t="s">
        <v>47113</v>
      </c>
      <c r="L14491">
        <v>196.17</v>
      </c>
      <c r="M14491">
        <v>470</v>
      </c>
      <c r="N14491">
        <v>0</v>
      </c>
      <c r="O14491">
        <v>470</v>
      </c>
      <c r="P14491">
        <v>0</v>
      </c>
    </row>
    <row r="14492" spans="1:16" x14ac:dyDescent="0.25">
      <c r="A14492" t="s">
        <v>15062</v>
      </c>
      <c r="B14492" t="s">
        <v>262</v>
      </c>
      <c r="C14492" t="s">
        <v>263</v>
      </c>
      <c r="D14492" t="str">
        <f>"1001"</f>
        <v>1001</v>
      </c>
      <c r="E14492" t="s">
        <v>42</v>
      </c>
      <c r="F14492" t="s">
        <v>7</v>
      </c>
      <c r="G14492" t="s">
        <v>47099</v>
      </c>
      <c r="H14492" t="s">
        <v>47126</v>
      </c>
      <c r="I14492" t="s">
        <v>47120</v>
      </c>
      <c r="J14492" t="s">
        <v>47121</v>
      </c>
      <c r="K14492" t="s">
        <v>47113</v>
      </c>
      <c r="L14492">
        <v>167.64</v>
      </c>
      <c r="M14492">
        <v>445</v>
      </c>
      <c r="N14492">
        <v>0</v>
      </c>
      <c r="O14492">
        <v>445</v>
      </c>
      <c r="P14492">
        <v>0</v>
      </c>
    </row>
    <row r="14493" spans="1:16" x14ac:dyDescent="0.25">
      <c r="A14493" t="s">
        <v>15063</v>
      </c>
      <c r="B14493" t="s">
        <v>262</v>
      </c>
      <c r="C14493" t="s">
        <v>263</v>
      </c>
      <c r="D14493" t="str">
        <f>"1126"</f>
        <v>1126</v>
      </c>
      <c r="E14493" t="s">
        <v>264</v>
      </c>
      <c r="F14493" t="s">
        <v>7</v>
      </c>
      <c r="G14493" t="s">
        <v>47099</v>
      </c>
      <c r="H14493" t="s">
        <v>47126</v>
      </c>
      <c r="I14493" t="s">
        <v>47120</v>
      </c>
      <c r="J14493" t="s">
        <v>47121</v>
      </c>
      <c r="K14493" t="s">
        <v>47113</v>
      </c>
      <c r="L14493">
        <v>167.64</v>
      </c>
      <c r="M14493">
        <v>340</v>
      </c>
      <c r="N14493">
        <v>0</v>
      </c>
      <c r="O14493">
        <v>340</v>
      </c>
      <c r="P14493">
        <v>0</v>
      </c>
    </row>
    <row r="14494" spans="1:16" x14ac:dyDescent="0.25">
      <c r="A14494" t="s">
        <v>37219</v>
      </c>
      <c r="B14494" t="s">
        <v>262</v>
      </c>
      <c r="C14494" t="s">
        <v>263</v>
      </c>
      <c r="D14494" t="str">
        <f>"2018"</f>
        <v>2018</v>
      </c>
      <c r="E14494" t="s">
        <v>9941</v>
      </c>
      <c r="F14494" t="s">
        <v>7</v>
      </c>
      <c r="G14494" t="s">
        <v>47099</v>
      </c>
      <c r="H14494" t="s">
        <v>47126</v>
      </c>
      <c r="I14494" t="s">
        <v>47120</v>
      </c>
      <c r="J14494" t="s">
        <v>47121</v>
      </c>
      <c r="K14494" t="s">
        <v>47113</v>
      </c>
      <c r="L14494">
        <v>178.25</v>
      </c>
      <c r="M14494">
        <v>445</v>
      </c>
      <c r="N14494">
        <v>0</v>
      </c>
      <c r="O14494">
        <v>445</v>
      </c>
      <c r="P14494">
        <v>0</v>
      </c>
    </row>
    <row r="14495" spans="1:16" x14ac:dyDescent="0.25">
      <c r="A14495" t="s">
        <v>37220</v>
      </c>
      <c r="B14495" t="s">
        <v>262</v>
      </c>
      <c r="C14495" t="s">
        <v>263</v>
      </c>
      <c r="D14495" t="str">
        <f>"2500"</f>
        <v>2500</v>
      </c>
      <c r="E14495" t="s">
        <v>1747</v>
      </c>
      <c r="F14495" t="s">
        <v>7</v>
      </c>
      <c r="G14495" t="s">
        <v>47099</v>
      </c>
      <c r="H14495" t="s">
        <v>47126</v>
      </c>
      <c r="I14495" t="s">
        <v>47120</v>
      </c>
      <c r="J14495" t="s">
        <v>47121</v>
      </c>
      <c r="K14495" t="s">
        <v>47113</v>
      </c>
      <c r="L14495">
        <v>178.25</v>
      </c>
      <c r="M14495">
        <v>445</v>
      </c>
      <c r="N14495">
        <v>0</v>
      </c>
      <c r="O14495">
        <v>445</v>
      </c>
      <c r="P14495">
        <v>0</v>
      </c>
    </row>
    <row r="14496" spans="1:16" x14ac:dyDescent="0.25">
      <c r="A14496" t="s">
        <v>37221</v>
      </c>
      <c r="B14496" t="s">
        <v>262</v>
      </c>
      <c r="C14496" t="s">
        <v>263</v>
      </c>
      <c r="D14496" t="str">
        <f>"2502"</f>
        <v>2502</v>
      </c>
      <c r="E14496" t="s">
        <v>260</v>
      </c>
      <c r="F14496" t="s">
        <v>7</v>
      </c>
      <c r="G14496" t="s">
        <v>47099</v>
      </c>
      <c r="H14496" t="s">
        <v>47126</v>
      </c>
      <c r="I14496" t="s">
        <v>47120</v>
      </c>
      <c r="J14496" t="s">
        <v>47121</v>
      </c>
      <c r="K14496" t="s">
        <v>47113</v>
      </c>
      <c r="L14496">
        <v>186.74</v>
      </c>
      <c r="M14496">
        <v>445</v>
      </c>
      <c r="N14496">
        <v>0</v>
      </c>
      <c r="O14496">
        <v>445</v>
      </c>
      <c r="P14496">
        <v>0</v>
      </c>
    </row>
    <row r="14497" spans="1:16" x14ac:dyDescent="0.25">
      <c r="A14497" t="s">
        <v>37222</v>
      </c>
      <c r="B14497" t="s">
        <v>18264</v>
      </c>
      <c r="C14497" t="s">
        <v>16467</v>
      </c>
      <c r="D14497" t="str">
        <f>"1001"</f>
        <v>1001</v>
      </c>
      <c r="E14497" t="s">
        <v>42</v>
      </c>
      <c r="F14497" t="s">
        <v>15183</v>
      </c>
      <c r="G14497" t="s">
        <v>16226</v>
      </c>
      <c r="H14497" t="s">
        <v>47071</v>
      </c>
      <c r="I14497" t="s">
        <v>47120</v>
      </c>
      <c r="J14497" t="s">
        <v>47121</v>
      </c>
      <c r="K14497" t="s">
        <v>47113</v>
      </c>
      <c r="L14497">
        <v>15.79</v>
      </c>
      <c r="M14497">
        <v>37</v>
      </c>
      <c r="N14497">
        <v>0</v>
      </c>
      <c r="O14497">
        <v>37</v>
      </c>
      <c r="P14497">
        <v>0</v>
      </c>
    </row>
    <row r="14498" spans="1:16" x14ac:dyDescent="0.25">
      <c r="A14498" t="s">
        <v>37223</v>
      </c>
      <c r="B14498" t="s">
        <v>18264</v>
      </c>
      <c r="C14498" t="s">
        <v>16467</v>
      </c>
      <c r="D14498" t="str">
        <f>"2000"</f>
        <v>2000</v>
      </c>
      <c r="E14498" t="s">
        <v>248</v>
      </c>
      <c r="F14498" t="s">
        <v>15183</v>
      </c>
      <c r="G14498" t="s">
        <v>16226</v>
      </c>
      <c r="H14498" t="s">
        <v>47071</v>
      </c>
      <c r="I14498" t="s">
        <v>47120</v>
      </c>
      <c r="J14498" t="s">
        <v>47121</v>
      </c>
      <c r="K14498" t="s">
        <v>47113</v>
      </c>
      <c r="L14498">
        <v>15.79</v>
      </c>
      <c r="M14498">
        <v>37</v>
      </c>
      <c r="N14498">
        <v>0</v>
      </c>
      <c r="O14498">
        <v>37</v>
      </c>
      <c r="P14498">
        <v>0</v>
      </c>
    </row>
    <row r="14499" spans="1:16" x14ac:dyDescent="0.25">
      <c r="A14499" t="s">
        <v>37224</v>
      </c>
      <c r="B14499" t="s">
        <v>16466</v>
      </c>
      <c r="C14499" t="s">
        <v>16467</v>
      </c>
      <c r="D14499" t="str">
        <f>"1001"</f>
        <v>1001</v>
      </c>
      <c r="E14499" t="s">
        <v>42</v>
      </c>
      <c r="F14499" t="s">
        <v>3558</v>
      </c>
      <c r="G14499" t="s">
        <v>16226</v>
      </c>
      <c r="H14499" t="s">
        <v>47071</v>
      </c>
      <c r="I14499" t="s">
        <v>47964</v>
      </c>
      <c r="J14499" t="s">
        <v>47965</v>
      </c>
      <c r="K14499" t="s">
        <v>47113</v>
      </c>
      <c r="L14499">
        <v>20.09</v>
      </c>
      <c r="M14499">
        <v>33</v>
      </c>
      <c r="N14499">
        <v>0</v>
      </c>
      <c r="O14499">
        <v>33</v>
      </c>
      <c r="P14499">
        <v>0</v>
      </c>
    </row>
    <row r="14500" spans="1:16" x14ac:dyDescent="0.25">
      <c r="A14500" t="s">
        <v>18265</v>
      </c>
      <c r="B14500" t="s">
        <v>18266</v>
      </c>
      <c r="C14500" t="s">
        <v>16467</v>
      </c>
      <c r="D14500" t="str">
        <f>"1001"</f>
        <v>1001</v>
      </c>
      <c r="E14500" t="s">
        <v>42</v>
      </c>
      <c r="F14500" t="s">
        <v>15183</v>
      </c>
      <c r="G14500" t="s">
        <v>16226</v>
      </c>
      <c r="H14500" t="s">
        <v>47071</v>
      </c>
      <c r="I14500" t="s">
        <v>47120</v>
      </c>
      <c r="J14500" t="s">
        <v>47121</v>
      </c>
      <c r="K14500" t="s">
        <v>47113</v>
      </c>
      <c r="L14500">
        <v>17.7</v>
      </c>
      <c r="M14500">
        <v>37</v>
      </c>
      <c r="N14500">
        <v>0</v>
      </c>
      <c r="O14500">
        <v>37</v>
      </c>
      <c r="P14500">
        <v>0</v>
      </c>
    </row>
    <row r="14501" spans="1:16" x14ac:dyDescent="0.25">
      <c r="A14501" t="s">
        <v>37225</v>
      </c>
      <c r="B14501" t="s">
        <v>9942</v>
      </c>
      <c r="C14501" t="s">
        <v>9943</v>
      </c>
      <c r="D14501" t="str">
        <f>"1001"</f>
        <v>1001</v>
      </c>
      <c r="E14501" t="s">
        <v>42</v>
      </c>
      <c r="F14501" t="s">
        <v>3670</v>
      </c>
      <c r="G14501" t="s">
        <v>16226</v>
      </c>
      <c r="H14501" t="s">
        <v>47071</v>
      </c>
      <c r="I14501" t="s">
        <v>47964</v>
      </c>
      <c r="J14501" t="s">
        <v>47965</v>
      </c>
      <c r="K14501" t="s">
        <v>47113</v>
      </c>
      <c r="L14501">
        <v>18</v>
      </c>
      <c r="M14501">
        <v>37</v>
      </c>
      <c r="N14501">
        <v>0</v>
      </c>
      <c r="O14501">
        <v>37</v>
      </c>
      <c r="P14501">
        <v>0</v>
      </c>
    </row>
    <row r="14502" spans="1:16" x14ac:dyDescent="0.25">
      <c r="A14502" t="s">
        <v>37226</v>
      </c>
      <c r="B14502" t="s">
        <v>9942</v>
      </c>
      <c r="C14502" t="s">
        <v>9943</v>
      </c>
      <c r="D14502" t="str">
        <f>"2000"</f>
        <v>2000</v>
      </c>
      <c r="E14502" t="s">
        <v>248</v>
      </c>
      <c r="F14502" t="s">
        <v>3670</v>
      </c>
      <c r="G14502" t="s">
        <v>16226</v>
      </c>
      <c r="H14502" t="s">
        <v>47071</v>
      </c>
      <c r="I14502" t="s">
        <v>47964</v>
      </c>
      <c r="J14502" t="s">
        <v>47965</v>
      </c>
      <c r="K14502" t="s">
        <v>47113</v>
      </c>
      <c r="L14502">
        <v>18</v>
      </c>
      <c r="M14502">
        <v>37</v>
      </c>
      <c r="N14502">
        <v>0</v>
      </c>
      <c r="O14502">
        <v>37</v>
      </c>
      <c r="P14502">
        <v>0</v>
      </c>
    </row>
    <row r="14503" spans="1:16" x14ac:dyDescent="0.25">
      <c r="A14503" t="s">
        <v>37227</v>
      </c>
      <c r="B14503" t="s">
        <v>9944</v>
      </c>
      <c r="C14503" t="s">
        <v>9945</v>
      </c>
      <c r="D14503" t="str">
        <f>"1001"</f>
        <v>1001</v>
      </c>
      <c r="E14503" t="s">
        <v>42</v>
      </c>
      <c r="F14503" t="s">
        <v>3670</v>
      </c>
      <c r="G14503" t="s">
        <v>16226</v>
      </c>
      <c r="H14503" t="s">
        <v>47071</v>
      </c>
      <c r="I14503" t="s">
        <v>47964</v>
      </c>
      <c r="J14503" t="s">
        <v>47965</v>
      </c>
      <c r="K14503" t="s">
        <v>47113</v>
      </c>
      <c r="L14503">
        <v>17.59</v>
      </c>
      <c r="M14503">
        <v>33</v>
      </c>
      <c r="N14503">
        <v>0</v>
      </c>
      <c r="O14503">
        <v>33</v>
      </c>
      <c r="P14503">
        <v>0</v>
      </c>
    </row>
    <row r="14504" spans="1:16" x14ac:dyDescent="0.25">
      <c r="A14504" t="s">
        <v>37228</v>
      </c>
      <c r="B14504" t="s">
        <v>9944</v>
      </c>
      <c r="C14504" t="s">
        <v>9945</v>
      </c>
      <c r="D14504" t="str">
        <f>"2000"</f>
        <v>2000</v>
      </c>
      <c r="E14504" t="s">
        <v>248</v>
      </c>
      <c r="F14504" t="s">
        <v>3670</v>
      </c>
      <c r="G14504" t="s">
        <v>16226</v>
      </c>
      <c r="H14504" t="s">
        <v>47071</v>
      </c>
      <c r="I14504" t="s">
        <v>47964</v>
      </c>
      <c r="J14504" t="s">
        <v>47965</v>
      </c>
      <c r="K14504" t="s">
        <v>47113</v>
      </c>
      <c r="L14504">
        <v>17.59</v>
      </c>
      <c r="M14504">
        <v>33</v>
      </c>
      <c r="N14504">
        <v>0</v>
      </c>
      <c r="O14504">
        <v>33</v>
      </c>
      <c r="P14504">
        <v>0</v>
      </c>
    </row>
    <row r="14505" spans="1:16" x14ac:dyDescent="0.25">
      <c r="A14505" t="s">
        <v>37229</v>
      </c>
      <c r="B14505" t="s">
        <v>9946</v>
      </c>
      <c r="C14505" t="s">
        <v>9947</v>
      </c>
      <c r="D14505" t="str">
        <f>"1001"</f>
        <v>1001</v>
      </c>
      <c r="E14505" t="s">
        <v>42</v>
      </c>
      <c r="F14505" t="s">
        <v>3670</v>
      </c>
      <c r="G14505" t="s">
        <v>16226</v>
      </c>
      <c r="H14505" t="s">
        <v>47071</v>
      </c>
      <c r="I14505" t="s">
        <v>47964</v>
      </c>
      <c r="J14505" t="s">
        <v>47965</v>
      </c>
      <c r="K14505" t="s">
        <v>47113</v>
      </c>
      <c r="L14505">
        <v>16.75</v>
      </c>
      <c r="M14505">
        <v>33</v>
      </c>
      <c r="N14505">
        <v>0</v>
      </c>
      <c r="O14505">
        <v>33</v>
      </c>
      <c r="P14505">
        <v>0</v>
      </c>
    </row>
    <row r="14506" spans="1:16" x14ac:dyDescent="0.25">
      <c r="A14506" t="s">
        <v>37230</v>
      </c>
      <c r="B14506" t="s">
        <v>9948</v>
      </c>
      <c r="C14506" t="s">
        <v>9949</v>
      </c>
      <c r="D14506" t="str">
        <f>"1001"</f>
        <v>1001</v>
      </c>
      <c r="E14506" t="s">
        <v>42</v>
      </c>
      <c r="F14506" t="s">
        <v>3670</v>
      </c>
      <c r="G14506" t="s">
        <v>47104</v>
      </c>
      <c r="H14506" t="s">
        <v>47071</v>
      </c>
      <c r="I14506" t="s">
        <v>47120</v>
      </c>
      <c r="J14506" t="s">
        <v>47121</v>
      </c>
      <c r="K14506" t="s">
        <v>47113</v>
      </c>
      <c r="L14506">
        <v>16.05</v>
      </c>
      <c r="M14506">
        <v>29</v>
      </c>
      <c r="N14506">
        <v>0</v>
      </c>
      <c r="O14506">
        <v>29</v>
      </c>
      <c r="P14506">
        <v>0</v>
      </c>
    </row>
    <row r="14507" spans="1:16" x14ac:dyDescent="0.25">
      <c r="A14507" t="s">
        <v>37231</v>
      </c>
      <c r="B14507" t="s">
        <v>9948</v>
      </c>
      <c r="C14507" t="s">
        <v>9949</v>
      </c>
      <c r="D14507" t="str">
        <f>"2000"</f>
        <v>2000</v>
      </c>
      <c r="E14507" t="s">
        <v>248</v>
      </c>
      <c r="F14507" t="s">
        <v>3670</v>
      </c>
      <c r="G14507" t="s">
        <v>47104</v>
      </c>
      <c r="H14507" t="s">
        <v>47071</v>
      </c>
      <c r="I14507" t="s">
        <v>47120</v>
      </c>
      <c r="J14507" t="s">
        <v>47121</v>
      </c>
      <c r="K14507" t="s">
        <v>47113</v>
      </c>
      <c r="L14507">
        <v>16.05</v>
      </c>
      <c r="M14507">
        <v>29</v>
      </c>
      <c r="N14507">
        <v>0</v>
      </c>
      <c r="O14507">
        <v>29</v>
      </c>
      <c r="P14507">
        <v>0</v>
      </c>
    </row>
    <row r="14508" spans="1:16" x14ac:dyDescent="0.25">
      <c r="A14508" t="s">
        <v>37232</v>
      </c>
      <c r="B14508" t="s">
        <v>9950</v>
      </c>
      <c r="C14508" t="s">
        <v>9951</v>
      </c>
      <c r="D14508" t="str">
        <f>"1001"</f>
        <v>1001</v>
      </c>
      <c r="E14508" t="s">
        <v>42</v>
      </c>
      <c r="F14508" t="s">
        <v>3670</v>
      </c>
      <c r="G14508" t="s">
        <v>47104</v>
      </c>
      <c r="H14508" t="s">
        <v>47071</v>
      </c>
      <c r="I14508" t="s">
        <v>47120</v>
      </c>
      <c r="J14508" t="s">
        <v>47121</v>
      </c>
      <c r="K14508" t="s">
        <v>47113</v>
      </c>
      <c r="L14508">
        <v>17.510000000000002</v>
      </c>
      <c r="M14508">
        <v>33</v>
      </c>
      <c r="N14508">
        <v>0</v>
      </c>
      <c r="O14508">
        <v>33</v>
      </c>
      <c r="P14508">
        <v>0</v>
      </c>
    </row>
    <row r="14509" spans="1:16" x14ac:dyDescent="0.25">
      <c r="A14509" t="s">
        <v>37233</v>
      </c>
      <c r="B14509" t="s">
        <v>9950</v>
      </c>
      <c r="C14509" t="s">
        <v>9951</v>
      </c>
      <c r="D14509" t="str">
        <f>"2000"</f>
        <v>2000</v>
      </c>
      <c r="E14509" t="s">
        <v>248</v>
      </c>
      <c r="F14509" t="s">
        <v>3670</v>
      </c>
      <c r="G14509" t="s">
        <v>47104</v>
      </c>
      <c r="H14509" t="s">
        <v>47071</v>
      </c>
      <c r="I14509" t="s">
        <v>47120</v>
      </c>
      <c r="J14509" t="s">
        <v>47121</v>
      </c>
      <c r="K14509" t="s">
        <v>47113</v>
      </c>
      <c r="L14509">
        <v>17.510000000000002</v>
      </c>
      <c r="M14509">
        <v>33</v>
      </c>
      <c r="N14509">
        <v>0</v>
      </c>
      <c r="O14509">
        <v>33</v>
      </c>
      <c r="P14509">
        <v>0</v>
      </c>
    </row>
    <row r="14510" spans="1:16" x14ac:dyDescent="0.25">
      <c r="A14510" t="s">
        <v>37234</v>
      </c>
      <c r="B14510" t="s">
        <v>9952</v>
      </c>
      <c r="C14510" t="s">
        <v>9953</v>
      </c>
      <c r="D14510" t="str">
        <f>"1001"</f>
        <v>1001</v>
      </c>
      <c r="E14510" t="s">
        <v>42</v>
      </c>
      <c r="F14510" t="s">
        <v>3670</v>
      </c>
      <c r="G14510" t="s">
        <v>47104</v>
      </c>
      <c r="H14510" t="s">
        <v>47071</v>
      </c>
      <c r="I14510" t="s">
        <v>47120</v>
      </c>
      <c r="J14510" t="s">
        <v>47121</v>
      </c>
      <c r="K14510" t="s">
        <v>47113</v>
      </c>
      <c r="L14510">
        <v>18.239999999999998</v>
      </c>
      <c r="M14510">
        <v>37</v>
      </c>
      <c r="N14510">
        <v>0</v>
      </c>
      <c r="O14510">
        <v>37</v>
      </c>
      <c r="P14510">
        <v>0</v>
      </c>
    </row>
    <row r="14511" spans="1:16" x14ac:dyDescent="0.25">
      <c r="A14511" t="s">
        <v>37235</v>
      </c>
      <c r="B14511" t="s">
        <v>9952</v>
      </c>
      <c r="C14511" t="s">
        <v>9953</v>
      </c>
      <c r="D14511" t="str">
        <f>"2000"</f>
        <v>2000</v>
      </c>
      <c r="E14511" t="s">
        <v>248</v>
      </c>
      <c r="F14511" t="s">
        <v>3670</v>
      </c>
      <c r="G14511" t="s">
        <v>47104</v>
      </c>
      <c r="H14511" t="s">
        <v>47071</v>
      </c>
      <c r="I14511" t="s">
        <v>47120</v>
      </c>
      <c r="J14511" t="s">
        <v>47121</v>
      </c>
      <c r="K14511" t="s">
        <v>47113</v>
      </c>
      <c r="L14511">
        <v>18.239999999999998</v>
      </c>
      <c r="M14511">
        <v>37</v>
      </c>
      <c r="N14511">
        <v>0</v>
      </c>
      <c r="O14511">
        <v>37</v>
      </c>
      <c r="P14511">
        <v>0</v>
      </c>
    </row>
    <row r="14512" spans="1:16" x14ac:dyDescent="0.25">
      <c r="A14512" t="s">
        <v>37236</v>
      </c>
      <c r="B14512" t="s">
        <v>9954</v>
      </c>
      <c r="C14512" t="s">
        <v>16465</v>
      </c>
      <c r="D14512" t="str">
        <f>"1001"</f>
        <v>1001</v>
      </c>
      <c r="E14512" t="s">
        <v>42</v>
      </c>
      <c r="F14512" t="s">
        <v>3670</v>
      </c>
      <c r="G14512" t="s">
        <v>16226</v>
      </c>
      <c r="H14512" t="s">
        <v>47071</v>
      </c>
      <c r="I14512" t="s">
        <v>47964</v>
      </c>
      <c r="J14512" t="s">
        <v>47965</v>
      </c>
      <c r="K14512" t="s">
        <v>47113</v>
      </c>
      <c r="L14512">
        <v>15.49</v>
      </c>
      <c r="M14512">
        <v>29</v>
      </c>
      <c r="N14512">
        <v>0</v>
      </c>
      <c r="O14512">
        <v>29</v>
      </c>
      <c r="P14512">
        <v>0</v>
      </c>
    </row>
    <row r="14513" spans="1:16" x14ac:dyDescent="0.25">
      <c r="A14513" t="s">
        <v>37237</v>
      </c>
      <c r="B14513" t="s">
        <v>9954</v>
      </c>
      <c r="C14513" t="s">
        <v>16465</v>
      </c>
      <c r="D14513" t="str">
        <f>"2000"</f>
        <v>2000</v>
      </c>
      <c r="E14513" t="s">
        <v>248</v>
      </c>
      <c r="F14513" t="s">
        <v>3670</v>
      </c>
      <c r="G14513" t="s">
        <v>16226</v>
      </c>
      <c r="H14513" t="s">
        <v>47071</v>
      </c>
      <c r="I14513" t="s">
        <v>47964</v>
      </c>
      <c r="J14513" t="s">
        <v>47965</v>
      </c>
      <c r="K14513" t="s">
        <v>47113</v>
      </c>
      <c r="L14513">
        <v>15.49</v>
      </c>
      <c r="M14513">
        <v>29</v>
      </c>
      <c r="N14513">
        <v>0</v>
      </c>
      <c r="O14513">
        <v>29</v>
      </c>
      <c r="P14513">
        <v>0</v>
      </c>
    </row>
    <row r="14514" spans="1:16" x14ac:dyDescent="0.25">
      <c r="A14514" t="s">
        <v>22803</v>
      </c>
      <c r="B14514" t="s">
        <v>21273</v>
      </c>
      <c r="C14514" t="s">
        <v>21274</v>
      </c>
      <c r="D14514" t="str">
        <f>"1001"</f>
        <v>1001</v>
      </c>
      <c r="E14514" t="s">
        <v>42</v>
      </c>
      <c r="F14514" t="s">
        <v>17351</v>
      </c>
      <c r="G14514" t="s">
        <v>16226</v>
      </c>
      <c r="H14514" t="s">
        <v>47071</v>
      </c>
      <c r="I14514" t="s">
        <v>47964</v>
      </c>
      <c r="J14514" t="s">
        <v>47965</v>
      </c>
      <c r="K14514" t="s">
        <v>47113</v>
      </c>
      <c r="L14514">
        <v>19.989999999999998</v>
      </c>
      <c r="M14514">
        <v>43</v>
      </c>
      <c r="N14514">
        <v>0</v>
      </c>
      <c r="O14514">
        <v>43</v>
      </c>
      <c r="P14514">
        <v>0</v>
      </c>
    </row>
    <row r="14515" spans="1:16" x14ac:dyDescent="0.25">
      <c r="A14515" t="s">
        <v>22804</v>
      </c>
      <c r="B14515" t="s">
        <v>21273</v>
      </c>
      <c r="C14515" t="s">
        <v>21274</v>
      </c>
      <c r="D14515" t="str">
        <f>"2602"</f>
        <v>2602</v>
      </c>
      <c r="E14515" t="s">
        <v>2307</v>
      </c>
      <c r="F14515" t="s">
        <v>17351</v>
      </c>
      <c r="G14515" t="s">
        <v>16226</v>
      </c>
      <c r="H14515" t="s">
        <v>47071</v>
      </c>
      <c r="I14515" t="s">
        <v>47964</v>
      </c>
      <c r="J14515" t="s">
        <v>47965</v>
      </c>
      <c r="K14515" t="s">
        <v>47113</v>
      </c>
      <c r="L14515">
        <v>19.989999999999998</v>
      </c>
      <c r="M14515">
        <v>43</v>
      </c>
      <c r="N14515">
        <v>0</v>
      </c>
      <c r="O14515">
        <v>43</v>
      </c>
      <c r="P14515">
        <v>0</v>
      </c>
    </row>
    <row r="14516" spans="1:16" x14ac:dyDescent="0.25">
      <c r="A14516" t="s">
        <v>22805</v>
      </c>
      <c r="B14516" t="s">
        <v>21275</v>
      </c>
      <c r="C14516" t="s">
        <v>21276</v>
      </c>
      <c r="D14516" t="str">
        <f>"1001"</f>
        <v>1001</v>
      </c>
      <c r="E14516" t="s">
        <v>42</v>
      </c>
      <c r="F14516" t="s">
        <v>17351</v>
      </c>
      <c r="G14516" t="s">
        <v>16226</v>
      </c>
      <c r="H14516" t="s">
        <v>47071</v>
      </c>
      <c r="I14516" t="s">
        <v>47964</v>
      </c>
      <c r="J14516" t="s">
        <v>47965</v>
      </c>
      <c r="K14516" t="s">
        <v>47113</v>
      </c>
      <c r="L14516">
        <v>21.25</v>
      </c>
      <c r="M14516">
        <v>43</v>
      </c>
      <c r="N14516">
        <v>0</v>
      </c>
      <c r="O14516">
        <v>43</v>
      </c>
      <c r="P14516">
        <v>0</v>
      </c>
    </row>
    <row r="14517" spans="1:16" x14ac:dyDescent="0.25">
      <c r="A14517" t="s">
        <v>37238</v>
      </c>
      <c r="B14517" t="s">
        <v>21275</v>
      </c>
      <c r="C14517" t="s">
        <v>21276</v>
      </c>
      <c r="D14517" t="str">
        <f>"2000"</f>
        <v>2000</v>
      </c>
      <c r="E14517" t="s">
        <v>2354</v>
      </c>
      <c r="F14517" t="s">
        <v>17351</v>
      </c>
      <c r="G14517" t="s">
        <v>16226</v>
      </c>
      <c r="H14517" t="s">
        <v>47071</v>
      </c>
      <c r="I14517" t="s">
        <v>47964</v>
      </c>
      <c r="J14517" t="s">
        <v>47965</v>
      </c>
      <c r="K14517" t="s">
        <v>47113</v>
      </c>
      <c r="L14517">
        <v>21.25</v>
      </c>
      <c r="M14517">
        <v>43</v>
      </c>
      <c r="N14517">
        <v>0</v>
      </c>
      <c r="O14517">
        <v>43</v>
      </c>
      <c r="P14517">
        <v>0</v>
      </c>
    </row>
    <row r="14518" spans="1:16" x14ac:dyDescent="0.25">
      <c r="A14518" t="s">
        <v>22806</v>
      </c>
      <c r="B14518" t="s">
        <v>21277</v>
      </c>
      <c r="C14518" t="s">
        <v>21278</v>
      </c>
      <c r="D14518" t="str">
        <f>"1001"</f>
        <v>1001</v>
      </c>
      <c r="E14518" t="s">
        <v>8835</v>
      </c>
      <c r="F14518" t="s">
        <v>17351</v>
      </c>
      <c r="G14518" t="s">
        <v>16226</v>
      </c>
      <c r="H14518" t="s">
        <v>47071</v>
      </c>
      <c r="I14518" t="s">
        <v>47964</v>
      </c>
      <c r="J14518" t="s">
        <v>47965</v>
      </c>
      <c r="K14518" t="s">
        <v>47113</v>
      </c>
      <c r="L14518">
        <v>19.989999999999998</v>
      </c>
      <c r="M14518">
        <v>43</v>
      </c>
      <c r="N14518">
        <v>0</v>
      </c>
      <c r="O14518">
        <v>43</v>
      </c>
      <c r="P14518">
        <v>0</v>
      </c>
    </row>
    <row r="14519" spans="1:16" x14ac:dyDescent="0.25">
      <c r="A14519" t="s">
        <v>37239</v>
      </c>
      <c r="B14519" t="s">
        <v>21277</v>
      </c>
      <c r="C14519" t="s">
        <v>21278</v>
      </c>
      <c r="D14519" t="str">
        <f>"2500"</f>
        <v>2500</v>
      </c>
      <c r="E14519" t="s">
        <v>21279</v>
      </c>
      <c r="F14519" t="s">
        <v>17351</v>
      </c>
      <c r="G14519" t="s">
        <v>16226</v>
      </c>
      <c r="H14519" t="s">
        <v>47071</v>
      </c>
      <c r="I14519" t="s">
        <v>47964</v>
      </c>
      <c r="J14519" t="s">
        <v>47965</v>
      </c>
      <c r="K14519" t="s">
        <v>47113</v>
      </c>
      <c r="L14519">
        <v>19.989999999999998</v>
      </c>
      <c r="M14519">
        <v>43</v>
      </c>
      <c r="N14519">
        <v>0</v>
      </c>
      <c r="O14519">
        <v>43</v>
      </c>
      <c r="P14519">
        <v>0</v>
      </c>
    </row>
    <row r="14520" spans="1:16" x14ac:dyDescent="0.25">
      <c r="A14520" t="s">
        <v>37240</v>
      </c>
      <c r="B14520" t="s">
        <v>9955</v>
      </c>
      <c r="C14520" t="s">
        <v>2584</v>
      </c>
      <c r="D14520" t="str">
        <f>"6202"</f>
        <v>6202</v>
      </c>
      <c r="E14520" t="s">
        <v>814</v>
      </c>
      <c r="F14520" t="s">
        <v>631</v>
      </c>
      <c r="G14520" t="s">
        <v>47074</v>
      </c>
      <c r="H14520" t="s">
        <v>47054</v>
      </c>
      <c r="I14520" t="s">
        <v>47116</v>
      </c>
      <c r="J14520" t="s">
        <v>47117</v>
      </c>
      <c r="K14520" t="s">
        <v>47113</v>
      </c>
      <c r="L14520">
        <v>32.61</v>
      </c>
      <c r="M14520">
        <v>83</v>
      </c>
      <c r="N14520">
        <v>0</v>
      </c>
      <c r="O14520">
        <v>83</v>
      </c>
      <c r="P14520">
        <v>0</v>
      </c>
    </row>
    <row r="14521" spans="1:16" x14ac:dyDescent="0.25">
      <c r="A14521" t="s">
        <v>37241</v>
      </c>
      <c r="B14521" t="s">
        <v>9956</v>
      </c>
      <c r="C14521" t="s">
        <v>2584</v>
      </c>
      <c r="D14521" t="str">
        <f>"2500"</f>
        <v>2500</v>
      </c>
      <c r="E14521" t="s">
        <v>1747</v>
      </c>
      <c r="F14521" t="s">
        <v>56</v>
      </c>
      <c r="G14521" t="s">
        <v>47074</v>
      </c>
      <c r="H14521" t="s">
        <v>47054</v>
      </c>
      <c r="I14521" t="s">
        <v>47116</v>
      </c>
      <c r="J14521" t="s">
        <v>47117</v>
      </c>
      <c r="K14521" t="s">
        <v>47113</v>
      </c>
      <c r="L14521">
        <v>34.270000000000003</v>
      </c>
      <c r="M14521">
        <v>68</v>
      </c>
      <c r="N14521">
        <v>0</v>
      </c>
      <c r="O14521">
        <v>68</v>
      </c>
      <c r="P14521">
        <v>0</v>
      </c>
    </row>
    <row r="14522" spans="1:16" x14ac:dyDescent="0.25">
      <c r="A14522" t="s">
        <v>37242</v>
      </c>
      <c r="B14522" t="s">
        <v>9956</v>
      </c>
      <c r="C14522" t="s">
        <v>2584</v>
      </c>
      <c r="D14522" t="str">
        <f>"5109"</f>
        <v>5109</v>
      </c>
      <c r="E14522" t="s">
        <v>769</v>
      </c>
      <c r="F14522" t="s">
        <v>56</v>
      </c>
      <c r="G14522" t="s">
        <v>47074</v>
      </c>
      <c r="H14522" t="s">
        <v>47054</v>
      </c>
      <c r="I14522" t="s">
        <v>47116</v>
      </c>
      <c r="J14522" t="s">
        <v>47117</v>
      </c>
      <c r="K14522" t="s">
        <v>47113</v>
      </c>
      <c r="L14522">
        <v>34.270000000000003</v>
      </c>
      <c r="M14522">
        <v>68</v>
      </c>
      <c r="N14522">
        <v>0</v>
      </c>
      <c r="O14522">
        <v>68</v>
      </c>
      <c r="P14522">
        <v>0</v>
      </c>
    </row>
    <row r="14523" spans="1:16" x14ac:dyDescent="0.25">
      <c r="A14523" t="s">
        <v>37243</v>
      </c>
      <c r="B14523" t="s">
        <v>9957</v>
      </c>
      <c r="C14523" t="s">
        <v>2584</v>
      </c>
      <c r="D14523" t="str">
        <f>"6809"</f>
        <v>6809</v>
      </c>
      <c r="E14523" t="s">
        <v>9958</v>
      </c>
      <c r="F14523" t="s">
        <v>56</v>
      </c>
      <c r="G14523" t="s">
        <v>47074</v>
      </c>
      <c r="H14523" t="s">
        <v>47054</v>
      </c>
      <c r="I14523" t="s">
        <v>47116</v>
      </c>
      <c r="J14523" t="s">
        <v>47117</v>
      </c>
      <c r="K14523" t="s">
        <v>47113</v>
      </c>
      <c r="L14523">
        <v>35.049999999999997</v>
      </c>
      <c r="M14523">
        <v>102</v>
      </c>
      <c r="N14523">
        <v>0</v>
      </c>
      <c r="O14523">
        <v>102</v>
      </c>
      <c r="P14523">
        <v>0</v>
      </c>
    </row>
    <row r="14524" spans="1:16" x14ac:dyDescent="0.25">
      <c r="A14524" t="s">
        <v>37244</v>
      </c>
      <c r="B14524" t="s">
        <v>9957</v>
      </c>
      <c r="C14524" t="s">
        <v>2584</v>
      </c>
      <c r="D14524" t="str">
        <f>"7310"</f>
        <v>7310</v>
      </c>
      <c r="E14524" t="s">
        <v>9959</v>
      </c>
      <c r="F14524" t="s">
        <v>56</v>
      </c>
      <c r="G14524" t="s">
        <v>47074</v>
      </c>
      <c r="H14524" t="s">
        <v>47054</v>
      </c>
      <c r="I14524" t="s">
        <v>47116</v>
      </c>
      <c r="J14524" t="s">
        <v>47117</v>
      </c>
      <c r="K14524" t="s">
        <v>47113</v>
      </c>
      <c r="L14524">
        <v>34.19</v>
      </c>
      <c r="M14524">
        <v>68</v>
      </c>
      <c r="N14524">
        <v>0</v>
      </c>
      <c r="O14524">
        <v>68</v>
      </c>
      <c r="P14524">
        <v>0</v>
      </c>
    </row>
    <row r="14525" spans="1:16" x14ac:dyDescent="0.25">
      <c r="A14525" t="s">
        <v>37245</v>
      </c>
      <c r="B14525" t="s">
        <v>9960</v>
      </c>
      <c r="C14525" t="s">
        <v>9961</v>
      </c>
      <c r="D14525" t="str">
        <f>"23"</f>
        <v>23</v>
      </c>
      <c r="E14525" t="s">
        <v>3119</v>
      </c>
      <c r="F14525" t="s">
        <v>2</v>
      </c>
      <c r="G14525" t="s">
        <v>47072</v>
      </c>
      <c r="H14525" t="s">
        <v>47054</v>
      </c>
      <c r="I14525" t="s">
        <v>47116</v>
      </c>
      <c r="J14525" t="s">
        <v>47117</v>
      </c>
      <c r="K14525" t="s">
        <v>47113</v>
      </c>
      <c r="L14525">
        <v>11.95</v>
      </c>
      <c r="M14525">
        <v>30</v>
      </c>
      <c r="N14525">
        <v>0</v>
      </c>
      <c r="O14525">
        <v>30</v>
      </c>
      <c r="P14525">
        <v>0</v>
      </c>
    </row>
    <row r="14526" spans="1:16" x14ac:dyDescent="0.25">
      <c r="A14526" t="s">
        <v>37246</v>
      </c>
      <c r="B14526" t="s">
        <v>9962</v>
      </c>
      <c r="C14526" t="s">
        <v>9963</v>
      </c>
      <c r="D14526" t="s">
        <v>721</v>
      </c>
      <c r="E14526" t="s">
        <v>722</v>
      </c>
      <c r="F14526" t="s">
        <v>6</v>
      </c>
      <c r="G14526" t="s">
        <v>47072</v>
      </c>
      <c r="H14526" t="s">
        <v>47054</v>
      </c>
      <c r="I14526" t="s">
        <v>47116</v>
      </c>
      <c r="J14526" t="s">
        <v>47117</v>
      </c>
      <c r="K14526" t="s">
        <v>47113</v>
      </c>
      <c r="L14526">
        <v>12.05</v>
      </c>
      <c r="M14526">
        <v>30</v>
      </c>
      <c r="N14526">
        <v>0</v>
      </c>
      <c r="O14526">
        <v>30</v>
      </c>
      <c r="P14526">
        <v>0</v>
      </c>
    </row>
    <row r="14527" spans="1:16" x14ac:dyDescent="0.25">
      <c r="A14527" t="s">
        <v>37247</v>
      </c>
      <c r="B14527" t="s">
        <v>9964</v>
      </c>
      <c r="C14527" t="s">
        <v>9965</v>
      </c>
      <c r="D14527" t="str">
        <f>"1746"</f>
        <v>1746</v>
      </c>
      <c r="E14527" t="s">
        <v>807</v>
      </c>
      <c r="F14527" t="s">
        <v>2</v>
      </c>
      <c r="G14527" t="s">
        <v>47078</v>
      </c>
      <c r="H14527" t="s">
        <v>47054</v>
      </c>
      <c r="I14527" t="s">
        <v>47111</v>
      </c>
      <c r="J14527" t="s">
        <v>47112</v>
      </c>
      <c r="K14527" t="s">
        <v>47113</v>
      </c>
      <c r="L14527">
        <v>7.75</v>
      </c>
      <c r="M14527">
        <v>20</v>
      </c>
      <c r="N14527">
        <v>0</v>
      </c>
      <c r="O14527">
        <v>20</v>
      </c>
      <c r="P14527">
        <v>0</v>
      </c>
    </row>
    <row r="14528" spans="1:16" x14ac:dyDescent="0.25">
      <c r="A14528" t="s">
        <v>37248</v>
      </c>
      <c r="B14528" t="s">
        <v>9966</v>
      </c>
      <c r="C14528" t="s">
        <v>9967</v>
      </c>
      <c r="D14528" t="str">
        <f>"1746"</f>
        <v>1746</v>
      </c>
      <c r="E14528" t="s">
        <v>807</v>
      </c>
      <c r="F14528" t="s">
        <v>3</v>
      </c>
      <c r="G14528" t="s">
        <v>47073</v>
      </c>
      <c r="H14528" t="s">
        <v>47054</v>
      </c>
      <c r="I14528" t="s">
        <v>47111</v>
      </c>
      <c r="J14528" t="s">
        <v>47112</v>
      </c>
      <c r="K14528" t="s">
        <v>47113</v>
      </c>
      <c r="L14528">
        <v>8.8000000000000007</v>
      </c>
      <c r="M14528">
        <v>22</v>
      </c>
      <c r="N14528">
        <v>0</v>
      </c>
      <c r="O14528">
        <v>22</v>
      </c>
      <c r="P14528">
        <v>0</v>
      </c>
    </row>
    <row r="14529" spans="1:16" x14ac:dyDescent="0.25">
      <c r="A14529" t="s">
        <v>37249</v>
      </c>
      <c r="B14529" t="s">
        <v>9966</v>
      </c>
      <c r="C14529" t="s">
        <v>9967</v>
      </c>
      <c r="D14529" t="str">
        <f>"6035"</f>
        <v>6035</v>
      </c>
      <c r="E14529" t="s">
        <v>2598</v>
      </c>
      <c r="F14529" t="s">
        <v>3</v>
      </c>
      <c r="G14529" t="s">
        <v>47073</v>
      </c>
      <c r="H14529" t="s">
        <v>47054</v>
      </c>
      <c r="I14529" t="s">
        <v>47111</v>
      </c>
      <c r="J14529" t="s">
        <v>47112</v>
      </c>
      <c r="K14529" t="s">
        <v>47113</v>
      </c>
      <c r="L14529">
        <v>8.98</v>
      </c>
      <c r="M14529">
        <v>22</v>
      </c>
      <c r="N14529">
        <v>0</v>
      </c>
      <c r="O14529">
        <v>22</v>
      </c>
      <c r="P14529">
        <v>0</v>
      </c>
    </row>
    <row r="14530" spans="1:16" x14ac:dyDescent="0.25">
      <c r="A14530" t="s">
        <v>37250</v>
      </c>
      <c r="B14530" t="s">
        <v>9968</v>
      </c>
      <c r="C14530" t="s">
        <v>9969</v>
      </c>
      <c r="D14530" t="str">
        <f>"4236"</f>
        <v>4236</v>
      </c>
      <c r="E14530" t="s">
        <v>9970</v>
      </c>
      <c r="F14530" t="s">
        <v>7</v>
      </c>
      <c r="G14530" t="s">
        <v>16230</v>
      </c>
      <c r="H14530" t="s">
        <v>47054</v>
      </c>
      <c r="I14530" t="s">
        <v>47118</v>
      </c>
      <c r="J14530" t="s">
        <v>47119</v>
      </c>
      <c r="K14530" t="s">
        <v>47113</v>
      </c>
      <c r="L14530">
        <v>24.99</v>
      </c>
      <c r="M14530">
        <v>61</v>
      </c>
      <c r="N14530">
        <v>0</v>
      </c>
      <c r="O14530">
        <v>61</v>
      </c>
      <c r="P14530">
        <v>0</v>
      </c>
    </row>
    <row r="14531" spans="1:16" x14ac:dyDescent="0.25">
      <c r="A14531" t="s">
        <v>37251</v>
      </c>
      <c r="B14531" t="s">
        <v>9968</v>
      </c>
      <c r="C14531" t="s">
        <v>9969</v>
      </c>
      <c r="D14531" t="str">
        <f>"4521"</f>
        <v>4521</v>
      </c>
      <c r="E14531" t="s">
        <v>9971</v>
      </c>
      <c r="F14531" t="s">
        <v>7</v>
      </c>
      <c r="G14531" t="s">
        <v>16230</v>
      </c>
      <c r="H14531" t="s">
        <v>47054</v>
      </c>
      <c r="I14531" t="s">
        <v>47118</v>
      </c>
      <c r="J14531" t="s">
        <v>47119</v>
      </c>
      <c r="K14531" t="s">
        <v>47113</v>
      </c>
      <c r="L14531">
        <v>47.51</v>
      </c>
      <c r="M14531">
        <v>64</v>
      </c>
      <c r="N14531">
        <v>0</v>
      </c>
      <c r="O14531">
        <v>64</v>
      </c>
      <c r="P14531">
        <v>0</v>
      </c>
    </row>
    <row r="14532" spans="1:16" x14ac:dyDescent="0.25">
      <c r="A14532" t="s">
        <v>37252</v>
      </c>
      <c r="B14532" t="s">
        <v>9968</v>
      </c>
      <c r="C14532" t="s">
        <v>9969</v>
      </c>
      <c r="D14532" t="str">
        <f>"7415"</f>
        <v>7415</v>
      </c>
      <c r="E14532" t="s">
        <v>9972</v>
      </c>
      <c r="F14532" t="s">
        <v>7</v>
      </c>
      <c r="G14532" t="s">
        <v>16230</v>
      </c>
      <c r="H14532" t="s">
        <v>47054</v>
      </c>
      <c r="I14532" t="s">
        <v>47118</v>
      </c>
      <c r="J14532" t="s">
        <v>47119</v>
      </c>
      <c r="K14532" t="s">
        <v>47113</v>
      </c>
      <c r="L14532">
        <v>24.99</v>
      </c>
      <c r="M14532">
        <v>61</v>
      </c>
      <c r="N14532">
        <v>0</v>
      </c>
      <c r="O14532">
        <v>61</v>
      </c>
      <c r="P14532">
        <v>0</v>
      </c>
    </row>
    <row r="14533" spans="1:16" x14ac:dyDescent="0.25">
      <c r="A14533" t="s">
        <v>37253</v>
      </c>
      <c r="B14533" t="s">
        <v>9968</v>
      </c>
      <c r="C14533" t="s">
        <v>9969</v>
      </c>
      <c r="D14533" t="str">
        <f>"8320"</f>
        <v>8320</v>
      </c>
      <c r="E14533" t="s">
        <v>9973</v>
      </c>
      <c r="F14533" t="s">
        <v>7</v>
      </c>
      <c r="G14533" t="s">
        <v>16230</v>
      </c>
      <c r="H14533" t="s">
        <v>47054</v>
      </c>
      <c r="I14533" t="s">
        <v>47118</v>
      </c>
      <c r="J14533" t="s">
        <v>47119</v>
      </c>
      <c r="K14533" t="s">
        <v>47113</v>
      </c>
      <c r="L14533">
        <v>24.99</v>
      </c>
      <c r="M14533">
        <v>61</v>
      </c>
      <c r="N14533">
        <v>0</v>
      </c>
      <c r="O14533">
        <v>61</v>
      </c>
      <c r="P14533">
        <v>0</v>
      </c>
    </row>
    <row r="14534" spans="1:16" x14ac:dyDescent="0.25">
      <c r="A14534" t="s">
        <v>37254</v>
      </c>
      <c r="B14534" t="s">
        <v>9974</v>
      </c>
      <c r="C14534" t="s">
        <v>9975</v>
      </c>
      <c r="D14534" t="str">
        <f>"4086"</f>
        <v>4086</v>
      </c>
      <c r="E14534" t="s">
        <v>9976</v>
      </c>
      <c r="F14534" t="s">
        <v>6</v>
      </c>
      <c r="G14534" t="s">
        <v>16224</v>
      </c>
      <c r="H14534" t="s">
        <v>47054</v>
      </c>
      <c r="I14534" t="s">
        <v>47118</v>
      </c>
      <c r="J14534" t="s">
        <v>47119</v>
      </c>
      <c r="K14534" t="s">
        <v>47113</v>
      </c>
      <c r="L14534">
        <v>36.549999999999997</v>
      </c>
      <c r="M14534">
        <v>87</v>
      </c>
      <c r="N14534">
        <v>0</v>
      </c>
      <c r="O14534">
        <v>87</v>
      </c>
      <c r="P14534">
        <v>0</v>
      </c>
    </row>
    <row r="14535" spans="1:16" x14ac:dyDescent="0.25">
      <c r="A14535" t="s">
        <v>37255</v>
      </c>
      <c r="B14535" t="s">
        <v>9974</v>
      </c>
      <c r="C14535" t="s">
        <v>9975</v>
      </c>
      <c r="D14535" t="str">
        <f>"6137"</f>
        <v>6137</v>
      </c>
      <c r="E14535" t="s">
        <v>9977</v>
      </c>
      <c r="F14535" t="s">
        <v>6</v>
      </c>
      <c r="G14535" t="s">
        <v>16224</v>
      </c>
      <c r="H14535" t="s">
        <v>47054</v>
      </c>
      <c r="I14535" t="s">
        <v>47118</v>
      </c>
      <c r="J14535" t="s">
        <v>47119</v>
      </c>
      <c r="K14535" t="s">
        <v>47113</v>
      </c>
      <c r="L14535">
        <v>36.549999999999997</v>
      </c>
      <c r="M14535">
        <v>87</v>
      </c>
      <c r="N14535">
        <v>0</v>
      </c>
      <c r="O14535">
        <v>87</v>
      </c>
      <c r="P14535">
        <v>0</v>
      </c>
    </row>
    <row r="14536" spans="1:16" x14ac:dyDescent="0.25">
      <c r="A14536" t="s">
        <v>37256</v>
      </c>
      <c r="B14536" t="s">
        <v>9978</v>
      </c>
      <c r="C14536" t="s">
        <v>9979</v>
      </c>
      <c r="D14536" t="str">
        <f>"4084"</f>
        <v>4084</v>
      </c>
      <c r="E14536" t="s">
        <v>9980</v>
      </c>
      <c r="F14536" t="s">
        <v>6</v>
      </c>
      <c r="G14536" t="s">
        <v>16230</v>
      </c>
      <c r="H14536" t="s">
        <v>47054</v>
      </c>
      <c r="I14536" t="s">
        <v>47118</v>
      </c>
      <c r="J14536" t="s">
        <v>47119</v>
      </c>
      <c r="K14536" t="s">
        <v>47113</v>
      </c>
      <c r="L14536">
        <v>24.08</v>
      </c>
      <c r="M14536">
        <v>60</v>
      </c>
      <c r="N14536">
        <v>0</v>
      </c>
      <c r="O14536">
        <v>60</v>
      </c>
      <c r="P14536">
        <v>0</v>
      </c>
    </row>
    <row r="14537" spans="1:16" x14ac:dyDescent="0.25">
      <c r="A14537" t="s">
        <v>37257</v>
      </c>
      <c r="B14537" t="s">
        <v>9978</v>
      </c>
      <c r="C14537" t="s">
        <v>9979</v>
      </c>
      <c r="D14537" t="str">
        <f>"6136"</f>
        <v>6136</v>
      </c>
      <c r="E14537" t="s">
        <v>9981</v>
      </c>
      <c r="F14537" t="s">
        <v>6</v>
      </c>
      <c r="G14537" t="s">
        <v>16230</v>
      </c>
      <c r="H14537" t="s">
        <v>47054</v>
      </c>
      <c r="I14537" t="s">
        <v>47118</v>
      </c>
      <c r="J14537" t="s">
        <v>47119</v>
      </c>
      <c r="K14537" t="s">
        <v>47113</v>
      </c>
      <c r="L14537">
        <v>24.08</v>
      </c>
      <c r="M14537">
        <v>60</v>
      </c>
      <c r="N14537">
        <v>0</v>
      </c>
      <c r="O14537">
        <v>60</v>
      </c>
      <c r="P14537">
        <v>0</v>
      </c>
    </row>
    <row r="14538" spans="1:16" x14ac:dyDescent="0.25">
      <c r="A14538" t="s">
        <v>37258</v>
      </c>
      <c r="B14538" t="s">
        <v>9982</v>
      </c>
      <c r="C14538" t="s">
        <v>9983</v>
      </c>
      <c r="D14538" t="str">
        <f>"1114"</f>
        <v>1114</v>
      </c>
      <c r="E14538" t="s">
        <v>7470</v>
      </c>
      <c r="F14538" t="s">
        <v>7</v>
      </c>
      <c r="G14538" t="s">
        <v>16235</v>
      </c>
      <c r="H14538" t="s">
        <v>47054</v>
      </c>
      <c r="I14538" t="s">
        <v>47111</v>
      </c>
      <c r="J14538" t="s">
        <v>47112</v>
      </c>
      <c r="K14538" t="s">
        <v>47113</v>
      </c>
      <c r="L14538">
        <v>46.74</v>
      </c>
      <c r="M14538">
        <v>93</v>
      </c>
      <c r="N14538">
        <v>0</v>
      </c>
      <c r="O14538">
        <v>93</v>
      </c>
      <c r="P14538">
        <v>0</v>
      </c>
    </row>
    <row r="14539" spans="1:16" x14ac:dyDescent="0.25">
      <c r="A14539" t="s">
        <v>37259</v>
      </c>
      <c r="B14539" t="s">
        <v>9982</v>
      </c>
      <c r="C14539" t="s">
        <v>9983</v>
      </c>
      <c r="D14539" t="str">
        <f>"2206"</f>
        <v>2206</v>
      </c>
      <c r="E14539" t="s">
        <v>8684</v>
      </c>
      <c r="F14539" t="s">
        <v>7</v>
      </c>
      <c r="G14539" t="s">
        <v>16235</v>
      </c>
      <c r="H14539" t="s">
        <v>47054</v>
      </c>
      <c r="I14539" t="s">
        <v>47116</v>
      </c>
      <c r="J14539" t="s">
        <v>47117</v>
      </c>
      <c r="K14539" t="s">
        <v>47113</v>
      </c>
      <c r="L14539">
        <v>46.74</v>
      </c>
      <c r="M14539">
        <v>98</v>
      </c>
      <c r="N14539">
        <v>0</v>
      </c>
      <c r="O14539">
        <v>98</v>
      </c>
      <c r="P14539">
        <v>0</v>
      </c>
    </row>
    <row r="14540" spans="1:16" x14ac:dyDescent="0.25">
      <c r="A14540" t="s">
        <v>37260</v>
      </c>
      <c r="B14540" t="s">
        <v>9982</v>
      </c>
      <c r="C14540" t="s">
        <v>9983</v>
      </c>
      <c r="D14540" t="str">
        <f>"6036"</f>
        <v>6036</v>
      </c>
      <c r="E14540" t="s">
        <v>7703</v>
      </c>
      <c r="F14540" t="s">
        <v>7</v>
      </c>
      <c r="G14540" t="s">
        <v>16235</v>
      </c>
      <c r="H14540" t="s">
        <v>47054</v>
      </c>
      <c r="I14540" t="s">
        <v>47111</v>
      </c>
      <c r="J14540" t="s">
        <v>47112</v>
      </c>
      <c r="K14540" t="s">
        <v>47113</v>
      </c>
      <c r="L14540">
        <v>46.74</v>
      </c>
      <c r="M14540">
        <v>93</v>
      </c>
      <c r="N14540">
        <v>0</v>
      </c>
      <c r="O14540">
        <v>93</v>
      </c>
      <c r="P14540">
        <v>0</v>
      </c>
    </row>
    <row r="14541" spans="1:16" x14ac:dyDescent="0.25">
      <c r="A14541" t="s">
        <v>37261</v>
      </c>
      <c r="B14541" t="s">
        <v>9984</v>
      </c>
      <c r="C14541" t="s">
        <v>9985</v>
      </c>
      <c r="D14541" t="str">
        <f>"1114"</f>
        <v>1114</v>
      </c>
      <c r="E14541" t="s">
        <v>7470</v>
      </c>
      <c r="F14541" t="s">
        <v>7</v>
      </c>
      <c r="G14541" t="s">
        <v>16235</v>
      </c>
      <c r="H14541" t="s">
        <v>47054</v>
      </c>
      <c r="I14541" t="s">
        <v>47116</v>
      </c>
      <c r="J14541" t="s">
        <v>47117</v>
      </c>
      <c r="K14541" t="s">
        <v>47113</v>
      </c>
      <c r="L14541">
        <v>43.63</v>
      </c>
      <c r="M14541">
        <v>93</v>
      </c>
      <c r="N14541">
        <v>0</v>
      </c>
      <c r="O14541">
        <v>93</v>
      </c>
      <c r="P14541">
        <v>0</v>
      </c>
    </row>
    <row r="14542" spans="1:16" x14ac:dyDescent="0.25">
      <c r="A14542" t="s">
        <v>37262</v>
      </c>
      <c r="B14542" t="s">
        <v>9984</v>
      </c>
      <c r="C14542" t="s">
        <v>9985</v>
      </c>
      <c r="D14542" t="str">
        <f>"4130"</f>
        <v>4130</v>
      </c>
      <c r="E14542" t="s">
        <v>2374</v>
      </c>
      <c r="F14542" t="s">
        <v>7</v>
      </c>
      <c r="G14542" t="s">
        <v>16235</v>
      </c>
      <c r="H14542" t="s">
        <v>47054</v>
      </c>
      <c r="I14542" t="s">
        <v>47111</v>
      </c>
      <c r="J14542" t="s">
        <v>47112</v>
      </c>
      <c r="K14542" t="s">
        <v>47113</v>
      </c>
      <c r="L14542">
        <v>43.63</v>
      </c>
      <c r="M14542">
        <v>88</v>
      </c>
      <c r="N14542">
        <v>0</v>
      </c>
      <c r="O14542">
        <v>88</v>
      </c>
      <c r="P14542">
        <v>0</v>
      </c>
    </row>
    <row r="14543" spans="1:16" x14ac:dyDescent="0.25">
      <c r="A14543" t="s">
        <v>37263</v>
      </c>
      <c r="B14543" t="s">
        <v>37264</v>
      </c>
      <c r="C14543" t="s">
        <v>37265</v>
      </c>
      <c r="D14543" t="str">
        <f>"9602"</f>
        <v>9602</v>
      </c>
      <c r="E14543" t="s">
        <v>24018</v>
      </c>
      <c r="F14543" t="s">
        <v>17351</v>
      </c>
      <c r="G14543" t="s">
        <v>47053</v>
      </c>
      <c r="H14543" t="s">
        <v>47052</v>
      </c>
      <c r="I14543" t="s">
        <v>47120</v>
      </c>
      <c r="J14543" t="s">
        <v>47121</v>
      </c>
      <c r="K14543" t="s">
        <v>47113</v>
      </c>
      <c r="L14543">
        <v>4.4000000000000004</v>
      </c>
      <c r="M14543">
        <v>2</v>
      </c>
      <c r="N14543">
        <v>6</v>
      </c>
      <c r="O14543">
        <v>2</v>
      </c>
      <c r="P14543">
        <v>6</v>
      </c>
    </row>
    <row r="14544" spans="1:16" x14ac:dyDescent="0.25">
      <c r="A14544" t="s">
        <v>37266</v>
      </c>
      <c r="B14544" t="s">
        <v>9986</v>
      </c>
      <c r="C14544" t="s">
        <v>9987</v>
      </c>
      <c r="D14544" t="s">
        <v>721</v>
      </c>
      <c r="E14544" t="s">
        <v>722</v>
      </c>
      <c r="F14544" t="s">
        <v>3</v>
      </c>
      <c r="G14544" t="s">
        <v>47135</v>
      </c>
      <c r="H14544" t="s">
        <v>47054</v>
      </c>
      <c r="I14544" t="s">
        <v>47116</v>
      </c>
      <c r="J14544" t="s">
        <v>47117</v>
      </c>
      <c r="K14544" t="s">
        <v>47113</v>
      </c>
      <c r="L14544">
        <v>5.43</v>
      </c>
      <c r="M14544">
        <v>14</v>
      </c>
      <c r="N14544">
        <v>0</v>
      </c>
      <c r="O14544">
        <v>14</v>
      </c>
      <c r="P14544">
        <v>0</v>
      </c>
    </row>
    <row r="14545" spans="1:16" x14ac:dyDescent="0.25">
      <c r="A14545" t="s">
        <v>37267</v>
      </c>
      <c r="B14545" t="s">
        <v>18267</v>
      </c>
      <c r="C14545" t="s">
        <v>18268</v>
      </c>
      <c r="D14545" t="s">
        <v>18269</v>
      </c>
      <c r="E14545" t="s">
        <v>18270</v>
      </c>
      <c r="F14545" t="s">
        <v>3750</v>
      </c>
      <c r="G14545" t="s">
        <v>47093</v>
      </c>
      <c r="H14545" t="s">
        <v>47054</v>
      </c>
      <c r="I14545" t="s">
        <v>47116</v>
      </c>
      <c r="J14545" t="s">
        <v>47117</v>
      </c>
      <c r="K14545" t="s">
        <v>47113</v>
      </c>
      <c r="L14545">
        <v>24.85</v>
      </c>
      <c r="M14545">
        <v>70</v>
      </c>
      <c r="N14545">
        <v>0</v>
      </c>
      <c r="O14545">
        <v>70</v>
      </c>
      <c r="P14545">
        <v>0</v>
      </c>
    </row>
    <row r="14546" spans="1:16" x14ac:dyDescent="0.25">
      <c r="A14546" t="s">
        <v>37268</v>
      </c>
      <c r="B14546" t="s">
        <v>18271</v>
      </c>
      <c r="C14546" t="s">
        <v>18272</v>
      </c>
      <c r="D14546" t="s">
        <v>18273</v>
      </c>
      <c r="E14546" t="s">
        <v>18274</v>
      </c>
      <c r="F14546" t="s">
        <v>3750</v>
      </c>
      <c r="G14546" t="s">
        <v>47093</v>
      </c>
      <c r="H14546" t="s">
        <v>47054</v>
      </c>
      <c r="I14546" t="s">
        <v>47116</v>
      </c>
      <c r="J14546" t="s">
        <v>47117</v>
      </c>
      <c r="K14546" t="s">
        <v>47113</v>
      </c>
      <c r="L14546">
        <v>22.2</v>
      </c>
      <c r="M14546">
        <v>62</v>
      </c>
      <c r="N14546">
        <v>0</v>
      </c>
      <c r="O14546">
        <v>62</v>
      </c>
      <c r="P14546">
        <v>0</v>
      </c>
    </row>
    <row r="14547" spans="1:16" x14ac:dyDescent="0.25">
      <c r="A14547" t="s">
        <v>37269</v>
      </c>
      <c r="B14547" t="s">
        <v>18275</v>
      </c>
      <c r="C14547" t="s">
        <v>18276</v>
      </c>
      <c r="D14547" t="s">
        <v>18269</v>
      </c>
      <c r="E14547" t="s">
        <v>18270</v>
      </c>
      <c r="F14547" t="s">
        <v>3750</v>
      </c>
      <c r="G14547" t="s">
        <v>47093</v>
      </c>
      <c r="H14547" t="s">
        <v>47054</v>
      </c>
      <c r="I14547" t="s">
        <v>47116</v>
      </c>
      <c r="J14547" t="s">
        <v>47117</v>
      </c>
      <c r="K14547" t="s">
        <v>47113</v>
      </c>
      <c r="L14547">
        <v>31.53</v>
      </c>
      <c r="M14547">
        <v>89</v>
      </c>
      <c r="N14547">
        <v>0</v>
      </c>
      <c r="O14547">
        <v>89</v>
      </c>
      <c r="P14547">
        <v>0</v>
      </c>
    </row>
    <row r="14548" spans="1:16" x14ac:dyDescent="0.25">
      <c r="A14548" t="s">
        <v>37270</v>
      </c>
      <c r="B14548" t="s">
        <v>18277</v>
      </c>
      <c r="C14548" t="s">
        <v>18278</v>
      </c>
      <c r="D14548" t="s">
        <v>18279</v>
      </c>
      <c r="E14548" t="s">
        <v>18280</v>
      </c>
      <c r="F14548" t="s">
        <v>3750</v>
      </c>
      <c r="G14548" t="s">
        <v>47093</v>
      </c>
      <c r="H14548" t="s">
        <v>47054</v>
      </c>
      <c r="I14548" t="s">
        <v>47116</v>
      </c>
      <c r="J14548" t="s">
        <v>47117</v>
      </c>
      <c r="K14548" t="s">
        <v>47113</v>
      </c>
      <c r="L14548">
        <v>34.35</v>
      </c>
      <c r="M14548">
        <v>97</v>
      </c>
      <c r="N14548">
        <v>0</v>
      </c>
      <c r="O14548">
        <v>97</v>
      </c>
      <c r="P14548">
        <v>0</v>
      </c>
    </row>
    <row r="14549" spans="1:16" x14ac:dyDescent="0.25">
      <c r="A14549" t="s">
        <v>37271</v>
      </c>
      <c r="B14549" t="s">
        <v>18281</v>
      </c>
      <c r="C14549" t="s">
        <v>18282</v>
      </c>
      <c r="D14549" t="s">
        <v>18279</v>
      </c>
      <c r="E14549" t="s">
        <v>18280</v>
      </c>
      <c r="F14549" t="s">
        <v>16822</v>
      </c>
      <c r="G14549" t="s">
        <v>47093</v>
      </c>
      <c r="H14549" t="s">
        <v>47054</v>
      </c>
      <c r="I14549" t="s">
        <v>47116</v>
      </c>
      <c r="J14549" t="s">
        <v>47117</v>
      </c>
      <c r="K14549" t="s">
        <v>47113</v>
      </c>
      <c r="L14549">
        <v>19.46</v>
      </c>
      <c r="M14549">
        <v>57</v>
      </c>
      <c r="N14549">
        <v>0</v>
      </c>
      <c r="O14549">
        <v>57</v>
      </c>
      <c r="P14549">
        <v>0</v>
      </c>
    </row>
    <row r="14550" spans="1:16" x14ac:dyDescent="0.25">
      <c r="A14550" t="s">
        <v>37272</v>
      </c>
      <c r="B14550" t="s">
        <v>18283</v>
      </c>
      <c r="C14550" t="s">
        <v>18284</v>
      </c>
      <c r="D14550" t="s">
        <v>18285</v>
      </c>
      <c r="E14550" t="s">
        <v>18286</v>
      </c>
      <c r="F14550" t="s">
        <v>3750</v>
      </c>
      <c r="G14550" t="s">
        <v>47093</v>
      </c>
      <c r="H14550" t="s">
        <v>47054</v>
      </c>
      <c r="I14550" t="s">
        <v>47116</v>
      </c>
      <c r="J14550" t="s">
        <v>47117</v>
      </c>
      <c r="K14550" t="s">
        <v>47113</v>
      </c>
      <c r="L14550">
        <v>23.43</v>
      </c>
      <c r="M14550">
        <v>66</v>
      </c>
      <c r="N14550">
        <v>0</v>
      </c>
      <c r="O14550">
        <v>66</v>
      </c>
      <c r="P14550">
        <v>0</v>
      </c>
    </row>
    <row r="14551" spans="1:16" x14ac:dyDescent="0.25">
      <c r="A14551" t="s">
        <v>37273</v>
      </c>
      <c r="B14551" t="s">
        <v>18287</v>
      </c>
      <c r="C14551" t="s">
        <v>18288</v>
      </c>
      <c r="D14551" t="s">
        <v>7855</v>
      </c>
      <c r="E14551" t="s">
        <v>7856</v>
      </c>
      <c r="F14551" t="s">
        <v>3750</v>
      </c>
      <c r="G14551" t="s">
        <v>47093</v>
      </c>
      <c r="H14551" t="s">
        <v>47054</v>
      </c>
      <c r="I14551" t="s">
        <v>47116</v>
      </c>
      <c r="J14551" t="s">
        <v>47117</v>
      </c>
      <c r="K14551" t="s">
        <v>47113</v>
      </c>
      <c r="L14551">
        <v>22.2</v>
      </c>
      <c r="M14551">
        <v>62</v>
      </c>
      <c r="N14551">
        <v>0</v>
      </c>
      <c r="O14551">
        <v>62</v>
      </c>
      <c r="P14551">
        <v>0</v>
      </c>
    </row>
    <row r="14552" spans="1:16" x14ac:dyDescent="0.25">
      <c r="A14552" t="s">
        <v>37274</v>
      </c>
      <c r="B14552" t="s">
        <v>18289</v>
      </c>
      <c r="C14552" t="s">
        <v>18290</v>
      </c>
      <c r="D14552" t="s">
        <v>18291</v>
      </c>
      <c r="E14552" t="s">
        <v>18292</v>
      </c>
      <c r="F14552" t="s">
        <v>3750</v>
      </c>
      <c r="G14552" t="s">
        <v>47093</v>
      </c>
      <c r="H14552" t="s">
        <v>47054</v>
      </c>
      <c r="I14552" t="s">
        <v>47116</v>
      </c>
      <c r="J14552" t="s">
        <v>47117</v>
      </c>
      <c r="K14552" t="s">
        <v>47113</v>
      </c>
      <c r="L14552">
        <v>34.86</v>
      </c>
      <c r="M14552">
        <v>83</v>
      </c>
      <c r="N14552">
        <v>0</v>
      </c>
      <c r="O14552">
        <v>83</v>
      </c>
      <c r="P14552">
        <v>0</v>
      </c>
    </row>
    <row r="14553" spans="1:16" x14ac:dyDescent="0.25">
      <c r="A14553" t="s">
        <v>37275</v>
      </c>
      <c r="B14553" t="s">
        <v>18293</v>
      </c>
      <c r="C14553" t="s">
        <v>18294</v>
      </c>
      <c r="D14553" t="s">
        <v>18295</v>
      </c>
      <c r="E14553" t="s">
        <v>18296</v>
      </c>
      <c r="F14553" t="s">
        <v>3750</v>
      </c>
      <c r="G14553" t="s">
        <v>47093</v>
      </c>
      <c r="H14553" t="s">
        <v>47054</v>
      </c>
      <c r="I14553" t="s">
        <v>47116</v>
      </c>
      <c r="J14553" t="s">
        <v>47117</v>
      </c>
      <c r="K14553" t="s">
        <v>47113</v>
      </c>
      <c r="L14553">
        <v>37.020000000000003</v>
      </c>
      <c r="M14553">
        <v>83</v>
      </c>
      <c r="N14553">
        <v>0</v>
      </c>
      <c r="O14553">
        <v>83</v>
      </c>
      <c r="P14553">
        <v>0</v>
      </c>
    </row>
    <row r="14554" spans="1:16" x14ac:dyDescent="0.25">
      <c r="A14554" t="s">
        <v>37276</v>
      </c>
      <c r="B14554" t="s">
        <v>9988</v>
      </c>
      <c r="C14554" t="s">
        <v>9989</v>
      </c>
      <c r="D14554" t="s">
        <v>748</v>
      </c>
      <c r="E14554" t="s">
        <v>749</v>
      </c>
      <c r="F14554" t="s">
        <v>5</v>
      </c>
      <c r="G14554" t="s">
        <v>47093</v>
      </c>
      <c r="H14554" t="s">
        <v>47054</v>
      </c>
      <c r="I14554" t="s">
        <v>47111</v>
      </c>
      <c r="J14554" t="s">
        <v>47112</v>
      </c>
      <c r="K14554" t="s">
        <v>47113</v>
      </c>
      <c r="L14554">
        <v>31.9</v>
      </c>
      <c r="M14554">
        <v>77</v>
      </c>
      <c r="N14554">
        <v>0</v>
      </c>
      <c r="O14554">
        <v>77</v>
      </c>
      <c r="P14554">
        <v>0</v>
      </c>
    </row>
    <row r="14555" spans="1:16" x14ac:dyDescent="0.25">
      <c r="A14555" t="s">
        <v>37277</v>
      </c>
      <c r="B14555" t="s">
        <v>9990</v>
      </c>
      <c r="C14555" t="s">
        <v>9991</v>
      </c>
      <c r="D14555" t="s">
        <v>748</v>
      </c>
      <c r="E14555" t="s">
        <v>749</v>
      </c>
      <c r="F14555" t="s">
        <v>5</v>
      </c>
      <c r="G14555" t="s">
        <v>47093</v>
      </c>
      <c r="H14555" t="s">
        <v>47054</v>
      </c>
      <c r="I14555" t="s">
        <v>47111</v>
      </c>
      <c r="J14555" t="s">
        <v>47112</v>
      </c>
      <c r="K14555" t="s">
        <v>47113</v>
      </c>
      <c r="L14555">
        <v>31.51</v>
      </c>
      <c r="M14555">
        <v>80</v>
      </c>
      <c r="N14555">
        <v>0</v>
      </c>
      <c r="O14555">
        <v>80</v>
      </c>
      <c r="P14555">
        <v>0</v>
      </c>
    </row>
    <row r="14556" spans="1:16" x14ac:dyDescent="0.25">
      <c r="A14556" t="s">
        <v>265</v>
      </c>
      <c r="B14556" t="s">
        <v>266</v>
      </c>
      <c r="C14556" t="s">
        <v>267</v>
      </c>
      <c r="D14556" t="s">
        <v>268</v>
      </c>
      <c r="E14556" t="s">
        <v>269</v>
      </c>
      <c r="F14556" t="s">
        <v>3</v>
      </c>
      <c r="G14556" t="s">
        <v>49029</v>
      </c>
      <c r="H14556" t="s">
        <v>47054</v>
      </c>
      <c r="I14556" t="s">
        <v>47111</v>
      </c>
      <c r="J14556" t="s">
        <v>47112</v>
      </c>
      <c r="K14556" t="s">
        <v>47113</v>
      </c>
      <c r="L14556">
        <v>23.4</v>
      </c>
      <c r="M14556">
        <v>53</v>
      </c>
      <c r="N14556">
        <v>0</v>
      </c>
      <c r="O14556">
        <v>53</v>
      </c>
      <c r="P14556">
        <v>0</v>
      </c>
    </row>
    <row r="14557" spans="1:16" x14ac:dyDescent="0.25">
      <c r="A14557" t="s">
        <v>37278</v>
      </c>
      <c r="B14557" t="s">
        <v>9992</v>
      </c>
      <c r="C14557" t="s">
        <v>9993</v>
      </c>
      <c r="D14557" t="s">
        <v>9994</v>
      </c>
      <c r="E14557" t="s">
        <v>9995</v>
      </c>
      <c r="F14557" t="s">
        <v>3</v>
      </c>
      <c r="G14557" t="s">
        <v>47093</v>
      </c>
      <c r="H14557" t="s">
        <v>47054</v>
      </c>
      <c r="I14557" t="s">
        <v>47111</v>
      </c>
      <c r="J14557" t="s">
        <v>47112</v>
      </c>
      <c r="K14557" t="s">
        <v>47113</v>
      </c>
      <c r="L14557">
        <v>38.96</v>
      </c>
      <c r="M14557">
        <v>84</v>
      </c>
      <c r="N14557">
        <v>0</v>
      </c>
      <c r="O14557">
        <v>84</v>
      </c>
      <c r="P14557">
        <v>0</v>
      </c>
    </row>
    <row r="14558" spans="1:16" x14ac:dyDescent="0.25">
      <c r="A14558" t="s">
        <v>37279</v>
      </c>
      <c r="B14558" t="s">
        <v>9996</v>
      </c>
      <c r="C14558" t="s">
        <v>9997</v>
      </c>
      <c r="D14558" t="s">
        <v>748</v>
      </c>
      <c r="E14558" t="s">
        <v>749</v>
      </c>
      <c r="F14558" t="s">
        <v>5</v>
      </c>
      <c r="G14558" t="s">
        <v>47093</v>
      </c>
      <c r="H14558" t="s">
        <v>47054</v>
      </c>
      <c r="I14558" t="s">
        <v>47111</v>
      </c>
      <c r="J14558" t="s">
        <v>47112</v>
      </c>
      <c r="K14558" t="s">
        <v>47113</v>
      </c>
      <c r="L14558">
        <v>31.9</v>
      </c>
      <c r="M14558">
        <v>77</v>
      </c>
      <c r="N14558">
        <v>0</v>
      </c>
      <c r="O14558">
        <v>77</v>
      </c>
      <c r="P14558">
        <v>0</v>
      </c>
    </row>
    <row r="14559" spans="1:16" x14ac:dyDescent="0.25">
      <c r="A14559" t="s">
        <v>37280</v>
      </c>
      <c r="B14559" t="s">
        <v>9998</v>
      </c>
      <c r="C14559" t="s">
        <v>9997</v>
      </c>
      <c r="D14559" t="s">
        <v>748</v>
      </c>
      <c r="E14559" t="s">
        <v>749</v>
      </c>
      <c r="F14559" t="s">
        <v>5</v>
      </c>
      <c r="G14559" t="s">
        <v>47093</v>
      </c>
      <c r="H14559" t="s">
        <v>47054</v>
      </c>
      <c r="I14559" t="s">
        <v>47111</v>
      </c>
      <c r="J14559" t="s">
        <v>47112</v>
      </c>
      <c r="K14559" t="s">
        <v>47113</v>
      </c>
      <c r="L14559">
        <v>43.02</v>
      </c>
      <c r="M14559">
        <v>77</v>
      </c>
      <c r="N14559">
        <v>0</v>
      </c>
      <c r="O14559">
        <v>77</v>
      </c>
      <c r="P14559">
        <v>0</v>
      </c>
    </row>
    <row r="14560" spans="1:16" x14ac:dyDescent="0.25">
      <c r="A14560" t="s">
        <v>37281</v>
      </c>
      <c r="B14560" t="s">
        <v>9999</v>
      </c>
      <c r="C14560" t="s">
        <v>10000</v>
      </c>
      <c r="D14560" t="s">
        <v>748</v>
      </c>
      <c r="E14560" t="s">
        <v>749</v>
      </c>
      <c r="F14560" t="s">
        <v>5</v>
      </c>
      <c r="G14560" t="s">
        <v>47093</v>
      </c>
      <c r="H14560" t="s">
        <v>47054</v>
      </c>
      <c r="I14560" t="s">
        <v>47111</v>
      </c>
      <c r="J14560" t="s">
        <v>47112</v>
      </c>
      <c r="K14560" t="s">
        <v>47113</v>
      </c>
      <c r="L14560">
        <v>31.9</v>
      </c>
      <c r="M14560">
        <v>77</v>
      </c>
      <c r="N14560">
        <v>0</v>
      </c>
      <c r="O14560">
        <v>77</v>
      </c>
      <c r="P14560">
        <v>0</v>
      </c>
    </row>
    <row r="14561" spans="1:16" x14ac:dyDescent="0.25">
      <c r="A14561" t="s">
        <v>37282</v>
      </c>
      <c r="B14561" t="s">
        <v>10001</v>
      </c>
      <c r="C14561" t="s">
        <v>10000</v>
      </c>
      <c r="D14561" t="s">
        <v>748</v>
      </c>
      <c r="E14561" t="s">
        <v>749</v>
      </c>
      <c r="F14561" t="s">
        <v>5</v>
      </c>
      <c r="G14561" t="s">
        <v>47093</v>
      </c>
      <c r="I14561" t="s">
        <v>47111</v>
      </c>
      <c r="J14561" t="s">
        <v>47112</v>
      </c>
      <c r="K14561" t="s">
        <v>47113</v>
      </c>
      <c r="L14561">
        <v>32.770000000000003</v>
      </c>
      <c r="M14561">
        <v>80</v>
      </c>
      <c r="N14561">
        <v>0</v>
      </c>
      <c r="O14561">
        <v>80</v>
      </c>
      <c r="P14561">
        <v>0</v>
      </c>
    </row>
    <row r="14562" spans="1:16" x14ac:dyDescent="0.25">
      <c r="A14562" t="s">
        <v>37283</v>
      </c>
      <c r="B14562" t="s">
        <v>10002</v>
      </c>
      <c r="C14562" t="s">
        <v>10003</v>
      </c>
      <c r="D14562" t="s">
        <v>10004</v>
      </c>
      <c r="E14562" t="s">
        <v>10005</v>
      </c>
      <c r="F14562" t="s">
        <v>2068</v>
      </c>
      <c r="G14562" t="s">
        <v>47093</v>
      </c>
      <c r="H14562" t="s">
        <v>47054</v>
      </c>
      <c r="I14562" t="s">
        <v>47111</v>
      </c>
      <c r="J14562" t="s">
        <v>47112</v>
      </c>
      <c r="K14562" t="s">
        <v>47113</v>
      </c>
      <c r="L14562">
        <v>37.840000000000003</v>
      </c>
      <c r="M14562">
        <v>80</v>
      </c>
      <c r="N14562">
        <v>0</v>
      </c>
      <c r="O14562">
        <v>80</v>
      </c>
      <c r="P14562">
        <v>0</v>
      </c>
    </row>
    <row r="14563" spans="1:16" x14ac:dyDescent="0.25">
      <c r="A14563" t="s">
        <v>37284</v>
      </c>
      <c r="B14563" t="s">
        <v>10006</v>
      </c>
      <c r="C14563" t="s">
        <v>10007</v>
      </c>
      <c r="D14563" t="s">
        <v>10004</v>
      </c>
      <c r="E14563" t="s">
        <v>10005</v>
      </c>
      <c r="F14563" t="s">
        <v>2068</v>
      </c>
      <c r="G14563" t="s">
        <v>47093</v>
      </c>
      <c r="H14563" t="s">
        <v>47054</v>
      </c>
      <c r="I14563" t="s">
        <v>47111</v>
      </c>
      <c r="J14563" t="s">
        <v>47112</v>
      </c>
      <c r="K14563" t="s">
        <v>47113</v>
      </c>
      <c r="L14563">
        <v>37.840000000000003</v>
      </c>
      <c r="M14563">
        <v>80</v>
      </c>
      <c r="N14563">
        <v>0</v>
      </c>
      <c r="O14563">
        <v>80</v>
      </c>
      <c r="P14563">
        <v>0</v>
      </c>
    </row>
    <row r="14564" spans="1:16" x14ac:dyDescent="0.25">
      <c r="A14564" t="s">
        <v>37285</v>
      </c>
      <c r="B14564" t="s">
        <v>10008</v>
      </c>
      <c r="C14564" t="s">
        <v>10009</v>
      </c>
      <c r="D14564" t="s">
        <v>273</v>
      </c>
      <c r="E14564" t="s">
        <v>274</v>
      </c>
      <c r="F14564" t="s">
        <v>1</v>
      </c>
      <c r="G14564" t="s">
        <v>47093</v>
      </c>
      <c r="H14564" t="s">
        <v>47054</v>
      </c>
      <c r="I14564" t="s">
        <v>47111</v>
      </c>
      <c r="J14564" t="s">
        <v>47112</v>
      </c>
      <c r="K14564" t="s">
        <v>47113</v>
      </c>
      <c r="L14564">
        <v>39.409999999999997</v>
      </c>
      <c r="M14564">
        <v>117</v>
      </c>
      <c r="N14564">
        <v>0</v>
      </c>
      <c r="O14564">
        <v>117</v>
      </c>
      <c r="P14564">
        <v>0</v>
      </c>
    </row>
    <row r="14565" spans="1:16" x14ac:dyDescent="0.25">
      <c r="A14565" t="s">
        <v>37286</v>
      </c>
      <c r="B14565" t="s">
        <v>10010</v>
      </c>
      <c r="C14565" t="s">
        <v>10011</v>
      </c>
      <c r="D14565" t="s">
        <v>273</v>
      </c>
      <c r="E14565" t="s">
        <v>274</v>
      </c>
      <c r="F14565" t="s">
        <v>1</v>
      </c>
      <c r="G14565" t="s">
        <v>47093</v>
      </c>
      <c r="H14565" t="s">
        <v>47054</v>
      </c>
      <c r="I14565" t="s">
        <v>47111</v>
      </c>
      <c r="J14565" t="s">
        <v>47112</v>
      </c>
      <c r="K14565" t="s">
        <v>47113</v>
      </c>
      <c r="L14565">
        <v>33.700000000000003</v>
      </c>
      <c r="M14565">
        <v>102</v>
      </c>
      <c r="N14565">
        <v>0</v>
      </c>
      <c r="O14565">
        <v>102</v>
      </c>
      <c r="P14565">
        <v>0</v>
      </c>
    </row>
    <row r="14566" spans="1:16" x14ac:dyDescent="0.25">
      <c r="A14566" t="s">
        <v>270</v>
      </c>
      <c r="B14566" t="s">
        <v>271</v>
      </c>
      <c r="C14566" t="s">
        <v>272</v>
      </c>
      <c r="D14566" t="s">
        <v>273</v>
      </c>
      <c r="E14566" t="s">
        <v>274</v>
      </c>
      <c r="F14566" t="s">
        <v>1</v>
      </c>
      <c r="G14566" t="s">
        <v>47093</v>
      </c>
      <c r="H14566" t="s">
        <v>47054</v>
      </c>
      <c r="I14566" t="s">
        <v>47111</v>
      </c>
      <c r="J14566" t="s">
        <v>47112</v>
      </c>
      <c r="K14566" t="s">
        <v>47113</v>
      </c>
      <c r="L14566">
        <v>38.630000000000003</v>
      </c>
      <c r="M14566">
        <v>117</v>
      </c>
      <c r="N14566">
        <v>0</v>
      </c>
      <c r="O14566">
        <v>117</v>
      </c>
      <c r="P14566">
        <v>0</v>
      </c>
    </row>
    <row r="14567" spans="1:16" x14ac:dyDescent="0.25">
      <c r="A14567" t="s">
        <v>37287</v>
      </c>
      <c r="B14567" t="s">
        <v>10012</v>
      </c>
      <c r="C14567" t="s">
        <v>10013</v>
      </c>
      <c r="D14567" t="s">
        <v>10014</v>
      </c>
      <c r="E14567" t="s">
        <v>10015</v>
      </c>
      <c r="F14567" t="s">
        <v>2068</v>
      </c>
      <c r="G14567" t="s">
        <v>47093</v>
      </c>
      <c r="H14567" t="s">
        <v>47054</v>
      </c>
      <c r="I14567" t="s">
        <v>47111</v>
      </c>
      <c r="J14567" t="s">
        <v>47112</v>
      </c>
      <c r="K14567" t="s">
        <v>47113</v>
      </c>
      <c r="L14567">
        <v>42.44</v>
      </c>
      <c r="M14567">
        <v>90</v>
      </c>
      <c r="N14567">
        <v>0</v>
      </c>
      <c r="O14567">
        <v>90</v>
      </c>
      <c r="P14567">
        <v>0</v>
      </c>
    </row>
    <row r="14568" spans="1:16" x14ac:dyDescent="0.25">
      <c r="A14568" t="s">
        <v>37288</v>
      </c>
      <c r="B14568" t="s">
        <v>10016</v>
      </c>
      <c r="C14568" t="s">
        <v>10017</v>
      </c>
      <c r="D14568" t="s">
        <v>10004</v>
      </c>
      <c r="E14568" t="s">
        <v>10005</v>
      </c>
      <c r="F14568" t="s">
        <v>2068</v>
      </c>
      <c r="G14568" t="s">
        <v>47093</v>
      </c>
      <c r="H14568" t="s">
        <v>47054</v>
      </c>
      <c r="I14568" t="s">
        <v>47111</v>
      </c>
      <c r="J14568" t="s">
        <v>47112</v>
      </c>
      <c r="K14568" t="s">
        <v>47113</v>
      </c>
      <c r="L14568">
        <v>37.799999999999997</v>
      </c>
      <c r="M14568">
        <v>80</v>
      </c>
      <c r="N14568">
        <v>0</v>
      </c>
      <c r="O14568">
        <v>80</v>
      </c>
      <c r="P14568">
        <v>0</v>
      </c>
    </row>
    <row r="14569" spans="1:16" x14ac:dyDescent="0.25">
      <c r="A14569" t="s">
        <v>37289</v>
      </c>
      <c r="B14569" t="s">
        <v>10018</v>
      </c>
      <c r="C14569" t="s">
        <v>10017</v>
      </c>
      <c r="D14569" t="s">
        <v>10014</v>
      </c>
      <c r="E14569" t="s">
        <v>10015</v>
      </c>
      <c r="F14569" t="s">
        <v>2068</v>
      </c>
      <c r="G14569" t="s">
        <v>47093</v>
      </c>
      <c r="H14569" t="s">
        <v>47054</v>
      </c>
      <c r="I14569" t="s">
        <v>47111</v>
      </c>
      <c r="J14569" t="s">
        <v>47112</v>
      </c>
      <c r="K14569" t="s">
        <v>47113</v>
      </c>
      <c r="L14569">
        <v>40.83</v>
      </c>
      <c r="M14569">
        <v>87</v>
      </c>
      <c r="N14569">
        <v>0</v>
      </c>
      <c r="O14569">
        <v>87</v>
      </c>
      <c r="P14569">
        <v>0</v>
      </c>
    </row>
    <row r="14570" spans="1:16" x14ac:dyDescent="0.25">
      <c r="A14570" t="s">
        <v>37290</v>
      </c>
      <c r="B14570" t="s">
        <v>10019</v>
      </c>
      <c r="C14570" t="s">
        <v>10020</v>
      </c>
      <c r="D14570" t="s">
        <v>3422</v>
      </c>
      <c r="E14570" t="s">
        <v>3423</v>
      </c>
      <c r="F14570" t="s">
        <v>58</v>
      </c>
      <c r="G14570" t="s">
        <v>47093</v>
      </c>
      <c r="H14570" t="s">
        <v>47054</v>
      </c>
      <c r="I14570" t="s">
        <v>47111</v>
      </c>
      <c r="J14570" t="s">
        <v>47112</v>
      </c>
      <c r="K14570" t="s">
        <v>47113</v>
      </c>
      <c r="L14570">
        <v>47.23</v>
      </c>
      <c r="M14570">
        <v>116</v>
      </c>
      <c r="N14570">
        <v>0</v>
      </c>
      <c r="O14570">
        <v>116</v>
      </c>
      <c r="P14570">
        <v>0</v>
      </c>
    </row>
    <row r="14571" spans="1:16" x14ac:dyDescent="0.25">
      <c r="A14571" t="s">
        <v>37291</v>
      </c>
      <c r="B14571" t="s">
        <v>10021</v>
      </c>
      <c r="C14571" t="s">
        <v>10022</v>
      </c>
      <c r="D14571" t="s">
        <v>6209</v>
      </c>
      <c r="E14571" t="s">
        <v>6210</v>
      </c>
      <c r="F14571" t="s">
        <v>8</v>
      </c>
      <c r="G14571" t="s">
        <v>47101</v>
      </c>
      <c r="H14571" t="s">
        <v>47054</v>
      </c>
      <c r="I14571" t="s">
        <v>47116</v>
      </c>
      <c r="J14571" t="s">
        <v>47117</v>
      </c>
      <c r="K14571" t="s">
        <v>47113</v>
      </c>
      <c r="L14571">
        <v>49.96</v>
      </c>
      <c r="M14571">
        <v>123</v>
      </c>
      <c r="N14571">
        <v>0</v>
      </c>
      <c r="O14571">
        <v>123</v>
      </c>
      <c r="P14571">
        <v>0</v>
      </c>
    </row>
    <row r="14572" spans="1:16" x14ac:dyDescent="0.25">
      <c r="A14572" t="s">
        <v>37292</v>
      </c>
      <c r="B14572" t="s">
        <v>10021</v>
      </c>
      <c r="C14572" t="s">
        <v>10022</v>
      </c>
      <c r="D14572" t="s">
        <v>10023</v>
      </c>
      <c r="E14572" t="s">
        <v>10024</v>
      </c>
      <c r="F14572" t="s">
        <v>56</v>
      </c>
      <c r="G14572" t="s">
        <v>47101</v>
      </c>
      <c r="H14572" t="s">
        <v>47054</v>
      </c>
      <c r="I14572" t="s">
        <v>47118</v>
      </c>
      <c r="J14572" t="s">
        <v>47119</v>
      </c>
      <c r="K14572" t="s">
        <v>47113</v>
      </c>
      <c r="L14572">
        <v>44.9</v>
      </c>
      <c r="M14572">
        <v>103</v>
      </c>
      <c r="N14572">
        <v>0</v>
      </c>
      <c r="O14572">
        <v>103</v>
      </c>
      <c r="P14572">
        <v>0</v>
      </c>
    </row>
    <row r="14573" spans="1:16" x14ac:dyDescent="0.25">
      <c r="A14573" t="s">
        <v>37293</v>
      </c>
      <c r="B14573" t="s">
        <v>10025</v>
      </c>
      <c r="C14573" t="s">
        <v>10026</v>
      </c>
      <c r="D14573" t="s">
        <v>10027</v>
      </c>
      <c r="E14573" t="s">
        <v>10028</v>
      </c>
      <c r="F14573" t="s">
        <v>631</v>
      </c>
      <c r="G14573" t="s">
        <v>47101</v>
      </c>
      <c r="H14573" t="s">
        <v>47054</v>
      </c>
      <c r="I14573" t="s">
        <v>47114</v>
      </c>
      <c r="J14573" t="s">
        <v>47115</v>
      </c>
      <c r="K14573" t="s">
        <v>47113</v>
      </c>
      <c r="L14573">
        <v>37.54</v>
      </c>
      <c r="M14573">
        <v>84</v>
      </c>
      <c r="N14573">
        <v>0</v>
      </c>
      <c r="O14573">
        <v>84</v>
      </c>
      <c r="P14573">
        <v>0</v>
      </c>
    </row>
    <row r="14574" spans="1:16" x14ac:dyDescent="0.25">
      <c r="A14574" t="s">
        <v>37294</v>
      </c>
      <c r="B14574" t="s">
        <v>10025</v>
      </c>
      <c r="C14574" t="s">
        <v>10026</v>
      </c>
      <c r="D14574" t="s">
        <v>721</v>
      </c>
      <c r="E14574" t="s">
        <v>722</v>
      </c>
      <c r="F14574" t="s">
        <v>1717</v>
      </c>
      <c r="G14574" t="s">
        <v>47101</v>
      </c>
      <c r="H14574" t="s">
        <v>47054</v>
      </c>
      <c r="I14574" t="s">
        <v>47114</v>
      </c>
      <c r="J14574" t="s">
        <v>47115</v>
      </c>
      <c r="K14574" t="s">
        <v>47113</v>
      </c>
      <c r="L14574">
        <v>20.81</v>
      </c>
      <c r="M14574">
        <v>48</v>
      </c>
      <c r="N14574">
        <v>0</v>
      </c>
      <c r="O14574">
        <v>48</v>
      </c>
      <c r="P14574">
        <v>0</v>
      </c>
    </row>
    <row r="14575" spans="1:16" x14ac:dyDescent="0.25">
      <c r="A14575" t="s">
        <v>37295</v>
      </c>
      <c r="B14575" t="s">
        <v>10029</v>
      </c>
      <c r="C14575" t="s">
        <v>10030</v>
      </c>
      <c r="D14575" t="s">
        <v>3422</v>
      </c>
      <c r="E14575" t="s">
        <v>3423</v>
      </c>
      <c r="F14575" t="s">
        <v>58</v>
      </c>
      <c r="G14575" t="s">
        <v>47093</v>
      </c>
      <c r="H14575" t="s">
        <v>47054</v>
      </c>
      <c r="I14575" t="s">
        <v>47116</v>
      </c>
      <c r="J14575" t="s">
        <v>47117</v>
      </c>
      <c r="K14575" t="s">
        <v>47113</v>
      </c>
      <c r="L14575">
        <v>47.02</v>
      </c>
      <c r="M14575">
        <v>120</v>
      </c>
      <c r="N14575">
        <v>0</v>
      </c>
      <c r="O14575">
        <v>120</v>
      </c>
      <c r="P14575">
        <v>0</v>
      </c>
    </row>
    <row r="14576" spans="1:16" x14ac:dyDescent="0.25">
      <c r="A14576" t="s">
        <v>37296</v>
      </c>
      <c r="B14576" t="s">
        <v>10031</v>
      </c>
      <c r="C14576" t="s">
        <v>10032</v>
      </c>
      <c r="D14576" t="s">
        <v>5271</v>
      </c>
      <c r="E14576" t="s">
        <v>5272</v>
      </c>
      <c r="F14576" t="s">
        <v>56</v>
      </c>
      <c r="G14576" t="s">
        <v>47101</v>
      </c>
      <c r="H14576" t="s">
        <v>47054</v>
      </c>
      <c r="I14576" t="s">
        <v>47116</v>
      </c>
      <c r="J14576" t="s">
        <v>47117</v>
      </c>
      <c r="K14576" t="s">
        <v>47113</v>
      </c>
      <c r="L14576">
        <v>43.2</v>
      </c>
      <c r="M14576">
        <v>105</v>
      </c>
      <c r="N14576">
        <v>0</v>
      </c>
      <c r="O14576">
        <v>105</v>
      </c>
      <c r="P14576">
        <v>0</v>
      </c>
    </row>
    <row r="14577" spans="1:16" x14ac:dyDescent="0.25">
      <c r="A14577" t="s">
        <v>37297</v>
      </c>
      <c r="B14577" t="s">
        <v>10033</v>
      </c>
      <c r="C14577" t="s">
        <v>10034</v>
      </c>
      <c r="D14577" t="s">
        <v>2567</v>
      </c>
      <c r="E14577" t="s">
        <v>2568</v>
      </c>
      <c r="F14577" t="s">
        <v>56</v>
      </c>
      <c r="G14577" t="s">
        <v>47101</v>
      </c>
      <c r="H14577" t="s">
        <v>47054</v>
      </c>
      <c r="I14577" t="s">
        <v>47114</v>
      </c>
      <c r="J14577" t="s">
        <v>47115</v>
      </c>
      <c r="K14577" t="s">
        <v>47113</v>
      </c>
      <c r="L14577">
        <v>37.729999999999997</v>
      </c>
      <c r="M14577">
        <v>101</v>
      </c>
      <c r="N14577">
        <v>0</v>
      </c>
      <c r="O14577">
        <v>101</v>
      </c>
      <c r="P14577">
        <v>0</v>
      </c>
    </row>
    <row r="14578" spans="1:16" x14ac:dyDescent="0.25">
      <c r="A14578" t="s">
        <v>37298</v>
      </c>
      <c r="B14578" t="s">
        <v>10035</v>
      </c>
      <c r="C14578" t="s">
        <v>10036</v>
      </c>
      <c r="D14578" t="s">
        <v>905</v>
      </c>
      <c r="E14578" t="s">
        <v>906</v>
      </c>
      <c r="F14578" t="s">
        <v>296</v>
      </c>
      <c r="G14578" t="s">
        <v>47101</v>
      </c>
      <c r="H14578" t="s">
        <v>47054</v>
      </c>
      <c r="I14578" t="s">
        <v>47116</v>
      </c>
      <c r="J14578" t="s">
        <v>47117</v>
      </c>
      <c r="K14578" t="s">
        <v>47113</v>
      </c>
      <c r="L14578">
        <v>45.41</v>
      </c>
      <c r="M14578">
        <v>100</v>
      </c>
      <c r="N14578">
        <v>0</v>
      </c>
      <c r="O14578">
        <v>100</v>
      </c>
      <c r="P14578">
        <v>0</v>
      </c>
    </row>
    <row r="14579" spans="1:16" x14ac:dyDescent="0.25">
      <c r="A14579" t="s">
        <v>275</v>
      </c>
      <c r="B14579" t="s">
        <v>276</v>
      </c>
      <c r="C14579" t="s">
        <v>277</v>
      </c>
      <c r="D14579" t="s">
        <v>278</v>
      </c>
      <c r="E14579" t="s">
        <v>279</v>
      </c>
      <c r="F14579" t="s">
        <v>7</v>
      </c>
      <c r="G14579" t="s">
        <v>47101</v>
      </c>
      <c r="H14579" t="s">
        <v>47054</v>
      </c>
      <c r="I14579" t="s">
        <v>47116</v>
      </c>
      <c r="J14579" t="s">
        <v>47117</v>
      </c>
      <c r="K14579" t="s">
        <v>47113</v>
      </c>
      <c r="L14579">
        <v>55.74</v>
      </c>
      <c r="M14579">
        <v>125</v>
      </c>
      <c r="N14579">
        <v>0</v>
      </c>
      <c r="O14579">
        <v>125</v>
      </c>
      <c r="P14579">
        <v>0</v>
      </c>
    </row>
    <row r="14580" spans="1:16" x14ac:dyDescent="0.25">
      <c r="A14580" t="s">
        <v>37299</v>
      </c>
      <c r="B14580" t="s">
        <v>10037</v>
      </c>
      <c r="C14580" t="s">
        <v>10038</v>
      </c>
      <c r="D14580" t="s">
        <v>3432</v>
      </c>
      <c r="E14580" t="s">
        <v>3433</v>
      </c>
      <c r="F14580" t="s">
        <v>7</v>
      </c>
      <c r="G14580" t="s">
        <v>47101</v>
      </c>
      <c r="H14580" t="s">
        <v>47054</v>
      </c>
      <c r="I14580" t="s">
        <v>47116</v>
      </c>
      <c r="J14580" t="s">
        <v>47117</v>
      </c>
      <c r="K14580" t="s">
        <v>47113</v>
      </c>
      <c r="L14580">
        <v>44.16</v>
      </c>
      <c r="M14580">
        <v>98</v>
      </c>
      <c r="N14580">
        <v>0</v>
      </c>
      <c r="O14580">
        <v>98</v>
      </c>
      <c r="P14580">
        <v>0</v>
      </c>
    </row>
    <row r="14581" spans="1:16" x14ac:dyDescent="0.25">
      <c r="A14581" t="s">
        <v>280</v>
      </c>
      <c r="B14581" t="s">
        <v>281</v>
      </c>
      <c r="C14581" t="s">
        <v>282</v>
      </c>
      <c r="D14581" t="s">
        <v>283</v>
      </c>
      <c r="E14581" t="s">
        <v>284</v>
      </c>
      <c r="F14581" t="s">
        <v>6</v>
      </c>
      <c r="G14581" t="s">
        <v>47101</v>
      </c>
      <c r="H14581" t="s">
        <v>47054</v>
      </c>
      <c r="I14581" t="s">
        <v>47116</v>
      </c>
      <c r="J14581" t="s">
        <v>47117</v>
      </c>
      <c r="K14581" t="s">
        <v>47113</v>
      </c>
      <c r="L14581">
        <v>49.74</v>
      </c>
      <c r="M14581">
        <v>122</v>
      </c>
      <c r="N14581">
        <v>0</v>
      </c>
      <c r="O14581">
        <v>122</v>
      </c>
      <c r="P14581">
        <v>0</v>
      </c>
    </row>
    <row r="14582" spans="1:16" x14ac:dyDescent="0.25">
      <c r="A14582" t="s">
        <v>37300</v>
      </c>
      <c r="B14582" t="s">
        <v>10039</v>
      </c>
      <c r="C14582" t="s">
        <v>10040</v>
      </c>
      <c r="D14582" t="s">
        <v>916</v>
      </c>
      <c r="E14582" t="s">
        <v>917</v>
      </c>
      <c r="F14582" t="s">
        <v>6</v>
      </c>
      <c r="G14582" t="s">
        <v>47101</v>
      </c>
      <c r="H14582" t="s">
        <v>47054</v>
      </c>
      <c r="I14582" t="s">
        <v>47114</v>
      </c>
      <c r="J14582" t="s">
        <v>47115</v>
      </c>
      <c r="K14582" t="s">
        <v>47113</v>
      </c>
      <c r="L14582">
        <v>49.77</v>
      </c>
      <c r="M14582">
        <v>118</v>
      </c>
      <c r="N14582">
        <v>0</v>
      </c>
      <c r="O14582">
        <v>118</v>
      </c>
      <c r="P14582">
        <v>0</v>
      </c>
    </row>
    <row r="14583" spans="1:16" x14ac:dyDescent="0.25">
      <c r="A14583" t="s">
        <v>37301</v>
      </c>
      <c r="B14583" t="s">
        <v>10041</v>
      </c>
      <c r="C14583" t="s">
        <v>10042</v>
      </c>
      <c r="D14583" t="s">
        <v>3474</v>
      </c>
      <c r="E14583" t="s">
        <v>3475</v>
      </c>
      <c r="F14583" t="s">
        <v>2</v>
      </c>
      <c r="G14583" t="s">
        <v>47101</v>
      </c>
      <c r="H14583" t="s">
        <v>47054</v>
      </c>
      <c r="I14583" t="s">
        <v>47116</v>
      </c>
      <c r="J14583" t="s">
        <v>47117</v>
      </c>
      <c r="K14583" t="s">
        <v>47113</v>
      </c>
      <c r="L14583">
        <v>43.69</v>
      </c>
      <c r="M14583">
        <v>85</v>
      </c>
      <c r="N14583">
        <v>0</v>
      </c>
      <c r="O14583">
        <v>85</v>
      </c>
      <c r="P14583">
        <v>0</v>
      </c>
    </row>
    <row r="14584" spans="1:16" x14ac:dyDescent="0.25">
      <c r="A14584" t="s">
        <v>37302</v>
      </c>
      <c r="B14584" t="s">
        <v>10043</v>
      </c>
      <c r="C14584" t="s">
        <v>10044</v>
      </c>
      <c r="D14584" t="s">
        <v>10045</v>
      </c>
      <c r="E14584" t="s">
        <v>10046</v>
      </c>
      <c r="F14584" t="s">
        <v>3546</v>
      </c>
      <c r="G14584" t="s">
        <v>47098</v>
      </c>
      <c r="H14584" t="s">
        <v>47054</v>
      </c>
      <c r="I14584" t="s">
        <v>47116</v>
      </c>
      <c r="J14584" t="s">
        <v>47117</v>
      </c>
      <c r="K14584" t="s">
        <v>47113</v>
      </c>
      <c r="L14584">
        <v>22.11</v>
      </c>
      <c r="M14584">
        <v>54</v>
      </c>
      <c r="N14584">
        <v>0</v>
      </c>
      <c r="O14584">
        <v>54</v>
      </c>
      <c r="P14584">
        <v>0</v>
      </c>
    </row>
    <row r="14585" spans="1:16" x14ac:dyDescent="0.25">
      <c r="A14585" t="s">
        <v>37303</v>
      </c>
      <c r="B14585" t="s">
        <v>10047</v>
      </c>
      <c r="C14585" t="s">
        <v>10048</v>
      </c>
      <c r="D14585" t="s">
        <v>3743</v>
      </c>
      <c r="E14585" t="s">
        <v>3744</v>
      </c>
      <c r="F14585" t="s">
        <v>3546</v>
      </c>
      <c r="G14585" t="s">
        <v>48515</v>
      </c>
      <c r="H14585" t="s">
        <v>47054</v>
      </c>
      <c r="I14585" t="s">
        <v>47120</v>
      </c>
      <c r="J14585" t="s">
        <v>47121</v>
      </c>
      <c r="K14585" t="s">
        <v>47113</v>
      </c>
      <c r="L14585">
        <v>42.23</v>
      </c>
      <c r="M14585">
        <v>104</v>
      </c>
      <c r="N14585">
        <v>0</v>
      </c>
      <c r="O14585">
        <v>104</v>
      </c>
      <c r="P14585">
        <v>0</v>
      </c>
    </row>
    <row r="14586" spans="1:16" x14ac:dyDescent="0.25">
      <c r="A14586" t="s">
        <v>37304</v>
      </c>
      <c r="B14586" t="s">
        <v>10049</v>
      </c>
      <c r="C14586" t="s">
        <v>10050</v>
      </c>
      <c r="D14586" t="str">
        <f>"1254"</f>
        <v>1254</v>
      </c>
      <c r="E14586" t="s">
        <v>6117</v>
      </c>
      <c r="F14586" t="s">
        <v>3558</v>
      </c>
      <c r="G14586" t="s">
        <v>47092</v>
      </c>
      <c r="H14586" t="s">
        <v>47054</v>
      </c>
      <c r="I14586" t="s">
        <v>47111</v>
      </c>
      <c r="J14586" t="s">
        <v>47112</v>
      </c>
      <c r="K14586" t="s">
        <v>47113</v>
      </c>
      <c r="L14586">
        <v>16.440000000000001</v>
      </c>
      <c r="M14586">
        <v>26</v>
      </c>
      <c r="N14586">
        <v>0</v>
      </c>
      <c r="O14586">
        <v>26</v>
      </c>
      <c r="P14586">
        <v>0</v>
      </c>
    </row>
    <row r="14587" spans="1:16" x14ac:dyDescent="0.25">
      <c r="A14587" t="s">
        <v>37305</v>
      </c>
      <c r="B14587" t="s">
        <v>10049</v>
      </c>
      <c r="C14587" t="s">
        <v>10050</v>
      </c>
      <c r="D14587" t="str">
        <f>"1700"</f>
        <v>1700</v>
      </c>
      <c r="E14587" t="s">
        <v>60</v>
      </c>
      <c r="F14587" t="s">
        <v>3558</v>
      </c>
      <c r="G14587" t="s">
        <v>47092</v>
      </c>
      <c r="H14587" t="s">
        <v>47054</v>
      </c>
      <c r="I14587" t="s">
        <v>47111</v>
      </c>
      <c r="J14587" t="s">
        <v>47112</v>
      </c>
      <c r="K14587" t="s">
        <v>47113</v>
      </c>
      <c r="L14587">
        <v>16.440000000000001</v>
      </c>
      <c r="M14587">
        <v>26</v>
      </c>
      <c r="N14587">
        <v>0</v>
      </c>
      <c r="O14587">
        <v>26</v>
      </c>
      <c r="P14587">
        <v>0</v>
      </c>
    </row>
    <row r="14588" spans="1:16" x14ac:dyDescent="0.25">
      <c r="A14588" t="s">
        <v>37306</v>
      </c>
      <c r="B14588" t="s">
        <v>10051</v>
      </c>
      <c r="C14588" t="s">
        <v>10052</v>
      </c>
      <c r="D14588" t="str">
        <f>"1254"</f>
        <v>1254</v>
      </c>
      <c r="E14588" t="s">
        <v>6117</v>
      </c>
      <c r="F14588" t="s">
        <v>3558</v>
      </c>
      <c r="G14588" t="s">
        <v>47097</v>
      </c>
      <c r="H14588" t="s">
        <v>47054</v>
      </c>
      <c r="I14588" t="s">
        <v>47111</v>
      </c>
      <c r="J14588" t="s">
        <v>47112</v>
      </c>
      <c r="K14588" t="s">
        <v>47113</v>
      </c>
      <c r="L14588">
        <v>17.440000000000001</v>
      </c>
      <c r="M14588">
        <v>29</v>
      </c>
      <c r="N14588">
        <v>0</v>
      </c>
      <c r="O14588">
        <v>29</v>
      </c>
      <c r="P14588">
        <v>0</v>
      </c>
    </row>
    <row r="14589" spans="1:16" x14ac:dyDescent="0.25">
      <c r="A14589" t="s">
        <v>37307</v>
      </c>
      <c r="B14589" t="s">
        <v>10051</v>
      </c>
      <c r="C14589" t="s">
        <v>10052</v>
      </c>
      <c r="D14589" t="str">
        <f>"1700"</f>
        <v>1700</v>
      </c>
      <c r="E14589" t="s">
        <v>60</v>
      </c>
      <c r="F14589" t="s">
        <v>3558</v>
      </c>
      <c r="G14589" t="s">
        <v>47097</v>
      </c>
      <c r="H14589" t="s">
        <v>47054</v>
      </c>
      <c r="I14589" t="s">
        <v>47111</v>
      </c>
      <c r="J14589" t="s">
        <v>47112</v>
      </c>
      <c r="K14589" t="s">
        <v>47113</v>
      </c>
      <c r="L14589">
        <v>17.440000000000001</v>
      </c>
      <c r="M14589">
        <v>29</v>
      </c>
      <c r="N14589">
        <v>0</v>
      </c>
      <c r="O14589">
        <v>29</v>
      </c>
      <c r="P14589">
        <v>0</v>
      </c>
    </row>
    <row r="14590" spans="1:16" x14ac:dyDescent="0.25">
      <c r="A14590" t="s">
        <v>37308</v>
      </c>
      <c r="B14590" t="s">
        <v>10053</v>
      </c>
      <c r="C14590" t="s">
        <v>10054</v>
      </c>
      <c r="D14590" t="str">
        <f>"4002"</f>
        <v>4002</v>
      </c>
      <c r="E14590" t="s">
        <v>710</v>
      </c>
      <c r="F14590" t="s">
        <v>3558</v>
      </c>
      <c r="G14590" t="s">
        <v>47095</v>
      </c>
      <c r="H14590" t="s">
        <v>47054</v>
      </c>
      <c r="I14590" t="s">
        <v>47120</v>
      </c>
      <c r="J14590" t="s">
        <v>47121</v>
      </c>
      <c r="K14590" t="s">
        <v>47113</v>
      </c>
      <c r="L14590">
        <v>20.74</v>
      </c>
      <c r="M14590">
        <v>51</v>
      </c>
      <c r="N14590">
        <v>0</v>
      </c>
      <c r="O14590">
        <v>51</v>
      </c>
      <c r="P14590">
        <v>0</v>
      </c>
    </row>
    <row r="14591" spans="1:16" x14ac:dyDescent="0.25">
      <c r="A14591" t="s">
        <v>37309</v>
      </c>
      <c r="B14591" t="s">
        <v>10053</v>
      </c>
      <c r="C14591" t="s">
        <v>10054</v>
      </c>
      <c r="D14591" t="str">
        <f>"4110"</f>
        <v>4110</v>
      </c>
      <c r="E14591" t="s">
        <v>10055</v>
      </c>
      <c r="F14591" t="s">
        <v>3558</v>
      </c>
      <c r="G14591" t="s">
        <v>47095</v>
      </c>
      <c r="H14591" t="s">
        <v>47054</v>
      </c>
      <c r="I14591" t="s">
        <v>47120</v>
      </c>
      <c r="J14591" t="s">
        <v>47121</v>
      </c>
      <c r="K14591" t="s">
        <v>47113</v>
      </c>
      <c r="L14591">
        <v>20.74</v>
      </c>
      <c r="M14591">
        <v>51</v>
      </c>
      <c r="N14591">
        <v>0</v>
      </c>
      <c r="O14591">
        <v>51</v>
      </c>
      <c r="P14591">
        <v>0</v>
      </c>
    </row>
    <row r="14592" spans="1:16" x14ac:dyDescent="0.25">
      <c r="A14592" t="s">
        <v>37310</v>
      </c>
      <c r="B14592" t="s">
        <v>10056</v>
      </c>
      <c r="C14592" t="s">
        <v>10057</v>
      </c>
      <c r="D14592" t="s">
        <v>721</v>
      </c>
      <c r="E14592" t="s">
        <v>722</v>
      </c>
      <c r="F14592" t="s">
        <v>52</v>
      </c>
      <c r="G14592" t="s">
        <v>47093</v>
      </c>
      <c r="H14592" t="s">
        <v>47054</v>
      </c>
      <c r="I14592" t="s">
        <v>47114</v>
      </c>
      <c r="J14592" t="s">
        <v>47115</v>
      </c>
      <c r="K14592" t="s">
        <v>47113</v>
      </c>
      <c r="L14592">
        <v>33.9</v>
      </c>
      <c r="M14592">
        <v>103</v>
      </c>
      <c r="N14592">
        <v>0</v>
      </c>
      <c r="O14592">
        <v>103</v>
      </c>
      <c r="P14592">
        <v>0</v>
      </c>
    </row>
    <row r="14593" spans="1:16" x14ac:dyDescent="0.25">
      <c r="A14593" t="s">
        <v>37311</v>
      </c>
      <c r="B14593" t="s">
        <v>10056</v>
      </c>
      <c r="C14593" t="s">
        <v>10057</v>
      </c>
      <c r="D14593" t="s">
        <v>1792</v>
      </c>
      <c r="E14593" t="s">
        <v>1793</v>
      </c>
      <c r="F14593" t="s">
        <v>52</v>
      </c>
      <c r="G14593" t="s">
        <v>47093</v>
      </c>
      <c r="H14593" t="s">
        <v>47054</v>
      </c>
      <c r="I14593" t="s">
        <v>47114</v>
      </c>
      <c r="J14593" t="s">
        <v>47115</v>
      </c>
      <c r="K14593" t="s">
        <v>47113</v>
      </c>
      <c r="L14593">
        <v>42.15</v>
      </c>
      <c r="M14593">
        <v>123</v>
      </c>
      <c r="N14593">
        <v>0</v>
      </c>
      <c r="O14593">
        <v>123</v>
      </c>
      <c r="P14593">
        <v>0</v>
      </c>
    </row>
    <row r="14594" spans="1:16" x14ac:dyDescent="0.25">
      <c r="A14594" t="s">
        <v>37312</v>
      </c>
      <c r="B14594" t="s">
        <v>10056</v>
      </c>
      <c r="C14594" t="s">
        <v>10057</v>
      </c>
      <c r="D14594" t="s">
        <v>739</v>
      </c>
      <c r="E14594" t="s">
        <v>740</v>
      </c>
      <c r="F14594" t="s">
        <v>52</v>
      </c>
      <c r="G14594" t="s">
        <v>47093</v>
      </c>
      <c r="H14594" t="s">
        <v>47054</v>
      </c>
      <c r="I14594" t="s">
        <v>47114</v>
      </c>
      <c r="J14594" t="s">
        <v>47115</v>
      </c>
      <c r="K14594" t="s">
        <v>47113</v>
      </c>
      <c r="L14594">
        <v>38.1</v>
      </c>
      <c r="M14594">
        <v>113</v>
      </c>
      <c r="N14594">
        <v>0</v>
      </c>
      <c r="O14594">
        <v>113</v>
      </c>
      <c r="P14594">
        <v>0</v>
      </c>
    </row>
    <row r="14595" spans="1:16" x14ac:dyDescent="0.25">
      <c r="A14595" t="s">
        <v>37313</v>
      </c>
      <c r="B14595" t="s">
        <v>10056</v>
      </c>
      <c r="C14595" t="s">
        <v>10057</v>
      </c>
      <c r="D14595" t="s">
        <v>10058</v>
      </c>
      <c r="E14595" t="s">
        <v>10059</v>
      </c>
      <c r="F14595" t="s">
        <v>52</v>
      </c>
      <c r="G14595" t="s">
        <v>47093</v>
      </c>
      <c r="H14595" t="s">
        <v>47054</v>
      </c>
      <c r="I14595" t="s">
        <v>47114</v>
      </c>
      <c r="J14595" t="s">
        <v>47115</v>
      </c>
      <c r="K14595" t="s">
        <v>47113</v>
      </c>
      <c r="L14595">
        <v>38.69</v>
      </c>
      <c r="M14595">
        <v>115</v>
      </c>
      <c r="N14595">
        <v>0</v>
      </c>
      <c r="O14595">
        <v>115</v>
      </c>
      <c r="P14595">
        <v>0</v>
      </c>
    </row>
    <row r="14596" spans="1:16" x14ac:dyDescent="0.25">
      <c r="A14596" t="s">
        <v>37314</v>
      </c>
      <c r="B14596" t="s">
        <v>10060</v>
      </c>
      <c r="C14596" t="s">
        <v>10061</v>
      </c>
      <c r="D14596" t="str">
        <f>"11"</f>
        <v>11</v>
      </c>
      <c r="E14596" t="s">
        <v>288</v>
      </c>
      <c r="F14596" t="s">
        <v>5</v>
      </c>
      <c r="G14596" t="s">
        <v>47093</v>
      </c>
      <c r="H14596" t="s">
        <v>47054</v>
      </c>
      <c r="I14596" t="s">
        <v>47111</v>
      </c>
      <c r="J14596" t="s">
        <v>47112</v>
      </c>
      <c r="K14596" t="s">
        <v>47113</v>
      </c>
      <c r="L14596">
        <v>33.82</v>
      </c>
      <c r="M14596">
        <v>73</v>
      </c>
      <c r="N14596">
        <v>0</v>
      </c>
      <c r="O14596">
        <v>73</v>
      </c>
      <c r="P14596">
        <v>0</v>
      </c>
    </row>
    <row r="14597" spans="1:16" x14ac:dyDescent="0.25">
      <c r="A14597" t="s">
        <v>37315</v>
      </c>
      <c r="B14597" t="s">
        <v>10060</v>
      </c>
      <c r="C14597" t="s">
        <v>10061</v>
      </c>
      <c r="D14597" t="str">
        <f>"40"</f>
        <v>40</v>
      </c>
      <c r="E14597" t="s">
        <v>31</v>
      </c>
      <c r="F14597" t="s">
        <v>5</v>
      </c>
      <c r="G14597" t="s">
        <v>47093</v>
      </c>
      <c r="H14597" t="s">
        <v>47054</v>
      </c>
      <c r="I14597" t="s">
        <v>47111</v>
      </c>
      <c r="J14597" t="s">
        <v>47112</v>
      </c>
      <c r="K14597" t="s">
        <v>47113</v>
      </c>
      <c r="L14597">
        <v>32.93</v>
      </c>
      <c r="M14597">
        <v>77</v>
      </c>
      <c r="N14597">
        <v>0</v>
      </c>
      <c r="O14597">
        <v>77</v>
      </c>
      <c r="P14597">
        <v>0</v>
      </c>
    </row>
    <row r="14598" spans="1:16" x14ac:dyDescent="0.25">
      <c r="A14598" t="s">
        <v>37316</v>
      </c>
      <c r="B14598" t="s">
        <v>10060</v>
      </c>
      <c r="C14598" t="s">
        <v>10061</v>
      </c>
      <c r="D14598" t="s">
        <v>10062</v>
      </c>
      <c r="E14598" t="s">
        <v>10063</v>
      </c>
      <c r="F14598" t="s">
        <v>5</v>
      </c>
      <c r="G14598" t="s">
        <v>47093</v>
      </c>
      <c r="H14598" t="s">
        <v>47054</v>
      </c>
      <c r="I14598" t="s">
        <v>47111</v>
      </c>
      <c r="J14598" t="s">
        <v>47112</v>
      </c>
      <c r="K14598" t="s">
        <v>47113</v>
      </c>
      <c r="L14598">
        <v>29.55</v>
      </c>
      <c r="M14598">
        <v>69</v>
      </c>
      <c r="N14598">
        <v>0</v>
      </c>
      <c r="O14598">
        <v>69</v>
      </c>
      <c r="P14598">
        <v>0</v>
      </c>
    </row>
    <row r="14599" spans="1:16" x14ac:dyDescent="0.25">
      <c r="A14599" t="s">
        <v>37317</v>
      </c>
      <c r="B14599" t="s">
        <v>10060</v>
      </c>
      <c r="C14599" t="s">
        <v>10061</v>
      </c>
      <c r="D14599" t="s">
        <v>10064</v>
      </c>
      <c r="E14599" t="s">
        <v>10065</v>
      </c>
      <c r="F14599" t="s">
        <v>5</v>
      </c>
      <c r="G14599" t="s">
        <v>47093</v>
      </c>
      <c r="H14599" t="s">
        <v>47054</v>
      </c>
      <c r="I14599" t="s">
        <v>47111</v>
      </c>
      <c r="J14599" t="s">
        <v>47112</v>
      </c>
      <c r="K14599" t="s">
        <v>47113</v>
      </c>
      <c r="L14599">
        <v>29.26</v>
      </c>
      <c r="M14599">
        <v>69</v>
      </c>
      <c r="N14599">
        <v>0</v>
      </c>
      <c r="O14599">
        <v>69</v>
      </c>
      <c r="P14599">
        <v>0</v>
      </c>
    </row>
    <row r="14600" spans="1:16" x14ac:dyDescent="0.25">
      <c r="A14600" t="s">
        <v>37318</v>
      </c>
      <c r="B14600" t="s">
        <v>10066</v>
      </c>
      <c r="C14600" t="s">
        <v>10067</v>
      </c>
      <c r="D14600" t="str">
        <f>"40"</f>
        <v>40</v>
      </c>
      <c r="E14600" t="s">
        <v>31</v>
      </c>
      <c r="F14600" t="s">
        <v>8</v>
      </c>
      <c r="G14600" t="s">
        <v>47093</v>
      </c>
      <c r="H14600" t="s">
        <v>47054</v>
      </c>
      <c r="I14600" t="s">
        <v>47111</v>
      </c>
      <c r="J14600" t="s">
        <v>47112</v>
      </c>
      <c r="K14600" t="s">
        <v>47113</v>
      </c>
      <c r="L14600">
        <v>49.62</v>
      </c>
      <c r="M14600">
        <v>133</v>
      </c>
      <c r="N14600">
        <v>0</v>
      </c>
      <c r="O14600">
        <v>133</v>
      </c>
      <c r="P14600">
        <v>0</v>
      </c>
    </row>
    <row r="14601" spans="1:16" x14ac:dyDescent="0.25">
      <c r="A14601" t="s">
        <v>37319</v>
      </c>
      <c r="B14601" t="s">
        <v>10066</v>
      </c>
      <c r="C14601" t="s">
        <v>10067</v>
      </c>
      <c r="D14601" t="s">
        <v>1341</v>
      </c>
      <c r="E14601" t="s">
        <v>1342</v>
      </c>
      <c r="F14601" t="s">
        <v>8</v>
      </c>
      <c r="G14601" t="s">
        <v>47093</v>
      </c>
      <c r="H14601" t="s">
        <v>47054</v>
      </c>
      <c r="I14601" t="s">
        <v>47111</v>
      </c>
      <c r="J14601" t="s">
        <v>47112</v>
      </c>
      <c r="K14601" t="s">
        <v>47113</v>
      </c>
      <c r="L14601">
        <v>50.17</v>
      </c>
      <c r="M14601">
        <v>133</v>
      </c>
      <c r="N14601">
        <v>0</v>
      </c>
      <c r="O14601">
        <v>133</v>
      </c>
      <c r="P14601">
        <v>0</v>
      </c>
    </row>
    <row r="14602" spans="1:16" x14ac:dyDescent="0.25">
      <c r="A14602" t="s">
        <v>37320</v>
      </c>
      <c r="B14602" t="s">
        <v>10066</v>
      </c>
      <c r="C14602" t="s">
        <v>10067</v>
      </c>
      <c r="D14602" t="s">
        <v>1777</v>
      </c>
      <c r="E14602" t="s">
        <v>1778</v>
      </c>
      <c r="F14602" t="s">
        <v>8</v>
      </c>
      <c r="G14602" t="s">
        <v>47093</v>
      </c>
      <c r="H14602" t="s">
        <v>47054</v>
      </c>
      <c r="I14602" t="s">
        <v>47111</v>
      </c>
      <c r="J14602" t="s">
        <v>47112</v>
      </c>
      <c r="K14602" t="s">
        <v>47113</v>
      </c>
      <c r="L14602">
        <v>47.93</v>
      </c>
      <c r="M14602">
        <v>127</v>
      </c>
      <c r="N14602">
        <v>0</v>
      </c>
      <c r="O14602">
        <v>127</v>
      </c>
      <c r="P14602">
        <v>0</v>
      </c>
    </row>
    <row r="14603" spans="1:16" x14ac:dyDescent="0.25">
      <c r="A14603" t="s">
        <v>285</v>
      </c>
      <c r="B14603" t="s">
        <v>286</v>
      </c>
      <c r="C14603" t="s">
        <v>287</v>
      </c>
      <c r="D14603" t="str">
        <f>"11"</f>
        <v>11</v>
      </c>
      <c r="E14603" t="s">
        <v>288</v>
      </c>
      <c r="F14603" t="s">
        <v>2</v>
      </c>
      <c r="G14603" t="s">
        <v>47093</v>
      </c>
      <c r="H14603" t="s">
        <v>47054</v>
      </c>
      <c r="I14603" t="s">
        <v>47111</v>
      </c>
      <c r="J14603" t="s">
        <v>47112</v>
      </c>
      <c r="K14603" t="s">
        <v>47113</v>
      </c>
      <c r="L14603">
        <v>33.89</v>
      </c>
      <c r="M14603">
        <v>86</v>
      </c>
      <c r="N14603">
        <v>0</v>
      </c>
      <c r="O14603">
        <v>86</v>
      </c>
      <c r="P14603">
        <v>0</v>
      </c>
    </row>
    <row r="14604" spans="1:16" x14ac:dyDescent="0.25">
      <c r="A14604" t="s">
        <v>37321</v>
      </c>
      <c r="B14604" t="s">
        <v>286</v>
      </c>
      <c r="C14604" t="s">
        <v>287</v>
      </c>
      <c r="D14604" t="s">
        <v>27</v>
      </c>
      <c r="E14604" t="s">
        <v>622</v>
      </c>
      <c r="F14604" t="s">
        <v>2</v>
      </c>
      <c r="G14604" t="s">
        <v>47093</v>
      </c>
      <c r="H14604" t="s">
        <v>47054</v>
      </c>
      <c r="I14604" t="s">
        <v>47111</v>
      </c>
      <c r="J14604" t="s">
        <v>47112</v>
      </c>
      <c r="K14604" t="s">
        <v>47113</v>
      </c>
      <c r="L14604">
        <v>38.97</v>
      </c>
      <c r="M14604">
        <v>98</v>
      </c>
      <c r="N14604">
        <v>0</v>
      </c>
      <c r="O14604">
        <v>98</v>
      </c>
      <c r="P14604">
        <v>0</v>
      </c>
    </row>
    <row r="14605" spans="1:16" x14ac:dyDescent="0.25">
      <c r="A14605" t="s">
        <v>37322</v>
      </c>
      <c r="B14605" t="s">
        <v>10068</v>
      </c>
      <c r="C14605" t="s">
        <v>10069</v>
      </c>
      <c r="D14605" t="s">
        <v>721</v>
      </c>
      <c r="E14605" t="s">
        <v>722</v>
      </c>
      <c r="F14605" t="s">
        <v>52</v>
      </c>
      <c r="G14605" t="s">
        <v>47093</v>
      </c>
      <c r="H14605" t="s">
        <v>47054</v>
      </c>
      <c r="I14605" t="s">
        <v>47114</v>
      </c>
      <c r="J14605" t="s">
        <v>47115</v>
      </c>
      <c r="K14605" t="s">
        <v>47113</v>
      </c>
      <c r="L14605">
        <v>40.659999999999997</v>
      </c>
      <c r="M14605">
        <v>103</v>
      </c>
      <c r="N14605">
        <v>0</v>
      </c>
      <c r="O14605">
        <v>103</v>
      </c>
      <c r="P14605">
        <v>0</v>
      </c>
    </row>
    <row r="14606" spans="1:16" x14ac:dyDescent="0.25">
      <c r="A14606" t="s">
        <v>37323</v>
      </c>
      <c r="B14606" t="s">
        <v>10068</v>
      </c>
      <c r="C14606" t="s">
        <v>10069</v>
      </c>
      <c r="D14606" t="s">
        <v>1792</v>
      </c>
      <c r="E14606" t="s">
        <v>1793</v>
      </c>
      <c r="F14606" t="s">
        <v>52</v>
      </c>
      <c r="G14606" t="s">
        <v>47093</v>
      </c>
      <c r="H14606" t="s">
        <v>47054</v>
      </c>
      <c r="I14606" t="s">
        <v>47114</v>
      </c>
      <c r="J14606" t="s">
        <v>47115</v>
      </c>
      <c r="K14606" t="s">
        <v>47113</v>
      </c>
      <c r="L14606">
        <v>48.9</v>
      </c>
      <c r="M14606">
        <v>123</v>
      </c>
      <c r="N14606">
        <v>0</v>
      </c>
      <c r="O14606">
        <v>123</v>
      </c>
      <c r="P14606">
        <v>0</v>
      </c>
    </row>
    <row r="14607" spans="1:16" x14ac:dyDescent="0.25">
      <c r="A14607" t="s">
        <v>37324</v>
      </c>
      <c r="B14607" t="s">
        <v>10068</v>
      </c>
      <c r="C14607" t="s">
        <v>10069</v>
      </c>
      <c r="D14607" t="s">
        <v>739</v>
      </c>
      <c r="E14607" t="s">
        <v>740</v>
      </c>
      <c r="F14607" t="s">
        <v>52</v>
      </c>
      <c r="G14607" t="s">
        <v>47093</v>
      </c>
      <c r="H14607" t="s">
        <v>47054</v>
      </c>
      <c r="I14607" t="s">
        <v>47114</v>
      </c>
      <c r="J14607" t="s">
        <v>47115</v>
      </c>
      <c r="K14607" t="s">
        <v>47113</v>
      </c>
      <c r="L14607">
        <v>44.87</v>
      </c>
      <c r="M14607">
        <v>113</v>
      </c>
      <c r="N14607">
        <v>0</v>
      </c>
      <c r="O14607">
        <v>113</v>
      </c>
      <c r="P14607">
        <v>0</v>
      </c>
    </row>
    <row r="14608" spans="1:16" x14ac:dyDescent="0.25">
      <c r="A14608" t="s">
        <v>37325</v>
      </c>
      <c r="B14608" t="s">
        <v>10068</v>
      </c>
      <c r="C14608" t="s">
        <v>10069</v>
      </c>
      <c r="D14608" t="s">
        <v>10058</v>
      </c>
      <c r="E14608" t="s">
        <v>10059</v>
      </c>
      <c r="F14608" t="s">
        <v>52</v>
      </c>
      <c r="G14608" t="s">
        <v>47093</v>
      </c>
      <c r="H14608" t="s">
        <v>47054</v>
      </c>
      <c r="I14608" t="s">
        <v>47114</v>
      </c>
      <c r="J14608" t="s">
        <v>47115</v>
      </c>
      <c r="K14608" t="s">
        <v>47113</v>
      </c>
      <c r="L14608">
        <v>45.44</v>
      </c>
      <c r="M14608">
        <v>115</v>
      </c>
      <c r="N14608">
        <v>0</v>
      </c>
      <c r="O14608">
        <v>115</v>
      </c>
      <c r="P14608">
        <v>0</v>
      </c>
    </row>
    <row r="14609" spans="1:16" x14ac:dyDescent="0.25">
      <c r="A14609" t="s">
        <v>37326</v>
      </c>
      <c r="B14609" t="s">
        <v>10070</v>
      </c>
      <c r="C14609" t="s">
        <v>4880</v>
      </c>
      <c r="D14609" t="str">
        <f>"11"</f>
        <v>11</v>
      </c>
      <c r="E14609" t="s">
        <v>288</v>
      </c>
      <c r="F14609" t="s">
        <v>5</v>
      </c>
      <c r="G14609" t="s">
        <v>47093</v>
      </c>
      <c r="H14609" t="s">
        <v>47054</v>
      </c>
      <c r="I14609" t="s">
        <v>47111</v>
      </c>
      <c r="J14609" t="s">
        <v>47112</v>
      </c>
      <c r="K14609" t="s">
        <v>47113</v>
      </c>
      <c r="L14609">
        <v>34.57</v>
      </c>
      <c r="M14609">
        <v>73</v>
      </c>
      <c r="N14609">
        <v>0</v>
      </c>
      <c r="O14609">
        <v>73</v>
      </c>
      <c r="P14609">
        <v>0</v>
      </c>
    </row>
    <row r="14610" spans="1:16" x14ac:dyDescent="0.25">
      <c r="A14610" t="s">
        <v>37327</v>
      </c>
      <c r="B14610" t="s">
        <v>10070</v>
      </c>
      <c r="C14610" t="s">
        <v>4880</v>
      </c>
      <c r="D14610" t="str">
        <f>"40"</f>
        <v>40</v>
      </c>
      <c r="E14610" t="s">
        <v>31</v>
      </c>
      <c r="F14610" t="s">
        <v>5</v>
      </c>
      <c r="G14610" t="s">
        <v>47093</v>
      </c>
      <c r="H14610" t="s">
        <v>47054</v>
      </c>
      <c r="I14610" t="s">
        <v>47111</v>
      </c>
      <c r="J14610" t="s">
        <v>47112</v>
      </c>
      <c r="K14610" t="s">
        <v>47113</v>
      </c>
      <c r="L14610">
        <v>32.93</v>
      </c>
      <c r="M14610">
        <v>77</v>
      </c>
      <c r="N14610">
        <v>0</v>
      </c>
      <c r="O14610">
        <v>77</v>
      </c>
      <c r="P14610">
        <v>0</v>
      </c>
    </row>
    <row r="14611" spans="1:16" x14ac:dyDescent="0.25">
      <c r="A14611" t="s">
        <v>37328</v>
      </c>
      <c r="B14611" t="s">
        <v>10070</v>
      </c>
      <c r="C14611" t="s">
        <v>4880</v>
      </c>
      <c r="D14611" t="s">
        <v>10071</v>
      </c>
      <c r="E14611" t="s">
        <v>10072</v>
      </c>
      <c r="F14611" t="s">
        <v>5</v>
      </c>
      <c r="G14611" t="s">
        <v>47093</v>
      </c>
      <c r="H14611" t="s">
        <v>47054</v>
      </c>
      <c r="I14611" t="s">
        <v>47111</v>
      </c>
      <c r="J14611" t="s">
        <v>47112</v>
      </c>
      <c r="K14611" t="s">
        <v>47113</v>
      </c>
      <c r="L14611">
        <v>37.17</v>
      </c>
      <c r="M14611">
        <v>85</v>
      </c>
      <c r="N14611">
        <v>0</v>
      </c>
      <c r="O14611">
        <v>85</v>
      </c>
      <c r="P14611">
        <v>0</v>
      </c>
    </row>
    <row r="14612" spans="1:16" x14ac:dyDescent="0.25">
      <c r="A14612" t="s">
        <v>37329</v>
      </c>
      <c r="B14612" t="s">
        <v>10070</v>
      </c>
      <c r="C14612" t="s">
        <v>4880</v>
      </c>
      <c r="D14612" t="s">
        <v>10062</v>
      </c>
      <c r="E14612" t="s">
        <v>10063</v>
      </c>
      <c r="F14612" t="s">
        <v>5</v>
      </c>
      <c r="G14612" t="s">
        <v>47093</v>
      </c>
      <c r="H14612" t="s">
        <v>47054</v>
      </c>
      <c r="I14612" t="s">
        <v>47111</v>
      </c>
      <c r="J14612" t="s">
        <v>47112</v>
      </c>
      <c r="K14612" t="s">
        <v>47113</v>
      </c>
      <c r="L14612">
        <v>29.55</v>
      </c>
      <c r="M14612">
        <v>69</v>
      </c>
      <c r="N14612">
        <v>0</v>
      </c>
      <c r="O14612">
        <v>69</v>
      </c>
      <c r="P14612">
        <v>0</v>
      </c>
    </row>
    <row r="14613" spans="1:16" x14ac:dyDescent="0.25">
      <c r="A14613" t="s">
        <v>37330</v>
      </c>
      <c r="B14613" t="s">
        <v>10070</v>
      </c>
      <c r="C14613" t="s">
        <v>4880</v>
      </c>
      <c r="D14613" t="s">
        <v>10064</v>
      </c>
      <c r="E14613" t="s">
        <v>10065</v>
      </c>
      <c r="F14613" t="s">
        <v>5</v>
      </c>
      <c r="G14613" t="s">
        <v>47093</v>
      </c>
      <c r="H14613" t="s">
        <v>47054</v>
      </c>
      <c r="I14613" t="s">
        <v>47111</v>
      </c>
      <c r="J14613" t="s">
        <v>47112</v>
      </c>
      <c r="K14613" t="s">
        <v>47113</v>
      </c>
      <c r="L14613">
        <v>29.26</v>
      </c>
      <c r="M14613">
        <v>69</v>
      </c>
      <c r="N14613">
        <v>0</v>
      </c>
      <c r="O14613">
        <v>69</v>
      </c>
      <c r="P14613">
        <v>0</v>
      </c>
    </row>
    <row r="14614" spans="1:16" x14ac:dyDescent="0.25">
      <c r="A14614" t="s">
        <v>37331</v>
      </c>
      <c r="B14614" t="s">
        <v>10073</v>
      </c>
      <c r="C14614" t="s">
        <v>10074</v>
      </c>
      <c r="D14614" t="s">
        <v>10075</v>
      </c>
      <c r="E14614" t="s">
        <v>10076</v>
      </c>
      <c r="F14614" t="s">
        <v>56</v>
      </c>
      <c r="G14614" t="s">
        <v>47093</v>
      </c>
      <c r="H14614" t="s">
        <v>47054</v>
      </c>
      <c r="I14614" t="s">
        <v>47114</v>
      </c>
      <c r="J14614" t="s">
        <v>47115</v>
      </c>
      <c r="K14614" t="s">
        <v>47113</v>
      </c>
      <c r="L14614">
        <v>56.54</v>
      </c>
      <c r="M14614">
        <v>124</v>
      </c>
      <c r="N14614">
        <v>0</v>
      </c>
      <c r="O14614">
        <v>124</v>
      </c>
      <c r="P14614">
        <v>0</v>
      </c>
    </row>
    <row r="14615" spans="1:16" x14ac:dyDescent="0.25">
      <c r="A14615" t="s">
        <v>37332</v>
      </c>
      <c r="B14615" t="s">
        <v>10077</v>
      </c>
      <c r="C14615" t="s">
        <v>10078</v>
      </c>
      <c r="D14615" t="str">
        <f>"40"</f>
        <v>40</v>
      </c>
      <c r="E14615" t="s">
        <v>31</v>
      </c>
      <c r="F14615" t="s">
        <v>8</v>
      </c>
      <c r="G14615" t="s">
        <v>47093</v>
      </c>
      <c r="H14615" t="s">
        <v>47054</v>
      </c>
      <c r="I14615" t="s">
        <v>47111</v>
      </c>
      <c r="J14615" t="s">
        <v>47112</v>
      </c>
      <c r="K14615" t="s">
        <v>47113</v>
      </c>
      <c r="L14615">
        <v>46.86</v>
      </c>
      <c r="M14615">
        <v>128</v>
      </c>
      <c r="N14615">
        <v>0</v>
      </c>
      <c r="O14615">
        <v>128</v>
      </c>
      <c r="P14615">
        <v>0</v>
      </c>
    </row>
    <row r="14616" spans="1:16" x14ac:dyDescent="0.25">
      <c r="A14616" t="s">
        <v>37333</v>
      </c>
      <c r="B14616" t="s">
        <v>10079</v>
      </c>
      <c r="C14616" t="s">
        <v>10080</v>
      </c>
      <c r="D14616" t="s">
        <v>721</v>
      </c>
      <c r="E14616" t="s">
        <v>722</v>
      </c>
      <c r="F14616" t="s">
        <v>52</v>
      </c>
      <c r="G14616" t="s">
        <v>47093</v>
      </c>
      <c r="H14616" t="s">
        <v>47054</v>
      </c>
      <c r="I14616" t="s">
        <v>47111</v>
      </c>
      <c r="J14616" t="s">
        <v>47112</v>
      </c>
      <c r="K14616" t="s">
        <v>47113</v>
      </c>
      <c r="L14616">
        <v>39.89</v>
      </c>
      <c r="M14616">
        <v>103</v>
      </c>
      <c r="N14616">
        <v>0</v>
      </c>
      <c r="O14616">
        <v>103</v>
      </c>
      <c r="P14616">
        <v>0</v>
      </c>
    </row>
    <row r="14617" spans="1:16" x14ac:dyDescent="0.25">
      <c r="A14617" t="s">
        <v>37334</v>
      </c>
      <c r="B14617" t="s">
        <v>10079</v>
      </c>
      <c r="C14617" t="s">
        <v>10080</v>
      </c>
      <c r="D14617" t="s">
        <v>1792</v>
      </c>
      <c r="E14617" t="s">
        <v>1793</v>
      </c>
      <c r="F14617" t="s">
        <v>52</v>
      </c>
      <c r="G14617" t="s">
        <v>47093</v>
      </c>
      <c r="H14617" t="s">
        <v>47054</v>
      </c>
      <c r="I14617" t="s">
        <v>47111</v>
      </c>
      <c r="J14617" t="s">
        <v>47112</v>
      </c>
      <c r="K14617" t="s">
        <v>47113</v>
      </c>
      <c r="L14617">
        <v>48.14</v>
      </c>
      <c r="M14617">
        <v>123</v>
      </c>
      <c r="N14617">
        <v>0</v>
      </c>
      <c r="O14617">
        <v>123</v>
      </c>
      <c r="P14617">
        <v>0</v>
      </c>
    </row>
    <row r="14618" spans="1:16" x14ac:dyDescent="0.25">
      <c r="A14618" t="s">
        <v>37335</v>
      </c>
      <c r="B14618" t="s">
        <v>10079</v>
      </c>
      <c r="C14618" t="s">
        <v>10080</v>
      </c>
      <c r="D14618" t="s">
        <v>739</v>
      </c>
      <c r="E14618" t="s">
        <v>740</v>
      </c>
      <c r="F14618" t="s">
        <v>52</v>
      </c>
      <c r="G14618" t="s">
        <v>47093</v>
      </c>
      <c r="H14618" t="s">
        <v>47054</v>
      </c>
      <c r="I14618" t="s">
        <v>47111</v>
      </c>
      <c r="J14618" t="s">
        <v>47112</v>
      </c>
      <c r="K14618" t="s">
        <v>47113</v>
      </c>
      <c r="L14618">
        <v>44.1</v>
      </c>
      <c r="M14618">
        <v>113</v>
      </c>
      <c r="N14618">
        <v>0</v>
      </c>
      <c r="O14618">
        <v>113</v>
      </c>
      <c r="P14618">
        <v>0</v>
      </c>
    </row>
    <row r="14619" spans="1:16" x14ac:dyDescent="0.25">
      <c r="A14619" t="s">
        <v>37336</v>
      </c>
      <c r="B14619" t="s">
        <v>10079</v>
      </c>
      <c r="C14619" t="s">
        <v>10080</v>
      </c>
      <c r="D14619" t="s">
        <v>10058</v>
      </c>
      <c r="E14619" t="s">
        <v>10059</v>
      </c>
      <c r="F14619" t="s">
        <v>52</v>
      </c>
      <c r="G14619" t="s">
        <v>47093</v>
      </c>
      <c r="H14619" t="s">
        <v>47054</v>
      </c>
      <c r="I14619" t="s">
        <v>47111</v>
      </c>
      <c r="J14619" t="s">
        <v>47112</v>
      </c>
      <c r="K14619" t="s">
        <v>47113</v>
      </c>
      <c r="L14619">
        <v>44.68</v>
      </c>
      <c r="M14619">
        <v>115</v>
      </c>
      <c r="N14619">
        <v>0</v>
      </c>
      <c r="O14619">
        <v>115</v>
      </c>
      <c r="P14619">
        <v>0</v>
      </c>
    </row>
    <row r="14620" spans="1:16" x14ac:dyDescent="0.25">
      <c r="A14620" t="s">
        <v>37337</v>
      </c>
      <c r="B14620" t="s">
        <v>10081</v>
      </c>
      <c r="C14620" t="s">
        <v>10082</v>
      </c>
      <c r="D14620" t="str">
        <f>"11"</f>
        <v>11</v>
      </c>
      <c r="E14620" t="s">
        <v>288</v>
      </c>
      <c r="F14620" t="s">
        <v>5</v>
      </c>
      <c r="G14620" t="s">
        <v>47093</v>
      </c>
      <c r="H14620" t="s">
        <v>47054</v>
      </c>
      <c r="I14620" t="s">
        <v>47111</v>
      </c>
      <c r="J14620" t="s">
        <v>47112</v>
      </c>
      <c r="K14620" t="s">
        <v>47113</v>
      </c>
      <c r="L14620">
        <v>33.82</v>
      </c>
      <c r="M14620">
        <v>74</v>
      </c>
      <c r="N14620">
        <v>0</v>
      </c>
      <c r="O14620">
        <v>74</v>
      </c>
      <c r="P14620">
        <v>0</v>
      </c>
    </row>
    <row r="14621" spans="1:16" x14ac:dyDescent="0.25">
      <c r="A14621" t="s">
        <v>37338</v>
      </c>
      <c r="B14621" t="s">
        <v>10081</v>
      </c>
      <c r="C14621" t="s">
        <v>10082</v>
      </c>
      <c r="D14621" t="str">
        <f>"40"</f>
        <v>40</v>
      </c>
      <c r="E14621" t="s">
        <v>31</v>
      </c>
      <c r="F14621" t="s">
        <v>5</v>
      </c>
      <c r="G14621" t="s">
        <v>47093</v>
      </c>
      <c r="H14621" t="s">
        <v>47054</v>
      </c>
      <c r="I14621" t="s">
        <v>47111</v>
      </c>
      <c r="J14621" t="s">
        <v>47112</v>
      </c>
      <c r="K14621" t="s">
        <v>47113</v>
      </c>
      <c r="L14621">
        <v>32.93</v>
      </c>
      <c r="M14621">
        <v>77</v>
      </c>
      <c r="N14621">
        <v>0</v>
      </c>
      <c r="O14621">
        <v>77</v>
      </c>
      <c r="P14621">
        <v>0</v>
      </c>
    </row>
    <row r="14622" spans="1:16" x14ac:dyDescent="0.25">
      <c r="A14622" t="s">
        <v>37339</v>
      </c>
      <c r="B14622" t="s">
        <v>10081</v>
      </c>
      <c r="C14622" t="s">
        <v>10082</v>
      </c>
      <c r="D14622" t="s">
        <v>10062</v>
      </c>
      <c r="E14622" t="s">
        <v>10063</v>
      </c>
      <c r="F14622" t="s">
        <v>5</v>
      </c>
      <c r="G14622" t="s">
        <v>47093</v>
      </c>
      <c r="H14622" t="s">
        <v>47054</v>
      </c>
      <c r="I14622" t="s">
        <v>47111</v>
      </c>
      <c r="J14622" t="s">
        <v>47112</v>
      </c>
      <c r="K14622" t="s">
        <v>47113</v>
      </c>
      <c r="L14622">
        <v>29.55</v>
      </c>
      <c r="M14622">
        <v>69</v>
      </c>
      <c r="N14622">
        <v>0</v>
      </c>
      <c r="O14622">
        <v>69</v>
      </c>
      <c r="P14622">
        <v>0</v>
      </c>
    </row>
    <row r="14623" spans="1:16" x14ac:dyDescent="0.25">
      <c r="A14623" t="s">
        <v>37340</v>
      </c>
      <c r="B14623" t="s">
        <v>10081</v>
      </c>
      <c r="C14623" t="s">
        <v>10082</v>
      </c>
      <c r="D14623" t="s">
        <v>10064</v>
      </c>
      <c r="E14623" t="s">
        <v>10065</v>
      </c>
      <c r="F14623" t="s">
        <v>5</v>
      </c>
      <c r="G14623" t="s">
        <v>47093</v>
      </c>
      <c r="H14623" t="s">
        <v>47054</v>
      </c>
      <c r="I14623" t="s">
        <v>47111</v>
      </c>
      <c r="J14623" t="s">
        <v>47112</v>
      </c>
      <c r="K14623" t="s">
        <v>47113</v>
      </c>
      <c r="L14623">
        <v>29.26</v>
      </c>
      <c r="M14623">
        <v>69</v>
      </c>
      <c r="N14623">
        <v>0</v>
      </c>
      <c r="O14623">
        <v>69</v>
      </c>
      <c r="P14623">
        <v>0</v>
      </c>
    </row>
    <row r="14624" spans="1:16" x14ac:dyDescent="0.25">
      <c r="A14624" t="s">
        <v>37341</v>
      </c>
      <c r="B14624" t="s">
        <v>10083</v>
      </c>
      <c r="C14624" t="s">
        <v>10084</v>
      </c>
      <c r="D14624" t="str">
        <f>"40"</f>
        <v>40</v>
      </c>
      <c r="E14624" t="s">
        <v>31</v>
      </c>
      <c r="F14624" t="s">
        <v>8</v>
      </c>
      <c r="G14624" t="s">
        <v>47093</v>
      </c>
      <c r="H14624" t="s">
        <v>47054</v>
      </c>
      <c r="I14624" t="s">
        <v>47111</v>
      </c>
      <c r="J14624" t="s">
        <v>47112</v>
      </c>
      <c r="K14624" t="s">
        <v>47113</v>
      </c>
      <c r="L14624">
        <v>42.62</v>
      </c>
      <c r="M14624">
        <v>127</v>
      </c>
      <c r="N14624">
        <v>0</v>
      </c>
      <c r="O14624">
        <v>127</v>
      </c>
      <c r="P14624">
        <v>0</v>
      </c>
    </row>
    <row r="14625" spans="1:16" x14ac:dyDescent="0.25">
      <c r="A14625" t="s">
        <v>37342</v>
      </c>
      <c r="B14625" t="s">
        <v>10085</v>
      </c>
      <c r="C14625" t="s">
        <v>10086</v>
      </c>
      <c r="D14625" t="str">
        <f>"40"</f>
        <v>40</v>
      </c>
      <c r="E14625" t="s">
        <v>31</v>
      </c>
      <c r="F14625" t="s">
        <v>8</v>
      </c>
      <c r="G14625" t="s">
        <v>47093</v>
      </c>
      <c r="H14625" t="s">
        <v>47054</v>
      </c>
      <c r="I14625" t="s">
        <v>47111</v>
      </c>
      <c r="J14625" t="s">
        <v>47112</v>
      </c>
      <c r="K14625" t="s">
        <v>47113</v>
      </c>
      <c r="L14625">
        <v>50.76</v>
      </c>
      <c r="M14625">
        <v>133</v>
      </c>
      <c r="N14625">
        <v>0</v>
      </c>
      <c r="O14625">
        <v>133</v>
      </c>
      <c r="P14625">
        <v>0</v>
      </c>
    </row>
    <row r="14626" spans="1:16" x14ac:dyDescent="0.25">
      <c r="A14626" t="s">
        <v>37343</v>
      </c>
      <c r="B14626" t="s">
        <v>10087</v>
      </c>
      <c r="C14626" t="s">
        <v>10088</v>
      </c>
      <c r="D14626" t="str">
        <f>"40"</f>
        <v>40</v>
      </c>
      <c r="E14626" t="s">
        <v>31</v>
      </c>
      <c r="F14626" t="s">
        <v>8</v>
      </c>
      <c r="G14626" t="s">
        <v>47093</v>
      </c>
      <c r="H14626" t="s">
        <v>47054</v>
      </c>
      <c r="I14626" t="s">
        <v>47111</v>
      </c>
      <c r="J14626" t="s">
        <v>47112</v>
      </c>
      <c r="K14626" t="s">
        <v>47113</v>
      </c>
      <c r="L14626">
        <v>47.32</v>
      </c>
      <c r="M14626">
        <v>128</v>
      </c>
      <c r="N14626">
        <v>0</v>
      </c>
      <c r="O14626">
        <v>128</v>
      </c>
      <c r="P14626">
        <v>0</v>
      </c>
    </row>
    <row r="14627" spans="1:16" x14ac:dyDescent="0.25">
      <c r="A14627" t="s">
        <v>37344</v>
      </c>
      <c r="B14627" t="s">
        <v>10087</v>
      </c>
      <c r="C14627" t="s">
        <v>10088</v>
      </c>
      <c r="D14627" t="s">
        <v>1341</v>
      </c>
      <c r="E14627" t="s">
        <v>1342</v>
      </c>
      <c r="F14627" t="s">
        <v>8</v>
      </c>
      <c r="G14627" t="s">
        <v>47093</v>
      </c>
      <c r="H14627" t="s">
        <v>47054</v>
      </c>
      <c r="I14627" t="s">
        <v>47111</v>
      </c>
      <c r="J14627" t="s">
        <v>47112</v>
      </c>
      <c r="K14627" t="s">
        <v>47113</v>
      </c>
      <c r="L14627">
        <v>47.98</v>
      </c>
      <c r="M14627">
        <v>128</v>
      </c>
      <c r="N14627">
        <v>0</v>
      </c>
      <c r="O14627">
        <v>128</v>
      </c>
      <c r="P14627">
        <v>0</v>
      </c>
    </row>
    <row r="14628" spans="1:16" x14ac:dyDescent="0.25">
      <c r="A14628" t="s">
        <v>37345</v>
      </c>
      <c r="B14628" t="s">
        <v>10089</v>
      </c>
      <c r="C14628" t="s">
        <v>10090</v>
      </c>
      <c r="D14628" t="str">
        <f>"11"</f>
        <v>11</v>
      </c>
      <c r="E14628" t="s">
        <v>288</v>
      </c>
      <c r="F14628" t="s">
        <v>7</v>
      </c>
      <c r="G14628" t="s">
        <v>47093</v>
      </c>
      <c r="H14628" t="s">
        <v>47054</v>
      </c>
      <c r="I14628" t="s">
        <v>47111</v>
      </c>
      <c r="J14628" t="s">
        <v>47112</v>
      </c>
      <c r="K14628" t="s">
        <v>47113</v>
      </c>
      <c r="L14628">
        <v>49.04</v>
      </c>
      <c r="M14628">
        <v>117</v>
      </c>
      <c r="N14628">
        <v>0</v>
      </c>
      <c r="O14628">
        <v>117</v>
      </c>
      <c r="P14628">
        <v>0</v>
      </c>
    </row>
    <row r="14629" spans="1:16" x14ac:dyDescent="0.25">
      <c r="A14629" t="s">
        <v>37346</v>
      </c>
      <c r="B14629" t="s">
        <v>10089</v>
      </c>
      <c r="C14629" t="s">
        <v>10090</v>
      </c>
      <c r="D14629" t="s">
        <v>294</v>
      </c>
      <c r="E14629" t="s">
        <v>295</v>
      </c>
      <c r="F14629" t="s">
        <v>7</v>
      </c>
      <c r="G14629" t="s">
        <v>47093</v>
      </c>
      <c r="H14629" t="s">
        <v>47054</v>
      </c>
      <c r="I14629" t="s">
        <v>47111</v>
      </c>
      <c r="J14629" t="s">
        <v>47112</v>
      </c>
      <c r="K14629" t="s">
        <v>47113</v>
      </c>
      <c r="L14629">
        <v>58.46</v>
      </c>
      <c r="M14629">
        <v>142</v>
      </c>
      <c r="N14629">
        <v>0</v>
      </c>
      <c r="O14629">
        <v>142</v>
      </c>
      <c r="P14629">
        <v>0</v>
      </c>
    </row>
    <row r="14630" spans="1:16" x14ac:dyDescent="0.25">
      <c r="A14630" t="s">
        <v>37347</v>
      </c>
      <c r="B14630" t="s">
        <v>10091</v>
      </c>
      <c r="C14630" t="s">
        <v>10092</v>
      </c>
      <c r="D14630" t="str">
        <f>"11"</f>
        <v>11</v>
      </c>
      <c r="E14630" t="s">
        <v>288</v>
      </c>
      <c r="F14630" t="s">
        <v>5</v>
      </c>
      <c r="G14630" t="s">
        <v>47093</v>
      </c>
      <c r="H14630" t="s">
        <v>47054</v>
      </c>
      <c r="I14630" t="s">
        <v>47111</v>
      </c>
      <c r="J14630" t="s">
        <v>47112</v>
      </c>
      <c r="K14630" t="s">
        <v>47113</v>
      </c>
      <c r="L14630">
        <v>30.36</v>
      </c>
      <c r="M14630">
        <v>73</v>
      </c>
      <c r="N14630">
        <v>0</v>
      </c>
      <c r="O14630">
        <v>73</v>
      </c>
      <c r="P14630">
        <v>0</v>
      </c>
    </row>
    <row r="14631" spans="1:16" x14ac:dyDescent="0.25">
      <c r="A14631" t="s">
        <v>37348</v>
      </c>
      <c r="B14631" t="s">
        <v>10091</v>
      </c>
      <c r="C14631" t="s">
        <v>10092</v>
      </c>
      <c r="D14631" t="str">
        <f>"40"</f>
        <v>40</v>
      </c>
      <c r="E14631" t="s">
        <v>31</v>
      </c>
      <c r="F14631" t="s">
        <v>5</v>
      </c>
      <c r="G14631" t="s">
        <v>47093</v>
      </c>
      <c r="H14631" t="s">
        <v>47054</v>
      </c>
      <c r="I14631" t="s">
        <v>47111</v>
      </c>
      <c r="J14631" t="s">
        <v>47112</v>
      </c>
      <c r="K14631" t="s">
        <v>47113</v>
      </c>
      <c r="L14631">
        <v>31.86</v>
      </c>
      <c r="M14631">
        <v>84</v>
      </c>
      <c r="N14631">
        <v>0</v>
      </c>
      <c r="O14631">
        <v>84</v>
      </c>
      <c r="P14631">
        <v>0</v>
      </c>
    </row>
    <row r="14632" spans="1:16" x14ac:dyDescent="0.25">
      <c r="A14632" t="s">
        <v>37349</v>
      </c>
      <c r="B14632" t="s">
        <v>10091</v>
      </c>
      <c r="C14632" t="s">
        <v>10092</v>
      </c>
      <c r="D14632" t="s">
        <v>10071</v>
      </c>
      <c r="E14632" t="s">
        <v>10072</v>
      </c>
      <c r="F14632" t="s">
        <v>5</v>
      </c>
      <c r="G14632" t="s">
        <v>47093</v>
      </c>
      <c r="H14632" t="s">
        <v>47054</v>
      </c>
      <c r="I14632" t="s">
        <v>47111</v>
      </c>
      <c r="J14632" t="s">
        <v>47112</v>
      </c>
      <c r="K14632" t="s">
        <v>47113</v>
      </c>
      <c r="L14632">
        <v>28.63</v>
      </c>
      <c r="M14632">
        <v>91</v>
      </c>
      <c r="N14632">
        <v>0</v>
      </c>
      <c r="O14632">
        <v>91</v>
      </c>
      <c r="P14632">
        <v>0</v>
      </c>
    </row>
    <row r="14633" spans="1:16" x14ac:dyDescent="0.25">
      <c r="A14633" t="s">
        <v>37350</v>
      </c>
      <c r="B14633" t="s">
        <v>10091</v>
      </c>
      <c r="C14633" t="s">
        <v>10092</v>
      </c>
      <c r="D14633" t="s">
        <v>10062</v>
      </c>
      <c r="E14633" t="s">
        <v>10063</v>
      </c>
      <c r="F14633" t="s">
        <v>5</v>
      </c>
      <c r="G14633" t="s">
        <v>47093</v>
      </c>
      <c r="H14633" t="s">
        <v>47054</v>
      </c>
      <c r="I14633" t="s">
        <v>47111</v>
      </c>
      <c r="J14633" t="s">
        <v>47112</v>
      </c>
      <c r="K14633" t="s">
        <v>47113</v>
      </c>
      <c r="L14633">
        <v>32.090000000000003</v>
      </c>
      <c r="M14633">
        <v>74</v>
      </c>
      <c r="N14633">
        <v>0</v>
      </c>
      <c r="O14633">
        <v>74</v>
      </c>
      <c r="P14633">
        <v>0</v>
      </c>
    </row>
    <row r="14634" spans="1:16" x14ac:dyDescent="0.25">
      <c r="A14634" t="s">
        <v>37351</v>
      </c>
      <c r="B14634" t="s">
        <v>10091</v>
      </c>
      <c r="C14634" t="s">
        <v>10092</v>
      </c>
      <c r="D14634" t="s">
        <v>10064</v>
      </c>
      <c r="E14634" t="s">
        <v>10065</v>
      </c>
      <c r="F14634" t="s">
        <v>5</v>
      </c>
      <c r="G14634" t="s">
        <v>47093</v>
      </c>
      <c r="H14634" t="s">
        <v>47054</v>
      </c>
      <c r="I14634" t="s">
        <v>47111</v>
      </c>
      <c r="J14634" t="s">
        <v>47112</v>
      </c>
      <c r="K14634" t="s">
        <v>47113</v>
      </c>
      <c r="L14634">
        <v>34.979999999999997</v>
      </c>
      <c r="M14634">
        <v>78</v>
      </c>
      <c r="N14634">
        <v>0</v>
      </c>
      <c r="O14634">
        <v>78</v>
      </c>
      <c r="P14634">
        <v>0</v>
      </c>
    </row>
    <row r="14635" spans="1:16" x14ac:dyDescent="0.25">
      <c r="A14635" t="s">
        <v>37352</v>
      </c>
      <c r="B14635" t="s">
        <v>10093</v>
      </c>
      <c r="C14635" t="s">
        <v>10094</v>
      </c>
      <c r="D14635" t="s">
        <v>721</v>
      </c>
      <c r="E14635" t="s">
        <v>722</v>
      </c>
      <c r="F14635" t="s">
        <v>1401</v>
      </c>
      <c r="G14635" t="s">
        <v>47093</v>
      </c>
      <c r="H14635" t="s">
        <v>47054</v>
      </c>
      <c r="I14635" t="s">
        <v>47111</v>
      </c>
      <c r="J14635" t="s">
        <v>47112</v>
      </c>
      <c r="K14635" t="s">
        <v>47113</v>
      </c>
      <c r="L14635">
        <v>39.299999999999997</v>
      </c>
      <c r="M14635">
        <v>105</v>
      </c>
      <c r="N14635">
        <v>0</v>
      </c>
      <c r="O14635">
        <v>105</v>
      </c>
      <c r="P14635">
        <v>0</v>
      </c>
    </row>
    <row r="14636" spans="1:16" x14ac:dyDescent="0.25">
      <c r="A14636" t="s">
        <v>37353</v>
      </c>
      <c r="B14636" t="s">
        <v>10093</v>
      </c>
      <c r="C14636" t="s">
        <v>10094</v>
      </c>
      <c r="D14636" t="str">
        <f>"40"</f>
        <v>40</v>
      </c>
      <c r="E14636" t="s">
        <v>31</v>
      </c>
      <c r="F14636" t="s">
        <v>8</v>
      </c>
      <c r="G14636" t="s">
        <v>47093</v>
      </c>
      <c r="H14636" t="s">
        <v>47054</v>
      </c>
      <c r="I14636" t="s">
        <v>47111</v>
      </c>
      <c r="J14636" t="s">
        <v>47112</v>
      </c>
      <c r="K14636" t="s">
        <v>47113</v>
      </c>
      <c r="L14636">
        <v>46.23</v>
      </c>
      <c r="M14636">
        <v>127</v>
      </c>
      <c r="N14636">
        <v>0</v>
      </c>
      <c r="O14636">
        <v>127</v>
      </c>
      <c r="P14636">
        <v>0</v>
      </c>
    </row>
    <row r="14637" spans="1:16" x14ac:dyDescent="0.25">
      <c r="A14637" t="s">
        <v>37354</v>
      </c>
      <c r="B14637" t="s">
        <v>10093</v>
      </c>
      <c r="C14637" t="s">
        <v>10094</v>
      </c>
      <c r="D14637" t="str">
        <f>"63"</f>
        <v>63</v>
      </c>
      <c r="E14637" t="s">
        <v>40</v>
      </c>
      <c r="F14637" t="s">
        <v>1401</v>
      </c>
      <c r="G14637" t="s">
        <v>47093</v>
      </c>
      <c r="H14637" t="s">
        <v>47054</v>
      </c>
      <c r="I14637" t="s">
        <v>47111</v>
      </c>
      <c r="J14637" t="s">
        <v>47112</v>
      </c>
      <c r="K14637" t="s">
        <v>47113</v>
      </c>
      <c r="L14637">
        <v>44.54</v>
      </c>
      <c r="M14637">
        <v>122</v>
      </c>
      <c r="N14637">
        <v>0</v>
      </c>
      <c r="O14637">
        <v>122</v>
      </c>
      <c r="P14637">
        <v>0</v>
      </c>
    </row>
    <row r="14638" spans="1:16" x14ac:dyDescent="0.25">
      <c r="A14638" t="s">
        <v>37355</v>
      </c>
      <c r="B14638" t="s">
        <v>10093</v>
      </c>
      <c r="C14638" t="s">
        <v>10094</v>
      </c>
      <c r="D14638" t="s">
        <v>629</v>
      </c>
      <c r="E14638" t="s">
        <v>630</v>
      </c>
      <c r="F14638" t="s">
        <v>631</v>
      </c>
      <c r="G14638" t="s">
        <v>47093</v>
      </c>
      <c r="H14638" t="s">
        <v>47054</v>
      </c>
      <c r="I14638" t="s">
        <v>47111</v>
      </c>
      <c r="J14638" t="s">
        <v>47112</v>
      </c>
      <c r="K14638" t="s">
        <v>47113</v>
      </c>
      <c r="L14638">
        <v>46.23</v>
      </c>
      <c r="M14638">
        <v>127</v>
      </c>
      <c r="N14638">
        <v>0</v>
      </c>
      <c r="O14638">
        <v>127</v>
      </c>
      <c r="P14638">
        <v>0</v>
      </c>
    </row>
    <row r="14639" spans="1:16" x14ac:dyDescent="0.25">
      <c r="A14639" t="s">
        <v>37356</v>
      </c>
      <c r="B14639" t="s">
        <v>10093</v>
      </c>
      <c r="C14639" t="s">
        <v>10094</v>
      </c>
      <c r="D14639" t="s">
        <v>1777</v>
      </c>
      <c r="E14639" t="s">
        <v>1778</v>
      </c>
      <c r="F14639" t="s">
        <v>8</v>
      </c>
      <c r="G14639" t="s">
        <v>47093</v>
      </c>
      <c r="H14639" t="s">
        <v>47054</v>
      </c>
      <c r="I14639" t="s">
        <v>47111</v>
      </c>
      <c r="J14639" t="s">
        <v>47112</v>
      </c>
      <c r="K14639" t="s">
        <v>47113</v>
      </c>
      <c r="L14639">
        <v>44.54</v>
      </c>
      <c r="M14639">
        <v>122</v>
      </c>
      <c r="N14639">
        <v>0</v>
      </c>
      <c r="O14639">
        <v>122</v>
      </c>
      <c r="P14639">
        <v>0</v>
      </c>
    </row>
    <row r="14640" spans="1:16" x14ac:dyDescent="0.25">
      <c r="A14640" t="s">
        <v>37357</v>
      </c>
      <c r="B14640" t="s">
        <v>10095</v>
      </c>
      <c r="C14640" t="s">
        <v>10096</v>
      </c>
      <c r="D14640" t="s">
        <v>10075</v>
      </c>
      <c r="E14640" t="s">
        <v>10076</v>
      </c>
      <c r="F14640" t="s">
        <v>56</v>
      </c>
      <c r="G14640" t="s">
        <v>47093</v>
      </c>
      <c r="H14640" t="s">
        <v>47054</v>
      </c>
      <c r="I14640" t="s">
        <v>47111</v>
      </c>
      <c r="J14640" t="s">
        <v>47112</v>
      </c>
      <c r="K14640" t="s">
        <v>47113</v>
      </c>
      <c r="L14640">
        <v>56.1</v>
      </c>
      <c r="M14640">
        <v>124</v>
      </c>
      <c r="N14640">
        <v>0</v>
      </c>
      <c r="O14640">
        <v>124</v>
      </c>
      <c r="P14640">
        <v>0</v>
      </c>
    </row>
    <row r="14641" spans="1:16" x14ac:dyDescent="0.25">
      <c r="A14641" t="s">
        <v>37358</v>
      </c>
      <c r="B14641" t="s">
        <v>10095</v>
      </c>
      <c r="C14641" t="s">
        <v>10096</v>
      </c>
      <c r="D14641" t="s">
        <v>1711</v>
      </c>
      <c r="E14641" t="s">
        <v>1712</v>
      </c>
      <c r="F14641" t="s">
        <v>56</v>
      </c>
      <c r="G14641" t="s">
        <v>47093</v>
      </c>
      <c r="H14641" t="s">
        <v>47054</v>
      </c>
      <c r="I14641" t="s">
        <v>47111</v>
      </c>
      <c r="J14641" t="s">
        <v>47112</v>
      </c>
      <c r="K14641" t="s">
        <v>47113</v>
      </c>
      <c r="L14641">
        <v>54.83</v>
      </c>
      <c r="M14641">
        <v>134</v>
      </c>
      <c r="N14641">
        <v>0</v>
      </c>
      <c r="O14641">
        <v>134</v>
      </c>
      <c r="P14641">
        <v>0</v>
      </c>
    </row>
    <row r="14642" spans="1:16" x14ac:dyDescent="0.25">
      <c r="A14642" t="s">
        <v>37359</v>
      </c>
      <c r="B14642" t="s">
        <v>10097</v>
      </c>
      <c r="C14642" t="s">
        <v>10098</v>
      </c>
      <c r="D14642" t="str">
        <f>"40"</f>
        <v>40</v>
      </c>
      <c r="E14642" t="s">
        <v>31</v>
      </c>
      <c r="F14642" t="s">
        <v>8</v>
      </c>
      <c r="G14642" t="s">
        <v>47093</v>
      </c>
      <c r="H14642" t="s">
        <v>47054</v>
      </c>
      <c r="I14642" t="s">
        <v>47111</v>
      </c>
      <c r="J14642" t="s">
        <v>47112</v>
      </c>
      <c r="K14642" t="s">
        <v>47113</v>
      </c>
      <c r="L14642">
        <v>46.29</v>
      </c>
      <c r="M14642">
        <v>128</v>
      </c>
      <c r="N14642">
        <v>0</v>
      </c>
      <c r="O14642">
        <v>128</v>
      </c>
      <c r="P14642">
        <v>0</v>
      </c>
    </row>
    <row r="14643" spans="1:16" x14ac:dyDescent="0.25">
      <c r="A14643" t="s">
        <v>37360</v>
      </c>
      <c r="B14643" t="s">
        <v>10097</v>
      </c>
      <c r="C14643" t="s">
        <v>10098</v>
      </c>
      <c r="D14643" t="s">
        <v>1341</v>
      </c>
      <c r="E14643" t="s">
        <v>1342</v>
      </c>
      <c r="F14643" t="s">
        <v>8</v>
      </c>
      <c r="G14643" t="s">
        <v>47093</v>
      </c>
      <c r="H14643" t="s">
        <v>47054</v>
      </c>
      <c r="I14643" t="s">
        <v>47111</v>
      </c>
      <c r="J14643" t="s">
        <v>47112</v>
      </c>
      <c r="K14643" t="s">
        <v>47113</v>
      </c>
      <c r="L14643">
        <v>47.32</v>
      </c>
      <c r="M14643">
        <v>128</v>
      </c>
      <c r="N14643">
        <v>0</v>
      </c>
      <c r="O14643">
        <v>128</v>
      </c>
      <c r="P14643">
        <v>0</v>
      </c>
    </row>
    <row r="14644" spans="1:16" x14ac:dyDescent="0.25">
      <c r="A14644" t="s">
        <v>37361</v>
      </c>
      <c r="B14644" t="s">
        <v>10097</v>
      </c>
      <c r="C14644" t="s">
        <v>10098</v>
      </c>
      <c r="D14644" t="s">
        <v>2026</v>
      </c>
      <c r="E14644" t="s">
        <v>2027</v>
      </c>
      <c r="F14644" t="s">
        <v>1717</v>
      </c>
      <c r="G14644" t="s">
        <v>47093</v>
      </c>
      <c r="H14644" t="s">
        <v>47054</v>
      </c>
      <c r="I14644" t="s">
        <v>47111</v>
      </c>
      <c r="J14644" t="s">
        <v>47112</v>
      </c>
      <c r="K14644" t="s">
        <v>47113</v>
      </c>
      <c r="L14644">
        <v>49.76</v>
      </c>
      <c r="M14644">
        <v>122</v>
      </c>
      <c r="N14644">
        <v>0</v>
      </c>
      <c r="O14644">
        <v>122</v>
      </c>
      <c r="P14644">
        <v>0</v>
      </c>
    </row>
    <row r="14645" spans="1:16" x14ac:dyDescent="0.25">
      <c r="A14645" t="s">
        <v>37362</v>
      </c>
      <c r="B14645" t="s">
        <v>10097</v>
      </c>
      <c r="C14645" t="s">
        <v>10098</v>
      </c>
      <c r="D14645" t="s">
        <v>10099</v>
      </c>
      <c r="E14645" t="s">
        <v>10100</v>
      </c>
      <c r="F14645" t="s">
        <v>1717</v>
      </c>
      <c r="G14645" t="s">
        <v>47093</v>
      </c>
      <c r="H14645" t="s">
        <v>47054</v>
      </c>
      <c r="I14645" t="s">
        <v>47111</v>
      </c>
      <c r="J14645" t="s">
        <v>47112</v>
      </c>
      <c r="K14645" t="s">
        <v>47113</v>
      </c>
      <c r="L14645">
        <v>45.43</v>
      </c>
      <c r="M14645">
        <v>102</v>
      </c>
      <c r="N14645">
        <v>0</v>
      </c>
      <c r="O14645">
        <v>102</v>
      </c>
      <c r="P14645">
        <v>0</v>
      </c>
    </row>
    <row r="14646" spans="1:16" x14ac:dyDescent="0.25">
      <c r="A14646" t="s">
        <v>37363</v>
      </c>
      <c r="B14646" t="s">
        <v>10101</v>
      </c>
      <c r="C14646" t="s">
        <v>10102</v>
      </c>
      <c r="D14646" t="str">
        <f>"11"</f>
        <v>11</v>
      </c>
      <c r="E14646" t="s">
        <v>288</v>
      </c>
      <c r="F14646" t="s">
        <v>7</v>
      </c>
      <c r="G14646" t="s">
        <v>47093</v>
      </c>
      <c r="H14646" t="s">
        <v>47054</v>
      </c>
      <c r="I14646" t="s">
        <v>47111</v>
      </c>
      <c r="J14646" t="s">
        <v>47112</v>
      </c>
      <c r="K14646" t="s">
        <v>47113</v>
      </c>
      <c r="L14646">
        <v>48.02</v>
      </c>
      <c r="M14646">
        <v>117</v>
      </c>
      <c r="N14646">
        <v>0</v>
      </c>
      <c r="O14646">
        <v>117</v>
      </c>
      <c r="P14646">
        <v>0</v>
      </c>
    </row>
    <row r="14647" spans="1:16" x14ac:dyDescent="0.25">
      <c r="A14647" t="s">
        <v>37364</v>
      </c>
      <c r="B14647" t="s">
        <v>10101</v>
      </c>
      <c r="C14647" t="s">
        <v>10102</v>
      </c>
      <c r="D14647" t="s">
        <v>294</v>
      </c>
      <c r="E14647" t="s">
        <v>295</v>
      </c>
      <c r="F14647" t="s">
        <v>7</v>
      </c>
      <c r="G14647" t="s">
        <v>47093</v>
      </c>
      <c r="H14647" t="s">
        <v>47054</v>
      </c>
      <c r="I14647" t="s">
        <v>47111</v>
      </c>
      <c r="J14647" t="s">
        <v>47112</v>
      </c>
      <c r="K14647" t="s">
        <v>47113</v>
      </c>
      <c r="L14647">
        <v>60.43</v>
      </c>
      <c r="M14647">
        <v>143</v>
      </c>
      <c r="N14647">
        <v>0</v>
      </c>
      <c r="O14647">
        <v>143</v>
      </c>
      <c r="P14647">
        <v>0</v>
      </c>
    </row>
    <row r="14648" spans="1:16" x14ac:dyDescent="0.25">
      <c r="A14648" t="s">
        <v>37365</v>
      </c>
      <c r="B14648" t="s">
        <v>10103</v>
      </c>
      <c r="C14648" t="s">
        <v>10104</v>
      </c>
      <c r="D14648" t="s">
        <v>721</v>
      </c>
      <c r="E14648" t="s">
        <v>722</v>
      </c>
      <c r="F14648" t="s">
        <v>52</v>
      </c>
      <c r="G14648" t="s">
        <v>47093</v>
      </c>
      <c r="H14648" t="s">
        <v>47054</v>
      </c>
      <c r="I14648" t="s">
        <v>47111</v>
      </c>
      <c r="J14648" t="s">
        <v>47112</v>
      </c>
      <c r="K14648" t="s">
        <v>47113</v>
      </c>
      <c r="L14648">
        <v>35.729999999999997</v>
      </c>
      <c r="M14648">
        <v>103</v>
      </c>
      <c r="N14648">
        <v>0</v>
      </c>
      <c r="O14648">
        <v>103</v>
      </c>
      <c r="P14648">
        <v>0</v>
      </c>
    </row>
    <row r="14649" spans="1:16" x14ac:dyDescent="0.25">
      <c r="A14649" t="s">
        <v>37366</v>
      </c>
      <c r="B14649" t="s">
        <v>10103</v>
      </c>
      <c r="C14649" t="s">
        <v>10104</v>
      </c>
      <c r="D14649" t="s">
        <v>1792</v>
      </c>
      <c r="E14649" t="s">
        <v>1793</v>
      </c>
      <c r="F14649" t="s">
        <v>52</v>
      </c>
      <c r="G14649" t="s">
        <v>47093</v>
      </c>
      <c r="H14649" t="s">
        <v>47054</v>
      </c>
      <c r="I14649" t="s">
        <v>47111</v>
      </c>
      <c r="J14649" t="s">
        <v>47112</v>
      </c>
      <c r="K14649" t="s">
        <v>47113</v>
      </c>
      <c r="L14649">
        <v>41.99</v>
      </c>
      <c r="M14649">
        <v>123</v>
      </c>
      <c r="N14649">
        <v>0</v>
      </c>
      <c r="O14649">
        <v>123</v>
      </c>
      <c r="P14649">
        <v>0</v>
      </c>
    </row>
    <row r="14650" spans="1:16" x14ac:dyDescent="0.25">
      <c r="A14650" t="s">
        <v>37367</v>
      </c>
      <c r="B14650" t="s">
        <v>10103</v>
      </c>
      <c r="C14650" t="s">
        <v>10104</v>
      </c>
      <c r="D14650" t="s">
        <v>739</v>
      </c>
      <c r="E14650" t="s">
        <v>740</v>
      </c>
      <c r="F14650" t="s">
        <v>52</v>
      </c>
      <c r="G14650" t="s">
        <v>47093</v>
      </c>
      <c r="H14650" t="s">
        <v>47054</v>
      </c>
      <c r="I14650" t="s">
        <v>47111</v>
      </c>
      <c r="J14650" t="s">
        <v>47112</v>
      </c>
      <c r="K14650" t="s">
        <v>47113</v>
      </c>
      <c r="L14650">
        <v>39.94</v>
      </c>
      <c r="M14650">
        <v>113</v>
      </c>
      <c r="N14650">
        <v>0</v>
      </c>
      <c r="O14650">
        <v>113</v>
      </c>
      <c r="P14650">
        <v>0</v>
      </c>
    </row>
    <row r="14651" spans="1:16" x14ac:dyDescent="0.25">
      <c r="A14651" t="s">
        <v>37368</v>
      </c>
      <c r="B14651" t="s">
        <v>10103</v>
      </c>
      <c r="C14651" t="s">
        <v>10104</v>
      </c>
      <c r="D14651" t="s">
        <v>10058</v>
      </c>
      <c r="E14651" t="s">
        <v>10059</v>
      </c>
      <c r="F14651" t="s">
        <v>52</v>
      </c>
      <c r="G14651" t="s">
        <v>47093</v>
      </c>
      <c r="H14651" t="s">
        <v>47054</v>
      </c>
      <c r="I14651" t="s">
        <v>47111</v>
      </c>
      <c r="J14651" t="s">
        <v>47112</v>
      </c>
      <c r="K14651" t="s">
        <v>47113</v>
      </c>
      <c r="L14651">
        <v>40.520000000000003</v>
      </c>
      <c r="M14651">
        <v>115</v>
      </c>
      <c r="N14651">
        <v>0</v>
      </c>
      <c r="O14651">
        <v>115</v>
      </c>
      <c r="P14651">
        <v>0</v>
      </c>
    </row>
    <row r="14652" spans="1:16" x14ac:dyDescent="0.25">
      <c r="A14652" t="s">
        <v>37369</v>
      </c>
      <c r="B14652" t="s">
        <v>10105</v>
      </c>
      <c r="C14652" t="s">
        <v>10106</v>
      </c>
      <c r="D14652" t="str">
        <f>"40"</f>
        <v>40</v>
      </c>
      <c r="E14652" t="s">
        <v>31</v>
      </c>
      <c r="F14652" t="s">
        <v>5</v>
      </c>
      <c r="G14652" t="s">
        <v>47093</v>
      </c>
      <c r="H14652" t="s">
        <v>47054</v>
      </c>
      <c r="I14652" t="s">
        <v>47111</v>
      </c>
      <c r="J14652" t="s">
        <v>47112</v>
      </c>
      <c r="K14652" t="s">
        <v>47113</v>
      </c>
      <c r="L14652">
        <v>30.36</v>
      </c>
      <c r="M14652">
        <v>83</v>
      </c>
      <c r="N14652">
        <v>0</v>
      </c>
      <c r="O14652">
        <v>83</v>
      </c>
      <c r="P14652">
        <v>0</v>
      </c>
    </row>
    <row r="14653" spans="1:16" x14ac:dyDescent="0.25">
      <c r="A14653" t="s">
        <v>37370</v>
      </c>
      <c r="B14653" t="s">
        <v>10105</v>
      </c>
      <c r="C14653" t="s">
        <v>10106</v>
      </c>
      <c r="D14653" t="s">
        <v>10062</v>
      </c>
      <c r="E14653" t="s">
        <v>10063</v>
      </c>
      <c r="F14653" t="s">
        <v>5</v>
      </c>
      <c r="G14653" t="s">
        <v>47093</v>
      </c>
      <c r="H14653" t="s">
        <v>47054</v>
      </c>
      <c r="I14653" t="s">
        <v>47111</v>
      </c>
      <c r="J14653" t="s">
        <v>47112</v>
      </c>
      <c r="K14653" t="s">
        <v>47113</v>
      </c>
      <c r="L14653">
        <v>30.06</v>
      </c>
      <c r="M14653">
        <v>74</v>
      </c>
      <c r="N14653">
        <v>0</v>
      </c>
      <c r="O14653">
        <v>74</v>
      </c>
      <c r="P14653">
        <v>0</v>
      </c>
    </row>
    <row r="14654" spans="1:16" x14ac:dyDescent="0.25">
      <c r="A14654" t="s">
        <v>37371</v>
      </c>
      <c r="B14654" t="s">
        <v>10105</v>
      </c>
      <c r="C14654" t="s">
        <v>10106</v>
      </c>
      <c r="D14654" t="s">
        <v>10064</v>
      </c>
      <c r="E14654" t="s">
        <v>10065</v>
      </c>
      <c r="F14654" t="s">
        <v>5</v>
      </c>
      <c r="G14654" t="s">
        <v>47093</v>
      </c>
      <c r="H14654" t="s">
        <v>47054</v>
      </c>
      <c r="I14654" t="s">
        <v>47111</v>
      </c>
      <c r="J14654" t="s">
        <v>47112</v>
      </c>
      <c r="K14654" t="s">
        <v>47113</v>
      </c>
      <c r="L14654">
        <v>34.06</v>
      </c>
      <c r="M14654">
        <v>73</v>
      </c>
      <c r="N14654">
        <v>0</v>
      </c>
      <c r="O14654">
        <v>73</v>
      </c>
      <c r="P14654">
        <v>0</v>
      </c>
    </row>
    <row r="14655" spans="1:16" x14ac:dyDescent="0.25">
      <c r="A14655" t="s">
        <v>37372</v>
      </c>
      <c r="B14655" t="s">
        <v>10107</v>
      </c>
      <c r="C14655" t="s">
        <v>10108</v>
      </c>
      <c r="D14655" t="str">
        <f>"11"</f>
        <v>11</v>
      </c>
      <c r="E14655" t="s">
        <v>288</v>
      </c>
      <c r="F14655" t="s">
        <v>8</v>
      </c>
      <c r="G14655" t="s">
        <v>47093</v>
      </c>
      <c r="H14655" t="s">
        <v>47054</v>
      </c>
      <c r="I14655" t="s">
        <v>47111</v>
      </c>
      <c r="J14655" t="s">
        <v>47112</v>
      </c>
      <c r="K14655" t="s">
        <v>47113</v>
      </c>
      <c r="L14655">
        <v>37.99</v>
      </c>
      <c r="M14655">
        <v>139</v>
      </c>
      <c r="N14655">
        <v>0</v>
      </c>
      <c r="O14655">
        <v>139</v>
      </c>
      <c r="P14655">
        <v>0</v>
      </c>
    </row>
    <row r="14656" spans="1:16" x14ac:dyDescent="0.25">
      <c r="A14656" t="s">
        <v>37373</v>
      </c>
      <c r="B14656" t="s">
        <v>10107</v>
      </c>
      <c r="C14656" t="s">
        <v>10108</v>
      </c>
      <c r="D14656" t="s">
        <v>721</v>
      </c>
      <c r="E14656" t="s">
        <v>722</v>
      </c>
      <c r="F14656" t="s">
        <v>8</v>
      </c>
      <c r="G14656" t="s">
        <v>47093</v>
      </c>
      <c r="H14656" t="s">
        <v>47054</v>
      </c>
      <c r="I14656" t="s">
        <v>47111</v>
      </c>
      <c r="J14656" t="s">
        <v>47112</v>
      </c>
      <c r="K14656" t="s">
        <v>47113</v>
      </c>
      <c r="L14656">
        <v>34.93</v>
      </c>
      <c r="M14656">
        <v>124</v>
      </c>
      <c r="N14656">
        <v>0</v>
      </c>
      <c r="O14656">
        <v>124</v>
      </c>
      <c r="P14656">
        <v>0</v>
      </c>
    </row>
    <row r="14657" spans="1:16" x14ac:dyDescent="0.25">
      <c r="A14657" t="s">
        <v>289</v>
      </c>
      <c r="B14657" t="s">
        <v>290</v>
      </c>
      <c r="C14657" t="s">
        <v>291</v>
      </c>
      <c r="D14657" t="str">
        <f>"11"</f>
        <v>11</v>
      </c>
      <c r="E14657" t="s">
        <v>288</v>
      </c>
      <c r="F14657" t="s">
        <v>7</v>
      </c>
      <c r="G14657" t="s">
        <v>47093</v>
      </c>
      <c r="H14657" t="s">
        <v>47054</v>
      </c>
      <c r="I14657" t="s">
        <v>47111</v>
      </c>
      <c r="J14657" t="s">
        <v>47112</v>
      </c>
      <c r="K14657" t="s">
        <v>47113</v>
      </c>
      <c r="L14657">
        <v>45.93</v>
      </c>
      <c r="M14657">
        <v>119</v>
      </c>
      <c r="N14657">
        <v>0</v>
      </c>
      <c r="O14657">
        <v>119</v>
      </c>
      <c r="P14657">
        <v>0</v>
      </c>
    </row>
    <row r="14658" spans="1:16" x14ac:dyDescent="0.25">
      <c r="A14658" t="s">
        <v>37374</v>
      </c>
      <c r="B14658" t="s">
        <v>290</v>
      </c>
      <c r="C14658" t="s">
        <v>291</v>
      </c>
      <c r="D14658" t="s">
        <v>294</v>
      </c>
      <c r="E14658" t="s">
        <v>295</v>
      </c>
      <c r="F14658" t="s">
        <v>7</v>
      </c>
      <c r="G14658" t="s">
        <v>47093</v>
      </c>
      <c r="H14658" t="s">
        <v>47054</v>
      </c>
      <c r="I14658" t="s">
        <v>47111</v>
      </c>
      <c r="J14658" t="s">
        <v>47112</v>
      </c>
      <c r="K14658" t="s">
        <v>47113</v>
      </c>
      <c r="L14658">
        <v>54.21</v>
      </c>
      <c r="M14658">
        <v>143</v>
      </c>
      <c r="N14658">
        <v>0</v>
      </c>
      <c r="O14658">
        <v>143</v>
      </c>
      <c r="P14658">
        <v>0</v>
      </c>
    </row>
    <row r="14659" spans="1:16" x14ac:dyDescent="0.25">
      <c r="A14659" t="s">
        <v>292</v>
      </c>
      <c r="B14659" t="s">
        <v>293</v>
      </c>
      <c r="C14659" t="s">
        <v>291</v>
      </c>
      <c r="D14659" t="s">
        <v>294</v>
      </c>
      <c r="E14659" t="s">
        <v>295</v>
      </c>
      <c r="F14659" t="s">
        <v>296</v>
      </c>
      <c r="G14659" t="s">
        <v>47093</v>
      </c>
      <c r="H14659" t="s">
        <v>47054</v>
      </c>
      <c r="I14659" t="s">
        <v>47111</v>
      </c>
      <c r="J14659" t="s">
        <v>47112</v>
      </c>
      <c r="K14659" t="s">
        <v>47113</v>
      </c>
      <c r="L14659">
        <v>53.07</v>
      </c>
      <c r="M14659">
        <v>120</v>
      </c>
      <c r="N14659">
        <v>0</v>
      </c>
      <c r="O14659">
        <v>120</v>
      </c>
      <c r="P14659">
        <v>0</v>
      </c>
    </row>
    <row r="14660" spans="1:16" x14ac:dyDescent="0.25">
      <c r="A14660" t="s">
        <v>37375</v>
      </c>
      <c r="B14660" t="s">
        <v>10109</v>
      </c>
      <c r="C14660" t="s">
        <v>10110</v>
      </c>
      <c r="D14660" t="str">
        <f>"11"</f>
        <v>11</v>
      </c>
      <c r="E14660" t="s">
        <v>288</v>
      </c>
      <c r="F14660" t="s">
        <v>5</v>
      </c>
      <c r="G14660" t="s">
        <v>47093</v>
      </c>
      <c r="H14660" t="s">
        <v>47054</v>
      </c>
      <c r="I14660" t="s">
        <v>47111</v>
      </c>
      <c r="J14660" t="s">
        <v>47112</v>
      </c>
      <c r="K14660" t="s">
        <v>47113</v>
      </c>
      <c r="L14660">
        <v>30.36</v>
      </c>
      <c r="M14660">
        <v>73</v>
      </c>
      <c r="N14660">
        <v>0</v>
      </c>
      <c r="O14660">
        <v>73</v>
      </c>
      <c r="P14660">
        <v>0</v>
      </c>
    </row>
    <row r="14661" spans="1:16" x14ac:dyDescent="0.25">
      <c r="A14661" t="s">
        <v>37376</v>
      </c>
      <c r="B14661" t="s">
        <v>10109</v>
      </c>
      <c r="C14661" t="s">
        <v>10110</v>
      </c>
      <c r="D14661" t="str">
        <f>"40"</f>
        <v>40</v>
      </c>
      <c r="E14661" t="s">
        <v>31</v>
      </c>
      <c r="F14661" t="s">
        <v>5</v>
      </c>
      <c r="G14661" t="s">
        <v>47093</v>
      </c>
      <c r="H14661" t="s">
        <v>47054</v>
      </c>
      <c r="I14661" t="s">
        <v>47111</v>
      </c>
      <c r="J14661" t="s">
        <v>47112</v>
      </c>
      <c r="K14661" t="s">
        <v>47113</v>
      </c>
      <c r="L14661">
        <v>30.06</v>
      </c>
      <c r="M14661">
        <v>83</v>
      </c>
      <c r="N14661">
        <v>0</v>
      </c>
      <c r="O14661">
        <v>83</v>
      </c>
      <c r="P14661">
        <v>0</v>
      </c>
    </row>
    <row r="14662" spans="1:16" x14ac:dyDescent="0.25">
      <c r="A14662" t="s">
        <v>37377</v>
      </c>
      <c r="B14662" t="s">
        <v>10109</v>
      </c>
      <c r="C14662" t="s">
        <v>10110</v>
      </c>
      <c r="D14662" t="s">
        <v>10071</v>
      </c>
      <c r="E14662" t="s">
        <v>10072</v>
      </c>
      <c r="F14662" t="s">
        <v>5</v>
      </c>
      <c r="G14662" t="s">
        <v>47093</v>
      </c>
      <c r="H14662" t="s">
        <v>47054</v>
      </c>
      <c r="I14662" t="s">
        <v>47111</v>
      </c>
      <c r="J14662" t="s">
        <v>47112</v>
      </c>
      <c r="K14662" t="s">
        <v>47113</v>
      </c>
      <c r="L14662">
        <v>29.78</v>
      </c>
      <c r="M14662">
        <v>85</v>
      </c>
      <c r="N14662">
        <v>0</v>
      </c>
      <c r="O14662">
        <v>85</v>
      </c>
      <c r="P14662">
        <v>0</v>
      </c>
    </row>
    <row r="14663" spans="1:16" x14ac:dyDescent="0.25">
      <c r="A14663" t="s">
        <v>37378</v>
      </c>
      <c r="B14663" t="s">
        <v>10109</v>
      </c>
      <c r="C14663" t="s">
        <v>10110</v>
      </c>
      <c r="D14663" t="s">
        <v>10062</v>
      </c>
      <c r="E14663" t="s">
        <v>10063</v>
      </c>
      <c r="F14663" t="s">
        <v>5</v>
      </c>
      <c r="G14663" t="s">
        <v>47093</v>
      </c>
      <c r="H14663" t="s">
        <v>47054</v>
      </c>
      <c r="I14663" t="s">
        <v>47111</v>
      </c>
      <c r="J14663" t="s">
        <v>47112</v>
      </c>
      <c r="K14663" t="s">
        <v>47113</v>
      </c>
      <c r="L14663">
        <v>34.47</v>
      </c>
      <c r="M14663">
        <v>74</v>
      </c>
      <c r="N14663">
        <v>0</v>
      </c>
      <c r="O14663">
        <v>74</v>
      </c>
      <c r="P14663">
        <v>0</v>
      </c>
    </row>
    <row r="14664" spans="1:16" x14ac:dyDescent="0.25">
      <c r="A14664" t="s">
        <v>37379</v>
      </c>
      <c r="B14664" t="s">
        <v>10109</v>
      </c>
      <c r="C14664" t="s">
        <v>10110</v>
      </c>
      <c r="D14664" t="s">
        <v>10064</v>
      </c>
      <c r="E14664" t="s">
        <v>10065</v>
      </c>
      <c r="F14664" t="s">
        <v>5</v>
      </c>
      <c r="G14664" t="s">
        <v>47093</v>
      </c>
      <c r="H14664" t="s">
        <v>47054</v>
      </c>
      <c r="I14664" t="s">
        <v>47111</v>
      </c>
      <c r="J14664" t="s">
        <v>47112</v>
      </c>
      <c r="K14664" t="s">
        <v>47113</v>
      </c>
      <c r="L14664">
        <v>37.35</v>
      </c>
      <c r="M14664">
        <v>73</v>
      </c>
      <c r="N14664">
        <v>0</v>
      </c>
      <c r="O14664">
        <v>73</v>
      </c>
      <c r="P14664">
        <v>0</v>
      </c>
    </row>
    <row r="14665" spans="1:16" x14ac:dyDescent="0.25">
      <c r="A14665" t="s">
        <v>37380</v>
      </c>
      <c r="B14665" t="s">
        <v>18297</v>
      </c>
      <c r="C14665" t="s">
        <v>18298</v>
      </c>
      <c r="D14665" t="s">
        <v>721</v>
      </c>
      <c r="E14665" t="s">
        <v>722</v>
      </c>
      <c r="F14665" t="s">
        <v>3750</v>
      </c>
      <c r="G14665" t="s">
        <v>47093</v>
      </c>
      <c r="H14665" t="s">
        <v>47054</v>
      </c>
      <c r="I14665" t="s">
        <v>47116</v>
      </c>
      <c r="J14665" t="s">
        <v>47117</v>
      </c>
      <c r="K14665" t="s">
        <v>47113</v>
      </c>
      <c r="L14665">
        <v>19.82</v>
      </c>
      <c r="M14665">
        <v>56</v>
      </c>
      <c r="N14665">
        <v>0</v>
      </c>
      <c r="O14665">
        <v>56</v>
      </c>
      <c r="P14665">
        <v>0</v>
      </c>
    </row>
    <row r="14666" spans="1:16" x14ac:dyDescent="0.25">
      <c r="A14666" t="s">
        <v>37381</v>
      </c>
      <c r="B14666" t="s">
        <v>18299</v>
      </c>
      <c r="C14666" t="s">
        <v>18300</v>
      </c>
      <c r="D14666" t="s">
        <v>18301</v>
      </c>
      <c r="E14666" t="s">
        <v>18302</v>
      </c>
      <c r="F14666" t="s">
        <v>3750</v>
      </c>
      <c r="G14666" t="s">
        <v>47093</v>
      </c>
      <c r="H14666" t="s">
        <v>47054</v>
      </c>
      <c r="I14666" t="s">
        <v>47116</v>
      </c>
      <c r="J14666" t="s">
        <v>47117</v>
      </c>
      <c r="K14666" t="s">
        <v>47113</v>
      </c>
      <c r="L14666">
        <v>27.73</v>
      </c>
      <c r="M14666">
        <v>79</v>
      </c>
      <c r="N14666">
        <v>0</v>
      </c>
      <c r="O14666">
        <v>79</v>
      </c>
      <c r="P14666">
        <v>0</v>
      </c>
    </row>
    <row r="14667" spans="1:16" x14ac:dyDescent="0.25">
      <c r="A14667" t="s">
        <v>37382</v>
      </c>
      <c r="B14667" t="s">
        <v>10111</v>
      </c>
      <c r="C14667" t="s">
        <v>10112</v>
      </c>
      <c r="D14667" t="s">
        <v>721</v>
      </c>
      <c r="E14667" t="s">
        <v>722</v>
      </c>
      <c r="F14667" t="s">
        <v>52</v>
      </c>
      <c r="G14667" t="s">
        <v>47093</v>
      </c>
      <c r="H14667" t="s">
        <v>47054</v>
      </c>
      <c r="I14667" t="s">
        <v>47111</v>
      </c>
      <c r="J14667" t="s">
        <v>47112</v>
      </c>
      <c r="K14667" t="s">
        <v>47113</v>
      </c>
      <c r="L14667">
        <v>39.65</v>
      </c>
      <c r="M14667">
        <v>103</v>
      </c>
      <c r="N14667">
        <v>0</v>
      </c>
      <c r="O14667">
        <v>103</v>
      </c>
      <c r="P14667">
        <v>0</v>
      </c>
    </row>
    <row r="14668" spans="1:16" x14ac:dyDescent="0.25">
      <c r="A14668" t="s">
        <v>37383</v>
      </c>
      <c r="B14668" t="s">
        <v>10111</v>
      </c>
      <c r="C14668" t="s">
        <v>10112</v>
      </c>
      <c r="D14668" t="s">
        <v>1792</v>
      </c>
      <c r="E14668" t="s">
        <v>1793</v>
      </c>
      <c r="F14668" t="s">
        <v>52</v>
      </c>
      <c r="G14668" t="s">
        <v>47093</v>
      </c>
      <c r="H14668" t="s">
        <v>47054</v>
      </c>
      <c r="I14668" t="s">
        <v>47111</v>
      </c>
      <c r="J14668" t="s">
        <v>47112</v>
      </c>
      <c r="K14668" t="s">
        <v>47113</v>
      </c>
      <c r="L14668">
        <v>47.9</v>
      </c>
      <c r="M14668">
        <v>123</v>
      </c>
      <c r="N14668">
        <v>0</v>
      </c>
      <c r="O14668">
        <v>123</v>
      </c>
      <c r="P14668">
        <v>0</v>
      </c>
    </row>
    <row r="14669" spans="1:16" x14ac:dyDescent="0.25">
      <c r="A14669" t="s">
        <v>37384</v>
      </c>
      <c r="B14669" t="s">
        <v>10111</v>
      </c>
      <c r="C14669" t="s">
        <v>10112</v>
      </c>
      <c r="D14669" t="s">
        <v>739</v>
      </c>
      <c r="E14669" t="s">
        <v>740</v>
      </c>
      <c r="F14669" t="s">
        <v>52</v>
      </c>
      <c r="G14669" t="s">
        <v>47093</v>
      </c>
      <c r="H14669" t="s">
        <v>47054</v>
      </c>
      <c r="I14669" t="s">
        <v>47111</v>
      </c>
      <c r="J14669" t="s">
        <v>47112</v>
      </c>
      <c r="K14669" t="s">
        <v>47113</v>
      </c>
      <c r="L14669">
        <v>44.37</v>
      </c>
      <c r="M14669">
        <v>113</v>
      </c>
      <c r="N14669">
        <v>0</v>
      </c>
      <c r="O14669">
        <v>113</v>
      </c>
      <c r="P14669">
        <v>0</v>
      </c>
    </row>
    <row r="14670" spans="1:16" x14ac:dyDescent="0.25">
      <c r="A14670" t="s">
        <v>37385</v>
      </c>
      <c r="B14670" t="s">
        <v>10111</v>
      </c>
      <c r="C14670" t="s">
        <v>10112</v>
      </c>
      <c r="D14670" t="s">
        <v>10058</v>
      </c>
      <c r="E14670" t="s">
        <v>10059</v>
      </c>
      <c r="F14670" t="s">
        <v>52</v>
      </c>
      <c r="G14670" t="s">
        <v>47093</v>
      </c>
      <c r="H14670" t="s">
        <v>47054</v>
      </c>
      <c r="I14670" t="s">
        <v>47111</v>
      </c>
      <c r="J14670" t="s">
        <v>47112</v>
      </c>
      <c r="K14670" t="s">
        <v>47113</v>
      </c>
      <c r="L14670">
        <v>43.86</v>
      </c>
      <c r="M14670">
        <v>115</v>
      </c>
      <c r="N14670">
        <v>0</v>
      </c>
      <c r="O14670">
        <v>115</v>
      </c>
      <c r="P14670">
        <v>0</v>
      </c>
    </row>
    <row r="14671" spans="1:16" x14ac:dyDescent="0.25">
      <c r="A14671" t="s">
        <v>37386</v>
      </c>
      <c r="B14671" t="s">
        <v>10113</v>
      </c>
      <c r="C14671" t="s">
        <v>10114</v>
      </c>
      <c r="D14671" t="str">
        <f>"11"</f>
        <v>11</v>
      </c>
      <c r="E14671" t="s">
        <v>288</v>
      </c>
      <c r="F14671" t="s">
        <v>5</v>
      </c>
      <c r="G14671" t="s">
        <v>47093</v>
      </c>
      <c r="H14671" t="s">
        <v>47054</v>
      </c>
      <c r="I14671" t="s">
        <v>47111</v>
      </c>
      <c r="J14671" t="s">
        <v>47112</v>
      </c>
      <c r="K14671" t="s">
        <v>47113</v>
      </c>
      <c r="L14671">
        <v>34.130000000000003</v>
      </c>
      <c r="M14671">
        <v>73</v>
      </c>
      <c r="N14671">
        <v>0</v>
      </c>
      <c r="O14671">
        <v>73</v>
      </c>
      <c r="P14671">
        <v>0</v>
      </c>
    </row>
    <row r="14672" spans="1:16" x14ac:dyDescent="0.25">
      <c r="A14672" t="s">
        <v>37387</v>
      </c>
      <c r="B14672" t="s">
        <v>10113</v>
      </c>
      <c r="C14672" t="s">
        <v>10114</v>
      </c>
      <c r="D14672" t="str">
        <f>"40"</f>
        <v>40</v>
      </c>
      <c r="E14672" t="s">
        <v>31</v>
      </c>
      <c r="F14672" t="s">
        <v>5</v>
      </c>
      <c r="G14672" t="s">
        <v>47093</v>
      </c>
      <c r="H14672" t="s">
        <v>47054</v>
      </c>
      <c r="I14672" t="s">
        <v>47111</v>
      </c>
      <c r="J14672" t="s">
        <v>47112</v>
      </c>
      <c r="K14672" t="s">
        <v>47113</v>
      </c>
      <c r="L14672">
        <v>32.93</v>
      </c>
      <c r="M14672">
        <v>77</v>
      </c>
      <c r="N14672">
        <v>0</v>
      </c>
      <c r="O14672">
        <v>77</v>
      </c>
      <c r="P14672">
        <v>0</v>
      </c>
    </row>
    <row r="14673" spans="1:16" x14ac:dyDescent="0.25">
      <c r="A14673" t="s">
        <v>37388</v>
      </c>
      <c r="B14673" t="s">
        <v>10113</v>
      </c>
      <c r="C14673" t="s">
        <v>10114</v>
      </c>
      <c r="D14673" t="s">
        <v>10071</v>
      </c>
      <c r="E14673" t="s">
        <v>10072</v>
      </c>
      <c r="F14673" t="s">
        <v>5</v>
      </c>
      <c r="G14673" t="s">
        <v>47093</v>
      </c>
      <c r="H14673" t="s">
        <v>47054</v>
      </c>
      <c r="I14673" t="s">
        <v>47111</v>
      </c>
      <c r="J14673" t="s">
        <v>47112</v>
      </c>
      <c r="K14673" t="s">
        <v>47113</v>
      </c>
      <c r="L14673">
        <v>23.62</v>
      </c>
      <c r="M14673">
        <v>90</v>
      </c>
      <c r="N14673">
        <v>0</v>
      </c>
      <c r="O14673">
        <v>90</v>
      </c>
      <c r="P14673">
        <v>0</v>
      </c>
    </row>
    <row r="14674" spans="1:16" x14ac:dyDescent="0.25">
      <c r="A14674" t="s">
        <v>37389</v>
      </c>
      <c r="B14674" t="s">
        <v>10113</v>
      </c>
      <c r="C14674" t="s">
        <v>10114</v>
      </c>
      <c r="D14674" t="s">
        <v>10062</v>
      </c>
      <c r="E14674" t="s">
        <v>10063</v>
      </c>
      <c r="F14674" t="s">
        <v>5</v>
      </c>
      <c r="G14674" t="s">
        <v>47093</v>
      </c>
      <c r="H14674" t="s">
        <v>47054</v>
      </c>
      <c r="I14674" t="s">
        <v>47111</v>
      </c>
      <c r="J14674" t="s">
        <v>47112</v>
      </c>
      <c r="K14674" t="s">
        <v>47113</v>
      </c>
      <c r="L14674">
        <v>29.55</v>
      </c>
      <c r="M14674">
        <v>69</v>
      </c>
      <c r="N14674">
        <v>0</v>
      </c>
      <c r="O14674">
        <v>69</v>
      </c>
      <c r="P14674">
        <v>0</v>
      </c>
    </row>
    <row r="14675" spans="1:16" x14ac:dyDescent="0.25">
      <c r="A14675" t="s">
        <v>37390</v>
      </c>
      <c r="B14675" t="s">
        <v>10113</v>
      </c>
      <c r="C14675" t="s">
        <v>10114</v>
      </c>
      <c r="D14675" t="s">
        <v>10064</v>
      </c>
      <c r="E14675" t="s">
        <v>10065</v>
      </c>
      <c r="F14675" t="s">
        <v>5</v>
      </c>
      <c r="G14675" t="s">
        <v>47093</v>
      </c>
      <c r="H14675" t="s">
        <v>47054</v>
      </c>
      <c r="I14675" t="s">
        <v>47111</v>
      </c>
      <c r="J14675" t="s">
        <v>47112</v>
      </c>
      <c r="K14675" t="s">
        <v>47113</v>
      </c>
      <c r="L14675">
        <v>29.26</v>
      </c>
      <c r="M14675">
        <v>69</v>
      </c>
      <c r="N14675">
        <v>0</v>
      </c>
      <c r="O14675">
        <v>69</v>
      </c>
      <c r="P14675">
        <v>0</v>
      </c>
    </row>
    <row r="14676" spans="1:16" x14ac:dyDescent="0.25">
      <c r="A14676" t="s">
        <v>37391</v>
      </c>
      <c r="B14676" t="s">
        <v>10115</v>
      </c>
      <c r="C14676" t="s">
        <v>10116</v>
      </c>
      <c r="D14676" t="s">
        <v>10117</v>
      </c>
      <c r="E14676" t="s">
        <v>10118</v>
      </c>
      <c r="F14676" t="s">
        <v>1717</v>
      </c>
      <c r="G14676" t="s">
        <v>47093</v>
      </c>
      <c r="H14676" t="s">
        <v>47054</v>
      </c>
      <c r="I14676" t="s">
        <v>47111</v>
      </c>
      <c r="J14676" t="s">
        <v>47112</v>
      </c>
      <c r="K14676" t="s">
        <v>47113</v>
      </c>
      <c r="L14676">
        <v>43.87</v>
      </c>
      <c r="M14676">
        <v>98</v>
      </c>
      <c r="N14676">
        <v>0</v>
      </c>
      <c r="O14676">
        <v>98</v>
      </c>
      <c r="P14676">
        <v>0</v>
      </c>
    </row>
    <row r="14677" spans="1:16" x14ac:dyDescent="0.25">
      <c r="A14677" t="s">
        <v>297</v>
      </c>
      <c r="B14677" t="s">
        <v>298</v>
      </c>
      <c r="C14677" t="s">
        <v>299</v>
      </c>
      <c r="D14677" t="str">
        <f>"11"</f>
        <v>11</v>
      </c>
      <c r="E14677" t="s">
        <v>288</v>
      </c>
      <c r="F14677" t="s">
        <v>8</v>
      </c>
      <c r="G14677" t="s">
        <v>47093</v>
      </c>
      <c r="H14677" t="s">
        <v>47054</v>
      </c>
      <c r="I14677" t="s">
        <v>47111</v>
      </c>
      <c r="J14677" t="s">
        <v>47112</v>
      </c>
      <c r="K14677" t="s">
        <v>47113</v>
      </c>
      <c r="L14677">
        <v>40.270000000000003</v>
      </c>
      <c r="M14677">
        <v>139</v>
      </c>
      <c r="N14677">
        <v>0</v>
      </c>
      <c r="O14677">
        <v>139</v>
      </c>
      <c r="P14677">
        <v>0</v>
      </c>
    </row>
    <row r="14678" spans="1:16" x14ac:dyDescent="0.25">
      <c r="A14678" t="s">
        <v>37392</v>
      </c>
      <c r="B14678" t="s">
        <v>298</v>
      </c>
      <c r="C14678" t="s">
        <v>299</v>
      </c>
      <c r="D14678" t="s">
        <v>721</v>
      </c>
      <c r="E14678" t="s">
        <v>722</v>
      </c>
      <c r="F14678" t="s">
        <v>8</v>
      </c>
      <c r="G14678" t="s">
        <v>47093</v>
      </c>
      <c r="H14678" t="s">
        <v>47054</v>
      </c>
      <c r="I14678" t="s">
        <v>47111</v>
      </c>
      <c r="J14678" t="s">
        <v>47112</v>
      </c>
      <c r="K14678" t="s">
        <v>47113</v>
      </c>
      <c r="L14678">
        <v>48.06</v>
      </c>
      <c r="M14678">
        <v>130</v>
      </c>
      <c r="N14678">
        <v>0</v>
      </c>
      <c r="O14678">
        <v>130</v>
      </c>
      <c r="P14678">
        <v>0</v>
      </c>
    </row>
    <row r="14679" spans="1:16" x14ac:dyDescent="0.25">
      <c r="A14679" t="s">
        <v>37393</v>
      </c>
      <c r="B14679" t="s">
        <v>10119</v>
      </c>
      <c r="C14679" t="s">
        <v>10120</v>
      </c>
      <c r="D14679" t="s">
        <v>10075</v>
      </c>
      <c r="E14679" t="s">
        <v>10076</v>
      </c>
      <c r="F14679" t="s">
        <v>56</v>
      </c>
      <c r="G14679" t="s">
        <v>47093</v>
      </c>
      <c r="H14679" t="s">
        <v>47054</v>
      </c>
      <c r="I14679" t="s">
        <v>47114</v>
      </c>
      <c r="J14679" t="s">
        <v>47115</v>
      </c>
      <c r="K14679" t="s">
        <v>47113</v>
      </c>
      <c r="L14679">
        <v>56.1</v>
      </c>
      <c r="M14679">
        <v>124</v>
      </c>
      <c r="N14679">
        <v>0</v>
      </c>
      <c r="O14679">
        <v>124</v>
      </c>
      <c r="P14679">
        <v>0</v>
      </c>
    </row>
    <row r="14680" spans="1:16" x14ac:dyDescent="0.25">
      <c r="A14680" t="s">
        <v>37394</v>
      </c>
      <c r="B14680" t="s">
        <v>10119</v>
      </c>
      <c r="C14680" t="s">
        <v>10120</v>
      </c>
      <c r="D14680" t="s">
        <v>1711</v>
      </c>
      <c r="E14680" t="s">
        <v>1712</v>
      </c>
      <c r="F14680" t="s">
        <v>56</v>
      </c>
      <c r="G14680" t="s">
        <v>47093</v>
      </c>
      <c r="H14680" t="s">
        <v>47054</v>
      </c>
      <c r="I14680" t="s">
        <v>47114</v>
      </c>
      <c r="J14680" t="s">
        <v>47115</v>
      </c>
      <c r="K14680" t="s">
        <v>47113</v>
      </c>
      <c r="L14680">
        <v>54.83</v>
      </c>
      <c r="M14680">
        <v>134</v>
      </c>
      <c r="N14680">
        <v>0</v>
      </c>
      <c r="O14680">
        <v>134</v>
      </c>
      <c r="P14680">
        <v>0</v>
      </c>
    </row>
    <row r="14681" spans="1:16" x14ac:dyDescent="0.25">
      <c r="A14681" t="s">
        <v>37395</v>
      </c>
      <c r="B14681" t="s">
        <v>10121</v>
      </c>
      <c r="C14681" t="s">
        <v>10122</v>
      </c>
      <c r="D14681" t="s">
        <v>1341</v>
      </c>
      <c r="E14681" t="s">
        <v>1342</v>
      </c>
      <c r="F14681" t="s">
        <v>8</v>
      </c>
      <c r="G14681" t="s">
        <v>47093</v>
      </c>
      <c r="H14681" t="s">
        <v>47054</v>
      </c>
      <c r="I14681" t="s">
        <v>47111</v>
      </c>
      <c r="J14681" t="s">
        <v>47112</v>
      </c>
      <c r="K14681" t="s">
        <v>47113</v>
      </c>
      <c r="L14681">
        <v>47.37</v>
      </c>
      <c r="M14681">
        <v>128</v>
      </c>
      <c r="N14681">
        <v>0</v>
      </c>
      <c r="O14681">
        <v>128</v>
      </c>
      <c r="P14681">
        <v>0</v>
      </c>
    </row>
    <row r="14682" spans="1:16" x14ac:dyDescent="0.25">
      <c r="A14682" t="s">
        <v>37396</v>
      </c>
      <c r="B14682" t="s">
        <v>10123</v>
      </c>
      <c r="C14682" t="s">
        <v>10124</v>
      </c>
      <c r="D14682" t="str">
        <f>"11"</f>
        <v>11</v>
      </c>
      <c r="E14682" t="s">
        <v>288</v>
      </c>
      <c r="F14682" t="s">
        <v>7</v>
      </c>
      <c r="G14682" t="s">
        <v>47093</v>
      </c>
      <c r="H14682" t="s">
        <v>47054</v>
      </c>
      <c r="I14682" t="s">
        <v>47111</v>
      </c>
      <c r="J14682" t="s">
        <v>47112</v>
      </c>
      <c r="K14682" t="s">
        <v>47113</v>
      </c>
      <c r="L14682">
        <v>48.02</v>
      </c>
      <c r="M14682">
        <v>119</v>
      </c>
      <c r="N14682">
        <v>0</v>
      </c>
      <c r="O14682">
        <v>119</v>
      </c>
      <c r="P14682">
        <v>0</v>
      </c>
    </row>
    <row r="14683" spans="1:16" x14ac:dyDescent="0.25">
      <c r="A14683" t="s">
        <v>37397</v>
      </c>
      <c r="B14683" t="s">
        <v>10123</v>
      </c>
      <c r="C14683" t="s">
        <v>10124</v>
      </c>
      <c r="D14683" t="s">
        <v>294</v>
      </c>
      <c r="E14683" t="s">
        <v>295</v>
      </c>
      <c r="F14683" t="s">
        <v>7</v>
      </c>
      <c r="G14683" t="s">
        <v>47093</v>
      </c>
      <c r="H14683" t="s">
        <v>47054</v>
      </c>
      <c r="I14683" t="s">
        <v>47111</v>
      </c>
      <c r="J14683" t="s">
        <v>47112</v>
      </c>
      <c r="K14683" t="s">
        <v>47113</v>
      </c>
      <c r="L14683">
        <v>58.11</v>
      </c>
      <c r="M14683">
        <v>142</v>
      </c>
      <c r="N14683">
        <v>0</v>
      </c>
      <c r="O14683">
        <v>142</v>
      </c>
      <c r="P14683">
        <v>0</v>
      </c>
    </row>
    <row r="14684" spans="1:16" x14ac:dyDescent="0.25">
      <c r="A14684" t="s">
        <v>37398</v>
      </c>
      <c r="B14684" t="s">
        <v>10125</v>
      </c>
      <c r="C14684" t="s">
        <v>10126</v>
      </c>
      <c r="D14684" t="s">
        <v>10127</v>
      </c>
      <c r="E14684" t="s">
        <v>10128</v>
      </c>
      <c r="F14684" t="s">
        <v>4</v>
      </c>
      <c r="G14684" t="s">
        <v>47093</v>
      </c>
      <c r="H14684" t="s">
        <v>47054</v>
      </c>
      <c r="I14684" t="s">
        <v>47111</v>
      </c>
      <c r="J14684" t="s">
        <v>47112</v>
      </c>
      <c r="K14684" t="s">
        <v>47113</v>
      </c>
      <c r="L14684">
        <v>43.11</v>
      </c>
      <c r="M14684">
        <v>105</v>
      </c>
      <c r="N14684">
        <v>0</v>
      </c>
      <c r="O14684">
        <v>105</v>
      </c>
      <c r="P14684">
        <v>0</v>
      </c>
    </row>
    <row r="14685" spans="1:16" x14ac:dyDescent="0.25">
      <c r="A14685" t="s">
        <v>37399</v>
      </c>
      <c r="B14685" t="s">
        <v>10129</v>
      </c>
      <c r="C14685" t="s">
        <v>302</v>
      </c>
      <c r="D14685" t="s">
        <v>10127</v>
      </c>
      <c r="E14685" t="s">
        <v>10128</v>
      </c>
      <c r="F14685" t="s">
        <v>4</v>
      </c>
      <c r="G14685" t="s">
        <v>47093</v>
      </c>
      <c r="H14685" t="s">
        <v>47054</v>
      </c>
      <c r="I14685" t="s">
        <v>47111</v>
      </c>
      <c r="J14685" t="s">
        <v>47112</v>
      </c>
      <c r="K14685" t="s">
        <v>47113</v>
      </c>
      <c r="L14685">
        <v>42.54</v>
      </c>
      <c r="M14685">
        <v>104</v>
      </c>
      <c r="N14685">
        <v>0</v>
      </c>
      <c r="O14685">
        <v>104</v>
      </c>
      <c r="P14685">
        <v>0</v>
      </c>
    </row>
    <row r="14686" spans="1:16" x14ac:dyDescent="0.25">
      <c r="A14686" t="s">
        <v>300</v>
      </c>
      <c r="B14686" t="s">
        <v>301</v>
      </c>
      <c r="C14686" t="s">
        <v>302</v>
      </c>
      <c r="D14686" t="s">
        <v>303</v>
      </c>
      <c r="E14686" t="s">
        <v>304</v>
      </c>
      <c r="F14686" t="s">
        <v>4</v>
      </c>
      <c r="G14686" t="s">
        <v>47093</v>
      </c>
      <c r="H14686" t="s">
        <v>47054</v>
      </c>
      <c r="I14686" t="s">
        <v>47111</v>
      </c>
      <c r="J14686" t="s">
        <v>47112</v>
      </c>
      <c r="K14686" t="s">
        <v>47113</v>
      </c>
      <c r="L14686">
        <v>53.25</v>
      </c>
      <c r="M14686">
        <v>115</v>
      </c>
      <c r="N14686">
        <v>0</v>
      </c>
      <c r="O14686">
        <v>115</v>
      </c>
      <c r="P14686">
        <v>0</v>
      </c>
    </row>
    <row r="14687" spans="1:16" x14ac:dyDescent="0.25">
      <c r="A14687" t="s">
        <v>37400</v>
      </c>
      <c r="B14687" t="s">
        <v>10130</v>
      </c>
      <c r="C14687" t="s">
        <v>10131</v>
      </c>
      <c r="D14687" t="s">
        <v>10132</v>
      </c>
      <c r="E14687" t="s">
        <v>10133</v>
      </c>
      <c r="F14687" t="s">
        <v>0</v>
      </c>
      <c r="G14687" t="s">
        <v>47098</v>
      </c>
      <c r="H14687" t="s">
        <v>47054</v>
      </c>
      <c r="I14687" t="s">
        <v>47116</v>
      </c>
      <c r="J14687" t="s">
        <v>47117</v>
      </c>
      <c r="K14687" t="s">
        <v>47113</v>
      </c>
      <c r="L14687">
        <v>33.82</v>
      </c>
      <c r="M14687">
        <v>83</v>
      </c>
      <c r="N14687">
        <v>0</v>
      </c>
      <c r="O14687">
        <v>83</v>
      </c>
      <c r="P14687">
        <v>0</v>
      </c>
    </row>
    <row r="14688" spans="1:16" x14ac:dyDescent="0.25">
      <c r="A14688" t="s">
        <v>37401</v>
      </c>
      <c r="B14688" t="s">
        <v>306</v>
      </c>
      <c r="C14688" t="s">
        <v>307</v>
      </c>
      <c r="D14688" t="s">
        <v>721</v>
      </c>
      <c r="E14688" t="s">
        <v>722</v>
      </c>
      <c r="F14688" t="s">
        <v>631</v>
      </c>
      <c r="G14688" t="s">
        <v>47093</v>
      </c>
      <c r="H14688" t="s">
        <v>47054</v>
      </c>
      <c r="I14688" t="s">
        <v>47111</v>
      </c>
      <c r="J14688" t="s">
        <v>47112</v>
      </c>
      <c r="K14688" t="s">
        <v>47113</v>
      </c>
      <c r="L14688">
        <v>39.299999999999997</v>
      </c>
      <c r="M14688">
        <v>105</v>
      </c>
      <c r="N14688">
        <v>0</v>
      </c>
      <c r="O14688">
        <v>105</v>
      </c>
      <c r="P14688">
        <v>0</v>
      </c>
    </row>
    <row r="14689" spans="1:16" x14ac:dyDescent="0.25">
      <c r="A14689" t="s">
        <v>305</v>
      </c>
      <c r="B14689" t="s">
        <v>306</v>
      </c>
      <c r="C14689" t="s">
        <v>307</v>
      </c>
      <c r="D14689" t="str">
        <f>"40"</f>
        <v>40</v>
      </c>
      <c r="E14689" t="s">
        <v>31</v>
      </c>
      <c r="F14689" t="s">
        <v>8</v>
      </c>
      <c r="G14689" t="s">
        <v>47093</v>
      </c>
      <c r="H14689" t="s">
        <v>47054</v>
      </c>
      <c r="I14689" t="s">
        <v>47111</v>
      </c>
      <c r="J14689" t="s">
        <v>47112</v>
      </c>
      <c r="K14689" t="s">
        <v>47113</v>
      </c>
      <c r="L14689">
        <v>40.25</v>
      </c>
      <c r="M14689">
        <v>127</v>
      </c>
      <c r="N14689">
        <v>0</v>
      </c>
      <c r="O14689">
        <v>127</v>
      </c>
      <c r="P14689">
        <v>0</v>
      </c>
    </row>
    <row r="14690" spans="1:16" x14ac:dyDescent="0.25">
      <c r="A14690" t="s">
        <v>37402</v>
      </c>
      <c r="B14690" t="s">
        <v>306</v>
      </c>
      <c r="C14690" t="s">
        <v>307</v>
      </c>
      <c r="D14690" t="s">
        <v>629</v>
      </c>
      <c r="E14690" t="s">
        <v>630</v>
      </c>
      <c r="F14690" t="s">
        <v>631</v>
      </c>
      <c r="G14690" t="s">
        <v>47093</v>
      </c>
      <c r="H14690" t="s">
        <v>47054</v>
      </c>
      <c r="I14690" t="s">
        <v>47111</v>
      </c>
      <c r="J14690" t="s">
        <v>47112</v>
      </c>
      <c r="K14690" t="s">
        <v>47113</v>
      </c>
      <c r="L14690">
        <v>46.23</v>
      </c>
      <c r="M14690">
        <v>127</v>
      </c>
      <c r="N14690">
        <v>0</v>
      </c>
      <c r="O14690">
        <v>127</v>
      </c>
      <c r="P14690">
        <v>0</v>
      </c>
    </row>
    <row r="14691" spans="1:16" x14ac:dyDescent="0.25">
      <c r="A14691" t="s">
        <v>37403</v>
      </c>
      <c r="B14691" t="s">
        <v>306</v>
      </c>
      <c r="C14691" t="s">
        <v>307</v>
      </c>
      <c r="D14691" t="s">
        <v>2020</v>
      </c>
      <c r="E14691" t="s">
        <v>2021</v>
      </c>
      <c r="F14691" t="s">
        <v>631</v>
      </c>
      <c r="G14691" t="s">
        <v>47093</v>
      </c>
      <c r="H14691" t="s">
        <v>47054</v>
      </c>
      <c r="I14691" t="s">
        <v>47111</v>
      </c>
      <c r="J14691" t="s">
        <v>47112</v>
      </c>
      <c r="K14691" t="s">
        <v>47113</v>
      </c>
      <c r="L14691">
        <v>48.5</v>
      </c>
      <c r="M14691">
        <v>108</v>
      </c>
      <c r="N14691">
        <v>0</v>
      </c>
      <c r="O14691">
        <v>108</v>
      </c>
      <c r="P14691">
        <v>0</v>
      </c>
    </row>
    <row r="14692" spans="1:16" x14ac:dyDescent="0.25">
      <c r="A14692" t="s">
        <v>37404</v>
      </c>
      <c r="B14692" t="s">
        <v>10134</v>
      </c>
      <c r="C14692" t="s">
        <v>10135</v>
      </c>
      <c r="D14692" t="s">
        <v>10075</v>
      </c>
      <c r="E14692" t="s">
        <v>10076</v>
      </c>
      <c r="F14692" t="s">
        <v>56</v>
      </c>
      <c r="G14692" t="s">
        <v>47093</v>
      </c>
      <c r="H14692" t="s">
        <v>47054</v>
      </c>
      <c r="I14692" t="s">
        <v>47111</v>
      </c>
      <c r="J14692" t="s">
        <v>47112</v>
      </c>
      <c r="K14692" t="s">
        <v>47113</v>
      </c>
      <c r="L14692">
        <v>56.52</v>
      </c>
      <c r="M14692">
        <v>124</v>
      </c>
      <c r="N14692">
        <v>0</v>
      </c>
      <c r="O14692">
        <v>124</v>
      </c>
      <c r="P14692">
        <v>0</v>
      </c>
    </row>
    <row r="14693" spans="1:16" x14ac:dyDescent="0.25">
      <c r="A14693" t="s">
        <v>37405</v>
      </c>
      <c r="B14693" t="s">
        <v>10134</v>
      </c>
      <c r="C14693" t="s">
        <v>10135</v>
      </c>
      <c r="D14693" t="s">
        <v>1711</v>
      </c>
      <c r="E14693" t="s">
        <v>1712</v>
      </c>
      <c r="F14693" t="s">
        <v>56</v>
      </c>
      <c r="G14693" t="s">
        <v>47093</v>
      </c>
      <c r="H14693" t="s">
        <v>47054</v>
      </c>
      <c r="I14693" t="s">
        <v>47114</v>
      </c>
      <c r="J14693" t="s">
        <v>47115</v>
      </c>
      <c r="K14693" t="s">
        <v>47113</v>
      </c>
      <c r="L14693">
        <v>60.17</v>
      </c>
      <c r="M14693">
        <v>134</v>
      </c>
      <c r="N14693">
        <v>0</v>
      </c>
      <c r="O14693">
        <v>134</v>
      </c>
      <c r="P14693">
        <v>0</v>
      </c>
    </row>
    <row r="14694" spans="1:16" x14ac:dyDescent="0.25">
      <c r="A14694" t="s">
        <v>37406</v>
      </c>
      <c r="B14694" t="s">
        <v>10136</v>
      </c>
      <c r="C14694" t="s">
        <v>10137</v>
      </c>
      <c r="D14694" t="s">
        <v>10075</v>
      </c>
      <c r="E14694" t="s">
        <v>10076</v>
      </c>
      <c r="F14694" t="s">
        <v>56</v>
      </c>
      <c r="G14694" t="s">
        <v>49029</v>
      </c>
      <c r="H14694" t="s">
        <v>47054</v>
      </c>
      <c r="I14694" t="s">
        <v>47114</v>
      </c>
      <c r="J14694" t="s">
        <v>47115</v>
      </c>
      <c r="K14694" t="s">
        <v>47113</v>
      </c>
      <c r="L14694">
        <v>55.42</v>
      </c>
      <c r="M14694">
        <v>114</v>
      </c>
      <c r="N14694">
        <v>0</v>
      </c>
      <c r="O14694">
        <v>114</v>
      </c>
      <c r="P14694">
        <v>0</v>
      </c>
    </row>
    <row r="14695" spans="1:16" x14ac:dyDescent="0.25">
      <c r="A14695" t="s">
        <v>37407</v>
      </c>
      <c r="B14695" t="s">
        <v>10136</v>
      </c>
      <c r="C14695" t="s">
        <v>10137</v>
      </c>
      <c r="D14695" t="s">
        <v>1711</v>
      </c>
      <c r="E14695" t="s">
        <v>1712</v>
      </c>
      <c r="F14695" t="s">
        <v>56</v>
      </c>
      <c r="G14695" t="s">
        <v>49029</v>
      </c>
      <c r="H14695" t="s">
        <v>47054</v>
      </c>
      <c r="I14695" t="s">
        <v>47114</v>
      </c>
      <c r="J14695" t="s">
        <v>47115</v>
      </c>
      <c r="K14695" t="s">
        <v>47113</v>
      </c>
      <c r="L14695">
        <v>56.83</v>
      </c>
      <c r="M14695">
        <v>120</v>
      </c>
      <c r="N14695">
        <v>0</v>
      </c>
      <c r="O14695">
        <v>120</v>
      </c>
      <c r="P14695">
        <v>0</v>
      </c>
    </row>
    <row r="14696" spans="1:16" x14ac:dyDescent="0.25">
      <c r="A14696" t="s">
        <v>37408</v>
      </c>
      <c r="B14696" t="s">
        <v>10138</v>
      </c>
      <c r="C14696" t="s">
        <v>10139</v>
      </c>
      <c r="D14696" t="s">
        <v>10140</v>
      </c>
      <c r="E14696" t="s">
        <v>10141</v>
      </c>
      <c r="F14696" t="s">
        <v>56</v>
      </c>
      <c r="G14696" t="s">
        <v>47093</v>
      </c>
      <c r="H14696" t="s">
        <v>47054</v>
      </c>
      <c r="I14696" t="s">
        <v>47111</v>
      </c>
      <c r="J14696" t="s">
        <v>47112</v>
      </c>
      <c r="K14696" t="s">
        <v>47113</v>
      </c>
      <c r="L14696">
        <v>37.32</v>
      </c>
      <c r="M14696">
        <v>83</v>
      </c>
      <c r="N14696">
        <v>0</v>
      </c>
      <c r="O14696">
        <v>83</v>
      </c>
      <c r="P14696">
        <v>0</v>
      </c>
    </row>
    <row r="14697" spans="1:16" x14ac:dyDescent="0.25">
      <c r="A14697" t="s">
        <v>37409</v>
      </c>
      <c r="B14697" t="s">
        <v>10142</v>
      </c>
      <c r="C14697" t="s">
        <v>10143</v>
      </c>
      <c r="D14697" t="s">
        <v>10140</v>
      </c>
      <c r="E14697" t="s">
        <v>10141</v>
      </c>
      <c r="F14697" t="s">
        <v>56</v>
      </c>
      <c r="G14697" t="s">
        <v>47093</v>
      </c>
      <c r="H14697" t="s">
        <v>47054</v>
      </c>
      <c r="I14697" t="s">
        <v>47111</v>
      </c>
      <c r="J14697" t="s">
        <v>47112</v>
      </c>
      <c r="K14697" t="s">
        <v>47113</v>
      </c>
      <c r="L14697">
        <v>37.32</v>
      </c>
      <c r="M14697">
        <v>83</v>
      </c>
      <c r="N14697">
        <v>0</v>
      </c>
      <c r="O14697">
        <v>83</v>
      </c>
      <c r="P14697">
        <v>0</v>
      </c>
    </row>
    <row r="14698" spans="1:16" x14ac:dyDescent="0.25">
      <c r="A14698" t="s">
        <v>37410</v>
      </c>
      <c r="B14698" t="s">
        <v>10144</v>
      </c>
      <c r="C14698" t="s">
        <v>10145</v>
      </c>
      <c r="D14698" t="s">
        <v>10140</v>
      </c>
      <c r="E14698" t="s">
        <v>10141</v>
      </c>
      <c r="F14698" t="s">
        <v>56</v>
      </c>
      <c r="G14698" t="s">
        <v>47093</v>
      </c>
      <c r="H14698" t="s">
        <v>47054</v>
      </c>
      <c r="I14698" t="s">
        <v>47114</v>
      </c>
      <c r="J14698" t="s">
        <v>47115</v>
      </c>
      <c r="K14698" t="s">
        <v>47113</v>
      </c>
      <c r="L14698">
        <v>35.31</v>
      </c>
      <c r="M14698">
        <v>83</v>
      </c>
      <c r="N14698">
        <v>0</v>
      </c>
      <c r="O14698">
        <v>83</v>
      </c>
      <c r="P14698">
        <v>0</v>
      </c>
    </row>
    <row r="14699" spans="1:16" x14ac:dyDescent="0.25">
      <c r="A14699" t="s">
        <v>37411</v>
      </c>
      <c r="B14699" t="s">
        <v>10146</v>
      </c>
      <c r="C14699" t="s">
        <v>10147</v>
      </c>
      <c r="D14699" t="s">
        <v>10140</v>
      </c>
      <c r="E14699" t="s">
        <v>10141</v>
      </c>
      <c r="F14699" t="s">
        <v>56</v>
      </c>
      <c r="G14699" t="s">
        <v>47093</v>
      </c>
      <c r="H14699" t="s">
        <v>47054</v>
      </c>
      <c r="I14699" t="s">
        <v>47111</v>
      </c>
      <c r="J14699" t="s">
        <v>47112</v>
      </c>
      <c r="K14699" t="s">
        <v>47113</v>
      </c>
      <c r="L14699">
        <v>37.32</v>
      </c>
      <c r="M14699">
        <v>83</v>
      </c>
      <c r="N14699">
        <v>0</v>
      </c>
      <c r="O14699">
        <v>83</v>
      </c>
      <c r="P14699">
        <v>0</v>
      </c>
    </row>
    <row r="14700" spans="1:16" x14ac:dyDescent="0.25">
      <c r="A14700" t="s">
        <v>37412</v>
      </c>
      <c r="B14700" t="s">
        <v>10148</v>
      </c>
      <c r="C14700" t="s">
        <v>10149</v>
      </c>
      <c r="D14700" t="s">
        <v>730</v>
      </c>
      <c r="E14700" t="s">
        <v>731</v>
      </c>
      <c r="F14700" t="s">
        <v>7</v>
      </c>
      <c r="G14700" t="s">
        <v>47093</v>
      </c>
      <c r="H14700" t="s">
        <v>47054</v>
      </c>
      <c r="I14700" t="s">
        <v>47111</v>
      </c>
      <c r="J14700" t="s">
        <v>47112</v>
      </c>
      <c r="K14700" t="s">
        <v>47113</v>
      </c>
      <c r="L14700">
        <v>30.51</v>
      </c>
      <c r="M14700">
        <v>75</v>
      </c>
      <c r="N14700">
        <v>0</v>
      </c>
      <c r="O14700">
        <v>75</v>
      </c>
      <c r="P14700">
        <v>0</v>
      </c>
    </row>
    <row r="14701" spans="1:16" x14ac:dyDescent="0.25">
      <c r="A14701" t="s">
        <v>37413</v>
      </c>
      <c r="B14701" t="s">
        <v>10150</v>
      </c>
      <c r="C14701" t="s">
        <v>10151</v>
      </c>
      <c r="D14701" t="s">
        <v>730</v>
      </c>
      <c r="E14701" t="s">
        <v>731</v>
      </c>
      <c r="F14701" t="s">
        <v>7</v>
      </c>
      <c r="G14701" t="s">
        <v>47093</v>
      </c>
      <c r="H14701" t="s">
        <v>47054</v>
      </c>
      <c r="I14701" t="s">
        <v>47111</v>
      </c>
      <c r="J14701" t="s">
        <v>47112</v>
      </c>
      <c r="K14701" t="s">
        <v>47113</v>
      </c>
      <c r="L14701">
        <v>30.53</v>
      </c>
      <c r="M14701">
        <v>75</v>
      </c>
      <c r="N14701">
        <v>0</v>
      </c>
      <c r="O14701">
        <v>75</v>
      </c>
      <c r="P14701">
        <v>0</v>
      </c>
    </row>
    <row r="14702" spans="1:16" x14ac:dyDescent="0.25">
      <c r="A14702" t="s">
        <v>37414</v>
      </c>
      <c r="B14702" t="s">
        <v>10152</v>
      </c>
      <c r="C14702" t="s">
        <v>10153</v>
      </c>
      <c r="D14702" t="s">
        <v>730</v>
      </c>
      <c r="E14702" t="s">
        <v>731</v>
      </c>
      <c r="F14702" t="s">
        <v>7</v>
      </c>
      <c r="G14702" t="s">
        <v>47093</v>
      </c>
      <c r="H14702" t="s">
        <v>47054</v>
      </c>
      <c r="I14702" t="s">
        <v>47111</v>
      </c>
      <c r="J14702" t="s">
        <v>47112</v>
      </c>
      <c r="K14702" t="s">
        <v>47113</v>
      </c>
      <c r="L14702">
        <v>30.53</v>
      </c>
      <c r="M14702">
        <v>75</v>
      </c>
      <c r="N14702">
        <v>0</v>
      </c>
      <c r="O14702">
        <v>75</v>
      </c>
      <c r="P14702">
        <v>0</v>
      </c>
    </row>
    <row r="14703" spans="1:16" x14ac:dyDescent="0.25">
      <c r="A14703" t="s">
        <v>37415</v>
      </c>
      <c r="B14703" t="s">
        <v>10152</v>
      </c>
      <c r="C14703" t="s">
        <v>10153</v>
      </c>
      <c r="D14703" t="s">
        <v>10154</v>
      </c>
      <c r="E14703" t="s">
        <v>10155</v>
      </c>
      <c r="F14703" t="s">
        <v>7</v>
      </c>
      <c r="G14703" t="s">
        <v>47093</v>
      </c>
      <c r="H14703" t="s">
        <v>47054</v>
      </c>
      <c r="I14703" t="s">
        <v>47111</v>
      </c>
      <c r="J14703" t="s">
        <v>47112</v>
      </c>
      <c r="K14703" t="s">
        <v>47113</v>
      </c>
      <c r="L14703">
        <v>32.25</v>
      </c>
      <c r="M14703">
        <v>80</v>
      </c>
      <c r="N14703">
        <v>0</v>
      </c>
      <c r="O14703">
        <v>80</v>
      </c>
      <c r="P14703">
        <v>0</v>
      </c>
    </row>
    <row r="14704" spans="1:16" x14ac:dyDescent="0.25">
      <c r="A14704" t="s">
        <v>37416</v>
      </c>
      <c r="B14704" t="s">
        <v>10156</v>
      </c>
      <c r="C14704" t="s">
        <v>1372</v>
      </c>
      <c r="D14704" t="s">
        <v>311</v>
      </c>
      <c r="E14704" t="s">
        <v>312</v>
      </c>
      <c r="F14704" t="s">
        <v>7</v>
      </c>
      <c r="G14704" t="s">
        <v>47093</v>
      </c>
      <c r="H14704" t="s">
        <v>47054</v>
      </c>
      <c r="I14704" t="s">
        <v>47111</v>
      </c>
      <c r="J14704" t="s">
        <v>47112</v>
      </c>
      <c r="K14704" t="s">
        <v>47113</v>
      </c>
      <c r="L14704">
        <v>29.2</v>
      </c>
      <c r="M14704">
        <v>79</v>
      </c>
      <c r="N14704">
        <v>0</v>
      </c>
      <c r="O14704">
        <v>79</v>
      </c>
      <c r="P14704">
        <v>0</v>
      </c>
    </row>
    <row r="14705" spans="1:16" x14ac:dyDescent="0.25">
      <c r="A14705" t="s">
        <v>37417</v>
      </c>
      <c r="B14705" t="s">
        <v>10156</v>
      </c>
      <c r="C14705" t="s">
        <v>1372</v>
      </c>
      <c r="D14705" t="s">
        <v>730</v>
      </c>
      <c r="E14705" t="s">
        <v>731</v>
      </c>
      <c r="F14705" t="s">
        <v>7</v>
      </c>
      <c r="G14705" t="s">
        <v>47093</v>
      </c>
      <c r="H14705" t="s">
        <v>47054</v>
      </c>
      <c r="I14705" t="s">
        <v>47111</v>
      </c>
      <c r="J14705" t="s">
        <v>47112</v>
      </c>
      <c r="K14705" t="s">
        <v>47113</v>
      </c>
      <c r="L14705">
        <v>35.11</v>
      </c>
      <c r="M14705">
        <v>78</v>
      </c>
      <c r="N14705">
        <v>0</v>
      </c>
      <c r="O14705">
        <v>78</v>
      </c>
      <c r="P14705">
        <v>0</v>
      </c>
    </row>
    <row r="14706" spans="1:16" x14ac:dyDescent="0.25">
      <c r="A14706" t="s">
        <v>308</v>
      </c>
      <c r="B14706" t="s">
        <v>309</v>
      </c>
      <c r="C14706" t="s">
        <v>310</v>
      </c>
      <c r="D14706" t="s">
        <v>311</v>
      </c>
      <c r="E14706" t="s">
        <v>312</v>
      </c>
      <c r="F14706" t="s">
        <v>7</v>
      </c>
      <c r="G14706" t="s">
        <v>47093</v>
      </c>
      <c r="H14706" t="s">
        <v>47054</v>
      </c>
      <c r="I14706" t="s">
        <v>47111</v>
      </c>
      <c r="J14706" t="s">
        <v>47112</v>
      </c>
      <c r="K14706" t="s">
        <v>47113</v>
      </c>
      <c r="L14706">
        <v>28.52</v>
      </c>
      <c r="M14706">
        <v>72</v>
      </c>
      <c r="N14706">
        <v>0</v>
      </c>
      <c r="O14706">
        <v>72</v>
      </c>
      <c r="P14706">
        <v>0</v>
      </c>
    </row>
    <row r="14707" spans="1:16" x14ac:dyDescent="0.25">
      <c r="A14707" t="s">
        <v>37418</v>
      </c>
      <c r="B14707" t="s">
        <v>309</v>
      </c>
      <c r="C14707" t="s">
        <v>310</v>
      </c>
      <c r="D14707" t="s">
        <v>730</v>
      </c>
      <c r="E14707" t="s">
        <v>731</v>
      </c>
      <c r="F14707" t="s">
        <v>7</v>
      </c>
      <c r="G14707" t="s">
        <v>47093</v>
      </c>
      <c r="H14707" t="s">
        <v>47054</v>
      </c>
      <c r="I14707" t="s">
        <v>47111</v>
      </c>
      <c r="J14707" t="s">
        <v>47112</v>
      </c>
      <c r="K14707" t="s">
        <v>47113</v>
      </c>
      <c r="L14707">
        <v>32.6</v>
      </c>
      <c r="M14707">
        <v>80</v>
      </c>
      <c r="N14707">
        <v>0</v>
      </c>
      <c r="O14707">
        <v>80</v>
      </c>
      <c r="P14707">
        <v>0</v>
      </c>
    </row>
    <row r="14708" spans="1:16" x14ac:dyDescent="0.25">
      <c r="A14708" t="s">
        <v>37419</v>
      </c>
      <c r="B14708" t="s">
        <v>10157</v>
      </c>
      <c r="C14708" t="s">
        <v>10158</v>
      </c>
      <c r="D14708" t="str">
        <f>"11"</f>
        <v>11</v>
      </c>
      <c r="E14708" t="s">
        <v>288</v>
      </c>
      <c r="F14708" t="s">
        <v>5</v>
      </c>
      <c r="G14708" t="s">
        <v>47093</v>
      </c>
      <c r="H14708" t="s">
        <v>47054</v>
      </c>
      <c r="I14708" t="s">
        <v>47111</v>
      </c>
      <c r="J14708" t="s">
        <v>47112</v>
      </c>
      <c r="K14708" t="s">
        <v>47113</v>
      </c>
      <c r="L14708">
        <v>28.63</v>
      </c>
      <c r="M14708">
        <v>70</v>
      </c>
      <c r="N14708">
        <v>0</v>
      </c>
      <c r="O14708">
        <v>70</v>
      </c>
      <c r="P14708">
        <v>0</v>
      </c>
    </row>
    <row r="14709" spans="1:16" x14ac:dyDescent="0.25">
      <c r="A14709" t="s">
        <v>37420</v>
      </c>
      <c r="B14709" t="s">
        <v>10157</v>
      </c>
      <c r="C14709" t="s">
        <v>10158</v>
      </c>
      <c r="D14709" t="str">
        <f>"40"</f>
        <v>40</v>
      </c>
      <c r="E14709" t="s">
        <v>31</v>
      </c>
      <c r="F14709" t="s">
        <v>5</v>
      </c>
      <c r="G14709" t="s">
        <v>47093</v>
      </c>
      <c r="H14709" t="s">
        <v>47054</v>
      </c>
      <c r="I14709" t="s">
        <v>47111</v>
      </c>
      <c r="J14709" t="s">
        <v>47112</v>
      </c>
      <c r="K14709" t="s">
        <v>47113</v>
      </c>
      <c r="L14709">
        <v>29.5</v>
      </c>
      <c r="M14709">
        <v>78</v>
      </c>
      <c r="N14709">
        <v>0</v>
      </c>
      <c r="O14709">
        <v>78</v>
      </c>
      <c r="P14709">
        <v>0</v>
      </c>
    </row>
    <row r="14710" spans="1:16" x14ac:dyDescent="0.25">
      <c r="A14710" t="s">
        <v>37421</v>
      </c>
      <c r="B14710" t="s">
        <v>10157</v>
      </c>
      <c r="C14710" t="s">
        <v>10158</v>
      </c>
      <c r="D14710" t="s">
        <v>10071</v>
      </c>
      <c r="E14710" t="s">
        <v>10072</v>
      </c>
      <c r="F14710" t="s">
        <v>5</v>
      </c>
      <c r="G14710" t="s">
        <v>47093</v>
      </c>
      <c r="H14710" t="s">
        <v>47054</v>
      </c>
      <c r="I14710" t="s">
        <v>47111</v>
      </c>
      <c r="J14710" t="s">
        <v>47112</v>
      </c>
      <c r="K14710" t="s">
        <v>47113</v>
      </c>
      <c r="L14710">
        <v>35.28</v>
      </c>
      <c r="M14710">
        <v>85</v>
      </c>
      <c r="N14710">
        <v>0</v>
      </c>
      <c r="O14710">
        <v>85</v>
      </c>
      <c r="P14710">
        <v>0</v>
      </c>
    </row>
    <row r="14711" spans="1:16" x14ac:dyDescent="0.25">
      <c r="A14711" t="s">
        <v>37422</v>
      </c>
      <c r="B14711" t="s">
        <v>10157</v>
      </c>
      <c r="C14711" t="s">
        <v>10158</v>
      </c>
      <c r="D14711" t="s">
        <v>10062</v>
      </c>
      <c r="E14711" t="s">
        <v>10063</v>
      </c>
      <c r="F14711" t="s">
        <v>5</v>
      </c>
      <c r="G14711" t="s">
        <v>47093</v>
      </c>
      <c r="H14711" t="s">
        <v>47054</v>
      </c>
      <c r="I14711" t="s">
        <v>47111</v>
      </c>
      <c r="J14711" t="s">
        <v>47112</v>
      </c>
      <c r="K14711" t="s">
        <v>47113</v>
      </c>
      <c r="L14711">
        <v>36.15</v>
      </c>
      <c r="M14711">
        <v>70</v>
      </c>
      <c r="N14711">
        <v>0</v>
      </c>
      <c r="O14711">
        <v>70</v>
      </c>
      <c r="P14711">
        <v>0</v>
      </c>
    </row>
    <row r="14712" spans="1:16" x14ac:dyDescent="0.25">
      <c r="A14712" t="s">
        <v>37423</v>
      </c>
      <c r="B14712" t="s">
        <v>10157</v>
      </c>
      <c r="C14712" t="s">
        <v>10158</v>
      </c>
      <c r="D14712" t="s">
        <v>10064</v>
      </c>
      <c r="E14712" t="s">
        <v>10065</v>
      </c>
      <c r="F14712" t="s">
        <v>5</v>
      </c>
      <c r="G14712" t="s">
        <v>47093</v>
      </c>
      <c r="H14712" t="s">
        <v>47054</v>
      </c>
      <c r="I14712" t="s">
        <v>47111</v>
      </c>
      <c r="J14712" t="s">
        <v>47112</v>
      </c>
      <c r="K14712" t="s">
        <v>47113</v>
      </c>
      <c r="L14712">
        <v>35.28</v>
      </c>
      <c r="M14712">
        <v>72</v>
      </c>
      <c r="N14712">
        <v>0</v>
      </c>
      <c r="O14712">
        <v>72</v>
      </c>
      <c r="P14712">
        <v>0</v>
      </c>
    </row>
    <row r="14713" spans="1:16" x14ac:dyDescent="0.25">
      <c r="A14713" t="s">
        <v>37424</v>
      </c>
      <c r="B14713" t="s">
        <v>10159</v>
      </c>
      <c r="C14713" t="s">
        <v>10160</v>
      </c>
      <c r="D14713" t="str">
        <f>"11"</f>
        <v>11</v>
      </c>
      <c r="E14713" t="s">
        <v>288</v>
      </c>
      <c r="F14713" t="s">
        <v>5</v>
      </c>
      <c r="G14713" t="s">
        <v>47093</v>
      </c>
      <c r="H14713" t="s">
        <v>47054</v>
      </c>
      <c r="I14713" t="s">
        <v>47111</v>
      </c>
      <c r="J14713" t="s">
        <v>47112</v>
      </c>
      <c r="K14713" t="s">
        <v>47113</v>
      </c>
      <c r="L14713">
        <v>32.770000000000003</v>
      </c>
      <c r="M14713">
        <v>73</v>
      </c>
      <c r="N14713">
        <v>0</v>
      </c>
      <c r="O14713">
        <v>73</v>
      </c>
      <c r="P14713">
        <v>0</v>
      </c>
    </row>
    <row r="14714" spans="1:16" x14ac:dyDescent="0.25">
      <c r="A14714" t="s">
        <v>37425</v>
      </c>
      <c r="B14714" t="s">
        <v>10159</v>
      </c>
      <c r="C14714" t="s">
        <v>10160</v>
      </c>
      <c r="D14714" t="str">
        <f>"40"</f>
        <v>40</v>
      </c>
      <c r="E14714" t="s">
        <v>31</v>
      </c>
      <c r="F14714" t="s">
        <v>5</v>
      </c>
      <c r="G14714" t="s">
        <v>47093</v>
      </c>
      <c r="H14714" t="s">
        <v>47054</v>
      </c>
      <c r="I14714" t="s">
        <v>47111</v>
      </c>
      <c r="J14714" t="s">
        <v>47112</v>
      </c>
      <c r="K14714" t="s">
        <v>47113</v>
      </c>
      <c r="L14714">
        <v>32.93</v>
      </c>
      <c r="M14714">
        <v>77</v>
      </c>
      <c r="N14714">
        <v>0</v>
      </c>
      <c r="O14714">
        <v>77</v>
      </c>
      <c r="P14714">
        <v>0</v>
      </c>
    </row>
    <row r="14715" spans="1:16" x14ac:dyDescent="0.25">
      <c r="A14715" t="s">
        <v>37426</v>
      </c>
      <c r="B14715" t="s">
        <v>10159</v>
      </c>
      <c r="C14715" t="s">
        <v>10160</v>
      </c>
      <c r="D14715" t="s">
        <v>10062</v>
      </c>
      <c r="E14715" t="s">
        <v>10063</v>
      </c>
      <c r="F14715" t="s">
        <v>5</v>
      </c>
      <c r="G14715" t="s">
        <v>47093</v>
      </c>
      <c r="H14715" t="s">
        <v>47054</v>
      </c>
      <c r="I14715" t="s">
        <v>47111</v>
      </c>
      <c r="J14715" t="s">
        <v>47112</v>
      </c>
      <c r="K14715" t="s">
        <v>47113</v>
      </c>
      <c r="L14715">
        <v>29.55</v>
      </c>
      <c r="M14715">
        <v>69</v>
      </c>
      <c r="N14715">
        <v>0</v>
      </c>
      <c r="O14715">
        <v>69</v>
      </c>
      <c r="P14715">
        <v>0</v>
      </c>
    </row>
    <row r="14716" spans="1:16" x14ac:dyDescent="0.25">
      <c r="A14716" t="s">
        <v>37427</v>
      </c>
      <c r="B14716" t="s">
        <v>10159</v>
      </c>
      <c r="C14716" t="s">
        <v>10160</v>
      </c>
      <c r="D14716" t="s">
        <v>10064</v>
      </c>
      <c r="E14716" t="s">
        <v>10065</v>
      </c>
      <c r="F14716" t="s">
        <v>5</v>
      </c>
      <c r="G14716" t="s">
        <v>47093</v>
      </c>
      <c r="H14716" t="s">
        <v>47054</v>
      </c>
      <c r="I14716" t="s">
        <v>47111</v>
      </c>
      <c r="J14716" t="s">
        <v>47112</v>
      </c>
      <c r="K14716" t="s">
        <v>47113</v>
      </c>
      <c r="L14716">
        <v>29.26</v>
      </c>
      <c r="M14716">
        <v>69</v>
      </c>
      <c r="N14716">
        <v>0</v>
      </c>
      <c r="O14716">
        <v>69</v>
      </c>
      <c r="P14716">
        <v>0</v>
      </c>
    </row>
    <row r="14717" spans="1:16" x14ac:dyDescent="0.25">
      <c r="A14717" t="s">
        <v>37428</v>
      </c>
      <c r="B14717" t="s">
        <v>10161</v>
      </c>
      <c r="C14717" t="s">
        <v>97</v>
      </c>
      <c r="D14717" t="str">
        <f>"1001"</f>
        <v>1001</v>
      </c>
      <c r="E14717" t="s">
        <v>42</v>
      </c>
      <c r="F14717" t="s">
        <v>4</v>
      </c>
      <c r="G14717" t="s">
        <v>47098</v>
      </c>
      <c r="H14717" t="s">
        <v>47126</v>
      </c>
      <c r="I14717" t="s">
        <v>47127</v>
      </c>
      <c r="J14717" t="s">
        <v>47128</v>
      </c>
      <c r="K14717" t="s">
        <v>47113</v>
      </c>
      <c r="L14717">
        <v>41.29</v>
      </c>
      <c r="M14717">
        <v>90</v>
      </c>
      <c r="N14717">
        <v>0</v>
      </c>
      <c r="O14717">
        <v>90</v>
      </c>
      <c r="P14717">
        <v>0</v>
      </c>
    </row>
    <row r="14718" spans="1:16" x14ac:dyDescent="0.25">
      <c r="A14718" t="s">
        <v>37429</v>
      </c>
      <c r="B14718" t="s">
        <v>10161</v>
      </c>
      <c r="C14718" t="s">
        <v>97</v>
      </c>
      <c r="D14718" t="str">
        <f>"1377"</f>
        <v>1377</v>
      </c>
      <c r="E14718" t="s">
        <v>74</v>
      </c>
      <c r="F14718" t="s">
        <v>4</v>
      </c>
      <c r="G14718" t="s">
        <v>47098</v>
      </c>
      <c r="H14718" t="s">
        <v>47126</v>
      </c>
      <c r="I14718" t="s">
        <v>47127</v>
      </c>
      <c r="J14718" t="s">
        <v>47128</v>
      </c>
      <c r="K14718" t="s">
        <v>47113</v>
      </c>
      <c r="L14718">
        <v>41.29</v>
      </c>
      <c r="M14718">
        <v>90</v>
      </c>
      <c r="N14718">
        <v>0</v>
      </c>
      <c r="O14718">
        <v>90</v>
      </c>
      <c r="P14718">
        <v>0</v>
      </c>
    </row>
    <row r="14719" spans="1:16" x14ac:dyDescent="0.25">
      <c r="A14719" t="s">
        <v>37430</v>
      </c>
      <c r="B14719" t="s">
        <v>10161</v>
      </c>
      <c r="C14719" t="s">
        <v>97</v>
      </c>
      <c r="D14719" t="str">
        <f>"2174"</f>
        <v>2174</v>
      </c>
      <c r="E14719" t="s">
        <v>10162</v>
      </c>
      <c r="F14719" t="s">
        <v>4</v>
      </c>
      <c r="G14719" t="s">
        <v>47098</v>
      </c>
      <c r="H14719" t="s">
        <v>47126</v>
      </c>
      <c r="I14719" t="s">
        <v>47127</v>
      </c>
      <c r="J14719" t="s">
        <v>47128</v>
      </c>
      <c r="K14719" t="s">
        <v>47113</v>
      </c>
      <c r="L14719">
        <v>41.29</v>
      </c>
      <c r="M14719">
        <v>90</v>
      </c>
      <c r="N14719">
        <v>0</v>
      </c>
      <c r="O14719">
        <v>90</v>
      </c>
      <c r="P14719">
        <v>0</v>
      </c>
    </row>
    <row r="14720" spans="1:16" x14ac:dyDescent="0.25">
      <c r="A14720" t="s">
        <v>37431</v>
      </c>
      <c r="B14720" t="s">
        <v>10161</v>
      </c>
      <c r="C14720" t="s">
        <v>97</v>
      </c>
      <c r="D14720" t="str">
        <f>"3467"</f>
        <v>3467</v>
      </c>
      <c r="E14720" t="s">
        <v>10163</v>
      </c>
      <c r="F14720" t="s">
        <v>4</v>
      </c>
      <c r="G14720" t="s">
        <v>47098</v>
      </c>
      <c r="H14720" t="s">
        <v>47126</v>
      </c>
      <c r="I14720" t="s">
        <v>47127</v>
      </c>
      <c r="J14720" t="s">
        <v>47128</v>
      </c>
      <c r="K14720" t="s">
        <v>47113</v>
      </c>
      <c r="L14720">
        <v>41.29</v>
      </c>
      <c r="M14720">
        <v>90</v>
      </c>
      <c r="N14720">
        <v>0</v>
      </c>
      <c r="O14720">
        <v>90</v>
      </c>
      <c r="P14720">
        <v>0</v>
      </c>
    </row>
    <row r="14721" spans="1:16" x14ac:dyDescent="0.25">
      <c r="A14721" t="s">
        <v>37432</v>
      </c>
      <c r="B14721" t="s">
        <v>10161</v>
      </c>
      <c r="C14721" t="s">
        <v>97</v>
      </c>
      <c r="D14721" t="str">
        <f>"5342"</f>
        <v>5342</v>
      </c>
      <c r="E14721" t="s">
        <v>77</v>
      </c>
      <c r="F14721" t="s">
        <v>4</v>
      </c>
      <c r="G14721" t="s">
        <v>47098</v>
      </c>
      <c r="H14721" t="s">
        <v>47126</v>
      </c>
      <c r="I14721" t="s">
        <v>47127</v>
      </c>
      <c r="J14721" t="s">
        <v>47128</v>
      </c>
      <c r="K14721" t="s">
        <v>47113</v>
      </c>
      <c r="L14721">
        <v>41.29</v>
      </c>
      <c r="M14721">
        <v>90</v>
      </c>
      <c r="N14721">
        <v>0</v>
      </c>
      <c r="O14721">
        <v>90</v>
      </c>
      <c r="P14721">
        <v>0</v>
      </c>
    </row>
    <row r="14722" spans="1:16" x14ac:dyDescent="0.25">
      <c r="A14722" t="s">
        <v>37433</v>
      </c>
      <c r="B14722" t="s">
        <v>10161</v>
      </c>
      <c r="C14722" t="s">
        <v>97</v>
      </c>
      <c r="D14722" t="str">
        <f>"6000"</f>
        <v>6000</v>
      </c>
      <c r="E14722" t="s">
        <v>238</v>
      </c>
      <c r="F14722" t="s">
        <v>4</v>
      </c>
      <c r="G14722" t="s">
        <v>47098</v>
      </c>
      <c r="H14722" t="s">
        <v>47126</v>
      </c>
      <c r="I14722" t="s">
        <v>47127</v>
      </c>
      <c r="J14722" t="s">
        <v>47128</v>
      </c>
      <c r="K14722" t="s">
        <v>47113</v>
      </c>
      <c r="L14722">
        <v>41.29</v>
      </c>
      <c r="M14722">
        <v>90</v>
      </c>
      <c r="N14722">
        <v>0</v>
      </c>
      <c r="O14722">
        <v>90</v>
      </c>
      <c r="P14722">
        <v>0</v>
      </c>
    </row>
    <row r="14723" spans="1:16" x14ac:dyDescent="0.25">
      <c r="A14723" t="s">
        <v>37434</v>
      </c>
      <c r="B14723" t="s">
        <v>10164</v>
      </c>
      <c r="C14723" t="s">
        <v>10165</v>
      </c>
      <c r="D14723" t="str">
        <f>"1285"</f>
        <v>1285</v>
      </c>
      <c r="E14723" t="s">
        <v>2148</v>
      </c>
      <c r="F14723" t="s">
        <v>4</v>
      </c>
      <c r="G14723" t="s">
        <v>47095</v>
      </c>
      <c r="H14723" t="s">
        <v>47126</v>
      </c>
      <c r="I14723" t="s">
        <v>47127</v>
      </c>
      <c r="J14723" t="s">
        <v>47128</v>
      </c>
      <c r="K14723" t="s">
        <v>47113</v>
      </c>
      <c r="L14723">
        <v>22.14</v>
      </c>
      <c r="M14723">
        <v>48</v>
      </c>
      <c r="N14723">
        <v>0</v>
      </c>
      <c r="O14723">
        <v>48</v>
      </c>
      <c r="P14723">
        <v>0</v>
      </c>
    </row>
    <row r="14724" spans="1:16" x14ac:dyDescent="0.25">
      <c r="A14724" t="s">
        <v>37435</v>
      </c>
      <c r="B14724" t="s">
        <v>10166</v>
      </c>
      <c r="C14724" t="s">
        <v>10167</v>
      </c>
      <c r="D14724" t="str">
        <f>"1001"</f>
        <v>1001</v>
      </c>
      <c r="E14724" t="s">
        <v>42</v>
      </c>
      <c r="F14724" t="s">
        <v>4</v>
      </c>
      <c r="G14724" t="s">
        <v>47091</v>
      </c>
      <c r="H14724" t="s">
        <v>47126</v>
      </c>
      <c r="I14724" t="s">
        <v>47127</v>
      </c>
      <c r="J14724" t="s">
        <v>47128</v>
      </c>
      <c r="K14724" t="s">
        <v>47113</v>
      </c>
      <c r="L14724">
        <v>13.04</v>
      </c>
      <c r="M14724">
        <v>28</v>
      </c>
      <c r="N14724">
        <v>0</v>
      </c>
      <c r="O14724">
        <v>28</v>
      </c>
      <c r="P14724">
        <v>0</v>
      </c>
    </row>
    <row r="14725" spans="1:16" x14ac:dyDescent="0.25">
      <c r="A14725" t="s">
        <v>37436</v>
      </c>
      <c r="B14725" t="s">
        <v>10166</v>
      </c>
      <c r="C14725" t="s">
        <v>10167</v>
      </c>
      <c r="D14725" t="str">
        <f>"1377"</f>
        <v>1377</v>
      </c>
      <c r="E14725" t="s">
        <v>74</v>
      </c>
      <c r="F14725" t="s">
        <v>4</v>
      </c>
      <c r="G14725" t="s">
        <v>47091</v>
      </c>
      <c r="H14725" t="s">
        <v>47126</v>
      </c>
      <c r="I14725" t="s">
        <v>47127</v>
      </c>
      <c r="J14725" t="s">
        <v>47128</v>
      </c>
      <c r="K14725" t="s">
        <v>47113</v>
      </c>
      <c r="L14725">
        <v>13.04</v>
      </c>
      <c r="M14725">
        <v>28</v>
      </c>
      <c r="N14725">
        <v>0</v>
      </c>
      <c r="O14725">
        <v>28</v>
      </c>
      <c r="P14725">
        <v>0</v>
      </c>
    </row>
    <row r="14726" spans="1:16" x14ac:dyDescent="0.25">
      <c r="A14726" t="s">
        <v>37437</v>
      </c>
      <c r="B14726" t="s">
        <v>10166</v>
      </c>
      <c r="C14726" t="s">
        <v>10167</v>
      </c>
      <c r="D14726" t="str">
        <f>"1700"</f>
        <v>1700</v>
      </c>
      <c r="E14726" t="s">
        <v>60</v>
      </c>
      <c r="F14726" t="s">
        <v>4</v>
      </c>
      <c r="G14726" t="s">
        <v>47091</v>
      </c>
      <c r="H14726" t="s">
        <v>47126</v>
      </c>
      <c r="I14726" t="s">
        <v>47127</v>
      </c>
      <c r="J14726" t="s">
        <v>47128</v>
      </c>
      <c r="K14726" t="s">
        <v>47113</v>
      </c>
      <c r="L14726">
        <v>13.04</v>
      </c>
      <c r="M14726">
        <v>28</v>
      </c>
      <c r="N14726">
        <v>0</v>
      </c>
      <c r="O14726">
        <v>28</v>
      </c>
      <c r="P14726">
        <v>0</v>
      </c>
    </row>
    <row r="14727" spans="1:16" x14ac:dyDescent="0.25">
      <c r="A14727" t="s">
        <v>37438</v>
      </c>
      <c r="B14727" t="s">
        <v>10166</v>
      </c>
      <c r="C14727" t="s">
        <v>10167</v>
      </c>
      <c r="D14727" t="str">
        <f>"2602"</f>
        <v>2602</v>
      </c>
      <c r="E14727" t="s">
        <v>2307</v>
      </c>
      <c r="F14727" t="s">
        <v>4</v>
      </c>
      <c r="G14727" t="s">
        <v>47091</v>
      </c>
      <c r="H14727" t="s">
        <v>47126</v>
      </c>
      <c r="I14727" t="s">
        <v>47127</v>
      </c>
      <c r="J14727" t="s">
        <v>47128</v>
      </c>
      <c r="K14727" t="s">
        <v>47113</v>
      </c>
      <c r="L14727">
        <v>13.04</v>
      </c>
      <c r="M14727">
        <v>28</v>
      </c>
      <c r="N14727">
        <v>0</v>
      </c>
      <c r="O14727">
        <v>28</v>
      </c>
      <c r="P14727">
        <v>0</v>
      </c>
    </row>
    <row r="14728" spans="1:16" x14ac:dyDescent="0.25">
      <c r="A14728" t="s">
        <v>37439</v>
      </c>
      <c r="B14728" t="s">
        <v>10166</v>
      </c>
      <c r="C14728" t="s">
        <v>10167</v>
      </c>
      <c r="D14728" t="str">
        <f>"3467"</f>
        <v>3467</v>
      </c>
      <c r="E14728" t="s">
        <v>10163</v>
      </c>
      <c r="F14728" t="s">
        <v>4</v>
      </c>
      <c r="G14728" t="s">
        <v>47091</v>
      </c>
      <c r="H14728" t="s">
        <v>47126</v>
      </c>
      <c r="I14728" t="s">
        <v>47127</v>
      </c>
      <c r="J14728" t="s">
        <v>47128</v>
      </c>
      <c r="K14728" t="s">
        <v>47113</v>
      </c>
      <c r="L14728">
        <v>13.04</v>
      </c>
      <c r="M14728">
        <v>28</v>
      </c>
      <c r="N14728">
        <v>0</v>
      </c>
      <c r="O14728">
        <v>28</v>
      </c>
      <c r="P14728">
        <v>0</v>
      </c>
    </row>
    <row r="14729" spans="1:16" x14ac:dyDescent="0.25">
      <c r="A14729" t="s">
        <v>37440</v>
      </c>
      <c r="B14729" t="s">
        <v>10168</v>
      </c>
      <c r="C14729" t="s">
        <v>314</v>
      </c>
      <c r="D14729" t="str">
        <f>"1001"</f>
        <v>1001</v>
      </c>
      <c r="E14729" t="s">
        <v>42</v>
      </c>
      <c r="F14729" t="s">
        <v>4</v>
      </c>
      <c r="G14729" t="s">
        <v>47091</v>
      </c>
      <c r="H14729" t="s">
        <v>47126</v>
      </c>
      <c r="I14729" t="s">
        <v>47127</v>
      </c>
      <c r="J14729" t="s">
        <v>47128</v>
      </c>
      <c r="K14729" t="s">
        <v>47113</v>
      </c>
      <c r="L14729">
        <v>14.96</v>
      </c>
      <c r="M14729">
        <v>33</v>
      </c>
      <c r="N14729">
        <v>0</v>
      </c>
      <c r="O14729">
        <v>33</v>
      </c>
      <c r="P14729">
        <v>0</v>
      </c>
    </row>
    <row r="14730" spans="1:16" x14ac:dyDescent="0.25">
      <c r="A14730" t="s">
        <v>37441</v>
      </c>
      <c r="B14730" t="s">
        <v>10168</v>
      </c>
      <c r="C14730" t="s">
        <v>314</v>
      </c>
      <c r="D14730" t="str">
        <f>"1377"</f>
        <v>1377</v>
      </c>
      <c r="E14730" t="s">
        <v>74</v>
      </c>
      <c r="F14730" t="s">
        <v>4</v>
      </c>
      <c r="G14730" t="s">
        <v>47091</v>
      </c>
      <c r="H14730" t="s">
        <v>47126</v>
      </c>
      <c r="I14730" t="s">
        <v>47127</v>
      </c>
      <c r="J14730" t="s">
        <v>47128</v>
      </c>
      <c r="K14730" t="s">
        <v>47113</v>
      </c>
      <c r="L14730">
        <v>14.96</v>
      </c>
      <c r="M14730">
        <v>33</v>
      </c>
      <c r="N14730">
        <v>0</v>
      </c>
      <c r="O14730">
        <v>33</v>
      </c>
      <c r="P14730">
        <v>0</v>
      </c>
    </row>
    <row r="14731" spans="1:16" x14ac:dyDescent="0.25">
      <c r="A14731" t="s">
        <v>37442</v>
      </c>
      <c r="B14731" t="s">
        <v>10168</v>
      </c>
      <c r="C14731" t="s">
        <v>314</v>
      </c>
      <c r="D14731" t="str">
        <f>"1700"</f>
        <v>1700</v>
      </c>
      <c r="E14731" t="s">
        <v>60</v>
      </c>
      <c r="F14731" t="s">
        <v>4</v>
      </c>
      <c r="G14731" t="s">
        <v>47091</v>
      </c>
      <c r="H14731" t="s">
        <v>47126</v>
      </c>
      <c r="I14731" t="s">
        <v>47127</v>
      </c>
      <c r="J14731" t="s">
        <v>47128</v>
      </c>
      <c r="K14731" t="s">
        <v>47113</v>
      </c>
      <c r="L14731">
        <v>14.96</v>
      </c>
      <c r="M14731">
        <v>33</v>
      </c>
      <c r="N14731">
        <v>0</v>
      </c>
      <c r="O14731">
        <v>33</v>
      </c>
      <c r="P14731">
        <v>0</v>
      </c>
    </row>
    <row r="14732" spans="1:16" x14ac:dyDescent="0.25">
      <c r="A14732" t="s">
        <v>37443</v>
      </c>
      <c r="B14732" t="s">
        <v>10168</v>
      </c>
      <c r="C14732" t="s">
        <v>314</v>
      </c>
      <c r="D14732" t="str">
        <f>"2174"</f>
        <v>2174</v>
      </c>
      <c r="E14732" t="s">
        <v>10162</v>
      </c>
      <c r="F14732" t="s">
        <v>4</v>
      </c>
      <c r="G14732" t="s">
        <v>47091</v>
      </c>
      <c r="H14732" t="s">
        <v>47126</v>
      </c>
      <c r="I14732" t="s">
        <v>47127</v>
      </c>
      <c r="J14732" t="s">
        <v>47128</v>
      </c>
      <c r="K14732" t="s">
        <v>47113</v>
      </c>
      <c r="L14732">
        <v>14.96</v>
      </c>
      <c r="M14732">
        <v>33</v>
      </c>
      <c r="N14732">
        <v>0</v>
      </c>
      <c r="O14732">
        <v>33</v>
      </c>
      <c r="P14732">
        <v>0</v>
      </c>
    </row>
    <row r="14733" spans="1:16" x14ac:dyDescent="0.25">
      <c r="A14733" t="s">
        <v>37444</v>
      </c>
      <c r="B14733" t="s">
        <v>10168</v>
      </c>
      <c r="C14733" t="s">
        <v>314</v>
      </c>
      <c r="D14733" t="str">
        <f>"3467"</f>
        <v>3467</v>
      </c>
      <c r="E14733" t="s">
        <v>10163</v>
      </c>
      <c r="F14733" t="s">
        <v>4</v>
      </c>
      <c r="G14733" t="s">
        <v>47091</v>
      </c>
      <c r="H14733" t="s">
        <v>47126</v>
      </c>
      <c r="I14733" t="s">
        <v>47127</v>
      </c>
      <c r="J14733" t="s">
        <v>47128</v>
      </c>
      <c r="K14733" t="s">
        <v>47113</v>
      </c>
      <c r="L14733">
        <v>14.96</v>
      </c>
      <c r="M14733">
        <v>33</v>
      </c>
      <c r="N14733">
        <v>0</v>
      </c>
      <c r="O14733">
        <v>33</v>
      </c>
      <c r="P14733">
        <v>0</v>
      </c>
    </row>
    <row r="14734" spans="1:16" x14ac:dyDescent="0.25">
      <c r="A14734" t="s">
        <v>37445</v>
      </c>
      <c r="B14734" t="s">
        <v>10169</v>
      </c>
      <c r="C14734" t="s">
        <v>314</v>
      </c>
      <c r="D14734" t="str">
        <f>"1001"</f>
        <v>1001</v>
      </c>
      <c r="E14734" t="s">
        <v>42</v>
      </c>
      <c r="F14734" t="s">
        <v>4</v>
      </c>
      <c r="G14734" t="s">
        <v>47091</v>
      </c>
      <c r="H14734" t="s">
        <v>47126</v>
      </c>
      <c r="I14734" t="s">
        <v>47127</v>
      </c>
      <c r="J14734" t="s">
        <v>47128</v>
      </c>
      <c r="K14734" t="s">
        <v>47113</v>
      </c>
      <c r="L14734">
        <v>12.21</v>
      </c>
      <c r="M14734">
        <v>27</v>
      </c>
      <c r="N14734">
        <v>0</v>
      </c>
      <c r="O14734">
        <v>27</v>
      </c>
      <c r="P14734">
        <v>0</v>
      </c>
    </row>
    <row r="14735" spans="1:16" x14ac:dyDescent="0.25">
      <c r="A14735" t="s">
        <v>37446</v>
      </c>
      <c r="B14735" t="s">
        <v>10169</v>
      </c>
      <c r="C14735" t="s">
        <v>314</v>
      </c>
      <c r="D14735" t="str">
        <f>"1377"</f>
        <v>1377</v>
      </c>
      <c r="E14735" t="s">
        <v>74</v>
      </c>
      <c r="F14735" t="s">
        <v>4</v>
      </c>
      <c r="G14735" t="s">
        <v>47091</v>
      </c>
      <c r="H14735" t="s">
        <v>47126</v>
      </c>
      <c r="I14735" t="s">
        <v>47127</v>
      </c>
      <c r="J14735" t="s">
        <v>47128</v>
      </c>
      <c r="K14735" t="s">
        <v>47113</v>
      </c>
      <c r="L14735">
        <v>12.21</v>
      </c>
      <c r="M14735">
        <v>27</v>
      </c>
      <c r="N14735">
        <v>0</v>
      </c>
      <c r="O14735">
        <v>27</v>
      </c>
      <c r="P14735">
        <v>0</v>
      </c>
    </row>
    <row r="14736" spans="1:16" x14ac:dyDescent="0.25">
      <c r="A14736" t="s">
        <v>37447</v>
      </c>
      <c r="B14736" t="s">
        <v>10169</v>
      </c>
      <c r="C14736" t="s">
        <v>314</v>
      </c>
      <c r="D14736" t="str">
        <f>"1700"</f>
        <v>1700</v>
      </c>
      <c r="E14736" t="s">
        <v>60</v>
      </c>
      <c r="F14736" t="s">
        <v>4</v>
      </c>
      <c r="G14736" t="s">
        <v>47091</v>
      </c>
      <c r="H14736" t="s">
        <v>47126</v>
      </c>
      <c r="I14736" t="s">
        <v>47127</v>
      </c>
      <c r="J14736" t="s">
        <v>47128</v>
      </c>
      <c r="K14736" t="s">
        <v>47113</v>
      </c>
      <c r="L14736">
        <v>12.21</v>
      </c>
      <c r="M14736">
        <v>27</v>
      </c>
      <c r="N14736">
        <v>0</v>
      </c>
      <c r="O14736">
        <v>27</v>
      </c>
      <c r="P14736">
        <v>0</v>
      </c>
    </row>
    <row r="14737" spans="1:16" x14ac:dyDescent="0.25">
      <c r="A14737" t="s">
        <v>37448</v>
      </c>
      <c r="B14737" t="s">
        <v>10169</v>
      </c>
      <c r="C14737" t="s">
        <v>314</v>
      </c>
      <c r="D14737" t="str">
        <f>"3467"</f>
        <v>3467</v>
      </c>
      <c r="E14737" t="s">
        <v>10163</v>
      </c>
      <c r="F14737" t="s">
        <v>4</v>
      </c>
      <c r="G14737" t="s">
        <v>47091</v>
      </c>
      <c r="H14737" t="s">
        <v>47126</v>
      </c>
      <c r="I14737" t="s">
        <v>47127</v>
      </c>
      <c r="J14737" t="s">
        <v>47128</v>
      </c>
      <c r="K14737" t="s">
        <v>47113</v>
      </c>
      <c r="L14737">
        <v>12.21</v>
      </c>
      <c r="M14737">
        <v>27</v>
      </c>
      <c r="N14737">
        <v>0</v>
      </c>
      <c r="O14737">
        <v>27</v>
      </c>
      <c r="P14737">
        <v>0</v>
      </c>
    </row>
    <row r="14738" spans="1:16" x14ac:dyDescent="0.25">
      <c r="A14738" t="s">
        <v>37449</v>
      </c>
      <c r="B14738" t="s">
        <v>313</v>
      </c>
      <c r="C14738" t="s">
        <v>314</v>
      </c>
      <c r="D14738" t="str">
        <f>"1001"</f>
        <v>1001</v>
      </c>
      <c r="E14738" t="s">
        <v>42</v>
      </c>
      <c r="F14738" t="s">
        <v>4</v>
      </c>
      <c r="G14738" t="s">
        <v>47091</v>
      </c>
      <c r="H14738" t="s">
        <v>47126</v>
      </c>
      <c r="I14738" t="s">
        <v>47127</v>
      </c>
      <c r="J14738" t="s">
        <v>47128</v>
      </c>
      <c r="K14738" t="s">
        <v>47113</v>
      </c>
      <c r="L14738">
        <v>13.04</v>
      </c>
      <c r="M14738">
        <v>28</v>
      </c>
      <c r="N14738">
        <v>0</v>
      </c>
      <c r="O14738">
        <v>28</v>
      </c>
      <c r="P14738">
        <v>0</v>
      </c>
    </row>
    <row r="14739" spans="1:16" x14ac:dyDescent="0.25">
      <c r="A14739" t="s">
        <v>37450</v>
      </c>
      <c r="B14739" t="s">
        <v>313</v>
      </c>
      <c r="C14739" t="s">
        <v>314</v>
      </c>
      <c r="D14739" t="str">
        <f>"1377"</f>
        <v>1377</v>
      </c>
      <c r="E14739" t="s">
        <v>74</v>
      </c>
      <c r="F14739" t="s">
        <v>4</v>
      </c>
      <c r="G14739" t="s">
        <v>47091</v>
      </c>
      <c r="H14739" t="s">
        <v>47126</v>
      </c>
      <c r="I14739" t="s">
        <v>47127</v>
      </c>
      <c r="J14739" t="s">
        <v>47128</v>
      </c>
      <c r="K14739" t="s">
        <v>47113</v>
      </c>
      <c r="L14739">
        <v>13.04</v>
      </c>
      <c r="M14739">
        <v>28</v>
      </c>
      <c r="N14739">
        <v>0</v>
      </c>
      <c r="O14739">
        <v>28</v>
      </c>
      <c r="P14739">
        <v>0</v>
      </c>
    </row>
    <row r="14740" spans="1:16" x14ac:dyDescent="0.25">
      <c r="A14740" t="s">
        <v>37451</v>
      </c>
      <c r="B14740" t="s">
        <v>313</v>
      </c>
      <c r="C14740" t="s">
        <v>314</v>
      </c>
      <c r="D14740" t="str">
        <f>"2602"</f>
        <v>2602</v>
      </c>
      <c r="E14740" t="s">
        <v>2307</v>
      </c>
      <c r="F14740" t="s">
        <v>4</v>
      </c>
      <c r="G14740" t="s">
        <v>47091</v>
      </c>
      <c r="H14740" t="s">
        <v>47126</v>
      </c>
      <c r="I14740" t="s">
        <v>47127</v>
      </c>
      <c r="J14740" t="s">
        <v>47128</v>
      </c>
      <c r="K14740" t="s">
        <v>47113</v>
      </c>
      <c r="L14740">
        <v>13.04</v>
      </c>
      <c r="M14740">
        <v>28</v>
      </c>
      <c r="N14740">
        <v>0</v>
      </c>
      <c r="O14740">
        <v>28</v>
      </c>
      <c r="P14740">
        <v>0</v>
      </c>
    </row>
    <row r="14741" spans="1:16" x14ac:dyDescent="0.25">
      <c r="A14741" t="s">
        <v>37452</v>
      </c>
      <c r="B14741" t="s">
        <v>313</v>
      </c>
      <c r="C14741" t="s">
        <v>314</v>
      </c>
      <c r="D14741" t="str">
        <f>"3467"</f>
        <v>3467</v>
      </c>
      <c r="E14741" t="s">
        <v>10163</v>
      </c>
      <c r="F14741" t="s">
        <v>4</v>
      </c>
      <c r="G14741" t="s">
        <v>47091</v>
      </c>
      <c r="H14741" t="s">
        <v>47126</v>
      </c>
      <c r="I14741" t="s">
        <v>47127</v>
      </c>
      <c r="J14741" t="s">
        <v>47128</v>
      </c>
      <c r="K14741" t="s">
        <v>47113</v>
      </c>
      <c r="L14741">
        <v>13.04</v>
      </c>
      <c r="M14741">
        <v>28</v>
      </c>
      <c r="N14741">
        <v>0</v>
      </c>
      <c r="O14741">
        <v>28</v>
      </c>
      <c r="P14741">
        <v>0</v>
      </c>
    </row>
    <row r="14742" spans="1:16" x14ac:dyDescent="0.25">
      <c r="A14742" t="s">
        <v>37453</v>
      </c>
      <c r="B14742" t="s">
        <v>313</v>
      </c>
      <c r="C14742" t="s">
        <v>314</v>
      </c>
      <c r="D14742" t="str">
        <f>"5342"</f>
        <v>5342</v>
      </c>
      <c r="E14742" t="s">
        <v>77</v>
      </c>
      <c r="F14742" t="s">
        <v>4</v>
      </c>
      <c r="G14742" t="s">
        <v>47091</v>
      </c>
      <c r="H14742" t="s">
        <v>47126</v>
      </c>
      <c r="I14742" t="s">
        <v>47127</v>
      </c>
      <c r="J14742" t="s">
        <v>47128</v>
      </c>
      <c r="K14742" t="s">
        <v>47113</v>
      </c>
      <c r="L14742">
        <v>13.04</v>
      </c>
      <c r="M14742">
        <v>28</v>
      </c>
      <c r="N14742">
        <v>0</v>
      </c>
      <c r="O14742">
        <v>28</v>
      </c>
      <c r="P14742">
        <v>0</v>
      </c>
    </row>
    <row r="14743" spans="1:16" x14ac:dyDescent="0.25">
      <c r="A14743" t="s">
        <v>15064</v>
      </c>
      <c r="B14743" t="s">
        <v>313</v>
      </c>
      <c r="C14743" t="s">
        <v>314</v>
      </c>
      <c r="D14743" t="str">
        <f>"6000"</f>
        <v>6000</v>
      </c>
      <c r="E14743" t="s">
        <v>238</v>
      </c>
      <c r="F14743" t="s">
        <v>4</v>
      </c>
      <c r="G14743" t="s">
        <v>47091</v>
      </c>
      <c r="H14743" t="s">
        <v>47126</v>
      </c>
      <c r="I14743" t="s">
        <v>47127</v>
      </c>
      <c r="J14743" t="s">
        <v>47128</v>
      </c>
      <c r="K14743" t="s">
        <v>47113</v>
      </c>
      <c r="L14743">
        <v>13.04</v>
      </c>
      <c r="M14743">
        <v>28</v>
      </c>
      <c r="N14743">
        <v>0</v>
      </c>
      <c r="O14743">
        <v>28</v>
      </c>
      <c r="P14743">
        <v>0</v>
      </c>
    </row>
    <row r="14744" spans="1:16" x14ac:dyDescent="0.25">
      <c r="A14744" t="s">
        <v>37454</v>
      </c>
      <c r="B14744" t="s">
        <v>10170</v>
      </c>
      <c r="C14744" t="s">
        <v>10171</v>
      </c>
      <c r="D14744" t="str">
        <f>"1001"</f>
        <v>1001</v>
      </c>
      <c r="E14744" t="s">
        <v>42</v>
      </c>
      <c r="F14744" t="s">
        <v>4</v>
      </c>
      <c r="G14744" t="s">
        <v>47091</v>
      </c>
      <c r="H14744" t="s">
        <v>47126</v>
      </c>
      <c r="I14744" t="s">
        <v>47127</v>
      </c>
      <c r="J14744" t="s">
        <v>47128</v>
      </c>
      <c r="K14744" t="s">
        <v>47113</v>
      </c>
      <c r="L14744">
        <v>15.43</v>
      </c>
      <c r="M14744">
        <v>34</v>
      </c>
      <c r="N14744">
        <v>0</v>
      </c>
      <c r="O14744">
        <v>34</v>
      </c>
      <c r="P14744">
        <v>0</v>
      </c>
    </row>
    <row r="14745" spans="1:16" x14ac:dyDescent="0.25">
      <c r="A14745" t="s">
        <v>37455</v>
      </c>
      <c r="B14745" t="s">
        <v>10170</v>
      </c>
      <c r="C14745" t="s">
        <v>10171</v>
      </c>
      <c r="D14745" t="str">
        <f>"1377"</f>
        <v>1377</v>
      </c>
      <c r="E14745" t="s">
        <v>74</v>
      </c>
      <c r="F14745" t="s">
        <v>4</v>
      </c>
      <c r="G14745" t="s">
        <v>47091</v>
      </c>
      <c r="H14745" t="s">
        <v>47126</v>
      </c>
      <c r="I14745" t="s">
        <v>47127</v>
      </c>
      <c r="J14745" t="s">
        <v>47128</v>
      </c>
      <c r="K14745" t="s">
        <v>47113</v>
      </c>
      <c r="L14745">
        <v>15.43</v>
      </c>
      <c r="M14745">
        <v>34</v>
      </c>
      <c r="N14745">
        <v>0</v>
      </c>
      <c r="O14745">
        <v>34</v>
      </c>
      <c r="P14745">
        <v>0</v>
      </c>
    </row>
    <row r="14746" spans="1:16" x14ac:dyDescent="0.25">
      <c r="A14746" t="s">
        <v>37456</v>
      </c>
      <c r="B14746" t="s">
        <v>10170</v>
      </c>
      <c r="C14746" t="s">
        <v>10171</v>
      </c>
      <c r="D14746" t="str">
        <f>"1700"</f>
        <v>1700</v>
      </c>
      <c r="E14746" t="s">
        <v>60</v>
      </c>
      <c r="F14746" t="s">
        <v>4</v>
      </c>
      <c r="G14746" t="s">
        <v>47091</v>
      </c>
      <c r="H14746" t="s">
        <v>47126</v>
      </c>
      <c r="I14746" t="s">
        <v>47127</v>
      </c>
      <c r="J14746" t="s">
        <v>47128</v>
      </c>
      <c r="K14746" t="s">
        <v>47113</v>
      </c>
      <c r="L14746">
        <v>15.43</v>
      </c>
      <c r="M14746">
        <v>34</v>
      </c>
      <c r="N14746">
        <v>0</v>
      </c>
      <c r="O14746">
        <v>34</v>
      </c>
      <c r="P14746">
        <v>0</v>
      </c>
    </row>
    <row r="14747" spans="1:16" x14ac:dyDescent="0.25">
      <c r="A14747" t="s">
        <v>37457</v>
      </c>
      <c r="B14747" t="s">
        <v>10170</v>
      </c>
      <c r="C14747" t="s">
        <v>10171</v>
      </c>
      <c r="D14747" t="str">
        <f>"2174"</f>
        <v>2174</v>
      </c>
      <c r="E14747" t="s">
        <v>10162</v>
      </c>
      <c r="F14747" t="s">
        <v>4</v>
      </c>
      <c r="G14747" t="s">
        <v>47091</v>
      </c>
      <c r="H14747" t="s">
        <v>47126</v>
      </c>
      <c r="I14747" t="s">
        <v>47127</v>
      </c>
      <c r="J14747" t="s">
        <v>47128</v>
      </c>
      <c r="K14747" t="s">
        <v>47113</v>
      </c>
      <c r="L14747">
        <v>15.43</v>
      </c>
      <c r="M14747">
        <v>34</v>
      </c>
      <c r="N14747">
        <v>0</v>
      </c>
      <c r="O14747">
        <v>34</v>
      </c>
      <c r="P14747">
        <v>0</v>
      </c>
    </row>
    <row r="14748" spans="1:16" x14ac:dyDescent="0.25">
      <c r="A14748" t="s">
        <v>37458</v>
      </c>
      <c r="B14748" t="s">
        <v>10170</v>
      </c>
      <c r="C14748" t="s">
        <v>10171</v>
      </c>
      <c r="D14748" t="str">
        <f>"5342"</f>
        <v>5342</v>
      </c>
      <c r="E14748" t="s">
        <v>77</v>
      </c>
      <c r="F14748" t="s">
        <v>4</v>
      </c>
      <c r="G14748" t="s">
        <v>47091</v>
      </c>
      <c r="H14748" t="s">
        <v>47126</v>
      </c>
      <c r="I14748" t="s">
        <v>47127</v>
      </c>
      <c r="J14748" t="s">
        <v>47128</v>
      </c>
      <c r="K14748" t="s">
        <v>47113</v>
      </c>
      <c r="L14748">
        <v>15.43</v>
      </c>
      <c r="M14748">
        <v>34</v>
      </c>
      <c r="N14748">
        <v>0</v>
      </c>
      <c r="O14748">
        <v>34</v>
      </c>
      <c r="P14748">
        <v>0</v>
      </c>
    </row>
    <row r="14749" spans="1:16" x14ac:dyDescent="0.25">
      <c r="A14749" t="s">
        <v>37459</v>
      </c>
      <c r="B14749" t="s">
        <v>10170</v>
      </c>
      <c r="C14749" t="s">
        <v>10171</v>
      </c>
      <c r="D14749" t="str">
        <f>"6000"</f>
        <v>6000</v>
      </c>
      <c r="E14749" t="s">
        <v>238</v>
      </c>
      <c r="F14749" t="s">
        <v>4</v>
      </c>
      <c r="G14749" t="s">
        <v>47091</v>
      </c>
      <c r="H14749" t="s">
        <v>47126</v>
      </c>
      <c r="I14749" t="s">
        <v>47127</v>
      </c>
      <c r="J14749" t="s">
        <v>47128</v>
      </c>
      <c r="K14749" t="s">
        <v>47113</v>
      </c>
      <c r="L14749">
        <v>15.43</v>
      </c>
      <c r="M14749">
        <v>34</v>
      </c>
      <c r="N14749">
        <v>0</v>
      </c>
      <c r="O14749">
        <v>34</v>
      </c>
      <c r="P14749">
        <v>0</v>
      </c>
    </row>
    <row r="14750" spans="1:16" x14ac:dyDescent="0.25">
      <c r="A14750" t="s">
        <v>37460</v>
      </c>
      <c r="B14750" t="s">
        <v>10172</v>
      </c>
      <c r="C14750" t="s">
        <v>10171</v>
      </c>
      <c r="D14750" t="str">
        <f>"1001"</f>
        <v>1001</v>
      </c>
      <c r="E14750" t="s">
        <v>42</v>
      </c>
      <c r="F14750" t="s">
        <v>4</v>
      </c>
      <c r="G14750" t="s">
        <v>47091</v>
      </c>
      <c r="H14750" t="s">
        <v>47126</v>
      </c>
      <c r="I14750" t="s">
        <v>47127</v>
      </c>
      <c r="J14750" t="s">
        <v>47128</v>
      </c>
      <c r="K14750" t="s">
        <v>47113</v>
      </c>
      <c r="L14750">
        <v>17.84</v>
      </c>
      <c r="M14750">
        <v>39</v>
      </c>
      <c r="N14750">
        <v>0</v>
      </c>
      <c r="O14750">
        <v>39</v>
      </c>
      <c r="P14750">
        <v>0</v>
      </c>
    </row>
    <row r="14751" spans="1:16" x14ac:dyDescent="0.25">
      <c r="A14751" t="s">
        <v>37461</v>
      </c>
      <c r="B14751" t="s">
        <v>10172</v>
      </c>
      <c r="C14751" t="s">
        <v>10171</v>
      </c>
      <c r="D14751" t="str">
        <f>"1377"</f>
        <v>1377</v>
      </c>
      <c r="E14751" t="s">
        <v>74</v>
      </c>
      <c r="F14751" t="s">
        <v>4</v>
      </c>
      <c r="G14751" t="s">
        <v>47091</v>
      </c>
      <c r="H14751" t="s">
        <v>47126</v>
      </c>
      <c r="I14751" t="s">
        <v>47127</v>
      </c>
      <c r="J14751" t="s">
        <v>47128</v>
      </c>
      <c r="K14751" t="s">
        <v>47113</v>
      </c>
      <c r="L14751">
        <v>17.84</v>
      </c>
      <c r="M14751">
        <v>39</v>
      </c>
      <c r="N14751">
        <v>0</v>
      </c>
      <c r="O14751">
        <v>39</v>
      </c>
      <c r="P14751">
        <v>0</v>
      </c>
    </row>
    <row r="14752" spans="1:16" x14ac:dyDescent="0.25">
      <c r="A14752" t="s">
        <v>37462</v>
      </c>
      <c r="B14752" t="s">
        <v>10172</v>
      </c>
      <c r="C14752" t="s">
        <v>10171</v>
      </c>
      <c r="D14752" t="str">
        <f>"1700"</f>
        <v>1700</v>
      </c>
      <c r="E14752" t="s">
        <v>60</v>
      </c>
      <c r="F14752" t="s">
        <v>4</v>
      </c>
      <c r="G14752" t="s">
        <v>47091</v>
      </c>
      <c r="H14752" t="s">
        <v>47126</v>
      </c>
      <c r="I14752" t="s">
        <v>47127</v>
      </c>
      <c r="J14752" t="s">
        <v>47128</v>
      </c>
      <c r="K14752" t="s">
        <v>47113</v>
      </c>
      <c r="L14752">
        <v>17.84</v>
      </c>
      <c r="M14752">
        <v>39</v>
      </c>
      <c r="N14752">
        <v>0</v>
      </c>
      <c r="O14752">
        <v>39</v>
      </c>
      <c r="P14752">
        <v>0</v>
      </c>
    </row>
    <row r="14753" spans="1:16" x14ac:dyDescent="0.25">
      <c r="A14753" t="s">
        <v>37463</v>
      </c>
      <c r="B14753" t="s">
        <v>10172</v>
      </c>
      <c r="C14753" t="s">
        <v>10171</v>
      </c>
      <c r="D14753" t="str">
        <f>"2174"</f>
        <v>2174</v>
      </c>
      <c r="E14753" t="s">
        <v>10162</v>
      </c>
      <c r="F14753" t="s">
        <v>4</v>
      </c>
      <c r="G14753" t="s">
        <v>47091</v>
      </c>
      <c r="H14753" t="s">
        <v>47126</v>
      </c>
      <c r="I14753" t="s">
        <v>47127</v>
      </c>
      <c r="J14753" t="s">
        <v>47128</v>
      </c>
      <c r="K14753" t="s">
        <v>47113</v>
      </c>
      <c r="L14753">
        <v>17.84</v>
      </c>
      <c r="M14753">
        <v>39</v>
      </c>
      <c r="N14753">
        <v>0</v>
      </c>
      <c r="O14753">
        <v>39</v>
      </c>
      <c r="P14753">
        <v>0</v>
      </c>
    </row>
    <row r="14754" spans="1:16" x14ac:dyDescent="0.25">
      <c r="A14754" t="s">
        <v>37464</v>
      </c>
      <c r="B14754" t="s">
        <v>10172</v>
      </c>
      <c r="C14754" t="s">
        <v>10171</v>
      </c>
      <c r="D14754" t="str">
        <f>"5342"</f>
        <v>5342</v>
      </c>
      <c r="E14754" t="s">
        <v>77</v>
      </c>
      <c r="F14754" t="s">
        <v>4</v>
      </c>
      <c r="G14754" t="s">
        <v>47091</v>
      </c>
      <c r="H14754" t="s">
        <v>47126</v>
      </c>
      <c r="I14754" t="s">
        <v>47127</v>
      </c>
      <c r="J14754" t="s">
        <v>47128</v>
      </c>
      <c r="K14754" t="s">
        <v>47113</v>
      </c>
      <c r="L14754">
        <v>17.84</v>
      </c>
      <c r="M14754">
        <v>39</v>
      </c>
      <c r="N14754">
        <v>0</v>
      </c>
      <c r="O14754">
        <v>39</v>
      </c>
      <c r="P14754">
        <v>0</v>
      </c>
    </row>
    <row r="14755" spans="1:16" x14ac:dyDescent="0.25">
      <c r="A14755" t="s">
        <v>37465</v>
      </c>
      <c r="B14755" t="s">
        <v>10172</v>
      </c>
      <c r="C14755" t="s">
        <v>10171</v>
      </c>
      <c r="D14755" t="str">
        <f>"6000"</f>
        <v>6000</v>
      </c>
      <c r="E14755" t="s">
        <v>238</v>
      </c>
      <c r="F14755" t="s">
        <v>4</v>
      </c>
      <c r="G14755" t="s">
        <v>47091</v>
      </c>
      <c r="H14755" t="s">
        <v>47126</v>
      </c>
      <c r="I14755" t="s">
        <v>47127</v>
      </c>
      <c r="J14755" t="s">
        <v>47128</v>
      </c>
      <c r="K14755" t="s">
        <v>47113</v>
      </c>
      <c r="L14755">
        <v>17.84</v>
      </c>
      <c r="M14755">
        <v>39</v>
      </c>
      <c r="N14755">
        <v>0</v>
      </c>
      <c r="O14755">
        <v>39</v>
      </c>
      <c r="P14755">
        <v>0</v>
      </c>
    </row>
    <row r="14756" spans="1:16" x14ac:dyDescent="0.25">
      <c r="A14756" t="s">
        <v>37466</v>
      </c>
      <c r="B14756" t="s">
        <v>10173</v>
      </c>
      <c r="C14756" t="s">
        <v>10174</v>
      </c>
      <c r="D14756" t="str">
        <f>"1001"</f>
        <v>1001</v>
      </c>
      <c r="E14756" t="s">
        <v>42</v>
      </c>
      <c r="F14756" t="s">
        <v>4</v>
      </c>
      <c r="G14756" t="s">
        <v>47091</v>
      </c>
      <c r="H14756" t="s">
        <v>47126</v>
      </c>
      <c r="I14756" t="s">
        <v>47127</v>
      </c>
      <c r="J14756" t="s">
        <v>47128</v>
      </c>
      <c r="K14756" t="s">
        <v>47113</v>
      </c>
      <c r="L14756">
        <v>15.2</v>
      </c>
      <c r="M14756">
        <v>33</v>
      </c>
      <c r="N14756">
        <v>0</v>
      </c>
      <c r="O14756">
        <v>33</v>
      </c>
      <c r="P14756">
        <v>0</v>
      </c>
    </row>
    <row r="14757" spans="1:16" x14ac:dyDescent="0.25">
      <c r="A14757" t="s">
        <v>37467</v>
      </c>
      <c r="B14757" t="s">
        <v>10173</v>
      </c>
      <c r="C14757" t="s">
        <v>10174</v>
      </c>
      <c r="D14757" t="str">
        <f>"1377"</f>
        <v>1377</v>
      </c>
      <c r="E14757" t="s">
        <v>74</v>
      </c>
      <c r="F14757" t="s">
        <v>4</v>
      </c>
      <c r="G14757" t="s">
        <v>47091</v>
      </c>
      <c r="H14757" t="s">
        <v>47126</v>
      </c>
      <c r="I14757" t="s">
        <v>47127</v>
      </c>
      <c r="J14757" t="s">
        <v>47128</v>
      </c>
      <c r="K14757" t="s">
        <v>47113</v>
      </c>
      <c r="L14757">
        <v>15.2</v>
      </c>
      <c r="M14757">
        <v>33</v>
      </c>
      <c r="N14757">
        <v>0</v>
      </c>
      <c r="O14757">
        <v>33</v>
      </c>
      <c r="P14757">
        <v>0</v>
      </c>
    </row>
    <row r="14758" spans="1:16" x14ac:dyDescent="0.25">
      <c r="A14758" t="s">
        <v>37468</v>
      </c>
      <c r="B14758" t="s">
        <v>10173</v>
      </c>
      <c r="C14758" t="s">
        <v>10174</v>
      </c>
      <c r="D14758" t="str">
        <f>"1700"</f>
        <v>1700</v>
      </c>
      <c r="E14758" t="s">
        <v>60</v>
      </c>
      <c r="F14758" t="s">
        <v>4</v>
      </c>
      <c r="G14758" t="s">
        <v>47091</v>
      </c>
      <c r="H14758" t="s">
        <v>47126</v>
      </c>
      <c r="I14758" t="s">
        <v>47127</v>
      </c>
      <c r="J14758" t="s">
        <v>47128</v>
      </c>
      <c r="K14758" t="s">
        <v>47113</v>
      </c>
      <c r="L14758">
        <v>15.2</v>
      </c>
      <c r="M14758">
        <v>33</v>
      </c>
      <c r="N14758">
        <v>0</v>
      </c>
      <c r="O14758">
        <v>33</v>
      </c>
      <c r="P14758">
        <v>0</v>
      </c>
    </row>
    <row r="14759" spans="1:16" x14ac:dyDescent="0.25">
      <c r="A14759" t="s">
        <v>37469</v>
      </c>
      <c r="B14759" t="s">
        <v>10173</v>
      </c>
      <c r="C14759" t="s">
        <v>10174</v>
      </c>
      <c r="D14759" t="str">
        <f>"2602"</f>
        <v>2602</v>
      </c>
      <c r="E14759" t="s">
        <v>2307</v>
      </c>
      <c r="F14759" t="s">
        <v>4</v>
      </c>
      <c r="G14759" t="s">
        <v>47091</v>
      </c>
      <c r="H14759" t="s">
        <v>47126</v>
      </c>
      <c r="I14759" t="s">
        <v>47127</v>
      </c>
      <c r="J14759" t="s">
        <v>47128</v>
      </c>
      <c r="K14759" t="s">
        <v>47113</v>
      </c>
      <c r="L14759">
        <v>15.2</v>
      </c>
      <c r="M14759">
        <v>33</v>
      </c>
      <c r="N14759">
        <v>0</v>
      </c>
      <c r="O14759">
        <v>33</v>
      </c>
      <c r="P14759">
        <v>0</v>
      </c>
    </row>
    <row r="14760" spans="1:16" x14ac:dyDescent="0.25">
      <c r="A14760" t="s">
        <v>37470</v>
      </c>
      <c r="B14760" t="s">
        <v>10173</v>
      </c>
      <c r="C14760" t="s">
        <v>10174</v>
      </c>
      <c r="D14760" t="str">
        <f>"3467"</f>
        <v>3467</v>
      </c>
      <c r="E14760" t="s">
        <v>10163</v>
      </c>
      <c r="F14760" t="s">
        <v>4</v>
      </c>
      <c r="G14760" t="s">
        <v>47091</v>
      </c>
      <c r="H14760" t="s">
        <v>47126</v>
      </c>
      <c r="I14760" t="s">
        <v>47127</v>
      </c>
      <c r="J14760" t="s">
        <v>47128</v>
      </c>
      <c r="K14760" t="s">
        <v>47113</v>
      </c>
      <c r="L14760">
        <v>15.2</v>
      </c>
      <c r="M14760">
        <v>33</v>
      </c>
      <c r="N14760">
        <v>0</v>
      </c>
      <c r="O14760">
        <v>33</v>
      </c>
      <c r="P14760">
        <v>0</v>
      </c>
    </row>
    <row r="14761" spans="1:16" x14ac:dyDescent="0.25">
      <c r="A14761" t="s">
        <v>37471</v>
      </c>
      <c r="B14761" t="s">
        <v>10175</v>
      </c>
      <c r="C14761" t="s">
        <v>10176</v>
      </c>
      <c r="D14761" t="str">
        <f>"1001"</f>
        <v>1001</v>
      </c>
      <c r="E14761" t="s">
        <v>42</v>
      </c>
      <c r="F14761" t="s">
        <v>4</v>
      </c>
      <c r="G14761" t="s">
        <v>47091</v>
      </c>
      <c r="H14761" t="s">
        <v>47126</v>
      </c>
      <c r="I14761" t="s">
        <v>47127</v>
      </c>
      <c r="J14761" t="s">
        <v>47128</v>
      </c>
      <c r="K14761" t="s">
        <v>47113</v>
      </c>
      <c r="L14761">
        <v>17.47</v>
      </c>
      <c r="M14761">
        <v>38</v>
      </c>
      <c r="N14761">
        <v>0</v>
      </c>
      <c r="O14761">
        <v>38</v>
      </c>
      <c r="P14761">
        <v>0</v>
      </c>
    </row>
    <row r="14762" spans="1:16" x14ac:dyDescent="0.25">
      <c r="A14762" t="s">
        <v>37472</v>
      </c>
      <c r="B14762" t="s">
        <v>10175</v>
      </c>
      <c r="C14762" t="s">
        <v>10176</v>
      </c>
      <c r="D14762" t="str">
        <f>"1377"</f>
        <v>1377</v>
      </c>
      <c r="E14762" t="s">
        <v>74</v>
      </c>
      <c r="F14762" t="s">
        <v>4</v>
      </c>
      <c r="G14762" t="s">
        <v>47091</v>
      </c>
      <c r="H14762" t="s">
        <v>47126</v>
      </c>
      <c r="I14762" t="s">
        <v>47127</v>
      </c>
      <c r="J14762" t="s">
        <v>47128</v>
      </c>
      <c r="K14762" t="s">
        <v>47113</v>
      </c>
      <c r="L14762">
        <v>17.47</v>
      </c>
      <c r="M14762">
        <v>38</v>
      </c>
      <c r="N14762">
        <v>0</v>
      </c>
      <c r="O14762">
        <v>38</v>
      </c>
      <c r="P14762">
        <v>0</v>
      </c>
    </row>
    <row r="14763" spans="1:16" x14ac:dyDescent="0.25">
      <c r="A14763" t="s">
        <v>37473</v>
      </c>
      <c r="B14763" t="s">
        <v>10175</v>
      </c>
      <c r="C14763" t="s">
        <v>10176</v>
      </c>
      <c r="D14763" t="str">
        <f>"1700"</f>
        <v>1700</v>
      </c>
      <c r="E14763" t="s">
        <v>60</v>
      </c>
      <c r="F14763" t="s">
        <v>4</v>
      </c>
      <c r="G14763" t="s">
        <v>47091</v>
      </c>
      <c r="H14763" t="s">
        <v>47126</v>
      </c>
      <c r="I14763" t="s">
        <v>47127</v>
      </c>
      <c r="J14763" t="s">
        <v>47128</v>
      </c>
      <c r="K14763" t="s">
        <v>47113</v>
      </c>
      <c r="L14763">
        <v>17.47</v>
      </c>
      <c r="M14763">
        <v>38</v>
      </c>
      <c r="N14763">
        <v>0</v>
      </c>
      <c r="O14763">
        <v>38</v>
      </c>
      <c r="P14763">
        <v>0</v>
      </c>
    </row>
    <row r="14764" spans="1:16" x14ac:dyDescent="0.25">
      <c r="A14764" t="s">
        <v>37474</v>
      </c>
      <c r="B14764" t="s">
        <v>10175</v>
      </c>
      <c r="C14764" t="s">
        <v>10176</v>
      </c>
      <c r="D14764" t="str">
        <f>"2174"</f>
        <v>2174</v>
      </c>
      <c r="E14764" t="s">
        <v>10162</v>
      </c>
      <c r="F14764" t="s">
        <v>4</v>
      </c>
      <c r="G14764" t="s">
        <v>47091</v>
      </c>
      <c r="H14764" t="s">
        <v>47126</v>
      </c>
      <c r="I14764" t="s">
        <v>47127</v>
      </c>
      <c r="J14764" t="s">
        <v>47128</v>
      </c>
      <c r="K14764" t="s">
        <v>47113</v>
      </c>
      <c r="L14764">
        <v>17.47</v>
      </c>
      <c r="M14764">
        <v>38</v>
      </c>
      <c r="N14764">
        <v>0</v>
      </c>
      <c r="O14764">
        <v>38</v>
      </c>
      <c r="P14764">
        <v>0</v>
      </c>
    </row>
    <row r="14765" spans="1:16" x14ac:dyDescent="0.25">
      <c r="A14765" t="s">
        <v>37475</v>
      </c>
      <c r="B14765" t="s">
        <v>10175</v>
      </c>
      <c r="C14765" t="s">
        <v>10176</v>
      </c>
      <c r="D14765" t="str">
        <f>"3467"</f>
        <v>3467</v>
      </c>
      <c r="E14765" t="s">
        <v>10163</v>
      </c>
      <c r="F14765" t="s">
        <v>4</v>
      </c>
      <c r="G14765" t="s">
        <v>47091</v>
      </c>
      <c r="H14765" t="s">
        <v>47126</v>
      </c>
      <c r="I14765" t="s">
        <v>47127</v>
      </c>
      <c r="J14765" t="s">
        <v>47128</v>
      </c>
      <c r="K14765" t="s">
        <v>47113</v>
      </c>
      <c r="L14765">
        <v>17.47</v>
      </c>
      <c r="M14765">
        <v>38</v>
      </c>
      <c r="N14765">
        <v>0</v>
      </c>
      <c r="O14765">
        <v>38</v>
      </c>
      <c r="P14765">
        <v>0</v>
      </c>
    </row>
    <row r="14766" spans="1:16" x14ac:dyDescent="0.25">
      <c r="A14766" t="s">
        <v>37476</v>
      </c>
      <c r="B14766" t="s">
        <v>10177</v>
      </c>
      <c r="C14766" t="s">
        <v>10178</v>
      </c>
      <c r="D14766" t="str">
        <f>"1278"</f>
        <v>1278</v>
      </c>
      <c r="E14766" t="s">
        <v>100</v>
      </c>
      <c r="F14766" t="s">
        <v>4</v>
      </c>
      <c r="G14766" t="s">
        <v>47095</v>
      </c>
      <c r="H14766" t="s">
        <v>47126</v>
      </c>
      <c r="I14766" t="s">
        <v>47127</v>
      </c>
      <c r="J14766" t="s">
        <v>47128</v>
      </c>
      <c r="K14766" t="s">
        <v>47113</v>
      </c>
      <c r="L14766">
        <v>19.75</v>
      </c>
      <c r="M14766">
        <v>43</v>
      </c>
      <c r="N14766">
        <v>0</v>
      </c>
      <c r="O14766">
        <v>43</v>
      </c>
      <c r="P14766">
        <v>0</v>
      </c>
    </row>
    <row r="14767" spans="1:16" x14ac:dyDescent="0.25">
      <c r="A14767" t="s">
        <v>37477</v>
      </c>
      <c r="B14767" t="s">
        <v>10177</v>
      </c>
      <c r="C14767" t="s">
        <v>10178</v>
      </c>
      <c r="D14767" t="str">
        <f>"4643"</f>
        <v>4643</v>
      </c>
      <c r="E14767" t="s">
        <v>205</v>
      </c>
      <c r="F14767" t="s">
        <v>4</v>
      </c>
      <c r="G14767" t="s">
        <v>47095</v>
      </c>
      <c r="H14767" t="s">
        <v>47126</v>
      </c>
      <c r="I14767" t="s">
        <v>47127</v>
      </c>
      <c r="J14767" t="s">
        <v>47128</v>
      </c>
      <c r="K14767" t="s">
        <v>47113</v>
      </c>
      <c r="L14767">
        <v>19.75</v>
      </c>
      <c r="M14767">
        <v>43</v>
      </c>
      <c r="N14767">
        <v>0</v>
      </c>
      <c r="O14767">
        <v>43</v>
      </c>
      <c r="P14767">
        <v>0</v>
      </c>
    </row>
    <row r="14768" spans="1:16" x14ac:dyDescent="0.25">
      <c r="A14768" t="s">
        <v>37478</v>
      </c>
      <c r="B14768" t="s">
        <v>10177</v>
      </c>
      <c r="C14768" t="s">
        <v>10178</v>
      </c>
      <c r="D14768" t="str">
        <f>"6000"</f>
        <v>6000</v>
      </c>
      <c r="E14768" t="s">
        <v>238</v>
      </c>
      <c r="F14768" t="s">
        <v>4</v>
      </c>
      <c r="G14768" t="s">
        <v>47095</v>
      </c>
      <c r="H14768" t="s">
        <v>47126</v>
      </c>
      <c r="I14768" t="s">
        <v>47127</v>
      </c>
      <c r="J14768" t="s">
        <v>47128</v>
      </c>
      <c r="K14768" t="s">
        <v>47113</v>
      </c>
      <c r="L14768">
        <v>19.75</v>
      </c>
      <c r="M14768">
        <v>43</v>
      </c>
      <c r="N14768">
        <v>0</v>
      </c>
      <c r="O14768">
        <v>43</v>
      </c>
      <c r="P14768">
        <v>0</v>
      </c>
    </row>
    <row r="14769" spans="1:16" x14ac:dyDescent="0.25">
      <c r="A14769" t="s">
        <v>37479</v>
      </c>
      <c r="B14769" t="s">
        <v>315</v>
      </c>
      <c r="C14769" t="s">
        <v>316</v>
      </c>
      <c r="D14769" t="str">
        <f>"1001"</f>
        <v>1001</v>
      </c>
      <c r="E14769" t="s">
        <v>42</v>
      </c>
      <c r="F14769" t="s">
        <v>4</v>
      </c>
      <c r="G14769" t="s">
        <v>47095</v>
      </c>
      <c r="H14769" t="s">
        <v>47126</v>
      </c>
      <c r="I14769" t="s">
        <v>47127</v>
      </c>
      <c r="J14769" t="s">
        <v>47128</v>
      </c>
      <c r="K14769" t="s">
        <v>47113</v>
      </c>
      <c r="L14769">
        <v>22.14</v>
      </c>
      <c r="M14769">
        <v>48</v>
      </c>
      <c r="N14769">
        <v>0</v>
      </c>
      <c r="O14769">
        <v>48</v>
      </c>
      <c r="P14769">
        <v>0</v>
      </c>
    </row>
    <row r="14770" spans="1:16" x14ac:dyDescent="0.25">
      <c r="A14770" t="s">
        <v>37480</v>
      </c>
      <c r="B14770" t="s">
        <v>315</v>
      </c>
      <c r="C14770" t="s">
        <v>316</v>
      </c>
      <c r="D14770" t="str">
        <f>"1377"</f>
        <v>1377</v>
      </c>
      <c r="E14770" t="s">
        <v>74</v>
      </c>
      <c r="F14770" t="s">
        <v>4</v>
      </c>
      <c r="G14770" t="s">
        <v>47095</v>
      </c>
      <c r="H14770" t="s">
        <v>47126</v>
      </c>
      <c r="I14770" t="s">
        <v>47127</v>
      </c>
      <c r="J14770" t="s">
        <v>47128</v>
      </c>
      <c r="K14770" t="s">
        <v>47113</v>
      </c>
      <c r="L14770">
        <v>22.14</v>
      </c>
      <c r="M14770">
        <v>48</v>
      </c>
      <c r="N14770">
        <v>0</v>
      </c>
      <c r="O14770">
        <v>48</v>
      </c>
      <c r="P14770">
        <v>0</v>
      </c>
    </row>
    <row r="14771" spans="1:16" x14ac:dyDescent="0.25">
      <c r="A14771" t="s">
        <v>37481</v>
      </c>
      <c r="B14771" t="s">
        <v>315</v>
      </c>
      <c r="C14771" t="s">
        <v>316</v>
      </c>
      <c r="D14771" t="str">
        <f>"2602"</f>
        <v>2602</v>
      </c>
      <c r="E14771" t="s">
        <v>2307</v>
      </c>
      <c r="F14771" t="s">
        <v>4</v>
      </c>
      <c r="G14771" t="s">
        <v>47095</v>
      </c>
      <c r="H14771" t="s">
        <v>47126</v>
      </c>
      <c r="I14771" t="s">
        <v>47127</v>
      </c>
      <c r="J14771" t="s">
        <v>47128</v>
      </c>
      <c r="K14771" t="s">
        <v>47113</v>
      </c>
      <c r="L14771">
        <v>22.14</v>
      </c>
      <c r="M14771">
        <v>48</v>
      </c>
      <c r="N14771">
        <v>0</v>
      </c>
      <c r="O14771">
        <v>48</v>
      </c>
      <c r="P14771">
        <v>0</v>
      </c>
    </row>
    <row r="14772" spans="1:16" x14ac:dyDescent="0.25">
      <c r="A14772" t="s">
        <v>37482</v>
      </c>
      <c r="B14772" t="s">
        <v>315</v>
      </c>
      <c r="C14772" t="s">
        <v>316</v>
      </c>
      <c r="D14772" t="str">
        <f>"3467"</f>
        <v>3467</v>
      </c>
      <c r="E14772" t="s">
        <v>10163</v>
      </c>
      <c r="F14772" t="s">
        <v>4</v>
      </c>
      <c r="G14772" t="s">
        <v>47095</v>
      </c>
      <c r="H14772" t="s">
        <v>47126</v>
      </c>
      <c r="I14772" t="s">
        <v>47127</v>
      </c>
      <c r="J14772" t="s">
        <v>47128</v>
      </c>
      <c r="K14772" t="s">
        <v>47113</v>
      </c>
      <c r="L14772">
        <v>22.14</v>
      </c>
      <c r="M14772">
        <v>48</v>
      </c>
      <c r="N14772">
        <v>0</v>
      </c>
      <c r="O14772">
        <v>48</v>
      </c>
      <c r="P14772">
        <v>0</v>
      </c>
    </row>
    <row r="14773" spans="1:16" x14ac:dyDescent="0.25">
      <c r="A14773" t="s">
        <v>37483</v>
      </c>
      <c r="B14773" t="s">
        <v>315</v>
      </c>
      <c r="C14773" t="s">
        <v>316</v>
      </c>
      <c r="D14773" t="str">
        <f>"5342"</f>
        <v>5342</v>
      </c>
      <c r="E14773" t="s">
        <v>77</v>
      </c>
      <c r="F14773" t="s">
        <v>4</v>
      </c>
      <c r="G14773" t="s">
        <v>47095</v>
      </c>
      <c r="H14773" t="s">
        <v>47126</v>
      </c>
      <c r="I14773" t="s">
        <v>47127</v>
      </c>
      <c r="J14773" t="s">
        <v>47128</v>
      </c>
      <c r="K14773" t="s">
        <v>47113</v>
      </c>
      <c r="L14773">
        <v>22.14</v>
      </c>
      <c r="M14773">
        <v>48</v>
      </c>
      <c r="N14773">
        <v>0</v>
      </c>
      <c r="O14773">
        <v>48</v>
      </c>
      <c r="P14773">
        <v>0</v>
      </c>
    </row>
    <row r="14774" spans="1:16" x14ac:dyDescent="0.25">
      <c r="A14774" t="s">
        <v>37484</v>
      </c>
      <c r="B14774" t="s">
        <v>315</v>
      </c>
      <c r="C14774" t="s">
        <v>316</v>
      </c>
      <c r="D14774" t="str">
        <f>"6000"</f>
        <v>6000</v>
      </c>
      <c r="E14774" t="s">
        <v>238</v>
      </c>
      <c r="F14774" t="s">
        <v>4</v>
      </c>
      <c r="G14774" t="s">
        <v>47095</v>
      </c>
      <c r="H14774" t="s">
        <v>47126</v>
      </c>
      <c r="I14774" t="s">
        <v>47127</v>
      </c>
      <c r="J14774" t="s">
        <v>47128</v>
      </c>
      <c r="K14774" t="s">
        <v>47113</v>
      </c>
      <c r="L14774">
        <v>22.14</v>
      </c>
      <c r="M14774">
        <v>48</v>
      </c>
      <c r="N14774">
        <v>0</v>
      </c>
      <c r="O14774">
        <v>48</v>
      </c>
      <c r="P14774">
        <v>0</v>
      </c>
    </row>
    <row r="14775" spans="1:16" x14ac:dyDescent="0.25">
      <c r="A14775" t="s">
        <v>37485</v>
      </c>
      <c r="B14775" t="s">
        <v>317</v>
      </c>
      <c r="C14775" t="s">
        <v>95</v>
      </c>
      <c r="D14775" t="str">
        <f>"1001"</f>
        <v>1001</v>
      </c>
      <c r="E14775" t="s">
        <v>42</v>
      </c>
      <c r="F14775" t="s">
        <v>4</v>
      </c>
      <c r="G14775" t="s">
        <v>47095</v>
      </c>
      <c r="H14775" t="s">
        <v>47126</v>
      </c>
      <c r="I14775" t="s">
        <v>47127</v>
      </c>
      <c r="J14775" t="s">
        <v>47128</v>
      </c>
      <c r="K14775" t="s">
        <v>47113</v>
      </c>
      <c r="L14775">
        <v>22.14</v>
      </c>
      <c r="M14775">
        <v>48</v>
      </c>
      <c r="N14775">
        <v>0</v>
      </c>
      <c r="O14775">
        <v>48</v>
      </c>
      <c r="P14775">
        <v>0</v>
      </c>
    </row>
    <row r="14776" spans="1:16" x14ac:dyDescent="0.25">
      <c r="A14776" t="s">
        <v>37486</v>
      </c>
      <c r="B14776" t="s">
        <v>317</v>
      </c>
      <c r="C14776" t="s">
        <v>95</v>
      </c>
      <c r="D14776" t="str">
        <f>"2174"</f>
        <v>2174</v>
      </c>
      <c r="E14776" t="s">
        <v>10162</v>
      </c>
      <c r="F14776" t="s">
        <v>4</v>
      </c>
      <c r="G14776" t="s">
        <v>47095</v>
      </c>
      <c r="H14776" t="s">
        <v>47126</v>
      </c>
      <c r="I14776" t="s">
        <v>47127</v>
      </c>
      <c r="J14776" t="s">
        <v>47128</v>
      </c>
      <c r="K14776" t="s">
        <v>47113</v>
      </c>
      <c r="L14776">
        <v>22.14</v>
      </c>
      <c r="M14776">
        <v>48</v>
      </c>
      <c r="N14776">
        <v>0</v>
      </c>
      <c r="O14776">
        <v>48</v>
      </c>
      <c r="P14776">
        <v>0</v>
      </c>
    </row>
    <row r="14777" spans="1:16" x14ac:dyDescent="0.25">
      <c r="A14777" t="s">
        <v>37487</v>
      </c>
      <c r="B14777" t="s">
        <v>317</v>
      </c>
      <c r="C14777" t="s">
        <v>95</v>
      </c>
      <c r="D14777" t="str">
        <f>"4643"</f>
        <v>4643</v>
      </c>
      <c r="E14777" t="s">
        <v>205</v>
      </c>
      <c r="F14777" t="s">
        <v>4</v>
      </c>
      <c r="G14777" t="s">
        <v>47095</v>
      </c>
      <c r="H14777" t="s">
        <v>47126</v>
      </c>
      <c r="I14777" t="s">
        <v>47127</v>
      </c>
      <c r="J14777" t="s">
        <v>47128</v>
      </c>
      <c r="K14777" t="s">
        <v>47113</v>
      </c>
      <c r="L14777">
        <v>22.14</v>
      </c>
      <c r="M14777">
        <v>48</v>
      </c>
      <c r="N14777">
        <v>0</v>
      </c>
      <c r="O14777">
        <v>48</v>
      </c>
      <c r="P14777">
        <v>0</v>
      </c>
    </row>
    <row r="14778" spans="1:16" x14ac:dyDescent="0.25">
      <c r="A14778" t="s">
        <v>37488</v>
      </c>
      <c r="B14778" t="s">
        <v>317</v>
      </c>
      <c r="C14778" t="s">
        <v>95</v>
      </c>
      <c r="D14778" t="str">
        <f>"5342"</f>
        <v>5342</v>
      </c>
      <c r="E14778" t="s">
        <v>77</v>
      </c>
      <c r="F14778" t="s">
        <v>4</v>
      </c>
      <c r="G14778" t="s">
        <v>47095</v>
      </c>
      <c r="H14778" t="s">
        <v>47126</v>
      </c>
      <c r="I14778" t="s">
        <v>47127</v>
      </c>
      <c r="J14778" t="s">
        <v>47128</v>
      </c>
      <c r="K14778" t="s">
        <v>47113</v>
      </c>
      <c r="L14778">
        <v>22.14</v>
      </c>
      <c r="M14778">
        <v>48</v>
      </c>
      <c r="N14778">
        <v>0</v>
      </c>
      <c r="O14778">
        <v>48</v>
      </c>
      <c r="P14778">
        <v>0</v>
      </c>
    </row>
    <row r="14779" spans="1:16" x14ac:dyDescent="0.25">
      <c r="A14779" t="s">
        <v>37489</v>
      </c>
      <c r="B14779" t="s">
        <v>317</v>
      </c>
      <c r="C14779" t="s">
        <v>95</v>
      </c>
      <c r="D14779" t="str">
        <f>"6000"</f>
        <v>6000</v>
      </c>
      <c r="E14779" t="s">
        <v>238</v>
      </c>
      <c r="F14779" t="s">
        <v>4</v>
      </c>
      <c r="G14779" t="s">
        <v>47095</v>
      </c>
      <c r="H14779" t="s">
        <v>47126</v>
      </c>
      <c r="I14779" t="s">
        <v>47127</v>
      </c>
      <c r="J14779" t="s">
        <v>47128</v>
      </c>
      <c r="K14779" t="s">
        <v>47113</v>
      </c>
      <c r="L14779">
        <v>22.14</v>
      </c>
      <c r="M14779">
        <v>48</v>
      </c>
      <c r="N14779">
        <v>0</v>
      </c>
      <c r="O14779">
        <v>48</v>
      </c>
      <c r="P14779">
        <v>0</v>
      </c>
    </row>
    <row r="14780" spans="1:16" x14ac:dyDescent="0.25">
      <c r="A14780" t="s">
        <v>37490</v>
      </c>
      <c r="B14780" t="s">
        <v>10179</v>
      </c>
      <c r="C14780" t="s">
        <v>319</v>
      </c>
      <c r="D14780" t="str">
        <f>"1285"</f>
        <v>1285</v>
      </c>
      <c r="E14780" t="s">
        <v>2148</v>
      </c>
      <c r="F14780" t="s">
        <v>4</v>
      </c>
      <c r="G14780" t="s">
        <v>47094</v>
      </c>
      <c r="H14780" t="s">
        <v>47126</v>
      </c>
      <c r="I14780" t="s">
        <v>47127</v>
      </c>
      <c r="J14780" t="s">
        <v>47128</v>
      </c>
      <c r="K14780" t="s">
        <v>47113</v>
      </c>
      <c r="L14780">
        <v>31.36</v>
      </c>
      <c r="M14780">
        <v>69</v>
      </c>
      <c r="N14780">
        <v>0</v>
      </c>
      <c r="O14780">
        <v>69</v>
      </c>
      <c r="P14780">
        <v>0</v>
      </c>
    </row>
    <row r="14781" spans="1:16" x14ac:dyDescent="0.25">
      <c r="A14781" t="s">
        <v>37491</v>
      </c>
      <c r="B14781" t="s">
        <v>10179</v>
      </c>
      <c r="C14781" t="s">
        <v>319</v>
      </c>
      <c r="D14781" t="str">
        <f>"4643"</f>
        <v>4643</v>
      </c>
      <c r="E14781" t="s">
        <v>205</v>
      </c>
      <c r="F14781" t="s">
        <v>4</v>
      </c>
      <c r="G14781" t="s">
        <v>47094</v>
      </c>
      <c r="H14781" t="s">
        <v>47126</v>
      </c>
      <c r="I14781" t="s">
        <v>47127</v>
      </c>
      <c r="J14781" t="s">
        <v>47128</v>
      </c>
      <c r="K14781" t="s">
        <v>47113</v>
      </c>
      <c r="L14781">
        <v>31.36</v>
      </c>
      <c r="M14781">
        <v>69</v>
      </c>
      <c r="N14781">
        <v>0</v>
      </c>
      <c r="O14781">
        <v>69</v>
      </c>
      <c r="P14781">
        <v>0</v>
      </c>
    </row>
    <row r="14782" spans="1:16" x14ac:dyDescent="0.25">
      <c r="A14782" t="s">
        <v>37492</v>
      </c>
      <c r="B14782" t="s">
        <v>10179</v>
      </c>
      <c r="C14782" t="s">
        <v>319</v>
      </c>
      <c r="D14782" t="str">
        <f>"6000"</f>
        <v>6000</v>
      </c>
      <c r="E14782" t="s">
        <v>238</v>
      </c>
      <c r="F14782" t="s">
        <v>4</v>
      </c>
      <c r="G14782" t="s">
        <v>47094</v>
      </c>
      <c r="H14782" t="s">
        <v>47126</v>
      </c>
      <c r="I14782" t="s">
        <v>47127</v>
      </c>
      <c r="J14782" t="s">
        <v>47128</v>
      </c>
      <c r="K14782" t="s">
        <v>47113</v>
      </c>
      <c r="L14782">
        <v>31.36</v>
      </c>
      <c r="M14782">
        <v>69</v>
      </c>
      <c r="N14782">
        <v>0</v>
      </c>
      <c r="O14782">
        <v>69</v>
      </c>
      <c r="P14782">
        <v>0</v>
      </c>
    </row>
    <row r="14783" spans="1:16" x14ac:dyDescent="0.25">
      <c r="A14783" t="s">
        <v>37493</v>
      </c>
      <c r="B14783" t="s">
        <v>10180</v>
      </c>
      <c r="C14783" t="s">
        <v>319</v>
      </c>
      <c r="D14783" t="str">
        <f>"1001"</f>
        <v>1001</v>
      </c>
      <c r="E14783" t="s">
        <v>42</v>
      </c>
      <c r="F14783" t="s">
        <v>4</v>
      </c>
      <c r="G14783" t="s">
        <v>47094</v>
      </c>
      <c r="H14783" t="s">
        <v>47126</v>
      </c>
      <c r="I14783" t="s">
        <v>47127</v>
      </c>
      <c r="J14783" t="s">
        <v>47128</v>
      </c>
      <c r="K14783" t="s">
        <v>47113</v>
      </c>
      <c r="L14783">
        <v>32.92</v>
      </c>
      <c r="M14783">
        <v>72</v>
      </c>
      <c r="N14783">
        <v>0</v>
      </c>
      <c r="O14783">
        <v>72</v>
      </c>
      <c r="P14783">
        <v>0</v>
      </c>
    </row>
    <row r="14784" spans="1:16" x14ac:dyDescent="0.25">
      <c r="A14784" t="s">
        <v>37494</v>
      </c>
      <c r="B14784" t="s">
        <v>10180</v>
      </c>
      <c r="C14784" t="s">
        <v>319</v>
      </c>
      <c r="D14784" t="str">
        <f>"1377"</f>
        <v>1377</v>
      </c>
      <c r="E14784" t="s">
        <v>74</v>
      </c>
      <c r="F14784" t="s">
        <v>4</v>
      </c>
      <c r="G14784" t="s">
        <v>47094</v>
      </c>
      <c r="H14784" t="s">
        <v>47126</v>
      </c>
      <c r="I14784" t="s">
        <v>47127</v>
      </c>
      <c r="J14784" t="s">
        <v>47128</v>
      </c>
      <c r="K14784" t="s">
        <v>47113</v>
      </c>
      <c r="L14784">
        <v>32.92</v>
      </c>
      <c r="M14784">
        <v>72</v>
      </c>
      <c r="N14784">
        <v>0</v>
      </c>
      <c r="O14784">
        <v>72</v>
      </c>
      <c r="P14784">
        <v>0</v>
      </c>
    </row>
    <row r="14785" spans="1:16" x14ac:dyDescent="0.25">
      <c r="A14785" t="s">
        <v>37495</v>
      </c>
      <c r="B14785" t="s">
        <v>10180</v>
      </c>
      <c r="C14785" t="s">
        <v>319</v>
      </c>
      <c r="D14785" t="str">
        <f>"2602"</f>
        <v>2602</v>
      </c>
      <c r="E14785" t="s">
        <v>2307</v>
      </c>
      <c r="F14785" t="s">
        <v>4</v>
      </c>
      <c r="G14785" t="s">
        <v>47094</v>
      </c>
      <c r="H14785" t="s">
        <v>47126</v>
      </c>
      <c r="I14785" t="s">
        <v>47127</v>
      </c>
      <c r="J14785" t="s">
        <v>47128</v>
      </c>
      <c r="K14785" t="s">
        <v>47113</v>
      </c>
      <c r="L14785">
        <v>32.92</v>
      </c>
      <c r="M14785">
        <v>72</v>
      </c>
      <c r="N14785">
        <v>0</v>
      </c>
      <c r="O14785">
        <v>72</v>
      </c>
      <c r="P14785">
        <v>0</v>
      </c>
    </row>
    <row r="14786" spans="1:16" x14ac:dyDescent="0.25">
      <c r="A14786" t="s">
        <v>37496</v>
      </c>
      <c r="B14786" t="s">
        <v>10180</v>
      </c>
      <c r="C14786" t="s">
        <v>319</v>
      </c>
      <c r="D14786" t="str">
        <f>"3467"</f>
        <v>3467</v>
      </c>
      <c r="E14786" t="s">
        <v>10163</v>
      </c>
      <c r="F14786" t="s">
        <v>4</v>
      </c>
      <c r="G14786" t="s">
        <v>47094</v>
      </c>
      <c r="H14786" t="s">
        <v>47126</v>
      </c>
      <c r="I14786" t="s">
        <v>47127</v>
      </c>
      <c r="J14786" t="s">
        <v>47128</v>
      </c>
      <c r="K14786" t="s">
        <v>47113</v>
      </c>
      <c r="L14786">
        <v>32.92</v>
      </c>
      <c r="M14786">
        <v>72</v>
      </c>
      <c r="N14786">
        <v>0</v>
      </c>
      <c r="O14786">
        <v>72</v>
      </c>
      <c r="P14786">
        <v>0</v>
      </c>
    </row>
    <row r="14787" spans="1:16" x14ac:dyDescent="0.25">
      <c r="A14787" t="s">
        <v>37497</v>
      </c>
      <c r="B14787" t="s">
        <v>10180</v>
      </c>
      <c r="C14787" t="s">
        <v>319</v>
      </c>
      <c r="D14787" t="str">
        <f>"5342"</f>
        <v>5342</v>
      </c>
      <c r="E14787" t="s">
        <v>77</v>
      </c>
      <c r="F14787" t="s">
        <v>4</v>
      </c>
      <c r="G14787" t="s">
        <v>47094</v>
      </c>
      <c r="H14787" t="s">
        <v>47126</v>
      </c>
      <c r="I14787" t="s">
        <v>47127</v>
      </c>
      <c r="J14787" t="s">
        <v>47128</v>
      </c>
      <c r="K14787" t="s">
        <v>47113</v>
      </c>
      <c r="L14787">
        <v>32.92</v>
      </c>
      <c r="M14787">
        <v>72</v>
      </c>
      <c r="N14787">
        <v>0</v>
      </c>
      <c r="O14787">
        <v>72</v>
      </c>
      <c r="P14787">
        <v>0</v>
      </c>
    </row>
    <row r="14788" spans="1:16" x14ac:dyDescent="0.25">
      <c r="A14788" t="s">
        <v>37498</v>
      </c>
      <c r="B14788" t="s">
        <v>10180</v>
      </c>
      <c r="C14788" t="s">
        <v>319</v>
      </c>
      <c r="D14788" t="str">
        <f>"6000"</f>
        <v>6000</v>
      </c>
      <c r="E14788" t="s">
        <v>238</v>
      </c>
      <c r="F14788" t="s">
        <v>4</v>
      </c>
      <c r="G14788" t="s">
        <v>47094</v>
      </c>
      <c r="H14788" t="s">
        <v>47126</v>
      </c>
      <c r="I14788" t="s">
        <v>47127</v>
      </c>
      <c r="J14788" t="s">
        <v>47128</v>
      </c>
      <c r="K14788" t="s">
        <v>47113</v>
      </c>
      <c r="L14788">
        <v>32.92</v>
      </c>
      <c r="M14788">
        <v>72</v>
      </c>
      <c r="N14788">
        <v>0</v>
      </c>
      <c r="O14788">
        <v>72</v>
      </c>
      <c r="P14788">
        <v>0</v>
      </c>
    </row>
    <row r="14789" spans="1:16" x14ac:dyDescent="0.25">
      <c r="A14789" t="s">
        <v>37499</v>
      </c>
      <c r="B14789" t="s">
        <v>318</v>
      </c>
      <c r="C14789" t="s">
        <v>319</v>
      </c>
      <c r="D14789" t="str">
        <f>"1001"</f>
        <v>1001</v>
      </c>
      <c r="E14789" t="s">
        <v>42</v>
      </c>
      <c r="F14789" t="s">
        <v>4</v>
      </c>
      <c r="G14789" t="s">
        <v>47094</v>
      </c>
      <c r="H14789" t="s">
        <v>47126</v>
      </c>
      <c r="I14789" t="s">
        <v>47127</v>
      </c>
      <c r="J14789" t="s">
        <v>47128</v>
      </c>
      <c r="K14789" t="s">
        <v>47113</v>
      </c>
      <c r="L14789">
        <v>36.86</v>
      </c>
      <c r="M14789">
        <v>81</v>
      </c>
      <c r="N14789">
        <v>0</v>
      </c>
      <c r="O14789">
        <v>81</v>
      </c>
      <c r="P14789">
        <v>0</v>
      </c>
    </row>
    <row r="14790" spans="1:16" x14ac:dyDescent="0.25">
      <c r="A14790" t="s">
        <v>15065</v>
      </c>
      <c r="B14790" t="s">
        <v>318</v>
      </c>
      <c r="C14790" t="s">
        <v>319</v>
      </c>
      <c r="D14790" t="str">
        <f>"1377"</f>
        <v>1377</v>
      </c>
      <c r="E14790" t="s">
        <v>74</v>
      </c>
      <c r="F14790" t="s">
        <v>4</v>
      </c>
      <c r="G14790" t="s">
        <v>47094</v>
      </c>
      <c r="H14790" t="s">
        <v>47126</v>
      </c>
      <c r="I14790" t="s">
        <v>47127</v>
      </c>
      <c r="J14790" t="s">
        <v>47128</v>
      </c>
      <c r="K14790" t="s">
        <v>47113</v>
      </c>
      <c r="L14790">
        <v>36.86</v>
      </c>
      <c r="M14790">
        <v>81</v>
      </c>
      <c r="N14790">
        <v>0</v>
      </c>
      <c r="O14790">
        <v>81</v>
      </c>
      <c r="P14790">
        <v>0</v>
      </c>
    </row>
    <row r="14791" spans="1:16" x14ac:dyDescent="0.25">
      <c r="A14791" t="s">
        <v>15066</v>
      </c>
      <c r="B14791" t="s">
        <v>318</v>
      </c>
      <c r="C14791" t="s">
        <v>319</v>
      </c>
      <c r="D14791" t="str">
        <f>"5342"</f>
        <v>5342</v>
      </c>
      <c r="E14791" t="s">
        <v>77</v>
      </c>
      <c r="F14791" t="s">
        <v>4</v>
      </c>
      <c r="G14791" t="s">
        <v>47094</v>
      </c>
      <c r="H14791" t="s">
        <v>47126</v>
      </c>
      <c r="I14791" t="s">
        <v>47127</v>
      </c>
      <c r="J14791" t="s">
        <v>47128</v>
      </c>
      <c r="K14791" t="s">
        <v>47113</v>
      </c>
      <c r="L14791">
        <v>36.86</v>
      </c>
      <c r="M14791">
        <v>81</v>
      </c>
      <c r="N14791">
        <v>0</v>
      </c>
      <c r="O14791">
        <v>81</v>
      </c>
      <c r="P14791">
        <v>0</v>
      </c>
    </row>
    <row r="14792" spans="1:16" x14ac:dyDescent="0.25">
      <c r="A14792" t="s">
        <v>37500</v>
      </c>
      <c r="B14792" t="s">
        <v>10181</v>
      </c>
      <c r="C14792" t="s">
        <v>319</v>
      </c>
      <c r="D14792" t="str">
        <f>"1285"</f>
        <v>1285</v>
      </c>
      <c r="E14792" t="s">
        <v>2148</v>
      </c>
      <c r="F14792" t="s">
        <v>4</v>
      </c>
      <c r="G14792" t="s">
        <v>47094</v>
      </c>
      <c r="H14792" t="s">
        <v>47126</v>
      </c>
      <c r="I14792" t="s">
        <v>47127</v>
      </c>
      <c r="J14792" t="s">
        <v>47128</v>
      </c>
      <c r="K14792" t="s">
        <v>47113</v>
      </c>
      <c r="L14792">
        <v>30.52</v>
      </c>
      <c r="M14792">
        <v>67</v>
      </c>
      <c r="N14792">
        <v>0</v>
      </c>
      <c r="O14792">
        <v>67</v>
      </c>
      <c r="P14792">
        <v>0</v>
      </c>
    </row>
    <row r="14793" spans="1:16" x14ac:dyDescent="0.25">
      <c r="A14793" t="s">
        <v>37501</v>
      </c>
      <c r="B14793" t="s">
        <v>10182</v>
      </c>
      <c r="C14793" t="s">
        <v>319</v>
      </c>
      <c r="D14793" t="str">
        <f>"1001"</f>
        <v>1001</v>
      </c>
      <c r="E14793" t="s">
        <v>42</v>
      </c>
      <c r="F14793" t="s">
        <v>4</v>
      </c>
      <c r="G14793" t="s">
        <v>47094</v>
      </c>
      <c r="H14793" t="s">
        <v>47126</v>
      </c>
      <c r="I14793" t="s">
        <v>47127</v>
      </c>
      <c r="J14793" t="s">
        <v>47128</v>
      </c>
      <c r="K14793" t="s">
        <v>47113</v>
      </c>
      <c r="L14793">
        <v>31.72</v>
      </c>
      <c r="M14793">
        <v>70</v>
      </c>
      <c r="N14793">
        <v>0</v>
      </c>
      <c r="O14793">
        <v>70</v>
      </c>
      <c r="P14793">
        <v>0</v>
      </c>
    </row>
    <row r="14794" spans="1:16" x14ac:dyDescent="0.25">
      <c r="A14794" t="s">
        <v>37502</v>
      </c>
      <c r="B14794" t="s">
        <v>10182</v>
      </c>
      <c r="C14794" t="s">
        <v>319</v>
      </c>
      <c r="D14794" t="str">
        <f>"2174"</f>
        <v>2174</v>
      </c>
      <c r="E14794" t="s">
        <v>10162</v>
      </c>
      <c r="F14794" t="s">
        <v>4</v>
      </c>
      <c r="G14794" t="s">
        <v>47094</v>
      </c>
      <c r="H14794" t="s">
        <v>47126</v>
      </c>
      <c r="I14794" t="s">
        <v>47127</v>
      </c>
      <c r="J14794" t="s">
        <v>47128</v>
      </c>
      <c r="K14794" t="s">
        <v>47113</v>
      </c>
      <c r="L14794">
        <v>31.72</v>
      </c>
      <c r="M14794">
        <v>70</v>
      </c>
      <c r="N14794">
        <v>0</v>
      </c>
      <c r="O14794">
        <v>70</v>
      </c>
      <c r="P14794">
        <v>0</v>
      </c>
    </row>
    <row r="14795" spans="1:16" x14ac:dyDescent="0.25">
      <c r="A14795" t="s">
        <v>37503</v>
      </c>
      <c r="B14795" t="s">
        <v>10182</v>
      </c>
      <c r="C14795" t="s">
        <v>319</v>
      </c>
      <c r="D14795" t="str">
        <f>"3467"</f>
        <v>3467</v>
      </c>
      <c r="E14795" t="s">
        <v>10163</v>
      </c>
      <c r="F14795" t="s">
        <v>4</v>
      </c>
      <c r="G14795" t="s">
        <v>47094</v>
      </c>
      <c r="H14795" t="s">
        <v>47126</v>
      </c>
      <c r="I14795" t="s">
        <v>47127</v>
      </c>
      <c r="J14795" t="s">
        <v>47128</v>
      </c>
      <c r="K14795" t="s">
        <v>47113</v>
      </c>
      <c r="L14795">
        <v>31.72</v>
      </c>
      <c r="M14795">
        <v>70</v>
      </c>
      <c r="N14795">
        <v>0</v>
      </c>
      <c r="O14795">
        <v>70</v>
      </c>
      <c r="P14795">
        <v>0</v>
      </c>
    </row>
    <row r="14796" spans="1:16" x14ac:dyDescent="0.25">
      <c r="A14796" t="s">
        <v>37504</v>
      </c>
      <c r="B14796" t="s">
        <v>10182</v>
      </c>
      <c r="C14796" t="s">
        <v>319</v>
      </c>
      <c r="D14796" t="str">
        <f>"4643"</f>
        <v>4643</v>
      </c>
      <c r="E14796" t="s">
        <v>205</v>
      </c>
      <c r="F14796" t="s">
        <v>4</v>
      </c>
      <c r="G14796" t="s">
        <v>47094</v>
      </c>
      <c r="H14796" t="s">
        <v>47126</v>
      </c>
      <c r="I14796" t="s">
        <v>47127</v>
      </c>
      <c r="J14796" t="s">
        <v>47128</v>
      </c>
      <c r="K14796" t="s">
        <v>47113</v>
      </c>
      <c r="L14796">
        <v>31.72</v>
      </c>
      <c r="M14796">
        <v>70</v>
      </c>
      <c r="N14796">
        <v>0</v>
      </c>
      <c r="O14796">
        <v>70</v>
      </c>
      <c r="P14796">
        <v>0</v>
      </c>
    </row>
    <row r="14797" spans="1:16" x14ac:dyDescent="0.25">
      <c r="A14797" t="s">
        <v>37505</v>
      </c>
      <c r="B14797" t="s">
        <v>10182</v>
      </c>
      <c r="C14797" t="s">
        <v>319</v>
      </c>
      <c r="D14797" t="str">
        <f>"6000"</f>
        <v>6000</v>
      </c>
      <c r="E14797" t="s">
        <v>238</v>
      </c>
      <c r="F14797" t="s">
        <v>4</v>
      </c>
      <c r="G14797" t="s">
        <v>47094</v>
      </c>
      <c r="H14797" t="s">
        <v>47126</v>
      </c>
      <c r="I14797" t="s">
        <v>47127</v>
      </c>
      <c r="J14797" t="s">
        <v>47128</v>
      </c>
      <c r="K14797" t="s">
        <v>47113</v>
      </c>
      <c r="L14797">
        <v>31.72</v>
      </c>
      <c r="M14797">
        <v>70</v>
      </c>
      <c r="N14797">
        <v>0</v>
      </c>
      <c r="O14797">
        <v>70</v>
      </c>
      <c r="P14797">
        <v>0</v>
      </c>
    </row>
    <row r="14798" spans="1:16" x14ac:dyDescent="0.25">
      <c r="A14798" t="s">
        <v>37506</v>
      </c>
      <c r="B14798" t="s">
        <v>10183</v>
      </c>
      <c r="C14798" t="s">
        <v>10184</v>
      </c>
      <c r="D14798" t="str">
        <f>"1285"</f>
        <v>1285</v>
      </c>
      <c r="E14798" t="s">
        <v>2148</v>
      </c>
      <c r="F14798" t="s">
        <v>4</v>
      </c>
      <c r="G14798" t="s">
        <v>47096</v>
      </c>
      <c r="H14798" t="s">
        <v>47126</v>
      </c>
      <c r="I14798" t="s">
        <v>47127</v>
      </c>
      <c r="J14798" t="s">
        <v>47128</v>
      </c>
      <c r="K14798" t="s">
        <v>47113</v>
      </c>
      <c r="L14798">
        <v>23.69</v>
      </c>
      <c r="M14798">
        <v>52</v>
      </c>
      <c r="N14798">
        <v>0</v>
      </c>
      <c r="O14798">
        <v>52</v>
      </c>
      <c r="P14798">
        <v>0</v>
      </c>
    </row>
    <row r="14799" spans="1:16" x14ac:dyDescent="0.25">
      <c r="A14799" t="s">
        <v>37507</v>
      </c>
      <c r="B14799" t="s">
        <v>10185</v>
      </c>
      <c r="C14799" t="s">
        <v>10186</v>
      </c>
      <c r="D14799" t="str">
        <f>"1001"</f>
        <v>1001</v>
      </c>
      <c r="E14799" t="s">
        <v>42</v>
      </c>
      <c r="F14799" t="s">
        <v>4</v>
      </c>
      <c r="G14799" t="s">
        <v>47096</v>
      </c>
      <c r="H14799" t="s">
        <v>47126</v>
      </c>
      <c r="I14799" t="s">
        <v>47127</v>
      </c>
      <c r="J14799" t="s">
        <v>47128</v>
      </c>
      <c r="K14799" t="s">
        <v>47113</v>
      </c>
      <c r="L14799">
        <v>22.14</v>
      </c>
      <c r="M14799">
        <v>48</v>
      </c>
      <c r="N14799">
        <v>0</v>
      </c>
      <c r="O14799">
        <v>48</v>
      </c>
      <c r="P14799">
        <v>0</v>
      </c>
    </row>
    <row r="14800" spans="1:16" x14ac:dyDescent="0.25">
      <c r="A14800" t="s">
        <v>37508</v>
      </c>
      <c r="B14800" t="s">
        <v>10185</v>
      </c>
      <c r="C14800" t="s">
        <v>10186</v>
      </c>
      <c r="D14800" t="str">
        <f>"2174"</f>
        <v>2174</v>
      </c>
      <c r="E14800" t="s">
        <v>10162</v>
      </c>
      <c r="F14800" t="s">
        <v>4</v>
      </c>
      <c r="G14800" t="s">
        <v>47096</v>
      </c>
      <c r="H14800" t="s">
        <v>47126</v>
      </c>
      <c r="I14800" t="s">
        <v>47127</v>
      </c>
      <c r="J14800" t="s">
        <v>47128</v>
      </c>
      <c r="K14800" t="s">
        <v>47113</v>
      </c>
      <c r="L14800">
        <v>22.14</v>
      </c>
      <c r="M14800">
        <v>48</v>
      </c>
      <c r="N14800">
        <v>0</v>
      </c>
      <c r="O14800">
        <v>48</v>
      </c>
      <c r="P14800">
        <v>0</v>
      </c>
    </row>
    <row r="14801" spans="1:16" x14ac:dyDescent="0.25">
      <c r="A14801" t="s">
        <v>37509</v>
      </c>
      <c r="B14801" t="s">
        <v>10185</v>
      </c>
      <c r="C14801" t="s">
        <v>10186</v>
      </c>
      <c r="D14801" t="str">
        <f>"3467"</f>
        <v>3467</v>
      </c>
      <c r="E14801" t="s">
        <v>10163</v>
      </c>
      <c r="F14801" t="s">
        <v>4</v>
      </c>
      <c r="G14801" t="s">
        <v>47096</v>
      </c>
      <c r="H14801" t="s">
        <v>47126</v>
      </c>
      <c r="I14801" t="s">
        <v>47127</v>
      </c>
      <c r="J14801" t="s">
        <v>47128</v>
      </c>
      <c r="K14801" t="s">
        <v>47113</v>
      </c>
      <c r="L14801">
        <v>22.14</v>
      </c>
      <c r="M14801">
        <v>48</v>
      </c>
      <c r="N14801">
        <v>0</v>
      </c>
      <c r="O14801">
        <v>48</v>
      </c>
      <c r="P14801">
        <v>0</v>
      </c>
    </row>
    <row r="14802" spans="1:16" x14ac:dyDescent="0.25">
      <c r="A14802" t="s">
        <v>37510</v>
      </c>
      <c r="B14802" t="s">
        <v>10185</v>
      </c>
      <c r="C14802" t="s">
        <v>10186</v>
      </c>
      <c r="D14802" t="str">
        <f>"4643"</f>
        <v>4643</v>
      </c>
      <c r="E14802" t="s">
        <v>205</v>
      </c>
      <c r="F14802" t="s">
        <v>4</v>
      </c>
      <c r="G14802" t="s">
        <v>47096</v>
      </c>
      <c r="H14802" t="s">
        <v>47126</v>
      </c>
      <c r="I14802" t="s">
        <v>47127</v>
      </c>
      <c r="J14802" t="s">
        <v>47128</v>
      </c>
      <c r="K14802" t="s">
        <v>47113</v>
      </c>
      <c r="L14802">
        <v>22.14</v>
      </c>
      <c r="M14802">
        <v>48</v>
      </c>
      <c r="N14802">
        <v>0</v>
      </c>
      <c r="O14802">
        <v>48</v>
      </c>
      <c r="P14802">
        <v>0</v>
      </c>
    </row>
    <row r="14803" spans="1:16" x14ac:dyDescent="0.25">
      <c r="A14803" t="s">
        <v>37511</v>
      </c>
      <c r="B14803" t="s">
        <v>10185</v>
      </c>
      <c r="C14803" t="s">
        <v>10186</v>
      </c>
      <c r="D14803" t="str">
        <f>"6000"</f>
        <v>6000</v>
      </c>
      <c r="E14803" t="s">
        <v>238</v>
      </c>
      <c r="F14803" t="s">
        <v>4</v>
      </c>
      <c r="G14803" t="s">
        <v>47096</v>
      </c>
      <c r="H14803" t="s">
        <v>47126</v>
      </c>
      <c r="I14803" t="s">
        <v>47127</v>
      </c>
      <c r="J14803" t="s">
        <v>47128</v>
      </c>
      <c r="K14803" t="s">
        <v>47113</v>
      </c>
      <c r="L14803">
        <v>22.14</v>
      </c>
      <c r="M14803">
        <v>48</v>
      </c>
      <c r="N14803">
        <v>0</v>
      </c>
      <c r="O14803">
        <v>48</v>
      </c>
      <c r="P14803">
        <v>0</v>
      </c>
    </row>
    <row r="14804" spans="1:16" x14ac:dyDescent="0.25">
      <c r="A14804" t="s">
        <v>37512</v>
      </c>
      <c r="B14804" t="s">
        <v>320</v>
      </c>
      <c r="C14804" t="s">
        <v>321</v>
      </c>
      <c r="D14804" t="str">
        <f>"1001"</f>
        <v>1001</v>
      </c>
      <c r="E14804" t="s">
        <v>42</v>
      </c>
      <c r="F14804" t="s">
        <v>4</v>
      </c>
      <c r="G14804" t="s">
        <v>47096</v>
      </c>
      <c r="H14804" t="s">
        <v>47126</v>
      </c>
      <c r="I14804" t="s">
        <v>47127</v>
      </c>
      <c r="J14804" t="s">
        <v>47128</v>
      </c>
      <c r="K14804" t="s">
        <v>47113</v>
      </c>
      <c r="L14804">
        <v>26.93</v>
      </c>
      <c r="M14804">
        <v>59</v>
      </c>
      <c r="N14804">
        <v>0</v>
      </c>
      <c r="O14804">
        <v>59</v>
      </c>
      <c r="P14804">
        <v>0</v>
      </c>
    </row>
    <row r="14805" spans="1:16" x14ac:dyDescent="0.25">
      <c r="A14805" t="s">
        <v>37513</v>
      </c>
      <c r="B14805" t="s">
        <v>320</v>
      </c>
      <c r="C14805" t="s">
        <v>321</v>
      </c>
      <c r="D14805" t="str">
        <f>"2174"</f>
        <v>2174</v>
      </c>
      <c r="E14805" t="s">
        <v>10162</v>
      </c>
      <c r="F14805" t="s">
        <v>4</v>
      </c>
      <c r="G14805" t="s">
        <v>47096</v>
      </c>
      <c r="H14805" t="s">
        <v>47126</v>
      </c>
      <c r="I14805" t="s">
        <v>47127</v>
      </c>
      <c r="J14805" t="s">
        <v>47128</v>
      </c>
      <c r="K14805" t="s">
        <v>47113</v>
      </c>
      <c r="L14805">
        <v>26.93</v>
      </c>
      <c r="M14805">
        <v>59</v>
      </c>
      <c r="N14805">
        <v>0</v>
      </c>
      <c r="O14805">
        <v>59</v>
      </c>
      <c r="P14805">
        <v>0</v>
      </c>
    </row>
    <row r="14806" spans="1:16" x14ac:dyDescent="0.25">
      <c r="A14806" t="s">
        <v>37514</v>
      </c>
      <c r="B14806" t="s">
        <v>320</v>
      </c>
      <c r="C14806" t="s">
        <v>321</v>
      </c>
      <c r="D14806" t="str">
        <f>"3467"</f>
        <v>3467</v>
      </c>
      <c r="E14806" t="s">
        <v>10163</v>
      </c>
      <c r="F14806" t="s">
        <v>4</v>
      </c>
      <c r="G14806" t="s">
        <v>47096</v>
      </c>
      <c r="H14806" t="s">
        <v>47126</v>
      </c>
      <c r="I14806" t="s">
        <v>47127</v>
      </c>
      <c r="J14806" t="s">
        <v>47128</v>
      </c>
      <c r="K14806" t="s">
        <v>47113</v>
      </c>
      <c r="L14806">
        <v>26.93</v>
      </c>
      <c r="M14806">
        <v>59</v>
      </c>
      <c r="N14806">
        <v>0</v>
      </c>
      <c r="O14806">
        <v>59</v>
      </c>
      <c r="P14806">
        <v>0</v>
      </c>
    </row>
    <row r="14807" spans="1:16" x14ac:dyDescent="0.25">
      <c r="A14807" t="s">
        <v>15067</v>
      </c>
      <c r="B14807" t="s">
        <v>320</v>
      </c>
      <c r="C14807" t="s">
        <v>321</v>
      </c>
      <c r="D14807" t="str">
        <f>"4643"</f>
        <v>4643</v>
      </c>
      <c r="E14807" t="s">
        <v>205</v>
      </c>
      <c r="F14807" t="s">
        <v>4</v>
      </c>
      <c r="G14807" t="s">
        <v>47096</v>
      </c>
      <c r="H14807" t="s">
        <v>47126</v>
      </c>
      <c r="I14807" t="s">
        <v>47127</v>
      </c>
      <c r="J14807" t="s">
        <v>47128</v>
      </c>
      <c r="K14807" t="s">
        <v>47113</v>
      </c>
      <c r="L14807">
        <v>26.93</v>
      </c>
      <c r="M14807">
        <v>59</v>
      </c>
      <c r="N14807">
        <v>0</v>
      </c>
      <c r="O14807">
        <v>59</v>
      </c>
      <c r="P14807">
        <v>0</v>
      </c>
    </row>
    <row r="14808" spans="1:16" x14ac:dyDescent="0.25">
      <c r="A14808" t="s">
        <v>37515</v>
      </c>
      <c r="B14808" t="s">
        <v>320</v>
      </c>
      <c r="C14808" t="s">
        <v>321</v>
      </c>
      <c r="D14808" t="str">
        <f>"6000"</f>
        <v>6000</v>
      </c>
      <c r="E14808" t="s">
        <v>238</v>
      </c>
      <c r="F14808" t="s">
        <v>4</v>
      </c>
      <c r="G14808" t="s">
        <v>47096</v>
      </c>
      <c r="H14808" t="s">
        <v>47126</v>
      </c>
      <c r="I14808" t="s">
        <v>47127</v>
      </c>
      <c r="J14808" t="s">
        <v>47128</v>
      </c>
      <c r="K14808" t="s">
        <v>47113</v>
      </c>
      <c r="L14808">
        <v>26.93</v>
      </c>
      <c r="M14808">
        <v>59</v>
      </c>
      <c r="N14808">
        <v>0</v>
      </c>
      <c r="O14808">
        <v>59</v>
      </c>
      <c r="P14808">
        <v>0</v>
      </c>
    </row>
    <row r="14809" spans="1:16" x14ac:dyDescent="0.25">
      <c r="A14809" t="s">
        <v>15068</v>
      </c>
      <c r="B14809" t="s">
        <v>322</v>
      </c>
      <c r="C14809" t="s">
        <v>323</v>
      </c>
      <c r="D14809" t="str">
        <f>"1001"</f>
        <v>1001</v>
      </c>
      <c r="E14809" t="s">
        <v>42</v>
      </c>
      <c r="F14809" t="s">
        <v>4</v>
      </c>
      <c r="G14809" t="s">
        <v>47091</v>
      </c>
      <c r="H14809" t="s">
        <v>47126</v>
      </c>
      <c r="I14809" t="s">
        <v>47127</v>
      </c>
      <c r="J14809" t="s">
        <v>47128</v>
      </c>
      <c r="K14809" t="s">
        <v>47113</v>
      </c>
      <c r="L14809">
        <v>10.17</v>
      </c>
      <c r="M14809">
        <v>22</v>
      </c>
      <c r="N14809">
        <v>0</v>
      </c>
      <c r="O14809">
        <v>22</v>
      </c>
      <c r="P14809">
        <v>0</v>
      </c>
    </row>
    <row r="14810" spans="1:16" x14ac:dyDescent="0.25">
      <c r="A14810" t="s">
        <v>37516</v>
      </c>
      <c r="B14810" t="s">
        <v>322</v>
      </c>
      <c r="C14810" t="s">
        <v>323</v>
      </c>
      <c r="D14810" t="str">
        <f>"2174"</f>
        <v>2174</v>
      </c>
      <c r="E14810" t="s">
        <v>10162</v>
      </c>
      <c r="F14810" t="s">
        <v>4</v>
      </c>
      <c r="G14810" t="s">
        <v>47091</v>
      </c>
      <c r="H14810" t="s">
        <v>47126</v>
      </c>
      <c r="I14810" t="s">
        <v>47127</v>
      </c>
      <c r="J14810" t="s">
        <v>47128</v>
      </c>
      <c r="K14810" t="s">
        <v>47113</v>
      </c>
      <c r="L14810">
        <v>10.17</v>
      </c>
      <c r="M14810">
        <v>22</v>
      </c>
      <c r="N14810">
        <v>0</v>
      </c>
      <c r="O14810">
        <v>22</v>
      </c>
      <c r="P14810">
        <v>0</v>
      </c>
    </row>
    <row r="14811" spans="1:16" x14ac:dyDescent="0.25">
      <c r="A14811" t="s">
        <v>37517</v>
      </c>
      <c r="B14811" t="s">
        <v>322</v>
      </c>
      <c r="C14811" t="s">
        <v>323</v>
      </c>
      <c r="D14811" t="str">
        <f>"3467"</f>
        <v>3467</v>
      </c>
      <c r="E14811" t="s">
        <v>10163</v>
      </c>
      <c r="F14811" t="s">
        <v>4</v>
      </c>
      <c r="G14811" t="s">
        <v>47091</v>
      </c>
      <c r="H14811" t="s">
        <v>47126</v>
      </c>
      <c r="I14811" t="s">
        <v>47127</v>
      </c>
      <c r="J14811" t="s">
        <v>47128</v>
      </c>
      <c r="K14811" t="s">
        <v>47113</v>
      </c>
      <c r="L14811">
        <v>10.17</v>
      </c>
      <c r="M14811">
        <v>22</v>
      </c>
      <c r="N14811">
        <v>0</v>
      </c>
      <c r="O14811">
        <v>22</v>
      </c>
      <c r="P14811">
        <v>0</v>
      </c>
    </row>
    <row r="14812" spans="1:16" x14ac:dyDescent="0.25">
      <c r="A14812" t="s">
        <v>15069</v>
      </c>
      <c r="B14812" t="s">
        <v>322</v>
      </c>
      <c r="C14812" t="s">
        <v>323</v>
      </c>
      <c r="D14812" t="str">
        <f>"4643"</f>
        <v>4643</v>
      </c>
      <c r="E14812" t="s">
        <v>205</v>
      </c>
      <c r="F14812" t="s">
        <v>4</v>
      </c>
      <c r="G14812" t="s">
        <v>47091</v>
      </c>
      <c r="H14812" t="s">
        <v>47126</v>
      </c>
      <c r="I14812" t="s">
        <v>47127</v>
      </c>
      <c r="J14812" t="s">
        <v>47128</v>
      </c>
      <c r="K14812" t="s">
        <v>47113</v>
      </c>
      <c r="L14812">
        <v>10.17</v>
      </c>
      <c r="M14812">
        <v>22</v>
      </c>
      <c r="N14812">
        <v>0</v>
      </c>
      <c r="O14812">
        <v>22</v>
      </c>
      <c r="P14812">
        <v>0</v>
      </c>
    </row>
    <row r="14813" spans="1:16" x14ac:dyDescent="0.25">
      <c r="A14813" t="s">
        <v>37518</v>
      </c>
      <c r="B14813" t="s">
        <v>322</v>
      </c>
      <c r="C14813" t="s">
        <v>323</v>
      </c>
      <c r="D14813" t="str">
        <f>"6000"</f>
        <v>6000</v>
      </c>
      <c r="E14813" t="s">
        <v>238</v>
      </c>
      <c r="F14813" t="s">
        <v>4</v>
      </c>
      <c r="G14813" t="s">
        <v>47091</v>
      </c>
      <c r="H14813" t="s">
        <v>47126</v>
      </c>
      <c r="I14813" t="s">
        <v>47127</v>
      </c>
      <c r="J14813" t="s">
        <v>47128</v>
      </c>
      <c r="K14813" t="s">
        <v>47113</v>
      </c>
      <c r="L14813">
        <v>10.17</v>
      </c>
      <c r="M14813">
        <v>22</v>
      </c>
      <c r="N14813">
        <v>0</v>
      </c>
      <c r="O14813">
        <v>22</v>
      </c>
      <c r="P14813">
        <v>0</v>
      </c>
    </row>
    <row r="14814" spans="1:16" x14ac:dyDescent="0.25">
      <c r="A14814" t="s">
        <v>37519</v>
      </c>
      <c r="B14814" t="s">
        <v>10187</v>
      </c>
      <c r="C14814" t="s">
        <v>10188</v>
      </c>
      <c r="D14814" t="str">
        <f>"1001"</f>
        <v>1001</v>
      </c>
      <c r="E14814" t="s">
        <v>42</v>
      </c>
      <c r="F14814" t="s">
        <v>4</v>
      </c>
      <c r="G14814" t="s">
        <v>47096</v>
      </c>
      <c r="H14814" t="s">
        <v>47126</v>
      </c>
      <c r="I14814" t="s">
        <v>47127</v>
      </c>
      <c r="J14814" t="s">
        <v>47128</v>
      </c>
      <c r="K14814" t="s">
        <v>47113</v>
      </c>
      <c r="L14814">
        <v>27.15</v>
      </c>
      <c r="M14814">
        <v>66</v>
      </c>
      <c r="N14814">
        <v>0</v>
      </c>
      <c r="O14814">
        <v>66</v>
      </c>
      <c r="P14814">
        <v>0</v>
      </c>
    </row>
    <row r="14815" spans="1:16" x14ac:dyDescent="0.25">
      <c r="A14815" t="s">
        <v>37520</v>
      </c>
      <c r="B14815" t="s">
        <v>10187</v>
      </c>
      <c r="C14815" t="s">
        <v>10188</v>
      </c>
      <c r="D14815" t="str">
        <f>"2174"</f>
        <v>2174</v>
      </c>
      <c r="E14815" t="s">
        <v>10162</v>
      </c>
      <c r="F14815" t="s">
        <v>4</v>
      </c>
      <c r="G14815" t="s">
        <v>47096</v>
      </c>
      <c r="H14815" t="s">
        <v>47126</v>
      </c>
      <c r="I14815" t="s">
        <v>47127</v>
      </c>
      <c r="J14815" t="s">
        <v>47128</v>
      </c>
      <c r="K14815" t="s">
        <v>47113</v>
      </c>
      <c r="L14815">
        <v>27.15</v>
      </c>
      <c r="M14815">
        <v>66</v>
      </c>
      <c r="N14815">
        <v>0</v>
      </c>
      <c r="O14815">
        <v>66</v>
      </c>
      <c r="P14815">
        <v>0</v>
      </c>
    </row>
    <row r="14816" spans="1:16" x14ac:dyDescent="0.25">
      <c r="A14816" t="s">
        <v>37521</v>
      </c>
      <c r="B14816" t="s">
        <v>10187</v>
      </c>
      <c r="C14816" t="s">
        <v>10188</v>
      </c>
      <c r="D14816" t="str">
        <f>"3467"</f>
        <v>3467</v>
      </c>
      <c r="E14816" t="s">
        <v>10163</v>
      </c>
      <c r="F14816" t="s">
        <v>4</v>
      </c>
      <c r="G14816" t="s">
        <v>47096</v>
      </c>
      <c r="H14816" t="s">
        <v>47126</v>
      </c>
      <c r="I14816" t="s">
        <v>47127</v>
      </c>
      <c r="J14816" t="s">
        <v>47128</v>
      </c>
      <c r="K14816" t="s">
        <v>47113</v>
      </c>
      <c r="L14816">
        <v>27.15</v>
      </c>
      <c r="M14816">
        <v>66</v>
      </c>
      <c r="N14816">
        <v>0</v>
      </c>
      <c r="O14816">
        <v>66</v>
      </c>
      <c r="P14816">
        <v>0</v>
      </c>
    </row>
    <row r="14817" spans="1:16" x14ac:dyDescent="0.25">
      <c r="A14817" t="s">
        <v>37522</v>
      </c>
      <c r="B14817" t="s">
        <v>10187</v>
      </c>
      <c r="C14817" t="s">
        <v>10188</v>
      </c>
      <c r="D14817" t="str">
        <f>"4643"</f>
        <v>4643</v>
      </c>
      <c r="E14817" t="s">
        <v>205</v>
      </c>
      <c r="F14817" t="s">
        <v>4</v>
      </c>
      <c r="G14817" t="s">
        <v>47096</v>
      </c>
      <c r="H14817" t="s">
        <v>47126</v>
      </c>
      <c r="I14817" t="s">
        <v>47127</v>
      </c>
      <c r="J14817" t="s">
        <v>47128</v>
      </c>
      <c r="K14817" t="s">
        <v>47113</v>
      </c>
      <c r="L14817">
        <v>27.15</v>
      </c>
      <c r="M14817">
        <v>66</v>
      </c>
      <c r="N14817">
        <v>0</v>
      </c>
      <c r="O14817">
        <v>66</v>
      </c>
      <c r="P14817">
        <v>0</v>
      </c>
    </row>
    <row r="14818" spans="1:16" x14ac:dyDescent="0.25">
      <c r="A14818" t="s">
        <v>37523</v>
      </c>
      <c r="B14818" t="s">
        <v>10187</v>
      </c>
      <c r="C14818" t="s">
        <v>10188</v>
      </c>
      <c r="D14818" t="str">
        <f>"6064"</f>
        <v>6064</v>
      </c>
      <c r="E14818" t="s">
        <v>87</v>
      </c>
      <c r="F14818" t="s">
        <v>4</v>
      </c>
      <c r="G14818" t="s">
        <v>47096</v>
      </c>
      <c r="H14818" t="s">
        <v>47126</v>
      </c>
      <c r="I14818" t="s">
        <v>47127</v>
      </c>
      <c r="J14818" t="s">
        <v>47128</v>
      </c>
      <c r="K14818" t="s">
        <v>47113</v>
      </c>
      <c r="L14818">
        <v>27.15</v>
      </c>
      <c r="M14818">
        <v>66</v>
      </c>
      <c r="N14818">
        <v>0</v>
      </c>
      <c r="O14818">
        <v>66</v>
      </c>
      <c r="P14818">
        <v>0</v>
      </c>
    </row>
    <row r="14819" spans="1:16" x14ac:dyDescent="0.25">
      <c r="A14819" t="s">
        <v>37524</v>
      </c>
      <c r="B14819" t="s">
        <v>10189</v>
      </c>
      <c r="C14819" t="s">
        <v>10190</v>
      </c>
      <c r="D14819" t="str">
        <f>"1383"</f>
        <v>1383</v>
      </c>
      <c r="E14819" t="s">
        <v>10191</v>
      </c>
      <c r="F14819" t="s">
        <v>4</v>
      </c>
      <c r="G14819" t="s">
        <v>47096</v>
      </c>
      <c r="H14819" t="s">
        <v>47126</v>
      </c>
      <c r="I14819" t="s">
        <v>47127</v>
      </c>
      <c r="J14819" t="s">
        <v>47128</v>
      </c>
      <c r="K14819" t="s">
        <v>47113</v>
      </c>
      <c r="L14819">
        <v>52.42</v>
      </c>
      <c r="M14819">
        <v>115</v>
      </c>
      <c r="N14819">
        <v>0</v>
      </c>
      <c r="O14819">
        <v>115</v>
      </c>
      <c r="P14819">
        <v>0</v>
      </c>
    </row>
    <row r="14820" spans="1:16" x14ac:dyDescent="0.25">
      <c r="A14820" t="s">
        <v>37525</v>
      </c>
      <c r="B14820" t="s">
        <v>10189</v>
      </c>
      <c r="C14820" t="s">
        <v>10190</v>
      </c>
      <c r="D14820" t="str">
        <f>"4643"</f>
        <v>4643</v>
      </c>
      <c r="E14820" t="s">
        <v>205</v>
      </c>
      <c r="F14820" t="s">
        <v>4</v>
      </c>
      <c r="G14820" t="s">
        <v>47096</v>
      </c>
      <c r="H14820" t="s">
        <v>47126</v>
      </c>
      <c r="I14820" t="s">
        <v>47127</v>
      </c>
      <c r="J14820" t="s">
        <v>47128</v>
      </c>
      <c r="K14820" t="s">
        <v>47113</v>
      </c>
      <c r="L14820">
        <v>52.42</v>
      </c>
      <c r="M14820">
        <v>115</v>
      </c>
      <c r="N14820">
        <v>0</v>
      </c>
      <c r="O14820">
        <v>115</v>
      </c>
      <c r="P14820">
        <v>0</v>
      </c>
    </row>
    <row r="14821" spans="1:16" x14ac:dyDescent="0.25">
      <c r="A14821" t="s">
        <v>37526</v>
      </c>
      <c r="B14821" t="s">
        <v>10192</v>
      </c>
      <c r="C14821" t="s">
        <v>10193</v>
      </c>
      <c r="D14821" t="str">
        <f>"1383"</f>
        <v>1383</v>
      </c>
      <c r="E14821" t="s">
        <v>10191</v>
      </c>
      <c r="F14821" t="s">
        <v>4</v>
      </c>
      <c r="G14821" t="s">
        <v>47096</v>
      </c>
      <c r="H14821" t="s">
        <v>47126</v>
      </c>
      <c r="I14821" t="s">
        <v>47127</v>
      </c>
      <c r="J14821" t="s">
        <v>47128</v>
      </c>
      <c r="K14821" t="s">
        <v>47113</v>
      </c>
      <c r="L14821">
        <v>67.2</v>
      </c>
      <c r="M14821">
        <v>147</v>
      </c>
      <c r="N14821">
        <v>0</v>
      </c>
      <c r="O14821">
        <v>147</v>
      </c>
      <c r="P14821">
        <v>0</v>
      </c>
    </row>
    <row r="14822" spans="1:16" x14ac:dyDescent="0.25">
      <c r="A14822" t="s">
        <v>37527</v>
      </c>
      <c r="B14822" t="s">
        <v>10192</v>
      </c>
      <c r="C14822" t="s">
        <v>10193</v>
      </c>
      <c r="D14822" t="str">
        <f>"4643"</f>
        <v>4643</v>
      </c>
      <c r="E14822" t="s">
        <v>205</v>
      </c>
      <c r="F14822" t="s">
        <v>4</v>
      </c>
      <c r="G14822" t="s">
        <v>47096</v>
      </c>
      <c r="H14822" t="s">
        <v>47126</v>
      </c>
      <c r="I14822" t="s">
        <v>47127</v>
      </c>
      <c r="J14822" t="s">
        <v>47128</v>
      </c>
      <c r="K14822" t="s">
        <v>47113</v>
      </c>
      <c r="L14822">
        <v>67.2</v>
      </c>
      <c r="M14822">
        <v>147</v>
      </c>
      <c r="N14822">
        <v>0</v>
      </c>
      <c r="O14822">
        <v>147</v>
      </c>
      <c r="P14822">
        <v>0</v>
      </c>
    </row>
    <row r="14823" spans="1:16" x14ac:dyDescent="0.25">
      <c r="A14823" t="s">
        <v>37528</v>
      </c>
      <c r="B14823" t="s">
        <v>10194</v>
      </c>
      <c r="C14823" t="s">
        <v>2241</v>
      </c>
      <c r="D14823" t="str">
        <f>"1001"</f>
        <v>1001</v>
      </c>
      <c r="E14823" t="s">
        <v>42</v>
      </c>
      <c r="F14823" t="s">
        <v>4</v>
      </c>
      <c r="G14823" t="s">
        <v>47096</v>
      </c>
      <c r="H14823" t="s">
        <v>47126</v>
      </c>
      <c r="I14823" t="s">
        <v>47127</v>
      </c>
      <c r="J14823" t="s">
        <v>47128</v>
      </c>
      <c r="K14823" t="s">
        <v>47113</v>
      </c>
      <c r="L14823">
        <v>56.49</v>
      </c>
      <c r="M14823">
        <v>124</v>
      </c>
      <c r="N14823">
        <v>0</v>
      </c>
      <c r="O14823">
        <v>124</v>
      </c>
      <c r="P14823">
        <v>0</v>
      </c>
    </row>
    <row r="14824" spans="1:16" x14ac:dyDescent="0.25">
      <c r="A14824" t="s">
        <v>37529</v>
      </c>
      <c r="B14824" t="s">
        <v>10194</v>
      </c>
      <c r="C14824" t="s">
        <v>2241</v>
      </c>
      <c r="D14824" t="str">
        <f>"1383"</f>
        <v>1383</v>
      </c>
      <c r="E14824" t="s">
        <v>10195</v>
      </c>
      <c r="F14824" t="s">
        <v>4</v>
      </c>
      <c r="G14824" t="s">
        <v>47096</v>
      </c>
      <c r="H14824" t="s">
        <v>47126</v>
      </c>
      <c r="I14824" t="s">
        <v>47127</v>
      </c>
      <c r="J14824" t="s">
        <v>47128</v>
      </c>
      <c r="K14824" t="s">
        <v>47113</v>
      </c>
      <c r="L14824">
        <v>56.49</v>
      </c>
      <c r="M14824">
        <v>124</v>
      </c>
      <c r="N14824">
        <v>0</v>
      </c>
      <c r="O14824">
        <v>124</v>
      </c>
      <c r="P14824">
        <v>0</v>
      </c>
    </row>
    <row r="14825" spans="1:16" x14ac:dyDescent="0.25">
      <c r="A14825" t="s">
        <v>37530</v>
      </c>
      <c r="B14825" t="s">
        <v>10194</v>
      </c>
      <c r="C14825" t="s">
        <v>2241</v>
      </c>
      <c r="D14825" t="str">
        <f>"3196"</f>
        <v>3196</v>
      </c>
      <c r="E14825" t="s">
        <v>159</v>
      </c>
      <c r="F14825" t="s">
        <v>4</v>
      </c>
      <c r="G14825" t="s">
        <v>47096</v>
      </c>
      <c r="H14825" t="s">
        <v>47126</v>
      </c>
      <c r="I14825" t="s">
        <v>47127</v>
      </c>
      <c r="J14825" t="s">
        <v>47128</v>
      </c>
      <c r="K14825" t="s">
        <v>47113</v>
      </c>
      <c r="L14825">
        <v>56.49</v>
      </c>
      <c r="M14825">
        <v>124</v>
      </c>
      <c r="N14825">
        <v>0</v>
      </c>
      <c r="O14825">
        <v>124</v>
      </c>
      <c r="P14825">
        <v>0</v>
      </c>
    </row>
    <row r="14826" spans="1:16" x14ac:dyDescent="0.25">
      <c r="A14826" t="s">
        <v>37531</v>
      </c>
      <c r="B14826" t="s">
        <v>10194</v>
      </c>
      <c r="C14826" t="s">
        <v>2241</v>
      </c>
      <c r="D14826" t="str">
        <f>"4643"</f>
        <v>4643</v>
      </c>
      <c r="E14826" t="s">
        <v>205</v>
      </c>
      <c r="F14826" t="s">
        <v>4</v>
      </c>
      <c r="G14826" t="s">
        <v>47096</v>
      </c>
      <c r="H14826" t="s">
        <v>47126</v>
      </c>
      <c r="I14826" t="s">
        <v>47127</v>
      </c>
      <c r="J14826" t="s">
        <v>47128</v>
      </c>
      <c r="K14826" t="s">
        <v>47113</v>
      </c>
      <c r="L14826">
        <v>56.49</v>
      </c>
      <c r="M14826">
        <v>124</v>
      </c>
      <c r="N14826">
        <v>0</v>
      </c>
      <c r="O14826">
        <v>124</v>
      </c>
      <c r="P14826">
        <v>0</v>
      </c>
    </row>
    <row r="14827" spans="1:16" x14ac:dyDescent="0.25">
      <c r="A14827" t="s">
        <v>37532</v>
      </c>
      <c r="B14827" t="s">
        <v>10196</v>
      </c>
      <c r="C14827" t="s">
        <v>10197</v>
      </c>
      <c r="D14827" t="str">
        <f>"3451"</f>
        <v>3451</v>
      </c>
      <c r="E14827" t="s">
        <v>2146</v>
      </c>
      <c r="F14827" t="s">
        <v>4</v>
      </c>
      <c r="G14827" t="s">
        <v>47096</v>
      </c>
      <c r="H14827" t="s">
        <v>47126</v>
      </c>
      <c r="I14827" t="s">
        <v>47127</v>
      </c>
      <c r="J14827" t="s">
        <v>47128</v>
      </c>
      <c r="K14827" t="s">
        <v>47113</v>
      </c>
      <c r="L14827">
        <v>59.72</v>
      </c>
      <c r="M14827">
        <v>131</v>
      </c>
      <c r="N14827">
        <v>0</v>
      </c>
      <c r="O14827">
        <v>131</v>
      </c>
      <c r="P14827">
        <v>0</v>
      </c>
    </row>
    <row r="14828" spans="1:16" x14ac:dyDescent="0.25">
      <c r="A14828" t="s">
        <v>37533</v>
      </c>
      <c r="B14828" t="s">
        <v>10196</v>
      </c>
      <c r="C14828" t="s">
        <v>10197</v>
      </c>
      <c r="D14828" t="str">
        <f>"4643"</f>
        <v>4643</v>
      </c>
      <c r="E14828" t="s">
        <v>10198</v>
      </c>
      <c r="F14828" t="s">
        <v>4</v>
      </c>
      <c r="G14828" t="s">
        <v>47096</v>
      </c>
      <c r="H14828" t="s">
        <v>47126</v>
      </c>
      <c r="I14828" t="s">
        <v>47127</v>
      </c>
      <c r="J14828" t="s">
        <v>47128</v>
      </c>
      <c r="K14828" t="s">
        <v>47113</v>
      </c>
      <c r="L14828">
        <v>59.72</v>
      </c>
      <c r="M14828">
        <v>131</v>
      </c>
      <c r="N14828">
        <v>0</v>
      </c>
      <c r="O14828">
        <v>131</v>
      </c>
      <c r="P14828">
        <v>0</v>
      </c>
    </row>
    <row r="14829" spans="1:16" x14ac:dyDescent="0.25">
      <c r="A14829" t="s">
        <v>37534</v>
      </c>
      <c r="B14829" t="s">
        <v>10196</v>
      </c>
      <c r="C14829" t="s">
        <v>10197</v>
      </c>
      <c r="D14829" t="str">
        <f>"6000"</f>
        <v>6000</v>
      </c>
      <c r="E14829" t="s">
        <v>10199</v>
      </c>
      <c r="F14829" t="s">
        <v>4</v>
      </c>
      <c r="G14829" t="s">
        <v>47096</v>
      </c>
      <c r="H14829" t="s">
        <v>47126</v>
      </c>
      <c r="I14829" t="s">
        <v>47127</v>
      </c>
      <c r="J14829" t="s">
        <v>47128</v>
      </c>
      <c r="K14829" t="s">
        <v>47113</v>
      </c>
      <c r="L14829">
        <v>59.72</v>
      </c>
      <c r="M14829">
        <v>131</v>
      </c>
      <c r="N14829">
        <v>0</v>
      </c>
      <c r="O14829">
        <v>131</v>
      </c>
      <c r="P14829">
        <v>0</v>
      </c>
    </row>
    <row r="14830" spans="1:16" x14ac:dyDescent="0.25">
      <c r="A14830" t="s">
        <v>37535</v>
      </c>
      <c r="B14830" t="s">
        <v>10200</v>
      </c>
      <c r="C14830" t="s">
        <v>10201</v>
      </c>
      <c r="D14830" t="str">
        <f>"1001"</f>
        <v>1001</v>
      </c>
      <c r="E14830" t="s">
        <v>10202</v>
      </c>
      <c r="F14830" t="s">
        <v>4</v>
      </c>
      <c r="G14830" t="s">
        <v>47096</v>
      </c>
      <c r="H14830" t="s">
        <v>47126</v>
      </c>
      <c r="I14830" t="s">
        <v>47127</v>
      </c>
      <c r="J14830" t="s">
        <v>47128</v>
      </c>
      <c r="K14830" t="s">
        <v>47113</v>
      </c>
      <c r="L14830">
        <v>30.16</v>
      </c>
      <c r="M14830">
        <v>66</v>
      </c>
      <c r="N14830">
        <v>0</v>
      </c>
      <c r="O14830">
        <v>66</v>
      </c>
      <c r="P14830">
        <v>0</v>
      </c>
    </row>
    <row r="14831" spans="1:16" x14ac:dyDescent="0.25">
      <c r="A14831" t="s">
        <v>37536</v>
      </c>
      <c r="B14831" t="s">
        <v>10200</v>
      </c>
      <c r="C14831" t="s">
        <v>10201</v>
      </c>
      <c r="D14831" t="str">
        <f>"1504"</f>
        <v>1504</v>
      </c>
      <c r="E14831" t="s">
        <v>10203</v>
      </c>
      <c r="F14831" t="s">
        <v>4</v>
      </c>
      <c r="G14831" t="s">
        <v>47096</v>
      </c>
      <c r="H14831" t="s">
        <v>47126</v>
      </c>
      <c r="I14831" t="s">
        <v>47127</v>
      </c>
      <c r="J14831" t="s">
        <v>47128</v>
      </c>
      <c r="K14831" t="s">
        <v>47113</v>
      </c>
      <c r="L14831">
        <v>30.16</v>
      </c>
      <c r="M14831">
        <v>66</v>
      </c>
      <c r="N14831">
        <v>0</v>
      </c>
      <c r="O14831">
        <v>66</v>
      </c>
      <c r="P14831">
        <v>0</v>
      </c>
    </row>
    <row r="14832" spans="1:16" x14ac:dyDescent="0.25">
      <c r="A14832" t="s">
        <v>37537</v>
      </c>
      <c r="B14832" t="s">
        <v>10200</v>
      </c>
      <c r="C14832" t="s">
        <v>10201</v>
      </c>
      <c r="D14832" t="str">
        <f>"4643"</f>
        <v>4643</v>
      </c>
      <c r="E14832" t="s">
        <v>10204</v>
      </c>
      <c r="F14832" t="s">
        <v>4</v>
      </c>
      <c r="G14832" t="s">
        <v>47096</v>
      </c>
      <c r="H14832" t="s">
        <v>47126</v>
      </c>
      <c r="I14832" t="s">
        <v>47127</v>
      </c>
      <c r="J14832" t="s">
        <v>47128</v>
      </c>
      <c r="K14832" t="s">
        <v>47113</v>
      </c>
      <c r="L14832">
        <v>30.16</v>
      </c>
      <c r="M14832">
        <v>66</v>
      </c>
      <c r="N14832">
        <v>0</v>
      </c>
      <c r="O14832">
        <v>66</v>
      </c>
      <c r="P14832">
        <v>0</v>
      </c>
    </row>
    <row r="14833" spans="1:16" x14ac:dyDescent="0.25">
      <c r="A14833" t="s">
        <v>37538</v>
      </c>
      <c r="B14833" t="s">
        <v>10200</v>
      </c>
      <c r="C14833" t="s">
        <v>10201</v>
      </c>
      <c r="D14833" t="str">
        <f>"5343"</f>
        <v>5343</v>
      </c>
      <c r="E14833" t="s">
        <v>2147</v>
      </c>
      <c r="F14833" t="s">
        <v>4</v>
      </c>
      <c r="G14833" t="s">
        <v>47096</v>
      </c>
      <c r="H14833" t="s">
        <v>47126</v>
      </c>
      <c r="I14833" t="s">
        <v>47127</v>
      </c>
      <c r="J14833" t="s">
        <v>47128</v>
      </c>
      <c r="K14833" t="s">
        <v>47113</v>
      </c>
      <c r="L14833">
        <v>30.16</v>
      </c>
      <c r="M14833">
        <v>66</v>
      </c>
      <c r="N14833">
        <v>0</v>
      </c>
      <c r="O14833">
        <v>66</v>
      </c>
      <c r="P14833">
        <v>0</v>
      </c>
    </row>
    <row r="14834" spans="1:16" x14ac:dyDescent="0.25">
      <c r="A14834" t="s">
        <v>37539</v>
      </c>
      <c r="B14834" t="s">
        <v>10205</v>
      </c>
      <c r="C14834" t="s">
        <v>10206</v>
      </c>
      <c r="D14834" t="str">
        <f>"3451"</f>
        <v>3451</v>
      </c>
      <c r="E14834" t="s">
        <v>2146</v>
      </c>
      <c r="F14834" t="s">
        <v>4</v>
      </c>
      <c r="G14834" t="s">
        <v>47096</v>
      </c>
      <c r="H14834" t="s">
        <v>47126</v>
      </c>
      <c r="I14834" t="s">
        <v>47127</v>
      </c>
      <c r="J14834" t="s">
        <v>47128</v>
      </c>
      <c r="K14834" t="s">
        <v>47113</v>
      </c>
      <c r="L14834">
        <v>62.23</v>
      </c>
      <c r="M14834">
        <v>137</v>
      </c>
      <c r="N14834">
        <v>0</v>
      </c>
      <c r="O14834">
        <v>137</v>
      </c>
      <c r="P14834">
        <v>0</v>
      </c>
    </row>
    <row r="14835" spans="1:16" x14ac:dyDescent="0.25">
      <c r="A14835" t="s">
        <v>37540</v>
      </c>
      <c r="B14835" t="s">
        <v>10205</v>
      </c>
      <c r="C14835" t="s">
        <v>10206</v>
      </c>
      <c r="D14835" t="str">
        <f>"4643"</f>
        <v>4643</v>
      </c>
      <c r="E14835" t="s">
        <v>10198</v>
      </c>
      <c r="F14835" t="s">
        <v>4</v>
      </c>
      <c r="G14835" t="s">
        <v>47096</v>
      </c>
      <c r="H14835" t="s">
        <v>47126</v>
      </c>
      <c r="I14835" t="s">
        <v>47127</v>
      </c>
      <c r="J14835" t="s">
        <v>47128</v>
      </c>
      <c r="K14835" t="s">
        <v>47113</v>
      </c>
      <c r="L14835">
        <v>62.23</v>
      </c>
      <c r="M14835">
        <v>137</v>
      </c>
      <c r="N14835">
        <v>0</v>
      </c>
      <c r="O14835">
        <v>137</v>
      </c>
      <c r="P14835">
        <v>0</v>
      </c>
    </row>
    <row r="14836" spans="1:16" x14ac:dyDescent="0.25">
      <c r="A14836" t="s">
        <v>37541</v>
      </c>
      <c r="B14836" t="s">
        <v>10205</v>
      </c>
      <c r="C14836" t="s">
        <v>10206</v>
      </c>
      <c r="D14836" t="str">
        <f>"6000"</f>
        <v>6000</v>
      </c>
      <c r="E14836" t="s">
        <v>10199</v>
      </c>
      <c r="F14836" t="s">
        <v>4</v>
      </c>
      <c r="G14836" t="s">
        <v>47096</v>
      </c>
      <c r="H14836" t="s">
        <v>47126</v>
      </c>
      <c r="I14836" t="s">
        <v>47127</v>
      </c>
      <c r="J14836" t="s">
        <v>47128</v>
      </c>
      <c r="K14836" t="s">
        <v>47113</v>
      </c>
      <c r="L14836">
        <v>62.23</v>
      </c>
      <c r="M14836">
        <v>137</v>
      </c>
      <c r="N14836">
        <v>0</v>
      </c>
      <c r="O14836">
        <v>137</v>
      </c>
      <c r="P14836">
        <v>0</v>
      </c>
    </row>
    <row r="14837" spans="1:16" x14ac:dyDescent="0.25">
      <c r="A14837" t="s">
        <v>37542</v>
      </c>
      <c r="B14837" t="s">
        <v>10207</v>
      </c>
      <c r="C14837" t="s">
        <v>10208</v>
      </c>
      <c r="D14837" t="str">
        <f>"2000"</f>
        <v>2000</v>
      </c>
      <c r="E14837" t="s">
        <v>248</v>
      </c>
      <c r="F14837" t="s">
        <v>3750</v>
      </c>
      <c r="G14837" t="s">
        <v>47090</v>
      </c>
      <c r="H14837" t="s">
        <v>47054</v>
      </c>
      <c r="I14837" t="s">
        <v>47120</v>
      </c>
      <c r="J14837" t="s">
        <v>47121</v>
      </c>
      <c r="K14837" t="s">
        <v>47113</v>
      </c>
      <c r="L14837">
        <v>13.8</v>
      </c>
      <c r="M14837">
        <v>34</v>
      </c>
      <c r="N14837">
        <v>0</v>
      </c>
      <c r="O14837">
        <v>34</v>
      </c>
      <c r="P14837">
        <v>0</v>
      </c>
    </row>
    <row r="14838" spans="1:16" x14ac:dyDescent="0.25">
      <c r="A14838" t="s">
        <v>37543</v>
      </c>
      <c r="B14838" t="s">
        <v>10209</v>
      </c>
      <c r="C14838" t="s">
        <v>10210</v>
      </c>
      <c r="D14838" t="str">
        <f>"1100"</f>
        <v>1100</v>
      </c>
      <c r="E14838" t="s">
        <v>54</v>
      </c>
      <c r="F14838" t="s">
        <v>3750</v>
      </c>
      <c r="G14838" t="s">
        <v>47090</v>
      </c>
      <c r="H14838" t="s">
        <v>47054</v>
      </c>
      <c r="I14838" t="s">
        <v>47120</v>
      </c>
      <c r="J14838" t="s">
        <v>47121</v>
      </c>
      <c r="K14838" t="s">
        <v>47113</v>
      </c>
      <c r="L14838">
        <v>13.8</v>
      </c>
      <c r="M14838">
        <v>34</v>
      </c>
      <c r="N14838">
        <v>0</v>
      </c>
      <c r="O14838">
        <v>34</v>
      </c>
      <c r="P14838">
        <v>0</v>
      </c>
    </row>
    <row r="14839" spans="1:16" x14ac:dyDescent="0.25">
      <c r="A14839" t="s">
        <v>37544</v>
      </c>
      <c r="B14839" t="s">
        <v>10211</v>
      </c>
      <c r="C14839" t="s">
        <v>10212</v>
      </c>
      <c r="D14839" t="str">
        <f>"1285"</f>
        <v>1285</v>
      </c>
      <c r="E14839" t="s">
        <v>2148</v>
      </c>
      <c r="F14839" t="s">
        <v>4</v>
      </c>
      <c r="G14839" t="s">
        <v>16221</v>
      </c>
      <c r="H14839" t="s">
        <v>47126</v>
      </c>
      <c r="I14839" t="s">
        <v>47127</v>
      </c>
      <c r="J14839" t="s">
        <v>47128</v>
      </c>
      <c r="K14839" t="s">
        <v>47113</v>
      </c>
      <c r="L14839">
        <v>14.01</v>
      </c>
      <c r="M14839">
        <v>31</v>
      </c>
      <c r="N14839">
        <v>0</v>
      </c>
      <c r="O14839">
        <v>31</v>
      </c>
      <c r="P14839">
        <v>0</v>
      </c>
    </row>
    <row r="14840" spans="1:16" x14ac:dyDescent="0.25">
      <c r="A14840" t="s">
        <v>37545</v>
      </c>
      <c r="B14840" t="s">
        <v>10211</v>
      </c>
      <c r="C14840" t="s">
        <v>10212</v>
      </c>
      <c r="D14840" t="str">
        <f>"1700"</f>
        <v>1700</v>
      </c>
      <c r="E14840" t="s">
        <v>60</v>
      </c>
      <c r="F14840" t="s">
        <v>4</v>
      </c>
      <c r="G14840" t="s">
        <v>16221</v>
      </c>
      <c r="H14840" t="s">
        <v>47126</v>
      </c>
      <c r="I14840" t="s">
        <v>47127</v>
      </c>
      <c r="J14840" t="s">
        <v>47128</v>
      </c>
      <c r="K14840" t="s">
        <v>47113</v>
      </c>
      <c r="L14840">
        <v>14.01</v>
      </c>
      <c r="M14840">
        <v>31</v>
      </c>
      <c r="N14840">
        <v>0</v>
      </c>
      <c r="O14840">
        <v>31</v>
      </c>
      <c r="P14840">
        <v>0</v>
      </c>
    </row>
    <row r="14841" spans="1:16" x14ac:dyDescent="0.25">
      <c r="A14841" t="s">
        <v>37546</v>
      </c>
      <c r="B14841" t="s">
        <v>10211</v>
      </c>
      <c r="C14841" t="s">
        <v>10212</v>
      </c>
      <c r="D14841" t="str">
        <f>"4643"</f>
        <v>4643</v>
      </c>
      <c r="E14841" t="s">
        <v>205</v>
      </c>
      <c r="F14841" t="s">
        <v>4</v>
      </c>
      <c r="G14841" t="s">
        <v>16221</v>
      </c>
      <c r="H14841" t="s">
        <v>47126</v>
      </c>
      <c r="I14841" t="s">
        <v>47127</v>
      </c>
      <c r="J14841" t="s">
        <v>47128</v>
      </c>
      <c r="K14841" t="s">
        <v>47113</v>
      </c>
      <c r="L14841">
        <v>14.01</v>
      </c>
      <c r="M14841">
        <v>31</v>
      </c>
      <c r="N14841">
        <v>0</v>
      </c>
      <c r="O14841">
        <v>31</v>
      </c>
      <c r="P14841">
        <v>0</v>
      </c>
    </row>
    <row r="14842" spans="1:16" x14ac:dyDescent="0.25">
      <c r="A14842" t="s">
        <v>37547</v>
      </c>
      <c r="B14842" t="s">
        <v>10213</v>
      </c>
      <c r="C14842" t="s">
        <v>10214</v>
      </c>
      <c r="D14842" t="str">
        <f>"1285"</f>
        <v>1285</v>
      </c>
      <c r="E14842" t="s">
        <v>2148</v>
      </c>
      <c r="F14842" t="s">
        <v>4</v>
      </c>
      <c r="G14842" t="s">
        <v>16221</v>
      </c>
      <c r="H14842" t="s">
        <v>47126</v>
      </c>
      <c r="I14842" t="s">
        <v>47127</v>
      </c>
      <c r="J14842" t="s">
        <v>47128</v>
      </c>
      <c r="K14842" t="s">
        <v>47113</v>
      </c>
      <c r="L14842">
        <v>13.29</v>
      </c>
      <c r="M14842">
        <v>29</v>
      </c>
      <c r="N14842">
        <v>0</v>
      </c>
      <c r="O14842">
        <v>29</v>
      </c>
      <c r="P14842">
        <v>0</v>
      </c>
    </row>
    <row r="14843" spans="1:16" x14ac:dyDescent="0.25">
      <c r="A14843" t="s">
        <v>37548</v>
      </c>
      <c r="B14843" t="s">
        <v>10213</v>
      </c>
      <c r="C14843" t="s">
        <v>10214</v>
      </c>
      <c r="D14843" t="str">
        <f>"1700"</f>
        <v>1700</v>
      </c>
      <c r="E14843" t="s">
        <v>60</v>
      </c>
      <c r="F14843" t="s">
        <v>4</v>
      </c>
      <c r="G14843" t="s">
        <v>16221</v>
      </c>
      <c r="H14843" t="s">
        <v>47126</v>
      </c>
      <c r="I14843" t="s">
        <v>47127</v>
      </c>
      <c r="J14843" t="s">
        <v>47128</v>
      </c>
      <c r="K14843" t="s">
        <v>47113</v>
      </c>
      <c r="L14843">
        <v>13.29</v>
      </c>
      <c r="M14843">
        <v>29</v>
      </c>
      <c r="N14843">
        <v>0</v>
      </c>
      <c r="O14843">
        <v>29</v>
      </c>
      <c r="P14843">
        <v>0</v>
      </c>
    </row>
    <row r="14844" spans="1:16" x14ac:dyDescent="0.25">
      <c r="A14844" t="s">
        <v>37549</v>
      </c>
      <c r="B14844" t="s">
        <v>10213</v>
      </c>
      <c r="C14844" t="s">
        <v>10214</v>
      </c>
      <c r="D14844" t="str">
        <f>"4643"</f>
        <v>4643</v>
      </c>
      <c r="E14844" t="s">
        <v>205</v>
      </c>
      <c r="F14844" t="s">
        <v>4</v>
      </c>
      <c r="G14844" t="s">
        <v>16221</v>
      </c>
      <c r="H14844" t="s">
        <v>47126</v>
      </c>
      <c r="I14844" t="s">
        <v>47127</v>
      </c>
      <c r="J14844" t="s">
        <v>47128</v>
      </c>
      <c r="K14844" t="s">
        <v>47113</v>
      </c>
      <c r="L14844">
        <v>13.29</v>
      </c>
      <c r="M14844">
        <v>29</v>
      </c>
      <c r="N14844">
        <v>0</v>
      </c>
      <c r="O14844">
        <v>29</v>
      </c>
      <c r="P14844">
        <v>0</v>
      </c>
    </row>
    <row r="14845" spans="1:16" x14ac:dyDescent="0.25">
      <c r="A14845" t="s">
        <v>37550</v>
      </c>
      <c r="B14845" t="s">
        <v>10213</v>
      </c>
      <c r="C14845" t="s">
        <v>10214</v>
      </c>
      <c r="D14845" t="str">
        <f>"5342"</f>
        <v>5342</v>
      </c>
      <c r="E14845" t="s">
        <v>77</v>
      </c>
      <c r="F14845" t="s">
        <v>4</v>
      </c>
      <c r="G14845" t="s">
        <v>16221</v>
      </c>
      <c r="H14845" t="s">
        <v>47126</v>
      </c>
      <c r="I14845" t="s">
        <v>47127</v>
      </c>
      <c r="J14845" t="s">
        <v>47128</v>
      </c>
      <c r="K14845" t="s">
        <v>47113</v>
      </c>
      <c r="L14845">
        <v>13.29</v>
      </c>
      <c r="M14845">
        <v>29</v>
      </c>
      <c r="N14845">
        <v>0</v>
      </c>
      <c r="O14845">
        <v>29</v>
      </c>
      <c r="P14845">
        <v>0</v>
      </c>
    </row>
    <row r="14846" spans="1:16" x14ac:dyDescent="0.25">
      <c r="A14846" t="s">
        <v>37551</v>
      </c>
      <c r="B14846" t="s">
        <v>10215</v>
      </c>
      <c r="C14846" t="s">
        <v>10214</v>
      </c>
      <c r="D14846" t="str">
        <f>"1700"</f>
        <v>1700</v>
      </c>
      <c r="E14846" t="s">
        <v>60</v>
      </c>
      <c r="F14846" t="s">
        <v>4</v>
      </c>
      <c r="G14846" t="s">
        <v>16221</v>
      </c>
      <c r="H14846" t="s">
        <v>47126</v>
      </c>
      <c r="I14846" t="s">
        <v>47127</v>
      </c>
      <c r="J14846" t="s">
        <v>47128</v>
      </c>
      <c r="K14846" t="s">
        <v>47113</v>
      </c>
      <c r="L14846">
        <v>14.01</v>
      </c>
      <c r="M14846">
        <v>31</v>
      </c>
      <c r="N14846">
        <v>0</v>
      </c>
      <c r="O14846">
        <v>31</v>
      </c>
      <c r="P14846">
        <v>0</v>
      </c>
    </row>
    <row r="14847" spans="1:16" x14ac:dyDescent="0.25">
      <c r="A14847" t="s">
        <v>37552</v>
      </c>
      <c r="B14847" t="s">
        <v>10216</v>
      </c>
      <c r="C14847" t="s">
        <v>10214</v>
      </c>
      <c r="D14847" t="str">
        <f>"1377"</f>
        <v>1377</v>
      </c>
      <c r="E14847" t="s">
        <v>74</v>
      </c>
      <c r="F14847" t="s">
        <v>4</v>
      </c>
      <c r="G14847" t="s">
        <v>16221</v>
      </c>
      <c r="H14847" t="s">
        <v>47126</v>
      </c>
      <c r="I14847" t="s">
        <v>47127</v>
      </c>
      <c r="J14847" t="s">
        <v>47128</v>
      </c>
      <c r="K14847" t="s">
        <v>47113</v>
      </c>
      <c r="L14847">
        <v>13.29</v>
      </c>
      <c r="M14847">
        <v>29</v>
      </c>
      <c r="N14847">
        <v>0</v>
      </c>
      <c r="O14847">
        <v>29</v>
      </c>
      <c r="P14847">
        <v>0</v>
      </c>
    </row>
    <row r="14848" spans="1:16" x14ac:dyDescent="0.25">
      <c r="A14848" t="s">
        <v>37553</v>
      </c>
      <c r="B14848" t="s">
        <v>10216</v>
      </c>
      <c r="C14848" t="s">
        <v>10214</v>
      </c>
      <c r="D14848" t="str">
        <f>"1700"</f>
        <v>1700</v>
      </c>
      <c r="E14848" t="s">
        <v>60</v>
      </c>
      <c r="F14848" t="s">
        <v>4</v>
      </c>
      <c r="G14848" t="s">
        <v>16221</v>
      </c>
      <c r="H14848" t="s">
        <v>47126</v>
      </c>
      <c r="I14848" t="s">
        <v>47127</v>
      </c>
      <c r="J14848" t="s">
        <v>47128</v>
      </c>
      <c r="K14848" t="s">
        <v>47113</v>
      </c>
      <c r="L14848">
        <v>13.29</v>
      </c>
      <c r="M14848">
        <v>29</v>
      </c>
      <c r="N14848">
        <v>0</v>
      </c>
      <c r="O14848">
        <v>29</v>
      </c>
      <c r="P14848">
        <v>0</v>
      </c>
    </row>
    <row r="14849" spans="1:16" x14ac:dyDescent="0.25">
      <c r="A14849" t="s">
        <v>37554</v>
      </c>
      <c r="B14849" t="s">
        <v>10216</v>
      </c>
      <c r="C14849" t="s">
        <v>10214</v>
      </c>
      <c r="D14849" t="str">
        <f>"3467"</f>
        <v>3467</v>
      </c>
      <c r="E14849" t="s">
        <v>10163</v>
      </c>
      <c r="F14849" t="s">
        <v>4</v>
      </c>
      <c r="G14849" t="s">
        <v>16221</v>
      </c>
      <c r="H14849" t="s">
        <v>47126</v>
      </c>
      <c r="I14849" t="s">
        <v>47127</v>
      </c>
      <c r="J14849" t="s">
        <v>47128</v>
      </c>
      <c r="K14849" t="s">
        <v>47113</v>
      </c>
      <c r="L14849">
        <v>13.29</v>
      </c>
      <c r="M14849">
        <v>29</v>
      </c>
      <c r="N14849">
        <v>0</v>
      </c>
      <c r="O14849">
        <v>29</v>
      </c>
      <c r="P14849">
        <v>0</v>
      </c>
    </row>
    <row r="14850" spans="1:16" x14ac:dyDescent="0.25">
      <c r="A14850" t="s">
        <v>37555</v>
      </c>
      <c r="B14850" t="s">
        <v>10216</v>
      </c>
      <c r="C14850" t="s">
        <v>10214</v>
      </c>
      <c r="D14850" t="str">
        <f>"4643"</f>
        <v>4643</v>
      </c>
      <c r="E14850" t="s">
        <v>205</v>
      </c>
      <c r="F14850" t="s">
        <v>4</v>
      </c>
      <c r="G14850" t="s">
        <v>16221</v>
      </c>
      <c r="H14850" t="s">
        <v>47126</v>
      </c>
      <c r="I14850" t="s">
        <v>47127</v>
      </c>
      <c r="J14850" t="s">
        <v>47128</v>
      </c>
      <c r="K14850" t="s">
        <v>47113</v>
      </c>
      <c r="L14850">
        <v>13.29</v>
      </c>
      <c r="M14850">
        <v>29</v>
      </c>
      <c r="N14850">
        <v>0</v>
      </c>
      <c r="O14850">
        <v>29</v>
      </c>
      <c r="P14850">
        <v>0</v>
      </c>
    </row>
    <row r="14851" spans="1:16" x14ac:dyDescent="0.25">
      <c r="A14851" t="s">
        <v>37556</v>
      </c>
      <c r="B14851" t="s">
        <v>10216</v>
      </c>
      <c r="C14851" t="s">
        <v>10214</v>
      </c>
      <c r="D14851" t="str">
        <f>"5342"</f>
        <v>5342</v>
      </c>
      <c r="E14851" t="s">
        <v>77</v>
      </c>
      <c r="F14851" t="s">
        <v>4</v>
      </c>
      <c r="G14851" t="s">
        <v>16221</v>
      </c>
      <c r="H14851" t="s">
        <v>47126</v>
      </c>
      <c r="I14851" t="s">
        <v>47127</v>
      </c>
      <c r="J14851" t="s">
        <v>47128</v>
      </c>
      <c r="K14851" t="s">
        <v>47113</v>
      </c>
      <c r="L14851">
        <v>13.29</v>
      </c>
      <c r="M14851">
        <v>29</v>
      </c>
      <c r="N14851">
        <v>0</v>
      </c>
      <c r="O14851">
        <v>29</v>
      </c>
      <c r="P14851">
        <v>0</v>
      </c>
    </row>
    <row r="14852" spans="1:16" x14ac:dyDescent="0.25">
      <c r="A14852" t="s">
        <v>37557</v>
      </c>
      <c r="B14852" t="s">
        <v>10217</v>
      </c>
      <c r="C14852" t="s">
        <v>10212</v>
      </c>
      <c r="D14852" t="str">
        <f>"1001"</f>
        <v>1001</v>
      </c>
      <c r="E14852" t="s">
        <v>42</v>
      </c>
      <c r="F14852" t="s">
        <v>4</v>
      </c>
      <c r="G14852" t="s">
        <v>16221</v>
      </c>
      <c r="H14852" t="s">
        <v>47126</v>
      </c>
      <c r="I14852" t="s">
        <v>47127</v>
      </c>
      <c r="J14852" t="s">
        <v>47128</v>
      </c>
      <c r="K14852" t="s">
        <v>47113</v>
      </c>
      <c r="L14852">
        <v>13.29</v>
      </c>
      <c r="M14852">
        <v>29</v>
      </c>
      <c r="N14852">
        <v>0</v>
      </c>
      <c r="O14852">
        <v>29</v>
      </c>
      <c r="P14852">
        <v>0</v>
      </c>
    </row>
    <row r="14853" spans="1:16" x14ac:dyDescent="0.25">
      <c r="A14853" t="s">
        <v>37558</v>
      </c>
      <c r="B14853" t="s">
        <v>10217</v>
      </c>
      <c r="C14853" t="s">
        <v>10212</v>
      </c>
      <c r="D14853" t="str">
        <f>"1700"</f>
        <v>1700</v>
      </c>
      <c r="E14853" t="s">
        <v>60</v>
      </c>
      <c r="F14853" t="s">
        <v>4</v>
      </c>
      <c r="G14853" t="s">
        <v>16221</v>
      </c>
      <c r="H14853" t="s">
        <v>47126</v>
      </c>
      <c r="I14853" t="s">
        <v>47127</v>
      </c>
      <c r="J14853" t="s">
        <v>47128</v>
      </c>
      <c r="K14853" t="s">
        <v>47113</v>
      </c>
      <c r="L14853">
        <v>13.29</v>
      </c>
      <c r="M14853">
        <v>29</v>
      </c>
      <c r="N14853">
        <v>0</v>
      </c>
      <c r="O14853">
        <v>29</v>
      </c>
      <c r="P14853">
        <v>0</v>
      </c>
    </row>
    <row r="14854" spans="1:16" x14ac:dyDescent="0.25">
      <c r="A14854" t="s">
        <v>37559</v>
      </c>
      <c r="B14854" t="s">
        <v>10217</v>
      </c>
      <c r="C14854" t="s">
        <v>10212</v>
      </c>
      <c r="D14854" t="str">
        <f>"3467"</f>
        <v>3467</v>
      </c>
      <c r="E14854" t="s">
        <v>10163</v>
      </c>
      <c r="F14854" t="s">
        <v>4</v>
      </c>
      <c r="G14854" t="s">
        <v>16221</v>
      </c>
      <c r="H14854" t="s">
        <v>47126</v>
      </c>
      <c r="I14854" t="s">
        <v>47127</v>
      </c>
      <c r="J14854" t="s">
        <v>47128</v>
      </c>
      <c r="K14854" t="s">
        <v>47113</v>
      </c>
      <c r="L14854">
        <v>13.29</v>
      </c>
      <c r="M14854">
        <v>29</v>
      </c>
      <c r="N14854">
        <v>0</v>
      </c>
      <c r="O14854">
        <v>29</v>
      </c>
      <c r="P14854">
        <v>0</v>
      </c>
    </row>
    <row r="14855" spans="1:16" x14ac:dyDescent="0.25">
      <c r="A14855" t="s">
        <v>37560</v>
      </c>
      <c r="B14855" t="s">
        <v>10217</v>
      </c>
      <c r="C14855" t="s">
        <v>10212</v>
      </c>
      <c r="D14855" t="str">
        <f>"5342"</f>
        <v>5342</v>
      </c>
      <c r="E14855" t="s">
        <v>77</v>
      </c>
      <c r="F14855" t="s">
        <v>4</v>
      </c>
      <c r="G14855" t="s">
        <v>16221</v>
      </c>
      <c r="H14855" t="s">
        <v>47126</v>
      </c>
      <c r="I14855" t="s">
        <v>47127</v>
      </c>
      <c r="J14855" t="s">
        <v>47128</v>
      </c>
      <c r="K14855" t="s">
        <v>47113</v>
      </c>
      <c r="L14855">
        <v>13.29</v>
      </c>
      <c r="M14855">
        <v>29</v>
      </c>
      <c r="N14855">
        <v>0</v>
      </c>
      <c r="O14855">
        <v>29</v>
      </c>
      <c r="P14855">
        <v>0</v>
      </c>
    </row>
    <row r="14856" spans="1:16" x14ac:dyDescent="0.25">
      <c r="A14856" t="s">
        <v>37561</v>
      </c>
      <c r="B14856" t="s">
        <v>10218</v>
      </c>
      <c r="C14856" t="s">
        <v>10219</v>
      </c>
      <c r="D14856" t="str">
        <f>"1278"</f>
        <v>1278</v>
      </c>
      <c r="E14856" t="s">
        <v>100</v>
      </c>
      <c r="F14856" t="s">
        <v>4</v>
      </c>
      <c r="G14856" t="s">
        <v>16222</v>
      </c>
      <c r="H14856" t="s">
        <v>47126</v>
      </c>
      <c r="I14856" t="s">
        <v>47127</v>
      </c>
      <c r="J14856" t="s">
        <v>47128</v>
      </c>
      <c r="K14856" t="s">
        <v>47113</v>
      </c>
      <c r="L14856">
        <v>25.01</v>
      </c>
      <c r="M14856">
        <v>55</v>
      </c>
      <c r="N14856">
        <v>0</v>
      </c>
      <c r="O14856">
        <v>55</v>
      </c>
      <c r="P14856">
        <v>0</v>
      </c>
    </row>
    <row r="14857" spans="1:16" x14ac:dyDescent="0.25">
      <c r="A14857" t="s">
        <v>37562</v>
      </c>
      <c r="B14857" t="s">
        <v>10218</v>
      </c>
      <c r="C14857" t="s">
        <v>10219</v>
      </c>
      <c r="D14857" t="str">
        <f>"4643"</f>
        <v>4643</v>
      </c>
      <c r="E14857" t="s">
        <v>205</v>
      </c>
      <c r="F14857" t="s">
        <v>4</v>
      </c>
      <c r="G14857" t="s">
        <v>16222</v>
      </c>
      <c r="H14857" t="s">
        <v>47126</v>
      </c>
      <c r="I14857" t="s">
        <v>47127</v>
      </c>
      <c r="J14857" t="s">
        <v>47128</v>
      </c>
      <c r="K14857" t="s">
        <v>47113</v>
      </c>
      <c r="L14857">
        <v>25.01</v>
      </c>
      <c r="M14857">
        <v>55</v>
      </c>
      <c r="N14857">
        <v>0</v>
      </c>
      <c r="O14857">
        <v>55</v>
      </c>
      <c r="P14857">
        <v>0</v>
      </c>
    </row>
    <row r="14858" spans="1:16" x14ac:dyDescent="0.25">
      <c r="A14858" t="s">
        <v>37563</v>
      </c>
      <c r="B14858" t="s">
        <v>10218</v>
      </c>
      <c r="C14858" t="s">
        <v>10219</v>
      </c>
      <c r="D14858" t="str">
        <f>"5342"</f>
        <v>5342</v>
      </c>
      <c r="E14858" t="s">
        <v>77</v>
      </c>
      <c r="F14858" t="s">
        <v>4</v>
      </c>
      <c r="G14858" t="s">
        <v>16222</v>
      </c>
      <c r="H14858" t="s">
        <v>47126</v>
      </c>
      <c r="I14858" t="s">
        <v>47127</v>
      </c>
      <c r="J14858" t="s">
        <v>47128</v>
      </c>
      <c r="K14858" t="s">
        <v>47113</v>
      </c>
      <c r="L14858">
        <v>25.01</v>
      </c>
      <c r="M14858">
        <v>55</v>
      </c>
      <c r="N14858">
        <v>0</v>
      </c>
      <c r="O14858">
        <v>55</v>
      </c>
      <c r="P14858">
        <v>0</v>
      </c>
    </row>
    <row r="14859" spans="1:16" x14ac:dyDescent="0.25">
      <c r="A14859" t="s">
        <v>37564</v>
      </c>
      <c r="B14859" t="s">
        <v>10220</v>
      </c>
      <c r="C14859" t="s">
        <v>316</v>
      </c>
      <c r="D14859" t="str">
        <f>"1285"</f>
        <v>1285</v>
      </c>
      <c r="E14859" t="s">
        <v>2148</v>
      </c>
      <c r="F14859" t="s">
        <v>4</v>
      </c>
      <c r="G14859" t="s">
        <v>16222</v>
      </c>
      <c r="H14859" t="s">
        <v>47126</v>
      </c>
      <c r="I14859" t="s">
        <v>47127</v>
      </c>
      <c r="J14859" t="s">
        <v>47128</v>
      </c>
      <c r="K14859" t="s">
        <v>47113</v>
      </c>
      <c r="L14859">
        <v>24.78</v>
      </c>
      <c r="M14859">
        <v>54</v>
      </c>
      <c r="N14859">
        <v>0</v>
      </c>
      <c r="O14859">
        <v>54</v>
      </c>
      <c r="P14859">
        <v>0</v>
      </c>
    </row>
    <row r="14860" spans="1:16" x14ac:dyDescent="0.25">
      <c r="A14860" t="s">
        <v>37565</v>
      </c>
      <c r="B14860" t="s">
        <v>10221</v>
      </c>
      <c r="C14860" t="s">
        <v>10222</v>
      </c>
      <c r="D14860" t="str">
        <f>"2174"</f>
        <v>2174</v>
      </c>
      <c r="E14860" t="s">
        <v>10162</v>
      </c>
      <c r="F14860" t="s">
        <v>4</v>
      </c>
      <c r="G14860" t="s">
        <v>16224</v>
      </c>
      <c r="H14860" t="s">
        <v>47126</v>
      </c>
      <c r="I14860" t="s">
        <v>47127</v>
      </c>
      <c r="J14860" t="s">
        <v>47128</v>
      </c>
      <c r="K14860" t="s">
        <v>47113</v>
      </c>
      <c r="L14860">
        <v>38.89</v>
      </c>
      <c r="M14860">
        <v>85</v>
      </c>
      <c r="N14860">
        <v>0</v>
      </c>
      <c r="O14860">
        <v>85</v>
      </c>
      <c r="P14860">
        <v>0</v>
      </c>
    </row>
    <row r="14861" spans="1:16" x14ac:dyDescent="0.25">
      <c r="A14861" t="s">
        <v>37566</v>
      </c>
      <c r="B14861" t="s">
        <v>10221</v>
      </c>
      <c r="C14861" t="s">
        <v>10222</v>
      </c>
      <c r="D14861" t="str">
        <f>"3467"</f>
        <v>3467</v>
      </c>
      <c r="E14861" t="s">
        <v>10163</v>
      </c>
      <c r="F14861" t="s">
        <v>4</v>
      </c>
      <c r="G14861" t="s">
        <v>16224</v>
      </c>
      <c r="H14861" t="s">
        <v>47126</v>
      </c>
      <c r="I14861" t="s">
        <v>47127</v>
      </c>
      <c r="J14861" t="s">
        <v>47128</v>
      </c>
      <c r="K14861" t="s">
        <v>47113</v>
      </c>
      <c r="L14861">
        <v>38.89</v>
      </c>
      <c r="M14861">
        <v>85</v>
      </c>
      <c r="N14861">
        <v>0</v>
      </c>
      <c r="O14861">
        <v>85</v>
      </c>
      <c r="P14861">
        <v>0</v>
      </c>
    </row>
    <row r="14862" spans="1:16" x14ac:dyDescent="0.25">
      <c r="A14862" t="s">
        <v>37567</v>
      </c>
      <c r="B14862" t="s">
        <v>10221</v>
      </c>
      <c r="C14862" t="s">
        <v>10222</v>
      </c>
      <c r="D14862" t="str">
        <f>"4643"</f>
        <v>4643</v>
      </c>
      <c r="E14862" t="s">
        <v>205</v>
      </c>
      <c r="F14862" t="s">
        <v>4</v>
      </c>
      <c r="G14862" t="s">
        <v>16224</v>
      </c>
      <c r="H14862" t="s">
        <v>47126</v>
      </c>
      <c r="I14862" t="s">
        <v>47127</v>
      </c>
      <c r="J14862" t="s">
        <v>47128</v>
      </c>
      <c r="K14862" t="s">
        <v>47113</v>
      </c>
      <c r="L14862">
        <v>38.89</v>
      </c>
      <c r="M14862">
        <v>85</v>
      </c>
      <c r="N14862">
        <v>0</v>
      </c>
      <c r="O14862">
        <v>85</v>
      </c>
      <c r="P14862">
        <v>0</v>
      </c>
    </row>
    <row r="14863" spans="1:16" x14ac:dyDescent="0.25">
      <c r="A14863" t="s">
        <v>37568</v>
      </c>
      <c r="B14863" t="s">
        <v>10221</v>
      </c>
      <c r="C14863" t="s">
        <v>10222</v>
      </c>
      <c r="D14863" t="str">
        <f>"5342"</f>
        <v>5342</v>
      </c>
      <c r="E14863" t="s">
        <v>77</v>
      </c>
      <c r="F14863" t="s">
        <v>4</v>
      </c>
      <c r="G14863" t="s">
        <v>16224</v>
      </c>
      <c r="H14863" t="s">
        <v>47126</v>
      </c>
      <c r="I14863" t="s">
        <v>47127</v>
      </c>
      <c r="J14863" t="s">
        <v>47128</v>
      </c>
      <c r="K14863" t="s">
        <v>47113</v>
      </c>
      <c r="L14863">
        <v>38.89</v>
      </c>
      <c r="M14863">
        <v>85</v>
      </c>
      <c r="N14863">
        <v>0</v>
      </c>
      <c r="O14863">
        <v>85</v>
      </c>
      <c r="P14863">
        <v>0</v>
      </c>
    </row>
    <row r="14864" spans="1:16" x14ac:dyDescent="0.25">
      <c r="A14864" t="s">
        <v>37569</v>
      </c>
      <c r="B14864" t="s">
        <v>10223</v>
      </c>
      <c r="C14864" t="s">
        <v>10224</v>
      </c>
      <c r="D14864" t="str">
        <f>"1285"</f>
        <v>1285</v>
      </c>
      <c r="E14864" t="s">
        <v>2148</v>
      </c>
      <c r="F14864" t="s">
        <v>4</v>
      </c>
      <c r="G14864" t="s">
        <v>16224</v>
      </c>
      <c r="H14864" t="s">
        <v>47126</v>
      </c>
      <c r="I14864" t="s">
        <v>47127</v>
      </c>
      <c r="J14864" t="s">
        <v>47128</v>
      </c>
      <c r="K14864" t="s">
        <v>47113</v>
      </c>
      <c r="L14864">
        <v>33.39</v>
      </c>
      <c r="M14864">
        <v>73</v>
      </c>
      <c r="N14864">
        <v>0</v>
      </c>
      <c r="O14864">
        <v>73</v>
      </c>
      <c r="P14864">
        <v>0</v>
      </c>
    </row>
    <row r="14865" spans="1:16" x14ac:dyDescent="0.25">
      <c r="A14865" t="s">
        <v>37570</v>
      </c>
      <c r="B14865" t="s">
        <v>10225</v>
      </c>
      <c r="C14865" t="s">
        <v>10226</v>
      </c>
      <c r="D14865" t="str">
        <f>"1001"</f>
        <v>1001</v>
      </c>
      <c r="E14865" t="s">
        <v>42</v>
      </c>
      <c r="F14865" t="s">
        <v>4</v>
      </c>
      <c r="G14865" t="s">
        <v>16221</v>
      </c>
      <c r="H14865" t="s">
        <v>47126</v>
      </c>
      <c r="I14865" t="s">
        <v>47127</v>
      </c>
      <c r="J14865" t="s">
        <v>47128</v>
      </c>
      <c r="K14865" t="s">
        <v>47113</v>
      </c>
      <c r="L14865">
        <v>17.71</v>
      </c>
      <c r="M14865">
        <v>39</v>
      </c>
      <c r="N14865">
        <v>0</v>
      </c>
      <c r="O14865">
        <v>39</v>
      </c>
      <c r="P14865">
        <v>0</v>
      </c>
    </row>
    <row r="14866" spans="1:16" x14ac:dyDescent="0.25">
      <c r="A14866" t="s">
        <v>37571</v>
      </c>
      <c r="B14866" t="s">
        <v>10225</v>
      </c>
      <c r="C14866" t="s">
        <v>10226</v>
      </c>
      <c r="D14866" t="str">
        <f>"1700"</f>
        <v>1700</v>
      </c>
      <c r="E14866" t="s">
        <v>60</v>
      </c>
      <c r="F14866" t="s">
        <v>4</v>
      </c>
      <c r="G14866" t="s">
        <v>16221</v>
      </c>
      <c r="H14866" t="s">
        <v>47126</v>
      </c>
      <c r="I14866" t="s">
        <v>47127</v>
      </c>
      <c r="J14866" t="s">
        <v>47128</v>
      </c>
      <c r="K14866" t="s">
        <v>47113</v>
      </c>
      <c r="L14866">
        <v>17.71</v>
      </c>
      <c r="M14866">
        <v>39</v>
      </c>
      <c r="N14866">
        <v>0</v>
      </c>
      <c r="O14866">
        <v>39</v>
      </c>
      <c r="P14866">
        <v>0</v>
      </c>
    </row>
    <row r="14867" spans="1:16" x14ac:dyDescent="0.25">
      <c r="A14867" t="s">
        <v>37572</v>
      </c>
      <c r="B14867" t="s">
        <v>10225</v>
      </c>
      <c r="C14867" t="s">
        <v>10226</v>
      </c>
      <c r="D14867" t="str">
        <f>"2174"</f>
        <v>2174</v>
      </c>
      <c r="E14867" t="s">
        <v>10162</v>
      </c>
      <c r="F14867" t="s">
        <v>4</v>
      </c>
      <c r="G14867" t="s">
        <v>16221</v>
      </c>
      <c r="H14867" t="s">
        <v>47126</v>
      </c>
      <c r="I14867" t="s">
        <v>47127</v>
      </c>
      <c r="J14867" t="s">
        <v>47128</v>
      </c>
      <c r="K14867" t="s">
        <v>47113</v>
      </c>
      <c r="L14867">
        <v>17.71</v>
      </c>
      <c r="M14867">
        <v>39</v>
      </c>
      <c r="N14867">
        <v>0</v>
      </c>
      <c r="O14867">
        <v>39</v>
      </c>
      <c r="P14867">
        <v>0</v>
      </c>
    </row>
    <row r="14868" spans="1:16" x14ac:dyDescent="0.25">
      <c r="A14868" t="s">
        <v>37573</v>
      </c>
      <c r="B14868" t="s">
        <v>10225</v>
      </c>
      <c r="C14868" t="s">
        <v>10226</v>
      </c>
      <c r="D14868" t="str">
        <f>"2602"</f>
        <v>2602</v>
      </c>
      <c r="E14868" t="s">
        <v>2307</v>
      </c>
      <c r="F14868" t="s">
        <v>4</v>
      </c>
      <c r="G14868" t="s">
        <v>16221</v>
      </c>
      <c r="H14868" t="s">
        <v>47126</v>
      </c>
      <c r="I14868" t="s">
        <v>47127</v>
      </c>
      <c r="J14868" t="s">
        <v>47128</v>
      </c>
      <c r="K14868" t="s">
        <v>47113</v>
      </c>
      <c r="L14868">
        <v>17.71</v>
      </c>
      <c r="M14868">
        <v>39</v>
      </c>
      <c r="N14868">
        <v>0</v>
      </c>
      <c r="O14868">
        <v>39</v>
      </c>
      <c r="P14868">
        <v>0</v>
      </c>
    </row>
    <row r="14869" spans="1:16" x14ac:dyDescent="0.25">
      <c r="A14869" t="s">
        <v>37574</v>
      </c>
      <c r="B14869" t="s">
        <v>10225</v>
      </c>
      <c r="C14869" t="s">
        <v>10226</v>
      </c>
      <c r="D14869" t="str">
        <f>"3467"</f>
        <v>3467</v>
      </c>
      <c r="E14869" t="s">
        <v>10163</v>
      </c>
      <c r="F14869" t="s">
        <v>4</v>
      </c>
      <c r="G14869" t="s">
        <v>16221</v>
      </c>
      <c r="H14869" t="s">
        <v>47126</v>
      </c>
      <c r="I14869" t="s">
        <v>47127</v>
      </c>
      <c r="J14869" t="s">
        <v>47128</v>
      </c>
      <c r="K14869" t="s">
        <v>47113</v>
      </c>
      <c r="L14869">
        <v>17.71</v>
      </c>
      <c r="M14869">
        <v>39</v>
      </c>
      <c r="N14869">
        <v>0</v>
      </c>
      <c r="O14869">
        <v>39</v>
      </c>
      <c r="P14869">
        <v>0</v>
      </c>
    </row>
    <row r="14870" spans="1:16" x14ac:dyDescent="0.25">
      <c r="A14870" t="s">
        <v>37575</v>
      </c>
      <c r="B14870" t="s">
        <v>10225</v>
      </c>
      <c r="C14870" t="s">
        <v>10226</v>
      </c>
      <c r="D14870" t="str">
        <f>"5342"</f>
        <v>5342</v>
      </c>
      <c r="E14870" t="s">
        <v>77</v>
      </c>
      <c r="F14870" t="s">
        <v>4</v>
      </c>
      <c r="G14870" t="s">
        <v>16221</v>
      </c>
      <c r="H14870" t="s">
        <v>47126</v>
      </c>
      <c r="I14870" t="s">
        <v>47127</v>
      </c>
      <c r="J14870" t="s">
        <v>47128</v>
      </c>
      <c r="K14870" t="s">
        <v>47113</v>
      </c>
      <c r="L14870">
        <v>17.71</v>
      </c>
      <c r="M14870">
        <v>39</v>
      </c>
      <c r="N14870">
        <v>0</v>
      </c>
      <c r="O14870">
        <v>39</v>
      </c>
      <c r="P14870">
        <v>0</v>
      </c>
    </row>
    <row r="14871" spans="1:16" x14ac:dyDescent="0.25">
      <c r="A14871" t="s">
        <v>37576</v>
      </c>
      <c r="B14871" t="s">
        <v>10227</v>
      </c>
      <c r="C14871" t="s">
        <v>10228</v>
      </c>
      <c r="D14871" t="str">
        <f>"1001"</f>
        <v>1001</v>
      </c>
      <c r="E14871" t="s">
        <v>42</v>
      </c>
      <c r="F14871" t="s">
        <v>4</v>
      </c>
      <c r="G14871" t="s">
        <v>16221</v>
      </c>
      <c r="H14871" t="s">
        <v>47126</v>
      </c>
      <c r="I14871" t="s">
        <v>47127</v>
      </c>
      <c r="J14871" t="s">
        <v>47128</v>
      </c>
      <c r="K14871" t="s">
        <v>47113</v>
      </c>
      <c r="L14871">
        <v>18.190000000000001</v>
      </c>
      <c r="M14871">
        <v>40</v>
      </c>
      <c r="N14871">
        <v>0</v>
      </c>
      <c r="O14871">
        <v>40</v>
      </c>
      <c r="P14871">
        <v>0</v>
      </c>
    </row>
    <row r="14872" spans="1:16" x14ac:dyDescent="0.25">
      <c r="A14872" t="s">
        <v>37577</v>
      </c>
      <c r="B14872" t="s">
        <v>10227</v>
      </c>
      <c r="C14872" t="s">
        <v>10228</v>
      </c>
      <c r="D14872" t="str">
        <f>"1700"</f>
        <v>1700</v>
      </c>
      <c r="E14872" t="s">
        <v>60</v>
      </c>
      <c r="F14872" t="s">
        <v>4</v>
      </c>
      <c r="G14872" t="s">
        <v>16221</v>
      </c>
      <c r="H14872" t="s">
        <v>47126</v>
      </c>
      <c r="I14872" t="s">
        <v>47127</v>
      </c>
      <c r="J14872" t="s">
        <v>47128</v>
      </c>
      <c r="K14872" t="s">
        <v>47113</v>
      </c>
      <c r="L14872">
        <v>18.190000000000001</v>
      </c>
      <c r="M14872">
        <v>40</v>
      </c>
      <c r="N14872">
        <v>0</v>
      </c>
      <c r="O14872">
        <v>40</v>
      </c>
      <c r="P14872">
        <v>0</v>
      </c>
    </row>
    <row r="14873" spans="1:16" x14ac:dyDescent="0.25">
      <c r="A14873" t="s">
        <v>37578</v>
      </c>
      <c r="B14873" t="s">
        <v>10227</v>
      </c>
      <c r="C14873" t="s">
        <v>10228</v>
      </c>
      <c r="D14873" t="str">
        <f>"2174"</f>
        <v>2174</v>
      </c>
      <c r="E14873" t="s">
        <v>10162</v>
      </c>
      <c r="F14873" t="s">
        <v>4</v>
      </c>
      <c r="G14873" t="s">
        <v>16221</v>
      </c>
      <c r="H14873" t="s">
        <v>47126</v>
      </c>
      <c r="I14873" t="s">
        <v>47127</v>
      </c>
      <c r="J14873" t="s">
        <v>47128</v>
      </c>
      <c r="K14873" t="s">
        <v>47113</v>
      </c>
      <c r="L14873">
        <v>18.190000000000001</v>
      </c>
      <c r="M14873">
        <v>40</v>
      </c>
      <c r="N14873">
        <v>0</v>
      </c>
      <c r="O14873">
        <v>40</v>
      </c>
      <c r="P14873">
        <v>0</v>
      </c>
    </row>
    <row r="14874" spans="1:16" x14ac:dyDescent="0.25">
      <c r="A14874" t="s">
        <v>37579</v>
      </c>
      <c r="B14874" t="s">
        <v>10227</v>
      </c>
      <c r="C14874" t="s">
        <v>10228</v>
      </c>
      <c r="D14874" t="str">
        <f>"2602"</f>
        <v>2602</v>
      </c>
      <c r="E14874" t="s">
        <v>2307</v>
      </c>
      <c r="F14874" t="s">
        <v>4</v>
      </c>
      <c r="G14874" t="s">
        <v>16221</v>
      </c>
      <c r="H14874" t="s">
        <v>47126</v>
      </c>
      <c r="I14874" t="s">
        <v>47127</v>
      </c>
      <c r="J14874" t="s">
        <v>47128</v>
      </c>
      <c r="K14874" t="s">
        <v>47113</v>
      </c>
      <c r="L14874">
        <v>18.190000000000001</v>
      </c>
      <c r="M14874">
        <v>40</v>
      </c>
      <c r="N14874">
        <v>0</v>
      </c>
      <c r="O14874">
        <v>40</v>
      </c>
      <c r="P14874">
        <v>0</v>
      </c>
    </row>
    <row r="14875" spans="1:16" x14ac:dyDescent="0.25">
      <c r="A14875" t="s">
        <v>37580</v>
      </c>
      <c r="B14875" t="s">
        <v>10227</v>
      </c>
      <c r="C14875" t="s">
        <v>10228</v>
      </c>
      <c r="D14875" t="str">
        <f>"3467"</f>
        <v>3467</v>
      </c>
      <c r="E14875" t="s">
        <v>10163</v>
      </c>
      <c r="F14875" t="s">
        <v>4</v>
      </c>
      <c r="G14875" t="s">
        <v>16221</v>
      </c>
      <c r="H14875" t="s">
        <v>47126</v>
      </c>
      <c r="I14875" t="s">
        <v>47127</v>
      </c>
      <c r="J14875" t="s">
        <v>47128</v>
      </c>
      <c r="K14875" t="s">
        <v>47113</v>
      </c>
      <c r="L14875">
        <v>18.190000000000001</v>
      </c>
      <c r="M14875">
        <v>40</v>
      </c>
      <c r="N14875">
        <v>0</v>
      </c>
      <c r="O14875">
        <v>40</v>
      </c>
      <c r="P14875">
        <v>0</v>
      </c>
    </row>
    <row r="14876" spans="1:16" x14ac:dyDescent="0.25">
      <c r="A14876" t="s">
        <v>37581</v>
      </c>
      <c r="B14876" t="s">
        <v>10227</v>
      </c>
      <c r="C14876" t="s">
        <v>10228</v>
      </c>
      <c r="D14876" t="str">
        <f>"5342"</f>
        <v>5342</v>
      </c>
      <c r="E14876" t="s">
        <v>77</v>
      </c>
      <c r="F14876" t="s">
        <v>4</v>
      </c>
      <c r="G14876" t="s">
        <v>16221</v>
      </c>
      <c r="H14876" t="s">
        <v>47126</v>
      </c>
      <c r="I14876" t="s">
        <v>47127</v>
      </c>
      <c r="J14876" t="s">
        <v>47128</v>
      </c>
      <c r="K14876" t="s">
        <v>47113</v>
      </c>
      <c r="L14876">
        <v>18.190000000000001</v>
      </c>
      <c r="M14876">
        <v>40</v>
      </c>
      <c r="N14876">
        <v>0</v>
      </c>
      <c r="O14876">
        <v>40</v>
      </c>
      <c r="P14876">
        <v>0</v>
      </c>
    </row>
    <row r="14877" spans="1:16" x14ac:dyDescent="0.25">
      <c r="A14877" t="s">
        <v>37582</v>
      </c>
      <c r="B14877" t="s">
        <v>10229</v>
      </c>
      <c r="C14877" t="s">
        <v>10230</v>
      </c>
      <c r="D14877" t="str">
        <f>"1001"</f>
        <v>1001</v>
      </c>
      <c r="E14877" t="s">
        <v>42</v>
      </c>
      <c r="F14877" t="s">
        <v>4</v>
      </c>
      <c r="G14877" t="s">
        <v>16221</v>
      </c>
      <c r="H14877" t="s">
        <v>47126</v>
      </c>
      <c r="I14877" t="s">
        <v>47127</v>
      </c>
      <c r="J14877" t="s">
        <v>47128</v>
      </c>
      <c r="K14877" t="s">
        <v>47113</v>
      </c>
      <c r="L14877">
        <v>17.59</v>
      </c>
      <c r="M14877">
        <v>38</v>
      </c>
      <c r="N14877">
        <v>0</v>
      </c>
      <c r="O14877">
        <v>38</v>
      </c>
      <c r="P14877">
        <v>0</v>
      </c>
    </row>
    <row r="14878" spans="1:16" x14ac:dyDescent="0.25">
      <c r="A14878" t="s">
        <v>37583</v>
      </c>
      <c r="B14878" t="s">
        <v>10229</v>
      </c>
      <c r="C14878" t="s">
        <v>10230</v>
      </c>
      <c r="D14878" t="str">
        <f>"1377"</f>
        <v>1377</v>
      </c>
      <c r="E14878" t="s">
        <v>74</v>
      </c>
      <c r="F14878" t="s">
        <v>4</v>
      </c>
      <c r="G14878" t="s">
        <v>16221</v>
      </c>
      <c r="H14878" t="s">
        <v>47126</v>
      </c>
      <c r="I14878" t="s">
        <v>47127</v>
      </c>
      <c r="J14878" t="s">
        <v>47128</v>
      </c>
      <c r="K14878" t="s">
        <v>47113</v>
      </c>
      <c r="L14878">
        <v>17.59</v>
      </c>
      <c r="M14878">
        <v>38</v>
      </c>
      <c r="N14878">
        <v>0</v>
      </c>
      <c r="O14878">
        <v>38</v>
      </c>
      <c r="P14878">
        <v>0</v>
      </c>
    </row>
    <row r="14879" spans="1:16" x14ac:dyDescent="0.25">
      <c r="A14879" t="s">
        <v>37584</v>
      </c>
      <c r="B14879" t="s">
        <v>10229</v>
      </c>
      <c r="C14879" t="s">
        <v>10230</v>
      </c>
      <c r="D14879" t="str">
        <f>"1700"</f>
        <v>1700</v>
      </c>
      <c r="E14879" t="s">
        <v>60</v>
      </c>
      <c r="F14879" t="s">
        <v>4</v>
      </c>
      <c r="G14879" t="s">
        <v>16221</v>
      </c>
      <c r="H14879" t="s">
        <v>47126</v>
      </c>
      <c r="I14879" t="s">
        <v>47127</v>
      </c>
      <c r="J14879" t="s">
        <v>47128</v>
      </c>
      <c r="K14879" t="s">
        <v>47113</v>
      </c>
      <c r="L14879">
        <v>17.59</v>
      </c>
      <c r="M14879">
        <v>38</v>
      </c>
      <c r="N14879">
        <v>0</v>
      </c>
      <c r="O14879">
        <v>38</v>
      </c>
      <c r="P14879">
        <v>0</v>
      </c>
    </row>
    <row r="14880" spans="1:16" x14ac:dyDescent="0.25">
      <c r="A14880" t="s">
        <v>37585</v>
      </c>
      <c r="B14880" t="s">
        <v>10229</v>
      </c>
      <c r="C14880" t="s">
        <v>10230</v>
      </c>
      <c r="D14880" t="str">
        <f>"2602"</f>
        <v>2602</v>
      </c>
      <c r="E14880" t="s">
        <v>2307</v>
      </c>
      <c r="F14880" t="s">
        <v>4</v>
      </c>
      <c r="G14880" t="s">
        <v>16221</v>
      </c>
      <c r="H14880" t="s">
        <v>47126</v>
      </c>
      <c r="I14880" t="s">
        <v>47127</v>
      </c>
      <c r="J14880" t="s">
        <v>47128</v>
      </c>
      <c r="K14880" t="s">
        <v>47113</v>
      </c>
      <c r="L14880">
        <v>17.59</v>
      </c>
      <c r="M14880">
        <v>38</v>
      </c>
      <c r="N14880">
        <v>0</v>
      </c>
      <c r="O14880">
        <v>38</v>
      </c>
      <c r="P14880">
        <v>0</v>
      </c>
    </row>
    <row r="14881" spans="1:16" x14ac:dyDescent="0.25">
      <c r="A14881" t="s">
        <v>37586</v>
      </c>
      <c r="B14881" t="s">
        <v>10229</v>
      </c>
      <c r="C14881" t="s">
        <v>10230</v>
      </c>
      <c r="D14881" t="str">
        <f>"5342"</f>
        <v>5342</v>
      </c>
      <c r="E14881" t="s">
        <v>77</v>
      </c>
      <c r="F14881" t="s">
        <v>4</v>
      </c>
      <c r="G14881" t="s">
        <v>16221</v>
      </c>
      <c r="H14881" t="s">
        <v>47126</v>
      </c>
      <c r="I14881" t="s">
        <v>47127</v>
      </c>
      <c r="J14881" t="s">
        <v>47128</v>
      </c>
      <c r="K14881" t="s">
        <v>47113</v>
      </c>
      <c r="L14881">
        <v>17.59</v>
      </c>
      <c r="M14881">
        <v>38</v>
      </c>
      <c r="N14881">
        <v>0</v>
      </c>
      <c r="O14881">
        <v>38</v>
      </c>
      <c r="P14881">
        <v>0</v>
      </c>
    </row>
    <row r="14882" spans="1:16" x14ac:dyDescent="0.25">
      <c r="A14882" t="s">
        <v>37587</v>
      </c>
      <c r="B14882" t="s">
        <v>10231</v>
      </c>
      <c r="C14882" t="s">
        <v>10232</v>
      </c>
      <c r="D14882" t="str">
        <f>"1001"</f>
        <v>1001</v>
      </c>
      <c r="E14882" t="s">
        <v>42</v>
      </c>
      <c r="F14882" t="s">
        <v>4</v>
      </c>
      <c r="G14882" t="s">
        <v>16221</v>
      </c>
      <c r="H14882" t="s">
        <v>47126</v>
      </c>
      <c r="I14882" t="s">
        <v>47127</v>
      </c>
      <c r="J14882" t="s">
        <v>47128</v>
      </c>
      <c r="K14882" t="s">
        <v>47113</v>
      </c>
      <c r="L14882">
        <v>17.59</v>
      </c>
      <c r="M14882">
        <v>38</v>
      </c>
      <c r="N14882">
        <v>0</v>
      </c>
      <c r="O14882">
        <v>38</v>
      </c>
      <c r="P14882">
        <v>0</v>
      </c>
    </row>
    <row r="14883" spans="1:16" x14ac:dyDescent="0.25">
      <c r="A14883" t="s">
        <v>37588</v>
      </c>
      <c r="B14883" t="s">
        <v>10231</v>
      </c>
      <c r="C14883" t="s">
        <v>10232</v>
      </c>
      <c r="D14883" t="str">
        <f>"3467"</f>
        <v>3467</v>
      </c>
      <c r="E14883" t="s">
        <v>10163</v>
      </c>
      <c r="F14883" t="s">
        <v>4</v>
      </c>
      <c r="G14883" t="s">
        <v>16221</v>
      </c>
      <c r="H14883" t="s">
        <v>47126</v>
      </c>
      <c r="I14883" t="s">
        <v>47127</v>
      </c>
      <c r="J14883" t="s">
        <v>47128</v>
      </c>
      <c r="K14883" t="s">
        <v>47113</v>
      </c>
      <c r="L14883">
        <v>17.59</v>
      </c>
      <c r="M14883">
        <v>38</v>
      </c>
      <c r="N14883">
        <v>0</v>
      </c>
      <c r="O14883">
        <v>38</v>
      </c>
      <c r="P14883">
        <v>0</v>
      </c>
    </row>
    <row r="14884" spans="1:16" x14ac:dyDescent="0.25">
      <c r="A14884" t="s">
        <v>37589</v>
      </c>
      <c r="B14884" t="s">
        <v>10231</v>
      </c>
      <c r="C14884" t="s">
        <v>10232</v>
      </c>
      <c r="D14884" t="str">
        <f>"4643"</f>
        <v>4643</v>
      </c>
      <c r="E14884" t="s">
        <v>205</v>
      </c>
      <c r="F14884" t="s">
        <v>4</v>
      </c>
      <c r="G14884" t="s">
        <v>16221</v>
      </c>
      <c r="H14884" t="s">
        <v>47126</v>
      </c>
      <c r="I14884" t="s">
        <v>47127</v>
      </c>
      <c r="J14884" t="s">
        <v>47128</v>
      </c>
      <c r="K14884" t="s">
        <v>47113</v>
      </c>
      <c r="L14884">
        <v>17.59</v>
      </c>
      <c r="M14884">
        <v>38</v>
      </c>
      <c r="N14884">
        <v>0</v>
      </c>
      <c r="O14884">
        <v>38</v>
      </c>
      <c r="P14884">
        <v>0</v>
      </c>
    </row>
    <row r="14885" spans="1:16" x14ac:dyDescent="0.25">
      <c r="A14885" t="s">
        <v>37590</v>
      </c>
      <c r="B14885" t="s">
        <v>10233</v>
      </c>
      <c r="C14885" t="s">
        <v>319</v>
      </c>
      <c r="D14885" t="str">
        <f>"1001"</f>
        <v>1001</v>
      </c>
      <c r="E14885" t="s">
        <v>42</v>
      </c>
      <c r="F14885" t="s">
        <v>4</v>
      </c>
      <c r="G14885" t="s">
        <v>16235</v>
      </c>
      <c r="H14885" t="s">
        <v>47126</v>
      </c>
      <c r="I14885" t="s">
        <v>47127</v>
      </c>
      <c r="J14885" t="s">
        <v>47128</v>
      </c>
      <c r="K14885" t="s">
        <v>47113</v>
      </c>
      <c r="L14885">
        <v>38.89</v>
      </c>
      <c r="M14885">
        <v>85</v>
      </c>
      <c r="N14885">
        <v>0</v>
      </c>
      <c r="O14885">
        <v>85</v>
      </c>
      <c r="P14885">
        <v>0</v>
      </c>
    </row>
    <row r="14886" spans="1:16" x14ac:dyDescent="0.25">
      <c r="A14886" t="s">
        <v>37591</v>
      </c>
      <c r="B14886" t="s">
        <v>10233</v>
      </c>
      <c r="C14886" t="s">
        <v>319</v>
      </c>
      <c r="D14886" t="str">
        <f>"1377"</f>
        <v>1377</v>
      </c>
      <c r="E14886" t="s">
        <v>74</v>
      </c>
      <c r="F14886" t="s">
        <v>4</v>
      </c>
      <c r="G14886" t="s">
        <v>16235</v>
      </c>
      <c r="H14886" t="s">
        <v>47126</v>
      </c>
      <c r="I14886" t="s">
        <v>47127</v>
      </c>
      <c r="J14886" t="s">
        <v>47128</v>
      </c>
      <c r="K14886" t="s">
        <v>47113</v>
      </c>
      <c r="L14886">
        <v>38.89</v>
      </c>
      <c r="M14886">
        <v>85</v>
      </c>
      <c r="N14886">
        <v>0</v>
      </c>
      <c r="O14886">
        <v>85</v>
      </c>
      <c r="P14886">
        <v>0</v>
      </c>
    </row>
    <row r="14887" spans="1:16" x14ac:dyDescent="0.25">
      <c r="A14887" t="s">
        <v>37592</v>
      </c>
      <c r="B14887" t="s">
        <v>10233</v>
      </c>
      <c r="C14887" t="s">
        <v>319</v>
      </c>
      <c r="D14887" t="str">
        <f>"2174"</f>
        <v>2174</v>
      </c>
      <c r="E14887" t="s">
        <v>10162</v>
      </c>
      <c r="F14887" t="s">
        <v>4</v>
      </c>
      <c r="G14887" t="s">
        <v>16235</v>
      </c>
      <c r="H14887" t="s">
        <v>47126</v>
      </c>
      <c r="I14887" t="s">
        <v>47127</v>
      </c>
      <c r="J14887" t="s">
        <v>47128</v>
      </c>
      <c r="K14887" t="s">
        <v>47113</v>
      </c>
      <c r="L14887">
        <v>38.89</v>
      </c>
      <c r="M14887">
        <v>85</v>
      </c>
      <c r="N14887">
        <v>0</v>
      </c>
      <c r="O14887">
        <v>85</v>
      </c>
      <c r="P14887">
        <v>0</v>
      </c>
    </row>
    <row r="14888" spans="1:16" x14ac:dyDescent="0.25">
      <c r="A14888" t="s">
        <v>37593</v>
      </c>
      <c r="B14888" t="s">
        <v>10233</v>
      </c>
      <c r="C14888" t="s">
        <v>319</v>
      </c>
      <c r="D14888" t="str">
        <f>"3467"</f>
        <v>3467</v>
      </c>
      <c r="E14888" t="s">
        <v>10163</v>
      </c>
      <c r="F14888" t="s">
        <v>4</v>
      </c>
      <c r="G14888" t="s">
        <v>16235</v>
      </c>
      <c r="H14888" t="s">
        <v>47126</v>
      </c>
      <c r="I14888" t="s">
        <v>47127</v>
      </c>
      <c r="J14888" t="s">
        <v>47128</v>
      </c>
      <c r="K14888" t="s">
        <v>47113</v>
      </c>
      <c r="L14888">
        <v>38.89</v>
      </c>
      <c r="M14888">
        <v>85</v>
      </c>
      <c r="N14888">
        <v>0</v>
      </c>
      <c r="O14888">
        <v>85</v>
      </c>
      <c r="P14888">
        <v>0</v>
      </c>
    </row>
    <row r="14889" spans="1:16" x14ac:dyDescent="0.25">
      <c r="A14889" t="s">
        <v>37594</v>
      </c>
      <c r="B14889" t="s">
        <v>10233</v>
      </c>
      <c r="C14889" t="s">
        <v>319</v>
      </c>
      <c r="D14889" t="str">
        <f>"5342"</f>
        <v>5342</v>
      </c>
      <c r="E14889" t="s">
        <v>77</v>
      </c>
      <c r="F14889" t="s">
        <v>4</v>
      </c>
      <c r="G14889" t="s">
        <v>16235</v>
      </c>
      <c r="H14889" t="s">
        <v>47126</v>
      </c>
      <c r="I14889" t="s">
        <v>47127</v>
      </c>
      <c r="J14889" t="s">
        <v>47128</v>
      </c>
      <c r="K14889" t="s">
        <v>47113</v>
      </c>
      <c r="L14889">
        <v>38.89</v>
      </c>
      <c r="M14889">
        <v>85</v>
      </c>
      <c r="N14889">
        <v>0</v>
      </c>
      <c r="O14889">
        <v>85</v>
      </c>
      <c r="P14889">
        <v>0</v>
      </c>
    </row>
    <row r="14890" spans="1:16" x14ac:dyDescent="0.25">
      <c r="A14890" t="s">
        <v>37595</v>
      </c>
      <c r="B14890" t="s">
        <v>10234</v>
      </c>
      <c r="C14890" t="s">
        <v>9845</v>
      </c>
      <c r="D14890" t="str">
        <f>"1001"</f>
        <v>1001</v>
      </c>
      <c r="E14890" t="s">
        <v>42</v>
      </c>
      <c r="F14890" t="s">
        <v>4</v>
      </c>
      <c r="G14890" t="s">
        <v>16221</v>
      </c>
      <c r="H14890" t="s">
        <v>47126</v>
      </c>
      <c r="I14890" t="s">
        <v>47127</v>
      </c>
      <c r="J14890" t="s">
        <v>47128</v>
      </c>
      <c r="K14890" t="s">
        <v>47113</v>
      </c>
      <c r="L14890">
        <v>13.76</v>
      </c>
      <c r="M14890">
        <v>30</v>
      </c>
      <c r="N14890">
        <v>0</v>
      </c>
      <c r="O14890">
        <v>30</v>
      </c>
      <c r="P14890">
        <v>0</v>
      </c>
    </row>
    <row r="14891" spans="1:16" x14ac:dyDescent="0.25">
      <c r="A14891" t="s">
        <v>37596</v>
      </c>
      <c r="B14891" t="s">
        <v>10234</v>
      </c>
      <c r="C14891" t="s">
        <v>9845</v>
      </c>
      <c r="D14891" t="str">
        <f>"1377"</f>
        <v>1377</v>
      </c>
      <c r="E14891" t="s">
        <v>74</v>
      </c>
      <c r="F14891" t="s">
        <v>4</v>
      </c>
      <c r="G14891" t="s">
        <v>16221</v>
      </c>
      <c r="H14891" t="s">
        <v>47126</v>
      </c>
      <c r="I14891" t="s">
        <v>47127</v>
      </c>
      <c r="J14891" t="s">
        <v>47128</v>
      </c>
      <c r="K14891" t="s">
        <v>47113</v>
      </c>
      <c r="L14891">
        <v>13.76</v>
      </c>
      <c r="M14891">
        <v>30</v>
      </c>
      <c r="N14891">
        <v>0</v>
      </c>
      <c r="O14891">
        <v>30</v>
      </c>
      <c r="P14891">
        <v>0</v>
      </c>
    </row>
    <row r="14892" spans="1:16" x14ac:dyDescent="0.25">
      <c r="A14892" t="s">
        <v>37597</v>
      </c>
      <c r="B14892" t="s">
        <v>10234</v>
      </c>
      <c r="C14892" t="s">
        <v>9845</v>
      </c>
      <c r="D14892" t="str">
        <f>"1700"</f>
        <v>1700</v>
      </c>
      <c r="E14892" t="s">
        <v>60</v>
      </c>
      <c r="F14892" t="s">
        <v>4</v>
      </c>
      <c r="G14892" t="s">
        <v>16221</v>
      </c>
      <c r="H14892" t="s">
        <v>47126</v>
      </c>
      <c r="I14892" t="s">
        <v>47127</v>
      </c>
      <c r="J14892" t="s">
        <v>47128</v>
      </c>
      <c r="K14892" t="s">
        <v>47113</v>
      </c>
      <c r="L14892">
        <v>13.76</v>
      </c>
      <c r="M14892">
        <v>30</v>
      </c>
      <c r="N14892">
        <v>0</v>
      </c>
      <c r="O14892">
        <v>30</v>
      </c>
      <c r="P14892">
        <v>0</v>
      </c>
    </row>
    <row r="14893" spans="1:16" x14ac:dyDescent="0.25">
      <c r="A14893" t="s">
        <v>37598</v>
      </c>
      <c r="B14893" t="s">
        <v>10235</v>
      </c>
      <c r="C14893" t="s">
        <v>10212</v>
      </c>
      <c r="D14893" t="str">
        <f>"1001"</f>
        <v>1001</v>
      </c>
      <c r="E14893" t="s">
        <v>42</v>
      </c>
      <c r="F14893" t="s">
        <v>4</v>
      </c>
      <c r="G14893" t="s">
        <v>16221</v>
      </c>
      <c r="H14893" t="s">
        <v>47126</v>
      </c>
      <c r="I14893" t="s">
        <v>47127</v>
      </c>
      <c r="J14893" t="s">
        <v>47128</v>
      </c>
      <c r="K14893" t="s">
        <v>47113</v>
      </c>
      <c r="L14893">
        <v>14.01</v>
      </c>
      <c r="M14893">
        <v>31</v>
      </c>
      <c r="N14893">
        <v>0</v>
      </c>
      <c r="O14893">
        <v>31</v>
      </c>
      <c r="P14893">
        <v>0</v>
      </c>
    </row>
    <row r="14894" spans="1:16" x14ac:dyDescent="0.25">
      <c r="A14894" t="s">
        <v>37599</v>
      </c>
      <c r="B14894" t="s">
        <v>10235</v>
      </c>
      <c r="C14894" t="s">
        <v>10212</v>
      </c>
      <c r="D14894" t="str">
        <f>"1700"</f>
        <v>1700</v>
      </c>
      <c r="E14894" t="s">
        <v>60</v>
      </c>
      <c r="F14894" t="s">
        <v>4</v>
      </c>
      <c r="G14894" t="s">
        <v>16221</v>
      </c>
      <c r="H14894" t="s">
        <v>47126</v>
      </c>
      <c r="I14894" t="s">
        <v>47127</v>
      </c>
      <c r="J14894" t="s">
        <v>47128</v>
      </c>
      <c r="K14894" t="s">
        <v>47113</v>
      </c>
      <c r="L14894">
        <v>14.01</v>
      </c>
      <c r="M14894">
        <v>31</v>
      </c>
      <c r="N14894">
        <v>0</v>
      </c>
      <c r="O14894">
        <v>31</v>
      </c>
      <c r="P14894">
        <v>0</v>
      </c>
    </row>
    <row r="14895" spans="1:16" x14ac:dyDescent="0.25">
      <c r="A14895" t="s">
        <v>37600</v>
      </c>
      <c r="B14895" t="s">
        <v>10235</v>
      </c>
      <c r="C14895" t="s">
        <v>10212</v>
      </c>
      <c r="D14895" t="str">
        <f>"2174"</f>
        <v>2174</v>
      </c>
      <c r="E14895" t="s">
        <v>10162</v>
      </c>
      <c r="F14895" t="s">
        <v>4</v>
      </c>
      <c r="G14895" t="s">
        <v>16221</v>
      </c>
      <c r="H14895" t="s">
        <v>47126</v>
      </c>
      <c r="I14895" t="s">
        <v>47127</v>
      </c>
      <c r="J14895" t="s">
        <v>47128</v>
      </c>
      <c r="K14895" t="s">
        <v>47113</v>
      </c>
      <c r="L14895">
        <v>14.01</v>
      </c>
      <c r="M14895">
        <v>31</v>
      </c>
      <c r="N14895">
        <v>0</v>
      </c>
      <c r="O14895">
        <v>31</v>
      </c>
      <c r="P14895">
        <v>0</v>
      </c>
    </row>
    <row r="14896" spans="1:16" x14ac:dyDescent="0.25">
      <c r="A14896" t="s">
        <v>37601</v>
      </c>
      <c r="B14896" t="s">
        <v>10235</v>
      </c>
      <c r="C14896" t="s">
        <v>10212</v>
      </c>
      <c r="D14896" t="str">
        <f>"3467"</f>
        <v>3467</v>
      </c>
      <c r="E14896" t="s">
        <v>10163</v>
      </c>
      <c r="F14896" t="s">
        <v>4</v>
      </c>
      <c r="G14896" t="s">
        <v>16221</v>
      </c>
      <c r="H14896" t="s">
        <v>47126</v>
      </c>
      <c r="I14896" t="s">
        <v>47127</v>
      </c>
      <c r="J14896" t="s">
        <v>47128</v>
      </c>
      <c r="K14896" t="s">
        <v>47113</v>
      </c>
      <c r="L14896">
        <v>14.01</v>
      </c>
      <c r="M14896">
        <v>31</v>
      </c>
      <c r="N14896">
        <v>0</v>
      </c>
      <c r="O14896">
        <v>31</v>
      </c>
      <c r="P14896">
        <v>0</v>
      </c>
    </row>
    <row r="14897" spans="1:16" x14ac:dyDescent="0.25">
      <c r="A14897" t="s">
        <v>37602</v>
      </c>
      <c r="B14897" t="s">
        <v>10235</v>
      </c>
      <c r="C14897" t="s">
        <v>10212</v>
      </c>
      <c r="D14897" t="str">
        <f>"5342"</f>
        <v>5342</v>
      </c>
      <c r="E14897" t="s">
        <v>77</v>
      </c>
      <c r="F14897" t="s">
        <v>4</v>
      </c>
      <c r="G14897" t="s">
        <v>16221</v>
      </c>
      <c r="H14897" t="s">
        <v>47126</v>
      </c>
      <c r="I14897" t="s">
        <v>47127</v>
      </c>
      <c r="J14897" t="s">
        <v>47128</v>
      </c>
      <c r="K14897" t="s">
        <v>47113</v>
      </c>
      <c r="L14897">
        <v>14.01</v>
      </c>
      <c r="M14897">
        <v>31</v>
      </c>
      <c r="N14897">
        <v>0</v>
      </c>
      <c r="O14897">
        <v>31</v>
      </c>
      <c r="P14897">
        <v>0</v>
      </c>
    </row>
    <row r="14898" spans="1:16" x14ac:dyDescent="0.25">
      <c r="A14898" t="s">
        <v>37603</v>
      </c>
      <c r="B14898" t="s">
        <v>10236</v>
      </c>
      <c r="C14898" t="s">
        <v>10212</v>
      </c>
      <c r="D14898" t="str">
        <f>"1001"</f>
        <v>1001</v>
      </c>
      <c r="E14898" t="s">
        <v>42</v>
      </c>
      <c r="F14898" t="s">
        <v>4</v>
      </c>
      <c r="G14898" t="s">
        <v>16221</v>
      </c>
      <c r="H14898" t="s">
        <v>47126</v>
      </c>
      <c r="I14898" t="s">
        <v>47127</v>
      </c>
      <c r="J14898" t="s">
        <v>47128</v>
      </c>
      <c r="K14898" t="s">
        <v>47113</v>
      </c>
      <c r="L14898">
        <v>13.29</v>
      </c>
      <c r="M14898">
        <v>29</v>
      </c>
      <c r="N14898">
        <v>0</v>
      </c>
      <c r="O14898">
        <v>29</v>
      </c>
      <c r="P14898">
        <v>0</v>
      </c>
    </row>
    <row r="14899" spans="1:16" x14ac:dyDescent="0.25">
      <c r="A14899" t="s">
        <v>37604</v>
      </c>
      <c r="B14899" t="s">
        <v>10236</v>
      </c>
      <c r="C14899" t="s">
        <v>10212</v>
      </c>
      <c r="D14899" t="str">
        <f>"1377"</f>
        <v>1377</v>
      </c>
      <c r="E14899" t="s">
        <v>74</v>
      </c>
      <c r="F14899" t="s">
        <v>4</v>
      </c>
      <c r="G14899" t="s">
        <v>16221</v>
      </c>
      <c r="H14899" t="s">
        <v>47126</v>
      </c>
      <c r="I14899" t="s">
        <v>47127</v>
      </c>
      <c r="J14899" t="s">
        <v>47128</v>
      </c>
      <c r="K14899" t="s">
        <v>47113</v>
      </c>
      <c r="L14899">
        <v>13.29</v>
      </c>
      <c r="M14899">
        <v>29</v>
      </c>
      <c r="N14899">
        <v>0</v>
      </c>
      <c r="O14899">
        <v>29</v>
      </c>
      <c r="P14899">
        <v>0</v>
      </c>
    </row>
    <row r="14900" spans="1:16" x14ac:dyDescent="0.25">
      <c r="A14900" t="s">
        <v>37605</v>
      </c>
      <c r="B14900" t="s">
        <v>10236</v>
      </c>
      <c r="C14900" t="s">
        <v>10212</v>
      </c>
      <c r="D14900" t="str">
        <f>"1700"</f>
        <v>1700</v>
      </c>
      <c r="E14900" t="s">
        <v>60</v>
      </c>
      <c r="F14900" t="s">
        <v>4</v>
      </c>
      <c r="G14900" t="s">
        <v>16221</v>
      </c>
      <c r="H14900" t="s">
        <v>47126</v>
      </c>
      <c r="I14900" t="s">
        <v>47127</v>
      </c>
      <c r="J14900" t="s">
        <v>47128</v>
      </c>
      <c r="K14900" t="s">
        <v>47113</v>
      </c>
      <c r="L14900">
        <v>13.29</v>
      </c>
      <c r="M14900">
        <v>29</v>
      </c>
      <c r="N14900">
        <v>0</v>
      </c>
      <c r="O14900">
        <v>29</v>
      </c>
      <c r="P14900">
        <v>0</v>
      </c>
    </row>
    <row r="14901" spans="1:16" x14ac:dyDescent="0.25">
      <c r="A14901" t="s">
        <v>37606</v>
      </c>
      <c r="B14901" t="s">
        <v>10236</v>
      </c>
      <c r="C14901" t="s">
        <v>10212</v>
      </c>
      <c r="D14901" t="str">
        <f>"3467"</f>
        <v>3467</v>
      </c>
      <c r="E14901" t="s">
        <v>10163</v>
      </c>
      <c r="F14901" t="s">
        <v>4</v>
      </c>
      <c r="G14901" t="s">
        <v>16221</v>
      </c>
      <c r="H14901" t="s">
        <v>47126</v>
      </c>
      <c r="I14901" t="s">
        <v>47127</v>
      </c>
      <c r="J14901" t="s">
        <v>47128</v>
      </c>
      <c r="K14901" t="s">
        <v>47113</v>
      </c>
      <c r="L14901">
        <v>13.29</v>
      </c>
      <c r="M14901">
        <v>29</v>
      </c>
      <c r="N14901">
        <v>0</v>
      </c>
      <c r="O14901">
        <v>29</v>
      </c>
      <c r="P14901">
        <v>0</v>
      </c>
    </row>
    <row r="14902" spans="1:16" x14ac:dyDescent="0.25">
      <c r="A14902" t="s">
        <v>37607</v>
      </c>
      <c r="B14902" t="s">
        <v>10236</v>
      </c>
      <c r="C14902" t="s">
        <v>10212</v>
      </c>
      <c r="D14902" t="str">
        <f>"4643"</f>
        <v>4643</v>
      </c>
      <c r="E14902" t="s">
        <v>205</v>
      </c>
      <c r="F14902" t="s">
        <v>4</v>
      </c>
      <c r="G14902" t="s">
        <v>16221</v>
      </c>
      <c r="H14902" t="s">
        <v>47126</v>
      </c>
      <c r="I14902" t="s">
        <v>47127</v>
      </c>
      <c r="J14902" t="s">
        <v>47128</v>
      </c>
      <c r="K14902" t="s">
        <v>47113</v>
      </c>
      <c r="L14902">
        <v>13.29</v>
      </c>
      <c r="M14902">
        <v>29</v>
      </c>
      <c r="N14902">
        <v>0</v>
      </c>
      <c r="O14902">
        <v>29</v>
      </c>
      <c r="P14902">
        <v>0</v>
      </c>
    </row>
    <row r="14903" spans="1:16" x14ac:dyDescent="0.25">
      <c r="A14903" t="s">
        <v>37608</v>
      </c>
      <c r="B14903" t="s">
        <v>10237</v>
      </c>
      <c r="C14903" t="s">
        <v>316</v>
      </c>
      <c r="D14903" t="str">
        <f>"1278"</f>
        <v>1278</v>
      </c>
      <c r="E14903" t="s">
        <v>100</v>
      </c>
      <c r="F14903" t="s">
        <v>4</v>
      </c>
      <c r="G14903" t="s">
        <v>16222</v>
      </c>
      <c r="H14903" t="s">
        <v>47126</v>
      </c>
      <c r="I14903" t="s">
        <v>47127</v>
      </c>
      <c r="J14903" t="s">
        <v>47128</v>
      </c>
      <c r="K14903" t="s">
        <v>47113</v>
      </c>
      <c r="L14903">
        <v>22.14</v>
      </c>
      <c r="M14903">
        <v>48</v>
      </c>
      <c r="N14903">
        <v>0</v>
      </c>
      <c r="O14903">
        <v>48</v>
      </c>
      <c r="P14903">
        <v>0</v>
      </c>
    </row>
    <row r="14904" spans="1:16" x14ac:dyDescent="0.25">
      <c r="A14904" t="s">
        <v>37609</v>
      </c>
      <c r="B14904" t="s">
        <v>10237</v>
      </c>
      <c r="C14904" t="s">
        <v>316</v>
      </c>
      <c r="D14904" t="str">
        <f>"4643"</f>
        <v>4643</v>
      </c>
      <c r="E14904" t="s">
        <v>205</v>
      </c>
      <c r="F14904" t="s">
        <v>4</v>
      </c>
      <c r="G14904" t="s">
        <v>16222</v>
      </c>
      <c r="H14904" t="s">
        <v>47126</v>
      </c>
      <c r="I14904" t="s">
        <v>47127</v>
      </c>
      <c r="J14904" t="s">
        <v>47128</v>
      </c>
      <c r="K14904" t="s">
        <v>47113</v>
      </c>
      <c r="L14904">
        <v>22.14</v>
      </c>
      <c r="M14904">
        <v>48</v>
      </c>
      <c r="N14904">
        <v>0</v>
      </c>
      <c r="O14904">
        <v>48</v>
      </c>
      <c r="P14904">
        <v>0</v>
      </c>
    </row>
    <row r="14905" spans="1:16" x14ac:dyDescent="0.25">
      <c r="A14905" t="s">
        <v>37610</v>
      </c>
      <c r="B14905" t="s">
        <v>10237</v>
      </c>
      <c r="C14905" t="s">
        <v>316</v>
      </c>
      <c r="D14905" t="str">
        <f>"6000"</f>
        <v>6000</v>
      </c>
      <c r="E14905" t="s">
        <v>238</v>
      </c>
      <c r="F14905" t="s">
        <v>4</v>
      </c>
      <c r="G14905" t="s">
        <v>16222</v>
      </c>
      <c r="H14905" t="s">
        <v>47126</v>
      </c>
      <c r="I14905" t="s">
        <v>47127</v>
      </c>
      <c r="J14905" t="s">
        <v>47128</v>
      </c>
      <c r="K14905" t="s">
        <v>47113</v>
      </c>
      <c r="L14905">
        <v>22.14</v>
      </c>
      <c r="M14905">
        <v>48</v>
      </c>
      <c r="N14905">
        <v>0</v>
      </c>
      <c r="O14905">
        <v>48</v>
      </c>
      <c r="P14905">
        <v>0</v>
      </c>
    </row>
    <row r="14906" spans="1:16" x14ac:dyDescent="0.25">
      <c r="A14906" t="s">
        <v>37611</v>
      </c>
      <c r="B14906" t="s">
        <v>10238</v>
      </c>
      <c r="C14906" t="s">
        <v>95</v>
      </c>
      <c r="D14906" t="str">
        <f>"1001"</f>
        <v>1001</v>
      </c>
      <c r="E14906" t="s">
        <v>42</v>
      </c>
      <c r="F14906" t="s">
        <v>4</v>
      </c>
      <c r="G14906" t="s">
        <v>16222</v>
      </c>
      <c r="H14906" t="s">
        <v>47126</v>
      </c>
      <c r="I14906" t="s">
        <v>47127</v>
      </c>
      <c r="J14906" t="s">
        <v>47128</v>
      </c>
      <c r="K14906" t="s">
        <v>47113</v>
      </c>
      <c r="L14906">
        <v>25.01</v>
      </c>
      <c r="M14906">
        <v>55</v>
      </c>
      <c r="N14906">
        <v>0</v>
      </c>
      <c r="O14906">
        <v>55</v>
      </c>
      <c r="P14906">
        <v>0</v>
      </c>
    </row>
    <row r="14907" spans="1:16" x14ac:dyDescent="0.25">
      <c r="A14907" t="s">
        <v>37612</v>
      </c>
      <c r="B14907" t="s">
        <v>10238</v>
      </c>
      <c r="C14907" t="s">
        <v>95</v>
      </c>
      <c r="D14907" t="str">
        <f>"1377"</f>
        <v>1377</v>
      </c>
      <c r="E14907" t="s">
        <v>74</v>
      </c>
      <c r="F14907" t="s">
        <v>4</v>
      </c>
      <c r="G14907" t="s">
        <v>16222</v>
      </c>
      <c r="H14907" t="s">
        <v>47126</v>
      </c>
      <c r="I14907" t="s">
        <v>47127</v>
      </c>
      <c r="J14907" t="s">
        <v>47128</v>
      </c>
      <c r="K14907" t="s">
        <v>47113</v>
      </c>
      <c r="L14907">
        <v>25.01</v>
      </c>
      <c r="M14907">
        <v>55</v>
      </c>
      <c r="N14907">
        <v>0</v>
      </c>
      <c r="O14907">
        <v>55</v>
      </c>
      <c r="P14907">
        <v>0</v>
      </c>
    </row>
    <row r="14908" spans="1:16" x14ac:dyDescent="0.25">
      <c r="A14908" t="s">
        <v>37613</v>
      </c>
      <c r="B14908" t="s">
        <v>10238</v>
      </c>
      <c r="C14908" t="s">
        <v>95</v>
      </c>
      <c r="D14908" t="str">
        <f>"2174"</f>
        <v>2174</v>
      </c>
      <c r="E14908" t="s">
        <v>10162</v>
      </c>
      <c r="F14908" t="s">
        <v>4</v>
      </c>
      <c r="G14908" t="s">
        <v>16222</v>
      </c>
      <c r="H14908" t="s">
        <v>47126</v>
      </c>
      <c r="I14908" t="s">
        <v>47127</v>
      </c>
      <c r="J14908" t="s">
        <v>47128</v>
      </c>
      <c r="K14908" t="s">
        <v>47113</v>
      </c>
      <c r="L14908">
        <v>25.01</v>
      </c>
      <c r="M14908">
        <v>55</v>
      </c>
      <c r="N14908">
        <v>0</v>
      </c>
      <c r="O14908">
        <v>55</v>
      </c>
      <c r="P14908">
        <v>0</v>
      </c>
    </row>
    <row r="14909" spans="1:16" x14ac:dyDescent="0.25">
      <c r="A14909" t="s">
        <v>37614</v>
      </c>
      <c r="B14909" t="s">
        <v>10238</v>
      </c>
      <c r="C14909" t="s">
        <v>95</v>
      </c>
      <c r="D14909" t="str">
        <f>"3467"</f>
        <v>3467</v>
      </c>
      <c r="E14909" t="s">
        <v>10163</v>
      </c>
      <c r="F14909" t="s">
        <v>4</v>
      </c>
      <c r="G14909" t="s">
        <v>16222</v>
      </c>
      <c r="H14909" t="s">
        <v>47126</v>
      </c>
      <c r="I14909" t="s">
        <v>47127</v>
      </c>
      <c r="J14909" t="s">
        <v>47128</v>
      </c>
      <c r="K14909" t="s">
        <v>47113</v>
      </c>
      <c r="L14909">
        <v>25.01</v>
      </c>
      <c r="M14909">
        <v>55</v>
      </c>
      <c r="N14909">
        <v>0</v>
      </c>
      <c r="O14909">
        <v>55</v>
      </c>
      <c r="P14909">
        <v>0</v>
      </c>
    </row>
    <row r="14910" spans="1:16" x14ac:dyDescent="0.25">
      <c r="A14910" t="s">
        <v>37615</v>
      </c>
      <c r="B14910" t="s">
        <v>10238</v>
      </c>
      <c r="C14910" t="s">
        <v>95</v>
      </c>
      <c r="D14910" t="str">
        <f>"5342"</f>
        <v>5342</v>
      </c>
      <c r="E14910" t="s">
        <v>77</v>
      </c>
      <c r="F14910" t="s">
        <v>4</v>
      </c>
      <c r="G14910" t="s">
        <v>16222</v>
      </c>
      <c r="H14910" t="s">
        <v>47126</v>
      </c>
      <c r="I14910" t="s">
        <v>47127</v>
      </c>
      <c r="J14910" t="s">
        <v>47128</v>
      </c>
      <c r="K14910" t="s">
        <v>47113</v>
      </c>
      <c r="L14910">
        <v>25.01</v>
      </c>
      <c r="M14910">
        <v>55</v>
      </c>
      <c r="N14910">
        <v>0</v>
      </c>
      <c r="O14910">
        <v>55</v>
      </c>
      <c r="P14910">
        <v>0</v>
      </c>
    </row>
    <row r="14911" spans="1:16" x14ac:dyDescent="0.25">
      <c r="A14911" t="s">
        <v>37616</v>
      </c>
      <c r="B14911" t="s">
        <v>10239</v>
      </c>
      <c r="C14911" t="s">
        <v>10240</v>
      </c>
      <c r="D14911" t="str">
        <f>"1285"</f>
        <v>1285</v>
      </c>
      <c r="E14911" t="s">
        <v>2148</v>
      </c>
      <c r="F14911" t="s">
        <v>4</v>
      </c>
      <c r="G14911" t="s">
        <v>46686</v>
      </c>
      <c r="H14911" t="s">
        <v>47126</v>
      </c>
      <c r="I14911" t="s">
        <v>47127</v>
      </c>
      <c r="J14911" t="s">
        <v>47128</v>
      </c>
      <c r="K14911" t="s">
        <v>47113</v>
      </c>
      <c r="L14911">
        <v>20.23</v>
      </c>
      <c r="M14911">
        <v>44</v>
      </c>
      <c r="N14911">
        <v>0</v>
      </c>
      <c r="O14911">
        <v>44</v>
      </c>
      <c r="P14911">
        <v>0</v>
      </c>
    </row>
    <row r="14912" spans="1:16" x14ac:dyDescent="0.25">
      <c r="A14912" t="s">
        <v>37617</v>
      </c>
      <c r="B14912" t="s">
        <v>10241</v>
      </c>
      <c r="C14912" t="s">
        <v>10240</v>
      </c>
      <c r="D14912" t="str">
        <f>"1001"</f>
        <v>1001</v>
      </c>
      <c r="E14912" t="s">
        <v>42</v>
      </c>
      <c r="F14912" t="s">
        <v>4</v>
      </c>
      <c r="G14912" t="s">
        <v>46686</v>
      </c>
      <c r="H14912" t="s">
        <v>47126</v>
      </c>
      <c r="I14912" t="s">
        <v>47127</v>
      </c>
      <c r="J14912" t="s">
        <v>47128</v>
      </c>
      <c r="K14912" t="s">
        <v>47113</v>
      </c>
      <c r="L14912">
        <v>22.38</v>
      </c>
      <c r="M14912">
        <v>49</v>
      </c>
      <c r="N14912">
        <v>0</v>
      </c>
      <c r="O14912">
        <v>49</v>
      </c>
      <c r="P14912">
        <v>0</v>
      </c>
    </row>
    <row r="14913" spans="1:16" x14ac:dyDescent="0.25">
      <c r="A14913" t="s">
        <v>37618</v>
      </c>
      <c r="B14913" t="s">
        <v>10241</v>
      </c>
      <c r="C14913" t="s">
        <v>10240</v>
      </c>
      <c r="D14913" t="str">
        <f>"1377"</f>
        <v>1377</v>
      </c>
      <c r="E14913" t="s">
        <v>74</v>
      </c>
      <c r="F14913" t="s">
        <v>4</v>
      </c>
      <c r="G14913" t="s">
        <v>46686</v>
      </c>
      <c r="H14913" t="s">
        <v>47126</v>
      </c>
      <c r="I14913" t="s">
        <v>47127</v>
      </c>
      <c r="J14913" t="s">
        <v>47128</v>
      </c>
      <c r="K14913" t="s">
        <v>47113</v>
      </c>
      <c r="L14913">
        <v>22.38</v>
      </c>
      <c r="M14913">
        <v>49</v>
      </c>
      <c r="N14913">
        <v>0</v>
      </c>
      <c r="O14913">
        <v>49</v>
      </c>
      <c r="P14913">
        <v>0</v>
      </c>
    </row>
    <row r="14914" spans="1:16" x14ac:dyDescent="0.25">
      <c r="A14914" t="s">
        <v>37619</v>
      </c>
      <c r="B14914" t="s">
        <v>10241</v>
      </c>
      <c r="C14914" t="s">
        <v>10240</v>
      </c>
      <c r="D14914" t="str">
        <f>"2174"</f>
        <v>2174</v>
      </c>
      <c r="E14914" t="s">
        <v>10162</v>
      </c>
      <c r="F14914" t="s">
        <v>4</v>
      </c>
      <c r="G14914" t="s">
        <v>46686</v>
      </c>
      <c r="H14914" t="s">
        <v>47126</v>
      </c>
      <c r="I14914" t="s">
        <v>47127</v>
      </c>
      <c r="J14914" t="s">
        <v>47128</v>
      </c>
      <c r="K14914" t="s">
        <v>47113</v>
      </c>
      <c r="L14914">
        <v>22.38</v>
      </c>
      <c r="M14914">
        <v>49</v>
      </c>
      <c r="N14914">
        <v>0</v>
      </c>
      <c r="O14914">
        <v>49</v>
      </c>
      <c r="P14914">
        <v>0</v>
      </c>
    </row>
    <row r="14915" spans="1:16" x14ac:dyDescent="0.25">
      <c r="A14915" t="s">
        <v>37620</v>
      </c>
      <c r="B14915" t="s">
        <v>10241</v>
      </c>
      <c r="C14915" t="s">
        <v>10240</v>
      </c>
      <c r="D14915" t="str">
        <f>"3467"</f>
        <v>3467</v>
      </c>
      <c r="E14915" t="s">
        <v>10163</v>
      </c>
      <c r="F14915" t="s">
        <v>4</v>
      </c>
      <c r="G14915" t="s">
        <v>46686</v>
      </c>
      <c r="H14915" t="s">
        <v>47126</v>
      </c>
      <c r="I14915" t="s">
        <v>47127</v>
      </c>
      <c r="J14915" t="s">
        <v>47128</v>
      </c>
      <c r="K14915" t="s">
        <v>47113</v>
      </c>
      <c r="L14915">
        <v>22.38</v>
      </c>
      <c r="M14915">
        <v>49</v>
      </c>
      <c r="N14915">
        <v>0</v>
      </c>
      <c r="O14915">
        <v>49</v>
      </c>
      <c r="P14915">
        <v>0</v>
      </c>
    </row>
    <row r="14916" spans="1:16" x14ac:dyDescent="0.25">
      <c r="A14916" t="s">
        <v>37621</v>
      </c>
      <c r="B14916" t="s">
        <v>10241</v>
      </c>
      <c r="C14916" t="s">
        <v>10240</v>
      </c>
      <c r="D14916" t="str">
        <f>"5342"</f>
        <v>5342</v>
      </c>
      <c r="E14916" t="s">
        <v>77</v>
      </c>
      <c r="F14916" t="s">
        <v>4</v>
      </c>
      <c r="G14916" t="s">
        <v>46686</v>
      </c>
      <c r="H14916" t="s">
        <v>47126</v>
      </c>
      <c r="I14916" t="s">
        <v>47127</v>
      </c>
      <c r="J14916" t="s">
        <v>47128</v>
      </c>
      <c r="K14916" t="s">
        <v>47113</v>
      </c>
      <c r="L14916">
        <v>22.38</v>
      </c>
      <c r="M14916">
        <v>49</v>
      </c>
      <c r="N14916">
        <v>0</v>
      </c>
      <c r="O14916">
        <v>49</v>
      </c>
      <c r="P14916">
        <v>0</v>
      </c>
    </row>
    <row r="14917" spans="1:16" x14ac:dyDescent="0.25">
      <c r="A14917" t="s">
        <v>37622</v>
      </c>
      <c r="B14917" t="s">
        <v>10242</v>
      </c>
      <c r="C14917" t="s">
        <v>10243</v>
      </c>
      <c r="D14917" t="str">
        <f>"1001"</f>
        <v>1001</v>
      </c>
      <c r="E14917" t="s">
        <v>42</v>
      </c>
      <c r="F14917" t="s">
        <v>4</v>
      </c>
      <c r="G14917" t="s">
        <v>16235</v>
      </c>
      <c r="H14917" t="s">
        <v>47126</v>
      </c>
      <c r="I14917" t="s">
        <v>47127</v>
      </c>
      <c r="J14917" t="s">
        <v>47128</v>
      </c>
      <c r="K14917" t="s">
        <v>47113</v>
      </c>
      <c r="L14917">
        <v>32.92</v>
      </c>
      <c r="M14917">
        <v>72</v>
      </c>
      <c r="N14917">
        <v>0</v>
      </c>
      <c r="O14917">
        <v>72</v>
      </c>
      <c r="P14917">
        <v>0</v>
      </c>
    </row>
    <row r="14918" spans="1:16" x14ac:dyDescent="0.25">
      <c r="A14918" t="s">
        <v>37623</v>
      </c>
      <c r="B14918" t="s">
        <v>10242</v>
      </c>
      <c r="C14918" t="s">
        <v>10243</v>
      </c>
      <c r="D14918" t="str">
        <f>"1377"</f>
        <v>1377</v>
      </c>
      <c r="E14918" t="s">
        <v>74</v>
      </c>
      <c r="F14918" t="s">
        <v>4</v>
      </c>
      <c r="G14918" t="s">
        <v>16235</v>
      </c>
      <c r="H14918" t="s">
        <v>47126</v>
      </c>
      <c r="I14918" t="s">
        <v>47127</v>
      </c>
      <c r="J14918" t="s">
        <v>47128</v>
      </c>
      <c r="K14918" t="s">
        <v>47113</v>
      </c>
      <c r="L14918">
        <v>32.92</v>
      </c>
      <c r="M14918">
        <v>72</v>
      </c>
      <c r="N14918">
        <v>0</v>
      </c>
      <c r="O14918">
        <v>72</v>
      </c>
      <c r="P14918">
        <v>0</v>
      </c>
    </row>
    <row r="14919" spans="1:16" x14ac:dyDescent="0.25">
      <c r="A14919" t="s">
        <v>37624</v>
      </c>
      <c r="B14919" t="s">
        <v>10242</v>
      </c>
      <c r="C14919" t="s">
        <v>10243</v>
      </c>
      <c r="D14919" t="str">
        <f>"2174"</f>
        <v>2174</v>
      </c>
      <c r="E14919" t="s">
        <v>10162</v>
      </c>
      <c r="F14919" t="s">
        <v>4</v>
      </c>
      <c r="G14919" t="s">
        <v>16235</v>
      </c>
      <c r="H14919" t="s">
        <v>47126</v>
      </c>
      <c r="I14919" t="s">
        <v>47127</v>
      </c>
      <c r="J14919" t="s">
        <v>47128</v>
      </c>
      <c r="K14919" t="s">
        <v>47113</v>
      </c>
      <c r="L14919">
        <v>32.92</v>
      </c>
      <c r="M14919">
        <v>72</v>
      </c>
      <c r="N14919">
        <v>0</v>
      </c>
      <c r="O14919">
        <v>72</v>
      </c>
      <c r="P14919">
        <v>0</v>
      </c>
    </row>
    <row r="14920" spans="1:16" x14ac:dyDescent="0.25">
      <c r="A14920" t="s">
        <v>37625</v>
      </c>
      <c r="B14920" t="s">
        <v>10242</v>
      </c>
      <c r="C14920" t="s">
        <v>10243</v>
      </c>
      <c r="D14920" t="str">
        <f>"2602"</f>
        <v>2602</v>
      </c>
      <c r="E14920" t="s">
        <v>2307</v>
      </c>
      <c r="F14920" t="s">
        <v>4</v>
      </c>
      <c r="G14920" t="s">
        <v>16235</v>
      </c>
      <c r="H14920" t="s">
        <v>47126</v>
      </c>
      <c r="I14920" t="s">
        <v>47127</v>
      </c>
      <c r="J14920" t="s">
        <v>47128</v>
      </c>
      <c r="K14920" t="s">
        <v>47113</v>
      </c>
      <c r="L14920">
        <v>32.92</v>
      </c>
      <c r="M14920">
        <v>72</v>
      </c>
      <c r="N14920">
        <v>0</v>
      </c>
      <c r="O14920">
        <v>72</v>
      </c>
      <c r="P14920">
        <v>0</v>
      </c>
    </row>
    <row r="14921" spans="1:16" x14ac:dyDescent="0.25">
      <c r="A14921" t="s">
        <v>37626</v>
      </c>
      <c r="B14921" t="s">
        <v>10242</v>
      </c>
      <c r="C14921" t="s">
        <v>10243</v>
      </c>
      <c r="D14921" t="str">
        <f>"3467"</f>
        <v>3467</v>
      </c>
      <c r="E14921" t="s">
        <v>10163</v>
      </c>
      <c r="F14921" t="s">
        <v>4</v>
      </c>
      <c r="G14921" t="s">
        <v>16235</v>
      </c>
      <c r="H14921" t="s">
        <v>47126</v>
      </c>
      <c r="I14921" t="s">
        <v>47127</v>
      </c>
      <c r="J14921" t="s">
        <v>47128</v>
      </c>
      <c r="K14921" t="s">
        <v>47113</v>
      </c>
      <c r="L14921">
        <v>32.92</v>
      </c>
      <c r="M14921">
        <v>72</v>
      </c>
      <c r="N14921">
        <v>0</v>
      </c>
      <c r="O14921">
        <v>72</v>
      </c>
      <c r="P14921">
        <v>0</v>
      </c>
    </row>
    <row r="14922" spans="1:16" x14ac:dyDescent="0.25">
      <c r="A14922" t="s">
        <v>37627</v>
      </c>
      <c r="B14922" t="s">
        <v>10242</v>
      </c>
      <c r="C14922" t="s">
        <v>10243</v>
      </c>
      <c r="D14922" t="str">
        <f>"6000"</f>
        <v>6000</v>
      </c>
      <c r="E14922" t="s">
        <v>238</v>
      </c>
      <c r="F14922" t="s">
        <v>4</v>
      </c>
      <c r="G14922" t="s">
        <v>16235</v>
      </c>
      <c r="H14922" t="s">
        <v>47126</v>
      </c>
      <c r="I14922" t="s">
        <v>47127</v>
      </c>
      <c r="J14922" t="s">
        <v>47128</v>
      </c>
      <c r="K14922" t="s">
        <v>47113</v>
      </c>
      <c r="L14922">
        <v>32.92</v>
      </c>
      <c r="M14922">
        <v>72</v>
      </c>
      <c r="N14922">
        <v>0</v>
      </c>
      <c r="O14922">
        <v>72</v>
      </c>
      <c r="P14922">
        <v>0</v>
      </c>
    </row>
    <row r="14923" spans="1:16" x14ac:dyDescent="0.25">
      <c r="A14923" t="s">
        <v>37628</v>
      </c>
      <c r="B14923" t="s">
        <v>10244</v>
      </c>
      <c r="C14923" t="s">
        <v>10245</v>
      </c>
      <c r="D14923" t="str">
        <f>"1285"</f>
        <v>1285</v>
      </c>
      <c r="E14923" t="s">
        <v>2148</v>
      </c>
      <c r="F14923" t="s">
        <v>4</v>
      </c>
      <c r="G14923" t="s">
        <v>16235</v>
      </c>
      <c r="H14923" t="s">
        <v>47126</v>
      </c>
      <c r="I14923" t="s">
        <v>47127</v>
      </c>
      <c r="J14923" t="s">
        <v>47128</v>
      </c>
      <c r="K14923" t="s">
        <v>47113</v>
      </c>
      <c r="L14923">
        <v>29.32</v>
      </c>
      <c r="M14923">
        <v>64</v>
      </c>
      <c r="N14923">
        <v>0</v>
      </c>
      <c r="O14923">
        <v>64</v>
      </c>
      <c r="P14923">
        <v>0</v>
      </c>
    </row>
    <row r="14924" spans="1:16" x14ac:dyDescent="0.25">
      <c r="A14924" t="s">
        <v>37629</v>
      </c>
      <c r="B14924" t="s">
        <v>10246</v>
      </c>
      <c r="C14924" t="s">
        <v>10247</v>
      </c>
      <c r="D14924" t="str">
        <f>"1001"</f>
        <v>1001</v>
      </c>
      <c r="E14924" t="s">
        <v>42</v>
      </c>
      <c r="F14924" t="s">
        <v>4</v>
      </c>
      <c r="G14924" t="s">
        <v>16235</v>
      </c>
      <c r="H14924" t="s">
        <v>47126</v>
      </c>
      <c r="I14924" t="s">
        <v>47127</v>
      </c>
      <c r="J14924" t="s">
        <v>47128</v>
      </c>
      <c r="K14924" t="s">
        <v>47113</v>
      </c>
      <c r="L14924">
        <v>31.72</v>
      </c>
      <c r="M14924">
        <v>70</v>
      </c>
      <c r="N14924">
        <v>0</v>
      </c>
      <c r="O14924">
        <v>70</v>
      </c>
      <c r="P14924">
        <v>0</v>
      </c>
    </row>
    <row r="14925" spans="1:16" x14ac:dyDescent="0.25">
      <c r="A14925" t="s">
        <v>37630</v>
      </c>
      <c r="B14925" t="s">
        <v>10246</v>
      </c>
      <c r="C14925" t="s">
        <v>10247</v>
      </c>
      <c r="D14925" t="str">
        <f>"1278"</f>
        <v>1278</v>
      </c>
      <c r="E14925" t="s">
        <v>100</v>
      </c>
      <c r="F14925" t="s">
        <v>4</v>
      </c>
      <c r="G14925" t="s">
        <v>16235</v>
      </c>
      <c r="H14925" t="s">
        <v>47126</v>
      </c>
      <c r="I14925" t="s">
        <v>47127</v>
      </c>
      <c r="J14925" t="s">
        <v>47128</v>
      </c>
      <c r="K14925" t="s">
        <v>47113</v>
      </c>
      <c r="L14925">
        <v>31.72</v>
      </c>
      <c r="M14925">
        <v>70</v>
      </c>
      <c r="N14925">
        <v>0</v>
      </c>
      <c r="O14925">
        <v>70</v>
      </c>
      <c r="P14925">
        <v>0</v>
      </c>
    </row>
    <row r="14926" spans="1:16" x14ac:dyDescent="0.25">
      <c r="A14926" t="s">
        <v>37631</v>
      </c>
      <c r="B14926" t="s">
        <v>10246</v>
      </c>
      <c r="C14926" t="s">
        <v>10247</v>
      </c>
      <c r="D14926" t="str">
        <f>"4643"</f>
        <v>4643</v>
      </c>
      <c r="E14926" t="s">
        <v>205</v>
      </c>
      <c r="F14926" t="s">
        <v>4</v>
      </c>
      <c r="G14926" t="s">
        <v>16235</v>
      </c>
      <c r="H14926" t="s">
        <v>47126</v>
      </c>
      <c r="I14926" t="s">
        <v>47127</v>
      </c>
      <c r="J14926" t="s">
        <v>47128</v>
      </c>
      <c r="K14926" t="s">
        <v>47113</v>
      </c>
      <c r="L14926">
        <v>31.72</v>
      </c>
      <c r="M14926">
        <v>70</v>
      </c>
      <c r="N14926">
        <v>0</v>
      </c>
      <c r="O14926">
        <v>70</v>
      </c>
      <c r="P14926">
        <v>0</v>
      </c>
    </row>
    <row r="14927" spans="1:16" x14ac:dyDescent="0.25">
      <c r="A14927" t="s">
        <v>37632</v>
      </c>
      <c r="B14927" t="s">
        <v>10248</v>
      </c>
      <c r="C14927" t="s">
        <v>10249</v>
      </c>
      <c r="D14927" t="str">
        <f>"1001"</f>
        <v>1001</v>
      </c>
      <c r="E14927" t="s">
        <v>42</v>
      </c>
      <c r="F14927" t="s">
        <v>4</v>
      </c>
      <c r="G14927" t="s">
        <v>16235</v>
      </c>
      <c r="H14927" t="s">
        <v>47126</v>
      </c>
      <c r="I14927" t="s">
        <v>47127</v>
      </c>
      <c r="J14927" t="s">
        <v>47128</v>
      </c>
      <c r="K14927" t="s">
        <v>47113</v>
      </c>
      <c r="L14927">
        <v>27.4</v>
      </c>
      <c r="M14927">
        <v>60</v>
      </c>
      <c r="N14927">
        <v>0</v>
      </c>
      <c r="O14927">
        <v>60</v>
      </c>
      <c r="P14927">
        <v>0</v>
      </c>
    </row>
    <row r="14928" spans="1:16" x14ac:dyDescent="0.25">
      <c r="A14928" t="s">
        <v>37633</v>
      </c>
      <c r="B14928" t="s">
        <v>10248</v>
      </c>
      <c r="C14928" t="s">
        <v>10249</v>
      </c>
      <c r="D14928" t="str">
        <f>"2174"</f>
        <v>2174</v>
      </c>
      <c r="E14928" t="s">
        <v>10162</v>
      </c>
      <c r="F14928" t="s">
        <v>4</v>
      </c>
      <c r="G14928" t="s">
        <v>16235</v>
      </c>
      <c r="H14928" t="s">
        <v>47126</v>
      </c>
      <c r="I14928" t="s">
        <v>47127</v>
      </c>
      <c r="J14928" t="s">
        <v>47128</v>
      </c>
      <c r="K14928" t="s">
        <v>47113</v>
      </c>
      <c r="L14928">
        <v>27.4</v>
      </c>
      <c r="M14928">
        <v>60</v>
      </c>
      <c r="N14928">
        <v>0</v>
      </c>
      <c r="O14928">
        <v>60</v>
      </c>
      <c r="P14928">
        <v>0</v>
      </c>
    </row>
    <row r="14929" spans="1:16" x14ac:dyDescent="0.25">
      <c r="A14929" t="s">
        <v>37634</v>
      </c>
      <c r="B14929" t="s">
        <v>10248</v>
      </c>
      <c r="C14929" t="s">
        <v>10249</v>
      </c>
      <c r="D14929" t="str">
        <f>"3467"</f>
        <v>3467</v>
      </c>
      <c r="E14929" t="s">
        <v>10163</v>
      </c>
      <c r="F14929" t="s">
        <v>4</v>
      </c>
      <c r="G14929" t="s">
        <v>16235</v>
      </c>
      <c r="H14929" t="s">
        <v>47126</v>
      </c>
      <c r="I14929" t="s">
        <v>47127</v>
      </c>
      <c r="J14929" t="s">
        <v>47128</v>
      </c>
      <c r="K14929" t="s">
        <v>47113</v>
      </c>
      <c r="L14929">
        <v>27.4</v>
      </c>
      <c r="M14929">
        <v>60</v>
      </c>
      <c r="N14929">
        <v>0</v>
      </c>
      <c r="O14929">
        <v>60</v>
      </c>
      <c r="P14929">
        <v>0</v>
      </c>
    </row>
    <row r="14930" spans="1:16" x14ac:dyDescent="0.25">
      <c r="A14930" t="s">
        <v>37635</v>
      </c>
      <c r="B14930" t="s">
        <v>10248</v>
      </c>
      <c r="C14930" t="s">
        <v>10249</v>
      </c>
      <c r="D14930" t="str">
        <f>"4643"</f>
        <v>4643</v>
      </c>
      <c r="E14930" t="s">
        <v>205</v>
      </c>
      <c r="F14930" t="s">
        <v>4</v>
      </c>
      <c r="G14930" t="s">
        <v>16235</v>
      </c>
      <c r="H14930" t="s">
        <v>47126</v>
      </c>
      <c r="I14930" t="s">
        <v>47127</v>
      </c>
      <c r="J14930" t="s">
        <v>47128</v>
      </c>
      <c r="K14930" t="s">
        <v>47113</v>
      </c>
      <c r="L14930">
        <v>27.4</v>
      </c>
      <c r="M14930">
        <v>60</v>
      </c>
      <c r="N14930">
        <v>0</v>
      </c>
      <c r="O14930">
        <v>60</v>
      </c>
      <c r="P14930">
        <v>0</v>
      </c>
    </row>
    <row r="14931" spans="1:16" x14ac:dyDescent="0.25">
      <c r="A14931" t="s">
        <v>37636</v>
      </c>
      <c r="B14931" t="s">
        <v>10250</v>
      </c>
      <c r="C14931" t="s">
        <v>319</v>
      </c>
      <c r="D14931" t="str">
        <f>"1278"</f>
        <v>1278</v>
      </c>
      <c r="E14931" t="s">
        <v>100</v>
      </c>
      <c r="F14931" t="s">
        <v>4</v>
      </c>
      <c r="G14931" t="s">
        <v>16235</v>
      </c>
      <c r="H14931" t="s">
        <v>47126</v>
      </c>
      <c r="I14931" t="s">
        <v>47127</v>
      </c>
      <c r="J14931" t="s">
        <v>47128</v>
      </c>
      <c r="K14931" t="s">
        <v>47113</v>
      </c>
      <c r="L14931">
        <v>31.72</v>
      </c>
      <c r="M14931">
        <v>70</v>
      </c>
      <c r="N14931">
        <v>0</v>
      </c>
      <c r="O14931">
        <v>70</v>
      </c>
      <c r="P14931">
        <v>0</v>
      </c>
    </row>
    <row r="14932" spans="1:16" x14ac:dyDescent="0.25">
      <c r="A14932" t="s">
        <v>37637</v>
      </c>
      <c r="B14932" t="s">
        <v>10250</v>
      </c>
      <c r="C14932" t="s">
        <v>319</v>
      </c>
      <c r="D14932" t="str">
        <f>"4643"</f>
        <v>4643</v>
      </c>
      <c r="E14932" t="s">
        <v>205</v>
      </c>
      <c r="F14932" t="s">
        <v>4</v>
      </c>
      <c r="G14932" t="s">
        <v>16235</v>
      </c>
      <c r="H14932" t="s">
        <v>47126</v>
      </c>
      <c r="I14932" t="s">
        <v>47127</v>
      </c>
      <c r="J14932" t="s">
        <v>47128</v>
      </c>
      <c r="K14932" t="s">
        <v>47113</v>
      </c>
      <c r="L14932">
        <v>31.72</v>
      </c>
      <c r="M14932">
        <v>70</v>
      </c>
      <c r="N14932">
        <v>0</v>
      </c>
      <c r="O14932">
        <v>70</v>
      </c>
      <c r="P14932">
        <v>0</v>
      </c>
    </row>
    <row r="14933" spans="1:16" x14ac:dyDescent="0.25">
      <c r="A14933" t="s">
        <v>37638</v>
      </c>
      <c r="B14933" t="s">
        <v>10250</v>
      </c>
      <c r="C14933" t="s">
        <v>319</v>
      </c>
      <c r="D14933" t="str">
        <f>"6000"</f>
        <v>6000</v>
      </c>
      <c r="E14933" t="s">
        <v>238</v>
      </c>
      <c r="F14933" t="s">
        <v>4</v>
      </c>
      <c r="G14933" t="s">
        <v>16235</v>
      </c>
      <c r="H14933" t="s">
        <v>47126</v>
      </c>
      <c r="I14933" t="s">
        <v>47127</v>
      </c>
      <c r="J14933" t="s">
        <v>47128</v>
      </c>
      <c r="K14933" t="s">
        <v>47113</v>
      </c>
      <c r="L14933">
        <v>21.04</v>
      </c>
      <c r="M14933">
        <v>70</v>
      </c>
      <c r="N14933">
        <v>0</v>
      </c>
      <c r="O14933">
        <v>70</v>
      </c>
      <c r="P14933">
        <v>0</v>
      </c>
    </row>
    <row r="14934" spans="1:16" x14ac:dyDescent="0.25">
      <c r="A14934" t="s">
        <v>37639</v>
      </c>
      <c r="B14934" t="s">
        <v>10251</v>
      </c>
      <c r="C14934" t="s">
        <v>10252</v>
      </c>
      <c r="D14934" t="str">
        <f>"1001"</f>
        <v>1001</v>
      </c>
      <c r="E14934" t="s">
        <v>42</v>
      </c>
      <c r="F14934" t="s">
        <v>4</v>
      </c>
      <c r="G14934" t="s">
        <v>16235</v>
      </c>
      <c r="H14934" t="s">
        <v>47126</v>
      </c>
      <c r="I14934" t="s">
        <v>47127</v>
      </c>
      <c r="J14934" t="s">
        <v>47128</v>
      </c>
      <c r="K14934" t="s">
        <v>47113</v>
      </c>
      <c r="L14934">
        <v>44.16</v>
      </c>
      <c r="M14934">
        <v>97</v>
      </c>
      <c r="N14934">
        <v>0</v>
      </c>
      <c r="O14934">
        <v>97</v>
      </c>
      <c r="P14934">
        <v>0</v>
      </c>
    </row>
    <row r="14935" spans="1:16" x14ac:dyDescent="0.25">
      <c r="A14935" t="s">
        <v>37640</v>
      </c>
      <c r="B14935" t="s">
        <v>10251</v>
      </c>
      <c r="C14935" t="s">
        <v>10252</v>
      </c>
      <c r="D14935" t="str">
        <f>"1377"</f>
        <v>1377</v>
      </c>
      <c r="E14935" t="s">
        <v>74</v>
      </c>
      <c r="F14935" t="s">
        <v>4</v>
      </c>
      <c r="G14935" t="s">
        <v>16235</v>
      </c>
      <c r="H14935" t="s">
        <v>47126</v>
      </c>
      <c r="I14935" t="s">
        <v>47127</v>
      </c>
      <c r="J14935" t="s">
        <v>47128</v>
      </c>
      <c r="K14935" t="s">
        <v>47113</v>
      </c>
      <c r="L14935">
        <v>44.16</v>
      </c>
      <c r="M14935">
        <v>97</v>
      </c>
      <c r="N14935">
        <v>0</v>
      </c>
      <c r="O14935">
        <v>97</v>
      </c>
      <c r="P14935">
        <v>0</v>
      </c>
    </row>
    <row r="14936" spans="1:16" x14ac:dyDescent="0.25">
      <c r="A14936" t="s">
        <v>37641</v>
      </c>
      <c r="B14936" t="s">
        <v>10251</v>
      </c>
      <c r="C14936" t="s">
        <v>10252</v>
      </c>
      <c r="D14936" t="str">
        <f>"2174"</f>
        <v>2174</v>
      </c>
      <c r="E14936" t="s">
        <v>10162</v>
      </c>
      <c r="F14936" t="s">
        <v>4</v>
      </c>
      <c r="G14936" t="s">
        <v>16235</v>
      </c>
      <c r="H14936" t="s">
        <v>47126</v>
      </c>
      <c r="I14936" t="s">
        <v>47127</v>
      </c>
      <c r="J14936" t="s">
        <v>47128</v>
      </c>
      <c r="K14936" t="s">
        <v>47113</v>
      </c>
      <c r="L14936">
        <v>44.16</v>
      </c>
      <c r="M14936">
        <v>97</v>
      </c>
      <c r="N14936">
        <v>0</v>
      </c>
      <c r="O14936">
        <v>97</v>
      </c>
      <c r="P14936">
        <v>0</v>
      </c>
    </row>
    <row r="14937" spans="1:16" x14ac:dyDescent="0.25">
      <c r="A14937" t="s">
        <v>37642</v>
      </c>
      <c r="B14937" t="s">
        <v>10251</v>
      </c>
      <c r="C14937" t="s">
        <v>10252</v>
      </c>
      <c r="D14937" t="str">
        <f>"3467"</f>
        <v>3467</v>
      </c>
      <c r="E14937" t="s">
        <v>10163</v>
      </c>
      <c r="F14937" t="s">
        <v>4</v>
      </c>
      <c r="G14937" t="s">
        <v>16235</v>
      </c>
      <c r="H14937" t="s">
        <v>47126</v>
      </c>
      <c r="I14937" t="s">
        <v>47127</v>
      </c>
      <c r="J14937" t="s">
        <v>47128</v>
      </c>
      <c r="K14937" t="s">
        <v>47113</v>
      </c>
      <c r="L14937">
        <v>44.16</v>
      </c>
      <c r="M14937">
        <v>97</v>
      </c>
      <c r="N14937">
        <v>0</v>
      </c>
      <c r="O14937">
        <v>97</v>
      </c>
      <c r="P14937">
        <v>0</v>
      </c>
    </row>
    <row r="14938" spans="1:16" x14ac:dyDescent="0.25">
      <c r="A14938" t="s">
        <v>37643</v>
      </c>
      <c r="B14938" t="s">
        <v>10251</v>
      </c>
      <c r="C14938" t="s">
        <v>10252</v>
      </c>
      <c r="D14938" t="str">
        <f>"5342"</f>
        <v>5342</v>
      </c>
      <c r="E14938" t="s">
        <v>77</v>
      </c>
      <c r="F14938" t="s">
        <v>4</v>
      </c>
      <c r="G14938" t="s">
        <v>16235</v>
      </c>
      <c r="H14938" t="s">
        <v>47126</v>
      </c>
      <c r="I14938" t="s">
        <v>47127</v>
      </c>
      <c r="J14938" t="s">
        <v>47128</v>
      </c>
      <c r="K14938" t="s">
        <v>47113</v>
      </c>
      <c r="L14938">
        <v>44.16</v>
      </c>
      <c r="M14938">
        <v>97</v>
      </c>
      <c r="N14938">
        <v>0</v>
      </c>
      <c r="O14938">
        <v>97</v>
      </c>
      <c r="P14938">
        <v>0</v>
      </c>
    </row>
    <row r="14939" spans="1:16" x14ac:dyDescent="0.25">
      <c r="A14939" t="s">
        <v>37644</v>
      </c>
      <c r="B14939" t="s">
        <v>10253</v>
      </c>
      <c r="C14939" t="s">
        <v>3880</v>
      </c>
      <c r="D14939" t="str">
        <f>"1285"</f>
        <v>1285</v>
      </c>
      <c r="E14939" t="s">
        <v>2148</v>
      </c>
      <c r="F14939" t="s">
        <v>4</v>
      </c>
      <c r="G14939" t="s">
        <v>46686</v>
      </c>
      <c r="H14939" t="s">
        <v>47126</v>
      </c>
      <c r="I14939" t="s">
        <v>47127</v>
      </c>
      <c r="J14939" t="s">
        <v>47128</v>
      </c>
      <c r="K14939" t="s">
        <v>47113</v>
      </c>
      <c r="L14939">
        <v>48.35</v>
      </c>
      <c r="M14939">
        <v>106</v>
      </c>
      <c r="N14939">
        <v>0</v>
      </c>
      <c r="O14939">
        <v>106</v>
      </c>
      <c r="P14939">
        <v>0</v>
      </c>
    </row>
    <row r="14940" spans="1:16" x14ac:dyDescent="0.25">
      <c r="A14940" t="s">
        <v>37645</v>
      </c>
      <c r="B14940" t="s">
        <v>10253</v>
      </c>
      <c r="C14940" t="s">
        <v>3880</v>
      </c>
      <c r="D14940" t="str">
        <f>"4643"</f>
        <v>4643</v>
      </c>
      <c r="E14940" t="s">
        <v>205</v>
      </c>
      <c r="F14940" t="s">
        <v>4</v>
      </c>
      <c r="G14940" t="s">
        <v>46686</v>
      </c>
      <c r="H14940" t="s">
        <v>47126</v>
      </c>
      <c r="I14940" t="s">
        <v>47127</v>
      </c>
      <c r="J14940" t="s">
        <v>47128</v>
      </c>
      <c r="K14940" t="s">
        <v>47113</v>
      </c>
      <c r="L14940">
        <v>48.35</v>
      </c>
      <c r="M14940">
        <v>106</v>
      </c>
      <c r="N14940">
        <v>0</v>
      </c>
      <c r="O14940">
        <v>106</v>
      </c>
      <c r="P14940">
        <v>0</v>
      </c>
    </row>
    <row r="14941" spans="1:16" x14ac:dyDescent="0.25">
      <c r="A14941" t="s">
        <v>37646</v>
      </c>
      <c r="B14941" t="s">
        <v>10254</v>
      </c>
      <c r="C14941" t="s">
        <v>10255</v>
      </c>
      <c r="D14941" t="str">
        <f>"1285"</f>
        <v>1285</v>
      </c>
      <c r="E14941" t="s">
        <v>2148</v>
      </c>
      <c r="F14941" t="s">
        <v>4</v>
      </c>
      <c r="G14941" t="s">
        <v>46686</v>
      </c>
      <c r="H14941" t="s">
        <v>47126</v>
      </c>
      <c r="I14941" t="s">
        <v>47127</v>
      </c>
      <c r="J14941" t="s">
        <v>47128</v>
      </c>
      <c r="K14941" t="s">
        <v>47113</v>
      </c>
      <c r="L14941">
        <v>52.06</v>
      </c>
      <c r="M14941">
        <v>114</v>
      </c>
      <c r="N14941">
        <v>0</v>
      </c>
      <c r="O14941">
        <v>114</v>
      </c>
      <c r="P14941">
        <v>0</v>
      </c>
    </row>
    <row r="14942" spans="1:16" x14ac:dyDescent="0.25">
      <c r="A14942" t="s">
        <v>37647</v>
      </c>
      <c r="B14942" t="s">
        <v>10254</v>
      </c>
      <c r="C14942" t="s">
        <v>10255</v>
      </c>
      <c r="D14942" t="str">
        <f>"4643"</f>
        <v>4643</v>
      </c>
      <c r="E14942" t="s">
        <v>205</v>
      </c>
      <c r="F14942" t="s">
        <v>4</v>
      </c>
      <c r="G14942" t="s">
        <v>46686</v>
      </c>
      <c r="H14942" t="s">
        <v>47126</v>
      </c>
      <c r="I14942" t="s">
        <v>47127</v>
      </c>
      <c r="J14942" t="s">
        <v>47128</v>
      </c>
      <c r="K14942" t="s">
        <v>47113</v>
      </c>
      <c r="L14942">
        <v>52.06</v>
      </c>
      <c r="M14942">
        <v>114</v>
      </c>
      <c r="N14942">
        <v>0</v>
      </c>
      <c r="O14942">
        <v>114</v>
      </c>
      <c r="P14942">
        <v>0</v>
      </c>
    </row>
    <row r="14943" spans="1:16" x14ac:dyDescent="0.25">
      <c r="A14943" t="s">
        <v>37648</v>
      </c>
      <c r="B14943" t="s">
        <v>10256</v>
      </c>
      <c r="C14943" t="s">
        <v>10257</v>
      </c>
      <c r="D14943" t="str">
        <f>"1285"</f>
        <v>1285</v>
      </c>
      <c r="E14943" t="s">
        <v>2148</v>
      </c>
      <c r="F14943" t="s">
        <v>4</v>
      </c>
      <c r="G14943" t="s">
        <v>46686</v>
      </c>
      <c r="H14943" t="s">
        <v>47126</v>
      </c>
      <c r="I14943" t="s">
        <v>47127</v>
      </c>
      <c r="J14943" t="s">
        <v>47128</v>
      </c>
      <c r="K14943" t="s">
        <v>47113</v>
      </c>
      <c r="L14943">
        <v>71.39</v>
      </c>
      <c r="M14943">
        <v>157</v>
      </c>
      <c r="N14943">
        <v>0</v>
      </c>
      <c r="O14943">
        <v>157</v>
      </c>
      <c r="P14943">
        <v>0</v>
      </c>
    </row>
    <row r="14944" spans="1:16" x14ac:dyDescent="0.25">
      <c r="A14944" t="s">
        <v>37649</v>
      </c>
      <c r="B14944" t="s">
        <v>10256</v>
      </c>
      <c r="C14944" t="s">
        <v>10257</v>
      </c>
      <c r="D14944" t="str">
        <f>"4643"</f>
        <v>4643</v>
      </c>
      <c r="E14944" t="s">
        <v>205</v>
      </c>
      <c r="F14944" t="s">
        <v>4</v>
      </c>
      <c r="G14944" t="s">
        <v>46686</v>
      </c>
      <c r="H14944" t="s">
        <v>47126</v>
      </c>
      <c r="I14944" t="s">
        <v>47127</v>
      </c>
      <c r="J14944" t="s">
        <v>47128</v>
      </c>
      <c r="K14944" t="s">
        <v>47113</v>
      </c>
      <c r="L14944">
        <v>71.39</v>
      </c>
      <c r="M14944">
        <v>157</v>
      </c>
      <c r="N14944">
        <v>0</v>
      </c>
      <c r="O14944">
        <v>157</v>
      </c>
      <c r="P14944">
        <v>0</v>
      </c>
    </row>
    <row r="14945" spans="1:16" x14ac:dyDescent="0.25">
      <c r="A14945" t="s">
        <v>37650</v>
      </c>
      <c r="B14945" t="s">
        <v>10258</v>
      </c>
      <c r="C14945" t="s">
        <v>10259</v>
      </c>
      <c r="D14945" t="str">
        <f>"3451"</f>
        <v>3451</v>
      </c>
      <c r="E14945" t="s">
        <v>2146</v>
      </c>
      <c r="F14945" t="s">
        <v>4</v>
      </c>
      <c r="G14945" t="s">
        <v>16224</v>
      </c>
      <c r="H14945" t="s">
        <v>47126</v>
      </c>
      <c r="I14945" t="s">
        <v>47127</v>
      </c>
      <c r="J14945" t="s">
        <v>47128</v>
      </c>
      <c r="K14945" t="s">
        <v>47113</v>
      </c>
      <c r="L14945">
        <v>80.19</v>
      </c>
      <c r="M14945">
        <v>176</v>
      </c>
      <c r="N14945">
        <v>0</v>
      </c>
      <c r="O14945">
        <v>176</v>
      </c>
      <c r="P14945">
        <v>0</v>
      </c>
    </row>
    <row r="14946" spans="1:16" x14ac:dyDescent="0.25">
      <c r="A14946" t="s">
        <v>37651</v>
      </c>
      <c r="B14946" t="s">
        <v>10258</v>
      </c>
      <c r="C14946" t="s">
        <v>10259</v>
      </c>
      <c r="D14946" t="str">
        <f>"3467"</f>
        <v>3467</v>
      </c>
      <c r="E14946" t="s">
        <v>10163</v>
      </c>
      <c r="F14946" t="s">
        <v>4</v>
      </c>
      <c r="G14946" t="s">
        <v>16224</v>
      </c>
      <c r="H14946" t="s">
        <v>47126</v>
      </c>
      <c r="I14946" t="s">
        <v>47127</v>
      </c>
      <c r="J14946" t="s">
        <v>47128</v>
      </c>
      <c r="K14946" t="s">
        <v>47113</v>
      </c>
      <c r="L14946">
        <v>80.19</v>
      </c>
      <c r="M14946">
        <v>176</v>
      </c>
      <c r="N14946">
        <v>0</v>
      </c>
      <c r="O14946">
        <v>176</v>
      </c>
      <c r="P14946">
        <v>0</v>
      </c>
    </row>
    <row r="14947" spans="1:16" x14ac:dyDescent="0.25">
      <c r="A14947" t="s">
        <v>37652</v>
      </c>
      <c r="B14947" t="s">
        <v>10258</v>
      </c>
      <c r="C14947" t="s">
        <v>10259</v>
      </c>
      <c r="D14947" t="str">
        <f>"6000"</f>
        <v>6000</v>
      </c>
      <c r="E14947" t="s">
        <v>10199</v>
      </c>
      <c r="F14947" t="s">
        <v>4</v>
      </c>
      <c r="G14947" t="s">
        <v>16224</v>
      </c>
      <c r="H14947" t="s">
        <v>47126</v>
      </c>
      <c r="I14947" t="s">
        <v>47127</v>
      </c>
      <c r="J14947" t="s">
        <v>47128</v>
      </c>
      <c r="K14947" t="s">
        <v>47113</v>
      </c>
      <c r="L14947">
        <v>80.19</v>
      </c>
      <c r="M14947">
        <v>176</v>
      </c>
      <c r="N14947">
        <v>0</v>
      </c>
      <c r="O14947">
        <v>176</v>
      </c>
      <c r="P14947">
        <v>0</v>
      </c>
    </row>
    <row r="14948" spans="1:16" x14ac:dyDescent="0.25">
      <c r="A14948" t="s">
        <v>37653</v>
      </c>
      <c r="B14948" t="s">
        <v>10260</v>
      </c>
      <c r="C14948" t="s">
        <v>4081</v>
      </c>
      <c r="D14948" t="str">
        <f>"1001"</f>
        <v>1001</v>
      </c>
      <c r="E14948" t="s">
        <v>3966</v>
      </c>
      <c r="F14948" t="s">
        <v>2068</v>
      </c>
      <c r="G14948" t="s">
        <v>47098</v>
      </c>
      <c r="H14948" t="s">
        <v>47126</v>
      </c>
      <c r="I14948" t="s">
        <v>47120</v>
      </c>
      <c r="J14948" t="s">
        <v>47121</v>
      </c>
      <c r="K14948" t="s">
        <v>47113</v>
      </c>
      <c r="L14948">
        <v>71.19</v>
      </c>
      <c r="M14948">
        <v>172</v>
      </c>
      <c r="N14948">
        <v>0</v>
      </c>
      <c r="O14948">
        <v>172</v>
      </c>
      <c r="P14948">
        <v>0</v>
      </c>
    </row>
    <row r="14949" spans="1:16" x14ac:dyDescent="0.25">
      <c r="A14949" t="s">
        <v>37654</v>
      </c>
      <c r="B14949" t="s">
        <v>10260</v>
      </c>
      <c r="C14949" t="s">
        <v>4081</v>
      </c>
      <c r="D14949" t="str">
        <f>"3106"</f>
        <v>3106</v>
      </c>
      <c r="E14949" t="s">
        <v>230</v>
      </c>
      <c r="F14949" t="s">
        <v>2068</v>
      </c>
      <c r="G14949" t="s">
        <v>47098</v>
      </c>
      <c r="H14949" t="s">
        <v>47126</v>
      </c>
      <c r="I14949" t="s">
        <v>47120</v>
      </c>
      <c r="J14949" t="s">
        <v>47121</v>
      </c>
      <c r="K14949" t="s">
        <v>47113</v>
      </c>
      <c r="L14949">
        <v>71.19</v>
      </c>
      <c r="M14949">
        <v>172</v>
      </c>
      <c r="N14949">
        <v>0</v>
      </c>
      <c r="O14949">
        <v>172</v>
      </c>
      <c r="P14949">
        <v>0</v>
      </c>
    </row>
    <row r="14950" spans="1:16" x14ac:dyDescent="0.25">
      <c r="A14950" t="s">
        <v>37655</v>
      </c>
      <c r="B14950" t="s">
        <v>10261</v>
      </c>
      <c r="C14950" t="s">
        <v>6116</v>
      </c>
      <c r="D14950" t="str">
        <f>"1001"</f>
        <v>1001</v>
      </c>
      <c r="E14950" t="s">
        <v>3966</v>
      </c>
      <c r="F14950" t="s">
        <v>2068</v>
      </c>
      <c r="G14950" t="s">
        <v>47098</v>
      </c>
      <c r="H14950" t="s">
        <v>47126</v>
      </c>
      <c r="I14950" t="s">
        <v>47120</v>
      </c>
      <c r="J14950" t="s">
        <v>47121</v>
      </c>
      <c r="K14950" t="s">
        <v>47113</v>
      </c>
      <c r="L14950">
        <v>111.21</v>
      </c>
      <c r="M14950">
        <v>269</v>
      </c>
      <c r="N14950">
        <v>0</v>
      </c>
      <c r="O14950">
        <v>269</v>
      </c>
      <c r="P14950">
        <v>0</v>
      </c>
    </row>
    <row r="14951" spans="1:16" x14ac:dyDescent="0.25">
      <c r="A14951" t="s">
        <v>37656</v>
      </c>
      <c r="B14951" t="s">
        <v>10261</v>
      </c>
      <c r="C14951" t="s">
        <v>6116</v>
      </c>
      <c r="D14951" t="str">
        <f>"5156"</f>
        <v>5156</v>
      </c>
      <c r="E14951" t="s">
        <v>10262</v>
      </c>
      <c r="F14951" t="s">
        <v>2068</v>
      </c>
      <c r="G14951" t="s">
        <v>47098</v>
      </c>
      <c r="H14951" t="s">
        <v>47126</v>
      </c>
      <c r="I14951" t="s">
        <v>47120</v>
      </c>
      <c r="J14951" t="s">
        <v>47121</v>
      </c>
      <c r="K14951" t="s">
        <v>47113</v>
      </c>
      <c r="L14951">
        <v>111.21</v>
      </c>
      <c r="M14951">
        <v>269</v>
      </c>
      <c r="N14951">
        <v>0</v>
      </c>
      <c r="O14951">
        <v>269</v>
      </c>
      <c r="P14951">
        <v>0</v>
      </c>
    </row>
    <row r="14952" spans="1:16" x14ac:dyDescent="0.25">
      <c r="A14952" t="s">
        <v>37657</v>
      </c>
      <c r="B14952" t="s">
        <v>10263</v>
      </c>
      <c r="C14952" t="s">
        <v>10264</v>
      </c>
      <c r="D14952" t="str">
        <f>"1001"</f>
        <v>1001</v>
      </c>
      <c r="E14952" t="s">
        <v>3966</v>
      </c>
      <c r="F14952" t="s">
        <v>2068</v>
      </c>
      <c r="G14952" t="s">
        <v>47098</v>
      </c>
      <c r="H14952" t="s">
        <v>47126</v>
      </c>
      <c r="I14952" t="s">
        <v>47120</v>
      </c>
      <c r="J14952" t="s">
        <v>47121</v>
      </c>
      <c r="K14952" t="s">
        <v>47113</v>
      </c>
      <c r="L14952">
        <v>114.86</v>
      </c>
      <c r="M14952">
        <v>278</v>
      </c>
      <c r="N14952">
        <v>0</v>
      </c>
      <c r="O14952">
        <v>278</v>
      </c>
      <c r="P14952">
        <v>0</v>
      </c>
    </row>
    <row r="14953" spans="1:16" x14ac:dyDescent="0.25">
      <c r="A14953" t="s">
        <v>37658</v>
      </c>
      <c r="B14953" t="s">
        <v>10265</v>
      </c>
      <c r="C14953" t="s">
        <v>3763</v>
      </c>
      <c r="D14953" t="str">
        <f>"1001"</f>
        <v>1001</v>
      </c>
      <c r="E14953" t="s">
        <v>42</v>
      </c>
      <c r="F14953" t="s">
        <v>2068</v>
      </c>
      <c r="G14953" t="s">
        <v>47098</v>
      </c>
      <c r="H14953" t="s">
        <v>47126</v>
      </c>
      <c r="I14953" t="s">
        <v>47139</v>
      </c>
      <c r="J14953" t="s">
        <v>47140</v>
      </c>
      <c r="K14953" t="s">
        <v>47113</v>
      </c>
      <c r="L14953">
        <v>122.55</v>
      </c>
      <c r="M14953">
        <v>272</v>
      </c>
      <c r="N14953">
        <v>0</v>
      </c>
      <c r="O14953">
        <v>272</v>
      </c>
      <c r="P14953">
        <v>0</v>
      </c>
    </row>
    <row r="14954" spans="1:16" x14ac:dyDescent="0.25">
      <c r="A14954" t="s">
        <v>37659</v>
      </c>
      <c r="B14954" t="s">
        <v>10265</v>
      </c>
      <c r="C14954" t="s">
        <v>3763</v>
      </c>
      <c r="D14954" t="str">
        <f>"6494"</f>
        <v>6494</v>
      </c>
      <c r="E14954" t="s">
        <v>10266</v>
      </c>
      <c r="F14954" t="s">
        <v>2068</v>
      </c>
      <c r="G14954" t="s">
        <v>47098</v>
      </c>
      <c r="H14954" t="s">
        <v>47126</v>
      </c>
      <c r="I14954" t="s">
        <v>47139</v>
      </c>
      <c r="J14954" t="s">
        <v>47140</v>
      </c>
      <c r="K14954" t="s">
        <v>47113</v>
      </c>
      <c r="L14954">
        <v>122.55</v>
      </c>
      <c r="M14954">
        <v>272</v>
      </c>
      <c r="N14954">
        <v>0</v>
      </c>
      <c r="O14954">
        <v>272</v>
      </c>
      <c r="P14954">
        <v>0</v>
      </c>
    </row>
    <row r="14955" spans="1:16" x14ac:dyDescent="0.25">
      <c r="A14955" t="s">
        <v>37660</v>
      </c>
      <c r="B14955" t="s">
        <v>10267</v>
      </c>
      <c r="C14955" t="s">
        <v>187</v>
      </c>
      <c r="D14955" t="str">
        <f>"1001"</f>
        <v>1001</v>
      </c>
      <c r="E14955" t="s">
        <v>42</v>
      </c>
      <c r="F14955" t="s">
        <v>3750</v>
      </c>
      <c r="G14955" t="s">
        <v>47098</v>
      </c>
      <c r="H14955" t="s">
        <v>47126</v>
      </c>
      <c r="I14955" t="s">
        <v>47120</v>
      </c>
      <c r="J14955" t="s">
        <v>47121</v>
      </c>
      <c r="K14955" t="s">
        <v>47113</v>
      </c>
      <c r="L14955">
        <v>117.09</v>
      </c>
      <c r="M14955">
        <v>348</v>
      </c>
      <c r="N14955">
        <v>0</v>
      </c>
      <c r="O14955">
        <v>348</v>
      </c>
      <c r="P14955">
        <v>0</v>
      </c>
    </row>
    <row r="14956" spans="1:16" x14ac:dyDescent="0.25">
      <c r="A14956" t="s">
        <v>37661</v>
      </c>
      <c r="B14956" t="s">
        <v>10268</v>
      </c>
      <c r="C14956" t="s">
        <v>10269</v>
      </c>
      <c r="D14956" t="s">
        <v>10270</v>
      </c>
      <c r="E14956" t="s">
        <v>10271</v>
      </c>
      <c r="F14956" t="s">
        <v>2068</v>
      </c>
      <c r="G14956" t="s">
        <v>47093</v>
      </c>
      <c r="H14956" t="s">
        <v>47153</v>
      </c>
      <c r="I14956" t="s">
        <v>47132</v>
      </c>
      <c r="J14956" t="s">
        <v>47133</v>
      </c>
      <c r="K14956" t="s">
        <v>47113</v>
      </c>
      <c r="L14956">
        <v>39.69</v>
      </c>
      <c r="M14956">
        <v>75</v>
      </c>
      <c r="N14956">
        <v>0</v>
      </c>
      <c r="O14956">
        <v>75</v>
      </c>
      <c r="P14956">
        <v>0</v>
      </c>
    </row>
    <row r="14957" spans="1:16" x14ac:dyDescent="0.25">
      <c r="A14957" t="s">
        <v>37662</v>
      </c>
      <c r="B14957" t="s">
        <v>10268</v>
      </c>
      <c r="C14957" t="s">
        <v>10269</v>
      </c>
      <c r="D14957" t="s">
        <v>10272</v>
      </c>
      <c r="E14957" t="s">
        <v>10273</v>
      </c>
      <c r="F14957" t="s">
        <v>2068</v>
      </c>
      <c r="G14957" t="s">
        <v>47093</v>
      </c>
      <c r="H14957" t="s">
        <v>47153</v>
      </c>
      <c r="I14957" t="s">
        <v>47132</v>
      </c>
      <c r="J14957" t="s">
        <v>47133</v>
      </c>
      <c r="K14957" t="s">
        <v>47113</v>
      </c>
      <c r="L14957">
        <v>44.65</v>
      </c>
      <c r="M14957">
        <v>80</v>
      </c>
      <c r="N14957">
        <v>0</v>
      </c>
      <c r="O14957">
        <v>80</v>
      </c>
      <c r="P14957">
        <v>0</v>
      </c>
    </row>
    <row r="14958" spans="1:16" x14ac:dyDescent="0.25">
      <c r="A14958" t="s">
        <v>14640</v>
      </c>
      <c r="B14958" t="s">
        <v>10274</v>
      </c>
      <c r="C14958" t="s">
        <v>359</v>
      </c>
      <c r="D14958" t="s">
        <v>10275</v>
      </c>
      <c r="E14958" t="s">
        <v>10276</v>
      </c>
      <c r="F14958" t="s">
        <v>2068</v>
      </c>
      <c r="G14958" t="s">
        <v>47093</v>
      </c>
      <c r="H14958" t="s">
        <v>47153</v>
      </c>
      <c r="I14958" t="s">
        <v>47132</v>
      </c>
      <c r="J14958" t="s">
        <v>47133</v>
      </c>
      <c r="K14958" t="s">
        <v>47113</v>
      </c>
      <c r="L14958">
        <v>44.43</v>
      </c>
      <c r="M14958">
        <v>84</v>
      </c>
      <c r="N14958">
        <v>0</v>
      </c>
      <c r="O14958">
        <v>84</v>
      </c>
      <c r="P14958">
        <v>0</v>
      </c>
    </row>
    <row r="14959" spans="1:16" x14ac:dyDescent="0.25">
      <c r="A14959" t="s">
        <v>37663</v>
      </c>
      <c r="B14959" t="s">
        <v>10277</v>
      </c>
      <c r="C14959" t="s">
        <v>369</v>
      </c>
      <c r="D14959" t="s">
        <v>10278</v>
      </c>
      <c r="E14959" t="s">
        <v>10279</v>
      </c>
      <c r="F14959" t="s">
        <v>2068</v>
      </c>
      <c r="G14959" t="s">
        <v>47093</v>
      </c>
      <c r="H14959" t="s">
        <v>47153</v>
      </c>
      <c r="I14959" t="s">
        <v>47132</v>
      </c>
      <c r="J14959" t="s">
        <v>47133</v>
      </c>
      <c r="K14959" t="s">
        <v>47113</v>
      </c>
      <c r="L14959">
        <v>43.72</v>
      </c>
      <c r="M14959">
        <v>84</v>
      </c>
      <c r="N14959">
        <v>0</v>
      </c>
      <c r="O14959">
        <v>84</v>
      </c>
      <c r="P14959">
        <v>0</v>
      </c>
    </row>
    <row r="14960" spans="1:16" x14ac:dyDescent="0.25">
      <c r="A14960" t="s">
        <v>14641</v>
      </c>
      <c r="B14960" t="s">
        <v>10277</v>
      </c>
      <c r="C14960" t="s">
        <v>369</v>
      </c>
      <c r="D14960" t="s">
        <v>10280</v>
      </c>
      <c r="E14960" t="s">
        <v>10281</v>
      </c>
      <c r="F14960" t="s">
        <v>2068</v>
      </c>
      <c r="G14960" t="s">
        <v>47093</v>
      </c>
      <c r="H14960" t="s">
        <v>47153</v>
      </c>
      <c r="I14960" t="s">
        <v>47132</v>
      </c>
      <c r="J14960" t="s">
        <v>47133</v>
      </c>
      <c r="K14960" t="s">
        <v>47113</v>
      </c>
      <c r="L14960">
        <v>54.49</v>
      </c>
      <c r="M14960">
        <v>99</v>
      </c>
      <c r="N14960">
        <v>0</v>
      </c>
      <c r="O14960">
        <v>99</v>
      </c>
      <c r="P14960">
        <v>0</v>
      </c>
    </row>
    <row r="14961" spans="1:16" x14ac:dyDescent="0.25">
      <c r="A14961" t="s">
        <v>37664</v>
      </c>
      <c r="B14961" t="s">
        <v>10282</v>
      </c>
      <c r="C14961" t="s">
        <v>369</v>
      </c>
      <c r="D14961" t="s">
        <v>10283</v>
      </c>
      <c r="E14961" t="s">
        <v>10284</v>
      </c>
      <c r="F14961" t="s">
        <v>2068</v>
      </c>
      <c r="G14961" t="s">
        <v>47093</v>
      </c>
      <c r="H14961" t="s">
        <v>47153</v>
      </c>
      <c r="I14961" t="s">
        <v>47132</v>
      </c>
      <c r="J14961" t="s">
        <v>47133</v>
      </c>
      <c r="K14961" t="s">
        <v>47113</v>
      </c>
      <c r="L14961">
        <v>46.08</v>
      </c>
      <c r="M14961">
        <v>84</v>
      </c>
      <c r="N14961">
        <v>0</v>
      </c>
      <c r="O14961">
        <v>84</v>
      </c>
      <c r="P14961">
        <v>0</v>
      </c>
    </row>
    <row r="14962" spans="1:16" x14ac:dyDescent="0.25">
      <c r="A14962" t="s">
        <v>37665</v>
      </c>
      <c r="B14962" t="s">
        <v>10282</v>
      </c>
      <c r="C14962" t="s">
        <v>369</v>
      </c>
      <c r="D14962" t="s">
        <v>10285</v>
      </c>
      <c r="E14962" t="s">
        <v>10286</v>
      </c>
      <c r="F14962" t="s">
        <v>2068</v>
      </c>
      <c r="G14962" t="s">
        <v>47093</v>
      </c>
      <c r="H14962" t="s">
        <v>47153</v>
      </c>
      <c r="I14962" t="s">
        <v>47132</v>
      </c>
      <c r="J14962" t="s">
        <v>47133</v>
      </c>
      <c r="K14962" t="s">
        <v>47113</v>
      </c>
      <c r="L14962">
        <v>48.93</v>
      </c>
      <c r="M14962">
        <v>94</v>
      </c>
      <c r="N14962">
        <v>0</v>
      </c>
      <c r="O14962">
        <v>94</v>
      </c>
      <c r="P14962">
        <v>0</v>
      </c>
    </row>
    <row r="14963" spans="1:16" x14ac:dyDescent="0.25">
      <c r="A14963" t="s">
        <v>14642</v>
      </c>
      <c r="B14963" t="s">
        <v>10287</v>
      </c>
      <c r="C14963" t="s">
        <v>369</v>
      </c>
      <c r="D14963" t="s">
        <v>10288</v>
      </c>
      <c r="E14963" t="s">
        <v>10289</v>
      </c>
      <c r="F14963" t="s">
        <v>2068</v>
      </c>
      <c r="G14963" t="s">
        <v>47093</v>
      </c>
      <c r="H14963" t="s">
        <v>47153</v>
      </c>
      <c r="I14963" t="s">
        <v>47132</v>
      </c>
      <c r="J14963" t="s">
        <v>47133</v>
      </c>
      <c r="K14963" t="s">
        <v>47113</v>
      </c>
      <c r="L14963">
        <v>57.07</v>
      </c>
      <c r="M14963">
        <v>100</v>
      </c>
      <c r="N14963">
        <v>0</v>
      </c>
      <c r="O14963">
        <v>100</v>
      </c>
      <c r="P14963">
        <v>0</v>
      </c>
    </row>
    <row r="14964" spans="1:16" x14ac:dyDescent="0.25">
      <c r="A14964" t="s">
        <v>37666</v>
      </c>
      <c r="B14964" t="s">
        <v>10290</v>
      </c>
      <c r="C14964" t="s">
        <v>374</v>
      </c>
      <c r="D14964" t="s">
        <v>10275</v>
      </c>
      <c r="E14964" t="s">
        <v>10276</v>
      </c>
      <c r="F14964" t="s">
        <v>2068</v>
      </c>
      <c r="G14964" t="s">
        <v>47093</v>
      </c>
      <c r="H14964" t="s">
        <v>47153</v>
      </c>
      <c r="I14964" t="s">
        <v>47132</v>
      </c>
      <c r="J14964" t="s">
        <v>47133</v>
      </c>
      <c r="K14964" t="s">
        <v>47113</v>
      </c>
      <c r="L14964">
        <v>44.66</v>
      </c>
      <c r="M14964">
        <v>84</v>
      </c>
      <c r="N14964">
        <v>0</v>
      </c>
      <c r="O14964">
        <v>84</v>
      </c>
      <c r="P14964">
        <v>0</v>
      </c>
    </row>
    <row r="14965" spans="1:16" x14ac:dyDescent="0.25">
      <c r="A14965" t="s">
        <v>37667</v>
      </c>
      <c r="B14965" t="s">
        <v>10291</v>
      </c>
      <c r="C14965" t="s">
        <v>374</v>
      </c>
      <c r="D14965" t="s">
        <v>10278</v>
      </c>
      <c r="E14965" t="s">
        <v>10279</v>
      </c>
      <c r="F14965" t="s">
        <v>2068</v>
      </c>
      <c r="G14965" t="s">
        <v>47093</v>
      </c>
      <c r="H14965" t="s">
        <v>47153</v>
      </c>
      <c r="I14965" t="s">
        <v>47132</v>
      </c>
      <c r="J14965" t="s">
        <v>47133</v>
      </c>
      <c r="K14965" t="s">
        <v>47113</v>
      </c>
      <c r="L14965">
        <v>42.05</v>
      </c>
      <c r="M14965">
        <v>84</v>
      </c>
      <c r="N14965">
        <v>0</v>
      </c>
      <c r="O14965">
        <v>84</v>
      </c>
      <c r="P14965">
        <v>0</v>
      </c>
    </row>
    <row r="14966" spans="1:16" x14ac:dyDescent="0.25">
      <c r="A14966" t="s">
        <v>37668</v>
      </c>
      <c r="B14966" t="s">
        <v>10291</v>
      </c>
      <c r="C14966" t="s">
        <v>374</v>
      </c>
      <c r="D14966" t="s">
        <v>10292</v>
      </c>
      <c r="E14966" t="s">
        <v>10293</v>
      </c>
      <c r="F14966" t="s">
        <v>2068</v>
      </c>
      <c r="G14966" t="s">
        <v>47093</v>
      </c>
      <c r="H14966" t="s">
        <v>47153</v>
      </c>
      <c r="I14966" t="s">
        <v>47132</v>
      </c>
      <c r="J14966" t="s">
        <v>47133</v>
      </c>
      <c r="K14966" t="s">
        <v>47113</v>
      </c>
      <c r="L14966">
        <v>44.18</v>
      </c>
      <c r="M14966">
        <v>82</v>
      </c>
      <c r="N14966">
        <v>0</v>
      </c>
      <c r="O14966">
        <v>82</v>
      </c>
      <c r="P14966">
        <v>0</v>
      </c>
    </row>
    <row r="14967" spans="1:16" x14ac:dyDescent="0.25">
      <c r="A14967" t="s">
        <v>37669</v>
      </c>
      <c r="B14967" t="s">
        <v>10294</v>
      </c>
      <c r="C14967" t="s">
        <v>374</v>
      </c>
      <c r="D14967" t="s">
        <v>10295</v>
      </c>
      <c r="E14967" t="s">
        <v>10296</v>
      </c>
      <c r="F14967" t="s">
        <v>2068</v>
      </c>
      <c r="G14967" t="s">
        <v>47093</v>
      </c>
      <c r="H14967" t="s">
        <v>47153</v>
      </c>
      <c r="I14967" t="s">
        <v>47132</v>
      </c>
      <c r="J14967" t="s">
        <v>47133</v>
      </c>
      <c r="K14967" t="s">
        <v>47113</v>
      </c>
      <c r="L14967">
        <v>40.28</v>
      </c>
      <c r="M14967">
        <v>76</v>
      </c>
      <c r="N14967">
        <v>0</v>
      </c>
      <c r="O14967">
        <v>76</v>
      </c>
      <c r="P14967">
        <v>0</v>
      </c>
    </row>
    <row r="14968" spans="1:16" x14ac:dyDescent="0.25">
      <c r="A14968" t="s">
        <v>37670</v>
      </c>
      <c r="B14968" t="s">
        <v>10297</v>
      </c>
      <c r="C14968" t="s">
        <v>374</v>
      </c>
      <c r="D14968" t="s">
        <v>10283</v>
      </c>
      <c r="E14968" t="s">
        <v>10284</v>
      </c>
      <c r="F14968" t="s">
        <v>2068</v>
      </c>
      <c r="G14968" t="s">
        <v>47093</v>
      </c>
      <c r="H14968" t="s">
        <v>47153</v>
      </c>
      <c r="I14968" t="s">
        <v>47132</v>
      </c>
      <c r="J14968" t="s">
        <v>47133</v>
      </c>
      <c r="K14968" t="s">
        <v>47113</v>
      </c>
      <c r="L14968">
        <v>44.43</v>
      </c>
      <c r="M14968">
        <v>84</v>
      </c>
      <c r="N14968">
        <v>0</v>
      </c>
      <c r="O14968">
        <v>84</v>
      </c>
      <c r="P14968">
        <v>0</v>
      </c>
    </row>
    <row r="14969" spans="1:16" x14ac:dyDescent="0.25">
      <c r="A14969" t="s">
        <v>14643</v>
      </c>
      <c r="B14969" t="s">
        <v>10298</v>
      </c>
      <c r="C14969" t="s">
        <v>381</v>
      </c>
      <c r="D14969" t="s">
        <v>10275</v>
      </c>
      <c r="E14969" t="s">
        <v>10276</v>
      </c>
      <c r="F14969" t="s">
        <v>2068</v>
      </c>
      <c r="G14969" t="s">
        <v>47093</v>
      </c>
      <c r="H14969" t="s">
        <v>47153</v>
      </c>
      <c r="I14969" t="s">
        <v>47132</v>
      </c>
      <c r="J14969" t="s">
        <v>47133</v>
      </c>
      <c r="K14969" t="s">
        <v>47113</v>
      </c>
      <c r="L14969">
        <v>44.78</v>
      </c>
      <c r="M14969">
        <v>84</v>
      </c>
      <c r="N14969">
        <v>0</v>
      </c>
      <c r="O14969">
        <v>84</v>
      </c>
      <c r="P14969">
        <v>0</v>
      </c>
    </row>
    <row r="14970" spans="1:16" x14ac:dyDescent="0.25">
      <c r="A14970" t="s">
        <v>14644</v>
      </c>
      <c r="B14970" t="s">
        <v>10299</v>
      </c>
      <c r="C14970" t="s">
        <v>10300</v>
      </c>
      <c r="D14970" t="s">
        <v>10278</v>
      </c>
      <c r="E14970" t="s">
        <v>10279</v>
      </c>
      <c r="F14970" t="s">
        <v>2068</v>
      </c>
      <c r="G14970" t="s">
        <v>47093</v>
      </c>
      <c r="H14970" t="s">
        <v>47153</v>
      </c>
      <c r="I14970" t="s">
        <v>47132</v>
      </c>
      <c r="J14970" t="s">
        <v>47133</v>
      </c>
      <c r="K14970" t="s">
        <v>47113</v>
      </c>
      <c r="L14970">
        <v>42.65</v>
      </c>
      <c r="M14970">
        <v>84</v>
      </c>
      <c r="N14970">
        <v>0</v>
      </c>
      <c r="O14970">
        <v>84</v>
      </c>
      <c r="P14970">
        <v>0</v>
      </c>
    </row>
    <row r="14971" spans="1:16" x14ac:dyDescent="0.25">
      <c r="A14971" t="s">
        <v>37671</v>
      </c>
      <c r="B14971" t="s">
        <v>10299</v>
      </c>
      <c r="C14971" t="s">
        <v>10300</v>
      </c>
      <c r="D14971" t="s">
        <v>10292</v>
      </c>
      <c r="E14971" t="s">
        <v>10293</v>
      </c>
      <c r="F14971" t="s">
        <v>2068</v>
      </c>
      <c r="G14971" t="s">
        <v>47093</v>
      </c>
      <c r="H14971" t="s">
        <v>47153</v>
      </c>
      <c r="I14971" t="s">
        <v>47132</v>
      </c>
      <c r="J14971" t="s">
        <v>47133</v>
      </c>
      <c r="K14971" t="s">
        <v>47113</v>
      </c>
      <c r="L14971">
        <v>44.78</v>
      </c>
      <c r="M14971">
        <v>82</v>
      </c>
      <c r="N14971">
        <v>0</v>
      </c>
      <c r="O14971">
        <v>82</v>
      </c>
      <c r="P14971">
        <v>0</v>
      </c>
    </row>
    <row r="14972" spans="1:16" x14ac:dyDescent="0.25">
      <c r="A14972" t="s">
        <v>37672</v>
      </c>
      <c r="B14972" t="s">
        <v>10301</v>
      </c>
      <c r="C14972" t="s">
        <v>381</v>
      </c>
      <c r="D14972" t="s">
        <v>10302</v>
      </c>
      <c r="E14972" t="s">
        <v>10303</v>
      </c>
      <c r="F14972" t="s">
        <v>2068</v>
      </c>
      <c r="G14972" t="s">
        <v>47093</v>
      </c>
      <c r="H14972" t="s">
        <v>47153</v>
      </c>
      <c r="I14972" t="s">
        <v>47132</v>
      </c>
      <c r="J14972" t="s">
        <v>47133</v>
      </c>
      <c r="K14972" t="s">
        <v>47113</v>
      </c>
      <c r="L14972">
        <v>44.04</v>
      </c>
      <c r="M14972">
        <v>80</v>
      </c>
      <c r="N14972">
        <v>0</v>
      </c>
      <c r="O14972">
        <v>80</v>
      </c>
      <c r="P14972">
        <v>0</v>
      </c>
    </row>
    <row r="14973" spans="1:16" x14ac:dyDescent="0.25">
      <c r="A14973" t="s">
        <v>37673</v>
      </c>
      <c r="B14973" t="s">
        <v>10301</v>
      </c>
      <c r="C14973" t="s">
        <v>381</v>
      </c>
      <c r="D14973" t="s">
        <v>10304</v>
      </c>
      <c r="E14973" t="s">
        <v>10305</v>
      </c>
      <c r="F14973" t="s">
        <v>2068</v>
      </c>
      <c r="G14973" t="s">
        <v>47093</v>
      </c>
      <c r="H14973" t="s">
        <v>47153</v>
      </c>
      <c r="I14973" t="s">
        <v>47132</v>
      </c>
      <c r="J14973" t="s">
        <v>47133</v>
      </c>
      <c r="K14973" t="s">
        <v>47113</v>
      </c>
      <c r="L14973">
        <v>48.65</v>
      </c>
      <c r="M14973">
        <v>80</v>
      </c>
      <c r="N14973">
        <v>0</v>
      </c>
      <c r="O14973">
        <v>80</v>
      </c>
      <c r="P14973">
        <v>0</v>
      </c>
    </row>
    <row r="14974" spans="1:16" x14ac:dyDescent="0.25">
      <c r="A14974" t="s">
        <v>37674</v>
      </c>
      <c r="B14974" t="s">
        <v>10306</v>
      </c>
      <c r="C14974" t="s">
        <v>381</v>
      </c>
      <c r="D14974" t="s">
        <v>10283</v>
      </c>
      <c r="E14974" t="s">
        <v>10284</v>
      </c>
      <c r="F14974" t="s">
        <v>2068</v>
      </c>
      <c r="G14974" t="s">
        <v>47093</v>
      </c>
      <c r="H14974" t="s">
        <v>47153</v>
      </c>
      <c r="I14974" t="s">
        <v>47132</v>
      </c>
      <c r="J14974" t="s">
        <v>47133</v>
      </c>
      <c r="K14974" t="s">
        <v>47113</v>
      </c>
      <c r="L14974">
        <v>47.27</v>
      </c>
      <c r="M14974">
        <v>84</v>
      </c>
      <c r="N14974">
        <v>0</v>
      </c>
      <c r="O14974">
        <v>84</v>
      </c>
      <c r="P14974">
        <v>0</v>
      </c>
    </row>
    <row r="14975" spans="1:16" x14ac:dyDescent="0.25">
      <c r="A14975" t="s">
        <v>37675</v>
      </c>
      <c r="B14975" t="s">
        <v>10306</v>
      </c>
      <c r="C14975" t="s">
        <v>381</v>
      </c>
      <c r="D14975" t="s">
        <v>10285</v>
      </c>
      <c r="E14975" t="s">
        <v>10286</v>
      </c>
      <c r="F14975" t="s">
        <v>2068</v>
      </c>
      <c r="G14975" t="s">
        <v>47093</v>
      </c>
      <c r="H14975" t="s">
        <v>47153</v>
      </c>
      <c r="I14975" t="s">
        <v>47132</v>
      </c>
      <c r="J14975" t="s">
        <v>47133</v>
      </c>
      <c r="K14975" t="s">
        <v>47113</v>
      </c>
      <c r="L14975">
        <v>48.57</v>
      </c>
      <c r="M14975">
        <v>94</v>
      </c>
      <c r="N14975">
        <v>0</v>
      </c>
      <c r="O14975">
        <v>94</v>
      </c>
      <c r="P14975">
        <v>0</v>
      </c>
    </row>
    <row r="14976" spans="1:16" x14ac:dyDescent="0.25">
      <c r="A14976" t="s">
        <v>37676</v>
      </c>
      <c r="B14976" t="s">
        <v>10307</v>
      </c>
      <c r="C14976" t="s">
        <v>10308</v>
      </c>
      <c r="D14976" t="s">
        <v>10275</v>
      </c>
      <c r="E14976" t="s">
        <v>10276</v>
      </c>
      <c r="F14976" t="s">
        <v>2068</v>
      </c>
      <c r="G14976" t="s">
        <v>47093</v>
      </c>
      <c r="H14976" t="s">
        <v>47153</v>
      </c>
      <c r="I14976" t="s">
        <v>47132</v>
      </c>
      <c r="J14976" t="s">
        <v>47133</v>
      </c>
      <c r="K14976" t="s">
        <v>47113</v>
      </c>
      <c r="L14976">
        <v>47.39</v>
      </c>
      <c r="M14976">
        <v>84</v>
      </c>
      <c r="N14976">
        <v>0</v>
      </c>
      <c r="O14976">
        <v>84</v>
      </c>
      <c r="P14976">
        <v>0</v>
      </c>
    </row>
    <row r="14977" spans="1:16" x14ac:dyDescent="0.25">
      <c r="A14977" t="s">
        <v>14645</v>
      </c>
      <c r="B14977" t="s">
        <v>10309</v>
      </c>
      <c r="C14977" t="s">
        <v>10308</v>
      </c>
      <c r="D14977" t="s">
        <v>10278</v>
      </c>
      <c r="E14977" t="s">
        <v>10279</v>
      </c>
      <c r="F14977" t="s">
        <v>2068</v>
      </c>
      <c r="G14977" t="s">
        <v>47093</v>
      </c>
      <c r="H14977" t="s">
        <v>47153</v>
      </c>
      <c r="I14977" t="s">
        <v>47132</v>
      </c>
      <c r="J14977" t="s">
        <v>47133</v>
      </c>
      <c r="K14977" t="s">
        <v>47113</v>
      </c>
      <c r="L14977">
        <v>41.93</v>
      </c>
      <c r="M14977">
        <v>84</v>
      </c>
      <c r="N14977">
        <v>0</v>
      </c>
      <c r="O14977">
        <v>84</v>
      </c>
      <c r="P14977">
        <v>0</v>
      </c>
    </row>
    <row r="14978" spans="1:16" x14ac:dyDescent="0.25">
      <c r="A14978" t="s">
        <v>37677</v>
      </c>
      <c r="B14978" t="s">
        <v>10309</v>
      </c>
      <c r="C14978" t="s">
        <v>10308</v>
      </c>
      <c r="D14978" t="s">
        <v>10292</v>
      </c>
      <c r="E14978" t="s">
        <v>10293</v>
      </c>
      <c r="F14978" t="s">
        <v>2068</v>
      </c>
      <c r="G14978" t="s">
        <v>47093</v>
      </c>
      <c r="H14978" t="s">
        <v>47153</v>
      </c>
      <c r="I14978" t="s">
        <v>47132</v>
      </c>
      <c r="J14978" t="s">
        <v>47133</v>
      </c>
      <c r="K14978" t="s">
        <v>47113</v>
      </c>
      <c r="L14978">
        <v>44.07</v>
      </c>
      <c r="M14978">
        <v>82</v>
      </c>
      <c r="N14978">
        <v>0</v>
      </c>
      <c r="O14978">
        <v>82</v>
      </c>
      <c r="P14978">
        <v>0</v>
      </c>
    </row>
    <row r="14979" spans="1:16" x14ac:dyDescent="0.25">
      <c r="A14979" t="s">
        <v>14646</v>
      </c>
      <c r="B14979" t="s">
        <v>10309</v>
      </c>
      <c r="C14979" t="s">
        <v>10308</v>
      </c>
      <c r="D14979" t="s">
        <v>3774</v>
      </c>
      <c r="E14979" t="s">
        <v>3775</v>
      </c>
      <c r="F14979" t="s">
        <v>2068</v>
      </c>
      <c r="G14979" t="s">
        <v>47093</v>
      </c>
      <c r="H14979" t="s">
        <v>47153</v>
      </c>
      <c r="I14979" t="s">
        <v>47132</v>
      </c>
      <c r="J14979" t="s">
        <v>47133</v>
      </c>
      <c r="K14979" t="s">
        <v>47113</v>
      </c>
      <c r="L14979">
        <v>45.01</v>
      </c>
      <c r="M14979">
        <v>84</v>
      </c>
      <c r="N14979">
        <v>0</v>
      </c>
      <c r="O14979">
        <v>84</v>
      </c>
      <c r="P14979">
        <v>0</v>
      </c>
    </row>
    <row r="14980" spans="1:16" x14ac:dyDescent="0.25">
      <c r="A14980" t="s">
        <v>37678</v>
      </c>
      <c r="B14980" t="s">
        <v>10309</v>
      </c>
      <c r="C14980" t="s">
        <v>10308</v>
      </c>
      <c r="D14980" t="s">
        <v>10280</v>
      </c>
      <c r="E14980" t="s">
        <v>10281</v>
      </c>
      <c r="F14980" t="s">
        <v>2068</v>
      </c>
      <c r="G14980" t="s">
        <v>47093</v>
      </c>
      <c r="H14980" t="s">
        <v>47153</v>
      </c>
      <c r="I14980" t="s">
        <v>47132</v>
      </c>
      <c r="J14980" t="s">
        <v>47133</v>
      </c>
      <c r="K14980" t="s">
        <v>47113</v>
      </c>
      <c r="L14980">
        <v>54.25</v>
      </c>
      <c r="M14980">
        <v>99</v>
      </c>
      <c r="N14980">
        <v>0</v>
      </c>
      <c r="O14980">
        <v>99</v>
      </c>
      <c r="P14980">
        <v>0</v>
      </c>
    </row>
    <row r="14981" spans="1:16" x14ac:dyDescent="0.25">
      <c r="A14981" t="s">
        <v>37679</v>
      </c>
      <c r="B14981" t="s">
        <v>10310</v>
      </c>
      <c r="C14981" t="s">
        <v>10308</v>
      </c>
      <c r="D14981" t="s">
        <v>3805</v>
      </c>
      <c r="E14981" t="s">
        <v>3806</v>
      </c>
      <c r="F14981" t="s">
        <v>2068</v>
      </c>
      <c r="G14981" t="s">
        <v>47093</v>
      </c>
      <c r="H14981" t="s">
        <v>47153</v>
      </c>
      <c r="I14981" t="s">
        <v>47132</v>
      </c>
      <c r="J14981" t="s">
        <v>47133</v>
      </c>
      <c r="K14981" t="s">
        <v>47113</v>
      </c>
      <c r="L14981">
        <v>44.57</v>
      </c>
      <c r="M14981">
        <v>84</v>
      </c>
      <c r="N14981">
        <v>0</v>
      </c>
      <c r="O14981">
        <v>84</v>
      </c>
      <c r="P14981">
        <v>0</v>
      </c>
    </row>
    <row r="14982" spans="1:16" x14ac:dyDescent="0.25">
      <c r="A14982" t="s">
        <v>14647</v>
      </c>
      <c r="B14982" t="s">
        <v>10311</v>
      </c>
      <c r="C14982" t="s">
        <v>10308</v>
      </c>
      <c r="D14982" t="s">
        <v>3810</v>
      </c>
      <c r="E14982" t="s">
        <v>3811</v>
      </c>
      <c r="F14982" t="s">
        <v>2068</v>
      </c>
      <c r="G14982" t="s">
        <v>47093</v>
      </c>
      <c r="H14982" t="s">
        <v>47153</v>
      </c>
      <c r="I14982" t="s">
        <v>47132</v>
      </c>
      <c r="J14982" t="s">
        <v>47133</v>
      </c>
      <c r="K14982" t="s">
        <v>47113</v>
      </c>
      <c r="L14982">
        <v>48.78</v>
      </c>
      <c r="M14982">
        <v>88</v>
      </c>
      <c r="N14982">
        <v>0</v>
      </c>
      <c r="O14982">
        <v>88</v>
      </c>
      <c r="P14982">
        <v>0</v>
      </c>
    </row>
    <row r="14983" spans="1:16" x14ac:dyDescent="0.25">
      <c r="A14983" t="s">
        <v>37680</v>
      </c>
      <c r="B14983" t="s">
        <v>10312</v>
      </c>
      <c r="C14983" t="s">
        <v>10308</v>
      </c>
      <c r="D14983" t="s">
        <v>10302</v>
      </c>
      <c r="E14983" t="s">
        <v>10303</v>
      </c>
      <c r="F14983" t="s">
        <v>2068</v>
      </c>
      <c r="G14983" t="s">
        <v>47093</v>
      </c>
      <c r="H14983" t="s">
        <v>47153</v>
      </c>
      <c r="I14983" t="s">
        <v>47132</v>
      </c>
      <c r="J14983" t="s">
        <v>47133</v>
      </c>
      <c r="K14983" t="s">
        <v>47113</v>
      </c>
      <c r="L14983">
        <v>44.04</v>
      </c>
      <c r="M14983">
        <v>80</v>
      </c>
      <c r="N14983">
        <v>0</v>
      </c>
      <c r="O14983">
        <v>80</v>
      </c>
      <c r="P14983">
        <v>0</v>
      </c>
    </row>
    <row r="14984" spans="1:16" x14ac:dyDescent="0.25">
      <c r="A14984" t="s">
        <v>37681</v>
      </c>
      <c r="B14984" t="s">
        <v>10312</v>
      </c>
      <c r="C14984" t="s">
        <v>10308</v>
      </c>
      <c r="D14984" t="s">
        <v>10304</v>
      </c>
      <c r="E14984" t="s">
        <v>10305</v>
      </c>
      <c r="F14984" t="s">
        <v>2068</v>
      </c>
      <c r="G14984" t="s">
        <v>47093</v>
      </c>
      <c r="H14984" t="s">
        <v>47153</v>
      </c>
      <c r="I14984" t="s">
        <v>47132</v>
      </c>
      <c r="J14984" t="s">
        <v>47133</v>
      </c>
      <c r="K14984" t="s">
        <v>47113</v>
      </c>
      <c r="L14984">
        <v>48.65</v>
      </c>
      <c r="M14984">
        <v>82</v>
      </c>
      <c r="N14984">
        <v>0</v>
      </c>
      <c r="O14984">
        <v>82</v>
      </c>
      <c r="P14984">
        <v>0</v>
      </c>
    </row>
    <row r="14985" spans="1:16" x14ac:dyDescent="0.25">
      <c r="A14985" t="s">
        <v>37682</v>
      </c>
      <c r="B14985" t="s">
        <v>10313</v>
      </c>
      <c r="C14985" t="s">
        <v>10308</v>
      </c>
      <c r="D14985" t="s">
        <v>10270</v>
      </c>
      <c r="E14985" t="s">
        <v>10271</v>
      </c>
      <c r="F14985" t="s">
        <v>2068</v>
      </c>
      <c r="G14985" t="s">
        <v>47093</v>
      </c>
      <c r="H14985" t="s">
        <v>47153</v>
      </c>
      <c r="I14985" t="s">
        <v>47132</v>
      </c>
      <c r="J14985" t="s">
        <v>47133</v>
      </c>
      <c r="K14985" t="s">
        <v>47113</v>
      </c>
      <c r="L14985">
        <v>39.69</v>
      </c>
      <c r="M14985">
        <v>75</v>
      </c>
      <c r="N14985">
        <v>0</v>
      </c>
      <c r="O14985">
        <v>75</v>
      </c>
      <c r="P14985">
        <v>0</v>
      </c>
    </row>
    <row r="14986" spans="1:16" x14ac:dyDescent="0.25">
      <c r="A14986" t="s">
        <v>37683</v>
      </c>
      <c r="B14986" t="s">
        <v>10313</v>
      </c>
      <c r="C14986" t="s">
        <v>10308</v>
      </c>
      <c r="D14986" t="s">
        <v>10272</v>
      </c>
      <c r="E14986" t="s">
        <v>10273</v>
      </c>
      <c r="F14986" t="s">
        <v>2068</v>
      </c>
      <c r="G14986" t="s">
        <v>47093</v>
      </c>
      <c r="H14986" t="s">
        <v>47153</v>
      </c>
      <c r="I14986" t="s">
        <v>47132</v>
      </c>
      <c r="J14986" t="s">
        <v>47133</v>
      </c>
      <c r="K14986" t="s">
        <v>47113</v>
      </c>
      <c r="L14986">
        <v>44.65</v>
      </c>
      <c r="M14986">
        <v>80</v>
      </c>
      <c r="N14986">
        <v>0</v>
      </c>
      <c r="O14986">
        <v>80</v>
      </c>
      <c r="P14986">
        <v>0</v>
      </c>
    </row>
    <row r="14987" spans="1:16" x14ac:dyDescent="0.25">
      <c r="A14987" t="s">
        <v>14648</v>
      </c>
      <c r="B14987" t="s">
        <v>10314</v>
      </c>
      <c r="C14987" t="s">
        <v>10308</v>
      </c>
      <c r="D14987" t="s">
        <v>10315</v>
      </c>
      <c r="E14987" t="s">
        <v>10316</v>
      </c>
      <c r="F14987" t="s">
        <v>2068</v>
      </c>
      <c r="G14987" t="s">
        <v>47093</v>
      </c>
      <c r="H14987" t="s">
        <v>47153</v>
      </c>
      <c r="I14987" t="s">
        <v>47132</v>
      </c>
      <c r="J14987" t="s">
        <v>47133</v>
      </c>
      <c r="K14987" t="s">
        <v>47113</v>
      </c>
      <c r="L14987">
        <v>59.35</v>
      </c>
      <c r="M14987">
        <v>110</v>
      </c>
      <c r="N14987">
        <v>0</v>
      </c>
      <c r="O14987">
        <v>110</v>
      </c>
      <c r="P14987">
        <v>0</v>
      </c>
    </row>
    <row r="14988" spans="1:16" x14ac:dyDescent="0.25">
      <c r="A14988" t="s">
        <v>37684</v>
      </c>
      <c r="B14988" t="s">
        <v>10317</v>
      </c>
      <c r="C14988" t="s">
        <v>10308</v>
      </c>
      <c r="D14988" t="s">
        <v>3919</v>
      </c>
      <c r="E14988" t="s">
        <v>3920</v>
      </c>
      <c r="F14988" t="s">
        <v>2068</v>
      </c>
      <c r="G14988" t="s">
        <v>47093</v>
      </c>
      <c r="H14988" t="s">
        <v>47153</v>
      </c>
      <c r="I14988" t="s">
        <v>47132</v>
      </c>
      <c r="J14988" t="s">
        <v>47133</v>
      </c>
      <c r="K14988" t="s">
        <v>47113</v>
      </c>
      <c r="L14988">
        <v>35.770000000000003</v>
      </c>
      <c r="M14988">
        <v>69</v>
      </c>
      <c r="N14988">
        <v>0</v>
      </c>
      <c r="O14988">
        <v>69</v>
      </c>
      <c r="P14988">
        <v>0</v>
      </c>
    </row>
    <row r="14989" spans="1:16" x14ac:dyDescent="0.25">
      <c r="A14989" t="s">
        <v>37685</v>
      </c>
      <c r="B14989" t="s">
        <v>10318</v>
      </c>
      <c r="C14989" t="s">
        <v>10308</v>
      </c>
      <c r="D14989" t="s">
        <v>10319</v>
      </c>
      <c r="E14989" t="s">
        <v>10320</v>
      </c>
      <c r="F14989" t="s">
        <v>2068</v>
      </c>
      <c r="G14989" t="s">
        <v>47093</v>
      </c>
      <c r="H14989" t="s">
        <v>47153</v>
      </c>
      <c r="I14989" t="s">
        <v>47132</v>
      </c>
      <c r="J14989" t="s">
        <v>47133</v>
      </c>
      <c r="K14989" t="s">
        <v>47113</v>
      </c>
      <c r="L14989">
        <v>55.32</v>
      </c>
      <c r="M14989">
        <v>107</v>
      </c>
      <c r="N14989">
        <v>0</v>
      </c>
      <c r="O14989">
        <v>107</v>
      </c>
      <c r="P14989">
        <v>0</v>
      </c>
    </row>
    <row r="14990" spans="1:16" x14ac:dyDescent="0.25">
      <c r="A14990" t="s">
        <v>37686</v>
      </c>
      <c r="B14990" t="s">
        <v>10321</v>
      </c>
      <c r="C14990" t="s">
        <v>10308</v>
      </c>
      <c r="D14990" t="s">
        <v>10283</v>
      </c>
      <c r="E14990" t="s">
        <v>10284</v>
      </c>
      <c r="F14990" t="s">
        <v>2068</v>
      </c>
      <c r="G14990" t="s">
        <v>47093</v>
      </c>
      <c r="H14990" t="s">
        <v>47153</v>
      </c>
      <c r="I14990" t="s">
        <v>47132</v>
      </c>
      <c r="J14990" t="s">
        <v>47133</v>
      </c>
      <c r="K14990" t="s">
        <v>47113</v>
      </c>
      <c r="L14990">
        <v>47.27</v>
      </c>
      <c r="M14990">
        <v>84</v>
      </c>
      <c r="N14990">
        <v>0</v>
      </c>
      <c r="O14990">
        <v>84</v>
      </c>
      <c r="P14990">
        <v>0</v>
      </c>
    </row>
    <row r="14991" spans="1:16" x14ac:dyDescent="0.25">
      <c r="A14991" t="s">
        <v>37687</v>
      </c>
      <c r="B14991" t="s">
        <v>10321</v>
      </c>
      <c r="C14991" t="s">
        <v>10308</v>
      </c>
      <c r="D14991" t="s">
        <v>10285</v>
      </c>
      <c r="E14991" t="s">
        <v>10286</v>
      </c>
      <c r="F14991" t="s">
        <v>2068</v>
      </c>
      <c r="G14991" t="s">
        <v>47093</v>
      </c>
      <c r="H14991" t="s">
        <v>47153</v>
      </c>
      <c r="I14991" t="s">
        <v>47132</v>
      </c>
      <c r="J14991" t="s">
        <v>47133</v>
      </c>
      <c r="K14991" t="s">
        <v>47113</v>
      </c>
      <c r="L14991">
        <v>48.93</v>
      </c>
      <c r="M14991">
        <v>94</v>
      </c>
      <c r="N14991">
        <v>0</v>
      </c>
      <c r="O14991">
        <v>94</v>
      </c>
      <c r="P14991">
        <v>0</v>
      </c>
    </row>
    <row r="14992" spans="1:16" x14ac:dyDescent="0.25">
      <c r="A14992" t="s">
        <v>37688</v>
      </c>
      <c r="B14992" t="s">
        <v>10322</v>
      </c>
      <c r="C14992" t="s">
        <v>10323</v>
      </c>
      <c r="D14992" t="s">
        <v>10275</v>
      </c>
      <c r="E14992" t="s">
        <v>10276</v>
      </c>
      <c r="F14992" t="s">
        <v>2068</v>
      </c>
      <c r="G14992" t="s">
        <v>47093</v>
      </c>
      <c r="H14992" t="s">
        <v>47153</v>
      </c>
      <c r="I14992" t="s">
        <v>47132</v>
      </c>
      <c r="J14992" t="s">
        <v>47133</v>
      </c>
      <c r="K14992" t="s">
        <v>47113</v>
      </c>
      <c r="L14992">
        <v>45.25</v>
      </c>
      <c r="M14992">
        <v>84</v>
      </c>
      <c r="N14992">
        <v>0</v>
      </c>
      <c r="O14992">
        <v>84</v>
      </c>
      <c r="P14992">
        <v>0</v>
      </c>
    </row>
    <row r="14993" spans="1:16" x14ac:dyDescent="0.25">
      <c r="A14993" t="s">
        <v>14649</v>
      </c>
      <c r="B14993" t="s">
        <v>10324</v>
      </c>
      <c r="C14993" t="s">
        <v>508</v>
      </c>
      <c r="D14993" t="s">
        <v>10278</v>
      </c>
      <c r="E14993" t="s">
        <v>10279</v>
      </c>
      <c r="F14993" t="s">
        <v>2068</v>
      </c>
      <c r="G14993" t="s">
        <v>47093</v>
      </c>
      <c r="H14993" t="s">
        <v>47153</v>
      </c>
      <c r="I14993" t="s">
        <v>47132</v>
      </c>
      <c r="J14993" t="s">
        <v>47133</v>
      </c>
      <c r="K14993" t="s">
        <v>47113</v>
      </c>
      <c r="L14993">
        <v>41.82</v>
      </c>
      <c r="M14993">
        <v>84</v>
      </c>
      <c r="N14993">
        <v>0</v>
      </c>
      <c r="O14993">
        <v>84</v>
      </c>
      <c r="P14993">
        <v>0</v>
      </c>
    </row>
    <row r="14994" spans="1:16" x14ac:dyDescent="0.25">
      <c r="A14994" t="s">
        <v>37689</v>
      </c>
      <c r="B14994" t="s">
        <v>10324</v>
      </c>
      <c r="C14994" t="s">
        <v>508</v>
      </c>
      <c r="D14994" t="s">
        <v>10292</v>
      </c>
      <c r="E14994" t="s">
        <v>10293</v>
      </c>
      <c r="F14994" t="s">
        <v>2068</v>
      </c>
      <c r="G14994" t="s">
        <v>47093</v>
      </c>
      <c r="H14994" t="s">
        <v>47153</v>
      </c>
      <c r="I14994" t="s">
        <v>47132</v>
      </c>
      <c r="J14994" t="s">
        <v>47133</v>
      </c>
      <c r="K14994" t="s">
        <v>47113</v>
      </c>
      <c r="L14994">
        <v>43.83</v>
      </c>
      <c r="M14994">
        <v>82</v>
      </c>
      <c r="N14994">
        <v>0</v>
      </c>
      <c r="O14994">
        <v>82</v>
      </c>
      <c r="P14994">
        <v>0</v>
      </c>
    </row>
    <row r="14995" spans="1:16" x14ac:dyDescent="0.25">
      <c r="A14995" t="s">
        <v>37690</v>
      </c>
      <c r="B14995" t="s">
        <v>10325</v>
      </c>
      <c r="C14995" t="s">
        <v>508</v>
      </c>
      <c r="D14995" t="s">
        <v>10302</v>
      </c>
      <c r="E14995" t="s">
        <v>10303</v>
      </c>
      <c r="F14995" t="s">
        <v>2068</v>
      </c>
      <c r="G14995" t="s">
        <v>47093</v>
      </c>
      <c r="H14995" t="s">
        <v>47153</v>
      </c>
      <c r="I14995" t="s">
        <v>47132</v>
      </c>
      <c r="J14995" t="s">
        <v>47133</v>
      </c>
      <c r="K14995" t="s">
        <v>47113</v>
      </c>
      <c r="L14995">
        <v>44.04</v>
      </c>
      <c r="M14995">
        <v>80</v>
      </c>
      <c r="N14995">
        <v>0</v>
      </c>
      <c r="O14995">
        <v>80</v>
      </c>
      <c r="P14995">
        <v>0</v>
      </c>
    </row>
    <row r="14996" spans="1:16" x14ac:dyDescent="0.25">
      <c r="A14996" t="s">
        <v>37691</v>
      </c>
      <c r="B14996" t="s">
        <v>10325</v>
      </c>
      <c r="C14996" t="s">
        <v>508</v>
      </c>
      <c r="D14996" t="s">
        <v>10304</v>
      </c>
      <c r="E14996" t="s">
        <v>10305</v>
      </c>
      <c r="F14996" t="s">
        <v>2068</v>
      </c>
      <c r="G14996" t="s">
        <v>47093</v>
      </c>
      <c r="H14996" t="s">
        <v>47153</v>
      </c>
      <c r="I14996" t="s">
        <v>47132</v>
      </c>
      <c r="J14996" t="s">
        <v>47133</v>
      </c>
      <c r="K14996" t="s">
        <v>47113</v>
      </c>
      <c r="L14996">
        <v>48.65</v>
      </c>
      <c r="M14996">
        <v>82</v>
      </c>
      <c r="N14996">
        <v>0</v>
      </c>
      <c r="O14996">
        <v>82</v>
      </c>
      <c r="P14996">
        <v>0</v>
      </c>
    </row>
    <row r="14997" spans="1:16" x14ac:dyDescent="0.25">
      <c r="A14997" t="s">
        <v>37692</v>
      </c>
      <c r="B14997" t="s">
        <v>10326</v>
      </c>
      <c r="C14997" t="s">
        <v>10323</v>
      </c>
      <c r="D14997" t="s">
        <v>10270</v>
      </c>
      <c r="E14997" t="s">
        <v>10271</v>
      </c>
      <c r="F14997" t="s">
        <v>2068</v>
      </c>
      <c r="G14997" t="s">
        <v>47093</v>
      </c>
      <c r="H14997" t="s">
        <v>47153</v>
      </c>
      <c r="I14997" t="s">
        <v>47132</v>
      </c>
      <c r="J14997" t="s">
        <v>47133</v>
      </c>
      <c r="K14997" t="s">
        <v>47113</v>
      </c>
      <c r="L14997">
        <v>39.69</v>
      </c>
      <c r="M14997">
        <v>75</v>
      </c>
      <c r="N14997">
        <v>0</v>
      </c>
      <c r="O14997">
        <v>75</v>
      </c>
      <c r="P14997">
        <v>0</v>
      </c>
    </row>
    <row r="14998" spans="1:16" x14ac:dyDescent="0.25">
      <c r="A14998" t="s">
        <v>37693</v>
      </c>
      <c r="B14998" t="s">
        <v>10326</v>
      </c>
      <c r="C14998" t="s">
        <v>10323</v>
      </c>
      <c r="D14998" t="s">
        <v>10272</v>
      </c>
      <c r="E14998" t="s">
        <v>10273</v>
      </c>
      <c r="F14998" t="s">
        <v>2068</v>
      </c>
      <c r="G14998" t="s">
        <v>47093</v>
      </c>
      <c r="H14998" t="s">
        <v>47153</v>
      </c>
      <c r="I14998" t="s">
        <v>47132</v>
      </c>
      <c r="J14998" t="s">
        <v>47133</v>
      </c>
      <c r="K14998" t="s">
        <v>47113</v>
      </c>
      <c r="L14998">
        <v>44.65</v>
      </c>
      <c r="M14998">
        <v>80</v>
      </c>
      <c r="N14998">
        <v>0</v>
      </c>
      <c r="O14998">
        <v>80</v>
      </c>
      <c r="P14998">
        <v>0</v>
      </c>
    </row>
    <row r="14999" spans="1:16" x14ac:dyDescent="0.25">
      <c r="A14999" t="s">
        <v>37694</v>
      </c>
      <c r="B14999" t="s">
        <v>10327</v>
      </c>
      <c r="C14999" t="s">
        <v>508</v>
      </c>
      <c r="D14999" t="s">
        <v>10295</v>
      </c>
      <c r="E14999" t="s">
        <v>10296</v>
      </c>
      <c r="F14999" t="s">
        <v>2068</v>
      </c>
      <c r="G14999" t="s">
        <v>47093</v>
      </c>
      <c r="H14999" t="s">
        <v>47153</v>
      </c>
      <c r="I14999" t="s">
        <v>47132</v>
      </c>
      <c r="J14999" t="s">
        <v>47133</v>
      </c>
      <c r="K14999" t="s">
        <v>47113</v>
      </c>
      <c r="L14999">
        <v>40.04</v>
      </c>
      <c r="M14999">
        <v>76</v>
      </c>
      <c r="N14999">
        <v>0</v>
      </c>
      <c r="O14999">
        <v>76</v>
      </c>
      <c r="P14999">
        <v>0</v>
      </c>
    </row>
    <row r="15000" spans="1:16" x14ac:dyDescent="0.25">
      <c r="A15000" t="s">
        <v>14650</v>
      </c>
      <c r="B15000" t="s">
        <v>10328</v>
      </c>
      <c r="C15000" t="s">
        <v>508</v>
      </c>
      <c r="D15000" t="s">
        <v>3919</v>
      </c>
      <c r="E15000" t="s">
        <v>3920</v>
      </c>
      <c r="F15000" t="s">
        <v>2068</v>
      </c>
      <c r="G15000" t="s">
        <v>47093</v>
      </c>
      <c r="H15000" t="s">
        <v>47153</v>
      </c>
      <c r="I15000" t="s">
        <v>47132</v>
      </c>
      <c r="J15000" t="s">
        <v>47133</v>
      </c>
      <c r="K15000" t="s">
        <v>47113</v>
      </c>
      <c r="L15000">
        <v>33.29</v>
      </c>
      <c r="M15000">
        <v>69</v>
      </c>
      <c r="N15000">
        <v>0</v>
      </c>
      <c r="O15000">
        <v>69</v>
      </c>
      <c r="P15000">
        <v>0</v>
      </c>
    </row>
    <row r="15001" spans="1:16" x14ac:dyDescent="0.25">
      <c r="A15001" t="s">
        <v>14651</v>
      </c>
      <c r="B15001" t="s">
        <v>10329</v>
      </c>
      <c r="C15001" t="s">
        <v>10330</v>
      </c>
      <c r="D15001" t="s">
        <v>10280</v>
      </c>
      <c r="E15001" t="s">
        <v>10281</v>
      </c>
      <c r="F15001" t="s">
        <v>2068</v>
      </c>
      <c r="G15001" t="s">
        <v>47093</v>
      </c>
      <c r="H15001" t="s">
        <v>47153</v>
      </c>
      <c r="I15001" t="s">
        <v>47132</v>
      </c>
      <c r="J15001" t="s">
        <v>47133</v>
      </c>
      <c r="K15001" t="s">
        <v>47113</v>
      </c>
      <c r="L15001">
        <v>54.85</v>
      </c>
      <c r="M15001">
        <v>99</v>
      </c>
      <c r="N15001">
        <v>0</v>
      </c>
      <c r="O15001">
        <v>99</v>
      </c>
      <c r="P15001">
        <v>0</v>
      </c>
    </row>
    <row r="15002" spans="1:16" x14ac:dyDescent="0.25">
      <c r="A15002" t="s">
        <v>37695</v>
      </c>
      <c r="B15002" t="s">
        <v>10331</v>
      </c>
      <c r="C15002" t="s">
        <v>10332</v>
      </c>
      <c r="D15002" t="s">
        <v>10304</v>
      </c>
      <c r="E15002" t="s">
        <v>10305</v>
      </c>
      <c r="F15002" t="s">
        <v>2068</v>
      </c>
      <c r="G15002" t="s">
        <v>47093</v>
      </c>
      <c r="H15002" t="s">
        <v>47153</v>
      </c>
      <c r="I15002" t="s">
        <v>47132</v>
      </c>
      <c r="J15002" t="s">
        <v>47133</v>
      </c>
      <c r="K15002" t="s">
        <v>47113</v>
      </c>
      <c r="L15002">
        <v>48.65</v>
      </c>
      <c r="M15002">
        <v>82</v>
      </c>
      <c r="N15002">
        <v>0</v>
      </c>
      <c r="O15002">
        <v>82</v>
      </c>
      <c r="P15002">
        <v>0</v>
      </c>
    </row>
    <row r="15003" spans="1:16" x14ac:dyDescent="0.25">
      <c r="A15003" t="s">
        <v>14652</v>
      </c>
      <c r="B15003" t="s">
        <v>10333</v>
      </c>
      <c r="C15003" t="s">
        <v>10334</v>
      </c>
      <c r="D15003" t="s">
        <v>10288</v>
      </c>
      <c r="E15003" t="s">
        <v>10289</v>
      </c>
      <c r="F15003" t="s">
        <v>2068</v>
      </c>
      <c r="G15003" t="s">
        <v>47093</v>
      </c>
      <c r="H15003" t="s">
        <v>47153</v>
      </c>
      <c r="I15003" t="s">
        <v>47132</v>
      </c>
      <c r="J15003" t="s">
        <v>47133</v>
      </c>
      <c r="K15003" t="s">
        <v>47113</v>
      </c>
      <c r="L15003">
        <v>58.27</v>
      </c>
      <c r="M15003">
        <v>100</v>
      </c>
      <c r="N15003">
        <v>0</v>
      </c>
      <c r="O15003">
        <v>100</v>
      </c>
      <c r="P15003">
        <v>0</v>
      </c>
    </row>
    <row r="15004" spans="1:16" x14ac:dyDescent="0.25">
      <c r="A15004" t="s">
        <v>37696</v>
      </c>
      <c r="B15004" t="s">
        <v>10335</v>
      </c>
      <c r="C15004" t="s">
        <v>10336</v>
      </c>
      <c r="D15004" t="s">
        <v>10275</v>
      </c>
      <c r="E15004" t="s">
        <v>10276</v>
      </c>
      <c r="F15004" t="s">
        <v>2068</v>
      </c>
      <c r="G15004" t="s">
        <v>47093</v>
      </c>
      <c r="H15004" t="s">
        <v>47153</v>
      </c>
      <c r="I15004" t="s">
        <v>47132</v>
      </c>
      <c r="J15004" t="s">
        <v>47133</v>
      </c>
      <c r="K15004" t="s">
        <v>47113</v>
      </c>
      <c r="L15004">
        <v>44.66</v>
      </c>
      <c r="M15004">
        <v>84</v>
      </c>
      <c r="N15004">
        <v>0</v>
      </c>
      <c r="O15004">
        <v>84</v>
      </c>
      <c r="P15004">
        <v>0</v>
      </c>
    </row>
    <row r="15005" spans="1:16" x14ac:dyDescent="0.25">
      <c r="A15005" t="s">
        <v>37697</v>
      </c>
      <c r="B15005" t="s">
        <v>10337</v>
      </c>
      <c r="C15005" t="s">
        <v>10336</v>
      </c>
      <c r="D15005" t="s">
        <v>10278</v>
      </c>
      <c r="E15005" t="s">
        <v>10279</v>
      </c>
      <c r="F15005" t="s">
        <v>2068</v>
      </c>
      <c r="G15005" t="s">
        <v>47093</v>
      </c>
      <c r="H15005" t="s">
        <v>47153</v>
      </c>
      <c r="I15005" t="s">
        <v>47132</v>
      </c>
      <c r="J15005" t="s">
        <v>47133</v>
      </c>
      <c r="K15005" t="s">
        <v>47113</v>
      </c>
      <c r="L15005">
        <v>47.5</v>
      </c>
      <c r="M15005">
        <v>84</v>
      </c>
      <c r="N15005">
        <v>0</v>
      </c>
      <c r="O15005">
        <v>84</v>
      </c>
      <c r="P15005">
        <v>0</v>
      </c>
    </row>
    <row r="15006" spans="1:16" x14ac:dyDescent="0.25">
      <c r="A15006" t="s">
        <v>37698</v>
      </c>
      <c r="B15006" t="s">
        <v>10337</v>
      </c>
      <c r="C15006" t="s">
        <v>10336</v>
      </c>
      <c r="D15006" t="s">
        <v>10292</v>
      </c>
      <c r="E15006" t="s">
        <v>10293</v>
      </c>
      <c r="F15006" t="s">
        <v>2068</v>
      </c>
      <c r="G15006" t="s">
        <v>47093</v>
      </c>
      <c r="H15006" t="s">
        <v>47153</v>
      </c>
      <c r="I15006" t="s">
        <v>47132</v>
      </c>
      <c r="J15006" t="s">
        <v>47133</v>
      </c>
      <c r="K15006" t="s">
        <v>47113</v>
      </c>
      <c r="L15006">
        <v>43.83</v>
      </c>
      <c r="M15006">
        <v>82</v>
      </c>
      <c r="N15006">
        <v>0</v>
      </c>
      <c r="O15006">
        <v>82</v>
      </c>
      <c r="P15006">
        <v>0</v>
      </c>
    </row>
    <row r="15007" spans="1:16" x14ac:dyDescent="0.25">
      <c r="A15007" t="s">
        <v>37699</v>
      </c>
      <c r="B15007" t="s">
        <v>10338</v>
      </c>
      <c r="C15007" t="s">
        <v>10336</v>
      </c>
      <c r="D15007" t="s">
        <v>10295</v>
      </c>
      <c r="E15007" t="s">
        <v>10296</v>
      </c>
      <c r="F15007" t="s">
        <v>2068</v>
      </c>
      <c r="G15007" t="s">
        <v>47093</v>
      </c>
      <c r="H15007" t="s">
        <v>47153</v>
      </c>
      <c r="I15007" t="s">
        <v>47132</v>
      </c>
      <c r="J15007" t="s">
        <v>47133</v>
      </c>
      <c r="K15007" t="s">
        <v>47113</v>
      </c>
      <c r="L15007">
        <v>40.75</v>
      </c>
      <c r="M15007">
        <v>76</v>
      </c>
      <c r="N15007">
        <v>0</v>
      </c>
      <c r="O15007">
        <v>76</v>
      </c>
      <c r="P15007">
        <v>0</v>
      </c>
    </row>
    <row r="15008" spans="1:16" x14ac:dyDescent="0.25">
      <c r="A15008" t="s">
        <v>37700</v>
      </c>
      <c r="B15008" t="s">
        <v>10339</v>
      </c>
      <c r="C15008" t="s">
        <v>10336</v>
      </c>
      <c r="D15008" t="s">
        <v>10283</v>
      </c>
      <c r="E15008" t="s">
        <v>10284</v>
      </c>
      <c r="F15008" t="s">
        <v>2068</v>
      </c>
      <c r="G15008" t="s">
        <v>47093</v>
      </c>
      <c r="H15008" t="s">
        <v>47153</v>
      </c>
      <c r="I15008" t="s">
        <v>47132</v>
      </c>
      <c r="J15008" t="s">
        <v>47133</v>
      </c>
      <c r="K15008" t="s">
        <v>47113</v>
      </c>
      <c r="L15008">
        <v>45.72</v>
      </c>
      <c r="M15008">
        <v>84</v>
      </c>
      <c r="N15008">
        <v>0</v>
      </c>
      <c r="O15008">
        <v>84</v>
      </c>
      <c r="P15008">
        <v>0</v>
      </c>
    </row>
    <row r="15009" spans="1:16" x14ac:dyDescent="0.25">
      <c r="A15009" t="s">
        <v>37701</v>
      </c>
      <c r="B15009" t="s">
        <v>10339</v>
      </c>
      <c r="C15009" t="s">
        <v>10336</v>
      </c>
      <c r="D15009" t="s">
        <v>10285</v>
      </c>
      <c r="E15009" t="s">
        <v>10286</v>
      </c>
      <c r="F15009" t="s">
        <v>2068</v>
      </c>
      <c r="G15009" t="s">
        <v>47093</v>
      </c>
      <c r="H15009" t="s">
        <v>47153</v>
      </c>
      <c r="I15009" t="s">
        <v>47132</v>
      </c>
      <c r="J15009" t="s">
        <v>47133</v>
      </c>
      <c r="K15009" t="s">
        <v>47113</v>
      </c>
      <c r="L15009">
        <v>48.93</v>
      </c>
      <c r="M15009">
        <v>94</v>
      </c>
      <c r="N15009">
        <v>0</v>
      </c>
      <c r="O15009">
        <v>94</v>
      </c>
      <c r="P15009">
        <v>0</v>
      </c>
    </row>
    <row r="15010" spans="1:16" x14ac:dyDescent="0.25">
      <c r="A15010" t="s">
        <v>14653</v>
      </c>
      <c r="B15010" t="s">
        <v>10340</v>
      </c>
      <c r="C15010" t="s">
        <v>10341</v>
      </c>
      <c r="D15010" t="s">
        <v>3919</v>
      </c>
      <c r="E15010" t="s">
        <v>3920</v>
      </c>
      <c r="F15010" t="s">
        <v>2068</v>
      </c>
      <c r="G15010" t="s">
        <v>47093</v>
      </c>
      <c r="H15010" t="s">
        <v>47153</v>
      </c>
      <c r="I15010" t="s">
        <v>47132</v>
      </c>
      <c r="J15010" t="s">
        <v>47133</v>
      </c>
      <c r="K15010" t="s">
        <v>47113</v>
      </c>
      <c r="L15010">
        <v>33.770000000000003</v>
      </c>
      <c r="M15010">
        <v>69</v>
      </c>
      <c r="N15010">
        <v>0</v>
      </c>
      <c r="O15010">
        <v>69</v>
      </c>
      <c r="P15010">
        <v>0</v>
      </c>
    </row>
    <row r="15011" spans="1:16" x14ac:dyDescent="0.25">
      <c r="A15011" t="s">
        <v>37702</v>
      </c>
      <c r="B15011" t="s">
        <v>10342</v>
      </c>
      <c r="C15011" t="s">
        <v>10343</v>
      </c>
      <c r="D15011" t="s">
        <v>3774</v>
      </c>
      <c r="E15011" t="s">
        <v>3775</v>
      </c>
      <c r="F15011" t="s">
        <v>2068</v>
      </c>
      <c r="G15011" t="s">
        <v>47093</v>
      </c>
      <c r="H15011" t="s">
        <v>47153</v>
      </c>
      <c r="I15011" t="s">
        <v>47132</v>
      </c>
      <c r="J15011" t="s">
        <v>47133</v>
      </c>
      <c r="K15011" t="s">
        <v>47113</v>
      </c>
      <c r="L15011">
        <v>44.57</v>
      </c>
      <c r="M15011">
        <v>84</v>
      </c>
      <c r="N15011">
        <v>0</v>
      </c>
      <c r="O15011">
        <v>84</v>
      </c>
      <c r="P15011">
        <v>0</v>
      </c>
    </row>
    <row r="15012" spans="1:16" x14ac:dyDescent="0.25">
      <c r="A15012" t="s">
        <v>37703</v>
      </c>
      <c r="B15012" t="s">
        <v>10344</v>
      </c>
      <c r="C15012" t="s">
        <v>10345</v>
      </c>
      <c r="D15012" t="s">
        <v>10275</v>
      </c>
      <c r="E15012" t="s">
        <v>10276</v>
      </c>
      <c r="F15012" t="s">
        <v>2068</v>
      </c>
      <c r="G15012" t="s">
        <v>47093</v>
      </c>
      <c r="H15012" t="s">
        <v>47153</v>
      </c>
      <c r="I15012" t="s">
        <v>47132</v>
      </c>
      <c r="J15012" t="s">
        <v>47133</v>
      </c>
      <c r="K15012" t="s">
        <v>47113</v>
      </c>
      <c r="L15012">
        <v>44.66</v>
      </c>
      <c r="M15012">
        <v>84</v>
      </c>
      <c r="N15012">
        <v>0</v>
      </c>
      <c r="O15012">
        <v>84</v>
      </c>
      <c r="P15012">
        <v>0</v>
      </c>
    </row>
    <row r="15013" spans="1:16" x14ac:dyDescent="0.25">
      <c r="A15013" t="s">
        <v>37704</v>
      </c>
      <c r="B15013" t="s">
        <v>10346</v>
      </c>
      <c r="C15013" t="s">
        <v>10345</v>
      </c>
      <c r="D15013" t="s">
        <v>10278</v>
      </c>
      <c r="E15013" t="s">
        <v>10279</v>
      </c>
      <c r="F15013" t="s">
        <v>2068</v>
      </c>
      <c r="G15013" t="s">
        <v>47093</v>
      </c>
      <c r="H15013" t="s">
        <v>47153</v>
      </c>
      <c r="I15013" t="s">
        <v>47132</v>
      </c>
      <c r="J15013" t="s">
        <v>47133</v>
      </c>
      <c r="K15013" t="s">
        <v>47113</v>
      </c>
      <c r="L15013">
        <v>44.18</v>
      </c>
      <c r="M15013">
        <v>84</v>
      </c>
      <c r="N15013">
        <v>0</v>
      </c>
      <c r="O15013">
        <v>84</v>
      </c>
      <c r="P15013">
        <v>0</v>
      </c>
    </row>
    <row r="15014" spans="1:16" x14ac:dyDescent="0.25">
      <c r="A15014" t="s">
        <v>37705</v>
      </c>
      <c r="B15014" t="s">
        <v>10346</v>
      </c>
      <c r="C15014" t="s">
        <v>10345</v>
      </c>
      <c r="D15014" t="s">
        <v>10292</v>
      </c>
      <c r="E15014" t="s">
        <v>10293</v>
      </c>
      <c r="F15014" t="s">
        <v>2068</v>
      </c>
      <c r="G15014" t="s">
        <v>47093</v>
      </c>
      <c r="H15014" t="s">
        <v>47153</v>
      </c>
      <c r="I15014" t="s">
        <v>47132</v>
      </c>
      <c r="J15014" t="s">
        <v>47133</v>
      </c>
      <c r="K15014" t="s">
        <v>47113</v>
      </c>
      <c r="L15014">
        <v>44.18</v>
      </c>
      <c r="M15014">
        <v>82</v>
      </c>
      <c r="N15014">
        <v>0</v>
      </c>
      <c r="O15014">
        <v>82</v>
      </c>
      <c r="P15014">
        <v>0</v>
      </c>
    </row>
    <row r="15015" spans="1:16" x14ac:dyDescent="0.25">
      <c r="A15015" t="s">
        <v>37706</v>
      </c>
      <c r="B15015" t="s">
        <v>10347</v>
      </c>
      <c r="C15015" t="s">
        <v>10348</v>
      </c>
      <c r="D15015" t="s">
        <v>10302</v>
      </c>
      <c r="E15015" t="s">
        <v>10303</v>
      </c>
      <c r="F15015" t="s">
        <v>2068</v>
      </c>
      <c r="G15015" t="s">
        <v>47093</v>
      </c>
      <c r="H15015" t="s">
        <v>47153</v>
      </c>
      <c r="I15015" t="s">
        <v>47132</v>
      </c>
      <c r="J15015" t="s">
        <v>47133</v>
      </c>
      <c r="K15015" t="s">
        <v>47113</v>
      </c>
      <c r="L15015">
        <v>44.04</v>
      </c>
      <c r="M15015">
        <v>80</v>
      </c>
      <c r="N15015">
        <v>0</v>
      </c>
      <c r="O15015">
        <v>80</v>
      </c>
      <c r="P15015">
        <v>0</v>
      </c>
    </row>
    <row r="15016" spans="1:16" x14ac:dyDescent="0.25">
      <c r="A15016" t="s">
        <v>37707</v>
      </c>
      <c r="B15016" t="s">
        <v>10347</v>
      </c>
      <c r="C15016" t="s">
        <v>10348</v>
      </c>
      <c r="D15016" t="s">
        <v>10304</v>
      </c>
      <c r="E15016" t="s">
        <v>10305</v>
      </c>
      <c r="F15016" t="s">
        <v>2068</v>
      </c>
      <c r="G15016" t="s">
        <v>47093</v>
      </c>
      <c r="H15016" t="s">
        <v>47153</v>
      </c>
      <c r="I15016" t="s">
        <v>47132</v>
      </c>
      <c r="J15016" t="s">
        <v>47133</v>
      </c>
      <c r="K15016" t="s">
        <v>47113</v>
      </c>
      <c r="L15016">
        <v>48.65</v>
      </c>
      <c r="M15016">
        <v>82</v>
      </c>
      <c r="N15016">
        <v>0</v>
      </c>
      <c r="O15016">
        <v>82</v>
      </c>
      <c r="P15016">
        <v>0</v>
      </c>
    </row>
    <row r="15017" spans="1:16" x14ac:dyDescent="0.25">
      <c r="A15017" t="s">
        <v>37708</v>
      </c>
      <c r="B15017" t="s">
        <v>10349</v>
      </c>
      <c r="C15017" t="s">
        <v>10350</v>
      </c>
      <c r="D15017" t="s">
        <v>10295</v>
      </c>
      <c r="E15017" t="s">
        <v>10296</v>
      </c>
      <c r="F15017" t="s">
        <v>2068</v>
      </c>
      <c r="G15017" t="s">
        <v>47093</v>
      </c>
      <c r="H15017" t="s">
        <v>47153</v>
      </c>
      <c r="I15017" t="s">
        <v>47132</v>
      </c>
      <c r="J15017" t="s">
        <v>47133</v>
      </c>
      <c r="K15017" t="s">
        <v>47113</v>
      </c>
      <c r="L15017">
        <v>40.75</v>
      </c>
      <c r="M15017">
        <v>76</v>
      </c>
      <c r="N15017">
        <v>0</v>
      </c>
      <c r="O15017">
        <v>76</v>
      </c>
      <c r="P15017">
        <v>0</v>
      </c>
    </row>
    <row r="15018" spans="1:16" x14ac:dyDescent="0.25">
      <c r="A15018" t="s">
        <v>14654</v>
      </c>
      <c r="B15018" t="s">
        <v>10351</v>
      </c>
      <c r="C15018" t="s">
        <v>10350</v>
      </c>
      <c r="D15018" t="s">
        <v>10283</v>
      </c>
      <c r="E15018" t="s">
        <v>10284</v>
      </c>
      <c r="F15018" t="s">
        <v>2068</v>
      </c>
      <c r="G15018" t="s">
        <v>47093</v>
      </c>
      <c r="H15018" t="s">
        <v>47153</v>
      </c>
      <c r="I15018" t="s">
        <v>47132</v>
      </c>
      <c r="J15018" t="s">
        <v>47133</v>
      </c>
      <c r="K15018" t="s">
        <v>47113</v>
      </c>
      <c r="L15018">
        <v>44.07</v>
      </c>
      <c r="M15018">
        <v>84</v>
      </c>
      <c r="N15018">
        <v>0</v>
      </c>
      <c r="O15018">
        <v>84</v>
      </c>
      <c r="P15018">
        <v>0</v>
      </c>
    </row>
    <row r="15019" spans="1:16" x14ac:dyDescent="0.25">
      <c r="A15019" t="s">
        <v>37709</v>
      </c>
      <c r="B15019" t="s">
        <v>10351</v>
      </c>
      <c r="C15019" t="s">
        <v>10350</v>
      </c>
      <c r="D15019" t="s">
        <v>10285</v>
      </c>
      <c r="E15019" t="s">
        <v>10286</v>
      </c>
      <c r="F15019" t="s">
        <v>2068</v>
      </c>
      <c r="G15019" t="s">
        <v>47093</v>
      </c>
      <c r="H15019" t="s">
        <v>47153</v>
      </c>
      <c r="I15019" t="s">
        <v>47132</v>
      </c>
      <c r="J15019" t="s">
        <v>47133</v>
      </c>
      <c r="K15019" t="s">
        <v>47113</v>
      </c>
      <c r="L15019">
        <v>48.93</v>
      </c>
      <c r="M15019">
        <v>94</v>
      </c>
      <c r="N15019">
        <v>0</v>
      </c>
      <c r="O15019">
        <v>94</v>
      </c>
      <c r="P15019">
        <v>0</v>
      </c>
    </row>
    <row r="15020" spans="1:16" x14ac:dyDescent="0.25">
      <c r="A15020" t="s">
        <v>37710</v>
      </c>
      <c r="B15020" t="s">
        <v>10352</v>
      </c>
      <c r="C15020" t="s">
        <v>10353</v>
      </c>
      <c r="D15020" t="s">
        <v>10278</v>
      </c>
      <c r="E15020" t="s">
        <v>10279</v>
      </c>
      <c r="F15020" t="s">
        <v>2068</v>
      </c>
      <c r="G15020" t="s">
        <v>47093</v>
      </c>
      <c r="H15020" t="s">
        <v>47153</v>
      </c>
      <c r="I15020" t="s">
        <v>47132</v>
      </c>
      <c r="J15020" t="s">
        <v>47133</v>
      </c>
      <c r="K15020" t="s">
        <v>47113</v>
      </c>
      <c r="L15020">
        <v>42.05</v>
      </c>
      <c r="M15020">
        <v>84</v>
      </c>
      <c r="N15020">
        <v>0</v>
      </c>
      <c r="O15020">
        <v>84</v>
      </c>
      <c r="P15020">
        <v>0</v>
      </c>
    </row>
    <row r="15021" spans="1:16" x14ac:dyDescent="0.25">
      <c r="A15021" t="s">
        <v>37711</v>
      </c>
      <c r="B15021" t="s">
        <v>10352</v>
      </c>
      <c r="C15021" t="s">
        <v>10353</v>
      </c>
      <c r="D15021" t="s">
        <v>10292</v>
      </c>
      <c r="E15021" t="s">
        <v>10293</v>
      </c>
      <c r="F15021" t="s">
        <v>2068</v>
      </c>
      <c r="G15021" t="s">
        <v>47093</v>
      </c>
      <c r="H15021" t="s">
        <v>47153</v>
      </c>
      <c r="I15021" t="s">
        <v>47132</v>
      </c>
      <c r="J15021" t="s">
        <v>47133</v>
      </c>
      <c r="K15021" t="s">
        <v>47113</v>
      </c>
      <c r="L15021">
        <v>44.18</v>
      </c>
      <c r="M15021">
        <v>82</v>
      </c>
      <c r="N15021">
        <v>0</v>
      </c>
      <c r="O15021">
        <v>82</v>
      </c>
      <c r="P15021">
        <v>0</v>
      </c>
    </row>
    <row r="15022" spans="1:16" x14ac:dyDescent="0.25">
      <c r="A15022" t="s">
        <v>15070</v>
      </c>
      <c r="B15022" t="s">
        <v>10354</v>
      </c>
      <c r="C15022" t="s">
        <v>3856</v>
      </c>
      <c r="D15022" t="str">
        <f>"1377"</f>
        <v>1377</v>
      </c>
      <c r="E15022" t="s">
        <v>74</v>
      </c>
      <c r="F15022" t="s">
        <v>2068</v>
      </c>
      <c r="G15022" t="s">
        <v>47095</v>
      </c>
      <c r="H15022" t="s">
        <v>47126</v>
      </c>
      <c r="I15022" t="s">
        <v>47127</v>
      </c>
      <c r="J15022" t="s">
        <v>47128</v>
      </c>
      <c r="K15022" t="s">
        <v>47113</v>
      </c>
      <c r="L15022">
        <v>21.38</v>
      </c>
      <c r="M15022">
        <v>53</v>
      </c>
      <c r="N15022">
        <v>0</v>
      </c>
      <c r="O15022">
        <v>53</v>
      </c>
      <c r="P15022">
        <v>0</v>
      </c>
    </row>
    <row r="15023" spans="1:16" x14ac:dyDescent="0.25">
      <c r="A15023" t="s">
        <v>37712</v>
      </c>
      <c r="B15023" t="s">
        <v>10354</v>
      </c>
      <c r="C15023" t="s">
        <v>3856</v>
      </c>
      <c r="D15023" t="str">
        <f>"1378"</f>
        <v>1378</v>
      </c>
      <c r="E15023" t="s">
        <v>388</v>
      </c>
      <c r="F15023" t="s">
        <v>2068</v>
      </c>
      <c r="G15023" t="s">
        <v>47095</v>
      </c>
      <c r="H15023" t="s">
        <v>47126</v>
      </c>
      <c r="I15023" t="s">
        <v>47127</v>
      </c>
      <c r="J15023" t="s">
        <v>47128</v>
      </c>
      <c r="K15023" t="s">
        <v>47113</v>
      </c>
      <c r="L15023">
        <v>21.38</v>
      </c>
      <c r="M15023">
        <v>53</v>
      </c>
      <c r="N15023">
        <v>0</v>
      </c>
      <c r="O15023">
        <v>53</v>
      </c>
      <c r="P15023">
        <v>0</v>
      </c>
    </row>
    <row r="15024" spans="1:16" x14ac:dyDescent="0.25">
      <c r="A15024" t="s">
        <v>37713</v>
      </c>
      <c r="B15024" t="s">
        <v>10354</v>
      </c>
      <c r="C15024" t="s">
        <v>3856</v>
      </c>
      <c r="D15024" t="str">
        <f>"1403"</f>
        <v>1403</v>
      </c>
      <c r="E15024" t="s">
        <v>224</v>
      </c>
      <c r="F15024" t="s">
        <v>2068</v>
      </c>
      <c r="G15024" t="s">
        <v>47095</v>
      </c>
      <c r="H15024" t="s">
        <v>47126</v>
      </c>
      <c r="I15024" t="s">
        <v>47127</v>
      </c>
      <c r="J15024" t="s">
        <v>47128</v>
      </c>
      <c r="K15024" t="s">
        <v>47113</v>
      </c>
      <c r="L15024">
        <v>21.38</v>
      </c>
      <c r="M15024">
        <v>53</v>
      </c>
      <c r="N15024">
        <v>0</v>
      </c>
      <c r="O15024">
        <v>53</v>
      </c>
      <c r="P15024">
        <v>0</v>
      </c>
    </row>
    <row r="15025" spans="1:16" x14ac:dyDescent="0.25">
      <c r="A15025" t="s">
        <v>37714</v>
      </c>
      <c r="B15025" t="s">
        <v>10354</v>
      </c>
      <c r="C15025" t="s">
        <v>3856</v>
      </c>
      <c r="D15025" t="str">
        <f>"4201"</f>
        <v>4201</v>
      </c>
      <c r="E15025" t="s">
        <v>1855</v>
      </c>
      <c r="F15025" t="s">
        <v>2068</v>
      </c>
      <c r="G15025" t="s">
        <v>47095</v>
      </c>
      <c r="H15025" t="s">
        <v>47126</v>
      </c>
      <c r="I15025" t="s">
        <v>47127</v>
      </c>
      <c r="J15025" t="s">
        <v>47128</v>
      </c>
      <c r="K15025" t="s">
        <v>47113</v>
      </c>
      <c r="L15025">
        <v>21.38</v>
      </c>
      <c r="M15025">
        <v>53</v>
      </c>
      <c r="N15025">
        <v>0</v>
      </c>
      <c r="O15025">
        <v>53</v>
      </c>
      <c r="P15025">
        <v>0</v>
      </c>
    </row>
    <row r="15026" spans="1:16" x14ac:dyDescent="0.25">
      <c r="A15026" t="s">
        <v>37715</v>
      </c>
      <c r="B15026" t="s">
        <v>10354</v>
      </c>
      <c r="C15026" t="s">
        <v>3856</v>
      </c>
      <c r="D15026" t="str">
        <f>"6276"</f>
        <v>6276</v>
      </c>
      <c r="E15026" t="s">
        <v>3867</v>
      </c>
      <c r="F15026" t="s">
        <v>2068</v>
      </c>
      <c r="G15026" t="s">
        <v>47095</v>
      </c>
      <c r="H15026" t="s">
        <v>47126</v>
      </c>
      <c r="I15026" t="s">
        <v>47127</v>
      </c>
      <c r="J15026" t="s">
        <v>47128</v>
      </c>
      <c r="K15026" t="s">
        <v>47113</v>
      </c>
      <c r="L15026">
        <v>21.38</v>
      </c>
      <c r="M15026">
        <v>53</v>
      </c>
      <c r="N15026">
        <v>0</v>
      </c>
      <c r="O15026">
        <v>53</v>
      </c>
      <c r="P15026">
        <v>0</v>
      </c>
    </row>
    <row r="15027" spans="1:16" x14ac:dyDescent="0.25">
      <c r="A15027" t="s">
        <v>37716</v>
      </c>
      <c r="B15027" t="s">
        <v>10355</v>
      </c>
      <c r="C15027" t="s">
        <v>387</v>
      </c>
      <c r="D15027" t="str">
        <f>"1106"</f>
        <v>1106</v>
      </c>
      <c r="E15027" t="s">
        <v>460</v>
      </c>
      <c r="F15027" t="s">
        <v>2068</v>
      </c>
      <c r="G15027" t="s">
        <v>47094</v>
      </c>
      <c r="H15027" t="s">
        <v>47126</v>
      </c>
      <c r="I15027" t="s">
        <v>47127</v>
      </c>
      <c r="J15027" t="s">
        <v>47128</v>
      </c>
      <c r="K15027" t="s">
        <v>47113</v>
      </c>
      <c r="L15027">
        <v>33.21</v>
      </c>
      <c r="M15027">
        <v>80</v>
      </c>
      <c r="N15027">
        <v>0</v>
      </c>
      <c r="O15027">
        <v>80</v>
      </c>
      <c r="P15027">
        <v>0</v>
      </c>
    </row>
    <row r="15028" spans="1:16" x14ac:dyDescent="0.25">
      <c r="A15028" t="s">
        <v>37717</v>
      </c>
      <c r="B15028" t="s">
        <v>10355</v>
      </c>
      <c r="C15028" t="s">
        <v>387</v>
      </c>
      <c r="D15028" t="str">
        <f>"1285"</f>
        <v>1285</v>
      </c>
      <c r="E15028" t="s">
        <v>2148</v>
      </c>
      <c r="F15028" t="s">
        <v>2068</v>
      </c>
      <c r="G15028" t="s">
        <v>47094</v>
      </c>
      <c r="H15028" t="s">
        <v>47126</v>
      </c>
      <c r="I15028" t="s">
        <v>47127</v>
      </c>
      <c r="J15028" t="s">
        <v>47128</v>
      </c>
      <c r="K15028" t="s">
        <v>47113</v>
      </c>
      <c r="L15028">
        <v>33.21</v>
      </c>
      <c r="M15028">
        <v>80</v>
      </c>
      <c r="N15028">
        <v>0</v>
      </c>
      <c r="O15028">
        <v>80</v>
      </c>
      <c r="P15028">
        <v>0</v>
      </c>
    </row>
    <row r="15029" spans="1:16" x14ac:dyDescent="0.25">
      <c r="A15029" t="s">
        <v>37718</v>
      </c>
      <c r="B15029" t="s">
        <v>10355</v>
      </c>
      <c r="C15029" t="s">
        <v>387</v>
      </c>
      <c r="D15029" t="str">
        <f>"1377"</f>
        <v>1377</v>
      </c>
      <c r="E15029" t="s">
        <v>74</v>
      </c>
      <c r="F15029" t="s">
        <v>2068</v>
      </c>
      <c r="G15029" t="s">
        <v>47094</v>
      </c>
      <c r="H15029" t="s">
        <v>47126</v>
      </c>
      <c r="I15029" t="s">
        <v>47127</v>
      </c>
      <c r="J15029" t="s">
        <v>47128</v>
      </c>
      <c r="K15029" t="s">
        <v>47113</v>
      </c>
      <c r="L15029">
        <v>33.21</v>
      </c>
      <c r="M15029">
        <v>80</v>
      </c>
      <c r="N15029">
        <v>0</v>
      </c>
      <c r="O15029">
        <v>80</v>
      </c>
      <c r="P15029">
        <v>0</v>
      </c>
    </row>
    <row r="15030" spans="1:16" x14ac:dyDescent="0.25">
      <c r="A15030" t="s">
        <v>37719</v>
      </c>
      <c r="B15030" t="s">
        <v>10355</v>
      </c>
      <c r="C15030" t="s">
        <v>387</v>
      </c>
      <c r="D15030" t="str">
        <f>"1378"</f>
        <v>1378</v>
      </c>
      <c r="E15030" t="s">
        <v>388</v>
      </c>
      <c r="F15030" t="s">
        <v>2068</v>
      </c>
      <c r="G15030" t="s">
        <v>47094</v>
      </c>
      <c r="H15030" t="s">
        <v>47126</v>
      </c>
      <c r="I15030" t="s">
        <v>47127</v>
      </c>
      <c r="J15030" t="s">
        <v>47128</v>
      </c>
      <c r="K15030" t="s">
        <v>47113</v>
      </c>
      <c r="L15030">
        <v>33.21</v>
      </c>
      <c r="M15030">
        <v>80</v>
      </c>
      <c r="N15030">
        <v>0</v>
      </c>
      <c r="O15030">
        <v>80</v>
      </c>
      <c r="P15030">
        <v>0</v>
      </c>
    </row>
    <row r="15031" spans="1:16" x14ac:dyDescent="0.25">
      <c r="A15031" t="s">
        <v>37720</v>
      </c>
      <c r="B15031" t="s">
        <v>10355</v>
      </c>
      <c r="C15031" t="s">
        <v>387</v>
      </c>
      <c r="D15031" t="str">
        <f>"1403"</f>
        <v>1403</v>
      </c>
      <c r="E15031" t="s">
        <v>224</v>
      </c>
      <c r="F15031" t="s">
        <v>2068</v>
      </c>
      <c r="G15031" t="s">
        <v>47094</v>
      </c>
      <c r="H15031" t="s">
        <v>47126</v>
      </c>
      <c r="I15031" t="s">
        <v>47127</v>
      </c>
      <c r="J15031" t="s">
        <v>47128</v>
      </c>
      <c r="K15031" t="s">
        <v>47113</v>
      </c>
      <c r="L15031">
        <v>33.21</v>
      </c>
      <c r="M15031">
        <v>80</v>
      </c>
      <c r="N15031">
        <v>0</v>
      </c>
      <c r="O15031">
        <v>80</v>
      </c>
      <c r="P15031">
        <v>0</v>
      </c>
    </row>
    <row r="15032" spans="1:16" x14ac:dyDescent="0.25">
      <c r="A15032" t="s">
        <v>37721</v>
      </c>
      <c r="B15032" t="s">
        <v>10355</v>
      </c>
      <c r="C15032" t="s">
        <v>387</v>
      </c>
      <c r="D15032" t="str">
        <f>"1700"</f>
        <v>1700</v>
      </c>
      <c r="E15032" t="s">
        <v>60</v>
      </c>
      <c r="F15032" t="s">
        <v>2068</v>
      </c>
      <c r="G15032" t="s">
        <v>47094</v>
      </c>
      <c r="H15032" t="s">
        <v>47126</v>
      </c>
      <c r="I15032" t="s">
        <v>47127</v>
      </c>
      <c r="J15032" t="s">
        <v>47128</v>
      </c>
      <c r="K15032" t="s">
        <v>47113</v>
      </c>
      <c r="L15032">
        <v>33.21</v>
      </c>
      <c r="M15032">
        <v>80</v>
      </c>
      <c r="N15032">
        <v>0</v>
      </c>
      <c r="O15032">
        <v>80</v>
      </c>
      <c r="P15032">
        <v>0</v>
      </c>
    </row>
    <row r="15033" spans="1:16" x14ac:dyDescent="0.25">
      <c r="A15033" t="s">
        <v>37722</v>
      </c>
      <c r="B15033" t="s">
        <v>10355</v>
      </c>
      <c r="C15033" t="s">
        <v>387</v>
      </c>
      <c r="D15033" t="str">
        <f>"2166"</f>
        <v>2166</v>
      </c>
      <c r="E15033" t="s">
        <v>80</v>
      </c>
      <c r="F15033" t="s">
        <v>2068</v>
      </c>
      <c r="G15033" t="s">
        <v>47094</v>
      </c>
      <c r="H15033" t="s">
        <v>47126</v>
      </c>
      <c r="I15033" t="s">
        <v>47127</v>
      </c>
      <c r="J15033" t="s">
        <v>47128</v>
      </c>
      <c r="K15033" t="s">
        <v>47113</v>
      </c>
      <c r="L15033">
        <v>33.21</v>
      </c>
      <c r="M15033">
        <v>80</v>
      </c>
      <c r="N15033">
        <v>0</v>
      </c>
      <c r="O15033">
        <v>80</v>
      </c>
      <c r="P15033">
        <v>0</v>
      </c>
    </row>
    <row r="15034" spans="1:16" x14ac:dyDescent="0.25">
      <c r="A15034" t="s">
        <v>37723</v>
      </c>
      <c r="B15034" t="s">
        <v>10355</v>
      </c>
      <c r="C15034" t="s">
        <v>387</v>
      </c>
      <c r="D15034" t="str">
        <f>"3501"</f>
        <v>3501</v>
      </c>
      <c r="E15034" t="s">
        <v>3758</v>
      </c>
      <c r="F15034" t="s">
        <v>2068</v>
      </c>
      <c r="G15034" t="s">
        <v>47094</v>
      </c>
      <c r="H15034" t="s">
        <v>47126</v>
      </c>
      <c r="I15034" t="s">
        <v>47127</v>
      </c>
      <c r="J15034" t="s">
        <v>47128</v>
      </c>
      <c r="K15034" t="s">
        <v>47113</v>
      </c>
      <c r="L15034">
        <v>33.21</v>
      </c>
      <c r="M15034">
        <v>80</v>
      </c>
      <c r="N15034">
        <v>0</v>
      </c>
      <c r="O15034">
        <v>80</v>
      </c>
      <c r="P15034">
        <v>0</v>
      </c>
    </row>
    <row r="15035" spans="1:16" x14ac:dyDescent="0.25">
      <c r="A15035" t="s">
        <v>37724</v>
      </c>
      <c r="B15035" t="s">
        <v>10355</v>
      </c>
      <c r="C15035" t="s">
        <v>387</v>
      </c>
      <c r="D15035" t="str">
        <f>"4000"</f>
        <v>4000</v>
      </c>
      <c r="E15035" t="s">
        <v>190</v>
      </c>
      <c r="F15035" t="s">
        <v>2068</v>
      </c>
      <c r="G15035" t="s">
        <v>47094</v>
      </c>
      <c r="H15035" t="s">
        <v>47126</v>
      </c>
      <c r="I15035" t="s">
        <v>47127</v>
      </c>
      <c r="J15035" t="s">
        <v>47128</v>
      </c>
      <c r="K15035" t="s">
        <v>47113</v>
      </c>
      <c r="L15035">
        <v>33.21</v>
      </c>
      <c r="M15035">
        <v>80</v>
      </c>
      <c r="N15035">
        <v>0</v>
      </c>
      <c r="O15035">
        <v>80</v>
      </c>
      <c r="P15035">
        <v>0</v>
      </c>
    </row>
    <row r="15036" spans="1:16" x14ac:dyDescent="0.25">
      <c r="A15036" t="s">
        <v>37725</v>
      </c>
      <c r="B15036" t="s">
        <v>10355</v>
      </c>
      <c r="C15036" t="s">
        <v>387</v>
      </c>
      <c r="D15036" t="str">
        <f>"4201"</f>
        <v>4201</v>
      </c>
      <c r="E15036" t="s">
        <v>1855</v>
      </c>
      <c r="F15036" t="s">
        <v>2068</v>
      </c>
      <c r="G15036" t="s">
        <v>47094</v>
      </c>
      <c r="H15036" t="s">
        <v>47126</v>
      </c>
      <c r="I15036" t="s">
        <v>47127</v>
      </c>
      <c r="J15036" t="s">
        <v>47128</v>
      </c>
      <c r="K15036" t="s">
        <v>47113</v>
      </c>
      <c r="L15036">
        <v>33.21</v>
      </c>
      <c r="M15036">
        <v>80</v>
      </c>
      <c r="N15036">
        <v>0</v>
      </c>
      <c r="O15036">
        <v>80</v>
      </c>
      <c r="P15036">
        <v>0</v>
      </c>
    </row>
    <row r="15037" spans="1:16" x14ac:dyDescent="0.25">
      <c r="A15037" t="s">
        <v>37726</v>
      </c>
      <c r="B15037" t="s">
        <v>10355</v>
      </c>
      <c r="C15037" t="s">
        <v>387</v>
      </c>
      <c r="D15037" t="str">
        <f>"4753"</f>
        <v>4753</v>
      </c>
      <c r="E15037" t="s">
        <v>3755</v>
      </c>
      <c r="F15037" t="s">
        <v>2068</v>
      </c>
      <c r="G15037" t="s">
        <v>47094</v>
      </c>
      <c r="H15037" t="s">
        <v>47126</v>
      </c>
      <c r="I15037" t="s">
        <v>47127</v>
      </c>
      <c r="J15037" t="s">
        <v>47128</v>
      </c>
      <c r="K15037" t="s">
        <v>47113</v>
      </c>
      <c r="L15037">
        <v>33.21</v>
      </c>
      <c r="M15037">
        <v>80</v>
      </c>
      <c r="N15037">
        <v>0</v>
      </c>
      <c r="O15037">
        <v>80</v>
      </c>
      <c r="P15037">
        <v>0</v>
      </c>
    </row>
    <row r="15038" spans="1:16" x14ac:dyDescent="0.25">
      <c r="A15038" t="s">
        <v>37727</v>
      </c>
      <c r="B15038" t="s">
        <v>10355</v>
      </c>
      <c r="C15038" t="s">
        <v>387</v>
      </c>
      <c r="D15038" t="str">
        <f>"6276"</f>
        <v>6276</v>
      </c>
      <c r="E15038" t="s">
        <v>3867</v>
      </c>
      <c r="F15038" t="s">
        <v>2068</v>
      </c>
      <c r="G15038" t="s">
        <v>47094</v>
      </c>
      <c r="H15038" t="s">
        <v>47126</v>
      </c>
      <c r="I15038" t="s">
        <v>47127</v>
      </c>
      <c r="J15038" t="s">
        <v>47128</v>
      </c>
      <c r="K15038" t="s">
        <v>47113</v>
      </c>
      <c r="L15038">
        <v>33.21</v>
      </c>
      <c r="M15038">
        <v>80</v>
      </c>
      <c r="N15038">
        <v>0</v>
      </c>
      <c r="O15038">
        <v>80</v>
      </c>
      <c r="P15038">
        <v>0</v>
      </c>
    </row>
    <row r="15039" spans="1:16" x14ac:dyDescent="0.25">
      <c r="A15039" t="s">
        <v>37728</v>
      </c>
      <c r="B15039" t="s">
        <v>10356</v>
      </c>
      <c r="C15039" t="s">
        <v>10357</v>
      </c>
      <c r="D15039" t="str">
        <f>"1285"</f>
        <v>1285</v>
      </c>
      <c r="E15039" t="s">
        <v>2148</v>
      </c>
      <c r="F15039" t="s">
        <v>2068</v>
      </c>
      <c r="G15039" t="s">
        <v>47096</v>
      </c>
      <c r="H15039" t="s">
        <v>47126</v>
      </c>
      <c r="I15039" t="s">
        <v>47127</v>
      </c>
      <c r="J15039" t="s">
        <v>47128</v>
      </c>
      <c r="K15039" t="s">
        <v>47113</v>
      </c>
      <c r="L15039">
        <v>21.38</v>
      </c>
      <c r="M15039">
        <v>53</v>
      </c>
      <c r="N15039">
        <v>0</v>
      </c>
      <c r="O15039">
        <v>53</v>
      </c>
      <c r="P15039">
        <v>0</v>
      </c>
    </row>
    <row r="15040" spans="1:16" x14ac:dyDescent="0.25">
      <c r="A15040" t="s">
        <v>37729</v>
      </c>
      <c r="B15040" t="s">
        <v>10356</v>
      </c>
      <c r="C15040" t="s">
        <v>10357</v>
      </c>
      <c r="D15040" t="str">
        <f>"1378"</f>
        <v>1378</v>
      </c>
      <c r="E15040" t="s">
        <v>388</v>
      </c>
      <c r="F15040" t="s">
        <v>2068</v>
      </c>
      <c r="G15040" t="s">
        <v>47096</v>
      </c>
      <c r="H15040" t="s">
        <v>47126</v>
      </c>
      <c r="I15040" t="s">
        <v>47127</v>
      </c>
      <c r="J15040" t="s">
        <v>47128</v>
      </c>
      <c r="K15040" t="s">
        <v>47113</v>
      </c>
      <c r="L15040">
        <v>21.38</v>
      </c>
      <c r="M15040">
        <v>53</v>
      </c>
      <c r="N15040">
        <v>0</v>
      </c>
      <c r="O15040">
        <v>53</v>
      </c>
      <c r="P15040">
        <v>0</v>
      </c>
    </row>
    <row r="15041" spans="1:16" x14ac:dyDescent="0.25">
      <c r="A15041" t="s">
        <v>37730</v>
      </c>
      <c r="B15041" t="s">
        <v>10356</v>
      </c>
      <c r="C15041" t="s">
        <v>10357</v>
      </c>
      <c r="D15041" t="str">
        <f>"2166"</f>
        <v>2166</v>
      </c>
      <c r="E15041" t="s">
        <v>80</v>
      </c>
      <c r="F15041" t="s">
        <v>2068</v>
      </c>
      <c r="G15041" t="s">
        <v>47096</v>
      </c>
      <c r="H15041" t="s">
        <v>47126</v>
      </c>
      <c r="I15041" t="s">
        <v>47127</v>
      </c>
      <c r="J15041" t="s">
        <v>47128</v>
      </c>
      <c r="K15041" t="s">
        <v>47113</v>
      </c>
      <c r="L15041">
        <v>21.38</v>
      </c>
      <c r="M15041">
        <v>53</v>
      </c>
      <c r="N15041">
        <v>0</v>
      </c>
      <c r="O15041">
        <v>53</v>
      </c>
      <c r="P15041">
        <v>0</v>
      </c>
    </row>
    <row r="15042" spans="1:16" x14ac:dyDescent="0.25">
      <c r="A15042" t="s">
        <v>37731</v>
      </c>
      <c r="B15042" t="s">
        <v>10358</v>
      </c>
      <c r="C15042" t="s">
        <v>10359</v>
      </c>
      <c r="D15042" t="str">
        <f>"1285"</f>
        <v>1285</v>
      </c>
      <c r="E15042" t="s">
        <v>2148</v>
      </c>
      <c r="F15042" t="s">
        <v>2068</v>
      </c>
      <c r="G15042" t="s">
        <v>47096</v>
      </c>
      <c r="H15042" t="s">
        <v>47126</v>
      </c>
      <c r="I15042" t="s">
        <v>47127</v>
      </c>
      <c r="J15042" t="s">
        <v>47128</v>
      </c>
      <c r="K15042" t="s">
        <v>47113</v>
      </c>
      <c r="L15042">
        <v>24.76</v>
      </c>
      <c r="M15042">
        <v>60</v>
      </c>
      <c r="N15042">
        <v>0</v>
      </c>
      <c r="O15042">
        <v>60</v>
      </c>
      <c r="P15042">
        <v>0</v>
      </c>
    </row>
    <row r="15043" spans="1:16" x14ac:dyDescent="0.25">
      <c r="A15043" t="s">
        <v>37732</v>
      </c>
      <c r="B15043" t="s">
        <v>10358</v>
      </c>
      <c r="C15043" t="s">
        <v>10359</v>
      </c>
      <c r="D15043" t="str">
        <f>"1378"</f>
        <v>1378</v>
      </c>
      <c r="E15043" t="s">
        <v>388</v>
      </c>
      <c r="F15043" t="s">
        <v>2068</v>
      </c>
      <c r="G15043" t="s">
        <v>47096</v>
      </c>
      <c r="H15043" t="s">
        <v>47126</v>
      </c>
      <c r="I15043" t="s">
        <v>47127</v>
      </c>
      <c r="J15043" t="s">
        <v>47128</v>
      </c>
      <c r="K15043" t="s">
        <v>47113</v>
      </c>
      <c r="L15043">
        <v>24.76</v>
      </c>
      <c r="M15043">
        <v>60</v>
      </c>
      <c r="N15043">
        <v>0</v>
      </c>
      <c r="O15043">
        <v>60</v>
      </c>
      <c r="P15043">
        <v>0</v>
      </c>
    </row>
    <row r="15044" spans="1:16" x14ac:dyDescent="0.25">
      <c r="A15044" t="s">
        <v>37733</v>
      </c>
      <c r="B15044" t="s">
        <v>10358</v>
      </c>
      <c r="C15044" t="s">
        <v>10359</v>
      </c>
      <c r="D15044" t="str">
        <f>"2166"</f>
        <v>2166</v>
      </c>
      <c r="E15044" t="s">
        <v>80</v>
      </c>
      <c r="F15044" t="s">
        <v>2068</v>
      </c>
      <c r="G15044" t="s">
        <v>47096</v>
      </c>
      <c r="H15044" t="s">
        <v>47126</v>
      </c>
      <c r="I15044" t="s">
        <v>47127</v>
      </c>
      <c r="J15044" t="s">
        <v>47128</v>
      </c>
      <c r="K15044" t="s">
        <v>47113</v>
      </c>
      <c r="L15044">
        <v>24.76</v>
      </c>
      <c r="M15044">
        <v>60</v>
      </c>
      <c r="N15044">
        <v>0</v>
      </c>
      <c r="O15044">
        <v>60</v>
      </c>
      <c r="P15044">
        <v>0</v>
      </c>
    </row>
    <row r="15045" spans="1:16" x14ac:dyDescent="0.25">
      <c r="A15045" t="s">
        <v>15071</v>
      </c>
      <c r="B15045" t="s">
        <v>10360</v>
      </c>
      <c r="C15045" t="s">
        <v>387</v>
      </c>
      <c r="D15045" t="str">
        <f>"1377"</f>
        <v>1377</v>
      </c>
      <c r="E15045" t="s">
        <v>74</v>
      </c>
      <c r="F15045" t="s">
        <v>2068</v>
      </c>
      <c r="G15045" t="s">
        <v>47094</v>
      </c>
      <c r="H15045" t="s">
        <v>47126</v>
      </c>
      <c r="I15045" t="s">
        <v>47127</v>
      </c>
      <c r="J15045" t="s">
        <v>47128</v>
      </c>
      <c r="K15045" t="s">
        <v>47113</v>
      </c>
      <c r="L15045">
        <v>33.21</v>
      </c>
      <c r="M15045">
        <v>80</v>
      </c>
      <c r="N15045">
        <v>0</v>
      </c>
      <c r="O15045">
        <v>80</v>
      </c>
      <c r="P15045">
        <v>0</v>
      </c>
    </row>
    <row r="15046" spans="1:16" x14ac:dyDescent="0.25">
      <c r="A15046" t="s">
        <v>37734</v>
      </c>
      <c r="B15046" t="s">
        <v>10360</v>
      </c>
      <c r="C15046" t="s">
        <v>387</v>
      </c>
      <c r="D15046" t="str">
        <f>"1378"</f>
        <v>1378</v>
      </c>
      <c r="E15046" t="s">
        <v>388</v>
      </c>
      <c r="F15046" t="s">
        <v>2068</v>
      </c>
      <c r="G15046" t="s">
        <v>47094</v>
      </c>
      <c r="H15046" t="s">
        <v>47126</v>
      </c>
      <c r="I15046" t="s">
        <v>47127</v>
      </c>
      <c r="J15046" t="s">
        <v>47128</v>
      </c>
      <c r="K15046" t="s">
        <v>47113</v>
      </c>
      <c r="L15046">
        <v>33.21</v>
      </c>
      <c r="M15046">
        <v>80</v>
      </c>
      <c r="N15046">
        <v>0</v>
      </c>
      <c r="O15046">
        <v>80</v>
      </c>
      <c r="P15046">
        <v>0</v>
      </c>
    </row>
    <row r="15047" spans="1:16" x14ac:dyDescent="0.25">
      <c r="A15047" t="s">
        <v>37735</v>
      </c>
      <c r="B15047" t="s">
        <v>10360</v>
      </c>
      <c r="C15047" t="s">
        <v>387</v>
      </c>
      <c r="D15047" t="str">
        <f>"1403"</f>
        <v>1403</v>
      </c>
      <c r="E15047" t="s">
        <v>224</v>
      </c>
      <c r="F15047" t="s">
        <v>2068</v>
      </c>
      <c r="G15047" t="s">
        <v>47094</v>
      </c>
      <c r="H15047" t="s">
        <v>47126</v>
      </c>
      <c r="I15047" t="s">
        <v>47127</v>
      </c>
      <c r="J15047" t="s">
        <v>47128</v>
      </c>
      <c r="K15047" t="s">
        <v>47113</v>
      </c>
      <c r="L15047">
        <v>33.21</v>
      </c>
      <c r="M15047">
        <v>80</v>
      </c>
      <c r="N15047">
        <v>0</v>
      </c>
      <c r="O15047">
        <v>80</v>
      </c>
      <c r="P15047">
        <v>0</v>
      </c>
    </row>
    <row r="15048" spans="1:16" x14ac:dyDescent="0.25">
      <c r="A15048" t="s">
        <v>37736</v>
      </c>
      <c r="B15048" t="s">
        <v>10360</v>
      </c>
      <c r="C15048" t="s">
        <v>387</v>
      </c>
      <c r="D15048" t="str">
        <f>"4201"</f>
        <v>4201</v>
      </c>
      <c r="E15048" t="s">
        <v>1855</v>
      </c>
      <c r="F15048" t="s">
        <v>2068</v>
      </c>
      <c r="G15048" t="s">
        <v>47094</v>
      </c>
      <c r="H15048" t="s">
        <v>47126</v>
      </c>
      <c r="I15048" t="s">
        <v>47127</v>
      </c>
      <c r="J15048" t="s">
        <v>47128</v>
      </c>
      <c r="K15048" t="s">
        <v>47113</v>
      </c>
      <c r="L15048">
        <v>33.21</v>
      </c>
      <c r="M15048">
        <v>80</v>
      </c>
      <c r="N15048">
        <v>0</v>
      </c>
      <c r="O15048">
        <v>80</v>
      </c>
      <c r="P15048">
        <v>0</v>
      </c>
    </row>
    <row r="15049" spans="1:16" x14ac:dyDescent="0.25">
      <c r="A15049" t="s">
        <v>37737</v>
      </c>
      <c r="B15049" t="s">
        <v>10360</v>
      </c>
      <c r="C15049" t="s">
        <v>387</v>
      </c>
      <c r="D15049" t="str">
        <f>"6276"</f>
        <v>6276</v>
      </c>
      <c r="E15049" t="s">
        <v>3867</v>
      </c>
      <c r="F15049" t="s">
        <v>2068</v>
      </c>
      <c r="G15049" t="s">
        <v>47094</v>
      </c>
      <c r="H15049" t="s">
        <v>47126</v>
      </c>
      <c r="I15049" t="s">
        <v>47127</v>
      </c>
      <c r="J15049" t="s">
        <v>47128</v>
      </c>
      <c r="K15049" t="s">
        <v>47113</v>
      </c>
      <c r="L15049">
        <v>33.21</v>
      </c>
      <c r="M15049">
        <v>80</v>
      </c>
      <c r="N15049">
        <v>0</v>
      </c>
      <c r="O15049">
        <v>80</v>
      </c>
      <c r="P15049">
        <v>0</v>
      </c>
    </row>
    <row r="15050" spans="1:16" x14ac:dyDescent="0.25">
      <c r="A15050" t="s">
        <v>37738</v>
      </c>
      <c r="B15050" t="s">
        <v>10361</v>
      </c>
      <c r="C15050" t="s">
        <v>387</v>
      </c>
      <c r="D15050" t="str">
        <f>"1106"</f>
        <v>1106</v>
      </c>
      <c r="E15050" t="s">
        <v>460</v>
      </c>
      <c r="F15050" t="s">
        <v>2068</v>
      </c>
      <c r="G15050" t="s">
        <v>47094</v>
      </c>
      <c r="H15050" t="s">
        <v>47126</v>
      </c>
      <c r="I15050" t="s">
        <v>47127</v>
      </c>
      <c r="J15050" t="s">
        <v>47128</v>
      </c>
      <c r="K15050" t="s">
        <v>47113</v>
      </c>
      <c r="L15050">
        <v>33.21</v>
      </c>
      <c r="M15050">
        <v>80</v>
      </c>
      <c r="N15050">
        <v>0</v>
      </c>
      <c r="O15050">
        <v>80</v>
      </c>
      <c r="P15050">
        <v>0</v>
      </c>
    </row>
    <row r="15051" spans="1:16" x14ac:dyDescent="0.25">
      <c r="A15051" t="s">
        <v>37739</v>
      </c>
      <c r="B15051" t="s">
        <v>10361</v>
      </c>
      <c r="C15051" t="s">
        <v>387</v>
      </c>
      <c r="D15051" t="str">
        <f>"1377"</f>
        <v>1377</v>
      </c>
      <c r="E15051" t="s">
        <v>74</v>
      </c>
      <c r="F15051" t="s">
        <v>2068</v>
      </c>
      <c r="G15051" t="s">
        <v>47094</v>
      </c>
      <c r="H15051" t="s">
        <v>47126</v>
      </c>
      <c r="I15051" t="s">
        <v>47127</v>
      </c>
      <c r="J15051" t="s">
        <v>47128</v>
      </c>
      <c r="K15051" t="s">
        <v>47113</v>
      </c>
      <c r="L15051">
        <v>33.21</v>
      </c>
      <c r="M15051">
        <v>80</v>
      </c>
      <c r="N15051">
        <v>0</v>
      </c>
      <c r="O15051">
        <v>80</v>
      </c>
      <c r="P15051">
        <v>0</v>
      </c>
    </row>
    <row r="15052" spans="1:16" x14ac:dyDescent="0.25">
      <c r="A15052" t="s">
        <v>37740</v>
      </c>
      <c r="B15052" t="s">
        <v>10361</v>
      </c>
      <c r="C15052" t="s">
        <v>387</v>
      </c>
      <c r="D15052" t="str">
        <f>"1378"</f>
        <v>1378</v>
      </c>
      <c r="E15052" t="s">
        <v>388</v>
      </c>
      <c r="F15052" t="s">
        <v>2068</v>
      </c>
      <c r="G15052" t="s">
        <v>47094</v>
      </c>
      <c r="H15052" t="s">
        <v>47126</v>
      </c>
      <c r="I15052" t="s">
        <v>47127</v>
      </c>
      <c r="J15052" t="s">
        <v>47128</v>
      </c>
      <c r="K15052" t="s">
        <v>47113</v>
      </c>
      <c r="L15052">
        <v>33.21</v>
      </c>
      <c r="M15052">
        <v>80</v>
      </c>
      <c r="N15052">
        <v>0</v>
      </c>
      <c r="O15052">
        <v>80</v>
      </c>
      <c r="P15052">
        <v>0</v>
      </c>
    </row>
    <row r="15053" spans="1:16" x14ac:dyDescent="0.25">
      <c r="A15053" t="s">
        <v>37741</v>
      </c>
      <c r="B15053" t="s">
        <v>10361</v>
      </c>
      <c r="C15053" t="s">
        <v>387</v>
      </c>
      <c r="D15053" t="str">
        <f>"1403"</f>
        <v>1403</v>
      </c>
      <c r="E15053" t="s">
        <v>224</v>
      </c>
      <c r="F15053" t="s">
        <v>2068</v>
      </c>
      <c r="G15053" t="s">
        <v>47094</v>
      </c>
      <c r="H15053" t="s">
        <v>47126</v>
      </c>
      <c r="I15053" t="s">
        <v>47127</v>
      </c>
      <c r="J15053" t="s">
        <v>47128</v>
      </c>
      <c r="K15053" t="s">
        <v>47113</v>
      </c>
      <c r="L15053">
        <v>33.21</v>
      </c>
      <c r="M15053">
        <v>80</v>
      </c>
      <c r="N15053">
        <v>0</v>
      </c>
      <c r="O15053">
        <v>80</v>
      </c>
      <c r="P15053">
        <v>0</v>
      </c>
    </row>
    <row r="15054" spans="1:16" x14ac:dyDescent="0.25">
      <c r="A15054" t="s">
        <v>37742</v>
      </c>
      <c r="B15054" t="s">
        <v>10361</v>
      </c>
      <c r="C15054" t="s">
        <v>387</v>
      </c>
      <c r="D15054" t="str">
        <f>"2166"</f>
        <v>2166</v>
      </c>
      <c r="E15054" t="s">
        <v>80</v>
      </c>
      <c r="F15054" t="s">
        <v>2068</v>
      </c>
      <c r="G15054" t="s">
        <v>47094</v>
      </c>
      <c r="H15054" t="s">
        <v>47126</v>
      </c>
      <c r="I15054" t="s">
        <v>47127</v>
      </c>
      <c r="J15054" t="s">
        <v>47128</v>
      </c>
      <c r="K15054" t="s">
        <v>47113</v>
      </c>
      <c r="L15054">
        <v>33.21</v>
      </c>
      <c r="M15054">
        <v>80</v>
      </c>
      <c r="N15054">
        <v>0</v>
      </c>
      <c r="O15054">
        <v>80</v>
      </c>
      <c r="P15054">
        <v>0</v>
      </c>
    </row>
    <row r="15055" spans="1:16" x14ac:dyDescent="0.25">
      <c r="A15055" t="s">
        <v>37743</v>
      </c>
      <c r="B15055" t="s">
        <v>10361</v>
      </c>
      <c r="C15055" t="s">
        <v>387</v>
      </c>
      <c r="D15055" t="str">
        <f>"4201"</f>
        <v>4201</v>
      </c>
      <c r="E15055" t="s">
        <v>1855</v>
      </c>
      <c r="F15055" t="s">
        <v>2068</v>
      </c>
      <c r="G15055" t="s">
        <v>47094</v>
      </c>
      <c r="H15055" t="s">
        <v>47126</v>
      </c>
      <c r="I15055" t="s">
        <v>47127</v>
      </c>
      <c r="J15055" t="s">
        <v>47128</v>
      </c>
      <c r="K15055" t="s">
        <v>47113</v>
      </c>
      <c r="L15055">
        <v>33.21</v>
      </c>
      <c r="M15055">
        <v>80</v>
      </c>
      <c r="N15055">
        <v>0</v>
      </c>
      <c r="O15055">
        <v>80</v>
      </c>
      <c r="P15055">
        <v>0</v>
      </c>
    </row>
    <row r="15056" spans="1:16" x14ac:dyDescent="0.25">
      <c r="A15056" t="s">
        <v>37744</v>
      </c>
      <c r="B15056" t="s">
        <v>10361</v>
      </c>
      <c r="C15056" t="s">
        <v>387</v>
      </c>
      <c r="D15056" t="str">
        <f>"4753"</f>
        <v>4753</v>
      </c>
      <c r="E15056" t="s">
        <v>3755</v>
      </c>
      <c r="F15056" t="s">
        <v>2068</v>
      </c>
      <c r="G15056" t="s">
        <v>47094</v>
      </c>
      <c r="H15056" t="s">
        <v>47126</v>
      </c>
      <c r="I15056" t="s">
        <v>47127</v>
      </c>
      <c r="J15056" t="s">
        <v>47128</v>
      </c>
      <c r="K15056" t="s">
        <v>47113</v>
      </c>
      <c r="L15056">
        <v>33.21</v>
      </c>
      <c r="M15056">
        <v>80</v>
      </c>
      <c r="N15056">
        <v>0</v>
      </c>
      <c r="O15056">
        <v>80</v>
      </c>
      <c r="P15056">
        <v>0</v>
      </c>
    </row>
    <row r="15057" spans="1:16" x14ac:dyDescent="0.25">
      <c r="A15057" t="s">
        <v>37745</v>
      </c>
      <c r="B15057" t="s">
        <v>10361</v>
      </c>
      <c r="C15057" t="s">
        <v>387</v>
      </c>
      <c r="D15057" t="str">
        <f>"6276"</f>
        <v>6276</v>
      </c>
      <c r="E15057" t="s">
        <v>3867</v>
      </c>
      <c r="F15057" t="s">
        <v>2068</v>
      </c>
      <c r="G15057" t="s">
        <v>47094</v>
      </c>
      <c r="H15057" t="s">
        <v>47126</v>
      </c>
      <c r="I15057" t="s">
        <v>47127</v>
      </c>
      <c r="J15057" t="s">
        <v>47128</v>
      </c>
      <c r="K15057" t="s">
        <v>47113</v>
      </c>
      <c r="L15057">
        <v>33.21</v>
      </c>
      <c r="M15057">
        <v>80</v>
      </c>
      <c r="N15057">
        <v>0</v>
      </c>
      <c r="O15057">
        <v>80</v>
      </c>
      <c r="P15057">
        <v>0</v>
      </c>
    </row>
    <row r="15058" spans="1:16" x14ac:dyDescent="0.25">
      <c r="A15058" t="s">
        <v>37746</v>
      </c>
      <c r="B15058" t="s">
        <v>10362</v>
      </c>
      <c r="C15058" t="s">
        <v>387</v>
      </c>
      <c r="D15058" t="str">
        <f>"1106"</f>
        <v>1106</v>
      </c>
      <c r="E15058" t="s">
        <v>460</v>
      </c>
      <c r="F15058" t="s">
        <v>2068</v>
      </c>
      <c r="G15058" t="s">
        <v>47094</v>
      </c>
      <c r="H15058" t="s">
        <v>47126</v>
      </c>
      <c r="I15058" t="s">
        <v>47127</v>
      </c>
      <c r="J15058" t="s">
        <v>47128</v>
      </c>
      <c r="K15058" t="s">
        <v>47113</v>
      </c>
      <c r="L15058">
        <v>39.25</v>
      </c>
      <c r="M15058">
        <v>95</v>
      </c>
      <c r="N15058">
        <v>0</v>
      </c>
      <c r="O15058">
        <v>95</v>
      </c>
      <c r="P15058">
        <v>0</v>
      </c>
    </row>
    <row r="15059" spans="1:16" x14ac:dyDescent="0.25">
      <c r="A15059" t="s">
        <v>37747</v>
      </c>
      <c r="B15059" t="s">
        <v>10362</v>
      </c>
      <c r="C15059" t="s">
        <v>387</v>
      </c>
      <c r="D15059" t="str">
        <f>"1377"</f>
        <v>1377</v>
      </c>
      <c r="E15059" t="s">
        <v>74</v>
      </c>
      <c r="F15059" t="s">
        <v>2068</v>
      </c>
      <c r="G15059" t="s">
        <v>47094</v>
      </c>
      <c r="H15059" t="s">
        <v>47126</v>
      </c>
      <c r="I15059" t="s">
        <v>47127</v>
      </c>
      <c r="J15059" t="s">
        <v>47128</v>
      </c>
      <c r="K15059" t="s">
        <v>47113</v>
      </c>
      <c r="L15059">
        <v>39.25</v>
      </c>
      <c r="M15059">
        <v>95</v>
      </c>
      <c r="N15059">
        <v>0</v>
      </c>
      <c r="O15059">
        <v>95</v>
      </c>
      <c r="P15059">
        <v>0</v>
      </c>
    </row>
    <row r="15060" spans="1:16" x14ac:dyDescent="0.25">
      <c r="A15060" t="s">
        <v>37748</v>
      </c>
      <c r="B15060" t="s">
        <v>10362</v>
      </c>
      <c r="C15060" t="s">
        <v>387</v>
      </c>
      <c r="D15060" t="str">
        <f>"1403"</f>
        <v>1403</v>
      </c>
      <c r="E15060" t="s">
        <v>224</v>
      </c>
      <c r="F15060" t="s">
        <v>2068</v>
      </c>
      <c r="G15060" t="s">
        <v>47094</v>
      </c>
      <c r="H15060" t="s">
        <v>47126</v>
      </c>
      <c r="I15060" t="s">
        <v>47127</v>
      </c>
      <c r="J15060" t="s">
        <v>47128</v>
      </c>
      <c r="K15060" t="s">
        <v>47113</v>
      </c>
      <c r="L15060">
        <v>39.25</v>
      </c>
      <c r="M15060">
        <v>95</v>
      </c>
      <c r="N15060">
        <v>0</v>
      </c>
      <c r="O15060">
        <v>95</v>
      </c>
      <c r="P15060">
        <v>0</v>
      </c>
    </row>
    <row r="15061" spans="1:16" x14ac:dyDescent="0.25">
      <c r="A15061" t="s">
        <v>37749</v>
      </c>
      <c r="B15061" t="s">
        <v>10362</v>
      </c>
      <c r="C15061" t="s">
        <v>387</v>
      </c>
      <c r="D15061" t="str">
        <f>"2166"</f>
        <v>2166</v>
      </c>
      <c r="E15061" t="s">
        <v>80</v>
      </c>
      <c r="F15061" t="s">
        <v>2068</v>
      </c>
      <c r="G15061" t="s">
        <v>47094</v>
      </c>
      <c r="H15061" t="s">
        <v>47126</v>
      </c>
      <c r="I15061" t="s">
        <v>47127</v>
      </c>
      <c r="J15061" t="s">
        <v>47128</v>
      </c>
      <c r="K15061" t="s">
        <v>47113</v>
      </c>
      <c r="L15061">
        <v>39.25</v>
      </c>
      <c r="M15061">
        <v>95</v>
      </c>
      <c r="N15061">
        <v>0</v>
      </c>
      <c r="O15061">
        <v>95</v>
      </c>
      <c r="P15061">
        <v>0</v>
      </c>
    </row>
    <row r="15062" spans="1:16" x14ac:dyDescent="0.25">
      <c r="A15062" t="s">
        <v>37750</v>
      </c>
      <c r="B15062" t="s">
        <v>10362</v>
      </c>
      <c r="C15062" t="s">
        <v>387</v>
      </c>
      <c r="D15062" t="str">
        <f>"4201"</f>
        <v>4201</v>
      </c>
      <c r="E15062" t="s">
        <v>1855</v>
      </c>
      <c r="F15062" t="s">
        <v>2068</v>
      </c>
      <c r="G15062" t="s">
        <v>47094</v>
      </c>
      <c r="H15062" t="s">
        <v>47126</v>
      </c>
      <c r="I15062" t="s">
        <v>47127</v>
      </c>
      <c r="J15062" t="s">
        <v>47128</v>
      </c>
      <c r="K15062" t="s">
        <v>47113</v>
      </c>
      <c r="L15062">
        <v>39.25</v>
      </c>
      <c r="M15062">
        <v>95</v>
      </c>
      <c r="N15062">
        <v>0</v>
      </c>
      <c r="O15062">
        <v>95</v>
      </c>
      <c r="P15062">
        <v>0</v>
      </c>
    </row>
    <row r="15063" spans="1:16" x14ac:dyDescent="0.25">
      <c r="A15063" t="s">
        <v>37751</v>
      </c>
      <c r="B15063" t="s">
        <v>10362</v>
      </c>
      <c r="C15063" t="s">
        <v>387</v>
      </c>
      <c r="D15063" t="str">
        <f>"4753"</f>
        <v>4753</v>
      </c>
      <c r="E15063" t="s">
        <v>3755</v>
      </c>
      <c r="F15063" t="s">
        <v>2068</v>
      </c>
      <c r="G15063" t="s">
        <v>47094</v>
      </c>
      <c r="H15063" t="s">
        <v>47126</v>
      </c>
      <c r="I15063" t="s">
        <v>47127</v>
      </c>
      <c r="J15063" t="s">
        <v>47128</v>
      </c>
      <c r="K15063" t="s">
        <v>47113</v>
      </c>
      <c r="L15063">
        <v>39.25</v>
      </c>
      <c r="M15063">
        <v>95</v>
      </c>
      <c r="N15063">
        <v>0</v>
      </c>
      <c r="O15063">
        <v>95</v>
      </c>
      <c r="P15063">
        <v>0</v>
      </c>
    </row>
    <row r="15064" spans="1:16" x14ac:dyDescent="0.25">
      <c r="A15064" t="s">
        <v>37752</v>
      </c>
      <c r="B15064" t="s">
        <v>10363</v>
      </c>
      <c r="C15064" t="s">
        <v>387</v>
      </c>
      <c r="D15064" t="str">
        <f>"1106"</f>
        <v>1106</v>
      </c>
      <c r="E15064" t="s">
        <v>460</v>
      </c>
      <c r="F15064" t="s">
        <v>2068</v>
      </c>
      <c r="G15064" t="s">
        <v>47094</v>
      </c>
      <c r="H15064" t="s">
        <v>47126</v>
      </c>
      <c r="I15064" t="s">
        <v>47127</v>
      </c>
      <c r="J15064" t="s">
        <v>47128</v>
      </c>
      <c r="K15064" t="s">
        <v>47113</v>
      </c>
      <c r="L15064">
        <v>35.75</v>
      </c>
      <c r="M15064">
        <v>88</v>
      </c>
      <c r="N15064">
        <v>0</v>
      </c>
      <c r="O15064">
        <v>88</v>
      </c>
      <c r="P15064">
        <v>0</v>
      </c>
    </row>
    <row r="15065" spans="1:16" x14ac:dyDescent="0.25">
      <c r="A15065" t="s">
        <v>37753</v>
      </c>
      <c r="B15065" t="s">
        <v>10363</v>
      </c>
      <c r="C15065" t="s">
        <v>387</v>
      </c>
      <c r="D15065" t="str">
        <f>"1377"</f>
        <v>1377</v>
      </c>
      <c r="E15065" t="s">
        <v>74</v>
      </c>
      <c r="F15065" t="s">
        <v>2068</v>
      </c>
      <c r="G15065" t="s">
        <v>47094</v>
      </c>
      <c r="H15065" t="s">
        <v>47126</v>
      </c>
      <c r="I15065" t="s">
        <v>47127</v>
      </c>
      <c r="J15065" t="s">
        <v>47128</v>
      </c>
      <c r="K15065" t="s">
        <v>47113</v>
      </c>
      <c r="L15065">
        <v>35.75</v>
      </c>
      <c r="M15065">
        <v>88</v>
      </c>
      <c r="N15065">
        <v>0</v>
      </c>
      <c r="O15065">
        <v>88</v>
      </c>
      <c r="P15065">
        <v>0</v>
      </c>
    </row>
    <row r="15066" spans="1:16" x14ac:dyDescent="0.25">
      <c r="A15066" t="s">
        <v>37754</v>
      </c>
      <c r="B15066" t="s">
        <v>10363</v>
      </c>
      <c r="C15066" t="s">
        <v>387</v>
      </c>
      <c r="D15066" t="str">
        <f>"1403"</f>
        <v>1403</v>
      </c>
      <c r="E15066" t="s">
        <v>224</v>
      </c>
      <c r="F15066" t="s">
        <v>2068</v>
      </c>
      <c r="G15066" t="s">
        <v>47094</v>
      </c>
      <c r="H15066" t="s">
        <v>47126</v>
      </c>
      <c r="I15066" t="s">
        <v>47127</v>
      </c>
      <c r="J15066" t="s">
        <v>47128</v>
      </c>
      <c r="K15066" t="s">
        <v>47113</v>
      </c>
      <c r="L15066">
        <v>35.75</v>
      </c>
      <c r="M15066">
        <v>88</v>
      </c>
      <c r="N15066">
        <v>0</v>
      </c>
      <c r="O15066">
        <v>88</v>
      </c>
      <c r="P15066">
        <v>0</v>
      </c>
    </row>
    <row r="15067" spans="1:16" x14ac:dyDescent="0.25">
      <c r="A15067" t="s">
        <v>37755</v>
      </c>
      <c r="B15067" t="s">
        <v>10363</v>
      </c>
      <c r="C15067" t="s">
        <v>387</v>
      </c>
      <c r="D15067" t="str">
        <f>"4201"</f>
        <v>4201</v>
      </c>
      <c r="E15067" t="s">
        <v>1855</v>
      </c>
      <c r="F15067" t="s">
        <v>2068</v>
      </c>
      <c r="G15067" t="s">
        <v>47094</v>
      </c>
      <c r="H15067" t="s">
        <v>47126</v>
      </c>
      <c r="I15067" t="s">
        <v>47127</v>
      </c>
      <c r="J15067" t="s">
        <v>47128</v>
      </c>
      <c r="K15067" t="s">
        <v>47113</v>
      </c>
      <c r="L15067">
        <v>35.75</v>
      </c>
      <c r="M15067">
        <v>88</v>
      </c>
      <c r="N15067">
        <v>0</v>
      </c>
      <c r="O15067">
        <v>88</v>
      </c>
      <c r="P15067">
        <v>0</v>
      </c>
    </row>
    <row r="15068" spans="1:16" x14ac:dyDescent="0.25">
      <c r="A15068" t="s">
        <v>37756</v>
      </c>
      <c r="B15068" t="s">
        <v>10363</v>
      </c>
      <c r="C15068" t="s">
        <v>387</v>
      </c>
      <c r="D15068" t="str">
        <f>"4753"</f>
        <v>4753</v>
      </c>
      <c r="E15068" t="s">
        <v>3755</v>
      </c>
      <c r="F15068" t="s">
        <v>2068</v>
      </c>
      <c r="G15068" t="s">
        <v>47094</v>
      </c>
      <c r="H15068" t="s">
        <v>47126</v>
      </c>
      <c r="I15068" t="s">
        <v>47127</v>
      </c>
      <c r="J15068" t="s">
        <v>47128</v>
      </c>
      <c r="K15068" t="s">
        <v>47113</v>
      </c>
      <c r="L15068">
        <v>35.75</v>
      </c>
      <c r="M15068">
        <v>88</v>
      </c>
      <c r="N15068">
        <v>0</v>
      </c>
      <c r="O15068">
        <v>88</v>
      </c>
      <c r="P15068">
        <v>0</v>
      </c>
    </row>
    <row r="15069" spans="1:16" x14ac:dyDescent="0.25">
      <c r="A15069" t="s">
        <v>37757</v>
      </c>
      <c r="B15069" t="s">
        <v>10363</v>
      </c>
      <c r="C15069" t="s">
        <v>387</v>
      </c>
      <c r="D15069" t="str">
        <f>"6276"</f>
        <v>6276</v>
      </c>
      <c r="E15069" t="s">
        <v>3867</v>
      </c>
      <c r="F15069" t="s">
        <v>2068</v>
      </c>
      <c r="G15069" t="s">
        <v>47094</v>
      </c>
      <c r="H15069" t="s">
        <v>47126</v>
      </c>
      <c r="I15069" t="s">
        <v>47127</v>
      </c>
      <c r="J15069" t="s">
        <v>47128</v>
      </c>
      <c r="K15069" t="s">
        <v>47113</v>
      </c>
      <c r="L15069">
        <v>35.75</v>
      </c>
      <c r="M15069">
        <v>88</v>
      </c>
      <c r="N15069">
        <v>0</v>
      </c>
      <c r="O15069">
        <v>88</v>
      </c>
      <c r="P15069">
        <v>0</v>
      </c>
    </row>
    <row r="15070" spans="1:16" x14ac:dyDescent="0.25">
      <c r="A15070" t="s">
        <v>37758</v>
      </c>
      <c r="B15070" t="s">
        <v>10364</v>
      </c>
      <c r="C15070" t="s">
        <v>10365</v>
      </c>
      <c r="D15070" t="str">
        <f>"1106"</f>
        <v>1106</v>
      </c>
      <c r="E15070" t="s">
        <v>460</v>
      </c>
      <c r="F15070" t="s">
        <v>2068</v>
      </c>
      <c r="G15070" t="s">
        <v>47095</v>
      </c>
      <c r="H15070" t="s">
        <v>47126</v>
      </c>
      <c r="I15070" t="s">
        <v>47127</v>
      </c>
      <c r="J15070" t="s">
        <v>47128</v>
      </c>
      <c r="K15070" t="s">
        <v>47113</v>
      </c>
      <c r="L15070">
        <v>26.81</v>
      </c>
      <c r="M15070">
        <v>65</v>
      </c>
      <c r="N15070">
        <v>0</v>
      </c>
      <c r="O15070">
        <v>65</v>
      </c>
      <c r="P15070">
        <v>0</v>
      </c>
    </row>
    <row r="15071" spans="1:16" x14ac:dyDescent="0.25">
      <c r="A15071" t="s">
        <v>37759</v>
      </c>
      <c r="B15071" t="s">
        <v>10366</v>
      </c>
      <c r="C15071" t="s">
        <v>2177</v>
      </c>
      <c r="D15071" t="str">
        <f>"1476"</f>
        <v>1476</v>
      </c>
      <c r="E15071" t="s">
        <v>3859</v>
      </c>
      <c r="F15071" t="s">
        <v>2068</v>
      </c>
      <c r="G15071" t="s">
        <v>47098</v>
      </c>
      <c r="H15071" t="s">
        <v>47126</v>
      </c>
      <c r="I15071" t="s">
        <v>47127</v>
      </c>
      <c r="J15071" t="s">
        <v>47128</v>
      </c>
      <c r="K15071" t="s">
        <v>47113</v>
      </c>
      <c r="L15071">
        <v>32.119999999999997</v>
      </c>
      <c r="M15071">
        <v>78</v>
      </c>
      <c r="N15071">
        <v>0</v>
      </c>
      <c r="O15071">
        <v>78</v>
      </c>
      <c r="P15071">
        <v>0</v>
      </c>
    </row>
    <row r="15072" spans="1:16" x14ac:dyDescent="0.25">
      <c r="A15072" t="s">
        <v>37760</v>
      </c>
      <c r="B15072" t="s">
        <v>10366</v>
      </c>
      <c r="C15072" t="s">
        <v>2177</v>
      </c>
      <c r="D15072" t="str">
        <f>"4000"</f>
        <v>4000</v>
      </c>
      <c r="E15072" t="s">
        <v>190</v>
      </c>
      <c r="F15072" t="s">
        <v>2068</v>
      </c>
      <c r="G15072" t="s">
        <v>47098</v>
      </c>
      <c r="H15072" t="s">
        <v>47126</v>
      </c>
      <c r="I15072" t="s">
        <v>47127</v>
      </c>
      <c r="J15072" t="s">
        <v>47128</v>
      </c>
      <c r="K15072" t="s">
        <v>47113</v>
      </c>
      <c r="L15072">
        <v>32.119999999999997</v>
      </c>
      <c r="M15072">
        <v>78</v>
      </c>
      <c r="N15072">
        <v>0</v>
      </c>
      <c r="O15072">
        <v>78</v>
      </c>
      <c r="P15072">
        <v>0</v>
      </c>
    </row>
    <row r="15073" spans="1:16" x14ac:dyDescent="0.25">
      <c r="A15073" t="s">
        <v>37761</v>
      </c>
      <c r="B15073" t="s">
        <v>10366</v>
      </c>
      <c r="C15073" t="s">
        <v>2177</v>
      </c>
      <c r="D15073" t="str">
        <f>"4201"</f>
        <v>4201</v>
      </c>
      <c r="E15073" t="s">
        <v>1855</v>
      </c>
      <c r="F15073" t="s">
        <v>2068</v>
      </c>
      <c r="G15073" t="s">
        <v>47098</v>
      </c>
      <c r="H15073" t="s">
        <v>47126</v>
      </c>
      <c r="I15073" t="s">
        <v>47127</v>
      </c>
      <c r="J15073" t="s">
        <v>47128</v>
      </c>
      <c r="K15073" t="s">
        <v>47113</v>
      </c>
      <c r="L15073">
        <v>32.119999999999997</v>
      </c>
      <c r="M15073">
        <v>78</v>
      </c>
      <c r="N15073">
        <v>0</v>
      </c>
      <c r="O15073">
        <v>78</v>
      </c>
      <c r="P15073">
        <v>0</v>
      </c>
    </row>
    <row r="15074" spans="1:16" x14ac:dyDescent="0.25">
      <c r="A15074" t="s">
        <v>15072</v>
      </c>
      <c r="B15074" t="s">
        <v>10367</v>
      </c>
      <c r="C15074" t="s">
        <v>387</v>
      </c>
      <c r="D15074" t="str">
        <f>"1476"</f>
        <v>1476</v>
      </c>
      <c r="E15074" t="s">
        <v>3859</v>
      </c>
      <c r="F15074" t="s">
        <v>2068</v>
      </c>
      <c r="G15074" t="s">
        <v>47094</v>
      </c>
      <c r="H15074" t="s">
        <v>47126</v>
      </c>
      <c r="I15074" t="s">
        <v>47127</v>
      </c>
      <c r="J15074" t="s">
        <v>47128</v>
      </c>
      <c r="K15074" t="s">
        <v>47113</v>
      </c>
      <c r="L15074">
        <v>32.119999999999997</v>
      </c>
      <c r="M15074">
        <v>78</v>
      </c>
      <c r="N15074">
        <v>0</v>
      </c>
      <c r="O15074">
        <v>78</v>
      </c>
      <c r="P15074">
        <v>0</v>
      </c>
    </row>
    <row r="15075" spans="1:16" x14ac:dyDescent="0.25">
      <c r="A15075" t="s">
        <v>37762</v>
      </c>
      <c r="B15075" t="s">
        <v>10367</v>
      </c>
      <c r="C15075" t="s">
        <v>387</v>
      </c>
      <c r="D15075" t="str">
        <f>"4201"</f>
        <v>4201</v>
      </c>
      <c r="E15075" t="s">
        <v>1855</v>
      </c>
      <c r="F15075" t="s">
        <v>2068</v>
      </c>
      <c r="G15075" t="s">
        <v>47094</v>
      </c>
      <c r="H15075" t="s">
        <v>47126</v>
      </c>
      <c r="I15075" t="s">
        <v>47127</v>
      </c>
      <c r="J15075" t="s">
        <v>47128</v>
      </c>
      <c r="K15075" t="s">
        <v>47113</v>
      </c>
      <c r="L15075">
        <v>32.119999999999997</v>
      </c>
      <c r="M15075">
        <v>78</v>
      </c>
      <c r="N15075">
        <v>0</v>
      </c>
      <c r="O15075">
        <v>78</v>
      </c>
      <c r="P15075">
        <v>0</v>
      </c>
    </row>
    <row r="15076" spans="1:16" x14ac:dyDescent="0.25">
      <c r="A15076" t="s">
        <v>15073</v>
      </c>
      <c r="B15076" t="s">
        <v>10368</v>
      </c>
      <c r="C15076" t="s">
        <v>95</v>
      </c>
      <c r="D15076" t="str">
        <f>"1476"</f>
        <v>1476</v>
      </c>
      <c r="E15076" t="s">
        <v>3859</v>
      </c>
      <c r="F15076" t="s">
        <v>2068</v>
      </c>
      <c r="G15076" t="s">
        <v>47095</v>
      </c>
      <c r="H15076" t="s">
        <v>47126</v>
      </c>
      <c r="I15076" t="s">
        <v>47127</v>
      </c>
      <c r="J15076" t="s">
        <v>47128</v>
      </c>
      <c r="K15076" t="s">
        <v>47113</v>
      </c>
      <c r="L15076">
        <v>21.38</v>
      </c>
      <c r="M15076">
        <v>53</v>
      </c>
      <c r="N15076">
        <v>0</v>
      </c>
      <c r="O15076">
        <v>53</v>
      </c>
      <c r="P15076">
        <v>0</v>
      </c>
    </row>
    <row r="15077" spans="1:16" x14ac:dyDescent="0.25">
      <c r="A15077" t="s">
        <v>37763</v>
      </c>
      <c r="B15077" t="s">
        <v>10368</v>
      </c>
      <c r="C15077" t="s">
        <v>95</v>
      </c>
      <c r="D15077" t="str">
        <f>"4201"</f>
        <v>4201</v>
      </c>
      <c r="E15077" t="s">
        <v>1855</v>
      </c>
      <c r="F15077" t="s">
        <v>2068</v>
      </c>
      <c r="G15077" t="s">
        <v>47095</v>
      </c>
      <c r="H15077" t="s">
        <v>47126</v>
      </c>
      <c r="I15077" t="s">
        <v>47127</v>
      </c>
      <c r="J15077" t="s">
        <v>47128</v>
      </c>
      <c r="K15077" t="s">
        <v>47113</v>
      </c>
      <c r="L15077">
        <v>21.38</v>
      </c>
      <c r="M15077">
        <v>53</v>
      </c>
      <c r="N15077">
        <v>0</v>
      </c>
      <c r="O15077">
        <v>53</v>
      </c>
      <c r="P15077">
        <v>0</v>
      </c>
    </row>
    <row r="15078" spans="1:16" x14ac:dyDescent="0.25">
      <c r="A15078" t="s">
        <v>37764</v>
      </c>
      <c r="B15078" t="s">
        <v>10369</v>
      </c>
      <c r="C15078" t="s">
        <v>10370</v>
      </c>
      <c r="D15078" t="str">
        <f>"1106"</f>
        <v>1106</v>
      </c>
      <c r="E15078" t="s">
        <v>460</v>
      </c>
      <c r="F15078" t="s">
        <v>2068</v>
      </c>
      <c r="G15078" t="s">
        <v>47096</v>
      </c>
      <c r="H15078" t="s">
        <v>47126</v>
      </c>
      <c r="I15078" t="s">
        <v>47127</v>
      </c>
      <c r="J15078" t="s">
        <v>47128</v>
      </c>
      <c r="K15078" t="s">
        <v>47113</v>
      </c>
      <c r="L15078">
        <v>22.32</v>
      </c>
      <c r="M15078">
        <v>55</v>
      </c>
      <c r="N15078">
        <v>0</v>
      </c>
      <c r="O15078">
        <v>55</v>
      </c>
      <c r="P15078">
        <v>0</v>
      </c>
    </row>
    <row r="15079" spans="1:16" x14ac:dyDescent="0.25">
      <c r="A15079" t="s">
        <v>37765</v>
      </c>
      <c r="B15079" t="s">
        <v>10369</v>
      </c>
      <c r="C15079" t="s">
        <v>10370</v>
      </c>
      <c r="D15079" t="str">
        <f>"3501"</f>
        <v>3501</v>
      </c>
      <c r="E15079" t="s">
        <v>3758</v>
      </c>
      <c r="F15079" t="s">
        <v>2068</v>
      </c>
      <c r="G15079" t="s">
        <v>47096</v>
      </c>
      <c r="H15079" t="s">
        <v>47126</v>
      </c>
      <c r="I15079" t="s">
        <v>47127</v>
      </c>
      <c r="J15079" t="s">
        <v>47128</v>
      </c>
      <c r="K15079" t="s">
        <v>47113</v>
      </c>
      <c r="L15079">
        <v>22.32</v>
      </c>
      <c r="M15079">
        <v>55</v>
      </c>
      <c r="N15079">
        <v>0</v>
      </c>
      <c r="O15079">
        <v>55</v>
      </c>
      <c r="P15079">
        <v>0</v>
      </c>
    </row>
    <row r="15080" spans="1:16" x14ac:dyDescent="0.25">
      <c r="A15080" t="s">
        <v>37766</v>
      </c>
      <c r="B15080" t="s">
        <v>10369</v>
      </c>
      <c r="C15080" t="s">
        <v>10370</v>
      </c>
      <c r="D15080" t="str">
        <f>"4201"</f>
        <v>4201</v>
      </c>
      <c r="E15080" t="s">
        <v>1855</v>
      </c>
      <c r="F15080" t="s">
        <v>2068</v>
      </c>
      <c r="G15080" t="s">
        <v>47096</v>
      </c>
      <c r="H15080" t="s">
        <v>47126</v>
      </c>
      <c r="I15080" t="s">
        <v>47127</v>
      </c>
      <c r="J15080" t="s">
        <v>47128</v>
      </c>
      <c r="K15080" t="s">
        <v>47113</v>
      </c>
      <c r="L15080">
        <v>22.32</v>
      </c>
      <c r="M15080">
        <v>55</v>
      </c>
      <c r="N15080">
        <v>0</v>
      </c>
      <c r="O15080">
        <v>55</v>
      </c>
      <c r="P15080">
        <v>0</v>
      </c>
    </row>
    <row r="15081" spans="1:16" x14ac:dyDescent="0.25">
      <c r="A15081" t="s">
        <v>37767</v>
      </c>
      <c r="B15081" t="s">
        <v>10371</v>
      </c>
      <c r="C15081" t="s">
        <v>10372</v>
      </c>
      <c r="D15081" t="str">
        <f>"1106"</f>
        <v>1106</v>
      </c>
      <c r="E15081" t="s">
        <v>460</v>
      </c>
      <c r="F15081" t="s">
        <v>2068</v>
      </c>
      <c r="G15081" t="s">
        <v>47096</v>
      </c>
      <c r="H15081" t="s">
        <v>47126</v>
      </c>
      <c r="I15081" t="s">
        <v>47127</v>
      </c>
      <c r="J15081" t="s">
        <v>47128</v>
      </c>
      <c r="K15081" t="s">
        <v>47113</v>
      </c>
      <c r="L15081">
        <v>22.34</v>
      </c>
      <c r="M15081">
        <v>55</v>
      </c>
      <c r="N15081">
        <v>0</v>
      </c>
      <c r="O15081">
        <v>55</v>
      </c>
      <c r="P15081">
        <v>0</v>
      </c>
    </row>
    <row r="15082" spans="1:16" x14ac:dyDescent="0.25">
      <c r="A15082" t="s">
        <v>37768</v>
      </c>
      <c r="B15082" t="s">
        <v>10371</v>
      </c>
      <c r="C15082" t="s">
        <v>10372</v>
      </c>
      <c r="D15082" t="str">
        <f>"3501"</f>
        <v>3501</v>
      </c>
      <c r="E15082" t="s">
        <v>3758</v>
      </c>
      <c r="F15082" t="s">
        <v>2068</v>
      </c>
      <c r="G15082" t="s">
        <v>47096</v>
      </c>
      <c r="H15082" t="s">
        <v>47126</v>
      </c>
      <c r="I15082" t="s">
        <v>47127</v>
      </c>
      <c r="J15082" t="s">
        <v>47128</v>
      </c>
      <c r="K15082" t="s">
        <v>47113</v>
      </c>
      <c r="L15082">
        <v>22.34</v>
      </c>
      <c r="M15082">
        <v>55</v>
      </c>
      <c r="N15082">
        <v>0</v>
      </c>
      <c r="O15082">
        <v>55</v>
      </c>
      <c r="P15082">
        <v>0</v>
      </c>
    </row>
    <row r="15083" spans="1:16" x14ac:dyDescent="0.25">
      <c r="A15083" t="s">
        <v>37769</v>
      </c>
      <c r="B15083" t="s">
        <v>10371</v>
      </c>
      <c r="C15083" t="s">
        <v>10372</v>
      </c>
      <c r="D15083" t="str">
        <f>"4201"</f>
        <v>4201</v>
      </c>
      <c r="E15083" t="s">
        <v>1855</v>
      </c>
      <c r="F15083" t="s">
        <v>2068</v>
      </c>
      <c r="G15083" t="s">
        <v>47096</v>
      </c>
      <c r="H15083" t="s">
        <v>47126</v>
      </c>
      <c r="I15083" t="s">
        <v>47127</v>
      </c>
      <c r="J15083" t="s">
        <v>47128</v>
      </c>
      <c r="K15083" t="s">
        <v>47113</v>
      </c>
      <c r="L15083">
        <v>22.34</v>
      </c>
      <c r="M15083">
        <v>55</v>
      </c>
      <c r="N15083">
        <v>0</v>
      </c>
      <c r="O15083">
        <v>55</v>
      </c>
      <c r="P15083">
        <v>0</v>
      </c>
    </row>
    <row r="15084" spans="1:16" x14ac:dyDescent="0.25">
      <c r="A15084" t="s">
        <v>37770</v>
      </c>
      <c r="B15084" t="s">
        <v>10373</v>
      </c>
      <c r="C15084" t="s">
        <v>387</v>
      </c>
      <c r="D15084" t="str">
        <f>"1106"</f>
        <v>1106</v>
      </c>
      <c r="E15084" t="s">
        <v>460</v>
      </c>
      <c r="F15084" t="s">
        <v>2068</v>
      </c>
      <c r="G15084" t="s">
        <v>47094</v>
      </c>
      <c r="H15084" t="s">
        <v>47126</v>
      </c>
      <c r="I15084" t="s">
        <v>47127</v>
      </c>
      <c r="J15084" t="s">
        <v>47128</v>
      </c>
      <c r="K15084" t="s">
        <v>47113</v>
      </c>
      <c r="L15084">
        <v>26.57</v>
      </c>
      <c r="M15084">
        <v>65</v>
      </c>
      <c r="N15084">
        <v>0</v>
      </c>
      <c r="O15084">
        <v>65</v>
      </c>
      <c r="P15084">
        <v>0</v>
      </c>
    </row>
    <row r="15085" spans="1:16" x14ac:dyDescent="0.25">
      <c r="A15085" t="s">
        <v>37771</v>
      </c>
      <c r="B15085" t="s">
        <v>10373</v>
      </c>
      <c r="C15085" t="s">
        <v>387</v>
      </c>
      <c r="D15085" t="str">
        <f>"3501"</f>
        <v>3501</v>
      </c>
      <c r="E15085" t="s">
        <v>3758</v>
      </c>
      <c r="F15085" t="s">
        <v>2068</v>
      </c>
      <c r="G15085" t="s">
        <v>47094</v>
      </c>
      <c r="H15085" t="s">
        <v>47126</v>
      </c>
      <c r="I15085" t="s">
        <v>47127</v>
      </c>
      <c r="J15085" t="s">
        <v>47128</v>
      </c>
      <c r="K15085" t="s">
        <v>47113</v>
      </c>
      <c r="L15085">
        <v>26.57</v>
      </c>
      <c r="M15085">
        <v>65</v>
      </c>
      <c r="N15085">
        <v>0</v>
      </c>
      <c r="O15085">
        <v>65</v>
      </c>
      <c r="P15085">
        <v>0</v>
      </c>
    </row>
    <row r="15086" spans="1:16" x14ac:dyDescent="0.25">
      <c r="A15086" t="s">
        <v>37772</v>
      </c>
      <c r="B15086" t="s">
        <v>10373</v>
      </c>
      <c r="C15086" t="s">
        <v>387</v>
      </c>
      <c r="D15086" t="str">
        <f>"4201"</f>
        <v>4201</v>
      </c>
      <c r="E15086" t="s">
        <v>1855</v>
      </c>
      <c r="F15086" t="s">
        <v>2068</v>
      </c>
      <c r="G15086" t="s">
        <v>47094</v>
      </c>
      <c r="H15086" t="s">
        <v>47126</v>
      </c>
      <c r="I15086" t="s">
        <v>47127</v>
      </c>
      <c r="J15086" t="s">
        <v>47128</v>
      </c>
      <c r="K15086" t="s">
        <v>47113</v>
      </c>
      <c r="L15086">
        <v>26.57</v>
      </c>
      <c r="M15086">
        <v>65</v>
      </c>
      <c r="N15086">
        <v>0</v>
      </c>
      <c r="O15086">
        <v>65</v>
      </c>
      <c r="P15086">
        <v>0</v>
      </c>
    </row>
    <row r="15087" spans="1:16" x14ac:dyDescent="0.25">
      <c r="A15087" t="s">
        <v>37773</v>
      </c>
      <c r="B15087" t="s">
        <v>10374</v>
      </c>
      <c r="C15087" t="s">
        <v>10375</v>
      </c>
      <c r="D15087" t="str">
        <f>"1106"</f>
        <v>1106</v>
      </c>
      <c r="E15087" t="s">
        <v>460</v>
      </c>
      <c r="F15087" t="s">
        <v>3750</v>
      </c>
      <c r="G15087" t="s">
        <v>47094</v>
      </c>
      <c r="H15087" t="s">
        <v>47126</v>
      </c>
      <c r="I15087" t="s">
        <v>47127</v>
      </c>
      <c r="J15087" t="s">
        <v>47128</v>
      </c>
      <c r="K15087" t="s">
        <v>47113</v>
      </c>
      <c r="L15087">
        <v>26.81</v>
      </c>
      <c r="M15087">
        <v>65</v>
      </c>
      <c r="N15087">
        <v>0</v>
      </c>
      <c r="O15087">
        <v>65</v>
      </c>
      <c r="P15087">
        <v>0</v>
      </c>
    </row>
    <row r="15088" spans="1:16" x14ac:dyDescent="0.25">
      <c r="A15088" t="s">
        <v>37774</v>
      </c>
      <c r="B15088" t="s">
        <v>10374</v>
      </c>
      <c r="C15088" t="s">
        <v>10375</v>
      </c>
      <c r="D15088" t="str">
        <f>"1278"</f>
        <v>1278</v>
      </c>
      <c r="E15088" t="s">
        <v>100</v>
      </c>
      <c r="F15088" t="s">
        <v>3750</v>
      </c>
      <c r="G15088" t="s">
        <v>47094</v>
      </c>
      <c r="H15088" t="s">
        <v>47126</v>
      </c>
      <c r="I15088" t="s">
        <v>47127</v>
      </c>
      <c r="J15088" t="s">
        <v>47128</v>
      </c>
      <c r="K15088" t="s">
        <v>47113</v>
      </c>
      <c r="L15088">
        <v>26.81</v>
      </c>
      <c r="M15088">
        <v>65</v>
      </c>
      <c r="N15088">
        <v>0</v>
      </c>
      <c r="O15088">
        <v>65</v>
      </c>
      <c r="P15088">
        <v>0</v>
      </c>
    </row>
    <row r="15089" spans="1:16" x14ac:dyDescent="0.25">
      <c r="A15089" t="s">
        <v>37775</v>
      </c>
      <c r="B15089" t="s">
        <v>10374</v>
      </c>
      <c r="C15089" t="s">
        <v>10375</v>
      </c>
      <c r="D15089" t="str">
        <f>"1285"</f>
        <v>1285</v>
      </c>
      <c r="E15089" t="s">
        <v>2148</v>
      </c>
      <c r="F15089" t="s">
        <v>3750</v>
      </c>
      <c r="G15089" t="s">
        <v>47094</v>
      </c>
      <c r="H15089" t="s">
        <v>47126</v>
      </c>
      <c r="I15089" t="s">
        <v>47127</v>
      </c>
      <c r="J15089" t="s">
        <v>47128</v>
      </c>
      <c r="K15089" t="s">
        <v>47113</v>
      </c>
      <c r="L15089">
        <v>26.81</v>
      </c>
      <c r="M15089">
        <v>65</v>
      </c>
      <c r="N15089">
        <v>0</v>
      </c>
      <c r="O15089">
        <v>65</v>
      </c>
      <c r="P15089">
        <v>0</v>
      </c>
    </row>
    <row r="15090" spans="1:16" x14ac:dyDescent="0.25">
      <c r="A15090" t="s">
        <v>37776</v>
      </c>
      <c r="B15090" t="s">
        <v>10374</v>
      </c>
      <c r="C15090" t="s">
        <v>10375</v>
      </c>
      <c r="D15090" t="str">
        <f>"1379"</f>
        <v>1379</v>
      </c>
      <c r="E15090" t="s">
        <v>84</v>
      </c>
      <c r="F15090" t="s">
        <v>3750</v>
      </c>
      <c r="G15090" t="s">
        <v>47094</v>
      </c>
      <c r="H15090" t="s">
        <v>47126</v>
      </c>
      <c r="I15090" t="s">
        <v>47127</v>
      </c>
      <c r="J15090" t="s">
        <v>47128</v>
      </c>
      <c r="K15090" t="s">
        <v>47113</v>
      </c>
      <c r="L15090">
        <v>26.81</v>
      </c>
      <c r="M15090">
        <v>65</v>
      </c>
      <c r="N15090">
        <v>0</v>
      </c>
      <c r="O15090">
        <v>65</v>
      </c>
      <c r="P15090">
        <v>0</v>
      </c>
    </row>
    <row r="15091" spans="1:16" x14ac:dyDescent="0.25">
      <c r="A15091" t="s">
        <v>37777</v>
      </c>
      <c r="B15091" t="s">
        <v>10374</v>
      </c>
      <c r="C15091" t="s">
        <v>10375</v>
      </c>
      <c r="D15091" t="str">
        <f>"1700"</f>
        <v>1700</v>
      </c>
      <c r="E15091" t="s">
        <v>60</v>
      </c>
      <c r="F15091" t="s">
        <v>3750</v>
      </c>
      <c r="G15091" t="s">
        <v>47094</v>
      </c>
      <c r="H15091" t="s">
        <v>47126</v>
      </c>
      <c r="I15091" t="s">
        <v>47127</v>
      </c>
      <c r="J15091" t="s">
        <v>47128</v>
      </c>
      <c r="K15091" t="s">
        <v>47113</v>
      </c>
      <c r="L15091">
        <v>26.81</v>
      </c>
      <c r="M15091">
        <v>65</v>
      </c>
      <c r="N15091">
        <v>0</v>
      </c>
      <c r="O15091">
        <v>65</v>
      </c>
      <c r="P15091">
        <v>0</v>
      </c>
    </row>
    <row r="15092" spans="1:16" x14ac:dyDescent="0.25">
      <c r="A15092" t="s">
        <v>37778</v>
      </c>
      <c r="B15092" t="s">
        <v>10374</v>
      </c>
      <c r="C15092" t="s">
        <v>10375</v>
      </c>
      <c r="D15092" t="str">
        <f>"3539"</f>
        <v>3539</v>
      </c>
      <c r="E15092" t="s">
        <v>3883</v>
      </c>
      <c r="F15092" t="s">
        <v>3750</v>
      </c>
      <c r="G15092" t="s">
        <v>47094</v>
      </c>
      <c r="H15092" t="s">
        <v>47126</v>
      </c>
      <c r="I15092" t="s">
        <v>47127</v>
      </c>
      <c r="J15092" t="s">
        <v>47128</v>
      </c>
      <c r="K15092" t="s">
        <v>47113</v>
      </c>
      <c r="L15092">
        <v>26.81</v>
      </c>
      <c r="M15092">
        <v>65</v>
      </c>
      <c r="N15092">
        <v>0</v>
      </c>
      <c r="O15092">
        <v>65</v>
      </c>
      <c r="P15092">
        <v>0</v>
      </c>
    </row>
    <row r="15093" spans="1:16" x14ac:dyDescent="0.25">
      <c r="A15093" t="s">
        <v>37779</v>
      </c>
      <c r="B15093" t="s">
        <v>10374</v>
      </c>
      <c r="C15093" t="s">
        <v>10375</v>
      </c>
      <c r="D15093" t="str">
        <f>"4643"</f>
        <v>4643</v>
      </c>
      <c r="E15093" t="s">
        <v>205</v>
      </c>
      <c r="F15093" t="s">
        <v>3750</v>
      </c>
      <c r="G15093" t="s">
        <v>47094</v>
      </c>
      <c r="H15093" t="s">
        <v>47126</v>
      </c>
      <c r="I15093" t="s">
        <v>47127</v>
      </c>
      <c r="J15093" t="s">
        <v>47128</v>
      </c>
      <c r="K15093" t="s">
        <v>47113</v>
      </c>
      <c r="L15093">
        <v>26.81</v>
      </c>
      <c r="M15093">
        <v>65</v>
      </c>
      <c r="N15093">
        <v>0</v>
      </c>
      <c r="O15093">
        <v>65</v>
      </c>
      <c r="P15093">
        <v>0</v>
      </c>
    </row>
    <row r="15094" spans="1:16" x14ac:dyDescent="0.25">
      <c r="A15094" t="s">
        <v>37780</v>
      </c>
      <c r="B15094" t="s">
        <v>10374</v>
      </c>
      <c r="C15094" t="s">
        <v>10375</v>
      </c>
      <c r="D15094" t="str">
        <f>"4896"</f>
        <v>4896</v>
      </c>
      <c r="E15094" t="s">
        <v>3884</v>
      </c>
      <c r="F15094" t="s">
        <v>3750</v>
      </c>
      <c r="G15094" t="s">
        <v>47094</v>
      </c>
      <c r="H15094" t="s">
        <v>47126</v>
      </c>
      <c r="I15094" t="s">
        <v>47127</v>
      </c>
      <c r="J15094" t="s">
        <v>47128</v>
      </c>
      <c r="K15094" t="s">
        <v>47113</v>
      </c>
      <c r="L15094">
        <v>26.81</v>
      </c>
      <c r="M15094">
        <v>65</v>
      </c>
      <c r="N15094">
        <v>0</v>
      </c>
      <c r="O15094">
        <v>65</v>
      </c>
      <c r="P15094">
        <v>0</v>
      </c>
    </row>
    <row r="15095" spans="1:16" x14ac:dyDescent="0.25">
      <c r="A15095" t="s">
        <v>37781</v>
      </c>
      <c r="B15095" t="s">
        <v>10374</v>
      </c>
      <c r="C15095" t="s">
        <v>10375</v>
      </c>
      <c r="D15095" t="str">
        <f>"4897"</f>
        <v>4897</v>
      </c>
      <c r="E15095" t="s">
        <v>3885</v>
      </c>
      <c r="F15095" t="s">
        <v>3750</v>
      </c>
      <c r="G15095" t="s">
        <v>47094</v>
      </c>
      <c r="H15095" t="s">
        <v>47126</v>
      </c>
      <c r="I15095" t="s">
        <v>47127</v>
      </c>
      <c r="J15095" t="s">
        <v>47128</v>
      </c>
      <c r="K15095" t="s">
        <v>47113</v>
      </c>
      <c r="L15095">
        <v>26.81</v>
      </c>
      <c r="M15095">
        <v>65</v>
      </c>
      <c r="N15095">
        <v>0</v>
      </c>
      <c r="O15095">
        <v>65</v>
      </c>
      <c r="P15095">
        <v>0</v>
      </c>
    </row>
    <row r="15096" spans="1:16" x14ac:dyDescent="0.25">
      <c r="A15096" t="s">
        <v>37782</v>
      </c>
      <c r="B15096" t="s">
        <v>10374</v>
      </c>
      <c r="C15096" t="s">
        <v>10375</v>
      </c>
      <c r="D15096" t="str">
        <f>"5157"</f>
        <v>5157</v>
      </c>
      <c r="E15096" t="s">
        <v>3886</v>
      </c>
      <c r="F15096" t="s">
        <v>3750</v>
      </c>
      <c r="G15096" t="s">
        <v>47094</v>
      </c>
      <c r="H15096" t="s">
        <v>47126</v>
      </c>
      <c r="I15096" t="s">
        <v>47127</v>
      </c>
      <c r="J15096" t="s">
        <v>47128</v>
      </c>
      <c r="K15096" t="s">
        <v>47113</v>
      </c>
      <c r="L15096">
        <v>26.81</v>
      </c>
      <c r="M15096">
        <v>65</v>
      </c>
      <c r="N15096">
        <v>0</v>
      </c>
      <c r="O15096">
        <v>65</v>
      </c>
      <c r="P15096">
        <v>0</v>
      </c>
    </row>
    <row r="15097" spans="1:16" x14ac:dyDescent="0.25">
      <c r="A15097" t="s">
        <v>37783</v>
      </c>
      <c r="B15097" t="s">
        <v>10374</v>
      </c>
      <c r="C15097" t="s">
        <v>10375</v>
      </c>
      <c r="D15097" t="str">
        <f>"6023"</f>
        <v>6023</v>
      </c>
      <c r="E15097" t="s">
        <v>3887</v>
      </c>
      <c r="F15097" t="s">
        <v>3750</v>
      </c>
      <c r="G15097" t="s">
        <v>47094</v>
      </c>
      <c r="H15097" t="s">
        <v>47126</v>
      </c>
      <c r="I15097" t="s">
        <v>47127</v>
      </c>
      <c r="J15097" t="s">
        <v>47128</v>
      </c>
      <c r="K15097" t="s">
        <v>47113</v>
      </c>
      <c r="L15097">
        <v>26.81</v>
      </c>
      <c r="M15097">
        <v>65</v>
      </c>
      <c r="N15097">
        <v>0</v>
      </c>
      <c r="O15097">
        <v>65</v>
      </c>
      <c r="P15097">
        <v>0</v>
      </c>
    </row>
    <row r="15098" spans="1:16" x14ac:dyDescent="0.25">
      <c r="A15098" t="s">
        <v>37784</v>
      </c>
      <c r="B15098" t="s">
        <v>10374</v>
      </c>
      <c r="C15098" t="s">
        <v>10375</v>
      </c>
      <c r="D15098" t="str">
        <f>"6878"</f>
        <v>6878</v>
      </c>
      <c r="E15098" t="s">
        <v>3888</v>
      </c>
      <c r="F15098" t="s">
        <v>3750</v>
      </c>
      <c r="G15098" t="s">
        <v>47094</v>
      </c>
      <c r="H15098" t="s">
        <v>47126</v>
      </c>
      <c r="I15098" t="s">
        <v>47127</v>
      </c>
      <c r="J15098" t="s">
        <v>47128</v>
      </c>
      <c r="K15098" t="s">
        <v>47113</v>
      </c>
      <c r="L15098">
        <v>26.81</v>
      </c>
      <c r="M15098">
        <v>65</v>
      </c>
      <c r="N15098">
        <v>0</v>
      </c>
      <c r="O15098">
        <v>65</v>
      </c>
      <c r="P15098">
        <v>0</v>
      </c>
    </row>
    <row r="15099" spans="1:16" x14ac:dyDescent="0.25">
      <c r="A15099" t="s">
        <v>37785</v>
      </c>
      <c r="B15099" t="s">
        <v>10376</v>
      </c>
      <c r="C15099" t="s">
        <v>10377</v>
      </c>
      <c r="D15099" t="str">
        <f>"1106"</f>
        <v>1106</v>
      </c>
      <c r="E15099" t="s">
        <v>460</v>
      </c>
      <c r="F15099" t="s">
        <v>3750</v>
      </c>
      <c r="G15099" t="s">
        <v>47095</v>
      </c>
      <c r="H15099" t="s">
        <v>47126</v>
      </c>
      <c r="I15099" t="s">
        <v>47127</v>
      </c>
      <c r="J15099" t="s">
        <v>47128</v>
      </c>
      <c r="K15099" t="s">
        <v>47113</v>
      </c>
      <c r="L15099">
        <v>22.46</v>
      </c>
      <c r="M15099">
        <v>55</v>
      </c>
      <c r="N15099">
        <v>0</v>
      </c>
      <c r="O15099">
        <v>55</v>
      </c>
      <c r="P15099">
        <v>0</v>
      </c>
    </row>
    <row r="15100" spans="1:16" x14ac:dyDescent="0.25">
      <c r="A15100" t="s">
        <v>37786</v>
      </c>
      <c r="B15100" t="s">
        <v>10376</v>
      </c>
      <c r="C15100" t="s">
        <v>10377</v>
      </c>
      <c r="D15100" t="str">
        <f>"1278"</f>
        <v>1278</v>
      </c>
      <c r="E15100" t="s">
        <v>100</v>
      </c>
      <c r="F15100" t="s">
        <v>3750</v>
      </c>
      <c r="G15100" t="s">
        <v>47095</v>
      </c>
      <c r="H15100" t="s">
        <v>47126</v>
      </c>
      <c r="I15100" t="s">
        <v>47127</v>
      </c>
      <c r="J15100" t="s">
        <v>47128</v>
      </c>
      <c r="K15100" t="s">
        <v>47113</v>
      </c>
      <c r="L15100">
        <v>22.46</v>
      </c>
      <c r="M15100">
        <v>55</v>
      </c>
      <c r="N15100">
        <v>0</v>
      </c>
      <c r="O15100">
        <v>55</v>
      </c>
      <c r="P15100">
        <v>0</v>
      </c>
    </row>
    <row r="15101" spans="1:16" x14ac:dyDescent="0.25">
      <c r="A15101" t="s">
        <v>37787</v>
      </c>
      <c r="B15101" t="s">
        <v>10376</v>
      </c>
      <c r="C15101" t="s">
        <v>10377</v>
      </c>
      <c r="D15101" t="str">
        <f>"1285"</f>
        <v>1285</v>
      </c>
      <c r="E15101" t="s">
        <v>2148</v>
      </c>
      <c r="F15101" t="s">
        <v>3750</v>
      </c>
      <c r="G15101" t="s">
        <v>47095</v>
      </c>
      <c r="H15101" t="s">
        <v>47126</v>
      </c>
      <c r="I15101" t="s">
        <v>47127</v>
      </c>
      <c r="J15101" t="s">
        <v>47128</v>
      </c>
      <c r="K15101" t="s">
        <v>47113</v>
      </c>
      <c r="L15101">
        <v>22.46</v>
      </c>
      <c r="M15101">
        <v>55</v>
      </c>
      <c r="N15101">
        <v>0</v>
      </c>
      <c r="O15101">
        <v>55</v>
      </c>
      <c r="P15101">
        <v>0</v>
      </c>
    </row>
    <row r="15102" spans="1:16" x14ac:dyDescent="0.25">
      <c r="A15102" t="s">
        <v>37788</v>
      </c>
      <c r="B15102" t="s">
        <v>10376</v>
      </c>
      <c r="C15102" t="s">
        <v>10377</v>
      </c>
      <c r="D15102" t="str">
        <f>"1379"</f>
        <v>1379</v>
      </c>
      <c r="E15102" t="s">
        <v>84</v>
      </c>
      <c r="F15102" t="s">
        <v>3750</v>
      </c>
      <c r="G15102" t="s">
        <v>47095</v>
      </c>
      <c r="H15102" t="s">
        <v>47126</v>
      </c>
      <c r="I15102" t="s">
        <v>47127</v>
      </c>
      <c r="J15102" t="s">
        <v>47128</v>
      </c>
      <c r="K15102" t="s">
        <v>47113</v>
      </c>
      <c r="L15102">
        <v>22.46</v>
      </c>
      <c r="M15102">
        <v>55</v>
      </c>
      <c r="N15102">
        <v>0</v>
      </c>
      <c r="O15102">
        <v>55</v>
      </c>
      <c r="P15102">
        <v>0</v>
      </c>
    </row>
    <row r="15103" spans="1:16" x14ac:dyDescent="0.25">
      <c r="A15103" t="s">
        <v>37789</v>
      </c>
      <c r="B15103" t="s">
        <v>10376</v>
      </c>
      <c r="C15103" t="s">
        <v>10377</v>
      </c>
      <c r="D15103" t="str">
        <f>"1700"</f>
        <v>1700</v>
      </c>
      <c r="E15103" t="s">
        <v>60</v>
      </c>
      <c r="F15103" t="s">
        <v>3750</v>
      </c>
      <c r="G15103" t="s">
        <v>47095</v>
      </c>
      <c r="H15103" t="s">
        <v>47126</v>
      </c>
      <c r="I15103" t="s">
        <v>47127</v>
      </c>
      <c r="J15103" t="s">
        <v>47128</v>
      </c>
      <c r="K15103" t="s">
        <v>47113</v>
      </c>
      <c r="L15103">
        <v>22.46</v>
      </c>
      <c r="M15103">
        <v>55</v>
      </c>
      <c r="N15103">
        <v>0</v>
      </c>
      <c r="O15103">
        <v>55</v>
      </c>
      <c r="P15103">
        <v>0</v>
      </c>
    </row>
    <row r="15104" spans="1:16" x14ac:dyDescent="0.25">
      <c r="A15104" t="s">
        <v>37790</v>
      </c>
      <c r="B15104" t="s">
        <v>10376</v>
      </c>
      <c r="C15104" t="s">
        <v>10377</v>
      </c>
      <c r="D15104" t="str">
        <f>"3539"</f>
        <v>3539</v>
      </c>
      <c r="E15104" t="s">
        <v>3883</v>
      </c>
      <c r="F15104" t="s">
        <v>3750</v>
      </c>
      <c r="G15104" t="s">
        <v>47095</v>
      </c>
      <c r="H15104" t="s">
        <v>47126</v>
      </c>
      <c r="I15104" t="s">
        <v>47127</v>
      </c>
      <c r="J15104" t="s">
        <v>47128</v>
      </c>
      <c r="K15104" t="s">
        <v>47113</v>
      </c>
      <c r="L15104">
        <v>22.46</v>
      </c>
      <c r="M15104">
        <v>55</v>
      </c>
      <c r="N15104">
        <v>0</v>
      </c>
      <c r="O15104">
        <v>55</v>
      </c>
      <c r="P15104">
        <v>0</v>
      </c>
    </row>
    <row r="15105" spans="1:16" x14ac:dyDescent="0.25">
      <c r="A15105" t="s">
        <v>37791</v>
      </c>
      <c r="B15105" t="s">
        <v>10376</v>
      </c>
      <c r="C15105" t="s">
        <v>10377</v>
      </c>
      <c r="D15105" t="str">
        <f>"4643"</f>
        <v>4643</v>
      </c>
      <c r="E15105" t="s">
        <v>205</v>
      </c>
      <c r="F15105" t="s">
        <v>3750</v>
      </c>
      <c r="G15105" t="s">
        <v>47095</v>
      </c>
      <c r="H15105" t="s">
        <v>47126</v>
      </c>
      <c r="I15105" t="s">
        <v>47127</v>
      </c>
      <c r="J15105" t="s">
        <v>47128</v>
      </c>
      <c r="K15105" t="s">
        <v>47113</v>
      </c>
      <c r="L15105">
        <v>22.46</v>
      </c>
      <c r="M15105">
        <v>55</v>
      </c>
      <c r="N15105">
        <v>0</v>
      </c>
      <c r="O15105">
        <v>55</v>
      </c>
      <c r="P15105">
        <v>0</v>
      </c>
    </row>
    <row r="15106" spans="1:16" x14ac:dyDescent="0.25">
      <c r="A15106" t="s">
        <v>37792</v>
      </c>
      <c r="B15106" t="s">
        <v>10376</v>
      </c>
      <c r="C15106" t="s">
        <v>10377</v>
      </c>
      <c r="D15106" t="str">
        <f>"4896"</f>
        <v>4896</v>
      </c>
      <c r="E15106" t="s">
        <v>3884</v>
      </c>
      <c r="F15106" t="s">
        <v>3750</v>
      </c>
      <c r="G15106" t="s">
        <v>47095</v>
      </c>
      <c r="H15106" t="s">
        <v>47126</v>
      </c>
      <c r="I15106" t="s">
        <v>47127</v>
      </c>
      <c r="J15106" t="s">
        <v>47128</v>
      </c>
      <c r="K15106" t="s">
        <v>47113</v>
      </c>
      <c r="L15106">
        <v>22.46</v>
      </c>
      <c r="M15106">
        <v>55</v>
      </c>
      <c r="N15106">
        <v>0</v>
      </c>
      <c r="O15106">
        <v>55</v>
      </c>
      <c r="P15106">
        <v>0</v>
      </c>
    </row>
    <row r="15107" spans="1:16" x14ac:dyDescent="0.25">
      <c r="A15107" t="s">
        <v>37793</v>
      </c>
      <c r="B15107" t="s">
        <v>10376</v>
      </c>
      <c r="C15107" t="s">
        <v>10377</v>
      </c>
      <c r="D15107" t="str">
        <f>"4897"</f>
        <v>4897</v>
      </c>
      <c r="E15107" t="s">
        <v>3885</v>
      </c>
      <c r="F15107" t="s">
        <v>3750</v>
      </c>
      <c r="G15107" t="s">
        <v>47095</v>
      </c>
      <c r="H15107" t="s">
        <v>47126</v>
      </c>
      <c r="I15107" t="s">
        <v>47127</v>
      </c>
      <c r="J15107" t="s">
        <v>47128</v>
      </c>
      <c r="K15107" t="s">
        <v>47113</v>
      </c>
      <c r="L15107">
        <v>22.46</v>
      </c>
      <c r="M15107">
        <v>55</v>
      </c>
      <c r="N15107">
        <v>0</v>
      </c>
      <c r="O15107">
        <v>55</v>
      </c>
      <c r="P15107">
        <v>0</v>
      </c>
    </row>
    <row r="15108" spans="1:16" x14ac:dyDescent="0.25">
      <c r="A15108" t="s">
        <v>37794</v>
      </c>
      <c r="B15108" t="s">
        <v>10376</v>
      </c>
      <c r="C15108" t="s">
        <v>10377</v>
      </c>
      <c r="D15108" t="str">
        <f>"5157"</f>
        <v>5157</v>
      </c>
      <c r="E15108" t="s">
        <v>3886</v>
      </c>
      <c r="F15108" t="s">
        <v>3750</v>
      </c>
      <c r="G15108" t="s">
        <v>47095</v>
      </c>
      <c r="H15108" t="s">
        <v>47126</v>
      </c>
      <c r="I15108" t="s">
        <v>47127</v>
      </c>
      <c r="J15108" t="s">
        <v>47128</v>
      </c>
      <c r="K15108" t="s">
        <v>47113</v>
      </c>
      <c r="L15108">
        <v>22.46</v>
      </c>
      <c r="M15108">
        <v>55</v>
      </c>
      <c r="N15108">
        <v>0</v>
      </c>
      <c r="O15108">
        <v>55</v>
      </c>
      <c r="P15108">
        <v>0</v>
      </c>
    </row>
    <row r="15109" spans="1:16" x14ac:dyDescent="0.25">
      <c r="A15109" t="s">
        <v>37795</v>
      </c>
      <c r="B15109" t="s">
        <v>10376</v>
      </c>
      <c r="C15109" t="s">
        <v>10377</v>
      </c>
      <c r="D15109" t="str">
        <f>"6023"</f>
        <v>6023</v>
      </c>
      <c r="E15109" t="s">
        <v>3887</v>
      </c>
      <c r="F15109" t="s">
        <v>3750</v>
      </c>
      <c r="G15109" t="s">
        <v>47095</v>
      </c>
      <c r="H15109" t="s">
        <v>47126</v>
      </c>
      <c r="I15109" t="s">
        <v>47127</v>
      </c>
      <c r="J15109" t="s">
        <v>47128</v>
      </c>
      <c r="K15109" t="s">
        <v>47113</v>
      </c>
      <c r="L15109">
        <v>22.46</v>
      </c>
      <c r="M15109">
        <v>55</v>
      </c>
      <c r="N15109">
        <v>0</v>
      </c>
      <c r="O15109">
        <v>55</v>
      </c>
      <c r="P15109">
        <v>0</v>
      </c>
    </row>
    <row r="15110" spans="1:16" x14ac:dyDescent="0.25">
      <c r="A15110" t="s">
        <v>37796</v>
      </c>
      <c r="B15110" t="s">
        <v>10376</v>
      </c>
      <c r="C15110" t="s">
        <v>10377</v>
      </c>
      <c r="D15110" t="str">
        <f>"6878"</f>
        <v>6878</v>
      </c>
      <c r="E15110" t="s">
        <v>3888</v>
      </c>
      <c r="F15110" t="s">
        <v>3750</v>
      </c>
      <c r="G15110" t="s">
        <v>47095</v>
      </c>
      <c r="H15110" t="s">
        <v>47126</v>
      </c>
      <c r="I15110" t="s">
        <v>47127</v>
      </c>
      <c r="J15110" t="s">
        <v>47128</v>
      </c>
      <c r="K15110" t="s">
        <v>47113</v>
      </c>
      <c r="L15110">
        <v>22.46</v>
      </c>
      <c r="M15110">
        <v>55</v>
      </c>
      <c r="N15110">
        <v>0</v>
      </c>
      <c r="O15110">
        <v>55</v>
      </c>
      <c r="P15110">
        <v>0</v>
      </c>
    </row>
    <row r="15111" spans="1:16" x14ac:dyDescent="0.25">
      <c r="A15111" t="s">
        <v>37797</v>
      </c>
      <c r="B15111" t="s">
        <v>10378</v>
      </c>
      <c r="C15111" t="s">
        <v>10379</v>
      </c>
      <c r="D15111" t="str">
        <f>"1106"</f>
        <v>1106</v>
      </c>
      <c r="E15111" t="s">
        <v>460</v>
      </c>
      <c r="F15111" t="s">
        <v>3750</v>
      </c>
      <c r="G15111" t="s">
        <v>47094</v>
      </c>
      <c r="H15111" t="s">
        <v>47126</v>
      </c>
      <c r="I15111" t="s">
        <v>47127</v>
      </c>
      <c r="J15111" t="s">
        <v>47128</v>
      </c>
      <c r="K15111" t="s">
        <v>47113</v>
      </c>
      <c r="L15111">
        <v>26.81</v>
      </c>
      <c r="M15111">
        <v>65</v>
      </c>
      <c r="N15111">
        <v>0</v>
      </c>
      <c r="O15111">
        <v>65</v>
      </c>
      <c r="P15111">
        <v>0</v>
      </c>
    </row>
    <row r="15112" spans="1:16" x14ac:dyDescent="0.25">
      <c r="A15112" t="s">
        <v>37798</v>
      </c>
      <c r="B15112" t="s">
        <v>10378</v>
      </c>
      <c r="C15112" t="s">
        <v>10379</v>
      </c>
      <c r="D15112" t="str">
        <f>"1278"</f>
        <v>1278</v>
      </c>
      <c r="E15112" t="s">
        <v>100</v>
      </c>
      <c r="F15112" t="s">
        <v>3750</v>
      </c>
      <c r="G15112" t="s">
        <v>47094</v>
      </c>
      <c r="H15112" t="s">
        <v>47126</v>
      </c>
      <c r="I15112" t="s">
        <v>47127</v>
      </c>
      <c r="J15112" t="s">
        <v>47128</v>
      </c>
      <c r="K15112" t="s">
        <v>47113</v>
      </c>
      <c r="L15112">
        <v>26.81</v>
      </c>
      <c r="M15112">
        <v>65</v>
      </c>
      <c r="N15112">
        <v>0</v>
      </c>
      <c r="O15112">
        <v>65</v>
      </c>
      <c r="P15112">
        <v>0</v>
      </c>
    </row>
    <row r="15113" spans="1:16" x14ac:dyDescent="0.25">
      <c r="A15113" t="s">
        <v>37799</v>
      </c>
      <c r="B15113" t="s">
        <v>10378</v>
      </c>
      <c r="C15113" t="s">
        <v>10379</v>
      </c>
      <c r="D15113" t="str">
        <f>"1285"</f>
        <v>1285</v>
      </c>
      <c r="E15113" t="s">
        <v>2148</v>
      </c>
      <c r="F15113" t="s">
        <v>3750</v>
      </c>
      <c r="G15113" t="s">
        <v>47094</v>
      </c>
      <c r="H15113" t="s">
        <v>47126</v>
      </c>
      <c r="I15113" t="s">
        <v>47127</v>
      </c>
      <c r="J15113" t="s">
        <v>47128</v>
      </c>
      <c r="K15113" t="s">
        <v>47113</v>
      </c>
      <c r="L15113">
        <v>26.81</v>
      </c>
      <c r="M15113">
        <v>65</v>
      </c>
      <c r="N15113">
        <v>0</v>
      </c>
      <c r="O15113">
        <v>65</v>
      </c>
      <c r="P15113">
        <v>0</v>
      </c>
    </row>
    <row r="15114" spans="1:16" x14ac:dyDescent="0.25">
      <c r="A15114" t="s">
        <v>37800</v>
      </c>
      <c r="B15114" t="s">
        <v>10378</v>
      </c>
      <c r="C15114" t="s">
        <v>10379</v>
      </c>
      <c r="D15114" t="str">
        <f>"1379"</f>
        <v>1379</v>
      </c>
      <c r="E15114" t="s">
        <v>84</v>
      </c>
      <c r="F15114" t="s">
        <v>3750</v>
      </c>
      <c r="G15114" t="s">
        <v>47094</v>
      </c>
      <c r="H15114" t="s">
        <v>47126</v>
      </c>
      <c r="I15114" t="s">
        <v>47127</v>
      </c>
      <c r="J15114" t="s">
        <v>47128</v>
      </c>
      <c r="K15114" t="s">
        <v>47113</v>
      </c>
      <c r="L15114">
        <v>26.81</v>
      </c>
      <c r="M15114">
        <v>65</v>
      </c>
      <c r="N15114">
        <v>0</v>
      </c>
      <c r="O15114">
        <v>65</v>
      </c>
      <c r="P15114">
        <v>0</v>
      </c>
    </row>
    <row r="15115" spans="1:16" x14ac:dyDescent="0.25">
      <c r="A15115" t="s">
        <v>37801</v>
      </c>
      <c r="B15115" t="s">
        <v>10378</v>
      </c>
      <c r="C15115" t="s">
        <v>10379</v>
      </c>
      <c r="D15115" t="str">
        <f>"1700"</f>
        <v>1700</v>
      </c>
      <c r="E15115" t="s">
        <v>60</v>
      </c>
      <c r="F15115" t="s">
        <v>3750</v>
      </c>
      <c r="G15115" t="s">
        <v>47094</v>
      </c>
      <c r="H15115" t="s">
        <v>47126</v>
      </c>
      <c r="I15115" t="s">
        <v>47127</v>
      </c>
      <c r="J15115" t="s">
        <v>47128</v>
      </c>
      <c r="K15115" t="s">
        <v>47113</v>
      </c>
      <c r="L15115">
        <v>26.81</v>
      </c>
      <c r="M15115">
        <v>65</v>
      </c>
      <c r="N15115">
        <v>0</v>
      </c>
      <c r="O15115">
        <v>65</v>
      </c>
      <c r="P15115">
        <v>0</v>
      </c>
    </row>
    <row r="15116" spans="1:16" x14ac:dyDescent="0.25">
      <c r="A15116" t="s">
        <v>37802</v>
      </c>
      <c r="B15116" t="s">
        <v>10378</v>
      </c>
      <c r="C15116" t="s">
        <v>10379</v>
      </c>
      <c r="D15116" t="str">
        <f>"3539"</f>
        <v>3539</v>
      </c>
      <c r="E15116" t="s">
        <v>3883</v>
      </c>
      <c r="F15116" t="s">
        <v>3750</v>
      </c>
      <c r="G15116" t="s">
        <v>47094</v>
      </c>
      <c r="H15116" t="s">
        <v>47126</v>
      </c>
      <c r="I15116" t="s">
        <v>47127</v>
      </c>
      <c r="J15116" t="s">
        <v>47128</v>
      </c>
      <c r="K15116" t="s">
        <v>47113</v>
      </c>
      <c r="L15116">
        <v>26.81</v>
      </c>
      <c r="M15116">
        <v>65</v>
      </c>
      <c r="N15116">
        <v>0</v>
      </c>
      <c r="O15116">
        <v>65</v>
      </c>
      <c r="P15116">
        <v>0</v>
      </c>
    </row>
    <row r="15117" spans="1:16" x14ac:dyDescent="0.25">
      <c r="A15117" t="s">
        <v>37803</v>
      </c>
      <c r="B15117" t="s">
        <v>10378</v>
      </c>
      <c r="C15117" t="s">
        <v>10379</v>
      </c>
      <c r="D15117" t="str">
        <f>"4643"</f>
        <v>4643</v>
      </c>
      <c r="E15117" t="s">
        <v>205</v>
      </c>
      <c r="F15117" t="s">
        <v>3750</v>
      </c>
      <c r="G15117" t="s">
        <v>47094</v>
      </c>
      <c r="H15117" t="s">
        <v>47126</v>
      </c>
      <c r="I15117" t="s">
        <v>47127</v>
      </c>
      <c r="J15117" t="s">
        <v>47128</v>
      </c>
      <c r="K15117" t="s">
        <v>47113</v>
      </c>
      <c r="L15117">
        <v>26.81</v>
      </c>
      <c r="M15117">
        <v>65</v>
      </c>
      <c r="N15117">
        <v>0</v>
      </c>
      <c r="O15117">
        <v>65</v>
      </c>
      <c r="P15117">
        <v>0</v>
      </c>
    </row>
    <row r="15118" spans="1:16" x14ac:dyDescent="0.25">
      <c r="A15118" t="s">
        <v>37804</v>
      </c>
      <c r="B15118" t="s">
        <v>10378</v>
      </c>
      <c r="C15118" t="s">
        <v>10379</v>
      </c>
      <c r="D15118" t="str">
        <f>"4896"</f>
        <v>4896</v>
      </c>
      <c r="E15118" t="s">
        <v>3884</v>
      </c>
      <c r="F15118" t="s">
        <v>3750</v>
      </c>
      <c r="G15118" t="s">
        <v>47094</v>
      </c>
      <c r="H15118" t="s">
        <v>47126</v>
      </c>
      <c r="I15118" t="s">
        <v>47127</v>
      </c>
      <c r="J15118" t="s">
        <v>47128</v>
      </c>
      <c r="K15118" t="s">
        <v>47113</v>
      </c>
      <c r="L15118">
        <v>26.81</v>
      </c>
      <c r="M15118">
        <v>65</v>
      </c>
      <c r="N15118">
        <v>0</v>
      </c>
      <c r="O15118">
        <v>65</v>
      </c>
      <c r="P15118">
        <v>0</v>
      </c>
    </row>
    <row r="15119" spans="1:16" x14ac:dyDescent="0.25">
      <c r="A15119" t="s">
        <v>37805</v>
      </c>
      <c r="B15119" t="s">
        <v>10378</v>
      </c>
      <c r="C15119" t="s">
        <v>10379</v>
      </c>
      <c r="D15119" t="str">
        <f>"4897"</f>
        <v>4897</v>
      </c>
      <c r="E15119" t="s">
        <v>3885</v>
      </c>
      <c r="F15119" t="s">
        <v>3750</v>
      </c>
      <c r="G15119" t="s">
        <v>47094</v>
      </c>
      <c r="H15119" t="s">
        <v>47126</v>
      </c>
      <c r="I15119" t="s">
        <v>47127</v>
      </c>
      <c r="J15119" t="s">
        <v>47128</v>
      </c>
      <c r="K15119" t="s">
        <v>47113</v>
      </c>
      <c r="L15119">
        <v>26.81</v>
      </c>
      <c r="M15119">
        <v>65</v>
      </c>
      <c r="N15119">
        <v>0</v>
      </c>
      <c r="O15119">
        <v>65</v>
      </c>
      <c r="P15119">
        <v>0</v>
      </c>
    </row>
    <row r="15120" spans="1:16" x14ac:dyDescent="0.25">
      <c r="A15120" t="s">
        <v>37806</v>
      </c>
      <c r="B15120" t="s">
        <v>10378</v>
      </c>
      <c r="C15120" t="s">
        <v>10379</v>
      </c>
      <c r="D15120" t="str">
        <f>"5157"</f>
        <v>5157</v>
      </c>
      <c r="E15120" t="s">
        <v>3886</v>
      </c>
      <c r="F15120" t="s">
        <v>3750</v>
      </c>
      <c r="G15120" t="s">
        <v>47094</v>
      </c>
      <c r="H15120" t="s">
        <v>47126</v>
      </c>
      <c r="I15120" t="s">
        <v>47127</v>
      </c>
      <c r="J15120" t="s">
        <v>47128</v>
      </c>
      <c r="K15120" t="s">
        <v>47113</v>
      </c>
      <c r="L15120">
        <v>26.81</v>
      </c>
      <c r="M15120">
        <v>65</v>
      </c>
      <c r="N15120">
        <v>0</v>
      </c>
      <c r="O15120">
        <v>65</v>
      </c>
      <c r="P15120">
        <v>0</v>
      </c>
    </row>
    <row r="15121" spans="1:16" x14ac:dyDescent="0.25">
      <c r="A15121" t="s">
        <v>37807</v>
      </c>
      <c r="B15121" t="s">
        <v>10378</v>
      </c>
      <c r="C15121" t="s">
        <v>10379</v>
      </c>
      <c r="D15121" t="str">
        <f>"6023"</f>
        <v>6023</v>
      </c>
      <c r="E15121" t="s">
        <v>3887</v>
      </c>
      <c r="F15121" t="s">
        <v>3750</v>
      </c>
      <c r="G15121" t="s">
        <v>47094</v>
      </c>
      <c r="H15121" t="s">
        <v>47126</v>
      </c>
      <c r="I15121" t="s">
        <v>47127</v>
      </c>
      <c r="J15121" t="s">
        <v>47128</v>
      </c>
      <c r="K15121" t="s">
        <v>47113</v>
      </c>
      <c r="L15121">
        <v>26.81</v>
      </c>
      <c r="M15121">
        <v>65</v>
      </c>
      <c r="N15121">
        <v>0</v>
      </c>
      <c r="O15121">
        <v>65</v>
      </c>
      <c r="P15121">
        <v>0</v>
      </c>
    </row>
    <row r="15122" spans="1:16" x14ac:dyDescent="0.25">
      <c r="A15122" t="s">
        <v>37808</v>
      </c>
      <c r="B15122" t="s">
        <v>10378</v>
      </c>
      <c r="C15122" t="s">
        <v>10379</v>
      </c>
      <c r="D15122" t="str">
        <f>"6878"</f>
        <v>6878</v>
      </c>
      <c r="E15122" t="s">
        <v>3888</v>
      </c>
      <c r="F15122" t="s">
        <v>3750</v>
      </c>
      <c r="G15122" t="s">
        <v>47094</v>
      </c>
      <c r="H15122" t="s">
        <v>47126</v>
      </c>
      <c r="I15122" t="s">
        <v>47127</v>
      </c>
      <c r="J15122" t="s">
        <v>47128</v>
      </c>
      <c r="K15122" t="s">
        <v>47113</v>
      </c>
      <c r="L15122">
        <v>26.81</v>
      </c>
      <c r="M15122">
        <v>65</v>
      </c>
      <c r="N15122">
        <v>0</v>
      </c>
      <c r="O15122">
        <v>65</v>
      </c>
      <c r="P15122">
        <v>0</v>
      </c>
    </row>
    <row r="15123" spans="1:16" x14ac:dyDescent="0.25">
      <c r="A15123" t="s">
        <v>37809</v>
      </c>
      <c r="B15123" t="s">
        <v>10380</v>
      </c>
      <c r="C15123" t="s">
        <v>10381</v>
      </c>
      <c r="D15123" t="str">
        <f>"1106"</f>
        <v>1106</v>
      </c>
      <c r="E15123" t="s">
        <v>460</v>
      </c>
      <c r="F15123" t="s">
        <v>3750</v>
      </c>
      <c r="G15123" t="s">
        <v>47095</v>
      </c>
      <c r="H15123" t="s">
        <v>47126</v>
      </c>
      <c r="I15123" t="s">
        <v>47127</v>
      </c>
      <c r="J15123" t="s">
        <v>47128</v>
      </c>
      <c r="K15123" t="s">
        <v>47113</v>
      </c>
      <c r="L15123">
        <v>19.2</v>
      </c>
      <c r="M15123">
        <v>47</v>
      </c>
      <c r="N15123">
        <v>0</v>
      </c>
      <c r="O15123">
        <v>47</v>
      </c>
      <c r="P15123">
        <v>0</v>
      </c>
    </row>
    <row r="15124" spans="1:16" x14ac:dyDescent="0.25">
      <c r="A15124" t="s">
        <v>37810</v>
      </c>
      <c r="B15124" t="s">
        <v>10380</v>
      </c>
      <c r="C15124" t="s">
        <v>10381</v>
      </c>
      <c r="D15124" t="str">
        <f>"1278"</f>
        <v>1278</v>
      </c>
      <c r="E15124" t="s">
        <v>100</v>
      </c>
      <c r="F15124" t="s">
        <v>3750</v>
      </c>
      <c r="G15124" t="s">
        <v>47095</v>
      </c>
      <c r="H15124" t="s">
        <v>47126</v>
      </c>
      <c r="I15124" t="s">
        <v>47127</v>
      </c>
      <c r="J15124" t="s">
        <v>47128</v>
      </c>
      <c r="K15124" t="s">
        <v>47113</v>
      </c>
      <c r="L15124">
        <v>19.2</v>
      </c>
      <c r="M15124">
        <v>47</v>
      </c>
      <c r="N15124">
        <v>0</v>
      </c>
      <c r="O15124">
        <v>47</v>
      </c>
      <c r="P15124">
        <v>0</v>
      </c>
    </row>
    <row r="15125" spans="1:16" x14ac:dyDescent="0.25">
      <c r="A15125" t="s">
        <v>37811</v>
      </c>
      <c r="B15125" t="s">
        <v>10380</v>
      </c>
      <c r="C15125" t="s">
        <v>10381</v>
      </c>
      <c r="D15125" t="str">
        <f>"1285"</f>
        <v>1285</v>
      </c>
      <c r="E15125" t="s">
        <v>2148</v>
      </c>
      <c r="F15125" t="s">
        <v>3750</v>
      </c>
      <c r="G15125" t="s">
        <v>47095</v>
      </c>
      <c r="H15125" t="s">
        <v>47126</v>
      </c>
      <c r="I15125" t="s">
        <v>47127</v>
      </c>
      <c r="J15125" t="s">
        <v>47128</v>
      </c>
      <c r="K15125" t="s">
        <v>47113</v>
      </c>
      <c r="L15125">
        <v>19.2</v>
      </c>
      <c r="M15125">
        <v>47</v>
      </c>
      <c r="N15125">
        <v>0</v>
      </c>
      <c r="O15125">
        <v>47</v>
      </c>
      <c r="P15125">
        <v>0</v>
      </c>
    </row>
    <row r="15126" spans="1:16" x14ac:dyDescent="0.25">
      <c r="A15126" t="s">
        <v>37812</v>
      </c>
      <c r="B15126" t="s">
        <v>10380</v>
      </c>
      <c r="C15126" t="s">
        <v>10381</v>
      </c>
      <c r="D15126" t="str">
        <f>"1379"</f>
        <v>1379</v>
      </c>
      <c r="E15126" t="s">
        <v>84</v>
      </c>
      <c r="F15126" t="s">
        <v>3750</v>
      </c>
      <c r="G15126" t="s">
        <v>47095</v>
      </c>
      <c r="H15126" t="s">
        <v>47126</v>
      </c>
      <c r="I15126" t="s">
        <v>47127</v>
      </c>
      <c r="J15126" t="s">
        <v>47128</v>
      </c>
      <c r="K15126" t="s">
        <v>47113</v>
      </c>
      <c r="L15126">
        <v>19.2</v>
      </c>
      <c r="M15126">
        <v>47</v>
      </c>
      <c r="N15126">
        <v>0</v>
      </c>
      <c r="O15126">
        <v>47</v>
      </c>
      <c r="P15126">
        <v>0</v>
      </c>
    </row>
    <row r="15127" spans="1:16" x14ac:dyDescent="0.25">
      <c r="A15127" t="s">
        <v>37813</v>
      </c>
      <c r="B15127" t="s">
        <v>10380</v>
      </c>
      <c r="C15127" t="s">
        <v>10381</v>
      </c>
      <c r="D15127" t="str">
        <f>"1700"</f>
        <v>1700</v>
      </c>
      <c r="E15127" t="s">
        <v>60</v>
      </c>
      <c r="F15127" t="s">
        <v>3750</v>
      </c>
      <c r="G15127" t="s">
        <v>47095</v>
      </c>
      <c r="H15127" t="s">
        <v>47126</v>
      </c>
      <c r="I15127" t="s">
        <v>47127</v>
      </c>
      <c r="J15127" t="s">
        <v>47128</v>
      </c>
      <c r="K15127" t="s">
        <v>47113</v>
      </c>
      <c r="L15127">
        <v>19.2</v>
      </c>
      <c r="M15127">
        <v>47</v>
      </c>
      <c r="N15127">
        <v>0</v>
      </c>
      <c r="O15127">
        <v>47</v>
      </c>
      <c r="P15127">
        <v>0</v>
      </c>
    </row>
    <row r="15128" spans="1:16" x14ac:dyDescent="0.25">
      <c r="A15128" t="s">
        <v>37814</v>
      </c>
      <c r="B15128" t="s">
        <v>10380</v>
      </c>
      <c r="C15128" t="s">
        <v>10381</v>
      </c>
      <c r="D15128" t="str">
        <f>"3539"</f>
        <v>3539</v>
      </c>
      <c r="E15128" t="s">
        <v>3883</v>
      </c>
      <c r="F15128" t="s">
        <v>3750</v>
      </c>
      <c r="G15128" t="s">
        <v>47095</v>
      </c>
      <c r="H15128" t="s">
        <v>47126</v>
      </c>
      <c r="I15128" t="s">
        <v>47127</v>
      </c>
      <c r="J15128" t="s">
        <v>47128</v>
      </c>
      <c r="K15128" t="s">
        <v>47113</v>
      </c>
      <c r="L15128">
        <v>19.2</v>
      </c>
      <c r="M15128">
        <v>47</v>
      </c>
      <c r="N15128">
        <v>0</v>
      </c>
      <c r="O15128">
        <v>47</v>
      </c>
      <c r="P15128">
        <v>0</v>
      </c>
    </row>
    <row r="15129" spans="1:16" x14ac:dyDescent="0.25">
      <c r="A15129" t="s">
        <v>37815</v>
      </c>
      <c r="B15129" t="s">
        <v>10380</v>
      </c>
      <c r="C15129" t="s">
        <v>10381</v>
      </c>
      <c r="D15129" t="str">
        <f>"4643"</f>
        <v>4643</v>
      </c>
      <c r="E15129" t="s">
        <v>205</v>
      </c>
      <c r="F15129" t="s">
        <v>3750</v>
      </c>
      <c r="G15129" t="s">
        <v>47095</v>
      </c>
      <c r="H15129" t="s">
        <v>47126</v>
      </c>
      <c r="I15129" t="s">
        <v>47127</v>
      </c>
      <c r="J15129" t="s">
        <v>47128</v>
      </c>
      <c r="K15129" t="s">
        <v>47113</v>
      </c>
      <c r="L15129">
        <v>19.2</v>
      </c>
      <c r="M15129">
        <v>47</v>
      </c>
      <c r="N15129">
        <v>0</v>
      </c>
      <c r="O15129">
        <v>47</v>
      </c>
      <c r="P15129">
        <v>0</v>
      </c>
    </row>
    <row r="15130" spans="1:16" x14ac:dyDescent="0.25">
      <c r="A15130" t="s">
        <v>37816</v>
      </c>
      <c r="B15130" t="s">
        <v>10380</v>
      </c>
      <c r="C15130" t="s">
        <v>10381</v>
      </c>
      <c r="D15130" t="str">
        <f>"4896"</f>
        <v>4896</v>
      </c>
      <c r="E15130" t="s">
        <v>3884</v>
      </c>
      <c r="F15130" t="s">
        <v>3750</v>
      </c>
      <c r="G15130" t="s">
        <v>47095</v>
      </c>
      <c r="H15130" t="s">
        <v>47126</v>
      </c>
      <c r="I15130" t="s">
        <v>47127</v>
      </c>
      <c r="J15130" t="s">
        <v>47128</v>
      </c>
      <c r="K15130" t="s">
        <v>47113</v>
      </c>
      <c r="L15130">
        <v>19.2</v>
      </c>
      <c r="M15130">
        <v>47</v>
      </c>
      <c r="N15130">
        <v>0</v>
      </c>
      <c r="O15130">
        <v>47</v>
      </c>
      <c r="P15130">
        <v>0</v>
      </c>
    </row>
    <row r="15131" spans="1:16" x14ac:dyDescent="0.25">
      <c r="A15131" t="s">
        <v>37817</v>
      </c>
      <c r="B15131" t="s">
        <v>10380</v>
      </c>
      <c r="C15131" t="s">
        <v>10381</v>
      </c>
      <c r="D15131" t="str">
        <f>"4897"</f>
        <v>4897</v>
      </c>
      <c r="E15131" t="s">
        <v>3885</v>
      </c>
      <c r="F15131" t="s">
        <v>3750</v>
      </c>
      <c r="G15131" t="s">
        <v>47095</v>
      </c>
      <c r="H15131" t="s">
        <v>47126</v>
      </c>
      <c r="I15131" t="s">
        <v>47127</v>
      </c>
      <c r="J15131" t="s">
        <v>47128</v>
      </c>
      <c r="K15131" t="s">
        <v>47113</v>
      </c>
      <c r="L15131">
        <v>19.2</v>
      </c>
      <c r="M15131">
        <v>47</v>
      </c>
      <c r="N15131">
        <v>0</v>
      </c>
      <c r="O15131">
        <v>47</v>
      </c>
      <c r="P15131">
        <v>0</v>
      </c>
    </row>
    <row r="15132" spans="1:16" x14ac:dyDescent="0.25">
      <c r="A15132" t="s">
        <v>37818</v>
      </c>
      <c r="B15132" t="s">
        <v>10380</v>
      </c>
      <c r="C15132" t="s">
        <v>10381</v>
      </c>
      <c r="D15132" t="str">
        <f>"5157"</f>
        <v>5157</v>
      </c>
      <c r="E15132" t="s">
        <v>3886</v>
      </c>
      <c r="F15132" t="s">
        <v>3750</v>
      </c>
      <c r="G15132" t="s">
        <v>47095</v>
      </c>
      <c r="H15132" t="s">
        <v>47126</v>
      </c>
      <c r="I15132" t="s">
        <v>47127</v>
      </c>
      <c r="J15132" t="s">
        <v>47128</v>
      </c>
      <c r="K15132" t="s">
        <v>47113</v>
      </c>
      <c r="L15132">
        <v>19.2</v>
      </c>
      <c r="M15132">
        <v>47</v>
      </c>
      <c r="N15132">
        <v>0</v>
      </c>
      <c r="O15132">
        <v>47</v>
      </c>
      <c r="P15132">
        <v>0</v>
      </c>
    </row>
    <row r="15133" spans="1:16" x14ac:dyDescent="0.25">
      <c r="A15133" t="s">
        <v>37819</v>
      </c>
      <c r="B15133" t="s">
        <v>10380</v>
      </c>
      <c r="C15133" t="s">
        <v>10381</v>
      </c>
      <c r="D15133" t="str">
        <f>"6023"</f>
        <v>6023</v>
      </c>
      <c r="E15133" t="s">
        <v>3887</v>
      </c>
      <c r="F15133" t="s">
        <v>3750</v>
      </c>
      <c r="G15133" t="s">
        <v>47095</v>
      </c>
      <c r="H15133" t="s">
        <v>47126</v>
      </c>
      <c r="I15133" t="s">
        <v>47127</v>
      </c>
      <c r="J15133" t="s">
        <v>47128</v>
      </c>
      <c r="K15133" t="s">
        <v>47113</v>
      </c>
      <c r="L15133">
        <v>19.2</v>
      </c>
      <c r="M15133">
        <v>47</v>
      </c>
      <c r="N15133">
        <v>0</v>
      </c>
      <c r="O15133">
        <v>47</v>
      </c>
      <c r="P15133">
        <v>0</v>
      </c>
    </row>
    <row r="15134" spans="1:16" x14ac:dyDescent="0.25">
      <c r="A15134" t="s">
        <v>37820</v>
      </c>
      <c r="B15134" t="s">
        <v>10380</v>
      </c>
      <c r="C15134" t="s">
        <v>10381</v>
      </c>
      <c r="D15134" t="str">
        <f>"6878"</f>
        <v>6878</v>
      </c>
      <c r="E15134" t="s">
        <v>3888</v>
      </c>
      <c r="F15134" t="s">
        <v>3750</v>
      </c>
      <c r="G15134" t="s">
        <v>47095</v>
      </c>
      <c r="H15134" t="s">
        <v>47126</v>
      </c>
      <c r="I15134" t="s">
        <v>47127</v>
      </c>
      <c r="J15134" t="s">
        <v>47128</v>
      </c>
      <c r="K15134" t="s">
        <v>47113</v>
      </c>
      <c r="L15134">
        <v>19.2</v>
      </c>
      <c r="M15134">
        <v>47</v>
      </c>
      <c r="N15134">
        <v>0</v>
      </c>
      <c r="O15134">
        <v>47</v>
      </c>
      <c r="P15134">
        <v>0</v>
      </c>
    </row>
    <row r="15135" spans="1:16" x14ac:dyDescent="0.25">
      <c r="A15135" t="s">
        <v>37821</v>
      </c>
      <c r="B15135" t="s">
        <v>10382</v>
      </c>
      <c r="C15135" t="s">
        <v>10383</v>
      </c>
      <c r="D15135" t="str">
        <f>"1001"</f>
        <v>1001</v>
      </c>
      <c r="E15135" t="s">
        <v>3966</v>
      </c>
      <c r="F15135" t="s">
        <v>2068</v>
      </c>
      <c r="G15135" t="s">
        <v>49030</v>
      </c>
      <c r="H15135" t="s">
        <v>47126</v>
      </c>
      <c r="I15135" t="s">
        <v>47120</v>
      </c>
      <c r="J15135" t="s">
        <v>47121</v>
      </c>
      <c r="K15135" t="s">
        <v>47113</v>
      </c>
      <c r="L15135">
        <v>61.99</v>
      </c>
      <c r="M15135">
        <v>150</v>
      </c>
      <c r="N15135">
        <v>0</v>
      </c>
      <c r="O15135">
        <v>150</v>
      </c>
      <c r="P15135">
        <v>0</v>
      </c>
    </row>
    <row r="15136" spans="1:16" x14ac:dyDescent="0.25">
      <c r="A15136" t="s">
        <v>14655</v>
      </c>
      <c r="B15136" t="s">
        <v>10384</v>
      </c>
      <c r="C15136" t="s">
        <v>10385</v>
      </c>
      <c r="D15136" t="s">
        <v>10292</v>
      </c>
      <c r="E15136" t="s">
        <v>10293</v>
      </c>
      <c r="F15136" t="s">
        <v>2068</v>
      </c>
      <c r="G15136" t="s">
        <v>49030</v>
      </c>
      <c r="H15136" t="s">
        <v>47153</v>
      </c>
      <c r="I15136" t="s">
        <v>47132</v>
      </c>
      <c r="J15136" t="s">
        <v>47133</v>
      </c>
      <c r="K15136" t="s">
        <v>47113</v>
      </c>
      <c r="L15136">
        <v>42.3</v>
      </c>
      <c r="M15136">
        <v>82</v>
      </c>
      <c r="N15136">
        <v>0</v>
      </c>
      <c r="O15136">
        <v>82</v>
      </c>
      <c r="P15136">
        <v>0</v>
      </c>
    </row>
    <row r="15137" spans="1:16" x14ac:dyDescent="0.25">
      <c r="A15137" t="s">
        <v>37822</v>
      </c>
      <c r="B15137" t="s">
        <v>10384</v>
      </c>
      <c r="C15137" t="s">
        <v>10385</v>
      </c>
      <c r="D15137" t="s">
        <v>10386</v>
      </c>
      <c r="E15137" t="s">
        <v>10387</v>
      </c>
      <c r="F15137" t="s">
        <v>2068</v>
      </c>
      <c r="G15137" t="s">
        <v>49030</v>
      </c>
      <c r="H15137" t="s">
        <v>47153</v>
      </c>
      <c r="I15137" t="s">
        <v>47132</v>
      </c>
      <c r="J15137" t="s">
        <v>47133</v>
      </c>
      <c r="K15137" t="s">
        <v>47113</v>
      </c>
      <c r="L15137">
        <v>41.82</v>
      </c>
      <c r="M15137">
        <v>84</v>
      </c>
      <c r="N15137">
        <v>0</v>
      </c>
      <c r="O15137">
        <v>84</v>
      </c>
      <c r="P15137">
        <v>0</v>
      </c>
    </row>
    <row r="15138" spans="1:16" x14ac:dyDescent="0.25">
      <c r="A15138" t="s">
        <v>14656</v>
      </c>
      <c r="B15138" t="s">
        <v>10388</v>
      </c>
      <c r="C15138" t="s">
        <v>10385</v>
      </c>
      <c r="D15138" t="s">
        <v>3919</v>
      </c>
      <c r="E15138" t="s">
        <v>3920</v>
      </c>
      <c r="F15138" t="s">
        <v>2068</v>
      </c>
      <c r="G15138" t="s">
        <v>49030</v>
      </c>
      <c r="H15138" t="s">
        <v>47153</v>
      </c>
      <c r="I15138" t="s">
        <v>47132</v>
      </c>
      <c r="J15138" t="s">
        <v>47133</v>
      </c>
      <c r="K15138" t="s">
        <v>47113</v>
      </c>
      <c r="L15138">
        <v>31.98</v>
      </c>
      <c r="M15138">
        <v>69</v>
      </c>
      <c r="N15138">
        <v>0</v>
      </c>
      <c r="O15138">
        <v>69</v>
      </c>
      <c r="P15138">
        <v>0</v>
      </c>
    </row>
    <row r="15139" spans="1:16" x14ac:dyDescent="0.25">
      <c r="A15139" t="s">
        <v>37823</v>
      </c>
      <c r="B15139" t="s">
        <v>10389</v>
      </c>
      <c r="C15139" t="s">
        <v>10390</v>
      </c>
      <c r="D15139" t="str">
        <f>"1001"</f>
        <v>1001</v>
      </c>
      <c r="E15139" t="s">
        <v>3966</v>
      </c>
      <c r="F15139" t="s">
        <v>2068</v>
      </c>
      <c r="G15139" t="s">
        <v>49030</v>
      </c>
      <c r="H15139" t="s">
        <v>47126</v>
      </c>
      <c r="I15139" t="s">
        <v>47120</v>
      </c>
      <c r="J15139" t="s">
        <v>47121</v>
      </c>
      <c r="K15139" t="s">
        <v>47113</v>
      </c>
      <c r="L15139">
        <v>53.79</v>
      </c>
      <c r="M15139">
        <v>130</v>
      </c>
      <c r="N15139">
        <v>0</v>
      </c>
      <c r="O15139">
        <v>130</v>
      </c>
      <c r="P15139">
        <v>0</v>
      </c>
    </row>
    <row r="15140" spans="1:16" x14ac:dyDescent="0.25">
      <c r="A15140" t="s">
        <v>37824</v>
      </c>
      <c r="B15140" t="s">
        <v>10391</v>
      </c>
      <c r="C15140" t="s">
        <v>10392</v>
      </c>
      <c r="D15140" t="s">
        <v>502</v>
      </c>
      <c r="E15140" t="s">
        <v>503</v>
      </c>
      <c r="F15140" t="s">
        <v>2068</v>
      </c>
      <c r="G15140" t="s">
        <v>47098</v>
      </c>
      <c r="H15140" t="s">
        <v>47153</v>
      </c>
      <c r="I15140" t="s">
        <v>47132</v>
      </c>
      <c r="J15140" t="s">
        <v>47133</v>
      </c>
      <c r="K15140" t="s">
        <v>47113</v>
      </c>
      <c r="L15140">
        <v>159.91999999999999</v>
      </c>
      <c r="M15140">
        <v>260</v>
      </c>
      <c r="N15140">
        <v>0</v>
      </c>
      <c r="O15140">
        <v>260</v>
      </c>
      <c r="P15140">
        <v>0</v>
      </c>
    </row>
    <row r="15141" spans="1:16" x14ac:dyDescent="0.25">
      <c r="A15141" t="s">
        <v>37825</v>
      </c>
      <c r="B15141" t="s">
        <v>10391</v>
      </c>
      <c r="C15141" t="s">
        <v>10392</v>
      </c>
      <c r="D15141" t="s">
        <v>418</v>
      </c>
      <c r="E15141" t="s">
        <v>419</v>
      </c>
      <c r="F15141" t="s">
        <v>2068</v>
      </c>
      <c r="G15141" t="s">
        <v>47098</v>
      </c>
      <c r="H15141" t="s">
        <v>47153</v>
      </c>
      <c r="I15141" t="s">
        <v>47132</v>
      </c>
      <c r="J15141" t="s">
        <v>47133</v>
      </c>
      <c r="K15141" t="s">
        <v>47113</v>
      </c>
      <c r="L15141">
        <v>159.91999999999999</v>
      </c>
      <c r="M15141">
        <v>260</v>
      </c>
      <c r="N15141">
        <v>0</v>
      </c>
      <c r="O15141">
        <v>260</v>
      </c>
      <c r="P15141">
        <v>0</v>
      </c>
    </row>
    <row r="15142" spans="1:16" x14ac:dyDescent="0.25">
      <c r="A15142" t="s">
        <v>37826</v>
      </c>
      <c r="B15142" t="s">
        <v>10391</v>
      </c>
      <c r="C15142" t="s">
        <v>10392</v>
      </c>
      <c r="D15142" t="s">
        <v>10393</v>
      </c>
      <c r="E15142" t="s">
        <v>10394</v>
      </c>
      <c r="F15142" t="s">
        <v>2068</v>
      </c>
      <c r="G15142" t="s">
        <v>47098</v>
      </c>
      <c r="H15142" t="s">
        <v>47153</v>
      </c>
      <c r="I15142" t="s">
        <v>47132</v>
      </c>
      <c r="J15142" t="s">
        <v>47133</v>
      </c>
      <c r="K15142" t="s">
        <v>47113</v>
      </c>
      <c r="L15142">
        <v>159.91999999999999</v>
      </c>
      <c r="M15142">
        <v>260</v>
      </c>
      <c r="N15142">
        <v>0</v>
      </c>
      <c r="O15142">
        <v>260</v>
      </c>
      <c r="P15142">
        <v>0</v>
      </c>
    </row>
    <row r="15143" spans="1:16" x14ac:dyDescent="0.25">
      <c r="A15143" t="s">
        <v>37827</v>
      </c>
      <c r="B15143" t="s">
        <v>10395</v>
      </c>
      <c r="C15143" t="s">
        <v>10396</v>
      </c>
      <c r="D15143" t="s">
        <v>418</v>
      </c>
      <c r="E15143" t="s">
        <v>419</v>
      </c>
      <c r="F15143" t="s">
        <v>2068</v>
      </c>
      <c r="G15143" t="s">
        <v>47098</v>
      </c>
      <c r="H15143" t="s">
        <v>47153</v>
      </c>
      <c r="I15143" t="s">
        <v>47132</v>
      </c>
      <c r="J15143" t="s">
        <v>47133</v>
      </c>
      <c r="K15143" t="s">
        <v>47113</v>
      </c>
      <c r="L15143">
        <v>171.77</v>
      </c>
      <c r="M15143">
        <v>280</v>
      </c>
      <c r="N15143">
        <v>0</v>
      </c>
      <c r="O15143">
        <v>280</v>
      </c>
      <c r="P15143">
        <v>0</v>
      </c>
    </row>
    <row r="15144" spans="1:16" x14ac:dyDescent="0.25">
      <c r="A15144" t="s">
        <v>37828</v>
      </c>
      <c r="B15144" t="s">
        <v>10395</v>
      </c>
      <c r="C15144" t="s">
        <v>10396</v>
      </c>
      <c r="D15144" t="s">
        <v>3919</v>
      </c>
      <c r="E15144" t="s">
        <v>3920</v>
      </c>
      <c r="F15144" t="s">
        <v>2068</v>
      </c>
      <c r="G15144" t="s">
        <v>47098</v>
      </c>
      <c r="H15144" t="s">
        <v>47153</v>
      </c>
      <c r="I15144" t="s">
        <v>47132</v>
      </c>
      <c r="J15144" t="s">
        <v>47133</v>
      </c>
      <c r="K15144" t="s">
        <v>47113</v>
      </c>
      <c r="L15144">
        <v>171.77</v>
      </c>
      <c r="M15144">
        <v>280</v>
      </c>
      <c r="N15144">
        <v>0</v>
      </c>
      <c r="O15144">
        <v>280</v>
      </c>
      <c r="P15144">
        <v>0</v>
      </c>
    </row>
    <row r="15145" spans="1:16" x14ac:dyDescent="0.25">
      <c r="A15145" t="s">
        <v>37829</v>
      </c>
      <c r="B15145" t="s">
        <v>10397</v>
      </c>
      <c r="C15145" t="s">
        <v>10398</v>
      </c>
      <c r="D15145" t="s">
        <v>3940</v>
      </c>
      <c r="E15145" t="s">
        <v>10399</v>
      </c>
      <c r="F15145" t="s">
        <v>2068</v>
      </c>
      <c r="G15145" t="s">
        <v>47102</v>
      </c>
      <c r="H15145" t="s">
        <v>47153</v>
      </c>
      <c r="I15145" t="s">
        <v>47132</v>
      </c>
      <c r="J15145" t="s">
        <v>47133</v>
      </c>
      <c r="K15145" t="s">
        <v>47113</v>
      </c>
      <c r="L15145">
        <v>164.66</v>
      </c>
      <c r="M15145">
        <v>275</v>
      </c>
      <c r="N15145">
        <v>0</v>
      </c>
      <c r="O15145">
        <v>275</v>
      </c>
      <c r="P15145">
        <v>0</v>
      </c>
    </row>
    <row r="15146" spans="1:16" x14ac:dyDescent="0.25">
      <c r="A15146" t="s">
        <v>37830</v>
      </c>
      <c r="B15146" t="s">
        <v>10397</v>
      </c>
      <c r="C15146" t="s">
        <v>10398</v>
      </c>
      <c r="D15146" t="s">
        <v>502</v>
      </c>
      <c r="E15146" t="s">
        <v>503</v>
      </c>
      <c r="F15146" t="s">
        <v>2068</v>
      </c>
      <c r="G15146" t="s">
        <v>47102</v>
      </c>
      <c r="H15146" t="s">
        <v>47153</v>
      </c>
      <c r="I15146" t="s">
        <v>47132</v>
      </c>
      <c r="J15146" t="s">
        <v>47133</v>
      </c>
      <c r="K15146" t="s">
        <v>47113</v>
      </c>
      <c r="L15146">
        <v>164.66</v>
      </c>
      <c r="M15146">
        <v>275</v>
      </c>
      <c r="N15146">
        <v>0</v>
      </c>
      <c r="O15146">
        <v>275</v>
      </c>
      <c r="P15146">
        <v>0</v>
      </c>
    </row>
    <row r="15147" spans="1:16" x14ac:dyDescent="0.25">
      <c r="A15147" t="s">
        <v>37831</v>
      </c>
      <c r="B15147" t="s">
        <v>10397</v>
      </c>
      <c r="C15147" t="s">
        <v>10398</v>
      </c>
      <c r="D15147" t="s">
        <v>428</v>
      </c>
      <c r="E15147" t="s">
        <v>429</v>
      </c>
      <c r="F15147" t="s">
        <v>2068</v>
      </c>
      <c r="G15147" t="s">
        <v>47102</v>
      </c>
      <c r="H15147" t="s">
        <v>47153</v>
      </c>
      <c r="I15147" t="s">
        <v>47132</v>
      </c>
      <c r="J15147" t="s">
        <v>47133</v>
      </c>
      <c r="K15147" t="s">
        <v>47113</v>
      </c>
      <c r="L15147">
        <v>164.66</v>
      </c>
      <c r="M15147">
        <v>275</v>
      </c>
      <c r="N15147">
        <v>0</v>
      </c>
      <c r="O15147">
        <v>275</v>
      </c>
      <c r="P15147">
        <v>0</v>
      </c>
    </row>
    <row r="15148" spans="1:16" x14ac:dyDescent="0.25">
      <c r="A15148" t="s">
        <v>37832</v>
      </c>
      <c r="B15148" t="s">
        <v>10397</v>
      </c>
      <c r="C15148" t="s">
        <v>10398</v>
      </c>
      <c r="D15148" t="s">
        <v>418</v>
      </c>
      <c r="E15148" t="s">
        <v>419</v>
      </c>
      <c r="F15148" t="s">
        <v>2068</v>
      </c>
      <c r="G15148" t="s">
        <v>47102</v>
      </c>
      <c r="H15148" t="s">
        <v>47153</v>
      </c>
      <c r="I15148" t="s">
        <v>47132</v>
      </c>
      <c r="J15148" t="s">
        <v>47133</v>
      </c>
      <c r="K15148" t="s">
        <v>47113</v>
      </c>
      <c r="L15148">
        <v>164.66</v>
      </c>
      <c r="M15148">
        <v>275</v>
      </c>
      <c r="N15148">
        <v>0</v>
      </c>
      <c r="O15148">
        <v>275</v>
      </c>
      <c r="P15148">
        <v>0</v>
      </c>
    </row>
    <row r="15149" spans="1:16" x14ac:dyDescent="0.25">
      <c r="A15149" t="s">
        <v>37833</v>
      </c>
      <c r="B15149" t="s">
        <v>10400</v>
      </c>
      <c r="C15149" t="s">
        <v>10401</v>
      </c>
      <c r="D15149" t="str">
        <f>"1106"</f>
        <v>1106</v>
      </c>
      <c r="E15149" t="s">
        <v>460</v>
      </c>
      <c r="F15149" t="s">
        <v>2068</v>
      </c>
      <c r="G15149" t="s">
        <v>47096</v>
      </c>
      <c r="H15149" t="s">
        <v>47126</v>
      </c>
      <c r="I15149" t="s">
        <v>47127</v>
      </c>
      <c r="J15149" t="s">
        <v>47128</v>
      </c>
      <c r="K15149" t="s">
        <v>47113</v>
      </c>
      <c r="L15149">
        <v>28.37</v>
      </c>
      <c r="M15149">
        <v>68</v>
      </c>
      <c r="N15149">
        <v>0</v>
      </c>
      <c r="O15149">
        <v>68</v>
      </c>
      <c r="P15149">
        <v>0</v>
      </c>
    </row>
    <row r="15150" spans="1:16" x14ac:dyDescent="0.25">
      <c r="A15150" t="s">
        <v>37834</v>
      </c>
      <c r="B15150" t="s">
        <v>10400</v>
      </c>
      <c r="C15150" t="s">
        <v>10401</v>
      </c>
      <c r="D15150" t="str">
        <f>"1378"</f>
        <v>1378</v>
      </c>
      <c r="E15150" t="s">
        <v>388</v>
      </c>
      <c r="F15150" t="s">
        <v>2068</v>
      </c>
      <c r="G15150" t="s">
        <v>47096</v>
      </c>
      <c r="H15150" t="s">
        <v>47126</v>
      </c>
      <c r="I15150" t="s">
        <v>47127</v>
      </c>
      <c r="J15150" t="s">
        <v>47128</v>
      </c>
      <c r="K15150" t="s">
        <v>47113</v>
      </c>
      <c r="L15150">
        <v>28.37</v>
      </c>
      <c r="M15150">
        <v>68</v>
      </c>
      <c r="N15150">
        <v>0</v>
      </c>
      <c r="O15150">
        <v>68</v>
      </c>
      <c r="P15150">
        <v>0</v>
      </c>
    </row>
    <row r="15151" spans="1:16" x14ac:dyDescent="0.25">
      <c r="A15151" t="s">
        <v>37835</v>
      </c>
      <c r="B15151" t="s">
        <v>10400</v>
      </c>
      <c r="C15151" t="s">
        <v>10401</v>
      </c>
      <c r="D15151" t="str">
        <f>"2166"</f>
        <v>2166</v>
      </c>
      <c r="E15151" t="s">
        <v>80</v>
      </c>
      <c r="F15151" t="s">
        <v>2068</v>
      </c>
      <c r="G15151" t="s">
        <v>47096</v>
      </c>
      <c r="H15151" t="s">
        <v>47126</v>
      </c>
      <c r="I15151" t="s">
        <v>47127</v>
      </c>
      <c r="J15151" t="s">
        <v>47128</v>
      </c>
      <c r="K15151" t="s">
        <v>47113</v>
      </c>
      <c r="L15151">
        <v>28.37</v>
      </c>
      <c r="M15151">
        <v>68</v>
      </c>
      <c r="N15151">
        <v>0</v>
      </c>
      <c r="O15151">
        <v>68</v>
      </c>
      <c r="P15151">
        <v>0</v>
      </c>
    </row>
    <row r="15152" spans="1:16" x14ac:dyDescent="0.25">
      <c r="A15152" t="s">
        <v>37836</v>
      </c>
      <c r="B15152" t="s">
        <v>10400</v>
      </c>
      <c r="C15152" t="s">
        <v>10401</v>
      </c>
      <c r="D15152" t="str">
        <f>"4000"</f>
        <v>4000</v>
      </c>
      <c r="E15152" t="s">
        <v>190</v>
      </c>
      <c r="F15152" t="s">
        <v>2068</v>
      </c>
      <c r="G15152" t="s">
        <v>47096</v>
      </c>
      <c r="H15152" t="s">
        <v>47126</v>
      </c>
      <c r="I15152" t="s">
        <v>47127</v>
      </c>
      <c r="J15152" t="s">
        <v>47128</v>
      </c>
      <c r="K15152" t="s">
        <v>47113</v>
      </c>
      <c r="L15152">
        <v>28.37</v>
      </c>
      <c r="M15152">
        <v>68</v>
      </c>
      <c r="N15152">
        <v>0</v>
      </c>
      <c r="O15152">
        <v>68</v>
      </c>
      <c r="P15152">
        <v>0</v>
      </c>
    </row>
    <row r="15153" spans="1:16" x14ac:dyDescent="0.25">
      <c r="A15153" t="s">
        <v>37837</v>
      </c>
      <c r="B15153" t="s">
        <v>10402</v>
      </c>
      <c r="C15153" t="s">
        <v>10403</v>
      </c>
      <c r="D15153" t="str">
        <f>"1106"</f>
        <v>1106</v>
      </c>
      <c r="E15153" t="s">
        <v>460</v>
      </c>
      <c r="F15153" t="s">
        <v>2068</v>
      </c>
      <c r="G15153" t="s">
        <v>47097</v>
      </c>
      <c r="H15153" t="s">
        <v>47126</v>
      </c>
      <c r="I15153" t="s">
        <v>47127</v>
      </c>
      <c r="J15153" t="s">
        <v>47128</v>
      </c>
      <c r="K15153" t="s">
        <v>47113</v>
      </c>
      <c r="L15153">
        <v>32.61</v>
      </c>
      <c r="M15153">
        <v>80</v>
      </c>
      <c r="N15153">
        <v>0</v>
      </c>
      <c r="O15153">
        <v>80</v>
      </c>
      <c r="P15153">
        <v>0</v>
      </c>
    </row>
    <row r="15154" spans="1:16" x14ac:dyDescent="0.25">
      <c r="A15154" t="s">
        <v>37838</v>
      </c>
      <c r="B15154" t="s">
        <v>10402</v>
      </c>
      <c r="C15154" t="s">
        <v>10403</v>
      </c>
      <c r="D15154" t="str">
        <f>"1378"</f>
        <v>1378</v>
      </c>
      <c r="E15154" t="s">
        <v>388</v>
      </c>
      <c r="F15154" t="s">
        <v>2068</v>
      </c>
      <c r="G15154" t="s">
        <v>47097</v>
      </c>
      <c r="H15154" t="s">
        <v>47126</v>
      </c>
      <c r="I15154" t="s">
        <v>47127</v>
      </c>
      <c r="J15154" t="s">
        <v>47128</v>
      </c>
      <c r="K15154" t="s">
        <v>47113</v>
      </c>
      <c r="L15154">
        <v>32.61</v>
      </c>
      <c r="M15154">
        <v>80</v>
      </c>
      <c r="N15154">
        <v>0</v>
      </c>
      <c r="O15154">
        <v>80</v>
      </c>
      <c r="P15154">
        <v>0</v>
      </c>
    </row>
    <row r="15155" spans="1:16" x14ac:dyDescent="0.25">
      <c r="A15155" t="s">
        <v>37839</v>
      </c>
      <c r="B15155" t="s">
        <v>10402</v>
      </c>
      <c r="C15155" t="s">
        <v>10403</v>
      </c>
      <c r="D15155" t="str">
        <f>"2166"</f>
        <v>2166</v>
      </c>
      <c r="E15155" t="s">
        <v>80</v>
      </c>
      <c r="F15155" t="s">
        <v>2068</v>
      </c>
      <c r="G15155" t="s">
        <v>47097</v>
      </c>
      <c r="H15155" t="s">
        <v>47126</v>
      </c>
      <c r="I15155" t="s">
        <v>47127</v>
      </c>
      <c r="J15155" t="s">
        <v>47128</v>
      </c>
      <c r="K15155" t="s">
        <v>47113</v>
      </c>
      <c r="L15155">
        <v>32.61</v>
      </c>
      <c r="M15155">
        <v>80</v>
      </c>
      <c r="N15155">
        <v>0</v>
      </c>
      <c r="O15155">
        <v>80</v>
      </c>
      <c r="P15155">
        <v>0</v>
      </c>
    </row>
    <row r="15156" spans="1:16" x14ac:dyDescent="0.25">
      <c r="A15156" t="s">
        <v>37840</v>
      </c>
      <c r="B15156" t="s">
        <v>10402</v>
      </c>
      <c r="C15156" t="s">
        <v>10403</v>
      </c>
      <c r="D15156" t="str">
        <f>"4000"</f>
        <v>4000</v>
      </c>
      <c r="E15156" t="s">
        <v>190</v>
      </c>
      <c r="F15156" t="s">
        <v>2068</v>
      </c>
      <c r="G15156" t="s">
        <v>47097</v>
      </c>
      <c r="H15156" t="s">
        <v>47126</v>
      </c>
      <c r="I15156" t="s">
        <v>47127</v>
      </c>
      <c r="J15156" t="s">
        <v>47128</v>
      </c>
      <c r="K15156" t="s">
        <v>47113</v>
      </c>
      <c r="L15156">
        <v>32.61</v>
      </c>
      <c r="M15156">
        <v>80</v>
      </c>
      <c r="N15156">
        <v>0</v>
      </c>
      <c r="O15156">
        <v>80</v>
      </c>
      <c r="P15156">
        <v>0</v>
      </c>
    </row>
    <row r="15157" spans="1:16" x14ac:dyDescent="0.25">
      <c r="A15157" t="s">
        <v>37841</v>
      </c>
      <c r="B15157" t="s">
        <v>10404</v>
      </c>
      <c r="C15157" t="s">
        <v>3928</v>
      </c>
      <c r="D15157" t="str">
        <f>"1106"</f>
        <v>1106</v>
      </c>
      <c r="E15157" t="s">
        <v>460</v>
      </c>
      <c r="F15157" t="s">
        <v>2068</v>
      </c>
      <c r="G15157" t="s">
        <v>47096</v>
      </c>
      <c r="H15157" t="s">
        <v>47126</v>
      </c>
      <c r="I15157" t="s">
        <v>47127</v>
      </c>
      <c r="J15157" t="s">
        <v>47128</v>
      </c>
      <c r="K15157" t="s">
        <v>47113</v>
      </c>
      <c r="L15157">
        <v>29.47</v>
      </c>
      <c r="M15157">
        <v>73</v>
      </c>
      <c r="N15157">
        <v>0</v>
      </c>
      <c r="O15157">
        <v>73</v>
      </c>
      <c r="P15157">
        <v>0</v>
      </c>
    </row>
    <row r="15158" spans="1:16" x14ac:dyDescent="0.25">
      <c r="A15158" t="s">
        <v>37842</v>
      </c>
      <c r="B15158" t="s">
        <v>10404</v>
      </c>
      <c r="C15158" t="s">
        <v>3928</v>
      </c>
      <c r="D15158" t="str">
        <f>"1378"</f>
        <v>1378</v>
      </c>
      <c r="E15158" t="s">
        <v>388</v>
      </c>
      <c r="F15158" t="s">
        <v>2068</v>
      </c>
      <c r="G15158" t="s">
        <v>47096</v>
      </c>
      <c r="H15158" t="s">
        <v>47126</v>
      </c>
      <c r="I15158" t="s">
        <v>47127</v>
      </c>
      <c r="J15158" t="s">
        <v>47128</v>
      </c>
      <c r="K15158" t="s">
        <v>47113</v>
      </c>
      <c r="L15158">
        <v>29.47</v>
      </c>
      <c r="M15158">
        <v>73</v>
      </c>
      <c r="N15158">
        <v>0</v>
      </c>
      <c r="O15158">
        <v>73</v>
      </c>
      <c r="P15158">
        <v>0</v>
      </c>
    </row>
    <row r="15159" spans="1:16" x14ac:dyDescent="0.25">
      <c r="A15159" t="s">
        <v>37843</v>
      </c>
      <c r="B15159" t="s">
        <v>10404</v>
      </c>
      <c r="C15159" t="s">
        <v>3928</v>
      </c>
      <c r="D15159" t="str">
        <f>"4000"</f>
        <v>4000</v>
      </c>
      <c r="E15159" t="s">
        <v>190</v>
      </c>
      <c r="F15159" t="s">
        <v>2068</v>
      </c>
      <c r="G15159" t="s">
        <v>47096</v>
      </c>
      <c r="H15159" t="s">
        <v>47126</v>
      </c>
      <c r="I15159" t="s">
        <v>47127</v>
      </c>
      <c r="J15159" t="s">
        <v>47128</v>
      </c>
      <c r="K15159" t="s">
        <v>47113</v>
      </c>
      <c r="L15159">
        <v>29.47</v>
      </c>
      <c r="M15159">
        <v>73</v>
      </c>
      <c r="N15159">
        <v>0</v>
      </c>
      <c r="O15159">
        <v>73</v>
      </c>
      <c r="P15159">
        <v>0</v>
      </c>
    </row>
    <row r="15160" spans="1:16" x14ac:dyDescent="0.25">
      <c r="A15160" t="s">
        <v>37844</v>
      </c>
      <c r="B15160" t="s">
        <v>10405</v>
      </c>
      <c r="C15160" t="s">
        <v>10406</v>
      </c>
      <c r="D15160" t="str">
        <f>"1106"</f>
        <v>1106</v>
      </c>
      <c r="E15160" t="s">
        <v>460</v>
      </c>
      <c r="F15160" t="s">
        <v>2068</v>
      </c>
      <c r="G15160" t="s">
        <v>47097</v>
      </c>
      <c r="H15160" t="s">
        <v>47126</v>
      </c>
      <c r="I15160" t="s">
        <v>47127</v>
      </c>
      <c r="J15160" t="s">
        <v>47128</v>
      </c>
      <c r="K15160" t="s">
        <v>47113</v>
      </c>
      <c r="L15160">
        <v>52.77</v>
      </c>
      <c r="M15160">
        <v>128</v>
      </c>
      <c r="N15160">
        <v>0</v>
      </c>
      <c r="O15160">
        <v>128</v>
      </c>
      <c r="P15160">
        <v>0</v>
      </c>
    </row>
    <row r="15161" spans="1:16" x14ac:dyDescent="0.25">
      <c r="A15161" t="s">
        <v>37845</v>
      </c>
      <c r="B15161" t="s">
        <v>10405</v>
      </c>
      <c r="C15161" t="s">
        <v>10406</v>
      </c>
      <c r="D15161" t="str">
        <f>"1285"</f>
        <v>1285</v>
      </c>
      <c r="E15161" t="s">
        <v>2148</v>
      </c>
      <c r="F15161" t="s">
        <v>2068</v>
      </c>
      <c r="G15161" t="s">
        <v>47097</v>
      </c>
      <c r="H15161" t="s">
        <v>47126</v>
      </c>
      <c r="I15161" t="s">
        <v>47127</v>
      </c>
      <c r="J15161" t="s">
        <v>47128</v>
      </c>
      <c r="K15161" t="s">
        <v>47113</v>
      </c>
      <c r="L15161">
        <v>52.77</v>
      </c>
      <c r="M15161">
        <v>128</v>
      </c>
      <c r="N15161">
        <v>0</v>
      </c>
      <c r="O15161">
        <v>128</v>
      </c>
      <c r="P15161">
        <v>0</v>
      </c>
    </row>
    <row r="15162" spans="1:16" x14ac:dyDescent="0.25">
      <c r="A15162" t="s">
        <v>37846</v>
      </c>
      <c r="B15162" t="s">
        <v>10405</v>
      </c>
      <c r="C15162" t="s">
        <v>10406</v>
      </c>
      <c r="D15162" t="str">
        <f>"1378"</f>
        <v>1378</v>
      </c>
      <c r="E15162" t="s">
        <v>388</v>
      </c>
      <c r="F15162" t="s">
        <v>2068</v>
      </c>
      <c r="G15162" t="s">
        <v>47097</v>
      </c>
      <c r="H15162" t="s">
        <v>47126</v>
      </c>
      <c r="I15162" t="s">
        <v>47127</v>
      </c>
      <c r="J15162" t="s">
        <v>47128</v>
      </c>
      <c r="K15162" t="s">
        <v>47113</v>
      </c>
      <c r="L15162">
        <v>52.77</v>
      </c>
      <c r="M15162">
        <v>128</v>
      </c>
      <c r="N15162">
        <v>0</v>
      </c>
      <c r="O15162">
        <v>128</v>
      </c>
      <c r="P15162">
        <v>0</v>
      </c>
    </row>
    <row r="15163" spans="1:16" x14ac:dyDescent="0.25">
      <c r="A15163" t="s">
        <v>37847</v>
      </c>
      <c r="B15163" t="s">
        <v>10405</v>
      </c>
      <c r="C15163" t="s">
        <v>10406</v>
      </c>
      <c r="D15163" t="str">
        <f>"2166"</f>
        <v>2166</v>
      </c>
      <c r="E15163" t="s">
        <v>80</v>
      </c>
      <c r="F15163" t="s">
        <v>2068</v>
      </c>
      <c r="G15163" t="s">
        <v>47097</v>
      </c>
      <c r="H15163" t="s">
        <v>47126</v>
      </c>
      <c r="I15163" t="s">
        <v>47127</v>
      </c>
      <c r="J15163" t="s">
        <v>47128</v>
      </c>
      <c r="K15163" t="s">
        <v>47113</v>
      </c>
      <c r="L15163">
        <v>52.77</v>
      </c>
      <c r="M15163">
        <v>128</v>
      </c>
      <c r="N15163">
        <v>0</v>
      </c>
      <c r="O15163">
        <v>128</v>
      </c>
      <c r="P15163">
        <v>0</v>
      </c>
    </row>
    <row r="15164" spans="1:16" x14ac:dyDescent="0.25">
      <c r="A15164" t="s">
        <v>37848</v>
      </c>
      <c r="B15164" t="s">
        <v>10405</v>
      </c>
      <c r="C15164" t="s">
        <v>10406</v>
      </c>
      <c r="D15164" t="str">
        <f>"4000"</f>
        <v>4000</v>
      </c>
      <c r="E15164" t="s">
        <v>190</v>
      </c>
      <c r="F15164" t="s">
        <v>2068</v>
      </c>
      <c r="G15164" t="s">
        <v>47097</v>
      </c>
      <c r="H15164" t="s">
        <v>47126</v>
      </c>
      <c r="I15164" t="s">
        <v>47127</v>
      </c>
      <c r="J15164" t="s">
        <v>47128</v>
      </c>
      <c r="K15164" t="s">
        <v>47113</v>
      </c>
      <c r="L15164">
        <v>52.77</v>
      </c>
      <c r="M15164">
        <v>128</v>
      </c>
      <c r="N15164">
        <v>0</v>
      </c>
      <c r="O15164">
        <v>128</v>
      </c>
      <c r="P15164">
        <v>0</v>
      </c>
    </row>
    <row r="15165" spans="1:16" x14ac:dyDescent="0.25">
      <c r="A15165" t="s">
        <v>37849</v>
      </c>
      <c r="B15165" t="s">
        <v>10407</v>
      </c>
      <c r="C15165" t="s">
        <v>10408</v>
      </c>
      <c r="D15165" t="str">
        <f>"1106"</f>
        <v>1106</v>
      </c>
      <c r="E15165" t="s">
        <v>460</v>
      </c>
      <c r="F15165" t="s">
        <v>2068</v>
      </c>
      <c r="G15165" t="s">
        <v>47096</v>
      </c>
      <c r="H15165" t="s">
        <v>47126</v>
      </c>
      <c r="I15165" t="s">
        <v>47127</v>
      </c>
      <c r="J15165" t="s">
        <v>47128</v>
      </c>
      <c r="K15165" t="s">
        <v>47113</v>
      </c>
      <c r="L15165">
        <v>47.34</v>
      </c>
      <c r="M15165">
        <v>115</v>
      </c>
      <c r="N15165">
        <v>0</v>
      </c>
      <c r="O15165">
        <v>115</v>
      </c>
      <c r="P15165">
        <v>0</v>
      </c>
    </row>
    <row r="15166" spans="1:16" x14ac:dyDescent="0.25">
      <c r="A15166" t="s">
        <v>37850</v>
      </c>
      <c r="B15166" t="s">
        <v>10407</v>
      </c>
      <c r="C15166" t="s">
        <v>10408</v>
      </c>
      <c r="D15166" t="str">
        <f>"1285"</f>
        <v>1285</v>
      </c>
      <c r="E15166" t="s">
        <v>2148</v>
      </c>
      <c r="F15166" t="s">
        <v>2068</v>
      </c>
      <c r="G15166" t="s">
        <v>47096</v>
      </c>
      <c r="H15166" t="s">
        <v>47126</v>
      </c>
      <c r="I15166" t="s">
        <v>47127</v>
      </c>
      <c r="J15166" t="s">
        <v>47128</v>
      </c>
      <c r="K15166" t="s">
        <v>47113</v>
      </c>
      <c r="L15166">
        <v>47.34</v>
      </c>
      <c r="M15166">
        <v>115</v>
      </c>
      <c r="N15166">
        <v>0</v>
      </c>
      <c r="O15166">
        <v>115</v>
      </c>
      <c r="P15166">
        <v>0</v>
      </c>
    </row>
    <row r="15167" spans="1:16" x14ac:dyDescent="0.25">
      <c r="A15167" t="s">
        <v>37851</v>
      </c>
      <c r="B15167" t="s">
        <v>10407</v>
      </c>
      <c r="C15167" t="s">
        <v>10408</v>
      </c>
      <c r="D15167" t="str">
        <f>"1378"</f>
        <v>1378</v>
      </c>
      <c r="E15167" t="s">
        <v>388</v>
      </c>
      <c r="F15167" t="s">
        <v>2068</v>
      </c>
      <c r="G15167" t="s">
        <v>47096</v>
      </c>
      <c r="H15167" t="s">
        <v>47126</v>
      </c>
      <c r="I15167" t="s">
        <v>47127</v>
      </c>
      <c r="J15167" t="s">
        <v>47128</v>
      </c>
      <c r="K15167" t="s">
        <v>47113</v>
      </c>
      <c r="L15167">
        <v>47.34</v>
      </c>
      <c r="M15167">
        <v>115</v>
      </c>
      <c r="N15167">
        <v>0</v>
      </c>
      <c r="O15167">
        <v>115</v>
      </c>
      <c r="P15167">
        <v>0</v>
      </c>
    </row>
    <row r="15168" spans="1:16" x14ac:dyDescent="0.25">
      <c r="A15168" t="s">
        <v>37852</v>
      </c>
      <c r="B15168" t="s">
        <v>10407</v>
      </c>
      <c r="C15168" t="s">
        <v>10408</v>
      </c>
      <c r="D15168" t="str">
        <f>"2166"</f>
        <v>2166</v>
      </c>
      <c r="E15168" t="s">
        <v>80</v>
      </c>
      <c r="F15168" t="s">
        <v>2068</v>
      </c>
      <c r="G15168" t="s">
        <v>47096</v>
      </c>
      <c r="H15168" t="s">
        <v>47126</v>
      </c>
      <c r="I15168" t="s">
        <v>47127</v>
      </c>
      <c r="J15168" t="s">
        <v>47128</v>
      </c>
      <c r="K15168" t="s">
        <v>47113</v>
      </c>
      <c r="L15168">
        <v>47.34</v>
      </c>
      <c r="M15168">
        <v>115</v>
      </c>
      <c r="N15168">
        <v>0</v>
      </c>
      <c r="O15168">
        <v>115</v>
      </c>
      <c r="P15168">
        <v>0</v>
      </c>
    </row>
    <row r="15169" spans="1:16" x14ac:dyDescent="0.25">
      <c r="A15169" t="s">
        <v>37853</v>
      </c>
      <c r="B15169" t="s">
        <v>10407</v>
      </c>
      <c r="C15169" t="s">
        <v>10408</v>
      </c>
      <c r="D15169" t="str">
        <f>"4000"</f>
        <v>4000</v>
      </c>
      <c r="E15169" t="s">
        <v>190</v>
      </c>
      <c r="F15169" t="s">
        <v>2068</v>
      </c>
      <c r="G15169" t="s">
        <v>47096</v>
      </c>
      <c r="H15169" t="s">
        <v>47126</v>
      </c>
      <c r="I15169" t="s">
        <v>47127</v>
      </c>
      <c r="J15169" t="s">
        <v>47128</v>
      </c>
      <c r="K15169" t="s">
        <v>47113</v>
      </c>
      <c r="L15169">
        <v>47.34</v>
      </c>
      <c r="M15169">
        <v>115</v>
      </c>
      <c r="N15169">
        <v>0</v>
      </c>
      <c r="O15169">
        <v>115</v>
      </c>
      <c r="P15169">
        <v>0</v>
      </c>
    </row>
    <row r="15170" spans="1:16" x14ac:dyDescent="0.25">
      <c r="A15170" t="s">
        <v>37854</v>
      </c>
      <c r="B15170" t="s">
        <v>10409</v>
      </c>
      <c r="C15170" t="s">
        <v>10410</v>
      </c>
      <c r="D15170" t="str">
        <f>"1106"</f>
        <v>1106</v>
      </c>
      <c r="E15170" t="s">
        <v>460</v>
      </c>
      <c r="F15170" t="s">
        <v>2068</v>
      </c>
      <c r="G15170" t="s">
        <v>47096</v>
      </c>
      <c r="H15170" t="s">
        <v>47126</v>
      </c>
      <c r="I15170" t="s">
        <v>47127</v>
      </c>
      <c r="J15170" t="s">
        <v>47128</v>
      </c>
      <c r="K15170" t="s">
        <v>47113</v>
      </c>
      <c r="L15170">
        <v>43.72</v>
      </c>
      <c r="M15170">
        <v>105</v>
      </c>
      <c r="N15170">
        <v>0</v>
      </c>
      <c r="O15170">
        <v>105</v>
      </c>
      <c r="P15170">
        <v>0</v>
      </c>
    </row>
    <row r="15171" spans="1:16" x14ac:dyDescent="0.25">
      <c r="A15171" t="s">
        <v>37855</v>
      </c>
      <c r="B15171" t="s">
        <v>10409</v>
      </c>
      <c r="C15171" t="s">
        <v>10410</v>
      </c>
      <c r="D15171" t="str">
        <f>"1285"</f>
        <v>1285</v>
      </c>
      <c r="E15171" t="s">
        <v>2148</v>
      </c>
      <c r="F15171" t="s">
        <v>2068</v>
      </c>
      <c r="G15171" t="s">
        <v>47096</v>
      </c>
      <c r="H15171" t="s">
        <v>47126</v>
      </c>
      <c r="I15171" t="s">
        <v>47127</v>
      </c>
      <c r="J15171" t="s">
        <v>47128</v>
      </c>
      <c r="K15171" t="s">
        <v>47113</v>
      </c>
      <c r="L15171">
        <v>43.72</v>
      </c>
      <c r="M15171">
        <v>105</v>
      </c>
      <c r="N15171">
        <v>0</v>
      </c>
      <c r="O15171">
        <v>105</v>
      </c>
      <c r="P15171">
        <v>0</v>
      </c>
    </row>
    <row r="15172" spans="1:16" x14ac:dyDescent="0.25">
      <c r="A15172" t="s">
        <v>37856</v>
      </c>
      <c r="B15172" t="s">
        <v>10409</v>
      </c>
      <c r="C15172" t="s">
        <v>10410</v>
      </c>
      <c r="D15172" t="str">
        <f>"1378"</f>
        <v>1378</v>
      </c>
      <c r="E15172" t="s">
        <v>388</v>
      </c>
      <c r="F15172" t="s">
        <v>2068</v>
      </c>
      <c r="G15172" t="s">
        <v>47096</v>
      </c>
      <c r="H15172" t="s">
        <v>47126</v>
      </c>
      <c r="I15172" t="s">
        <v>47127</v>
      </c>
      <c r="J15172" t="s">
        <v>47128</v>
      </c>
      <c r="K15172" t="s">
        <v>47113</v>
      </c>
      <c r="L15172">
        <v>43.72</v>
      </c>
      <c r="M15172">
        <v>105</v>
      </c>
      <c r="N15172">
        <v>0</v>
      </c>
      <c r="O15172">
        <v>105</v>
      </c>
      <c r="P15172">
        <v>0</v>
      </c>
    </row>
    <row r="15173" spans="1:16" x14ac:dyDescent="0.25">
      <c r="A15173" t="s">
        <v>37857</v>
      </c>
      <c r="B15173" t="s">
        <v>10409</v>
      </c>
      <c r="C15173" t="s">
        <v>10410</v>
      </c>
      <c r="D15173" t="str">
        <f>"2166"</f>
        <v>2166</v>
      </c>
      <c r="E15173" t="s">
        <v>80</v>
      </c>
      <c r="F15173" t="s">
        <v>2068</v>
      </c>
      <c r="G15173" t="s">
        <v>47096</v>
      </c>
      <c r="H15173" t="s">
        <v>47126</v>
      </c>
      <c r="I15173" t="s">
        <v>47127</v>
      </c>
      <c r="J15173" t="s">
        <v>47128</v>
      </c>
      <c r="K15173" t="s">
        <v>47113</v>
      </c>
      <c r="L15173">
        <v>43.72</v>
      </c>
      <c r="M15173">
        <v>105</v>
      </c>
      <c r="N15173">
        <v>0</v>
      </c>
      <c r="O15173">
        <v>105</v>
      </c>
      <c r="P15173">
        <v>0</v>
      </c>
    </row>
    <row r="15174" spans="1:16" x14ac:dyDescent="0.25">
      <c r="A15174" t="s">
        <v>37858</v>
      </c>
      <c r="B15174" t="s">
        <v>10409</v>
      </c>
      <c r="C15174" t="s">
        <v>10410</v>
      </c>
      <c r="D15174" t="str">
        <f>"4000"</f>
        <v>4000</v>
      </c>
      <c r="E15174" t="s">
        <v>190</v>
      </c>
      <c r="F15174" t="s">
        <v>2068</v>
      </c>
      <c r="G15174" t="s">
        <v>47096</v>
      </c>
      <c r="H15174" t="s">
        <v>47126</v>
      </c>
      <c r="I15174" t="s">
        <v>47127</v>
      </c>
      <c r="J15174" t="s">
        <v>47128</v>
      </c>
      <c r="K15174" t="s">
        <v>47113</v>
      </c>
      <c r="L15174">
        <v>43.72</v>
      </c>
      <c r="M15174">
        <v>105</v>
      </c>
      <c r="N15174">
        <v>0</v>
      </c>
      <c r="O15174">
        <v>105</v>
      </c>
      <c r="P15174">
        <v>0</v>
      </c>
    </row>
    <row r="15175" spans="1:16" x14ac:dyDescent="0.25">
      <c r="A15175" t="s">
        <v>37859</v>
      </c>
      <c r="B15175" t="s">
        <v>10411</v>
      </c>
      <c r="C15175" t="s">
        <v>10412</v>
      </c>
      <c r="D15175" t="s">
        <v>3940</v>
      </c>
      <c r="E15175" t="s">
        <v>10399</v>
      </c>
      <c r="F15175" t="s">
        <v>2068</v>
      </c>
      <c r="G15175" t="s">
        <v>47096</v>
      </c>
      <c r="H15175" t="s">
        <v>47153</v>
      </c>
      <c r="I15175" t="s">
        <v>47132</v>
      </c>
      <c r="J15175" t="s">
        <v>47133</v>
      </c>
      <c r="K15175" t="s">
        <v>47113</v>
      </c>
      <c r="L15175">
        <v>71.08</v>
      </c>
      <c r="M15175">
        <v>115</v>
      </c>
      <c r="N15175">
        <v>0</v>
      </c>
      <c r="O15175">
        <v>115</v>
      </c>
      <c r="P15175">
        <v>0</v>
      </c>
    </row>
    <row r="15176" spans="1:16" x14ac:dyDescent="0.25">
      <c r="A15176" t="s">
        <v>37860</v>
      </c>
      <c r="B15176" t="s">
        <v>10411</v>
      </c>
      <c r="C15176" t="s">
        <v>10412</v>
      </c>
      <c r="D15176" t="s">
        <v>502</v>
      </c>
      <c r="E15176" t="s">
        <v>503</v>
      </c>
      <c r="F15176" t="s">
        <v>2068</v>
      </c>
      <c r="G15176" t="s">
        <v>47096</v>
      </c>
      <c r="H15176" t="s">
        <v>47153</v>
      </c>
      <c r="I15176" t="s">
        <v>47132</v>
      </c>
      <c r="J15176" t="s">
        <v>47133</v>
      </c>
      <c r="K15176" t="s">
        <v>47113</v>
      </c>
      <c r="L15176">
        <v>71.08</v>
      </c>
      <c r="M15176">
        <v>115</v>
      </c>
      <c r="N15176">
        <v>0</v>
      </c>
      <c r="O15176">
        <v>115</v>
      </c>
      <c r="P15176">
        <v>0</v>
      </c>
    </row>
    <row r="15177" spans="1:16" x14ac:dyDescent="0.25">
      <c r="A15177" t="s">
        <v>37861</v>
      </c>
      <c r="B15177" t="s">
        <v>10411</v>
      </c>
      <c r="C15177" t="s">
        <v>10412</v>
      </c>
      <c r="D15177" t="s">
        <v>428</v>
      </c>
      <c r="E15177" t="s">
        <v>429</v>
      </c>
      <c r="F15177" t="s">
        <v>2068</v>
      </c>
      <c r="G15177" t="s">
        <v>47096</v>
      </c>
      <c r="H15177" t="s">
        <v>47153</v>
      </c>
      <c r="I15177" t="s">
        <v>47132</v>
      </c>
      <c r="J15177" t="s">
        <v>47133</v>
      </c>
      <c r="K15177" t="s">
        <v>47113</v>
      </c>
      <c r="L15177">
        <v>71.08</v>
      </c>
      <c r="M15177">
        <v>115</v>
      </c>
      <c r="N15177">
        <v>0</v>
      </c>
      <c r="O15177">
        <v>115</v>
      </c>
      <c r="P15177">
        <v>0</v>
      </c>
    </row>
    <row r="15178" spans="1:16" x14ac:dyDescent="0.25">
      <c r="A15178" t="s">
        <v>37862</v>
      </c>
      <c r="B15178" t="s">
        <v>10411</v>
      </c>
      <c r="C15178" t="s">
        <v>10412</v>
      </c>
      <c r="D15178" t="s">
        <v>418</v>
      </c>
      <c r="E15178" t="s">
        <v>419</v>
      </c>
      <c r="F15178" t="s">
        <v>2068</v>
      </c>
      <c r="G15178" t="s">
        <v>47096</v>
      </c>
      <c r="H15178" t="s">
        <v>47153</v>
      </c>
      <c r="I15178" t="s">
        <v>47132</v>
      </c>
      <c r="J15178" t="s">
        <v>47133</v>
      </c>
      <c r="K15178" t="s">
        <v>47113</v>
      </c>
      <c r="L15178">
        <v>71.08</v>
      </c>
      <c r="M15178">
        <v>115</v>
      </c>
      <c r="N15178">
        <v>0</v>
      </c>
      <c r="O15178">
        <v>115</v>
      </c>
      <c r="P15178">
        <v>0</v>
      </c>
    </row>
    <row r="15179" spans="1:16" x14ac:dyDescent="0.25">
      <c r="A15179" t="s">
        <v>37863</v>
      </c>
      <c r="B15179" t="s">
        <v>10413</v>
      </c>
      <c r="C15179" t="s">
        <v>10414</v>
      </c>
      <c r="D15179" t="str">
        <f>"1106"</f>
        <v>1106</v>
      </c>
      <c r="E15179" t="s">
        <v>460</v>
      </c>
      <c r="F15179" t="s">
        <v>2068</v>
      </c>
      <c r="G15179" t="s">
        <v>47096</v>
      </c>
      <c r="H15179" t="s">
        <v>47126</v>
      </c>
      <c r="I15179" t="s">
        <v>47127</v>
      </c>
      <c r="J15179" t="s">
        <v>47128</v>
      </c>
      <c r="K15179" t="s">
        <v>47113</v>
      </c>
      <c r="L15179">
        <v>30.43</v>
      </c>
      <c r="M15179">
        <v>73</v>
      </c>
      <c r="N15179">
        <v>0</v>
      </c>
      <c r="O15179">
        <v>73</v>
      </c>
      <c r="P15179">
        <v>0</v>
      </c>
    </row>
    <row r="15180" spans="1:16" x14ac:dyDescent="0.25">
      <c r="A15180" t="s">
        <v>37864</v>
      </c>
      <c r="B15180" t="s">
        <v>10413</v>
      </c>
      <c r="C15180" t="s">
        <v>10414</v>
      </c>
      <c r="D15180" t="str">
        <f>"1377"</f>
        <v>1377</v>
      </c>
      <c r="E15180" t="s">
        <v>74</v>
      </c>
      <c r="F15180" t="s">
        <v>2068</v>
      </c>
      <c r="G15180" t="s">
        <v>47096</v>
      </c>
      <c r="H15180" t="s">
        <v>47126</v>
      </c>
      <c r="I15180" t="s">
        <v>47127</v>
      </c>
      <c r="J15180" t="s">
        <v>47128</v>
      </c>
      <c r="K15180" t="s">
        <v>47113</v>
      </c>
      <c r="L15180">
        <v>30.43</v>
      </c>
      <c r="M15180">
        <v>73</v>
      </c>
      <c r="N15180">
        <v>0</v>
      </c>
      <c r="O15180">
        <v>73</v>
      </c>
      <c r="P15180">
        <v>0</v>
      </c>
    </row>
    <row r="15181" spans="1:16" x14ac:dyDescent="0.25">
      <c r="A15181" t="s">
        <v>37865</v>
      </c>
      <c r="B15181" t="s">
        <v>10413</v>
      </c>
      <c r="C15181" t="s">
        <v>10414</v>
      </c>
      <c r="D15181" t="str">
        <f>"1378"</f>
        <v>1378</v>
      </c>
      <c r="E15181" t="s">
        <v>388</v>
      </c>
      <c r="F15181" t="s">
        <v>2068</v>
      </c>
      <c r="G15181" t="s">
        <v>47096</v>
      </c>
      <c r="H15181" t="s">
        <v>47126</v>
      </c>
      <c r="I15181" t="s">
        <v>47127</v>
      </c>
      <c r="J15181" t="s">
        <v>47128</v>
      </c>
      <c r="K15181" t="s">
        <v>47113</v>
      </c>
      <c r="L15181">
        <v>30.43</v>
      </c>
      <c r="M15181">
        <v>73</v>
      </c>
      <c r="N15181">
        <v>0</v>
      </c>
      <c r="O15181">
        <v>73</v>
      </c>
      <c r="P15181">
        <v>0</v>
      </c>
    </row>
    <row r="15182" spans="1:16" x14ac:dyDescent="0.25">
      <c r="A15182" t="s">
        <v>37866</v>
      </c>
      <c r="B15182" t="s">
        <v>10413</v>
      </c>
      <c r="C15182" t="s">
        <v>10414</v>
      </c>
      <c r="D15182" t="str">
        <f>"2166"</f>
        <v>2166</v>
      </c>
      <c r="E15182" t="s">
        <v>80</v>
      </c>
      <c r="F15182" t="s">
        <v>2068</v>
      </c>
      <c r="G15182" t="s">
        <v>47096</v>
      </c>
      <c r="H15182" t="s">
        <v>47126</v>
      </c>
      <c r="I15182" t="s">
        <v>47127</v>
      </c>
      <c r="J15182" t="s">
        <v>47128</v>
      </c>
      <c r="K15182" t="s">
        <v>47113</v>
      </c>
      <c r="L15182">
        <v>30.43</v>
      </c>
      <c r="M15182">
        <v>73</v>
      </c>
      <c r="N15182">
        <v>0</v>
      </c>
      <c r="O15182">
        <v>73</v>
      </c>
      <c r="P15182">
        <v>0</v>
      </c>
    </row>
    <row r="15183" spans="1:16" x14ac:dyDescent="0.25">
      <c r="A15183" t="s">
        <v>37867</v>
      </c>
      <c r="B15183" t="s">
        <v>10413</v>
      </c>
      <c r="C15183" t="s">
        <v>10414</v>
      </c>
      <c r="D15183" t="str">
        <f>"4000"</f>
        <v>4000</v>
      </c>
      <c r="E15183" t="s">
        <v>190</v>
      </c>
      <c r="F15183" t="s">
        <v>2068</v>
      </c>
      <c r="G15183" t="s">
        <v>47096</v>
      </c>
      <c r="H15183" t="s">
        <v>47126</v>
      </c>
      <c r="I15183" t="s">
        <v>47127</v>
      </c>
      <c r="J15183" t="s">
        <v>47128</v>
      </c>
      <c r="K15183" t="s">
        <v>47113</v>
      </c>
      <c r="L15183">
        <v>30.43</v>
      </c>
      <c r="M15183">
        <v>73</v>
      </c>
      <c r="N15183">
        <v>0</v>
      </c>
      <c r="O15183">
        <v>73</v>
      </c>
      <c r="P15183">
        <v>0</v>
      </c>
    </row>
    <row r="15184" spans="1:16" x14ac:dyDescent="0.25">
      <c r="A15184" t="s">
        <v>37868</v>
      </c>
      <c r="B15184" t="s">
        <v>10413</v>
      </c>
      <c r="C15184" t="s">
        <v>10414</v>
      </c>
      <c r="D15184" t="str">
        <f>"4201"</f>
        <v>4201</v>
      </c>
      <c r="E15184" t="s">
        <v>1855</v>
      </c>
      <c r="F15184" t="s">
        <v>2068</v>
      </c>
      <c r="G15184" t="s">
        <v>47096</v>
      </c>
      <c r="H15184" t="s">
        <v>47126</v>
      </c>
      <c r="I15184" t="s">
        <v>47127</v>
      </c>
      <c r="J15184" t="s">
        <v>47128</v>
      </c>
      <c r="K15184" t="s">
        <v>47113</v>
      </c>
      <c r="L15184">
        <v>30.43</v>
      </c>
      <c r="M15184">
        <v>73</v>
      </c>
      <c r="N15184">
        <v>0</v>
      </c>
      <c r="O15184">
        <v>73</v>
      </c>
      <c r="P15184">
        <v>0</v>
      </c>
    </row>
    <row r="15185" spans="1:16" x14ac:dyDescent="0.25">
      <c r="A15185" t="s">
        <v>37869</v>
      </c>
      <c r="B15185" t="s">
        <v>10413</v>
      </c>
      <c r="C15185" t="s">
        <v>10414</v>
      </c>
      <c r="D15185" t="str">
        <f>"4643"</f>
        <v>4643</v>
      </c>
      <c r="E15185" t="s">
        <v>205</v>
      </c>
      <c r="F15185" t="s">
        <v>2068</v>
      </c>
      <c r="G15185" t="s">
        <v>47096</v>
      </c>
      <c r="H15185" t="s">
        <v>47126</v>
      </c>
      <c r="I15185" t="s">
        <v>47127</v>
      </c>
      <c r="J15185" t="s">
        <v>47128</v>
      </c>
      <c r="K15185" t="s">
        <v>47113</v>
      </c>
      <c r="L15185">
        <v>30.43</v>
      </c>
      <c r="M15185">
        <v>73</v>
      </c>
      <c r="N15185">
        <v>0</v>
      </c>
      <c r="O15185">
        <v>73</v>
      </c>
      <c r="P15185">
        <v>0</v>
      </c>
    </row>
    <row r="15186" spans="1:16" x14ac:dyDescent="0.25">
      <c r="A15186" t="s">
        <v>37870</v>
      </c>
      <c r="B15186" t="s">
        <v>10413</v>
      </c>
      <c r="C15186" t="s">
        <v>10414</v>
      </c>
      <c r="D15186" t="str">
        <f>"4753"</f>
        <v>4753</v>
      </c>
      <c r="E15186" t="s">
        <v>3755</v>
      </c>
      <c r="F15186" t="s">
        <v>2068</v>
      </c>
      <c r="G15186" t="s">
        <v>47096</v>
      </c>
      <c r="H15186" t="s">
        <v>47126</v>
      </c>
      <c r="I15186" t="s">
        <v>47127</v>
      </c>
      <c r="J15186" t="s">
        <v>47128</v>
      </c>
      <c r="K15186" t="s">
        <v>47113</v>
      </c>
      <c r="L15186">
        <v>30.43</v>
      </c>
      <c r="M15186">
        <v>73</v>
      </c>
      <c r="N15186">
        <v>0</v>
      </c>
      <c r="O15186">
        <v>73</v>
      </c>
      <c r="P15186">
        <v>0</v>
      </c>
    </row>
    <row r="15187" spans="1:16" x14ac:dyDescent="0.25">
      <c r="A15187" t="s">
        <v>37871</v>
      </c>
      <c r="B15187" t="s">
        <v>10413</v>
      </c>
      <c r="C15187" t="s">
        <v>10414</v>
      </c>
      <c r="D15187" t="s">
        <v>10280</v>
      </c>
      <c r="E15187" t="s">
        <v>10281</v>
      </c>
      <c r="F15187" t="s">
        <v>2068</v>
      </c>
      <c r="G15187" t="s">
        <v>47096</v>
      </c>
      <c r="H15187" t="s">
        <v>47126</v>
      </c>
      <c r="I15187" t="s">
        <v>47127</v>
      </c>
      <c r="J15187" t="s">
        <v>47128</v>
      </c>
      <c r="K15187" t="s">
        <v>47113</v>
      </c>
      <c r="L15187">
        <v>30.43</v>
      </c>
      <c r="M15187">
        <v>73</v>
      </c>
      <c r="N15187">
        <v>0</v>
      </c>
      <c r="O15187">
        <v>73</v>
      </c>
      <c r="P15187">
        <v>0</v>
      </c>
    </row>
    <row r="15188" spans="1:16" x14ac:dyDescent="0.25">
      <c r="A15188" t="s">
        <v>37872</v>
      </c>
      <c r="B15188" t="s">
        <v>10415</v>
      </c>
      <c r="C15188" t="s">
        <v>10416</v>
      </c>
      <c r="D15188" t="s">
        <v>10417</v>
      </c>
      <c r="E15188" t="s">
        <v>10418</v>
      </c>
      <c r="F15188" t="s">
        <v>2068</v>
      </c>
      <c r="G15188" t="s">
        <v>47096</v>
      </c>
      <c r="H15188" t="s">
        <v>47153</v>
      </c>
      <c r="I15188" t="s">
        <v>47132</v>
      </c>
      <c r="J15188" t="s">
        <v>47133</v>
      </c>
      <c r="K15188" t="s">
        <v>47113</v>
      </c>
      <c r="L15188">
        <v>58.05</v>
      </c>
      <c r="M15188">
        <v>94</v>
      </c>
      <c r="N15188">
        <v>0</v>
      </c>
      <c r="O15188">
        <v>94</v>
      </c>
      <c r="P15188">
        <v>0</v>
      </c>
    </row>
    <row r="15189" spans="1:16" x14ac:dyDescent="0.25">
      <c r="A15189" t="s">
        <v>37873</v>
      </c>
      <c r="B15189" t="s">
        <v>10415</v>
      </c>
      <c r="C15189" t="s">
        <v>10416</v>
      </c>
      <c r="D15189" t="s">
        <v>428</v>
      </c>
      <c r="E15189" t="s">
        <v>429</v>
      </c>
      <c r="F15189" t="s">
        <v>2068</v>
      </c>
      <c r="G15189" t="s">
        <v>47096</v>
      </c>
      <c r="H15189" t="s">
        <v>47153</v>
      </c>
      <c r="I15189" t="s">
        <v>47132</v>
      </c>
      <c r="J15189" t="s">
        <v>47133</v>
      </c>
      <c r="K15189" t="s">
        <v>47113</v>
      </c>
      <c r="L15189">
        <v>58.05</v>
      </c>
      <c r="M15189">
        <v>94</v>
      </c>
      <c r="N15189">
        <v>0</v>
      </c>
      <c r="O15189">
        <v>94</v>
      </c>
      <c r="P15189">
        <v>0</v>
      </c>
    </row>
    <row r="15190" spans="1:16" x14ac:dyDescent="0.25">
      <c r="A15190" t="s">
        <v>37874</v>
      </c>
      <c r="B15190" t="s">
        <v>10415</v>
      </c>
      <c r="C15190" t="s">
        <v>10416</v>
      </c>
      <c r="D15190" t="s">
        <v>418</v>
      </c>
      <c r="E15190" t="s">
        <v>419</v>
      </c>
      <c r="F15190" t="s">
        <v>2068</v>
      </c>
      <c r="G15190" t="s">
        <v>47096</v>
      </c>
      <c r="H15190" t="s">
        <v>47153</v>
      </c>
      <c r="I15190" t="s">
        <v>47132</v>
      </c>
      <c r="J15190" t="s">
        <v>47133</v>
      </c>
      <c r="K15190" t="s">
        <v>47113</v>
      </c>
      <c r="L15190">
        <v>58.05</v>
      </c>
      <c r="M15190">
        <v>94</v>
      </c>
      <c r="N15190">
        <v>0</v>
      </c>
      <c r="O15190">
        <v>94</v>
      </c>
      <c r="P15190">
        <v>0</v>
      </c>
    </row>
    <row r="15191" spans="1:16" x14ac:dyDescent="0.25">
      <c r="A15191" t="s">
        <v>37875</v>
      </c>
      <c r="B15191" t="s">
        <v>10419</v>
      </c>
      <c r="C15191" t="s">
        <v>2151</v>
      </c>
      <c r="D15191" t="str">
        <f>"1106"</f>
        <v>1106</v>
      </c>
      <c r="E15191" t="s">
        <v>460</v>
      </c>
      <c r="F15191" t="s">
        <v>2068</v>
      </c>
      <c r="G15191" t="s">
        <v>47097</v>
      </c>
      <c r="H15191" t="s">
        <v>47126</v>
      </c>
      <c r="I15191" t="s">
        <v>47127</v>
      </c>
      <c r="J15191" t="s">
        <v>47128</v>
      </c>
      <c r="K15191" t="s">
        <v>47113</v>
      </c>
      <c r="L15191">
        <v>27.9</v>
      </c>
      <c r="M15191">
        <v>68</v>
      </c>
      <c r="N15191">
        <v>0</v>
      </c>
      <c r="O15191">
        <v>68</v>
      </c>
      <c r="P15191">
        <v>0</v>
      </c>
    </row>
    <row r="15192" spans="1:16" x14ac:dyDescent="0.25">
      <c r="A15192" t="s">
        <v>37876</v>
      </c>
      <c r="B15192" t="s">
        <v>10419</v>
      </c>
      <c r="C15192" t="s">
        <v>2151</v>
      </c>
      <c r="D15192" t="str">
        <f>"1378"</f>
        <v>1378</v>
      </c>
      <c r="E15192" t="s">
        <v>388</v>
      </c>
      <c r="F15192" t="s">
        <v>2068</v>
      </c>
      <c r="G15192" t="s">
        <v>47097</v>
      </c>
      <c r="H15192" t="s">
        <v>47126</v>
      </c>
      <c r="I15192" t="s">
        <v>47127</v>
      </c>
      <c r="J15192" t="s">
        <v>47128</v>
      </c>
      <c r="K15192" t="s">
        <v>47113</v>
      </c>
      <c r="L15192">
        <v>27.9</v>
      </c>
      <c r="M15192">
        <v>68</v>
      </c>
      <c r="N15192">
        <v>0</v>
      </c>
      <c r="O15192">
        <v>68</v>
      </c>
      <c r="P15192">
        <v>0</v>
      </c>
    </row>
    <row r="15193" spans="1:16" x14ac:dyDescent="0.25">
      <c r="A15193" t="s">
        <v>37877</v>
      </c>
      <c r="B15193" t="s">
        <v>10419</v>
      </c>
      <c r="C15193" t="s">
        <v>2151</v>
      </c>
      <c r="D15193" t="str">
        <f>"2166"</f>
        <v>2166</v>
      </c>
      <c r="E15193" t="s">
        <v>80</v>
      </c>
      <c r="F15193" t="s">
        <v>2068</v>
      </c>
      <c r="G15193" t="s">
        <v>47097</v>
      </c>
      <c r="H15193" t="s">
        <v>47126</v>
      </c>
      <c r="I15193" t="s">
        <v>47127</v>
      </c>
      <c r="J15193" t="s">
        <v>47128</v>
      </c>
      <c r="K15193" t="s">
        <v>47113</v>
      </c>
      <c r="L15193">
        <v>27.9</v>
      </c>
      <c r="M15193">
        <v>68</v>
      </c>
      <c r="N15193">
        <v>0</v>
      </c>
      <c r="O15193">
        <v>68</v>
      </c>
      <c r="P15193">
        <v>0</v>
      </c>
    </row>
    <row r="15194" spans="1:16" x14ac:dyDescent="0.25">
      <c r="A15194" t="s">
        <v>37878</v>
      </c>
      <c r="B15194" t="s">
        <v>10420</v>
      </c>
      <c r="C15194" t="s">
        <v>10421</v>
      </c>
      <c r="D15194" t="s">
        <v>10422</v>
      </c>
      <c r="E15194" t="s">
        <v>10423</v>
      </c>
      <c r="F15194" t="s">
        <v>2068</v>
      </c>
      <c r="G15194" t="s">
        <v>47096</v>
      </c>
      <c r="H15194" t="s">
        <v>47153</v>
      </c>
      <c r="I15194" t="s">
        <v>47132</v>
      </c>
      <c r="J15194" t="s">
        <v>47133</v>
      </c>
      <c r="K15194" t="s">
        <v>47113</v>
      </c>
      <c r="L15194">
        <v>74.63</v>
      </c>
      <c r="M15194">
        <v>120</v>
      </c>
      <c r="N15194">
        <v>0</v>
      </c>
      <c r="O15194">
        <v>120</v>
      </c>
      <c r="P15194">
        <v>0</v>
      </c>
    </row>
    <row r="15195" spans="1:16" x14ac:dyDescent="0.25">
      <c r="A15195" t="s">
        <v>37879</v>
      </c>
      <c r="B15195" t="s">
        <v>10420</v>
      </c>
      <c r="C15195" t="s">
        <v>10421</v>
      </c>
      <c r="D15195" t="s">
        <v>504</v>
      </c>
      <c r="E15195" t="s">
        <v>505</v>
      </c>
      <c r="F15195" t="s">
        <v>2068</v>
      </c>
      <c r="G15195" t="s">
        <v>47096</v>
      </c>
      <c r="H15195" t="s">
        <v>47153</v>
      </c>
      <c r="I15195" t="s">
        <v>47132</v>
      </c>
      <c r="J15195" t="s">
        <v>47133</v>
      </c>
      <c r="K15195" t="s">
        <v>47113</v>
      </c>
      <c r="L15195">
        <v>74.63</v>
      </c>
      <c r="M15195">
        <v>120</v>
      </c>
      <c r="N15195">
        <v>0</v>
      </c>
      <c r="O15195">
        <v>120</v>
      </c>
      <c r="P15195">
        <v>0</v>
      </c>
    </row>
    <row r="15196" spans="1:16" x14ac:dyDescent="0.25">
      <c r="A15196" t="s">
        <v>37880</v>
      </c>
      <c r="B15196" t="s">
        <v>10420</v>
      </c>
      <c r="C15196" t="s">
        <v>10421</v>
      </c>
      <c r="D15196" t="s">
        <v>428</v>
      </c>
      <c r="E15196" t="s">
        <v>429</v>
      </c>
      <c r="F15196" t="s">
        <v>2068</v>
      </c>
      <c r="G15196" t="s">
        <v>47096</v>
      </c>
      <c r="H15196" t="s">
        <v>47153</v>
      </c>
      <c r="I15196" t="s">
        <v>47132</v>
      </c>
      <c r="J15196" t="s">
        <v>47133</v>
      </c>
      <c r="K15196" t="s">
        <v>47113</v>
      </c>
      <c r="L15196">
        <v>74.63</v>
      </c>
      <c r="M15196">
        <v>120</v>
      </c>
      <c r="N15196">
        <v>0</v>
      </c>
      <c r="O15196">
        <v>120</v>
      </c>
      <c r="P15196">
        <v>0</v>
      </c>
    </row>
    <row r="15197" spans="1:16" x14ac:dyDescent="0.25">
      <c r="A15197" t="s">
        <v>37881</v>
      </c>
      <c r="B15197" t="s">
        <v>10424</v>
      </c>
      <c r="C15197" t="s">
        <v>10425</v>
      </c>
      <c r="D15197" t="s">
        <v>10417</v>
      </c>
      <c r="E15197" t="s">
        <v>10418</v>
      </c>
      <c r="F15197" t="s">
        <v>2068</v>
      </c>
      <c r="G15197" t="s">
        <v>47096</v>
      </c>
      <c r="H15197" t="s">
        <v>47153</v>
      </c>
      <c r="I15197" t="s">
        <v>47132</v>
      </c>
      <c r="J15197" t="s">
        <v>47133</v>
      </c>
      <c r="K15197" t="s">
        <v>47113</v>
      </c>
      <c r="L15197">
        <v>77.010000000000005</v>
      </c>
      <c r="M15197">
        <v>125</v>
      </c>
      <c r="N15197">
        <v>0</v>
      </c>
      <c r="O15197">
        <v>125</v>
      </c>
      <c r="P15197">
        <v>0</v>
      </c>
    </row>
    <row r="15198" spans="1:16" x14ac:dyDescent="0.25">
      <c r="A15198" t="s">
        <v>37882</v>
      </c>
      <c r="B15198" t="s">
        <v>10424</v>
      </c>
      <c r="C15198" t="s">
        <v>10425</v>
      </c>
      <c r="D15198" t="s">
        <v>428</v>
      </c>
      <c r="E15198" t="s">
        <v>429</v>
      </c>
      <c r="F15198" t="s">
        <v>2068</v>
      </c>
      <c r="G15198" t="s">
        <v>47096</v>
      </c>
      <c r="H15198" t="s">
        <v>47153</v>
      </c>
      <c r="I15198" t="s">
        <v>47132</v>
      </c>
      <c r="J15198" t="s">
        <v>47133</v>
      </c>
      <c r="K15198" t="s">
        <v>47113</v>
      </c>
      <c r="L15198">
        <v>77.010000000000005</v>
      </c>
      <c r="M15198">
        <v>125</v>
      </c>
      <c r="N15198">
        <v>0</v>
      </c>
      <c r="O15198">
        <v>125</v>
      </c>
      <c r="P15198">
        <v>0</v>
      </c>
    </row>
    <row r="15199" spans="1:16" x14ac:dyDescent="0.25">
      <c r="A15199" t="s">
        <v>37883</v>
      </c>
      <c r="B15199" t="s">
        <v>10424</v>
      </c>
      <c r="C15199" t="s">
        <v>10425</v>
      </c>
      <c r="D15199" t="s">
        <v>418</v>
      </c>
      <c r="E15199" t="s">
        <v>419</v>
      </c>
      <c r="F15199" t="s">
        <v>2068</v>
      </c>
      <c r="G15199" t="s">
        <v>47096</v>
      </c>
      <c r="H15199" t="s">
        <v>47153</v>
      </c>
      <c r="I15199" t="s">
        <v>47132</v>
      </c>
      <c r="J15199" t="s">
        <v>47133</v>
      </c>
      <c r="K15199" t="s">
        <v>47113</v>
      </c>
      <c r="L15199">
        <v>77.010000000000005</v>
      </c>
      <c r="M15199">
        <v>125</v>
      </c>
      <c r="N15199">
        <v>0</v>
      </c>
      <c r="O15199">
        <v>125</v>
      </c>
      <c r="P15199">
        <v>0</v>
      </c>
    </row>
    <row r="15200" spans="1:16" x14ac:dyDescent="0.25">
      <c r="A15200" t="s">
        <v>37884</v>
      </c>
      <c r="B15200" t="s">
        <v>10426</v>
      </c>
      <c r="C15200" t="s">
        <v>10427</v>
      </c>
      <c r="D15200" t="str">
        <f>"1001"</f>
        <v>1001</v>
      </c>
      <c r="E15200" t="s">
        <v>42</v>
      </c>
      <c r="F15200" t="s">
        <v>2068</v>
      </c>
      <c r="G15200" t="s">
        <v>47098</v>
      </c>
      <c r="H15200" t="s">
        <v>47126</v>
      </c>
      <c r="I15200" t="s">
        <v>47120</v>
      </c>
      <c r="J15200" t="s">
        <v>47121</v>
      </c>
      <c r="K15200" t="s">
        <v>47113</v>
      </c>
      <c r="L15200">
        <v>129.44999999999999</v>
      </c>
      <c r="M15200">
        <v>313</v>
      </c>
      <c r="N15200">
        <v>0</v>
      </c>
      <c r="O15200">
        <v>313</v>
      </c>
      <c r="P15200">
        <v>0</v>
      </c>
    </row>
    <row r="15201" spans="1:16" x14ac:dyDescent="0.25">
      <c r="A15201" t="s">
        <v>37885</v>
      </c>
      <c r="B15201" t="s">
        <v>10426</v>
      </c>
      <c r="C15201" t="s">
        <v>10427</v>
      </c>
      <c r="D15201" t="str">
        <f>"1118"</f>
        <v>1118</v>
      </c>
      <c r="E15201" t="s">
        <v>3850</v>
      </c>
      <c r="F15201" t="s">
        <v>2068</v>
      </c>
      <c r="G15201" t="s">
        <v>47098</v>
      </c>
      <c r="H15201" t="s">
        <v>47126</v>
      </c>
      <c r="I15201" t="s">
        <v>47120</v>
      </c>
      <c r="J15201" t="s">
        <v>47121</v>
      </c>
      <c r="K15201" t="s">
        <v>47113</v>
      </c>
      <c r="L15201">
        <v>129.44999999999999</v>
      </c>
      <c r="M15201">
        <v>313</v>
      </c>
      <c r="N15201">
        <v>0</v>
      </c>
      <c r="O15201">
        <v>313</v>
      </c>
      <c r="P15201">
        <v>0</v>
      </c>
    </row>
    <row r="15202" spans="1:16" x14ac:dyDescent="0.25">
      <c r="A15202" t="s">
        <v>37886</v>
      </c>
      <c r="B15202" t="s">
        <v>10426</v>
      </c>
      <c r="C15202" t="s">
        <v>10427</v>
      </c>
      <c r="D15202" t="str">
        <f>"3532"</f>
        <v>3532</v>
      </c>
      <c r="E15202" t="s">
        <v>3962</v>
      </c>
      <c r="F15202" t="s">
        <v>2068</v>
      </c>
      <c r="G15202" t="s">
        <v>47098</v>
      </c>
      <c r="H15202" t="s">
        <v>47126</v>
      </c>
      <c r="I15202" t="s">
        <v>47120</v>
      </c>
      <c r="J15202" t="s">
        <v>47121</v>
      </c>
      <c r="K15202" t="s">
        <v>47113</v>
      </c>
      <c r="L15202">
        <v>129.44999999999999</v>
      </c>
      <c r="M15202">
        <v>313</v>
      </c>
      <c r="N15202">
        <v>0</v>
      </c>
      <c r="O15202">
        <v>313</v>
      </c>
      <c r="P15202">
        <v>0</v>
      </c>
    </row>
    <row r="15203" spans="1:16" x14ac:dyDescent="0.25">
      <c r="A15203" t="s">
        <v>15074</v>
      </c>
      <c r="B15203" t="s">
        <v>10428</v>
      </c>
      <c r="C15203" t="s">
        <v>3965</v>
      </c>
      <c r="D15203" t="str">
        <f>"1001"</f>
        <v>1001</v>
      </c>
      <c r="E15203" t="s">
        <v>3966</v>
      </c>
      <c r="F15203" t="s">
        <v>2068</v>
      </c>
      <c r="G15203" t="s">
        <v>47098</v>
      </c>
      <c r="H15203" t="s">
        <v>47126</v>
      </c>
      <c r="I15203" t="s">
        <v>47120</v>
      </c>
      <c r="J15203" t="s">
        <v>47121</v>
      </c>
      <c r="K15203" t="s">
        <v>47113</v>
      </c>
      <c r="L15203">
        <v>148.59</v>
      </c>
      <c r="M15203">
        <v>359</v>
      </c>
      <c r="N15203">
        <v>0</v>
      </c>
      <c r="O15203">
        <v>359</v>
      </c>
      <c r="P15203">
        <v>0</v>
      </c>
    </row>
    <row r="15204" spans="1:16" x14ac:dyDescent="0.25">
      <c r="A15204" t="s">
        <v>37887</v>
      </c>
      <c r="B15204" t="s">
        <v>10428</v>
      </c>
      <c r="C15204" t="s">
        <v>3965</v>
      </c>
      <c r="D15204" t="str">
        <f>"6494"</f>
        <v>6494</v>
      </c>
      <c r="E15204" t="s">
        <v>10266</v>
      </c>
      <c r="F15204" t="s">
        <v>2068</v>
      </c>
      <c r="G15204" t="s">
        <v>47098</v>
      </c>
      <c r="H15204" t="s">
        <v>47126</v>
      </c>
      <c r="I15204" t="s">
        <v>47120</v>
      </c>
      <c r="J15204" t="s">
        <v>47121</v>
      </c>
      <c r="K15204" t="s">
        <v>47113</v>
      </c>
      <c r="L15204">
        <v>148.59</v>
      </c>
      <c r="M15204">
        <v>359</v>
      </c>
      <c r="N15204">
        <v>0</v>
      </c>
      <c r="O15204">
        <v>359</v>
      </c>
      <c r="P15204">
        <v>0</v>
      </c>
    </row>
    <row r="15205" spans="1:16" x14ac:dyDescent="0.25">
      <c r="A15205" t="s">
        <v>37888</v>
      </c>
      <c r="B15205" t="s">
        <v>10429</v>
      </c>
      <c r="C15205" t="s">
        <v>10430</v>
      </c>
      <c r="D15205" t="str">
        <f>"1001"</f>
        <v>1001</v>
      </c>
      <c r="E15205" t="s">
        <v>10431</v>
      </c>
      <c r="F15205" t="s">
        <v>2068</v>
      </c>
      <c r="G15205" t="s">
        <v>47098</v>
      </c>
      <c r="H15205" t="s">
        <v>47126</v>
      </c>
      <c r="I15205" t="s">
        <v>47120</v>
      </c>
      <c r="J15205" t="s">
        <v>47121</v>
      </c>
      <c r="K15205" t="s">
        <v>47113</v>
      </c>
      <c r="L15205">
        <v>166.82</v>
      </c>
      <c r="M15205">
        <v>404</v>
      </c>
      <c r="N15205">
        <v>0</v>
      </c>
      <c r="O15205">
        <v>404</v>
      </c>
      <c r="P15205">
        <v>0</v>
      </c>
    </row>
    <row r="15206" spans="1:16" x14ac:dyDescent="0.25">
      <c r="A15206" t="s">
        <v>37889</v>
      </c>
      <c r="B15206" t="s">
        <v>10429</v>
      </c>
      <c r="C15206" t="s">
        <v>10430</v>
      </c>
      <c r="D15206" t="str">
        <f>"2378"</f>
        <v>2378</v>
      </c>
      <c r="E15206" t="s">
        <v>10432</v>
      </c>
      <c r="F15206" t="s">
        <v>2068</v>
      </c>
      <c r="G15206" t="s">
        <v>47098</v>
      </c>
      <c r="H15206" t="s">
        <v>47126</v>
      </c>
      <c r="I15206" t="s">
        <v>47120</v>
      </c>
      <c r="J15206" t="s">
        <v>47121</v>
      </c>
      <c r="K15206" t="s">
        <v>47113</v>
      </c>
      <c r="L15206">
        <v>166.82</v>
      </c>
      <c r="M15206">
        <v>404</v>
      </c>
      <c r="N15206">
        <v>0</v>
      </c>
      <c r="O15206">
        <v>404</v>
      </c>
      <c r="P15206">
        <v>0</v>
      </c>
    </row>
    <row r="15207" spans="1:16" x14ac:dyDescent="0.25">
      <c r="A15207" t="s">
        <v>37890</v>
      </c>
      <c r="B15207" t="s">
        <v>10433</v>
      </c>
      <c r="C15207" t="s">
        <v>10434</v>
      </c>
      <c r="D15207" t="str">
        <f>"1001"</f>
        <v>1001</v>
      </c>
      <c r="E15207" t="s">
        <v>3966</v>
      </c>
      <c r="F15207" t="s">
        <v>2068</v>
      </c>
      <c r="G15207" t="s">
        <v>47098</v>
      </c>
      <c r="H15207" t="s">
        <v>47126</v>
      </c>
      <c r="I15207" t="s">
        <v>47120</v>
      </c>
      <c r="J15207" t="s">
        <v>47121</v>
      </c>
      <c r="K15207" t="s">
        <v>47113</v>
      </c>
      <c r="L15207">
        <v>166.82</v>
      </c>
      <c r="M15207">
        <v>404</v>
      </c>
      <c r="N15207">
        <v>0</v>
      </c>
      <c r="O15207">
        <v>404</v>
      </c>
      <c r="P15207">
        <v>0</v>
      </c>
    </row>
    <row r="15208" spans="1:16" x14ac:dyDescent="0.25">
      <c r="A15208" t="s">
        <v>37891</v>
      </c>
      <c r="B15208" t="s">
        <v>10433</v>
      </c>
      <c r="C15208" t="s">
        <v>10434</v>
      </c>
      <c r="D15208" t="str">
        <f>"1118"</f>
        <v>1118</v>
      </c>
      <c r="E15208" t="s">
        <v>3972</v>
      </c>
      <c r="F15208" t="s">
        <v>2068</v>
      </c>
      <c r="G15208" t="s">
        <v>47098</v>
      </c>
      <c r="H15208" t="s">
        <v>47126</v>
      </c>
      <c r="I15208" t="s">
        <v>47120</v>
      </c>
      <c r="J15208" t="s">
        <v>47121</v>
      </c>
      <c r="K15208" t="s">
        <v>47113</v>
      </c>
      <c r="L15208">
        <v>166.82</v>
      </c>
      <c r="M15208">
        <v>404</v>
      </c>
      <c r="N15208">
        <v>0</v>
      </c>
      <c r="O15208">
        <v>404</v>
      </c>
      <c r="P15208">
        <v>0</v>
      </c>
    </row>
    <row r="15209" spans="1:16" x14ac:dyDescent="0.25">
      <c r="A15209" t="s">
        <v>37892</v>
      </c>
      <c r="B15209" t="s">
        <v>10433</v>
      </c>
      <c r="C15209" t="s">
        <v>10434</v>
      </c>
      <c r="D15209" t="str">
        <f>"5156"</f>
        <v>5156</v>
      </c>
      <c r="E15209" t="s">
        <v>10262</v>
      </c>
      <c r="F15209" t="s">
        <v>2068</v>
      </c>
      <c r="G15209" t="s">
        <v>47098</v>
      </c>
      <c r="H15209" t="s">
        <v>47126</v>
      </c>
      <c r="I15209" t="s">
        <v>47120</v>
      </c>
      <c r="J15209" t="s">
        <v>47121</v>
      </c>
      <c r="K15209" t="s">
        <v>47113</v>
      </c>
      <c r="L15209">
        <v>166.82</v>
      </c>
      <c r="M15209">
        <v>404</v>
      </c>
      <c r="N15209">
        <v>0</v>
      </c>
      <c r="O15209">
        <v>404</v>
      </c>
      <c r="P15209">
        <v>0</v>
      </c>
    </row>
    <row r="15210" spans="1:16" x14ac:dyDescent="0.25">
      <c r="A15210" t="s">
        <v>37893</v>
      </c>
      <c r="B15210" t="s">
        <v>10435</v>
      </c>
      <c r="C15210" t="s">
        <v>3977</v>
      </c>
      <c r="D15210" t="str">
        <f>"1001"</f>
        <v>1001</v>
      </c>
      <c r="E15210" t="s">
        <v>42</v>
      </c>
      <c r="F15210" t="s">
        <v>3750</v>
      </c>
      <c r="G15210" t="s">
        <v>47098</v>
      </c>
      <c r="H15210" t="s">
        <v>47126</v>
      </c>
      <c r="I15210" t="s">
        <v>47120</v>
      </c>
      <c r="J15210" t="s">
        <v>47121</v>
      </c>
      <c r="K15210" t="s">
        <v>47113</v>
      </c>
      <c r="L15210">
        <v>117.09</v>
      </c>
      <c r="M15210">
        <v>348</v>
      </c>
      <c r="N15210">
        <v>0</v>
      </c>
      <c r="O15210">
        <v>348</v>
      </c>
      <c r="P15210">
        <v>0</v>
      </c>
    </row>
    <row r="15211" spans="1:16" x14ac:dyDescent="0.25">
      <c r="A15211" t="s">
        <v>37894</v>
      </c>
      <c r="B15211" t="s">
        <v>10436</v>
      </c>
      <c r="C15211" t="s">
        <v>3979</v>
      </c>
      <c r="D15211" t="str">
        <f>"1001"</f>
        <v>1001</v>
      </c>
      <c r="E15211" t="s">
        <v>3966</v>
      </c>
      <c r="F15211" t="s">
        <v>2068</v>
      </c>
      <c r="G15211" t="s">
        <v>47098</v>
      </c>
      <c r="H15211" t="s">
        <v>47126</v>
      </c>
      <c r="I15211" t="s">
        <v>47120</v>
      </c>
      <c r="J15211" t="s">
        <v>47121</v>
      </c>
      <c r="K15211" t="s">
        <v>47113</v>
      </c>
      <c r="L15211">
        <v>98.45</v>
      </c>
      <c r="M15211">
        <v>239</v>
      </c>
      <c r="N15211">
        <v>0</v>
      </c>
      <c r="O15211">
        <v>239</v>
      </c>
      <c r="P15211">
        <v>0</v>
      </c>
    </row>
    <row r="15212" spans="1:16" x14ac:dyDescent="0.25">
      <c r="A15212" t="s">
        <v>37895</v>
      </c>
      <c r="B15212" t="s">
        <v>10436</v>
      </c>
      <c r="C15212" t="s">
        <v>3979</v>
      </c>
      <c r="D15212" t="str">
        <f>"1478"</f>
        <v>1478</v>
      </c>
      <c r="E15212" t="s">
        <v>3980</v>
      </c>
      <c r="F15212" t="s">
        <v>2068</v>
      </c>
      <c r="G15212" t="s">
        <v>47098</v>
      </c>
      <c r="H15212" t="s">
        <v>47126</v>
      </c>
      <c r="I15212" t="s">
        <v>47120</v>
      </c>
      <c r="J15212" t="s">
        <v>47121</v>
      </c>
      <c r="K15212" t="s">
        <v>47113</v>
      </c>
      <c r="L15212">
        <v>98.45</v>
      </c>
      <c r="M15212">
        <v>239</v>
      </c>
      <c r="N15212">
        <v>0</v>
      </c>
      <c r="O15212">
        <v>239</v>
      </c>
      <c r="P15212">
        <v>0</v>
      </c>
    </row>
    <row r="15213" spans="1:16" x14ac:dyDescent="0.25">
      <c r="A15213" t="s">
        <v>37896</v>
      </c>
      <c r="B15213" t="s">
        <v>10436</v>
      </c>
      <c r="C15213" t="s">
        <v>3979</v>
      </c>
      <c r="D15213" t="str">
        <f>"4883"</f>
        <v>4883</v>
      </c>
      <c r="E15213" t="s">
        <v>3975</v>
      </c>
      <c r="F15213" t="s">
        <v>2068</v>
      </c>
      <c r="G15213" t="s">
        <v>47098</v>
      </c>
      <c r="H15213" t="s">
        <v>47126</v>
      </c>
      <c r="I15213" t="s">
        <v>47120</v>
      </c>
      <c r="J15213" t="s">
        <v>47121</v>
      </c>
      <c r="K15213" t="s">
        <v>47113</v>
      </c>
      <c r="L15213">
        <v>98.45</v>
      </c>
      <c r="M15213">
        <v>239</v>
      </c>
      <c r="N15213">
        <v>0</v>
      </c>
      <c r="O15213">
        <v>239</v>
      </c>
      <c r="P15213">
        <v>0</v>
      </c>
    </row>
    <row r="15214" spans="1:16" x14ac:dyDescent="0.25">
      <c r="A15214" t="s">
        <v>37897</v>
      </c>
      <c r="B15214" t="s">
        <v>10436</v>
      </c>
      <c r="C15214" t="s">
        <v>3979</v>
      </c>
      <c r="D15214" t="str">
        <f>"5155"</f>
        <v>5155</v>
      </c>
      <c r="E15214" t="s">
        <v>3981</v>
      </c>
      <c r="F15214" t="s">
        <v>2068</v>
      </c>
      <c r="G15214" t="s">
        <v>47098</v>
      </c>
      <c r="H15214" t="s">
        <v>47126</v>
      </c>
      <c r="I15214" t="s">
        <v>47120</v>
      </c>
      <c r="J15214" t="s">
        <v>47121</v>
      </c>
      <c r="K15214" t="s">
        <v>47113</v>
      </c>
      <c r="L15214">
        <v>98.45</v>
      </c>
      <c r="M15214">
        <v>239</v>
      </c>
      <c r="N15214">
        <v>0</v>
      </c>
      <c r="O15214">
        <v>239</v>
      </c>
      <c r="P15214">
        <v>0</v>
      </c>
    </row>
    <row r="15215" spans="1:16" x14ac:dyDescent="0.25">
      <c r="A15215" t="s">
        <v>15075</v>
      </c>
      <c r="B15215" t="s">
        <v>10437</v>
      </c>
      <c r="C15215" t="s">
        <v>10438</v>
      </c>
      <c r="D15215" t="str">
        <f>"1001"</f>
        <v>1001</v>
      </c>
      <c r="E15215" t="s">
        <v>3966</v>
      </c>
      <c r="F15215" t="s">
        <v>2068</v>
      </c>
      <c r="G15215" t="s">
        <v>47098</v>
      </c>
      <c r="H15215" t="s">
        <v>47126</v>
      </c>
      <c r="I15215" t="s">
        <v>47120</v>
      </c>
      <c r="J15215" t="s">
        <v>47121</v>
      </c>
      <c r="K15215" t="s">
        <v>47113</v>
      </c>
      <c r="L15215">
        <v>75.66</v>
      </c>
      <c r="M15215">
        <v>183</v>
      </c>
      <c r="N15215">
        <v>0</v>
      </c>
      <c r="O15215">
        <v>183</v>
      </c>
      <c r="P15215">
        <v>0</v>
      </c>
    </row>
    <row r="15216" spans="1:16" x14ac:dyDescent="0.25">
      <c r="A15216" t="s">
        <v>15076</v>
      </c>
      <c r="B15216" t="s">
        <v>10437</v>
      </c>
      <c r="C15216" t="s">
        <v>10438</v>
      </c>
      <c r="D15216" t="str">
        <f>"1478"</f>
        <v>1478</v>
      </c>
      <c r="E15216" t="s">
        <v>3980</v>
      </c>
      <c r="F15216" t="s">
        <v>2068</v>
      </c>
      <c r="G15216" t="s">
        <v>47098</v>
      </c>
      <c r="H15216" t="s">
        <v>47126</v>
      </c>
      <c r="I15216" t="s">
        <v>47120</v>
      </c>
      <c r="J15216" t="s">
        <v>47121</v>
      </c>
      <c r="K15216" t="s">
        <v>47113</v>
      </c>
      <c r="L15216">
        <v>75.66</v>
      </c>
      <c r="M15216">
        <v>183</v>
      </c>
      <c r="N15216">
        <v>0</v>
      </c>
      <c r="O15216">
        <v>183</v>
      </c>
      <c r="P15216">
        <v>0</v>
      </c>
    </row>
    <row r="15217" spans="1:16" x14ac:dyDescent="0.25">
      <c r="A15217" t="s">
        <v>15077</v>
      </c>
      <c r="B15217" t="s">
        <v>10437</v>
      </c>
      <c r="C15217" t="s">
        <v>10438</v>
      </c>
      <c r="D15217" t="str">
        <f>"4883"</f>
        <v>4883</v>
      </c>
      <c r="E15217" t="s">
        <v>3975</v>
      </c>
      <c r="F15217" t="s">
        <v>2068</v>
      </c>
      <c r="G15217" t="s">
        <v>47098</v>
      </c>
      <c r="H15217" t="s">
        <v>47126</v>
      </c>
      <c r="I15217" t="s">
        <v>47120</v>
      </c>
      <c r="J15217" t="s">
        <v>47121</v>
      </c>
      <c r="K15217" t="s">
        <v>47113</v>
      </c>
      <c r="L15217">
        <v>75.66</v>
      </c>
      <c r="M15217">
        <v>183</v>
      </c>
      <c r="N15217">
        <v>0</v>
      </c>
      <c r="O15217">
        <v>183</v>
      </c>
      <c r="P15217">
        <v>0</v>
      </c>
    </row>
    <row r="15218" spans="1:16" x14ac:dyDescent="0.25">
      <c r="A15218" t="s">
        <v>37898</v>
      </c>
      <c r="B15218" t="s">
        <v>10437</v>
      </c>
      <c r="C15218" t="s">
        <v>10438</v>
      </c>
      <c r="D15218" t="str">
        <f>"5155"</f>
        <v>5155</v>
      </c>
      <c r="E15218" t="s">
        <v>3981</v>
      </c>
      <c r="F15218" t="s">
        <v>2068</v>
      </c>
      <c r="G15218" t="s">
        <v>47098</v>
      </c>
      <c r="H15218" t="s">
        <v>47126</v>
      </c>
      <c r="I15218" t="s">
        <v>47120</v>
      </c>
      <c r="J15218" t="s">
        <v>47121</v>
      </c>
      <c r="K15218" t="s">
        <v>47113</v>
      </c>
      <c r="L15218">
        <v>75.66</v>
      </c>
      <c r="M15218">
        <v>183</v>
      </c>
      <c r="N15218">
        <v>0</v>
      </c>
      <c r="O15218">
        <v>183</v>
      </c>
      <c r="P15218">
        <v>0</v>
      </c>
    </row>
    <row r="15219" spans="1:16" x14ac:dyDescent="0.25">
      <c r="A15219" t="s">
        <v>37899</v>
      </c>
      <c r="B15219" t="s">
        <v>10439</v>
      </c>
      <c r="C15219" t="s">
        <v>10440</v>
      </c>
      <c r="D15219" t="str">
        <f>"1001"</f>
        <v>1001</v>
      </c>
      <c r="E15219" t="s">
        <v>42</v>
      </c>
      <c r="F15219" t="s">
        <v>3750</v>
      </c>
      <c r="G15219" t="s">
        <v>47098</v>
      </c>
      <c r="H15219" t="s">
        <v>47126</v>
      </c>
      <c r="I15219" t="s">
        <v>47127</v>
      </c>
      <c r="J15219" t="s">
        <v>47128</v>
      </c>
      <c r="K15219" t="s">
        <v>47113</v>
      </c>
      <c r="L15219">
        <v>104.8</v>
      </c>
      <c r="M15219">
        <v>185</v>
      </c>
      <c r="N15219">
        <v>0</v>
      </c>
      <c r="O15219">
        <v>185</v>
      </c>
      <c r="P15219">
        <v>0</v>
      </c>
    </row>
    <row r="15220" spans="1:16" x14ac:dyDescent="0.25">
      <c r="A15220" t="s">
        <v>37900</v>
      </c>
      <c r="B15220" t="s">
        <v>10439</v>
      </c>
      <c r="C15220" t="s">
        <v>10440</v>
      </c>
      <c r="D15220" t="str">
        <f>"4819"</f>
        <v>4819</v>
      </c>
      <c r="E15220" t="s">
        <v>221</v>
      </c>
      <c r="F15220" t="s">
        <v>3750</v>
      </c>
      <c r="G15220" t="s">
        <v>47098</v>
      </c>
      <c r="H15220" t="s">
        <v>47126</v>
      </c>
      <c r="I15220" t="s">
        <v>47127</v>
      </c>
      <c r="J15220" t="s">
        <v>47128</v>
      </c>
      <c r="K15220" t="s">
        <v>47113</v>
      </c>
      <c r="L15220">
        <v>104.8</v>
      </c>
      <c r="M15220">
        <v>185</v>
      </c>
      <c r="N15220">
        <v>0</v>
      </c>
      <c r="O15220">
        <v>185</v>
      </c>
      <c r="P15220">
        <v>0</v>
      </c>
    </row>
    <row r="15221" spans="1:16" x14ac:dyDescent="0.25">
      <c r="A15221" t="s">
        <v>37901</v>
      </c>
      <c r="B15221" t="s">
        <v>10441</v>
      </c>
      <c r="C15221" t="s">
        <v>10442</v>
      </c>
      <c r="D15221" t="str">
        <f>"1001"</f>
        <v>1001</v>
      </c>
      <c r="E15221" t="s">
        <v>42</v>
      </c>
      <c r="F15221" t="s">
        <v>2068</v>
      </c>
      <c r="G15221" t="s">
        <v>48515</v>
      </c>
      <c r="H15221" t="s">
        <v>47126</v>
      </c>
      <c r="I15221" t="s">
        <v>47120</v>
      </c>
      <c r="J15221" t="s">
        <v>47121</v>
      </c>
      <c r="K15221" t="s">
        <v>47113</v>
      </c>
      <c r="L15221">
        <v>78.400000000000006</v>
      </c>
      <c r="M15221">
        <v>189</v>
      </c>
      <c r="N15221">
        <v>0</v>
      </c>
      <c r="O15221">
        <v>189</v>
      </c>
      <c r="P15221">
        <v>0</v>
      </c>
    </row>
    <row r="15222" spans="1:16" x14ac:dyDescent="0.25">
      <c r="A15222" t="s">
        <v>37902</v>
      </c>
      <c r="B15222" t="s">
        <v>10441</v>
      </c>
      <c r="C15222" t="s">
        <v>10442</v>
      </c>
      <c r="D15222" t="str">
        <f>"4883"</f>
        <v>4883</v>
      </c>
      <c r="E15222" t="s">
        <v>3975</v>
      </c>
      <c r="F15222" t="s">
        <v>2068</v>
      </c>
      <c r="G15222" t="s">
        <v>48515</v>
      </c>
      <c r="H15222" t="s">
        <v>47126</v>
      </c>
      <c r="I15222" t="s">
        <v>47120</v>
      </c>
      <c r="J15222" t="s">
        <v>47121</v>
      </c>
      <c r="K15222" t="s">
        <v>47113</v>
      </c>
      <c r="L15222">
        <v>78.400000000000006</v>
      </c>
      <c r="M15222">
        <v>189</v>
      </c>
      <c r="N15222">
        <v>0</v>
      </c>
      <c r="O15222">
        <v>189</v>
      </c>
      <c r="P15222">
        <v>0</v>
      </c>
    </row>
    <row r="15223" spans="1:16" x14ac:dyDescent="0.25">
      <c r="A15223" t="s">
        <v>37903</v>
      </c>
      <c r="B15223" t="s">
        <v>10441</v>
      </c>
      <c r="C15223" t="s">
        <v>10442</v>
      </c>
      <c r="D15223" t="str">
        <f>"5155"</f>
        <v>5155</v>
      </c>
      <c r="E15223" t="s">
        <v>3981</v>
      </c>
      <c r="F15223" t="s">
        <v>2068</v>
      </c>
      <c r="G15223" t="s">
        <v>48515</v>
      </c>
      <c r="H15223" t="s">
        <v>47126</v>
      </c>
      <c r="I15223" t="s">
        <v>47120</v>
      </c>
      <c r="J15223" t="s">
        <v>47121</v>
      </c>
      <c r="K15223" t="s">
        <v>47113</v>
      </c>
      <c r="L15223">
        <v>78.400000000000006</v>
      </c>
      <c r="M15223">
        <v>189</v>
      </c>
      <c r="N15223">
        <v>0</v>
      </c>
      <c r="O15223">
        <v>189</v>
      </c>
      <c r="P15223">
        <v>0</v>
      </c>
    </row>
    <row r="15224" spans="1:16" x14ac:dyDescent="0.25">
      <c r="A15224" t="s">
        <v>37904</v>
      </c>
      <c r="B15224" t="s">
        <v>10443</v>
      </c>
      <c r="C15224" t="s">
        <v>10444</v>
      </c>
      <c r="D15224" t="str">
        <f>"4883"</f>
        <v>4883</v>
      </c>
      <c r="E15224" t="s">
        <v>3975</v>
      </c>
      <c r="F15224" t="s">
        <v>2068</v>
      </c>
      <c r="G15224" t="s">
        <v>48515</v>
      </c>
      <c r="H15224" t="s">
        <v>47126</v>
      </c>
      <c r="I15224" t="s">
        <v>47120</v>
      </c>
      <c r="J15224" t="s">
        <v>47121</v>
      </c>
      <c r="K15224" t="s">
        <v>47113</v>
      </c>
      <c r="L15224">
        <v>55.61</v>
      </c>
      <c r="M15224">
        <v>135</v>
      </c>
      <c r="N15224">
        <v>0</v>
      </c>
      <c r="O15224">
        <v>135</v>
      </c>
      <c r="P15224">
        <v>0</v>
      </c>
    </row>
    <row r="15225" spans="1:16" x14ac:dyDescent="0.25">
      <c r="A15225" t="s">
        <v>15078</v>
      </c>
      <c r="B15225" t="s">
        <v>10443</v>
      </c>
      <c r="C15225" t="s">
        <v>10444</v>
      </c>
      <c r="D15225" t="str">
        <f>"5155"</f>
        <v>5155</v>
      </c>
      <c r="E15225" t="s">
        <v>3981</v>
      </c>
      <c r="F15225" t="s">
        <v>2068</v>
      </c>
      <c r="G15225" t="s">
        <v>48515</v>
      </c>
      <c r="H15225" t="s">
        <v>47126</v>
      </c>
      <c r="I15225" t="s">
        <v>47120</v>
      </c>
      <c r="J15225" t="s">
        <v>47121</v>
      </c>
      <c r="K15225" t="s">
        <v>47113</v>
      </c>
      <c r="L15225">
        <v>55.61</v>
      </c>
      <c r="M15225">
        <v>135</v>
      </c>
      <c r="N15225">
        <v>0</v>
      </c>
      <c r="O15225">
        <v>135</v>
      </c>
      <c r="P15225">
        <v>0</v>
      </c>
    </row>
    <row r="15226" spans="1:16" x14ac:dyDescent="0.25">
      <c r="A15226" t="s">
        <v>37905</v>
      </c>
      <c r="B15226" t="s">
        <v>10445</v>
      </c>
      <c r="C15226" t="s">
        <v>10269</v>
      </c>
      <c r="D15226" t="s">
        <v>10446</v>
      </c>
      <c r="E15226" t="s">
        <v>10447</v>
      </c>
      <c r="F15226" t="s">
        <v>2068</v>
      </c>
      <c r="G15226" t="s">
        <v>47093</v>
      </c>
      <c r="H15226" t="s">
        <v>47153</v>
      </c>
      <c r="I15226" t="s">
        <v>47132</v>
      </c>
      <c r="J15226" t="s">
        <v>47133</v>
      </c>
      <c r="K15226" t="s">
        <v>47113</v>
      </c>
      <c r="L15226">
        <v>52.6</v>
      </c>
      <c r="M15226">
        <v>100</v>
      </c>
      <c r="N15226">
        <v>0</v>
      </c>
      <c r="O15226">
        <v>100</v>
      </c>
      <c r="P15226">
        <v>0</v>
      </c>
    </row>
    <row r="15227" spans="1:16" x14ac:dyDescent="0.25">
      <c r="A15227" t="s">
        <v>37906</v>
      </c>
      <c r="B15227" t="s">
        <v>10448</v>
      </c>
      <c r="C15227" t="s">
        <v>369</v>
      </c>
      <c r="D15227" t="s">
        <v>3839</v>
      </c>
      <c r="E15227" t="s">
        <v>3840</v>
      </c>
      <c r="F15227" t="s">
        <v>2068</v>
      </c>
      <c r="G15227" t="s">
        <v>47093</v>
      </c>
      <c r="H15227" t="s">
        <v>47153</v>
      </c>
      <c r="I15227" t="s">
        <v>47132</v>
      </c>
      <c r="J15227" t="s">
        <v>47133</v>
      </c>
      <c r="K15227" t="s">
        <v>47113</v>
      </c>
      <c r="L15227">
        <v>45.32</v>
      </c>
      <c r="M15227">
        <v>84</v>
      </c>
      <c r="N15227">
        <v>0</v>
      </c>
      <c r="O15227">
        <v>84</v>
      </c>
      <c r="P15227">
        <v>0</v>
      </c>
    </row>
    <row r="15228" spans="1:16" x14ac:dyDescent="0.25">
      <c r="A15228" t="s">
        <v>37907</v>
      </c>
      <c r="B15228" t="s">
        <v>10448</v>
      </c>
      <c r="C15228" t="s">
        <v>369</v>
      </c>
      <c r="D15228" t="s">
        <v>502</v>
      </c>
      <c r="E15228" t="s">
        <v>503</v>
      </c>
      <c r="F15228" t="s">
        <v>2068</v>
      </c>
      <c r="G15228" t="s">
        <v>47093</v>
      </c>
      <c r="H15228" t="s">
        <v>47153</v>
      </c>
      <c r="I15228" t="s">
        <v>47132</v>
      </c>
      <c r="J15228" t="s">
        <v>47133</v>
      </c>
      <c r="K15228" t="s">
        <v>47113</v>
      </c>
      <c r="L15228">
        <v>45.32</v>
      </c>
      <c r="M15228">
        <v>84</v>
      </c>
      <c r="N15228">
        <v>0</v>
      </c>
      <c r="O15228">
        <v>84</v>
      </c>
      <c r="P15228">
        <v>0</v>
      </c>
    </row>
    <row r="15229" spans="1:16" x14ac:dyDescent="0.25">
      <c r="A15229" t="s">
        <v>37908</v>
      </c>
      <c r="B15229" t="s">
        <v>10448</v>
      </c>
      <c r="C15229" t="s">
        <v>369</v>
      </c>
      <c r="D15229" t="s">
        <v>3805</v>
      </c>
      <c r="E15229" t="s">
        <v>3806</v>
      </c>
      <c r="F15229" t="s">
        <v>2068</v>
      </c>
      <c r="G15229" t="s">
        <v>47093</v>
      </c>
      <c r="H15229" t="s">
        <v>47153</v>
      </c>
      <c r="I15229" t="s">
        <v>47132</v>
      </c>
      <c r="J15229" t="s">
        <v>47133</v>
      </c>
      <c r="K15229" t="s">
        <v>47113</v>
      </c>
      <c r="L15229">
        <v>45.32</v>
      </c>
      <c r="M15229">
        <v>84</v>
      </c>
      <c r="N15229">
        <v>0</v>
      </c>
      <c r="O15229">
        <v>84</v>
      </c>
      <c r="P15229">
        <v>0</v>
      </c>
    </row>
    <row r="15230" spans="1:16" x14ac:dyDescent="0.25">
      <c r="A15230" t="s">
        <v>37909</v>
      </c>
      <c r="B15230" t="s">
        <v>10448</v>
      </c>
      <c r="C15230" t="s">
        <v>369</v>
      </c>
      <c r="D15230" t="s">
        <v>10449</v>
      </c>
      <c r="E15230" t="s">
        <v>10450</v>
      </c>
      <c r="F15230" t="s">
        <v>2068</v>
      </c>
      <c r="G15230" t="s">
        <v>47093</v>
      </c>
      <c r="H15230" t="s">
        <v>47153</v>
      </c>
      <c r="I15230" t="s">
        <v>47132</v>
      </c>
      <c r="J15230" t="s">
        <v>47133</v>
      </c>
      <c r="K15230" t="s">
        <v>47113</v>
      </c>
      <c r="L15230">
        <v>45.32</v>
      </c>
      <c r="M15230">
        <v>84</v>
      </c>
      <c r="N15230">
        <v>0</v>
      </c>
      <c r="O15230">
        <v>84</v>
      </c>
      <c r="P15230">
        <v>0</v>
      </c>
    </row>
    <row r="15231" spans="1:16" x14ac:dyDescent="0.25">
      <c r="A15231" t="s">
        <v>37910</v>
      </c>
      <c r="B15231" t="s">
        <v>10451</v>
      </c>
      <c r="C15231" t="s">
        <v>369</v>
      </c>
      <c r="D15231" t="s">
        <v>10452</v>
      </c>
      <c r="E15231" t="s">
        <v>10453</v>
      </c>
      <c r="F15231" t="s">
        <v>2068</v>
      </c>
      <c r="G15231" t="s">
        <v>47093</v>
      </c>
      <c r="H15231" t="s">
        <v>47153</v>
      </c>
      <c r="I15231" t="s">
        <v>47132</v>
      </c>
      <c r="J15231" t="s">
        <v>47133</v>
      </c>
      <c r="K15231" t="s">
        <v>47113</v>
      </c>
      <c r="L15231">
        <v>50.74</v>
      </c>
      <c r="M15231">
        <v>90</v>
      </c>
      <c r="N15231">
        <v>0</v>
      </c>
      <c r="O15231">
        <v>90</v>
      </c>
      <c r="P15231">
        <v>0</v>
      </c>
    </row>
    <row r="15232" spans="1:16" x14ac:dyDescent="0.25">
      <c r="A15232" t="s">
        <v>37911</v>
      </c>
      <c r="B15232" t="s">
        <v>10454</v>
      </c>
      <c r="C15232" t="s">
        <v>10308</v>
      </c>
      <c r="D15232" t="s">
        <v>3839</v>
      </c>
      <c r="E15232" t="s">
        <v>3840</v>
      </c>
      <c r="F15232" t="s">
        <v>2068</v>
      </c>
      <c r="G15232" t="s">
        <v>47093</v>
      </c>
      <c r="H15232" t="s">
        <v>47153</v>
      </c>
      <c r="I15232" t="s">
        <v>47132</v>
      </c>
      <c r="J15232" t="s">
        <v>47133</v>
      </c>
      <c r="K15232" t="s">
        <v>47113</v>
      </c>
      <c r="L15232">
        <v>44.57</v>
      </c>
      <c r="M15232">
        <v>84</v>
      </c>
      <c r="N15232">
        <v>0</v>
      </c>
      <c r="O15232">
        <v>84</v>
      </c>
      <c r="P15232">
        <v>0</v>
      </c>
    </row>
    <row r="15233" spans="1:16" x14ac:dyDescent="0.25">
      <c r="A15233" t="s">
        <v>37912</v>
      </c>
      <c r="B15233" t="s">
        <v>10454</v>
      </c>
      <c r="C15233" t="s">
        <v>10308</v>
      </c>
      <c r="D15233" t="s">
        <v>502</v>
      </c>
      <c r="E15233" t="s">
        <v>503</v>
      </c>
      <c r="F15233" t="s">
        <v>2068</v>
      </c>
      <c r="G15233" t="s">
        <v>47093</v>
      </c>
      <c r="H15233" t="s">
        <v>47153</v>
      </c>
      <c r="I15233" t="s">
        <v>47132</v>
      </c>
      <c r="J15233" t="s">
        <v>47133</v>
      </c>
      <c r="K15233" t="s">
        <v>47113</v>
      </c>
      <c r="L15233">
        <v>44.57</v>
      </c>
      <c r="M15233">
        <v>84</v>
      </c>
      <c r="N15233">
        <v>0</v>
      </c>
      <c r="O15233">
        <v>84</v>
      </c>
      <c r="P15233">
        <v>0</v>
      </c>
    </row>
    <row r="15234" spans="1:16" x14ac:dyDescent="0.25">
      <c r="A15234" t="s">
        <v>37913</v>
      </c>
      <c r="B15234" t="s">
        <v>10454</v>
      </c>
      <c r="C15234" t="s">
        <v>10308</v>
      </c>
      <c r="D15234" t="s">
        <v>3805</v>
      </c>
      <c r="E15234" t="s">
        <v>3806</v>
      </c>
      <c r="F15234" t="s">
        <v>2068</v>
      </c>
      <c r="G15234" t="s">
        <v>47093</v>
      </c>
      <c r="H15234" t="s">
        <v>47153</v>
      </c>
      <c r="I15234" t="s">
        <v>47132</v>
      </c>
      <c r="J15234" t="s">
        <v>47133</v>
      </c>
      <c r="K15234" t="s">
        <v>47113</v>
      </c>
      <c r="L15234">
        <v>44.57</v>
      </c>
      <c r="M15234">
        <v>84</v>
      </c>
      <c r="N15234">
        <v>0</v>
      </c>
      <c r="O15234">
        <v>84</v>
      </c>
      <c r="P15234">
        <v>0</v>
      </c>
    </row>
    <row r="15235" spans="1:16" x14ac:dyDescent="0.25">
      <c r="A15235" t="s">
        <v>37914</v>
      </c>
      <c r="B15235" t="s">
        <v>10454</v>
      </c>
      <c r="C15235" t="s">
        <v>10308</v>
      </c>
      <c r="D15235" t="s">
        <v>10449</v>
      </c>
      <c r="E15235" t="s">
        <v>10450</v>
      </c>
      <c r="F15235" t="s">
        <v>2068</v>
      </c>
      <c r="G15235" t="s">
        <v>47093</v>
      </c>
      <c r="H15235" t="s">
        <v>47153</v>
      </c>
      <c r="I15235" t="s">
        <v>47132</v>
      </c>
      <c r="J15235" t="s">
        <v>47133</v>
      </c>
      <c r="K15235" t="s">
        <v>47113</v>
      </c>
      <c r="L15235">
        <v>44.57</v>
      </c>
      <c r="M15235">
        <v>84</v>
      </c>
      <c r="N15235">
        <v>0</v>
      </c>
      <c r="O15235">
        <v>84</v>
      </c>
      <c r="P15235">
        <v>0</v>
      </c>
    </row>
    <row r="15236" spans="1:16" x14ac:dyDescent="0.25">
      <c r="A15236" t="s">
        <v>37915</v>
      </c>
      <c r="B15236" t="s">
        <v>10455</v>
      </c>
      <c r="C15236" t="s">
        <v>10308</v>
      </c>
      <c r="D15236" t="s">
        <v>10446</v>
      </c>
      <c r="E15236" t="s">
        <v>10447</v>
      </c>
      <c r="F15236" t="s">
        <v>2068</v>
      </c>
      <c r="G15236" t="s">
        <v>47093</v>
      </c>
      <c r="H15236" t="s">
        <v>47153</v>
      </c>
      <c r="I15236" t="s">
        <v>47132</v>
      </c>
      <c r="J15236" t="s">
        <v>47133</v>
      </c>
      <c r="K15236" t="s">
        <v>47113</v>
      </c>
      <c r="L15236">
        <v>53.67</v>
      </c>
      <c r="M15236">
        <v>100</v>
      </c>
      <c r="N15236">
        <v>0</v>
      </c>
      <c r="O15236">
        <v>100</v>
      </c>
      <c r="P15236">
        <v>0</v>
      </c>
    </row>
    <row r="15237" spans="1:16" x14ac:dyDescent="0.25">
      <c r="A15237" t="s">
        <v>37916</v>
      </c>
      <c r="B15237" t="s">
        <v>10456</v>
      </c>
      <c r="C15237" t="s">
        <v>10308</v>
      </c>
      <c r="D15237" t="s">
        <v>10452</v>
      </c>
      <c r="E15237" t="s">
        <v>10453</v>
      </c>
      <c r="F15237" t="s">
        <v>2068</v>
      </c>
      <c r="G15237" t="s">
        <v>47093</v>
      </c>
      <c r="H15237" t="s">
        <v>47153</v>
      </c>
      <c r="I15237" t="s">
        <v>47132</v>
      </c>
      <c r="J15237" t="s">
        <v>47133</v>
      </c>
      <c r="K15237" t="s">
        <v>47113</v>
      </c>
      <c r="L15237">
        <v>48.67</v>
      </c>
      <c r="M15237">
        <v>90</v>
      </c>
      <c r="N15237">
        <v>0</v>
      </c>
      <c r="O15237">
        <v>90</v>
      </c>
      <c r="P15237">
        <v>0</v>
      </c>
    </row>
    <row r="15238" spans="1:16" x14ac:dyDescent="0.25">
      <c r="A15238" t="s">
        <v>14657</v>
      </c>
      <c r="B15238" t="s">
        <v>10457</v>
      </c>
      <c r="C15238" t="s">
        <v>10308</v>
      </c>
      <c r="D15238" t="s">
        <v>10319</v>
      </c>
      <c r="E15238" t="s">
        <v>10320</v>
      </c>
      <c r="F15238" t="s">
        <v>2068</v>
      </c>
      <c r="G15238" t="s">
        <v>47093</v>
      </c>
      <c r="H15238" t="s">
        <v>47153</v>
      </c>
      <c r="I15238" t="s">
        <v>47132</v>
      </c>
      <c r="J15238" t="s">
        <v>47133</v>
      </c>
      <c r="K15238" t="s">
        <v>47113</v>
      </c>
      <c r="L15238">
        <v>55.32</v>
      </c>
      <c r="M15238">
        <v>107</v>
      </c>
      <c r="N15238">
        <v>0</v>
      </c>
      <c r="O15238">
        <v>107</v>
      </c>
      <c r="P15238">
        <v>0</v>
      </c>
    </row>
    <row r="15239" spans="1:16" x14ac:dyDescent="0.25">
      <c r="A15239" t="s">
        <v>37917</v>
      </c>
      <c r="B15239" t="s">
        <v>10458</v>
      </c>
      <c r="C15239" t="s">
        <v>10323</v>
      </c>
      <c r="D15239" t="s">
        <v>3839</v>
      </c>
      <c r="E15239" t="s">
        <v>3840</v>
      </c>
      <c r="F15239" t="s">
        <v>2068</v>
      </c>
      <c r="G15239" t="s">
        <v>47093</v>
      </c>
      <c r="H15239" t="s">
        <v>47153</v>
      </c>
      <c r="I15239" t="s">
        <v>47132</v>
      </c>
      <c r="J15239" t="s">
        <v>47133</v>
      </c>
      <c r="K15239" t="s">
        <v>47113</v>
      </c>
      <c r="L15239">
        <v>45</v>
      </c>
      <c r="M15239">
        <v>84</v>
      </c>
      <c r="N15239">
        <v>0</v>
      </c>
      <c r="O15239">
        <v>84</v>
      </c>
      <c r="P15239">
        <v>0</v>
      </c>
    </row>
    <row r="15240" spans="1:16" x14ac:dyDescent="0.25">
      <c r="A15240" t="s">
        <v>37918</v>
      </c>
      <c r="B15240" t="s">
        <v>10458</v>
      </c>
      <c r="C15240" t="s">
        <v>10323</v>
      </c>
      <c r="D15240" t="s">
        <v>502</v>
      </c>
      <c r="E15240" t="s">
        <v>503</v>
      </c>
      <c r="F15240" t="s">
        <v>2068</v>
      </c>
      <c r="G15240" t="s">
        <v>47093</v>
      </c>
      <c r="H15240" t="s">
        <v>47153</v>
      </c>
      <c r="I15240" t="s">
        <v>47132</v>
      </c>
      <c r="J15240" t="s">
        <v>47133</v>
      </c>
      <c r="K15240" t="s">
        <v>47113</v>
      </c>
      <c r="L15240">
        <v>45</v>
      </c>
      <c r="M15240">
        <v>84</v>
      </c>
      <c r="N15240">
        <v>0</v>
      </c>
      <c r="O15240">
        <v>84</v>
      </c>
      <c r="P15240">
        <v>0</v>
      </c>
    </row>
    <row r="15241" spans="1:16" x14ac:dyDescent="0.25">
      <c r="A15241" t="s">
        <v>37919</v>
      </c>
      <c r="B15241" t="s">
        <v>10458</v>
      </c>
      <c r="C15241" t="s">
        <v>10323</v>
      </c>
      <c r="D15241" t="s">
        <v>3805</v>
      </c>
      <c r="E15241" t="s">
        <v>3806</v>
      </c>
      <c r="F15241" t="s">
        <v>2068</v>
      </c>
      <c r="G15241" t="s">
        <v>47093</v>
      </c>
      <c r="H15241" t="s">
        <v>47153</v>
      </c>
      <c r="I15241" t="s">
        <v>47132</v>
      </c>
      <c r="J15241" t="s">
        <v>47133</v>
      </c>
      <c r="K15241" t="s">
        <v>47113</v>
      </c>
      <c r="L15241">
        <v>45</v>
      </c>
      <c r="M15241">
        <v>84</v>
      </c>
      <c r="N15241">
        <v>0</v>
      </c>
      <c r="O15241">
        <v>84</v>
      </c>
      <c r="P15241">
        <v>0</v>
      </c>
    </row>
    <row r="15242" spans="1:16" x14ac:dyDescent="0.25">
      <c r="A15242" t="s">
        <v>37920</v>
      </c>
      <c r="B15242" t="s">
        <v>10458</v>
      </c>
      <c r="C15242" t="s">
        <v>10323</v>
      </c>
      <c r="D15242" t="s">
        <v>10449</v>
      </c>
      <c r="E15242" t="s">
        <v>10450</v>
      </c>
      <c r="F15242" t="s">
        <v>2068</v>
      </c>
      <c r="G15242" t="s">
        <v>47093</v>
      </c>
      <c r="H15242" t="s">
        <v>47153</v>
      </c>
      <c r="I15242" t="s">
        <v>47132</v>
      </c>
      <c r="J15242" t="s">
        <v>47133</v>
      </c>
      <c r="K15242" t="s">
        <v>47113</v>
      </c>
      <c r="L15242">
        <v>45</v>
      </c>
      <c r="M15242">
        <v>84</v>
      </c>
      <c r="N15242">
        <v>0</v>
      </c>
      <c r="O15242">
        <v>84</v>
      </c>
      <c r="P15242">
        <v>0</v>
      </c>
    </row>
    <row r="15243" spans="1:16" x14ac:dyDescent="0.25">
      <c r="A15243" t="s">
        <v>14658</v>
      </c>
      <c r="B15243" t="s">
        <v>10459</v>
      </c>
      <c r="C15243" t="s">
        <v>508</v>
      </c>
      <c r="D15243" t="s">
        <v>10452</v>
      </c>
      <c r="E15243" t="s">
        <v>10453</v>
      </c>
      <c r="F15243" t="s">
        <v>2068</v>
      </c>
      <c r="G15243" t="s">
        <v>47093</v>
      </c>
      <c r="H15243" t="s">
        <v>47153</v>
      </c>
      <c r="I15243" t="s">
        <v>47132</v>
      </c>
      <c r="J15243" t="s">
        <v>47133</v>
      </c>
      <c r="K15243" t="s">
        <v>47113</v>
      </c>
      <c r="L15243">
        <v>48.67</v>
      </c>
      <c r="M15243">
        <v>90</v>
      </c>
      <c r="N15243">
        <v>0</v>
      </c>
      <c r="O15243">
        <v>90</v>
      </c>
      <c r="P15243">
        <v>0</v>
      </c>
    </row>
    <row r="15244" spans="1:16" x14ac:dyDescent="0.25">
      <c r="A15244" t="s">
        <v>37921</v>
      </c>
      <c r="B15244" t="s">
        <v>10460</v>
      </c>
      <c r="C15244" t="s">
        <v>508</v>
      </c>
      <c r="D15244" t="s">
        <v>10319</v>
      </c>
      <c r="E15244" t="s">
        <v>10320</v>
      </c>
      <c r="F15244" t="s">
        <v>2068</v>
      </c>
      <c r="G15244" t="s">
        <v>47093</v>
      </c>
      <c r="H15244" t="s">
        <v>47153</v>
      </c>
      <c r="I15244" t="s">
        <v>47132</v>
      </c>
      <c r="J15244" t="s">
        <v>47133</v>
      </c>
      <c r="K15244" t="s">
        <v>47113</v>
      </c>
      <c r="L15244">
        <v>55.32</v>
      </c>
      <c r="M15244">
        <v>107</v>
      </c>
      <c r="N15244">
        <v>0</v>
      </c>
      <c r="O15244">
        <v>107</v>
      </c>
      <c r="P15244">
        <v>0</v>
      </c>
    </row>
    <row r="15245" spans="1:16" x14ac:dyDescent="0.25">
      <c r="A15245" t="s">
        <v>37922</v>
      </c>
      <c r="B15245" t="s">
        <v>10461</v>
      </c>
      <c r="C15245" t="s">
        <v>10462</v>
      </c>
      <c r="D15245" t="s">
        <v>10319</v>
      </c>
      <c r="E15245" t="s">
        <v>10320</v>
      </c>
      <c r="F15245" t="s">
        <v>2068</v>
      </c>
      <c r="G15245" t="s">
        <v>47093</v>
      </c>
      <c r="H15245" t="s">
        <v>47153</v>
      </c>
      <c r="I15245" t="s">
        <v>47132</v>
      </c>
      <c r="J15245" t="s">
        <v>47133</v>
      </c>
      <c r="K15245" t="s">
        <v>47113</v>
      </c>
      <c r="L15245">
        <v>57.34</v>
      </c>
      <c r="M15245">
        <v>107</v>
      </c>
      <c r="N15245">
        <v>0</v>
      </c>
      <c r="O15245">
        <v>107</v>
      </c>
      <c r="P15245">
        <v>0</v>
      </c>
    </row>
    <row r="15246" spans="1:16" x14ac:dyDescent="0.25">
      <c r="A15246" t="s">
        <v>37923</v>
      </c>
      <c r="B15246" t="s">
        <v>10463</v>
      </c>
      <c r="C15246" t="s">
        <v>9895</v>
      </c>
      <c r="D15246" t="str">
        <f>"1001"</f>
        <v>1001</v>
      </c>
      <c r="E15246" t="s">
        <v>3966</v>
      </c>
      <c r="F15246" t="s">
        <v>2068</v>
      </c>
      <c r="G15246" t="s">
        <v>47098</v>
      </c>
      <c r="H15246" t="s">
        <v>47126</v>
      </c>
      <c r="I15246" t="s">
        <v>47120</v>
      </c>
      <c r="J15246" t="s">
        <v>47121</v>
      </c>
      <c r="K15246" t="s">
        <v>47113</v>
      </c>
      <c r="L15246">
        <v>54.69</v>
      </c>
      <c r="M15246">
        <v>131</v>
      </c>
      <c r="N15246">
        <v>0</v>
      </c>
      <c r="O15246">
        <v>131</v>
      </c>
      <c r="P15246">
        <v>0</v>
      </c>
    </row>
    <row r="15247" spans="1:16" x14ac:dyDescent="0.25">
      <c r="A15247" t="s">
        <v>37924</v>
      </c>
      <c r="B15247" t="s">
        <v>10463</v>
      </c>
      <c r="C15247" t="s">
        <v>9895</v>
      </c>
      <c r="D15247" t="str">
        <f>"3530"</f>
        <v>3530</v>
      </c>
      <c r="E15247" t="s">
        <v>10464</v>
      </c>
      <c r="F15247" t="s">
        <v>2068</v>
      </c>
      <c r="G15247" t="s">
        <v>47098</v>
      </c>
      <c r="H15247" t="s">
        <v>47126</v>
      </c>
      <c r="I15247" t="s">
        <v>47120</v>
      </c>
      <c r="J15247" t="s">
        <v>47121</v>
      </c>
      <c r="K15247" t="s">
        <v>47113</v>
      </c>
      <c r="L15247">
        <v>54.69</v>
      </c>
      <c r="M15247">
        <v>131</v>
      </c>
      <c r="N15247">
        <v>0</v>
      </c>
      <c r="O15247">
        <v>131</v>
      </c>
      <c r="P15247">
        <v>0</v>
      </c>
    </row>
    <row r="15248" spans="1:16" x14ac:dyDescent="0.25">
      <c r="A15248" t="s">
        <v>37925</v>
      </c>
      <c r="B15248" t="s">
        <v>10463</v>
      </c>
      <c r="C15248" t="s">
        <v>9895</v>
      </c>
      <c r="D15248" t="str">
        <f>"4883"</f>
        <v>4883</v>
      </c>
      <c r="E15248" t="s">
        <v>3975</v>
      </c>
      <c r="F15248" t="s">
        <v>2068</v>
      </c>
      <c r="G15248" t="s">
        <v>47098</v>
      </c>
      <c r="H15248" t="s">
        <v>47126</v>
      </c>
      <c r="I15248" t="s">
        <v>47120</v>
      </c>
      <c r="J15248" t="s">
        <v>47121</v>
      </c>
      <c r="K15248" t="s">
        <v>47113</v>
      </c>
      <c r="L15248">
        <v>54.69</v>
      </c>
      <c r="M15248">
        <v>131</v>
      </c>
      <c r="N15248">
        <v>0</v>
      </c>
      <c r="O15248">
        <v>131</v>
      </c>
      <c r="P15248">
        <v>0</v>
      </c>
    </row>
    <row r="15249" spans="1:16" x14ac:dyDescent="0.25">
      <c r="A15249" t="s">
        <v>37926</v>
      </c>
      <c r="B15249" t="s">
        <v>10465</v>
      </c>
      <c r="C15249" t="s">
        <v>10466</v>
      </c>
      <c r="D15249" t="str">
        <f>"1001"</f>
        <v>1001</v>
      </c>
      <c r="E15249" t="s">
        <v>3966</v>
      </c>
      <c r="F15249" t="s">
        <v>2068</v>
      </c>
      <c r="G15249" t="s">
        <v>47098</v>
      </c>
      <c r="H15249" t="s">
        <v>47126</v>
      </c>
      <c r="I15249" t="s">
        <v>47120</v>
      </c>
      <c r="J15249" t="s">
        <v>47121</v>
      </c>
      <c r="K15249" t="s">
        <v>47113</v>
      </c>
      <c r="L15249">
        <v>53.68</v>
      </c>
      <c r="M15249">
        <v>130</v>
      </c>
      <c r="N15249">
        <v>0</v>
      </c>
      <c r="O15249">
        <v>130</v>
      </c>
      <c r="P15249">
        <v>0</v>
      </c>
    </row>
    <row r="15250" spans="1:16" x14ac:dyDescent="0.25">
      <c r="A15250" t="s">
        <v>37927</v>
      </c>
      <c r="B15250" t="s">
        <v>10465</v>
      </c>
      <c r="C15250" t="s">
        <v>10466</v>
      </c>
      <c r="D15250" t="str">
        <f>"3530"</f>
        <v>3530</v>
      </c>
      <c r="E15250" t="s">
        <v>10464</v>
      </c>
      <c r="F15250" t="s">
        <v>2068</v>
      </c>
      <c r="G15250" t="s">
        <v>47098</v>
      </c>
      <c r="H15250" t="s">
        <v>47126</v>
      </c>
      <c r="I15250" t="s">
        <v>47120</v>
      </c>
      <c r="J15250" t="s">
        <v>47121</v>
      </c>
      <c r="K15250" t="s">
        <v>47113</v>
      </c>
      <c r="L15250">
        <v>53.68</v>
      </c>
      <c r="M15250">
        <v>130</v>
      </c>
      <c r="N15250">
        <v>0</v>
      </c>
      <c r="O15250">
        <v>130</v>
      </c>
      <c r="P15250">
        <v>0</v>
      </c>
    </row>
    <row r="15251" spans="1:16" x14ac:dyDescent="0.25">
      <c r="A15251" t="s">
        <v>37928</v>
      </c>
      <c r="B15251" t="s">
        <v>10465</v>
      </c>
      <c r="C15251" t="s">
        <v>10466</v>
      </c>
      <c r="D15251" t="str">
        <f>"4883"</f>
        <v>4883</v>
      </c>
      <c r="E15251" t="s">
        <v>3975</v>
      </c>
      <c r="F15251" t="s">
        <v>2068</v>
      </c>
      <c r="G15251" t="s">
        <v>47098</v>
      </c>
      <c r="H15251" t="s">
        <v>47126</v>
      </c>
      <c r="I15251" t="s">
        <v>47120</v>
      </c>
      <c r="J15251" t="s">
        <v>47121</v>
      </c>
      <c r="K15251" t="s">
        <v>47113</v>
      </c>
      <c r="L15251">
        <v>53.68</v>
      </c>
      <c r="M15251">
        <v>130</v>
      </c>
      <c r="N15251">
        <v>0</v>
      </c>
      <c r="O15251">
        <v>130</v>
      </c>
      <c r="P15251">
        <v>0</v>
      </c>
    </row>
    <row r="15252" spans="1:16" x14ac:dyDescent="0.25">
      <c r="A15252" t="s">
        <v>37929</v>
      </c>
      <c r="B15252" t="s">
        <v>10467</v>
      </c>
      <c r="C15252" t="s">
        <v>10468</v>
      </c>
      <c r="D15252" t="str">
        <f>"1001"</f>
        <v>1001</v>
      </c>
      <c r="E15252" t="s">
        <v>3966</v>
      </c>
      <c r="F15252" t="s">
        <v>2068</v>
      </c>
      <c r="G15252" t="s">
        <v>47098</v>
      </c>
      <c r="H15252" t="s">
        <v>47126</v>
      </c>
      <c r="I15252" t="s">
        <v>47120</v>
      </c>
      <c r="J15252" t="s">
        <v>47121</v>
      </c>
      <c r="K15252" t="s">
        <v>47113</v>
      </c>
      <c r="L15252">
        <v>101.82</v>
      </c>
      <c r="M15252">
        <v>246</v>
      </c>
      <c r="N15252">
        <v>0</v>
      </c>
      <c r="O15252">
        <v>246</v>
      </c>
      <c r="P15252">
        <v>0</v>
      </c>
    </row>
    <row r="15253" spans="1:16" x14ac:dyDescent="0.25">
      <c r="A15253" t="s">
        <v>37930</v>
      </c>
      <c r="B15253" t="s">
        <v>10469</v>
      </c>
      <c r="C15253" t="s">
        <v>10470</v>
      </c>
      <c r="D15253" t="str">
        <f>"1001"</f>
        <v>1001</v>
      </c>
      <c r="E15253" t="s">
        <v>3966</v>
      </c>
      <c r="F15253" t="s">
        <v>2068</v>
      </c>
      <c r="G15253" t="s">
        <v>47098</v>
      </c>
      <c r="H15253" t="s">
        <v>47126</v>
      </c>
      <c r="I15253" t="s">
        <v>47120</v>
      </c>
      <c r="J15253" t="s">
        <v>47121</v>
      </c>
      <c r="K15253" t="s">
        <v>47113</v>
      </c>
      <c r="L15253">
        <v>79.03</v>
      </c>
      <c r="M15253">
        <v>191</v>
      </c>
      <c r="N15253">
        <v>0</v>
      </c>
      <c r="O15253">
        <v>191</v>
      </c>
      <c r="P15253">
        <v>0</v>
      </c>
    </row>
    <row r="15254" spans="1:16" x14ac:dyDescent="0.25">
      <c r="A15254" t="s">
        <v>37931</v>
      </c>
      <c r="B15254" t="s">
        <v>10471</v>
      </c>
      <c r="C15254" t="s">
        <v>10472</v>
      </c>
      <c r="D15254" t="str">
        <f>"1106"</f>
        <v>1106</v>
      </c>
      <c r="E15254" t="s">
        <v>460</v>
      </c>
      <c r="F15254" t="s">
        <v>2068</v>
      </c>
      <c r="G15254" t="s">
        <v>47091</v>
      </c>
      <c r="H15254" t="s">
        <v>47126</v>
      </c>
      <c r="I15254" t="s">
        <v>47127</v>
      </c>
      <c r="J15254" t="s">
        <v>47128</v>
      </c>
      <c r="K15254" t="s">
        <v>47113</v>
      </c>
      <c r="L15254">
        <v>13.16</v>
      </c>
      <c r="M15254">
        <v>33</v>
      </c>
      <c r="N15254">
        <v>0</v>
      </c>
      <c r="O15254">
        <v>33</v>
      </c>
      <c r="P15254">
        <v>0</v>
      </c>
    </row>
    <row r="15255" spans="1:16" x14ac:dyDescent="0.25">
      <c r="A15255" t="s">
        <v>37932</v>
      </c>
      <c r="B15255" t="s">
        <v>10471</v>
      </c>
      <c r="C15255" t="s">
        <v>10472</v>
      </c>
      <c r="D15255" t="str">
        <f>"1377"</f>
        <v>1377</v>
      </c>
      <c r="E15255" t="s">
        <v>74</v>
      </c>
      <c r="F15255" t="s">
        <v>2068</v>
      </c>
      <c r="G15255" t="s">
        <v>47091</v>
      </c>
      <c r="H15255" t="s">
        <v>47126</v>
      </c>
      <c r="I15255" t="s">
        <v>47127</v>
      </c>
      <c r="J15255" t="s">
        <v>47128</v>
      </c>
      <c r="K15255" t="s">
        <v>47113</v>
      </c>
      <c r="L15255">
        <v>13.16</v>
      </c>
      <c r="M15255">
        <v>33</v>
      </c>
      <c r="N15255">
        <v>0</v>
      </c>
      <c r="O15255">
        <v>33</v>
      </c>
      <c r="P15255">
        <v>0</v>
      </c>
    </row>
    <row r="15256" spans="1:16" x14ac:dyDescent="0.25">
      <c r="A15256" t="s">
        <v>37933</v>
      </c>
      <c r="B15256" t="s">
        <v>10471</v>
      </c>
      <c r="C15256" t="s">
        <v>10472</v>
      </c>
      <c r="D15256" t="str">
        <f>"1378"</f>
        <v>1378</v>
      </c>
      <c r="E15256" t="s">
        <v>388</v>
      </c>
      <c r="F15256" t="s">
        <v>2068</v>
      </c>
      <c r="G15256" t="s">
        <v>47091</v>
      </c>
      <c r="H15256" t="s">
        <v>47126</v>
      </c>
      <c r="I15256" t="s">
        <v>47127</v>
      </c>
      <c r="J15256" t="s">
        <v>47128</v>
      </c>
      <c r="K15256" t="s">
        <v>47113</v>
      </c>
      <c r="L15256">
        <v>13.16</v>
      </c>
      <c r="M15256">
        <v>33</v>
      </c>
      <c r="N15256">
        <v>0</v>
      </c>
      <c r="O15256">
        <v>33</v>
      </c>
      <c r="P15256">
        <v>0</v>
      </c>
    </row>
    <row r="15257" spans="1:16" x14ac:dyDescent="0.25">
      <c r="A15257" t="s">
        <v>15079</v>
      </c>
      <c r="B15257" t="s">
        <v>10471</v>
      </c>
      <c r="C15257" t="s">
        <v>10472</v>
      </c>
      <c r="D15257" t="str">
        <f>"1403"</f>
        <v>1403</v>
      </c>
      <c r="E15257" t="s">
        <v>224</v>
      </c>
      <c r="F15257" t="s">
        <v>2068</v>
      </c>
      <c r="G15257" t="s">
        <v>47091</v>
      </c>
      <c r="H15257" t="s">
        <v>47126</v>
      </c>
      <c r="I15257" t="s">
        <v>47127</v>
      </c>
      <c r="J15257" t="s">
        <v>47128</v>
      </c>
      <c r="K15257" t="s">
        <v>47113</v>
      </c>
      <c r="L15257">
        <v>13.16</v>
      </c>
      <c r="M15257">
        <v>33</v>
      </c>
      <c r="N15257">
        <v>0</v>
      </c>
      <c r="O15257">
        <v>33</v>
      </c>
      <c r="P15257">
        <v>0</v>
      </c>
    </row>
    <row r="15258" spans="1:16" x14ac:dyDescent="0.25">
      <c r="A15258" t="s">
        <v>15080</v>
      </c>
      <c r="B15258" t="s">
        <v>10471</v>
      </c>
      <c r="C15258" t="s">
        <v>10472</v>
      </c>
      <c r="D15258" t="str">
        <f>"1700"</f>
        <v>1700</v>
      </c>
      <c r="E15258" t="s">
        <v>60</v>
      </c>
      <c r="F15258" t="s">
        <v>2068</v>
      </c>
      <c r="G15258" t="s">
        <v>47091</v>
      </c>
      <c r="H15258" t="s">
        <v>47126</v>
      </c>
      <c r="I15258" t="s">
        <v>47127</v>
      </c>
      <c r="J15258" t="s">
        <v>47128</v>
      </c>
      <c r="K15258" t="s">
        <v>47113</v>
      </c>
      <c r="L15258">
        <v>13.16</v>
      </c>
      <c r="M15258">
        <v>33</v>
      </c>
      <c r="N15258">
        <v>0</v>
      </c>
      <c r="O15258">
        <v>33</v>
      </c>
      <c r="P15258">
        <v>0</v>
      </c>
    </row>
    <row r="15259" spans="1:16" x14ac:dyDescent="0.25">
      <c r="A15259" t="s">
        <v>37934</v>
      </c>
      <c r="B15259" t="s">
        <v>10471</v>
      </c>
      <c r="C15259" t="s">
        <v>10472</v>
      </c>
      <c r="D15259" t="str">
        <f>"4000"</f>
        <v>4000</v>
      </c>
      <c r="E15259" t="s">
        <v>190</v>
      </c>
      <c r="F15259" t="s">
        <v>2068</v>
      </c>
      <c r="G15259" t="s">
        <v>47091</v>
      </c>
      <c r="H15259" t="s">
        <v>47126</v>
      </c>
      <c r="I15259" t="s">
        <v>47127</v>
      </c>
      <c r="J15259" t="s">
        <v>47128</v>
      </c>
      <c r="K15259" t="s">
        <v>47113</v>
      </c>
      <c r="L15259">
        <v>13.16</v>
      </c>
      <c r="M15259">
        <v>33</v>
      </c>
      <c r="N15259">
        <v>0</v>
      </c>
      <c r="O15259">
        <v>33</v>
      </c>
      <c r="P15259">
        <v>0</v>
      </c>
    </row>
    <row r="15260" spans="1:16" x14ac:dyDescent="0.25">
      <c r="A15260" t="s">
        <v>37935</v>
      </c>
      <c r="B15260" t="s">
        <v>10471</v>
      </c>
      <c r="C15260" t="s">
        <v>10472</v>
      </c>
      <c r="D15260" t="str">
        <f>"4201"</f>
        <v>4201</v>
      </c>
      <c r="E15260" t="s">
        <v>1855</v>
      </c>
      <c r="F15260" t="s">
        <v>2068</v>
      </c>
      <c r="G15260" t="s">
        <v>47091</v>
      </c>
      <c r="H15260" t="s">
        <v>47126</v>
      </c>
      <c r="I15260" t="s">
        <v>47127</v>
      </c>
      <c r="J15260" t="s">
        <v>47128</v>
      </c>
      <c r="K15260" t="s">
        <v>47113</v>
      </c>
      <c r="L15260">
        <v>13.16</v>
      </c>
      <c r="M15260">
        <v>33</v>
      </c>
      <c r="N15260">
        <v>0</v>
      </c>
      <c r="O15260">
        <v>33</v>
      </c>
      <c r="P15260">
        <v>0</v>
      </c>
    </row>
    <row r="15261" spans="1:16" x14ac:dyDescent="0.25">
      <c r="A15261" t="s">
        <v>37936</v>
      </c>
      <c r="B15261" t="s">
        <v>10471</v>
      </c>
      <c r="C15261" t="s">
        <v>10472</v>
      </c>
      <c r="D15261" t="str">
        <f>"4753"</f>
        <v>4753</v>
      </c>
      <c r="E15261" t="s">
        <v>3755</v>
      </c>
      <c r="F15261" t="s">
        <v>2068</v>
      </c>
      <c r="G15261" t="s">
        <v>47091</v>
      </c>
      <c r="H15261" t="s">
        <v>47126</v>
      </c>
      <c r="I15261" t="s">
        <v>47127</v>
      </c>
      <c r="J15261" t="s">
        <v>47128</v>
      </c>
      <c r="K15261" t="s">
        <v>47113</v>
      </c>
      <c r="L15261">
        <v>13.16</v>
      </c>
      <c r="M15261">
        <v>33</v>
      </c>
      <c r="N15261">
        <v>0</v>
      </c>
      <c r="O15261">
        <v>33</v>
      </c>
      <c r="P15261">
        <v>0</v>
      </c>
    </row>
    <row r="15262" spans="1:16" x14ac:dyDescent="0.25">
      <c r="A15262" t="s">
        <v>37937</v>
      </c>
      <c r="B15262" t="s">
        <v>10471</v>
      </c>
      <c r="C15262" t="s">
        <v>10472</v>
      </c>
      <c r="D15262" t="str">
        <f>"6276"</f>
        <v>6276</v>
      </c>
      <c r="E15262" t="s">
        <v>3867</v>
      </c>
      <c r="F15262" t="s">
        <v>2068</v>
      </c>
      <c r="G15262" t="s">
        <v>47091</v>
      </c>
      <c r="H15262" t="s">
        <v>47126</v>
      </c>
      <c r="I15262" t="s">
        <v>47127</v>
      </c>
      <c r="J15262" t="s">
        <v>47128</v>
      </c>
      <c r="K15262" t="s">
        <v>47113</v>
      </c>
      <c r="L15262">
        <v>13.16</v>
      </c>
      <c r="M15262">
        <v>33</v>
      </c>
      <c r="N15262">
        <v>0</v>
      </c>
      <c r="O15262">
        <v>33</v>
      </c>
      <c r="P15262">
        <v>0</v>
      </c>
    </row>
    <row r="15263" spans="1:16" x14ac:dyDescent="0.25">
      <c r="A15263" t="s">
        <v>37938</v>
      </c>
      <c r="B15263" t="s">
        <v>10471</v>
      </c>
      <c r="C15263" t="s">
        <v>10472</v>
      </c>
      <c r="D15263" t="s">
        <v>10280</v>
      </c>
      <c r="E15263" t="s">
        <v>10281</v>
      </c>
      <c r="F15263" t="s">
        <v>2068</v>
      </c>
      <c r="G15263" t="s">
        <v>47091</v>
      </c>
      <c r="H15263" t="s">
        <v>47126</v>
      </c>
      <c r="I15263" t="s">
        <v>47127</v>
      </c>
      <c r="J15263" t="s">
        <v>47128</v>
      </c>
      <c r="K15263" t="s">
        <v>47113</v>
      </c>
      <c r="L15263">
        <v>13.15</v>
      </c>
      <c r="M15263">
        <v>33</v>
      </c>
      <c r="N15263">
        <v>0</v>
      </c>
      <c r="O15263">
        <v>33</v>
      </c>
      <c r="P15263">
        <v>0</v>
      </c>
    </row>
    <row r="15264" spans="1:16" x14ac:dyDescent="0.25">
      <c r="A15264" t="s">
        <v>15081</v>
      </c>
      <c r="B15264" t="s">
        <v>10473</v>
      </c>
      <c r="C15264" t="s">
        <v>10474</v>
      </c>
      <c r="D15264" t="str">
        <f>"1285"</f>
        <v>1285</v>
      </c>
      <c r="E15264" t="s">
        <v>2148</v>
      </c>
      <c r="F15264" t="s">
        <v>2068</v>
      </c>
      <c r="G15264" t="s">
        <v>47091</v>
      </c>
      <c r="H15264" t="s">
        <v>47126</v>
      </c>
      <c r="I15264" t="s">
        <v>47127</v>
      </c>
      <c r="J15264" t="s">
        <v>47128</v>
      </c>
      <c r="K15264" t="s">
        <v>47113</v>
      </c>
      <c r="L15264">
        <v>13.16</v>
      </c>
      <c r="M15264">
        <v>33</v>
      </c>
      <c r="N15264">
        <v>0</v>
      </c>
      <c r="O15264">
        <v>33</v>
      </c>
      <c r="P15264">
        <v>0</v>
      </c>
    </row>
    <row r="15265" spans="1:16" x14ac:dyDescent="0.25">
      <c r="A15265" t="s">
        <v>37939</v>
      </c>
      <c r="B15265" t="s">
        <v>10473</v>
      </c>
      <c r="C15265" t="s">
        <v>10474</v>
      </c>
      <c r="D15265" t="str">
        <f>"1378"</f>
        <v>1378</v>
      </c>
      <c r="E15265" t="s">
        <v>388</v>
      </c>
      <c r="F15265" t="s">
        <v>2068</v>
      </c>
      <c r="G15265" t="s">
        <v>47091</v>
      </c>
      <c r="H15265" t="s">
        <v>47126</v>
      </c>
      <c r="I15265" t="s">
        <v>47127</v>
      </c>
      <c r="J15265" t="s">
        <v>47128</v>
      </c>
      <c r="K15265" t="s">
        <v>47113</v>
      </c>
      <c r="L15265">
        <v>13.16</v>
      </c>
      <c r="M15265">
        <v>33</v>
      </c>
      <c r="N15265">
        <v>0</v>
      </c>
      <c r="O15265">
        <v>33</v>
      </c>
      <c r="P15265">
        <v>0</v>
      </c>
    </row>
    <row r="15266" spans="1:16" x14ac:dyDescent="0.25">
      <c r="A15266" t="s">
        <v>37940</v>
      </c>
      <c r="B15266" t="s">
        <v>10473</v>
      </c>
      <c r="C15266" t="s">
        <v>10474</v>
      </c>
      <c r="D15266" t="str">
        <f>"1700"</f>
        <v>1700</v>
      </c>
      <c r="E15266" t="s">
        <v>60</v>
      </c>
      <c r="F15266" t="s">
        <v>2068</v>
      </c>
      <c r="G15266" t="s">
        <v>47091</v>
      </c>
      <c r="H15266" t="s">
        <v>47126</v>
      </c>
      <c r="I15266" t="s">
        <v>47127</v>
      </c>
      <c r="J15266" t="s">
        <v>47128</v>
      </c>
      <c r="K15266" t="s">
        <v>47113</v>
      </c>
      <c r="L15266">
        <v>13.16</v>
      </c>
      <c r="M15266">
        <v>33</v>
      </c>
      <c r="N15266">
        <v>0</v>
      </c>
      <c r="O15266">
        <v>33</v>
      </c>
      <c r="P15266">
        <v>0</v>
      </c>
    </row>
    <row r="15267" spans="1:16" x14ac:dyDescent="0.25">
      <c r="A15267" t="s">
        <v>37941</v>
      </c>
      <c r="B15267" t="s">
        <v>10473</v>
      </c>
      <c r="C15267" t="s">
        <v>10474</v>
      </c>
      <c r="D15267" t="str">
        <f>"2166"</f>
        <v>2166</v>
      </c>
      <c r="E15267" t="s">
        <v>80</v>
      </c>
      <c r="F15267" t="s">
        <v>2068</v>
      </c>
      <c r="G15267" t="s">
        <v>47091</v>
      </c>
      <c r="H15267" t="s">
        <v>47126</v>
      </c>
      <c r="I15267" t="s">
        <v>47127</v>
      </c>
      <c r="J15267" t="s">
        <v>47128</v>
      </c>
      <c r="K15267" t="s">
        <v>47113</v>
      </c>
      <c r="L15267">
        <v>13.16</v>
      </c>
      <c r="M15267">
        <v>33</v>
      </c>
      <c r="N15267">
        <v>0</v>
      </c>
      <c r="O15267">
        <v>33</v>
      </c>
      <c r="P15267">
        <v>0</v>
      </c>
    </row>
    <row r="15268" spans="1:16" x14ac:dyDescent="0.25">
      <c r="A15268" t="s">
        <v>15082</v>
      </c>
      <c r="B15268" t="s">
        <v>10473</v>
      </c>
      <c r="C15268" t="s">
        <v>10474</v>
      </c>
      <c r="D15268" t="str">
        <f>"3501"</f>
        <v>3501</v>
      </c>
      <c r="E15268" t="s">
        <v>3758</v>
      </c>
      <c r="F15268" t="s">
        <v>2068</v>
      </c>
      <c r="G15268" t="s">
        <v>47091</v>
      </c>
      <c r="H15268" t="s">
        <v>47126</v>
      </c>
      <c r="I15268" t="s">
        <v>47127</v>
      </c>
      <c r="J15268" t="s">
        <v>47128</v>
      </c>
      <c r="K15268" t="s">
        <v>47113</v>
      </c>
      <c r="L15268">
        <v>13.16</v>
      </c>
      <c r="M15268">
        <v>33</v>
      </c>
      <c r="N15268">
        <v>0</v>
      </c>
      <c r="O15268">
        <v>33</v>
      </c>
      <c r="P15268">
        <v>0</v>
      </c>
    </row>
    <row r="15269" spans="1:16" x14ac:dyDescent="0.25">
      <c r="A15269" t="s">
        <v>37942</v>
      </c>
      <c r="B15269" t="s">
        <v>10473</v>
      </c>
      <c r="C15269" t="s">
        <v>10474</v>
      </c>
      <c r="D15269" t="str">
        <f>"4201"</f>
        <v>4201</v>
      </c>
      <c r="E15269" t="s">
        <v>1855</v>
      </c>
      <c r="F15269" t="s">
        <v>2068</v>
      </c>
      <c r="G15269" t="s">
        <v>47091</v>
      </c>
      <c r="H15269" t="s">
        <v>47126</v>
      </c>
      <c r="I15269" t="s">
        <v>47127</v>
      </c>
      <c r="J15269" t="s">
        <v>47128</v>
      </c>
      <c r="K15269" t="s">
        <v>47113</v>
      </c>
      <c r="L15269">
        <v>13.16</v>
      </c>
      <c r="M15269">
        <v>33</v>
      </c>
      <c r="N15269">
        <v>0</v>
      </c>
      <c r="O15269">
        <v>33</v>
      </c>
      <c r="P15269">
        <v>0</v>
      </c>
    </row>
    <row r="15270" spans="1:16" x14ac:dyDescent="0.25">
      <c r="A15270" t="s">
        <v>37943</v>
      </c>
      <c r="B15270" t="s">
        <v>10475</v>
      </c>
      <c r="C15270" t="s">
        <v>10476</v>
      </c>
      <c r="D15270" t="str">
        <f>"1377"</f>
        <v>1377</v>
      </c>
      <c r="E15270" t="s">
        <v>74</v>
      </c>
      <c r="F15270" t="s">
        <v>2068</v>
      </c>
      <c r="G15270" t="s">
        <v>47091</v>
      </c>
      <c r="H15270" t="s">
        <v>47126</v>
      </c>
      <c r="I15270" t="s">
        <v>47127</v>
      </c>
      <c r="J15270" t="s">
        <v>47128</v>
      </c>
      <c r="K15270" t="s">
        <v>47113</v>
      </c>
      <c r="L15270">
        <v>13.88</v>
      </c>
      <c r="M15270">
        <v>33</v>
      </c>
      <c r="N15270">
        <v>0</v>
      </c>
      <c r="O15270">
        <v>33</v>
      </c>
      <c r="P15270">
        <v>0</v>
      </c>
    </row>
    <row r="15271" spans="1:16" x14ac:dyDescent="0.25">
      <c r="A15271" t="s">
        <v>37944</v>
      </c>
      <c r="B15271" t="s">
        <v>10475</v>
      </c>
      <c r="C15271" t="s">
        <v>10476</v>
      </c>
      <c r="D15271" t="str">
        <f>"1378"</f>
        <v>1378</v>
      </c>
      <c r="E15271" t="s">
        <v>388</v>
      </c>
      <c r="F15271" t="s">
        <v>2068</v>
      </c>
      <c r="G15271" t="s">
        <v>47091</v>
      </c>
      <c r="H15271" t="s">
        <v>47126</v>
      </c>
      <c r="I15271" t="s">
        <v>47127</v>
      </c>
      <c r="J15271" t="s">
        <v>47128</v>
      </c>
      <c r="K15271" t="s">
        <v>47113</v>
      </c>
      <c r="L15271">
        <v>13.88</v>
      </c>
      <c r="M15271">
        <v>33</v>
      </c>
      <c r="N15271">
        <v>0</v>
      </c>
      <c r="O15271">
        <v>33</v>
      </c>
      <c r="P15271">
        <v>0</v>
      </c>
    </row>
    <row r="15272" spans="1:16" x14ac:dyDescent="0.25">
      <c r="A15272" t="s">
        <v>37945</v>
      </c>
      <c r="B15272" t="s">
        <v>10475</v>
      </c>
      <c r="C15272" t="s">
        <v>10476</v>
      </c>
      <c r="D15272" t="str">
        <f>"1403"</f>
        <v>1403</v>
      </c>
      <c r="E15272" t="s">
        <v>224</v>
      </c>
      <c r="F15272" t="s">
        <v>2068</v>
      </c>
      <c r="G15272" t="s">
        <v>47091</v>
      </c>
      <c r="H15272" t="s">
        <v>47126</v>
      </c>
      <c r="I15272" t="s">
        <v>47127</v>
      </c>
      <c r="J15272" t="s">
        <v>47128</v>
      </c>
      <c r="K15272" t="s">
        <v>47113</v>
      </c>
      <c r="L15272">
        <v>13.88</v>
      </c>
      <c r="M15272">
        <v>33</v>
      </c>
      <c r="N15272">
        <v>0</v>
      </c>
      <c r="O15272">
        <v>33</v>
      </c>
      <c r="P15272">
        <v>0</v>
      </c>
    </row>
    <row r="15273" spans="1:16" x14ac:dyDescent="0.25">
      <c r="A15273" t="s">
        <v>37946</v>
      </c>
      <c r="B15273" t="s">
        <v>10475</v>
      </c>
      <c r="C15273" t="s">
        <v>10476</v>
      </c>
      <c r="D15273" t="str">
        <f>"1700"</f>
        <v>1700</v>
      </c>
      <c r="E15273" t="s">
        <v>60</v>
      </c>
      <c r="F15273" t="s">
        <v>2068</v>
      </c>
      <c r="G15273" t="s">
        <v>47091</v>
      </c>
      <c r="H15273" t="s">
        <v>47126</v>
      </c>
      <c r="I15273" t="s">
        <v>47127</v>
      </c>
      <c r="J15273" t="s">
        <v>47128</v>
      </c>
      <c r="K15273" t="s">
        <v>47113</v>
      </c>
      <c r="L15273">
        <v>13.88</v>
      </c>
      <c r="M15273">
        <v>33</v>
      </c>
      <c r="N15273">
        <v>0</v>
      </c>
      <c r="O15273">
        <v>33</v>
      </c>
      <c r="P15273">
        <v>0</v>
      </c>
    </row>
    <row r="15274" spans="1:16" x14ac:dyDescent="0.25">
      <c r="A15274" t="s">
        <v>37947</v>
      </c>
      <c r="B15274" t="s">
        <v>10475</v>
      </c>
      <c r="C15274" t="s">
        <v>10476</v>
      </c>
      <c r="D15274" t="str">
        <f>"2166"</f>
        <v>2166</v>
      </c>
      <c r="E15274" t="s">
        <v>80</v>
      </c>
      <c r="F15274" t="s">
        <v>2068</v>
      </c>
      <c r="G15274" t="s">
        <v>47091</v>
      </c>
      <c r="H15274" t="s">
        <v>47126</v>
      </c>
      <c r="I15274" t="s">
        <v>47127</v>
      </c>
      <c r="J15274" t="s">
        <v>47128</v>
      </c>
      <c r="K15274" t="s">
        <v>47113</v>
      </c>
      <c r="L15274">
        <v>13.88</v>
      </c>
      <c r="M15274">
        <v>33</v>
      </c>
      <c r="N15274">
        <v>0</v>
      </c>
      <c r="O15274">
        <v>33</v>
      </c>
      <c r="P15274">
        <v>0</v>
      </c>
    </row>
    <row r="15275" spans="1:16" x14ac:dyDescent="0.25">
      <c r="A15275" t="s">
        <v>37948</v>
      </c>
      <c r="B15275" t="s">
        <v>10475</v>
      </c>
      <c r="C15275" t="s">
        <v>10476</v>
      </c>
      <c r="D15275" t="str">
        <f>"3501"</f>
        <v>3501</v>
      </c>
      <c r="E15275" t="s">
        <v>3758</v>
      </c>
      <c r="F15275" t="s">
        <v>2068</v>
      </c>
      <c r="G15275" t="s">
        <v>47091</v>
      </c>
      <c r="H15275" t="s">
        <v>47126</v>
      </c>
      <c r="I15275" t="s">
        <v>47127</v>
      </c>
      <c r="J15275" t="s">
        <v>47128</v>
      </c>
      <c r="K15275" t="s">
        <v>47113</v>
      </c>
      <c r="L15275">
        <v>13.88</v>
      </c>
      <c r="M15275">
        <v>33</v>
      </c>
      <c r="N15275">
        <v>0</v>
      </c>
      <c r="O15275">
        <v>33</v>
      </c>
      <c r="P15275">
        <v>0</v>
      </c>
    </row>
    <row r="15276" spans="1:16" x14ac:dyDescent="0.25">
      <c r="A15276" t="s">
        <v>37949</v>
      </c>
      <c r="B15276" t="s">
        <v>10475</v>
      </c>
      <c r="C15276" t="s">
        <v>10476</v>
      </c>
      <c r="D15276" t="str">
        <f>"4000"</f>
        <v>4000</v>
      </c>
      <c r="E15276" t="s">
        <v>190</v>
      </c>
      <c r="F15276" t="s">
        <v>2068</v>
      </c>
      <c r="G15276" t="s">
        <v>47091</v>
      </c>
      <c r="H15276" t="s">
        <v>47126</v>
      </c>
      <c r="I15276" t="s">
        <v>47127</v>
      </c>
      <c r="J15276" t="s">
        <v>47128</v>
      </c>
      <c r="K15276" t="s">
        <v>47113</v>
      </c>
      <c r="L15276">
        <v>13.88</v>
      </c>
      <c r="M15276">
        <v>33</v>
      </c>
      <c r="N15276">
        <v>0</v>
      </c>
      <c r="O15276">
        <v>33</v>
      </c>
      <c r="P15276">
        <v>0</v>
      </c>
    </row>
    <row r="15277" spans="1:16" x14ac:dyDescent="0.25">
      <c r="A15277" t="s">
        <v>37950</v>
      </c>
      <c r="B15277" t="s">
        <v>10475</v>
      </c>
      <c r="C15277" t="s">
        <v>10476</v>
      </c>
      <c r="D15277" t="str">
        <f>"6276"</f>
        <v>6276</v>
      </c>
      <c r="E15277" t="s">
        <v>3867</v>
      </c>
      <c r="F15277" t="s">
        <v>2068</v>
      </c>
      <c r="G15277" t="s">
        <v>47091</v>
      </c>
      <c r="H15277" t="s">
        <v>47126</v>
      </c>
      <c r="I15277" t="s">
        <v>47127</v>
      </c>
      <c r="J15277" t="s">
        <v>47128</v>
      </c>
      <c r="K15277" t="s">
        <v>47113</v>
      </c>
      <c r="L15277">
        <v>13.88</v>
      </c>
      <c r="M15277">
        <v>33</v>
      </c>
      <c r="N15277">
        <v>0</v>
      </c>
      <c r="O15277">
        <v>33</v>
      </c>
      <c r="P15277">
        <v>0</v>
      </c>
    </row>
    <row r="15278" spans="1:16" x14ac:dyDescent="0.25">
      <c r="A15278" t="s">
        <v>37951</v>
      </c>
      <c r="B15278" t="s">
        <v>10477</v>
      </c>
      <c r="C15278" t="s">
        <v>10478</v>
      </c>
      <c r="D15278" t="str">
        <f>"1106"</f>
        <v>1106</v>
      </c>
      <c r="E15278" t="s">
        <v>460</v>
      </c>
      <c r="F15278" t="s">
        <v>2068</v>
      </c>
      <c r="G15278" t="s">
        <v>47091</v>
      </c>
      <c r="H15278" t="s">
        <v>47126</v>
      </c>
      <c r="I15278" t="s">
        <v>47127</v>
      </c>
      <c r="J15278" t="s">
        <v>47128</v>
      </c>
      <c r="K15278" t="s">
        <v>47113</v>
      </c>
      <c r="L15278">
        <v>13.88</v>
      </c>
      <c r="M15278">
        <v>33</v>
      </c>
      <c r="N15278">
        <v>0</v>
      </c>
      <c r="O15278">
        <v>33</v>
      </c>
      <c r="P15278">
        <v>0</v>
      </c>
    </row>
    <row r="15279" spans="1:16" x14ac:dyDescent="0.25">
      <c r="A15279" t="s">
        <v>37952</v>
      </c>
      <c r="B15279" t="s">
        <v>10477</v>
      </c>
      <c r="C15279" t="s">
        <v>10478</v>
      </c>
      <c r="D15279" t="str">
        <f>"1285"</f>
        <v>1285</v>
      </c>
      <c r="E15279" t="s">
        <v>2148</v>
      </c>
      <c r="F15279" t="s">
        <v>2068</v>
      </c>
      <c r="G15279" t="s">
        <v>47091</v>
      </c>
      <c r="H15279" t="s">
        <v>47126</v>
      </c>
      <c r="I15279" t="s">
        <v>47127</v>
      </c>
      <c r="J15279" t="s">
        <v>47128</v>
      </c>
      <c r="K15279" t="s">
        <v>47113</v>
      </c>
      <c r="L15279">
        <v>13.88</v>
      </c>
      <c r="M15279">
        <v>33</v>
      </c>
      <c r="N15279">
        <v>0</v>
      </c>
      <c r="O15279">
        <v>33</v>
      </c>
      <c r="P15279">
        <v>0</v>
      </c>
    </row>
    <row r="15280" spans="1:16" x14ac:dyDescent="0.25">
      <c r="A15280" t="s">
        <v>37953</v>
      </c>
      <c r="B15280" t="s">
        <v>10477</v>
      </c>
      <c r="C15280" t="s">
        <v>10478</v>
      </c>
      <c r="D15280" t="str">
        <f>"1403"</f>
        <v>1403</v>
      </c>
      <c r="E15280" t="s">
        <v>224</v>
      </c>
      <c r="F15280" t="s">
        <v>2068</v>
      </c>
      <c r="G15280" t="s">
        <v>47091</v>
      </c>
      <c r="H15280" t="s">
        <v>47126</v>
      </c>
      <c r="I15280" t="s">
        <v>47127</v>
      </c>
      <c r="J15280" t="s">
        <v>47128</v>
      </c>
      <c r="K15280" t="s">
        <v>47113</v>
      </c>
      <c r="L15280">
        <v>13.88</v>
      </c>
      <c r="M15280">
        <v>33</v>
      </c>
      <c r="N15280">
        <v>0</v>
      </c>
      <c r="O15280">
        <v>33</v>
      </c>
      <c r="P15280">
        <v>0</v>
      </c>
    </row>
    <row r="15281" spans="1:16" x14ac:dyDescent="0.25">
      <c r="A15281" t="s">
        <v>37954</v>
      </c>
      <c r="B15281" t="s">
        <v>10477</v>
      </c>
      <c r="C15281" t="s">
        <v>10478</v>
      </c>
      <c r="D15281" t="str">
        <f>"1700"</f>
        <v>1700</v>
      </c>
      <c r="E15281" t="s">
        <v>60</v>
      </c>
      <c r="F15281" t="s">
        <v>2068</v>
      </c>
      <c r="G15281" t="s">
        <v>47091</v>
      </c>
      <c r="H15281" t="s">
        <v>47126</v>
      </c>
      <c r="I15281" t="s">
        <v>47127</v>
      </c>
      <c r="J15281" t="s">
        <v>47128</v>
      </c>
      <c r="K15281" t="s">
        <v>47113</v>
      </c>
      <c r="L15281">
        <v>13.88</v>
      </c>
      <c r="M15281">
        <v>33</v>
      </c>
      <c r="N15281">
        <v>0</v>
      </c>
      <c r="O15281">
        <v>33</v>
      </c>
      <c r="P15281">
        <v>0</v>
      </c>
    </row>
    <row r="15282" spans="1:16" x14ac:dyDescent="0.25">
      <c r="A15282" t="s">
        <v>37955</v>
      </c>
      <c r="B15282" t="s">
        <v>10477</v>
      </c>
      <c r="C15282" t="s">
        <v>10478</v>
      </c>
      <c r="D15282" t="str">
        <f>"2166"</f>
        <v>2166</v>
      </c>
      <c r="E15282" t="s">
        <v>80</v>
      </c>
      <c r="F15282" t="s">
        <v>2068</v>
      </c>
      <c r="G15282" t="s">
        <v>47091</v>
      </c>
      <c r="H15282" t="s">
        <v>47126</v>
      </c>
      <c r="I15282" t="s">
        <v>47127</v>
      </c>
      <c r="J15282" t="s">
        <v>47128</v>
      </c>
      <c r="K15282" t="s">
        <v>47113</v>
      </c>
      <c r="L15282">
        <v>13.88</v>
      </c>
      <c r="M15282">
        <v>33</v>
      </c>
      <c r="N15282">
        <v>0</v>
      </c>
      <c r="O15282">
        <v>33</v>
      </c>
      <c r="P15282">
        <v>0</v>
      </c>
    </row>
    <row r="15283" spans="1:16" x14ac:dyDescent="0.25">
      <c r="A15283" t="s">
        <v>37956</v>
      </c>
      <c r="B15283" t="s">
        <v>10477</v>
      </c>
      <c r="C15283" t="s">
        <v>10478</v>
      </c>
      <c r="D15283" t="str">
        <f>"3501"</f>
        <v>3501</v>
      </c>
      <c r="E15283" t="s">
        <v>3758</v>
      </c>
      <c r="F15283" t="s">
        <v>2068</v>
      </c>
      <c r="G15283" t="s">
        <v>47091</v>
      </c>
      <c r="H15283" t="s">
        <v>47126</v>
      </c>
      <c r="I15283" t="s">
        <v>47127</v>
      </c>
      <c r="J15283" t="s">
        <v>47128</v>
      </c>
      <c r="K15283" t="s">
        <v>47113</v>
      </c>
      <c r="L15283">
        <v>13.88</v>
      </c>
      <c r="M15283">
        <v>33</v>
      </c>
      <c r="N15283">
        <v>0</v>
      </c>
      <c r="O15283">
        <v>33</v>
      </c>
      <c r="P15283">
        <v>0</v>
      </c>
    </row>
    <row r="15284" spans="1:16" x14ac:dyDescent="0.25">
      <c r="A15284" t="s">
        <v>37957</v>
      </c>
      <c r="B15284" t="s">
        <v>10477</v>
      </c>
      <c r="C15284" t="s">
        <v>10478</v>
      </c>
      <c r="D15284" t="str">
        <f>"4201"</f>
        <v>4201</v>
      </c>
      <c r="E15284" t="s">
        <v>1855</v>
      </c>
      <c r="F15284" t="s">
        <v>2068</v>
      </c>
      <c r="G15284" t="s">
        <v>47091</v>
      </c>
      <c r="H15284" t="s">
        <v>47126</v>
      </c>
      <c r="I15284" t="s">
        <v>47127</v>
      </c>
      <c r="J15284" t="s">
        <v>47128</v>
      </c>
      <c r="K15284" t="s">
        <v>47113</v>
      </c>
      <c r="L15284">
        <v>13.88</v>
      </c>
      <c r="M15284">
        <v>33</v>
      </c>
      <c r="N15284">
        <v>0</v>
      </c>
      <c r="O15284">
        <v>33</v>
      </c>
      <c r="P15284">
        <v>0</v>
      </c>
    </row>
    <row r="15285" spans="1:16" x14ac:dyDescent="0.25">
      <c r="A15285" t="s">
        <v>37958</v>
      </c>
      <c r="B15285" t="s">
        <v>10477</v>
      </c>
      <c r="C15285" t="s">
        <v>10478</v>
      </c>
      <c r="D15285" t="str">
        <f>"6276"</f>
        <v>6276</v>
      </c>
      <c r="E15285" t="s">
        <v>3867</v>
      </c>
      <c r="F15285" t="s">
        <v>2068</v>
      </c>
      <c r="G15285" t="s">
        <v>47091</v>
      </c>
      <c r="H15285" t="s">
        <v>47126</v>
      </c>
      <c r="I15285" t="s">
        <v>47127</v>
      </c>
      <c r="J15285" t="s">
        <v>47128</v>
      </c>
      <c r="K15285" t="s">
        <v>47113</v>
      </c>
      <c r="L15285">
        <v>13.88</v>
      </c>
      <c r="M15285">
        <v>33</v>
      </c>
      <c r="N15285">
        <v>0</v>
      </c>
      <c r="O15285">
        <v>33</v>
      </c>
      <c r="P15285">
        <v>0</v>
      </c>
    </row>
    <row r="15286" spans="1:16" x14ac:dyDescent="0.25">
      <c r="A15286" t="s">
        <v>37959</v>
      </c>
      <c r="B15286" t="s">
        <v>10479</v>
      </c>
      <c r="C15286" t="s">
        <v>4528</v>
      </c>
      <c r="D15286" t="str">
        <f>"1106"</f>
        <v>1106</v>
      </c>
      <c r="E15286" t="s">
        <v>460</v>
      </c>
      <c r="F15286" t="s">
        <v>2068</v>
      </c>
      <c r="G15286" t="s">
        <v>47091</v>
      </c>
      <c r="H15286" t="s">
        <v>47126</v>
      </c>
      <c r="I15286" t="s">
        <v>47127</v>
      </c>
      <c r="J15286" t="s">
        <v>47128</v>
      </c>
      <c r="K15286" t="s">
        <v>47113</v>
      </c>
      <c r="L15286">
        <v>13.16</v>
      </c>
      <c r="M15286">
        <v>33</v>
      </c>
      <c r="N15286">
        <v>0</v>
      </c>
      <c r="O15286">
        <v>33</v>
      </c>
      <c r="P15286">
        <v>0</v>
      </c>
    </row>
    <row r="15287" spans="1:16" x14ac:dyDescent="0.25">
      <c r="A15287" t="s">
        <v>37960</v>
      </c>
      <c r="B15287" t="s">
        <v>10479</v>
      </c>
      <c r="C15287" t="s">
        <v>4528</v>
      </c>
      <c r="D15287" t="str">
        <f>"1377"</f>
        <v>1377</v>
      </c>
      <c r="E15287" t="s">
        <v>74</v>
      </c>
      <c r="F15287" t="s">
        <v>2068</v>
      </c>
      <c r="G15287" t="s">
        <v>47091</v>
      </c>
      <c r="H15287" t="s">
        <v>47126</v>
      </c>
      <c r="I15287" t="s">
        <v>47127</v>
      </c>
      <c r="J15287" t="s">
        <v>47128</v>
      </c>
      <c r="K15287" t="s">
        <v>47113</v>
      </c>
      <c r="L15287">
        <v>13.16</v>
      </c>
      <c r="M15287">
        <v>33</v>
      </c>
      <c r="N15287">
        <v>0</v>
      </c>
      <c r="O15287">
        <v>33</v>
      </c>
      <c r="P15287">
        <v>0</v>
      </c>
    </row>
    <row r="15288" spans="1:16" x14ac:dyDescent="0.25">
      <c r="A15288" t="s">
        <v>37961</v>
      </c>
      <c r="B15288" t="s">
        <v>10479</v>
      </c>
      <c r="C15288" t="s">
        <v>4528</v>
      </c>
      <c r="D15288" t="str">
        <f>"1403"</f>
        <v>1403</v>
      </c>
      <c r="E15288" t="s">
        <v>224</v>
      </c>
      <c r="F15288" t="s">
        <v>2068</v>
      </c>
      <c r="G15288" t="s">
        <v>47091</v>
      </c>
      <c r="H15288" t="s">
        <v>47126</v>
      </c>
      <c r="I15288" t="s">
        <v>47127</v>
      </c>
      <c r="J15288" t="s">
        <v>47128</v>
      </c>
      <c r="K15288" t="s">
        <v>47113</v>
      </c>
      <c r="L15288">
        <v>13.16</v>
      </c>
      <c r="M15288">
        <v>33</v>
      </c>
      <c r="N15288">
        <v>0</v>
      </c>
      <c r="O15288">
        <v>33</v>
      </c>
      <c r="P15288">
        <v>0</v>
      </c>
    </row>
    <row r="15289" spans="1:16" x14ac:dyDescent="0.25">
      <c r="A15289" t="s">
        <v>37962</v>
      </c>
      <c r="B15289" t="s">
        <v>10479</v>
      </c>
      <c r="C15289" t="s">
        <v>4528</v>
      </c>
      <c r="D15289" t="str">
        <f>"1700"</f>
        <v>1700</v>
      </c>
      <c r="E15289" t="s">
        <v>60</v>
      </c>
      <c r="F15289" t="s">
        <v>2068</v>
      </c>
      <c r="G15289" t="s">
        <v>47091</v>
      </c>
      <c r="H15289" t="s">
        <v>47126</v>
      </c>
      <c r="I15289" t="s">
        <v>47127</v>
      </c>
      <c r="J15289" t="s">
        <v>47128</v>
      </c>
      <c r="K15289" t="s">
        <v>47113</v>
      </c>
      <c r="L15289">
        <v>13.16</v>
      </c>
      <c r="M15289">
        <v>33</v>
      </c>
      <c r="N15289">
        <v>0</v>
      </c>
      <c r="O15289">
        <v>33</v>
      </c>
      <c r="P15289">
        <v>0</v>
      </c>
    </row>
    <row r="15290" spans="1:16" x14ac:dyDescent="0.25">
      <c r="A15290" t="s">
        <v>37963</v>
      </c>
      <c r="B15290" t="s">
        <v>10479</v>
      </c>
      <c r="C15290" t="s">
        <v>4528</v>
      </c>
      <c r="D15290" t="str">
        <f>"4000"</f>
        <v>4000</v>
      </c>
      <c r="E15290" t="s">
        <v>190</v>
      </c>
      <c r="F15290" t="s">
        <v>2068</v>
      </c>
      <c r="G15290" t="s">
        <v>47091</v>
      </c>
      <c r="H15290" t="s">
        <v>47126</v>
      </c>
      <c r="I15290" t="s">
        <v>47127</v>
      </c>
      <c r="J15290" t="s">
        <v>47128</v>
      </c>
      <c r="K15290" t="s">
        <v>47113</v>
      </c>
      <c r="L15290">
        <v>13.16</v>
      </c>
      <c r="M15290">
        <v>33</v>
      </c>
      <c r="N15290">
        <v>0</v>
      </c>
      <c r="O15290">
        <v>33</v>
      </c>
      <c r="P15290">
        <v>0</v>
      </c>
    </row>
    <row r="15291" spans="1:16" x14ac:dyDescent="0.25">
      <c r="A15291" t="s">
        <v>37964</v>
      </c>
      <c r="B15291" t="s">
        <v>10479</v>
      </c>
      <c r="C15291" t="s">
        <v>4528</v>
      </c>
      <c r="D15291" t="str">
        <f>"4201"</f>
        <v>4201</v>
      </c>
      <c r="E15291" t="s">
        <v>1855</v>
      </c>
      <c r="F15291" t="s">
        <v>2068</v>
      </c>
      <c r="G15291" t="s">
        <v>47091</v>
      </c>
      <c r="H15291" t="s">
        <v>47126</v>
      </c>
      <c r="I15291" t="s">
        <v>47127</v>
      </c>
      <c r="J15291" t="s">
        <v>47128</v>
      </c>
      <c r="K15291" t="s">
        <v>47113</v>
      </c>
      <c r="L15291">
        <v>13.16</v>
      </c>
      <c r="M15291">
        <v>33</v>
      </c>
      <c r="N15291">
        <v>0</v>
      </c>
      <c r="O15291">
        <v>33</v>
      </c>
      <c r="P15291">
        <v>0</v>
      </c>
    </row>
    <row r="15292" spans="1:16" x14ac:dyDescent="0.25">
      <c r="A15292" t="s">
        <v>37965</v>
      </c>
      <c r="B15292" t="s">
        <v>10480</v>
      </c>
      <c r="C15292" t="s">
        <v>10481</v>
      </c>
      <c r="D15292" t="str">
        <f>"1377"</f>
        <v>1377</v>
      </c>
      <c r="E15292" t="s">
        <v>74</v>
      </c>
      <c r="F15292" t="s">
        <v>2068</v>
      </c>
      <c r="G15292" t="s">
        <v>47091</v>
      </c>
      <c r="H15292" t="s">
        <v>47126</v>
      </c>
      <c r="I15292" t="s">
        <v>47127</v>
      </c>
      <c r="J15292" t="s">
        <v>47128</v>
      </c>
      <c r="K15292" t="s">
        <v>47113</v>
      </c>
      <c r="L15292">
        <v>13.88</v>
      </c>
      <c r="M15292">
        <v>33</v>
      </c>
      <c r="N15292">
        <v>0</v>
      </c>
      <c r="O15292">
        <v>33</v>
      </c>
      <c r="P15292">
        <v>0</v>
      </c>
    </row>
    <row r="15293" spans="1:16" x14ac:dyDescent="0.25">
      <c r="A15293" t="s">
        <v>37966</v>
      </c>
      <c r="B15293" t="s">
        <v>10480</v>
      </c>
      <c r="C15293" t="s">
        <v>10481</v>
      </c>
      <c r="D15293" t="str">
        <f>"1378"</f>
        <v>1378</v>
      </c>
      <c r="E15293" t="s">
        <v>388</v>
      </c>
      <c r="F15293" t="s">
        <v>2068</v>
      </c>
      <c r="G15293" t="s">
        <v>47091</v>
      </c>
      <c r="H15293" t="s">
        <v>47126</v>
      </c>
      <c r="I15293" t="s">
        <v>47127</v>
      </c>
      <c r="J15293" t="s">
        <v>47128</v>
      </c>
      <c r="K15293" t="s">
        <v>47113</v>
      </c>
      <c r="L15293">
        <v>13.88</v>
      </c>
      <c r="M15293">
        <v>33</v>
      </c>
      <c r="N15293">
        <v>0</v>
      </c>
      <c r="O15293">
        <v>33</v>
      </c>
      <c r="P15293">
        <v>0</v>
      </c>
    </row>
    <row r="15294" spans="1:16" x14ac:dyDescent="0.25">
      <c r="A15294" t="s">
        <v>37967</v>
      </c>
      <c r="B15294" t="s">
        <v>10480</v>
      </c>
      <c r="C15294" t="s">
        <v>10481</v>
      </c>
      <c r="D15294" t="str">
        <f>"1403"</f>
        <v>1403</v>
      </c>
      <c r="E15294" t="s">
        <v>224</v>
      </c>
      <c r="F15294" t="s">
        <v>2068</v>
      </c>
      <c r="G15294" t="s">
        <v>47091</v>
      </c>
      <c r="H15294" t="s">
        <v>47126</v>
      </c>
      <c r="I15294" t="s">
        <v>47127</v>
      </c>
      <c r="J15294" t="s">
        <v>47128</v>
      </c>
      <c r="K15294" t="s">
        <v>47113</v>
      </c>
      <c r="L15294">
        <v>13.88</v>
      </c>
      <c r="M15294">
        <v>33</v>
      </c>
      <c r="N15294">
        <v>0</v>
      </c>
      <c r="O15294">
        <v>33</v>
      </c>
      <c r="P15294">
        <v>0</v>
      </c>
    </row>
    <row r="15295" spans="1:16" x14ac:dyDescent="0.25">
      <c r="A15295" t="s">
        <v>37968</v>
      </c>
      <c r="B15295" t="s">
        <v>10480</v>
      </c>
      <c r="C15295" t="s">
        <v>10481</v>
      </c>
      <c r="D15295" t="str">
        <f>"1700"</f>
        <v>1700</v>
      </c>
      <c r="E15295" t="s">
        <v>60</v>
      </c>
      <c r="F15295" t="s">
        <v>2068</v>
      </c>
      <c r="G15295" t="s">
        <v>47091</v>
      </c>
      <c r="H15295" t="s">
        <v>47126</v>
      </c>
      <c r="I15295" t="s">
        <v>47127</v>
      </c>
      <c r="J15295" t="s">
        <v>47128</v>
      </c>
      <c r="K15295" t="s">
        <v>47113</v>
      </c>
      <c r="L15295">
        <v>13.88</v>
      </c>
      <c r="M15295">
        <v>33</v>
      </c>
      <c r="N15295">
        <v>0</v>
      </c>
      <c r="O15295">
        <v>33</v>
      </c>
      <c r="P15295">
        <v>0</v>
      </c>
    </row>
    <row r="15296" spans="1:16" x14ac:dyDescent="0.25">
      <c r="A15296" t="s">
        <v>37969</v>
      </c>
      <c r="B15296" t="s">
        <v>10480</v>
      </c>
      <c r="C15296" t="s">
        <v>10481</v>
      </c>
      <c r="D15296" t="str">
        <f>"2166"</f>
        <v>2166</v>
      </c>
      <c r="E15296" t="s">
        <v>80</v>
      </c>
      <c r="F15296" t="s">
        <v>2068</v>
      </c>
      <c r="G15296" t="s">
        <v>47091</v>
      </c>
      <c r="H15296" t="s">
        <v>47126</v>
      </c>
      <c r="I15296" t="s">
        <v>47127</v>
      </c>
      <c r="J15296" t="s">
        <v>47128</v>
      </c>
      <c r="K15296" t="s">
        <v>47113</v>
      </c>
      <c r="L15296">
        <v>13.88</v>
      </c>
      <c r="M15296">
        <v>33</v>
      </c>
      <c r="N15296">
        <v>0</v>
      </c>
      <c r="O15296">
        <v>33</v>
      </c>
      <c r="P15296">
        <v>0</v>
      </c>
    </row>
    <row r="15297" spans="1:16" x14ac:dyDescent="0.25">
      <c r="A15297" t="s">
        <v>37970</v>
      </c>
      <c r="B15297" t="s">
        <v>10480</v>
      </c>
      <c r="C15297" t="s">
        <v>10481</v>
      </c>
      <c r="D15297" t="str">
        <f>"4000"</f>
        <v>4000</v>
      </c>
      <c r="E15297" t="s">
        <v>190</v>
      </c>
      <c r="F15297" t="s">
        <v>2068</v>
      </c>
      <c r="G15297" t="s">
        <v>47091</v>
      </c>
      <c r="H15297" t="s">
        <v>47126</v>
      </c>
      <c r="I15297" t="s">
        <v>47127</v>
      </c>
      <c r="J15297" t="s">
        <v>47128</v>
      </c>
      <c r="K15297" t="s">
        <v>47113</v>
      </c>
      <c r="L15297">
        <v>13.88</v>
      </c>
      <c r="M15297">
        <v>33</v>
      </c>
      <c r="N15297">
        <v>0</v>
      </c>
      <c r="O15297">
        <v>33</v>
      </c>
      <c r="P15297">
        <v>0</v>
      </c>
    </row>
    <row r="15298" spans="1:16" x14ac:dyDescent="0.25">
      <c r="A15298" t="s">
        <v>37971</v>
      </c>
      <c r="B15298" t="s">
        <v>10480</v>
      </c>
      <c r="C15298" t="s">
        <v>10481</v>
      </c>
      <c r="D15298" t="str">
        <f>"4201"</f>
        <v>4201</v>
      </c>
      <c r="E15298" t="s">
        <v>1855</v>
      </c>
      <c r="F15298" t="s">
        <v>2068</v>
      </c>
      <c r="G15298" t="s">
        <v>47091</v>
      </c>
      <c r="H15298" t="s">
        <v>47126</v>
      </c>
      <c r="I15298" t="s">
        <v>47127</v>
      </c>
      <c r="J15298" t="s">
        <v>47128</v>
      </c>
      <c r="K15298" t="s">
        <v>47113</v>
      </c>
      <c r="L15298">
        <v>13.88</v>
      </c>
      <c r="M15298">
        <v>33</v>
      </c>
      <c r="N15298">
        <v>0</v>
      </c>
      <c r="O15298">
        <v>33</v>
      </c>
      <c r="P15298">
        <v>0</v>
      </c>
    </row>
    <row r="15299" spans="1:16" x14ac:dyDescent="0.25">
      <c r="A15299" t="s">
        <v>37972</v>
      </c>
      <c r="B15299" t="s">
        <v>10480</v>
      </c>
      <c r="C15299" t="s">
        <v>10481</v>
      </c>
      <c r="D15299" t="str">
        <f>"6276"</f>
        <v>6276</v>
      </c>
      <c r="E15299" t="s">
        <v>3867</v>
      </c>
      <c r="F15299" t="s">
        <v>2068</v>
      </c>
      <c r="G15299" t="s">
        <v>47091</v>
      </c>
      <c r="H15299" t="s">
        <v>47126</v>
      </c>
      <c r="I15299" t="s">
        <v>47127</v>
      </c>
      <c r="J15299" t="s">
        <v>47128</v>
      </c>
      <c r="K15299" t="s">
        <v>47113</v>
      </c>
      <c r="L15299">
        <v>13.88</v>
      </c>
      <c r="M15299">
        <v>33</v>
      </c>
      <c r="N15299">
        <v>0</v>
      </c>
      <c r="O15299">
        <v>33</v>
      </c>
      <c r="P15299">
        <v>0</v>
      </c>
    </row>
    <row r="15300" spans="1:16" x14ac:dyDescent="0.25">
      <c r="A15300" t="s">
        <v>37973</v>
      </c>
      <c r="B15300" t="s">
        <v>10482</v>
      </c>
      <c r="C15300" t="s">
        <v>10483</v>
      </c>
      <c r="D15300" t="str">
        <f>"1377"</f>
        <v>1377</v>
      </c>
      <c r="E15300" t="s">
        <v>74</v>
      </c>
      <c r="F15300" t="s">
        <v>2068</v>
      </c>
      <c r="G15300" t="s">
        <v>47091</v>
      </c>
      <c r="H15300" t="s">
        <v>47126</v>
      </c>
      <c r="I15300" t="s">
        <v>47127</v>
      </c>
      <c r="J15300" t="s">
        <v>47128</v>
      </c>
      <c r="K15300" t="s">
        <v>47113</v>
      </c>
      <c r="L15300">
        <v>13.88</v>
      </c>
      <c r="M15300">
        <v>33</v>
      </c>
      <c r="N15300">
        <v>0</v>
      </c>
      <c r="O15300">
        <v>33</v>
      </c>
      <c r="P15300">
        <v>0</v>
      </c>
    </row>
    <row r="15301" spans="1:16" x14ac:dyDescent="0.25">
      <c r="A15301" t="s">
        <v>37974</v>
      </c>
      <c r="B15301" t="s">
        <v>10482</v>
      </c>
      <c r="C15301" t="s">
        <v>10483</v>
      </c>
      <c r="D15301" t="str">
        <f>"1378"</f>
        <v>1378</v>
      </c>
      <c r="E15301" t="s">
        <v>388</v>
      </c>
      <c r="F15301" t="s">
        <v>2068</v>
      </c>
      <c r="G15301" t="s">
        <v>47091</v>
      </c>
      <c r="H15301" t="s">
        <v>47126</v>
      </c>
      <c r="I15301" t="s">
        <v>47127</v>
      </c>
      <c r="J15301" t="s">
        <v>47128</v>
      </c>
      <c r="K15301" t="s">
        <v>47113</v>
      </c>
      <c r="L15301">
        <v>13.88</v>
      </c>
      <c r="M15301">
        <v>33</v>
      </c>
      <c r="N15301">
        <v>0</v>
      </c>
      <c r="O15301">
        <v>33</v>
      </c>
      <c r="P15301">
        <v>0</v>
      </c>
    </row>
    <row r="15302" spans="1:16" x14ac:dyDescent="0.25">
      <c r="A15302" t="s">
        <v>37975</v>
      </c>
      <c r="B15302" t="s">
        <v>10482</v>
      </c>
      <c r="C15302" t="s">
        <v>10483</v>
      </c>
      <c r="D15302" t="str">
        <f>"1403"</f>
        <v>1403</v>
      </c>
      <c r="E15302" t="s">
        <v>224</v>
      </c>
      <c r="F15302" t="s">
        <v>2068</v>
      </c>
      <c r="G15302" t="s">
        <v>47091</v>
      </c>
      <c r="H15302" t="s">
        <v>47126</v>
      </c>
      <c r="I15302" t="s">
        <v>47127</v>
      </c>
      <c r="J15302" t="s">
        <v>47128</v>
      </c>
      <c r="K15302" t="s">
        <v>47113</v>
      </c>
      <c r="L15302">
        <v>13.88</v>
      </c>
      <c r="M15302">
        <v>33</v>
      </c>
      <c r="N15302">
        <v>0</v>
      </c>
      <c r="O15302">
        <v>33</v>
      </c>
      <c r="P15302">
        <v>0</v>
      </c>
    </row>
    <row r="15303" spans="1:16" x14ac:dyDescent="0.25">
      <c r="A15303" t="s">
        <v>37976</v>
      </c>
      <c r="B15303" t="s">
        <v>10482</v>
      </c>
      <c r="C15303" t="s">
        <v>10483</v>
      </c>
      <c r="D15303" t="str">
        <f>"1700"</f>
        <v>1700</v>
      </c>
      <c r="E15303" t="s">
        <v>60</v>
      </c>
      <c r="F15303" t="s">
        <v>2068</v>
      </c>
      <c r="G15303" t="s">
        <v>47091</v>
      </c>
      <c r="H15303" t="s">
        <v>47126</v>
      </c>
      <c r="I15303" t="s">
        <v>47127</v>
      </c>
      <c r="J15303" t="s">
        <v>47128</v>
      </c>
      <c r="K15303" t="s">
        <v>47113</v>
      </c>
      <c r="L15303">
        <v>13.88</v>
      </c>
      <c r="M15303">
        <v>33</v>
      </c>
      <c r="N15303">
        <v>0</v>
      </c>
      <c r="O15303">
        <v>33</v>
      </c>
      <c r="P15303">
        <v>0</v>
      </c>
    </row>
    <row r="15304" spans="1:16" x14ac:dyDescent="0.25">
      <c r="A15304" t="s">
        <v>37977</v>
      </c>
      <c r="B15304" t="s">
        <v>10482</v>
      </c>
      <c r="C15304" t="s">
        <v>10483</v>
      </c>
      <c r="D15304" t="str">
        <f>"4201"</f>
        <v>4201</v>
      </c>
      <c r="E15304" t="s">
        <v>1855</v>
      </c>
      <c r="F15304" t="s">
        <v>2068</v>
      </c>
      <c r="G15304" t="s">
        <v>47091</v>
      </c>
      <c r="H15304" t="s">
        <v>47126</v>
      </c>
      <c r="I15304" t="s">
        <v>47127</v>
      </c>
      <c r="J15304" t="s">
        <v>47128</v>
      </c>
      <c r="K15304" t="s">
        <v>47113</v>
      </c>
      <c r="L15304">
        <v>13.88</v>
      </c>
      <c r="M15304">
        <v>33</v>
      </c>
      <c r="N15304">
        <v>0</v>
      </c>
      <c r="O15304">
        <v>33</v>
      </c>
      <c r="P15304">
        <v>0</v>
      </c>
    </row>
    <row r="15305" spans="1:16" x14ac:dyDescent="0.25">
      <c r="A15305" t="s">
        <v>37978</v>
      </c>
      <c r="B15305" t="s">
        <v>10482</v>
      </c>
      <c r="C15305" t="s">
        <v>10483</v>
      </c>
      <c r="D15305" t="str">
        <f>"4753"</f>
        <v>4753</v>
      </c>
      <c r="E15305" t="s">
        <v>3755</v>
      </c>
      <c r="F15305" t="s">
        <v>2068</v>
      </c>
      <c r="G15305" t="s">
        <v>47091</v>
      </c>
      <c r="H15305" t="s">
        <v>47126</v>
      </c>
      <c r="I15305" t="s">
        <v>47127</v>
      </c>
      <c r="J15305" t="s">
        <v>47128</v>
      </c>
      <c r="K15305" t="s">
        <v>47113</v>
      </c>
      <c r="L15305">
        <v>13.88</v>
      </c>
      <c r="M15305">
        <v>33</v>
      </c>
      <c r="N15305">
        <v>0</v>
      </c>
      <c r="O15305">
        <v>33</v>
      </c>
      <c r="P15305">
        <v>0</v>
      </c>
    </row>
    <row r="15306" spans="1:16" x14ac:dyDescent="0.25">
      <c r="A15306" t="s">
        <v>37979</v>
      </c>
      <c r="B15306" t="s">
        <v>10482</v>
      </c>
      <c r="C15306" t="s">
        <v>10483</v>
      </c>
      <c r="D15306" t="str">
        <f>"6276"</f>
        <v>6276</v>
      </c>
      <c r="E15306" t="s">
        <v>3867</v>
      </c>
      <c r="F15306" t="s">
        <v>2068</v>
      </c>
      <c r="G15306" t="s">
        <v>47091</v>
      </c>
      <c r="H15306" t="s">
        <v>47126</v>
      </c>
      <c r="I15306" t="s">
        <v>47127</v>
      </c>
      <c r="J15306" t="s">
        <v>47128</v>
      </c>
      <c r="K15306" t="s">
        <v>47113</v>
      </c>
      <c r="L15306">
        <v>13.88</v>
      </c>
      <c r="M15306">
        <v>33</v>
      </c>
      <c r="N15306">
        <v>0</v>
      </c>
      <c r="O15306">
        <v>33</v>
      </c>
      <c r="P15306">
        <v>0</v>
      </c>
    </row>
    <row r="15307" spans="1:16" x14ac:dyDescent="0.25">
      <c r="A15307" t="s">
        <v>37980</v>
      </c>
      <c r="B15307" t="s">
        <v>10484</v>
      </c>
      <c r="C15307" t="s">
        <v>10481</v>
      </c>
      <c r="D15307" t="str">
        <f>"1106"</f>
        <v>1106</v>
      </c>
      <c r="E15307" t="s">
        <v>460</v>
      </c>
      <c r="F15307" t="s">
        <v>2068</v>
      </c>
      <c r="G15307" t="s">
        <v>47091</v>
      </c>
      <c r="H15307" t="s">
        <v>47126</v>
      </c>
      <c r="I15307" t="s">
        <v>47127</v>
      </c>
      <c r="J15307" t="s">
        <v>47128</v>
      </c>
      <c r="K15307" t="s">
        <v>47113</v>
      </c>
      <c r="L15307">
        <v>12.68</v>
      </c>
      <c r="M15307">
        <v>30</v>
      </c>
      <c r="N15307">
        <v>0</v>
      </c>
      <c r="O15307">
        <v>30</v>
      </c>
      <c r="P15307">
        <v>0</v>
      </c>
    </row>
    <row r="15308" spans="1:16" x14ac:dyDescent="0.25">
      <c r="A15308" t="s">
        <v>37981</v>
      </c>
      <c r="B15308" t="s">
        <v>10484</v>
      </c>
      <c r="C15308" t="s">
        <v>10481</v>
      </c>
      <c r="D15308" t="str">
        <f>"1285"</f>
        <v>1285</v>
      </c>
      <c r="E15308" t="s">
        <v>2148</v>
      </c>
      <c r="F15308" t="s">
        <v>2068</v>
      </c>
      <c r="G15308" t="s">
        <v>47091</v>
      </c>
      <c r="H15308" t="s">
        <v>47126</v>
      </c>
      <c r="I15308" t="s">
        <v>47127</v>
      </c>
      <c r="J15308" t="s">
        <v>47128</v>
      </c>
      <c r="K15308" t="s">
        <v>47113</v>
      </c>
      <c r="L15308">
        <v>12.68</v>
      </c>
      <c r="M15308">
        <v>30</v>
      </c>
      <c r="N15308">
        <v>0</v>
      </c>
      <c r="O15308">
        <v>30</v>
      </c>
      <c r="P15308">
        <v>0</v>
      </c>
    </row>
    <row r="15309" spans="1:16" x14ac:dyDescent="0.25">
      <c r="A15309" t="s">
        <v>37982</v>
      </c>
      <c r="B15309" t="s">
        <v>10484</v>
      </c>
      <c r="C15309" t="s">
        <v>10481</v>
      </c>
      <c r="D15309" t="str">
        <f>"1377"</f>
        <v>1377</v>
      </c>
      <c r="E15309" t="s">
        <v>74</v>
      </c>
      <c r="F15309" t="s">
        <v>2068</v>
      </c>
      <c r="G15309" t="s">
        <v>47091</v>
      </c>
      <c r="H15309" t="s">
        <v>47126</v>
      </c>
      <c r="I15309" t="s">
        <v>47127</v>
      </c>
      <c r="J15309" t="s">
        <v>47128</v>
      </c>
      <c r="K15309" t="s">
        <v>47113</v>
      </c>
      <c r="L15309">
        <v>12.68</v>
      </c>
      <c r="M15309">
        <v>30</v>
      </c>
      <c r="N15309">
        <v>0</v>
      </c>
      <c r="O15309">
        <v>30</v>
      </c>
      <c r="P15309">
        <v>0</v>
      </c>
    </row>
    <row r="15310" spans="1:16" x14ac:dyDescent="0.25">
      <c r="A15310" t="s">
        <v>37983</v>
      </c>
      <c r="B15310" t="s">
        <v>10484</v>
      </c>
      <c r="C15310" t="s">
        <v>10481</v>
      </c>
      <c r="D15310" t="str">
        <f>"1378"</f>
        <v>1378</v>
      </c>
      <c r="E15310" t="s">
        <v>388</v>
      </c>
      <c r="F15310" t="s">
        <v>2068</v>
      </c>
      <c r="G15310" t="s">
        <v>47091</v>
      </c>
      <c r="H15310" t="s">
        <v>47126</v>
      </c>
      <c r="I15310" t="s">
        <v>47127</v>
      </c>
      <c r="J15310" t="s">
        <v>47128</v>
      </c>
      <c r="K15310" t="s">
        <v>47113</v>
      </c>
      <c r="L15310">
        <v>12.68</v>
      </c>
      <c r="M15310">
        <v>30</v>
      </c>
      <c r="N15310">
        <v>0</v>
      </c>
      <c r="O15310">
        <v>30</v>
      </c>
      <c r="P15310">
        <v>0</v>
      </c>
    </row>
    <row r="15311" spans="1:16" x14ac:dyDescent="0.25">
      <c r="A15311" t="s">
        <v>37984</v>
      </c>
      <c r="B15311" t="s">
        <v>10484</v>
      </c>
      <c r="C15311" t="s">
        <v>10481</v>
      </c>
      <c r="D15311" t="str">
        <f>"1403"</f>
        <v>1403</v>
      </c>
      <c r="E15311" t="s">
        <v>224</v>
      </c>
      <c r="F15311" t="s">
        <v>2068</v>
      </c>
      <c r="G15311" t="s">
        <v>47091</v>
      </c>
      <c r="H15311" t="s">
        <v>47126</v>
      </c>
      <c r="I15311" t="s">
        <v>47127</v>
      </c>
      <c r="J15311" t="s">
        <v>47128</v>
      </c>
      <c r="K15311" t="s">
        <v>47113</v>
      </c>
      <c r="L15311">
        <v>12.68</v>
      </c>
      <c r="M15311">
        <v>30</v>
      </c>
      <c r="N15311">
        <v>0</v>
      </c>
      <c r="O15311">
        <v>30</v>
      </c>
      <c r="P15311">
        <v>0</v>
      </c>
    </row>
    <row r="15312" spans="1:16" x14ac:dyDescent="0.25">
      <c r="A15312" t="s">
        <v>37985</v>
      </c>
      <c r="B15312" t="s">
        <v>10484</v>
      </c>
      <c r="C15312" t="s">
        <v>10481</v>
      </c>
      <c r="D15312" t="str">
        <f>"1700"</f>
        <v>1700</v>
      </c>
      <c r="E15312" t="s">
        <v>60</v>
      </c>
      <c r="F15312" t="s">
        <v>2068</v>
      </c>
      <c r="G15312" t="s">
        <v>47091</v>
      </c>
      <c r="H15312" t="s">
        <v>47126</v>
      </c>
      <c r="I15312" t="s">
        <v>47127</v>
      </c>
      <c r="J15312" t="s">
        <v>47128</v>
      </c>
      <c r="K15312" t="s">
        <v>47113</v>
      </c>
      <c r="L15312">
        <v>12.68</v>
      </c>
      <c r="M15312">
        <v>30</v>
      </c>
      <c r="N15312">
        <v>0</v>
      </c>
      <c r="O15312">
        <v>30</v>
      </c>
      <c r="P15312">
        <v>0</v>
      </c>
    </row>
    <row r="15313" spans="1:16" x14ac:dyDescent="0.25">
      <c r="A15313" t="s">
        <v>37986</v>
      </c>
      <c r="B15313" t="s">
        <v>10484</v>
      </c>
      <c r="C15313" t="s">
        <v>10481</v>
      </c>
      <c r="D15313" t="str">
        <f>"2166"</f>
        <v>2166</v>
      </c>
      <c r="E15313" t="s">
        <v>80</v>
      </c>
      <c r="F15313" t="s">
        <v>2068</v>
      </c>
      <c r="G15313" t="s">
        <v>47091</v>
      </c>
      <c r="H15313" t="s">
        <v>47126</v>
      </c>
      <c r="I15313" t="s">
        <v>47127</v>
      </c>
      <c r="J15313" t="s">
        <v>47128</v>
      </c>
      <c r="K15313" t="s">
        <v>47113</v>
      </c>
      <c r="L15313">
        <v>12.68</v>
      </c>
      <c r="M15313">
        <v>30</v>
      </c>
      <c r="N15313">
        <v>0</v>
      </c>
      <c r="O15313">
        <v>30</v>
      </c>
      <c r="P15313">
        <v>0</v>
      </c>
    </row>
    <row r="15314" spans="1:16" x14ac:dyDescent="0.25">
      <c r="A15314" t="s">
        <v>37987</v>
      </c>
      <c r="B15314" t="s">
        <v>10484</v>
      </c>
      <c r="C15314" t="s">
        <v>10481</v>
      </c>
      <c r="D15314" t="str">
        <f>"4000"</f>
        <v>4000</v>
      </c>
      <c r="E15314" t="s">
        <v>190</v>
      </c>
      <c r="F15314" t="s">
        <v>2068</v>
      </c>
      <c r="G15314" t="s">
        <v>47091</v>
      </c>
      <c r="H15314" t="s">
        <v>47126</v>
      </c>
      <c r="I15314" t="s">
        <v>47127</v>
      </c>
      <c r="J15314" t="s">
        <v>47128</v>
      </c>
      <c r="K15314" t="s">
        <v>47113</v>
      </c>
      <c r="L15314">
        <v>12.68</v>
      </c>
      <c r="M15314">
        <v>30</v>
      </c>
      <c r="N15314">
        <v>0</v>
      </c>
      <c r="O15314">
        <v>30</v>
      </c>
      <c r="P15314">
        <v>0</v>
      </c>
    </row>
    <row r="15315" spans="1:16" x14ac:dyDescent="0.25">
      <c r="A15315" t="s">
        <v>37988</v>
      </c>
      <c r="B15315" t="s">
        <v>10484</v>
      </c>
      <c r="C15315" t="s">
        <v>10481</v>
      </c>
      <c r="D15315" t="str">
        <f>"4201"</f>
        <v>4201</v>
      </c>
      <c r="E15315" t="s">
        <v>1855</v>
      </c>
      <c r="F15315" t="s">
        <v>2068</v>
      </c>
      <c r="G15315" t="s">
        <v>47091</v>
      </c>
      <c r="H15315" t="s">
        <v>47126</v>
      </c>
      <c r="I15315" t="s">
        <v>47127</v>
      </c>
      <c r="J15315" t="s">
        <v>47128</v>
      </c>
      <c r="K15315" t="s">
        <v>47113</v>
      </c>
      <c r="L15315">
        <v>12.68</v>
      </c>
      <c r="M15315">
        <v>30</v>
      </c>
      <c r="N15315">
        <v>0</v>
      </c>
      <c r="O15315">
        <v>30</v>
      </c>
      <c r="P15315">
        <v>0</v>
      </c>
    </row>
    <row r="15316" spans="1:16" x14ac:dyDescent="0.25">
      <c r="A15316" t="s">
        <v>37989</v>
      </c>
      <c r="B15316" t="s">
        <v>10484</v>
      </c>
      <c r="C15316" t="s">
        <v>10481</v>
      </c>
      <c r="D15316" t="str">
        <f>"6276"</f>
        <v>6276</v>
      </c>
      <c r="E15316" t="s">
        <v>3867</v>
      </c>
      <c r="F15316" t="s">
        <v>2068</v>
      </c>
      <c r="G15316" t="s">
        <v>47091</v>
      </c>
      <c r="H15316" t="s">
        <v>47126</v>
      </c>
      <c r="I15316" t="s">
        <v>47127</v>
      </c>
      <c r="J15316" t="s">
        <v>47128</v>
      </c>
      <c r="K15316" t="s">
        <v>47113</v>
      </c>
      <c r="L15316">
        <v>12.68</v>
      </c>
      <c r="M15316">
        <v>30</v>
      </c>
      <c r="N15316">
        <v>0</v>
      </c>
      <c r="O15316">
        <v>30</v>
      </c>
      <c r="P15316">
        <v>0</v>
      </c>
    </row>
    <row r="15317" spans="1:16" x14ac:dyDescent="0.25">
      <c r="A15317" t="s">
        <v>37990</v>
      </c>
      <c r="B15317" t="s">
        <v>10485</v>
      </c>
      <c r="C15317" t="s">
        <v>10486</v>
      </c>
      <c r="D15317" t="str">
        <f>"1106"</f>
        <v>1106</v>
      </c>
      <c r="E15317" t="s">
        <v>460</v>
      </c>
      <c r="F15317" t="s">
        <v>2068</v>
      </c>
      <c r="G15317" t="s">
        <v>47091</v>
      </c>
      <c r="H15317" t="s">
        <v>47126</v>
      </c>
      <c r="I15317" t="s">
        <v>47127</v>
      </c>
      <c r="J15317" t="s">
        <v>47128</v>
      </c>
      <c r="K15317" t="s">
        <v>47113</v>
      </c>
      <c r="L15317">
        <v>15.45</v>
      </c>
      <c r="M15317">
        <v>38</v>
      </c>
      <c r="N15317">
        <v>0</v>
      </c>
      <c r="O15317">
        <v>38</v>
      </c>
      <c r="P15317">
        <v>0</v>
      </c>
    </row>
    <row r="15318" spans="1:16" x14ac:dyDescent="0.25">
      <c r="A15318" t="s">
        <v>37991</v>
      </c>
      <c r="B15318" t="s">
        <v>10485</v>
      </c>
      <c r="C15318" t="s">
        <v>10486</v>
      </c>
      <c r="D15318" t="str">
        <f>"1377"</f>
        <v>1377</v>
      </c>
      <c r="E15318" t="s">
        <v>74</v>
      </c>
      <c r="F15318" t="s">
        <v>2068</v>
      </c>
      <c r="G15318" t="s">
        <v>47091</v>
      </c>
      <c r="H15318" t="s">
        <v>47126</v>
      </c>
      <c r="I15318" t="s">
        <v>47127</v>
      </c>
      <c r="J15318" t="s">
        <v>47128</v>
      </c>
      <c r="K15318" t="s">
        <v>47113</v>
      </c>
      <c r="L15318">
        <v>15.45</v>
      </c>
      <c r="M15318">
        <v>38</v>
      </c>
      <c r="N15318">
        <v>0</v>
      </c>
      <c r="O15318">
        <v>38</v>
      </c>
      <c r="P15318">
        <v>0</v>
      </c>
    </row>
    <row r="15319" spans="1:16" x14ac:dyDescent="0.25">
      <c r="A15319" t="s">
        <v>37992</v>
      </c>
      <c r="B15319" t="s">
        <v>10485</v>
      </c>
      <c r="C15319" t="s">
        <v>10486</v>
      </c>
      <c r="D15319" t="str">
        <f>"1378"</f>
        <v>1378</v>
      </c>
      <c r="E15319" t="s">
        <v>388</v>
      </c>
      <c r="F15319" t="s">
        <v>2068</v>
      </c>
      <c r="G15319" t="s">
        <v>47091</v>
      </c>
      <c r="H15319" t="s">
        <v>47126</v>
      </c>
      <c r="I15319" t="s">
        <v>47127</v>
      </c>
      <c r="J15319" t="s">
        <v>47128</v>
      </c>
      <c r="K15319" t="s">
        <v>47113</v>
      </c>
      <c r="L15319">
        <v>15.45</v>
      </c>
      <c r="M15319">
        <v>38</v>
      </c>
      <c r="N15319">
        <v>0</v>
      </c>
      <c r="O15319">
        <v>38</v>
      </c>
      <c r="P15319">
        <v>0</v>
      </c>
    </row>
    <row r="15320" spans="1:16" x14ac:dyDescent="0.25">
      <c r="A15320" t="s">
        <v>37993</v>
      </c>
      <c r="B15320" t="s">
        <v>10485</v>
      </c>
      <c r="C15320" t="s">
        <v>10486</v>
      </c>
      <c r="D15320" t="str">
        <f>"1403"</f>
        <v>1403</v>
      </c>
      <c r="E15320" t="s">
        <v>224</v>
      </c>
      <c r="F15320" t="s">
        <v>2068</v>
      </c>
      <c r="G15320" t="s">
        <v>47091</v>
      </c>
      <c r="H15320" t="s">
        <v>47126</v>
      </c>
      <c r="I15320" t="s">
        <v>47127</v>
      </c>
      <c r="J15320" t="s">
        <v>47128</v>
      </c>
      <c r="K15320" t="s">
        <v>47113</v>
      </c>
      <c r="L15320">
        <v>15.45</v>
      </c>
      <c r="M15320">
        <v>38</v>
      </c>
      <c r="N15320">
        <v>0</v>
      </c>
      <c r="O15320">
        <v>38</v>
      </c>
      <c r="P15320">
        <v>0</v>
      </c>
    </row>
    <row r="15321" spans="1:16" x14ac:dyDescent="0.25">
      <c r="A15321" t="s">
        <v>37994</v>
      </c>
      <c r="B15321" t="s">
        <v>10485</v>
      </c>
      <c r="C15321" t="s">
        <v>10486</v>
      </c>
      <c r="D15321" t="str">
        <f>"1700"</f>
        <v>1700</v>
      </c>
      <c r="E15321" t="s">
        <v>60</v>
      </c>
      <c r="F15321" t="s">
        <v>2068</v>
      </c>
      <c r="G15321" t="s">
        <v>47091</v>
      </c>
      <c r="H15321" t="s">
        <v>47126</v>
      </c>
      <c r="I15321" t="s">
        <v>47127</v>
      </c>
      <c r="J15321" t="s">
        <v>47128</v>
      </c>
      <c r="K15321" t="s">
        <v>47113</v>
      </c>
      <c r="L15321">
        <v>15.45</v>
      </c>
      <c r="M15321">
        <v>38</v>
      </c>
      <c r="N15321">
        <v>0</v>
      </c>
      <c r="O15321">
        <v>38</v>
      </c>
      <c r="P15321">
        <v>0</v>
      </c>
    </row>
    <row r="15322" spans="1:16" x14ac:dyDescent="0.25">
      <c r="A15322" t="s">
        <v>37995</v>
      </c>
      <c r="B15322" t="s">
        <v>10485</v>
      </c>
      <c r="C15322" t="s">
        <v>10486</v>
      </c>
      <c r="D15322" t="str">
        <f>"2166"</f>
        <v>2166</v>
      </c>
      <c r="E15322" t="s">
        <v>80</v>
      </c>
      <c r="F15322" t="s">
        <v>2068</v>
      </c>
      <c r="G15322" t="s">
        <v>47091</v>
      </c>
      <c r="H15322" t="s">
        <v>47126</v>
      </c>
      <c r="I15322" t="s">
        <v>47127</v>
      </c>
      <c r="J15322" t="s">
        <v>47128</v>
      </c>
      <c r="K15322" t="s">
        <v>47113</v>
      </c>
      <c r="L15322">
        <v>15.45</v>
      </c>
      <c r="M15322">
        <v>38</v>
      </c>
      <c r="N15322">
        <v>0</v>
      </c>
      <c r="O15322">
        <v>38</v>
      </c>
      <c r="P15322">
        <v>0</v>
      </c>
    </row>
    <row r="15323" spans="1:16" x14ac:dyDescent="0.25">
      <c r="A15323" t="s">
        <v>37996</v>
      </c>
      <c r="B15323" t="s">
        <v>10485</v>
      </c>
      <c r="C15323" t="s">
        <v>10486</v>
      </c>
      <c r="D15323" t="str">
        <f>"4201"</f>
        <v>4201</v>
      </c>
      <c r="E15323" t="s">
        <v>1855</v>
      </c>
      <c r="F15323" t="s">
        <v>2068</v>
      </c>
      <c r="G15323" t="s">
        <v>47091</v>
      </c>
      <c r="H15323" t="s">
        <v>47126</v>
      </c>
      <c r="I15323" t="s">
        <v>47127</v>
      </c>
      <c r="J15323" t="s">
        <v>47128</v>
      </c>
      <c r="K15323" t="s">
        <v>47113</v>
      </c>
      <c r="L15323">
        <v>15.45</v>
      </c>
      <c r="M15323">
        <v>38</v>
      </c>
      <c r="N15323">
        <v>0</v>
      </c>
      <c r="O15323">
        <v>38</v>
      </c>
      <c r="P15323">
        <v>0</v>
      </c>
    </row>
    <row r="15324" spans="1:16" x14ac:dyDescent="0.25">
      <c r="A15324" t="s">
        <v>37997</v>
      </c>
      <c r="B15324" t="s">
        <v>10485</v>
      </c>
      <c r="C15324" t="s">
        <v>10486</v>
      </c>
      <c r="D15324" t="str">
        <f>"4753"</f>
        <v>4753</v>
      </c>
      <c r="E15324" t="s">
        <v>3755</v>
      </c>
      <c r="F15324" t="s">
        <v>2068</v>
      </c>
      <c r="G15324" t="s">
        <v>47091</v>
      </c>
      <c r="H15324" t="s">
        <v>47126</v>
      </c>
      <c r="I15324" t="s">
        <v>47127</v>
      </c>
      <c r="J15324" t="s">
        <v>47128</v>
      </c>
      <c r="K15324" t="s">
        <v>47113</v>
      </c>
      <c r="L15324">
        <v>15.45</v>
      </c>
      <c r="M15324">
        <v>38</v>
      </c>
      <c r="N15324">
        <v>0</v>
      </c>
      <c r="O15324">
        <v>38</v>
      </c>
      <c r="P15324">
        <v>0</v>
      </c>
    </row>
    <row r="15325" spans="1:16" x14ac:dyDescent="0.25">
      <c r="A15325" t="s">
        <v>37998</v>
      </c>
      <c r="B15325" t="s">
        <v>10487</v>
      </c>
      <c r="C15325" t="s">
        <v>10488</v>
      </c>
      <c r="D15325" t="str">
        <f>"1106"</f>
        <v>1106</v>
      </c>
      <c r="E15325" t="s">
        <v>460</v>
      </c>
      <c r="F15325" t="s">
        <v>2068</v>
      </c>
      <c r="G15325" t="s">
        <v>47091</v>
      </c>
      <c r="H15325" t="s">
        <v>47126</v>
      </c>
      <c r="I15325" t="s">
        <v>47127</v>
      </c>
      <c r="J15325" t="s">
        <v>47128</v>
      </c>
      <c r="K15325" t="s">
        <v>47113</v>
      </c>
      <c r="L15325">
        <v>13.16</v>
      </c>
      <c r="M15325">
        <v>33</v>
      </c>
      <c r="N15325">
        <v>0</v>
      </c>
      <c r="O15325">
        <v>33</v>
      </c>
      <c r="P15325">
        <v>0</v>
      </c>
    </row>
    <row r="15326" spans="1:16" x14ac:dyDescent="0.25">
      <c r="A15326" t="s">
        <v>37999</v>
      </c>
      <c r="B15326" t="s">
        <v>10487</v>
      </c>
      <c r="C15326" t="s">
        <v>10488</v>
      </c>
      <c r="D15326" t="str">
        <f>"1285"</f>
        <v>1285</v>
      </c>
      <c r="E15326" t="s">
        <v>2148</v>
      </c>
      <c r="F15326" t="s">
        <v>2068</v>
      </c>
      <c r="G15326" t="s">
        <v>47091</v>
      </c>
      <c r="H15326" t="s">
        <v>47126</v>
      </c>
      <c r="I15326" t="s">
        <v>47127</v>
      </c>
      <c r="J15326" t="s">
        <v>47128</v>
      </c>
      <c r="K15326" t="s">
        <v>47113</v>
      </c>
      <c r="L15326">
        <v>13.16</v>
      </c>
      <c r="M15326">
        <v>33</v>
      </c>
      <c r="N15326">
        <v>0</v>
      </c>
      <c r="O15326">
        <v>33</v>
      </c>
      <c r="P15326">
        <v>0</v>
      </c>
    </row>
    <row r="15327" spans="1:16" x14ac:dyDescent="0.25">
      <c r="A15327" t="s">
        <v>38000</v>
      </c>
      <c r="B15327" t="s">
        <v>10487</v>
      </c>
      <c r="C15327" t="s">
        <v>10488</v>
      </c>
      <c r="D15327" t="str">
        <f>"1700"</f>
        <v>1700</v>
      </c>
      <c r="E15327" t="s">
        <v>60</v>
      </c>
      <c r="F15327" t="s">
        <v>2068</v>
      </c>
      <c r="G15327" t="s">
        <v>47091</v>
      </c>
      <c r="H15327" t="s">
        <v>47126</v>
      </c>
      <c r="I15327" t="s">
        <v>47127</v>
      </c>
      <c r="J15327" t="s">
        <v>47128</v>
      </c>
      <c r="K15327" t="s">
        <v>47113</v>
      </c>
      <c r="L15327">
        <v>13.16</v>
      </c>
      <c r="M15327">
        <v>33</v>
      </c>
      <c r="N15327">
        <v>0</v>
      </c>
      <c r="O15327">
        <v>33</v>
      </c>
      <c r="P15327">
        <v>0</v>
      </c>
    </row>
    <row r="15328" spans="1:16" x14ac:dyDescent="0.25">
      <c r="A15328" t="s">
        <v>38001</v>
      </c>
      <c r="B15328" t="s">
        <v>10487</v>
      </c>
      <c r="C15328" t="s">
        <v>10488</v>
      </c>
      <c r="D15328" t="str">
        <f>"3501"</f>
        <v>3501</v>
      </c>
      <c r="E15328" t="s">
        <v>3758</v>
      </c>
      <c r="F15328" t="s">
        <v>2068</v>
      </c>
      <c r="G15328" t="s">
        <v>47091</v>
      </c>
      <c r="H15328" t="s">
        <v>47126</v>
      </c>
      <c r="I15328" t="s">
        <v>47127</v>
      </c>
      <c r="J15328" t="s">
        <v>47128</v>
      </c>
      <c r="K15328" t="s">
        <v>47113</v>
      </c>
      <c r="L15328">
        <v>13.16</v>
      </c>
      <c r="M15328">
        <v>33</v>
      </c>
      <c r="N15328">
        <v>0</v>
      </c>
      <c r="O15328">
        <v>33</v>
      </c>
      <c r="P15328">
        <v>0</v>
      </c>
    </row>
    <row r="15329" spans="1:16" x14ac:dyDescent="0.25">
      <c r="A15329" t="s">
        <v>38002</v>
      </c>
      <c r="B15329" t="s">
        <v>10487</v>
      </c>
      <c r="C15329" t="s">
        <v>10488</v>
      </c>
      <c r="D15329" t="str">
        <f>"6276"</f>
        <v>6276</v>
      </c>
      <c r="E15329" t="s">
        <v>3867</v>
      </c>
      <c r="F15329" t="s">
        <v>2068</v>
      </c>
      <c r="G15329" t="s">
        <v>47091</v>
      </c>
      <c r="H15329" t="s">
        <v>47126</v>
      </c>
      <c r="I15329" t="s">
        <v>47127</v>
      </c>
      <c r="J15329" t="s">
        <v>47128</v>
      </c>
      <c r="K15329" t="s">
        <v>47113</v>
      </c>
      <c r="L15329">
        <v>13.16</v>
      </c>
      <c r="M15329">
        <v>33</v>
      </c>
      <c r="N15329">
        <v>0</v>
      </c>
      <c r="O15329">
        <v>33</v>
      </c>
      <c r="P15329">
        <v>0</v>
      </c>
    </row>
    <row r="15330" spans="1:16" x14ac:dyDescent="0.25">
      <c r="A15330" t="s">
        <v>38003</v>
      </c>
      <c r="B15330" t="s">
        <v>10489</v>
      </c>
      <c r="C15330" t="s">
        <v>10490</v>
      </c>
      <c r="D15330" t="str">
        <f>"1106"</f>
        <v>1106</v>
      </c>
      <c r="E15330" t="s">
        <v>460</v>
      </c>
      <c r="F15330" t="s">
        <v>2068</v>
      </c>
      <c r="G15330" t="s">
        <v>47091</v>
      </c>
      <c r="H15330" t="s">
        <v>47126</v>
      </c>
      <c r="I15330" t="s">
        <v>47127</v>
      </c>
      <c r="J15330" t="s">
        <v>47128</v>
      </c>
      <c r="K15330" t="s">
        <v>47113</v>
      </c>
      <c r="L15330">
        <v>12.68</v>
      </c>
      <c r="M15330">
        <v>30</v>
      </c>
      <c r="N15330">
        <v>0</v>
      </c>
      <c r="O15330">
        <v>30</v>
      </c>
      <c r="P15330">
        <v>0</v>
      </c>
    </row>
    <row r="15331" spans="1:16" x14ac:dyDescent="0.25">
      <c r="A15331" t="s">
        <v>38004</v>
      </c>
      <c r="B15331" t="s">
        <v>10489</v>
      </c>
      <c r="C15331" t="s">
        <v>10490</v>
      </c>
      <c r="D15331" t="str">
        <f>"1377"</f>
        <v>1377</v>
      </c>
      <c r="E15331" t="s">
        <v>74</v>
      </c>
      <c r="F15331" t="s">
        <v>2068</v>
      </c>
      <c r="G15331" t="s">
        <v>47091</v>
      </c>
      <c r="H15331" t="s">
        <v>47126</v>
      </c>
      <c r="I15331" t="s">
        <v>47127</v>
      </c>
      <c r="J15331" t="s">
        <v>47128</v>
      </c>
      <c r="K15331" t="s">
        <v>47113</v>
      </c>
      <c r="L15331">
        <v>12.68</v>
      </c>
      <c r="M15331">
        <v>30</v>
      </c>
      <c r="N15331">
        <v>0</v>
      </c>
      <c r="O15331">
        <v>30</v>
      </c>
      <c r="P15331">
        <v>0</v>
      </c>
    </row>
    <row r="15332" spans="1:16" x14ac:dyDescent="0.25">
      <c r="A15332" t="s">
        <v>38005</v>
      </c>
      <c r="B15332" t="s">
        <v>10489</v>
      </c>
      <c r="C15332" t="s">
        <v>10490</v>
      </c>
      <c r="D15332" t="str">
        <f>"1378"</f>
        <v>1378</v>
      </c>
      <c r="E15332" t="s">
        <v>388</v>
      </c>
      <c r="F15332" t="s">
        <v>2068</v>
      </c>
      <c r="G15332" t="s">
        <v>47091</v>
      </c>
      <c r="H15332" t="s">
        <v>47126</v>
      </c>
      <c r="I15332" t="s">
        <v>47127</v>
      </c>
      <c r="J15332" t="s">
        <v>47128</v>
      </c>
      <c r="K15332" t="s">
        <v>47113</v>
      </c>
      <c r="L15332">
        <v>12.68</v>
      </c>
      <c r="M15332">
        <v>30</v>
      </c>
      <c r="N15332">
        <v>0</v>
      </c>
      <c r="O15332">
        <v>30</v>
      </c>
      <c r="P15332">
        <v>0</v>
      </c>
    </row>
    <row r="15333" spans="1:16" x14ac:dyDescent="0.25">
      <c r="A15333" t="s">
        <v>38006</v>
      </c>
      <c r="B15333" t="s">
        <v>10489</v>
      </c>
      <c r="C15333" t="s">
        <v>10490</v>
      </c>
      <c r="D15333" t="str">
        <f>"1403"</f>
        <v>1403</v>
      </c>
      <c r="E15333" t="s">
        <v>224</v>
      </c>
      <c r="F15333" t="s">
        <v>2068</v>
      </c>
      <c r="G15333" t="s">
        <v>47091</v>
      </c>
      <c r="H15333" t="s">
        <v>47126</v>
      </c>
      <c r="I15333" t="s">
        <v>47127</v>
      </c>
      <c r="J15333" t="s">
        <v>47128</v>
      </c>
      <c r="K15333" t="s">
        <v>47113</v>
      </c>
      <c r="L15333">
        <v>12.68</v>
      </c>
      <c r="M15333">
        <v>30</v>
      </c>
      <c r="N15333">
        <v>0</v>
      </c>
      <c r="O15333">
        <v>30</v>
      </c>
      <c r="P15333">
        <v>0</v>
      </c>
    </row>
    <row r="15334" spans="1:16" x14ac:dyDescent="0.25">
      <c r="A15334" t="s">
        <v>38007</v>
      </c>
      <c r="B15334" t="s">
        <v>10489</v>
      </c>
      <c r="C15334" t="s">
        <v>10490</v>
      </c>
      <c r="D15334" t="str">
        <f>"1700"</f>
        <v>1700</v>
      </c>
      <c r="E15334" t="s">
        <v>60</v>
      </c>
      <c r="F15334" t="s">
        <v>2068</v>
      </c>
      <c r="G15334" t="s">
        <v>47091</v>
      </c>
      <c r="H15334" t="s">
        <v>47126</v>
      </c>
      <c r="I15334" t="s">
        <v>47127</v>
      </c>
      <c r="J15334" t="s">
        <v>47128</v>
      </c>
      <c r="K15334" t="s">
        <v>47113</v>
      </c>
      <c r="L15334">
        <v>12.68</v>
      </c>
      <c r="M15334">
        <v>30</v>
      </c>
      <c r="N15334">
        <v>0</v>
      </c>
      <c r="O15334">
        <v>30</v>
      </c>
      <c r="P15334">
        <v>0</v>
      </c>
    </row>
    <row r="15335" spans="1:16" x14ac:dyDescent="0.25">
      <c r="A15335" t="s">
        <v>38008</v>
      </c>
      <c r="B15335" t="s">
        <v>10489</v>
      </c>
      <c r="C15335" t="s">
        <v>10490</v>
      </c>
      <c r="D15335" t="str">
        <f>"2166"</f>
        <v>2166</v>
      </c>
      <c r="E15335" t="s">
        <v>80</v>
      </c>
      <c r="F15335" t="s">
        <v>2068</v>
      </c>
      <c r="G15335" t="s">
        <v>47091</v>
      </c>
      <c r="H15335" t="s">
        <v>47126</v>
      </c>
      <c r="I15335" t="s">
        <v>47127</v>
      </c>
      <c r="J15335" t="s">
        <v>47128</v>
      </c>
      <c r="K15335" t="s">
        <v>47113</v>
      </c>
      <c r="L15335">
        <v>12.68</v>
      </c>
      <c r="M15335">
        <v>30</v>
      </c>
      <c r="N15335">
        <v>0</v>
      </c>
      <c r="O15335">
        <v>30</v>
      </c>
      <c r="P15335">
        <v>0</v>
      </c>
    </row>
    <row r="15336" spans="1:16" x14ac:dyDescent="0.25">
      <c r="A15336" t="s">
        <v>38009</v>
      </c>
      <c r="B15336" t="s">
        <v>10489</v>
      </c>
      <c r="C15336" t="s">
        <v>10490</v>
      </c>
      <c r="D15336" t="str">
        <f>"3501"</f>
        <v>3501</v>
      </c>
      <c r="E15336" t="s">
        <v>3758</v>
      </c>
      <c r="F15336" t="s">
        <v>2068</v>
      </c>
      <c r="G15336" t="s">
        <v>47091</v>
      </c>
      <c r="H15336" t="s">
        <v>47126</v>
      </c>
      <c r="I15336" t="s">
        <v>47127</v>
      </c>
      <c r="J15336" t="s">
        <v>47128</v>
      </c>
      <c r="K15336" t="s">
        <v>47113</v>
      </c>
      <c r="L15336">
        <v>12.68</v>
      </c>
      <c r="M15336">
        <v>30</v>
      </c>
      <c r="N15336">
        <v>0</v>
      </c>
      <c r="O15336">
        <v>30</v>
      </c>
      <c r="P15336">
        <v>0</v>
      </c>
    </row>
    <row r="15337" spans="1:16" x14ac:dyDescent="0.25">
      <c r="A15337" t="s">
        <v>38010</v>
      </c>
      <c r="B15337" t="s">
        <v>10489</v>
      </c>
      <c r="C15337" t="s">
        <v>10490</v>
      </c>
      <c r="D15337" t="str">
        <f>"4000"</f>
        <v>4000</v>
      </c>
      <c r="E15337" t="s">
        <v>190</v>
      </c>
      <c r="F15337" t="s">
        <v>2068</v>
      </c>
      <c r="G15337" t="s">
        <v>47091</v>
      </c>
      <c r="H15337" t="s">
        <v>47126</v>
      </c>
      <c r="I15337" t="s">
        <v>47127</v>
      </c>
      <c r="J15337" t="s">
        <v>47128</v>
      </c>
      <c r="K15337" t="s">
        <v>47113</v>
      </c>
      <c r="L15337">
        <v>12.68</v>
      </c>
      <c r="M15337">
        <v>30</v>
      </c>
      <c r="N15337">
        <v>0</v>
      </c>
      <c r="O15337">
        <v>30</v>
      </c>
      <c r="P15337">
        <v>0</v>
      </c>
    </row>
    <row r="15338" spans="1:16" x14ac:dyDescent="0.25">
      <c r="A15338" t="s">
        <v>38011</v>
      </c>
      <c r="B15338" t="s">
        <v>10489</v>
      </c>
      <c r="C15338" t="s">
        <v>10490</v>
      </c>
      <c r="D15338" t="str">
        <f>"4201"</f>
        <v>4201</v>
      </c>
      <c r="E15338" t="s">
        <v>1855</v>
      </c>
      <c r="F15338" t="s">
        <v>2068</v>
      </c>
      <c r="G15338" t="s">
        <v>47091</v>
      </c>
      <c r="H15338" t="s">
        <v>47126</v>
      </c>
      <c r="I15338" t="s">
        <v>47127</v>
      </c>
      <c r="J15338" t="s">
        <v>47128</v>
      </c>
      <c r="K15338" t="s">
        <v>47113</v>
      </c>
      <c r="L15338">
        <v>12.68</v>
      </c>
      <c r="M15338">
        <v>30</v>
      </c>
      <c r="N15338">
        <v>0</v>
      </c>
      <c r="O15338">
        <v>30</v>
      </c>
      <c r="P15338">
        <v>0</v>
      </c>
    </row>
    <row r="15339" spans="1:16" x14ac:dyDescent="0.25">
      <c r="A15339" t="s">
        <v>38012</v>
      </c>
      <c r="B15339" t="s">
        <v>10489</v>
      </c>
      <c r="C15339" t="s">
        <v>10490</v>
      </c>
      <c r="D15339" t="str">
        <f>"4753"</f>
        <v>4753</v>
      </c>
      <c r="E15339" t="s">
        <v>3755</v>
      </c>
      <c r="F15339" t="s">
        <v>2068</v>
      </c>
      <c r="G15339" t="s">
        <v>47091</v>
      </c>
      <c r="H15339" t="s">
        <v>47126</v>
      </c>
      <c r="I15339" t="s">
        <v>47127</v>
      </c>
      <c r="J15339" t="s">
        <v>47128</v>
      </c>
      <c r="K15339" t="s">
        <v>47113</v>
      </c>
      <c r="L15339">
        <v>12.68</v>
      </c>
      <c r="M15339">
        <v>30</v>
      </c>
      <c r="N15339">
        <v>0</v>
      </c>
      <c r="O15339">
        <v>30</v>
      </c>
      <c r="P15339">
        <v>0</v>
      </c>
    </row>
    <row r="15340" spans="1:16" x14ac:dyDescent="0.25">
      <c r="A15340" t="s">
        <v>38013</v>
      </c>
      <c r="B15340" t="s">
        <v>10489</v>
      </c>
      <c r="C15340" t="s">
        <v>10490</v>
      </c>
      <c r="D15340" t="str">
        <f>"6276"</f>
        <v>6276</v>
      </c>
      <c r="E15340" t="s">
        <v>3867</v>
      </c>
      <c r="F15340" t="s">
        <v>2068</v>
      </c>
      <c r="G15340" t="s">
        <v>47091</v>
      </c>
      <c r="H15340" t="s">
        <v>47126</v>
      </c>
      <c r="I15340" t="s">
        <v>47127</v>
      </c>
      <c r="J15340" t="s">
        <v>47128</v>
      </c>
      <c r="K15340" t="s">
        <v>47113</v>
      </c>
      <c r="L15340">
        <v>12.68</v>
      </c>
      <c r="M15340">
        <v>30</v>
      </c>
      <c r="N15340">
        <v>0</v>
      </c>
      <c r="O15340">
        <v>30</v>
      </c>
      <c r="P15340">
        <v>0</v>
      </c>
    </row>
    <row r="15341" spans="1:16" x14ac:dyDescent="0.25">
      <c r="A15341" t="s">
        <v>38014</v>
      </c>
      <c r="B15341" t="s">
        <v>10491</v>
      </c>
      <c r="C15341" t="s">
        <v>10492</v>
      </c>
      <c r="D15341" t="str">
        <f>"1106"</f>
        <v>1106</v>
      </c>
      <c r="E15341" t="s">
        <v>460</v>
      </c>
      <c r="F15341" t="s">
        <v>2068</v>
      </c>
      <c r="G15341" t="s">
        <v>47091</v>
      </c>
      <c r="H15341" t="s">
        <v>47126</v>
      </c>
      <c r="I15341" t="s">
        <v>47127</v>
      </c>
      <c r="J15341" t="s">
        <v>47128</v>
      </c>
      <c r="K15341" t="s">
        <v>47113</v>
      </c>
      <c r="L15341">
        <v>15.57</v>
      </c>
      <c r="M15341">
        <v>38</v>
      </c>
      <c r="N15341">
        <v>0</v>
      </c>
      <c r="O15341">
        <v>38</v>
      </c>
      <c r="P15341">
        <v>0</v>
      </c>
    </row>
    <row r="15342" spans="1:16" x14ac:dyDescent="0.25">
      <c r="A15342" t="s">
        <v>38015</v>
      </c>
      <c r="B15342" t="s">
        <v>10491</v>
      </c>
      <c r="C15342" t="s">
        <v>10492</v>
      </c>
      <c r="D15342" t="str">
        <f>"1377"</f>
        <v>1377</v>
      </c>
      <c r="E15342" t="s">
        <v>74</v>
      </c>
      <c r="F15342" t="s">
        <v>2068</v>
      </c>
      <c r="G15342" t="s">
        <v>47091</v>
      </c>
      <c r="H15342" t="s">
        <v>47126</v>
      </c>
      <c r="I15342" t="s">
        <v>47127</v>
      </c>
      <c r="J15342" t="s">
        <v>47128</v>
      </c>
      <c r="K15342" t="s">
        <v>47113</v>
      </c>
      <c r="L15342">
        <v>15.57</v>
      </c>
      <c r="M15342">
        <v>38</v>
      </c>
      <c r="N15342">
        <v>0</v>
      </c>
      <c r="O15342">
        <v>38</v>
      </c>
      <c r="P15342">
        <v>0</v>
      </c>
    </row>
    <row r="15343" spans="1:16" x14ac:dyDescent="0.25">
      <c r="A15343" t="s">
        <v>38016</v>
      </c>
      <c r="B15343" t="s">
        <v>10491</v>
      </c>
      <c r="C15343" t="s">
        <v>10492</v>
      </c>
      <c r="D15343" t="str">
        <f>"1378"</f>
        <v>1378</v>
      </c>
      <c r="E15343" t="s">
        <v>388</v>
      </c>
      <c r="F15343" t="s">
        <v>2068</v>
      </c>
      <c r="G15343" t="s">
        <v>47091</v>
      </c>
      <c r="H15343" t="s">
        <v>47126</v>
      </c>
      <c r="I15343" t="s">
        <v>47127</v>
      </c>
      <c r="J15343" t="s">
        <v>47128</v>
      </c>
      <c r="K15343" t="s">
        <v>47113</v>
      </c>
      <c r="L15343">
        <v>15.57</v>
      </c>
      <c r="M15343">
        <v>38</v>
      </c>
      <c r="N15343">
        <v>0</v>
      </c>
      <c r="O15343">
        <v>38</v>
      </c>
      <c r="P15343">
        <v>0</v>
      </c>
    </row>
    <row r="15344" spans="1:16" x14ac:dyDescent="0.25">
      <c r="A15344" t="s">
        <v>38017</v>
      </c>
      <c r="B15344" t="s">
        <v>10491</v>
      </c>
      <c r="C15344" t="s">
        <v>10492</v>
      </c>
      <c r="D15344" t="str">
        <f>"1403"</f>
        <v>1403</v>
      </c>
      <c r="E15344" t="s">
        <v>224</v>
      </c>
      <c r="F15344" t="s">
        <v>2068</v>
      </c>
      <c r="G15344" t="s">
        <v>47091</v>
      </c>
      <c r="H15344" t="s">
        <v>47126</v>
      </c>
      <c r="I15344" t="s">
        <v>47127</v>
      </c>
      <c r="J15344" t="s">
        <v>47128</v>
      </c>
      <c r="K15344" t="s">
        <v>47113</v>
      </c>
      <c r="L15344">
        <v>15.57</v>
      </c>
      <c r="M15344">
        <v>38</v>
      </c>
      <c r="N15344">
        <v>0</v>
      </c>
      <c r="O15344">
        <v>38</v>
      </c>
      <c r="P15344">
        <v>0</v>
      </c>
    </row>
    <row r="15345" spans="1:16" x14ac:dyDescent="0.25">
      <c r="A15345" t="s">
        <v>38018</v>
      </c>
      <c r="B15345" t="s">
        <v>10491</v>
      </c>
      <c r="C15345" t="s">
        <v>10492</v>
      </c>
      <c r="D15345" t="str">
        <f>"1700"</f>
        <v>1700</v>
      </c>
      <c r="E15345" t="s">
        <v>60</v>
      </c>
      <c r="F15345" t="s">
        <v>2068</v>
      </c>
      <c r="G15345" t="s">
        <v>47091</v>
      </c>
      <c r="H15345" t="s">
        <v>47126</v>
      </c>
      <c r="I15345" t="s">
        <v>47127</v>
      </c>
      <c r="J15345" t="s">
        <v>47128</v>
      </c>
      <c r="K15345" t="s">
        <v>47113</v>
      </c>
      <c r="L15345">
        <v>15.57</v>
      </c>
      <c r="M15345">
        <v>38</v>
      </c>
      <c r="N15345">
        <v>0</v>
      </c>
      <c r="O15345">
        <v>38</v>
      </c>
      <c r="P15345">
        <v>0</v>
      </c>
    </row>
    <row r="15346" spans="1:16" x14ac:dyDescent="0.25">
      <c r="A15346" t="s">
        <v>38019</v>
      </c>
      <c r="B15346" t="s">
        <v>10491</v>
      </c>
      <c r="C15346" t="s">
        <v>10492</v>
      </c>
      <c r="D15346" t="str">
        <f>"2166"</f>
        <v>2166</v>
      </c>
      <c r="E15346" t="s">
        <v>80</v>
      </c>
      <c r="F15346" t="s">
        <v>2068</v>
      </c>
      <c r="G15346" t="s">
        <v>47091</v>
      </c>
      <c r="H15346" t="s">
        <v>47126</v>
      </c>
      <c r="I15346" t="s">
        <v>47127</v>
      </c>
      <c r="J15346" t="s">
        <v>47128</v>
      </c>
      <c r="K15346" t="s">
        <v>47113</v>
      </c>
      <c r="L15346">
        <v>15.57</v>
      </c>
      <c r="M15346">
        <v>38</v>
      </c>
      <c r="N15346">
        <v>0</v>
      </c>
      <c r="O15346">
        <v>38</v>
      </c>
      <c r="P15346">
        <v>0</v>
      </c>
    </row>
    <row r="15347" spans="1:16" x14ac:dyDescent="0.25">
      <c r="A15347" t="s">
        <v>38020</v>
      </c>
      <c r="B15347" t="s">
        <v>10491</v>
      </c>
      <c r="C15347" t="s">
        <v>10492</v>
      </c>
      <c r="D15347" t="str">
        <f>"4201"</f>
        <v>4201</v>
      </c>
      <c r="E15347" t="s">
        <v>1855</v>
      </c>
      <c r="F15347" t="s">
        <v>2068</v>
      </c>
      <c r="G15347" t="s">
        <v>47091</v>
      </c>
      <c r="H15347" t="s">
        <v>47126</v>
      </c>
      <c r="I15347" t="s">
        <v>47127</v>
      </c>
      <c r="J15347" t="s">
        <v>47128</v>
      </c>
      <c r="K15347" t="s">
        <v>47113</v>
      </c>
      <c r="L15347">
        <v>15.57</v>
      </c>
      <c r="M15347">
        <v>38</v>
      </c>
      <c r="N15347">
        <v>0</v>
      </c>
      <c r="O15347">
        <v>38</v>
      </c>
      <c r="P15347">
        <v>0</v>
      </c>
    </row>
    <row r="15348" spans="1:16" x14ac:dyDescent="0.25">
      <c r="A15348" t="s">
        <v>38021</v>
      </c>
      <c r="B15348" t="s">
        <v>10491</v>
      </c>
      <c r="C15348" t="s">
        <v>10492</v>
      </c>
      <c r="D15348" t="str">
        <f>"4753"</f>
        <v>4753</v>
      </c>
      <c r="E15348" t="s">
        <v>3755</v>
      </c>
      <c r="F15348" t="s">
        <v>2068</v>
      </c>
      <c r="G15348" t="s">
        <v>47091</v>
      </c>
      <c r="H15348" t="s">
        <v>47126</v>
      </c>
      <c r="I15348" t="s">
        <v>47127</v>
      </c>
      <c r="J15348" t="s">
        <v>47128</v>
      </c>
      <c r="K15348" t="s">
        <v>47113</v>
      </c>
      <c r="L15348">
        <v>15.57</v>
      </c>
      <c r="M15348">
        <v>38</v>
      </c>
      <c r="N15348">
        <v>0</v>
      </c>
      <c r="O15348">
        <v>38</v>
      </c>
      <c r="P15348">
        <v>0</v>
      </c>
    </row>
    <row r="15349" spans="1:16" x14ac:dyDescent="0.25">
      <c r="A15349" t="s">
        <v>38022</v>
      </c>
      <c r="B15349" t="s">
        <v>10493</v>
      </c>
      <c r="C15349" t="s">
        <v>161</v>
      </c>
      <c r="D15349" t="str">
        <f>"1106"</f>
        <v>1106</v>
      </c>
      <c r="E15349" t="s">
        <v>460</v>
      </c>
      <c r="F15349" t="s">
        <v>2068</v>
      </c>
      <c r="G15349" t="s">
        <v>47092</v>
      </c>
      <c r="H15349" t="s">
        <v>47126</v>
      </c>
      <c r="I15349" t="s">
        <v>47127</v>
      </c>
      <c r="J15349" t="s">
        <v>47128</v>
      </c>
      <c r="K15349" t="s">
        <v>47113</v>
      </c>
      <c r="L15349">
        <v>10.74</v>
      </c>
      <c r="M15349">
        <v>25</v>
      </c>
      <c r="N15349">
        <v>0</v>
      </c>
      <c r="O15349">
        <v>25</v>
      </c>
      <c r="P15349">
        <v>0</v>
      </c>
    </row>
    <row r="15350" spans="1:16" x14ac:dyDescent="0.25">
      <c r="A15350" t="s">
        <v>38023</v>
      </c>
      <c r="B15350" t="s">
        <v>10493</v>
      </c>
      <c r="C15350" t="s">
        <v>161</v>
      </c>
      <c r="D15350" t="str">
        <f>"1377"</f>
        <v>1377</v>
      </c>
      <c r="E15350" t="s">
        <v>74</v>
      </c>
      <c r="F15350" t="s">
        <v>2068</v>
      </c>
      <c r="G15350" t="s">
        <v>47092</v>
      </c>
      <c r="H15350" t="s">
        <v>47126</v>
      </c>
      <c r="I15350" t="s">
        <v>47127</v>
      </c>
      <c r="J15350" t="s">
        <v>47128</v>
      </c>
      <c r="K15350" t="s">
        <v>47113</v>
      </c>
      <c r="L15350">
        <v>10.74</v>
      </c>
      <c r="M15350">
        <v>25</v>
      </c>
      <c r="N15350">
        <v>0</v>
      </c>
      <c r="O15350">
        <v>25</v>
      </c>
      <c r="P15350">
        <v>0</v>
      </c>
    </row>
    <row r="15351" spans="1:16" x14ac:dyDescent="0.25">
      <c r="A15351" t="s">
        <v>38024</v>
      </c>
      <c r="B15351" t="s">
        <v>10493</v>
      </c>
      <c r="C15351" t="s">
        <v>161</v>
      </c>
      <c r="D15351" t="str">
        <f>"1378"</f>
        <v>1378</v>
      </c>
      <c r="E15351" t="s">
        <v>388</v>
      </c>
      <c r="F15351" t="s">
        <v>2068</v>
      </c>
      <c r="G15351" t="s">
        <v>47092</v>
      </c>
      <c r="H15351" t="s">
        <v>47126</v>
      </c>
      <c r="I15351" t="s">
        <v>47127</v>
      </c>
      <c r="J15351" t="s">
        <v>47128</v>
      </c>
      <c r="K15351" t="s">
        <v>47113</v>
      </c>
      <c r="L15351">
        <v>10.74</v>
      </c>
      <c r="M15351">
        <v>25</v>
      </c>
      <c r="N15351">
        <v>0</v>
      </c>
      <c r="O15351">
        <v>25</v>
      </c>
      <c r="P15351">
        <v>0</v>
      </c>
    </row>
    <row r="15352" spans="1:16" x14ac:dyDescent="0.25">
      <c r="A15352" t="s">
        <v>38025</v>
      </c>
      <c r="B15352" t="s">
        <v>10493</v>
      </c>
      <c r="C15352" t="s">
        <v>161</v>
      </c>
      <c r="D15352" t="str">
        <f>"1403"</f>
        <v>1403</v>
      </c>
      <c r="E15352" t="s">
        <v>224</v>
      </c>
      <c r="F15352" t="s">
        <v>2068</v>
      </c>
      <c r="G15352" t="s">
        <v>47092</v>
      </c>
      <c r="H15352" t="s">
        <v>47126</v>
      </c>
      <c r="I15352" t="s">
        <v>47127</v>
      </c>
      <c r="J15352" t="s">
        <v>47128</v>
      </c>
      <c r="K15352" t="s">
        <v>47113</v>
      </c>
      <c r="L15352">
        <v>10.74</v>
      </c>
      <c r="M15352">
        <v>25</v>
      </c>
      <c r="N15352">
        <v>0</v>
      </c>
      <c r="O15352">
        <v>25</v>
      </c>
      <c r="P15352">
        <v>0</v>
      </c>
    </row>
    <row r="15353" spans="1:16" x14ac:dyDescent="0.25">
      <c r="A15353" t="s">
        <v>38026</v>
      </c>
      <c r="B15353" t="s">
        <v>10493</v>
      </c>
      <c r="C15353" t="s">
        <v>161</v>
      </c>
      <c r="D15353" t="str">
        <f>"1700"</f>
        <v>1700</v>
      </c>
      <c r="E15353" t="s">
        <v>60</v>
      </c>
      <c r="F15353" t="s">
        <v>2068</v>
      </c>
      <c r="G15353" t="s">
        <v>47092</v>
      </c>
      <c r="H15353" t="s">
        <v>47126</v>
      </c>
      <c r="I15353" t="s">
        <v>47127</v>
      </c>
      <c r="J15353" t="s">
        <v>47128</v>
      </c>
      <c r="K15353" t="s">
        <v>47113</v>
      </c>
      <c r="L15353">
        <v>10.74</v>
      </c>
      <c r="M15353">
        <v>25</v>
      </c>
      <c r="N15353">
        <v>0</v>
      </c>
      <c r="O15353">
        <v>25</v>
      </c>
      <c r="P15353">
        <v>0</v>
      </c>
    </row>
    <row r="15354" spans="1:16" x14ac:dyDescent="0.25">
      <c r="A15354" t="s">
        <v>38027</v>
      </c>
      <c r="B15354" t="s">
        <v>10493</v>
      </c>
      <c r="C15354" t="s">
        <v>161</v>
      </c>
      <c r="D15354" t="str">
        <f>"2166"</f>
        <v>2166</v>
      </c>
      <c r="E15354" t="s">
        <v>80</v>
      </c>
      <c r="F15354" t="s">
        <v>2068</v>
      </c>
      <c r="G15354" t="s">
        <v>47092</v>
      </c>
      <c r="H15354" t="s">
        <v>47126</v>
      </c>
      <c r="I15354" t="s">
        <v>47127</v>
      </c>
      <c r="J15354" t="s">
        <v>47128</v>
      </c>
      <c r="K15354" t="s">
        <v>47113</v>
      </c>
      <c r="L15354">
        <v>10.74</v>
      </c>
      <c r="M15354">
        <v>25</v>
      </c>
      <c r="N15354">
        <v>0</v>
      </c>
      <c r="O15354">
        <v>25</v>
      </c>
      <c r="P15354">
        <v>0</v>
      </c>
    </row>
    <row r="15355" spans="1:16" x14ac:dyDescent="0.25">
      <c r="A15355" t="s">
        <v>38028</v>
      </c>
      <c r="B15355" t="s">
        <v>10493</v>
      </c>
      <c r="C15355" t="s">
        <v>161</v>
      </c>
      <c r="D15355" t="str">
        <f>"4000"</f>
        <v>4000</v>
      </c>
      <c r="E15355" t="s">
        <v>190</v>
      </c>
      <c r="F15355" t="s">
        <v>2068</v>
      </c>
      <c r="G15355" t="s">
        <v>47092</v>
      </c>
      <c r="H15355" t="s">
        <v>47126</v>
      </c>
      <c r="I15355" t="s">
        <v>47127</v>
      </c>
      <c r="J15355" t="s">
        <v>47128</v>
      </c>
      <c r="K15355" t="s">
        <v>47113</v>
      </c>
      <c r="L15355">
        <v>10.74</v>
      </c>
      <c r="M15355">
        <v>25</v>
      </c>
      <c r="N15355">
        <v>0</v>
      </c>
      <c r="O15355">
        <v>25</v>
      </c>
      <c r="P15355">
        <v>0</v>
      </c>
    </row>
    <row r="15356" spans="1:16" x14ac:dyDescent="0.25">
      <c r="A15356" t="s">
        <v>38029</v>
      </c>
      <c r="B15356" t="s">
        <v>10493</v>
      </c>
      <c r="C15356" t="s">
        <v>161</v>
      </c>
      <c r="D15356" t="str">
        <f>"4201"</f>
        <v>4201</v>
      </c>
      <c r="E15356" t="s">
        <v>1855</v>
      </c>
      <c r="F15356" t="s">
        <v>2068</v>
      </c>
      <c r="G15356" t="s">
        <v>47092</v>
      </c>
      <c r="H15356" t="s">
        <v>47126</v>
      </c>
      <c r="I15356" t="s">
        <v>47127</v>
      </c>
      <c r="J15356" t="s">
        <v>47128</v>
      </c>
      <c r="K15356" t="s">
        <v>47113</v>
      </c>
      <c r="L15356">
        <v>10.74</v>
      </c>
      <c r="M15356">
        <v>25</v>
      </c>
      <c r="N15356">
        <v>0</v>
      </c>
      <c r="O15356">
        <v>25</v>
      </c>
      <c r="P15356">
        <v>0</v>
      </c>
    </row>
    <row r="15357" spans="1:16" x14ac:dyDescent="0.25">
      <c r="A15357" t="s">
        <v>38030</v>
      </c>
      <c r="B15357" t="s">
        <v>10493</v>
      </c>
      <c r="C15357" t="s">
        <v>161</v>
      </c>
      <c r="D15357" t="str">
        <f>"4753"</f>
        <v>4753</v>
      </c>
      <c r="E15357" t="s">
        <v>3755</v>
      </c>
      <c r="F15357" t="s">
        <v>2068</v>
      </c>
      <c r="G15357" t="s">
        <v>47092</v>
      </c>
      <c r="H15357" t="s">
        <v>47126</v>
      </c>
      <c r="I15357" t="s">
        <v>47127</v>
      </c>
      <c r="J15357" t="s">
        <v>47128</v>
      </c>
      <c r="K15357" t="s">
        <v>47113</v>
      </c>
      <c r="L15357">
        <v>10.74</v>
      </c>
      <c r="M15357">
        <v>25</v>
      </c>
      <c r="N15357">
        <v>0</v>
      </c>
      <c r="O15357">
        <v>25</v>
      </c>
      <c r="P15357">
        <v>0</v>
      </c>
    </row>
    <row r="15358" spans="1:16" x14ac:dyDescent="0.25">
      <c r="A15358" t="s">
        <v>38031</v>
      </c>
      <c r="B15358" t="s">
        <v>10494</v>
      </c>
      <c r="C15358" t="s">
        <v>10495</v>
      </c>
      <c r="D15358" t="str">
        <f>"1285"</f>
        <v>1285</v>
      </c>
      <c r="E15358" t="s">
        <v>2148</v>
      </c>
      <c r="F15358" t="s">
        <v>2068</v>
      </c>
      <c r="G15358" t="s">
        <v>47091</v>
      </c>
      <c r="H15358" t="s">
        <v>47126</v>
      </c>
      <c r="I15358" t="s">
        <v>47127</v>
      </c>
      <c r="J15358" t="s">
        <v>47128</v>
      </c>
      <c r="K15358" t="s">
        <v>47113</v>
      </c>
      <c r="L15358">
        <v>15.57</v>
      </c>
      <c r="M15358">
        <v>38</v>
      </c>
      <c r="N15358">
        <v>0</v>
      </c>
      <c r="O15358">
        <v>38</v>
      </c>
      <c r="P15358">
        <v>0</v>
      </c>
    </row>
    <row r="15359" spans="1:16" x14ac:dyDescent="0.25">
      <c r="A15359" t="s">
        <v>38032</v>
      </c>
      <c r="B15359" t="s">
        <v>10494</v>
      </c>
      <c r="C15359" t="s">
        <v>10495</v>
      </c>
      <c r="D15359" t="str">
        <f>"1377"</f>
        <v>1377</v>
      </c>
      <c r="E15359" t="s">
        <v>74</v>
      </c>
      <c r="F15359" t="s">
        <v>2068</v>
      </c>
      <c r="G15359" t="s">
        <v>47091</v>
      </c>
      <c r="H15359" t="s">
        <v>47126</v>
      </c>
      <c r="I15359" t="s">
        <v>47127</v>
      </c>
      <c r="J15359" t="s">
        <v>47128</v>
      </c>
      <c r="K15359" t="s">
        <v>47113</v>
      </c>
      <c r="L15359">
        <v>15.57</v>
      </c>
      <c r="M15359">
        <v>38</v>
      </c>
      <c r="N15359">
        <v>0</v>
      </c>
      <c r="O15359">
        <v>38</v>
      </c>
      <c r="P15359">
        <v>0</v>
      </c>
    </row>
    <row r="15360" spans="1:16" x14ac:dyDescent="0.25">
      <c r="A15360" t="s">
        <v>38033</v>
      </c>
      <c r="B15360" t="s">
        <v>10494</v>
      </c>
      <c r="C15360" t="s">
        <v>10495</v>
      </c>
      <c r="D15360" t="str">
        <f>"1378"</f>
        <v>1378</v>
      </c>
      <c r="E15360" t="s">
        <v>388</v>
      </c>
      <c r="F15360" t="s">
        <v>2068</v>
      </c>
      <c r="G15360" t="s">
        <v>47091</v>
      </c>
      <c r="H15360" t="s">
        <v>47126</v>
      </c>
      <c r="I15360" t="s">
        <v>47127</v>
      </c>
      <c r="J15360" t="s">
        <v>47128</v>
      </c>
      <c r="K15360" t="s">
        <v>47113</v>
      </c>
      <c r="L15360">
        <v>15.57</v>
      </c>
      <c r="M15360">
        <v>38</v>
      </c>
      <c r="N15360">
        <v>0</v>
      </c>
      <c r="O15360">
        <v>38</v>
      </c>
      <c r="P15360">
        <v>0</v>
      </c>
    </row>
    <row r="15361" spans="1:16" x14ac:dyDescent="0.25">
      <c r="A15361" t="s">
        <v>38034</v>
      </c>
      <c r="B15361" t="s">
        <v>10494</v>
      </c>
      <c r="C15361" t="s">
        <v>10495</v>
      </c>
      <c r="D15361" t="str">
        <f>"1403"</f>
        <v>1403</v>
      </c>
      <c r="E15361" t="s">
        <v>224</v>
      </c>
      <c r="F15361" t="s">
        <v>2068</v>
      </c>
      <c r="G15361" t="s">
        <v>47091</v>
      </c>
      <c r="H15361" t="s">
        <v>47126</v>
      </c>
      <c r="I15361" t="s">
        <v>47127</v>
      </c>
      <c r="J15361" t="s">
        <v>47128</v>
      </c>
      <c r="K15361" t="s">
        <v>47113</v>
      </c>
      <c r="L15361">
        <v>15.57</v>
      </c>
      <c r="M15361">
        <v>38</v>
      </c>
      <c r="N15361">
        <v>0</v>
      </c>
      <c r="O15361">
        <v>38</v>
      </c>
      <c r="P15361">
        <v>0</v>
      </c>
    </row>
    <row r="15362" spans="1:16" x14ac:dyDescent="0.25">
      <c r="A15362" t="s">
        <v>38035</v>
      </c>
      <c r="B15362" t="s">
        <v>10494</v>
      </c>
      <c r="C15362" t="s">
        <v>10495</v>
      </c>
      <c r="D15362" t="str">
        <f>"1700"</f>
        <v>1700</v>
      </c>
      <c r="E15362" t="s">
        <v>60</v>
      </c>
      <c r="F15362" t="s">
        <v>2068</v>
      </c>
      <c r="G15362" t="s">
        <v>47091</v>
      </c>
      <c r="H15362" t="s">
        <v>47126</v>
      </c>
      <c r="I15362" t="s">
        <v>47127</v>
      </c>
      <c r="J15362" t="s">
        <v>47128</v>
      </c>
      <c r="K15362" t="s">
        <v>47113</v>
      </c>
      <c r="L15362">
        <v>15.57</v>
      </c>
      <c r="M15362">
        <v>38</v>
      </c>
      <c r="N15362">
        <v>0</v>
      </c>
      <c r="O15362">
        <v>38</v>
      </c>
      <c r="P15362">
        <v>0</v>
      </c>
    </row>
    <row r="15363" spans="1:16" x14ac:dyDescent="0.25">
      <c r="A15363" t="s">
        <v>38036</v>
      </c>
      <c r="B15363" t="s">
        <v>10494</v>
      </c>
      <c r="C15363" t="s">
        <v>10495</v>
      </c>
      <c r="D15363" t="str">
        <f>"2166"</f>
        <v>2166</v>
      </c>
      <c r="E15363" t="s">
        <v>80</v>
      </c>
      <c r="F15363" t="s">
        <v>2068</v>
      </c>
      <c r="G15363" t="s">
        <v>47091</v>
      </c>
      <c r="H15363" t="s">
        <v>47126</v>
      </c>
      <c r="I15363" t="s">
        <v>47127</v>
      </c>
      <c r="J15363" t="s">
        <v>47128</v>
      </c>
      <c r="K15363" t="s">
        <v>47113</v>
      </c>
      <c r="L15363">
        <v>15.57</v>
      </c>
      <c r="M15363">
        <v>38</v>
      </c>
      <c r="N15363">
        <v>0</v>
      </c>
      <c r="O15363">
        <v>38</v>
      </c>
      <c r="P15363">
        <v>0</v>
      </c>
    </row>
    <row r="15364" spans="1:16" x14ac:dyDescent="0.25">
      <c r="A15364" t="s">
        <v>38037</v>
      </c>
      <c r="B15364" t="s">
        <v>10494</v>
      </c>
      <c r="C15364" t="s">
        <v>10495</v>
      </c>
      <c r="D15364" t="str">
        <f>"4000"</f>
        <v>4000</v>
      </c>
      <c r="E15364" t="s">
        <v>190</v>
      </c>
      <c r="F15364" t="s">
        <v>2068</v>
      </c>
      <c r="G15364" t="s">
        <v>47091</v>
      </c>
      <c r="H15364" t="s">
        <v>47126</v>
      </c>
      <c r="I15364" t="s">
        <v>47127</v>
      </c>
      <c r="J15364" t="s">
        <v>47128</v>
      </c>
      <c r="K15364" t="s">
        <v>47113</v>
      </c>
      <c r="L15364">
        <v>15.57</v>
      </c>
      <c r="M15364">
        <v>38</v>
      </c>
      <c r="N15364">
        <v>0</v>
      </c>
      <c r="O15364">
        <v>38</v>
      </c>
      <c r="P15364">
        <v>0</v>
      </c>
    </row>
    <row r="15365" spans="1:16" x14ac:dyDescent="0.25">
      <c r="A15365" t="s">
        <v>38038</v>
      </c>
      <c r="B15365" t="s">
        <v>10494</v>
      </c>
      <c r="C15365" t="s">
        <v>10495</v>
      </c>
      <c r="D15365" t="str">
        <f>"4201"</f>
        <v>4201</v>
      </c>
      <c r="E15365" t="s">
        <v>1855</v>
      </c>
      <c r="F15365" t="s">
        <v>2068</v>
      </c>
      <c r="G15365" t="s">
        <v>47091</v>
      </c>
      <c r="H15365" t="s">
        <v>47126</v>
      </c>
      <c r="I15365" t="s">
        <v>47127</v>
      </c>
      <c r="J15365" t="s">
        <v>47128</v>
      </c>
      <c r="K15365" t="s">
        <v>47113</v>
      </c>
      <c r="L15365">
        <v>15.57</v>
      </c>
      <c r="M15365">
        <v>38</v>
      </c>
      <c r="N15365">
        <v>0</v>
      </c>
      <c r="O15365">
        <v>38</v>
      </c>
      <c r="P15365">
        <v>0</v>
      </c>
    </row>
    <row r="15366" spans="1:16" x14ac:dyDescent="0.25">
      <c r="A15366" t="s">
        <v>38039</v>
      </c>
      <c r="B15366" t="s">
        <v>10494</v>
      </c>
      <c r="C15366" t="s">
        <v>10495</v>
      </c>
      <c r="D15366" t="str">
        <f>"6276"</f>
        <v>6276</v>
      </c>
      <c r="E15366" t="s">
        <v>3867</v>
      </c>
      <c r="F15366" t="s">
        <v>2068</v>
      </c>
      <c r="G15366" t="s">
        <v>47091</v>
      </c>
      <c r="H15366" t="s">
        <v>47126</v>
      </c>
      <c r="I15366" t="s">
        <v>47127</v>
      </c>
      <c r="J15366" t="s">
        <v>47128</v>
      </c>
      <c r="K15366" t="s">
        <v>47113</v>
      </c>
      <c r="L15366">
        <v>15.57</v>
      </c>
      <c r="M15366">
        <v>38</v>
      </c>
      <c r="N15366">
        <v>0</v>
      </c>
      <c r="O15366">
        <v>38</v>
      </c>
      <c r="P15366">
        <v>0</v>
      </c>
    </row>
    <row r="15367" spans="1:16" x14ac:dyDescent="0.25">
      <c r="A15367" t="s">
        <v>38040</v>
      </c>
      <c r="B15367" t="s">
        <v>10496</v>
      </c>
      <c r="C15367" t="s">
        <v>10497</v>
      </c>
      <c r="D15367" t="str">
        <f>"1106"</f>
        <v>1106</v>
      </c>
      <c r="E15367" t="s">
        <v>460</v>
      </c>
      <c r="F15367" t="s">
        <v>2068</v>
      </c>
      <c r="G15367" t="s">
        <v>47091</v>
      </c>
      <c r="H15367" t="s">
        <v>47126</v>
      </c>
      <c r="I15367" t="s">
        <v>47127</v>
      </c>
      <c r="J15367" t="s">
        <v>47128</v>
      </c>
      <c r="K15367" t="s">
        <v>47113</v>
      </c>
      <c r="L15367">
        <v>13.88</v>
      </c>
      <c r="M15367">
        <v>33</v>
      </c>
      <c r="N15367">
        <v>0</v>
      </c>
      <c r="O15367">
        <v>33</v>
      </c>
      <c r="P15367">
        <v>0</v>
      </c>
    </row>
    <row r="15368" spans="1:16" x14ac:dyDescent="0.25">
      <c r="A15368" t="s">
        <v>38041</v>
      </c>
      <c r="B15368" t="s">
        <v>10496</v>
      </c>
      <c r="C15368" t="s">
        <v>10497</v>
      </c>
      <c r="D15368" t="str">
        <f>"1377"</f>
        <v>1377</v>
      </c>
      <c r="E15368" t="s">
        <v>74</v>
      </c>
      <c r="F15368" t="s">
        <v>2068</v>
      </c>
      <c r="G15368" t="s">
        <v>47091</v>
      </c>
      <c r="H15368" t="s">
        <v>47126</v>
      </c>
      <c r="I15368" t="s">
        <v>47127</v>
      </c>
      <c r="J15368" t="s">
        <v>47128</v>
      </c>
      <c r="K15368" t="s">
        <v>47113</v>
      </c>
      <c r="L15368">
        <v>13.88</v>
      </c>
      <c r="M15368">
        <v>33</v>
      </c>
      <c r="N15368">
        <v>0</v>
      </c>
      <c r="O15368">
        <v>33</v>
      </c>
      <c r="P15368">
        <v>0</v>
      </c>
    </row>
    <row r="15369" spans="1:16" x14ac:dyDescent="0.25">
      <c r="A15369" t="s">
        <v>38042</v>
      </c>
      <c r="B15369" t="s">
        <v>10496</v>
      </c>
      <c r="C15369" t="s">
        <v>10497</v>
      </c>
      <c r="D15369" t="str">
        <f>"1378"</f>
        <v>1378</v>
      </c>
      <c r="E15369" t="s">
        <v>388</v>
      </c>
      <c r="F15369" t="s">
        <v>2068</v>
      </c>
      <c r="G15369" t="s">
        <v>47091</v>
      </c>
      <c r="H15369" t="s">
        <v>47126</v>
      </c>
      <c r="I15369" t="s">
        <v>47127</v>
      </c>
      <c r="J15369" t="s">
        <v>47128</v>
      </c>
      <c r="K15369" t="s">
        <v>47113</v>
      </c>
      <c r="L15369">
        <v>13.88</v>
      </c>
      <c r="M15369">
        <v>33</v>
      </c>
      <c r="N15369">
        <v>0</v>
      </c>
      <c r="O15369">
        <v>33</v>
      </c>
      <c r="P15369">
        <v>0</v>
      </c>
    </row>
    <row r="15370" spans="1:16" x14ac:dyDescent="0.25">
      <c r="A15370" t="s">
        <v>38043</v>
      </c>
      <c r="B15370" t="s">
        <v>10496</v>
      </c>
      <c r="C15370" t="s">
        <v>10497</v>
      </c>
      <c r="D15370" t="str">
        <f>"1403"</f>
        <v>1403</v>
      </c>
      <c r="E15370" t="s">
        <v>224</v>
      </c>
      <c r="F15370" t="s">
        <v>2068</v>
      </c>
      <c r="G15370" t="s">
        <v>47091</v>
      </c>
      <c r="H15370" t="s">
        <v>47126</v>
      </c>
      <c r="I15370" t="s">
        <v>47127</v>
      </c>
      <c r="J15370" t="s">
        <v>47128</v>
      </c>
      <c r="K15370" t="s">
        <v>47113</v>
      </c>
      <c r="L15370">
        <v>13.88</v>
      </c>
      <c r="M15370">
        <v>33</v>
      </c>
      <c r="N15370">
        <v>0</v>
      </c>
      <c r="O15370">
        <v>33</v>
      </c>
      <c r="P15370">
        <v>0</v>
      </c>
    </row>
    <row r="15371" spans="1:16" x14ac:dyDescent="0.25">
      <c r="A15371" t="s">
        <v>38044</v>
      </c>
      <c r="B15371" t="s">
        <v>10496</v>
      </c>
      <c r="C15371" t="s">
        <v>10497</v>
      </c>
      <c r="D15371" t="str">
        <f>"1700"</f>
        <v>1700</v>
      </c>
      <c r="E15371" t="s">
        <v>60</v>
      </c>
      <c r="F15371" t="s">
        <v>2068</v>
      </c>
      <c r="G15371" t="s">
        <v>47091</v>
      </c>
      <c r="H15371" t="s">
        <v>47126</v>
      </c>
      <c r="I15371" t="s">
        <v>47127</v>
      </c>
      <c r="J15371" t="s">
        <v>47128</v>
      </c>
      <c r="K15371" t="s">
        <v>47113</v>
      </c>
      <c r="L15371">
        <v>13.88</v>
      </c>
      <c r="M15371">
        <v>33</v>
      </c>
      <c r="N15371">
        <v>0</v>
      </c>
      <c r="O15371">
        <v>33</v>
      </c>
      <c r="P15371">
        <v>0</v>
      </c>
    </row>
    <row r="15372" spans="1:16" x14ac:dyDescent="0.25">
      <c r="A15372" t="s">
        <v>38045</v>
      </c>
      <c r="B15372" t="s">
        <v>10496</v>
      </c>
      <c r="C15372" t="s">
        <v>10497</v>
      </c>
      <c r="D15372" t="str">
        <f>"2166"</f>
        <v>2166</v>
      </c>
      <c r="E15372" t="s">
        <v>80</v>
      </c>
      <c r="F15372" t="s">
        <v>2068</v>
      </c>
      <c r="G15372" t="s">
        <v>47091</v>
      </c>
      <c r="H15372" t="s">
        <v>47126</v>
      </c>
      <c r="I15372" t="s">
        <v>47127</v>
      </c>
      <c r="J15372" t="s">
        <v>47128</v>
      </c>
      <c r="K15372" t="s">
        <v>47113</v>
      </c>
      <c r="L15372">
        <v>13.88</v>
      </c>
      <c r="M15372">
        <v>33</v>
      </c>
      <c r="N15372">
        <v>0</v>
      </c>
      <c r="O15372">
        <v>33</v>
      </c>
      <c r="P15372">
        <v>0</v>
      </c>
    </row>
    <row r="15373" spans="1:16" x14ac:dyDescent="0.25">
      <c r="A15373" t="s">
        <v>38046</v>
      </c>
      <c r="B15373" t="s">
        <v>10496</v>
      </c>
      <c r="C15373" t="s">
        <v>10497</v>
      </c>
      <c r="D15373" t="str">
        <f>"4201"</f>
        <v>4201</v>
      </c>
      <c r="E15373" t="s">
        <v>1855</v>
      </c>
      <c r="F15373" t="s">
        <v>2068</v>
      </c>
      <c r="G15373" t="s">
        <v>47091</v>
      </c>
      <c r="H15373" t="s">
        <v>47126</v>
      </c>
      <c r="I15373" t="s">
        <v>47127</v>
      </c>
      <c r="J15373" t="s">
        <v>47128</v>
      </c>
      <c r="K15373" t="s">
        <v>47113</v>
      </c>
      <c r="L15373">
        <v>13.88</v>
      </c>
      <c r="M15373">
        <v>33</v>
      </c>
      <c r="N15373">
        <v>0</v>
      </c>
      <c r="O15373">
        <v>33</v>
      </c>
      <c r="P15373">
        <v>0</v>
      </c>
    </row>
    <row r="15374" spans="1:16" x14ac:dyDescent="0.25">
      <c r="A15374" t="s">
        <v>38047</v>
      </c>
      <c r="B15374" t="s">
        <v>10496</v>
      </c>
      <c r="C15374" t="s">
        <v>10497</v>
      </c>
      <c r="D15374" t="str">
        <f>"4753"</f>
        <v>4753</v>
      </c>
      <c r="E15374" t="s">
        <v>3755</v>
      </c>
      <c r="F15374" t="s">
        <v>2068</v>
      </c>
      <c r="G15374" t="s">
        <v>47091</v>
      </c>
      <c r="H15374" t="s">
        <v>47126</v>
      </c>
      <c r="I15374" t="s">
        <v>47127</v>
      </c>
      <c r="J15374" t="s">
        <v>47128</v>
      </c>
      <c r="K15374" t="s">
        <v>47113</v>
      </c>
      <c r="L15374">
        <v>13.88</v>
      </c>
      <c r="M15374">
        <v>33</v>
      </c>
      <c r="N15374">
        <v>0</v>
      </c>
      <c r="O15374">
        <v>33</v>
      </c>
      <c r="P15374">
        <v>0</v>
      </c>
    </row>
    <row r="15375" spans="1:16" x14ac:dyDescent="0.25">
      <c r="A15375" t="s">
        <v>38048</v>
      </c>
      <c r="B15375" t="s">
        <v>10498</v>
      </c>
      <c r="C15375" t="s">
        <v>10499</v>
      </c>
      <c r="D15375" t="str">
        <f>"1106"</f>
        <v>1106</v>
      </c>
      <c r="E15375" t="s">
        <v>460</v>
      </c>
      <c r="F15375" t="s">
        <v>2068</v>
      </c>
      <c r="G15375" t="s">
        <v>47091</v>
      </c>
      <c r="H15375" t="s">
        <v>47126</v>
      </c>
      <c r="I15375" t="s">
        <v>47127</v>
      </c>
      <c r="J15375" t="s">
        <v>47128</v>
      </c>
      <c r="K15375" t="s">
        <v>47113</v>
      </c>
      <c r="L15375">
        <v>13.88</v>
      </c>
      <c r="M15375">
        <v>33</v>
      </c>
      <c r="N15375">
        <v>0</v>
      </c>
      <c r="O15375">
        <v>33</v>
      </c>
      <c r="P15375">
        <v>0</v>
      </c>
    </row>
    <row r="15376" spans="1:16" x14ac:dyDescent="0.25">
      <c r="A15376" t="s">
        <v>38049</v>
      </c>
      <c r="B15376" t="s">
        <v>10500</v>
      </c>
      <c r="C15376" t="s">
        <v>10501</v>
      </c>
      <c r="D15376" t="str">
        <f>"1106"</f>
        <v>1106</v>
      </c>
      <c r="E15376" t="s">
        <v>460</v>
      </c>
      <c r="F15376" t="s">
        <v>2068</v>
      </c>
      <c r="G15376" t="s">
        <v>47091</v>
      </c>
      <c r="H15376" t="s">
        <v>47126</v>
      </c>
      <c r="I15376" t="s">
        <v>47127</v>
      </c>
      <c r="J15376" t="s">
        <v>47128</v>
      </c>
      <c r="K15376" t="s">
        <v>47113</v>
      </c>
      <c r="L15376">
        <v>14.37</v>
      </c>
      <c r="M15376">
        <v>35</v>
      </c>
      <c r="N15376">
        <v>0</v>
      </c>
      <c r="O15376">
        <v>35</v>
      </c>
      <c r="P15376">
        <v>0</v>
      </c>
    </row>
    <row r="15377" spans="1:16" x14ac:dyDescent="0.25">
      <c r="A15377" t="s">
        <v>38050</v>
      </c>
      <c r="B15377" t="s">
        <v>10502</v>
      </c>
      <c r="C15377" t="s">
        <v>10503</v>
      </c>
      <c r="D15377" t="str">
        <f>"1106"</f>
        <v>1106</v>
      </c>
      <c r="E15377" t="s">
        <v>460</v>
      </c>
      <c r="F15377" t="s">
        <v>2068</v>
      </c>
      <c r="G15377" t="s">
        <v>47091</v>
      </c>
      <c r="H15377" t="s">
        <v>47126</v>
      </c>
      <c r="I15377" t="s">
        <v>47127</v>
      </c>
      <c r="J15377" t="s">
        <v>47128</v>
      </c>
      <c r="K15377" t="s">
        <v>47113</v>
      </c>
      <c r="L15377">
        <v>14.37</v>
      </c>
      <c r="M15377">
        <v>35</v>
      </c>
      <c r="N15377">
        <v>0</v>
      </c>
      <c r="O15377">
        <v>35</v>
      </c>
      <c r="P15377">
        <v>0</v>
      </c>
    </row>
    <row r="15378" spans="1:16" x14ac:dyDescent="0.25">
      <c r="A15378" t="s">
        <v>15083</v>
      </c>
      <c r="B15378" t="s">
        <v>10504</v>
      </c>
      <c r="C15378" t="s">
        <v>10505</v>
      </c>
      <c r="D15378" t="str">
        <f>"1106"</f>
        <v>1106</v>
      </c>
      <c r="E15378" t="s">
        <v>460</v>
      </c>
      <c r="F15378" t="s">
        <v>2068</v>
      </c>
      <c r="G15378" t="s">
        <v>47091</v>
      </c>
      <c r="H15378" t="s">
        <v>47126</v>
      </c>
      <c r="I15378" t="s">
        <v>47127</v>
      </c>
      <c r="J15378" t="s">
        <v>47128</v>
      </c>
      <c r="K15378" t="s">
        <v>47113</v>
      </c>
      <c r="L15378">
        <v>10.27</v>
      </c>
      <c r="M15378">
        <v>25</v>
      </c>
      <c r="N15378">
        <v>0</v>
      </c>
      <c r="O15378">
        <v>25</v>
      </c>
      <c r="P15378">
        <v>0</v>
      </c>
    </row>
    <row r="15379" spans="1:16" x14ac:dyDescent="0.25">
      <c r="A15379" t="s">
        <v>15084</v>
      </c>
      <c r="B15379" t="s">
        <v>10504</v>
      </c>
      <c r="C15379" t="s">
        <v>10505</v>
      </c>
      <c r="D15379" t="str">
        <f>"3501"</f>
        <v>3501</v>
      </c>
      <c r="E15379" t="s">
        <v>3758</v>
      </c>
      <c r="F15379" t="s">
        <v>2068</v>
      </c>
      <c r="G15379" t="s">
        <v>47091</v>
      </c>
      <c r="H15379" t="s">
        <v>47126</v>
      </c>
      <c r="I15379" t="s">
        <v>47127</v>
      </c>
      <c r="J15379" t="s">
        <v>47128</v>
      </c>
      <c r="K15379" t="s">
        <v>47113</v>
      </c>
      <c r="L15379">
        <v>10.27</v>
      </c>
      <c r="M15379">
        <v>25</v>
      </c>
      <c r="N15379">
        <v>0</v>
      </c>
      <c r="O15379">
        <v>25</v>
      </c>
      <c r="P15379">
        <v>0</v>
      </c>
    </row>
    <row r="15380" spans="1:16" x14ac:dyDescent="0.25">
      <c r="A15380" t="s">
        <v>38051</v>
      </c>
      <c r="B15380" t="s">
        <v>10504</v>
      </c>
      <c r="C15380" t="s">
        <v>10505</v>
      </c>
      <c r="D15380" t="str">
        <f>"4201"</f>
        <v>4201</v>
      </c>
      <c r="E15380" t="s">
        <v>1855</v>
      </c>
      <c r="F15380" t="s">
        <v>2068</v>
      </c>
      <c r="G15380" t="s">
        <v>47091</v>
      </c>
      <c r="H15380" t="s">
        <v>47126</v>
      </c>
      <c r="I15380" t="s">
        <v>47127</v>
      </c>
      <c r="J15380" t="s">
        <v>47128</v>
      </c>
      <c r="K15380" t="s">
        <v>47113</v>
      </c>
      <c r="L15380">
        <v>10.27</v>
      </c>
      <c r="M15380">
        <v>25</v>
      </c>
      <c r="N15380">
        <v>0</v>
      </c>
      <c r="O15380">
        <v>25</v>
      </c>
      <c r="P15380">
        <v>0</v>
      </c>
    </row>
    <row r="15381" spans="1:16" x14ac:dyDescent="0.25">
      <c r="A15381" t="s">
        <v>38052</v>
      </c>
      <c r="B15381" t="s">
        <v>10506</v>
      </c>
      <c r="C15381" t="s">
        <v>10507</v>
      </c>
      <c r="D15381" t="str">
        <f>"1106"</f>
        <v>1106</v>
      </c>
      <c r="E15381" t="s">
        <v>460</v>
      </c>
      <c r="F15381" t="s">
        <v>2068</v>
      </c>
      <c r="G15381" t="s">
        <v>47091</v>
      </c>
      <c r="H15381" t="s">
        <v>47126</v>
      </c>
      <c r="I15381" t="s">
        <v>47127</v>
      </c>
      <c r="J15381" t="s">
        <v>47128</v>
      </c>
      <c r="K15381" t="s">
        <v>47113</v>
      </c>
      <c r="L15381">
        <v>11.47</v>
      </c>
      <c r="M15381">
        <v>28</v>
      </c>
      <c r="N15381">
        <v>0</v>
      </c>
      <c r="O15381">
        <v>28</v>
      </c>
      <c r="P15381">
        <v>0</v>
      </c>
    </row>
    <row r="15382" spans="1:16" x14ac:dyDescent="0.25">
      <c r="A15382" t="s">
        <v>38053</v>
      </c>
      <c r="B15382" t="s">
        <v>10506</v>
      </c>
      <c r="C15382" t="s">
        <v>10507</v>
      </c>
      <c r="D15382" t="str">
        <f>"3501"</f>
        <v>3501</v>
      </c>
      <c r="E15382" t="s">
        <v>3758</v>
      </c>
      <c r="F15382" t="s">
        <v>2068</v>
      </c>
      <c r="G15382" t="s">
        <v>47091</v>
      </c>
      <c r="H15382" t="s">
        <v>47126</v>
      </c>
      <c r="I15382" t="s">
        <v>47127</v>
      </c>
      <c r="J15382" t="s">
        <v>47128</v>
      </c>
      <c r="K15382" t="s">
        <v>47113</v>
      </c>
      <c r="L15382">
        <v>11.47</v>
      </c>
      <c r="M15382">
        <v>28</v>
      </c>
      <c r="N15382">
        <v>0</v>
      </c>
      <c r="O15382">
        <v>28</v>
      </c>
      <c r="P15382">
        <v>0</v>
      </c>
    </row>
    <row r="15383" spans="1:16" x14ac:dyDescent="0.25">
      <c r="A15383" t="s">
        <v>38054</v>
      </c>
      <c r="B15383" t="s">
        <v>10506</v>
      </c>
      <c r="C15383" t="s">
        <v>10507</v>
      </c>
      <c r="D15383" t="str">
        <f>"4201"</f>
        <v>4201</v>
      </c>
      <c r="E15383" t="s">
        <v>1855</v>
      </c>
      <c r="F15383" t="s">
        <v>2068</v>
      </c>
      <c r="G15383" t="s">
        <v>47091</v>
      </c>
      <c r="H15383" t="s">
        <v>47126</v>
      </c>
      <c r="I15383" t="s">
        <v>47127</v>
      </c>
      <c r="J15383" t="s">
        <v>47128</v>
      </c>
      <c r="K15383" t="s">
        <v>47113</v>
      </c>
      <c r="L15383">
        <v>11.47</v>
      </c>
      <c r="M15383">
        <v>28</v>
      </c>
      <c r="N15383">
        <v>0</v>
      </c>
      <c r="O15383">
        <v>28</v>
      </c>
      <c r="P15383">
        <v>0</v>
      </c>
    </row>
    <row r="15384" spans="1:16" x14ac:dyDescent="0.25">
      <c r="A15384" t="s">
        <v>38055</v>
      </c>
      <c r="B15384" t="s">
        <v>10508</v>
      </c>
      <c r="C15384" t="s">
        <v>10509</v>
      </c>
      <c r="D15384" t="str">
        <f>"1106"</f>
        <v>1106</v>
      </c>
      <c r="E15384" t="s">
        <v>460</v>
      </c>
      <c r="F15384" t="s">
        <v>2068</v>
      </c>
      <c r="G15384" t="s">
        <v>47091</v>
      </c>
      <c r="H15384" t="s">
        <v>47126</v>
      </c>
      <c r="I15384" t="s">
        <v>47127</v>
      </c>
      <c r="J15384" t="s">
        <v>47128</v>
      </c>
      <c r="K15384" t="s">
        <v>47113</v>
      </c>
      <c r="L15384">
        <v>10.74</v>
      </c>
      <c r="M15384">
        <v>25</v>
      </c>
      <c r="N15384">
        <v>0</v>
      </c>
      <c r="O15384">
        <v>25</v>
      </c>
      <c r="P15384">
        <v>0</v>
      </c>
    </row>
    <row r="15385" spans="1:16" x14ac:dyDescent="0.25">
      <c r="A15385" t="s">
        <v>38056</v>
      </c>
      <c r="B15385" t="s">
        <v>10508</v>
      </c>
      <c r="C15385" t="s">
        <v>10509</v>
      </c>
      <c r="D15385" t="str">
        <f>"3501"</f>
        <v>3501</v>
      </c>
      <c r="E15385" t="s">
        <v>3758</v>
      </c>
      <c r="F15385" t="s">
        <v>2068</v>
      </c>
      <c r="G15385" t="s">
        <v>47091</v>
      </c>
      <c r="H15385" t="s">
        <v>47126</v>
      </c>
      <c r="I15385" t="s">
        <v>47127</v>
      </c>
      <c r="J15385" t="s">
        <v>47128</v>
      </c>
      <c r="K15385" t="s">
        <v>47113</v>
      </c>
      <c r="L15385">
        <v>10.74</v>
      </c>
      <c r="M15385">
        <v>25</v>
      </c>
      <c r="N15385">
        <v>0</v>
      </c>
      <c r="O15385">
        <v>25</v>
      </c>
      <c r="P15385">
        <v>0</v>
      </c>
    </row>
    <row r="15386" spans="1:16" x14ac:dyDescent="0.25">
      <c r="A15386" t="s">
        <v>38057</v>
      </c>
      <c r="B15386" t="s">
        <v>10508</v>
      </c>
      <c r="C15386" t="s">
        <v>10509</v>
      </c>
      <c r="D15386" t="str">
        <f>"4201"</f>
        <v>4201</v>
      </c>
      <c r="E15386" t="s">
        <v>1855</v>
      </c>
      <c r="F15386" t="s">
        <v>2068</v>
      </c>
      <c r="G15386" t="s">
        <v>47091</v>
      </c>
      <c r="H15386" t="s">
        <v>47126</v>
      </c>
      <c r="I15386" t="s">
        <v>47127</v>
      </c>
      <c r="J15386" t="s">
        <v>47128</v>
      </c>
      <c r="K15386" t="s">
        <v>47113</v>
      </c>
      <c r="L15386">
        <v>10.74</v>
      </c>
      <c r="M15386">
        <v>25</v>
      </c>
      <c r="N15386">
        <v>0</v>
      </c>
      <c r="O15386">
        <v>25</v>
      </c>
      <c r="P15386">
        <v>0</v>
      </c>
    </row>
    <row r="15387" spans="1:16" x14ac:dyDescent="0.25">
      <c r="A15387" t="s">
        <v>38058</v>
      </c>
      <c r="B15387" t="s">
        <v>10510</v>
      </c>
      <c r="C15387" t="s">
        <v>10511</v>
      </c>
      <c r="D15387" t="str">
        <f>"1106"</f>
        <v>1106</v>
      </c>
      <c r="E15387" t="s">
        <v>460</v>
      </c>
      <c r="F15387" t="s">
        <v>2068</v>
      </c>
      <c r="G15387" t="s">
        <v>47091</v>
      </c>
      <c r="H15387" t="s">
        <v>47126</v>
      </c>
      <c r="I15387" t="s">
        <v>47127</v>
      </c>
      <c r="J15387" t="s">
        <v>47128</v>
      </c>
      <c r="K15387" t="s">
        <v>47113</v>
      </c>
      <c r="L15387">
        <v>10.74</v>
      </c>
      <c r="M15387">
        <v>25</v>
      </c>
      <c r="N15387">
        <v>0</v>
      </c>
      <c r="O15387">
        <v>25</v>
      </c>
      <c r="P15387">
        <v>0</v>
      </c>
    </row>
    <row r="15388" spans="1:16" x14ac:dyDescent="0.25">
      <c r="A15388" t="s">
        <v>38059</v>
      </c>
      <c r="B15388" t="s">
        <v>10510</v>
      </c>
      <c r="C15388" t="s">
        <v>10511</v>
      </c>
      <c r="D15388" t="str">
        <f>"3501"</f>
        <v>3501</v>
      </c>
      <c r="E15388" t="s">
        <v>3758</v>
      </c>
      <c r="F15388" t="s">
        <v>2068</v>
      </c>
      <c r="G15388" t="s">
        <v>47091</v>
      </c>
      <c r="H15388" t="s">
        <v>47126</v>
      </c>
      <c r="I15388" t="s">
        <v>47127</v>
      </c>
      <c r="J15388" t="s">
        <v>47128</v>
      </c>
      <c r="K15388" t="s">
        <v>47113</v>
      </c>
      <c r="L15388">
        <v>10.74</v>
      </c>
      <c r="M15388">
        <v>25</v>
      </c>
      <c r="N15388">
        <v>0</v>
      </c>
      <c r="O15388">
        <v>25</v>
      </c>
      <c r="P15388">
        <v>0</v>
      </c>
    </row>
    <row r="15389" spans="1:16" x14ac:dyDescent="0.25">
      <c r="A15389" t="s">
        <v>38060</v>
      </c>
      <c r="B15389" t="s">
        <v>10510</v>
      </c>
      <c r="C15389" t="s">
        <v>10511</v>
      </c>
      <c r="D15389" t="str">
        <f>"4201"</f>
        <v>4201</v>
      </c>
      <c r="E15389" t="s">
        <v>1855</v>
      </c>
      <c r="F15389" t="s">
        <v>2068</v>
      </c>
      <c r="G15389" t="s">
        <v>47091</v>
      </c>
      <c r="H15389" t="s">
        <v>47126</v>
      </c>
      <c r="I15389" t="s">
        <v>47127</v>
      </c>
      <c r="J15389" t="s">
        <v>47128</v>
      </c>
      <c r="K15389" t="s">
        <v>47113</v>
      </c>
      <c r="L15389">
        <v>10.74</v>
      </c>
      <c r="M15389">
        <v>25</v>
      </c>
      <c r="N15389">
        <v>0</v>
      </c>
      <c r="O15389">
        <v>25</v>
      </c>
      <c r="P15389">
        <v>0</v>
      </c>
    </row>
    <row r="15390" spans="1:16" x14ac:dyDescent="0.25">
      <c r="A15390" t="s">
        <v>38061</v>
      </c>
      <c r="B15390" t="s">
        <v>10512</v>
      </c>
      <c r="C15390" t="s">
        <v>10370</v>
      </c>
      <c r="D15390" t="str">
        <f>"1106"</f>
        <v>1106</v>
      </c>
      <c r="E15390" t="s">
        <v>460</v>
      </c>
      <c r="F15390" t="s">
        <v>2068</v>
      </c>
      <c r="G15390" t="s">
        <v>47096</v>
      </c>
      <c r="H15390" t="s">
        <v>47126</v>
      </c>
      <c r="I15390" t="s">
        <v>47127</v>
      </c>
      <c r="J15390" t="s">
        <v>47128</v>
      </c>
      <c r="K15390" t="s">
        <v>47113</v>
      </c>
      <c r="L15390">
        <v>22.34</v>
      </c>
      <c r="M15390">
        <v>55</v>
      </c>
      <c r="N15390">
        <v>0</v>
      </c>
      <c r="O15390">
        <v>55</v>
      </c>
      <c r="P15390">
        <v>0</v>
      </c>
    </row>
    <row r="15391" spans="1:16" x14ac:dyDescent="0.25">
      <c r="A15391" t="s">
        <v>38062</v>
      </c>
      <c r="B15391" t="s">
        <v>10512</v>
      </c>
      <c r="C15391" t="s">
        <v>10370</v>
      </c>
      <c r="D15391" t="str">
        <f>"3501"</f>
        <v>3501</v>
      </c>
      <c r="E15391" t="s">
        <v>3758</v>
      </c>
      <c r="F15391" t="s">
        <v>2068</v>
      </c>
      <c r="G15391" t="s">
        <v>47096</v>
      </c>
      <c r="H15391" t="s">
        <v>47126</v>
      </c>
      <c r="I15391" t="s">
        <v>47127</v>
      </c>
      <c r="J15391" t="s">
        <v>47128</v>
      </c>
      <c r="K15391" t="s">
        <v>47113</v>
      </c>
      <c r="L15391">
        <v>22.34</v>
      </c>
      <c r="M15391">
        <v>55</v>
      </c>
      <c r="N15391">
        <v>0</v>
      </c>
      <c r="O15391">
        <v>55</v>
      </c>
      <c r="P15391">
        <v>0</v>
      </c>
    </row>
    <row r="15392" spans="1:16" x14ac:dyDescent="0.25">
      <c r="A15392" t="s">
        <v>38063</v>
      </c>
      <c r="B15392" t="s">
        <v>10512</v>
      </c>
      <c r="C15392" t="s">
        <v>10370</v>
      </c>
      <c r="D15392" t="str">
        <f>"4201"</f>
        <v>4201</v>
      </c>
      <c r="E15392" t="s">
        <v>1855</v>
      </c>
      <c r="F15392" t="s">
        <v>2068</v>
      </c>
      <c r="G15392" t="s">
        <v>47096</v>
      </c>
      <c r="H15392" t="s">
        <v>47126</v>
      </c>
      <c r="I15392" t="s">
        <v>47127</v>
      </c>
      <c r="J15392" t="s">
        <v>47128</v>
      </c>
      <c r="K15392" t="s">
        <v>47113</v>
      </c>
      <c r="L15392">
        <v>22.34</v>
      </c>
      <c r="M15392">
        <v>55</v>
      </c>
      <c r="N15392">
        <v>0</v>
      </c>
      <c r="O15392">
        <v>55</v>
      </c>
      <c r="P15392">
        <v>0</v>
      </c>
    </row>
    <row r="15393" spans="1:16" x14ac:dyDescent="0.25">
      <c r="A15393" t="s">
        <v>38064</v>
      </c>
      <c r="B15393" t="s">
        <v>10513</v>
      </c>
      <c r="C15393" t="s">
        <v>10372</v>
      </c>
      <c r="D15393" t="str">
        <f>"1106"</f>
        <v>1106</v>
      </c>
      <c r="E15393" t="s">
        <v>460</v>
      </c>
      <c r="F15393" t="s">
        <v>2068</v>
      </c>
      <c r="G15393" t="s">
        <v>47096</v>
      </c>
      <c r="H15393" t="s">
        <v>47126</v>
      </c>
      <c r="I15393" t="s">
        <v>47127</v>
      </c>
      <c r="J15393" t="s">
        <v>47128</v>
      </c>
      <c r="K15393" t="s">
        <v>47113</v>
      </c>
      <c r="L15393">
        <v>22.34</v>
      </c>
      <c r="M15393">
        <v>55</v>
      </c>
      <c r="N15393">
        <v>0</v>
      </c>
      <c r="O15393">
        <v>55</v>
      </c>
      <c r="P15393">
        <v>0</v>
      </c>
    </row>
    <row r="15394" spans="1:16" x14ac:dyDescent="0.25">
      <c r="A15394" t="s">
        <v>38065</v>
      </c>
      <c r="B15394" t="s">
        <v>10513</v>
      </c>
      <c r="C15394" t="s">
        <v>10372</v>
      </c>
      <c r="D15394" t="str">
        <f>"3501"</f>
        <v>3501</v>
      </c>
      <c r="E15394" t="s">
        <v>3758</v>
      </c>
      <c r="F15394" t="s">
        <v>2068</v>
      </c>
      <c r="G15394" t="s">
        <v>47096</v>
      </c>
      <c r="H15394" t="s">
        <v>47126</v>
      </c>
      <c r="I15394" t="s">
        <v>47127</v>
      </c>
      <c r="J15394" t="s">
        <v>47128</v>
      </c>
      <c r="K15394" t="s">
        <v>47113</v>
      </c>
      <c r="L15394">
        <v>22.34</v>
      </c>
      <c r="M15394">
        <v>55</v>
      </c>
      <c r="N15394">
        <v>0</v>
      </c>
      <c r="O15394">
        <v>55</v>
      </c>
      <c r="P15394">
        <v>0</v>
      </c>
    </row>
    <row r="15395" spans="1:16" x14ac:dyDescent="0.25">
      <c r="A15395" t="s">
        <v>38066</v>
      </c>
      <c r="B15395" t="s">
        <v>10513</v>
      </c>
      <c r="C15395" t="s">
        <v>10372</v>
      </c>
      <c r="D15395" t="str">
        <f>"4201"</f>
        <v>4201</v>
      </c>
      <c r="E15395" t="s">
        <v>1855</v>
      </c>
      <c r="F15395" t="s">
        <v>2068</v>
      </c>
      <c r="G15395" t="s">
        <v>47096</v>
      </c>
      <c r="H15395" t="s">
        <v>47126</v>
      </c>
      <c r="I15395" t="s">
        <v>47127</v>
      </c>
      <c r="J15395" t="s">
        <v>47128</v>
      </c>
      <c r="K15395" t="s">
        <v>47113</v>
      </c>
      <c r="L15395">
        <v>22.34</v>
      </c>
      <c r="M15395">
        <v>55</v>
      </c>
      <c r="N15395">
        <v>0</v>
      </c>
      <c r="O15395">
        <v>55</v>
      </c>
      <c r="P15395">
        <v>0</v>
      </c>
    </row>
    <row r="15396" spans="1:16" x14ac:dyDescent="0.25">
      <c r="A15396" t="s">
        <v>38067</v>
      </c>
      <c r="B15396" t="s">
        <v>10514</v>
      </c>
      <c r="C15396" t="s">
        <v>10515</v>
      </c>
      <c r="D15396" t="str">
        <f>"1106"</f>
        <v>1106</v>
      </c>
      <c r="E15396" t="s">
        <v>460</v>
      </c>
      <c r="F15396" t="s">
        <v>2068</v>
      </c>
      <c r="G15396" t="s">
        <v>47096</v>
      </c>
      <c r="H15396" t="s">
        <v>47126</v>
      </c>
      <c r="I15396" t="s">
        <v>47127</v>
      </c>
      <c r="J15396" t="s">
        <v>47128</v>
      </c>
      <c r="K15396" t="s">
        <v>47113</v>
      </c>
      <c r="L15396">
        <v>22.34</v>
      </c>
      <c r="M15396">
        <v>55</v>
      </c>
      <c r="N15396">
        <v>0</v>
      </c>
      <c r="O15396">
        <v>55</v>
      </c>
      <c r="P15396">
        <v>0</v>
      </c>
    </row>
    <row r="15397" spans="1:16" x14ac:dyDescent="0.25">
      <c r="A15397" t="s">
        <v>38068</v>
      </c>
      <c r="B15397" t="s">
        <v>10514</v>
      </c>
      <c r="C15397" t="s">
        <v>10515</v>
      </c>
      <c r="D15397" t="str">
        <f>"3501"</f>
        <v>3501</v>
      </c>
      <c r="E15397" t="s">
        <v>3758</v>
      </c>
      <c r="F15397" t="s">
        <v>2068</v>
      </c>
      <c r="G15397" t="s">
        <v>47096</v>
      </c>
      <c r="H15397" t="s">
        <v>47126</v>
      </c>
      <c r="I15397" t="s">
        <v>47127</v>
      </c>
      <c r="J15397" t="s">
        <v>47128</v>
      </c>
      <c r="K15397" t="s">
        <v>47113</v>
      </c>
      <c r="L15397">
        <v>22.34</v>
      </c>
      <c r="M15397">
        <v>55</v>
      </c>
      <c r="N15397">
        <v>0</v>
      </c>
      <c r="O15397">
        <v>55</v>
      </c>
      <c r="P15397">
        <v>0</v>
      </c>
    </row>
    <row r="15398" spans="1:16" x14ac:dyDescent="0.25">
      <c r="A15398" t="s">
        <v>38069</v>
      </c>
      <c r="B15398" t="s">
        <v>10514</v>
      </c>
      <c r="C15398" t="s">
        <v>10515</v>
      </c>
      <c r="D15398" t="str">
        <f>"4201"</f>
        <v>4201</v>
      </c>
      <c r="E15398" t="s">
        <v>1855</v>
      </c>
      <c r="F15398" t="s">
        <v>2068</v>
      </c>
      <c r="G15398" t="s">
        <v>47096</v>
      </c>
      <c r="H15398" t="s">
        <v>47126</v>
      </c>
      <c r="I15398" t="s">
        <v>47127</v>
      </c>
      <c r="J15398" t="s">
        <v>47128</v>
      </c>
      <c r="K15398" t="s">
        <v>47113</v>
      </c>
      <c r="L15398">
        <v>22.34</v>
      </c>
      <c r="M15398">
        <v>55</v>
      </c>
      <c r="N15398">
        <v>0</v>
      </c>
      <c r="O15398">
        <v>55</v>
      </c>
      <c r="P15398">
        <v>0</v>
      </c>
    </row>
    <row r="15399" spans="1:16" x14ac:dyDescent="0.25">
      <c r="A15399" t="s">
        <v>15085</v>
      </c>
      <c r="B15399" t="s">
        <v>10516</v>
      </c>
      <c r="C15399" t="s">
        <v>387</v>
      </c>
      <c r="D15399" t="str">
        <f>"1106"</f>
        <v>1106</v>
      </c>
      <c r="E15399" t="s">
        <v>460</v>
      </c>
      <c r="F15399" t="s">
        <v>2068</v>
      </c>
      <c r="G15399" t="s">
        <v>47094</v>
      </c>
      <c r="H15399" t="s">
        <v>47126</v>
      </c>
      <c r="I15399" t="s">
        <v>47127</v>
      </c>
      <c r="J15399" t="s">
        <v>47128</v>
      </c>
      <c r="K15399" t="s">
        <v>47113</v>
      </c>
      <c r="L15399">
        <v>26.57</v>
      </c>
      <c r="M15399">
        <v>65</v>
      </c>
      <c r="N15399">
        <v>0</v>
      </c>
      <c r="O15399">
        <v>65</v>
      </c>
      <c r="P15399">
        <v>0</v>
      </c>
    </row>
    <row r="15400" spans="1:16" x14ac:dyDescent="0.25">
      <c r="A15400" t="s">
        <v>38070</v>
      </c>
      <c r="B15400" t="s">
        <v>10516</v>
      </c>
      <c r="C15400" t="s">
        <v>387</v>
      </c>
      <c r="D15400" t="str">
        <f>"3501"</f>
        <v>3501</v>
      </c>
      <c r="E15400" t="s">
        <v>3758</v>
      </c>
      <c r="F15400" t="s">
        <v>2068</v>
      </c>
      <c r="G15400" t="s">
        <v>47094</v>
      </c>
      <c r="H15400" t="s">
        <v>47126</v>
      </c>
      <c r="I15400" t="s">
        <v>47127</v>
      </c>
      <c r="J15400" t="s">
        <v>47128</v>
      </c>
      <c r="K15400" t="s">
        <v>47113</v>
      </c>
      <c r="L15400">
        <v>26.57</v>
      </c>
      <c r="M15400">
        <v>65</v>
      </c>
      <c r="N15400">
        <v>0</v>
      </c>
      <c r="O15400">
        <v>65</v>
      </c>
      <c r="P15400">
        <v>0</v>
      </c>
    </row>
    <row r="15401" spans="1:16" x14ac:dyDescent="0.25">
      <c r="A15401" t="s">
        <v>38071</v>
      </c>
      <c r="B15401" t="s">
        <v>10516</v>
      </c>
      <c r="C15401" t="s">
        <v>387</v>
      </c>
      <c r="D15401" t="str">
        <f>"4201"</f>
        <v>4201</v>
      </c>
      <c r="E15401" t="s">
        <v>1855</v>
      </c>
      <c r="F15401" t="s">
        <v>2068</v>
      </c>
      <c r="G15401" t="s">
        <v>47094</v>
      </c>
      <c r="H15401" t="s">
        <v>47126</v>
      </c>
      <c r="I15401" t="s">
        <v>47127</v>
      </c>
      <c r="J15401" t="s">
        <v>47128</v>
      </c>
      <c r="K15401" t="s">
        <v>47113</v>
      </c>
      <c r="L15401">
        <v>26.57</v>
      </c>
      <c r="M15401">
        <v>65</v>
      </c>
      <c r="N15401">
        <v>0</v>
      </c>
      <c r="O15401">
        <v>65</v>
      </c>
      <c r="P15401">
        <v>0</v>
      </c>
    </row>
    <row r="15402" spans="1:16" x14ac:dyDescent="0.25">
      <c r="A15402" t="s">
        <v>38072</v>
      </c>
      <c r="B15402" t="s">
        <v>10517</v>
      </c>
      <c r="C15402" t="s">
        <v>10518</v>
      </c>
      <c r="D15402" t="str">
        <f>"1106"</f>
        <v>1106</v>
      </c>
      <c r="E15402" t="s">
        <v>460</v>
      </c>
      <c r="F15402" t="s">
        <v>2068</v>
      </c>
      <c r="G15402" t="s">
        <v>47095</v>
      </c>
      <c r="H15402" t="s">
        <v>47126</v>
      </c>
      <c r="I15402" t="s">
        <v>47127</v>
      </c>
      <c r="J15402" t="s">
        <v>47128</v>
      </c>
      <c r="K15402" t="s">
        <v>47113</v>
      </c>
      <c r="L15402">
        <v>26.57</v>
      </c>
      <c r="M15402">
        <v>53</v>
      </c>
      <c r="N15402">
        <v>0</v>
      </c>
      <c r="O15402">
        <v>53</v>
      </c>
      <c r="P15402">
        <v>0</v>
      </c>
    </row>
    <row r="15403" spans="1:16" x14ac:dyDescent="0.25">
      <c r="A15403" t="s">
        <v>38073</v>
      </c>
      <c r="B15403" t="s">
        <v>10517</v>
      </c>
      <c r="C15403" t="s">
        <v>10518</v>
      </c>
      <c r="D15403" t="str">
        <f>"3501"</f>
        <v>3501</v>
      </c>
      <c r="E15403" t="s">
        <v>3758</v>
      </c>
      <c r="F15403" t="s">
        <v>2068</v>
      </c>
      <c r="G15403" t="s">
        <v>47095</v>
      </c>
      <c r="H15403" t="s">
        <v>47126</v>
      </c>
      <c r="I15403" t="s">
        <v>47127</v>
      </c>
      <c r="J15403" t="s">
        <v>47128</v>
      </c>
      <c r="K15403" t="s">
        <v>47113</v>
      </c>
      <c r="L15403">
        <v>26.57</v>
      </c>
      <c r="M15403">
        <v>53</v>
      </c>
      <c r="N15403">
        <v>0</v>
      </c>
      <c r="O15403">
        <v>53</v>
      </c>
      <c r="P15403">
        <v>0</v>
      </c>
    </row>
    <row r="15404" spans="1:16" x14ac:dyDescent="0.25">
      <c r="A15404" t="s">
        <v>38074</v>
      </c>
      <c r="B15404" t="s">
        <v>10517</v>
      </c>
      <c r="C15404" t="s">
        <v>10518</v>
      </c>
      <c r="D15404" t="str">
        <f>"4201"</f>
        <v>4201</v>
      </c>
      <c r="E15404" t="s">
        <v>1855</v>
      </c>
      <c r="F15404" t="s">
        <v>2068</v>
      </c>
      <c r="G15404" t="s">
        <v>47095</v>
      </c>
      <c r="H15404" t="s">
        <v>47126</v>
      </c>
      <c r="I15404" t="s">
        <v>47127</v>
      </c>
      <c r="J15404" t="s">
        <v>47128</v>
      </c>
      <c r="K15404" t="s">
        <v>47113</v>
      </c>
      <c r="L15404">
        <v>26.57</v>
      </c>
      <c r="M15404">
        <v>53</v>
      </c>
      <c r="N15404">
        <v>0</v>
      </c>
      <c r="O15404">
        <v>53</v>
      </c>
      <c r="P15404">
        <v>0</v>
      </c>
    </row>
    <row r="15405" spans="1:16" x14ac:dyDescent="0.25">
      <c r="A15405" t="s">
        <v>38075</v>
      </c>
      <c r="B15405" t="s">
        <v>10519</v>
      </c>
      <c r="C15405" t="s">
        <v>10518</v>
      </c>
      <c r="D15405" t="str">
        <f>"1106"</f>
        <v>1106</v>
      </c>
      <c r="E15405" t="s">
        <v>460</v>
      </c>
      <c r="F15405" t="s">
        <v>2068</v>
      </c>
      <c r="G15405" t="s">
        <v>47095</v>
      </c>
      <c r="H15405" t="s">
        <v>47126</v>
      </c>
      <c r="I15405" t="s">
        <v>47127</v>
      </c>
      <c r="J15405" t="s">
        <v>47128</v>
      </c>
      <c r="K15405" t="s">
        <v>47113</v>
      </c>
      <c r="L15405">
        <v>21.38</v>
      </c>
      <c r="M15405">
        <v>53</v>
      </c>
      <c r="N15405">
        <v>0</v>
      </c>
      <c r="O15405">
        <v>53</v>
      </c>
      <c r="P15405">
        <v>0</v>
      </c>
    </row>
    <row r="15406" spans="1:16" x14ac:dyDescent="0.25">
      <c r="A15406" t="s">
        <v>38076</v>
      </c>
      <c r="B15406" t="s">
        <v>10519</v>
      </c>
      <c r="C15406" t="s">
        <v>10518</v>
      </c>
      <c r="D15406" t="str">
        <f>"3501"</f>
        <v>3501</v>
      </c>
      <c r="E15406" t="s">
        <v>3758</v>
      </c>
      <c r="F15406" t="s">
        <v>2068</v>
      </c>
      <c r="G15406" t="s">
        <v>47095</v>
      </c>
      <c r="H15406" t="s">
        <v>47126</v>
      </c>
      <c r="I15406" t="s">
        <v>47127</v>
      </c>
      <c r="J15406" t="s">
        <v>47128</v>
      </c>
      <c r="K15406" t="s">
        <v>47113</v>
      </c>
      <c r="L15406">
        <v>21.38</v>
      </c>
      <c r="M15406">
        <v>53</v>
      </c>
      <c r="N15406">
        <v>0</v>
      </c>
      <c r="O15406">
        <v>53</v>
      </c>
      <c r="P15406">
        <v>0</v>
      </c>
    </row>
    <row r="15407" spans="1:16" x14ac:dyDescent="0.25">
      <c r="A15407" t="s">
        <v>38077</v>
      </c>
      <c r="B15407" t="s">
        <v>10519</v>
      </c>
      <c r="C15407" t="s">
        <v>10518</v>
      </c>
      <c r="D15407" t="str">
        <f>"4201"</f>
        <v>4201</v>
      </c>
      <c r="E15407" t="s">
        <v>1855</v>
      </c>
      <c r="F15407" t="s">
        <v>2068</v>
      </c>
      <c r="G15407" t="s">
        <v>47095</v>
      </c>
      <c r="H15407" t="s">
        <v>47126</v>
      </c>
      <c r="I15407" t="s">
        <v>47127</v>
      </c>
      <c r="J15407" t="s">
        <v>47128</v>
      </c>
      <c r="K15407" t="s">
        <v>47113</v>
      </c>
      <c r="L15407">
        <v>21.38</v>
      </c>
      <c r="M15407">
        <v>53</v>
      </c>
      <c r="N15407">
        <v>0</v>
      </c>
      <c r="O15407">
        <v>53</v>
      </c>
      <c r="P15407">
        <v>0</v>
      </c>
    </row>
    <row r="15408" spans="1:16" x14ac:dyDescent="0.25">
      <c r="A15408" t="s">
        <v>15086</v>
      </c>
      <c r="B15408" t="s">
        <v>10520</v>
      </c>
      <c r="C15408" t="s">
        <v>10518</v>
      </c>
      <c r="D15408" t="str">
        <f>"1106"</f>
        <v>1106</v>
      </c>
      <c r="E15408" t="s">
        <v>460</v>
      </c>
      <c r="F15408" t="s">
        <v>2068</v>
      </c>
      <c r="G15408" t="s">
        <v>47095</v>
      </c>
      <c r="H15408" t="s">
        <v>47126</v>
      </c>
      <c r="I15408" t="s">
        <v>47127</v>
      </c>
      <c r="J15408" t="s">
        <v>47128</v>
      </c>
      <c r="K15408" t="s">
        <v>47113</v>
      </c>
      <c r="L15408">
        <v>21.38</v>
      </c>
      <c r="M15408">
        <v>53</v>
      </c>
      <c r="N15408">
        <v>0</v>
      </c>
      <c r="O15408">
        <v>53</v>
      </c>
      <c r="P15408">
        <v>0</v>
      </c>
    </row>
    <row r="15409" spans="1:16" x14ac:dyDescent="0.25">
      <c r="A15409" t="s">
        <v>38078</v>
      </c>
      <c r="B15409" t="s">
        <v>10520</v>
      </c>
      <c r="C15409" t="s">
        <v>10518</v>
      </c>
      <c r="D15409" t="str">
        <f>"3501"</f>
        <v>3501</v>
      </c>
      <c r="E15409" t="s">
        <v>3758</v>
      </c>
      <c r="F15409" t="s">
        <v>2068</v>
      </c>
      <c r="G15409" t="s">
        <v>47095</v>
      </c>
      <c r="H15409" t="s">
        <v>47126</v>
      </c>
      <c r="I15409" t="s">
        <v>47127</v>
      </c>
      <c r="J15409" t="s">
        <v>47128</v>
      </c>
      <c r="K15409" t="s">
        <v>47113</v>
      </c>
      <c r="L15409">
        <v>21.38</v>
      </c>
      <c r="M15409">
        <v>53</v>
      </c>
      <c r="N15409">
        <v>0</v>
      </c>
      <c r="O15409">
        <v>53</v>
      </c>
      <c r="P15409">
        <v>0</v>
      </c>
    </row>
    <row r="15410" spans="1:16" x14ac:dyDescent="0.25">
      <c r="A15410" t="s">
        <v>38079</v>
      </c>
      <c r="B15410" t="s">
        <v>10520</v>
      </c>
      <c r="C15410" t="s">
        <v>10518</v>
      </c>
      <c r="D15410" t="str">
        <f>"4201"</f>
        <v>4201</v>
      </c>
      <c r="E15410" t="s">
        <v>1855</v>
      </c>
      <c r="F15410" t="s">
        <v>2068</v>
      </c>
      <c r="G15410" t="s">
        <v>47095</v>
      </c>
      <c r="H15410" t="s">
        <v>47126</v>
      </c>
      <c r="I15410" t="s">
        <v>47127</v>
      </c>
      <c r="J15410" t="s">
        <v>47128</v>
      </c>
      <c r="K15410" t="s">
        <v>47113</v>
      </c>
      <c r="L15410">
        <v>21.38</v>
      </c>
      <c r="M15410">
        <v>53</v>
      </c>
      <c r="N15410">
        <v>0</v>
      </c>
      <c r="O15410">
        <v>53</v>
      </c>
      <c r="P15410">
        <v>0</v>
      </c>
    </row>
    <row r="15411" spans="1:16" x14ac:dyDescent="0.25">
      <c r="A15411" t="s">
        <v>38080</v>
      </c>
      <c r="B15411" t="s">
        <v>10521</v>
      </c>
      <c r="C15411" t="s">
        <v>10522</v>
      </c>
      <c r="D15411" t="str">
        <f>"1001"</f>
        <v>1001</v>
      </c>
      <c r="E15411" t="s">
        <v>3966</v>
      </c>
      <c r="F15411" t="s">
        <v>2068</v>
      </c>
      <c r="G15411" t="s">
        <v>48515</v>
      </c>
      <c r="H15411" t="s">
        <v>47126</v>
      </c>
      <c r="I15411" t="s">
        <v>47120</v>
      </c>
      <c r="J15411" t="s">
        <v>47121</v>
      </c>
      <c r="K15411" t="s">
        <v>47113</v>
      </c>
      <c r="L15411">
        <v>95.72</v>
      </c>
      <c r="M15411">
        <v>231</v>
      </c>
      <c r="N15411">
        <v>0</v>
      </c>
      <c r="O15411">
        <v>231</v>
      </c>
      <c r="P15411">
        <v>0</v>
      </c>
    </row>
    <row r="15412" spans="1:16" x14ac:dyDescent="0.25">
      <c r="A15412" t="s">
        <v>38081</v>
      </c>
      <c r="B15412" t="s">
        <v>10523</v>
      </c>
      <c r="C15412" t="s">
        <v>463</v>
      </c>
      <c r="D15412" t="s">
        <v>10524</v>
      </c>
      <c r="E15412" t="s">
        <v>10525</v>
      </c>
      <c r="F15412" t="s">
        <v>2068</v>
      </c>
      <c r="G15412" t="s">
        <v>47101</v>
      </c>
      <c r="H15412" t="s">
        <v>47153</v>
      </c>
      <c r="I15412" t="s">
        <v>47132</v>
      </c>
      <c r="J15412" t="s">
        <v>47133</v>
      </c>
      <c r="K15412" t="s">
        <v>47113</v>
      </c>
      <c r="L15412">
        <v>66.81</v>
      </c>
      <c r="M15412">
        <v>99</v>
      </c>
      <c r="N15412">
        <v>0</v>
      </c>
      <c r="O15412">
        <v>99</v>
      </c>
      <c r="P15412">
        <v>0</v>
      </c>
    </row>
    <row r="15413" spans="1:16" x14ac:dyDescent="0.25">
      <c r="A15413" t="s">
        <v>15087</v>
      </c>
      <c r="B15413" t="s">
        <v>10523</v>
      </c>
      <c r="C15413" t="s">
        <v>463</v>
      </c>
      <c r="D15413" t="s">
        <v>10526</v>
      </c>
      <c r="E15413" t="s">
        <v>10527</v>
      </c>
      <c r="F15413" t="s">
        <v>2068</v>
      </c>
      <c r="G15413" t="s">
        <v>47101</v>
      </c>
      <c r="H15413" t="s">
        <v>47153</v>
      </c>
      <c r="I15413" t="s">
        <v>47132</v>
      </c>
      <c r="J15413" t="s">
        <v>47133</v>
      </c>
      <c r="K15413" t="s">
        <v>47113</v>
      </c>
      <c r="L15413">
        <v>53.07</v>
      </c>
      <c r="M15413">
        <v>78</v>
      </c>
      <c r="N15413">
        <v>0</v>
      </c>
      <c r="O15413">
        <v>78</v>
      </c>
      <c r="P15413">
        <v>0</v>
      </c>
    </row>
    <row r="15414" spans="1:16" x14ac:dyDescent="0.25">
      <c r="A15414" t="s">
        <v>38082</v>
      </c>
      <c r="B15414" t="s">
        <v>10523</v>
      </c>
      <c r="C15414" t="s">
        <v>463</v>
      </c>
      <c r="D15414" t="s">
        <v>3915</v>
      </c>
      <c r="E15414" t="s">
        <v>3916</v>
      </c>
      <c r="F15414" t="s">
        <v>2068</v>
      </c>
      <c r="G15414" t="s">
        <v>47101</v>
      </c>
      <c r="H15414" t="s">
        <v>47153</v>
      </c>
      <c r="I15414" t="s">
        <v>47132</v>
      </c>
      <c r="J15414" t="s">
        <v>47133</v>
      </c>
      <c r="K15414" t="s">
        <v>47113</v>
      </c>
      <c r="L15414">
        <v>61.49</v>
      </c>
      <c r="M15414">
        <v>95</v>
      </c>
      <c r="N15414">
        <v>0</v>
      </c>
      <c r="O15414">
        <v>95</v>
      </c>
      <c r="P15414">
        <v>0</v>
      </c>
    </row>
    <row r="15415" spans="1:16" x14ac:dyDescent="0.25">
      <c r="A15415" t="s">
        <v>38083</v>
      </c>
      <c r="B15415" t="s">
        <v>10523</v>
      </c>
      <c r="C15415" t="s">
        <v>463</v>
      </c>
      <c r="D15415" t="s">
        <v>10528</v>
      </c>
      <c r="E15415" t="s">
        <v>10529</v>
      </c>
      <c r="F15415" t="s">
        <v>2068</v>
      </c>
      <c r="G15415" t="s">
        <v>47101</v>
      </c>
      <c r="H15415" t="s">
        <v>47153</v>
      </c>
      <c r="I15415" t="s">
        <v>47132</v>
      </c>
      <c r="J15415" t="s">
        <v>47133</v>
      </c>
      <c r="K15415" t="s">
        <v>47113</v>
      </c>
      <c r="L15415">
        <v>66.81</v>
      </c>
      <c r="M15415">
        <v>99</v>
      </c>
      <c r="N15415">
        <v>0</v>
      </c>
      <c r="O15415">
        <v>99</v>
      </c>
      <c r="P15415">
        <v>0</v>
      </c>
    </row>
    <row r="15416" spans="1:16" x14ac:dyDescent="0.25">
      <c r="A15416" t="s">
        <v>38084</v>
      </c>
      <c r="B15416" t="s">
        <v>10530</v>
      </c>
      <c r="C15416" t="s">
        <v>470</v>
      </c>
      <c r="D15416" t="s">
        <v>4056</v>
      </c>
      <c r="E15416" t="s">
        <v>4057</v>
      </c>
      <c r="F15416" t="s">
        <v>2068</v>
      </c>
      <c r="G15416" t="s">
        <v>47101</v>
      </c>
      <c r="H15416" t="s">
        <v>47153</v>
      </c>
      <c r="I15416" t="s">
        <v>47132</v>
      </c>
      <c r="J15416" t="s">
        <v>47133</v>
      </c>
      <c r="K15416" t="s">
        <v>47113</v>
      </c>
      <c r="L15416">
        <v>51.65</v>
      </c>
      <c r="M15416">
        <v>69</v>
      </c>
      <c r="N15416">
        <v>0</v>
      </c>
      <c r="O15416">
        <v>69</v>
      </c>
      <c r="P15416">
        <v>0</v>
      </c>
    </row>
    <row r="15417" spans="1:16" x14ac:dyDescent="0.25">
      <c r="A15417" t="s">
        <v>38085</v>
      </c>
      <c r="B15417" t="s">
        <v>10530</v>
      </c>
      <c r="C15417" t="s">
        <v>470</v>
      </c>
      <c r="D15417" t="s">
        <v>418</v>
      </c>
      <c r="E15417" t="s">
        <v>419</v>
      </c>
      <c r="F15417" t="s">
        <v>2068</v>
      </c>
      <c r="G15417" t="s">
        <v>47101</v>
      </c>
      <c r="H15417" t="s">
        <v>47153</v>
      </c>
      <c r="I15417" t="s">
        <v>47132</v>
      </c>
      <c r="J15417" t="s">
        <v>47133</v>
      </c>
      <c r="K15417" t="s">
        <v>47113</v>
      </c>
      <c r="L15417">
        <v>51.65</v>
      </c>
      <c r="M15417">
        <v>69</v>
      </c>
      <c r="N15417">
        <v>0</v>
      </c>
      <c r="O15417">
        <v>69</v>
      </c>
      <c r="P15417">
        <v>0</v>
      </c>
    </row>
    <row r="15418" spans="1:16" x14ac:dyDescent="0.25">
      <c r="A15418" t="s">
        <v>38086</v>
      </c>
      <c r="B15418" t="s">
        <v>10530</v>
      </c>
      <c r="C15418" t="s">
        <v>470</v>
      </c>
      <c r="D15418" t="s">
        <v>3919</v>
      </c>
      <c r="E15418" t="s">
        <v>3920</v>
      </c>
      <c r="F15418" t="s">
        <v>2068</v>
      </c>
      <c r="G15418" t="s">
        <v>47101</v>
      </c>
      <c r="H15418" t="s">
        <v>47153</v>
      </c>
      <c r="I15418" t="s">
        <v>47132</v>
      </c>
      <c r="J15418" t="s">
        <v>47133</v>
      </c>
      <c r="K15418" t="s">
        <v>47113</v>
      </c>
      <c r="L15418">
        <v>51.65</v>
      </c>
      <c r="M15418">
        <v>69</v>
      </c>
      <c r="N15418">
        <v>0</v>
      </c>
      <c r="O15418">
        <v>69</v>
      </c>
      <c r="P15418">
        <v>0</v>
      </c>
    </row>
    <row r="15419" spans="1:16" x14ac:dyDescent="0.25">
      <c r="A15419" t="s">
        <v>38087</v>
      </c>
      <c r="B15419" t="s">
        <v>10531</v>
      </c>
      <c r="C15419" t="s">
        <v>10532</v>
      </c>
      <c r="D15419" t="s">
        <v>3919</v>
      </c>
      <c r="E15419" t="s">
        <v>3920</v>
      </c>
      <c r="F15419" t="s">
        <v>2068</v>
      </c>
      <c r="G15419" t="s">
        <v>47101</v>
      </c>
      <c r="H15419" t="s">
        <v>47153</v>
      </c>
      <c r="I15419" t="s">
        <v>47132</v>
      </c>
      <c r="J15419" t="s">
        <v>47133</v>
      </c>
      <c r="K15419" t="s">
        <v>47113</v>
      </c>
      <c r="L15419">
        <v>71.790000000000006</v>
      </c>
      <c r="M15419">
        <v>110</v>
      </c>
      <c r="N15419">
        <v>0</v>
      </c>
      <c r="O15419">
        <v>110</v>
      </c>
      <c r="P15419">
        <v>0</v>
      </c>
    </row>
    <row r="15420" spans="1:16" x14ac:dyDescent="0.25">
      <c r="A15420" t="s">
        <v>38088</v>
      </c>
      <c r="B15420" t="s">
        <v>10533</v>
      </c>
      <c r="C15420" t="s">
        <v>10534</v>
      </c>
      <c r="D15420" t="s">
        <v>3919</v>
      </c>
      <c r="E15420" t="s">
        <v>3920</v>
      </c>
      <c r="F15420" t="s">
        <v>2068</v>
      </c>
      <c r="G15420" t="s">
        <v>47101</v>
      </c>
      <c r="H15420" t="s">
        <v>47153</v>
      </c>
      <c r="I15420" t="s">
        <v>47132</v>
      </c>
      <c r="J15420" t="s">
        <v>47133</v>
      </c>
      <c r="K15420" t="s">
        <v>47113</v>
      </c>
      <c r="L15420">
        <v>64.56</v>
      </c>
      <c r="M15420">
        <v>89</v>
      </c>
      <c r="N15420">
        <v>0</v>
      </c>
      <c r="O15420">
        <v>89</v>
      </c>
      <c r="P15420">
        <v>0</v>
      </c>
    </row>
    <row r="15421" spans="1:16" x14ac:dyDescent="0.25">
      <c r="A15421" t="s">
        <v>38089</v>
      </c>
      <c r="B15421" t="s">
        <v>10535</v>
      </c>
      <c r="C15421" t="s">
        <v>10536</v>
      </c>
      <c r="D15421" t="str">
        <f>"1001"</f>
        <v>1001</v>
      </c>
      <c r="E15421" t="s">
        <v>3966</v>
      </c>
      <c r="F15421" t="s">
        <v>2068</v>
      </c>
      <c r="G15421" t="s">
        <v>47098</v>
      </c>
      <c r="H15421" t="s">
        <v>47126</v>
      </c>
      <c r="I15421" t="s">
        <v>47120</v>
      </c>
      <c r="J15421" t="s">
        <v>47121</v>
      </c>
      <c r="K15421" t="s">
        <v>47113</v>
      </c>
      <c r="L15421">
        <v>209.67</v>
      </c>
      <c r="M15421">
        <v>507</v>
      </c>
      <c r="N15421">
        <v>0</v>
      </c>
      <c r="O15421">
        <v>507</v>
      </c>
      <c r="P15421">
        <v>0</v>
      </c>
    </row>
    <row r="15422" spans="1:16" x14ac:dyDescent="0.25">
      <c r="A15422" t="s">
        <v>38090</v>
      </c>
      <c r="B15422" t="s">
        <v>10535</v>
      </c>
      <c r="C15422" t="s">
        <v>10536</v>
      </c>
      <c r="D15422" t="str">
        <f>"4882"</f>
        <v>4882</v>
      </c>
      <c r="E15422" t="s">
        <v>3761</v>
      </c>
      <c r="F15422" t="s">
        <v>2068</v>
      </c>
      <c r="G15422" t="s">
        <v>47098</v>
      </c>
      <c r="H15422" t="s">
        <v>47126</v>
      </c>
      <c r="I15422" t="s">
        <v>47120</v>
      </c>
      <c r="J15422" t="s">
        <v>47121</v>
      </c>
      <c r="K15422" t="s">
        <v>47113</v>
      </c>
      <c r="L15422">
        <v>209.67</v>
      </c>
      <c r="M15422">
        <v>507</v>
      </c>
      <c r="N15422">
        <v>0</v>
      </c>
      <c r="O15422">
        <v>507</v>
      </c>
      <c r="P15422">
        <v>0</v>
      </c>
    </row>
    <row r="15423" spans="1:16" x14ac:dyDescent="0.25">
      <c r="A15423" t="s">
        <v>38091</v>
      </c>
      <c r="B15423" t="s">
        <v>10537</v>
      </c>
      <c r="C15423" t="s">
        <v>10538</v>
      </c>
      <c r="D15423" t="str">
        <f>"1001"</f>
        <v>1001</v>
      </c>
      <c r="E15423" t="s">
        <v>3966</v>
      </c>
      <c r="F15423" t="s">
        <v>2068</v>
      </c>
      <c r="G15423" t="s">
        <v>47098</v>
      </c>
      <c r="H15423" t="s">
        <v>47126</v>
      </c>
      <c r="I15423" t="s">
        <v>47120</v>
      </c>
      <c r="J15423" t="s">
        <v>47121</v>
      </c>
      <c r="K15423" t="s">
        <v>47113</v>
      </c>
      <c r="L15423">
        <v>95.72</v>
      </c>
      <c r="M15423">
        <v>231</v>
      </c>
      <c r="N15423">
        <v>0</v>
      </c>
      <c r="O15423">
        <v>231</v>
      </c>
      <c r="P15423">
        <v>0</v>
      </c>
    </row>
    <row r="15424" spans="1:16" x14ac:dyDescent="0.25">
      <c r="A15424" t="s">
        <v>38092</v>
      </c>
      <c r="B15424" t="s">
        <v>10537</v>
      </c>
      <c r="C15424" t="s">
        <v>10538</v>
      </c>
      <c r="D15424" t="str">
        <f>"4882"</f>
        <v>4882</v>
      </c>
      <c r="E15424" t="s">
        <v>3761</v>
      </c>
      <c r="F15424" t="s">
        <v>2068</v>
      </c>
      <c r="G15424" t="s">
        <v>47098</v>
      </c>
      <c r="H15424" t="s">
        <v>47126</v>
      </c>
      <c r="I15424" t="s">
        <v>47120</v>
      </c>
      <c r="J15424" t="s">
        <v>47121</v>
      </c>
      <c r="K15424" t="s">
        <v>47113</v>
      </c>
      <c r="L15424">
        <v>95.72</v>
      </c>
      <c r="M15424">
        <v>231</v>
      </c>
      <c r="N15424">
        <v>0</v>
      </c>
      <c r="O15424">
        <v>231</v>
      </c>
      <c r="P15424">
        <v>0</v>
      </c>
    </row>
    <row r="15425" spans="1:16" x14ac:dyDescent="0.25">
      <c r="A15425" t="s">
        <v>38093</v>
      </c>
      <c r="B15425" t="s">
        <v>10539</v>
      </c>
      <c r="C15425" t="s">
        <v>4078</v>
      </c>
      <c r="D15425" t="str">
        <f>"1001"</f>
        <v>1001</v>
      </c>
      <c r="E15425" t="s">
        <v>3966</v>
      </c>
      <c r="F15425" t="s">
        <v>2068</v>
      </c>
      <c r="G15425" t="s">
        <v>47098</v>
      </c>
      <c r="H15425" t="s">
        <v>47126</v>
      </c>
      <c r="I15425" t="s">
        <v>47120</v>
      </c>
      <c r="J15425" t="s">
        <v>47121</v>
      </c>
      <c r="K15425" t="s">
        <v>47113</v>
      </c>
      <c r="L15425">
        <v>93.98</v>
      </c>
      <c r="M15425">
        <v>228</v>
      </c>
      <c r="N15425">
        <v>0</v>
      </c>
      <c r="O15425">
        <v>228</v>
      </c>
      <c r="P15425">
        <v>0</v>
      </c>
    </row>
    <row r="15426" spans="1:16" x14ac:dyDescent="0.25">
      <c r="A15426" t="s">
        <v>38094</v>
      </c>
      <c r="B15426" t="s">
        <v>10539</v>
      </c>
      <c r="C15426" t="s">
        <v>4078</v>
      </c>
      <c r="D15426" t="str">
        <f>"3071"</f>
        <v>3071</v>
      </c>
      <c r="E15426" t="s">
        <v>4767</v>
      </c>
      <c r="F15426" t="s">
        <v>2068</v>
      </c>
      <c r="G15426" t="s">
        <v>47098</v>
      </c>
      <c r="H15426" t="s">
        <v>47126</v>
      </c>
      <c r="I15426" t="s">
        <v>47120</v>
      </c>
      <c r="J15426" t="s">
        <v>47121</v>
      </c>
      <c r="K15426" t="s">
        <v>47113</v>
      </c>
      <c r="L15426">
        <v>93.98</v>
      </c>
      <c r="M15426">
        <v>228</v>
      </c>
      <c r="N15426">
        <v>0</v>
      </c>
      <c r="O15426">
        <v>228</v>
      </c>
      <c r="P15426">
        <v>0</v>
      </c>
    </row>
    <row r="15427" spans="1:16" x14ac:dyDescent="0.25">
      <c r="A15427" t="s">
        <v>38095</v>
      </c>
      <c r="B15427" t="s">
        <v>10539</v>
      </c>
      <c r="C15427" t="s">
        <v>4078</v>
      </c>
      <c r="D15427" t="str">
        <f>"3196"</f>
        <v>3196</v>
      </c>
      <c r="E15427" t="s">
        <v>159</v>
      </c>
      <c r="F15427" t="s">
        <v>2068</v>
      </c>
      <c r="G15427" t="s">
        <v>47098</v>
      </c>
      <c r="H15427" t="s">
        <v>47126</v>
      </c>
      <c r="I15427" t="s">
        <v>47120</v>
      </c>
      <c r="J15427" t="s">
        <v>47121</v>
      </c>
      <c r="K15427" t="s">
        <v>47113</v>
      </c>
      <c r="L15427">
        <v>93.98</v>
      </c>
      <c r="M15427">
        <v>228</v>
      </c>
      <c r="N15427">
        <v>0</v>
      </c>
      <c r="O15427">
        <v>228</v>
      </c>
      <c r="P15427">
        <v>0</v>
      </c>
    </row>
    <row r="15428" spans="1:16" x14ac:dyDescent="0.25">
      <c r="A15428" t="s">
        <v>38096</v>
      </c>
      <c r="B15428" t="s">
        <v>10540</v>
      </c>
      <c r="C15428" t="s">
        <v>10541</v>
      </c>
      <c r="D15428" t="str">
        <f>"3078"</f>
        <v>3078</v>
      </c>
      <c r="E15428" t="s">
        <v>10542</v>
      </c>
      <c r="F15428" t="s">
        <v>2068</v>
      </c>
      <c r="G15428" t="s">
        <v>47098</v>
      </c>
      <c r="H15428" t="s">
        <v>47126</v>
      </c>
      <c r="I15428" t="s">
        <v>47120</v>
      </c>
      <c r="J15428" t="s">
        <v>47121</v>
      </c>
      <c r="K15428" t="s">
        <v>47113</v>
      </c>
      <c r="L15428">
        <v>97.91</v>
      </c>
      <c r="M15428">
        <v>237</v>
      </c>
      <c r="N15428">
        <v>0</v>
      </c>
      <c r="O15428">
        <v>237</v>
      </c>
      <c r="P15428">
        <v>0</v>
      </c>
    </row>
    <row r="15429" spans="1:16" x14ac:dyDescent="0.25">
      <c r="A15429" t="s">
        <v>38097</v>
      </c>
      <c r="B15429" t="s">
        <v>10543</v>
      </c>
      <c r="C15429" t="s">
        <v>10544</v>
      </c>
      <c r="D15429" t="str">
        <f>"3531"</f>
        <v>3531</v>
      </c>
      <c r="E15429" t="s">
        <v>4079</v>
      </c>
      <c r="F15429" t="s">
        <v>2068</v>
      </c>
      <c r="G15429" t="s">
        <v>47098</v>
      </c>
      <c r="H15429" t="s">
        <v>47126</v>
      </c>
      <c r="I15429" t="s">
        <v>47120</v>
      </c>
      <c r="J15429" t="s">
        <v>47121</v>
      </c>
      <c r="K15429" t="s">
        <v>47113</v>
      </c>
      <c r="L15429">
        <v>156.97</v>
      </c>
      <c r="M15429">
        <v>380</v>
      </c>
      <c r="N15429">
        <v>0</v>
      </c>
      <c r="O15429">
        <v>380</v>
      </c>
      <c r="P15429">
        <v>0</v>
      </c>
    </row>
    <row r="15430" spans="1:16" x14ac:dyDescent="0.25">
      <c r="A15430" t="s">
        <v>38098</v>
      </c>
      <c r="B15430" t="s">
        <v>10545</v>
      </c>
      <c r="C15430" t="s">
        <v>10546</v>
      </c>
      <c r="D15430" t="str">
        <f>"1001"</f>
        <v>1001</v>
      </c>
      <c r="E15430" t="s">
        <v>3966</v>
      </c>
      <c r="F15430" t="s">
        <v>2068</v>
      </c>
      <c r="G15430" t="s">
        <v>47098</v>
      </c>
      <c r="H15430" t="s">
        <v>47126</v>
      </c>
      <c r="I15430" t="s">
        <v>47120</v>
      </c>
      <c r="J15430" t="s">
        <v>47121</v>
      </c>
      <c r="K15430" t="s">
        <v>47113</v>
      </c>
      <c r="L15430">
        <v>104.83</v>
      </c>
      <c r="M15430">
        <v>255</v>
      </c>
      <c r="N15430">
        <v>0</v>
      </c>
      <c r="O15430">
        <v>255</v>
      </c>
      <c r="P15430">
        <v>0</v>
      </c>
    </row>
    <row r="15431" spans="1:16" x14ac:dyDescent="0.25">
      <c r="A15431" t="s">
        <v>38099</v>
      </c>
      <c r="B15431" t="s">
        <v>10545</v>
      </c>
      <c r="C15431" t="s">
        <v>10546</v>
      </c>
      <c r="D15431" t="str">
        <f>"4882"</f>
        <v>4882</v>
      </c>
      <c r="E15431" t="s">
        <v>3761</v>
      </c>
      <c r="F15431" t="s">
        <v>2068</v>
      </c>
      <c r="G15431" t="s">
        <v>47098</v>
      </c>
      <c r="H15431" t="s">
        <v>47126</v>
      </c>
      <c r="I15431" t="s">
        <v>47120</v>
      </c>
      <c r="J15431" t="s">
        <v>47121</v>
      </c>
      <c r="K15431" t="s">
        <v>47113</v>
      </c>
      <c r="L15431">
        <v>104.83</v>
      </c>
      <c r="M15431">
        <v>255</v>
      </c>
      <c r="N15431">
        <v>0</v>
      </c>
      <c r="O15431">
        <v>255</v>
      </c>
      <c r="P15431">
        <v>0</v>
      </c>
    </row>
    <row r="15432" spans="1:16" x14ac:dyDescent="0.25">
      <c r="A15432" t="s">
        <v>38100</v>
      </c>
      <c r="B15432" t="s">
        <v>10547</v>
      </c>
      <c r="C15432" t="s">
        <v>10548</v>
      </c>
      <c r="D15432" t="str">
        <f>"3078"</f>
        <v>3078</v>
      </c>
      <c r="E15432" t="s">
        <v>10542</v>
      </c>
      <c r="F15432" t="s">
        <v>2068</v>
      </c>
      <c r="G15432" t="s">
        <v>47098</v>
      </c>
      <c r="H15432" t="s">
        <v>47126</v>
      </c>
      <c r="I15432" t="s">
        <v>47120</v>
      </c>
      <c r="J15432" t="s">
        <v>47121</v>
      </c>
      <c r="K15432" t="s">
        <v>47113</v>
      </c>
      <c r="L15432">
        <v>75.12</v>
      </c>
      <c r="M15432">
        <v>181</v>
      </c>
      <c r="N15432">
        <v>0</v>
      </c>
      <c r="O15432">
        <v>181</v>
      </c>
      <c r="P15432">
        <v>0</v>
      </c>
    </row>
    <row r="15433" spans="1:16" x14ac:dyDescent="0.25">
      <c r="A15433" t="s">
        <v>38101</v>
      </c>
      <c r="B15433" t="s">
        <v>10549</v>
      </c>
      <c r="C15433" t="s">
        <v>10550</v>
      </c>
      <c r="D15433" t="str">
        <f>"3531"</f>
        <v>3531</v>
      </c>
      <c r="E15433" t="s">
        <v>4079</v>
      </c>
      <c r="F15433" t="s">
        <v>2068</v>
      </c>
      <c r="G15433" t="s">
        <v>47098</v>
      </c>
      <c r="H15433" t="s">
        <v>47126</v>
      </c>
      <c r="I15433" t="s">
        <v>47120</v>
      </c>
      <c r="J15433" t="s">
        <v>47121</v>
      </c>
      <c r="K15433" t="s">
        <v>47113</v>
      </c>
      <c r="L15433">
        <v>134.18</v>
      </c>
      <c r="M15433">
        <v>324</v>
      </c>
      <c r="N15433">
        <v>0</v>
      </c>
      <c r="O15433">
        <v>324</v>
      </c>
      <c r="P15433">
        <v>0</v>
      </c>
    </row>
    <row r="15434" spans="1:16" x14ac:dyDescent="0.25">
      <c r="A15434" t="s">
        <v>38102</v>
      </c>
      <c r="B15434" t="s">
        <v>10551</v>
      </c>
      <c r="C15434" t="s">
        <v>4085</v>
      </c>
      <c r="D15434" t="str">
        <f>"1004"</f>
        <v>1004</v>
      </c>
      <c r="E15434" t="s">
        <v>200</v>
      </c>
      <c r="F15434" t="s">
        <v>3750</v>
      </c>
      <c r="G15434" t="s">
        <v>47098</v>
      </c>
      <c r="H15434" t="s">
        <v>47126</v>
      </c>
      <c r="I15434" t="s">
        <v>47127</v>
      </c>
      <c r="J15434" t="s">
        <v>47128</v>
      </c>
      <c r="K15434" t="s">
        <v>47113</v>
      </c>
      <c r="L15434">
        <v>116.99</v>
      </c>
      <c r="M15434">
        <v>207</v>
      </c>
      <c r="N15434">
        <v>0</v>
      </c>
      <c r="O15434">
        <v>207</v>
      </c>
      <c r="P15434">
        <v>0</v>
      </c>
    </row>
    <row r="15435" spans="1:16" x14ac:dyDescent="0.25">
      <c r="A15435" t="s">
        <v>38103</v>
      </c>
      <c r="B15435" t="s">
        <v>10551</v>
      </c>
      <c r="C15435" t="s">
        <v>4085</v>
      </c>
      <c r="D15435" t="str">
        <f>"3106"</f>
        <v>3106</v>
      </c>
      <c r="E15435" t="s">
        <v>230</v>
      </c>
      <c r="F15435" t="s">
        <v>3750</v>
      </c>
      <c r="G15435" t="s">
        <v>47098</v>
      </c>
      <c r="H15435" t="s">
        <v>47126</v>
      </c>
      <c r="I15435" t="s">
        <v>47127</v>
      </c>
      <c r="J15435" t="s">
        <v>47128</v>
      </c>
      <c r="K15435" t="s">
        <v>47113</v>
      </c>
      <c r="L15435">
        <v>116.99</v>
      </c>
      <c r="M15435">
        <v>207</v>
      </c>
      <c r="N15435">
        <v>0</v>
      </c>
      <c r="O15435">
        <v>207</v>
      </c>
      <c r="P15435">
        <v>0</v>
      </c>
    </row>
    <row r="15436" spans="1:16" x14ac:dyDescent="0.25">
      <c r="A15436" t="s">
        <v>38104</v>
      </c>
      <c r="B15436" t="s">
        <v>10552</v>
      </c>
      <c r="C15436" t="s">
        <v>3763</v>
      </c>
      <c r="D15436" t="str">
        <f>"1001"</f>
        <v>1001</v>
      </c>
      <c r="E15436" t="s">
        <v>42</v>
      </c>
      <c r="F15436" t="s">
        <v>3546</v>
      </c>
      <c r="G15436" t="s">
        <v>47098</v>
      </c>
      <c r="H15436" t="s">
        <v>47126</v>
      </c>
      <c r="I15436" t="s">
        <v>47120</v>
      </c>
      <c r="J15436" t="s">
        <v>47121</v>
      </c>
      <c r="K15436" t="s">
        <v>47113</v>
      </c>
      <c r="L15436">
        <v>176.7</v>
      </c>
      <c r="M15436">
        <v>313</v>
      </c>
      <c r="N15436">
        <v>0</v>
      </c>
      <c r="O15436">
        <v>313</v>
      </c>
      <c r="P15436">
        <v>0</v>
      </c>
    </row>
    <row r="15437" spans="1:16" x14ac:dyDescent="0.25">
      <c r="A15437" t="s">
        <v>38105</v>
      </c>
      <c r="B15437" t="s">
        <v>10552</v>
      </c>
      <c r="C15437" t="s">
        <v>3763</v>
      </c>
      <c r="D15437" t="str">
        <f>"1004"</f>
        <v>1004</v>
      </c>
      <c r="E15437" t="s">
        <v>200</v>
      </c>
      <c r="F15437" t="s">
        <v>3546</v>
      </c>
      <c r="G15437" t="s">
        <v>47098</v>
      </c>
      <c r="H15437" t="s">
        <v>47126</v>
      </c>
      <c r="I15437" t="s">
        <v>47120</v>
      </c>
      <c r="J15437" t="s">
        <v>47121</v>
      </c>
      <c r="K15437" t="s">
        <v>47113</v>
      </c>
      <c r="L15437">
        <v>176.7</v>
      </c>
      <c r="M15437">
        <v>313</v>
      </c>
      <c r="N15437">
        <v>0</v>
      </c>
      <c r="O15437">
        <v>313</v>
      </c>
      <c r="P15437">
        <v>0</v>
      </c>
    </row>
    <row r="15438" spans="1:16" x14ac:dyDescent="0.25">
      <c r="A15438" t="s">
        <v>38106</v>
      </c>
      <c r="B15438" t="s">
        <v>10552</v>
      </c>
      <c r="C15438" t="s">
        <v>3763</v>
      </c>
      <c r="D15438" t="str">
        <f>"4926"</f>
        <v>4926</v>
      </c>
      <c r="E15438" t="s">
        <v>4088</v>
      </c>
      <c r="F15438" t="s">
        <v>3546</v>
      </c>
      <c r="G15438" t="s">
        <v>47098</v>
      </c>
      <c r="H15438" t="s">
        <v>47126</v>
      </c>
      <c r="I15438" t="s">
        <v>47120</v>
      </c>
      <c r="J15438" t="s">
        <v>47121</v>
      </c>
      <c r="K15438" t="s">
        <v>47113</v>
      </c>
      <c r="L15438">
        <v>176.7</v>
      </c>
      <c r="M15438">
        <v>313</v>
      </c>
      <c r="N15438">
        <v>0</v>
      </c>
      <c r="O15438">
        <v>313</v>
      </c>
      <c r="P15438">
        <v>0</v>
      </c>
    </row>
    <row r="15439" spans="1:16" x14ac:dyDescent="0.25">
      <c r="A15439" t="s">
        <v>38107</v>
      </c>
      <c r="B15439" t="s">
        <v>10553</v>
      </c>
      <c r="C15439" t="s">
        <v>369</v>
      </c>
      <c r="D15439" t="s">
        <v>4123</v>
      </c>
      <c r="E15439" t="s">
        <v>4124</v>
      </c>
      <c r="F15439" t="s">
        <v>3546</v>
      </c>
      <c r="G15439" t="s">
        <v>47093</v>
      </c>
      <c r="H15439" t="s">
        <v>47153</v>
      </c>
      <c r="I15439" t="s">
        <v>47132</v>
      </c>
      <c r="J15439" t="s">
        <v>47133</v>
      </c>
      <c r="K15439" t="s">
        <v>47113</v>
      </c>
      <c r="L15439">
        <v>55.72</v>
      </c>
      <c r="M15439">
        <v>100</v>
      </c>
      <c r="N15439">
        <v>0</v>
      </c>
      <c r="O15439">
        <v>100</v>
      </c>
      <c r="P15439">
        <v>0</v>
      </c>
    </row>
    <row r="15440" spans="1:16" x14ac:dyDescent="0.25">
      <c r="A15440" t="s">
        <v>38108</v>
      </c>
      <c r="B15440" t="s">
        <v>10554</v>
      </c>
      <c r="C15440" t="s">
        <v>359</v>
      </c>
      <c r="D15440" t="s">
        <v>4135</v>
      </c>
      <c r="E15440" t="s">
        <v>4136</v>
      </c>
      <c r="F15440" t="s">
        <v>3546</v>
      </c>
      <c r="G15440" t="s">
        <v>47093</v>
      </c>
      <c r="H15440" t="s">
        <v>47153</v>
      </c>
      <c r="I15440" t="s">
        <v>47132</v>
      </c>
      <c r="J15440" t="s">
        <v>47133</v>
      </c>
      <c r="K15440" t="s">
        <v>47113</v>
      </c>
      <c r="L15440">
        <v>43.41</v>
      </c>
      <c r="M15440">
        <v>80</v>
      </c>
      <c r="N15440">
        <v>0</v>
      </c>
      <c r="O15440">
        <v>80</v>
      </c>
      <c r="P15440">
        <v>0</v>
      </c>
    </row>
    <row r="15441" spans="1:16" x14ac:dyDescent="0.25">
      <c r="A15441" t="s">
        <v>38109</v>
      </c>
      <c r="B15441" t="s">
        <v>10555</v>
      </c>
      <c r="C15441" t="s">
        <v>359</v>
      </c>
      <c r="D15441" t="s">
        <v>10556</v>
      </c>
      <c r="E15441" t="s">
        <v>10557</v>
      </c>
      <c r="F15441" t="s">
        <v>3546</v>
      </c>
      <c r="G15441" t="s">
        <v>47093</v>
      </c>
      <c r="H15441" t="s">
        <v>47153</v>
      </c>
      <c r="I15441" t="s">
        <v>47132</v>
      </c>
      <c r="J15441" t="s">
        <v>47133</v>
      </c>
      <c r="K15441" t="s">
        <v>47113</v>
      </c>
      <c r="L15441">
        <v>58.07</v>
      </c>
      <c r="M15441">
        <v>98</v>
      </c>
      <c r="N15441">
        <v>0</v>
      </c>
      <c r="O15441">
        <v>98</v>
      </c>
      <c r="P15441">
        <v>0</v>
      </c>
    </row>
    <row r="15442" spans="1:16" x14ac:dyDescent="0.25">
      <c r="A15442" t="s">
        <v>38110</v>
      </c>
      <c r="B15442" t="s">
        <v>10558</v>
      </c>
      <c r="C15442" t="s">
        <v>359</v>
      </c>
      <c r="D15442" t="s">
        <v>10559</v>
      </c>
      <c r="E15442" t="s">
        <v>10560</v>
      </c>
      <c r="F15442" t="s">
        <v>3546</v>
      </c>
      <c r="G15442" t="s">
        <v>47093</v>
      </c>
      <c r="H15442" t="s">
        <v>47153</v>
      </c>
      <c r="I15442" t="s">
        <v>47132</v>
      </c>
      <c r="J15442" t="s">
        <v>47133</v>
      </c>
      <c r="K15442" t="s">
        <v>47113</v>
      </c>
      <c r="L15442">
        <v>53.38</v>
      </c>
      <c r="M15442">
        <v>100</v>
      </c>
      <c r="N15442">
        <v>0</v>
      </c>
      <c r="O15442">
        <v>100</v>
      </c>
      <c r="P15442">
        <v>0</v>
      </c>
    </row>
    <row r="15443" spans="1:16" x14ac:dyDescent="0.25">
      <c r="A15443" t="s">
        <v>38111</v>
      </c>
      <c r="B15443" t="s">
        <v>10558</v>
      </c>
      <c r="C15443" t="s">
        <v>359</v>
      </c>
      <c r="D15443" t="s">
        <v>10561</v>
      </c>
      <c r="E15443" t="s">
        <v>10562</v>
      </c>
      <c r="F15443" t="s">
        <v>3546</v>
      </c>
      <c r="G15443" t="s">
        <v>47093</v>
      </c>
      <c r="H15443" t="s">
        <v>47153</v>
      </c>
      <c r="I15443" t="s">
        <v>47132</v>
      </c>
      <c r="J15443" t="s">
        <v>47133</v>
      </c>
      <c r="K15443" t="s">
        <v>47113</v>
      </c>
      <c r="L15443">
        <v>45.75</v>
      </c>
      <c r="M15443">
        <v>85</v>
      </c>
      <c r="N15443">
        <v>0</v>
      </c>
      <c r="O15443">
        <v>85</v>
      </c>
      <c r="P15443">
        <v>0</v>
      </c>
    </row>
    <row r="15444" spans="1:16" x14ac:dyDescent="0.25">
      <c r="A15444" t="s">
        <v>38112</v>
      </c>
      <c r="B15444" t="s">
        <v>10563</v>
      </c>
      <c r="C15444" t="s">
        <v>487</v>
      </c>
      <c r="D15444" t="s">
        <v>4135</v>
      </c>
      <c r="E15444" t="s">
        <v>4136</v>
      </c>
      <c r="F15444" t="s">
        <v>3546</v>
      </c>
      <c r="G15444" t="s">
        <v>47093</v>
      </c>
      <c r="H15444" t="s">
        <v>47153</v>
      </c>
      <c r="I15444" t="s">
        <v>47132</v>
      </c>
      <c r="J15444" t="s">
        <v>47133</v>
      </c>
      <c r="K15444" t="s">
        <v>47113</v>
      </c>
      <c r="L15444">
        <v>43.41</v>
      </c>
      <c r="M15444">
        <v>80</v>
      </c>
      <c r="N15444">
        <v>0</v>
      </c>
      <c r="O15444">
        <v>80</v>
      </c>
      <c r="P15444">
        <v>0</v>
      </c>
    </row>
    <row r="15445" spans="1:16" x14ac:dyDescent="0.25">
      <c r="A15445" t="s">
        <v>38113</v>
      </c>
      <c r="B15445" t="s">
        <v>10564</v>
      </c>
      <c r="C15445" t="s">
        <v>487</v>
      </c>
      <c r="D15445" t="s">
        <v>10565</v>
      </c>
      <c r="E15445" t="s">
        <v>10566</v>
      </c>
      <c r="F15445" t="s">
        <v>3546</v>
      </c>
      <c r="G15445" t="s">
        <v>47093</v>
      </c>
      <c r="H15445" t="s">
        <v>47153</v>
      </c>
      <c r="I15445" t="s">
        <v>47132</v>
      </c>
      <c r="J15445" t="s">
        <v>47133</v>
      </c>
      <c r="K15445" t="s">
        <v>47113</v>
      </c>
      <c r="L15445">
        <v>41.64</v>
      </c>
      <c r="M15445">
        <v>79</v>
      </c>
      <c r="N15445">
        <v>0</v>
      </c>
      <c r="O15445">
        <v>79</v>
      </c>
      <c r="P15445">
        <v>0</v>
      </c>
    </row>
    <row r="15446" spans="1:16" x14ac:dyDescent="0.25">
      <c r="A15446" t="s">
        <v>38114</v>
      </c>
      <c r="B15446" t="s">
        <v>10567</v>
      </c>
      <c r="C15446" t="s">
        <v>487</v>
      </c>
      <c r="D15446" t="s">
        <v>10568</v>
      </c>
      <c r="E15446" t="s">
        <v>10569</v>
      </c>
      <c r="F15446" t="s">
        <v>3546</v>
      </c>
      <c r="G15446" t="s">
        <v>47093</v>
      </c>
      <c r="H15446" t="s">
        <v>47153</v>
      </c>
      <c r="I15446" t="s">
        <v>47132</v>
      </c>
      <c r="J15446" t="s">
        <v>47133</v>
      </c>
      <c r="K15446" t="s">
        <v>47113</v>
      </c>
      <c r="L15446">
        <v>48.1</v>
      </c>
      <c r="M15446">
        <v>90</v>
      </c>
      <c r="N15446">
        <v>0</v>
      </c>
      <c r="O15446">
        <v>90</v>
      </c>
      <c r="P15446">
        <v>0</v>
      </c>
    </row>
    <row r="15447" spans="1:16" x14ac:dyDescent="0.25">
      <c r="A15447" t="s">
        <v>38115</v>
      </c>
      <c r="B15447" t="s">
        <v>10570</v>
      </c>
      <c r="C15447" t="s">
        <v>487</v>
      </c>
      <c r="D15447" t="s">
        <v>10556</v>
      </c>
      <c r="E15447" t="s">
        <v>10557</v>
      </c>
      <c r="F15447" t="s">
        <v>3546</v>
      </c>
      <c r="G15447" t="s">
        <v>47093</v>
      </c>
      <c r="H15447" t="s">
        <v>47153</v>
      </c>
      <c r="I15447" t="s">
        <v>47132</v>
      </c>
      <c r="J15447" t="s">
        <v>47133</v>
      </c>
      <c r="K15447" t="s">
        <v>47113</v>
      </c>
      <c r="L15447">
        <v>56.66</v>
      </c>
      <c r="M15447">
        <v>98</v>
      </c>
      <c r="N15447">
        <v>0</v>
      </c>
      <c r="O15447">
        <v>98</v>
      </c>
      <c r="P15447">
        <v>0</v>
      </c>
    </row>
    <row r="15448" spans="1:16" x14ac:dyDescent="0.25">
      <c r="A15448" t="s">
        <v>38116</v>
      </c>
      <c r="B15448" t="s">
        <v>10571</v>
      </c>
      <c r="C15448" t="s">
        <v>487</v>
      </c>
      <c r="D15448" t="s">
        <v>10572</v>
      </c>
      <c r="E15448" t="s">
        <v>10573</v>
      </c>
      <c r="F15448" t="s">
        <v>3546</v>
      </c>
      <c r="G15448" t="s">
        <v>47093</v>
      </c>
      <c r="H15448" t="s">
        <v>47153</v>
      </c>
      <c r="I15448" t="s">
        <v>47132</v>
      </c>
      <c r="J15448" t="s">
        <v>47133</v>
      </c>
      <c r="K15448" t="s">
        <v>47113</v>
      </c>
      <c r="L15448">
        <v>44.05</v>
      </c>
      <c r="M15448">
        <v>82</v>
      </c>
      <c r="N15448">
        <v>0</v>
      </c>
      <c r="O15448">
        <v>82</v>
      </c>
      <c r="P15448">
        <v>0</v>
      </c>
    </row>
    <row r="15449" spans="1:16" x14ac:dyDescent="0.25">
      <c r="A15449" t="s">
        <v>38117</v>
      </c>
      <c r="B15449" t="s">
        <v>10574</v>
      </c>
      <c r="C15449" t="s">
        <v>487</v>
      </c>
      <c r="D15449" t="s">
        <v>10559</v>
      </c>
      <c r="E15449" t="s">
        <v>10560</v>
      </c>
      <c r="F15449" t="s">
        <v>3546</v>
      </c>
      <c r="G15449" t="s">
        <v>47093</v>
      </c>
      <c r="H15449" t="s">
        <v>47153</v>
      </c>
      <c r="I15449" t="s">
        <v>47132</v>
      </c>
      <c r="J15449" t="s">
        <v>47133</v>
      </c>
      <c r="K15449" t="s">
        <v>47113</v>
      </c>
      <c r="L15449">
        <v>54.54</v>
      </c>
      <c r="M15449">
        <v>100</v>
      </c>
      <c r="N15449">
        <v>0</v>
      </c>
      <c r="O15449">
        <v>100</v>
      </c>
      <c r="P15449">
        <v>0</v>
      </c>
    </row>
    <row r="15450" spans="1:16" x14ac:dyDescent="0.25">
      <c r="A15450" t="s">
        <v>38118</v>
      </c>
      <c r="B15450" t="s">
        <v>10574</v>
      </c>
      <c r="C15450" t="s">
        <v>487</v>
      </c>
      <c r="D15450" t="s">
        <v>10561</v>
      </c>
      <c r="E15450" t="s">
        <v>10562</v>
      </c>
      <c r="F15450" t="s">
        <v>3546</v>
      </c>
      <c r="G15450" t="s">
        <v>47093</v>
      </c>
      <c r="H15450" t="s">
        <v>47153</v>
      </c>
      <c r="I15450" t="s">
        <v>47132</v>
      </c>
      <c r="J15450" t="s">
        <v>47133</v>
      </c>
      <c r="K15450" t="s">
        <v>47113</v>
      </c>
      <c r="L15450">
        <v>46.34</v>
      </c>
      <c r="M15450">
        <v>85</v>
      </c>
      <c r="N15450">
        <v>0</v>
      </c>
      <c r="O15450">
        <v>85</v>
      </c>
      <c r="P15450">
        <v>0</v>
      </c>
    </row>
    <row r="15451" spans="1:16" x14ac:dyDescent="0.25">
      <c r="A15451" t="s">
        <v>38119</v>
      </c>
      <c r="B15451" t="s">
        <v>10575</v>
      </c>
      <c r="C15451" t="s">
        <v>487</v>
      </c>
      <c r="D15451" t="s">
        <v>10576</v>
      </c>
      <c r="E15451" t="s">
        <v>10577</v>
      </c>
      <c r="F15451" t="s">
        <v>3546</v>
      </c>
      <c r="G15451" t="s">
        <v>47093</v>
      </c>
      <c r="H15451" t="s">
        <v>47153</v>
      </c>
      <c r="I15451" t="s">
        <v>47132</v>
      </c>
      <c r="J15451" t="s">
        <v>47133</v>
      </c>
      <c r="K15451" t="s">
        <v>47113</v>
      </c>
      <c r="L15451">
        <v>35.200000000000003</v>
      </c>
      <c r="M15451">
        <v>68</v>
      </c>
      <c r="N15451">
        <v>0</v>
      </c>
      <c r="O15451">
        <v>68</v>
      </c>
      <c r="P15451">
        <v>0</v>
      </c>
    </row>
    <row r="15452" spans="1:16" x14ac:dyDescent="0.25">
      <c r="A15452" t="s">
        <v>38120</v>
      </c>
      <c r="B15452" t="s">
        <v>10578</v>
      </c>
      <c r="C15452" t="s">
        <v>487</v>
      </c>
      <c r="D15452" t="s">
        <v>10579</v>
      </c>
      <c r="E15452" t="s">
        <v>10580</v>
      </c>
      <c r="F15452" t="s">
        <v>3546</v>
      </c>
      <c r="G15452" t="s">
        <v>47093</v>
      </c>
      <c r="H15452" t="s">
        <v>47153</v>
      </c>
      <c r="I15452" t="s">
        <v>47132</v>
      </c>
      <c r="J15452" t="s">
        <v>47133</v>
      </c>
      <c r="K15452" t="s">
        <v>47113</v>
      </c>
      <c r="L15452">
        <v>37.31</v>
      </c>
      <c r="M15452">
        <v>84</v>
      </c>
      <c r="N15452">
        <v>0</v>
      </c>
      <c r="O15452">
        <v>84</v>
      </c>
      <c r="P15452">
        <v>0</v>
      </c>
    </row>
    <row r="15453" spans="1:16" x14ac:dyDescent="0.25">
      <c r="A15453" t="s">
        <v>38121</v>
      </c>
      <c r="B15453" t="s">
        <v>10581</v>
      </c>
      <c r="C15453" t="s">
        <v>10582</v>
      </c>
      <c r="D15453" t="s">
        <v>4135</v>
      </c>
      <c r="E15453" t="s">
        <v>4136</v>
      </c>
      <c r="F15453" t="s">
        <v>3546</v>
      </c>
      <c r="G15453" t="s">
        <v>47093</v>
      </c>
      <c r="H15453" t="s">
        <v>47153</v>
      </c>
      <c r="I15453" t="s">
        <v>47132</v>
      </c>
      <c r="J15453" t="s">
        <v>47133</v>
      </c>
      <c r="K15453" t="s">
        <v>47113</v>
      </c>
      <c r="L15453">
        <v>43.41</v>
      </c>
      <c r="M15453">
        <v>80</v>
      </c>
      <c r="N15453">
        <v>0</v>
      </c>
      <c r="O15453">
        <v>80</v>
      </c>
      <c r="P15453">
        <v>0</v>
      </c>
    </row>
    <row r="15454" spans="1:16" x14ac:dyDescent="0.25">
      <c r="A15454" t="s">
        <v>38122</v>
      </c>
      <c r="B15454" t="s">
        <v>10583</v>
      </c>
      <c r="C15454" t="s">
        <v>10582</v>
      </c>
      <c r="D15454" t="s">
        <v>10565</v>
      </c>
      <c r="E15454" t="s">
        <v>10566</v>
      </c>
      <c r="F15454" t="s">
        <v>3546</v>
      </c>
      <c r="G15454" t="s">
        <v>47093</v>
      </c>
      <c r="H15454" t="s">
        <v>47153</v>
      </c>
      <c r="I15454" t="s">
        <v>47132</v>
      </c>
      <c r="J15454" t="s">
        <v>47133</v>
      </c>
      <c r="K15454" t="s">
        <v>47113</v>
      </c>
      <c r="L15454">
        <v>41.64</v>
      </c>
      <c r="M15454">
        <v>79</v>
      </c>
      <c r="N15454">
        <v>0</v>
      </c>
      <c r="O15454">
        <v>79</v>
      </c>
      <c r="P15454">
        <v>0</v>
      </c>
    </row>
    <row r="15455" spans="1:16" x14ac:dyDescent="0.25">
      <c r="A15455" t="s">
        <v>38123</v>
      </c>
      <c r="B15455" t="s">
        <v>10583</v>
      </c>
      <c r="C15455" t="s">
        <v>10582</v>
      </c>
      <c r="D15455" t="s">
        <v>10584</v>
      </c>
      <c r="E15455" t="s">
        <v>10585</v>
      </c>
      <c r="F15455" t="s">
        <v>3546</v>
      </c>
      <c r="G15455" t="s">
        <v>47093</v>
      </c>
      <c r="H15455" t="s">
        <v>47153</v>
      </c>
      <c r="I15455" t="s">
        <v>47132</v>
      </c>
      <c r="J15455" t="s">
        <v>47133</v>
      </c>
      <c r="K15455" t="s">
        <v>47113</v>
      </c>
      <c r="L15455">
        <v>38.71</v>
      </c>
      <c r="M15455">
        <v>75</v>
      </c>
      <c r="N15455">
        <v>0</v>
      </c>
      <c r="O15455">
        <v>75</v>
      </c>
      <c r="P15455">
        <v>0</v>
      </c>
    </row>
    <row r="15456" spans="1:16" x14ac:dyDescent="0.25">
      <c r="A15456" t="s">
        <v>38124</v>
      </c>
      <c r="B15456" t="s">
        <v>10586</v>
      </c>
      <c r="C15456" t="s">
        <v>10582</v>
      </c>
      <c r="D15456" t="s">
        <v>10572</v>
      </c>
      <c r="E15456" t="s">
        <v>10573</v>
      </c>
      <c r="F15456" t="s">
        <v>3546</v>
      </c>
      <c r="G15456" t="s">
        <v>47093</v>
      </c>
      <c r="H15456" t="s">
        <v>47153</v>
      </c>
      <c r="I15456" t="s">
        <v>47132</v>
      </c>
      <c r="J15456" t="s">
        <v>47133</v>
      </c>
      <c r="K15456" t="s">
        <v>47113</v>
      </c>
      <c r="L15456">
        <v>44.05</v>
      </c>
      <c r="M15456">
        <v>82</v>
      </c>
      <c r="N15456">
        <v>0</v>
      </c>
      <c r="O15456">
        <v>82</v>
      </c>
      <c r="P15456">
        <v>0</v>
      </c>
    </row>
    <row r="15457" spans="1:16" x14ac:dyDescent="0.25">
      <c r="A15457" t="s">
        <v>38125</v>
      </c>
      <c r="B15457" t="s">
        <v>10587</v>
      </c>
      <c r="C15457" t="s">
        <v>10582</v>
      </c>
      <c r="D15457" t="s">
        <v>10576</v>
      </c>
      <c r="E15457" t="s">
        <v>10577</v>
      </c>
      <c r="F15457" t="s">
        <v>3546</v>
      </c>
      <c r="G15457" t="s">
        <v>47093</v>
      </c>
      <c r="H15457" t="s">
        <v>47153</v>
      </c>
      <c r="I15457" t="s">
        <v>47132</v>
      </c>
      <c r="J15457" t="s">
        <v>47133</v>
      </c>
      <c r="K15457" t="s">
        <v>47113</v>
      </c>
      <c r="L15457">
        <v>34.61</v>
      </c>
      <c r="M15457">
        <v>68</v>
      </c>
      <c r="N15457">
        <v>0</v>
      </c>
      <c r="O15457">
        <v>68</v>
      </c>
      <c r="P15457">
        <v>0</v>
      </c>
    </row>
    <row r="15458" spans="1:16" x14ac:dyDescent="0.25">
      <c r="A15458" t="s">
        <v>38126</v>
      </c>
      <c r="B15458" t="s">
        <v>10588</v>
      </c>
      <c r="C15458" t="s">
        <v>10589</v>
      </c>
      <c r="D15458" t="s">
        <v>10590</v>
      </c>
      <c r="E15458" t="s">
        <v>10591</v>
      </c>
      <c r="F15458" t="s">
        <v>3546</v>
      </c>
      <c r="G15458" t="s">
        <v>47093</v>
      </c>
      <c r="H15458" t="s">
        <v>47153</v>
      </c>
      <c r="I15458" t="s">
        <v>47132</v>
      </c>
      <c r="J15458" t="s">
        <v>47133</v>
      </c>
      <c r="K15458" t="s">
        <v>47113</v>
      </c>
      <c r="L15458">
        <v>48.1</v>
      </c>
      <c r="M15458">
        <v>90</v>
      </c>
      <c r="N15458">
        <v>0</v>
      </c>
      <c r="O15458">
        <v>90</v>
      </c>
      <c r="P15458">
        <v>0</v>
      </c>
    </row>
    <row r="15459" spans="1:16" x14ac:dyDescent="0.25">
      <c r="A15459" t="s">
        <v>38127</v>
      </c>
      <c r="B15459" t="s">
        <v>10592</v>
      </c>
      <c r="C15459" t="s">
        <v>10593</v>
      </c>
      <c r="D15459" t="s">
        <v>10594</v>
      </c>
      <c r="E15459" t="s">
        <v>10595</v>
      </c>
      <c r="F15459" t="s">
        <v>3546</v>
      </c>
      <c r="G15459" t="s">
        <v>47093</v>
      </c>
      <c r="H15459" t="s">
        <v>47153</v>
      </c>
      <c r="I15459" t="s">
        <v>47132</v>
      </c>
      <c r="J15459" t="s">
        <v>47133</v>
      </c>
      <c r="K15459" t="s">
        <v>47113</v>
      </c>
      <c r="L15459">
        <v>48.69</v>
      </c>
      <c r="M15459">
        <v>92</v>
      </c>
      <c r="N15459">
        <v>0</v>
      </c>
      <c r="O15459">
        <v>92</v>
      </c>
      <c r="P15459">
        <v>0</v>
      </c>
    </row>
    <row r="15460" spans="1:16" x14ac:dyDescent="0.25">
      <c r="A15460" t="s">
        <v>38128</v>
      </c>
      <c r="B15460" t="s">
        <v>10592</v>
      </c>
      <c r="C15460" t="s">
        <v>10593</v>
      </c>
      <c r="D15460" t="s">
        <v>10561</v>
      </c>
      <c r="E15460" t="s">
        <v>10562</v>
      </c>
      <c r="F15460" t="s">
        <v>3546</v>
      </c>
      <c r="G15460" t="s">
        <v>47093</v>
      </c>
      <c r="H15460" t="s">
        <v>47153</v>
      </c>
      <c r="I15460" t="s">
        <v>47132</v>
      </c>
      <c r="J15460" t="s">
        <v>47133</v>
      </c>
      <c r="K15460" t="s">
        <v>47113</v>
      </c>
      <c r="L15460">
        <v>45.75</v>
      </c>
      <c r="M15460">
        <v>85</v>
      </c>
      <c r="N15460">
        <v>0</v>
      </c>
      <c r="O15460">
        <v>85</v>
      </c>
      <c r="P15460">
        <v>0</v>
      </c>
    </row>
    <row r="15461" spans="1:16" x14ac:dyDescent="0.25">
      <c r="A15461" t="s">
        <v>38129</v>
      </c>
      <c r="B15461" t="s">
        <v>10596</v>
      </c>
      <c r="C15461" t="s">
        <v>10597</v>
      </c>
      <c r="D15461" t="s">
        <v>4123</v>
      </c>
      <c r="E15461" t="s">
        <v>4124</v>
      </c>
      <c r="F15461" t="s">
        <v>3546</v>
      </c>
      <c r="G15461" t="s">
        <v>47093</v>
      </c>
      <c r="H15461" t="s">
        <v>47153</v>
      </c>
      <c r="I15461" t="s">
        <v>47132</v>
      </c>
      <c r="J15461" t="s">
        <v>47133</v>
      </c>
      <c r="K15461" t="s">
        <v>47113</v>
      </c>
      <c r="L15461">
        <v>55.72</v>
      </c>
      <c r="M15461">
        <v>100</v>
      </c>
      <c r="N15461">
        <v>0</v>
      </c>
      <c r="O15461">
        <v>100</v>
      </c>
      <c r="P15461">
        <v>0</v>
      </c>
    </row>
    <row r="15462" spans="1:16" x14ac:dyDescent="0.25">
      <c r="A15462" t="s">
        <v>38130</v>
      </c>
      <c r="B15462" t="s">
        <v>10598</v>
      </c>
      <c r="C15462" t="s">
        <v>10599</v>
      </c>
      <c r="D15462" t="s">
        <v>10568</v>
      </c>
      <c r="E15462" t="s">
        <v>10569</v>
      </c>
      <c r="F15462" t="s">
        <v>3546</v>
      </c>
      <c r="G15462" t="s">
        <v>47093</v>
      </c>
      <c r="H15462" t="s">
        <v>47153</v>
      </c>
      <c r="I15462" t="s">
        <v>47132</v>
      </c>
      <c r="J15462" t="s">
        <v>47133</v>
      </c>
      <c r="K15462" t="s">
        <v>47113</v>
      </c>
      <c r="L15462">
        <v>49.85</v>
      </c>
      <c r="M15462">
        <v>90</v>
      </c>
      <c r="N15462">
        <v>0</v>
      </c>
      <c r="O15462">
        <v>90</v>
      </c>
      <c r="P15462">
        <v>0</v>
      </c>
    </row>
    <row r="15463" spans="1:16" x14ac:dyDescent="0.25">
      <c r="A15463" t="s">
        <v>38131</v>
      </c>
      <c r="B15463" t="s">
        <v>10600</v>
      </c>
      <c r="C15463" t="s">
        <v>10601</v>
      </c>
      <c r="D15463" t="s">
        <v>10602</v>
      </c>
      <c r="E15463" t="s">
        <v>10603</v>
      </c>
      <c r="F15463" t="s">
        <v>3546</v>
      </c>
      <c r="G15463" t="s">
        <v>47093</v>
      </c>
      <c r="H15463" t="s">
        <v>47153</v>
      </c>
      <c r="I15463" t="s">
        <v>47132</v>
      </c>
      <c r="J15463" t="s">
        <v>47133</v>
      </c>
      <c r="K15463" t="s">
        <v>47113</v>
      </c>
      <c r="L15463">
        <v>50.44</v>
      </c>
      <c r="M15463">
        <v>95</v>
      </c>
      <c r="N15463">
        <v>0</v>
      </c>
      <c r="O15463">
        <v>95</v>
      </c>
      <c r="P15463">
        <v>0</v>
      </c>
    </row>
    <row r="15464" spans="1:16" x14ac:dyDescent="0.25">
      <c r="A15464" t="s">
        <v>38132</v>
      </c>
      <c r="B15464" t="s">
        <v>10604</v>
      </c>
      <c r="C15464" t="s">
        <v>10601</v>
      </c>
      <c r="D15464" t="s">
        <v>10576</v>
      </c>
      <c r="E15464" t="s">
        <v>10577</v>
      </c>
      <c r="F15464" t="s">
        <v>3546</v>
      </c>
      <c r="G15464" t="s">
        <v>47093</v>
      </c>
      <c r="H15464" t="s">
        <v>47153</v>
      </c>
      <c r="I15464" t="s">
        <v>47132</v>
      </c>
      <c r="J15464" t="s">
        <v>47133</v>
      </c>
      <c r="K15464" t="s">
        <v>47113</v>
      </c>
      <c r="L15464">
        <v>34.61</v>
      </c>
      <c r="M15464">
        <v>68</v>
      </c>
      <c r="N15464">
        <v>0</v>
      </c>
      <c r="O15464">
        <v>68</v>
      </c>
      <c r="P15464">
        <v>0</v>
      </c>
    </row>
    <row r="15465" spans="1:16" x14ac:dyDescent="0.25">
      <c r="A15465" t="s">
        <v>38133</v>
      </c>
      <c r="B15465" t="s">
        <v>10605</v>
      </c>
      <c r="C15465" t="s">
        <v>10606</v>
      </c>
      <c r="D15465" t="s">
        <v>10590</v>
      </c>
      <c r="E15465" t="s">
        <v>10591</v>
      </c>
      <c r="F15465" t="s">
        <v>3546</v>
      </c>
      <c r="G15465" t="s">
        <v>47093</v>
      </c>
      <c r="H15465" t="s">
        <v>47153</v>
      </c>
      <c r="I15465" t="s">
        <v>47132</v>
      </c>
      <c r="J15465" t="s">
        <v>47133</v>
      </c>
      <c r="K15465" t="s">
        <v>47113</v>
      </c>
      <c r="L15465">
        <v>48.1</v>
      </c>
      <c r="M15465">
        <v>90</v>
      </c>
      <c r="N15465">
        <v>0</v>
      </c>
      <c r="O15465">
        <v>90</v>
      </c>
      <c r="P15465">
        <v>0</v>
      </c>
    </row>
    <row r="15466" spans="1:16" x14ac:dyDescent="0.25">
      <c r="A15466" t="s">
        <v>38134</v>
      </c>
      <c r="B15466" t="s">
        <v>10607</v>
      </c>
      <c r="C15466" t="s">
        <v>10606</v>
      </c>
      <c r="D15466" t="s">
        <v>10584</v>
      </c>
      <c r="E15466" t="s">
        <v>10585</v>
      </c>
      <c r="F15466" t="s">
        <v>3546</v>
      </c>
      <c r="G15466" t="s">
        <v>47093</v>
      </c>
      <c r="H15466" t="s">
        <v>47153</v>
      </c>
      <c r="I15466" t="s">
        <v>47132</v>
      </c>
      <c r="J15466" t="s">
        <v>47133</v>
      </c>
      <c r="K15466" t="s">
        <v>47113</v>
      </c>
      <c r="L15466">
        <v>38.71</v>
      </c>
      <c r="M15466">
        <v>75</v>
      </c>
      <c r="N15466">
        <v>0</v>
      </c>
      <c r="O15466">
        <v>75</v>
      </c>
      <c r="P15466">
        <v>0</v>
      </c>
    </row>
    <row r="15467" spans="1:16" x14ac:dyDescent="0.25">
      <c r="A15467" t="s">
        <v>38135</v>
      </c>
      <c r="B15467" t="s">
        <v>10608</v>
      </c>
      <c r="C15467" t="s">
        <v>10606</v>
      </c>
      <c r="D15467" t="s">
        <v>10568</v>
      </c>
      <c r="E15467" t="s">
        <v>10569</v>
      </c>
      <c r="F15467" t="s">
        <v>3546</v>
      </c>
      <c r="G15467" t="s">
        <v>47093</v>
      </c>
      <c r="H15467" t="s">
        <v>47153</v>
      </c>
      <c r="I15467" t="s">
        <v>47132</v>
      </c>
      <c r="J15467" t="s">
        <v>47133</v>
      </c>
      <c r="K15467" t="s">
        <v>47113</v>
      </c>
      <c r="L15467">
        <v>48.1</v>
      </c>
      <c r="M15467">
        <v>90</v>
      </c>
      <c r="N15467">
        <v>0</v>
      </c>
      <c r="O15467">
        <v>90</v>
      </c>
      <c r="P15467">
        <v>0</v>
      </c>
    </row>
    <row r="15468" spans="1:16" x14ac:dyDescent="0.25">
      <c r="A15468" t="s">
        <v>38136</v>
      </c>
      <c r="B15468" t="s">
        <v>10609</v>
      </c>
      <c r="C15468" t="s">
        <v>10606</v>
      </c>
      <c r="D15468" t="s">
        <v>10561</v>
      </c>
      <c r="E15468" t="s">
        <v>10562</v>
      </c>
      <c r="F15468" t="s">
        <v>3546</v>
      </c>
      <c r="G15468" t="s">
        <v>47093</v>
      </c>
      <c r="H15468" t="s">
        <v>47153</v>
      </c>
      <c r="I15468" t="s">
        <v>47132</v>
      </c>
      <c r="J15468" t="s">
        <v>47133</v>
      </c>
      <c r="K15468" t="s">
        <v>47113</v>
      </c>
      <c r="L15468">
        <v>45.75</v>
      </c>
      <c r="M15468">
        <v>85</v>
      </c>
      <c r="N15468">
        <v>0</v>
      </c>
      <c r="O15468">
        <v>85</v>
      </c>
      <c r="P15468">
        <v>0</v>
      </c>
    </row>
    <row r="15469" spans="1:16" x14ac:dyDescent="0.25">
      <c r="A15469" t="s">
        <v>38137</v>
      </c>
      <c r="B15469" t="s">
        <v>10610</v>
      </c>
      <c r="C15469" t="s">
        <v>10606</v>
      </c>
      <c r="D15469" t="s">
        <v>10611</v>
      </c>
      <c r="E15469" t="s">
        <v>10612</v>
      </c>
      <c r="F15469" t="s">
        <v>3546</v>
      </c>
      <c r="G15469" t="s">
        <v>47093</v>
      </c>
      <c r="H15469" t="s">
        <v>47153</v>
      </c>
      <c r="I15469" t="s">
        <v>47132</v>
      </c>
      <c r="J15469" t="s">
        <v>47133</v>
      </c>
      <c r="K15469" t="s">
        <v>47113</v>
      </c>
      <c r="L15469">
        <v>48.1</v>
      </c>
      <c r="M15469">
        <v>90</v>
      </c>
      <c r="N15469">
        <v>0</v>
      </c>
      <c r="O15469">
        <v>90</v>
      </c>
      <c r="P15469">
        <v>0</v>
      </c>
    </row>
    <row r="15470" spans="1:16" x14ac:dyDescent="0.25">
      <c r="A15470" t="s">
        <v>38138</v>
      </c>
      <c r="B15470" t="s">
        <v>10613</v>
      </c>
      <c r="C15470" t="s">
        <v>10614</v>
      </c>
      <c r="D15470" t="s">
        <v>10590</v>
      </c>
      <c r="E15470" t="s">
        <v>10591</v>
      </c>
      <c r="F15470" t="s">
        <v>3546</v>
      </c>
      <c r="G15470" t="s">
        <v>47093</v>
      </c>
      <c r="H15470" t="s">
        <v>47153</v>
      </c>
      <c r="I15470" t="s">
        <v>47132</v>
      </c>
      <c r="J15470" t="s">
        <v>47133</v>
      </c>
      <c r="K15470" t="s">
        <v>47113</v>
      </c>
      <c r="L15470">
        <v>48.1</v>
      </c>
      <c r="M15470">
        <v>90</v>
      </c>
      <c r="N15470">
        <v>0</v>
      </c>
      <c r="O15470">
        <v>90</v>
      </c>
      <c r="P15470">
        <v>0</v>
      </c>
    </row>
    <row r="15471" spans="1:16" x14ac:dyDescent="0.25">
      <c r="A15471" t="s">
        <v>38139</v>
      </c>
      <c r="B15471" t="s">
        <v>10615</v>
      </c>
      <c r="C15471" t="s">
        <v>10614</v>
      </c>
      <c r="D15471" t="s">
        <v>10584</v>
      </c>
      <c r="E15471" t="s">
        <v>10585</v>
      </c>
      <c r="F15471" t="s">
        <v>3546</v>
      </c>
      <c r="G15471" t="s">
        <v>47093</v>
      </c>
      <c r="H15471" t="s">
        <v>47153</v>
      </c>
      <c r="I15471" t="s">
        <v>47132</v>
      </c>
      <c r="J15471" t="s">
        <v>47133</v>
      </c>
      <c r="K15471" t="s">
        <v>47113</v>
      </c>
      <c r="L15471">
        <v>38.71</v>
      </c>
      <c r="M15471">
        <v>75</v>
      </c>
      <c r="N15471">
        <v>0</v>
      </c>
      <c r="O15471">
        <v>75</v>
      </c>
      <c r="P15471">
        <v>0</v>
      </c>
    </row>
    <row r="15472" spans="1:16" x14ac:dyDescent="0.25">
      <c r="A15472" t="s">
        <v>38140</v>
      </c>
      <c r="B15472" t="s">
        <v>10616</v>
      </c>
      <c r="C15472" t="s">
        <v>10614</v>
      </c>
      <c r="D15472" t="s">
        <v>10556</v>
      </c>
      <c r="E15472" t="s">
        <v>10557</v>
      </c>
      <c r="F15472" t="s">
        <v>3546</v>
      </c>
      <c r="G15472" t="s">
        <v>47093</v>
      </c>
      <c r="H15472" t="s">
        <v>47153</v>
      </c>
      <c r="I15472" t="s">
        <v>47132</v>
      </c>
      <c r="J15472" t="s">
        <v>47133</v>
      </c>
      <c r="K15472" t="s">
        <v>47113</v>
      </c>
      <c r="L15472">
        <v>57.24</v>
      </c>
      <c r="M15472">
        <v>98</v>
      </c>
      <c r="N15472">
        <v>0</v>
      </c>
      <c r="O15472">
        <v>98</v>
      </c>
      <c r="P15472">
        <v>0</v>
      </c>
    </row>
    <row r="15473" spans="1:16" x14ac:dyDescent="0.25">
      <c r="A15473" t="s">
        <v>38141</v>
      </c>
      <c r="B15473" t="s">
        <v>10616</v>
      </c>
      <c r="C15473" t="s">
        <v>10614</v>
      </c>
      <c r="D15473" t="s">
        <v>10602</v>
      </c>
      <c r="E15473" t="s">
        <v>10603</v>
      </c>
      <c r="F15473" t="s">
        <v>3546</v>
      </c>
      <c r="G15473" t="s">
        <v>47093</v>
      </c>
      <c r="H15473" t="s">
        <v>47153</v>
      </c>
      <c r="I15473" t="s">
        <v>47132</v>
      </c>
      <c r="J15473" t="s">
        <v>47133</v>
      </c>
      <c r="K15473" t="s">
        <v>47113</v>
      </c>
      <c r="L15473">
        <v>50.44</v>
      </c>
      <c r="M15473">
        <v>95</v>
      </c>
      <c r="N15473">
        <v>0</v>
      </c>
      <c r="O15473">
        <v>95</v>
      </c>
      <c r="P15473">
        <v>0</v>
      </c>
    </row>
    <row r="15474" spans="1:16" x14ac:dyDescent="0.25">
      <c r="A15474" t="s">
        <v>38142</v>
      </c>
      <c r="B15474" t="s">
        <v>10617</v>
      </c>
      <c r="C15474" t="s">
        <v>10614</v>
      </c>
      <c r="D15474" t="s">
        <v>10594</v>
      </c>
      <c r="E15474" t="s">
        <v>10595</v>
      </c>
      <c r="F15474" t="s">
        <v>3546</v>
      </c>
      <c r="G15474" t="s">
        <v>47093</v>
      </c>
      <c r="H15474" t="s">
        <v>47153</v>
      </c>
      <c r="I15474" t="s">
        <v>47132</v>
      </c>
      <c r="J15474" t="s">
        <v>47133</v>
      </c>
      <c r="K15474" t="s">
        <v>47113</v>
      </c>
      <c r="L15474">
        <v>48.92</v>
      </c>
      <c r="M15474">
        <v>92</v>
      </c>
      <c r="N15474">
        <v>0</v>
      </c>
      <c r="O15474">
        <v>92</v>
      </c>
      <c r="P15474">
        <v>0</v>
      </c>
    </row>
    <row r="15475" spans="1:16" x14ac:dyDescent="0.25">
      <c r="A15475" t="s">
        <v>38143</v>
      </c>
      <c r="B15475" t="s">
        <v>10618</v>
      </c>
      <c r="C15475" t="s">
        <v>10614</v>
      </c>
      <c r="D15475" t="s">
        <v>10611</v>
      </c>
      <c r="E15475" t="s">
        <v>10612</v>
      </c>
      <c r="F15475" t="s">
        <v>3546</v>
      </c>
      <c r="G15475" t="s">
        <v>47093</v>
      </c>
      <c r="H15475" t="s">
        <v>47153</v>
      </c>
      <c r="I15475" t="s">
        <v>47132</v>
      </c>
      <c r="J15475" t="s">
        <v>47133</v>
      </c>
      <c r="K15475" t="s">
        <v>47113</v>
      </c>
      <c r="L15475">
        <v>48.1</v>
      </c>
      <c r="M15475">
        <v>90</v>
      </c>
      <c r="N15475">
        <v>0</v>
      </c>
      <c r="O15475">
        <v>90</v>
      </c>
      <c r="P15475">
        <v>0</v>
      </c>
    </row>
    <row r="15476" spans="1:16" x14ac:dyDescent="0.25">
      <c r="A15476" t="s">
        <v>38144</v>
      </c>
      <c r="B15476" t="s">
        <v>10619</v>
      </c>
      <c r="C15476" t="s">
        <v>10620</v>
      </c>
      <c r="D15476" t="s">
        <v>3919</v>
      </c>
      <c r="E15476" t="s">
        <v>3920</v>
      </c>
      <c r="F15476" t="s">
        <v>3546</v>
      </c>
      <c r="G15476" t="s">
        <v>47093</v>
      </c>
      <c r="H15476" t="s">
        <v>47153</v>
      </c>
      <c r="I15476" t="s">
        <v>47132</v>
      </c>
      <c r="J15476" t="s">
        <v>47133</v>
      </c>
      <c r="K15476" t="s">
        <v>47113</v>
      </c>
      <c r="L15476">
        <v>49.85</v>
      </c>
      <c r="M15476">
        <v>92</v>
      </c>
      <c r="N15476">
        <v>0</v>
      </c>
      <c r="O15476">
        <v>92</v>
      </c>
      <c r="P15476">
        <v>0</v>
      </c>
    </row>
    <row r="15477" spans="1:16" x14ac:dyDescent="0.25">
      <c r="A15477" t="s">
        <v>38145</v>
      </c>
      <c r="B15477" t="s">
        <v>10621</v>
      </c>
      <c r="C15477" t="s">
        <v>10622</v>
      </c>
      <c r="D15477" t="str">
        <f>"1106"</f>
        <v>1106</v>
      </c>
      <c r="E15477" t="s">
        <v>460</v>
      </c>
      <c r="F15477" t="s">
        <v>3546</v>
      </c>
      <c r="G15477" t="s">
        <v>47096</v>
      </c>
      <c r="H15477" t="s">
        <v>47126</v>
      </c>
      <c r="I15477" t="s">
        <v>47127</v>
      </c>
      <c r="J15477" t="s">
        <v>47128</v>
      </c>
      <c r="K15477" t="s">
        <v>47113</v>
      </c>
      <c r="L15477">
        <v>22.12</v>
      </c>
      <c r="M15477">
        <v>54</v>
      </c>
      <c r="N15477">
        <v>0</v>
      </c>
      <c r="O15477">
        <v>54</v>
      </c>
      <c r="P15477">
        <v>0</v>
      </c>
    </row>
    <row r="15478" spans="1:16" x14ac:dyDescent="0.25">
      <c r="A15478" t="s">
        <v>38146</v>
      </c>
      <c r="B15478" t="s">
        <v>10621</v>
      </c>
      <c r="C15478" t="s">
        <v>10622</v>
      </c>
      <c r="D15478" t="str">
        <f>"1369"</f>
        <v>1369</v>
      </c>
      <c r="E15478" t="s">
        <v>4163</v>
      </c>
      <c r="F15478" t="s">
        <v>3546</v>
      </c>
      <c r="G15478" t="s">
        <v>47096</v>
      </c>
      <c r="H15478" t="s">
        <v>47126</v>
      </c>
      <c r="I15478" t="s">
        <v>47127</v>
      </c>
      <c r="J15478" t="s">
        <v>47128</v>
      </c>
      <c r="K15478" t="s">
        <v>47113</v>
      </c>
      <c r="L15478">
        <v>22.12</v>
      </c>
      <c r="M15478">
        <v>54</v>
      </c>
      <c r="N15478">
        <v>0</v>
      </c>
      <c r="O15478">
        <v>54</v>
      </c>
      <c r="P15478">
        <v>0</v>
      </c>
    </row>
    <row r="15479" spans="1:16" x14ac:dyDescent="0.25">
      <c r="A15479" t="s">
        <v>38147</v>
      </c>
      <c r="B15479" t="s">
        <v>10621</v>
      </c>
      <c r="C15479" t="s">
        <v>10622</v>
      </c>
      <c r="D15479" t="str">
        <f>"1378"</f>
        <v>1378</v>
      </c>
      <c r="E15479" t="s">
        <v>388</v>
      </c>
      <c r="F15479" t="s">
        <v>3546</v>
      </c>
      <c r="G15479" t="s">
        <v>47096</v>
      </c>
      <c r="H15479" t="s">
        <v>47126</v>
      </c>
      <c r="I15479" t="s">
        <v>47127</v>
      </c>
      <c r="J15479" t="s">
        <v>47128</v>
      </c>
      <c r="K15479" t="s">
        <v>47113</v>
      </c>
      <c r="L15479">
        <v>22.12</v>
      </c>
      <c r="M15479">
        <v>54</v>
      </c>
      <c r="N15479">
        <v>0</v>
      </c>
      <c r="O15479">
        <v>54</v>
      </c>
      <c r="P15479">
        <v>0</v>
      </c>
    </row>
    <row r="15480" spans="1:16" x14ac:dyDescent="0.25">
      <c r="A15480" t="s">
        <v>38148</v>
      </c>
      <c r="B15480" t="s">
        <v>10621</v>
      </c>
      <c r="C15480" t="s">
        <v>10622</v>
      </c>
      <c r="D15480" t="str">
        <f>"1403"</f>
        <v>1403</v>
      </c>
      <c r="E15480" t="s">
        <v>224</v>
      </c>
      <c r="F15480" t="s">
        <v>3546</v>
      </c>
      <c r="G15480" t="s">
        <v>47096</v>
      </c>
      <c r="H15480" t="s">
        <v>47126</v>
      </c>
      <c r="I15480" t="s">
        <v>47127</v>
      </c>
      <c r="J15480" t="s">
        <v>47128</v>
      </c>
      <c r="K15480" t="s">
        <v>47113</v>
      </c>
      <c r="L15480">
        <v>22.12</v>
      </c>
      <c r="M15480">
        <v>54</v>
      </c>
      <c r="N15480">
        <v>0</v>
      </c>
      <c r="O15480">
        <v>54</v>
      </c>
      <c r="P15480">
        <v>0</v>
      </c>
    </row>
    <row r="15481" spans="1:16" x14ac:dyDescent="0.25">
      <c r="A15481" t="s">
        <v>38149</v>
      </c>
      <c r="B15481" t="s">
        <v>10621</v>
      </c>
      <c r="C15481" t="s">
        <v>10622</v>
      </c>
      <c r="D15481" t="str">
        <f>"1500"</f>
        <v>1500</v>
      </c>
      <c r="E15481" t="s">
        <v>4160</v>
      </c>
      <c r="F15481" t="s">
        <v>3546</v>
      </c>
      <c r="G15481" t="s">
        <v>47096</v>
      </c>
      <c r="H15481" t="s">
        <v>47126</v>
      </c>
      <c r="I15481" t="s">
        <v>47127</v>
      </c>
      <c r="J15481" t="s">
        <v>47128</v>
      </c>
      <c r="K15481" t="s">
        <v>47113</v>
      </c>
      <c r="L15481">
        <v>22.12</v>
      </c>
      <c r="M15481">
        <v>54</v>
      </c>
      <c r="N15481">
        <v>0</v>
      </c>
      <c r="O15481">
        <v>54</v>
      </c>
      <c r="P15481">
        <v>0</v>
      </c>
    </row>
    <row r="15482" spans="1:16" x14ac:dyDescent="0.25">
      <c r="A15482" t="s">
        <v>38150</v>
      </c>
      <c r="B15482" t="s">
        <v>10621</v>
      </c>
      <c r="C15482" t="s">
        <v>10622</v>
      </c>
      <c r="D15482" t="str">
        <f>"3544"</f>
        <v>3544</v>
      </c>
      <c r="E15482" t="s">
        <v>4174</v>
      </c>
      <c r="F15482" t="s">
        <v>3546</v>
      </c>
      <c r="G15482" t="s">
        <v>47096</v>
      </c>
      <c r="H15482" t="s">
        <v>47126</v>
      </c>
      <c r="I15482" t="s">
        <v>47127</v>
      </c>
      <c r="J15482" t="s">
        <v>47128</v>
      </c>
      <c r="K15482" t="s">
        <v>47113</v>
      </c>
      <c r="L15482">
        <v>22.12</v>
      </c>
      <c r="M15482">
        <v>54</v>
      </c>
      <c r="N15482">
        <v>0</v>
      </c>
      <c r="O15482">
        <v>54</v>
      </c>
      <c r="P15482">
        <v>0</v>
      </c>
    </row>
    <row r="15483" spans="1:16" x14ac:dyDescent="0.25">
      <c r="A15483" t="s">
        <v>38151</v>
      </c>
      <c r="B15483" t="s">
        <v>10621</v>
      </c>
      <c r="C15483" t="s">
        <v>10622</v>
      </c>
      <c r="D15483" t="str">
        <f>"4921"</f>
        <v>4921</v>
      </c>
      <c r="E15483" t="s">
        <v>4156</v>
      </c>
      <c r="F15483" t="s">
        <v>3546</v>
      </c>
      <c r="G15483" t="s">
        <v>47096</v>
      </c>
      <c r="H15483" t="s">
        <v>47126</v>
      </c>
      <c r="I15483" t="s">
        <v>47127</v>
      </c>
      <c r="J15483" t="s">
        <v>47128</v>
      </c>
      <c r="K15483" t="s">
        <v>47113</v>
      </c>
      <c r="L15483">
        <v>22.12</v>
      </c>
      <c r="M15483">
        <v>54</v>
      </c>
      <c r="N15483">
        <v>0</v>
      </c>
      <c r="O15483">
        <v>54</v>
      </c>
      <c r="P15483">
        <v>0</v>
      </c>
    </row>
    <row r="15484" spans="1:16" x14ac:dyDescent="0.25">
      <c r="A15484" t="s">
        <v>38152</v>
      </c>
      <c r="B15484" t="s">
        <v>10621</v>
      </c>
      <c r="C15484" t="s">
        <v>10622</v>
      </c>
      <c r="D15484" t="str">
        <f>"4922"</f>
        <v>4922</v>
      </c>
      <c r="E15484" t="s">
        <v>4175</v>
      </c>
      <c r="F15484" t="s">
        <v>3546</v>
      </c>
      <c r="G15484" t="s">
        <v>47096</v>
      </c>
      <c r="H15484" t="s">
        <v>47126</v>
      </c>
      <c r="I15484" t="s">
        <v>47127</v>
      </c>
      <c r="J15484" t="s">
        <v>47128</v>
      </c>
      <c r="K15484" t="s">
        <v>47113</v>
      </c>
      <c r="L15484">
        <v>22.12</v>
      </c>
      <c r="M15484">
        <v>54</v>
      </c>
      <c r="N15484">
        <v>0</v>
      </c>
      <c r="O15484">
        <v>54</v>
      </c>
      <c r="P15484">
        <v>0</v>
      </c>
    </row>
    <row r="15485" spans="1:16" x14ac:dyDescent="0.25">
      <c r="A15485" t="s">
        <v>38153</v>
      </c>
      <c r="B15485" t="s">
        <v>10621</v>
      </c>
      <c r="C15485" t="s">
        <v>10622</v>
      </c>
      <c r="D15485" t="str">
        <f>"6064"</f>
        <v>6064</v>
      </c>
      <c r="E15485" t="s">
        <v>87</v>
      </c>
      <c r="F15485" t="s">
        <v>3546</v>
      </c>
      <c r="G15485" t="s">
        <v>47096</v>
      </c>
      <c r="H15485" t="s">
        <v>47126</v>
      </c>
      <c r="I15485" t="s">
        <v>47127</v>
      </c>
      <c r="J15485" t="s">
        <v>47128</v>
      </c>
      <c r="K15485" t="s">
        <v>47113</v>
      </c>
      <c r="L15485">
        <v>22.12</v>
      </c>
      <c r="M15485">
        <v>54</v>
      </c>
      <c r="N15485">
        <v>0</v>
      </c>
      <c r="O15485">
        <v>54</v>
      </c>
      <c r="P15485">
        <v>0</v>
      </c>
    </row>
    <row r="15486" spans="1:16" x14ac:dyDescent="0.25">
      <c r="A15486" t="s">
        <v>38154</v>
      </c>
      <c r="B15486" t="s">
        <v>10621</v>
      </c>
      <c r="C15486" t="s">
        <v>10622</v>
      </c>
      <c r="D15486" t="str">
        <f>"6082"</f>
        <v>6082</v>
      </c>
      <c r="E15486" t="s">
        <v>2154</v>
      </c>
      <c r="F15486" t="s">
        <v>3546</v>
      </c>
      <c r="G15486" t="s">
        <v>47096</v>
      </c>
      <c r="H15486" t="s">
        <v>47126</v>
      </c>
      <c r="I15486" t="s">
        <v>47127</v>
      </c>
      <c r="J15486" t="s">
        <v>47128</v>
      </c>
      <c r="K15486" t="s">
        <v>47113</v>
      </c>
      <c r="L15486">
        <v>22.12</v>
      </c>
      <c r="M15486">
        <v>54</v>
      </c>
      <c r="N15486">
        <v>0</v>
      </c>
      <c r="O15486">
        <v>54</v>
      </c>
      <c r="P15486">
        <v>0</v>
      </c>
    </row>
    <row r="15487" spans="1:16" x14ac:dyDescent="0.25">
      <c r="A15487" t="s">
        <v>38155</v>
      </c>
      <c r="B15487" t="s">
        <v>10623</v>
      </c>
      <c r="C15487" t="s">
        <v>10624</v>
      </c>
      <c r="D15487" t="str">
        <f>"1106"</f>
        <v>1106</v>
      </c>
      <c r="E15487" t="s">
        <v>460</v>
      </c>
      <c r="F15487" t="s">
        <v>3546</v>
      </c>
      <c r="G15487" t="s">
        <v>47096</v>
      </c>
      <c r="H15487" t="s">
        <v>47126</v>
      </c>
      <c r="I15487" t="s">
        <v>47127</v>
      </c>
      <c r="J15487" t="s">
        <v>47128</v>
      </c>
      <c r="K15487" t="s">
        <v>47113</v>
      </c>
      <c r="L15487">
        <v>23.32</v>
      </c>
      <c r="M15487">
        <v>57</v>
      </c>
      <c r="N15487">
        <v>0</v>
      </c>
      <c r="O15487">
        <v>57</v>
      </c>
      <c r="P15487">
        <v>0</v>
      </c>
    </row>
    <row r="15488" spans="1:16" x14ac:dyDescent="0.25">
      <c r="A15488" t="s">
        <v>38156</v>
      </c>
      <c r="B15488" t="s">
        <v>10623</v>
      </c>
      <c r="C15488" t="s">
        <v>10624</v>
      </c>
      <c r="D15488" t="str">
        <f>"1369"</f>
        <v>1369</v>
      </c>
      <c r="E15488" t="s">
        <v>4163</v>
      </c>
      <c r="F15488" t="s">
        <v>3546</v>
      </c>
      <c r="G15488" t="s">
        <v>47096</v>
      </c>
      <c r="H15488" t="s">
        <v>47126</v>
      </c>
      <c r="I15488" t="s">
        <v>47127</v>
      </c>
      <c r="J15488" t="s">
        <v>47128</v>
      </c>
      <c r="K15488" t="s">
        <v>47113</v>
      </c>
      <c r="L15488">
        <v>23.32</v>
      </c>
      <c r="M15488">
        <v>57</v>
      </c>
      <c r="N15488">
        <v>0</v>
      </c>
      <c r="O15488">
        <v>57</v>
      </c>
      <c r="P15488">
        <v>0</v>
      </c>
    </row>
    <row r="15489" spans="1:16" x14ac:dyDescent="0.25">
      <c r="A15489" t="s">
        <v>38157</v>
      </c>
      <c r="B15489" t="s">
        <v>10623</v>
      </c>
      <c r="C15489" t="s">
        <v>10624</v>
      </c>
      <c r="D15489" t="str">
        <f>"1378"</f>
        <v>1378</v>
      </c>
      <c r="E15489" t="s">
        <v>388</v>
      </c>
      <c r="F15489" t="s">
        <v>3546</v>
      </c>
      <c r="G15489" t="s">
        <v>47096</v>
      </c>
      <c r="H15489" t="s">
        <v>47126</v>
      </c>
      <c r="I15489" t="s">
        <v>47127</v>
      </c>
      <c r="J15489" t="s">
        <v>47128</v>
      </c>
      <c r="K15489" t="s">
        <v>47113</v>
      </c>
      <c r="L15489">
        <v>23.32</v>
      </c>
      <c r="M15489">
        <v>57</v>
      </c>
      <c r="N15489">
        <v>0</v>
      </c>
      <c r="O15489">
        <v>57</v>
      </c>
      <c r="P15489">
        <v>0</v>
      </c>
    </row>
    <row r="15490" spans="1:16" x14ac:dyDescent="0.25">
      <c r="A15490" t="s">
        <v>38158</v>
      </c>
      <c r="B15490" t="s">
        <v>10623</v>
      </c>
      <c r="C15490" t="s">
        <v>10624</v>
      </c>
      <c r="D15490" t="str">
        <f>"1403"</f>
        <v>1403</v>
      </c>
      <c r="E15490" t="s">
        <v>224</v>
      </c>
      <c r="F15490" t="s">
        <v>3546</v>
      </c>
      <c r="G15490" t="s">
        <v>47096</v>
      </c>
      <c r="H15490" t="s">
        <v>47126</v>
      </c>
      <c r="I15490" t="s">
        <v>47127</v>
      </c>
      <c r="J15490" t="s">
        <v>47128</v>
      </c>
      <c r="K15490" t="s">
        <v>47113</v>
      </c>
      <c r="L15490">
        <v>23.32</v>
      </c>
      <c r="M15490">
        <v>57</v>
      </c>
      <c r="N15490">
        <v>0</v>
      </c>
      <c r="O15490">
        <v>57</v>
      </c>
      <c r="P15490">
        <v>0</v>
      </c>
    </row>
    <row r="15491" spans="1:16" x14ac:dyDescent="0.25">
      <c r="A15491" t="s">
        <v>38159</v>
      </c>
      <c r="B15491" t="s">
        <v>10623</v>
      </c>
      <c r="C15491" t="s">
        <v>10624</v>
      </c>
      <c r="D15491" t="str">
        <f>"1500"</f>
        <v>1500</v>
      </c>
      <c r="E15491" t="s">
        <v>4160</v>
      </c>
      <c r="F15491" t="s">
        <v>3546</v>
      </c>
      <c r="G15491" t="s">
        <v>47096</v>
      </c>
      <c r="H15491" t="s">
        <v>47126</v>
      </c>
      <c r="I15491" t="s">
        <v>47127</v>
      </c>
      <c r="J15491" t="s">
        <v>47128</v>
      </c>
      <c r="K15491" t="s">
        <v>47113</v>
      </c>
      <c r="L15491">
        <v>23.32</v>
      </c>
      <c r="M15491">
        <v>57</v>
      </c>
      <c r="N15491">
        <v>0</v>
      </c>
      <c r="O15491">
        <v>57</v>
      </c>
      <c r="P15491">
        <v>0</v>
      </c>
    </row>
    <row r="15492" spans="1:16" x14ac:dyDescent="0.25">
      <c r="A15492" t="s">
        <v>38160</v>
      </c>
      <c r="B15492" t="s">
        <v>10623</v>
      </c>
      <c r="C15492" t="s">
        <v>10624</v>
      </c>
      <c r="D15492" t="str">
        <f>"3544"</f>
        <v>3544</v>
      </c>
      <c r="E15492" t="s">
        <v>4174</v>
      </c>
      <c r="F15492" t="s">
        <v>3546</v>
      </c>
      <c r="G15492" t="s">
        <v>47096</v>
      </c>
      <c r="H15492" t="s">
        <v>47126</v>
      </c>
      <c r="I15492" t="s">
        <v>47127</v>
      </c>
      <c r="J15492" t="s">
        <v>47128</v>
      </c>
      <c r="K15492" t="s">
        <v>47113</v>
      </c>
      <c r="L15492">
        <v>23.32</v>
      </c>
      <c r="M15492">
        <v>57</v>
      </c>
      <c r="N15492">
        <v>0</v>
      </c>
      <c r="O15492">
        <v>57</v>
      </c>
      <c r="P15492">
        <v>0</v>
      </c>
    </row>
    <row r="15493" spans="1:16" x14ac:dyDescent="0.25">
      <c r="A15493" t="s">
        <v>38161</v>
      </c>
      <c r="B15493" t="s">
        <v>10623</v>
      </c>
      <c r="C15493" t="s">
        <v>10624</v>
      </c>
      <c r="D15493" t="str">
        <f>"4921"</f>
        <v>4921</v>
      </c>
      <c r="E15493" t="s">
        <v>4156</v>
      </c>
      <c r="F15493" t="s">
        <v>3546</v>
      </c>
      <c r="G15493" t="s">
        <v>47096</v>
      </c>
      <c r="H15493" t="s">
        <v>47126</v>
      </c>
      <c r="I15493" t="s">
        <v>47127</v>
      </c>
      <c r="J15493" t="s">
        <v>47128</v>
      </c>
      <c r="K15493" t="s">
        <v>47113</v>
      </c>
      <c r="L15493">
        <v>23.32</v>
      </c>
      <c r="M15493">
        <v>57</v>
      </c>
      <c r="N15493">
        <v>0</v>
      </c>
      <c r="O15493">
        <v>57</v>
      </c>
      <c r="P15493">
        <v>0</v>
      </c>
    </row>
    <row r="15494" spans="1:16" x14ac:dyDescent="0.25">
      <c r="A15494" t="s">
        <v>38162</v>
      </c>
      <c r="B15494" t="s">
        <v>10623</v>
      </c>
      <c r="C15494" t="s">
        <v>10624</v>
      </c>
      <c r="D15494" t="str">
        <f>"4922"</f>
        <v>4922</v>
      </c>
      <c r="E15494" t="s">
        <v>4175</v>
      </c>
      <c r="F15494" t="s">
        <v>3546</v>
      </c>
      <c r="G15494" t="s">
        <v>47096</v>
      </c>
      <c r="H15494" t="s">
        <v>47126</v>
      </c>
      <c r="I15494" t="s">
        <v>47127</v>
      </c>
      <c r="J15494" t="s">
        <v>47128</v>
      </c>
      <c r="K15494" t="s">
        <v>47113</v>
      </c>
      <c r="L15494">
        <v>23.32</v>
      </c>
      <c r="M15494">
        <v>57</v>
      </c>
      <c r="N15494">
        <v>0</v>
      </c>
      <c r="O15494">
        <v>57</v>
      </c>
      <c r="P15494">
        <v>0</v>
      </c>
    </row>
    <row r="15495" spans="1:16" x14ac:dyDescent="0.25">
      <c r="A15495" t="s">
        <v>38163</v>
      </c>
      <c r="B15495" t="s">
        <v>10623</v>
      </c>
      <c r="C15495" t="s">
        <v>10624</v>
      </c>
      <c r="D15495" t="str">
        <f>"6064"</f>
        <v>6064</v>
      </c>
      <c r="E15495" t="s">
        <v>87</v>
      </c>
      <c r="F15495" t="s">
        <v>3546</v>
      </c>
      <c r="G15495" t="s">
        <v>47096</v>
      </c>
      <c r="H15495" t="s">
        <v>47126</v>
      </c>
      <c r="I15495" t="s">
        <v>47127</v>
      </c>
      <c r="J15495" t="s">
        <v>47128</v>
      </c>
      <c r="K15495" t="s">
        <v>47113</v>
      </c>
      <c r="L15495">
        <v>23.32</v>
      </c>
      <c r="M15495">
        <v>57</v>
      </c>
      <c r="N15495">
        <v>0</v>
      </c>
      <c r="O15495">
        <v>57</v>
      </c>
      <c r="P15495">
        <v>0</v>
      </c>
    </row>
    <row r="15496" spans="1:16" x14ac:dyDescent="0.25">
      <c r="A15496" t="s">
        <v>38164</v>
      </c>
      <c r="B15496" t="s">
        <v>10623</v>
      </c>
      <c r="C15496" t="s">
        <v>10624</v>
      </c>
      <c r="D15496" t="str">
        <f>"6082"</f>
        <v>6082</v>
      </c>
      <c r="E15496" t="s">
        <v>2154</v>
      </c>
      <c r="F15496" t="s">
        <v>3546</v>
      </c>
      <c r="G15496" t="s">
        <v>47096</v>
      </c>
      <c r="H15496" t="s">
        <v>47126</v>
      </c>
      <c r="I15496" t="s">
        <v>47127</v>
      </c>
      <c r="J15496" t="s">
        <v>47128</v>
      </c>
      <c r="K15496" t="s">
        <v>47113</v>
      </c>
      <c r="L15496">
        <v>23.32</v>
      </c>
      <c r="M15496">
        <v>57</v>
      </c>
      <c r="N15496">
        <v>0</v>
      </c>
      <c r="O15496">
        <v>57</v>
      </c>
      <c r="P15496">
        <v>0</v>
      </c>
    </row>
    <row r="15497" spans="1:16" x14ac:dyDescent="0.25">
      <c r="A15497" t="s">
        <v>38165</v>
      </c>
      <c r="B15497" t="s">
        <v>10625</v>
      </c>
      <c r="C15497" t="s">
        <v>10624</v>
      </c>
      <c r="D15497" t="str">
        <f>"1106"</f>
        <v>1106</v>
      </c>
      <c r="E15497" t="s">
        <v>460</v>
      </c>
      <c r="F15497" t="s">
        <v>3546</v>
      </c>
      <c r="G15497" t="s">
        <v>47096</v>
      </c>
      <c r="H15497" t="s">
        <v>47126</v>
      </c>
      <c r="I15497" t="s">
        <v>47127</v>
      </c>
      <c r="J15497" t="s">
        <v>47128</v>
      </c>
      <c r="K15497" t="s">
        <v>47113</v>
      </c>
      <c r="L15497">
        <v>26.91</v>
      </c>
      <c r="M15497">
        <v>66</v>
      </c>
      <c r="N15497">
        <v>0</v>
      </c>
      <c r="O15497">
        <v>66</v>
      </c>
      <c r="P15497">
        <v>0</v>
      </c>
    </row>
    <row r="15498" spans="1:16" x14ac:dyDescent="0.25">
      <c r="A15498" t="s">
        <v>38166</v>
      </c>
      <c r="B15498" t="s">
        <v>10625</v>
      </c>
      <c r="C15498" t="s">
        <v>10624</v>
      </c>
      <c r="D15498" t="str">
        <f>"1369"</f>
        <v>1369</v>
      </c>
      <c r="E15498" t="s">
        <v>4163</v>
      </c>
      <c r="F15498" t="s">
        <v>3546</v>
      </c>
      <c r="G15498" t="s">
        <v>47096</v>
      </c>
      <c r="H15498" t="s">
        <v>47126</v>
      </c>
      <c r="I15498" t="s">
        <v>47127</v>
      </c>
      <c r="J15498" t="s">
        <v>47128</v>
      </c>
      <c r="K15498" t="s">
        <v>47113</v>
      </c>
      <c r="L15498">
        <v>26.91</v>
      </c>
      <c r="M15498">
        <v>66</v>
      </c>
      <c r="N15498">
        <v>0</v>
      </c>
      <c r="O15498">
        <v>66</v>
      </c>
      <c r="P15498">
        <v>0</v>
      </c>
    </row>
    <row r="15499" spans="1:16" x14ac:dyDescent="0.25">
      <c r="A15499" t="s">
        <v>38167</v>
      </c>
      <c r="B15499" t="s">
        <v>10625</v>
      </c>
      <c r="C15499" t="s">
        <v>10624</v>
      </c>
      <c r="D15499" t="str">
        <f>"1378"</f>
        <v>1378</v>
      </c>
      <c r="E15499" t="s">
        <v>388</v>
      </c>
      <c r="F15499" t="s">
        <v>3546</v>
      </c>
      <c r="G15499" t="s">
        <v>47096</v>
      </c>
      <c r="H15499" t="s">
        <v>47126</v>
      </c>
      <c r="I15499" t="s">
        <v>47127</v>
      </c>
      <c r="J15499" t="s">
        <v>47128</v>
      </c>
      <c r="K15499" t="s">
        <v>47113</v>
      </c>
      <c r="L15499">
        <v>26.91</v>
      </c>
      <c r="M15499">
        <v>66</v>
      </c>
      <c r="N15499">
        <v>0</v>
      </c>
      <c r="O15499">
        <v>66</v>
      </c>
      <c r="P15499">
        <v>0</v>
      </c>
    </row>
    <row r="15500" spans="1:16" x14ac:dyDescent="0.25">
      <c r="A15500" t="s">
        <v>38168</v>
      </c>
      <c r="B15500" t="s">
        <v>10625</v>
      </c>
      <c r="C15500" t="s">
        <v>10624</v>
      </c>
      <c r="D15500" t="str">
        <f>"1403"</f>
        <v>1403</v>
      </c>
      <c r="E15500" t="s">
        <v>224</v>
      </c>
      <c r="F15500" t="s">
        <v>3546</v>
      </c>
      <c r="G15500" t="s">
        <v>47096</v>
      </c>
      <c r="H15500" t="s">
        <v>47126</v>
      </c>
      <c r="I15500" t="s">
        <v>47127</v>
      </c>
      <c r="J15500" t="s">
        <v>47128</v>
      </c>
      <c r="K15500" t="s">
        <v>47113</v>
      </c>
      <c r="L15500">
        <v>26.91</v>
      </c>
      <c r="M15500">
        <v>66</v>
      </c>
      <c r="N15500">
        <v>0</v>
      </c>
      <c r="O15500">
        <v>66</v>
      </c>
      <c r="P15500">
        <v>0</v>
      </c>
    </row>
    <row r="15501" spans="1:16" x14ac:dyDescent="0.25">
      <c r="A15501" t="s">
        <v>38169</v>
      </c>
      <c r="B15501" t="s">
        <v>10625</v>
      </c>
      <c r="C15501" t="s">
        <v>10624</v>
      </c>
      <c r="D15501" t="str">
        <f>"1500"</f>
        <v>1500</v>
      </c>
      <c r="E15501" t="s">
        <v>4160</v>
      </c>
      <c r="F15501" t="s">
        <v>3546</v>
      </c>
      <c r="G15501" t="s">
        <v>47096</v>
      </c>
      <c r="H15501" t="s">
        <v>47126</v>
      </c>
      <c r="I15501" t="s">
        <v>47127</v>
      </c>
      <c r="J15501" t="s">
        <v>47128</v>
      </c>
      <c r="K15501" t="s">
        <v>47113</v>
      </c>
      <c r="L15501">
        <v>26.91</v>
      </c>
      <c r="M15501">
        <v>66</v>
      </c>
      <c r="N15501">
        <v>0</v>
      </c>
      <c r="O15501">
        <v>66</v>
      </c>
      <c r="P15501">
        <v>0</v>
      </c>
    </row>
    <row r="15502" spans="1:16" x14ac:dyDescent="0.25">
      <c r="A15502" t="s">
        <v>38170</v>
      </c>
      <c r="B15502" t="s">
        <v>10625</v>
      </c>
      <c r="C15502" t="s">
        <v>10624</v>
      </c>
      <c r="D15502" t="str">
        <f>"3544"</f>
        <v>3544</v>
      </c>
      <c r="E15502" t="s">
        <v>4174</v>
      </c>
      <c r="F15502" t="s">
        <v>3546</v>
      </c>
      <c r="G15502" t="s">
        <v>47096</v>
      </c>
      <c r="H15502" t="s">
        <v>47126</v>
      </c>
      <c r="I15502" t="s">
        <v>47127</v>
      </c>
      <c r="J15502" t="s">
        <v>47128</v>
      </c>
      <c r="K15502" t="s">
        <v>47113</v>
      </c>
      <c r="L15502">
        <v>26.91</v>
      </c>
      <c r="M15502">
        <v>66</v>
      </c>
      <c r="N15502">
        <v>0</v>
      </c>
      <c r="O15502">
        <v>66</v>
      </c>
      <c r="P15502">
        <v>0</v>
      </c>
    </row>
    <row r="15503" spans="1:16" x14ac:dyDescent="0.25">
      <c r="A15503" t="s">
        <v>38171</v>
      </c>
      <c r="B15503" t="s">
        <v>10625</v>
      </c>
      <c r="C15503" t="s">
        <v>10624</v>
      </c>
      <c r="D15503" t="str">
        <f>"4921"</f>
        <v>4921</v>
      </c>
      <c r="E15503" t="s">
        <v>4156</v>
      </c>
      <c r="F15503" t="s">
        <v>3546</v>
      </c>
      <c r="G15503" t="s">
        <v>47096</v>
      </c>
      <c r="H15503" t="s">
        <v>47126</v>
      </c>
      <c r="I15503" t="s">
        <v>47127</v>
      </c>
      <c r="J15503" t="s">
        <v>47128</v>
      </c>
      <c r="K15503" t="s">
        <v>47113</v>
      </c>
      <c r="L15503">
        <v>26.91</v>
      </c>
      <c r="M15503">
        <v>66</v>
      </c>
      <c r="N15503">
        <v>0</v>
      </c>
      <c r="O15503">
        <v>66</v>
      </c>
      <c r="P15503">
        <v>0</v>
      </c>
    </row>
    <row r="15504" spans="1:16" x14ac:dyDescent="0.25">
      <c r="A15504" t="s">
        <v>38172</v>
      </c>
      <c r="B15504" t="s">
        <v>10625</v>
      </c>
      <c r="C15504" t="s">
        <v>10624</v>
      </c>
      <c r="D15504" t="str">
        <f>"4922"</f>
        <v>4922</v>
      </c>
      <c r="E15504" t="s">
        <v>4175</v>
      </c>
      <c r="F15504" t="s">
        <v>3546</v>
      </c>
      <c r="G15504" t="s">
        <v>47096</v>
      </c>
      <c r="H15504" t="s">
        <v>47126</v>
      </c>
      <c r="I15504" t="s">
        <v>47127</v>
      </c>
      <c r="J15504" t="s">
        <v>47128</v>
      </c>
      <c r="K15504" t="s">
        <v>47113</v>
      </c>
      <c r="L15504">
        <v>26.91</v>
      </c>
      <c r="M15504">
        <v>66</v>
      </c>
      <c r="N15504">
        <v>0</v>
      </c>
      <c r="O15504">
        <v>66</v>
      </c>
      <c r="P15504">
        <v>0</v>
      </c>
    </row>
    <row r="15505" spans="1:16" x14ac:dyDescent="0.25">
      <c r="A15505" t="s">
        <v>38173</v>
      </c>
      <c r="B15505" t="s">
        <v>10625</v>
      </c>
      <c r="C15505" t="s">
        <v>10624</v>
      </c>
      <c r="D15505" t="str">
        <f>"6064"</f>
        <v>6064</v>
      </c>
      <c r="E15505" t="s">
        <v>87</v>
      </c>
      <c r="F15505" t="s">
        <v>3546</v>
      </c>
      <c r="G15505" t="s">
        <v>47096</v>
      </c>
      <c r="H15505" t="s">
        <v>47126</v>
      </c>
      <c r="I15505" t="s">
        <v>47127</v>
      </c>
      <c r="J15505" t="s">
        <v>47128</v>
      </c>
      <c r="K15505" t="s">
        <v>47113</v>
      </c>
      <c r="L15505">
        <v>26.91</v>
      </c>
      <c r="M15505">
        <v>66</v>
      </c>
      <c r="N15505">
        <v>0</v>
      </c>
      <c r="O15505">
        <v>66</v>
      </c>
      <c r="P15505">
        <v>0</v>
      </c>
    </row>
    <row r="15506" spans="1:16" x14ac:dyDescent="0.25">
      <c r="A15506" t="s">
        <v>38174</v>
      </c>
      <c r="B15506" t="s">
        <v>10625</v>
      </c>
      <c r="C15506" t="s">
        <v>10624</v>
      </c>
      <c r="D15506" t="str">
        <f>"6082"</f>
        <v>6082</v>
      </c>
      <c r="E15506" t="s">
        <v>2154</v>
      </c>
      <c r="F15506" t="s">
        <v>3546</v>
      </c>
      <c r="G15506" t="s">
        <v>47096</v>
      </c>
      <c r="H15506" t="s">
        <v>47126</v>
      </c>
      <c r="I15506" t="s">
        <v>47127</v>
      </c>
      <c r="J15506" t="s">
        <v>47128</v>
      </c>
      <c r="K15506" t="s">
        <v>47113</v>
      </c>
      <c r="L15506">
        <v>26.91</v>
      </c>
      <c r="M15506">
        <v>66</v>
      </c>
      <c r="N15506">
        <v>0</v>
      </c>
      <c r="O15506">
        <v>66</v>
      </c>
      <c r="P15506">
        <v>0</v>
      </c>
    </row>
    <row r="15507" spans="1:16" x14ac:dyDescent="0.25">
      <c r="A15507" t="s">
        <v>38175</v>
      </c>
      <c r="B15507" t="s">
        <v>10626</v>
      </c>
      <c r="C15507" t="s">
        <v>10627</v>
      </c>
      <c r="D15507" t="str">
        <f>"1106"</f>
        <v>1106</v>
      </c>
      <c r="E15507" t="s">
        <v>460</v>
      </c>
      <c r="F15507" t="s">
        <v>3546</v>
      </c>
      <c r="G15507" t="s">
        <v>47096</v>
      </c>
      <c r="H15507" t="s">
        <v>47126</v>
      </c>
      <c r="I15507" t="s">
        <v>47127</v>
      </c>
      <c r="J15507" t="s">
        <v>47128</v>
      </c>
      <c r="K15507" t="s">
        <v>47113</v>
      </c>
      <c r="L15507">
        <v>22.12</v>
      </c>
      <c r="M15507">
        <v>39</v>
      </c>
      <c r="N15507">
        <v>0</v>
      </c>
      <c r="O15507">
        <v>39</v>
      </c>
      <c r="P15507">
        <v>0</v>
      </c>
    </row>
    <row r="15508" spans="1:16" x14ac:dyDescent="0.25">
      <c r="A15508" t="s">
        <v>38176</v>
      </c>
      <c r="B15508" t="s">
        <v>10626</v>
      </c>
      <c r="C15508" t="s">
        <v>10627</v>
      </c>
      <c r="D15508" t="str">
        <f>"1369"</f>
        <v>1369</v>
      </c>
      <c r="E15508" t="s">
        <v>4163</v>
      </c>
      <c r="F15508" t="s">
        <v>3546</v>
      </c>
      <c r="G15508" t="s">
        <v>47096</v>
      </c>
      <c r="H15508" t="s">
        <v>47126</v>
      </c>
      <c r="I15508" t="s">
        <v>47127</v>
      </c>
      <c r="J15508" t="s">
        <v>47128</v>
      </c>
      <c r="K15508" t="s">
        <v>47113</v>
      </c>
      <c r="L15508">
        <v>22.12</v>
      </c>
      <c r="M15508">
        <v>39</v>
      </c>
      <c r="N15508">
        <v>0</v>
      </c>
      <c r="O15508">
        <v>39</v>
      </c>
      <c r="P15508">
        <v>0</v>
      </c>
    </row>
    <row r="15509" spans="1:16" x14ac:dyDescent="0.25">
      <c r="A15509" t="s">
        <v>38177</v>
      </c>
      <c r="B15509" t="s">
        <v>10626</v>
      </c>
      <c r="C15509" t="s">
        <v>10627</v>
      </c>
      <c r="D15509" t="str">
        <f>"1378"</f>
        <v>1378</v>
      </c>
      <c r="E15509" t="s">
        <v>388</v>
      </c>
      <c r="F15509" t="s">
        <v>3546</v>
      </c>
      <c r="G15509" t="s">
        <v>47096</v>
      </c>
      <c r="H15509" t="s">
        <v>47126</v>
      </c>
      <c r="I15509" t="s">
        <v>47127</v>
      </c>
      <c r="J15509" t="s">
        <v>47128</v>
      </c>
      <c r="K15509" t="s">
        <v>47113</v>
      </c>
      <c r="L15509">
        <v>22.12</v>
      </c>
      <c r="M15509">
        <v>39</v>
      </c>
      <c r="N15509">
        <v>0</v>
      </c>
      <c r="O15509">
        <v>39</v>
      </c>
      <c r="P15509">
        <v>0</v>
      </c>
    </row>
    <row r="15510" spans="1:16" x14ac:dyDescent="0.25">
      <c r="A15510" t="s">
        <v>38178</v>
      </c>
      <c r="B15510" t="s">
        <v>10626</v>
      </c>
      <c r="C15510" t="s">
        <v>10627</v>
      </c>
      <c r="D15510" t="str">
        <f>"1403"</f>
        <v>1403</v>
      </c>
      <c r="E15510" t="s">
        <v>224</v>
      </c>
      <c r="F15510" t="s">
        <v>3546</v>
      </c>
      <c r="G15510" t="s">
        <v>47096</v>
      </c>
      <c r="H15510" t="s">
        <v>47126</v>
      </c>
      <c r="I15510" t="s">
        <v>47127</v>
      </c>
      <c r="J15510" t="s">
        <v>47128</v>
      </c>
      <c r="K15510" t="s">
        <v>47113</v>
      </c>
      <c r="L15510">
        <v>22.12</v>
      </c>
      <c r="M15510">
        <v>39</v>
      </c>
      <c r="N15510">
        <v>0</v>
      </c>
      <c r="O15510">
        <v>39</v>
      </c>
      <c r="P15510">
        <v>0</v>
      </c>
    </row>
    <row r="15511" spans="1:16" x14ac:dyDescent="0.25">
      <c r="A15511" t="s">
        <v>38179</v>
      </c>
      <c r="B15511" t="s">
        <v>10626</v>
      </c>
      <c r="C15511" t="s">
        <v>10627</v>
      </c>
      <c r="D15511" t="str">
        <f>"1500"</f>
        <v>1500</v>
      </c>
      <c r="E15511" t="s">
        <v>4160</v>
      </c>
      <c r="F15511" t="s">
        <v>3546</v>
      </c>
      <c r="G15511" t="s">
        <v>47096</v>
      </c>
      <c r="H15511" t="s">
        <v>47126</v>
      </c>
      <c r="I15511" t="s">
        <v>47127</v>
      </c>
      <c r="J15511" t="s">
        <v>47128</v>
      </c>
      <c r="K15511" t="s">
        <v>47113</v>
      </c>
      <c r="L15511">
        <v>22.12</v>
      </c>
      <c r="M15511">
        <v>39</v>
      </c>
      <c r="N15511">
        <v>0</v>
      </c>
      <c r="O15511">
        <v>39</v>
      </c>
      <c r="P15511">
        <v>0</v>
      </c>
    </row>
    <row r="15512" spans="1:16" x14ac:dyDescent="0.25">
      <c r="A15512" t="s">
        <v>38180</v>
      </c>
      <c r="B15512" t="s">
        <v>10626</v>
      </c>
      <c r="C15512" t="s">
        <v>10627</v>
      </c>
      <c r="D15512" t="str">
        <f>"3544"</f>
        <v>3544</v>
      </c>
      <c r="E15512" t="s">
        <v>4174</v>
      </c>
      <c r="F15512" t="s">
        <v>3546</v>
      </c>
      <c r="G15512" t="s">
        <v>47096</v>
      </c>
      <c r="H15512" t="s">
        <v>47126</v>
      </c>
      <c r="I15512" t="s">
        <v>47127</v>
      </c>
      <c r="J15512" t="s">
        <v>47128</v>
      </c>
      <c r="K15512" t="s">
        <v>47113</v>
      </c>
      <c r="L15512">
        <v>22.12</v>
      </c>
      <c r="M15512">
        <v>39</v>
      </c>
      <c r="N15512">
        <v>0</v>
      </c>
      <c r="O15512">
        <v>39</v>
      </c>
      <c r="P15512">
        <v>0</v>
      </c>
    </row>
    <row r="15513" spans="1:16" x14ac:dyDescent="0.25">
      <c r="A15513" t="s">
        <v>38181</v>
      </c>
      <c r="B15513" t="s">
        <v>10626</v>
      </c>
      <c r="C15513" t="s">
        <v>10627</v>
      </c>
      <c r="D15513" t="str">
        <f>"4921"</f>
        <v>4921</v>
      </c>
      <c r="E15513" t="s">
        <v>4156</v>
      </c>
      <c r="F15513" t="s">
        <v>3546</v>
      </c>
      <c r="G15513" t="s">
        <v>47096</v>
      </c>
      <c r="H15513" t="s">
        <v>47126</v>
      </c>
      <c r="I15513" t="s">
        <v>47127</v>
      </c>
      <c r="J15513" t="s">
        <v>47128</v>
      </c>
      <c r="K15513" t="s">
        <v>47113</v>
      </c>
      <c r="L15513">
        <v>22.12</v>
      </c>
      <c r="M15513">
        <v>39</v>
      </c>
      <c r="N15513">
        <v>0</v>
      </c>
      <c r="O15513">
        <v>39</v>
      </c>
      <c r="P15513">
        <v>0</v>
      </c>
    </row>
    <row r="15514" spans="1:16" x14ac:dyDescent="0.25">
      <c r="A15514" t="s">
        <v>38182</v>
      </c>
      <c r="B15514" t="s">
        <v>10626</v>
      </c>
      <c r="C15514" t="s">
        <v>10627</v>
      </c>
      <c r="D15514" t="str">
        <f>"4922"</f>
        <v>4922</v>
      </c>
      <c r="E15514" t="s">
        <v>4175</v>
      </c>
      <c r="F15514" t="s">
        <v>3546</v>
      </c>
      <c r="G15514" t="s">
        <v>47096</v>
      </c>
      <c r="H15514" t="s">
        <v>47126</v>
      </c>
      <c r="I15514" t="s">
        <v>47127</v>
      </c>
      <c r="J15514" t="s">
        <v>47128</v>
      </c>
      <c r="K15514" t="s">
        <v>47113</v>
      </c>
      <c r="L15514">
        <v>22.12</v>
      </c>
      <c r="M15514">
        <v>39</v>
      </c>
      <c r="N15514">
        <v>0</v>
      </c>
      <c r="O15514">
        <v>39</v>
      </c>
      <c r="P15514">
        <v>0</v>
      </c>
    </row>
    <row r="15515" spans="1:16" x14ac:dyDescent="0.25">
      <c r="A15515" t="s">
        <v>38183</v>
      </c>
      <c r="B15515" t="s">
        <v>10626</v>
      </c>
      <c r="C15515" t="s">
        <v>10627</v>
      </c>
      <c r="D15515" t="str">
        <f>"6064"</f>
        <v>6064</v>
      </c>
      <c r="E15515" t="s">
        <v>87</v>
      </c>
      <c r="F15515" t="s">
        <v>3546</v>
      </c>
      <c r="G15515" t="s">
        <v>47096</v>
      </c>
      <c r="H15515" t="s">
        <v>47126</v>
      </c>
      <c r="I15515" t="s">
        <v>47127</v>
      </c>
      <c r="J15515" t="s">
        <v>47128</v>
      </c>
      <c r="K15515" t="s">
        <v>47113</v>
      </c>
      <c r="L15515">
        <v>22.12</v>
      </c>
      <c r="M15515">
        <v>39</v>
      </c>
      <c r="N15515">
        <v>0</v>
      </c>
      <c r="O15515">
        <v>39</v>
      </c>
      <c r="P15515">
        <v>0</v>
      </c>
    </row>
    <row r="15516" spans="1:16" x14ac:dyDescent="0.25">
      <c r="A15516" t="s">
        <v>38184</v>
      </c>
      <c r="B15516" t="s">
        <v>10626</v>
      </c>
      <c r="C15516" t="s">
        <v>10627</v>
      </c>
      <c r="D15516" t="str">
        <f>"6082"</f>
        <v>6082</v>
      </c>
      <c r="E15516" t="s">
        <v>2154</v>
      </c>
      <c r="F15516" t="s">
        <v>3546</v>
      </c>
      <c r="G15516" t="s">
        <v>47096</v>
      </c>
      <c r="H15516" t="s">
        <v>47126</v>
      </c>
      <c r="I15516" t="s">
        <v>47127</v>
      </c>
      <c r="J15516" t="s">
        <v>47128</v>
      </c>
      <c r="K15516" t="s">
        <v>47113</v>
      </c>
      <c r="L15516">
        <v>22.12</v>
      </c>
      <c r="M15516">
        <v>39</v>
      </c>
      <c r="N15516">
        <v>0</v>
      </c>
      <c r="O15516">
        <v>39</v>
      </c>
      <c r="P15516">
        <v>0</v>
      </c>
    </row>
    <row r="15517" spans="1:16" x14ac:dyDescent="0.25">
      <c r="A15517" t="s">
        <v>38185</v>
      </c>
      <c r="B15517" t="s">
        <v>10628</v>
      </c>
      <c r="C15517" t="s">
        <v>10629</v>
      </c>
      <c r="D15517" t="str">
        <f>"1106"</f>
        <v>1106</v>
      </c>
      <c r="E15517" t="s">
        <v>460</v>
      </c>
      <c r="F15517" t="s">
        <v>3546</v>
      </c>
      <c r="G15517" t="s">
        <v>47096</v>
      </c>
      <c r="H15517" t="s">
        <v>47126</v>
      </c>
      <c r="I15517" t="s">
        <v>47127</v>
      </c>
      <c r="J15517" t="s">
        <v>47128</v>
      </c>
      <c r="K15517" t="s">
        <v>47113</v>
      </c>
      <c r="L15517">
        <v>20.21</v>
      </c>
      <c r="M15517">
        <v>50</v>
      </c>
      <c r="N15517">
        <v>0</v>
      </c>
      <c r="O15517">
        <v>50</v>
      </c>
      <c r="P15517">
        <v>0</v>
      </c>
    </row>
    <row r="15518" spans="1:16" x14ac:dyDescent="0.25">
      <c r="A15518" t="s">
        <v>38186</v>
      </c>
      <c r="B15518" t="s">
        <v>10628</v>
      </c>
      <c r="C15518" t="s">
        <v>10629</v>
      </c>
      <c r="D15518" t="str">
        <f>"1369"</f>
        <v>1369</v>
      </c>
      <c r="E15518" t="s">
        <v>4163</v>
      </c>
      <c r="F15518" t="s">
        <v>3546</v>
      </c>
      <c r="G15518" t="s">
        <v>47096</v>
      </c>
      <c r="H15518" t="s">
        <v>47126</v>
      </c>
      <c r="I15518" t="s">
        <v>47127</v>
      </c>
      <c r="J15518" t="s">
        <v>47128</v>
      </c>
      <c r="K15518" t="s">
        <v>47113</v>
      </c>
      <c r="L15518">
        <v>20.21</v>
      </c>
      <c r="M15518">
        <v>50</v>
      </c>
      <c r="N15518">
        <v>0</v>
      </c>
      <c r="O15518">
        <v>50</v>
      </c>
      <c r="P15518">
        <v>0</v>
      </c>
    </row>
    <row r="15519" spans="1:16" x14ac:dyDescent="0.25">
      <c r="A15519" t="s">
        <v>38187</v>
      </c>
      <c r="B15519" t="s">
        <v>10628</v>
      </c>
      <c r="C15519" t="s">
        <v>10629</v>
      </c>
      <c r="D15519" t="str">
        <f>"1377"</f>
        <v>1377</v>
      </c>
      <c r="E15519" t="s">
        <v>74</v>
      </c>
      <c r="F15519" t="s">
        <v>3750</v>
      </c>
      <c r="G15519" t="s">
        <v>47096</v>
      </c>
      <c r="H15519" t="s">
        <v>47126</v>
      </c>
      <c r="I15519" t="s">
        <v>47127</v>
      </c>
      <c r="J15519" t="s">
        <v>47128</v>
      </c>
      <c r="K15519" t="s">
        <v>47113</v>
      </c>
      <c r="L15519">
        <v>20.21</v>
      </c>
      <c r="M15519">
        <v>61</v>
      </c>
      <c r="N15519">
        <v>0</v>
      </c>
      <c r="O15519">
        <v>61</v>
      </c>
      <c r="P15519">
        <v>0</v>
      </c>
    </row>
    <row r="15520" spans="1:16" x14ac:dyDescent="0.25">
      <c r="A15520" t="s">
        <v>38188</v>
      </c>
      <c r="B15520" t="s">
        <v>10628</v>
      </c>
      <c r="C15520" t="s">
        <v>10629</v>
      </c>
      <c r="D15520" t="str">
        <f>"1378"</f>
        <v>1378</v>
      </c>
      <c r="E15520" t="s">
        <v>388</v>
      </c>
      <c r="F15520" t="s">
        <v>3546</v>
      </c>
      <c r="G15520" t="s">
        <v>47096</v>
      </c>
      <c r="H15520" t="s">
        <v>47126</v>
      </c>
      <c r="I15520" t="s">
        <v>47127</v>
      </c>
      <c r="J15520" t="s">
        <v>47128</v>
      </c>
      <c r="K15520" t="s">
        <v>47113</v>
      </c>
      <c r="L15520">
        <v>20.21</v>
      </c>
      <c r="M15520">
        <v>50</v>
      </c>
      <c r="N15520">
        <v>0</v>
      </c>
      <c r="O15520">
        <v>50</v>
      </c>
      <c r="P15520">
        <v>0</v>
      </c>
    </row>
    <row r="15521" spans="1:16" x14ac:dyDescent="0.25">
      <c r="A15521" t="s">
        <v>38189</v>
      </c>
      <c r="B15521" t="s">
        <v>10628</v>
      </c>
      <c r="C15521" t="s">
        <v>10629</v>
      </c>
      <c r="D15521" t="str">
        <f>"1403"</f>
        <v>1403</v>
      </c>
      <c r="E15521" t="s">
        <v>224</v>
      </c>
      <c r="F15521" t="s">
        <v>3546</v>
      </c>
      <c r="G15521" t="s">
        <v>47096</v>
      </c>
      <c r="H15521" t="s">
        <v>47126</v>
      </c>
      <c r="I15521" t="s">
        <v>47127</v>
      </c>
      <c r="J15521" t="s">
        <v>47128</v>
      </c>
      <c r="K15521" t="s">
        <v>47113</v>
      </c>
      <c r="L15521">
        <v>20.21</v>
      </c>
      <c r="M15521">
        <v>50</v>
      </c>
      <c r="N15521">
        <v>0</v>
      </c>
      <c r="O15521">
        <v>50</v>
      </c>
      <c r="P15521">
        <v>0</v>
      </c>
    </row>
    <row r="15522" spans="1:16" x14ac:dyDescent="0.25">
      <c r="A15522" t="s">
        <v>38190</v>
      </c>
      <c r="B15522" t="s">
        <v>10628</v>
      </c>
      <c r="C15522" t="s">
        <v>10629</v>
      </c>
      <c r="D15522" t="str">
        <f>"1500"</f>
        <v>1500</v>
      </c>
      <c r="E15522" t="s">
        <v>4160</v>
      </c>
      <c r="F15522" t="s">
        <v>3546</v>
      </c>
      <c r="G15522" t="s">
        <v>47096</v>
      </c>
      <c r="H15522" t="s">
        <v>47126</v>
      </c>
      <c r="I15522" t="s">
        <v>47127</v>
      </c>
      <c r="J15522" t="s">
        <v>47128</v>
      </c>
      <c r="K15522" t="s">
        <v>47113</v>
      </c>
      <c r="L15522">
        <v>20.21</v>
      </c>
      <c r="M15522">
        <v>50</v>
      </c>
      <c r="N15522">
        <v>0</v>
      </c>
      <c r="O15522">
        <v>50</v>
      </c>
      <c r="P15522">
        <v>0</v>
      </c>
    </row>
    <row r="15523" spans="1:16" x14ac:dyDescent="0.25">
      <c r="A15523" t="s">
        <v>38191</v>
      </c>
      <c r="B15523" t="s">
        <v>10628</v>
      </c>
      <c r="C15523" t="s">
        <v>10629</v>
      </c>
      <c r="D15523" t="str">
        <f>"3544"</f>
        <v>3544</v>
      </c>
      <c r="E15523" t="s">
        <v>4174</v>
      </c>
      <c r="F15523" t="s">
        <v>3546</v>
      </c>
      <c r="G15523" t="s">
        <v>47096</v>
      </c>
      <c r="H15523" t="s">
        <v>47126</v>
      </c>
      <c r="I15523" t="s">
        <v>47127</v>
      </c>
      <c r="J15523" t="s">
        <v>47128</v>
      </c>
      <c r="K15523" t="s">
        <v>47113</v>
      </c>
      <c r="L15523">
        <v>20.21</v>
      </c>
      <c r="M15523">
        <v>50</v>
      </c>
      <c r="N15523">
        <v>0</v>
      </c>
      <c r="O15523">
        <v>50</v>
      </c>
      <c r="P15523">
        <v>0</v>
      </c>
    </row>
    <row r="15524" spans="1:16" x14ac:dyDescent="0.25">
      <c r="A15524" t="s">
        <v>38192</v>
      </c>
      <c r="B15524" t="s">
        <v>10628</v>
      </c>
      <c r="C15524" t="s">
        <v>10629</v>
      </c>
      <c r="D15524" t="str">
        <f>"4921"</f>
        <v>4921</v>
      </c>
      <c r="E15524" t="s">
        <v>4156</v>
      </c>
      <c r="F15524" t="s">
        <v>3546</v>
      </c>
      <c r="G15524" t="s">
        <v>47096</v>
      </c>
      <c r="H15524" t="s">
        <v>47126</v>
      </c>
      <c r="I15524" t="s">
        <v>47127</v>
      </c>
      <c r="J15524" t="s">
        <v>47128</v>
      </c>
      <c r="K15524" t="s">
        <v>47113</v>
      </c>
      <c r="L15524">
        <v>20.21</v>
      </c>
      <c r="M15524">
        <v>50</v>
      </c>
      <c r="N15524">
        <v>0</v>
      </c>
      <c r="O15524">
        <v>50</v>
      </c>
      <c r="P15524">
        <v>0</v>
      </c>
    </row>
    <row r="15525" spans="1:16" x14ac:dyDescent="0.25">
      <c r="A15525" t="s">
        <v>38193</v>
      </c>
      <c r="B15525" t="s">
        <v>10628</v>
      </c>
      <c r="C15525" t="s">
        <v>10629</v>
      </c>
      <c r="D15525" t="str">
        <f>"4922"</f>
        <v>4922</v>
      </c>
      <c r="E15525" t="s">
        <v>4175</v>
      </c>
      <c r="F15525" t="s">
        <v>3546</v>
      </c>
      <c r="G15525" t="s">
        <v>47096</v>
      </c>
      <c r="H15525" t="s">
        <v>47126</v>
      </c>
      <c r="I15525" t="s">
        <v>47127</v>
      </c>
      <c r="J15525" t="s">
        <v>47128</v>
      </c>
      <c r="K15525" t="s">
        <v>47113</v>
      </c>
      <c r="L15525">
        <v>20.21</v>
      </c>
      <c r="M15525">
        <v>50</v>
      </c>
      <c r="N15525">
        <v>0</v>
      </c>
      <c r="O15525">
        <v>50</v>
      </c>
      <c r="P15525">
        <v>0</v>
      </c>
    </row>
    <row r="15526" spans="1:16" x14ac:dyDescent="0.25">
      <c r="A15526" t="s">
        <v>38194</v>
      </c>
      <c r="B15526" t="s">
        <v>10628</v>
      </c>
      <c r="C15526" t="s">
        <v>10629</v>
      </c>
      <c r="D15526" t="str">
        <f>"6064"</f>
        <v>6064</v>
      </c>
      <c r="E15526" t="s">
        <v>87</v>
      </c>
      <c r="F15526" t="s">
        <v>3546</v>
      </c>
      <c r="G15526" t="s">
        <v>47096</v>
      </c>
      <c r="H15526" t="s">
        <v>47126</v>
      </c>
      <c r="I15526" t="s">
        <v>47127</v>
      </c>
      <c r="J15526" t="s">
        <v>47128</v>
      </c>
      <c r="K15526" t="s">
        <v>47113</v>
      </c>
      <c r="L15526">
        <v>20.21</v>
      </c>
      <c r="M15526">
        <v>50</v>
      </c>
      <c r="N15526">
        <v>0</v>
      </c>
      <c r="O15526">
        <v>50</v>
      </c>
      <c r="P15526">
        <v>0</v>
      </c>
    </row>
    <row r="15527" spans="1:16" x14ac:dyDescent="0.25">
      <c r="A15527" t="s">
        <v>38195</v>
      </c>
      <c r="B15527" t="s">
        <v>10628</v>
      </c>
      <c r="C15527" t="s">
        <v>10629</v>
      </c>
      <c r="D15527" t="str">
        <f>"6082"</f>
        <v>6082</v>
      </c>
      <c r="E15527" t="s">
        <v>2154</v>
      </c>
      <c r="F15527" t="s">
        <v>3546</v>
      </c>
      <c r="G15527" t="s">
        <v>47096</v>
      </c>
      <c r="H15527" t="s">
        <v>47126</v>
      </c>
      <c r="I15527" t="s">
        <v>47127</v>
      </c>
      <c r="J15527" t="s">
        <v>47128</v>
      </c>
      <c r="K15527" t="s">
        <v>47113</v>
      </c>
      <c r="L15527">
        <v>20.21</v>
      </c>
      <c r="M15527">
        <v>50</v>
      </c>
      <c r="N15527">
        <v>0</v>
      </c>
      <c r="O15527">
        <v>50</v>
      </c>
      <c r="P15527">
        <v>0</v>
      </c>
    </row>
    <row r="15528" spans="1:16" x14ac:dyDescent="0.25">
      <c r="A15528" t="s">
        <v>38196</v>
      </c>
      <c r="B15528" t="s">
        <v>10630</v>
      </c>
      <c r="C15528" t="s">
        <v>10631</v>
      </c>
      <c r="D15528" t="str">
        <f>"1106"</f>
        <v>1106</v>
      </c>
      <c r="E15528" t="s">
        <v>460</v>
      </c>
      <c r="F15528" t="s">
        <v>3546</v>
      </c>
      <c r="G15528" t="s">
        <v>47095</v>
      </c>
      <c r="H15528" t="s">
        <v>47126</v>
      </c>
      <c r="I15528" t="s">
        <v>47127</v>
      </c>
      <c r="J15528" t="s">
        <v>47128</v>
      </c>
      <c r="K15528" t="s">
        <v>47113</v>
      </c>
      <c r="L15528">
        <v>20.21</v>
      </c>
      <c r="M15528">
        <v>50</v>
      </c>
      <c r="N15528">
        <v>0</v>
      </c>
      <c r="O15528">
        <v>50</v>
      </c>
      <c r="P15528">
        <v>0</v>
      </c>
    </row>
    <row r="15529" spans="1:16" x14ac:dyDescent="0.25">
      <c r="A15529" t="s">
        <v>38197</v>
      </c>
      <c r="B15529" t="s">
        <v>10630</v>
      </c>
      <c r="C15529" t="s">
        <v>10631</v>
      </c>
      <c r="D15529" t="str">
        <f>"1285"</f>
        <v>1285</v>
      </c>
      <c r="E15529" t="s">
        <v>2148</v>
      </c>
      <c r="F15529" t="s">
        <v>3546</v>
      </c>
      <c r="G15529" t="s">
        <v>47095</v>
      </c>
      <c r="H15529" t="s">
        <v>47126</v>
      </c>
      <c r="I15529" t="s">
        <v>47127</v>
      </c>
      <c r="J15529" t="s">
        <v>47128</v>
      </c>
      <c r="K15529" t="s">
        <v>47113</v>
      </c>
      <c r="L15529">
        <v>20.21</v>
      </c>
      <c r="M15529">
        <v>50</v>
      </c>
      <c r="N15529">
        <v>0</v>
      </c>
      <c r="O15529">
        <v>50</v>
      </c>
      <c r="P15529">
        <v>0</v>
      </c>
    </row>
    <row r="15530" spans="1:16" x14ac:dyDescent="0.25">
      <c r="A15530" t="s">
        <v>38198</v>
      </c>
      <c r="B15530" t="s">
        <v>10630</v>
      </c>
      <c r="C15530" t="s">
        <v>10631</v>
      </c>
      <c r="D15530" t="str">
        <f>"1378"</f>
        <v>1378</v>
      </c>
      <c r="E15530" t="s">
        <v>388</v>
      </c>
      <c r="F15530" t="s">
        <v>3546</v>
      </c>
      <c r="G15530" t="s">
        <v>47095</v>
      </c>
      <c r="H15530" t="s">
        <v>47126</v>
      </c>
      <c r="I15530" t="s">
        <v>47127</v>
      </c>
      <c r="J15530" t="s">
        <v>47128</v>
      </c>
      <c r="K15530" t="s">
        <v>47113</v>
      </c>
      <c r="L15530">
        <v>20.21</v>
      </c>
      <c r="M15530">
        <v>50</v>
      </c>
      <c r="N15530">
        <v>0</v>
      </c>
      <c r="O15530">
        <v>50</v>
      </c>
      <c r="P15530">
        <v>0</v>
      </c>
    </row>
    <row r="15531" spans="1:16" x14ac:dyDescent="0.25">
      <c r="A15531" t="s">
        <v>38199</v>
      </c>
      <c r="B15531" t="s">
        <v>10630</v>
      </c>
      <c r="C15531" t="s">
        <v>10631</v>
      </c>
      <c r="D15531" t="str">
        <f>"1403"</f>
        <v>1403</v>
      </c>
      <c r="E15531" t="s">
        <v>224</v>
      </c>
      <c r="F15531" t="s">
        <v>3546</v>
      </c>
      <c r="G15531" t="s">
        <v>47095</v>
      </c>
      <c r="H15531" t="s">
        <v>47126</v>
      </c>
      <c r="I15531" t="s">
        <v>47127</v>
      </c>
      <c r="J15531" t="s">
        <v>47128</v>
      </c>
      <c r="K15531" t="s">
        <v>47113</v>
      </c>
      <c r="L15531">
        <v>20.21</v>
      </c>
      <c r="M15531">
        <v>50</v>
      </c>
      <c r="N15531">
        <v>0</v>
      </c>
      <c r="O15531">
        <v>50</v>
      </c>
      <c r="P15531">
        <v>0</v>
      </c>
    </row>
    <row r="15532" spans="1:16" x14ac:dyDescent="0.25">
      <c r="A15532" t="s">
        <v>38200</v>
      </c>
      <c r="B15532" t="s">
        <v>10630</v>
      </c>
      <c r="C15532" t="s">
        <v>10631</v>
      </c>
      <c r="D15532" t="str">
        <f>"3544"</f>
        <v>3544</v>
      </c>
      <c r="E15532" t="s">
        <v>4174</v>
      </c>
      <c r="F15532" t="s">
        <v>3546</v>
      </c>
      <c r="G15532" t="s">
        <v>47095</v>
      </c>
      <c r="H15532" t="s">
        <v>47126</v>
      </c>
      <c r="I15532" t="s">
        <v>47127</v>
      </c>
      <c r="J15532" t="s">
        <v>47128</v>
      </c>
      <c r="K15532" t="s">
        <v>47113</v>
      </c>
      <c r="L15532">
        <v>20.21</v>
      </c>
      <c r="M15532">
        <v>50</v>
      </c>
      <c r="N15532">
        <v>0</v>
      </c>
      <c r="O15532">
        <v>50</v>
      </c>
      <c r="P15532">
        <v>0</v>
      </c>
    </row>
    <row r="15533" spans="1:16" x14ac:dyDescent="0.25">
      <c r="A15533" t="s">
        <v>38201</v>
      </c>
      <c r="B15533" t="s">
        <v>10630</v>
      </c>
      <c r="C15533" t="s">
        <v>10631</v>
      </c>
      <c r="D15533" t="str">
        <f>"4921"</f>
        <v>4921</v>
      </c>
      <c r="E15533" t="s">
        <v>4156</v>
      </c>
      <c r="F15533" t="s">
        <v>3546</v>
      </c>
      <c r="G15533" t="s">
        <v>47095</v>
      </c>
      <c r="H15533" t="s">
        <v>47126</v>
      </c>
      <c r="I15533" t="s">
        <v>47127</v>
      </c>
      <c r="J15533" t="s">
        <v>47128</v>
      </c>
      <c r="K15533" t="s">
        <v>47113</v>
      </c>
      <c r="L15533">
        <v>20.21</v>
      </c>
      <c r="M15533">
        <v>50</v>
      </c>
      <c r="N15533">
        <v>0</v>
      </c>
      <c r="O15533">
        <v>50</v>
      </c>
      <c r="P15533">
        <v>0</v>
      </c>
    </row>
    <row r="15534" spans="1:16" x14ac:dyDescent="0.25">
      <c r="A15534" t="s">
        <v>38202</v>
      </c>
      <c r="B15534" t="s">
        <v>10630</v>
      </c>
      <c r="C15534" t="s">
        <v>10631</v>
      </c>
      <c r="D15534" t="str">
        <f>"6064"</f>
        <v>6064</v>
      </c>
      <c r="E15534" t="s">
        <v>87</v>
      </c>
      <c r="F15534" t="s">
        <v>3546</v>
      </c>
      <c r="G15534" t="s">
        <v>47095</v>
      </c>
      <c r="H15534" t="s">
        <v>47126</v>
      </c>
      <c r="I15534" t="s">
        <v>47127</v>
      </c>
      <c r="J15534" t="s">
        <v>47128</v>
      </c>
      <c r="K15534" t="s">
        <v>47113</v>
      </c>
      <c r="L15534">
        <v>20.21</v>
      </c>
      <c r="M15534">
        <v>50</v>
      </c>
      <c r="N15534">
        <v>0</v>
      </c>
      <c r="O15534">
        <v>50</v>
      </c>
      <c r="P15534">
        <v>0</v>
      </c>
    </row>
    <row r="15535" spans="1:16" x14ac:dyDescent="0.25">
      <c r="A15535" t="s">
        <v>38203</v>
      </c>
      <c r="B15535" t="s">
        <v>10630</v>
      </c>
      <c r="C15535" t="s">
        <v>10631</v>
      </c>
      <c r="D15535" t="str">
        <f>"6082"</f>
        <v>6082</v>
      </c>
      <c r="E15535" t="s">
        <v>2154</v>
      </c>
      <c r="F15535" t="s">
        <v>3546</v>
      </c>
      <c r="G15535" t="s">
        <v>47095</v>
      </c>
      <c r="H15535" t="s">
        <v>47126</v>
      </c>
      <c r="I15535" t="s">
        <v>47127</v>
      </c>
      <c r="J15535" t="s">
        <v>47128</v>
      </c>
      <c r="K15535" t="s">
        <v>47113</v>
      </c>
      <c r="L15535">
        <v>20.21</v>
      </c>
      <c r="M15535">
        <v>50</v>
      </c>
      <c r="N15535">
        <v>0</v>
      </c>
      <c r="O15535">
        <v>50</v>
      </c>
      <c r="P15535">
        <v>0</v>
      </c>
    </row>
    <row r="15536" spans="1:16" x14ac:dyDescent="0.25">
      <c r="A15536" t="s">
        <v>38204</v>
      </c>
      <c r="B15536" t="s">
        <v>10632</v>
      </c>
      <c r="C15536" t="s">
        <v>10633</v>
      </c>
      <c r="D15536" t="str">
        <f>"1106"</f>
        <v>1106</v>
      </c>
      <c r="E15536" t="s">
        <v>460</v>
      </c>
      <c r="F15536" t="s">
        <v>3546</v>
      </c>
      <c r="G15536" t="s">
        <v>47094</v>
      </c>
      <c r="H15536" t="s">
        <v>47126</v>
      </c>
      <c r="I15536" t="s">
        <v>47127</v>
      </c>
      <c r="J15536" t="s">
        <v>47128</v>
      </c>
      <c r="K15536" t="s">
        <v>47113</v>
      </c>
      <c r="L15536">
        <v>34.08</v>
      </c>
      <c r="M15536">
        <v>73</v>
      </c>
      <c r="N15536">
        <v>0</v>
      </c>
      <c r="O15536">
        <v>73</v>
      </c>
      <c r="P15536">
        <v>0</v>
      </c>
    </row>
    <row r="15537" spans="1:16" x14ac:dyDescent="0.25">
      <c r="A15537" t="s">
        <v>38205</v>
      </c>
      <c r="B15537" t="s">
        <v>10632</v>
      </c>
      <c r="C15537" t="s">
        <v>10633</v>
      </c>
      <c r="D15537" t="str">
        <f>"1378"</f>
        <v>1378</v>
      </c>
      <c r="E15537" t="s">
        <v>388</v>
      </c>
      <c r="F15537" t="s">
        <v>3546</v>
      </c>
      <c r="G15537" t="s">
        <v>47094</v>
      </c>
      <c r="H15537" t="s">
        <v>47126</v>
      </c>
      <c r="I15537" t="s">
        <v>47127</v>
      </c>
      <c r="J15537" t="s">
        <v>47128</v>
      </c>
      <c r="K15537" t="s">
        <v>47113</v>
      </c>
      <c r="L15537">
        <v>34.08</v>
      </c>
      <c r="M15537">
        <v>73</v>
      </c>
      <c r="N15537">
        <v>0</v>
      </c>
      <c r="O15537">
        <v>73</v>
      </c>
      <c r="P15537">
        <v>0</v>
      </c>
    </row>
    <row r="15538" spans="1:16" x14ac:dyDescent="0.25">
      <c r="A15538" t="s">
        <v>38206</v>
      </c>
      <c r="B15538" t="s">
        <v>10632</v>
      </c>
      <c r="C15538" t="s">
        <v>10633</v>
      </c>
      <c r="D15538" t="str">
        <f>"1403"</f>
        <v>1403</v>
      </c>
      <c r="E15538" t="s">
        <v>224</v>
      </c>
      <c r="F15538" t="s">
        <v>3546</v>
      </c>
      <c r="G15538" t="s">
        <v>47094</v>
      </c>
      <c r="H15538" t="s">
        <v>47126</v>
      </c>
      <c r="I15538" t="s">
        <v>47127</v>
      </c>
      <c r="J15538" t="s">
        <v>47128</v>
      </c>
      <c r="K15538" t="s">
        <v>47113</v>
      </c>
      <c r="L15538">
        <v>34.08</v>
      </c>
      <c r="M15538">
        <v>73</v>
      </c>
      <c r="N15538">
        <v>0</v>
      </c>
      <c r="O15538">
        <v>73</v>
      </c>
      <c r="P15538">
        <v>0</v>
      </c>
    </row>
    <row r="15539" spans="1:16" x14ac:dyDescent="0.25">
      <c r="A15539" t="s">
        <v>38207</v>
      </c>
      <c r="B15539" t="s">
        <v>10632</v>
      </c>
      <c r="C15539" t="s">
        <v>10633</v>
      </c>
      <c r="D15539" t="str">
        <f>"3544"</f>
        <v>3544</v>
      </c>
      <c r="E15539" t="s">
        <v>4174</v>
      </c>
      <c r="F15539" t="s">
        <v>3546</v>
      </c>
      <c r="G15539" t="s">
        <v>47094</v>
      </c>
      <c r="H15539" t="s">
        <v>47126</v>
      </c>
      <c r="I15539" t="s">
        <v>47127</v>
      </c>
      <c r="J15539" t="s">
        <v>47128</v>
      </c>
      <c r="K15539" t="s">
        <v>47113</v>
      </c>
      <c r="L15539">
        <v>34.08</v>
      </c>
      <c r="M15539">
        <v>73</v>
      </c>
      <c r="N15539">
        <v>0</v>
      </c>
      <c r="O15539">
        <v>73</v>
      </c>
      <c r="P15539">
        <v>0</v>
      </c>
    </row>
    <row r="15540" spans="1:16" x14ac:dyDescent="0.25">
      <c r="A15540" t="s">
        <v>38208</v>
      </c>
      <c r="B15540" t="s">
        <v>10632</v>
      </c>
      <c r="C15540" t="s">
        <v>10633</v>
      </c>
      <c r="D15540" t="str">
        <f>"4921"</f>
        <v>4921</v>
      </c>
      <c r="E15540" t="s">
        <v>4156</v>
      </c>
      <c r="F15540" t="s">
        <v>3546</v>
      </c>
      <c r="G15540" t="s">
        <v>47094</v>
      </c>
      <c r="H15540" t="s">
        <v>47126</v>
      </c>
      <c r="I15540" t="s">
        <v>47127</v>
      </c>
      <c r="J15540" t="s">
        <v>47128</v>
      </c>
      <c r="K15540" t="s">
        <v>47113</v>
      </c>
      <c r="L15540">
        <v>34.08</v>
      </c>
      <c r="M15540">
        <v>73</v>
      </c>
      <c r="N15540">
        <v>0</v>
      </c>
      <c r="O15540">
        <v>73</v>
      </c>
      <c r="P15540">
        <v>0</v>
      </c>
    </row>
    <row r="15541" spans="1:16" x14ac:dyDescent="0.25">
      <c r="A15541" t="s">
        <v>38209</v>
      </c>
      <c r="B15541" t="s">
        <v>10632</v>
      </c>
      <c r="C15541" t="s">
        <v>10633</v>
      </c>
      <c r="D15541" t="str">
        <f>"6064"</f>
        <v>6064</v>
      </c>
      <c r="E15541" t="s">
        <v>87</v>
      </c>
      <c r="F15541" t="s">
        <v>3546</v>
      </c>
      <c r="G15541" t="s">
        <v>47094</v>
      </c>
      <c r="H15541" t="s">
        <v>47126</v>
      </c>
      <c r="I15541" t="s">
        <v>47127</v>
      </c>
      <c r="J15541" t="s">
        <v>47128</v>
      </c>
      <c r="K15541" t="s">
        <v>47113</v>
      </c>
      <c r="L15541">
        <v>34.08</v>
      </c>
      <c r="M15541">
        <v>73</v>
      </c>
      <c r="N15541">
        <v>0</v>
      </c>
      <c r="O15541">
        <v>73</v>
      </c>
      <c r="P15541">
        <v>0</v>
      </c>
    </row>
    <row r="15542" spans="1:16" x14ac:dyDescent="0.25">
      <c r="A15542" t="s">
        <v>38210</v>
      </c>
      <c r="B15542" t="s">
        <v>10632</v>
      </c>
      <c r="C15542" t="s">
        <v>10633</v>
      </c>
      <c r="D15542" t="str">
        <f>"6082"</f>
        <v>6082</v>
      </c>
      <c r="E15542" t="s">
        <v>2154</v>
      </c>
      <c r="F15542" t="s">
        <v>3546</v>
      </c>
      <c r="G15542" t="s">
        <v>47094</v>
      </c>
      <c r="H15542" t="s">
        <v>47126</v>
      </c>
      <c r="I15542" t="s">
        <v>47127</v>
      </c>
      <c r="J15542" t="s">
        <v>47128</v>
      </c>
      <c r="K15542" t="s">
        <v>47113</v>
      </c>
      <c r="L15542">
        <v>34.08</v>
      </c>
      <c r="M15542">
        <v>73</v>
      </c>
      <c r="N15542">
        <v>0</v>
      </c>
      <c r="O15542">
        <v>73</v>
      </c>
      <c r="P15542">
        <v>0</v>
      </c>
    </row>
    <row r="15543" spans="1:16" x14ac:dyDescent="0.25">
      <c r="A15543" t="s">
        <v>38211</v>
      </c>
      <c r="B15543" t="s">
        <v>10634</v>
      </c>
      <c r="C15543" t="s">
        <v>10635</v>
      </c>
      <c r="D15543" t="str">
        <f>"1106"</f>
        <v>1106</v>
      </c>
      <c r="E15543" t="s">
        <v>460</v>
      </c>
      <c r="F15543" t="s">
        <v>3546</v>
      </c>
      <c r="G15543" t="s">
        <v>47094</v>
      </c>
      <c r="H15543" t="s">
        <v>47126</v>
      </c>
      <c r="I15543" t="s">
        <v>47127</v>
      </c>
      <c r="J15543" t="s">
        <v>47128</v>
      </c>
      <c r="K15543" t="s">
        <v>47113</v>
      </c>
      <c r="L15543">
        <v>34.08</v>
      </c>
      <c r="M15543">
        <v>73</v>
      </c>
      <c r="N15543">
        <v>0</v>
      </c>
      <c r="O15543">
        <v>73</v>
      </c>
      <c r="P15543">
        <v>0</v>
      </c>
    </row>
    <row r="15544" spans="1:16" x14ac:dyDescent="0.25">
      <c r="A15544" t="s">
        <v>38212</v>
      </c>
      <c r="B15544" t="s">
        <v>10634</v>
      </c>
      <c r="C15544" t="s">
        <v>10635</v>
      </c>
      <c r="D15544" t="str">
        <f>"1378"</f>
        <v>1378</v>
      </c>
      <c r="E15544" t="s">
        <v>388</v>
      </c>
      <c r="F15544" t="s">
        <v>3546</v>
      </c>
      <c r="G15544" t="s">
        <v>47094</v>
      </c>
      <c r="H15544" t="s">
        <v>47126</v>
      </c>
      <c r="I15544" t="s">
        <v>47127</v>
      </c>
      <c r="J15544" t="s">
        <v>47128</v>
      </c>
      <c r="K15544" t="s">
        <v>47113</v>
      </c>
      <c r="L15544">
        <v>34.08</v>
      </c>
      <c r="M15544">
        <v>73</v>
      </c>
      <c r="N15544">
        <v>0</v>
      </c>
      <c r="O15544">
        <v>73</v>
      </c>
      <c r="P15544">
        <v>0</v>
      </c>
    </row>
    <row r="15545" spans="1:16" x14ac:dyDescent="0.25">
      <c r="A15545" t="s">
        <v>38213</v>
      </c>
      <c r="B15545" t="s">
        <v>10634</v>
      </c>
      <c r="C15545" t="s">
        <v>10635</v>
      </c>
      <c r="D15545" t="str">
        <f>"1403"</f>
        <v>1403</v>
      </c>
      <c r="E15545" t="s">
        <v>224</v>
      </c>
      <c r="F15545" t="s">
        <v>3546</v>
      </c>
      <c r="G15545" t="s">
        <v>47094</v>
      </c>
      <c r="H15545" t="s">
        <v>47126</v>
      </c>
      <c r="I15545" t="s">
        <v>47127</v>
      </c>
      <c r="J15545" t="s">
        <v>47128</v>
      </c>
      <c r="K15545" t="s">
        <v>47113</v>
      </c>
      <c r="L15545">
        <v>34.08</v>
      </c>
      <c r="M15545">
        <v>73</v>
      </c>
      <c r="N15545">
        <v>0</v>
      </c>
      <c r="O15545">
        <v>73</v>
      </c>
      <c r="P15545">
        <v>0</v>
      </c>
    </row>
    <row r="15546" spans="1:16" x14ac:dyDescent="0.25">
      <c r="A15546" t="s">
        <v>38214</v>
      </c>
      <c r="B15546" t="s">
        <v>10634</v>
      </c>
      <c r="C15546" t="s">
        <v>10635</v>
      </c>
      <c r="D15546" t="str">
        <f>"3544"</f>
        <v>3544</v>
      </c>
      <c r="E15546" t="s">
        <v>4174</v>
      </c>
      <c r="F15546" t="s">
        <v>3546</v>
      </c>
      <c r="G15546" t="s">
        <v>47094</v>
      </c>
      <c r="H15546" t="s">
        <v>47126</v>
      </c>
      <c r="I15546" t="s">
        <v>47127</v>
      </c>
      <c r="J15546" t="s">
        <v>47128</v>
      </c>
      <c r="K15546" t="s">
        <v>47113</v>
      </c>
      <c r="L15546">
        <v>34.08</v>
      </c>
      <c r="M15546">
        <v>73</v>
      </c>
      <c r="N15546">
        <v>0</v>
      </c>
      <c r="O15546">
        <v>73</v>
      </c>
      <c r="P15546">
        <v>0</v>
      </c>
    </row>
    <row r="15547" spans="1:16" x14ac:dyDescent="0.25">
      <c r="A15547" t="s">
        <v>38215</v>
      </c>
      <c r="B15547" t="s">
        <v>10634</v>
      </c>
      <c r="C15547" t="s">
        <v>10635</v>
      </c>
      <c r="D15547" t="str">
        <f>"4921"</f>
        <v>4921</v>
      </c>
      <c r="E15547" t="s">
        <v>4156</v>
      </c>
      <c r="F15547" t="s">
        <v>3546</v>
      </c>
      <c r="G15547" t="s">
        <v>47094</v>
      </c>
      <c r="H15547" t="s">
        <v>47126</v>
      </c>
      <c r="I15547" t="s">
        <v>47127</v>
      </c>
      <c r="J15547" t="s">
        <v>47128</v>
      </c>
      <c r="K15547" t="s">
        <v>47113</v>
      </c>
      <c r="L15547">
        <v>34.08</v>
      </c>
      <c r="M15547">
        <v>73</v>
      </c>
      <c r="N15547">
        <v>0</v>
      </c>
      <c r="O15547">
        <v>73</v>
      </c>
      <c r="P15547">
        <v>0</v>
      </c>
    </row>
    <row r="15548" spans="1:16" x14ac:dyDescent="0.25">
      <c r="A15548" t="s">
        <v>38216</v>
      </c>
      <c r="B15548" t="s">
        <v>10634</v>
      </c>
      <c r="C15548" t="s">
        <v>10635</v>
      </c>
      <c r="D15548" t="str">
        <f>"4922"</f>
        <v>4922</v>
      </c>
      <c r="E15548" t="s">
        <v>4175</v>
      </c>
      <c r="F15548" t="s">
        <v>3546</v>
      </c>
      <c r="G15548" t="s">
        <v>47094</v>
      </c>
      <c r="H15548" t="s">
        <v>47126</v>
      </c>
      <c r="I15548" t="s">
        <v>47127</v>
      </c>
      <c r="J15548" t="s">
        <v>47128</v>
      </c>
      <c r="K15548" t="s">
        <v>47113</v>
      </c>
      <c r="L15548">
        <v>34.08</v>
      </c>
      <c r="M15548">
        <v>73</v>
      </c>
      <c r="N15548">
        <v>0</v>
      </c>
      <c r="O15548">
        <v>73</v>
      </c>
      <c r="P15548">
        <v>0</v>
      </c>
    </row>
    <row r="15549" spans="1:16" x14ac:dyDescent="0.25">
      <c r="A15549" t="s">
        <v>38217</v>
      </c>
      <c r="B15549" t="s">
        <v>10634</v>
      </c>
      <c r="C15549" t="s">
        <v>10635</v>
      </c>
      <c r="D15549" t="str">
        <f>"6064"</f>
        <v>6064</v>
      </c>
      <c r="E15549" t="s">
        <v>87</v>
      </c>
      <c r="F15549" t="s">
        <v>3546</v>
      </c>
      <c r="G15549" t="s">
        <v>47094</v>
      </c>
      <c r="H15549" t="s">
        <v>47126</v>
      </c>
      <c r="I15549" t="s">
        <v>47127</v>
      </c>
      <c r="J15549" t="s">
        <v>47128</v>
      </c>
      <c r="K15549" t="s">
        <v>47113</v>
      </c>
      <c r="L15549">
        <v>34.08</v>
      </c>
      <c r="M15549">
        <v>73</v>
      </c>
      <c r="N15549">
        <v>0</v>
      </c>
      <c r="O15549">
        <v>73</v>
      </c>
      <c r="P15549">
        <v>0</v>
      </c>
    </row>
    <row r="15550" spans="1:16" x14ac:dyDescent="0.25">
      <c r="A15550" t="s">
        <v>38218</v>
      </c>
      <c r="B15550" t="s">
        <v>10634</v>
      </c>
      <c r="C15550" t="s">
        <v>10635</v>
      </c>
      <c r="D15550" t="str">
        <f>"6082"</f>
        <v>6082</v>
      </c>
      <c r="E15550" t="s">
        <v>2154</v>
      </c>
      <c r="F15550" t="s">
        <v>3546</v>
      </c>
      <c r="G15550" t="s">
        <v>47094</v>
      </c>
      <c r="H15550" t="s">
        <v>47126</v>
      </c>
      <c r="I15550" t="s">
        <v>47127</v>
      </c>
      <c r="J15550" t="s">
        <v>47128</v>
      </c>
      <c r="K15550" t="s">
        <v>47113</v>
      </c>
      <c r="L15550">
        <v>34.08</v>
      </c>
      <c r="M15550">
        <v>73</v>
      </c>
      <c r="N15550">
        <v>0</v>
      </c>
      <c r="O15550">
        <v>73</v>
      </c>
      <c r="P15550">
        <v>0</v>
      </c>
    </row>
    <row r="15551" spans="1:16" x14ac:dyDescent="0.25">
      <c r="A15551" t="s">
        <v>38219</v>
      </c>
      <c r="B15551" t="s">
        <v>10636</v>
      </c>
      <c r="C15551" t="s">
        <v>10637</v>
      </c>
      <c r="D15551" t="str">
        <f>"1106"</f>
        <v>1106</v>
      </c>
      <c r="E15551" t="s">
        <v>460</v>
      </c>
      <c r="F15551" t="s">
        <v>3546</v>
      </c>
      <c r="G15551" t="s">
        <v>47094</v>
      </c>
      <c r="H15551" t="s">
        <v>47126</v>
      </c>
      <c r="I15551" t="s">
        <v>47127</v>
      </c>
      <c r="J15551" t="s">
        <v>47128</v>
      </c>
      <c r="K15551" t="s">
        <v>47113</v>
      </c>
      <c r="L15551">
        <v>34.08</v>
      </c>
      <c r="M15551">
        <v>73</v>
      </c>
      <c r="N15551">
        <v>0</v>
      </c>
      <c r="O15551">
        <v>73</v>
      </c>
      <c r="P15551">
        <v>0</v>
      </c>
    </row>
    <row r="15552" spans="1:16" x14ac:dyDescent="0.25">
      <c r="A15552" t="s">
        <v>38220</v>
      </c>
      <c r="B15552" t="s">
        <v>10636</v>
      </c>
      <c r="C15552" t="s">
        <v>10637</v>
      </c>
      <c r="D15552" t="str">
        <f>"1378"</f>
        <v>1378</v>
      </c>
      <c r="E15552" t="s">
        <v>388</v>
      </c>
      <c r="F15552" t="s">
        <v>3546</v>
      </c>
      <c r="G15552" t="s">
        <v>47094</v>
      </c>
      <c r="H15552" t="s">
        <v>47126</v>
      </c>
      <c r="I15552" t="s">
        <v>47127</v>
      </c>
      <c r="J15552" t="s">
        <v>47128</v>
      </c>
      <c r="K15552" t="s">
        <v>47113</v>
      </c>
      <c r="L15552">
        <v>34.08</v>
      </c>
      <c r="M15552">
        <v>73</v>
      </c>
      <c r="N15552">
        <v>0</v>
      </c>
      <c r="O15552">
        <v>73</v>
      </c>
      <c r="P15552">
        <v>0</v>
      </c>
    </row>
    <row r="15553" spans="1:16" x14ac:dyDescent="0.25">
      <c r="A15553" t="s">
        <v>38221</v>
      </c>
      <c r="B15553" t="s">
        <v>10636</v>
      </c>
      <c r="C15553" t="s">
        <v>10637</v>
      </c>
      <c r="D15553" t="str">
        <f>"1403"</f>
        <v>1403</v>
      </c>
      <c r="E15553" t="s">
        <v>224</v>
      </c>
      <c r="F15553" t="s">
        <v>3546</v>
      </c>
      <c r="G15553" t="s">
        <v>47094</v>
      </c>
      <c r="H15553" t="s">
        <v>47126</v>
      </c>
      <c r="I15553" t="s">
        <v>47127</v>
      </c>
      <c r="J15553" t="s">
        <v>47128</v>
      </c>
      <c r="K15553" t="s">
        <v>47113</v>
      </c>
      <c r="L15553">
        <v>34.08</v>
      </c>
      <c r="M15553">
        <v>73</v>
      </c>
      <c r="N15553">
        <v>0</v>
      </c>
      <c r="O15553">
        <v>73</v>
      </c>
      <c r="P15553">
        <v>0</v>
      </c>
    </row>
    <row r="15554" spans="1:16" x14ac:dyDescent="0.25">
      <c r="A15554" t="s">
        <v>38222</v>
      </c>
      <c r="B15554" t="s">
        <v>10636</v>
      </c>
      <c r="C15554" t="s">
        <v>10637</v>
      </c>
      <c r="D15554" t="str">
        <f>"3544"</f>
        <v>3544</v>
      </c>
      <c r="E15554" t="s">
        <v>4174</v>
      </c>
      <c r="F15554" t="s">
        <v>3546</v>
      </c>
      <c r="G15554" t="s">
        <v>47094</v>
      </c>
      <c r="H15554" t="s">
        <v>47126</v>
      </c>
      <c r="I15554" t="s">
        <v>47127</v>
      </c>
      <c r="J15554" t="s">
        <v>47128</v>
      </c>
      <c r="K15554" t="s">
        <v>47113</v>
      </c>
      <c r="L15554">
        <v>34.08</v>
      </c>
      <c r="M15554">
        <v>73</v>
      </c>
      <c r="N15554">
        <v>0</v>
      </c>
      <c r="O15554">
        <v>73</v>
      </c>
      <c r="P15554">
        <v>0</v>
      </c>
    </row>
    <row r="15555" spans="1:16" x14ac:dyDescent="0.25">
      <c r="A15555" t="s">
        <v>38223</v>
      </c>
      <c r="B15555" t="s">
        <v>10636</v>
      </c>
      <c r="C15555" t="s">
        <v>10637</v>
      </c>
      <c r="D15555" t="str">
        <f>"4921"</f>
        <v>4921</v>
      </c>
      <c r="E15555" t="s">
        <v>4156</v>
      </c>
      <c r="F15555" t="s">
        <v>3546</v>
      </c>
      <c r="G15555" t="s">
        <v>47094</v>
      </c>
      <c r="H15555" t="s">
        <v>47126</v>
      </c>
      <c r="I15555" t="s">
        <v>47127</v>
      </c>
      <c r="J15555" t="s">
        <v>47128</v>
      </c>
      <c r="K15555" t="s">
        <v>47113</v>
      </c>
      <c r="L15555">
        <v>34.08</v>
      </c>
      <c r="M15555">
        <v>73</v>
      </c>
      <c r="N15555">
        <v>0</v>
      </c>
      <c r="O15555">
        <v>73</v>
      </c>
      <c r="P15555">
        <v>0</v>
      </c>
    </row>
    <row r="15556" spans="1:16" x14ac:dyDescent="0.25">
      <c r="A15556" t="s">
        <v>38224</v>
      </c>
      <c r="B15556" t="s">
        <v>10636</v>
      </c>
      <c r="C15556" t="s">
        <v>10637</v>
      </c>
      <c r="D15556" t="str">
        <f>"6064"</f>
        <v>6064</v>
      </c>
      <c r="E15556" t="s">
        <v>87</v>
      </c>
      <c r="F15556" t="s">
        <v>3546</v>
      </c>
      <c r="G15556" t="s">
        <v>47094</v>
      </c>
      <c r="H15556" t="s">
        <v>47126</v>
      </c>
      <c r="I15556" t="s">
        <v>47127</v>
      </c>
      <c r="J15556" t="s">
        <v>47128</v>
      </c>
      <c r="K15556" t="s">
        <v>47113</v>
      </c>
      <c r="L15556">
        <v>34.08</v>
      </c>
      <c r="M15556">
        <v>73</v>
      </c>
      <c r="N15556">
        <v>0</v>
      </c>
      <c r="O15556">
        <v>73</v>
      </c>
      <c r="P15556">
        <v>0</v>
      </c>
    </row>
    <row r="15557" spans="1:16" x14ac:dyDescent="0.25">
      <c r="A15557" t="s">
        <v>38225</v>
      </c>
      <c r="B15557" t="s">
        <v>10636</v>
      </c>
      <c r="C15557" t="s">
        <v>10637</v>
      </c>
      <c r="D15557" t="str">
        <f>"6082"</f>
        <v>6082</v>
      </c>
      <c r="E15557" t="s">
        <v>2154</v>
      </c>
      <c r="F15557" t="s">
        <v>3546</v>
      </c>
      <c r="G15557" t="s">
        <v>47094</v>
      </c>
      <c r="H15557" t="s">
        <v>47126</v>
      </c>
      <c r="I15557" t="s">
        <v>47127</v>
      </c>
      <c r="J15557" t="s">
        <v>47128</v>
      </c>
      <c r="K15557" t="s">
        <v>47113</v>
      </c>
      <c r="L15557">
        <v>34.08</v>
      </c>
      <c r="M15557">
        <v>73</v>
      </c>
      <c r="N15557">
        <v>0</v>
      </c>
      <c r="O15557">
        <v>73</v>
      </c>
      <c r="P15557">
        <v>0</v>
      </c>
    </row>
    <row r="15558" spans="1:16" x14ac:dyDescent="0.25">
      <c r="A15558" t="s">
        <v>38226</v>
      </c>
      <c r="B15558" t="s">
        <v>10638</v>
      </c>
      <c r="C15558" t="s">
        <v>10639</v>
      </c>
      <c r="D15558" t="str">
        <f>"1106"</f>
        <v>1106</v>
      </c>
      <c r="E15558" t="s">
        <v>460</v>
      </c>
      <c r="F15558" t="s">
        <v>3546</v>
      </c>
      <c r="G15558" t="s">
        <v>47095</v>
      </c>
      <c r="H15558" t="s">
        <v>47126</v>
      </c>
      <c r="I15558" t="s">
        <v>47127</v>
      </c>
      <c r="J15558" t="s">
        <v>47128</v>
      </c>
      <c r="K15558" t="s">
        <v>47113</v>
      </c>
      <c r="L15558">
        <v>22.12</v>
      </c>
      <c r="M15558">
        <v>46</v>
      </c>
      <c r="N15558">
        <v>0</v>
      </c>
      <c r="O15558">
        <v>46</v>
      </c>
      <c r="P15558">
        <v>0</v>
      </c>
    </row>
    <row r="15559" spans="1:16" x14ac:dyDescent="0.25">
      <c r="A15559" t="s">
        <v>38227</v>
      </c>
      <c r="B15559" t="s">
        <v>10638</v>
      </c>
      <c r="C15559" t="s">
        <v>10639</v>
      </c>
      <c r="D15559" t="str">
        <f>"1378"</f>
        <v>1378</v>
      </c>
      <c r="E15559" t="s">
        <v>388</v>
      </c>
      <c r="F15559" t="s">
        <v>3546</v>
      </c>
      <c r="G15559" t="s">
        <v>47095</v>
      </c>
      <c r="H15559" t="s">
        <v>47126</v>
      </c>
      <c r="I15559" t="s">
        <v>47127</v>
      </c>
      <c r="J15559" t="s">
        <v>47128</v>
      </c>
      <c r="K15559" t="s">
        <v>47113</v>
      </c>
      <c r="L15559">
        <v>22.12</v>
      </c>
      <c r="M15559">
        <v>46</v>
      </c>
      <c r="N15559">
        <v>0</v>
      </c>
      <c r="O15559">
        <v>46</v>
      </c>
      <c r="P15559">
        <v>0</v>
      </c>
    </row>
    <row r="15560" spans="1:16" x14ac:dyDescent="0.25">
      <c r="A15560" t="s">
        <v>38228</v>
      </c>
      <c r="B15560" t="s">
        <v>10638</v>
      </c>
      <c r="C15560" t="s">
        <v>10639</v>
      </c>
      <c r="D15560" t="str">
        <f>"1403"</f>
        <v>1403</v>
      </c>
      <c r="E15560" t="s">
        <v>224</v>
      </c>
      <c r="F15560" t="s">
        <v>3546</v>
      </c>
      <c r="G15560" t="s">
        <v>47095</v>
      </c>
      <c r="H15560" t="s">
        <v>47126</v>
      </c>
      <c r="I15560" t="s">
        <v>47127</v>
      </c>
      <c r="J15560" t="s">
        <v>47128</v>
      </c>
      <c r="K15560" t="s">
        <v>47113</v>
      </c>
      <c r="L15560">
        <v>22.12</v>
      </c>
      <c r="M15560">
        <v>46</v>
      </c>
      <c r="N15560">
        <v>0</v>
      </c>
      <c r="O15560">
        <v>46</v>
      </c>
      <c r="P15560">
        <v>0</v>
      </c>
    </row>
    <row r="15561" spans="1:16" x14ac:dyDescent="0.25">
      <c r="A15561" t="s">
        <v>38229</v>
      </c>
      <c r="B15561" t="s">
        <v>10638</v>
      </c>
      <c r="C15561" t="s">
        <v>10639</v>
      </c>
      <c r="D15561" t="str">
        <f>"3544"</f>
        <v>3544</v>
      </c>
      <c r="E15561" t="s">
        <v>4174</v>
      </c>
      <c r="F15561" t="s">
        <v>3546</v>
      </c>
      <c r="G15561" t="s">
        <v>47095</v>
      </c>
      <c r="H15561" t="s">
        <v>47126</v>
      </c>
      <c r="I15561" t="s">
        <v>47127</v>
      </c>
      <c r="J15561" t="s">
        <v>47128</v>
      </c>
      <c r="K15561" t="s">
        <v>47113</v>
      </c>
      <c r="L15561">
        <v>22.12</v>
      </c>
      <c r="M15561">
        <v>46</v>
      </c>
      <c r="N15561">
        <v>0</v>
      </c>
      <c r="O15561">
        <v>46</v>
      </c>
      <c r="P15561">
        <v>0</v>
      </c>
    </row>
    <row r="15562" spans="1:16" x14ac:dyDescent="0.25">
      <c r="A15562" t="s">
        <v>38230</v>
      </c>
      <c r="B15562" t="s">
        <v>10638</v>
      </c>
      <c r="C15562" t="s">
        <v>10639</v>
      </c>
      <c r="D15562" t="str">
        <f>"4921"</f>
        <v>4921</v>
      </c>
      <c r="E15562" t="s">
        <v>4156</v>
      </c>
      <c r="F15562" t="s">
        <v>3546</v>
      </c>
      <c r="G15562" t="s">
        <v>47095</v>
      </c>
      <c r="H15562" t="s">
        <v>47126</v>
      </c>
      <c r="I15562" t="s">
        <v>47127</v>
      </c>
      <c r="J15562" t="s">
        <v>47128</v>
      </c>
      <c r="K15562" t="s">
        <v>47113</v>
      </c>
      <c r="L15562">
        <v>22.12</v>
      </c>
      <c r="M15562">
        <v>46</v>
      </c>
      <c r="N15562">
        <v>0</v>
      </c>
      <c r="O15562">
        <v>46</v>
      </c>
      <c r="P15562">
        <v>0</v>
      </c>
    </row>
    <row r="15563" spans="1:16" x14ac:dyDescent="0.25">
      <c r="A15563" t="s">
        <v>38231</v>
      </c>
      <c r="B15563" t="s">
        <v>10638</v>
      </c>
      <c r="C15563" t="s">
        <v>10639</v>
      </c>
      <c r="D15563" t="str">
        <f>"6064"</f>
        <v>6064</v>
      </c>
      <c r="E15563" t="s">
        <v>87</v>
      </c>
      <c r="F15563" t="s">
        <v>3546</v>
      </c>
      <c r="G15563" t="s">
        <v>47095</v>
      </c>
      <c r="H15563" t="s">
        <v>47126</v>
      </c>
      <c r="I15563" t="s">
        <v>47127</v>
      </c>
      <c r="J15563" t="s">
        <v>47128</v>
      </c>
      <c r="K15563" t="s">
        <v>47113</v>
      </c>
      <c r="L15563">
        <v>22.12</v>
      </c>
      <c r="M15563">
        <v>46</v>
      </c>
      <c r="N15563">
        <v>0</v>
      </c>
      <c r="O15563">
        <v>46</v>
      </c>
      <c r="P15563">
        <v>0</v>
      </c>
    </row>
    <row r="15564" spans="1:16" x14ac:dyDescent="0.25">
      <c r="A15564" t="s">
        <v>38232</v>
      </c>
      <c r="B15564" t="s">
        <v>10638</v>
      </c>
      <c r="C15564" t="s">
        <v>10639</v>
      </c>
      <c r="D15564" t="str">
        <f>"6082"</f>
        <v>6082</v>
      </c>
      <c r="E15564" t="s">
        <v>2154</v>
      </c>
      <c r="F15564" t="s">
        <v>3546</v>
      </c>
      <c r="G15564" t="s">
        <v>47095</v>
      </c>
      <c r="H15564" t="s">
        <v>47126</v>
      </c>
      <c r="I15564" t="s">
        <v>47127</v>
      </c>
      <c r="J15564" t="s">
        <v>47128</v>
      </c>
      <c r="K15564" t="s">
        <v>47113</v>
      </c>
      <c r="L15564">
        <v>22.12</v>
      </c>
      <c r="M15564">
        <v>46</v>
      </c>
      <c r="N15564">
        <v>0</v>
      </c>
      <c r="O15564">
        <v>46</v>
      </c>
      <c r="P15564">
        <v>0</v>
      </c>
    </row>
    <row r="15565" spans="1:16" x14ac:dyDescent="0.25">
      <c r="A15565" t="s">
        <v>38233</v>
      </c>
      <c r="B15565" t="s">
        <v>10640</v>
      </c>
      <c r="C15565" t="s">
        <v>10641</v>
      </c>
      <c r="D15565" t="str">
        <f>"1106"</f>
        <v>1106</v>
      </c>
      <c r="E15565" t="s">
        <v>460</v>
      </c>
      <c r="F15565" t="s">
        <v>3546</v>
      </c>
      <c r="G15565" t="s">
        <v>47095</v>
      </c>
      <c r="H15565" t="s">
        <v>47126</v>
      </c>
      <c r="I15565" t="s">
        <v>47127</v>
      </c>
      <c r="J15565" t="s">
        <v>47128</v>
      </c>
      <c r="K15565" t="s">
        <v>47113</v>
      </c>
      <c r="L15565">
        <v>22.12</v>
      </c>
      <c r="M15565">
        <v>46</v>
      </c>
      <c r="N15565">
        <v>0</v>
      </c>
      <c r="O15565">
        <v>46</v>
      </c>
      <c r="P15565">
        <v>0</v>
      </c>
    </row>
    <row r="15566" spans="1:16" x14ac:dyDescent="0.25">
      <c r="A15566" t="s">
        <v>38234</v>
      </c>
      <c r="B15566" t="s">
        <v>10640</v>
      </c>
      <c r="C15566" t="s">
        <v>10641</v>
      </c>
      <c r="D15566" t="str">
        <f>"1378"</f>
        <v>1378</v>
      </c>
      <c r="E15566" t="s">
        <v>388</v>
      </c>
      <c r="F15566" t="s">
        <v>3546</v>
      </c>
      <c r="G15566" t="s">
        <v>47095</v>
      </c>
      <c r="H15566" t="s">
        <v>47126</v>
      </c>
      <c r="I15566" t="s">
        <v>47127</v>
      </c>
      <c r="J15566" t="s">
        <v>47128</v>
      </c>
      <c r="K15566" t="s">
        <v>47113</v>
      </c>
      <c r="L15566">
        <v>22.12</v>
      </c>
      <c r="M15566">
        <v>46</v>
      </c>
      <c r="N15566">
        <v>0</v>
      </c>
      <c r="O15566">
        <v>46</v>
      </c>
      <c r="P15566">
        <v>0</v>
      </c>
    </row>
    <row r="15567" spans="1:16" x14ac:dyDescent="0.25">
      <c r="A15567" t="s">
        <v>38235</v>
      </c>
      <c r="B15567" t="s">
        <v>10640</v>
      </c>
      <c r="C15567" t="s">
        <v>10641</v>
      </c>
      <c r="D15567" t="str">
        <f>"1403"</f>
        <v>1403</v>
      </c>
      <c r="E15567" t="s">
        <v>224</v>
      </c>
      <c r="F15567" t="s">
        <v>3546</v>
      </c>
      <c r="G15567" t="s">
        <v>47095</v>
      </c>
      <c r="H15567" t="s">
        <v>47126</v>
      </c>
      <c r="I15567" t="s">
        <v>47127</v>
      </c>
      <c r="J15567" t="s">
        <v>47128</v>
      </c>
      <c r="K15567" t="s">
        <v>47113</v>
      </c>
      <c r="L15567">
        <v>22.12</v>
      </c>
      <c r="M15567">
        <v>46</v>
      </c>
      <c r="N15567">
        <v>0</v>
      </c>
      <c r="O15567">
        <v>46</v>
      </c>
      <c r="P15567">
        <v>0</v>
      </c>
    </row>
    <row r="15568" spans="1:16" x14ac:dyDescent="0.25">
      <c r="A15568" t="s">
        <v>38236</v>
      </c>
      <c r="B15568" t="s">
        <v>10640</v>
      </c>
      <c r="C15568" t="s">
        <v>10641</v>
      </c>
      <c r="D15568" t="str">
        <f>"3544"</f>
        <v>3544</v>
      </c>
      <c r="E15568" t="s">
        <v>4174</v>
      </c>
      <c r="F15568" t="s">
        <v>3546</v>
      </c>
      <c r="G15568" t="s">
        <v>47095</v>
      </c>
      <c r="H15568" t="s">
        <v>47126</v>
      </c>
      <c r="I15568" t="s">
        <v>47127</v>
      </c>
      <c r="J15568" t="s">
        <v>47128</v>
      </c>
      <c r="K15568" t="s">
        <v>47113</v>
      </c>
      <c r="L15568">
        <v>22.12</v>
      </c>
      <c r="M15568">
        <v>46</v>
      </c>
      <c r="N15568">
        <v>0</v>
      </c>
      <c r="O15568">
        <v>46</v>
      </c>
      <c r="P15568">
        <v>0</v>
      </c>
    </row>
    <row r="15569" spans="1:16" x14ac:dyDescent="0.25">
      <c r="A15569" t="s">
        <v>38237</v>
      </c>
      <c r="B15569" t="s">
        <v>10640</v>
      </c>
      <c r="C15569" t="s">
        <v>10641</v>
      </c>
      <c r="D15569" t="str">
        <f>"4921"</f>
        <v>4921</v>
      </c>
      <c r="E15569" t="s">
        <v>4156</v>
      </c>
      <c r="F15569" t="s">
        <v>3546</v>
      </c>
      <c r="G15569" t="s">
        <v>47095</v>
      </c>
      <c r="H15569" t="s">
        <v>47126</v>
      </c>
      <c r="I15569" t="s">
        <v>47127</v>
      </c>
      <c r="J15569" t="s">
        <v>47128</v>
      </c>
      <c r="K15569" t="s">
        <v>47113</v>
      </c>
      <c r="L15569">
        <v>22.12</v>
      </c>
      <c r="M15569">
        <v>46</v>
      </c>
      <c r="N15569">
        <v>0</v>
      </c>
      <c r="O15569">
        <v>46</v>
      </c>
      <c r="P15569">
        <v>0</v>
      </c>
    </row>
    <row r="15570" spans="1:16" x14ac:dyDescent="0.25">
      <c r="A15570" t="s">
        <v>38238</v>
      </c>
      <c r="B15570" t="s">
        <v>10640</v>
      </c>
      <c r="C15570" t="s">
        <v>10641</v>
      </c>
      <c r="D15570" t="str">
        <f>"6064"</f>
        <v>6064</v>
      </c>
      <c r="E15570" t="s">
        <v>87</v>
      </c>
      <c r="F15570" t="s">
        <v>3546</v>
      </c>
      <c r="G15570" t="s">
        <v>47095</v>
      </c>
      <c r="H15570" t="s">
        <v>47126</v>
      </c>
      <c r="I15570" t="s">
        <v>47127</v>
      </c>
      <c r="J15570" t="s">
        <v>47128</v>
      </c>
      <c r="K15570" t="s">
        <v>47113</v>
      </c>
      <c r="L15570">
        <v>22.12</v>
      </c>
      <c r="M15570">
        <v>46</v>
      </c>
      <c r="N15570">
        <v>0</v>
      </c>
      <c r="O15570">
        <v>46</v>
      </c>
      <c r="P15570">
        <v>0</v>
      </c>
    </row>
    <row r="15571" spans="1:16" x14ac:dyDescent="0.25">
      <c r="A15571" t="s">
        <v>38239</v>
      </c>
      <c r="B15571" t="s">
        <v>10640</v>
      </c>
      <c r="C15571" t="s">
        <v>10641</v>
      </c>
      <c r="D15571" t="str">
        <f>"6082"</f>
        <v>6082</v>
      </c>
      <c r="E15571" t="s">
        <v>2154</v>
      </c>
      <c r="F15571" t="s">
        <v>3546</v>
      </c>
      <c r="G15571" t="s">
        <v>47095</v>
      </c>
      <c r="H15571" t="s">
        <v>47126</v>
      </c>
      <c r="I15571" t="s">
        <v>47127</v>
      </c>
      <c r="J15571" t="s">
        <v>47128</v>
      </c>
      <c r="K15571" t="s">
        <v>47113</v>
      </c>
      <c r="L15571">
        <v>22.12</v>
      </c>
      <c r="M15571">
        <v>46</v>
      </c>
      <c r="N15571">
        <v>0</v>
      </c>
      <c r="O15571">
        <v>46</v>
      </c>
      <c r="P15571">
        <v>0</v>
      </c>
    </row>
    <row r="15572" spans="1:16" x14ac:dyDescent="0.25">
      <c r="A15572" t="s">
        <v>38240</v>
      </c>
      <c r="B15572" t="s">
        <v>10642</v>
      </c>
      <c r="C15572" t="s">
        <v>10643</v>
      </c>
      <c r="D15572" t="str">
        <f>"1106"</f>
        <v>1106</v>
      </c>
      <c r="E15572" t="s">
        <v>460</v>
      </c>
      <c r="F15572" t="s">
        <v>3546</v>
      </c>
      <c r="G15572" t="s">
        <v>47095</v>
      </c>
      <c r="H15572" t="s">
        <v>47126</v>
      </c>
      <c r="I15572" t="s">
        <v>47127</v>
      </c>
      <c r="J15572" t="s">
        <v>47128</v>
      </c>
      <c r="K15572" t="s">
        <v>47113</v>
      </c>
      <c r="L15572">
        <v>22.12</v>
      </c>
      <c r="M15572">
        <v>54</v>
      </c>
      <c r="N15572">
        <v>0</v>
      </c>
      <c r="O15572">
        <v>54</v>
      </c>
      <c r="P15572">
        <v>0</v>
      </c>
    </row>
    <row r="15573" spans="1:16" x14ac:dyDescent="0.25">
      <c r="A15573" t="s">
        <v>38241</v>
      </c>
      <c r="B15573" t="s">
        <v>10642</v>
      </c>
      <c r="C15573" t="s">
        <v>10643</v>
      </c>
      <c r="D15573" t="str">
        <f>"1378"</f>
        <v>1378</v>
      </c>
      <c r="E15573" t="s">
        <v>388</v>
      </c>
      <c r="F15573" t="s">
        <v>3546</v>
      </c>
      <c r="G15573" t="s">
        <v>47095</v>
      </c>
      <c r="H15573" t="s">
        <v>47126</v>
      </c>
      <c r="I15573" t="s">
        <v>47127</v>
      </c>
      <c r="J15573" t="s">
        <v>47128</v>
      </c>
      <c r="K15573" t="s">
        <v>47113</v>
      </c>
      <c r="L15573">
        <v>22.12</v>
      </c>
      <c r="M15573">
        <v>54</v>
      </c>
      <c r="N15573">
        <v>0</v>
      </c>
      <c r="O15573">
        <v>54</v>
      </c>
      <c r="P15573">
        <v>0</v>
      </c>
    </row>
    <row r="15574" spans="1:16" x14ac:dyDescent="0.25">
      <c r="A15574" t="s">
        <v>38242</v>
      </c>
      <c r="B15574" t="s">
        <v>10642</v>
      </c>
      <c r="C15574" t="s">
        <v>10643</v>
      </c>
      <c r="D15574" t="str">
        <f>"1403"</f>
        <v>1403</v>
      </c>
      <c r="E15574" t="s">
        <v>224</v>
      </c>
      <c r="F15574" t="s">
        <v>3546</v>
      </c>
      <c r="G15574" t="s">
        <v>47095</v>
      </c>
      <c r="H15574" t="s">
        <v>47126</v>
      </c>
      <c r="I15574" t="s">
        <v>47127</v>
      </c>
      <c r="J15574" t="s">
        <v>47128</v>
      </c>
      <c r="K15574" t="s">
        <v>47113</v>
      </c>
      <c r="L15574">
        <v>22.12</v>
      </c>
      <c r="M15574">
        <v>54</v>
      </c>
      <c r="N15574">
        <v>0</v>
      </c>
      <c r="O15574">
        <v>54</v>
      </c>
      <c r="P15574">
        <v>0</v>
      </c>
    </row>
    <row r="15575" spans="1:16" x14ac:dyDescent="0.25">
      <c r="A15575" t="s">
        <v>38243</v>
      </c>
      <c r="B15575" t="s">
        <v>10642</v>
      </c>
      <c r="C15575" t="s">
        <v>10643</v>
      </c>
      <c r="D15575" t="str">
        <f>"3544"</f>
        <v>3544</v>
      </c>
      <c r="E15575" t="s">
        <v>4174</v>
      </c>
      <c r="F15575" t="s">
        <v>3546</v>
      </c>
      <c r="G15575" t="s">
        <v>47095</v>
      </c>
      <c r="H15575" t="s">
        <v>47126</v>
      </c>
      <c r="I15575" t="s">
        <v>47127</v>
      </c>
      <c r="J15575" t="s">
        <v>47128</v>
      </c>
      <c r="K15575" t="s">
        <v>47113</v>
      </c>
      <c r="L15575">
        <v>22.12</v>
      </c>
      <c r="M15575">
        <v>54</v>
      </c>
      <c r="N15575">
        <v>0</v>
      </c>
      <c r="O15575">
        <v>54</v>
      </c>
      <c r="P15575">
        <v>0</v>
      </c>
    </row>
    <row r="15576" spans="1:16" x14ac:dyDescent="0.25">
      <c r="A15576" t="s">
        <v>38244</v>
      </c>
      <c r="B15576" t="s">
        <v>10642</v>
      </c>
      <c r="C15576" t="s">
        <v>10643</v>
      </c>
      <c r="D15576" t="str">
        <f>"4921"</f>
        <v>4921</v>
      </c>
      <c r="E15576" t="s">
        <v>4156</v>
      </c>
      <c r="F15576" t="s">
        <v>3546</v>
      </c>
      <c r="G15576" t="s">
        <v>47095</v>
      </c>
      <c r="H15576" t="s">
        <v>47126</v>
      </c>
      <c r="I15576" t="s">
        <v>47127</v>
      </c>
      <c r="J15576" t="s">
        <v>47128</v>
      </c>
      <c r="K15576" t="s">
        <v>47113</v>
      </c>
      <c r="L15576">
        <v>22.12</v>
      </c>
      <c r="M15576">
        <v>54</v>
      </c>
      <c r="N15576">
        <v>0</v>
      </c>
      <c r="O15576">
        <v>54</v>
      </c>
      <c r="P15576">
        <v>0</v>
      </c>
    </row>
    <row r="15577" spans="1:16" x14ac:dyDescent="0.25">
      <c r="A15577" t="s">
        <v>38245</v>
      </c>
      <c r="B15577" t="s">
        <v>10642</v>
      </c>
      <c r="C15577" t="s">
        <v>10643</v>
      </c>
      <c r="D15577" t="str">
        <f>"4922"</f>
        <v>4922</v>
      </c>
      <c r="E15577" t="s">
        <v>4175</v>
      </c>
      <c r="F15577" t="s">
        <v>3546</v>
      </c>
      <c r="G15577" t="s">
        <v>47095</v>
      </c>
      <c r="H15577" t="s">
        <v>47126</v>
      </c>
      <c r="I15577" t="s">
        <v>47127</v>
      </c>
      <c r="J15577" t="s">
        <v>47128</v>
      </c>
      <c r="K15577" t="s">
        <v>47113</v>
      </c>
      <c r="L15577">
        <v>22.12</v>
      </c>
      <c r="M15577">
        <v>54</v>
      </c>
      <c r="N15577">
        <v>0</v>
      </c>
      <c r="O15577">
        <v>54</v>
      </c>
      <c r="P15577">
        <v>0</v>
      </c>
    </row>
    <row r="15578" spans="1:16" x14ac:dyDescent="0.25">
      <c r="A15578" t="s">
        <v>38246</v>
      </c>
      <c r="B15578" t="s">
        <v>10642</v>
      </c>
      <c r="C15578" t="s">
        <v>10643</v>
      </c>
      <c r="D15578" t="str">
        <f>"6064"</f>
        <v>6064</v>
      </c>
      <c r="E15578" t="s">
        <v>87</v>
      </c>
      <c r="F15578" t="s">
        <v>3546</v>
      </c>
      <c r="G15578" t="s">
        <v>47095</v>
      </c>
      <c r="H15578" t="s">
        <v>47126</v>
      </c>
      <c r="I15578" t="s">
        <v>47127</v>
      </c>
      <c r="J15578" t="s">
        <v>47128</v>
      </c>
      <c r="K15578" t="s">
        <v>47113</v>
      </c>
      <c r="L15578">
        <v>22.12</v>
      </c>
      <c r="M15578">
        <v>54</v>
      </c>
      <c r="N15578">
        <v>0</v>
      </c>
      <c r="O15578">
        <v>54</v>
      </c>
      <c r="P15578">
        <v>0</v>
      </c>
    </row>
    <row r="15579" spans="1:16" x14ac:dyDescent="0.25">
      <c r="A15579" t="s">
        <v>38247</v>
      </c>
      <c r="B15579" t="s">
        <v>10642</v>
      </c>
      <c r="C15579" t="s">
        <v>10643</v>
      </c>
      <c r="D15579" t="str">
        <f>"6082"</f>
        <v>6082</v>
      </c>
      <c r="E15579" t="s">
        <v>2154</v>
      </c>
      <c r="F15579" t="s">
        <v>3546</v>
      </c>
      <c r="G15579" t="s">
        <v>47095</v>
      </c>
      <c r="H15579" t="s">
        <v>47126</v>
      </c>
      <c r="I15579" t="s">
        <v>47127</v>
      </c>
      <c r="J15579" t="s">
        <v>47128</v>
      </c>
      <c r="K15579" t="s">
        <v>47113</v>
      </c>
      <c r="L15579">
        <v>22.12</v>
      </c>
      <c r="M15579">
        <v>54</v>
      </c>
      <c r="N15579">
        <v>0</v>
      </c>
      <c r="O15579">
        <v>54</v>
      </c>
      <c r="P15579">
        <v>0</v>
      </c>
    </row>
    <row r="15580" spans="1:16" x14ac:dyDescent="0.25">
      <c r="A15580" t="s">
        <v>38248</v>
      </c>
      <c r="B15580" t="s">
        <v>10644</v>
      </c>
      <c r="C15580" t="s">
        <v>10645</v>
      </c>
      <c r="D15580" t="str">
        <f>"1106"</f>
        <v>1106</v>
      </c>
      <c r="E15580" t="s">
        <v>460</v>
      </c>
      <c r="F15580" t="s">
        <v>3546</v>
      </c>
      <c r="G15580" t="s">
        <v>47096</v>
      </c>
      <c r="H15580" t="s">
        <v>47126</v>
      </c>
      <c r="I15580" t="s">
        <v>47127</v>
      </c>
      <c r="J15580" t="s">
        <v>47128</v>
      </c>
      <c r="K15580" t="s">
        <v>47113</v>
      </c>
      <c r="L15580">
        <v>19.73</v>
      </c>
      <c r="M15580">
        <v>49</v>
      </c>
      <c r="N15580">
        <v>0</v>
      </c>
      <c r="O15580">
        <v>49</v>
      </c>
      <c r="P15580">
        <v>0</v>
      </c>
    </row>
    <row r="15581" spans="1:16" x14ac:dyDescent="0.25">
      <c r="A15581" t="s">
        <v>38249</v>
      </c>
      <c r="B15581" t="s">
        <v>10644</v>
      </c>
      <c r="C15581" t="s">
        <v>10645</v>
      </c>
      <c r="D15581" t="str">
        <f>"1369"</f>
        <v>1369</v>
      </c>
      <c r="E15581" t="s">
        <v>4163</v>
      </c>
      <c r="F15581" t="s">
        <v>3546</v>
      </c>
      <c r="G15581" t="s">
        <v>47096</v>
      </c>
      <c r="H15581" t="s">
        <v>47126</v>
      </c>
      <c r="I15581" t="s">
        <v>47127</v>
      </c>
      <c r="J15581" t="s">
        <v>47128</v>
      </c>
      <c r="K15581" t="s">
        <v>47113</v>
      </c>
      <c r="L15581">
        <v>19.73</v>
      </c>
      <c r="M15581">
        <v>49</v>
      </c>
      <c r="N15581">
        <v>0</v>
      </c>
      <c r="O15581">
        <v>49</v>
      </c>
      <c r="P15581">
        <v>0</v>
      </c>
    </row>
    <row r="15582" spans="1:16" x14ac:dyDescent="0.25">
      <c r="A15582" t="s">
        <v>38250</v>
      </c>
      <c r="B15582" t="s">
        <v>10644</v>
      </c>
      <c r="C15582" t="s">
        <v>10645</v>
      </c>
      <c r="D15582" t="str">
        <f>"1378"</f>
        <v>1378</v>
      </c>
      <c r="E15582" t="s">
        <v>388</v>
      </c>
      <c r="F15582" t="s">
        <v>3546</v>
      </c>
      <c r="G15582" t="s">
        <v>47096</v>
      </c>
      <c r="H15582" t="s">
        <v>47126</v>
      </c>
      <c r="I15582" t="s">
        <v>47127</v>
      </c>
      <c r="J15582" t="s">
        <v>47128</v>
      </c>
      <c r="K15582" t="s">
        <v>47113</v>
      </c>
      <c r="L15582">
        <v>19.73</v>
      </c>
      <c r="M15582">
        <v>49</v>
      </c>
      <c r="N15582">
        <v>0</v>
      </c>
      <c r="O15582">
        <v>49</v>
      </c>
      <c r="P15582">
        <v>0</v>
      </c>
    </row>
    <row r="15583" spans="1:16" x14ac:dyDescent="0.25">
      <c r="A15583" t="s">
        <v>38251</v>
      </c>
      <c r="B15583" t="s">
        <v>10644</v>
      </c>
      <c r="C15583" t="s">
        <v>10645</v>
      </c>
      <c r="D15583" t="str">
        <f>"1500"</f>
        <v>1500</v>
      </c>
      <c r="E15583" t="s">
        <v>4160</v>
      </c>
      <c r="F15583" t="s">
        <v>3546</v>
      </c>
      <c r="G15583" t="s">
        <v>47096</v>
      </c>
      <c r="H15583" t="s">
        <v>47126</v>
      </c>
      <c r="I15583" t="s">
        <v>47127</v>
      </c>
      <c r="J15583" t="s">
        <v>47128</v>
      </c>
      <c r="K15583" t="s">
        <v>47113</v>
      </c>
      <c r="L15583">
        <v>19.73</v>
      </c>
      <c r="M15583">
        <v>49</v>
      </c>
      <c r="N15583">
        <v>0</v>
      </c>
      <c r="O15583">
        <v>49</v>
      </c>
      <c r="P15583">
        <v>0</v>
      </c>
    </row>
    <row r="15584" spans="1:16" x14ac:dyDescent="0.25">
      <c r="A15584" t="s">
        <v>38252</v>
      </c>
      <c r="B15584" t="s">
        <v>10644</v>
      </c>
      <c r="C15584" t="s">
        <v>10645</v>
      </c>
      <c r="D15584" t="str">
        <f>"6082"</f>
        <v>6082</v>
      </c>
      <c r="E15584" t="s">
        <v>2154</v>
      </c>
      <c r="F15584" t="s">
        <v>3546</v>
      </c>
      <c r="G15584" t="s">
        <v>47096</v>
      </c>
      <c r="H15584" t="s">
        <v>47126</v>
      </c>
      <c r="I15584" t="s">
        <v>47127</v>
      </c>
      <c r="J15584" t="s">
        <v>47128</v>
      </c>
      <c r="K15584" t="s">
        <v>47113</v>
      </c>
      <c r="L15584">
        <v>19.73</v>
      </c>
      <c r="M15584">
        <v>49</v>
      </c>
      <c r="N15584">
        <v>0</v>
      </c>
      <c r="O15584">
        <v>49</v>
      </c>
      <c r="P15584">
        <v>0</v>
      </c>
    </row>
    <row r="15585" spans="1:16" x14ac:dyDescent="0.25">
      <c r="A15585" t="s">
        <v>38253</v>
      </c>
      <c r="B15585" t="s">
        <v>10646</v>
      </c>
      <c r="C15585" t="s">
        <v>10647</v>
      </c>
      <c r="D15585" t="str">
        <f>"1106"</f>
        <v>1106</v>
      </c>
      <c r="E15585" t="s">
        <v>460</v>
      </c>
      <c r="F15585" t="s">
        <v>3546</v>
      </c>
      <c r="G15585" t="s">
        <v>47094</v>
      </c>
      <c r="H15585" t="s">
        <v>47126</v>
      </c>
      <c r="I15585" t="s">
        <v>47127</v>
      </c>
      <c r="J15585" t="s">
        <v>47128</v>
      </c>
      <c r="K15585" t="s">
        <v>47113</v>
      </c>
      <c r="L15585">
        <v>19.73</v>
      </c>
      <c r="M15585">
        <v>49</v>
      </c>
      <c r="N15585">
        <v>0</v>
      </c>
      <c r="O15585">
        <v>49</v>
      </c>
      <c r="P15585">
        <v>0</v>
      </c>
    </row>
    <row r="15586" spans="1:16" x14ac:dyDescent="0.25">
      <c r="A15586" t="s">
        <v>38254</v>
      </c>
      <c r="B15586" t="s">
        <v>10646</v>
      </c>
      <c r="C15586" t="s">
        <v>10647</v>
      </c>
      <c r="D15586" t="str">
        <f>"1369"</f>
        <v>1369</v>
      </c>
      <c r="E15586" t="s">
        <v>4163</v>
      </c>
      <c r="F15586" t="s">
        <v>3546</v>
      </c>
      <c r="G15586" t="s">
        <v>47094</v>
      </c>
      <c r="H15586" t="s">
        <v>47126</v>
      </c>
      <c r="I15586" t="s">
        <v>47127</v>
      </c>
      <c r="J15586" t="s">
        <v>47128</v>
      </c>
      <c r="K15586" t="s">
        <v>47113</v>
      </c>
      <c r="L15586">
        <v>19.73</v>
      </c>
      <c r="M15586">
        <v>49</v>
      </c>
      <c r="N15586">
        <v>0</v>
      </c>
      <c r="O15586">
        <v>49</v>
      </c>
      <c r="P15586">
        <v>0</v>
      </c>
    </row>
    <row r="15587" spans="1:16" x14ac:dyDescent="0.25">
      <c r="A15587" t="s">
        <v>38255</v>
      </c>
      <c r="B15587" t="s">
        <v>10646</v>
      </c>
      <c r="C15587" t="s">
        <v>10647</v>
      </c>
      <c r="D15587" t="str">
        <f>"1378"</f>
        <v>1378</v>
      </c>
      <c r="E15587" t="s">
        <v>388</v>
      </c>
      <c r="F15587" t="s">
        <v>3546</v>
      </c>
      <c r="G15587" t="s">
        <v>47094</v>
      </c>
      <c r="H15587" t="s">
        <v>47126</v>
      </c>
      <c r="I15587" t="s">
        <v>47127</v>
      </c>
      <c r="J15587" t="s">
        <v>47128</v>
      </c>
      <c r="K15587" t="s">
        <v>47113</v>
      </c>
      <c r="L15587">
        <v>19.73</v>
      </c>
      <c r="M15587">
        <v>49</v>
      </c>
      <c r="N15587">
        <v>0</v>
      </c>
      <c r="O15587">
        <v>49</v>
      </c>
      <c r="P15587">
        <v>0</v>
      </c>
    </row>
    <row r="15588" spans="1:16" x14ac:dyDescent="0.25">
      <c r="A15588" t="s">
        <v>38256</v>
      </c>
      <c r="B15588" t="s">
        <v>10646</v>
      </c>
      <c r="C15588" t="s">
        <v>10647</v>
      </c>
      <c r="D15588" t="str">
        <f>"1500"</f>
        <v>1500</v>
      </c>
      <c r="E15588" t="s">
        <v>4160</v>
      </c>
      <c r="F15588" t="s">
        <v>3546</v>
      </c>
      <c r="G15588" t="s">
        <v>47094</v>
      </c>
      <c r="H15588" t="s">
        <v>47126</v>
      </c>
      <c r="I15588" t="s">
        <v>47127</v>
      </c>
      <c r="J15588" t="s">
        <v>47128</v>
      </c>
      <c r="K15588" t="s">
        <v>47113</v>
      </c>
      <c r="L15588">
        <v>19.73</v>
      </c>
      <c r="M15588">
        <v>49</v>
      </c>
      <c r="N15588">
        <v>0</v>
      </c>
      <c r="O15588">
        <v>49</v>
      </c>
      <c r="P15588">
        <v>0</v>
      </c>
    </row>
    <row r="15589" spans="1:16" x14ac:dyDescent="0.25">
      <c r="A15589" t="s">
        <v>38257</v>
      </c>
      <c r="B15589" t="s">
        <v>10648</v>
      </c>
      <c r="C15589" t="s">
        <v>10649</v>
      </c>
      <c r="D15589" t="str">
        <f>"1106"</f>
        <v>1106</v>
      </c>
      <c r="E15589" t="s">
        <v>460</v>
      </c>
      <c r="F15589" t="s">
        <v>3546</v>
      </c>
      <c r="G15589" t="s">
        <v>47095</v>
      </c>
      <c r="H15589" t="s">
        <v>47126</v>
      </c>
      <c r="I15589" t="s">
        <v>47127</v>
      </c>
      <c r="J15589" t="s">
        <v>47128</v>
      </c>
      <c r="K15589" t="s">
        <v>47113</v>
      </c>
      <c r="L15589">
        <v>22.12</v>
      </c>
      <c r="M15589">
        <v>54</v>
      </c>
      <c r="N15589">
        <v>0</v>
      </c>
      <c r="O15589">
        <v>54</v>
      </c>
      <c r="P15589">
        <v>0</v>
      </c>
    </row>
    <row r="15590" spans="1:16" x14ac:dyDescent="0.25">
      <c r="A15590" t="s">
        <v>38258</v>
      </c>
      <c r="B15590" t="s">
        <v>10648</v>
      </c>
      <c r="C15590" t="s">
        <v>10649</v>
      </c>
      <c r="D15590" t="str">
        <f>"1378"</f>
        <v>1378</v>
      </c>
      <c r="E15590" t="s">
        <v>388</v>
      </c>
      <c r="F15590" t="s">
        <v>3546</v>
      </c>
      <c r="G15590" t="s">
        <v>47095</v>
      </c>
      <c r="H15590" t="s">
        <v>47126</v>
      </c>
      <c r="I15590" t="s">
        <v>47127</v>
      </c>
      <c r="J15590" t="s">
        <v>47128</v>
      </c>
      <c r="K15590" t="s">
        <v>47113</v>
      </c>
      <c r="L15590">
        <v>22.12</v>
      </c>
      <c r="M15590">
        <v>54</v>
      </c>
      <c r="N15590">
        <v>0</v>
      </c>
      <c r="O15590">
        <v>54</v>
      </c>
      <c r="P15590">
        <v>0</v>
      </c>
    </row>
    <row r="15591" spans="1:16" x14ac:dyDescent="0.25">
      <c r="A15591" t="s">
        <v>38259</v>
      </c>
      <c r="B15591" t="s">
        <v>10648</v>
      </c>
      <c r="C15591" t="s">
        <v>10649</v>
      </c>
      <c r="D15591" t="str">
        <f>"1403"</f>
        <v>1403</v>
      </c>
      <c r="E15591" t="s">
        <v>224</v>
      </c>
      <c r="F15591" t="s">
        <v>3546</v>
      </c>
      <c r="G15591" t="s">
        <v>47095</v>
      </c>
      <c r="H15591" t="s">
        <v>47126</v>
      </c>
      <c r="I15591" t="s">
        <v>47127</v>
      </c>
      <c r="J15591" t="s">
        <v>47128</v>
      </c>
      <c r="K15591" t="s">
        <v>47113</v>
      </c>
      <c r="L15591">
        <v>22.12</v>
      </c>
      <c r="M15591">
        <v>54</v>
      </c>
      <c r="N15591">
        <v>0</v>
      </c>
      <c r="O15591">
        <v>54</v>
      </c>
      <c r="P15591">
        <v>0</v>
      </c>
    </row>
    <row r="15592" spans="1:16" x14ac:dyDescent="0.25">
      <c r="A15592" t="s">
        <v>38260</v>
      </c>
      <c r="B15592" t="s">
        <v>10648</v>
      </c>
      <c r="C15592" t="s">
        <v>10649</v>
      </c>
      <c r="D15592" t="str">
        <f>"3544"</f>
        <v>3544</v>
      </c>
      <c r="E15592" t="s">
        <v>4174</v>
      </c>
      <c r="F15592" t="s">
        <v>3546</v>
      </c>
      <c r="G15592" t="s">
        <v>47095</v>
      </c>
      <c r="H15592" t="s">
        <v>47126</v>
      </c>
      <c r="I15592" t="s">
        <v>47127</v>
      </c>
      <c r="J15592" t="s">
        <v>47128</v>
      </c>
      <c r="K15592" t="s">
        <v>47113</v>
      </c>
      <c r="L15592">
        <v>22.12</v>
      </c>
      <c r="M15592">
        <v>54</v>
      </c>
      <c r="N15592">
        <v>0</v>
      </c>
      <c r="O15592">
        <v>54</v>
      </c>
      <c r="P15592">
        <v>0</v>
      </c>
    </row>
    <row r="15593" spans="1:16" x14ac:dyDescent="0.25">
      <c r="A15593" t="s">
        <v>38261</v>
      </c>
      <c r="B15593" t="s">
        <v>10648</v>
      </c>
      <c r="C15593" t="s">
        <v>10649</v>
      </c>
      <c r="D15593" t="str">
        <f>"4921"</f>
        <v>4921</v>
      </c>
      <c r="E15593" t="s">
        <v>4156</v>
      </c>
      <c r="F15593" t="s">
        <v>3546</v>
      </c>
      <c r="G15593" t="s">
        <v>47095</v>
      </c>
      <c r="H15593" t="s">
        <v>47126</v>
      </c>
      <c r="I15593" t="s">
        <v>47127</v>
      </c>
      <c r="J15593" t="s">
        <v>47128</v>
      </c>
      <c r="K15593" t="s">
        <v>47113</v>
      </c>
      <c r="L15593">
        <v>22.12</v>
      </c>
      <c r="M15593">
        <v>54</v>
      </c>
      <c r="N15593">
        <v>0</v>
      </c>
      <c r="O15593">
        <v>54</v>
      </c>
      <c r="P15593">
        <v>0</v>
      </c>
    </row>
    <row r="15594" spans="1:16" x14ac:dyDescent="0.25">
      <c r="A15594" t="s">
        <v>38262</v>
      </c>
      <c r="B15594" t="s">
        <v>10648</v>
      </c>
      <c r="C15594" t="s">
        <v>10649</v>
      </c>
      <c r="D15594" t="str">
        <f>"6064"</f>
        <v>6064</v>
      </c>
      <c r="E15594" t="s">
        <v>87</v>
      </c>
      <c r="F15594" t="s">
        <v>3546</v>
      </c>
      <c r="G15594" t="s">
        <v>47095</v>
      </c>
      <c r="H15594" t="s">
        <v>47126</v>
      </c>
      <c r="I15594" t="s">
        <v>47127</v>
      </c>
      <c r="J15594" t="s">
        <v>47128</v>
      </c>
      <c r="K15594" t="s">
        <v>47113</v>
      </c>
      <c r="L15594">
        <v>22.12</v>
      </c>
      <c r="M15594">
        <v>54</v>
      </c>
      <c r="N15594">
        <v>0</v>
      </c>
      <c r="O15594">
        <v>54</v>
      </c>
      <c r="P15594">
        <v>0</v>
      </c>
    </row>
    <row r="15595" spans="1:16" x14ac:dyDescent="0.25">
      <c r="A15595" t="s">
        <v>38263</v>
      </c>
      <c r="B15595" t="s">
        <v>10648</v>
      </c>
      <c r="C15595" t="s">
        <v>10649</v>
      </c>
      <c r="D15595" t="str">
        <f>"6082"</f>
        <v>6082</v>
      </c>
      <c r="E15595" t="s">
        <v>2154</v>
      </c>
      <c r="F15595" t="s">
        <v>3546</v>
      </c>
      <c r="G15595" t="s">
        <v>47095</v>
      </c>
      <c r="H15595" t="s">
        <v>47126</v>
      </c>
      <c r="I15595" t="s">
        <v>47127</v>
      </c>
      <c r="J15595" t="s">
        <v>47128</v>
      </c>
      <c r="K15595" t="s">
        <v>47113</v>
      </c>
      <c r="L15595">
        <v>22.12</v>
      </c>
      <c r="M15595">
        <v>54</v>
      </c>
      <c r="N15595">
        <v>0</v>
      </c>
      <c r="O15595">
        <v>54</v>
      </c>
      <c r="P15595">
        <v>0</v>
      </c>
    </row>
    <row r="15596" spans="1:16" x14ac:dyDescent="0.25">
      <c r="A15596" t="s">
        <v>38264</v>
      </c>
      <c r="B15596" t="s">
        <v>10650</v>
      </c>
      <c r="C15596" t="s">
        <v>10637</v>
      </c>
      <c r="D15596" t="str">
        <f>"1106"</f>
        <v>1106</v>
      </c>
      <c r="E15596" t="s">
        <v>460</v>
      </c>
      <c r="F15596" t="s">
        <v>3546</v>
      </c>
      <c r="G15596" t="s">
        <v>47094</v>
      </c>
      <c r="H15596" t="s">
        <v>47126</v>
      </c>
      <c r="I15596" t="s">
        <v>47127</v>
      </c>
      <c r="J15596" t="s">
        <v>47128</v>
      </c>
      <c r="K15596" t="s">
        <v>47113</v>
      </c>
      <c r="L15596">
        <v>34.08</v>
      </c>
      <c r="M15596">
        <v>84</v>
      </c>
      <c r="N15596">
        <v>0</v>
      </c>
      <c r="O15596">
        <v>84</v>
      </c>
      <c r="P15596">
        <v>0</v>
      </c>
    </row>
    <row r="15597" spans="1:16" x14ac:dyDescent="0.25">
      <c r="A15597" t="s">
        <v>38265</v>
      </c>
      <c r="B15597" t="s">
        <v>10650</v>
      </c>
      <c r="C15597" t="s">
        <v>10637</v>
      </c>
      <c r="D15597" t="str">
        <f>"1378"</f>
        <v>1378</v>
      </c>
      <c r="E15597" t="s">
        <v>388</v>
      </c>
      <c r="F15597" t="s">
        <v>3546</v>
      </c>
      <c r="G15597" t="s">
        <v>47094</v>
      </c>
      <c r="H15597" t="s">
        <v>47126</v>
      </c>
      <c r="I15597" t="s">
        <v>47127</v>
      </c>
      <c r="J15597" t="s">
        <v>47128</v>
      </c>
      <c r="K15597" t="s">
        <v>47113</v>
      </c>
      <c r="L15597">
        <v>34.08</v>
      </c>
      <c r="M15597">
        <v>84</v>
      </c>
      <c r="N15597">
        <v>0</v>
      </c>
      <c r="O15597">
        <v>84</v>
      </c>
      <c r="P15597">
        <v>0</v>
      </c>
    </row>
    <row r="15598" spans="1:16" x14ac:dyDescent="0.25">
      <c r="A15598" t="s">
        <v>38266</v>
      </c>
      <c r="B15598" t="s">
        <v>10650</v>
      </c>
      <c r="C15598" t="s">
        <v>10637</v>
      </c>
      <c r="D15598" t="str">
        <f>"1403"</f>
        <v>1403</v>
      </c>
      <c r="E15598" t="s">
        <v>224</v>
      </c>
      <c r="F15598" t="s">
        <v>3546</v>
      </c>
      <c r="G15598" t="s">
        <v>47094</v>
      </c>
      <c r="H15598" t="s">
        <v>47126</v>
      </c>
      <c r="I15598" t="s">
        <v>47127</v>
      </c>
      <c r="J15598" t="s">
        <v>47128</v>
      </c>
      <c r="K15598" t="s">
        <v>47113</v>
      </c>
      <c r="L15598">
        <v>34.08</v>
      </c>
      <c r="M15598">
        <v>84</v>
      </c>
      <c r="N15598">
        <v>0</v>
      </c>
      <c r="O15598">
        <v>84</v>
      </c>
      <c r="P15598">
        <v>0</v>
      </c>
    </row>
    <row r="15599" spans="1:16" x14ac:dyDescent="0.25">
      <c r="A15599" t="s">
        <v>38267</v>
      </c>
      <c r="B15599" t="s">
        <v>10650</v>
      </c>
      <c r="C15599" t="s">
        <v>10637</v>
      </c>
      <c r="D15599" t="str">
        <f>"3544"</f>
        <v>3544</v>
      </c>
      <c r="E15599" t="s">
        <v>4174</v>
      </c>
      <c r="F15599" t="s">
        <v>3546</v>
      </c>
      <c r="G15599" t="s">
        <v>47094</v>
      </c>
      <c r="H15599" t="s">
        <v>47126</v>
      </c>
      <c r="I15599" t="s">
        <v>47127</v>
      </c>
      <c r="J15599" t="s">
        <v>47128</v>
      </c>
      <c r="K15599" t="s">
        <v>47113</v>
      </c>
      <c r="L15599">
        <v>34.08</v>
      </c>
      <c r="M15599">
        <v>84</v>
      </c>
      <c r="N15599">
        <v>0</v>
      </c>
      <c r="O15599">
        <v>84</v>
      </c>
      <c r="P15599">
        <v>0</v>
      </c>
    </row>
    <row r="15600" spans="1:16" x14ac:dyDescent="0.25">
      <c r="A15600" t="s">
        <v>38268</v>
      </c>
      <c r="B15600" t="s">
        <v>10650</v>
      </c>
      <c r="C15600" t="s">
        <v>10637</v>
      </c>
      <c r="D15600" t="str">
        <f>"4921"</f>
        <v>4921</v>
      </c>
      <c r="E15600" t="s">
        <v>4156</v>
      </c>
      <c r="F15600" t="s">
        <v>3546</v>
      </c>
      <c r="G15600" t="s">
        <v>47094</v>
      </c>
      <c r="H15600" t="s">
        <v>47126</v>
      </c>
      <c r="I15600" t="s">
        <v>47127</v>
      </c>
      <c r="J15600" t="s">
        <v>47128</v>
      </c>
      <c r="K15600" t="s">
        <v>47113</v>
      </c>
      <c r="L15600">
        <v>34.08</v>
      </c>
      <c r="M15600">
        <v>84</v>
      </c>
      <c r="N15600">
        <v>0</v>
      </c>
      <c r="O15600">
        <v>84</v>
      </c>
      <c r="P15600">
        <v>0</v>
      </c>
    </row>
    <row r="15601" spans="1:16" x14ac:dyDescent="0.25">
      <c r="A15601" t="s">
        <v>38269</v>
      </c>
      <c r="B15601" t="s">
        <v>10650</v>
      </c>
      <c r="C15601" t="s">
        <v>10637</v>
      </c>
      <c r="D15601" t="str">
        <f>"6064"</f>
        <v>6064</v>
      </c>
      <c r="E15601" t="s">
        <v>87</v>
      </c>
      <c r="F15601" t="s">
        <v>3546</v>
      </c>
      <c r="G15601" t="s">
        <v>47094</v>
      </c>
      <c r="H15601" t="s">
        <v>47126</v>
      </c>
      <c r="I15601" t="s">
        <v>47127</v>
      </c>
      <c r="J15601" t="s">
        <v>47128</v>
      </c>
      <c r="K15601" t="s">
        <v>47113</v>
      </c>
      <c r="L15601">
        <v>34.08</v>
      </c>
      <c r="M15601">
        <v>84</v>
      </c>
      <c r="N15601">
        <v>0</v>
      </c>
      <c r="O15601">
        <v>84</v>
      </c>
      <c r="P15601">
        <v>0</v>
      </c>
    </row>
    <row r="15602" spans="1:16" x14ac:dyDescent="0.25">
      <c r="A15602" t="s">
        <v>38270</v>
      </c>
      <c r="B15602" t="s">
        <v>10650</v>
      </c>
      <c r="C15602" t="s">
        <v>10637</v>
      </c>
      <c r="D15602" t="str">
        <f>"6082"</f>
        <v>6082</v>
      </c>
      <c r="E15602" t="s">
        <v>2154</v>
      </c>
      <c r="F15602" t="s">
        <v>3546</v>
      </c>
      <c r="G15602" t="s">
        <v>47094</v>
      </c>
      <c r="H15602" t="s">
        <v>47126</v>
      </c>
      <c r="I15602" t="s">
        <v>47127</v>
      </c>
      <c r="J15602" t="s">
        <v>47128</v>
      </c>
      <c r="K15602" t="s">
        <v>47113</v>
      </c>
      <c r="L15602">
        <v>34.08</v>
      </c>
      <c r="M15602">
        <v>84</v>
      </c>
      <c r="N15602">
        <v>0</v>
      </c>
      <c r="O15602">
        <v>84</v>
      </c>
      <c r="P15602">
        <v>0</v>
      </c>
    </row>
    <row r="15603" spans="1:16" x14ac:dyDescent="0.25">
      <c r="A15603" t="s">
        <v>38271</v>
      </c>
      <c r="B15603" t="s">
        <v>10651</v>
      </c>
      <c r="C15603" t="s">
        <v>10652</v>
      </c>
      <c r="D15603" t="str">
        <f>"1106"</f>
        <v>1106</v>
      </c>
      <c r="E15603" t="s">
        <v>460</v>
      </c>
      <c r="F15603" t="s">
        <v>3750</v>
      </c>
      <c r="G15603" t="s">
        <v>47094</v>
      </c>
      <c r="H15603" t="s">
        <v>47126</v>
      </c>
      <c r="I15603" t="s">
        <v>47127</v>
      </c>
      <c r="J15603" t="s">
        <v>47128</v>
      </c>
      <c r="K15603" t="s">
        <v>47113</v>
      </c>
      <c r="L15603">
        <v>36.409999999999997</v>
      </c>
      <c r="M15603">
        <v>80</v>
      </c>
      <c r="N15603">
        <v>0</v>
      </c>
      <c r="O15603">
        <v>80</v>
      </c>
      <c r="P15603">
        <v>0</v>
      </c>
    </row>
    <row r="15604" spans="1:16" x14ac:dyDescent="0.25">
      <c r="A15604" t="s">
        <v>38272</v>
      </c>
      <c r="B15604" t="s">
        <v>10651</v>
      </c>
      <c r="C15604" t="s">
        <v>10652</v>
      </c>
      <c r="D15604" t="str">
        <f>"1377"</f>
        <v>1377</v>
      </c>
      <c r="E15604" t="s">
        <v>74</v>
      </c>
      <c r="F15604" t="s">
        <v>3750</v>
      </c>
      <c r="G15604" t="s">
        <v>47094</v>
      </c>
      <c r="H15604" t="s">
        <v>47126</v>
      </c>
      <c r="I15604" t="s">
        <v>47127</v>
      </c>
      <c r="J15604" t="s">
        <v>47128</v>
      </c>
      <c r="K15604" t="s">
        <v>47113</v>
      </c>
      <c r="L15604">
        <v>36.409999999999997</v>
      </c>
      <c r="M15604">
        <v>80</v>
      </c>
      <c r="N15604">
        <v>0</v>
      </c>
      <c r="O15604">
        <v>80</v>
      </c>
      <c r="P15604">
        <v>0</v>
      </c>
    </row>
    <row r="15605" spans="1:16" x14ac:dyDescent="0.25">
      <c r="A15605" t="s">
        <v>38273</v>
      </c>
      <c r="B15605" t="s">
        <v>10651</v>
      </c>
      <c r="C15605" t="s">
        <v>10652</v>
      </c>
      <c r="D15605" t="str">
        <f>"1403"</f>
        <v>1403</v>
      </c>
      <c r="E15605" t="s">
        <v>224</v>
      </c>
      <c r="F15605" t="s">
        <v>3750</v>
      </c>
      <c r="G15605" t="s">
        <v>47094</v>
      </c>
      <c r="H15605" t="s">
        <v>47126</v>
      </c>
      <c r="I15605" t="s">
        <v>47127</v>
      </c>
      <c r="J15605" t="s">
        <v>47128</v>
      </c>
      <c r="K15605" t="s">
        <v>47113</v>
      </c>
      <c r="L15605">
        <v>36.409999999999997</v>
      </c>
      <c r="M15605">
        <v>80</v>
      </c>
      <c r="N15605">
        <v>0</v>
      </c>
      <c r="O15605">
        <v>80</v>
      </c>
      <c r="P15605">
        <v>0</v>
      </c>
    </row>
    <row r="15606" spans="1:16" x14ac:dyDescent="0.25">
      <c r="A15606" t="s">
        <v>38274</v>
      </c>
      <c r="B15606" t="s">
        <v>10651</v>
      </c>
      <c r="C15606" t="s">
        <v>10652</v>
      </c>
      <c r="D15606" t="str">
        <f>"6082"</f>
        <v>6082</v>
      </c>
      <c r="E15606" t="s">
        <v>2154</v>
      </c>
      <c r="F15606" t="s">
        <v>3750</v>
      </c>
      <c r="G15606" t="s">
        <v>47094</v>
      </c>
      <c r="H15606" t="s">
        <v>47126</v>
      </c>
      <c r="I15606" t="s">
        <v>47127</v>
      </c>
      <c r="J15606" t="s">
        <v>47128</v>
      </c>
      <c r="K15606" t="s">
        <v>47113</v>
      </c>
      <c r="L15606">
        <v>36.409999999999997</v>
      </c>
      <c r="M15606">
        <v>80</v>
      </c>
      <c r="N15606">
        <v>0</v>
      </c>
      <c r="O15606">
        <v>80</v>
      </c>
      <c r="P15606">
        <v>0</v>
      </c>
    </row>
    <row r="15607" spans="1:16" x14ac:dyDescent="0.25">
      <c r="A15607" t="s">
        <v>38275</v>
      </c>
      <c r="B15607" t="s">
        <v>10653</v>
      </c>
      <c r="C15607" t="s">
        <v>4186</v>
      </c>
      <c r="D15607" t="str">
        <f>"1106"</f>
        <v>1106</v>
      </c>
      <c r="E15607" t="s">
        <v>460</v>
      </c>
      <c r="F15607" t="s">
        <v>3750</v>
      </c>
      <c r="G15607" t="s">
        <v>47095</v>
      </c>
      <c r="H15607" t="s">
        <v>47126</v>
      </c>
      <c r="I15607" t="s">
        <v>47127</v>
      </c>
      <c r="J15607" t="s">
        <v>47128</v>
      </c>
      <c r="K15607" t="s">
        <v>47113</v>
      </c>
      <c r="L15607">
        <v>22.09</v>
      </c>
      <c r="M15607">
        <v>49</v>
      </c>
      <c r="N15607">
        <v>0</v>
      </c>
      <c r="O15607">
        <v>49</v>
      </c>
      <c r="P15607">
        <v>0</v>
      </c>
    </row>
    <row r="15608" spans="1:16" x14ac:dyDescent="0.25">
      <c r="A15608" t="s">
        <v>38276</v>
      </c>
      <c r="B15608" t="s">
        <v>10653</v>
      </c>
      <c r="C15608" t="s">
        <v>4186</v>
      </c>
      <c r="D15608" t="str">
        <f>"1377"</f>
        <v>1377</v>
      </c>
      <c r="E15608" t="s">
        <v>74</v>
      </c>
      <c r="F15608" t="s">
        <v>3750</v>
      </c>
      <c r="G15608" t="s">
        <v>47095</v>
      </c>
      <c r="H15608" t="s">
        <v>47126</v>
      </c>
      <c r="I15608" t="s">
        <v>47127</v>
      </c>
      <c r="J15608" t="s">
        <v>47128</v>
      </c>
      <c r="K15608" t="s">
        <v>47113</v>
      </c>
      <c r="L15608">
        <v>22.09</v>
      </c>
      <c r="M15608">
        <v>49</v>
      </c>
      <c r="N15608">
        <v>0</v>
      </c>
      <c r="O15608">
        <v>49</v>
      </c>
      <c r="P15608">
        <v>0</v>
      </c>
    </row>
    <row r="15609" spans="1:16" x14ac:dyDescent="0.25">
      <c r="A15609" t="s">
        <v>38277</v>
      </c>
      <c r="B15609" t="s">
        <v>10653</v>
      </c>
      <c r="C15609" t="s">
        <v>4186</v>
      </c>
      <c r="D15609" t="str">
        <f>"1403"</f>
        <v>1403</v>
      </c>
      <c r="E15609" t="s">
        <v>224</v>
      </c>
      <c r="F15609" t="s">
        <v>3750</v>
      </c>
      <c r="G15609" t="s">
        <v>47095</v>
      </c>
      <c r="H15609" t="s">
        <v>47126</v>
      </c>
      <c r="I15609" t="s">
        <v>47127</v>
      </c>
      <c r="J15609" t="s">
        <v>47128</v>
      </c>
      <c r="K15609" t="s">
        <v>47113</v>
      </c>
      <c r="L15609">
        <v>22.09</v>
      </c>
      <c r="M15609">
        <v>49</v>
      </c>
      <c r="N15609">
        <v>0</v>
      </c>
      <c r="O15609">
        <v>49</v>
      </c>
      <c r="P15609">
        <v>0</v>
      </c>
    </row>
    <row r="15610" spans="1:16" x14ac:dyDescent="0.25">
      <c r="A15610" t="s">
        <v>38278</v>
      </c>
      <c r="B15610" t="s">
        <v>10653</v>
      </c>
      <c r="C15610" t="s">
        <v>4186</v>
      </c>
      <c r="D15610" t="str">
        <f>"6082"</f>
        <v>6082</v>
      </c>
      <c r="E15610" t="s">
        <v>2154</v>
      </c>
      <c r="F15610" t="s">
        <v>3750</v>
      </c>
      <c r="G15610" t="s">
        <v>47095</v>
      </c>
      <c r="H15610" t="s">
        <v>47126</v>
      </c>
      <c r="I15610" t="s">
        <v>47127</v>
      </c>
      <c r="J15610" t="s">
        <v>47128</v>
      </c>
      <c r="K15610" t="s">
        <v>47113</v>
      </c>
      <c r="L15610">
        <v>22.09</v>
      </c>
      <c r="M15610">
        <v>49</v>
      </c>
      <c r="N15610">
        <v>0</v>
      </c>
      <c r="O15610">
        <v>49</v>
      </c>
      <c r="P15610">
        <v>0</v>
      </c>
    </row>
    <row r="15611" spans="1:16" x14ac:dyDescent="0.25">
      <c r="A15611" t="s">
        <v>38279</v>
      </c>
      <c r="B15611" t="s">
        <v>10654</v>
      </c>
      <c r="C15611" t="s">
        <v>10385</v>
      </c>
      <c r="D15611" t="s">
        <v>10602</v>
      </c>
      <c r="E15611" t="s">
        <v>10603</v>
      </c>
      <c r="F15611" t="s">
        <v>3546</v>
      </c>
      <c r="G15611" t="s">
        <v>49030</v>
      </c>
      <c r="H15611" t="s">
        <v>47153</v>
      </c>
      <c r="I15611" t="s">
        <v>47132</v>
      </c>
      <c r="J15611" t="s">
        <v>47133</v>
      </c>
      <c r="K15611" t="s">
        <v>47113</v>
      </c>
      <c r="L15611">
        <v>48.1</v>
      </c>
      <c r="M15611">
        <v>92</v>
      </c>
      <c r="N15611">
        <v>0</v>
      </c>
      <c r="O15611">
        <v>92</v>
      </c>
      <c r="P15611">
        <v>0</v>
      </c>
    </row>
    <row r="15612" spans="1:16" x14ac:dyDescent="0.25">
      <c r="A15612" t="s">
        <v>38280</v>
      </c>
      <c r="B15612" t="s">
        <v>10655</v>
      </c>
      <c r="C15612" t="s">
        <v>10385</v>
      </c>
      <c r="D15612" t="s">
        <v>10594</v>
      </c>
      <c r="E15612" t="s">
        <v>10595</v>
      </c>
      <c r="F15612" t="s">
        <v>3546</v>
      </c>
      <c r="G15612" t="s">
        <v>49030</v>
      </c>
      <c r="H15612" t="s">
        <v>47153</v>
      </c>
      <c r="I15612" t="s">
        <v>47132</v>
      </c>
      <c r="J15612" t="s">
        <v>47133</v>
      </c>
      <c r="K15612" t="s">
        <v>47113</v>
      </c>
      <c r="L15612">
        <v>45.16</v>
      </c>
      <c r="M15612">
        <v>89</v>
      </c>
      <c r="N15612">
        <v>0</v>
      </c>
      <c r="O15612">
        <v>89</v>
      </c>
      <c r="P15612">
        <v>0</v>
      </c>
    </row>
    <row r="15613" spans="1:16" x14ac:dyDescent="0.25">
      <c r="A15613" t="s">
        <v>38281</v>
      </c>
      <c r="B15613" t="s">
        <v>10656</v>
      </c>
      <c r="C15613" t="s">
        <v>10385</v>
      </c>
      <c r="D15613" t="s">
        <v>10576</v>
      </c>
      <c r="E15613" t="s">
        <v>10577</v>
      </c>
      <c r="F15613" t="s">
        <v>3546</v>
      </c>
      <c r="G15613" t="s">
        <v>49030</v>
      </c>
      <c r="H15613" t="s">
        <v>47153</v>
      </c>
      <c r="I15613" t="s">
        <v>47132</v>
      </c>
      <c r="J15613" t="s">
        <v>47133</v>
      </c>
      <c r="K15613" t="s">
        <v>47113</v>
      </c>
      <c r="L15613">
        <v>31.67</v>
      </c>
      <c r="M15613">
        <v>65</v>
      </c>
      <c r="N15613">
        <v>0</v>
      </c>
      <c r="O15613">
        <v>65</v>
      </c>
      <c r="P15613">
        <v>0</v>
      </c>
    </row>
    <row r="15614" spans="1:16" x14ac:dyDescent="0.25">
      <c r="A15614" t="s">
        <v>38282</v>
      </c>
      <c r="B15614" t="s">
        <v>10657</v>
      </c>
      <c r="C15614" t="s">
        <v>10658</v>
      </c>
      <c r="D15614" t="str">
        <f>"1001"</f>
        <v>1001</v>
      </c>
      <c r="E15614" t="s">
        <v>42</v>
      </c>
      <c r="F15614" t="s">
        <v>3546</v>
      </c>
      <c r="G15614" t="s">
        <v>49030</v>
      </c>
      <c r="H15614" t="s">
        <v>47126</v>
      </c>
      <c r="I15614" t="s">
        <v>47120</v>
      </c>
      <c r="J15614" t="s">
        <v>47121</v>
      </c>
      <c r="K15614" t="s">
        <v>47113</v>
      </c>
      <c r="L15614">
        <v>82.86</v>
      </c>
      <c r="M15614">
        <v>147</v>
      </c>
      <c r="N15614">
        <v>0</v>
      </c>
      <c r="O15614">
        <v>147</v>
      </c>
      <c r="P15614">
        <v>0</v>
      </c>
    </row>
    <row r="15615" spans="1:16" x14ac:dyDescent="0.25">
      <c r="A15615" t="s">
        <v>38283</v>
      </c>
      <c r="B15615" t="s">
        <v>10657</v>
      </c>
      <c r="C15615" t="s">
        <v>10658</v>
      </c>
      <c r="D15615" t="str">
        <f>"1004"</f>
        <v>1004</v>
      </c>
      <c r="E15615" t="s">
        <v>200</v>
      </c>
      <c r="F15615" t="s">
        <v>3546</v>
      </c>
      <c r="G15615" t="s">
        <v>49030</v>
      </c>
      <c r="H15615" t="s">
        <v>47126</v>
      </c>
      <c r="I15615" t="s">
        <v>47120</v>
      </c>
      <c r="J15615" t="s">
        <v>47121</v>
      </c>
      <c r="K15615" t="s">
        <v>47113</v>
      </c>
      <c r="L15615">
        <v>82.86</v>
      </c>
      <c r="M15615">
        <v>147</v>
      </c>
      <c r="N15615">
        <v>0</v>
      </c>
      <c r="O15615">
        <v>147</v>
      </c>
      <c r="P15615">
        <v>0</v>
      </c>
    </row>
    <row r="15616" spans="1:16" x14ac:dyDescent="0.25">
      <c r="A15616" t="s">
        <v>38284</v>
      </c>
      <c r="B15616" t="s">
        <v>10657</v>
      </c>
      <c r="C15616" t="s">
        <v>10658</v>
      </c>
      <c r="D15616" t="str">
        <f>"4926"</f>
        <v>4926</v>
      </c>
      <c r="E15616" t="s">
        <v>4088</v>
      </c>
      <c r="F15616" t="s">
        <v>3546</v>
      </c>
      <c r="G15616" t="s">
        <v>49030</v>
      </c>
      <c r="H15616" t="s">
        <v>47126</v>
      </c>
      <c r="I15616" t="s">
        <v>47120</v>
      </c>
      <c r="J15616" t="s">
        <v>47121</v>
      </c>
      <c r="K15616" t="s">
        <v>47113</v>
      </c>
      <c r="L15616">
        <v>82.86</v>
      </c>
      <c r="M15616">
        <v>147</v>
      </c>
      <c r="N15616">
        <v>0</v>
      </c>
      <c r="O15616">
        <v>147</v>
      </c>
      <c r="P15616">
        <v>0</v>
      </c>
    </row>
    <row r="15617" spans="1:16" x14ac:dyDescent="0.25">
      <c r="A15617" t="s">
        <v>38285</v>
      </c>
      <c r="B15617" t="s">
        <v>10659</v>
      </c>
      <c r="C15617" t="s">
        <v>10658</v>
      </c>
      <c r="D15617" t="str">
        <f>"1001"</f>
        <v>1001</v>
      </c>
      <c r="E15617" t="s">
        <v>42</v>
      </c>
      <c r="F15617" t="s">
        <v>3546</v>
      </c>
      <c r="G15617" t="s">
        <v>49030</v>
      </c>
      <c r="H15617" t="s">
        <v>47126</v>
      </c>
      <c r="I15617" t="s">
        <v>47120</v>
      </c>
      <c r="J15617" t="s">
        <v>47121</v>
      </c>
      <c r="K15617" t="s">
        <v>47113</v>
      </c>
      <c r="L15617">
        <v>88.96</v>
      </c>
      <c r="M15617">
        <v>157</v>
      </c>
      <c r="N15617">
        <v>0</v>
      </c>
      <c r="O15617">
        <v>157</v>
      </c>
      <c r="P15617">
        <v>0</v>
      </c>
    </row>
    <row r="15618" spans="1:16" x14ac:dyDescent="0.25">
      <c r="A15618" t="s">
        <v>38286</v>
      </c>
      <c r="B15618" t="s">
        <v>10660</v>
      </c>
      <c r="C15618" t="s">
        <v>10658</v>
      </c>
      <c r="D15618" t="str">
        <f>"1001"</f>
        <v>1001</v>
      </c>
      <c r="E15618" t="s">
        <v>42</v>
      </c>
      <c r="F15618" t="s">
        <v>3546</v>
      </c>
      <c r="G15618" t="s">
        <v>49030</v>
      </c>
      <c r="H15618" t="s">
        <v>47126</v>
      </c>
      <c r="I15618" t="s">
        <v>47120</v>
      </c>
      <c r="J15618" t="s">
        <v>47121</v>
      </c>
      <c r="K15618" t="s">
        <v>47113</v>
      </c>
      <c r="L15618">
        <v>115.77</v>
      </c>
      <c r="M15618">
        <v>205</v>
      </c>
      <c r="N15618">
        <v>0</v>
      </c>
      <c r="O15618">
        <v>205</v>
      </c>
      <c r="P15618">
        <v>0</v>
      </c>
    </row>
    <row r="15619" spans="1:16" x14ac:dyDescent="0.25">
      <c r="A15619" t="s">
        <v>38287</v>
      </c>
      <c r="B15619" t="s">
        <v>10660</v>
      </c>
      <c r="C15619" t="s">
        <v>10658</v>
      </c>
      <c r="D15619" t="str">
        <f>"4000"</f>
        <v>4000</v>
      </c>
      <c r="E15619" t="s">
        <v>190</v>
      </c>
      <c r="F15619" t="s">
        <v>3546</v>
      </c>
      <c r="G15619" t="s">
        <v>49030</v>
      </c>
      <c r="H15619" t="s">
        <v>47126</v>
      </c>
      <c r="I15619" t="s">
        <v>47120</v>
      </c>
      <c r="J15619" t="s">
        <v>47121</v>
      </c>
      <c r="K15619" t="s">
        <v>47113</v>
      </c>
      <c r="L15619">
        <v>118.44</v>
      </c>
      <c r="M15619">
        <v>205</v>
      </c>
      <c r="N15619">
        <v>0</v>
      </c>
      <c r="O15619">
        <v>205</v>
      </c>
      <c r="P15619">
        <v>0</v>
      </c>
    </row>
    <row r="15620" spans="1:16" x14ac:dyDescent="0.25">
      <c r="A15620" t="s">
        <v>38288</v>
      </c>
      <c r="B15620" t="s">
        <v>10661</v>
      </c>
      <c r="C15620" t="s">
        <v>10662</v>
      </c>
      <c r="D15620" t="s">
        <v>10594</v>
      </c>
      <c r="E15620" t="s">
        <v>10595</v>
      </c>
      <c r="F15620" t="s">
        <v>3546</v>
      </c>
      <c r="G15620" t="s">
        <v>49029</v>
      </c>
      <c r="H15620" t="s">
        <v>47153</v>
      </c>
      <c r="I15620" t="s">
        <v>47132</v>
      </c>
      <c r="J15620" t="s">
        <v>47133</v>
      </c>
      <c r="K15620" t="s">
        <v>47113</v>
      </c>
      <c r="L15620">
        <v>45.75</v>
      </c>
      <c r="M15620">
        <v>82</v>
      </c>
      <c r="N15620">
        <v>0</v>
      </c>
      <c r="O15620">
        <v>82</v>
      </c>
      <c r="P15620">
        <v>0</v>
      </c>
    </row>
    <row r="15621" spans="1:16" x14ac:dyDescent="0.25">
      <c r="A15621" t="s">
        <v>38289</v>
      </c>
      <c r="B15621" t="s">
        <v>10661</v>
      </c>
      <c r="C15621" t="s">
        <v>10662</v>
      </c>
      <c r="D15621" t="s">
        <v>10561</v>
      </c>
      <c r="E15621" t="s">
        <v>10562</v>
      </c>
      <c r="F15621" t="s">
        <v>3546</v>
      </c>
      <c r="G15621" t="s">
        <v>49029</v>
      </c>
      <c r="H15621" t="s">
        <v>47153</v>
      </c>
      <c r="I15621" t="s">
        <v>47132</v>
      </c>
      <c r="J15621" t="s">
        <v>47133</v>
      </c>
      <c r="K15621" t="s">
        <v>47113</v>
      </c>
      <c r="L15621">
        <v>40.47</v>
      </c>
      <c r="M15621">
        <v>75</v>
      </c>
      <c r="N15621">
        <v>0</v>
      </c>
      <c r="O15621">
        <v>75</v>
      </c>
      <c r="P15621">
        <v>0</v>
      </c>
    </row>
    <row r="15622" spans="1:16" x14ac:dyDescent="0.25">
      <c r="A15622" t="s">
        <v>38290</v>
      </c>
      <c r="B15622" t="s">
        <v>10663</v>
      </c>
      <c r="C15622" t="s">
        <v>10664</v>
      </c>
      <c r="D15622" t="s">
        <v>418</v>
      </c>
      <c r="E15622" t="s">
        <v>419</v>
      </c>
      <c r="F15622" t="s">
        <v>3546</v>
      </c>
      <c r="G15622" t="s">
        <v>47098</v>
      </c>
      <c r="H15622" t="s">
        <v>47153</v>
      </c>
      <c r="I15622" t="s">
        <v>47132</v>
      </c>
      <c r="J15622" t="s">
        <v>47133</v>
      </c>
      <c r="K15622" t="s">
        <v>47113</v>
      </c>
      <c r="L15622">
        <v>281.54000000000002</v>
      </c>
      <c r="M15622">
        <v>400</v>
      </c>
      <c r="N15622">
        <v>0</v>
      </c>
      <c r="O15622">
        <v>400</v>
      </c>
      <c r="P15622">
        <v>0</v>
      </c>
    </row>
    <row r="15623" spans="1:16" x14ac:dyDescent="0.25">
      <c r="A15623" t="s">
        <v>38291</v>
      </c>
      <c r="B15623" t="s">
        <v>10665</v>
      </c>
      <c r="C15623" t="s">
        <v>10666</v>
      </c>
      <c r="D15623" t="s">
        <v>437</v>
      </c>
      <c r="E15623" t="s">
        <v>438</v>
      </c>
      <c r="F15623" t="s">
        <v>3546</v>
      </c>
      <c r="G15623" t="s">
        <v>47096</v>
      </c>
      <c r="H15623" t="s">
        <v>47153</v>
      </c>
      <c r="I15623" t="s">
        <v>47132</v>
      </c>
      <c r="J15623" t="s">
        <v>47133</v>
      </c>
      <c r="K15623" t="s">
        <v>47113</v>
      </c>
      <c r="L15623">
        <v>42.82</v>
      </c>
      <c r="M15623">
        <v>74</v>
      </c>
      <c r="N15623">
        <v>0</v>
      </c>
      <c r="O15623">
        <v>74</v>
      </c>
      <c r="P15623">
        <v>0</v>
      </c>
    </row>
    <row r="15624" spans="1:16" x14ac:dyDescent="0.25">
      <c r="A15624" t="s">
        <v>38292</v>
      </c>
      <c r="B15624" t="s">
        <v>10665</v>
      </c>
      <c r="C15624" t="s">
        <v>10666</v>
      </c>
      <c r="D15624" t="s">
        <v>418</v>
      </c>
      <c r="E15624" t="s">
        <v>419</v>
      </c>
      <c r="F15624" t="s">
        <v>3546</v>
      </c>
      <c r="G15624" t="s">
        <v>47096</v>
      </c>
      <c r="H15624" t="s">
        <v>47153</v>
      </c>
      <c r="I15624" t="s">
        <v>47132</v>
      </c>
      <c r="J15624" t="s">
        <v>47133</v>
      </c>
      <c r="K15624" t="s">
        <v>47113</v>
      </c>
      <c r="L15624">
        <v>42.82</v>
      </c>
      <c r="M15624">
        <v>80</v>
      </c>
      <c r="N15624">
        <v>0</v>
      </c>
      <c r="O15624">
        <v>80</v>
      </c>
      <c r="P15624">
        <v>0</v>
      </c>
    </row>
    <row r="15625" spans="1:16" x14ac:dyDescent="0.25">
      <c r="A15625" t="s">
        <v>38293</v>
      </c>
      <c r="B15625" t="s">
        <v>10667</v>
      </c>
      <c r="C15625" t="s">
        <v>10668</v>
      </c>
      <c r="D15625" t="s">
        <v>437</v>
      </c>
      <c r="E15625" t="s">
        <v>438</v>
      </c>
      <c r="F15625" t="s">
        <v>3546</v>
      </c>
      <c r="G15625" t="s">
        <v>47096</v>
      </c>
      <c r="H15625" t="s">
        <v>47153</v>
      </c>
      <c r="I15625" t="s">
        <v>47132</v>
      </c>
      <c r="J15625" t="s">
        <v>47133</v>
      </c>
      <c r="K15625" t="s">
        <v>47113</v>
      </c>
      <c r="L15625">
        <v>39.89</v>
      </c>
      <c r="M15625">
        <v>74</v>
      </c>
      <c r="N15625">
        <v>0</v>
      </c>
      <c r="O15625">
        <v>74</v>
      </c>
      <c r="P15625">
        <v>0</v>
      </c>
    </row>
    <row r="15626" spans="1:16" x14ac:dyDescent="0.25">
      <c r="A15626" t="s">
        <v>38294</v>
      </c>
      <c r="B15626" t="s">
        <v>10667</v>
      </c>
      <c r="C15626" t="s">
        <v>10668</v>
      </c>
      <c r="D15626" t="s">
        <v>418</v>
      </c>
      <c r="E15626" t="s">
        <v>419</v>
      </c>
      <c r="F15626" t="s">
        <v>3546</v>
      </c>
      <c r="G15626" t="s">
        <v>47096</v>
      </c>
      <c r="H15626" t="s">
        <v>47153</v>
      </c>
      <c r="I15626" t="s">
        <v>47132</v>
      </c>
      <c r="J15626" t="s">
        <v>47133</v>
      </c>
      <c r="K15626" t="s">
        <v>47113</v>
      </c>
      <c r="L15626">
        <v>39.89</v>
      </c>
      <c r="M15626">
        <v>74</v>
      </c>
      <c r="N15626">
        <v>0</v>
      </c>
      <c r="O15626">
        <v>74</v>
      </c>
      <c r="P15626">
        <v>0</v>
      </c>
    </row>
    <row r="15627" spans="1:16" x14ac:dyDescent="0.25">
      <c r="A15627" t="s">
        <v>38295</v>
      </c>
      <c r="B15627" t="s">
        <v>10669</v>
      </c>
      <c r="C15627" t="s">
        <v>10670</v>
      </c>
      <c r="D15627" t="s">
        <v>10671</v>
      </c>
      <c r="E15627" t="s">
        <v>10672</v>
      </c>
      <c r="F15627" t="s">
        <v>3546</v>
      </c>
      <c r="G15627" t="s">
        <v>47096</v>
      </c>
      <c r="H15627" t="s">
        <v>47153</v>
      </c>
      <c r="I15627" t="s">
        <v>47132</v>
      </c>
      <c r="J15627" t="s">
        <v>47133</v>
      </c>
      <c r="K15627" t="s">
        <v>47113</v>
      </c>
      <c r="L15627">
        <v>25.22</v>
      </c>
      <c r="M15627">
        <v>50</v>
      </c>
      <c r="N15627">
        <v>0</v>
      </c>
      <c r="O15627">
        <v>50</v>
      </c>
      <c r="P15627">
        <v>0</v>
      </c>
    </row>
    <row r="15628" spans="1:16" x14ac:dyDescent="0.25">
      <c r="A15628" t="s">
        <v>38296</v>
      </c>
      <c r="B15628" t="s">
        <v>10673</v>
      </c>
      <c r="C15628" t="s">
        <v>10674</v>
      </c>
      <c r="D15628" t="s">
        <v>418</v>
      </c>
      <c r="E15628" t="s">
        <v>419</v>
      </c>
      <c r="F15628" t="s">
        <v>3546</v>
      </c>
      <c r="G15628" t="s">
        <v>47096</v>
      </c>
      <c r="H15628" t="s">
        <v>47153</v>
      </c>
      <c r="I15628" t="s">
        <v>47132</v>
      </c>
      <c r="J15628" t="s">
        <v>47133</v>
      </c>
      <c r="K15628" t="s">
        <v>47113</v>
      </c>
      <c r="L15628">
        <v>37.770000000000003</v>
      </c>
      <c r="M15628">
        <v>72</v>
      </c>
      <c r="N15628">
        <v>0</v>
      </c>
      <c r="O15628">
        <v>72</v>
      </c>
      <c r="P15628">
        <v>0</v>
      </c>
    </row>
    <row r="15629" spans="1:16" x14ac:dyDescent="0.25">
      <c r="A15629" t="s">
        <v>38297</v>
      </c>
      <c r="B15629" t="s">
        <v>10675</v>
      </c>
      <c r="C15629" t="s">
        <v>10676</v>
      </c>
      <c r="D15629" t="s">
        <v>418</v>
      </c>
      <c r="E15629" t="s">
        <v>419</v>
      </c>
      <c r="F15629" t="s">
        <v>3546</v>
      </c>
      <c r="G15629" t="s">
        <v>47096</v>
      </c>
      <c r="H15629" t="s">
        <v>47153</v>
      </c>
      <c r="I15629" t="s">
        <v>47132</v>
      </c>
      <c r="J15629" t="s">
        <v>47133</v>
      </c>
      <c r="K15629" t="s">
        <v>47113</v>
      </c>
      <c r="L15629">
        <v>28.38</v>
      </c>
      <c r="M15629">
        <v>60</v>
      </c>
      <c r="N15629">
        <v>0</v>
      </c>
      <c r="O15629">
        <v>60</v>
      </c>
      <c r="P15629">
        <v>0</v>
      </c>
    </row>
    <row r="15630" spans="1:16" x14ac:dyDescent="0.25">
      <c r="A15630" t="s">
        <v>38298</v>
      </c>
      <c r="B15630" t="s">
        <v>10677</v>
      </c>
      <c r="C15630" t="s">
        <v>10678</v>
      </c>
      <c r="D15630" t="str">
        <f>"1106"</f>
        <v>1106</v>
      </c>
      <c r="E15630" t="s">
        <v>460</v>
      </c>
      <c r="F15630" t="s">
        <v>3546</v>
      </c>
      <c r="G15630" t="s">
        <v>47096</v>
      </c>
      <c r="H15630" t="s">
        <v>47126</v>
      </c>
      <c r="I15630" t="s">
        <v>47127</v>
      </c>
      <c r="J15630" t="s">
        <v>47128</v>
      </c>
      <c r="K15630" t="s">
        <v>47113</v>
      </c>
      <c r="L15630">
        <v>29.78</v>
      </c>
      <c r="M15630">
        <v>54</v>
      </c>
      <c r="N15630">
        <v>0</v>
      </c>
      <c r="O15630">
        <v>54</v>
      </c>
      <c r="P15630">
        <v>0</v>
      </c>
    </row>
    <row r="15631" spans="1:16" x14ac:dyDescent="0.25">
      <c r="A15631" t="s">
        <v>38299</v>
      </c>
      <c r="B15631" t="s">
        <v>10677</v>
      </c>
      <c r="C15631" t="s">
        <v>10678</v>
      </c>
      <c r="D15631" t="str">
        <f>"1378"</f>
        <v>1378</v>
      </c>
      <c r="E15631" t="s">
        <v>388</v>
      </c>
      <c r="F15631" t="s">
        <v>3546</v>
      </c>
      <c r="G15631" t="s">
        <v>47096</v>
      </c>
      <c r="H15631" t="s">
        <v>47126</v>
      </c>
      <c r="I15631" t="s">
        <v>47127</v>
      </c>
      <c r="J15631" t="s">
        <v>47128</v>
      </c>
      <c r="K15631" t="s">
        <v>47113</v>
      </c>
      <c r="L15631">
        <v>29.78</v>
      </c>
      <c r="M15631">
        <v>54</v>
      </c>
      <c r="N15631">
        <v>0</v>
      </c>
      <c r="O15631">
        <v>54</v>
      </c>
      <c r="P15631">
        <v>0</v>
      </c>
    </row>
    <row r="15632" spans="1:16" x14ac:dyDescent="0.25">
      <c r="A15632" t="s">
        <v>38300</v>
      </c>
      <c r="B15632" t="s">
        <v>10677</v>
      </c>
      <c r="C15632" t="s">
        <v>10678</v>
      </c>
      <c r="D15632" t="str">
        <f>"1403"</f>
        <v>1403</v>
      </c>
      <c r="E15632" t="s">
        <v>224</v>
      </c>
      <c r="F15632" t="s">
        <v>3546</v>
      </c>
      <c r="G15632" t="s">
        <v>47096</v>
      </c>
      <c r="H15632" t="s">
        <v>47126</v>
      </c>
      <c r="I15632" t="s">
        <v>47127</v>
      </c>
      <c r="J15632" t="s">
        <v>47128</v>
      </c>
      <c r="K15632" t="s">
        <v>47113</v>
      </c>
      <c r="L15632">
        <v>29.78</v>
      </c>
      <c r="M15632">
        <v>54</v>
      </c>
      <c r="N15632">
        <v>0</v>
      </c>
      <c r="O15632">
        <v>54</v>
      </c>
      <c r="P15632">
        <v>0</v>
      </c>
    </row>
    <row r="15633" spans="1:16" x14ac:dyDescent="0.25">
      <c r="A15633" t="s">
        <v>38301</v>
      </c>
      <c r="B15633" t="s">
        <v>10677</v>
      </c>
      <c r="C15633" t="s">
        <v>10678</v>
      </c>
      <c r="D15633" t="str">
        <f>"3544"</f>
        <v>3544</v>
      </c>
      <c r="E15633" t="s">
        <v>4174</v>
      </c>
      <c r="F15633" t="s">
        <v>3546</v>
      </c>
      <c r="G15633" t="s">
        <v>47096</v>
      </c>
      <c r="H15633" t="s">
        <v>47126</v>
      </c>
      <c r="I15633" t="s">
        <v>47127</v>
      </c>
      <c r="J15633" t="s">
        <v>47128</v>
      </c>
      <c r="K15633" t="s">
        <v>47113</v>
      </c>
      <c r="L15633">
        <v>29.78</v>
      </c>
      <c r="M15633">
        <v>54</v>
      </c>
      <c r="N15633">
        <v>0</v>
      </c>
      <c r="O15633">
        <v>54</v>
      </c>
      <c r="P15633">
        <v>0</v>
      </c>
    </row>
    <row r="15634" spans="1:16" x14ac:dyDescent="0.25">
      <c r="A15634" t="s">
        <v>38302</v>
      </c>
      <c r="B15634" t="s">
        <v>10677</v>
      </c>
      <c r="C15634" t="s">
        <v>10678</v>
      </c>
      <c r="D15634" t="str">
        <f>"4921"</f>
        <v>4921</v>
      </c>
      <c r="E15634" t="s">
        <v>4156</v>
      </c>
      <c r="F15634" t="s">
        <v>3546</v>
      </c>
      <c r="G15634" t="s">
        <v>47096</v>
      </c>
      <c r="H15634" t="s">
        <v>47126</v>
      </c>
      <c r="I15634" t="s">
        <v>47127</v>
      </c>
      <c r="J15634" t="s">
        <v>47128</v>
      </c>
      <c r="K15634" t="s">
        <v>47113</v>
      </c>
      <c r="L15634">
        <v>29.78</v>
      </c>
      <c r="M15634">
        <v>54</v>
      </c>
      <c r="N15634">
        <v>0</v>
      </c>
      <c r="O15634">
        <v>54</v>
      </c>
      <c r="P15634">
        <v>0</v>
      </c>
    </row>
    <row r="15635" spans="1:16" x14ac:dyDescent="0.25">
      <c r="A15635" t="s">
        <v>38303</v>
      </c>
      <c r="B15635" t="s">
        <v>10677</v>
      </c>
      <c r="C15635" t="s">
        <v>10678</v>
      </c>
      <c r="D15635" t="str">
        <f>"4922"</f>
        <v>4922</v>
      </c>
      <c r="E15635" t="s">
        <v>4175</v>
      </c>
      <c r="F15635" t="s">
        <v>3546</v>
      </c>
      <c r="G15635" t="s">
        <v>47096</v>
      </c>
      <c r="H15635" t="s">
        <v>47126</v>
      </c>
      <c r="I15635" t="s">
        <v>47127</v>
      </c>
      <c r="J15635" t="s">
        <v>47128</v>
      </c>
      <c r="K15635" t="s">
        <v>47113</v>
      </c>
      <c r="L15635">
        <v>29.78</v>
      </c>
      <c r="M15635">
        <v>54</v>
      </c>
      <c r="N15635">
        <v>0</v>
      </c>
      <c r="O15635">
        <v>54</v>
      </c>
      <c r="P15635">
        <v>0</v>
      </c>
    </row>
    <row r="15636" spans="1:16" x14ac:dyDescent="0.25">
      <c r="A15636" t="s">
        <v>38304</v>
      </c>
      <c r="B15636" t="s">
        <v>10677</v>
      </c>
      <c r="C15636" t="s">
        <v>10678</v>
      </c>
      <c r="D15636" t="str">
        <f>"6064"</f>
        <v>6064</v>
      </c>
      <c r="E15636" t="s">
        <v>87</v>
      </c>
      <c r="F15636" t="s">
        <v>3546</v>
      </c>
      <c r="G15636" t="s">
        <v>47096</v>
      </c>
      <c r="H15636" t="s">
        <v>47126</v>
      </c>
      <c r="I15636" t="s">
        <v>47127</v>
      </c>
      <c r="J15636" t="s">
        <v>47128</v>
      </c>
      <c r="K15636" t="s">
        <v>47113</v>
      </c>
      <c r="L15636">
        <v>29.78</v>
      </c>
      <c r="M15636">
        <v>54</v>
      </c>
      <c r="N15636">
        <v>0</v>
      </c>
      <c r="O15636">
        <v>54</v>
      </c>
      <c r="P15636">
        <v>0</v>
      </c>
    </row>
    <row r="15637" spans="1:16" x14ac:dyDescent="0.25">
      <c r="A15637" t="s">
        <v>38305</v>
      </c>
      <c r="B15637" t="s">
        <v>10677</v>
      </c>
      <c r="C15637" t="s">
        <v>10678</v>
      </c>
      <c r="D15637" t="str">
        <f>"6082"</f>
        <v>6082</v>
      </c>
      <c r="E15637" t="s">
        <v>2154</v>
      </c>
      <c r="F15637" t="s">
        <v>3546</v>
      </c>
      <c r="G15637" t="s">
        <v>47096</v>
      </c>
      <c r="H15637" t="s">
        <v>47126</v>
      </c>
      <c r="I15637" t="s">
        <v>47127</v>
      </c>
      <c r="J15637" t="s">
        <v>47128</v>
      </c>
      <c r="K15637" t="s">
        <v>47113</v>
      </c>
      <c r="L15637">
        <v>29.78</v>
      </c>
      <c r="M15637">
        <v>54</v>
      </c>
      <c r="N15637">
        <v>0</v>
      </c>
      <c r="O15637">
        <v>54</v>
      </c>
      <c r="P15637">
        <v>0</v>
      </c>
    </row>
    <row r="15638" spans="1:16" x14ac:dyDescent="0.25">
      <c r="A15638" t="s">
        <v>38306</v>
      </c>
      <c r="B15638" t="s">
        <v>10677</v>
      </c>
      <c r="C15638" t="s">
        <v>10678</v>
      </c>
      <c r="D15638" t="str">
        <f>"6216"</f>
        <v>6216</v>
      </c>
      <c r="E15638" t="s">
        <v>10679</v>
      </c>
      <c r="F15638" t="s">
        <v>3546</v>
      </c>
      <c r="G15638" t="s">
        <v>47096</v>
      </c>
      <c r="H15638" t="s">
        <v>47126</v>
      </c>
      <c r="I15638" t="s">
        <v>47127</v>
      </c>
      <c r="J15638" t="s">
        <v>47128</v>
      </c>
      <c r="K15638" t="s">
        <v>47113</v>
      </c>
      <c r="L15638">
        <v>29.78</v>
      </c>
      <c r="M15638">
        <v>54</v>
      </c>
      <c r="N15638">
        <v>0</v>
      </c>
      <c r="O15638">
        <v>54</v>
      </c>
      <c r="P15638">
        <v>0</v>
      </c>
    </row>
    <row r="15639" spans="1:16" x14ac:dyDescent="0.25">
      <c r="A15639" t="s">
        <v>38307</v>
      </c>
      <c r="B15639" t="s">
        <v>10680</v>
      </c>
      <c r="C15639" t="s">
        <v>10681</v>
      </c>
      <c r="D15639" t="str">
        <f>"1106"</f>
        <v>1106</v>
      </c>
      <c r="E15639" t="s">
        <v>460</v>
      </c>
      <c r="F15639" t="s">
        <v>3546</v>
      </c>
      <c r="G15639" t="s">
        <v>47096</v>
      </c>
      <c r="H15639" t="s">
        <v>47126</v>
      </c>
      <c r="I15639" t="s">
        <v>47127</v>
      </c>
      <c r="J15639" t="s">
        <v>47128</v>
      </c>
      <c r="K15639" t="s">
        <v>47113</v>
      </c>
      <c r="L15639">
        <v>29.78</v>
      </c>
      <c r="M15639">
        <v>54</v>
      </c>
      <c r="N15639">
        <v>0</v>
      </c>
      <c r="O15639">
        <v>54</v>
      </c>
      <c r="P15639">
        <v>0</v>
      </c>
    </row>
    <row r="15640" spans="1:16" x14ac:dyDescent="0.25">
      <c r="A15640" t="s">
        <v>38308</v>
      </c>
      <c r="B15640" t="s">
        <v>10680</v>
      </c>
      <c r="C15640" t="s">
        <v>10681</v>
      </c>
      <c r="D15640" t="str">
        <f>"1378"</f>
        <v>1378</v>
      </c>
      <c r="E15640" t="s">
        <v>388</v>
      </c>
      <c r="F15640" t="s">
        <v>3546</v>
      </c>
      <c r="G15640" t="s">
        <v>47096</v>
      </c>
      <c r="H15640" t="s">
        <v>47126</v>
      </c>
      <c r="I15640" t="s">
        <v>47127</v>
      </c>
      <c r="J15640" t="s">
        <v>47128</v>
      </c>
      <c r="K15640" t="s">
        <v>47113</v>
      </c>
      <c r="L15640">
        <v>29.78</v>
      </c>
      <c r="M15640">
        <v>54</v>
      </c>
      <c r="N15640">
        <v>0</v>
      </c>
      <c r="O15640">
        <v>54</v>
      </c>
      <c r="P15640">
        <v>0</v>
      </c>
    </row>
    <row r="15641" spans="1:16" x14ac:dyDescent="0.25">
      <c r="A15641" t="s">
        <v>38309</v>
      </c>
      <c r="B15641" t="s">
        <v>10680</v>
      </c>
      <c r="C15641" t="s">
        <v>10681</v>
      </c>
      <c r="D15641" t="str">
        <f>"1403"</f>
        <v>1403</v>
      </c>
      <c r="E15641" t="s">
        <v>224</v>
      </c>
      <c r="F15641" t="s">
        <v>3546</v>
      </c>
      <c r="G15641" t="s">
        <v>47096</v>
      </c>
      <c r="H15641" t="s">
        <v>47126</v>
      </c>
      <c r="I15641" t="s">
        <v>47127</v>
      </c>
      <c r="J15641" t="s">
        <v>47128</v>
      </c>
      <c r="K15641" t="s">
        <v>47113</v>
      </c>
      <c r="L15641">
        <v>29.78</v>
      </c>
      <c r="M15641">
        <v>54</v>
      </c>
      <c r="N15641">
        <v>0</v>
      </c>
      <c r="O15641">
        <v>54</v>
      </c>
      <c r="P15641">
        <v>0</v>
      </c>
    </row>
    <row r="15642" spans="1:16" x14ac:dyDescent="0.25">
      <c r="A15642" t="s">
        <v>38310</v>
      </c>
      <c r="B15642" t="s">
        <v>10680</v>
      </c>
      <c r="C15642" t="s">
        <v>10681</v>
      </c>
      <c r="D15642" t="str">
        <f>"3544"</f>
        <v>3544</v>
      </c>
      <c r="E15642" t="s">
        <v>4174</v>
      </c>
      <c r="F15642" t="s">
        <v>3546</v>
      </c>
      <c r="G15642" t="s">
        <v>47096</v>
      </c>
      <c r="H15642" t="s">
        <v>47126</v>
      </c>
      <c r="I15642" t="s">
        <v>47127</v>
      </c>
      <c r="J15642" t="s">
        <v>47128</v>
      </c>
      <c r="K15642" t="s">
        <v>47113</v>
      </c>
      <c r="L15642">
        <v>29.78</v>
      </c>
      <c r="M15642">
        <v>54</v>
      </c>
      <c r="N15642">
        <v>0</v>
      </c>
      <c r="O15642">
        <v>54</v>
      </c>
      <c r="P15642">
        <v>0</v>
      </c>
    </row>
    <row r="15643" spans="1:16" x14ac:dyDescent="0.25">
      <c r="A15643" t="s">
        <v>38311</v>
      </c>
      <c r="B15643" t="s">
        <v>10680</v>
      </c>
      <c r="C15643" t="s">
        <v>10681</v>
      </c>
      <c r="D15643" t="str">
        <f>"4921"</f>
        <v>4921</v>
      </c>
      <c r="E15643" t="s">
        <v>4156</v>
      </c>
      <c r="F15643" t="s">
        <v>3546</v>
      </c>
      <c r="G15643" t="s">
        <v>47096</v>
      </c>
      <c r="H15643" t="s">
        <v>47126</v>
      </c>
      <c r="I15643" t="s">
        <v>47127</v>
      </c>
      <c r="J15643" t="s">
        <v>47128</v>
      </c>
      <c r="K15643" t="s">
        <v>47113</v>
      </c>
      <c r="L15643">
        <v>29.78</v>
      </c>
      <c r="M15643">
        <v>54</v>
      </c>
      <c r="N15643">
        <v>0</v>
      </c>
      <c r="O15643">
        <v>54</v>
      </c>
      <c r="P15643">
        <v>0</v>
      </c>
    </row>
    <row r="15644" spans="1:16" x14ac:dyDescent="0.25">
      <c r="A15644" t="s">
        <v>38312</v>
      </c>
      <c r="B15644" t="s">
        <v>10680</v>
      </c>
      <c r="C15644" t="s">
        <v>10681</v>
      </c>
      <c r="D15644" t="str">
        <f>"4922"</f>
        <v>4922</v>
      </c>
      <c r="E15644" t="s">
        <v>4175</v>
      </c>
      <c r="F15644" t="s">
        <v>3546</v>
      </c>
      <c r="G15644" t="s">
        <v>47096</v>
      </c>
      <c r="H15644" t="s">
        <v>47126</v>
      </c>
      <c r="I15644" t="s">
        <v>47127</v>
      </c>
      <c r="J15644" t="s">
        <v>47128</v>
      </c>
      <c r="K15644" t="s">
        <v>47113</v>
      </c>
      <c r="L15644">
        <v>29.78</v>
      </c>
      <c r="M15644">
        <v>54</v>
      </c>
      <c r="N15644">
        <v>0</v>
      </c>
      <c r="O15644">
        <v>54</v>
      </c>
      <c r="P15644">
        <v>0</v>
      </c>
    </row>
    <row r="15645" spans="1:16" x14ac:dyDescent="0.25">
      <c r="A15645" t="s">
        <v>38313</v>
      </c>
      <c r="B15645" t="s">
        <v>10680</v>
      </c>
      <c r="C15645" t="s">
        <v>10681</v>
      </c>
      <c r="D15645" t="str">
        <f>"6064"</f>
        <v>6064</v>
      </c>
      <c r="E15645" t="s">
        <v>87</v>
      </c>
      <c r="F15645" t="s">
        <v>3546</v>
      </c>
      <c r="G15645" t="s">
        <v>47096</v>
      </c>
      <c r="H15645" t="s">
        <v>47126</v>
      </c>
      <c r="I15645" t="s">
        <v>47127</v>
      </c>
      <c r="J15645" t="s">
        <v>47128</v>
      </c>
      <c r="K15645" t="s">
        <v>47113</v>
      </c>
      <c r="L15645">
        <v>29.78</v>
      </c>
      <c r="M15645">
        <v>54</v>
      </c>
      <c r="N15645">
        <v>0</v>
      </c>
      <c r="O15645">
        <v>54</v>
      </c>
      <c r="P15645">
        <v>0</v>
      </c>
    </row>
    <row r="15646" spans="1:16" x14ac:dyDescent="0.25">
      <c r="A15646" t="s">
        <v>38314</v>
      </c>
      <c r="B15646" t="s">
        <v>10680</v>
      </c>
      <c r="C15646" t="s">
        <v>10681</v>
      </c>
      <c r="D15646" t="str">
        <f>"6082"</f>
        <v>6082</v>
      </c>
      <c r="E15646" t="s">
        <v>2154</v>
      </c>
      <c r="F15646" t="s">
        <v>3546</v>
      </c>
      <c r="G15646" t="s">
        <v>47096</v>
      </c>
      <c r="H15646" t="s">
        <v>47126</v>
      </c>
      <c r="I15646" t="s">
        <v>47127</v>
      </c>
      <c r="J15646" t="s">
        <v>47128</v>
      </c>
      <c r="K15646" t="s">
        <v>47113</v>
      </c>
      <c r="L15646">
        <v>29.78</v>
      </c>
      <c r="M15646">
        <v>54</v>
      </c>
      <c r="N15646">
        <v>0</v>
      </c>
      <c r="O15646">
        <v>54</v>
      </c>
      <c r="P15646">
        <v>0</v>
      </c>
    </row>
    <row r="15647" spans="1:16" x14ac:dyDescent="0.25">
      <c r="A15647" t="s">
        <v>38315</v>
      </c>
      <c r="B15647" t="s">
        <v>10682</v>
      </c>
      <c r="C15647" t="s">
        <v>10681</v>
      </c>
      <c r="D15647" t="str">
        <f>"1106"</f>
        <v>1106</v>
      </c>
      <c r="E15647" t="s">
        <v>460</v>
      </c>
      <c r="F15647" t="s">
        <v>3546</v>
      </c>
      <c r="G15647" t="s">
        <v>47096</v>
      </c>
      <c r="H15647" t="s">
        <v>47126</v>
      </c>
      <c r="I15647" t="s">
        <v>47127</v>
      </c>
      <c r="J15647" t="s">
        <v>47128</v>
      </c>
      <c r="K15647" t="s">
        <v>47113</v>
      </c>
      <c r="L15647">
        <v>29.78</v>
      </c>
      <c r="M15647">
        <v>54</v>
      </c>
      <c r="N15647">
        <v>0</v>
      </c>
      <c r="O15647">
        <v>54</v>
      </c>
      <c r="P15647">
        <v>0</v>
      </c>
    </row>
    <row r="15648" spans="1:16" x14ac:dyDescent="0.25">
      <c r="A15648" t="s">
        <v>38316</v>
      </c>
      <c r="B15648" t="s">
        <v>10682</v>
      </c>
      <c r="C15648" t="s">
        <v>10681</v>
      </c>
      <c r="D15648" t="str">
        <f>"1378"</f>
        <v>1378</v>
      </c>
      <c r="E15648" t="s">
        <v>388</v>
      </c>
      <c r="F15648" t="s">
        <v>3546</v>
      </c>
      <c r="G15648" t="s">
        <v>47096</v>
      </c>
      <c r="H15648" t="s">
        <v>47126</v>
      </c>
      <c r="I15648" t="s">
        <v>47127</v>
      </c>
      <c r="J15648" t="s">
        <v>47128</v>
      </c>
      <c r="K15648" t="s">
        <v>47113</v>
      </c>
      <c r="L15648">
        <v>29.78</v>
      </c>
      <c r="M15648">
        <v>54</v>
      </c>
      <c r="N15648">
        <v>0</v>
      </c>
      <c r="O15648">
        <v>54</v>
      </c>
      <c r="P15648">
        <v>0</v>
      </c>
    </row>
    <row r="15649" spans="1:16" x14ac:dyDescent="0.25">
      <c r="A15649" t="s">
        <v>38317</v>
      </c>
      <c r="B15649" t="s">
        <v>10682</v>
      </c>
      <c r="C15649" t="s">
        <v>10681</v>
      </c>
      <c r="D15649" t="str">
        <f>"1403"</f>
        <v>1403</v>
      </c>
      <c r="E15649" t="s">
        <v>224</v>
      </c>
      <c r="F15649" t="s">
        <v>3546</v>
      </c>
      <c r="G15649" t="s">
        <v>47096</v>
      </c>
      <c r="H15649" t="s">
        <v>47126</v>
      </c>
      <c r="I15649" t="s">
        <v>47127</v>
      </c>
      <c r="J15649" t="s">
        <v>47128</v>
      </c>
      <c r="K15649" t="s">
        <v>47113</v>
      </c>
      <c r="L15649">
        <v>29.78</v>
      </c>
      <c r="M15649">
        <v>54</v>
      </c>
      <c r="N15649">
        <v>0</v>
      </c>
      <c r="O15649">
        <v>54</v>
      </c>
      <c r="P15649">
        <v>0</v>
      </c>
    </row>
    <row r="15650" spans="1:16" x14ac:dyDescent="0.25">
      <c r="A15650" t="s">
        <v>38318</v>
      </c>
      <c r="B15650" t="s">
        <v>10682</v>
      </c>
      <c r="C15650" t="s">
        <v>10681</v>
      </c>
      <c r="D15650" t="str">
        <f>"3544"</f>
        <v>3544</v>
      </c>
      <c r="E15650" t="s">
        <v>4174</v>
      </c>
      <c r="F15650" t="s">
        <v>3546</v>
      </c>
      <c r="G15650" t="s">
        <v>47096</v>
      </c>
      <c r="H15650" t="s">
        <v>47126</v>
      </c>
      <c r="I15650" t="s">
        <v>47127</v>
      </c>
      <c r="J15650" t="s">
        <v>47128</v>
      </c>
      <c r="K15650" t="s">
        <v>47113</v>
      </c>
      <c r="L15650">
        <v>29.78</v>
      </c>
      <c r="M15650">
        <v>54</v>
      </c>
      <c r="N15650">
        <v>0</v>
      </c>
      <c r="O15650">
        <v>54</v>
      </c>
      <c r="P15650">
        <v>0</v>
      </c>
    </row>
    <row r="15651" spans="1:16" x14ac:dyDescent="0.25">
      <c r="A15651" t="s">
        <v>38319</v>
      </c>
      <c r="B15651" t="s">
        <v>10682</v>
      </c>
      <c r="C15651" t="s">
        <v>10681</v>
      </c>
      <c r="D15651" t="str">
        <f>"4921"</f>
        <v>4921</v>
      </c>
      <c r="E15651" t="s">
        <v>4156</v>
      </c>
      <c r="F15651" t="s">
        <v>3546</v>
      </c>
      <c r="G15651" t="s">
        <v>47096</v>
      </c>
      <c r="H15651" t="s">
        <v>47126</v>
      </c>
      <c r="I15651" t="s">
        <v>47127</v>
      </c>
      <c r="J15651" t="s">
        <v>47128</v>
      </c>
      <c r="K15651" t="s">
        <v>47113</v>
      </c>
      <c r="L15651">
        <v>29.78</v>
      </c>
      <c r="M15651">
        <v>54</v>
      </c>
      <c r="N15651">
        <v>0</v>
      </c>
      <c r="O15651">
        <v>54</v>
      </c>
      <c r="P15651">
        <v>0</v>
      </c>
    </row>
    <row r="15652" spans="1:16" x14ac:dyDescent="0.25">
      <c r="A15652" t="s">
        <v>38320</v>
      </c>
      <c r="B15652" t="s">
        <v>10682</v>
      </c>
      <c r="C15652" t="s">
        <v>10681</v>
      </c>
      <c r="D15652" t="str">
        <f>"4922"</f>
        <v>4922</v>
      </c>
      <c r="E15652" t="s">
        <v>4175</v>
      </c>
      <c r="F15652" t="s">
        <v>3546</v>
      </c>
      <c r="G15652" t="s">
        <v>47096</v>
      </c>
      <c r="H15652" t="s">
        <v>47126</v>
      </c>
      <c r="I15652" t="s">
        <v>47127</v>
      </c>
      <c r="J15652" t="s">
        <v>47128</v>
      </c>
      <c r="K15652" t="s">
        <v>47113</v>
      </c>
      <c r="L15652">
        <v>29.78</v>
      </c>
      <c r="M15652">
        <v>54</v>
      </c>
      <c r="N15652">
        <v>0</v>
      </c>
      <c r="O15652">
        <v>54</v>
      </c>
      <c r="P15652">
        <v>0</v>
      </c>
    </row>
    <row r="15653" spans="1:16" x14ac:dyDescent="0.25">
      <c r="A15653" t="s">
        <v>38321</v>
      </c>
      <c r="B15653" t="s">
        <v>10682</v>
      </c>
      <c r="C15653" t="s">
        <v>10681</v>
      </c>
      <c r="D15653" t="str">
        <f>"6064"</f>
        <v>6064</v>
      </c>
      <c r="E15653" t="s">
        <v>87</v>
      </c>
      <c r="F15653" t="s">
        <v>3546</v>
      </c>
      <c r="G15653" t="s">
        <v>47096</v>
      </c>
      <c r="H15653" t="s">
        <v>47126</v>
      </c>
      <c r="I15653" t="s">
        <v>47127</v>
      </c>
      <c r="J15653" t="s">
        <v>47128</v>
      </c>
      <c r="K15653" t="s">
        <v>47113</v>
      </c>
      <c r="L15653">
        <v>29.78</v>
      </c>
      <c r="M15653">
        <v>54</v>
      </c>
      <c r="N15653">
        <v>0</v>
      </c>
      <c r="O15653">
        <v>54</v>
      </c>
      <c r="P15653">
        <v>0</v>
      </c>
    </row>
    <row r="15654" spans="1:16" x14ac:dyDescent="0.25">
      <c r="A15654" t="s">
        <v>38322</v>
      </c>
      <c r="B15654" t="s">
        <v>10682</v>
      </c>
      <c r="C15654" t="s">
        <v>10681</v>
      </c>
      <c r="D15654" t="str">
        <f>"6082"</f>
        <v>6082</v>
      </c>
      <c r="E15654" t="s">
        <v>2154</v>
      </c>
      <c r="F15654" t="s">
        <v>3546</v>
      </c>
      <c r="G15654" t="s">
        <v>47096</v>
      </c>
      <c r="H15654" t="s">
        <v>47126</v>
      </c>
      <c r="I15654" t="s">
        <v>47127</v>
      </c>
      <c r="J15654" t="s">
        <v>47128</v>
      </c>
      <c r="K15654" t="s">
        <v>47113</v>
      </c>
      <c r="L15654">
        <v>29.78</v>
      </c>
      <c r="M15654">
        <v>54</v>
      </c>
      <c r="N15654">
        <v>0</v>
      </c>
      <c r="O15654">
        <v>54</v>
      </c>
      <c r="P15654">
        <v>0</v>
      </c>
    </row>
    <row r="15655" spans="1:16" x14ac:dyDescent="0.25">
      <c r="A15655" t="s">
        <v>38323</v>
      </c>
      <c r="B15655" t="s">
        <v>10683</v>
      </c>
      <c r="C15655" t="s">
        <v>10684</v>
      </c>
      <c r="D15655" t="str">
        <f>"1106"</f>
        <v>1106</v>
      </c>
      <c r="E15655" t="s">
        <v>460</v>
      </c>
      <c r="F15655" t="s">
        <v>3546</v>
      </c>
      <c r="G15655" t="s">
        <v>47091</v>
      </c>
      <c r="H15655" t="s">
        <v>47126</v>
      </c>
      <c r="I15655" t="s">
        <v>47127</v>
      </c>
      <c r="J15655" t="s">
        <v>47128</v>
      </c>
      <c r="K15655" t="s">
        <v>47113</v>
      </c>
      <c r="L15655">
        <v>14.59</v>
      </c>
      <c r="M15655">
        <v>30</v>
      </c>
      <c r="N15655">
        <v>0</v>
      </c>
      <c r="O15655">
        <v>30</v>
      </c>
      <c r="P15655">
        <v>0</v>
      </c>
    </row>
    <row r="15656" spans="1:16" x14ac:dyDescent="0.25">
      <c r="A15656" t="s">
        <v>38324</v>
      </c>
      <c r="B15656" t="s">
        <v>10683</v>
      </c>
      <c r="C15656" t="s">
        <v>10684</v>
      </c>
      <c r="D15656" t="str">
        <f>"1378"</f>
        <v>1378</v>
      </c>
      <c r="E15656" t="s">
        <v>388</v>
      </c>
      <c r="F15656" t="s">
        <v>3546</v>
      </c>
      <c r="G15656" t="s">
        <v>47091</v>
      </c>
      <c r="H15656" t="s">
        <v>47126</v>
      </c>
      <c r="I15656" t="s">
        <v>47127</v>
      </c>
      <c r="J15656" t="s">
        <v>47128</v>
      </c>
      <c r="K15656" t="s">
        <v>47113</v>
      </c>
      <c r="L15656">
        <v>14.59</v>
      </c>
      <c r="M15656">
        <v>30</v>
      </c>
      <c r="N15656">
        <v>0</v>
      </c>
      <c r="O15656">
        <v>30</v>
      </c>
      <c r="P15656">
        <v>0</v>
      </c>
    </row>
    <row r="15657" spans="1:16" x14ac:dyDescent="0.25">
      <c r="A15657" t="s">
        <v>38325</v>
      </c>
      <c r="B15657" t="s">
        <v>10683</v>
      </c>
      <c r="C15657" t="s">
        <v>10684</v>
      </c>
      <c r="D15657" t="str">
        <f>"1403"</f>
        <v>1403</v>
      </c>
      <c r="E15657" t="s">
        <v>224</v>
      </c>
      <c r="F15657" t="s">
        <v>3546</v>
      </c>
      <c r="G15657" t="s">
        <v>47091</v>
      </c>
      <c r="H15657" t="s">
        <v>47126</v>
      </c>
      <c r="I15657" t="s">
        <v>47127</v>
      </c>
      <c r="J15657" t="s">
        <v>47128</v>
      </c>
      <c r="K15657" t="s">
        <v>47113</v>
      </c>
      <c r="L15657">
        <v>14.59</v>
      </c>
      <c r="M15657">
        <v>30</v>
      </c>
      <c r="N15657">
        <v>0</v>
      </c>
      <c r="O15657">
        <v>30</v>
      </c>
      <c r="P15657">
        <v>0</v>
      </c>
    </row>
    <row r="15658" spans="1:16" x14ac:dyDescent="0.25">
      <c r="A15658" t="s">
        <v>38326</v>
      </c>
      <c r="B15658" t="s">
        <v>10683</v>
      </c>
      <c r="C15658" t="s">
        <v>10684</v>
      </c>
      <c r="D15658" t="str">
        <f>"1700"</f>
        <v>1700</v>
      </c>
      <c r="E15658" t="s">
        <v>60</v>
      </c>
      <c r="F15658" t="s">
        <v>3546</v>
      </c>
      <c r="G15658" t="s">
        <v>47091</v>
      </c>
      <c r="H15658" t="s">
        <v>47126</v>
      </c>
      <c r="I15658" t="s">
        <v>47127</v>
      </c>
      <c r="J15658" t="s">
        <v>47128</v>
      </c>
      <c r="K15658" t="s">
        <v>47113</v>
      </c>
      <c r="L15658">
        <v>14.59</v>
      </c>
      <c r="M15658">
        <v>30</v>
      </c>
      <c r="N15658">
        <v>0</v>
      </c>
      <c r="O15658">
        <v>30</v>
      </c>
      <c r="P15658">
        <v>0</v>
      </c>
    </row>
    <row r="15659" spans="1:16" x14ac:dyDescent="0.25">
      <c r="A15659" t="s">
        <v>38327</v>
      </c>
      <c r="B15659" t="s">
        <v>10683</v>
      </c>
      <c r="C15659" t="s">
        <v>10684</v>
      </c>
      <c r="D15659" t="str">
        <f>"3544"</f>
        <v>3544</v>
      </c>
      <c r="E15659" t="s">
        <v>4174</v>
      </c>
      <c r="F15659" t="s">
        <v>3546</v>
      </c>
      <c r="G15659" t="s">
        <v>47091</v>
      </c>
      <c r="H15659" t="s">
        <v>47126</v>
      </c>
      <c r="I15659" t="s">
        <v>47127</v>
      </c>
      <c r="J15659" t="s">
        <v>47128</v>
      </c>
      <c r="K15659" t="s">
        <v>47113</v>
      </c>
      <c r="L15659">
        <v>14.59</v>
      </c>
      <c r="M15659">
        <v>30</v>
      </c>
      <c r="N15659">
        <v>0</v>
      </c>
      <c r="O15659">
        <v>30</v>
      </c>
      <c r="P15659">
        <v>0</v>
      </c>
    </row>
    <row r="15660" spans="1:16" x14ac:dyDescent="0.25">
      <c r="A15660" t="s">
        <v>38328</v>
      </c>
      <c r="B15660" t="s">
        <v>10683</v>
      </c>
      <c r="C15660" t="s">
        <v>10684</v>
      </c>
      <c r="D15660" t="str">
        <f>"4921"</f>
        <v>4921</v>
      </c>
      <c r="E15660" t="s">
        <v>4156</v>
      </c>
      <c r="F15660" t="s">
        <v>3546</v>
      </c>
      <c r="G15660" t="s">
        <v>47091</v>
      </c>
      <c r="H15660" t="s">
        <v>47126</v>
      </c>
      <c r="I15660" t="s">
        <v>47127</v>
      </c>
      <c r="J15660" t="s">
        <v>47128</v>
      </c>
      <c r="K15660" t="s">
        <v>47113</v>
      </c>
      <c r="L15660">
        <v>14.59</v>
      </c>
      <c r="M15660">
        <v>30</v>
      </c>
      <c r="N15660">
        <v>0</v>
      </c>
      <c r="O15660">
        <v>30</v>
      </c>
      <c r="P15660">
        <v>0</v>
      </c>
    </row>
    <row r="15661" spans="1:16" x14ac:dyDescent="0.25">
      <c r="A15661" t="s">
        <v>38329</v>
      </c>
      <c r="B15661" t="s">
        <v>10683</v>
      </c>
      <c r="C15661" t="s">
        <v>10684</v>
      </c>
      <c r="D15661" t="str">
        <f>"4922"</f>
        <v>4922</v>
      </c>
      <c r="E15661" t="s">
        <v>4175</v>
      </c>
      <c r="F15661" t="s">
        <v>3546</v>
      </c>
      <c r="G15661" t="s">
        <v>47091</v>
      </c>
      <c r="H15661" t="s">
        <v>47126</v>
      </c>
      <c r="I15661" t="s">
        <v>47127</v>
      </c>
      <c r="J15661" t="s">
        <v>47128</v>
      </c>
      <c r="K15661" t="s">
        <v>47113</v>
      </c>
      <c r="L15661">
        <v>14.59</v>
      </c>
      <c r="M15661">
        <v>30</v>
      </c>
      <c r="N15661">
        <v>0</v>
      </c>
      <c r="O15661">
        <v>30</v>
      </c>
      <c r="P15661">
        <v>0</v>
      </c>
    </row>
    <row r="15662" spans="1:16" x14ac:dyDescent="0.25">
      <c r="A15662" t="s">
        <v>38330</v>
      </c>
      <c r="B15662" t="s">
        <v>10683</v>
      </c>
      <c r="C15662" t="s">
        <v>10684</v>
      </c>
      <c r="D15662" t="str">
        <f>"6064"</f>
        <v>6064</v>
      </c>
      <c r="E15662" t="s">
        <v>87</v>
      </c>
      <c r="F15662" t="s">
        <v>3546</v>
      </c>
      <c r="G15662" t="s">
        <v>47091</v>
      </c>
      <c r="H15662" t="s">
        <v>47126</v>
      </c>
      <c r="I15662" t="s">
        <v>47127</v>
      </c>
      <c r="J15662" t="s">
        <v>47128</v>
      </c>
      <c r="K15662" t="s">
        <v>47113</v>
      </c>
      <c r="L15662">
        <v>14.59</v>
      </c>
      <c r="M15662">
        <v>30</v>
      </c>
      <c r="N15662">
        <v>0</v>
      </c>
      <c r="O15662">
        <v>30</v>
      </c>
      <c r="P15662">
        <v>0</v>
      </c>
    </row>
    <row r="15663" spans="1:16" x14ac:dyDescent="0.25">
      <c r="A15663" t="s">
        <v>38331</v>
      </c>
      <c r="B15663" t="s">
        <v>10683</v>
      </c>
      <c r="C15663" t="s">
        <v>10684</v>
      </c>
      <c r="D15663" t="str">
        <f>"6082"</f>
        <v>6082</v>
      </c>
      <c r="E15663" t="s">
        <v>2154</v>
      </c>
      <c r="F15663" t="s">
        <v>3546</v>
      </c>
      <c r="G15663" t="s">
        <v>47091</v>
      </c>
      <c r="H15663" t="s">
        <v>47126</v>
      </c>
      <c r="I15663" t="s">
        <v>47127</v>
      </c>
      <c r="J15663" t="s">
        <v>47128</v>
      </c>
      <c r="K15663" t="s">
        <v>47113</v>
      </c>
      <c r="L15663">
        <v>14.59</v>
      </c>
      <c r="M15663">
        <v>30</v>
      </c>
      <c r="N15663">
        <v>0</v>
      </c>
      <c r="O15663">
        <v>30</v>
      </c>
      <c r="P15663">
        <v>0</v>
      </c>
    </row>
    <row r="15664" spans="1:16" x14ac:dyDescent="0.25">
      <c r="A15664" t="s">
        <v>38332</v>
      </c>
      <c r="B15664" t="s">
        <v>10685</v>
      </c>
      <c r="C15664" t="s">
        <v>10686</v>
      </c>
      <c r="D15664" t="str">
        <f>"1106"</f>
        <v>1106</v>
      </c>
      <c r="E15664" t="s">
        <v>460</v>
      </c>
      <c r="F15664" t="s">
        <v>3546</v>
      </c>
      <c r="G15664" t="s">
        <v>47091</v>
      </c>
      <c r="H15664" t="s">
        <v>47126</v>
      </c>
      <c r="I15664" t="s">
        <v>47127</v>
      </c>
      <c r="J15664" t="s">
        <v>47128</v>
      </c>
      <c r="K15664" t="s">
        <v>47113</v>
      </c>
      <c r="L15664">
        <v>11.84</v>
      </c>
      <c r="M15664">
        <v>27</v>
      </c>
      <c r="N15664">
        <v>0</v>
      </c>
      <c r="O15664">
        <v>27</v>
      </c>
      <c r="P15664">
        <v>0</v>
      </c>
    </row>
    <row r="15665" spans="1:16" x14ac:dyDescent="0.25">
      <c r="A15665" t="s">
        <v>38333</v>
      </c>
      <c r="B15665" t="s">
        <v>10685</v>
      </c>
      <c r="C15665" t="s">
        <v>10686</v>
      </c>
      <c r="D15665" t="str">
        <f>"1378"</f>
        <v>1378</v>
      </c>
      <c r="E15665" t="s">
        <v>388</v>
      </c>
      <c r="F15665" t="s">
        <v>3546</v>
      </c>
      <c r="G15665" t="s">
        <v>47091</v>
      </c>
      <c r="H15665" t="s">
        <v>47126</v>
      </c>
      <c r="I15665" t="s">
        <v>47127</v>
      </c>
      <c r="J15665" t="s">
        <v>47128</v>
      </c>
      <c r="K15665" t="s">
        <v>47113</v>
      </c>
      <c r="L15665">
        <v>11.84</v>
      </c>
      <c r="M15665">
        <v>27</v>
      </c>
      <c r="N15665">
        <v>0</v>
      </c>
      <c r="O15665">
        <v>27</v>
      </c>
      <c r="P15665">
        <v>0</v>
      </c>
    </row>
    <row r="15666" spans="1:16" x14ac:dyDescent="0.25">
      <c r="A15666" t="s">
        <v>38334</v>
      </c>
      <c r="B15666" t="s">
        <v>10685</v>
      </c>
      <c r="C15666" t="s">
        <v>10686</v>
      </c>
      <c r="D15666" t="str">
        <f>"1403"</f>
        <v>1403</v>
      </c>
      <c r="E15666" t="s">
        <v>224</v>
      </c>
      <c r="F15666" t="s">
        <v>3546</v>
      </c>
      <c r="G15666" t="s">
        <v>47091</v>
      </c>
      <c r="H15666" t="s">
        <v>47126</v>
      </c>
      <c r="I15666" t="s">
        <v>47127</v>
      </c>
      <c r="J15666" t="s">
        <v>47128</v>
      </c>
      <c r="K15666" t="s">
        <v>47113</v>
      </c>
      <c r="L15666">
        <v>11.84</v>
      </c>
      <c r="M15666">
        <v>27</v>
      </c>
      <c r="N15666">
        <v>0</v>
      </c>
      <c r="O15666">
        <v>27</v>
      </c>
      <c r="P15666">
        <v>0</v>
      </c>
    </row>
    <row r="15667" spans="1:16" x14ac:dyDescent="0.25">
      <c r="A15667" t="s">
        <v>38335</v>
      </c>
      <c r="B15667" t="s">
        <v>10685</v>
      </c>
      <c r="C15667" t="s">
        <v>10686</v>
      </c>
      <c r="D15667" t="str">
        <f>"1700"</f>
        <v>1700</v>
      </c>
      <c r="E15667" t="s">
        <v>60</v>
      </c>
      <c r="F15667" t="s">
        <v>3546</v>
      </c>
      <c r="G15667" t="s">
        <v>47091</v>
      </c>
      <c r="H15667" t="s">
        <v>47126</v>
      </c>
      <c r="I15667" t="s">
        <v>47127</v>
      </c>
      <c r="J15667" t="s">
        <v>47128</v>
      </c>
      <c r="K15667" t="s">
        <v>47113</v>
      </c>
      <c r="L15667">
        <v>15.61</v>
      </c>
      <c r="M15667">
        <v>27</v>
      </c>
      <c r="N15667">
        <v>0</v>
      </c>
      <c r="O15667">
        <v>27</v>
      </c>
      <c r="P15667">
        <v>0</v>
      </c>
    </row>
    <row r="15668" spans="1:16" x14ac:dyDescent="0.25">
      <c r="A15668" t="s">
        <v>38336</v>
      </c>
      <c r="B15668" t="s">
        <v>10685</v>
      </c>
      <c r="C15668" t="s">
        <v>10686</v>
      </c>
      <c r="D15668" t="str">
        <f>"3544"</f>
        <v>3544</v>
      </c>
      <c r="E15668" t="s">
        <v>4174</v>
      </c>
      <c r="F15668" t="s">
        <v>3546</v>
      </c>
      <c r="G15668" t="s">
        <v>47091</v>
      </c>
      <c r="H15668" t="s">
        <v>47126</v>
      </c>
      <c r="I15668" t="s">
        <v>47127</v>
      </c>
      <c r="J15668" t="s">
        <v>47128</v>
      </c>
      <c r="K15668" t="s">
        <v>47113</v>
      </c>
      <c r="L15668">
        <v>11.84</v>
      </c>
      <c r="M15668">
        <v>27</v>
      </c>
      <c r="N15668">
        <v>0</v>
      </c>
      <c r="O15668">
        <v>27</v>
      </c>
      <c r="P15668">
        <v>0</v>
      </c>
    </row>
    <row r="15669" spans="1:16" x14ac:dyDescent="0.25">
      <c r="A15669" t="s">
        <v>38337</v>
      </c>
      <c r="B15669" t="s">
        <v>10685</v>
      </c>
      <c r="C15669" t="s">
        <v>10686</v>
      </c>
      <c r="D15669" t="str">
        <f>"4921"</f>
        <v>4921</v>
      </c>
      <c r="E15669" t="s">
        <v>4156</v>
      </c>
      <c r="F15669" t="s">
        <v>3546</v>
      </c>
      <c r="G15669" t="s">
        <v>47091</v>
      </c>
      <c r="H15669" t="s">
        <v>47126</v>
      </c>
      <c r="I15669" t="s">
        <v>47127</v>
      </c>
      <c r="J15669" t="s">
        <v>47128</v>
      </c>
      <c r="K15669" t="s">
        <v>47113</v>
      </c>
      <c r="L15669">
        <v>11.84</v>
      </c>
      <c r="M15669">
        <v>27</v>
      </c>
      <c r="N15669">
        <v>0</v>
      </c>
      <c r="O15669">
        <v>27</v>
      </c>
      <c r="P15669">
        <v>0</v>
      </c>
    </row>
    <row r="15670" spans="1:16" x14ac:dyDescent="0.25">
      <c r="A15670" t="s">
        <v>38338</v>
      </c>
      <c r="B15670" t="s">
        <v>10685</v>
      </c>
      <c r="C15670" t="s">
        <v>10686</v>
      </c>
      <c r="D15670" t="str">
        <f>"6064"</f>
        <v>6064</v>
      </c>
      <c r="E15670" t="s">
        <v>87</v>
      </c>
      <c r="F15670" t="s">
        <v>3546</v>
      </c>
      <c r="G15670" t="s">
        <v>47091</v>
      </c>
      <c r="H15670" t="s">
        <v>47126</v>
      </c>
      <c r="I15670" t="s">
        <v>47127</v>
      </c>
      <c r="J15670" t="s">
        <v>47128</v>
      </c>
      <c r="K15670" t="s">
        <v>47113</v>
      </c>
      <c r="L15670">
        <v>11.84</v>
      </c>
      <c r="M15670">
        <v>27</v>
      </c>
      <c r="N15670">
        <v>0</v>
      </c>
      <c r="O15670">
        <v>27</v>
      </c>
      <c r="P15670">
        <v>0</v>
      </c>
    </row>
    <row r="15671" spans="1:16" x14ac:dyDescent="0.25">
      <c r="A15671" t="s">
        <v>38339</v>
      </c>
      <c r="B15671" t="s">
        <v>10685</v>
      </c>
      <c r="C15671" t="s">
        <v>10686</v>
      </c>
      <c r="D15671" t="str">
        <f>"6082"</f>
        <v>6082</v>
      </c>
      <c r="E15671" t="s">
        <v>2154</v>
      </c>
      <c r="F15671" t="s">
        <v>3546</v>
      </c>
      <c r="G15671" t="s">
        <v>47091</v>
      </c>
      <c r="H15671" t="s">
        <v>47126</v>
      </c>
      <c r="I15671" t="s">
        <v>47127</v>
      </c>
      <c r="J15671" t="s">
        <v>47128</v>
      </c>
      <c r="K15671" t="s">
        <v>47113</v>
      </c>
      <c r="L15671">
        <v>11.84</v>
      </c>
      <c r="M15671">
        <v>27</v>
      </c>
      <c r="N15671">
        <v>0</v>
      </c>
      <c r="O15671">
        <v>27</v>
      </c>
      <c r="P15671">
        <v>0</v>
      </c>
    </row>
    <row r="15672" spans="1:16" x14ac:dyDescent="0.25">
      <c r="A15672" t="s">
        <v>38340</v>
      </c>
      <c r="B15672" t="s">
        <v>10687</v>
      </c>
      <c r="C15672" t="s">
        <v>10688</v>
      </c>
      <c r="D15672" t="str">
        <f>"1106"</f>
        <v>1106</v>
      </c>
      <c r="E15672" t="s">
        <v>460</v>
      </c>
      <c r="F15672" t="s">
        <v>3546</v>
      </c>
      <c r="G15672" t="s">
        <v>47091</v>
      </c>
      <c r="H15672" t="s">
        <v>47126</v>
      </c>
      <c r="I15672" t="s">
        <v>47127</v>
      </c>
      <c r="J15672" t="s">
        <v>47128</v>
      </c>
      <c r="K15672" t="s">
        <v>47113</v>
      </c>
      <c r="L15672">
        <v>16.14</v>
      </c>
      <c r="M15672">
        <v>40</v>
      </c>
      <c r="N15672">
        <v>0</v>
      </c>
      <c r="O15672">
        <v>40</v>
      </c>
      <c r="P15672">
        <v>0</v>
      </c>
    </row>
    <row r="15673" spans="1:16" x14ac:dyDescent="0.25">
      <c r="A15673" t="s">
        <v>38341</v>
      </c>
      <c r="B15673" t="s">
        <v>10687</v>
      </c>
      <c r="C15673" t="s">
        <v>10688</v>
      </c>
      <c r="D15673" t="str">
        <f>"1378"</f>
        <v>1378</v>
      </c>
      <c r="E15673" t="s">
        <v>388</v>
      </c>
      <c r="F15673" t="s">
        <v>3546</v>
      </c>
      <c r="G15673" t="s">
        <v>47091</v>
      </c>
      <c r="H15673" t="s">
        <v>47126</v>
      </c>
      <c r="I15673" t="s">
        <v>47127</v>
      </c>
      <c r="J15673" t="s">
        <v>47128</v>
      </c>
      <c r="K15673" t="s">
        <v>47113</v>
      </c>
      <c r="L15673">
        <v>16.14</v>
      </c>
      <c r="M15673">
        <v>40</v>
      </c>
      <c r="N15673">
        <v>0</v>
      </c>
      <c r="O15673">
        <v>40</v>
      </c>
      <c r="P15673">
        <v>0</v>
      </c>
    </row>
    <row r="15674" spans="1:16" x14ac:dyDescent="0.25">
      <c r="A15674" t="s">
        <v>38342</v>
      </c>
      <c r="B15674" t="s">
        <v>10687</v>
      </c>
      <c r="C15674" t="s">
        <v>10688</v>
      </c>
      <c r="D15674" t="str">
        <f>"1403"</f>
        <v>1403</v>
      </c>
      <c r="E15674" t="s">
        <v>224</v>
      </c>
      <c r="F15674" t="s">
        <v>3546</v>
      </c>
      <c r="G15674" t="s">
        <v>47091</v>
      </c>
      <c r="H15674" t="s">
        <v>47126</v>
      </c>
      <c r="I15674" t="s">
        <v>47127</v>
      </c>
      <c r="J15674" t="s">
        <v>47128</v>
      </c>
      <c r="K15674" t="s">
        <v>47113</v>
      </c>
      <c r="L15674">
        <v>16.14</v>
      </c>
      <c r="M15674">
        <v>40</v>
      </c>
      <c r="N15674">
        <v>0</v>
      </c>
      <c r="O15674">
        <v>40</v>
      </c>
      <c r="P15674">
        <v>0</v>
      </c>
    </row>
    <row r="15675" spans="1:16" x14ac:dyDescent="0.25">
      <c r="A15675" t="s">
        <v>38343</v>
      </c>
      <c r="B15675" t="s">
        <v>10687</v>
      </c>
      <c r="C15675" t="s">
        <v>10688</v>
      </c>
      <c r="D15675" t="str">
        <f>"1700"</f>
        <v>1700</v>
      </c>
      <c r="E15675" t="s">
        <v>60</v>
      </c>
      <c r="F15675" t="s">
        <v>3546</v>
      </c>
      <c r="G15675" t="s">
        <v>47091</v>
      </c>
      <c r="H15675" t="s">
        <v>47126</v>
      </c>
      <c r="I15675" t="s">
        <v>47127</v>
      </c>
      <c r="J15675" t="s">
        <v>47128</v>
      </c>
      <c r="K15675" t="s">
        <v>47113</v>
      </c>
      <c r="L15675">
        <v>16.14</v>
      </c>
      <c r="M15675">
        <v>40</v>
      </c>
      <c r="N15675">
        <v>0</v>
      </c>
      <c r="O15675">
        <v>40</v>
      </c>
      <c r="P15675">
        <v>0</v>
      </c>
    </row>
    <row r="15676" spans="1:16" x14ac:dyDescent="0.25">
      <c r="A15676" t="s">
        <v>38344</v>
      </c>
      <c r="B15676" t="s">
        <v>10687</v>
      </c>
      <c r="C15676" t="s">
        <v>10688</v>
      </c>
      <c r="D15676" t="str">
        <f>"3544"</f>
        <v>3544</v>
      </c>
      <c r="E15676" t="s">
        <v>4174</v>
      </c>
      <c r="F15676" t="s">
        <v>3546</v>
      </c>
      <c r="G15676" t="s">
        <v>47091</v>
      </c>
      <c r="H15676" t="s">
        <v>47126</v>
      </c>
      <c r="I15676" t="s">
        <v>47127</v>
      </c>
      <c r="J15676" t="s">
        <v>47128</v>
      </c>
      <c r="K15676" t="s">
        <v>47113</v>
      </c>
      <c r="L15676">
        <v>16.14</v>
      </c>
      <c r="M15676">
        <v>40</v>
      </c>
      <c r="N15676">
        <v>0</v>
      </c>
      <c r="O15676">
        <v>40</v>
      </c>
      <c r="P15676">
        <v>0</v>
      </c>
    </row>
    <row r="15677" spans="1:16" x14ac:dyDescent="0.25">
      <c r="A15677" t="s">
        <v>38345</v>
      </c>
      <c r="B15677" t="s">
        <v>10687</v>
      </c>
      <c r="C15677" t="s">
        <v>10688</v>
      </c>
      <c r="D15677" t="str">
        <f>"4921"</f>
        <v>4921</v>
      </c>
      <c r="E15677" t="s">
        <v>4156</v>
      </c>
      <c r="F15677" t="s">
        <v>3546</v>
      </c>
      <c r="G15677" t="s">
        <v>47091</v>
      </c>
      <c r="H15677" t="s">
        <v>47126</v>
      </c>
      <c r="I15677" t="s">
        <v>47127</v>
      </c>
      <c r="J15677" t="s">
        <v>47128</v>
      </c>
      <c r="K15677" t="s">
        <v>47113</v>
      </c>
      <c r="L15677">
        <v>16.14</v>
      </c>
      <c r="M15677">
        <v>40</v>
      </c>
      <c r="N15677">
        <v>0</v>
      </c>
      <c r="O15677">
        <v>40</v>
      </c>
      <c r="P15677">
        <v>0</v>
      </c>
    </row>
    <row r="15678" spans="1:16" x14ac:dyDescent="0.25">
      <c r="A15678" t="s">
        <v>38346</v>
      </c>
      <c r="B15678" t="s">
        <v>10687</v>
      </c>
      <c r="C15678" t="s">
        <v>10688</v>
      </c>
      <c r="D15678" t="str">
        <f>"4922"</f>
        <v>4922</v>
      </c>
      <c r="E15678" t="s">
        <v>4175</v>
      </c>
      <c r="F15678" t="s">
        <v>3546</v>
      </c>
      <c r="G15678" t="s">
        <v>47091</v>
      </c>
      <c r="H15678" t="s">
        <v>47126</v>
      </c>
      <c r="I15678" t="s">
        <v>47127</v>
      </c>
      <c r="J15678" t="s">
        <v>47128</v>
      </c>
      <c r="K15678" t="s">
        <v>47113</v>
      </c>
      <c r="L15678">
        <v>16.14</v>
      </c>
      <c r="M15678">
        <v>40</v>
      </c>
      <c r="N15678">
        <v>0</v>
      </c>
      <c r="O15678">
        <v>40</v>
      </c>
      <c r="P15678">
        <v>0</v>
      </c>
    </row>
    <row r="15679" spans="1:16" x14ac:dyDescent="0.25">
      <c r="A15679" t="s">
        <v>38347</v>
      </c>
      <c r="B15679" t="s">
        <v>10687</v>
      </c>
      <c r="C15679" t="s">
        <v>10688</v>
      </c>
      <c r="D15679" t="str">
        <f>"6064"</f>
        <v>6064</v>
      </c>
      <c r="E15679" t="s">
        <v>87</v>
      </c>
      <c r="F15679" t="s">
        <v>3546</v>
      </c>
      <c r="G15679" t="s">
        <v>47091</v>
      </c>
      <c r="H15679" t="s">
        <v>47126</v>
      </c>
      <c r="I15679" t="s">
        <v>47127</v>
      </c>
      <c r="J15679" t="s">
        <v>47128</v>
      </c>
      <c r="K15679" t="s">
        <v>47113</v>
      </c>
      <c r="L15679">
        <v>16.14</v>
      </c>
      <c r="M15679">
        <v>40</v>
      </c>
      <c r="N15679">
        <v>0</v>
      </c>
      <c r="O15679">
        <v>40</v>
      </c>
      <c r="P15679">
        <v>0</v>
      </c>
    </row>
    <row r="15680" spans="1:16" x14ac:dyDescent="0.25">
      <c r="A15680" t="s">
        <v>38348</v>
      </c>
      <c r="B15680" t="s">
        <v>10687</v>
      </c>
      <c r="C15680" t="s">
        <v>10688</v>
      </c>
      <c r="D15680" t="str">
        <f>"6082"</f>
        <v>6082</v>
      </c>
      <c r="E15680" t="s">
        <v>2154</v>
      </c>
      <c r="F15680" t="s">
        <v>3546</v>
      </c>
      <c r="G15680" t="s">
        <v>47091</v>
      </c>
      <c r="H15680" t="s">
        <v>47126</v>
      </c>
      <c r="I15680" t="s">
        <v>47127</v>
      </c>
      <c r="J15680" t="s">
        <v>47128</v>
      </c>
      <c r="K15680" t="s">
        <v>47113</v>
      </c>
      <c r="L15680">
        <v>16.14</v>
      </c>
      <c r="M15680">
        <v>40</v>
      </c>
      <c r="N15680">
        <v>0</v>
      </c>
      <c r="O15680">
        <v>40</v>
      </c>
      <c r="P15680">
        <v>0</v>
      </c>
    </row>
    <row r="15681" spans="1:16" x14ac:dyDescent="0.25">
      <c r="A15681" t="s">
        <v>38349</v>
      </c>
      <c r="B15681" t="s">
        <v>10689</v>
      </c>
      <c r="C15681" t="s">
        <v>10690</v>
      </c>
      <c r="D15681" t="str">
        <f>"1106"</f>
        <v>1106</v>
      </c>
      <c r="E15681" t="s">
        <v>460</v>
      </c>
      <c r="F15681" t="s">
        <v>3546</v>
      </c>
      <c r="G15681" t="s">
        <v>47091</v>
      </c>
      <c r="H15681" t="s">
        <v>47126</v>
      </c>
      <c r="I15681" t="s">
        <v>47127</v>
      </c>
      <c r="J15681" t="s">
        <v>47128</v>
      </c>
      <c r="K15681" t="s">
        <v>47113</v>
      </c>
      <c r="L15681">
        <v>16.14</v>
      </c>
      <c r="M15681">
        <v>30</v>
      </c>
      <c r="N15681">
        <v>0</v>
      </c>
      <c r="O15681">
        <v>30</v>
      </c>
      <c r="P15681">
        <v>0</v>
      </c>
    </row>
    <row r="15682" spans="1:16" x14ac:dyDescent="0.25">
      <c r="A15682" t="s">
        <v>38350</v>
      </c>
      <c r="B15682" t="s">
        <v>10689</v>
      </c>
      <c r="C15682" t="s">
        <v>10690</v>
      </c>
      <c r="D15682" t="str">
        <f>"1378"</f>
        <v>1378</v>
      </c>
      <c r="E15682" t="s">
        <v>388</v>
      </c>
      <c r="F15682" t="s">
        <v>3546</v>
      </c>
      <c r="G15682" t="s">
        <v>47091</v>
      </c>
      <c r="H15682" t="s">
        <v>47126</v>
      </c>
      <c r="I15682" t="s">
        <v>47127</v>
      </c>
      <c r="J15682" t="s">
        <v>47128</v>
      </c>
      <c r="K15682" t="s">
        <v>47113</v>
      </c>
      <c r="L15682">
        <v>16.14</v>
      </c>
      <c r="M15682">
        <v>30</v>
      </c>
      <c r="N15682">
        <v>0</v>
      </c>
      <c r="O15682">
        <v>30</v>
      </c>
      <c r="P15682">
        <v>0</v>
      </c>
    </row>
    <row r="15683" spans="1:16" x14ac:dyDescent="0.25">
      <c r="A15683" t="s">
        <v>38351</v>
      </c>
      <c r="B15683" t="s">
        <v>10689</v>
      </c>
      <c r="C15683" t="s">
        <v>10690</v>
      </c>
      <c r="D15683" t="str">
        <f>"1403"</f>
        <v>1403</v>
      </c>
      <c r="E15683" t="s">
        <v>224</v>
      </c>
      <c r="F15683" t="s">
        <v>3546</v>
      </c>
      <c r="G15683" t="s">
        <v>47091</v>
      </c>
      <c r="H15683" t="s">
        <v>47126</v>
      </c>
      <c r="I15683" t="s">
        <v>47127</v>
      </c>
      <c r="J15683" t="s">
        <v>47128</v>
      </c>
      <c r="K15683" t="s">
        <v>47113</v>
      </c>
      <c r="L15683">
        <v>16.14</v>
      </c>
      <c r="M15683">
        <v>30</v>
      </c>
      <c r="N15683">
        <v>0</v>
      </c>
      <c r="O15683">
        <v>30</v>
      </c>
      <c r="P15683">
        <v>0</v>
      </c>
    </row>
    <row r="15684" spans="1:16" x14ac:dyDescent="0.25">
      <c r="A15684" t="s">
        <v>38352</v>
      </c>
      <c r="B15684" t="s">
        <v>10689</v>
      </c>
      <c r="C15684" t="s">
        <v>10690</v>
      </c>
      <c r="D15684" t="str">
        <f>"1700"</f>
        <v>1700</v>
      </c>
      <c r="E15684" t="s">
        <v>60</v>
      </c>
      <c r="F15684" t="s">
        <v>3546</v>
      </c>
      <c r="G15684" t="s">
        <v>47091</v>
      </c>
      <c r="H15684" t="s">
        <v>47126</v>
      </c>
      <c r="I15684" t="s">
        <v>47127</v>
      </c>
      <c r="J15684" t="s">
        <v>47128</v>
      </c>
      <c r="K15684" t="s">
        <v>47113</v>
      </c>
      <c r="L15684">
        <v>16.14</v>
      </c>
      <c r="M15684">
        <v>30</v>
      </c>
      <c r="N15684">
        <v>0</v>
      </c>
      <c r="O15684">
        <v>30</v>
      </c>
      <c r="P15684">
        <v>0</v>
      </c>
    </row>
    <row r="15685" spans="1:16" x14ac:dyDescent="0.25">
      <c r="A15685" t="s">
        <v>38353</v>
      </c>
      <c r="B15685" t="s">
        <v>10689</v>
      </c>
      <c r="C15685" t="s">
        <v>10690</v>
      </c>
      <c r="D15685" t="str">
        <f>"3544"</f>
        <v>3544</v>
      </c>
      <c r="E15685" t="s">
        <v>4174</v>
      </c>
      <c r="F15685" t="s">
        <v>3546</v>
      </c>
      <c r="G15685" t="s">
        <v>47091</v>
      </c>
      <c r="H15685" t="s">
        <v>47126</v>
      </c>
      <c r="I15685" t="s">
        <v>47127</v>
      </c>
      <c r="J15685" t="s">
        <v>47128</v>
      </c>
      <c r="K15685" t="s">
        <v>47113</v>
      </c>
      <c r="L15685">
        <v>16.14</v>
      </c>
      <c r="M15685">
        <v>30</v>
      </c>
      <c r="N15685">
        <v>0</v>
      </c>
      <c r="O15685">
        <v>30</v>
      </c>
      <c r="P15685">
        <v>0</v>
      </c>
    </row>
    <row r="15686" spans="1:16" x14ac:dyDescent="0.25">
      <c r="A15686" t="s">
        <v>38354</v>
      </c>
      <c r="B15686" t="s">
        <v>10689</v>
      </c>
      <c r="C15686" t="s">
        <v>10690</v>
      </c>
      <c r="D15686" t="str">
        <f>"4921"</f>
        <v>4921</v>
      </c>
      <c r="E15686" t="s">
        <v>4156</v>
      </c>
      <c r="F15686" t="s">
        <v>3546</v>
      </c>
      <c r="G15686" t="s">
        <v>47091</v>
      </c>
      <c r="H15686" t="s">
        <v>47126</v>
      </c>
      <c r="I15686" t="s">
        <v>47127</v>
      </c>
      <c r="J15686" t="s">
        <v>47128</v>
      </c>
      <c r="K15686" t="s">
        <v>47113</v>
      </c>
      <c r="L15686">
        <v>16.14</v>
      </c>
      <c r="M15686">
        <v>30</v>
      </c>
      <c r="N15686">
        <v>0</v>
      </c>
      <c r="O15686">
        <v>30</v>
      </c>
      <c r="P15686">
        <v>0</v>
      </c>
    </row>
    <row r="15687" spans="1:16" x14ac:dyDescent="0.25">
      <c r="A15687" t="s">
        <v>38355</v>
      </c>
      <c r="B15687" t="s">
        <v>10689</v>
      </c>
      <c r="C15687" t="s">
        <v>10690</v>
      </c>
      <c r="D15687" t="str">
        <f>"4922"</f>
        <v>4922</v>
      </c>
      <c r="E15687" t="s">
        <v>4175</v>
      </c>
      <c r="F15687" t="s">
        <v>3546</v>
      </c>
      <c r="G15687" t="s">
        <v>47091</v>
      </c>
      <c r="H15687" t="s">
        <v>47126</v>
      </c>
      <c r="I15687" t="s">
        <v>47127</v>
      </c>
      <c r="J15687" t="s">
        <v>47128</v>
      </c>
      <c r="K15687" t="s">
        <v>47113</v>
      </c>
      <c r="L15687">
        <v>16.14</v>
      </c>
      <c r="M15687">
        <v>30</v>
      </c>
      <c r="N15687">
        <v>0</v>
      </c>
      <c r="O15687">
        <v>30</v>
      </c>
      <c r="P15687">
        <v>0</v>
      </c>
    </row>
    <row r="15688" spans="1:16" x14ac:dyDescent="0.25">
      <c r="A15688" t="s">
        <v>38356</v>
      </c>
      <c r="B15688" t="s">
        <v>10689</v>
      </c>
      <c r="C15688" t="s">
        <v>10690</v>
      </c>
      <c r="D15688" t="str">
        <f>"6064"</f>
        <v>6064</v>
      </c>
      <c r="E15688" t="s">
        <v>87</v>
      </c>
      <c r="F15688" t="s">
        <v>3546</v>
      </c>
      <c r="G15688" t="s">
        <v>47091</v>
      </c>
      <c r="H15688" t="s">
        <v>47126</v>
      </c>
      <c r="I15688" t="s">
        <v>47127</v>
      </c>
      <c r="J15688" t="s">
        <v>47128</v>
      </c>
      <c r="K15688" t="s">
        <v>47113</v>
      </c>
      <c r="L15688">
        <v>16.14</v>
      </c>
      <c r="M15688">
        <v>30</v>
      </c>
      <c r="N15688">
        <v>0</v>
      </c>
      <c r="O15688">
        <v>30</v>
      </c>
      <c r="P15688">
        <v>0</v>
      </c>
    </row>
    <row r="15689" spans="1:16" x14ac:dyDescent="0.25">
      <c r="A15689" t="s">
        <v>38357</v>
      </c>
      <c r="B15689" t="s">
        <v>10689</v>
      </c>
      <c r="C15689" t="s">
        <v>10690</v>
      </c>
      <c r="D15689" t="str">
        <f>"6082"</f>
        <v>6082</v>
      </c>
      <c r="E15689" t="s">
        <v>2154</v>
      </c>
      <c r="F15689" t="s">
        <v>3546</v>
      </c>
      <c r="G15689" t="s">
        <v>47091</v>
      </c>
      <c r="H15689" t="s">
        <v>47126</v>
      </c>
      <c r="I15689" t="s">
        <v>47127</v>
      </c>
      <c r="J15689" t="s">
        <v>47128</v>
      </c>
      <c r="K15689" t="s">
        <v>47113</v>
      </c>
      <c r="L15689">
        <v>16.14</v>
      </c>
      <c r="M15689">
        <v>30</v>
      </c>
      <c r="N15689">
        <v>0</v>
      </c>
      <c r="O15689">
        <v>30</v>
      </c>
      <c r="P15689">
        <v>0</v>
      </c>
    </row>
    <row r="15690" spans="1:16" x14ac:dyDescent="0.25">
      <c r="A15690" t="s">
        <v>38358</v>
      </c>
      <c r="B15690" t="s">
        <v>10691</v>
      </c>
      <c r="C15690" t="s">
        <v>10692</v>
      </c>
      <c r="D15690" t="str">
        <f>"1106"</f>
        <v>1106</v>
      </c>
      <c r="E15690" t="s">
        <v>460</v>
      </c>
      <c r="F15690" t="s">
        <v>3546</v>
      </c>
      <c r="G15690" t="s">
        <v>47091</v>
      </c>
      <c r="H15690" t="s">
        <v>47126</v>
      </c>
      <c r="I15690" t="s">
        <v>47127</v>
      </c>
      <c r="J15690" t="s">
        <v>47128</v>
      </c>
      <c r="K15690" t="s">
        <v>47113</v>
      </c>
      <c r="L15690">
        <v>15.43</v>
      </c>
      <c r="M15690">
        <v>38</v>
      </c>
      <c r="N15690">
        <v>0</v>
      </c>
      <c r="O15690">
        <v>38</v>
      </c>
      <c r="P15690">
        <v>0</v>
      </c>
    </row>
    <row r="15691" spans="1:16" x14ac:dyDescent="0.25">
      <c r="A15691" t="s">
        <v>38359</v>
      </c>
      <c r="B15691" t="s">
        <v>10691</v>
      </c>
      <c r="C15691" t="s">
        <v>10692</v>
      </c>
      <c r="D15691" t="str">
        <f>"1378"</f>
        <v>1378</v>
      </c>
      <c r="E15691" t="s">
        <v>388</v>
      </c>
      <c r="F15691" t="s">
        <v>3546</v>
      </c>
      <c r="G15691" t="s">
        <v>47091</v>
      </c>
      <c r="H15691" t="s">
        <v>47126</v>
      </c>
      <c r="I15691" t="s">
        <v>47127</v>
      </c>
      <c r="J15691" t="s">
        <v>47128</v>
      </c>
      <c r="K15691" t="s">
        <v>47113</v>
      </c>
      <c r="L15691">
        <v>15.43</v>
      </c>
      <c r="M15691">
        <v>38</v>
      </c>
      <c r="N15691">
        <v>0</v>
      </c>
      <c r="O15691">
        <v>38</v>
      </c>
      <c r="P15691">
        <v>0</v>
      </c>
    </row>
    <row r="15692" spans="1:16" x14ac:dyDescent="0.25">
      <c r="A15692" t="s">
        <v>38360</v>
      </c>
      <c r="B15692" t="s">
        <v>10691</v>
      </c>
      <c r="C15692" t="s">
        <v>10692</v>
      </c>
      <c r="D15692" t="str">
        <f>"1403"</f>
        <v>1403</v>
      </c>
      <c r="E15692" t="s">
        <v>224</v>
      </c>
      <c r="F15692" t="s">
        <v>3546</v>
      </c>
      <c r="G15692" t="s">
        <v>47091</v>
      </c>
      <c r="H15692" t="s">
        <v>47126</v>
      </c>
      <c r="I15692" t="s">
        <v>47127</v>
      </c>
      <c r="J15692" t="s">
        <v>47128</v>
      </c>
      <c r="K15692" t="s">
        <v>47113</v>
      </c>
      <c r="L15692">
        <v>15.43</v>
      </c>
      <c r="M15692">
        <v>38</v>
      </c>
      <c r="N15692">
        <v>0</v>
      </c>
      <c r="O15692">
        <v>38</v>
      </c>
      <c r="P15692">
        <v>0</v>
      </c>
    </row>
    <row r="15693" spans="1:16" x14ac:dyDescent="0.25">
      <c r="A15693" t="s">
        <v>38361</v>
      </c>
      <c r="B15693" t="s">
        <v>10691</v>
      </c>
      <c r="C15693" t="s">
        <v>10692</v>
      </c>
      <c r="D15693" t="str">
        <f>"1700"</f>
        <v>1700</v>
      </c>
      <c r="E15693" t="s">
        <v>60</v>
      </c>
      <c r="F15693" t="s">
        <v>3546</v>
      </c>
      <c r="G15693" t="s">
        <v>47091</v>
      </c>
      <c r="H15693" t="s">
        <v>47126</v>
      </c>
      <c r="I15693" t="s">
        <v>47127</v>
      </c>
      <c r="J15693" t="s">
        <v>47128</v>
      </c>
      <c r="K15693" t="s">
        <v>47113</v>
      </c>
      <c r="L15693">
        <v>15.43</v>
      </c>
      <c r="M15693">
        <v>38</v>
      </c>
      <c r="N15693">
        <v>0</v>
      </c>
      <c r="O15693">
        <v>38</v>
      </c>
      <c r="P15693">
        <v>0</v>
      </c>
    </row>
    <row r="15694" spans="1:16" x14ac:dyDescent="0.25">
      <c r="A15694" t="s">
        <v>38362</v>
      </c>
      <c r="B15694" t="s">
        <v>10691</v>
      </c>
      <c r="C15694" t="s">
        <v>10692</v>
      </c>
      <c r="D15694" t="str">
        <f>"3544"</f>
        <v>3544</v>
      </c>
      <c r="E15694" t="s">
        <v>4174</v>
      </c>
      <c r="F15694" t="s">
        <v>3546</v>
      </c>
      <c r="G15694" t="s">
        <v>47091</v>
      </c>
      <c r="H15694" t="s">
        <v>47126</v>
      </c>
      <c r="I15694" t="s">
        <v>47127</v>
      </c>
      <c r="J15694" t="s">
        <v>47128</v>
      </c>
      <c r="K15694" t="s">
        <v>47113</v>
      </c>
      <c r="L15694">
        <v>15.43</v>
      </c>
      <c r="M15694">
        <v>38</v>
      </c>
      <c r="N15694">
        <v>0</v>
      </c>
      <c r="O15694">
        <v>38</v>
      </c>
      <c r="P15694">
        <v>0</v>
      </c>
    </row>
    <row r="15695" spans="1:16" x14ac:dyDescent="0.25">
      <c r="A15695" t="s">
        <v>38363</v>
      </c>
      <c r="B15695" t="s">
        <v>10691</v>
      </c>
      <c r="C15695" t="s">
        <v>10692</v>
      </c>
      <c r="D15695" t="str">
        <f>"4921"</f>
        <v>4921</v>
      </c>
      <c r="E15695" t="s">
        <v>4156</v>
      </c>
      <c r="F15695" t="s">
        <v>3546</v>
      </c>
      <c r="G15695" t="s">
        <v>47091</v>
      </c>
      <c r="H15695" t="s">
        <v>47126</v>
      </c>
      <c r="I15695" t="s">
        <v>47127</v>
      </c>
      <c r="J15695" t="s">
        <v>47128</v>
      </c>
      <c r="K15695" t="s">
        <v>47113</v>
      </c>
      <c r="L15695">
        <v>15.43</v>
      </c>
      <c r="M15695">
        <v>38</v>
      </c>
      <c r="N15695">
        <v>0</v>
      </c>
      <c r="O15695">
        <v>38</v>
      </c>
      <c r="P15695">
        <v>0</v>
      </c>
    </row>
    <row r="15696" spans="1:16" x14ac:dyDescent="0.25">
      <c r="A15696" t="s">
        <v>38364</v>
      </c>
      <c r="B15696" t="s">
        <v>10691</v>
      </c>
      <c r="C15696" t="s">
        <v>10692</v>
      </c>
      <c r="D15696" t="str">
        <f>"4922"</f>
        <v>4922</v>
      </c>
      <c r="E15696" t="s">
        <v>4175</v>
      </c>
      <c r="F15696" t="s">
        <v>3546</v>
      </c>
      <c r="G15696" t="s">
        <v>47091</v>
      </c>
      <c r="H15696" t="s">
        <v>47126</v>
      </c>
      <c r="I15696" t="s">
        <v>47127</v>
      </c>
      <c r="J15696" t="s">
        <v>47128</v>
      </c>
      <c r="K15696" t="s">
        <v>47113</v>
      </c>
      <c r="L15696">
        <v>15.43</v>
      </c>
      <c r="M15696">
        <v>38</v>
      </c>
      <c r="N15696">
        <v>0</v>
      </c>
      <c r="O15696">
        <v>38</v>
      </c>
      <c r="P15696">
        <v>0</v>
      </c>
    </row>
    <row r="15697" spans="1:16" x14ac:dyDescent="0.25">
      <c r="A15697" t="s">
        <v>38365</v>
      </c>
      <c r="B15697" t="s">
        <v>10691</v>
      </c>
      <c r="C15697" t="s">
        <v>10692</v>
      </c>
      <c r="D15697" t="str">
        <f>"6064"</f>
        <v>6064</v>
      </c>
      <c r="E15697" t="s">
        <v>87</v>
      </c>
      <c r="F15697" t="s">
        <v>3546</v>
      </c>
      <c r="G15697" t="s">
        <v>47091</v>
      </c>
      <c r="H15697" t="s">
        <v>47126</v>
      </c>
      <c r="I15697" t="s">
        <v>47127</v>
      </c>
      <c r="J15697" t="s">
        <v>47128</v>
      </c>
      <c r="K15697" t="s">
        <v>47113</v>
      </c>
      <c r="L15697">
        <v>15.43</v>
      </c>
      <c r="M15697">
        <v>38</v>
      </c>
      <c r="N15697">
        <v>0</v>
      </c>
      <c r="O15697">
        <v>38</v>
      </c>
      <c r="P15697">
        <v>0</v>
      </c>
    </row>
    <row r="15698" spans="1:16" x14ac:dyDescent="0.25">
      <c r="A15698" t="s">
        <v>38366</v>
      </c>
      <c r="B15698" t="s">
        <v>10691</v>
      </c>
      <c r="C15698" t="s">
        <v>10692</v>
      </c>
      <c r="D15698" t="str">
        <f>"6082"</f>
        <v>6082</v>
      </c>
      <c r="E15698" t="s">
        <v>2154</v>
      </c>
      <c r="F15698" t="s">
        <v>3546</v>
      </c>
      <c r="G15698" t="s">
        <v>47091</v>
      </c>
      <c r="H15698" t="s">
        <v>47126</v>
      </c>
      <c r="I15698" t="s">
        <v>47127</v>
      </c>
      <c r="J15698" t="s">
        <v>47128</v>
      </c>
      <c r="K15698" t="s">
        <v>47113</v>
      </c>
      <c r="L15698">
        <v>15.43</v>
      </c>
      <c r="M15698">
        <v>38</v>
      </c>
      <c r="N15698">
        <v>0</v>
      </c>
      <c r="O15698">
        <v>38</v>
      </c>
      <c r="P15698">
        <v>0</v>
      </c>
    </row>
    <row r="15699" spans="1:16" x14ac:dyDescent="0.25">
      <c r="A15699" t="s">
        <v>38367</v>
      </c>
      <c r="B15699" t="s">
        <v>10693</v>
      </c>
      <c r="C15699" t="s">
        <v>10694</v>
      </c>
      <c r="D15699" t="str">
        <f>"1106"</f>
        <v>1106</v>
      </c>
      <c r="E15699" t="s">
        <v>460</v>
      </c>
      <c r="F15699" t="s">
        <v>3546</v>
      </c>
      <c r="G15699" t="s">
        <v>47091</v>
      </c>
      <c r="H15699" t="s">
        <v>47126</v>
      </c>
      <c r="I15699" t="s">
        <v>47127</v>
      </c>
      <c r="J15699" t="s">
        <v>47128</v>
      </c>
      <c r="K15699" t="s">
        <v>47113</v>
      </c>
      <c r="L15699">
        <v>14.23</v>
      </c>
      <c r="M15699">
        <v>27</v>
      </c>
      <c r="N15699">
        <v>0</v>
      </c>
      <c r="O15699">
        <v>27</v>
      </c>
      <c r="P15699">
        <v>0</v>
      </c>
    </row>
    <row r="15700" spans="1:16" x14ac:dyDescent="0.25">
      <c r="A15700" t="s">
        <v>38368</v>
      </c>
      <c r="B15700" t="s">
        <v>10693</v>
      </c>
      <c r="C15700" t="s">
        <v>10694</v>
      </c>
      <c r="D15700" t="str">
        <f>"1378"</f>
        <v>1378</v>
      </c>
      <c r="E15700" t="s">
        <v>388</v>
      </c>
      <c r="F15700" t="s">
        <v>3546</v>
      </c>
      <c r="G15700" t="s">
        <v>47091</v>
      </c>
      <c r="H15700" t="s">
        <v>47126</v>
      </c>
      <c r="I15700" t="s">
        <v>47127</v>
      </c>
      <c r="J15700" t="s">
        <v>47128</v>
      </c>
      <c r="K15700" t="s">
        <v>47113</v>
      </c>
      <c r="L15700">
        <v>14.23</v>
      </c>
      <c r="M15700">
        <v>27</v>
      </c>
      <c r="N15700">
        <v>0</v>
      </c>
      <c r="O15700">
        <v>27</v>
      </c>
      <c r="P15700">
        <v>0</v>
      </c>
    </row>
    <row r="15701" spans="1:16" x14ac:dyDescent="0.25">
      <c r="A15701" t="s">
        <v>38369</v>
      </c>
      <c r="B15701" t="s">
        <v>10693</v>
      </c>
      <c r="C15701" t="s">
        <v>10694</v>
      </c>
      <c r="D15701" t="str">
        <f>"1403"</f>
        <v>1403</v>
      </c>
      <c r="E15701" t="s">
        <v>224</v>
      </c>
      <c r="F15701" t="s">
        <v>3546</v>
      </c>
      <c r="G15701" t="s">
        <v>47091</v>
      </c>
      <c r="H15701" t="s">
        <v>47126</v>
      </c>
      <c r="I15701" t="s">
        <v>47127</v>
      </c>
      <c r="J15701" t="s">
        <v>47128</v>
      </c>
      <c r="K15701" t="s">
        <v>47113</v>
      </c>
      <c r="L15701">
        <v>14.23</v>
      </c>
      <c r="M15701">
        <v>27</v>
      </c>
      <c r="N15701">
        <v>0</v>
      </c>
      <c r="O15701">
        <v>27</v>
      </c>
      <c r="P15701">
        <v>0</v>
      </c>
    </row>
    <row r="15702" spans="1:16" x14ac:dyDescent="0.25">
      <c r="A15702" t="s">
        <v>38370</v>
      </c>
      <c r="B15702" t="s">
        <v>10693</v>
      </c>
      <c r="C15702" t="s">
        <v>10694</v>
      </c>
      <c r="D15702" t="str">
        <f>"1700"</f>
        <v>1700</v>
      </c>
      <c r="E15702" t="s">
        <v>60</v>
      </c>
      <c r="F15702" t="s">
        <v>3546</v>
      </c>
      <c r="G15702" t="s">
        <v>47091</v>
      </c>
      <c r="H15702" t="s">
        <v>47126</v>
      </c>
      <c r="I15702" t="s">
        <v>47127</v>
      </c>
      <c r="J15702" t="s">
        <v>47128</v>
      </c>
      <c r="K15702" t="s">
        <v>47113</v>
      </c>
      <c r="L15702">
        <v>14.23</v>
      </c>
      <c r="M15702">
        <v>27</v>
      </c>
      <c r="N15702">
        <v>0</v>
      </c>
      <c r="O15702">
        <v>27</v>
      </c>
      <c r="P15702">
        <v>0</v>
      </c>
    </row>
    <row r="15703" spans="1:16" x14ac:dyDescent="0.25">
      <c r="A15703" t="s">
        <v>38371</v>
      </c>
      <c r="B15703" t="s">
        <v>10693</v>
      </c>
      <c r="C15703" t="s">
        <v>10694</v>
      </c>
      <c r="D15703" t="str">
        <f>"3544"</f>
        <v>3544</v>
      </c>
      <c r="E15703" t="s">
        <v>4174</v>
      </c>
      <c r="F15703" t="s">
        <v>3546</v>
      </c>
      <c r="G15703" t="s">
        <v>47091</v>
      </c>
      <c r="H15703" t="s">
        <v>47126</v>
      </c>
      <c r="I15703" t="s">
        <v>47127</v>
      </c>
      <c r="J15703" t="s">
        <v>47128</v>
      </c>
      <c r="K15703" t="s">
        <v>47113</v>
      </c>
      <c r="L15703">
        <v>14.23</v>
      </c>
      <c r="M15703">
        <v>27</v>
      </c>
      <c r="N15703">
        <v>0</v>
      </c>
      <c r="O15703">
        <v>27</v>
      </c>
      <c r="P15703">
        <v>0</v>
      </c>
    </row>
    <row r="15704" spans="1:16" x14ac:dyDescent="0.25">
      <c r="A15704" t="s">
        <v>38372</v>
      </c>
      <c r="B15704" t="s">
        <v>10693</v>
      </c>
      <c r="C15704" t="s">
        <v>10694</v>
      </c>
      <c r="D15704" t="str">
        <f>"4921"</f>
        <v>4921</v>
      </c>
      <c r="E15704" t="s">
        <v>4156</v>
      </c>
      <c r="F15704" t="s">
        <v>3546</v>
      </c>
      <c r="G15704" t="s">
        <v>47091</v>
      </c>
      <c r="H15704" t="s">
        <v>47126</v>
      </c>
      <c r="I15704" t="s">
        <v>47127</v>
      </c>
      <c r="J15704" t="s">
        <v>47128</v>
      </c>
      <c r="K15704" t="s">
        <v>47113</v>
      </c>
      <c r="L15704">
        <v>14.23</v>
      </c>
      <c r="M15704">
        <v>27</v>
      </c>
      <c r="N15704">
        <v>0</v>
      </c>
      <c r="O15704">
        <v>27</v>
      </c>
      <c r="P15704">
        <v>0</v>
      </c>
    </row>
    <row r="15705" spans="1:16" x14ac:dyDescent="0.25">
      <c r="A15705" t="s">
        <v>38373</v>
      </c>
      <c r="B15705" t="s">
        <v>10693</v>
      </c>
      <c r="C15705" t="s">
        <v>10694</v>
      </c>
      <c r="D15705" t="str">
        <f>"6064"</f>
        <v>6064</v>
      </c>
      <c r="E15705" t="s">
        <v>87</v>
      </c>
      <c r="F15705" t="s">
        <v>3546</v>
      </c>
      <c r="G15705" t="s">
        <v>47091</v>
      </c>
      <c r="H15705" t="s">
        <v>47126</v>
      </c>
      <c r="I15705" t="s">
        <v>47127</v>
      </c>
      <c r="J15705" t="s">
        <v>47128</v>
      </c>
      <c r="K15705" t="s">
        <v>47113</v>
      </c>
      <c r="L15705">
        <v>14.23</v>
      </c>
      <c r="M15705">
        <v>27</v>
      </c>
      <c r="N15705">
        <v>0</v>
      </c>
      <c r="O15705">
        <v>27</v>
      </c>
      <c r="P15705">
        <v>0</v>
      </c>
    </row>
    <row r="15706" spans="1:16" x14ac:dyDescent="0.25">
      <c r="A15706" t="s">
        <v>38374</v>
      </c>
      <c r="B15706" t="s">
        <v>10693</v>
      </c>
      <c r="C15706" t="s">
        <v>10694</v>
      </c>
      <c r="D15706" t="str">
        <f>"6082"</f>
        <v>6082</v>
      </c>
      <c r="E15706" t="s">
        <v>2154</v>
      </c>
      <c r="F15706" t="s">
        <v>3546</v>
      </c>
      <c r="G15706" t="s">
        <v>47091</v>
      </c>
      <c r="H15706" t="s">
        <v>47126</v>
      </c>
      <c r="I15706" t="s">
        <v>47127</v>
      </c>
      <c r="J15706" t="s">
        <v>47128</v>
      </c>
      <c r="K15706" t="s">
        <v>47113</v>
      </c>
      <c r="L15706">
        <v>14.23</v>
      </c>
      <c r="M15706">
        <v>27</v>
      </c>
      <c r="N15706">
        <v>0</v>
      </c>
      <c r="O15706">
        <v>27</v>
      </c>
      <c r="P15706">
        <v>0</v>
      </c>
    </row>
    <row r="15707" spans="1:16" x14ac:dyDescent="0.25">
      <c r="A15707" t="s">
        <v>38375</v>
      </c>
      <c r="B15707" t="s">
        <v>10695</v>
      </c>
      <c r="C15707" t="s">
        <v>10696</v>
      </c>
      <c r="D15707" t="str">
        <f>"1106"</f>
        <v>1106</v>
      </c>
      <c r="E15707" t="s">
        <v>460</v>
      </c>
      <c r="F15707" t="s">
        <v>3546</v>
      </c>
      <c r="G15707" t="s">
        <v>47091</v>
      </c>
      <c r="H15707" t="s">
        <v>47126</v>
      </c>
      <c r="I15707" t="s">
        <v>47127</v>
      </c>
      <c r="J15707" t="s">
        <v>47128</v>
      </c>
      <c r="K15707" t="s">
        <v>47113</v>
      </c>
      <c r="L15707">
        <v>12.56</v>
      </c>
      <c r="M15707">
        <v>31</v>
      </c>
      <c r="N15707">
        <v>0</v>
      </c>
      <c r="O15707">
        <v>31</v>
      </c>
      <c r="P15707">
        <v>0</v>
      </c>
    </row>
    <row r="15708" spans="1:16" x14ac:dyDescent="0.25">
      <c r="A15708" t="s">
        <v>38376</v>
      </c>
      <c r="B15708" t="s">
        <v>10695</v>
      </c>
      <c r="C15708" t="s">
        <v>10696</v>
      </c>
      <c r="D15708" t="str">
        <f>"1378"</f>
        <v>1378</v>
      </c>
      <c r="E15708" t="s">
        <v>388</v>
      </c>
      <c r="F15708" t="s">
        <v>3546</v>
      </c>
      <c r="G15708" t="s">
        <v>47091</v>
      </c>
      <c r="H15708" t="s">
        <v>47126</v>
      </c>
      <c r="I15708" t="s">
        <v>47127</v>
      </c>
      <c r="J15708" t="s">
        <v>47128</v>
      </c>
      <c r="K15708" t="s">
        <v>47113</v>
      </c>
      <c r="L15708">
        <v>12.56</v>
      </c>
      <c r="M15708">
        <v>31</v>
      </c>
      <c r="N15708">
        <v>0</v>
      </c>
      <c r="O15708">
        <v>31</v>
      </c>
      <c r="P15708">
        <v>0</v>
      </c>
    </row>
    <row r="15709" spans="1:16" x14ac:dyDescent="0.25">
      <c r="A15709" t="s">
        <v>38377</v>
      </c>
      <c r="B15709" t="s">
        <v>10695</v>
      </c>
      <c r="C15709" t="s">
        <v>10696</v>
      </c>
      <c r="D15709" t="str">
        <f>"1403"</f>
        <v>1403</v>
      </c>
      <c r="E15709" t="s">
        <v>224</v>
      </c>
      <c r="F15709" t="s">
        <v>3546</v>
      </c>
      <c r="G15709" t="s">
        <v>47091</v>
      </c>
      <c r="H15709" t="s">
        <v>47126</v>
      </c>
      <c r="I15709" t="s">
        <v>47127</v>
      </c>
      <c r="J15709" t="s">
        <v>47128</v>
      </c>
      <c r="K15709" t="s">
        <v>47113</v>
      </c>
      <c r="L15709">
        <v>12.56</v>
      </c>
      <c r="M15709">
        <v>31</v>
      </c>
      <c r="N15709">
        <v>0</v>
      </c>
      <c r="O15709">
        <v>31</v>
      </c>
      <c r="P15709">
        <v>0</v>
      </c>
    </row>
    <row r="15710" spans="1:16" x14ac:dyDescent="0.25">
      <c r="A15710" t="s">
        <v>38378</v>
      </c>
      <c r="B15710" t="s">
        <v>10695</v>
      </c>
      <c r="C15710" t="s">
        <v>10696</v>
      </c>
      <c r="D15710" t="str">
        <f>"1700"</f>
        <v>1700</v>
      </c>
      <c r="E15710" t="s">
        <v>60</v>
      </c>
      <c r="F15710" t="s">
        <v>3546</v>
      </c>
      <c r="G15710" t="s">
        <v>47091</v>
      </c>
      <c r="H15710" t="s">
        <v>47126</v>
      </c>
      <c r="I15710" t="s">
        <v>47127</v>
      </c>
      <c r="J15710" t="s">
        <v>47128</v>
      </c>
      <c r="K15710" t="s">
        <v>47113</v>
      </c>
      <c r="L15710">
        <v>12.56</v>
      </c>
      <c r="M15710">
        <v>31</v>
      </c>
      <c r="N15710">
        <v>0</v>
      </c>
      <c r="O15710">
        <v>31</v>
      </c>
      <c r="P15710">
        <v>0</v>
      </c>
    </row>
    <row r="15711" spans="1:16" x14ac:dyDescent="0.25">
      <c r="A15711" t="s">
        <v>38379</v>
      </c>
      <c r="B15711" t="s">
        <v>10695</v>
      </c>
      <c r="C15711" t="s">
        <v>10696</v>
      </c>
      <c r="D15711" t="str">
        <f>"1701"</f>
        <v>1701</v>
      </c>
      <c r="E15711" t="s">
        <v>55</v>
      </c>
      <c r="F15711" t="s">
        <v>3546</v>
      </c>
      <c r="G15711" t="s">
        <v>47091</v>
      </c>
      <c r="H15711" t="s">
        <v>47126</v>
      </c>
      <c r="I15711" t="s">
        <v>47127</v>
      </c>
      <c r="J15711" t="s">
        <v>47128</v>
      </c>
      <c r="K15711" t="s">
        <v>47113</v>
      </c>
      <c r="L15711">
        <v>12.56</v>
      </c>
      <c r="M15711">
        <v>31</v>
      </c>
      <c r="N15711">
        <v>0</v>
      </c>
      <c r="O15711">
        <v>31</v>
      </c>
      <c r="P15711">
        <v>0</v>
      </c>
    </row>
    <row r="15712" spans="1:16" x14ac:dyDescent="0.25">
      <c r="A15712" t="s">
        <v>38380</v>
      </c>
      <c r="B15712" t="s">
        <v>10695</v>
      </c>
      <c r="C15712" t="s">
        <v>10696</v>
      </c>
      <c r="D15712" t="str">
        <f>"3544"</f>
        <v>3544</v>
      </c>
      <c r="E15712" t="s">
        <v>4174</v>
      </c>
      <c r="F15712" t="s">
        <v>3546</v>
      </c>
      <c r="G15712" t="s">
        <v>47091</v>
      </c>
      <c r="H15712" t="s">
        <v>47126</v>
      </c>
      <c r="I15712" t="s">
        <v>47127</v>
      </c>
      <c r="J15712" t="s">
        <v>47128</v>
      </c>
      <c r="K15712" t="s">
        <v>47113</v>
      </c>
      <c r="L15712">
        <v>12.56</v>
      </c>
      <c r="M15712">
        <v>31</v>
      </c>
      <c r="N15712">
        <v>0</v>
      </c>
      <c r="O15712">
        <v>31</v>
      </c>
      <c r="P15712">
        <v>0</v>
      </c>
    </row>
    <row r="15713" spans="1:16" x14ac:dyDescent="0.25">
      <c r="A15713" t="s">
        <v>38381</v>
      </c>
      <c r="B15713" t="s">
        <v>10695</v>
      </c>
      <c r="C15713" t="s">
        <v>10696</v>
      </c>
      <c r="D15713" t="str">
        <f>"4921"</f>
        <v>4921</v>
      </c>
      <c r="E15713" t="s">
        <v>4156</v>
      </c>
      <c r="F15713" t="s">
        <v>3546</v>
      </c>
      <c r="G15713" t="s">
        <v>47091</v>
      </c>
      <c r="H15713" t="s">
        <v>47126</v>
      </c>
      <c r="I15713" t="s">
        <v>47127</v>
      </c>
      <c r="J15713" t="s">
        <v>47128</v>
      </c>
      <c r="K15713" t="s">
        <v>47113</v>
      </c>
      <c r="L15713">
        <v>12.56</v>
      </c>
      <c r="M15713">
        <v>31</v>
      </c>
      <c r="N15713">
        <v>0</v>
      </c>
      <c r="O15713">
        <v>31</v>
      </c>
      <c r="P15713">
        <v>0</v>
      </c>
    </row>
    <row r="15714" spans="1:16" x14ac:dyDescent="0.25">
      <c r="A15714" t="s">
        <v>38382</v>
      </c>
      <c r="B15714" t="s">
        <v>10695</v>
      </c>
      <c r="C15714" t="s">
        <v>10696</v>
      </c>
      <c r="D15714" t="str">
        <f>"4922"</f>
        <v>4922</v>
      </c>
      <c r="E15714" t="s">
        <v>4175</v>
      </c>
      <c r="F15714" t="s">
        <v>3546</v>
      </c>
      <c r="G15714" t="s">
        <v>47091</v>
      </c>
      <c r="H15714" t="s">
        <v>47126</v>
      </c>
      <c r="I15714" t="s">
        <v>47127</v>
      </c>
      <c r="J15714" t="s">
        <v>47128</v>
      </c>
      <c r="K15714" t="s">
        <v>47113</v>
      </c>
      <c r="L15714">
        <v>12.56</v>
      </c>
      <c r="M15714">
        <v>31</v>
      </c>
      <c r="N15714">
        <v>0</v>
      </c>
      <c r="O15714">
        <v>31</v>
      </c>
      <c r="P15714">
        <v>0</v>
      </c>
    </row>
    <row r="15715" spans="1:16" x14ac:dyDescent="0.25">
      <c r="A15715" t="s">
        <v>38383</v>
      </c>
      <c r="B15715" t="s">
        <v>10695</v>
      </c>
      <c r="C15715" t="s">
        <v>10696</v>
      </c>
      <c r="D15715" t="str">
        <f>"6064"</f>
        <v>6064</v>
      </c>
      <c r="E15715" t="s">
        <v>87</v>
      </c>
      <c r="F15715" t="s">
        <v>3546</v>
      </c>
      <c r="G15715" t="s">
        <v>47091</v>
      </c>
      <c r="H15715" t="s">
        <v>47126</v>
      </c>
      <c r="I15715" t="s">
        <v>47127</v>
      </c>
      <c r="J15715" t="s">
        <v>47128</v>
      </c>
      <c r="K15715" t="s">
        <v>47113</v>
      </c>
      <c r="L15715">
        <v>12.56</v>
      </c>
      <c r="M15715">
        <v>31</v>
      </c>
      <c r="N15715">
        <v>0</v>
      </c>
      <c r="O15715">
        <v>31</v>
      </c>
      <c r="P15715">
        <v>0</v>
      </c>
    </row>
    <row r="15716" spans="1:16" x14ac:dyDescent="0.25">
      <c r="A15716" t="s">
        <v>38384</v>
      </c>
      <c r="B15716" t="s">
        <v>10695</v>
      </c>
      <c r="C15716" t="s">
        <v>10696</v>
      </c>
      <c r="D15716" t="str">
        <f>"6082"</f>
        <v>6082</v>
      </c>
      <c r="E15716" t="s">
        <v>2154</v>
      </c>
      <c r="F15716" t="s">
        <v>3546</v>
      </c>
      <c r="G15716" t="s">
        <v>47091</v>
      </c>
      <c r="H15716" t="s">
        <v>47126</v>
      </c>
      <c r="I15716" t="s">
        <v>47127</v>
      </c>
      <c r="J15716" t="s">
        <v>47128</v>
      </c>
      <c r="K15716" t="s">
        <v>47113</v>
      </c>
      <c r="L15716">
        <v>12.56</v>
      </c>
      <c r="M15716">
        <v>31</v>
      </c>
      <c r="N15716">
        <v>0</v>
      </c>
      <c r="O15716">
        <v>31</v>
      </c>
      <c r="P15716">
        <v>0</v>
      </c>
    </row>
    <row r="15717" spans="1:16" x14ac:dyDescent="0.25">
      <c r="A15717" t="s">
        <v>38385</v>
      </c>
      <c r="B15717" t="s">
        <v>10697</v>
      </c>
      <c r="C15717" t="s">
        <v>10698</v>
      </c>
      <c r="D15717" t="str">
        <f>"1106"</f>
        <v>1106</v>
      </c>
      <c r="E15717" t="s">
        <v>460</v>
      </c>
      <c r="F15717" t="s">
        <v>3546</v>
      </c>
      <c r="G15717" t="s">
        <v>47091</v>
      </c>
      <c r="H15717" t="s">
        <v>47126</v>
      </c>
      <c r="I15717" t="s">
        <v>47127</v>
      </c>
      <c r="J15717" t="s">
        <v>47128</v>
      </c>
      <c r="K15717" t="s">
        <v>47113</v>
      </c>
      <c r="L15717">
        <v>13.03</v>
      </c>
      <c r="M15717">
        <v>27</v>
      </c>
      <c r="N15717">
        <v>0</v>
      </c>
      <c r="O15717">
        <v>27</v>
      </c>
      <c r="P15717">
        <v>0</v>
      </c>
    </row>
    <row r="15718" spans="1:16" x14ac:dyDescent="0.25">
      <c r="A15718" t="s">
        <v>38386</v>
      </c>
      <c r="B15718" t="s">
        <v>10697</v>
      </c>
      <c r="C15718" t="s">
        <v>10698</v>
      </c>
      <c r="D15718" t="str">
        <f>"1378"</f>
        <v>1378</v>
      </c>
      <c r="E15718" t="s">
        <v>388</v>
      </c>
      <c r="F15718" t="s">
        <v>3546</v>
      </c>
      <c r="G15718" t="s">
        <v>47091</v>
      </c>
      <c r="H15718" t="s">
        <v>47126</v>
      </c>
      <c r="I15718" t="s">
        <v>47127</v>
      </c>
      <c r="J15718" t="s">
        <v>47128</v>
      </c>
      <c r="K15718" t="s">
        <v>47113</v>
      </c>
      <c r="L15718">
        <v>13.03</v>
      </c>
      <c r="M15718">
        <v>27</v>
      </c>
      <c r="N15718">
        <v>0</v>
      </c>
      <c r="O15718">
        <v>27</v>
      </c>
      <c r="P15718">
        <v>0</v>
      </c>
    </row>
    <row r="15719" spans="1:16" x14ac:dyDescent="0.25">
      <c r="A15719" t="s">
        <v>38387</v>
      </c>
      <c r="B15719" t="s">
        <v>10697</v>
      </c>
      <c r="C15719" t="s">
        <v>10698</v>
      </c>
      <c r="D15719" t="str">
        <f>"1403"</f>
        <v>1403</v>
      </c>
      <c r="E15719" t="s">
        <v>224</v>
      </c>
      <c r="F15719" t="s">
        <v>3546</v>
      </c>
      <c r="G15719" t="s">
        <v>47091</v>
      </c>
      <c r="H15719" t="s">
        <v>47126</v>
      </c>
      <c r="I15719" t="s">
        <v>47127</v>
      </c>
      <c r="J15719" t="s">
        <v>47128</v>
      </c>
      <c r="K15719" t="s">
        <v>47113</v>
      </c>
      <c r="L15719">
        <v>13.03</v>
      </c>
      <c r="M15719">
        <v>27</v>
      </c>
      <c r="N15719">
        <v>0</v>
      </c>
      <c r="O15719">
        <v>27</v>
      </c>
      <c r="P15719">
        <v>0</v>
      </c>
    </row>
    <row r="15720" spans="1:16" x14ac:dyDescent="0.25">
      <c r="A15720" t="s">
        <v>38388</v>
      </c>
      <c r="B15720" t="s">
        <v>10697</v>
      </c>
      <c r="C15720" t="s">
        <v>10698</v>
      </c>
      <c r="D15720" t="str">
        <f>"1700"</f>
        <v>1700</v>
      </c>
      <c r="E15720" t="s">
        <v>60</v>
      </c>
      <c r="F15720" t="s">
        <v>3546</v>
      </c>
      <c r="G15720" t="s">
        <v>47091</v>
      </c>
      <c r="H15720" t="s">
        <v>47126</v>
      </c>
      <c r="I15720" t="s">
        <v>47127</v>
      </c>
      <c r="J15720" t="s">
        <v>47128</v>
      </c>
      <c r="K15720" t="s">
        <v>47113</v>
      </c>
      <c r="L15720">
        <v>13.03</v>
      </c>
      <c r="M15720">
        <v>27</v>
      </c>
      <c r="N15720">
        <v>0</v>
      </c>
      <c r="O15720">
        <v>27</v>
      </c>
      <c r="P15720">
        <v>0</v>
      </c>
    </row>
    <row r="15721" spans="1:16" x14ac:dyDescent="0.25">
      <c r="A15721" t="s">
        <v>38389</v>
      </c>
      <c r="B15721" t="s">
        <v>10697</v>
      </c>
      <c r="C15721" t="s">
        <v>10698</v>
      </c>
      <c r="D15721" t="str">
        <f>"3544"</f>
        <v>3544</v>
      </c>
      <c r="E15721" t="s">
        <v>4174</v>
      </c>
      <c r="F15721" t="s">
        <v>3546</v>
      </c>
      <c r="G15721" t="s">
        <v>47091</v>
      </c>
      <c r="H15721" t="s">
        <v>47126</v>
      </c>
      <c r="I15721" t="s">
        <v>47127</v>
      </c>
      <c r="J15721" t="s">
        <v>47128</v>
      </c>
      <c r="K15721" t="s">
        <v>47113</v>
      </c>
      <c r="L15721">
        <v>13.03</v>
      </c>
      <c r="M15721">
        <v>27</v>
      </c>
      <c r="N15721">
        <v>0</v>
      </c>
      <c r="O15721">
        <v>27</v>
      </c>
      <c r="P15721">
        <v>0</v>
      </c>
    </row>
    <row r="15722" spans="1:16" x14ac:dyDescent="0.25">
      <c r="A15722" t="s">
        <v>38390</v>
      </c>
      <c r="B15722" t="s">
        <v>10697</v>
      </c>
      <c r="C15722" t="s">
        <v>10698</v>
      </c>
      <c r="D15722" t="str">
        <f>"4921"</f>
        <v>4921</v>
      </c>
      <c r="E15722" t="s">
        <v>4156</v>
      </c>
      <c r="F15722" t="s">
        <v>3546</v>
      </c>
      <c r="G15722" t="s">
        <v>47091</v>
      </c>
      <c r="H15722" t="s">
        <v>47126</v>
      </c>
      <c r="I15722" t="s">
        <v>47127</v>
      </c>
      <c r="J15722" t="s">
        <v>47128</v>
      </c>
      <c r="K15722" t="s">
        <v>47113</v>
      </c>
      <c r="L15722">
        <v>13.03</v>
      </c>
      <c r="M15722">
        <v>27</v>
      </c>
      <c r="N15722">
        <v>0</v>
      </c>
      <c r="O15722">
        <v>27</v>
      </c>
      <c r="P15722">
        <v>0</v>
      </c>
    </row>
    <row r="15723" spans="1:16" x14ac:dyDescent="0.25">
      <c r="A15723" t="s">
        <v>38391</v>
      </c>
      <c r="B15723" t="s">
        <v>10697</v>
      </c>
      <c r="C15723" t="s">
        <v>10698</v>
      </c>
      <c r="D15723" t="str">
        <f>"4922"</f>
        <v>4922</v>
      </c>
      <c r="E15723" t="s">
        <v>4175</v>
      </c>
      <c r="F15723" t="s">
        <v>3546</v>
      </c>
      <c r="G15723" t="s">
        <v>47091</v>
      </c>
      <c r="H15723" t="s">
        <v>47126</v>
      </c>
      <c r="I15723" t="s">
        <v>47127</v>
      </c>
      <c r="J15723" t="s">
        <v>47128</v>
      </c>
      <c r="K15723" t="s">
        <v>47113</v>
      </c>
      <c r="L15723">
        <v>13.03</v>
      </c>
      <c r="M15723">
        <v>27</v>
      </c>
      <c r="N15723">
        <v>0</v>
      </c>
      <c r="O15723">
        <v>27</v>
      </c>
      <c r="P15723">
        <v>0</v>
      </c>
    </row>
    <row r="15724" spans="1:16" x14ac:dyDescent="0.25">
      <c r="A15724" t="s">
        <v>38392</v>
      </c>
      <c r="B15724" t="s">
        <v>10697</v>
      </c>
      <c r="C15724" t="s">
        <v>10698</v>
      </c>
      <c r="D15724" t="str">
        <f>"6064"</f>
        <v>6064</v>
      </c>
      <c r="E15724" t="s">
        <v>87</v>
      </c>
      <c r="F15724" t="s">
        <v>3546</v>
      </c>
      <c r="G15724" t="s">
        <v>47091</v>
      </c>
      <c r="H15724" t="s">
        <v>47126</v>
      </c>
      <c r="I15724" t="s">
        <v>47127</v>
      </c>
      <c r="J15724" t="s">
        <v>47128</v>
      </c>
      <c r="K15724" t="s">
        <v>47113</v>
      </c>
      <c r="L15724">
        <v>13.03</v>
      </c>
      <c r="M15724">
        <v>27</v>
      </c>
      <c r="N15724">
        <v>0</v>
      </c>
      <c r="O15724">
        <v>27</v>
      </c>
      <c r="P15724">
        <v>0</v>
      </c>
    </row>
    <row r="15725" spans="1:16" x14ac:dyDescent="0.25">
      <c r="A15725" t="s">
        <v>38393</v>
      </c>
      <c r="B15725" t="s">
        <v>10697</v>
      </c>
      <c r="C15725" t="s">
        <v>10698</v>
      </c>
      <c r="D15725" t="str">
        <f>"6082"</f>
        <v>6082</v>
      </c>
      <c r="E15725" t="s">
        <v>2154</v>
      </c>
      <c r="F15725" t="s">
        <v>3546</v>
      </c>
      <c r="G15725" t="s">
        <v>47091</v>
      </c>
      <c r="H15725" t="s">
        <v>47126</v>
      </c>
      <c r="I15725" t="s">
        <v>47127</v>
      </c>
      <c r="J15725" t="s">
        <v>47128</v>
      </c>
      <c r="K15725" t="s">
        <v>47113</v>
      </c>
      <c r="L15725">
        <v>13.03</v>
      </c>
      <c r="M15725">
        <v>27</v>
      </c>
      <c r="N15725">
        <v>0</v>
      </c>
      <c r="O15725">
        <v>27</v>
      </c>
      <c r="P15725">
        <v>0</v>
      </c>
    </row>
    <row r="15726" spans="1:16" x14ac:dyDescent="0.25">
      <c r="A15726" t="s">
        <v>38394</v>
      </c>
      <c r="B15726" t="s">
        <v>10699</v>
      </c>
      <c r="C15726" t="s">
        <v>10700</v>
      </c>
      <c r="D15726" t="str">
        <f>"1106"</f>
        <v>1106</v>
      </c>
      <c r="E15726" t="s">
        <v>460</v>
      </c>
      <c r="F15726" t="s">
        <v>3546</v>
      </c>
      <c r="G15726" t="s">
        <v>47091</v>
      </c>
      <c r="H15726" t="s">
        <v>47126</v>
      </c>
      <c r="I15726" t="s">
        <v>47127</v>
      </c>
      <c r="J15726" t="s">
        <v>47128</v>
      </c>
      <c r="K15726" t="s">
        <v>47113</v>
      </c>
      <c r="L15726">
        <v>13.75</v>
      </c>
      <c r="M15726">
        <v>34</v>
      </c>
      <c r="N15726">
        <v>0</v>
      </c>
      <c r="O15726">
        <v>34</v>
      </c>
      <c r="P15726">
        <v>0</v>
      </c>
    </row>
    <row r="15727" spans="1:16" x14ac:dyDescent="0.25">
      <c r="A15727" t="s">
        <v>38395</v>
      </c>
      <c r="B15727" t="s">
        <v>10699</v>
      </c>
      <c r="C15727" t="s">
        <v>10700</v>
      </c>
      <c r="D15727" t="str">
        <f>"1378"</f>
        <v>1378</v>
      </c>
      <c r="E15727" t="s">
        <v>388</v>
      </c>
      <c r="F15727" t="s">
        <v>3546</v>
      </c>
      <c r="G15727" t="s">
        <v>47091</v>
      </c>
      <c r="H15727" t="s">
        <v>47126</v>
      </c>
      <c r="I15727" t="s">
        <v>47127</v>
      </c>
      <c r="J15727" t="s">
        <v>47128</v>
      </c>
      <c r="K15727" t="s">
        <v>47113</v>
      </c>
      <c r="L15727">
        <v>13.75</v>
      </c>
      <c r="M15727">
        <v>34</v>
      </c>
      <c r="N15727">
        <v>0</v>
      </c>
      <c r="O15727">
        <v>34</v>
      </c>
      <c r="P15727">
        <v>0</v>
      </c>
    </row>
    <row r="15728" spans="1:16" x14ac:dyDescent="0.25">
      <c r="A15728" t="s">
        <v>38396</v>
      </c>
      <c r="B15728" t="s">
        <v>10699</v>
      </c>
      <c r="C15728" t="s">
        <v>10700</v>
      </c>
      <c r="D15728" t="str">
        <f>"1403"</f>
        <v>1403</v>
      </c>
      <c r="E15728" t="s">
        <v>224</v>
      </c>
      <c r="F15728" t="s">
        <v>3546</v>
      </c>
      <c r="G15728" t="s">
        <v>47091</v>
      </c>
      <c r="H15728" t="s">
        <v>47126</v>
      </c>
      <c r="I15728" t="s">
        <v>47127</v>
      </c>
      <c r="J15728" t="s">
        <v>47128</v>
      </c>
      <c r="K15728" t="s">
        <v>47113</v>
      </c>
      <c r="L15728">
        <v>13.75</v>
      </c>
      <c r="M15728">
        <v>34</v>
      </c>
      <c r="N15728">
        <v>0</v>
      </c>
      <c r="O15728">
        <v>34</v>
      </c>
      <c r="P15728">
        <v>0</v>
      </c>
    </row>
    <row r="15729" spans="1:16" x14ac:dyDescent="0.25">
      <c r="A15729" t="s">
        <v>38397</v>
      </c>
      <c r="B15729" t="s">
        <v>10699</v>
      </c>
      <c r="C15729" t="s">
        <v>10700</v>
      </c>
      <c r="D15729" t="str">
        <f>"1700"</f>
        <v>1700</v>
      </c>
      <c r="E15729" t="s">
        <v>60</v>
      </c>
      <c r="F15729" t="s">
        <v>3546</v>
      </c>
      <c r="G15729" t="s">
        <v>47091</v>
      </c>
      <c r="H15729" t="s">
        <v>47126</v>
      </c>
      <c r="I15729" t="s">
        <v>47127</v>
      </c>
      <c r="J15729" t="s">
        <v>47128</v>
      </c>
      <c r="K15729" t="s">
        <v>47113</v>
      </c>
      <c r="L15729">
        <v>13.75</v>
      </c>
      <c r="M15729">
        <v>34</v>
      </c>
      <c r="N15729">
        <v>0</v>
      </c>
      <c r="O15729">
        <v>34</v>
      </c>
      <c r="P15729">
        <v>0</v>
      </c>
    </row>
    <row r="15730" spans="1:16" x14ac:dyDescent="0.25">
      <c r="A15730" t="s">
        <v>38398</v>
      </c>
      <c r="B15730" t="s">
        <v>10699</v>
      </c>
      <c r="C15730" t="s">
        <v>10700</v>
      </c>
      <c r="D15730" t="str">
        <f>"3544"</f>
        <v>3544</v>
      </c>
      <c r="E15730" t="s">
        <v>4174</v>
      </c>
      <c r="F15730" t="s">
        <v>3546</v>
      </c>
      <c r="G15730" t="s">
        <v>47091</v>
      </c>
      <c r="H15730" t="s">
        <v>47126</v>
      </c>
      <c r="I15730" t="s">
        <v>47127</v>
      </c>
      <c r="J15730" t="s">
        <v>47128</v>
      </c>
      <c r="K15730" t="s">
        <v>47113</v>
      </c>
      <c r="L15730">
        <v>13.75</v>
      </c>
      <c r="M15730">
        <v>34</v>
      </c>
      <c r="N15730">
        <v>0</v>
      </c>
      <c r="O15730">
        <v>34</v>
      </c>
      <c r="P15730">
        <v>0</v>
      </c>
    </row>
    <row r="15731" spans="1:16" x14ac:dyDescent="0.25">
      <c r="A15731" t="s">
        <v>38399</v>
      </c>
      <c r="B15731" t="s">
        <v>10699</v>
      </c>
      <c r="C15731" t="s">
        <v>10700</v>
      </c>
      <c r="D15731" t="str">
        <f>"4921"</f>
        <v>4921</v>
      </c>
      <c r="E15731" t="s">
        <v>4156</v>
      </c>
      <c r="F15731" t="s">
        <v>3546</v>
      </c>
      <c r="G15731" t="s">
        <v>47091</v>
      </c>
      <c r="H15731" t="s">
        <v>47126</v>
      </c>
      <c r="I15731" t="s">
        <v>47127</v>
      </c>
      <c r="J15731" t="s">
        <v>47128</v>
      </c>
      <c r="K15731" t="s">
        <v>47113</v>
      </c>
      <c r="L15731">
        <v>13.75</v>
      </c>
      <c r="M15731">
        <v>34</v>
      </c>
      <c r="N15731">
        <v>0</v>
      </c>
      <c r="O15731">
        <v>34</v>
      </c>
      <c r="P15731">
        <v>0</v>
      </c>
    </row>
    <row r="15732" spans="1:16" x14ac:dyDescent="0.25">
      <c r="A15732" t="s">
        <v>38400</v>
      </c>
      <c r="B15732" t="s">
        <v>10699</v>
      </c>
      <c r="C15732" t="s">
        <v>10700</v>
      </c>
      <c r="D15732" t="str">
        <f>"4922"</f>
        <v>4922</v>
      </c>
      <c r="E15732" t="s">
        <v>4175</v>
      </c>
      <c r="F15732" t="s">
        <v>3546</v>
      </c>
      <c r="G15732" t="s">
        <v>47091</v>
      </c>
      <c r="H15732" t="s">
        <v>47126</v>
      </c>
      <c r="I15732" t="s">
        <v>47127</v>
      </c>
      <c r="J15732" t="s">
        <v>47128</v>
      </c>
      <c r="K15732" t="s">
        <v>47113</v>
      </c>
      <c r="L15732">
        <v>13.75</v>
      </c>
      <c r="M15732">
        <v>34</v>
      </c>
      <c r="N15732">
        <v>0</v>
      </c>
      <c r="O15732">
        <v>34</v>
      </c>
      <c r="P15732">
        <v>0</v>
      </c>
    </row>
    <row r="15733" spans="1:16" x14ac:dyDescent="0.25">
      <c r="A15733" t="s">
        <v>38401</v>
      </c>
      <c r="B15733" t="s">
        <v>10699</v>
      </c>
      <c r="C15733" t="s">
        <v>10700</v>
      </c>
      <c r="D15733" t="str">
        <f>"6064"</f>
        <v>6064</v>
      </c>
      <c r="E15733" t="s">
        <v>87</v>
      </c>
      <c r="F15733" t="s">
        <v>3546</v>
      </c>
      <c r="G15733" t="s">
        <v>47091</v>
      </c>
      <c r="H15733" t="s">
        <v>47126</v>
      </c>
      <c r="I15733" t="s">
        <v>47127</v>
      </c>
      <c r="J15733" t="s">
        <v>47128</v>
      </c>
      <c r="K15733" t="s">
        <v>47113</v>
      </c>
      <c r="L15733">
        <v>13.75</v>
      </c>
      <c r="M15733">
        <v>34</v>
      </c>
      <c r="N15733">
        <v>0</v>
      </c>
      <c r="O15733">
        <v>34</v>
      </c>
      <c r="P15733">
        <v>0</v>
      </c>
    </row>
    <row r="15734" spans="1:16" x14ac:dyDescent="0.25">
      <c r="A15734" t="s">
        <v>38402</v>
      </c>
      <c r="B15734" t="s">
        <v>10699</v>
      </c>
      <c r="C15734" t="s">
        <v>10700</v>
      </c>
      <c r="D15734" t="str">
        <f>"6082"</f>
        <v>6082</v>
      </c>
      <c r="E15734" t="s">
        <v>2154</v>
      </c>
      <c r="F15734" t="s">
        <v>3546</v>
      </c>
      <c r="G15734" t="s">
        <v>47091</v>
      </c>
      <c r="H15734" t="s">
        <v>47126</v>
      </c>
      <c r="I15734" t="s">
        <v>47127</v>
      </c>
      <c r="J15734" t="s">
        <v>47128</v>
      </c>
      <c r="K15734" t="s">
        <v>47113</v>
      </c>
      <c r="L15734">
        <v>13.75</v>
      </c>
      <c r="M15734">
        <v>34</v>
      </c>
      <c r="N15734">
        <v>0</v>
      </c>
      <c r="O15734">
        <v>34</v>
      </c>
      <c r="P15734">
        <v>0</v>
      </c>
    </row>
    <row r="15735" spans="1:16" x14ac:dyDescent="0.25">
      <c r="A15735" t="s">
        <v>38403</v>
      </c>
      <c r="B15735" t="s">
        <v>10701</v>
      </c>
      <c r="C15735" t="s">
        <v>10702</v>
      </c>
      <c r="D15735" t="str">
        <f>"1106"</f>
        <v>1106</v>
      </c>
      <c r="E15735" t="s">
        <v>460</v>
      </c>
      <c r="F15735" t="s">
        <v>3546</v>
      </c>
      <c r="G15735" t="s">
        <v>47091</v>
      </c>
      <c r="H15735" t="s">
        <v>47126</v>
      </c>
      <c r="I15735" t="s">
        <v>47127</v>
      </c>
      <c r="J15735" t="s">
        <v>47128</v>
      </c>
      <c r="K15735" t="s">
        <v>47113</v>
      </c>
      <c r="L15735">
        <v>14.59</v>
      </c>
      <c r="M15735">
        <v>30</v>
      </c>
      <c r="N15735">
        <v>0</v>
      </c>
      <c r="O15735">
        <v>30</v>
      </c>
      <c r="P15735">
        <v>0</v>
      </c>
    </row>
    <row r="15736" spans="1:16" x14ac:dyDescent="0.25">
      <c r="A15736" t="s">
        <v>38404</v>
      </c>
      <c r="B15736" t="s">
        <v>10701</v>
      </c>
      <c r="C15736" t="s">
        <v>10702</v>
      </c>
      <c r="D15736" t="str">
        <f>"1369"</f>
        <v>1369</v>
      </c>
      <c r="E15736" t="s">
        <v>4163</v>
      </c>
      <c r="F15736" t="s">
        <v>3546</v>
      </c>
      <c r="G15736" t="s">
        <v>47091</v>
      </c>
      <c r="H15736" t="s">
        <v>47126</v>
      </c>
      <c r="I15736" t="s">
        <v>47127</v>
      </c>
      <c r="J15736" t="s">
        <v>47128</v>
      </c>
      <c r="K15736" t="s">
        <v>47113</v>
      </c>
      <c r="L15736">
        <v>14.59</v>
      </c>
      <c r="M15736">
        <v>30</v>
      </c>
      <c r="N15736">
        <v>0</v>
      </c>
      <c r="O15736">
        <v>30</v>
      </c>
      <c r="P15736">
        <v>0</v>
      </c>
    </row>
    <row r="15737" spans="1:16" x14ac:dyDescent="0.25">
      <c r="A15737" t="s">
        <v>38405</v>
      </c>
      <c r="B15737" t="s">
        <v>10701</v>
      </c>
      <c r="C15737" t="s">
        <v>10702</v>
      </c>
      <c r="D15737" t="str">
        <f>"1378"</f>
        <v>1378</v>
      </c>
      <c r="E15737" t="s">
        <v>388</v>
      </c>
      <c r="F15737" t="s">
        <v>3546</v>
      </c>
      <c r="G15737" t="s">
        <v>47091</v>
      </c>
      <c r="H15737" t="s">
        <v>47126</v>
      </c>
      <c r="I15737" t="s">
        <v>47127</v>
      </c>
      <c r="J15737" t="s">
        <v>47128</v>
      </c>
      <c r="K15737" t="s">
        <v>47113</v>
      </c>
      <c r="L15737">
        <v>14.59</v>
      </c>
      <c r="M15737">
        <v>30</v>
      </c>
      <c r="N15737">
        <v>0</v>
      </c>
      <c r="O15737">
        <v>30</v>
      </c>
      <c r="P15737">
        <v>0</v>
      </c>
    </row>
    <row r="15738" spans="1:16" x14ac:dyDescent="0.25">
      <c r="A15738" t="s">
        <v>38406</v>
      </c>
      <c r="B15738" t="s">
        <v>10701</v>
      </c>
      <c r="C15738" t="s">
        <v>10702</v>
      </c>
      <c r="D15738" t="str">
        <f>"1500"</f>
        <v>1500</v>
      </c>
      <c r="E15738" t="s">
        <v>4160</v>
      </c>
      <c r="F15738" t="s">
        <v>3546</v>
      </c>
      <c r="G15738" t="s">
        <v>47091</v>
      </c>
      <c r="H15738" t="s">
        <v>47126</v>
      </c>
      <c r="I15738" t="s">
        <v>47127</v>
      </c>
      <c r="J15738" t="s">
        <v>47128</v>
      </c>
      <c r="K15738" t="s">
        <v>47113</v>
      </c>
      <c r="L15738">
        <v>14.59</v>
      </c>
      <c r="M15738">
        <v>30</v>
      </c>
      <c r="N15738">
        <v>0</v>
      </c>
      <c r="O15738">
        <v>30</v>
      </c>
      <c r="P15738">
        <v>0</v>
      </c>
    </row>
    <row r="15739" spans="1:16" x14ac:dyDescent="0.25">
      <c r="A15739" t="s">
        <v>38407</v>
      </c>
      <c r="B15739" t="s">
        <v>10701</v>
      </c>
      <c r="C15739" t="s">
        <v>10702</v>
      </c>
      <c r="D15739" t="str">
        <f>"1700"</f>
        <v>1700</v>
      </c>
      <c r="E15739" t="s">
        <v>60</v>
      </c>
      <c r="F15739" t="s">
        <v>3546</v>
      </c>
      <c r="G15739" t="s">
        <v>47091</v>
      </c>
      <c r="H15739" t="s">
        <v>47126</v>
      </c>
      <c r="I15739" t="s">
        <v>47127</v>
      </c>
      <c r="J15739" t="s">
        <v>47128</v>
      </c>
      <c r="K15739" t="s">
        <v>47113</v>
      </c>
      <c r="L15739">
        <v>14.59</v>
      </c>
      <c r="M15739">
        <v>30</v>
      </c>
      <c r="N15739">
        <v>0</v>
      </c>
      <c r="O15739">
        <v>30</v>
      </c>
      <c r="P15739">
        <v>0</v>
      </c>
    </row>
    <row r="15740" spans="1:16" x14ac:dyDescent="0.25">
      <c r="A15740" t="s">
        <v>38408</v>
      </c>
      <c r="B15740" t="s">
        <v>10701</v>
      </c>
      <c r="C15740" t="s">
        <v>10702</v>
      </c>
      <c r="D15740" t="str">
        <f>"1701"</f>
        <v>1701</v>
      </c>
      <c r="E15740" t="s">
        <v>55</v>
      </c>
      <c r="F15740" t="s">
        <v>3546</v>
      </c>
      <c r="G15740" t="s">
        <v>47091</v>
      </c>
      <c r="H15740" t="s">
        <v>47126</v>
      </c>
      <c r="I15740" t="s">
        <v>47127</v>
      </c>
      <c r="J15740" t="s">
        <v>47128</v>
      </c>
      <c r="K15740" t="s">
        <v>47113</v>
      </c>
      <c r="L15740">
        <v>14.59</v>
      </c>
      <c r="M15740">
        <v>30</v>
      </c>
      <c r="N15740">
        <v>0</v>
      </c>
      <c r="O15740">
        <v>30</v>
      </c>
      <c r="P15740">
        <v>0</v>
      </c>
    </row>
    <row r="15741" spans="1:16" x14ac:dyDescent="0.25">
      <c r="A15741" t="s">
        <v>38409</v>
      </c>
      <c r="B15741" t="s">
        <v>10701</v>
      </c>
      <c r="C15741" t="s">
        <v>10702</v>
      </c>
      <c r="D15741" t="str">
        <f>"6064"</f>
        <v>6064</v>
      </c>
      <c r="E15741" t="s">
        <v>87</v>
      </c>
      <c r="F15741" t="s">
        <v>3546</v>
      </c>
      <c r="G15741" t="s">
        <v>47091</v>
      </c>
      <c r="H15741" t="s">
        <v>47126</v>
      </c>
      <c r="I15741" t="s">
        <v>47127</v>
      </c>
      <c r="J15741" t="s">
        <v>47128</v>
      </c>
      <c r="K15741" t="s">
        <v>47113</v>
      </c>
      <c r="L15741">
        <v>14.59</v>
      </c>
      <c r="M15741">
        <v>30</v>
      </c>
      <c r="N15741">
        <v>0</v>
      </c>
      <c r="O15741">
        <v>30</v>
      </c>
      <c r="P15741">
        <v>0</v>
      </c>
    </row>
    <row r="15742" spans="1:16" x14ac:dyDescent="0.25">
      <c r="A15742" t="s">
        <v>38410</v>
      </c>
      <c r="B15742" t="s">
        <v>10701</v>
      </c>
      <c r="C15742" t="s">
        <v>10702</v>
      </c>
      <c r="D15742" t="str">
        <f>"6082"</f>
        <v>6082</v>
      </c>
      <c r="E15742" t="s">
        <v>2154</v>
      </c>
      <c r="F15742" t="s">
        <v>3546</v>
      </c>
      <c r="G15742" t="s">
        <v>47091</v>
      </c>
      <c r="H15742" t="s">
        <v>47126</v>
      </c>
      <c r="I15742" t="s">
        <v>47127</v>
      </c>
      <c r="J15742" t="s">
        <v>47128</v>
      </c>
      <c r="K15742" t="s">
        <v>47113</v>
      </c>
      <c r="L15742">
        <v>14.59</v>
      </c>
      <c r="M15742">
        <v>30</v>
      </c>
      <c r="N15742">
        <v>0</v>
      </c>
      <c r="O15742">
        <v>30</v>
      </c>
      <c r="P15742">
        <v>0</v>
      </c>
    </row>
    <row r="15743" spans="1:16" x14ac:dyDescent="0.25">
      <c r="A15743" t="s">
        <v>38411</v>
      </c>
      <c r="B15743" t="s">
        <v>10703</v>
      </c>
      <c r="C15743" t="s">
        <v>10704</v>
      </c>
      <c r="D15743" t="str">
        <f>"1106"</f>
        <v>1106</v>
      </c>
      <c r="E15743" t="s">
        <v>460</v>
      </c>
      <c r="F15743" t="s">
        <v>3546</v>
      </c>
      <c r="G15743" t="s">
        <v>47091</v>
      </c>
      <c r="H15743" t="s">
        <v>47126</v>
      </c>
      <c r="I15743" t="s">
        <v>47127</v>
      </c>
      <c r="J15743" t="s">
        <v>47128</v>
      </c>
      <c r="K15743" t="s">
        <v>47113</v>
      </c>
      <c r="L15743">
        <v>14.23</v>
      </c>
      <c r="M15743">
        <v>27</v>
      </c>
      <c r="N15743">
        <v>0</v>
      </c>
      <c r="O15743">
        <v>27</v>
      </c>
      <c r="P15743">
        <v>0</v>
      </c>
    </row>
    <row r="15744" spans="1:16" x14ac:dyDescent="0.25">
      <c r="A15744" t="s">
        <v>38412</v>
      </c>
      <c r="B15744" t="s">
        <v>10703</v>
      </c>
      <c r="C15744" t="s">
        <v>10704</v>
      </c>
      <c r="D15744" t="str">
        <f>"1378"</f>
        <v>1378</v>
      </c>
      <c r="E15744" t="s">
        <v>388</v>
      </c>
      <c r="F15744" t="s">
        <v>3546</v>
      </c>
      <c r="G15744" t="s">
        <v>47091</v>
      </c>
      <c r="H15744" t="s">
        <v>47126</v>
      </c>
      <c r="I15744" t="s">
        <v>47127</v>
      </c>
      <c r="J15744" t="s">
        <v>47128</v>
      </c>
      <c r="K15744" t="s">
        <v>47113</v>
      </c>
      <c r="L15744">
        <v>14.23</v>
      </c>
      <c r="M15744">
        <v>27</v>
      </c>
      <c r="N15744">
        <v>0</v>
      </c>
      <c r="O15744">
        <v>27</v>
      </c>
      <c r="P15744">
        <v>0</v>
      </c>
    </row>
    <row r="15745" spans="1:16" x14ac:dyDescent="0.25">
      <c r="A15745" t="s">
        <v>38413</v>
      </c>
      <c r="B15745" t="s">
        <v>10703</v>
      </c>
      <c r="C15745" t="s">
        <v>10704</v>
      </c>
      <c r="D15745" t="str">
        <f>"1403"</f>
        <v>1403</v>
      </c>
      <c r="E15745" t="s">
        <v>224</v>
      </c>
      <c r="F15745" t="s">
        <v>3546</v>
      </c>
      <c r="G15745" t="s">
        <v>47091</v>
      </c>
      <c r="H15745" t="s">
        <v>47126</v>
      </c>
      <c r="I15745" t="s">
        <v>47127</v>
      </c>
      <c r="J15745" t="s">
        <v>47128</v>
      </c>
      <c r="K15745" t="s">
        <v>47113</v>
      </c>
      <c r="L15745">
        <v>14.23</v>
      </c>
      <c r="M15745">
        <v>27</v>
      </c>
      <c r="N15745">
        <v>0</v>
      </c>
      <c r="O15745">
        <v>27</v>
      </c>
      <c r="P15745">
        <v>0</v>
      </c>
    </row>
    <row r="15746" spans="1:16" x14ac:dyDescent="0.25">
      <c r="A15746" t="s">
        <v>38414</v>
      </c>
      <c r="B15746" t="s">
        <v>10703</v>
      </c>
      <c r="C15746" t="s">
        <v>10704</v>
      </c>
      <c r="D15746" t="str">
        <f>"1700"</f>
        <v>1700</v>
      </c>
      <c r="E15746" t="s">
        <v>60</v>
      </c>
      <c r="F15746" t="s">
        <v>3546</v>
      </c>
      <c r="G15746" t="s">
        <v>47091</v>
      </c>
      <c r="H15746" t="s">
        <v>47126</v>
      </c>
      <c r="I15746" t="s">
        <v>47127</v>
      </c>
      <c r="J15746" t="s">
        <v>47128</v>
      </c>
      <c r="K15746" t="s">
        <v>47113</v>
      </c>
      <c r="L15746">
        <v>14.23</v>
      </c>
      <c r="M15746">
        <v>27</v>
      </c>
      <c r="N15746">
        <v>0</v>
      </c>
      <c r="O15746">
        <v>27</v>
      </c>
      <c r="P15746">
        <v>0</v>
      </c>
    </row>
    <row r="15747" spans="1:16" x14ac:dyDescent="0.25">
      <c r="A15747" t="s">
        <v>38415</v>
      </c>
      <c r="B15747" t="s">
        <v>10703</v>
      </c>
      <c r="C15747" t="s">
        <v>10704</v>
      </c>
      <c r="D15747" t="str">
        <f>"3544"</f>
        <v>3544</v>
      </c>
      <c r="E15747" t="s">
        <v>4174</v>
      </c>
      <c r="F15747" t="s">
        <v>3546</v>
      </c>
      <c r="G15747" t="s">
        <v>47091</v>
      </c>
      <c r="H15747" t="s">
        <v>47126</v>
      </c>
      <c r="I15747" t="s">
        <v>47127</v>
      </c>
      <c r="J15747" t="s">
        <v>47128</v>
      </c>
      <c r="K15747" t="s">
        <v>47113</v>
      </c>
      <c r="L15747">
        <v>14.23</v>
      </c>
      <c r="M15747">
        <v>27</v>
      </c>
      <c r="N15747">
        <v>0</v>
      </c>
      <c r="O15747">
        <v>27</v>
      </c>
      <c r="P15747">
        <v>0</v>
      </c>
    </row>
    <row r="15748" spans="1:16" x14ac:dyDescent="0.25">
      <c r="A15748" t="s">
        <v>38416</v>
      </c>
      <c r="B15748" t="s">
        <v>10703</v>
      </c>
      <c r="C15748" t="s">
        <v>10704</v>
      </c>
      <c r="D15748" t="str">
        <f>"4921"</f>
        <v>4921</v>
      </c>
      <c r="E15748" t="s">
        <v>4156</v>
      </c>
      <c r="F15748" t="s">
        <v>3546</v>
      </c>
      <c r="G15748" t="s">
        <v>47091</v>
      </c>
      <c r="H15748" t="s">
        <v>47126</v>
      </c>
      <c r="I15748" t="s">
        <v>47127</v>
      </c>
      <c r="J15748" t="s">
        <v>47128</v>
      </c>
      <c r="K15748" t="s">
        <v>47113</v>
      </c>
      <c r="L15748">
        <v>14.23</v>
      </c>
      <c r="M15748">
        <v>27</v>
      </c>
      <c r="N15748">
        <v>0</v>
      </c>
      <c r="O15748">
        <v>27</v>
      </c>
      <c r="P15748">
        <v>0</v>
      </c>
    </row>
    <row r="15749" spans="1:16" x14ac:dyDescent="0.25">
      <c r="A15749" t="s">
        <v>38417</v>
      </c>
      <c r="B15749" t="s">
        <v>10703</v>
      </c>
      <c r="C15749" t="s">
        <v>10704</v>
      </c>
      <c r="D15749" t="str">
        <f>"4922"</f>
        <v>4922</v>
      </c>
      <c r="E15749" t="s">
        <v>4175</v>
      </c>
      <c r="F15749" t="s">
        <v>3546</v>
      </c>
      <c r="G15749" t="s">
        <v>47091</v>
      </c>
      <c r="H15749" t="s">
        <v>47126</v>
      </c>
      <c r="I15749" t="s">
        <v>47127</v>
      </c>
      <c r="J15749" t="s">
        <v>47128</v>
      </c>
      <c r="K15749" t="s">
        <v>47113</v>
      </c>
      <c r="L15749">
        <v>14.23</v>
      </c>
      <c r="M15749">
        <v>27</v>
      </c>
      <c r="N15749">
        <v>0</v>
      </c>
      <c r="O15749">
        <v>27</v>
      </c>
      <c r="P15749">
        <v>0</v>
      </c>
    </row>
    <row r="15750" spans="1:16" x14ac:dyDescent="0.25">
      <c r="A15750" t="s">
        <v>38418</v>
      </c>
      <c r="B15750" t="s">
        <v>10703</v>
      </c>
      <c r="C15750" t="s">
        <v>10704</v>
      </c>
      <c r="D15750" t="str">
        <f>"6064"</f>
        <v>6064</v>
      </c>
      <c r="E15750" t="s">
        <v>87</v>
      </c>
      <c r="F15750" t="s">
        <v>3546</v>
      </c>
      <c r="G15750" t="s">
        <v>47091</v>
      </c>
      <c r="H15750" t="s">
        <v>47126</v>
      </c>
      <c r="I15750" t="s">
        <v>47127</v>
      </c>
      <c r="J15750" t="s">
        <v>47128</v>
      </c>
      <c r="K15750" t="s">
        <v>47113</v>
      </c>
      <c r="L15750">
        <v>14.23</v>
      </c>
      <c r="M15750">
        <v>27</v>
      </c>
      <c r="N15750">
        <v>0</v>
      </c>
      <c r="O15750">
        <v>27</v>
      </c>
      <c r="P15750">
        <v>0</v>
      </c>
    </row>
    <row r="15751" spans="1:16" x14ac:dyDescent="0.25">
      <c r="A15751" t="s">
        <v>38419</v>
      </c>
      <c r="B15751" t="s">
        <v>10703</v>
      </c>
      <c r="C15751" t="s">
        <v>10704</v>
      </c>
      <c r="D15751" t="str">
        <f>"6082"</f>
        <v>6082</v>
      </c>
      <c r="E15751" t="s">
        <v>2154</v>
      </c>
      <c r="F15751" t="s">
        <v>3546</v>
      </c>
      <c r="G15751" t="s">
        <v>47091</v>
      </c>
      <c r="H15751" t="s">
        <v>47126</v>
      </c>
      <c r="I15751" t="s">
        <v>47127</v>
      </c>
      <c r="J15751" t="s">
        <v>47128</v>
      </c>
      <c r="K15751" t="s">
        <v>47113</v>
      </c>
      <c r="L15751">
        <v>14.23</v>
      </c>
      <c r="M15751">
        <v>27</v>
      </c>
      <c r="N15751">
        <v>0</v>
      </c>
      <c r="O15751">
        <v>27</v>
      </c>
      <c r="P15751">
        <v>0</v>
      </c>
    </row>
    <row r="15752" spans="1:16" x14ac:dyDescent="0.25">
      <c r="A15752" t="s">
        <v>38420</v>
      </c>
      <c r="B15752" t="s">
        <v>10705</v>
      </c>
      <c r="C15752" t="s">
        <v>10706</v>
      </c>
      <c r="D15752" t="str">
        <f>"1106"</f>
        <v>1106</v>
      </c>
      <c r="E15752" t="s">
        <v>460</v>
      </c>
      <c r="F15752" t="s">
        <v>3546</v>
      </c>
      <c r="G15752" t="s">
        <v>47091</v>
      </c>
      <c r="H15752" t="s">
        <v>47126</v>
      </c>
      <c r="I15752" t="s">
        <v>47127</v>
      </c>
      <c r="J15752" t="s">
        <v>47128</v>
      </c>
      <c r="K15752" t="s">
        <v>47113</v>
      </c>
      <c r="L15752">
        <v>10.17</v>
      </c>
      <c r="M15752">
        <v>25</v>
      </c>
      <c r="N15752">
        <v>0</v>
      </c>
      <c r="O15752">
        <v>25</v>
      </c>
      <c r="P15752">
        <v>0</v>
      </c>
    </row>
    <row r="15753" spans="1:16" x14ac:dyDescent="0.25">
      <c r="A15753" t="s">
        <v>38421</v>
      </c>
      <c r="B15753" t="s">
        <v>10705</v>
      </c>
      <c r="C15753" t="s">
        <v>10706</v>
      </c>
      <c r="D15753" t="str">
        <f>"1369"</f>
        <v>1369</v>
      </c>
      <c r="E15753" t="s">
        <v>4163</v>
      </c>
      <c r="F15753" t="s">
        <v>3546</v>
      </c>
      <c r="G15753" t="s">
        <v>47091</v>
      </c>
      <c r="H15753" t="s">
        <v>47126</v>
      </c>
      <c r="I15753" t="s">
        <v>47127</v>
      </c>
      <c r="J15753" t="s">
        <v>47128</v>
      </c>
      <c r="K15753" t="s">
        <v>47113</v>
      </c>
      <c r="L15753">
        <v>10.17</v>
      </c>
      <c r="M15753">
        <v>25</v>
      </c>
      <c r="N15753">
        <v>0</v>
      </c>
      <c r="O15753">
        <v>25</v>
      </c>
      <c r="P15753">
        <v>0</v>
      </c>
    </row>
    <row r="15754" spans="1:16" x14ac:dyDescent="0.25">
      <c r="A15754" t="s">
        <v>38422</v>
      </c>
      <c r="B15754" t="s">
        <v>10705</v>
      </c>
      <c r="C15754" t="s">
        <v>10706</v>
      </c>
      <c r="D15754" t="str">
        <f>"1378"</f>
        <v>1378</v>
      </c>
      <c r="E15754" t="s">
        <v>388</v>
      </c>
      <c r="F15754" t="s">
        <v>3546</v>
      </c>
      <c r="G15754" t="s">
        <v>47091</v>
      </c>
      <c r="H15754" t="s">
        <v>47126</v>
      </c>
      <c r="I15754" t="s">
        <v>47127</v>
      </c>
      <c r="J15754" t="s">
        <v>47128</v>
      </c>
      <c r="K15754" t="s">
        <v>47113</v>
      </c>
      <c r="L15754">
        <v>10.17</v>
      </c>
      <c r="M15754">
        <v>25</v>
      </c>
      <c r="N15754">
        <v>0</v>
      </c>
      <c r="O15754">
        <v>25</v>
      </c>
      <c r="P15754">
        <v>0</v>
      </c>
    </row>
    <row r="15755" spans="1:16" x14ac:dyDescent="0.25">
      <c r="A15755" t="s">
        <v>38423</v>
      </c>
      <c r="B15755" t="s">
        <v>10705</v>
      </c>
      <c r="C15755" t="s">
        <v>10706</v>
      </c>
      <c r="D15755" t="str">
        <f>"1500"</f>
        <v>1500</v>
      </c>
      <c r="E15755" t="s">
        <v>4160</v>
      </c>
      <c r="F15755" t="s">
        <v>3546</v>
      </c>
      <c r="G15755" t="s">
        <v>47091</v>
      </c>
      <c r="H15755" t="s">
        <v>47126</v>
      </c>
      <c r="I15755" t="s">
        <v>47127</v>
      </c>
      <c r="J15755" t="s">
        <v>47128</v>
      </c>
      <c r="K15755" t="s">
        <v>47113</v>
      </c>
      <c r="L15755">
        <v>10.17</v>
      </c>
      <c r="M15755">
        <v>25</v>
      </c>
      <c r="N15755">
        <v>0</v>
      </c>
      <c r="O15755">
        <v>25</v>
      </c>
      <c r="P15755">
        <v>0</v>
      </c>
    </row>
    <row r="15756" spans="1:16" x14ac:dyDescent="0.25">
      <c r="A15756" t="s">
        <v>38424</v>
      </c>
      <c r="B15756" t="s">
        <v>10705</v>
      </c>
      <c r="C15756" t="s">
        <v>10706</v>
      </c>
      <c r="D15756" t="str">
        <f>"1700"</f>
        <v>1700</v>
      </c>
      <c r="E15756" t="s">
        <v>60</v>
      </c>
      <c r="F15756" t="s">
        <v>3546</v>
      </c>
      <c r="G15756" t="s">
        <v>47091</v>
      </c>
      <c r="H15756" t="s">
        <v>47126</v>
      </c>
      <c r="I15756" t="s">
        <v>47127</v>
      </c>
      <c r="J15756" t="s">
        <v>47128</v>
      </c>
      <c r="K15756" t="s">
        <v>47113</v>
      </c>
      <c r="L15756">
        <v>10.17</v>
      </c>
      <c r="M15756">
        <v>25</v>
      </c>
      <c r="N15756">
        <v>0</v>
      </c>
      <c r="O15756">
        <v>25</v>
      </c>
      <c r="P15756">
        <v>0</v>
      </c>
    </row>
    <row r="15757" spans="1:16" x14ac:dyDescent="0.25">
      <c r="A15757" t="s">
        <v>38425</v>
      </c>
      <c r="B15757" t="s">
        <v>10705</v>
      </c>
      <c r="C15757" t="s">
        <v>10706</v>
      </c>
      <c r="D15757" t="str">
        <f>"1701"</f>
        <v>1701</v>
      </c>
      <c r="E15757" t="s">
        <v>55</v>
      </c>
      <c r="F15757" t="s">
        <v>3546</v>
      </c>
      <c r="G15757" t="s">
        <v>47091</v>
      </c>
      <c r="H15757" t="s">
        <v>47126</v>
      </c>
      <c r="I15757" t="s">
        <v>47127</v>
      </c>
      <c r="J15757" t="s">
        <v>47128</v>
      </c>
      <c r="K15757" t="s">
        <v>47113</v>
      </c>
      <c r="L15757">
        <v>10.17</v>
      </c>
      <c r="M15757">
        <v>25</v>
      </c>
      <c r="N15757">
        <v>0</v>
      </c>
      <c r="O15757">
        <v>25</v>
      </c>
      <c r="P15757">
        <v>0</v>
      </c>
    </row>
    <row r="15758" spans="1:16" x14ac:dyDescent="0.25">
      <c r="A15758" t="s">
        <v>38426</v>
      </c>
      <c r="B15758" t="s">
        <v>10705</v>
      </c>
      <c r="C15758" t="s">
        <v>10706</v>
      </c>
      <c r="D15758" t="str">
        <f>"6064"</f>
        <v>6064</v>
      </c>
      <c r="E15758" t="s">
        <v>87</v>
      </c>
      <c r="F15758" t="s">
        <v>3546</v>
      </c>
      <c r="G15758" t="s">
        <v>47091</v>
      </c>
      <c r="H15758" t="s">
        <v>47126</v>
      </c>
      <c r="I15758" t="s">
        <v>47127</v>
      </c>
      <c r="J15758" t="s">
        <v>47128</v>
      </c>
      <c r="K15758" t="s">
        <v>47113</v>
      </c>
      <c r="L15758">
        <v>10.17</v>
      </c>
      <c r="M15758">
        <v>25</v>
      </c>
      <c r="N15758">
        <v>0</v>
      </c>
      <c r="O15758">
        <v>25</v>
      </c>
      <c r="P15758">
        <v>0</v>
      </c>
    </row>
    <row r="15759" spans="1:16" x14ac:dyDescent="0.25">
      <c r="A15759" t="s">
        <v>38427</v>
      </c>
      <c r="B15759" t="s">
        <v>10705</v>
      </c>
      <c r="C15759" t="s">
        <v>10706</v>
      </c>
      <c r="D15759" t="str">
        <f>"6082"</f>
        <v>6082</v>
      </c>
      <c r="E15759" t="s">
        <v>2154</v>
      </c>
      <c r="F15759" t="s">
        <v>3546</v>
      </c>
      <c r="G15759" t="s">
        <v>47091</v>
      </c>
      <c r="H15759" t="s">
        <v>47126</v>
      </c>
      <c r="I15759" t="s">
        <v>47127</v>
      </c>
      <c r="J15759" t="s">
        <v>47128</v>
      </c>
      <c r="K15759" t="s">
        <v>47113</v>
      </c>
      <c r="L15759">
        <v>10.17</v>
      </c>
      <c r="M15759">
        <v>25</v>
      </c>
      <c r="N15759">
        <v>0</v>
      </c>
      <c r="O15759">
        <v>25</v>
      </c>
      <c r="P15759">
        <v>0</v>
      </c>
    </row>
    <row r="15760" spans="1:16" x14ac:dyDescent="0.25">
      <c r="A15760" t="s">
        <v>38428</v>
      </c>
      <c r="B15760" t="s">
        <v>10707</v>
      </c>
      <c r="C15760" t="s">
        <v>10708</v>
      </c>
      <c r="D15760" t="str">
        <f>"1106"</f>
        <v>1106</v>
      </c>
      <c r="E15760" t="s">
        <v>460</v>
      </c>
      <c r="F15760" t="s">
        <v>3546</v>
      </c>
      <c r="G15760" t="s">
        <v>47091</v>
      </c>
      <c r="H15760" t="s">
        <v>47126</v>
      </c>
      <c r="I15760" t="s">
        <v>47127</v>
      </c>
      <c r="J15760" t="s">
        <v>47128</v>
      </c>
      <c r="K15760" t="s">
        <v>47113</v>
      </c>
      <c r="L15760">
        <v>15.19</v>
      </c>
      <c r="M15760">
        <v>30</v>
      </c>
      <c r="N15760">
        <v>0</v>
      </c>
      <c r="O15760">
        <v>30</v>
      </c>
      <c r="P15760">
        <v>0</v>
      </c>
    </row>
    <row r="15761" spans="1:16" x14ac:dyDescent="0.25">
      <c r="A15761" t="s">
        <v>38429</v>
      </c>
      <c r="B15761" t="s">
        <v>10707</v>
      </c>
      <c r="C15761" t="s">
        <v>10708</v>
      </c>
      <c r="D15761" t="str">
        <f>"1378"</f>
        <v>1378</v>
      </c>
      <c r="E15761" t="s">
        <v>388</v>
      </c>
      <c r="F15761" t="s">
        <v>3546</v>
      </c>
      <c r="G15761" t="s">
        <v>47091</v>
      </c>
      <c r="H15761" t="s">
        <v>47126</v>
      </c>
      <c r="I15761" t="s">
        <v>47127</v>
      </c>
      <c r="J15761" t="s">
        <v>47128</v>
      </c>
      <c r="K15761" t="s">
        <v>47113</v>
      </c>
      <c r="L15761">
        <v>15.19</v>
      </c>
      <c r="M15761">
        <v>30</v>
      </c>
      <c r="N15761">
        <v>0</v>
      </c>
      <c r="O15761">
        <v>30</v>
      </c>
      <c r="P15761">
        <v>0</v>
      </c>
    </row>
    <row r="15762" spans="1:16" x14ac:dyDescent="0.25">
      <c r="A15762" t="s">
        <v>38430</v>
      </c>
      <c r="B15762" t="s">
        <v>10707</v>
      </c>
      <c r="C15762" t="s">
        <v>10708</v>
      </c>
      <c r="D15762" t="str">
        <f>"1403"</f>
        <v>1403</v>
      </c>
      <c r="E15762" t="s">
        <v>224</v>
      </c>
      <c r="F15762" t="s">
        <v>3546</v>
      </c>
      <c r="G15762" t="s">
        <v>47091</v>
      </c>
      <c r="H15762" t="s">
        <v>47126</v>
      </c>
      <c r="I15762" t="s">
        <v>47127</v>
      </c>
      <c r="J15762" t="s">
        <v>47128</v>
      </c>
      <c r="K15762" t="s">
        <v>47113</v>
      </c>
      <c r="L15762">
        <v>15.19</v>
      </c>
      <c r="M15762">
        <v>30</v>
      </c>
      <c r="N15762">
        <v>0</v>
      </c>
      <c r="O15762">
        <v>30</v>
      </c>
      <c r="P15762">
        <v>0</v>
      </c>
    </row>
    <row r="15763" spans="1:16" x14ac:dyDescent="0.25">
      <c r="A15763" t="s">
        <v>38431</v>
      </c>
      <c r="B15763" t="s">
        <v>10707</v>
      </c>
      <c r="C15763" t="s">
        <v>10708</v>
      </c>
      <c r="D15763" t="str">
        <f>"1700"</f>
        <v>1700</v>
      </c>
      <c r="E15763" t="s">
        <v>60</v>
      </c>
      <c r="F15763" t="s">
        <v>3546</v>
      </c>
      <c r="G15763" t="s">
        <v>47091</v>
      </c>
      <c r="H15763" t="s">
        <v>47126</v>
      </c>
      <c r="I15763" t="s">
        <v>47127</v>
      </c>
      <c r="J15763" t="s">
        <v>47128</v>
      </c>
      <c r="K15763" t="s">
        <v>47113</v>
      </c>
      <c r="L15763">
        <v>15.19</v>
      </c>
      <c r="M15763">
        <v>30</v>
      </c>
      <c r="N15763">
        <v>0</v>
      </c>
      <c r="O15763">
        <v>30</v>
      </c>
      <c r="P15763">
        <v>0</v>
      </c>
    </row>
    <row r="15764" spans="1:16" x14ac:dyDescent="0.25">
      <c r="A15764" t="s">
        <v>38432</v>
      </c>
      <c r="B15764" t="s">
        <v>10707</v>
      </c>
      <c r="C15764" t="s">
        <v>10708</v>
      </c>
      <c r="D15764" t="str">
        <f>"3544"</f>
        <v>3544</v>
      </c>
      <c r="E15764" t="s">
        <v>4174</v>
      </c>
      <c r="F15764" t="s">
        <v>3546</v>
      </c>
      <c r="G15764" t="s">
        <v>47091</v>
      </c>
      <c r="H15764" t="s">
        <v>47126</v>
      </c>
      <c r="I15764" t="s">
        <v>47127</v>
      </c>
      <c r="J15764" t="s">
        <v>47128</v>
      </c>
      <c r="K15764" t="s">
        <v>47113</v>
      </c>
      <c r="L15764">
        <v>15.19</v>
      </c>
      <c r="M15764">
        <v>30</v>
      </c>
      <c r="N15764">
        <v>0</v>
      </c>
      <c r="O15764">
        <v>30</v>
      </c>
      <c r="P15764">
        <v>0</v>
      </c>
    </row>
    <row r="15765" spans="1:16" x14ac:dyDescent="0.25">
      <c r="A15765" t="s">
        <v>38433</v>
      </c>
      <c r="B15765" t="s">
        <v>10707</v>
      </c>
      <c r="C15765" t="s">
        <v>10708</v>
      </c>
      <c r="D15765" t="str">
        <f>"4921"</f>
        <v>4921</v>
      </c>
      <c r="E15765" t="s">
        <v>4156</v>
      </c>
      <c r="F15765" t="s">
        <v>3546</v>
      </c>
      <c r="G15765" t="s">
        <v>47091</v>
      </c>
      <c r="H15765" t="s">
        <v>47126</v>
      </c>
      <c r="I15765" t="s">
        <v>47127</v>
      </c>
      <c r="J15765" t="s">
        <v>47128</v>
      </c>
      <c r="K15765" t="s">
        <v>47113</v>
      </c>
      <c r="L15765">
        <v>15.19</v>
      </c>
      <c r="M15765">
        <v>30</v>
      </c>
      <c r="N15765">
        <v>0</v>
      </c>
      <c r="O15765">
        <v>30</v>
      </c>
      <c r="P15765">
        <v>0</v>
      </c>
    </row>
    <row r="15766" spans="1:16" x14ac:dyDescent="0.25">
      <c r="A15766" t="s">
        <v>38434</v>
      </c>
      <c r="B15766" t="s">
        <v>10707</v>
      </c>
      <c r="C15766" t="s">
        <v>10708</v>
      </c>
      <c r="D15766" t="str">
        <f>"4922"</f>
        <v>4922</v>
      </c>
      <c r="E15766" t="s">
        <v>4175</v>
      </c>
      <c r="F15766" t="s">
        <v>3546</v>
      </c>
      <c r="G15766" t="s">
        <v>47091</v>
      </c>
      <c r="H15766" t="s">
        <v>47126</v>
      </c>
      <c r="I15766" t="s">
        <v>47127</v>
      </c>
      <c r="J15766" t="s">
        <v>47128</v>
      </c>
      <c r="K15766" t="s">
        <v>47113</v>
      </c>
      <c r="L15766">
        <v>15.19</v>
      </c>
      <c r="M15766">
        <v>30</v>
      </c>
      <c r="N15766">
        <v>0</v>
      </c>
      <c r="O15766">
        <v>30</v>
      </c>
      <c r="P15766">
        <v>0</v>
      </c>
    </row>
    <row r="15767" spans="1:16" x14ac:dyDescent="0.25">
      <c r="A15767" t="s">
        <v>38435</v>
      </c>
      <c r="B15767" t="s">
        <v>10707</v>
      </c>
      <c r="C15767" t="s">
        <v>10708</v>
      </c>
      <c r="D15767" t="str">
        <f>"6064"</f>
        <v>6064</v>
      </c>
      <c r="E15767" t="s">
        <v>87</v>
      </c>
      <c r="F15767" t="s">
        <v>3546</v>
      </c>
      <c r="G15767" t="s">
        <v>47091</v>
      </c>
      <c r="H15767" t="s">
        <v>47126</v>
      </c>
      <c r="I15767" t="s">
        <v>47127</v>
      </c>
      <c r="J15767" t="s">
        <v>47128</v>
      </c>
      <c r="K15767" t="s">
        <v>47113</v>
      </c>
      <c r="L15767">
        <v>15.19</v>
      </c>
      <c r="M15767">
        <v>30</v>
      </c>
      <c r="N15767">
        <v>0</v>
      </c>
      <c r="O15767">
        <v>30</v>
      </c>
      <c r="P15767">
        <v>0</v>
      </c>
    </row>
    <row r="15768" spans="1:16" x14ac:dyDescent="0.25">
      <c r="A15768" t="s">
        <v>38436</v>
      </c>
      <c r="B15768" t="s">
        <v>10707</v>
      </c>
      <c r="C15768" t="s">
        <v>10708</v>
      </c>
      <c r="D15768" t="str">
        <f>"6082"</f>
        <v>6082</v>
      </c>
      <c r="E15768" t="s">
        <v>2154</v>
      </c>
      <c r="F15768" t="s">
        <v>3546</v>
      </c>
      <c r="G15768" t="s">
        <v>47091</v>
      </c>
      <c r="H15768" t="s">
        <v>47126</v>
      </c>
      <c r="I15768" t="s">
        <v>47127</v>
      </c>
      <c r="J15768" t="s">
        <v>47128</v>
      </c>
      <c r="K15768" t="s">
        <v>47113</v>
      </c>
      <c r="L15768">
        <v>15.19</v>
      </c>
      <c r="M15768">
        <v>30</v>
      </c>
      <c r="N15768">
        <v>0</v>
      </c>
      <c r="O15768">
        <v>30</v>
      </c>
      <c r="P15768">
        <v>0</v>
      </c>
    </row>
    <row r="15769" spans="1:16" x14ac:dyDescent="0.25">
      <c r="A15769" t="s">
        <v>38437</v>
      </c>
      <c r="B15769" t="s">
        <v>10709</v>
      </c>
      <c r="C15769" t="s">
        <v>10710</v>
      </c>
      <c r="D15769" t="s">
        <v>4056</v>
      </c>
      <c r="E15769" t="s">
        <v>4057</v>
      </c>
      <c r="F15769" t="s">
        <v>3546</v>
      </c>
      <c r="G15769" t="s">
        <v>47091</v>
      </c>
      <c r="H15769" t="s">
        <v>47153</v>
      </c>
      <c r="I15769" t="s">
        <v>47176</v>
      </c>
      <c r="J15769" t="s">
        <v>47177</v>
      </c>
      <c r="K15769" t="s">
        <v>47113</v>
      </c>
      <c r="L15769">
        <v>11.11</v>
      </c>
      <c r="M15769">
        <v>25</v>
      </c>
      <c r="N15769">
        <v>0</v>
      </c>
      <c r="O15769">
        <v>25</v>
      </c>
      <c r="P15769">
        <v>0</v>
      </c>
    </row>
    <row r="15770" spans="1:16" x14ac:dyDescent="0.25">
      <c r="A15770" t="s">
        <v>38438</v>
      </c>
      <c r="B15770" t="s">
        <v>10711</v>
      </c>
      <c r="C15770" t="s">
        <v>10712</v>
      </c>
      <c r="D15770" t="str">
        <f>"1106"</f>
        <v>1106</v>
      </c>
      <c r="E15770" t="s">
        <v>460</v>
      </c>
      <c r="F15770" t="s">
        <v>3546</v>
      </c>
      <c r="G15770" t="s">
        <v>47092</v>
      </c>
      <c r="H15770" t="s">
        <v>47126</v>
      </c>
      <c r="I15770" t="s">
        <v>47127</v>
      </c>
      <c r="J15770" t="s">
        <v>47128</v>
      </c>
      <c r="K15770" t="s">
        <v>47113</v>
      </c>
      <c r="L15770">
        <v>11.36</v>
      </c>
      <c r="M15770">
        <v>28</v>
      </c>
      <c r="N15770">
        <v>0</v>
      </c>
      <c r="O15770">
        <v>28</v>
      </c>
      <c r="P15770">
        <v>0</v>
      </c>
    </row>
    <row r="15771" spans="1:16" x14ac:dyDescent="0.25">
      <c r="A15771" t="s">
        <v>38439</v>
      </c>
      <c r="B15771" t="s">
        <v>10711</v>
      </c>
      <c r="C15771" t="s">
        <v>10712</v>
      </c>
      <c r="D15771" t="str">
        <f>"1303"</f>
        <v>1303</v>
      </c>
      <c r="E15771" t="s">
        <v>4630</v>
      </c>
      <c r="F15771" t="s">
        <v>3546</v>
      </c>
      <c r="G15771" t="s">
        <v>47092</v>
      </c>
      <c r="H15771" t="s">
        <v>47126</v>
      </c>
      <c r="I15771" t="s">
        <v>47127</v>
      </c>
      <c r="J15771" t="s">
        <v>47128</v>
      </c>
      <c r="K15771" t="s">
        <v>47113</v>
      </c>
      <c r="L15771">
        <v>11.36</v>
      </c>
      <c r="M15771">
        <v>28</v>
      </c>
      <c r="N15771">
        <v>0</v>
      </c>
      <c r="O15771">
        <v>28</v>
      </c>
      <c r="P15771">
        <v>0</v>
      </c>
    </row>
    <row r="15772" spans="1:16" x14ac:dyDescent="0.25">
      <c r="A15772" t="s">
        <v>38440</v>
      </c>
      <c r="B15772" t="s">
        <v>10711</v>
      </c>
      <c r="C15772" t="s">
        <v>10712</v>
      </c>
      <c r="D15772" t="str">
        <f>"1403"</f>
        <v>1403</v>
      </c>
      <c r="E15772" t="s">
        <v>224</v>
      </c>
      <c r="F15772" t="s">
        <v>3670</v>
      </c>
      <c r="G15772" t="s">
        <v>47092</v>
      </c>
      <c r="H15772" t="s">
        <v>47126</v>
      </c>
      <c r="I15772" t="s">
        <v>47127</v>
      </c>
      <c r="J15772" t="s">
        <v>47128</v>
      </c>
      <c r="K15772" t="s">
        <v>47113</v>
      </c>
      <c r="L15772">
        <v>11.36</v>
      </c>
      <c r="M15772">
        <v>28</v>
      </c>
      <c r="N15772">
        <v>0</v>
      </c>
      <c r="O15772">
        <v>28</v>
      </c>
      <c r="P15772">
        <v>0</v>
      </c>
    </row>
    <row r="15773" spans="1:16" x14ac:dyDescent="0.25">
      <c r="A15773" t="s">
        <v>38441</v>
      </c>
      <c r="B15773" t="s">
        <v>10711</v>
      </c>
      <c r="C15773" t="s">
        <v>10712</v>
      </c>
      <c r="D15773" t="str">
        <f>"1700"</f>
        <v>1700</v>
      </c>
      <c r="E15773" t="s">
        <v>60</v>
      </c>
      <c r="F15773" t="s">
        <v>3546</v>
      </c>
      <c r="G15773" t="s">
        <v>47092</v>
      </c>
      <c r="H15773" t="s">
        <v>47126</v>
      </c>
      <c r="I15773" t="s">
        <v>47127</v>
      </c>
      <c r="J15773" t="s">
        <v>47128</v>
      </c>
      <c r="K15773" t="s">
        <v>47113</v>
      </c>
      <c r="L15773">
        <v>11.36</v>
      </c>
      <c r="M15773">
        <v>28</v>
      </c>
      <c r="N15773">
        <v>0</v>
      </c>
      <c r="O15773">
        <v>28</v>
      </c>
      <c r="P15773">
        <v>0</v>
      </c>
    </row>
    <row r="15774" spans="1:16" x14ac:dyDescent="0.25">
      <c r="A15774" t="s">
        <v>38442</v>
      </c>
      <c r="B15774" t="s">
        <v>10711</v>
      </c>
      <c r="C15774" t="s">
        <v>10712</v>
      </c>
      <c r="D15774" t="str">
        <f>"4753"</f>
        <v>4753</v>
      </c>
      <c r="E15774" t="s">
        <v>3755</v>
      </c>
      <c r="F15774" t="s">
        <v>3546</v>
      </c>
      <c r="G15774" t="s">
        <v>47092</v>
      </c>
      <c r="H15774" t="s">
        <v>47126</v>
      </c>
      <c r="I15774" t="s">
        <v>47127</v>
      </c>
      <c r="J15774" t="s">
        <v>47128</v>
      </c>
      <c r="K15774" t="s">
        <v>47113</v>
      </c>
      <c r="L15774">
        <v>11.36</v>
      </c>
      <c r="M15774">
        <v>28</v>
      </c>
      <c r="N15774">
        <v>0</v>
      </c>
      <c r="O15774">
        <v>28</v>
      </c>
      <c r="P15774">
        <v>0</v>
      </c>
    </row>
    <row r="15775" spans="1:16" x14ac:dyDescent="0.25">
      <c r="A15775" t="s">
        <v>38443</v>
      </c>
      <c r="B15775" t="s">
        <v>10711</v>
      </c>
      <c r="C15775" t="s">
        <v>10712</v>
      </c>
      <c r="D15775" t="str">
        <f>"6500"</f>
        <v>6500</v>
      </c>
      <c r="E15775" t="s">
        <v>151</v>
      </c>
      <c r="F15775" t="s">
        <v>3546</v>
      </c>
      <c r="G15775" t="s">
        <v>47092</v>
      </c>
      <c r="H15775" t="s">
        <v>47126</v>
      </c>
      <c r="I15775" t="s">
        <v>47127</v>
      </c>
      <c r="J15775" t="s">
        <v>47128</v>
      </c>
      <c r="K15775" t="s">
        <v>47113</v>
      </c>
      <c r="L15775">
        <v>11.36</v>
      </c>
      <c r="M15775">
        <v>28</v>
      </c>
      <c r="N15775">
        <v>0</v>
      </c>
      <c r="O15775">
        <v>28</v>
      </c>
      <c r="P15775">
        <v>0</v>
      </c>
    </row>
    <row r="15776" spans="1:16" x14ac:dyDescent="0.25">
      <c r="A15776" t="s">
        <v>38444</v>
      </c>
      <c r="B15776" t="s">
        <v>10711</v>
      </c>
      <c r="C15776" t="s">
        <v>10712</v>
      </c>
      <c r="D15776" t="str">
        <f>"8039"</f>
        <v>8039</v>
      </c>
      <c r="E15776" t="s">
        <v>4631</v>
      </c>
      <c r="F15776" t="s">
        <v>3670</v>
      </c>
      <c r="G15776" t="s">
        <v>47092</v>
      </c>
      <c r="H15776" t="s">
        <v>47126</v>
      </c>
      <c r="I15776" t="s">
        <v>47127</v>
      </c>
      <c r="J15776" t="s">
        <v>47128</v>
      </c>
      <c r="K15776" t="s">
        <v>47113</v>
      </c>
      <c r="L15776">
        <v>11.36</v>
      </c>
      <c r="M15776">
        <v>28</v>
      </c>
      <c r="N15776">
        <v>0</v>
      </c>
      <c r="O15776">
        <v>28</v>
      </c>
      <c r="P15776">
        <v>0</v>
      </c>
    </row>
    <row r="15777" spans="1:16" x14ac:dyDescent="0.25">
      <c r="A15777" t="s">
        <v>38445</v>
      </c>
      <c r="B15777" t="s">
        <v>10713</v>
      </c>
      <c r="C15777" t="s">
        <v>10714</v>
      </c>
      <c r="D15777" t="str">
        <f>"1377"</f>
        <v>1377</v>
      </c>
      <c r="E15777" t="s">
        <v>74</v>
      </c>
      <c r="F15777" t="s">
        <v>3750</v>
      </c>
      <c r="G15777" t="s">
        <v>47091</v>
      </c>
      <c r="H15777" t="s">
        <v>47126</v>
      </c>
      <c r="I15777" t="s">
        <v>47127</v>
      </c>
      <c r="J15777" t="s">
        <v>47128</v>
      </c>
      <c r="K15777" t="s">
        <v>47113</v>
      </c>
      <c r="L15777">
        <v>16.12</v>
      </c>
      <c r="M15777">
        <v>35</v>
      </c>
      <c r="N15777">
        <v>0</v>
      </c>
      <c r="O15777">
        <v>35</v>
      </c>
      <c r="P15777">
        <v>0</v>
      </c>
    </row>
    <row r="15778" spans="1:16" x14ac:dyDescent="0.25">
      <c r="A15778" t="s">
        <v>38446</v>
      </c>
      <c r="B15778" t="s">
        <v>10713</v>
      </c>
      <c r="C15778" t="s">
        <v>10714</v>
      </c>
      <c r="D15778" t="str">
        <f>"1403"</f>
        <v>1403</v>
      </c>
      <c r="E15778" t="s">
        <v>224</v>
      </c>
      <c r="F15778" t="s">
        <v>3750</v>
      </c>
      <c r="G15778" t="s">
        <v>47091</v>
      </c>
      <c r="H15778" t="s">
        <v>47126</v>
      </c>
      <c r="I15778" t="s">
        <v>47127</v>
      </c>
      <c r="J15778" t="s">
        <v>47128</v>
      </c>
      <c r="K15778" t="s">
        <v>47113</v>
      </c>
      <c r="L15778">
        <v>16.12</v>
      </c>
      <c r="M15778">
        <v>35</v>
      </c>
      <c r="N15778">
        <v>0</v>
      </c>
      <c r="O15778">
        <v>35</v>
      </c>
      <c r="P15778">
        <v>0</v>
      </c>
    </row>
    <row r="15779" spans="1:16" x14ac:dyDescent="0.25">
      <c r="A15779" t="s">
        <v>38447</v>
      </c>
      <c r="B15779" t="s">
        <v>10713</v>
      </c>
      <c r="C15779" t="s">
        <v>10714</v>
      </c>
      <c r="D15779" t="str">
        <f>"6082"</f>
        <v>6082</v>
      </c>
      <c r="E15779" t="s">
        <v>2154</v>
      </c>
      <c r="F15779" t="s">
        <v>3750</v>
      </c>
      <c r="G15779" t="s">
        <v>47091</v>
      </c>
      <c r="H15779" t="s">
        <v>47126</v>
      </c>
      <c r="I15779" t="s">
        <v>47127</v>
      </c>
      <c r="J15779" t="s">
        <v>47128</v>
      </c>
      <c r="K15779" t="s">
        <v>47113</v>
      </c>
      <c r="L15779">
        <v>16.12</v>
      </c>
      <c r="M15779">
        <v>35</v>
      </c>
      <c r="N15779">
        <v>0</v>
      </c>
      <c r="O15779">
        <v>35</v>
      </c>
      <c r="P15779">
        <v>0</v>
      </c>
    </row>
    <row r="15780" spans="1:16" x14ac:dyDescent="0.25">
      <c r="A15780" t="s">
        <v>38448</v>
      </c>
      <c r="B15780" t="s">
        <v>10715</v>
      </c>
      <c r="C15780" t="s">
        <v>10716</v>
      </c>
      <c r="D15780" t="s">
        <v>10717</v>
      </c>
      <c r="E15780" t="s">
        <v>10718</v>
      </c>
      <c r="F15780" t="s">
        <v>3546</v>
      </c>
      <c r="G15780" t="s">
        <v>47101</v>
      </c>
      <c r="H15780" t="s">
        <v>47153</v>
      </c>
      <c r="I15780" t="s">
        <v>47132</v>
      </c>
      <c r="J15780" t="s">
        <v>47133</v>
      </c>
      <c r="K15780" t="s">
        <v>47113</v>
      </c>
      <c r="L15780">
        <v>58.53</v>
      </c>
      <c r="M15780">
        <v>88</v>
      </c>
      <c r="N15780">
        <v>0</v>
      </c>
      <c r="O15780">
        <v>88</v>
      </c>
      <c r="P15780">
        <v>0</v>
      </c>
    </row>
    <row r="15781" spans="1:16" x14ac:dyDescent="0.25">
      <c r="A15781" t="s">
        <v>38449</v>
      </c>
      <c r="B15781" t="s">
        <v>10719</v>
      </c>
      <c r="C15781" t="s">
        <v>10720</v>
      </c>
      <c r="D15781" t="s">
        <v>10721</v>
      </c>
      <c r="E15781" t="s">
        <v>10722</v>
      </c>
      <c r="F15781" t="s">
        <v>3546</v>
      </c>
      <c r="G15781" t="s">
        <v>47101</v>
      </c>
      <c r="H15781" t="s">
        <v>47153</v>
      </c>
      <c r="I15781" t="s">
        <v>47132</v>
      </c>
      <c r="J15781" t="s">
        <v>47133</v>
      </c>
      <c r="K15781" t="s">
        <v>47113</v>
      </c>
      <c r="L15781">
        <v>61</v>
      </c>
      <c r="M15781">
        <v>94</v>
      </c>
      <c r="N15781">
        <v>0</v>
      </c>
      <c r="O15781">
        <v>94</v>
      </c>
      <c r="P15781">
        <v>0</v>
      </c>
    </row>
    <row r="15782" spans="1:16" x14ac:dyDescent="0.25">
      <c r="A15782" t="s">
        <v>38450</v>
      </c>
      <c r="B15782" t="s">
        <v>10719</v>
      </c>
      <c r="C15782" t="s">
        <v>10720</v>
      </c>
      <c r="D15782" t="s">
        <v>10723</v>
      </c>
      <c r="E15782" t="s">
        <v>10724</v>
      </c>
      <c r="F15782" t="s">
        <v>3546</v>
      </c>
      <c r="G15782" t="s">
        <v>47101</v>
      </c>
      <c r="H15782" t="s">
        <v>47153</v>
      </c>
      <c r="I15782" t="s">
        <v>47132</v>
      </c>
      <c r="J15782" t="s">
        <v>47133</v>
      </c>
      <c r="K15782" t="s">
        <v>47113</v>
      </c>
      <c r="L15782">
        <v>62.18</v>
      </c>
      <c r="M15782">
        <v>96</v>
      </c>
      <c r="N15782">
        <v>0</v>
      </c>
      <c r="O15782">
        <v>96</v>
      </c>
      <c r="P15782">
        <v>0</v>
      </c>
    </row>
    <row r="15783" spans="1:16" x14ac:dyDescent="0.25">
      <c r="A15783" t="s">
        <v>38451</v>
      </c>
      <c r="B15783" t="s">
        <v>10725</v>
      </c>
      <c r="C15783" t="s">
        <v>10726</v>
      </c>
      <c r="D15783" t="s">
        <v>10727</v>
      </c>
      <c r="E15783" t="s">
        <v>10728</v>
      </c>
      <c r="F15783" t="s">
        <v>3546</v>
      </c>
      <c r="G15783" t="s">
        <v>47101</v>
      </c>
      <c r="H15783" t="s">
        <v>47153</v>
      </c>
      <c r="I15783" t="s">
        <v>47132</v>
      </c>
      <c r="J15783" t="s">
        <v>47133</v>
      </c>
      <c r="K15783" t="s">
        <v>47113</v>
      </c>
      <c r="L15783">
        <v>65.69</v>
      </c>
      <c r="M15783">
        <v>100</v>
      </c>
      <c r="N15783">
        <v>0</v>
      </c>
      <c r="O15783">
        <v>100</v>
      </c>
      <c r="P15783">
        <v>0</v>
      </c>
    </row>
    <row r="15784" spans="1:16" x14ac:dyDescent="0.25">
      <c r="A15784" t="s">
        <v>38452</v>
      </c>
      <c r="B15784" t="s">
        <v>10729</v>
      </c>
      <c r="C15784" t="s">
        <v>10726</v>
      </c>
      <c r="D15784" t="s">
        <v>10730</v>
      </c>
      <c r="E15784" t="s">
        <v>10731</v>
      </c>
      <c r="F15784" t="s">
        <v>3546</v>
      </c>
      <c r="G15784" t="s">
        <v>47101</v>
      </c>
      <c r="H15784" t="s">
        <v>47153</v>
      </c>
      <c r="I15784" t="s">
        <v>47132</v>
      </c>
      <c r="J15784" t="s">
        <v>47133</v>
      </c>
      <c r="K15784" t="s">
        <v>47113</v>
      </c>
      <c r="L15784">
        <v>64.52</v>
      </c>
      <c r="M15784">
        <v>95</v>
      </c>
      <c r="N15784">
        <v>0</v>
      </c>
      <c r="O15784">
        <v>95</v>
      </c>
      <c r="P15784">
        <v>0</v>
      </c>
    </row>
    <row r="15785" spans="1:16" x14ac:dyDescent="0.25">
      <c r="A15785" t="s">
        <v>38453</v>
      </c>
      <c r="B15785" t="s">
        <v>10732</v>
      </c>
      <c r="C15785" t="s">
        <v>10300</v>
      </c>
      <c r="D15785" t="s">
        <v>10292</v>
      </c>
      <c r="E15785" t="s">
        <v>10293</v>
      </c>
      <c r="F15785" t="s">
        <v>2068</v>
      </c>
      <c r="G15785" t="s">
        <v>47093</v>
      </c>
      <c r="H15785" t="s">
        <v>47153</v>
      </c>
      <c r="I15785" t="s">
        <v>47132</v>
      </c>
      <c r="J15785" t="s">
        <v>47133</v>
      </c>
      <c r="K15785" t="s">
        <v>47113</v>
      </c>
      <c r="L15785">
        <v>43.83</v>
      </c>
      <c r="M15785">
        <v>82</v>
      </c>
      <c r="N15785">
        <v>0</v>
      </c>
      <c r="O15785">
        <v>82</v>
      </c>
      <c r="P15785">
        <v>0</v>
      </c>
    </row>
    <row r="15786" spans="1:16" x14ac:dyDescent="0.25">
      <c r="A15786" t="s">
        <v>38454</v>
      </c>
      <c r="B15786" t="s">
        <v>10733</v>
      </c>
      <c r="C15786" t="s">
        <v>10734</v>
      </c>
      <c r="D15786" t="str">
        <f>"3000"</f>
        <v>3000</v>
      </c>
      <c r="E15786" t="s">
        <v>4319</v>
      </c>
      <c r="F15786" t="s">
        <v>0</v>
      </c>
      <c r="G15786" t="s">
        <v>47091</v>
      </c>
      <c r="H15786" t="s">
        <v>47126</v>
      </c>
      <c r="I15786" t="s">
        <v>47127</v>
      </c>
      <c r="J15786" t="s">
        <v>47128</v>
      </c>
      <c r="K15786" t="s">
        <v>47113</v>
      </c>
      <c r="L15786">
        <v>14.36</v>
      </c>
      <c r="M15786">
        <v>30</v>
      </c>
      <c r="N15786">
        <v>0</v>
      </c>
      <c r="O15786">
        <v>30</v>
      </c>
      <c r="P15786">
        <v>0</v>
      </c>
    </row>
    <row r="15787" spans="1:16" x14ac:dyDescent="0.25">
      <c r="A15787" t="s">
        <v>38455</v>
      </c>
      <c r="B15787" t="s">
        <v>10733</v>
      </c>
      <c r="C15787" t="s">
        <v>10734</v>
      </c>
      <c r="D15787" t="str">
        <f>"4000"</f>
        <v>4000</v>
      </c>
      <c r="E15787" t="s">
        <v>2222</v>
      </c>
      <c r="F15787" t="s">
        <v>0</v>
      </c>
      <c r="G15787" t="s">
        <v>47091</v>
      </c>
      <c r="H15787" t="s">
        <v>47126</v>
      </c>
      <c r="I15787" t="s">
        <v>47127</v>
      </c>
      <c r="J15787" t="s">
        <v>47128</v>
      </c>
      <c r="K15787" t="s">
        <v>47113</v>
      </c>
      <c r="L15787">
        <v>14.36</v>
      </c>
      <c r="M15787">
        <v>30</v>
      </c>
      <c r="N15787">
        <v>0</v>
      </c>
      <c r="O15787">
        <v>30</v>
      </c>
      <c r="P15787">
        <v>0</v>
      </c>
    </row>
    <row r="15788" spans="1:16" x14ac:dyDescent="0.25">
      <c r="A15788" t="s">
        <v>38456</v>
      </c>
      <c r="B15788" t="s">
        <v>10733</v>
      </c>
      <c r="C15788" t="s">
        <v>10734</v>
      </c>
      <c r="D15788" t="str">
        <f>"4643"</f>
        <v>4643</v>
      </c>
      <c r="E15788" t="s">
        <v>205</v>
      </c>
      <c r="F15788" t="s">
        <v>0</v>
      </c>
      <c r="G15788" t="s">
        <v>47091</v>
      </c>
      <c r="H15788" t="s">
        <v>47126</v>
      </c>
      <c r="I15788" t="s">
        <v>47127</v>
      </c>
      <c r="J15788" t="s">
        <v>47128</v>
      </c>
      <c r="K15788" t="s">
        <v>47113</v>
      </c>
      <c r="L15788">
        <v>14.36</v>
      </c>
      <c r="M15788">
        <v>30</v>
      </c>
      <c r="N15788">
        <v>0</v>
      </c>
      <c r="O15788">
        <v>30</v>
      </c>
      <c r="P15788">
        <v>0</v>
      </c>
    </row>
    <row r="15789" spans="1:16" x14ac:dyDescent="0.25">
      <c r="A15789" t="s">
        <v>38457</v>
      </c>
      <c r="B15789" t="s">
        <v>10733</v>
      </c>
      <c r="C15789" t="s">
        <v>10734</v>
      </c>
      <c r="D15789" t="str">
        <f>"6000"</f>
        <v>6000</v>
      </c>
      <c r="E15789" t="s">
        <v>390</v>
      </c>
      <c r="F15789" t="s">
        <v>0</v>
      </c>
      <c r="G15789" t="s">
        <v>47091</v>
      </c>
      <c r="H15789" t="s">
        <v>47126</v>
      </c>
      <c r="I15789" t="s">
        <v>47127</v>
      </c>
      <c r="J15789" t="s">
        <v>47128</v>
      </c>
      <c r="K15789" t="s">
        <v>47113</v>
      </c>
      <c r="L15789">
        <v>14.36</v>
      </c>
      <c r="M15789">
        <v>30</v>
      </c>
      <c r="N15789">
        <v>0</v>
      </c>
      <c r="O15789">
        <v>30</v>
      </c>
      <c r="P15789">
        <v>0</v>
      </c>
    </row>
    <row r="15790" spans="1:16" x14ac:dyDescent="0.25">
      <c r="A15790" t="s">
        <v>38458</v>
      </c>
      <c r="B15790" t="s">
        <v>10735</v>
      </c>
      <c r="C15790" t="s">
        <v>325</v>
      </c>
      <c r="D15790" t="s">
        <v>339</v>
      </c>
      <c r="E15790" t="s">
        <v>340</v>
      </c>
      <c r="F15790" t="s">
        <v>0</v>
      </c>
      <c r="G15790" t="s">
        <v>47093</v>
      </c>
      <c r="H15790" t="s">
        <v>47153</v>
      </c>
      <c r="I15790" t="s">
        <v>47132</v>
      </c>
      <c r="J15790" t="s">
        <v>47133</v>
      </c>
      <c r="K15790" t="s">
        <v>47113</v>
      </c>
      <c r="L15790">
        <v>38.47</v>
      </c>
      <c r="M15790">
        <v>76</v>
      </c>
      <c r="N15790">
        <v>0</v>
      </c>
      <c r="O15790">
        <v>76</v>
      </c>
      <c r="P15790">
        <v>0</v>
      </c>
    </row>
    <row r="15791" spans="1:16" x14ac:dyDescent="0.25">
      <c r="A15791" t="s">
        <v>38459</v>
      </c>
      <c r="B15791" t="s">
        <v>10735</v>
      </c>
      <c r="C15791" t="s">
        <v>325</v>
      </c>
      <c r="D15791" t="s">
        <v>341</v>
      </c>
      <c r="E15791" t="s">
        <v>342</v>
      </c>
      <c r="F15791" t="s">
        <v>0</v>
      </c>
      <c r="G15791" t="s">
        <v>47093</v>
      </c>
      <c r="H15791" t="s">
        <v>47153</v>
      </c>
      <c r="I15791" t="s">
        <v>47132</v>
      </c>
      <c r="J15791" t="s">
        <v>47133</v>
      </c>
      <c r="K15791" t="s">
        <v>47113</v>
      </c>
      <c r="L15791">
        <v>31.84</v>
      </c>
      <c r="M15791">
        <v>67</v>
      </c>
      <c r="N15791">
        <v>0</v>
      </c>
      <c r="O15791">
        <v>67</v>
      </c>
      <c r="P15791">
        <v>0</v>
      </c>
    </row>
    <row r="15792" spans="1:16" x14ac:dyDescent="0.25">
      <c r="A15792" t="s">
        <v>38460</v>
      </c>
      <c r="B15792" t="s">
        <v>10735</v>
      </c>
      <c r="C15792" t="s">
        <v>325</v>
      </c>
      <c r="D15792" t="s">
        <v>343</v>
      </c>
      <c r="E15792" t="s">
        <v>344</v>
      </c>
      <c r="F15792" t="s">
        <v>0</v>
      </c>
      <c r="G15792" t="s">
        <v>47093</v>
      </c>
      <c r="H15792" t="s">
        <v>47153</v>
      </c>
      <c r="I15792" t="s">
        <v>47132</v>
      </c>
      <c r="J15792" t="s">
        <v>47133</v>
      </c>
      <c r="K15792" t="s">
        <v>47113</v>
      </c>
      <c r="L15792">
        <v>44.39</v>
      </c>
      <c r="M15792">
        <v>84</v>
      </c>
      <c r="N15792">
        <v>0</v>
      </c>
      <c r="O15792">
        <v>84</v>
      </c>
      <c r="P15792">
        <v>0</v>
      </c>
    </row>
    <row r="15793" spans="1:16" x14ac:dyDescent="0.25">
      <c r="A15793" t="s">
        <v>38461</v>
      </c>
      <c r="B15793" t="s">
        <v>324</v>
      </c>
      <c r="C15793" t="s">
        <v>325</v>
      </c>
      <c r="D15793" t="s">
        <v>326</v>
      </c>
      <c r="E15793" t="s">
        <v>327</v>
      </c>
      <c r="F15793" t="s">
        <v>0</v>
      </c>
      <c r="G15793" t="s">
        <v>47093</v>
      </c>
      <c r="H15793" t="s">
        <v>47153</v>
      </c>
      <c r="I15793" t="s">
        <v>47132</v>
      </c>
      <c r="J15793" t="s">
        <v>47133</v>
      </c>
      <c r="K15793" t="s">
        <v>47113</v>
      </c>
      <c r="L15793">
        <v>44.39</v>
      </c>
      <c r="M15793">
        <v>84</v>
      </c>
      <c r="N15793">
        <v>0</v>
      </c>
      <c r="O15793">
        <v>84</v>
      </c>
      <c r="P15793">
        <v>0</v>
      </c>
    </row>
    <row r="15794" spans="1:16" x14ac:dyDescent="0.25">
      <c r="A15794" t="s">
        <v>38462</v>
      </c>
      <c r="B15794" t="s">
        <v>324</v>
      </c>
      <c r="C15794" t="s">
        <v>325</v>
      </c>
      <c r="D15794" t="s">
        <v>328</v>
      </c>
      <c r="E15794" t="s">
        <v>329</v>
      </c>
      <c r="F15794" t="s">
        <v>0</v>
      </c>
      <c r="G15794" t="s">
        <v>47093</v>
      </c>
      <c r="H15794" t="s">
        <v>47153</v>
      </c>
      <c r="I15794" t="s">
        <v>47132</v>
      </c>
      <c r="J15794" t="s">
        <v>47133</v>
      </c>
      <c r="K15794" t="s">
        <v>47113</v>
      </c>
      <c r="L15794">
        <v>45.22</v>
      </c>
      <c r="M15794">
        <v>84</v>
      </c>
      <c r="N15794">
        <v>0</v>
      </c>
      <c r="O15794">
        <v>84</v>
      </c>
      <c r="P15794">
        <v>0</v>
      </c>
    </row>
    <row r="15795" spans="1:16" x14ac:dyDescent="0.25">
      <c r="A15795" t="s">
        <v>38463</v>
      </c>
      <c r="B15795" t="s">
        <v>330</v>
      </c>
      <c r="C15795" t="s">
        <v>325</v>
      </c>
      <c r="D15795" t="s">
        <v>331</v>
      </c>
      <c r="E15795" t="s">
        <v>332</v>
      </c>
      <c r="F15795" t="s">
        <v>0</v>
      </c>
      <c r="G15795" t="s">
        <v>47093</v>
      </c>
      <c r="H15795" t="s">
        <v>47153</v>
      </c>
      <c r="I15795" t="s">
        <v>47132</v>
      </c>
      <c r="J15795" t="s">
        <v>47133</v>
      </c>
      <c r="K15795" t="s">
        <v>47113</v>
      </c>
      <c r="L15795">
        <v>42.97</v>
      </c>
      <c r="M15795">
        <v>80</v>
      </c>
      <c r="N15795">
        <v>0</v>
      </c>
      <c r="O15795">
        <v>80</v>
      </c>
      <c r="P15795">
        <v>0</v>
      </c>
    </row>
    <row r="15796" spans="1:16" x14ac:dyDescent="0.25">
      <c r="A15796" t="s">
        <v>38464</v>
      </c>
      <c r="B15796" t="s">
        <v>330</v>
      </c>
      <c r="C15796" t="s">
        <v>325</v>
      </c>
      <c r="D15796" t="s">
        <v>333</v>
      </c>
      <c r="E15796" t="s">
        <v>334</v>
      </c>
      <c r="F15796" t="s">
        <v>0</v>
      </c>
      <c r="G15796" t="s">
        <v>47093</v>
      </c>
      <c r="H15796" t="s">
        <v>47153</v>
      </c>
      <c r="I15796" t="s">
        <v>47132</v>
      </c>
      <c r="J15796" t="s">
        <v>47133</v>
      </c>
      <c r="K15796" t="s">
        <v>47113</v>
      </c>
      <c r="L15796">
        <v>48.88</v>
      </c>
      <c r="M15796">
        <v>80</v>
      </c>
      <c r="N15796">
        <v>0</v>
      </c>
      <c r="O15796">
        <v>80</v>
      </c>
      <c r="P15796">
        <v>0</v>
      </c>
    </row>
    <row r="15797" spans="1:16" x14ac:dyDescent="0.25">
      <c r="A15797" t="s">
        <v>38465</v>
      </c>
      <c r="B15797" t="s">
        <v>330</v>
      </c>
      <c r="C15797" t="s">
        <v>325</v>
      </c>
      <c r="D15797" t="s">
        <v>335</v>
      </c>
      <c r="E15797" t="s">
        <v>336</v>
      </c>
      <c r="F15797" t="s">
        <v>0</v>
      </c>
      <c r="G15797" t="s">
        <v>47093</v>
      </c>
      <c r="H15797" t="s">
        <v>47153</v>
      </c>
      <c r="I15797" t="s">
        <v>47132</v>
      </c>
      <c r="J15797" t="s">
        <v>47133</v>
      </c>
      <c r="K15797" t="s">
        <v>47113</v>
      </c>
      <c r="L15797">
        <v>41.43</v>
      </c>
      <c r="M15797">
        <v>80</v>
      </c>
      <c r="N15797">
        <v>0</v>
      </c>
      <c r="O15797">
        <v>80</v>
      </c>
      <c r="P15797">
        <v>0</v>
      </c>
    </row>
    <row r="15798" spans="1:16" x14ac:dyDescent="0.25">
      <c r="A15798" t="s">
        <v>38466</v>
      </c>
      <c r="B15798" t="s">
        <v>337</v>
      </c>
      <c r="C15798" t="s">
        <v>338</v>
      </c>
      <c r="D15798" t="s">
        <v>339</v>
      </c>
      <c r="E15798" t="s">
        <v>340</v>
      </c>
      <c r="F15798" t="s">
        <v>0</v>
      </c>
      <c r="G15798" t="s">
        <v>47093</v>
      </c>
      <c r="H15798" t="s">
        <v>47153</v>
      </c>
      <c r="I15798" t="s">
        <v>47132</v>
      </c>
      <c r="J15798" t="s">
        <v>47133</v>
      </c>
      <c r="K15798" t="s">
        <v>47113</v>
      </c>
      <c r="L15798">
        <v>38.47</v>
      </c>
      <c r="M15798">
        <v>76</v>
      </c>
      <c r="N15798">
        <v>0</v>
      </c>
      <c r="O15798">
        <v>76</v>
      </c>
      <c r="P15798">
        <v>0</v>
      </c>
    </row>
    <row r="15799" spans="1:16" x14ac:dyDescent="0.25">
      <c r="A15799" t="s">
        <v>38467</v>
      </c>
      <c r="B15799" t="s">
        <v>337</v>
      </c>
      <c r="C15799" t="s">
        <v>338</v>
      </c>
      <c r="D15799" t="s">
        <v>341</v>
      </c>
      <c r="E15799" t="s">
        <v>342</v>
      </c>
      <c r="F15799" t="s">
        <v>0</v>
      </c>
      <c r="G15799" t="s">
        <v>47093</v>
      </c>
      <c r="H15799" t="s">
        <v>47153</v>
      </c>
      <c r="I15799" t="s">
        <v>47132</v>
      </c>
      <c r="J15799" t="s">
        <v>47133</v>
      </c>
      <c r="K15799" t="s">
        <v>47113</v>
      </c>
      <c r="L15799">
        <v>31.84</v>
      </c>
      <c r="M15799">
        <v>67</v>
      </c>
      <c r="N15799">
        <v>0</v>
      </c>
      <c r="O15799">
        <v>67</v>
      </c>
      <c r="P15799">
        <v>0</v>
      </c>
    </row>
    <row r="15800" spans="1:16" x14ac:dyDescent="0.25">
      <c r="A15800" t="s">
        <v>38468</v>
      </c>
      <c r="B15800" t="s">
        <v>337</v>
      </c>
      <c r="C15800" t="s">
        <v>338</v>
      </c>
      <c r="D15800" t="s">
        <v>343</v>
      </c>
      <c r="E15800" t="s">
        <v>344</v>
      </c>
      <c r="F15800" t="s">
        <v>0</v>
      </c>
      <c r="G15800" t="s">
        <v>47093</v>
      </c>
      <c r="H15800" t="s">
        <v>47153</v>
      </c>
      <c r="I15800" t="s">
        <v>47132</v>
      </c>
      <c r="J15800" t="s">
        <v>47133</v>
      </c>
      <c r="K15800" t="s">
        <v>47113</v>
      </c>
      <c r="L15800">
        <v>44.39</v>
      </c>
      <c r="M15800">
        <v>84</v>
      </c>
      <c r="N15800">
        <v>0</v>
      </c>
      <c r="O15800">
        <v>84</v>
      </c>
      <c r="P15800">
        <v>0</v>
      </c>
    </row>
    <row r="15801" spans="1:16" x14ac:dyDescent="0.25">
      <c r="A15801" t="s">
        <v>14659</v>
      </c>
      <c r="B15801" t="s">
        <v>345</v>
      </c>
      <c r="C15801" t="s">
        <v>346</v>
      </c>
      <c r="D15801" t="s">
        <v>347</v>
      </c>
      <c r="E15801" t="s">
        <v>348</v>
      </c>
      <c r="F15801" t="s">
        <v>0</v>
      </c>
      <c r="G15801" t="s">
        <v>47093</v>
      </c>
      <c r="H15801" t="s">
        <v>47153</v>
      </c>
      <c r="I15801" t="s">
        <v>47132</v>
      </c>
      <c r="J15801" t="s">
        <v>47133</v>
      </c>
      <c r="K15801" t="s">
        <v>47113</v>
      </c>
      <c r="L15801">
        <v>54.56</v>
      </c>
      <c r="M15801">
        <v>107</v>
      </c>
      <c r="N15801">
        <v>0</v>
      </c>
      <c r="O15801">
        <v>107</v>
      </c>
      <c r="P15801">
        <v>0</v>
      </c>
    </row>
    <row r="15802" spans="1:16" x14ac:dyDescent="0.25">
      <c r="A15802" t="s">
        <v>38469</v>
      </c>
      <c r="B15802" t="s">
        <v>345</v>
      </c>
      <c r="C15802" t="s">
        <v>346</v>
      </c>
      <c r="D15802" t="s">
        <v>326</v>
      </c>
      <c r="E15802" t="s">
        <v>327</v>
      </c>
      <c r="F15802" t="s">
        <v>0</v>
      </c>
      <c r="G15802" t="s">
        <v>47093</v>
      </c>
      <c r="H15802" t="s">
        <v>47153</v>
      </c>
      <c r="I15802" t="s">
        <v>47132</v>
      </c>
      <c r="J15802" t="s">
        <v>47133</v>
      </c>
      <c r="K15802" t="s">
        <v>47113</v>
      </c>
      <c r="L15802">
        <v>42.26</v>
      </c>
      <c r="M15802">
        <v>84</v>
      </c>
      <c r="N15802">
        <v>0</v>
      </c>
      <c r="O15802">
        <v>84</v>
      </c>
      <c r="P15802">
        <v>0</v>
      </c>
    </row>
    <row r="15803" spans="1:16" x14ac:dyDescent="0.25">
      <c r="A15803" t="s">
        <v>38470</v>
      </c>
      <c r="B15803" t="s">
        <v>345</v>
      </c>
      <c r="C15803" t="s">
        <v>346</v>
      </c>
      <c r="D15803" t="s">
        <v>349</v>
      </c>
      <c r="E15803" t="s">
        <v>350</v>
      </c>
      <c r="F15803" t="s">
        <v>0</v>
      </c>
      <c r="G15803" t="s">
        <v>47093</v>
      </c>
      <c r="H15803" t="s">
        <v>47153</v>
      </c>
      <c r="I15803" t="s">
        <v>47132</v>
      </c>
      <c r="J15803" t="s">
        <v>47133</v>
      </c>
      <c r="K15803" t="s">
        <v>47113</v>
      </c>
      <c r="L15803">
        <v>59</v>
      </c>
      <c r="M15803">
        <v>107</v>
      </c>
      <c r="N15803">
        <v>0</v>
      </c>
      <c r="O15803">
        <v>107</v>
      </c>
      <c r="P15803">
        <v>0</v>
      </c>
    </row>
    <row r="15804" spans="1:16" x14ac:dyDescent="0.25">
      <c r="A15804" t="s">
        <v>38471</v>
      </c>
      <c r="B15804" t="s">
        <v>345</v>
      </c>
      <c r="C15804" t="s">
        <v>346</v>
      </c>
      <c r="D15804" t="s">
        <v>328</v>
      </c>
      <c r="E15804" t="s">
        <v>329</v>
      </c>
      <c r="F15804" t="s">
        <v>0</v>
      </c>
      <c r="G15804" t="s">
        <v>47093</v>
      </c>
      <c r="H15804" t="s">
        <v>47153</v>
      </c>
      <c r="I15804" t="s">
        <v>47132</v>
      </c>
      <c r="J15804" t="s">
        <v>47133</v>
      </c>
      <c r="K15804" t="s">
        <v>47113</v>
      </c>
      <c r="L15804">
        <v>43.09</v>
      </c>
      <c r="M15804">
        <v>84</v>
      </c>
      <c r="N15804">
        <v>0</v>
      </c>
      <c r="O15804">
        <v>84</v>
      </c>
      <c r="P15804">
        <v>0</v>
      </c>
    </row>
    <row r="15805" spans="1:16" x14ac:dyDescent="0.25">
      <c r="A15805" t="s">
        <v>14660</v>
      </c>
      <c r="B15805" t="s">
        <v>351</v>
      </c>
      <c r="C15805" t="s">
        <v>346</v>
      </c>
      <c r="D15805" t="s">
        <v>352</v>
      </c>
      <c r="E15805" t="s">
        <v>353</v>
      </c>
      <c r="F15805" t="s">
        <v>0</v>
      </c>
      <c r="G15805" t="s">
        <v>47093</v>
      </c>
      <c r="H15805" t="s">
        <v>47153</v>
      </c>
      <c r="I15805" t="s">
        <v>47132</v>
      </c>
      <c r="J15805" t="s">
        <v>47133</v>
      </c>
      <c r="K15805" t="s">
        <v>47113</v>
      </c>
      <c r="L15805">
        <v>54.33</v>
      </c>
      <c r="M15805">
        <v>107</v>
      </c>
      <c r="N15805">
        <v>0</v>
      </c>
      <c r="O15805">
        <v>107</v>
      </c>
      <c r="P15805">
        <v>0</v>
      </c>
    </row>
    <row r="15806" spans="1:16" x14ac:dyDescent="0.25">
      <c r="A15806" t="s">
        <v>14661</v>
      </c>
      <c r="B15806" t="s">
        <v>351</v>
      </c>
      <c r="C15806" t="s">
        <v>346</v>
      </c>
      <c r="D15806" t="s">
        <v>354</v>
      </c>
      <c r="E15806" t="s">
        <v>355</v>
      </c>
      <c r="F15806" t="s">
        <v>0</v>
      </c>
      <c r="G15806" t="s">
        <v>47093</v>
      </c>
      <c r="H15806" t="s">
        <v>47153</v>
      </c>
      <c r="I15806" t="s">
        <v>47132</v>
      </c>
      <c r="J15806" t="s">
        <v>47133</v>
      </c>
      <c r="K15806" t="s">
        <v>47113</v>
      </c>
      <c r="L15806">
        <v>59</v>
      </c>
      <c r="M15806">
        <v>107</v>
      </c>
      <c r="N15806">
        <v>0</v>
      </c>
      <c r="O15806">
        <v>107</v>
      </c>
      <c r="P15806">
        <v>0</v>
      </c>
    </row>
    <row r="15807" spans="1:16" x14ac:dyDescent="0.25">
      <c r="A15807" t="s">
        <v>38472</v>
      </c>
      <c r="B15807" t="s">
        <v>351</v>
      </c>
      <c r="C15807" t="s">
        <v>346</v>
      </c>
      <c r="D15807" t="s">
        <v>356</v>
      </c>
      <c r="E15807" t="s">
        <v>357</v>
      </c>
      <c r="F15807" t="s">
        <v>0</v>
      </c>
      <c r="G15807" t="s">
        <v>47093</v>
      </c>
      <c r="H15807" t="s">
        <v>47153</v>
      </c>
      <c r="I15807" t="s">
        <v>47132</v>
      </c>
      <c r="J15807" t="s">
        <v>47133</v>
      </c>
      <c r="K15807" t="s">
        <v>47113</v>
      </c>
      <c r="L15807">
        <v>48.65</v>
      </c>
      <c r="M15807">
        <v>92</v>
      </c>
      <c r="N15807">
        <v>0</v>
      </c>
      <c r="O15807">
        <v>92</v>
      </c>
      <c r="P15807">
        <v>0</v>
      </c>
    </row>
    <row r="15808" spans="1:16" x14ac:dyDescent="0.25">
      <c r="A15808" t="s">
        <v>38473</v>
      </c>
      <c r="B15808" t="s">
        <v>351</v>
      </c>
      <c r="C15808" t="s">
        <v>346</v>
      </c>
      <c r="D15808" t="s">
        <v>378</v>
      </c>
      <c r="E15808" t="s">
        <v>379</v>
      </c>
      <c r="F15808" t="s">
        <v>0</v>
      </c>
      <c r="G15808" t="s">
        <v>47093</v>
      </c>
      <c r="H15808" t="s">
        <v>47153</v>
      </c>
      <c r="I15808" t="s">
        <v>47132</v>
      </c>
      <c r="J15808" t="s">
        <v>47133</v>
      </c>
      <c r="K15808" t="s">
        <v>47113</v>
      </c>
      <c r="L15808">
        <v>44.62</v>
      </c>
      <c r="M15808">
        <v>88</v>
      </c>
      <c r="N15808">
        <v>0</v>
      </c>
      <c r="O15808">
        <v>88</v>
      </c>
      <c r="P15808">
        <v>0</v>
      </c>
    </row>
    <row r="15809" spans="1:16" x14ac:dyDescent="0.25">
      <c r="A15809" t="s">
        <v>38474</v>
      </c>
      <c r="B15809" t="s">
        <v>358</v>
      </c>
      <c r="C15809" t="s">
        <v>359</v>
      </c>
      <c r="D15809" t="s">
        <v>339</v>
      </c>
      <c r="E15809" t="s">
        <v>340</v>
      </c>
      <c r="F15809" t="s">
        <v>0</v>
      </c>
      <c r="G15809" t="s">
        <v>47093</v>
      </c>
      <c r="H15809" t="s">
        <v>47153</v>
      </c>
      <c r="I15809" t="s">
        <v>47132</v>
      </c>
      <c r="J15809" t="s">
        <v>47133</v>
      </c>
      <c r="K15809" t="s">
        <v>47113</v>
      </c>
      <c r="L15809">
        <v>40.6</v>
      </c>
      <c r="M15809">
        <v>76</v>
      </c>
      <c r="N15809">
        <v>0</v>
      </c>
      <c r="O15809">
        <v>76</v>
      </c>
      <c r="P15809">
        <v>0</v>
      </c>
    </row>
    <row r="15810" spans="1:16" x14ac:dyDescent="0.25">
      <c r="A15810" t="s">
        <v>38475</v>
      </c>
      <c r="B15810" t="s">
        <v>358</v>
      </c>
      <c r="C15810" t="s">
        <v>359</v>
      </c>
      <c r="D15810" t="s">
        <v>360</v>
      </c>
      <c r="E15810" t="s">
        <v>361</v>
      </c>
      <c r="F15810" t="s">
        <v>0</v>
      </c>
      <c r="G15810" t="s">
        <v>47093</v>
      </c>
      <c r="H15810" t="s">
        <v>47153</v>
      </c>
      <c r="I15810" t="s">
        <v>47132</v>
      </c>
      <c r="J15810" t="s">
        <v>47133</v>
      </c>
      <c r="K15810" t="s">
        <v>47113</v>
      </c>
      <c r="L15810">
        <v>53.68</v>
      </c>
      <c r="M15810">
        <v>99</v>
      </c>
      <c r="N15810">
        <v>0</v>
      </c>
      <c r="O15810">
        <v>99</v>
      </c>
      <c r="P15810">
        <v>0</v>
      </c>
    </row>
    <row r="15811" spans="1:16" x14ac:dyDescent="0.25">
      <c r="A15811" t="s">
        <v>38476</v>
      </c>
      <c r="B15811" t="s">
        <v>358</v>
      </c>
      <c r="C15811" t="s">
        <v>359</v>
      </c>
      <c r="D15811" t="s">
        <v>362</v>
      </c>
      <c r="E15811" t="s">
        <v>363</v>
      </c>
      <c r="F15811" t="s">
        <v>0</v>
      </c>
      <c r="G15811" t="s">
        <v>47093</v>
      </c>
      <c r="H15811" t="s">
        <v>47153</v>
      </c>
      <c r="I15811" t="s">
        <v>47132</v>
      </c>
      <c r="J15811" t="s">
        <v>47133</v>
      </c>
      <c r="K15811" t="s">
        <v>47113</v>
      </c>
      <c r="L15811">
        <v>45.4</v>
      </c>
      <c r="M15811">
        <v>88</v>
      </c>
      <c r="N15811">
        <v>0</v>
      </c>
      <c r="O15811">
        <v>88</v>
      </c>
      <c r="P15811">
        <v>0</v>
      </c>
    </row>
    <row r="15812" spans="1:16" x14ac:dyDescent="0.25">
      <c r="A15812" t="s">
        <v>38477</v>
      </c>
      <c r="B15812" t="s">
        <v>358</v>
      </c>
      <c r="C15812" t="s">
        <v>359</v>
      </c>
      <c r="D15812" t="s">
        <v>364</v>
      </c>
      <c r="E15812" t="s">
        <v>365</v>
      </c>
      <c r="F15812" t="s">
        <v>0</v>
      </c>
      <c r="G15812" t="s">
        <v>47093</v>
      </c>
      <c r="H15812" t="s">
        <v>47153</v>
      </c>
      <c r="I15812" t="s">
        <v>47132</v>
      </c>
      <c r="J15812" t="s">
        <v>47133</v>
      </c>
      <c r="K15812" t="s">
        <v>47113</v>
      </c>
      <c r="L15812">
        <v>40.6</v>
      </c>
      <c r="M15812">
        <v>84</v>
      </c>
      <c r="N15812">
        <v>0</v>
      </c>
      <c r="O15812">
        <v>84</v>
      </c>
      <c r="P15812">
        <v>0</v>
      </c>
    </row>
    <row r="15813" spans="1:16" x14ac:dyDescent="0.25">
      <c r="A15813" t="s">
        <v>38478</v>
      </c>
      <c r="B15813" t="s">
        <v>366</v>
      </c>
      <c r="C15813" t="s">
        <v>359</v>
      </c>
      <c r="D15813" t="s">
        <v>326</v>
      </c>
      <c r="E15813" t="s">
        <v>327</v>
      </c>
      <c r="F15813" t="s">
        <v>0</v>
      </c>
      <c r="G15813" t="s">
        <v>47093</v>
      </c>
      <c r="H15813" t="s">
        <v>47153</v>
      </c>
      <c r="I15813" t="s">
        <v>47132</v>
      </c>
      <c r="J15813" t="s">
        <v>47133</v>
      </c>
      <c r="K15813" t="s">
        <v>47113</v>
      </c>
      <c r="L15813">
        <v>42.49</v>
      </c>
      <c r="M15813">
        <v>84</v>
      </c>
      <c r="N15813">
        <v>0</v>
      </c>
      <c r="O15813">
        <v>84</v>
      </c>
      <c r="P15813">
        <v>0</v>
      </c>
    </row>
    <row r="15814" spans="1:16" x14ac:dyDescent="0.25">
      <c r="A15814" t="s">
        <v>38479</v>
      </c>
      <c r="B15814" t="s">
        <v>366</v>
      </c>
      <c r="C15814" t="s">
        <v>359</v>
      </c>
      <c r="D15814" t="s">
        <v>328</v>
      </c>
      <c r="E15814" t="s">
        <v>329</v>
      </c>
      <c r="F15814" t="s">
        <v>0</v>
      </c>
      <c r="G15814" t="s">
        <v>47093</v>
      </c>
      <c r="H15814" t="s">
        <v>47153</v>
      </c>
      <c r="I15814" t="s">
        <v>47132</v>
      </c>
      <c r="J15814" t="s">
        <v>47133</v>
      </c>
      <c r="K15814" t="s">
        <v>47113</v>
      </c>
      <c r="L15814">
        <v>43.09</v>
      </c>
      <c r="M15814">
        <v>84</v>
      </c>
      <c r="N15814">
        <v>0</v>
      </c>
      <c r="O15814">
        <v>84</v>
      </c>
      <c r="P15814">
        <v>0</v>
      </c>
    </row>
    <row r="15815" spans="1:16" x14ac:dyDescent="0.25">
      <c r="A15815" t="s">
        <v>38480</v>
      </c>
      <c r="B15815" t="s">
        <v>367</v>
      </c>
      <c r="C15815" t="s">
        <v>359</v>
      </c>
      <c r="D15815" t="s">
        <v>331</v>
      </c>
      <c r="E15815" t="s">
        <v>332</v>
      </c>
      <c r="F15815" t="s">
        <v>0</v>
      </c>
      <c r="G15815" t="s">
        <v>47093</v>
      </c>
      <c r="H15815" t="s">
        <v>47153</v>
      </c>
      <c r="I15815" t="s">
        <v>47132</v>
      </c>
      <c r="J15815" t="s">
        <v>47133</v>
      </c>
      <c r="K15815" t="s">
        <v>47113</v>
      </c>
      <c r="L15815">
        <v>43.2</v>
      </c>
      <c r="M15815">
        <v>80</v>
      </c>
      <c r="N15815">
        <v>0</v>
      </c>
      <c r="O15815">
        <v>80</v>
      </c>
      <c r="P15815">
        <v>0</v>
      </c>
    </row>
    <row r="15816" spans="1:16" x14ac:dyDescent="0.25">
      <c r="A15816" t="s">
        <v>38481</v>
      </c>
      <c r="B15816" t="s">
        <v>367</v>
      </c>
      <c r="C15816" t="s">
        <v>359</v>
      </c>
      <c r="D15816" t="s">
        <v>333</v>
      </c>
      <c r="E15816" t="s">
        <v>334</v>
      </c>
      <c r="F15816" t="s">
        <v>0</v>
      </c>
      <c r="G15816" t="s">
        <v>47093</v>
      </c>
      <c r="H15816" t="s">
        <v>47153</v>
      </c>
      <c r="I15816" t="s">
        <v>47132</v>
      </c>
      <c r="J15816" t="s">
        <v>47133</v>
      </c>
      <c r="K15816" t="s">
        <v>47113</v>
      </c>
      <c r="L15816">
        <v>49.13</v>
      </c>
      <c r="M15816">
        <v>80</v>
      </c>
      <c r="N15816">
        <v>0</v>
      </c>
      <c r="O15816">
        <v>80</v>
      </c>
      <c r="P15816">
        <v>0</v>
      </c>
    </row>
    <row r="15817" spans="1:16" x14ac:dyDescent="0.25">
      <c r="A15817" t="s">
        <v>38482</v>
      </c>
      <c r="B15817" t="s">
        <v>367</v>
      </c>
      <c r="C15817" t="s">
        <v>359</v>
      </c>
      <c r="D15817" t="s">
        <v>335</v>
      </c>
      <c r="E15817" t="s">
        <v>336</v>
      </c>
      <c r="F15817" t="s">
        <v>0</v>
      </c>
      <c r="G15817" t="s">
        <v>47093</v>
      </c>
      <c r="H15817" t="s">
        <v>47153</v>
      </c>
      <c r="I15817" t="s">
        <v>47132</v>
      </c>
      <c r="J15817" t="s">
        <v>47133</v>
      </c>
      <c r="K15817" t="s">
        <v>47113</v>
      </c>
      <c r="L15817">
        <v>41.43</v>
      </c>
      <c r="M15817">
        <v>80</v>
      </c>
      <c r="N15817">
        <v>0</v>
      </c>
      <c r="O15817">
        <v>80</v>
      </c>
      <c r="P15817">
        <v>0</v>
      </c>
    </row>
    <row r="15818" spans="1:16" x14ac:dyDescent="0.25">
      <c r="A15818" t="s">
        <v>15088</v>
      </c>
      <c r="B15818" t="s">
        <v>368</v>
      </c>
      <c r="C15818" t="s">
        <v>369</v>
      </c>
      <c r="D15818" t="s">
        <v>341</v>
      </c>
      <c r="E15818" t="s">
        <v>342</v>
      </c>
      <c r="F15818" t="s">
        <v>0</v>
      </c>
      <c r="G15818" t="s">
        <v>47093</v>
      </c>
      <c r="H15818" t="s">
        <v>47153</v>
      </c>
      <c r="I15818" t="s">
        <v>47132</v>
      </c>
      <c r="J15818" t="s">
        <v>47133</v>
      </c>
      <c r="K15818" t="s">
        <v>47113</v>
      </c>
      <c r="L15818">
        <v>32.32</v>
      </c>
      <c r="M15818">
        <v>67</v>
      </c>
      <c r="N15818">
        <v>0</v>
      </c>
      <c r="O15818">
        <v>67</v>
      </c>
      <c r="P15818">
        <v>0</v>
      </c>
    </row>
    <row r="15819" spans="1:16" x14ac:dyDescent="0.25">
      <c r="A15819" t="s">
        <v>38483</v>
      </c>
      <c r="B15819" t="s">
        <v>368</v>
      </c>
      <c r="C15819" t="s">
        <v>369</v>
      </c>
      <c r="D15819" t="s">
        <v>343</v>
      </c>
      <c r="E15819" t="s">
        <v>344</v>
      </c>
      <c r="F15819" t="s">
        <v>0</v>
      </c>
      <c r="G15819" t="s">
        <v>47093</v>
      </c>
      <c r="H15819" t="s">
        <v>47153</v>
      </c>
      <c r="I15819" t="s">
        <v>47132</v>
      </c>
      <c r="J15819" t="s">
        <v>47133</v>
      </c>
      <c r="K15819" t="s">
        <v>47113</v>
      </c>
      <c r="L15819">
        <v>44.62</v>
      </c>
      <c r="M15819">
        <v>84</v>
      </c>
      <c r="N15819">
        <v>0</v>
      </c>
      <c r="O15819">
        <v>84</v>
      </c>
      <c r="P15819">
        <v>0</v>
      </c>
    </row>
    <row r="15820" spans="1:16" x14ac:dyDescent="0.25">
      <c r="A15820" t="s">
        <v>38484</v>
      </c>
      <c r="B15820" t="s">
        <v>370</v>
      </c>
      <c r="C15820" t="s">
        <v>371</v>
      </c>
      <c r="D15820" t="s">
        <v>360</v>
      </c>
      <c r="E15820" t="s">
        <v>361</v>
      </c>
      <c r="F15820" t="s">
        <v>0</v>
      </c>
      <c r="G15820" t="s">
        <v>47093</v>
      </c>
      <c r="H15820" t="s">
        <v>47153</v>
      </c>
      <c r="I15820" t="s">
        <v>47132</v>
      </c>
      <c r="J15820" t="s">
        <v>47133</v>
      </c>
      <c r="K15820" t="s">
        <v>47113</v>
      </c>
      <c r="L15820">
        <v>54.27</v>
      </c>
      <c r="M15820">
        <v>99</v>
      </c>
      <c r="N15820">
        <v>0</v>
      </c>
      <c r="O15820">
        <v>99</v>
      </c>
      <c r="P15820">
        <v>0</v>
      </c>
    </row>
    <row r="15821" spans="1:16" x14ac:dyDescent="0.25">
      <c r="A15821" t="s">
        <v>38485</v>
      </c>
      <c r="B15821" t="s">
        <v>370</v>
      </c>
      <c r="C15821" t="s">
        <v>371</v>
      </c>
      <c r="D15821" t="s">
        <v>362</v>
      </c>
      <c r="E15821" t="s">
        <v>363</v>
      </c>
      <c r="F15821" t="s">
        <v>0</v>
      </c>
      <c r="G15821" t="s">
        <v>47093</v>
      </c>
      <c r="H15821" t="s">
        <v>47153</v>
      </c>
      <c r="I15821" t="s">
        <v>47132</v>
      </c>
      <c r="J15821" t="s">
        <v>47133</v>
      </c>
      <c r="K15821" t="s">
        <v>47113</v>
      </c>
      <c r="L15821">
        <v>45.99</v>
      </c>
      <c r="M15821">
        <v>88</v>
      </c>
      <c r="N15821">
        <v>0</v>
      </c>
      <c r="O15821">
        <v>88</v>
      </c>
      <c r="P15821">
        <v>0</v>
      </c>
    </row>
    <row r="15822" spans="1:16" x14ac:dyDescent="0.25">
      <c r="A15822" t="s">
        <v>38486</v>
      </c>
      <c r="B15822" t="s">
        <v>370</v>
      </c>
      <c r="C15822" t="s">
        <v>371</v>
      </c>
      <c r="D15822" t="s">
        <v>364</v>
      </c>
      <c r="E15822" t="s">
        <v>365</v>
      </c>
      <c r="F15822" t="s">
        <v>0</v>
      </c>
      <c r="G15822" t="s">
        <v>47093</v>
      </c>
      <c r="H15822" t="s">
        <v>47153</v>
      </c>
      <c r="I15822" t="s">
        <v>47132</v>
      </c>
      <c r="J15822" t="s">
        <v>47133</v>
      </c>
      <c r="K15822" t="s">
        <v>47113</v>
      </c>
      <c r="L15822">
        <v>41.19</v>
      </c>
      <c r="M15822">
        <v>84</v>
      </c>
      <c r="N15822">
        <v>0</v>
      </c>
      <c r="O15822">
        <v>84</v>
      </c>
      <c r="P15822">
        <v>0</v>
      </c>
    </row>
    <row r="15823" spans="1:16" x14ac:dyDescent="0.25">
      <c r="A15823" t="s">
        <v>38487</v>
      </c>
      <c r="B15823" t="s">
        <v>372</v>
      </c>
      <c r="C15823" t="s">
        <v>371</v>
      </c>
      <c r="D15823" t="s">
        <v>331</v>
      </c>
      <c r="E15823" t="s">
        <v>332</v>
      </c>
      <c r="F15823" t="s">
        <v>0</v>
      </c>
      <c r="G15823" t="s">
        <v>47093</v>
      </c>
      <c r="H15823" t="s">
        <v>47153</v>
      </c>
      <c r="I15823" t="s">
        <v>47132</v>
      </c>
      <c r="J15823" t="s">
        <v>47133</v>
      </c>
      <c r="K15823" t="s">
        <v>47113</v>
      </c>
      <c r="L15823">
        <v>44.62</v>
      </c>
      <c r="M15823">
        <v>80</v>
      </c>
      <c r="N15823">
        <v>0</v>
      </c>
      <c r="O15823">
        <v>80</v>
      </c>
      <c r="P15823">
        <v>0</v>
      </c>
    </row>
    <row r="15824" spans="1:16" x14ac:dyDescent="0.25">
      <c r="A15824" t="s">
        <v>38488</v>
      </c>
      <c r="B15824" t="s">
        <v>372</v>
      </c>
      <c r="C15824" t="s">
        <v>371</v>
      </c>
      <c r="D15824" t="s">
        <v>333</v>
      </c>
      <c r="E15824" t="s">
        <v>334</v>
      </c>
      <c r="F15824" t="s">
        <v>0</v>
      </c>
      <c r="G15824" t="s">
        <v>47093</v>
      </c>
      <c r="H15824" t="s">
        <v>47153</v>
      </c>
      <c r="I15824" t="s">
        <v>47132</v>
      </c>
      <c r="J15824" t="s">
        <v>47133</v>
      </c>
      <c r="K15824" t="s">
        <v>47113</v>
      </c>
      <c r="L15824">
        <v>50.55</v>
      </c>
      <c r="M15824">
        <v>92</v>
      </c>
      <c r="N15824">
        <v>0</v>
      </c>
      <c r="O15824">
        <v>92</v>
      </c>
      <c r="P15824">
        <v>0</v>
      </c>
    </row>
    <row r="15825" spans="1:16" x14ac:dyDescent="0.25">
      <c r="A15825" t="s">
        <v>38489</v>
      </c>
      <c r="B15825" t="s">
        <v>372</v>
      </c>
      <c r="C15825" t="s">
        <v>371</v>
      </c>
      <c r="D15825" t="s">
        <v>335</v>
      </c>
      <c r="E15825" t="s">
        <v>336</v>
      </c>
      <c r="F15825" t="s">
        <v>0</v>
      </c>
      <c r="G15825" t="s">
        <v>47093</v>
      </c>
      <c r="H15825" t="s">
        <v>47153</v>
      </c>
      <c r="I15825" t="s">
        <v>47132</v>
      </c>
      <c r="J15825" t="s">
        <v>47133</v>
      </c>
      <c r="K15825" t="s">
        <v>47113</v>
      </c>
      <c r="L15825">
        <v>43.2</v>
      </c>
      <c r="M15825">
        <v>80</v>
      </c>
      <c r="N15825">
        <v>0</v>
      </c>
      <c r="O15825">
        <v>80</v>
      </c>
      <c r="P15825">
        <v>0</v>
      </c>
    </row>
    <row r="15826" spans="1:16" x14ac:dyDescent="0.25">
      <c r="A15826" t="s">
        <v>38490</v>
      </c>
      <c r="B15826" t="s">
        <v>372</v>
      </c>
      <c r="C15826" t="s">
        <v>371</v>
      </c>
      <c r="D15826" t="s">
        <v>356</v>
      </c>
      <c r="E15826" t="s">
        <v>357</v>
      </c>
      <c r="F15826" t="s">
        <v>0</v>
      </c>
      <c r="G15826" t="s">
        <v>47093</v>
      </c>
      <c r="H15826" t="s">
        <v>47153</v>
      </c>
      <c r="I15826" t="s">
        <v>47132</v>
      </c>
      <c r="J15826" t="s">
        <v>47133</v>
      </c>
      <c r="K15826" t="s">
        <v>47113</v>
      </c>
      <c r="L15826">
        <v>48.65</v>
      </c>
      <c r="M15826">
        <v>92</v>
      </c>
      <c r="N15826">
        <v>0</v>
      </c>
      <c r="O15826">
        <v>92</v>
      </c>
      <c r="P15826">
        <v>0</v>
      </c>
    </row>
    <row r="15827" spans="1:16" x14ac:dyDescent="0.25">
      <c r="A15827" t="s">
        <v>38491</v>
      </c>
      <c r="B15827" t="s">
        <v>372</v>
      </c>
      <c r="C15827" t="s">
        <v>371</v>
      </c>
      <c r="D15827" t="s">
        <v>378</v>
      </c>
      <c r="E15827" t="s">
        <v>379</v>
      </c>
      <c r="F15827" t="s">
        <v>0</v>
      </c>
      <c r="G15827" t="s">
        <v>47093</v>
      </c>
      <c r="H15827" t="s">
        <v>47153</v>
      </c>
      <c r="I15827" t="s">
        <v>47132</v>
      </c>
      <c r="J15827" t="s">
        <v>47133</v>
      </c>
      <c r="K15827" t="s">
        <v>47113</v>
      </c>
      <c r="L15827">
        <v>44.62</v>
      </c>
      <c r="M15827">
        <v>92</v>
      </c>
      <c r="N15827">
        <v>0</v>
      </c>
      <c r="O15827">
        <v>92</v>
      </c>
      <c r="P15827">
        <v>0</v>
      </c>
    </row>
    <row r="15828" spans="1:16" x14ac:dyDescent="0.25">
      <c r="A15828" t="s">
        <v>38492</v>
      </c>
      <c r="B15828" t="s">
        <v>373</v>
      </c>
      <c r="C15828" t="s">
        <v>374</v>
      </c>
      <c r="D15828" t="s">
        <v>339</v>
      </c>
      <c r="E15828" t="s">
        <v>340</v>
      </c>
      <c r="F15828" t="s">
        <v>0</v>
      </c>
      <c r="G15828" t="s">
        <v>47093</v>
      </c>
      <c r="H15828" t="s">
        <v>47153</v>
      </c>
      <c r="I15828" t="s">
        <v>47132</v>
      </c>
      <c r="J15828" t="s">
        <v>47133</v>
      </c>
      <c r="K15828" t="s">
        <v>47113</v>
      </c>
      <c r="L15828">
        <v>37.17</v>
      </c>
      <c r="M15828">
        <v>76</v>
      </c>
      <c r="N15828">
        <v>0</v>
      </c>
      <c r="O15828">
        <v>76</v>
      </c>
      <c r="P15828">
        <v>0</v>
      </c>
    </row>
    <row r="15829" spans="1:16" x14ac:dyDescent="0.25">
      <c r="A15829" t="s">
        <v>38493</v>
      </c>
      <c r="B15829" t="s">
        <v>373</v>
      </c>
      <c r="C15829" t="s">
        <v>374</v>
      </c>
      <c r="D15829" t="s">
        <v>341</v>
      </c>
      <c r="E15829" t="s">
        <v>342</v>
      </c>
      <c r="F15829" t="s">
        <v>0</v>
      </c>
      <c r="G15829" t="s">
        <v>47093</v>
      </c>
      <c r="H15829" t="s">
        <v>47153</v>
      </c>
      <c r="I15829" t="s">
        <v>47132</v>
      </c>
      <c r="J15829" t="s">
        <v>47133</v>
      </c>
      <c r="K15829" t="s">
        <v>47113</v>
      </c>
      <c r="L15829">
        <v>30.65</v>
      </c>
      <c r="M15829">
        <v>67</v>
      </c>
      <c r="N15829">
        <v>0</v>
      </c>
      <c r="O15829">
        <v>67</v>
      </c>
      <c r="P15829">
        <v>0</v>
      </c>
    </row>
    <row r="15830" spans="1:16" x14ac:dyDescent="0.25">
      <c r="A15830" t="s">
        <v>38494</v>
      </c>
      <c r="B15830" t="s">
        <v>373</v>
      </c>
      <c r="C15830" t="s">
        <v>374</v>
      </c>
      <c r="D15830" t="s">
        <v>343</v>
      </c>
      <c r="E15830" t="s">
        <v>344</v>
      </c>
      <c r="F15830" t="s">
        <v>0</v>
      </c>
      <c r="G15830" t="s">
        <v>47093</v>
      </c>
      <c r="H15830" t="s">
        <v>47153</v>
      </c>
      <c r="I15830" t="s">
        <v>47132</v>
      </c>
      <c r="J15830" t="s">
        <v>47133</v>
      </c>
      <c r="K15830" t="s">
        <v>47113</v>
      </c>
      <c r="L15830">
        <v>45.69</v>
      </c>
      <c r="M15830">
        <v>84</v>
      </c>
      <c r="N15830">
        <v>0</v>
      </c>
      <c r="O15830">
        <v>84</v>
      </c>
      <c r="P15830">
        <v>0</v>
      </c>
    </row>
    <row r="15831" spans="1:16" x14ac:dyDescent="0.25">
      <c r="A15831" t="s">
        <v>38495</v>
      </c>
      <c r="B15831" t="s">
        <v>375</v>
      </c>
      <c r="C15831" t="s">
        <v>376</v>
      </c>
      <c r="D15831" t="s">
        <v>339</v>
      </c>
      <c r="E15831" t="s">
        <v>340</v>
      </c>
      <c r="F15831" t="s">
        <v>0</v>
      </c>
      <c r="G15831" t="s">
        <v>47093</v>
      </c>
      <c r="H15831" t="s">
        <v>47153</v>
      </c>
      <c r="I15831" t="s">
        <v>47132</v>
      </c>
      <c r="J15831" t="s">
        <v>47133</v>
      </c>
      <c r="K15831" t="s">
        <v>47113</v>
      </c>
      <c r="L15831">
        <v>41.66</v>
      </c>
      <c r="M15831">
        <v>76</v>
      </c>
      <c r="N15831">
        <v>0</v>
      </c>
      <c r="O15831">
        <v>76</v>
      </c>
      <c r="P15831">
        <v>0</v>
      </c>
    </row>
    <row r="15832" spans="1:16" x14ac:dyDescent="0.25">
      <c r="A15832" t="s">
        <v>38496</v>
      </c>
      <c r="B15832" t="s">
        <v>375</v>
      </c>
      <c r="C15832" t="s">
        <v>376</v>
      </c>
      <c r="D15832" t="s">
        <v>343</v>
      </c>
      <c r="E15832" t="s">
        <v>344</v>
      </c>
      <c r="F15832" t="s">
        <v>0</v>
      </c>
      <c r="G15832" t="s">
        <v>47093</v>
      </c>
      <c r="H15832" t="s">
        <v>47153</v>
      </c>
      <c r="I15832" t="s">
        <v>47132</v>
      </c>
      <c r="J15832" t="s">
        <v>47133</v>
      </c>
      <c r="K15832" t="s">
        <v>47113</v>
      </c>
      <c r="L15832">
        <v>41.19</v>
      </c>
      <c r="M15832">
        <v>84</v>
      </c>
      <c r="N15832">
        <v>0</v>
      </c>
      <c r="O15832">
        <v>84</v>
      </c>
      <c r="P15832">
        <v>0</v>
      </c>
    </row>
    <row r="15833" spans="1:16" x14ac:dyDescent="0.25">
      <c r="A15833" t="s">
        <v>38497</v>
      </c>
      <c r="B15833" t="s">
        <v>375</v>
      </c>
      <c r="C15833" t="s">
        <v>376</v>
      </c>
      <c r="D15833" t="s">
        <v>364</v>
      </c>
      <c r="E15833" t="s">
        <v>365</v>
      </c>
      <c r="F15833" t="s">
        <v>0</v>
      </c>
      <c r="G15833" t="s">
        <v>47093</v>
      </c>
      <c r="H15833" t="s">
        <v>47153</v>
      </c>
      <c r="I15833" t="s">
        <v>47132</v>
      </c>
      <c r="J15833" t="s">
        <v>47133</v>
      </c>
      <c r="K15833" t="s">
        <v>47113</v>
      </c>
      <c r="L15833">
        <v>41.66</v>
      </c>
      <c r="M15833">
        <v>84</v>
      </c>
      <c r="N15833">
        <v>0</v>
      </c>
      <c r="O15833">
        <v>84</v>
      </c>
      <c r="P15833">
        <v>0</v>
      </c>
    </row>
    <row r="15834" spans="1:16" x14ac:dyDescent="0.25">
      <c r="A15834" t="s">
        <v>38498</v>
      </c>
      <c r="B15834" t="s">
        <v>377</v>
      </c>
      <c r="C15834" t="s">
        <v>376</v>
      </c>
      <c r="D15834" t="s">
        <v>331</v>
      </c>
      <c r="E15834" t="s">
        <v>332</v>
      </c>
      <c r="F15834" t="s">
        <v>0</v>
      </c>
      <c r="G15834" t="s">
        <v>47093</v>
      </c>
      <c r="H15834" t="s">
        <v>47153</v>
      </c>
      <c r="I15834" t="s">
        <v>47132</v>
      </c>
      <c r="J15834" t="s">
        <v>47133</v>
      </c>
      <c r="K15834" t="s">
        <v>47113</v>
      </c>
      <c r="L15834">
        <v>44.16</v>
      </c>
      <c r="M15834">
        <v>80</v>
      </c>
      <c r="N15834">
        <v>0</v>
      </c>
      <c r="O15834">
        <v>80</v>
      </c>
      <c r="P15834">
        <v>0</v>
      </c>
    </row>
    <row r="15835" spans="1:16" x14ac:dyDescent="0.25">
      <c r="A15835" t="s">
        <v>38499</v>
      </c>
      <c r="B15835" t="s">
        <v>377</v>
      </c>
      <c r="C15835" t="s">
        <v>376</v>
      </c>
      <c r="D15835" t="s">
        <v>333</v>
      </c>
      <c r="E15835" t="s">
        <v>334</v>
      </c>
      <c r="F15835" t="s">
        <v>0</v>
      </c>
      <c r="G15835" t="s">
        <v>47093</v>
      </c>
      <c r="H15835" t="s">
        <v>47153</v>
      </c>
      <c r="I15835" t="s">
        <v>47132</v>
      </c>
      <c r="J15835" t="s">
        <v>47133</v>
      </c>
      <c r="K15835" t="s">
        <v>47113</v>
      </c>
      <c r="L15835">
        <v>50.07</v>
      </c>
      <c r="M15835">
        <v>80</v>
      </c>
      <c r="N15835">
        <v>0</v>
      </c>
      <c r="O15835">
        <v>80</v>
      </c>
      <c r="P15835">
        <v>0</v>
      </c>
    </row>
    <row r="15836" spans="1:16" x14ac:dyDescent="0.25">
      <c r="A15836" t="s">
        <v>38500</v>
      </c>
      <c r="B15836" t="s">
        <v>377</v>
      </c>
      <c r="C15836" t="s">
        <v>376</v>
      </c>
      <c r="D15836" t="s">
        <v>335</v>
      </c>
      <c r="E15836" t="s">
        <v>336</v>
      </c>
      <c r="F15836" t="s">
        <v>0</v>
      </c>
      <c r="G15836" t="s">
        <v>47093</v>
      </c>
      <c r="H15836" t="s">
        <v>47153</v>
      </c>
      <c r="I15836" t="s">
        <v>47132</v>
      </c>
      <c r="J15836" t="s">
        <v>47133</v>
      </c>
      <c r="K15836" t="s">
        <v>47113</v>
      </c>
      <c r="L15836">
        <v>42.61</v>
      </c>
      <c r="M15836">
        <v>80</v>
      </c>
      <c r="N15836">
        <v>0</v>
      </c>
      <c r="O15836">
        <v>80</v>
      </c>
      <c r="P15836">
        <v>0</v>
      </c>
    </row>
    <row r="15837" spans="1:16" x14ac:dyDescent="0.25">
      <c r="A15837" t="s">
        <v>38501</v>
      </c>
      <c r="B15837" t="s">
        <v>377</v>
      </c>
      <c r="C15837" t="s">
        <v>376</v>
      </c>
      <c r="D15837" t="s">
        <v>356</v>
      </c>
      <c r="E15837" t="s">
        <v>357</v>
      </c>
      <c r="F15837" t="s">
        <v>0</v>
      </c>
      <c r="G15837" t="s">
        <v>47093</v>
      </c>
      <c r="H15837" t="s">
        <v>47153</v>
      </c>
      <c r="I15837" t="s">
        <v>47132</v>
      </c>
      <c r="J15837" t="s">
        <v>47133</v>
      </c>
      <c r="K15837" t="s">
        <v>47113</v>
      </c>
      <c r="L15837">
        <v>49.95</v>
      </c>
      <c r="M15837">
        <v>80</v>
      </c>
      <c r="N15837">
        <v>0</v>
      </c>
      <c r="O15837">
        <v>80</v>
      </c>
      <c r="P15837">
        <v>0</v>
      </c>
    </row>
    <row r="15838" spans="1:16" x14ac:dyDescent="0.25">
      <c r="A15838" t="s">
        <v>38502</v>
      </c>
      <c r="B15838" t="s">
        <v>377</v>
      </c>
      <c r="C15838" t="s">
        <v>376</v>
      </c>
      <c r="D15838" t="s">
        <v>378</v>
      </c>
      <c r="E15838" t="s">
        <v>379</v>
      </c>
      <c r="F15838" t="s">
        <v>0</v>
      </c>
      <c r="G15838" t="s">
        <v>47093</v>
      </c>
      <c r="H15838" t="s">
        <v>47153</v>
      </c>
      <c r="I15838" t="s">
        <v>47132</v>
      </c>
      <c r="J15838" t="s">
        <v>47133</v>
      </c>
      <c r="K15838" t="s">
        <v>47113</v>
      </c>
      <c r="L15838">
        <v>45.93</v>
      </c>
      <c r="M15838">
        <v>80</v>
      </c>
      <c r="N15838">
        <v>0</v>
      </c>
      <c r="O15838">
        <v>80</v>
      </c>
      <c r="P15838">
        <v>0</v>
      </c>
    </row>
    <row r="15839" spans="1:16" x14ac:dyDescent="0.25">
      <c r="A15839" t="s">
        <v>38503</v>
      </c>
      <c r="B15839" t="s">
        <v>380</v>
      </c>
      <c r="C15839" t="s">
        <v>381</v>
      </c>
      <c r="D15839" t="s">
        <v>341</v>
      </c>
      <c r="E15839" t="s">
        <v>342</v>
      </c>
      <c r="F15839" t="s">
        <v>0</v>
      </c>
      <c r="G15839" t="s">
        <v>47093</v>
      </c>
      <c r="H15839" t="s">
        <v>47153</v>
      </c>
      <c r="I15839" t="s">
        <v>47132</v>
      </c>
      <c r="J15839" t="s">
        <v>47133</v>
      </c>
      <c r="K15839" t="s">
        <v>47113</v>
      </c>
      <c r="L15839">
        <v>33.03</v>
      </c>
      <c r="M15839">
        <v>67</v>
      </c>
      <c r="N15839">
        <v>0</v>
      </c>
      <c r="O15839">
        <v>67</v>
      </c>
      <c r="P15839">
        <v>0</v>
      </c>
    </row>
    <row r="15840" spans="1:16" x14ac:dyDescent="0.25">
      <c r="A15840" t="s">
        <v>14662</v>
      </c>
      <c r="B15840" t="s">
        <v>380</v>
      </c>
      <c r="C15840" t="s">
        <v>381</v>
      </c>
      <c r="D15840" t="s">
        <v>343</v>
      </c>
      <c r="E15840" t="s">
        <v>344</v>
      </c>
      <c r="F15840" t="s">
        <v>0</v>
      </c>
      <c r="G15840" t="s">
        <v>47093</v>
      </c>
      <c r="H15840" t="s">
        <v>47153</v>
      </c>
      <c r="I15840" t="s">
        <v>47132</v>
      </c>
      <c r="J15840" t="s">
        <v>47133</v>
      </c>
      <c r="K15840" t="s">
        <v>47113</v>
      </c>
      <c r="L15840">
        <v>47.94</v>
      </c>
      <c r="M15840">
        <v>84</v>
      </c>
      <c r="N15840">
        <v>0</v>
      </c>
      <c r="O15840">
        <v>84</v>
      </c>
      <c r="P15840">
        <v>0</v>
      </c>
    </row>
    <row r="15841" spans="1:16" x14ac:dyDescent="0.25">
      <c r="A15841" t="s">
        <v>14663</v>
      </c>
      <c r="B15841" t="s">
        <v>382</v>
      </c>
      <c r="C15841" t="s">
        <v>383</v>
      </c>
      <c r="D15841" t="s">
        <v>384</v>
      </c>
      <c r="E15841" t="s">
        <v>385</v>
      </c>
      <c r="F15841" t="s">
        <v>0</v>
      </c>
      <c r="G15841" t="s">
        <v>47093</v>
      </c>
      <c r="H15841" t="s">
        <v>47153</v>
      </c>
      <c r="I15841" t="s">
        <v>47132</v>
      </c>
      <c r="J15841" t="s">
        <v>47133</v>
      </c>
      <c r="K15841" t="s">
        <v>47113</v>
      </c>
      <c r="L15841">
        <v>47.71</v>
      </c>
      <c r="M15841">
        <v>88</v>
      </c>
      <c r="N15841">
        <v>0</v>
      </c>
      <c r="O15841">
        <v>88</v>
      </c>
      <c r="P15841">
        <v>0</v>
      </c>
    </row>
    <row r="15842" spans="1:16" x14ac:dyDescent="0.25">
      <c r="A15842" t="s">
        <v>38504</v>
      </c>
      <c r="B15842" t="s">
        <v>10736</v>
      </c>
      <c r="C15842" t="s">
        <v>10737</v>
      </c>
      <c r="D15842" t="str">
        <f>"1001"</f>
        <v>1001</v>
      </c>
      <c r="E15842" t="s">
        <v>42</v>
      </c>
      <c r="F15842" t="s">
        <v>0</v>
      </c>
      <c r="G15842" t="s">
        <v>47098</v>
      </c>
      <c r="H15842" t="s">
        <v>47126</v>
      </c>
      <c r="I15842" t="s">
        <v>47120</v>
      </c>
      <c r="J15842" t="s">
        <v>47121</v>
      </c>
      <c r="K15842" t="s">
        <v>47113</v>
      </c>
      <c r="L15842">
        <v>126.44</v>
      </c>
      <c r="M15842">
        <v>275</v>
      </c>
      <c r="N15842">
        <v>0</v>
      </c>
      <c r="O15842">
        <v>275</v>
      </c>
      <c r="P15842">
        <v>0</v>
      </c>
    </row>
    <row r="15843" spans="1:16" x14ac:dyDescent="0.25">
      <c r="A15843" t="s">
        <v>38505</v>
      </c>
      <c r="B15843" t="s">
        <v>10736</v>
      </c>
      <c r="C15843" t="s">
        <v>10737</v>
      </c>
      <c r="D15843" t="str">
        <f>"1701"</f>
        <v>1701</v>
      </c>
      <c r="E15843" t="s">
        <v>55</v>
      </c>
      <c r="F15843" t="s">
        <v>0</v>
      </c>
      <c r="G15843" t="s">
        <v>47098</v>
      </c>
      <c r="H15843" t="s">
        <v>47126</v>
      </c>
      <c r="I15843" t="s">
        <v>47120</v>
      </c>
      <c r="J15843" t="s">
        <v>47121</v>
      </c>
      <c r="K15843" t="s">
        <v>47113</v>
      </c>
      <c r="L15843">
        <v>126.44</v>
      </c>
      <c r="M15843">
        <v>275</v>
      </c>
      <c r="N15843">
        <v>0</v>
      </c>
      <c r="O15843">
        <v>275</v>
      </c>
      <c r="P15843">
        <v>0</v>
      </c>
    </row>
    <row r="15844" spans="1:16" x14ac:dyDescent="0.25">
      <c r="A15844" t="s">
        <v>38506</v>
      </c>
      <c r="B15844" t="s">
        <v>10736</v>
      </c>
      <c r="C15844" t="s">
        <v>10737</v>
      </c>
      <c r="D15844" t="str">
        <f>"3002"</f>
        <v>3002</v>
      </c>
      <c r="E15844" t="s">
        <v>10738</v>
      </c>
      <c r="F15844" t="s">
        <v>0</v>
      </c>
      <c r="G15844" t="s">
        <v>47098</v>
      </c>
      <c r="H15844" t="s">
        <v>47126</v>
      </c>
      <c r="I15844" t="s">
        <v>47120</v>
      </c>
      <c r="J15844" t="s">
        <v>47121</v>
      </c>
      <c r="K15844" t="s">
        <v>47113</v>
      </c>
      <c r="L15844">
        <v>126.44</v>
      </c>
      <c r="M15844">
        <v>275</v>
      </c>
      <c r="N15844">
        <v>0</v>
      </c>
      <c r="O15844">
        <v>275</v>
      </c>
      <c r="P15844">
        <v>0</v>
      </c>
    </row>
    <row r="15845" spans="1:16" x14ac:dyDescent="0.25">
      <c r="A15845" t="s">
        <v>38507</v>
      </c>
      <c r="B15845" t="s">
        <v>10736</v>
      </c>
      <c r="C15845" t="s">
        <v>10737</v>
      </c>
      <c r="D15845" t="str">
        <f>"3498"</f>
        <v>3498</v>
      </c>
      <c r="E15845" t="s">
        <v>10739</v>
      </c>
      <c r="F15845" t="s">
        <v>0</v>
      </c>
      <c r="G15845" t="s">
        <v>47098</v>
      </c>
      <c r="H15845" t="s">
        <v>47126</v>
      </c>
      <c r="I15845" t="s">
        <v>47120</v>
      </c>
      <c r="J15845" t="s">
        <v>47121</v>
      </c>
      <c r="K15845" t="s">
        <v>47113</v>
      </c>
      <c r="L15845">
        <v>126.44</v>
      </c>
      <c r="M15845">
        <v>275</v>
      </c>
      <c r="N15845">
        <v>0</v>
      </c>
      <c r="O15845">
        <v>275</v>
      </c>
      <c r="P15845">
        <v>0</v>
      </c>
    </row>
    <row r="15846" spans="1:16" x14ac:dyDescent="0.25">
      <c r="A15846" t="s">
        <v>38508</v>
      </c>
      <c r="B15846" t="s">
        <v>10740</v>
      </c>
      <c r="C15846" t="s">
        <v>10741</v>
      </c>
      <c r="D15846" t="str">
        <f>"1001"</f>
        <v>1001</v>
      </c>
      <c r="E15846" t="s">
        <v>42</v>
      </c>
      <c r="F15846" t="s">
        <v>0</v>
      </c>
      <c r="G15846" t="s">
        <v>47098</v>
      </c>
      <c r="H15846" t="s">
        <v>47126</v>
      </c>
      <c r="I15846" t="s">
        <v>47120</v>
      </c>
      <c r="J15846" t="s">
        <v>47121</v>
      </c>
      <c r="K15846" t="s">
        <v>47113</v>
      </c>
      <c r="L15846">
        <v>124.58</v>
      </c>
      <c r="M15846">
        <v>272</v>
      </c>
      <c r="N15846">
        <v>0</v>
      </c>
      <c r="O15846">
        <v>272</v>
      </c>
      <c r="P15846">
        <v>0</v>
      </c>
    </row>
    <row r="15847" spans="1:16" x14ac:dyDescent="0.25">
      <c r="A15847" t="s">
        <v>38509</v>
      </c>
      <c r="B15847" t="s">
        <v>10740</v>
      </c>
      <c r="C15847" t="s">
        <v>10741</v>
      </c>
      <c r="D15847" t="str">
        <f>"1701"</f>
        <v>1701</v>
      </c>
      <c r="E15847" t="s">
        <v>55</v>
      </c>
      <c r="F15847" t="s">
        <v>0</v>
      </c>
      <c r="G15847" t="s">
        <v>47098</v>
      </c>
      <c r="H15847" t="s">
        <v>47126</v>
      </c>
      <c r="I15847" t="s">
        <v>47120</v>
      </c>
      <c r="J15847" t="s">
        <v>47121</v>
      </c>
      <c r="K15847" t="s">
        <v>47113</v>
      </c>
      <c r="L15847">
        <v>124.58</v>
      </c>
      <c r="M15847">
        <v>272</v>
      </c>
      <c r="N15847">
        <v>0</v>
      </c>
      <c r="O15847">
        <v>272</v>
      </c>
      <c r="P15847">
        <v>0</v>
      </c>
    </row>
    <row r="15848" spans="1:16" x14ac:dyDescent="0.25">
      <c r="A15848" t="s">
        <v>38510</v>
      </c>
      <c r="B15848" t="s">
        <v>10742</v>
      </c>
      <c r="C15848" t="s">
        <v>10743</v>
      </c>
      <c r="D15848" t="str">
        <f>"2000"</f>
        <v>2000</v>
      </c>
      <c r="E15848" t="s">
        <v>4299</v>
      </c>
      <c r="F15848" t="s">
        <v>0</v>
      </c>
      <c r="G15848" t="s">
        <v>47098</v>
      </c>
      <c r="H15848" t="s">
        <v>47126</v>
      </c>
      <c r="I15848" t="s">
        <v>47120</v>
      </c>
      <c r="J15848" t="s">
        <v>47121</v>
      </c>
      <c r="K15848" t="s">
        <v>47113</v>
      </c>
      <c r="L15848">
        <v>115.79</v>
      </c>
      <c r="M15848">
        <v>252</v>
      </c>
      <c r="N15848">
        <v>0</v>
      </c>
      <c r="O15848">
        <v>252</v>
      </c>
      <c r="P15848">
        <v>0</v>
      </c>
    </row>
    <row r="15849" spans="1:16" x14ac:dyDescent="0.25">
      <c r="A15849" t="s">
        <v>38511</v>
      </c>
      <c r="B15849" t="s">
        <v>10744</v>
      </c>
      <c r="C15849" t="s">
        <v>387</v>
      </c>
      <c r="D15849" t="str">
        <f>"1370"</f>
        <v>1370</v>
      </c>
      <c r="E15849" t="s">
        <v>2162</v>
      </c>
      <c r="F15849" t="s">
        <v>0</v>
      </c>
      <c r="G15849" t="s">
        <v>47094</v>
      </c>
      <c r="H15849" t="s">
        <v>47126</v>
      </c>
      <c r="I15849" t="s">
        <v>47127</v>
      </c>
      <c r="J15849" t="s">
        <v>47128</v>
      </c>
      <c r="K15849" t="s">
        <v>47113</v>
      </c>
      <c r="L15849">
        <v>30.41</v>
      </c>
      <c r="M15849">
        <v>63</v>
      </c>
      <c r="N15849">
        <v>0</v>
      </c>
      <c r="O15849">
        <v>63</v>
      </c>
      <c r="P15849">
        <v>0</v>
      </c>
    </row>
    <row r="15850" spans="1:16" x14ac:dyDescent="0.25">
      <c r="A15850" t="s">
        <v>38512</v>
      </c>
      <c r="B15850" t="s">
        <v>10744</v>
      </c>
      <c r="C15850" t="s">
        <v>387</v>
      </c>
      <c r="D15850" t="str">
        <f>"2300"</f>
        <v>2300</v>
      </c>
      <c r="E15850" t="s">
        <v>10745</v>
      </c>
      <c r="F15850" t="s">
        <v>0</v>
      </c>
      <c r="G15850" t="s">
        <v>47094</v>
      </c>
      <c r="H15850" t="s">
        <v>47126</v>
      </c>
      <c r="I15850" t="s">
        <v>47127</v>
      </c>
      <c r="J15850" t="s">
        <v>47128</v>
      </c>
      <c r="K15850" t="s">
        <v>47113</v>
      </c>
      <c r="L15850">
        <v>30.41</v>
      </c>
      <c r="M15850">
        <v>63</v>
      </c>
      <c r="N15850">
        <v>0</v>
      </c>
      <c r="O15850">
        <v>63</v>
      </c>
      <c r="P15850">
        <v>0</v>
      </c>
    </row>
    <row r="15851" spans="1:16" x14ac:dyDescent="0.25">
      <c r="A15851" t="s">
        <v>38513</v>
      </c>
      <c r="B15851" t="s">
        <v>10746</v>
      </c>
      <c r="C15851" t="s">
        <v>387</v>
      </c>
      <c r="D15851" t="str">
        <f>"1285"</f>
        <v>1285</v>
      </c>
      <c r="E15851" t="s">
        <v>4312</v>
      </c>
      <c r="F15851" t="s">
        <v>0</v>
      </c>
      <c r="G15851" t="s">
        <v>47094</v>
      </c>
      <c r="H15851" t="s">
        <v>47126</v>
      </c>
      <c r="I15851" t="s">
        <v>47127</v>
      </c>
      <c r="J15851" t="s">
        <v>47128</v>
      </c>
      <c r="K15851" t="s">
        <v>47113</v>
      </c>
      <c r="L15851">
        <v>30.77</v>
      </c>
      <c r="M15851">
        <v>63</v>
      </c>
      <c r="N15851">
        <v>0</v>
      </c>
      <c r="O15851">
        <v>63</v>
      </c>
      <c r="P15851">
        <v>0</v>
      </c>
    </row>
    <row r="15852" spans="1:16" x14ac:dyDescent="0.25">
      <c r="A15852" t="s">
        <v>38514</v>
      </c>
      <c r="B15852" t="s">
        <v>10746</v>
      </c>
      <c r="C15852" t="s">
        <v>387</v>
      </c>
      <c r="D15852" t="str">
        <f>"1700"</f>
        <v>1700</v>
      </c>
      <c r="E15852" t="s">
        <v>60</v>
      </c>
      <c r="F15852" t="s">
        <v>0</v>
      </c>
      <c r="G15852" t="s">
        <v>47094</v>
      </c>
      <c r="H15852" t="s">
        <v>47126</v>
      </c>
      <c r="I15852" t="s">
        <v>47127</v>
      </c>
      <c r="J15852" t="s">
        <v>47128</v>
      </c>
      <c r="K15852" t="s">
        <v>47113</v>
      </c>
      <c r="L15852">
        <v>30.77</v>
      </c>
      <c r="M15852">
        <v>63</v>
      </c>
      <c r="N15852">
        <v>0</v>
      </c>
      <c r="O15852">
        <v>63</v>
      </c>
      <c r="P15852">
        <v>0</v>
      </c>
    </row>
    <row r="15853" spans="1:16" x14ac:dyDescent="0.25">
      <c r="A15853" t="s">
        <v>38515</v>
      </c>
      <c r="B15853" t="s">
        <v>10746</v>
      </c>
      <c r="C15853" t="s">
        <v>387</v>
      </c>
      <c r="D15853" t="str">
        <f>"4000"</f>
        <v>4000</v>
      </c>
      <c r="E15853" t="s">
        <v>461</v>
      </c>
      <c r="F15853" t="s">
        <v>0</v>
      </c>
      <c r="G15853" t="s">
        <v>47094</v>
      </c>
      <c r="H15853" t="s">
        <v>47126</v>
      </c>
      <c r="I15853" t="s">
        <v>47127</v>
      </c>
      <c r="J15853" t="s">
        <v>47128</v>
      </c>
      <c r="K15853" t="s">
        <v>47113</v>
      </c>
      <c r="L15853">
        <v>30.77</v>
      </c>
      <c r="M15853">
        <v>63</v>
      </c>
      <c r="N15853">
        <v>0</v>
      </c>
      <c r="O15853">
        <v>63</v>
      </c>
      <c r="P15853">
        <v>0</v>
      </c>
    </row>
    <row r="15854" spans="1:16" x14ac:dyDescent="0.25">
      <c r="A15854" t="s">
        <v>38516</v>
      </c>
      <c r="B15854" t="s">
        <v>10746</v>
      </c>
      <c r="C15854" t="s">
        <v>387</v>
      </c>
      <c r="D15854" t="str">
        <f>"4643"</f>
        <v>4643</v>
      </c>
      <c r="E15854" t="s">
        <v>205</v>
      </c>
      <c r="F15854" t="s">
        <v>0</v>
      </c>
      <c r="G15854" t="s">
        <v>47094</v>
      </c>
      <c r="H15854" t="s">
        <v>47126</v>
      </c>
      <c r="I15854" t="s">
        <v>47127</v>
      </c>
      <c r="J15854" t="s">
        <v>47128</v>
      </c>
      <c r="K15854" t="s">
        <v>47113</v>
      </c>
      <c r="L15854">
        <v>30.77</v>
      </c>
      <c r="M15854">
        <v>63</v>
      </c>
      <c r="N15854">
        <v>0</v>
      </c>
      <c r="O15854">
        <v>63</v>
      </c>
      <c r="P15854">
        <v>0</v>
      </c>
    </row>
    <row r="15855" spans="1:16" x14ac:dyDescent="0.25">
      <c r="A15855" t="s">
        <v>38517</v>
      </c>
      <c r="B15855" t="s">
        <v>10746</v>
      </c>
      <c r="C15855" t="s">
        <v>387</v>
      </c>
      <c r="D15855" t="str">
        <f>"4730"</f>
        <v>4730</v>
      </c>
      <c r="E15855" t="s">
        <v>461</v>
      </c>
      <c r="F15855" t="s">
        <v>0</v>
      </c>
      <c r="G15855" t="s">
        <v>47094</v>
      </c>
      <c r="H15855" t="s">
        <v>47126</v>
      </c>
      <c r="I15855" t="s">
        <v>47127</v>
      </c>
      <c r="J15855" t="s">
        <v>47128</v>
      </c>
      <c r="K15855" t="s">
        <v>47113</v>
      </c>
      <c r="L15855">
        <v>30.77</v>
      </c>
      <c r="M15855">
        <v>63</v>
      </c>
      <c r="N15855">
        <v>0</v>
      </c>
      <c r="O15855">
        <v>63</v>
      </c>
      <c r="P15855">
        <v>0</v>
      </c>
    </row>
    <row r="15856" spans="1:16" x14ac:dyDescent="0.25">
      <c r="A15856" t="s">
        <v>38518</v>
      </c>
      <c r="B15856" t="s">
        <v>10746</v>
      </c>
      <c r="C15856" t="s">
        <v>387</v>
      </c>
      <c r="D15856" t="str">
        <f>"6000"</f>
        <v>6000</v>
      </c>
      <c r="E15856" t="s">
        <v>390</v>
      </c>
      <c r="F15856" t="s">
        <v>0</v>
      </c>
      <c r="G15856" t="s">
        <v>47094</v>
      </c>
      <c r="H15856" t="s">
        <v>47126</v>
      </c>
      <c r="I15856" t="s">
        <v>47127</v>
      </c>
      <c r="J15856" t="s">
        <v>47128</v>
      </c>
      <c r="K15856" t="s">
        <v>47113</v>
      </c>
      <c r="L15856">
        <v>30.77</v>
      </c>
      <c r="M15856">
        <v>63</v>
      </c>
      <c r="N15856">
        <v>0</v>
      </c>
      <c r="O15856">
        <v>63</v>
      </c>
      <c r="P15856">
        <v>0</v>
      </c>
    </row>
    <row r="15857" spans="1:16" x14ac:dyDescent="0.25">
      <c r="A15857" t="s">
        <v>15089</v>
      </c>
      <c r="B15857" t="s">
        <v>386</v>
      </c>
      <c r="C15857" t="s">
        <v>387</v>
      </c>
      <c r="D15857" t="str">
        <f>"1377"</f>
        <v>1377</v>
      </c>
      <c r="E15857" t="s">
        <v>74</v>
      </c>
      <c r="F15857" t="s">
        <v>0</v>
      </c>
      <c r="G15857" t="s">
        <v>47094</v>
      </c>
      <c r="H15857" t="s">
        <v>47126</v>
      </c>
      <c r="I15857" t="s">
        <v>47127</v>
      </c>
      <c r="J15857" t="s">
        <v>47128</v>
      </c>
      <c r="K15857" t="s">
        <v>47113</v>
      </c>
      <c r="L15857">
        <v>33.19</v>
      </c>
      <c r="M15857">
        <v>70</v>
      </c>
      <c r="N15857">
        <v>0</v>
      </c>
      <c r="O15857">
        <v>70</v>
      </c>
      <c r="P15857">
        <v>0</v>
      </c>
    </row>
    <row r="15858" spans="1:16" x14ac:dyDescent="0.25">
      <c r="A15858" t="s">
        <v>15090</v>
      </c>
      <c r="B15858" t="s">
        <v>386</v>
      </c>
      <c r="C15858" t="s">
        <v>387</v>
      </c>
      <c r="D15858" t="str">
        <f>"1378"</f>
        <v>1378</v>
      </c>
      <c r="E15858" t="s">
        <v>388</v>
      </c>
      <c r="F15858" t="s">
        <v>0</v>
      </c>
      <c r="G15858" t="s">
        <v>47094</v>
      </c>
      <c r="H15858" t="s">
        <v>47126</v>
      </c>
      <c r="I15858" t="s">
        <v>47127</v>
      </c>
      <c r="J15858" t="s">
        <v>47128</v>
      </c>
      <c r="K15858" t="s">
        <v>47113</v>
      </c>
      <c r="L15858">
        <v>33.19</v>
      </c>
      <c r="M15858">
        <v>70</v>
      </c>
      <c r="N15858">
        <v>0</v>
      </c>
      <c r="O15858">
        <v>70</v>
      </c>
      <c r="P15858">
        <v>0</v>
      </c>
    </row>
    <row r="15859" spans="1:16" x14ac:dyDescent="0.25">
      <c r="A15859" t="s">
        <v>15091</v>
      </c>
      <c r="B15859" t="s">
        <v>386</v>
      </c>
      <c r="C15859" t="s">
        <v>387</v>
      </c>
      <c r="D15859" t="str">
        <f>"1700"</f>
        <v>1700</v>
      </c>
      <c r="E15859" t="s">
        <v>60</v>
      </c>
      <c r="F15859" t="s">
        <v>0</v>
      </c>
      <c r="G15859" t="s">
        <v>47094</v>
      </c>
      <c r="H15859" t="s">
        <v>47126</v>
      </c>
      <c r="I15859" t="s">
        <v>47127</v>
      </c>
      <c r="J15859" t="s">
        <v>47128</v>
      </c>
      <c r="K15859" t="s">
        <v>47113</v>
      </c>
      <c r="L15859">
        <v>33.19</v>
      </c>
      <c r="M15859">
        <v>70</v>
      </c>
      <c r="N15859">
        <v>0</v>
      </c>
      <c r="O15859">
        <v>70</v>
      </c>
      <c r="P15859">
        <v>0</v>
      </c>
    </row>
    <row r="15860" spans="1:16" x14ac:dyDescent="0.25">
      <c r="A15860" t="s">
        <v>38519</v>
      </c>
      <c r="B15860" t="s">
        <v>386</v>
      </c>
      <c r="C15860" t="s">
        <v>387</v>
      </c>
      <c r="D15860" t="str">
        <f>"4000"</f>
        <v>4000</v>
      </c>
      <c r="E15860" t="s">
        <v>461</v>
      </c>
      <c r="F15860" t="s">
        <v>0</v>
      </c>
      <c r="G15860" t="s">
        <v>47094</v>
      </c>
      <c r="H15860" t="s">
        <v>47126</v>
      </c>
      <c r="I15860" t="s">
        <v>47127</v>
      </c>
      <c r="J15860" t="s">
        <v>47128</v>
      </c>
      <c r="K15860" t="s">
        <v>47113</v>
      </c>
      <c r="L15860">
        <v>33.19</v>
      </c>
      <c r="M15860">
        <v>70</v>
      </c>
      <c r="N15860">
        <v>0</v>
      </c>
      <c r="O15860">
        <v>70</v>
      </c>
      <c r="P15860">
        <v>0</v>
      </c>
    </row>
    <row r="15861" spans="1:16" x14ac:dyDescent="0.25">
      <c r="A15861" t="s">
        <v>38520</v>
      </c>
      <c r="B15861" t="s">
        <v>386</v>
      </c>
      <c r="C15861" t="s">
        <v>387</v>
      </c>
      <c r="D15861" t="str">
        <f>"4643"</f>
        <v>4643</v>
      </c>
      <c r="E15861" t="s">
        <v>205</v>
      </c>
      <c r="F15861" t="s">
        <v>0</v>
      </c>
      <c r="G15861" t="s">
        <v>47094</v>
      </c>
      <c r="H15861" t="s">
        <v>47126</v>
      </c>
      <c r="I15861" t="s">
        <v>47127</v>
      </c>
      <c r="J15861" t="s">
        <v>47128</v>
      </c>
      <c r="K15861" t="s">
        <v>47113</v>
      </c>
      <c r="L15861">
        <v>33.19</v>
      </c>
      <c r="M15861">
        <v>70</v>
      </c>
      <c r="N15861">
        <v>0</v>
      </c>
      <c r="O15861">
        <v>70</v>
      </c>
      <c r="P15861">
        <v>0</v>
      </c>
    </row>
    <row r="15862" spans="1:16" x14ac:dyDescent="0.25">
      <c r="A15862" t="s">
        <v>38521</v>
      </c>
      <c r="B15862" t="s">
        <v>386</v>
      </c>
      <c r="C15862" t="s">
        <v>387</v>
      </c>
      <c r="D15862" t="str">
        <f>"4730"</f>
        <v>4730</v>
      </c>
      <c r="E15862" t="s">
        <v>461</v>
      </c>
      <c r="F15862" t="s">
        <v>0</v>
      </c>
      <c r="G15862" t="s">
        <v>47094</v>
      </c>
      <c r="H15862" t="s">
        <v>47126</v>
      </c>
      <c r="I15862" t="s">
        <v>47127</v>
      </c>
      <c r="J15862" t="s">
        <v>47128</v>
      </c>
      <c r="K15862" t="s">
        <v>47113</v>
      </c>
      <c r="L15862">
        <v>33.19</v>
      </c>
      <c r="M15862">
        <v>70</v>
      </c>
      <c r="N15862">
        <v>0</v>
      </c>
      <c r="O15862">
        <v>70</v>
      </c>
      <c r="P15862">
        <v>0</v>
      </c>
    </row>
    <row r="15863" spans="1:16" x14ac:dyDescent="0.25">
      <c r="A15863" t="s">
        <v>38522</v>
      </c>
      <c r="B15863" t="s">
        <v>386</v>
      </c>
      <c r="C15863" t="s">
        <v>387</v>
      </c>
      <c r="D15863" t="str">
        <f>"6000"</f>
        <v>6000</v>
      </c>
      <c r="E15863" t="s">
        <v>390</v>
      </c>
      <c r="F15863" t="s">
        <v>0</v>
      </c>
      <c r="G15863" t="s">
        <v>47094</v>
      </c>
      <c r="H15863" t="s">
        <v>47126</v>
      </c>
      <c r="I15863" t="s">
        <v>47127</v>
      </c>
      <c r="J15863" t="s">
        <v>47128</v>
      </c>
      <c r="K15863" t="s">
        <v>47113</v>
      </c>
      <c r="L15863">
        <v>33.19</v>
      </c>
      <c r="M15863">
        <v>70</v>
      </c>
      <c r="N15863">
        <v>0</v>
      </c>
      <c r="O15863">
        <v>70</v>
      </c>
      <c r="P15863">
        <v>0</v>
      </c>
    </row>
    <row r="15864" spans="1:16" x14ac:dyDescent="0.25">
      <c r="A15864" t="s">
        <v>38523</v>
      </c>
      <c r="B15864" t="s">
        <v>386</v>
      </c>
      <c r="C15864" t="s">
        <v>387</v>
      </c>
      <c r="D15864" t="str">
        <f>"6064"</f>
        <v>6064</v>
      </c>
      <c r="E15864" t="s">
        <v>87</v>
      </c>
      <c r="F15864" t="s">
        <v>0</v>
      </c>
      <c r="G15864" t="s">
        <v>47094</v>
      </c>
      <c r="H15864" t="s">
        <v>47126</v>
      </c>
      <c r="I15864" t="s">
        <v>47127</v>
      </c>
      <c r="J15864" t="s">
        <v>47128</v>
      </c>
      <c r="K15864" t="s">
        <v>47113</v>
      </c>
      <c r="L15864">
        <v>33.19</v>
      </c>
      <c r="M15864">
        <v>70</v>
      </c>
      <c r="N15864">
        <v>0</v>
      </c>
      <c r="O15864">
        <v>70</v>
      </c>
      <c r="P15864">
        <v>0</v>
      </c>
    </row>
    <row r="15865" spans="1:16" x14ac:dyDescent="0.25">
      <c r="A15865" t="s">
        <v>38524</v>
      </c>
      <c r="B15865" t="s">
        <v>389</v>
      </c>
      <c r="C15865" t="s">
        <v>387</v>
      </c>
      <c r="D15865" t="str">
        <f>"1285"</f>
        <v>1285</v>
      </c>
      <c r="E15865" t="s">
        <v>4312</v>
      </c>
      <c r="F15865" t="s">
        <v>0</v>
      </c>
      <c r="G15865" t="s">
        <v>47094</v>
      </c>
      <c r="H15865" t="s">
        <v>47126</v>
      </c>
      <c r="I15865" t="s">
        <v>47127</v>
      </c>
      <c r="J15865" t="s">
        <v>47128</v>
      </c>
      <c r="K15865" t="s">
        <v>47113</v>
      </c>
      <c r="L15865">
        <v>33.19</v>
      </c>
      <c r="M15865">
        <v>70</v>
      </c>
      <c r="N15865">
        <v>0</v>
      </c>
      <c r="O15865">
        <v>70</v>
      </c>
      <c r="P15865">
        <v>0</v>
      </c>
    </row>
    <row r="15866" spans="1:16" x14ac:dyDescent="0.25">
      <c r="A15866" t="s">
        <v>38525</v>
      </c>
      <c r="B15866" t="s">
        <v>389</v>
      </c>
      <c r="C15866" t="s">
        <v>387</v>
      </c>
      <c r="D15866" t="str">
        <f>"1377"</f>
        <v>1377</v>
      </c>
      <c r="E15866" t="s">
        <v>74</v>
      </c>
      <c r="F15866" t="s">
        <v>0</v>
      </c>
      <c r="G15866" t="s">
        <v>47094</v>
      </c>
      <c r="H15866" t="s">
        <v>47126</v>
      </c>
      <c r="I15866" t="s">
        <v>47127</v>
      </c>
      <c r="J15866" t="s">
        <v>47128</v>
      </c>
      <c r="K15866" t="s">
        <v>47113</v>
      </c>
      <c r="L15866">
        <v>33.19</v>
      </c>
      <c r="M15866">
        <v>70</v>
      </c>
      <c r="N15866">
        <v>0</v>
      </c>
      <c r="O15866">
        <v>70</v>
      </c>
      <c r="P15866">
        <v>0</v>
      </c>
    </row>
    <row r="15867" spans="1:16" x14ac:dyDescent="0.25">
      <c r="A15867" t="s">
        <v>38526</v>
      </c>
      <c r="B15867" t="s">
        <v>389</v>
      </c>
      <c r="C15867" t="s">
        <v>387</v>
      </c>
      <c r="D15867" t="str">
        <f>"1378"</f>
        <v>1378</v>
      </c>
      <c r="E15867" t="s">
        <v>388</v>
      </c>
      <c r="F15867" t="s">
        <v>0</v>
      </c>
      <c r="G15867" t="s">
        <v>47094</v>
      </c>
      <c r="H15867" t="s">
        <v>47126</v>
      </c>
      <c r="I15867" t="s">
        <v>47127</v>
      </c>
      <c r="J15867" t="s">
        <v>47128</v>
      </c>
      <c r="K15867" t="s">
        <v>47113</v>
      </c>
      <c r="L15867">
        <v>33.19</v>
      </c>
      <c r="M15867">
        <v>70</v>
      </c>
      <c r="N15867">
        <v>0</v>
      </c>
      <c r="O15867">
        <v>70</v>
      </c>
      <c r="P15867">
        <v>0</v>
      </c>
    </row>
    <row r="15868" spans="1:16" x14ac:dyDescent="0.25">
      <c r="A15868" t="s">
        <v>38527</v>
      </c>
      <c r="B15868" t="s">
        <v>389</v>
      </c>
      <c r="C15868" t="s">
        <v>387</v>
      </c>
      <c r="D15868" t="str">
        <f>"1700"</f>
        <v>1700</v>
      </c>
      <c r="E15868" t="s">
        <v>60</v>
      </c>
      <c r="F15868" t="s">
        <v>0</v>
      </c>
      <c r="G15868" t="s">
        <v>47094</v>
      </c>
      <c r="H15868" t="s">
        <v>47126</v>
      </c>
      <c r="I15868" t="s">
        <v>47127</v>
      </c>
      <c r="J15868" t="s">
        <v>47128</v>
      </c>
      <c r="K15868" t="s">
        <v>47113</v>
      </c>
      <c r="L15868">
        <v>33.19</v>
      </c>
      <c r="M15868">
        <v>70</v>
      </c>
      <c r="N15868">
        <v>0</v>
      </c>
      <c r="O15868">
        <v>70</v>
      </c>
      <c r="P15868">
        <v>0</v>
      </c>
    </row>
    <row r="15869" spans="1:16" x14ac:dyDescent="0.25">
      <c r="A15869" t="s">
        <v>38528</v>
      </c>
      <c r="B15869" t="s">
        <v>389</v>
      </c>
      <c r="C15869" t="s">
        <v>387</v>
      </c>
      <c r="D15869" t="str">
        <f>"3000"</f>
        <v>3000</v>
      </c>
      <c r="E15869" t="s">
        <v>4319</v>
      </c>
      <c r="F15869" t="s">
        <v>0</v>
      </c>
      <c r="G15869" t="s">
        <v>47094</v>
      </c>
      <c r="H15869" t="s">
        <v>47126</v>
      </c>
      <c r="I15869" t="s">
        <v>47127</v>
      </c>
      <c r="J15869" t="s">
        <v>47128</v>
      </c>
      <c r="K15869" t="s">
        <v>47113</v>
      </c>
      <c r="L15869">
        <v>33.19</v>
      </c>
      <c r="M15869">
        <v>70</v>
      </c>
      <c r="N15869">
        <v>0</v>
      </c>
      <c r="O15869">
        <v>70</v>
      </c>
      <c r="P15869">
        <v>0</v>
      </c>
    </row>
    <row r="15870" spans="1:16" x14ac:dyDescent="0.25">
      <c r="A15870" t="s">
        <v>38529</v>
      </c>
      <c r="B15870" t="s">
        <v>389</v>
      </c>
      <c r="C15870" t="s">
        <v>387</v>
      </c>
      <c r="D15870" t="str">
        <f>"4000"</f>
        <v>4000</v>
      </c>
      <c r="E15870" t="s">
        <v>2222</v>
      </c>
      <c r="F15870" t="s">
        <v>0</v>
      </c>
      <c r="G15870" t="s">
        <v>47094</v>
      </c>
      <c r="H15870" t="s">
        <v>47126</v>
      </c>
      <c r="I15870" t="s">
        <v>47127</v>
      </c>
      <c r="J15870" t="s">
        <v>47128</v>
      </c>
      <c r="K15870" t="s">
        <v>47113</v>
      </c>
      <c r="L15870">
        <v>33.19</v>
      </c>
      <c r="M15870">
        <v>70</v>
      </c>
      <c r="N15870">
        <v>0</v>
      </c>
      <c r="O15870">
        <v>70</v>
      </c>
      <c r="P15870">
        <v>0</v>
      </c>
    </row>
    <row r="15871" spans="1:16" x14ac:dyDescent="0.25">
      <c r="A15871" t="s">
        <v>38530</v>
      </c>
      <c r="B15871" t="s">
        <v>389</v>
      </c>
      <c r="C15871" t="s">
        <v>387</v>
      </c>
      <c r="D15871" t="str">
        <f>"4730"</f>
        <v>4730</v>
      </c>
      <c r="E15871" t="s">
        <v>461</v>
      </c>
      <c r="F15871" t="s">
        <v>0</v>
      </c>
      <c r="G15871" t="s">
        <v>47094</v>
      </c>
      <c r="H15871" t="s">
        <v>47126</v>
      </c>
      <c r="I15871" t="s">
        <v>47127</v>
      </c>
      <c r="J15871" t="s">
        <v>47128</v>
      </c>
      <c r="K15871" t="s">
        <v>47113</v>
      </c>
      <c r="L15871">
        <v>33.18</v>
      </c>
      <c r="M15871">
        <v>70</v>
      </c>
      <c r="N15871">
        <v>0</v>
      </c>
      <c r="O15871">
        <v>70</v>
      </c>
      <c r="P15871">
        <v>0</v>
      </c>
    </row>
    <row r="15872" spans="1:16" x14ac:dyDescent="0.25">
      <c r="A15872" t="s">
        <v>15092</v>
      </c>
      <c r="B15872" t="s">
        <v>389</v>
      </c>
      <c r="C15872" t="s">
        <v>387</v>
      </c>
      <c r="D15872" t="str">
        <f>"6000"</f>
        <v>6000</v>
      </c>
      <c r="E15872" t="s">
        <v>390</v>
      </c>
      <c r="F15872" t="s">
        <v>0</v>
      </c>
      <c r="G15872" t="s">
        <v>47094</v>
      </c>
      <c r="H15872" t="s">
        <v>47126</v>
      </c>
      <c r="I15872" t="s">
        <v>47127</v>
      </c>
      <c r="J15872" t="s">
        <v>47128</v>
      </c>
      <c r="K15872" t="s">
        <v>47113</v>
      </c>
      <c r="L15872">
        <v>33.19</v>
      </c>
      <c r="M15872">
        <v>70</v>
      </c>
      <c r="N15872">
        <v>0</v>
      </c>
      <c r="O15872">
        <v>70</v>
      </c>
      <c r="P15872">
        <v>0</v>
      </c>
    </row>
    <row r="15873" spans="1:16" x14ac:dyDescent="0.25">
      <c r="A15873" t="s">
        <v>38531</v>
      </c>
      <c r="B15873" t="s">
        <v>10747</v>
      </c>
      <c r="C15873" t="s">
        <v>10748</v>
      </c>
      <c r="D15873" t="str">
        <f>"1285"</f>
        <v>1285</v>
      </c>
      <c r="E15873" t="s">
        <v>4312</v>
      </c>
      <c r="F15873" t="s">
        <v>0</v>
      </c>
      <c r="G15873" t="s">
        <v>47091</v>
      </c>
      <c r="H15873" t="s">
        <v>47126</v>
      </c>
      <c r="I15873" t="s">
        <v>47127</v>
      </c>
      <c r="J15873" t="s">
        <v>47128</v>
      </c>
      <c r="K15873" t="s">
        <v>47113</v>
      </c>
      <c r="L15873">
        <v>20.399999999999999</v>
      </c>
      <c r="M15873">
        <v>44</v>
      </c>
      <c r="N15873">
        <v>0</v>
      </c>
      <c r="O15873">
        <v>44</v>
      </c>
      <c r="P15873">
        <v>0</v>
      </c>
    </row>
    <row r="15874" spans="1:16" x14ac:dyDescent="0.25">
      <c r="A15874" t="s">
        <v>38532</v>
      </c>
      <c r="B15874" t="s">
        <v>10747</v>
      </c>
      <c r="C15874" t="s">
        <v>10748</v>
      </c>
      <c r="D15874" t="str">
        <f>"1700"</f>
        <v>1700</v>
      </c>
      <c r="E15874" t="s">
        <v>60</v>
      </c>
      <c r="F15874" t="s">
        <v>0</v>
      </c>
      <c r="G15874" t="s">
        <v>47091</v>
      </c>
      <c r="H15874" t="s">
        <v>47126</v>
      </c>
      <c r="I15874" t="s">
        <v>47127</v>
      </c>
      <c r="J15874" t="s">
        <v>47128</v>
      </c>
      <c r="K15874" t="s">
        <v>47113</v>
      </c>
      <c r="L15874">
        <v>20.399999999999999</v>
      </c>
      <c r="M15874">
        <v>44</v>
      </c>
      <c r="N15874">
        <v>0</v>
      </c>
      <c r="O15874">
        <v>44</v>
      </c>
      <c r="P15874">
        <v>0</v>
      </c>
    </row>
    <row r="15875" spans="1:16" x14ac:dyDescent="0.25">
      <c r="A15875" t="s">
        <v>38533</v>
      </c>
      <c r="B15875" t="s">
        <v>10747</v>
      </c>
      <c r="C15875" t="s">
        <v>10748</v>
      </c>
      <c r="D15875" t="str">
        <f>"4000"</f>
        <v>4000</v>
      </c>
      <c r="E15875" t="s">
        <v>461</v>
      </c>
      <c r="F15875" t="s">
        <v>0</v>
      </c>
      <c r="G15875" t="s">
        <v>47091</v>
      </c>
      <c r="H15875" t="s">
        <v>47126</v>
      </c>
      <c r="I15875" t="s">
        <v>47127</v>
      </c>
      <c r="J15875" t="s">
        <v>47128</v>
      </c>
      <c r="K15875" t="s">
        <v>47113</v>
      </c>
      <c r="L15875">
        <v>20.399999999999999</v>
      </c>
      <c r="M15875">
        <v>44</v>
      </c>
      <c r="N15875">
        <v>0</v>
      </c>
      <c r="O15875">
        <v>44</v>
      </c>
      <c r="P15875">
        <v>0</v>
      </c>
    </row>
    <row r="15876" spans="1:16" x14ac:dyDescent="0.25">
      <c r="A15876" t="s">
        <v>38534</v>
      </c>
      <c r="B15876" t="s">
        <v>10747</v>
      </c>
      <c r="C15876" t="s">
        <v>10748</v>
      </c>
      <c r="D15876" t="str">
        <f>"6000"</f>
        <v>6000</v>
      </c>
      <c r="E15876" t="s">
        <v>390</v>
      </c>
      <c r="F15876" t="s">
        <v>0</v>
      </c>
      <c r="G15876" t="s">
        <v>47091</v>
      </c>
      <c r="H15876" t="s">
        <v>47126</v>
      </c>
      <c r="I15876" t="s">
        <v>47127</v>
      </c>
      <c r="J15876" t="s">
        <v>47128</v>
      </c>
      <c r="K15876" t="s">
        <v>47113</v>
      </c>
      <c r="L15876">
        <v>20.399999999999999</v>
      </c>
      <c r="M15876">
        <v>44</v>
      </c>
      <c r="N15876">
        <v>0</v>
      </c>
      <c r="O15876">
        <v>44</v>
      </c>
      <c r="P15876">
        <v>0</v>
      </c>
    </row>
    <row r="15877" spans="1:16" x14ac:dyDescent="0.25">
      <c r="A15877" t="s">
        <v>38535</v>
      </c>
      <c r="B15877" t="s">
        <v>10749</v>
      </c>
      <c r="C15877" t="s">
        <v>10750</v>
      </c>
      <c r="D15877" t="str">
        <f>"1001"</f>
        <v>1001</v>
      </c>
      <c r="E15877" t="s">
        <v>4318</v>
      </c>
      <c r="F15877" t="s">
        <v>0</v>
      </c>
      <c r="G15877" t="s">
        <v>47096</v>
      </c>
      <c r="H15877" t="s">
        <v>47126</v>
      </c>
      <c r="I15877" t="s">
        <v>47127</v>
      </c>
      <c r="J15877" t="s">
        <v>47128</v>
      </c>
      <c r="K15877" t="s">
        <v>47113</v>
      </c>
      <c r="L15877">
        <v>21.12</v>
      </c>
      <c r="M15877">
        <v>44</v>
      </c>
      <c r="N15877">
        <v>0</v>
      </c>
      <c r="O15877">
        <v>44</v>
      </c>
      <c r="P15877">
        <v>0</v>
      </c>
    </row>
    <row r="15878" spans="1:16" x14ac:dyDescent="0.25">
      <c r="A15878" t="s">
        <v>38536</v>
      </c>
      <c r="B15878" t="s">
        <v>10749</v>
      </c>
      <c r="C15878" t="s">
        <v>10750</v>
      </c>
      <c r="D15878" t="str">
        <f>"1377"</f>
        <v>1377</v>
      </c>
      <c r="E15878" t="s">
        <v>74</v>
      </c>
      <c r="F15878" t="s">
        <v>0</v>
      </c>
      <c r="G15878" t="s">
        <v>47096</v>
      </c>
      <c r="H15878" t="s">
        <v>47126</v>
      </c>
      <c r="I15878" t="s">
        <v>47127</v>
      </c>
      <c r="J15878" t="s">
        <v>47128</v>
      </c>
      <c r="K15878" t="s">
        <v>47113</v>
      </c>
      <c r="L15878">
        <v>21.12</v>
      </c>
      <c r="M15878">
        <v>44</v>
      </c>
      <c r="N15878">
        <v>0</v>
      </c>
      <c r="O15878">
        <v>44</v>
      </c>
      <c r="P15878">
        <v>0</v>
      </c>
    </row>
    <row r="15879" spans="1:16" x14ac:dyDescent="0.25">
      <c r="A15879" t="s">
        <v>38537</v>
      </c>
      <c r="B15879" t="s">
        <v>10749</v>
      </c>
      <c r="C15879" t="s">
        <v>10750</v>
      </c>
      <c r="D15879" t="str">
        <f>"4000"</f>
        <v>4000</v>
      </c>
      <c r="E15879" t="s">
        <v>461</v>
      </c>
      <c r="F15879" t="s">
        <v>0</v>
      </c>
      <c r="G15879" t="s">
        <v>47096</v>
      </c>
      <c r="H15879" t="s">
        <v>47126</v>
      </c>
      <c r="I15879" t="s">
        <v>47127</v>
      </c>
      <c r="J15879" t="s">
        <v>47128</v>
      </c>
      <c r="K15879" t="s">
        <v>47113</v>
      </c>
      <c r="L15879">
        <v>21.12</v>
      </c>
      <c r="M15879">
        <v>44</v>
      </c>
      <c r="N15879">
        <v>0</v>
      </c>
      <c r="O15879">
        <v>44</v>
      </c>
      <c r="P15879">
        <v>0</v>
      </c>
    </row>
    <row r="15880" spans="1:16" x14ac:dyDescent="0.25">
      <c r="A15880" t="s">
        <v>38538</v>
      </c>
      <c r="B15880" t="s">
        <v>10749</v>
      </c>
      <c r="C15880" t="s">
        <v>10750</v>
      </c>
      <c r="D15880" t="str">
        <f>"6000"</f>
        <v>6000</v>
      </c>
      <c r="E15880" t="s">
        <v>390</v>
      </c>
      <c r="F15880" t="s">
        <v>0</v>
      </c>
      <c r="G15880" t="s">
        <v>47096</v>
      </c>
      <c r="H15880" t="s">
        <v>47126</v>
      </c>
      <c r="I15880" t="s">
        <v>47127</v>
      </c>
      <c r="J15880" t="s">
        <v>47128</v>
      </c>
      <c r="K15880" t="s">
        <v>47113</v>
      </c>
      <c r="L15880">
        <v>21.12</v>
      </c>
      <c r="M15880">
        <v>44</v>
      </c>
      <c r="N15880">
        <v>0</v>
      </c>
      <c r="O15880">
        <v>44</v>
      </c>
      <c r="P15880">
        <v>0</v>
      </c>
    </row>
    <row r="15881" spans="1:16" x14ac:dyDescent="0.25">
      <c r="A15881" t="s">
        <v>38539</v>
      </c>
      <c r="B15881" t="s">
        <v>10751</v>
      </c>
      <c r="C15881" t="s">
        <v>10750</v>
      </c>
      <c r="D15881" t="str">
        <f>"1285"</f>
        <v>1285</v>
      </c>
      <c r="E15881" t="s">
        <v>4312</v>
      </c>
      <c r="F15881" t="s">
        <v>0</v>
      </c>
      <c r="G15881" t="s">
        <v>47096</v>
      </c>
      <c r="H15881" t="s">
        <v>47126</v>
      </c>
      <c r="I15881" t="s">
        <v>47127</v>
      </c>
      <c r="J15881" t="s">
        <v>47128</v>
      </c>
      <c r="K15881" t="s">
        <v>47113</v>
      </c>
      <c r="L15881">
        <v>23.53</v>
      </c>
      <c r="M15881">
        <v>48</v>
      </c>
      <c r="N15881">
        <v>0</v>
      </c>
      <c r="O15881">
        <v>48</v>
      </c>
      <c r="P15881">
        <v>0</v>
      </c>
    </row>
    <row r="15882" spans="1:16" x14ac:dyDescent="0.25">
      <c r="A15882" t="s">
        <v>38540</v>
      </c>
      <c r="B15882" t="s">
        <v>10751</v>
      </c>
      <c r="C15882" t="s">
        <v>10750</v>
      </c>
      <c r="D15882" t="str">
        <f>"4000"</f>
        <v>4000</v>
      </c>
      <c r="E15882" t="s">
        <v>461</v>
      </c>
      <c r="F15882" t="s">
        <v>0</v>
      </c>
      <c r="G15882" t="s">
        <v>47096</v>
      </c>
      <c r="H15882" t="s">
        <v>47126</v>
      </c>
      <c r="I15882" t="s">
        <v>47127</v>
      </c>
      <c r="J15882" t="s">
        <v>47128</v>
      </c>
      <c r="K15882" t="s">
        <v>47113</v>
      </c>
      <c r="L15882">
        <v>23.53</v>
      </c>
      <c r="M15882">
        <v>48</v>
      </c>
      <c r="N15882">
        <v>0</v>
      </c>
      <c r="O15882">
        <v>48</v>
      </c>
      <c r="P15882">
        <v>0</v>
      </c>
    </row>
    <row r="15883" spans="1:16" x14ac:dyDescent="0.25">
      <c r="A15883" t="s">
        <v>38541</v>
      </c>
      <c r="B15883" t="s">
        <v>10751</v>
      </c>
      <c r="C15883" t="s">
        <v>10750</v>
      </c>
      <c r="D15883" t="str">
        <f>"4643"</f>
        <v>4643</v>
      </c>
      <c r="E15883" t="s">
        <v>205</v>
      </c>
      <c r="F15883" t="s">
        <v>0</v>
      </c>
      <c r="G15883" t="s">
        <v>47096</v>
      </c>
      <c r="H15883" t="s">
        <v>47126</v>
      </c>
      <c r="I15883" t="s">
        <v>47127</v>
      </c>
      <c r="J15883" t="s">
        <v>47128</v>
      </c>
      <c r="K15883" t="s">
        <v>47113</v>
      </c>
      <c r="L15883">
        <v>23.53</v>
      </c>
      <c r="M15883">
        <v>48</v>
      </c>
      <c r="N15883">
        <v>0</v>
      </c>
      <c r="O15883">
        <v>48</v>
      </c>
      <c r="P15883">
        <v>0</v>
      </c>
    </row>
    <row r="15884" spans="1:16" x14ac:dyDescent="0.25">
      <c r="A15884" t="s">
        <v>38542</v>
      </c>
      <c r="B15884" t="s">
        <v>10751</v>
      </c>
      <c r="C15884" t="s">
        <v>10750</v>
      </c>
      <c r="D15884" t="str">
        <f>"4730"</f>
        <v>4730</v>
      </c>
      <c r="E15884" t="s">
        <v>461</v>
      </c>
      <c r="F15884" t="s">
        <v>0</v>
      </c>
      <c r="G15884" t="s">
        <v>47096</v>
      </c>
      <c r="H15884" t="s">
        <v>47126</v>
      </c>
      <c r="I15884" t="s">
        <v>47127</v>
      </c>
      <c r="J15884" t="s">
        <v>47128</v>
      </c>
      <c r="K15884" t="s">
        <v>47113</v>
      </c>
      <c r="L15884">
        <v>23.53</v>
      </c>
      <c r="M15884">
        <v>48</v>
      </c>
      <c r="N15884">
        <v>0</v>
      </c>
      <c r="O15884">
        <v>48</v>
      </c>
      <c r="P15884">
        <v>0</v>
      </c>
    </row>
    <row r="15885" spans="1:16" x14ac:dyDescent="0.25">
      <c r="A15885" t="s">
        <v>38543</v>
      </c>
      <c r="B15885" t="s">
        <v>10751</v>
      </c>
      <c r="C15885" t="s">
        <v>10750</v>
      </c>
      <c r="D15885" t="str">
        <f>"6000"</f>
        <v>6000</v>
      </c>
      <c r="E15885" t="s">
        <v>390</v>
      </c>
      <c r="F15885" t="s">
        <v>0</v>
      </c>
      <c r="G15885" t="s">
        <v>47096</v>
      </c>
      <c r="H15885" t="s">
        <v>47126</v>
      </c>
      <c r="I15885" t="s">
        <v>47127</v>
      </c>
      <c r="J15885" t="s">
        <v>47128</v>
      </c>
      <c r="K15885" t="s">
        <v>47113</v>
      </c>
      <c r="L15885">
        <v>23.53</v>
      </c>
      <c r="M15885">
        <v>48</v>
      </c>
      <c r="N15885">
        <v>0</v>
      </c>
      <c r="O15885">
        <v>48</v>
      </c>
      <c r="P15885">
        <v>0</v>
      </c>
    </row>
    <row r="15886" spans="1:16" x14ac:dyDescent="0.25">
      <c r="A15886" t="s">
        <v>38544</v>
      </c>
      <c r="B15886" t="s">
        <v>10752</v>
      </c>
      <c r="C15886" t="s">
        <v>10753</v>
      </c>
      <c r="D15886" t="str">
        <f>"4143"</f>
        <v>4143</v>
      </c>
      <c r="E15886" t="s">
        <v>261</v>
      </c>
      <c r="F15886" t="s">
        <v>0</v>
      </c>
      <c r="G15886" t="s">
        <v>47096</v>
      </c>
      <c r="H15886" t="s">
        <v>47126</v>
      </c>
      <c r="I15886" t="s">
        <v>47127</v>
      </c>
      <c r="J15886" t="s">
        <v>47128</v>
      </c>
      <c r="K15886" t="s">
        <v>47113</v>
      </c>
      <c r="L15886">
        <v>25.97</v>
      </c>
      <c r="M15886">
        <v>48</v>
      </c>
      <c r="N15886">
        <v>0</v>
      </c>
      <c r="O15886">
        <v>48</v>
      </c>
      <c r="P15886">
        <v>0</v>
      </c>
    </row>
    <row r="15887" spans="1:16" x14ac:dyDescent="0.25">
      <c r="A15887" t="s">
        <v>38545</v>
      </c>
      <c r="B15887" t="s">
        <v>10752</v>
      </c>
      <c r="C15887" t="s">
        <v>10753</v>
      </c>
      <c r="D15887" t="str">
        <f>"6000"</f>
        <v>6000</v>
      </c>
      <c r="E15887" t="s">
        <v>390</v>
      </c>
      <c r="F15887" t="s">
        <v>0</v>
      </c>
      <c r="G15887" t="s">
        <v>47096</v>
      </c>
      <c r="H15887" t="s">
        <v>47126</v>
      </c>
      <c r="I15887" t="s">
        <v>47127</v>
      </c>
      <c r="J15887" t="s">
        <v>47128</v>
      </c>
      <c r="K15887" t="s">
        <v>47113</v>
      </c>
      <c r="L15887">
        <v>25.97</v>
      </c>
      <c r="M15887">
        <v>48</v>
      </c>
      <c r="N15887">
        <v>0</v>
      </c>
      <c r="O15887">
        <v>48</v>
      </c>
      <c r="P15887">
        <v>0</v>
      </c>
    </row>
    <row r="15888" spans="1:16" x14ac:dyDescent="0.25">
      <c r="A15888" t="s">
        <v>38546</v>
      </c>
      <c r="B15888" t="s">
        <v>10754</v>
      </c>
      <c r="C15888" t="s">
        <v>10755</v>
      </c>
      <c r="D15888" t="str">
        <f>"4143"</f>
        <v>4143</v>
      </c>
      <c r="E15888" t="s">
        <v>261</v>
      </c>
      <c r="F15888" t="s">
        <v>0</v>
      </c>
      <c r="G15888" t="s">
        <v>47098</v>
      </c>
      <c r="H15888" t="s">
        <v>47126</v>
      </c>
      <c r="I15888" t="s">
        <v>47127</v>
      </c>
      <c r="J15888" t="s">
        <v>47128</v>
      </c>
      <c r="K15888" t="s">
        <v>47113</v>
      </c>
      <c r="L15888">
        <v>28.23</v>
      </c>
      <c r="M15888">
        <v>59</v>
      </c>
      <c r="N15888">
        <v>0</v>
      </c>
      <c r="O15888">
        <v>59</v>
      </c>
      <c r="P15888">
        <v>0</v>
      </c>
    </row>
    <row r="15889" spans="1:16" x14ac:dyDescent="0.25">
      <c r="A15889" t="s">
        <v>38547</v>
      </c>
      <c r="B15889" t="s">
        <v>10754</v>
      </c>
      <c r="C15889" t="s">
        <v>10755</v>
      </c>
      <c r="D15889" t="str">
        <f>"6000"</f>
        <v>6000</v>
      </c>
      <c r="E15889" t="s">
        <v>390</v>
      </c>
      <c r="F15889" t="s">
        <v>0</v>
      </c>
      <c r="G15889" t="s">
        <v>47098</v>
      </c>
      <c r="H15889" t="s">
        <v>47126</v>
      </c>
      <c r="I15889" t="s">
        <v>47127</v>
      </c>
      <c r="J15889" t="s">
        <v>47128</v>
      </c>
      <c r="K15889" t="s">
        <v>47113</v>
      </c>
      <c r="L15889">
        <v>28.23</v>
      </c>
      <c r="M15889">
        <v>59</v>
      </c>
      <c r="N15889">
        <v>0</v>
      </c>
      <c r="O15889">
        <v>59</v>
      </c>
      <c r="P15889">
        <v>0</v>
      </c>
    </row>
    <row r="15890" spans="1:16" x14ac:dyDescent="0.25">
      <c r="A15890" t="s">
        <v>38548</v>
      </c>
      <c r="B15890" t="s">
        <v>10756</v>
      </c>
      <c r="C15890" t="s">
        <v>6116</v>
      </c>
      <c r="D15890" t="str">
        <f>"1377"</f>
        <v>1377</v>
      </c>
      <c r="E15890" t="s">
        <v>74</v>
      </c>
      <c r="F15890" t="s">
        <v>0</v>
      </c>
      <c r="G15890" t="s">
        <v>47098</v>
      </c>
      <c r="H15890" t="s">
        <v>47126</v>
      </c>
      <c r="I15890" t="s">
        <v>47127</v>
      </c>
      <c r="J15890" t="s">
        <v>47128</v>
      </c>
      <c r="K15890" t="s">
        <v>47113</v>
      </c>
      <c r="L15890">
        <v>32.46</v>
      </c>
      <c r="M15890">
        <v>67</v>
      </c>
      <c r="N15890">
        <v>0</v>
      </c>
      <c r="O15890">
        <v>67</v>
      </c>
      <c r="P15890">
        <v>0</v>
      </c>
    </row>
    <row r="15891" spans="1:16" x14ac:dyDescent="0.25">
      <c r="A15891" t="s">
        <v>38549</v>
      </c>
      <c r="B15891" t="s">
        <v>10756</v>
      </c>
      <c r="C15891" t="s">
        <v>6116</v>
      </c>
      <c r="D15891" t="str">
        <f>"1378"</f>
        <v>1378</v>
      </c>
      <c r="E15891" t="s">
        <v>388</v>
      </c>
      <c r="F15891" t="s">
        <v>0</v>
      </c>
      <c r="G15891" t="s">
        <v>47098</v>
      </c>
      <c r="H15891" t="s">
        <v>47126</v>
      </c>
      <c r="I15891" t="s">
        <v>47127</v>
      </c>
      <c r="J15891" t="s">
        <v>47128</v>
      </c>
      <c r="K15891" t="s">
        <v>47113</v>
      </c>
      <c r="L15891">
        <v>32.46</v>
      </c>
      <c r="M15891">
        <v>67</v>
      </c>
      <c r="N15891">
        <v>0</v>
      </c>
      <c r="O15891">
        <v>67</v>
      </c>
      <c r="P15891">
        <v>0</v>
      </c>
    </row>
    <row r="15892" spans="1:16" x14ac:dyDescent="0.25">
      <c r="A15892" t="s">
        <v>38550</v>
      </c>
      <c r="B15892" t="s">
        <v>10756</v>
      </c>
      <c r="C15892" t="s">
        <v>6116</v>
      </c>
      <c r="D15892" t="str">
        <f>"3000"</f>
        <v>3000</v>
      </c>
      <c r="E15892" t="s">
        <v>4319</v>
      </c>
      <c r="F15892" t="s">
        <v>0</v>
      </c>
      <c r="G15892" t="s">
        <v>47098</v>
      </c>
      <c r="H15892" t="s">
        <v>47126</v>
      </c>
      <c r="I15892" t="s">
        <v>47127</v>
      </c>
      <c r="J15892" t="s">
        <v>47128</v>
      </c>
      <c r="K15892" t="s">
        <v>47113</v>
      </c>
      <c r="L15892">
        <v>32.46</v>
      </c>
      <c r="M15892">
        <v>67</v>
      </c>
      <c r="N15892">
        <v>0</v>
      </c>
      <c r="O15892">
        <v>67</v>
      </c>
      <c r="P15892">
        <v>0</v>
      </c>
    </row>
    <row r="15893" spans="1:16" x14ac:dyDescent="0.25">
      <c r="A15893" t="s">
        <v>38551</v>
      </c>
      <c r="B15893" t="s">
        <v>10756</v>
      </c>
      <c r="C15893" t="s">
        <v>6116</v>
      </c>
      <c r="D15893" t="str">
        <f>"4000"</f>
        <v>4000</v>
      </c>
      <c r="E15893" t="s">
        <v>2222</v>
      </c>
      <c r="F15893" t="s">
        <v>0</v>
      </c>
      <c r="G15893" t="s">
        <v>47098</v>
      </c>
      <c r="H15893" t="s">
        <v>47126</v>
      </c>
      <c r="I15893" t="s">
        <v>47127</v>
      </c>
      <c r="J15893" t="s">
        <v>47128</v>
      </c>
      <c r="K15893" t="s">
        <v>47113</v>
      </c>
      <c r="L15893">
        <v>32.46</v>
      </c>
      <c r="M15893">
        <v>67</v>
      </c>
      <c r="N15893">
        <v>0</v>
      </c>
      <c r="O15893">
        <v>67</v>
      </c>
      <c r="P15893">
        <v>0</v>
      </c>
    </row>
    <row r="15894" spans="1:16" x14ac:dyDescent="0.25">
      <c r="A15894" t="s">
        <v>38552</v>
      </c>
      <c r="B15894" t="s">
        <v>10756</v>
      </c>
      <c r="C15894" t="s">
        <v>6116</v>
      </c>
      <c r="D15894" t="str">
        <f>"6000"</f>
        <v>6000</v>
      </c>
      <c r="E15894" t="s">
        <v>390</v>
      </c>
      <c r="F15894" t="s">
        <v>0</v>
      </c>
      <c r="G15894" t="s">
        <v>47098</v>
      </c>
      <c r="H15894" t="s">
        <v>47126</v>
      </c>
      <c r="I15894" t="s">
        <v>47127</v>
      </c>
      <c r="J15894" t="s">
        <v>47128</v>
      </c>
      <c r="K15894" t="s">
        <v>47113</v>
      </c>
      <c r="L15894">
        <v>32.46</v>
      </c>
      <c r="M15894">
        <v>67</v>
      </c>
      <c r="N15894">
        <v>0</v>
      </c>
      <c r="O15894">
        <v>67</v>
      </c>
      <c r="P15894">
        <v>0</v>
      </c>
    </row>
    <row r="15895" spans="1:16" x14ac:dyDescent="0.25">
      <c r="A15895" t="s">
        <v>38553</v>
      </c>
      <c r="B15895" t="s">
        <v>10757</v>
      </c>
      <c r="C15895" t="s">
        <v>10758</v>
      </c>
      <c r="D15895" t="str">
        <f>"4143"</f>
        <v>4143</v>
      </c>
      <c r="E15895" t="s">
        <v>261</v>
      </c>
      <c r="F15895" t="s">
        <v>0</v>
      </c>
      <c r="G15895" t="s">
        <v>49029</v>
      </c>
      <c r="H15895" t="s">
        <v>47126</v>
      </c>
      <c r="I15895" t="s">
        <v>47127</v>
      </c>
      <c r="J15895" t="s">
        <v>47128</v>
      </c>
      <c r="K15895" t="s">
        <v>47113</v>
      </c>
      <c r="L15895">
        <v>14.72</v>
      </c>
      <c r="M15895">
        <v>30</v>
      </c>
      <c r="N15895">
        <v>0</v>
      </c>
      <c r="O15895">
        <v>30</v>
      </c>
      <c r="P15895">
        <v>0</v>
      </c>
    </row>
    <row r="15896" spans="1:16" x14ac:dyDescent="0.25">
      <c r="A15896" t="s">
        <v>38554</v>
      </c>
      <c r="B15896" t="s">
        <v>10757</v>
      </c>
      <c r="C15896" t="s">
        <v>10758</v>
      </c>
      <c r="D15896" t="str">
        <f>"6000"</f>
        <v>6000</v>
      </c>
      <c r="E15896" t="s">
        <v>390</v>
      </c>
      <c r="F15896" t="s">
        <v>0</v>
      </c>
      <c r="G15896" t="s">
        <v>49029</v>
      </c>
      <c r="H15896" t="s">
        <v>47126</v>
      </c>
      <c r="I15896" t="s">
        <v>47127</v>
      </c>
      <c r="J15896" t="s">
        <v>47128</v>
      </c>
      <c r="K15896" t="s">
        <v>47113</v>
      </c>
      <c r="L15896">
        <v>14.72</v>
      </c>
      <c r="M15896">
        <v>30</v>
      </c>
      <c r="N15896">
        <v>0</v>
      </c>
      <c r="O15896">
        <v>30</v>
      </c>
      <c r="P15896">
        <v>0</v>
      </c>
    </row>
    <row r="15897" spans="1:16" x14ac:dyDescent="0.25">
      <c r="A15897" t="s">
        <v>38555</v>
      </c>
      <c r="B15897" t="s">
        <v>10759</v>
      </c>
      <c r="C15897" t="s">
        <v>10760</v>
      </c>
      <c r="D15897" t="str">
        <f>"1285"</f>
        <v>1285</v>
      </c>
      <c r="E15897" t="s">
        <v>4312</v>
      </c>
      <c r="F15897" t="s">
        <v>0</v>
      </c>
      <c r="G15897" t="s">
        <v>49029</v>
      </c>
      <c r="H15897" t="s">
        <v>47126</v>
      </c>
      <c r="I15897" t="s">
        <v>47127</v>
      </c>
      <c r="J15897" t="s">
        <v>47128</v>
      </c>
      <c r="K15897" t="s">
        <v>47113</v>
      </c>
      <c r="L15897">
        <v>17.14</v>
      </c>
      <c r="M15897">
        <v>37</v>
      </c>
      <c r="N15897">
        <v>0</v>
      </c>
      <c r="O15897">
        <v>37</v>
      </c>
      <c r="P15897">
        <v>0</v>
      </c>
    </row>
    <row r="15898" spans="1:16" x14ac:dyDescent="0.25">
      <c r="A15898" t="s">
        <v>38556</v>
      </c>
      <c r="B15898" t="s">
        <v>10759</v>
      </c>
      <c r="C15898" t="s">
        <v>10760</v>
      </c>
      <c r="D15898" t="str">
        <f>"1377"</f>
        <v>1377</v>
      </c>
      <c r="E15898" t="s">
        <v>74</v>
      </c>
      <c r="F15898" t="s">
        <v>0</v>
      </c>
      <c r="G15898" t="s">
        <v>49029</v>
      </c>
      <c r="H15898" t="s">
        <v>47126</v>
      </c>
      <c r="I15898" t="s">
        <v>47127</v>
      </c>
      <c r="J15898" t="s">
        <v>47128</v>
      </c>
      <c r="K15898" t="s">
        <v>47113</v>
      </c>
      <c r="L15898">
        <v>17.14</v>
      </c>
      <c r="M15898">
        <v>37</v>
      </c>
      <c r="N15898">
        <v>0</v>
      </c>
      <c r="O15898">
        <v>37</v>
      </c>
      <c r="P15898">
        <v>0</v>
      </c>
    </row>
    <row r="15899" spans="1:16" x14ac:dyDescent="0.25">
      <c r="A15899" t="s">
        <v>38557</v>
      </c>
      <c r="B15899" t="s">
        <v>10759</v>
      </c>
      <c r="C15899" t="s">
        <v>10760</v>
      </c>
      <c r="D15899" t="str">
        <f>"1378"</f>
        <v>1378</v>
      </c>
      <c r="E15899" t="s">
        <v>388</v>
      </c>
      <c r="F15899" t="s">
        <v>0</v>
      </c>
      <c r="G15899" t="s">
        <v>49029</v>
      </c>
      <c r="H15899" t="s">
        <v>47126</v>
      </c>
      <c r="I15899" t="s">
        <v>47127</v>
      </c>
      <c r="J15899" t="s">
        <v>47128</v>
      </c>
      <c r="K15899" t="s">
        <v>47113</v>
      </c>
      <c r="L15899">
        <v>17.14</v>
      </c>
      <c r="M15899">
        <v>37</v>
      </c>
      <c r="N15899">
        <v>0</v>
      </c>
      <c r="O15899">
        <v>37</v>
      </c>
      <c r="P15899">
        <v>0</v>
      </c>
    </row>
    <row r="15900" spans="1:16" x14ac:dyDescent="0.25">
      <c r="A15900" t="s">
        <v>38558</v>
      </c>
      <c r="B15900" t="s">
        <v>10759</v>
      </c>
      <c r="C15900" t="s">
        <v>10760</v>
      </c>
      <c r="D15900" t="str">
        <f>"1700"</f>
        <v>1700</v>
      </c>
      <c r="E15900" t="s">
        <v>60</v>
      </c>
      <c r="F15900" t="s">
        <v>0</v>
      </c>
      <c r="G15900" t="s">
        <v>49029</v>
      </c>
      <c r="H15900" t="s">
        <v>47126</v>
      </c>
      <c r="I15900" t="s">
        <v>47127</v>
      </c>
      <c r="J15900" t="s">
        <v>47128</v>
      </c>
      <c r="K15900" t="s">
        <v>47113</v>
      </c>
      <c r="L15900">
        <v>17.14</v>
      </c>
      <c r="M15900">
        <v>37</v>
      </c>
      <c r="N15900">
        <v>0</v>
      </c>
      <c r="O15900">
        <v>37</v>
      </c>
      <c r="P15900">
        <v>0</v>
      </c>
    </row>
    <row r="15901" spans="1:16" x14ac:dyDescent="0.25">
      <c r="A15901" t="s">
        <v>38559</v>
      </c>
      <c r="B15901" t="s">
        <v>10759</v>
      </c>
      <c r="C15901" t="s">
        <v>10760</v>
      </c>
      <c r="D15901" t="str">
        <f>"3000"</f>
        <v>3000</v>
      </c>
      <c r="E15901" t="s">
        <v>4319</v>
      </c>
      <c r="F15901" t="s">
        <v>0</v>
      </c>
      <c r="G15901" t="s">
        <v>49029</v>
      </c>
      <c r="H15901" t="s">
        <v>47126</v>
      </c>
      <c r="I15901" t="s">
        <v>47127</v>
      </c>
      <c r="J15901" t="s">
        <v>47128</v>
      </c>
      <c r="K15901" t="s">
        <v>47113</v>
      </c>
      <c r="L15901">
        <v>17.14</v>
      </c>
      <c r="M15901">
        <v>37</v>
      </c>
      <c r="N15901">
        <v>0</v>
      </c>
      <c r="O15901">
        <v>37</v>
      </c>
      <c r="P15901">
        <v>0</v>
      </c>
    </row>
    <row r="15902" spans="1:16" x14ac:dyDescent="0.25">
      <c r="A15902" t="s">
        <v>38560</v>
      </c>
      <c r="B15902" t="s">
        <v>10759</v>
      </c>
      <c r="C15902" t="s">
        <v>10760</v>
      </c>
      <c r="D15902" t="str">
        <f>"4000"</f>
        <v>4000</v>
      </c>
      <c r="E15902" t="s">
        <v>2222</v>
      </c>
      <c r="F15902" t="s">
        <v>0</v>
      </c>
      <c r="G15902" t="s">
        <v>49029</v>
      </c>
      <c r="H15902" t="s">
        <v>47126</v>
      </c>
      <c r="I15902" t="s">
        <v>47127</v>
      </c>
      <c r="J15902" t="s">
        <v>47128</v>
      </c>
      <c r="K15902" t="s">
        <v>47113</v>
      </c>
      <c r="L15902">
        <v>17.14</v>
      </c>
      <c r="M15902">
        <v>37</v>
      </c>
      <c r="N15902">
        <v>0</v>
      </c>
      <c r="O15902">
        <v>37</v>
      </c>
      <c r="P15902">
        <v>0</v>
      </c>
    </row>
    <row r="15903" spans="1:16" x14ac:dyDescent="0.25">
      <c r="A15903" t="s">
        <v>38561</v>
      </c>
      <c r="B15903" t="s">
        <v>10759</v>
      </c>
      <c r="C15903" t="s">
        <v>10760</v>
      </c>
      <c r="D15903" t="str">
        <f>"4643"</f>
        <v>4643</v>
      </c>
      <c r="E15903" t="s">
        <v>205</v>
      </c>
      <c r="F15903" t="s">
        <v>0</v>
      </c>
      <c r="G15903" t="s">
        <v>49029</v>
      </c>
      <c r="H15903" t="s">
        <v>47126</v>
      </c>
      <c r="I15903" t="s">
        <v>47127</v>
      </c>
      <c r="J15903" t="s">
        <v>47128</v>
      </c>
      <c r="K15903" t="s">
        <v>47113</v>
      </c>
      <c r="L15903">
        <v>17.14</v>
      </c>
      <c r="M15903">
        <v>37</v>
      </c>
      <c r="N15903">
        <v>0</v>
      </c>
      <c r="O15903">
        <v>37</v>
      </c>
      <c r="P15903">
        <v>0</v>
      </c>
    </row>
    <row r="15904" spans="1:16" x14ac:dyDescent="0.25">
      <c r="A15904" t="s">
        <v>38562</v>
      </c>
      <c r="B15904" t="s">
        <v>10759</v>
      </c>
      <c r="C15904" t="s">
        <v>10760</v>
      </c>
      <c r="D15904" t="str">
        <f>"6000"</f>
        <v>6000</v>
      </c>
      <c r="E15904" t="s">
        <v>390</v>
      </c>
      <c r="F15904" t="s">
        <v>0</v>
      </c>
      <c r="G15904" t="s">
        <v>49029</v>
      </c>
      <c r="H15904" t="s">
        <v>47126</v>
      </c>
      <c r="I15904" t="s">
        <v>47127</v>
      </c>
      <c r="J15904" t="s">
        <v>47128</v>
      </c>
      <c r="K15904" t="s">
        <v>47113</v>
      </c>
      <c r="L15904">
        <v>17.14</v>
      </c>
      <c r="M15904">
        <v>37</v>
      </c>
      <c r="N15904">
        <v>0</v>
      </c>
      <c r="O15904">
        <v>37</v>
      </c>
      <c r="P15904">
        <v>0</v>
      </c>
    </row>
    <row r="15905" spans="1:16" x14ac:dyDescent="0.25">
      <c r="A15905" t="s">
        <v>38563</v>
      </c>
      <c r="B15905" t="s">
        <v>10759</v>
      </c>
      <c r="C15905" t="s">
        <v>10760</v>
      </c>
      <c r="D15905" t="str">
        <f>"6064"</f>
        <v>6064</v>
      </c>
      <c r="E15905" t="s">
        <v>87</v>
      </c>
      <c r="F15905" t="s">
        <v>0</v>
      </c>
      <c r="G15905" t="s">
        <v>49029</v>
      </c>
      <c r="H15905" t="s">
        <v>47126</v>
      </c>
      <c r="I15905" t="s">
        <v>47127</v>
      </c>
      <c r="J15905" t="s">
        <v>47128</v>
      </c>
      <c r="K15905" t="s">
        <v>47113</v>
      </c>
      <c r="L15905">
        <v>17.14</v>
      </c>
      <c r="M15905">
        <v>37</v>
      </c>
      <c r="N15905">
        <v>0</v>
      </c>
      <c r="O15905">
        <v>37</v>
      </c>
      <c r="P15905">
        <v>0</v>
      </c>
    </row>
    <row r="15906" spans="1:16" x14ac:dyDescent="0.25">
      <c r="A15906" t="s">
        <v>38564</v>
      </c>
      <c r="B15906" t="s">
        <v>10761</v>
      </c>
      <c r="C15906" t="s">
        <v>10760</v>
      </c>
      <c r="D15906" t="str">
        <f>"1377"</f>
        <v>1377</v>
      </c>
      <c r="E15906" t="s">
        <v>74</v>
      </c>
      <c r="F15906" t="s">
        <v>0</v>
      </c>
      <c r="G15906" t="s">
        <v>49029</v>
      </c>
      <c r="H15906" t="s">
        <v>47126</v>
      </c>
      <c r="I15906" t="s">
        <v>47127</v>
      </c>
      <c r="J15906" t="s">
        <v>47128</v>
      </c>
      <c r="K15906" t="s">
        <v>47113</v>
      </c>
      <c r="L15906">
        <v>17.14</v>
      </c>
      <c r="M15906">
        <v>37</v>
      </c>
      <c r="N15906">
        <v>0</v>
      </c>
      <c r="O15906">
        <v>37</v>
      </c>
      <c r="P15906">
        <v>0</v>
      </c>
    </row>
    <row r="15907" spans="1:16" x14ac:dyDescent="0.25">
      <c r="A15907" t="s">
        <v>38565</v>
      </c>
      <c r="B15907" t="s">
        <v>10761</v>
      </c>
      <c r="C15907" t="s">
        <v>10760</v>
      </c>
      <c r="D15907" t="str">
        <f>"1378"</f>
        <v>1378</v>
      </c>
      <c r="E15907" t="s">
        <v>388</v>
      </c>
      <c r="F15907" t="s">
        <v>0</v>
      </c>
      <c r="G15907" t="s">
        <v>49029</v>
      </c>
      <c r="H15907" t="s">
        <v>47126</v>
      </c>
      <c r="I15907" t="s">
        <v>47127</v>
      </c>
      <c r="J15907" t="s">
        <v>47128</v>
      </c>
      <c r="K15907" t="s">
        <v>47113</v>
      </c>
      <c r="L15907">
        <v>17.14</v>
      </c>
      <c r="M15907">
        <v>37</v>
      </c>
      <c r="N15907">
        <v>0</v>
      </c>
      <c r="O15907">
        <v>37</v>
      </c>
      <c r="P15907">
        <v>0</v>
      </c>
    </row>
    <row r="15908" spans="1:16" x14ac:dyDescent="0.25">
      <c r="A15908" t="s">
        <v>38566</v>
      </c>
      <c r="B15908" t="s">
        <v>10761</v>
      </c>
      <c r="C15908" t="s">
        <v>10760</v>
      </c>
      <c r="D15908" t="str">
        <f>"1700"</f>
        <v>1700</v>
      </c>
      <c r="E15908" t="s">
        <v>60</v>
      </c>
      <c r="F15908" t="s">
        <v>0</v>
      </c>
      <c r="G15908" t="s">
        <v>49029</v>
      </c>
      <c r="H15908" t="s">
        <v>47126</v>
      </c>
      <c r="I15908" t="s">
        <v>47127</v>
      </c>
      <c r="J15908" t="s">
        <v>47128</v>
      </c>
      <c r="K15908" t="s">
        <v>47113</v>
      </c>
      <c r="L15908">
        <v>17.14</v>
      </c>
      <c r="M15908">
        <v>37</v>
      </c>
      <c r="N15908">
        <v>0</v>
      </c>
      <c r="O15908">
        <v>37</v>
      </c>
      <c r="P15908">
        <v>0</v>
      </c>
    </row>
    <row r="15909" spans="1:16" x14ac:dyDescent="0.25">
      <c r="A15909" t="s">
        <v>38567</v>
      </c>
      <c r="B15909" t="s">
        <v>10761</v>
      </c>
      <c r="C15909" t="s">
        <v>10760</v>
      </c>
      <c r="D15909" t="str">
        <f>"3000"</f>
        <v>3000</v>
      </c>
      <c r="E15909" t="s">
        <v>4319</v>
      </c>
      <c r="F15909" t="s">
        <v>0</v>
      </c>
      <c r="G15909" t="s">
        <v>49029</v>
      </c>
      <c r="H15909" t="s">
        <v>47126</v>
      </c>
      <c r="I15909" t="s">
        <v>47127</v>
      </c>
      <c r="J15909" t="s">
        <v>47128</v>
      </c>
      <c r="K15909" t="s">
        <v>47113</v>
      </c>
      <c r="L15909">
        <v>17.14</v>
      </c>
      <c r="M15909">
        <v>37</v>
      </c>
      <c r="N15909">
        <v>0</v>
      </c>
      <c r="O15909">
        <v>37</v>
      </c>
      <c r="P15909">
        <v>0</v>
      </c>
    </row>
    <row r="15910" spans="1:16" x14ac:dyDescent="0.25">
      <c r="A15910" t="s">
        <v>38568</v>
      </c>
      <c r="B15910" t="s">
        <v>10761</v>
      </c>
      <c r="C15910" t="s">
        <v>10760</v>
      </c>
      <c r="D15910" t="str">
        <f>"4000"</f>
        <v>4000</v>
      </c>
      <c r="E15910" t="s">
        <v>2222</v>
      </c>
      <c r="F15910" t="s">
        <v>0</v>
      </c>
      <c r="G15910" t="s">
        <v>49029</v>
      </c>
      <c r="H15910" t="s">
        <v>47126</v>
      </c>
      <c r="I15910" t="s">
        <v>47127</v>
      </c>
      <c r="J15910" t="s">
        <v>47128</v>
      </c>
      <c r="K15910" t="s">
        <v>47113</v>
      </c>
      <c r="L15910">
        <v>17.14</v>
      </c>
      <c r="M15910">
        <v>37</v>
      </c>
      <c r="N15910">
        <v>0</v>
      </c>
      <c r="O15910">
        <v>37</v>
      </c>
      <c r="P15910">
        <v>0</v>
      </c>
    </row>
    <row r="15911" spans="1:16" x14ac:dyDescent="0.25">
      <c r="A15911" t="s">
        <v>38569</v>
      </c>
      <c r="B15911" t="s">
        <v>10761</v>
      </c>
      <c r="C15911" t="s">
        <v>10760</v>
      </c>
      <c r="D15911" t="str">
        <f>"4730"</f>
        <v>4730</v>
      </c>
      <c r="E15911" t="s">
        <v>461</v>
      </c>
      <c r="F15911" t="s">
        <v>0</v>
      </c>
      <c r="G15911" t="s">
        <v>49029</v>
      </c>
      <c r="H15911" t="s">
        <v>47126</v>
      </c>
      <c r="I15911" t="s">
        <v>47127</v>
      </c>
      <c r="J15911" t="s">
        <v>47128</v>
      </c>
      <c r="K15911" t="s">
        <v>47113</v>
      </c>
      <c r="L15911">
        <v>17.14</v>
      </c>
      <c r="M15911">
        <v>37</v>
      </c>
      <c r="N15911">
        <v>0</v>
      </c>
      <c r="O15911">
        <v>37</v>
      </c>
      <c r="P15911">
        <v>0</v>
      </c>
    </row>
    <row r="15912" spans="1:16" x14ac:dyDescent="0.25">
      <c r="A15912" t="s">
        <v>38570</v>
      </c>
      <c r="B15912" t="s">
        <v>10761</v>
      </c>
      <c r="C15912" t="s">
        <v>10760</v>
      </c>
      <c r="D15912" t="str">
        <f>"6000"</f>
        <v>6000</v>
      </c>
      <c r="E15912" t="s">
        <v>390</v>
      </c>
      <c r="F15912" t="s">
        <v>0</v>
      </c>
      <c r="G15912" t="s">
        <v>49029</v>
      </c>
      <c r="H15912" t="s">
        <v>47126</v>
      </c>
      <c r="I15912" t="s">
        <v>47127</v>
      </c>
      <c r="J15912" t="s">
        <v>47128</v>
      </c>
      <c r="K15912" t="s">
        <v>47113</v>
      </c>
      <c r="L15912">
        <v>17.14</v>
      </c>
      <c r="M15912">
        <v>37</v>
      </c>
      <c r="N15912">
        <v>0</v>
      </c>
      <c r="O15912">
        <v>37</v>
      </c>
      <c r="P15912">
        <v>0</v>
      </c>
    </row>
    <row r="15913" spans="1:16" x14ac:dyDescent="0.25">
      <c r="A15913" t="s">
        <v>15093</v>
      </c>
      <c r="B15913" t="s">
        <v>391</v>
      </c>
      <c r="C15913" t="s">
        <v>392</v>
      </c>
      <c r="D15913" t="str">
        <f>"1377"</f>
        <v>1377</v>
      </c>
      <c r="E15913" t="s">
        <v>74</v>
      </c>
      <c r="F15913" t="s">
        <v>0</v>
      </c>
      <c r="G15913" t="s">
        <v>47095</v>
      </c>
      <c r="H15913" t="s">
        <v>47126</v>
      </c>
      <c r="I15913" t="s">
        <v>47127</v>
      </c>
      <c r="J15913" t="s">
        <v>47128</v>
      </c>
      <c r="K15913" t="s">
        <v>47113</v>
      </c>
      <c r="L15913">
        <v>21.36</v>
      </c>
      <c r="M15913">
        <v>44</v>
      </c>
      <c r="N15913">
        <v>0</v>
      </c>
      <c r="O15913">
        <v>44</v>
      </c>
      <c r="P15913">
        <v>0</v>
      </c>
    </row>
    <row r="15914" spans="1:16" x14ac:dyDescent="0.25">
      <c r="A15914" t="s">
        <v>38571</v>
      </c>
      <c r="B15914" t="s">
        <v>391</v>
      </c>
      <c r="C15914" t="s">
        <v>392</v>
      </c>
      <c r="D15914" t="str">
        <f>"1378"</f>
        <v>1378</v>
      </c>
      <c r="E15914" t="s">
        <v>388</v>
      </c>
      <c r="F15914" t="s">
        <v>0</v>
      </c>
      <c r="G15914" t="s">
        <v>47095</v>
      </c>
      <c r="H15914" t="s">
        <v>47126</v>
      </c>
      <c r="I15914" t="s">
        <v>47127</v>
      </c>
      <c r="J15914" t="s">
        <v>47128</v>
      </c>
      <c r="K15914" t="s">
        <v>47113</v>
      </c>
      <c r="L15914">
        <v>21.36</v>
      </c>
      <c r="M15914">
        <v>44</v>
      </c>
      <c r="N15914">
        <v>0</v>
      </c>
      <c r="O15914">
        <v>44</v>
      </c>
      <c r="P15914">
        <v>0</v>
      </c>
    </row>
    <row r="15915" spans="1:16" x14ac:dyDescent="0.25">
      <c r="A15915" t="s">
        <v>15094</v>
      </c>
      <c r="B15915" t="s">
        <v>391</v>
      </c>
      <c r="C15915" t="s">
        <v>392</v>
      </c>
      <c r="D15915" t="str">
        <f>"1700"</f>
        <v>1700</v>
      </c>
      <c r="E15915" t="s">
        <v>60</v>
      </c>
      <c r="F15915" t="s">
        <v>0</v>
      </c>
      <c r="G15915" t="s">
        <v>47095</v>
      </c>
      <c r="H15915" t="s">
        <v>47126</v>
      </c>
      <c r="I15915" t="s">
        <v>47127</v>
      </c>
      <c r="J15915" t="s">
        <v>47128</v>
      </c>
      <c r="K15915" t="s">
        <v>47113</v>
      </c>
      <c r="L15915">
        <v>21.36</v>
      </c>
      <c r="M15915">
        <v>44</v>
      </c>
      <c r="N15915">
        <v>0</v>
      </c>
      <c r="O15915">
        <v>44</v>
      </c>
      <c r="P15915">
        <v>0</v>
      </c>
    </row>
    <row r="15916" spans="1:16" x14ac:dyDescent="0.25">
      <c r="A15916" t="s">
        <v>38572</v>
      </c>
      <c r="B15916" t="s">
        <v>391</v>
      </c>
      <c r="C15916" t="s">
        <v>392</v>
      </c>
      <c r="D15916" t="str">
        <f>"3000"</f>
        <v>3000</v>
      </c>
      <c r="E15916" t="s">
        <v>4319</v>
      </c>
      <c r="F15916" t="s">
        <v>0</v>
      </c>
      <c r="G15916" t="s">
        <v>47095</v>
      </c>
      <c r="H15916" t="s">
        <v>47126</v>
      </c>
      <c r="I15916" t="s">
        <v>47127</v>
      </c>
      <c r="J15916" t="s">
        <v>47128</v>
      </c>
      <c r="K15916" t="s">
        <v>47113</v>
      </c>
      <c r="L15916">
        <v>21.36</v>
      </c>
      <c r="M15916">
        <v>44</v>
      </c>
      <c r="N15916">
        <v>0</v>
      </c>
      <c r="O15916">
        <v>44</v>
      </c>
      <c r="P15916">
        <v>0</v>
      </c>
    </row>
    <row r="15917" spans="1:16" x14ac:dyDescent="0.25">
      <c r="A15917" t="s">
        <v>38573</v>
      </c>
      <c r="B15917" t="s">
        <v>391</v>
      </c>
      <c r="C15917" t="s">
        <v>392</v>
      </c>
      <c r="D15917" t="str">
        <f>"4000"</f>
        <v>4000</v>
      </c>
      <c r="E15917" t="s">
        <v>2222</v>
      </c>
      <c r="F15917" t="s">
        <v>0</v>
      </c>
      <c r="G15917" t="s">
        <v>47095</v>
      </c>
      <c r="H15917" t="s">
        <v>47126</v>
      </c>
      <c r="I15917" t="s">
        <v>47127</v>
      </c>
      <c r="J15917" t="s">
        <v>47128</v>
      </c>
      <c r="K15917" t="s">
        <v>47113</v>
      </c>
      <c r="L15917">
        <v>21.36</v>
      </c>
      <c r="M15917">
        <v>44</v>
      </c>
      <c r="N15917">
        <v>0</v>
      </c>
      <c r="O15917">
        <v>44</v>
      </c>
      <c r="P15917">
        <v>0</v>
      </c>
    </row>
    <row r="15918" spans="1:16" x14ac:dyDescent="0.25">
      <c r="A15918" t="s">
        <v>38574</v>
      </c>
      <c r="B15918" t="s">
        <v>391</v>
      </c>
      <c r="C15918" t="s">
        <v>392</v>
      </c>
      <c r="D15918" t="str">
        <f>"4730"</f>
        <v>4730</v>
      </c>
      <c r="E15918" t="s">
        <v>461</v>
      </c>
      <c r="F15918" t="s">
        <v>0</v>
      </c>
      <c r="G15918" t="s">
        <v>47095</v>
      </c>
      <c r="H15918" t="s">
        <v>47126</v>
      </c>
      <c r="I15918" t="s">
        <v>47127</v>
      </c>
      <c r="J15918" t="s">
        <v>47128</v>
      </c>
      <c r="K15918" t="s">
        <v>47113</v>
      </c>
      <c r="L15918">
        <v>21.36</v>
      </c>
      <c r="M15918">
        <v>44</v>
      </c>
      <c r="N15918">
        <v>0</v>
      </c>
      <c r="O15918">
        <v>44</v>
      </c>
      <c r="P15918">
        <v>0</v>
      </c>
    </row>
    <row r="15919" spans="1:16" x14ac:dyDescent="0.25">
      <c r="A15919" t="s">
        <v>15095</v>
      </c>
      <c r="B15919" t="s">
        <v>391</v>
      </c>
      <c r="C15919" t="s">
        <v>392</v>
      </c>
      <c r="D15919" t="str">
        <f>"6000"</f>
        <v>6000</v>
      </c>
      <c r="E15919" t="s">
        <v>390</v>
      </c>
      <c r="F15919" t="s">
        <v>0</v>
      </c>
      <c r="G15919" t="s">
        <v>47095</v>
      </c>
      <c r="H15919" t="s">
        <v>47126</v>
      </c>
      <c r="I15919" t="s">
        <v>47127</v>
      </c>
      <c r="J15919" t="s">
        <v>47128</v>
      </c>
      <c r="K15919" t="s">
        <v>47113</v>
      </c>
      <c r="L15919">
        <v>21.36</v>
      </c>
      <c r="M15919">
        <v>44</v>
      </c>
      <c r="N15919">
        <v>0</v>
      </c>
      <c r="O15919">
        <v>44</v>
      </c>
      <c r="P15919">
        <v>0</v>
      </c>
    </row>
    <row r="15920" spans="1:16" x14ac:dyDescent="0.25">
      <c r="A15920" t="s">
        <v>38575</v>
      </c>
      <c r="B15920" t="s">
        <v>10762</v>
      </c>
      <c r="C15920" t="s">
        <v>392</v>
      </c>
      <c r="D15920" t="str">
        <f>"1377"</f>
        <v>1377</v>
      </c>
      <c r="E15920" t="s">
        <v>74</v>
      </c>
      <c r="F15920" t="s">
        <v>0</v>
      </c>
      <c r="G15920" t="s">
        <v>47095</v>
      </c>
      <c r="H15920" t="s">
        <v>47126</v>
      </c>
      <c r="I15920" t="s">
        <v>47127</v>
      </c>
      <c r="J15920" t="s">
        <v>47128</v>
      </c>
      <c r="K15920" t="s">
        <v>47113</v>
      </c>
      <c r="L15920">
        <v>21.36</v>
      </c>
      <c r="M15920">
        <v>44</v>
      </c>
      <c r="N15920">
        <v>0</v>
      </c>
      <c r="O15920">
        <v>44</v>
      </c>
      <c r="P15920">
        <v>0</v>
      </c>
    </row>
    <row r="15921" spans="1:16" x14ac:dyDescent="0.25">
      <c r="A15921" t="s">
        <v>38576</v>
      </c>
      <c r="B15921" t="s">
        <v>10762</v>
      </c>
      <c r="C15921" t="s">
        <v>392</v>
      </c>
      <c r="D15921" t="str">
        <f>"1378"</f>
        <v>1378</v>
      </c>
      <c r="E15921" t="s">
        <v>388</v>
      </c>
      <c r="F15921" t="s">
        <v>0</v>
      </c>
      <c r="G15921" t="s">
        <v>47095</v>
      </c>
      <c r="H15921" t="s">
        <v>47126</v>
      </c>
      <c r="I15921" t="s">
        <v>47127</v>
      </c>
      <c r="J15921" t="s">
        <v>47128</v>
      </c>
      <c r="K15921" t="s">
        <v>47113</v>
      </c>
      <c r="L15921">
        <v>21.36</v>
      </c>
      <c r="M15921">
        <v>44</v>
      </c>
      <c r="N15921">
        <v>0</v>
      </c>
      <c r="O15921">
        <v>44</v>
      </c>
      <c r="P15921">
        <v>0</v>
      </c>
    </row>
    <row r="15922" spans="1:16" x14ac:dyDescent="0.25">
      <c r="A15922" t="s">
        <v>38577</v>
      </c>
      <c r="B15922" t="s">
        <v>10762</v>
      </c>
      <c r="C15922" t="s">
        <v>392</v>
      </c>
      <c r="D15922" t="str">
        <f>"1700"</f>
        <v>1700</v>
      </c>
      <c r="E15922" t="s">
        <v>60</v>
      </c>
      <c r="F15922" t="s">
        <v>0</v>
      </c>
      <c r="G15922" t="s">
        <v>47095</v>
      </c>
      <c r="H15922" t="s">
        <v>47126</v>
      </c>
      <c r="I15922" t="s">
        <v>47127</v>
      </c>
      <c r="J15922" t="s">
        <v>47128</v>
      </c>
      <c r="K15922" t="s">
        <v>47113</v>
      </c>
      <c r="L15922">
        <v>21.36</v>
      </c>
      <c r="M15922">
        <v>44</v>
      </c>
      <c r="N15922">
        <v>0</v>
      </c>
      <c r="O15922">
        <v>44</v>
      </c>
      <c r="P15922">
        <v>0</v>
      </c>
    </row>
    <row r="15923" spans="1:16" x14ac:dyDescent="0.25">
      <c r="A15923" t="s">
        <v>38578</v>
      </c>
      <c r="B15923" t="s">
        <v>10762</v>
      </c>
      <c r="C15923" t="s">
        <v>392</v>
      </c>
      <c r="D15923" t="str">
        <f>"3000"</f>
        <v>3000</v>
      </c>
      <c r="E15923" t="s">
        <v>4319</v>
      </c>
      <c r="F15923" t="s">
        <v>0</v>
      </c>
      <c r="G15923" t="s">
        <v>47095</v>
      </c>
      <c r="H15923" t="s">
        <v>47126</v>
      </c>
      <c r="I15923" t="s">
        <v>47127</v>
      </c>
      <c r="J15923" t="s">
        <v>47128</v>
      </c>
      <c r="K15923" t="s">
        <v>47113</v>
      </c>
      <c r="L15923">
        <v>21.36</v>
      </c>
      <c r="M15923">
        <v>44</v>
      </c>
      <c r="N15923">
        <v>0</v>
      </c>
      <c r="O15923">
        <v>44</v>
      </c>
      <c r="P15923">
        <v>0</v>
      </c>
    </row>
    <row r="15924" spans="1:16" x14ac:dyDescent="0.25">
      <c r="A15924" t="s">
        <v>38579</v>
      </c>
      <c r="B15924" t="s">
        <v>10762</v>
      </c>
      <c r="C15924" t="s">
        <v>392</v>
      </c>
      <c r="D15924" t="str">
        <f>"4000"</f>
        <v>4000</v>
      </c>
      <c r="E15924" t="s">
        <v>2222</v>
      </c>
      <c r="F15924" t="s">
        <v>0</v>
      </c>
      <c r="G15924" t="s">
        <v>47095</v>
      </c>
      <c r="H15924" t="s">
        <v>47126</v>
      </c>
      <c r="I15924" t="s">
        <v>47127</v>
      </c>
      <c r="J15924" t="s">
        <v>47128</v>
      </c>
      <c r="K15924" t="s">
        <v>47113</v>
      </c>
      <c r="L15924">
        <v>21.36</v>
      </c>
      <c r="M15924">
        <v>44</v>
      </c>
      <c r="N15924">
        <v>0</v>
      </c>
      <c r="O15924">
        <v>44</v>
      </c>
      <c r="P15924">
        <v>0</v>
      </c>
    </row>
    <row r="15925" spans="1:16" x14ac:dyDescent="0.25">
      <c r="A15925" t="s">
        <v>38580</v>
      </c>
      <c r="B15925" t="s">
        <v>10762</v>
      </c>
      <c r="C15925" t="s">
        <v>392</v>
      </c>
      <c r="D15925" t="str">
        <f>"4730"</f>
        <v>4730</v>
      </c>
      <c r="E15925" t="s">
        <v>461</v>
      </c>
      <c r="F15925" t="s">
        <v>0</v>
      </c>
      <c r="G15925" t="s">
        <v>47095</v>
      </c>
      <c r="H15925" t="s">
        <v>47126</v>
      </c>
      <c r="I15925" t="s">
        <v>47127</v>
      </c>
      <c r="J15925" t="s">
        <v>47128</v>
      </c>
      <c r="K15925" t="s">
        <v>47113</v>
      </c>
      <c r="L15925">
        <v>21.36</v>
      </c>
      <c r="M15925">
        <v>44</v>
      </c>
      <c r="N15925">
        <v>0</v>
      </c>
      <c r="O15925">
        <v>44</v>
      </c>
      <c r="P15925">
        <v>0</v>
      </c>
    </row>
    <row r="15926" spans="1:16" x14ac:dyDescent="0.25">
      <c r="A15926" t="s">
        <v>38581</v>
      </c>
      <c r="B15926" t="s">
        <v>10762</v>
      </c>
      <c r="C15926" t="s">
        <v>392</v>
      </c>
      <c r="D15926" t="str">
        <f>"6000"</f>
        <v>6000</v>
      </c>
      <c r="E15926" t="s">
        <v>390</v>
      </c>
      <c r="F15926" t="s">
        <v>0</v>
      </c>
      <c r="G15926" t="s">
        <v>47095</v>
      </c>
      <c r="H15926" t="s">
        <v>47126</v>
      </c>
      <c r="I15926" t="s">
        <v>47127</v>
      </c>
      <c r="J15926" t="s">
        <v>47128</v>
      </c>
      <c r="K15926" t="s">
        <v>47113</v>
      </c>
      <c r="L15926">
        <v>21.36</v>
      </c>
      <c r="M15926">
        <v>44</v>
      </c>
      <c r="N15926">
        <v>0</v>
      </c>
      <c r="O15926">
        <v>44</v>
      </c>
      <c r="P15926">
        <v>0</v>
      </c>
    </row>
    <row r="15927" spans="1:16" x14ac:dyDescent="0.25">
      <c r="A15927" t="s">
        <v>38582</v>
      </c>
      <c r="B15927" t="s">
        <v>10763</v>
      </c>
      <c r="C15927" t="s">
        <v>10764</v>
      </c>
      <c r="D15927" t="str">
        <f>"1285"</f>
        <v>1285</v>
      </c>
      <c r="E15927" t="s">
        <v>4312</v>
      </c>
      <c r="F15927" t="s">
        <v>0</v>
      </c>
      <c r="G15927" t="s">
        <v>47095</v>
      </c>
      <c r="H15927" t="s">
        <v>47126</v>
      </c>
      <c r="I15927" t="s">
        <v>47127</v>
      </c>
      <c r="J15927" t="s">
        <v>47128</v>
      </c>
      <c r="K15927" t="s">
        <v>47113</v>
      </c>
      <c r="L15927">
        <v>20.52</v>
      </c>
      <c r="M15927">
        <v>44</v>
      </c>
      <c r="N15927">
        <v>0</v>
      </c>
      <c r="O15927">
        <v>44</v>
      </c>
      <c r="P15927">
        <v>0</v>
      </c>
    </row>
    <row r="15928" spans="1:16" x14ac:dyDescent="0.25">
      <c r="A15928" t="s">
        <v>38583</v>
      </c>
      <c r="B15928" t="s">
        <v>10763</v>
      </c>
      <c r="C15928" t="s">
        <v>10764</v>
      </c>
      <c r="D15928" t="str">
        <f>"1700"</f>
        <v>1700</v>
      </c>
      <c r="E15928" t="s">
        <v>60</v>
      </c>
      <c r="F15928" t="s">
        <v>0</v>
      </c>
      <c r="G15928" t="s">
        <v>47095</v>
      </c>
      <c r="H15928" t="s">
        <v>47126</v>
      </c>
      <c r="I15928" t="s">
        <v>47127</v>
      </c>
      <c r="J15928" t="s">
        <v>47128</v>
      </c>
      <c r="K15928" t="s">
        <v>47113</v>
      </c>
      <c r="L15928">
        <v>20.52</v>
      </c>
      <c r="M15928">
        <v>44</v>
      </c>
      <c r="N15928">
        <v>0</v>
      </c>
      <c r="O15928">
        <v>44</v>
      </c>
      <c r="P15928">
        <v>0</v>
      </c>
    </row>
    <row r="15929" spans="1:16" x14ac:dyDescent="0.25">
      <c r="A15929" t="s">
        <v>38584</v>
      </c>
      <c r="B15929" t="s">
        <v>10763</v>
      </c>
      <c r="C15929" t="s">
        <v>10764</v>
      </c>
      <c r="D15929" t="str">
        <f>"4000"</f>
        <v>4000</v>
      </c>
      <c r="E15929" t="s">
        <v>461</v>
      </c>
      <c r="F15929" t="s">
        <v>0</v>
      </c>
      <c r="G15929" t="s">
        <v>47095</v>
      </c>
      <c r="H15929" t="s">
        <v>47126</v>
      </c>
      <c r="I15929" t="s">
        <v>47127</v>
      </c>
      <c r="J15929" t="s">
        <v>47128</v>
      </c>
      <c r="K15929" t="s">
        <v>47113</v>
      </c>
      <c r="L15929">
        <v>20.52</v>
      </c>
      <c r="M15929">
        <v>44</v>
      </c>
      <c r="N15929">
        <v>0</v>
      </c>
      <c r="O15929">
        <v>44</v>
      </c>
      <c r="P15929">
        <v>0</v>
      </c>
    </row>
    <row r="15930" spans="1:16" x14ac:dyDescent="0.25">
      <c r="A15930" t="s">
        <v>38585</v>
      </c>
      <c r="B15930" t="s">
        <v>10765</v>
      </c>
      <c r="C15930" t="s">
        <v>4499</v>
      </c>
      <c r="D15930" t="str">
        <f>"1285"</f>
        <v>1285</v>
      </c>
      <c r="E15930" t="s">
        <v>2148</v>
      </c>
      <c r="F15930" t="s">
        <v>0</v>
      </c>
      <c r="G15930" t="s">
        <v>47096</v>
      </c>
      <c r="H15930" t="s">
        <v>47126</v>
      </c>
      <c r="I15930" t="s">
        <v>47127</v>
      </c>
      <c r="J15930" t="s">
        <v>47128</v>
      </c>
      <c r="K15930" t="s">
        <v>47113</v>
      </c>
      <c r="L15930">
        <v>21.12</v>
      </c>
      <c r="M15930">
        <v>44</v>
      </c>
      <c r="N15930">
        <v>0</v>
      </c>
      <c r="O15930">
        <v>44</v>
      </c>
      <c r="P15930">
        <v>0</v>
      </c>
    </row>
    <row r="15931" spans="1:16" x14ac:dyDescent="0.25">
      <c r="A15931" t="s">
        <v>38586</v>
      </c>
      <c r="B15931" t="s">
        <v>10765</v>
      </c>
      <c r="C15931" t="s">
        <v>4499</v>
      </c>
      <c r="D15931" t="str">
        <f>"4730"</f>
        <v>4730</v>
      </c>
      <c r="E15931" t="s">
        <v>461</v>
      </c>
      <c r="F15931" t="s">
        <v>0</v>
      </c>
      <c r="G15931" t="s">
        <v>47096</v>
      </c>
      <c r="H15931" t="s">
        <v>47126</v>
      </c>
      <c r="I15931" t="s">
        <v>47127</v>
      </c>
      <c r="J15931" t="s">
        <v>47128</v>
      </c>
      <c r="K15931" t="s">
        <v>47113</v>
      </c>
      <c r="L15931">
        <v>21.12</v>
      </c>
      <c r="M15931">
        <v>44</v>
      </c>
      <c r="N15931">
        <v>0</v>
      </c>
      <c r="O15931">
        <v>44</v>
      </c>
      <c r="P15931">
        <v>0</v>
      </c>
    </row>
    <row r="15932" spans="1:16" x14ac:dyDescent="0.25">
      <c r="A15932" t="s">
        <v>38587</v>
      </c>
      <c r="B15932" t="s">
        <v>10765</v>
      </c>
      <c r="C15932" t="s">
        <v>4499</v>
      </c>
      <c r="D15932" t="str">
        <f>"6451"</f>
        <v>6451</v>
      </c>
      <c r="E15932" t="s">
        <v>390</v>
      </c>
      <c r="F15932" t="s">
        <v>0</v>
      </c>
      <c r="G15932" t="s">
        <v>47096</v>
      </c>
      <c r="H15932" t="s">
        <v>47126</v>
      </c>
      <c r="I15932" t="s">
        <v>47127</v>
      </c>
      <c r="J15932" t="s">
        <v>47128</v>
      </c>
      <c r="K15932" t="s">
        <v>47113</v>
      </c>
      <c r="L15932">
        <v>21.12</v>
      </c>
      <c r="M15932">
        <v>44</v>
      </c>
      <c r="N15932">
        <v>0</v>
      </c>
      <c r="O15932">
        <v>44</v>
      </c>
      <c r="P15932">
        <v>0</v>
      </c>
    </row>
    <row r="15933" spans="1:16" x14ac:dyDescent="0.25">
      <c r="A15933" t="s">
        <v>14664</v>
      </c>
      <c r="B15933" t="s">
        <v>393</v>
      </c>
      <c r="C15933" t="s">
        <v>394</v>
      </c>
      <c r="D15933" t="s">
        <v>395</v>
      </c>
      <c r="E15933" t="s">
        <v>396</v>
      </c>
      <c r="F15933" t="s">
        <v>0</v>
      </c>
      <c r="G15933" t="s">
        <v>49029</v>
      </c>
      <c r="H15933" t="s">
        <v>47153</v>
      </c>
      <c r="I15933" t="s">
        <v>47132</v>
      </c>
      <c r="J15933" t="s">
        <v>47133</v>
      </c>
      <c r="K15933" t="s">
        <v>47113</v>
      </c>
      <c r="L15933">
        <v>38.590000000000003</v>
      </c>
      <c r="M15933">
        <v>68</v>
      </c>
      <c r="N15933">
        <v>0</v>
      </c>
      <c r="O15933">
        <v>68</v>
      </c>
      <c r="P15933">
        <v>0</v>
      </c>
    </row>
    <row r="15934" spans="1:16" x14ac:dyDescent="0.25">
      <c r="A15934" t="s">
        <v>38588</v>
      </c>
      <c r="B15934" t="s">
        <v>393</v>
      </c>
      <c r="C15934" t="s">
        <v>394</v>
      </c>
      <c r="D15934" t="s">
        <v>10766</v>
      </c>
      <c r="E15934" t="s">
        <v>10767</v>
      </c>
      <c r="F15934" t="s">
        <v>0</v>
      </c>
      <c r="G15934" t="s">
        <v>49029</v>
      </c>
      <c r="H15934" t="s">
        <v>47153</v>
      </c>
      <c r="I15934" t="s">
        <v>47132</v>
      </c>
      <c r="J15934" t="s">
        <v>47133</v>
      </c>
      <c r="K15934" t="s">
        <v>47113</v>
      </c>
      <c r="L15934">
        <v>38.590000000000003</v>
      </c>
      <c r="M15934">
        <v>68</v>
      </c>
      <c r="N15934">
        <v>0</v>
      </c>
      <c r="O15934">
        <v>68</v>
      </c>
      <c r="P15934">
        <v>0</v>
      </c>
    </row>
    <row r="15935" spans="1:16" x14ac:dyDescent="0.25">
      <c r="A15935" t="s">
        <v>38589</v>
      </c>
      <c r="B15935" t="s">
        <v>393</v>
      </c>
      <c r="C15935" t="s">
        <v>394</v>
      </c>
      <c r="D15935" t="s">
        <v>360</v>
      </c>
      <c r="E15935" t="s">
        <v>361</v>
      </c>
      <c r="F15935" t="s">
        <v>0</v>
      </c>
      <c r="G15935" t="s">
        <v>49029</v>
      </c>
      <c r="H15935" t="s">
        <v>47153</v>
      </c>
      <c r="I15935" t="s">
        <v>47132</v>
      </c>
      <c r="J15935" t="s">
        <v>47133</v>
      </c>
      <c r="K15935" t="s">
        <v>47113</v>
      </c>
      <c r="L15935">
        <v>45.28</v>
      </c>
      <c r="M15935">
        <v>77</v>
      </c>
      <c r="N15935">
        <v>0</v>
      </c>
      <c r="O15935">
        <v>77</v>
      </c>
      <c r="P15935">
        <v>0</v>
      </c>
    </row>
    <row r="15936" spans="1:16" x14ac:dyDescent="0.25">
      <c r="A15936" t="s">
        <v>14665</v>
      </c>
      <c r="B15936" t="s">
        <v>393</v>
      </c>
      <c r="C15936" t="s">
        <v>394</v>
      </c>
      <c r="D15936" t="s">
        <v>362</v>
      </c>
      <c r="E15936" t="s">
        <v>363</v>
      </c>
      <c r="F15936" t="s">
        <v>0</v>
      </c>
      <c r="G15936" t="s">
        <v>49029</v>
      </c>
      <c r="H15936" t="s">
        <v>47153</v>
      </c>
      <c r="I15936" t="s">
        <v>47132</v>
      </c>
      <c r="J15936" t="s">
        <v>47133</v>
      </c>
      <c r="K15936" t="s">
        <v>47113</v>
      </c>
      <c r="L15936">
        <v>38.64</v>
      </c>
      <c r="M15936">
        <v>65</v>
      </c>
      <c r="N15936">
        <v>0</v>
      </c>
      <c r="O15936">
        <v>65</v>
      </c>
      <c r="P15936">
        <v>0</v>
      </c>
    </row>
    <row r="15937" spans="1:16" x14ac:dyDescent="0.25">
      <c r="A15937" t="s">
        <v>14666</v>
      </c>
      <c r="B15937" t="s">
        <v>397</v>
      </c>
      <c r="C15937" t="s">
        <v>394</v>
      </c>
      <c r="D15937" t="s">
        <v>331</v>
      </c>
      <c r="E15937" t="s">
        <v>332</v>
      </c>
      <c r="F15937" t="s">
        <v>0</v>
      </c>
      <c r="G15937" t="s">
        <v>49029</v>
      </c>
      <c r="H15937" t="s">
        <v>47153</v>
      </c>
      <c r="I15937" t="s">
        <v>47132</v>
      </c>
      <c r="J15937" t="s">
        <v>47133</v>
      </c>
      <c r="K15937" t="s">
        <v>47113</v>
      </c>
      <c r="L15937">
        <v>37.520000000000003</v>
      </c>
      <c r="M15937">
        <v>68</v>
      </c>
      <c r="N15937">
        <v>0</v>
      </c>
      <c r="O15937">
        <v>68</v>
      </c>
      <c r="P15937">
        <v>0</v>
      </c>
    </row>
    <row r="15938" spans="1:16" x14ac:dyDescent="0.25">
      <c r="A15938" t="s">
        <v>14667</v>
      </c>
      <c r="B15938" t="s">
        <v>397</v>
      </c>
      <c r="C15938" t="s">
        <v>394</v>
      </c>
      <c r="D15938" t="s">
        <v>333</v>
      </c>
      <c r="E15938" t="s">
        <v>334</v>
      </c>
      <c r="F15938" t="s">
        <v>0</v>
      </c>
      <c r="G15938" t="s">
        <v>49029</v>
      </c>
      <c r="H15938" t="s">
        <v>47153</v>
      </c>
      <c r="I15938" t="s">
        <v>47132</v>
      </c>
      <c r="J15938" t="s">
        <v>47133</v>
      </c>
      <c r="K15938" t="s">
        <v>47113</v>
      </c>
      <c r="L15938">
        <v>42.02</v>
      </c>
      <c r="M15938">
        <v>76</v>
      </c>
      <c r="N15938">
        <v>0</v>
      </c>
      <c r="O15938">
        <v>76</v>
      </c>
      <c r="P15938">
        <v>0</v>
      </c>
    </row>
    <row r="15939" spans="1:16" x14ac:dyDescent="0.25">
      <c r="A15939" t="s">
        <v>14668</v>
      </c>
      <c r="B15939" t="s">
        <v>397</v>
      </c>
      <c r="C15939" t="s">
        <v>394</v>
      </c>
      <c r="D15939" t="s">
        <v>352</v>
      </c>
      <c r="E15939" t="s">
        <v>353</v>
      </c>
      <c r="F15939" t="s">
        <v>0</v>
      </c>
      <c r="G15939" t="s">
        <v>49029</v>
      </c>
      <c r="H15939" t="s">
        <v>47153</v>
      </c>
      <c r="I15939" t="s">
        <v>47132</v>
      </c>
      <c r="J15939" t="s">
        <v>47133</v>
      </c>
      <c r="K15939" t="s">
        <v>47113</v>
      </c>
      <c r="L15939">
        <v>44.62</v>
      </c>
      <c r="M15939">
        <v>76</v>
      </c>
      <c r="N15939">
        <v>0</v>
      </c>
      <c r="O15939">
        <v>76</v>
      </c>
      <c r="P15939">
        <v>0</v>
      </c>
    </row>
    <row r="15940" spans="1:16" x14ac:dyDescent="0.25">
      <c r="A15940" t="s">
        <v>14669</v>
      </c>
      <c r="B15940" t="s">
        <v>398</v>
      </c>
      <c r="C15940" t="s">
        <v>399</v>
      </c>
      <c r="D15940" t="s">
        <v>400</v>
      </c>
      <c r="E15940" t="s">
        <v>401</v>
      </c>
      <c r="F15940" t="s">
        <v>0</v>
      </c>
      <c r="G15940" t="s">
        <v>49029</v>
      </c>
      <c r="H15940" t="s">
        <v>47153</v>
      </c>
      <c r="I15940" t="s">
        <v>47132</v>
      </c>
      <c r="J15940" t="s">
        <v>47133</v>
      </c>
      <c r="K15940" t="s">
        <v>47113</v>
      </c>
      <c r="L15940">
        <v>37.76</v>
      </c>
      <c r="M15940">
        <v>68</v>
      </c>
      <c r="N15940">
        <v>0</v>
      </c>
      <c r="O15940">
        <v>68</v>
      </c>
      <c r="P15940">
        <v>0</v>
      </c>
    </row>
    <row r="15941" spans="1:16" x14ac:dyDescent="0.25">
      <c r="A15941" t="s">
        <v>14670</v>
      </c>
      <c r="B15941" t="s">
        <v>398</v>
      </c>
      <c r="C15941" t="s">
        <v>399</v>
      </c>
      <c r="D15941" t="s">
        <v>402</v>
      </c>
      <c r="E15941" t="s">
        <v>403</v>
      </c>
      <c r="F15941" t="s">
        <v>0</v>
      </c>
      <c r="G15941" t="s">
        <v>49029</v>
      </c>
      <c r="H15941" t="s">
        <v>47153</v>
      </c>
      <c r="I15941" t="s">
        <v>47132</v>
      </c>
      <c r="J15941" t="s">
        <v>47133</v>
      </c>
      <c r="K15941" t="s">
        <v>47113</v>
      </c>
      <c r="L15941">
        <v>37.76</v>
      </c>
      <c r="M15941">
        <v>68</v>
      </c>
      <c r="N15941">
        <v>0</v>
      </c>
      <c r="O15941">
        <v>68</v>
      </c>
      <c r="P15941">
        <v>0</v>
      </c>
    </row>
    <row r="15942" spans="1:16" x14ac:dyDescent="0.25">
      <c r="A15942" t="s">
        <v>14671</v>
      </c>
      <c r="B15942" t="s">
        <v>398</v>
      </c>
      <c r="C15942" t="s">
        <v>399</v>
      </c>
      <c r="D15942" t="s">
        <v>404</v>
      </c>
      <c r="E15942" t="s">
        <v>405</v>
      </c>
      <c r="F15942" t="s">
        <v>0</v>
      </c>
      <c r="G15942" t="s">
        <v>49029</v>
      </c>
      <c r="H15942" t="s">
        <v>47153</v>
      </c>
      <c r="I15942" t="s">
        <v>47132</v>
      </c>
      <c r="J15942" t="s">
        <v>47133</v>
      </c>
      <c r="K15942" t="s">
        <v>47113</v>
      </c>
      <c r="L15942">
        <v>37.76</v>
      </c>
      <c r="M15942">
        <v>68</v>
      </c>
      <c r="N15942">
        <v>0</v>
      </c>
      <c r="O15942">
        <v>68</v>
      </c>
      <c r="P15942">
        <v>0</v>
      </c>
    </row>
    <row r="15943" spans="1:16" x14ac:dyDescent="0.25">
      <c r="A15943" t="s">
        <v>14672</v>
      </c>
      <c r="B15943" t="s">
        <v>398</v>
      </c>
      <c r="C15943" t="s">
        <v>399</v>
      </c>
      <c r="D15943" t="s">
        <v>406</v>
      </c>
      <c r="E15943" t="s">
        <v>407</v>
      </c>
      <c r="F15943" t="s">
        <v>0</v>
      </c>
      <c r="G15943" t="s">
        <v>49029</v>
      </c>
      <c r="H15943" t="s">
        <v>47153</v>
      </c>
      <c r="I15943" t="s">
        <v>47132</v>
      </c>
      <c r="J15943" t="s">
        <v>47133</v>
      </c>
      <c r="K15943" t="s">
        <v>47113</v>
      </c>
      <c r="L15943">
        <v>37.76</v>
      </c>
      <c r="M15943">
        <v>68</v>
      </c>
      <c r="N15943">
        <v>0</v>
      </c>
      <c r="O15943">
        <v>68</v>
      </c>
      <c r="P15943">
        <v>0</v>
      </c>
    </row>
    <row r="15944" spans="1:16" x14ac:dyDescent="0.25">
      <c r="A15944" t="s">
        <v>14673</v>
      </c>
      <c r="B15944" t="s">
        <v>408</v>
      </c>
      <c r="C15944" t="s">
        <v>409</v>
      </c>
      <c r="D15944" t="s">
        <v>360</v>
      </c>
      <c r="E15944" t="s">
        <v>361</v>
      </c>
      <c r="F15944" t="s">
        <v>0</v>
      </c>
      <c r="G15944" t="s">
        <v>47098</v>
      </c>
      <c r="H15944" t="s">
        <v>47153</v>
      </c>
      <c r="I15944" t="s">
        <v>47132</v>
      </c>
      <c r="J15944" t="s">
        <v>47133</v>
      </c>
      <c r="K15944" t="s">
        <v>47113</v>
      </c>
      <c r="L15944">
        <v>72.260000000000005</v>
      </c>
      <c r="M15944">
        <v>134</v>
      </c>
      <c r="N15944">
        <v>0</v>
      </c>
      <c r="O15944">
        <v>134</v>
      </c>
      <c r="P15944">
        <v>0</v>
      </c>
    </row>
    <row r="15945" spans="1:16" x14ac:dyDescent="0.25">
      <c r="A15945" t="s">
        <v>38590</v>
      </c>
      <c r="B15945" t="s">
        <v>408</v>
      </c>
      <c r="C15945" t="s">
        <v>409</v>
      </c>
      <c r="D15945" t="s">
        <v>364</v>
      </c>
      <c r="E15945" t="s">
        <v>365</v>
      </c>
      <c r="F15945" t="s">
        <v>0</v>
      </c>
      <c r="G15945" t="s">
        <v>47098</v>
      </c>
      <c r="H15945" t="s">
        <v>47153</v>
      </c>
      <c r="I15945" t="s">
        <v>47132</v>
      </c>
      <c r="J15945" t="s">
        <v>47133</v>
      </c>
      <c r="K15945" t="s">
        <v>47113</v>
      </c>
      <c r="L15945">
        <v>61.08</v>
      </c>
      <c r="M15945">
        <v>111</v>
      </c>
      <c r="N15945">
        <v>0</v>
      </c>
      <c r="O15945">
        <v>111</v>
      </c>
      <c r="P15945">
        <v>0</v>
      </c>
    </row>
    <row r="15946" spans="1:16" x14ac:dyDescent="0.25">
      <c r="A15946" t="s">
        <v>38591</v>
      </c>
      <c r="B15946" t="s">
        <v>10768</v>
      </c>
      <c r="C15946" t="s">
        <v>10769</v>
      </c>
      <c r="D15946" t="s">
        <v>339</v>
      </c>
      <c r="E15946" t="s">
        <v>340</v>
      </c>
      <c r="F15946" t="s">
        <v>0</v>
      </c>
      <c r="G15946" t="s">
        <v>47098</v>
      </c>
      <c r="H15946" t="s">
        <v>47153</v>
      </c>
      <c r="I15946" t="s">
        <v>47132</v>
      </c>
      <c r="J15946" t="s">
        <v>47133</v>
      </c>
      <c r="K15946" t="s">
        <v>47113</v>
      </c>
      <c r="L15946">
        <v>57.4</v>
      </c>
      <c r="M15946">
        <v>103</v>
      </c>
      <c r="N15946">
        <v>0</v>
      </c>
      <c r="O15946">
        <v>103</v>
      </c>
      <c r="P15946">
        <v>0</v>
      </c>
    </row>
    <row r="15947" spans="1:16" x14ac:dyDescent="0.25">
      <c r="A15947" t="s">
        <v>38592</v>
      </c>
      <c r="B15947" t="s">
        <v>10770</v>
      </c>
      <c r="C15947" t="s">
        <v>10771</v>
      </c>
      <c r="D15947" t="s">
        <v>395</v>
      </c>
      <c r="E15947" t="s">
        <v>396</v>
      </c>
      <c r="F15947" t="s">
        <v>0</v>
      </c>
      <c r="G15947" t="s">
        <v>48515</v>
      </c>
      <c r="H15947" t="s">
        <v>47153</v>
      </c>
      <c r="I15947" t="s">
        <v>47132</v>
      </c>
      <c r="J15947" t="s">
        <v>47133</v>
      </c>
      <c r="K15947" t="s">
        <v>47113</v>
      </c>
      <c r="L15947">
        <v>85.94</v>
      </c>
      <c r="M15947">
        <v>142</v>
      </c>
      <c r="N15947">
        <v>0</v>
      </c>
      <c r="O15947">
        <v>142</v>
      </c>
      <c r="P15947">
        <v>0</v>
      </c>
    </row>
    <row r="15948" spans="1:16" x14ac:dyDescent="0.25">
      <c r="A15948" t="s">
        <v>38593</v>
      </c>
      <c r="B15948" t="s">
        <v>10770</v>
      </c>
      <c r="C15948" t="s">
        <v>10771</v>
      </c>
      <c r="D15948" t="s">
        <v>10766</v>
      </c>
      <c r="E15948" t="s">
        <v>10767</v>
      </c>
      <c r="F15948" t="s">
        <v>0</v>
      </c>
      <c r="G15948" t="s">
        <v>48515</v>
      </c>
      <c r="H15948" t="s">
        <v>47153</v>
      </c>
      <c r="I15948" t="s">
        <v>47132</v>
      </c>
      <c r="J15948" t="s">
        <v>47133</v>
      </c>
      <c r="K15948" t="s">
        <v>47113</v>
      </c>
      <c r="L15948">
        <v>85.94</v>
      </c>
      <c r="M15948">
        <v>142</v>
      </c>
      <c r="N15948">
        <v>0</v>
      </c>
      <c r="O15948">
        <v>142</v>
      </c>
      <c r="P15948">
        <v>0</v>
      </c>
    </row>
    <row r="15949" spans="1:16" x14ac:dyDescent="0.25">
      <c r="A15949" t="s">
        <v>38594</v>
      </c>
      <c r="B15949" t="s">
        <v>10772</v>
      </c>
      <c r="C15949" t="s">
        <v>10773</v>
      </c>
      <c r="D15949" t="s">
        <v>333</v>
      </c>
      <c r="E15949" t="s">
        <v>334</v>
      </c>
      <c r="F15949" t="s">
        <v>0</v>
      </c>
      <c r="G15949" t="s">
        <v>48515</v>
      </c>
      <c r="H15949" t="s">
        <v>47153</v>
      </c>
      <c r="I15949" t="s">
        <v>47132</v>
      </c>
      <c r="J15949" t="s">
        <v>47133</v>
      </c>
      <c r="K15949" t="s">
        <v>47113</v>
      </c>
      <c r="L15949">
        <v>60.01</v>
      </c>
      <c r="M15949">
        <v>107</v>
      </c>
      <c r="N15949">
        <v>0</v>
      </c>
      <c r="O15949">
        <v>107</v>
      </c>
      <c r="P15949">
        <v>0</v>
      </c>
    </row>
    <row r="15950" spans="1:16" x14ac:dyDescent="0.25">
      <c r="A15950" t="s">
        <v>38595</v>
      </c>
      <c r="B15950" t="s">
        <v>410</v>
      </c>
      <c r="C15950" t="s">
        <v>411</v>
      </c>
      <c r="D15950" t="s">
        <v>3940</v>
      </c>
      <c r="E15950" t="s">
        <v>3941</v>
      </c>
      <c r="F15950" t="s">
        <v>0</v>
      </c>
      <c r="G15950" t="s">
        <v>47098</v>
      </c>
      <c r="H15950" t="s">
        <v>47153</v>
      </c>
      <c r="I15950" t="s">
        <v>47132</v>
      </c>
      <c r="J15950" t="s">
        <v>47133</v>
      </c>
      <c r="K15950" t="s">
        <v>47113</v>
      </c>
      <c r="L15950">
        <v>213.06</v>
      </c>
      <c r="M15950">
        <v>280</v>
      </c>
      <c r="N15950">
        <v>0</v>
      </c>
      <c r="O15950">
        <v>280</v>
      </c>
      <c r="P15950">
        <v>0</v>
      </c>
    </row>
    <row r="15951" spans="1:16" x14ac:dyDescent="0.25">
      <c r="A15951" t="s">
        <v>14674</v>
      </c>
      <c r="B15951" t="s">
        <v>410</v>
      </c>
      <c r="C15951" t="s">
        <v>411</v>
      </c>
      <c r="D15951" t="s">
        <v>412</v>
      </c>
      <c r="E15951" t="s">
        <v>413</v>
      </c>
      <c r="F15951" t="s">
        <v>0</v>
      </c>
      <c r="G15951" t="s">
        <v>47098</v>
      </c>
      <c r="H15951" t="s">
        <v>47153</v>
      </c>
      <c r="I15951" t="s">
        <v>47132</v>
      </c>
      <c r="J15951" t="s">
        <v>47133</v>
      </c>
      <c r="K15951" t="s">
        <v>47113</v>
      </c>
      <c r="L15951">
        <v>213.06</v>
      </c>
      <c r="M15951">
        <v>280</v>
      </c>
      <c r="N15951">
        <v>0</v>
      </c>
      <c r="O15951">
        <v>280</v>
      </c>
      <c r="P15951">
        <v>0</v>
      </c>
    </row>
    <row r="15952" spans="1:16" x14ac:dyDescent="0.25">
      <c r="A15952" t="s">
        <v>38596</v>
      </c>
      <c r="B15952" t="s">
        <v>410</v>
      </c>
      <c r="C15952" t="s">
        <v>411</v>
      </c>
      <c r="D15952" t="s">
        <v>504</v>
      </c>
      <c r="E15952" t="s">
        <v>505</v>
      </c>
      <c r="F15952" t="s">
        <v>0</v>
      </c>
      <c r="G15952" t="s">
        <v>47098</v>
      </c>
      <c r="H15952" t="s">
        <v>47153</v>
      </c>
      <c r="I15952" t="s">
        <v>47132</v>
      </c>
      <c r="J15952" t="s">
        <v>47133</v>
      </c>
      <c r="K15952" t="s">
        <v>47113</v>
      </c>
      <c r="L15952">
        <v>213.06</v>
      </c>
      <c r="M15952">
        <v>280</v>
      </c>
      <c r="N15952">
        <v>0</v>
      </c>
      <c r="O15952">
        <v>280</v>
      </c>
      <c r="P15952">
        <v>0</v>
      </c>
    </row>
    <row r="15953" spans="1:16" x14ac:dyDescent="0.25">
      <c r="A15953" t="s">
        <v>38597</v>
      </c>
      <c r="B15953" t="s">
        <v>10774</v>
      </c>
      <c r="C15953" t="s">
        <v>4345</v>
      </c>
      <c r="D15953" t="str">
        <f>"1001"</f>
        <v>1001</v>
      </c>
      <c r="E15953" t="s">
        <v>42</v>
      </c>
      <c r="F15953" t="s">
        <v>0</v>
      </c>
      <c r="G15953" t="s">
        <v>47098</v>
      </c>
      <c r="H15953" t="s">
        <v>47126</v>
      </c>
      <c r="I15953" t="s">
        <v>47178</v>
      </c>
      <c r="J15953" t="s">
        <v>47179</v>
      </c>
      <c r="K15953" t="s">
        <v>47113</v>
      </c>
      <c r="L15953">
        <v>56.32</v>
      </c>
      <c r="M15953">
        <v>123</v>
      </c>
      <c r="N15953">
        <v>0</v>
      </c>
      <c r="O15953">
        <v>123</v>
      </c>
      <c r="P15953">
        <v>0</v>
      </c>
    </row>
    <row r="15954" spans="1:16" x14ac:dyDescent="0.25">
      <c r="A15954" t="s">
        <v>38598</v>
      </c>
      <c r="B15954" t="s">
        <v>10774</v>
      </c>
      <c r="C15954" t="s">
        <v>4345</v>
      </c>
      <c r="D15954" t="str">
        <f>"3106"</f>
        <v>3106</v>
      </c>
      <c r="E15954" t="s">
        <v>230</v>
      </c>
      <c r="F15954" t="s">
        <v>0</v>
      </c>
      <c r="G15954" t="s">
        <v>47098</v>
      </c>
      <c r="H15954" t="s">
        <v>47126</v>
      </c>
      <c r="I15954" t="s">
        <v>47178</v>
      </c>
      <c r="J15954" t="s">
        <v>47179</v>
      </c>
      <c r="K15954" t="s">
        <v>47113</v>
      </c>
      <c r="L15954">
        <v>56.32</v>
      </c>
      <c r="M15954">
        <v>123</v>
      </c>
      <c r="N15954">
        <v>0</v>
      </c>
      <c r="O15954">
        <v>123</v>
      </c>
      <c r="P15954">
        <v>0</v>
      </c>
    </row>
    <row r="15955" spans="1:16" x14ac:dyDescent="0.25">
      <c r="A15955" t="s">
        <v>38599</v>
      </c>
      <c r="B15955" t="s">
        <v>10774</v>
      </c>
      <c r="C15955" t="s">
        <v>4345</v>
      </c>
      <c r="D15955" t="str">
        <f>"6000"</f>
        <v>6000</v>
      </c>
      <c r="E15955" t="s">
        <v>238</v>
      </c>
      <c r="F15955" t="s">
        <v>0</v>
      </c>
      <c r="G15955" t="s">
        <v>47098</v>
      </c>
      <c r="H15955" t="s">
        <v>47126</v>
      </c>
      <c r="I15955" t="s">
        <v>47178</v>
      </c>
      <c r="J15955" t="s">
        <v>47179</v>
      </c>
      <c r="K15955" t="s">
        <v>47113</v>
      </c>
      <c r="L15955">
        <v>56.32</v>
      </c>
      <c r="M15955">
        <v>123</v>
      </c>
      <c r="N15955">
        <v>0</v>
      </c>
      <c r="O15955">
        <v>123</v>
      </c>
      <c r="P15955">
        <v>0</v>
      </c>
    </row>
    <row r="15956" spans="1:16" x14ac:dyDescent="0.25">
      <c r="A15956" t="s">
        <v>38600</v>
      </c>
      <c r="B15956" t="s">
        <v>10775</v>
      </c>
      <c r="C15956" t="s">
        <v>4345</v>
      </c>
      <c r="D15956" t="str">
        <f>"1001"</f>
        <v>1001</v>
      </c>
      <c r="E15956" t="s">
        <v>42</v>
      </c>
      <c r="F15956" t="s">
        <v>0</v>
      </c>
      <c r="G15956" t="s">
        <v>47098</v>
      </c>
      <c r="H15956" t="s">
        <v>47126</v>
      </c>
      <c r="I15956" t="s">
        <v>47178</v>
      </c>
      <c r="J15956" t="s">
        <v>47179</v>
      </c>
      <c r="K15956" t="s">
        <v>47113</v>
      </c>
      <c r="L15956">
        <v>42.43</v>
      </c>
      <c r="M15956">
        <v>92</v>
      </c>
      <c r="N15956">
        <v>0</v>
      </c>
      <c r="O15956">
        <v>92</v>
      </c>
      <c r="P15956">
        <v>0</v>
      </c>
    </row>
    <row r="15957" spans="1:16" x14ac:dyDescent="0.25">
      <c r="A15957" t="s">
        <v>38601</v>
      </c>
      <c r="B15957" t="s">
        <v>10775</v>
      </c>
      <c r="C15957" t="s">
        <v>4345</v>
      </c>
      <c r="D15957" t="str">
        <f>"6000"</f>
        <v>6000</v>
      </c>
      <c r="E15957" t="s">
        <v>238</v>
      </c>
      <c r="F15957" t="s">
        <v>0</v>
      </c>
      <c r="G15957" t="s">
        <v>47098</v>
      </c>
      <c r="H15957" t="s">
        <v>47126</v>
      </c>
      <c r="I15957" t="s">
        <v>47178</v>
      </c>
      <c r="J15957" t="s">
        <v>47179</v>
      </c>
      <c r="K15957" t="s">
        <v>47113</v>
      </c>
      <c r="L15957">
        <v>42.43</v>
      </c>
      <c r="M15957">
        <v>103</v>
      </c>
      <c r="N15957">
        <v>0</v>
      </c>
      <c r="O15957">
        <v>103</v>
      </c>
      <c r="P15957">
        <v>0</v>
      </c>
    </row>
    <row r="15958" spans="1:16" x14ac:dyDescent="0.25">
      <c r="A15958" t="s">
        <v>14675</v>
      </c>
      <c r="B15958" t="s">
        <v>414</v>
      </c>
      <c r="C15958" t="s">
        <v>415</v>
      </c>
      <c r="D15958" t="s">
        <v>416</v>
      </c>
      <c r="E15958" t="s">
        <v>417</v>
      </c>
      <c r="F15958" t="s">
        <v>0</v>
      </c>
      <c r="G15958" t="s">
        <v>47097</v>
      </c>
      <c r="H15958" t="s">
        <v>47153</v>
      </c>
      <c r="I15958" t="s">
        <v>47132</v>
      </c>
      <c r="J15958" t="s">
        <v>47133</v>
      </c>
      <c r="K15958" t="s">
        <v>47113</v>
      </c>
      <c r="L15958">
        <v>56.81</v>
      </c>
      <c r="M15958">
        <v>76</v>
      </c>
      <c r="N15958">
        <v>0</v>
      </c>
      <c r="O15958">
        <v>76</v>
      </c>
      <c r="P15958">
        <v>0</v>
      </c>
    </row>
    <row r="15959" spans="1:16" x14ac:dyDescent="0.25">
      <c r="A15959" t="s">
        <v>38602</v>
      </c>
      <c r="B15959" t="s">
        <v>414</v>
      </c>
      <c r="C15959" t="s">
        <v>415</v>
      </c>
      <c r="D15959" t="s">
        <v>10776</v>
      </c>
      <c r="E15959" t="s">
        <v>10777</v>
      </c>
      <c r="F15959" t="s">
        <v>0</v>
      </c>
      <c r="G15959" t="s">
        <v>47097</v>
      </c>
      <c r="H15959" t="s">
        <v>47153</v>
      </c>
      <c r="I15959" t="s">
        <v>47132</v>
      </c>
      <c r="J15959" t="s">
        <v>47133</v>
      </c>
      <c r="K15959" t="s">
        <v>47113</v>
      </c>
      <c r="L15959">
        <v>56.81</v>
      </c>
      <c r="M15959">
        <v>76</v>
      </c>
      <c r="N15959">
        <v>0</v>
      </c>
      <c r="O15959">
        <v>76</v>
      </c>
      <c r="P15959">
        <v>0</v>
      </c>
    </row>
    <row r="15960" spans="1:16" x14ac:dyDescent="0.25">
      <c r="A15960" t="s">
        <v>38603</v>
      </c>
      <c r="B15960" t="s">
        <v>414</v>
      </c>
      <c r="C15960" t="s">
        <v>415</v>
      </c>
      <c r="D15960" t="s">
        <v>4353</v>
      </c>
      <c r="E15960" t="s">
        <v>4354</v>
      </c>
      <c r="F15960" t="s">
        <v>0</v>
      </c>
      <c r="G15960" t="s">
        <v>47097</v>
      </c>
      <c r="H15960" t="s">
        <v>47153</v>
      </c>
      <c r="I15960" t="s">
        <v>47132</v>
      </c>
      <c r="J15960" t="s">
        <v>47133</v>
      </c>
      <c r="K15960" t="s">
        <v>47113</v>
      </c>
      <c r="L15960">
        <v>56.81</v>
      </c>
      <c r="M15960">
        <v>76</v>
      </c>
      <c r="N15960">
        <v>0</v>
      </c>
      <c r="O15960">
        <v>76</v>
      </c>
      <c r="P15960">
        <v>0</v>
      </c>
    </row>
    <row r="15961" spans="1:16" x14ac:dyDescent="0.25">
      <c r="A15961" t="s">
        <v>14676</v>
      </c>
      <c r="B15961" t="s">
        <v>414</v>
      </c>
      <c r="C15961" t="s">
        <v>415</v>
      </c>
      <c r="D15961" t="s">
        <v>418</v>
      </c>
      <c r="E15961" t="s">
        <v>419</v>
      </c>
      <c r="F15961" t="s">
        <v>0</v>
      </c>
      <c r="G15961" t="s">
        <v>47097</v>
      </c>
      <c r="H15961" t="s">
        <v>47153</v>
      </c>
      <c r="I15961" t="s">
        <v>47132</v>
      </c>
      <c r="J15961" t="s">
        <v>47133</v>
      </c>
      <c r="K15961" t="s">
        <v>47113</v>
      </c>
      <c r="L15961">
        <v>56.81</v>
      </c>
      <c r="M15961">
        <v>76</v>
      </c>
      <c r="N15961">
        <v>0</v>
      </c>
      <c r="O15961">
        <v>76</v>
      </c>
      <c r="P15961">
        <v>0</v>
      </c>
    </row>
    <row r="15962" spans="1:16" x14ac:dyDescent="0.25">
      <c r="A15962" t="s">
        <v>38604</v>
      </c>
      <c r="B15962" t="s">
        <v>420</v>
      </c>
      <c r="C15962" t="s">
        <v>421</v>
      </c>
      <c r="D15962" t="s">
        <v>10776</v>
      </c>
      <c r="E15962" t="s">
        <v>10777</v>
      </c>
      <c r="F15962" t="s">
        <v>0</v>
      </c>
      <c r="G15962" t="s">
        <v>47097</v>
      </c>
      <c r="H15962" t="s">
        <v>47153</v>
      </c>
      <c r="I15962" t="s">
        <v>47132</v>
      </c>
      <c r="J15962" t="s">
        <v>47133</v>
      </c>
      <c r="K15962" t="s">
        <v>47113</v>
      </c>
      <c r="L15962">
        <v>44.98</v>
      </c>
      <c r="M15962">
        <v>65</v>
      </c>
      <c r="N15962">
        <v>0</v>
      </c>
      <c r="O15962">
        <v>65</v>
      </c>
      <c r="P15962">
        <v>0</v>
      </c>
    </row>
    <row r="15963" spans="1:16" x14ac:dyDescent="0.25">
      <c r="A15963" t="s">
        <v>14677</v>
      </c>
      <c r="B15963" t="s">
        <v>420</v>
      </c>
      <c r="C15963" t="s">
        <v>421</v>
      </c>
      <c r="D15963" t="s">
        <v>422</v>
      </c>
      <c r="E15963" t="s">
        <v>423</v>
      </c>
      <c r="F15963" t="s">
        <v>0</v>
      </c>
      <c r="G15963" t="s">
        <v>47097</v>
      </c>
      <c r="H15963" t="s">
        <v>47153</v>
      </c>
      <c r="I15963" t="s">
        <v>47132</v>
      </c>
      <c r="J15963" t="s">
        <v>47133</v>
      </c>
      <c r="K15963" t="s">
        <v>47113</v>
      </c>
      <c r="L15963">
        <v>44.98</v>
      </c>
      <c r="M15963">
        <v>65</v>
      </c>
      <c r="N15963">
        <v>0</v>
      </c>
      <c r="O15963">
        <v>65</v>
      </c>
      <c r="P15963">
        <v>0</v>
      </c>
    </row>
    <row r="15964" spans="1:16" x14ac:dyDescent="0.25">
      <c r="A15964" t="s">
        <v>14678</v>
      </c>
      <c r="B15964" t="s">
        <v>420</v>
      </c>
      <c r="C15964" t="s">
        <v>421</v>
      </c>
      <c r="D15964" t="s">
        <v>424</v>
      </c>
      <c r="E15964" t="s">
        <v>425</v>
      </c>
      <c r="F15964" t="s">
        <v>0</v>
      </c>
      <c r="G15964" t="s">
        <v>47097</v>
      </c>
      <c r="H15964" t="s">
        <v>47153</v>
      </c>
      <c r="I15964" t="s">
        <v>47132</v>
      </c>
      <c r="J15964" t="s">
        <v>47133</v>
      </c>
      <c r="K15964" t="s">
        <v>47113</v>
      </c>
      <c r="L15964">
        <v>44.98</v>
      </c>
      <c r="M15964">
        <v>65</v>
      </c>
      <c r="N15964">
        <v>0</v>
      </c>
      <c r="O15964">
        <v>65</v>
      </c>
      <c r="P15964">
        <v>0</v>
      </c>
    </row>
    <row r="15965" spans="1:16" x14ac:dyDescent="0.25">
      <c r="A15965" t="s">
        <v>38605</v>
      </c>
      <c r="B15965" t="s">
        <v>420</v>
      </c>
      <c r="C15965" t="s">
        <v>421</v>
      </c>
      <c r="D15965" t="s">
        <v>10778</v>
      </c>
      <c r="E15965" t="s">
        <v>10779</v>
      </c>
      <c r="F15965" t="s">
        <v>0</v>
      </c>
      <c r="G15965" t="s">
        <v>47097</v>
      </c>
      <c r="H15965" t="s">
        <v>47153</v>
      </c>
      <c r="I15965" t="s">
        <v>47132</v>
      </c>
      <c r="J15965" t="s">
        <v>47133</v>
      </c>
      <c r="K15965" t="s">
        <v>47113</v>
      </c>
      <c r="L15965">
        <v>44.98</v>
      </c>
      <c r="M15965">
        <v>65</v>
      </c>
      <c r="N15965">
        <v>0</v>
      </c>
      <c r="O15965">
        <v>65</v>
      </c>
      <c r="P15965">
        <v>0</v>
      </c>
    </row>
    <row r="15966" spans="1:16" x14ac:dyDescent="0.25">
      <c r="A15966" t="s">
        <v>38606</v>
      </c>
      <c r="B15966" t="s">
        <v>426</v>
      </c>
      <c r="C15966" t="s">
        <v>427</v>
      </c>
      <c r="D15966" t="s">
        <v>10780</v>
      </c>
      <c r="E15966" t="s">
        <v>10781</v>
      </c>
      <c r="F15966" t="s">
        <v>0</v>
      </c>
      <c r="G15966" t="s">
        <v>47097</v>
      </c>
      <c r="H15966" t="s">
        <v>47153</v>
      </c>
      <c r="I15966" t="s">
        <v>47132</v>
      </c>
      <c r="J15966" t="s">
        <v>47133</v>
      </c>
      <c r="K15966" t="s">
        <v>47113</v>
      </c>
      <c r="L15966">
        <v>74.569999999999993</v>
      </c>
      <c r="M15966">
        <v>76</v>
      </c>
      <c r="N15966">
        <v>0</v>
      </c>
      <c r="O15966">
        <v>76</v>
      </c>
      <c r="P15966">
        <v>0</v>
      </c>
    </row>
    <row r="15967" spans="1:16" x14ac:dyDescent="0.25">
      <c r="A15967" t="s">
        <v>38607</v>
      </c>
      <c r="B15967" t="s">
        <v>426</v>
      </c>
      <c r="C15967" t="s">
        <v>427</v>
      </c>
      <c r="D15967" t="s">
        <v>10782</v>
      </c>
      <c r="E15967" t="s">
        <v>10783</v>
      </c>
      <c r="F15967" t="s">
        <v>0</v>
      </c>
      <c r="G15967" t="s">
        <v>47097</v>
      </c>
      <c r="H15967" t="s">
        <v>47153</v>
      </c>
      <c r="I15967" t="s">
        <v>47132</v>
      </c>
      <c r="J15967" t="s">
        <v>47133</v>
      </c>
      <c r="K15967" t="s">
        <v>47113</v>
      </c>
      <c r="L15967">
        <v>74.569999999999993</v>
      </c>
      <c r="M15967">
        <v>76</v>
      </c>
      <c r="N15967">
        <v>0</v>
      </c>
      <c r="O15967">
        <v>76</v>
      </c>
      <c r="P15967">
        <v>0</v>
      </c>
    </row>
    <row r="15968" spans="1:16" x14ac:dyDescent="0.25">
      <c r="A15968" t="s">
        <v>14679</v>
      </c>
      <c r="B15968" t="s">
        <v>426</v>
      </c>
      <c r="C15968" t="s">
        <v>427</v>
      </c>
      <c r="D15968" t="s">
        <v>428</v>
      </c>
      <c r="E15968" t="s">
        <v>429</v>
      </c>
      <c r="F15968" t="s">
        <v>0</v>
      </c>
      <c r="G15968" t="s">
        <v>47097</v>
      </c>
      <c r="H15968" t="s">
        <v>47153</v>
      </c>
      <c r="I15968" t="s">
        <v>47132</v>
      </c>
      <c r="J15968" t="s">
        <v>47133</v>
      </c>
      <c r="K15968" t="s">
        <v>47113</v>
      </c>
      <c r="L15968">
        <v>74.569999999999993</v>
      </c>
      <c r="M15968">
        <v>76</v>
      </c>
      <c r="N15968">
        <v>0</v>
      </c>
      <c r="O15968">
        <v>76</v>
      </c>
      <c r="P15968">
        <v>0</v>
      </c>
    </row>
    <row r="15969" spans="1:16" x14ac:dyDescent="0.25">
      <c r="A15969" t="s">
        <v>38608</v>
      </c>
      <c r="B15969" t="s">
        <v>10784</v>
      </c>
      <c r="C15969" t="s">
        <v>10785</v>
      </c>
      <c r="D15969" t="str">
        <f>"1001"</f>
        <v>1001</v>
      </c>
      <c r="E15969" t="s">
        <v>42</v>
      </c>
      <c r="F15969" t="s">
        <v>0</v>
      </c>
      <c r="G15969" t="s">
        <v>47096</v>
      </c>
      <c r="H15969" t="s">
        <v>47126</v>
      </c>
      <c r="I15969" t="s">
        <v>47127</v>
      </c>
      <c r="J15969" t="s">
        <v>47128</v>
      </c>
      <c r="K15969" t="s">
        <v>47113</v>
      </c>
      <c r="L15969">
        <v>30.17</v>
      </c>
      <c r="M15969">
        <v>66</v>
      </c>
      <c r="N15969">
        <v>0</v>
      </c>
      <c r="O15969">
        <v>66</v>
      </c>
      <c r="P15969">
        <v>0</v>
      </c>
    </row>
    <row r="15970" spans="1:16" x14ac:dyDescent="0.25">
      <c r="A15970" t="s">
        <v>38609</v>
      </c>
      <c r="B15970" t="s">
        <v>10784</v>
      </c>
      <c r="C15970" t="s">
        <v>10785</v>
      </c>
      <c r="D15970" t="str">
        <f>"1377"</f>
        <v>1377</v>
      </c>
      <c r="E15970" t="s">
        <v>74</v>
      </c>
      <c r="F15970" t="s">
        <v>0</v>
      </c>
      <c r="G15970" t="s">
        <v>47096</v>
      </c>
      <c r="H15970" t="s">
        <v>47126</v>
      </c>
      <c r="I15970" t="s">
        <v>47127</v>
      </c>
      <c r="J15970" t="s">
        <v>47128</v>
      </c>
      <c r="K15970" t="s">
        <v>47113</v>
      </c>
      <c r="L15970">
        <v>30.17</v>
      </c>
      <c r="M15970">
        <v>66</v>
      </c>
      <c r="N15970">
        <v>0</v>
      </c>
      <c r="O15970">
        <v>66</v>
      </c>
      <c r="P15970">
        <v>0</v>
      </c>
    </row>
    <row r="15971" spans="1:16" x14ac:dyDescent="0.25">
      <c r="A15971" t="s">
        <v>38610</v>
      </c>
      <c r="B15971" t="s">
        <v>10784</v>
      </c>
      <c r="C15971" t="s">
        <v>10785</v>
      </c>
      <c r="D15971" t="str">
        <f>"2166"</f>
        <v>2166</v>
      </c>
      <c r="E15971" t="s">
        <v>80</v>
      </c>
      <c r="F15971" t="s">
        <v>2068</v>
      </c>
      <c r="G15971" t="s">
        <v>47096</v>
      </c>
      <c r="H15971" t="s">
        <v>47126</v>
      </c>
      <c r="I15971" t="s">
        <v>47127</v>
      </c>
      <c r="J15971" t="s">
        <v>47128</v>
      </c>
      <c r="K15971" t="s">
        <v>47113</v>
      </c>
      <c r="L15971">
        <v>30.17</v>
      </c>
      <c r="M15971">
        <v>66</v>
      </c>
      <c r="N15971">
        <v>0</v>
      </c>
      <c r="O15971">
        <v>66</v>
      </c>
      <c r="P15971">
        <v>0</v>
      </c>
    </row>
    <row r="15972" spans="1:16" x14ac:dyDescent="0.25">
      <c r="A15972" t="s">
        <v>38611</v>
      </c>
      <c r="B15972" t="s">
        <v>10784</v>
      </c>
      <c r="C15972" t="s">
        <v>10785</v>
      </c>
      <c r="D15972" t="str">
        <f>"4201"</f>
        <v>4201</v>
      </c>
      <c r="E15972" t="s">
        <v>1855</v>
      </c>
      <c r="F15972" t="s">
        <v>2068</v>
      </c>
      <c r="G15972" t="s">
        <v>47096</v>
      </c>
      <c r="H15972" t="s">
        <v>47126</v>
      </c>
      <c r="I15972" t="s">
        <v>47127</v>
      </c>
      <c r="J15972" t="s">
        <v>47128</v>
      </c>
      <c r="K15972" t="s">
        <v>47113</v>
      </c>
      <c r="L15972">
        <v>30.17</v>
      </c>
      <c r="M15972">
        <v>66</v>
      </c>
      <c r="N15972">
        <v>0</v>
      </c>
      <c r="O15972">
        <v>66</v>
      </c>
      <c r="P15972">
        <v>0</v>
      </c>
    </row>
    <row r="15973" spans="1:16" x14ac:dyDescent="0.25">
      <c r="A15973" t="s">
        <v>38612</v>
      </c>
      <c r="B15973" t="s">
        <v>10784</v>
      </c>
      <c r="C15973" t="s">
        <v>10785</v>
      </c>
      <c r="D15973" t="str">
        <f>"4730"</f>
        <v>4730</v>
      </c>
      <c r="E15973" t="s">
        <v>461</v>
      </c>
      <c r="F15973" t="s">
        <v>0</v>
      </c>
      <c r="G15973" t="s">
        <v>47096</v>
      </c>
      <c r="H15973" t="s">
        <v>47126</v>
      </c>
      <c r="I15973" t="s">
        <v>47127</v>
      </c>
      <c r="J15973" t="s">
        <v>47128</v>
      </c>
      <c r="K15973" t="s">
        <v>47113</v>
      </c>
      <c r="L15973">
        <v>30.17</v>
      </c>
      <c r="M15973">
        <v>66</v>
      </c>
      <c r="N15973">
        <v>0</v>
      </c>
      <c r="O15973">
        <v>66</v>
      </c>
      <c r="P15973">
        <v>0</v>
      </c>
    </row>
    <row r="15974" spans="1:16" x14ac:dyDescent="0.25">
      <c r="A15974" t="s">
        <v>38613</v>
      </c>
      <c r="B15974" t="s">
        <v>10784</v>
      </c>
      <c r="C15974" t="s">
        <v>10785</v>
      </c>
      <c r="D15974" t="str">
        <f>"4753"</f>
        <v>4753</v>
      </c>
      <c r="E15974" t="s">
        <v>3755</v>
      </c>
      <c r="F15974" t="s">
        <v>2068</v>
      </c>
      <c r="G15974" t="s">
        <v>47096</v>
      </c>
      <c r="H15974" t="s">
        <v>47126</v>
      </c>
      <c r="I15974" t="s">
        <v>47127</v>
      </c>
      <c r="J15974" t="s">
        <v>47128</v>
      </c>
      <c r="K15974" t="s">
        <v>47113</v>
      </c>
      <c r="L15974">
        <v>30.17</v>
      </c>
      <c r="M15974">
        <v>66</v>
      </c>
      <c r="N15974">
        <v>0</v>
      </c>
      <c r="O15974">
        <v>66</v>
      </c>
      <c r="P15974">
        <v>0</v>
      </c>
    </row>
    <row r="15975" spans="1:16" x14ac:dyDescent="0.25">
      <c r="A15975" t="s">
        <v>38614</v>
      </c>
      <c r="B15975" t="s">
        <v>10784</v>
      </c>
      <c r="C15975" t="s">
        <v>10785</v>
      </c>
      <c r="D15975" t="str">
        <f>"6000"</f>
        <v>6000</v>
      </c>
      <c r="E15975" t="s">
        <v>390</v>
      </c>
      <c r="F15975" t="s">
        <v>0</v>
      </c>
      <c r="G15975" t="s">
        <v>47096</v>
      </c>
      <c r="H15975" t="s">
        <v>47126</v>
      </c>
      <c r="I15975" t="s">
        <v>47127</v>
      </c>
      <c r="J15975" t="s">
        <v>47128</v>
      </c>
      <c r="K15975" t="s">
        <v>47113</v>
      </c>
      <c r="L15975">
        <v>30.17</v>
      </c>
      <c r="M15975">
        <v>66</v>
      </c>
      <c r="N15975">
        <v>0</v>
      </c>
      <c r="O15975">
        <v>66</v>
      </c>
      <c r="P15975">
        <v>0</v>
      </c>
    </row>
    <row r="15976" spans="1:16" x14ac:dyDescent="0.25">
      <c r="A15976" t="s">
        <v>38615</v>
      </c>
      <c r="B15976" t="s">
        <v>10786</v>
      </c>
      <c r="C15976" t="s">
        <v>2241</v>
      </c>
      <c r="D15976" t="str">
        <f>"1001"</f>
        <v>1001</v>
      </c>
      <c r="E15976" t="s">
        <v>42</v>
      </c>
      <c r="F15976" t="s">
        <v>0</v>
      </c>
      <c r="G15976" t="s">
        <v>47096</v>
      </c>
      <c r="H15976" t="s">
        <v>47126</v>
      </c>
      <c r="I15976" t="s">
        <v>47127</v>
      </c>
      <c r="J15976" t="s">
        <v>47128</v>
      </c>
      <c r="K15976" t="s">
        <v>47113</v>
      </c>
      <c r="L15976">
        <v>28.96</v>
      </c>
      <c r="M15976">
        <v>63</v>
      </c>
      <c r="N15976">
        <v>0</v>
      </c>
      <c r="O15976">
        <v>63</v>
      </c>
      <c r="P15976">
        <v>0</v>
      </c>
    </row>
    <row r="15977" spans="1:16" x14ac:dyDescent="0.25">
      <c r="A15977" t="s">
        <v>38616</v>
      </c>
      <c r="B15977" t="s">
        <v>10786</v>
      </c>
      <c r="C15977" t="s">
        <v>2241</v>
      </c>
      <c r="D15977" t="str">
        <f>"1377"</f>
        <v>1377</v>
      </c>
      <c r="E15977" t="s">
        <v>74</v>
      </c>
      <c r="F15977" t="s">
        <v>0</v>
      </c>
      <c r="G15977" t="s">
        <v>47096</v>
      </c>
      <c r="H15977" t="s">
        <v>47126</v>
      </c>
      <c r="I15977" t="s">
        <v>47127</v>
      </c>
      <c r="J15977" t="s">
        <v>47128</v>
      </c>
      <c r="K15977" t="s">
        <v>47113</v>
      </c>
      <c r="L15977">
        <v>28.96</v>
      </c>
      <c r="M15977">
        <v>63</v>
      </c>
      <c r="N15977">
        <v>0</v>
      </c>
      <c r="O15977">
        <v>63</v>
      </c>
      <c r="P15977">
        <v>0</v>
      </c>
    </row>
    <row r="15978" spans="1:16" x14ac:dyDescent="0.25">
      <c r="A15978" t="s">
        <v>38617</v>
      </c>
      <c r="B15978" t="s">
        <v>10786</v>
      </c>
      <c r="C15978" t="s">
        <v>2241</v>
      </c>
      <c r="D15978" t="str">
        <f>"1378"</f>
        <v>1378</v>
      </c>
      <c r="E15978" t="s">
        <v>388</v>
      </c>
      <c r="F15978" t="s">
        <v>0</v>
      </c>
      <c r="G15978" t="s">
        <v>47096</v>
      </c>
      <c r="H15978" t="s">
        <v>47126</v>
      </c>
      <c r="I15978" t="s">
        <v>47127</v>
      </c>
      <c r="J15978" t="s">
        <v>47128</v>
      </c>
      <c r="K15978" t="s">
        <v>47113</v>
      </c>
      <c r="L15978">
        <v>28.96</v>
      </c>
      <c r="M15978">
        <v>63</v>
      </c>
      <c r="N15978">
        <v>0</v>
      </c>
      <c r="O15978">
        <v>63</v>
      </c>
      <c r="P15978">
        <v>0</v>
      </c>
    </row>
    <row r="15979" spans="1:16" x14ac:dyDescent="0.25">
      <c r="A15979" t="s">
        <v>38618</v>
      </c>
      <c r="B15979" t="s">
        <v>10786</v>
      </c>
      <c r="C15979" t="s">
        <v>2241</v>
      </c>
      <c r="D15979" t="str">
        <f>"2166"</f>
        <v>2166</v>
      </c>
      <c r="E15979" t="s">
        <v>80</v>
      </c>
      <c r="F15979" t="s">
        <v>0</v>
      </c>
      <c r="G15979" t="s">
        <v>47096</v>
      </c>
      <c r="H15979" t="s">
        <v>47126</v>
      </c>
      <c r="I15979" t="s">
        <v>47127</v>
      </c>
      <c r="J15979" t="s">
        <v>47128</v>
      </c>
      <c r="K15979" t="s">
        <v>47113</v>
      </c>
      <c r="L15979">
        <v>28.96</v>
      </c>
      <c r="M15979">
        <v>63</v>
      </c>
      <c r="N15979">
        <v>0</v>
      </c>
      <c r="O15979">
        <v>63</v>
      </c>
      <c r="P15979">
        <v>0</v>
      </c>
    </row>
    <row r="15980" spans="1:16" x14ac:dyDescent="0.25">
      <c r="A15980" t="s">
        <v>38619</v>
      </c>
      <c r="B15980" t="s">
        <v>10786</v>
      </c>
      <c r="C15980" t="s">
        <v>2241</v>
      </c>
      <c r="D15980" t="str">
        <f>"4643"</f>
        <v>4643</v>
      </c>
      <c r="E15980" t="s">
        <v>205</v>
      </c>
      <c r="F15980" t="s">
        <v>0</v>
      </c>
      <c r="G15980" t="s">
        <v>47096</v>
      </c>
      <c r="H15980" t="s">
        <v>47126</v>
      </c>
      <c r="I15980" t="s">
        <v>47127</v>
      </c>
      <c r="J15980" t="s">
        <v>47128</v>
      </c>
      <c r="K15980" t="s">
        <v>47113</v>
      </c>
      <c r="L15980">
        <v>28.96</v>
      </c>
      <c r="M15980">
        <v>63</v>
      </c>
      <c r="N15980">
        <v>0</v>
      </c>
      <c r="O15980">
        <v>63</v>
      </c>
      <c r="P15980">
        <v>0</v>
      </c>
    </row>
    <row r="15981" spans="1:16" x14ac:dyDescent="0.25">
      <c r="A15981" t="s">
        <v>38620</v>
      </c>
      <c r="B15981" t="s">
        <v>10786</v>
      </c>
      <c r="C15981" t="s">
        <v>2241</v>
      </c>
      <c r="D15981" t="str">
        <f>"4730"</f>
        <v>4730</v>
      </c>
      <c r="E15981" t="s">
        <v>461</v>
      </c>
      <c r="F15981" t="s">
        <v>0</v>
      </c>
      <c r="G15981" t="s">
        <v>47096</v>
      </c>
      <c r="H15981" t="s">
        <v>47126</v>
      </c>
      <c r="I15981" t="s">
        <v>47127</v>
      </c>
      <c r="J15981" t="s">
        <v>47128</v>
      </c>
      <c r="K15981" t="s">
        <v>47113</v>
      </c>
      <c r="L15981">
        <v>28.96</v>
      </c>
      <c r="M15981">
        <v>63</v>
      </c>
      <c r="N15981">
        <v>0</v>
      </c>
      <c r="O15981">
        <v>63</v>
      </c>
      <c r="P15981">
        <v>0</v>
      </c>
    </row>
    <row r="15982" spans="1:16" x14ac:dyDescent="0.25">
      <c r="A15982" t="s">
        <v>38621</v>
      </c>
      <c r="B15982" t="s">
        <v>10786</v>
      </c>
      <c r="C15982" t="s">
        <v>2241</v>
      </c>
      <c r="D15982" t="str">
        <f>"6000"</f>
        <v>6000</v>
      </c>
      <c r="E15982" t="s">
        <v>390</v>
      </c>
      <c r="F15982" t="s">
        <v>0</v>
      </c>
      <c r="G15982" t="s">
        <v>47096</v>
      </c>
      <c r="H15982" t="s">
        <v>47126</v>
      </c>
      <c r="I15982" t="s">
        <v>47127</v>
      </c>
      <c r="J15982" t="s">
        <v>47128</v>
      </c>
      <c r="K15982" t="s">
        <v>47113</v>
      </c>
      <c r="L15982">
        <v>28.96</v>
      </c>
      <c r="M15982">
        <v>63</v>
      </c>
      <c r="N15982">
        <v>0</v>
      </c>
      <c r="O15982">
        <v>63</v>
      </c>
      <c r="P15982">
        <v>0</v>
      </c>
    </row>
    <row r="15983" spans="1:16" x14ac:dyDescent="0.25">
      <c r="A15983" t="s">
        <v>38622</v>
      </c>
      <c r="B15983" t="s">
        <v>10787</v>
      </c>
      <c r="C15983" t="s">
        <v>10788</v>
      </c>
      <c r="D15983" t="str">
        <f>"1001"</f>
        <v>1001</v>
      </c>
      <c r="E15983" t="s">
        <v>42</v>
      </c>
      <c r="F15983" t="s">
        <v>0</v>
      </c>
      <c r="G15983" t="s">
        <v>47098</v>
      </c>
      <c r="H15983" t="s">
        <v>47126</v>
      </c>
      <c r="I15983" t="s">
        <v>47139</v>
      </c>
      <c r="J15983" t="s">
        <v>47140</v>
      </c>
      <c r="K15983" t="s">
        <v>47113</v>
      </c>
      <c r="L15983">
        <v>175.07</v>
      </c>
      <c r="M15983">
        <v>425</v>
      </c>
      <c r="N15983">
        <v>0</v>
      </c>
      <c r="O15983">
        <v>425</v>
      </c>
      <c r="P15983">
        <v>0</v>
      </c>
    </row>
    <row r="15984" spans="1:16" x14ac:dyDescent="0.25">
      <c r="A15984" t="s">
        <v>38623</v>
      </c>
      <c r="B15984" t="s">
        <v>10787</v>
      </c>
      <c r="C15984" t="s">
        <v>10788</v>
      </c>
      <c r="D15984" t="str">
        <f>"1004"</f>
        <v>1004</v>
      </c>
      <c r="E15984" t="s">
        <v>200</v>
      </c>
      <c r="F15984" t="s">
        <v>0</v>
      </c>
      <c r="G15984" t="s">
        <v>47098</v>
      </c>
      <c r="H15984" t="s">
        <v>47126</v>
      </c>
      <c r="I15984" t="s">
        <v>47139</v>
      </c>
      <c r="J15984" t="s">
        <v>47140</v>
      </c>
      <c r="K15984" t="s">
        <v>47113</v>
      </c>
      <c r="L15984">
        <v>175.07</v>
      </c>
      <c r="M15984">
        <v>425</v>
      </c>
      <c r="N15984">
        <v>0</v>
      </c>
      <c r="O15984">
        <v>425</v>
      </c>
      <c r="P15984">
        <v>0</v>
      </c>
    </row>
    <row r="15985" spans="1:16" x14ac:dyDescent="0.25">
      <c r="A15985" t="s">
        <v>38624</v>
      </c>
      <c r="B15985" t="s">
        <v>10789</v>
      </c>
      <c r="C15985" t="s">
        <v>10790</v>
      </c>
      <c r="D15985" t="str">
        <f>"1001"</f>
        <v>1001</v>
      </c>
      <c r="E15985" t="s">
        <v>42</v>
      </c>
      <c r="F15985" t="s">
        <v>0</v>
      </c>
      <c r="G15985" t="s">
        <v>47098</v>
      </c>
      <c r="H15985" t="s">
        <v>47126</v>
      </c>
      <c r="I15985" t="s">
        <v>47120</v>
      </c>
      <c r="J15985" t="s">
        <v>47121</v>
      </c>
      <c r="K15985" t="s">
        <v>47113</v>
      </c>
      <c r="L15985">
        <v>134.31</v>
      </c>
      <c r="M15985">
        <v>293</v>
      </c>
      <c r="N15985">
        <v>0</v>
      </c>
      <c r="O15985">
        <v>293</v>
      </c>
      <c r="P15985">
        <v>0</v>
      </c>
    </row>
    <row r="15986" spans="1:16" x14ac:dyDescent="0.25">
      <c r="A15986" t="s">
        <v>38625</v>
      </c>
      <c r="B15986" t="s">
        <v>10789</v>
      </c>
      <c r="C15986" t="s">
        <v>10790</v>
      </c>
      <c r="D15986" t="str">
        <f>"2000"</f>
        <v>2000</v>
      </c>
      <c r="E15986" t="s">
        <v>4299</v>
      </c>
      <c r="F15986" t="s">
        <v>0</v>
      </c>
      <c r="G15986" t="s">
        <v>47098</v>
      </c>
      <c r="H15986" t="s">
        <v>47126</v>
      </c>
      <c r="I15986" t="s">
        <v>47120</v>
      </c>
      <c r="J15986" t="s">
        <v>47121</v>
      </c>
      <c r="K15986" t="s">
        <v>47113</v>
      </c>
      <c r="L15986">
        <v>134.31</v>
      </c>
      <c r="M15986">
        <v>293</v>
      </c>
      <c r="N15986">
        <v>0</v>
      </c>
      <c r="O15986">
        <v>293</v>
      </c>
      <c r="P15986">
        <v>0</v>
      </c>
    </row>
    <row r="15987" spans="1:16" x14ac:dyDescent="0.25">
      <c r="A15987" t="s">
        <v>38626</v>
      </c>
      <c r="B15987" t="s">
        <v>10789</v>
      </c>
      <c r="C15987" t="s">
        <v>10790</v>
      </c>
      <c r="D15987" t="str">
        <f>"6000"</f>
        <v>6000</v>
      </c>
      <c r="E15987" t="s">
        <v>238</v>
      </c>
      <c r="F15987" t="s">
        <v>0</v>
      </c>
      <c r="G15987" t="s">
        <v>47098</v>
      </c>
      <c r="H15987" t="s">
        <v>47126</v>
      </c>
      <c r="I15987" t="s">
        <v>47120</v>
      </c>
      <c r="J15987" t="s">
        <v>47121</v>
      </c>
      <c r="K15987" t="s">
        <v>47113</v>
      </c>
      <c r="L15987">
        <v>134.31</v>
      </c>
      <c r="M15987">
        <v>293</v>
      </c>
      <c r="N15987">
        <v>0</v>
      </c>
      <c r="O15987">
        <v>293</v>
      </c>
      <c r="P15987">
        <v>0</v>
      </c>
    </row>
    <row r="15988" spans="1:16" x14ac:dyDescent="0.25">
      <c r="A15988" t="s">
        <v>38627</v>
      </c>
      <c r="B15988" t="s">
        <v>10791</v>
      </c>
      <c r="C15988" t="s">
        <v>10792</v>
      </c>
      <c r="D15988" t="str">
        <f>"1001"</f>
        <v>1001</v>
      </c>
      <c r="E15988" t="s">
        <v>42</v>
      </c>
      <c r="F15988" t="s">
        <v>0</v>
      </c>
      <c r="G15988" t="s">
        <v>47098</v>
      </c>
      <c r="H15988" t="s">
        <v>47126</v>
      </c>
      <c r="I15988" t="s">
        <v>47120</v>
      </c>
      <c r="J15988" t="s">
        <v>47121</v>
      </c>
      <c r="K15988" t="s">
        <v>47113</v>
      </c>
      <c r="L15988">
        <v>131.53</v>
      </c>
      <c r="M15988">
        <v>287</v>
      </c>
      <c r="N15988">
        <v>0</v>
      </c>
      <c r="O15988">
        <v>287</v>
      </c>
      <c r="P15988">
        <v>0</v>
      </c>
    </row>
    <row r="15989" spans="1:16" x14ac:dyDescent="0.25">
      <c r="A15989" t="s">
        <v>38628</v>
      </c>
      <c r="B15989" t="s">
        <v>10791</v>
      </c>
      <c r="C15989" t="s">
        <v>10792</v>
      </c>
      <c r="D15989" t="str">
        <f>"2000"</f>
        <v>2000</v>
      </c>
      <c r="E15989" t="s">
        <v>4299</v>
      </c>
      <c r="F15989" t="s">
        <v>0</v>
      </c>
      <c r="G15989" t="s">
        <v>47098</v>
      </c>
      <c r="H15989" t="s">
        <v>47126</v>
      </c>
      <c r="I15989" t="s">
        <v>47120</v>
      </c>
      <c r="J15989" t="s">
        <v>47121</v>
      </c>
      <c r="K15989" t="s">
        <v>47113</v>
      </c>
      <c r="L15989">
        <v>131.53</v>
      </c>
      <c r="M15989">
        <v>287</v>
      </c>
      <c r="N15989">
        <v>0</v>
      </c>
      <c r="O15989">
        <v>287</v>
      </c>
      <c r="P15989">
        <v>0</v>
      </c>
    </row>
    <row r="15990" spans="1:16" x14ac:dyDescent="0.25">
      <c r="A15990" t="s">
        <v>38629</v>
      </c>
      <c r="B15990" t="s">
        <v>10791</v>
      </c>
      <c r="C15990" t="s">
        <v>10792</v>
      </c>
      <c r="D15990" t="str">
        <f>"6000"</f>
        <v>6000</v>
      </c>
      <c r="E15990" t="s">
        <v>238</v>
      </c>
      <c r="F15990" t="s">
        <v>0</v>
      </c>
      <c r="G15990" t="s">
        <v>47098</v>
      </c>
      <c r="H15990" t="s">
        <v>47126</v>
      </c>
      <c r="I15990" t="s">
        <v>47120</v>
      </c>
      <c r="J15990" t="s">
        <v>47121</v>
      </c>
      <c r="K15990" t="s">
        <v>47113</v>
      </c>
      <c r="L15990">
        <v>131.53</v>
      </c>
      <c r="M15990">
        <v>287</v>
      </c>
      <c r="N15990">
        <v>0</v>
      </c>
      <c r="O15990">
        <v>287</v>
      </c>
      <c r="P15990">
        <v>0</v>
      </c>
    </row>
    <row r="15991" spans="1:16" x14ac:dyDescent="0.25">
      <c r="A15991" t="s">
        <v>38630</v>
      </c>
      <c r="B15991" t="s">
        <v>10793</v>
      </c>
      <c r="C15991" t="s">
        <v>10794</v>
      </c>
      <c r="D15991" t="str">
        <f>"1701"</f>
        <v>1701</v>
      </c>
      <c r="E15991" t="s">
        <v>55</v>
      </c>
      <c r="F15991" t="s">
        <v>0</v>
      </c>
      <c r="G15991" t="s">
        <v>47098</v>
      </c>
      <c r="H15991" t="s">
        <v>47126</v>
      </c>
      <c r="I15991" t="s">
        <v>47120</v>
      </c>
      <c r="J15991" t="s">
        <v>47121</v>
      </c>
      <c r="K15991" t="s">
        <v>47113</v>
      </c>
      <c r="L15991">
        <v>140.33000000000001</v>
      </c>
      <c r="M15991">
        <v>306</v>
      </c>
      <c r="N15991">
        <v>0</v>
      </c>
      <c r="O15991">
        <v>306</v>
      </c>
      <c r="P15991">
        <v>0</v>
      </c>
    </row>
    <row r="15992" spans="1:16" x14ac:dyDescent="0.25">
      <c r="A15992" t="s">
        <v>38631</v>
      </c>
      <c r="B15992" t="s">
        <v>10793</v>
      </c>
      <c r="C15992" t="s">
        <v>10794</v>
      </c>
      <c r="D15992" t="str">
        <f>"2000"</f>
        <v>2000</v>
      </c>
      <c r="E15992" t="s">
        <v>4299</v>
      </c>
      <c r="F15992" t="s">
        <v>0</v>
      </c>
      <c r="G15992" t="s">
        <v>47098</v>
      </c>
      <c r="H15992" t="s">
        <v>47126</v>
      </c>
      <c r="I15992" t="s">
        <v>47120</v>
      </c>
      <c r="J15992" t="s">
        <v>47121</v>
      </c>
      <c r="K15992" t="s">
        <v>47113</v>
      </c>
      <c r="L15992">
        <v>140.33000000000001</v>
      </c>
      <c r="M15992">
        <v>306</v>
      </c>
      <c r="N15992">
        <v>0</v>
      </c>
      <c r="O15992">
        <v>306</v>
      </c>
      <c r="P15992">
        <v>0</v>
      </c>
    </row>
    <row r="15993" spans="1:16" x14ac:dyDescent="0.25">
      <c r="A15993" t="s">
        <v>38632</v>
      </c>
      <c r="B15993" t="s">
        <v>10793</v>
      </c>
      <c r="C15993" t="s">
        <v>10794</v>
      </c>
      <c r="D15993" t="str">
        <f>"3002"</f>
        <v>3002</v>
      </c>
      <c r="E15993" t="s">
        <v>10738</v>
      </c>
      <c r="F15993" t="s">
        <v>0</v>
      </c>
      <c r="G15993" t="s">
        <v>47098</v>
      </c>
      <c r="H15993" t="s">
        <v>47126</v>
      </c>
      <c r="I15993" t="s">
        <v>47120</v>
      </c>
      <c r="J15993" t="s">
        <v>47121</v>
      </c>
      <c r="K15993" t="s">
        <v>47113</v>
      </c>
      <c r="L15993">
        <v>140.33000000000001</v>
      </c>
      <c r="M15993">
        <v>306</v>
      </c>
      <c r="N15993">
        <v>0</v>
      </c>
      <c r="O15993">
        <v>306</v>
      </c>
      <c r="P15993">
        <v>0</v>
      </c>
    </row>
    <row r="15994" spans="1:16" x14ac:dyDescent="0.25">
      <c r="A15994" t="s">
        <v>38633</v>
      </c>
      <c r="B15994" t="s">
        <v>10793</v>
      </c>
      <c r="C15994" t="s">
        <v>10794</v>
      </c>
      <c r="D15994" t="str">
        <f>"7421"</f>
        <v>7421</v>
      </c>
      <c r="E15994" t="s">
        <v>10795</v>
      </c>
      <c r="F15994" t="s">
        <v>0</v>
      </c>
      <c r="G15994" t="s">
        <v>47098</v>
      </c>
      <c r="H15994" t="s">
        <v>47126</v>
      </c>
      <c r="I15994" t="s">
        <v>47120</v>
      </c>
      <c r="J15994" t="s">
        <v>47121</v>
      </c>
      <c r="K15994" t="s">
        <v>47113</v>
      </c>
      <c r="L15994">
        <v>140.33000000000001</v>
      </c>
      <c r="M15994">
        <v>306</v>
      </c>
      <c r="N15994">
        <v>0</v>
      </c>
      <c r="O15994">
        <v>306</v>
      </c>
      <c r="P15994">
        <v>0</v>
      </c>
    </row>
    <row r="15995" spans="1:16" x14ac:dyDescent="0.25">
      <c r="A15995" t="s">
        <v>38634</v>
      </c>
      <c r="B15995" t="s">
        <v>10796</v>
      </c>
      <c r="C15995" t="s">
        <v>10797</v>
      </c>
      <c r="D15995" t="str">
        <f>"1001"</f>
        <v>1001</v>
      </c>
      <c r="E15995" t="s">
        <v>42</v>
      </c>
      <c r="F15995" t="s">
        <v>0</v>
      </c>
      <c r="G15995" t="s">
        <v>47098</v>
      </c>
      <c r="H15995" t="s">
        <v>47126</v>
      </c>
      <c r="I15995" t="s">
        <v>47120</v>
      </c>
      <c r="J15995" t="s">
        <v>47121</v>
      </c>
      <c r="K15995" t="s">
        <v>47113</v>
      </c>
      <c r="L15995">
        <v>131.06</v>
      </c>
      <c r="M15995">
        <v>285</v>
      </c>
      <c r="N15995">
        <v>0</v>
      </c>
      <c r="O15995">
        <v>285</v>
      </c>
      <c r="P15995">
        <v>0</v>
      </c>
    </row>
    <row r="15996" spans="1:16" x14ac:dyDescent="0.25">
      <c r="A15996" t="s">
        <v>38635</v>
      </c>
      <c r="B15996" t="s">
        <v>10796</v>
      </c>
      <c r="C15996" t="s">
        <v>10797</v>
      </c>
      <c r="D15996" t="str">
        <f>"1701"</f>
        <v>1701</v>
      </c>
      <c r="E15996" t="s">
        <v>55</v>
      </c>
      <c r="F15996" t="s">
        <v>0</v>
      </c>
      <c r="G15996" t="s">
        <v>47098</v>
      </c>
      <c r="H15996" t="s">
        <v>47126</v>
      </c>
      <c r="I15996" t="s">
        <v>47120</v>
      </c>
      <c r="J15996" t="s">
        <v>47121</v>
      </c>
      <c r="K15996" t="s">
        <v>47113</v>
      </c>
      <c r="L15996">
        <v>131.06</v>
      </c>
      <c r="M15996">
        <v>285</v>
      </c>
      <c r="N15996">
        <v>0</v>
      </c>
      <c r="O15996">
        <v>285</v>
      </c>
      <c r="P15996">
        <v>0</v>
      </c>
    </row>
    <row r="15997" spans="1:16" x14ac:dyDescent="0.25">
      <c r="A15997" t="s">
        <v>38636</v>
      </c>
      <c r="B15997" t="s">
        <v>10796</v>
      </c>
      <c r="C15997" t="s">
        <v>10797</v>
      </c>
      <c r="D15997" t="str">
        <f>"6081"</f>
        <v>6081</v>
      </c>
      <c r="E15997" t="s">
        <v>10798</v>
      </c>
      <c r="F15997" t="s">
        <v>0</v>
      </c>
      <c r="G15997" t="s">
        <v>47098</v>
      </c>
      <c r="H15997" t="s">
        <v>47126</v>
      </c>
      <c r="I15997" t="s">
        <v>47120</v>
      </c>
      <c r="J15997" t="s">
        <v>47121</v>
      </c>
      <c r="K15997" t="s">
        <v>47113</v>
      </c>
      <c r="L15997">
        <v>131.06</v>
      </c>
      <c r="M15997">
        <v>285</v>
      </c>
      <c r="N15997">
        <v>0</v>
      </c>
      <c r="O15997">
        <v>285</v>
      </c>
      <c r="P15997">
        <v>0</v>
      </c>
    </row>
    <row r="15998" spans="1:16" x14ac:dyDescent="0.25">
      <c r="A15998" t="s">
        <v>38637</v>
      </c>
      <c r="B15998" t="s">
        <v>10799</v>
      </c>
      <c r="C15998" t="s">
        <v>3965</v>
      </c>
      <c r="D15998" t="str">
        <f>"1001"</f>
        <v>1001</v>
      </c>
      <c r="E15998" t="s">
        <v>42</v>
      </c>
      <c r="F15998" t="s">
        <v>0</v>
      </c>
      <c r="G15998" t="s">
        <v>47098</v>
      </c>
      <c r="H15998" t="s">
        <v>47126</v>
      </c>
      <c r="I15998" t="s">
        <v>47120</v>
      </c>
      <c r="J15998" t="s">
        <v>47121</v>
      </c>
      <c r="K15998" t="s">
        <v>47113</v>
      </c>
      <c r="L15998">
        <v>138.11000000000001</v>
      </c>
      <c r="M15998">
        <v>287</v>
      </c>
      <c r="N15998">
        <v>0</v>
      </c>
      <c r="O15998">
        <v>287</v>
      </c>
      <c r="P15998">
        <v>0</v>
      </c>
    </row>
    <row r="15999" spans="1:16" x14ac:dyDescent="0.25">
      <c r="A15999" t="s">
        <v>38638</v>
      </c>
      <c r="B15999" t="s">
        <v>10799</v>
      </c>
      <c r="C15999" t="s">
        <v>3965</v>
      </c>
      <c r="D15999" t="str">
        <f>"2300"</f>
        <v>2300</v>
      </c>
      <c r="E15999" t="s">
        <v>10745</v>
      </c>
      <c r="F15999" t="s">
        <v>0</v>
      </c>
      <c r="G15999" t="s">
        <v>47098</v>
      </c>
      <c r="H15999" t="s">
        <v>47126</v>
      </c>
      <c r="I15999" t="s">
        <v>47120</v>
      </c>
      <c r="J15999" t="s">
        <v>47121</v>
      </c>
      <c r="K15999" t="s">
        <v>47113</v>
      </c>
      <c r="L15999">
        <v>138.11000000000001</v>
      </c>
      <c r="M15999">
        <v>287</v>
      </c>
      <c r="N15999">
        <v>0</v>
      </c>
      <c r="O15999">
        <v>287</v>
      </c>
      <c r="P15999">
        <v>0</v>
      </c>
    </row>
    <row r="16000" spans="1:16" x14ac:dyDescent="0.25">
      <c r="A16000" t="s">
        <v>38639</v>
      </c>
      <c r="B16000" t="s">
        <v>10799</v>
      </c>
      <c r="C16000" t="s">
        <v>3965</v>
      </c>
      <c r="D16000" t="str">
        <f>"6000"</f>
        <v>6000</v>
      </c>
      <c r="E16000" t="s">
        <v>238</v>
      </c>
      <c r="F16000" t="s">
        <v>0</v>
      </c>
      <c r="G16000" t="s">
        <v>47098</v>
      </c>
      <c r="H16000" t="s">
        <v>47126</v>
      </c>
      <c r="I16000" t="s">
        <v>47120</v>
      </c>
      <c r="J16000" t="s">
        <v>47121</v>
      </c>
      <c r="K16000" t="s">
        <v>47113</v>
      </c>
      <c r="L16000">
        <v>138.11000000000001</v>
      </c>
      <c r="M16000">
        <v>287</v>
      </c>
      <c r="N16000">
        <v>0</v>
      </c>
      <c r="O16000">
        <v>287</v>
      </c>
      <c r="P16000">
        <v>0</v>
      </c>
    </row>
    <row r="16001" spans="1:16" x14ac:dyDescent="0.25">
      <c r="A16001" t="s">
        <v>38640</v>
      </c>
      <c r="B16001" t="s">
        <v>430</v>
      </c>
      <c r="C16001" t="s">
        <v>346</v>
      </c>
      <c r="D16001" t="s">
        <v>400</v>
      </c>
      <c r="E16001" t="s">
        <v>401</v>
      </c>
      <c r="F16001" t="s">
        <v>0</v>
      </c>
      <c r="G16001" t="s">
        <v>47099</v>
      </c>
      <c r="H16001" t="s">
        <v>47153</v>
      </c>
      <c r="I16001" t="s">
        <v>47132</v>
      </c>
      <c r="J16001" t="s">
        <v>47133</v>
      </c>
      <c r="K16001" t="s">
        <v>47113</v>
      </c>
      <c r="L16001">
        <v>43.44</v>
      </c>
      <c r="M16001">
        <v>80</v>
      </c>
      <c r="N16001">
        <v>0</v>
      </c>
      <c r="O16001">
        <v>80</v>
      </c>
      <c r="P16001">
        <v>0</v>
      </c>
    </row>
    <row r="16002" spans="1:16" x14ac:dyDescent="0.25">
      <c r="A16002" t="s">
        <v>38641</v>
      </c>
      <c r="B16002" t="s">
        <v>430</v>
      </c>
      <c r="C16002" t="s">
        <v>346</v>
      </c>
      <c r="D16002" t="s">
        <v>402</v>
      </c>
      <c r="E16002" t="s">
        <v>403</v>
      </c>
      <c r="F16002" t="s">
        <v>0</v>
      </c>
      <c r="G16002" t="s">
        <v>47099</v>
      </c>
      <c r="H16002" t="s">
        <v>47153</v>
      </c>
      <c r="I16002" t="s">
        <v>47132</v>
      </c>
      <c r="J16002" t="s">
        <v>47133</v>
      </c>
      <c r="K16002" t="s">
        <v>47113</v>
      </c>
      <c r="L16002">
        <v>43.44</v>
      </c>
      <c r="M16002">
        <v>80</v>
      </c>
      <c r="N16002">
        <v>0</v>
      </c>
      <c r="O16002">
        <v>80</v>
      </c>
      <c r="P16002">
        <v>0</v>
      </c>
    </row>
    <row r="16003" spans="1:16" x14ac:dyDescent="0.25">
      <c r="A16003" t="s">
        <v>14680</v>
      </c>
      <c r="B16003" t="s">
        <v>430</v>
      </c>
      <c r="C16003" t="s">
        <v>346</v>
      </c>
      <c r="D16003" t="s">
        <v>404</v>
      </c>
      <c r="E16003" t="s">
        <v>405</v>
      </c>
      <c r="F16003" t="s">
        <v>0</v>
      </c>
      <c r="G16003" t="s">
        <v>47099</v>
      </c>
      <c r="H16003" t="s">
        <v>47153</v>
      </c>
      <c r="I16003" t="s">
        <v>47132</v>
      </c>
      <c r="J16003" t="s">
        <v>47133</v>
      </c>
      <c r="K16003" t="s">
        <v>47113</v>
      </c>
      <c r="L16003">
        <v>43.44</v>
      </c>
      <c r="M16003">
        <v>80</v>
      </c>
      <c r="N16003">
        <v>0</v>
      </c>
      <c r="O16003">
        <v>80</v>
      </c>
      <c r="P16003">
        <v>0</v>
      </c>
    </row>
    <row r="16004" spans="1:16" x14ac:dyDescent="0.25">
      <c r="A16004" t="s">
        <v>38642</v>
      </c>
      <c r="B16004" t="s">
        <v>430</v>
      </c>
      <c r="C16004" t="s">
        <v>346</v>
      </c>
      <c r="D16004" t="s">
        <v>406</v>
      </c>
      <c r="E16004" t="s">
        <v>407</v>
      </c>
      <c r="F16004" t="s">
        <v>0</v>
      </c>
      <c r="G16004" t="s">
        <v>47099</v>
      </c>
      <c r="H16004" t="s">
        <v>47153</v>
      </c>
      <c r="I16004" t="s">
        <v>47132</v>
      </c>
      <c r="J16004" t="s">
        <v>47133</v>
      </c>
      <c r="K16004" t="s">
        <v>47113</v>
      </c>
      <c r="L16004">
        <v>43.44</v>
      </c>
      <c r="M16004">
        <v>80</v>
      </c>
      <c r="N16004">
        <v>0</v>
      </c>
      <c r="O16004">
        <v>80</v>
      </c>
      <c r="P16004">
        <v>0</v>
      </c>
    </row>
    <row r="16005" spans="1:16" x14ac:dyDescent="0.25">
      <c r="A16005" t="s">
        <v>38643</v>
      </c>
      <c r="B16005" t="s">
        <v>431</v>
      </c>
      <c r="C16005" t="s">
        <v>346</v>
      </c>
      <c r="D16005" t="s">
        <v>432</v>
      </c>
      <c r="E16005" t="s">
        <v>433</v>
      </c>
      <c r="F16005" t="s">
        <v>0</v>
      </c>
      <c r="G16005" t="s">
        <v>47099</v>
      </c>
      <c r="H16005" t="s">
        <v>47153</v>
      </c>
      <c r="I16005" t="s">
        <v>47132</v>
      </c>
      <c r="J16005" t="s">
        <v>47133</v>
      </c>
      <c r="K16005" t="s">
        <v>47113</v>
      </c>
      <c r="L16005">
        <v>44.74</v>
      </c>
      <c r="M16005">
        <v>80</v>
      </c>
      <c r="N16005">
        <v>0</v>
      </c>
      <c r="O16005">
        <v>80</v>
      </c>
      <c r="P16005">
        <v>0</v>
      </c>
    </row>
    <row r="16006" spans="1:16" x14ac:dyDescent="0.25">
      <c r="A16006" t="s">
        <v>38644</v>
      </c>
      <c r="B16006" t="s">
        <v>431</v>
      </c>
      <c r="C16006" t="s">
        <v>346</v>
      </c>
      <c r="D16006" t="s">
        <v>434</v>
      </c>
      <c r="E16006" t="s">
        <v>435</v>
      </c>
      <c r="F16006" t="s">
        <v>0</v>
      </c>
      <c r="G16006" t="s">
        <v>47099</v>
      </c>
      <c r="H16006" t="s">
        <v>47153</v>
      </c>
      <c r="I16006" t="s">
        <v>47132</v>
      </c>
      <c r="J16006" t="s">
        <v>47133</v>
      </c>
      <c r="K16006" t="s">
        <v>47113</v>
      </c>
      <c r="L16006">
        <v>44.74</v>
      </c>
      <c r="M16006">
        <v>80</v>
      </c>
      <c r="N16006">
        <v>0</v>
      </c>
      <c r="O16006">
        <v>80</v>
      </c>
      <c r="P16006">
        <v>0</v>
      </c>
    </row>
    <row r="16007" spans="1:16" x14ac:dyDescent="0.25">
      <c r="A16007" t="s">
        <v>38645</v>
      </c>
      <c r="B16007" t="s">
        <v>436</v>
      </c>
      <c r="C16007" t="s">
        <v>346</v>
      </c>
      <c r="D16007" t="s">
        <v>437</v>
      </c>
      <c r="E16007" t="s">
        <v>438</v>
      </c>
      <c r="F16007" t="s">
        <v>0</v>
      </c>
      <c r="G16007" t="s">
        <v>47093</v>
      </c>
      <c r="H16007" t="s">
        <v>47153</v>
      </c>
      <c r="I16007" t="s">
        <v>47132</v>
      </c>
      <c r="J16007" t="s">
        <v>47133</v>
      </c>
      <c r="K16007" t="s">
        <v>47113</v>
      </c>
      <c r="L16007">
        <v>41.07</v>
      </c>
      <c r="M16007">
        <v>72</v>
      </c>
      <c r="N16007">
        <v>0</v>
      </c>
      <c r="O16007">
        <v>72</v>
      </c>
      <c r="P16007">
        <v>0</v>
      </c>
    </row>
    <row r="16008" spans="1:16" x14ac:dyDescent="0.25">
      <c r="A16008" t="s">
        <v>38646</v>
      </c>
      <c r="B16008" t="s">
        <v>436</v>
      </c>
      <c r="C16008" t="s">
        <v>346</v>
      </c>
      <c r="D16008" t="s">
        <v>439</v>
      </c>
      <c r="E16008" t="s">
        <v>440</v>
      </c>
      <c r="F16008" t="s">
        <v>0</v>
      </c>
      <c r="G16008" t="s">
        <v>47093</v>
      </c>
      <c r="H16008" t="s">
        <v>47153</v>
      </c>
      <c r="I16008" t="s">
        <v>47132</v>
      </c>
      <c r="J16008" t="s">
        <v>47133</v>
      </c>
      <c r="K16008" t="s">
        <v>47113</v>
      </c>
      <c r="L16008">
        <v>41.07</v>
      </c>
      <c r="M16008">
        <v>72</v>
      </c>
      <c r="N16008">
        <v>0</v>
      </c>
      <c r="O16008">
        <v>72</v>
      </c>
      <c r="P16008">
        <v>0</v>
      </c>
    </row>
    <row r="16009" spans="1:16" x14ac:dyDescent="0.25">
      <c r="A16009" t="s">
        <v>38647</v>
      </c>
      <c r="B16009" t="s">
        <v>436</v>
      </c>
      <c r="C16009" t="s">
        <v>346</v>
      </c>
      <c r="D16009" t="s">
        <v>441</v>
      </c>
      <c r="E16009" t="s">
        <v>442</v>
      </c>
      <c r="F16009" t="s">
        <v>0</v>
      </c>
      <c r="G16009" t="s">
        <v>47093</v>
      </c>
      <c r="H16009" t="s">
        <v>47153</v>
      </c>
      <c r="I16009" t="s">
        <v>47132</v>
      </c>
      <c r="J16009" t="s">
        <v>47133</v>
      </c>
      <c r="K16009" t="s">
        <v>47113</v>
      </c>
      <c r="L16009">
        <v>41.07</v>
      </c>
      <c r="M16009">
        <v>72</v>
      </c>
      <c r="N16009">
        <v>0</v>
      </c>
      <c r="O16009">
        <v>72</v>
      </c>
      <c r="P16009">
        <v>0</v>
      </c>
    </row>
    <row r="16010" spans="1:16" x14ac:dyDescent="0.25">
      <c r="A16010" t="s">
        <v>38648</v>
      </c>
      <c r="B16010" t="s">
        <v>443</v>
      </c>
      <c r="C16010" t="s">
        <v>359</v>
      </c>
      <c r="D16010" t="s">
        <v>400</v>
      </c>
      <c r="E16010" t="s">
        <v>401</v>
      </c>
      <c r="F16010" t="s">
        <v>0</v>
      </c>
      <c r="G16010" t="s">
        <v>47099</v>
      </c>
      <c r="H16010" t="s">
        <v>47153</v>
      </c>
      <c r="I16010" t="s">
        <v>47132</v>
      </c>
      <c r="J16010" t="s">
        <v>47133</v>
      </c>
      <c r="K16010" t="s">
        <v>47113</v>
      </c>
      <c r="L16010">
        <v>44.51</v>
      </c>
      <c r="M16010">
        <v>80</v>
      </c>
      <c r="N16010">
        <v>0</v>
      </c>
      <c r="O16010">
        <v>80</v>
      </c>
      <c r="P16010">
        <v>0</v>
      </c>
    </row>
    <row r="16011" spans="1:16" x14ac:dyDescent="0.25">
      <c r="A16011" t="s">
        <v>38649</v>
      </c>
      <c r="B16011" t="s">
        <v>443</v>
      </c>
      <c r="C16011" t="s">
        <v>359</v>
      </c>
      <c r="D16011" t="s">
        <v>402</v>
      </c>
      <c r="E16011" t="s">
        <v>403</v>
      </c>
      <c r="F16011" t="s">
        <v>0</v>
      </c>
      <c r="G16011" t="s">
        <v>47099</v>
      </c>
      <c r="H16011" t="s">
        <v>47153</v>
      </c>
      <c r="I16011" t="s">
        <v>47132</v>
      </c>
      <c r="J16011" t="s">
        <v>47133</v>
      </c>
      <c r="K16011" t="s">
        <v>47113</v>
      </c>
      <c r="L16011">
        <v>44.51</v>
      </c>
      <c r="M16011">
        <v>80</v>
      </c>
      <c r="N16011">
        <v>0</v>
      </c>
      <c r="O16011">
        <v>80</v>
      </c>
      <c r="P16011">
        <v>0</v>
      </c>
    </row>
    <row r="16012" spans="1:16" x14ac:dyDescent="0.25">
      <c r="A16012" t="s">
        <v>38650</v>
      </c>
      <c r="B16012" t="s">
        <v>443</v>
      </c>
      <c r="C16012" t="s">
        <v>359</v>
      </c>
      <c r="D16012" t="s">
        <v>404</v>
      </c>
      <c r="E16012" t="s">
        <v>405</v>
      </c>
      <c r="F16012" t="s">
        <v>0</v>
      </c>
      <c r="G16012" t="s">
        <v>47099</v>
      </c>
      <c r="H16012" t="s">
        <v>47153</v>
      </c>
      <c r="I16012" t="s">
        <v>47132</v>
      </c>
      <c r="J16012" t="s">
        <v>47133</v>
      </c>
      <c r="K16012" t="s">
        <v>47113</v>
      </c>
      <c r="L16012">
        <v>44.51</v>
      </c>
      <c r="M16012">
        <v>80</v>
      </c>
      <c r="N16012">
        <v>0</v>
      </c>
      <c r="O16012">
        <v>80</v>
      </c>
      <c r="P16012">
        <v>0</v>
      </c>
    </row>
    <row r="16013" spans="1:16" x14ac:dyDescent="0.25">
      <c r="A16013" t="s">
        <v>38651</v>
      </c>
      <c r="B16013" t="s">
        <v>443</v>
      </c>
      <c r="C16013" t="s">
        <v>359</v>
      </c>
      <c r="D16013" t="s">
        <v>406</v>
      </c>
      <c r="E16013" t="s">
        <v>407</v>
      </c>
      <c r="F16013" t="s">
        <v>0</v>
      </c>
      <c r="G16013" t="s">
        <v>47099</v>
      </c>
      <c r="H16013" t="s">
        <v>47153</v>
      </c>
      <c r="I16013" t="s">
        <v>47132</v>
      </c>
      <c r="J16013" t="s">
        <v>47133</v>
      </c>
      <c r="K16013" t="s">
        <v>47113</v>
      </c>
      <c r="L16013">
        <v>44.51</v>
      </c>
      <c r="M16013">
        <v>80</v>
      </c>
      <c r="N16013">
        <v>0</v>
      </c>
      <c r="O16013">
        <v>80</v>
      </c>
      <c r="P16013">
        <v>0</v>
      </c>
    </row>
    <row r="16014" spans="1:16" x14ac:dyDescent="0.25">
      <c r="A16014" t="s">
        <v>38652</v>
      </c>
      <c r="B16014" t="s">
        <v>444</v>
      </c>
      <c r="C16014" t="s">
        <v>359</v>
      </c>
      <c r="D16014" t="s">
        <v>432</v>
      </c>
      <c r="E16014" t="s">
        <v>433</v>
      </c>
      <c r="F16014" t="s">
        <v>0</v>
      </c>
      <c r="G16014" t="s">
        <v>47093</v>
      </c>
      <c r="H16014" t="s">
        <v>47153</v>
      </c>
      <c r="I16014" t="s">
        <v>47132</v>
      </c>
      <c r="J16014" t="s">
        <v>47133</v>
      </c>
      <c r="K16014" t="s">
        <v>47113</v>
      </c>
      <c r="L16014">
        <v>45.58</v>
      </c>
      <c r="M16014">
        <v>80</v>
      </c>
      <c r="N16014">
        <v>0</v>
      </c>
      <c r="O16014">
        <v>80</v>
      </c>
      <c r="P16014">
        <v>0</v>
      </c>
    </row>
    <row r="16015" spans="1:16" x14ac:dyDescent="0.25">
      <c r="A16015" t="s">
        <v>38653</v>
      </c>
      <c r="B16015" t="s">
        <v>444</v>
      </c>
      <c r="C16015" t="s">
        <v>359</v>
      </c>
      <c r="D16015" t="s">
        <v>434</v>
      </c>
      <c r="E16015" t="s">
        <v>435</v>
      </c>
      <c r="F16015" t="s">
        <v>0</v>
      </c>
      <c r="G16015" t="s">
        <v>47093</v>
      </c>
      <c r="H16015" t="s">
        <v>47153</v>
      </c>
      <c r="I16015" t="s">
        <v>47132</v>
      </c>
      <c r="J16015" t="s">
        <v>47133</v>
      </c>
      <c r="K16015" t="s">
        <v>47113</v>
      </c>
      <c r="L16015">
        <v>45.58</v>
      </c>
      <c r="M16015">
        <v>80</v>
      </c>
      <c r="N16015">
        <v>0</v>
      </c>
      <c r="O16015">
        <v>80</v>
      </c>
      <c r="P16015">
        <v>0</v>
      </c>
    </row>
    <row r="16016" spans="1:16" x14ac:dyDescent="0.25">
      <c r="A16016" t="s">
        <v>38654</v>
      </c>
      <c r="B16016" t="s">
        <v>445</v>
      </c>
      <c r="C16016" t="s">
        <v>371</v>
      </c>
      <c r="D16016" t="s">
        <v>400</v>
      </c>
      <c r="E16016" t="s">
        <v>401</v>
      </c>
      <c r="F16016" t="s">
        <v>0</v>
      </c>
      <c r="G16016" t="s">
        <v>47099</v>
      </c>
      <c r="H16016" t="s">
        <v>47153</v>
      </c>
      <c r="I16016" t="s">
        <v>47132</v>
      </c>
      <c r="J16016" t="s">
        <v>47133</v>
      </c>
      <c r="K16016" t="s">
        <v>47113</v>
      </c>
      <c r="L16016">
        <v>44.62</v>
      </c>
      <c r="M16016">
        <v>80</v>
      </c>
      <c r="N16016">
        <v>0</v>
      </c>
      <c r="O16016">
        <v>80</v>
      </c>
      <c r="P16016">
        <v>0</v>
      </c>
    </row>
    <row r="16017" spans="1:16" x14ac:dyDescent="0.25">
      <c r="A16017" t="s">
        <v>38655</v>
      </c>
      <c r="B16017" t="s">
        <v>445</v>
      </c>
      <c r="C16017" t="s">
        <v>371</v>
      </c>
      <c r="D16017" t="s">
        <v>402</v>
      </c>
      <c r="E16017" t="s">
        <v>403</v>
      </c>
      <c r="F16017" t="s">
        <v>0</v>
      </c>
      <c r="G16017" t="s">
        <v>47099</v>
      </c>
      <c r="H16017" t="s">
        <v>47153</v>
      </c>
      <c r="I16017" t="s">
        <v>47132</v>
      </c>
      <c r="J16017" t="s">
        <v>47133</v>
      </c>
      <c r="K16017" t="s">
        <v>47113</v>
      </c>
      <c r="L16017">
        <v>44.62</v>
      </c>
      <c r="M16017">
        <v>80</v>
      </c>
      <c r="N16017">
        <v>0</v>
      </c>
      <c r="O16017">
        <v>80</v>
      </c>
      <c r="P16017">
        <v>0</v>
      </c>
    </row>
    <row r="16018" spans="1:16" x14ac:dyDescent="0.25">
      <c r="A16018" t="s">
        <v>38656</v>
      </c>
      <c r="B16018" t="s">
        <v>445</v>
      </c>
      <c r="C16018" t="s">
        <v>371</v>
      </c>
      <c r="D16018" t="s">
        <v>404</v>
      </c>
      <c r="E16018" t="s">
        <v>405</v>
      </c>
      <c r="F16018" t="s">
        <v>0</v>
      </c>
      <c r="G16018" t="s">
        <v>47099</v>
      </c>
      <c r="H16018" t="s">
        <v>47153</v>
      </c>
      <c r="I16018" t="s">
        <v>47132</v>
      </c>
      <c r="J16018" t="s">
        <v>47133</v>
      </c>
      <c r="K16018" t="s">
        <v>47113</v>
      </c>
      <c r="L16018">
        <v>44.62</v>
      </c>
      <c r="M16018">
        <v>80</v>
      </c>
      <c r="N16018">
        <v>0</v>
      </c>
      <c r="O16018">
        <v>80</v>
      </c>
      <c r="P16018">
        <v>0</v>
      </c>
    </row>
    <row r="16019" spans="1:16" x14ac:dyDescent="0.25">
      <c r="A16019" t="s">
        <v>38657</v>
      </c>
      <c r="B16019" t="s">
        <v>445</v>
      </c>
      <c r="C16019" t="s">
        <v>371</v>
      </c>
      <c r="D16019" t="s">
        <v>406</v>
      </c>
      <c r="E16019" t="s">
        <v>407</v>
      </c>
      <c r="F16019" t="s">
        <v>0</v>
      </c>
      <c r="G16019" t="s">
        <v>47099</v>
      </c>
      <c r="H16019" t="s">
        <v>47153</v>
      </c>
      <c r="I16019" t="s">
        <v>47132</v>
      </c>
      <c r="J16019" t="s">
        <v>47133</v>
      </c>
      <c r="K16019" t="s">
        <v>47113</v>
      </c>
      <c r="L16019">
        <v>44.62</v>
      </c>
      <c r="M16019">
        <v>80</v>
      </c>
      <c r="N16019">
        <v>0</v>
      </c>
      <c r="O16019">
        <v>80</v>
      </c>
      <c r="P16019">
        <v>0</v>
      </c>
    </row>
    <row r="16020" spans="1:16" x14ac:dyDescent="0.25">
      <c r="A16020" t="s">
        <v>38658</v>
      </c>
      <c r="B16020" t="s">
        <v>10800</v>
      </c>
      <c r="C16020" t="s">
        <v>371</v>
      </c>
      <c r="D16020" t="s">
        <v>432</v>
      </c>
      <c r="E16020" t="s">
        <v>433</v>
      </c>
      <c r="F16020" t="s">
        <v>0</v>
      </c>
      <c r="G16020" t="s">
        <v>47099</v>
      </c>
      <c r="H16020" t="s">
        <v>47153</v>
      </c>
      <c r="I16020" t="s">
        <v>47132</v>
      </c>
      <c r="J16020" t="s">
        <v>47133</v>
      </c>
      <c r="K16020" t="s">
        <v>47113</v>
      </c>
      <c r="L16020">
        <v>45.58</v>
      </c>
      <c r="M16020">
        <v>80</v>
      </c>
      <c r="N16020">
        <v>0</v>
      </c>
      <c r="O16020">
        <v>80</v>
      </c>
      <c r="P16020">
        <v>0</v>
      </c>
    </row>
    <row r="16021" spans="1:16" x14ac:dyDescent="0.25">
      <c r="A16021" t="s">
        <v>38659</v>
      </c>
      <c r="B16021" t="s">
        <v>10800</v>
      </c>
      <c r="C16021" t="s">
        <v>371</v>
      </c>
      <c r="D16021" t="s">
        <v>406</v>
      </c>
      <c r="E16021" t="s">
        <v>407</v>
      </c>
      <c r="F16021" t="s">
        <v>0</v>
      </c>
      <c r="G16021" t="s">
        <v>47099</v>
      </c>
      <c r="H16021" t="s">
        <v>47153</v>
      </c>
      <c r="I16021" t="s">
        <v>47132</v>
      </c>
      <c r="J16021" t="s">
        <v>47133</v>
      </c>
      <c r="K16021" t="s">
        <v>47113</v>
      </c>
      <c r="L16021">
        <v>45.58</v>
      </c>
      <c r="M16021">
        <v>80</v>
      </c>
      <c r="N16021">
        <v>0</v>
      </c>
      <c r="O16021">
        <v>80</v>
      </c>
      <c r="P16021">
        <v>0</v>
      </c>
    </row>
    <row r="16022" spans="1:16" x14ac:dyDescent="0.25">
      <c r="A16022" t="s">
        <v>38660</v>
      </c>
      <c r="B16022" t="s">
        <v>10800</v>
      </c>
      <c r="C16022" t="s">
        <v>371</v>
      </c>
      <c r="D16022" t="s">
        <v>434</v>
      </c>
      <c r="E16022" t="s">
        <v>435</v>
      </c>
      <c r="F16022" t="s">
        <v>0</v>
      </c>
      <c r="G16022" t="s">
        <v>47099</v>
      </c>
      <c r="H16022" t="s">
        <v>47153</v>
      </c>
      <c r="I16022" t="s">
        <v>47132</v>
      </c>
      <c r="J16022" t="s">
        <v>47133</v>
      </c>
      <c r="K16022" t="s">
        <v>47113</v>
      </c>
      <c r="L16022">
        <v>45.58</v>
      </c>
      <c r="M16022">
        <v>80</v>
      </c>
      <c r="N16022">
        <v>0</v>
      </c>
      <c r="O16022">
        <v>80</v>
      </c>
      <c r="P16022">
        <v>0</v>
      </c>
    </row>
    <row r="16023" spans="1:16" x14ac:dyDescent="0.25">
      <c r="A16023" t="s">
        <v>14681</v>
      </c>
      <c r="B16023" t="s">
        <v>446</v>
      </c>
      <c r="C16023" t="s">
        <v>371</v>
      </c>
      <c r="D16023" t="s">
        <v>437</v>
      </c>
      <c r="E16023" t="s">
        <v>438</v>
      </c>
      <c r="F16023" t="s">
        <v>0</v>
      </c>
      <c r="G16023" t="s">
        <v>47099</v>
      </c>
      <c r="H16023" t="s">
        <v>47153</v>
      </c>
      <c r="I16023" t="s">
        <v>47132</v>
      </c>
      <c r="J16023" t="s">
        <v>47133</v>
      </c>
      <c r="K16023" t="s">
        <v>47113</v>
      </c>
      <c r="L16023">
        <v>40.6</v>
      </c>
      <c r="M16023">
        <v>72</v>
      </c>
      <c r="N16023">
        <v>0</v>
      </c>
      <c r="O16023">
        <v>72</v>
      </c>
      <c r="P16023">
        <v>0</v>
      </c>
    </row>
    <row r="16024" spans="1:16" x14ac:dyDescent="0.25">
      <c r="A16024" t="s">
        <v>38661</v>
      </c>
      <c r="B16024" t="s">
        <v>446</v>
      </c>
      <c r="C16024" t="s">
        <v>371</v>
      </c>
      <c r="D16024" t="s">
        <v>439</v>
      </c>
      <c r="E16024" t="s">
        <v>440</v>
      </c>
      <c r="F16024" t="s">
        <v>0</v>
      </c>
      <c r="G16024" t="s">
        <v>47099</v>
      </c>
      <c r="H16024" t="s">
        <v>47153</v>
      </c>
      <c r="I16024" t="s">
        <v>47132</v>
      </c>
      <c r="J16024" t="s">
        <v>47133</v>
      </c>
      <c r="K16024" t="s">
        <v>47113</v>
      </c>
      <c r="L16024">
        <v>40.6</v>
      </c>
      <c r="M16024">
        <v>72</v>
      </c>
      <c r="N16024">
        <v>0</v>
      </c>
      <c r="O16024">
        <v>72</v>
      </c>
      <c r="P16024">
        <v>0</v>
      </c>
    </row>
    <row r="16025" spans="1:16" x14ac:dyDescent="0.25">
      <c r="A16025" t="s">
        <v>38662</v>
      </c>
      <c r="B16025" t="s">
        <v>446</v>
      </c>
      <c r="C16025" t="s">
        <v>371</v>
      </c>
      <c r="D16025" t="s">
        <v>449</v>
      </c>
      <c r="E16025" t="s">
        <v>450</v>
      </c>
      <c r="F16025" t="s">
        <v>0</v>
      </c>
      <c r="G16025" t="s">
        <v>47099</v>
      </c>
      <c r="H16025" t="s">
        <v>47153</v>
      </c>
      <c r="I16025" t="s">
        <v>47132</v>
      </c>
      <c r="J16025" t="s">
        <v>47133</v>
      </c>
      <c r="K16025" t="s">
        <v>47113</v>
      </c>
      <c r="L16025">
        <v>40.6</v>
      </c>
      <c r="M16025">
        <v>72</v>
      </c>
      <c r="N16025">
        <v>0</v>
      </c>
      <c r="O16025">
        <v>72</v>
      </c>
      <c r="P16025">
        <v>0</v>
      </c>
    </row>
    <row r="16026" spans="1:16" x14ac:dyDescent="0.25">
      <c r="A16026" t="s">
        <v>38663</v>
      </c>
      <c r="B16026" t="s">
        <v>446</v>
      </c>
      <c r="C16026" t="s">
        <v>371</v>
      </c>
      <c r="D16026" t="s">
        <v>441</v>
      </c>
      <c r="E16026" t="s">
        <v>442</v>
      </c>
      <c r="F16026" t="s">
        <v>0</v>
      </c>
      <c r="G16026" t="s">
        <v>47099</v>
      </c>
      <c r="H16026" t="s">
        <v>47153</v>
      </c>
      <c r="I16026" t="s">
        <v>47132</v>
      </c>
      <c r="J16026" t="s">
        <v>47133</v>
      </c>
      <c r="K16026" t="s">
        <v>47113</v>
      </c>
      <c r="L16026">
        <v>40.6</v>
      </c>
      <c r="M16026">
        <v>72</v>
      </c>
      <c r="N16026">
        <v>0</v>
      </c>
      <c r="O16026">
        <v>72</v>
      </c>
      <c r="P16026">
        <v>0</v>
      </c>
    </row>
    <row r="16027" spans="1:16" x14ac:dyDescent="0.25">
      <c r="A16027" t="s">
        <v>38664</v>
      </c>
      <c r="B16027" t="s">
        <v>10801</v>
      </c>
      <c r="C16027" t="s">
        <v>10802</v>
      </c>
      <c r="D16027" t="str">
        <f>"1001"</f>
        <v>1001</v>
      </c>
      <c r="E16027" t="s">
        <v>42</v>
      </c>
      <c r="F16027" t="s">
        <v>0</v>
      </c>
      <c r="G16027" t="s">
        <v>47098</v>
      </c>
      <c r="H16027" t="s">
        <v>47126</v>
      </c>
      <c r="I16027" t="s">
        <v>47120</v>
      </c>
      <c r="J16027" t="s">
        <v>47121</v>
      </c>
      <c r="K16027" t="s">
        <v>47113</v>
      </c>
      <c r="L16027">
        <v>48.05</v>
      </c>
      <c r="M16027">
        <v>117</v>
      </c>
      <c r="N16027">
        <v>0</v>
      </c>
      <c r="O16027">
        <v>117</v>
      </c>
      <c r="P16027">
        <v>0</v>
      </c>
    </row>
    <row r="16028" spans="1:16" x14ac:dyDescent="0.25">
      <c r="A16028" t="s">
        <v>38665</v>
      </c>
      <c r="B16028" t="s">
        <v>10801</v>
      </c>
      <c r="C16028" t="s">
        <v>10802</v>
      </c>
      <c r="D16028" t="str">
        <f>"3002"</f>
        <v>3002</v>
      </c>
      <c r="E16028" t="s">
        <v>10738</v>
      </c>
      <c r="F16028" t="s">
        <v>0</v>
      </c>
      <c r="G16028" t="s">
        <v>47098</v>
      </c>
      <c r="H16028" t="s">
        <v>47126</v>
      </c>
      <c r="I16028" t="s">
        <v>47120</v>
      </c>
      <c r="J16028" t="s">
        <v>47121</v>
      </c>
      <c r="K16028" t="s">
        <v>47113</v>
      </c>
      <c r="L16028">
        <v>48.05</v>
      </c>
      <c r="M16028">
        <v>117</v>
      </c>
      <c r="N16028">
        <v>0</v>
      </c>
      <c r="O16028">
        <v>117</v>
      </c>
      <c r="P16028">
        <v>0</v>
      </c>
    </row>
    <row r="16029" spans="1:16" x14ac:dyDescent="0.25">
      <c r="A16029" t="s">
        <v>38666</v>
      </c>
      <c r="B16029" t="s">
        <v>10801</v>
      </c>
      <c r="C16029" t="s">
        <v>10802</v>
      </c>
      <c r="D16029" t="str">
        <f>"3498"</f>
        <v>3498</v>
      </c>
      <c r="E16029" t="s">
        <v>10739</v>
      </c>
      <c r="F16029" t="s">
        <v>0</v>
      </c>
      <c r="G16029" t="s">
        <v>47098</v>
      </c>
      <c r="H16029" t="s">
        <v>47126</v>
      </c>
      <c r="I16029" t="s">
        <v>47120</v>
      </c>
      <c r="J16029" t="s">
        <v>47121</v>
      </c>
      <c r="K16029" t="s">
        <v>47113</v>
      </c>
      <c r="L16029">
        <v>48.05</v>
      </c>
      <c r="M16029">
        <v>117</v>
      </c>
      <c r="N16029">
        <v>0</v>
      </c>
      <c r="O16029">
        <v>117</v>
      </c>
      <c r="P16029">
        <v>0</v>
      </c>
    </row>
    <row r="16030" spans="1:16" x14ac:dyDescent="0.25">
      <c r="A16030" t="s">
        <v>38667</v>
      </c>
      <c r="B16030" t="s">
        <v>10801</v>
      </c>
      <c r="C16030" t="s">
        <v>10802</v>
      </c>
      <c r="D16030" t="str">
        <f>"4100"</f>
        <v>4100</v>
      </c>
      <c r="E16030" t="s">
        <v>4390</v>
      </c>
      <c r="F16030" t="s">
        <v>0</v>
      </c>
      <c r="G16030" t="s">
        <v>47098</v>
      </c>
      <c r="H16030" t="s">
        <v>47126</v>
      </c>
      <c r="I16030" t="s">
        <v>47120</v>
      </c>
      <c r="J16030" t="s">
        <v>47121</v>
      </c>
      <c r="K16030" t="s">
        <v>47113</v>
      </c>
      <c r="L16030">
        <v>48.05</v>
      </c>
      <c r="M16030">
        <v>117</v>
      </c>
      <c r="N16030">
        <v>0</v>
      </c>
      <c r="O16030">
        <v>117</v>
      </c>
      <c r="P16030">
        <v>0</v>
      </c>
    </row>
    <row r="16031" spans="1:16" x14ac:dyDescent="0.25">
      <c r="A16031" t="s">
        <v>38668</v>
      </c>
      <c r="B16031" t="s">
        <v>10801</v>
      </c>
      <c r="C16031" t="s">
        <v>10802</v>
      </c>
      <c r="D16031" t="str">
        <f>"6000"</f>
        <v>6000</v>
      </c>
      <c r="E16031" t="s">
        <v>10803</v>
      </c>
      <c r="F16031" t="s">
        <v>0</v>
      </c>
      <c r="G16031" t="s">
        <v>47098</v>
      </c>
      <c r="H16031" t="s">
        <v>47126</v>
      </c>
      <c r="I16031" t="s">
        <v>47120</v>
      </c>
      <c r="J16031" t="s">
        <v>47121</v>
      </c>
      <c r="K16031" t="s">
        <v>47113</v>
      </c>
      <c r="L16031">
        <v>48.05</v>
      </c>
      <c r="M16031">
        <v>117</v>
      </c>
      <c r="N16031">
        <v>0</v>
      </c>
      <c r="O16031">
        <v>117</v>
      </c>
      <c r="P16031">
        <v>0</v>
      </c>
    </row>
    <row r="16032" spans="1:16" x14ac:dyDescent="0.25">
      <c r="A16032" t="s">
        <v>38669</v>
      </c>
      <c r="B16032" t="s">
        <v>10801</v>
      </c>
      <c r="C16032" t="s">
        <v>10802</v>
      </c>
      <c r="D16032" t="str">
        <f>"7000"</f>
        <v>7000</v>
      </c>
      <c r="E16032" t="s">
        <v>185</v>
      </c>
      <c r="F16032" t="s">
        <v>0</v>
      </c>
      <c r="G16032" t="s">
        <v>47098</v>
      </c>
      <c r="H16032" t="s">
        <v>47126</v>
      </c>
      <c r="I16032" t="s">
        <v>47120</v>
      </c>
      <c r="J16032" t="s">
        <v>47121</v>
      </c>
      <c r="K16032" t="s">
        <v>47113</v>
      </c>
      <c r="L16032">
        <v>48.05</v>
      </c>
      <c r="M16032">
        <v>117</v>
      </c>
      <c r="N16032">
        <v>0</v>
      </c>
      <c r="O16032">
        <v>117</v>
      </c>
      <c r="P16032">
        <v>0</v>
      </c>
    </row>
    <row r="16033" spans="1:16" x14ac:dyDescent="0.25">
      <c r="A16033" t="s">
        <v>38670</v>
      </c>
      <c r="B16033" t="s">
        <v>10804</v>
      </c>
      <c r="C16033" t="s">
        <v>10805</v>
      </c>
      <c r="D16033" t="str">
        <f>"1001"</f>
        <v>1001</v>
      </c>
      <c r="E16033" t="s">
        <v>42</v>
      </c>
      <c r="F16033" t="s">
        <v>0</v>
      </c>
      <c r="G16033" t="s">
        <v>47098</v>
      </c>
      <c r="H16033" t="s">
        <v>47126</v>
      </c>
      <c r="I16033" t="s">
        <v>47120</v>
      </c>
      <c r="J16033" t="s">
        <v>47121</v>
      </c>
      <c r="K16033" t="s">
        <v>47113</v>
      </c>
      <c r="L16033">
        <v>47.29</v>
      </c>
      <c r="M16033">
        <v>115</v>
      </c>
      <c r="N16033">
        <v>0</v>
      </c>
      <c r="O16033">
        <v>115</v>
      </c>
      <c r="P16033">
        <v>0</v>
      </c>
    </row>
    <row r="16034" spans="1:16" x14ac:dyDescent="0.25">
      <c r="A16034" t="s">
        <v>38671</v>
      </c>
      <c r="B16034" t="s">
        <v>10804</v>
      </c>
      <c r="C16034" t="s">
        <v>10805</v>
      </c>
      <c r="D16034" t="str">
        <f>"3002"</f>
        <v>3002</v>
      </c>
      <c r="E16034" t="s">
        <v>10738</v>
      </c>
      <c r="F16034" t="s">
        <v>0</v>
      </c>
      <c r="G16034" t="s">
        <v>47098</v>
      </c>
      <c r="H16034" t="s">
        <v>47126</v>
      </c>
      <c r="I16034" t="s">
        <v>47120</v>
      </c>
      <c r="J16034" t="s">
        <v>47121</v>
      </c>
      <c r="K16034" t="s">
        <v>47113</v>
      </c>
      <c r="L16034">
        <v>47.29</v>
      </c>
      <c r="M16034">
        <v>115</v>
      </c>
      <c r="N16034">
        <v>0</v>
      </c>
      <c r="O16034">
        <v>115</v>
      </c>
      <c r="P16034">
        <v>0</v>
      </c>
    </row>
    <row r="16035" spans="1:16" x14ac:dyDescent="0.25">
      <c r="A16035" t="s">
        <v>38672</v>
      </c>
      <c r="B16035" t="s">
        <v>10804</v>
      </c>
      <c r="C16035" t="s">
        <v>10805</v>
      </c>
      <c r="D16035" t="str">
        <f>"4100"</f>
        <v>4100</v>
      </c>
      <c r="E16035" t="s">
        <v>4390</v>
      </c>
      <c r="F16035" t="s">
        <v>0</v>
      </c>
      <c r="G16035" t="s">
        <v>47098</v>
      </c>
      <c r="H16035" t="s">
        <v>47126</v>
      </c>
      <c r="I16035" t="s">
        <v>47120</v>
      </c>
      <c r="J16035" t="s">
        <v>47121</v>
      </c>
      <c r="K16035" t="s">
        <v>47113</v>
      </c>
      <c r="L16035">
        <v>47.29</v>
      </c>
      <c r="M16035">
        <v>115</v>
      </c>
      <c r="N16035">
        <v>0</v>
      </c>
      <c r="O16035">
        <v>115</v>
      </c>
      <c r="P16035">
        <v>0</v>
      </c>
    </row>
    <row r="16036" spans="1:16" x14ac:dyDescent="0.25">
      <c r="A16036" t="s">
        <v>38673</v>
      </c>
      <c r="B16036" t="s">
        <v>10804</v>
      </c>
      <c r="C16036" t="s">
        <v>10805</v>
      </c>
      <c r="D16036" t="str">
        <f>"6000"</f>
        <v>6000</v>
      </c>
      <c r="E16036" t="s">
        <v>10803</v>
      </c>
      <c r="F16036" t="s">
        <v>0</v>
      </c>
      <c r="G16036" t="s">
        <v>47098</v>
      </c>
      <c r="H16036" t="s">
        <v>47126</v>
      </c>
      <c r="I16036" t="s">
        <v>47120</v>
      </c>
      <c r="J16036" t="s">
        <v>47121</v>
      </c>
      <c r="K16036" t="s">
        <v>47113</v>
      </c>
      <c r="L16036">
        <v>47.29</v>
      </c>
      <c r="M16036">
        <v>115</v>
      </c>
      <c r="N16036">
        <v>0</v>
      </c>
      <c r="O16036">
        <v>115</v>
      </c>
      <c r="P16036">
        <v>0</v>
      </c>
    </row>
    <row r="16037" spans="1:16" x14ac:dyDescent="0.25">
      <c r="A16037" t="s">
        <v>38674</v>
      </c>
      <c r="B16037" t="s">
        <v>10804</v>
      </c>
      <c r="C16037" t="s">
        <v>10805</v>
      </c>
      <c r="D16037" t="str">
        <f>"7000"</f>
        <v>7000</v>
      </c>
      <c r="E16037" t="s">
        <v>185</v>
      </c>
      <c r="F16037" t="s">
        <v>0</v>
      </c>
      <c r="G16037" t="s">
        <v>47098</v>
      </c>
      <c r="H16037" t="s">
        <v>47126</v>
      </c>
      <c r="I16037" t="s">
        <v>47120</v>
      </c>
      <c r="J16037" t="s">
        <v>47121</v>
      </c>
      <c r="K16037" t="s">
        <v>47113</v>
      </c>
      <c r="L16037">
        <v>47.29</v>
      </c>
      <c r="M16037">
        <v>115</v>
      </c>
      <c r="N16037">
        <v>0</v>
      </c>
      <c r="O16037">
        <v>115</v>
      </c>
      <c r="P16037">
        <v>0</v>
      </c>
    </row>
    <row r="16038" spans="1:16" x14ac:dyDescent="0.25">
      <c r="A16038" t="s">
        <v>38675</v>
      </c>
      <c r="B16038" t="s">
        <v>10806</v>
      </c>
      <c r="C16038" t="s">
        <v>10807</v>
      </c>
      <c r="D16038" t="str">
        <f>"1001"</f>
        <v>1001</v>
      </c>
      <c r="E16038" t="s">
        <v>42</v>
      </c>
      <c r="F16038" t="s">
        <v>0</v>
      </c>
      <c r="G16038" t="s">
        <v>47098</v>
      </c>
      <c r="H16038" t="s">
        <v>47126</v>
      </c>
      <c r="I16038" t="s">
        <v>47120</v>
      </c>
      <c r="J16038" t="s">
        <v>47121</v>
      </c>
      <c r="K16038" t="s">
        <v>47113</v>
      </c>
      <c r="L16038">
        <v>51.48</v>
      </c>
      <c r="M16038">
        <v>125</v>
      </c>
      <c r="N16038">
        <v>0</v>
      </c>
      <c r="O16038">
        <v>125</v>
      </c>
      <c r="P16038">
        <v>0</v>
      </c>
    </row>
    <row r="16039" spans="1:16" x14ac:dyDescent="0.25">
      <c r="A16039" t="s">
        <v>38676</v>
      </c>
      <c r="B16039" t="s">
        <v>10806</v>
      </c>
      <c r="C16039" t="s">
        <v>10807</v>
      </c>
      <c r="D16039" t="str">
        <f>"3002"</f>
        <v>3002</v>
      </c>
      <c r="E16039" t="s">
        <v>10738</v>
      </c>
      <c r="F16039" t="s">
        <v>0</v>
      </c>
      <c r="G16039" t="s">
        <v>47098</v>
      </c>
      <c r="H16039" t="s">
        <v>47126</v>
      </c>
      <c r="I16039" t="s">
        <v>47120</v>
      </c>
      <c r="J16039" t="s">
        <v>47121</v>
      </c>
      <c r="K16039" t="s">
        <v>47113</v>
      </c>
      <c r="L16039">
        <v>51.48</v>
      </c>
      <c r="M16039">
        <v>125</v>
      </c>
      <c r="N16039">
        <v>0</v>
      </c>
      <c r="O16039">
        <v>125</v>
      </c>
      <c r="P16039">
        <v>0</v>
      </c>
    </row>
    <row r="16040" spans="1:16" x14ac:dyDescent="0.25">
      <c r="A16040" t="s">
        <v>38677</v>
      </c>
      <c r="B16040" t="s">
        <v>10806</v>
      </c>
      <c r="C16040" t="s">
        <v>10807</v>
      </c>
      <c r="D16040" t="str">
        <f>"4000"</f>
        <v>4000</v>
      </c>
      <c r="E16040" t="s">
        <v>4390</v>
      </c>
      <c r="F16040" t="s">
        <v>0</v>
      </c>
      <c r="G16040" t="s">
        <v>47098</v>
      </c>
      <c r="H16040" t="s">
        <v>47126</v>
      </c>
      <c r="I16040" t="s">
        <v>47120</v>
      </c>
      <c r="J16040" t="s">
        <v>47121</v>
      </c>
      <c r="K16040" t="s">
        <v>47113</v>
      </c>
      <c r="L16040">
        <v>51.48</v>
      </c>
      <c r="M16040">
        <v>125</v>
      </c>
      <c r="N16040">
        <v>0</v>
      </c>
      <c r="O16040">
        <v>125</v>
      </c>
      <c r="P16040">
        <v>0</v>
      </c>
    </row>
    <row r="16041" spans="1:16" x14ac:dyDescent="0.25">
      <c r="A16041" t="s">
        <v>38678</v>
      </c>
      <c r="B16041" t="s">
        <v>10806</v>
      </c>
      <c r="C16041" t="s">
        <v>10807</v>
      </c>
      <c r="D16041" t="str">
        <f>"6000"</f>
        <v>6000</v>
      </c>
      <c r="E16041" t="s">
        <v>10803</v>
      </c>
      <c r="F16041" t="s">
        <v>0</v>
      </c>
      <c r="G16041" t="s">
        <v>47098</v>
      </c>
      <c r="H16041" t="s">
        <v>47126</v>
      </c>
      <c r="I16041" t="s">
        <v>47120</v>
      </c>
      <c r="J16041" t="s">
        <v>47121</v>
      </c>
      <c r="K16041" t="s">
        <v>47113</v>
      </c>
      <c r="L16041">
        <v>51.48</v>
      </c>
      <c r="M16041">
        <v>125</v>
      </c>
      <c r="N16041">
        <v>0</v>
      </c>
      <c r="O16041">
        <v>125</v>
      </c>
      <c r="P16041">
        <v>0</v>
      </c>
    </row>
    <row r="16042" spans="1:16" x14ac:dyDescent="0.25">
      <c r="A16042" t="s">
        <v>38679</v>
      </c>
      <c r="B16042" t="s">
        <v>10806</v>
      </c>
      <c r="C16042" t="s">
        <v>10807</v>
      </c>
      <c r="D16042" t="str">
        <f>"7000"</f>
        <v>7000</v>
      </c>
      <c r="E16042" t="s">
        <v>185</v>
      </c>
      <c r="F16042" t="s">
        <v>0</v>
      </c>
      <c r="G16042" t="s">
        <v>47098</v>
      </c>
      <c r="H16042" t="s">
        <v>47126</v>
      </c>
      <c r="I16042" t="s">
        <v>47120</v>
      </c>
      <c r="J16042" t="s">
        <v>47121</v>
      </c>
      <c r="K16042" t="s">
        <v>47113</v>
      </c>
      <c r="L16042">
        <v>51.48</v>
      </c>
      <c r="M16042">
        <v>125</v>
      </c>
      <c r="N16042">
        <v>0</v>
      </c>
      <c r="O16042">
        <v>125</v>
      </c>
      <c r="P16042">
        <v>0</v>
      </c>
    </row>
    <row r="16043" spans="1:16" x14ac:dyDescent="0.25">
      <c r="A16043" t="s">
        <v>38680</v>
      </c>
      <c r="B16043" t="s">
        <v>10808</v>
      </c>
      <c r="C16043" t="s">
        <v>10809</v>
      </c>
      <c r="D16043" t="str">
        <f>"1377"</f>
        <v>1377</v>
      </c>
      <c r="E16043" t="s">
        <v>74</v>
      </c>
      <c r="F16043" t="s">
        <v>0</v>
      </c>
      <c r="G16043" t="s">
        <v>47103</v>
      </c>
      <c r="H16043" t="s">
        <v>47126</v>
      </c>
      <c r="I16043" t="s">
        <v>47127</v>
      </c>
      <c r="J16043" t="s">
        <v>47128</v>
      </c>
      <c r="K16043" t="s">
        <v>47113</v>
      </c>
      <c r="L16043">
        <v>17.010000000000002</v>
      </c>
      <c r="M16043">
        <v>37</v>
      </c>
      <c r="N16043">
        <v>0</v>
      </c>
      <c r="O16043">
        <v>37</v>
      </c>
      <c r="P16043">
        <v>0</v>
      </c>
    </row>
    <row r="16044" spans="1:16" x14ac:dyDescent="0.25">
      <c r="A16044" t="s">
        <v>38681</v>
      </c>
      <c r="B16044" t="s">
        <v>10808</v>
      </c>
      <c r="C16044" t="s">
        <v>10809</v>
      </c>
      <c r="D16044" t="str">
        <f>"1378"</f>
        <v>1378</v>
      </c>
      <c r="E16044" t="s">
        <v>388</v>
      </c>
      <c r="F16044" t="s">
        <v>0</v>
      </c>
      <c r="G16044" t="s">
        <v>47103</v>
      </c>
      <c r="H16044" t="s">
        <v>47126</v>
      </c>
      <c r="I16044" t="s">
        <v>47127</v>
      </c>
      <c r="J16044" t="s">
        <v>47128</v>
      </c>
      <c r="K16044" t="s">
        <v>47113</v>
      </c>
      <c r="L16044">
        <v>17.010000000000002</v>
      </c>
      <c r="M16044">
        <v>37</v>
      </c>
      <c r="N16044">
        <v>0</v>
      </c>
      <c r="O16044">
        <v>37</v>
      </c>
      <c r="P16044">
        <v>0</v>
      </c>
    </row>
    <row r="16045" spans="1:16" x14ac:dyDescent="0.25">
      <c r="A16045" t="s">
        <v>38682</v>
      </c>
      <c r="B16045" t="s">
        <v>10808</v>
      </c>
      <c r="C16045" t="s">
        <v>10809</v>
      </c>
      <c r="D16045" t="str">
        <f>"3489"</f>
        <v>3489</v>
      </c>
      <c r="E16045" t="s">
        <v>2221</v>
      </c>
      <c r="F16045" t="s">
        <v>0</v>
      </c>
      <c r="G16045" t="s">
        <v>47103</v>
      </c>
      <c r="H16045" t="s">
        <v>47126</v>
      </c>
      <c r="I16045" t="s">
        <v>47127</v>
      </c>
      <c r="J16045" t="s">
        <v>47128</v>
      </c>
      <c r="K16045" t="s">
        <v>47113</v>
      </c>
      <c r="L16045">
        <v>17.010000000000002</v>
      </c>
      <c r="M16045">
        <v>37</v>
      </c>
      <c r="N16045">
        <v>0</v>
      </c>
      <c r="O16045">
        <v>37</v>
      </c>
      <c r="P16045">
        <v>0</v>
      </c>
    </row>
    <row r="16046" spans="1:16" x14ac:dyDescent="0.25">
      <c r="A16046" t="s">
        <v>38683</v>
      </c>
      <c r="B16046" t="s">
        <v>10808</v>
      </c>
      <c r="C16046" t="s">
        <v>10809</v>
      </c>
      <c r="D16046" t="str">
        <f>"4643"</f>
        <v>4643</v>
      </c>
      <c r="E16046" t="s">
        <v>205</v>
      </c>
      <c r="F16046" t="s">
        <v>0</v>
      </c>
      <c r="G16046" t="s">
        <v>47103</v>
      </c>
      <c r="H16046" t="s">
        <v>47126</v>
      </c>
      <c r="I16046" t="s">
        <v>47127</v>
      </c>
      <c r="J16046" t="s">
        <v>47128</v>
      </c>
      <c r="K16046" t="s">
        <v>47113</v>
      </c>
      <c r="L16046">
        <v>17.010000000000002</v>
      </c>
      <c r="M16046">
        <v>37</v>
      </c>
      <c r="N16046">
        <v>0</v>
      </c>
      <c r="O16046">
        <v>37</v>
      </c>
      <c r="P16046">
        <v>0</v>
      </c>
    </row>
    <row r="16047" spans="1:16" x14ac:dyDescent="0.25">
      <c r="A16047" t="s">
        <v>38684</v>
      </c>
      <c r="B16047" t="s">
        <v>10808</v>
      </c>
      <c r="C16047" t="s">
        <v>10809</v>
      </c>
      <c r="D16047" t="str">
        <f>"6000"</f>
        <v>6000</v>
      </c>
      <c r="E16047" t="s">
        <v>390</v>
      </c>
      <c r="F16047" t="s">
        <v>0</v>
      </c>
      <c r="G16047" t="s">
        <v>47103</v>
      </c>
      <c r="H16047" t="s">
        <v>47126</v>
      </c>
      <c r="I16047" t="s">
        <v>47127</v>
      </c>
      <c r="J16047" t="s">
        <v>47128</v>
      </c>
      <c r="K16047" t="s">
        <v>47113</v>
      </c>
      <c r="L16047">
        <v>17.010000000000002</v>
      </c>
      <c r="M16047">
        <v>37</v>
      </c>
      <c r="N16047">
        <v>0</v>
      </c>
      <c r="O16047">
        <v>37</v>
      </c>
      <c r="P16047">
        <v>0</v>
      </c>
    </row>
    <row r="16048" spans="1:16" x14ac:dyDescent="0.25">
      <c r="A16048" t="s">
        <v>38685</v>
      </c>
      <c r="B16048" t="s">
        <v>10810</v>
      </c>
      <c r="C16048" t="s">
        <v>10811</v>
      </c>
      <c r="D16048" t="s">
        <v>4056</v>
      </c>
      <c r="E16048" t="s">
        <v>4057</v>
      </c>
      <c r="F16048" t="s">
        <v>0</v>
      </c>
      <c r="G16048" t="s">
        <v>47091</v>
      </c>
      <c r="H16048" t="s">
        <v>47153</v>
      </c>
      <c r="I16048" t="s">
        <v>47132</v>
      </c>
      <c r="J16048" t="s">
        <v>47133</v>
      </c>
      <c r="K16048" t="s">
        <v>47113</v>
      </c>
      <c r="L16048">
        <v>20.12</v>
      </c>
      <c r="M16048">
        <v>34</v>
      </c>
      <c r="N16048">
        <v>0</v>
      </c>
      <c r="O16048">
        <v>34</v>
      </c>
      <c r="P16048">
        <v>0</v>
      </c>
    </row>
    <row r="16049" spans="1:16" x14ac:dyDescent="0.25">
      <c r="A16049" t="s">
        <v>38686</v>
      </c>
      <c r="B16049" t="s">
        <v>10810</v>
      </c>
      <c r="C16049" t="s">
        <v>10811</v>
      </c>
      <c r="D16049" t="s">
        <v>10812</v>
      </c>
      <c r="E16049" t="s">
        <v>10813</v>
      </c>
      <c r="F16049" t="s">
        <v>0</v>
      </c>
      <c r="G16049" t="s">
        <v>47091</v>
      </c>
      <c r="H16049" t="s">
        <v>47153</v>
      </c>
      <c r="I16049" t="s">
        <v>47132</v>
      </c>
      <c r="J16049" t="s">
        <v>47133</v>
      </c>
      <c r="K16049" t="s">
        <v>47113</v>
      </c>
      <c r="L16049">
        <v>20.12</v>
      </c>
      <c r="M16049">
        <v>34</v>
      </c>
      <c r="N16049">
        <v>0</v>
      </c>
      <c r="O16049">
        <v>34</v>
      </c>
      <c r="P16049">
        <v>0</v>
      </c>
    </row>
    <row r="16050" spans="1:16" x14ac:dyDescent="0.25">
      <c r="A16050" t="s">
        <v>38687</v>
      </c>
      <c r="B16050" t="s">
        <v>10810</v>
      </c>
      <c r="C16050" t="s">
        <v>10811</v>
      </c>
      <c r="D16050" t="s">
        <v>418</v>
      </c>
      <c r="E16050" t="s">
        <v>419</v>
      </c>
      <c r="F16050" t="s">
        <v>0</v>
      </c>
      <c r="G16050" t="s">
        <v>47091</v>
      </c>
      <c r="H16050" t="s">
        <v>47153</v>
      </c>
      <c r="I16050" t="s">
        <v>47132</v>
      </c>
      <c r="J16050" t="s">
        <v>47133</v>
      </c>
      <c r="K16050" t="s">
        <v>47113</v>
      </c>
      <c r="L16050">
        <v>20.12</v>
      </c>
      <c r="M16050">
        <v>34</v>
      </c>
      <c r="N16050">
        <v>0</v>
      </c>
      <c r="O16050">
        <v>34</v>
      </c>
      <c r="P16050">
        <v>0</v>
      </c>
    </row>
    <row r="16051" spans="1:16" x14ac:dyDescent="0.25">
      <c r="A16051" t="s">
        <v>38688</v>
      </c>
      <c r="B16051" t="s">
        <v>10814</v>
      </c>
      <c r="C16051" t="s">
        <v>10809</v>
      </c>
      <c r="D16051" t="str">
        <f>"3000"</f>
        <v>3000</v>
      </c>
      <c r="E16051" t="s">
        <v>4319</v>
      </c>
      <c r="F16051" t="s">
        <v>0</v>
      </c>
      <c r="G16051" t="s">
        <v>47103</v>
      </c>
      <c r="H16051" t="s">
        <v>47126</v>
      </c>
      <c r="I16051" t="s">
        <v>47127</v>
      </c>
      <c r="J16051" t="s">
        <v>47128</v>
      </c>
      <c r="K16051" t="s">
        <v>47113</v>
      </c>
      <c r="L16051">
        <v>17.850000000000001</v>
      </c>
      <c r="M16051">
        <v>37</v>
      </c>
      <c r="N16051">
        <v>0</v>
      </c>
      <c r="O16051">
        <v>37</v>
      </c>
      <c r="P16051">
        <v>0</v>
      </c>
    </row>
    <row r="16052" spans="1:16" x14ac:dyDescent="0.25">
      <c r="A16052" t="s">
        <v>38689</v>
      </c>
      <c r="B16052" t="s">
        <v>10814</v>
      </c>
      <c r="C16052" t="s">
        <v>10809</v>
      </c>
      <c r="D16052" t="str">
        <f>"4000"</f>
        <v>4000</v>
      </c>
      <c r="E16052" t="s">
        <v>461</v>
      </c>
      <c r="F16052" t="s">
        <v>0</v>
      </c>
      <c r="G16052" t="s">
        <v>47103</v>
      </c>
      <c r="H16052" t="s">
        <v>47126</v>
      </c>
      <c r="I16052" t="s">
        <v>47127</v>
      </c>
      <c r="J16052" t="s">
        <v>47128</v>
      </c>
      <c r="K16052" t="s">
        <v>47113</v>
      </c>
      <c r="L16052">
        <v>17.850000000000001</v>
      </c>
      <c r="M16052">
        <v>37</v>
      </c>
      <c r="N16052">
        <v>0</v>
      </c>
      <c r="O16052">
        <v>37</v>
      </c>
      <c r="P16052">
        <v>0</v>
      </c>
    </row>
    <row r="16053" spans="1:16" x14ac:dyDescent="0.25">
      <c r="A16053" t="s">
        <v>38690</v>
      </c>
      <c r="B16053" t="s">
        <v>10814</v>
      </c>
      <c r="C16053" t="s">
        <v>10809</v>
      </c>
      <c r="D16053" t="str">
        <f>"4643"</f>
        <v>4643</v>
      </c>
      <c r="E16053" t="s">
        <v>205</v>
      </c>
      <c r="F16053" t="s">
        <v>0</v>
      </c>
      <c r="G16053" t="s">
        <v>47103</v>
      </c>
      <c r="H16053" t="s">
        <v>47126</v>
      </c>
      <c r="I16053" t="s">
        <v>47127</v>
      </c>
      <c r="J16053" t="s">
        <v>47128</v>
      </c>
      <c r="K16053" t="s">
        <v>47113</v>
      </c>
      <c r="L16053">
        <v>17.850000000000001</v>
      </c>
      <c r="M16053">
        <v>37</v>
      </c>
      <c r="N16053">
        <v>0</v>
      </c>
      <c r="O16053">
        <v>37</v>
      </c>
      <c r="P16053">
        <v>0</v>
      </c>
    </row>
    <row r="16054" spans="1:16" x14ac:dyDescent="0.25">
      <c r="A16054" t="s">
        <v>38691</v>
      </c>
      <c r="B16054" t="s">
        <v>10814</v>
      </c>
      <c r="C16054" t="s">
        <v>10809</v>
      </c>
      <c r="D16054" t="str">
        <f>"4730"</f>
        <v>4730</v>
      </c>
      <c r="E16054" t="s">
        <v>461</v>
      </c>
      <c r="F16054" t="s">
        <v>0</v>
      </c>
      <c r="G16054" t="s">
        <v>47103</v>
      </c>
      <c r="H16054" t="s">
        <v>47126</v>
      </c>
      <c r="I16054" t="s">
        <v>47127</v>
      </c>
      <c r="J16054" t="s">
        <v>47128</v>
      </c>
      <c r="K16054" t="s">
        <v>47113</v>
      </c>
      <c r="L16054">
        <v>17.850000000000001</v>
      </c>
      <c r="M16054">
        <v>37</v>
      </c>
      <c r="N16054">
        <v>0</v>
      </c>
      <c r="O16054">
        <v>37</v>
      </c>
      <c r="P16054">
        <v>0</v>
      </c>
    </row>
    <row r="16055" spans="1:16" x14ac:dyDescent="0.25">
      <c r="A16055" t="s">
        <v>38692</v>
      </c>
      <c r="B16055" t="s">
        <v>10814</v>
      </c>
      <c r="C16055" t="s">
        <v>10809</v>
      </c>
      <c r="D16055" t="str">
        <f>"6000"</f>
        <v>6000</v>
      </c>
      <c r="E16055" t="s">
        <v>390</v>
      </c>
      <c r="F16055" t="s">
        <v>0</v>
      </c>
      <c r="G16055" t="s">
        <v>47103</v>
      </c>
      <c r="H16055" t="s">
        <v>47126</v>
      </c>
      <c r="I16055" t="s">
        <v>47127</v>
      </c>
      <c r="J16055" t="s">
        <v>47128</v>
      </c>
      <c r="K16055" t="s">
        <v>47113</v>
      </c>
      <c r="L16055">
        <v>17.850000000000001</v>
      </c>
      <c r="M16055">
        <v>37</v>
      </c>
      <c r="N16055">
        <v>0</v>
      </c>
      <c r="O16055">
        <v>37</v>
      </c>
      <c r="P16055">
        <v>0</v>
      </c>
    </row>
    <row r="16056" spans="1:16" x14ac:dyDescent="0.25">
      <c r="A16056" t="s">
        <v>38693</v>
      </c>
      <c r="B16056" t="s">
        <v>10815</v>
      </c>
      <c r="C16056" t="s">
        <v>10816</v>
      </c>
      <c r="D16056" t="str">
        <f>"1377"</f>
        <v>1377</v>
      </c>
      <c r="E16056" t="s">
        <v>74</v>
      </c>
      <c r="F16056" t="s">
        <v>0</v>
      </c>
      <c r="G16056" t="s">
        <v>47092</v>
      </c>
      <c r="H16056" t="s">
        <v>47126</v>
      </c>
      <c r="I16056" t="s">
        <v>47127</v>
      </c>
      <c r="J16056" t="s">
        <v>47128</v>
      </c>
      <c r="K16056" t="s">
        <v>47113</v>
      </c>
      <c r="L16056">
        <v>10.74</v>
      </c>
      <c r="M16056">
        <v>22</v>
      </c>
      <c r="N16056">
        <v>0</v>
      </c>
      <c r="O16056">
        <v>22</v>
      </c>
      <c r="P16056">
        <v>0</v>
      </c>
    </row>
    <row r="16057" spans="1:16" x14ac:dyDescent="0.25">
      <c r="A16057" t="s">
        <v>38694</v>
      </c>
      <c r="B16057" t="s">
        <v>10815</v>
      </c>
      <c r="C16057" t="s">
        <v>10816</v>
      </c>
      <c r="D16057" t="str">
        <f>"1378"</f>
        <v>1378</v>
      </c>
      <c r="E16057" t="s">
        <v>388</v>
      </c>
      <c r="F16057" t="s">
        <v>0</v>
      </c>
      <c r="G16057" t="s">
        <v>47092</v>
      </c>
      <c r="H16057" t="s">
        <v>47126</v>
      </c>
      <c r="I16057" t="s">
        <v>47127</v>
      </c>
      <c r="J16057" t="s">
        <v>47128</v>
      </c>
      <c r="K16057" t="s">
        <v>47113</v>
      </c>
      <c r="L16057">
        <v>10.74</v>
      </c>
      <c r="M16057">
        <v>22</v>
      </c>
      <c r="N16057">
        <v>0</v>
      </c>
      <c r="O16057">
        <v>22</v>
      </c>
      <c r="P16057">
        <v>0</v>
      </c>
    </row>
    <row r="16058" spans="1:16" x14ac:dyDescent="0.25">
      <c r="A16058" t="s">
        <v>38695</v>
      </c>
      <c r="B16058" t="s">
        <v>10815</v>
      </c>
      <c r="C16058" t="s">
        <v>10816</v>
      </c>
      <c r="D16058" t="str">
        <f>"3000"</f>
        <v>3000</v>
      </c>
      <c r="E16058" t="s">
        <v>4319</v>
      </c>
      <c r="F16058" t="s">
        <v>0</v>
      </c>
      <c r="G16058" t="s">
        <v>47092</v>
      </c>
      <c r="H16058" t="s">
        <v>47126</v>
      </c>
      <c r="I16058" t="s">
        <v>47127</v>
      </c>
      <c r="J16058" t="s">
        <v>47128</v>
      </c>
      <c r="K16058" t="s">
        <v>47113</v>
      </c>
      <c r="L16058">
        <v>10.74</v>
      </c>
      <c r="M16058">
        <v>22</v>
      </c>
      <c r="N16058">
        <v>0</v>
      </c>
      <c r="O16058">
        <v>22</v>
      </c>
      <c r="P16058">
        <v>0</v>
      </c>
    </row>
    <row r="16059" spans="1:16" x14ac:dyDescent="0.25">
      <c r="A16059" t="s">
        <v>38696</v>
      </c>
      <c r="B16059" t="s">
        <v>10815</v>
      </c>
      <c r="C16059" t="s">
        <v>10816</v>
      </c>
      <c r="D16059" t="str">
        <f>"4000"</f>
        <v>4000</v>
      </c>
      <c r="E16059" t="s">
        <v>2222</v>
      </c>
      <c r="F16059" t="s">
        <v>0</v>
      </c>
      <c r="G16059" t="s">
        <v>47092</v>
      </c>
      <c r="H16059" t="s">
        <v>47126</v>
      </c>
      <c r="I16059" t="s">
        <v>47127</v>
      </c>
      <c r="J16059" t="s">
        <v>47128</v>
      </c>
      <c r="K16059" t="s">
        <v>47113</v>
      </c>
      <c r="L16059">
        <v>10.74</v>
      </c>
      <c r="M16059">
        <v>22</v>
      </c>
      <c r="N16059">
        <v>0</v>
      </c>
      <c r="O16059">
        <v>22</v>
      </c>
      <c r="P16059">
        <v>0</v>
      </c>
    </row>
    <row r="16060" spans="1:16" x14ac:dyDescent="0.25">
      <c r="A16060" t="s">
        <v>38697</v>
      </c>
      <c r="B16060" t="s">
        <v>10815</v>
      </c>
      <c r="C16060" t="s">
        <v>10816</v>
      </c>
      <c r="D16060" t="str">
        <f>"4643"</f>
        <v>4643</v>
      </c>
      <c r="E16060" t="s">
        <v>205</v>
      </c>
      <c r="F16060" t="s">
        <v>0</v>
      </c>
      <c r="G16060" t="s">
        <v>47092</v>
      </c>
      <c r="H16060" t="s">
        <v>47126</v>
      </c>
      <c r="I16060" t="s">
        <v>47127</v>
      </c>
      <c r="J16060" t="s">
        <v>47128</v>
      </c>
      <c r="K16060" t="s">
        <v>47113</v>
      </c>
      <c r="L16060">
        <v>10.74</v>
      </c>
      <c r="M16060">
        <v>22</v>
      </c>
      <c r="N16060">
        <v>0</v>
      </c>
      <c r="O16060">
        <v>22</v>
      </c>
      <c r="P16060">
        <v>0</v>
      </c>
    </row>
    <row r="16061" spans="1:16" x14ac:dyDescent="0.25">
      <c r="A16061" t="s">
        <v>38698</v>
      </c>
      <c r="B16061" t="s">
        <v>10815</v>
      </c>
      <c r="C16061" t="s">
        <v>10816</v>
      </c>
      <c r="D16061" t="str">
        <f>"6000"</f>
        <v>6000</v>
      </c>
      <c r="E16061" t="s">
        <v>390</v>
      </c>
      <c r="F16061" t="s">
        <v>0</v>
      </c>
      <c r="G16061" t="s">
        <v>47092</v>
      </c>
      <c r="H16061" t="s">
        <v>47126</v>
      </c>
      <c r="I16061" t="s">
        <v>47127</v>
      </c>
      <c r="J16061" t="s">
        <v>47128</v>
      </c>
      <c r="K16061" t="s">
        <v>47113</v>
      </c>
      <c r="L16061">
        <v>10.74</v>
      </c>
      <c r="M16061">
        <v>22</v>
      </c>
      <c r="N16061">
        <v>0</v>
      </c>
      <c r="O16061">
        <v>22</v>
      </c>
      <c r="P16061">
        <v>0</v>
      </c>
    </row>
    <row r="16062" spans="1:16" x14ac:dyDescent="0.25">
      <c r="A16062" t="s">
        <v>38699</v>
      </c>
      <c r="B16062" t="s">
        <v>10817</v>
      </c>
      <c r="C16062" t="s">
        <v>10818</v>
      </c>
      <c r="D16062" t="s">
        <v>502</v>
      </c>
      <c r="E16062" t="s">
        <v>503</v>
      </c>
      <c r="F16062" t="s">
        <v>0</v>
      </c>
      <c r="G16062" t="s">
        <v>47091</v>
      </c>
      <c r="H16062" t="s">
        <v>47153</v>
      </c>
      <c r="I16062" t="s">
        <v>47132</v>
      </c>
      <c r="J16062" t="s">
        <v>47133</v>
      </c>
      <c r="K16062" t="s">
        <v>47113</v>
      </c>
      <c r="L16062">
        <v>22.49</v>
      </c>
      <c r="M16062">
        <v>30</v>
      </c>
      <c r="N16062">
        <v>0</v>
      </c>
      <c r="O16062">
        <v>30</v>
      </c>
      <c r="P16062">
        <v>0</v>
      </c>
    </row>
    <row r="16063" spans="1:16" x14ac:dyDescent="0.25">
      <c r="A16063" t="s">
        <v>38700</v>
      </c>
      <c r="B16063" t="s">
        <v>10817</v>
      </c>
      <c r="C16063" t="s">
        <v>10818</v>
      </c>
      <c r="D16063" t="s">
        <v>10819</v>
      </c>
      <c r="E16063" t="s">
        <v>10820</v>
      </c>
      <c r="F16063" t="s">
        <v>0</v>
      </c>
      <c r="G16063" t="s">
        <v>47091</v>
      </c>
      <c r="H16063" t="s">
        <v>47153</v>
      </c>
      <c r="I16063" t="s">
        <v>47132</v>
      </c>
      <c r="J16063" t="s">
        <v>47133</v>
      </c>
      <c r="K16063" t="s">
        <v>47113</v>
      </c>
      <c r="L16063">
        <v>22.49</v>
      </c>
      <c r="M16063">
        <v>30</v>
      </c>
      <c r="N16063">
        <v>0</v>
      </c>
      <c r="O16063">
        <v>30</v>
      </c>
      <c r="P16063">
        <v>0</v>
      </c>
    </row>
    <row r="16064" spans="1:16" x14ac:dyDescent="0.25">
      <c r="A16064" t="s">
        <v>38701</v>
      </c>
      <c r="B16064" t="s">
        <v>10817</v>
      </c>
      <c r="C16064" t="s">
        <v>10818</v>
      </c>
      <c r="D16064" t="s">
        <v>10821</v>
      </c>
      <c r="E16064" t="s">
        <v>10822</v>
      </c>
      <c r="F16064" t="s">
        <v>0</v>
      </c>
      <c r="G16064" t="s">
        <v>47091</v>
      </c>
      <c r="H16064" t="s">
        <v>47153</v>
      </c>
      <c r="I16064" t="s">
        <v>47132</v>
      </c>
      <c r="J16064" t="s">
        <v>47133</v>
      </c>
      <c r="K16064" t="s">
        <v>47113</v>
      </c>
      <c r="L16064">
        <v>22.49</v>
      </c>
      <c r="M16064">
        <v>30</v>
      </c>
      <c r="N16064">
        <v>0</v>
      </c>
      <c r="O16064">
        <v>30</v>
      </c>
      <c r="P16064">
        <v>0</v>
      </c>
    </row>
    <row r="16065" spans="1:16" x14ac:dyDescent="0.25">
      <c r="A16065" t="s">
        <v>38702</v>
      </c>
      <c r="B16065" t="s">
        <v>10823</v>
      </c>
      <c r="C16065" t="s">
        <v>10816</v>
      </c>
      <c r="D16065" t="str">
        <f>"1001"</f>
        <v>1001</v>
      </c>
      <c r="E16065" t="s">
        <v>4318</v>
      </c>
      <c r="F16065" t="s">
        <v>0</v>
      </c>
      <c r="G16065" t="s">
        <v>47092</v>
      </c>
      <c r="H16065" t="s">
        <v>47126</v>
      </c>
      <c r="I16065" t="s">
        <v>47127</v>
      </c>
      <c r="J16065" t="s">
        <v>47128</v>
      </c>
      <c r="K16065" t="s">
        <v>47113</v>
      </c>
      <c r="L16065">
        <v>10.74</v>
      </c>
      <c r="M16065">
        <v>22</v>
      </c>
      <c r="N16065">
        <v>0</v>
      </c>
      <c r="O16065">
        <v>22</v>
      </c>
      <c r="P16065">
        <v>0</v>
      </c>
    </row>
    <row r="16066" spans="1:16" x14ac:dyDescent="0.25">
      <c r="A16066" t="s">
        <v>38703</v>
      </c>
      <c r="B16066" t="s">
        <v>10823</v>
      </c>
      <c r="C16066" t="s">
        <v>10816</v>
      </c>
      <c r="D16066" t="str">
        <f>"1377"</f>
        <v>1377</v>
      </c>
      <c r="E16066" t="s">
        <v>74</v>
      </c>
      <c r="F16066" t="s">
        <v>0</v>
      </c>
      <c r="G16066" t="s">
        <v>47092</v>
      </c>
      <c r="H16066" t="s">
        <v>47126</v>
      </c>
      <c r="I16066" t="s">
        <v>47127</v>
      </c>
      <c r="J16066" t="s">
        <v>47128</v>
      </c>
      <c r="K16066" t="s">
        <v>47113</v>
      </c>
      <c r="L16066">
        <v>10.74</v>
      </c>
      <c r="M16066">
        <v>22</v>
      </c>
      <c r="N16066">
        <v>0</v>
      </c>
      <c r="O16066">
        <v>22</v>
      </c>
      <c r="P16066">
        <v>0</v>
      </c>
    </row>
    <row r="16067" spans="1:16" x14ac:dyDescent="0.25">
      <c r="A16067" t="s">
        <v>38704</v>
      </c>
      <c r="B16067" t="s">
        <v>10823</v>
      </c>
      <c r="C16067" t="s">
        <v>10816</v>
      </c>
      <c r="D16067" t="str">
        <f>"1378"</f>
        <v>1378</v>
      </c>
      <c r="E16067" t="s">
        <v>388</v>
      </c>
      <c r="F16067" t="s">
        <v>0</v>
      </c>
      <c r="G16067" t="s">
        <v>47092</v>
      </c>
      <c r="H16067" t="s">
        <v>47126</v>
      </c>
      <c r="I16067" t="s">
        <v>47127</v>
      </c>
      <c r="J16067" t="s">
        <v>47128</v>
      </c>
      <c r="K16067" t="s">
        <v>47113</v>
      </c>
      <c r="L16067">
        <v>10.74</v>
      </c>
      <c r="M16067">
        <v>22</v>
      </c>
      <c r="N16067">
        <v>0</v>
      </c>
      <c r="O16067">
        <v>22</v>
      </c>
      <c r="P16067">
        <v>0</v>
      </c>
    </row>
    <row r="16068" spans="1:16" x14ac:dyDescent="0.25">
      <c r="A16068" t="s">
        <v>38705</v>
      </c>
      <c r="B16068" t="s">
        <v>10823</v>
      </c>
      <c r="C16068" t="s">
        <v>10816</v>
      </c>
      <c r="D16068" t="str">
        <f>"1700"</f>
        <v>1700</v>
      </c>
      <c r="E16068" t="s">
        <v>60</v>
      </c>
      <c r="F16068" t="s">
        <v>0</v>
      </c>
      <c r="G16068" t="s">
        <v>47092</v>
      </c>
      <c r="H16068" t="s">
        <v>47126</v>
      </c>
      <c r="I16068" t="s">
        <v>47127</v>
      </c>
      <c r="J16068" t="s">
        <v>47128</v>
      </c>
      <c r="K16068" t="s">
        <v>47113</v>
      </c>
      <c r="L16068">
        <v>10.74</v>
      </c>
      <c r="M16068">
        <v>22</v>
      </c>
      <c r="N16068">
        <v>0</v>
      </c>
      <c r="O16068">
        <v>22</v>
      </c>
      <c r="P16068">
        <v>0</v>
      </c>
    </row>
    <row r="16069" spans="1:16" x14ac:dyDescent="0.25">
      <c r="A16069" t="s">
        <v>38706</v>
      </c>
      <c r="B16069" t="s">
        <v>10823</v>
      </c>
      <c r="C16069" t="s">
        <v>10816</v>
      </c>
      <c r="D16069" t="str">
        <f>"3000"</f>
        <v>3000</v>
      </c>
      <c r="E16069" t="s">
        <v>4319</v>
      </c>
      <c r="F16069" t="s">
        <v>0</v>
      </c>
      <c r="G16069" t="s">
        <v>47092</v>
      </c>
      <c r="H16069" t="s">
        <v>47126</v>
      </c>
      <c r="I16069" t="s">
        <v>47127</v>
      </c>
      <c r="J16069" t="s">
        <v>47128</v>
      </c>
      <c r="K16069" t="s">
        <v>47113</v>
      </c>
      <c r="L16069">
        <v>10.74</v>
      </c>
      <c r="M16069">
        <v>22</v>
      </c>
      <c r="N16069">
        <v>0</v>
      </c>
      <c r="O16069">
        <v>22</v>
      </c>
      <c r="P16069">
        <v>0</v>
      </c>
    </row>
    <row r="16070" spans="1:16" x14ac:dyDescent="0.25">
      <c r="A16070" t="s">
        <v>38707</v>
      </c>
      <c r="B16070" t="s">
        <v>10823</v>
      </c>
      <c r="C16070" t="s">
        <v>10816</v>
      </c>
      <c r="D16070" t="str">
        <f>"4000"</f>
        <v>4000</v>
      </c>
      <c r="E16070" t="s">
        <v>2222</v>
      </c>
      <c r="F16070" t="s">
        <v>0</v>
      </c>
      <c r="G16070" t="s">
        <v>47092</v>
      </c>
      <c r="H16070" t="s">
        <v>47126</v>
      </c>
      <c r="I16070" t="s">
        <v>47127</v>
      </c>
      <c r="J16070" t="s">
        <v>47128</v>
      </c>
      <c r="K16070" t="s">
        <v>47113</v>
      </c>
      <c r="L16070">
        <v>10.74</v>
      </c>
      <c r="M16070">
        <v>22</v>
      </c>
      <c r="N16070">
        <v>0</v>
      </c>
      <c r="O16070">
        <v>22</v>
      </c>
      <c r="P16070">
        <v>0</v>
      </c>
    </row>
    <row r="16071" spans="1:16" x14ac:dyDescent="0.25">
      <c r="A16071" t="s">
        <v>38708</v>
      </c>
      <c r="B16071" t="s">
        <v>10823</v>
      </c>
      <c r="C16071" t="s">
        <v>10816</v>
      </c>
      <c r="D16071" t="str">
        <f>"4643"</f>
        <v>4643</v>
      </c>
      <c r="E16071" t="s">
        <v>205</v>
      </c>
      <c r="F16071" t="s">
        <v>0</v>
      </c>
      <c r="G16071" t="s">
        <v>47092</v>
      </c>
      <c r="H16071" t="s">
        <v>47126</v>
      </c>
      <c r="I16071" t="s">
        <v>47127</v>
      </c>
      <c r="J16071" t="s">
        <v>47128</v>
      </c>
      <c r="K16071" t="s">
        <v>47113</v>
      </c>
      <c r="L16071">
        <v>10.74</v>
      </c>
      <c r="M16071">
        <v>22</v>
      </c>
      <c r="N16071">
        <v>0</v>
      </c>
      <c r="O16071">
        <v>22</v>
      </c>
      <c r="P16071">
        <v>0</v>
      </c>
    </row>
    <row r="16072" spans="1:16" x14ac:dyDescent="0.25">
      <c r="A16072" t="s">
        <v>38709</v>
      </c>
      <c r="B16072" t="s">
        <v>10823</v>
      </c>
      <c r="C16072" t="s">
        <v>10816</v>
      </c>
      <c r="D16072" t="str">
        <f>"4729"</f>
        <v>4729</v>
      </c>
      <c r="E16072" t="s">
        <v>2222</v>
      </c>
      <c r="F16072" t="s">
        <v>0</v>
      </c>
      <c r="G16072" t="s">
        <v>47092</v>
      </c>
      <c r="H16072" t="s">
        <v>47126</v>
      </c>
      <c r="I16072" t="s">
        <v>47127</v>
      </c>
      <c r="J16072" t="s">
        <v>47128</v>
      </c>
      <c r="K16072" t="s">
        <v>47113</v>
      </c>
      <c r="L16072">
        <v>10.74</v>
      </c>
      <c r="M16072">
        <v>22</v>
      </c>
      <c r="N16072">
        <v>0</v>
      </c>
      <c r="O16072">
        <v>22</v>
      </c>
      <c r="P16072">
        <v>0</v>
      </c>
    </row>
    <row r="16073" spans="1:16" x14ac:dyDescent="0.25">
      <c r="A16073" t="s">
        <v>38710</v>
      </c>
      <c r="B16073" t="s">
        <v>10823</v>
      </c>
      <c r="C16073" t="s">
        <v>10816</v>
      </c>
      <c r="D16073" t="str">
        <f>"6000"</f>
        <v>6000</v>
      </c>
      <c r="E16073" t="s">
        <v>390</v>
      </c>
      <c r="F16073" t="s">
        <v>0</v>
      </c>
      <c r="G16073" t="s">
        <v>47092</v>
      </c>
      <c r="H16073" t="s">
        <v>47126</v>
      </c>
      <c r="I16073" t="s">
        <v>47127</v>
      </c>
      <c r="J16073" t="s">
        <v>47128</v>
      </c>
      <c r="K16073" t="s">
        <v>47113</v>
      </c>
      <c r="L16073">
        <v>10.74</v>
      </c>
      <c r="M16073">
        <v>22</v>
      </c>
      <c r="N16073">
        <v>0</v>
      </c>
      <c r="O16073">
        <v>22</v>
      </c>
      <c r="P16073">
        <v>0</v>
      </c>
    </row>
    <row r="16074" spans="1:16" x14ac:dyDescent="0.25">
      <c r="A16074" t="s">
        <v>38711</v>
      </c>
      <c r="B16074" t="s">
        <v>10824</v>
      </c>
      <c r="C16074" t="s">
        <v>10825</v>
      </c>
      <c r="D16074" t="s">
        <v>502</v>
      </c>
      <c r="E16074" t="s">
        <v>503</v>
      </c>
      <c r="F16074" t="s">
        <v>0</v>
      </c>
      <c r="G16074" t="s">
        <v>47091</v>
      </c>
      <c r="H16074" t="s">
        <v>47153</v>
      </c>
      <c r="I16074" t="s">
        <v>47132</v>
      </c>
      <c r="J16074" t="s">
        <v>47133</v>
      </c>
      <c r="K16074" t="s">
        <v>47113</v>
      </c>
      <c r="L16074">
        <v>22.49</v>
      </c>
      <c r="M16074">
        <v>30</v>
      </c>
      <c r="N16074">
        <v>0</v>
      </c>
      <c r="O16074">
        <v>30</v>
      </c>
      <c r="P16074">
        <v>0</v>
      </c>
    </row>
    <row r="16075" spans="1:16" x14ac:dyDescent="0.25">
      <c r="A16075" t="s">
        <v>38712</v>
      </c>
      <c r="B16075" t="s">
        <v>10824</v>
      </c>
      <c r="C16075" t="s">
        <v>10825</v>
      </c>
      <c r="D16075" t="s">
        <v>10819</v>
      </c>
      <c r="E16075" t="s">
        <v>10820</v>
      </c>
      <c r="F16075" t="s">
        <v>0</v>
      </c>
      <c r="G16075" t="s">
        <v>47091</v>
      </c>
      <c r="H16075" t="s">
        <v>47153</v>
      </c>
      <c r="I16075" t="s">
        <v>47132</v>
      </c>
      <c r="J16075" t="s">
        <v>47133</v>
      </c>
      <c r="K16075" t="s">
        <v>47113</v>
      </c>
      <c r="L16075">
        <v>22.49</v>
      </c>
      <c r="M16075">
        <v>30</v>
      </c>
      <c r="N16075">
        <v>0</v>
      </c>
      <c r="O16075">
        <v>30</v>
      </c>
      <c r="P16075">
        <v>0</v>
      </c>
    </row>
    <row r="16076" spans="1:16" x14ac:dyDescent="0.25">
      <c r="A16076" t="s">
        <v>38713</v>
      </c>
      <c r="B16076" t="s">
        <v>10824</v>
      </c>
      <c r="C16076" t="s">
        <v>10825</v>
      </c>
      <c r="D16076" t="s">
        <v>10821</v>
      </c>
      <c r="E16076" t="s">
        <v>10822</v>
      </c>
      <c r="F16076" t="s">
        <v>0</v>
      </c>
      <c r="G16076" t="s">
        <v>47091</v>
      </c>
      <c r="H16076" t="s">
        <v>47153</v>
      </c>
      <c r="I16076" t="s">
        <v>47132</v>
      </c>
      <c r="J16076" t="s">
        <v>47133</v>
      </c>
      <c r="K16076" t="s">
        <v>47113</v>
      </c>
      <c r="L16076">
        <v>22.49</v>
      </c>
      <c r="M16076">
        <v>30</v>
      </c>
      <c r="N16076">
        <v>0</v>
      </c>
      <c r="O16076">
        <v>30</v>
      </c>
      <c r="P16076">
        <v>0</v>
      </c>
    </row>
    <row r="16077" spans="1:16" x14ac:dyDescent="0.25">
      <c r="A16077" t="s">
        <v>38714</v>
      </c>
      <c r="B16077" t="s">
        <v>10826</v>
      </c>
      <c r="C16077" t="s">
        <v>10734</v>
      </c>
      <c r="D16077" t="str">
        <f>"1377"</f>
        <v>1377</v>
      </c>
      <c r="E16077" t="s">
        <v>74</v>
      </c>
      <c r="F16077" t="s">
        <v>0</v>
      </c>
      <c r="G16077" t="s">
        <v>47091</v>
      </c>
      <c r="H16077" t="s">
        <v>47126</v>
      </c>
      <c r="I16077" t="s">
        <v>47127</v>
      </c>
      <c r="J16077" t="s">
        <v>47128</v>
      </c>
      <c r="K16077" t="s">
        <v>47113</v>
      </c>
      <c r="L16077">
        <v>12.3</v>
      </c>
      <c r="M16077">
        <v>26</v>
      </c>
      <c r="N16077">
        <v>0</v>
      </c>
      <c r="O16077">
        <v>26</v>
      </c>
      <c r="P16077">
        <v>0</v>
      </c>
    </row>
    <row r="16078" spans="1:16" x14ac:dyDescent="0.25">
      <c r="A16078" t="s">
        <v>38715</v>
      </c>
      <c r="B16078" t="s">
        <v>10826</v>
      </c>
      <c r="C16078" t="s">
        <v>10734</v>
      </c>
      <c r="D16078" t="str">
        <f>"1378"</f>
        <v>1378</v>
      </c>
      <c r="E16078" t="s">
        <v>388</v>
      </c>
      <c r="F16078" t="s">
        <v>0</v>
      </c>
      <c r="G16078" t="s">
        <v>47091</v>
      </c>
      <c r="H16078" t="s">
        <v>47126</v>
      </c>
      <c r="I16078" t="s">
        <v>47127</v>
      </c>
      <c r="J16078" t="s">
        <v>47128</v>
      </c>
      <c r="K16078" t="s">
        <v>47113</v>
      </c>
      <c r="L16078">
        <v>12.3</v>
      </c>
      <c r="M16078">
        <v>26</v>
      </c>
      <c r="N16078">
        <v>0</v>
      </c>
      <c r="O16078">
        <v>26</v>
      </c>
      <c r="P16078">
        <v>0</v>
      </c>
    </row>
    <row r="16079" spans="1:16" x14ac:dyDescent="0.25">
      <c r="A16079" t="s">
        <v>38716</v>
      </c>
      <c r="B16079" t="s">
        <v>10826</v>
      </c>
      <c r="C16079" t="s">
        <v>10734</v>
      </c>
      <c r="D16079" t="str">
        <f>"1700"</f>
        <v>1700</v>
      </c>
      <c r="E16079" t="s">
        <v>60</v>
      </c>
      <c r="F16079" t="s">
        <v>0</v>
      </c>
      <c r="G16079" t="s">
        <v>47091</v>
      </c>
      <c r="H16079" t="s">
        <v>47126</v>
      </c>
      <c r="I16079" t="s">
        <v>47127</v>
      </c>
      <c r="J16079" t="s">
        <v>47128</v>
      </c>
      <c r="K16079" t="s">
        <v>47113</v>
      </c>
      <c r="L16079">
        <v>12.3</v>
      </c>
      <c r="M16079">
        <v>26</v>
      </c>
      <c r="N16079">
        <v>0</v>
      </c>
      <c r="O16079">
        <v>26</v>
      </c>
      <c r="P16079">
        <v>0</v>
      </c>
    </row>
    <row r="16080" spans="1:16" x14ac:dyDescent="0.25">
      <c r="A16080" t="s">
        <v>38717</v>
      </c>
      <c r="B16080" t="s">
        <v>10826</v>
      </c>
      <c r="C16080" t="s">
        <v>10734</v>
      </c>
      <c r="D16080" t="str">
        <f>"4000"</f>
        <v>4000</v>
      </c>
      <c r="E16080" t="s">
        <v>2222</v>
      </c>
      <c r="F16080" t="s">
        <v>0</v>
      </c>
      <c r="G16080" t="s">
        <v>47091</v>
      </c>
      <c r="H16080" t="s">
        <v>47126</v>
      </c>
      <c r="I16080" t="s">
        <v>47127</v>
      </c>
      <c r="J16080" t="s">
        <v>47128</v>
      </c>
      <c r="K16080" t="s">
        <v>47113</v>
      </c>
      <c r="L16080">
        <v>12.3</v>
      </c>
      <c r="M16080">
        <v>26</v>
      </c>
      <c r="N16080">
        <v>0</v>
      </c>
      <c r="O16080">
        <v>26</v>
      </c>
      <c r="P16080">
        <v>0</v>
      </c>
    </row>
    <row r="16081" spans="1:16" x14ac:dyDescent="0.25">
      <c r="A16081" t="s">
        <v>38718</v>
      </c>
      <c r="B16081" t="s">
        <v>10826</v>
      </c>
      <c r="C16081" t="s">
        <v>10734</v>
      </c>
      <c r="D16081" t="str">
        <f>"4643"</f>
        <v>4643</v>
      </c>
      <c r="E16081" t="s">
        <v>205</v>
      </c>
      <c r="F16081" t="s">
        <v>0</v>
      </c>
      <c r="G16081" t="s">
        <v>47091</v>
      </c>
      <c r="H16081" t="s">
        <v>47126</v>
      </c>
      <c r="I16081" t="s">
        <v>47127</v>
      </c>
      <c r="J16081" t="s">
        <v>47128</v>
      </c>
      <c r="K16081" t="s">
        <v>47113</v>
      </c>
      <c r="L16081">
        <v>12.3</v>
      </c>
      <c r="M16081">
        <v>26</v>
      </c>
      <c r="N16081">
        <v>0</v>
      </c>
      <c r="O16081">
        <v>26</v>
      </c>
      <c r="P16081">
        <v>0</v>
      </c>
    </row>
    <row r="16082" spans="1:16" x14ac:dyDescent="0.25">
      <c r="A16082" t="s">
        <v>38719</v>
      </c>
      <c r="B16082" t="s">
        <v>10826</v>
      </c>
      <c r="C16082" t="s">
        <v>10734</v>
      </c>
      <c r="D16082" t="str">
        <f>"6000"</f>
        <v>6000</v>
      </c>
      <c r="E16082" t="s">
        <v>390</v>
      </c>
      <c r="F16082" t="s">
        <v>0</v>
      </c>
      <c r="G16082" t="s">
        <v>47091</v>
      </c>
      <c r="H16082" t="s">
        <v>47126</v>
      </c>
      <c r="I16082" t="s">
        <v>47127</v>
      </c>
      <c r="J16082" t="s">
        <v>47128</v>
      </c>
      <c r="K16082" t="s">
        <v>47113</v>
      </c>
      <c r="L16082">
        <v>12.3</v>
      </c>
      <c r="M16082">
        <v>26</v>
      </c>
      <c r="N16082">
        <v>0</v>
      </c>
      <c r="O16082">
        <v>26</v>
      </c>
      <c r="P16082">
        <v>0</v>
      </c>
    </row>
    <row r="16083" spans="1:16" x14ac:dyDescent="0.25">
      <c r="A16083" t="s">
        <v>38720</v>
      </c>
      <c r="B16083" t="s">
        <v>10827</v>
      </c>
      <c r="C16083" t="s">
        <v>10828</v>
      </c>
      <c r="D16083" t="str">
        <f>"1001"</f>
        <v>1001</v>
      </c>
      <c r="E16083" t="s">
        <v>4318</v>
      </c>
      <c r="F16083" t="s">
        <v>0</v>
      </c>
      <c r="G16083" t="s">
        <v>47091</v>
      </c>
      <c r="H16083" t="s">
        <v>47126</v>
      </c>
      <c r="I16083" t="s">
        <v>47127</v>
      </c>
      <c r="J16083" t="s">
        <v>47128</v>
      </c>
      <c r="K16083" t="s">
        <v>47113</v>
      </c>
      <c r="L16083">
        <v>15.57</v>
      </c>
      <c r="M16083">
        <v>33</v>
      </c>
      <c r="N16083">
        <v>0</v>
      </c>
      <c r="O16083">
        <v>33</v>
      </c>
      <c r="P16083">
        <v>0</v>
      </c>
    </row>
    <row r="16084" spans="1:16" x14ac:dyDescent="0.25">
      <c r="A16084" t="s">
        <v>38721</v>
      </c>
      <c r="B16084" t="s">
        <v>10827</v>
      </c>
      <c r="C16084" t="s">
        <v>10828</v>
      </c>
      <c r="D16084" t="str">
        <f>"1377"</f>
        <v>1377</v>
      </c>
      <c r="E16084" t="s">
        <v>74</v>
      </c>
      <c r="F16084" t="s">
        <v>0</v>
      </c>
      <c r="G16084" t="s">
        <v>47091</v>
      </c>
      <c r="H16084" t="s">
        <v>47126</v>
      </c>
      <c r="I16084" t="s">
        <v>47127</v>
      </c>
      <c r="J16084" t="s">
        <v>47128</v>
      </c>
      <c r="K16084" t="s">
        <v>47113</v>
      </c>
      <c r="L16084">
        <v>15.57</v>
      </c>
      <c r="M16084">
        <v>33</v>
      </c>
      <c r="N16084">
        <v>0</v>
      </c>
      <c r="O16084">
        <v>33</v>
      </c>
      <c r="P16084">
        <v>0</v>
      </c>
    </row>
    <row r="16085" spans="1:16" x14ac:dyDescent="0.25">
      <c r="A16085" t="s">
        <v>38722</v>
      </c>
      <c r="B16085" t="s">
        <v>10827</v>
      </c>
      <c r="C16085" t="s">
        <v>10828</v>
      </c>
      <c r="D16085" t="str">
        <f>"1378"</f>
        <v>1378</v>
      </c>
      <c r="E16085" t="s">
        <v>388</v>
      </c>
      <c r="F16085" t="s">
        <v>0</v>
      </c>
      <c r="G16085" t="s">
        <v>47091</v>
      </c>
      <c r="H16085" t="s">
        <v>47126</v>
      </c>
      <c r="I16085" t="s">
        <v>47127</v>
      </c>
      <c r="J16085" t="s">
        <v>47128</v>
      </c>
      <c r="K16085" t="s">
        <v>47113</v>
      </c>
      <c r="L16085">
        <v>15.57</v>
      </c>
      <c r="M16085">
        <v>33</v>
      </c>
      <c r="N16085">
        <v>0</v>
      </c>
      <c r="O16085">
        <v>33</v>
      </c>
      <c r="P16085">
        <v>0</v>
      </c>
    </row>
    <row r="16086" spans="1:16" x14ac:dyDescent="0.25">
      <c r="A16086" t="s">
        <v>38723</v>
      </c>
      <c r="B16086" t="s">
        <v>10827</v>
      </c>
      <c r="C16086" t="s">
        <v>10828</v>
      </c>
      <c r="D16086" t="str">
        <f>"1700"</f>
        <v>1700</v>
      </c>
      <c r="E16086" t="s">
        <v>60</v>
      </c>
      <c r="F16086" t="s">
        <v>0</v>
      </c>
      <c r="G16086" t="s">
        <v>47091</v>
      </c>
      <c r="H16086" t="s">
        <v>47126</v>
      </c>
      <c r="I16086" t="s">
        <v>47127</v>
      </c>
      <c r="J16086" t="s">
        <v>47128</v>
      </c>
      <c r="K16086" t="s">
        <v>47113</v>
      </c>
      <c r="L16086">
        <v>15.57</v>
      </c>
      <c r="M16086">
        <v>33</v>
      </c>
      <c r="N16086">
        <v>0</v>
      </c>
      <c r="O16086">
        <v>33</v>
      </c>
      <c r="P16086">
        <v>0</v>
      </c>
    </row>
    <row r="16087" spans="1:16" x14ac:dyDescent="0.25">
      <c r="A16087" t="s">
        <v>38724</v>
      </c>
      <c r="B16087" t="s">
        <v>10827</v>
      </c>
      <c r="C16087" t="s">
        <v>10828</v>
      </c>
      <c r="D16087" t="str">
        <f>"3000"</f>
        <v>3000</v>
      </c>
      <c r="E16087" t="s">
        <v>4319</v>
      </c>
      <c r="F16087" t="s">
        <v>0</v>
      </c>
      <c r="G16087" t="s">
        <v>47091</v>
      </c>
      <c r="H16087" t="s">
        <v>47126</v>
      </c>
      <c r="I16087" t="s">
        <v>47127</v>
      </c>
      <c r="J16087" t="s">
        <v>47128</v>
      </c>
      <c r="K16087" t="s">
        <v>47113</v>
      </c>
      <c r="L16087">
        <v>15.57</v>
      </c>
      <c r="M16087">
        <v>33</v>
      </c>
      <c r="N16087">
        <v>0</v>
      </c>
      <c r="O16087">
        <v>33</v>
      </c>
      <c r="P16087">
        <v>0</v>
      </c>
    </row>
    <row r="16088" spans="1:16" x14ac:dyDescent="0.25">
      <c r="A16088" t="s">
        <v>38725</v>
      </c>
      <c r="B16088" t="s">
        <v>10827</v>
      </c>
      <c r="C16088" t="s">
        <v>10828</v>
      </c>
      <c r="D16088" t="str">
        <f>"4000"</f>
        <v>4000</v>
      </c>
      <c r="E16088" t="s">
        <v>2222</v>
      </c>
      <c r="F16088" t="s">
        <v>0</v>
      </c>
      <c r="G16088" t="s">
        <v>47091</v>
      </c>
      <c r="H16088" t="s">
        <v>47126</v>
      </c>
      <c r="I16088" t="s">
        <v>47127</v>
      </c>
      <c r="J16088" t="s">
        <v>47128</v>
      </c>
      <c r="K16088" t="s">
        <v>47113</v>
      </c>
      <c r="L16088">
        <v>15.57</v>
      </c>
      <c r="M16088">
        <v>33</v>
      </c>
      <c r="N16088">
        <v>0</v>
      </c>
      <c r="O16088">
        <v>33</v>
      </c>
      <c r="P16088">
        <v>0</v>
      </c>
    </row>
    <row r="16089" spans="1:16" x14ac:dyDescent="0.25">
      <c r="A16089" t="s">
        <v>38726</v>
      </c>
      <c r="B16089" t="s">
        <v>10827</v>
      </c>
      <c r="C16089" t="s">
        <v>10828</v>
      </c>
      <c r="D16089" t="str">
        <f>"4730"</f>
        <v>4730</v>
      </c>
      <c r="E16089" t="s">
        <v>461</v>
      </c>
      <c r="F16089" t="s">
        <v>0</v>
      </c>
      <c r="G16089" t="s">
        <v>47091</v>
      </c>
      <c r="H16089" t="s">
        <v>47126</v>
      </c>
      <c r="I16089" t="s">
        <v>47127</v>
      </c>
      <c r="J16089" t="s">
        <v>47128</v>
      </c>
      <c r="K16089" t="s">
        <v>47113</v>
      </c>
      <c r="L16089">
        <v>15.57</v>
      </c>
      <c r="M16089">
        <v>33</v>
      </c>
      <c r="N16089">
        <v>0</v>
      </c>
      <c r="O16089">
        <v>33</v>
      </c>
      <c r="P16089">
        <v>0</v>
      </c>
    </row>
    <row r="16090" spans="1:16" x14ac:dyDescent="0.25">
      <c r="A16090" t="s">
        <v>38727</v>
      </c>
      <c r="B16090" t="s">
        <v>10827</v>
      </c>
      <c r="C16090" t="s">
        <v>10828</v>
      </c>
      <c r="D16090" t="str">
        <f>"6000"</f>
        <v>6000</v>
      </c>
      <c r="E16090" t="s">
        <v>390</v>
      </c>
      <c r="F16090" t="s">
        <v>0</v>
      </c>
      <c r="G16090" t="s">
        <v>47091</v>
      </c>
      <c r="H16090" t="s">
        <v>47126</v>
      </c>
      <c r="I16090" t="s">
        <v>47127</v>
      </c>
      <c r="J16090" t="s">
        <v>47128</v>
      </c>
      <c r="K16090" t="s">
        <v>47113</v>
      </c>
      <c r="L16090">
        <v>15.57</v>
      </c>
      <c r="M16090">
        <v>33</v>
      </c>
      <c r="N16090">
        <v>0</v>
      </c>
      <c r="O16090">
        <v>33</v>
      </c>
      <c r="P16090">
        <v>0</v>
      </c>
    </row>
    <row r="16091" spans="1:16" x14ac:dyDescent="0.25">
      <c r="A16091" t="s">
        <v>38728</v>
      </c>
      <c r="B16091" t="s">
        <v>10829</v>
      </c>
      <c r="C16091" t="s">
        <v>10830</v>
      </c>
      <c r="D16091" t="str">
        <f>"1377"</f>
        <v>1377</v>
      </c>
      <c r="E16091" t="s">
        <v>74</v>
      </c>
      <c r="F16091" t="s">
        <v>0</v>
      </c>
      <c r="G16091" t="s">
        <v>47091</v>
      </c>
      <c r="H16091" t="s">
        <v>47126</v>
      </c>
      <c r="I16091" t="s">
        <v>47127</v>
      </c>
      <c r="J16091" t="s">
        <v>47128</v>
      </c>
      <c r="K16091" t="s">
        <v>47113</v>
      </c>
      <c r="L16091">
        <v>14.72</v>
      </c>
      <c r="M16091">
        <v>30</v>
      </c>
      <c r="N16091">
        <v>0</v>
      </c>
      <c r="O16091">
        <v>30</v>
      </c>
      <c r="P16091">
        <v>0</v>
      </c>
    </row>
    <row r="16092" spans="1:16" x14ac:dyDescent="0.25">
      <c r="A16092" t="s">
        <v>38729</v>
      </c>
      <c r="B16092" t="s">
        <v>10829</v>
      </c>
      <c r="C16092" t="s">
        <v>10830</v>
      </c>
      <c r="D16092" t="str">
        <f>"1378"</f>
        <v>1378</v>
      </c>
      <c r="E16092" t="s">
        <v>388</v>
      </c>
      <c r="F16092" t="s">
        <v>0</v>
      </c>
      <c r="G16092" t="s">
        <v>47091</v>
      </c>
      <c r="H16092" t="s">
        <v>47126</v>
      </c>
      <c r="I16092" t="s">
        <v>47127</v>
      </c>
      <c r="J16092" t="s">
        <v>47128</v>
      </c>
      <c r="K16092" t="s">
        <v>47113</v>
      </c>
      <c r="L16092">
        <v>14.72</v>
      </c>
      <c r="M16092">
        <v>30</v>
      </c>
      <c r="N16092">
        <v>0</v>
      </c>
      <c r="O16092">
        <v>30</v>
      </c>
      <c r="P16092">
        <v>0</v>
      </c>
    </row>
    <row r="16093" spans="1:16" x14ac:dyDescent="0.25">
      <c r="A16093" t="s">
        <v>38730</v>
      </c>
      <c r="B16093" t="s">
        <v>10829</v>
      </c>
      <c r="C16093" t="s">
        <v>10830</v>
      </c>
      <c r="D16093" t="str">
        <f>"3000"</f>
        <v>3000</v>
      </c>
      <c r="E16093" t="s">
        <v>4319</v>
      </c>
      <c r="F16093" t="s">
        <v>0</v>
      </c>
      <c r="G16093" t="s">
        <v>47091</v>
      </c>
      <c r="H16093" t="s">
        <v>47126</v>
      </c>
      <c r="I16093" t="s">
        <v>47127</v>
      </c>
      <c r="J16093" t="s">
        <v>47128</v>
      </c>
      <c r="K16093" t="s">
        <v>47113</v>
      </c>
      <c r="L16093">
        <v>14.72</v>
      </c>
      <c r="M16093">
        <v>30</v>
      </c>
      <c r="N16093">
        <v>0</v>
      </c>
      <c r="O16093">
        <v>30</v>
      </c>
      <c r="P16093">
        <v>0</v>
      </c>
    </row>
    <row r="16094" spans="1:16" x14ac:dyDescent="0.25">
      <c r="A16094" t="s">
        <v>38731</v>
      </c>
      <c r="B16094" t="s">
        <v>10829</v>
      </c>
      <c r="C16094" t="s">
        <v>10830</v>
      </c>
      <c r="D16094" t="str">
        <f>"4000"</f>
        <v>4000</v>
      </c>
      <c r="E16094" t="s">
        <v>461</v>
      </c>
      <c r="F16094" t="s">
        <v>0</v>
      </c>
      <c r="G16094" t="s">
        <v>47091</v>
      </c>
      <c r="H16094" t="s">
        <v>47126</v>
      </c>
      <c r="I16094" t="s">
        <v>47127</v>
      </c>
      <c r="J16094" t="s">
        <v>47128</v>
      </c>
      <c r="K16094" t="s">
        <v>47113</v>
      </c>
      <c r="L16094">
        <v>14.72</v>
      </c>
      <c r="M16094">
        <v>30</v>
      </c>
      <c r="N16094">
        <v>0</v>
      </c>
      <c r="O16094">
        <v>30</v>
      </c>
      <c r="P16094">
        <v>0</v>
      </c>
    </row>
    <row r="16095" spans="1:16" x14ac:dyDescent="0.25">
      <c r="A16095" t="s">
        <v>38732</v>
      </c>
      <c r="B16095" t="s">
        <v>10829</v>
      </c>
      <c r="C16095" t="s">
        <v>10830</v>
      </c>
      <c r="D16095" t="str">
        <f>"4643"</f>
        <v>4643</v>
      </c>
      <c r="E16095" t="s">
        <v>205</v>
      </c>
      <c r="F16095" t="s">
        <v>0</v>
      </c>
      <c r="G16095" t="s">
        <v>47091</v>
      </c>
      <c r="H16095" t="s">
        <v>47126</v>
      </c>
      <c r="I16095" t="s">
        <v>47127</v>
      </c>
      <c r="J16095" t="s">
        <v>47128</v>
      </c>
      <c r="K16095" t="s">
        <v>47113</v>
      </c>
      <c r="L16095">
        <v>14.72</v>
      </c>
      <c r="M16095">
        <v>30</v>
      </c>
      <c r="N16095">
        <v>0</v>
      </c>
      <c r="O16095">
        <v>30</v>
      </c>
      <c r="P16095">
        <v>0</v>
      </c>
    </row>
    <row r="16096" spans="1:16" x14ac:dyDescent="0.25">
      <c r="A16096" t="s">
        <v>38733</v>
      </c>
      <c r="B16096" t="s">
        <v>10829</v>
      </c>
      <c r="C16096" t="s">
        <v>10830</v>
      </c>
      <c r="D16096" t="str">
        <f>"6000"</f>
        <v>6000</v>
      </c>
      <c r="E16096" t="s">
        <v>390</v>
      </c>
      <c r="F16096" t="s">
        <v>0</v>
      </c>
      <c r="G16096" t="s">
        <v>47091</v>
      </c>
      <c r="H16096" t="s">
        <v>47126</v>
      </c>
      <c r="I16096" t="s">
        <v>47127</v>
      </c>
      <c r="J16096" t="s">
        <v>47128</v>
      </c>
      <c r="K16096" t="s">
        <v>47113</v>
      </c>
      <c r="L16096">
        <v>14.72</v>
      </c>
      <c r="M16096">
        <v>30</v>
      </c>
      <c r="N16096">
        <v>0</v>
      </c>
      <c r="O16096">
        <v>30</v>
      </c>
      <c r="P16096">
        <v>0</v>
      </c>
    </row>
    <row r="16097" spans="1:16" x14ac:dyDescent="0.25">
      <c r="A16097" t="s">
        <v>14682</v>
      </c>
      <c r="B16097" t="s">
        <v>447</v>
      </c>
      <c r="C16097" t="s">
        <v>448</v>
      </c>
      <c r="D16097" t="s">
        <v>416</v>
      </c>
      <c r="E16097" t="s">
        <v>417</v>
      </c>
      <c r="F16097" t="s">
        <v>0</v>
      </c>
      <c r="G16097" t="s">
        <v>47091</v>
      </c>
      <c r="H16097" t="s">
        <v>47153</v>
      </c>
      <c r="I16097" t="s">
        <v>47132</v>
      </c>
      <c r="J16097" t="s">
        <v>47133</v>
      </c>
      <c r="K16097" t="s">
        <v>47113</v>
      </c>
      <c r="L16097">
        <v>18.97</v>
      </c>
      <c r="M16097">
        <v>34</v>
      </c>
      <c r="N16097">
        <v>0</v>
      </c>
      <c r="O16097">
        <v>34</v>
      </c>
      <c r="P16097">
        <v>0</v>
      </c>
    </row>
    <row r="16098" spans="1:16" x14ac:dyDescent="0.25">
      <c r="A16098" t="s">
        <v>38734</v>
      </c>
      <c r="B16098" t="s">
        <v>447</v>
      </c>
      <c r="C16098" t="s">
        <v>448</v>
      </c>
      <c r="D16098" t="s">
        <v>449</v>
      </c>
      <c r="E16098" t="s">
        <v>450</v>
      </c>
      <c r="F16098" t="s">
        <v>0</v>
      </c>
      <c r="G16098" t="s">
        <v>47091</v>
      </c>
      <c r="H16098" t="s">
        <v>47153</v>
      </c>
      <c r="I16098" t="s">
        <v>47132</v>
      </c>
      <c r="J16098" t="s">
        <v>47133</v>
      </c>
      <c r="K16098" t="s">
        <v>47113</v>
      </c>
      <c r="L16098">
        <v>18.97</v>
      </c>
      <c r="M16098">
        <v>34</v>
      </c>
      <c r="N16098">
        <v>0</v>
      </c>
      <c r="O16098">
        <v>34</v>
      </c>
      <c r="P16098">
        <v>0</v>
      </c>
    </row>
    <row r="16099" spans="1:16" x14ac:dyDescent="0.25">
      <c r="A16099" t="s">
        <v>38735</v>
      </c>
      <c r="B16099" t="s">
        <v>447</v>
      </c>
      <c r="C16099" t="s">
        <v>448</v>
      </c>
      <c r="D16099" t="s">
        <v>4307</v>
      </c>
      <c r="E16099" t="s">
        <v>4308</v>
      </c>
      <c r="F16099" t="s">
        <v>0</v>
      </c>
      <c r="G16099" t="s">
        <v>47091</v>
      </c>
      <c r="H16099" t="s">
        <v>47153</v>
      </c>
      <c r="I16099" t="s">
        <v>47132</v>
      </c>
      <c r="J16099" t="s">
        <v>47133</v>
      </c>
      <c r="K16099" t="s">
        <v>47113</v>
      </c>
      <c r="L16099">
        <v>18.97</v>
      </c>
      <c r="M16099">
        <v>34</v>
      </c>
      <c r="N16099">
        <v>0</v>
      </c>
      <c r="O16099">
        <v>34</v>
      </c>
      <c r="P16099">
        <v>0</v>
      </c>
    </row>
    <row r="16100" spans="1:16" x14ac:dyDescent="0.25">
      <c r="A16100" t="s">
        <v>38736</v>
      </c>
      <c r="B16100" t="s">
        <v>10831</v>
      </c>
      <c r="C16100" t="s">
        <v>10832</v>
      </c>
      <c r="D16100" t="str">
        <f>"1001"</f>
        <v>1001</v>
      </c>
      <c r="E16100" t="s">
        <v>4318</v>
      </c>
      <c r="F16100" t="s">
        <v>0</v>
      </c>
      <c r="G16100" t="s">
        <v>47091</v>
      </c>
      <c r="H16100" t="s">
        <v>47126</v>
      </c>
      <c r="I16100" t="s">
        <v>47127</v>
      </c>
      <c r="J16100" t="s">
        <v>47128</v>
      </c>
      <c r="K16100" t="s">
        <v>47113</v>
      </c>
      <c r="L16100">
        <v>13.15</v>
      </c>
      <c r="M16100">
        <v>30</v>
      </c>
      <c r="N16100">
        <v>0</v>
      </c>
      <c r="O16100">
        <v>30</v>
      </c>
      <c r="P16100">
        <v>0</v>
      </c>
    </row>
    <row r="16101" spans="1:16" x14ac:dyDescent="0.25">
      <c r="A16101" t="s">
        <v>38737</v>
      </c>
      <c r="B16101" t="s">
        <v>10831</v>
      </c>
      <c r="C16101" t="s">
        <v>10832</v>
      </c>
      <c r="D16101" t="str">
        <f>"1377"</f>
        <v>1377</v>
      </c>
      <c r="E16101" t="s">
        <v>74</v>
      </c>
      <c r="F16101" t="s">
        <v>0</v>
      </c>
      <c r="G16101" t="s">
        <v>47091</v>
      </c>
      <c r="H16101" t="s">
        <v>47126</v>
      </c>
      <c r="I16101" t="s">
        <v>47127</v>
      </c>
      <c r="J16101" t="s">
        <v>47128</v>
      </c>
      <c r="K16101" t="s">
        <v>47113</v>
      </c>
      <c r="L16101">
        <v>13.15</v>
      </c>
      <c r="M16101">
        <v>30</v>
      </c>
      <c r="N16101">
        <v>0</v>
      </c>
      <c r="O16101">
        <v>30</v>
      </c>
      <c r="P16101">
        <v>0</v>
      </c>
    </row>
    <row r="16102" spans="1:16" x14ac:dyDescent="0.25">
      <c r="A16102" t="s">
        <v>38738</v>
      </c>
      <c r="B16102" t="s">
        <v>10831</v>
      </c>
      <c r="C16102" t="s">
        <v>10832</v>
      </c>
      <c r="D16102" t="str">
        <f>"1700"</f>
        <v>1700</v>
      </c>
      <c r="E16102" t="s">
        <v>60</v>
      </c>
      <c r="F16102" t="s">
        <v>0</v>
      </c>
      <c r="G16102" t="s">
        <v>47091</v>
      </c>
      <c r="H16102" t="s">
        <v>47126</v>
      </c>
      <c r="I16102" t="s">
        <v>47127</v>
      </c>
      <c r="J16102" t="s">
        <v>47128</v>
      </c>
      <c r="K16102" t="s">
        <v>47113</v>
      </c>
      <c r="L16102">
        <v>13.15</v>
      </c>
      <c r="M16102">
        <v>30</v>
      </c>
      <c r="N16102">
        <v>0</v>
      </c>
      <c r="O16102">
        <v>30</v>
      </c>
      <c r="P16102">
        <v>0</v>
      </c>
    </row>
    <row r="16103" spans="1:16" x14ac:dyDescent="0.25">
      <c r="A16103" t="s">
        <v>38739</v>
      </c>
      <c r="B16103" t="s">
        <v>10831</v>
      </c>
      <c r="C16103" t="s">
        <v>10832</v>
      </c>
      <c r="D16103" t="str">
        <f>"3000"</f>
        <v>3000</v>
      </c>
      <c r="E16103" t="s">
        <v>4319</v>
      </c>
      <c r="F16103" t="s">
        <v>0</v>
      </c>
      <c r="G16103" t="s">
        <v>47091</v>
      </c>
      <c r="H16103" t="s">
        <v>47126</v>
      </c>
      <c r="I16103" t="s">
        <v>47127</v>
      </c>
      <c r="J16103" t="s">
        <v>47128</v>
      </c>
      <c r="K16103" t="s">
        <v>47113</v>
      </c>
      <c r="L16103">
        <v>13.15</v>
      </c>
      <c r="M16103">
        <v>30</v>
      </c>
      <c r="N16103">
        <v>0</v>
      </c>
      <c r="O16103">
        <v>30</v>
      </c>
      <c r="P16103">
        <v>0</v>
      </c>
    </row>
    <row r="16104" spans="1:16" x14ac:dyDescent="0.25">
      <c r="A16104" t="s">
        <v>38740</v>
      </c>
      <c r="B16104" t="s">
        <v>10831</v>
      </c>
      <c r="C16104" t="s">
        <v>10832</v>
      </c>
      <c r="D16104" t="str">
        <f>"3489"</f>
        <v>3489</v>
      </c>
      <c r="E16104" t="s">
        <v>2221</v>
      </c>
      <c r="F16104" t="s">
        <v>0</v>
      </c>
      <c r="G16104" t="s">
        <v>47091</v>
      </c>
      <c r="H16104" t="s">
        <v>47126</v>
      </c>
      <c r="I16104" t="s">
        <v>47127</v>
      </c>
      <c r="J16104" t="s">
        <v>47128</v>
      </c>
      <c r="K16104" t="s">
        <v>47113</v>
      </c>
      <c r="L16104">
        <v>13.15</v>
      </c>
      <c r="M16104">
        <v>30</v>
      </c>
      <c r="N16104">
        <v>0</v>
      </c>
      <c r="O16104">
        <v>30</v>
      </c>
      <c r="P16104">
        <v>0</v>
      </c>
    </row>
    <row r="16105" spans="1:16" x14ac:dyDescent="0.25">
      <c r="A16105" t="s">
        <v>38741</v>
      </c>
      <c r="B16105" t="s">
        <v>10831</v>
      </c>
      <c r="C16105" t="s">
        <v>10832</v>
      </c>
      <c r="D16105" t="str">
        <f>"4000"</f>
        <v>4000</v>
      </c>
      <c r="E16105" t="s">
        <v>2222</v>
      </c>
      <c r="F16105" t="s">
        <v>0</v>
      </c>
      <c r="G16105" t="s">
        <v>47091</v>
      </c>
      <c r="H16105" t="s">
        <v>47126</v>
      </c>
      <c r="I16105" t="s">
        <v>47127</v>
      </c>
      <c r="J16105" t="s">
        <v>47128</v>
      </c>
      <c r="K16105" t="s">
        <v>47113</v>
      </c>
      <c r="L16105">
        <v>13.15</v>
      </c>
      <c r="M16105">
        <v>30</v>
      </c>
      <c r="N16105">
        <v>0</v>
      </c>
      <c r="O16105">
        <v>30</v>
      </c>
      <c r="P16105">
        <v>0</v>
      </c>
    </row>
    <row r="16106" spans="1:16" x14ac:dyDescent="0.25">
      <c r="A16106" t="s">
        <v>38742</v>
      </c>
      <c r="B16106" t="s">
        <v>10831</v>
      </c>
      <c r="C16106" t="s">
        <v>10832</v>
      </c>
      <c r="D16106" t="str">
        <f>"4643"</f>
        <v>4643</v>
      </c>
      <c r="E16106" t="s">
        <v>205</v>
      </c>
      <c r="F16106" t="s">
        <v>0</v>
      </c>
      <c r="G16106" t="s">
        <v>47091</v>
      </c>
      <c r="H16106" t="s">
        <v>47126</v>
      </c>
      <c r="I16106" t="s">
        <v>47127</v>
      </c>
      <c r="J16106" t="s">
        <v>47128</v>
      </c>
      <c r="K16106" t="s">
        <v>47113</v>
      </c>
      <c r="L16106">
        <v>13.15</v>
      </c>
      <c r="M16106">
        <v>30</v>
      </c>
      <c r="N16106">
        <v>0</v>
      </c>
      <c r="O16106">
        <v>30</v>
      </c>
      <c r="P16106">
        <v>0</v>
      </c>
    </row>
    <row r="16107" spans="1:16" x14ac:dyDescent="0.25">
      <c r="A16107" t="s">
        <v>38743</v>
      </c>
      <c r="B16107" t="s">
        <v>10831</v>
      </c>
      <c r="C16107" t="s">
        <v>10832</v>
      </c>
      <c r="D16107" t="str">
        <f>"4729"</f>
        <v>4729</v>
      </c>
      <c r="E16107" t="s">
        <v>2222</v>
      </c>
      <c r="F16107" t="s">
        <v>0</v>
      </c>
      <c r="G16107" t="s">
        <v>47091</v>
      </c>
      <c r="H16107" t="s">
        <v>47126</v>
      </c>
      <c r="I16107" t="s">
        <v>47127</v>
      </c>
      <c r="J16107" t="s">
        <v>47128</v>
      </c>
      <c r="K16107" t="s">
        <v>47113</v>
      </c>
      <c r="L16107">
        <v>13.15</v>
      </c>
      <c r="M16107">
        <v>30</v>
      </c>
      <c r="N16107">
        <v>0</v>
      </c>
      <c r="O16107">
        <v>30</v>
      </c>
      <c r="P16107">
        <v>0</v>
      </c>
    </row>
    <row r="16108" spans="1:16" x14ac:dyDescent="0.25">
      <c r="A16108" t="s">
        <v>38744</v>
      </c>
      <c r="B16108" t="s">
        <v>10831</v>
      </c>
      <c r="C16108" t="s">
        <v>10832</v>
      </c>
      <c r="D16108" t="str">
        <f>"4730"</f>
        <v>4730</v>
      </c>
      <c r="E16108" t="s">
        <v>461</v>
      </c>
      <c r="F16108" t="s">
        <v>0</v>
      </c>
      <c r="G16108" t="s">
        <v>47091</v>
      </c>
      <c r="H16108" t="s">
        <v>47126</v>
      </c>
      <c r="I16108" t="s">
        <v>47127</v>
      </c>
      <c r="J16108" t="s">
        <v>47128</v>
      </c>
      <c r="K16108" t="s">
        <v>47113</v>
      </c>
      <c r="L16108">
        <v>13.15</v>
      </c>
      <c r="M16108">
        <v>30</v>
      </c>
      <c r="N16108">
        <v>0</v>
      </c>
      <c r="O16108">
        <v>30</v>
      </c>
      <c r="P16108">
        <v>0</v>
      </c>
    </row>
    <row r="16109" spans="1:16" x14ac:dyDescent="0.25">
      <c r="A16109" t="s">
        <v>38745</v>
      </c>
      <c r="B16109" t="s">
        <v>10831</v>
      </c>
      <c r="C16109" t="s">
        <v>10832</v>
      </c>
      <c r="D16109" t="str">
        <f>"6000"</f>
        <v>6000</v>
      </c>
      <c r="E16109" t="s">
        <v>390</v>
      </c>
      <c r="F16109" t="s">
        <v>0</v>
      </c>
      <c r="G16109" t="s">
        <v>47091</v>
      </c>
      <c r="H16109" t="s">
        <v>47126</v>
      </c>
      <c r="I16109" t="s">
        <v>47127</v>
      </c>
      <c r="J16109" t="s">
        <v>47128</v>
      </c>
      <c r="K16109" t="s">
        <v>47113</v>
      </c>
      <c r="L16109">
        <v>13.15</v>
      </c>
      <c r="M16109">
        <v>30</v>
      </c>
      <c r="N16109">
        <v>0</v>
      </c>
      <c r="O16109">
        <v>30</v>
      </c>
      <c r="P16109">
        <v>0</v>
      </c>
    </row>
    <row r="16110" spans="1:16" x14ac:dyDescent="0.25">
      <c r="A16110" t="s">
        <v>38746</v>
      </c>
      <c r="B16110" t="s">
        <v>10833</v>
      </c>
      <c r="C16110" t="s">
        <v>10832</v>
      </c>
      <c r="D16110" t="str">
        <f>"1001"</f>
        <v>1001</v>
      </c>
      <c r="E16110" t="s">
        <v>4318</v>
      </c>
      <c r="F16110" t="s">
        <v>0</v>
      </c>
      <c r="G16110" t="s">
        <v>47091</v>
      </c>
      <c r="H16110" t="s">
        <v>47126</v>
      </c>
      <c r="I16110" t="s">
        <v>47127</v>
      </c>
      <c r="J16110" t="s">
        <v>47128</v>
      </c>
      <c r="K16110" t="s">
        <v>47113</v>
      </c>
      <c r="L16110">
        <v>11.22</v>
      </c>
      <c r="M16110">
        <v>26</v>
      </c>
      <c r="N16110">
        <v>0</v>
      </c>
      <c r="O16110">
        <v>26</v>
      </c>
      <c r="P16110">
        <v>0</v>
      </c>
    </row>
    <row r="16111" spans="1:16" x14ac:dyDescent="0.25">
      <c r="A16111" t="s">
        <v>38747</v>
      </c>
      <c r="B16111" t="s">
        <v>10833</v>
      </c>
      <c r="C16111" t="s">
        <v>10832</v>
      </c>
      <c r="D16111" t="str">
        <f>"1377"</f>
        <v>1377</v>
      </c>
      <c r="E16111" t="s">
        <v>74</v>
      </c>
      <c r="F16111" t="s">
        <v>0</v>
      </c>
      <c r="G16111" t="s">
        <v>47091</v>
      </c>
      <c r="H16111" t="s">
        <v>47126</v>
      </c>
      <c r="I16111" t="s">
        <v>47127</v>
      </c>
      <c r="J16111" t="s">
        <v>47128</v>
      </c>
      <c r="K16111" t="s">
        <v>47113</v>
      </c>
      <c r="L16111">
        <v>11.22</v>
      </c>
      <c r="M16111">
        <v>26</v>
      </c>
      <c r="N16111">
        <v>0</v>
      </c>
      <c r="O16111">
        <v>26</v>
      </c>
      <c r="P16111">
        <v>0</v>
      </c>
    </row>
    <row r="16112" spans="1:16" x14ac:dyDescent="0.25">
      <c r="A16112" t="s">
        <v>38748</v>
      </c>
      <c r="B16112" t="s">
        <v>10833</v>
      </c>
      <c r="C16112" t="s">
        <v>10832</v>
      </c>
      <c r="D16112" t="str">
        <f>"1378"</f>
        <v>1378</v>
      </c>
      <c r="E16112" t="s">
        <v>388</v>
      </c>
      <c r="F16112" t="s">
        <v>0</v>
      </c>
      <c r="G16112" t="s">
        <v>47091</v>
      </c>
      <c r="H16112" t="s">
        <v>47126</v>
      </c>
      <c r="I16112" t="s">
        <v>47127</v>
      </c>
      <c r="J16112" t="s">
        <v>47128</v>
      </c>
      <c r="K16112" t="s">
        <v>47113</v>
      </c>
      <c r="L16112">
        <v>11.22</v>
      </c>
      <c r="M16112">
        <v>26</v>
      </c>
      <c r="N16112">
        <v>0</v>
      </c>
      <c r="O16112">
        <v>26</v>
      </c>
      <c r="P16112">
        <v>0</v>
      </c>
    </row>
    <row r="16113" spans="1:16" x14ac:dyDescent="0.25">
      <c r="A16113" t="s">
        <v>38749</v>
      </c>
      <c r="B16113" t="s">
        <v>10833</v>
      </c>
      <c r="C16113" t="s">
        <v>10832</v>
      </c>
      <c r="D16113" t="str">
        <f>"1700"</f>
        <v>1700</v>
      </c>
      <c r="E16113" t="s">
        <v>60</v>
      </c>
      <c r="F16113" t="s">
        <v>0</v>
      </c>
      <c r="G16113" t="s">
        <v>47091</v>
      </c>
      <c r="H16113" t="s">
        <v>47126</v>
      </c>
      <c r="I16113" t="s">
        <v>47127</v>
      </c>
      <c r="J16113" t="s">
        <v>47128</v>
      </c>
      <c r="K16113" t="s">
        <v>47113</v>
      </c>
      <c r="L16113">
        <v>11.22</v>
      </c>
      <c r="M16113">
        <v>26</v>
      </c>
      <c r="N16113">
        <v>0</v>
      </c>
      <c r="O16113">
        <v>26</v>
      </c>
      <c r="P16113">
        <v>0</v>
      </c>
    </row>
    <row r="16114" spans="1:16" x14ac:dyDescent="0.25">
      <c r="A16114" t="s">
        <v>38750</v>
      </c>
      <c r="B16114" t="s">
        <v>10833</v>
      </c>
      <c r="C16114" t="s">
        <v>10832</v>
      </c>
      <c r="D16114" t="str">
        <f>"3000"</f>
        <v>3000</v>
      </c>
      <c r="E16114" t="s">
        <v>4319</v>
      </c>
      <c r="F16114" t="s">
        <v>0</v>
      </c>
      <c r="G16114" t="s">
        <v>47091</v>
      </c>
      <c r="H16114" t="s">
        <v>47126</v>
      </c>
      <c r="I16114" t="s">
        <v>47127</v>
      </c>
      <c r="J16114" t="s">
        <v>47128</v>
      </c>
      <c r="K16114" t="s">
        <v>47113</v>
      </c>
      <c r="L16114">
        <v>11.22</v>
      </c>
      <c r="M16114">
        <v>26</v>
      </c>
      <c r="N16114">
        <v>0</v>
      </c>
      <c r="O16114">
        <v>26</v>
      </c>
      <c r="P16114">
        <v>0</v>
      </c>
    </row>
    <row r="16115" spans="1:16" x14ac:dyDescent="0.25">
      <c r="A16115" t="s">
        <v>38751</v>
      </c>
      <c r="B16115" t="s">
        <v>10833</v>
      </c>
      <c r="C16115" t="s">
        <v>10832</v>
      </c>
      <c r="D16115" t="str">
        <f>"4000"</f>
        <v>4000</v>
      </c>
      <c r="E16115" t="s">
        <v>2222</v>
      </c>
      <c r="F16115" t="s">
        <v>0</v>
      </c>
      <c r="G16115" t="s">
        <v>47091</v>
      </c>
      <c r="H16115" t="s">
        <v>47126</v>
      </c>
      <c r="I16115" t="s">
        <v>47127</v>
      </c>
      <c r="J16115" t="s">
        <v>47128</v>
      </c>
      <c r="K16115" t="s">
        <v>47113</v>
      </c>
      <c r="L16115">
        <v>11.22</v>
      </c>
      <c r="M16115">
        <v>26</v>
      </c>
      <c r="N16115">
        <v>0</v>
      </c>
      <c r="O16115">
        <v>26</v>
      </c>
      <c r="P16115">
        <v>0</v>
      </c>
    </row>
    <row r="16116" spans="1:16" x14ac:dyDescent="0.25">
      <c r="A16116" t="s">
        <v>38752</v>
      </c>
      <c r="B16116" t="s">
        <v>10833</v>
      </c>
      <c r="C16116" t="s">
        <v>10832</v>
      </c>
      <c r="D16116" t="str">
        <f>"4643"</f>
        <v>4643</v>
      </c>
      <c r="E16116" t="s">
        <v>205</v>
      </c>
      <c r="F16116" t="s">
        <v>0</v>
      </c>
      <c r="G16116" t="s">
        <v>47091</v>
      </c>
      <c r="H16116" t="s">
        <v>47126</v>
      </c>
      <c r="I16116" t="s">
        <v>47127</v>
      </c>
      <c r="J16116" t="s">
        <v>47128</v>
      </c>
      <c r="K16116" t="s">
        <v>47113</v>
      </c>
      <c r="L16116">
        <v>11.22</v>
      </c>
      <c r="M16116">
        <v>26</v>
      </c>
      <c r="N16116">
        <v>0</v>
      </c>
      <c r="O16116">
        <v>26</v>
      </c>
      <c r="P16116">
        <v>0</v>
      </c>
    </row>
    <row r="16117" spans="1:16" x14ac:dyDescent="0.25">
      <c r="A16117" t="s">
        <v>38753</v>
      </c>
      <c r="B16117" t="s">
        <v>10833</v>
      </c>
      <c r="C16117" t="s">
        <v>10832</v>
      </c>
      <c r="D16117" t="str">
        <f>"6000"</f>
        <v>6000</v>
      </c>
      <c r="E16117" t="s">
        <v>390</v>
      </c>
      <c r="F16117" t="s">
        <v>0</v>
      </c>
      <c r="G16117" t="s">
        <v>47091</v>
      </c>
      <c r="H16117" t="s">
        <v>47126</v>
      </c>
      <c r="I16117" t="s">
        <v>47127</v>
      </c>
      <c r="J16117" t="s">
        <v>47128</v>
      </c>
      <c r="K16117" t="s">
        <v>47113</v>
      </c>
      <c r="L16117">
        <v>11.22</v>
      </c>
      <c r="M16117">
        <v>26</v>
      </c>
      <c r="N16117">
        <v>0</v>
      </c>
      <c r="O16117">
        <v>26</v>
      </c>
      <c r="P16117">
        <v>0</v>
      </c>
    </row>
    <row r="16118" spans="1:16" x14ac:dyDescent="0.25">
      <c r="A16118" t="s">
        <v>38754</v>
      </c>
      <c r="B16118" t="s">
        <v>451</v>
      </c>
      <c r="C16118" t="s">
        <v>452</v>
      </c>
      <c r="D16118" t="str">
        <f>"1001"</f>
        <v>1001</v>
      </c>
      <c r="E16118" t="s">
        <v>4318</v>
      </c>
      <c r="F16118" t="s">
        <v>0</v>
      </c>
      <c r="G16118" t="s">
        <v>47091</v>
      </c>
      <c r="H16118" t="s">
        <v>47126</v>
      </c>
      <c r="I16118" t="s">
        <v>47127</v>
      </c>
      <c r="J16118" t="s">
        <v>47128</v>
      </c>
      <c r="K16118" t="s">
        <v>47113</v>
      </c>
      <c r="L16118">
        <v>13.15</v>
      </c>
      <c r="M16118">
        <v>30</v>
      </c>
      <c r="N16118">
        <v>0</v>
      </c>
      <c r="O16118">
        <v>30</v>
      </c>
      <c r="P16118">
        <v>0</v>
      </c>
    </row>
    <row r="16119" spans="1:16" x14ac:dyDescent="0.25">
      <c r="A16119" t="s">
        <v>38755</v>
      </c>
      <c r="B16119" t="s">
        <v>451</v>
      </c>
      <c r="C16119" t="s">
        <v>452</v>
      </c>
      <c r="D16119" t="str">
        <f>"1377"</f>
        <v>1377</v>
      </c>
      <c r="E16119" t="s">
        <v>74</v>
      </c>
      <c r="F16119" t="s">
        <v>0</v>
      </c>
      <c r="G16119" t="s">
        <v>47091</v>
      </c>
      <c r="H16119" t="s">
        <v>47126</v>
      </c>
      <c r="I16119" t="s">
        <v>47127</v>
      </c>
      <c r="J16119" t="s">
        <v>47128</v>
      </c>
      <c r="K16119" t="s">
        <v>47113</v>
      </c>
      <c r="L16119">
        <v>13.15</v>
      </c>
      <c r="M16119">
        <v>30</v>
      </c>
      <c r="N16119">
        <v>0</v>
      </c>
      <c r="O16119">
        <v>30</v>
      </c>
      <c r="P16119">
        <v>0</v>
      </c>
    </row>
    <row r="16120" spans="1:16" x14ac:dyDescent="0.25">
      <c r="A16120" t="s">
        <v>15096</v>
      </c>
      <c r="B16120" t="s">
        <v>451</v>
      </c>
      <c r="C16120" t="s">
        <v>452</v>
      </c>
      <c r="D16120" t="str">
        <f>"1378"</f>
        <v>1378</v>
      </c>
      <c r="E16120" t="s">
        <v>388</v>
      </c>
      <c r="F16120" t="s">
        <v>0</v>
      </c>
      <c r="G16120" t="s">
        <v>47091</v>
      </c>
      <c r="H16120" t="s">
        <v>47126</v>
      </c>
      <c r="I16120" t="s">
        <v>47127</v>
      </c>
      <c r="J16120" t="s">
        <v>47128</v>
      </c>
      <c r="K16120" t="s">
        <v>47113</v>
      </c>
      <c r="L16120">
        <v>13.15</v>
      </c>
      <c r="M16120">
        <v>30</v>
      </c>
      <c r="N16120">
        <v>0</v>
      </c>
      <c r="O16120">
        <v>30</v>
      </c>
      <c r="P16120">
        <v>0</v>
      </c>
    </row>
    <row r="16121" spans="1:16" x14ac:dyDescent="0.25">
      <c r="A16121" t="s">
        <v>15097</v>
      </c>
      <c r="B16121" t="s">
        <v>451</v>
      </c>
      <c r="C16121" t="s">
        <v>452</v>
      </c>
      <c r="D16121" t="str">
        <f>"1700"</f>
        <v>1700</v>
      </c>
      <c r="E16121" t="s">
        <v>60</v>
      </c>
      <c r="F16121" t="s">
        <v>0</v>
      </c>
      <c r="G16121" t="s">
        <v>47091</v>
      </c>
      <c r="H16121" t="s">
        <v>47126</v>
      </c>
      <c r="I16121" t="s">
        <v>47127</v>
      </c>
      <c r="J16121" t="s">
        <v>47128</v>
      </c>
      <c r="K16121" t="s">
        <v>47113</v>
      </c>
      <c r="L16121">
        <v>13.15</v>
      </c>
      <c r="M16121">
        <v>30</v>
      </c>
      <c r="N16121">
        <v>0</v>
      </c>
      <c r="O16121">
        <v>30</v>
      </c>
      <c r="P16121">
        <v>0</v>
      </c>
    </row>
    <row r="16122" spans="1:16" x14ac:dyDescent="0.25">
      <c r="A16122" t="s">
        <v>38756</v>
      </c>
      <c r="B16122" t="s">
        <v>451</v>
      </c>
      <c r="C16122" t="s">
        <v>452</v>
      </c>
      <c r="D16122" t="str">
        <f>"4000"</f>
        <v>4000</v>
      </c>
      <c r="E16122" t="s">
        <v>2222</v>
      </c>
      <c r="F16122" t="s">
        <v>0</v>
      </c>
      <c r="G16122" t="s">
        <v>47091</v>
      </c>
      <c r="H16122" t="s">
        <v>47126</v>
      </c>
      <c r="I16122" t="s">
        <v>47127</v>
      </c>
      <c r="J16122" t="s">
        <v>47128</v>
      </c>
      <c r="K16122" t="s">
        <v>47113</v>
      </c>
      <c r="L16122">
        <v>13.15</v>
      </c>
      <c r="M16122">
        <v>30</v>
      </c>
      <c r="N16122">
        <v>0</v>
      </c>
      <c r="O16122">
        <v>30</v>
      </c>
      <c r="P16122">
        <v>0</v>
      </c>
    </row>
    <row r="16123" spans="1:16" x14ac:dyDescent="0.25">
      <c r="A16123" t="s">
        <v>38757</v>
      </c>
      <c r="B16123" t="s">
        <v>451</v>
      </c>
      <c r="C16123" t="s">
        <v>452</v>
      </c>
      <c r="D16123" t="str">
        <f>"4729"</f>
        <v>4729</v>
      </c>
      <c r="E16123" t="s">
        <v>2222</v>
      </c>
      <c r="F16123" t="s">
        <v>0</v>
      </c>
      <c r="G16123" t="s">
        <v>47091</v>
      </c>
      <c r="H16123" t="s">
        <v>47126</v>
      </c>
      <c r="I16123" t="s">
        <v>47127</v>
      </c>
      <c r="J16123" t="s">
        <v>47128</v>
      </c>
      <c r="K16123" t="s">
        <v>47113</v>
      </c>
      <c r="L16123">
        <v>13.15</v>
      </c>
      <c r="M16123">
        <v>30</v>
      </c>
      <c r="N16123">
        <v>0</v>
      </c>
      <c r="O16123">
        <v>30</v>
      </c>
      <c r="P16123">
        <v>0</v>
      </c>
    </row>
    <row r="16124" spans="1:16" x14ac:dyDescent="0.25">
      <c r="A16124" t="s">
        <v>38758</v>
      </c>
      <c r="B16124" t="s">
        <v>10834</v>
      </c>
      <c r="C16124" t="s">
        <v>10835</v>
      </c>
      <c r="D16124" t="str">
        <f>"1001"</f>
        <v>1001</v>
      </c>
      <c r="E16124" t="s">
        <v>4318</v>
      </c>
      <c r="F16124" t="s">
        <v>0</v>
      </c>
      <c r="G16124" t="s">
        <v>47091</v>
      </c>
      <c r="H16124" t="s">
        <v>47126</v>
      </c>
      <c r="I16124" t="s">
        <v>47127</v>
      </c>
      <c r="J16124" t="s">
        <v>47128</v>
      </c>
      <c r="K16124" t="s">
        <v>47113</v>
      </c>
      <c r="L16124">
        <v>13.4</v>
      </c>
      <c r="M16124">
        <v>30</v>
      </c>
      <c r="N16124">
        <v>0</v>
      </c>
      <c r="O16124">
        <v>30</v>
      </c>
      <c r="P16124">
        <v>0</v>
      </c>
    </row>
    <row r="16125" spans="1:16" x14ac:dyDescent="0.25">
      <c r="A16125" t="s">
        <v>38759</v>
      </c>
      <c r="B16125" t="s">
        <v>10834</v>
      </c>
      <c r="C16125" t="s">
        <v>10835</v>
      </c>
      <c r="D16125" t="str">
        <f>"1377"</f>
        <v>1377</v>
      </c>
      <c r="E16125" t="s">
        <v>74</v>
      </c>
      <c r="F16125" t="s">
        <v>0</v>
      </c>
      <c r="G16125" t="s">
        <v>47091</v>
      </c>
      <c r="H16125" t="s">
        <v>47126</v>
      </c>
      <c r="I16125" t="s">
        <v>47127</v>
      </c>
      <c r="J16125" t="s">
        <v>47128</v>
      </c>
      <c r="K16125" t="s">
        <v>47113</v>
      </c>
      <c r="L16125">
        <v>13.4</v>
      </c>
      <c r="M16125">
        <v>30</v>
      </c>
      <c r="N16125">
        <v>0</v>
      </c>
      <c r="O16125">
        <v>30</v>
      </c>
      <c r="P16125">
        <v>0</v>
      </c>
    </row>
    <row r="16126" spans="1:16" x14ac:dyDescent="0.25">
      <c r="A16126" t="s">
        <v>38760</v>
      </c>
      <c r="B16126" t="s">
        <v>10834</v>
      </c>
      <c r="C16126" t="s">
        <v>10835</v>
      </c>
      <c r="D16126" t="str">
        <f>"1378"</f>
        <v>1378</v>
      </c>
      <c r="E16126" t="s">
        <v>388</v>
      </c>
      <c r="F16126" t="s">
        <v>0</v>
      </c>
      <c r="G16126" t="s">
        <v>47091</v>
      </c>
      <c r="H16126" t="s">
        <v>47126</v>
      </c>
      <c r="I16126" t="s">
        <v>47127</v>
      </c>
      <c r="J16126" t="s">
        <v>47128</v>
      </c>
      <c r="K16126" t="s">
        <v>47113</v>
      </c>
      <c r="L16126">
        <v>13.4</v>
      </c>
      <c r="M16126">
        <v>30</v>
      </c>
      <c r="N16126">
        <v>0</v>
      </c>
      <c r="O16126">
        <v>30</v>
      </c>
      <c r="P16126">
        <v>0</v>
      </c>
    </row>
    <row r="16127" spans="1:16" x14ac:dyDescent="0.25">
      <c r="A16127" t="s">
        <v>38761</v>
      </c>
      <c r="B16127" t="s">
        <v>10834</v>
      </c>
      <c r="C16127" t="s">
        <v>10835</v>
      </c>
      <c r="D16127" t="str">
        <f>"1700"</f>
        <v>1700</v>
      </c>
      <c r="E16127" t="s">
        <v>60</v>
      </c>
      <c r="F16127" t="s">
        <v>0</v>
      </c>
      <c r="G16127" t="s">
        <v>47091</v>
      </c>
      <c r="H16127" t="s">
        <v>47126</v>
      </c>
      <c r="I16127" t="s">
        <v>47127</v>
      </c>
      <c r="J16127" t="s">
        <v>47128</v>
      </c>
      <c r="K16127" t="s">
        <v>47113</v>
      </c>
      <c r="L16127">
        <v>13.4</v>
      </c>
      <c r="M16127">
        <v>30</v>
      </c>
      <c r="N16127">
        <v>0</v>
      </c>
      <c r="O16127">
        <v>30</v>
      </c>
      <c r="P16127">
        <v>0</v>
      </c>
    </row>
    <row r="16128" spans="1:16" x14ac:dyDescent="0.25">
      <c r="A16128" t="s">
        <v>38762</v>
      </c>
      <c r="B16128" t="s">
        <v>10834</v>
      </c>
      <c r="C16128" t="s">
        <v>10835</v>
      </c>
      <c r="D16128" t="str">
        <f>"3000"</f>
        <v>3000</v>
      </c>
      <c r="E16128" t="s">
        <v>4319</v>
      </c>
      <c r="F16128" t="s">
        <v>0</v>
      </c>
      <c r="G16128" t="s">
        <v>47091</v>
      </c>
      <c r="H16128" t="s">
        <v>47126</v>
      </c>
      <c r="I16128" t="s">
        <v>47127</v>
      </c>
      <c r="J16128" t="s">
        <v>47128</v>
      </c>
      <c r="K16128" t="s">
        <v>47113</v>
      </c>
      <c r="L16128">
        <v>13.4</v>
      </c>
      <c r="M16128">
        <v>30</v>
      </c>
      <c r="N16128">
        <v>0</v>
      </c>
      <c r="O16128">
        <v>30</v>
      </c>
      <c r="P16128">
        <v>0</v>
      </c>
    </row>
    <row r="16129" spans="1:16" x14ac:dyDescent="0.25">
      <c r="A16129" t="s">
        <v>38763</v>
      </c>
      <c r="B16129" t="s">
        <v>10834</v>
      </c>
      <c r="C16129" t="s">
        <v>10835</v>
      </c>
      <c r="D16129" t="str">
        <f>"3489"</f>
        <v>3489</v>
      </c>
      <c r="E16129" t="s">
        <v>2221</v>
      </c>
      <c r="F16129" t="s">
        <v>0</v>
      </c>
      <c r="G16129" t="s">
        <v>47091</v>
      </c>
      <c r="H16129" t="s">
        <v>47126</v>
      </c>
      <c r="I16129" t="s">
        <v>47127</v>
      </c>
      <c r="J16129" t="s">
        <v>47128</v>
      </c>
      <c r="K16129" t="s">
        <v>47113</v>
      </c>
      <c r="L16129">
        <v>13.4</v>
      </c>
      <c r="M16129">
        <v>30</v>
      </c>
      <c r="N16129">
        <v>0</v>
      </c>
      <c r="O16129">
        <v>30</v>
      </c>
      <c r="P16129">
        <v>0</v>
      </c>
    </row>
    <row r="16130" spans="1:16" x14ac:dyDescent="0.25">
      <c r="A16130" t="s">
        <v>38764</v>
      </c>
      <c r="B16130" t="s">
        <v>10834</v>
      </c>
      <c r="C16130" t="s">
        <v>10835</v>
      </c>
      <c r="D16130" t="str">
        <f>"4000"</f>
        <v>4000</v>
      </c>
      <c r="E16130" t="s">
        <v>2222</v>
      </c>
      <c r="F16130" t="s">
        <v>0</v>
      </c>
      <c r="G16130" t="s">
        <v>47091</v>
      </c>
      <c r="H16130" t="s">
        <v>47126</v>
      </c>
      <c r="I16130" t="s">
        <v>47127</v>
      </c>
      <c r="J16130" t="s">
        <v>47128</v>
      </c>
      <c r="K16130" t="s">
        <v>47113</v>
      </c>
      <c r="L16130">
        <v>13.4</v>
      </c>
      <c r="M16130">
        <v>30</v>
      </c>
      <c r="N16130">
        <v>0</v>
      </c>
      <c r="O16130">
        <v>30</v>
      </c>
      <c r="P16130">
        <v>0</v>
      </c>
    </row>
    <row r="16131" spans="1:16" x14ac:dyDescent="0.25">
      <c r="A16131" t="s">
        <v>38765</v>
      </c>
      <c r="B16131" t="s">
        <v>10834</v>
      </c>
      <c r="C16131" t="s">
        <v>10835</v>
      </c>
      <c r="D16131" t="str">
        <f>"4643"</f>
        <v>4643</v>
      </c>
      <c r="E16131" t="s">
        <v>205</v>
      </c>
      <c r="F16131" t="s">
        <v>0</v>
      </c>
      <c r="G16131" t="s">
        <v>47091</v>
      </c>
      <c r="H16131" t="s">
        <v>47126</v>
      </c>
      <c r="I16131" t="s">
        <v>47127</v>
      </c>
      <c r="J16131" t="s">
        <v>47128</v>
      </c>
      <c r="K16131" t="s">
        <v>47113</v>
      </c>
      <c r="L16131">
        <v>13.4</v>
      </c>
      <c r="M16131">
        <v>30</v>
      </c>
      <c r="N16131">
        <v>0</v>
      </c>
      <c r="O16131">
        <v>30</v>
      </c>
      <c r="P16131">
        <v>0</v>
      </c>
    </row>
    <row r="16132" spans="1:16" x14ac:dyDescent="0.25">
      <c r="A16132" t="s">
        <v>38766</v>
      </c>
      <c r="B16132" t="s">
        <v>10834</v>
      </c>
      <c r="C16132" t="s">
        <v>10835</v>
      </c>
      <c r="D16132" t="str">
        <f>"4729"</f>
        <v>4729</v>
      </c>
      <c r="E16132" t="s">
        <v>2222</v>
      </c>
      <c r="F16132" t="s">
        <v>0</v>
      </c>
      <c r="G16132" t="s">
        <v>47091</v>
      </c>
      <c r="H16132" t="s">
        <v>47126</v>
      </c>
      <c r="I16132" t="s">
        <v>47127</v>
      </c>
      <c r="J16132" t="s">
        <v>47128</v>
      </c>
      <c r="K16132" t="s">
        <v>47113</v>
      </c>
      <c r="L16132">
        <v>13.4</v>
      </c>
      <c r="M16132">
        <v>30</v>
      </c>
      <c r="N16132">
        <v>0</v>
      </c>
      <c r="O16132">
        <v>30</v>
      </c>
      <c r="P16132">
        <v>0</v>
      </c>
    </row>
    <row r="16133" spans="1:16" x14ac:dyDescent="0.25">
      <c r="A16133" t="s">
        <v>38767</v>
      </c>
      <c r="B16133" t="s">
        <v>10834</v>
      </c>
      <c r="C16133" t="s">
        <v>10835</v>
      </c>
      <c r="D16133" t="str">
        <f>"6000"</f>
        <v>6000</v>
      </c>
      <c r="E16133" t="s">
        <v>390</v>
      </c>
      <c r="F16133" t="s">
        <v>0</v>
      </c>
      <c r="G16133" t="s">
        <v>47091</v>
      </c>
      <c r="H16133" t="s">
        <v>47126</v>
      </c>
      <c r="I16133" t="s">
        <v>47127</v>
      </c>
      <c r="J16133" t="s">
        <v>47128</v>
      </c>
      <c r="K16133" t="s">
        <v>47113</v>
      </c>
      <c r="L16133">
        <v>13.4</v>
      </c>
      <c r="M16133">
        <v>30</v>
      </c>
      <c r="N16133">
        <v>0</v>
      </c>
      <c r="O16133">
        <v>30</v>
      </c>
      <c r="P16133">
        <v>0</v>
      </c>
    </row>
    <row r="16134" spans="1:16" x14ac:dyDescent="0.25">
      <c r="A16134" t="s">
        <v>38768</v>
      </c>
      <c r="B16134" t="s">
        <v>10836</v>
      </c>
      <c r="C16134" t="s">
        <v>10837</v>
      </c>
      <c r="D16134" t="str">
        <f>"1001"</f>
        <v>1001</v>
      </c>
      <c r="E16134" t="s">
        <v>4318</v>
      </c>
      <c r="F16134" t="s">
        <v>0</v>
      </c>
      <c r="G16134" t="s">
        <v>47091</v>
      </c>
      <c r="H16134" t="s">
        <v>47126</v>
      </c>
      <c r="I16134" t="s">
        <v>47127</v>
      </c>
      <c r="J16134" t="s">
        <v>47128</v>
      </c>
      <c r="K16134" t="s">
        <v>47113</v>
      </c>
      <c r="L16134">
        <v>13.4</v>
      </c>
      <c r="M16134">
        <v>30</v>
      </c>
      <c r="N16134">
        <v>0</v>
      </c>
      <c r="O16134">
        <v>30</v>
      </c>
      <c r="P16134">
        <v>0</v>
      </c>
    </row>
    <row r="16135" spans="1:16" x14ac:dyDescent="0.25">
      <c r="A16135" t="s">
        <v>38769</v>
      </c>
      <c r="B16135" t="s">
        <v>10836</v>
      </c>
      <c r="C16135" t="s">
        <v>10837</v>
      </c>
      <c r="D16135" t="str">
        <f>"1377"</f>
        <v>1377</v>
      </c>
      <c r="E16135" t="s">
        <v>74</v>
      </c>
      <c r="F16135" t="s">
        <v>0</v>
      </c>
      <c r="G16135" t="s">
        <v>47091</v>
      </c>
      <c r="H16135" t="s">
        <v>47126</v>
      </c>
      <c r="I16135" t="s">
        <v>47127</v>
      </c>
      <c r="J16135" t="s">
        <v>47128</v>
      </c>
      <c r="K16135" t="s">
        <v>47113</v>
      </c>
      <c r="L16135">
        <v>13.4</v>
      </c>
      <c r="M16135">
        <v>30</v>
      </c>
      <c r="N16135">
        <v>0</v>
      </c>
      <c r="O16135">
        <v>30</v>
      </c>
      <c r="P16135">
        <v>0</v>
      </c>
    </row>
    <row r="16136" spans="1:16" x14ac:dyDescent="0.25">
      <c r="A16136" t="s">
        <v>38770</v>
      </c>
      <c r="B16136" t="s">
        <v>10836</v>
      </c>
      <c r="C16136" t="s">
        <v>10837</v>
      </c>
      <c r="D16136" t="str">
        <f>"1378"</f>
        <v>1378</v>
      </c>
      <c r="E16136" t="s">
        <v>388</v>
      </c>
      <c r="F16136" t="s">
        <v>0</v>
      </c>
      <c r="G16136" t="s">
        <v>47091</v>
      </c>
      <c r="H16136" t="s">
        <v>47126</v>
      </c>
      <c r="I16136" t="s">
        <v>47127</v>
      </c>
      <c r="J16136" t="s">
        <v>47128</v>
      </c>
      <c r="K16136" t="s">
        <v>47113</v>
      </c>
      <c r="L16136">
        <v>13.4</v>
      </c>
      <c r="M16136">
        <v>30</v>
      </c>
      <c r="N16136">
        <v>0</v>
      </c>
      <c r="O16136">
        <v>30</v>
      </c>
      <c r="P16136">
        <v>0</v>
      </c>
    </row>
    <row r="16137" spans="1:16" x14ac:dyDescent="0.25">
      <c r="A16137" t="s">
        <v>38771</v>
      </c>
      <c r="B16137" t="s">
        <v>10836</v>
      </c>
      <c r="C16137" t="s">
        <v>10837</v>
      </c>
      <c r="D16137" t="str">
        <f>"1700"</f>
        <v>1700</v>
      </c>
      <c r="E16137" t="s">
        <v>60</v>
      </c>
      <c r="F16137" t="s">
        <v>0</v>
      </c>
      <c r="G16137" t="s">
        <v>47091</v>
      </c>
      <c r="H16137" t="s">
        <v>47126</v>
      </c>
      <c r="I16137" t="s">
        <v>47127</v>
      </c>
      <c r="J16137" t="s">
        <v>47128</v>
      </c>
      <c r="K16137" t="s">
        <v>47113</v>
      </c>
      <c r="L16137">
        <v>13.4</v>
      </c>
      <c r="M16137">
        <v>30</v>
      </c>
      <c r="N16137">
        <v>0</v>
      </c>
      <c r="O16137">
        <v>30</v>
      </c>
      <c r="P16137">
        <v>0</v>
      </c>
    </row>
    <row r="16138" spans="1:16" x14ac:dyDescent="0.25">
      <c r="A16138" t="s">
        <v>38772</v>
      </c>
      <c r="B16138" t="s">
        <v>10836</v>
      </c>
      <c r="C16138" t="s">
        <v>10837</v>
      </c>
      <c r="D16138" t="str">
        <f>"3000"</f>
        <v>3000</v>
      </c>
      <c r="E16138" t="s">
        <v>4319</v>
      </c>
      <c r="F16138" t="s">
        <v>0</v>
      </c>
      <c r="G16138" t="s">
        <v>47091</v>
      </c>
      <c r="H16138" t="s">
        <v>47126</v>
      </c>
      <c r="I16138" t="s">
        <v>47127</v>
      </c>
      <c r="J16138" t="s">
        <v>47128</v>
      </c>
      <c r="K16138" t="s">
        <v>47113</v>
      </c>
      <c r="L16138">
        <v>13.4</v>
      </c>
      <c r="M16138">
        <v>30</v>
      </c>
      <c r="N16138">
        <v>0</v>
      </c>
      <c r="O16138">
        <v>30</v>
      </c>
      <c r="P16138">
        <v>0</v>
      </c>
    </row>
    <row r="16139" spans="1:16" x14ac:dyDescent="0.25">
      <c r="A16139" t="s">
        <v>38773</v>
      </c>
      <c r="B16139" t="s">
        <v>10836</v>
      </c>
      <c r="C16139" t="s">
        <v>10837</v>
      </c>
      <c r="D16139" t="str">
        <f>"4000"</f>
        <v>4000</v>
      </c>
      <c r="E16139" t="s">
        <v>2222</v>
      </c>
      <c r="F16139" t="s">
        <v>0</v>
      </c>
      <c r="G16139" t="s">
        <v>47091</v>
      </c>
      <c r="H16139" t="s">
        <v>47126</v>
      </c>
      <c r="I16139" t="s">
        <v>47127</v>
      </c>
      <c r="J16139" t="s">
        <v>47128</v>
      </c>
      <c r="K16139" t="s">
        <v>47113</v>
      </c>
      <c r="L16139">
        <v>13.4</v>
      </c>
      <c r="M16139">
        <v>30</v>
      </c>
      <c r="N16139">
        <v>0</v>
      </c>
      <c r="O16139">
        <v>30</v>
      </c>
      <c r="P16139">
        <v>0</v>
      </c>
    </row>
    <row r="16140" spans="1:16" x14ac:dyDescent="0.25">
      <c r="A16140" t="s">
        <v>38774</v>
      </c>
      <c r="B16140" t="s">
        <v>10836</v>
      </c>
      <c r="C16140" t="s">
        <v>10837</v>
      </c>
      <c r="D16140" t="str">
        <f>"4643"</f>
        <v>4643</v>
      </c>
      <c r="E16140" t="s">
        <v>205</v>
      </c>
      <c r="F16140" t="s">
        <v>0</v>
      </c>
      <c r="G16140" t="s">
        <v>47091</v>
      </c>
      <c r="H16140" t="s">
        <v>47126</v>
      </c>
      <c r="I16140" t="s">
        <v>47127</v>
      </c>
      <c r="J16140" t="s">
        <v>47128</v>
      </c>
      <c r="K16140" t="s">
        <v>47113</v>
      </c>
      <c r="L16140">
        <v>13.4</v>
      </c>
      <c r="M16140">
        <v>30</v>
      </c>
      <c r="N16140">
        <v>0</v>
      </c>
      <c r="O16140">
        <v>30</v>
      </c>
      <c r="P16140">
        <v>0</v>
      </c>
    </row>
    <row r="16141" spans="1:16" x14ac:dyDescent="0.25">
      <c r="A16141" t="s">
        <v>38775</v>
      </c>
      <c r="B16141" t="s">
        <v>10836</v>
      </c>
      <c r="C16141" t="s">
        <v>10837</v>
      </c>
      <c r="D16141" t="str">
        <f>"4729"</f>
        <v>4729</v>
      </c>
      <c r="E16141" t="s">
        <v>2222</v>
      </c>
      <c r="F16141" t="s">
        <v>0</v>
      </c>
      <c r="G16141" t="s">
        <v>47091</v>
      </c>
      <c r="H16141" t="s">
        <v>47126</v>
      </c>
      <c r="I16141" t="s">
        <v>47127</v>
      </c>
      <c r="J16141" t="s">
        <v>47128</v>
      </c>
      <c r="K16141" t="s">
        <v>47113</v>
      </c>
      <c r="L16141">
        <v>13.4</v>
      </c>
      <c r="M16141">
        <v>30</v>
      </c>
      <c r="N16141">
        <v>0</v>
      </c>
      <c r="O16141">
        <v>30</v>
      </c>
      <c r="P16141">
        <v>0</v>
      </c>
    </row>
    <row r="16142" spans="1:16" x14ac:dyDescent="0.25">
      <c r="A16142" t="s">
        <v>38776</v>
      </c>
      <c r="B16142" t="s">
        <v>10836</v>
      </c>
      <c r="C16142" t="s">
        <v>10837</v>
      </c>
      <c r="D16142" t="str">
        <f>"6000"</f>
        <v>6000</v>
      </c>
      <c r="E16142" t="s">
        <v>390</v>
      </c>
      <c r="F16142" t="s">
        <v>0</v>
      </c>
      <c r="G16142" t="s">
        <v>47091</v>
      </c>
      <c r="H16142" t="s">
        <v>47126</v>
      </c>
      <c r="I16142" t="s">
        <v>47127</v>
      </c>
      <c r="J16142" t="s">
        <v>47128</v>
      </c>
      <c r="K16142" t="s">
        <v>47113</v>
      </c>
      <c r="L16142">
        <v>13.4</v>
      </c>
      <c r="M16142">
        <v>30</v>
      </c>
      <c r="N16142">
        <v>0</v>
      </c>
      <c r="O16142">
        <v>30</v>
      </c>
      <c r="P16142">
        <v>0</v>
      </c>
    </row>
    <row r="16143" spans="1:16" x14ac:dyDescent="0.25">
      <c r="A16143" t="s">
        <v>38777</v>
      </c>
      <c r="B16143" t="s">
        <v>10838</v>
      </c>
      <c r="C16143" t="s">
        <v>10837</v>
      </c>
      <c r="D16143" t="str">
        <f>"3000"</f>
        <v>3000</v>
      </c>
      <c r="E16143" t="s">
        <v>4319</v>
      </c>
      <c r="F16143" t="s">
        <v>0</v>
      </c>
      <c r="G16143" t="s">
        <v>47091</v>
      </c>
      <c r="H16143" t="s">
        <v>47126</v>
      </c>
      <c r="I16143" t="s">
        <v>47127</v>
      </c>
      <c r="J16143" t="s">
        <v>47128</v>
      </c>
      <c r="K16143" t="s">
        <v>47113</v>
      </c>
      <c r="L16143">
        <v>14.36</v>
      </c>
      <c r="M16143">
        <v>30</v>
      </c>
      <c r="N16143">
        <v>0</v>
      </c>
      <c r="O16143">
        <v>30</v>
      </c>
      <c r="P16143">
        <v>0</v>
      </c>
    </row>
    <row r="16144" spans="1:16" x14ac:dyDescent="0.25">
      <c r="A16144" t="s">
        <v>38778</v>
      </c>
      <c r="B16144" t="s">
        <v>10838</v>
      </c>
      <c r="C16144" t="s">
        <v>10837</v>
      </c>
      <c r="D16144" t="str">
        <f>"4000"</f>
        <v>4000</v>
      </c>
      <c r="E16144" t="s">
        <v>2222</v>
      </c>
      <c r="F16144" t="s">
        <v>0</v>
      </c>
      <c r="G16144" t="s">
        <v>47091</v>
      </c>
      <c r="H16144" t="s">
        <v>47126</v>
      </c>
      <c r="I16144" t="s">
        <v>47127</v>
      </c>
      <c r="J16144" t="s">
        <v>47128</v>
      </c>
      <c r="K16144" t="s">
        <v>47113</v>
      </c>
      <c r="L16144">
        <v>14.36</v>
      </c>
      <c r="M16144">
        <v>30</v>
      </c>
      <c r="N16144">
        <v>0</v>
      </c>
      <c r="O16144">
        <v>30</v>
      </c>
      <c r="P16144">
        <v>0</v>
      </c>
    </row>
    <row r="16145" spans="1:16" x14ac:dyDescent="0.25">
      <c r="A16145" t="s">
        <v>38779</v>
      </c>
      <c r="B16145" t="s">
        <v>10838</v>
      </c>
      <c r="C16145" t="s">
        <v>10837</v>
      </c>
      <c r="D16145" t="str">
        <f>"4643"</f>
        <v>4643</v>
      </c>
      <c r="E16145" t="s">
        <v>205</v>
      </c>
      <c r="F16145" t="s">
        <v>0</v>
      </c>
      <c r="G16145" t="s">
        <v>47091</v>
      </c>
      <c r="H16145" t="s">
        <v>47126</v>
      </c>
      <c r="I16145" t="s">
        <v>47127</v>
      </c>
      <c r="J16145" t="s">
        <v>47128</v>
      </c>
      <c r="K16145" t="s">
        <v>47113</v>
      </c>
      <c r="L16145">
        <v>14.36</v>
      </c>
      <c r="M16145">
        <v>30</v>
      </c>
      <c r="N16145">
        <v>0</v>
      </c>
      <c r="O16145">
        <v>30</v>
      </c>
      <c r="P16145">
        <v>0</v>
      </c>
    </row>
    <row r="16146" spans="1:16" x14ac:dyDescent="0.25">
      <c r="A16146" t="s">
        <v>38780</v>
      </c>
      <c r="B16146" t="s">
        <v>10838</v>
      </c>
      <c r="C16146" t="s">
        <v>10837</v>
      </c>
      <c r="D16146" t="str">
        <f>"6000"</f>
        <v>6000</v>
      </c>
      <c r="E16146" t="s">
        <v>390</v>
      </c>
      <c r="F16146" t="s">
        <v>0</v>
      </c>
      <c r="G16146" t="s">
        <v>47091</v>
      </c>
      <c r="H16146" t="s">
        <v>47126</v>
      </c>
      <c r="I16146" t="s">
        <v>47127</v>
      </c>
      <c r="J16146" t="s">
        <v>47128</v>
      </c>
      <c r="K16146" t="s">
        <v>47113</v>
      </c>
      <c r="L16146">
        <v>14.36</v>
      </c>
      <c r="M16146">
        <v>30</v>
      </c>
      <c r="N16146">
        <v>0</v>
      </c>
      <c r="O16146">
        <v>30</v>
      </c>
      <c r="P16146">
        <v>0</v>
      </c>
    </row>
    <row r="16147" spans="1:16" x14ac:dyDescent="0.25">
      <c r="A16147" t="s">
        <v>38781</v>
      </c>
      <c r="B16147" t="s">
        <v>453</v>
      </c>
      <c r="C16147" t="s">
        <v>454</v>
      </c>
      <c r="D16147" t="str">
        <f>"1377"</f>
        <v>1377</v>
      </c>
      <c r="E16147" t="s">
        <v>74</v>
      </c>
      <c r="F16147" t="s">
        <v>0</v>
      </c>
      <c r="G16147" t="s">
        <v>47091</v>
      </c>
      <c r="H16147" t="s">
        <v>47126</v>
      </c>
      <c r="I16147" t="s">
        <v>47127</v>
      </c>
      <c r="J16147" t="s">
        <v>47128</v>
      </c>
      <c r="K16147" t="s">
        <v>47113</v>
      </c>
      <c r="L16147">
        <v>12.67</v>
      </c>
      <c r="M16147">
        <v>26</v>
      </c>
      <c r="N16147">
        <v>0</v>
      </c>
      <c r="O16147">
        <v>26</v>
      </c>
      <c r="P16147">
        <v>0</v>
      </c>
    </row>
    <row r="16148" spans="1:16" x14ac:dyDescent="0.25">
      <c r="A16148" t="s">
        <v>38782</v>
      </c>
      <c r="B16148" t="s">
        <v>453</v>
      </c>
      <c r="C16148" t="s">
        <v>454</v>
      </c>
      <c r="D16148" t="str">
        <f>"1378"</f>
        <v>1378</v>
      </c>
      <c r="E16148" t="s">
        <v>388</v>
      </c>
      <c r="F16148" t="s">
        <v>0</v>
      </c>
      <c r="G16148" t="s">
        <v>47091</v>
      </c>
      <c r="H16148" t="s">
        <v>47126</v>
      </c>
      <c r="I16148" t="s">
        <v>47127</v>
      </c>
      <c r="J16148" t="s">
        <v>47128</v>
      </c>
      <c r="K16148" t="s">
        <v>47113</v>
      </c>
      <c r="L16148">
        <v>12.67</v>
      </c>
      <c r="M16148">
        <v>26</v>
      </c>
      <c r="N16148">
        <v>0</v>
      </c>
      <c r="O16148">
        <v>26</v>
      </c>
      <c r="P16148">
        <v>0</v>
      </c>
    </row>
    <row r="16149" spans="1:16" x14ac:dyDescent="0.25">
      <c r="A16149" t="s">
        <v>38783</v>
      </c>
      <c r="B16149" t="s">
        <v>453</v>
      </c>
      <c r="C16149" t="s">
        <v>454</v>
      </c>
      <c r="D16149" t="str">
        <f>"1700"</f>
        <v>1700</v>
      </c>
      <c r="E16149" t="s">
        <v>60</v>
      </c>
      <c r="F16149" t="s">
        <v>0</v>
      </c>
      <c r="G16149" t="s">
        <v>47091</v>
      </c>
      <c r="H16149" t="s">
        <v>47126</v>
      </c>
      <c r="I16149" t="s">
        <v>47127</v>
      </c>
      <c r="J16149" t="s">
        <v>47128</v>
      </c>
      <c r="K16149" t="s">
        <v>47113</v>
      </c>
      <c r="L16149">
        <v>12.67</v>
      </c>
      <c r="M16149">
        <v>26</v>
      </c>
      <c r="N16149">
        <v>0</v>
      </c>
      <c r="O16149">
        <v>26</v>
      </c>
      <c r="P16149">
        <v>0</v>
      </c>
    </row>
    <row r="16150" spans="1:16" x14ac:dyDescent="0.25">
      <c r="A16150" t="s">
        <v>38784</v>
      </c>
      <c r="B16150" t="s">
        <v>453</v>
      </c>
      <c r="C16150" t="s">
        <v>454</v>
      </c>
      <c r="D16150" t="str">
        <f>"3000"</f>
        <v>3000</v>
      </c>
      <c r="E16150" t="s">
        <v>4319</v>
      </c>
      <c r="F16150" t="s">
        <v>0</v>
      </c>
      <c r="G16150" t="s">
        <v>47091</v>
      </c>
      <c r="H16150" t="s">
        <v>47126</v>
      </c>
      <c r="I16150" t="s">
        <v>47127</v>
      </c>
      <c r="J16150" t="s">
        <v>47128</v>
      </c>
      <c r="K16150" t="s">
        <v>47113</v>
      </c>
      <c r="L16150">
        <v>12.67</v>
      </c>
      <c r="M16150">
        <v>26</v>
      </c>
      <c r="N16150">
        <v>0</v>
      </c>
      <c r="O16150">
        <v>26</v>
      </c>
      <c r="P16150">
        <v>0</v>
      </c>
    </row>
    <row r="16151" spans="1:16" x14ac:dyDescent="0.25">
      <c r="A16151" t="s">
        <v>38785</v>
      </c>
      <c r="B16151" t="s">
        <v>453</v>
      </c>
      <c r="C16151" t="s">
        <v>454</v>
      </c>
      <c r="D16151" t="str">
        <f>"4000"</f>
        <v>4000</v>
      </c>
      <c r="E16151" t="s">
        <v>2222</v>
      </c>
      <c r="F16151" t="s">
        <v>0</v>
      </c>
      <c r="G16151" t="s">
        <v>47091</v>
      </c>
      <c r="H16151" t="s">
        <v>47126</v>
      </c>
      <c r="I16151" t="s">
        <v>47127</v>
      </c>
      <c r="J16151" t="s">
        <v>47128</v>
      </c>
      <c r="K16151" t="s">
        <v>47113</v>
      </c>
      <c r="L16151">
        <v>12.67</v>
      </c>
      <c r="M16151">
        <v>26</v>
      </c>
      <c r="N16151">
        <v>0</v>
      </c>
      <c r="O16151">
        <v>26</v>
      </c>
      <c r="P16151">
        <v>0</v>
      </c>
    </row>
    <row r="16152" spans="1:16" x14ac:dyDescent="0.25">
      <c r="A16152" t="s">
        <v>38786</v>
      </c>
      <c r="B16152" t="s">
        <v>453</v>
      </c>
      <c r="C16152" t="s">
        <v>454</v>
      </c>
      <c r="D16152" t="str">
        <f>"4643"</f>
        <v>4643</v>
      </c>
      <c r="E16152" t="s">
        <v>205</v>
      </c>
      <c r="F16152" t="s">
        <v>0</v>
      </c>
      <c r="G16152" t="s">
        <v>47091</v>
      </c>
      <c r="H16152" t="s">
        <v>47126</v>
      </c>
      <c r="I16152" t="s">
        <v>47127</v>
      </c>
      <c r="J16152" t="s">
        <v>47128</v>
      </c>
      <c r="K16152" t="s">
        <v>47113</v>
      </c>
      <c r="L16152">
        <v>12.67</v>
      </c>
      <c r="M16152">
        <v>26</v>
      </c>
      <c r="N16152">
        <v>0</v>
      </c>
      <c r="O16152">
        <v>26</v>
      </c>
      <c r="P16152">
        <v>0</v>
      </c>
    </row>
    <row r="16153" spans="1:16" x14ac:dyDescent="0.25">
      <c r="A16153" t="s">
        <v>38787</v>
      </c>
      <c r="B16153" t="s">
        <v>453</v>
      </c>
      <c r="C16153" t="s">
        <v>454</v>
      </c>
      <c r="D16153" t="str">
        <f>"4730"</f>
        <v>4730</v>
      </c>
      <c r="E16153" t="s">
        <v>461</v>
      </c>
      <c r="F16153" t="s">
        <v>0</v>
      </c>
      <c r="G16153" t="s">
        <v>47091</v>
      </c>
      <c r="H16153" t="s">
        <v>47126</v>
      </c>
      <c r="I16153" t="s">
        <v>47127</v>
      </c>
      <c r="J16153" t="s">
        <v>47128</v>
      </c>
      <c r="K16153" t="s">
        <v>47113</v>
      </c>
      <c r="L16153">
        <v>12.67</v>
      </c>
      <c r="M16153">
        <v>26</v>
      </c>
      <c r="N16153">
        <v>0</v>
      </c>
      <c r="O16153">
        <v>26</v>
      </c>
      <c r="P16153">
        <v>0</v>
      </c>
    </row>
    <row r="16154" spans="1:16" x14ac:dyDescent="0.25">
      <c r="A16154" t="s">
        <v>38788</v>
      </c>
      <c r="B16154" t="s">
        <v>453</v>
      </c>
      <c r="C16154" t="s">
        <v>454</v>
      </c>
      <c r="D16154" t="str">
        <f>"6000"</f>
        <v>6000</v>
      </c>
      <c r="E16154" t="s">
        <v>390</v>
      </c>
      <c r="F16154" t="s">
        <v>0</v>
      </c>
      <c r="G16154" t="s">
        <v>47091</v>
      </c>
      <c r="H16154" t="s">
        <v>47126</v>
      </c>
      <c r="I16154" t="s">
        <v>47127</v>
      </c>
      <c r="J16154" t="s">
        <v>47128</v>
      </c>
      <c r="K16154" t="s">
        <v>47113</v>
      </c>
      <c r="L16154">
        <v>12.67</v>
      </c>
      <c r="M16154">
        <v>26</v>
      </c>
      <c r="N16154">
        <v>0</v>
      </c>
      <c r="O16154">
        <v>26</v>
      </c>
      <c r="P16154">
        <v>0</v>
      </c>
    </row>
    <row r="16155" spans="1:16" x14ac:dyDescent="0.25">
      <c r="A16155" t="s">
        <v>38789</v>
      </c>
      <c r="B16155" t="s">
        <v>10839</v>
      </c>
      <c r="C16155" t="s">
        <v>454</v>
      </c>
      <c r="D16155" t="str">
        <f>"1377"</f>
        <v>1377</v>
      </c>
      <c r="E16155" t="s">
        <v>74</v>
      </c>
      <c r="F16155" t="s">
        <v>0</v>
      </c>
      <c r="G16155" t="s">
        <v>47091</v>
      </c>
      <c r="H16155" t="s">
        <v>47126</v>
      </c>
      <c r="I16155" t="s">
        <v>47127</v>
      </c>
      <c r="J16155" t="s">
        <v>47128</v>
      </c>
      <c r="K16155" t="s">
        <v>47113</v>
      </c>
      <c r="L16155">
        <v>12.67</v>
      </c>
      <c r="M16155">
        <v>26</v>
      </c>
      <c r="N16155">
        <v>0</v>
      </c>
      <c r="O16155">
        <v>26</v>
      </c>
      <c r="P16155">
        <v>0</v>
      </c>
    </row>
    <row r="16156" spans="1:16" x14ac:dyDescent="0.25">
      <c r="A16156" t="s">
        <v>38790</v>
      </c>
      <c r="B16156" t="s">
        <v>10839</v>
      </c>
      <c r="C16156" t="s">
        <v>454</v>
      </c>
      <c r="D16156" t="str">
        <f>"1378"</f>
        <v>1378</v>
      </c>
      <c r="E16156" t="s">
        <v>388</v>
      </c>
      <c r="F16156" t="s">
        <v>0</v>
      </c>
      <c r="G16156" t="s">
        <v>47091</v>
      </c>
      <c r="H16156" t="s">
        <v>47126</v>
      </c>
      <c r="I16156" t="s">
        <v>47127</v>
      </c>
      <c r="J16156" t="s">
        <v>47128</v>
      </c>
      <c r="K16156" t="s">
        <v>47113</v>
      </c>
      <c r="L16156">
        <v>12.67</v>
      </c>
      <c r="M16156">
        <v>26</v>
      </c>
      <c r="N16156">
        <v>0</v>
      </c>
      <c r="O16156">
        <v>26</v>
      </c>
      <c r="P16156">
        <v>0</v>
      </c>
    </row>
    <row r="16157" spans="1:16" x14ac:dyDescent="0.25">
      <c r="A16157" t="s">
        <v>38791</v>
      </c>
      <c r="B16157" t="s">
        <v>10839</v>
      </c>
      <c r="C16157" t="s">
        <v>454</v>
      </c>
      <c r="D16157" t="str">
        <f>"1700"</f>
        <v>1700</v>
      </c>
      <c r="E16157" t="s">
        <v>60</v>
      </c>
      <c r="F16157" t="s">
        <v>0</v>
      </c>
      <c r="G16157" t="s">
        <v>47091</v>
      </c>
      <c r="H16157" t="s">
        <v>47126</v>
      </c>
      <c r="I16157" t="s">
        <v>47127</v>
      </c>
      <c r="J16157" t="s">
        <v>47128</v>
      </c>
      <c r="K16157" t="s">
        <v>47113</v>
      </c>
      <c r="L16157">
        <v>12.67</v>
      </c>
      <c r="M16157">
        <v>26</v>
      </c>
      <c r="N16157">
        <v>0</v>
      </c>
      <c r="O16157">
        <v>26</v>
      </c>
      <c r="P16157">
        <v>0</v>
      </c>
    </row>
    <row r="16158" spans="1:16" x14ac:dyDescent="0.25">
      <c r="A16158" t="s">
        <v>38792</v>
      </c>
      <c r="B16158" t="s">
        <v>10839</v>
      </c>
      <c r="C16158" t="s">
        <v>454</v>
      </c>
      <c r="D16158" t="str">
        <f>"3000"</f>
        <v>3000</v>
      </c>
      <c r="E16158" t="s">
        <v>4319</v>
      </c>
      <c r="F16158" t="s">
        <v>0</v>
      </c>
      <c r="G16158" t="s">
        <v>47091</v>
      </c>
      <c r="H16158" t="s">
        <v>47126</v>
      </c>
      <c r="I16158" t="s">
        <v>47127</v>
      </c>
      <c r="J16158" t="s">
        <v>47128</v>
      </c>
      <c r="K16158" t="s">
        <v>47113</v>
      </c>
      <c r="L16158">
        <v>12.67</v>
      </c>
      <c r="M16158">
        <v>26</v>
      </c>
      <c r="N16158">
        <v>0</v>
      </c>
      <c r="O16158">
        <v>26</v>
      </c>
      <c r="P16158">
        <v>0</v>
      </c>
    </row>
    <row r="16159" spans="1:16" x14ac:dyDescent="0.25">
      <c r="A16159" t="s">
        <v>38793</v>
      </c>
      <c r="B16159" t="s">
        <v>10839</v>
      </c>
      <c r="C16159" t="s">
        <v>454</v>
      </c>
      <c r="D16159" t="str">
        <f>"4000"</f>
        <v>4000</v>
      </c>
      <c r="E16159" t="s">
        <v>2222</v>
      </c>
      <c r="F16159" t="s">
        <v>0</v>
      </c>
      <c r="G16159" t="s">
        <v>47091</v>
      </c>
      <c r="H16159" t="s">
        <v>47126</v>
      </c>
      <c r="I16159" t="s">
        <v>47127</v>
      </c>
      <c r="J16159" t="s">
        <v>47128</v>
      </c>
      <c r="K16159" t="s">
        <v>47113</v>
      </c>
      <c r="L16159">
        <v>12.67</v>
      </c>
      <c r="M16159">
        <v>26</v>
      </c>
      <c r="N16159">
        <v>0</v>
      </c>
      <c r="O16159">
        <v>26</v>
      </c>
      <c r="P16159">
        <v>0</v>
      </c>
    </row>
    <row r="16160" spans="1:16" x14ac:dyDescent="0.25">
      <c r="A16160" t="s">
        <v>38794</v>
      </c>
      <c r="B16160" t="s">
        <v>10839</v>
      </c>
      <c r="C16160" t="s">
        <v>454</v>
      </c>
      <c r="D16160" t="str">
        <f>"4643"</f>
        <v>4643</v>
      </c>
      <c r="E16160" t="s">
        <v>205</v>
      </c>
      <c r="F16160" t="s">
        <v>0</v>
      </c>
      <c r="G16160" t="s">
        <v>47091</v>
      </c>
      <c r="H16160" t="s">
        <v>47126</v>
      </c>
      <c r="I16160" t="s">
        <v>47127</v>
      </c>
      <c r="J16160" t="s">
        <v>47128</v>
      </c>
      <c r="K16160" t="s">
        <v>47113</v>
      </c>
      <c r="L16160">
        <v>12.67</v>
      </c>
      <c r="M16160">
        <v>26</v>
      </c>
      <c r="N16160">
        <v>0</v>
      </c>
      <c r="O16160">
        <v>26</v>
      </c>
      <c r="P16160">
        <v>0</v>
      </c>
    </row>
    <row r="16161" spans="1:16" x14ac:dyDescent="0.25">
      <c r="A16161" t="s">
        <v>38795</v>
      </c>
      <c r="B16161" t="s">
        <v>10839</v>
      </c>
      <c r="C16161" t="s">
        <v>454</v>
      </c>
      <c r="D16161" t="str">
        <f>"4729"</f>
        <v>4729</v>
      </c>
      <c r="E16161" t="s">
        <v>2222</v>
      </c>
      <c r="F16161" t="s">
        <v>0</v>
      </c>
      <c r="G16161" t="s">
        <v>47091</v>
      </c>
      <c r="H16161" t="s">
        <v>47126</v>
      </c>
      <c r="I16161" t="s">
        <v>47127</v>
      </c>
      <c r="J16161" t="s">
        <v>47128</v>
      </c>
      <c r="K16161" t="s">
        <v>47113</v>
      </c>
      <c r="L16161">
        <v>12.67</v>
      </c>
      <c r="M16161">
        <v>26</v>
      </c>
      <c r="N16161">
        <v>0</v>
      </c>
      <c r="O16161">
        <v>26</v>
      </c>
      <c r="P16161">
        <v>0</v>
      </c>
    </row>
    <row r="16162" spans="1:16" x14ac:dyDescent="0.25">
      <c r="A16162" t="s">
        <v>38796</v>
      </c>
      <c r="B16162" t="s">
        <v>10839</v>
      </c>
      <c r="C16162" t="s">
        <v>454</v>
      </c>
      <c r="D16162" t="str">
        <f>"4730"</f>
        <v>4730</v>
      </c>
      <c r="E16162" t="s">
        <v>461</v>
      </c>
      <c r="F16162" t="s">
        <v>0</v>
      </c>
      <c r="G16162" t="s">
        <v>47091</v>
      </c>
      <c r="H16162" t="s">
        <v>47126</v>
      </c>
      <c r="I16162" t="s">
        <v>47127</v>
      </c>
      <c r="J16162" t="s">
        <v>47128</v>
      </c>
      <c r="K16162" t="s">
        <v>47113</v>
      </c>
      <c r="L16162">
        <v>12.67</v>
      </c>
      <c r="M16162">
        <v>26</v>
      </c>
      <c r="N16162">
        <v>0</v>
      </c>
      <c r="O16162">
        <v>26</v>
      </c>
      <c r="P16162">
        <v>0</v>
      </c>
    </row>
    <row r="16163" spans="1:16" x14ac:dyDescent="0.25">
      <c r="A16163" t="s">
        <v>38797</v>
      </c>
      <c r="B16163" t="s">
        <v>10839</v>
      </c>
      <c r="C16163" t="s">
        <v>454</v>
      </c>
      <c r="D16163" t="str">
        <f>"6000"</f>
        <v>6000</v>
      </c>
      <c r="E16163" t="s">
        <v>390</v>
      </c>
      <c r="F16163" t="s">
        <v>0</v>
      </c>
      <c r="G16163" t="s">
        <v>47091</v>
      </c>
      <c r="H16163" t="s">
        <v>47126</v>
      </c>
      <c r="I16163" t="s">
        <v>47127</v>
      </c>
      <c r="J16163" t="s">
        <v>47128</v>
      </c>
      <c r="K16163" t="s">
        <v>47113</v>
      </c>
      <c r="L16163">
        <v>12.67</v>
      </c>
      <c r="M16163">
        <v>26</v>
      </c>
      <c r="N16163">
        <v>0</v>
      </c>
      <c r="O16163">
        <v>26</v>
      </c>
      <c r="P16163">
        <v>0</v>
      </c>
    </row>
    <row r="16164" spans="1:16" x14ac:dyDescent="0.25">
      <c r="A16164" t="s">
        <v>38798</v>
      </c>
      <c r="B16164" t="s">
        <v>455</v>
      </c>
      <c r="C16164" t="s">
        <v>454</v>
      </c>
      <c r="D16164" t="str">
        <f>"1377"</f>
        <v>1377</v>
      </c>
      <c r="E16164" t="s">
        <v>74</v>
      </c>
      <c r="F16164" t="s">
        <v>0</v>
      </c>
      <c r="G16164" t="s">
        <v>47091</v>
      </c>
      <c r="H16164" t="s">
        <v>47126</v>
      </c>
      <c r="I16164" t="s">
        <v>47127</v>
      </c>
      <c r="J16164" t="s">
        <v>47128</v>
      </c>
      <c r="K16164" t="s">
        <v>47113</v>
      </c>
      <c r="L16164">
        <v>12.67</v>
      </c>
      <c r="M16164">
        <v>26</v>
      </c>
      <c r="N16164">
        <v>0</v>
      </c>
      <c r="O16164">
        <v>26</v>
      </c>
      <c r="P16164">
        <v>0</v>
      </c>
    </row>
    <row r="16165" spans="1:16" x14ac:dyDescent="0.25">
      <c r="A16165" t="s">
        <v>38799</v>
      </c>
      <c r="B16165" t="s">
        <v>455</v>
      </c>
      <c r="C16165" t="s">
        <v>454</v>
      </c>
      <c r="D16165" t="str">
        <f>"1378"</f>
        <v>1378</v>
      </c>
      <c r="E16165" t="s">
        <v>388</v>
      </c>
      <c r="F16165" t="s">
        <v>0</v>
      </c>
      <c r="G16165" t="s">
        <v>47091</v>
      </c>
      <c r="H16165" t="s">
        <v>47126</v>
      </c>
      <c r="I16165" t="s">
        <v>47127</v>
      </c>
      <c r="J16165" t="s">
        <v>47128</v>
      </c>
      <c r="K16165" t="s">
        <v>47113</v>
      </c>
      <c r="L16165">
        <v>12.67</v>
      </c>
      <c r="M16165">
        <v>26</v>
      </c>
      <c r="N16165">
        <v>0</v>
      </c>
      <c r="O16165">
        <v>26</v>
      </c>
      <c r="P16165">
        <v>0</v>
      </c>
    </row>
    <row r="16166" spans="1:16" x14ac:dyDescent="0.25">
      <c r="A16166" t="s">
        <v>38800</v>
      </c>
      <c r="B16166" t="s">
        <v>455</v>
      </c>
      <c r="C16166" t="s">
        <v>454</v>
      </c>
      <c r="D16166" t="str">
        <f>"1700"</f>
        <v>1700</v>
      </c>
      <c r="E16166" t="s">
        <v>60</v>
      </c>
      <c r="F16166" t="s">
        <v>0</v>
      </c>
      <c r="G16166" t="s">
        <v>47091</v>
      </c>
      <c r="H16166" t="s">
        <v>47126</v>
      </c>
      <c r="I16166" t="s">
        <v>47127</v>
      </c>
      <c r="J16166" t="s">
        <v>47128</v>
      </c>
      <c r="K16166" t="s">
        <v>47113</v>
      </c>
      <c r="L16166">
        <v>12.67</v>
      </c>
      <c r="M16166">
        <v>26</v>
      </c>
      <c r="N16166">
        <v>0</v>
      </c>
      <c r="O16166">
        <v>26</v>
      </c>
      <c r="P16166">
        <v>0</v>
      </c>
    </row>
    <row r="16167" spans="1:16" x14ac:dyDescent="0.25">
      <c r="A16167" t="s">
        <v>38801</v>
      </c>
      <c r="B16167" t="s">
        <v>455</v>
      </c>
      <c r="C16167" t="s">
        <v>454</v>
      </c>
      <c r="D16167" t="str">
        <f>"3000"</f>
        <v>3000</v>
      </c>
      <c r="E16167" t="s">
        <v>4319</v>
      </c>
      <c r="F16167" t="s">
        <v>0</v>
      </c>
      <c r="G16167" t="s">
        <v>47091</v>
      </c>
      <c r="H16167" t="s">
        <v>47126</v>
      </c>
      <c r="I16167" t="s">
        <v>47127</v>
      </c>
      <c r="J16167" t="s">
        <v>47128</v>
      </c>
      <c r="K16167" t="s">
        <v>47113</v>
      </c>
      <c r="L16167">
        <v>12.67</v>
      </c>
      <c r="M16167">
        <v>26</v>
      </c>
      <c r="N16167">
        <v>0</v>
      </c>
      <c r="O16167">
        <v>26</v>
      </c>
      <c r="P16167">
        <v>0</v>
      </c>
    </row>
    <row r="16168" spans="1:16" x14ac:dyDescent="0.25">
      <c r="A16168" t="s">
        <v>38802</v>
      </c>
      <c r="B16168" t="s">
        <v>455</v>
      </c>
      <c r="C16168" t="s">
        <v>454</v>
      </c>
      <c r="D16168" t="str">
        <f>"4000"</f>
        <v>4000</v>
      </c>
      <c r="E16168" t="s">
        <v>461</v>
      </c>
      <c r="F16168" t="s">
        <v>0</v>
      </c>
      <c r="G16168" t="s">
        <v>47091</v>
      </c>
      <c r="H16168" t="s">
        <v>47126</v>
      </c>
      <c r="I16168" t="s">
        <v>47127</v>
      </c>
      <c r="J16168" t="s">
        <v>47128</v>
      </c>
      <c r="K16168" t="s">
        <v>47113</v>
      </c>
      <c r="L16168">
        <v>12.67</v>
      </c>
      <c r="M16168">
        <v>26</v>
      </c>
      <c r="N16168">
        <v>0</v>
      </c>
      <c r="O16168">
        <v>26</v>
      </c>
      <c r="P16168">
        <v>0</v>
      </c>
    </row>
    <row r="16169" spans="1:16" x14ac:dyDescent="0.25">
      <c r="A16169" t="s">
        <v>38803</v>
      </c>
      <c r="B16169" t="s">
        <v>455</v>
      </c>
      <c r="C16169" t="s">
        <v>454</v>
      </c>
      <c r="D16169" t="str">
        <f>"6000"</f>
        <v>6000</v>
      </c>
      <c r="E16169" t="s">
        <v>390</v>
      </c>
      <c r="F16169" t="s">
        <v>0</v>
      </c>
      <c r="G16169" t="s">
        <v>47091</v>
      </c>
      <c r="H16169" t="s">
        <v>47126</v>
      </c>
      <c r="I16169" t="s">
        <v>47127</v>
      </c>
      <c r="J16169" t="s">
        <v>47128</v>
      </c>
      <c r="K16169" t="s">
        <v>47113</v>
      </c>
      <c r="L16169">
        <v>12.67</v>
      </c>
      <c r="M16169">
        <v>26</v>
      </c>
      <c r="N16169">
        <v>0</v>
      </c>
      <c r="O16169">
        <v>26</v>
      </c>
      <c r="P16169">
        <v>0</v>
      </c>
    </row>
    <row r="16170" spans="1:16" x14ac:dyDescent="0.25">
      <c r="A16170" t="s">
        <v>38804</v>
      </c>
      <c r="B16170" t="s">
        <v>10840</v>
      </c>
      <c r="C16170" t="s">
        <v>454</v>
      </c>
      <c r="D16170" t="str">
        <f>"1285"</f>
        <v>1285</v>
      </c>
      <c r="E16170" t="s">
        <v>4312</v>
      </c>
      <c r="F16170" t="s">
        <v>0</v>
      </c>
      <c r="G16170" t="s">
        <v>47091</v>
      </c>
      <c r="H16170" t="s">
        <v>47126</v>
      </c>
      <c r="I16170" t="s">
        <v>47127</v>
      </c>
      <c r="J16170" t="s">
        <v>47128</v>
      </c>
      <c r="K16170" t="s">
        <v>47113</v>
      </c>
      <c r="L16170">
        <v>12.67</v>
      </c>
      <c r="M16170">
        <v>26</v>
      </c>
      <c r="N16170">
        <v>0</v>
      </c>
      <c r="O16170">
        <v>26</v>
      </c>
      <c r="P16170">
        <v>0</v>
      </c>
    </row>
    <row r="16171" spans="1:16" x14ac:dyDescent="0.25">
      <c r="A16171" t="s">
        <v>38805</v>
      </c>
      <c r="B16171" t="s">
        <v>10840</v>
      </c>
      <c r="C16171" t="s">
        <v>454</v>
      </c>
      <c r="D16171" t="str">
        <f>"1377"</f>
        <v>1377</v>
      </c>
      <c r="E16171" t="s">
        <v>74</v>
      </c>
      <c r="F16171" t="s">
        <v>0</v>
      </c>
      <c r="G16171" t="s">
        <v>47091</v>
      </c>
      <c r="H16171" t="s">
        <v>47126</v>
      </c>
      <c r="I16171" t="s">
        <v>47127</v>
      </c>
      <c r="J16171" t="s">
        <v>47128</v>
      </c>
      <c r="K16171" t="s">
        <v>47113</v>
      </c>
      <c r="L16171">
        <v>12.67</v>
      </c>
      <c r="M16171">
        <v>26</v>
      </c>
      <c r="N16171">
        <v>0</v>
      </c>
      <c r="O16171">
        <v>26</v>
      </c>
      <c r="P16171">
        <v>0</v>
      </c>
    </row>
    <row r="16172" spans="1:16" x14ac:dyDescent="0.25">
      <c r="A16172" t="s">
        <v>38806</v>
      </c>
      <c r="B16172" t="s">
        <v>10840</v>
      </c>
      <c r="C16172" t="s">
        <v>454</v>
      </c>
      <c r="D16172" t="str">
        <f>"1378"</f>
        <v>1378</v>
      </c>
      <c r="E16172" t="s">
        <v>388</v>
      </c>
      <c r="F16172" t="s">
        <v>0</v>
      </c>
      <c r="G16172" t="s">
        <v>47091</v>
      </c>
      <c r="H16172" t="s">
        <v>47126</v>
      </c>
      <c r="I16172" t="s">
        <v>47127</v>
      </c>
      <c r="J16172" t="s">
        <v>47128</v>
      </c>
      <c r="K16172" t="s">
        <v>47113</v>
      </c>
      <c r="L16172">
        <v>12.67</v>
      </c>
      <c r="M16172">
        <v>26</v>
      </c>
      <c r="N16172">
        <v>0</v>
      </c>
      <c r="O16172">
        <v>26</v>
      </c>
      <c r="P16172">
        <v>0</v>
      </c>
    </row>
    <row r="16173" spans="1:16" x14ac:dyDescent="0.25">
      <c r="A16173" t="s">
        <v>38807</v>
      </c>
      <c r="B16173" t="s">
        <v>10840</v>
      </c>
      <c r="C16173" t="s">
        <v>454</v>
      </c>
      <c r="D16173" t="str">
        <f>"1700"</f>
        <v>1700</v>
      </c>
      <c r="E16173" t="s">
        <v>60</v>
      </c>
      <c r="F16173" t="s">
        <v>0</v>
      </c>
      <c r="G16173" t="s">
        <v>47091</v>
      </c>
      <c r="H16173" t="s">
        <v>47126</v>
      </c>
      <c r="I16173" t="s">
        <v>47127</v>
      </c>
      <c r="J16173" t="s">
        <v>47128</v>
      </c>
      <c r="K16173" t="s">
        <v>47113</v>
      </c>
      <c r="L16173">
        <v>12.67</v>
      </c>
      <c r="M16173">
        <v>26</v>
      </c>
      <c r="N16173">
        <v>0</v>
      </c>
      <c r="O16173">
        <v>26</v>
      </c>
      <c r="P16173">
        <v>0</v>
      </c>
    </row>
    <row r="16174" spans="1:16" x14ac:dyDescent="0.25">
      <c r="A16174" t="s">
        <v>38808</v>
      </c>
      <c r="B16174" t="s">
        <v>10840</v>
      </c>
      <c r="C16174" t="s">
        <v>454</v>
      </c>
      <c r="D16174" t="str">
        <f>"3000"</f>
        <v>3000</v>
      </c>
      <c r="E16174" t="s">
        <v>4319</v>
      </c>
      <c r="F16174" t="s">
        <v>0</v>
      </c>
      <c r="G16174" t="s">
        <v>47091</v>
      </c>
      <c r="H16174" t="s">
        <v>47126</v>
      </c>
      <c r="I16174" t="s">
        <v>47127</v>
      </c>
      <c r="J16174" t="s">
        <v>47128</v>
      </c>
      <c r="K16174" t="s">
        <v>47113</v>
      </c>
      <c r="L16174">
        <v>12.67</v>
      </c>
      <c r="M16174">
        <v>26</v>
      </c>
      <c r="N16174">
        <v>0</v>
      </c>
      <c r="O16174">
        <v>26</v>
      </c>
      <c r="P16174">
        <v>0</v>
      </c>
    </row>
    <row r="16175" spans="1:16" x14ac:dyDescent="0.25">
      <c r="A16175" t="s">
        <v>38809</v>
      </c>
      <c r="B16175" t="s">
        <v>10840</v>
      </c>
      <c r="C16175" t="s">
        <v>454</v>
      </c>
      <c r="D16175" t="str">
        <f>"4000"</f>
        <v>4000</v>
      </c>
      <c r="E16175" t="s">
        <v>2222</v>
      </c>
      <c r="F16175" t="s">
        <v>0</v>
      </c>
      <c r="G16175" t="s">
        <v>47091</v>
      </c>
      <c r="H16175" t="s">
        <v>47126</v>
      </c>
      <c r="I16175" t="s">
        <v>47127</v>
      </c>
      <c r="J16175" t="s">
        <v>47128</v>
      </c>
      <c r="K16175" t="s">
        <v>47113</v>
      </c>
      <c r="L16175">
        <v>12.67</v>
      </c>
      <c r="M16175">
        <v>26</v>
      </c>
      <c r="N16175">
        <v>0</v>
      </c>
      <c r="O16175">
        <v>26</v>
      </c>
      <c r="P16175">
        <v>0</v>
      </c>
    </row>
    <row r="16176" spans="1:16" x14ac:dyDescent="0.25">
      <c r="A16176" t="s">
        <v>38810</v>
      </c>
      <c r="B16176" t="s">
        <v>10840</v>
      </c>
      <c r="C16176" t="s">
        <v>454</v>
      </c>
      <c r="D16176" t="str">
        <f>"4730"</f>
        <v>4730</v>
      </c>
      <c r="E16176" t="s">
        <v>461</v>
      </c>
      <c r="F16176" t="s">
        <v>0</v>
      </c>
      <c r="G16176" t="s">
        <v>47091</v>
      </c>
      <c r="H16176" t="s">
        <v>47126</v>
      </c>
      <c r="I16176" t="s">
        <v>47127</v>
      </c>
      <c r="J16176" t="s">
        <v>47128</v>
      </c>
      <c r="K16176" t="s">
        <v>47113</v>
      </c>
      <c r="L16176">
        <v>12.67</v>
      </c>
      <c r="M16176">
        <v>26</v>
      </c>
      <c r="N16176">
        <v>0</v>
      </c>
      <c r="O16176">
        <v>26</v>
      </c>
      <c r="P16176">
        <v>0</v>
      </c>
    </row>
    <row r="16177" spans="1:16" x14ac:dyDescent="0.25">
      <c r="A16177" t="s">
        <v>38811</v>
      </c>
      <c r="B16177" t="s">
        <v>10840</v>
      </c>
      <c r="C16177" t="s">
        <v>454</v>
      </c>
      <c r="D16177" t="str">
        <f>"6000"</f>
        <v>6000</v>
      </c>
      <c r="E16177" t="s">
        <v>390</v>
      </c>
      <c r="F16177" t="s">
        <v>0</v>
      </c>
      <c r="G16177" t="s">
        <v>47091</v>
      </c>
      <c r="H16177" t="s">
        <v>47126</v>
      </c>
      <c r="I16177" t="s">
        <v>47127</v>
      </c>
      <c r="J16177" t="s">
        <v>47128</v>
      </c>
      <c r="K16177" t="s">
        <v>47113</v>
      </c>
      <c r="L16177">
        <v>12.67</v>
      </c>
      <c r="M16177">
        <v>26</v>
      </c>
      <c r="N16177">
        <v>0</v>
      </c>
      <c r="O16177">
        <v>26</v>
      </c>
      <c r="P16177">
        <v>0</v>
      </c>
    </row>
    <row r="16178" spans="1:16" x14ac:dyDescent="0.25">
      <c r="A16178" t="s">
        <v>38812</v>
      </c>
      <c r="B16178" t="s">
        <v>456</v>
      </c>
      <c r="C16178" t="s">
        <v>457</v>
      </c>
      <c r="D16178" t="str">
        <f>"1377"</f>
        <v>1377</v>
      </c>
      <c r="E16178" t="s">
        <v>74</v>
      </c>
      <c r="F16178" t="s">
        <v>0</v>
      </c>
      <c r="G16178" t="s">
        <v>47091</v>
      </c>
      <c r="H16178" t="s">
        <v>47126</v>
      </c>
      <c r="I16178" t="s">
        <v>47127</v>
      </c>
      <c r="J16178" t="s">
        <v>47128</v>
      </c>
      <c r="K16178" t="s">
        <v>47113</v>
      </c>
      <c r="L16178">
        <v>12.67</v>
      </c>
      <c r="M16178">
        <v>26</v>
      </c>
      <c r="N16178">
        <v>0</v>
      </c>
      <c r="O16178">
        <v>26</v>
      </c>
      <c r="P16178">
        <v>0</v>
      </c>
    </row>
    <row r="16179" spans="1:16" x14ac:dyDescent="0.25">
      <c r="A16179" t="s">
        <v>38813</v>
      </c>
      <c r="B16179" t="s">
        <v>456</v>
      </c>
      <c r="C16179" t="s">
        <v>457</v>
      </c>
      <c r="D16179" t="str">
        <f>"1378"</f>
        <v>1378</v>
      </c>
      <c r="E16179" t="s">
        <v>388</v>
      </c>
      <c r="F16179" t="s">
        <v>0</v>
      </c>
      <c r="G16179" t="s">
        <v>47091</v>
      </c>
      <c r="H16179" t="s">
        <v>47126</v>
      </c>
      <c r="I16179" t="s">
        <v>47127</v>
      </c>
      <c r="J16179" t="s">
        <v>47128</v>
      </c>
      <c r="K16179" t="s">
        <v>47113</v>
      </c>
      <c r="L16179">
        <v>12.67</v>
      </c>
      <c r="M16179">
        <v>26</v>
      </c>
      <c r="N16179">
        <v>0</v>
      </c>
      <c r="O16179">
        <v>26</v>
      </c>
      <c r="P16179">
        <v>0</v>
      </c>
    </row>
    <row r="16180" spans="1:16" x14ac:dyDescent="0.25">
      <c r="A16180" t="s">
        <v>38814</v>
      </c>
      <c r="B16180" t="s">
        <v>456</v>
      </c>
      <c r="C16180" t="s">
        <v>457</v>
      </c>
      <c r="D16180" t="str">
        <f>"1700"</f>
        <v>1700</v>
      </c>
      <c r="E16180" t="s">
        <v>60</v>
      </c>
      <c r="F16180" t="s">
        <v>0</v>
      </c>
      <c r="G16180" t="s">
        <v>47091</v>
      </c>
      <c r="H16180" t="s">
        <v>47126</v>
      </c>
      <c r="I16180" t="s">
        <v>47127</v>
      </c>
      <c r="J16180" t="s">
        <v>47128</v>
      </c>
      <c r="K16180" t="s">
        <v>47113</v>
      </c>
      <c r="L16180">
        <v>12.67</v>
      </c>
      <c r="M16180">
        <v>26</v>
      </c>
      <c r="N16180">
        <v>0</v>
      </c>
      <c r="O16180">
        <v>26</v>
      </c>
      <c r="P16180">
        <v>0</v>
      </c>
    </row>
    <row r="16181" spans="1:16" x14ac:dyDescent="0.25">
      <c r="A16181" t="s">
        <v>38815</v>
      </c>
      <c r="B16181" t="s">
        <v>456</v>
      </c>
      <c r="C16181" t="s">
        <v>457</v>
      </c>
      <c r="D16181" t="str">
        <f>"4000"</f>
        <v>4000</v>
      </c>
      <c r="E16181" t="s">
        <v>461</v>
      </c>
      <c r="F16181" t="s">
        <v>0</v>
      </c>
      <c r="G16181" t="s">
        <v>47091</v>
      </c>
      <c r="H16181" t="s">
        <v>47126</v>
      </c>
      <c r="I16181" t="s">
        <v>47127</v>
      </c>
      <c r="J16181" t="s">
        <v>47128</v>
      </c>
      <c r="K16181" t="s">
        <v>47113</v>
      </c>
      <c r="L16181">
        <v>12.67</v>
      </c>
      <c r="M16181">
        <v>26</v>
      </c>
      <c r="N16181">
        <v>0</v>
      </c>
      <c r="O16181">
        <v>26</v>
      </c>
      <c r="P16181">
        <v>0</v>
      </c>
    </row>
    <row r="16182" spans="1:16" x14ac:dyDescent="0.25">
      <c r="A16182" t="s">
        <v>38816</v>
      </c>
      <c r="B16182" t="s">
        <v>456</v>
      </c>
      <c r="C16182" t="s">
        <v>457</v>
      </c>
      <c r="D16182" t="str">
        <f>"4643"</f>
        <v>4643</v>
      </c>
      <c r="E16182" t="s">
        <v>205</v>
      </c>
      <c r="F16182" t="s">
        <v>0</v>
      </c>
      <c r="G16182" t="s">
        <v>47091</v>
      </c>
      <c r="H16182" t="s">
        <v>47126</v>
      </c>
      <c r="I16182" t="s">
        <v>47127</v>
      </c>
      <c r="J16182" t="s">
        <v>47128</v>
      </c>
      <c r="K16182" t="s">
        <v>47113</v>
      </c>
      <c r="L16182">
        <v>12.67</v>
      </c>
      <c r="M16182">
        <v>26</v>
      </c>
      <c r="N16182">
        <v>0</v>
      </c>
      <c r="O16182">
        <v>26</v>
      </c>
      <c r="P16182">
        <v>0</v>
      </c>
    </row>
    <row r="16183" spans="1:16" x14ac:dyDescent="0.25">
      <c r="A16183" t="s">
        <v>38817</v>
      </c>
      <c r="B16183" t="s">
        <v>456</v>
      </c>
      <c r="C16183" t="s">
        <v>457</v>
      </c>
      <c r="D16183" t="str">
        <f>"4730"</f>
        <v>4730</v>
      </c>
      <c r="E16183" t="s">
        <v>461</v>
      </c>
      <c r="F16183" t="s">
        <v>0</v>
      </c>
      <c r="G16183" t="s">
        <v>47091</v>
      </c>
      <c r="H16183" t="s">
        <v>47126</v>
      </c>
      <c r="I16183" t="s">
        <v>47127</v>
      </c>
      <c r="J16183" t="s">
        <v>47128</v>
      </c>
      <c r="K16183" t="s">
        <v>47113</v>
      </c>
      <c r="L16183">
        <v>12.67</v>
      </c>
      <c r="M16183">
        <v>26</v>
      </c>
      <c r="N16183">
        <v>0</v>
      </c>
      <c r="O16183">
        <v>26</v>
      </c>
      <c r="P16183">
        <v>0</v>
      </c>
    </row>
    <row r="16184" spans="1:16" x14ac:dyDescent="0.25">
      <c r="A16184" t="s">
        <v>38818</v>
      </c>
      <c r="B16184" t="s">
        <v>456</v>
      </c>
      <c r="C16184" t="s">
        <v>457</v>
      </c>
      <c r="D16184" t="str">
        <f>"6000"</f>
        <v>6000</v>
      </c>
      <c r="E16184" t="s">
        <v>390</v>
      </c>
      <c r="F16184" t="s">
        <v>0</v>
      </c>
      <c r="G16184" t="s">
        <v>47091</v>
      </c>
      <c r="H16184" t="s">
        <v>47126</v>
      </c>
      <c r="I16184" t="s">
        <v>47127</v>
      </c>
      <c r="J16184" t="s">
        <v>47128</v>
      </c>
      <c r="K16184" t="s">
        <v>47113</v>
      </c>
      <c r="L16184">
        <v>12.67</v>
      </c>
      <c r="M16184">
        <v>26</v>
      </c>
      <c r="N16184">
        <v>0</v>
      </c>
      <c r="O16184">
        <v>26</v>
      </c>
      <c r="P16184">
        <v>0</v>
      </c>
    </row>
    <row r="16185" spans="1:16" x14ac:dyDescent="0.25">
      <c r="A16185" t="s">
        <v>38819</v>
      </c>
      <c r="B16185" t="s">
        <v>10841</v>
      </c>
      <c r="C16185" t="s">
        <v>457</v>
      </c>
      <c r="D16185" t="str">
        <f>"1377"</f>
        <v>1377</v>
      </c>
      <c r="E16185" t="s">
        <v>74</v>
      </c>
      <c r="F16185" t="s">
        <v>0</v>
      </c>
      <c r="G16185" t="s">
        <v>47091</v>
      </c>
      <c r="H16185" t="s">
        <v>47126</v>
      </c>
      <c r="I16185" t="s">
        <v>47127</v>
      </c>
      <c r="J16185" t="s">
        <v>47128</v>
      </c>
      <c r="K16185" t="s">
        <v>47113</v>
      </c>
      <c r="L16185">
        <v>12.67</v>
      </c>
      <c r="M16185">
        <v>26</v>
      </c>
      <c r="N16185">
        <v>0</v>
      </c>
      <c r="O16185">
        <v>26</v>
      </c>
      <c r="P16185">
        <v>0</v>
      </c>
    </row>
    <row r="16186" spans="1:16" x14ac:dyDescent="0.25">
      <c r="A16186" t="s">
        <v>38820</v>
      </c>
      <c r="B16186" t="s">
        <v>10841</v>
      </c>
      <c r="C16186" t="s">
        <v>457</v>
      </c>
      <c r="D16186" t="str">
        <f>"1378"</f>
        <v>1378</v>
      </c>
      <c r="E16186" t="s">
        <v>388</v>
      </c>
      <c r="F16186" t="s">
        <v>0</v>
      </c>
      <c r="G16186" t="s">
        <v>47091</v>
      </c>
      <c r="H16186" t="s">
        <v>47126</v>
      </c>
      <c r="I16186" t="s">
        <v>47127</v>
      </c>
      <c r="J16186" t="s">
        <v>47128</v>
      </c>
      <c r="K16186" t="s">
        <v>47113</v>
      </c>
      <c r="L16186">
        <v>12.67</v>
      </c>
      <c r="M16186">
        <v>26</v>
      </c>
      <c r="N16186">
        <v>0</v>
      </c>
      <c r="O16186">
        <v>26</v>
      </c>
      <c r="P16186">
        <v>0</v>
      </c>
    </row>
    <row r="16187" spans="1:16" x14ac:dyDescent="0.25">
      <c r="A16187" t="s">
        <v>38821</v>
      </c>
      <c r="B16187" t="s">
        <v>10841</v>
      </c>
      <c r="C16187" t="s">
        <v>457</v>
      </c>
      <c r="D16187" t="str">
        <f>"1700"</f>
        <v>1700</v>
      </c>
      <c r="E16187" t="s">
        <v>60</v>
      </c>
      <c r="F16187" t="s">
        <v>0</v>
      </c>
      <c r="G16187" t="s">
        <v>47091</v>
      </c>
      <c r="H16187" t="s">
        <v>47126</v>
      </c>
      <c r="I16187" t="s">
        <v>47127</v>
      </c>
      <c r="J16187" t="s">
        <v>47128</v>
      </c>
      <c r="K16187" t="s">
        <v>47113</v>
      </c>
      <c r="L16187">
        <v>12.67</v>
      </c>
      <c r="M16187">
        <v>26</v>
      </c>
      <c r="N16187">
        <v>0</v>
      </c>
      <c r="O16187">
        <v>26</v>
      </c>
      <c r="P16187">
        <v>0</v>
      </c>
    </row>
    <row r="16188" spans="1:16" x14ac:dyDescent="0.25">
      <c r="A16188" t="s">
        <v>38822</v>
      </c>
      <c r="B16188" t="s">
        <v>10841</v>
      </c>
      <c r="C16188" t="s">
        <v>457</v>
      </c>
      <c r="D16188" t="str">
        <f>"3000"</f>
        <v>3000</v>
      </c>
      <c r="E16188" t="s">
        <v>4319</v>
      </c>
      <c r="F16188" t="s">
        <v>0</v>
      </c>
      <c r="G16188" t="s">
        <v>47091</v>
      </c>
      <c r="H16188" t="s">
        <v>47126</v>
      </c>
      <c r="I16188" t="s">
        <v>47127</v>
      </c>
      <c r="J16188" t="s">
        <v>47128</v>
      </c>
      <c r="K16188" t="s">
        <v>47113</v>
      </c>
      <c r="L16188">
        <v>12.67</v>
      </c>
      <c r="M16188">
        <v>26</v>
      </c>
      <c r="N16188">
        <v>0</v>
      </c>
      <c r="O16188">
        <v>26</v>
      </c>
      <c r="P16188">
        <v>0</v>
      </c>
    </row>
    <row r="16189" spans="1:16" x14ac:dyDescent="0.25">
      <c r="A16189" t="s">
        <v>38823</v>
      </c>
      <c r="B16189" t="s">
        <v>10841</v>
      </c>
      <c r="C16189" t="s">
        <v>457</v>
      </c>
      <c r="D16189" t="str">
        <f>"4000"</f>
        <v>4000</v>
      </c>
      <c r="E16189" t="s">
        <v>461</v>
      </c>
      <c r="F16189" t="s">
        <v>0</v>
      </c>
      <c r="G16189" t="s">
        <v>47091</v>
      </c>
      <c r="H16189" t="s">
        <v>47126</v>
      </c>
      <c r="I16189" t="s">
        <v>47127</v>
      </c>
      <c r="J16189" t="s">
        <v>47128</v>
      </c>
      <c r="K16189" t="s">
        <v>47113</v>
      </c>
      <c r="L16189">
        <v>12.67</v>
      </c>
      <c r="M16189">
        <v>26</v>
      </c>
      <c r="N16189">
        <v>0</v>
      </c>
      <c r="O16189">
        <v>26</v>
      </c>
      <c r="P16189">
        <v>0</v>
      </c>
    </row>
    <row r="16190" spans="1:16" x14ac:dyDescent="0.25">
      <c r="A16190" t="s">
        <v>38824</v>
      </c>
      <c r="B16190" t="s">
        <v>10841</v>
      </c>
      <c r="C16190" t="s">
        <v>457</v>
      </c>
      <c r="D16190" t="str">
        <f>"4643"</f>
        <v>4643</v>
      </c>
      <c r="E16190" t="s">
        <v>205</v>
      </c>
      <c r="F16190" t="s">
        <v>0</v>
      </c>
      <c r="G16190" t="s">
        <v>47091</v>
      </c>
      <c r="H16190" t="s">
        <v>47126</v>
      </c>
      <c r="I16190" t="s">
        <v>47127</v>
      </c>
      <c r="J16190" t="s">
        <v>47128</v>
      </c>
      <c r="K16190" t="s">
        <v>47113</v>
      </c>
      <c r="L16190">
        <v>12.67</v>
      </c>
      <c r="M16190">
        <v>26</v>
      </c>
      <c r="N16190">
        <v>0</v>
      </c>
      <c r="O16190">
        <v>26</v>
      </c>
      <c r="P16190">
        <v>0</v>
      </c>
    </row>
    <row r="16191" spans="1:16" x14ac:dyDescent="0.25">
      <c r="A16191" t="s">
        <v>38825</v>
      </c>
      <c r="B16191" t="s">
        <v>10841</v>
      </c>
      <c r="C16191" t="s">
        <v>457</v>
      </c>
      <c r="D16191" t="str">
        <f>"4730"</f>
        <v>4730</v>
      </c>
      <c r="E16191" t="s">
        <v>461</v>
      </c>
      <c r="F16191" t="s">
        <v>0</v>
      </c>
      <c r="G16191" t="s">
        <v>47091</v>
      </c>
      <c r="H16191" t="s">
        <v>47126</v>
      </c>
      <c r="I16191" t="s">
        <v>47127</v>
      </c>
      <c r="J16191" t="s">
        <v>47128</v>
      </c>
      <c r="K16191" t="s">
        <v>47113</v>
      </c>
      <c r="L16191">
        <v>12.67</v>
      </c>
      <c r="M16191">
        <v>26</v>
      </c>
      <c r="N16191">
        <v>0</v>
      </c>
      <c r="O16191">
        <v>26</v>
      </c>
      <c r="P16191">
        <v>0</v>
      </c>
    </row>
    <row r="16192" spans="1:16" x14ac:dyDescent="0.25">
      <c r="A16192" t="s">
        <v>38826</v>
      </c>
      <c r="B16192" t="s">
        <v>10841</v>
      </c>
      <c r="C16192" t="s">
        <v>457</v>
      </c>
      <c r="D16192" t="str">
        <f>"6000"</f>
        <v>6000</v>
      </c>
      <c r="E16192" t="s">
        <v>390</v>
      </c>
      <c r="F16192" t="s">
        <v>0</v>
      </c>
      <c r="G16192" t="s">
        <v>47091</v>
      </c>
      <c r="H16192" t="s">
        <v>47126</v>
      </c>
      <c r="I16192" t="s">
        <v>47127</v>
      </c>
      <c r="J16192" t="s">
        <v>47128</v>
      </c>
      <c r="K16192" t="s">
        <v>47113</v>
      </c>
      <c r="L16192">
        <v>12.67</v>
      </c>
      <c r="M16192">
        <v>26</v>
      </c>
      <c r="N16192">
        <v>0</v>
      </c>
      <c r="O16192">
        <v>26</v>
      </c>
      <c r="P16192">
        <v>0</v>
      </c>
    </row>
    <row r="16193" spans="1:16" x14ac:dyDescent="0.25">
      <c r="A16193" t="s">
        <v>38827</v>
      </c>
      <c r="B16193" t="s">
        <v>10842</v>
      </c>
      <c r="C16193" t="s">
        <v>457</v>
      </c>
      <c r="D16193" t="str">
        <f>"1001"</f>
        <v>1001</v>
      </c>
      <c r="E16193" t="s">
        <v>4318</v>
      </c>
      <c r="F16193" t="s">
        <v>0</v>
      </c>
      <c r="G16193" t="s">
        <v>47094</v>
      </c>
      <c r="H16193" t="s">
        <v>47126</v>
      </c>
      <c r="I16193" t="s">
        <v>47127</v>
      </c>
      <c r="J16193" t="s">
        <v>47128</v>
      </c>
      <c r="K16193" t="s">
        <v>47113</v>
      </c>
      <c r="L16193">
        <v>10.26</v>
      </c>
      <c r="M16193">
        <v>22</v>
      </c>
      <c r="N16193">
        <v>0</v>
      </c>
      <c r="O16193">
        <v>22</v>
      </c>
      <c r="P16193">
        <v>0</v>
      </c>
    </row>
    <row r="16194" spans="1:16" x14ac:dyDescent="0.25">
      <c r="A16194" t="s">
        <v>38828</v>
      </c>
      <c r="B16194" t="s">
        <v>10842</v>
      </c>
      <c r="C16194" t="s">
        <v>457</v>
      </c>
      <c r="D16194" t="str">
        <f>"1377"</f>
        <v>1377</v>
      </c>
      <c r="E16194" t="s">
        <v>74</v>
      </c>
      <c r="F16194" t="s">
        <v>0</v>
      </c>
      <c r="G16194" t="s">
        <v>47094</v>
      </c>
      <c r="H16194" t="s">
        <v>47126</v>
      </c>
      <c r="I16194" t="s">
        <v>47127</v>
      </c>
      <c r="J16194" t="s">
        <v>47128</v>
      </c>
      <c r="K16194" t="s">
        <v>47113</v>
      </c>
      <c r="L16194">
        <v>10.26</v>
      </c>
      <c r="M16194">
        <v>22</v>
      </c>
      <c r="N16194">
        <v>0</v>
      </c>
      <c r="O16194">
        <v>22</v>
      </c>
      <c r="P16194">
        <v>0</v>
      </c>
    </row>
    <row r="16195" spans="1:16" x14ac:dyDescent="0.25">
      <c r="A16195" t="s">
        <v>38829</v>
      </c>
      <c r="B16195" t="s">
        <v>10842</v>
      </c>
      <c r="C16195" t="s">
        <v>457</v>
      </c>
      <c r="D16195" t="str">
        <f>"3489"</f>
        <v>3489</v>
      </c>
      <c r="E16195" t="s">
        <v>2221</v>
      </c>
      <c r="F16195" t="s">
        <v>0</v>
      </c>
      <c r="G16195" t="s">
        <v>47094</v>
      </c>
      <c r="H16195" t="s">
        <v>47126</v>
      </c>
      <c r="I16195" t="s">
        <v>47127</v>
      </c>
      <c r="J16195" t="s">
        <v>47128</v>
      </c>
      <c r="K16195" t="s">
        <v>47113</v>
      </c>
      <c r="L16195">
        <v>10.26</v>
      </c>
      <c r="M16195">
        <v>22</v>
      </c>
      <c r="N16195">
        <v>0</v>
      </c>
      <c r="O16195">
        <v>22</v>
      </c>
      <c r="P16195">
        <v>0</v>
      </c>
    </row>
    <row r="16196" spans="1:16" x14ac:dyDescent="0.25">
      <c r="A16196" t="s">
        <v>38830</v>
      </c>
      <c r="B16196" t="s">
        <v>10842</v>
      </c>
      <c r="C16196" t="s">
        <v>457</v>
      </c>
      <c r="D16196" t="str">
        <f>"4000"</f>
        <v>4000</v>
      </c>
      <c r="E16196" t="s">
        <v>461</v>
      </c>
      <c r="F16196" t="s">
        <v>0</v>
      </c>
      <c r="G16196" t="s">
        <v>47094</v>
      </c>
      <c r="H16196" t="s">
        <v>47126</v>
      </c>
      <c r="I16196" t="s">
        <v>47127</v>
      </c>
      <c r="J16196" t="s">
        <v>47128</v>
      </c>
      <c r="K16196" t="s">
        <v>47113</v>
      </c>
      <c r="L16196">
        <v>10.26</v>
      </c>
      <c r="M16196">
        <v>22</v>
      </c>
      <c r="N16196">
        <v>0</v>
      </c>
      <c r="O16196">
        <v>22</v>
      </c>
      <c r="P16196">
        <v>0</v>
      </c>
    </row>
    <row r="16197" spans="1:16" x14ac:dyDescent="0.25">
      <c r="A16197" t="s">
        <v>38831</v>
      </c>
      <c r="B16197" t="s">
        <v>10842</v>
      </c>
      <c r="C16197" t="s">
        <v>457</v>
      </c>
      <c r="D16197" t="str">
        <f>"4643"</f>
        <v>4643</v>
      </c>
      <c r="E16197" t="s">
        <v>205</v>
      </c>
      <c r="F16197" t="s">
        <v>0</v>
      </c>
      <c r="G16197" t="s">
        <v>47094</v>
      </c>
      <c r="H16197" t="s">
        <v>47126</v>
      </c>
      <c r="I16197" t="s">
        <v>47127</v>
      </c>
      <c r="J16197" t="s">
        <v>47128</v>
      </c>
      <c r="K16197" t="s">
        <v>47113</v>
      </c>
      <c r="L16197">
        <v>10.26</v>
      </c>
      <c r="M16197">
        <v>22</v>
      </c>
      <c r="N16197">
        <v>0</v>
      </c>
      <c r="O16197">
        <v>22</v>
      </c>
      <c r="P16197">
        <v>0</v>
      </c>
    </row>
    <row r="16198" spans="1:16" x14ac:dyDescent="0.25">
      <c r="A16198" t="s">
        <v>38832</v>
      </c>
      <c r="B16198" t="s">
        <v>10842</v>
      </c>
      <c r="C16198" t="s">
        <v>457</v>
      </c>
      <c r="D16198" t="str">
        <f>"4730"</f>
        <v>4730</v>
      </c>
      <c r="E16198" t="s">
        <v>461</v>
      </c>
      <c r="F16198" t="s">
        <v>0</v>
      </c>
      <c r="G16198" t="s">
        <v>47094</v>
      </c>
      <c r="H16198" t="s">
        <v>47126</v>
      </c>
      <c r="I16198" t="s">
        <v>47127</v>
      </c>
      <c r="J16198" t="s">
        <v>47128</v>
      </c>
      <c r="K16198" t="s">
        <v>47113</v>
      </c>
      <c r="L16198">
        <v>10.26</v>
      </c>
      <c r="M16198">
        <v>22</v>
      </c>
      <c r="N16198">
        <v>0</v>
      </c>
      <c r="O16198">
        <v>22</v>
      </c>
      <c r="P16198">
        <v>0</v>
      </c>
    </row>
    <row r="16199" spans="1:16" x14ac:dyDescent="0.25">
      <c r="A16199" t="s">
        <v>38833</v>
      </c>
      <c r="B16199" t="s">
        <v>10842</v>
      </c>
      <c r="C16199" t="s">
        <v>457</v>
      </c>
      <c r="D16199" t="str">
        <f>"6000"</f>
        <v>6000</v>
      </c>
      <c r="E16199" t="s">
        <v>390</v>
      </c>
      <c r="F16199" t="s">
        <v>0</v>
      </c>
      <c r="G16199" t="s">
        <v>47094</v>
      </c>
      <c r="H16199" t="s">
        <v>47126</v>
      </c>
      <c r="I16199" t="s">
        <v>47127</v>
      </c>
      <c r="J16199" t="s">
        <v>47128</v>
      </c>
      <c r="K16199" t="s">
        <v>47113</v>
      </c>
      <c r="L16199">
        <v>10.26</v>
      </c>
      <c r="M16199">
        <v>22</v>
      </c>
      <c r="N16199">
        <v>0</v>
      </c>
      <c r="O16199">
        <v>22</v>
      </c>
      <c r="P16199">
        <v>0</v>
      </c>
    </row>
    <row r="16200" spans="1:16" x14ac:dyDescent="0.25">
      <c r="A16200" t="s">
        <v>38834</v>
      </c>
      <c r="B16200" t="s">
        <v>10843</v>
      </c>
      <c r="C16200" t="s">
        <v>10844</v>
      </c>
      <c r="D16200" t="str">
        <f>"1377"</f>
        <v>1377</v>
      </c>
      <c r="E16200" t="s">
        <v>74</v>
      </c>
      <c r="F16200" t="s">
        <v>0</v>
      </c>
      <c r="G16200" t="s">
        <v>47092</v>
      </c>
      <c r="H16200" t="s">
        <v>47126</v>
      </c>
      <c r="I16200" t="s">
        <v>47127</v>
      </c>
      <c r="J16200" t="s">
        <v>47128</v>
      </c>
      <c r="K16200" t="s">
        <v>47113</v>
      </c>
      <c r="L16200">
        <v>10.74</v>
      </c>
      <c r="M16200">
        <v>22</v>
      </c>
      <c r="N16200">
        <v>0</v>
      </c>
      <c r="O16200">
        <v>22</v>
      </c>
      <c r="P16200">
        <v>0</v>
      </c>
    </row>
    <row r="16201" spans="1:16" x14ac:dyDescent="0.25">
      <c r="A16201" t="s">
        <v>38835</v>
      </c>
      <c r="B16201" t="s">
        <v>10843</v>
      </c>
      <c r="C16201" t="s">
        <v>10844</v>
      </c>
      <c r="D16201" t="str">
        <f>"1378"</f>
        <v>1378</v>
      </c>
      <c r="E16201" t="s">
        <v>388</v>
      </c>
      <c r="F16201" t="s">
        <v>0</v>
      </c>
      <c r="G16201" t="s">
        <v>47092</v>
      </c>
      <c r="H16201" t="s">
        <v>47126</v>
      </c>
      <c r="I16201" t="s">
        <v>47127</v>
      </c>
      <c r="J16201" t="s">
        <v>47128</v>
      </c>
      <c r="K16201" t="s">
        <v>47113</v>
      </c>
      <c r="L16201">
        <v>10.74</v>
      </c>
      <c r="M16201">
        <v>22</v>
      </c>
      <c r="N16201">
        <v>0</v>
      </c>
      <c r="O16201">
        <v>22</v>
      </c>
      <c r="P16201">
        <v>0</v>
      </c>
    </row>
    <row r="16202" spans="1:16" x14ac:dyDescent="0.25">
      <c r="A16202" t="s">
        <v>38836</v>
      </c>
      <c r="B16202" t="s">
        <v>10843</v>
      </c>
      <c r="C16202" t="s">
        <v>10844</v>
      </c>
      <c r="D16202" t="str">
        <f>"1700"</f>
        <v>1700</v>
      </c>
      <c r="E16202" t="s">
        <v>60</v>
      </c>
      <c r="F16202" t="s">
        <v>0</v>
      </c>
      <c r="G16202" t="s">
        <v>47092</v>
      </c>
      <c r="H16202" t="s">
        <v>47126</v>
      </c>
      <c r="I16202" t="s">
        <v>47127</v>
      </c>
      <c r="J16202" t="s">
        <v>47128</v>
      </c>
      <c r="K16202" t="s">
        <v>47113</v>
      </c>
      <c r="L16202">
        <v>10.74</v>
      </c>
      <c r="M16202">
        <v>22</v>
      </c>
      <c r="N16202">
        <v>0</v>
      </c>
      <c r="O16202">
        <v>22</v>
      </c>
      <c r="P16202">
        <v>0</v>
      </c>
    </row>
    <row r="16203" spans="1:16" x14ac:dyDescent="0.25">
      <c r="A16203" t="s">
        <v>38837</v>
      </c>
      <c r="B16203" t="s">
        <v>10843</v>
      </c>
      <c r="C16203" t="s">
        <v>10844</v>
      </c>
      <c r="D16203" t="str">
        <f>"3000"</f>
        <v>3000</v>
      </c>
      <c r="E16203" t="s">
        <v>4319</v>
      </c>
      <c r="F16203" t="s">
        <v>0</v>
      </c>
      <c r="G16203" t="s">
        <v>47092</v>
      </c>
      <c r="H16203" t="s">
        <v>47126</v>
      </c>
      <c r="I16203" t="s">
        <v>47127</v>
      </c>
      <c r="J16203" t="s">
        <v>47128</v>
      </c>
      <c r="K16203" t="s">
        <v>47113</v>
      </c>
      <c r="L16203">
        <v>10.74</v>
      </c>
      <c r="M16203">
        <v>22</v>
      </c>
      <c r="N16203">
        <v>0</v>
      </c>
      <c r="O16203">
        <v>22</v>
      </c>
      <c r="P16203">
        <v>0</v>
      </c>
    </row>
    <row r="16204" spans="1:16" x14ac:dyDescent="0.25">
      <c r="A16204" t="s">
        <v>38838</v>
      </c>
      <c r="B16204" t="s">
        <v>10843</v>
      </c>
      <c r="C16204" t="s">
        <v>10844</v>
      </c>
      <c r="D16204" t="str">
        <f>"4000"</f>
        <v>4000</v>
      </c>
      <c r="E16204" t="s">
        <v>461</v>
      </c>
      <c r="F16204" t="s">
        <v>0</v>
      </c>
      <c r="G16204" t="s">
        <v>47092</v>
      </c>
      <c r="H16204" t="s">
        <v>47126</v>
      </c>
      <c r="I16204" t="s">
        <v>47127</v>
      </c>
      <c r="J16204" t="s">
        <v>47128</v>
      </c>
      <c r="K16204" t="s">
        <v>47113</v>
      </c>
      <c r="L16204">
        <v>10.74</v>
      </c>
      <c r="M16204">
        <v>22</v>
      </c>
      <c r="N16204">
        <v>0</v>
      </c>
      <c r="O16204">
        <v>22</v>
      </c>
      <c r="P16204">
        <v>0</v>
      </c>
    </row>
    <row r="16205" spans="1:16" x14ac:dyDescent="0.25">
      <c r="A16205" t="s">
        <v>38839</v>
      </c>
      <c r="B16205" t="s">
        <v>10843</v>
      </c>
      <c r="C16205" t="s">
        <v>10844</v>
      </c>
      <c r="D16205" t="str">
        <f>"4730"</f>
        <v>4730</v>
      </c>
      <c r="E16205" t="s">
        <v>461</v>
      </c>
      <c r="F16205" t="s">
        <v>0</v>
      </c>
      <c r="G16205" t="s">
        <v>47092</v>
      </c>
      <c r="H16205" t="s">
        <v>47126</v>
      </c>
      <c r="I16205" t="s">
        <v>47127</v>
      </c>
      <c r="J16205" t="s">
        <v>47128</v>
      </c>
      <c r="K16205" t="s">
        <v>47113</v>
      </c>
      <c r="L16205">
        <v>10.26</v>
      </c>
      <c r="M16205">
        <v>22</v>
      </c>
      <c r="N16205">
        <v>0</v>
      </c>
      <c r="O16205">
        <v>22</v>
      </c>
      <c r="P16205">
        <v>0</v>
      </c>
    </row>
    <row r="16206" spans="1:16" x14ac:dyDescent="0.25">
      <c r="A16206" t="s">
        <v>38840</v>
      </c>
      <c r="B16206" t="s">
        <v>10843</v>
      </c>
      <c r="C16206" t="s">
        <v>10844</v>
      </c>
      <c r="D16206" t="str">
        <f>"6000"</f>
        <v>6000</v>
      </c>
      <c r="E16206" t="s">
        <v>390</v>
      </c>
      <c r="F16206" t="s">
        <v>0</v>
      </c>
      <c r="G16206" t="s">
        <v>47092</v>
      </c>
      <c r="H16206" t="s">
        <v>47126</v>
      </c>
      <c r="I16206" t="s">
        <v>47127</v>
      </c>
      <c r="J16206" t="s">
        <v>47128</v>
      </c>
      <c r="K16206" t="s">
        <v>47113</v>
      </c>
      <c r="L16206">
        <v>10.74</v>
      </c>
      <c r="M16206">
        <v>22</v>
      </c>
      <c r="N16206">
        <v>0</v>
      </c>
      <c r="O16206">
        <v>22</v>
      </c>
      <c r="P16206">
        <v>0</v>
      </c>
    </row>
    <row r="16207" spans="1:16" x14ac:dyDescent="0.25">
      <c r="A16207" t="s">
        <v>15098</v>
      </c>
      <c r="B16207" t="s">
        <v>458</v>
      </c>
      <c r="C16207" t="s">
        <v>459</v>
      </c>
      <c r="D16207" t="str">
        <f>"1106"</f>
        <v>1106</v>
      </c>
      <c r="E16207" t="s">
        <v>460</v>
      </c>
      <c r="F16207" t="s">
        <v>0</v>
      </c>
      <c r="G16207" t="s">
        <v>47091</v>
      </c>
      <c r="H16207" t="s">
        <v>47126</v>
      </c>
      <c r="I16207" t="s">
        <v>47127</v>
      </c>
      <c r="J16207" t="s">
        <v>47128</v>
      </c>
      <c r="K16207" t="s">
        <v>47113</v>
      </c>
      <c r="L16207">
        <v>15.57</v>
      </c>
      <c r="M16207">
        <v>33</v>
      </c>
      <c r="N16207">
        <v>0</v>
      </c>
      <c r="O16207">
        <v>33</v>
      </c>
      <c r="P16207">
        <v>0</v>
      </c>
    </row>
    <row r="16208" spans="1:16" x14ac:dyDescent="0.25">
      <c r="A16208" t="s">
        <v>15099</v>
      </c>
      <c r="B16208" t="s">
        <v>458</v>
      </c>
      <c r="C16208" t="s">
        <v>459</v>
      </c>
      <c r="D16208" t="str">
        <f>"1377"</f>
        <v>1377</v>
      </c>
      <c r="E16208" t="s">
        <v>74</v>
      </c>
      <c r="F16208" t="s">
        <v>0</v>
      </c>
      <c r="G16208" t="s">
        <v>47091</v>
      </c>
      <c r="H16208" t="s">
        <v>47126</v>
      </c>
      <c r="I16208" t="s">
        <v>47127</v>
      </c>
      <c r="J16208" t="s">
        <v>47128</v>
      </c>
      <c r="K16208" t="s">
        <v>47113</v>
      </c>
      <c r="L16208">
        <v>15.57</v>
      </c>
      <c r="M16208">
        <v>33</v>
      </c>
      <c r="N16208">
        <v>0</v>
      </c>
      <c r="O16208">
        <v>33</v>
      </c>
      <c r="P16208">
        <v>0</v>
      </c>
    </row>
    <row r="16209" spans="1:16" x14ac:dyDescent="0.25">
      <c r="A16209" t="s">
        <v>15100</v>
      </c>
      <c r="B16209" t="s">
        <v>458</v>
      </c>
      <c r="C16209" t="s">
        <v>459</v>
      </c>
      <c r="D16209" t="str">
        <f>"1378"</f>
        <v>1378</v>
      </c>
      <c r="E16209" t="s">
        <v>388</v>
      </c>
      <c r="F16209" t="s">
        <v>0</v>
      </c>
      <c r="G16209" t="s">
        <v>47091</v>
      </c>
      <c r="H16209" t="s">
        <v>47126</v>
      </c>
      <c r="I16209" t="s">
        <v>47127</v>
      </c>
      <c r="J16209" t="s">
        <v>47128</v>
      </c>
      <c r="K16209" t="s">
        <v>47113</v>
      </c>
      <c r="L16209">
        <v>15.57</v>
      </c>
      <c r="M16209">
        <v>33</v>
      </c>
      <c r="N16209">
        <v>0</v>
      </c>
      <c r="O16209">
        <v>33</v>
      </c>
      <c r="P16209">
        <v>0</v>
      </c>
    </row>
    <row r="16210" spans="1:16" x14ac:dyDescent="0.25">
      <c r="A16210" t="s">
        <v>38841</v>
      </c>
      <c r="B16210" t="s">
        <v>458</v>
      </c>
      <c r="C16210" t="s">
        <v>459</v>
      </c>
      <c r="D16210" t="str">
        <f>"1403"</f>
        <v>1403</v>
      </c>
      <c r="E16210" t="s">
        <v>224</v>
      </c>
      <c r="F16210" t="s">
        <v>0</v>
      </c>
      <c r="G16210" t="s">
        <v>47091</v>
      </c>
      <c r="H16210" t="s">
        <v>47126</v>
      </c>
      <c r="I16210" t="s">
        <v>47127</v>
      </c>
      <c r="J16210" t="s">
        <v>47128</v>
      </c>
      <c r="K16210" t="s">
        <v>47113</v>
      </c>
      <c r="L16210">
        <v>15.57</v>
      </c>
      <c r="M16210">
        <v>33</v>
      </c>
      <c r="N16210">
        <v>0</v>
      </c>
      <c r="O16210">
        <v>33</v>
      </c>
      <c r="P16210">
        <v>0</v>
      </c>
    </row>
    <row r="16211" spans="1:16" x14ac:dyDescent="0.25">
      <c r="A16211" t="s">
        <v>38842</v>
      </c>
      <c r="B16211" t="s">
        <v>458</v>
      </c>
      <c r="C16211" t="s">
        <v>459</v>
      </c>
      <c r="D16211" t="str">
        <f>"1700"</f>
        <v>1700</v>
      </c>
      <c r="E16211" t="s">
        <v>60</v>
      </c>
      <c r="F16211" t="s">
        <v>0</v>
      </c>
      <c r="G16211" t="s">
        <v>47091</v>
      </c>
      <c r="H16211" t="s">
        <v>47126</v>
      </c>
      <c r="I16211" t="s">
        <v>47127</v>
      </c>
      <c r="J16211" t="s">
        <v>47128</v>
      </c>
      <c r="K16211" t="s">
        <v>47113</v>
      </c>
      <c r="L16211">
        <v>15.57</v>
      </c>
      <c r="M16211">
        <v>33</v>
      </c>
      <c r="N16211">
        <v>0</v>
      </c>
      <c r="O16211">
        <v>33</v>
      </c>
      <c r="P16211">
        <v>0</v>
      </c>
    </row>
    <row r="16212" spans="1:16" x14ac:dyDescent="0.25">
      <c r="A16212" t="s">
        <v>38843</v>
      </c>
      <c r="B16212" t="s">
        <v>458</v>
      </c>
      <c r="C16212" t="s">
        <v>459</v>
      </c>
      <c r="D16212" t="str">
        <f>"2166"</f>
        <v>2166</v>
      </c>
      <c r="E16212" t="s">
        <v>80</v>
      </c>
      <c r="F16212" t="s">
        <v>0</v>
      </c>
      <c r="G16212" t="s">
        <v>47091</v>
      </c>
      <c r="H16212" t="s">
        <v>47126</v>
      </c>
      <c r="I16212" t="s">
        <v>47127</v>
      </c>
      <c r="J16212" t="s">
        <v>47128</v>
      </c>
      <c r="K16212" t="s">
        <v>47113</v>
      </c>
      <c r="L16212">
        <v>15.57</v>
      </c>
      <c r="M16212">
        <v>33</v>
      </c>
      <c r="N16212">
        <v>0</v>
      </c>
      <c r="O16212">
        <v>33</v>
      </c>
      <c r="P16212">
        <v>0</v>
      </c>
    </row>
    <row r="16213" spans="1:16" x14ac:dyDescent="0.25">
      <c r="A16213" t="s">
        <v>38844</v>
      </c>
      <c r="B16213" t="s">
        <v>458</v>
      </c>
      <c r="C16213" t="s">
        <v>459</v>
      </c>
      <c r="D16213" t="str">
        <f>"3489"</f>
        <v>3489</v>
      </c>
      <c r="E16213" t="s">
        <v>2221</v>
      </c>
      <c r="F16213" t="s">
        <v>0</v>
      </c>
      <c r="G16213" t="s">
        <v>47091</v>
      </c>
      <c r="H16213" t="s">
        <v>47126</v>
      </c>
      <c r="I16213" t="s">
        <v>47127</v>
      </c>
      <c r="J16213" t="s">
        <v>47128</v>
      </c>
      <c r="K16213" t="s">
        <v>47113</v>
      </c>
      <c r="L16213">
        <v>15.57</v>
      </c>
      <c r="M16213">
        <v>33</v>
      </c>
      <c r="N16213">
        <v>0</v>
      </c>
      <c r="O16213">
        <v>33</v>
      </c>
      <c r="P16213">
        <v>0</v>
      </c>
    </row>
    <row r="16214" spans="1:16" x14ac:dyDescent="0.25">
      <c r="A16214" t="s">
        <v>15101</v>
      </c>
      <c r="B16214" t="s">
        <v>458</v>
      </c>
      <c r="C16214" t="s">
        <v>459</v>
      </c>
      <c r="D16214" t="str">
        <f>"4000"</f>
        <v>4000</v>
      </c>
      <c r="E16214" t="s">
        <v>190</v>
      </c>
      <c r="F16214" t="s">
        <v>0</v>
      </c>
      <c r="G16214" t="s">
        <v>47091</v>
      </c>
      <c r="H16214" t="s">
        <v>47126</v>
      </c>
      <c r="I16214" t="s">
        <v>47127</v>
      </c>
      <c r="J16214" t="s">
        <v>47128</v>
      </c>
      <c r="K16214" t="s">
        <v>47113</v>
      </c>
      <c r="L16214">
        <v>15.57</v>
      </c>
      <c r="M16214">
        <v>33</v>
      </c>
      <c r="N16214">
        <v>0</v>
      </c>
      <c r="O16214">
        <v>33</v>
      </c>
      <c r="P16214">
        <v>0</v>
      </c>
    </row>
    <row r="16215" spans="1:16" x14ac:dyDescent="0.25">
      <c r="A16215" t="s">
        <v>38845</v>
      </c>
      <c r="B16215" t="s">
        <v>458</v>
      </c>
      <c r="C16215" t="s">
        <v>459</v>
      </c>
      <c r="D16215" t="str">
        <f>"4201"</f>
        <v>4201</v>
      </c>
      <c r="E16215" t="s">
        <v>1855</v>
      </c>
      <c r="F16215" t="s">
        <v>0</v>
      </c>
      <c r="G16215" t="s">
        <v>47091</v>
      </c>
      <c r="H16215" t="s">
        <v>47126</v>
      </c>
      <c r="I16215" t="s">
        <v>47127</v>
      </c>
      <c r="J16215" t="s">
        <v>47128</v>
      </c>
      <c r="K16215" t="s">
        <v>47113</v>
      </c>
      <c r="L16215">
        <v>15.57</v>
      </c>
      <c r="M16215">
        <v>33</v>
      </c>
      <c r="N16215">
        <v>0</v>
      </c>
      <c r="O16215">
        <v>33</v>
      </c>
      <c r="P16215">
        <v>0</v>
      </c>
    </row>
    <row r="16216" spans="1:16" x14ac:dyDescent="0.25">
      <c r="A16216" t="s">
        <v>38846</v>
      </c>
      <c r="B16216" t="s">
        <v>458</v>
      </c>
      <c r="C16216" t="s">
        <v>459</v>
      </c>
      <c r="D16216" t="str">
        <f>"4730"</f>
        <v>4730</v>
      </c>
      <c r="E16216" t="s">
        <v>461</v>
      </c>
      <c r="F16216" t="s">
        <v>0</v>
      </c>
      <c r="G16216" t="s">
        <v>47091</v>
      </c>
      <c r="H16216" t="s">
        <v>47126</v>
      </c>
      <c r="I16216" t="s">
        <v>47127</v>
      </c>
      <c r="J16216" t="s">
        <v>47128</v>
      </c>
      <c r="K16216" t="s">
        <v>47113</v>
      </c>
      <c r="L16216">
        <v>15.57</v>
      </c>
      <c r="M16216">
        <v>33</v>
      </c>
      <c r="N16216">
        <v>0</v>
      </c>
      <c r="O16216">
        <v>33</v>
      </c>
      <c r="P16216">
        <v>0</v>
      </c>
    </row>
    <row r="16217" spans="1:16" x14ac:dyDescent="0.25">
      <c r="A16217" t="s">
        <v>38847</v>
      </c>
      <c r="B16217" t="s">
        <v>458</v>
      </c>
      <c r="C16217" t="s">
        <v>459</v>
      </c>
      <c r="D16217" t="str">
        <f>"4753"</f>
        <v>4753</v>
      </c>
      <c r="E16217" t="s">
        <v>3755</v>
      </c>
      <c r="F16217" t="s">
        <v>0</v>
      </c>
      <c r="G16217" t="s">
        <v>47091</v>
      </c>
      <c r="H16217" t="s">
        <v>47126</v>
      </c>
      <c r="I16217" t="s">
        <v>47127</v>
      </c>
      <c r="J16217" t="s">
        <v>47128</v>
      </c>
      <c r="K16217" t="s">
        <v>47113</v>
      </c>
      <c r="L16217">
        <v>15.57</v>
      </c>
      <c r="M16217">
        <v>33</v>
      </c>
      <c r="N16217">
        <v>0</v>
      </c>
      <c r="O16217">
        <v>33</v>
      </c>
      <c r="P16217">
        <v>0</v>
      </c>
    </row>
    <row r="16218" spans="1:16" x14ac:dyDescent="0.25">
      <c r="A16218" t="s">
        <v>38848</v>
      </c>
      <c r="B16218" t="s">
        <v>458</v>
      </c>
      <c r="C16218" t="s">
        <v>459</v>
      </c>
      <c r="D16218" t="str">
        <f>"6000"</f>
        <v>6000</v>
      </c>
      <c r="E16218" t="s">
        <v>390</v>
      </c>
      <c r="F16218" t="s">
        <v>0</v>
      </c>
      <c r="G16218" t="s">
        <v>47091</v>
      </c>
      <c r="H16218" t="s">
        <v>47126</v>
      </c>
      <c r="I16218" t="s">
        <v>47127</v>
      </c>
      <c r="J16218" t="s">
        <v>47128</v>
      </c>
      <c r="K16218" t="s">
        <v>47113</v>
      </c>
      <c r="L16218">
        <v>15.57</v>
      </c>
      <c r="M16218">
        <v>33</v>
      </c>
      <c r="N16218">
        <v>0</v>
      </c>
      <c r="O16218">
        <v>33</v>
      </c>
      <c r="P16218">
        <v>0</v>
      </c>
    </row>
    <row r="16219" spans="1:16" x14ac:dyDescent="0.25">
      <c r="A16219" t="s">
        <v>14683</v>
      </c>
      <c r="B16219" t="s">
        <v>462</v>
      </c>
      <c r="C16219" t="s">
        <v>463</v>
      </c>
      <c r="D16219" t="s">
        <v>464</v>
      </c>
      <c r="E16219" t="s">
        <v>465</v>
      </c>
      <c r="F16219" t="s">
        <v>0</v>
      </c>
      <c r="G16219" t="s">
        <v>47101</v>
      </c>
      <c r="H16219" t="s">
        <v>47153</v>
      </c>
      <c r="I16219" t="s">
        <v>47132</v>
      </c>
      <c r="J16219" t="s">
        <v>47133</v>
      </c>
      <c r="K16219" t="s">
        <v>47113</v>
      </c>
      <c r="L16219">
        <v>52.08</v>
      </c>
      <c r="M16219">
        <v>76</v>
      </c>
      <c r="N16219">
        <v>0</v>
      </c>
      <c r="O16219">
        <v>76</v>
      </c>
      <c r="P16219">
        <v>0</v>
      </c>
    </row>
    <row r="16220" spans="1:16" x14ac:dyDescent="0.25">
      <c r="A16220" t="s">
        <v>14684</v>
      </c>
      <c r="B16220" t="s">
        <v>466</v>
      </c>
      <c r="C16220" t="s">
        <v>463</v>
      </c>
      <c r="D16220" t="s">
        <v>467</v>
      </c>
      <c r="E16220" t="s">
        <v>468</v>
      </c>
      <c r="F16220" t="s">
        <v>0</v>
      </c>
      <c r="G16220" t="s">
        <v>47101</v>
      </c>
      <c r="H16220" t="s">
        <v>47153</v>
      </c>
      <c r="I16220" t="s">
        <v>47132</v>
      </c>
      <c r="J16220" t="s">
        <v>47133</v>
      </c>
      <c r="K16220" t="s">
        <v>47113</v>
      </c>
      <c r="L16220">
        <v>52.68</v>
      </c>
      <c r="M16220">
        <v>76</v>
      </c>
      <c r="N16220">
        <v>0</v>
      </c>
      <c r="O16220">
        <v>76</v>
      </c>
      <c r="P16220">
        <v>0</v>
      </c>
    </row>
    <row r="16221" spans="1:16" x14ac:dyDescent="0.25">
      <c r="A16221" t="s">
        <v>38849</v>
      </c>
      <c r="B16221" t="s">
        <v>469</v>
      </c>
      <c r="C16221" t="s">
        <v>470</v>
      </c>
      <c r="D16221" t="s">
        <v>471</v>
      </c>
      <c r="E16221" t="s">
        <v>472</v>
      </c>
      <c r="F16221" t="s">
        <v>0</v>
      </c>
      <c r="G16221" t="s">
        <v>47101</v>
      </c>
      <c r="H16221" t="s">
        <v>47153</v>
      </c>
      <c r="I16221" t="s">
        <v>47132</v>
      </c>
      <c r="J16221" t="s">
        <v>47133</v>
      </c>
      <c r="K16221" t="s">
        <v>47113</v>
      </c>
      <c r="L16221">
        <v>46.16</v>
      </c>
      <c r="M16221">
        <v>65</v>
      </c>
      <c r="N16221">
        <v>0</v>
      </c>
      <c r="O16221">
        <v>65</v>
      </c>
      <c r="P16221">
        <v>0</v>
      </c>
    </row>
    <row r="16222" spans="1:16" x14ac:dyDescent="0.25">
      <c r="A16222" t="s">
        <v>38850</v>
      </c>
      <c r="B16222" t="s">
        <v>10845</v>
      </c>
      <c r="C16222" t="s">
        <v>10846</v>
      </c>
      <c r="D16222" t="s">
        <v>437</v>
      </c>
      <c r="E16222" t="s">
        <v>438</v>
      </c>
      <c r="F16222" t="s">
        <v>0</v>
      </c>
      <c r="G16222" t="s">
        <v>47101</v>
      </c>
      <c r="H16222" t="s">
        <v>47153</v>
      </c>
      <c r="I16222" t="s">
        <v>47132</v>
      </c>
      <c r="J16222" t="s">
        <v>47133</v>
      </c>
      <c r="K16222" t="s">
        <v>47113</v>
      </c>
      <c r="L16222">
        <v>63.92</v>
      </c>
      <c r="M16222">
        <v>86</v>
      </c>
      <c r="N16222">
        <v>0</v>
      </c>
      <c r="O16222">
        <v>86</v>
      </c>
      <c r="P16222">
        <v>0</v>
      </c>
    </row>
    <row r="16223" spans="1:16" x14ac:dyDescent="0.25">
      <c r="A16223" t="s">
        <v>38851</v>
      </c>
      <c r="B16223" t="s">
        <v>10845</v>
      </c>
      <c r="C16223" t="s">
        <v>10846</v>
      </c>
      <c r="D16223" t="s">
        <v>10847</v>
      </c>
      <c r="E16223" t="s">
        <v>10848</v>
      </c>
      <c r="F16223" t="s">
        <v>0</v>
      </c>
      <c r="G16223" t="s">
        <v>47101</v>
      </c>
      <c r="H16223" t="s">
        <v>47153</v>
      </c>
      <c r="I16223" t="s">
        <v>47132</v>
      </c>
      <c r="J16223" t="s">
        <v>47133</v>
      </c>
      <c r="K16223" t="s">
        <v>47113</v>
      </c>
      <c r="L16223">
        <v>63.92</v>
      </c>
      <c r="M16223">
        <v>86</v>
      </c>
      <c r="N16223">
        <v>0</v>
      </c>
      <c r="O16223">
        <v>86</v>
      </c>
      <c r="P16223">
        <v>0</v>
      </c>
    </row>
    <row r="16224" spans="1:16" x14ac:dyDescent="0.25">
      <c r="A16224" t="s">
        <v>38852</v>
      </c>
      <c r="B16224" t="s">
        <v>10845</v>
      </c>
      <c r="C16224" t="s">
        <v>10846</v>
      </c>
      <c r="D16224" t="s">
        <v>10849</v>
      </c>
      <c r="E16224" t="s">
        <v>10850</v>
      </c>
      <c r="F16224" t="s">
        <v>0</v>
      </c>
      <c r="G16224" t="s">
        <v>47101</v>
      </c>
      <c r="H16224" t="s">
        <v>47153</v>
      </c>
      <c r="I16224" t="s">
        <v>47132</v>
      </c>
      <c r="J16224" t="s">
        <v>47133</v>
      </c>
      <c r="K16224" t="s">
        <v>47113</v>
      </c>
      <c r="L16224">
        <v>63.92</v>
      </c>
      <c r="M16224">
        <v>86</v>
      </c>
      <c r="N16224">
        <v>0</v>
      </c>
      <c r="O16224">
        <v>86</v>
      </c>
      <c r="P16224">
        <v>0</v>
      </c>
    </row>
    <row r="16225" spans="1:16" x14ac:dyDescent="0.25">
      <c r="A16225" t="s">
        <v>38853</v>
      </c>
      <c r="B16225" t="s">
        <v>10845</v>
      </c>
      <c r="C16225" t="s">
        <v>10846</v>
      </c>
      <c r="D16225" t="s">
        <v>4059</v>
      </c>
      <c r="E16225" t="s">
        <v>4060</v>
      </c>
      <c r="F16225" t="s">
        <v>0</v>
      </c>
      <c r="G16225" t="s">
        <v>47101</v>
      </c>
      <c r="H16225" t="s">
        <v>47153</v>
      </c>
      <c r="I16225" t="s">
        <v>47132</v>
      </c>
      <c r="J16225" t="s">
        <v>47133</v>
      </c>
      <c r="K16225" t="s">
        <v>47113</v>
      </c>
      <c r="L16225">
        <v>63.92</v>
      </c>
      <c r="M16225">
        <v>86</v>
      </c>
      <c r="N16225">
        <v>0</v>
      </c>
      <c r="O16225">
        <v>86</v>
      </c>
      <c r="P16225">
        <v>0</v>
      </c>
    </row>
    <row r="16226" spans="1:16" x14ac:dyDescent="0.25">
      <c r="A16226" t="s">
        <v>38854</v>
      </c>
      <c r="B16226" t="s">
        <v>10851</v>
      </c>
      <c r="C16226" t="s">
        <v>10846</v>
      </c>
      <c r="D16226" t="s">
        <v>4464</v>
      </c>
      <c r="E16226" t="s">
        <v>4465</v>
      </c>
      <c r="F16226" t="s">
        <v>0</v>
      </c>
      <c r="G16226" t="s">
        <v>47101</v>
      </c>
      <c r="H16226" t="s">
        <v>47153</v>
      </c>
      <c r="I16226" t="s">
        <v>47132</v>
      </c>
      <c r="J16226" t="s">
        <v>47133</v>
      </c>
      <c r="K16226" t="s">
        <v>47113</v>
      </c>
      <c r="L16226">
        <v>60.37</v>
      </c>
      <c r="M16226">
        <v>75</v>
      </c>
      <c r="N16226">
        <v>0</v>
      </c>
      <c r="O16226">
        <v>75</v>
      </c>
      <c r="P16226">
        <v>0</v>
      </c>
    </row>
    <row r="16227" spans="1:16" x14ac:dyDescent="0.25">
      <c r="A16227" t="s">
        <v>38855</v>
      </c>
      <c r="B16227" t="s">
        <v>473</v>
      </c>
      <c r="C16227" t="s">
        <v>474</v>
      </c>
      <c r="D16227" t="s">
        <v>343</v>
      </c>
      <c r="E16227" t="s">
        <v>344</v>
      </c>
      <c r="F16227" t="s">
        <v>1</v>
      </c>
      <c r="G16227" t="s">
        <v>47093</v>
      </c>
      <c r="H16227" t="s">
        <v>47153</v>
      </c>
      <c r="I16227" t="s">
        <v>47132</v>
      </c>
      <c r="J16227" t="s">
        <v>47133</v>
      </c>
      <c r="K16227" t="s">
        <v>47113</v>
      </c>
      <c r="L16227">
        <v>43.02</v>
      </c>
      <c r="M16227">
        <v>97</v>
      </c>
      <c r="N16227">
        <v>0</v>
      </c>
      <c r="O16227">
        <v>97</v>
      </c>
      <c r="P16227">
        <v>0</v>
      </c>
    </row>
    <row r="16228" spans="1:16" x14ac:dyDescent="0.25">
      <c r="A16228" t="s">
        <v>38856</v>
      </c>
      <c r="B16228" t="s">
        <v>10852</v>
      </c>
      <c r="C16228" t="s">
        <v>10269</v>
      </c>
      <c r="D16228" t="s">
        <v>333</v>
      </c>
      <c r="E16228" t="s">
        <v>334</v>
      </c>
      <c r="F16228" t="s">
        <v>1</v>
      </c>
      <c r="G16228" t="s">
        <v>47093</v>
      </c>
      <c r="H16228" t="s">
        <v>47153</v>
      </c>
      <c r="I16228" t="s">
        <v>47132</v>
      </c>
      <c r="J16228" t="s">
        <v>47133</v>
      </c>
      <c r="K16228" t="s">
        <v>47113</v>
      </c>
      <c r="L16228">
        <v>43.02</v>
      </c>
      <c r="M16228">
        <v>82</v>
      </c>
      <c r="N16228">
        <v>0</v>
      </c>
      <c r="O16228">
        <v>82</v>
      </c>
      <c r="P16228">
        <v>0</v>
      </c>
    </row>
    <row r="16229" spans="1:16" x14ac:dyDescent="0.25">
      <c r="A16229" t="s">
        <v>38857</v>
      </c>
      <c r="B16229" t="s">
        <v>475</v>
      </c>
      <c r="C16229" t="s">
        <v>474</v>
      </c>
      <c r="D16229" t="s">
        <v>476</v>
      </c>
      <c r="E16229" t="s">
        <v>477</v>
      </c>
      <c r="F16229" t="s">
        <v>1</v>
      </c>
      <c r="G16229" t="s">
        <v>47093</v>
      </c>
      <c r="H16229" t="s">
        <v>47153</v>
      </c>
      <c r="I16229" t="s">
        <v>47132</v>
      </c>
      <c r="J16229" t="s">
        <v>47133</v>
      </c>
      <c r="K16229" t="s">
        <v>47113</v>
      </c>
      <c r="L16229">
        <v>48.84</v>
      </c>
      <c r="M16229">
        <v>93</v>
      </c>
      <c r="N16229">
        <v>0</v>
      </c>
      <c r="O16229">
        <v>93</v>
      </c>
      <c r="P16229">
        <v>0</v>
      </c>
    </row>
    <row r="16230" spans="1:16" x14ac:dyDescent="0.25">
      <c r="A16230" t="s">
        <v>38858</v>
      </c>
      <c r="B16230" t="s">
        <v>10853</v>
      </c>
      <c r="C16230" t="s">
        <v>10854</v>
      </c>
      <c r="D16230" t="s">
        <v>333</v>
      </c>
      <c r="E16230" t="s">
        <v>334</v>
      </c>
      <c r="F16230" t="s">
        <v>1</v>
      </c>
      <c r="G16230" t="s">
        <v>47093</v>
      </c>
      <c r="H16230" t="s">
        <v>47153</v>
      </c>
      <c r="I16230" t="s">
        <v>47132</v>
      </c>
      <c r="J16230" t="s">
        <v>47133</v>
      </c>
      <c r="K16230" t="s">
        <v>47113</v>
      </c>
      <c r="L16230">
        <v>42.19</v>
      </c>
      <c r="M16230">
        <v>82</v>
      </c>
      <c r="N16230">
        <v>0</v>
      </c>
      <c r="O16230">
        <v>82</v>
      </c>
      <c r="P16230">
        <v>0</v>
      </c>
    </row>
    <row r="16231" spans="1:16" x14ac:dyDescent="0.25">
      <c r="A16231" t="s">
        <v>38859</v>
      </c>
      <c r="B16231" t="s">
        <v>10853</v>
      </c>
      <c r="C16231" t="s">
        <v>10854</v>
      </c>
      <c r="D16231" t="s">
        <v>10855</v>
      </c>
      <c r="E16231" t="s">
        <v>10856</v>
      </c>
      <c r="F16231" t="s">
        <v>1</v>
      </c>
      <c r="G16231" t="s">
        <v>47093</v>
      </c>
      <c r="H16231" t="s">
        <v>47153</v>
      </c>
      <c r="I16231" t="s">
        <v>47132</v>
      </c>
      <c r="J16231" t="s">
        <v>47133</v>
      </c>
      <c r="K16231" t="s">
        <v>47113</v>
      </c>
      <c r="L16231">
        <v>42.19</v>
      </c>
      <c r="M16231">
        <v>81</v>
      </c>
      <c r="N16231">
        <v>0</v>
      </c>
      <c r="O16231">
        <v>81</v>
      </c>
      <c r="P16231">
        <v>0</v>
      </c>
    </row>
    <row r="16232" spans="1:16" x14ac:dyDescent="0.25">
      <c r="A16232" t="s">
        <v>38860</v>
      </c>
      <c r="B16232" t="s">
        <v>10857</v>
      </c>
      <c r="C16232" t="s">
        <v>369</v>
      </c>
      <c r="D16232" t="s">
        <v>481</v>
      </c>
      <c r="E16232" t="s">
        <v>482</v>
      </c>
      <c r="F16232" t="s">
        <v>1</v>
      </c>
      <c r="G16232" t="s">
        <v>47093</v>
      </c>
      <c r="H16232" t="s">
        <v>47153</v>
      </c>
      <c r="I16232" t="s">
        <v>47132</v>
      </c>
      <c r="J16232" t="s">
        <v>47133</v>
      </c>
      <c r="K16232" t="s">
        <v>47113</v>
      </c>
      <c r="L16232">
        <v>49.42</v>
      </c>
      <c r="M16232">
        <v>94</v>
      </c>
      <c r="N16232">
        <v>0</v>
      </c>
      <c r="O16232">
        <v>94</v>
      </c>
      <c r="P16232">
        <v>0</v>
      </c>
    </row>
    <row r="16233" spans="1:16" x14ac:dyDescent="0.25">
      <c r="A16233" t="s">
        <v>38861</v>
      </c>
      <c r="B16233" t="s">
        <v>478</v>
      </c>
      <c r="C16233" t="s">
        <v>479</v>
      </c>
      <c r="D16233" t="s">
        <v>333</v>
      </c>
      <c r="E16233" t="s">
        <v>334</v>
      </c>
      <c r="F16233" t="s">
        <v>1</v>
      </c>
      <c r="G16233" t="s">
        <v>47093</v>
      </c>
      <c r="H16233" t="s">
        <v>47153</v>
      </c>
      <c r="I16233" t="s">
        <v>47132</v>
      </c>
      <c r="J16233" t="s">
        <v>47133</v>
      </c>
      <c r="K16233" t="s">
        <v>47113</v>
      </c>
      <c r="L16233">
        <v>43.15</v>
      </c>
      <c r="M16233">
        <v>82</v>
      </c>
      <c r="N16233">
        <v>0</v>
      </c>
      <c r="O16233">
        <v>82</v>
      </c>
      <c r="P16233">
        <v>0</v>
      </c>
    </row>
    <row r="16234" spans="1:16" x14ac:dyDescent="0.25">
      <c r="A16234" t="s">
        <v>38862</v>
      </c>
      <c r="B16234" t="s">
        <v>478</v>
      </c>
      <c r="C16234" t="s">
        <v>479</v>
      </c>
      <c r="D16234" t="s">
        <v>10855</v>
      </c>
      <c r="E16234" t="s">
        <v>10856</v>
      </c>
      <c r="F16234" t="s">
        <v>1</v>
      </c>
      <c r="G16234" t="s">
        <v>47093</v>
      </c>
      <c r="H16234" t="s">
        <v>47153</v>
      </c>
      <c r="I16234" t="s">
        <v>47132</v>
      </c>
      <c r="J16234" t="s">
        <v>47133</v>
      </c>
      <c r="K16234" t="s">
        <v>47113</v>
      </c>
      <c r="L16234">
        <v>42.67</v>
      </c>
      <c r="M16234">
        <v>82</v>
      </c>
      <c r="N16234">
        <v>0</v>
      </c>
      <c r="O16234">
        <v>82</v>
      </c>
      <c r="P16234">
        <v>0</v>
      </c>
    </row>
    <row r="16235" spans="1:16" x14ac:dyDescent="0.25">
      <c r="A16235" t="s">
        <v>38863</v>
      </c>
      <c r="B16235" t="s">
        <v>480</v>
      </c>
      <c r="C16235" t="s">
        <v>479</v>
      </c>
      <c r="D16235" t="s">
        <v>476</v>
      </c>
      <c r="E16235" t="s">
        <v>477</v>
      </c>
      <c r="F16235" t="s">
        <v>1</v>
      </c>
      <c r="G16235" t="s">
        <v>47093</v>
      </c>
      <c r="H16235" t="s">
        <v>47153</v>
      </c>
      <c r="I16235" t="s">
        <v>47132</v>
      </c>
      <c r="J16235" t="s">
        <v>47133</v>
      </c>
      <c r="K16235" t="s">
        <v>47113</v>
      </c>
      <c r="L16235">
        <v>49.07</v>
      </c>
      <c r="M16235">
        <v>92</v>
      </c>
      <c r="N16235">
        <v>0</v>
      </c>
      <c r="O16235">
        <v>92</v>
      </c>
      <c r="P16235">
        <v>0</v>
      </c>
    </row>
    <row r="16236" spans="1:16" x14ac:dyDescent="0.25">
      <c r="A16236" t="s">
        <v>14685</v>
      </c>
      <c r="B16236" t="s">
        <v>480</v>
      </c>
      <c r="C16236" t="s">
        <v>479</v>
      </c>
      <c r="D16236" t="s">
        <v>481</v>
      </c>
      <c r="E16236" t="s">
        <v>482</v>
      </c>
      <c r="F16236" t="s">
        <v>1</v>
      </c>
      <c r="G16236" t="s">
        <v>47093</v>
      </c>
      <c r="H16236" t="s">
        <v>47153</v>
      </c>
      <c r="I16236" t="s">
        <v>47132</v>
      </c>
      <c r="J16236" t="s">
        <v>47133</v>
      </c>
      <c r="K16236" t="s">
        <v>47113</v>
      </c>
      <c r="L16236">
        <v>49.07</v>
      </c>
      <c r="M16236">
        <v>94</v>
      </c>
      <c r="N16236">
        <v>0</v>
      </c>
      <c r="O16236">
        <v>94</v>
      </c>
      <c r="P16236">
        <v>0</v>
      </c>
    </row>
    <row r="16237" spans="1:16" x14ac:dyDescent="0.25">
      <c r="A16237" t="s">
        <v>38864</v>
      </c>
      <c r="B16237" t="s">
        <v>483</v>
      </c>
      <c r="C16237" t="s">
        <v>484</v>
      </c>
      <c r="D16237" t="s">
        <v>343</v>
      </c>
      <c r="E16237" t="s">
        <v>344</v>
      </c>
      <c r="F16237" t="s">
        <v>1</v>
      </c>
      <c r="G16237" t="s">
        <v>47093</v>
      </c>
      <c r="H16237" t="s">
        <v>47153</v>
      </c>
      <c r="I16237" t="s">
        <v>47132</v>
      </c>
      <c r="J16237" t="s">
        <v>47133</v>
      </c>
      <c r="K16237" t="s">
        <v>47113</v>
      </c>
      <c r="L16237">
        <v>50.73</v>
      </c>
      <c r="M16237">
        <v>97</v>
      </c>
      <c r="N16237">
        <v>0</v>
      </c>
      <c r="O16237">
        <v>97</v>
      </c>
      <c r="P16237">
        <v>0</v>
      </c>
    </row>
    <row r="16238" spans="1:16" x14ac:dyDescent="0.25">
      <c r="A16238" t="s">
        <v>38865</v>
      </c>
      <c r="B16238" t="s">
        <v>485</v>
      </c>
      <c r="C16238" t="s">
        <v>381</v>
      </c>
      <c r="D16238" t="s">
        <v>476</v>
      </c>
      <c r="E16238" t="s">
        <v>477</v>
      </c>
      <c r="F16238" t="s">
        <v>1</v>
      </c>
      <c r="G16238" t="s">
        <v>47093</v>
      </c>
      <c r="H16238" t="s">
        <v>47153</v>
      </c>
      <c r="I16238" t="s">
        <v>47132</v>
      </c>
      <c r="J16238" t="s">
        <v>47133</v>
      </c>
      <c r="K16238" t="s">
        <v>47113</v>
      </c>
      <c r="L16238">
        <v>48.48</v>
      </c>
      <c r="M16238">
        <v>93</v>
      </c>
      <c r="N16238">
        <v>0</v>
      </c>
      <c r="O16238">
        <v>93</v>
      </c>
      <c r="P16238">
        <v>0</v>
      </c>
    </row>
    <row r="16239" spans="1:16" x14ac:dyDescent="0.25">
      <c r="A16239" t="s">
        <v>38866</v>
      </c>
      <c r="B16239" t="s">
        <v>485</v>
      </c>
      <c r="C16239" t="s">
        <v>381</v>
      </c>
      <c r="D16239" t="s">
        <v>481</v>
      </c>
      <c r="E16239" t="s">
        <v>482</v>
      </c>
      <c r="F16239" t="s">
        <v>1</v>
      </c>
      <c r="G16239" t="s">
        <v>47093</v>
      </c>
      <c r="H16239" t="s">
        <v>47153</v>
      </c>
      <c r="I16239" t="s">
        <v>47132</v>
      </c>
      <c r="J16239" t="s">
        <v>47133</v>
      </c>
      <c r="K16239" t="s">
        <v>47113</v>
      </c>
      <c r="L16239">
        <v>49.42</v>
      </c>
      <c r="M16239">
        <v>94</v>
      </c>
      <c r="N16239">
        <v>0</v>
      </c>
      <c r="O16239">
        <v>94</v>
      </c>
      <c r="P16239">
        <v>0</v>
      </c>
    </row>
    <row r="16240" spans="1:16" x14ac:dyDescent="0.25">
      <c r="A16240" t="s">
        <v>38867</v>
      </c>
      <c r="B16240" t="s">
        <v>486</v>
      </c>
      <c r="C16240" t="s">
        <v>487</v>
      </c>
      <c r="D16240" t="s">
        <v>343</v>
      </c>
      <c r="E16240" t="s">
        <v>344</v>
      </c>
      <c r="F16240" t="s">
        <v>1</v>
      </c>
      <c r="G16240" t="s">
        <v>47093</v>
      </c>
      <c r="H16240" t="s">
        <v>47153</v>
      </c>
      <c r="I16240" t="s">
        <v>47132</v>
      </c>
      <c r="J16240" t="s">
        <v>47133</v>
      </c>
      <c r="K16240" t="s">
        <v>47113</v>
      </c>
      <c r="L16240">
        <v>44.69</v>
      </c>
      <c r="M16240">
        <v>97</v>
      </c>
      <c r="N16240">
        <v>0</v>
      </c>
      <c r="O16240">
        <v>97</v>
      </c>
      <c r="P16240">
        <v>0</v>
      </c>
    </row>
    <row r="16241" spans="1:16" x14ac:dyDescent="0.25">
      <c r="A16241" t="s">
        <v>38868</v>
      </c>
      <c r="B16241" t="s">
        <v>488</v>
      </c>
      <c r="C16241" t="s">
        <v>383</v>
      </c>
      <c r="D16241" t="s">
        <v>333</v>
      </c>
      <c r="E16241" t="s">
        <v>334</v>
      </c>
      <c r="F16241" t="s">
        <v>1</v>
      </c>
      <c r="G16241" t="s">
        <v>47093</v>
      </c>
      <c r="H16241" t="s">
        <v>47153</v>
      </c>
      <c r="I16241" t="s">
        <v>47132</v>
      </c>
      <c r="J16241" t="s">
        <v>47133</v>
      </c>
      <c r="K16241" t="s">
        <v>47113</v>
      </c>
      <c r="L16241">
        <v>44.69</v>
      </c>
      <c r="M16241">
        <v>84</v>
      </c>
      <c r="N16241">
        <v>0</v>
      </c>
      <c r="O16241">
        <v>84</v>
      </c>
      <c r="P16241">
        <v>0</v>
      </c>
    </row>
    <row r="16242" spans="1:16" x14ac:dyDescent="0.25">
      <c r="A16242" t="s">
        <v>38869</v>
      </c>
      <c r="B16242" t="s">
        <v>489</v>
      </c>
      <c r="C16242" t="s">
        <v>487</v>
      </c>
      <c r="D16242" t="s">
        <v>481</v>
      </c>
      <c r="E16242" t="s">
        <v>482</v>
      </c>
      <c r="F16242" t="s">
        <v>1</v>
      </c>
      <c r="G16242" t="s">
        <v>47093</v>
      </c>
      <c r="H16242" t="s">
        <v>47153</v>
      </c>
      <c r="I16242" t="s">
        <v>47132</v>
      </c>
      <c r="J16242" t="s">
        <v>47133</v>
      </c>
      <c r="K16242" t="s">
        <v>47113</v>
      </c>
      <c r="L16242">
        <v>50.02</v>
      </c>
      <c r="M16242">
        <v>96</v>
      </c>
      <c r="N16242">
        <v>0</v>
      </c>
      <c r="O16242">
        <v>96</v>
      </c>
      <c r="P16242">
        <v>0</v>
      </c>
    </row>
    <row r="16243" spans="1:16" x14ac:dyDescent="0.25">
      <c r="A16243" t="s">
        <v>38870</v>
      </c>
      <c r="B16243" t="s">
        <v>10858</v>
      </c>
      <c r="C16243" t="s">
        <v>508</v>
      </c>
      <c r="D16243" t="s">
        <v>333</v>
      </c>
      <c r="E16243" t="s">
        <v>334</v>
      </c>
      <c r="F16243" t="s">
        <v>1</v>
      </c>
      <c r="G16243" t="s">
        <v>47093</v>
      </c>
      <c r="H16243" t="s">
        <v>47153</v>
      </c>
      <c r="I16243" t="s">
        <v>47132</v>
      </c>
      <c r="J16243" t="s">
        <v>47133</v>
      </c>
      <c r="K16243" t="s">
        <v>47113</v>
      </c>
      <c r="L16243">
        <v>42.19</v>
      </c>
      <c r="M16243">
        <v>81</v>
      </c>
      <c r="N16243">
        <v>0</v>
      </c>
      <c r="O16243">
        <v>81</v>
      </c>
      <c r="P16243">
        <v>0</v>
      </c>
    </row>
    <row r="16244" spans="1:16" x14ac:dyDescent="0.25">
      <c r="A16244" t="s">
        <v>38871</v>
      </c>
      <c r="B16244" t="s">
        <v>490</v>
      </c>
      <c r="C16244" t="s">
        <v>491</v>
      </c>
      <c r="D16244" t="s">
        <v>476</v>
      </c>
      <c r="E16244" t="s">
        <v>477</v>
      </c>
      <c r="F16244" t="s">
        <v>1</v>
      </c>
      <c r="G16244" t="s">
        <v>47093</v>
      </c>
      <c r="H16244" t="s">
        <v>47153</v>
      </c>
      <c r="I16244" t="s">
        <v>47132</v>
      </c>
      <c r="J16244" t="s">
        <v>47133</v>
      </c>
      <c r="K16244" t="s">
        <v>47113</v>
      </c>
      <c r="L16244">
        <v>47.29</v>
      </c>
      <c r="M16244">
        <v>90</v>
      </c>
      <c r="N16244">
        <v>0</v>
      </c>
      <c r="O16244">
        <v>90</v>
      </c>
      <c r="P16244">
        <v>0</v>
      </c>
    </row>
    <row r="16245" spans="1:16" x14ac:dyDescent="0.25">
      <c r="A16245" t="s">
        <v>38872</v>
      </c>
      <c r="B16245" t="s">
        <v>492</v>
      </c>
      <c r="C16245" t="s">
        <v>493</v>
      </c>
      <c r="D16245" t="s">
        <v>476</v>
      </c>
      <c r="E16245" t="s">
        <v>477</v>
      </c>
      <c r="F16245" t="s">
        <v>1</v>
      </c>
      <c r="G16245" t="s">
        <v>47093</v>
      </c>
      <c r="H16245" t="s">
        <v>47153</v>
      </c>
      <c r="I16245" t="s">
        <v>47132</v>
      </c>
      <c r="J16245" t="s">
        <v>47133</v>
      </c>
      <c r="K16245" t="s">
        <v>47113</v>
      </c>
      <c r="L16245">
        <v>48.48</v>
      </c>
      <c r="M16245">
        <v>93</v>
      </c>
      <c r="N16245">
        <v>0</v>
      </c>
      <c r="O16245">
        <v>93</v>
      </c>
      <c r="P16245">
        <v>0</v>
      </c>
    </row>
    <row r="16246" spans="1:16" x14ac:dyDescent="0.25">
      <c r="A16246" t="s">
        <v>38873</v>
      </c>
      <c r="B16246" t="s">
        <v>494</v>
      </c>
      <c r="C16246" t="s">
        <v>495</v>
      </c>
      <c r="D16246" t="str">
        <f>"1001"</f>
        <v>1001</v>
      </c>
      <c r="E16246" t="s">
        <v>42</v>
      </c>
      <c r="F16246" t="s">
        <v>1</v>
      </c>
      <c r="G16246" t="s">
        <v>47098</v>
      </c>
      <c r="H16246" t="s">
        <v>47126</v>
      </c>
      <c r="I16246" t="s">
        <v>47127</v>
      </c>
      <c r="J16246" t="s">
        <v>47128</v>
      </c>
      <c r="K16246" t="s">
        <v>47113</v>
      </c>
      <c r="L16246">
        <v>33.22</v>
      </c>
      <c r="M16246">
        <v>70</v>
      </c>
      <c r="N16246">
        <v>0</v>
      </c>
      <c r="O16246">
        <v>70</v>
      </c>
      <c r="P16246">
        <v>0</v>
      </c>
    </row>
    <row r="16247" spans="1:16" x14ac:dyDescent="0.25">
      <c r="A16247" t="s">
        <v>38874</v>
      </c>
      <c r="B16247" t="s">
        <v>494</v>
      </c>
      <c r="C16247" t="s">
        <v>495</v>
      </c>
      <c r="D16247" t="str">
        <f>"1377"</f>
        <v>1377</v>
      </c>
      <c r="E16247" t="s">
        <v>74</v>
      </c>
      <c r="F16247" t="s">
        <v>1</v>
      </c>
      <c r="G16247" t="s">
        <v>47098</v>
      </c>
      <c r="H16247" t="s">
        <v>47126</v>
      </c>
      <c r="I16247" t="s">
        <v>47127</v>
      </c>
      <c r="J16247" t="s">
        <v>47128</v>
      </c>
      <c r="K16247" t="s">
        <v>47113</v>
      </c>
      <c r="L16247">
        <v>33.22</v>
      </c>
      <c r="M16247">
        <v>70</v>
      </c>
      <c r="N16247">
        <v>0</v>
      </c>
      <c r="O16247">
        <v>70</v>
      </c>
      <c r="P16247">
        <v>0</v>
      </c>
    </row>
    <row r="16248" spans="1:16" x14ac:dyDescent="0.25">
      <c r="A16248" t="s">
        <v>38875</v>
      </c>
      <c r="B16248" t="s">
        <v>494</v>
      </c>
      <c r="C16248" t="s">
        <v>495</v>
      </c>
      <c r="D16248" t="str">
        <f>"1378"</f>
        <v>1378</v>
      </c>
      <c r="E16248" t="s">
        <v>388</v>
      </c>
      <c r="F16248" t="s">
        <v>1</v>
      </c>
      <c r="G16248" t="s">
        <v>47098</v>
      </c>
      <c r="H16248" t="s">
        <v>47126</v>
      </c>
      <c r="I16248" t="s">
        <v>47127</v>
      </c>
      <c r="J16248" t="s">
        <v>47128</v>
      </c>
      <c r="K16248" t="s">
        <v>47113</v>
      </c>
      <c r="L16248">
        <v>33.22</v>
      </c>
      <c r="M16248">
        <v>70</v>
      </c>
      <c r="N16248">
        <v>0</v>
      </c>
      <c r="O16248">
        <v>70</v>
      </c>
      <c r="P16248">
        <v>0</v>
      </c>
    </row>
    <row r="16249" spans="1:16" x14ac:dyDescent="0.25">
      <c r="A16249" t="s">
        <v>38876</v>
      </c>
      <c r="B16249" t="s">
        <v>494</v>
      </c>
      <c r="C16249" t="s">
        <v>495</v>
      </c>
      <c r="D16249" t="str">
        <f>"1700"</f>
        <v>1700</v>
      </c>
      <c r="E16249" t="s">
        <v>60</v>
      </c>
      <c r="F16249" t="s">
        <v>1</v>
      </c>
      <c r="G16249" t="s">
        <v>47098</v>
      </c>
      <c r="H16249" t="s">
        <v>47126</v>
      </c>
      <c r="I16249" t="s">
        <v>47127</v>
      </c>
      <c r="J16249" t="s">
        <v>47128</v>
      </c>
      <c r="K16249" t="s">
        <v>47113</v>
      </c>
      <c r="L16249">
        <v>33.22</v>
      </c>
      <c r="M16249">
        <v>70</v>
      </c>
      <c r="N16249">
        <v>0</v>
      </c>
      <c r="O16249">
        <v>70</v>
      </c>
      <c r="P16249">
        <v>0</v>
      </c>
    </row>
    <row r="16250" spans="1:16" x14ac:dyDescent="0.25">
      <c r="A16250" t="s">
        <v>38877</v>
      </c>
      <c r="B16250" t="s">
        <v>494</v>
      </c>
      <c r="C16250" t="s">
        <v>495</v>
      </c>
      <c r="D16250" t="str">
        <f>"4729"</f>
        <v>4729</v>
      </c>
      <c r="E16250" t="s">
        <v>2222</v>
      </c>
      <c r="F16250" t="s">
        <v>1</v>
      </c>
      <c r="G16250" t="s">
        <v>47098</v>
      </c>
      <c r="H16250" t="s">
        <v>47126</v>
      </c>
      <c r="I16250" t="s">
        <v>47127</v>
      </c>
      <c r="J16250" t="s">
        <v>47128</v>
      </c>
      <c r="K16250" t="s">
        <v>47113</v>
      </c>
      <c r="L16250">
        <v>33.22</v>
      </c>
      <c r="M16250">
        <v>70</v>
      </c>
      <c r="N16250">
        <v>0</v>
      </c>
      <c r="O16250">
        <v>70</v>
      </c>
      <c r="P16250">
        <v>0</v>
      </c>
    </row>
    <row r="16251" spans="1:16" x14ac:dyDescent="0.25">
      <c r="A16251" t="s">
        <v>38878</v>
      </c>
      <c r="B16251" t="s">
        <v>494</v>
      </c>
      <c r="C16251" t="s">
        <v>495</v>
      </c>
      <c r="D16251" t="str">
        <f>"4730"</f>
        <v>4730</v>
      </c>
      <c r="E16251" t="s">
        <v>461</v>
      </c>
      <c r="F16251" t="s">
        <v>1</v>
      </c>
      <c r="G16251" t="s">
        <v>47098</v>
      </c>
      <c r="H16251" t="s">
        <v>47126</v>
      </c>
      <c r="I16251" t="s">
        <v>47127</v>
      </c>
      <c r="J16251" t="s">
        <v>47128</v>
      </c>
      <c r="K16251" t="s">
        <v>47113</v>
      </c>
      <c r="L16251">
        <v>33.22</v>
      </c>
      <c r="M16251">
        <v>70</v>
      </c>
      <c r="N16251">
        <v>0</v>
      </c>
      <c r="O16251">
        <v>70</v>
      </c>
      <c r="P16251">
        <v>0</v>
      </c>
    </row>
    <row r="16252" spans="1:16" x14ac:dyDescent="0.25">
      <c r="A16252" t="s">
        <v>38879</v>
      </c>
      <c r="B16252" t="s">
        <v>494</v>
      </c>
      <c r="C16252" t="s">
        <v>495</v>
      </c>
      <c r="D16252" t="str">
        <f>"6451"</f>
        <v>6451</v>
      </c>
      <c r="E16252" t="s">
        <v>390</v>
      </c>
      <c r="F16252" t="s">
        <v>1</v>
      </c>
      <c r="G16252" t="s">
        <v>47098</v>
      </c>
      <c r="H16252" t="s">
        <v>47126</v>
      </c>
      <c r="I16252" t="s">
        <v>47127</v>
      </c>
      <c r="J16252" t="s">
        <v>47128</v>
      </c>
      <c r="K16252" t="s">
        <v>47113</v>
      </c>
      <c r="L16252">
        <v>33.22</v>
      </c>
      <c r="M16252">
        <v>70</v>
      </c>
      <c r="N16252">
        <v>0</v>
      </c>
      <c r="O16252">
        <v>70</v>
      </c>
      <c r="P16252">
        <v>0</v>
      </c>
    </row>
    <row r="16253" spans="1:16" x14ac:dyDescent="0.25">
      <c r="A16253" t="s">
        <v>38880</v>
      </c>
      <c r="B16253" t="s">
        <v>494</v>
      </c>
      <c r="C16253" t="s">
        <v>495</v>
      </c>
      <c r="D16253" t="str">
        <f>"7000"</f>
        <v>7000</v>
      </c>
      <c r="E16253" t="s">
        <v>185</v>
      </c>
      <c r="F16253" t="s">
        <v>1</v>
      </c>
      <c r="G16253" t="s">
        <v>47098</v>
      </c>
      <c r="H16253" t="s">
        <v>47126</v>
      </c>
      <c r="I16253" t="s">
        <v>47127</v>
      </c>
      <c r="J16253" t="s">
        <v>47128</v>
      </c>
      <c r="K16253" t="s">
        <v>47113</v>
      </c>
      <c r="L16253">
        <v>33.22</v>
      </c>
      <c r="M16253">
        <v>70</v>
      </c>
      <c r="N16253">
        <v>0</v>
      </c>
      <c r="O16253">
        <v>70</v>
      </c>
      <c r="P16253">
        <v>0</v>
      </c>
    </row>
    <row r="16254" spans="1:16" x14ac:dyDescent="0.25">
      <c r="A16254" t="s">
        <v>38881</v>
      </c>
      <c r="B16254" t="s">
        <v>10859</v>
      </c>
      <c r="C16254" t="s">
        <v>10860</v>
      </c>
      <c r="D16254" t="str">
        <f>"1001"</f>
        <v>1001</v>
      </c>
      <c r="E16254" t="s">
        <v>42</v>
      </c>
      <c r="F16254" t="s">
        <v>1</v>
      </c>
      <c r="G16254" t="s">
        <v>47095</v>
      </c>
      <c r="H16254" t="s">
        <v>47126</v>
      </c>
      <c r="I16254" t="s">
        <v>47127</v>
      </c>
      <c r="J16254" t="s">
        <v>47128</v>
      </c>
      <c r="K16254" t="s">
        <v>47113</v>
      </c>
      <c r="L16254">
        <v>21.39</v>
      </c>
      <c r="M16254">
        <v>44</v>
      </c>
      <c r="N16254">
        <v>0</v>
      </c>
      <c r="O16254">
        <v>44</v>
      </c>
      <c r="P16254">
        <v>0</v>
      </c>
    </row>
    <row r="16255" spans="1:16" x14ac:dyDescent="0.25">
      <c r="A16255" t="s">
        <v>38882</v>
      </c>
      <c r="B16255" t="s">
        <v>10859</v>
      </c>
      <c r="C16255" t="s">
        <v>10860</v>
      </c>
      <c r="D16255" t="str">
        <f>"1377"</f>
        <v>1377</v>
      </c>
      <c r="E16255" t="s">
        <v>74</v>
      </c>
      <c r="F16255" t="s">
        <v>1</v>
      </c>
      <c r="G16255" t="s">
        <v>47095</v>
      </c>
      <c r="H16255" t="s">
        <v>47126</v>
      </c>
      <c r="I16255" t="s">
        <v>47127</v>
      </c>
      <c r="J16255" t="s">
        <v>47128</v>
      </c>
      <c r="K16255" t="s">
        <v>47113</v>
      </c>
      <c r="L16255">
        <v>21.39</v>
      </c>
      <c r="M16255">
        <v>44</v>
      </c>
      <c r="N16255">
        <v>0</v>
      </c>
      <c r="O16255">
        <v>44</v>
      </c>
      <c r="P16255">
        <v>0</v>
      </c>
    </row>
    <row r="16256" spans="1:16" x14ac:dyDescent="0.25">
      <c r="A16256" t="s">
        <v>38883</v>
      </c>
      <c r="B16256" t="s">
        <v>10859</v>
      </c>
      <c r="C16256" t="s">
        <v>10860</v>
      </c>
      <c r="D16256" t="str">
        <f>"1378"</f>
        <v>1378</v>
      </c>
      <c r="E16256" t="s">
        <v>388</v>
      </c>
      <c r="F16256" t="s">
        <v>1</v>
      </c>
      <c r="G16256" t="s">
        <v>47095</v>
      </c>
      <c r="H16256" t="s">
        <v>47126</v>
      </c>
      <c r="I16256" t="s">
        <v>47127</v>
      </c>
      <c r="J16256" t="s">
        <v>47128</v>
      </c>
      <c r="K16256" t="s">
        <v>47113</v>
      </c>
      <c r="L16256">
        <v>21.39</v>
      </c>
      <c r="M16256">
        <v>44</v>
      </c>
      <c r="N16256">
        <v>0</v>
      </c>
      <c r="O16256">
        <v>44</v>
      </c>
      <c r="P16256">
        <v>0</v>
      </c>
    </row>
    <row r="16257" spans="1:16" x14ac:dyDescent="0.25">
      <c r="A16257" t="s">
        <v>38884</v>
      </c>
      <c r="B16257" t="s">
        <v>10859</v>
      </c>
      <c r="C16257" t="s">
        <v>10860</v>
      </c>
      <c r="D16257" t="str">
        <f>"1700"</f>
        <v>1700</v>
      </c>
      <c r="E16257" t="s">
        <v>60</v>
      </c>
      <c r="F16257" t="s">
        <v>1</v>
      </c>
      <c r="G16257" t="s">
        <v>47095</v>
      </c>
      <c r="H16257" t="s">
        <v>47126</v>
      </c>
      <c r="I16257" t="s">
        <v>47127</v>
      </c>
      <c r="J16257" t="s">
        <v>47128</v>
      </c>
      <c r="K16257" t="s">
        <v>47113</v>
      </c>
      <c r="L16257">
        <v>21.39</v>
      </c>
      <c r="M16257">
        <v>44</v>
      </c>
      <c r="N16257">
        <v>0</v>
      </c>
      <c r="O16257">
        <v>44</v>
      </c>
      <c r="P16257">
        <v>0</v>
      </c>
    </row>
    <row r="16258" spans="1:16" x14ac:dyDescent="0.25">
      <c r="A16258" t="s">
        <v>38885</v>
      </c>
      <c r="B16258" t="s">
        <v>10859</v>
      </c>
      <c r="C16258" t="s">
        <v>10860</v>
      </c>
      <c r="D16258" t="str">
        <f>"4729"</f>
        <v>4729</v>
      </c>
      <c r="E16258" t="s">
        <v>2222</v>
      </c>
      <c r="F16258" t="s">
        <v>1</v>
      </c>
      <c r="G16258" t="s">
        <v>47095</v>
      </c>
      <c r="H16258" t="s">
        <v>47126</v>
      </c>
      <c r="I16258" t="s">
        <v>47127</v>
      </c>
      <c r="J16258" t="s">
        <v>47128</v>
      </c>
      <c r="K16258" t="s">
        <v>47113</v>
      </c>
      <c r="L16258">
        <v>21.39</v>
      </c>
      <c r="M16258">
        <v>44</v>
      </c>
      <c r="N16258">
        <v>0</v>
      </c>
      <c r="O16258">
        <v>44</v>
      </c>
      <c r="P16258">
        <v>0</v>
      </c>
    </row>
    <row r="16259" spans="1:16" x14ac:dyDescent="0.25">
      <c r="A16259" t="s">
        <v>38886</v>
      </c>
      <c r="B16259" t="s">
        <v>10859</v>
      </c>
      <c r="C16259" t="s">
        <v>10860</v>
      </c>
      <c r="D16259" t="str">
        <f>"4730"</f>
        <v>4730</v>
      </c>
      <c r="E16259" t="s">
        <v>461</v>
      </c>
      <c r="F16259" t="s">
        <v>1</v>
      </c>
      <c r="G16259" t="s">
        <v>47095</v>
      </c>
      <c r="H16259" t="s">
        <v>47126</v>
      </c>
      <c r="I16259" t="s">
        <v>47127</v>
      </c>
      <c r="J16259" t="s">
        <v>47128</v>
      </c>
      <c r="K16259" t="s">
        <v>47113</v>
      </c>
      <c r="L16259">
        <v>21.39</v>
      </c>
      <c r="M16259">
        <v>44</v>
      </c>
      <c r="N16259">
        <v>0</v>
      </c>
      <c r="O16259">
        <v>44</v>
      </c>
      <c r="P16259">
        <v>0</v>
      </c>
    </row>
    <row r="16260" spans="1:16" x14ac:dyDescent="0.25">
      <c r="A16260" t="s">
        <v>38887</v>
      </c>
      <c r="B16260" t="s">
        <v>10859</v>
      </c>
      <c r="C16260" t="s">
        <v>10860</v>
      </c>
      <c r="D16260" t="str">
        <f>"6451"</f>
        <v>6451</v>
      </c>
      <c r="E16260" t="s">
        <v>390</v>
      </c>
      <c r="F16260" t="s">
        <v>1</v>
      </c>
      <c r="G16260" t="s">
        <v>47095</v>
      </c>
      <c r="H16260" t="s">
        <v>47126</v>
      </c>
      <c r="I16260" t="s">
        <v>47127</v>
      </c>
      <c r="J16260" t="s">
        <v>47128</v>
      </c>
      <c r="K16260" t="s">
        <v>47113</v>
      </c>
      <c r="L16260">
        <v>21.39</v>
      </c>
      <c r="M16260">
        <v>44</v>
      </c>
      <c r="N16260">
        <v>0</v>
      </c>
      <c r="O16260">
        <v>44</v>
      </c>
      <c r="P16260">
        <v>0</v>
      </c>
    </row>
    <row r="16261" spans="1:16" x14ac:dyDescent="0.25">
      <c r="A16261" t="s">
        <v>38888</v>
      </c>
      <c r="B16261" t="s">
        <v>10859</v>
      </c>
      <c r="C16261" t="s">
        <v>10860</v>
      </c>
      <c r="D16261" t="str">
        <f>"7000"</f>
        <v>7000</v>
      </c>
      <c r="E16261" t="s">
        <v>185</v>
      </c>
      <c r="F16261" t="s">
        <v>1</v>
      </c>
      <c r="G16261" t="s">
        <v>47095</v>
      </c>
      <c r="H16261" t="s">
        <v>47126</v>
      </c>
      <c r="I16261" t="s">
        <v>47127</v>
      </c>
      <c r="J16261" t="s">
        <v>47128</v>
      </c>
      <c r="K16261" t="s">
        <v>47113</v>
      </c>
      <c r="L16261">
        <v>21.39</v>
      </c>
      <c r="M16261">
        <v>44</v>
      </c>
      <c r="N16261">
        <v>0</v>
      </c>
      <c r="O16261">
        <v>44</v>
      </c>
      <c r="P16261">
        <v>0</v>
      </c>
    </row>
    <row r="16262" spans="1:16" x14ac:dyDescent="0.25">
      <c r="A16262" t="s">
        <v>15102</v>
      </c>
      <c r="B16262" t="s">
        <v>496</v>
      </c>
      <c r="C16262" t="s">
        <v>497</v>
      </c>
      <c r="D16262" t="str">
        <f>"1001"</f>
        <v>1001</v>
      </c>
      <c r="E16262" t="s">
        <v>42</v>
      </c>
      <c r="F16262" t="s">
        <v>1</v>
      </c>
      <c r="G16262" t="s">
        <v>47095</v>
      </c>
      <c r="H16262" t="s">
        <v>47126</v>
      </c>
      <c r="I16262" t="s">
        <v>47127</v>
      </c>
      <c r="J16262" t="s">
        <v>47128</v>
      </c>
      <c r="K16262" t="s">
        <v>47113</v>
      </c>
      <c r="L16262">
        <v>21.39</v>
      </c>
      <c r="M16262">
        <v>52</v>
      </c>
      <c r="N16262">
        <v>0</v>
      </c>
      <c r="O16262">
        <v>52</v>
      </c>
      <c r="P16262">
        <v>0</v>
      </c>
    </row>
    <row r="16263" spans="1:16" x14ac:dyDescent="0.25">
      <c r="A16263" t="s">
        <v>38889</v>
      </c>
      <c r="B16263" t="s">
        <v>496</v>
      </c>
      <c r="C16263" t="s">
        <v>497</v>
      </c>
      <c r="D16263" t="str">
        <f>"4730"</f>
        <v>4730</v>
      </c>
      <c r="E16263" t="s">
        <v>461</v>
      </c>
      <c r="F16263" t="s">
        <v>1</v>
      </c>
      <c r="G16263" t="s">
        <v>47095</v>
      </c>
      <c r="H16263" t="s">
        <v>47126</v>
      </c>
      <c r="I16263" t="s">
        <v>47127</v>
      </c>
      <c r="J16263" t="s">
        <v>47128</v>
      </c>
      <c r="K16263" t="s">
        <v>47113</v>
      </c>
      <c r="L16263">
        <v>21.39</v>
      </c>
      <c r="M16263">
        <v>52</v>
      </c>
      <c r="N16263">
        <v>0</v>
      </c>
      <c r="O16263">
        <v>52</v>
      </c>
      <c r="P16263">
        <v>0</v>
      </c>
    </row>
    <row r="16264" spans="1:16" x14ac:dyDescent="0.25">
      <c r="A16264" t="s">
        <v>38890</v>
      </c>
      <c r="B16264" t="s">
        <v>496</v>
      </c>
      <c r="C16264" t="s">
        <v>497</v>
      </c>
      <c r="D16264" t="str">
        <f>"6451"</f>
        <v>6451</v>
      </c>
      <c r="E16264" t="s">
        <v>390</v>
      </c>
      <c r="F16264" t="s">
        <v>1</v>
      </c>
      <c r="G16264" t="s">
        <v>47095</v>
      </c>
      <c r="H16264" t="s">
        <v>47126</v>
      </c>
      <c r="I16264" t="s">
        <v>47127</v>
      </c>
      <c r="J16264" t="s">
        <v>47128</v>
      </c>
      <c r="K16264" t="s">
        <v>47113</v>
      </c>
      <c r="L16264">
        <v>21.39</v>
      </c>
      <c r="M16264">
        <v>52</v>
      </c>
      <c r="N16264">
        <v>0</v>
      </c>
      <c r="O16264">
        <v>52</v>
      </c>
      <c r="P16264">
        <v>0</v>
      </c>
    </row>
    <row r="16265" spans="1:16" x14ac:dyDescent="0.25">
      <c r="A16265" t="s">
        <v>38891</v>
      </c>
      <c r="B16265" t="s">
        <v>10861</v>
      </c>
      <c r="C16265" t="s">
        <v>387</v>
      </c>
      <c r="D16265" t="str">
        <f>"1001"</f>
        <v>1001</v>
      </c>
      <c r="E16265" t="s">
        <v>42</v>
      </c>
      <c r="F16265" t="s">
        <v>1</v>
      </c>
      <c r="G16265" t="s">
        <v>47094</v>
      </c>
      <c r="H16265" t="s">
        <v>47126</v>
      </c>
      <c r="I16265" t="s">
        <v>47127</v>
      </c>
      <c r="J16265" t="s">
        <v>47128</v>
      </c>
      <c r="K16265" t="s">
        <v>47113</v>
      </c>
      <c r="L16265">
        <v>33.22</v>
      </c>
      <c r="M16265">
        <v>70</v>
      </c>
      <c r="N16265">
        <v>0</v>
      </c>
      <c r="O16265">
        <v>70</v>
      </c>
      <c r="P16265">
        <v>0</v>
      </c>
    </row>
    <row r="16266" spans="1:16" x14ac:dyDescent="0.25">
      <c r="A16266" t="s">
        <v>38892</v>
      </c>
      <c r="B16266" t="s">
        <v>10861</v>
      </c>
      <c r="C16266" t="s">
        <v>387</v>
      </c>
      <c r="D16266" t="str">
        <f>"1377"</f>
        <v>1377</v>
      </c>
      <c r="E16266" t="s">
        <v>74</v>
      </c>
      <c r="F16266" t="s">
        <v>1</v>
      </c>
      <c r="G16266" t="s">
        <v>47094</v>
      </c>
      <c r="H16266" t="s">
        <v>47126</v>
      </c>
      <c r="I16266" t="s">
        <v>47127</v>
      </c>
      <c r="J16266" t="s">
        <v>47128</v>
      </c>
      <c r="K16266" t="s">
        <v>47113</v>
      </c>
      <c r="L16266">
        <v>33.22</v>
      </c>
      <c r="M16266">
        <v>70</v>
      </c>
      <c r="N16266">
        <v>0</v>
      </c>
      <c r="O16266">
        <v>70</v>
      </c>
      <c r="P16266">
        <v>0</v>
      </c>
    </row>
    <row r="16267" spans="1:16" x14ac:dyDescent="0.25">
      <c r="A16267" t="s">
        <v>38893</v>
      </c>
      <c r="B16267" t="s">
        <v>10861</v>
      </c>
      <c r="C16267" t="s">
        <v>387</v>
      </c>
      <c r="D16267" t="str">
        <f>"1378"</f>
        <v>1378</v>
      </c>
      <c r="E16267" t="s">
        <v>388</v>
      </c>
      <c r="F16267" t="s">
        <v>1</v>
      </c>
      <c r="G16267" t="s">
        <v>47094</v>
      </c>
      <c r="H16267" t="s">
        <v>47126</v>
      </c>
      <c r="I16267" t="s">
        <v>47127</v>
      </c>
      <c r="J16267" t="s">
        <v>47128</v>
      </c>
      <c r="K16267" t="s">
        <v>47113</v>
      </c>
      <c r="L16267">
        <v>33.22</v>
      </c>
      <c r="M16267">
        <v>70</v>
      </c>
      <c r="N16267">
        <v>0</v>
      </c>
      <c r="O16267">
        <v>70</v>
      </c>
      <c r="P16267">
        <v>0</v>
      </c>
    </row>
    <row r="16268" spans="1:16" x14ac:dyDescent="0.25">
      <c r="A16268" t="s">
        <v>38894</v>
      </c>
      <c r="B16268" t="s">
        <v>10861</v>
      </c>
      <c r="C16268" t="s">
        <v>387</v>
      </c>
      <c r="D16268" t="str">
        <f>"1700"</f>
        <v>1700</v>
      </c>
      <c r="E16268" t="s">
        <v>60</v>
      </c>
      <c r="F16268" t="s">
        <v>1</v>
      </c>
      <c r="G16268" t="s">
        <v>47094</v>
      </c>
      <c r="H16268" t="s">
        <v>47126</v>
      </c>
      <c r="I16268" t="s">
        <v>47127</v>
      </c>
      <c r="J16268" t="s">
        <v>47128</v>
      </c>
      <c r="K16268" t="s">
        <v>47113</v>
      </c>
      <c r="L16268">
        <v>33.22</v>
      </c>
      <c r="M16268">
        <v>70</v>
      </c>
      <c r="N16268">
        <v>0</v>
      </c>
      <c r="O16268">
        <v>70</v>
      </c>
      <c r="P16268">
        <v>0</v>
      </c>
    </row>
    <row r="16269" spans="1:16" x14ac:dyDescent="0.25">
      <c r="A16269" t="s">
        <v>38895</v>
      </c>
      <c r="B16269" t="s">
        <v>10861</v>
      </c>
      <c r="C16269" t="s">
        <v>387</v>
      </c>
      <c r="D16269" t="str">
        <f>"4729"</f>
        <v>4729</v>
      </c>
      <c r="E16269" t="s">
        <v>2222</v>
      </c>
      <c r="F16269" t="s">
        <v>1</v>
      </c>
      <c r="G16269" t="s">
        <v>47094</v>
      </c>
      <c r="H16269" t="s">
        <v>47126</v>
      </c>
      <c r="I16269" t="s">
        <v>47127</v>
      </c>
      <c r="J16269" t="s">
        <v>47128</v>
      </c>
      <c r="K16269" t="s">
        <v>47113</v>
      </c>
      <c r="L16269">
        <v>33.22</v>
      </c>
      <c r="M16269">
        <v>70</v>
      </c>
      <c r="N16269">
        <v>0</v>
      </c>
      <c r="O16269">
        <v>70</v>
      </c>
      <c r="P16269">
        <v>0</v>
      </c>
    </row>
    <row r="16270" spans="1:16" x14ac:dyDescent="0.25">
      <c r="A16270" t="s">
        <v>38896</v>
      </c>
      <c r="B16270" t="s">
        <v>10861</v>
      </c>
      <c r="C16270" t="s">
        <v>387</v>
      </c>
      <c r="D16270" t="str">
        <f>"4730"</f>
        <v>4730</v>
      </c>
      <c r="E16270" t="s">
        <v>461</v>
      </c>
      <c r="F16270" t="s">
        <v>1</v>
      </c>
      <c r="G16270" t="s">
        <v>47094</v>
      </c>
      <c r="H16270" t="s">
        <v>47126</v>
      </c>
      <c r="I16270" t="s">
        <v>47127</v>
      </c>
      <c r="J16270" t="s">
        <v>47128</v>
      </c>
      <c r="K16270" t="s">
        <v>47113</v>
      </c>
      <c r="L16270">
        <v>33.22</v>
      </c>
      <c r="M16270">
        <v>70</v>
      </c>
      <c r="N16270">
        <v>0</v>
      </c>
      <c r="O16270">
        <v>70</v>
      </c>
      <c r="P16270">
        <v>0</v>
      </c>
    </row>
    <row r="16271" spans="1:16" x14ac:dyDescent="0.25">
      <c r="A16271" t="s">
        <v>38897</v>
      </c>
      <c r="B16271" t="s">
        <v>10861</v>
      </c>
      <c r="C16271" t="s">
        <v>387</v>
      </c>
      <c r="D16271" t="str">
        <f>"6451"</f>
        <v>6451</v>
      </c>
      <c r="E16271" t="s">
        <v>390</v>
      </c>
      <c r="F16271" t="s">
        <v>1</v>
      </c>
      <c r="G16271" t="s">
        <v>47094</v>
      </c>
      <c r="H16271" t="s">
        <v>47126</v>
      </c>
      <c r="I16271" t="s">
        <v>47127</v>
      </c>
      <c r="J16271" t="s">
        <v>47128</v>
      </c>
      <c r="K16271" t="s">
        <v>47113</v>
      </c>
      <c r="L16271">
        <v>33.22</v>
      </c>
      <c r="M16271">
        <v>70</v>
      </c>
      <c r="N16271">
        <v>0</v>
      </c>
      <c r="O16271">
        <v>70</v>
      </c>
      <c r="P16271">
        <v>0</v>
      </c>
    </row>
    <row r="16272" spans="1:16" x14ac:dyDescent="0.25">
      <c r="A16272" t="s">
        <v>38898</v>
      </c>
      <c r="B16272" t="s">
        <v>10861</v>
      </c>
      <c r="C16272" t="s">
        <v>387</v>
      </c>
      <c r="D16272" t="str">
        <f>"7000"</f>
        <v>7000</v>
      </c>
      <c r="E16272" t="s">
        <v>185</v>
      </c>
      <c r="F16272" t="s">
        <v>1</v>
      </c>
      <c r="G16272" t="s">
        <v>47094</v>
      </c>
      <c r="H16272" t="s">
        <v>47126</v>
      </c>
      <c r="I16272" t="s">
        <v>47127</v>
      </c>
      <c r="J16272" t="s">
        <v>47128</v>
      </c>
      <c r="K16272" t="s">
        <v>47113</v>
      </c>
      <c r="L16272">
        <v>33.22</v>
      </c>
      <c r="M16272">
        <v>70</v>
      </c>
      <c r="N16272">
        <v>0</v>
      </c>
      <c r="O16272">
        <v>70</v>
      </c>
      <c r="P16272">
        <v>0</v>
      </c>
    </row>
    <row r="16273" spans="1:16" x14ac:dyDescent="0.25">
      <c r="A16273" t="s">
        <v>38899</v>
      </c>
      <c r="B16273" t="s">
        <v>10862</v>
      </c>
      <c r="C16273" t="s">
        <v>387</v>
      </c>
      <c r="D16273" t="str">
        <f>"1001"</f>
        <v>1001</v>
      </c>
      <c r="E16273" t="s">
        <v>42</v>
      </c>
      <c r="F16273" t="s">
        <v>1</v>
      </c>
      <c r="G16273" t="s">
        <v>47094</v>
      </c>
      <c r="H16273" t="s">
        <v>47126</v>
      </c>
      <c r="I16273" t="s">
        <v>47127</v>
      </c>
      <c r="J16273" t="s">
        <v>47128</v>
      </c>
      <c r="K16273" t="s">
        <v>47113</v>
      </c>
      <c r="L16273">
        <v>26.58</v>
      </c>
      <c r="M16273">
        <v>65</v>
      </c>
      <c r="N16273">
        <v>0</v>
      </c>
      <c r="O16273">
        <v>65</v>
      </c>
      <c r="P16273">
        <v>0</v>
      </c>
    </row>
    <row r="16274" spans="1:16" x14ac:dyDescent="0.25">
      <c r="A16274" t="s">
        <v>38900</v>
      </c>
      <c r="B16274" t="s">
        <v>10862</v>
      </c>
      <c r="C16274" t="s">
        <v>387</v>
      </c>
      <c r="D16274" t="str">
        <f>"4730"</f>
        <v>4730</v>
      </c>
      <c r="E16274" t="s">
        <v>461</v>
      </c>
      <c r="F16274" t="s">
        <v>1</v>
      </c>
      <c r="G16274" t="s">
        <v>47094</v>
      </c>
      <c r="H16274" t="s">
        <v>47126</v>
      </c>
      <c r="I16274" t="s">
        <v>47127</v>
      </c>
      <c r="J16274" t="s">
        <v>47128</v>
      </c>
      <c r="K16274" t="s">
        <v>47113</v>
      </c>
      <c r="L16274">
        <v>26.58</v>
      </c>
      <c r="M16274">
        <v>65</v>
      </c>
      <c r="N16274">
        <v>0</v>
      </c>
      <c r="O16274">
        <v>65</v>
      </c>
      <c r="P16274">
        <v>0</v>
      </c>
    </row>
    <row r="16275" spans="1:16" x14ac:dyDescent="0.25">
      <c r="A16275" t="s">
        <v>38901</v>
      </c>
      <c r="B16275" t="s">
        <v>10862</v>
      </c>
      <c r="C16275" t="s">
        <v>387</v>
      </c>
      <c r="D16275" t="str">
        <f>"6451"</f>
        <v>6451</v>
      </c>
      <c r="E16275" t="s">
        <v>390</v>
      </c>
      <c r="F16275" t="s">
        <v>1</v>
      </c>
      <c r="G16275" t="s">
        <v>47094</v>
      </c>
      <c r="H16275" t="s">
        <v>47126</v>
      </c>
      <c r="I16275" t="s">
        <v>47127</v>
      </c>
      <c r="J16275" t="s">
        <v>47128</v>
      </c>
      <c r="K16275" t="s">
        <v>47113</v>
      </c>
      <c r="L16275">
        <v>26.58</v>
      </c>
      <c r="M16275">
        <v>65</v>
      </c>
      <c r="N16275">
        <v>0</v>
      </c>
      <c r="O16275">
        <v>65</v>
      </c>
      <c r="P16275">
        <v>0</v>
      </c>
    </row>
    <row r="16276" spans="1:16" x14ac:dyDescent="0.25">
      <c r="A16276" t="s">
        <v>38902</v>
      </c>
      <c r="B16276" t="s">
        <v>10863</v>
      </c>
      <c r="C16276" t="s">
        <v>10864</v>
      </c>
      <c r="D16276" t="s">
        <v>343</v>
      </c>
      <c r="E16276" t="s">
        <v>344</v>
      </c>
      <c r="F16276" t="s">
        <v>1</v>
      </c>
      <c r="G16276" t="s">
        <v>49029</v>
      </c>
      <c r="H16276" t="s">
        <v>47153</v>
      </c>
      <c r="I16276" t="s">
        <v>47132</v>
      </c>
      <c r="J16276" t="s">
        <v>47133</v>
      </c>
      <c r="K16276" t="s">
        <v>47113</v>
      </c>
      <c r="L16276">
        <v>44.8</v>
      </c>
      <c r="M16276">
        <v>86</v>
      </c>
      <c r="N16276">
        <v>0</v>
      </c>
      <c r="O16276">
        <v>86</v>
      </c>
      <c r="P16276">
        <v>0</v>
      </c>
    </row>
    <row r="16277" spans="1:16" x14ac:dyDescent="0.25">
      <c r="A16277" t="s">
        <v>38903</v>
      </c>
      <c r="B16277" t="s">
        <v>10865</v>
      </c>
      <c r="C16277" t="s">
        <v>10864</v>
      </c>
      <c r="D16277" t="s">
        <v>333</v>
      </c>
      <c r="E16277" t="s">
        <v>334</v>
      </c>
      <c r="F16277" t="s">
        <v>1</v>
      </c>
      <c r="G16277" t="s">
        <v>49029</v>
      </c>
      <c r="H16277" t="s">
        <v>47153</v>
      </c>
      <c r="I16277" t="s">
        <v>47132</v>
      </c>
      <c r="J16277" t="s">
        <v>47133</v>
      </c>
      <c r="K16277" t="s">
        <v>47113</v>
      </c>
      <c r="L16277">
        <v>37.93</v>
      </c>
      <c r="M16277">
        <v>73</v>
      </c>
      <c r="N16277">
        <v>0</v>
      </c>
      <c r="O16277">
        <v>73</v>
      </c>
      <c r="P16277">
        <v>0</v>
      </c>
    </row>
    <row r="16278" spans="1:16" x14ac:dyDescent="0.25">
      <c r="A16278" t="s">
        <v>38904</v>
      </c>
      <c r="B16278" t="s">
        <v>10866</v>
      </c>
      <c r="C16278" t="s">
        <v>10867</v>
      </c>
      <c r="D16278" t="str">
        <f>"1001"</f>
        <v>1001</v>
      </c>
      <c r="E16278" t="s">
        <v>42</v>
      </c>
      <c r="F16278" t="s">
        <v>1</v>
      </c>
      <c r="G16278" t="s">
        <v>47096</v>
      </c>
      <c r="H16278" t="s">
        <v>47126</v>
      </c>
      <c r="I16278" t="s">
        <v>47127</v>
      </c>
      <c r="J16278" t="s">
        <v>47128</v>
      </c>
      <c r="K16278" t="s">
        <v>47113</v>
      </c>
      <c r="L16278">
        <v>30.21</v>
      </c>
      <c r="M16278">
        <v>74</v>
      </c>
      <c r="N16278">
        <v>0</v>
      </c>
      <c r="O16278">
        <v>74</v>
      </c>
      <c r="P16278">
        <v>0</v>
      </c>
    </row>
    <row r="16279" spans="1:16" x14ac:dyDescent="0.25">
      <c r="A16279" t="s">
        <v>38905</v>
      </c>
      <c r="B16279" t="s">
        <v>10866</v>
      </c>
      <c r="C16279" t="s">
        <v>10867</v>
      </c>
      <c r="D16279" t="str">
        <f>"1377"</f>
        <v>1377</v>
      </c>
      <c r="E16279" t="s">
        <v>74</v>
      </c>
      <c r="F16279" t="s">
        <v>1</v>
      </c>
      <c r="G16279" t="s">
        <v>47096</v>
      </c>
      <c r="H16279" t="s">
        <v>47126</v>
      </c>
      <c r="I16279" t="s">
        <v>47127</v>
      </c>
      <c r="J16279" t="s">
        <v>47128</v>
      </c>
      <c r="K16279" t="s">
        <v>47113</v>
      </c>
      <c r="L16279">
        <v>30.21</v>
      </c>
      <c r="M16279">
        <v>74</v>
      </c>
      <c r="N16279">
        <v>0</v>
      </c>
      <c r="O16279">
        <v>74</v>
      </c>
      <c r="P16279">
        <v>0</v>
      </c>
    </row>
    <row r="16280" spans="1:16" x14ac:dyDescent="0.25">
      <c r="A16280" t="s">
        <v>38906</v>
      </c>
      <c r="B16280" t="s">
        <v>10866</v>
      </c>
      <c r="C16280" t="s">
        <v>10867</v>
      </c>
      <c r="D16280" t="str">
        <f>"1378"</f>
        <v>1378</v>
      </c>
      <c r="E16280" t="s">
        <v>388</v>
      </c>
      <c r="F16280" t="s">
        <v>1</v>
      </c>
      <c r="G16280" t="s">
        <v>47096</v>
      </c>
      <c r="H16280" t="s">
        <v>47126</v>
      </c>
      <c r="I16280" t="s">
        <v>47127</v>
      </c>
      <c r="J16280" t="s">
        <v>47128</v>
      </c>
      <c r="K16280" t="s">
        <v>47113</v>
      </c>
      <c r="L16280">
        <v>30.21</v>
      </c>
      <c r="M16280">
        <v>74</v>
      </c>
      <c r="N16280">
        <v>0</v>
      </c>
      <c r="O16280">
        <v>74</v>
      </c>
      <c r="P16280">
        <v>0</v>
      </c>
    </row>
    <row r="16281" spans="1:16" x14ac:dyDescent="0.25">
      <c r="A16281" t="s">
        <v>38907</v>
      </c>
      <c r="B16281" t="s">
        <v>10866</v>
      </c>
      <c r="C16281" t="s">
        <v>10867</v>
      </c>
      <c r="D16281" t="str">
        <f>"4729"</f>
        <v>4729</v>
      </c>
      <c r="E16281" t="s">
        <v>2222</v>
      </c>
      <c r="F16281" t="s">
        <v>1</v>
      </c>
      <c r="G16281" t="s">
        <v>47096</v>
      </c>
      <c r="H16281" t="s">
        <v>47126</v>
      </c>
      <c r="I16281" t="s">
        <v>47127</v>
      </c>
      <c r="J16281" t="s">
        <v>47128</v>
      </c>
      <c r="K16281" t="s">
        <v>47113</v>
      </c>
      <c r="L16281">
        <v>30.21</v>
      </c>
      <c r="M16281">
        <v>74</v>
      </c>
      <c r="N16281">
        <v>0</v>
      </c>
      <c r="O16281">
        <v>74</v>
      </c>
      <c r="P16281">
        <v>0</v>
      </c>
    </row>
    <row r="16282" spans="1:16" x14ac:dyDescent="0.25">
      <c r="A16282" t="s">
        <v>38908</v>
      </c>
      <c r="B16282" t="s">
        <v>10866</v>
      </c>
      <c r="C16282" t="s">
        <v>10867</v>
      </c>
      <c r="D16282" t="str">
        <f>"4730"</f>
        <v>4730</v>
      </c>
      <c r="E16282" t="s">
        <v>461</v>
      </c>
      <c r="F16282" t="s">
        <v>1</v>
      </c>
      <c r="G16282" t="s">
        <v>47096</v>
      </c>
      <c r="H16282" t="s">
        <v>47126</v>
      </c>
      <c r="I16282" t="s">
        <v>47127</v>
      </c>
      <c r="J16282" t="s">
        <v>47128</v>
      </c>
      <c r="K16282" t="s">
        <v>47113</v>
      </c>
      <c r="L16282">
        <v>30.21</v>
      </c>
      <c r="M16282">
        <v>74</v>
      </c>
      <c r="N16282">
        <v>0</v>
      </c>
      <c r="O16282">
        <v>74</v>
      </c>
      <c r="P16282">
        <v>0</v>
      </c>
    </row>
    <row r="16283" spans="1:16" x14ac:dyDescent="0.25">
      <c r="A16283" t="s">
        <v>38909</v>
      </c>
      <c r="B16283" t="s">
        <v>10866</v>
      </c>
      <c r="C16283" t="s">
        <v>10867</v>
      </c>
      <c r="D16283" t="str">
        <f>"6451"</f>
        <v>6451</v>
      </c>
      <c r="E16283" t="s">
        <v>390</v>
      </c>
      <c r="F16283" t="s">
        <v>1</v>
      </c>
      <c r="G16283" t="s">
        <v>47096</v>
      </c>
      <c r="H16283" t="s">
        <v>47126</v>
      </c>
      <c r="I16283" t="s">
        <v>47127</v>
      </c>
      <c r="J16283" t="s">
        <v>47128</v>
      </c>
      <c r="K16283" t="s">
        <v>47113</v>
      </c>
      <c r="L16283">
        <v>30.21</v>
      </c>
      <c r="M16283">
        <v>74</v>
      </c>
      <c r="N16283">
        <v>0</v>
      </c>
      <c r="O16283">
        <v>74</v>
      </c>
      <c r="P16283">
        <v>0</v>
      </c>
    </row>
    <row r="16284" spans="1:16" x14ac:dyDescent="0.25">
      <c r="A16284" t="s">
        <v>38910</v>
      </c>
      <c r="B16284" t="s">
        <v>10866</v>
      </c>
      <c r="C16284" t="s">
        <v>10867</v>
      </c>
      <c r="D16284" t="str">
        <f>"7000"</f>
        <v>7000</v>
      </c>
      <c r="E16284" t="s">
        <v>185</v>
      </c>
      <c r="F16284" t="s">
        <v>1</v>
      </c>
      <c r="G16284" t="s">
        <v>47096</v>
      </c>
      <c r="H16284" t="s">
        <v>47126</v>
      </c>
      <c r="I16284" t="s">
        <v>47127</v>
      </c>
      <c r="J16284" t="s">
        <v>47128</v>
      </c>
      <c r="K16284" t="s">
        <v>47113</v>
      </c>
      <c r="L16284">
        <v>30.21</v>
      </c>
      <c r="M16284">
        <v>74</v>
      </c>
      <c r="N16284">
        <v>0</v>
      </c>
      <c r="O16284">
        <v>74</v>
      </c>
      <c r="P16284">
        <v>0</v>
      </c>
    </row>
    <row r="16285" spans="1:16" x14ac:dyDescent="0.25">
      <c r="A16285" t="s">
        <v>38911</v>
      </c>
      <c r="B16285" t="s">
        <v>10868</v>
      </c>
      <c r="C16285" t="s">
        <v>10869</v>
      </c>
      <c r="D16285" t="str">
        <f>"1001"</f>
        <v>1001</v>
      </c>
      <c r="E16285" t="s">
        <v>42</v>
      </c>
      <c r="F16285" t="s">
        <v>1</v>
      </c>
      <c r="G16285" t="s">
        <v>47096</v>
      </c>
      <c r="H16285" t="s">
        <v>47126</v>
      </c>
      <c r="I16285" t="s">
        <v>47127</v>
      </c>
      <c r="J16285" t="s">
        <v>47128</v>
      </c>
      <c r="K16285" t="s">
        <v>47113</v>
      </c>
      <c r="L16285">
        <v>30.21</v>
      </c>
      <c r="M16285">
        <v>74</v>
      </c>
      <c r="N16285">
        <v>0</v>
      </c>
      <c r="O16285">
        <v>74</v>
      </c>
      <c r="P16285">
        <v>0</v>
      </c>
    </row>
    <row r="16286" spans="1:16" x14ac:dyDescent="0.25">
      <c r="A16286" t="s">
        <v>38912</v>
      </c>
      <c r="B16286" t="s">
        <v>10868</v>
      </c>
      <c r="C16286" t="s">
        <v>10869</v>
      </c>
      <c r="D16286" t="str">
        <f>"1377"</f>
        <v>1377</v>
      </c>
      <c r="E16286" t="s">
        <v>74</v>
      </c>
      <c r="F16286" t="s">
        <v>1</v>
      </c>
      <c r="G16286" t="s">
        <v>47096</v>
      </c>
      <c r="H16286" t="s">
        <v>47126</v>
      </c>
      <c r="I16286" t="s">
        <v>47127</v>
      </c>
      <c r="J16286" t="s">
        <v>47128</v>
      </c>
      <c r="K16286" t="s">
        <v>47113</v>
      </c>
      <c r="L16286">
        <v>30.21</v>
      </c>
      <c r="M16286">
        <v>74</v>
      </c>
      <c r="N16286">
        <v>0</v>
      </c>
      <c r="O16286">
        <v>74</v>
      </c>
      <c r="P16286">
        <v>0</v>
      </c>
    </row>
    <row r="16287" spans="1:16" x14ac:dyDescent="0.25">
      <c r="A16287" t="s">
        <v>38913</v>
      </c>
      <c r="B16287" t="s">
        <v>10868</v>
      </c>
      <c r="C16287" t="s">
        <v>10869</v>
      </c>
      <c r="D16287" t="str">
        <f>"1378"</f>
        <v>1378</v>
      </c>
      <c r="E16287" t="s">
        <v>388</v>
      </c>
      <c r="F16287" t="s">
        <v>1</v>
      </c>
      <c r="G16287" t="s">
        <v>47096</v>
      </c>
      <c r="H16287" t="s">
        <v>47126</v>
      </c>
      <c r="I16287" t="s">
        <v>47127</v>
      </c>
      <c r="J16287" t="s">
        <v>47128</v>
      </c>
      <c r="K16287" t="s">
        <v>47113</v>
      </c>
      <c r="L16287">
        <v>30.21</v>
      </c>
      <c r="M16287">
        <v>74</v>
      </c>
      <c r="N16287">
        <v>0</v>
      </c>
      <c r="O16287">
        <v>74</v>
      </c>
      <c r="P16287">
        <v>0</v>
      </c>
    </row>
    <row r="16288" spans="1:16" x14ac:dyDescent="0.25">
      <c r="A16288" t="s">
        <v>38914</v>
      </c>
      <c r="B16288" t="s">
        <v>10868</v>
      </c>
      <c r="C16288" t="s">
        <v>10869</v>
      </c>
      <c r="D16288" t="str">
        <f>"4729"</f>
        <v>4729</v>
      </c>
      <c r="E16288" t="s">
        <v>2222</v>
      </c>
      <c r="F16288" t="s">
        <v>1</v>
      </c>
      <c r="G16288" t="s">
        <v>47096</v>
      </c>
      <c r="H16288" t="s">
        <v>47126</v>
      </c>
      <c r="I16288" t="s">
        <v>47127</v>
      </c>
      <c r="J16288" t="s">
        <v>47128</v>
      </c>
      <c r="K16288" t="s">
        <v>47113</v>
      </c>
      <c r="L16288">
        <v>30.21</v>
      </c>
      <c r="M16288">
        <v>74</v>
      </c>
      <c r="N16288">
        <v>0</v>
      </c>
      <c r="O16288">
        <v>74</v>
      </c>
      <c r="P16288">
        <v>0</v>
      </c>
    </row>
    <row r="16289" spans="1:16" x14ac:dyDescent="0.25">
      <c r="A16289" t="s">
        <v>38915</v>
      </c>
      <c r="B16289" t="s">
        <v>10868</v>
      </c>
      <c r="C16289" t="s">
        <v>10869</v>
      </c>
      <c r="D16289" t="str">
        <f>"4730"</f>
        <v>4730</v>
      </c>
      <c r="E16289" t="s">
        <v>461</v>
      </c>
      <c r="F16289" t="s">
        <v>1</v>
      </c>
      <c r="G16289" t="s">
        <v>47096</v>
      </c>
      <c r="H16289" t="s">
        <v>47126</v>
      </c>
      <c r="I16289" t="s">
        <v>47127</v>
      </c>
      <c r="J16289" t="s">
        <v>47128</v>
      </c>
      <c r="K16289" t="s">
        <v>47113</v>
      </c>
      <c r="L16289">
        <v>30.21</v>
      </c>
      <c r="M16289">
        <v>74</v>
      </c>
      <c r="N16289">
        <v>0</v>
      </c>
      <c r="O16289">
        <v>74</v>
      </c>
      <c r="P16289">
        <v>0</v>
      </c>
    </row>
    <row r="16290" spans="1:16" x14ac:dyDescent="0.25">
      <c r="A16290" t="s">
        <v>38916</v>
      </c>
      <c r="B16290" t="s">
        <v>10868</v>
      </c>
      <c r="C16290" t="s">
        <v>10869</v>
      </c>
      <c r="D16290" t="str">
        <f>"6451"</f>
        <v>6451</v>
      </c>
      <c r="E16290" t="s">
        <v>390</v>
      </c>
      <c r="F16290" t="s">
        <v>1</v>
      </c>
      <c r="G16290" t="s">
        <v>47096</v>
      </c>
      <c r="H16290" t="s">
        <v>47126</v>
      </c>
      <c r="I16290" t="s">
        <v>47127</v>
      </c>
      <c r="J16290" t="s">
        <v>47128</v>
      </c>
      <c r="K16290" t="s">
        <v>47113</v>
      </c>
      <c r="L16290">
        <v>30.21</v>
      </c>
      <c r="M16290">
        <v>74</v>
      </c>
      <c r="N16290">
        <v>0</v>
      </c>
      <c r="O16290">
        <v>74</v>
      </c>
      <c r="P16290">
        <v>0</v>
      </c>
    </row>
    <row r="16291" spans="1:16" x14ac:dyDescent="0.25">
      <c r="A16291" t="s">
        <v>38917</v>
      </c>
      <c r="B16291" t="s">
        <v>10868</v>
      </c>
      <c r="C16291" t="s">
        <v>10869</v>
      </c>
      <c r="D16291" t="str">
        <f>"7000"</f>
        <v>7000</v>
      </c>
      <c r="E16291" t="s">
        <v>185</v>
      </c>
      <c r="F16291" t="s">
        <v>1</v>
      </c>
      <c r="G16291" t="s">
        <v>47096</v>
      </c>
      <c r="H16291" t="s">
        <v>47126</v>
      </c>
      <c r="I16291" t="s">
        <v>47127</v>
      </c>
      <c r="J16291" t="s">
        <v>47128</v>
      </c>
      <c r="K16291" t="s">
        <v>47113</v>
      </c>
      <c r="L16291">
        <v>30.21</v>
      </c>
      <c r="M16291">
        <v>74</v>
      </c>
      <c r="N16291">
        <v>0</v>
      </c>
      <c r="O16291">
        <v>74</v>
      </c>
      <c r="P16291">
        <v>0</v>
      </c>
    </row>
    <row r="16292" spans="1:16" x14ac:dyDescent="0.25">
      <c r="A16292" t="s">
        <v>38918</v>
      </c>
      <c r="B16292" t="s">
        <v>10870</v>
      </c>
      <c r="C16292" t="s">
        <v>10269</v>
      </c>
      <c r="D16292" t="s">
        <v>502</v>
      </c>
      <c r="E16292" t="s">
        <v>503</v>
      </c>
      <c r="F16292" t="s">
        <v>1</v>
      </c>
      <c r="G16292" t="s">
        <v>47093</v>
      </c>
      <c r="H16292" t="s">
        <v>47153</v>
      </c>
      <c r="I16292" t="s">
        <v>47132</v>
      </c>
      <c r="J16292" t="s">
        <v>47133</v>
      </c>
      <c r="K16292" t="s">
        <v>47113</v>
      </c>
      <c r="L16292">
        <v>35.909999999999997</v>
      </c>
      <c r="M16292">
        <v>69</v>
      </c>
      <c r="N16292">
        <v>0</v>
      </c>
      <c r="O16292">
        <v>69</v>
      </c>
      <c r="P16292">
        <v>0</v>
      </c>
    </row>
    <row r="16293" spans="1:16" x14ac:dyDescent="0.25">
      <c r="A16293" t="s">
        <v>38919</v>
      </c>
      <c r="B16293" t="s">
        <v>10870</v>
      </c>
      <c r="C16293" t="s">
        <v>10269</v>
      </c>
      <c r="D16293" t="s">
        <v>504</v>
      </c>
      <c r="E16293" t="s">
        <v>505</v>
      </c>
      <c r="F16293" t="s">
        <v>1</v>
      </c>
      <c r="G16293" t="s">
        <v>47093</v>
      </c>
      <c r="H16293" t="s">
        <v>47153</v>
      </c>
      <c r="I16293" t="s">
        <v>47132</v>
      </c>
      <c r="J16293" t="s">
        <v>47133</v>
      </c>
      <c r="K16293" t="s">
        <v>47113</v>
      </c>
      <c r="L16293">
        <v>35.909999999999997</v>
      </c>
      <c r="M16293">
        <v>69</v>
      </c>
      <c r="N16293">
        <v>0</v>
      </c>
      <c r="O16293">
        <v>69</v>
      </c>
      <c r="P16293">
        <v>0</v>
      </c>
    </row>
    <row r="16294" spans="1:16" x14ac:dyDescent="0.25">
      <c r="A16294" t="s">
        <v>38920</v>
      </c>
      <c r="B16294" t="s">
        <v>10870</v>
      </c>
      <c r="C16294" t="s">
        <v>10269</v>
      </c>
      <c r="D16294" t="s">
        <v>4307</v>
      </c>
      <c r="E16294" t="s">
        <v>4308</v>
      </c>
      <c r="F16294" t="s">
        <v>1</v>
      </c>
      <c r="G16294" t="s">
        <v>47093</v>
      </c>
      <c r="H16294" t="s">
        <v>47153</v>
      </c>
      <c r="I16294" t="s">
        <v>47132</v>
      </c>
      <c r="J16294" t="s">
        <v>47133</v>
      </c>
      <c r="K16294" t="s">
        <v>47113</v>
      </c>
      <c r="L16294">
        <v>35.909999999999997</v>
      </c>
      <c r="M16294">
        <v>69</v>
      </c>
      <c r="N16294">
        <v>0</v>
      </c>
      <c r="O16294">
        <v>69</v>
      </c>
      <c r="P16294">
        <v>0</v>
      </c>
    </row>
    <row r="16295" spans="1:16" x14ac:dyDescent="0.25">
      <c r="A16295" t="s">
        <v>38921</v>
      </c>
      <c r="B16295" t="s">
        <v>10871</v>
      </c>
      <c r="C16295" t="s">
        <v>474</v>
      </c>
      <c r="D16295" t="s">
        <v>4056</v>
      </c>
      <c r="E16295" t="s">
        <v>4057</v>
      </c>
      <c r="F16295" t="s">
        <v>1</v>
      </c>
      <c r="G16295" t="s">
        <v>47093</v>
      </c>
      <c r="H16295" t="s">
        <v>47153</v>
      </c>
      <c r="I16295" t="s">
        <v>47132</v>
      </c>
      <c r="J16295" t="s">
        <v>47133</v>
      </c>
      <c r="K16295" t="s">
        <v>47113</v>
      </c>
      <c r="L16295">
        <v>36.39</v>
      </c>
      <c r="M16295">
        <v>70</v>
      </c>
      <c r="N16295">
        <v>0</v>
      </c>
      <c r="O16295">
        <v>70</v>
      </c>
      <c r="P16295">
        <v>0</v>
      </c>
    </row>
    <row r="16296" spans="1:16" x14ac:dyDescent="0.25">
      <c r="A16296" t="s">
        <v>38922</v>
      </c>
      <c r="B16296" t="s">
        <v>498</v>
      </c>
      <c r="C16296" t="s">
        <v>474</v>
      </c>
      <c r="D16296" t="s">
        <v>499</v>
      </c>
      <c r="E16296" t="s">
        <v>500</v>
      </c>
      <c r="F16296" t="s">
        <v>1</v>
      </c>
      <c r="G16296" t="s">
        <v>47093</v>
      </c>
      <c r="H16296" t="s">
        <v>47153</v>
      </c>
      <c r="I16296" t="s">
        <v>47132</v>
      </c>
      <c r="J16296" t="s">
        <v>47133</v>
      </c>
      <c r="K16296" t="s">
        <v>47113</v>
      </c>
      <c r="L16296">
        <v>43.02</v>
      </c>
      <c r="M16296">
        <v>82</v>
      </c>
      <c r="N16296">
        <v>0</v>
      </c>
      <c r="O16296">
        <v>82</v>
      </c>
      <c r="P16296">
        <v>0</v>
      </c>
    </row>
    <row r="16297" spans="1:16" x14ac:dyDescent="0.25">
      <c r="A16297" t="s">
        <v>38923</v>
      </c>
      <c r="B16297" t="s">
        <v>10872</v>
      </c>
      <c r="C16297" t="s">
        <v>369</v>
      </c>
      <c r="D16297" t="s">
        <v>502</v>
      </c>
      <c r="E16297" t="s">
        <v>503</v>
      </c>
      <c r="F16297" t="s">
        <v>1</v>
      </c>
      <c r="G16297" t="s">
        <v>47093</v>
      </c>
      <c r="H16297" t="s">
        <v>47153</v>
      </c>
      <c r="I16297" t="s">
        <v>47132</v>
      </c>
      <c r="J16297" t="s">
        <v>47133</v>
      </c>
      <c r="K16297" t="s">
        <v>47113</v>
      </c>
      <c r="L16297">
        <v>35.56</v>
      </c>
      <c r="M16297">
        <v>68</v>
      </c>
      <c r="N16297">
        <v>0</v>
      </c>
      <c r="O16297">
        <v>68</v>
      </c>
      <c r="P16297">
        <v>0</v>
      </c>
    </row>
    <row r="16298" spans="1:16" x14ac:dyDescent="0.25">
      <c r="A16298" t="s">
        <v>38924</v>
      </c>
      <c r="B16298" t="s">
        <v>10872</v>
      </c>
      <c r="C16298" t="s">
        <v>369</v>
      </c>
      <c r="D16298" t="s">
        <v>504</v>
      </c>
      <c r="E16298" t="s">
        <v>505</v>
      </c>
      <c r="F16298" t="s">
        <v>1</v>
      </c>
      <c r="G16298" t="s">
        <v>47093</v>
      </c>
      <c r="H16298" t="s">
        <v>47153</v>
      </c>
      <c r="I16298" t="s">
        <v>47132</v>
      </c>
      <c r="J16298" t="s">
        <v>47133</v>
      </c>
      <c r="K16298" t="s">
        <v>47113</v>
      </c>
      <c r="L16298">
        <v>35.56</v>
      </c>
      <c r="M16298">
        <v>68</v>
      </c>
      <c r="N16298">
        <v>0</v>
      </c>
      <c r="O16298">
        <v>68</v>
      </c>
      <c r="P16298">
        <v>0</v>
      </c>
    </row>
    <row r="16299" spans="1:16" x14ac:dyDescent="0.25">
      <c r="A16299" t="s">
        <v>38925</v>
      </c>
      <c r="B16299" t="s">
        <v>10872</v>
      </c>
      <c r="C16299" t="s">
        <v>369</v>
      </c>
      <c r="D16299" t="s">
        <v>4307</v>
      </c>
      <c r="E16299" t="s">
        <v>4308</v>
      </c>
      <c r="F16299" t="s">
        <v>1</v>
      </c>
      <c r="G16299" t="s">
        <v>47093</v>
      </c>
      <c r="H16299" t="s">
        <v>47153</v>
      </c>
      <c r="I16299" t="s">
        <v>47132</v>
      </c>
      <c r="J16299" t="s">
        <v>47133</v>
      </c>
      <c r="K16299" t="s">
        <v>47113</v>
      </c>
      <c r="L16299">
        <v>35.56</v>
      </c>
      <c r="M16299">
        <v>68</v>
      </c>
      <c r="N16299">
        <v>0</v>
      </c>
      <c r="O16299">
        <v>68</v>
      </c>
      <c r="P16299">
        <v>0</v>
      </c>
    </row>
    <row r="16300" spans="1:16" x14ac:dyDescent="0.25">
      <c r="A16300" t="s">
        <v>38926</v>
      </c>
      <c r="B16300" t="s">
        <v>10873</v>
      </c>
      <c r="C16300" t="s">
        <v>10854</v>
      </c>
      <c r="D16300" t="s">
        <v>4056</v>
      </c>
      <c r="E16300" t="s">
        <v>4057</v>
      </c>
      <c r="F16300" t="s">
        <v>1</v>
      </c>
      <c r="G16300" t="s">
        <v>47093</v>
      </c>
      <c r="H16300" t="s">
        <v>47153</v>
      </c>
      <c r="I16300" t="s">
        <v>47132</v>
      </c>
      <c r="J16300" t="s">
        <v>47133</v>
      </c>
      <c r="K16300" t="s">
        <v>47113</v>
      </c>
      <c r="L16300">
        <v>50.13</v>
      </c>
      <c r="M16300">
        <v>96</v>
      </c>
      <c r="N16300">
        <v>0</v>
      </c>
      <c r="O16300">
        <v>96</v>
      </c>
      <c r="P16300">
        <v>0</v>
      </c>
    </row>
    <row r="16301" spans="1:16" x14ac:dyDescent="0.25">
      <c r="A16301" t="s">
        <v>38927</v>
      </c>
      <c r="B16301" t="s">
        <v>10874</v>
      </c>
      <c r="C16301" t="s">
        <v>479</v>
      </c>
      <c r="D16301" t="s">
        <v>502</v>
      </c>
      <c r="E16301" t="s">
        <v>503</v>
      </c>
      <c r="F16301" t="s">
        <v>1</v>
      </c>
      <c r="G16301" t="s">
        <v>47093</v>
      </c>
      <c r="H16301" t="s">
        <v>47153</v>
      </c>
      <c r="I16301" t="s">
        <v>47132</v>
      </c>
      <c r="J16301" t="s">
        <v>47133</v>
      </c>
      <c r="K16301" t="s">
        <v>47113</v>
      </c>
      <c r="L16301">
        <v>35.79</v>
      </c>
      <c r="M16301">
        <v>68</v>
      </c>
      <c r="N16301">
        <v>0</v>
      </c>
      <c r="O16301">
        <v>68</v>
      </c>
      <c r="P16301">
        <v>0</v>
      </c>
    </row>
    <row r="16302" spans="1:16" x14ac:dyDescent="0.25">
      <c r="A16302" t="s">
        <v>38928</v>
      </c>
      <c r="B16302" t="s">
        <v>10874</v>
      </c>
      <c r="C16302" t="s">
        <v>479</v>
      </c>
      <c r="D16302" t="s">
        <v>504</v>
      </c>
      <c r="E16302" t="s">
        <v>505</v>
      </c>
      <c r="F16302" t="s">
        <v>1</v>
      </c>
      <c r="G16302" t="s">
        <v>47093</v>
      </c>
      <c r="H16302" t="s">
        <v>47153</v>
      </c>
      <c r="I16302" t="s">
        <v>47132</v>
      </c>
      <c r="J16302" t="s">
        <v>47133</v>
      </c>
      <c r="K16302" t="s">
        <v>47113</v>
      </c>
      <c r="L16302">
        <v>35.79</v>
      </c>
      <c r="M16302">
        <v>68</v>
      </c>
      <c r="N16302">
        <v>0</v>
      </c>
      <c r="O16302">
        <v>68</v>
      </c>
      <c r="P16302">
        <v>0</v>
      </c>
    </row>
    <row r="16303" spans="1:16" x14ac:dyDescent="0.25">
      <c r="A16303" t="s">
        <v>38929</v>
      </c>
      <c r="B16303" t="s">
        <v>10874</v>
      </c>
      <c r="C16303" t="s">
        <v>479</v>
      </c>
      <c r="D16303" t="s">
        <v>4307</v>
      </c>
      <c r="E16303" t="s">
        <v>4308</v>
      </c>
      <c r="F16303" t="s">
        <v>1</v>
      </c>
      <c r="G16303" t="s">
        <v>47093</v>
      </c>
      <c r="H16303" t="s">
        <v>47153</v>
      </c>
      <c r="I16303" t="s">
        <v>47132</v>
      </c>
      <c r="J16303" t="s">
        <v>47133</v>
      </c>
      <c r="K16303" t="s">
        <v>47113</v>
      </c>
      <c r="L16303">
        <v>35.79</v>
      </c>
      <c r="M16303">
        <v>68</v>
      </c>
      <c r="N16303">
        <v>0</v>
      </c>
      <c r="O16303">
        <v>68</v>
      </c>
      <c r="P16303">
        <v>0</v>
      </c>
    </row>
    <row r="16304" spans="1:16" x14ac:dyDescent="0.25">
      <c r="A16304" t="s">
        <v>14686</v>
      </c>
      <c r="B16304" t="s">
        <v>501</v>
      </c>
      <c r="C16304" t="s">
        <v>487</v>
      </c>
      <c r="D16304" t="s">
        <v>502</v>
      </c>
      <c r="E16304" t="s">
        <v>503</v>
      </c>
      <c r="F16304" t="s">
        <v>1</v>
      </c>
      <c r="G16304" t="s">
        <v>47093</v>
      </c>
      <c r="H16304" t="s">
        <v>47153</v>
      </c>
      <c r="I16304" t="s">
        <v>47132</v>
      </c>
      <c r="J16304" t="s">
        <v>47133</v>
      </c>
      <c r="K16304" t="s">
        <v>47113</v>
      </c>
      <c r="L16304">
        <v>36.619999999999997</v>
      </c>
      <c r="M16304">
        <v>70</v>
      </c>
      <c r="N16304">
        <v>0</v>
      </c>
      <c r="O16304">
        <v>70</v>
      </c>
      <c r="P16304">
        <v>0</v>
      </c>
    </row>
    <row r="16305" spans="1:16" x14ac:dyDescent="0.25">
      <c r="A16305" t="s">
        <v>14687</v>
      </c>
      <c r="B16305" t="s">
        <v>501</v>
      </c>
      <c r="C16305" t="s">
        <v>487</v>
      </c>
      <c r="D16305" t="s">
        <v>504</v>
      </c>
      <c r="E16305" t="s">
        <v>505</v>
      </c>
      <c r="F16305" t="s">
        <v>1</v>
      </c>
      <c r="G16305" t="s">
        <v>47093</v>
      </c>
      <c r="H16305" t="s">
        <v>47153</v>
      </c>
      <c r="I16305" t="s">
        <v>47132</v>
      </c>
      <c r="J16305" t="s">
        <v>47133</v>
      </c>
      <c r="K16305" t="s">
        <v>47113</v>
      </c>
      <c r="L16305">
        <v>36.619999999999997</v>
      </c>
      <c r="M16305">
        <v>70</v>
      </c>
      <c r="N16305">
        <v>0</v>
      </c>
      <c r="O16305">
        <v>70</v>
      </c>
      <c r="P16305">
        <v>0</v>
      </c>
    </row>
    <row r="16306" spans="1:16" x14ac:dyDescent="0.25">
      <c r="A16306" t="s">
        <v>38930</v>
      </c>
      <c r="B16306" t="s">
        <v>501</v>
      </c>
      <c r="C16306" t="s">
        <v>487</v>
      </c>
      <c r="D16306" t="s">
        <v>4307</v>
      </c>
      <c r="E16306" t="s">
        <v>4308</v>
      </c>
      <c r="F16306" t="s">
        <v>1</v>
      </c>
      <c r="G16306" t="s">
        <v>47093</v>
      </c>
      <c r="H16306" t="s">
        <v>47153</v>
      </c>
      <c r="I16306" t="s">
        <v>47132</v>
      </c>
      <c r="J16306" t="s">
        <v>47133</v>
      </c>
      <c r="K16306" t="s">
        <v>47113</v>
      </c>
      <c r="L16306">
        <v>36.619999999999997</v>
      </c>
      <c r="M16306">
        <v>70</v>
      </c>
      <c r="N16306">
        <v>0</v>
      </c>
      <c r="O16306">
        <v>70</v>
      </c>
      <c r="P16306">
        <v>0</v>
      </c>
    </row>
    <row r="16307" spans="1:16" x14ac:dyDescent="0.25">
      <c r="A16307" t="s">
        <v>38931</v>
      </c>
      <c r="B16307" t="s">
        <v>506</v>
      </c>
      <c r="C16307" t="s">
        <v>487</v>
      </c>
      <c r="D16307" t="s">
        <v>499</v>
      </c>
      <c r="E16307" t="s">
        <v>500</v>
      </c>
      <c r="F16307" t="s">
        <v>1</v>
      </c>
      <c r="G16307" t="s">
        <v>47093</v>
      </c>
      <c r="H16307" t="s">
        <v>47153</v>
      </c>
      <c r="I16307" t="s">
        <v>47132</v>
      </c>
      <c r="J16307" t="s">
        <v>47133</v>
      </c>
      <c r="K16307" t="s">
        <v>47113</v>
      </c>
      <c r="L16307">
        <v>44.69</v>
      </c>
      <c r="M16307">
        <v>85</v>
      </c>
      <c r="N16307">
        <v>0</v>
      </c>
      <c r="O16307">
        <v>85</v>
      </c>
      <c r="P16307">
        <v>0</v>
      </c>
    </row>
    <row r="16308" spans="1:16" x14ac:dyDescent="0.25">
      <c r="A16308" t="s">
        <v>38932</v>
      </c>
      <c r="B16308" t="s">
        <v>507</v>
      </c>
      <c r="C16308" t="s">
        <v>508</v>
      </c>
      <c r="D16308" t="s">
        <v>418</v>
      </c>
      <c r="E16308" t="s">
        <v>419</v>
      </c>
      <c r="F16308" t="s">
        <v>1</v>
      </c>
      <c r="G16308" t="s">
        <v>47093</v>
      </c>
      <c r="H16308" t="s">
        <v>47153</v>
      </c>
      <c r="I16308" t="s">
        <v>47132</v>
      </c>
      <c r="J16308" t="s">
        <v>47133</v>
      </c>
      <c r="K16308" t="s">
        <v>47113</v>
      </c>
      <c r="L16308">
        <v>41.84</v>
      </c>
      <c r="M16308">
        <v>80</v>
      </c>
      <c r="N16308">
        <v>0</v>
      </c>
      <c r="O16308">
        <v>80</v>
      </c>
      <c r="P16308">
        <v>0</v>
      </c>
    </row>
    <row r="16309" spans="1:16" x14ac:dyDescent="0.25">
      <c r="A16309" t="s">
        <v>14688</v>
      </c>
      <c r="B16309" t="s">
        <v>507</v>
      </c>
      <c r="C16309" t="s">
        <v>508</v>
      </c>
      <c r="D16309" t="s">
        <v>499</v>
      </c>
      <c r="E16309" t="s">
        <v>500</v>
      </c>
      <c r="F16309" t="s">
        <v>1</v>
      </c>
      <c r="G16309" t="s">
        <v>47093</v>
      </c>
      <c r="H16309" t="s">
        <v>47153</v>
      </c>
      <c r="I16309" t="s">
        <v>47132</v>
      </c>
      <c r="J16309" t="s">
        <v>47133</v>
      </c>
      <c r="K16309" t="s">
        <v>47113</v>
      </c>
      <c r="L16309">
        <v>41.84</v>
      </c>
      <c r="M16309">
        <v>80</v>
      </c>
      <c r="N16309">
        <v>0</v>
      </c>
      <c r="O16309">
        <v>80</v>
      </c>
      <c r="P16309">
        <v>0</v>
      </c>
    </row>
    <row r="16310" spans="1:16" x14ac:dyDescent="0.25">
      <c r="A16310" t="s">
        <v>38933</v>
      </c>
      <c r="B16310" t="s">
        <v>509</v>
      </c>
      <c r="C16310" t="s">
        <v>510</v>
      </c>
      <c r="D16310" t="str">
        <f>"1001"</f>
        <v>1001</v>
      </c>
      <c r="E16310" t="s">
        <v>42</v>
      </c>
      <c r="F16310" t="s">
        <v>1</v>
      </c>
      <c r="G16310" t="s">
        <v>47092</v>
      </c>
      <c r="H16310" t="s">
        <v>47126</v>
      </c>
      <c r="I16310" t="s">
        <v>47127</v>
      </c>
      <c r="J16310" t="s">
        <v>47128</v>
      </c>
      <c r="K16310" t="s">
        <v>47113</v>
      </c>
      <c r="L16310">
        <v>11.48</v>
      </c>
      <c r="M16310">
        <v>22</v>
      </c>
      <c r="N16310">
        <v>0</v>
      </c>
      <c r="O16310">
        <v>22</v>
      </c>
      <c r="P16310">
        <v>0</v>
      </c>
    </row>
    <row r="16311" spans="1:16" x14ac:dyDescent="0.25">
      <c r="A16311" t="s">
        <v>38934</v>
      </c>
      <c r="B16311" t="s">
        <v>509</v>
      </c>
      <c r="C16311" t="s">
        <v>510</v>
      </c>
      <c r="D16311" t="str">
        <f>"1377"</f>
        <v>1377</v>
      </c>
      <c r="E16311" t="s">
        <v>74</v>
      </c>
      <c r="F16311" t="s">
        <v>1</v>
      </c>
      <c r="G16311" t="s">
        <v>47092</v>
      </c>
      <c r="H16311" t="s">
        <v>47126</v>
      </c>
      <c r="I16311" t="s">
        <v>47127</v>
      </c>
      <c r="J16311" t="s">
        <v>47128</v>
      </c>
      <c r="K16311" t="s">
        <v>47113</v>
      </c>
      <c r="L16311">
        <v>11.48</v>
      </c>
      <c r="M16311">
        <v>22</v>
      </c>
      <c r="N16311">
        <v>0</v>
      </c>
      <c r="O16311">
        <v>22</v>
      </c>
      <c r="P16311">
        <v>0</v>
      </c>
    </row>
    <row r="16312" spans="1:16" x14ac:dyDescent="0.25">
      <c r="A16312" t="s">
        <v>38935</v>
      </c>
      <c r="B16312" t="s">
        <v>509</v>
      </c>
      <c r="C16312" t="s">
        <v>510</v>
      </c>
      <c r="D16312" t="str">
        <f>"1378"</f>
        <v>1378</v>
      </c>
      <c r="E16312" t="s">
        <v>388</v>
      </c>
      <c r="F16312" t="s">
        <v>1</v>
      </c>
      <c r="G16312" t="s">
        <v>47092</v>
      </c>
      <c r="H16312" t="s">
        <v>47126</v>
      </c>
      <c r="I16312" t="s">
        <v>47127</v>
      </c>
      <c r="J16312" t="s">
        <v>47128</v>
      </c>
      <c r="K16312" t="s">
        <v>47113</v>
      </c>
      <c r="L16312">
        <v>11.48</v>
      </c>
      <c r="M16312">
        <v>22</v>
      </c>
      <c r="N16312">
        <v>0</v>
      </c>
      <c r="O16312">
        <v>22</v>
      </c>
      <c r="P16312">
        <v>0</v>
      </c>
    </row>
    <row r="16313" spans="1:16" x14ac:dyDescent="0.25">
      <c r="A16313" t="s">
        <v>38936</v>
      </c>
      <c r="B16313" t="s">
        <v>509</v>
      </c>
      <c r="C16313" t="s">
        <v>510</v>
      </c>
      <c r="D16313" t="str">
        <f>"1700"</f>
        <v>1700</v>
      </c>
      <c r="E16313" t="s">
        <v>60</v>
      </c>
      <c r="F16313" t="s">
        <v>1</v>
      </c>
      <c r="G16313" t="s">
        <v>47092</v>
      </c>
      <c r="H16313" t="s">
        <v>47126</v>
      </c>
      <c r="I16313" t="s">
        <v>47127</v>
      </c>
      <c r="J16313" t="s">
        <v>47128</v>
      </c>
      <c r="K16313" t="s">
        <v>47113</v>
      </c>
      <c r="L16313">
        <v>11.48</v>
      </c>
      <c r="M16313">
        <v>22</v>
      </c>
      <c r="N16313">
        <v>0</v>
      </c>
      <c r="O16313">
        <v>22</v>
      </c>
      <c r="P16313">
        <v>0</v>
      </c>
    </row>
    <row r="16314" spans="1:16" x14ac:dyDescent="0.25">
      <c r="A16314" t="s">
        <v>38937</v>
      </c>
      <c r="B16314" t="s">
        <v>509</v>
      </c>
      <c r="C16314" t="s">
        <v>510</v>
      </c>
      <c r="D16314" t="str">
        <f>"4729"</f>
        <v>4729</v>
      </c>
      <c r="E16314" t="s">
        <v>2222</v>
      </c>
      <c r="F16314" t="s">
        <v>1</v>
      </c>
      <c r="G16314" t="s">
        <v>47092</v>
      </c>
      <c r="H16314" t="s">
        <v>47126</v>
      </c>
      <c r="I16314" t="s">
        <v>47127</v>
      </c>
      <c r="J16314" t="s">
        <v>47128</v>
      </c>
      <c r="K16314" t="s">
        <v>47113</v>
      </c>
      <c r="L16314">
        <v>11.48</v>
      </c>
      <c r="M16314">
        <v>22</v>
      </c>
      <c r="N16314">
        <v>0</v>
      </c>
      <c r="O16314">
        <v>22</v>
      </c>
      <c r="P16314">
        <v>0</v>
      </c>
    </row>
    <row r="16315" spans="1:16" x14ac:dyDescent="0.25">
      <c r="A16315" t="s">
        <v>38938</v>
      </c>
      <c r="B16315" t="s">
        <v>509</v>
      </c>
      <c r="C16315" t="s">
        <v>510</v>
      </c>
      <c r="D16315" t="str">
        <f>"4730"</f>
        <v>4730</v>
      </c>
      <c r="E16315" t="s">
        <v>461</v>
      </c>
      <c r="F16315" t="s">
        <v>1</v>
      </c>
      <c r="G16315" t="s">
        <v>47092</v>
      </c>
      <c r="H16315" t="s">
        <v>47126</v>
      </c>
      <c r="I16315" t="s">
        <v>47127</v>
      </c>
      <c r="J16315" t="s">
        <v>47128</v>
      </c>
      <c r="K16315" t="s">
        <v>47113</v>
      </c>
      <c r="L16315">
        <v>11.48</v>
      </c>
      <c r="M16315">
        <v>22</v>
      </c>
      <c r="N16315">
        <v>0</v>
      </c>
      <c r="O16315">
        <v>22</v>
      </c>
      <c r="P16315">
        <v>0</v>
      </c>
    </row>
    <row r="16316" spans="1:16" x14ac:dyDescent="0.25">
      <c r="A16316" t="s">
        <v>38939</v>
      </c>
      <c r="B16316" t="s">
        <v>509</v>
      </c>
      <c r="C16316" t="s">
        <v>510</v>
      </c>
      <c r="D16316" t="str">
        <f>"6451"</f>
        <v>6451</v>
      </c>
      <c r="E16316" t="s">
        <v>390</v>
      </c>
      <c r="F16316" t="s">
        <v>1</v>
      </c>
      <c r="G16316" t="s">
        <v>47092</v>
      </c>
      <c r="H16316" t="s">
        <v>47126</v>
      </c>
      <c r="I16316" t="s">
        <v>47127</v>
      </c>
      <c r="J16316" t="s">
        <v>47128</v>
      </c>
      <c r="K16316" t="s">
        <v>47113</v>
      </c>
      <c r="L16316">
        <v>11.48</v>
      </c>
      <c r="M16316">
        <v>22</v>
      </c>
      <c r="N16316">
        <v>0</v>
      </c>
      <c r="O16316">
        <v>22</v>
      </c>
      <c r="P16316">
        <v>0</v>
      </c>
    </row>
    <row r="16317" spans="1:16" x14ac:dyDescent="0.25">
      <c r="A16317" t="s">
        <v>38940</v>
      </c>
      <c r="B16317" t="s">
        <v>509</v>
      </c>
      <c r="C16317" t="s">
        <v>510</v>
      </c>
      <c r="D16317" t="str">
        <f>"7000"</f>
        <v>7000</v>
      </c>
      <c r="E16317" t="s">
        <v>185</v>
      </c>
      <c r="F16317" t="s">
        <v>1</v>
      </c>
      <c r="G16317" t="s">
        <v>47092</v>
      </c>
      <c r="H16317" t="s">
        <v>47126</v>
      </c>
      <c r="I16317" t="s">
        <v>47127</v>
      </c>
      <c r="J16317" t="s">
        <v>47128</v>
      </c>
      <c r="K16317" t="s">
        <v>47113</v>
      </c>
      <c r="L16317">
        <v>11.48</v>
      </c>
      <c r="M16317">
        <v>22</v>
      </c>
      <c r="N16317">
        <v>0</v>
      </c>
      <c r="O16317">
        <v>22</v>
      </c>
      <c r="P16317">
        <v>0</v>
      </c>
    </row>
    <row r="16318" spans="1:16" x14ac:dyDescent="0.25">
      <c r="A16318" t="s">
        <v>38941</v>
      </c>
      <c r="B16318" t="s">
        <v>511</v>
      </c>
      <c r="C16318" t="s">
        <v>161</v>
      </c>
      <c r="D16318" t="str">
        <f>"1001"</f>
        <v>1001</v>
      </c>
      <c r="E16318" t="s">
        <v>42</v>
      </c>
      <c r="F16318" t="s">
        <v>1</v>
      </c>
      <c r="G16318" t="s">
        <v>47092</v>
      </c>
      <c r="H16318" t="s">
        <v>47126</v>
      </c>
      <c r="I16318" t="s">
        <v>47127</v>
      </c>
      <c r="J16318" t="s">
        <v>47128</v>
      </c>
      <c r="K16318" t="s">
        <v>47113</v>
      </c>
      <c r="L16318">
        <v>11.48</v>
      </c>
      <c r="M16318">
        <v>22</v>
      </c>
      <c r="N16318">
        <v>0</v>
      </c>
      <c r="O16318">
        <v>22</v>
      </c>
      <c r="P16318">
        <v>0</v>
      </c>
    </row>
    <row r="16319" spans="1:16" x14ac:dyDescent="0.25">
      <c r="A16319" t="s">
        <v>38942</v>
      </c>
      <c r="B16319" t="s">
        <v>511</v>
      </c>
      <c r="C16319" t="s">
        <v>161</v>
      </c>
      <c r="D16319" t="str">
        <f>"1377"</f>
        <v>1377</v>
      </c>
      <c r="E16319" t="s">
        <v>74</v>
      </c>
      <c r="F16319" t="s">
        <v>1</v>
      </c>
      <c r="G16319" t="s">
        <v>47092</v>
      </c>
      <c r="H16319" t="s">
        <v>47126</v>
      </c>
      <c r="I16319" t="s">
        <v>47127</v>
      </c>
      <c r="J16319" t="s">
        <v>47128</v>
      </c>
      <c r="K16319" t="s">
        <v>47113</v>
      </c>
      <c r="L16319">
        <v>11.48</v>
      </c>
      <c r="M16319">
        <v>22</v>
      </c>
      <c r="N16319">
        <v>0</v>
      </c>
      <c r="O16319">
        <v>22</v>
      </c>
      <c r="P16319">
        <v>0</v>
      </c>
    </row>
    <row r="16320" spans="1:16" x14ac:dyDescent="0.25">
      <c r="A16320" t="s">
        <v>38943</v>
      </c>
      <c r="B16320" t="s">
        <v>511</v>
      </c>
      <c r="C16320" t="s">
        <v>161</v>
      </c>
      <c r="D16320" t="str">
        <f>"1378"</f>
        <v>1378</v>
      </c>
      <c r="E16320" t="s">
        <v>388</v>
      </c>
      <c r="F16320" t="s">
        <v>1</v>
      </c>
      <c r="G16320" t="s">
        <v>47092</v>
      </c>
      <c r="H16320" t="s">
        <v>47126</v>
      </c>
      <c r="I16320" t="s">
        <v>47127</v>
      </c>
      <c r="J16320" t="s">
        <v>47128</v>
      </c>
      <c r="K16320" t="s">
        <v>47113</v>
      </c>
      <c r="L16320">
        <v>11.48</v>
      </c>
      <c r="M16320">
        <v>22</v>
      </c>
      <c r="N16320">
        <v>0</v>
      </c>
      <c r="O16320">
        <v>22</v>
      </c>
      <c r="P16320">
        <v>0</v>
      </c>
    </row>
    <row r="16321" spans="1:16" x14ac:dyDescent="0.25">
      <c r="A16321" t="s">
        <v>38944</v>
      </c>
      <c r="B16321" t="s">
        <v>511</v>
      </c>
      <c r="C16321" t="s">
        <v>161</v>
      </c>
      <c r="D16321" t="str">
        <f>"1700"</f>
        <v>1700</v>
      </c>
      <c r="E16321" t="s">
        <v>60</v>
      </c>
      <c r="F16321" t="s">
        <v>1</v>
      </c>
      <c r="G16321" t="s">
        <v>47092</v>
      </c>
      <c r="H16321" t="s">
        <v>47126</v>
      </c>
      <c r="I16321" t="s">
        <v>47127</v>
      </c>
      <c r="J16321" t="s">
        <v>47128</v>
      </c>
      <c r="K16321" t="s">
        <v>47113</v>
      </c>
      <c r="L16321">
        <v>11.48</v>
      </c>
      <c r="M16321">
        <v>22</v>
      </c>
      <c r="N16321">
        <v>0</v>
      </c>
      <c r="O16321">
        <v>22</v>
      </c>
      <c r="P16321">
        <v>0</v>
      </c>
    </row>
    <row r="16322" spans="1:16" x14ac:dyDescent="0.25">
      <c r="A16322" t="s">
        <v>38945</v>
      </c>
      <c r="B16322" t="s">
        <v>511</v>
      </c>
      <c r="C16322" t="s">
        <v>161</v>
      </c>
      <c r="D16322" t="str">
        <f>"4729"</f>
        <v>4729</v>
      </c>
      <c r="E16322" t="s">
        <v>2222</v>
      </c>
      <c r="F16322" t="s">
        <v>1</v>
      </c>
      <c r="G16322" t="s">
        <v>47092</v>
      </c>
      <c r="H16322" t="s">
        <v>47126</v>
      </c>
      <c r="I16322" t="s">
        <v>47127</v>
      </c>
      <c r="J16322" t="s">
        <v>47128</v>
      </c>
      <c r="K16322" t="s">
        <v>47113</v>
      </c>
      <c r="L16322">
        <v>11.48</v>
      </c>
      <c r="M16322">
        <v>22</v>
      </c>
      <c r="N16322">
        <v>0</v>
      </c>
      <c r="O16322">
        <v>22</v>
      </c>
      <c r="P16322">
        <v>0</v>
      </c>
    </row>
    <row r="16323" spans="1:16" x14ac:dyDescent="0.25">
      <c r="A16323" t="s">
        <v>38946</v>
      </c>
      <c r="B16323" t="s">
        <v>511</v>
      </c>
      <c r="C16323" t="s">
        <v>161</v>
      </c>
      <c r="D16323" t="str">
        <f>"4730"</f>
        <v>4730</v>
      </c>
      <c r="E16323" t="s">
        <v>461</v>
      </c>
      <c r="F16323" t="s">
        <v>1</v>
      </c>
      <c r="G16323" t="s">
        <v>47092</v>
      </c>
      <c r="H16323" t="s">
        <v>47126</v>
      </c>
      <c r="I16323" t="s">
        <v>47127</v>
      </c>
      <c r="J16323" t="s">
        <v>47128</v>
      </c>
      <c r="K16323" t="s">
        <v>47113</v>
      </c>
      <c r="L16323">
        <v>11.48</v>
      </c>
      <c r="M16323">
        <v>22</v>
      </c>
      <c r="N16323">
        <v>0</v>
      </c>
      <c r="O16323">
        <v>22</v>
      </c>
      <c r="P16323">
        <v>0</v>
      </c>
    </row>
    <row r="16324" spans="1:16" x14ac:dyDescent="0.25">
      <c r="A16324" t="s">
        <v>38947</v>
      </c>
      <c r="B16324" t="s">
        <v>511</v>
      </c>
      <c r="C16324" t="s">
        <v>161</v>
      </c>
      <c r="D16324" t="str">
        <f>"6451"</f>
        <v>6451</v>
      </c>
      <c r="E16324" t="s">
        <v>390</v>
      </c>
      <c r="F16324" t="s">
        <v>1</v>
      </c>
      <c r="G16324" t="s">
        <v>47092</v>
      </c>
      <c r="H16324" t="s">
        <v>47126</v>
      </c>
      <c r="I16324" t="s">
        <v>47127</v>
      </c>
      <c r="J16324" t="s">
        <v>47128</v>
      </c>
      <c r="K16324" t="s">
        <v>47113</v>
      </c>
      <c r="L16324">
        <v>11.48</v>
      </c>
      <c r="M16324">
        <v>22</v>
      </c>
      <c r="N16324">
        <v>0</v>
      </c>
      <c r="O16324">
        <v>22</v>
      </c>
      <c r="P16324">
        <v>0</v>
      </c>
    </row>
    <row r="16325" spans="1:16" x14ac:dyDescent="0.25">
      <c r="A16325" t="s">
        <v>38948</v>
      </c>
      <c r="B16325" t="s">
        <v>511</v>
      </c>
      <c r="C16325" t="s">
        <v>161</v>
      </c>
      <c r="D16325" t="str">
        <f>"7000"</f>
        <v>7000</v>
      </c>
      <c r="E16325" t="s">
        <v>185</v>
      </c>
      <c r="F16325" t="s">
        <v>1</v>
      </c>
      <c r="G16325" t="s">
        <v>47092</v>
      </c>
      <c r="H16325" t="s">
        <v>47126</v>
      </c>
      <c r="I16325" t="s">
        <v>47127</v>
      </c>
      <c r="J16325" t="s">
        <v>47128</v>
      </c>
      <c r="K16325" t="s">
        <v>47113</v>
      </c>
      <c r="L16325">
        <v>11.48</v>
      </c>
      <c r="M16325">
        <v>22</v>
      </c>
      <c r="N16325">
        <v>0</v>
      </c>
      <c r="O16325">
        <v>22</v>
      </c>
      <c r="P16325">
        <v>0</v>
      </c>
    </row>
    <row r="16326" spans="1:16" x14ac:dyDescent="0.25">
      <c r="A16326" t="s">
        <v>38949</v>
      </c>
      <c r="B16326" t="s">
        <v>512</v>
      </c>
      <c r="C16326" t="s">
        <v>513</v>
      </c>
      <c r="D16326" t="str">
        <f>"1001"</f>
        <v>1001</v>
      </c>
      <c r="E16326" t="s">
        <v>42</v>
      </c>
      <c r="F16326" t="s">
        <v>1</v>
      </c>
      <c r="G16326" t="s">
        <v>47091</v>
      </c>
      <c r="H16326" t="s">
        <v>47126</v>
      </c>
      <c r="I16326" t="s">
        <v>47127</v>
      </c>
      <c r="J16326" t="s">
        <v>47128</v>
      </c>
      <c r="K16326" t="s">
        <v>47113</v>
      </c>
      <c r="L16326">
        <v>14.38</v>
      </c>
      <c r="M16326">
        <v>30</v>
      </c>
      <c r="N16326">
        <v>0</v>
      </c>
      <c r="O16326">
        <v>30</v>
      </c>
      <c r="P16326">
        <v>0</v>
      </c>
    </row>
    <row r="16327" spans="1:16" x14ac:dyDescent="0.25">
      <c r="A16327" t="s">
        <v>38950</v>
      </c>
      <c r="B16327" t="s">
        <v>512</v>
      </c>
      <c r="C16327" t="s">
        <v>513</v>
      </c>
      <c r="D16327" t="str">
        <f>"1377"</f>
        <v>1377</v>
      </c>
      <c r="E16327" t="s">
        <v>74</v>
      </c>
      <c r="F16327" t="s">
        <v>1</v>
      </c>
      <c r="G16327" t="s">
        <v>47091</v>
      </c>
      <c r="H16327" t="s">
        <v>47126</v>
      </c>
      <c r="I16327" t="s">
        <v>47127</v>
      </c>
      <c r="J16327" t="s">
        <v>47128</v>
      </c>
      <c r="K16327" t="s">
        <v>47113</v>
      </c>
      <c r="L16327">
        <v>14.38</v>
      </c>
      <c r="M16327">
        <v>30</v>
      </c>
      <c r="N16327">
        <v>0</v>
      </c>
      <c r="O16327">
        <v>30</v>
      </c>
      <c r="P16327">
        <v>0</v>
      </c>
    </row>
    <row r="16328" spans="1:16" x14ac:dyDescent="0.25">
      <c r="A16328" t="s">
        <v>15103</v>
      </c>
      <c r="B16328" t="s">
        <v>512</v>
      </c>
      <c r="C16328" t="s">
        <v>513</v>
      </c>
      <c r="D16328" t="str">
        <f>"1378"</f>
        <v>1378</v>
      </c>
      <c r="E16328" t="s">
        <v>388</v>
      </c>
      <c r="F16328" t="s">
        <v>1</v>
      </c>
      <c r="G16328" t="s">
        <v>47091</v>
      </c>
      <c r="H16328" t="s">
        <v>47126</v>
      </c>
      <c r="I16328" t="s">
        <v>47127</v>
      </c>
      <c r="J16328" t="s">
        <v>47128</v>
      </c>
      <c r="K16328" t="s">
        <v>47113</v>
      </c>
      <c r="L16328">
        <v>14.38</v>
      </c>
      <c r="M16328">
        <v>30</v>
      </c>
      <c r="N16328">
        <v>0</v>
      </c>
      <c r="O16328">
        <v>30</v>
      </c>
      <c r="P16328">
        <v>0</v>
      </c>
    </row>
    <row r="16329" spans="1:16" x14ac:dyDescent="0.25">
      <c r="A16329" t="s">
        <v>15104</v>
      </c>
      <c r="B16329" t="s">
        <v>512</v>
      </c>
      <c r="C16329" t="s">
        <v>513</v>
      </c>
      <c r="D16329" t="str">
        <f>"1700"</f>
        <v>1700</v>
      </c>
      <c r="E16329" t="s">
        <v>60</v>
      </c>
      <c r="F16329" t="s">
        <v>1</v>
      </c>
      <c r="G16329" t="s">
        <v>47091</v>
      </c>
      <c r="H16329" t="s">
        <v>47126</v>
      </c>
      <c r="I16329" t="s">
        <v>47127</v>
      </c>
      <c r="J16329" t="s">
        <v>47128</v>
      </c>
      <c r="K16329" t="s">
        <v>47113</v>
      </c>
      <c r="L16329">
        <v>14.38</v>
      </c>
      <c r="M16329">
        <v>30</v>
      </c>
      <c r="N16329">
        <v>0</v>
      </c>
      <c r="O16329">
        <v>30</v>
      </c>
      <c r="P16329">
        <v>0</v>
      </c>
    </row>
    <row r="16330" spans="1:16" x14ac:dyDescent="0.25">
      <c r="A16330" t="s">
        <v>38951</v>
      </c>
      <c r="B16330" t="s">
        <v>512</v>
      </c>
      <c r="C16330" t="s">
        <v>513</v>
      </c>
      <c r="D16330" t="str">
        <f>"4729"</f>
        <v>4729</v>
      </c>
      <c r="E16330" t="s">
        <v>2222</v>
      </c>
      <c r="F16330" t="s">
        <v>1</v>
      </c>
      <c r="G16330" t="s">
        <v>47091</v>
      </c>
      <c r="H16330" t="s">
        <v>47126</v>
      </c>
      <c r="I16330" t="s">
        <v>47127</v>
      </c>
      <c r="J16330" t="s">
        <v>47128</v>
      </c>
      <c r="K16330" t="s">
        <v>47113</v>
      </c>
      <c r="L16330">
        <v>14.38</v>
      </c>
      <c r="M16330">
        <v>30</v>
      </c>
      <c r="N16330">
        <v>0</v>
      </c>
      <c r="O16330">
        <v>30</v>
      </c>
      <c r="P16330">
        <v>0</v>
      </c>
    </row>
    <row r="16331" spans="1:16" x14ac:dyDescent="0.25">
      <c r="A16331" t="s">
        <v>38952</v>
      </c>
      <c r="B16331" t="s">
        <v>512</v>
      </c>
      <c r="C16331" t="s">
        <v>513</v>
      </c>
      <c r="D16331" t="str">
        <f>"4730"</f>
        <v>4730</v>
      </c>
      <c r="E16331" t="s">
        <v>461</v>
      </c>
      <c r="F16331" t="s">
        <v>1</v>
      </c>
      <c r="G16331" t="s">
        <v>47091</v>
      </c>
      <c r="H16331" t="s">
        <v>47126</v>
      </c>
      <c r="I16331" t="s">
        <v>47127</v>
      </c>
      <c r="J16331" t="s">
        <v>47128</v>
      </c>
      <c r="K16331" t="s">
        <v>47113</v>
      </c>
      <c r="L16331">
        <v>14.38</v>
      </c>
      <c r="M16331">
        <v>30</v>
      </c>
      <c r="N16331">
        <v>0</v>
      </c>
      <c r="O16331">
        <v>30</v>
      </c>
      <c r="P16331">
        <v>0</v>
      </c>
    </row>
    <row r="16332" spans="1:16" x14ac:dyDescent="0.25">
      <c r="A16332" t="s">
        <v>38953</v>
      </c>
      <c r="B16332" t="s">
        <v>512</v>
      </c>
      <c r="C16332" t="s">
        <v>513</v>
      </c>
      <c r="D16332" t="str">
        <f>"6451"</f>
        <v>6451</v>
      </c>
      <c r="E16332" t="s">
        <v>390</v>
      </c>
      <c r="F16332" t="s">
        <v>1</v>
      </c>
      <c r="G16332" t="s">
        <v>47091</v>
      </c>
      <c r="H16332" t="s">
        <v>47126</v>
      </c>
      <c r="I16332" t="s">
        <v>47127</v>
      </c>
      <c r="J16332" t="s">
        <v>47128</v>
      </c>
      <c r="K16332" t="s">
        <v>47113</v>
      </c>
      <c r="L16332">
        <v>14.38</v>
      </c>
      <c r="M16332">
        <v>30</v>
      </c>
      <c r="N16332">
        <v>0</v>
      </c>
      <c r="O16332">
        <v>30</v>
      </c>
      <c r="P16332">
        <v>0</v>
      </c>
    </row>
    <row r="16333" spans="1:16" x14ac:dyDescent="0.25">
      <c r="A16333" t="s">
        <v>38954</v>
      </c>
      <c r="B16333" t="s">
        <v>512</v>
      </c>
      <c r="C16333" t="s">
        <v>513</v>
      </c>
      <c r="D16333" t="str">
        <f>"7000"</f>
        <v>7000</v>
      </c>
      <c r="E16333" t="s">
        <v>185</v>
      </c>
      <c r="F16333" t="s">
        <v>1</v>
      </c>
      <c r="G16333" t="s">
        <v>47091</v>
      </c>
      <c r="H16333" t="s">
        <v>47126</v>
      </c>
      <c r="I16333" t="s">
        <v>47127</v>
      </c>
      <c r="J16333" t="s">
        <v>47128</v>
      </c>
      <c r="K16333" t="s">
        <v>47113</v>
      </c>
      <c r="L16333">
        <v>14.38</v>
      </c>
      <c r="M16333">
        <v>30</v>
      </c>
      <c r="N16333">
        <v>0</v>
      </c>
      <c r="O16333">
        <v>30</v>
      </c>
      <c r="P16333">
        <v>0</v>
      </c>
    </row>
    <row r="16334" spans="1:16" x14ac:dyDescent="0.25">
      <c r="A16334" t="s">
        <v>38955</v>
      </c>
      <c r="B16334" t="s">
        <v>514</v>
      </c>
      <c r="C16334" t="s">
        <v>515</v>
      </c>
      <c r="D16334" t="str">
        <f>"1001"</f>
        <v>1001</v>
      </c>
      <c r="E16334" t="s">
        <v>42</v>
      </c>
      <c r="F16334" t="s">
        <v>1</v>
      </c>
      <c r="G16334" t="s">
        <v>47091</v>
      </c>
      <c r="H16334" t="s">
        <v>47126</v>
      </c>
      <c r="I16334" t="s">
        <v>47127</v>
      </c>
      <c r="J16334" t="s">
        <v>47128</v>
      </c>
      <c r="K16334" t="s">
        <v>47113</v>
      </c>
      <c r="L16334">
        <v>11.96</v>
      </c>
      <c r="M16334">
        <v>26</v>
      </c>
      <c r="N16334">
        <v>0</v>
      </c>
      <c r="O16334">
        <v>26</v>
      </c>
      <c r="P16334">
        <v>0</v>
      </c>
    </row>
    <row r="16335" spans="1:16" x14ac:dyDescent="0.25">
      <c r="A16335" t="s">
        <v>38956</v>
      </c>
      <c r="B16335" t="s">
        <v>514</v>
      </c>
      <c r="C16335" t="s">
        <v>515</v>
      </c>
      <c r="D16335" t="str">
        <f>"1377"</f>
        <v>1377</v>
      </c>
      <c r="E16335" t="s">
        <v>74</v>
      </c>
      <c r="F16335" t="s">
        <v>1</v>
      </c>
      <c r="G16335" t="s">
        <v>47091</v>
      </c>
      <c r="H16335" t="s">
        <v>47126</v>
      </c>
      <c r="I16335" t="s">
        <v>47127</v>
      </c>
      <c r="J16335" t="s">
        <v>47128</v>
      </c>
      <c r="K16335" t="s">
        <v>47113</v>
      </c>
      <c r="L16335">
        <v>11.96</v>
      </c>
      <c r="M16335">
        <v>26</v>
      </c>
      <c r="N16335">
        <v>0</v>
      </c>
      <c r="O16335">
        <v>26</v>
      </c>
      <c r="P16335">
        <v>0</v>
      </c>
    </row>
    <row r="16336" spans="1:16" x14ac:dyDescent="0.25">
      <c r="A16336" t="s">
        <v>15105</v>
      </c>
      <c r="B16336" t="s">
        <v>514</v>
      </c>
      <c r="C16336" t="s">
        <v>515</v>
      </c>
      <c r="D16336" t="str">
        <f>"1378"</f>
        <v>1378</v>
      </c>
      <c r="E16336" t="s">
        <v>388</v>
      </c>
      <c r="F16336" t="s">
        <v>1</v>
      </c>
      <c r="G16336" t="s">
        <v>47091</v>
      </c>
      <c r="H16336" t="s">
        <v>47126</v>
      </c>
      <c r="I16336" t="s">
        <v>47127</v>
      </c>
      <c r="J16336" t="s">
        <v>47128</v>
      </c>
      <c r="K16336" t="s">
        <v>47113</v>
      </c>
      <c r="L16336">
        <v>11.96</v>
      </c>
      <c r="M16336">
        <v>26</v>
      </c>
      <c r="N16336">
        <v>0</v>
      </c>
      <c r="O16336">
        <v>26</v>
      </c>
      <c r="P16336">
        <v>0</v>
      </c>
    </row>
    <row r="16337" spans="1:16" x14ac:dyDescent="0.25">
      <c r="A16337" t="s">
        <v>15106</v>
      </c>
      <c r="B16337" t="s">
        <v>514</v>
      </c>
      <c r="C16337" t="s">
        <v>515</v>
      </c>
      <c r="D16337" t="str">
        <f>"1700"</f>
        <v>1700</v>
      </c>
      <c r="E16337" t="s">
        <v>60</v>
      </c>
      <c r="F16337" t="s">
        <v>1</v>
      </c>
      <c r="G16337" t="s">
        <v>47091</v>
      </c>
      <c r="H16337" t="s">
        <v>47126</v>
      </c>
      <c r="I16337" t="s">
        <v>47127</v>
      </c>
      <c r="J16337" t="s">
        <v>47128</v>
      </c>
      <c r="K16337" t="s">
        <v>47113</v>
      </c>
      <c r="L16337">
        <v>11.96</v>
      </c>
      <c r="M16337">
        <v>26</v>
      </c>
      <c r="N16337">
        <v>0</v>
      </c>
      <c r="O16337">
        <v>26</v>
      </c>
      <c r="P16337">
        <v>0</v>
      </c>
    </row>
    <row r="16338" spans="1:16" x14ac:dyDescent="0.25">
      <c r="A16338" t="s">
        <v>38957</v>
      </c>
      <c r="B16338" t="s">
        <v>514</v>
      </c>
      <c r="C16338" t="s">
        <v>515</v>
      </c>
      <c r="D16338" t="str">
        <f>"4729"</f>
        <v>4729</v>
      </c>
      <c r="E16338" t="s">
        <v>2222</v>
      </c>
      <c r="F16338" t="s">
        <v>1</v>
      </c>
      <c r="G16338" t="s">
        <v>47091</v>
      </c>
      <c r="H16338" t="s">
        <v>47126</v>
      </c>
      <c r="I16338" t="s">
        <v>47127</v>
      </c>
      <c r="J16338" t="s">
        <v>47128</v>
      </c>
      <c r="K16338" t="s">
        <v>47113</v>
      </c>
      <c r="L16338">
        <v>11.96</v>
      </c>
      <c r="M16338">
        <v>26</v>
      </c>
      <c r="N16338">
        <v>0</v>
      </c>
      <c r="O16338">
        <v>26</v>
      </c>
      <c r="P16338">
        <v>0</v>
      </c>
    </row>
    <row r="16339" spans="1:16" x14ac:dyDescent="0.25">
      <c r="A16339" t="s">
        <v>38958</v>
      </c>
      <c r="B16339" t="s">
        <v>514</v>
      </c>
      <c r="C16339" t="s">
        <v>515</v>
      </c>
      <c r="D16339" t="str">
        <f>"4730"</f>
        <v>4730</v>
      </c>
      <c r="E16339" t="s">
        <v>461</v>
      </c>
      <c r="F16339" t="s">
        <v>1</v>
      </c>
      <c r="G16339" t="s">
        <v>47091</v>
      </c>
      <c r="H16339" t="s">
        <v>47126</v>
      </c>
      <c r="I16339" t="s">
        <v>47127</v>
      </c>
      <c r="J16339" t="s">
        <v>47128</v>
      </c>
      <c r="K16339" t="s">
        <v>47113</v>
      </c>
      <c r="L16339">
        <v>11.96</v>
      </c>
      <c r="M16339">
        <v>26</v>
      </c>
      <c r="N16339">
        <v>0</v>
      </c>
      <c r="O16339">
        <v>26</v>
      </c>
      <c r="P16339">
        <v>0</v>
      </c>
    </row>
    <row r="16340" spans="1:16" x14ac:dyDescent="0.25">
      <c r="A16340" t="s">
        <v>38959</v>
      </c>
      <c r="B16340" t="s">
        <v>514</v>
      </c>
      <c r="C16340" t="s">
        <v>515</v>
      </c>
      <c r="D16340" t="str">
        <f>"6451"</f>
        <v>6451</v>
      </c>
      <c r="E16340" t="s">
        <v>390</v>
      </c>
      <c r="F16340" t="s">
        <v>1</v>
      </c>
      <c r="G16340" t="s">
        <v>47091</v>
      </c>
      <c r="H16340" t="s">
        <v>47126</v>
      </c>
      <c r="I16340" t="s">
        <v>47127</v>
      </c>
      <c r="J16340" t="s">
        <v>47128</v>
      </c>
      <c r="K16340" t="s">
        <v>47113</v>
      </c>
      <c r="L16340">
        <v>11.96</v>
      </c>
      <c r="M16340">
        <v>26</v>
      </c>
      <c r="N16340">
        <v>0</v>
      </c>
      <c r="O16340">
        <v>26</v>
      </c>
      <c r="P16340">
        <v>0</v>
      </c>
    </row>
    <row r="16341" spans="1:16" x14ac:dyDescent="0.25">
      <c r="A16341" t="s">
        <v>38960</v>
      </c>
      <c r="B16341" t="s">
        <v>514</v>
      </c>
      <c r="C16341" t="s">
        <v>515</v>
      </c>
      <c r="D16341" t="str">
        <f>"7000"</f>
        <v>7000</v>
      </c>
      <c r="E16341" t="s">
        <v>185</v>
      </c>
      <c r="F16341" t="s">
        <v>1</v>
      </c>
      <c r="G16341" t="s">
        <v>47091</v>
      </c>
      <c r="H16341" t="s">
        <v>47126</v>
      </c>
      <c r="I16341" t="s">
        <v>47127</v>
      </c>
      <c r="J16341" t="s">
        <v>47128</v>
      </c>
      <c r="K16341" t="s">
        <v>47113</v>
      </c>
      <c r="L16341">
        <v>11.96</v>
      </c>
      <c r="M16341">
        <v>26</v>
      </c>
      <c r="N16341">
        <v>0</v>
      </c>
      <c r="O16341">
        <v>26</v>
      </c>
      <c r="P16341">
        <v>0</v>
      </c>
    </row>
    <row r="16342" spans="1:16" x14ac:dyDescent="0.25">
      <c r="A16342" t="s">
        <v>38961</v>
      </c>
      <c r="B16342" t="s">
        <v>516</v>
      </c>
      <c r="C16342" t="s">
        <v>517</v>
      </c>
      <c r="D16342" t="str">
        <f>"1001"</f>
        <v>1001</v>
      </c>
      <c r="E16342" t="s">
        <v>42</v>
      </c>
      <c r="F16342" t="s">
        <v>1</v>
      </c>
      <c r="G16342" t="s">
        <v>47091</v>
      </c>
      <c r="H16342" t="s">
        <v>47126</v>
      </c>
      <c r="I16342" t="s">
        <v>47127</v>
      </c>
      <c r="J16342" t="s">
        <v>47128</v>
      </c>
      <c r="K16342" t="s">
        <v>47113</v>
      </c>
      <c r="L16342">
        <v>13.17</v>
      </c>
      <c r="M16342">
        <v>30</v>
      </c>
      <c r="N16342">
        <v>0</v>
      </c>
      <c r="O16342">
        <v>30</v>
      </c>
      <c r="P16342">
        <v>0</v>
      </c>
    </row>
    <row r="16343" spans="1:16" x14ac:dyDescent="0.25">
      <c r="A16343" t="s">
        <v>38962</v>
      </c>
      <c r="B16343" t="s">
        <v>516</v>
      </c>
      <c r="C16343" t="s">
        <v>517</v>
      </c>
      <c r="D16343" t="str">
        <f>"1377"</f>
        <v>1377</v>
      </c>
      <c r="E16343" t="s">
        <v>74</v>
      </c>
      <c r="F16343" t="s">
        <v>1</v>
      </c>
      <c r="G16343" t="s">
        <v>47091</v>
      </c>
      <c r="H16343" t="s">
        <v>47126</v>
      </c>
      <c r="I16343" t="s">
        <v>47127</v>
      </c>
      <c r="J16343" t="s">
        <v>47128</v>
      </c>
      <c r="K16343" t="s">
        <v>47113</v>
      </c>
      <c r="L16343">
        <v>13.17</v>
      </c>
      <c r="M16343">
        <v>30</v>
      </c>
      <c r="N16343">
        <v>0</v>
      </c>
      <c r="O16343">
        <v>30</v>
      </c>
      <c r="P16343">
        <v>0</v>
      </c>
    </row>
    <row r="16344" spans="1:16" x14ac:dyDescent="0.25">
      <c r="A16344" t="s">
        <v>15107</v>
      </c>
      <c r="B16344" t="s">
        <v>516</v>
      </c>
      <c r="C16344" t="s">
        <v>517</v>
      </c>
      <c r="D16344" t="str">
        <f>"1378"</f>
        <v>1378</v>
      </c>
      <c r="E16344" t="s">
        <v>388</v>
      </c>
      <c r="F16344" t="s">
        <v>1</v>
      </c>
      <c r="G16344" t="s">
        <v>47091</v>
      </c>
      <c r="H16344" t="s">
        <v>47126</v>
      </c>
      <c r="I16344" t="s">
        <v>47127</v>
      </c>
      <c r="J16344" t="s">
        <v>47128</v>
      </c>
      <c r="K16344" t="s">
        <v>47113</v>
      </c>
      <c r="L16344">
        <v>13.17</v>
      </c>
      <c r="M16344">
        <v>30</v>
      </c>
      <c r="N16344">
        <v>0</v>
      </c>
      <c r="O16344">
        <v>30</v>
      </c>
      <c r="P16344">
        <v>0</v>
      </c>
    </row>
    <row r="16345" spans="1:16" x14ac:dyDescent="0.25">
      <c r="A16345" t="s">
        <v>15108</v>
      </c>
      <c r="B16345" t="s">
        <v>516</v>
      </c>
      <c r="C16345" t="s">
        <v>517</v>
      </c>
      <c r="D16345" t="str">
        <f>"1700"</f>
        <v>1700</v>
      </c>
      <c r="E16345" t="s">
        <v>60</v>
      </c>
      <c r="F16345" t="s">
        <v>1</v>
      </c>
      <c r="G16345" t="s">
        <v>47091</v>
      </c>
      <c r="H16345" t="s">
        <v>47126</v>
      </c>
      <c r="I16345" t="s">
        <v>47127</v>
      </c>
      <c r="J16345" t="s">
        <v>47128</v>
      </c>
      <c r="K16345" t="s">
        <v>47113</v>
      </c>
      <c r="L16345">
        <v>13.17</v>
      </c>
      <c r="M16345">
        <v>30</v>
      </c>
      <c r="N16345">
        <v>0</v>
      </c>
      <c r="O16345">
        <v>30</v>
      </c>
      <c r="P16345">
        <v>0</v>
      </c>
    </row>
    <row r="16346" spans="1:16" x14ac:dyDescent="0.25">
      <c r="A16346" t="s">
        <v>38963</v>
      </c>
      <c r="B16346" t="s">
        <v>516</v>
      </c>
      <c r="C16346" t="s">
        <v>517</v>
      </c>
      <c r="D16346" t="str">
        <f>"4729"</f>
        <v>4729</v>
      </c>
      <c r="E16346" t="s">
        <v>2222</v>
      </c>
      <c r="F16346" t="s">
        <v>1</v>
      </c>
      <c r="G16346" t="s">
        <v>47091</v>
      </c>
      <c r="H16346" t="s">
        <v>47126</v>
      </c>
      <c r="I16346" t="s">
        <v>47127</v>
      </c>
      <c r="J16346" t="s">
        <v>47128</v>
      </c>
      <c r="K16346" t="s">
        <v>47113</v>
      </c>
      <c r="L16346">
        <v>13.17</v>
      </c>
      <c r="M16346">
        <v>30</v>
      </c>
      <c r="N16346">
        <v>0</v>
      </c>
      <c r="O16346">
        <v>30</v>
      </c>
      <c r="P16346">
        <v>0</v>
      </c>
    </row>
    <row r="16347" spans="1:16" x14ac:dyDescent="0.25">
      <c r="A16347" t="s">
        <v>38964</v>
      </c>
      <c r="B16347" t="s">
        <v>516</v>
      </c>
      <c r="C16347" t="s">
        <v>517</v>
      </c>
      <c r="D16347" t="str">
        <f>"4730"</f>
        <v>4730</v>
      </c>
      <c r="E16347" t="s">
        <v>461</v>
      </c>
      <c r="F16347" t="s">
        <v>1</v>
      </c>
      <c r="G16347" t="s">
        <v>47091</v>
      </c>
      <c r="H16347" t="s">
        <v>47126</v>
      </c>
      <c r="I16347" t="s">
        <v>47127</v>
      </c>
      <c r="J16347" t="s">
        <v>47128</v>
      </c>
      <c r="K16347" t="s">
        <v>47113</v>
      </c>
      <c r="L16347">
        <v>13.17</v>
      </c>
      <c r="M16347">
        <v>30</v>
      </c>
      <c r="N16347">
        <v>0</v>
      </c>
      <c r="O16347">
        <v>30</v>
      </c>
      <c r="P16347">
        <v>0</v>
      </c>
    </row>
    <row r="16348" spans="1:16" x14ac:dyDescent="0.25">
      <c r="A16348" t="s">
        <v>38965</v>
      </c>
      <c r="B16348" t="s">
        <v>516</v>
      </c>
      <c r="C16348" t="s">
        <v>517</v>
      </c>
      <c r="D16348" t="str">
        <f>"6451"</f>
        <v>6451</v>
      </c>
      <c r="E16348" t="s">
        <v>390</v>
      </c>
      <c r="F16348" t="s">
        <v>1</v>
      </c>
      <c r="G16348" t="s">
        <v>47091</v>
      </c>
      <c r="H16348" t="s">
        <v>47126</v>
      </c>
      <c r="I16348" t="s">
        <v>47127</v>
      </c>
      <c r="J16348" t="s">
        <v>47128</v>
      </c>
      <c r="K16348" t="s">
        <v>47113</v>
      </c>
      <c r="L16348">
        <v>13.17</v>
      </c>
      <c r="M16348">
        <v>30</v>
      </c>
      <c r="N16348">
        <v>0</v>
      </c>
      <c r="O16348">
        <v>30</v>
      </c>
      <c r="P16348">
        <v>0</v>
      </c>
    </row>
    <row r="16349" spans="1:16" x14ac:dyDescent="0.25">
      <c r="A16349" t="s">
        <v>38966</v>
      </c>
      <c r="B16349" t="s">
        <v>516</v>
      </c>
      <c r="C16349" t="s">
        <v>517</v>
      </c>
      <c r="D16349" t="str">
        <f>"7000"</f>
        <v>7000</v>
      </c>
      <c r="E16349" t="s">
        <v>185</v>
      </c>
      <c r="F16349" t="s">
        <v>1</v>
      </c>
      <c r="G16349" t="s">
        <v>47091</v>
      </c>
      <c r="H16349" t="s">
        <v>47126</v>
      </c>
      <c r="I16349" t="s">
        <v>47127</v>
      </c>
      <c r="J16349" t="s">
        <v>47128</v>
      </c>
      <c r="K16349" t="s">
        <v>47113</v>
      </c>
      <c r="L16349">
        <v>13.17</v>
      </c>
      <c r="M16349">
        <v>30</v>
      </c>
      <c r="N16349">
        <v>0</v>
      </c>
      <c r="O16349">
        <v>30</v>
      </c>
      <c r="P16349">
        <v>0</v>
      </c>
    </row>
    <row r="16350" spans="1:16" x14ac:dyDescent="0.25">
      <c r="A16350" t="s">
        <v>38967</v>
      </c>
      <c r="B16350" t="s">
        <v>518</v>
      </c>
      <c r="C16350" t="s">
        <v>519</v>
      </c>
      <c r="D16350" t="str">
        <f>"1001"</f>
        <v>1001</v>
      </c>
      <c r="E16350" t="s">
        <v>42</v>
      </c>
      <c r="F16350" t="s">
        <v>1</v>
      </c>
      <c r="G16350" t="s">
        <v>47091</v>
      </c>
      <c r="H16350" t="s">
        <v>47126</v>
      </c>
      <c r="I16350" t="s">
        <v>47127</v>
      </c>
      <c r="J16350" t="s">
        <v>47128</v>
      </c>
      <c r="K16350" t="s">
        <v>47113</v>
      </c>
      <c r="L16350">
        <v>13.17</v>
      </c>
      <c r="M16350">
        <v>30</v>
      </c>
      <c r="N16350">
        <v>0</v>
      </c>
      <c r="O16350">
        <v>30</v>
      </c>
      <c r="P16350">
        <v>0</v>
      </c>
    </row>
    <row r="16351" spans="1:16" x14ac:dyDescent="0.25">
      <c r="A16351" t="s">
        <v>38968</v>
      </c>
      <c r="B16351" t="s">
        <v>518</v>
      </c>
      <c r="C16351" t="s">
        <v>519</v>
      </c>
      <c r="D16351" t="str">
        <f>"1377"</f>
        <v>1377</v>
      </c>
      <c r="E16351" t="s">
        <v>74</v>
      </c>
      <c r="F16351" t="s">
        <v>1</v>
      </c>
      <c r="G16351" t="s">
        <v>47091</v>
      </c>
      <c r="H16351" t="s">
        <v>47126</v>
      </c>
      <c r="I16351" t="s">
        <v>47127</v>
      </c>
      <c r="J16351" t="s">
        <v>47128</v>
      </c>
      <c r="K16351" t="s">
        <v>47113</v>
      </c>
      <c r="L16351">
        <v>13.17</v>
      </c>
      <c r="M16351">
        <v>30</v>
      </c>
      <c r="N16351">
        <v>0</v>
      </c>
      <c r="O16351">
        <v>30</v>
      </c>
      <c r="P16351">
        <v>0</v>
      </c>
    </row>
    <row r="16352" spans="1:16" x14ac:dyDescent="0.25">
      <c r="A16352" t="s">
        <v>15109</v>
      </c>
      <c r="B16352" t="s">
        <v>518</v>
      </c>
      <c r="C16352" t="s">
        <v>519</v>
      </c>
      <c r="D16352" t="str">
        <f>"1378"</f>
        <v>1378</v>
      </c>
      <c r="E16352" t="s">
        <v>388</v>
      </c>
      <c r="F16352" t="s">
        <v>1</v>
      </c>
      <c r="G16352" t="s">
        <v>47091</v>
      </c>
      <c r="H16352" t="s">
        <v>47126</v>
      </c>
      <c r="I16352" t="s">
        <v>47127</v>
      </c>
      <c r="J16352" t="s">
        <v>47128</v>
      </c>
      <c r="K16352" t="s">
        <v>47113</v>
      </c>
      <c r="L16352">
        <v>13.17</v>
      </c>
      <c r="M16352">
        <v>30</v>
      </c>
      <c r="N16352">
        <v>0</v>
      </c>
      <c r="O16352">
        <v>30</v>
      </c>
      <c r="P16352">
        <v>0</v>
      </c>
    </row>
    <row r="16353" spans="1:16" x14ac:dyDescent="0.25">
      <c r="A16353" t="s">
        <v>15110</v>
      </c>
      <c r="B16353" t="s">
        <v>518</v>
      </c>
      <c r="C16353" t="s">
        <v>519</v>
      </c>
      <c r="D16353" t="str">
        <f>"1700"</f>
        <v>1700</v>
      </c>
      <c r="E16353" t="s">
        <v>60</v>
      </c>
      <c r="F16353" t="s">
        <v>1</v>
      </c>
      <c r="G16353" t="s">
        <v>47091</v>
      </c>
      <c r="H16353" t="s">
        <v>47126</v>
      </c>
      <c r="I16353" t="s">
        <v>47127</v>
      </c>
      <c r="J16353" t="s">
        <v>47128</v>
      </c>
      <c r="K16353" t="s">
        <v>47113</v>
      </c>
      <c r="L16353">
        <v>13.17</v>
      </c>
      <c r="M16353">
        <v>30</v>
      </c>
      <c r="N16353">
        <v>0</v>
      </c>
      <c r="O16353">
        <v>30</v>
      </c>
      <c r="P16353">
        <v>0</v>
      </c>
    </row>
    <row r="16354" spans="1:16" x14ac:dyDescent="0.25">
      <c r="A16354" t="s">
        <v>38969</v>
      </c>
      <c r="B16354" t="s">
        <v>518</v>
      </c>
      <c r="C16354" t="s">
        <v>519</v>
      </c>
      <c r="D16354" t="str">
        <f>"4729"</f>
        <v>4729</v>
      </c>
      <c r="E16354" t="s">
        <v>2222</v>
      </c>
      <c r="F16354" t="s">
        <v>1</v>
      </c>
      <c r="G16354" t="s">
        <v>47091</v>
      </c>
      <c r="H16354" t="s">
        <v>47126</v>
      </c>
      <c r="I16354" t="s">
        <v>47127</v>
      </c>
      <c r="J16354" t="s">
        <v>47128</v>
      </c>
      <c r="K16354" t="s">
        <v>47113</v>
      </c>
      <c r="L16354">
        <v>13.17</v>
      </c>
      <c r="M16354">
        <v>30</v>
      </c>
      <c r="N16354">
        <v>0</v>
      </c>
      <c r="O16354">
        <v>30</v>
      </c>
      <c r="P16354">
        <v>0</v>
      </c>
    </row>
    <row r="16355" spans="1:16" x14ac:dyDescent="0.25">
      <c r="A16355" t="s">
        <v>15111</v>
      </c>
      <c r="B16355" t="s">
        <v>518</v>
      </c>
      <c r="C16355" t="s">
        <v>519</v>
      </c>
      <c r="D16355" t="str">
        <f>"4730"</f>
        <v>4730</v>
      </c>
      <c r="E16355" t="s">
        <v>461</v>
      </c>
      <c r="F16355" t="s">
        <v>1</v>
      </c>
      <c r="G16355" t="s">
        <v>47091</v>
      </c>
      <c r="H16355" t="s">
        <v>47126</v>
      </c>
      <c r="I16355" t="s">
        <v>47127</v>
      </c>
      <c r="J16355" t="s">
        <v>47128</v>
      </c>
      <c r="K16355" t="s">
        <v>47113</v>
      </c>
      <c r="L16355">
        <v>13.17</v>
      </c>
      <c r="M16355">
        <v>30</v>
      </c>
      <c r="N16355">
        <v>0</v>
      </c>
      <c r="O16355">
        <v>30</v>
      </c>
      <c r="P16355">
        <v>0</v>
      </c>
    </row>
    <row r="16356" spans="1:16" x14ac:dyDescent="0.25">
      <c r="A16356" t="s">
        <v>38970</v>
      </c>
      <c r="B16356" t="s">
        <v>518</v>
      </c>
      <c r="C16356" t="s">
        <v>519</v>
      </c>
      <c r="D16356" t="str">
        <f>"6451"</f>
        <v>6451</v>
      </c>
      <c r="E16356" t="s">
        <v>390</v>
      </c>
      <c r="F16356" t="s">
        <v>1</v>
      </c>
      <c r="G16356" t="s">
        <v>47091</v>
      </c>
      <c r="H16356" t="s">
        <v>47126</v>
      </c>
      <c r="I16356" t="s">
        <v>47127</v>
      </c>
      <c r="J16356" t="s">
        <v>47128</v>
      </c>
      <c r="K16356" t="s">
        <v>47113</v>
      </c>
      <c r="L16356">
        <v>13.17</v>
      </c>
      <c r="M16356">
        <v>30</v>
      </c>
      <c r="N16356">
        <v>0</v>
      </c>
      <c r="O16356">
        <v>30</v>
      </c>
      <c r="P16356">
        <v>0</v>
      </c>
    </row>
    <row r="16357" spans="1:16" x14ac:dyDescent="0.25">
      <c r="A16357" t="s">
        <v>38971</v>
      </c>
      <c r="B16357" t="s">
        <v>518</v>
      </c>
      <c r="C16357" t="s">
        <v>519</v>
      </c>
      <c r="D16357" t="str">
        <f>"7000"</f>
        <v>7000</v>
      </c>
      <c r="E16357" t="s">
        <v>185</v>
      </c>
      <c r="F16357" t="s">
        <v>1</v>
      </c>
      <c r="G16357" t="s">
        <v>47091</v>
      </c>
      <c r="H16357" t="s">
        <v>47126</v>
      </c>
      <c r="I16357" t="s">
        <v>47127</v>
      </c>
      <c r="J16357" t="s">
        <v>47128</v>
      </c>
      <c r="K16357" t="s">
        <v>47113</v>
      </c>
      <c r="L16357">
        <v>13.17</v>
      </c>
      <c r="M16357">
        <v>30</v>
      </c>
      <c r="N16357">
        <v>0</v>
      </c>
      <c r="O16357">
        <v>30</v>
      </c>
      <c r="P16357">
        <v>0</v>
      </c>
    </row>
    <row r="16358" spans="1:16" x14ac:dyDescent="0.25">
      <c r="A16358" t="s">
        <v>38972</v>
      </c>
      <c r="B16358" t="s">
        <v>10875</v>
      </c>
      <c r="C16358" t="s">
        <v>10876</v>
      </c>
      <c r="D16358" t="str">
        <f>"1001"</f>
        <v>1001</v>
      </c>
      <c r="E16358" t="s">
        <v>42</v>
      </c>
      <c r="F16358" t="s">
        <v>1</v>
      </c>
      <c r="G16358" t="s">
        <v>47091</v>
      </c>
      <c r="H16358" t="s">
        <v>47126</v>
      </c>
      <c r="I16358" t="s">
        <v>47127</v>
      </c>
      <c r="J16358" t="s">
        <v>47128</v>
      </c>
      <c r="K16358" t="s">
        <v>47113</v>
      </c>
      <c r="L16358">
        <v>13.17</v>
      </c>
      <c r="M16358">
        <v>30</v>
      </c>
      <c r="N16358">
        <v>0</v>
      </c>
      <c r="O16358">
        <v>30</v>
      </c>
      <c r="P16358">
        <v>0</v>
      </c>
    </row>
    <row r="16359" spans="1:16" x14ac:dyDescent="0.25">
      <c r="A16359" t="s">
        <v>38973</v>
      </c>
      <c r="B16359" t="s">
        <v>10875</v>
      </c>
      <c r="C16359" t="s">
        <v>10876</v>
      </c>
      <c r="D16359" t="str">
        <f>"1377"</f>
        <v>1377</v>
      </c>
      <c r="E16359" t="s">
        <v>74</v>
      </c>
      <c r="F16359" t="s">
        <v>1</v>
      </c>
      <c r="G16359" t="s">
        <v>47091</v>
      </c>
      <c r="H16359" t="s">
        <v>47126</v>
      </c>
      <c r="I16359" t="s">
        <v>47127</v>
      </c>
      <c r="J16359" t="s">
        <v>47128</v>
      </c>
      <c r="K16359" t="s">
        <v>47113</v>
      </c>
      <c r="L16359">
        <v>13.17</v>
      </c>
      <c r="M16359">
        <v>30</v>
      </c>
      <c r="N16359">
        <v>0</v>
      </c>
      <c r="O16359">
        <v>30</v>
      </c>
      <c r="P16359">
        <v>0</v>
      </c>
    </row>
    <row r="16360" spans="1:16" x14ac:dyDescent="0.25">
      <c r="A16360" t="s">
        <v>38974</v>
      </c>
      <c r="B16360" t="s">
        <v>10875</v>
      </c>
      <c r="C16360" t="s">
        <v>10876</v>
      </c>
      <c r="D16360" t="str">
        <f>"1378"</f>
        <v>1378</v>
      </c>
      <c r="E16360" t="s">
        <v>388</v>
      </c>
      <c r="F16360" t="s">
        <v>1</v>
      </c>
      <c r="G16360" t="s">
        <v>47091</v>
      </c>
      <c r="H16360" t="s">
        <v>47126</v>
      </c>
      <c r="I16360" t="s">
        <v>47127</v>
      </c>
      <c r="J16360" t="s">
        <v>47128</v>
      </c>
      <c r="K16360" t="s">
        <v>47113</v>
      </c>
      <c r="L16360">
        <v>13.17</v>
      </c>
      <c r="M16360">
        <v>30</v>
      </c>
      <c r="N16360">
        <v>0</v>
      </c>
      <c r="O16360">
        <v>30</v>
      </c>
      <c r="P16360">
        <v>0</v>
      </c>
    </row>
    <row r="16361" spans="1:16" x14ac:dyDescent="0.25">
      <c r="A16361" t="s">
        <v>38975</v>
      </c>
      <c r="B16361" t="s">
        <v>10875</v>
      </c>
      <c r="C16361" t="s">
        <v>10876</v>
      </c>
      <c r="D16361" t="str">
        <f>"1700"</f>
        <v>1700</v>
      </c>
      <c r="E16361" t="s">
        <v>60</v>
      </c>
      <c r="F16361" t="s">
        <v>1</v>
      </c>
      <c r="G16361" t="s">
        <v>47091</v>
      </c>
      <c r="H16361" t="s">
        <v>47126</v>
      </c>
      <c r="I16361" t="s">
        <v>47127</v>
      </c>
      <c r="J16361" t="s">
        <v>47128</v>
      </c>
      <c r="K16361" t="s">
        <v>47113</v>
      </c>
      <c r="L16361">
        <v>13.17</v>
      </c>
      <c r="M16361">
        <v>30</v>
      </c>
      <c r="N16361">
        <v>0</v>
      </c>
      <c r="O16361">
        <v>30</v>
      </c>
      <c r="P16361">
        <v>0</v>
      </c>
    </row>
    <row r="16362" spans="1:16" x14ac:dyDescent="0.25">
      <c r="A16362" t="s">
        <v>38976</v>
      </c>
      <c r="B16362" t="s">
        <v>10875</v>
      </c>
      <c r="C16362" t="s">
        <v>10876</v>
      </c>
      <c r="D16362" t="str">
        <f>"4729"</f>
        <v>4729</v>
      </c>
      <c r="E16362" t="s">
        <v>2222</v>
      </c>
      <c r="F16362" t="s">
        <v>1</v>
      </c>
      <c r="G16362" t="s">
        <v>47091</v>
      </c>
      <c r="H16362" t="s">
        <v>47126</v>
      </c>
      <c r="I16362" t="s">
        <v>47127</v>
      </c>
      <c r="J16362" t="s">
        <v>47128</v>
      </c>
      <c r="K16362" t="s">
        <v>47113</v>
      </c>
      <c r="L16362">
        <v>13.17</v>
      </c>
      <c r="M16362">
        <v>30</v>
      </c>
      <c r="N16362">
        <v>0</v>
      </c>
      <c r="O16362">
        <v>30</v>
      </c>
      <c r="P16362">
        <v>0</v>
      </c>
    </row>
    <row r="16363" spans="1:16" x14ac:dyDescent="0.25">
      <c r="A16363" t="s">
        <v>38977</v>
      </c>
      <c r="B16363" t="s">
        <v>10875</v>
      </c>
      <c r="C16363" t="s">
        <v>10876</v>
      </c>
      <c r="D16363" t="str">
        <f>"4730"</f>
        <v>4730</v>
      </c>
      <c r="E16363" t="s">
        <v>461</v>
      </c>
      <c r="F16363" t="s">
        <v>1</v>
      </c>
      <c r="G16363" t="s">
        <v>47091</v>
      </c>
      <c r="H16363" t="s">
        <v>47126</v>
      </c>
      <c r="I16363" t="s">
        <v>47127</v>
      </c>
      <c r="J16363" t="s">
        <v>47128</v>
      </c>
      <c r="K16363" t="s">
        <v>47113</v>
      </c>
      <c r="L16363">
        <v>13.17</v>
      </c>
      <c r="M16363">
        <v>30</v>
      </c>
      <c r="N16363">
        <v>0</v>
      </c>
      <c r="O16363">
        <v>30</v>
      </c>
      <c r="P16363">
        <v>0</v>
      </c>
    </row>
    <row r="16364" spans="1:16" x14ac:dyDescent="0.25">
      <c r="A16364" t="s">
        <v>38978</v>
      </c>
      <c r="B16364" t="s">
        <v>10875</v>
      </c>
      <c r="C16364" t="s">
        <v>10876</v>
      </c>
      <c r="D16364" t="str">
        <f>"6451"</f>
        <v>6451</v>
      </c>
      <c r="E16364" t="s">
        <v>390</v>
      </c>
      <c r="F16364" t="s">
        <v>1</v>
      </c>
      <c r="G16364" t="s">
        <v>47091</v>
      </c>
      <c r="H16364" t="s">
        <v>47126</v>
      </c>
      <c r="I16364" t="s">
        <v>47127</v>
      </c>
      <c r="J16364" t="s">
        <v>47128</v>
      </c>
      <c r="K16364" t="s">
        <v>47113</v>
      </c>
      <c r="L16364">
        <v>13.17</v>
      </c>
      <c r="M16364">
        <v>30</v>
      </c>
      <c r="N16364">
        <v>0</v>
      </c>
      <c r="O16364">
        <v>30</v>
      </c>
      <c r="P16364">
        <v>0</v>
      </c>
    </row>
    <row r="16365" spans="1:16" x14ac:dyDescent="0.25">
      <c r="A16365" t="s">
        <v>38979</v>
      </c>
      <c r="B16365" t="s">
        <v>10875</v>
      </c>
      <c r="C16365" t="s">
        <v>10876</v>
      </c>
      <c r="D16365" t="str">
        <f>"7000"</f>
        <v>7000</v>
      </c>
      <c r="E16365" t="s">
        <v>185</v>
      </c>
      <c r="F16365" t="s">
        <v>1</v>
      </c>
      <c r="G16365" t="s">
        <v>47091</v>
      </c>
      <c r="H16365" t="s">
        <v>47126</v>
      </c>
      <c r="I16365" t="s">
        <v>47127</v>
      </c>
      <c r="J16365" t="s">
        <v>47128</v>
      </c>
      <c r="K16365" t="s">
        <v>47113</v>
      </c>
      <c r="L16365">
        <v>13.17</v>
      </c>
      <c r="M16365">
        <v>30</v>
      </c>
      <c r="N16365">
        <v>0</v>
      </c>
      <c r="O16365">
        <v>30</v>
      </c>
      <c r="P16365">
        <v>0</v>
      </c>
    </row>
    <row r="16366" spans="1:16" x14ac:dyDescent="0.25">
      <c r="A16366" t="s">
        <v>38980</v>
      </c>
      <c r="B16366" t="s">
        <v>10877</v>
      </c>
      <c r="C16366" t="s">
        <v>10878</v>
      </c>
      <c r="D16366" t="str">
        <f>"1001"</f>
        <v>1001</v>
      </c>
      <c r="E16366" t="s">
        <v>42</v>
      </c>
      <c r="F16366" t="s">
        <v>1</v>
      </c>
      <c r="G16366" t="s">
        <v>49029</v>
      </c>
      <c r="H16366" t="s">
        <v>47126</v>
      </c>
      <c r="I16366" t="s">
        <v>47127</v>
      </c>
      <c r="J16366" t="s">
        <v>47128</v>
      </c>
      <c r="K16366" t="s">
        <v>47113</v>
      </c>
      <c r="L16366">
        <v>17.149999999999999</v>
      </c>
      <c r="M16366">
        <v>42</v>
      </c>
      <c r="N16366">
        <v>0</v>
      </c>
      <c r="O16366">
        <v>42</v>
      </c>
      <c r="P16366">
        <v>0</v>
      </c>
    </row>
    <row r="16367" spans="1:16" x14ac:dyDescent="0.25">
      <c r="A16367" t="s">
        <v>38981</v>
      </c>
      <c r="B16367" t="s">
        <v>10877</v>
      </c>
      <c r="C16367" t="s">
        <v>10878</v>
      </c>
      <c r="D16367" t="str">
        <f>"1377"</f>
        <v>1377</v>
      </c>
      <c r="E16367" t="s">
        <v>74</v>
      </c>
      <c r="F16367" t="s">
        <v>1</v>
      </c>
      <c r="G16367" t="s">
        <v>49029</v>
      </c>
      <c r="H16367" t="s">
        <v>47126</v>
      </c>
      <c r="I16367" t="s">
        <v>47127</v>
      </c>
      <c r="J16367" t="s">
        <v>47128</v>
      </c>
      <c r="K16367" t="s">
        <v>47113</v>
      </c>
      <c r="L16367">
        <v>17.149999999999999</v>
      </c>
      <c r="M16367">
        <v>42</v>
      </c>
      <c r="N16367">
        <v>0</v>
      </c>
      <c r="O16367">
        <v>42</v>
      </c>
      <c r="P16367">
        <v>0</v>
      </c>
    </row>
    <row r="16368" spans="1:16" x14ac:dyDescent="0.25">
      <c r="A16368" t="s">
        <v>38982</v>
      </c>
      <c r="B16368" t="s">
        <v>10877</v>
      </c>
      <c r="C16368" t="s">
        <v>10878</v>
      </c>
      <c r="D16368" t="str">
        <f>"1378"</f>
        <v>1378</v>
      </c>
      <c r="E16368" t="s">
        <v>388</v>
      </c>
      <c r="F16368" t="s">
        <v>1</v>
      </c>
      <c r="G16368" t="s">
        <v>49029</v>
      </c>
      <c r="H16368" t="s">
        <v>47126</v>
      </c>
      <c r="I16368" t="s">
        <v>47127</v>
      </c>
      <c r="J16368" t="s">
        <v>47128</v>
      </c>
      <c r="K16368" t="s">
        <v>47113</v>
      </c>
      <c r="L16368">
        <v>17.149999999999999</v>
      </c>
      <c r="M16368">
        <v>42</v>
      </c>
      <c r="N16368">
        <v>0</v>
      </c>
      <c r="O16368">
        <v>42</v>
      </c>
      <c r="P16368">
        <v>0</v>
      </c>
    </row>
    <row r="16369" spans="1:16" x14ac:dyDescent="0.25">
      <c r="A16369" t="s">
        <v>38983</v>
      </c>
      <c r="B16369" t="s">
        <v>10877</v>
      </c>
      <c r="C16369" t="s">
        <v>10878</v>
      </c>
      <c r="D16369" t="str">
        <f>"1700"</f>
        <v>1700</v>
      </c>
      <c r="E16369" t="s">
        <v>60</v>
      </c>
      <c r="F16369" t="s">
        <v>1</v>
      </c>
      <c r="G16369" t="s">
        <v>49029</v>
      </c>
      <c r="H16369" t="s">
        <v>47126</v>
      </c>
      <c r="I16369" t="s">
        <v>47127</v>
      </c>
      <c r="J16369" t="s">
        <v>47128</v>
      </c>
      <c r="K16369" t="s">
        <v>47113</v>
      </c>
      <c r="L16369">
        <v>17.149999999999999</v>
      </c>
      <c r="M16369">
        <v>42</v>
      </c>
      <c r="N16369">
        <v>0</v>
      </c>
      <c r="O16369">
        <v>42</v>
      </c>
      <c r="P16369">
        <v>0</v>
      </c>
    </row>
    <row r="16370" spans="1:16" x14ac:dyDescent="0.25">
      <c r="A16370" t="s">
        <v>38984</v>
      </c>
      <c r="B16370" t="s">
        <v>10877</v>
      </c>
      <c r="C16370" t="s">
        <v>10878</v>
      </c>
      <c r="D16370" t="str">
        <f>"4729"</f>
        <v>4729</v>
      </c>
      <c r="E16370" t="s">
        <v>2222</v>
      </c>
      <c r="F16370" t="s">
        <v>1</v>
      </c>
      <c r="G16370" t="s">
        <v>49029</v>
      </c>
      <c r="H16370" t="s">
        <v>47126</v>
      </c>
      <c r="I16370" t="s">
        <v>47127</v>
      </c>
      <c r="J16370" t="s">
        <v>47128</v>
      </c>
      <c r="K16370" t="s">
        <v>47113</v>
      </c>
      <c r="L16370">
        <v>17.149999999999999</v>
      </c>
      <c r="M16370">
        <v>42</v>
      </c>
      <c r="N16370">
        <v>0</v>
      </c>
      <c r="O16370">
        <v>42</v>
      </c>
      <c r="P16370">
        <v>0</v>
      </c>
    </row>
    <row r="16371" spans="1:16" x14ac:dyDescent="0.25">
      <c r="A16371" t="s">
        <v>38985</v>
      </c>
      <c r="B16371" t="s">
        <v>10877</v>
      </c>
      <c r="C16371" t="s">
        <v>10878</v>
      </c>
      <c r="D16371" t="str">
        <f>"4730"</f>
        <v>4730</v>
      </c>
      <c r="E16371" t="s">
        <v>461</v>
      </c>
      <c r="F16371" t="s">
        <v>1</v>
      </c>
      <c r="G16371" t="s">
        <v>49029</v>
      </c>
      <c r="H16371" t="s">
        <v>47126</v>
      </c>
      <c r="I16371" t="s">
        <v>47127</v>
      </c>
      <c r="J16371" t="s">
        <v>47128</v>
      </c>
      <c r="K16371" t="s">
        <v>47113</v>
      </c>
      <c r="L16371">
        <v>17.149999999999999</v>
      </c>
      <c r="M16371">
        <v>42</v>
      </c>
      <c r="N16371">
        <v>0</v>
      </c>
      <c r="O16371">
        <v>42</v>
      </c>
      <c r="P16371">
        <v>0</v>
      </c>
    </row>
    <row r="16372" spans="1:16" x14ac:dyDescent="0.25">
      <c r="A16372" t="s">
        <v>38986</v>
      </c>
      <c r="B16372" t="s">
        <v>10877</v>
      </c>
      <c r="C16372" t="s">
        <v>10878</v>
      </c>
      <c r="D16372" t="str">
        <f>"6451"</f>
        <v>6451</v>
      </c>
      <c r="E16372" t="s">
        <v>390</v>
      </c>
      <c r="F16372" t="s">
        <v>1</v>
      </c>
      <c r="G16372" t="s">
        <v>49029</v>
      </c>
      <c r="H16372" t="s">
        <v>47126</v>
      </c>
      <c r="I16372" t="s">
        <v>47127</v>
      </c>
      <c r="J16372" t="s">
        <v>47128</v>
      </c>
      <c r="K16372" t="s">
        <v>47113</v>
      </c>
      <c r="L16372">
        <v>17.149999999999999</v>
      </c>
      <c r="M16372">
        <v>42</v>
      </c>
      <c r="N16372">
        <v>0</v>
      </c>
      <c r="O16372">
        <v>42</v>
      </c>
      <c r="P16372">
        <v>0</v>
      </c>
    </row>
    <row r="16373" spans="1:16" x14ac:dyDescent="0.25">
      <c r="A16373" t="s">
        <v>38987</v>
      </c>
      <c r="B16373" t="s">
        <v>10877</v>
      </c>
      <c r="C16373" t="s">
        <v>10878</v>
      </c>
      <c r="D16373" t="str">
        <f>"7000"</f>
        <v>7000</v>
      </c>
      <c r="E16373" t="s">
        <v>185</v>
      </c>
      <c r="F16373" t="s">
        <v>1</v>
      </c>
      <c r="G16373" t="s">
        <v>49029</v>
      </c>
      <c r="H16373" t="s">
        <v>47126</v>
      </c>
      <c r="I16373" t="s">
        <v>47127</v>
      </c>
      <c r="J16373" t="s">
        <v>47128</v>
      </c>
      <c r="K16373" t="s">
        <v>47113</v>
      </c>
      <c r="L16373">
        <v>17.149999999999999</v>
      </c>
      <c r="M16373">
        <v>42</v>
      </c>
      <c r="N16373">
        <v>0</v>
      </c>
      <c r="O16373">
        <v>42</v>
      </c>
      <c r="P16373">
        <v>0</v>
      </c>
    </row>
    <row r="16374" spans="1:16" x14ac:dyDescent="0.25">
      <c r="A16374" t="s">
        <v>38988</v>
      </c>
      <c r="B16374" t="s">
        <v>520</v>
      </c>
      <c r="C16374" t="s">
        <v>521</v>
      </c>
      <c r="D16374" t="str">
        <f>"1001"</f>
        <v>1001</v>
      </c>
      <c r="E16374" t="s">
        <v>42</v>
      </c>
      <c r="F16374" t="s">
        <v>1</v>
      </c>
      <c r="G16374" t="s">
        <v>47091</v>
      </c>
      <c r="H16374" t="s">
        <v>47126</v>
      </c>
      <c r="I16374" t="s">
        <v>47127</v>
      </c>
      <c r="J16374" t="s">
        <v>47128</v>
      </c>
      <c r="K16374" t="s">
        <v>47113</v>
      </c>
      <c r="L16374">
        <v>10.27</v>
      </c>
      <c r="M16374">
        <v>25</v>
      </c>
      <c r="N16374">
        <v>0</v>
      </c>
      <c r="O16374">
        <v>25</v>
      </c>
      <c r="P16374">
        <v>0</v>
      </c>
    </row>
    <row r="16375" spans="1:16" x14ac:dyDescent="0.25">
      <c r="A16375" t="s">
        <v>38989</v>
      </c>
      <c r="B16375" t="s">
        <v>520</v>
      </c>
      <c r="C16375" t="s">
        <v>521</v>
      </c>
      <c r="D16375" t="str">
        <f>"1377"</f>
        <v>1377</v>
      </c>
      <c r="E16375" t="s">
        <v>74</v>
      </c>
      <c r="F16375" t="s">
        <v>1</v>
      </c>
      <c r="G16375" t="s">
        <v>47091</v>
      </c>
      <c r="H16375" t="s">
        <v>47126</v>
      </c>
      <c r="I16375" t="s">
        <v>47127</v>
      </c>
      <c r="J16375" t="s">
        <v>47128</v>
      </c>
      <c r="K16375" t="s">
        <v>47113</v>
      </c>
      <c r="L16375">
        <v>10.27</v>
      </c>
      <c r="M16375">
        <v>25</v>
      </c>
      <c r="N16375">
        <v>0</v>
      </c>
      <c r="O16375">
        <v>25</v>
      </c>
      <c r="P16375">
        <v>0</v>
      </c>
    </row>
    <row r="16376" spans="1:16" x14ac:dyDescent="0.25">
      <c r="A16376" t="s">
        <v>38990</v>
      </c>
      <c r="B16376" t="s">
        <v>520</v>
      </c>
      <c r="C16376" t="s">
        <v>521</v>
      </c>
      <c r="D16376" t="str">
        <f>"1378"</f>
        <v>1378</v>
      </c>
      <c r="E16376" t="s">
        <v>388</v>
      </c>
      <c r="F16376" t="s">
        <v>1</v>
      </c>
      <c r="G16376" t="s">
        <v>47091</v>
      </c>
      <c r="H16376" t="s">
        <v>47126</v>
      </c>
      <c r="I16376" t="s">
        <v>47127</v>
      </c>
      <c r="J16376" t="s">
        <v>47128</v>
      </c>
      <c r="K16376" t="s">
        <v>47113</v>
      </c>
      <c r="L16376">
        <v>10.27</v>
      </c>
      <c r="M16376">
        <v>25</v>
      </c>
      <c r="N16376">
        <v>0</v>
      </c>
      <c r="O16376">
        <v>25</v>
      </c>
      <c r="P16376">
        <v>0</v>
      </c>
    </row>
    <row r="16377" spans="1:16" x14ac:dyDescent="0.25">
      <c r="A16377" t="s">
        <v>38991</v>
      </c>
      <c r="B16377" t="s">
        <v>520</v>
      </c>
      <c r="C16377" t="s">
        <v>521</v>
      </c>
      <c r="D16377" t="str">
        <f>"1700"</f>
        <v>1700</v>
      </c>
      <c r="E16377" t="s">
        <v>60</v>
      </c>
      <c r="F16377" t="s">
        <v>1</v>
      </c>
      <c r="G16377" t="s">
        <v>47091</v>
      </c>
      <c r="H16377" t="s">
        <v>47126</v>
      </c>
      <c r="I16377" t="s">
        <v>47127</v>
      </c>
      <c r="J16377" t="s">
        <v>47128</v>
      </c>
      <c r="K16377" t="s">
        <v>47113</v>
      </c>
      <c r="L16377">
        <v>10.27</v>
      </c>
      <c r="M16377">
        <v>25</v>
      </c>
      <c r="N16377">
        <v>0</v>
      </c>
      <c r="O16377">
        <v>25</v>
      </c>
      <c r="P16377">
        <v>0</v>
      </c>
    </row>
    <row r="16378" spans="1:16" x14ac:dyDescent="0.25">
      <c r="A16378" t="s">
        <v>38992</v>
      </c>
      <c r="B16378" t="s">
        <v>520</v>
      </c>
      <c r="C16378" t="s">
        <v>521</v>
      </c>
      <c r="D16378" t="str">
        <f>"4729"</f>
        <v>4729</v>
      </c>
      <c r="E16378" t="s">
        <v>2222</v>
      </c>
      <c r="F16378" t="s">
        <v>1</v>
      </c>
      <c r="G16378" t="s">
        <v>47091</v>
      </c>
      <c r="H16378" t="s">
        <v>47126</v>
      </c>
      <c r="I16378" t="s">
        <v>47127</v>
      </c>
      <c r="J16378" t="s">
        <v>47128</v>
      </c>
      <c r="K16378" t="s">
        <v>47113</v>
      </c>
      <c r="L16378">
        <v>10.27</v>
      </c>
      <c r="M16378">
        <v>25</v>
      </c>
      <c r="N16378">
        <v>0</v>
      </c>
      <c r="O16378">
        <v>25</v>
      </c>
      <c r="P16378">
        <v>0</v>
      </c>
    </row>
    <row r="16379" spans="1:16" x14ac:dyDescent="0.25">
      <c r="A16379" t="s">
        <v>38993</v>
      </c>
      <c r="B16379" t="s">
        <v>520</v>
      </c>
      <c r="C16379" t="s">
        <v>521</v>
      </c>
      <c r="D16379" t="str">
        <f>"4730"</f>
        <v>4730</v>
      </c>
      <c r="E16379" t="s">
        <v>461</v>
      </c>
      <c r="F16379" t="s">
        <v>1</v>
      </c>
      <c r="G16379" t="s">
        <v>47091</v>
      </c>
      <c r="H16379" t="s">
        <v>47126</v>
      </c>
      <c r="I16379" t="s">
        <v>47127</v>
      </c>
      <c r="J16379" t="s">
        <v>47128</v>
      </c>
      <c r="K16379" t="s">
        <v>47113</v>
      </c>
      <c r="L16379">
        <v>10.27</v>
      </c>
      <c r="M16379">
        <v>25</v>
      </c>
      <c r="N16379">
        <v>0</v>
      </c>
      <c r="O16379">
        <v>25</v>
      </c>
      <c r="P16379">
        <v>0</v>
      </c>
    </row>
    <row r="16380" spans="1:16" x14ac:dyDescent="0.25">
      <c r="A16380" t="s">
        <v>38994</v>
      </c>
      <c r="B16380" t="s">
        <v>520</v>
      </c>
      <c r="C16380" t="s">
        <v>521</v>
      </c>
      <c r="D16380" t="str">
        <f>"6451"</f>
        <v>6451</v>
      </c>
      <c r="E16380" t="s">
        <v>390</v>
      </c>
      <c r="F16380" t="s">
        <v>1</v>
      </c>
      <c r="G16380" t="s">
        <v>47091</v>
      </c>
      <c r="H16380" t="s">
        <v>47126</v>
      </c>
      <c r="I16380" t="s">
        <v>47127</v>
      </c>
      <c r="J16380" t="s">
        <v>47128</v>
      </c>
      <c r="K16380" t="s">
        <v>47113</v>
      </c>
      <c r="L16380">
        <v>10.27</v>
      </c>
      <c r="M16380">
        <v>25</v>
      </c>
      <c r="N16380">
        <v>0</v>
      </c>
      <c r="O16380">
        <v>25</v>
      </c>
      <c r="P16380">
        <v>0</v>
      </c>
    </row>
    <row r="16381" spans="1:16" x14ac:dyDescent="0.25">
      <c r="A16381" t="s">
        <v>38995</v>
      </c>
      <c r="B16381" t="s">
        <v>520</v>
      </c>
      <c r="C16381" t="s">
        <v>521</v>
      </c>
      <c r="D16381" t="str">
        <f>"7000"</f>
        <v>7000</v>
      </c>
      <c r="E16381" t="s">
        <v>185</v>
      </c>
      <c r="F16381" t="s">
        <v>1</v>
      </c>
      <c r="G16381" t="s">
        <v>47091</v>
      </c>
      <c r="H16381" t="s">
        <v>47126</v>
      </c>
      <c r="I16381" t="s">
        <v>47127</v>
      </c>
      <c r="J16381" t="s">
        <v>47128</v>
      </c>
      <c r="K16381" t="s">
        <v>47113</v>
      </c>
      <c r="L16381">
        <v>10.27</v>
      </c>
      <c r="M16381">
        <v>25</v>
      </c>
      <c r="N16381">
        <v>0</v>
      </c>
      <c r="O16381">
        <v>25</v>
      </c>
      <c r="P16381">
        <v>0</v>
      </c>
    </row>
    <row r="16382" spans="1:16" x14ac:dyDescent="0.25">
      <c r="A16382" t="s">
        <v>38996</v>
      </c>
      <c r="B16382" t="s">
        <v>10879</v>
      </c>
      <c r="C16382" t="s">
        <v>9845</v>
      </c>
      <c r="D16382" t="str">
        <f>"1001"</f>
        <v>1001</v>
      </c>
      <c r="E16382" t="s">
        <v>42</v>
      </c>
      <c r="F16382" t="s">
        <v>1</v>
      </c>
      <c r="G16382" t="s">
        <v>47091</v>
      </c>
      <c r="H16382" t="s">
        <v>47126</v>
      </c>
      <c r="I16382" t="s">
        <v>47127</v>
      </c>
      <c r="J16382" t="s">
        <v>47128</v>
      </c>
      <c r="K16382" t="s">
        <v>47113</v>
      </c>
      <c r="L16382">
        <v>10.27</v>
      </c>
      <c r="M16382">
        <v>25</v>
      </c>
      <c r="N16382">
        <v>0</v>
      </c>
      <c r="O16382">
        <v>25</v>
      </c>
      <c r="P16382">
        <v>0</v>
      </c>
    </row>
    <row r="16383" spans="1:16" x14ac:dyDescent="0.25">
      <c r="A16383" t="s">
        <v>38997</v>
      </c>
      <c r="B16383" t="s">
        <v>10879</v>
      </c>
      <c r="C16383" t="s">
        <v>9845</v>
      </c>
      <c r="D16383" t="str">
        <f>"1377"</f>
        <v>1377</v>
      </c>
      <c r="E16383" t="s">
        <v>74</v>
      </c>
      <c r="F16383" t="s">
        <v>1</v>
      </c>
      <c r="G16383" t="s">
        <v>47091</v>
      </c>
      <c r="H16383" t="s">
        <v>47126</v>
      </c>
      <c r="I16383" t="s">
        <v>47127</v>
      </c>
      <c r="J16383" t="s">
        <v>47128</v>
      </c>
      <c r="K16383" t="s">
        <v>47113</v>
      </c>
      <c r="L16383">
        <v>10.27</v>
      </c>
      <c r="M16383">
        <v>25</v>
      </c>
      <c r="N16383">
        <v>0</v>
      </c>
      <c r="O16383">
        <v>25</v>
      </c>
      <c r="P16383">
        <v>0</v>
      </c>
    </row>
    <row r="16384" spans="1:16" x14ac:dyDescent="0.25">
      <c r="A16384" t="s">
        <v>38998</v>
      </c>
      <c r="B16384" t="s">
        <v>10879</v>
      </c>
      <c r="C16384" t="s">
        <v>9845</v>
      </c>
      <c r="D16384" t="str">
        <f>"1378"</f>
        <v>1378</v>
      </c>
      <c r="E16384" t="s">
        <v>388</v>
      </c>
      <c r="F16384" t="s">
        <v>1</v>
      </c>
      <c r="G16384" t="s">
        <v>47091</v>
      </c>
      <c r="H16384" t="s">
        <v>47126</v>
      </c>
      <c r="I16384" t="s">
        <v>47127</v>
      </c>
      <c r="J16384" t="s">
        <v>47128</v>
      </c>
      <c r="K16384" t="s">
        <v>47113</v>
      </c>
      <c r="L16384">
        <v>10.27</v>
      </c>
      <c r="M16384">
        <v>25</v>
      </c>
      <c r="N16384">
        <v>0</v>
      </c>
      <c r="O16384">
        <v>25</v>
      </c>
      <c r="P16384">
        <v>0</v>
      </c>
    </row>
    <row r="16385" spans="1:16" x14ac:dyDescent="0.25">
      <c r="A16385" t="s">
        <v>38999</v>
      </c>
      <c r="B16385" t="s">
        <v>10879</v>
      </c>
      <c r="C16385" t="s">
        <v>9845</v>
      </c>
      <c r="D16385" t="str">
        <f>"1700"</f>
        <v>1700</v>
      </c>
      <c r="E16385" t="s">
        <v>60</v>
      </c>
      <c r="F16385" t="s">
        <v>1</v>
      </c>
      <c r="G16385" t="s">
        <v>47091</v>
      </c>
      <c r="H16385" t="s">
        <v>47126</v>
      </c>
      <c r="I16385" t="s">
        <v>47127</v>
      </c>
      <c r="J16385" t="s">
        <v>47128</v>
      </c>
      <c r="K16385" t="s">
        <v>47113</v>
      </c>
      <c r="L16385">
        <v>10.27</v>
      </c>
      <c r="M16385">
        <v>25</v>
      </c>
      <c r="N16385">
        <v>0</v>
      </c>
      <c r="O16385">
        <v>25</v>
      </c>
      <c r="P16385">
        <v>0</v>
      </c>
    </row>
    <row r="16386" spans="1:16" x14ac:dyDescent="0.25">
      <c r="A16386" t="s">
        <v>39000</v>
      </c>
      <c r="B16386" t="s">
        <v>10879</v>
      </c>
      <c r="C16386" t="s">
        <v>9845</v>
      </c>
      <c r="D16386" t="str">
        <f>"4729"</f>
        <v>4729</v>
      </c>
      <c r="E16386" t="s">
        <v>2222</v>
      </c>
      <c r="F16386" t="s">
        <v>1</v>
      </c>
      <c r="G16386" t="s">
        <v>47091</v>
      </c>
      <c r="H16386" t="s">
        <v>47126</v>
      </c>
      <c r="I16386" t="s">
        <v>47127</v>
      </c>
      <c r="J16386" t="s">
        <v>47128</v>
      </c>
      <c r="K16386" t="s">
        <v>47113</v>
      </c>
      <c r="L16386">
        <v>10.27</v>
      </c>
      <c r="M16386">
        <v>25</v>
      </c>
      <c r="N16386">
        <v>0</v>
      </c>
      <c r="O16386">
        <v>25</v>
      </c>
      <c r="P16386">
        <v>0</v>
      </c>
    </row>
    <row r="16387" spans="1:16" x14ac:dyDescent="0.25">
      <c r="A16387" t="s">
        <v>39001</v>
      </c>
      <c r="B16387" t="s">
        <v>10879</v>
      </c>
      <c r="C16387" t="s">
        <v>9845</v>
      </c>
      <c r="D16387" t="str">
        <f>"4730"</f>
        <v>4730</v>
      </c>
      <c r="E16387" t="s">
        <v>461</v>
      </c>
      <c r="F16387" t="s">
        <v>1</v>
      </c>
      <c r="G16387" t="s">
        <v>47091</v>
      </c>
      <c r="H16387" t="s">
        <v>47126</v>
      </c>
      <c r="I16387" t="s">
        <v>47127</v>
      </c>
      <c r="J16387" t="s">
        <v>47128</v>
      </c>
      <c r="K16387" t="s">
        <v>47113</v>
      </c>
      <c r="L16387">
        <v>10.27</v>
      </c>
      <c r="M16387">
        <v>25</v>
      </c>
      <c r="N16387">
        <v>0</v>
      </c>
      <c r="O16387">
        <v>25</v>
      </c>
      <c r="P16387">
        <v>0</v>
      </c>
    </row>
    <row r="16388" spans="1:16" x14ac:dyDescent="0.25">
      <c r="A16388" t="s">
        <v>39002</v>
      </c>
      <c r="B16388" t="s">
        <v>10879</v>
      </c>
      <c r="C16388" t="s">
        <v>9845</v>
      </c>
      <c r="D16388" t="str">
        <f>"6451"</f>
        <v>6451</v>
      </c>
      <c r="E16388" t="s">
        <v>390</v>
      </c>
      <c r="F16388" t="s">
        <v>1</v>
      </c>
      <c r="G16388" t="s">
        <v>47091</v>
      </c>
      <c r="H16388" t="s">
        <v>47126</v>
      </c>
      <c r="I16388" t="s">
        <v>47127</v>
      </c>
      <c r="J16388" t="s">
        <v>47128</v>
      </c>
      <c r="K16388" t="s">
        <v>47113</v>
      </c>
      <c r="L16388">
        <v>10.27</v>
      </c>
      <c r="M16388">
        <v>25</v>
      </c>
      <c r="N16388">
        <v>0</v>
      </c>
      <c r="O16388">
        <v>25</v>
      </c>
      <c r="P16388">
        <v>0</v>
      </c>
    </row>
    <row r="16389" spans="1:16" x14ac:dyDescent="0.25">
      <c r="A16389" t="s">
        <v>39003</v>
      </c>
      <c r="B16389" t="s">
        <v>10879</v>
      </c>
      <c r="C16389" t="s">
        <v>9845</v>
      </c>
      <c r="D16389" t="str">
        <f>"7000"</f>
        <v>7000</v>
      </c>
      <c r="E16389" t="s">
        <v>185</v>
      </c>
      <c r="F16389" t="s">
        <v>1</v>
      </c>
      <c r="G16389" t="s">
        <v>47091</v>
      </c>
      <c r="H16389" t="s">
        <v>47126</v>
      </c>
      <c r="I16389" t="s">
        <v>47127</v>
      </c>
      <c r="J16389" t="s">
        <v>47128</v>
      </c>
      <c r="K16389" t="s">
        <v>47113</v>
      </c>
      <c r="L16389">
        <v>10.27</v>
      </c>
      <c r="M16389">
        <v>25</v>
      </c>
      <c r="N16389">
        <v>0</v>
      </c>
      <c r="O16389">
        <v>25</v>
      </c>
      <c r="P16389">
        <v>0</v>
      </c>
    </row>
    <row r="16390" spans="1:16" x14ac:dyDescent="0.25">
      <c r="A16390" t="s">
        <v>39004</v>
      </c>
      <c r="B16390" t="s">
        <v>10880</v>
      </c>
      <c r="C16390" t="s">
        <v>10881</v>
      </c>
      <c r="D16390" t="str">
        <f>"1001"</f>
        <v>1001</v>
      </c>
      <c r="E16390" t="s">
        <v>42</v>
      </c>
      <c r="F16390" t="s">
        <v>1</v>
      </c>
      <c r="G16390" t="s">
        <v>47091</v>
      </c>
      <c r="H16390" t="s">
        <v>47126</v>
      </c>
      <c r="I16390" t="s">
        <v>47127</v>
      </c>
      <c r="J16390" t="s">
        <v>47128</v>
      </c>
      <c r="K16390" t="s">
        <v>47113</v>
      </c>
      <c r="L16390">
        <v>13.17</v>
      </c>
      <c r="M16390">
        <v>30</v>
      </c>
      <c r="N16390">
        <v>0</v>
      </c>
      <c r="O16390">
        <v>30</v>
      </c>
      <c r="P16390">
        <v>0</v>
      </c>
    </row>
    <row r="16391" spans="1:16" x14ac:dyDescent="0.25">
      <c r="A16391" t="s">
        <v>39005</v>
      </c>
      <c r="B16391" t="s">
        <v>10880</v>
      </c>
      <c r="C16391" t="s">
        <v>10881</v>
      </c>
      <c r="D16391" t="str">
        <f>"1377"</f>
        <v>1377</v>
      </c>
      <c r="E16391" t="s">
        <v>74</v>
      </c>
      <c r="F16391" t="s">
        <v>1</v>
      </c>
      <c r="G16391" t="s">
        <v>47091</v>
      </c>
      <c r="H16391" t="s">
        <v>47126</v>
      </c>
      <c r="I16391" t="s">
        <v>47127</v>
      </c>
      <c r="J16391" t="s">
        <v>47128</v>
      </c>
      <c r="K16391" t="s">
        <v>47113</v>
      </c>
      <c r="L16391">
        <v>13.17</v>
      </c>
      <c r="M16391">
        <v>30</v>
      </c>
      <c r="N16391">
        <v>0</v>
      </c>
      <c r="O16391">
        <v>30</v>
      </c>
      <c r="P16391">
        <v>0</v>
      </c>
    </row>
    <row r="16392" spans="1:16" x14ac:dyDescent="0.25">
      <c r="A16392" t="s">
        <v>39006</v>
      </c>
      <c r="B16392" t="s">
        <v>10880</v>
      </c>
      <c r="C16392" t="s">
        <v>10881</v>
      </c>
      <c r="D16392" t="str">
        <f>"1378"</f>
        <v>1378</v>
      </c>
      <c r="E16392" t="s">
        <v>388</v>
      </c>
      <c r="F16392" t="s">
        <v>1</v>
      </c>
      <c r="G16392" t="s">
        <v>47091</v>
      </c>
      <c r="H16392" t="s">
        <v>47126</v>
      </c>
      <c r="I16392" t="s">
        <v>47127</v>
      </c>
      <c r="J16392" t="s">
        <v>47128</v>
      </c>
      <c r="K16392" t="s">
        <v>47113</v>
      </c>
      <c r="L16392">
        <v>13.17</v>
      </c>
      <c r="M16392">
        <v>30</v>
      </c>
      <c r="N16392">
        <v>0</v>
      </c>
      <c r="O16392">
        <v>30</v>
      </c>
      <c r="P16392">
        <v>0</v>
      </c>
    </row>
    <row r="16393" spans="1:16" x14ac:dyDescent="0.25">
      <c r="A16393" t="s">
        <v>39007</v>
      </c>
      <c r="B16393" t="s">
        <v>10880</v>
      </c>
      <c r="C16393" t="s">
        <v>10881</v>
      </c>
      <c r="D16393" t="str">
        <f>"1700"</f>
        <v>1700</v>
      </c>
      <c r="E16393" t="s">
        <v>60</v>
      </c>
      <c r="F16393" t="s">
        <v>1</v>
      </c>
      <c r="G16393" t="s">
        <v>47091</v>
      </c>
      <c r="H16393" t="s">
        <v>47126</v>
      </c>
      <c r="I16393" t="s">
        <v>47127</v>
      </c>
      <c r="J16393" t="s">
        <v>47128</v>
      </c>
      <c r="K16393" t="s">
        <v>47113</v>
      </c>
      <c r="L16393">
        <v>13.17</v>
      </c>
      <c r="M16393">
        <v>30</v>
      </c>
      <c r="N16393">
        <v>0</v>
      </c>
      <c r="O16393">
        <v>30</v>
      </c>
      <c r="P16393">
        <v>0</v>
      </c>
    </row>
    <row r="16394" spans="1:16" x14ac:dyDescent="0.25">
      <c r="A16394" t="s">
        <v>39008</v>
      </c>
      <c r="B16394" t="s">
        <v>10880</v>
      </c>
      <c r="C16394" t="s">
        <v>10881</v>
      </c>
      <c r="D16394" t="str">
        <f>"4729"</f>
        <v>4729</v>
      </c>
      <c r="E16394" t="s">
        <v>2222</v>
      </c>
      <c r="F16394" t="s">
        <v>1</v>
      </c>
      <c r="G16394" t="s">
        <v>47091</v>
      </c>
      <c r="H16394" t="s">
        <v>47126</v>
      </c>
      <c r="I16394" t="s">
        <v>47127</v>
      </c>
      <c r="J16394" t="s">
        <v>47128</v>
      </c>
      <c r="K16394" t="s">
        <v>47113</v>
      </c>
      <c r="L16394">
        <v>13.17</v>
      </c>
      <c r="M16394">
        <v>30</v>
      </c>
      <c r="N16394">
        <v>0</v>
      </c>
      <c r="O16394">
        <v>30</v>
      </c>
      <c r="P16394">
        <v>0</v>
      </c>
    </row>
    <row r="16395" spans="1:16" x14ac:dyDescent="0.25">
      <c r="A16395" t="s">
        <v>39009</v>
      </c>
      <c r="B16395" t="s">
        <v>10880</v>
      </c>
      <c r="C16395" t="s">
        <v>10881</v>
      </c>
      <c r="D16395" t="str">
        <f>"4730"</f>
        <v>4730</v>
      </c>
      <c r="E16395" t="s">
        <v>461</v>
      </c>
      <c r="F16395" t="s">
        <v>1</v>
      </c>
      <c r="G16395" t="s">
        <v>47091</v>
      </c>
      <c r="H16395" t="s">
        <v>47126</v>
      </c>
      <c r="I16395" t="s">
        <v>47127</v>
      </c>
      <c r="J16395" t="s">
        <v>47128</v>
      </c>
      <c r="K16395" t="s">
        <v>47113</v>
      </c>
      <c r="L16395">
        <v>13.17</v>
      </c>
      <c r="M16395">
        <v>30</v>
      </c>
      <c r="N16395">
        <v>0</v>
      </c>
      <c r="O16395">
        <v>30</v>
      </c>
      <c r="P16395">
        <v>0</v>
      </c>
    </row>
    <row r="16396" spans="1:16" x14ac:dyDescent="0.25">
      <c r="A16396" t="s">
        <v>39010</v>
      </c>
      <c r="B16396" t="s">
        <v>10880</v>
      </c>
      <c r="C16396" t="s">
        <v>10881</v>
      </c>
      <c r="D16396" t="str">
        <f>"6451"</f>
        <v>6451</v>
      </c>
      <c r="E16396" t="s">
        <v>390</v>
      </c>
      <c r="F16396" t="s">
        <v>1</v>
      </c>
      <c r="G16396" t="s">
        <v>47091</v>
      </c>
      <c r="H16396" t="s">
        <v>47126</v>
      </c>
      <c r="I16396" t="s">
        <v>47127</v>
      </c>
      <c r="J16396" t="s">
        <v>47128</v>
      </c>
      <c r="K16396" t="s">
        <v>47113</v>
      </c>
      <c r="L16396">
        <v>13.17</v>
      </c>
      <c r="M16396">
        <v>30</v>
      </c>
      <c r="N16396">
        <v>0</v>
      </c>
      <c r="O16396">
        <v>30</v>
      </c>
      <c r="P16396">
        <v>0</v>
      </c>
    </row>
    <row r="16397" spans="1:16" x14ac:dyDescent="0.25">
      <c r="A16397" t="s">
        <v>39011</v>
      </c>
      <c r="B16397" t="s">
        <v>10880</v>
      </c>
      <c r="C16397" t="s">
        <v>10881</v>
      </c>
      <c r="D16397" t="str">
        <f>"7000"</f>
        <v>7000</v>
      </c>
      <c r="E16397" t="s">
        <v>185</v>
      </c>
      <c r="F16397" t="s">
        <v>1</v>
      </c>
      <c r="G16397" t="s">
        <v>47091</v>
      </c>
      <c r="H16397" t="s">
        <v>47126</v>
      </c>
      <c r="I16397" t="s">
        <v>47127</v>
      </c>
      <c r="J16397" t="s">
        <v>47128</v>
      </c>
      <c r="K16397" t="s">
        <v>47113</v>
      </c>
      <c r="L16397">
        <v>13.17</v>
      </c>
      <c r="M16397">
        <v>30</v>
      </c>
      <c r="N16397">
        <v>0</v>
      </c>
      <c r="O16397">
        <v>30</v>
      </c>
      <c r="P16397">
        <v>0</v>
      </c>
    </row>
    <row r="16398" spans="1:16" x14ac:dyDescent="0.25">
      <c r="A16398" t="s">
        <v>39012</v>
      </c>
      <c r="B16398" t="s">
        <v>10882</v>
      </c>
      <c r="C16398" t="s">
        <v>10828</v>
      </c>
      <c r="D16398" t="str">
        <f>"1001"</f>
        <v>1001</v>
      </c>
      <c r="E16398" t="s">
        <v>42</v>
      </c>
      <c r="F16398" t="s">
        <v>1</v>
      </c>
      <c r="G16398" t="s">
        <v>47091</v>
      </c>
      <c r="H16398" t="s">
        <v>47126</v>
      </c>
      <c r="I16398" t="s">
        <v>47127</v>
      </c>
      <c r="J16398" t="s">
        <v>47128</v>
      </c>
      <c r="K16398" t="s">
        <v>47113</v>
      </c>
      <c r="L16398">
        <v>15.58</v>
      </c>
      <c r="M16398">
        <v>38</v>
      </c>
      <c r="N16398">
        <v>0</v>
      </c>
      <c r="O16398">
        <v>38</v>
      </c>
      <c r="P16398">
        <v>0</v>
      </c>
    </row>
    <row r="16399" spans="1:16" x14ac:dyDescent="0.25">
      <c r="A16399" t="s">
        <v>39013</v>
      </c>
      <c r="B16399" t="s">
        <v>10882</v>
      </c>
      <c r="C16399" t="s">
        <v>10828</v>
      </c>
      <c r="D16399" t="str">
        <f>"1377"</f>
        <v>1377</v>
      </c>
      <c r="E16399" t="s">
        <v>74</v>
      </c>
      <c r="F16399" t="s">
        <v>1</v>
      </c>
      <c r="G16399" t="s">
        <v>47091</v>
      </c>
      <c r="H16399" t="s">
        <v>47126</v>
      </c>
      <c r="I16399" t="s">
        <v>47127</v>
      </c>
      <c r="J16399" t="s">
        <v>47128</v>
      </c>
      <c r="K16399" t="s">
        <v>47113</v>
      </c>
      <c r="L16399">
        <v>15.58</v>
      </c>
      <c r="M16399">
        <v>38</v>
      </c>
      <c r="N16399">
        <v>0</v>
      </c>
      <c r="O16399">
        <v>38</v>
      </c>
      <c r="P16399">
        <v>0</v>
      </c>
    </row>
    <row r="16400" spans="1:16" x14ac:dyDescent="0.25">
      <c r="A16400" t="s">
        <v>39014</v>
      </c>
      <c r="B16400" t="s">
        <v>10882</v>
      </c>
      <c r="C16400" t="s">
        <v>10828</v>
      </c>
      <c r="D16400" t="str">
        <f>"1378"</f>
        <v>1378</v>
      </c>
      <c r="E16400" t="s">
        <v>388</v>
      </c>
      <c r="F16400" t="s">
        <v>1</v>
      </c>
      <c r="G16400" t="s">
        <v>47091</v>
      </c>
      <c r="H16400" t="s">
        <v>47126</v>
      </c>
      <c r="I16400" t="s">
        <v>47127</v>
      </c>
      <c r="J16400" t="s">
        <v>47128</v>
      </c>
      <c r="K16400" t="s">
        <v>47113</v>
      </c>
      <c r="L16400">
        <v>15.58</v>
      </c>
      <c r="M16400">
        <v>38</v>
      </c>
      <c r="N16400">
        <v>0</v>
      </c>
      <c r="O16400">
        <v>38</v>
      </c>
      <c r="P16400">
        <v>0</v>
      </c>
    </row>
    <row r="16401" spans="1:16" x14ac:dyDescent="0.25">
      <c r="A16401" t="s">
        <v>39015</v>
      </c>
      <c r="B16401" t="s">
        <v>10882</v>
      </c>
      <c r="C16401" t="s">
        <v>10828</v>
      </c>
      <c r="D16401" t="str">
        <f>"1700"</f>
        <v>1700</v>
      </c>
      <c r="E16401" t="s">
        <v>60</v>
      </c>
      <c r="F16401" t="s">
        <v>1</v>
      </c>
      <c r="G16401" t="s">
        <v>47091</v>
      </c>
      <c r="H16401" t="s">
        <v>47126</v>
      </c>
      <c r="I16401" t="s">
        <v>47127</v>
      </c>
      <c r="J16401" t="s">
        <v>47128</v>
      </c>
      <c r="K16401" t="s">
        <v>47113</v>
      </c>
      <c r="L16401">
        <v>15.58</v>
      </c>
      <c r="M16401">
        <v>38</v>
      </c>
      <c r="N16401">
        <v>0</v>
      </c>
      <c r="O16401">
        <v>38</v>
      </c>
      <c r="P16401">
        <v>0</v>
      </c>
    </row>
    <row r="16402" spans="1:16" x14ac:dyDescent="0.25">
      <c r="A16402" t="s">
        <v>39016</v>
      </c>
      <c r="B16402" t="s">
        <v>10882</v>
      </c>
      <c r="C16402" t="s">
        <v>10828</v>
      </c>
      <c r="D16402" t="str">
        <f>"4729"</f>
        <v>4729</v>
      </c>
      <c r="E16402" t="s">
        <v>2222</v>
      </c>
      <c r="F16402" t="s">
        <v>1</v>
      </c>
      <c r="G16402" t="s">
        <v>47091</v>
      </c>
      <c r="H16402" t="s">
        <v>47126</v>
      </c>
      <c r="I16402" t="s">
        <v>47127</v>
      </c>
      <c r="J16402" t="s">
        <v>47128</v>
      </c>
      <c r="K16402" t="s">
        <v>47113</v>
      </c>
      <c r="L16402">
        <v>15.58</v>
      </c>
      <c r="M16402">
        <v>38</v>
      </c>
      <c r="N16402">
        <v>0</v>
      </c>
      <c r="O16402">
        <v>38</v>
      </c>
      <c r="P16402">
        <v>0</v>
      </c>
    </row>
    <row r="16403" spans="1:16" x14ac:dyDescent="0.25">
      <c r="A16403" t="s">
        <v>39017</v>
      </c>
      <c r="B16403" t="s">
        <v>10882</v>
      </c>
      <c r="C16403" t="s">
        <v>10828</v>
      </c>
      <c r="D16403" t="str">
        <f>"4730"</f>
        <v>4730</v>
      </c>
      <c r="E16403" t="s">
        <v>461</v>
      </c>
      <c r="F16403" t="s">
        <v>1</v>
      </c>
      <c r="G16403" t="s">
        <v>47091</v>
      </c>
      <c r="H16403" t="s">
        <v>47126</v>
      </c>
      <c r="I16403" t="s">
        <v>47127</v>
      </c>
      <c r="J16403" t="s">
        <v>47128</v>
      </c>
      <c r="K16403" t="s">
        <v>47113</v>
      </c>
      <c r="L16403">
        <v>15.58</v>
      </c>
      <c r="M16403">
        <v>38</v>
      </c>
      <c r="N16403">
        <v>0</v>
      </c>
      <c r="O16403">
        <v>38</v>
      </c>
      <c r="P16403">
        <v>0</v>
      </c>
    </row>
    <row r="16404" spans="1:16" x14ac:dyDescent="0.25">
      <c r="A16404" t="s">
        <v>39018</v>
      </c>
      <c r="B16404" t="s">
        <v>10882</v>
      </c>
      <c r="C16404" t="s">
        <v>10828</v>
      </c>
      <c r="D16404" t="str">
        <f>"6451"</f>
        <v>6451</v>
      </c>
      <c r="E16404" t="s">
        <v>390</v>
      </c>
      <c r="F16404" t="s">
        <v>1</v>
      </c>
      <c r="G16404" t="s">
        <v>47091</v>
      </c>
      <c r="H16404" t="s">
        <v>47126</v>
      </c>
      <c r="I16404" t="s">
        <v>47127</v>
      </c>
      <c r="J16404" t="s">
        <v>47128</v>
      </c>
      <c r="K16404" t="s">
        <v>47113</v>
      </c>
      <c r="L16404">
        <v>15.58</v>
      </c>
      <c r="M16404">
        <v>38</v>
      </c>
      <c r="N16404">
        <v>0</v>
      </c>
      <c r="O16404">
        <v>38</v>
      </c>
      <c r="P16404">
        <v>0</v>
      </c>
    </row>
    <row r="16405" spans="1:16" x14ac:dyDescent="0.25">
      <c r="A16405" t="s">
        <v>39019</v>
      </c>
      <c r="B16405" t="s">
        <v>10882</v>
      </c>
      <c r="C16405" t="s">
        <v>10828</v>
      </c>
      <c r="D16405" t="str">
        <f>"7000"</f>
        <v>7000</v>
      </c>
      <c r="E16405" t="s">
        <v>185</v>
      </c>
      <c r="F16405" t="s">
        <v>1</v>
      </c>
      <c r="G16405" t="s">
        <v>47091</v>
      </c>
      <c r="H16405" t="s">
        <v>47126</v>
      </c>
      <c r="I16405" t="s">
        <v>47127</v>
      </c>
      <c r="J16405" t="s">
        <v>47128</v>
      </c>
      <c r="K16405" t="s">
        <v>47113</v>
      </c>
      <c r="L16405">
        <v>15.58</v>
      </c>
      <c r="M16405">
        <v>38</v>
      </c>
      <c r="N16405">
        <v>0</v>
      </c>
      <c r="O16405">
        <v>38</v>
      </c>
      <c r="P16405">
        <v>0</v>
      </c>
    </row>
    <row r="16406" spans="1:16" x14ac:dyDescent="0.25">
      <c r="A16406" t="s">
        <v>39020</v>
      </c>
      <c r="B16406" t="s">
        <v>522</v>
      </c>
      <c r="C16406" t="s">
        <v>523</v>
      </c>
      <c r="D16406" t="s">
        <v>418</v>
      </c>
      <c r="E16406" t="s">
        <v>419</v>
      </c>
      <c r="F16406" t="s">
        <v>1</v>
      </c>
      <c r="G16406" t="s">
        <v>47091</v>
      </c>
      <c r="H16406" t="s">
        <v>47153</v>
      </c>
      <c r="I16406" t="s">
        <v>47132</v>
      </c>
      <c r="J16406" t="s">
        <v>47133</v>
      </c>
      <c r="K16406" t="s">
        <v>47113</v>
      </c>
      <c r="L16406">
        <v>18.97</v>
      </c>
      <c r="M16406">
        <v>33</v>
      </c>
      <c r="N16406">
        <v>0</v>
      </c>
      <c r="O16406">
        <v>33</v>
      </c>
      <c r="P16406">
        <v>0</v>
      </c>
    </row>
    <row r="16407" spans="1:16" x14ac:dyDescent="0.25">
      <c r="A16407" t="s">
        <v>39021</v>
      </c>
      <c r="B16407" t="s">
        <v>10883</v>
      </c>
      <c r="C16407" t="s">
        <v>10884</v>
      </c>
      <c r="D16407" t="s">
        <v>502</v>
      </c>
      <c r="E16407" t="s">
        <v>503</v>
      </c>
      <c r="F16407" t="s">
        <v>1</v>
      </c>
      <c r="G16407" t="s">
        <v>47091</v>
      </c>
      <c r="H16407" t="s">
        <v>47153</v>
      </c>
      <c r="I16407" t="s">
        <v>47132</v>
      </c>
      <c r="J16407" t="s">
        <v>47133</v>
      </c>
      <c r="K16407" t="s">
        <v>47113</v>
      </c>
      <c r="L16407">
        <v>18.97</v>
      </c>
      <c r="M16407">
        <v>33</v>
      </c>
      <c r="N16407">
        <v>0</v>
      </c>
      <c r="O16407">
        <v>33</v>
      </c>
      <c r="P16407">
        <v>0</v>
      </c>
    </row>
    <row r="16408" spans="1:16" x14ac:dyDescent="0.25">
      <c r="A16408" t="s">
        <v>39022</v>
      </c>
      <c r="B16408" t="s">
        <v>10885</v>
      </c>
      <c r="C16408" t="s">
        <v>387</v>
      </c>
      <c r="D16408" t="str">
        <f>"1001"</f>
        <v>1001</v>
      </c>
      <c r="E16408" t="s">
        <v>42</v>
      </c>
      <c r="F16408" t="s">
        <v>1</v>
      </c>
      <c r="G16408" t="s">
        <v>47094</v>
      </c>
      <c r="H16408" t="s">
        <v>47126</v>
      </c>
      <c r="I16408" t="s">
        <v>47127</v>
      </c>
      <c r="J16408" t="s">
        <v>47128</v>
      </c>
      <c r="K16408" t="s">
        <v>47113</v>
      </c>
      <c r="L16408">
        <v>33.22</v>
      </c>
      <c r="M16408">
        <v>81</v>
      </c>
      <c r="N16408">
        <v>0</v>
      </c>
      <c r="O16408">
        <v>81</v>
      </c>
      <c r="P16408">
        <v>0</v>
      </c>
    </row>
    <row r="16409" spans="1:16" x14ac:dyDescent="0.25">
      <c r="A16409" t="s">
        <v>39023</v>
      </c>
      <c r="B16409" t="s">
        <v>10885</v>
      </c>
      <c r="C16409" t="s">
        <v>387</v>
      </c>
      <c r="D16409" t="str">
        <f>"1377"</f>
        <v>1377</v>
      </c>
      <c r="E16409" t="s">
        <v>74</v>
      </c>
      <c r="F16409" t="s">
        <v>1</v>
      </c>
      <c r="G16409" t="s">
        <v>47094</v>
      </c>
      <c r="H16409" t="s">
        <v>47126</v>
      </c>
      <c r="I16409" t="s">
        <v>47127</v>
      </c>
      <c r="J16409" t="s">
        <v>47128</v>
      </c>
      <c r="K16409" t="s">
        <v>47113</v>
      </c>
      <c r="L16409">
        <v>33.22</v>
      </c>
      <c r="M16409">
        <v>81</v>
      </c>
      <c r="N16409">
        <v>0</v>
      </c>
      <c r="O16409">
        <v>81</v>
      </c>
      <c r="P16409">
        <v>0</v>
      </c>
    </row>
    <row r="16410" spans="1:16" x14ac:dyDescent="0.25">
      <c r="A16410" t="s">
        <v>39024</v>
      </c>
      <c r="B16410" t="s">
        <v>10885</v>
      </c>
      <c r="C16410" t="s">
        <v>387</v>
      </c>
      <c r="D16410" t="str">
        <f>"1378"</f>
        <v>1378</v>
      </c>
      <c r="E16410" t="s">
        <v>388</v>
      </c>
      <c r="F16410" t="s">
        <v>1</v>
      </c>
      <c r="G16410" t="s">
        <v>47094</v>
      </c>
      <c r="H16410" t="s">
        <v>47126</v>
      </c>
      <c r="I16410" t="s">
        <v>47127</v>
      </c>
      <c r="J16410" t="s">
        <v>47128</v>
      </c>
      <c r="K16410" t="s">
        <v>47113</v>
      </c>
      <c r="L16410">
        <v>33.22</v>
      </c>
      <c r="M16410">
        <v>81</v>
      </c>
      <c r="N16410">
        <v>0</v>
      </c>
      <c r="O16410">
        <v>81</v>
      </c>
      <c r="P16410">
        <v>0</v>
      </c>
    </row>
    <row r="16411" spans="1:16" x14ac:dyDescent="0.25">
      <c r="A16411" t="s">
        <v>39025</v>
      </c>
      <c r="B16411" t="s">
        <v>10885</v>
      </c>
      <c r="C16411" t="s">
        <v>387</v>
      </c>
      <c r="D16411" t="str">
        <f>"1700"</f>
        <v>1700</v>
      </c>
      <c r="E16411" t="s">
        <v>60</v>
      </c>
      <c r="F16411" t="s">
        <v>1</v>
      </c>
      <c r="G16411" t="s">
        <v>47094</v>
      </c>
      <c r="H16411" t="s">
        <v>47126</v>
      </c>
      <c r="I16411" t="s">
        <v>47127</v>
      </c>
      <c r="J16411" t="s">
        <v>47128</v>
      </c>
      <c r="K16411" t="s">
        <v>47113</v>
      </c>
      <c r="L16411">
        <v>33.22</v>
      </c>
      <c r="M16411">
        <v>81</v>
      </c>
      <c r="N16411">
        <v>0</v>
      </c>
      <c r="O16411">
        <v>81</v>
      </c>
      <c r="P16411">
        <v>0</v>
      </c>
    </row>
    <row r="16412" spans="1:16" x14ac:dyDescent="0.25">
      <c r="A16412" t="s">
        <v>39026</v>
      </c>
      <c r="B16412" t="s">
        <v>10885</v>
      </c>
      <c r="C16412" t="s">
        <v>387</v>
      </c>
      <c r="D16412" t="str">
        <f>"4729"</f>
        <v>4729</v>
      </c>
      <c r="E16412" t="s">
        <v>2222</v>
      </c>
      <c r="F16412" t="s">
        <v>1</v>
      </c>
      <c r="G16412" t="s">
        <v>47094</v>
      </c>
      <c r="H16412" t="s">
        <v>47126</v>
      </c>
      <c r="I16412" t="s">
        <v>47127</v>
      </c>
      <c r="J16412" t="s">
        <v>47128</v>
      </c>
      <c r="K16412" t="s">
        <v>47113</v>
      </c>
      <c r="L16412">
        <v>33.22</v>
      </c>
      <c r="M16412">
        <v>81</v>
      </c>
      <c r="N16412">
        <v>0</v>
      </c>
      <c r="O16412">
        <v>81</v>
      </c>
      <c r="P16412">
        <v>0</v>
      </c>
    </row>
    <row r="16413" spans="1:16" x14ac:dyDescent="0.25">
      <c r="A16413" t="s">
        <v>39027</v>
      </c>
      <c r="B16413" t="s">
        <v>10885</v>
      </c>
      <c r="C16413" t="s">
        <v>387</v>
      </c>
      <c r="D16413" t="str">
        <f>"4730"</f>
        <v>4730</v>
      </c>
      <c r="E16413" t="s">
        <v>461</v>
      </c>
      <c r="F16413" t="s">
        <v>1</v>
      </c>
      <c r="G16413" t="s">
        <v>47094</v>
      </c>
      <c r="H16413" t="s">
        <v>47126</v>
      </c>
      <c r="I16413" t="s">
        <v>47127</v>
      </c>
      <c r="J16413" t="s">
        <v>47128</v>
      </c>
      <c r="K16413" t="s">
        <v>47113</v>
      </c>
      <c r="L16413">
        <v>33.22</v>
      </c>
      <c r="M16413">
        <v>81</v>
      </c>
      <c r="N16413">
        <v>0</v>
      </c>
      <c r="O16413">
        <v>81</v>
      </c>
      <c r="P16413">
        <v>0</v>
      </c>
    </row>
    <row r="16414" spans="1:16" x14ac:dyDescent="0.25">
      <c r="A16414" t="s">
        <v>39028</v>
      </c>
      <c r="B16414" t="s">
        <v>10885</v>
      </c>
      <c r="C16414" t="s">
        <v>387</v>
      </c>
      <c r="D16414" t="str">
        <f>"6451"</f>
        <v>6451</v>
      </c>
      <c r="E16414" t="s">
        <v>390</v>
      </c>
      <c r="F16414" t="s">
        <v>1</v>
      </c>
      <c r="G16414" t="s">
        <v>47094</v>
      </c>
      <c r="H16414" t="s">
        <v>47126</v>
      </c>
      <c r="I16414" t="s">
        <v>47127</v>
      </c>
      <c r="J16414" t="s">
        <v>47128</v>
      </c>
      <c r="K16414" t="s">
        <v>47113</v>
      </c>
      <c r="L16414">
        <v>33.22</v>
      </c>
      <c r="M16414">
        <v>81</v>
      </c>
      <c r="N16414">
        <v>0</v>
      </c>
      <c r="O16414">
        <v>81</v>
      </c>
      <c r="P16414">
        <v>0</v>
      </c>
    </row>
    <row r="16415" spans="1:16" x14ac:dyDescent="0.25">
      <c r="A16415" t="s">
        <v>39029</v>
      </c>
      <c r="B16415" t="s">
        <v>10885</v>
      </c>
      <c r="C16415" t="s">
        <v>387</v>
      </c>
      <c r="D16415" t="str">
        <f>"7000"</f>
        <v>7000</v>
      </c>
      <c r="E16415" t="s">
        <v>185</v>
      </c>
      <c r="F16415" t="s">
        <v>1</v>
      </c>
      <c r="G16415" t="s">
        <v>47094</v>
      </c>
      <c r="H16415" t="s">
        <v>47126</v>
      </c>
      <c r="I16415" t="s">
        <v>47127</v>
      </c>
      <c r="J16415" t="s">
        <v>47128</v>
      </c>
      <c r="K16415" t="s">
        <v>47113</v>
      </c>
      <c r="L16415">
        <v>33.22</v>
      </c>
      <c r="M16415">
        <v>81</v>
      </c>
      <c r="N16415">
        <v>0</v>
      </c>
      <c r="O16415">
        <v>81</v>
      </c>
      <c r="P16415">
        <v>0</v>
      </c>
    </row>
    <row r="16416" spans="1:16" x14ac:dyDescent="0.25">
      <c r="A16416" t="s">
        <v>14689</v>
      </c>
      <c r="B16416" t="s">
        <v>524</v>
      </c>
      <c r="C16416" t="s">
        <v>525</v>
      </c>
      <c r="D16416" t="s">
        <v>437</v>
      </c>
      <c r="E16416" t="s">
        <v>438</v>
      </c>
      <c r="F16416" t="s">
        <v>1</v>
      </c>
      <c r="G16416" t="s">
        <v>47091</v>
      </c>
      <c r="H16416" t="s">
        <v>47153</v>
      </c>
      <c r="I16416" t="s">
        <v>47132</v>
      </c>
      <c r="J16416" t="s">
        <v>47133</v>
      </c>
      <c r="K16416" t="s">
        <v>47113</v>
      </c>
      <c r="L16416">
        <v>18.97</v>
      </c>
      <c r="M16416">
        <v>33</v>
      </c>
      <c r="N16416">
        <v>0</v>
      </c>
      <c r="O16416">
        <v>33</v>
      </c>
      <c r="P16416">
        <v>0</v>
      </c>
    </row>
    <row r="16417" spans="1:16" x14ac:dyDescent="0.25">
      <c r="A16417" t="s">
        <v>39030</v>
      </c>
      <c r="B16417" t="s">
        <v>526</v>
      </c>
      <c r="C16417" t="s">
        <v>527</v>
      </c>
      <c r="D16417" t="str">
        <f>"1001"</f>
        <v>1001</v>
      </c>
      <c r="E16417" t="s">
        <v>42</v>
      </c>
      <c r="F16417" t="s">
        <v>1</v>
      </c>
      <c r="G16417" t="s">
        <v>47094</v>
      </c>
      <c r="H16417" t="s">
        <v>47126</v>
      </c>
      <c r="I16417" t="s">
        <v>47127</v>
      </c>
      <c r="J16417" t="s">
        <v>47128</v>
      </c>
      <c r="K16417" t="s">
        <v>47113</v>
      </c>
      <c r="L16417">
        <v>21.14</v>
      </c>
      <c r="M16417">
        <v>51</v>
      </c>
      <c r="N16417">
        <v>0</v>
      </c>
      <c r="O16417">
        <v>51</v>
      </c>
      <c r="P16417">
        <v>0</v>
      </c>
    </row>
    <row r="16418" spans="1:16" x14ac:dyDescent="0.25">
      <c r="A16418" t="s">
        <v>39031</v>
      </c>
      <c r="B16418" t="s">
        <v>526</v>
      </c>
      <c r="C16418" t="s">
        <v>527</v>
      </c>
      <c r="D16418" t="str">
        <f>"1377"</f>
        <v>1377</v>
      </c>
      <c r="E16418" t="s">
        <v>74</v>
      </c>
      <c r="F16418" t="s">
        <v>1</v>
      </c>
      <c r="G16418" t="s">
        <v>47094</v>
      </c>
      <c r="H16418" t="s">
        <v>47126</v>
      </c>
      <c r="I16418" t="s">
        <v>47127</v>
      </c>
      <c r="J16418" t="s">
        <v>47128</v>
      </c>
      <c r="K16418" t="s">
        <v>47113</v>
      </c>
      <c r="L16418">
        <v>21.14</v>
      </c>
      <c r="M16418">
        <v>51</v>
      </c>
      <c r="N16418">
        <v>0</v>
      </c>
      <c r="O16418">
        <v>51</v>
      </c>
      <c r="P16418">
        <v>0</v>
      </c>
    </row>
    <row r="16419" spans="1:16" x14ac:dyDescent="0.25">
      <c r="A16419" t="s">
        <v>15112</v>
      </c>
      <c r="B16419" t="s">
        <v>526</v>
      </c>
      <c r="C16419" t="s">
        <v>527</v>
      </c>
      <c r="D16419" t="str">
        <f>"1378"</f>
        <v>1378</v>
      </c>
      <c r="E16419" t="s">
        <v>388</v>
      </c>
      <c r="F16419" t="s">
        <v>1</v>
      </c>
      <c r="G16419" t="s">
        <v>47094</v>
      </c>
      <c r="H16419" t="s">
        <v>47126</v>
      </c>
      <c r="I16419" t="s">
        <v>47127</v>
      </c>
      <c r="J16419" t="s">
        <v>47128</v>
      </c>
      <c r="K16419" t="s">
        <v>47113</v>
      </c>
      <c r="L16419">
        <v>21.14</v>
      </c>
      <c r="M16419">
        <v>51</v>
      </c>
      <c r="N16419">
        <v>0</v>
      </c>
      <c r="O16419">
        <v>51</v>
      </c>
      <c r="P16419">
        <v>0</v>
      </c>
    </row>
    <row r="16420" spans="1:16" x14ac:dyDescent="0.25">
      <c r="A16420" t="s">
        <v>39032</v>
      </c>
      <c r="B16420" t="s">
        <v>526</v>
      </c>
      <c r="C16420" t="s">
        <v>527</v>
      </c>
      <c r="D16420" t="str">
        <f>"1700"</f>
        <v>1700</v>
      </c>
      <c r="E16420" t="s">
        <v>60</v>
      </c>
      <c r="F16420" t="s">
        <v>1</v>
      </c>
      <c r="G16420" t="s">
        <v>47094</v>
      </c>
      <c r="H16420" t="s">
        <v>47126</v>
      </c>
      <c r="I16420" t="s">
        <v>47127</v>
      </c>
      <c r="J16420" t="s">
        <v>47128</v>
      </c>
      <c r="K16420" t="s">
        <v>47113</v>
      </c>
      <c r="L16420">
        <v>21.14</v>
      </c>
      <c r="M16420">
        <v>51</v>
      </c>
      <c r="N16420">
        <v>0</v>
      </c>
      <c r="O16420">
        <v>51</v>
      </c>
      <c r="P16420">
        <v>0</v>
      </c>
    </row>
    <row r="16421" spans="1:16" x14ac:dyDescent="0.25">
      <c r="A16421" t="s">
        <v>39033</v>
      </c>
      <c r="B16421" t="s">
        <v>526</v>
      </c>
      <c r="C16421" t="s">
        <v>527</v>
      </c>
      <c r="D16421" t="str">
        <f>"4729"</f>
        <v>4729</v>
      </c>
      <c r="E16421" t="s">
        <v>2222</v>
      </c>
      <c r="F16421" t="s">
        <v>1</v>
      </c>
      <c r="G16421" t="s">
        <v>47094</v>
      </c>
      <c r="H16421" t="s">
        <v>47126</v>
      </c>
      <c r="I16421" t="s">
        <v>47127</v>
      </c>
      <c r="J16421" t="s">
        <v>47128</v>
      </c>
      <c r="K16421" t="s">
        <v>47113</v>
      </c>
      <c r="L16421">
        <v>21.14</v>
      </c>
      <c r="M16421">
        <v>51</v>
      </c>
      <c r="N16421">
        <v>0</v>
      </c>
      <c r="O16421">
        <v>51</v>
      </c>
      <c r="P16421">
        <v>0</v>
      </c>
    </row>
    <row r="16422" spans="1:16" x14ac:dyDescent="0.25">
      <c r="A16422" t="s">
        <v>39034</v>
      </c>
      <c r="B16422" t="s">
        <v>526</v>
      </c>
      <c r="C16422" t="s">
        <v>527</v>
      </c>
      <c r="D16422" t="str">
        <f>"4730"</f>
        <v>4730</v>
      </c>
      <c r="E16422" t="s">
        <v>461</v>
      </c>
      <c r="F16422" t="s">
        <v>1</v>
      </c>
      <c r="G16422" t="s">
        <v>47094</v>
      </c>
      <c r="H16422" t="s">
        <v>47126</v>
      </c>
      <c r="I16422" t="s">
        <v>47127</v>
      </c>
      <c r="J16422" t="s">
        <v>47128</v>
      </c>
      <c r="K16422" t="s">
        <v>47113</v>
      </c>
      <c r="L16422">
        <v>21.14</v>
      </c>
      <c r="M16422">
        <v>51</v>
      </c>
      <c r="N16422">
        <v>0</v>
      </c>
      <c r="O16422">
        <v>51</v>
      </c>
      <c r="P16422">
        <v>0</v>
      </c>
    </row>
    <row r="16423" spans="1:16" x14ac:dyDescent="0.25">
      <c r="A16423" t="s">
        <v>39035</v>
      </c>
      <c r="B16423" t="s">
        <v>526</v>
      </c>
      <c r="C16423" t="s">
        <v>527</v>
      </c>
      <c r="D16423" t="str">
        <f>"6451"</f>
        <v>6451</v>
      </c>
      <c r="E16423" t="s">
        <v>390</v>
      </c>
      <c r="F16423" t="s">
        <v>1</v>
      </c>
      <c r="G16423" t="s">
        <v>47094</v>
      </c>
      <c r="H16423" t="s">
        <v>47126</v>
      </c>
      <c r="I16423" t="s">
        <v>47127</v>
      </c>
      <c r="J16423" t="s">
        <v>47128</v>
      </c>
      <c r="K16423" t="s">
        <v>47113</v>
      </c>
      <c r="L16423">
        <v>21.14</v>
      </c>
      <c r="M16423">
        <v>51</v>
      </c>
      <c r="N16423">
        <v>0</v>
      </c>
      <c r="O16423">
        <v>51</v>
      </c>
      <c r="P16423">
        <v>0</v>
      </c>
    </row>
    <row r="16424" spans="1:16" x14ac:dyDescent="0.25">
      <c r="A16424" t="s">
        <v>39036</v>
      </c>
      <c r="B16424" t="s">
        <v>526</v>
      </c>
      <c r="C16424" t="s">
        <v>527</v>
      </c>
      <c r="D16424" t="str">
        <f>"7000"</f>
        <v>7000</v>
      </c>
      <c r="E16424" t="s">
        <v>185</v>
      </c>
      <c r="F16424" t="s">
        <v>1</v>
      </c>
      <c r="G16424" t="s">
        <v>47094</v>
      </c>
      <c r="H16424" t="s">
        <v>47126</v>
      </c>
      <c r="I16424" t="s">
        <v>47127</v>
      </c>
      <c r="J16424" t="s">
        <v>47128</v>
      </c>
      <c r="K16424" t="s">
        <v>47113</v>
      </c>
      <c r="L16424">
        <v>21.14</v>
      </c>
      <c r="M16424">
        <v>51</v>
      </c>
      <c r="N16424">
        <v>0</v>
      </c>
      <c r="O16424">
        <v>51</v>
      </c>
      <c r="P16424">
        <v>0</v>
      </c>
    </row>
    <row r="16425" spans="1:16" x14ac:dyDescent="0.25">
      <c r="A16425" t="s">
        <v>39037</v>
      </c>
      <c r="B16425" t="s">
        <v>10886</v>
      </c>
      <c r="C16425" t="s">
        <v>527</v>
      </c>
      <c r="D16425" t="str">
        <f>"1001"</f>
        <v>1001</v>
      </c>
      <c r="E16425" t="s">
        <v>42</v>
      </c>
      <c r="F16425" t="s">
        <v>1</v>
      </c>
      <c r="G16425" t="s">
        <v>47094</v>
      </c>
      <c r="H16425" t="s">
        <v>47126</v>
      </c>
      <c r="I16425" t="s">
        <v>47127</v>
      </c>
      <c r="J16425" t="s">
        <v>47128</v>
      </c>
      <c r="K16425" t="s">
        <v>47113</v>
      </c>
      <c r="L16425">
        <v>21.14</v>
      </c>
      <c r="M16425">
        <v>44</v>
      </c>
      <c r="N16425">
        <v>0</v>
      </c>
      <c r="O16425">
        <v>44</v>
      </c>
      <c r="P16425">
        <v>0</v>
      </c>
    </row>
    <row r="16426" spans="1:16" x14ac:dyDescent="0.25">
      <c r="A16426" t="s">
        <v>39038</v>
      </c>
      <c r="B16426" t="s">
        <v>10886</v>
      </c>
      <c r="C16426" t="s">
        <v>527</v>
      </c>
      <c r="D16426" t="str">
        <f>"1377"</f>
        <v>1377</v>
      </c>
      <c r="E16426" t="s">
        <v>74</v>
      </c>
      <c r="F16426" t="s">
        <v>1</v>
      </c>
      <c r="G16426" t="s">
        <v>47094</v>
      </c>
      <c r="H16426" t="s">
        <v>47126</v>
      </c>
      <c r="I16426" t="s">
        <v>47127</v>
      </c>
      <c r="J16426" t="s">
        <v>47128</v>
      </c>
      <c r="K16426" t="s">
        <v>47113</v>
      </c>
      <c r="L16426">
        <v>21.14</v>
      </c>
      <c r="M16426">
        <v>44</v>
      </c>
      <c r="N16426">
        <v>0</v>
      </c>
      <c r="O16426">
        <v>44</v>
      </c>
      <c r="P16426">
        <v>0</v>
      </c>
    </row>
    <row r="16427" spans="1:16" x14ac:dyDescent="0.25">
      <c r="A16427" t="s">
        <v>39039</v>
      </c>
      <c r="B16427" t="s">
        <v>10886</v>
      </c>
      <c r="C16427" t="s">
        <v>527</v>
      </c>
      <c r="D16427" t="str">
        <f>"1378"</f>
        <v>1378</v>
      </c>
      <c r="E16427" t="s">
        <v>388</v>
      </c>
      <c r="F16427" t="s">
        <v>1</v>
      </c>
      <c r="G16427" t="s">
        <v>47094</v>
      </c>
      <c r="H16427" t="s">
        <v>47126</v>
      </c>
      <c r="I16427" t="s">
        <v>47127</v>
      </c>
      <c r="J16427" t="s">
        <v>47128</v>
      </c>
      <c r="K16427" t="s">
        <v>47113</v>
      </c>
      <c r="L16427">
        <v>21.14</v>
      </c>
      <c r="M16427">
        <v>44</v>
      </c>
      <c r="N16427">
        <v>0</v>
      </c>
      <c r="O16427">
        <v>44</v>
      </c>
      <c r="P16427">
        <v>0</v>
      </c>
    </row>
    <row r="16428" spans="1:16" x14ac:dyDescent="0.25">
      <c r="A16428" t="s">
        <v>39040</v>
      </c>
      <c r="B16428" t="s">
        <v>10886</v>
      </c>
      <c r="C16428" t="s">
        <v>527</v>
      </c>
      <c r="D16428" t="str">
        <f>"1700"</f>
        <v>1700</v>
      </c>
      <c r="E16428" t="s">
        <v>60</v>
      </c>
      <c r="F16428" t="s">
        <v>1</v>
      </c>
      <c r="G16428" t="s">
        <v>47094</v>
      </c>
      <c r="H16428" t="s">
        <v>47126</v>
      </c>
      <c r="I16428" t="s">
        <v>47127</v>
      </c>
      <c r="J16428" t="s">
        <v>47128</v>
      </c>
      <c r="K16428" t="s">
        <v>47113</v>
      </c>
      <c r="L16428">
        <v>21.14</v>
      </c>
      <c r="M16428">
        <v>44</v>
      </c>
      <c r="N16428">
        <v>0</v>
      </c>
      <c r="O16428">
        <v>44</v>
      </c>
      <c r="P16428">
        <v>0</v>
      </c>
    </row>
    <row r="16429" spans="1:16" x14ac:dyDescent="0.25">
      <c r="A16429" t="s">
        <v>39041</v>
      </c>
      <c r="B16429" t="s">
        <v>10886</v>
      </c>
      <c r="C16429" t="s">
        <v>527</v>
      </c>
      <c r="D16429" t="str">
        <f>"4729"</f>
        <v>4729</v>
      </c>
      <c r="E16429" t="s">
        <v>2222</v>
      </c>
      <c r="F16429" t="s">
        <v>1</v>
      </c>
      <c r="G16429" t="s">
        <v>47094</v>
      </c>
      <c r="H16429" t="s">
        <v>47126</v>
      </c>
      <c r="I16429" t="s">
        <v>47127</v>
      </c>
      <c r="J16429" t="s">
        <v>47128</v>
      </c>
      <c r="K16429" t="s">
        <v>47113</v>
      </c>
      <c r="L16429">
        <v>21.14</v>
      </c>
      <c r="M16429">
        <v>44</v>
      </c>
      <c r="N16429">
        <v>0</v>
      </c>
      <c r="O16429">
        <v>44</v>
      </c>
      <c r="P16429">
        <v>0</v>
      </c>
    </row>
    <row r="16430" spans="1:16" x14ac:dyDescent="0.25">
      <c r="A16430" t="s">
        <v>39042</v>
      </c>
      <c r="B16430" t="s">
        <v>10886</v>
      </c>
      <c r="C16430" t="s">
        <v>527</v>
      </c>
      <c r="D16430" t="str">
        <f>"4730"</f>
        <v>4730</v>
      </c>
      <c r="E16430" t="s">
        <v>461</v>
      </c>
      <c r="F16430" t="s">
        <v>1</v>
      </c>
      <c r="G16430" t="s">
        <v>47094</v>
      </c>
      <c r="H16430" t="s">
        <v>47126</v>
      </c>
      <c r="I16430" t="s">
        <v>47127</v>
      </c>
      <c r="J16430" t="s">
        <v>47128</v>
      </c>
      <c r="K16430" t="s">
        <v>47113</v>
      </c>
      <c r="L16430">
        <v>21.14</v>
      </c>
      <c r="M16430">
        <v>44</v>
      </c>
      <c r="N16430">
        <v>0</v>
      </c>
      <c r="O16430">
        <v>44</v>
      </c>
      <c r="P16430">
        <v>0</v>
      </c>
    </row>
    <row r="16431" spans="1:16" x14ac:dyDescent="0.25">
      <c r="A16431" t="s">
        <v>39043</v>
      </c>
      <c r="B16431" t="s">
        <v>10886</v>
      </c>
      <c r="C16431" t="s">
        <v>527</v>
      </c>
      <c r="D16431" t="str">
        <f>"6451"</f>
        <v>6451</v>
      </c>
      <c r="E16431" t="s">
        <v>390</v>
      </c>
      <c r="F16431" t="s">
        <v>1</v>
      </c>
      <c r="G16431" t="s">
        <v>47094</v>
      </c>
      <c r="H16431" t="s">
        <v>47126</v>
      </c>
      <c r="I16431" t="s">
        <v>47127</v>
      </c>
      <c r="J16431" t="s">
        <v>47128</v>
      </c>
      <c r="K16431" t="s">
        <v>47113</v>
      </c>
      <c r="L16431">
        <v>21.14</v>
      </c>
      <c r="M16431">
        <v>44</v>
      </c>
      <c r="N16431">
        <v>0</v>
      </c>
      <c r="O16431">
        <v>44</v>
      </c>
      <c r="P16431">
        <v>0</v>
      </c>
    </row>
    <row r="16432" spans="1:16" x14ac:dyDescent="0.25">
      <c r="A16432" t="s">
        <v>39044</v>
      </c>
      <c r="B16432" t="s">
        <v>10886</v>
      </c>
      <c r="C16432" t="s">
        <v>527</v>
      </c>
      <c r="D16432" t="str">
        <f>"7000"</f>
        <v>7000</v>
      </c>
      <c r="E16432" t="s">
        <v>185</v>
      </c>
      <c r="F16432" t="s">
        <v>1</v>
      </c>
      <c r="G16432" t="s">
        <v>47094</v>
      </c>
      <c r="H16432" t="s">
        <v>47126</v>
      </c>
      <c r="I16432" t="s">
        <v>47127</v>
      </c>
      <c r="J16432" t="s">
        <v>47128</v>
      </c>
      <c r="K16432" t="s">
        <v>47113</v>
      </c>
      <c r="L16432">
        <v>21.14</v>
      </c>
      <c r="M16432">
        <v>44</v>
      </c>
      <c r="N16432">
        <v>0</v>
      </c>
      <c r="O16432">
        <v>44</v>
      </c>
      <c r="P16432">
        <v>0</v>
      </c>
    </row>
    <row r="16433" spans="1:16" x14ac:dyDescent="0.25">
      <c r="A16433" t="s">
        <v>39045</v>
      </c>
      <c r="B16433" t="s">
        <v>10887</v>
      </c>
      <c r="C16433" t="s">
        <v>1232</v>
      </c>
      <c r="D16433" t="str">
        <f>"1001"</f>
        <v>1001</v>
      </c>
      <c r="E16433" t="s">
        <v>42</v>
      </c>
      <c r="F16433" t="s">
        <v>1</v>
      </c>
      <c r="G16433" t="s">
        <v>47091</v>
      </c>
      <c r="H16433" t="s">
        <v>47126</v>
      </c>
      <c r="I16433" t="s">
        <v>47127</v>
      </c>
      <c r="J16433" t="s">
        <v>47128</v>
      </c>
      <c r="K16433" t="s">
        <v>47113</v>
      </c>
      <c r="L16433">
        <v>12.69</v>
      </c>
      <c r="M16433">
        <v>31</v>
      </c>
      <c r="N16433">
        <v>0</v>
      </c>
      <c r="O16433">
        <v>31</v>
      </c>
      <c r="P16433">
        <v>0</v>
      </c>
    </row>
    <row r="16434" spans="1:16" x14ac:dyDescent="0.25">
      <c r="A16434" t="s">
        <v>39046</v>
      </c>
      <c r="B16434" t="s">
        <v>10887</v>
      </c>
      <c r="C16434" t="s">
        <v>1232</v>
      </c>
      <c r="D16434" t="str">
        <f>"1377"</f>
        <v>1377</v>
      </c>
      <c r="E16434" t="s">
        <v>74</v>
      </c>
      <c r="F16434" t="s">
        <v>1</v>
      </c>
      <c r="G16434" t="s">
        <v>47091</v>
      </c>
      <c r="H16434" t="s">
        <v>47126</v>
      </c>
      <c r="I16434" t="s">
        <v>47127</v>
      </c>
      <c r="J16434" t="s">
        <v>47128</v>
      </c>
      <c r="K16434" t="s">
        <v>47113</v>
      </c>
      <c r="L16434">
        <v>12.69</v>
      </c>
      <c r="M16434">
        <v>31</v>
      </c>
      <c r="N16434">
        <v>0</v>
      </c>
      <c r="O16434">
        <v>31</v>
      </c>
      <c r="P16434">
        <v>0</v>
      </c>
    </row>
    <row r="16435" spans="1:16" x14ac:dyDescent="0.25">
      <c r="A16435" t="s">
        <v>39047</v>
      </c>
      <c r="B16435" t="s">
        <v>10887</v>
      </c>
      <c r="C16435" t="s">
        <v>1232</v>
      </c>
      <c r="D16435" t="str">
        <f>"1378"</f>
        <v>1378</v>
      </c>
      <c r="E16435" t="s">
        <v>388</v>
      </c>
      <c r="F16435" t="s">
        <v>1</v>
      </c>
      <c r="G16435" t="s">
        <v>47091</v>
      </c>
      <c r="H16435" t="s">
        <v>47126</v>
      </c>
      <c r="I16435" t="s">
        <v>47127</v>
      </c>
      <c r="J16435" t="s">
        <v>47128</v>
      </c>
      <c r="K16435" t="s">
        <v>47113</v>
      </c>
      <c r="L16435">
        <v>12.69</v>
      </c>
      <c r="M16435">
        <v>31</v>
      </c>
      <c r="N16435">
        <v>0</v>
      </c>
      <c r="O16435">
        <v>31</v>
      </c>
      <c r="P16435">
        <v>0</v>
      </c>
    </row>
    <row r="16436" spans="1:16" x14ac:dyDescent="0.25">
      <c r="A16436" t="s">
        <v>39048</v>
      </c>
      <c r="B16436" t="s">
        <v>10887</v>
      </c>
      <c r="C16436" t="s">
        <v>1232</v>
      </c>
      <c r="D16436" t="str">
        <f>"1700"</f>
        <v>1700</v>
      </c>
      <c r="E16436" t="s">
        <v>60</v>
      </c>
      <c r="F16436" t="s">
        <v>1</v>
      </c>
      <c r="G16436" t="s">
        <v>47091</v>
      </c>
      <c r="H16436" t="s">
        <v>47126</v>
      </c>
      <c r="I16436" t="s">
        <v>47127</v>
      </c>
      <c r="J16436" t="s">
        <v>47128</v>
      </c>
      <c r="K16436" t="s">
        <v>47113</v>
      </c>
      <c r="L16436">
        <v>12.69</v>
      </c>
      <c r="M16436">
        <v>31</v>
      </c>
      <c r="N16436">
        <v>0</v>
      </c>
      <c r="O16436">
        <v>31</v>
      </c>
      <c r="P16436">
        <v>0</v>
      </c>
    </row>
    <row r="16437" spans="1:16" x14ac:dyDescent="0.25">
      <c r="A16437" t="s">
        <v>39049</v>
      </c>
      <c r="B16437" t="s">
        <v>10887</v>
      </c>
      <c r="C16437" t="s">
        <v>1232</v>
      </c>
      <c r="D16437" t="str">
        <f>"4729"</f>
        <v>4729</v>
      </c>
      <c r="E16437" t="s">
        <v>2222</v>
      </c>
      <c r="F16437" t="s">
        <v>1</v>
      </c>
      <c r="G16437" t="s">
        <v>47091</v>
      </c>
      <c r="H16437" t="s">
        <v>47126</v>
      </c>
      <c r="I16437" t="s">
        <v>47127</v>
      </c>
      <c r="J16437" t="s">
        <v>47128</v>
      </c>
      <c r="K16437" t="s">
        <v>47113</v>
      </c>
      <c r="L16437">
        <v>12.69</v>
      </c>
      <c r="M16437">
        <v>31</v>
      </c>
      <c r="N16437">
        <v>0</v>
      </c>
      <c r="O16437">
        <v>31</v>
      </c>
      <c r="P16437">
        <v>0</v>
      </c>
    </row>
    <row r="16438" spans="1:16" x14ac:dyDescent="0.25">
      <c r="A16438" t="s">
        <v>39050</v>
      </c>
      <c r="B16438" t="s">
        <v>10887</v>
      </c>
      <c r="C16438" t="s">
        <v>1232</v>
      </c>
      <c r="D16438" t="str">
        <f>"4730"</f>
        <v>4730</v>
      </c>
      <c r="E16438" t="s">
        <v>461</v>
      </c>
      <c r="F16438" t="s">
        <v>1</v>
      </c>
      <c r="G16438" t="s">
        <v>47091</v>
      </c>
      <c r="H16438" t="s">
        <v>47126</v>
      </c>
      <c r="I16438" t="s">
        <v>47127</v>
      </c>
      <c r="J16438" t="s">
        <v>47128</v>
      </c>
      <c r="K16438" t="s">
        <v>47113</v>
      </c>
      <c r="L16438">
        <v>12.69</v>
      </c>
      <c r="M16438">
        <v>31</v>
      </c>
      <c r="N16438">
        <v>0</v>
      </c>
      <c r="O16438">
        <v>31</v>
      </c>
      <c r="P16438">
        <v>0</v>
      </c>
    </row>
    <row r="16439" spans="1:16" x14ac:dyDescent="0.25">
      <c r="A16439" t="s">
        <v>39051</v>
      </c>
      <c r="B16439" t="s">
        <v>10887</v>
      </c>
      <c r="C16439" t="s">
        <v>1232</v>
      </c>
      <c r="D16439" t="str">
        <f>"6451"</f>
        <v>6451</v>
      </c>
      <c r="E16439" t="s">
        <v>390</v>
      </c>
      <c r="F16439" t="s">
        <v>1</v>
      </c>
      <c r="G16439" t="s">
        <v>47091</v>
      </c>
      <c r="H16439" t="s">
        <v>47126</v>
      </c>
      <c r="I16439" t="s">
        <v>47127</v>
      </c>
      <c r="J16439" t="s">
        <v>47128</v>
      </c>
      <c r="K16439" t="s">
        <v>47113</v>
      </c>
      <c r="L16439">
        <v>12.69</v>
      </c>
      <c r="M16439">
        <v>31</v>
      </c>
      <c r="N16439">
        <v>0</v>
      </c>
      <c r="O16439">
        <v>31</v>
      </c>
      <c r="P16439">
        <v>0</v>
      </c>
    </row>
    <row r="16440" spans="1:16" x14ac:dyDescent="0.25">
      <c r="A16440" t="s">
        <v>39052</v>
      </c>
      <c r="B16440" t="s">
        <v>10887</v>
      </c>
      <c r="C16440" t="s">
        <v>1232</v>
      </c>
      <c r="D16440" t="str">
        <f>"7000"</f>
        <v>7000</v>
      </c>
      <c r="E16440" t="s">
        <v>185</v>
      </c>
      <c r="F16440" t="s">
        <v>1</v>
      </c>
      <c r="G16440" t="s">
        <v>47091</v>
      </c>
      <c r="H16440" t="s">
        <v>47126</v>
      </c>
      <c r="I16440" t="s">
        <v>47127</v>
      </c>
      <c r="J16440" t="s">
        <v>47128</v>
      </c>
      <c r="K16440" t="s">
        <v>47113</v>
      </c>
      <c r="L16440">
        <v>12.69</v>
      </c>
      <c r="M16440">
        <v>31</v>
      </c>
      <c r="N16440">
        <v>0</v>
      </c>
      <c r="O16440">
        <v>31</v>
      </c>
      <c r="P16440">
        <v>0</v>
      </c>
    </row>
    <row r="16441" spans="1:16" x14ac:dyDescent="0.25">
      <c r="A16441" t="s">
        <v>39053</v>
      </c>
      <c r="B16441" t="s">
        <v>10888</v>
      </c>
      <c r="C16441" t="s">
        <v>381</v>
      </c>
      <c r="D16441" t="s">
        <v>544</v>
      </c>
      <c r="E16441" t="s">
        <v>545</v>
      </c>
      <c r="F16441" t="s">
        <v>1</v>
      </c>
      <c r="G16441" t="s">
        <v>47093</v>
      </c>
      <c r="H16441" t="s">
        <v>47153</v>
      </c>
      <c r="I16441" t="s">
        <v>47132</v>
      </c>
      <c r="J16441" t="s">
        <v>47133</v>
      </c>
      <c r="K16441" t="s">
        <v>47113</v>
      </c>
      <c r="L16441">
        <v>38.64</v>
      </c>
      <c r="M16441">
        <v>75</v>
      </c>
      <c r="N16441">
        <v>0</v>
      </c>
      <c r="O16441">
        <v>75</v>
      </c>
      <c r="P16441">
        <v>0</v>
      </c>
    </row>
    <row r="16442" spans="1:16" x14ac:dyDescent="0.25">
      <c r="A16442" t="s">
        <v>39054</v>
      </c>
      <c r="B16442" t="s">
        <v>528</v>
      </c>
      <c r="C16442" t="s">
        <v>484</v>
      </c>
      <c r="D16442" t="s">
        <v>529</v>
      </c>
      <c r="E16442" t="s">
        <v>530</v>
      </c>
      <c r="F16442" t="s">
        <v>1</v>
      </c>
      <c r="G16442" t="s">
        <v>47093</v>
      </c>
      <c r="H16442" t="s">
        <v>47153</v>
      </c>
      <c r="I16442" t="s">
        <v>47132</v>
      </c>
      <c r="J16442" t="s">
        <v>47133</v>
      </c>
      <c r="K16442" t="s">
        <v>47113</v>
      </c>
      <c r="L16442">
        <v>44.54</v>
      </c>
      <c r="M16442">
        <v>82</v>
      </c>
      <c r="N16442">
        <v>0</v>
      </c>
      <c r="O16442">
        <v>82</v>
      </c>
      <c r="P16442">
        <v>0</v>
      </c>
    </row>
    <row r="16443" spans="1:16" x14ac:dyDescent="0.25">
      <c r="A16443" t="s">
        <v>39055</v>
      </c>
      <c r="B16443" t="s">
        <v>528</v>
      </c>
      <c r="C16443" t="s">
        <v>484</v>
      </c>
      <c r="D16443" t="s">
        <v>531</v>
      </c>
      <c r="E16443" t="s">
        <v>532</v>
      </c>
      <c r="F16443" t="s">
        <v>1</v>
      </c>
      <c r="G16443" t="s">
        <v>47093</v>
      </c>
      <c r="H16443" t="s">
        <v>47153</v>
      </c>
      <c r="I16443" t="s">
        <v>47132</v>
      </c>
      <c r="J16443" t="s">
        <v>47133</v>
      </c>
      <c r="K16443" t="s">
        <v>47113</v>
      </c>
      <c r="L16443">
        <v>38.520000000000003</v>
      </c>
      <c r="M16443">
        <v>75</v>
      </c>
      <c r="N16443">
        <v>0</v>
      </c>
      <c r="O16443">
        <v>75</v>
      </c>
      <c r="P16443">
        <v>0</v>
      </c>
    </row>
    <row r="16444" spans="1:16" x14ac:dyDescent="0.25">
      <c r="A16444" t="s">
        <v>14690</v>
      </c>
      <c r="B16444" t="s">
        <v>528</v>
      </c>
      <c r="C16444" t="s">
        <v>484</v>
      </c>
      <c r="D16444" t="s">
        <v>533</v>
      </c>
      <c r="E16444" t="s">
        <v>534</v>
      </c>
      <c r="F16444" t="s">
        <v>1</v>
      </c>
      <c r="G16444" t="s">
        <v>47093</v>
      </c>
      <c r="H16444" t="s">
        <v>47153</v>
      </c>
      <c r="I16444" t="s">
        <v>47132</v>
      </c>
      <c r="J16444" t="s">
        <v>47133</v>
      </c>
      <c r="K16444" t="s">
        <v>47113</v>
      </c>
      <c r="L16444">
        <v>43.36</v>
      </c>
      <c r="M16444">
        <v>82</v>
      </c>
      <c r="N16444">
        <v>0</v>
      </c>
      <c r="O16444">
        <v>82</v>
      </c>
      <c r="P16444">
        <v>0</v>
      </c>
    </row>
    <row r="16445" spans="1:16" x14ac:dyDescent="0.25">
      <c r="A16445" t="s">
        <v>14691</v>
      </c>
      <c r="B16445" t="s">
        <v>528</v>
      </c>
      <c r="C16445" t="s">
        <v>484</v>
      </c>
      <c r="D16445" t="s">
        <v>535</v>
      </c>
      <c r="E16445" t="s">
        <v>536</v>
      </c>
      <c r="F16445" t="s">
        <v>1</v>
      </c>
      <c r="G16445" t="s">
        <v>47093</v>
      </c>
      <c r="H16445" t="s">
        <v>47153</v>
      </c>
      <c r="I16445" t="s">
        <v>47132</v>
      </c>
      <c r="J16445" t="s">
        <v>47133</v>
      </c>
      <c r="K16445" t="s">
        <v>47113</v>
      </c>
      <c r="L16445">
        <v>44.61</v>
      </c>
      <c r="M16445">
        <v>80</v>
      </c>
      <c r="N16445">
        <v>0</v>
      </c>
      <c r="O16445">
        <v>80</v>
      </c>
      <c r="P16445">
        <v>0</v>
      </c>
    </row>
    <row r="16446" spans="1:16" x14ac:dyDescent="0.25">
      <c r="A16446" t="s">
        <v>39056</v>
      </c>
      <c r="B16446" t="s">
        <v>537</v>
      </c>
      <c r="C16446" t="s">
        <v>381</v>
      </c>
      <c r="D16446" t="s">
        <v>538</v>
      </c>
      <c r="E16446" t="s">
        <v>539</v>
      </c>
      <c r="F16446" t="s">
        <v>1</v>
      </c>
      <c r="G16446" t="s">
        <v>47093</v>
      </c>
      <c r="H16446" t="s">
        <v>47153</v>
      </c>
      <c r="I16446" t="s">
        <v>47132</v>
      </c>
      <c r="J16446" t="s">
        <v>47133</v>
      </c>
      <c r="K16446" t="s">
        <v>47113</v>
      </c>
      <c r="L16446">
        <v>40.76</v>
      </c>
      <c r="M16446">
        <v>75</v>
      </c>
      <c r="N16446">
        <v>0</v>
      </c>
      <c r="O16446">
        <v>75</v>
      </c>
      <c r="P16446">
        <v>0</v>
      </c>
    </row>
    <row r="16447" spans="1:16" x14ac:dyDescent="0.25">
      <c r="A16447" t="s">
        <v>39057</v>
      </c>
      <c r="B16447" t="s">
        <v>537</v>
      </c>
      <c r="C16447" t="s">
        <v>381</v>
      </c>
      <c r="D16447" t="s">
        <v>540</v>
      </c>
      <c r="E16447" t="s">
        <v>541</v>
      </c>
      <c r="F16447" t="s">
        <v>1</v>
      </c>
      <c r="G16447" t="s">
        <v>47093</v>
      </c>
      <c r="H16447" t="s">
        <v>47153</v>
      </c>
      <c r="I16447" t="s">
        <v>47132</v>
      </c>
      <c r="J16447" t="s">
        <v>47133</v>
      </c>
      <c r="K16447" t="s">
        <v>47113</v>
      </c>
      <c r="L16447">
        <v>39.46</v>
      </c>
      <c r="M16447">
        <v>74</v>
      </c>
      <c r="N16447">
        <v>0</v>
      </c>
      <c r="O16447">
        <v>74</v>
      </c>
      <c r="P16447">
        <v>0</v>
      </c>
    </row>
    <row r="16448" spans="1:16" x14ac:dyDescent="0.25">
      <c r="A16448" t="s">
        <v>14692</v>
      </c>
      <c r="B16448" t="s">
        <v>542</v>
      </c>
      <c r="C16448" t="s">
        <v>381</v>
      </c>
      <c r="D16448" t="s">
        <v>341</v>
      </c>
      <c r="E16448" t="s">
        <v>342</v>
      </c>
      <c r="F16448" t="s">
        <v>1</v>
      </c>
      <c r="G16448" t="s">
        <v>47093</v>
      </c>
      <c r="H16448" t="s">
        <v>47153</v>
      </c>
      <c r="I16448" t="s">
        <v>47132</v>
      </c>
      <c r="J16448" t="s">
        <v>47133</v>
      </c>
      <c r="K16448" t="s">
        <v>47113</v>
      </c>
      <c r="L16448">
        <v>40.520000000000003</v>
      </c>
      <c r="M16448">
        <v>75</v>
      </c>
      <c r="N16448">
        <v>0</v>
      </c>
      <c r="O16448">
        <v>75</v>
      </c>
      <c r="P16448">
        <v>0</v>
      </c>
    </row>
    <row r="16449" spans="1:16" x14ac:dyDescent="0.25">
      <c r="A16449" t="s">
        <v>14693</v>
      </c>
      <c r="B16449" t="s">
        <v>543</v>
      </c>
      <c r="C16449" t="s">
        <v>383</v>
      </c>
      <c r="D16449" t="s">
        <v>544</v>
      </c>
      <c r="E16449" t="s">
        <v>545</v>
      </c>
      <c r="F16449" t="s">
        <v>1</v>
      </c>
      <c r="G16449" t="s">
        <v>47093</v>
      </c>
      <c r="H16449" t="s">
        <v>47153</v>
      </c>
      <c r="I16449" t="s">
        <v>47132</v>
      </c>
      <c r="J16449" t="s">
        <v>47133</v>
      </c>
      <c r="K16449" t="s">
        <v>47113</v>
      </c>
      <c r="L16449">
        <v>37.700000000000003</v>
      </c>
      <c r="M16449">
        <v>75</v>
      </c>
      <c r="N16449">
        <v>0</v>
      </c>
      <c r="O16449">
        <v>75</v>
      </c>
      <c r="P16449">
        <v>0</v>
      </c>
    </row>
    <row r="16450" spans="1:16" x14ac:dyDescent="0.25">
      <c r="A16450" t="s">
        <v>39058</v>
      </c>
      <c r="B16450" t="s">
        <v>546</v>
      </c>
      <c r="C16450" t="s">
        <v>383</v>
      </c>
      <c r="D16450" t="s">
        <v>529</v>
      </c>
      <c r="E16450" t="s">
        <v>530</v>
      </c>
      <c r="F16450" t="s">
        <v>1</v>
      </c>
      <c r="G16450" t="s">
        <v>47093</v>
      </c>
      <c r="H16450" t="s">
        <v>47153</v>
      </c>
      <c r="I16450" t="s">
        <v>47132</v>
      </c>
      <c r="J16450" t="s">
        <v>47133</v>
      </c>
      <c r="K16450" t="s">
        <v>47113</v>
      </c>
      <c r="L16450">
        <v>45.15</v>
      </c>
      <c r="M16450">
        <v>82</v>
      </c>
      <c r="N16450">
        <v>0</v>
      </c>
      <c r="O16450">
        <v>82</v>
      </c>
      <c r="P16450">
        <v>0</v>
      </c>
    </row>
    <row r="16451" spans="1:16" x14ac:dyDescent="0.25">
      <c r="A16451" t="s">
        <v>39059</v>
      </c>
      <c r="B16451" t="s">
        <v>546</v>
      </c>
      <c r="C16451" t="s">
        <v>383</v>
      </c>
      <c r="D16451" t="s">
        <v>531</v>
      </c>
      <c r="E16451" t="s">
        <v>532</v>
      </c>
      <c r="F16451" t="s">
        <v>1</v>
      </c>
      <c r="G16451" t="s">
        <v>47093</v>
      </c>
      <c r="H16451" t="s">
        <v>47153</v>
      </c>
      <c r="I16451" t="s">
        <v>47132</v>
      </c>
      <c r="J16451" t="s">
        <v>47133</v>
      </c>
      <c r="K16451" t="s">
        <v>47113</v>
      </c>
      <c r="L16451">
        <v>39.68</v>
      </c>
      <c r="M16451">
        <v>75</v>
      </c>
      <c r="N16451">
        <v>0</v>
      </c>
      <c r="O16451">
        <v>75</v>
      </c>
      <c r="P16451">
        <v>0</v>
      </c>
    </row>
    <row r="16452" spans="1:16" x14ac:dyDescent="0.25">
      <c r="A16452" t="s">
        <v>14694</v>
      </c>
      <c r="B16452" t="s">
        <v>546</v>
      </c>
      <c r="C16452" t="s">
        <v>383</v>
      </c>
      <c r="D16452" t="s">
        <v>533</v>
      </c>
      <c r="E16452" t="s">
        <v>534</v>
      </c>
      <c r="F16452" t="s">
        <v>1</v>
      </c>
      <c r="G16452" t="s">
        <v>47093</v>
      </c>
      <c r="H16452" t="s">
        <v>47153</v>
      </c>
      <c r="I16452" t="s">
        <v>47132</v>
      </c>
      <c r="J16452" t="s">
        <v>47133</v>
      </c>
      <c r="K16452" t="s">
        <v>47113</v>
      </c>
      <c r="L16452">
        <v>44.69</v>
      </c>
      <c r="M16452">
        <v>82</v>
      </c>
      <c r="N16452">
        <v>0</v>
      </c>
      <c r="O16452">
        <v>82</v>
      </c>
      <c r="P16452">
        <v>0</v>
      </c>
    </row>
    <row r="16453" spans="1:16" x14ac:dyDescent="0.25">
      <c r="A16453" t="s">
        <v>14695</v>
      </c>
      <c r="B16453" t="s">
        <v>546</v>
      </c>
      <c r="C16453" t="s">
        <v>383</v>
      </c>
      <c r="D16453" t="s">
        <v>535</v>
      </c>
      <c r="E16453" t="s">
        <v>536</v>
      </c>
      <c r="F16453" t="s">
        <v>1</v>
      </c>
      <c r="G16453" t="s">
        <v>47093</v>
      </c>
      <c r="H16453" t="s">
        <v>47153</v>
      </c>
      <c r="I16453" t="s">
        <v>47132</v>
      </c>
      <c r="J16453" t="s">
        <v>47133</v>
      </c>
      <c r="K16453" t="s">
        <v>47113</v>
      </c>
      <c r="L16453">
        <v>44.58</v>
      </c>
      <c r="M16453">
        <v>80</v>
      </c>
      <c r="N16453">
        <v>0</v>
      </c>
      <c r="O16453">
        <v>80</v>
      </c>
      <c r="P16453">
        <v>0</v>
      </c>
    </row>
    <row r="16454" spans="1:16" x14ac:dyDescent="0.25">
      <c r="A16454" t="s">
        <v>14696</v>
      </c>
      <c r="B16454" t="s">
        <v>547</v>
      </c>
      <c r="C16454" t="s">
        <v>383</v>
      </c>
      <c r="D16454" t="s">
        <v>538</v>
      </c>
      <c r="E16454" t="s">
        <v>539</v>
      </c>
      <c r="F16454" t="s">
        <v>1</v>
      </c>
      <c r="G16454" t="s">
        <v>47093</v>
      </c>
      <c r="H16454" t="s">
        <v>47153</v>
      </c>
      <c r="I16454" t="s">
        <v>47132</v>
      </c>
      <c r="J16454" t="s">
        <v>47133</v>
      </c>
      <c r="K16454" t="s">
        <v>47113</v>
      </c>
      <c r="L16454">
        <v>40.65</v>
      </c>
      <c r="M16454">
        <v>75</v>
      </c>
      <c r="N16454">
        <v>0</v>
      </c>
      <c r="O16454">
        <v>75</v>
      </c>
      <c r="P16454">
        <v>0</v>
      </c>
    </row>
    <row r="16455" spans="1:16" x14ac:dyDescent="0.25">
      <c r="A16455" t="s">
        <v>14697</v>
      </c>
      <c r="B16455" t="s">
        <v>547</v>
      </c>
      <c r="C16455" t="s">
        <v>383</v>
      </c>
      <c r="D16455" t="s">
        <v>540</v>
      </c>
      <c r="E16455" t="s">
        <v>541</v>
      </c>
      <c r="F16455" t="s">
        <v>1</v>
      </c>
      <c r="G16455" t="s">
        <v>47093</v>
      </c>
      <c r="H16455" t="s">
        <v>47153</v>
      </c>
      <c r="I16455" t="s">
        <v>47132</v>
      </c>
      <c r="J16455" t="s">
        <v>47133</v>
      </c>
      <c r="K16455" t="s">
        <v>47113</v>
      </c>
      <c r="L16455">
        <v>38.92</v>
      </c>
      <c r="M16455">
        <v>74</v>
      </c>
      <c r="N16455">
        <v>0</v>
      </c>
      <c r="O16455">
        <v>74</v>
      </c>
      <c r="P16455">
        <v>0</v>
      </c>
    </row>
    <row r="16456" spans="1:16" x14ac:dyDescent="0.25">
      <c r="A16456" t="s">
        <v>39060</v>
      </c>
      <c r="B16456" t="s">
        <v>548</v>
      </c>
      <c r="C16456" t="s">
        <v>383</v>
      </c>
      <c r="D16456" t="s">
        <v>341</v>
      </c>
      <c r="E16456" t="s">
        <v>342</v>
      </c>
      <c r="F16456" t="s">
        <v>1</v>
      </c>
      <c r="G16456" t="s">
        <v>47093</v>
      </c>
      <c r="H16456" t="s">
        <v>47153</v>
      </c>
      <c r="I16456" t="s">
        <v>47132</v>
      </c>
      <c r="J16456" t="s">
        <v>47133</v>
      </c>
      <c r="K16456" t="s">
        <v>47113</v>
      </c>
      <c r="L16456">
        <v>39.35</v>
      </c>
      <c r="M16456">
        <v>75</v>
      </c>
      <c r="N16456">
        <v>0</v>
      </c>
      <c r="O16456">
        <v>75</v>
      </c>
      <c r="P16456">
        <v>0</v>
      </c>
    </row>
    <row r="16457" spans="1:16" x14ac:dyDescent="0.25">
      <c r="A16457" t="s">
        <v>39061</v>
      </c>
      <c r="B16457" t="s">
        <v>10889</v>
      </c>
      <c r="C16457" t="s">
        <v>491</v>
      </c>
      <c r="D16457" t="s">
        <v>544</v>
      </c>
      <c r="E16457" t="s">
        <v>545</v>
      </c>
      <c r="F16457" t="s">
        <v>1</v>
      </c>
      <c r="G16457" t="s">
        <v>47093</v>
      </c>
      <c r="H16457" t="s">
        <v>47153</v>
      </c>
      <c r="I16457" t="s">
        <v>47132</v>
      </c>
      <c r="J16457" t="s">
        <v>47133</v>
      </c>
      <c r="K16457" t="s">
        <v>47113</v>
      </c>
      <c r="L16457">
        <v>37.869999999999997</v>
      </c>
      <c r="M16457">
        <v>75</v>
      </c>
      <c r="N16457">
        <v>0</v>
      </c>
      <c r="O16457">
        <v>75</v>
      </c>
      <c r="P16457">
        <v>0</v>
      </c>
    </row>
    <row r="16458" spans="1:16" x14ac:dyDescent="0.25">
      <c r="A16458" t="s">
        <v>14698</v>
      </c>
      <c r="B16458" t="s">
        <v>549</v>
      </c>
      <c r="C16458" t="s">
        <v>491</v>
      </c>
      <c r="D16458" t="s">
        <v>529</v>
      </c>
      <c r="E16458" t="s">
        <v>530</v>
      </c>
      <c r="F16458" t="s">
        <v>1</v>
      </c>
      <c r="G16458" t="s">
        <v>47093</v>
      </c>
      <c r="H16458" t="s">
        <v>47153</v>
      </c>
      <c r="I16458" t="s">
        <v>47132</v>
      </c>
      <c r="J16458" t="s">
        <v>47133</v>
      </c>
      <c r="K16458" t="s">
        <v>47113</v>
      </c>
      <c r="L16458">
        <v>45.01</v>
      </c>
      <c r="M16458">
        <v>82</v>
      </c>
      <c r="N16458">
        <v>0</v>
      </c>
      <c r="O16458">
        <v>82</v>
      </c>
      <c r="P16458">
        <v>0</v>
      </c>
    </row>
    <row r="16459" spans="1:16" x14ac:dyDescent="0.25">
      <c r="A16459" t="s">
        <v>39062</v>
      </c>
      <c r="B16459" t="s">
        <v>549</v>
      </c>
      <c r="C16459" t="s">
        <v>491</v>
      </c>
      <c r="D16459" t="s">
        <v>531</v>
      </c>
      <c r="E16459" t="s">
        <v>532</v>
      </c>
      <c r="F16459" t="s">
        <v>1</v>
      </c>
      <c r="G16459" t="s">
        <v>47093</v>
      </c>
      <c r="H16459" t="s">
        <v>47153</v>
      </c>
      <c r="I16459" t="s">
        <v>47132</v>
      </c>
      <c r="J16459" t="s">
        <v>47133</v>
      </c>
      <c r="K16459" t="s">
        <v>47113</v>
      </c>
      <c r="L16459">
        <v>39.450000000000003</v>
      </c>
      <c r="M16459">
        <v>75</v>
      </c>
      <c r="N16459">
        <v>0</v>
      </c>
      <c r="O16459">
        <v>75</v>
      </c>
      <c r="P16459">
        <v>0</v>
      </c>
    </row>
    <row r="16460" spans="1:16" x14ac:dyDescent="0.25">
      <c r="A16460" t="s">
        <v>14699</v>
      </c>
      <c r="B16460" t="s">
        <v>549</v>
      </c>
      <c r="C16460" t="s">
        <v>491</v>
      </c>
      <c r="D16460" t="s">
        <v>533</v>
      </c>
      <c r="E16460" t="s">
        <v>534</v>
      </c>
      <c r="F16460" t="s">
        <v>1</v>
      </c>
      <c r="G16460" t="s">
        <v>47093</v>
      </c>
      <c r="H16460" t="s">
        <v>47153</v>
      </c>
      <c r="I16460" t="s">
        <v>47132</v>
      </c>
      <c r="J16460" t="s">
        <v>47133</v>
      </c>
      <c r="K16460" t="s">
        <v>47113</v>
      </c>
      <c r="L16460">
        <v>44.39</v>
      </c>
      <c r="M16460">
        <v>82</v>
      </c>
      <c r="N16460">
        <v>0</v>
      </c>
      <c r="O16460">
        <v>82</v>
      </c>
      <c r="P16460">
        <v>0</v>
      </c>
    </row>
    <row r="16461" spans="1:16" x14ac:dyDescent="0.25">
      <c r="A16461" t="s">
        <v>14700</v>
      </c>
      <c r="B16461" t="s">
        <v>549</v>
      </c>
      <c r="C16461" t="s">
        <v>491</v>
      </c>
      <c r="D16461" t="s">
        <v>535</v>
      </c>
      <c r="E16461" t="s">
        <v>536</v>
      </c>
      <c r="F16461" t="s">
        <v>1</v>
      </c>
      <c r="G16461" t="s">
        <v>47093</v>
      </c>
      <c r="H16461" t="s">
        <v>47153</v>
      </c>
      <c r="I16461" t="s">
        <v>47132</v>
      </c>
      <c r="J16461" t="s">
        <v>47133</v>
      </c>
      <c r="K16461" t="s">
        <v>47113</v>
      </c>
      <c r="L16461">
        <v>44.8</v>
      </c>
      <c r="M16461">
        <v>80</v>
      </c>
      <c r="N16461">
        <v>0</v>
      </c>
      <c r="O16461">
        <v>80</v>
      </c>
      <c r="P16461">
        <v>0</v>
      </c>
    </row>
    <row r="16462" spans="1:16" x14ac:dyDescent="0.25">
      <c r="A16462" t="s">
        <v>14701</v>
      </c>
      <c r="B16462" t="s">
        <v>550</v>
      </c>
      <c r="C16462" t="s">
        <v>491</v>
      </c>
      <c r="D16462" t="s">
        <v>538</v>
      </c>
      <c r="E16462" t="s">
        <v>539</v>
      </c>
      <c r="F16462" t="s">
        <v>1</v>
      </c>
      <c r="G16462" t="s">
        <v>47093</v>
      </c>
      <c r="H16462" t="s">
        <v>47153</v>
      </c>
      <c r="I16462" t="s">
        <v>47132</v>
      </c>
      <c r="J16462" t="s">
        <v>47133</v>
      </c>
      <c r="K16462" t="s">
        <v>47113</v>
      </c>
      <c r="L16462">
        <v>40.729999999999997</v>
      </c>
      <c r="M16462">
        <v>75</v>
      </c>
      <c r="N16462">
        <v>0</v>
      </c>
      <c r="O16462">
        <v>75</v>
      </c>
      <c r="P16462">
        <v>0</v>
      </c>
    </row>
    <row r="16463" spans="1:16" x14ac:dyDescent="0.25">
      <c r="A16463" t="s">
        <v>39063</v>
      </c>
      <c r="B16463" t="s">
        <v>550</v>
      </c>
      <c r="C16463" t="s">
        <v>491</v>
      </c>
      <c r="D16463" t="s">
        <v>540</v>
      </c>
      <c r="E16463" t="s">
        <v>541</v>
      </c>
      <c r="F16463" t="s">
        <v>1</v>
      </c>
      <c r="G16463" t="s">
        <v>47093</v>
      </c>
      <c r="H16463" t="s">
        <v>47153</v>
      </c>
      <c r="I16463" t="s">
        <v>47132</v>
      </c>
      <c r="J16463" t="s">
        <v>47133</v>
      </c>
      <c r="K16463" t="s">
        <v>47113</v>
      </c>
      <c r="L16463">
        <v>38.880000000000003</v>
      </c>
      <c r="M16463">
        <v>74</v>
      </c>
      <c r="N16463">
        <v>0</v>
      </c>
      <c r="O16463">
        <v>74</v>
      </c>
      <c r="P16463">
        <v>0</v>
      </c>
    </row>
    <row r="16464" spans="1:16" x14ac:dyDescent="0.25">
      <c r="A16464" t="s">
        <v>14702</v>
      </c>
      <c r="B16464" t="s">
        <v>551</v>
      </c>
      <c r="C16464" t="s">
        <v>491</v>
      </c>
      <c r="D16464" t="s">
        <v>341</v>
      </c>
      <c r="E16464" t="s">
        <v>342</v>
      </c>
      <c r="F16464" t="s">
        <v>1</v>
      </c>
      <c r="G16464" t="s">
        <v>47093</v>
      </c>
      <c r="H16464" t="s">
        <v>47153</v>
      </c>
      <c r="I16464" t="s">
        <v>47132</v>
      </c>
      <c r="J16464" t="s">
        <v>47133</v>
      </c>
      <c r="K16464" t="s">
        <v>47113</v>
      </c>
      <c r="L16464">
        <v>39.29</v>
      </c>
      <c r="M16464">
        <v>75</v>
      </c>
      <c r="N16464">
        <v>0</v>
      </c>
      <c r="O16464">
        <v>75</v>
      </c>
      <c r="P16464">
        <v>0</v>
      </c>
    </row>
    <row r="16465" spans="1:16" x14ac:dyDescent="0.25">
      <c r="A16465" t="s">
        <v>39064</v>
      </c>
      <c r="B16465" t="s">
        <v>10890</v>
      </c>
      <c r="C16465" t="s">
        <v>10614</v>
      </c>
      <c r="D16465" t="s">
        <v>10891</v>
      </c>
      <c r="E16465" t="s">
        <v>10892</v>
      </c>
      <c r="F16465" t="s">
        <v>3546</v>
      </c>
      <c r="G16465" t="s">
        <v>47093</v>
      </c>
      <c r="H16465" t="s">
        <v>47153</v>
      </c>
      <c r="I16465" t="s">
        <v>47132</v>
      </c>
      <c r="J16465" t="s">
        <v>47133</v>
      </c>
      <c r="K16465" t="s">
        <v>47113</v>
      </c>
      <c r="L16465">
        <v>47.28</v>
      </c>
      <c r="M16465">
        <v>104</v>
      </c>
      <c r="N16465">
        <v>0</v>
      </c>
      <c r="O16465">
        <v>104</v>
      </c>
      <c r="P16465">
        <v>0</v>
      </c>
    </row>
    <row r="16466" spans="1:16" x14ac:dyDescent="0.25">
      <c r="A16466" t="s">
        <v>39065</v>
      </c>
      <c r="B16466" t="s">
        <v>10893</v>
      </c>
      <c r="C16466" t="s">
        <v>10614</v>
      </c>
      <c r="D16466" t="s">
        <v>3919</v>
      </c>
      <c r="E16466" t="s">
        <v>3920</v>
      </c>
      <c r="F16466" t="s">
        <v>3546</v>
      </c>
      <c r="G16466" t="s">
        <v>47093</v>
      </c>
      <c r="H16466" t="s">
        <v>47153</v>
      </c>
      <c r="I16466" t="s">
        <v>47132</v>
      </c>
      <c r="J16466" t="s">
        <v>47133</v>
      </c>
      <c r="K16466" t="s">
        <v>47113</v>
      </c>
      <c r="L16466">
        <v>57.95</v>
      </c>
      <c r="M16466">
        <v>127</v>
      </c>
      <c r="N16466">
        <v>0</v>
      </c>
      <c r="O16466">
        <v>127</v>
      </c>
      <c r="P16466">
        <v>0</v>
      </c>
    </row>
    <row r="16467" spans="1:16" x14ac:dyDescent="0.25">
      <c r="A16467" t="s">
        <v>39066</v>
      </c>
      <c r="B16467" t="s">
        <v>10894</v>
      </c>
      <c r="C16467" t="s">
        <v>10614</v>
      </c>
      <c r="D16467" t="s">
        <v>10895</v>
      </c>
      <c r="E16467" t="s">
        <v>10896</v>
      </c>
      <c r="F16467" t="s">
        <v>3546</v>
      </c>
      <c r="G16467" t="s">
        <v>47093</v>
      </c>
      <c r="H16467" t="s">
        <v>47153</v>
      </c>
      <c r="I16467" t="s">
        <v>47132</v>
      </c>
      <c r="J16467" t="s">
        <v>47133</v>
      </c>
      <c r="K16467" t="s">
        <v>47113</v>
      </c>
      <c r="L16467">
        <v>77.89</v>
      </c>
      <c r="M16467">
        <v>171</v>
      </c>
      <c r="N16467">
        <v>0</v>
      </c>
      <c r="O16467">
        <v>171</v>
      </c>
      <c r="P16467">
        <v>0</v>
      </c>
    </row>
    <row r="16468" spans="1:16" x14ac:dyDescent="0.25">
      <c r="A16468" t="s">
        <v>39067</v>
      </c>
      <c r="B16468" t="s">
        <v>10897</v>
      </c>
      <c r="C16468" t="s">
        <v>10614</v>
      </c>
      <c r="D16468" t="s">
        <v>4056</v>
      </c>
      <c r="E16468" t="s">
        <v>4057</v>
      </c>
      <c r="F16468" t="s">
        <v>3546</v>
      </c>
      <c r="G16468" t="s">
        <v>47093</v>
      </c>
      <c r="H16468" t="s">
        <v>47153</v>
      </c>
      <c r="I16468" t="s">
        <v>47132</v>
      </c>
      <c r="J16468" t="s">
        <v>47133</v>
      </c>
      <c r="K16468" t="s">
        <v>47113</v>
      </c>
      <c r="L16468">
        <v>40.82</v>
      </c>
      <c r="M16468">
        <v>90</v>
      </c>
      <c r="N16468">
        <v>0</v>
      </c>
      <c r="O16468">
        <v>90</v>
      </c>
      <c r="P16468">
        <v>0</v>
      </c>
    </row>
    <row r="16469" spans="1:16" x14ac:dyDescent="0.25">
      <c r="A16469" t="s">
        <v>39068</v>
      </c>
      <c r="B16469" t="s">
        <v>10897</v>
      </c>
      <c r="C16469" t="s">
        <v>10614</v>
      </c>
      <c r="D16469" t="s">
        <v>504</v>
      </c>
      <c r="E16469" t="s">
        <v>505</v>
      </c>
      <c r="F16469" t="s">
        <v>3546</v>
      </c>
      <c r="G16469" t="s">
        <v>47093</v>
      </c>
      <c r="H16469" t="s">
        <v>47153</v>
      </c>
      <c r="I16469" t="s">
        <v>47132</v>
      </c>
      <c r="J16469" t="s">
        <v>47133</v>
      </c>
      <c r="K16469" t="s">
        <v>47113</v>
      </c>
      <c r="L16469">
        <v>43.52</v>
      </c>
      <c r="M16469">
        <v>96</v>
      </c>
      <c r="N16469">
        <v>0</v>
      </c>
      <c r="O16469">
        <v>96</v>
      </c>
      <c r="P16469">
        <v>0</v>
      </c>
    </row>
    <row r="16470" spans="1:16" x14ac:dyDescent="0.25">
      <c r="A16470" t="s">
        <v>39069</v>
      </c>
      <c r="B16470" t="s">
        <v>18303</v>
      </c>
      <c r="C16470" t="s">
        <v>18304</v>
      </c>
      <c r="D16470" t="str">
        <f>"1001"</f>
        <v>1001</v>
      </c>
      <c r="E16470" t="s">
        <v>42</v>
      </c>
      <c r="F16470" t="s">
        <v>15183</v>
      </c>
      <c r="G16470" t="s">
        <v>47102</v>
      </c>
      <c r="H16470" t="s">
        <v>47055</v>
      </c>
      <c r="I16470" t="s">
        <v>47120</v>
      </c>
      <c r="J16470" t="s">
        <v>47121</v>
      </c>
      <c r="K16470" t="s">
        <v>47113</v>
      </c>
      <c r="L16470">
        <v>208.59</v>
      </c>
      <c r="M16470">
        <v>423</v>
      </c>
      <c r="N16470">
        <v>0</v>
      </c>
      <c r="O16470">
        <v>423</v>
      </c>
      <c r="P16470">
        <v>0</v>
      </c>
    </row>
    <row r="16471" spans="1:16" x14ac:dyDescent="0.25">
      <c r="A16471" t="s">
        <v>39070</v>
      </c>
      <c r="B16471" t="s">
        <v>18303</v>
      </c>
      <c r="C16471" t="s">
        <v>18304</v>
      </c>
      <c r="D16471" t="str">
        <f>"6000"</f>
        <v>6000</v>
      </c>
      <c r="E16471" t="s">
        <v>238</v>
      </c>
      <c r="F16471" t="s">
        <v>15183</v>
      </c>
      <c r="G16471" t="s">
        <v>47102</v>
      </c>
      <c r="H16471" t="s">
        <v>47055</v>
      </c>
      <c r="I16471" t="s">
        <v>47120</v>
      </c>
      <c r="J16471" t="s">
        <v>47121</v>
      </c>
      <c r="K16471" t="s">
        <v>47113</v>
      </c>
      <c r="L16471">
        <v>208.59</v>
      </c>
      <c r="M16471">
        <v>423</v>
      </c>
      <c r="N16471">
        <v>0</v>
      </c>
      <c r="O16471">
        <v>423</v>
      </c>
      <c r="P16471">
        <v>0</v>
      </c>
    </row>
    <row r="16472" spans="1:16" x14ac:dyDescent="0.25">
      <c r="A16472" t="s">
        <v>39071</v>
      </c>
      <c r="B16472" t="s">
        <v>18305</v>
      </c>
      <c r="C16472" t="s">
        <v>18306</v>
      </c>
      <c r="D16472" t="str">
        <f>"1200"</f>
        <v>1200</v>
      </c>
      <c r="E16472" t="s">
        <v>16514</v>
      </c>
      <c r="F16472" t="s">
        <v>15183</v>
      </c>
      <c r="G16472" t="s">
        <v>47102</v>
      </c>
      <c r="H16472" t="s">
        <v>47055</v>
      </c>
      <c r="I16472" t="s">
        <v>47120</v>
      </c>
      <c r="J16472" t="s">
        <v>47121</v>
      </c>
      <c r="K16472" t="s">
        <v>47113</v>
      </c>
      <c r="L16472">
        <v>208.59</v>
      </c>
      <c r="M16472">
        <v>423</v>
      </c>
      <c r="N16472">
        <v>0</v>
      </c>
      <c r="O16472">
        <v>423</v>
      </c>
      <c r="P16472">
        <v>0</v>
      </c>
    </row>
    <row r="16473" spans="1:16" x14ac:dyDescent="0.25">
      <c r="A16473" t="s">
        <v>39072</v>
      </c>
      <c r="B16473" t="s">
        <v>18307</v>
      </c>
      <c r="C16473" t="s">
        <v>18308</v>
      </c>
      <c r="D16473" t="str">
        <f>"1001"</f>
        <v>1001</v>
      </c>
      <c r="E16473" t="s">
        <v>42</v>
      </c>
      <c r="F16473" t="s">
        <v>15183</v>
      </c>
      <c r="G16473" t="s">
        <v>47102</v>
      </c>
      <c r="H16473" t="s">
        <v>47055</v>
      </c>
      <c r="I16473" t="s">
        <v>47120</v>
      </c>
      <c r="J16473" t="s">
        <v>47121</v>
      </c>
      <c r="K16473" t="s">
        <v>47113</v>
      </c>
      <c r="L16473">
        <v>178.45</v>
      </c>
      <c r="M16473">
        <v>362</v>
      </c>
      <c r="N16473">
        <v>0</v>
      </c>
      <c r="O16473">
        <v>362</v>
      </c>
      <c r="P16473">
        <v>0</v>
      </c>
    </row>
    <row r="16474" spans="1:16" x14ac:dyDescent="0.25">
      <c r="A16474" t="s">
        <v>39073</v>
      </c>
      <c r="B16474" t="s">
        <v>18307</v>
      </c>
      <c r="C16474" t="s">
        <v>18308</v>
      </c>
      <c r="D16474" t="str">
        <f>"1200"</f>
        <v>1200</v>
      </c>
      <c r="E16474" t="s">
        <v>16514</v>
      </c>
      <c r="F16474" t="s">
        <v>15183</v>
      </c>
      <c r="G16474" t="s">
        <v>47102</v>
      </c>
      <c r="H16474" t="s">
        <v>47055</v>
      </c>
      <c r="I16474" t="s">
        <v>47120</v>
      </c>
      <c r="J16474" t="s">
        <v>47121</v>
      </c>
      <c r="K16474" t="s">
        <v>47113</v>
      </c>
      <c r="L16474">
        <v>178.45</v>
      </c>
      <c r="M16474">
        <v>362</v>
      </c>
      <c r="N16474">
        <v>0</v>
      </c>
      <c r="O16474">
        <v>362</v>
      </c>
      <c r="P16474">
        <v>0</v>
      </c>
    </row>
    <row r="16475" spans="1:16" x14ac:dyDescent="0.25">
      <c r="A16475" t="s">
        <v>39074</v>
      </c>
      <c r="B16475" t="s">
        <v>18309</v>
      </c>
      <c r="C16475" t="s">
        <v>10990</v>
      </c>
      <c r="D16475" t="str">
        <f>"1001"</f>
        <v>1001</v>
      </c>
      <c r="E16475" t="s">
        <v>42</v>
      </c>
      <c r="F16475" t="s">
        <v>15183</v>
      </c>
      <c r="G16475" t="s">
        <v>47094</v>
      </c>
      <c r="H16475" t="s">
        <v>47055</v>
      </c>
      <c r="I16475" t="s">
        <v>47127</v>
      </c>
      <c r="J16475" t="s">
        <v>47128</v>
      </c>
      <c r="K16475" t="s">
        <v>47113</v>
      </c>
      <c r="L16475">
        <v>29.25</v>
      </c>
      <c r="M16475">
        <v>78</v>
      </c>
      <c r="N16475">
        <v>0</v>
      </c>
      <c r="O16475">
        <v>78</v>
      </c>
      <c r="P16475">
        <v>0</v>
      </c>
    </row>
    <row r="16476" spans="1:16" x14ac:dyDescent="0.25">
      <c r="A16476" t="s">
        <v>39075</v>
      </c>
      <c r="B16476" t="s">
        <v>18309</v>
      </c>
      <c r="C16476" t="s">
        <v>10990</v>
      </c>
      <c r="D16476" t="str">
        <f>"1200"</f>
        <v>1200</v>
      </c>
      <c r="E16476" t="s">
        <v>16534</v>
      </c>
      <c r="F16476" t="s">
        <v>15183</v>
      </c>
      <c r="G16476" t="s">
        <v>47094</v>
      </c>
      <c r="H16476" t="s">
        <v>47055</v>
      </c>
      <c r="I16476" t="s">
        <v>47127</v>
      </c>
      <c r="J16476" t="s">
        <v>47128</v>
      </c>
      <c r="K16476" t="s">
        <v>47113</v>
      </c>
      <c r="L16476">
        <v>29.25</v>
      </c>
      <c r="M16476">
        <v>78</v>
      </c>
      <c r="N16476">
        <v>0</v>
      </c>
      <c r="O16476">
        <v>78</v>
      </c>
      <c r="P16476">
        <v>0</v>
      </c>
    </row>
    <row r="16477" spans="1:16" x14ac:dyDescent="0.25">
      <c r="A16477" t="s">
        <v>39076</v>
      </c>
      <c r="B16477" t="s">
        <v>18309</v>
      </c>
      <c r="C16477" t="s">
        <v>10990</v>
      </c>
      <c r="D16477" t="str">
        <f>"1370"</f>
        <v>1370</v>
      </c>
      <c r="E16477" t="s">
        <v>3859</v>
      </c>
      <c r="F16477" t="s">
        <v>15183</v>
      </c>
      <c r="G16477" t="s">
        <v>47094</v>
      </c>
      <c r="H16477" t="s">
        <v>47055</v>
      </c>
      <c r="I16477" t="s">
        <v>47127</v>
      </c>
      <c r="J16477" t="s">
        <v>47128</v>
      </c>
      <c r="K16477" t="s">
        <v>47113</v>
      </c>
      <c r="L16477">
        <v>29.25</v>
      </c>
      <c r="M16477">
        <v>78</v>
      </c>
      <c r="N16477">
        <v>0</v>
      </c>
      <c r="O16477">
        <v>78</v>
      </c>
      <c r="P16477">
        <v>0</v>
      </c>
    </row>
    <row r="16478" spans="1:16" x14ac:dyDescent="0.25">
      <c r="A16478" t="s">
        <v>39077</v>
      </c>
      <c r="B16478" t="s">
        <v>18309</v>
      </c>
      <c r="C16478" t="s">
        <v>10990</v>
      </c>
      <c r="D16478" t="str">
        <f>"1377"</f>
        <v>1377</v>
      </c>
      <c r="E16478" t="s">
        <v>74</v>
      </c>
      <c r="F16478" t="s">
        <v>15183</v>
      </c>
      <c r="G16478" t="s">
        <v>47094</v>
      </c>
      <c r="H16478" t="s">
        <v>47055</v>
      </c>
      <c r="I16478" t="s">
        <v>47127</v>
      </c>
      <c r="J16478" t="s">
        <v>47128</v>
      </c>
      <c r="K16478" t="s">
        <v>47113</v>
      </c>
      <c r="L16478">
        <v>29.25</v>
      </c>
      <c r="M16478">
        <v>78</v>
      </c>
      <c r="N16478">
        <v>0</v>
      </c>
      <c r="O16478">
        <v>78</v>
      </c>
      <c r="P16478">
        <v>0</v>
      </c>
    </row>
    <row r="16479" spans="1:16" x14ac:dyDescent="0.25">
      <c r="A16479" t="s">
        <v>39078</v>
      </c>
      <c r="B16479" t="s">
        <v>18309</v>
      </c>
      <c r="C16479" t="s">
        <v>10990</v>
      </c>
      <c r="D16479" t="str">
        <f>"1378"</f>
        <v>1378</v>
      </c>
      <c r="E16479" t="s">
        <v>388</v>
      </c>
      <c r="F16479" t="s">
        <v>15183</v>
      </c>
      <c r="G16479" t="s">
        <v>47094</v>
      </c>
      <c r="H16479" t="s">
        <v>47055</v>
      </c>
      <c r="I16479" t="s">
        <v>47127</v>
      </c>
      <c r="J16479" t="s">
        <v>47128</v>
      </c>
      <c r="K16479" t="s">
        <v>47113</v>
      </c>
      <c r="L16479">
        <v>29.25</v>
      </c>
      <c r="M16479">
        <v>78</v>
      </c>
      <c r="N16479">
        <v>0</v>
      </c>
      <c r="O16479">
        <v>78</v>
      </c>
      <c r="P16479">
        <v>0</v>
      </c>
    </row>
    <row r="16480" spans="1:16" x14ac:dyDescent="0.25">
      <c r="A16480" t="s">
        <v>39079</v>
      </c>
      <c r="B16480" t="s">
        <v>18309</v>
      </c>
      <c r="C16480" t="s">
        <v>10990</v>
      </c>
      <c r="D16480" t="str">
        <f>"1704"</f>
        <v>1704</v>
      </c>
      <c r="E16480" t="s">
        <v>7181</v>
      </c>
      <c r="F16480" t="s">
        <v>15183</v>
      </c>
      <c r="G16480" t="s">
        <v>47094</v>
      </c>
      <c r="H16480" t="s">
        <v>47055</v>
      </c>
      <c r="I16480" t="s">
        <v>47127</v>
      </c>
      <c r="J16480" t="s">
        <v>47128</v>
      </c>
      <c r="K16480" t="s">
        <v>47113</v>
      </c>
      <c r="L16480">
        <v>29.25</v>
      </c>
      <c r="M16480">
        <v>78</v>
      </c>
      <c r="N16480">
        <v>0</v>
      </c>
      <c r="O16480">
        <v>78</v>
      </c>
      <c r="P16480">
        <v>0</v>
      </c>
    </row>
    <row r="16481" spans="1:16" x14ac:dyDescent="0.25">
      <c r="A16481" t="s">
        <v>39080</v>
      </c>
      <c r="B16481" t="s">
        <v>18309</v>
      </c>
      <c r="C16481" t="s">
        <v>10990</v>
      </c>
      <c r="D16481" t="str">
        <f>"4000"</f>
        <v>4000</v>
      </c>
      <c r="E16481" t="s">
        <v>16537</v>
      </c>
      <c r="F16481" t="s">
        <v>15183</v>
      </c>
      <c r="G16481" t="s">
        <v>47094</v>
      </c>
      <c r="H16481" t="s">
        <v>47055</v>
      </c>
      <c r="I16481" t="s">
        <v>47127</v>
      </c>
      <c r="J16481" t="s">
        <v>47128</v>
      </c>
      <c r="K16481" t="s">
        <v>47113</v>
      </c>
      <c r="L16481">
        <v>29.25</v>
      </c>
      <c r="M16481">
        <v>78</v>
      </c>
      <c r="N16481">
        <v>0</v>
      </c>
      <c r="O16481">
        <v>78</v>
      </c>
      <c r="P16481">
        <v>0</v>
      </c>
    </row>
    <row r="16482" spans="1:16" x14ac:dyDescent="0.25">
      <c r="A16482" t="s">
        <v>39081</v>
      </c>
      <c r="B16482" t="s">
        <v>18309</v>
      </c>
      <c r="C16482" t="s">
        <v>10990</v>
      </c>
      <c r="D16482" t="str">
        <f>"4921"</f>
        <v>4921</v>
      </c>
      <c r="E16482" t="s">
        <v>4156</v>
      </c>
      <c r="F16482" t="s">
        <v>15183</v>
      </c>
      <c r="G16482" t="s">
        <v>47094</v>
      </c>
      <c r="H16482" t="s">
        <v>47055</v>
      </c>
      <c r="I16482" t="s">
        <v>47127</v>
      </c>
      <c r="J16482" t="s">
        <v>47128</v>
      </c>
      <c r="K16482" t="s">
        <v>47113</v>
      </c>
      <c r="L16482">
        <v>29.25</v>
      </c>
      <c r="M16482">
        <v>78</v>
      </c>
      <c r="N16482">
        <v>0</v>
      </c>
      <c r="O16482">
        <v>78</v>
      </c>
      <c r="P16482">
        <v>0</v>
      </c>
    </row>
    <row r="16483" spans="1:16" x14ac:dyDescent="0.25">
      <c r="A16483" t="s">
        <v>39082</v>
      </c>
      <c r="B16483" t="s">
        <v>18310</v>
      </c>
      <c r="C16483" t="s">
        <v>16546</v>
      </c>
      <c r="D16483" t="str">
        <f>"1370"</f>
        <v>1370</v>
      </c>
      <c r="E16483" t="s">
        <v>3859</v>
      </c>
      <c r="F16483" t="s">
        <v>15183</v>
      </c>
      <c r="G16483" t="s">
        <v>47094</v>
      </c>
      <c r="H16483" t="s">
        <v>47055</v>
      </c>
      <c r="I16483" t="s">
        <v>47127</v>
      </c>
      <c r="J16483" t="s">
        <v>47128</v>
      </c>
      <c r="K16483" t="s">
        <v>47113</v>
      </c>
      <c r="L16483">
        <v>36.01</v>
      </c>
      <c r="M16483">
        <v>96</v>
      </c>
      <c r="N16483">
        <v>0</v>
      </c>
      <c r="O16483">
        <v>96</v>
      </c>
      <c r="P16483">
        <v>0</v>
      </c>
    </row>
    <row r="16484" spans="1:16" x14ac:dyDescent="0.25">
      <c r="A16484" t="s">
        <v>39083</v>
      </c>
      <c r="B16484" t="s">
        <v>18311</v>
      </c>
      <c r="C16484" t="s">
        <v>2173</v>
      </c>
      <c r="D16484" t="str">
        <f>"1001"</f>
        <v>1001</v>
      </c>
      <c r="E16484" t="s">
        <v>42</v>
      </c>
      <c r="F16484" t="s">
        <v>15183</v>
      </c>
      <c r="G16484" t="s">
        <v>47095</v>
      </c>
      <c r="H16484" t="s">
        <v>47055</v>
      </c>
      <c r="I16484" t="s">
        <v>47127</v>
      </c>
      <c r="J16484" t="s">
        <v>47128</v>
      </c>
      <c r="K16484" t="s">
        <v>47113</v>
      </c>
      <c r="L16484">
        <v>36.01</v>
      </c>
      <c r="M16484">
        <v>96</v>
      </c>
      <c r="N16484">
        <v>0</v>
      </c>
      <c r="O16484">
        <v>96</v>
      </c>
      <c r="P16484">
        <v>0</v>
      </c>
    </row>
    <row r="16485" spans="1:16" x14ac:dyDescent="0.25">
      <c r="A16485" t="s">
        <v>39084</v>
      </c>
      <c r="B16485" t="s">
        <v>18311</v>
      </c>
      <c r="C16485" t="s">
        <v>2173</v>
      </c>
      <c r="D16485" t="str">
        <f>"1200"</f>
        <v>1200</v>
      </c>
      <c r="E16485" t="s">
        <v>16534</v>
      </c>
      <c r="F16485" t="s">
        <v>15183</v>
      </c>
      <c r="G16485" t="s">
        <v>47095</v>
      </c>
      <c r="H16485" t="s">
        <v>47055</v>
      </c>
      <c r="I16485" t="s">
        <v>47127</v>
      </c>
      <c r="J16485" t="s">
        <v>47128</v>
      </c>
      <c r="K16485" t="s">
        <v>47113</v>
      </c>
      <c r="L16485">
        <v>36.01</v>
      </c>
      <c r="M16485">
        <v>96</v>
      </c>
      <c r="N16485">
        <v>0</v>
      </c>
      <c r="O16485">
        <v>96</v>
      </c>
      <c r="P16485">
        <v>0</v>
      </c>
    </row>
    <row r="16486" spans="1:16" x14ac:dyDescent="0.25">
      <c r="A16486" t="s">
        <v>39085</v>
      </c>
      <c r="B16486" t="s">
        <v>18311</v>
      </c>
      <c r="C16486" t="s">
        <v>2173</v>
      </c>
      <c r="D16486" t="str">
        <f>"1370"</f>
        <v>1370</v>
      </c>
      <c r="E16486" t="s">
        <v>3859</v>
      </c>
      <c r="F16486" t="s">
        <v>15183</v>
      </c>
      <c r="G16486" t="s">
        <v>47095</v>
      </c>
      <c r="H16486" t="s">
        <v>47055</v>
      </c>
      <c r="I16486" t="s">
        <v>47127</v>
      </c>
      <c r="J16486" t="s">
        <v>47128</v>
      </c>
      <c r="K16486" t="s">
        <v>47113</v>
      </c>
      <c r="L16486">
        <v>36.01</v>
      </c>
      <c r="M16486">
        <v>96</v>
      </c>
      <c r="N16486">
        <v>0</v>
      </c>
      <c r="O16486">
        <v>96</v>
      </c>
      <c r="P16486">
        <v>0</v>
      </c>
    </row>
    <row r="16487" spans="1:16" x14ac:dyDescent="0.25">
      <c r="A16487" t="s">
        <v>39086</v>
      </c>
      <c r="B16487" t="s">
        <v>18311</v>
      </c>
      <c r="C16487" t="s">
        <v>2173</v>
      </c>
      <c r="D16487" t="str">
        <f>"1377"</f>
        <v>1377</v>
      </c>
      <c r="E16487" t="s">
        <v>74</v>
      </c>
      <c r="F16487" t="s">
        <v>15183</v>
      </c>
      <c r="G16487" t="s">
        <v>47095</v>
      </c>
      <c r="H16487" t="s">
        <v>47055</v>
      </c>
      <c r="I16487" t="s">
        <v>47127</v>
      </c>
      <c r="J16487" t="s">
        <v>47128</v>
      </c>
      <c r="K16487" t="s">
        <v>47113</v>
      </c>
      <c r="L16487">
        <v>36.01</v>
      </c>
      <c r="M16487">
        <v>96</v>
      </c>
      <c r="N16487">
        <v>0</v>
      </c>
      <c r="O16487">
        <v>96</v>
      </c>
      <c r="P16487">
        <v>0</v>
      </c>
    </row>
    <row r="16488" spans="1:16" x14ac:dyDescent="0.25">
      <c r="A16488" t="s">
        <v>39087</v>
      </c>
      <c r="B16488" t="s">
        <v>18311</v>
      </c>
      <c r="C16488" t="s">
        <v>2173</v>
      </c>
      <c r="D16488" t="str">
        <f>"1378"</f>
        <v>1378</v>
      </c>
      <c r="E16488" t="s">
        <v>388</v>
      </c>
      <c r="F16488" t="s">
        <v>15183</v>
      </c>
      <c r="G16488" t="s">
        <v>47095</v>
      </c>
      <c r="H16488" t="s">
        <v>47055</v>
      </c>
      <c r="I16488" t="s">
        <v>47127</v>
      </c>
      <c r="J16488" t="s">
        <v>47128</v>
      </c>
      <c r="K16488" t="s">
        <v>47113</v>
      </c>
      <c r="L16488">
        <v>36.01</v>
      </c>
      <c r="M16488">
        <v>96</v>
      </c>
      <c r="N16488">
        <v>0</v>
      </c>
      <c r="O16488">
        <v>96</v>
      </c>
      <c r="P16488">
        <v>0</v>
      </c>
    </row>
    <row r="16489" spans="1:16" x14ac:dyDescent="0.25">
      <c r="A16489" t="s">
        <v>39088</v>
      </c>
      <c r="B16489" t="s">
        <v>18311</v>
      </c>
      <c r="C16489" t="s">
        <v>2173</v>
      </c>
      <c r="D16489" t="str">
        <f>"1704"</f>
        <v>1704</v>
      </c>
      <c r="E16489" t="s">
        <v>7181</v>
      </c>
      <c r="F16489" t="s">
        <v>15183</v>
      </c>
      <c r="G16489" t="s">
        <v>47095</v>
      </c>
      <c r="H16489" t="s">
        <v>47055</v>
      </c>
      <c r="I16489" t="s">
        <v>47127</v>
      </c>
      <c r="J16489" t="s">
        <v>47128</v>
      </c>
      <c r="K16489" t="s">
        <v>47113</v>
      </c>
      <c r="L16489">
        <v>36.01</v>
      </c>
      <c r="M16489">
        <v>96</v>
      </c>
      <c r="N16489">
        <v>0</v>
      </c>
      <c r="O16489">
        <v>96</v>
      </c>
      <c r="P16489">
        <v>0</v>
      </c>
    </row>
    <row r="16490" spans="1:16" x14ac:dyDescent="0.25">
      <c r="A16490" t="s">
        <v>39089</v>
      </c>
      <c r="B16490" t="s">
        <v>18311</v>
      </c>
      <c r="C16490" t="s">
        <v>2173</v>
      </c>
      <c r="D16490" t="str">
        <f>"4000"</f>
        <v>4000</v>
      </c>
      <c r="E16490" t="s">
        <v>16537</v>
      </c>
      <c r="F16490" t="s">
        <v>15183</v>
      </c>
      <c r="G16490" t="s">
        <v>47095</v>
      </c>
      <c r="H16490" t="s">
        <v>47055</v>
      </c>
      <c r="I16490" t="s">
        <v>47127</v>
      </c>
      <c r="J16490" t="s">
        <v>47128</v>
      </c>
      <c r="K16490" t="s">
        <v>47113</v>
      </c>
      <c r="L16490">
        <v>36.01</v>
      </c>
      <c r="M16490">
        <v>96</v>
      </c>
      <c r="N16490">
        <v>0</v>
      </c>
      <c r="O16490">
        <v>96</v>
      </c>
      <c r="P16490">
        <v>0</v>
      </c>
    </row>
    <row r="16491" spans="1:16" x14ac:dyDescent="0.25">
      <c r="A16491" t="s">
        <v>39090</v>
      </c>
      <c r="B16491" t="s">
        <v>18311</v>
      </c>
      <c r="C16491" t="s">
        <v>2173</v>
      </c>
      <c r="D16491" t="str">
        <f>"4921"</f>
        <v>4921</v>
      </c>
      <c r="E16491" t="s">
        <v>4156</v>
      </c>
      <c r="F16491" t="s">
        <v>15183</v>
      </c>
      <c r="G16491" t="s">
        <v>47095</v>
      </c>
      <c r="H16491" t="s">
        <v>47055</v>
      </c>
      <c r="I16491" t="s">
        <v>47127</v>
      </c>
      <c r="J16491" t="s">
        <v>47128</v>
      </c>
      <c r="K16491" t="s">
        <v>47113</v>
      </c>
      <c r="L16491">
        <v>36.01</v>
      </c>
      <c r="M16491">
        <v>96</v>
      </c>
      <c r="N16491">
        <v>0</v>
      </c>
      <c r="O16491">
        <v>96</v>
      </c>
      <c r="P16491">
        <v>0</v>
      </c>
    </row>
    <row r="16492" spans="1:16" x14ac:dyDescent="0.25">
      <c r="A16492" t="s">
        <v>39091</v>
      </c>
      <c r="B16492" t="s">
        <v>18312</v>
      </c>
      <c r="C16492" t="s">
        <v>16546</v>
      </c>
      <c r="D16492" t="str">
        <f>"1001"</f>
        <v>1001</v>
      </c>
      <c r="E16492" t="s">
        <v>42</v>
      </c>
      <c r="F16492" t="s">
        <v>15183</v>
      </c>
      <c r="G16492" t="s">
        <v>47094</v>
      </c>
      <c r="H16492" t="s">
        <v>47055</v>
      </c>
      <c r="I16492" t="s">
        <v>47127</v>
      </c>
      <c r="J16492" t="s">
        <v>47128</v>
      </c>
      <c r="K16492" t="s">
        <v>47113</v>
      </c>
      <c r="L16492">
        <v>40.51</v>
      </c>
      <c r="M16492">
        <v>65</v>
      </c>
      <c r="N16492">
        <v>0</v>
      </c>
      <c r="O16492">
        <v>65</v>
      </c>
      <c r="P16492">
        <v>0</v>
      </c>
    </row>
    <row r="16493" spans="1:16" x14ac:dyDescent="0.25">
      <c r="A16493" t="s">
        <v>39092</v>
      </c>
      <c r="B16493" t="s">
        <v>18312</v>
      </c>
      <c r="C16493" t="s">
        <v>16546</v>
      </c>
      <c r="D16493" t="str">
        <f>"1200"</f>
        <v>1200</v>
      </c>
      <c r="E16493" t="s">
        <v>16534</v>
      </c>
      <c r="F16493" t="s">
        <v>15183</v>
      </c>
      <c r="G16493" t="s">
        <v>47094</v>
      </c>
      <c r="H16493" t="s">
        <v>47055</v>
      </c>
      <c r="I16493" t="s">
        <v>47127</v>
      </c>
      <c r="J16493" t="s">
        <v>47128</v>
      </c>
      <c r="K16493" t="s">
        <v>47113</v>
      </c>
      <c r="L16493">
        <v>40.51</v>
      </c>
      <c r="M16493">
        <v>65</v>
      </c>
      <c r="N16493">
        <v>0</v>
      </c>
      <c r="O16493">
        <v>65</v>
      </c>
      <c r="P16493">
        <v>0</v>
      </c>
    </row>
    <row r="16494" spans="1:16" x14ac:dyDescent="0.25">
      <c r="A16494" t="s">
        <v>39093</v>
      </c>
      <c r="B16494" t="s">
        <v>18312</v>
      </c>
      <c r="C16494" t="s">
        <v>16546</v>
      </c>
      <c r="D16494" t="str">
        <f>"1377"</f>
        <v>1377</v>
      </c>
      <c r="E16494" t="s">
        <v>74</v>
      </c>
      <c r="F16494" t="s">
        <v>15183</v>
      </c>
      <c r="G16494" t="s">
        <v>47094</v>
      </c>
      <c r="H16494" t="s">
        <v>47055</v>
      </c>
      <c r="I16494" t="s">
        <v>47127</v>
      </c>
      <c r="J16494" t="s">
        <v>47128</v>
      </c>
      <c r="K16494" t="s">
        <v>47113</v>
      </c>
      <c r="L16494">
        <v>40.51</v>
      </c>
      <c r="M16494">
        <v>65</v>
      </c>
      <c r="N16494">
        <v>0</v>
      </c>
      <c r="O16494">
        <v>65</v>
      </c>
      <c r="P16494">
        <v>0</v>
      </c>
    </row>
    <row r="16495" spans="1:16" x14ac:dyDescent="0.25">
      <c r="A16495" t="s">
        <v>39094</v>
      </c>
      <c r="B16495" t="s">
        <v>18312</v>
      </c>
      <c r="C16495" t="s">
        <v>16546</v>
      </c>
      <c r="D16495" t="str">
        <f>"1378"</f>
        <v>1378</v>
      </c>
      <c r="E16495" t="s">
        <v>388</v>
      </c>
      <c r="F16495" t="s">
        <v>15183</v>
      </c>
      <c r="G16495" t="s">
        <v>47094</v>
      </c>
      <c r="H16495" t="s">
        <v>47055</v>
      </c>
      <c r="I16495" t="s">
        <v>47127</v>
      </c>
      <c r="J16495" t="s">
        <v>47128</v>
      </c>
      <c r="K16495" t="s">
        <v>47113</v>
      </c>
      <c r="L16495">
        <v>40.51</v>
      </c>
      <c r="M16495">
        <v>65</v>
      </c>
      <c r="N16495">
        <v>0</v>
      </c>
      <c r="O16495">
        <v>65</v>
      </c>
      <c r="P16495">
        <v>0</v>
      </c>
    </row>
    <row r="16496" spans="1:16" x14ac:dyDescent="0.25">
      <c r="A16496" t="s">
        <v>39095</v>
      </c>
      <c r="B16496" t="s">
        <v>18312</v>
      </c>
      <c r="C16496" t="s">
        <v>16546</v>
      </c>
      <c r="D16496" t="str">
        <f>"1704"</f>
        <v>1704</v>
      </c>
      <c r="E16496" t="s">
        <v>7181</v>
      </c>
      <c r="F16496" t="s">
        <v>15183</v>
      </c>
      <c r="G16496" t="s">
        <v>47094</v>
      </c>
      <c r="H16496" t="s">
        <v>47055</v>
      </c>
      <c r="I16496" t="s">
        <v>47127</v>
      </c>
      <c r="J16496" t="s">
        <v>47128</v>
      </c>
      <c r="K16496" t="s">
        <v>47113</v>
      </c>
      <c r="L16496">
        <v>40.51</v>
      </c>
      <c r="M16496">
        <v>65</v>
      </c>
      <c r="N16496">
        <v>0</v>
      </c>
      <c r="O16496">
        <v>65</v>
      </c>
      <c r="P16496">
        <v>0</v>
      </c>
    </row>
    <row r="16497" spans="1:16" x14ac:dyDescent="0.25">
      <c r="A16497" t="s">
        <v>39096</v>
      </c>
      <c r="B16497" t="s">
        <v>18312</v>
      </c>
      <c r="C16497" t="s">
        <v>16546</v>
      </c>
      <c r="D16497" t="str">
        <f>"4000"</f>
        <v>4000</v>
      </c>
      <c r="E16497" t="s">
        <v>16537</v>
      </c>
      <c r="F16497" t="s">
        <v>15183</v>
      </c>
      <c r="G16497" t="s">
        <v>47094</v>
      </c>
      <c r="H16497" t="s">
        <v>47055</v>
      </c>
      <c r="I16497" t="s">
        <v>47127</v>
      </c>
      <c r="J16497" t="s">
        <v>47128</v>
      </c>
      <c r="K16497" t="s">
        <v>47113</v>
      </c>
      <c r="L16497">
        <v>40.51</v>
      </c>
      <c r="M16497">
        <v>65</v>
      </c>
      <c r="N16497">
        <v>0</v>
      </c>
      <c r="O16497">
        <v>65</v>
      </c>
      <c r="P16497">
        <v>0</v>
      </c>
    </row>
    <row r="16498" spans="1:16" x14ac:dyDescent="0.25">
      <c r="A16498" t="s">
        <v>39097</v>
      </c>
      <c r="B16498" t="s">
        <v>18312</v>
      </c>
      <c r="C16498" t="s">
        <v>16546</v>
      </c>
      <c r="D16498" t="str">
        <f>"4921"</f>
        <v>4921</v>
      </c>
      <c r="E16498" t="s">
        <v>4156</v>
      </c>
      <c r="F16498" t="s">
        <v>15183</v>
      </c>
      <c r="G16498" t="s">
        <v>47094</v>
      </c>
      <c r="H16498" t="s">
        <v>47055</v>
      </c>
      <c r="I16498" t="s">
        <v>47127</v>
      </c>
      <c r="J16498" t="s">
        <v>47128</v>
      </c>
      <c r="K16498" t="s">
        <v>47113</v>
      </c>
      <c r="L16498">
        <v>40.51</v>
      </c>
      <c r="M16498">
        <v>65</v>
      </c>
      <c r="N16498">
        <v>0</v>
      </c>
      <c r="O16498">
        <v>65</v>
      </c>
      <c r="P16498">
        <v>0</v>
      </c>
    </row>
    <row r="16499" spans="1:16" x14ac:dyDescent="0.25">
      <c r="A16499" t="s">
        <v>39098</v>
      </c>
      <c r="B16499" t="s">
        <v>18313</v>
      </c>
      <c r="C16499" t="s">
        <v>10990</v>
      </c>
      <c r="D16499" t="str">
        <f>"1001"</f>
        <v>1001</v>
      </c>
      <c r="E16499" t="s">
        <v>42</v>
      </c>
      <c r="F16499" t="s">
        <v>15183</v>
      </c>
      <c r="G16499" t="s">
        <v>47094</v>
      </c>
      <c r="H16499" t="s">
        <v>47055</v>
      </c>
      <c r="I16499" t="s">
        <v>47127</v>
      </c>
      <c r="J16499" t="s">
        <v>47128</v>
      </c>
      <c r="K16499" t="s">
        <v>47113</v>
      </c>
      <c r="L16499">
        <v>36.01</v>
      </c>
      <c r="M16499">
        <v>59</v>
      </c>
      <c r="N16499">
        <v>0</v>
      </c>
      <c r="O16499">
        <v>59</v>
      </c>
      <c r="P16499">
        <v>0</v>
      </c>
    </row>
    <row r="16500" spans="1:16" x14ac:dyDescent="0.25">
      <c r="A16500" t="s">
        <v>39099</v>
      </c>
      <c r="B16500" t="s">
        <v>18313</v>
      </c>
      <c r="C16500" t="s">
        <v>10990</v>
      </c>
      <c r="D16500" t="str">
        <f>"1200"</f>
        <v>1200</v>
      </c>
      <c r="E16500" t="s">
        <v>16534</v>
      </c>
      <c r="F16500" t="s">
        <v>15183</v>
      </c>
      <c r="G16500" t="s">
        <v>47094</v>
      </c>
      <c r="H16500" t="s">
        <v>47055</v>
      </c>
      <c r="I16500" t="s">
        <v>47127</v>
      </c>
      <c r="J16500" t="s">
        <v>47128</v>
      </c>
      <c r="K16500" t="s">
        <v>47113</v>
      </c>
      <c r="L16500">
        <v>36.01</v>
      </c>
      <c r="M16500">
        <v>59</v>
      </c>
      <c r="N16500">
        <v>0</v>
      </c>
      <c r="O16500">
        <v>59</v>
      </c>
      <c r="P16500">
        <v>0</v>
      </c>
    </row>
    <row r="16501" spans="1:16" x14ac:dyDescent="0.25">
      <c r="A16501" t="s">
        <v>39100</v>
      </c>
      <c r="B16501" t="s">
        <v>18313</v>
      </c>
      <c r="C16501" t="s">
        <v>10990</v>
      </c>
      <c r="D16501" t="str">
        <f>"1377"</f>
        <v>1377</v>
      </c>
      <c r="E16501" t="s">
        <v>74</v>
      </c>
      <c r="F16501" t="s">
        <v>15183</v>
      </c>
      <c r="G16501" t="s">
        <v>47094</v>
      </c>
      <c r="H16501" t="s">
        <v>47055</v>
      </c>
      <c r="I16501" t="s">
        <v>47127</v>
      </c>
      <c r="J16501" t="s">
        <v>47128</v>
      </c>
      <c r="K16501" t="s">
        <v>47113</v>
      </c>
      <c r="L16501">
        <v>36.01</v>
      </c>
      <c r="M16501">
        <v>59</v>
      </c>
      <c r="N16501">
        <v>0</v>
      </c>
      <c r="O16501">
        <v>59</v>
      </c>
      <c r="P16501">
        <v>0</v>
      </c>
    </row>
    <row r="16502" spans="1:16" x14ac:dyDescent="0.25">
      <c r="A16502" t="s">
        <v>39101</v>
      </c>
      <c r="B16502" t="s">
        <v>18313</v>
      </c>
      <c r="C16502" t="s">
        <v>10990</v>
      </c>
      <c r="D16502" t="str">
        <f>"1378"</f>
        <v>1378</v>
      </c>
      <c r="E16502" t="s">
        <v>388</v>
      </c>
      <c r="F16502" t="s">
        <v>15183</v>
      </c>
      <c r="G16502" t="s">
        <v>47094</v>
      </c>
      <c r="H16502" t="s">
        <v>47055</v>
      </c>
      <c r="I16502" t="s">
        <v>47127</v>
      </c>
      <c r="J16502" t="s">
        <v>47128</v>
      </c>
      <c r="K16502" t="s">
        <v>47113</v>
      </c>
      <c r="L16502">
        <v>36.01</v>
      </c>
      <c r="M16502">
        <v>59</v>
      </c>
      <c r="N16502">
        <v>0</v>
      </c>
      <c r="O16502">
        <v>59</v>
      </c>
      <c r="P16502">
        <v>0</v>
      </c>
    </row>
    <row r="16503" spans="1:16" x14ac:dyDescent="0.25">
      <c r="A16503" t="s">
        <v>39102</v>
      </c>
      <c r="B16503" t="s">
        <v>18313</v>
      </c>
      <c r="C16503" t="s">
        <v>10990</v>
      </c>
      <c r="D16503" t="str">
        <f>"1704"</f>
        <v>1704</v>
      </c>
      <c r="E16503" t="s">
        <v>7181</v>
      </c>
      <c r="F16503" t="s">
        <v>15183</v>
      </c>
      <c r="G16503" t="s">
        <v>47094</v>
      </c>
      <c r="H16503" t="s">
        <v>47055</v>
      </c>
      <c r="I16503" t="s">
        <v>47127</v>
      </c>
      <c r="J16503" t="s">
        <v>47128</v>
      </c>
      <c r="K16503" t="s">
        <v>47113</v>
      </c>
      <c r="L16503">
        <v>36.01</v>
      </c>
      <c r="M16503">
        <v>59</v>
      </c>
      <c r="N16503">
        <v>0</v>
      </c>
      <c r="O16503">
        <v>59</v>
      </c>
      <c r="P16503">
        <v>0</v>
      </c>
    </row>
    <row r="16504" spans="1:16" x14ac:dyDescent="0.25">
      <c r="A16504" t="s">
        <v>39103</v>
      </c>
      <c r="B16504" t="s">
        <v>18313</v>
      </c>
      <c r="C16504" t="s">
        <v>10990</v>
      </c>
      <c r="D16504" t="str">
        <f>"4000"</f>
        <v>4000</v>
      </c>
      <c r="E16504" t="s">
        <v>16537</v>
      </c>
      <c r="F16504" t="s">
        <v>15183</v>
      </c>
      <c r="G16504" t="s">
        <v>47094</v>
      </c>
      <c r="H16504" t="s">
        <v>47055</v>
      </c>
      <c r="I16504" t="s">
        <v>47127</v>
      </c>
      <c r="J16504" t="s">
        <v>47128</v>
      </c>
      <c r="K16504" t="s">
        <v>47113</v>
      </c>
      <c r="L16504">
        <v>36.01</v>
      </c>
      <c r="M16504">
        <v>59</v>
      </c>
      <c r="N16504">
        <v>0</v>
      </c>
      <c r="O16504">
        <v>59</v>
      </c>
      <c r="P16504">
        <v>0</v>
      </c>
    </row>
    <row r="16505" spans="1:16" x14ac:dyDescent="0.25">
      <c r="A16505" t="s">
        <v>39104</v>
      </c>
      <c r="B16505" t="s">
        <v>18313</v>
      </c>
      <c r="C16505" t="s">
        <v>10990</v>
      </c>
      <c r="D16505" t="str">
        <f>"4921"</f>
        <v>4921</v>
      </c>
      <c r="E16505" t="s">
        <v>4156</v>
      </c>
      <c r="F16505" t="s">
        <v>15183</v>
      </c>
      <c r="G16505" t="s">
        <v>47094</v>
      </c>
      <c r="H16505" t="s">
        <v>47055</v>
      </c>
      <c r="I16505" t="s">
        <v>47127</v>
      </c>
      <c r="J16505" t="s">
        <v>47128</v>
      </c>
      <c r="K16505" t="s">
        <v>47113</v>
      </c>
      <c r="L16505">
        <v>36.01</v>
      </c>
      <c r="M16505">
        <v>59</v>
      </c>
      <c r="N16505">
        <v>0</v>
      </c>
      <c r="O16505">
        <v>59</v>
      </c>
      <c r="P16505">
        <v>0</v>
      </c>
    </row>
    <row r="16506" spans="1:16" x14ac:dyDescent="0.25">
      <c r="A16506" t="s">
        <v>39105</v>
      </c>
      <c r="B16506" t="s">
        <v>18314</v>
      </c>
      <c r="C16506" t="s">
        <v>2173</v>
      </c>
      <c r="D16506" t="str">
        <f>"1001"</f>
        <v>1001</v>
      </c>
      <c r="E16506" t="s">
        <v>42</v>
      </c>
      <c r="F16506" t="s">
        <v>15183</v>
      </c>
      <c r="G16506" t="s">
        <v>47099</v>
      </c>
      <c r="H16506" t="s">
        <v>47055</v>
      </c>
      <c r="I16506" t="s">
        <v>47127</v>
      </c>
      <c r="J16506" t="s">
        <v>47128</v>
      </c>
      <c r="K16506" t="s">
        <v>47113</v>
      </c>
      <c r="L16506">
        <v>29.25</v>
      </c>
      <c r="M16506">
        <v>48</v>
      </c>
      <c r="N16506">
        <v>0</v>
      </c>
      <c r="O16506">
        <v>48</v>
      </c>
      <c r="P16506">
        <v>0</v>
      </c>
    </row>
    <row r="16507" spans="1:16" x14ac:dyDescent="0.25">
      <c r="A16507" t="s">
        <v>39106</v>
      </c>
      <c r="B16507" t="s">
        <v>18314</v>
      </c>
      <c r="C16507" t="s">
        <v>2173</v>
      </c>
      <c r="D16507" t="str">
        <f>"1200"</f>
        <v>1200</v>
      </c>
      <c r="E16507" t="s">
        <v>16534</v>
      </c>
      <c r="F16507" t="s">
        <v>15183</v>
      </c>
      <c r="G16507" t="s">
        <v>47099</v>
      </c>
      <c r="H16507" t="s">
        <v>47055</v>
      </c>
      <c r="I16507" t="s">
        <v>47127</v>
      </c>
      <c r="J16507" t="s">
        <v>47128</v>
      </c>
      <c r="K16507" t="s">
        <v>47113</v>
      </c>
      <c r="L16507">
        <v>29.25</v>
      </c>
      <c r="M16507">
        <v>48</v>
      </c>
      <c r="N16507">
        <v>0</v>
      </c>
      <c r="O16507">
        <v>48</v>
      </c>
      <c r="P16507">
        <v>0</v>
      </c>
    </row>
    <row r="16508" spans="1:16" x14ac:dyDescent="0.25">
      <c r="A16508" t="s">
        <v>39107</v>
      </c>
      <c r="B16508" t="s">
        <v>18314</v>
      </c>
      <c r="C16508" t="s">
        <v>2173</v>
      </c>
      <c r="D16508" t="str">
        <f>"1377"</f>
        <v>1377</v>
      </c>
      <c r="E16508" t="s">
        <v>74</v>
      </c>
      <c r="F16508" t="s">
        <v>15183</v>
      </c>
      <c r="G16508" t="s">
        <v>47099</v>
      </c>
      <c r="H16508" t="s">
        <v>47055</v>
      </c>
      <c r="I16508" t="s">
        <v>47127</v>
      </c>
      <c r="J16508" t="s">
        <v>47128</v>
      </c>
      <c r="K16508" t="s">
        <v>47113</v>
      </c>
      <c r="L16508">
        <v>29.25</v>
      </c>
      <c r="M16508">
        <v>48</v>
      </c>
      <c r="N16508">
        <v>0</v>
      </c>
      <c r="O16508">
        <v>48</v>
      </c>
      <c r="P16508">
        <v>0</v>
      </c>
    </row>
    <row r="16509" spans="1:16" x14ac:dyDescent="0.25">
      <c r="A16509" t="s">
        <v>39108</v>
      </c>
      <c r="B16509" t="s">
        <v>18314</v>
      </c>
      <c r="C16509" t="s">
        <v>2173</v>
      </c>
      <c r="D16509" t="str">
        <f>"1378"</f>
        <v>1378</v>
      </c>
      <c r="E16509" t="s">
        <v>388</v>
      </c>
      <c r="F16509" t="s">
        <v>15183</v>
      </c>
      <c r="G16509" t="s">
        <v>47099</v>
      </c>
      <c r="H16509" t="s">
        <v>47055</v>
      </c>
      <c r="I16509" t="s">
        <v>47127</v>
      </c>
      <c r="J16509" t="s">
        <v>47128</v>
      </c>
      <c r="K16509" t="s">
        <v>47113</v>
      </c>
      <c r="L16509">
        <v>29.25</v>
      </c>
      <c r="M16509">
        <v>48</v>
      </c>
      <c r="N16509">
        <v>0</v>
      </c>
      <c r="O16509">
        <v>48</v>
      </c>
      <c r="P16509">
        <v>0</v>
      </c>
    </row>
    <row r="16510" spans="1:16" x14ac:dyDescent="0.25">
      <c r="A16510" t="s">
        <v>39109</v>
      </c>
      <c r="B16510" t="s">
        <v>18314</v>
      </c>
      <c r="C16510" t="s">
        <v>2173</v>
      </c>
      <c r="D16510" t="str">
        <f>"1704"</f>
        <v>1704</v>
      </c>
      <c r="E16510" t="s">
        <v>7181</v>
      </c>
      <c r="F16510" t="s">
        <v>15183</v>
      </c>
      <c r="G16510" t="s">
        <v>47099</v>
      </c>
      <c r="H16510" t="s">
        <v>47055</v>
      </c>
      <c r="I16510" t="s">
        <v>47127</v>
      </c>
      <c r="J16510" t="s">
        <v>47128</v>
      </c>
      <c r="K16510" t="s">
        <v>47113</v>
      </c>
      <c r="L16510">
        <v>29.25</v>
      </c>
      <c r="M16510">
        <v>48</v>
      </c>
      <c r="N16510">
        <v>0</v>
      </c>
      <c r="O16510">
        <v>48</v>
      </c>
      <c r="P16510">
        <v>0</v>
      </c>
    </row>
    <row r="16511" spans="1:16" x14ac:dyDescent="0.25">
      <c r="A16511" t="s">
        <v>39110</v>
      </c>
      <c r="B16511" t="s">
        <v>18314</v>
      </c>
      <c r="C16511" t="s">
        <v>2173</v>
      </c>
      <c r="D16511" t="str">
        <f>"4000"</f>
        <v>4000</v>
      </c>
      <c r="E16511" t="s">
        <v>16537</v>
      </c>
      <c r="F16511" t="s">
        <v>15183</v>
      </c>
      <c r="G16511" t="s">
        <v>47099</v>
      </c>
      <c r="H16511" t="s">
        <v>47055</v>
      </c>
      <c r="I16511" t="s">
        <v>47127</v>
      </c>
      <c r="J16511" t="s">
        <v>47128</v>
      </c>
      <c r="K16511" t="s">
        <v>47113</v>
      </c>
      <c r="L16511">
        <v>29.25</v>
      </c>
      <c r="M16511">
        <v>48</v>
      </c>
      <c r="N16511">
        <v>0</v>
      </c>
      <c r="O16511">
        <v>48</v>
      </c>
      <c r="P16511">
        <v>0</v>
      </c>
    </row>
    <row r="16512" spans="1:16" x14ac:dyDescent="0.25">
      <c r="A16512" t="s">
        <v>39111</v>
      </c>
      <c r="B16512" t="s">
        <v>18314</v>
      </c>
      <c r="C16512" t="s">
        <v>2173</v>
      </c>
      <c r="D16512" t="str">
        <f>"4921"</f>
        <v>4921</v>
      </c>
      <c r="E16512" t="s">
        <v>4156</v>
      </c>
      <c r="F16512" t="s">
        <v>15183</v>
      </c>
      <c r="G16512" t="s">
        <v>47099</v>
      </c>
      <c r="H16512" t="s">
        <v>47055</v>
      </c>
      <c r="I16512" t="s">
        <v>47127</v>
      </c>
      <c r="J16512" t="s">
        <v>47128</v>
      </c>
      <c r="K16512" t="s">
        <v>47113</v>
      </c>
      <c r="L16512">
        <v>29.25</v>
      </c>
      <c r="M16512">
        <v>48</v>
      </c>
      <c r="N16512">
        <v>0</v>
      </c>
      <c r="O16512">
        <v>48</v>
      </c>
      <c r="P16512">
        <v>0</v>
      </c>
    </row>
    <row r="16513" spans="1:16" x14ac:dyDescent="0.25">
      <c r="A16513" t="s">
        <v>39112</v>
      </c>
      <c r="B16513" t="s">
        <v>18315</v>
      </c>
      <c r="C16513" t="s">
        <v>10990</v>
      </c>
      <c r="D16513" t="str">
        <f>"1001"</f>
        <v>1001</v>
      </c>
      <c r="E16513" t="s">
        <v>42</v>
      </c>
      <c r="F16513" t="s">
        <v>15183</v>
      </c>
      <c r="G16513" t="s">
        <v>47094</v>
      </c>
      <c r="H16513" t="s">
        <v>47055</v>
      </c>
      <c r="I16513" t="s">
        <v>47127</v>
      </c>
      <c r="J16513" t="s">
        <v>47128</v>
      </c>
      <c r="K16513" t="s">
        <v>47113</v>
      </c>
      <c r="L16513">
        <v>33.76</v>
      </c>
      <c r="M16513">
        <v>55</v>
      </c>
      <c r="N16513">
        <v>0</v>
      </c>
      <c r="O16513">
        <v>55</v>
      </c>
      <c r="P16513">
        <v>0</v>
      </c>
    </row>
    <row r="16514" spans="1:16" x14ac:dyDescent="0.25">
      <c r="A16514" t="s">
        <v>39113</v>
      </c>
      <c r="B16514" t="s">
        <v>18315</v>
      </c>
      <c r="C16514" t="s">
        <v>10990</v>
      </c>
      <c r="D16514" t="str">
        <f>"1200"</f>
        <v>1200</v>
      </c>
      <c r="E16514" t="s">
        <v>16534</v>
      </c>
      <c r="F16514" t="s">
        <v>15183</v>
      </c>
      <c r="G16514" t="s">
        <v>47094</v>
      </c>
      <c r="H16514" t="s">
        <v>47055</v>
      </c>
      <c r="I16514" t="s">
        <v>47127</v>
      </c>
      <c r="J16514" t="s">
        <v>47128</v>
      </c>
      <c r="K16514" t="s">
        <v>47113</v>
      </c>
      <c r="L16514">
        <v>33.76</v>
      </c>
      <c r="M16514">
        <v>55</v>
      </c>
      <c r="N16514">
        <v>0</v>
      </c>
      <c r="O16514">
        <v>55</v>
      </c>
      <c r="P16514">
        <v>0</v>
      </c>
    </row>
    <row r="16515" spans="1:16" x14ac:dyDescent="0.25">
      <c r="A16515" t="s">
        <v>39114</v>
      </c>
      <c r="B16515" t="s">
        <v>18315</v>
      </c>
      <c r="C16515" t="s">
        <v>10990</v>
      </c>
      <c r="D16515" t="str">
        <f>"1377"</f>
        <v>1377</v>
      </c>
      <c r="E16515" t="s">
        <v>74</v>
      </c>
      <c r="F16515" t="s">
        <v>15183</v>
      </c>
      <c r="G16515" t="s">
        <v>47094</v>
      </c>
      <c r="H16515" t="s">
        <v>47055</v>
      </c>
      <c r="I16515" t="s">
        <v>47127</v>
      </c>
      <c r="J16515" t="s">
        <v>47128</v>
      </c>
      <c r="K16515" t="s">
        <v>47113</v>
      </c>
      <c r="L16515">
        <v>33.76</v>
      </c>
      <c r="M16515">
        <v>55</v>
      </c>
      <c r="N16515">
        <v>0</v>
      </c>
      <c r="O16515">
        <v>55</v>
      </c>
      <c r="P16515">
        <v>0</v>
      </c>
    </row>
    <row r="16516" spans="1:16" x14ac:dyDescent="0.25">
      <c r="A16516" t="s">
        <v>39115</v>
      </c>
      <c r="B16516" t="s">
        <v>18315</v>
      </c>
      <c r="C16516" t="s">
        <v>10990</v>
      </c>
      <c r="D16516" t="str">
        <f>"1378"</f>
        <v>1378</v>
      </c>
      <c r="E16516" t="s">
        <v>388</v>
      </c>
      <c r="F16516" t="s">
        <v>15183</v>
      </c>
      <c r="G16516" t="s">
        <v>47094</v>
      </c>
      <c r="H16516" t="s">
        <v>47055</v>
      </c>
      <c r="I16516" t="s">
        <v>47127</v>
      </c>
      <c r="J16516" t="s">
        <v>47128</v>
      </c>
      <c r="K16516" t="s">
        <v>47113</v>
      </c>
      <c r="L16516">
        <v>33.76</v>
      </c>
      <c r="M16516">
        <v>55</v>
      </c>
      <c r="N16516">
        <v>0</v>
      </c>
      <c r="O16516">
        <v>55</v>
      </c>
      <c r="P16516">
        <v>0</v>
      </c>
    </row>
    <row r="16517" spans="1:16" x14ac:dyDescent="0.25">
      <c r="A16517" t="s">
        <v>39116</v>
      </c>
      <c r="B16517" t="s">
        <v>18315</v>
      </c>
      <c r="C16517" t="s">
        <v>10990</v>
      </c>
      <c r="D16517" t="str">
        <f>"1704"</f>
        <v>1704</v>
      </c>
      <c r="E16517" t="s">
        <v>7181</v>
      </c>
      <c r="F16517" t="s">
        <v>15183</v>
      </c>
      <c r="G16517" t="s">
        <v>47094</v>
      </c>
      <c r="H16517" t="s">
        <v>47055</v>
      </c>
      <c r="I16517" t="s">
        <v>47127</v>
      </c>
      <c r="J16517" t="s">
        <v>47128</v>
      </c>
      <c r="K16517" t="s">
        <v>47113</v>
      </c>
      <c r="L16517">
        <v>33.76</v>
      </c>
      <c r="M16517">
        <v>55</v>
      </c>
      <c r="N16517">
        <v>0</v>
      </c>
      <c r="O16517">
        <v>55</v>
      </c>
      <c r="P16517">
        <v>0</v>
      </c>
    </row>
    <row r="16518" spans="1:16" x14ac:dyDescent="0.25">
      <c r="A16518" t="s">
        <v>39117</v>
      </c>
      <c r="B16518" t="s">
        <v>18315</v>
      </c>
      <c r="C16518" t="s">
        <v>10990</v>
      </c>
      <c r="D16518" t="str">
        <f>"4000"</f>
        <v>4000</v>
      </c>
      <c r="E16518" t="s">
        <v>16537</v>
      </c>
      <c r="F16518" t="s">
        <v>15183</v>
      </c>
      <c r="G16518" t="s">
        <v>47094</v>
      </c>
      <c r="H16518" t="s">
        <v>47055</v>
      </c>
      <c r="I16518" t="s">
        <v>47127</v>
      </c>
      <c r="J16518" t="s">
        <v>47128</v>
      </c>
      <c r="K16518" t="s">
        <v>47113</v>
      </c>
      <c r="L16518">
        <v>33.76</v>
      </c>
      <c r="M16518">
        <v>55</v>
      </c>
      <c r="N16518">
        <v>0</v>
      </c>
      <c r="O16518">
        <v>55</v>
      </c>
      <c r="P16518">
        <v>0</v>
      </c>
    </row>
    <row r="16519" spans="1:16" x14ac:dyDescent="0.25">
      <c r="A16519" t="s">
        <v>39118</v>
      </c>
      <c r="B16519" t="s">
        <v>18315</v>
      </c>
      <c r="C16519" t="s">
        <v>10990</v>
      </c>
      <c r="D16519" t="str">
        <f>"4921"</f>
        <v>4921</v>
      </c>
      <c r="E16519" t="s">
        <v>4156</v>
      </c>
      <c r="F16519" t="s">
        <v>15183</v>
      </c>
      <c r="G16519" t="s">
        <v>47094</v>
      </c>
      <c r="H16519" t="s">
        <v>47055</v>
      </c>
      <c r="I16519" t="s">
        <v>47127</v>
      </c>
      <c r="J16519" t="s">
        <v>47128</v>
      </c>
      <c r="K16519" t="s">
        <v>47113</v>
      </c>
      <c r="L16519">
        <v>33.76</v>
      </c>
      <c r="M16519">
        <v>55</v>
      </c>
      <c r="N16519">
        <v>0</v>
      </c>
      <c r="O16519">
        <v>55</v>
      </c>
      <c r="P16519">
        <v>0</v>
      </c>
    </row>
    <row r="16520" spans="1:16" x14ac:dyDescent="0.25">
      <c r="A16520" t="s">
        <v>39119</v>
      </c>
      <c r="B16520" t="s">
        <v>18316</v>
      </c>
      <c r="C16520" t="s">
        <v>18317</v>
      </c>
      <c r="D16520" t="str">
        <f>"1001"</f>
        <v>1001</v>
      </c>
      <c r="E16520" t="s">
        <v>42</v>
      </c>
      <c r="F16520" t="s">
        <v>15183</v>
      </c>
      <c r="G16520" t="s">
        <v>47091</v>
      </c>
      <c r="H16520" t="s">
        <v>47055</v>
      </c>
      <c r="I16520" t="s">
        <v>47127</v>
      </c>
      <c r="J16520" t="s">
        <v>47128</v>
      </c>
      <c r="K16520" t="s">
        <v>47113</v>
      </c>
      <c r="L16520">
        <v>29.25</v>
      </c>
      <c r="M16520">
        <v>45</v>
      </c>
      <c r="N16520">
        <v>0</v>
      </c>
      <c r="O16520">
        <v>45</v>
      </c>
      <c r="P16520">
        <v>0</v>
      </c>
    </row>
    <row r="16521" spans="1:16" x14ac:dyDescent="0.25">
      <c r="A16521" t="s">
        <v>39120</v>
      </c>
      <c r="B16521" t="s">
        <v>18316</v>
      </c>
      <c r="C16521" t="s">
        <v>18317</v>
      </c>
      <c r="D16521" t="str">
        <f>"1200"</f>
        <v>1200</v>
      </c>
      <c r="E16521" t="s">
        <v>16534</v>
      </c>
      <c r="F16521" t="s">
        <v>15183</v>
      </c>
      <c r="G16521" t="s">
        <v>47091</v>
      </c>
      <c r="H16521" t="s">
        <v>47055</v>
      </c>
      <c r="I16521" t="s">
        <v>47127</v>
      </c>
      <c r="J16521" t="s">
        <v>47128</v>
      </c>
      <c r="K16521" t="s">
        <v>47113</v>
      </c>
      <c r="L16521">
        <v>29.25</v>
      </c>
      <c r="M16521">
        <v>45</v>
      </c>
      <c r="N16521">
        <v>0</v>
      </c>
      <c r="O16521">
        <v>45</v>
      </c>
      <c r="P16521">
        <v>0</v>
      </c>
    </row>
    <row r="16522" spans="1:16" x14ac:dyDescent="0.25">
      <c r="A16522" t="s">
        <v>39121</v>
      </c>
      <c r="B16522" t="s">
        <v>18316</v>
      </c>
      <c r="C16522" t="s">
        <v>18317</v>
      </c>
      <c r="D16522" t="str">
        <f>"1377"</f>
        <v>1377</v>
      </c>
      <c r="E16522" t="s">
        <v>74</v>
      </c>
      <c r="F16522" t="s">
        <v>15183</v>
      </c>
      <c r="G16522" t="s">
        <v>47091</v>
      </c>
      <c r="H16522" t="s">
        <v>47055</v>
      </c>
      <c r="I16522" t="s">
        <v>47127</v>
      </c>
      <c r="J16522" t="s">
        <v>47128</v>
      </c>
      <c r="K16522" t="s">
        <v>47113</v>
      </c>
      <c r="L16522">
        <v>29.25</v>
      </c>
      <c r="M16522">
        <v>45</v>
      </c>
      <c r="N16522">
        <v>0</v>
      </c>
      <c r="O16522">
        <v>45</v>
      </c>
      <c r="P16522">
        <v>0</v>
      </c>
    </row>
    <row r="16523" spans="1:16" x14ac:dyDescent="0.25">
      <c r="A16523" t="s">
        <v>39122</v>
      </c>
      <c r="B16523" t="s">
        <v>18316</v>
      </c>
      <c r="C16523" t="s">
        <v>18317</v>
      </c>
      <c r="D16523" t="str">
        <f>"1378"</f>
        <v>1378</v>
      </c>
      <c r="E16523" t="s">
        <v>388</v>
      </c>
      <c r="F16523" t="s">
        <v>15183</v>
      </c>
      <c r="G16523" t="s">
        <v>47091</v>
      </c>
      <c r="H16523" t="s">
        <v>47055</v>
      </c>
      <c r="I16523" t="s">
        <v>47127</v>
      </c>
      <c r="J16523" t="s">
        <v>47128</v>
      </c>
      <c r="K16523" t="s">
        <v>47113</v>
      </c>
      <c r="L16523">
        <v>29.25</v>
      </c>
      <c r="M16523">
        <v>45</v>
      </c>
      <c r="N16523">
        <v>0</v>
      </c>
      <c r="O16523">
        <v>45</v>
      </c>
      <c r="P16523">
        <v>0</v>
      </c>
    </row>
    <row r="16524" spans="1:16" x14ac:dyDescent="0.25">
      <c r="A16524" t="s">
        <v>39123</v>
      </c>
      <c r="B16524" t="s">
        <v>18316</v>
      </c>
      <c r="C16524" t="s">
        <v>18317</v>
      </c>
      <c r="D16524" t="str">
        <f>"1704"</f>
        <v>1704</v>
      </c>
      <c r="E16524" t="s">
        <v>7181</v>
      </c>
      <c r="F16524" t="s">
        <v>15183</v>
      </c>
      <c r="G16524" t="s">
        <v>47091</v>
      </c>
      <c r="H16524" t="s">
        <v>47055</v>
      </c>
      <c r="I16524" t="s">
        <v>47127</v>
      </c>
      <c r="J16524" t="s">
        <v>47128</v>
      </c>
      <c r="K16524" t="s">
        <v>47113</v>
      </c>
      <c r="L16524">
        <v>29.25</v>
      </c>
      <c r="M16524">
        <v>45</v>
      </c>
      <c r="N16524">
        <v>0</v>
      </c>
      <c r="O16524">
        <v>45</v>
      </c>
      <c r="P16524">
        <v>0</v>
      </c>
    </row>
    <row r="16525" spans="1:16" x14ac:dyDescent="0.25">
      <c r="A16525" t="s">
        <v>39124</v>
      </c>
      <c r="B16525" t="s">
        <v>18316</v>
      </c>
      <c r="C16525" t="s">
        <v>18317</v>
      </c>
      <c r="D16525" t="str">
        <f>"4000"</f>
        <v>4000</v>
      </c>
      <c r="E16525" t="s">
        <v>16537</v>
      </c>
      <c r="F16525" t="s">
        <v>15183</v>
      </c>
      <c r="G16525" t="s">
        <v>47091</v>
      </c>
      <c r="H16525" t="s">
        <v>47055</v>
      </c>
      <c r="I16525" t="s">
        <v>47127</v>
      </c>
      <c r="J16525" t="s">
        <v>47128</v>
      </c>
      <c r="K16525" t="s">
        <v>47113</v>
      </c>
      <c r="L16525">
        <v>29.25</v>
      </c>
      <c r="M16525">
        <v>45</v>
      </c>
      <c r="N16525">
        <v>0</v>
      </c>
      <c r="O16525">
        <v>45</v>
      </c>
      <c r="P16525">
        <v>0</v>
      </c>
    </row>
    <row r="16526" spans="1:16" x14ac:dyDescent="0.25">
      <c r="A16526" t="s">
        <v>39125</v>
      </c>
      <c r="B16526" t="s">
        <v>18316</v>
      </c>
      <c r="C16526" t="s">
        <v>18317</v>
      </c>
      <c r="D16526" t="str">
        <f>"4921"</f>
        <v>4921</v>
      </c>
      <c r="E16526" t="s">
        <v>4156</v>
      </c>
      <c r="F16526" t="s">
        <v>15183</v>
      </c>
      <c r="G16526" t="s">
        <v>47091</v>
      </c>
      <c r="H16526" t="s">
        <v>47055</v>
      </c>
      <c r="I16526" t="s">
        <v>47127</v>
      </c>
      <c r="J16526" t="s">
        <v>47128</v>
      </c>
      <c r="K16526" t="s">
        <v>47113</v>
      </c>
      <c r="L16526">
        <v>29.25</v>
      </c>
      <c r="M16526">
        <v>45</v>
      </c>
      <c r="N16526">
        <v>0</v>
      </c>
      <c r="O16526">
        <v>45</v>
      </c>
      <c r="P16526">
        <v>0</v>
      </c>
    </row>
    <row r="16527" spans="1:16" x14ac:dyDescent="0.25">
      <c r="A16527" t="s">
        <v>39126</v>
      </c>
      <c r="B16527" t="s">
        <v>18318</v>
      </c>
      <c r="C16527" t="s">
        <v>2173</v>
      </c>
      <c r="D16527" t="str">
        <f>"1001"</f>
        <v>1001</v>
      </c>
      <c r="E16527" t="s">
        <v>42</v>
      </c>
      <c r="F16527" t="s">
        <v>15183</v>
      </c>
      <c r="G16527" t="s">
        <v>47099</v>
      </c>
      <c r="H16527" t="s">
        <v>47055</v>
      </c>
      <c r="I16527" t="s">
        <v>47127</v>
      </c>
      <c r="J16527" t="s">
        <v>47128</v>
      </c>
      <c r="K16527" t="s">
        <v>47113</v>
      </c>
      <c r="L16527">
        <v>29.25</v>
      </c>
      <c r="M16527">
        <v>46</v>
      </c>
      <c r="N16527">
        <v>0</v>
      </c>
      <c r="O16527">
        <v>46</v>
      </c>
      <c r="P16527">
        <v>0</v>
      </c>
    </row>
    <row r="16528" spans="1:16" x14ac:dyDescent="0.25">
      <c r="A16528" t="s">
        <v>39127</v>
      </c>
      <c r="B16528" t="s">
        <v>18318</v>
      </c>
      <c r="C16528" t="s">
        <v>2173</v>
      </c>
      <c r="D16528" t="str">
        <f>"1200"</f>
        <v>1200</v>
      </c>
      <c r="E16528" t="s">
        <v>16534</v>
      </c>
      <c r="F16528" t="s">
        <v>15183</v>
      </c>
      <c r="G16528" t="s">
        <v>47099</v>
      </c>
      <c r="H16528" t="s">
        <v>47055</v>
      </c>
      <c r="I16528" t="s">
        <v>47127</v>
      </c>
      <c r="J16528" t="s">
        <v>47128</v>
      </c>
      <c r="K16528" t="s">
        <v>47113</v>
      </c>
      <c r="L16528">
        <v>29.25</v>
      </c>
      <c r="M16528">
        <v>46</v>
      </c>
      <c r="N16528">
        <v>0</v>
      </c>
      <c r="O16528">
        <v>46</v>
      </c>
      <c r="P16528">
        <v>0</v>
      </c>
    </row>
    <row r="16529" spans="1:16" x14ac:dyDescent="0.25">
      <c r="A16529" t="s">
        <v>39128</v>
      </c>
      <c r="B16529" t="s">
        <v>18318</v>
      </c>
      <c r="C16529" t="s">
        <v>2173</v>
      </c>
      <c r="D16529" t="str">
        <f>"1377"</f>
        <v>1377</v>
      </c>
      <c r="E16529" t="s">
        <v>74</v>
      </c>
      <c r="F16529" t="s">
        <v>15183</v>
      </c>
      <c r="G16529" t="s">
        <v>47099</v>
      </c>
      <c r="H16529" t="s">
        <v>47055</v>
      </c>
      <c r="I16529" t="s">
        <v>47127</v>
      </c>
      <c r="J16529" t="s">
        <v>47128</v>
      </c>
      <c r="K16529" t="s">
        <v>47113</v>
      </c>
      <c r="L16529">
        <v>29.25</v>
      </c>
      <c r="M16529">
        <v>46</v>
      </c>
      <c r="N16529">
        <v>0</v>
      </c>
      <c r="O16529">
        <v>46</v>
      </c>
      <c r="P16529">
        <v>0</v>
      </c>
    </row>
    <row r="16530" spans="1:16" x14ac:dyDescent="0.25">
      <c r="A16530" t="s">
        <v>39129</v>
      </c>
      <c r="B16530" t="s">
        <v>18318</v>
      </c>
      <c r="C16530" t="s">
        <v>2173</v>
      </c>
      <c r="D16530" t="str">
        <f>"1378"</f>
        <v>1378</v>
      </c>
      <c r="E16530" t="s">
        <v>388</v>
      </c>
      <c r="F16530" t="s">
        <v>15183</v>
      </c>
      <c r="G16530" t="s">
        <v>47099</v>
      </c>
      <c r="H16530" t="s">
        <v>47055</v>
      </c>
      <c r="I16530" t="s">
        <v>47127</v>
      </c>
      <c r="J16530" t="s">
        <v>47128</v>
      </c>
      <c r="K16530" t="s">
        <v>47113</v>
      </c>
      <c r="L16530">
        <v>29.25</v>
      </c>
      <c r="M16530">
        <v>46</v>
      </c>
      <c r="N16530">
        <v>0</v>
      </c>
      <c r="O16530">
        <v>46</v>
      </c>
      <c r="P16530">
        <v>0</v>
      </c>
    </row>
    <row r="16531" spans="1:16" x14ac:dyDescent="0.25">
      <c r="A16531" t="s">
        <v>39130</v>
      </c>
      <c r="B16531" t="s">
        <v>18318</v>
      </c>
      <c r="C16531" t="s">
        <v>2173</v>
      </c>
      <c r="D16531" t="str">
        <f>"1704"</f>
        <v>1704</v>
      </c>
      <c r="E16531" t="s">
        <v>7181</v>
      </c>
      <c r="F16531" t="s">
        <v>15183</v>
      </c>
      <c r="G16531" t="s">
        <v>47099</v>
      </c>
      <c r="H16531" t="s">
        <v>47055</v>
      </c>
      <c r="I16531" t="s">
        <v>47127</v>
      </c>
      <c r="J16531" t="s">
        <v>47128</v>
      </c>
      <c r="K16531" t="s">
        <v>47113</v>
      </c>
      <c r="L16531">
        <v>29.25</v>
      </c>
      <c r="M16531">
        <v>46</v>
      </c>
      <c r="N16531">
        <v>0</v>
      </c>
      <c r="O16531">
        <v>46</v>
      </c>
      <c r="P16531">
        <v>0</v>
      </c>
    </row>
    <row r="16532" spans="1:16" x14ac:dyDescent="0.25">
      <c r="A16532" t="s">
        <v>39131</v>
      </c>
      <c r="B16532" t="s">
        <v>18318</v>
      </c>
      <c r="C16532" t="s">
        <v>2173</v>
      </c>
      <c r="D16532" t="str">
        <f>"4000"</f>
        <v>4000</v>
      </c>
      <c r="E16532" t="s">
        <v>16537</v>
      </c>
      <c r="F16532" t="s">
        <v>15183</v>
      </c>
      <c r="G16532" t="s">
        <v>47099</v>
      </c>
      <c r="H16532" t="s">
        <v>47055</v>
      </c>
      <c r="I16532" t="s">
        <v>47127</v>
      </c>
      <c r="J16532" t="s">
        <v>47128</v>
      </c>
      <c r="K16532" t="s">
        <v>47113</v>
      </c>
      <c r="L16532">
        <v>29.25</v>
      </c>
      <c r="M16532">
        <v>46</v>
      </c>
      <c r="N16532">
        <v>0</v>
      </c>
      <c r="O16532">
        <v>46</v>
      </c>
      <c r="P16532">
        <v>0</v>
      </c>
    </row>
    <row r="16533" spans="1:16" x14ac:dyDescent="0.25">
      <c r="A16533" t="s">
        <v>39132</v>
      </c>
      <c r="B16533" t="s">
        <v>18318</v>
      </c>
      <c r="C16533" t="s">
        <v>2173</v>
      </c>
      <c r="D16533" t="str">
        <f>"4921"</f>
        <v>4921</v>
      </c>
      <c r="E16533" t="s">
        <v>4156</v>
      </c>
      <c r="F16533" t="s">
        <v>15183</v>
      </c>
      <c r="G16533" t="s">
        <v>47099</v>
      </c>
      <c r="H16533" t="s">
        <v>47055</v>
      </c>
      <c r="I16533" t="s">
        <v>47127</v>
      </c>
      <c r="J16533" t="s">
        <v>47128</v>
      </c>
      <c r="K16533" t="s">
        <v>47113</v>
      </c>
      <c r="L16533">
        <v>29.25</v>
      </c>
      <c r="M16533">
        <v>46</v>
      </c>
      <c r="N16533">
        <v>0</v>
      </c>
      <c r="O16533">
        <v>46</v>
      </c>
      <c r="P16533">
        <v>0</v>
      </c>
    </row>
    <row r="16534" spans="1:16" x14ac:dyDescent="0.25">
      <c r="A16534" t="s">
        <v>39133</v>
      </c>
      <c r="B16534" t="s">
        <v>18319</v>
      </c>
      <c r="C16534" t="s">
        <v>387</v>
      </c>
      <c r="D16534" t="str">
        <f>"1001"</f>
        <v>1001</v>
      </c>
      <c r="E16534" t="s">
        <v>42</v>
      </c>
      <c r="F16534" t="s">
        <v>15183</v>
      </c>
      <c r="G16534" t="s">
        <v>47096</v>
      </c>
      <c r="H16534" t="s">
        <v>47055</v>
      </c>
      <c r="I16534" t="s">
        <v>47127</v>
      </c>
      <c r="J16534" t="s">
        <v>47128</v>
      </c>
      <c r="K16534" t="s">
        <v>47113</v>
      </c>
      <c r="L16534">
        <v>40.51</v>
      </c>
      <c r="M16534">
        <v>108</v>
      </c>
      <c r="N16534">
        <v>0</v>
      </c>
      <c r="O16534">
        <v>108</v>
      </c>
      <c r="P16534">
        <v>0</v>
      </c>
    </row>
    <row r="16535" spans="1:16" x14ac:dyDescent="0.25">
      <c r="A16535" t="s">
        <v>39134</v>
      </c>
      <c r="B16535" t="s">
        <v>18319</v>
      </c>
      <c r="C16535" t="s">
        <v>387</v>
      </c>
      <c r="D16535" t="str">
        <f>"1200"</f>
        <v>1200</v>
      </c>
      <c r="E16535" t="s">
        <v>16534</v>
      </c>
      <c r="F16535" t="s">
        <v>15183</v>
      </c>
      <c r="G16535" t="s">
        <v>47096</v>
      </c>
      <c r="H16535" t="s">
        <v>47055</v>
      </c>
      <c r="I16535" t="s">
        <v>47127</v>
      </c>
      <c r="J16535" t="s">
        <v>47128</v>
      </c>
      <c r="K16535" t="s">
        <v>47113</v>
      </c>
      <c r="L16535">
        <v>40.51</v>
      </c>
      <c r="M16535">
        <v>108</v>
      </c>
      <c r="N16535">
        <v>0</v>
      </c>
      <c r="O16535">
        <v>108</v>
      </c>
      <c r="P16535">
        <v>0</v>
      </c>
    </row>
    <row r="16536" spans="1:16" x14ac:dyDescent="0.25">
      <c r="A16536" t="s">
        <v>39135</v>
      </c>
      <c r="B16536" t="s">
        <v>18319</v>
      </c>
      <c r="C16536" t="s">
        <v>387</v>
      </c>
      <c r="D16536" t="str">
        <f>"1370"</f>
        <v>1370</v>
      </c>
      <c r="E16536" t="s">
        <v>2162</v>
      </c>
      <c r="F16536" t="s">
        <v>15183</v>
      </c>
      <c r="G16536" t="s">
        <v>47096</v>
      </c>
      <c r="H16536" t="s">
        <v>47055</v>
      </c>
      <c r="I16536" t="s">
        <v>47127</v>
      </c>
      <c r="J16536" t="s">
        <v>47128</v>
      </c>
      <c r="K16536" t="s">
        <v>47113</v>
      </c>
      <c r="L16536">
        <v>40.51</v>
      </c>
      <c r="M16536">
        <v>108</v>
      </c>
      <c r="N16536">
        <v>0</v>
      </c>
      <c r="O16536">
        <v>108</v>
      </c>
      <c r="P16536">
        <v>0</v>
      </c>
    </row>
    <row r="16537" spans="1:16" x14ac:dyDescent="0.25">
      <c r="A16537" t="s">
        <v>39136</v>
      </c>
      <c r="B16537" t="s">
        <v>18319</v>
      </c>
      <c r="C16537" t="s">
        <v>387</v>
      </c>
      <c r="D16537" t="str">
        <f>"1377"</f>
        <v>1377</v>
      </c>
      <c r="E16537" t="s">
        <v>74</v>
      </c>
      <c r="F16537" t="s">
        <v>15183</v>
      </c>
      <c r="G16537" t="s">
        <v>47096</v>
      </c>
      <c r="H16537" t="s">
        <v>47055</v>
      </c>
      <c r="I16537" t="s">
        <v>47127</v>
      </c>
      <c r="J16537" t="s">
        <v>47128</v>
      </c>
      <c r="K16537" t="s">
        <v>47113</v>
      </c>
      <c r="L16537">
        <v>40.51</v>
      </c>
      <c r="M16537">
        <v>108</v>
      </c>
      <c r="N16537">
        <v>0</v>
      </c>
      <c r="O16537">
        <v>108</v>
      </c>
      <c r="P16537">
        <v>0</v>
      </c>
    </row>
    <row r="16538" spans="1:16" x14ac:dyDescent="0.25">
      <c r="A16538" t="s">
        <v>39137</v>
      </c>
      <c r="B16538" t="s">
        <v>18319</v>
      </c>
      <c r="C16538" t="s">
        <v>387</v>
      </c>
      <c r="D16538" t="str">
        <f>"1378"</f>
        <v>1378</v>
      </c>
      <c r="E16538" t="s">
        <v>388</v>
      </c>
      <c r="F16538" t="s">
        <v>15183</v>
      </c>
      <c r="G16538" t="s">
        <v>47096</v>
      </c>
      <c r="H16538" t="s">
        <v>47055</v>
      </c>
      <c r="I16538" t="s">
        <v>47127</v>
      </c>
      <c r="J16538" t="s">
        <v>47128</v>
      </c>
      <c r="K16538" t="s">
        <v>47113</v>
      </c>
      <c r="L16538">
        <v>40.51</v>
      </c>
      <c r="M16538">
        <v>108</v>
      </c>
      <c r="N16538">
        <v>0</v>
      </c>
      <c r="O16538">
        <v>108</v>
      </c>
      <c r="P16538">
        <v>0</v>
      </c>
    </row>
    <row r="16539" spans="1:16" x14ac:dyDescent="0.25">
      <c r="A16539" t="s">
        <v>39138</v>
      </c>
      <c r="B16539" t="s">
        <v>18319</v>
      </c>
      <c r="C16539" t="s">
        <v>387</v>
      </c>
      <c r="D16539" t="str">
        <f>"1537"</f>
        <v>1537</v>
      </c>
      <c r="E16539" t="s">
        <v>16535</v>
      </c>
      <c r="F16539" t="s">
        <v>15183</v>
      </c>
      <c r="G16539" t="s">
        <v>47096</v>
      </c>
      <c r="H16539" t="s">
        <v>47055</v>
      </c>
      <c r="I16539" t="s">
        <v>47127</v>
      </c>
      <c r="J16539" t="s">
        <v>47128</v>
      </c>
      <c r="K16539" t="s">
        <v>47113</v>
      </c>
      <c r="L16539">
        <v>40.51</v>
      </c>
      <c r="M16539">
        <v>108</v>
      </c>
      <c r="N16539">
        <v>0</v>
      </c>
      <c r="O16539">
        <v>108</v>
      </c>
      <c r="P16539">
        <v>0</v>
      </c>
    </row>
    <row r="16540" spans="1:16" x14ac:dyDescent="0.25">
      <c r="A16540" t="s">
        <v>39139</v>
      </c>
      <c r="B16540" t="s">
        <v>18319</v>
      </c>
      <c r="C16540" t="s">
        <v>387</v>
      </c>
      <c r="D16540" t="str">
        <f>"1700"</f>
        <v>1700</v>
      </c>
      <c r="E16540" t="s">
        <v>60</v>
      </c>
      <c r="F16540" t="s">
        <v>15183</v>
      </c>
      <c r="G16540" t="s">
        <v>47096</v>
      </c>
      <c r="H16540" t="s">
        <v>47055</v>
      </c>
      <c r="I16540" t="s">
        <v>47127</v>
      </c>
      <c r="J16540" t="s">
        <v>47128</v>
      </c>
      <c r="K16540" t="s">
        <v>47113</v>
      </c>
      <c r="L16540">
        <v>40.51</v>
      </c>
      <c r="M16540">
        <v>108</v>
      </c>
      <c r="N16540">
        <v>0</v>
      </c>
      <c r="O16540">
        <v>108</v>
      </c>
      <c r="P16540">
        <v>0</v>
      </c>
    </row>
    <row r="16541" spans="1:16" x14ac:dyDescent="0.25">
      <c r="A16541" t="s">
        <v>39140</v>
      </c>
      <c r="B16541" t="s">
        <v>18319</v>
      </c>
      <c r="C16541" t="s">
        <v>387</v>
      </c>
      <c r="D16541" t="str">
        <f>"1704"</f>
        <v>1704</v>
      </c>
      <c r="E16541" t="s">
        <v>7181</v>
      </c>
      <c r="F16541" t="s">
        <v>15183</v>
      </c>
      <c r="G16541" t="s">
        <v>47096</v>
      </c>
      <c r="H16541" t="s">
        <v>47055</v>
      </c>
      <c r="I16541" t="s">
        <v>47127</v>
      </c>
      <c r="J16541" t="s">
        <v>47128</v>
      </c>
      <c r="K16541" t="s">
        <v>47113</v>
      </c>
      <c r="L16541">
        <v>40.51</v>
      </c>
      <c r="M16541">
        <v>108</v>
      </c>
      <c r="N16541">
        <v>0</v>
      </c>
      <c r="O16541">
        <v>108</v>
      </c>
      <c r="P16541">
        <v>0</v>
      </c>
    </row>
    <row r="16542" spans="1:16" x14ac:dyDescent="0.25">
      <c r="A16542" t="s">
        <v>39141</v>
      </c>
      <c r="B16542" t="s">
        <v>18319</v>
      </c>
      <c r="C16542" t="s">
        <v>387</v>
      </c>
      <c r="D16542" t="str">
        <f>"3304"</f>
        <v>3304</v>
      </c>
      <c r="E16542" t="s">
        <v>16536</v>
      </c>
      <c r="F16542" t="s">
        <v>15183</v>
      </c>
      <c r="G16542" t="s">
        <v>47096</v>
      </c>
      <c r="H16542" t="s">
        <v>47055</v>
      </c>
      <c r="I16542" t="s">
        <v>47127</v>
      </c>
      <c r="J16542" t="s">
        <v>47128</v>
      </c>
      <c r="K16542" t="s">
        <v>47113</v>
      </c>
      <c r="L16542">
        <v>40.51</v>
      </c>
      <c r="M16542">
        <v>108</v>
      </c>
      <c r="N16542">
        <v>0</v>
      </c>
      <c r="O16542">
        <v>108</v>
      </c>
      <c r="P16542">
        <v>0</v>
      </c>
    </row>
    <row r="16543" spans="1:16" x14ac:dyDescent="0.25">
      <c r="A16543" t="s">
        <v>39142</v>
      </c>
      <c r="B16543" t="s">
        <v>18319</v>
      </c>
      <c r="C16543" t="s">
        <v>387</v>
      </c>
      <c r="D16543" t="str">
        <f>"4000"</f>
        <v>4000</v>
      </c>
      <c r="E16543" t="s">
        <v>16537</v>
      </c>
      <c r="F16543" t="s">
        <v>15183</v>
      </c>
      <c r="G16543" t="s">
        <v>47096</v>
      </c>
      <c r="H16543" t="s">
        <v>47055</v>
      </c>
      <c r="I16543" t="s">
        <v>47127</v>
      </c>
      <c r="J16543" t="s">
        <v>47128</v>
      </c>
      <c r="K16543" t="s">
        <v>47113</v>
      </c>
      <c r="L16543">
        <v>40.51</v>
      </c>
      <c r="M16543">
        <v>108</v>
      </c>
      <c r="N16543">
        <v>0</v>
      </c>
      <c r="O16543">
        <v>108</v>
      </c>
      <c r="P16543">
        <v>0</v>
      </c>
    </row>
    <row r="16544" spans="1:16" x14ac:dyDescent="0.25">
      <c r="A16544" t="s">
        <v>39143</v>
      </c>
      <c r="B16544" t="s">
        <v>18319</v>
      </c>
      <c r="C16544" t="s">
        <v>387</v>
      </c>
      <c r="D16544" t="str">
        <f>"4643"</f>
        <v>4643</v>
      </c>
      <c r="E16544" t="s">
        <v>205</v>
      </c>
      <c r="F16544" t="s">
        <v>15183</v>
      </c>
      <c r="G16544" t="s">
        <v>47096</v>
      </c>
      <c r="H16544" t="s">
        <v>47055</v>
      </c>
      <c r="I16544" t="s">
        <v>47127</v>
      </c>
      <c r="J16544" t="s">
        <v>47128</v>
      </c>
      <c r="K16544" t="s">
        <v>47113</v>
      </c>
      <c r="L16544">
        <v>40.51</v>
      </c>
      <c r="M16544">
        <v>108</v>
      </c>
      <c r="N16544">
        <v>0</v>
      </c>
      <c r="O16544">
        <v>108</v>
      </c>
      <c r="P16544">
        <v>0</v>
      </c>
    </row>
    <row r="16545" spans="1:16" x14ac:dyDescent="0.25">
      <c r="A16545" t="s">
        <v>39144</v>
      </c>
      <c r="B16545" t="s">
        <v>18319</v>
      </c>
      <c r="C16545" t="s">
        <v>387</v>
      </c>
      <c r="D16545" t="str">
        <f>"4921"</f>
        <v>4921</v>
      </c>
      <c r="E16545" t="s">
        <v>4156</v>
      </c>
      <c r="F16545" t="s">
        <v>15183</v>
      </c>
      <c r="G16545" t="s">
        <v>47096</v>
      </c>
      <c r="H16545" t="s">
        <v>47055</v>
      </c>
      <c r="I16545" t="s">
        <v>47127</v>
      </c>
      <c r="J16545" t="s">
        <v>47128</v>
      </c>
      <c r="K16545" t="s">
        <v>47113</v>
      </c>
      <c r="L16545">
        <v>40.51</v>
      </c>
      <c r="M16545">
        <v>108</v>
      </c>
      <c r="N16545">
        <v>0</v>
      </c>
      <c r="O16545">
        <v>108</v>
      </c>
      <c r="P16545">
        <v>0</v>
      </c>
    </row>
    <row r="16546" spans="1:16" x14ac:dyDescent="0.25">
      <c r="A16546" t="s">
        <v>39145</v>
      </c>
      <c r="B16546" t="s">
        <v>18320</v>
      </c>
      <c r="C16546" t="s">
        <v>387</v>
      </c>
      <c r="D16546" t="str">
        <f>"1001"</f>
        <v>1001</v>
      </c>
      <c r="E16546" t="s">
        <v>42</v>
      </c>
      <c r="F16546" t="s">
        <v>15183</v>
      </c>
      <c r="G16546" t="s">
        <v>47096</v>
      </c>
      <c r="H16546" t="s">
        <v>47055</v>
      </c>
      <c r="I16546" t="s">
        <v>47127</v>
      </c>
      <c r="J16546" t="s">
        <v>47128</v>
      </c>
      <c r="K16546" t="s">
        <v>47113</v>
      </c>
      <c r="L16546">
        <v>54.01</v>
      </c>
      <c r="M16546">
        <v>75</v>
      </c>
      <c r="N16546">
        <v>0</v>
      </c>
      <c r="O16546">
        <v>75</v>
      </c>
      <c r="P16546">
        <v>0</v>
      </c>
    </row>
    <row r="16547" spans="1:16" x14ac:dyDescent="0.25">
      <c r="A16547" t="s">
        <v>39146</v>
      </c>
      <c r="B16547" t="s">
        <v>18320</v>
      </c>
      <c r="C16547" t="s">
        <v>387</v>
      </c>
      <c r="D16547" t="str">
        <f>"1200"</f>
        <v>1200</v>
      </c>
      <c r="E16547" t="s">
        <v>16534</v>
      </c>
      <c r="F16547" t="s">
        <v>15183</v>
      </c>
      <c r="G16547" t="s">
        <v>47096</v>
      </c>
      <c r="H16547" t="s">
        <v>47055</v>
      </c>
      <c r="I16547" t="s">
        <v>47127</v>
      </c>
      <c r="J16547" t="s">
        <v>47128</v>
      </c>
      <c r="K16547" t="s">
        <v>47113</v>
      </c>
      <c r="L16547">
        <v>54.01</v>
      </c>
      <c r="M16547">
        <v>75</v>
      </c>
      <c r="N16547">
        <v>0</v>
      </c>
      <c r="O16547">
        <v>75</v>
      </c>
      <c r="P16547">
        <v>0</v>
      </c>
    </row>
    <row r="16548" spans="1:16" x14ac:dyDescent="0.25">
      <c r="A16548" t="s">
        <v>39147</v>
      </c>
      <c r="B16548" t="s">
        <v>18320</v>
      </c>
      <c r="C16548" t="s">
        <v>387</v>
      </c>
      <c r="D16548" t="str">
        <f>"1370"</f>
        <v>1370</v>
      </c>
      <c r="E16548" t="s">
        <v>2162</v>
      </c>
      <c r="F16548" t="s">
        <v>15183</v>
      </c>
      <c r="G16548" t="s">
        <v>47096</v>
      </c>
      <c r="H16548" t="s">
        <v>47055</v>
      </c>
      <c r="I16548" t="s">
        <v>47127</v>
      </c>
      <c r="J16548" t="s">
        <v>47128</v>
      </c>
      <c r="K16548" t="s">
        <v>47113</v>
      </c>
      <c r="L16548">
        <v>54.01</v>
      </c>
      <c r="M16548">
        <v>75</v>
      </c>
      <c r="N16548">
        <v>0</v>
      </c>
      <c r="O16548">
        <v>75</v>
      </c>
      <c r="P16548">
        <v>0</v>
      </c>
    </row>
    <row r="16549" spans="1:16" x14ac:dyDescent="0.25">
      <c r="A16549" t="s">
        <v>39148</v>
      </c>
      <c r="B16549" t="s">
        <v>18320</v>
      </c>
      <c r="C16549" t="s">
        <v>387</v>
      </c>
      <c r="D16549" t="str">
        <f>"1377"</f>
        <v>1377</v>
      </c>
      <c r="E16549" t="s">
        <v>74</v>
      </c>
      <c r="F16549" t="s">
        <v>15183</v>
      </c>
      <c r="G16549" t="s">
        <v>47096</v>
      </c>
      <c r="H16549" t="s">
        <v>47055</v>
      </c>
      <c r="I16549" t="s">
        <v>47127</v>
      </c>
      <c r="J16549" t="s">
        <v>47128</v>
      </c>
      <c r="K16549" t="s">
        <v>47113</v>
      </c>
      <c r="L16549">
        <v>54.01</v>
      </c>
      <c r="M16549">
        <v>75</v>
      </c>
      <c r="N16549">
        <v>0</v>
      </c>
      <c r="O16549">
        <v>75</v>
      </c>
      <c r="P16549">
        <v>0</v>
      </c>
    </row>
    <row r="16550" spans="1:16" x14ac:dyDescent="0.25">
      <c r="A16550" t="s">
        <v>39149</v>
      </c>
      <c r="B16550" t="s">
        <v>18320</v>
      </c>
      <c r="C16550" t="s">
        <v>387</v>
      </c>
      <c r="D16550" t="str">
        <f>"1378"</f>
        <v>1378</v>
      </c>
      <c r="E16550" t="s">
        <v>388</v>
      </c>
      <c r="F16550" t="s">
        <v>15183</v>
      </c>
      <c r="G16550" t="s">
        <v>47096</v>
      </c>
      <c r="H16550" t="s">
        <v>47055</v>
      </c>
      <c r="I16550" t="s">
        <v>47127</v>
      </c>
      <c r="J16550" t="s">
        <v>47128</v>
      </c>
      <c r="K16550" t="s">
        <v>47113</v>
      </c>
      <c r="L16550">
        <v>54.01</v>
      </c>
      <c r="M16550">
        <v>75</v>
      </c>
      <c r="N16550">
        <v>0</v>
      </c>
      <c r="O16550">
        <v>75</v>
      </c>
      <c r="P16550">
        <v>0</v>
      </c>
    </row>
    <row r="16551" spans="1:16" x14ac:dyDescent="0.25">
      <c r="A16551" t="s">
        <v>39150</v>
      </c>
      <c r="B16551" t="s">
        <v>18320</v>
      </c>
      <c r="C16551" t="s">
        <v>387</v>
      </c>
      <c r="D16551" t="str">
        <f>"1537"</f>
        <v>1537</v>
      </c>
      <c r="E16551" t="s">
        <v>16535</v>
      </c>
      <c r="F16551" t="s">
        <v>15183</v>
      </c>
      <c r="G16551" t="s">
        <v>47096</v>
      </c>
      <c r="H16551" t="s">
        <v>47055</v>
      </c>
      <c r="I16551" t="s">
        <v>47127</v>
      </c>
      <c r="J16551" t="s">
        <v>47128</v>
      </c>
      <c r="K16551" t="s">
        <v>47113</v>
      </c>
      <c r="L16551">
        <v>54.01</v>
      </c>
      <c r="M16551">
        <v>75</v>
      </c>
      <c r="N16551">
        <v>0</v>
      </c>
      <c r="O16551">
        <v>75</v>
      </c>
      <c r="P16551">
        <v>0</v>
      </c>
    </row>
    <row r="16552" spans="1:16" x14ac:dyDescent="0.25">
      <c r="A16552" t="s">
        <v>39151</v>
      </c>
      <c r="B16552" t="s">
        <v>18320</v>
      </c>
      <c r="C16552" t="s">
        <v>387</v>
      </c>
      <c r="D16552" t="str">
        <f>"1700"</f>
        <v>1700</v>
      </c>
      <c r="E16552" t="s">
        <v>60</v>
      </c>
      <c r="F16552" t="s">
        <v>15183</v>
      </c>
      <c r="G16552" t="s">
        <v>47096</v>
      </c>
      <c r="H16552" t="s">
        <v>47055</v>
      </c>
      <c r="I16552" t="s">
        <v>47127</v>
      </c>
      <c r="J16552" t="s">
        <v>47128</v>
      </c>
      <c r="K16552" t="s">
        <v>47113</v>
      </c>
      <c r="L16552">
        <v>54.01</v>
      </c>
      <c r="M16552">
        <v>75</v>
      </c>
      <c r="N16552">
        <v>0</v>
      </c>
      <c r="O16552">
        <v>75</v>
      </c>
      <c r="P16552">
        <v>0</v>
      </c>
    </row>
    <row r="16553" spans="1:16" x14ac:dyDescent="0.25">
      <c r="A16553" t="s">
        <v>39152</v>
      </c>
      <c r="B16553" t="s">
        <v>18320</v>
      </c>
      <c r="C16553" t="s">
        <v>387</v>
      </c>
      <c r="D16553" t="str">
        <f>"1704"</f>
        <v>1704</v>
      </c>
      <c r="E16553" t="s">
        <v>7181</v>
      </c>
      <c r="F16553" t="s">
        <v>15183</v>
      </c>
      <c r="G16553" t="s">
        <v>47096</v>
      </c>
      <c r="H16553" t="s">
        <v>47055</v>
      </c>
      <c r="I16553" t="s">
        <v>47127</v>
      </c>
      <c r="J16553" t="s">
        <v>47128</v>
      </c>
      <c r="K16553" t="s">
        <v>47113</v>
      </c>
      <c r="L16553">
        <v>54.01</v>
      </c>
      <c r="M16553">
        <v>75</v>
      </c>
      <c r="N16553">
        <v>0</v>
      </c>
      <c r="O16553">
        <v>75</v>
      </c>
      <c r="P16553">
        <v>0</v>
      </c>
    </row>
    <row r="16554" spans="1:16" x14ac:dyDescent="0.25">
      <c r="A16554" t="s">
        <v>39153</v>
      </c>
      <c r="B16554" t="s">
        <v>18320</v>
      </c>
      <c r="C16554" t="s">
        <v>387</v>
      </c>
      <c r="D16554" t="str">
        <f>"3304"</f>
        <v>3304</v>
      </c>
      <c r="E16554" t="s">
        <v>16536</v>
      </c>
      <c r="F16554" t="s">
        <v>15183</v>
      </c>
      <c r="G16554" t="s">
        <v>47096</v>
      </c>
      <c r="H16554" t="s">
        <v>47055</v>
      </c>
      <c r="I16554" t="s">
        <v>47127</v>
      </c>
      <c r="J16554" t="s">
        <v>47128</v>
      </c>
      <c r="K16554" t="s">
        <v>47113</v>
      </c>
      <c r="L16554">
        <v>54.01</v>
      </c>
      <c r="M16554">
        <v>75</v>
      </c>
      <c r="N16554">
        <v>0</v>
      </c>
      <c r="O16554">
        <v>75</v>
      </c>
      <c r="P16554">
        <v>0</v>
      </c>
    </row>
    <row r="16555" spans="1:16" x14ac:dyDescent="0.25">
      <c r="A16555" t="s">
        <v>39154</v>
      </c>
      <c r="B16555" t="s">
        <v>18320</v>
      </c>
      <c r="C16555" t="s">
        <v>387</v>
      </c>
      <c r="D16555" t="str">
        <f>"4000"</f>
        <v>4000</v>
      </c>
      <c r="E16555" t="s">
        <v>16537</v>
      </c>
      <c r="F16555" t="s">
        <v>15183</v>
      </c>
      <c r="G16555" t="s">
        <v>47096</v>
      </c>
      <c r="H16555" t="s">
        <v>47055</v>
      </c>
      <c r="I16555" t="s">
        <v>47127</v>
      </c>
      <c r="J16555" t="s">
        <v>47128</v>
      </c>
      <c r="K16555" t="s">
        <v>47113</v>
      </c>
      <c r="L16555">
        <v>54.01</v>
      </c>
      <c r="M16555">
        <v>75</v>
      </c>
      <c r="N16555">
        <v>0</v>
      </c>
      <c r="O16555">
        <v>75</v>
      </c>
      <c r="P16555">
        <v>0</v>
      </c>
    </row>
    <row r="16556" spans="1:16" x14ac:dyDescent="0.25">
      <c r="A16556" t="s">
        <v>39155</v>
      </c>
      <c r="B16556" t="s">
        <v>18320</v>
      </c>
      <c r="C16556" t="s">
        <v>387</v>
      </c>
      <c r="D16556" t="str">
        <f>"4643"</f>
        <v>4643</v>
      </c>
      <c r="E16556" t="s">
        <v>205</v>
      </c>
      <c r="F16556" t="s">
        <v>15183</v>
      </c>
      <c r="G16556" t="s">
        <v>47096</v>
      </c>
      <c r="H16556" t="s">
        <v>47055</v>
      </c>
      <c r="I16556" t="s">
        <v>47127</v>
      </c>
      <c r="J16556" t="s">
        <v>47128</v>
      </c>
      <c r="K16556" t="s">
        <v>47113</v>
      </c>
      <c r="L16556">
        <v>54.01</v>
      </c>
      <c r="M16556">
        <v>75</v>
      </c>
      <c r="N16556">
        <v>0</v>
      </c>
      <c r="O16556">
        <v>75</v>
      </c>
      <c r="P16556">
        <v>0</v>
      </c>
    </row>
    <row r="16557" spans="1:16" x14ac:dyDescent="0.25">
      <c r="A16557" t="s">
        <v>39156</v>
      </c>
      <c r="B16557" t="s">
        <v>18320</v>
      </c>
      <c r="C16557" t="s">
        <v>387</v>
      </c>
      <c r="D16557" t="str">
        <f>"4921"</f>
        <v>4921</v>
      </c>
      <c r="E16557" t="s">
        <v>4156</v>
      </c>
      <c r="F16557" t="s">
        <v>15183</v>
      </c>
      <c r="G16557" t="s">
        <v>47096</v>
      </c>
      <c r="H16557" t="s">
        <v>47055</v>
      </c>
      <c r="I16557" t="s">
        <v>47127</v>
      </c>
      <c r="J16557" t="s">
        <v>47128</v>
      </c>
      <c r="K16557" t="s">
        <v>47113</v>
      </c>
      <c r="L16557">
        <v>54.01</v>
      </c>
      <c r="M16557">
        <v>75</v>
      </c>
      <c r="N16557">
        <v>0</v>
      </c>
      <c r="O16557">
        <v>75</v>
      </c>
      <c r="P16557">
        <v>0</v>
      </c>
    </row>
    <row r="16558" spans="1:16" x14ac:dyDescent="0.25">
      <c r="A16558" t="s">
        <v>39157</v>
      </c>
      <c r="B16558" t="s">
        <v>18321</v>
      </c>
      <c r="C16558" t="s">
        <v>18322</v>
      </c>
      <c r="D16558" t="str">
        <f>"1001"</f>
        <v>1001</v>
      </c>
      <c r="E16558" t="s">
        <v>42</v>
      </c>
      <c r="F16558" t="s">
        <v>15183</v>
      </c>
      <c r="G16558" t="s">
        <v>47091</v>
      </c>
      <c r="H16558" t="s">
        <v>47055</v>
      </c>
      <c r="I16558" t="s">
        <v>47127</v>
      </c>
      <c r="J16558" t="s">
        <v>47128</v>
      </c>
      <c r="K16558" t="s">
        <v>47113</v>
      </c>
      <c r="L16558">
        <v>20.260000000000002</v>
      </c>
      <c r="M16558">
        <v>54</v>
      </c>
      <c r="N16558">
        <v>0</v>
      </c>
      <c r="O16558">
        <v>54</v>
      </c>
      <c r="P16558">
        <v>0</v>
      </c>
    </row>
    <row r="16559" spans="1:16" x14ac:dyDescent="0.25">
      <c r="A16559" t="s">
        <v>39158</v>
      </c>
      <c r="B16559" t="s">
        <v>18321</v>
      </c>
      <c r="C16559" t="s">
        <v>18322</v>
      </c>
      <c r="D16559" t="str">
        <f>"1200"</f>
        <v>1200</v>
      </c>
      <c r="E16559" t="s">
        <v>16534</v>
      </c>
      <c r="F16559" t="s">
        <v>15183</v>
      </c>
      <c r="G16559" t="s">
        <v>47091</v>
      </c>
      <c r="H16559" t="s">
        <v>47055</v>
      </c>
      <c r="I16559" t="s">
        <v>47127</v>
      </c>
      <c r="J16559" t="s">
        <v>47128</v>
      </c>
      <c r="K16559" t="s">
        <v>47113</v>
      </c>
      <c r="L16559">
        <v>20.260000000000002</v>
      </c>
      <c r="M16559">
        <v>54</v>
      </c>
      <c r="N16559">
        <v>0</v>
      </c>
      <c r="O16559">
        <v>54</v>
      </c>
      <c r="P16559">
        <v>0</v>
      </c>
    </row>
    <row r="16560" spans="1:16" x14ac:dyDescent="0.25">
      <c r="A16560" t="s">
        <v>39159</v>
      </c>
      <c r="B16560" t="s">
        <v>18321</v>
      </c>
      <c r="C16560" t="s">
        <v>18322</v>
      </c>
      <c r="D16560" t="str">
        <f>"1370"</f>
        <v>1370</v>
      </c>
      <c r="E16560" t="s">
        <v>2162</v>
      </c>
      <c r="F16560" t="s">
        <v>15183</v>
      </c>
      <c r="G16560" t="s">
        <v>47091</v>
      </c>
      <c r="H16560" t="s">
        <v>47055</v>
      </c>
      <c r="I16560" t="s">
        <v>47127</v>
      </c>
      <c r="J16560" t="s">
        <v>47128</v>
      </c>
      <c r="K16560" t="s">
        <v>47113</v>
      </c>
      <c r="L16560">
        <v>20.260000000000002</v>
      </c>
      <c r="M16560">
        <v>54</v>
      </c>
      <c r="N16560">
        <v>0</v>
      </c>
      <c r="O16560">
        <v>54</v>
      </c>
      <c r="P16560">
        <v>0</v>
      </c>
    </row>
    <row r="16561" spans="1:16" x14ac:dyDescent="0.25">
      <c r="A16561" t="s">
        <v>39160</v>
      </c>
      <c r="B16561" t="s">
        <v>18321</v>
      </c>
      <c r="C16561" t="s">
        <v>18322</v>
      </c>
      <c r="D16561" t="str">
        <f>"1377"</f>
        <v>1377</v>
      </c>
      <c r="E16561" t="s">
        <v>74</v>
      </c>
      <c r="F16561" t="s">
        <v>15183</v>
      </c>
      <c r="G16561" t="s">
        <v>47091</v>
      </c>
      <c r="H16561" t="s">
        <v>47055</v>
      </c>
      <c r="I16561" t="s">
        <v>47127</v>
      </c>
      <c r="J16561" t="s">
        <v>47128</v>
      </c>
      <c r="K16561" t="s">
        <v>47113</v>
      </c>
      <c r="L16561">
        <v>20.260000000000002</v>
      </c>
      <c r="M16561">
        <v>54</v>
      </c>
      <c r="N16561">
        <v>0</v>
      </c>
      <c r="O16561">
        <v>54</v>
      </c>
      <c r="P16561">
        <v>0</v>
      </c>
    </row>
    <row r="16562" spans="1:16" x14ac:dyDescent="0.25">
      <c r="A16562" t="s">
        <v>39161</v>
      </c>
      <c r="B16562" t="s">
        <v>18321</v>
      </c>
      <c r="C16562" t="s">
        <v>18322</v>
      </c>
      <c r="D16562" t="str">
        <f>"1378"</f>
        <v>1378</v>
      </c>
      <c r="E16562" t="s">
        <v>388</v>
      </c>
      <c r="F16562" t="s">
        <v>15183</v>
      </c>
      <c r="G16562" t="s">
        <v>47091</v>
      </c>
      <c r="H16562" t="s">
        <v>47055</v>
      </c>
      <c r="I16562" t="s">
        <v>47127</v>
      </c>
      <c r="J16562" t="s">
        <v>47128</v>
      </c>
      <c r="K16562" t="s">
        <v>47113</v>
      </c>
      <c r="L16562">
        <v>20.260000000000002</v>
      </c>
      <c r="M16562">
        <v>54</v>
      </c>
      <c r="N16562">
        <v>0</v>
      </c>
      <c r="O16562">
        <v>54</v>
      </c>
      <c r="P16562">
        <v>0</v>
      </c>
    </row>
    <row r="16563" spans="1:16" x14ac:dyDescent="0.25">
      <c r="A16563" t="s">
        <v>39162</v>
      </c>
      <c r="B16563" t="s">
        <v>18321</v>
      </c>
      <c r="C16563" t="s">
        <v>18322</v>
      </c>
      <c r="D16563" t="str">
        <f>"1700"</f>
        <v>1700</v>
      </c>
      <c r="E16563" t="s">
        <v>60</v>
      </c>
      <c r="F16563" t="s">
        <v>15183</v>
      </c>
      <c r="G16563" t="s">
        <v>47091</v>
      </c>
      <c r="H16563" t="s">
        <v>47055</v>
      </c>
      <c r="I16563" t="s">
        <v>47127</v>
      </c>
      <c r="J16563" t="s">
        <v>47128</v>
      </c>
      <c r="K16563" t="s">
        <v>47113</v>
      </c>
      <c r="L16563">
        <v>20.260000000000002</v>
      </c>
      <c r="M16563">
        <v>54</v>
      </c>
      <c r="N16563">
        <v>0</v>
      </c>
      <c r="O16563">
        <v>54</v>
      </c>
      <c r="P16563">
        <v>0</v>
      </c>
    </row>
    <row r="16564" spans="1:16" x14ac:dyDescent="0.25">
      <c r="A16564" t="s">
        <v>39163</v>
      </c>
      <c r="B16564" t="s">
        <v>18321</v>
      </c>
      <c r="C16564" t="s">
        <v>18322</v>
      </c>
      <c r="D16564" t="str">
        <f>"1704"</f>
        <v>1704</v>
      </c>
      <c r="E16564" t="s">
        <v>7181</v>
      </c>
      <c r="F16564" t="s">
        <v>15183</v>
      </c>
      <c r="G16564" t="s">
        <v>47091</v>
      </c>
      <c r="H16564" t="s">
        <v>47055</v>
      </c>
      <c r="I16564" t="s">
        <v>47127</v>
      </c>
      <c r="J16564" t="s">
        <v>47128</v>
      </c>
      <c r="K16564" t="s">
        <v>47113</v>
      </c>
      <c r="L16564">
        <v>20.260000000000002</v>
      </c>
      <c r="M16564">
        <v>54</v>
      </c>
      <c r="N16564">
        <v>0</v>
      </c>
      <c r="O16564">
        <v>54</v>
      </c>
      <c r="P16564">
        <v>0</v>
      </c>
    </row>
    <row r="16565" spans="1:16" x14ac:dyDescent="0.25">
      <c r="A16565" t="s">
        <v>39164</v>
      </c>
      <c r="B16565" t="s">
        <v>18321</v>
      </c>
      <c r="C16565" t="s">
        <v>18322</v>
      </c>
      <c r="D16565" t="str">
        <f>"4000"</f>
        <v>4000</v>
      </c>
      <c r="E16565" t="s">
        <v>16537</v>
      </c>
      <c r="F16565" t="s">
        <v>15183</v>
      </c>
      <c r="G16565" t="s">
        <v>47091</v>
      </c>
      <c r="H16565" t="s">
        <v>47055</v>
      </c>
      <c r="I16565" t="s">
        <v>47127</v>
      </c>
      <c r="J16565" t="s">
        <v>47128</v>
      </c>
      <c r="K16565" t="s">
        <v>47113</v>
      </c>
      <c r="L16565">
        <v>20.260000000000002</v>
      </c>
      <c r="M16565">
        <v>54</v>
      </c>
      <c r="N16565">
        <v>0</v>
      </c>
      <c r="O16565">
        <v>54</v>
      </c>
      <c r="P16565">
        <v>0</v>
      </c>
    </row>
    <row r="16566" spans="1:16" x14ac:dyDescent="0.25">
      <c r="A16566" t="s">
        <v>39165</v>
      </c>
      <c r="B16566" t="s">
        <v>18321</v>
      </c>
      <c r="C16566" t="s">
        <v>18322</v>
      </c>
      <c r="D16566" t="str">
        <f>"4921"</f>
        <v>4921</v>
      </c>
      <c r="E16566" t="s">
        <v>4156</v>
      </c>
      <c r="F16566" t="s">
        <v>15183</v>
      </c>
      <c r="G16566" t="s">
        <v>47091</v>
      </c>
      <c r="H16566" t="s">
        <v>47055</v>
      </c>
      <c r="I16566" t="s">
        <v>47127</v>
      </c>
      <c r="J16566" t="s">
        <v>47128</v>
      </c>
      <c r="K16566" t="s">
        <v>47113</v>
      </c>
      <c r="L16566">
        <v>20.260000000000002</v>
      </c>
      <c r="M16566">
        <v>54</v>
      </c>
      <c r="N16566">
        <v>0</v>
      </c>
      <c r="O16566">
        <v>54</v>
      </c>
      <c r="P16566">
        <v>0</v>
      </c>
    </row>
    <row r="16567" spans="1:16" x14ac:dyDescent="0.25">
      <c r="A16567" t="s">
        <v>39166</v>
      </c>
      <c r="B16567" t="s">
        <v>18323</v>
      </c>
      <c r="C16567" t="s">
        <v>18324</v>
      </c>
      <c r="D16567" t="str">
        <f>"1001"</f>
        <v>1001</v>
      </c>
      <c r="E16567" t="s">
        <v>42</v>
      </c>
      <c r="F16567" t="s">
        <v>15183</v>
      </c>
      <c r="G16567" t="s">
        <v>47092</v>
      </c>
      <c r="H16567" t="s">
        <v>47055</v>
      </c>
      <c r="I16567" t="s">
        <v>47127</v>
      </c>
      <c r="J16567" t="s">
        <v>47128</v>
      </c>
      <c r="K16567" t="s">
        <v>47113</v>
      </c>
      <c r="L16567">
        <v>20.260000000000002</v>
      </c>
      <c r="M16567">
        <v>54</v>
      </c>
      <c r="N16567">
        <v>0</v>
      </c>
      <c r="O16567">
        <v>54</v>
      </c>
      <c r="P16567">
        <v>0</v>
      </c>
    </row>
    <row r="16568" spans="1:16" x14ac:dyDescent="0.25">
      <c r="A16568" t="s">
        <v>39167</v>
      </c>
      <c r="B16568" t="s">
        <v>18323</v>
      </c>
      <c r="C16568" t="s">
        <v>18324</v>
      </c>
      <c r="D16568" t="str">
        <f>"1200"</f>
        <v>1200</v>
      </c>
      <c r="E16568" t="s">
        <v>16534</v>
      </c>
      <c r="F16568" t="s">
        <v>15183</v>
      </c>
      <c r="G16568" t="s">
        <v>47092</v>
      </c>
      <c r="H16568" t="s">
        <v>47055</v>
      </c>
      <c r="I16568" t="s">
        <v>47127</v>
      </c>
      <c r="J16568" t="s">
        <v>47128</v>
      </c>
      <c r="K16568" t="s">
        <v>47113</v>
      </c>
      <c r="L16568">
        <v>20.260000000000002</v>
      </c>
      <c r="M16568">
        <v>54</v>
      </c>
      <c r="N16568">
        <v>0</v>
      </c>
      <c r="O16568">
        <v>54</v>
      </c>
      <c r="P16568">
        <v>0</v>
      </c>
    </row>
    <row r="16569" spans="1:16" x14ac:dyDescent="0.25">
      <c r="A16569" t="s">
        <v>39168</v>
      </c>
      <c r="B16569" t="s">
        <v>18323</v>
      </c>
      <c r="C16569" t="s">
        <v>18324</v>
      </c>
      <c r="D16569" t="str">
        <f>"1370"</f>
        <v>1370</v>
      </c>
      <c r="E16569" t="s">
        <v>2162</v>
      </c>
      <c r="F16569" t="s">
        <v>15183</v>
      </c>
      <c r="G16569" t="s">
        <v>47092</v>
      </c>
      <c r="H16569" t="s">
        <v>47055</v>
      </c>
      <c r="I16569" t="s">
        <v>47127</v>
      </c>
      <c r="J16569" t="s">
        <v>47128</v>
      </c>
      <c r="K16569" t="s">
        <v>47113</v>
      </c>
      <c r="L16569">
        <v>20.260000000000002</v>
      </c>
      <c r="M16569">
        <v>54</v>
      </c>
      <c r="N16569">
        <v>0</v>
      </c>
      <c r="O16569">
        <v>54</v>
      </c>
      <c r="P16569">
        <v>0</v>
      </c>
    </row>
    <row r="16570" spans="1:16" x14ac:dyDescent="0.25">
      <c r="A16570" t="s">
        <v>39169</v>
      </c>
      <c r="B16570" t="s">
        <v>18323</v>
      </c>
      <c r="C16570" t="s">
        <v>18324</v>
      </c>
      <c r="D16570" t="str">
        <f>"1377"</f>
        <v>1377</v>
      </c>
      <c r="E16570" t="s">
        <v>74</v>
      </c>
      <c r="F16570" t="s">
        <v>15183</v>
      </c>
      <c r="G16570" t="s">
        <v>47092</v>
      </c>
      <c r="H16570" t="s">
        <v>47055</v>
      </c>
      <c r="I16570" t="s">
        <v>47127</v>
      </c>
      <c r="J16570" t="s">
        <v>47128</v>
      </c>
      <c r="K16570" t="s">
        <v>47113</v>
      </c>
      <c r="L16570">
        <v>20.260000000000002</v>
      </c>
      <c r="M16570">
        <v>54</v>
      </c>
      <c r="N16570">
        <v>0</v>
      </c>
      <c r="O16570">
        <v>54</v>
      </c>
      <c r="P16570">
        <v>0</v>
      </c>
    </row>
    <row r="16571" spans="1:16" x14ac:dyDescent="0.25">
      <c r="A16571" t="s">
        <v>39170</v>
      </c>
      <c r="B16571" t="s">
        <v>18323</v>
      </c>
      <c r="C16571" t="s">
        <v>18324</v>
      </c>
      <c r="D16571" t="str">
        <f>"1378"</f>
        <v>1378</v>
      </c>
      <c r="E16571" t="s">
        <v>388</v>
      </c>
      <c r="F16571" t="s">
        <v>15183</v>
      </c>
      <c r="G16571" t="s">
        <v>47092</v>
      </c>
      <c r="H16571" t="s">
        <v>47055</v>
      </c>
      <c r="I16571" t="s">
        <v>47127</v>
      </c>
      <c r="J16571" t="s">
        <v>47128</v>
      </c>
      <c r="K16571" t="s">
        <v>47113</v>
      </c>
      <c r="L16571">
        <v>20.260000000000002</v>
      </c>
      <c r="M16571">
        <v>54</v>
      </c>
      <c r="N16571">
        <v>0</v>
      </c>
      <c r="O16571">
        <v>54</v>
      </c>
      <c r="P16571">
        <v>0</v>
      </c>
    </row>
    <row r="16572" spans="1:16" x14ac:dyDescent="0.25">
      <c r="A16572" t="s">
        <v>39171</v>
      </c>
      <c r="B16572" t="s">
        <v>18323</v>
      </c>
      <c r="C16572" t="s">
        <v>18324</v>
      </c>
      <c r="D16572" t="str">
        <f>"1700"</f>
        <v>1700</v>
      </c>
      <c r="E16572" t="s">
        <v>60</v>
      </c>
      <c r="F16572" t="s">
        <v>15183</v>
      </c>
      <c r="G16572" t="s">
        <v>47092</v>
      </c>
      <c r="H16572" t="s">
        <v>47055</v>
      </c>
      <c r="I16572" t="s">
        <v>47127</v>
      </c>
      <c r="J16572" t="s">
        <v>47128</v>
      </c>
      <c r="K16572" t="s">
        <v>47113</v>
      </c>
      <c r="L16572">
        <v>20.260000000000002</v>
      </c>
      <c r="M16572">
        <v>54</v>
      </c>
      <c r="N16572">
        <v>0</v>
      </c>
      <c r="O16572">
        <v>54</v>
      </c>
      <c r="P16572">
        <v>0</v>
      </c>
    </row>
    <row r="16573" spans="1:16" x14ac:dyDescent="0.25">
      <c r="A16573" t="s">
        <v>39172</v>
      </c>
      <c r="B16573" t="s">
        <v>18323</v>
      </c>
      <c r="C16573" t="s">
        <v>18324</v>
      </c>
      <c r="D16573" t="str">
        <f>"1704"</f>
        <v>1704</v>
      </c>
      <c r="E16573" t="s">
        <v>7181</v>
      </c>
      <c r="F16573" t="s">
        <v>15183</v>
      </c>
      <c r="G16573" t="s">
        <v>47092</v>
      </c>
      <c r="H16573" t="s">
        <v>47055</v>
      </c>
      <c r="I16573" t="s">
        <v>47127</v>
      </c>
      <c r="J16573" t="s">
        <v>47128</v>
      </c>
      <c r="K16573" t="s">
        <v>47113</v>
      </c>
      <c r="L16573">
        <v>20.260000000000002</v>
      </c>
      <c r="M16573">
        <v>54</v>
      </c>
      <c r="N16573">
        <v>0</v>
      </c>
      <c r="O16573">
        <v>54</v>
      </c>
      <c r="P16573">
        <v>0</v>
      </c>
    </row>
    <row r="16574" spans="1:16" x14ac:dyDescent="0.25">
      <c r="A16574" t="s">
        <v>39173</v>
      </c>
      <c r="B16574" t="s">
        <v>18323</v>
      </c>
      <c r="C16574" t="s">
        <v>18324</v>
      </c>
      <c r="D16574" t="str">
        <f>"4000"</f>
        <v>4000</v>
      </c>
      <c r="E16574" t="s">
        <v>16537</v>
      </c>
      <c r="F16574" t="s">
        <v>15183</v>
      </c>
      <c r="G16574" t="s">
        <v>47092</v>
      </c>
      <c r="H16574" t="s">
        <v>47055</v>
      </c>
      <c r="I16574" t="s">
        <v>47127</v>
      </c>
      <c r="J16574" t="s">
        <v>47128</v>
      </c>
      <c r="K16574" t="s">
        <v>47113</v>
      </c>
      <c r="L16574">
        <v>20.260000000000002</v>
      </c>
      <c r="M16574">
        <v>54</v>
      </c>
      <c r="N16574">
        <v>0</v>
      </c>
      <c r="O16574">
        <v>54</v>
      </c>
      <c r="P16574">
        <v>0</v>
      </c>
    </row>
    <row r="16575" spans="1:16" x14ac:dyDescent="0.25">
      <c r="A16575" t="s">
        <v>39174</v>
      </c>
      <c r="B16575" t="s">
        <v>18323</v>
      </c>
      <c r="C16575" t="s">
        <v>18324</v>
      </c>
      <c r="D16575" t="str">
        <f>"4921"</f>
        <v>4921</v>
      </c>
      <c r="E16575" t="s">
        <v>4156</v>
      </c>
      <c r="F16575" t="s">
        <v>15183</v>
      </c>
      <c r="G16575" t="s">
        <v>47092</v>
      </c>
      <c r="H16575" t="s">
        <v>47055</v>
      </c>
      <c r="I16575" t="s">
        <v>47127</v>
      </c>
      <c r="J16575" t="s">
        <v>47128</v>
      </c>
      <c r="K16575" t="s">
        <v>47113</v>
      </c>
      <c r="L16575">
        <v>20.260000000000002</v>
      </c>
      <c r="M16575">
        <v>54</v>
      </c>
      <c r="N16575">
        <v>0</v>
      </c>
      <c r="O16575">
        <v>54</v>
      </c>
      <c r="P16575">
        <v>0</v>
      </c>
    </row>
    <row r="16576" spans="1:16" x14ac:dyDescent="0.25">
      <c r="A16576" t="s">
        <v>39175</v>
      </c>
      <c r="B16576" t="s">
        <v>18325</v>
      </c>
      <c r="C16576" t="s">
        <v>18326</v>
      </c>
      <c r="D16576" t="str">
        <f>"1001"</f>
        <v>1001</v>
      </c>
      <c r="E16576" t="s">
        <v>42</v>
      </c>
      <c r="F16576" t="s">
        <v>15183</v>
      </c>
      <c r="G16576" t="s">
        <v>47096</v>
      </c>
      <c r="H16576" t="s">
        <v>47055</v>
      </c>
      <c r="I16576" t="s">
        <v>47127</v>
      </c>
      <c r="J16576" t="s">
        <v>47128</v>
      </c>
      <c r="K16576" t="s">
        <v>47113</v>
      </c>
      <c r="L16576">
        <v>38.26</v>
      </c>
      <c r="M16576">
        <v>55</v>
      </c>
      <c r="N16576">
        <v>0</v>
      </c>
      <c r="O16576">
        <v>55</v>
      </c>
      <c r="P16576">
        <v>0</v>
      </c>
    </row>
    <row r="16577" spans="1:16" x14ac:dyDescent="0.25">
      <c r="A16577" t="s">
        <v>39176</v>
      </c>
      <c r="B16577" t="s">
        <v>18325</v>
      </c>
      <c r="C16577" t="s">
        <v>18326</v>
      </c>
      <c r="D16577" t="str">
        <f>"1200"</f>
        <v>1200</v>
      </c>
      <c r="E16577" t="s">
        <v>16534</v>
      </c>
      <c r="F16577" t="s">
        <v>15183</v>
      </c>
      <c r="G16577" t="s">
        <v>47096</v>
      </c>
      <c r="H16577" t="s">
        <v>47055</v>
      </c>
      <c r="I16577" t="s">
        <v>47127</v>
      </c>
      <c r="J16577" t="s">
        <v>47128</v>
      </c>
      <c r="K16577" t="s">
        <v>47113</v>
      </c>
      <c r="L16577">
        <v>38.26</v>
      </c>
      <c r="M16577">
        <v>55</v>
      </c>
      <c r="N16577">
        <v>0</v>
      </c>
      <c r="O16577">
        <v>55</v>
      </c>
      <c r="P16577">
        <v>0</v>
      </c>
    </row>
    <row r="16578" spans="1:16" x14ac:dyDescent="0.25">
      <c r="A16578" t="s">
        <v>39177</v>
      </c>
      <c r="B16578" t="s">
        <v>18325</v>
      </c>
      <c r="C16578" t="s">
        <v>18326</v>
      </c>
      <c r="D16578" t="str">
        <f>"1370"</f>
        <v>1370</v>
      </c>
      <c r="E16578" t="s">
        <v>2162</v>
      </c>
      <c r="F16578" t="s">
        <v>15183</v>
      </c>
      <c r="G16578" t="s">
        <v>47096</v>
      </c>
      <c r="H16578" t="s">
        <v>47055</v>
      </c>
      <c r="I16578" t="s">
        <v>47127</v>
      </c>
      <c r="J16578" t="s">
        <v>47128</v>
      </c>
      <c r="K16578" t="s">
        <v>47113</v>
      </c>
      <c r="L16578">
        <v>38.26</v>
      </c>
      <c r="M16578">
        <v>55</v>
      </c>
      <c r="N16578">
        <v>0</v>
      </c>
      <c r="O16578">
        <v>55</v>
      </c>
      <c r="P16578">
        <v>0</v>
      </c>
    </row>
    <row r="16579" spans="1:16" x14ac:dyDescent="0.25">
      <c r="A16579" t="s">
        <v>39178</v>
      </c>
      <c r="B16579" t="s">
        <v>18325</v>
      </c>
      <c r="C16579" t="s">
        <v>18326</v>
      </c>
      <c r="D16579" t="str">
        <f>"1377"</f>
        <v>1377</v>
      </c>
      <c r="E16579" t="s">
        <v>74</v>
      </c>
      <c r="F16579" t="s">
        <v>15183</v>
      </c>
      <c r="G16579" t="s">
        <v>47096</v>
      </c>
      <c r="H16579" t="s">
        <v>47055</v>
      </c>
      <c r="I16579" t="s">
        <v>47127</v>
      </c>
      <c r="J16579" t="s">
        <v>47128</v>
      </c>
      <c r="K16579" t="s">
        <v>47113</v>
      </c>
      <c r="L16579">
        <v>38.26</v>
      </c>
      <c r="M16579">
        <v>55</v>
      </c>
      <c r="N16579">
        <v>0</v>
      </c>
      <c r="O16579">
        <v>55</v>
      </c>
      <c r="P16579">
        <v>0</v>
      </c>
    </row>
    <row r="16580" spans="1:16" x14ac:dyDescent="0.25">
      <c r="A16580" t="s">
        <v>39179</v>
      </c>
      <c r="B16580" t="s">
        <v>18325</v>
      </c>
      <c r="C16580" t="s">
        <v>18326</v>
      </c>
      <c r="D16580" t="str">
        <f>"1378"</f>
        <v>1378</v>
      </c>
      <c r="E16580" t="s">
        <v>388</v>
      </c>
      <c r="F16580" t="s">
        <v>15183</v>
      </c>
      <c r="G16580" t="s">
        <v>47096</v>
      </c>
      <c r="H16580" t="s">
        <v>47055</v>
      </c>
      <c r="I16580" t="s">
        <v>47127</v>
      </c>
      <c r="J16580" t="s">
        <v>47128</v>
      </c>
      <c r="K16580" t="s">
        <v>47113</v>
      </c>
      <c r="L16580">
        <v>38.26</v>
      </c>
      <c r="M16580">
        <v>55</v>
      </c>
      <c r="N16580">
        <v>0</v>
      </c>
      <c r="O16580">
        <v>55</v>
      </c>
      <c r="P16580">
        <v>0</v>
      </c>
    </row>
    <row r="16581" spans="1:16" x14ac:dyDescent="0.25">
      <c r="A16581" t="s">
        <v>39180</v>
      </c>
      <c r="B16581" t="s">
        <v>18325</v>
      </c>
      <c r="C16581" t="s">
        <v>18326</v>
      </c>
      <c r="D16581" t="str">
        <f>"1537"</f>
        <v>1537</v>
      </c>
      <c r="E16581" t="s">
        <v>16535</v>
      </c>
      <c r="F16581" t="s">
        <v>15183</v>
      </c>
      <c r="G16581" t="s">
        <v>47096</v>
      </c>
      <c r="H16581" t="s">
        <v>47055</v>
      </c>
      <c r="I16581" t="s">
        <v>47127</v>
      </c>
      <c r="J16581" t="s">
        <v>47128</v>
      </c>
      <c r="K16581" t="s">
        <v>47113</v>
      </c>
      <c r="L16581">
        <v>38.26</v>
      </c>
      <c r="M16581">
        <v>55</v>
      </c>
      <c r="N16581">
        <v>0</v>
      </c>
      <c r="O16581">
        <v>55</v>
      </c>
      <c r="P16581">
        <v>0</v>
      </c>
    </row>
    <row r="16582" spans="1:16" x14ac:dyDescent="0.25">
      <c r="A16582" t="s">
        <v>39181</v>
      </c>
      <c r="B16582" t="s">
        <v>18325</v>
      </c>
      <c r="C16582" t="s">
        <v>18326</v>
      </c>
      <c r="D16582" t="str">
        <f>"1700"</f>
        <v>1700</v>
      </c>
      <c r="E16582" t="s">
        <v>60</v>
      </c>
      <c r="F16582" t="s">
        <v>15183</v>
      </c>
      <c r="G16582" t="s">
        <v>47096</v>
      </c>
      <c r="H16582" t="s">
        <v>47055</v>
      </c>
      <c r="I16582" t="s">
        <v>47127</v>
      </c>
      <c r="J16582" t="s">
        <v>47128</v>
      </c>
      <c r="K16582" t="s">
        <v>47113</v>
      </c>
      <c r="L16582">
        <v>38.26</v>
      </c>
      <c r="M16582">
        <v>55</v>
      </c>
      <c r="N16582">
        <v>0</v>
      </c>
      <c r="O16582">
        <v>55</v>
      </c>
      <c r="P16582">
        <v>0</v>
      </c>
    </row>
    <row r="16583" spans="1:16" x14ac:dyDescent="0.25">
      <c r="A16583" t="s">
        <v>39182</v>
      </c>
      <c r="B16583" t="s">
        <v>18325</v>
      </c>
      <c r="C16583" t="s">
        <v>18326</v>
      </c>
      <c r="D16583" t="str">
        <f>"1704"</f>
        <v>1704</v>
      </c>
      <c r="E16583" t="s">
        <v>7181</v>
      </c>
      <c r="F16583" t="s">
        <v>15183</v>
      </c>
      <c r="G16583" t="s">
        <v>47096</v>
      </c>
      <c r="H16583" t="s">
        <v>47055</v>
      </c>
      <c r="I16583" t="s">
        <v>47127</v>
      </c>
      <c r="J16583" t="s">
        <v>47128</v>
      </c>
      <c r="K16583" t="s">
        <v>47113</v>
      </c>
      <c r="L16583">
        <v>38.26</v>
      </c>
      <c r="M16583">
        <v>55</v>
      </c>
      <c r="N16583">
        <v>0</v>
      </c>
      <c r="O16583">
        <v>55</v>
      </c>
      <c r="P16583">
        <v>0</v>
      </c>
    </row>
    <row r="16584" spans="1:16" x14ac:dyDescent="0.25">
      <c r="A16584" t="s">
        <v>39183</v>
      </c>
      <c r="B16584" t="s">
        <v>18325</v>
      </c>
      <c r="C16584" t="s">
        <v>18326</v>
      </c>
      <c r="D16584" t="str">
        <f>"3304"</f>
        <v>3304</v>
      </c>
      <c r="E16584" t="s">
        <v>16536</v>
      </c>
      <c r="F16584" t="s">
        <v>15183</v>
      </c>
      <c r="G16584" t="s">
        <v>47096</v>
      </c>
      <c r="H16584" t="s">
        <v>47055</v>
      </c>
      <c r="I16584" t="s">
        <v>47127</v>
      </c>
      <c r="J16584" t="s">
        <v>47128</v>
      </c>
      <c r="K16584" t="s">
        <v>47113</v>
      </c>
      <c r="L16584">
        <v>38.26</v>
      </c>
      <c r="M16584">
        <v>55</v>
      </c>
      <c r="N16584">
        <v>0</v>
      </c>
      <c r="O16584">
        <v>55</v>
      </c>
      <c r="P16584">
        <v>0</v>
      </c>
    </row>
    <row r="16585" spans="1:16" x14ac:dyDescent="0.25">
      <c r="A16585" t="s">
        <v>39184</v>
      </c>
      <c r="B16585" t="s">
        <v>18325</v>
      </c>
      <c r="C16585" t="s">
        <v>18326</v>
      </c>
      <c r="D16585" t="str">
        <f>"4000"</f>
        <v>4000</v>
      </c>
      <c r="E16585" t="s">
        <v>16537</v>
      </c>
      <c r="F16585" t="s">
        <v>15183</v>
      </c>
      <c r="G16585" t="s">
        <v>47096</v>
      </c>
      <c r="H16585" t="s">
        <v>47055</v>
      </c>
      <c r="I16585" t="s">
        <v>47127</v>
      </c>
      <c r="J16585" t="s">
        <v>47128</v>
      </c>
      <c r="K16585" t="s">
        <v>47113</v>
      </c>
      <c r="L16585">
        <v>38.26</v>
      </c>
      <c r="M16585">
        <v>55</v>
      </c>
      <c r="N16585">
        <v>0</v>
      </c>
      <c r="O16585">
        <v>55</v>
      </c>
      <c r="P16585">
        <v>0</v>
      </c>
    </row>
    <row r="16586" spans="1:16" x14ac:dyDescent="0.25">
      <c r="A16586" t="s">
        <v>39185</v>
      </c>
      <c r="B16586" t="s">
        <v>18325</v>
      </c>
      <c r="C16586" t="s">
        <v>18326</v>
      </c>
      <c r="D16586" t="str">
        <f>"4643"</f>
        <v>4643</v>
      </c>
      <c r="E16586" t="s">
        <v>205</v>
      </c>
      <c r="F16586" t="s">
        <v>15183</v>
      </c>
      <c r="G16586" t="s">
        <v>47096</v>
      </c>
      <c r="H16586" t="s">
        <v>47055</v>
      </c>
      <c r="I16586" t="s">
        <v>47127</v>
      </c>
      <c r="J16586" t="s">
        <v>47128</v>
      </c>
      <c r="K16586" t="s">
        <v>47113</v>
      </c>
      <c r="L16586">
        <v>38.26</v>
      </c>
      <c r="M16586">
        <v>55</v>
      </c>
      <c r="N16586">
        <v>0</v>
      </c>
      <c r="O16586">
        <v>55</v>
      </c>
      <c r="P16586">
        <v>0</v>
      </c>
    </row>
    <row r="16587" spans="1:16" x14ac:dyDescent="0.25">
      <c r="A16587" t="s">
        <v>39186</v>
      </c>
      <c r="B16587" t="s">
        <v>18325</v>
      </c>
      <c r="C16587" t="s">
        <v>18326</v>
      </c>
      <c r="D16587" t="str">
        <f>"4921"</f>
        <v>4921</v>
      </c>
      <c r="E16587" t="s">
        <v>4156</v>
      </c>
      <c r="F16587" t="s">
        <v>15183</v>
      </c>
      <c r="G16587" t="s">
        <v>47096</v>
      </c>
      <c r="H16587" t="s">
        <v>47055</v>
      </c>
      <c r="I16587" t="s">
        <v>47127</v>
      </c>
      <c r="J16587" t="s">
        <v>47128</v>
      </c>
      <c r="K16587" t="s">
        <v>47113</v>
      </c>
      <c r="L16587">
        <v>38.26</v>
      </c>
      <c r="M16587">
        <v>55</v>
      </c>
      <c r="N16587">
        <v>0</v>
      </c>
      <c r="O16587">
        <v>55</v>
      </c>
      <c r="P16587">
        <v>0</v>
      </c>
    </row>
    <row r="16588" spans="1:16" x14ac:dyDescent="0.25">
      <c r="A16588" t="s">
        <v>39187</v>
      </c>
      <c r="B16588" t="s">
        <v>18327</v>
      </c>
      <c r="C16588" t="s">
        <v>18326</v>
      </c>
      <c r="D16588" t="str">
        <f>"1001"</f>
        <v>1001</v>
      </c>
      <c r="E16588" t="s">
        <v>42</v>
      </c>
      <c r="F16588" t="s">
        <v>15183</v>
      </c>
      <c r="G16588" t="s">
        <v>47096</v>
      </c>
      <c r="H16588" t="s">
        <v>47055</v>
      </c>
      <c r="I16588" t="s">
        <v>47127</v>
      </c>
      <c r="J16588" t="s">
        <v>47128</v>
      </c>
      <c r="K16588" t="s">
        <v>47113</v>
      </c>
      <c r="L16588">
        <v>38.26</v>
      </c>
      <c r="M16588">
        <v>55</v>
      </c>
      <c r="N16588">
        <v>0</v>
      </c>
      <c r="O16588">
        <v>55</v>
      </c>
      <c r="P16588">
        <v>0</v>
      </c>
    </row>
    <row r="16589" spans="1:16" x14ac:dyDescent="0.25">
      <c r="A16589" t="s">
        <v>39188</v>
      </c>
      <c r="B16589" t="s">
        <v>18327</v>
      </c>
      <c r="C16589" t="s">
        <v>18326</v>
      </c>
      <c r="D16589" t="str">
        <f>"1200"</f>
        <v>1200</v>
      </c>
      <c r="E16589" t="s">
        <v>16534</v>
      </c>
      <c r="F16589" t="s">
        <v>15183</v>
      </c>
      <c r="G16589" t="s">
        <v>47096</v>
      </c>
      <c r="H16589" t="s">
        <v>47055</v>
      </c>
      <c r="I16589" t="s">
        <v>47127</v>
      </c>
      <c r="J16589" t="s">
        <v>47128</v>
      </c>
      <c r="K16589" t="s">
        <v>47113</v>
      </c>
      <c r="L16589">
        <v>38.26</v>
      </c>
      <c r="M16589">
        <v>55</v>
      </c>
      <c r="N16589">
        <v>0</v>
      </c>
      <c r="O16589">
        <v>55</v>
      </c>
      <c r="P16589">
        <v>0</v>
      </c>
    </row>
    <row r="16590" spans="1:16" x14ac:dyDescent="0.25">
      <c r="A16590" t="s">
        <v>39189</v>
      </c>
      <c r="B16590" t="s">
        <v>18327</v>
      </c>
      <c r="C16590" t="s">
        <v>18326</v>
      </c>
      <c r="D16590" t="str">
        <f>"1370"</f>
        <v>1370</v>
      </c>
      <c r="E16590" t="s">
        <v>2162</v>
      </c>
      <c r="F16590" t="s">
        <v>15183</v>
      </c>
      <c r="G16590" t="s">
        <v>47096</v>
      </c>
      <c r="H16590" t="s">
        <v>47055</v>
      </c>
      <c r="I16590" t="s">
        <v>47127</v>
      </c>
      <c r="J16590" t="s">
        <v>47128</v>
      </c>
      <c r="K16590" t="s">
        <v>47113</v>
      </c>
      <c r="L16590">
        <v>38.26</v>
      </c>
      <c r="M16590">
        <v>55</v>
      </c>
      <c r="N16590">
        <v>0</v>
      </c>
      <c r="O16590">
        <v>55</v>
      </c>
      <c r="P16590">
        <v>0</v>
      </c>
    </row>
    <row r="16591" spans="1:16" x14ac:dyDescent="0.25">
      <c r="A16591" t="s">
        <v>39190</v>
      </c>
      <c r="B16591" t="s">
        <v>18327</v>
      </c>
      <c r="C16591" t="s">
        <v>18326</v>
      </c>
      <c r="D16591" t="str">
        <f>"1377"</f>
        <v>1377</v>
      </c>
      <c r="E16591" t="s">
        <v>74</v>
      </c>
      <c r="F16591" t="s">
        <v>15183</v>
      </c>
      <c r="G16591" t="s">
        <v>47096</v>
      </c>
      <c r="H16591" t="s">
        <v>47055</v>
      </c>
      <c r="I16591" t="s">
        <v>47127</v>
      </c>
      <c r="J16591" t="s">
        <v>47128</v>
      </c>
      <c r="K16591" t="s">
        <v>47113</v>
      </c>
      <c r="L16591">
        <v>38.26</v>
      </c>
      <c r="M16591">
        <v>55</v>
      </c>
      <c r="N16591">
        <v>0</v>
      </c>
      <c r="O16591">
        <v>55</v>
      </c>
      <c r="P16591">
        <v>0</v>
      </c>
    </row>
    <row r="16592" spans="1:16" x14ac:dyDescent="0.25">
      <c r="A16592" t="s">
        <v>39191</v>
      </c>
      <c r="B16592" t="s">
        <v>18327</v>
      </c>
      <c r="C16592" t="s">
        <v>18326</v>
      </c>
      <c r="D16592" t="str">
        <f>"1378"</f>
        <v>1378</v>
      </c>
      <c r="E16592" t="s">
        <v>388</v>
      </c>
      <c r="F16592" t="s">
        <v>15183</v>
      </c>
      <c r="G16592" t="s">
        <v>47096</v>
      </c>
      <c r="H16592" t="s">
        <v>47055</v>
      </c>
      <c r="I16592" t="s">
        <v>47127</v>
      </c>
      <c r="J16592" t="s">
        <v>47128</v>
      </c>
      <c r="K16592" t="s">
        <v>47113</v>
      </c>
      <c r="L16592">
        <v>38.26</v>
      </c>
      <c r="M16592">
        <v>55</v>
      </c>
      <c r="N16592">
        <v>0</v>
      </c>
      <c r="O16592">
        <v>55</v>
      </c>
      <c r="P16592">
        <v>0</v>
      </c>
    </row>
    <row r="16593" spans="1:16" x14ac:dyDescent="0.25">
      <c r="A16593" t="s">
        <v>39192</v>
      </c>
      <c r="B16593" t="s">
        <v>18327</v>
      </c>
      <c r="C16593" t="s">
        <v>18326</v>
      </c>
      <c r="D16593" t="str">
        <f>"1537"</f>
        <v>1537</v>
      </c>
      <c r="E16593" t="s">
        <v>16535</v>
      </c>
      <c r="F16593" t="s">
        <v>15183</v>
      </c>
      <c r="G16593" t="s">
        <v>47096</v>
      </c>
      <c r="H16593" t="s">
        <v>47055</v>
      </c>
      <c r="I16593" t="s">
        <v>47127</v>
      </c>
      <c r="J16593" t="s">
        <v>47128</v>
      </c>
      <c r="K16593" t="s">
        <v>47113</v>
      </c>
      <c r="L16593">
        <v>38.26</v>
      </c>
      <c r="M16593">
        <v>55</v>
      </c>
      <c r="N16593">
        <v>0</v>
      </c>
      <c r="O16593">
        <v>55</v>
      </c>
      <c r="P16593">
        <v>0</v>
      </c>
    </row>
    <row r="16594" spans="1:16" x14ac:dyDescent="0.25">
      <c r="A16594" t="s">
        <v>39193</v>
      </c>
      <c r="B16594" t="s">
        <v>18327</v>
      </c>
      <c r="C16594" t="s">
        <v>18326</v>
      </c>
      <c r="D16594" t="str">
        <f>"1700"</f>
        <v>1700</v>
      </c>
      <c r="E16594" t="s">
        <v>60</v>
      </c>
      <c r="F16594" t="s">
        <v>15183</v>
      </c>
      <c r="G16594" t="s">
        <v>47096</v>
      </c>
      <c r="H16594" t="s">
        <v>47055</v>
      </c>
      <c r="I16594" t="s">
        <v>47127</v>
      </c>
      <c r="J16594" t="s">
        <v>47128</v>
      </c>
      <c r="K16594" t="s">
        <v>47113</v>
      </c>
      <c r="L16594">
        <v>38.26</v>
      </c>
      <c r="M16594">
        <v>55</v>
      </c>
      <c r="N16594">
        <v>0</v>
      </c>
      <c r="O16594">
        <v>55</v>
      </c>
      <c r="P16594">
        <v>0</v>
      </c>
    </row>
    <row r="16595" spans="1:16" x14ac:dyDescent="0.25">
      <c r="A16595" t="s">
        <v>39194</v>
      </c>
      <c r="B16595" t="s">
        <v>18327</v>
      </c>
      <c r="C16595" t="s">
        <v>18326</v>
      </c>
      <c r="D16595" t="str">
        <f>"1704"</f>
        <v>1704</v>
      </c>
      <c r="E16595" t="s">
        <v>7181</v>
      </c>
      <c r="F16595" t="s">
        <v>15183</v>
      </c>
      <c r="G16595" t="s">
        <v>47096</v>
      </c>
      <c r="H16595" t="s">
        <v>47055</v>
      </c>
      <c r="I16595" t="s">
        <v>47127</v>
      </c>
      <c r="J16595" t="s">
        <v>47128</v>
      </c>
      <c r="K16595" t="s">
        <v>47113</v>
      </c>
      <c r="L16595">
        <v>38.26</v>
      </c>
      <c r="M16595">
        <v>55</v>
      </c>
      <c r="N16595">
        <v>0</v>
      </c>
      <c r="O16595">
        <v>55</v>
      </c>
      <c r="P16595">
        <v>0</v>
      </c>
    </row>
    <row r="16596" spans="1:16" x14ac:dyDescent="0.25">
      <c r="A16596" t="s">
        <v>39195</v>
      </c>
      <c r="B16596" t="s">
        <v>18327</v>
      </c>
      <c r="C16596" t="s">
        <v>18326</v>
      </c>
      <c r="D16596" t="str">
        <f>"3304"</f>
        <v>3304</v>
      </c>
      <c r="E16596" t="s">
        <v>16536</v>
      </c>
      <c r="F16596" t="s">
        <v>15183</v>
      </c>
      <c r="G16596" t="s">
        <v>47096</v>
      </c>
      <c r="H16596" t="s">
        <v>47055</v>
      </c>
      <c r="I16596" t="s">
        <v>47127</v>
      </c>
      <c r="J16596" t="s">
        <v>47128</v>
      </c>
      <c r="K16596" t="s">
        <v>47113</v>
      </c>
      <c r="L16596">
        <v>38.26</v>
      </c>
      <c r="M16596">
        <v>55</v>
      </c>
      <c r="N16596">
        <v>0</v>
      </c>
      <c r="O16596">
        <v>55</v>
      </c>
      <c r="P16596">
        <v>0</v>
      </c>
    </row>
    <row r="16597" spans="1:16" x14ac:dyDescent="0.25">
      <c r="A16597" t="s">
        <v>39196</v>
      </c>
      <c r="B16597" t="s">
        <v>18327</v>
      </c>
      <c r="C16597" t="s">
        <v>18326</v>
      </c>
      <c r="D16597" t="str">
        <f>"4000"</f>
        <v>4000</v>
      </c>
      <c r="E16597" t="s">
        <v>16537</v>
      </c>
      <c r="F16597" t="s">
        <v>15183</v>
      </c>
      <c r="G16597" t="s">
        <v>47096</v>
      </c>
      <c r="H16597" t="s">
        <v>47055</v>
      </c>
      <c r="I16597" t="s">
        <v>47127</v>
      </c>
      <c r="J16597" t="s">
        <v>47128</v>
      </c>
      <c r="K16597" t="s">
        <v>47113</v>
      </c>
      <c r="L16597">
        <v>38.26</v>
      </c>
      <c r="M16597">
        <v>55</v>
      </c>
      <c r="N16597">
        <v>0</v>
      </c>
      <c r="O16597">
        <v>55</v>
      </c>
      <c r="P16597">
        <v>0</v>
      </c>
    </row>
    <row r="16598" spans="1:16" x14ac:dyDescent="0.25">
      <c r="A16598" t="s">
        <v>39197</v>
      </c>
      <c r="B16598" t="s">
        <v>18327</v>
      </c>
      <c r="C16598" t="s">
        <v>18326</v>
      </c>
      <c r="D16598" t="str">
        <f>"4643"</f>
        <v>4643</v>
      </c>
      <c r="E16598" t="s">
        <v>205</v>
      </c>
      <c r="F16598" t="s">
        <v>15183</v>
      </c>
      <c r="G16598" t="s">
        <v>47096</v>
      </c>
      <c r="H16598" t="s">
        <v>47055</v>
      </c>
      <c r="I16598" t="s">
        <v>47127</v>
      </c>
      <c r="J16598" t="s">
        <v>47128</v>
      </c>
      <c r="K16598" t="s">
        <v>47113</v>
      </c>
      <c r="L16598">
        <v>38.26</v>
      </c>
      <c r="M16598">
        <v>55</v>
      </c>
      <c r="N16598">
        <v>0</v>
      </c>
      <c r="O16598">
        <v>55</v>
      </c>
      <c r="P16598">
        <v>0</v>
      </c>
    </row>
    <row r="16599" spans="1:16" x14ac:dyDescent="0.25">
      <c r="A16599" t="s">
        <v>39198</v>
      </c>
      <c r="B16599" t="s">
        <v>18327</v>
      </c>
      <c r="C16599" t="s">
        <v>18326</v>
      </c>
      <c r="D16599" t="str">
        <f>"4921"</f>
        <v>4921</v>
      </c>
      <c r="E16599" t="s">
        <v>4156</v>
      </c>
      <c r="F16599" t="s">
        <v>15183</v>
      </c>
      <c r="G16599" t="s">
        <v>47096</v>
      </c>
      <c r="H16599" t="s">
        <v>47055</v>
      </c>
      <c r="I16599" t="s">
        <v>47127</v>
      </c>
      <c r="J16599" t="s">
        <v>47128</v>
      </c>
      <c r="K16599" t="s">
        <v>47113</v>
      </c>
      <c r="L16599">
        <v>38.26</v>
      </c>
      <c r="M16599">
        <v>55</v>
      </c>
      <c r="N16599">
        <v>0</v>
      </c>
      <c r="O16599">
        <v>55</v>
      </c>
      <c r="P16599">
        <v>0</v>
      </c>
    </row>
    <row r="16600" spans="1:16" x14ac:dyDescent="0.25">
      <c r="A16600" t="s">
        <v>39199</v>
      </c>
      <c r="B16600" t="s">
        <v>18328</v>
      </c>
      <c r="C16600" t="s">
        <v>18326</v>
      </c>
      <c r="D16600" t="str">
        <f>"1001"</f>
        <v>1001</v>
      </c>
      <c r="E16600" t="s">
        <v>42</v>
      </c>
      <c r="F16600" t="s">
        <v>15183</v>
      </c>
      <c r="G16600" t="s">
        <v>47096</v>
      </c>
      <c r="H16600" t="s">
        <v>47055</v>
      </c>
      <c r="I16600" t="s">
        <v>47127</v>
      </c>
      <c r="J16600" t="s">
        <v>47128</v>
      </c>
      <c r="K16600" t="s">
        <v>47113</v>
      </c>
      <c r="L16600">
        <v>36.01</v>
      </c>
      <c r="M16600">
        <v>55</v>
      </c>
      <c r="N16600">
        <v>0</v>
      </c>
      <c r="O16600">
        <v>55</v>
      </c>
      <c r="P16600">
        <v>0</v>
      </c>
    </row>
    <row r="16601" spans="1:16" x14ac:dyDescent="0.25">
      <c r="A16601" t="s">
        <v>39200</v>
      </c>
      <c r="B16601" t="s">
        <v>18328</v>
      </c>
      <c r="C16601" t="s">
        <v>18326</v>
      </c>
      <c r="D16601" t="str">
        <f>"1200"</f>
        <v>1200</v>
      </c>
      <c r="E16601" t="s">
        <v>16534</v>
      </c>
      <c r="F16601" t="s">
        <v>15183</v>
      </c>
      <c r="G16601" t="s">
        <v>47096</v>
      </c>
      <c r="H16601" t="s">
        <v>47055</v>
      </c>
      <c r="I16601" t="s">
        <v>47127</v>
      </c>
      <c r="J16601" t="s">
        <v>47128</v>
      </c>
      <c r="K16601" t="s">
        <v>47113</v>
      </c>
      <c r="L16601">
        <v>36.01</v>
      </c>
      <c r="M16601">
        <v>55</v>
      </c>
      <c r="N16601">
        <v>0</v>
      </c>
      <c r="O16601">
        <v>55</v>
      </c>
      <c r="P16601">
        <v>0</v>
      </c>
    </row>
    <row r="16602" spans="1:16" x14ac:dyDescent="0.25">
      <c r="A16602" t="s">
        <v>39201</v>
      </c>
      <c r="B16602" t="s">
        <v>18328</v>
      </c>
      <c r="C16602" t="s">
        <v>18326</v>
      </c>
      <c r="D16602" t="str">
        <f>"1370"</f>
        <v>1370</v>
      </c>
      <c r="E16602" t="s">
        <v>2162</v>
      </c>
      <c r="F16602" t="s">
        <v>15183</v>
      </c>
      <c r="G16602" t="s">
        <v>47096</v>
      </c>
      <c r="H16602" t="s">
        <v>47055</v>
      </c>
      <c r="I16602" t="s">
        <v>47127</v>
      </c>
      <c r="J16602" t="s">
        <v>47128</v>
      </c>
      <c r="K16602" t="s">
        <v>47113</v>
      </c>
      <c r="L16602">
        <v>36.01</v>
      </c>
      <c r="M16602">
        <v>55</v>
      </c>
      <c r="N16602">
        <v>0</v>
      </c>
      <c r="O16602">
        <v>55</v>
      </c>
      <c r="P16602">
        <v>0</v>
      </c>
    </row>
    <row r="16603" spans="1:16" x14ac:dyDescent="0.25">
      <c r="A16603" t="s">
        <v>39202</v>
      </c>
      <c r="B16603" t="s">
        <v>18328</v>
      </c>
      <c r="C16603" t="s">
        <v>18326</v>
      </c>
      <c r="D16603" t="str">
        <f>"1377"</f>
        <v>1377</v>
      </c>
      <c r="E16603" t="s">
        <v>74</v>
      </c>
      <c r="F16603" t="s">
        <v>15183</v>
      </c>
      <c r="G16603" t="s">
        <v>47096</v>
      </c>
      <c r="H16603" t="s">
        <v>47055</v>
      </c>
      <c r="I16603" t="s">
        <v>47127</v>
      </c>
      <c r="J16603" t="s">
        <v>47128</v>
      </c>
      <c r="K16603" t="s">
        <v>47113</v>
      </c>
      <c r="L16603">
        <v>36.01</v>
      </c>
      <c r="M16603">
        <v>55</v>
      </c>
      <c r="N16603">
        <v>0</v>
      </c>
      <c r="O16603">
        <v>55</v>
      </c>
      <c r="P16603">
        <v>0</v>
      </c>
    </row>
    <row r="16604" spans="1:16" x14ac:dyDescent="0.25">
      <c r="A16604" t="s">
        <v>39203</v>
      </c>
      <c r="B16604" t="s">
        <v>18328</v>
      </c>
      <c r="C16604" t="s">
        <v>18326</v>
      </c>
      <c r="D16604" t="str">
        <f>"1378"</f>
        <v>1378</v>
      </c>
      <c r="E16604" t="s">
        <v>388</v>
      </c>
      <c r="F16604" t="s">
        <v>15183</v>
      </c>
      <c r="G16604" t="s">
        <v>47096</v>
      </c>
      <c r="H16604" t="s">
        <v>47055</v>
      </c>
      <c r="I16604" t="s">
        <v>47127</v>
      </c>
      <c r="J16604" t="s">
        <v>47128</v>
      </c>
      <c r="K16604" t="s">
        <v>47113</v>
      </c>
      <c r="L16604">
        <v>36.01</v>
      </c>
      <c r="M16604">
        <v>55</v>
      </c>
      <c r="N16604">
        <v>0</v>
      </c>
      <c r="O16604">
        <v>55</v>
      </c>
      <c r="P16604">
        <v>0</v>
      </c>
    </row>
    <row r="16605" spans="1:16" x14ac:dyDescent="0.25">
      <c r="A16605" t="s">
        <v>39204</v>
      </c>
      <c r="B16605" t="s">
        <v>18328</v>
      </c>
      <c r="C16605" t="s">
        <v>18326</v>
      </c>
      <c r="D16605" t="str">
        <f>"1537"</f>
        <v>1537</v>
      </c>
      <c r="E16605" t="s">
        <v>16535</v>
      </c>
      <c r="F16605" t="s">
        <v>15183</v>
      </c>
      <c r="G16605" t="s">
        <v>47096</v>
      </c>
      <c r="H16605" t="s">
        <v>47055</v>
      </c>
      <c r="I16605" t="s">
        <v>47127</v>
      </c>
      <c r="J16605" t="s">
        <v>47128</v>
      </c>
      <c r="K16605" t="s">
        <v>47113</v>
      </c>
      <c r="L16605">
        <v>36.01</v>
      </c>
      <c r="M16605">
        <v>55</v>
      </c>
      <c r="N16605">
        <v>0</v>
      </c>
      <c r="O16605">
        <v>55</v>
      </c>
      <c r="P16605">
        <v>0</v>
      </c>
    </row>
    <row r="16606" spans="1:16" x14ac:dyDescent="0.25">
      <c r="A16606" t="s">
        <v>39205</v>
      </c>
      <c r="B16606" t="s">
        <v>18328</v>
      </c>
      <c r="C16606" t="s">
        <v>18326</v>
      </c>
      <c r="D16606" t="str">
        <f>"1700"</f>
        <v>1700</v>
      </c>
      <c r="E16606" t="s">
        <v>60</v>
      </c>
      <c r="F16606" t="s">
        <v>15183</v>
      </c>
      <c r="G16606" t="s">
        <v>47096</v>
      </c>
      <c r="H16606" t="s">
        <v>47055</v>
      </c>
      <c r="I16606" t="s">
        <v>47127</v>
      </c>
      <c r="J16606" t="s">
        <v>47128</v>
      </c>
      <c r="K16606" t="s">
        <v>47113</v>
      </c>
      <c r="L16606">
        <v>36.01</v>
      </c>
      <c r="M16606">
        <v>55</v>
      </c>
      <c r="N16606">
        <v>0</v>
      </c>
      <c r="O16606">
        <v>55</v>
      </c>
      <c r="P16606">
        <v>0</v>
      </c>
    </row>
    <row r="16607" spans="1:16" x14ac:dyDescent="0.25">
      <c r="A16607" t="s">
        <v>39206</v>
      </c>
      <c r="B16607" t="s">
        <v>18328</v>
      </c>
      <c r="C16607" t="s">
        <v>18326</v>
      </c>
      <c r="D16607" t="str">
        <f>"1704"</f>
        <v>1704</v>
      </c>
      <c r="E16607" t="s">
        <v>7181</v>
      </c>
      <c r="F16607" t="s">
        <v>15183</v>
      </c>
      <c r="G16607" t="s">
        <v>47096</v>
      </c>
      <c r="H16607" t="s">
        <v>47055</v>
      </c>
      <c r="I16607" t="s">
        <v>47127</v>
      </c>
      <c r="J16607" t="s">
        <v>47128</v>
      </c>
      <c r="K16607" t="s">
        <v>47113</v>
      </c>
      <c r="L16607">
        <v>36.01</v>
      </c>
      <c r="M16607">
        <v>55</v>
      </c>
      <c r="N16607">
        <v>0</v>
      </c>
      <c r="O16607">
        <v>55</v>
      </c>
      <c r="P16607">
        <v>0</v>
      </c>
    </row>
    <row r="16608" spans="1:16" x14ac:dyDescent="0.25">
      <c r="A16608" t="s">
        <v>39207</v>
      </c>
      <c r="B16608" t="s">
        <v>18328</v>
      </c>
      <c r="C16608" t="s">
        <v>18326</v>
      </c>
      <c r="D16608" t="str">
        <f>"3304"</f>
        <v>3304</v>
      </c>
      <c r="E16608" t="s">
        <v>16536</v>
      </c>
      <c r="F16608" t="s">
        <v>15183</v>
      </c>
      <c r="G16608" t="s">
        <v>47096</v>
      </c>
      <c r="H16608" t="s">
        <v>47055</v>
      </c>
      <c r="I16608" t="s">
        <v>47127</v>
      </c>
      <c r="J16608" t="s">
        <v>47128</v>
      </c>
      <c r="K16608" t="s">
        <v>47113</v>
      </c>
      <c r="L16608">
        <v>36.01</v>
      </c>
      <c r="M16608">
        <v>55</v>
      </c>
      <c r="N16608">
        <v>0</v>
      </c>
      <c r="O16608">
        <v>55</v>
      </c>
      <c r="P16608">
        <v>0</v>
      </c>
    </row>
    <row r="16609" spans="1:16" x14ac:dyDescent="0.25">
      <c r="A16609" t="s">
        <v>39208</v>
      </c>
      <c r="B16609" t="s">
        <v>18328</v>
      </c>
      <c r="C16609" t="s">
        <v>18326</v>
      </c>
      <c r="D16609" t="str">
        <f>"4000"</f>
        <v>4000</v>
      </c>
      <c r="E16609" t="s">
        <v>16537</v>
      </c>
      <c r="F16609" t="s">
        <v>15183</v>
      </c>
      <c r="G16609" t="s">
        <v>47096</v>
      </c>
      <c r="H16609" t="s">
        <v>47055</v>
      </c>
      <c r="I16609" t="s">
        <v>47127</v>
      </c>
      <c r="J16609" t="s">
        <v>47128</v>
      </c>
      <c r="K16609" t="s">
        <v>47113</v>
      </c>
      <c r="L16609">
        <v>36.01</v>
      </c>
      <c r="M16609">
        <v>55</v>
      </c>
      <c r="N16609">
        <v>0</v>
      </c>
      <c r="O16609">
        <v>55</v>
      </c>
      <c r="P16609">
        <v>0</v>
      </c>
    </row>
    <row r="16610" spans="1:16" x14ac:dyDescent="0.25">
      <c r="A16610" t="s">
        <v>39209</v>
      </c>
      <c r="B16610" t="s">
        <v>18328</v>
      </c>
      <c r="C16610" t="s">
        <v>18326</v>
      </c>
      <c r="D16610" t="str">
        <f>"4643"</f>
        <v>4643</v>
      </c>
      <c r="E16610" t="s">
        <v>205</v>
      </c>
      <c r="F16610" t="s">
        <v>15183</v>
      </c>
      <c r="G16610" t="s">
        <v>47096</v>
      </c>
      <c r="H16610" t="s">
        <v>47055</v>
      </c>
      <c r="I16610" t="s">
        <v>47127</v>
      </c>
      <c r="J16610" t="s">
        <v>47128</v>
      </c>
      <c r="K16610" t="s">
        <v>47113</v>
      </c>
      <c r="L16610">
        <v>36.01</v>
      </c>
      <c r="M16610">
        <v>55</v>
      </c>
      <c r="N16610">
        <v>0</v>
      </c>
      <c r="O16610">
        <v>55</v>
      </c>
      <c r="P16610">
        <v>0</v>
      </c>
    </row>
    <row r="16611" spans="1:16" x14ac:dyDescent="0.25">
      <c r="A16611" t="s">
        <v>39210</v>
      </c>
      <c r="B16611" t="s">
        <v>18328</v>
      </c>
      <c r="C16611" t="s">
        <v>18326</v>
      </c>
      <c r="D16611" t="str">
        <f>"4921"</f>
        <v>4921</v>
      </c>
      <c r="E16611" t="s">
        <v>4156</v>
      </c>
      <c r="F16611" t="s">
        <v>15183</v>
      </c>
      <c r="G16611" t="s">
        <v>47096</v>
      </c>
      <c r="H16611" t="s">
        <v>47055</v>
      </c>
      <c r="I16611" t="s">
        <v>47127</v>
      </c>
      <c r="J16611" t="s">
        <v>47128</v>
      </c>
      <c r="K16611" t="s">
        <v>47113</v>
      </c>
      <c r="L16611">
        <v>36.01</v>
      </c>
      <c r="M16611">
        <v>55</v>
      </c>
      <c r="N16611">
        <v>0</v>
      </c>
      <c r="O16611">
        <v>55</v>
      </c>
      <c r="P16611">
        <v>0</v>
      </c>
    </row>
    <row r="16612" spans="1:16" x14ac:dyDescent="0.25">
      <c r="A16612" t="s">
        <v>39211</v>
      </c>
      <c r="B16612" t="s">
        <v>18329</v>
      </c>
      <c r="C16612" t="s">
        <v>16566</v>
      </c>
      <c r="D16612" t="str">
        <f>"1305"</f>
        <v>1305</v>
      </c>
      <c r="E16612" t="s">
        <v>11901</v>
      </c>
      <c r="F16612" t="s">
        <v>15183</v>
      </c>
      <c r="G16612" t="s">
        <v>47102</v>
      </c>
      <c r="H16612" t="s">
        <v>47055</v>
      </c>
      <c r="I16612" t="s">
        <v>47120</v>
      </c>
      <c r="J16612" t="s">
        <v>47121</v>
      </c>
      <c r="K16612" t="s">
        <v>47113</v>
      </c>
      <c r="L16612">
        <v>74.13</v>
      </c>
      <c r="M16612">
        <v>151</v>
      </c>
      <c r="N16612">
        <v>0</v>
      </c>
      <c r="O16612">
        <v>151</v>
      </c>
      <c r="P16612">
        <v>0</v>
      </c>
    </row>
    <row r="16613" spans="1:16" x14ac:dyDescent="0.25">
      <c r="A16613" t="s">
        <v>39212</v>
      </c>
      <c r="B16613" t="s">
        <v>18329</v>
      </c>
      <c r="C16613" t="s">
        <v>16566</v>
      </c>
      <c r="D16613" t="str">
        <f>"4000"</f>
        <v>4000</v>
      </c>
      <c r="E16613" t="s">
        <v>16567</v>
      </c>
      <c r="F16613" t="s">
        <v>15183</v>
      </c>
      <c r="G16613" t="s">
        <v>47102</v>
      </c>
      <c r="H16613" t="s">
        <v>47055</v>
      </c>
      <c r="I16613" t="s">
        <v>47120</v>
      </c>
      <c r="J16613" t="s">
        <v>47121</v>
      </c>
      <c r="K16613" t="s">
        <v>47113</v>
      </c>
      <c r="L16613">
        <v>74.13</v>
      </c>
      <c r="M16613">
        <v>151</v>
      </c>
      <c r="N16613">
        <v>0</v>
      </c>
      <c r="O16613">
        <v>151</v>
      </c>
      <c r="P16613">
        <v>0</v>
      </c>
    </row>
    <row r="16614" spans="1:16" x14ac:dyDescent="0.25">
      <c r="A16614" t="s">
        <v>39213</v>
      </c>
      <c r="B16614" t="s">
        <v>18330</v>
      </c>
      <c r="C16614" t="s">
        <v>16566</v>
      </c>
      <c r="D16614" t="str">
        <f>"1001"</f>
        <v>1001</v>
      </c>
      <c r="E16614" t="s">
        <v>42</v>
      </c>
      <c r="F16614" t="s">
        <v>15183</v>
      </c>
      <c r="G16614" t="s">
        <v>47102</v>
      </c>
      <c r="H16614" t="s">
        <v>47055</v>
      </c>
      <c r="I16614" t="s">
        <v>47120</v>
      </c>
      <c r="J16614" t="s">
        <v>47121</v>
      </c>
      <c r="K16614" t="s">
        <v>47113</v>
      </c>
      <c r="L16614">
        <v>104.27</v>
      </c>
      <c r="M16614">
        <v>212</v>
      </c>
      <c r="N16614">
        <v>0</v>
      </c>
      <c r="O16614">
        <v>212</v>
      </c>
      <c r="P16614">
        <v>0</v>
      </c>
    </row>
    <row r="16615" spans="1:16" x14ac:dyDescent="0.25">
      <c r="A16615" t="s">
        <v>39214</v>
      </c>
      <c r="B16615" t="s">
        <v>18330</v>
      </c>
      <c r="C16615" t="s">
        <v>16566</v>
      </c>
      <c r="D16615" t="str">
        <f>"4000"</f>
        <v>4000</v>
      </c>
      <c r="E16615" t="s">
        <v>190</v>
      </c>
      <c r="F16615" t="s">
        <v>15183</v>
      </c>
      <c r="G16615" t="s">
        <v>47102</v>
      </c>
      <c r="H16615" t="s">
        <v>47055</v>
      </c>
      <c r="I16615" t="s">
        <v>47120</v>
      </c>
      <c r="J16615" t="s">
        <v>47121</v>
      </c>
      <c r="K16615" t="s">
        <v>47113</v>
      </c>
      <c r="L16615">
        <v>93.93</v>
      </c>
      <c r="M16615">
        <v>213</v>
      </c>
      <c r="N16615">
        <v>0</v>
      </c>
      <c r="O16615">
        <v>213</v>
      </c>
      <c r="P16615">
        <v>0</v>
      </c>
    </row>
    <row r="16616" spans="1:16" x14ac:dyDescent="0.25">
      <c r="A16616" t="s">
        <v>39215</v>
      </c>
      <c r="B16616" t="s">
        <v>18331</v>
      </c>
      <c r="C16616" t="s">
        <v>16566</v>
      </c>
      <c r="D16616" t="str">
        <f>"1001"</f>
        <v>1001</v>
      </c>
      <c r="E16616" t="s">
        <v>42</v>
      </c>
      <c r="F16616" t="s">
        <v>15183</v>
      </c>
      <c r="G16616" t="s">
        <v>47102</v>
      </c>
      <c r="H16616" t="s">
        <v>47055</v>
      </c>
      <c r="I16616" t="s">
        <v>47120</v>
      </c>
      <c r="J16616" t="s">
        <v>47121</v>
      </c>
      <c r="K16616" t="s">
        <v>47113</v>
      </c>
      <c r="L16616">
        <v>104.27</v>
      </c>
      <c r="M16616">
        <v>212</v>
      </c>
      <c r="N16616">
        <v>0</v>
      </c>
      <c r="O16616">
        <v>212</v>
      </c>
      <c r="P16616">
        <v>0</v>
      </c>
    </row>
    <row r="16617" spans="1:16" x14ac:dyDescent="0.25">
      <c r="A16617" t="s">
        <v>39216</v>
      </c>
      <c r="B16617" t="s">
        <v>18331</v>
      </c>
      <c r="C16617" t="s">
        <v>16566</v>
      </c>
      <c r="D16617" t="str">
        <f>"4000"</f>
        <v>4000</v>
      </c>
      <c r="E16617" t="s">
        <v>17986</v>
      </c>
      <c r="F16617" t="s">
        <v>15183</v>
      </c>
      <c r="G16617" t="s">
        <v>47102</v>
      </c>
      <c r="H16617" t="s">
        <v>47055</v>
      </c>
      <c r="I16617" t="s">
        <v>47120</v>
      </c>
      <c r="J16617" t="s">
        <v>47121</v>
      </c>
      <c r="K16617" t="s">
        <v>47113</v>
      </c>
      <c r="L16617">
        <v>104.27</v>
      </c>
      <c r="M16617">
        <v>212</v>
      </c>
      <c r="N16617">
        <v>0</v>
      </c>
      <c r="O16617">
        <v>212</v>
      </c>
      <c r="P16617">
        <v>0</v>
      </c>
    </row>
    <row r="16618" spans="1:16" x14ac:dyDescent="0.25">
      <c r="A16618" t="s">
        <v>39217</v>
      </c>
      <c r="B16618" t="s">
        <v>18332</v>
      </c>
      <c r="C16618" t="s">
        <v>72</v>
      </c>
      <c r="D16618" t="str">
        <f>"1001"</f>
        <v>1001</v>
      </c>
      <c r="E16618" t="s">
        <v>42</v>
      </c>
      <c r="F16618" t="s">
        <v>15183</v>
      </c>
      <c r="G16618" t="s">
        <v>47091</v>
      </c>
      <c r="H16618" t="s">
        <v>47055</v>
      </c>
      <c r="I16618" t="s">
        <v>47127</v>
      </c>
      <c r="J16618" t="s">
        <v>47128</v>
      </c>
      <c r="K16618" t="s">
        <v>47113</v>
      </c>
      <c r="L16618">
        <v>18</v>
      </c>
      <c r="M16618">
        <v>27</v>
      </c>
      <c r="N16618">
        <v>0</v>
      </c>
      <c r="O16618">
        <v>27</v>
      </c>
      <c r="P16618">
        <v>0</v>
      </c>
    </row>
    <row r="16619" spans="1:16" x14ac:dyDescent="0.25">
      <c r="A16619" t="s">
        <v>39218</v>
      </c>
      <c r="B16619" t="s">
        <v>18332</v>
      </c>
      <c r="C16619" t="s">
        <v>72</v>
      </c>
      <c r="D16619" t="str">
        <f>"1200"</f>
        <v>1200</v>
      </c>
      <c r="E16619" t="s">
        <v>16534</v>
      </c>
      <c r="F16619" t="s">
        <v>15183</v>
      </c>
      <c r="G16619" t="s">
        <v>47091</v>
      </c>
      <c r="H16619" t="s">
        <v>47055</v>
      </c>
      <c r="I16619" t="s">
        <v>47127</v>
      </c>
      <c r="J16619" t="s">
        <v>47128</v>
      </c>
      <c r="K16619" t="s">
        <v>47113</v>
      </c>
      <c r="L16619">
        <v>18</v>
      </c>
      <c r="M16619">
        <v>27</v>
      </c>
      <c r="N16619">
        <v>0</v>
      </c>
      <c r="O16619">
        <v>27</v>
      </c>
      <c r="P16619">
        <v>0</v>
      </c>
    </row>
    <row r="16620" spans="1:16" x14ac:dyDescent="0.25">
      <c r="A16620" t="s">
        <v>39219</v>
      </c>
      <c r="B16620" t="s">
        <v>18332</v>
      </c>
      <c r="C16620" t="s">
        <v>72</v>
      </c>
      <c r="D16620" t="str">
        <f>"1370"</f>
        <v>1370</v>
      </c>
      <c r="E16620" t="s">
        <v>2162</v>
      </c>
      <c r="F16620" t="s">
        <v>15183</v>
      </c>
      <c r="G16620" t="s">
        <v>47091</v>
      </c>
      <c r="H16620" t="s">
        <v>47055</v>
      </c>
      <c r="I16620" t="s">
        <v>47127</v>
      </c>
      <c r="J16620" t="s">
        <v>47128</v>
      </c>
      <c r="K16620" t="s">
        <v>47113</v>
      </c>
      <c r="L16620">
        <v>18</v>
      </c>
      <c r="M16620">
        <v>27</v>
      </c>
      <c r="N16620">
        <v>0</v>
      </c>
      <c r="O16620">
        <v>27</v>
      </c>
      <c r="P16620">
        <v>0</v>
      </c>
    </row>
    <row r="16621" spans="1:16" x14ac:dyDescent="0.25">
      <c r="A16621" t="s">
        <v>39220</v>
      </c>
      <c r="B16621" t="s">
        <v>18332</v>
      </c>
      <c r="C16621" t="s">
        <v>72</v>
      </c>
      <c r="D16621" t="str">
        <f>"1377"</f>
        <v>1377</v>
      </c>
      <c r="E16621" t="s">
        <v>74</v>
      </c>
      <c r="F16621" t="s">
        <v>15183</v>
      </c>
      <c r="G16621" t="s">
        <v>47091</v>
      </c>
      <c r="H16621" t="s">
        <v>47055</v>
      </c>
      <c r="I16621" t="s">
        <v>47127</v>
      </c>
      <c r="J16621" t="s">
        <v>47128</v>
      </c>
      <c r="K16621" t="s">
        <v>47113</v>
      </c>
      <c r="L16621">
        <v>18</v>
      </c>
      <c r="M16621">
        <v>27</v>
      </c>
      <c r="N16621">
        <v>0</v>
      </c>
      <c r="O16621">
        <v>27</v>
      </c>
      <c r="P16621">
        <v>0</v>
      </c>
    </row>
    <row r="16622" spans="1:16" x14ac:dyDescent="0.25">
      <c r="A16622" t="s">
        <v>39221</v>
      </c>
      <c r="B16622" t="s">
        <v>18332</v>
      </c>
      <c r="C16622" t="s">
        <v>72</v>
      </c>
      <c r="D16622" t="str">
        <f>"1378"</f>
        <v>1378</v>
      </c>
      <c r="E16622" t="s">
        <v>388</v>
      </c>
      <c r="F16622" t="s">
        <v>15183</v>
      </c>
      <c r="G16622" t="s">
        <v>47091</v>
      </c>
      <c r="H16622" t="s">
        <v>47055</v>
      </c>
      <c r="I16622" t="s">
        <v>47127</v>
      </c>
      <c r="J16622" t="s">
        <v>47128</v>
      </c>
      <c r="K16622" t="s">
        <v>47113</v>
      </c>
      <c r="L16622">
        <v>18</v>
      </c>
      <c r="M16622">
        <v>27</v>
      </c>
      <c r="N16622">
        <v>0</v>
      </c>
      <c r="O16622">
        <v>27</v>
      </c>
      <c r="P16622">
        <v>0</v>
      </c>
    </row>
    <row r="16623" spans="1:16" x14ac:dyDescent="0.25">
      <c r="A16623" t="s">
        <v>39222</v>
      </c>
      <c r="B16623" t="s">
        <v>18332</v>
      </c>
      <c r="C16623" t="s">
        <v>72</v>
      </c>
      <c r="D16623" t="str">
        <f>"1537"</f>
        <v>1537</v>
      </c>
      <c r="E16623" t="s">
        <v>16535</v>
      </c>
      <c r="F16623" t="s">
        <v>15183</v>
      </c>
      <c r="G16623" t="s">
        <v>47091</v>
      </c>
      <c r="H16623" t="s">
        <v>47055</v>
      </c>
      <c r="I16623" t="s">
        <v>47127</v>
      </c>
      <c r="J16623" t="s">
        <v>47128</v>
      </c>
      <c r="K16623" t="s">
        <v>47113</v>
      </c>
      <c r="L16623">
        <v>18</v>
      </c>
      <c r="M16623">
        <v>27</v>
      </c>
      <c r="N16623">
        <v>0</v>
      </c>
      <c r="O16623">
        <v>27</v>
      </c>
      <c r="P16623">
        <v>0</v>
      </c>
    </row>
    <row r="16624" spans="1:16" x14ac:dyDescent="0.25">
      <c r="A16624" t="s">
        <v>39223</v>
      </c>
      <c r="B16624" t="s">
        <v>18332</v>
      </c>
      <c r="C16624" t="s">
        <v>72</v>
      </c>
      <c r="D16624" t="str">
        <f>"1700"</f>
        <v>1700</v>
      </c>
      <c r="E16624" t="s">
        <v>60</v>
      </c>
      <c r="F16624" t="s">
        <v>15183</v>
      </c>
      <c r="G16624" t="s">
        <v>47091</v>
      </c>
      <c r="H16624" t="s">
        <v>47055</v>
      </c>
      <c r="I16624" t="s">
        <v>47127</v>
      </c>
      <c r="J16624" t="s">
        <v>47128</v>
      </c>
      <c r="K16624" t="s">
        <v>47113</v>
      </c>
      <c r="L16624">
        <v>18</v>
      </c>
      <c r="M16624">
        <v>27</v>
      </c>
      <c r="N16624">
        <v>0</v>
      </c>
      <c r="O16624">
        <v>27</v>
      </c>
      <c r="P16624">
        <v>0</v>
      </c>
    </row>
    <row r="16625" spans="1:16" x14ac:dyDescent="0.25">
      <c r="A16625" t="s">
        <v>39224</v>
      </c>
      <c r="B16625" t="s">
        <v>18332</v>
      </c>
      <c r="C16625" t="s">
        <v>72</v>
      </c>
      <c r="D16625" t="str">
        <f>"1704"</f>
        <v>1704</v>
      </c>
      <c r="E16625" t="s">
        <v>7181</v>
      </c>
      <c r="F16625" t="s">
        <v>15183</v>
      </c>
      <c r="G16625" t="s">
        <v>47091</v>
      </c>
      <c r="H16625" t="s">
        <v>47055</v>
      </c>
      <c r="I16625" t="s">
        <v>47127</v>
      </c>
      <c r="J16625" t="s">
        <v>47128</v>
      </c>
      <c r="K16625" t="s">
        <v>47113</v>
      </c>
      <c r="L16625">
        <v>18</v>
      </c>
      <c r="M16625">
        <v>27</v>
      </c>
      <c r="N16625">
        <v>0</v>
      </c>
      <c r="O16625">
        <v>27</v>
      </c>
      <c r="P16625">
        <v>0</v>
      </c>
    </row>
    <row r="16626" spans="1:16" x14ac:dyDescent="0.25">
      <c r="A16626" t="s">
        <v>39225</v>
      </c>
      <c r="B16626" t="s">
        <v>18332</v>
      </c>
      <c r="C16626" t="s">
        <v>72</v>
      </c>
      <c r="D16626" t="str">
        <f>"3304"</f>
        <v>3304</v>
      </c>
      <c r="E16626" t="s">
        <v>16536</v>
      </c>
      <c r="F16626" t="s">
        <v>15183</v>
      </c>
      <c r="G16626" t="s">
        <v>47091</v>
      </c>
      <c r="H16626" t="s">
        <v>47055</v>
      </c>
      <c r="I16626" t="s">
        <v>47127</v>
      </c>
      <c r="J16626" t="s">
        <v>47128</v>
      </c>
      <c r="K16626" t="s">
        <v>47113</v>
      </c>
      <c r="L16626">
        <v>18</v>
      </c>
      <c r="M16626">
        <v>27</v>
      </c>
      <c r="N16626">
        <v>0</v>
      </c>
      <c r="O16626">
        <v>27</v>
      </c>
      <c r="P16626">
        <v>0</v>
      </c>
    </row>
    <row r="16627" spans="1:16" x14ac:dyDescent="0.25">
      <c r="A16627" t="s">
        <v>39226</v>
      </c>
      <c r="B16627" t="s">
        <v>18332</v>
      </c>
      <c r="C16627" t="s">
        <v>72</v>
      </c>
      <c r="D16627" t="str">
        <f>"4000"</f>
        <v>4000</v>
      </c>
      <c r="E16627" t="s">
        <v>16537</v>
      </c>
      <c r="F16627" t="s">
        <v>15183</v>
      </c>
      <c r="G16627" t="s">
        <v>47091</v>
      </c>
      <c r="H16627" t="s">
        <v>47055</v>
      </c>
      <c r="I16627" t="s">
        <v>47127</v>
      </c>
      <c r="J16627" t="s">
        <v>47128</v>
      </c>
      <c r="K16627" t="s">
        <v>47113</v>
      </c>
      <c r="L16627">
        <v>18</v>
      </c>
      <c r="M16627">
        <v>27</v>
      </c>
      <c r="N16627">
        <v>0</v>
      </c>
      <c r="O16627">
        <v>27</v>
      </c>
      <c r="P16627">
        <v>0</v>
      </c>
    </row>
    <row r="16628" spans="1:16" x14ac:dyDescent="0.25">
      <c r="A16628" t="s">
        <v>39227</v>
      </c>
      <c r="B16628" t="s">
        <v>18332</v>
      </c>
      <c r="C16628" t="s">
        <v>72</v>
      </c>
      <c r="D16628" t="str">
        <f>"4643"</f>
        <v>4643</v>
      </c>
      <c r="E16628" t="s">
        <v>205</v>
      </c>
      <c r="F16628" t="s">
        <v>15183</v>
      </c>
      <c r="G16628" t="s">
        <v>47091</v>
      </c>
      <c r="H16628" t="s">
        <v>47055</v>
      </c>
      <c r="I16628" t="s">
        <v>47127</v>
      </c>
      <c r="J16628" t="s">
        <v>47128</v>
      </c>
      <c r="K16628" t="s">
        <v>47113</v>
      </c>
      <c r="L16628">
        <v>18</v>
      </c>
      <c r="M16628">
        <v>27</v>
      </c>
      <c r="N16628">
        <v>0</v>
      </c>
      <c r="O16628">
        <v>27</v>
      </c>
      <c r="P16628">
        <v>0</v>
      </c>
    </row>
    <row r="16629" spans="1:16" x14ac:dyDescent="0.25">
      <c r="A16629" t="s">
        <v>39228</v>
      </c>
      <c r="B16629" t="s">
        <v>18332</v>
      </c>
      <c r="C16629" t="s">
        <v>72</v>
      </c>
      <c r="D16629" t="str">
        <f>"4921"</f>
        <v>4921</v>
      </c>
      <c r="E16629" t="s">
        <v>4156</v>
      </c>
      <c r="F16629" t="s">
        <v>15183</v>
      </c>
      <c r="G16629" t="s">
        <v>47091</v>
      </c>
      <c r="H16629" t="s">
        <v>47055</v>
      </c>
      <c r="I16629" t="s">
        <v>47127</v>
      </c>
      <c r="J16629" t="s">
        <v>47128</v>
      </c>
      <c r="K16629" t="s">
        <v>47113</v>
      </c>
      <c r="L16629">
        <v>18</v>
      </c>
      <c r="M16629">
        <v>27</v>
      </c>
      <c r="N16629">
        <v>0</v>
      </c>
      <c r="O16629">
        <v>27</v>
      </c>
      <c r="P16629">
        <v>0</v>
      </c>
    </row>
    <row r="16630" spans="1:16" x14ac:dyDescent="0.25">
      <c r="A16630" t="s">
        <v>39229</v>
      </c>
      <c r="B16630" t="s">
        <v>18333</v>
      </c>
      <c r="C16630" t="s">
        <v>11027</v>
      </c>
      <c r="D16630" t="str">
        <f>"1001"</f>
        <v>1001</v>
      </c>
      <c r="E16630" t="s">
        <v>42</v>
      </c>
      <c r="F16630" t="s">
        <v>15183</v>
      </c>
      <c r="G16630" t="s">
        <v>47091</v>
      </c>
      <c r="H16630" t="s">
        <v>47055</v>
      </c>
      <c r="I16630" t="s">
        <v>47127</v>
      </c>
      <c r="J16630" t="s">
        <v>47128</v>
      </c>
      <c r="K16630" t="s">
        <v>47113</v>
      </c>
      <c r="L16630">
        <v>15.75</v>
      </c>
      <c r="M16630">
        <v>22</v>
      </c>
      <c r="N16630">
        <v>0</v>
      </c>
      <c r="O16630">
        <v>22</v>
      </c>
      <c r="P16630">
        <v>0</v>
      </c>
    </row>
    <row r="16631" spans="1:16" x14ac:dyDescent="0.25">
      <c r="A16631" t="s">
        <v>39230</v>
      </c>
      <c r="B16631" t="s">
        <v>18333</v>
      </c>
      <c r="C16631" t="s">
        <v>11027</v>
      </c>
      <c r="D16631" t="str">
        <f>"1200"</f>
        <v>1200</v>
      </c>
      <c r="E16631" t="s">
        <v>16534</v>
      </c>
      <c r="F16631" t="s">
        <v>15183</v>
      </c>
      <c r="G16631" t="s">
        <v>47091</v>
      </c>
      <c r="H16631" t="s">
        <v>47055</v>
      </c>
      <c r="I16631" t="s">
        <v>47127</v>
      </c>
      <c r="J16631" t="s">
        <v>47128</v>
      </c>
      <c r="K16631" t="s">
        <v>47113</v>
      </c>
      <c r="L16631">
        <v>15.75</v>
      </c>
      <c r="M16631">
        <v>22</v>
      </c>
      <c r="N16631">
        <v>0</v>
      </c>
      <c r="O16631">
        <v>22</v>
      </c>
      <c r="P16631">
        <v>0</v>
      </c>
    </row>
    <row r="16632" spans="1:16" x14ac:dyDescent="0.25">
      <c r="A16632" t="s">
        <v>39231</v>
      </c>
      <c r="B16632" t="s">
        <v>18333</v>
      </c>
      <c r="C16632" t="s">
        <v>11027</v>
      </c>
      <c r="D16632" t="str">
        <f>"1370"</f>
        <v>1370</v>
      </c>
      <c r="E16632" t="s">
        <v>2162</v>
      </c>
      <c r="F16632" t="s">
        <v>15183</v>
      </c>
      <c r="G16632" t="s">
        <v>47091</v>
      </c>
      <c r="H16632" t="s">
        <v>47055</v>
      </c>
      <c r="I16632" t="s">
        <v>47127</v>
      </c>
      <c r="J16632" t="s">
        <v>47128</v>
      </c>
      <c r="K16632" t="s">
        <v>47113</v>
      </c>
      <c r="L16632">
        <v>15.75</v>
      </c>
      <c r="M16632">
        <v>22</v>
      </c>
      <c r="N16632">
        <v>0</v>
      </c>
      <c r="O16632">
        <v>22</v>
      </c>
      <c r="P16632">
        <v>0</v>
      </c>
    </row>
    <row r="16633" spans="1:16" x14ac:dyDescent="0.25">
      <c r="A16633" t="s">
        <v>39232</v>
      </c>
      <c r="B16633" t="s">
        <v>18333</v>
      </c>
      <c r="C16633" t="s">
        <v>11027</v>
      </c>
      <c r="D16633" t="str">
        <f>"1377"</f>
        <v>1377</v>
      </c>
      <c r="E16633" t="s">
        <v>74</v>
      </c>
      <c r="F16633" t="s">
        <v>15183</v>
      </c>
      <c r="G16633" t="s">
        <v>47091</v>
      </c>
      <c r="H16633" t="s">
        <v>47055</v>
      </c>
      <c r="I16633" t="s">
        <v>47127</v>
      </c>
      <c r="J16633" t="s">
        <v>47128</v>
      </c>
      <c r="K16633" t="s">
        <v>47113</v>
      </c>
      <c r="L16633">
        <v>15.75</v>
      </c>
      <c r="M16633">
        <v>22</v>
      </c>
      <c r="N16633">
        <v>0</v>
      </c>
      <c r="O16633">
        <v>22</v>
      </c>
      <c r="P16633">
        <v>0</v>
      </c>
    </row>
    <row r="16634" spans="1:16" x14ac:dyDescent="0.25">
      <c r="A16634" t="s">
        <v>39233</v>
      </c>
      <c r="B16634" t="s">
        <v>18333</v>
      </c>
      <c r="C16634" t="s">
        <v>11027</v>
      </c>
      <c r="D16634" t="str">
        <f>"1378"</f>
        <v>1378</v>
      </c>
      <c r="E16634" t="s">
        <v>388</v>
      </c>
      <c r="F16634" t="s">
        <v>15183</v>
      </c>
      <c r="G16634" t="s">
        <v>47091</v>
      </c>
      <c r="H16634" t="s">
        <v>47055</v>
      </c>
      <c r="I16634" t="s">
        <v>47127</v>
      </c>
      <c r="J16634" t="s">
        <v>47128</v>
      </c>
      <c r="K16634" t="s">
        <v>47113</v>
      </c>
      <c r="L16634">
        <v>15.75</v>
      </c>
      <c r="M16634">
        <v>22</v>
      </c>
      <c r="N16634">
        <v>0</v>
      </c>
      <c r="O16634">
        <v>22</v>
      </c>
      <c r="P16634">
        <v>0</v>
      </c>
    </row>
    <row r="16635" spans="1:16" x14ac:dyDescent="0.25">
      <c r="A16635" t="s">
        <v>39234</v>
      </c>
      <c r="B16635" t="s">
        <v>18333</v>
      </c>
      <c r="C16635" t="s">
        <v>11027</v>
      </c>
      <c r="D16635" t="str">
        <f>"1537"</f>
        <v>1537</v>
      </c>
      <c r="E16635" t="s">
        <v>16535</v>
      </c>
      <c r="F16635" t="s">
        <v>15183</v>
      </c>
      <c r="G16635" t="s">
        <v>47091</v>
      </c>
      <c r="H16635" t="s">
        <v>47055</v>
      </c>
      <c r="I16635" t="s">
        <v>47127</v>
      </c>
      <c r="J16635" t="s">
        <v>47128</v>
      </c>
      <c r="K16635" t="s">
        <v>47113</v>
      </c>
      <c r="L16635">
        <v>15.75</v>
      </c>
      <c r="M16635">
        <v>22</v>
      </c>
      <c r="N16635">
        <v>0</v>
      </c>
      <c r="O16635">
        <v>22</v>
      </c>
      <c r="P16635">
        <v>0</v>
      </c>
    </row>
    <row r="16636" spans="1:16" x14ac:dyDescent="0.25">
      <c r="A16636" t="s">
        <v>39235</v>
      </c>
      <c r="B16636" t="s">
        <v>18333</v>
      </c>
      <c r="C16636" t="s">
        <v>11027</v>
      </c>
      <c r="D16636" t="str">
        <f>"1700"</f>
        <v>1700</v>
      </c>
      <c r="E16636" t="s">
        <v>60</v>
      </c>
      <c r="F16636" t="s">
        <v>15183</v>
      </c>
      <c r="G16636" t="s">
        <v>47091</v>
      </c>
      <c r="H16636" t="s">
        <v>47055</v>
      </c>
      <c r="I16636" t="s">
        <v>47127</v>
      </c>
      <c r="J16636" t="s">
        <v>47128</v>
      </c>
      <c r="K16636" t="s">
        <v>47113</v>
      </c>
      <c r="L16636">
        <v>15.75</v>
      </c>
      <c r="M16636">
        <v>22</v>
      </c>
      <c r="N16636">
        <v>0</v>
      </c>
      <c r="O16636">
        <v>22</v>
      </c>
      <c r="P16636">
        <v>0</v>
      </c>
    </row>
    <row r="16637" spans="1:16" x14ac:dyDescent="0.25">
      <c r="A16637" t="s">
        <v>39236</v>
      </c>
      <c r="B16637" t="s">
        <v>18333</v>
      </c>
      <c r="C16637" t="s">
        <v>11027</v>
      </c>
      <c r="D16637" t="str">
        <f>"1704"</f>
        <v>1704</v>
      </c>
      <c r="E16637" t="s">
        <v>7181</v>
      </c>
      <c r="F16637" t="s">
        <v>15183</v>
      </c>
      <c r="G16637" t="s">
        <v>47091</v>
      </c>
      <c r="H16637" t="s">
        <v>47055</v>
      </c>
      <c r="I16637" t="s">
        <v>47127</v>
      </c>
      <c r="J16637" t="s">
        <v>47128</v>
      </c>
      <c r="K16637" t="s">
        <v>47113</v>
      </c>
      <c r="L16637">
        <v>15.75</v>
      </c>
      <c r="M16637">
        <v>22</v>
      </c>
      <c r="N16637">
        <v>0</v>
      </c>
      <c r="O16637">
        <v>22</v>
      </c>
      <c r="P16637">
        <v>0</v>
      </c>
    </row>
    <row r="16638" spans="1:16" x14ac:dyDescent="0.25">
      <c r="A16638" t="s">
        <v>39237</v>
      </c>
      <c r="B16638" t="s">
        <v>18333</v>
      </c>
      <c r="C16638" t="s">
        <v>11027</v>
      </c>
      <c r="D16638" t="str">
        <f>"3304"</f>
        <v>3304</v>
      </c>
      <c r="E16638" t="s">
        <v>16536</v>
      </c>
      <c r="F16638" t="s">
        <v>15183</v>
      </c>
      <c r="G16638" t="s">
        <v>47091</v>
      </c>
      <c r="H16638" t="s">
        <v>47055</v>
      </c>
      <c r="I16638" t="s">
        <v>47127</v>
      </c>
      <c r="J16638" t="s">
        <v>47128</v>
      </c>
      <c r="K16638" t="s">
        <v>47113</v>
      </c>
      <c r="L16638">
        <v>15.75</v>
      </c>
      <c r="M16638">
        <v>22</v>
      </c>
      <c r="N16638">
        <v>0</v>
      </c>
      <c r="O16638">
        <v>22</v>
      </c>
      <c r="P16638">
        <v>0</v>
      </c>
    </row>
    <row r="16639" spans="1:16" x14ac:dyDescent="0.25">
      <c r="A16639" t="s">
        <v>39238</v>
      </c>
      <c r="B16639" t="s">
        <v>18333</v>
      </c>
      <c r="C16639" t="s">
        <v>11027</v>
      </c>
      <c r="D16639" t="str">
        <f>"4000"</f>
        <v>4000</v>
      </c>
      <c r="E16639" t="s">
        <v>16537</v>
      </c>
      <c r="F16639" t="s">
        <v>15183</v>
      </c>
      <c r="G16639" t="s">
        <v>47091</v>
      </c>
      <c r="H16639" t="s">
        <v>47055</v>
      </c>
      <c r="I16639" t="s">
        <v>47127</v>
      </c>
      <c r="J16639" t="s">
        <v>47128</v>
      </c>
      <c r="K16639" t="s">
        <v>47113</v>
      </c>
      <c r="L16639">
        <v>15.75</v>
      </c>
      <c r="M16639">
        <v>22</v>
      </c>
      <c r="N16639">
        <v>0</v>
      </c>
      <c r="O16639">
        <v>22</v>
      </c>
      <c r="P16639">
        <v>0</v>
      </c>
    </row>
    <row r="16640" spans="1:16" x14ac:dyDescent="0.25">
      <c r="A16640" t="s">
        <v>39239</v>
      </c>
      <c r="B16640" t="s">
        <v>18333</v>
      </c>
      <c r="C16640" t="s">
        <v>11027</v>
      </c>
      <c r="D16640" t="str">
        <f>"4643"</f>
        <v>4643</v>
      </c>
      <c r="E16640" t="s">
        <v>205</v>
      </c>
      <c r="F16640" t="s">
        <v>15183</v>
      </c>
      <c r="G16640" t="s">
        <v>47091</v>
      </c>
      <c r="H16640" t="s">
        <v>47055</v>
      </c>
      <c r="I16640" t="s">
        <v>47127</v>
      </c>
      <c r="J16640" t="s">
        <v>47128</v>
      </c>
      <c r="K16640" t="s">
        <v>47113</v>
      </c>
      <c r="L16640">
        <v>15.75</v>
      </c>
      <c r="M16640">
        <v>22</v>
      </c>
      <c r="N16640">
        <v>0</v>
      </c>
      <c r="O16640">
        <v>22</v>
      </c>
      <c r="P16640">
        <v>0</v>
      </c>
    </row>
    <row r="16641" spans="1:16" x14ac:dyDescent="0.25">
      <c r="A16641" t="s">
        <v>39240</v>
      </c>
      <c r="B16641" t="s">
        <v>18333</v>
      </c>
      <c r="C16641" t="s">
        <v>11027</v>
      </c>
      <c r="D16641" t="str">
        <f>"4921"</f>
        <v>4921</v>
      </c>
      <c r="E16641" t="s">
        <v>4156</v>
      </c>
      <c r="F16641" t="s">
        <v>15183</v>
      </c>
      <c r="G16641" t="s">
        <v>47091</v>
      </c>
      <c r="H16641" t="s">
        <v>47055</v>
      </c>
      <c r="I16641" t="s">
        <v>47127</v>
      </c>
      <c r="J16641" t="s">
        <v>47128</v>
      </c>
      <c r="K16641" t="s">
        <v>47113</v>
      </c>
      <c r="L16641">
        <v>15.75</v>
      </c>
      <c r="M16641">
        <v>22</v>
      </c>
      <c r="N16641">
        <v>0</v>
      </c>
      <c r="O16641">
        <v>22</v>
      </c>
      <c r="P16641">
        <v>0</v>
      </c>
    </row>
    <row r="16642" spans="1:16" x14ac:dyDescent="0.25">
      <c r="A16642" t="s">
        <v>39241</v>
      </c>
      <c r="B16642" t="s">
        <v>18334</v>
      </c>
      <c r="C16642" t="s">
        <v>11027</v>
      </c>
      <c r="D16642" t="str">
        <f>"1001"</f>
        <v>1001</v>
      </c>
      <c r="E16642" t="s">
        <v>42</v>
      </c>
      <c r="F16642" t="s">
        <v>15183</v>
      </c>
      <c r="G16642" t="s">
        <v>47091</v>
      </c>
      <c r="H16642" t="s">
        <v>47055</v>
      </c>
      <c r="I16642" t="s">
        <v>47127</v>
      </c>
      <c r="J16642" t="s">
        <v>47128</v>
      </c>
      <c r="K16642" t="s">
        <v>47113</v>
      </c>
      <c r="L16642">
        <v>15.75</v>
      </c>
      <c r="M16642">
        <v>24</v>
      </c>
      <c r="N16642">
        <v>0</v>
      </c>
      <c r="O16642">
        <v>24</v>
      </c>
      <c r="P16642">
        <v>0</v>
      </c>
    </row>
    <row r="16643" spans="1:16" x14ac:dyDescent="0.25">
      <c r="A16643" t="s">
        <v>39242</v>
      </c>
      <c r="B16643" t="s">
        <v>18334</v>
      </c>
      <c r="C16643" t="s">
        <v>11027</v>
      </c>
      <c r="D16643" t="str">
        <f>"1200"</f>
        <v>1200</v>
      </c>
      <c r="E16643" t="s">
        <v>16534</v>
      </c>
      <c r="F16643" t="s">
        <v>15183</v>
      </c>
      <c r="G16643" t="s">
        <v>47091</v>
      </c>
      <c r="H16643" t="s">
        <v>47055</v>
      </c>
      <c r="I16643" t="s">
        <v>47127</v>
      </c>
      <c r="J16643" t="s">
        <v>47128</v>
      </c>
      <c r="K16643" t="s">
        <v>47113</v>
      </c>
      <c r="L16643">
        <v>15.75</v>
      </c>
      <c r="M16643">
        <v>24</v>
      </c>
      <c r="N16643">
        <v>0</v>
      </c>
      <c r="O16643">
        <v>24</v>
      </c>
      <c r="P16643">
        <v>0</v>
      </c>
    </row>
    <row r="16644" spans="1:16" x14ac:dyDescent="0.25">
      <c r="A16644" t="s">
        <v>39243</v>
      </c>
      <c r="B16644" t="s">
        <v>18334</v>
      </c>
      <c r="C16644" t="s">
        <v>11027</v>
      </c>
      <c r="D16644" t="str">
        <f>"1370"</f>
        <v>1370</v>
      </c>
      <c r="E16644" t="s">
        <v>2162</v>
      </c>
      <c r="F16644" t="s">
        <v>15183</v>
      </c>
      <c r="G16644" t="s">
        <v>47091</v>
      </c>
      <c r="H16644" t="s">
        <v>47055</v>
      </c>
      <c r="I16644" t="s">
        <v>47127</v>
      </c>
      <c r="J16644" t="s">
        <v>47128</v>
      </c>
      <c r="K16644" t="s">
        <v>47113</v>
      </c>
      <c r="L16644">
        <v>15.75</v>
      </c>
      <c r="M16644">
        <v>24</v>
      </c>
      <c r="N16644">
        <v>0</v>
      </c>
      <c r="O16644">
        <v>24</v>
      </c>
      <c r="P16644">
        <v>0</v>
      </c>
    </row>
    <row r="16645" spans="1:16" x14ac:dyDescent="0.25">
      <c r="A16645" t="s">
        <v>39244</v>
      </c>
      <c r="B16645" t="s">
        <v>18334</v>
      </c>
      <c r="C16645" t="s">
        <v>11027</v>
      </c>
      <c r="D16645" t="str">
        <f>"1377"</f>
        <v>1377</v>
      </c>
      <c r="E16645" t="s">
        <v>74</v>
      </c>
      <c r="F16645" t="s">
        <v>15183</v>
      </c>
      <c r="G16645" t="s">
        <v>47091</v>
      </c>
      <c r="H16645" t="s">
        <v>47055</v>
      </c>
      <c r="I16645" t="s">
        <v>47127</v>
      </c>
      <c r="J16645" t="s">
        <v>47128</v>
      </c>
      <c r="K16645" t="s">
        <v>47113</v>
      </c>
      <c r="L16645">
        <v>15.75</v>
      </c>
      <c r="M16645">
        <v>24</v>
      </c>
      <c r="N16645">
        <v>0</v>
      </c>
      <c r="O16645">
        <v>24</v>
      </c>
      <c r="P16645">
        <v>0</v>
      </c>
    </row>
    <row r="16646" spans="1:16" x14ac:dyDescent="0.25">
      <c r="A16646" t="s">
        <v>39245</v>
      </c>
      <c r="B16646" t="s">
        <v>18334</v>
      </c>
      <c r="C16646" t="s">
        <v>11027</v>
      </c>
      <c r="D16646" t="str">
        <f>"1378"</f>
        <v>1378</v>
      </c>
      <c r="E16646" t="s">
        <v>388</v>
      </c>
      <c r="F16646" t="s">
        <v>15183</v>
      </c>
      <c r="G16646" t="s">
        <v>47091</v>
      </c>
      <c r="H16646" t="s">
        <v>47055</v>
      </c>
      <c r="I16646" t="s">
        <v>47127</v>
      </c>
      <c r="J16646" t="s">
        <v>47128</v>
      </c>
      <c r="K16646" t="s">
        <v>47113</v>
      </c>
      <c r="L16646">
        <v>15.75</v>
      </c>
      <c r="M16646">
        <v>24</v>
      </c>
      <c r="N16646">
        <v>0</v>
      </c>
      <c r="O16646">
        <v>24</v>
      </c>
      <c r="P16646">
        <v>0</v>
      </c>
    </row>
    <row r="16647" spans="1:16" x14ac:dyDescent="0.25">
      <c r="A16647" t="s">
        <v>39246</v>
      </c>
      <c r="B16647" t="s">
        <v>18334</v>
      </c>
      <c r="C16647" t="s">
        <v>11027</v>
      </c>
      <c r="D16647" t="str">
        <f>"1537"</f>
        <v>1537</v>
      </c>
      <c r="E16647" t="s">
        <v>16535</v>
      </c>
      <c r="F16647" t="s">
        <v>15183</v>
      </c>
      <c r="G16647" t="s">
        <v>47091</v>
      </c>
      <c r="H16647" t="s">
        <v>47055</v>
      </c>
      <c r="I16647" t="s">
        <v>47127</v>
      </c>
      <c r="J16647" t="s">
        <v>47128</v>
      </c>
      <c r="K16647" t="s">
        <v>47113</v>
      </c>
      <c r="L16647">
        <v>15.75</v>
      </c>
      <c r="M16647">
        <v>24</v>
      </c>
      <c r="N16647">
        <v>0</v>
      </c>
      <c r="O16647">
        <v>24</v>
      </c>
      <c r="P16647">
        <v>0</v>
      </c>
    </row>
    <row r="16648" spans="1:16" x14ac:dyDescent="0.25">
      <c r="A16648" t="s">
        <v>39247</v>
      </c>
      <c r="B16648" t="s">
        <v>18334</v>
      </c>
      <c r="C16648" t="s">
        <v>11027</v>
      </c>
      <c r="D16648" t="str">
        <f>"1700"</f>
        <v>1700</v>
      </c>
      <c r="E16648" t="s">
        <v>60</v>
      </c>
      <c r="F16648" t="s">
        <v>15183</v>
      </c>
      <c r="G16648" t="s">
        <v>47091</v>
      </c>
      <c r="H16648" t="s">
        <v>47055</v>
      </c>
      <c r="I16648" t="s">
        <v>47127</v>
      </c>
      <c r="J16648" t="s">
        <v>47128</v>
      </c>
      <c r="K16648" t="s">
        <v>47113</v>
      </c>
      <c r="L16648">
        <v>15.75</v>
      </c>
      <c r="M16648">
        <v>24</v>
      </c>
      <c r="N16648">
        <v>0</v>
      </c>
      <c r="O16648">
        <v>24</v>
      </c>
      <c r="P16648">
        <v>0</v>
      </c>
    </row>
    <row r="16649" spans="1:16" x14ac:dyDescent="0.25">
      <c r="A16649" t="s">
        <v>39248</v>
      </c>
      <c r="B16649" t="s">
        <v>18334</v>
      </c>
      <c r="C16649" t="s">
        <v>11027</v>
      </c>
      <c r="D16649" t="str">
        <f>"1704"</f>
        <v>1704</v>
      </c>
      <c r="E16649" t="s">
        <v>7181</v>
      </c>
      <c r="F16649" t="s">
        <v>15183</v>
      </c>
      <c r="G16649" t="s">
        <v>47091</v>
      </c>
      <c r="H16649" t="s">
        <v>47055</v>
      </c>
      <c r="I16649" t="s">
        <v>47127</v>
      </c>
      <c r="J16649" t="s">
        <v>47128</v>
      </c>
      <c r="K16649" t="s">
        <v>47113</v>
      </c>
      <c r="L16649">
        <v>15.75</v>
      </c>
      <c r="M16649">
        <v>24</v>
      </c>
      <c r="N16649">
        <v>0</v>
      </c>
      <c r="O16649">
        <v>24</v>
      </c>
      <c r="P16649">
        <v>0</v>
      </c>
    </row>
    <row r="16650" spans="1:16" x14ac:dyDescent="0.25">
      <c r="A16650" t="s">
        <v>39249</v>
      </c>
      <c r="B16650" t="s">
        <v>18334</v>
      </c>
      <c r="C16650" t="s">
        <v>11027</v>
      </c>
      <c r="D16650" t="str">
        <f>"3304"</f>
        <v>3304</v>
      </c>
      <c r="E16650" t="s">
        <v>16536</v>
      </c>
      <c r="F16650" t="s">
        <v>15183</v>
      </c>
      <c r="G16650" t="s">
        <v>47091</v>
      </c>
      <c r="H16650" t="s">
        <v>47055</v>
      </c>
      <c r="I16650" t="s">
        <v>47127</v>
      </c>
      <c r="J16650" t="s">
        <v>47128</v>
      </c>
      <c r="K16650" t="s">
        <v>47113</v>
      </c>
      <c r="L16650">
        <v>15.75</v>
      </c>
      <c r="M16650">
        <v>24</v>
      </c>
      <c r="N16650">
        <v>0</v>
      </c>
      <c r="O16650">
        <v>24</v>
      </c>
      <c r="P16650">
        <v>0</v>
      </c>
    </row>
    <row r="16651" spans="1:16" x14ac:dyDescent="0.25">
      <c r="A16651" t="s">
        <v>39250</v>
      </c>
      <c r="B16651" t="s">
        <v>18334</v>
      </c>
      <c r="C16651" t="s">
        <v>11027</v>
      </c>
      <c r="D16651" t="str">
        <f>"4000"</f>
        <v>4000</v>
      </c>
      <c r="E16651" t="s">
        <v>16537</v>
      </c>
      <c r="F16651" t="s">
        <v>15183</v>
      </c>
      <c r="G16651" t="s">
        <v>47091</v>
      </c>
      <c r="H16651" t="s">
        <v>47055</v>
      </c>
      <c r="I16651" t="s">
        <v>47127</v>
      </c>
      <c r="J16651" t="s">
        <v>47128</v>
      </c>
      <c r="K16651" t="s">
        <v>47113</v>
      </c>
      <c r="L16651">
        <v>15.75</v>
      </c>
      <c r="M16651">
        <v>24</v>
      </c>
      <c r="N16651">
        <v>0</v>
      </c>
      <c r="O16651">
        <v>24</v>
      </c>
      <c r="P16651">
        <v>0</v>
      </c>
    </row>
    <row r="16652" spans="1:16" x14ac:dyDescent="0.25">
      <c r="A16652" t="s">
        <v>39251</v>
      </c>
      <c r="B16652" t="s">
        <v>18334</v>
      </c>
      <c r="C16652" t="s">
        <v>11027</v>
      </c>
      <c r="D16652" t="str">
        <f>"4643"</f>
        <v>4643</v>
      </c>
      <c r="E16652" t="s">
        <v>205</v>
      </c>
      <c r="F16652" t="s">
        <v>15183</v>
      </c>
      <c r="G16652" t="s">
        <v>47091</v>
      </c>
      <c r="H16652" t="s">
        <v>47055</v>
      </c>
      <c r="I16652" t="s">
        <v>47127</v>
      </c>
      <c r="J16652" t="s">
        <v>47128</v>
      </c>
      <c r="K16652" t="s">
        <v>47113</v>
      </c>
      <c r="L16652">
        <v>15.75</v>
      </c>
      <c r="M16652">
        <v>24</v>
      </c>
      <c r="N16652">
        <v>0</v>
      </c>
      <c r="O16652">
        <v>24</v>
      </c>
      <c r="P16652">
        <v>0</v>
      </c>
    </row>
    <row r="16653" spans="1:16" x14ac:dyDescent="0.25">
      <c r="A16653" t="s">
        <v>39252</v>
      </c>
      <c r="B16653" t="s">
        <v>18334</v>
      </c>
      <c r="C16653" t="s">
        <v>11027</v>
      </c>
      <c r="D16653" t="str">
        <f>"4921"</f>
        <v>4921</v>
      </c>
      <c r="E16653" t="s">
        <v>4156</v>
      </c>
      <c r="F16653" t="s">
        <v>15183</v>
      </c>
      <c r="G16653" t="s">
        <v>47091</v>
      </c>
      <c r="H16653" t="s">
        <v>47055</v>
      </c>
      <c r="I16653" t="s">
        <v>47127</v>
      </c>
      <c r="J16653" t="s">
        <v>47128</v>
      </c>
      <c r="K16653" t="s">
        <v>47113</v>
      </c>
      <c r="L16653">
        <v>15.75</v>
      </c>
      <c r="M16653">
        <v>24</v>
      </c>
      <c r="N16653">
        <v>0</v>
      </c>
      <c r="O16653">
        <v>24</v>
      </c>
      <c r="P16653">
        <v>0</v>
      </c>
    </row>
    <row r="16654" spans="1:16" x14ac:dyDescent="0.25">
      <c r="A16654" t="s">
        <v>39253</v>
      </c>
      <c r="B16654" t="s">
        <v>18335</v>
      </c>
      <c r="C16654" t="s">
        <v>72</v>
      </c>
      <c r="D16654" t="str">
        <f>"1001"</f>
        <v>1001</v>
      </c>
      <c r="E16654" t="s">
        <v>42</v>
      </c>
      <c r="F16654" t="s">
        <v>15183</v>
      </c>
      <c r="G16654" t="s">
        <v>47091</v>
      </c>
      <c r="H16654" t="s">
        <v>47055</v>
      </c>
      <c r="I16654" t="s">
        <v>47127</v>
      </c>
      <c r="J16654" t="s">
        <v>47128</v>
      </c>
      <c r="K16654" t="s">
        <v>47113</v>
      </c>
      <c r="L16654">
        <v>18</v>
      </c>
      <c r="M16654">
        <v>29</v>
      </c>
      <c r="N16654">
        <v>0</v>
      </c>
      <c r="O16654">
        <v>29</v>
      </c>
      <c r="P16654">
        <v>0</v>
      </c>
    </row>
    <row r="16655" spans="1:16" x14ac:dyDescent="0.25">
      <c r="A16655" t="s">
        <v>39254</v>
      </c>
      <c r="B16655" t="s">
        <v>18335</v>
      </c>
      <c r="C16655" t="s">
        <v>72</v>
      </c>
      <c r="D16655" t="str">
        <f>"1200"</f>
        <v>1200</v>
      </c>
      <c r="E16655" t="s">
        <v>16534</v>
      </c>
      <c r="F16655" t="s">
        <v>15183</v>
      </c>
      <c r="G16655" t="s">
        <v>47091</v>
      </c>
      <c r="H16655" t="s">
        <v>47055</v>
      </c>
      <c r="I16655" t="s">
        <v>47127</v>
      </c>
      <c r="J16655" t="s">
        <v>47128</v>
      </c>
      <c r="K16655" t="s">
        <v>47113</v>
      </c>
      <c r="L16655">
        <v>18</v>
      </c>
      <c r="M16655">
        <v>29</v>
      </c>
      <c r="N16655">
        <v>0</v>
      </c>
      <c r="O16655">
        <v>29</v>
      </c>
      <c r="P16655">
        <v>0</v>
      </c>
    </row>
    <row r="16656" spans="1:16" x14ac:dyDescent="0.25">
      <c r="A16656" t="s">
        <v>39255</v>
      </c>
      <c r="B16656" t="s">
        <v>18335</v>
      </c>
      <c r="C16656" t="s">
        <v>72</v>
      </c>
      <c r="D16656" t="str">
        <f>"1370"</f>
        <v>1370</v>
      </c>
      <c r="E16656" t="s">
        <v>2162</v>
      </c>
      <c r="F16656" t="s">
        <v>15183</v>
      </c>
      <c r="G16656" t="s">
        <v>47091</v>
      </c>
      <c r="H16656" t="s">
        <v>47055</v>
      </c>
      <c r="I16656" t="s">
        <v>47127</v>
      </c>
      <c r="J16656" t="s">
        <v>47128</v>
      </c>
      <c r="K16656" t="s">
        <v>47113</v>
      </c>
      <c r="L16656">
        <v>18</v>
      </c>
      <c r="M16656">
        <v>29</v>
      </c>
      <c r="N16656">
        <v>0</v>
      </c>
      <c r="O16656">
        <v>29</v>
      </c>
      <c r="P16656">
        <v>0</v>
      </c>
    </row>
    <row r="16657" spans="1:16" x14ac:dyDescent="0.25">
      <c r="A16657" t="s">
        <v>39256</v>
      </c>
      <c r="B16657" t="s">
        <v>18335</v>
      </c>
      <c r="C16657" t="s">
        <v>72</v>
      </c>
      <c r="D16657" t="str">
        <f>"1377"</f>
        <v>1377</v>
      </c>
      <c r="E16657" t="s">
        <v>74</v>
      </c>
      <c r="F16657" t="s">
        <v>15183</v>
      </c>
      <c r="G16657" t="s">
        <v>47091</v>
      </c>
      <c r="H16657" t="s">
        <v>47055</v>
      </c>
      <c r="I16657" t="s">
        <v>47127</v>
      </c>
      <c r="J16657" t="s">
        <v>47128</v>
      </c>
      <c r="K16657" t="s">
        <v>47113</v>
      </c>
      <c r="L16657">
        <v>18</v>
      </c>
      <c r="M16657">
        <v>29</v>
      </c>
      <c r="N16657">
        <v>0</v>
      </c>
      <c r="O16657">
        <v>29</v>
      </c>
      <c r="P16657">
        <v>0</v>
      </c>
    </row>
    <row r="16658" spans="1:16" x14ac:dyDescent="0.25">
      <c r="A16658" t="s">
        <v>39257</v>
      </c>
      <c r="B16658" t="s">
        <v>18335</v>
      </c>
      <c r="C16658" t="s">
        <v>72</v>
      </c>
      <c r="D16658" t="str">
        <f>"1378"</f>
        <v>1378</v>
      </c>
      <c r="E16658" t="s">
        <v>388</v>
      </c>
      <c r="F16658" t="s">
        <v>15183</v>
      </c>
      <c r="G16658" t="s">
        <v>47091</v>
      </c>
      <c r="H16658" t="s">
        <v>47055</v>
      </c>
      <c r="I16658" t="s">
        <v>47127</v>
      </c>
      <c r="J16658" t="s">
        <v>47128</v>
      </c>
      <c r="K16658" t="s">
        <v>47113</v>
      </c>
      <c r="L16658">
        <v>18</v>
      </c>
      <c r="M16658">
        <v>29</v>
      </c>
      <c r="N16658">
        <v>0</v>
      </c>
      <c r="O16658">
        <v>29</v>
      </c>
      <c r="P16658">
        <v>0</v>
      </c>
    </row>
    <row r="16659" spans="1:16" x14ac:dyDescent="0.25">
      <c r="A16659" t="s">
        <v>39258</v>
      </c>
      <c r="B16659" t="s">
        <v>18335</v>
      </c>
      <c r="C16659" t="s">
        <v>72</v>
      </c>
      <c r="D16659" t="str">
        <f>"1537"</f>
        <v>1537</v>
      </c>
      <c r="E16659" t="s">
        <v>16535</v>
      </c>
      <c r="F16659" t="s">
        <v>15183</v>
      </c>
      <c r="G16659" t="s">
        <v>47091</v>
      </c>
      <c r="H16659" t="s">
        <v>47055</v>
      </c>
      <c r="I16659" t="s">
        <v>47127</v>
      </c>
      <c r="J16659" t="s">
        <v>47128</v>
      </c>
      <c r="K16659" t="s">
        <v>47113</v>
      </c>
      <c r="L16659">
        <v>18</v>
      </c>
      <c r="M16659">
        <v>29</v>
      </c>
      <c r="N16659">
        <v>0</v>
      </c>
      <c r="O16659">
        <v>29</v>
      </c>
      <c r="P16659">
        <v>0</v>
      </c>
    </row>
    <row r="16660" spans="1:16" x14ac:dyDescent="0.25">
      <c r="A16660" t="s">
        <v>39259</v>
      </c>
      <c r="B16660" t="s">
        <v>18335</v>
      </c>
      <c r="C16660" t="s">
        <v>72</v>
      </c>
      <c r="D16660" t="str">
        <f>"1700"</f>
        <v>1700</v>
      </c>
      <c r="E16660" t="s">
        <v>60</v>
      </c>
      <c r="F16660" t="s">
        <v>15183</v>
      </c>
      <c r="G16660" t="s">
        <v>47091</v>
      </c>
      <c r="H16660" t="s">
        <v>47055</v>
      </c>
      <c r="I16660" t="s">
        <v>47127</v>
      </c>
      <c r="J16660" t="s">
        <v>47128</v>
      </c>
      <c r="K16660" t="s">
        <v>47113</v>
      </c>
      <c r="L16660">
        <v>18</v>
      </c>
      <c r="M16660">
        <v>29</v>
      </c>
      <c r="N16660">
        <v>0</v>
      </c>
      <c r="O16660">
        <v>29</v>
      </c>
      <c r="P16660">
        <v>0</v>
      </c>
    </row>
    <row r="16661" spans="1:16" x14ac:dyDescent="0.25">
      <c r="A16661" t="s">
        <v>39260</v>
      </c>
      <c r="B16661" t="s">
        <v>18335</v>
      </c>
      <c r="C16661" t="s">
        <v>72</v>
      </c>
      <c r="D16661" t="str">
        <f>"1704"</f>
        <v>1704</v>
      </c>
      <c r="E16661" t="s">
        <v>7181</v>
      </c>
      <c r="F16661" t="s">
        <v>15183</v>
      </c>
      <c r="G16661" t="s">
        <v>47091</v>
      </c>
      <c r="H16661" t="s">
        <v>47055</v>
      </c>
      <c r="I16661" t="s">
        <v>47127</v>
      </c>
      <c r="J16661" t="s">
        <v>47128</v>
      </c>
      <c r="K16661" t="s">
        <v>47113</v>
      </c>
      <c r="L16661">
        <v>18</v>
      </c>
      <c r="M16661">
        <v>29</v>
      </c>
      <c r="N16661">
        <v>0</v>
      </c>
      <c r="O16661">
        <v>29</v>
      </c>
      <c r="P16661">
        <v>0</v>
      </c>
    </row>
    <row r="16662" spans="1:16" x14ac:dyDescent="0.25">
      <c r="A16662" t="s">
        <v>39261</v>
      </c>
      <c r="B16662" t="s">
        <v>18335</v>
      </c>
      <c r="C16662" t="s">
        <v>72</v>
      </c>
      <c r="D16662" t="str">
        <f>"3304"</f>
        <v>3304</v>
      </c>
      <c r="E16662" t="s">
        <v>16536</v>
      </c>
      <c r="F16662" t="s">
        <v>15183</v>
      </c>
      <c r="G16662" t="s">
        <v>47091</v>
      </c>
      <c r="H16662" t="s">
        <v>47055</v>
      </c>
      <c r="I16662" t="s">
        <v>47127</v>
      </c>
      <c r="J16662" t="s">
        <v>47128</v>
      </c>
      <c r="K16662" t="s">
        <v>47113</v>
      </c>
      <c r="L16662">
        <v>18</v>
      </c>
      <c r="M16662">
        <v>29</v>
      </c>
      <c r="N16662">
        <v>0</v>
      </c>
      <c r="O16662">
        <v>29</v>
      </c>
      <c r="P16662">
        <v>0</v>
      </c>
    </row>
    <row r="16663" spans="1:16" x14ac:dyDescent="0.25">
      <c r="A16663" t="s">
        <v>39262</v>
      </c>
      <c r="B16663" t="s">
        <v>18335</v>
      </c>
      <c r="C16663" t="s">
        <v>72</v>
      </c>
      <c r="D16663" t="str">
        <f>"4000"</f>
        <v>4000</v>
      </c>
      <c r="E16663" t="s">
        <v>16537</v>
      </c>
      <c r="F16663" t="s">
        <v>15183</v>
      </c>
      <c r="G16663" t="s">
        <v>47091</v>
      </c>
      <c r="H16663" t="s">
        <v>47055</v>
      </c>
      <c r="I16663" t="s">
        <v>47127</v>
      </c>
      <c r="J16663" t="s">
        <v>47128</v>
      </c>
      <c r="K16663" t="s">
        <v>47113</v>
      </c>
      <c r="L16663">
        <v>18</v>
      </c>
      <c r="M16663">
        <v>29</v>
      </c>
      <c r="N16663">
        <v>0</v>
      </c>
      <c r="O16663">
        <v>29</v>
      </c>
      <c r="P16663">
        <v>0</v>
      </c>
    </row>
    <row r="16664" spans="1:16" x14ac:dyDescent="0.25">
      <c r="A16664" t="s">
        <v>39263</v>
      </c>
      <c r="B16664" t="s">
        <v>18335</v>
      </c>
      <c r="C16664" t="s">
        <v>72</v>
      </c>
      <c r="D16664" t="str">
        <f>"4643"</f>
        <v>4643</v>
      </c>
      <c r="E16664" t="s">
        <v>205</v>
      </c>
      <c r="F16664" t="s">
        <v>15183</v>
      </c>
      <c r="G16664" t="s">
        <v>47091</v>
      </c>
      <c r="H16664" t="s">
        <v>47055</v>
      </c>
      <c r="I16664" t="s">
        <v>47127</v>
      </c>
      <c r="J16664" t="s">
        <v>47128</v>
      </c>
      <c r="K16664" t="s">
        <v>47113</v>
      </c>
      <c r="L16664">
        <v>18</v>
      </c>
      <c r="M16664">
        <v>29</v>
      </c>
      <c r="N16664">
        <v>0</v>
      </c>
      <c r="O16664">
        <v>29</v>
      </c>
      <c r="P16664">
        <v>0</v>
      </c>
    </row>
    <row r="16665" spans="1:16" x14ac:dyDescent="0.25">
      <c r="A16665" t="s">
        <v>39264</v>
      </c>
      <c r="B16665" t="s">
        <v>18335</v>
      </c>
      <c r="C16665" t="s">
        <v>72</v>
      </c>
      <c r="D16665" t="str">
        <f>"4921"</f>
        <v>4921</v>
      </c>
      <c r="E16665" t="s">
        <v>4156</v>
      </c>
      <c r="F16665" t="s">
        <v>15183</v>
      </c>
      <c r="G16665" t="s">
        <v>47091</v>
      </c>
      <c r="H16665" t="s">
        <v>47055</v>
      </c>
      <c r="I16665" t="s">
        <v>47127</v>
      </c>
      <c r="J16665" t="s">
        <v>47128</v>
      </c>
      <c r="K16665" t="s">
        <v>47113</v>
      </c>
      <c r="L16665">
        <v>18</v>
      </c>
      <c r="M16665">
        <v>29</v>
      </c>
      <c r="N16665">
        <v>0</v>
      </c>
      <c r="O16665">
        <v>29</v>
      </c>
      <c r="P16665">
        <v>0</v>
      </c>
    </row>
    <row r="16666" spans="1:16" x14ac:dyDescent="0.25">
      <c r="A16666" t="s">
        <v>39265</v>
      </c>
      <c r="B16666" t="s">
        <v>18336</v>
      </c>
      <c r="C16666" t="s">
        <v>72</v>
      </c>
      <c r="D16666" t="str">
        <f>"1001"</f>
        <v>1001</v>
      </c>
      <c r="E16666" t="s">
        <v>42</v>
      </c>
      <c r="F16666" t="s">
        <v>15183</v>
      </c>
      <c r="G16666" t="s">
        <v>47091</v>
      </c>
      <c r="H16666" t="s">
        <v>47055</v>
      </c>
      <c r="I16666" t="s">
        <v>47127</v>
      </c>
      <c r="J16666" t="s">
        <v>47128</v>
      </c>
      <c r="K16666" t="s">
        <v>47113</v>
      </c>
      <c r="L16666">
        <v>18</v>
      </c>
      <c r="M16666">
        <v>24</v>
      </c>
      <c r="N16666">
        <v>0</v>
      </c>
      <c r="O16666">
        <v>24</v>
      </c>
      <c r="P16666">
        <v>0</v>
      </c>
    </row>
    <row r="16667" spans="1:16" x14ac:dyDescent="0.25">
      <c r="A16667" t="s">
        <v>39266</v>
      </c>
      <c r="B16667" t="s">
        <v>18336</v>
      </c>
      <c r="C16667" t="s">
        <v>72</v>
      </c>
      <c r="D16667" t="str">
        <f>"1200"</f>
        <v>1200</v>
      </c>
      <c r="E16667" t="s">
        <v>16534</v>
      </c>
      <c r="F16667" t="s">
        <v>15183</v>
      </c>
      <c r="G16667" t="s">
        <v>47091</v>
      </c>
      <c r="H16667" t="s">
        <v>47055</v>
      </c>
      <c r="I16667" t="s">
        <v>47127</v>
      </c>
      <c r="J16667" t="s">
        <v>47128</v>
      </c>
      <c r="K16667" t="s">
        <v>47113</v>
      </c>
      <c r="L16667">
        <v>18</v>
      </c>
      <c r="M16667">
        <v>24</v>
      </c>
      <c r="N16667">
        <v>0</v>
      </c>
      <c r="O16667">
        <v>24</v>
      </c>
      <c r="P16667">
        <v>0</v>
      </c>
    </row>
    <row r="16668" spans="1:16" x14ac:dyDescent="0.25">
      <c r="A16668" t="s">
        <v>39267</v>
      </c>
      <c r="B16668" t="s">
        <v>18336</v>
      </c>
      <c r="C16668" t="s">
        <v>72</v>
      </c>
      <c r="D16668" t="str">
        <f>"1370"</f>
        <v>1370</v>
      </c>
      <c r="E16668" t="s">
        <v>2162</v>
      </c>
      <c r="F16668" t="s">
        <v>15183</v>
      </c>
      <c r="G16668" t="s">
        <v>47091</v>
      </c>
      <c r="H16668" t="s">
        <v>47055</v>
      </c>
      <c r="I16668" t="s">
        <v>47127</v>
      </c>
      <c r="J16668" t="s">
        <v>47128</v>
      </c>
      <c r="K16668" t="s">
        <v>47113</v>
      </c>
      <c r="L16668">
        <v>18</v>
      </c>
      <c r="M16668">
        <v>24</v>
      </c>
      <c r="N16668">
        <v>0</v>
      </c>
      <c r="O16668">
        <v>24</v>
      </c>
      <c r="P16668">
        <v>0</v>
      </c>
    </row>
    <row r="16669" spans="1:16" x14ac:dyDescent="0.25">
      <c r="A16669" t="s">
        <v>39268</v>
      </c>
      <c r="B16669" t="s">
        <v>18336</v>
      </c>
      <c r="C16669" t="s">
        <v>72</v>
      </c>
      <c r="D16669" t="str">
        <f>"1377"</f>
        <v>1377</v>
      </c>
      <c r="E16669" t="s">
        <v>74</v>
      </c>
      <c r="F16669" t="s">
        <v>15183</v>
      </c>
      <c r="G16669" t="s">
        <v>47091</v>
      </c>
      <c r="H16669" t="s">
        <v>47055</v>
      </c>
      <c r="I16669" t="s">
        <v>47127</v>
      </c>
      <c r="J16669" t="s">
        <v>47128</v>
      </c>
      <c r="K16669" t="s">
        <v>47113</v>
      </c>
      <c r="L16669">
        <v>18</v>
      </c>
      <c r="M16669">
        <v>24</v>
      </c>
      <c r="N16669">
        <v>0</v>
      </c>
      <c r="O16669">
        <v>24</v>
      </c>
      <c r="P16669">
        <v>0</v>
      </c>
    </row>
    <row r="16670" spans="1:16" x14ac:dyDescent="0.25">
      <c r="A16670" t="s">
        <v>39269</v>
      </c>
      <c r="B16670" t="s">
        <v>18336</v>
      </c>
      <c r="C16670" t="s">
        <v>72</v>
      </c>
      <c r="D16670" t="str">
        <f>"1378"</f>
        <v>1378</v>
      </c>
      <c r="E16670" t="s">
        <v>388</v>
      </c>
      <c r="F16670" t="s">
        <v>15183</v>
      </c>
      <c r="G16670" t="s">
        <v>47091</v>
      </c>
      <c r="H16670" t="s">
        <v>47055</v>
      </c>
      <c r="I16670" t="s">
        <v>47127</v>
      </c>
      <c r="J16670" t="s">
        <v>47128</v>
      </c>
      <c r="K16670" t="s">
        <v>47113</v>
      </c>
      <c r="L16670">
        <v>18</v>
      </c>
      <c r="M16670">
        <v>24</v>
      </c>
      <c r="N16670">
        <v>0</v>
      </c>
      <c r="O16670">
        <v>24</v>
      </c>
      <c r="P16670">
        <v>0</v>
      </c>
    </row>
    <row r="16671" spans="1:16" x14ac:dyDescent="0.25">
      <c r="A16671" t="s">
        <v>39270</v>
      </c>
      <c r="B16671" t="s">
        <v>18336</v>
      </c>
      <c r="C16671" t="s">
        <v>72</v>
      </c>
      <c r="D16671" t="str">
        <f>"1537"</f>
        <v>1537</v>
      </c>
      <c r="E16671" t="s">
        <v>16535</v>
      </c>
      <c r="F16671" t="s">
        <v>15183</v>
      </c>
      <c r="G16671" t="s">
        <v>47091</v>
      </c>
      <c r="H16671" t="s">
        <v>47055</v>
      </c>
      <c r="I16671" t="s">
        <v>47127</v>
      </c>
      <c r="J16671" t="s">
        <v>47128</v>
      </c>
      <c r="K16671" t="s">
        <v>47113</v>
      </c>
      <c r="L16671">
        <v>18</v>
      </c>
      <c r="M16671">
        <v>24</v>
      </c>
      <c r="N16671">
        <v>0</v>
      </c>
      <c r="O16671">
        <v>24</v>
      </c>
      <c r="P16671">
        <v>0</v>
      </c>
    </row>
    <row r="16672" spans="1:16" x14ac:dyDescent="0.25">
      <c r="A16672" t="s">
        <v>39271</v>
      </c>
      <c r="B16672" t="s">
        <v>18336</v>
      </c>
      <c r="C16672" t="s">
        <v>72</v>
      </c>
      <c r="D16672" t="str">
        <f>"1700"</f>
        <v>1700</v>
      </c>
      <c r="E16672" t="s">
        <v>60</v>
      </c>
      <c r="F16672" t="s">
        <v>15183</v>
      </c>
      <c r="G16672" t="s">
        <v>47091</v>
      </c>
      <c r="H16672" t="s">
        <v>47055</v>
      </c>
      <c r="I16672" t="s">
        <v>47127</v>
      </c>
      <c r="J16672" t="s">
        <v>47128</v>
      </c>
      <c r="K16672" t="s">
        <v>47113</v>
      </c>
      <c r="L16672">
        <v>18</v>
      </c>
      <c r="M16672">
        <v>24</v>
      </c>
      <c r="N16672">
        <v>0</v>
      </c>
      <c r="O16672">
        <v>24</v>
      </c>
      <c r="P16672">
        <v>0</v>
      </c>
    </row>
    <row r="16673" spans="1:16" x14ac:dyDescent="0.25">
      <c r="A16673" t="s">
        <v>39272</v>
      </c>
      <c r="B16673" t="s">
        <v>18336</v>
      </c>
      <c r="C16673" t="s">
        <v>72</v>
      </c>
      <c r="D16673" t="str">
        <f>"1704"</f>
        <v>1704</v>
      </c>
      <c r="E16673" t="s">
        <v>7181</v>
      </c>
      <c r="F16673" t="s">
        <v>15183</v>
      </c>
      <c r="G16673" t="s">
        <v>47091</v>
      </c>
      <c r="H16673" t="s">
        <v>47055</v>
      </c>
      <c r="I16673" t="s">
        <v>47127</v>
      </c>
      <c r="J16673" t="s">
        <v>47128</v>
      </c>
      <c r="K16673" t="s">
        <v>47113</v>
      </c>
      <c r="L16673">
        <v>18</v>
      </c>
      <c r="M16673">
        <v>24</v>
      </c>
      <c r="N16673">
        <v>0</v>
      </c>
      <c r="O16673">
        <v>24</v>
      </c>
      <c r="P16673">
        <v>0</v>
      </c>
    </row>
    <row r="16674" spans="1:16" x14ac:dyDescent="0.25">
      <c r="A16674" t="s">
        <v>39273</v>
      </c>
      <c r="B16674" t="s">
        <v>18336</v>
      </c>
      <c r="C16674" t="s">
        <v>72</v>
      </c>
      <c r="D16674" t="str">
        <f>"3304"</f>
        <v>3304</v>
      </c>
      <c r="E16674" t="s">
        <v>16536</v>
      </c>
      <c r="F16674" t="s">
        <v>15183</v>
      </c>
      <c r="G16674" t="s">
        <v>47091</v>
      </c>
      <c r="H16674" t="s">
        <v>47055</v>
      </c>
      <c r="I16674" t="s">
        <v>47127</v>
      </c>
      <c r="J16674" t="s">
        <v>47128</v>
      </c>
      <c r="K16674" t="s">
        <v>47113</v>
      </c>
      <c r="L16674">
        <v>18</v>
      </c>
      <c r="M16674">
        <v>24</v>
      </c>
      <c r="N16674">
        <v>0</v>
      </c>
      <c r="O16674">
        <v>24</v>
      </c>
      <c r="P16674">
        <v>0</v>
      </c>
    </row>
    <row r="16675" spans="1:16" x14ac:dyDescent="0.25">
      <c r="A16675" t="s">
        <v>39274</v>
      </c>
      <c r="B16675" t="s">
        <v>18336</v>
      </c>
      <c r="C16675" t="s">
        <v>72</v>
      </c>
      <c r="D16675" t="str">
        <f>"4000"</f>
        <v>4000</v>
      </c>
      <c r="E16675" t="s">
        <v>16537</v>
      </c>
      <c r="F16675" t="s">
        <v>15183</v>
      </c>
      <c r="G16675" t="s">
        <v>47091</v>
      </c>
      <c r="H16675" t="s">
        <v>47055</v>
      </c>
      <c r="I16675" t="s">
        <v>47127</v>
      </c>
      <c r="J16675" t="s">
        <v>47128</v>
      </c>
      <c r="K16675" t="s">
        <v>47113</v>
      </c>
      <c r="L16675">
        <v>18</v>
      </c>
      <c r="M16675">
        <v>24</v>
      </c>
      <c r="N16675">
        <v>0</v>
      </c>
      <c r="O16675">
        <v>24</v>
      </c>
      <c r="P16675">
        <v>0</v>
      </c>
    </row>
    <row r="16676" spans="1:16" x14ac:dyDescent="0.25">
      <c r="A16676" t="s">
        <v>39275</v>
      </c>
      <c r="B16676" t="s">
        <v>18336</v>
      </c>
      <c r="C16676" t="s">
        <v>72</v>
      </c>
      <c r="D16676" t="str">
        <f>"4643"</f>
        <v>4643</v>
      </c>
      <c r="E16676" t="s">
        <v>205</v>
      </c>
      <c r="F16676" t="s">
        <v>15183</v>
      </c>
      <c r="G16676" t="s">
        <v>47091</v>
      </c>
      <c r="H16676" t="s">
        <v>47055</v>
      </c>
      <c r="I16676" t="s">
        <v>47127</v>
      </c>
      <c r="J16676" t="s">
        <v>47128</v>
      </c>
      <c r="K16676" t="s">
        <v>47113</v>
      </c>
      <c r="L16676">
        <v>18</v>
      </c>
      <c r="M16676">
        <v>24</v>
      </c>
      <c r="N16676">
        <v>0</v>
      </c>
      <c r="O16676">
        <v>24</v>
      </c>
      <c r="P16676">
        <v>0</v>
      </c>
    </row>
    <row r="16677" spans="1:16" x14ac:dyDescent="0.25">
      <c r="A16677" t="s">
        <v>39276</v>
      </c>
      <c r="B16677" t="s">
        <v>18336</v>
      </c>
      <c r="C16677" t="s">
        <v>72</v>
      </c>
      <c r="D16677" t="str">
        <f>"4921"</f>
        <v>4921</v>
      </c>
      <c r="E16677" t="s">
        <v>4156</v>
      </c>
      <c r="F16677" t="s">
        <v>15183</v>
      </c>
      <c r="G16677" t="s">
        <v>47091</v>
      </c>
      <c r="H16677" t="s">
        <v>47055</v>
      </c>
      <c r="I16677" t="s">
        <v>47127</v>
      </c>
      <c r="J16677" t="s">
        <v>47128</v>
      </c>
      <c r="K16677" t="s">
        <v>47113</v>
      </c>
      <c r="L16677">
        <v>18</v>
      </c>
      <c r="M16677">
        <v>24</v>
      </c>
      <c r="N16677">
        <v>0</v>
      </c>
      <c r="O16677">
        <v>24</v>
      </c>
      <c r="P16677">
        <v>0</v>
      </c>
    </row>
    <row r="16678" spans="1:16" x14ac:dyDescent="0.25">
      <c r="A16678" t="s">
        <v>39277</v>
      </c>
      <c r="B16678" t="s">
        <v>18337</v>
      </c>
      <c r="C16678" t="s">
        <v>72</v>
      </c>
      <c r="D16678" t="str">
        <f>"1001"</f>
        <v>1001</v>
      </c>
      <c r="E16678" t="s">
        <v>42</v>
      </c>
      <c r="F16678" t="s">
        <v>15183</v>
      </c>
      <c r="G16678" t="s">
        <v>47091</v>
      </c>
      <c r="H16678" t="s">
        <v>47055</v>
      </c>
      <c r="I16678" t="s">
        <v>47127</v>
      </c>
      <c r="J16678" t="s">
        <v>47128</v>
      </c>
      <c r="K16678" t="s">
        <v>47113</v>
      </c>
      <c r="L16678">
        <v>18</v>
      </c>
      <c r="M16678">
        <v>27</v>
      </c>
      <c r="N16678">
        <v>0</v>
      </c>
      <c r="O16678">
        <v>27</v>
      </c>
      <c r="P16678">
        <v>0</v>
      </c>
    </row>
    <row r="16679" spans="1:16" x14ac:dyDescent="0.25">
      <c r="A16679" t="s">
        <v>39278</v>
      </c>
      <c r="B16679" t="s">
        <v>18337</v>
      </c>
      <c r="C16679" t="s">
        <v>72</v>
      </c>
      <c r="D16679" t="str">
        <f>"1200"</f>
        <v>1200</v>
      </c>
      <c r="E16679" t="s">
        <v>16534</v>
      </c>
      <c r="F16679" t="s">
        <v>15183</v>
      </c>
      <c r="G16679" t="s">
        <v>47091</v>
      </c>
      <c r="H16679" t="s">
        <v>47055</v>
      </c>
      <c r="I16679" t="s">
        <v>47127</v>
      </c>
      <c r="J16679" t="s">
        <v>47128</v>
      </c>
      <c r="K16679" t="s">
        <v>47113</v>
      </c>
      <c r="L16679">
        <v>18</v>
      </c>
      <c r="M16679">
        <v>27</v>
      </c>
      <c r="N16679">
        <v>0</v>
      </c>
      <c r="O16679">
        <v>27</v>
      </c>
      <c r="P16679">
        <v>0</v>
      </c>
    </row>
    <row r="16680" spans="1:16" x14ac:dyDescent="0.25">
      <c r="A16680" t="s">
        <v>39279</v>
      </c>
      <c r="B16680" t="s">
        <v>18337</v>
      </c>
      <c r="C16680" t="s">
        <v>72</v>
      </c>
      <c r="D16680" t="str">
        <f>"1370"</f>
        <v>1370</v>
      </c>
      <c r="E16680" t="s">
        <v>2162</v>
      </c>
      <c r="F16680" t="s">
        <v>15183</v>
      </c>
      <c r="G16680" t="s">
        <v>47091</v>
      </c>
      <c r="H16680" t="s">
        <v>47055</v>
      </c>
      <c r="I16680" t="s">
        <v>47127</v>
      </c>
      <c r="J16680" t="s">
        <v>47128</v>
      </c>
      <c r="K16680" t="s">
        <v>47113</v>
      </c>
      <c r="L16680">
        <v>18</v>
      </c>
      <c r="M16680">
        <v>27</v>
      </c>
      <c r="N16680">
        <v>0</v>
      </c>
      <c r="O16680">
        <v>27</v>
      </c>
      <c r="P16680">
        <v>0</v>
      </c>
    </row>
    <row r="16681" spans="1:16" x14ac:dyDescent="0.25">
      <c r="A16681" t="s">
        <v>39280</v>
      </c>
      <c r="B16681" t="s">
        <v>18337</v>
      </c>
      <c r="C16681" t="s">
        <v>72</v>
      </c>
      <c r="D16681" t="str">
        <f>"1377"</f>
        <v>1377</v>
      </c>
      <c r="E16681" t="s">
        <v>74</v>
      </c>
      <c r="F16681" t="s">
        <v>15183</v>
      </c>
      <c r="G16681" t="s">
        <v>47091</v>
      </c>
      <c r="H16681" t="s">
        <v>47055</v>
      </c>
      <c r="I16681" t="s">
        <v>47127</v>
      </c>
      <c r="J16681" t="s">
        <v>47128</v>
      </c>
      <c r="K16681" t="s">
        <v>47113</v>
      </c>
      <c r="L16681">
        <v>18</v>
      </c>
      <c r="M16681">
        <v>27</v>
      </c>
      <c r="N16681">
        <v>0</v>
      </c>
      <c r="O16681">
        <v>27</v>
      </c>
      <c r="P16681">
        <v>0</v>
      </c>
    </row>
    <row r="16682" spans="1:16" x14ac:dyDescent="0.25">
      <c r="A16682" t="s">
        <v>39281</v>
      </c>
      <c r="B16682" t="s">
        <v>18337</v>
      </c>
      <c r="C16682" t="s">
        <v>72</v>
      </c>
      <c r="D16682" t="str">
        <f>"1378"</f>
        <v>1378</v>
      </c>
      <c r="E16682" t="s">
        <v>388</v>
      </c>
      <c r="F16682" t="s">
        <v>15183</v>
      </c>
      <c r="G16682" t="s">
        <v>47091</v>
      </c>
      <c r="H16682" t="s">
        <v>47055</v>
      </c>
      <c r="I16682" t="s">
        <v>47127</v>
      </c>
      <c r="J16682" t="s">
        <v>47128</v>
      </c>
      <c r="K16682" t="s">
        <v>47113</v>
      </c>
      <c r="L16682">
        <v>18</v>
      </c>
      <c r="M16682">
        <v>27</v>
      </c>
      <c r="N16682">
        <v>0</v>
      </c>
      <c r="O16682">
        <v>27</v>
      </c>
      <c r="P16682">
        <v>0</v>
      </c>
    </row>
    <row r="16683" spans="1:16" x14ac:dyDescent="0.25">
      <c r="A16683" t="s">
        <v>39282</v>
      </c>
      <c r="B16683" t="s">
        <v>18337</v>
      </c>
      <c r="C16683" t="s">
        <v>72</v>
      </c>
      <c r="D16683" t="str">
        <f>"1537"</f>
        <v>1537</v>
      </c>
      <c r="E16683" t="s">
        <v>16535</v>
      </c>
      <c r="F16683" t="s">
        <v>15183</v>
      </c>
      <c r="G16683" t="s">
        <v>47091</v>
      </c>
      <c r="H16683" t="s">
        <v>47055</v>
      </c>
      <c r="I16683" t="s">
        <v>47127</v>
      </c>
      <c r="J16683" t="s">
        <v>47128</v>
      </c>
      <c r="K16683" t="s">
        <v>47113</v>
      </c>
      <c r="L16683">
        <v>18</v>
      </c>
      <c r="M16683">
        <v>27</v>
      </c>
      <c r="N16683">
        <v>0</v>
      </c>
      <c r="O16683">
        <v>27</v>
      </c>
      <c r="P16683">
        <v>0</v>
      </c>
    </row>
    <row r="16684" spans="1:16" x14ac:dyDescent="0.25">
      <c r="A16684" t="s">
        <v>39283</v>
      </c>
      <c r="B16684" t="s">
        <v>18337</v>
      </c>
      <c r="C16684" t="s">
        <v>72</v>
      </c>
      <c r="D16684" t="str">
        <f>"1700"</f>
        <v>1700</v>
      </c>
      <c r="E16684" t="s">
        <v>60</v>
      </c>
      <c r="F16684" t="s">
        <v>15183</v>
      </c>
      <c r="G16684" t="s">
        <v>47091</v>
      </c>
      <c r="H16684" t="s">
        <v>47055</v>
      </c>
      <c r="I16684" t="s">
        <v>47127</v>
      </c>
      <c r="J16684" t="s">
        <v>47128</v>
      </c>
      <c r="K16684" t="s">
        <v>47113</v>
      </c>
      <c r="L16684">
        <v>18</v>
      </c>
      <c r="M16684">
        <v>27</v>
      </c>
      <c r="N16684">
        <v>0</v>
      </c>
      <c r="O16684">
        <v>27</v>
      </c>
      <c r="P16684">
        <v>0</v>
      </c>
    </row>
    <row r="16685" spans="1:16" x14ac:dyDescent="0.25">
      <c r="A16685" t="s">
        <v>39284</v>
      </c>
      <c r="B16685" t="s">
        <v>18337</v>
      </c>
      <c r="C16685" t="s">
        <v>72</v>
      </c>
      <c r="D16685" t="str">
        <f>"1704"</f>
        <v>1704</v>
      </c>
      <c r="E16685" t="s">
        <v>7181</v>
      </c>
      <c r="F16685" t="s">
        <v>15183</v>
      </c>
      <c r="G16685" t="s">
        <v>47091</v>
      </c>
      <c r="H16685" t="s">
        <v>47055</v>
      </c>
      <c r="I16685" t="s">
        <v>47127</v>
      </c>
      <c r="J16685" t="s">
        <v>47128</v>
      </c>
      <c r="K16685" t="s">
        <v>47113</v>
      </c>
      <c r="L16685">
        <v>18</v>
      </c>
      <c r="M16685">
        <v>27</v>
      </c>
      <c r="N16685">
        <v>0</v>
      </c>
      <c r="O16685">
        <v>27</v>
      </c>
      <c r="P16685">
        <v>0</v>
      </c>
    </row>
    <row r="16686" spans="1:16" x14ac:dyDescent="0.25">
      <c r="A16686" t="s">
        <v>39285</v>
      </c>
      <c r="B16686" t="s">
        <v>18337</v>
      </c>
      <c r="C16686" t="s">
        <v>72</v>
      </c>
      <c r="D16686" t="str">
        <f>"3304"</f>
        <v>3304</v>
      </c>
      <c r="E16686" t="s">
        <v>16536</v>
      </c>
      <c r="F16686" t="s">
        <v>15183</v>
      </c>
      <c r="G16686" t="s">
        <v>47091</v>
      </c>
      <c r="H16686" t="s">
        <v>47055</v>
      </c>
      <c r="I16686" t="s">
        <v>47127</v>
      </c>
      <c r="J16686" t="s">
        <v>47128</v>
      </c>
      <c r="K16686" t="s">
        <v>47113</v>
      </c>
      <c r="L16686">
        <v>18</v>
      </c>
      <c r="M16686">
        <v>27</v>
      </c>
      <c r="N16686">
        <v>0</v>
      </c>
      <c r="O16686">
        <v>27</v>
      </c>
      <c r="P16686">
        <v>0</v>
      </c>
    </row>
    <row r="16687" spans="1:16" x14ac:dyDescent="0.25">
      <c r="A16687" t="s">
        <v>39286</v>
      </c>
      <c r="B16687" t="s">
        <v>18337</v>
      </c>
      <c r="C16687" t="s">
        <v>72</v>
      </c>
      <c r="D16687" t="str">
        <f>"4000"</f>
        <v>4000</v>
      </c>
      <c r="E16687" t="s">
        <v>16537</v>
      </c>
      <c r="F16687" t="s">
        <v>15183</v>
      </c>
      <c r="G16687" t="s">
        <v>47091</v>
      </c>
      <c r="H16687" t="s">
        <v>47055</v>
      </c>
      <c r="I16687" t="s">
        <v>47127</v>
      </c>
      <c r="J16687" t="s">
        <v>47128</v>
      </c>
      <c r="K16687" t="s">
        <v>47113</v>
      </c>
      <c r="L16687">
        <v>18</v>
      </c>
      <c r="M16687">
        <v>27</v>
      </c>
      <c r="N16687">
        <v>0</v>
      </c>
      <c r="O16687">
        <v>27</v>
      </c>
      <c r="P16687">
        <v>0</v>
      </c>
    </row>
    <row r="16688" spans="1:16" x14ac:dyDescent="0.25">
      <c r="A16688" t="s">
        <v>39287</v>
      </c>
      <c r="B16688" t="s">
        <v>18337</v>
      </c>
      <c r="C16688" t="s">
        <v>72</v>
      </c>
      <c r="D16688" t="str">
        <f>"4643"</f>
        <v>4643</v>
      </c>
      <c r="E16688" t="s">
        <v>205</v>
      </c>
      <c r="F16688" t="s">
        <v>15183</v>
      </c>
      <c r="G16688" t="s">
        <v>47091</v>
      </c>
      <c r="H16688" t="s">
        <v>47055</v>
      </c>
      <c r="I16688" t="s">
        <v>47127</v>
      </c>
      <c r="J16688" t="s">
        <v>47128</v>
      </c>
      <c r="K16688" t="s">
        <v>47113</v>
      </c>
      <c r="L16688">
        <v>18</v>
      </c>
      <c r="M16688">
        <v>27</v>
      </c>
      <c r="N16688">
        <v>0</v>
      </c>
      <c r="O16688">
        <v>27</v>
      </c>
      <c r="P16688">
        <v>0</v>
      </c>
    </row>
    <row r="16689" spans="1:16" x14ac:dyDescent="0.25">
      <c r="A16689" t="s">
        <v>39288</v>
      </c>
      <c r="B16689" t="s">
        <v>18337</v>
      </c>
      <c r="C16689" t="s">
        <v>72</v>
      </c>
      <c r="D16689" t="str">
        <f>"4921"</f>
        <v>4921</v>
      </c>
      <c r="E16689" t="s">
        <v>4156</v>
      </c>
      <c r="F16689" t="s">
        <v>15183</v>
      </c>
      <c r="G16689" t="s">
        <v>47091</v>
      </c>
      <c r="H16689" t="s">
        <v>47055</v>
      </c>
      <c r="I16689" t="s">
        <v>47127</v>
      </c>
      <c r="J16689" t="s">
        <v>47128</v>
      </c>
      <c r="K16689" t="s">
        <v>47113</v>
      </c>
      <c r="L16689">
        <v>18</v>
      </c>
      <c r="M16689">
        <v>27</v>
      </c>
      <c r="N16689">
        <v>0</v>
      </c>
      <c r="O16689">
        <v>27</v>
      </c>
      <c r="P16689">
        <v>0</v>
      </c>
    </row>
    <row r="16690" spans="1:16" x14ac:dyDescent="0.25">
      <c r="A16690" t="s">
        <v>39289</v>
      </c>
      <c r="B16690" t="s">
        <v>18338</v>
      </c>
      <c r="C16690" t="s">
        <v>72</v>
      </c>
      <c r="D16690" t="str">
        <f>"1001"</f>
        <v>1001</v>
      </c>
      <c r="E16690" t="s">
        <v>42</v>
      </c>
      <c r="F16690" t="s">
        <v>15183</v>
      </c>
      <c r="G16690" t="s">
        <v>47091</v>
      </c>
      <c r="H16690" t="s">
        <v>47055</v>
      </c>
      <c r="I16690" t="s">
        <v>47127</v>
      </c>
      <c r="J16690" t="s">
        <v>47128</v>
      </c>
      <c r="K16690" t="s">
        <v>47113</v>
      </c>
      <c r="L16690">
        <v>22.51</v>
      </c>
      <c r="M16690">
        <v>35</v>
      </c>
      <c r="N16690">
        <v>0</v>
      </c>
      <c r="O16690">
        <v>35</v>
      </c>
      <c r="P16690">
        <v>0</v>
      </c>
    </row>
    <row r="16691" spans="1:16" x14ac:dyDescent="0.25">
      <c r="A16691" t="s">
        <v>39290</v>
      </c>
      <c r="B16691" t="s">
        <v>18338</v>
      </c>
      <c r="C16691" t="s">
        <v>72</v>
      </c>
      <c r="D16691" t="str">
        <f>"1200"</f>
        <v>1200</v>
      </c>
      <c r="E16691" t="s">
        <v>16534</v>
      </c>
      <c r="F16691" t="s">
        <v>15183</v>
      </c>
      <c r="G16691" t="s">
        <v>47091</v>
      </c>
      <c r="H16691" t="s">
        <v>47055</v>
      </c>
      <c r="I16691" t="s">
        <v>47127</v>
      </c>
      <c r="J16691" t="s">
        <v>47128</v>
      </c>
      <c r="K16691" t="s">
        <v>47113</v>
      </c>
      <c r="L16691">
        <v>22.51</v>
      </c>
      <c r="M16691">
        <v>35</v>
      </c>
      <c r="N16691">
        <v>0</v>
      </c>
      <c r="O16691">
        <v>35</v>
      </c>
      <c r="P16691">
        <v>0</v>
      </c>
    </row>
    <row r="16692" spans="1:16" x14ac:dyDescent="0.25">
      <c r="A16692" t="s">
        <v>39291</v>
      </c>
      <c r="B16692" t="s">
        <v>18338</v>
      </c>
      <c r="C16692" t="s">
        <v>72</v>
      </c>
      <c r="D16692" t="str">
        <f>"1370"</f>
        <v>1370</v>
      </c>
      <c r="E16692" t="s">
        <v>2162</v>
      </c>
      <c r="F16692" t="s">
        <v>15183</v>
      </c>
      <c r="G16692" t="s">
        <v>47091</v>
      </c>
      <c r="H16692" t="s">
        <v>47055</v>
      </c>
      <c r="I16692" t="s">
        <v>47127</v>
      </c>
      <c r="J16692" t="s">
        <v>47128</v>
      </c>
      <c r="K16692" t="s">
        <v>47113</v>
      </c>
      <c r="L16692">
        <v>22.51</v>
      </c>
      <c r="M16692">
        <v>35</v>
      </c>
      <c r="N16692">
        <v>0</v>
      </c>
      <c r="O16692">
        <v>35</v>
      </c>
      <c r="P16692">
        <v>0</v>
      </c>
    </row>
    <row r="16693" spans="1:16" x14ac:dyDescent="0.25">
      <c r="A16693" t="s">
        <v>39292</v>
      </c>
      <c r="B16693" t="s">
        <v>18338</v>
      </c>
      <c r="C16693" t="s">
        <v>72</v>
      </c>
      <c r="D16693" t="str">
        <f>"1377"</f>
        <v>1377</v>
      </c>
      <c r="E16693" t="s">
        <v>74</v>
      </c>
      <c r="F16693" t="s">
        <v>15183</v>
      </c>
      <c r="G16693" t="s">
        <v>47091</v>
      </c>
      <c r="H16693" t="s">
        <v>47055</v>
      </c>
      <c r="I16693" t="s">
        <v>47127</v>
      </c>
      <c r="J16693" t="s">
        <v>47128</v>
      </c>
      <c r="K16693" t="s">
        <v>47113</v>
      </c>
      <c r="L16693">
        <v>22.51</v>
      </c>
      <c r="M16693">
        <v>35</v>
      </c>
      <c r="N16693">
        <v>0</v>
      </c>
      <c r="O16693">
        <v>35</v>
      </c>
      <c r="P16693">
        <v>0</v>
      </c>
    </row>
    <row r="16694" spans="1:16" x14ac:dyDescent="0.25">
      <c r="A16694" t="s">
        <v>39293</v>
      </c>
      <c r="B16694" t="s">
        <v>18338</v>
      </c>
      <c r="C16694" t="s">
        <v>72</v>
      </c>
      <c r="D16694" t="str">
        <f>"1378"</f>
        <v>1378</v>
      </c>
      <c r="E16694" t="s">
        <v>388</v>
      </c>
      <c r="F16694" t="s">
        <v>15183</v>
      </c>
      <c r="G16694" t="s">
        <v>47091</v>
      </c>
      <c r="H16694" t="s">
        <v>47055</v>
      </c>
      <c r="I16694" t="s">
        <v>47127</v>
      </c>
      <c r="J16694" t="s">
        <v>47128</v>
      </c>
      <c r="K16694" t="s">
        <v>47113</v>
      </c>
      <c r="L16694">
        <v>22.51</v>
      </c>
      <c r="M16694">
        <v>35</v>
      </c>
      <c r="N16694">
        <v>0</v>
      </c>
      <c r="O16694">
        <v>35</v>
      </c>
      <c r="P16694">
        <v>0</v>
      </c>
    </row>
    <row r="16695" spans="1:16" x14ac:dyDescent="0.25">
      <c r="A16695" t="s">
        <v>39294</v>
      </c>
      <c r="B16695" t="s">
        <v>18338</v>
      </c>
      <c r="C16695" t="s">
        <v>72</v>
      </c>
      <c r="D16695" t="str">
        <f>"1537"</f>
        <v>1537</v>
      </c>
      <c r="E16695" t="s">
        <v>16535</v>
      </c>
      <c r="F16695" t="s">
        <v>15183</v>
      </c>
      <c r="G16695" t="s">
        <v>47091</v>
      </c>
      <c r="H16695" t="s">
        <v>47055</v>
      </c>
      <c r="I16695" t="s">
        <v>47127</v>
      </c>
      <c r="J16695" t="s">
        <v>47128</v>
      </c>
      <c r="K16695" t="s">
        <v>47113</v>
      </c>
      <c r="L16695">
        <v>22.51</v>
      </c>
      <c r="M16695">
        <v>35</v>
      </c>
      <c r="N16695">
        <v>0</v>
      </c>
      <c r="O16695">
        <v>35</v>
      </c>
      <c r="P16695">
        <v>0</v>
      </c>
    </row>
    <row r="16696" spans="1:16" x14ac:dyDescent="0.25">
      <c r="A16696" t="s">
        <v>39295</v>
      </c>
      <c r="B16696" t="s">
        <v>18338</v>
      </c>
      <c r="C16696" t="s">
        <v>72</v>
      </c>
      <c r="D16696" t="str">
        <f>"1700"</f>
        <v>1700</v>
      </c>
      <c r="E16696" t="s">
        <v>60</v>
      </c>
      <c r="F16696" t="s">
        <v>15183</v>
      </c>
      <c r="G16696" t="s">
        <v>47091</v>
      </c>
      <c r="H16696" t="s">
        <v>47055</v>
      </c>
      <c r="I16696" t="s">
        <v>47127</v>
      </c>
      <c r="J16696" t="s">
        <v>47128</v>
      </c>
      <c r="K16696" t="s">
        <v>47113</v>
      </c>
      <c r="L16696">
        <v>22.51</v>
      </c>
      <c r="M16696">
        <v>35</v>
      </c>
      <c r="N16696">
        <v>0</v>
      </c>
      <c r="O16696">
        <v>35</v>
      </c>
      <c r="P16696">
        <v>0</v>
      </c>
    </row>
    <row r="16697" spans="1:16" x14ac:dyDescent="0.25">
      <c r="A16697" t="s">
        <v>39296</v>
      </c>
      <c r="B16697" t="s">
        <v>18338</v>
      </c>
      <c r="C16697" t="s">
        <v>72</v>
      </c>
      <c r="D16697" t="str">
        <f>"1704"</f>
        <v>1704</v>
      </c>
      <c r="E16697" t="s">
        <v>7181</v>
      </c>
      <c r="F16697" t="s">
        <v>15183</v>
      </c>
      <c r="G16697" t="s">
        <v>47091</v>
      </c>
      <c r="H16697" t="s">
        <v>47055</v>
      </c>
      <c r="I16697" t="s">
        <v>47127</v>
      </c>
      <c r="J16697" t="s">
        <v>47128</v>
      </c>
      <c r="K16697" t="s">
        <v>47113</v>
      </c>
      <c r="L16697">
        <v>22.51</v>
      </c>
      <c r="M16697">
        <v>35</v>
      </c>
      <c r="N16697">
        <v>0</v>
      </c>
      <c r="O16697">
        <v>35</v>
      </c>
      <c r="P16697">
        <v>0</v>
      </c>
    </row>
    <row r="16698" spans="1:16" x14ac:dyDescent="0.25">
      <c r="A16698" t="s">
        <v>39297</v>
      </c>
      <c r="B16698" t="s">
        <v>18338</v>
      </c>
      <c r="C16698" t="s">
        <v>72</v>
      </c>
      <c r="D16698" t="str">
        <f>"3304"</f>
        <v>3304</v>
      </c>
      <c r="E16698" t="s">
        <v>16536</v>
      </c>
      <c r="F16698" t="s">
        <v>15183</v>
      </c>
      <c r="G16698" t="s">
        <v>47091</v>
      </c>
      <c r="H16698" t="s">
        <v>47055</v>
      </c>
      <c r="I16698" t="s">
        <v>47127</v>
      </c>
      <c r="J16698" t="s">
        <v>47128</v>
      </c>
      <c r="K16698" t="s">
        <v>47113</v>
      </c>
      <c r="L16698">
        <v>22.51</v>
      </c>
      <c r="M16698">
        <v>35</v>
      </c>
      <c r="N16698">
        <v>0</v>
      </c>
      <c r="O16698">
        <v>35</v>
      </c>
      <c r="P16698">
        <v>0</v>
      </c>
    </row>
    <row r="16699" spans="1:16" x14ac:dyDescent="0.25">
      <c r="A16699" t="s">
        <v>39298</v>
      </c>
      <c r="B16699" t="s">
        <v>18338</v>
      </c>
      <c r="C16699" t="s">
        <v>72</v>
      </c>
      <c r="D16699" t="str">
        <f>"4000"</f>
        <v>4000</v>
      </c>
      <c r="E16699" t="s">
        <v>16537</v>
      </c>
      <c r="F16699" t="s">
        <v>15183</v>
      </c>
      <c r="G16699" t="s">
        <v>47091</v>
      </c>
      <c r="H16699" t="s">
        <v>47055</v>
      </c>
      <c r="I16699" t="s">
        <v>47127</v>
      </c>
      <c r="J16699" t="s">
        <v>47128</v>
      </c>
      <c r="K16699" t="s">
        <v>47113</v>
      </c>
      <c r="L16699">
        <v>22.51</v>
      </c>
      <c r="M16699">
        <v>35</v>
      </c>
      <c r="N16699">
        <v>0</v>
      </c>
      <c r="O16699">
        <v>35</v>
      </c>
      <c r="P16699">
        <v>0</v>
      </c>
    </row>
    <row r="16700" spans="1:16" x14ac:dyDescent="0.25">
      <c r="A16700" t="s">
        <v>39299</v>
      </c>
      <c r="B16700" t="s">
        <v>18338</v>
      </c>
      <c r="C16700" t="s">
        <v>72</v>
      </c>
      <c r="D16700" t="str">
        <f>"4643"</f>
        <v>4643</v>
      </c>
      <c r="E16700" t="s">
        <v>205</v>
      </c>
      <c r="F16700" t="s">
        <v>15183</v>
      </c>
      <c r="G16700" t="s">
        <v>47091</v>
      </c>
      <c r="H16700" t="s">
        <v>47055</v>
      </c>
      <c r="I16700" t="s">
        <v>47127</v>
      </c>
      <c r="J16700" t="s">
        <v>47128</v>
      </c>
      <c r="K16700" t="s">
        <v>47113</v>
      </c>
      <c r="L16700">
        <v>22.51</v>
      </c>
      <c r="M16700">
        <v>35</v>
      </c>
      <c r="N16700">
        <v>0</v>
      </c>
      <c r="O16700">
        <v>35</v>
      </c>
      <c r="P16700">
        <v>0</v>
      </c>
    </row>
    <row r="16701" spans="1:16" x14ac:dyDescent="0.25">
      <c r="A16701" t="s">
        <v>39300</v>
      </c>
      <c r="B16701" t="s">
        <v>18338</v>
      </c>
      <c r="C16701" t="s">
        <v>72</v>
      </c>
      <c r="D16701" t="str">
        <f>"4921"</f>
        <v>4921</v>
      </c>
      <c r="E16701" t="s">
        <v>4156</v>
      </c>
      <c r="F16701" t="s">
        <v>15183</v>
      </c>
      <c r="G16701" t="s">
        <v>47091</v>
      </c>
      <c r="H16701" t="s">
        <v>47055</v>
      </c>
      <c r="I16701" t="s">
        <v>47127</v>
      </c>
      <c r="J16701" t="s">
        <v>47128</v>
      </c>
      <c r="K16701" t="s">
        <v>47113</v>
      </c>
      <c r="L16701">
        <v>22.51</v>
      </c>
      <c r="M16701">
        <v>35</v>
      </c>
      <c r="N16701">
        <v>0</v>
      </c>
      <c r="O16701">
        <v>35</v>
      </c>
      <c r="P16701">
        <v>0</v>
      </c>
    </row>
    <row r="16702" spans="1:16" x14ac:dyDescent="0.25">
      <c r="A16702" t="s">
        <v>39301</v>
      </c>
      <c r="B16702" t="s">
        <v>18339</v>
      </c>
      <c r="C16702" t="s">
        <v>72</v>
      </c>
      <c r="D16702" t="str">
        <f>"1001"</f>
        <v>1001</v>
      </c>
      <c r="E16702" t="s">
        <v>42</v>
      </c>
      <c r="F16702" t="s">
        <v>15183</v>
      </c>
      <c r="G16702" t="s">
        <v>47091</v>
      </c>
      <c r="H16702" t="s">
        <v>47055</v>
      </c>
      <c r="I16702" t="s">
        <v>47127</v>
      </c>
      <c r="J16702" t="s">
        <v>47128</v>
      </c>
      <c r="K16702" t="s">
        <v>47113</v>
      </c>
      <c r="L16702">
        <v>18</v>
      </c>
      <c r="M16702">
        <v>26</v>
      </c>
      <c r="N16702">
        <v>0</v>
      </c>
      <c r="O16702">
        <v>26</v>
      </c>
      <c r="P16702">
        <v>0</v>
      </c>
    </row>
    <row r="16703" spans="1:16" x14ac:dyDescent="0.25">
      <c r="A16703" t="s">
        <v>39302</v>
      </c>
      <c r="B16703" t="s">
        <v>18339</v>
      </c>
      <c r="C16703" t="s">
        <v>72</v>
      </c>
      <c r="D16703" t="str">
        <f>"1200"</f>
        <v>1200</v>
      </c>
      <c r="E16703" t="s">
        <v>16534</v>
      </c>
      <c r="F16703" t="s">
        <v>15183</v>
      </c>
      <c r="G16703" t="s">
        <v>47091</v>
      </c>
      <c r="H16703" t="s">
        <v>47055</v>
      </c>
      <c r="I16703" t="s">
        <v>47127</v>
      </c>
      <c r="J16703" t="s">
        <v>47128</v>
      </c>
      <c r="K16703" t="s">
        <v>47113</v>
      </c>
      <c r="L16703">
        <v>18</v>
      </c>
      <c r="M16703">
        <v>26</v>
      </c>
      <c r="N16703">
        <v>0</v>
      </c>
      <c r="O16703">
        <v>26</v>
      </c>
      <c r="P16703">
        <v>0</v>
      </c>
    </row>
    <row r="16704" spans="1:16" x14ac:dyDescent="0.25">
      <c r="A16704" t="s">
        <v>39303</v>
      </c>
      <c r="B16704" t="s">
        <v>18339</v>
      </c>
      <c r="C16704" t="s">
        <v>72</v>
      </c>
      <c r="D16704" t="str">
        <f>"1370"</f>
        <v>1370</v>
      </c>
      <c r="E16704" t="s">
        <v>2162</v>
      </c>
      <c r="F16704" t="s">
        <v>15183</v>
      </c>
      <c r="G16704" t="s">
        <v>47091</v>
      </c>
      <c r="H16704" t="s">
        <v>47055</v>
      </c>
      <c r="I16704" t="s">
        <v>47127</v>
      </c>
      <c r="J16704" t="s">
        <v>47128</v>
      </c>
      <c r="K16704" t="s">
        <v>47113</v>
      </c>
      <c r="L16704">
        <v>18</v>
      </c>
      <c r="M16704">
        <v>26</v>
      </c>
      <c r="N16704">
        <v>0</v>
      </c>
      <c r="O16704">
        <v>26</v>
      </c>
      <c r="P16704">
        <v>0</v>
      </c>
    </row>
    <row r="16705" spans="1:16" x14ac:dyDescent="0.25">
      <c r="A16705" t="s">
        <v>39304</v>
      </c>
      <c r="B16705" t="s">
        <v>18339</v>
      </c>
      <c r="C16705" t="s">
        <v>72</v>
      </c>
      <c r="D16705" t="str">
        <f>"1377"</f>
        <v>1377</v>
      </c>
      <c r="E16705" t="s">
        <v>74</v>
      </c>
      <c r="F16705" t="s">
        <v>15183</v>
      </c>
      <c r="G16705" t="s">
        <v>47091</v>
      </c>
      <c r="H16705" t="s">
        <v>47055</v>
      </c>
      <c r="I16705" t="s">
        <v>47127</v>
      </c>
      <c r="J16705" t="s">
        <v>47128</v>
      </c>
      <c r="K16705" t="s">
        <v>47113</v>
      </c>
      <c r="L16705">
        <v>18</v>
      </c>
      <c r="M16705">
        <v>26</v>
      </c>
      <c r="N16705">
        <v>0</v>
      </c>
      <c r="O16705">
        <v>26</v>
      </c>
      <c r="P16705">
        <v>0</v>
      </c>
    </row>
    <row r="16706" spans="1:16" x14ac:dyDescent="0.25">
      <c r="A16706" t="s">
        <v>39305</v>
      </c>
      <c r="B16706" t="s">
        <v>18339</v>
      </c>
      <c r="C16706" t="s">
        <v>72</v>
      </c>
      <c r="D16706" t="str">
        <f>"1378"</f>
        <v>1378</v>
      </c>
      <c r="E16706" t="s">
        <v>388</v>
      </c>
      <c r="F16706" t="s">
        <v>15183</v>
      </c>
      <c r="G16706" t="s">
        <v>47091</v>
      </c>
      <c r="H16706" t="s">
        <v>47055</v>
      </c>
      <c r="I16706" t="s">
        <v>47127</v>
      </c>
      <c r="J16706" t="s">
        <v>47128</v>
      </c>
      <c r="K16706" t="s">
        <v>47113</v>
      </c>
      <c r="L16706">
        <v>18</v>
      </c>
      <c r="M16706">
        <v>26</v>
      </c>
      <c r="N16706">
        <v>0</v>
      </c>
      <c r="O16706">
        <v>26</v>
      </c>
      <c r="P16706">
        <v>0</v>
      </c>
    </row>
    <row r="16707" spans="1:16" x14ac:dyDescent="0.25">
      <c r="A16707" t="s">
        <v>39306</v>
      </c>
      <c r="B16707" t="s">
        <v>18339</v>
      </c>
      <c r="C16707" t="s">
        <v>72</v>
      </c>
      <c r="D16707" t="str">
        <f>"1537"</f>
        <v>1537</v>
      </c>
      <c r="E16707" t="s">
        <v>16535</v>
      </c>
      <c r="F16707" t="s">
        <v>15183</v>
      </c>
      <c r="G16707" t="s">
        <v>47091</v>
      </c>
      <c r="H16707" t="s">
        <v>47055</v>
      </c>
      <c r="I16707" t="s">
        <v>47127</v>
      </c>
      <c r="J16707" t="s">
        <v>47128</v>
      </c>
      <c r="K16707" t="s">
        <v>47113</v>
      </c>
      <c r="L16707">
        <v>18</v>
      </c>
      <c r="M16707">
        <v>26</v>
      </c>
      <c r="N16707">
        <v>0</v>
      </c>
      <c r="O16707">
        <v>26</v>
      </c>
      <c r="P16707">
        <v>0</v>
      </c>
    </row>
    <row r="16708" spans="1:16" x14ac:dyDescent="0.25">
      <c r="A16708" t="s">
        <v>39307</v>
      </c>
      <c r="B16708" t="s">
        <v>18339</v>
      </c>
      <c r="C16708" t="s">
        <v>72</v>
      </c>
      <c r="D16708" t="str">
        <f>"1700"</f>
        <v>1700</v>
      </c>
      <c r="E16708" t="s">
        <v>60</v>
      </c>
      <c r="F16708" t="s">
        <v>15183</v>
      </c>
      <c r="G16708" t="s">
        <v>47091</v>
      </c>
      <c r="H16708" t="s">
        <v>47055</v>
      </c>
      <c r="I16708" t="s">
        <v>47127</v>
      </c>
      <c r="J16708" t="s">
        <v>47128</v>
      </c>
      <c r="K16708" t="s">
        <v>47113</v>
      </c>
      <c r="L16708">
        <v>18</v>
      </c>
      <c r="M16708">
        <v>26</v>
      </c>
      <c r="N16708">
        <v>0</v>
      </c>
      <c r="O16708">
        <v>26</v>
      </c>
      <c r="P16708">
        <v>0</v>
      </c>
    </row>
    <row r="16709" spans="1:16" x14ac:dyDescent="0.25">
      <c r="A16709" t="s">
        <v>39308</v>
      </c>
      <c r="B16709" t="s">
        <v>18339</v>
      </c>
      <c r="C16709" t="s">
        <v>72</v>
      </c>
      <c r="D16709" t="str">
        <f>"1704"</f>
        <v>1704</v>
      </c>
      <c r="E16709" t="s">
        <v>7181</v>
      </c>
      <c r="F16709" t="s">
        <v>15183</v>
      </c>
      <c r="G16709" t="s">
        <v>47091</v>
      </c>
      <c r="H16709" t="s">
        <v>47055</v>
      </c>
      <c r="I16709" t="s">
        <v>47127</v>
      </c>
      <c r="J16709" t="s">
        <v>47128</v>
      </c>
      <c r="K16709" t="s">
        <v>47113</v>
      </c>
      <c r="L16709">
        <v>18</v>
      </c>
      <c r="M16709">
        <v>26</v>
      </c>
      <c r="N16709">
        <v>0</v>
      </c>
      <c r="O16709">
        <v>26</v>
      </c>
      <c r="P16709">
        <v>0</v>
      </c>
    </row>
    <row r="16710" spans="1:16" x14ac:dyDescent="0.25">
      <c r="A16710" t="s">
        <v>39309</v>
      </c>
      <c r="B16710" t="s">
        <v>18339</v>
      </c>
      <c r="C16710" t="s">
        <v>72</v>
      </c>
      <c r="D16710" t="str">
        <f>"3304"</f>
        <v>3304</v>
      </c>
      <c r="E16710" t="s">
        <v>16536</v>
      </c>
      <c r="F16710" t="s">
        <v>15183</v>
      </c>
      <c r="G16710" t="s">
        <v>47091</v>
      </c>
      <c r="H16710" t="s">
        <v>47055</v>
      </c>
      <c r="I16710" t="s">
        <v>47127</v>
      </c>
      <c r="J16710" t="s">
        <v>47128</v>
      </c>
      <c r="K16710" t="s">
        <v>47113</v>
      </c>
      <c r="L16710">
        <v>18</v>
      </c>
      <c r="M16710">
        <v>26</v>
      </c>
      <c r="N16710">
        <v>0</v>
      </c>
      <c r="O16710">
        <v>26</v>
      </c>
      <c r="P16710">
        <v>0</v>
      </c>
    </row>
    <row r="16711" spans="1:16" x14ac:dyDescent="0.25">
      <c r="A16711" t="s">
        <v>39310</v>
      </c>
      <c r="B16711" t="s">
        <v>18339</v>
      </c>
      <c r="C16711" t="s">
        <v>72</v>
      </c>
      <c r="D16711" t="str">
        <f>"4000"</f>
        <v>4000</v>
      </c>
      <c r="E16711" t="s">
        <v>16537</v>
      </c>
      <c r="F16711" t="s">
        <v>15183</v>
      </c>
      <c r="G16711" t="s">
        <v>47091</v>
      </c>
      <c r="H16711" t="s">
        <v>47055</v>
      </c>
      <c r="I16711" t="s">
        <v>47127</v>
      </c>
      <c r="J16711" t="s">
        <v>47128</v>
      </c>
      <c r="K16711" t="s">
        <v>47113</v>
      </c>
      <c r="L16711">
        <v>18</v>
      </c>
      <c r="M16711">
        <v>26</v>
      </c>
      <c r="N16711">
        <v>0</v>
      </c>
      <c r="O16711">
        <v>26</v>
      </c>
      <c r="P16711">
        <v>0</v>
      </c>
    </row>
    <row r="16712" spans="1:16" x14ac:dyDescent="0.25">
      <c r="A16712" t="s">
        <v>39311</v>
      </c>
      <c r="B16712" t="s">
        <v>18339</v>
      </c>
      <c r="C16712" t="s">
        <v>72</v>
      </c>
      <c r="D16712" t="str">
        <f>"4643"</f>
        <v>4643</v>
      </c>
      <c r="E16712" t="s">
        <v>205</v>
      </c>
      <c r="F16712" t="s">
        <v>15183</v>
      </c>
      <c r="G16712" t="s">
        <v>47091</v>
      </c>
      <c r="H16712" t="s">
        <v>47055</v>
      </c>
      <c r="I16712" t="s">
        <v>47127</v>
      </c>
      <c r="J16712" t="s">
        <v>47128</v>
      </c>
      <c r="K16712" t="s">
        <v>47113</v>
      </c>
      <c r="L16712">
        <v>18</v>
      </c>
      <c r="M16712">
        <v>26</v>
      </c>
      <c r="N16712">
        <v>0</v>
      </c>
      <c r="O16712">
        <v>26</v>
      </c>
      <c r="P16712">
        <v>0</v>
      </c>
    </row>
    <row r="16713" spans="1:16" x14ac:dyDescent="0.25">
      <c r="A16713" t="s">
        <v>39312</v>
      </c>
      <c r="B16713" t="s">
        <v>18339</v>
      </c>
      <c r="C16713" t="s">
        <v>72</v>
      </c>
      <c r="D16713" t="str">
        <f>"4921"</f>
        <v>4921</v>
      </c>
      <c r="E16713" t="s">
        <v>4156</v>
      </c>
      <c r="F16713" t="s">
        <v>15183</v>
      </c>
      <c r="G16713" t="s">
        <v>47091</v>
      </c>
      <c r="H16713" t="s">
        <v>47055</v>
      </c>
      <c r="I16713" t="s">
        <v>47127</v>
      </c>
      <c r="J16713" t="s">
        <v>47128</v>
      </c>
      <c r="K16713" t="s">
        <v>47113</v>
      </c>
      <c r="L16713">
        <v>18</v>
      </c>
      <c r="M16713">
        <v>26</v>
      </c>
      <c r="N16713">
        <v>0</v>
      </c>
      <c r="O16713">
        <v>26</v>
      </c>
      <c r="P16713">
        <v>0</v>
      </c>
    </row>
    <row r="16714" spans="1:16" x14ac:dyDescent="0.25">
      <c r="A16714" t="s">
        <v>39313</v>
      </c>
      <c r="B16714" t="s">
        <v>18340</v>
      </c>
      <c r="C16714" t="s">
        <v>18341</v>
      </c>
      <c r="D16714" t="str">
        <f>"1001"</f>
        <v>1001</v>
      </c>
      <c r="E16714" t="s">
        <v>42</v>
      </c>
      <c r="F16714" t="s">
        <v>15183</v>
      </c>
      <c r="G16714" t="s">
        <v>47091</v>
      </c>
      <c r="H16714" t="s">
        <v>47055</v>
      </c>
      <c r="I16714" t="s">
        <v>47127</v>
      </c>
      <c r="J16714" t="s">
        <v>47128</v>
      </c>
      <c r="K16714" t="s">
        <v>47113</v>
      </c>
      <c r="L16714">
        <v>18</v>
      </c>
      <c r="M16714">
        <v>29</v>
      </c>
      <c r="N16714">
        <v>0</v>
      </c>
      <c r="O16714">
        <v>29</v>
      </c>
      <c r="P16714">
        <v>0</v>
      </c>
    </row>
    <row r="16715" spans="1:16" x14ac:dyDescent="0.25">
      <c r="A16715" t="s">
        <v>39314</v>
      </c>
      <c r="B16715" t="s">
        <v>18340</v>
      </c>
      <c r="C16715" t="s">
        <v>18341</v>
      </c>
      <c r="D16715" t="str">
        <f>"1200"</f>
        <v>1200</v>
      </c>
      <c r="E16715" t="s">
        <v>16534</v>
      </c>
      <c r="F16715" t="s">
        <v>15183</v>
      </c>
      <c r="G16715" t="s">
        <v>47091</v>
      </c>
      <c r="H16715" t="s">
        <v>47055</v>
      </c>
      <c r="I16715" t="s">
        <v>47127</v>
      </c>
      <c r="J16715" t="s">
        <v>47128</v>
      </c>
      <c r="K16715" t="s">
        <v>47113</v>
      </c>
      <c r="L16715">
        <v>18</v>
      </c>
      <c r="M16715">
        <v>29</v>
      </c>
      <c r="N16715">
        <v>0</v>
      </c>
      <c r="O16715">
        <v>29</v>
      </c>
      <c r="P16715">
        <v>0</v>
      </c>
    </row>
    <row r="16716" spans="1:16" x14ac:dyDescent="0.25">
      <c r="A16716" t="s">
        <v>39315</v>
      </c>
      <c r="B16716" t="s">
        <v>18340</v>
      </c>
      <c r="C16716" t="s">
        <v>18341</v>
      </c>
      <c r="D16716" t="str">
        <f>"1370"</f>
        <v>1370</v>
      </c>
      <c r="E16716" t="s">
        <v>2162</v>
      </c>
      <c r="F16716" t="s">
        <v>15183</v>
      </c>
      <c r="G16716" t="s">
        <v>47091</v>
      </c>
      <c r="H16716" t="s">
        <v>47055</v>
      </c>
      <c r="I16716" t="s">
        <v>47127</v>
      </c>
      <c r="J16716" t="s">
        <v>47128</v>
      </c>
      <c r="K16716" t="s">
        <v>47113</v>
      </c>
      <c r="L16716">
        <v>18</v>
      </c>
      <c r="M16716">
        <v>29</v>
      </c>
      <c r="N16716">
        <v>0</v>
      </c>
      <c r="O16716">
        <v>29</v>
      </c>
      <c r="P16716">
        <v>0</v>
      </c>
    </row>
    <row r="16717" spans="1:16" x14ac:dyDescent="0.25">
      <c r="A16717" t="s">
        <v>39316</v>
      </c>
      <c r="B16717" t="s">
        <v>18340</v>
      </c>
      <c r="C16717" t="s">
        <v>18341</v>
      </c>
      <c r="D16717" t="str">
        <f>"1377"</f>
        <v>1377</v>
      </c>
      <c r="E16717" t="s">
        <v>74</v>
      </c>
      <c r="F16717" t="s">
        <v>15183</v>
      </c>
      <c r="G16717" t="s">
        <v>47091</v>
      </c>
      <c r="H16717" t="s">
        <v>47055</v>
      </c>
      <c r="I16717" t="s">
        <v>47127</v>
      </c>
      <c r="J16717" t="s">
        <v>47128</v>
      </c>
      <c r="K16717" t="s">
        <v>47113</v>
      </c>
      <c r="L16717">
        <v>18</v>
      </c>
      <c r="M16717">
        <v>29</v>
      </c>
      <c r="N16717">
        <v>0</v>
      </c>
      <c r="O16717">
        <v>29</v>
      </c>
      <c r="P16717">
        <v>0</v>
      </c>
    </row>
    <row r="16718" spans="1:16" x14ac:dyDescent="0.25">
      <c r="A16718" t="s">
        <v>39317</v>
      </c>
      <c r="B16718" t="s">
        <v>18340</v>
      </c>
      <c r="C16718" t="s">
        <v>18341</v>
      </c>
      <c r="D16718" t="str">
        <f>"1378"</f>
        <v>1378</v>
      </c>
      <c r="E16718" t="s">
        <v>388</v>
      </c>
      <c r="F16718" t="s">
        <v>15183</v>
      </c>
      <c r="G16718" t="s">
        <v>47091</v>
      </c>
      <c r="H16718" t="s">
        <v>47055</v>
      </c>
      <c r="I16718" t="s">
        <v>47127</v>
      </c>
      <c r="J16718" t="s">
        <v>47128</v>
      </c>
      <c r="K16718" t="s">
        <v>47113</v>
      </c>
      <c r="L16718">
        <v>18</v>
      </c>
      <c r="M16718">
        <v>29</v>
      </c>
      <c r="N16718">
        <v>0</v>
      </c>
      <c r="O16718">
        <v>29</v>
      </c>
      <c r="P16718">
        <v>0</v>
      </c>
    </row>
    <row r="16719" spans="1:16" x14ac:dyDescent="0.25">
      <c r="A16719" t="s">
        <v>39318</v>
      </c>
      <c r="B16719" t="s">
        <v>18340</v>
      </c>
      <c r="C16719" t="s">
        <v>18341</v>
      </c>
      <c r="D16719" t="str">
        <f>"1537"</f>
        <v>1537</v>
      </c>
      <c r="E16719" t="s">
        <v>16535</v>
      </c>
      <c r="F16719" t="s">
        <v>15183</v>
      </c>
      <c r="G16719" t="s">
        <v>47091</v>
      </c>
      <c r="H16719" t="s">
        <v>47055</v>
      </c>
      <c r="I16719" t="s">
        <v>47127</v>
      </c>
      <c r="J16719" t="s">
        <v>47128</v>
      </c>
      <c r="K16719" t="s">
        <v>47113</v>
      </c>
      <c r="L16719">
        <v>18</v>
      </c>
      <c r="M16719">
        <v>29</v>
      </c>
      <c r="N16719">
        <v>0</v>
      </c>
      <c r="O16719">
        <v>29</v>
      </c>
      <c r="P16719">
        <v>0</v>
      </c>
    </row>
    <row r="16720" spans="1:16" x14ac:dyDescent="0.25">
      <c r="A16720" t="s">
        <v>39319</v>
      </c>
      <c r="B16720" t="s">
        <v>18340</v>
      </c>
      <c r="C16720" t="s">
        <v>18341</v>
      </c>
      <c r="D16720" t="str">
        <f>"1700"</f>
        <v>1700</v>
      </c>
      <c r="E16720" t="s">
        <v>60</v>
      </c>
      <c r="F16720" t="s">
        <v>15183</v>
      </c>
      <c r="G16720" t="s">
        <v>47091</v>
      </c>
      <c r="H16720" t="s">
        <v>47055</v>
      </c>
      <c r="I16720" t="s">
        <v>47127</v>
      </c>
      <c r="J16720" t="s">
        <v>47128</v>
      </c>
      <c r="K16720" t="s">
        <v>47113</v>
      </c>
      <c r="L16720">
        <v>18</v>
      </c>
      <c r="M16720">
        <v>29</v>
      </c>
      <c r="N16720">
        <v>0</v>
      </c>
      <c r="O16720">
        <v>29</v>
      </c>
      <c r="P16720">
        <v>0</v>
      </c>
    </row>
    <row r="16721" spans="1:16" x14ac:dyDescent="0.25">
      <c r="A16721" t="s">
        <v>39320</v>
      </c>
      <c r="B16721" t="s">
        <v>18340</v>
      </c>
      <c r="C16721" t="s">
        <v>18341</v>
      </c>
      <c r="D16721" t="str">
        <f>"1704"</f>
        <v>1704</v>
      </c>
      <c r="E16721" t="s">
        <v>7181</v>
      </c>
      <c r="F16721" t="s">
        <v>15183</v>
      </c>
      <c r="G16721" t="s">
        <v>47091</v>
      </c>
      <c r="H16721" t="s">
        <v>47055</v>
      </c>
      <c r="I16721" t="s">
        <v>47127</v>
      </c>
      <c r="J16721" t="s">
        <v>47128</v>
      </c>
      <c r="K16721" t="s">
        <v>47113</v>
      </c>
      <c r="L16721">
        <v>18</v>
      </c>
      <c r="M16721">
        <v>29</v>
      </c>
      <c r="N16721">
        <v>0</v>
      </c>
      <c r="O16721">
        <v>29</v>
      </c>
      <c r="P16721">
        <v>0</v>
      </c>
    </row>
    <row r="16722" spans="1:16" x14ac:dyDescent="0.25">
      <c r="A16722" t="s">
        <v>39321</v>
      </c>
      <c r="B16722" t="s">
        <v>18340</v>
      </c>
      <c r="C16722" t="s">
        <v>18341</v>
      </c>
      <c r="D16722" t="str">
        <f>"3304"</f>
        <v>3304</v>
      </c>
      <c r="E16722" t="s">
        <v>16536</v>
      </c>
      <c r="F16722" t="s">
        <v>15183</v>
      </c>
      <c r="G16722" t="s">
        <v>47091</v>
      </c>
      <c r="H16722" t="s">
        <v>47055</v>
      </c>
      <c r="I16722" t="s">
        <v>47127</v>
      </c>
      <c r="J16722" t="s">
        <v>47128</v>
      </c>
      <c r="K16722" t="s">
        <v>47113</v>
      </c>
      <c r="L16722">
        <v>18</v>
      </c>
      <c r="M16722">
        <v>29</v>
      </c>
      <c r="N16722">
        <v>0</v>
      </c>
      <c r="O16722">
        <v>29</v>
      </c>
      <c r="P16722">
        <v>0</v>
      </c>
    </row>
    <row r="16723" spans="1:16" x14ac:dyDescent="0.25">
      <c r="A16723" t="s">
        <v>39322</v>
      </c>
      <c r="B16723" t="s">
        <v>18340</v>
      </c>
      <c r="C16723" t="s">
        <v>18341</v>
      </c>
      <c r="D16723" t="str">
        <f>"4000"</f>
        <v>4000</v>
      </c>
      <c r="E16723" t="s">
        <v>16537</v>
      </c>
      <c r="F16723" t="s">
        <v>15183</v>
      </c>
      <c r="G16723" t="s">
        <v>47091</v>
      </c>
      <c r="H16723" t="s">
        <v>47055</v>
      </c>
      <c r="I16723" t="s">
        <v>47127</v>
      </c>
      <c r="J16723" t="s">
        <v>47128</v>
      </c>
      <c r="K16723" t="s">
        <v>47113</v>
      </c>
      <c r="L16723">
        <v>18</v>
      </c>
      <c r="M16723">
        <v>29</v>
      </c>
      <c r="N16723">
        <v>0</v>
      </c>
      <c r="O16723">
        <v>29</v>
      </c>
      <c r="P16723">
        <v>0</v>
      </c>
    </row>
    <row r="16724" spans="1:16" x14ac:dyDescent="0.25">
      <c r="A16724" t="s">
        <v>39323</v>
      </c>
      <c r="B16724" t="s">
        <v>18340</v>
      </c>
      <c r="C16724" t="s">
        <v>18341</v>
      </c>
      <c r="D16724" t="str">
        <f>"4643"</f>
        <v>4643</v>
      </c>
      <c r="E16724" t="s">
        <v>205</v>
      </c>
      <c r="F16724" t="s">
        <v>15183</v>
      </c>
      <c r="G16724" t="s">
        <v>47091</v>
      </c>
      <c r="H16724" t="s">
        <v>47055</v>
      </c>
      <c r="I16724" t="s">
        <v>47127</v>
      </c>
      <c r="J16724" t="s">
        <v>47128</v>
      </c>
      <c r="K16724" t="s">
        <v>47113</v>
      </c>
      <c r="L16724">
        <v>18</v>
      </c>
      <c r="M16724">
        <v>29</v>
      </c>
      <c r="N16724">
        <v>0</v>
      </c>
      <c r="O16724">
        <v>29</v>
      </c>
      <c r="P16724">
        <v>0</v>
      </c>
    </row>
    <row r="16725" spans="1:16" x14ac:dyDescent="0.25">
      <c r="A16725" t="s">
        <v>39324</v>
      </c>
      <c r="B16725" t="s">
        <v>18340</v>
      </c>
      <c r="C16725" t="s">
        <v>18341</v>
      </c>
      <c r="D16725" t="str">
        <f>"4921"</f>
        <v>4921</v>
      </c>
      <c r="E16725" t="s">
        <v>4156</v>
      </c>
      <c r="F16725" t="s">
        <v>15183</v>
      </c>
      <c r="G16725" t="s">
        <v>47091</v>
      </c>
      <c r="H16725" t="s">
        <v>47055</v>
      </c>
      <c r="I16725" t="s">
        <v>47127</v>
      </c>
      <c r="J16725" t="s">
        <v>47128</v>
      </c>
      <c r="K16725" t="s">
        <v>47113</v>
      </c>
      <c r="L16725">
        <v>18</v>
      </c>
      <c r="M16725">
        <v>29</v>
      </c>
      <c r="N16725">
        <v>0</v>
      </c>
      <c r="O16725">
        <v>29</v>
      </c>
      <c r="P16725">
        <v>0</v>
      </c>
    </row>
    <row r="16726" spans="1:16" x14ac:dyDescent="0.25">
      <c r="A16726" t="s">
        <v>39325</v>
      </c>
      <c r="B16726" t="s">
        <v>18342</v>
      </c>
      <c r="C16726" t="s">
        <v>16598</v>
      </c>
      <c r="D16726" t="str">
        <f>"1423"</f>
        <v>1423</v>
      </c>
      <c r="E16726" t="s">
        <v>16571</v>
      </c>
      <c r="F16726" t="s">
        <v>15183</v>
      </c>
      <c r="G16726" t="s">
        <v>47102</v>
      </c>
      <c r="H16726" t="s">
        <v>47055</v>
      </c>
      <c r="I16726" t="s">
        <v>47120</v>
      </c>
      <c r="J16726" t="s">
        <v>47121</v>
      </c>
      <c r="K16726" t="s">
        <v>47113</v>
      </c>
      <c r="L16726">
        <v>139.04</v>
      </c>
      <c r="M16726">
        <v>283</v>
      </c>
      <c r="N16726">
        <v>0</v>
      </c>
      <c r="O16726">
        <v>283</v>
      </c>
      <c r="P16726">
        <v>0</v>
      </c>
    </row>
    <row r="16727" spans="1:16" x14ac:dyDescent="0.25">
      <c r="A16727" t="s">
        <v>39326</v>
      </c>
      <c r="B16727" t="s">
        <v>18342</v>
      </c>
      <c r="C16727" t="s">
        <v>16598</v>
      </c>
      <c r="D16727" t="str">
        <f>"2377"</f>
        <v>2377</v>
      </c>
      <c r="E16727" t="s">
        <v>16572</v>
      </c>
      <c r="F16727" t="s">
        <v>15183</v>
      </c>
      <c r="G16727" t="s">
        <v>47102</v>
      </c>
      <c r="H16727" t="s">
        <v>47055</v>
      </c>
      <c r="I16727" t="s">
        <v>47120</v>
      </c>
      <c r="J16727" t="s">
        <v>47121</v>
      </c>
      <c r="K16727" t="s">
        <v>47113</v>
      </c>
      <c r="L16727">
        <v>139.04</v>
      </c>
      <c r="M16727">
        <v>283</v>
      </c>
      <c r="N16727">
        <v>0</v>
      </c>
      <c r="O16727">
        <v>283</v>
      </c>
      <c r="P16727">
        <v>0</v>
      </c>
    </row>
    <row r="16728" spans="1:16" x14ac:dyDescent="0.25">
      <c r="A16728" t="s">
        <v>39327</v>
      </c>
      <c r="B16728" t="s">
        <v>18343</v>
      </c>
      <c r="C16728" t="s">
        <v>18344</v>
      </c>
      <c r="D16728" t="str">
        <f>"1423"</f>
        <v>1423</v>
      </c>
      <c r="E16728" t="s">
        <v>16571</v>
      </c>
      <c r="F16728" t="s">
        <v>15183</v>
      </c>
      <c r="G16728" t="s">
        <v>47102</v>
      </c>
      <c r="H16728" t="s">
        <v>47055</v>
      </c>
      <c r="I16728" t="s">
        <v>47120</v>
      </c>
      <c r="J16728" t="s">
        <v>47121</v>
      </c>
      <c r="K16728" t="s">
        <v>47113</v>
      </c>
      <c r="L16728">
        <v>115.89</v>
      </c>
      <c r="M16728">
        <v>236</v>
      </c>
      <c r="N16728">
        <v>0</v>
      </c>
      <c r="O16728">
        <v>236</v>
      </c>
      <c r="P16728">
        <v>0</v>
      </c>
    </row>
    <row r="16729" spans="1:16" x14ac:dyDescent="0.25">
      <c r="A16729" t="s">
        <v>39328</v>
      </c>
      <c r="B16729" t="s">
        <v>18343</v>
      </c>
      <c r="C16729" t="s">
        <v>18344</v>
      </c>
      <c r="D16729" t="str">
        <f>"2377"</f>
        <v>2377</v>
      </c>
      <c r="E16729" t="s">
        <v>16572</v>
      </c>
      <c r="F16729" t="s">
        <v>15183</v>
      </c>
      <c r="G16729" t="s">
        <v>47102</v>
      </c>
      <c r="H16729" t="s">
        <v>47055</v>
      </c>
      <c r="I16729" t="s">
        <v>47120</v>
      </c>
      <c r="J16729" t="s">
        <v>47121</v>
      </c>
      <c r="K16729" t="s">
        <v>47113</v>
      </c>
      <c r="L16729">
        <v>115.89</v>
      </c>
      <c r="M16729">
        <v>236</v>
      </c>
      <c r="N16729">
        <v>0</v>
      </c>
      <c r="O16729">
        <v>236</v>
      </c>
      <c r="P16729">
        <v>0</v>
      </c>
    </row>
    <row r="16730" spans="1:16" x14ac:dyDescent="0.25">
      <c r="A16730" t="s">
        <v>39329</v>
      </c>
      <c r="B16730" t="s">
        <v>18345</v>
      </c>
      <c r="C16730" t="s">
        <v>18346</v>
      </c>
      <c r="D16730" t="str">
        <f>"1106"</f>
        <v>1106</v>
      </c>
      <c r="E16730" t="s">
        <v>460</v>
      </c>
      <c r="F16730" t="s">
        <v>16601</v>
      </c>
      <c r="G16730" t="s">
        <v>47094</v>
      </c>
      <c r="H16730" t="s">
        <v>47055</v>
      </c>
      <c r="I16730" t="s">
        <v>47127</v>
      </c>
      <c r="J16730" t="s">
        <v>47128</v>
      </c>
      <c r="K16730" t="s">
        <v>47113</v>
      </c>
      <c r="L16730">
        <v>29.67</v>
      </c>
      <c r="M16730">
        <v>44</v>
      </c>
      <c r="N16730">
        <v>0</v>
      </c>
      <c r="O16730">
        <v>44</v>
      </c>
      <c r="P16730">
        <v>0</v>
      </c>
    </row>
    <row r="16731" spans="1:16" x14ac:dyDescent="0.25">
      <c r="A16731" t="s">
        <v>39330</v>
      </c>
      <c r="B16731" t="s">
        <v>18345</v>
      </c>
      <c r="C16731" t="s">
        <v>18346</v>
      </c>
      <c r="D16731" t="str">
        <f>"1285"</f>
        <v>1285</v>
      </c>
      <c r="E16731" t="s">
        <v>2148</v>
      </c>
      <c r="F16731" t="s">
        <v>16601</v>
      </c>
      <c r="G16731" t="s">
        <v>47094</v>
      </c>
      <c r="H16731" t="s">
        <v>47055</v>
      </c>
      <c r="I16731" t="s">
        <v>47127</v>
      </c>
      <c r="J16731" t="s">
        <v>47128</v>
      </c>
      <c r="K16731" t="s">
        <v>47113</v>
      </c>
      <c r="L16731">
        <v>29.67</v>
      </c>
      <c r="M16731">
        <v>44</v>
      </c>
      <c r="N16731">
        <v>0</v>
      </c>
      <c r="O16731">
        <v>44</v>
      </c>
      <c r="P16731">
        <v>0</v>
      </c>
    </row>
    <row r="16732" spans="1:16" x14ac:dyDescent="0.25">
      <c r="A16732" t="s">
        <v>39331</v>
      </c>
      <c r="B16732" t="s">
        <v>18345</v>
      </c>
      <c r="C16732" t="s">
        <v>18346</v>
      </c>
      <c r="D16732" t="str">
        <f>"1378"</f>
        <v>1378</v>
      </c>
      <c r="E16732" t="s">
        <v>388</v>
      </c>
      <c r="F16732" t="s">
        <v>16601</v>
      </c>
      <c r="G16732" t="s">
        <v>47094</v>
      </c>
      <c r="H16732" t="s">
        <v>47055</v>
      </c>
      <c r="I16732" t="s">
        <v>47127</v>
      </c>
      <c r="J16732" t="s">
        <v>47128</v>
      </c>
      <c r="K16732" t="s">
        <v>47113</v>
      </c>
      <c r="L16732">
        <v>29.67</v>
      </c>
      <c r="M16732">
        <v>44</v>
      </c>
      <c r="N16732">
        <v>0</v>
      </c>
      <c r="O16732">
        <v>44</v>
      </c>
      <c r="P16732">
        <v>0</v>
      </c>
    </row>
    <row r="16733" spans="1:16" x14ac:dyDescent="0.25">
      <c r="A16733" t="s">
        <v>39332</v>
      </c>
      <c r="B16733" t="s">
        <v>18345</v>
      </c>
      <c r="C16733" t="s">
        <v>18346</v>
      </c>
      <c r="D16733" t="str">
        <f>"1403"</f>
        <v>1403</v>
      </c>
      <c r="E16733" t="s">
        <v>224</v>
      </c>
      <c r="F16733" t="s">
        <v>16601</v>
      </c>
      <c r="G16733" t="s">
        <v>47094</v>
      </c>
      <c r="H16733" t="s">
        <v>47055</v>
      </c>
      <c r="I16733" t="s">
        <v>47127</v>
      </c>
      <c r="J16733" t="s">
        <v>47128</v>
      </c>
      <c r="K16733" t="s">
        <v>47113</v>
      </c>
      <c r="L16733">
        <v>29.67</v>
      </c>
      <c r="M16733">
        <v>44</v>
      </c>
      <c r="N16733">
        <v>0</v>
      </c>
      <c r="O16733">
        <v>44</v>
      </c>
      <c r="P16733">
        <v>0</v>
      </c>
    </row>
    <row r="16734" spans="1:16" x14ac:dyDescent="0.25">
      <c r="A16734" t="s">
        <v>39333</v>
      </c>
      <c r="B16734" t="s">
        <v>18345</v>
      </c>
      <c r="C16734" t="s">
        <v>18346</v>
      </c>
      <c r="D16734" t="str">
        <f>"3160"</f>
        <v>3160</v>
      </c>
      <c r="E16734" t="s">
        <v>16602</v>
      </c>
      <c r="F16734" t="s">
        <v>16601</v>
      </c>
      <c r="G16734" t="s">
        <v>47094</v>
      </c>
      <c r="H16734" t="s">
        <v>47055</v>
      </c>
      <c r="I16734" t="s">
        <v>47127</v>
      </c>
      <c r="J16734" t="s">
        <v>47128</v>
      </c>
      <c r="K16734" t="s">
        <v>47113</v>
      </c>
      <c r="L16734">
        <v>29.67</v>
      </c>
      <c r="M16734">
        <v>44</v>
      </c>
      <c r="N16734">
        <v>0</v>
      </c>
      <c r="O16734">
        <v>44</v>
      </c>
      <c r="P16734">
        <v>0</v>
      </c>
    </row>
    <row r="16735" spans="1:16" x14ac:dyDescent="0.25">
      <c r="A16735" t="s">
        <v>39334</v>
      </c>
      <c r="B16735" t="s">
        <v>18345</v>
      </c>
      <c r="C16735" t="s">
        <v>18346</v>
      </c>
      <c r="D16735" t="str">
        <f>"4000"</f>
        <v>4000</v>
      </c>
      <c r="E16735" t="s">
        <v>16603</v>
      </c>
      <c r="F16735" t="s">
        <v>16601</v>
      </c>
      <c r="G16735" t="s">
        <v>47094</v>
      </c>
      <c r="H16735" t="s">
        <v>47055</v>
      </c>
      <c r="I16735" t="s">
        <v>47127</v>
      </c>
      <c r="J16735" t="s">
        <v>47128</v>
      </c>
      <c r="K16735" t="s">
        <v>47113</v>
      </c>
      <c r="L16735">
        <v>29.67</v>
      </c>
      <c r="M16735">
        <v>44</v>
      </c>
      <c r="N16735">
        <v>0</v>
      </c>
      <c r="O16735">
        <v>44</v>
      </c>
      <c r="P16735">
        <v>0</v>
      </c>
    </row>
    <row r="16736" spans="1:16" x14ac:dyDescent="0.25">
      <c r="A16736" t="s">
        <v>39335</v>
      </c>
      <c r="B16736" t="s">
        <v>18345</v>
      </c>
      <c r="C16736" t="s">
        <v>18346</v>
      </c>
      <c r="D16736" t="str">
        <f>"4143"</f>
        <v>4143</v>
      </c>
      <c r="E16736" t="s">
        <v>18347</v>
      </c>
      <c r="F16736" t="s">
        <v>16601</v>
      </c>
      <c r="G16736" t="s">
        <v>47094</v>
      </c>
      <c r="H16736" t="s">
        <v>47055</v>
      </c>
      <c r="I16736" t="s">
        <v>47127</v>
      </c>
      <c r="J16736" t="s">
        <v>47128</v>
      </c>
      <c r="K16736" t="s">
        <v>47113</v>
      </c>
      <c r="L16736">
        <v>29.67</v>
      </c>
      <c r="M16736">
        <v>44</v>
      </c>
      <c r="N16736">
        <v>0</v>
      </c>
      <c r="O16736">
        <v>44</v>
      </c>
      <c r="P16736">
        <v>0</v>
      </c>
    </row>
    <row r="16737" spans="1:16" x14ac:dyDescent="0.25">
      <c r="A16737" t="s">
        <v>39336</v>
      </c>
      <c r="B16737" t="s">
        <v>18348</v>
      </c>
      <c r="C16737" t="s">
        <v>2214</v>
      </c>
      <c r="D16737" t="str">
        <f>"1106"</f>
        <v>1106</v>
      </c>
      <c r="E16737" t="s">
        <v>460</v>
      </c>
      <c r="F16737" t="s">
        <v>16601</v>
      </c>
      <c r="G16737" t="s">
        <v>47091</v>
      </c>
      <c r="H16737" t="s">
        <v>47055</v>
      </c>
      <c r="I16737" t="s">
        <v>47127</v>
      </c>
      <c r="J16737" t="s">
        <v>47128</v>
      </c>
      <c r="K16737" t="s">
        <v>47113</v>
      </c>
      <c r="L16737">
        <v>15.98</v>
      </c>
      <c r="M16737">
        <v>29</v>
      </c>
      <c r="N16737">
        <v>0</v>
      </c>
      <c r="O16737">
        <v>29</v>
      </c>
      <c r="P16737">
        <v>0</v>
      </c>
    </row>
    <row r="16738" spans="1:16" x14ac:dyDescent="0.25">
      <c r="A16738" t="s">
        <v>39337</v>
      </c>
      <c r="B16738" t="s">
        <v>18348</v>
      </c>
      <c r="C16738" t="s">
        <v>2214</v>
      </c>
      <c r="D16738" t="str">
        <f>"1285"</f>
        <v>1285</v>
      </c>
      <c r="E16738" t="s">
        <v>2148</v>
      </c>
      <c r="F16738" t="s">
        <v>16601</v>
      </c>
      <c r="G16738" t="s">
        <v>47091</v>
      </c>
      <c r="H16738" t="s">
        <v>47055</v>
      </c>
      <c r="I16738" t="s">
        <v>47127</v>
      </c>
      <c r="J16738" t="s">
        <v>47128</v>
      </c>
      <c r="K16738" t="s">
        <v>47113</v>
      </c>
      <c r="L16738">
        <v>15.98</v>
      </c>
      <c r="M16738">
        <v>29</v>
      </c>
      <c r="N16738">
        <v>0</v>
      </c>
      <c r="O16738">
        <v>29</v>
      </c>
      <c r="P16738">
        <v>0</v>
      </c>
    </row>
    <row r="16739" spans="1:16" x14ac:dyDescent="0.25">
      <c r="A16739" t="s">
        <v>39338</v>
      </c>
      <c r="B16739" t="s">
        <v>18348</v>
      </c>
      <c r="C16739" t="s">
        <v>2214</v>
      </c>
      <c r="D16739" t="str">
        <f>"1378"</f>
        <v>1378</v>
      </c>
      <c r="E16739" t="s">
        <v>388</v>
      </c>
      <c r="F16739" t="s">
        <v>16601</v>
      </c>
      <c r="G16739" t="s">
        <v>47091</v>
      </c>
      <c r="H16739" t="s">
        <v>47055</v>
      </c>
      <c r="I16739" t="s">
        <v>47127</v>
      </c>
      <c r="J16739" t="s">
        <v>47128</v>
      </c>
      <c r="K16739" t="s">
        <v>47113</v>
      </c>
      <c r="L16739">
        <v>15.98</v>
      </c>
      <c r="M16739">
        <v>29</v>
      </c>
      <c r="N16739">
        <v>0</v>
      </c>
      <c r="O16739">
        <v>29</v>
      </c>
      <c r="P16739">
        <v>0</v>
      </c>
    </row>
    <row r="16740" spans="1:16" x14ac:dyDescent="0.25">
      <c r="A16740" t="s">
        <v>39339</v>
      </c>
      <c r="B16740" t="s">
        <v>18348</v>
      </c>
      <c r="C16740" t="s">
        <v>2214</v>
      </c>
      <c r="D16740" t="str">
        <f>"1700"</f>
        <v>1700</v>
      </c>
      <c r="E16740" t="s">
        <v>60</v>
      </c>
      <c r="F16740" t="s">
        <v>16601</v>
      </c>
      <c r="G16740" t="s">
        <v>47091</v>
      </c>
      <c r="H16740" t="s">
        <v>47055</v>
      </c>
      <c r="I16740" t="s">
        <v>47127</v>
      </c>
      <c r="J16740" t="s">
        <v>47128</v>
      </c>
      <c r="K16740" t="s">
        <v>47113</v>
      </c>
      <c r="L16740">
        <v>15.98</v>
      </c>
      <c r="M16740">
        <v>29</v>
      </c>
      <c r="N16740">
        <v>0</v>
      </c>
      <c r="O16740">
        <v>29</v>
      </c>
      <c r="P16740">
        <v>0</v>
      </c>
    </row>
    <row r="16741" spans="1:16" x14ac:dyDescent="0.25">
      <c r="A16741" t="s">
        <v>39340</v>
      </c>
      <c r="B16741" t="s">
        <v>18348</v>
      </c>
      <c r="C16741" t="s">
        <v>2214</v>
      </c>
      <c r="D16741" t="str">
        <f>"3160"</f>
        <v>3160</v>
      </c>
      <c r="E16741" t="s">
        <v>16602</v>
      </c>
      <c r="F16741" t="s">
        <v>16601</v>
      </c>
      <c r="G16741" t="s">
        <v>47091</v>
      </c>
      <c r="H16741" t="s">
        <v>47055</v>
      </c>
      <c r="I16741" t="s">
        <v>47127</v>
      </c>
      <c r="J16741" t="s">
        <v>47128</v>
      </c>
      <c r="K16741" t="s">
        <v>47113</v>
      </c>
      <c r="L16741">
        <v>15.98</v>
      </c>
      <c r="M16741">
        <v>29</v>
      </c>
      <c r="N16741">
        <v>0</v>
      </c>
      <c r="O16741">
        <v>29</v>
      </c>
      <c r="P16741">
        <v>0</v>
      </c>
    </row>
    <row r="16742" spans="1:16" x14ac:dyDescent="0.25">
      <c r="A16742" t="s">
        <v>39341</v>
      </c>
      <c r="B16742" t="s">
        <v>18348</v>
      </c>
      <c r="C16742" t="s">
        <v>2214</v>
      </c>
      <c r="D16742" t="str">
        <f>"4000"</f>
        <v>4000</v>
      </c>
      <c r="E16742" t="s">
        <v>16603</v>
      </c>
      <c r="F16742" t="s">
        <v>16601</v>
      </c>
      <c r="G16742" t="s">
        <v>47091</v>
      </c>
      <c r="H16742" t="s">
        <v>47055</v>
      </c>
      <c r="I16742" t="s">
        <v>47127</v>
      </c>
      <c r="J16742" t="s">
        <v>47128</v>
      </c>
      <c r="K16742" t="s">
        <v>47113</v>
      </c>
      <c r="L16742">
        <v>15.98</v>
      </c>
      <c r="M16742">
        <v>29</v>
      </c>
      <c r="N16742">
        <v>0</v>
      </c>
      <c r="O16742">
        <v>29</v>
      </c>
      <c r="P16742">
        <v>0</v>
      </c>
    </row>
    <row r="16743" spans="1:16" x14ac:dyDescent="0.25">
      <c r="A16743" t="s">
        <v>39342</v>
      </c>
      <c r="B16743" t="s">
        <v>18348</v>
      </c>
      <c r="C16743" t="s">
        <v>2214</v>
      </c>
      <c r="D16743" t="str">
        <f>"4143"</f>
        <v>4143</v>
      </c>
      <c r="E16743" t="s">
        <v>18347</v>
      </c>
      <c r="F16743" t="s">
        <v>16601</v>
      </c>
      <c r="G16743" t="s">
        <v>47091</v>
      </c>
      <c r="H16743" t="s">
        <v>47055</v>
      </c>
      <c r="I16743" t="s">
        <v>47127</v>
      </c>
      <c r="J16743" t="s">
        <v>47128</v>
      </c>
      <c r="K16743" t="s">
        <v>47113</v>
      </c>
      <c r="L16743">
        <v>15.98</v>
      </c>
      <c r="M16743">
        <v>29</v>
      </c>
      <c r="N16743">
        <v>0</v>
      </c>
      <c r="O16743">
        <v>29</v>
      </c>
      <c r="P16743">
        <v>0</v>
      </c>
    </row>
    <row r="16744" spans="1:16" x14ac:dyDescent="0.25">
      <c r="A16744" t="s">
        <v>39343</v>
      </c>
      <c r="B16744" t="s">
        <v>18349</v>
      </c>
      <c r="C16744" t="s">
        <v>18350</v>
      </c>
      <c r="D16744" t="str">
        <f>"1106"</f>
        <v>1106</v>
      </c>
      <c r="E16744" t="s">
        <v>460</v>
      </c>
      <c r="F16744" t="s">
        <v>16601</v>
      </c>
      <c r="G16744" t="s">
        <v>47095</v>
      </c>
      <c r="H16744" t="s">
        <v>47055</v>
      </c>
      <c r="I16744" t="s">
        <v>47127</v>
      </c>
      <c r="J16744" t="s">
        <v>47128</v>
      </c>
      <c r="K16744" t="s">
        <v>47113</v>
      </c>
      <c r="L16744">
        <v>29.67</v>
      </c>
      <c r="M16744">
        <v>55</v>
      </c>
      <c r="N16744">
        <v>0</v>
      </c>
      <c r="O16744">
        <v>55</v>
      </c>
      <c r="P16744">
        <v>0</v>
      </c>
    </row>
    <row r="16745" spans="1:16" x14ac:dyDescent="0.25">
      <c r="A16745" t="s">
        <v>39344</v>
      </c>
      <c r="B16745" t="s">
        <v>18349</v>
      </c>
      <c r="C16745" t="s">
        <v>18350</v>
      </c>
      <c r="D16745" t="str">
        <f>"1285"</f>
        <v>1285</v>
      </c>
      <c r="E16745" t="s">
        <v>2148</v>
      </c>
      <c r="F16745" t="s">
        <v>16601</v>
      </c>
      <c r="G16745" t="s">
        <v>47095</v>
      </c>
      <c r="H16745" t="s">
        <v>47055</v>
      </c>
      <c r="I16745" t="s">
        <v>47127</v>
      </c>
      <c r="J16745" t="s">
        <v>47128</v>
      </c>
      <c r="K16745" t="s">
        <v>47113</v>
      </c>
      <c r="L16745">
        <v>29.67</v>
      </c>
      <c r="M16745">
        <v>55</v>
      </c>
      <c r="N16745">
        <v>0</v>
      </c>
      <c r="O16745">
        <v>55</v>
      </c>
      <c r="P16745">
        <v>0</v>
      </c>
    </row>
    <row r="16746" spans="1:16" x14ac:dyDescent="0.25">
      <c r="A16746" t="s">
        <v>39345</v>
      </c>
      <c r="B16746" t="s">
        <v>18349</v>
      </c>
      <c r="C16746" t="s">
        <v>18350</v>
      </c>
      <c r="D16746" t="str">
        <f>"1700"</f>
        <v>1700</v>
      </c>
      <c r="E16746" t="s">
        <v>60</v>
      </c>
      <c r="F16746" t="s">
        <v>16601</v>
      </c>
      <c r="G16746" t="s">
        <v>47095</v>
      </c>
      <c r="H16746" t="s">
        <v>47055</v>
      </c>
      <c r="I16746" t="s">
        <v>47127</v>
      </c>
      <c r="J16746" t="s">
        <v>47128</v>
      </c>
      <c r="K16746" t="s">
        <v>47113</v>
      </c>
      <c r="L16746">
        <v>29.67</v>
      </c>
      <c r="M16746">
        <v>55</v>
      </c>
      <c r="N16746">
        <v>0</v>
      </c>
      <c r="O16746">
        <v>55</v>
      </c>
      <c r="P16746">
        <v>0</v>
      </c>
    </row>
    <row r="16747" spans="1:16" x14ac:dyDescent="0.25">
      <c r="A16747" t="s">
        <v>39346</v>
      </c>
      <c r="B16747" t="s">
        <v>18349</v>
      </c>
      <c r="C16747" t="s">
        <v>18350</v>
      </c>
      <c r="D16747" t="str">
        <f>"3160"</f>
        <v>3160</v>
      </c>
      <c r="E16747" t="s">
        <v>16602</v>
      </c>
      <c r="F16747" t="s">
        <v>16601</v>
      </c>
      <c r="G16747" t="s">
        <v>47095</v>
      </c>
      <c r="H16747" t="s">
        <v>47055</v>
      </c>
      <c r="I16747" t="s">
        <v>47127</v>
      </c>
      <c r="J16747" t="s">
        <v>47128</v>
      </c>
      <c r="K16747" t="s">
        <v>47113</v>
      </c>
      <c r="L16747">
        <v>29.67</v>
      </c>
      <c r="M16747">
        <v>55</v>
      </c>
      <c r="N16747">
        <v>0</v>
      </c>
      <c r="O16747">
        <v>55</v>
      </c>
      <c r="P16747">
        <v>0</v>
      </c>
    </row>
    <row r="16748" spans="1:16" x14ac:dyDescent="0.25">
      <c r="A16748" t="s">
        <v>39347</v>
      </c>
      <c r="B16748" t="s">
        <v>18349</v>
      </c>
      <c r="C16748" t="s">
        <v>18350</v>
      </c>
      <c r="D16748" t="str">
        <f>"4000"</f>
        <v>4000</v>
      </c>
      <c r="E16748" t="s">
        <v>190</v>
      </c>
      <c r="F16748" t="s">
        <v>16601</v>
      </c>
      <c r="G16748" t="s">
        <v>47095</v>
      </c>
      <c r="H16748" t="s">
        <v>47055</v>
      </c>
      <c r="I16748" t="s">
        <v>47127</v>
      </c>
      <c r="J16748" t="s">
        <v>47128</v>
      </c>
      <c r="K16748" t="s">
        <v>47113</v>
      </c>
      <c r="L16748">
        <v>29.67</v>
      </c>
      <c r="M16748">
        <v>55</v>
      </c>
      <c r="N16748">
        <v>0</v>
      </c>
      <c r="O16748">
        <v>55</v>
      </c>
      <c r="P16748">
        <v>0</v>
      </c>
    </row>
    <row r="16749" spans="1:16" x14ac:dyDescent="0.25">
      <c r="A16749" t="s">
        <v>39348</v>
      </c>
      <c r="B16749" t="s">
        <v>18349</v>
      </c>
      <c r="C16749" t="s">
        <v>18350</v>
      </c>
      <c r="D16749" t="str">
        <f>"4143"</f>
        <v>4143</v>
      </c>
      <c r="E16749" t="s">
        <v>18347</v>
      </c>
      <c r="F16749" t="s">
        <v>16601</v>
      </c>
      <c r="G16749" t="s">
        <v>47095</v>
      </c>
      <c r="H16749" t="s">
        <v>47055</v>
      </c>
      <c r="I16749" t="s">
        <v>47127</v>
      </c>
      <c r="J16749" t="s">
        <v>47128</v>
      </c>
      <c r="K16749" t="s">
        <v>47113</v>
      </c>
      <c r="L16749">
        <v>29.67</v>
      </c>
      <c r="M16749">
        <v>55</v>
      </c>
      <c r="N16749">
        <v>0</v>
      </c>
      <c r="O16749">
        <v>55</v>
      </c>
      <c r="P16749">
        <v>0</v>
      </c>
    </row>
    <row r="16750" spans="1:16" x14ac:dyDescent="0.25">
      <c r="A16750" t="s">
        <v>39349</v>
      </c>
      <c r="B16750" t="s">
        <v>18351</v>
      </c>
      <c r="C16750" t="s">
        <v>18352</v>
      </c>
      <c r="D16750" t="str">
        <f>"1106"</f>
        <v>1106</v>
      </c>
      <c r="E16750" t="s">
        <v>460</v>
      </c>
      <c r="F16750" t="s">
        <v>16601</v>
      </c>
      <c r="G16750" t="s">
        <v>47094</v>
      </c>
      <c r="H16750" t="s">
        <v>47055</v>
      </c>
      <c r="I16750" t="s">
        <v>47127</v>
      </c>
      <c r="J16750" t="s">
        <v>47128</v>
      </c>
      <c r="K16750" t="s">
        <v>47113</v>
      </c>
      <c r="L16750">
        <v>34.24</v>
      </c>
      <c r="M16750">
        <v>44</v>
      </c>
      <c r="N16750">
        <v>0</v>
      </c>
      <c r="O16750">
        <v>44</v>
      </c>
      <c r="P16750">
        <v>0</v>
      </c>
    </row>
    <row r="16751" spans="1:16" x14ac:dyDescent="0.25">
      <c r="A16751" t="s">
        <v>39350</v>
      </c>
      <c r="B16751" t="s">
        <v>18351</v>
      </c>
      <c r="C16751" t="s">
        <v>18352</v>
      </c>
      <c r="D16751" t="str">
        <f>"1285"</f>
        <v>1285</v>
      </c>
      <c r="E16751" t="s">
        <v>2148</v>
      </c>
      <c r="F16751" t="s">
        <v>16601</v>
      </c>
      <c r="G16751" t="s">
        <v>47094</v>
      </c>
      <c r="H16751" t="s">
        <v>47055</v>
      </c>
      <c r="I16751" t="s">
        <v>47127</v>
      </c>
      <c r="J16751" t="s">
        <v>47128</v>
      </c>
      <c r="K16751" t="s">
        <v>47113</v>
      </c>
      <c r="L16751">
        <v>34.24</v>
      </c>
      <c r="M16751">
        <v>44</v>
      </c>
      <c r="N16751">
        <v>0</v>
      </c>
      <c r="O16751">
        <v>44</v>
      </c>
      <c r="P16751">
        <v>0</v>
      </c>
    </row>
    <row r="16752" spans="1:16" x14ac:dyDescent="0.25">
      <c r="A16752" t="s">
        <v>39351</v>
      </c>
      <c r="B16752" t="s">
        <v>18351</v>
      </c>
      <c r="C16752" t="s">
        <v>18352</v>
      </c>
      <c r="D16752" t="str">
        <f>"1700"</f>
        <v>1700</v>
      </c>
      <c r="E16752" t="s">
        <v>60</v>
      </c>
      <c r="F16752" t="s">
        <v>16601</v>
      </c>
      <c r="G16752" t="s">
        <v>47094</v>
      </c>
      <c r="H16752" t="s">
        <v>47055</v>
      </c>
      <c r="I16752" t="s">
        <v>47127</v>
      </c>
      <c r="J16752" t="s">
        <v>47128</v>
      </c>
      <c r="K16752" t="s">
        <v>47113</v>
      </c>
      <c r="L16752">
        <v>34.24</v>
      </c>
      <c r="M16752">
        <v>44</v>
      </c>
      <c r="N16752">
        <v>0</v>
      </c>
      <c r="O16752">
        <v>44</v>
      </c>
      <c r="P16752">
        <v>0</v>
      </c>
    </row>
    <row r="16753" spans="1:16" x14ac:dyDescent="0.25">
      <c r="A16753" t="s">
        <v>39352</v>
      </c>
      <c r="B16753" t="s">
        <v>18351</v>
      </c>
      <c r="C16753" t="s">
        <v>18352</v>
      </c>
      <c r="D16753" t="str">
        <f>"3160"</f>
        <v>3160</v>
      </c>
      <c r="E16753" t="s">
        <v>16602</v>
      </c>
      <c r="F16753" t="s">
        <v>16601</v>
      </c>
      <c r="G16753" t="s">
        <v>47094</v>
      </c>
      <c r="H16753" t="s">
        <v>47055</v>
      </c>
      <c r="I16753" t="s">
        <v>47127</v>
      </c>
      <c r="J16753" t="s">
        <v>47128</v>
      </c>
      <c r="K16753" t="s">
        <v>47113</v>
      </c>
      <c r="L16753">
        <v>34.24</v>
      </c>
      <c r="M16753">
        <v>44</v>
      </c>
      <c r="N16753">
        <v>0</v>
      </c>
      <c r="O16753">
        <v>44</v>
      </c>
      <c r="P16753">
        <v>0</v>
      </c>
    </row>
    <row r="16754" spans="1:16" x14ac:dyDescent="0.25">
      <c r="A16754" t="s">
        <v>39353</v>
      </c>
      <c r="B16754" t="s">
        <v>18351</v>
      </c>
      <c r="C16754" t="s">
        <v>18352</v>
      </c>
      <c r="D16754" t="str">
        <f>"4000"</f>
        <v>4000</v>
      </c>
      <c r="E16754" t="s">
        <v>16603</v>
      </c>
      <c r="F16754" t="s">
        <v>16601</v>
      </c>
      <c r="G16754" t="s">
        <v>47094</v>
      </c>
      <c r="H16754" t="s">
        <v>47055</v>
      </c>
      <c r="I16754" t="s">
        <v>47127</v>
      </c>
      <c r="J16754" t="s">
        <v>47128</v>
      </c>
      <c r="K16754" t="s">
        <v>47113</v>
      </c>
      <c r="L16754">
        <v>34.24</v>
      </c>
      <c r="M16754">
        <v>44</v>
      </c>
      <c r="N16754">
        <v>0</v>
      </c>
      <c r="O16754">
        <v>44</v>
      </c>
      <c r="P16754">
        <v>0</v>
      </c>
    </row>
    <row r="16755" spans="1:16" x14ac:dyDescent="0.25">
      <c r="A16755" t="s">
        <v>39354</v>
      </c>
      <c r="B16755" t="s">
        <v>18351</v>
      </c>
      <c r="C16755" t="s">
        <v>18352</v>
      </c>
      <c r="D16755" t="str">
        <f>"4143"</f>
        <v>4143</v>
      </c>
      <c r="E16755" t="s">
        <v>18347</v>
      </c>
      <c r="F16755" t="s">
        <v>16601</v>
      </c>
      <c r="G16755" t="s">
        <v>47094</v>
      </c>
      <c r="H16755" t="s">
        <v>47055</v>
      </c>
      <c r="I16755" t="s">
        <v>47127</v>
      </c>
      <c r="J16755" t="s">
        <v>47128</v>
      </c>
      <c r="K16755" t="s">
        <v>47113</v>
      </c>
      <c r="L16755">
        <v>34.24</v>
      </c>
      <c r="M16755">
        <v>44</v>
      </c>
      <c r="N16755">
        <v>0</v>
      </c>
      <c r="O16755">
        <v>44</v>
      </c>
      <c r="P16755">
        <v>0</v>
      </c>
    </row>
    <row r="16756" spans="1:16" x14ac:dyDescent="0.25">
      <c r="A16756" t="s">
        <v>39355</v>
      </c>
      <c r="B16756" t="s">
        <v>18351</v>
      </c>
      <c r="C16756" t="s">
        <v>18352</v>
      </c>
      <c r="D16756" t="str">
        <f>"4643"</f>
        <v>4643</v>
      </c>
      <c r="E16756" t="s">
        <v>205</v>
      </c>
      <c r="F16756" t="s">
        <v>16601</v>
      </c>
      <c r="G16756" t="s">
        <v>47094</v>
      </c>
      <c r="H16756" t="s">
        <v>47055</v>
      </c>
      <c r="I16756" t="s">
        <v>47127</v>
      </c>
      <c r="J16756" t="s">
        <v>47128</v>
      </c>
      <c r="K16756" t="s">
        <v>47113</v>
      </c>
      <c r="L16756">
        <v>34.24</v>
      </c>
      <c r="M16756">
        <v>44</v>
      </c>
      <c r="N16756">
        <v>0</v>
      </c>
      <c r="O16756">
        <v>44</v>
      </c>
      <c r="P16756">
        <v>0</v>
      </c>
    </row>
    <row r="16757" spans="1:16" x14ac:dyDescent="0.25">
      <c r="A16757" t="s">
        <v>39356</v>
      </c>
      <c r="B16757" t="s">
        <v>18353</v>
      </c>
      <c r="C16757" t="s">
        <v>18354</v>
      </c>
      <c r="D16757" t="str">
        <f>"1106"</f>
        <v>1106</v>
      </c>
      <c r="E16757" t="s">
        <v>460</v>
      </c>
      <c r="F16757" t="s">
        <v>16601</v>
      </c>
      <c r="G16757" t="s">
        <v>47091</v>
      </c>
      <c r="H16757" t="s">
        <v>47055</v>
      </c>
      <c r="I16757" t="s">
        <v>47127</v>
      </c>
      <c r="J16757" t="s">
        <v>47128</v>
      </c>
      <c r="K16757" t="s">
        <v>47113</v>
      </c>
      <c r="L16757">
        <v>18.27</v>
      </c>
      <c r="M16757">
        <v>29</v>
      </c>
      <c r="N16757">
        <v>0</v>
      </c>
      <c r="O16757">
        <v>29</v>
      </c>
      <c r="P16757">
        <v>0</v>
      </c>
    </row>
    <row r="16758" spans="1:16" x14ac:dyDescent="0.25">
      <c r="A16758" t="s">
        <v>39357</v>
      </c>
      <c r="B16758" t="s">
        <v>18353</v>
      </c>
      <c r="C16758" t="s">
        <v>18354</v>
      </c>
      <c r="D16758" t="str">
        <f>"1378"</f>
        <v>1378</v>
      </c>
      <c r="E16758" t="s">
        <v>388</v>
      </c>
      <c r="F16758" t="s">
        <v>16601</v>
      </c>
      <c r="G16758" t="s">
        <v>47091</v>
      </c>
      <c r="H16758" t="s">
        <v>47055</v>
      </c>
      <c r="I16758" t="s">
        <v>47127</v>
      </c>
      <c r="J16758" t="s">
        <v>47128</v>
      </c>
      <c r="K16758" t="s">
        <v>47113</v>
      </c>
      <c r="L16758">
        <v>18.27</v>
      </c>
      <c r="M16758">
        <v>29</v>
      </c>
      <c r="N16758">
        <v>0</v>
      </c>
      <c r="O16758">
        <v>29</v>
      </c>
      <c r="P16758">
        <v>0</v>
      </c>
    </row>
    <row r="16759" spans="1:16" x14ac:dyDescent="0.25">
      <c r="A16759" t="s">
        <v>39358</v>
      </c>
      <c r="B16759" t="s">
        <v>18353</v>
      </c>
      <c r="C16759" t="s">
        <v>18354</v>
      </c>
      <c r="D16759" t="str">
        <f>"1403"</f>
        <v>1403</v>
      </c>
      <c r="E16759" t="s">
        <v>224</v>
      </c>
      <c r="F16759" t="s">
        <v>16601</v>
      </c>
      <c r="G16759" t="s">
        <v>47091</v>
      </c>
      <c r="H16759" t="s">
        <v>47055</v>
      </c>
      <c r="I16759" t="s">
        <v>47127</v>
      </c>
      <c r="J16759" t="s">
        <v>47128</v>
      </c>
      <c r="K16759" t="s">
        <v>47113</v>
      </c>
      <c r="L16759">
        <v>18.27</v>
      </c>
      <c r="M16759">
        <v>29</v>
      </c>
      <c r="N16759">
        <v>0</v>
      </c>
      <c r="O16759">
        <v>29</v>
      </c>
      <c r="P16759">
        <v>0</v>
      </c>
    </row>
    <row r="16760" spans="1:16" x14ac:dyDescent="0.25">
      <c r="A16760" t="s">
        <v>39359</v>
      </c>
      <c r="B16760" t="s">
        <v>18353</v>
      </c>
      <c r="C16760" t="s">
        <v>18354</v>
      </c>
      <c r="D16760" t="str">
        <f>"1700"</f>
        <v>1700</v>
      </c>
      <c r="E16760" t="s">
        <v>60</v>
      </c>
      <c r="F16760" t="s">
        <v>16601</v>
      </c>
      <c r="G16760" t="s">
        <v>47091</v>
      </c>
      <c r="H16760" t="s">
        <v>47055</v>
      </c>
      <c r="I16760" t="s">
        <v>47127</v>
      </c>
      <c r="J16760" t="s">
        <v>47128</v>
      </c>
      <c r="K16760" t="s">
        <v>47113</v>
      </c>
      <c r="L16760">
        <v>18.27</v>
      </c>
      <c r="M16760">
        <v>29</v>
      </c>
      <c r="N16760">
        <v>0</v>
      </c>
      <c r="O16760">
        <v>29</v>
      </c>
      <c r="P16760">
        <v>0</v>
      </c>
    </row>
    <row r="16761" spans="1:16" x14ac:dyDescent="0.25">
      <c r="A16761" t="s">
        <v>39360</v>
      </c>
      <c r="B16761" t="s">
        <v>18353</v>
      </c>
      <c r="C16761" t="s">
        <v>18354</v>
      </c>
      <c r="D16761" t="str">
        <f>"3160"</f>
        <v>3160</v>
      </c>
      <c r="E16761" t="s">
        <v>16602</v>
      </c>
      <c r="F16761" t="s">
        <v>16601</v>
      </c>
      <c r="G16761" t="s">
        <v>47091</v>
      </c>
      <c r="H16761" t="s">
        <v>47055</v>
      </c>
      <c r="I16761" t="s">
        <v>47127</v>
      </c>
      <c r="J16761" t="s">
        <v>47128</v>
      </c>
      <c r="K16761" t="s">
        <v>47113</v>
      </c>
      <c r="L16761">
        <v>18.27</v>
      </c>
      <c r="M16761">
        <v>29</v>
      </c>
      <c r="N16761">
        <v>0</v>
      </c>
      <c r="O16761">
        <v>29</v>
      </c>
      <c r="P16761">
        <v>0</v>
      </c>
    </row>
    <row r="16762" spans="1:16" x14ac:dyDescent="0.25">
      <c r="A16762" t="s">
        <v>39361</v>
      </c>
      <c r="B16762" t="s">
        <v>18353</v>
      </c>
      <c r="C16762" t="s">
        <v>18354</v>
      </c>
      <c r="D16762" t="str">
        <f>"4000"</f>
        <v>4000</v>
      </c>
      <c r="E16762" t="s">
        <v>190</v>
      </c>
      <c r="F16762" t="s">
        <v>16601</v>
      </c>
      <c r="G16762" t="s">
        <v>47091</v>
      </c>
      <c r="H16762" t="s">
        <v>47055</v>
      </c>
      <c r="I16762" t="s">
        <v>47127</v>
      </c>
      <c r="J16762" t="s">
        <v>47128</v>
      </c>
      <c r="K16762" t="s">
        <v>47113</v>
      </c>
      <c r="L16762">
        <v>18.27</v>
      </c>
      <c r="M16762">
        <v>29</v>
      </c>
      <c r="N16762">
        <v>0</v>
      </c>
      <c r="O16762">
        <v>29</v>
      </c>
      <c r="P16762">
        <v>0</v>
      </c>
    </row>
    <row r="16763" spans="1:16" x14ac:dyDescent="0.25">
      <c r="A16763" t="s">
        <v>39362</v>
      </c>
      <c r="B16763" t="s">
        <v>18353</v>
      </c>
      <c r="C16763" t="s">
        <v>18354</v>
      </c>
      <c r="D16763" t="str">
        <f>"4143"</f>
        <v>4143</v>
      </c>
      <c r="E16763" t="s">
        <v>18347</v>
      </c>
      <c r="F16763" t="s">
        <v>16601</v>
      </c>
      <c r="G16763" t="s">
        <v>47091</v>
      </c>
      <c r="H16763" t="s">
        <v>47055</v>
      </c>
      <c r="I16763" t="s">
        <v>47127</v>
      </c>
      <c r="J16763" t="s">
        <v>47128</v>
      </c>
      <c r="K16763" t="s">
        <v>47113</v>
      </c>
      <c r="L16763">
        <v>18.27</v>
      </c>
      <c r="M16763">
        <v>29</v>
      </c>
      <c r="N16763">
        <v>0</v>
      </c>
      <c r="O16763">
        <v>29</v>
      </c>
      <c r="P16763">
        <v>0</v>
      </c>
    </row>
    <row r="16764" spans="1:16" x14ac:dyDescent="0.25">
      <c r="A16764" t="s">
        <v>39363</v>
      </c>
      <c r="B16764" t="s">
        <v>10898</v>
      </c>
      <c r="C16764" t="s">
        <v>18355</v>
      </c>
      <c r="D16764" t="str">
        <f>"1001"</f>
        <v>1001</v>
      </c>
      <c r="E16764" t="s">
        <v>42</v>
      </c>
      <c r="F16764" t="s">
        <v>3670</v>
      </c>
      <c r="G16764" t="s">
        <v>47098</v>
      </c>
      <c r="H16764" t="s">
        <v>47126</v>
      </c>
      <c r="I16764" t="s">
        <v>47120</v>
      </c>
      <c r="J16764" t="s">
        <v>47121</v>
      </c>
      <c r="K16764" t="s">
        <v>47113</v>
      </c>
      <c r="L16764">
        <v>111.68</v>
      </c>
      <c r="M16764">
        <v>332</v>
      </c>
      <c r="N16764">
        <v>0</v>
      </c>
      <c r="O16764">
        <v>332</v>
      </c>
      <c r="P16764">
        <v>0</v>
      </c>
    </row>
    <row r="16765" spans="1:16" x14ac:dyDescent="0.25">
      <c r="A16765" t="s">
        <v>39364</v>
      </c>
      <c r="B16765" t="s">
        <v>10899</v>
      </c>
      <c r="C16765" t="s">
        <v>4543</v>
      </c>
      <c r="D16765" t="str">
        <f>"1001"</f>
        <v>1001</v>
      </c>
      <c r="E16765" t="s">
        <v>42</v>
      </c>
      <c r="F16765" t="s">
        <v>3670</v>
      </c>
      <c r="G16765" t="s">
        <v>47098</v>
      </c>
      <c r="H16765" t="s">
        <v>47126</v>
      </c>
      <c r="I16765" t="s">
        <v>47120</v>
      </c>
      <c r="J16765" t="s">
        <v>47121</v>
      </c>
      <c r="K16765" t="s">
        <v>47113</v>
      </c>
      <c r="L16765">
        <v>127.89</v>
      </c>
      <c r="M16765">
        <v>380</v>
      </c>
      <c r="N16765">
        <v>0</v>
      </c>
      <c r="O16765">
        <v>380</v>
      </c>
      <c r="P16765">
        <v>0</v>
      </c>
    </row>
    <row r="16766" spans="1:16" x14ac:dyDescent="0.25">
      <c r="A16766" t="s">
        <v>39365</v>
      </c>
      <c r="B16766" t="s">
        <v>10899</v>
      </c>
      <c r="C16766" t="s">
        <v>4543</v>
      </c>
      <c r="D16766" t="str">
        <f>"6000"</f>
        <v>6000</v>
      </c>
      <c r="E16766" t="s">
        <v>238</v>
      </c>
      <c r="F16766" t="s">
        <v>3670</v>
      </c>
      <c r="G16766" t="s">
        <v>47098</v>
      </c>
      <c r="H16766" t="s">
        <v>47126</v>
      </c>
      <c r="I16766" t="s">
        <v>47120</v>
      </c>
      <c r="J16766" t="s">
        <v>47121</v>
      </c>
      <c r="K16766" t="s">
        <v>47113</v>
      </c>
      <c r="L16766">
        <v>127.89</v>
      </c>
      <c r="M16766">
        <v>380</v>
      </c>
      <c r="N16766">
        <v>0</v>
      </c>
      <c r="O16766">
        <v>380</v>
      </c>
      <c r="P16766">
        <v>0</v>
      </c>
    </row>
    <row r="16767" spans="1:16" x14ac:dyDescent="0.25">
      <c r="A16767" t="s">
        <v>39366</v>
      </c>
      <c r="B16767" t="s">
        <v>10900</v>
      </c>
      <c r="C16767" t="s">
        <v>10901</v>
      </c>
      <c r="D16767" t="str">
        <f>"6000"</f>
        <v>6000</v>
      </c>
      <c r="E16767" t="s">
        <v>238</v>
      </c>
      <c r="F16767" t="s">
        <v>3670</v>
      </c>
      <c r="G16767" t="s">
        <v>47098</v>
      </c>
      <c r="H16767" t="s">
        <v>47126</v>
      </c>
      <c r="I16767" t="s">
        <v>47120</v>
      </c>
      <c r="J16767" t="s">
        <v>47121</v>
      </c>
      <c r="K16767" t="s">
        <v>47113</v>
      </c>
      <c r="L16767">
        <v>122.49</v>
      </c>
      <c r="M16767">
        <v>364</v>
      </c>
      <c r="N16767">
        <v>0</v>
      </c>
      <c r="O16767">
        <v>364</v>
      </c>
      <c r="P16767">
        <v>0</v>
      </c>
    </row>
    <row r="16768" spans="1:16" x14ac:dyDescent="0.25">
      <c r="A16768" t="s">
        <v>39367</v>
      </c>
      <c r="B16768" t="s">
        <v>10902</v>
      </c>
      <c r="C16768" t="s">
        <v>359</v>
      </c>
      <c r="D16768" t="s">
        <v>10903</v>
      </c>
      <c r="E16768" t="s">
        <v>10904</v>
      </c>
      <c r="F16768" t="s">
        <v>3670</v>
      </c>
      <c r="G16768" t="s">
        <v>47093</v>
      </c>
      <c r="H16768" t="s">
        <v>47153</v>
      </c>
      <c r="I16768" t="s">
        <v>47132</v>
      </c>
      <c r="J16768" t="s">
        <v>47133</v>
      </c>
      <c r="K16768" t="s">
        <v>47113</v>
      </c>
      <c r="L16768">
        <v>46.26</v>
      </c>
      <c r="M16768">
        <v>81</v>
      </c>
      <c r="N16768">
        <v>0</v>
      </c>
      <c r="O16768">
        <v>81</v>
      </c>
      <c r="P16768">
        <v>0</v>
      </c>
    </row>
    <row r="16769" spans="1:16" x14ac:dyDescent="0.25">
      <c r="A16769" t="s">
        <v>39368</v>
      </c>
      <c r="B16769" t="s">
        <v>10905</v>
      </c>
      <c r="C16769" t="s">
        <v>359</v>
      </c>
      <c r="D16769" t="s">
        <v>10906</v>
      </c>
      <c r="E16769" t="s">
        <v>10907</v>
      </c>
      <c r="F16769" t="s">
        <v>3670</v>
      </c>
      <c r="G16769" t="s">
        <v>47093</v>
      </c>
      <c r="H16769" t="s">
        <v>47153</v>
      </c>
      <c r="I16769" t="s">
        <v>47132</v>
      </c>
      <c r="J16769" t="s">
        <v>47133</v>
      </c>
      <c r="K16769" t="s">
        <v>47113</v>
      </c>
      <c r="L16769">
        <v>34.32</v>
      </c>
      <c r="M16769">
        <v>65</v>
      </c>
      <c r="N16769">
        <v>0</v>
      </c>
      <c r="O16769">
        <v>65</v>
      </c>
      <c r="P16769">
        <v>0</v>
      </c>
    </row>
    <row r="16770" spans="1:16" x14ac:dyDescent="0.25">
      <c r="A16770" t="s">
        <v>39369</v>
      </c>
      <c r="B16770" t="s">
        <v>10905</v>
      </c>
      <c r="C16770" t="s">
        <v>359</v>
      </c>
      <c r="D16770" t="s">
        <v>10908</v>
      </c>
      <c r="E16770" t="s">
        <v>10909</v>
      </c>
      <c r="F16770" t="s">
        <v>3670</v>
      </c>
      <c r="G16770" t="s">
        <v>47093</v>
      </c>
      <c r="H16770" t="s">
        <v>47153</v>
      </c>
      <c r="I16770" t="s">
        <v>47132</v>
      </c>
      <c r="J16770" t="s">
        <v>47133</v>
      </c>
      <c r="K16770" t="s">
        <v>47113</v>
      </c>
      <c r="L16770">
        <v>41.22</v>
      </c>
      <c r="M16770">
        <v>74</v>
      </c>
      <c r="N16770">
        <v>0</v>
      </c>
      <c r="O16770">
        <v>74</v>
      </c>
      <c r="P16770">
        <v>0</v>
      </c>
    </row>
    <row r="16771" spans="1:16" x14ac:dyDescent="0.25">
      <c r="A16771" t="s">
        <v>39370</v>
      </c>
      <c r="B16771" t="s">
        <v>10905</v>
      </c>
      <c r="C16771" t="s">
        <v>359</v>
      </c>
      <c r="D16771" t="s">
        <v>10910</v>
      </c>
      <c r="E16771" t="s">
        <v>10911</v>
      </c>
      <c r="F16771" t="s">
        <v>3670</v>
      </c>
      <c r="G16771" t="s">
        <v>47093</v>
      </c>
      <c r="H16771" t="s">
        <v>47153</v>
      </c>
      <c r="I16771" t="s">
        <v>47132</v>
      </c>
      <c r="J16771" t="s">
        <v>47133</v>
      </c>
      <c r="K16771" t="s">
        <v>47113</v>
      </c>
      <c r="L16771">
        <v>41.81</v>
      </c>
      <c r="M16771">
        <v>77</v>
      </c>
      <c r="N16771">
        <v>0</v>
      </c>
      <c r="O16771">
        <v>77</v>
      </c>
      <c r="P16771">
        <v>0</v>
      </c>
    </row>
    <row r="16772" spans="1:16" x14ac:dyDescent="0.25">
      <c r="A16772" t="s">
        <v>39371</v>
      </c>
      <c r="B16772" t="s">
        <v>10912</v>
      </c>
      <c r="C16772" t="s">
        <v>359</v>
      </c>
      <c r="D16772" t="s">
        <v>10913</v>
      </c>
      <c r="E16772" t="s">
        <v>10914</v>
      </c>
      <c r="F16772" t="s">
        <v>3670</v>
      </c>
      <c r="G16772" t="s">
        <v>47093</v>
      </c>
      <c r="H16772" t="s">
        <v>47153</v>
      </c>
      <c r="I16772" t="s">
        <v>47132</v>
      </c>
      <c r="J16772" t="s">
        <v>47133</v>
      </c>
      <c r="K16772" t="s">
        <v>47113</v>
      </c>
      <c r="L16772">
        <v>38.76</v>
      </c>
      <c r="M16772">
        <v>74</v>
      </c>
      <c r="N16772">
        <v>0</v>
      </c>
      <c r="O16772">
        <v>74</v>
      </c>
      <c r="P16772">
        <v>0</v>
      </c>
    </row>
    <row r="16773" spans="1:16" x14ac:dyDescent="0.25">
      <c r="A16773" t="s">
        <v>39372</v>
      </c>
      <c r="B16773" t="s">
        <v>10915</v>
      </c>
      <c r="C16773" t="s">
        <v>359</v>
      </c>
      <c r="D16773" t="s">
        <v>10916</v>
      </c>
      <c r="E16773" t="s">
        <v>10917</v>
      </c>
      <c r="F16773" t="s">
        <v>3670</v>
      </c>
      <c r="G16773" t="s">
        <v>47093</v>
      </c>
      <c r="H16773" t="s">
        <v>47153</v>
      </c>
      <c r="I16773" t="s">
        <v>47132</v>
      </c>
      <c r="J16773" t="s">
        <v>47133</v>
      </c>
      <c r="K16773" t="s">
        <v>47113</v>
      </c>
      <c r="L16773">
        <v>50.95</v>
      </c>
      <c r="M16773">
        <v>89</v>
      </c>
      <c r="N16773">
        <v>0</v>
      </c>
      <c r="O16773">
        <v>89</v>
      </c>
      <c r="P16773">
        <v>0</v>
      </c>
    </row>
    <row r="16774" spans="1:16" x14ac:dyDescent="0.25">
      <c r="A16774" t="s">
        <v>39373</v>
      </c>
      <c r="B16774" t="s">
        <v>10915</v>
      </c>
      <c r="C16774" t="s">
        <v>359</v>
      </c>
      <c r="D16774" t="s">
        <v>10918</v>
      </c>
      <c r="E16774" t="s">
        <v>10919</v>
      </c>
      <c r="F16774" t="s">
        <v>3670</v>
      </c>
      <c r="G16774" t="s">
        <v>47093</v>
      </c>
      <c r="H16774" t="s">
        <v>47153</v>
      </c>
      <c r="I16774" t="s">
        <v>47132</v>
      </c>
      <c r="J16774" t="s">
        <v>47133</v>
      </c>
      <c r="K16774" t="s">
        <v>47113</v>
      </c>
      <c r="L16774">
        <v>50.95</v>
      </c>
      <c r="M16774">
        <v>89</v>
      </c>
      <c r="N16774">
        <v>0</v>
      </c>
      <c r="O16774">
        <v>89</v>
      </c>
      <c r="P16774">
        <v>0</v>
      </c>
    </row>
    <row r="16775" spans="1:16" x14ac:dyDescent="0.25">
      <c r="A16775" t="s">
        <v>39374</v>
      </c>
      <c r="B16775" t="s">
        <v>10920</v>
      </c>
      <c r="C16775" t="s">
        <v>359</v>
      </c>
      <c r="D16775" t="s">
        <v>10921</v>
      </c>
      <c r="E16775" t="s">
        <v>10922</v>
      </c>
      <c r="F16775" t="s">
        <v>3670</v>
      </c>
      <c r="G16775" t="s">
        <v>47093</v>
      </c>
      <c r="H16775" t="s">
        <v>47153</v>
      </c>
      <c r="I16775" t="s">
        <v>47132</v>
      </c>
      <c r="J16775" t="s">
        <v>47133</v>
      </c>
      <c r="K16775" t="s">
        <v>47113</v>
      </c>
      <c r="L16775">
        <v>38.06</v>
      </c>
      <c r="M16775">
        <v>70</v>
      </c>
      <c r="N16775">
        <v>0</v>
      </c>
      <c r="O16775">
        <v>70</v>
      </c>
      <c r="P16775">
        <v>0</v>
      </c>
    </row>
    <row r="16776" spans="1:16" x14ac:dyDescent="0.25">
      <c r="A16776" t="s">
        <v>39375</v>
      </c>
      <c r="B16776" t="s">
        <v>10920</v>
      </c>
      <c r="C16776" t="s">
        <v>359</v>
      </c>
      <c r="D16776" t="s">
        <v>10923</v>
      </c>
      <c r="E16776" t="s">
        <v>10924</v>
      </c>
      <c r="F16776" t="s">
        <v>3670</v>
      </c>
      <c r="G16776" t="s">
        <v>47093</v>
      </c>
      <c r="H16776" t="s">
        <v>47153</v>
      </c>
      <c r="I16776" t="s">
        <v>47132</v>
      </c>
      <c r="J16776" t="s">
        <v>47133</v>
      </c>
      <c r="K16776" t="s">
        <v>47113</v>
      </c>
      <c r="L16776">
        <v>38.06</v>
      </c>
      <c r="M16776">
        <v>70</v>
      </c>
      <c r="N16776">
        <v>0</v>
      </c>
      <c r="O16776">
        <v>70</v>
      </c>
      <c r="P16776">
        <v>0</v>
      </c>
    </row>
    <row r="16777" spans="1:16" x14ac:dyDescent="0.25">
      <c r="A16777" t="s">
        <v>39376</v>
      </c>
      <c r="B16777" t="s">
        <v>10920</v>
      </c>
      <c r="C16777" t="s">
        <v>359</v>
      </c>
      <c r="D16777" t="s">
        <v>10925</v>
      </c>
      <c r="E16777" t="s">
        <v>10926</v>
      </c>
      <c r="F16777" t="s">
        <v>3670</v>
      </c>
      <c r="G16777" t="s">
        <v>47093</v>
      </c>
      <c r="H16777" t="s">
        <v>47153</v>
      </c>
      <c r="I16777" t="s">
        <v>47132</v>
      </c>
      <c r="J16777" t="s">
        <v>47133</v>
      </c>
      <c r="K16777" t="s">
        <v>47113</v>
      </c>
      <c r="L16777">
        <v>38.06</v>
      </c>
      <c r="M16777">
        <v>70</v>
      </c>
      <c r="N16777">
        <v>0</v>
      </c>
      <c r="O16777">
        <v>70</v>
      </c>
      <c r="P16777">
        <v>0</v>
      </c>
    </row>
    <row r="16778" spans="1:16" x14ac:dyDescent="0.25">
      <c r="A16778" t="s">
        <v>39377</v>
      </c>
      <c r="B16778" t="s">
        <v>10920</v>
      </c>
      <c r="C16778" t="s">
        <v>359</v>
      </c>
      <c r="D16778" t="s">
        <v>4459</v>
      </c>
      <c r="E16778" t="s">
        <v>4460</v>
      </c>
      <c r="F16778" t="s">
        <v>3670</v>
      </c>
      <c r="G16778" t="s">
        <v>47093</v>
      </c>
      <c r="H16778" t="s">
        <v>47153</v>
      </c>
      <c r="I16778" t="s">
        <v>47132</v>
      </c>
      <c r="J16778" t="s">
        <v>47133</v>
      </c>
      <c r="K16778" t="s">
        <v>47113</v>
      </c>
      <c r="L16778">
        <v>38.06</v>
      </c>
      <c r="M16778">
        <v>70</v>
      </c>
      <c r="N16778">
        <v>0</v>
      </c>
      <c r="O16778">
        <v>70</v>
      </c>
      <c r="P16778">
        <v>0</v>
      </c>
    </row>
    <row r="16779" spans="1:16" x14ac:dyDescent="0.25">
      <c r="A16779" t="s">
        <v>39378</v>
      </c>
      <c r="B16779" t="s">
        <v>10920</v>
      </c>
      <c r="C16779" t="s">
        <v>359</v>
      </c>
      <c r="D16779" t="s">
        <v>10927</v>
      </c>
      <c r="E16779" t="s">
        <v>10928</v>
      </c>
      <c r="F16779" t="s">
        <v>3670</v>
      </c>
      <c r="G16779" t="s">
        <v>47093</v>
      </c>
      <c r="H16779" t="s">
        <v>47153</v>
      </c>
      <c r="I16779" t="s">
        <v>47132</v>
      </c>
      <c r="J16779" t="s">
        <v>47133</v>
      </c>
      <c r="K16779" t="s">
        <v>47113</v>
      </c>
      <c r="L16779">
        <v>38.06</v>
      </c>
      <c r="M16779">
        <v>70</v>
      </c>
      <c r="N16779">
        <v>0</v>
      </c>
      <c r="O16779">
        <v>70</v>
      </c>
      <c r="P16779">
        <v>0</v>
      </c>
    </row>
    <row r="16780" spans="1:16" x14ac:dyDescent="0.25">
      <c r="A16780" t="s">
        <v>39379</v>
      </c>
      <c r="B16780" t="s">
        <v>10929</v>
      </c>
      <c r="C16780" t="s">
        <v>10582</v>
      </c>
      <c r="D16780" t="s">
        <v>10903</v>
      </c>
      <c r="E16780" t="s">
        <v>10904</v>
      </c>
      <c r="F16780" t="s">
        <v>3670</v>
      </c>
      <c r="G16780" t="s">
        <v>47093</v>
      </c>
      <c r="H16780" t="s">
        <v>47153</v>
      </c>
      <c r="I16780" t="s">
        <v>47132</v>
      </c>
      <c r="J16780" t="s">
        <v>47133</v>
      </c>
      <c r="K16780" t="s">
        <v>47113</v>
      </c>
      <c r="L16780">
        <v>45.56</v>
      </c>
      <c r="M16780">
        <v>81</v>
      </c>
      <c r="N16780">
        <v>0</v>
      </c>
      <c r="O16780">
        <v>81</v>
      </c>
      <c r="P16780">
        <v>0</v>
      </c>
    </row>
    <row r="16781" spans="1:16" x14ac:dyDescent="0.25">
      <c r="A16781" t="s">
        <v>39380</v>
      </c>
      <c r="B16781" t="s">
        <v>10930</v>
      </c>
      <c r="C16781" t="s">
        <v>10582</v>
      </c>
      <c r="D16781" t="s">
        <v>10908</v>
      </c>
      <c r="E16781" t="s">
        <v>10909</v>
      </c>
      <c r="F16781" t="s">
        <v>3670</v>
      </c>
      <c r="G16781" t="s">
        <v>47093</v>
      </c>
      <c r="H16781" t="s">
        <v>47153</v>
      </c>
      <c r="I16781" t="s">
        <v>47132</v>
      </c>
      <c r="J16781" t="s">
        <v>47133</v>
      </c>
      <c r="K16781" t="s">
        <v>47113</v>
      </c>
      <c r="L16781">
        <v>38.53</v>
      </c>
      <c r="M16781">
        <v>74</v>
      </c>
      <c r="N16781">
        <v>0</v>
      </c>
      <c r="O16781">
        <v>74</v>
      </c>
      <c r="P16781">
        <v>0</v>
      </c>
    </row>
    <row r="16782" spans="1:16" x14ac:dyDescent="0.25">
      <c r="A16782" t="s">
        <v>39381</v>
      </c>
      <c r="B16782" t="s">
        <v>10931</v>
      </c>
      <c r="C16782" t="s">
        <v>10582</v>
      </c>
      <c r="D16782" t="s">
        <v>10913</v>
      </c>
      <c r="E16782" t="s">
        <v>10914</v>
      </c>
      <c r="F16782" t="s">
        <v>3670</v>
      </c>
      <c r="G16782" t="s">
        <v>47093</v>
      </c>
      <c r="H16782" t="s">
        <v>47153</v>
      </c>
      <c r="I16782" t="s">
        <v>47132</v>
      </c>
      <c r="J16782" t="s">
        <v>47133</v>
      </c>
      <c r="K16782" t="s">
        <v>47113</v>
      </c>
      <c r="L16782">
        <v>39.229999999999997</v>
      </c>
      <c r="M16782">
        <v>74</v>
      </c>
      <c r="N16782">
        <v>0</v>
      </c>
      <c r="O16782">
        <v>74</v>
      </c>
      <c r="P16782">
        <v>0</v>
      </c>
    </row>
    <row r="16783" spans="1:16" x14ac:dyDescent="0.25">
      <c r="A16783" t="s">
        <v>39382</v>
      </c>
      <c r="B16783" t="s">
        <v>10932</v>
      </c>
      <c r="C16783" t="s">
        <v>10582</v>
      </c>
      <c r="D16783" t="s">
        <v>10933</v>
      </c>
      <c r="E16783" t="s">
        <v>10934</v>
      </c>
      <c r="F16783" t="s">
        <v>3670</v>
      </c>
      <c r="G16783" t="s">
        <v>47093</v>
      </c>
      <c r="H16783" t="s">
        <v>47153</v>
      </c>
      <c r="I16783" t="s">
        <v>47132</v>
      </c>
      <c r="J16783" t="s">
        <v>47133</v>
      </c>
      <c r="K16783" t="s">
        <v>47113</v>
      </c>
      <c r="L16783">
        <v>56.22</v>
      </c>
      <c r="M16783">
        <v>96</v>
      </c>
      <c r="N16783">
        <v>0</v>
      </c>
      <c r="O16783">
        <v>96</v>
      </c>
      <c r="P16783">
        <v>0</v>
      </c>
    </row>
    <row r="16784" spans="1:16" x14ac:dyDescent="0.25">
      <c r="A16784" t="s">
        <v>39383</v>
      </c>
      <c r="B16784" t="s">
        <v>10935</v>
      </c>
      <c r="C16784" t="s">
        <v>10582</v>
      </c>
      <c r="D16784" t="s">
        <v>10936</v>
      </c>
      <c r="E16784" t="s">
        <v>10937</v>
      </c>
      <c r="F16784" t="s">
        <v>3670</v>
      </c>
      <c r="G16784" t="s">
        <v>47093</v>
      </c>
      <c r="H16784" t="s">
        <v>47153</v>
      </c>
      <c r="I16784" t="s">
        <v>47132</v>
      </c>
      <c r="J16784" t="s">
        <v>47133</v>
      </c>
      <c r="K16784" t="s">
        <v>47113</v>
      </c>
      <c r="L16784">
        <v>43.21</v>
      </c>
      <c r="M16784">
        <v>77</v>
      </c>
      <c r="N16784">
        <v>0</v>
      </c>
      <c r="O16784">
        <v>77</v>
      </c>
      <c r="P16784">
        <v>0</v>
      </c>
    </row>
    <row r="16785" spans="1:16" x14ac:dyDescent="0.25">
      <c r="A16785" t="s">
        <v>39384</v>
      </c>
      <c r="B16785" t="s">
        <v>10938</v>
      </c>
      <c r="C16785" t="s">
        <v>10589</v>
      </c>
      <c r="D16785" t="s">
        <v>10903</v>
      </c>
      <c r="E16785" t="s">
        <v>10904</v>
      </c>
      <c r="F16785" t="s">
        <v>3670</v>
      </c>
      <c r="G16785" t="s">
        <v>47093</v>
      </c>
      <c r="H16785" t="s">
        <v>47153</v>
      </c>
      <c r="I16785" t="s">
        <v>47132</v>
      </c>
      <c r="J16785" t="s">
        <v>47133</v>
      </c>
      <c r="K16785" t="s">
        <v>47113</v>
      </c>
      <c r="L16785">
        <v>46.26</v>
      </c>
      <c r="M16785">
        <v>81</v>
      </c>
      <c r="N16785">
        <v>0</v>
      </c>
      <c r="O16785">
        <v>81</v>
      </c>
      <c r="P16785">
        <v>0</v>
      </c>
    </row>
    <row r="16786" spans="1:16" x14ac:dyDescent="0.25">
      <c r="A16786" t="s">
        <v>39385</v>
      </c>
      <c r="B16786" t="s">
        <v>10939</v>
      </c>
      <c r="C16786" t="s">
        <v>10589</v>
      </c>
      <c r="D16786" t="s">
        <v>10940</v>
      </c>
      <c r="E16786" t="s">
        <v>10941</v>
      </c>
      <c r="F16786" t="s">
        <v>3670</v>
      </c>
      <c r="G16786" t="s">
        <v>47093</v>
      </c>
      <c r="H16786" t="s">
        <v>47153</v>
      </c>
      <c r="I16786" t="s">
        <v>47132</v>
      </c>
      <c r="J16786" t="s">
        <v>47133</v>
      </c>
      <c r="K16786" t="s">
        <v>47113</v>
      </c>
      <c r="L16786">
        <v>42.51</v>
      </c>
      <c r="M16786">
        <v>77</v>
      </c>
      <c r="N16786">
        <v>0</v>
      </c>
      <c r="O16786">
        <v>77</v>
      </c>
      <c r="P16786">
        <v>0</v>
      </c>
    </row>
    <row r="16787" spans="1:16" x14ac:dyDescent="0.25">
      <c r="A16787" t="s">
        <v>39386</v>
      </c>
      <c r="B16787" t="s">
        <v>10942</v>
      </c>
      <c r="C16787" t="s">
        <v>10589</v>
      </c>
      <c r="D16787" t="s">
        <v>10943</v>
      </c>
      <c r="E16787" t="s">
        <v>10944</v>
      </c>
      <c r="F16787" t="s">
        <v>3670</v>
      </c>
      <c r="G16787" t="s">
        <v>47093</v>
      </c>
      <c r="H16787" t="s">
        <v>47153</v>
      </c>
      <c r="I16787" t="s">
        <v>47132</v>
      </c>
      <c r="J16787" t="s">
        <v>47133</v>
      </c>
      <c r="K16787" t="s">
        <v>47113</v>
      </c>
      <c r="L16787">
        <v>58.56</v>
      </c>
      <c r="M16787">
        <v>100</v>
      </c>
      <c r="N16787">
        <v>0</v>
      </c>
      <c r="O16787">
        <v>100</v>
      </c>
      <c r="P16787">
        <v>0</v>
      </c>
    </row>
    <row r="16788" spans="1:16" x14ac:dyDescent="0.25">
      <c r="A16788" t="s">
        <v>39387</v>
      </c>
      <c r="B16788" t="s">
        <v>15840</v>
      </c>
      <c r="C16788" t="s">
        <v>10589</v>
      </c>
      <c r="D16788" t="s">
        <v>10913</v>
      </c>
      <c r="E16788" t="s">
        <v>10914</v>
      </c>
      <c r="F16788" t="s">
        <v>3670</v>
      </c>
      <c r="G16788" t="s">
        <v>47093</v>
      </c>
      <c r="H16788" t="s">
        <v>47153</v>
      </c>
      <c r="I16788" t="s">
        <v>47132</v>
      </c>
      <c r="J16788" t="s">
        <v>47133</v>
      </c>
      <c r="K16788" t="s">
        <v>47113</v>
      </c>
      <c r="L16788">
        <v>40.75</v>
      </c>
      <c r="M16788">
        <v>101</v>
      </c>
      <c r="N16788">
        <v>0</v>
      </c>
      <c r="O16788">
        <v>101</v>
      </c>
      <c r="P16788">
        <v>0</v>
      </c>
    </row>
    <row r="16789" spans="1:16" x14ac:dyDescent="0.25">
      <c r="A16789" t="s">
        <v>39388</v>
      </c>
      <c r="B16789" t="s">
        <v>10945</v>
      </c>
      <c r="C16789" t="s">
        <v>10589</v>
      </c>
      <c r="D16789" t="s">
        <v>10946</v>
      </c>
      <c r="E16789" t="s">
        <v>10947</v>
      </c>
      <c r="F16789" t="s">
        <v>3670</v>
      </c>
      <c r="G16789" t="s">
        <v>47093</v>
      </c>
      <c r="H16789" t="s">
        <v>47153</v>
      </c>
      <c r="I16789" t="s">
        <v>47132</v>
      </c>
      <c r="J16789" t="s">
        <v>47133</v>
      </c>
      <c r="K16789" t="s">
        <v>47113</v>
      </c>
      <c r="L16789">
        <v>43.33</v>
      </c>
      <c r="M16789">
        <v>77</v>
      </c>
      <c r="N16789">
        <v>0</v>
      </c>
      <c r="O16789">
        <v>77</v>
      </c>
      <c r="P16789">
        <v>0</v>
      </c>
    </row>
    <row r="16790" spans="1:16" x14ac:dyDescent="0.25">
      <c r="A16790" t="s">
        <v>39389</v>
      </c>
      <c r="B16790" t="s">
        <v>10948</v>
      </c>
      <c r="C16790" t="s">
        <v>10589</v>
      </c>
      <c r="D16790" t="s">
        <v>10921</v>
      </c>
      <c r="E16790" t="s">
        <v>10922</v>
      </c>
      <c r="F16790" t="s">
        <v>3670</v>
      </c>
      <c r="G16790" t="s">
        <v>47093</v>
      </c>
      <c r="H16790" t="s">
        <v>47153</v>
      </c>
      <c r="I16790" t="s">
        <v>47132</v>
      </c>
      <c r="J16790" t="s">
        <v>47133</v>
      </c>
      <c r="K16790" t="s">
        <v>47113</v>
      </c>
      <c r="L16790">
        <v>38.06</v>
      </c>
      <c r="M16790">
        <v>70</v>
      </c>
      <c r="N16790">
        <v>0</v>
      </c>
      <c r="O16790">
        <v>70</v>
      </c>
      <c r="P16790">
        <v>0</v>
      </c>
    </row>
    <row r="16791" spans="1:16" x14ac:dyDescent="0.25">
      <c r="A16791" t="s">
        <v>39390</v>
      </c>
      <c r="B16791" t="s">
        <v>10948</v>
      </c>
      <c r="C16791" t="s">
        <v>10589</v>
      </c>
      <c r="D16791" t="s">
        <v>10923</v>
      </c>
      <c r="E16791" t="s">
        <v>10924</v>
      </c>
      <c r="F16791" t="s">
        <v>3670</v>
      </c>
      <c r="G16791" t="s">
        <v>47093</v>
      </c>
      <c r="H16791" t="s">
        <v>47153</v>
      </c>
      <c r="I16791" t="s">
        <v>47132</v>
      </c>
      <c r="J16791" t="s">
        <v>47133</v>
      </c>
      <c r="K16791" t="s">
        <v>47113</v>
      </c>
      <c r="L16791">
        <v>38.06</v>
      </c>
      <c r="M16791">
        <v>70</v>
      </c>
      <c r="N16791">
        <v>0</v>
      </c>
      <c r="O16791">
        <v>70</v>
      </c>
      <c r="P16791">
        <v>0</v>
      </c>
    </row>
    <row r="16792" spans="1:16" x14ac:dyDescent="0.25">
      <c r="A16792" t="s">
        <v>39391</v>
      </c>
      <c r="B16792" t="s">
        <v>10948</v>
      </c>
      <c r="C16792" t="s">
        <v>10589</v>
      </c>
      <c r="D16792" t="s">
        <v>10925</v>
      </c>
      <c r="E16792" t="s">
        <v>10926</v>
      </c>
      <c r="F16792" t="s">
        <v>3670</v>
      </c>
      <c r="G16792" t="s">
        <v>47093</v>
      </c>
      <c r="H16792" t="s">
        <v>47153</v>
      </c>
      <c r="I16792" t="s">
        <v>47132</v>
      </c>
      <c r="J16792" t="s">
        <v>47133</v>
      </c>
      <c r="K16792" t="s">
        <v>47113</v>
      </c>
      <c r="L16792">
        <v>38.06</v>
      </c>
      <c r="M16792">
        <v>70</v>
      </c>
      <c r="N16792">
        <v>0</v>
      </c>
      <c r="O16792">
        <v>70</v>
      </c>
      <c r="P16792">
        <v>0</v>
      </c>
    </row>
    <row r="16793" spans="1:16" x14ac:dyDescent="0.25">
      <c r="A16793" t="s">
        <v>39392</v>
      </c>
      <c r="B16793" t="s">
        <v>10948</v>
      </c>
      <c r="C16793" t="s">
        <v>10589</v>
      </c>
      <c r="D16793" t="s">
        <v>4459</v>
      </c>
      <c r="E16793" t="s">
        <v>4460</v>
      </c>
      <c r="F16793" t="s">
        <v>3670</v>
      </c>
      <c r="G16793" t="s">
        <v>47093</v>
      </c>
      <c r="H16793" t="s">
        <v>47153</v>
      </c>
      <c r="I16793" t="s">
        <v>47132</v>
      </c>
      <c r="J16793" t="s">
        <v>47133</v>
      </c>
      <c r="K16793" t="s">
        <v>47113</v>
      </c>
      <c r="L16793">
        <v>40.299999999999997</v>
      </c>
      <c r="M16793">
        <v>70</v>
      </c>
      <c r="N16793">
        <v>0</v>
      </c>
      <c r="O16793">
        <v>70</v>
      </c>
      <c r="P16793">
        <v>0</v>
      </c>
    </row>
    <row r="16794" spans="1:16" x14ac:dyDescent="0.25">
      <c r="A16794" t="s">
        <v>39393</v>
      </c>
      <c r="B16794" t="s">
        <v>10948</v>
      </c>
      <c r="C16794" t="s">
        <v>10589</v>
      </c>
      <c r="D16794" t="s">
        <v>10927</v>
      </c>
      <c r="E16794" t="s">
        <v>10928</v>
      </c>
      <c r="F16794" t="s">
        <v>3670</v>
      </c>
      <c r="G16794" t="s">
        <v>47093</v>
      </c>
      <c r="H16794" t="s">
        <v>47153</v>
      </c>
      <c r="I16794" t="s">
        <v>47132</v>
      </c>
      <c r="J16794" t="s">
        <v>47133</v>
      </c>
      <c r="K16794" t="s">
        <v>47113</v>
      </c>
      <c r="L16794">
        <v>38.06</v>
      </c>
      <c r="M16794">
        <v>70</v>
      </c>
      <c r="N16794">
        <v>0</v>
      </c>
      <c r="O16794">
        <v>70</v>
      </c>
      <c r="P16794">
        <v>0</v>
      </c>
    </row>
    <row r="16795" spans="1:16" x14ac:dyDescent="0.25">
      <c r="A16795" t="s">
        <v>39394</v>
      </c>
      <c r="B16795" t="s">
        <v>10949</v>
      </c>
      <c r="C16795" t="s">
        <v>10597</v>
      </c>
      <c r="D16795" t="s">
        <v>10910</v>
      </c>
      <c r="E16795" t="s">
        <v>10911</v>
      </c>
      <c r="F16795" t="s">
        <v>3670</v>
      </c>
      <c r="G16795" t="s">
        <v>47093</v>
      </c>
      <c r="H16795" t="s">
        <v>47153</v>
      </c>
      <c r="I16795" t="s">
        <v>47132</v>
      </c>
      <c r="J16795" t="s">
        <v>47133</v>
      </c>
      <c r="K16795" t="s">
        <v>47113</v>
      </c>
      <c r="L16795">
        <v>41.45</v>
      </c>
      <c r="M16795">
        <v>77</v>
      </c>
      <c r="N16795">
        <v>0</v>
      </c>
      <c r="O16795">
        <v>77</v>
      </c>
      <c r="P16795">
        <v>0</v>
      </c>
    </row>
    <row r="16796" spans="1:16" x14ac:dyDescent="0.25">
      <c r="A16796" t="s">
        <v>39395</v>
      </c>
      <c r="B16796" t="s">
        <v>10950</v>
      </c>
      <c r="C16796" t="s">
        <v>10597</v>
      </c>
      <c r="D16796" t="s">
        <v>10943</v>
      </c>
      <c r="E16796" t="s">
        <v>10944</v>
      </c>
      <c r="F16796" t="s">
        <v>3670</v>
      </c>
      <c r="G16796" t="s">
        <v>47093</v>
      </c>
      <c r="H16796" t="s">
        <v>47153</v>
      </c>
      <c r="I16796" t="s">
        <v>47132</v>
      </c>
      <c r="J16796" t="s">
        <v>47133</v>
      </c>
      <c r="K16796" t="s">
        <v>47113</v>
      </c>
      <c r="L16796">
        <v>58.56</v>
      </c>
      <c r="M16796">
        <v>100</v>
      </c>
      <c r="N16796">
        <v>0</v>
      </c>
      <c r="O16796">
        <v>100</v>
      </c>
      <c r="P16796">
        <v>0</v>
      </c>
    </row>
    <row r="16797" spans="1:16" x14ac:dyDescent="0.25">
      <c r="A16797" t="s">
        <v>39396</v>
      </c>
      <c r="B16797" t="s">
        <v>10951</v>
      </c>
      <c r="C16797" t="s">
        <v>10599</v>
      </c>
      <c r="D16797" t="s">
        <v>10913</v>
      </c>
      <c r="E16797" t="s">
        <v>10914</v>
      </c>
      <c r="F16797" t="s">
        <v>3670</v>
      </c>
      <c r="G16797" t="s">
        <v>47093</v>
      </c>
      <c r="H16797" t="s">
        <v>47153</v>
      </c>
      <c r="I16797" t="s">
        <v>47132</v>
      </c>
      <c r="J16797" t="s">
        <v>47133</v>
      </c>
      <c r="K16797" t="s">
        <v>47113</v>
      </c>
      <c r="L16797">
        <v>40.75</v>
      </c>
      <c r="M16797">
        <v>74</v>
      </c>
      <c r="N16797">
        <v>0</v>
      </c>
      <c r="O16797">
        <v>74</v>
      </c>
      <c r="P16797">
        <v>0</v>
      </c>
    </row>
    <row r="16798" spans="1:16" x14ac:dyDescent="0.25">
      <c r="A16798" t="s">
        <v>39397</v>
      </c>
      <c r="B16798" t="s">
        <v>10952</v>
      </c>
      <c r="C16798" t="s">
        <v>10597</v>
      </c>
      <c r="D16798" t="s">
        <v>10916</v>
      </c>
      <c r="E16798" t="s">
        <v>10917</v>
      </c>
      <c r="F16798" t="s">
        <v>3670</v>
      </c>
      <c r="G16798" t="s">
        <v>47093</v>
      </c>
      <c r="H16798" t="s">
        <v>47153</v>
      </c>
      <c r="I16798" t="s">
        <v>47132</v>
      </c>
      <c r="J16798" t="s">
        <v>47133</v>
      </c>
      <c r="K16798" t="s">
        <v>47113</v>
      </c>
      <c r="L16798">
        <v>50.95</v>
      </c>
      <c r="M16798">
        <v>89</v>
      </c>
      <c r="N16798">
        <v>0</v>
      </c>
      <c r="O16798">
        <v>89</v>
      </c>
      <c r="P16798">
        <v>0</v>
      </c>
    </row>
    <row r="16799" spans="1:16" x14ac:dyDescent="0.25">
      <c r="A16799" t="s">
        <v>39398</v>
      </c>
      <c r="B16799" t="s">
        <v>10953</v>
      </c>
      <c r="C16799" t="s">
        <v>10601</v>
      </c>
      <c r="D16799" t="s">
        <v>10954</v>
      </c>
      <c r="E16799" t="s">
        <v>10955</v>
      </c>
      <c r="F16799" t="s">
        <v>3670</v>
      </c>
      <c r="G16799" t="s">
        <v>47093</v>
      </c>
      <c r="H16799" t="s">
        <v>47153</v>
      </c>
      <c r="I16799" t="s">
        <v>47132</v>
      </c>
      <c r="J16799" t="s">
        <v>47133</v>
      </c>
      <c r="K16799" t="s">
        <v>47113</v>
      </c>
      <c r="L16799">
        <v>50.48</v>
      </c>
      <c r="M16799">
        <v>92</v>
      </c>
      <c r="N16799">
        <v>0</v>
      </c>
      <c r="O16799">
        <v>92</v>
      </c>
      <c r="P16799">
        <v>0</v>
      </c>
    </row>
    <row r="16800" spans="1:16" x14ac:dyDescent="0.25">
      <c r="A16800" t="s">
        <v>39399</v>
      </c>
      <c r="B16800" t="s">
        <v>10953</v>
      </c>
      <c r="C16800" t="s">
        <v>10601</v>
      </c>
      <c r="D16800" t="s">
        <v>10956</v>
      </c>
      <c r="E16800" t="s">
        <v>10957</v>
      </c>
      <c r="F16800" t="s">
        <v>3670</v>
      </c>
      <c r="G16800" t="s">
        <v>47093</v>
      </c>
      <c r="H16800" t="s">
        <v>47153</v>
      </c>
      <c r="I16800" t="s">
        <v>47132</v>
      </c>
      <c r="J16800" t="s">
        <v>47133</v>
      </c>
      <c r="K16800" t="s">
        <v>47113</v>
      </c>
      <c r="L16800">
        <v>45.56</v>
      </c>
      <c r="M16800">
        <v>81</v>
      </c>
      <c r="N16800">
        <v>0</v>
      </c>
      <c r="O16800">
        <v>81</v>
      </c>
      <c r="P16800">
        <v>0</v>
      </c>
    </row>
    <row r="16801" spans="1:16" x14ac:dyDescent="0.25">
      <c r="A16801" t="s">
        <v>39400</v>
      </c>
      <c r="B16801" t="s">
        <v>10953</v>
      </c>
      <c r="C16801" t="s">
        <v>10601</v>
      </c>
      <c r="D16801" t="s">
        <v>10958</v>
      </c>
      <c r="E16801" t="s">
        <v>10959</v>
      </c>
      <c r="F16801" t="s">
        <v>3670</v>
      </c>
      <c r="G16801" t="s">
        <v>47093</v>
      </c>
      <c r="H16801" t="s">
        <v>47153</v>
      </c>
      <c r="I16801" t="s">
        <v>47132</v>
      </c>
      <c r="J16801" t="s">
        <v>47133</v>
      </c>
      <c r="K16801" t="s">
        <v>47113</v>
      </c>
      <c r="L16801">
        <v>45.56</v>
      </c>
      <c r="M16801">
        <v>81</v>
      </c>
      <c r="N16801">
        <v>0</v>
      </c>
      <c r="O16801">
        <v>81</v>
      </c>
      <c r="P16801">
        <v>0</v>
      </c>
    </row>
    <row r="16802" spans="1:16" x14ac:dyDescent="0.25">
      <c r="A16802" t="s">
        <v>39401</v>
      </c>
      <c r="B16802" t="s">
        <v>10953</v>
      </c>
      <c r="C16802" t="s">
        <v>10601</v>
      </c>
      <c r="D16802" t="s">
        <v>10960</v>
      </c>
      <c r="E16802" t="s">
        <v>10961</v>
      </c>
      <c r="F16802" t="s">
        <v>3670</v>
      </c>
      <c r="G16802" t="s">
        <v>47093</v>
      </c>
      <c r="H16802" t="s">
        <v>47153</v>
      </c>
      <c r="I16802" t="s">
        <v>47132</v>
      </c>
      <c r="J16802" t="s">
        <v>47133</v>
      </c>
      <c r="K16802" t="s">
        <v>47113</v>
      </c>
      <c r="L16802">
        <v>50.83</v>
      </c>
      <c r="M16802">
        <v>92</v>
      </c>
      <c r="N16802">
        <v>0</v>
      </c>
      <c r="O16802">
        <v>92</v>
      </c>
      <c r="P16802">
        <v>0</v>
      </c>
    </row>
    <row r="16803" spans="1:16" x14ac:dyDescent="0.25">
      <c r="A16803" t="s">
        <v>39402</v>
      </c>
      <c r="B16803" t="s">
        <v>10953</v>
      </c>
      <c r="C16803" t="s">
        <v>10601</v>
      </c>
      <c r="D16803" t="s">
        <v>10962</v>
      </c>
      <c r="E16803" t="s">
        <v>10963</v>
      </c>
      <c r="F16803" t="s">
        <v>3670</v>
      </c>
      <c r="G16803" t="s">
        <v>47093</v>
      </c>
      <c r="H16803" t="s">
        <v>47153</v>
      </c>
      <c r="I16803" t="s">
        <v>47132</v>
      </c>
      <c r="J16803" t="s">
        <v>47133</v>
      </c>
      <c r="K16803" t="s">
        <v>47113</v>
      </c>
      <c r="L16803">
        <v>45.56</v>
      </c>
      <c r="M16803">
        <v>81</v>
      </c>
      <c r="N16803">
        <v>0</v>
      </c>
      <c r="O16803">
        <v>81</v>
      </c>
      <c r="P16803">
        <v>0</v>
      </c>
    </row>
    <row r="16804" spans="1:16" x14ac:dyDescent="0.25">
      <c r="A16804" t="s">
        <v>39403</v>
      </c>
      <c r="B16804" t="s">
        <v>10964</v>
      </c>
      <c r="C16804" t="s">
        <v>10606</v>
      </c>
      <c r="D16804" t="s">
        <v>10965</v>
      </c>
      <c r="E16804" t="s">
        <v>10966</v>
      </c>
      <c r="F16804" t="s">
        <v>3670</v>
      </c>
      <c r="G16804" t="s">
        <v>47093</v>
      </c>
      <c r="H16804" t="s">
        <v>47153</v>
      </c>
      <c r="I16804" t="s">
        <v>47132</v>
      </c>
      <c r="J16804" t="s">
        <v>47133</v>
      </c>
      <c r="K16804" t="s">
        <v>47113</v>
      </c>
      <c r="L16804">
        <v>50.48</v>
      </c>
      <c r="M16804">
        <v>92</v>
      </c>
      <c r="N16804">
        <v>0</v>
      </c>
      <c r="O16804">
        <v>92</v>
      </c>
      <c r="P16804">
        <v>0</v>
      </c>
    </row>
    <row r="16805" spans="1:16" x14ac:dyDescent="0.25">
      <c r="A16805" t="s">
        <v>39404</v>
      </c>
      <c r="B16805" t="s">
        <v>10964</v>
      </c>
      <c r="C16805" t="s">
        <v>10606</v>
      </c>
      <c r="D16805" t="s">
        <v>10960</v>
      </c>
      <c r="E16805" t="s">
        <v>10961</v>
      </c>
      <c r="F16805" t="s">
        <v>3670</v>
      </c>
      <c r="G16805" t="s">
        <v>47093</v>
      </c>
      <c r="H16805" t="s">
        <v>47153</v>
      </c>
      <c r="I16805" t="s">
        <v>47132</v>
      </c>
      <c r="J16805" t="s">
        <v>47133</v>
      </c>
      <c r="K16805" t="s">
        <v>47113</v>
      </c>
      <c r="L16805">
        <v>50.48</v>
      </c>
      <c r="M16805">
        <v>92</v>
      </c>
      <c r="N16805">
        <v>0</v>
      </c>
      <c r="O16805">
        <v>92</v>
      </c>
      <c r="P16805">
        <v>0</v>
      </c>
    </row>
    <row r="16806" spans="1:16" x14ac:dyDescent="0.25">
      <c r="A16806" t="s">
        <v>39405</v>
      </c>
      <c r="B16806" t="s">
        <v>10967</v>
      </c>
      <c r="C16806" t="s">
        <v>10606</v>
      </c>
      <c r="D16806" t="s">
        <v>10968</v>
      </c>
      <c r="E16806" t="s">
        <v>10969</v>
      </c>
      <c r="F16806" t="s">
        <v>3670</v>
      </c>
      <c r="G16806" t="s">
        <v>47093</v>
      </c>
      <c r="H16806" t="s">
        <v>47153</v>
      </c>
      <c r="I16806" t="s">
        <v>47132</v>
      </c>
      <c r="J16806" t="s">
        <v>47133</v>
      </c>
      <c r="K16806" t="s">
        <v>47113</v>
      </c>
      <c r="L16806">
        <v>44.97</v>
      </c>
      <c r="M16806">
        <v>81</v>
      </c>
      <c r="N16806">
        <v>0</v>
      </c>
      <c r="O16806">
        <v>81</v>
      </c>
      <c r="P16806">
        <v>0</v>
      </c>
    </row>
    <row r="16807" spans="1:16" x14ac:dyDescent="0.25">
      <c r="A16807" t="s">
        <v>39406</v>
      </c>
      <c r="B16807" t="s">
        <v>10967</v>
      </c>
      <c r="C16807" t="s">
        <v>10606</v>
      </c>
      <c r="D16807" t="s">
        <v>10970</v>
      </c>
      <c r="E16807" t="s">
        <v>10971</v>
      </c>
      <c r="F16807" t="s">
        <v>3670</v>
      </c>
      <c r="G16807" t="s">
        <v>47093</v>
      </c>
      <c r="H16807" t="s">
        <v>47153</v>
      </c>
      <c r="I16807" t="s">
        <v>47132</v>
      </c>
      <c r="J16807" t="s">
        <v>47133</v>
      </c>
      <c r="K16807" t="s">
        <v>47113</v>
      </c>
      <c r="L16807">
        <v>44.97</v>
      </c>
      <c r="M16807">
        <v>81</v>
      </c>
      <c r="N16807">
        <v>0</v>
      </c>
      <c r="O16807">
        <v>81</v>
      </c>
      <c r="P16807">
        <v>0</v>
      </c>
    </row>
    <row r="16808" spans="1:16" x14ac:dyDescent="0.25">
      <c r="A16808" t="s">
        <v>39407</v>
      </c>
      <c r="B16808" t="s">
        <v>10972</v>
      </c>
      <c r="C16808" t="s">
        <v>10606</v>
      </c>
      <c r="D16808" t="s">
        <v>10946</v>
      </c>
      <c r="E16808" t="s">
        <v>10947</v>
      </c>
      <c r="F16808" t="s">
        <v>3670</v>
      </c>
      <c r="G16808" t="s">
        <v>47093</v>
      </c>
      <c r="H16808" t="s">
        <v>47153</v>
      </c>
      <c r="I16808" t="s">
        <v>47132</v>
      </c>
      <c r="J16808" t="s">
        <v>47133</v>
      </c>
      <c r="K16808" t="s">
        <v>47113</v>
      </c>
      <c r="L16808">
        <v>43.33</v>
      </c>
      <c r="M16808">
        <v>77</v>
      </c>
      <c r="N16808">
        <v>0</v>
      </c>
      <c r="O16808">
        <v>77</v>
      </c>
      <c r="P16808">
        <v>0</v>
      </c>
    </row>
    <row r="16809" spans="1:16" x14ac:dyDescent="0.25">
      <c r="A16809" t="s">
        <v>39408</v>
      </c>
      <c r="B16809" t="s">
        <v>10973</v>
      </c>
      <c r="C16809" t="s">
        <v>10614</v>
      </c>
      <c r="D16809" t="s">
        <v>10933</v>
      </c>
      <c r="E16809" t="s">
        <v>10934</v>
      </c>
      <c r="F16809" t="s">
        <v>3670</v>
      </c>
      <c r="G16809" t="s">
        <v>47093</v>
      </c>
      <c r="H16809" t="s">
        <v>47153</v>
      </c>
      <c r="I16809" t="s">
        <v>47132</v>
      </c>
      <c r="J16809" t="s">
        <v>47133</v>
      </c>
      <c r="K16809" t="s">
        <v>47113</v>
      </c>
      <c r="L16809">
        <v>56.22</v>
      </c>
      <c r="M16809">
        <v>96</v>
      </c>
      <c r="N16809">
        <v>0</v>
      </c>
      <c r="O16809">
        <v>96</v>
      </c>
      <c r="P16809">
        <v>0</v>
      </c>
    </row>
    <row r="16810" spans="1:16" x14ac:dyDescent="0.25">
      <c r="A16810" t="s">
        <v>39409</v>
      </c>
      <c r="B16810" t="s">
        <v>10974</v>
      </c>
      <c r="C16810" t="s">
        <v>10614</v>
      </c>
      <c r="D16810" t="s">
        <v>10906</v>
      </c>
      <c r="E16810" t="s">
        <v>10907</v>
      </c>
      <c r="F16810" t="s">
        <v>3670</v>
      </c>
      <c r="G16810" t="s">
        <v>47093</v>
      </c>
      <c r="H16810" t="s">
        <v>47153</v>
      </c>
      <c r="I16810" t="s">
        <v>47132</v>
      </c>
      <c r="J16810" t="s">
        <v>47133</v>
      </c>
      <c r="K16810" t="s">
        <v>47113</v>
      </c>
      <c r="L16810">
        <v>33.03</v>
      </c>
      <c r="M16810">
        <v>63</v>
      </c>
      <c r="N16810">
        <v>0</v>
      </c>
      <c r="O16810">
        <v>63</v>
      </c>
      <c r="P16810">
        <v>0</v>
      </c>
    </row>
    <row r="16811" spans="1:16" x14ac:dyDescent="0.25">
      <c r="A16811" t="s">
        <v>39410</v>
      </c>
      <c r="B16811" t="s">
        <v>10974</v>
      </c>
      <c r="C16811" t="s">
        <v>10614</v>
      </c>
      <c r="D16811" t="s">
        <v>10908</v>
      </c>
      <c r="E16811" t="s">
        <v>10909</v>
      </c>
      <c r="F16811" t="s">
        <v>3670</v>
      </c>
      <c r="G16811" t="s">
        <v>47093</v>
      </c>
      <c r="H16811" t="s">
        <v>47153</v>
      </c>
      <c r="I16811" t="s">
        <v>47132</v>
      </c>
      <c r="J16811" t="s">
        <v>47133</v>
      </c>
      <c r="K16811" t="s">
        <v>47113</v>
      </c>
      <c r="L16811">
        <v>38.53</v>
      </c>
      <c r="M16811">
        <v>74</v>
      </c>
      <c r="N16811">
        <v>0</v>
      </c>
      <c r="O16811">
        <v>74</v>
      </c>
      <c r="P16811">
        <v>0</v>
      </c>
    </row>
    <row r="16812" spans="1:16" x14ac:dyDescent="0.25">
      <c r="A16812" t="s">
        <v>39411</v>
      </c>
      <c r="B16812" t="s">
        <v>10975</v>
      </c>
      <c r="C16812" t="s">
        <v>10614</v>
      </c>
      <c r="D16812" t="s">
        <v>10956</v>
      </c>
      <c r="E16812" t="s">
        <v>10957</v>
      </c>
      <c r="F16812" t="s">
        <v>3670</v>
      </c>
      <c r="G16812" t="s">
        <v>47093</v>
      </c>
      <c r="H16812" t="s">
        <v>47153</v>
      </c>
      <c r="I16812" t="s">
        <v>47132</v>
      </c>
      <c r="J16812" t="s">
        <v>47133</v>
      </c>
      <c r="K16812" t="s">
        <v>47113</v>
      </c>
      <c r="L16812">
        <v>45.56</v>
      </c>
      <c r="M16812">
        <v>81</v>
      </c>
      <c r="N16812">
        <v>0</v>
      </c>
      <c r="O16812">
        <v>81</v>
      </c>
      <c r="P16812">
        <v>0</v>
      </c>
    </row>
    <row r="16813" spans="1:16" x14ac:dyDescent="0.25">
      <c r="A16813" t="s">
        <v>39412</v>
      </c>
      <c r="B16813" t="s">
        <v>10975</v>
      </c>
      <c r="C16813" t="s">
        <v>10614</v>
      </c>
      <c r="D16813" t="s">
        <v>10958</v>
      </c>
      <c r="E16813" t="s">
        <v>10959</v>
      </c>
      <c r="F16813" t="s">
        <v>3670</v>
      </c>
      <c r="G16813" t="s">
        <v>47093</v>
      </c>
      <c r="H16813" t="s">
        <v>47153</v>
      </c>
      <c r="I16813" t="s">
        <v>47132</v>
      </c>
      <c r="J16813" t="s">
        <v>47133</v>
      </c>
      <c r="K16813" t="s">
        <v>47113</v>
      </c>
      <c r="L16813">
        <v>45.56</v>
      </c>
      <c r="M16813">
        <v>81</v>
      </c>
      <c r="N16813">
        <v>0</v>
      </c>
      <c r="O16813">
        <v>81</v>
      </c>
      <c r="P16813">
        <v>0</v>
      </c>
    </row>
    <row r="16814" spans="1:16" x14ac:dyDescent="0.25">
      <c r="A16814" t="s">
        <v>39413</v>
      </c>
      <c r="B16814" t="s">
        <v>10975</v>
      </c>
      <c r="C16814" t="s">
        <v>10614</v>
      </c>
      <c r="D16814" t="s">
        <v>10962</v>
      </c>
      <c r="E16814" t="s">
        <v>10963</v>
      </c>
      <c r="F16814" t="s">
        <v>3670</v>
      </c>
      <c r="G16814" t="s">
        <v>47093</v>
      </c>
      <c r="H16814" t="s">
        <v>47153</v>
      </c>
      <c r="I16814" t="s">
        <v>47132</v>
      </c>
      <c r="J16814" t="s">
        <v>47133</v>
      </c>
      <c r="K16814" t="s">
        <v>47113</v>
      </c>
      <c r="L16814">
        <v>45.56</v>
      </c>
      <c r="M16814">
        <v>81</v>
      </c>
      <c r="N16814">
        <v>0</v>
      </c>
      <c r="O16814">
        <v>81</v>
      </c>
      <c r="P16814">
        <v>0</v>
      </c>
    </row>
    <row r="16815" spans="1:16" x14ac:dyDescent="0.25">
      <c r="A16815" t="s">
        <v>39414</v>
      </c>
      <c r="B16815" t="s">
        <v>10976</v>
      </c>
      <c r="C16815" t="s">
        <v>10977</v>
      </c>
      <c r="D16815" t="s">
        <v>10913</v>
      </c>
      <c r="E16815" t="s">
        <v>10914</v>
      </c>
      <c r="F16815" t="s">
        <v>3670</v>
      </c>
      <c r="G16815" t="s">
        <v>47093</v>
      </c>
      <c r="H16815" t="s">
        <v>47153</v>
      </c>
      <c r="I16815" t="s">
        <v>47132</v>
      </c>
      <c r="J16815" t="s">
        <v>47133</v>
      </c>
      <c r="K16815" t="s">
        <v>47113</v>
      </c>
      <c r="L16815">
        <v>40.29</v>
      </c>
      <c r="M16815">
        <v>74</v>
      </c>
      <c r="N16815">
        <v>0</v>
      </c>
      <c r="O16815">
        <v>74</v>
      </c>
      <c r="P16815">
        <v>0</v>
      </c>
    </row>
    <row r="16816" spans="1:16" x14ac:dyDescent="0.25">
      <c r="A16816" t="s">
        <v>39415</v>
      </c>
      <c r="B16816" t="s">
        <v>10978</v>
      </c>
      <c r="C16816" t="s">
        <v>10614</v>
      </c>
      <c r="D16816" t="s">
        <v>10936</v>
      </c>
      <c r="E16816" t="s">
        <v>10937</v>
      </c>
      <c r="F16816" t="s">
        <v>3670</v>
      </c>
      <c r="G16816" t="s">
        <v>47093</v>
      </c>
      <c r="H16816" t="s">
        <v>47153</v>
      </c>
      <c r="I16816" t="s">
        <v>47132</v>
      </c>
      <c r="J16816" t="s">
        <v>47133</v>
      </c>
      <c r="K16816" t="s">
        <v>47113</v>
      </c>
      <c r="L16816">
        <v>42.74</v>
      </c>
      <c r="M16816">
        <v>77</v>
      </c>
      <c r="N16816">
        <v>0</v>
      </c>
      <c r="O16816">
        <v>77</v>
      </c>
      <c r="P16816">
        <v>0</v>
      </c>
    </row>
    <row r="16817" spans="1:16" x14ac:dyDescent="0.25">
      <c r="A16817" t="s">
        <v>39416</v>
      </c>
      <c r="B16817" t="s">
        <v>10979</v>
      </c>
      <c r="C16817" t="s">
        <v>10980</v>
      </c>
      <c r="D16817" t="str">
        <f>"1001"</f>
        <v>1001</v>
      </c>
      <c r="E16817" t="s">
        <v>42</v>
      </c>
      <c r="F16817" t="s">
        <v>3670</v>
      </c>
      <c r="G16817" t="s">
        <v>47101</v>
      </c>
      <c r="H16817" t="s">
        <v>47126</v>
      </c>
      <c r="I16817" t="s">
        <v>47120</v>
      </c>
      <c r="J16817" t="s">
        <v>47121</v>
      </c>
      <c r="K16817" t="s">
        <v>47113</v>
      </c>
      <c r="L16817">
        <v>90.07</v>
      </c>
      <c r="M16817">
        <v>268</v>
      </c>
      <c r="N16817">
        <v>0</v>
      </c>
      <c r="O16817">
        <v>268</v>
      </c>
      <c r="P16817">
        <v>0</v>
      </c>
    </row>
    <row r="16818" spans="1:16" x14ac:dyDescent="0.25">
      <c r="A16818" t="s">
        <v>39417</v>
      </c>
      <c r="B16818" t="s">
        <v>10981</v>
      </c>
      <c r="C16818" t="s">
        <v>10760</v>
      </c>
      <c r="D16818" t="str">
        <f>"1106"</f>
        <v>1106</v>
      </c>
      <c r="E16818" t="s">
        <v>460</v>
      </c>
      <c r="F16818" t="s">
        <v>3670</v>
      </c>
      <c r="G16818" t="s">
        <v>49029</v>
      </c>
      <c r="H16818" t="s">
        <v>47126</v>
      </c>
      <c r="I16818" t="s">
        <v>47127</v>
      </c>
      <c r="J16818" t="s">
        <v>47128</v>
      </c>
      <c r="K16818" t="s">
        <v>47113</v>
      </c>
      <c r="L16818">
        <v>13.14</v>
      </c>
      <c r="M16818">
        <v>29</v>
      </c>
      <c r="N16818">
        <v>0</v>
      </c>
      <c r="O16818">
        <v>29</v>
      </c>
      <c r="P16818">
        <v>0</v>
      </c>
    </row>
    <row r="16819" spans="1:16" x14ac:dyDescent="0.25">
      <c r="A16819" t="s">
        <v>39418</v>
      </c>
      <c r="B16819" t="s">
        <v>10981</v>
      </c>
      <c r="C16819" t="s">
        <v>10760</v>
      </c>
      <c r="D16819" t="str">
        <f>"1303"</f>
        <v>1303</v>
      </c>
      <c r="E16819" t="s">
        <v>4630</v>
      </c>
      <c r="F16819" t="s">
        <v>3670</v>
      </c>
      <c r="G16819" t="s">
        <v>49029</v>
      </c>
      <c r="H16819" t="s">
        <v>47126</v>
      </c>
      <c r="I16819" t="s">
        <v>47127</v>
      </c>
      <c r="J16819" t="s">
        <v>47128</v>
      </c>
      <c r="K16819" t="s">
        <v>47113</v>
      </c>
      <c r="L16819">
        <v>13.14</v>
      </c>
      <c r="M16819">
        <v>29</v>
      </c>
      <c r="N16819">
        <v>0</v>
      </c>
      <c r="O16819">
        <v>29</v>
      </c>
      <c r="P16819">
        <v>0</v>
      </c>
    </row>
    <row r="16820" spans="1:16" x14ac:dyDescent="0.25">
      <c r="A16820" t="s">
        <v>39419</v>
      </c>
      <c r="B16820" t="s">
        <v>10981</v>
      </c>
      <c r="C16820" t="s">
        <v>10760</v>
      </c>
      <c r="D16820" t="str">
        <f>"1377"</f>
        <v>1377</v>
      </c>
      <c r="E16820" t="s">
        <v>74</v>
      </c>
      <c r="F16820" t="s">
        <v>3670</v>
      </c>
      <c r="G16820" t="s">
        <v>49029</v>
      </c>
      <c r="H16820" t="s">
        <v>47126</v>
      </c>
      <c r="I16820" t="s">
        <v>47127</v>
      </c>
      <c r="J16820" t="s">
        <v>47128</v>
      </c>
      <c r="K16820" t="s">
        <v>47113</v>
      </c>
      <c r="L16820">
        <v>13.14</v>
      </c>
      <c r="M16820">
        <v>29</v>
      </c>
      <c r="N16820">
        <v>0</v>
      </c>
      <c r="O16820">
        <v>29</v>
      </c>
      <c r="P16820">
        <v>0</v>
      </c>
    </row>
    <row r="16821" spans="1:16" x14ac:dyDescent="0.25">
      <c r="A16821" t="s">
        <v>39420</v>
      </c>
      <c r="B16821" t="s">
        <v>10981</v>
      </c>
      <c r="C16821" t="s">
        <v>10760</v>
      </c>
      <c r="D16821" t="str">
        <f>"1403"</f>
        <v>1403</v>
      </c>
      <c r="E16821" t="s">
        <v>224</v>
      </c>
      <c r="F16821" t="s">
        <v>3670</v>
      </c>
      <c r="G16821" t="s">
        <v>49029</v>
      </c>
      <c r="H16821" t="s">
        <v>47126</v>
      </c>
      <c r="I16821" t="s">
        <v>47127</v>
      </c>
      <c r="J16821" t="s">
        <v>47128</v>
      </c>
      <c r="K16821" t="s">
        <v>47113</v>
      </c>
      <c r="L16821">
        <v>13.14</v>
      </c>
      <c r="M16821">
        <v>29</v>
      </c>
      <c r="N16821">
        <v>0</v>
      </c>
      <c r="O16821">
        <v>29</v>
      </c>
      <c r="P16821">
        <v>0</v>
      </c>
    </row>
    <row r="16822" spans="1:16" x14ac:dyDescent="0.25">
      <c r="A16822" t="s">
        <v>39421</v>
      </c>
      <c r="B16822" t="s">
        <v>10981</v>
      </c>
      <c r="C16822" t="s">
        <v>10760</v>
      </c>
      <c r="D16822" t="str">
        <f>"1700"</f>
        <v>1700</v>
      </c>
      <c r="E16822" t="s">
        <v>60</v>
      </c>
      <c r="F16822" t="s">
        <v>3670</v>
      </c>
      <c r="G16822" t="s">
        <v>49029</v>
      </c>
      <c r="H16822" t="s">
        <v>47126</v>
      </c>
      <c r="I16822" t="s">
        <v>47127</v>
      </c>
      <c r="J16822" t="s">
        <v>47128</v>
      </c>
      <c r="K16822" t="s">
        <v>47113</v>
      </c>
      <c r="L16822">
        <v>13.14</v>
      </c>
      <c r="M16822">
        <v>29</v>
      </c>
      <c r="N16822">
        <v>0</v>
      </c>
      <c r="O16822">
        <v>29</v>
      </c>
      <c r="P16822">
        <v>0</v>
      </c>
    </row>
    <row r="16823" spans="1:16" x14ac:dyDescent="0.25">
      <c r="A16823" t="s">
        <v>39422</v>
      </c>
      <c r="B16823" t="s">
        <v>10981</v>
      </c>
      <c r="C16823" t="s">
        <v>10760</v>
      </c>
      <c r="D16823" t="str">
        <f>"4753"</f>
        <v>4753</v>
      </c>
      <c r="E16823" t="s">
        <v>3755</v>
      </c>
      <c r="F16823" t="s">
        <v>3670</v>
      </c>
      <c r="G16823" t="s">
        <v>49029</v>
      </c>
      <c r="H16823" t="s">
        <v>47126</v>
      </c>
      <c r="I16823" t="s">
        <v>47127</v>
      </c>
      <c r="J16823" t="s">
        <v>47128</v>
      </c>
      <c r="K16823" t="s">
        <v>47113</v>
      </c>
      <c r="L16823">
        <v>13.14</v>
      </c>
      <c r="M16823">
        <v>29</v>
      </c>
      <c r="N16823">
        <v>0</v>
      </c>
      <c r="O16823">
        <v>29</v>
      </c>
      <c r="P16823">
        <v>0</v>
      </c>
    </row>
    <row r="16824" spans="1:16" x14ac:dyDescent="0.25">
      <c r="A16824" t="s">
        <v>39423</v>
      </c>
      <c r="B16824" t="s">
        <v>10981</v>
      </c>
      <c r="C16824" t="s">
        <v>10760</v>
      </c>
      <c r="D16824" t="str">
        <f>"6500"</f>
        <v>6500</v>
      </c>
      <c r="E16824" t="s">
        <v>151</v>
      </c>
      <c r="F16824" t="s">
        <v>3670</v>
      </c>
      <c r="G16824" t="s">
        <v>49029</v>
      </c>
      <c r="H16824" t="s">
        <v>47126</v>
      </c>
      <c r="I16824" t="s">
        <v>47127</v>
      </c>
      <c r="J16824" t="s">
        <v>47128</v>
      </c>
      <c r="K16824" t="s">
        <v>47113</v>
      </c>
      <c r="L16824">
        <v>13.14</v>
      </c>
      <c r="M16824">
        <v>29</v>
      </c>
      <c r="N16824">
        <v>0</v>
      </c>
      <c r="O16824">
        <v>29</v>
      </c>
      <c r="P16824">
        <v>0</v>
      </c>
    </row>
    <row r="16825" spans="1:16" x14ac:dyDescent="0.25">
      <c r="A16825" t="s">
        <v>39424</v>
      </c>
      <c r="B16825" t="s">
        <v>10981</v>
      </c>
      <c r="C16825" t="s">
        <v>10760</v>
      </c>
      <c r="D16825" t="str">
        <f>"8039"</f>
        <v>8039</v>
      </c>
      <c r="E16825" t="s">
        <v>4631</v>
      </c>
      <c r="F16825" t="s">
        <v>3670</v>
      </c>
      <c r="G16825" t="s">
        <v>49029</v>
      </c>
      <c r="H16825" t="s">
        <v>47126</v>
      </c>
      <c r="I16825" t="s">
        <v>47127</v>
      </c>
      <c r="J16825" t="s">
        <v>47128</v>
      </c>
      <c r="K16825" t="s">
        <v>47113</v>
      </c>
      <c r="L16825">
        <v>13.14</v>
      </c>
      <c r="M16825">
        <v>29</v>
      </c>
      <c r="N16825">
        <v>0</v>
      </c>
      <c r="O16825">
        <v>29</v>
      </c>
      <c r="P16825">
        <v>0</v>
      </c>
    </row>
    <row r="16826" spans="1:16" x14ac:dyDescent="0.25">
      <c r="A16826" t="s">
        <v>39425</v>
      </c>
      <c r="B16826" t="s">
        <v>10982</v>
      </c>
      <c r="C16826" t="s">
        <v>10983</v>
      </c>
      <c r="D16826" t="str">
        <f>"1377"</f>
        <v>1377</v>
      </c>
      <c r="E16826" t="s">
        <v>74</v>
      </c>
      <c r="F16826" t="s">
        <v>3670</v>
      </c>
      <c r="G16826" t="s">
        <v>47094</v>
      </c>
      <c r="H16826" t="s">
        <v>47126</v>
      </c>
      <c r="I16826" t="s">
        <v>47127</v>
      </c>
      <c r="J16826" t="s">
        <v>47128</v>
      </c>
      <c r="K16826" t="s">
        <v>47113</v>
      </c>
      <c r="L16826">
        <v>34.03</v>
      </c>
      <c r="M16826">
        <v>55</v>
      </c>
      <c r="N16826">
        <v>0</v>
      </c>
      <c r="O16826">
        <v>55</v>
      </c>
      <c r="P16826">
        <v>0</v>
      </c>
    </row>
    <row r="16827" spans="1:16" x14ac:dyDescent="0.25">
      <c r="A16827" t="s">
        <v>39426</v>
      </c>
      <c r="B16827" t="s">
        <v>10982</v>
      </c>
      <c r="C16827" t="s">
        <v>10983</v>
      </c>
      <c r="D16827" t="str">
        <f>"1378"</f>
        <v>1378</v>
      </c>
      <c r="E16827" t="s">
        <v>388</v>
      </c>
      <c r="F16827" t="s">
        <v>3670</v>
      </c>
      <c r="G16827" t="s">
        <v>47094</v>
      </c>
      <c r="H16827" t="s">
        <v>47126</v>
      </c>
      <c r="I16827" t="s">
        <v>47127</v>
      </c>
      <c r="J16827" t="s">
        <v>47128</v>
      </c>
      <c r="K16827" t="s">
        <v>47113</v>
      </c>
      <c r="L16827">
        <v>34.03</v>
      </c>
      <c r="M16827">
        <v>55</v>
      </c>
      <c r="N16827">
        <v>0</v>
      </c>
      <c r="O16827">
        <v>55</v>
      </c>
      <c r="P16827">
        <v>0</v>
      </c>
    </row>
    <row r="16828" spans="1:16" x14ac:dyDescent="0.25">
      <c r="A16828" t="s">
        <v>39427</v>
      </c>
      <c r="B16828" t="s">
        <v>10982</v>
      </c>
      <c r="C16828" t="s">
        <v>10983</v>
      </c>
      <c r="D16828" t="str">
        <f>"1700"</f>
        <v>1700</v>
      </c>
      <c r="E16828" t="s">
        <v>60</v>
      </c>
      <c r="F16828" t="s">
        <v>3670</v>
      </c>
      <c r="G16828" t="s">
        <v>47094</v>
      </c>
      <c r="H16828" t="s">
        <v>47126</v>
      </c>
      <c r="I16828" t="s">
        <v>47127</v>
      </c>
      <c r="J16828" t="s">
        <v>47128</v>
      </c>
      <c r="K16828" t="s">
        <v>47113</v>
      </c>
      <c r="L16828">
        <v>34.03</v>
      </c>
      <c r="M16828">
        <v>55</v>
      </c>
      <c r="N16828">
        <v>0</v>
      </c>
      <c r="O16828">
        <v>55</v>
      </c>
      <c r="P16828">
        <v>0</v>
      </c>
    </row>
    <row r="16829" spans="1:16" x14ac:dyDescent="0.25">
      <c r="A16829" t="s">
        <v>39428</v>
      </c>
      <c r="B16829" t="s">
        <v>10982</v>
      </c>
      <c r="C16829" t="s">
        <v>10983</v>
      </c>
      <c r="D16829" t="str">
        <f>"4753"</f>
        <v>4753</v>
      </c>
      <c r="E16829" t="s">
        <v>3755</v>
      </c>
      <c r="F16829" t="s">
        <v>3670</v>
      </c>
      <c r="G16829" t="s">
        <v>47094</v>
      </c>
      <c r="H16829" t="s">
        <v>47126</v>
      </c>
      <c r="I16829" t="s">
        <v>47127</v>
      </c>
      <c r="J16829" t="s">
        <v>47128</v>
      </c>
      <c r="K16829" t="s">
        <v>47113</v>
      </c>
      <c r="L16829">
        <v>34.03</v>
      </c>
      <c r="M16829">
        <v>55</v>
      </c>
      <c r="N16829">
        <v>0</v>
      </c>
      <c r="O16829">
        <v>55</v>
      </c>
      <c r="P16829">
        <v>0</v>
      </c>
    </row>
    <row r="16830" spans="1:16" x14ac:dyDescent="0.25">
      <c r="A16830" t="s">
        <v>39429</v>
      </c>
      <c r="B16830" t="s">
        <v>10982</v>
      </c>
      <c r="C16830" t="s">
        <v>10983</v>
      </c>
      <c r="D16830" t="str">
        <f>"6500"</f>
        <v>6500</v>
      </c>
      <c r="E16830" t="s">
        <v>151</v>
      </c>
      <c r="F16830" t="s">
        <v>3670</v>
      </c>
      <c r="G16830" t="s">
        <v>47094</v>
      </c>
      <c r="H16830" t="s">
        <v>47126</v>
      </c>
      <c r="I16830" t="s">
        <v>47127</v>
      </c>
      <c r="J16830" t="s">
        <v>47128</v>
      </c>
      <c r="K16830" t="s">
        <v>47113</v>
      </c>
      <c r="L16830">
        <v>34.03</v>
      </c>
      <c r="M16830">
        <v>55</v>
      </c>
      <c r="N16830">
        <v>0</v>
      </c>
      <c r="O16830">
        <v>55</v>
      </c>
      <c r="P16830">
        <v>0</v>
      </c>
    </row>
    <row r="16831" spans="1:16" x14ac:dyDescent="0.25">
      <c r="A16831" t="s">
        <v>39430</v>
      </c>
      <c r="B16831" t="s">
        <v>10982</v>
      </c>
      <c r="C16831" t="s">
        <v>10983</v>
      </c>
      <c r="D16831" t="str">
        <f>"8039"</f>
        <v>8039</v>
      </c>
      <c r="E16831" t="s">
        <v>4631</v>
      </c>
      <c r="F16831" t="s">
        <v>3670</v>
      </c>
      <c r="G16831" t="s">
        <v>47094</v>
      </c>
      <c r="H16831" t="s">
        <v>47126</v>
      </c>
      <c r="I16831" t="s">
        <v>47127</v>
      </c>
      <c r="J16831" t="s">
        <v>47128</v>
      </c>
      <c r="K16831" t="s">
        <v>47113</v>
      </c>
      <c r="L16831">
        <v>34.03</v>
      </c>
      <c r="M16831">
        <v>55</v>
      </c>
      <c r="N16831">
        <v>0</v>
      </c>
      <c r="O16831">
        <v>55</v>
      </c>
      <c r="P16831">
        <v>0</v>
      </c>
    </row>
    <row r="16832" spans="1:16" x14ac:dyDescent="0.25">
      <c r="A16832" t="s">
        <v>39431</v>
      </c>
      <c r="B16832" t="s">
        <v>10984</v>
      </c>
      <c r="C16832" t="s">
        <v>387</v>
      </c>
      <c r="D16832" t="str">
        <f>"1106"</f>
        <v>1106</v>
      </c>
      <c r="E16832" t="s">
        <v>460</v>
      </c>
      <c r="F16832" t="s">
        <v>3670</v>
      </c>
      <c r="G16832" t="s">
        <v>47094</v>
      </c>
      <c r="H16832" t="s">
        <v>47126</v>
      </c>
      <c r="I16832" t="s">
        <v>47127</v>
      </c>
      <c r="J16832" t="s">
        <v>47128</v>
      </c>
      <c r="K16832" t="s">
        <v>47113</v>
      </c>
      <c r="L16832">
        <v>34.03</v>
      </c>
      <c r="M16832">
        <v>73</v>
      </c>
      <c r="N16832">
        <v>0</v>
      </c>
      <c r="O16832">
        <v>73</v>
      </c>
      <c r="P16832">
        <v>0</v>
      </c>
    </row>
    <row r="16833" spans="1:16" x14ac:dyDescent="0.25">
      <c r="A16833" t="s">
        <v>39432</v>
      </c>
      <c r="B16833" t="s">
        <v>10984</v>
      </c>
      <c r="C16833" t="s">
        <v>387</v>
      </c>
      <c r="D16833" t="str">
        <f>"1303"</f>
        <v>1303</v>
      </c>
      <c r="E16833" t="s">
        <v>4630</v>
      </c>
      <c r="F16833" t="s">
        <v>3670</v>
      </c>
      <c r="G16833" t="s">
        <v>47094</v>
      </c>
      <c r="H16833" t="s">
        <v>47126</v>
      </c>
      <c r="I16833" t="s">
        <v>47127</v>
      </c>
      <c r="J16833" t="s">
        <v>47128</v>
      </c>
      <c r="K16833" t="s">
        <v>47113</v>
      </c>
      <c r="L16833">
        <v>34.03</v>
      </c>
      <c r="M16833">
        <v>73</v>
      </c>
      <c r="N16833">
        <v>0</v>
      </c>
      <c r="O16833">
        <v>73</v>
      </c>
      <c r="P16833">
        <v>0</v>
      </c>
    </row>
    <row r="16834" spans="1:16" x14ac:dyDescent="0.25">
      <c r="A16834" t="s">
        <v>39433</v>
      </c>
      <c r="B16834" t="s">
        <v>10984</v>
      </c>
      <c r="C16834" t="s">
        <v>387</v>
      </c>
      <c r="D16834" t="str">
        <f>"1377"</f>
        <v>1377</v>
      </c>
      <c r="E16834" t="s">
        <v>74</v>
      </c>
      <c r="F16834" t="s">
        <v>3670</v>
      </c>
      <c r="G16834" t="s">
        <v>47094</v>
      </c>
      <c r="H16834" t="s">
        <v>47126</v>
      </c>
      <c r="I16834" t="s">
        <v>47127</v>
      </c>
      <c r="J16834" t="s">
        <v>47128</v>
      </c>
      <c r="K16834" t="s">
        <v>47113</v>
      </c>
      <c r="L16834">
        <v>34.03</v>
      </c>
      <c r="M16834">
        <v>73</v>
      </c>
      <c r="N16834">
        <v>0</v>
      </c>
      <c r="O16834">
        <v>73</v>
      </c>
      <c r="P16834">
        <v>0</v>
      </c>
    </row>
    <row r="16835" spans="1:16" x14ac:dyDescent="0.25">
      <c r="A16835" t="s">
        <v>39434</v>
      </c>
      <c r="B16835" t="s">
        <v>10984</v>
      </c>
      <c r="C16835" t="s">
        <v>387</v>
      </c>
      <c r="D16835" t="str">
        <f>"1403"</f>
        <v>1403</v>
      </c>
      <c r="E16835" t="s">
        <v>224</v>
      </c>
      <c r="F16835" t="s">
        <v>3670</v>
      </c>
      <c r="G16835" t="s">
        <v>47094</v>
      </c>
      <c r="H16835" t="s">
        <v>47126</v>
      </c>
      <c r="I16835" t="s">
        <v>47127</v>
      </c>
      <c r="J16835" t="s">
        <v>47128</v>
      </c>
      <c r="K16835" t="s">
        <v>47113</v>
      </c>
      <c r="L16835">
        <v>34.03</v>
      </c>
      <c r="M16835">
        <v>73</v>
      </c>
      <c r="N16835">
        <v>0</v>
      </c>
      <c r="O16835">
        <v>73</v>
      </c>
      <c r="P16835">
        <v>0</v>
      </c>
    </row>
    <row r="16836" spans="1:16" x14ac:dyDescent="0.25">
      <c r="A16836" t="s">
        <v>39435</v>
      </c>
      <c r="B16836" t="s">
        <v>10984</v>
      </c>
      <c r="C16836" t="s">
        <v>387</v>
      </c>
      <c r="D16836" t="str">
        <f>"1700"</f>
        <v>1700</v>
      </c>
      <c r="E16836" t="s">
        <v>60</v>
      </c>
      <c r="F16836" t="s">
        <v>3670</v>
      </c>
      <c r="G16836" t="s">
        <v>47094</v>
      </c>
      <c r="H16836" t="s">
        <v>47126</v>
      </c>
      <c r="I16836" t="s">
        <v>47127</v>
      </c>
      <c r="J16836" t="s">
        <v>47128</v>
      </c>
      <c r="K16836" t="s">
        <v>47113</v>
      </c>
      <c r="L16836">
        <v>34.03</v>
      </c>
      <c r="M16836">
        <v>73</v>
      </c>
      <c r="N16836">
        <v>0</v>
      </c>
      <c r="O16836">
        <v>73</v>
      </c>
      <c r="P16836">
        <v>0</v>
      </c>
    </row>
    <row r="16837" spans="1:16" x14ac:dyDescent="0.25">
      <c r="A16837" t="s">
        <v>39436</v>
      </c>
      <c r="B16837" t="s">
        <v>10984</v>
      </c>
      <c r="C16837" t="s">
        <v>387</v>
      </c>
      <c r="D16837" t="str">
        <f>"3501"</f>
        <v>3501</v>
      </c>
      <c r="E16837" t="s">
        <v>3758</v>
      </c>
      <c r="F16837" t="s">
        <v>3670</v>
      </c>
      <c r="G16837" t="s">
        <v>47094</v>
      </c>
      <c r="H16837" t="s">
        <v>47126</v>
      </c>
      <c r="I16837" t="s">
        <v>47127</v>
      </c>
      <c r="J16837" t="s">
        <v>47128</v>
      </c>
      <c r="K16837" t="s">
        <v>47113</v>
      </c>
      <c r="L16837">
        <v>34.03</v>
      </c>
      <c r="M16837">
        <v>73</v>
      </c>
      <c r="N16837">
        <v>0</v>
      </c>
      <c r="O16837">
        <v>73</v>
      </c>
      <c r="P16837">
        <v>0</v>
      </c>
    </row>
    <row r="16838" spans="1:16" x14ac:dyDescent="0.25">
      <c r="A16838" t="s">
        <v>39437</v>
      </c>
      <c r="B16838" t="s">
        <v>10984</v>
      </c>
      <c r="C16838" t="s">
        <v>387</v>
      </c>
      <c r="D16838" t="str">
        <f>"4753"</f>
        <v>4753</v>
      </c>
      <c r="E16838" t="s">
        <v>3755</v>
      </c>
      <c r="F16838" t="s">
        <v>3670</v>
      </c>
      <c r="G16838" t="s">
        <v>47094</v>
      </c>
      <c r="H16838" t="s">
        <v>47126</v>
      </c>
      <c r="I16838" t="s">
        <v>47127</v>
      </c>
      <c r="J16838" t="s">
        <v>47128</v>
      </c>
      <c r="K16838" t="s">
        <v>47113</v>
      </c>
      <c r="L16838">
        <v>34.03</v>
      </c>
      <c r="M16838">
        <v>73</v>
      </c>
      <c r="N16838">
        <v>0</v>
      </c>
      <c r="O16838">
        <v>73</v>
      </c>
      <c r="P16838">
        <v>0</v>
      </c>
    </row>
    <row r="16839" spans="1:16" x14ac:dyDescent="0.25">
      <c r="A16839" t="s">
        <v>39438</v>
      </c>
      <c r="B16839" t="s">
        <v>10984</v>
      </c>
      <c r="C16839" t="s">
        <v>387</v>
      </c>
      <c r="D16839" t="str">
        <f>"6500"</f>
        <v>6500</v>
      </c>
      <c r="E16839" t="s">
        <v>151</v>
      </c>
      <c r="F16839" t="s">
        <v>3670</v>
      </c>
      <c r="G16839" t="s">
        <v>47094</v>
      </c>
      <c r="H16839" t="s">
        <v>47126</v>
      </c>
      <c r="I16839" t="s">
        <v>47127</v>
      </c>
      <c r="J16839" t="s">
        <v>47128</v>
      </c>
      <c r="K16839" t="s">
        <v>47113</v>
      </c>
      <c r="L16839">
        <v>34.03</v>
      </c>
      <c r="M16839">
        <v>73</v>
      </c>
      <c r="N16839">
        <v>0</v>
      </c>
      <c r="O16839">
        <v>73</v>
      </c>
      <c r="P16839">
        <v>0</v>
      </c>
    </row>
    <row r="16840" spans="1:16" x14ac:dyDescent="0.25">
      <c r="A16840" t="s">
        <v>39439</v>
      </c>
      <c r="B16840" t="s">
        <v>10984</v>
      </c>
      <c r="C16840" t="s">
        <v>387</v>
      </c>
      <c r="D16840" t="str">
        <f>"8039"</f>
        <v>8039</v>
      </c>
      <c r="E16840" t="s">
        <v>4631</v>
      </c>
      <c r="F16840" t="s">
        <v>3670</v>
      </c>
      <c r="G16840" t="s">
        <v>47094</v>
      </c>
      <c r="H16840" t="s">
        <v>47126</v>
      </c>
      <c r="I16840" t="s">
        <v>47127</v>
      </c>
      <c r="J16840" t="s">
        <v>47128</v>
      </c>
      <c r="K16840" t="s">
        <v>47113</v>
      </c>
      <c r="L16840">
        <v>34.03</v>
      </c>
      <c r="M16840">
        <v>73</v>
      </c>
      <c r="N16840">
        <v>0</v>
      </c>
      <c r="O16840">
        <v>73</v>
      </c>
      <c r="P16840">
        <v>0</v>
      </c>
    </row>
    <row r="16841" spans="1:16" x14ac:dyDescent="0.25">
      <c r="A16841" t="s">
        <v>39440</v>
      </c>
      <c r="B16841" t="s">
        <v>10985</v>
      </c>
      <c r="C16841" t="s">
        <v>10986</v>
      </c>
      <c r="D16841" t="str">
        <f>"1106"</f>
        <v>1106</v>
      </c>
      <c r="E16841" t="s">
        <v>460</v>
      </c>
      <c r="F16841" t="s">
        <v>3670</v>
      </c>
      <c r="G16841" t="s">
        <v>47095</v>
      </c>
      <c r="H16841" t="s">
        <v>47126</v>
      </c>
      <c r="I16841" t="s">
        <v>47127</v>
      </c>
      <c r="J16841" t="s">
        <v>47128</v>
      </c>
      <c r="K16841" t="s">
        <v>47113</v>
      </c>
      <c r="L16841">
        <v>22.09</v>
      </c>
      <c r="M16841">
        <v>46</v>
      </c>
      <c r="N16841">
        <v>0</v>
      </c>
      <c r="O16841">
        <v>46</v>
      </c>
      <c r="P16841">
        <v>0</v>
      </c>
    </row>
    <row r="16842" spans="1:16" x14ac:dyDescent="0.25">
      <c r="A16842" t="s">
        <v>39441</v>
      </c>
      <c r="B16842" t="s">
        <v>10985</v>
      </c>
      <c r="C16842" t="s">
        <v>10986</v>
      </c>
      <c r="D16842" t="str">
        <f>"1303"</f>
        <v>1303</v>
      </c>
      <c r="E16842" t="s">
        <v>4630</v>
      </c>
      <c r="F16842" t="s">
        <v>3670</v>
      </c>
      <c r="G16842" t="s">
        <v>47095</v>
      </c>
      <c r="H16842" t="s">
        <v>47126</v>
      </c>
      <c r="I16842" t="s">
        <v>47127</v>
      </c>
      <c r="J16842" t="s">
        <v>47128</v>
      </c>
      <c r="K16842" t="s">
        <v>47113</v>
      </c>
      <c r="L16842">
        <v>22.09</v>
      </c>
      <c r="M16842">
        <v>46</v>
      </c>
      <c r="N16842">
        <v>0</v>
      </c>
      <c r="O16842">
        <v>46</v>
      </c>
      <c r="P16842">
        <v>0</v>
      </c>
    </row>
    <row r="16843" spans="1:16" x14ac:dyDescent="0.25">
      <c r="A16843" t="s">
        <v>39442</v>
      </c>
      <c r="B16843" t="s">
        <v>10985</v>
      </c>
      <c r="C16843" t="s">
        <v>10986</v>
      </c>
      <c r="D16843" t="str">
        <f>"1377"</f>
        <v>1377</v>
      </c>
      <c r="E16843" t="s">
        <v>74</v>
      </c>
      <c r="F16843" t="s">
        <v>3670</v>
      </c>
      <c r="G16843" t="s">
        <v>47095</v>
      </c>
      <c r="H16843" t="s">
        <v>47126</v>
      </c>
      <c r="I16843" t="s">
        <v>47127</v>
      </c>
      <c r="J16843" t="s">
        <v>47128</v>
      </c>
      <c r="K16843" t="s">
        <v>47113</v>
      </c>
      <c r="L16843">
        <v>22.09</v>
      </c>
      <c r="M16843">
        <v>46</v>
      </c>
      <c r="N16843">
        <v>0</v>
      </c>
      <c r="O16843">
        <v>46</v>
      </c>
      <c r="P16843">
        <v>0</v>
      </c>
    </row>
    <row r="16844" spans="1:16" x14ac:dyDescent="0.25">
      <c r="A16844" t="s">
        <v>39443</v>
      </c>
      <c r="B16844" t="s">
        <v>10985</v>
      </c>
      <c r="C16844" t="s">
        <v>10986</v>
      </c>
      <c r="D16844" t="str">
        <f>"1403"</f>
        <v>1403</v>
      </c>
      <c r="E16844" t="s">
        <v>224</v>
      </c>
      <c r="F16844" t="s">
        <v>3670</v>
      </c>
      <c r="G16844" t="s">
        <v>47095</v>
      </c>
      <c r="H16844" t="s">
        <v>47126</v>
      </c>
      <c r="I16844" t="s">
        <v>47127</v>
      </c>
      <c r="J16844" t="s">
        <v>47128</v>
      </c>
      <c r="K16844" t="s">
        <v>47113</v>
      </c>
      <c r="L16844">
        <v>22.09</v>
      </c>
      <c r="M16844">
        <v>46</v>
      </c>
      <c r="N16844">
        <v>0</v>
      </c>
      <c r="O16844">
        <v>46</v>
      </c>
      <c r="P16844">
        <v>0</v>
      </c>
    </row>
    <row r="16845" spans="1:16" x14ac:dyDescent="0.25">
      <c r="A16845" t="s">
        <v>39444</v>
      </c>
      <c r="B16845" t="s">
        <v>10985</v>
      </c>
      <c r="C16845" t="s">
        <v>10986</v>
      </c>
      <c r="D16845" t="str">
        <f>"1700"</f>
        <v>1700</v>
      </c>
      <c r="E16845" t="s">
        <v>60</v>
      </c>
      <c r="F16845" t="s">
        <v>3670</v>
      </c>
      <c r="G16845" t="s">
        <v>47095</v>
      </c>
      <c r="H16845" t="s">
        <v>47126</v>
      </c>
      <c r="I16845" t="s">
        <v>47127</v>
      </c>
      <c r="J16845" t="s">
        <v>47128</v>
      </c>
      <c r="K16845" t="s">
        <v>47113</v>
      </c>
      <c r="L16845">
        <v>22.09</v>
      </c>
      <c r="M16845">
        <v>46</v>
      </c>
      <c r="N16845">
        <v>0</v>
      </c>
      <c r="O16845">
        <v>46</v>
      </c>
      <c r="P16845">
        <v>0</v>
      </c>
    </row>
    <row r="16846" spans="1:16" x14ac:dyDescent="0.25">
      <c r="A16846" t="s">
        <v>39445</v>
      </c>
      <c r="B16846" t="s">
        <v>10985</v>
      </c>
      <c r="C16846" t="s">
        <v>10986</v>
      </c>
      <c r="D16846" t="str">
        <f>"3501"</f>
        <v>3501</v>
      </c>
      <c r="E16846" t="s">
        <v>3758</v>
      </c>
      <c r="F16846" t="s">
        <v>3670</v>
      </c>
      <c r="G16846" t="s">
        <v>47095</v>
      </c>
      <c r="H16846" t="s">
        <v>47126</v>
      </c>
      <c r="I16846" t="s">
        <v>47127</v>
      </c>
      <c r="J16846" t="s">
        <v>47128</v>
      </c>
      <c r="K16846" t="s">
        <v>47113</v>
      </c>
      <c r="L16846">
        <v>22.09</v>
      </c>
      <c r="M16846">
        <v>46</v>
      </c>
      <c r="N16846">
        <v>0</v>
      </c>
      <c r="O16846">
        <v>46</v>
      </c>
      <c r="P16846">
        <v>0</v>
      </c>
    </row>
    <row r="16847" spans="1:16" x14ac:dyDescent="0.25">
      <c r="A16847" t="s">
        <v>39446</v>
      </c>
      <c r="B16847" t="s">
        <v>10985</v>
      </c>
      <c r="C16847" t="s">
        <v>10986</v>
      </c>
      <c r="D16847" t="str">
        <f>"6500"</f>
        <v>6500</v>
      </c>
      <c r="E16847" t="s">
        <v>151</v>
      </c>
      <c r="F16847" t="s">
        <v>3670</v>
      </c>
      <c r="G16847" t="s">
        <v>47095</v>
      </c>
      <c r="H16847" t="s">
        <v>47126</v>
      </c>
      <c r="I16847" t="s">
        <v>47127</v>
      </c>
      <c r="J16847" t="s">
        <v>47128</v>
      </c>
      <c r="K16847" t="s">
        <v>47113</v>
      </c>
      <c r="L16847">
        <v>22.09</v>
      </c>
      <c r="M16847">
        <v>46</v>
      </c>
      <c r="N16847">
        <v>0</v>
      </c>
      <c r="O16847">
        <v>46</v>
      </c>
      <c r="P16847">
        <v>0</v>
      </c>
    </row>
    <row r="16848" spans="1:16" x14ac:dyDescent="0.25">
      <c r="A16848" t="s">
        <v>39447</v>
      </c>
      <c r="B16848" t="s">
        <v>10985</v>
      </c>
      <c r="C16848" t="s">
        <v>10986</v>
      </c>
      <c r="D16848" t="str">
        <f>"8039"</f>
        <v>8039</v>
      </c>
      <c r="E16848" t="s">
        <v>4631</v>
      </c>
      <c r="F16848" t="s">
        <v>3670</v>
      </c>
      <c r="G16848" t="s">
        <v>47095</v>
      </c>
      <c r="H16848" t="s">
        <v>47126</v>
      </c>
      <c r="I16848" t="s">
        <v>47127</v>
      </c>
      <c r="J16848" t="s">
        <v>47128</v>
      </c>
      <c r="K16848" t="s">
        <v>47113</v>
      </c>
      <c r="L16848">
        <v>22.09</v>
      </c>
      <c r="M16848">
        <v>46</v>
      </c>
      <c r="N16848">
        <v>0</v>
      </c>
      <c r="O16848">
        <v>46</v>
      </c>
      <c r="P16848">
        <v>0</v>
      </c>
    </row>
    <row r="16849" spans="1:16" x14ac:dyDescent="0.25">
      <c r="A16849" t="s">
        <v>39448</v>
      </c>
      <c r="B16849" t="s">
        <v>10987</v>
      </c>
      <c r="C16849" t="s">
        <v>10988</v>
      </c>
      <c r="D16849" t="str">
        <f>"1303"</f>
        <v>1303</v>
      </c>
      <c r="E16849" t="s">
        <v>4630</v>
      </c>
      <c r="F16849" t="s">
        <v>3670</v>
      </c>
      <c r="G16849" t="s">
        <v>47095</v>
      </c>
      <c r="H16849" t="s">
        <v>47126</v>
      </c>
      <c r="I16849" t="s">
        <v>47127</v>
      </c>
      <c r="J16849" t="s">
        <v>47128</v>
      </c>
      <c r="K16849" t="s">
        <v>47113</v>
      </c>
      <c r="L16849">
        <v>22.09</v>
      </c>
      <c r="M16849">
        <v>46</v>
      </c>
      <c r="N16849">
        <v>0</v>
      </c>
      <c r="O16849">
        <v>46</v>
      </c>
      <c r="P16849">
        <v>0</v>
      </c>
    </row>
    <row r="16850" spans="1:16" x14ac:dyDescent="0.25">
      <c r="A16850" t="s">
        <v>39449</v>
      </c>
      <c r="B16850" t="s">
        <v>10987</v>
      </c>
      <c r="C16850" t="s">
        <v>10988</v>
      </c>
      <c r="D16850" t="str">
        <f>"1377"</f>
        <v>1377</v>
      </c>
      <c r="E16850" t="s">
        <v>74</v>
      </c>
      <c r="F16850" t="s">
        <v>3670</v>
      </c>
      <c r="G16850" t="s">
        <v>47095</v>
      </c>
      <c r="H16850" t="s">
        <v>47126</v>
      </c>
      <c r="I16850" t="s">
        <v>47127</v>
      </c>
      <c r="J16850" t="s">
        <v>47128</v>
      </c>
      <c r="K16850" t="s">
        <v>47113</v>
      </c>
      <c r="L16850">
        <v>22.09</v>
      </c>
      <c r="M16850">
        <v>46</v>
      </c>
      <c r="N16850">
        <v>0</v>
      </c>
      <c r="O16850">
        <v>46</v>
      </c>
      <c r="P16850">
        <v>0</v>
      </c>
    </row>
    <row r="16851" spans="1:16" x14ac:dyDescent="0.25">
      <c r="A16851" t="s">
        <v>39450</v>
      </c>
      <c r="B16851" t="s">
        <v>10987</v>
      </c>
      <c r="C16851" t="s">
        <v>10988</v>
      </c>
      <c r="D16851" t="str">
        <f>"1378"</f>
        <v>1378</v>
      </c>
      <c r="E16851" t="s">
        <v>388</v>
      </c>
      <c r="F16851" t="s">
        <v>3670</v>
      </c>
      <c r="G16851" t="s">
        <v>47095</v>
      </c>
      <c r="H16851" t="s">
        <v>47126</v>
      </c>
      <c r="I16851" t="s">
        <v>47127</v>
      </c>
      <c r="J16851" t="s">
        <v>47128</v>
      </c>
      <c r="K16851" t="s">
        <v>47113</v>
      </c>
      <c r="L16851">
        <v>22.09</v>
      </c>
      <c r="M16851">
        <v>46</v>
      </c>
      <c r="N16851">
        <v>0</v>
      </c>
      <c r="O16851">
        <v>46</v>
      </c>
      <c r="P16851">
        <v>0</v>
      </c>
    </row>
    <row r="16852" spans="1:16" x14ac:dyDescent="0.25">
      <c r="A16852" t="s">
        <v>39451</v>
      </c>
      <c r="B16852" t="s">
        <v>10987</v>
      </c>
      <c r="C16852" t="s">
        <v>10988</v>
      </c>
      <c r="D16852" t="str">
        <f>"1403"</f>
        <v>1403</v>
      </c>
      <c r="E16852" t="s">
        <v>224</v>
      </c>
      <c r="F16852" t="s">
        <v>3670</v>
      </c>
      <c r="G16852" t="s">
        <v>47095</v>
      </c>
      <c r="H16852" t="s">
        <v>47126</v>
      </c>
      <c r="I16852" t="s">
        <v>47127</v>
      </c>
      <c r="J16852" t="s">
        <v>47128</v>
      </c>
      <c r="K16852" t="s">
        <v>47113</v>
      </c>
      <c r="L16852">
        <v>22.09</v>
      </c>
      <c r="M16852">
        <v>46</v>
      </c>
      <c r="N16852">
        <v>0</v>
      </c>
      <c r="O16852">
        <v>46</v>
      </c>
      <c r="P16852">
        <v>0</v>
      </c>
    </row>
    <row r="16853" spans="1:16" x14ac:dyDescent="0.25">
      <c r="A16853" t="s">
        <v>39452</v>
      </c>
      <c r="B16853" t="s">
        <v>10987</v>
      </c>
      <c r="C16853" t="s">
        <v>10988</v>
      </c>
      <c r="D16853" t="str">
        <f>"1700"</f>
        <v>1700</v>
      </c>
      <c r="E16853" t="s">
        <v>60</v>
      </c>
      <c r="F16853" t="s">
        <v>3670</v>
      </c>
      <c r="G16853" t="s">
        <v>47095</v>
      </c>
      <c r="H16853" t="s">
        <v>47126</v>
      </c>
      <c r="I16853" t="s">
        <v>47127</v>
      </c>
      <c r="J16853" t="s">
        <v>47128</v>
      </c>
      <c r="K16853" t="s">
        <v>47113</v>
      </c>
      <c r="L16853">
        <v>22.09</v>
      </c>
      <c r="M16853">
        <v>46</v>
      </c>
      <c r="N16853">
        <v>0</v>
      </c>
      <c r="O16853">
        <v>46</v>
      </c>
      <c r="P16853">
        <v>0</v>
      </c>
    </row>
    <row r="16854" spans="1:16" x14ac:dyDescent="0.25">
      <c r="A16854" t="s">
        <v>39453</v>
      </c>
      <c r="B16854" t="s">
        <v>10987</v>
      </c>
      <c r="C16854" t="s">
        <v>10988</v>
      </c>
      <c r="D16854" t="str">
        <f>"4753"</f>
        <v>4753</v>
      </c>
      <c r="E16854" t="s">
        <v>3755</v>
      </c>
      <c r="F16854" t="s">
        <v>3670</v>
      </c>
      <c r="G16854" t="s">
        <v>47095</v>
      </c>
      <c r="H16854" t="s">
        <v>47126</v>
      </c>
      <c r="I16854" t="s">
        <v>47127</v>
      </c>
      <c r="J16854" t="s">
        <v>47128</v>
      </c>
      <c r="K16854" t="s">
        <v>47113</v>
      </c>
      <c r="L16854">
        <v>22.09</v>
      </c>
      <c r="M16854">
        <v>46</v>
      </c>
      <c r="N16854">
        <v>0</v>
      </c>
      <c r="O16854">
        <v>46</v>
      </c>
      <c r="P16854">
        <v>0</v>
      </c>
    </row>
    <row r="16855" spans="1:16" x14ac:dyDescent="0.25">
      <c r="A16855" t="s">
        <v>39454</v>
      </c>
      <c r="B16855" t="s">
        <v>10987</v>
      </c>
      <c r="C16855" t="s">
        <v>10988</v>
      </c>
      <c r="D16855" t="str">
        <f>"6500"</f>
        <v>6500</v>
      </c>
      <c r="E16855" t="s">
        <v>151</v>
      </c>
      <c r="F16855" t="s">
        <v>3670</v>
      </c>
      <c r="G16855" t="s">
        <v>47095</v>
      </c>
      <c r="H16855" t="s">
        <v>47126</v>
      </c>
      <c r="I16855" t="s">
        <v>47127</v>
      </c>
      <c r="J16855" t="s">
        <v>47128</v>
      </c>
      <c r="K16855" t="s">
        <v>47113</v>
      </c>
      <c r="L16855">
        <v>22.09</v>
      </c>
      <c r="M16855">
        <v>46</v>
      </c>
      <c r="N16855">
        <v>0</v>
      </c>
      <c r="O16855">
        <v>46</v>
      </c>
      <c r="P16855">
        <v>0</v>
      </c>
    </row>
    <row r="16856" spans="1:16" x14ac:dyDescent="0.25">
      <c r="A16856" t="s">
        <v>39455</v>
      </c>
      <c r="B16856" t="s">
        <v>10987</v>
      </c>
      <c r="C16856" t="s">
        <v>10988</v>
      </c>
      <c r="D16856" t="str">
        <f>"8039"</f>
        <v>8039</v>
      </c>
      <c r="E16856" t="s">
        <v>4631</v>
      </c>
      <c r="F16856" t="s">
        <v>3670</v>
      </c>
      <c r="G16856" t="s">
        <v>47095</v>
      </c>
      <c r="H16856" t="s">
        <v>47126</v>
      </c>
      <c r="I16856" t="s">
        <v>47127</v>
      </c>
      <c r="J16856" t="s">
        <v>47128</v>
      </c>
      <c r="K16856" t="s">
        <v>47113</v>
      </c>
      <c r="L16856">
        <v>22.09</v>
      </c>
      <c r="M16856">
        <v>46</v>
      </c>
      <c r="N16856">
        <v>0</v>
      </c>
      <c r="O16856">
        <v>46</v>
      </c>
      <c r="P16856">
        <v>0</v>
      </c>
    </row>
    <row r="16857" spans="1:16" x14ac:dyDescent="0.25">
      <c r="A16857" t="s">
        <v>39456</v>
      </c>
      <c r="B16857" t="s">
        <v>10989</v>
      </c>
      <c r="C16857" t="s">
        <v>10990</v>
      </c>
      <c r="D16857" t="str">
        <f>"1285"</f>
        <v>1285</v>
      </c>
      <c r="E16857" t="s">
        <v>2148</v>
      </c>
      <c r="F16857" t="s">
        <v>3670</v>
      </c>
      <c r="G16857" t="s">
        <v>47096</v>
      </c>
      <c r="H16857" t="s">
        <v>47126</v>
      </c>
      <c r="I16857" t="s">
        <v>47127</v>
      </c>
      <c r="J16857" t="s">
        <v>47128</v>
      </c>
      <c r="K16857" t="s">
        <v>47113</v>
      </c>
      <c r="L16857">
        <v>22.09</v>
      </c>
      <c r="M16857">
        <v>55</v>
      </c>
      <c r="N16857">
        <v>0</v>
      </c>
      <c r="O16857">
        <v>55</v>
      </c>
      <c r="P16857">
        <v>0</v>
      </c>
    </row>
    <row r="16858" spans="1:16" x14ac:dyDescent="0.25">
      <c r="A16858" t="s">
        <v>39457</v>
      </c>
      <c r="B16858" t="s">
        <v>10989</v>
      </c>
      <c r="C16858" t="s">
        <v>10990</v>
      </c>
      <c r="D16858" t="str">
        <f>"1377"</f>
        <v>1377</v>
      </c>
      <c r="E16858" t="s">
        <v>74</v>
      </c>
      <c r="F16858" t="s">
        <v>3670</v>
      </c>
      <c r="G16858" t="s">
        <v>47096</v>
      </c>
      <c r="H16858" t="s">
        <v>47126</v>
      </c>
      <c r="I16858" t="s">
        <v>47127</v>
      </c>
      <c r="J16858" t="s">
        <v>47128</v>
      </c>
      <c r="K16858" t="s">
        <v>47113</v>
      </c>
      <c r="L16858">
        <v>22.09</v>
      </c>
      <c r="M16858">
        <v>41</v>
      </c>
      <c r="N16858">
        <v>0</v>
      </c>
      <c r="O16858">
        <v>41</v>
      </c>
      <c r="P16858">
        <v>0</v>
      </c>
    </row>
    <row r="16859" spans="1:16" x14ac:dyDescent="0.25">
      <c r="A16859" t="s">
        <v>39458</v>
      </c>
      <c r="B16859" t="s">
        <v>10989</v>
      </c>
      <c r="C16859" t="s">
        <v>10990</v>
      </c>
      <c r="D16859" t="str">
        <f>"1378"</f>
        <v>1378</v>
      </c>
      <c r="E16859" t="s">
        <v>388</v>
      </c>
      <c r="F16859" t="s">
        <v>3670</v>
      </c>
      <c r="G16859" t="s">
        <v>47096</v>
      </c>
      <c r="H16859" t="s">
        <v>47126</v>
      </c>
      <c r="I16859" t="s">
        <v>47127</v>
      </c>
      <c r="J16859" t="s">
        <v>47128</v>
      </c>
      <c r="K16859" t="s">
        <v>47113</v>
      </c>
      <c r="L16859">
        <v>22.09</v>
      </c>
      <c r="M16859">
        <v>41</v>
      </c>
      <c r="N16859">
        <v>0</v>
      </c>
      <c r="O16859">
        <v>41</v>
      </c>
      <c r="P16859">
        <v>0</v>
      </c>
    </row>
    <row r="16860" spans="1:16" x14ac:dyDescent="0.25">
      <c r="A16860" t="s">
        <v>39459</v>
      </c>
      <c r="B16860" t="s">
        <v>10989</v>
      </c>
      <c r="C16860" t="s">
        <v>10990</v>
      </c>
      <c r="D16860" t="str">
        <f>"1403"</f>
        <v>1403</v>
      </c>
      <c r="E16860" t="s">
        <v>224</v>
      </c>
      <c r="F16860" t="s">
        <v>3670</v>
      </c>
      <c r="G16860" t="s">
        <v>47096</v>
      </c>
      <c r="H16860" t="s">
        <v>47126</v>
      </c>
      <c r="I16860" t="s">
        <v>47127</v>
      </c>
      <c r="J16860" t="s">
        <v>47128</v>
      </c>
      <c r="K16860" t="s">
        <v>47113</v>
      </c>
      <c r="L16860">
        <v>22.09</v>
      </c>
      <c r="M16860">
        <v>41</v>
      </c>
      <c r="N16860">
        <v>0</v>
      </c>
      <c r="O16860">
        <v>41</v>
      </c>
      <c r="P16860">
        <v>0</v>
      </c>
    </row>
    <row r="16861" spans="1:16" x14ac:dyDescent="0.25">
      <c r="A16861" t="s">
        <v>39460</v>
      </c>
      <c r="B16861" t="s">
        <v>10989</v>
      </c>
      <c r="C16861" t="s">
        <v>10990</v>
      </c>
      <c r="D16861" t="str">
        <f>"1700"</f>
        <v>1700</v>
      </c>
      <c r="E16861" t="s">
        <v>60</v>
      </c>
      <c r="F16861" t="s">
        <v>3670</v>
      </c>
      <c r="G16861" t="s">
        <v>47096</v>
      </c>
      <c r="H16861" t="s">
        <v>47126</v>
      </c>
      <c r="I16861" t="s">
        <v>47127</v>
      </c>
      <c r="J16861" t="s">
        <v>47128</v>
      </c>
      <c r="K16861" t="s">
        <v>47113</v>
      </c>
      <c r="L16861">
        <v>22.09</v>
      </c>
      <c r="M16861">
        <v>41</v>
      </c>
      <c r="N16861">
        <v>0</v>
      </c>
      <c r="O16861">
        <v>41</v>
      </c>
      <c r="P16861">
        <v>0</v>
      </c>
    </row>
    <row r="16862" spans="1:16" x14ac:dyDescent="0.25">
      <c r="A16862" t="s">
        <v>39461</v>
      </c>
      <c r="B16862" t="s">
        <v>10989</v>
      </c>
      <c r="C16862" t="s">
        <v>10990</v>
      </c>
      <c r="D16862" t="str">
        <f>"4753"</f>
        <v>4753</v>
      </c>
      <c r="E16862" t="s">
        <v>3755</v>
      </c>
      <c r="F16862" t="s">
        <v>3670</v>
      </c>
      <c r="G16862" t="s">
        <v>47096</v>
      </c>
      <c r="H16862" t="s">
        <v>47126</v>
      </c>
      <c r="I16862" t="s">
        <v>47127</v>
      </c>
      <c r="J16862" t="s">
        <v>47128</v>
      </c>
      <c r="K16862" t="s">
        <v>47113</v>
      </c>
      <c r="L16862">
        <v>22.09</v>
      </c>
      <c r="M16862">
        <v>41</v>
      </c>
      <c r="N16862">
        <v>0</v>
      </c>
      <c r="O16862">
        <v>41</v>
      </c>
      <c r="P16862">
        <v>0</v>
      </c>
    </row>
    <row r="16863" spans="1:16" x14ac:dyDescent="0.25">
      <c r="A16863" t="s">
        <v>39462</v>
      </c>
      <c r="B16863" t="s">
        <v>10989</v>
      </c>
      <c r="C16863" t="s">
        <v>10990</v>
      </c>
      <c r="D16863" t="str">
        <f>"6500"</f>
        <v>6500</v>
      </c>
      <c r="E16863" t="s">
        <v>151</v>
      </c>
      <c r="F16863" t="s">
        <v>3670</v>
      </c>
      <c r="G16863" t="s">
        <v>47096</v>
      </c>
      <c r="H16863" t="s">
        <v>47126</v>
      </c>
      <c r="I16863" t="s">
        <v>47127</v>
      </c>
      <c r="J16863" t="s">
        <v>47128</v>
      </c>
      <c r="K16863" t="s">
        <v>47113</v>
      </c>
      <c r="L16863">
        <v>22.09</v>
      </c>
      <c r="M16863">
        <v>41</v>
      </c>
      <c r="N16863">
        <v>0</v>
      </c>
      <c r="O16863">
        <v>41</v>
      </c>
      <c r="P16863">
        <v>0</v>
      </c>
    </row>
    <row r="16864" spans="1:16" x14ac:dyDescent="0.25">
      <c r="A16864" t="s">
        <v>39463</v>
      </c>
      <c r="B16864" t="s">
        <v>10989</v>
      </c>
      <c r="C16864" t="s">
        <v>10990</v>
      </c>
      <c r="D16864" t="str">
        <f>"8039"</f>
        <v>8039</v>
      </c>
      <c r="E16864" t="s">
        <v>4631</v>
      </c>
      <c r="F16864" t="s">
        <v>3670</v>
      </c>
      <c r="G16864" t="s">
        <v>47096</v>
      </c>
      <c r="H16864" t="s">
        <v>47126</v>
      </c>
      <c r="I16864" t="s">
        <v>47127</v>
      </c>
      <c r="J16864" t="s">
        <v>47128</v>
      </c>
      <c r="K16864" t="s">
        <v>47113</v>
      </c>
      <c r="L16864">
        <v>22.09</v>
      </c>
      <c r="M16864">
        <v>41</v>
      </c>
      <c r="N16864">
        <v>0</v>
      </c>
      <c r="O16864">
        <v>41</v>
      </c>
      <c r="P16864">
        <v>0</v>
      </c>
    </row>
    <row r="16865" spans="1:16" x14ac:dyDescent="0.25">
      <c r="A16865" t="s">
        <v>39464</v>
      </c>
      <c r="B16865" t="s">
        <v>10991</v>
      </c>
      <c r="C16865" t="s">
        <v>10992</v>
      </c>
      <c r="D16865" t="str">
        <f>"1106"</f>
        <v>1106</v>
      </c>
      <c r="E16865" t="s">
        <v>460</v>
      </c>
      <c r="F16865" t="s">
        <v>3670</v>
      </c>
      <c r="G16865" t="s">
        <v>47095</v>
      </c>
      <c r="H16865" t="s">
        <v>47126</v>
      </c>
      <c r="I16865" t="s">
        <v>47127</v>
      </c>
      <c r="J16865" t="s">
        <v>47128</v>
      </c>
      <c r="K16865" t="s">
        <v>47113</v>
      </c>
      <c r="L16865">
        <v>22.09</v>
      </c>
      <c r="M16865">
        <v>46</v>
      </c>
      <c r="N16865">
        <v>0</v>
      </c>
      <c r="O16865">
        <v>46</v>
      </c>
      <c r="P16865">
        <v>0</v>
      </c>
    </row>
    <row r="16866" spans="1:16" x14ac:dyDescent="0.25">
      <c r="A16866" t="s">
        <v>39465</v>
      </c>
      <c r="B16866" t="s">
        <v>10991</v>
      </c>
      <c r="C16866" t="s">
        <v>10992</v>
      </c>
      <c r="D16866" t="str">
        <f>"1377"</f>
        <v>1377</v>
      </c>
      <c r="E16866" t="s">
        <v>74</v>
      </c>
      <c r="F16866" t="s">
        <v>3670</v>
      </c>
      <c r="G16866" t="s">
        <v>47095</v>
      </c>
      <c r="H16866" t="s">
        <v>47126</v>
      </c>
      <c r="I16866" t="s">
        <v>47127</v>
      </c>
      <c r="J16866" t="s">
        <v>47128</v>
      </c>
      <c r="K16866" t="s">
        <v>47113</v>
      </c>
      <c r="L16866">
        <v>22.09</v>
      </c>
      <c r="M16866">
        <v>46</v>
      </c>
      <c r="N16866">
        <v>0</v>
      </c>
      <c r="O16866">
        <v>46</v>
      </c>
      <c r="P16866">
        <v>0</v>
      </c>
    </row>
    <row r="16867" spans="1:16" x14ac:dyDescent="0.25">
      <c r="A16867" t="s">
        <v>39466</v>
      </c>
      <c r="B16867" t="s">
        <v>10991</v>
      </c>
      <c r="C16867" t="s">
        <v>10992</v>
      </c>
      <c r="D16867" t="str">
        <f>"1403"</f>
        <v>1403</v>
      </c>
      <c r="E16867" t="s">
        <v>224</v>
      </c>
      <c r="F16867" t="s">
        <v>3670</v>
      </c>
      <c r="G16867" t="s">
        <v>47095</v>
      </c>
      <c r="H16867" t="s">
        <v>47126</v>
      </c>
      <c r="I16867" t="s">
        <v>47127</v>
      </c>
      <c r="J16867" t="s">
        <v>47128</v>
      </c>
      <c r="K16867" t="s">
        <v>47113</v>
      </c>
      <c r="L16867">
        <v>22.09</v>
      </c>
      <c r="M16867">
        <v>46</v>
      </c>
      <c r="N16867">
        <v>0</v>
      </c>
      <c r="O16867">
        <v>46</v>
      </c>
      <c r="P16867">
        <v>0</v>
      </c>
    </row>
    <row r="16868" spans="1:16" x14ac:dyDescent="0.25">
      <c r="A16868" t="s">
        <v>39467</v>
      </c>
      <c r="B16868" t="s">
        <v>10991</v>
      </c>
      <c r="C16868" t="s">
        <v>10992</v>
      </c>
      <c r="D16868" t="str">
        <f>"1700"</f>
        <v>1700</v>
      </c>
      <c r="E16868" t="s">
        <v>60</v>
      </c>
      <c r="F16868" t="s">
        <v>3670</v>
      </c>
      <c r="G16868" t="s">
        <v>47095</v>
      </c>
      <c r="H16868" t="s">
        <v>47126</v>
      </c>
      <c r="I16868" t="s">
        <v>47127</v>
      </c>
      <c r="J16868" t="s">
        <v>47128</v>
      </c>
      <c r="K16868" t="s">
        <v>47113</v>
      </c>
      <c r="L16868">
        <v>22.09</v>
      </c>
      <c r="M16868">
        <v>46</v>
      </c>
      <c r="N16868">
        <v>0</v>
      </c>
      <c r="O16868">
        <v>46</v>
      </c>
      <c r="P16868">
        <v>0</v>
      </c>
    </row>
    <row r="16869" spans="1:16" x14ac:dyDescent="0.25">
      <c r="A16869" t="s">
        <v>39468</v>
      </c>
      <c r="B16869" t="s">
        <v>10991</v>
      </c>
      <c r="C16869" t="s">
        <v>10992</v>
      </c>
      <c r="D16869" t="str">
        <f>"3501"</f>
        <v>3501</v>
      </c>
      <c r="E16869" t="s">
        <v>3758</v>
      </c>
      <c r="F16869" t="s">
        <v>3670</v>
      </c>
      <c r="G16869" t="s">
        <v>47095</v>
      </c>
      <c r="H16869" t="s">
        <v>47126</v>
      </c>
      <c r="I16869" t="s">
        <v>47127</v>
      </c>
      <c r="J16869" t="s">
        <v>47128</v>
      </c>
      <c r="K16869" t="s">
        <v>47113</v>
      </c>
      <c r="L16869">
        <v>22.09</v>
      </c>
      <c r="M16869">
        <v>46</v>
      </c>
      <c r="N16869">
        <v>0</v>
      </c>
      <c r="O16869">
        <v>46</v>
      </c>
      <c r="P16869">
        <v>0</v>
      </c>
    </row>
    <row r="16870" spans="1:16" x14ac:dyDescent="0.25">
      <c r="A16870" t="s">
        <v>39469</v>
      </c>
      <c r="B16870" t="s">
        <v>10991</v>
      </c>
      <c r="C16870" t="s">
        <v>10992</v>
      </c>
      <c r="D16870" t="str">
        <f>"4753"</f>
        <v>4753</v>
      </c>
      <c r="E16870" t="s">
        <v>3755</v>
      </c>
      <c r="F16870" t="s">
        <v>3670</v>
      </c>
      <c r="G16870" t="s">
        <v>47095</v>
      </c>
      <c r="H16870" t="s">
        <v>47126</v>
      </c>
      <c r="I16870" t="s">
        <v>47127</v>
      </c>
      <c r="J16870" t="s">
        <v>47128</v>
      </c>
      <c r="K16870" t="s">
        <v>47113</v>
      </c>
      <c r="L16870">
        <v>22.09</v>
      </c>
      <c r="M16870">
        <v>46</v>
      </c>
      <c r="N16870">
        <v>0</v>
      </c>
      <c r="O16870">
        <v>46</v>
      </c>
      <c r="P16870">
        <v>0</v>
      </c>
    </row>
    <row r="16871" spans="1:16" x14ac:dyDescent="0.25">
      <c r="A16871" t="s">
        <v>39470</v>
      </c>
      <c r="B16871" t="s">
        <v>10991</v>
      </c>
      <c r="C16871" t="s">
        <v>10992</v>
      </c>
      <c r="D16871" t="str">
        <f>"6500"</f>
        <v>6500</v>
      </c>
      <c r="E16871" t="s">
        <v>151</v>
      </c>
      <c r="F16871" t="s">
        <v>3670</v>
      </c>
      <c r="G16871" t="s">
        <v>47095</v>
      </c>
      <c r="H16871" t="s">
        <v>47126</v>
      </c>
      <c r="I16871" t="s">
        <v>47127</v>
      </c>
      <c r="J16871" t="s">
        <v>47128</v>
      </c>
      <c r="K16871" t="s">
        <v>47113</v>
      </c>
      <c r="L16871">
        <v>22.09</v>
      </c>
      <c r="M16871">
        <v>46</v>
      </c>
      <c r="N16871">
        <v>0</v>
      </c>
      <c r="O16871">
        <v>46</v>
      </c>
      <c r="P16871">
        <v>0</v>
      </c>
    </row>
    <row r="16872" spans="1:16" x14ac:dyDescent="0.25">
      <c r="A16872" t="s">
        <v>39471</v>
      </c>
      <c r="B16872" t="s">
        <v>10991</v>
      </c>
      <c r="C16872" t="s">
        <v>10992</v>
      </c>
      <c r="D16872" t="str">
        <f>"8039"</f>
        <v>8039</v>
      </c>
      <c r="E16872" t="s">
        <v>4631</v>
      </c>
      <c r="F16872" t="s">
        <v>3670</v>
      </c>
      <c r="G16872" t="s">
        <v>47095</v>
      </c>
      <c r="H16872" t="s">
        <v>47126</v>
      </c>
      <c r="I16872" t="s">
        <v>47127</v>
      </c>
      <c r="J16872" t="s">
        <v>47128</v>
      </c>
      <c r="K16872" t="s">
        <v>47113</v>
      </c>
      <c r="L16872">
        <v>22.09</v>
      </c>
      <c r="M16872">
        <v>46</v>
      </c>
      <c r="N16872">
        <v>0</v>
      </c>
      <c r="O16872">
        <v>46</v>
      </c>
      <c r="P16872">
        <v>0</v>
      </c>
    </row>
    <row r="16873" spans="1:16" x14ac:dyDescent="0.25">
      <c r="A16873" t="s">
        <v>39472</v>
      </c>
      <c r="B16873" t="s">
        <v>10993</v>
      </c>
      <c r="C16873" t="s">
        <v>10994</v>
      </c>
      <c r="D16873" t="str">
        <f>"1106"</f>
        <v>1106</v>
      </c>
      <c r="E16873" t="s">
        <v>460</v>
      </c>
      <c r="F16873" t="s">
        <v>3670</v>
      </c>
      <c r="G16873" t="s">
        <v>47095</v>
      </c>
      <c r="H16873" t="s">
        <v>47126</v>
      </c>
      <c r="I16873" t="s">
        <v>47127</v>
      </c>
      <c r="J16873" t="s">
        <v>47128</v>
      </c>
      <c r="K16873" t="s">
        <v>47113</v>
      </c>
      <c r="L16873">
        <v>26.51</v>
      </c>
      <c r="M16873">
        <v>46</v>
      </c>
      <c r="N16873">
        <v>0</v>
      </c>
      <c r="O16873">
        <v>46</v>
      </c>
      <c r="P16873">
        <v>0</v>
      </c>
    </row>
    <row r="16874" spans="1:16" x14ac:dyDescent="0.25">
      <c r="A16874" t="s">
        <v>39473</v>
      </c>
      <c r="B16874" t="s">
        <v>10993</v>
      </c>
      <c r="C16874" t="s">
        <v>10994</v>
      </c>
      <c r="D16874" t="str">
        <f>"1377"</f>
        <v>1377</v>
      </c>
      <c r="E16874" t="s">
        <v>74</v>
      </c>
      <c r="F16874" t="s">
        <v>3670</v>
      </c>
      <c r="G16874" t="s">
        <v>47095</v>
      </c>
      <c r="H16874" t="s">
        <v>47126</v>
      </c>
      <c r="I16874" t="s">
        <v>47127</v>
      </c>
      <c r="J16874" t="s">
        <v>47128</v>
      </c>
      <c r="K16874" t="s">
        <v>47113</v>
      </c>
      <c r="L16874">
        <v>26.51</v>
      </c>
      <c r="M16874">
        <v>46</v>
      </c>
      <c r="N16874">
        <v>0</v>
      </c>
      <c r="O16874">
        <v>46</v>
      </c>
      <c r="P16874">
        <v>0</v>
      </c>
    </row>
    <row r="16875" spans="1:16" x14ac:dyDescent="0.25">
      <c r="A16875" t="s">
        <v>39474</v>
      </c>
      <c r="B16875" t="s">
        <v>10993</v>
      </c>
      <c r="C16875" t="s">
        <v>10994</v>
      </c>
      <c r="D16875" t="str">
        <f>"1403"</f>
        <v>1403</v>
      </c>
      <c r="E16875" t="s">
        <v>224</v>
      </c>
      <c r="F16875" t="s">
        <v>3670</v>
      </c>
      <c r="G16875" t="s">
        <v>47095</v>
      </c>
      <c r="H16875" t="s">
        <v>47126</v>
      </c>
      <c r="I16875" t="s">
        <v>47127</v>
      </c>
      <c r="J16875" t="s">
        <v>47128</v>
      </c>
      <c r="K16875" t="s">
        <v>47113</v>
      </c>
      <c r="L16875">
        <v>26.51</v>
      </c>
      <c r="M16875">
        <v>46</v>
      </c>
      <c r="N16875">
        <v>0</v>
      </c>
      <c r="O16875">
        <v>46</v>
      </c>
      <c r="P16875">
        <v>0</v>
      </c>
    </row>
    <row r="16876" spans="1:16" x14ac:dyDescent="0.25">
      <c r="A16876" t="s">
        <v>39475</v>
      </c>
      <c r="B16876" t="s">
        <v>10993</v>
      </c>
      <c r="C16876" t="s">
        <v>10994</v>
      </c>
      <c r="D16876" t="str">
        <f>"1700"</f>
        <v>1700</v>
      </c>
      <c r="E16876" t="s">
        <v>60</v>
      </c>
      <c r="F16876" t="s">
        <v>3670</v>
      </c>
      <c r="G16876" t="s">
        <v>47095</v>
      </c>
      <c r="H16876" t="s">
        <v>47126</v>
      </c>
      <c r="I16876" t="s">
        <v>47127</v>
      </c>
      <c r="J16876" t="s">
        <v>47128</v>
      </c>
      <c r="K16876" t="s">
        <v>47113</v>
      </c>
      <c r="L16876">
        <v>26.51</v>
      </c>
      <c r="M16876">
        <v>46</v>
      </c>
      <c r="N16876">
        <v>0</v>
      </c>
      <c r="O16876">
        <v>46</v>
      </c>
      <c r="P16876">
        <v>0</v>
      </c>
    </row>
    <row r="16877" spans="1:16" x14ac:dyDescent="0.25">
      <c r="A16877" t="s">
        <v>39476</v>
      </c>
      <c r="B16877" t="s">
        <v>10993</v>
      </c>
      <c r="C16877" t="s">
        <v>10994</v>
      </c>
      <c r="D16877" t="str">
        <f>"3501"</f>
        <v>3501</v>
      </c>
      <c r="E16877" t="s">
        <v>3758</v>
      </c>
      <c r="F16877" t="s">
        <v>3670</v>
      </c>
      <c r="G16877" t="s">
        <v>47095</v>
      </c>
      <c r="H16877" t="s">
        <v>47126</v>
      </c>
      <c r="I16877" t="s">
        <v>47127</v>
      </c>
      <c r="J16877" t="s">
        <v>47128</v>
      </c>
      <c r="K16877" t="s">
        <v>47113</v>
      </c>
      <c r="L16877">
        <v>26.51</v>
      </c>
      <c r="M16877">
        <v>46</v>
      </c>
      <c r="N16877">
        <v>0</v>
      </c>
      <c r="O16877">
        <v>46</v>
      </c>
      <c r="P16877">
        <v>0</v>
      </c>
    </row>
    <row r="16878" spans="1:16" x14ac:dyDescent="0.25">
      <c r="A16878" t="s">
        <v>39477</v>
      </c>
      <c r="B16878" t="s">
        <v>10993</v>
      </c>
      <c r="C16878" t="s">
        <v>10994</v>
      </c>
      <c r="D16878" t="str">
        <f>"4753"</f>
        <v>4753</v>
      </c>
      <c r="E16878" t="s">
        <v>3755</v>
      </c>
      <c r="F16878" t="s">
        <v>3670</v>
      </c>
      <c r="G16878" t="s">
        <v>47095</v>
      </c>
      <c r="H16878" t="s">
        <v>47126</v>
      </c>
      <c r="I16878" t="s">
        <v>47127</v>
      </c>
      <c r="J16878" t="s">
        <v>47128</v>
      </c>
      <c r="K16878" t="s">
        <v>47113</v>
      </c>
      <c r="L16878">
        <v>26.51</v>
      </c>
      <c r="M16878">
        <v>46</v>
      </c>
      <c r="N16878">
        <v>0</v>
      </c>
      <c r="O16878">
        <v>46</v>
      </c>
      <c r="P16878">
        <v>0</v>
      </c>
    </row>
    <row r="16879" spans="1:16" x14ac:dyDescent="0.25">
      <c r="A16879" t="s">
        <v>39478</v>
      </c>
      <c r="B16879" t="s">
        <v>10993</v>
      </c>
      <c r="C16879" t="s">
        <v>10994</v>
      </c>
      <c r="D16879" t="str">
        <f>"6500"</f>
        <v>6500</v>
      </c>
      <c r="E16879" t="s">
        <v>151</v>
      </c>
      <c r="F16879" t="s">
        <v>3670</v>
      </c>
      <c r="G16879" t="s">
        <v>47095</v>
      </c>
      <c r="H16879" t="s">
        <v>47126</v>
      </c>
      <c r="I16879" t="s">
        <v>47127</v>
      </c>
      <c r="J16879" t="s">
        <v>47128</v>
      </c>
      <c r="K16879" t="s">
        <v>47113</v>
      </c>
      <c r="L16879">
        <v>26.51</v>
      </c>
      <c r="M16879">
        <v>46</v>
      </c>
      <c r="N16879">
        <v>0</v>
      </c>
      <c r="O16879">
        <v>46</v>
      </c>
      <c r="P16879">
        <v>0</v>
      </c>
    </row>
    <row r="16880" spans="1:16" x14ac:dyDescent="0.25">
      <c r="A16880" t="s">
        <v>39479</v>
      </c>
      <c r="B16880" t="s">
        <v>10993</v>
      </c>
      <c r="C16880" t="s">
        <v>10994</v>
      </c>
      <c r="D16880" t="str">
        <f>"8039"</f>
        <v>8039</v>
      </c>
      <c r="E16880" t="s">
        <v>4631</v>
      </c>
      <c r="F16880" t="s">
        <v>3670</v>
      </c>
      <c r="G16880" t="s">
        <v>47095</v>
      </c>
      <c r="H16880" t="s">
        <v>47126</v>
      </c>
      <c r="I16880" t="s">
        <v>47127</v>
      </c>
      <c r="J16880" t="s">
        <v>47128</v>
      </c>
      <c r="K16880" t="s">
        <v>47113</v>
      </c>
      <c r="L16880">
        <v>26.51</v>
      </c>
      <c r="M16880">
        <v>46</v>
      </c>
      <c r="N16880">
        <v>0</v>
      </c>
      <c r="O16880">
        <v>46</v>
      </c>
      <c r="P16880">
        <v>0</v>
      </c>
    </row>
    <row r="16881" spans="1:16" x14ac:dyDescent="0.25">
      <c r="A16881" t="s">
        <v>39480</v>
      </c>
      <c r="B16881" t="s">
        <v>10995</v>
      </c>
      <c r="C16881" t="s">
        <v>10996</v>
      </c>
      <c r="D16881" t="s">
        <v>10908</v>
      </c>
      <c r="E16881" t="s">
        <v>10909</v>
      </c>
      <c r="F16881" t="s">
        <v>3670</v>
      </c>
      <c r="G16881" t="s">
        <v>49029</v>
      </c>
      <c r="H16881" t="s">
        <v>47153</v>
      </c>
      <c r="I16881" t="s">
        <v>47132</v>
      </c>
      <c r="J16881" t="s">
        <v>47133</v>
      </c>
      <c r="K16881" t="s">
        <v>47113</v>
      </c>
      <c r="L16881">
        <v>34.08</v>
      </c>
      <c r="M16881">
        <v>66</v>
      </c>
      <c r="N16881">
        <v>0</v>
      </c>
      <c r="O16881">
        <v>66</v>
      </c>
      <c r="P16881">
        <v>0</v>
      </c>
    </row>
    <row r="16882" spans="1:16" x14ac:dyDescent="0.25">
      <c r="A16882" t="s">
        <v>39481</v>
      </c>
      <c r="B16882" t="s">
        <v>10997</v>
      </c>
      <c r="C16882" t="s">
        <v>10996</v>
      </c>
      <c r="D16882" t="s">
        <v>10916</v>
      </c>
      <c r="E16882" t="s">
        <v>10917</v>
      </c>
      <c r="F16882" t="s">
        <v>3670</v>
      </c>
      <c r="G16882" t="s">
        <v>49029</v>
      </c>
      <c r="H16882" t="s">
        <v>47153</v>
      </c>
      <c r="I16882" t="s">
        <v>47132</v>
      </c>
      <c r="J16882" t="s">
        <v>47133</v>
      </c>
      <c r="K16882" t="s">
        <v>47113</v>
      </c>
      <c r="L16882">
        <v>43.69</v>
      </c>
      <c r="M16882">
        <v>74</v>
      </c>
      <c r="N16882">
        <v>0</v>
      </c>
      <c r="O16882">
        <v>74</v>
      </c>
      <c r="P16882">
        <v>0</v>
      </c>
    </row>
    <row r="16883" spans="1:16" x14ac:dyDescent="0.25">
      <c r="A16883" t="s">
        <v>39482</v>
      </c>
      <c r="B16883" t="s">
        <v>10997</v>
      </c>
      <c r="C16883" t="s">
        <v>10996</v>
      </c>
      <c r="D16883" t="s">
        <v>10918</v>
      </c>
      <c r="E16883" t="s">
        <v>10919</v>
      </c>
      <c r="F16883" t="s">
        <v>3670</v>
      </c>
      <c r="G16883" t="s">
        <v>49029</v>
      </c>
      <c r="H16883" t="s">
        <v>47153</v>
      </c>
      <c r="I16883" t="s">
        <v>47132</v>
      </c>
      <c r="J16883" t="s">
        <v>47133</v>
      </c>
      <c r="K16883" t="s">
        <v>47113</v>
      </c>
      <c r="L16883">
        <v>43.69</v>
      </c>
      <c r="M16883">
        <v>74</v>
      </c>
      <c r="N16883">
        <v>0</v>
      </c>
      <c r="O16883">
        <v>74</v>
      </c>
      <c r="P16883">
        <v>0</v>
      </c>
    </row>
    <row r="16884" spans="1:16" x14ac:dyDescent="0.25">
      <c r="A16884" t="s">
        <v>39483</v>
      </c>
      <c r="B16884" t="s">
        <v>10998</v>
      </c>
      <c r="C16884" t="s">
        <v>10662</v>
      </c>
      <c r="D16884" t="s">
        <v>10968</v>
      </c>
      <c r="E16884" t="s">
        <v>10969</v>
      </c>
      <c r="F16884" t="s">
        <v>3670</v>
      </c>
      <c r="G16884" t="s">
        <v>49029</v>
      </c>
      <c r="H16884" t="s">
        <v>47153</v>
      </c>
      <c r="I16884" t="s">
        <v>47132</v>
      </c>
      <c r="J16884" t="s">
        <v>47133</v>
      </c>
      <c r="K16884" t="s">
        <v>47113</v>
      </c>
      <c r="L16884">
        <v>39.93</v>
      </c>
      <c r="M16884">
        <v>74</v>
      </c>
      <c r="N16884">
        <v>0</v>
      </c>
      <c r="O16884">
        <v>74</v>
      </c>
      <c r="P16884">
        <v>0</v>
      </c>
    </row>
    <row r="16885" spans="1:16" x14ac:dyDescent="0.25">
      <c r="A16885" t="s">
        <v>39484</v>
      </c>
      <c r="B16885" t="s">
        <v>10998</v>
      </c>
      <c r="C16885" t="s">
        <v>10662</v>
      </c>
      <c r="D16885" t="s">
        <v>10970</v>
      </c>
      <c r="E16885" t="s">
        <v>10971</v>
      </c>
      <c r="F16885" t="s">
        <v>3670</v>
      </c>
      <c r="G16885" t="s">
        <v>49029</v>
      </c>
      <c r="H16885" t="s">
        <v>47153</v>
      </c>
      <c r="I16885" t="s">
        <v>47132</v>
      </c>
      <c r="J16885" t="s">
        <v>47133</v>
      </c>
      <c r="K16885" t="s">
        <v>47113</v>
      </c>
      <c r="L16885">
        <v>39.93</v>
      </c>
      <c r="M16885">
        <v>74</v>
      </c>
      <c r="N16885">
        <v>0</v>
      </c>
      <c r="O16885">
        <v>74</v>
      </c>
      <c r="P16885">
        <v>0</v>
      </c>
    </row>
    <row r="16886" spans="1:16" x14ac:dyDescent="0.25">
      <c r="A16886" t="s">
        <v>39485</v>
      </c>
      <c r="B16886" t="s">
        <v>10999</v>
      </c>
      <c r="C16886" t="s">
        <v>10662</v>
      </c>
      <c r="D16886" t="s">
        <v>10933</v>
      </c>
      <c r="E16886" t="s">
        <v>10934</v>
      </c>
      <c r="F16886" t="s">
        <v>3670</v>
      </c>
      <c r="G16886" t="s">
        <v>49029</v>
      </c>
      <c r="H16886" t="s">
        <v>47153</v>
      </c>
      <c r="I16886" t="s">
        <v>47132</v>
      </c>
      <c r="J16886" t="s">
        <v>47133</v>
      </c>
      <c r="K16886" t="s">
        <v>47113</v>
      </c>
      <c r="L16886">
        <v>50.83</v>
      </c>
      <c r="M16886">
        <v>89</v>
      </c>
      <c r="N16886">
        <v>0</v>
      </c>
      <c r="O16886">
        <v>89</v>
      </c>
      <c r="P16886">
        <v>0</v>
      </c>
    </row>
    <row r="16887" spans="1:16" x14ac:dyDescent="0.25">
      <c r="A16887" t="s">
        <v>39486</v>
      </c>
      <c r="B16887" t="s">
        <v>11000</v>
      </c>
      <c r="C16887" t="s">
        <v>409</v>
      </c>
      <c r="D16887" t="s">
        <v>10913</v>
      </c>
      <c r="E16887" t="s">
        <v>10914</v>
      </c>
      <c r="F16887" t="s">
        <v>3670</v>
      </c>
      <c r="G16887" t="s">
        <v>47098</v>
      </c>
      <c r="H16887" t="s">
        <v>47153</v>
      </c>
      <c r="I16887" t="s">
        <v>47132</v>
      </c>
      <c r="J16887" t="s">
        <v>47133</v>
      </c>
      <c r="K16887" t="s">
        <v>47113</v>
      </c>
      <c r="L16887">
        <v>57.38</v>
      </c>
      <c r="M16887">
        <v>96</v>
      </c>
      <c r="N16887">
        <v>0</v>
      </c>
      <c r="O16887">
        <v>96</v>
      </c>
      <c r="P16887">
        <v>0</v>
      </c>
    </row>
    <row r="16888" spans="1:16" x14ac:dyDescent="0.25">
      <c r="A16888" t="s">
        <v>39487</v>
      </c>
      <c r="B16888" t="s">
        <v>11001</v>
      </c>
      <c r="C16888" t="s">
        <v>409</v>
      </c>
      <c r="D16888" t="s">
        <v>10936</v>
      </c>
      <c r="E16888" t="s">
        <v>10937</v>
      </c>
      <c r="F16888" t="s">
        <v>3670</v>
      </c>
      <c r="G16888" t="s">
        <v>47098</v>
      </c>
      <c r="H16888" t="s">
        <v>47153</v>
      </c>
      <c r="I16888" t="s">
        <v>47132</v>
      </c>
      <c r="J16888" t="s">
        <v>47133</v>
      </c>
      <c r="K16888" t="s">
        <v>47113</v>
      </c>
      <c r="L16888">
        <v>63.24</v>
      </c>
      <c r="M16888">
        <v>103</v>
      </c>
      <c r="N16888">
        <v>0</v>
      </c>
      <c r="O16888">
        <v>103</v>
      </c>
      <c r="P16888">
        <v>0</v>
      </c>
    </row>
    <row r="16889" spans="1:16" x14ac:dyDescent="0.25">
      <c r="A16889" t="s">
        <v>39488</v>
      </c>
      <c r="B16889" t="s">
        <v>11002</v>
      </c>
      <c r="C16889" t="s">
        <v>11003</v>
      </c>
      <c r="D16889" t="s">
        <v>10908</v>
      </c>
      <c r="E16889" t="s">
        <v>10909</v>
      </c>
      <c r="F16889" t="s">
        <v>3670</v>
      </c>
      <c r="G16889" t="s">
        <v>48515</v>
      </c>
      <c r="H16889" t="s">
        <v>47153</v>
      </c>
      <c r="I16889" t="s">
        <v>47132</v>
      </c>
      <c r="J16889" t="s">
        <v>47133</v>
      </c>
      <c r="K16889" t="s">
        <v>47113</v>
      </c>
      <c r="L16889">
        <v>41.58</v>
      </c>
      <c r="M16889">
        <v>74</v>
      </c>
      <c r="N16889">
        <v>0</v>
      </c>
      <c r="O16889">
        <v>74</v>
      </c>
      <c r="P16889">
        <v>0</v>
      </c>
    </row>
    <row r="16890" spans="1:16" x14ac:dyDescent="0.25">
      <c r="A16890" t="s">
        <v>39489</v>
      </c>
      <c r="B16890" t="s">
        <v>11004</v>
      </c>
      <c r="C16890" t="s">
        <v>11003</v>
      </c>
      <c r="D16890" t="s">
        <v>10921</v>
      </c>
      <c r="E16890" t="s">
        <v>10922</v>
      </c>
      <c r="F16890" t="s">
        <v>3670</v>
      </c>
      <c r="G16890" t="s">
        <v>48515</v>
      </c>
      <c r="H16890" t="s">
        <v>47153</v>
      </c>
      <c r="I16890" t="s">
        <v>47132</v>
      </c>
      <c r="J16890" t="s">
        <v>47133</v>
      </c>
      <c r="K16890" t="s">
        <v>47113</v>
      </c>
      <c r="L16890">
        <v>40.299999999999997</v>
      </c>
      <c r="M16890">
        <v>70</v>
      </c>
      <c r="N16890">
        <v>0</v>
      </c>
      <c r="O16890">
        <v>70</v>
      </c>
      <c r="P16890">
        <v>0</v>
      </c>
    </row>
    <row r="16891" spans="1:16" x14ac:dyDescent="0.25">
      <c r="A16891" t="s">
        <v>39490</v>
      </c>
      <c r="B16891" t="s">
        <v>11004</v>
      </c>
      <c r="C16891" t="s">
        <v>11003</v>
      </c>
      <c r="D16891" t="s">
        <v>10923</v>
      </c>
      <c r="E16891" t="s">
        <v>10924</v>
      </c>
      <c r="F16891" t="s">
        <v>3670</v>
      </c>
      <c r="G16891" t="s">
        <v>48515</v>
      </c>
      <c r="H16891" t="s">
        <v>47153</v>
      </c>
      <c r="I16891" t="s">
        <v>47132</v>
      </c>
      <c r="J16891" t="s">
        <v>47133</v>
      </c>
      <c r="K16891" t="s">
        <v>47113</v>
      </c>
      <c r="L16891">
        <v>40.299999999999997</v>
      </c>
      <c r="M16891">
        <v>70</v>
      </c>
      <c r="N16891">
        <v>0</v>
      </c>
      <c r="O16891">
        <v>70</v>
      </c>
      <c r="P16891">
        <v>0</v>
      </c>
    </row>
    <row r="16892" spans="1:16" x14ac:dyDescent="0.25">
      <c r="A16892" t="s">
        <v>39491</v>
      </c>
      <c r="B16892" t="s">
        <v>11004</v>
      </c>
      <c r="C16892" t="s">
        <v>11003</v>
      </c>
      <c r="D16892" t="s">
        <v>10925</v>
      </c>
      <c r="E16892" t="s">
        <v>10926</v>
      </c>
      <c r="F16892" t="s">
        <v>3670</v>
      </c>
      <c r="G16892" t="s">
        <v>48515</v>
      </c>
      <c r="H16892" t="s">
        <v>47153</v>
      </c>
      <c r="I16892" t="s">
        <v>47132</v>
      </c>
      <c r="J16892" t="s">
        <v>47133</v>
      </c>
      <c r="K16892" t="s">
        <v>47113</v>
      </c>
      <c r="L16892">
        <v>40.299999999999997</v>
      </c>
      <c r="M16892">
        <v>70</v>
      </c>
      <c r="N16892">
        <v>0</v>
      </c>
      <c r="O16892">
        <v>70</v>
      </c>
      <c r="P16892">
        <v>0</v>
      </c>
    </row>
    <row r="16893" spans="1:16" x14ac:dyDescent="0.25">
      <c r="A16893" t="s">
        <v>39492</v>
      </c>
      <c r="B16893" t="s">
        <v>11004</v>
      </c>
      <c r="C16893" t="s">
        <v>11003</v>
      </c>
      <c r="D16893" t="s">
        <v>4459</v>
      </c>
      <c r="E16893" t="s">
        <v>4460</v>
      </c>
      <c r="F16893" t="s">
        <v>3670</v>
      </c>
      <c r="G16893" t="s">
        <v>48515</v>
      </c>
      <c r="H16893" t="s">
        <v>47153</v>
      </c>
      <c r="I16893" t="s">
        <v>47132</v>
      </c>
      <c r="J16893" t="s">
        <v>47133</v>
      </c>
      <c r="K16893" t="s">
        <v>47113</v>
      </c>
      <c r="L16893">
        <v>40.299999999999997</v>
      </c>
      <c r="M16893">
        <v>70</v>
      </c>
      <c r="N16893">
        <v>0</v>
      </c>
      <c r="O16893">
        <v>70</v>
      </c>
      <c r="P16893">
        <v>0</v>
      </c>
    </row>
    <row r="16894" spans="1:16" x14ac:dyDescent="0.25">
      <c r="A16894" t="s">
        <v>39493</v>
      </c>
      <c r="B16894" t="s">
        <v>11004</v>
      </c>
      <c r="C16894" t="s">
        <v>11003</v>
      </c>
      <c r="D16894" t="s">
        <v>10927</v>
      </c>
      <c r="E16894" t="s">
        <v>10928</v>
      </c>
      <c r="F16894" t="s">
        <v>3670</v>
      </c>
      <c r="G16894" t="s">
        <v>48515</v>
      </c>
      <c r="H16894" t="s">
        <v>47153</v>
      </c>
      <c r="I16894" t="s">
        <v>47132</v>
      </c>
      <c r="J16894" t="s">
        <v>47133</v>
      </c>
      <c r="K16894" t="s">
        <v>47113</v>
      </c>
      <c r="L16894">
        <v>40.299999999999997</v>
      </c>
      <c r="M16894">
        <v>70</v>
      </c>
      <c r="N16894">
        <v>0</v>
      </c>
      <c r="O16894">
        <v>70</v>
      </c>
      <c r="P16894">
        <v>0</v>
      </c>
    </row>
    <row r="16895" spans="1:16" x14ac:dyDescent="0.25">
      <c r="A16895" t="s">
        <v>39494</v>
      </c>
      <c r="B16895" t="s">
        <v>11005</v>
      </c>
      <c r="C16895" t="s">
        <v>11006</v>
      </c>
      <c r="D16895" t="str">
        <f>"1001"</f>
        <v>1001</v>
      </c>
      <c r="E16895" t="s">
        <v>42</v>
      </c>
      <c r="F16895" t="s">
        <v>3670</v>
      </c>
      <c r="G16895" t="s">
        <v>47098</v>
      </c>
      <c r="H16895" t="s">
        <v>47126</v>
      </c>
      <c r="I16895" t="s">
        <v>47120</v>
      </c>
      <c r="J16895" t="s">
        <v>47121</v>
      </c>
      <c r="K16895" t="s">
        <v>47113</v>
      </c>
      <c r="L16895">
        <v>127.89</v>
      </c>
      <c r="M16895">
        <v>380</v>
      </c>
      <c r="N16895">
        <v>0</v>
      </c>
      <c r="O16895">
        <v>380</v>
      </c>
      <c r="P16895">
        <v>0</v>
      </c>
    </row>
    <row r="16896" spans="1:16" x14ac:dyDescent="0.25">
      <c r="A16896" t="s">
        <v>39495</v>
      </c>
      <c r="B16896" t="s">
        <v>11007</v>
      </c>
      <c r="C16896" t="s">
        <v>11008</v>
      </c>
      <c r="D16896" t="str">
        <f>"1001"</f>
        <v>1001</v>
      </c>
      <c r="E16896" t="s">
        <v>42</v>
      </c>
      <c r="F16896" t="s">
        <v>3670</v>
      </c>
      <c r="G16896" t="s">
        <v>47098</v>
      </c>
      <c r="H16896" t="s">
        <v>47126</v>
      </c>
      <c r="I16896" t="s">
        <v>47120</v>
      </c>
      <c r="J16896" t="s">
        <v>47121</v>
      </c>
      <c r="K16896" t="s">
        <v>47113</v>
      </c>
      <c r="L16896">
        <v>50.53</v>
      </c>
      <c r="M16896">
        <v>150</v>
      </c>
      <c r="N16896">
        <v>0</v>
      </c>
      <c r="O16896">
        <v>150</v>
      </c>
      <c r="P16896">
        <v>0</v>
      </c>
    </row>
    <row r="16897" spans="1:16" x14ac:dyDescent="0.25">
      <c r="A16897" t="s">
        <v>39496</v>
      </c>
      <c r="B16897" t="s">
        <v>11007</v>
      </c>
      <c r="C16897" t="s">
        <v>11008</v>
      </c>
      <c r="D16897" t="str">
        <f>"2504"</f>
        <v>2504</v>
      </c>
      <c r="E16897" t="s">
        <v>9708</v>
      </c>
      <c r="F16897" t="s">
        <v>3670</v>
      </c>
      <c r="G16897" t="s">
        <v>47098</v>
      </c>
      <c r="H16897" t="s">
        <v>47126</v>
      </c>
      <c r="I16897" t="s">
        <v>47120</v>
      </c>
      <c r="J16897" t="s">
        <v>47121</v>
      </c>
      <c r="K16897" t="s">
        <v>47113</v>
      </c>
      <c r="L16897">
        <v>50.53</v>
      </c>
      <c r="M16897">
        <v>150</v>
      </c>
      <c r="N16897">
        <v>0</v>
      </c>
      <c r="O16897">
        <v>150</v>
      </c>
      <c r="P16897">
        <v>0</v>
      </c>
    </row>
    <row r="16898" spans="1:16" x14ac:dyDescent="0.25">
      <c r="A16898" t="s">
        <v>39497</v>
      </c>
      <c r="B16898" t="s">
        <v>11007</v>
      </c>
      <c r="C16898" t="s">
        <v>11008</v>
      </c>
      <c r="D16898" t="str">
        <f>"4522"</f>
        <v>4522</v>
      </c>
      <c r="E16898" t="s">
        <v>11009</v>
      </c>
      <c r="F16898" t="s">
        <v>3670</v>
      </c>
      <c r="G16898" t="s">
        <v>47098</v>
      </c>
      <c r="H16898" t="s">
        <v>47126</v>
      </c>
      <c r="I16898" t="s">
        <v>47120</v>
      </c>
      <c r="J16898" t="s">
        <v>47121</v>
      </c>
      <c r="K16898" t="s">
        <v>47113</v>
      </c>
      <c r="L16898">
        <v>50.53</v>
      </c>
      <c r="M16898">
        <v>150</v>
      </c>
      <c r="N16898">
        <v>0</v>
      </c>
      <c r="O16898">
        <v>150</v>
      </c>
      <c r="P16898">
        <v>0</v>
      </c>
    </row>
    <row r="16899" spans="1:16" x14ac:dyDescent="0.25">
      <c r="A16899" t="s">
        <v>39498</v>
      </c>
      <c r="B16899" t="s">
        <v>11007</v>
      </c>
      <c r="C16899" t="s">
        <v>11008</v>
      </c>
      <c r="D16899" t="str">
        <f>"6081"</f>
        <v>6081</v>
      </c>
      <c r="E16899" t="s">
        <v>11010</v>
      </c>
      <c r="F16899" t="s">
        <v>3670</v>
      </c>
      <c r="G16899" t="s">
        <v>47098</v>
      </c>
      <c r="H16899" t="s">
        <v>47126</v>
      </c>
      <c r="I16899" t="s">
        <v>47120</v>
      </c>
      <c r="J16899" t="s">
        <v>47121</v>
      </c>
      <c r="K16899" t="s">
        <v>47113</v>
      </c>
      <c r="L16899">
        <v>50.53</v>
      </c>
      <c r="M16899">
        <v>150</v>
      </c>
      <c r="N16899">
        <v>0</v>
      </c>
      <c r="O16899">
        <v>150</v>
      </c>
      <c r="P16899">
        <v>0</v>
      </c>
    </row>
    <row r="16900" spans="1:16" x14ac:dyDescent="0.25">
      <c r="A16900" t="s">
        <v>39499</v>
      </c>
      <c r="B16900" t="s">
        <v>11011</v>
      </c>
      <c r="C16900" t="s">
        <v>463</v>
      </c>
      <c r="D16900" t="s">
        <v>11012</v>
      </c>
      <c r="E16900" t="s">
        <v>11013</v>
      </c>
      <c r="F16900" t="s">
        <v>3670</v>
      </c>
      <c r="G16900" t="s">
        <v>47101</v>
      </c>
      <c r="H16900" t="s">
        <v>47153</v>
      </c>
      <c r="I16900" t="s">
        <v>47132</v>
      </c>
      <c r="J16900" t="s">
        <v>47133</v>
      </c>
      <c r="K16900" t="s">
        <v>47113</v>
      </c>
      <c r="L16900">
        <v>59.73</v>
      </c>
      <c r="M16900">
        <v>92</v>
      </c>
      <c r="N16900">
        <v>0</v>
      </c>
      <c r="O16900">
        <v>92</v>
      </c>
      <c r="P16900">
        <v>0</v>
      </c>
    </row>
    <row r="16901" spans="1:16" x14ac:dyDescent="0.25">
      <c r="A16901" t="s">
        <v>39500</v>
      </c>
      <c r="B16901" t="s">
        <v>11014</v>
      </c>
      <c r="C16901" t="s">
        <v>463</v>
      </c>
      <c r="D16901" t="s">
        <v>11015</v>
      </c>
      <c r="E16901" t="s">
        <v>11016</v>
      </c>
      <c r="F16901" t="s">
        <v>3670</v>
      </c>
      <c r="G16901" t="s">
        <v>47101</v>
      </c>
      <c r="H16901" t="s">
        <v>47153</v>
      </c>
      <c r="I16901" t="s">
        <v>47132</v>
      </c>
      <c r="J16901" t="s">
        <v>47133</v>
      </c>
      <c r="K16901" t="s">
        <v>47113</v>
      </c>
      <c r="L16901">
        <v>58.56</v>
      </c>
      <c r="M16901">
        <v>92</v>
      </c>
      <c r="N16901">
        <v>0</v>
      </c>
      <c r="O16901">
        <v>92</v>
      </c>
      <c r="P16901">
        <v>0</v>
      </c>
    </row>
    <row r="16902" spans="1:16" x14ac:dyDescent="0.25">
      <c r="A16902" t="s">
        <v>39501</v>
      </c>
      <c r="B16902" t="s">
        <v>11017</v>
      </c>
      <c r="C16902" t="s">
        <v>11018</v>
      </c>
      <c r="D16902" t="str">
        <f>"1106"</f>
        <v>1106</v>
      </c>
      <c r="E16902" t="s">
        <v>460</v>
      </c>
      <c r="F16902" t="s">
        <v>3670</v>
      </c>
      <c r="G16902" t="s">
        <v>47096</v>
      </c>
      <c r="H16902" t="s">
        <v>47126</v>
      </c>
      <c r="I16902" t="s">
        <v>47127</v>
      </c>
      <c r="J16902" t="s">
        <v>47128</v>
      </c>
      <c r="K16902" t="s">
        <v>47113</v>
      </c>
      <c r="L16902">
        <v>31.4</v>
      </c>
      <c r="M16902">
        <v>55</v>
      </c>
      <c r="N16902">
        <v>0</v>
      </c>
      <c r="O16902">
        <v>55</v>
      </c>
      <c r="P16902">
        <v>0</v>
      </c>
    </row>
    <row r="16903" spans="1:16" x14ac:dyDescent="0.25">
      <c r="A16903" t="s">
        <v>39502</v>
      </c>
      <c r="B16903" t="s">
        <v>11017</v>
      </c>
      <c r="C16903" t="s">
        <v>11018</v>
      </c>
      <c r="D16903" t="str">
        <f>"1377"</f>
        <v>1377</v>
      </c>
      <c r="E16903" t="s">
        <v>74</v>
      </c>
      <c r="F16903" t="s">
        <v>3670</v>
      </c>
      <c r="G16903" t="s">
        <v>47096</v>
      </c>
      <c r="H16903" t="s">
        <v>47126</v>
      </c>
      <c r="I16903" t="s">
        <v>47127</v>
      </c>
      <c r="J16903" t="s">
        <v>47128</v>
      </c>
      <c r="K16903" t="s">
        <v>47113</v>
      </c>
      <c r="L16903">
        <v>31.4</v>
      </c>
      <c r="M16903">
        <v>55</v>
      </c>
      <c r="N16903">
        <v>0</v>
      </c>
      <c r="O16903">
        <v>55</v>
      </c>
      <c r="P16903">
        <v>0</v>
      </c>
    </row>
    <row r="16904" spans="1:16" x14ac:dyDescent="0.25">
      <c r="A16904" t="s">
        <v>39503</v>
      </c>
      <c r="B16904" t="s">
        <v>11017</v>
      </c>
      <c r="C16904" t="s">
        <v>11018</v>
      </c>
      <c r="D16904" t="str">
        <f>"1378"</f>
        <v>1378</v>
      </c>
      <c r="E16904" t="s">
        <v>388</v>
      </c>
      <c r="F16904" t="s">
        <v>3670</v>
      </c>
      <c r="G16904" t="s">
        <v>47096</v>
      </c>
      <c r="H16904" t="s">
        <v>47126</v>
      </c>
      <c r="I16904" t="s">
        <v>47127</v>
      </c>
      <c r="J16904" t="s">
        <v>47128</v>
      </c>
      <c r="K16904" t="s">
        <v>47113</v>
      </c>
      <c r="L16904">
        <v>31.4</v>
      </c>
      <c r="M16904">
        <v>55</v>
      </c>
      <c r="N16904">
        <v>0</v>
      </c>
      <c r="O16904">
        <v>55</v>
      </c>
      <c r="P16904">
        <v>0</v>
      </c>
    </row>
    <row r="16905" spans="1:16" x14ac:dyDescent="0.25">
      <c r="A16905" t="s">
        <v>39504</v>
      </c>
      <c r="B16905" t="s">
        <v>11017</v>
      </c>
      <c r="C16905" t="s">
        <v>11018</v>
      </c>
      <c r="D16905" t="str">
        <f>"1403"</f>
        <v>1403</v>
      </c>
      <c r="E16905" t="s">
        <v>224</v>
      </c>
      <c r="F16905" t="s">
        <v>3670</v>
      </c>
      <c r="G16905" t="s">
        <v>47096</v>
      </c>
      <c r="H16905" t="s">
        <v>47126</v>
      </c>
      <c r="I16905" t="s">
        <v>47127</v>
      </c>
      <c r="J16905" t="s">
        <v>47128</v>
      </c>
      <c r="K16905" t="s">
        <v>47113</v>
      </c>
      <c r="L16905">
        <v>31.4</v>
      </c>
      <c r="M16905">
        <v>55</v>
      </c>
      <c r="N16905">
        <v>0</v>
      </c>
      <c r="O16905">
        <v>55</v>
      </c>
      <c r="P16905">
        <v>0</v>
      </c>
    </row>
    <row r="16906" spans="1:16" x14ac:dyDescent="0.25">
      <c r="A16906" t="s">
        <v>39505</v>
      </c>
      <c r="B16906" t="s">
        <v>11017</v>
      </c>
      <c r="C16906" t="s">
        <v>11018</v>
      </c>
      <c r="D16906" t="str">
        <f>"4753"</f>
        <v>4753</v>
      </c>
      <c r="E16906" t="s">
        <v>3755</v>
      </c>
      <c r="F16906" t="s">
        <v>3670</v>
      </c>
      <c r="G16906" t="s">
        <v>47096</v>
      </c>
      <c r="H16906" t="s">
        <v>47126</v>
      </c>
      <c r="I16906" t="s">
        <v>47127</v>
      </c>
      <c r="J16906" t="s">
        <v>47128</v>
      </c>
      <c r="K16906" t="s">
        <v>47113</v>
      </c>
      <c r="L16906">
        <v>31.4</v>
      </c>
      <c r="M16906">
        <v>55</v>
      </c>
      <c r="N16906">
        <v>0</v>
      </c>
      <c r="O16906">
        <v>55</v>
      </c>
      <c r="P16906">
        <v>0</v>
      </c>
    </row>
    <row r="16907" spans="1:16" x14ac:dyDescent="0.25">
      <c r="A16907" t="s">
        <v>39506</v>
      </c>
      <c r="B16907" t="s">
        <v>11017</v>
      </c>
      <c r="C16907" t="s">
        <v>11018</v>
      </c>
      <c r="D16907" t="str">
        <f>"6500"</f>
        <v>6500</v>
      </c>
      <c r="E16907" t="s">
        <v>151</v>
      </c>
      <c r="F16907" t="s">
        <v>3670</v>
      </c>
      <c r="G16907" t="s">
        <v>47096</v>
      </c>
      <c r="H16907" t="s">
        <v>47126</v>
      </c>
      <c r="I16907" t="s">
        <v>47127</v>
      </c>
      <c r="J16907" t="s">
        <v>47128</v>
      </c>
      <c r="K16907" t="s">
        <v>47113</v>
      </c>
      <c r="L16907">
        <v>31.4</v>
      </c>
      <c r="M16907">
        <v>55</v>
      </c>
      <c r="N16907">
        <v>0</v>
      </c>
      <c r="O16907">
        <v>55</v>
      </c>
      <c r="P16907">
        <v>0</v>
      </c>
    </row>
    <row r="16908" spans="1:16" x14ac:dyDescent="0.25">
      <c r="A16908" t="s">
        <v>39507</v>
      </c>
      <c r="B16908" t="s">
        <v>11017</v>
      </c>
      <c r="C16908" t="s">
        <v>11018</v>
      </c>
      <c r="D16908" t="str">
        <f>"8039"</f>
        <v>8039</v>
      </c>
      <c r="E16908" t="s">
        <v>4631</v>
      </c>
      <c r="F16908" t="s">
        <v>3670</v>
      </c>
      <c r="G16908" t="s">
        <v>47096</v>
      </c>
      <c r="H16908" t="s">
        <v>47126</v>
      </c>
      <c r="I16908" t="s">
        <v>47127</v>
      </c>
      <c r="J16908" t="s">
        <v>47128</v>
      </c>
      <c r="K16908" t="s">
        <v>47113</v>
      </c>
      <c r="L16908">
        <v>31.4</v>
      </c>
      <c r="M16908">
        <v>55</v>
      </c>
      <c r="N16908">
        <v>0</v>
      </c>
      <c r="O16908">
        <v>55</v>
      </c>
      <c r="P16908">
        <v>0</v>
      </c>
    </row>
    <row r="16909" spans="1:16" x14ac:dyDescent="0.25">
      <c r="A16909" t="s">
        <v>39508</v>
      </c>
      <c r="B16909" t="s">
        <v>11019</v>
      </c>
      <c r="C16909" t="s">
        <v>11020</v>
      </c>
      <c r="D16909" t="str">
        <f>"1106"</f>
        <v>1106</v>
      </c>
      <c r="E16909" t="s">
        <v>460</v>
      </c>
      <c r="F16909" t="s">
        <v>3670</v>
      </c>
      <c r="G16909" t="s">
        <v>47096</v>
      </c>
      <c r="H16909" t="s">
        <v>47126</v>
      </c>
      <c r="I16909" t="s">
        <v>47127</v>
      </c>
      <c r="J16909" t="s">
        <v>47128</v>
      </c>
      <c r="K16909" t="s">
        <v>47113</v>
      </c>
      <c r="L16909">
        <v>32.6</v>
      </c>
      <c r="M16909">
        <v>55</v>
      </c>
      <c r="N16909">
        <v>0</v>
      </c>
      <c r="O16909">
        <v>55</v>
      </c>
      <c r="P16909">
        <v>0</v>
      </c>
    </row>
    <row r="16910" spans="1:16" x14ac:dyDescent="0.25">
      <c r="A16910" t="s">
        <v>39509</v>
      </c>
      <c r="B16910" t="s">
        <v>11019</v>
      </c>
      <c r="C16910" t="s">
        <v>11020</v>
      </c>
      <c r="D16910" t="str">
        <f>"1377"</f>
        <v>1377</v>
      </c>
      <c r="E16910" t="s">
        <v>74</v>
      </c>
      <c r="F16910" t="s">
        <v>3670</v>
      </c>
      <c r="G16910" t="s">
        <v>47096</v>
      </c>
      <c r="H16910" t="s">
        <v>47126</v>
      </c>
      <c r="I16910" t="s">
        <v>47127</v>
      </c>
      <c r="J16910" t="s">
        <v>47128</v>
      </c>
      <c r="K16910" t="s">
        <v>47113</v>
      </c>
      <c r="L16910">
        <v>32.6</v>
      </c>
      <c r="M16910">
        <v>55</v>
      </c>
      <c r="N16910">
        <v>0</v>
      </c>
      <c r="O16910">
        <v>55</v>
      </c>
      <c r="P16910">
        <v>0</v>
      </c>
    </row>
    <row r="16911" spans="1:16" x14ac:dyDescent="0.25">
      <c r="A16911" t="s">
        <v>39510</v>
      </c>
      <c r="B16911" t="s">
        <v>11019</v>
      </c>
      <c r="C16911" t="s">
        <v>11020</v>
      </c>
      <c r="D16911" t="str">
        <f>"1378"</f>
        <v>1378</v>
      </c>
      <c r="E16911" t="s">
        <v>388</v>
      </c>
      <c r="F16911" t="s">
        <v>3670</v>
      </c>
      <c r="G16911" t="s">
        <v>47096</v>
      </c>
      <c r="H16911" t="s">
        <v>47126</v>
      </c>
      <c r="I16911" t="s">
        <v>47127</v>
      </c>
      <c r="J16911" t="s">
        <v>47128</v>
      </c>
      <c r="K16911" t="s">
        <v>47113</v>
      </c>
      <c r="L16911">
        <v>32.6</v>
      </c>
      <c r="M16911">
        <v>55</v>
      </c>
      <c r="N16911">
        <v>0</v>
      </c>
      <c r="O16911">
        <v>55</v>
      </c>
      <c r="P16911">
        <v>0</v>
      </c>
    </row>
    <row r="16912" spans="1:16" x14ac:dyDescent="0.25">
      <c r="A16912" t="s">
        <v>39511</v>
      </c>
      <c r="B16912" t="s">
        <v>11019</v>
      </c>
      <c r="C16912" t="s">
        <v>11020</v>
      </c>
      <c r="D16912" t="str">
        <f>"1403"</f>
        <v>1403</v>
      </c>
      <c r="E16912" t="s">
        <v>224</v>
      </c>
      <c r="F16912" t="s">
        <v>3670</v>
      </c>
      <c r="G16912" t="s">
        <v>47096</v>
      </c>
      <c r="H16912" t="s">
        <v>47126</v>
      </c>
      <c r="I16912" t="s">
        <v>47127</v>
      </c>
      <c r="J16912" t="s">
        <v>47128</v>
      </c>
      <c r="K16912" t="s">
        <v>47113</v>
      </c>
      <c r="L16912">
        <v>32.6</v>
      </c>
      <c r="M16912">
        <v>55</v>
      </c>
      <c r="N16912">
        <v>0</v>
      </c>
      <c r="O16912">
        <v>55</v>
      </c>
      <c r="P16912">
        <v>0</v>
      </c>
    </row>
    <row r="16913" spans="1:16" x14ac:dyDescent="0.25">
      <c r="A16913" t="s">
        <v>39512</v>
      </c>
      <c r="B16913" t="s">
        <v>11019</v>
      </c>
      <c r="C16913" t="s">
        <v>11020</v>
      </c>
      <c r="D16913" t="str">
        <f>"4753"</f>
        <v>4753</v>
      </c>
      <c r="E16913" t="s">
        <v>3755</v>
      </c>
      <c r="F16913" t="s">
        <v>3670</v>
      </c>
      <c r="G16913" t="s">
        <v>47096</v>
      </c>
      <c r="H16913" t="s">
        <v>47126</v>
      </c>
      <c r="I16913" t="s">
        <v>47127</v>
      </c>
      <c r="J16913" t="s">
        <v>47128</v>
      </c>
      <c r="K16913" t="s">
        <v>47113</v>
      </c>
      <c r="L16913">
        <v>32.6</v>
      </c>
      <c r="M16913">
        <v>55</v>
      </c>
      <c r="N16913">
        <v>0</v>
      </c>
      <c r="O16913">
        <v>55</v>
      </c>
      <c r="P16913">
        <v>0</v>
      </c>
    </row>
    <row r="16914" spans="1:16" x14ac:dyDescent="0.25">
      <c r="A16914" t="s">
        <v>39513</v>
      </c>
      <c r="B16914" t="s">
        <v>11019</v>
      </c>
      <c r="C16914" t="s">
        <v>11020</v>
      </c>
      <c r="D16914" t="str">
        <f>"6500"</f>
        <v>6500</v>
      </c>
      <c r="E16914" t="s">
        <v>151</v>
      </c>
      <c r="F16914" t="s">
        <v>3670</v>
      </c>
      <c r="G16914" t="s">
        <v>47096</v>
      </c>
      <c r="H16914" t="s">
        <v>47126</v>
      </c>
      <c r="I16914" t="s">
        <v>47127</v>
      </c>
      <c r="J16914" t="s">
        <v>47128</v>
      </c>
      <c r="K16914" t="s">
        <v>47113</v>
      </c>
      <c r="L16914">
        <v>32.6</v>
      </c>
      <c r="M16914">
        <v>55</v>
      </c>
      <c r="N16914">
        <v>0</v>
      </c>
      <c r="O16914">
        <v>55</v>
      </c>
      <c r="P16914">
        <v>0</v>
      </c>
    </row>
    <row r="16915" spans="1:16" x14ac:dyDescent="0.25">
      <c r="A16915" t="s">
        <v>39514</v>
      </c>
      <c r="B16915" t="s">
        <v>11019</v>
      </c>
      <c r="C16915" t="s">
        <v>11020</v>
      </c>
      <c r="D16915" t="str">
        <f>"8039"</f>
        <v>8039</v>
      </c>
      <c r="E16915" t="s">
        <v>4631</v>
      </c>
      <c r="F16915" t="s">
        <v>3670</v>
      </c>
      <c r="G16915" t="s">
        <v>47096</v>
      </c>
      <c r="H16915" t="s">
        <v>47126</v>
      </c>
      <c r="I16915" t="s">
        <v>47127</v>
      </c>
      <c r="J16915" t="s">
        <v>47128</v>
      </c>
      <c r="K16915" t="s">
        <v>47113</v>
      </c>
      <c r="L16915">
        <v>32.6</v>
      </c>
      <c r="M16915">
        <v>55</v>
      </c>
      <c r="N16915">
        <v>0</v>
      </c>
      <c r="O16915">
        <v>55</v>
      </c>
      <c r="P16915">
        <v>0</v>
      </c>
    </row>
    <row r="16916" spans="1:16" x14ac:dyDescent="0.25">
      <c r="A16916" t="s">
        <v>39515</v>
      </c>
      <c r="B16916" t="s">
        <v>11021</v>
      </c>
      <c r="C16916" t="s">
        <v>11022</v>
      </c>
      <c r="D16916" t="str">
        <f>"1106"</f>
        <v>1106</v>
      </c>
      <c r="E16916" t="s">
        <v>460</v>
      </c>
      <c r="F16916" t="s">
        <v>3670</v>
      </c>
      <c r="G16916" t="s">
        <v>47091</v>
      </c>
      <c r="H16916" t="s">
        <v>47126</v>
      </c>
      <c r="I16916" t="s">
        <v>47127</v>
      </c>
      <c r="J16916" t="s">
        <v>47128</v>
      </c>
      <c r="K16916" t="s">
        <v>47113</v>
      </c>
      <c r="L16916">
        <v>11.34</v>
      </c>
      <c r="M16916">
        <v>24</v>
      </c>
      <c r="N16916">
        <v>0</v>
      </c>
      <c r="O16916">
        <v>24</v>
      </c>
      <c r="P16916">
        <v>0</v>
      </c>
    </row>
    <row r="16917" spans="1:16" x14ac:dyDescent="0.25">
      <c r="A16917" t="s">
        <v>39516</v>
      </c>
      <c r="B16917" t="s">
        <v>11021</v>
      </c>
      <c r="C16917" t="s">
        <v>11022</v>
      </c>
      <c r="D16917" t="str">
        <f>"1303"</f>
        <v>1303</v>
      </c>
      <c r="E16917" t="s">
        <v>4630</v>
      </c>
      <c r="F16917" t="s">
        <v>3670</v>
      </c>
      <c r="G16917" t="s">
        <v>47091</v>
      </c>
      <c r="H16917" t="s">
        <v>47126</v>
      </c>
      <c r="I16917" t="s">
        <v>47127</v>
      </c>
      <c r="J16917" t="s">
        <v>47128</v>
      </c>
      <c r="K16917" t="s">
        <v>47113</v>
      </c>
      <c r="L16917">
        <v>11.34</v>
      </c>
      <c r="M16917">
        <v>24</v>
      </c>
      <c r="N16917">
        <v>0</v>
      </c>
      <c r="O16917">
        <v>24</v>
      </c>
      <c r="P16917">
        <v>0</v>
      </c>
    </row>
    <row r="16918" spans="1:16" x14ac:dyDescent="0.25">
      <c r="A16918" t="s">
        <v>39517</v>
      </c>
      <c r="B16918" t="s">
        <v>11021</v>
      </c>
      <c r="C16918" t="s">
        <v>11022</v>
      </c>
      <c r="D16918" t="str">
        <f>"1377"</f>
        <v>1377</v>
      </c>
      <c r="E16918" t="s">
        <v>74</v>
      </c>
      <c r="F16918" t="s">
        <v>3670</v>
      </c>
      <c r="G16918" t="s">
        <v>47091</v>
      </c>
      <c r="H16918" t="s">
        <v>47126</v>
      </c>
      <c r="I16918" t="s">
        <v>47127</v>
      </c>
      <c r="J16918" t="s">
        <v>47128</v>
      </c>
      <c r="K16918" t="s">
        <v>47113</v>
      </c>
      <c r="L16918">
        <v>11.34</v>
      </c>
      <c r="M16918">
        <v>24</v>
      </c>
      <c r="N16918">
        <v>0</v>
      </c>
      <c r="O16918">
        <v>24</v>
      </c>
      <c r="P16918">
        <v>0</v>
      </c>
    </row>
    <row r="16919" spans="1:16" x14ac:dyDescent="0.25">
      <c r="A16919" t="s">
        <v>39518</v>
      </c>
      <c r="B16919" t="s">
        <v>11021</v>
      </c>
      <c r="C16919" t="s">
        <v>11022</v>
      </c>
      <c r="D16919" t="str">
        <f>"1403"</f>
        <v>1403</v>
      </c>
      <c r="E16919" t="s">
        <v>224</v>
      </c>
      <c r="F16919" t="s">
        <v>3670</v>
      </c>
      <c r="G16919" t="s">
        <v>47091</v>
      </c>
      <c r="H16919" t="s">
        <v>47126</v>
      </c>
      <c r="I16919" t="s">
        <v>47127</v>
      </c>
      <c r="J16919" t="s">
        <v>47128</v>
      </c>
      <c r="K16919" t="s">
        <v>47113</v>
      </c>
      <c r="L16919">
        <v>11.34</v>
      </c>
      <c r="M16919">
        <v>24</v>
      </c>
      <c r="N16919">
        <v>0</v>
      </c>
      <c r="O16919">
        <v>24</v>
      </c>
      <c r="P16919">
        <v>0</v>
      </c>
    </row>
    <row r="16920" spans="1:16" x14ac:dyDescent="0.25">
      <c r="A16920" t="s">
        <v>39519</v>
      </c>
      <c r="B16920" t="s">
        <v>11021</v>
      </c>
      <c r="C16920" t="s">
        <v>11022</v>
      </c>
      <c r="D16920" t="str">
        <f>"1700"</f>
        <v>1700</v>
      </c>
      <c r="E16920" t="s">
        <v>60</v>
      </c>
      <c r="F16920" t="s">
        <v>3670</v>
      </c>
      <c r="G16920" t="s">
        <v>47091</v>
      </c>
      <c r="H16920" t="s">
        <v>47126</v>
      </c>
      <c r="I16920" t="s">
        <v>47127</v>
      </c>
      <c r="J16920" t="s">
        <v>47128</v>
      </c>
      <c r="K16920" t="s">
        <v>47113</v>
      </c>
      <c r="L16920">
        <v>11.34</v>
      </c>
      <c r="M16920">
        <v>24</v>
      </c>
      <c r="N16920">
        <v>0</v>
      </c>
      <c r="O16920">
        <v>24</v>
      </c>
      <c r="P16920">
        <v>0</v>
      </c>
    </row>
    <row r="16921" spans="1:16" x14ac:dyDescent="0.25">
      <c r="A16921" t="s">
        <v>39520</v>
      </c>
      <c r="B16921" t="s">
        <v>11021</v>
      </c>
      <c r="C16921" t="s">
        <v>11022</v>
      </c>
      <c r="D16921" t="str">
        <f>"3501"</f>
        <v>3501</v>
      </c>
      <c r="E16921" t="s">
        <v>3758</v>
      </c>
      <c r="F16921" t="s">
        <v>3670</v>
      </c>
      <c r="G16921" t="s">
        <v>47091</v>
      </c>
      <c r="H16921" t="s">
        <v>47126</v>
      </c>
      <c r="I16921" t="s">
        <v>47127</v>
      </c>
      <c r="J16921" t="s">
        <v>47128</v>
      </c>
      <c r="K16921" t="s">
        <v>47113</v>
      </c>
      <c r="L16921">
        <v>11.34</v>
      </c>
      <c r="M16921">
        <v>24</v>
      </c>
      <c r="N16921">
        <v>0</v>
      </c>
      <c r="O16921">
        <v>24</v>
      </c>
      <c r="P16921">
        <v>0</v>
      </c>
    </row>
    <row r="16922" spans="1:16" x14ac:dyDescent="0.25">
      <c r="A16922" t="s">
        <v>39521</v>
      </c>
      <c r="B16922" t="s">
        <v>11021</v>
      </c>
      <c r="C16922" t="s">
        <v>11022</v>
      </c>
      <c r="D16922" t="str">
        <f>"4643"</f>
        <v>4643</v>
      </c>
      <c r="E16922" t="s">
        <v>205</v>
      </c>
      <c r="F16922" t="s">
        <v>3670</v>
      </c>
      <c r="G16922" t="s">
        <v>47091</v>
      </c>
      <c r="H16922" t="s">
        <v>47126</v>
      </c>
      <c r="I16922" t="s">
        <v>47127</v>
      </c>
      <c r="J16922" t="s">
        <v>47128</v>
      </c>
      <c r="K16922" t="s">
        <v>47113</v>
      </c>
      <c r="L16922">
        <v>11.34</v>
      </c>
      <c r="M16922">
        <v>24</v>
      </c>
      <c r="N16922">
        <v>0</v>
      </c>
      <c r="O16922">
        <v>24</v>
      </c>
      <c r="P16922">
        <v>0</v>
      </c>
    </row>
    <row r="16923" spans="1:16" x14ac:dyDescent="0.25">
      <c r="A16923" t="s">
        <v>39522</v>
      </c>
      <c r="B16923" t="s">
        <v>11021</v>
      </c>
      <c r="C16923" t="s">
        <v>11022</v>
      </c>
      <c r="D16923" t="str">
        <f>"4753"</f>
        <v>4753</v>
      </c>
      <c r="E16923" t="s">
        <v>3755</v>
      </c>
      <c r="F16923" t="s">
        <v>3670</v>
      </c>
      <c r="G16923" t="s">
        <v>47091</v>
      </c>
      <c r="H16923" t="s">
        <v>47126</v>
      </c>
      <c r="I16923" t="s">
        <v>47127</v>
      </c>
      <c r="J16923" t="s">
        <v>47128</v>
      </c>
      <c r="K16923" t="s">
        <v>47113</v>
      </c>
      <c r="L16923">
        <v>11.34</v>
      </c>
      <c r="M16923">
        <v>24</v>
      </c>
      <c r="N16923">
        <v>0</v>
      </c>
      <c r="O16923">
        <v>24</v>
      </c>
      <c r="P16923">
        <v>0</v>
      </c>
    </row>
    <row r="16924" spans="1:16" x14ac:dyDescent="0.25">
      <c r="A16924" t="s">
        <v>39523</v>
      </c>
      <c r="B16924" t="s">
        <v>11021</v>
      </c>
      <c r="C16924" t="s">
        <v>11022</v>
      </c>
      <c r="D16924" t="str">
        <f>"6500"</f>
        <v>6500</v>
      </c>
      <c r="E16924" t="s">
        <v>151</v>
      </c>
      <c r="F16924" t="s">
        <v>3670</v>
      </c>
      <c r="G16924" t="s">
        <v>47091</v>
      </c>
      <c r="H16924" t="s">
        <v>47126</v>
      </c>
      <c r="I16924" t="s">
        <v>47127</v>
      </c>
      <c r="J16924" t="s">
        <v>47128</v>
      </c>
      <c r="K16924" t="s">
        <v>47113</v>
      </c>
      <c r="L16924">
        <v>11.34</v>
      </c>
      <c r="M16924">
        <v>24</v>
      </c>
      <c r="N16924">
        <v>0</v>
      </c>
      <c r="O16924">
        <v>24</v>
      </c>
      <c r="P16924">
        <v>0</v>
      </c>
    </row>
    <row r="16925" spans="1:16" x14ac:dyDescent="0.25">
      <c r="A16925" t="s">
        <v>39524</v>
      </c>
      <c r="B16925" t="s">
        <v>11021</v>
      </c>
      <c r="C16925" t="s">
        <v>11022</v>
      </c>
      <c r="D16925" t="str">
        <f>"8039"</f>
        <v>8039</v>
      </c>
      <c r="E16925" t="s">
        <v>4631</v>
      </c>
      <c r="F16925" t="s">
        <v>3670</v>
      </c>
      <c r="G16925" t="s">
        <v>47091</v>
      </c>
      <c r="H16925" t="s">
        <v>47126</v>
      </c>
      <c r="I16925" t="s">
        <v>47127</v>
      </c>
      <c r="J16925" t="s">
        <v>47128</v>
      </c>
      <c r="K16925" t="s">
        <v>47113</v>
      </c>
      <c r="L16925">
        <v>11.34</v>
      </c>
      <c r="M16925">
        <v>24</v>
      </c>
      <c r="N16925">
        <v>0</v>
      </c>
      <c r="O16925">
        <v>24</v>
      </c>
      <c r="P16925">
        <v>0</v>
      </c>
    </row>
    <row r="16926" spans="1:16" x14ac:dyDescent="0.25">
      <c r="A16926" t="s">
        <v>39525</v>
      </c>
      <c r="B16926" t="s">
        <v>11023</v>
      </c>
      <c r="C16926" t="s">
        <v>11024</v>
      </c>
      <c r="D16926" t="str">
        <f>"1106"</f>
        <v>1106</v>
      </c>
      <c r="E16926" t="s">
        <v>460</v>
      </c>
      <c r="F16926" t="s">
        <v>3670</v>
      </c>
      <c r="G16926" t="s">
        <v>47091</v>
      </c>
      <c r="H16926" t="s">
        <v>47126</v>
      </c>
      <c r="I16926" t="s">
        <v>47127</v>
      </c>
      <c r="J16926" t="s">
        <v>47128</v>
      </c>
      <c r="K16926" t="s">
        <v>47113</v>
      </c>
      <c r="L16926">
        <v>13.01</v>
      </c>
      <c r="M16926">
        <v>24</v>
      </c>
      <c r="N16926">
        <v>0</v>
      </c>
      <c r="O16926">
        <v>24</v>
      </c>
      <c r="P16926">
        <v>0</v>
      </c>
    </row>
    <row r="16927" spans="1:16" x14ac:dyDescent="0.25">
      <c r="A16927" t="s">
        <v>39526</v>
      </c>
      <c r="B16927" t="s">
        <v>11023</v>
      </c>
      <c r="C16927" t="s">
        <v>11024</v>
      </c>
      <c r="D16927" t="str">
        <f>"1303"</f>
        <v>1303</v>
      </c>
      <c r="E16927" t="s">
        <v>4630</v>
      </c>
      <c r="F16927" t="s">
        <v>3670</v>
      </c>
      <c r="G16927" t="s">
        <v>47091</v>
      </c>
      <c r="H16927" t="s">
        <v>47126</v>
      </c>
      <c r="I16927" t="s">
        <v>47127</v>
      </c>
      <c r="J16927" t="s">
        <v>47128</v>
      </c>
      <c r="K16927" t="s">
        <v>47113</v>
      </c>
      <c r="L16927">
        <v>13.01</v>
      </c>
      <c r="M16927">
        <v>24</v>
      </c>
      <c r="N16927">
        <v>0</v>
      </c>
      <c r="O16927">
        <v>24</v>
      </c>
      <c r="P16927">
        <v>0</v>
      </c>
    </row>
    <row r="16928" spans="1:16" x14ac:dyDescent="0.25">
      <c r="A16928" t="s">
        <v>39527</v>
      </c>
      <c r="B16928" t="s">
        <v>11023</v>
      </c>
      <c r="C16928" t="s">
        <v>11024</v>
      </c>
      <c r="D16928" t="str">
        <f>"1377"</f>
        <v>1377</v>
      </c>
      <c r="E16928" t="s">
        <v>74</v>
      </c>
      <c r="F16928" t="s">
        <v>3670</v>
      </c>
      <c r="G16928" t="s">
        <v>47091</v>
      </c>
      <c r="H16928" t="s">
        <v>47126</v>
      </c>
      <c r="I16928" t="s">
        <v>47127</v>
      </c>
      <c r="J16928" t="s">
        <v>47128</v>
      </c>
      <c r="K16928" t="s">
        <v>47113</v>
      </c>
      <c r="L16928">
        <v>13.01</v>
      </c>
      <c r="M16928">
        <v>24</v>
      </c>
      <c r="N16928">
        <v>0</v>
      </c>
      <c r="O16928">
        <v>24</v>
      </c>
      <c r="P16928">
        <v>0</v>
      </c>
    </row>
    <row r="16929" spans="1:16" x14ac:dyDescent="0.25">
      <c r="A16929" t="s">
        <v>39528</v>
      </c>
      <c r="B16929" t="s">
        <v>11023</v>
      </c>
      <c r="C16929" t="s">
        <v>11024</v>
      </c>
      <c r="D16929" t="str">
        <f>"1403"</f>
        <v>1403</v>
      </c>
      <c r="E16929" t="s">
        <v>224</v>
      </c>
      <c r="F16929" t="s">
        <v>3670</v>
      </c>
      <c r="G16929" t="s">
        <v>47091</v>
      </c>
      <c r="H16929" t="s">
        <v>47126</v>
      </c>
      <c r="I16929" t="s">
        <v>47127</v>
      </c>
      <c r="J16929" t="s">
        <v>47128</v>
      </c>
      <c r="K16929" t="s">
        <v>47113</v>
      </c>
      <c r="L16929">
        <v>13.01</v>
      </c>
      <c r="M16929">
        <v>24</v>
      </c>
      <c r="N16929">
        <v>0</v>
      </c>
      <c r="O16929">
        <v>24</v>
      </c>
      <c r="P16929">
        <v>0</v>
      </c>
    </row>
    <row r="16930" spans="1:16" x14ac:dyDescent="0.25">
      <c r="A16930" t="s">
        <v>39529</v>
      </c>
      <c r="B16930" t="s">
        <v>11023</v>
      </c>
      <c r="C16930" t="s">
        <v>11024</v>
      </c>
      <c r="D16930" t="str">
        <f>"1700"</f>
        <v>1700</v>
      </c>
      <c r="E16930" t="s">
        <v>60</v>
      </c>
      <c r="F16930" t="s">
        <v>3670</v>
      </c>
      <c r="G16930" t="s">
        <v>47091</v>
      </c>
      <c r="H16930" t="s">
        <v>47126</v>
      </c>
      <c r="I16930" t="s">
        <v>47127</v>
      </c>
      <c r="J16930" t="s">
        <v>47128</v>
      </c>
      <c r="K16930" t="s">
        <v>47113</v>
      </c>
      <c r="L16930">
        <v>13.01</v>
      </c>
      <c r="M16930">
        <v>24</v>
      </c>
      <c r="N16930">
        <v>0</v>
      </c>
      <c r="O16930">
        <v>24</v>
      </c>
      <c r="P16930">
        <v>0</v>
      </c>
    </row>
    <row r="16931" spans="1:16" x14ac:dyDescent="0.25">
      <c r="A16931" t="s">
        <v>39530</v>
      </c>
      <c r="B16931" t="s">
        <v>11023</v>
      </c>
      <c r="C16931" t="s">
        <v>11024</v>
      </c>
      <c r="D16931" t="str">
        <f>"3501"</f>
        <v>3501</v>
      </c>
      <c r="E16931" t="s">
        <v>3758</v>
      </c>
      <c r="F16931" t="s">
        <v>3670</v>
      </c>
      <c r="G16931" t="s">
        <v>47091</v>
      </c>
      <c r="H16931" t="s">
        <v>47126</v>
      </c>
      <c r="I16931" t="s">
        <v>47127</v>
      </c>
      <c r="J16931" t="s">
        <v>47128</v>
      </c>
      <c r="K16931" t="s">
        <v>47113</v>
      </c>
      <c r="L16931">
        <v>13.01</v>
      </c>
      <c r="M16931">
        <v>24</v>
      </c>
      <c r="N16931">
        <v>0</v>
      </c>
      <c r="O16931">
        <v>24</v>
      </c>
      <c r="P16931">
        <v>0</v>
      </c>
    </row>
    <row r="16932" spans="1:16" x14ac:dyDescent="0.25">
      <c r="A16932" t="s">
        <v>39531</v>
      </c>
      <c r="B16932" t="s">
        <v>11023</v>
      </c>
      <c r="C16932" t="s">
        <v>11024</v>
      </c>
      <c r="D16932" t="str">
        <f>"4753"</f>
        <v>4753</v>
      </c>
      <c r="E16932" t="s">
        <v>3755</v>
      </c>
      <c r="F16932" t="s">
        <v>3670</v>
      </c>
      <c r="G16932" t="s">
        <v>47091</v>
      </c>
      <c r="H16932" t="s">
        <v>47126</v>
      </c>
      <c r="I16932" t="s">
        <v>47127</v>
      </c>
      <c r="J16932" t="s">
        <v>47128</v>
      </c>
      <c r="K16932" t="s">
        <v>47113</v>
      </c>
      <c r="L16932">
        <v>13.01</v>
      </c>
      <c r="M16932">
        <v>24</v>
      </c>
      <c r="N16932">
        <v>0</v>
      </c>
      <c r="O16932">
        <v>24</v>
      </c>
      <c r="P16932">
        <v>0</v>
      </c>
    </row>
    <row r="16933" spans="1:16" x14ac:dyDescent="0.25">
      <c r="A16933" t="s">
        <v>39532</v>
      </c>
      <c r="B16933" t="s">
        <v>11023</v>
      </c>
      <c r="C16933" t="s">
        <v>11024</v>
      </c>
      <c r="D16933" t="str">
        <f>"6500"</f>
        <v>6500</v>
      </c>
      <c r="E16933" t="s">
        <v>151</v>
      </c>
      <c r="F16933" t="s">
        <v>3670</v>
      </c>
      <c r="G16933" t="s">
        <v>47091</v>
      </c>
      <c r="H16933" t="s">
        <v>47126</v>
      </c>
      <c r="I16933" t="s">
        <v>47127</v>
      </c>
      <c r="J16933" t="s">
        <v>47128</v>
      </c>
      <c r="K16933" t="s">
        <v>47113</v>
      </c>
      <c r="L16933">
        <v>13.01</v>
      </c>
      <c r="M16933">
        <v>24</v>
      </c>
      <c r="N16933">
        <v>0</v>
      </c>
      <c r="O16933">
        <v>24</v>
      </c>
      <c r="P16933">
        <v>0</v>
      </c>
    </row>
    <row r="16934" spans="1:16" x14ac:dyDescent="0.25">
      <c r="A16934" t="s">
        <v>39533</v>
      </c>
      <c r="B16934" t="s">
        <v>11023</v>
      </c>
      <c r="C16934" t="s">
        <v>11024</v>
      </c>
      <c r="D16934" t="str">
        <f>"8039"</f>
        <v>8039</v>
      </c>
      <c r="E16934" t="s">
        <v>4631</v>
      </c>
      <c r="F16934" t="s">
        <v>3670</v>
      </c>
      <c r="G16934" t="s">
        <v>47091</v>
      </c>
      <c r="H16934" t="s">
        <v>47126</v>
      </c>
      <c r="I16934" t="s">
        <v>47127</v>
      </c>
      <c r="J16934" t="s">
        <v>47128</v>
      </c>
      <c r="K16934" t="s">
        <v>47113</v>
      </c>
      <c r="L16934">
        <v>13.01</v>
      </c>
      <c r="M16934">
        <v>24</v>
      </c>
      <c r="N16934">
        <v>0</v>
      </c>
      <c r="O16934">
        <v>24</v>
      </c>
      <c r="P16934">
        <v>0</v>
      </c>
    </row>
    <row r="16935" spans="1:16" x14ac:dyDescent="0.25">
      <c r="A16935" t="s">
        <v>39534</v>
      </c>
      <c r="B16935" t="s">
        <v>11025</v>
      </c>
      <c r="C16935" t="s">
        <v>11024</v>
      </c>
      <c r="D16935" t="str">
        <f>"1001"</f>
        <v>1001</v>
      </c>
      <c r="E16935" t="s">
        <v>42</v>
      </c>
      <c r="F16935" t="s">
        <v>3670</v>
      </c>
      <c r="G16935" t="s">
        <v>47091</v>
      </c>
      <c r="H16935" t="s">
        <v>47126</v>
      </c>
      <c r="I16935" t="s">
        <v>47127</v>
      </c>
      <c r="J16935" t="s">
        <v>47128</v>
      </c>
      <c r="K16935" t="s">
        <v>47113</v>
      </c>
      <c r="L16935">
        <v>13.01</v>
      </c>
      <c r="M16935">
        <v>24</v>
      </c>
      <c r="N16935">
        <v>0</v>
      </c>
      <c r="O16935">
        <v>24</v>
      </c>
      <c r="P16935">
        <v>0</v>
      </c>
    </row>
    <row r="16936" spans="1:16" x14ac:dyDescent="0.25">
      <c r="A16936" t="s">
        <v>39535</v>
      </c>
      <c r="B16936" t="s">
        <v>11025</v>
      </c>
      <c r="C16936" t="s">
        <v>11024</v>
      </c>
      <c r="D16936" t="str">
        <f>"1303"</f>
        <v>1303</v>
      </c>
      <c r="E16936" t="s">
        <v>4630</v>
      </c>
      <c r="F16936" t="s">
        <v>3670</v>
      </c>
      <c r="G16936" t="s">
        <v>47091</v>
      </c>
      <c r="H16936" t="s">
        <v>47126</v>
      </c>
      <c r="I16936" t="s">
        <v>47127</v>
      </c>
      <c r="J16936" t="s">
        <v>47128</v>
      </c>
      <c r="K16936" t="s">
        <v>47113</v>
      </c>
      <c r="L16936">
        <v>13.01</v>
      </c>
      <c r="M16936">
        <v>24</v>
      </c>
      <c r="N16936">
        <v>0</v>
      </c>
      <c r="O16936">
        <v>24</v>
      </c>
      <c r="P16936">
        <v>0</v>
      </c>
    </row>
    <row r="16937" spans="1:16" x14ac:dyDescent="0.25">
      <c r="A16937" t="s">
        <v>39536</v>
      </c>
      <c r="B16937" t="s">
        <v>11025</v>
      </c>
      <c r="C16937" t="s">
        <v>11024</v>
      </c>
      <c r="D16937" t="str">
        <f>"1377"</f>
        <v>1377</v>
      </c>
      <c r="E16937" t="s">
        <v>74</v>
      </c>
      <c r="F16937" t="s">
        <v>3670</v>
      </c>
      <c r="G16937" t="s">
        <v>47091</v>
      </c>
      <c r="H16937" t="s">
        <v>47126</v>
      </c>
      <c r="I16937" t="s">
        <v>47127</v>
      </c>
      <c r="J16937" t="s">
        <v>47128</v>
      </c>
      <c r="K16937" t="s">
        <v>47113</v>
      </c>
      <c r="L16937">
        <v>13.01</v>
      </c>
      <c r="M16937">
        <v>24</v>
      </c>
      <c r="N16937">
        <v>0</v>
      </c>
      <c r="O16937">
        <v>24</v>
      </c>
      <c r="P16937">
        <v>0</v>
      </c>
    </row>
    <row r="16938" spans="1:16" x14ac:dyDescent="0.25">
      <c r="A16938" t="s">
        <v>39537</v>
      </c>
      <c r="B16938" t="s">
        <v>11025</v>
      </c>
      <c r="C16938" t="s">
        <v>11024</v>
      </c>
      <c r="D16938" t="str">
        <f>"1378"</f>
        <v>1378</v>
      </c>
      <c r="E16938" t="s">
        <v>388</v>
      </c>
      <c r="F16938" t="s">
        <v>3670</v>
      </c>
      <c r="G16938" t="s">
        <v>47091</v>
      </c>
      <c r="H16938" t="s">
        <v>47126</v>
      </c>
      <c r="I16938" t="s">
        <v>47127</v>
      </c>
      <c r="J16938" t="s">
        <v>47128</v>
      </c>
      <c r="K16938" t="s">
        <v>47113</v>
      </c>
      <c r="L16938">
        <v>13.01</v>
      </c>
      <c r="M16938">
        <v>24</v>
      </c>
      <c r="N16938">
        <v>0</v>
      </c>
      <c r="O16938">
        <v>24</v>
      </c>
      <c r="P16938">
        <v>0</v>
      </c>
    </row>
    <row r="16939" spans="1:16" x14ac:dyDescent="0.25">
      <c r="A16939" t="s">
        <v>39538</v>
      </c>
      <c r="B16939" t="s">
        <v>11025</v>
      </c>
      <c r="C16939" t="s">
        <v>11024</v>
      </c>
      <c r="D16939" t="str">
        <f>"1403"</f>
        <v>1403</v>
      </c>
      <c r="E16939" t="s">
        <v>224</v>
      </c>
      <c r="F16939" t="s">
        <v>3670</v>
      </c>
      <c r="G16939" t="s">
        <v>47091</v>
      </c>
      <c r="H16939" t="s">
        <v>47126</v>
      </c>
      <c r="I16939" t="s">
        <v>47127</v>
      </c>
      <c r="J16939" t="s">
        <v>47128</v>
      </c>
      <c r="K16939" t="s">
        <v>47113</v>
      </c>
      <c r="L16939">
        <v>13.01</v>
      </c>
      <c r="M16939">
        <v>24</v>
      </c>
      <c r="N16939">
        <v>0</v>
      </c>
      <c r="O16939">
        <v>24</v>
      </c>
      <c r="P16939">
        <v>0</v>
      </c>
    </row>
    <row r="16940" spans="1:16" x14ac:dyDescent="0.25">
      <c r="A16940" t="s">
        <v>39539</v>
      </c>
      <c r="B16940" t="s">
        <v>11025</v>
      </c>
      <c r="C16940" t="s">
        <v>11024</v>
      </c>
      <c r="D16940" t="str">
        <f>"1700"</f>
        <v>1700</v>
      </c>
      <c r="E16940" t="s">
        <v>60</v>
      </c>
      <c r="F16940" t="s">
        <v>3670</v>
      </c>
      <c r="G16940" t="s">
        <v>47091</v>
      </c>
      <c r="H16940" t="s">
        <v>47126</v>
      </c>
      <c r="I16940" t="s">
        <v>47127</v>
      </c>
      <c r="J16940" t="s">
        <v>47128</v>
      </c>
      <c r="K16940" t="s">
        <v>47113</v>
      </c>
      <c r="L16940">
        <v>13.01</v>
      </c>
      <c r="M16940">
        <v>24</v>
      </c>
      <c r="N16940">
        <v>0</v>
      </c>
      <c r="O16940">
        <v>24</v>
      </c>
      <c r="P16940">
        <v>0</v>
      </c>
    </row>
    <row r="16941" spans="1:16" x14ac:dyDescent="0.25">
      <c r="A16941" t="s">
        <v>39540</v>
      </c>
      <c r="B16941" t="s">
        <v>11025</v>
      </c>
      <c r="C16941" t="s">
        <v>11024</v>
      </c>
      <c r="D16941" t="str">
        <f>"4753"</f>
        <v>4753</v>
      </c>
      <c r="E16941" t="s">
        <v>3755</v>
      </c>
      <c r="F16941" t="s">
        <v>3670</v>
      </c>
      <c r="G16941" t="s">
        <v>47091</v>
      </c>
      <c r="H16941" t="s">
        <v>47126</v>
      </c>
      <c r="I16941" t="s">
        <v>47127</v>
      </c>
      <c r="J16941" t="s">
        <v>47128</v>
      </c>
      <c r="K16941" t="s">
        <v>47113</v>
      </c>
      <c r="L16941">
        <v>13.01</v>
      </c>
      <c r="M16941">
        <v>24</v>
      </c>
      <c r="N16941">
        <v>0</v>
      </c>
      <c r="O16941">
        <v>24</v>
      </c>
      <c r="P16941">
        <v>0</v>
      </c>
    </row>
    <row r="16942" spans="1:16" x14ac:dyDescent="0.25">
      <c r="A16942" t="s">
        <v>39541</v>
      </c>
      <c r="B16942" t="s">
        <v>11025</v>
      </c>
      <c r="C16942" t="s">
        <v>11024</v>
      </c>
      <c r="D16942" t="str">
        <f>"6500"</f>
        <v>6500</v>
      </c>
      <c r="E16942" t="s">
        <v>151</v>
      </c>
      <c r="F16942" t="s">
        <v>3670</v>
      </c>
      <c r="G16942" t="s">
        <v>47091</v>
      </c>
      <c r="H16942" t="s">
        <v>47126</v>
      </c>
      <c r="I16942" t="s">
        <v>47127</v>
      </c>
      <c r="J16942" t="s">
        <v>47128</v>
      </c>
      <c r="K16942" t="s">
        <v>47113</v>
      </c>
      <c r="L16942">
        <v>13.01</v>
      </c>
      <c r="M16942">
        <v>24</v>
      </c>
      <c r="N16942">
        <v>0</v>
      </c>
      <c r="O16942">
        <v>24</v>
      </c>
      <c r="P16942">
        <v>0</v>
      </c>
    </row>
    <row r="16943" spans="1:16" x14ac:dyDescent="0.25">
      <c r="A16943" t="s">
        <v>39542</v>
      </c>
      <c r="B16943" t="s">
        <v>11025</v>
      </c>
      <c r="C16943" t="s">
        <v>11024</v>
      </c>
      <c r="D16943" t="str">
        <f>"8039"</f>
        <v>8039</v>
      </c>
      <c r="E16943" t="s">
        <v>4631</v>
      </c>
      <c r="F16943" t="s">
        <v>3670</v>
      </c>
      <c r="G16943" t="s">
        <v>47091</v>
      </c>
      <c r="H16943" t="s">
        <v>47126</v>
      </c>
      <c r="I16943" t="s">
        <v>47127</v>
      </c>
      <c r="J16943" t="s">
        <v>47128</v>
      </c>
      <c r="K16943" t="s">
        <v>47113</v>
      </c>
      <c r="L16943">
        <v>13.01</v>
      </c>
      <c r="M16943">
        <v>24</v>
      </c>
      <c r="N16943">
        <v>0</v>
      </c>
      <c r="O16943">
        <v>24</v>
      </c>
      <c r="P16943">
        <v>0</v>
      </c>
    </row>
    <row r="16944" spans="1:16" x14ac:dyDescent="0.25">
      <c r="A16944" t="s">
        <v>39543</v>
      </c>
      <c r="B16944" t="s">
        <v>11026</v>
      </c>
      <c r="C16944" t="s">
        <v>11027</v>
      </c>
      <c r="D16944" t="str">
        <f>"1303"</f>
        <v>1303</v>
      </c>
      <c r="E16944" t="s">
        <v>4630</v>
      </c>
      <c r="F16944" t="s">
        <v>3670</v>
      </c>
      <c r="G16944" t="s">
        <v>47092</v>
      </c>
      <c r="H16944" t="s">
        <v>47126</v>
      </c>
      <c r="I16944" t="s">
        <v>47127</v>
      </c>
      <c r="J16944" t="s">
        <v>47128</v>
      </c>
      <c r="K16944" t="s">
        <v>47113</v>
      </c>
      <c r="L16944">
        <v>10.74</v>
      </c>
      <c r="M16944">
        <v>22</v>
      </c>
      <c r="N16944">
        <v>0</v>
      </c>
      <c r="O16944">
        <v>22</v>
      </c>
      <c r="P16944">
        <v>0</v>
      </c>
    </row>
    <row r="16945" spans="1:16" x14ac:dyDescent="0.25">
      <c r="A16945" t="s">
        <v>39544</v>
      </c>
      <c r="B16945" t="s">
        <v>11026</v>
      </c>
      <c r="C16945" t="s">
        <v>11027</v>
      </c>
      <c r="D16945" t="str">
        <f>"1377"</f>
        <v>1377</v>
      </c>
      <c r="E16945" t="s">
        <v>74</v>
      </c>
      <c r="F16945" t="s">
        <v>3670</v>
      </c>
      <c r="G16945" t="s">
        <v>47092</v>
      </c>
      <c r="H16945" t="s">
        <v>47126</v>
      </c>
      <c r="I16945" t="s">
        <v>47127</v>
      </c>
      <c r="J16945" t="s">
        <v>47128</v>
      </c>
      <c r="K16945" t="s">
        <v>47113</v>
      </c>
      <c r="L16945">
        <v>10.74</v>
      </c>
      <c r="M16945">
        <v>22</v>
      </c>
      <c r="N16945">
        <v>0</v>
      </c>
      <c r="O16945">
        <v>22</v>
      </c>
      <c r="P16945">
        <v>0</v>
      </c>
    </row>
    <row r="16946" spans="1:16" x14ac:dyDescent="0.25">
      <c r="A16946" t="s">
        <v>39545</v>
      </c>
      <c r="B16946" t="s">
        <v>11026</v>
      </c>
      <c r="C16946" t="s">
        <v>11027</v>
      </c>
      <c r="D16946" t="str">
        <f>"1378"</f>
        <v>1378</v>
      </c>
      <c r="E16946" t="s">
        <v>388</v>
      </c>
      <c r="F16946" t="s">
        <v>3670</v>
      </c>
      <c r="G16946" t="s">
        <v>47092</v>
      </c>
      <c r="H16946" t="s">
        <v>47126</v>
      </c>
      <c r="I16946" t="s">
        <v>47127</v>
      </c>
      <c r="J16946" t="s">
        <v>47128</v>
      </c>
      <c r="K16946" t="s">
        <v>47113</v>
      </c>
      <c r="L16946">
        <v>10.74</v>
      </c>
      <c r="M16946">
        <v>22</v>
      </c>
      <c r="N16946">
        <v>0</v>
      </c>
      <c r="O16946">
        <v>22</v>
      </c>
      <c r="P16946">
        <v>0</v>
      </c>
    </row>
    <row r="16947" spans="1:16" x14ac:dyDescent="0.25">
      <c r="A16947" t="s">
        <v>39546</v>
      </c>
      <c r="B16947" t="s">
        <v>11026</v>
      </c>
      <c r="C16947" t="s">
        <v>11027</v>
      </c>
      <c r="D16947" t="str">
        <f>"1403"</f>
        <v>1403</v>
      </c>
      <c r="E16947" t="s">
        <v>224</v>
      </c>
      <c r="F16947" t="s">
        <v>3670</v>
      </c>
      <c r="G16947" t="s">
        <v>47092</v>
      </c>
      <c r="H16947" t="s">
        <v>47126</v>
      </c>
      <c r="I16947" t="s">
        <v>47127</v>
      </c>
      <c r="J16947" t="s">
        <v>47128</v>
      </c>
      <c r="K16947" t="s">
        <v>47113</v>
      </c>
      <c r="L16947">
        <v>10.74</v>
      </c>
      <c r="M16947">
        <v>22</v>
      </c>
      <c r="N16947">
        <v>0</v>
      </c>
      <c r="O16947">
        <v>22</v>
      </c>
      <c r="P16947">
        <v>0</v>
      </c>
    </row>
    <row r="16948" spans="1:16" x14ac:dyDescent="0.25">
      <c r="A16948" t="s">
        <v>39547</v>
      </c>
      <c r="B16948" t="s">
        <v>11026</v>
      </c>
      <c r="C16948" t="s">
        <v>11027</v>
      </c>
      <c r="D16948" t="str">
        <f>"1700"</f>
        <v>1700</v>
      </c>
      <c r="E16948" t="s">
        <v>60</v>
      </c>
      <c r="F16948" t="s">
        <v>3670</v>
      </c>
      <c r="G16948" t="s">
        <v>47092</v>
      </c>
      <c r="H16948" t="s">
        <v>47126</v>
      </c>
      <c r="I16948" t="s">
        <v>47127</v>
      </c>
      <c r="J16948" t="s">
        <v>47128</v>
      </c>
      <c r="K16948" t="s">
        <v>47113</v>
      </c>
      <c r="L16948">
        <v>10.74</v>
      </c>
      <c r="M16948">
        <v>22</v>
      </c>
      <c r="N16948">
        <v>0</v>
      </c>
      <c r="O16948">
        <v>22</v>
      </c>
      <c r="P16948">
        <v>0</v>
      </c>
    </row>
    <row r="16949" spans="1:16" x14ac:dyDescent="0.25">
      <c r="A16949" t="s">
        <v>39548</v>
      </c>
      <c r="B16949" t="s">
        <v>11026</v>
      </c>
      <c r="C16949" t="s">
        <v>11027</v>
      </c>
      <c r="D16949" t="str">
        <f>"4753"</f>
        <v>4753</v>
      </c>
      <c r="E16949" t="s">
        <v>3755</v>
      </c>
      <c r="F16949" t="s">
        <v>3670</v>
      </c>
      <c r="G16949" t="s">
        <v>47092</v>
      </c>
      <c r="H16949" t="s">
        <v>47126</v>
      </c>
      <c r="I16949" t="s">
        <v>47127</v>
      </c>
      <c r="J16949" t="s">
        <v>47128</v>
      </c>
      <c r="K16949" t="s">
        <v>47113</v>
      </c>
      <c r="L16949">
        <v>10.74</v>
      </c>
      <c r="M16949">
        <v>22</v>
      </c>
      <c r="N16949">
        <v>0</v>
      </c>
      <c r="O16949">
        <v>22</v>
      </c>
      <c r="P16949">
        <v>0</v>
      </c>
    </row>
    <row r="16950" spans="1:16" x14ac:dyDescent="0.25">
      <c r="A16950" t="s">
        <v>39549</v>
      </c>
      <c r="B16950" t="s">
        <v>11026</v>
      </c>
      <c r="C16950" t="s">
        <v>11027</v>
      </c>
      <c r="D16950" t="str">
        <f>"6500"</f>
        <v>6500</v>
      </c>
      <c r="E16950" t="s">
        <v>151</v>
      </c>
      <c r="F16950" t="s">
        <v>3670</v>
      </c>
      <c r="G16950" t="s">
        <v>47092</v>
      </c>
      <c r="H16950" t="s">
        <v>47126</v>
      </c>
      <c r="I16950" t="s">
        <v>47127</v>
      </c>
      <c r="J16950" t="s">
        <v>47128</v>
      </c>
      <c r="K16950" t="s">
        <v>47113</v>
      </c>
      <c r="L16950">
        <v>10.74</v>
      </c>
      <c r="M16950">
        <v>22</v>
      </c>
      <c r="N16950">
        <v>0</v>
      </c>
      <c r="O16950">
        <v>22</v>
      </c>
      <c r="P16950">
        <v>0</v>
      </c>
    </row>
    <row r="16951" spans="1:16" x14ac:dyDescent="0.25">
      <c r="A16951" t="s">
        <v>39550</v>
      </c>
      <c r="B16951" t="s">
        <v>11026</v>
      </c>
      <c r="C16951" t="s">
        <v>11027</v>
      </c>
      <c r="D16951" t="str">
        <f>"8039"</f>
        <v>8039</v>
      </c>
      <c r="E16951" t="s">
        <v>4631</v>
      </c>
      <c r="F16951" t="s">
        <v>3670</v>
      </c>
      <c r="G16951" t="s">
        <v>47092</v>
      </c>
      <c r="H16951" t="s">
        <v>47126</v>
      </c>
      <c r="I16951" t="s">
        <v>47127</v>
      </c>
      <c r="J16951" t="s">
        <v>47128</v>
      </c>
      <c r="K16951" t="s">
        <v>47113</v>
      </c>
      <c r="L16951">
        <v>10.74</v>
      </c>
      <c r="M16951">
        <v>22</v>
      </c>
      <c r="N16951">
        <v>0</v>
      </c>
      <c r="O16951">
        <v>22</v>
      </c>
      <c r="P16951">
        <v>0</v>
      </c>
    </row>
    <row r="16952" spans="1:16" x14ac:dyDescent="0.25">
      <c r="A16952" t="s">
        <v>39551</v>
      </c>
      <c r="B16952" t="s">
        <v>11028</v>
      </c>
      <c r="C16952" t="s">
        <v>11029</v>
      </c>
      <c r="D16952" t="str">
        <f>"1303"</f>
        <v>1303</v>
      </c>
      <c r="E16952" t="s">
        <v>4630</v>
      </c>
      <c r="F16952" t="s">
        <v>3670</v>
      </c>
      <c r="G16952" t="s">
        <v>47095</v>
      </c>
      <c r="H16952" t="s">
        <v>47126</v>
      </c>
      <c r="I16952" t="s">
        <v>47127</v>
      </c>
      <c r="J16952" t="s">
        <v>47128</v>
      </c>
      <c r="K16952" t="s">
        <v>47113</v>
      </c>
      <c r="L16952">
        <v>22.09</v>
      </c>
      <c r="M16952">
        <v>46</v>
      </c>
      <c r="N16952">
        <v>0</v>
      </c>
      <c r="O16952">
        <v>46</v>
      </c>
      <c r="P16952">
        <v>0</v>
      </c>
    </row>
    <row r="16953" spans="1:16" x14ac:dyDescent="0.25">
      <c r="A16953" t="s">
        <v>39552</v>
      </c>
      <c r="B16953" t="s">
        <v>11028</v>
      </c>
      <c r="C16953" t="s">
        <v>11029</v>
      </c>
      <c r="D16953" t="str">
        <f>"1377"</f>
        <v>1377</v>
      </c>
      <c r="E16953" t="s">
        <v>74</v>
      </c>
      <c r="F16953" t="s">
        <v>3670</v>
      </c>
      <c r="G16953" t="s">
        <v>47095</v>
      </c>
      <c r="H16953" t="s">
        <v>47126</v>
      </c>
      <c r="I16953" t="s">
        <v>47127</v>
      </c>
      <c r="J16953" t="s">
        <v>47128</v>
      </c>
      <c r="K16953" t="s">
        <v>47113</v>
      </c>
      <c r="L16953">
        <v>22.09</v>
      </c>
      <c r="M16953">
        <v>46</v>
      </c>
      <c r="N16953">
        <v>0</v>
      </c>
      <c r="O16953">
        <v>46</v>
      </c>
      <c r="P16953">
        <v>0</v>
      </c>
    </row>
    <row r="16954" spans="1:16" x14ac:dyDescent="0.25">
      <c r="A16954" t="s">
        <v>39553</v>
      </c>
      <c r="B16954" t="s">
        <v>11028</v>
      </c>
      <c r="C16954" t="s">
        <v>11029</v>
      </c>
      <c r="D16954" t="str">
        <f>"1378"</f>
        <v>1378</v>
      </c>
      <c r="E16954" t="s">
        <v>388</v>
      </c>
      <c r="F16954" t="s">
        <v>3670</v>
      </c>
      <c r="G16954" t="s">
        <v>47095</v>
      </c>
      <c r="H16954" t="s">
        <v>47126</v>
      </c>
      <c r="I16954" t="s">
        <v>47127</v>
      </c>
      <c r="J16954" t="s">
        <v>47128</v>
      </c>
      <c r="K16954" t="s">
        <v>47113</v>
      </c>
      <c r="L16954">
        <v>22.09</v>
      </c>
      <c r="M16954">
        <v>46</v>
      </c>
      <c r="N16954">
        <v>0</v>
      </c>
      <c r="O16954">
        <v>46</v>
      </c>
      <c r="P16954">
        <v>0</v>
      </c>
    </row>
    <row r="16955" spans="1:16" x14ac:dyDescent="0.25">
      <c r="A16955" t="s">
        <v>39554</v>
      </c>
      <c r="B16955" t="s">
        <v>11028</v>
      </c>
      <c r="C16955" t="s">
        <v>11029</v>
      </c>
      <c r="D16955" t="str">
        <f>"1403"</f>
        <v>1403</v>
      </c>
      <c r="E16955" t="s">
        <v>224</v>
      </c>
      <c r="F16955" t="s">
        <v>3670</v>
      </c>
      <c r="G16955" t="s">
        <v>47095</v>
      </c>
      <c r="H16955" t="s">
        <v>47126</v>
      </c>
      <c r="I16955" t="s">
        <v>47127</v>
      </c>
      <c r="J16955" t="s">
        <v>47128</v>
      </c>
      <c r="K16955" t="s">
        <v>47113</v>
      </c>
      <c r="L16955">
        <v>22.09</v>
      </c>
      <c r="M16955">
        <v>46</v>
      </c>
      <c r="N16955">
        <v>0</v>
      </c>
      <c r="O16955">
        <v>46</v>
      </c>
      <c r="P16955">
        <v>0</v>
      </c>
    </row>
    <row r="16956" spans="1:16" x14ac:dyDescent="0.25">
      <c r="A16956" t="s">
        <v>39555</v>
      </c>
      <c r="B16956" t="s">
        <v>11028</v>
      </c>
      <c r="C16956" t="s">
        <v>11029</v>
      </c>
      <c r="D16956" t="str">
        <f>"1700"</f>
        <v>1700</v>
      </c>
      <c r="E16956" t="s">
        <v>60</v>
      </c>
      <c r="F16956" t="s">
        <v>3670</v>
      </c>
      <c r="G16956" t="s">
        <v>47095</v>
      </c>
      <c r="H16956" t="s">
        <v>47126</v>
      </c>
      <c r="I16956" t="s">
        <v>47127</v>
      </c>
      <c r="J16956" t="s">
        <v>47128</v>
      </c>
      <c r="K16956" t="s">
        <v>47113</v>
      </c>
      <c r="L16956">
        <v>22.09</v>
      </c>
      <c r="M16956">
        <v>46</v>
      </c>
      <c r="N16956">
        <v>0</v>
      </c>
      <c r="O16956">
        <v>46</v>
      </c>
      <c r="P16956">
        <v>0</v>
      </c>
    </row>
    <row r="16957" spans="1:16" x14ac:dyDescent="0.25">
      <c r="A16957" t="s">
        <v>39556</v>
      </c>
      <c r="B16957" t="s">
        <v>11028</v>
      </c>
      <c r="C16957" t="s">
        <v>11029</v>
      </c>
      <c r="D16957" t="str">
        <f>"4753"</f>
        <v>4753</v>
      </c>
      <c r="E16957" t="s">
        <v>3755</v>
      </c>
      <c r="F16957" t="s">
        <v>3670</v>
      </c>
      <c r="G16957" t="s">
        <v>47095</v>
      </c>
      <c r="H16957" t="s">
        <v>47126</v>
      </c>
      <c r="I16957" t="s">
        <v>47127</v>
      </c>
      <c r="J16957" t="s">
        <v>47128</v>
      </c>
      <c r="K16957" t="s">
        <v>47113</v>
      </c>
      <c r="L16957">
        <v>22.09</v>
      </c>
      <c r="M16957">
        <v>46</v>
      </c>
      <c r="N16957">
        <v>0</v>
      </c>
      <c r="O16957">
        <v>46</v>
      </c>
      <c r="P16957">
        <v>0</v>
      </c>
    </row>
    <row r="16958" spans="1:16" x14ac:dyDescent="0.25">
      <c r="A16958" t="s">
        <v>39557</v>
      </c>
      <c r="B16958" t="s">
        <v>11028</v>
      </c>
      <c r="C16958" t="s">
        <v>11029</v>
      </c>
      <c r="D16958" t="str">
        <f>"6500"</f>
        <v>6500</v>
      </c>
      <c r="E16958" t="s">
        <v>151</v>
      </c>
      <c r="F16958" t="s">
        <v>3670</v>
      </c>
      <c r="G16958" t="s">
        <v>47095</v>
      </c>
      <c r="H16958" t="s">
        <v>47126</v>
      </c>
      <c r="I16958" t="s">
        <v>47127</v>
      </c>
      <c r="J16958" t="s">
        <v>47128</v>
      </c>
      <c r="K16958" t="s">
        <v>47113</v>
      </c>
      <c r="L16958">
        <v>22.09</v>
      </c>
      <c r="M16958">
        <v>46</v>
      </c>
      <c r="N16958">
        <v>0</v>
      </c>
      <c r="O16958">
        <v>46</v>
      </c>
      <c r="P16958">
        <v>0</v>
      </c>
    </row>
    <row r="16959" spans="1:16" x14ac:dyDescent="0.25">
      <c r="A16959" t="s">
        <v>39558</v>
      </c>
      <c r="B16959" t="s">
        <v>11028</v>
      </c>
      <c r="C16959" t="s">
        <v>11029</v>
      </c>
      <c r="D16959" t="str">
        <f>"8039"</f>
        <v>8039</v>
      </c>
      <c r="E16959" t="s">
        <v>4631</v>
      </c>
      <c r="F16959" t="s">
        <v>3670</v>
      </c>
      <c r="G16959" t="s">
        <v>47095</v>
      </c>
      <c r="H16959" t="s">
        <v>47126</v>
      </c>
      <c r="I16959" t="s">
        <v>47127</v>
      </c>
      <c r="J16959" t="s">
        <v>47128</v>
      </c>
      <c r="K16959" t="s">
        <v>47113</v>
      </c>
      <c r="L16959">
        <v>22.09</v>
      </c>
      <c r="M16959">
        <v>46</v>
      </c>
      <c r="N16959">
        <v>0</v>
      </c>
      <c r="O16959">
        <v>46</v>
      </c>
      <c r="P16959">
        <v>0</v>
      </c>
    </row>
    <row r="16960" spans="1:16" x14ac:dyDescent="0.25">
      <c r="A16960" t="s">
        <v>39559</v>
      </c>
      <c r="B16960" t="s">
        <v>11030</v>
      </c>
      <c r="C16960" t="s">
        <v>14292</v>
      </c>
      <c r="D16960" t="str">
        <f>"1303"</f>
        <v>1303</v>
      </c>
      <c r="E16960" t="s">
        <v>4630</v>
      </c>
      <c r="F16960" t="s">
        <v>3670</v>
      </c>
      <c r="G16960" t="s">
        <v>47091</v>
      </c>
      <c r="H16960" t="s">
        <v>47126</v>
      </c>
      <c r="I16960" t="s">
        <v>47127</v>
      </c>
      <c r="J16960" t="s">
        <v>47128</v>
      </c>
      <c r="K16960" t="s">
        <v>47113</v>
      </c>
      <c r="L16960">
        <v>11.94</v>
      </c>
      <c r="M16960">
        <v>24</v>
      </c>
      <c r="N16960">
        <v>0</v>
      </c>
      <c r="O16960">
        <v>24</v>
      </c>
      <c r="P16960">
        <v>0</v>
      </c>
    </row>
    <row r="16961" spans="1:16" x14ac:dyDescent="0.25">
      <c r="A16961" t="s">
        <v>39560</v>
      </c>
      <c r="B16961" t="s">
        <v>11030</v>
      </c>
      <c r="C16961" t="s">
        <v>14292</v>
      </c>
      <c r="D16961" t="str">
        <f>"1377"</f>
        <v>1377</v>
      </c>
      <c r="E16961" t="s">
        <v>74</v>
      </c>
      <c r="F16961" t="s">
        <v>3670</v>
      </c>
      <c r="G16961" t="s">
        <v>47091</v>
      </c>
      <c r="H16961" t="s">
        <v>47126</v>
      </c>
      <c r="I16961" t="s">
        <v>47127</v>
      </c>
      <c r="J16961" t="s">
        <v>47128</v>
      </c>
      <c r="K16961" t="s">
        <v>47113</v>
      </c>
      <c r="L16961">
        <v>11.94</v>
      </c>
      <c r="M16961">
        <v>24</v>
      </c>
      <c r="N16961">
        <v>0</v>
      </c>
      <c r="O16961">
        <v>24</v>
      </c>
      <c r="P16961">
        <v>0</v>
      </c>
    </row>
    <row r="16962" spans="1:16" x14ac:dyDescent="0.25">
      <c r="A16962" t="s">
        <v>39561</v>
      </c>
      <c r="B16962" t="s">
        <v>11030</v>
      </c>
      <c r="C16962" t="s">
        <v>14292</v>
      </c>
      <c r="D16962" t="str">
        <f>"1378"</f>
        <v>1378</v>
      </c>
      <c r="E16962" t="s">
        <v>388</v>
      </c>
      <c r="F16962" t="s">
        <v>3670</v>
      </c>
      <c r="G16962" t="s">
        <v>47091</v>
      </c>
      <c r="H16962" t="s">
        <v>47126</v>
      </c>
      <c r="I16962" t="s">
        <v>47127</v>
      </c>
      <c r="J16962" t="s">
        <v>47128</v>
      </c>
      <c r="K16962" t="s">
        <v>47113</v>
      </c>
      <c r="L16962">
        <v>11.94</v>
      </c>
      <c r="M16962">
        <v>24</v>
      </c>
      <c r="N16962">
        <v>0</v>
      </c>
      <c r="O16962">
        <v>24</v>
      </c>
      <c r="P16962">
        <v>0</v>
      </c>
    </row>
    <row r="16963" spans="1:16" x14ac:dyDescent="0.25">
      <c r="A16963" t="s">
        <v>39562</v>
      </c>
      <c r="B16963" t="s">
        <v>11030</v>
      </c>
      <c r="C16963" t="s">
        <v>14292</v>
      </c>
      <c r="D16963" t="str">
        <f>"1403"</f>
        <v>1403</v>
      </c>
      <c r="E16963" t="s">
        <v>224</v>
      </c>
      <c r="F16963" t="s">
        <v>3670</v>
      </c>
      <c r="G16963" t="s">
        <v>47091</v>
      </c>
      <c r="H16963" t="s">
        <v>47126</v>
      </c>
      <c r="I16963" t="s">
        <v>47127</v>
      </c>
      <c r="J16963" t="s">
        <v>47128</v>
      </c>
      <c r="K16963" t="s">
        <v>47113</v>
      </c>
      <c r="L16963">
        <v>11.94</v>
      </c>
      <c r="M16963">
        <v>24</v>
      </c>
      <c r="N16963">
        <v>0</v>
      </c>
      <c r="O16963">
        <v>24</v>
      </c>
      <c r="P16963">
        <v>0</v>
      </c>
    </row>
    <row r="16964" spans="1:16" x14ac:dyDescent="0.25">
      <c r="A16964" t="s">
        <v>39563</v>
      </c>
      <c r="B16964" t="s">
        <v>11030</v>
      </c>
      <c r="C16964" t="s">
        <v>14292</v>
      </c>
      <c r="D16964" t="str">
        <f>"1700"</f>
        <v>1700</v>
      </c>
      <c r="E16964" t="s">
        <v>60</v>
      </c>
      <c r="F16964" t="s">
        <v>3670</v>
      </c>
      <c r="G16964" t="s">
        <v>47091</v>
      </c>
      <c r="H16964" t="s">
        <v>47126</v>
      </c>
      <c r="I16964" t="s">
        <v>47127</v>
      </c>
      <c r="J16964" t="s">
        <v>47128</v>
      </c>
      <c r="K16964" t="s">
        <v>47113</v>
      </c>
      <c r="L16964">
        <v>11.94</v>
      </c>
      <c r="M16964">
        <v>24</v>
      </c>
      <c r="N16964">
        <v>0</v>
      </c>
      <c r="O16964">
        <v>24</v>
      </c>
      <c r="P16964">
        <v>0</v>
      </c>
    </row>
    <row r="16965" spans="1:16" x14ac:dyDescent="0.25">
      <c r="A16965" t="s">
        <v>39564</v>
      </c>
      <c r="B16965" t="s">
        <v>11030</v>
      </c>
      <c r="C16965" t="s">
        <v>14292</v>
      </c>
      <c r="D16965" t="str">
        <f>"4753"</f>
        <v>4753</v>
      </c>
      <c r="E16965" t="s">
        <v>3755</v>
      </c>
      <c r="F16965" t="s">
        <v>3670</v>
      </c>
      <c r="G16965" t="s">
        <v>47091</v>
      </c>
      <c r="H16965" t="s">
        <v>47126</v>
      </c>
      <c r="I16965" t="s">
        <v>47127</v>
      </c>
      <c r="J16965" t="s">
        <v>47128</v>
      </c>
      <c r="K16965" t="s">
        <v>47113</v>
      </c>
      <c r="L16965">
        <v>11.94</v>
      </c>
      <c r="M16965">
        <v>24</v>
      </c>
      <c r="N16965">
        <v>0</v>
      </c>
      <c r="O16965">
        <v>24</v>
      </c>
      <c r="P16965">
        <v>0</v>
      </c>
    </row>
    <row r="16966" spans="1:16" x14ac:dyDescent="0.25">
      <c r="A16966" t="s">
        <v>39565</v>
      </c>
      <c r="B16966" t="s">
        <v>11030</v>
      </c>
      <c r="C16966" t="s">
        <v>14292</v>
      </c>
      <c r="D16966" t="str">
        <f>"6500"</f>
        <v>6500</v>
      </c>
      <c r="E16966" t="s">
        <v>151</v>
      </c>
      <c r="F16966" t="s">
        <v>3670</v>
      </c>
      <c r="G16966" t="s">
        <v>47091</v>
      </c>
      <c r="H16966" t="s">
        <v>47126</v>
      </c>
      <c r="I16966" t="s">
        <v>47127</v>
      </c>
      <c r="J16966" t="s">
        <v>47128</v>
      </c>
      <c r="K16966" t="s">
        <v>47113</v>
      </c>
      <c r="L16966">
        <v>11.94</v>
      </c>
      <c r="M16966">
        <v>24</v>
      </c>
      <c r="N16966">
        <v>0</v>
      </c>
      <c r="O16966">
        <v>24</v>
      </c>
      <c r="P16966">
        <v>0</v>
      </c>
    </row>
    <row r="16967" spans="1:16" x14ac:dyDescent="0.25">
      <c r="A16967" t="s">
        <v>39566</v>
      </c>
      <c r="B16967" t="s">
        <v>11030</v>
      </c>
      <c r="C16967" t="s">
        <v>14292</v>
      </c>
      <c r="D16967" t="str">
        <f>"8039"</f>
        <v>8039</v>
      </c>
      <c r="E16967" t="s">
        <v>4631</v>
      </c>
      <c r="F16967" t="s">
        <v>3670</v>
      </c>
      <c r="G16967" t="s">
        <v>47091</v>
      </c>
      <c r="H16967" t="s">
        <v>47126</v>
      </c>
      <c r="I16967" t="s">
        <v>47127</v>
      </c>
      <c r="J16967" t="s">
        <v>47128</v>
      </c>
      <c r="K16967" t="s">
        <v>47113</v>
      </c>
      <c r="L16967">
        <v>11.94</v>
      </c>
      <c r="M16967">
        <v>24</v>
      </c>
      <c r="N16967">
        <v>0</v>
      </c>
      <c r="O16967">
        <v>24</v>
      </c>
      <c r="P16967">
        <v>0</v>
      </c>
    </row>
    <row r="16968" spans="1:16" x14ac:dyDescent="0.25">
      <c r="A16968" t="s">
        <v>39567</v>
      </c>
      <c r="B16968" t="s">
        <v>11031</v>
      </c>
      <c r="C16968" t="s">
        <v>11032</v>
      </c>
      <c r="D16968" t="str">
        <f>"1106"</f>
        <v>1106</v>
      </c>
      <c r="E16968" t="s">
        <v>460</v>
      </c>
      <c r="F16968" t="s">
        <v>3670</v>
      </c>
      <c r="G16968" t="s">
        <v>47091</v>
      </c>
      <c r="H16968" t="s">
        <v>47126</v>
      </c>
      <c r="I16968" t="s">
        <v>47127</v>
      </c>
      <c r="J16968" t="s">
        <v>47128</v>
      </c>
      <c r="K16968" t="s">
        <v>47113</v>
      </c>
      <c r="L16968">
        <v>11.34</v>
      </c>
      <c r="M16968">
        <v>24</v>
      </c>
      <c r="N16968">
        <v>0</v>
      </c>
      <c r="O16968">
        <v>24</v>
      </c>
      <c r="P16968">
        <v>0</v>
      </c>
    </row>
    <row r="16969" spans="1:16" x14ac:dyDescent="0.25">
      <c r="A16969" t="s">
        <v>39568</v>
      </c>
      <c r="B16969" t="s">
        <v>11031</v>
      </c>
      <c r="C16969" t="s">
        <v>11032</v>
      </c>
      <c r="D16969" t="str">
        <f>"1303"</f>
        <v>1303</v>
      </c>
      <c r="E16969" t="s">
        <v>4630</v>
      </c>
      <c r="F16969" t="s">
        <v>3670</v>
      </c>
      <c r="G16969" t="s">
        <v>47091</v>
      </c>
      <c r="H16969" t="s">
        <v>47126</v>
      </c>
      <c r="I16969" t="s">
        <v>47127</v>
      </c>
      <c r="J16969" t="s">
        <v>47128</v>
      </c>
      <c r="K16969" t="s">
        <v>47113</v>
      </c>
      <c r="L16969">
        <v>11.34</v>
      </c>
      <c r="M16969">
        <v>24</v>
      </c>
      <c r="N16969">
        <v>0</v>
      </c>
      <c r="O16969">
        <v>24</v>
      </c>
      <c r="P16969">
        <v>0</v>
      </c>
    </row>
    <row r="16970" spans="1:16" x14ac:dyDescent="0.25">
      <c r="A16970" t="s">
        <v>39569</v>
      </c>
      <c r="B16970" t="s">
        <v>11031</v>
      </c>
      <c r="C16970" t="s">
        <v>11032</v>
      </c>
      <c r="D16970" t="str">
        <f>"1377"</f>
        <v>1377</v>
      </c>
      <c r="E16970" t="s">
        <v>74</v>
      </c>
      <c r="F16970" t="s">
        <v>3670</v>
      </c>
      <c r="G16970" t="s">
        <v>47091</v>
      </c>
      <c r="H16970" t="s">
        <v>47126</v>
      </c>
      <c r="I16970" t="s">
        <v>47127</v>
      </c>
      <c r="J16970" t="s">
        <v>47128</v>
      </c>
      <c r="K16970" t="s">
        <v>47113</v>
      </c>
      <c r="L16970">
        <v>11.34</v>
      </c>
      <c r="M16970">
        <v>24</v>
      </c>
      <c r="N16970">
        <v>0</v>
      </c>
      <c r="O16970">
        <v>24</v>
      </c>
      <c r="P16970">
        <v>0</v>
      </c>
    </row>
    <row r="16971" spans="1:16" x14ac:dyDescent="0.25">
      <c r="A16971" t="s">
        <v>39570</v>
      </c>
      <c r="B16971" t="s">
        <v>11031</v>
      </c>
      <c r="C16971" t="s">
        <v>11032</v>
      </c>
      <c r="D16971" t="str">
        <f>"1403"</f>
        <v>1403</v>
      </c>
      <c r="E16971" t="s">
        <v>224</v>
      </c>
      <c r="F16971" t="s">
        <v>3670</v>
      </c>
      <c r="G16971" t="s">
        <v>47091</v>
      </c>
      <c r="H16971" t="s">
        <v>47126</v>
      </c>
      <c r="I16971" t="s">
        <v>47127</v>
      </c>
      <c r="J16971" t="s">
        <v>47128</v>
      </c>
      <c r="K16971" t="s">
        <v>47113</v>
      </c>
      <c r="L16971">
        <v>11.34</v>
      </c>
      <c r="M16971">
        <v>24</v>
      </c>
      <c r="N16971">
        <v>0</v>
      </c>
      <c r="O16971">
        <v>24</v>
      </c>
      <c r="P16971">
        <v>0</v>
      </c>
    </row>
    <row r="16972" spans="1:16" x14ac:dyDescent="0.25">
      <c r="A16972" t="s">
        <v>39571</v>
      </c>
      <c r="B16972" t="s">
        <v>11031</v>
      </c>
      <c r="C16972" t="s">
        <v>11032</v>
      </c>
      <c r="D16972" t="str">
        <f>"1700"</f>
        <v>1700</v>
      </c>
      <c r="E16972" t="s">
        <v>60</v>
      </c>
      <c r="F16972" t="s">
        <v>3670</v>
      </c>
      <c r="G16972" t="s">
        <v>47091</v>
      </c>
      <c r="H16972" t="s">
        <v>47126</v>
      </c>
      <c r="I16972" t="s">
        <v>47127</v>
      </c>
      <c r="J16972" t="s">
        <v>47128</v>
      </c>
      <c r="K16972" t="s">
        <v>47113</v>
      </c>
      <c r="L16972">
        <v>11.34</v>
      </c>
      <c r="M16972">
        <v>24</v>
      </c>
      <c r="N16972">
        <v>0</v>
      </c>
      <c r="O16972">
        <v>24</v>
      </c>
      <c r="P16972">
        <v>0</v>
      </c>
    </row>
    <row r="16973" spans="1:16" x14ac:dyDescent="0.25">
      <c r="A16973" t="s">
        <v>39572</v>
      </c>
      <c r="B16973" t="s">
        <v>11031</v>
      </c>
      <c r="C16973" t="s">
        <v>11032</v>
      </c>
      <c r="D16973" t="str">
        <f>"3501"</f>
        <v>3501</v>
      </c>
      <c r="E16973" t="s">
        <v>3758</v>
      </c>
      <c r="F16973" t="s">
        <v>3670</v>
      </c>
      <c r="G16973" t="s">
        <v>47091</v>
      </c>
      <c r="H16973" t="s">
        <v>47126</v>
      </c>
      <c r="I16973" t="s">
        <v>47127</v>
      </c>
      <c r="J16973" t="s">
        <v>47128</v>
      </c>
      <c r="K16973" t="s">
        <v>47113</v>
      </c>
      <c r="L16973">
        <v>11.34</v>
      </c>
      <c r="M16973">
        <v>24</v>
      </c>
      <c r="N16973">
        <v>0</v>
      </c>
      <c r="O16973">
        <v>24</v>
      </c>
      <c r="P16973">
        <v>0</v>
      </c>
    </row>
    <row r="16974" spans="1:16" x14ac:dyDescent="0.25">
      <c r="A16974" t="s">
        <v>39573</v>
      </c>
      <c r="B16974" t="s">
        <v>11031</v>
      </c>
      <c r="C16974" t="s">
        <v>11032</v>
      </c>
      <c r="D16974" t="str">
        <f>"4643"</f>
        <v>4643</v>
      </c>
      <c r="E16974" t="s">
        <v>205</v>
      </c>
      <c r="F16974" t="s">
        <v>3670</v>
      </c>
      <c r="G16974" t="s">
        <v>47091</v>
      </c>
      <c r="H16974" t="s">
        <v>47126</v>
      </c>
      <c r="I16974" t="s">
        <v>47127</v>
      </c>
      <c r="J16974" t="s">
        <v>47128</v>
      </c>
      <c r="K16974" t="s">
        <v>47113</v>
      </c>
      <c r="L16974">
        <v>11.34</v>
      </c>
      <c r="M16974">
        <v>24</v>
      </c>
      <c r="N16974">
        <v>0</v>
      </c>
      <c r="O16974">
        <v>24</v>
      </c>
      <c r="P16974">
        <v>0</v>
      </c>
    </row>
    <row r="16975" spans="1:16" x14ac:dyDescent="0.25">
      <c r="A16975" t="s">
        <v>39574</v>
      </c>
      <c r="B16975" t="s">
        <v>11031</v>
      </c>
      <c r="C16975" t="s">
        <v>11032</v>
      </c>
      <c r="D16975" t="str">
        <f>"4753"</f>
        <v>4753</v>
      </c>
      <c r="E16975" t="s">
        <v>3755</v>
      </c>
      <c r="F16975" t="s">
        <v>3670</v>
      </c>
      <c r="G16975" t="s">
        <v>47091</v>
      </c>
      <c r="H16975" t="s">
        <v>47126</v>
      </c>
      <c r="I16975" t="s">
        <v>47127</v>
      </c>
      <c r="J16975" t="s">
        <v>47128</v>
      </c>
      <c r="K16975" t="s">
        <v>47113</v>
      </c>
      <c r="L16975">
        <v>11.34</v>
      </c>
      <c r="M16975">
        <v>24</v>
      </c>
      <c r="N16975">
        <v>0</v>
      </c>
      <c r="O16975">
        <v>24</v>
      </c>
      <c r="P16975">
        <v>0</v>
      </c>
    </row>
    <row r="16976" spans="1:16" x14ac:dyDescent="0.25">
      <c r="A16976" t="s">
        <v>39575</v>
      </c>
      <c r="B16976" t="s">
        <v>11031</v>
      </c>
      <c r="C16976" t="s">
        <v>11032</v>
      </c>
      <c r="D16976" t="str">
        <f>"6500"</f>
        <v>6500</v>
      </c>
      <c r="E16976" t="s">
        <v>151</v>
      </c>
      <c r="F16976" t="s">
        <v>3670</v>
      </c>
      <c r="G16976" t="s">
        <v>47091</v>
      </c>
      <c r="H16976" t="s">
        <v>47126</v>
      </c>
      <c r="I16976" t="s">
        <v>47127</v>
      </c>
      <c r="J16976" t="s">
        <v>47128</v>
      </c>
      <c r="K16976" t="s">
        <v>47113</v>
      </c>
      <c r="L16976">
        <v>11.34</v>
      </c>
      <c r="M16976">
        <v>24</v>
      </c>
      <c r="N16976">
        <v>0</v>
      </c>
      <c r="O16976">
        <v>24</v>
      </c>
      <c r="P16976">
        <v>0</v>
      </c>
    </row>
    <row r="16977" spans="1:16" x14ac:dyDescent="0.25">
      <c r="A16977" t="s">
        <v>39576</v>
      </c>
      <c r="B16977" t="s">
        <v>11031</v>
      </c>
      <c r="C16977" t="s">
        <v>11032</v>
      </c>
      <c r="D16977" t="str">
        <f>"8039"</f>
        <v>8039</v>
      </c>
      <c r="E16977" t="s">
        <v>4631</v>
      </c>
      <c r="F16977" t="s">
        <v>3670</v>
      </c>
      <c r="G16977" t="s">
        <v>47091</v>
      </c>
      <c r="H16977" t="s">
        <v>47126</v>
      </c>
      <c r="I16977" t="s">
        <v>47127</v>
      </c>
      <c r="J16977" t="s">
        <v>47128</v>
      </c>
      <c r="K16977" t="s">
        <v>47113</v>
      </c>
      <c r="L16977">
        <v>11.34</v>
      </c>
      <c r="M16977">
        <v>24</v>
      </c>
      <c r="N16977">
        <v>0</v>
      </c>
      <c r="O16977">
        <v>24</v>
      </c>
      <c r="P16977">
        <v>0</v>
      </c>
    </row>
    <row r="16978" spans="1:16" x14ac:dyDescent="0.25">
      <c r="A16978" t="s">
        <v>39577</v>
      </c>
      <c r="B16978" t="s">
        <v>11033</v>
      </c>
      <c r="C16978" t="s">
        <v>11034</v>
      </c>
      <c r="D16978" t="str">
        <f>"1106"</f>
        <v>1106</v>
      </c>
      <c r="E16978" t="s">
        <v>460</v>
      </c>
      <c r="F16978" t="s">
        <v>3670</v>
      </c>
      <c r="G16978" t="s">
        <v>47091</v>
      </c>
      <c r="H16978" t="s">
        <v>47126</v>
      </c>
      <c r="I16978" t="s">
        <v>47127</v>
      </c>
      <c r="J16978" t="s">
        <v>47128</v>
      </c>
      <c r="K16978" t="s">
        <v>47113</v>
      </c>
      <c r="L16978">
        <v>13.73</v>
      </c>
      <c r="M16978">
        <v>24</v>
      </c>
      <c r="N16978">
        <v>0</v>
      </c>
      <c r="O16978">
        <v>24</v>
      </c>
      <c r="P16978">
        <v>0</v>
      </c>
    </row>
    <row r="16979" spans="1:16" x14ac:dyDescent="0.25">
      <c r="A16979" t="s">
        <v>39578</v>
      </c>
      <c r="B16979" t="s">
        <v>11033</v>
      </c>
      <c r="C16979" t="s">
        <v>11034</v>
      </c>
      <c r="D16979" t="str">
        <f>"1303"</f>
        <v>1303</v>
      </c>
      <c r="E16979" t="s">
        <v>4630</v>
      </c>
      <c r="F16979" t="s">
        <v>3670</v>
      </c>
      <c r="G16979" t="s">
        <v>47091</v>
      </c>
      <c r="H16979" t="s">
        <v>47126</v>
      </c>
      <c r="I16979" t="s">
        <v>47127</v>
      </c>
      <c r="J16979" t="s">
        <v>47128</v>
      </c>
      <c r="K16979" t="s">
        <v>47113</v>
      </c>
      <c r="L16979">
        <v>13.73</v>
      </c>
      <c r="M16979">
        <v>24</v>
      </c>
      <c r="N16979">
        <v>0</v>
      </c>
      <c r="O16979">
        <v>24</v>
      </c>
      <c r="P16979">
        <v>0</v>
      </c>
    </row>
    <row r="16980" spans="1:16" x14ac:dyDescent="0.25">
      <c r="A16980" t="s">
        <v>39579</v>
      </c>
      <c r="B16980" t="s">
        <v>11033</v>
      </c>
      <c r="C16980" t="s">
        <v>11034</v>
      </c>
      <c r="D16980" t="str">
        <f>"1377"</f>
        <v>1377</v>
      </c>
      <c r="E16980" t="s">
        <v>74</v>
      </c>
      <c r="F16980" t="s">
        <v>3670</v>
      </c>
      <c r="G16980" t="s">
        <v>47091</v>
      </c>
      <c r="H16980" t="s">
        <v>47126</v>
      </c>
      <c r="I16980" t="s">
        <v>47127</v>
      </c>
      <c r="J16980" t="s">
        <v>47128</v>
      </c>
      <c r="K16980" t="s">
        <v>47113</v>
      </c>
      <c r="L16980">
        <v>13.73</v>
      </c>
      <c r="M16980">
        <v>24</v>
      </c>
      <c r="N16980">
        <v>0</v>
      </c>
      <c r="O16980">
        <v>24</v>
      </c>
      <c r="P16980">
        <v>0</v>
      </c>
    </row>
    <row r="16981" spans="1:16" x14ac:dyDescent="0.25">
      <c r="A16981" t="s">
        <v>39580</v>
      </c>
      <c r="B16981" t="s">
        <v>11033</v>
      </c>
      <c r="C16981" t="s">
        <v>11034</v>
      </c>
      <c r="D16981" t="str">
        <f>"1403"</f>
        <v>1403</v>
      </c>
      <c r="E16981" t="s">
        <v>224</v>
      </c>
      <c r="F16981" t="s">
        <v>3670</v>
      </c>
      <c r="G16981" t="s">
        <v>47091</v>
      </c>
      <c r="H16981" t="s">
        <v>47126</v>
      </c>
      <c r="I16981" t="s">
        <v>47127</v>
      </c>
      <c r="J16981" t="s">
        <v>47128</v>
      </c>
      <c r="K16981" t="s">
        <v>47113</v>
      </c>
      <c r="L16981">
        <v>13.73</v>
      </c>
      <c r="M16981">
        <v>24</v>
      </c>
      <c r="N16981">
        <v>0</v>
      </c>
      <c r="O16981">
        <v>24</v>
      </c>
      <c r="P16981">
        <v>0</v>
      </c>
    </row>
    <row r="16982" spans="1:16" x14ac:dyDescent="0.25">
      <c r="A16982" t="s">
        <v>39581</v>
      </c>
      <c r="B16982" t="s">
        <v>11033</v>
      </c>
      <c r="C16982" t="s">
        <v>11034</v>
      </c>
      <c r="D16982" t="str">
        <f>"1700"</f>
        <v>1700</v>
      </c>
      <c r="E16982" t="s">
        <v>60</v>
      </c>
      <c r="F16982" t="s">
        <v>3670</v>
      </c>
      <c r="G16982" t="s">
        <v>47091</v>
      </c>
      <c r="H16982" t="s">
        <v>47126</v>
      </c>
      <c r="I16982" t="s">
        <v>47127</v>
      </c>
      <c r="J16982" t="s">
        <v>47128</v>
      </c>
      <c r="K16982" t="s">
        <v>47113</v>
      </c>
      <c r="L16982">
        <v>13.73</v>
      </c>
      <c r="M16982">
        <v>24</v>
      </c>
      <c r="N16982">
        <v>0</v>
      </c>
      <c r="O16982">
        <v>24</v>
      </c>
      <c r="P16982">
        <v>0</v>
      </c>
    </row>
    <row r="16983" spans="1:16" x14ac:dyDescent="0.25">
      <c r="A16983" t="s">
        <v>39582</v>
      </c>
      <c r="B16983" t="s">
        <v>11033</v>
      </c>
      <c r="C16983" t="s">
        <v>11034</v>
      </c>
      <c r="D16983" t="str">
        <f>"4753"</f>
        <v>4753</v>
      </c>
      <c r="E16983" t="s">
        <v>3755</v>
      </c>
      <c r="F16983" t="s">
        <v>3670</v>
      </c>
      <c r="G16983" t="s">
        <v>47091</v>
      </c>
      <c r="H16983" t="s">
        <v>47126</v>
      </c>
      <c r="I16983" t="s">
        <v>47127</v>
      </c>
      <c r="J16983" t="s">
        <v>47128</v>
      </c>
      <c r="K16983" t="s">
        <v>47113</v>
      </c>
      <c r="L16983">
        <v>13.73</v>
      </c>
      <c r="M16983">
        <v>24</v>
      </c>
      <c r="N16983">
        <v>0</v>
      </c>
      <c r="O16983">
        <v>24</v>
      </c>
      <c r="P16983">
        <v>0</v>
      </c>
    </row>
    <row r="16984" spans="1:16" x14ac:dyDescent="0.25">
      <c r="A16984" t="s">
        <v>39583</v>
      </c>
      <c r="B16984" t="s">
        <v>11033</v>
      </c>
      <c r="C16984" t="s">
        <v>11034</v>
      </c>
      <c r="D16984" t="str">
        <f>"6500"</f>
        <v>6500</v>
      </c>
      <c r="E16984" t="s">
        <v>151</v>
      </c>
      <c r="F16984" t="s">
        <v>3670</v>
      </c>
      <c r="G16984" t="s">
        <v>47091</v>
      </c>
      <c r="H16984" t="s">
        <v>47126</v>
      </c>
      <c r="I16984" t="s">
        <v>47127</v>
      </c>
      <c r="J16984" t="s">
        <v>47128</v>
      </c>
      <c r="K16984" t="s">
        <v>47113</v>
      </c>
      <c r="L16984">
        <v>13.73</v>
      </c>
      <c r="M16984">
        <v>24</v>
      </c>
      <c r="N16984">
        <v>0</v>
      </c>
      <c r="O16984">
        <v>24</v>
      </c>
      <c r="P16984">
        <v>0</v>
      </c>
    </row>
    <row r="16985" spans="1:16" x14ac:dyDescent="0.25">
      <c r="A16985" t="s">
        <v>39584</v>
      </c>
      <c r="B16985" t="s">
        <v>11033</v>
      </c>
      <c r="C16985" t="s">
        <v>11034</v>
      </c>
      <c r="D16985" t="str">
        <f>"8039"</f>
        <v>8039</v>
      </c>
      <c r="E16985" t="s">
        <v>4631</v>
      </c>
      <c r="F16985" t="s">
        <v>3670</v>
      </c>
      <c r="G16985" t="s">
        <v>47091</v>
      </c>
      <c r="H16985" t="s">
        <v>47126</v>
      </c>
      <c r="I16985" t="s">
        <v>47127</v>
      </c>
      <c r="J16985" t="s">
        <v>47128</v>
      </c>
      <c r="K16985" t="s">
        <v>47113</v>
      </c>
      <c r="L16985">
        <v>13.73</v>
      </c>
      <c r="M16985">
        <v>24</v>
      </c>
      <c r="N16985">
        <v>0</v>
      </c>
      <c r="O16985">
        <v>24</v>
      </c>
      <c r="P16985">
        <v>0</v>
      </c>
    </row>
    <row r="16986" spans="1:16" x14ac:dyDescent="0.25">
      <c r="A16986" t="s">
        <v>39585</v>
      </c>
      <c r="B16986" t="s">
        <v>11035</v>
      </c>
      <c r="C16986" t="s">
        <v>11027</v>
      </c>
      <c r="D16986" t="str">
        <f>"1303"</f>
        <v>1303</v>
      </c>
      <c r="E16986" t="s">
        <v>4630</v>
      </c>
      <c r="F16986" t="s">
        <v>3670</v>
      </c>
      <c r="G16986" t="s">
        <v>47092</v>
      </c>
      <c r="H16986" t="s">
        <v>47126</v>
      </c>
      <c r="I16986" t="s">
        <v>47127</v>
      </c>
      <c r="J16986" t="s">
        <v>47128</v>
      </c>
      <c r="K16986" t="s">
        <v>47113</v>
      </c>
      <c r="L16986">
        <v>11.34</v>
      </c>
      <c r="M16986">
        <v>24</v>
      </c>
      <c r="N16986">
        <v>0</v>
      </c>
      <c r="O16986">
        <v>24</v>
      </c>
      <c r="P16986">
        <v>0</v>
      </c>
    </row>
    <row r="16987" spans="1:16" x14ac:dyDescent="0.25">
      <c r="A16987" t="s">
        <v>39586</v>
      </c>
      <c r="B16987" t="s">
        <v>11035</v>
      </c>
      <c r="C16987" t="s">
        <v>11027</v>
      </c>
      <c r="D16987" t="str">
        <f>"1377"</f>
        <v>1377</v>
      </c>
      <c r="E16987" t="s">
        <v>74</v>
      </c>
      <c r="F16987" t="s">
        <v>3670</v>
      </c>
      <c r="G16987" t="s">
        <v>47092</v>
      </c>
      <c r="H16987" t="s">
        <v>47126</v>
      </c>
      <c r="I16987" t="s">
        <v>47127</v>
      </c>
      <c r="J16987" t="s">
        <v>47128</v>
      </c>
      <c r="K16987" t="s">
        <v>47113</v>
      </c>
      <c r="L16987">
        <v>11.34</v>
      </c>
      <c r="M16987">
        <v>24</v>
      </c>
      <c r="N16987">
        <v>0</v>
      </c>
      <c r="O16987">
        <v>24</v>
      </c>
      <c r="P16987">
        <v>0</v>
      </c>
    </row>
    <row r="16988" spans="1:16" x14ac:dyDescent="0.25">
      <c r="A16988" t="s">
        <v>39587</v>
      </c>
      <c r="B16988" t="s">
        <v>11035</v>
      </c>
      <c r="C16988" t="s">
        <v>11027</v>
      </c>
      <c r="D16988" t="str">
        <f>"1378"</f>
        <v>1378</v>
      </c>
      <c r="E16988" t="s">
        <v>388</v>
      </c>
      <c r="F16988" t="s">
        <v>3670</v>
      </c>
      <c r="G16988" t="s">
        <v>47092</v>
      </c>
      <c r="H16988" t="s">
        <v>47126</v>
      </c>
      <c r="I16988" t="s">
        <v>47127</v>
      </c>
      <c r="J16988" t="s">
        <v>47128</v>
      </c>
      <c r="K16988" t="s">
        <v>47113</v>
      </c>
      <c r="L16988">
        <v>11.34</v>
      </c>
      <c r="M16988">
        <v>24</v>
      </c>
      <c r="N16988">
        <v>0</v>
      </c>
      <c r="O16988">
        <v>24</v>
      </c>
      <c r="P16988">
        <v>0</v>
      </c>
    </row>
    <row r="16989" spans="1:16" x14ac:dyDescent="0.25">
      <c r="A16989" t="s">
        <v>39588</v>
      </c>
      <c r="B16989" t="s">
        <v>11035</v>
      </c>
      <c r="C16989" t="s">
        <v>11027</v>
      </c>
      <c r="D16989" t="str">
        <f>"1403"</f>
        <v>1403</v>
      </c>
      <c r="E16989" t="s">
        <v>224</v>
      </c>
      <c r="F16989" t="s">
        <v>3670</v>
      </c>
      <c r="G16989" t="s">
        <v>47092</v>
      </c>
      <c r="H16989" t="s">
        <v>47126</v>
      </c>
      <c r="I16989" t="s">
        <v>47127</v>
      </c>
      <c r="J16989" t="s">
        <v>47128</v>
      </c>
      <c r="K16989" t="s">
        <v>47113</v>
      </c>
      <c r="L16989">
        <v>11.34</v>
      </c>
      <c r="M16989">
        <v>24</v>
      </c>
      <c r="N16989">
        <v>0</v>
      </c>
      <c r="O16989">
        <v>24</v>
      </c>
      <c r="P16989">
        <v>0</v>
      </c>
    </row>
    <row r="16990" spans="1:16" x14ac:dyDescent="0.25">
      <c r="A16990" t="s">
        <v>39589</v>
      </c>
      <c r="B16990" t="s">
        <v>11035</v>
      </c>
      <c r="C16990" t="s">
        <v>11027</v>
      </c>
      <c r="D16990" t="str">
        <f>"1700"</f>
        <v>1700</v>
      </c>
      <c r="E16990" t="s">
        <v>60</v>
      </c>
      <c r="F16990" t="s">
        <v>3670</v>
      </c>
      <c r="G16990" t="s">
        <v>47092</v>
      </c>
      <c r="H16990" t="s">
        <v>47126</v>
      </c>
      <c r="I16990" t="s">
        <v>47127</v>
      </c>
      <c r="J16990" t="s">
        <v>47128</v>
      </c>
      <c r="K16990" t="s">
        <v>47113</v>
      </c>
      <c r="L16990">
        <v>11.34</v>
      </c>
      <c r="M16990">
        <v>24</v>
      </c>
      <c r="N16990">
        <v>0</v>
      </c>
      <c r="O16990">
        <v>24</v>
      </c>
      <c r="P16990">
        <v>0</v>
      </c>
    </row>
    <row r="16991" spans="1:16" x14ac:dyDescent="0.25">
      <c r="A16991" t="s">
        <v>39590</v>
      </c>
      <c r="B16991" t="s">
        <v>11035</v>
      </c>
      <c r="C16991" t="s">
        <v>11027</v>
      </c>
      <c r="D16991" t="str">
        <f>"4753"</f>
        <v>4753</v>
      </c>
      <c r="E16991" t="s">
        <v>3755</v>
      </c>
      <c r="F16991" t="s">
        <v>3670</v>
      </c>
      <c r="G16991" t="s">
        <v>47092</v>
      </c>
      <c r="H16991" t="s">
        <v>47126</v>
      </c>
      <c r="I16991" t="s">
        <v>47127</v>
      </c>
      <c r="J16991" t="s">
        <v>47128</v>
      </c>
      <c r="K16991" t="s">
        <v>47113</v>
      </c>
      <c r="L16991">
        <v>11.34</v>
      </c>
      <c r="M16991">
        <v>24</v>
      </c>
      <c r="N16991">
        <v>0</v>
      </c>
      <c r="O16991">
        <v>24</v>
      </c>
      <c r="P16991">
        <v>0</v>
      </c>
    </row>
    <row r="16992" spans="1:16" x14ac:dyDescent="0.25">
      <c r="A16992" t="s">
        <v>39591</v>
      </c>
      <c r="B16992" t="s">
        <v>11035</v>
      </c>
      <c r="C16992" t="s">
        <v>11027</v>
      </c>
      <c r="D16992" t="str">
        <f>"6500"</f>
        <v>6500</v>
      </c>
      <c r="E16992" t="s">
        <v>151</v>
      </c>
      <c r="F16992" t="s">
        <v>3670</v>
      </c>
      <c r="G16992" t="s">
        <v>47092</v>
      </c>
      <c r="H16992" t="s">
        <v>47126</v>
      </c>
      <c r="I16992" t="s">
        <v>47127</v>
      </c>
      <c r="J16992" t="s">
        <v>47128</v>
      </c>
      <c r="K16992" t="s">
        <v>47113</v>
      </c>
      <c r="L16992">
        <v>11.34</v>
      </c>
      <c r="M16992">
        <v>24</v>
      </c>
      <c r="N16992">
        <v>0</v>
      </c>
      <c r="O16992">
        <v>24</v>
      </c>
      <c r="P16992">
        <v>0</v>
      </c>
    </row>
    <row r="16993" spans="1:16" x14ac:dyDescent="0.25">
      <c r="A16993" t="s">
        <v>39592</v>
      </c>
      <c r="B16993" t="s">
        <v>11035</v>
      </c>
      <c r="C16993" t="s">
        <v>11027</v>
      </c>
      <c r="D16993" t="str">
        <f>"8039"</f>
        <v>8039</v>
      </c>
      <c r="E16993" t="s">
        <v>4631</v>
      </c>
      <c r="F16993" t="s">
        <v>3670</v>
      </c>
      <c r="G16993" t="s">
        <v>47092</v>
      </c>
      <c r="H16993" t="s">
        <v>47126</v>
      </c>
      <c r="I16993" t="s">
        <v>47127</v>
      </c>
      <c r="J16993" t="s">
        <v>47128</v>
      </c>
      <c r="K16993" t="s">
        <v>47113</v>
      </c>
      <c r="L16993">
        <v>11.34</v>
      </c>
      <c r="M16993">
        <v>24</v>
      </c>
      <c r="N16993">
        <v>0</v>
      </c>
      <c r="O16993">
        <v>24</v>
      </c>
      <c r="P16993">
        <v>0</v>
      </c>
    </row>
    <row r="16994" spans="1:16" x14ac:dyDescent="0.25">
      <c r="A16994" t="s">
        <v>39593</v>
      </c>
      <c r="B16994" t="s">
        <v>11036</v>
      </c>
      <c r="C16994" t="s">
        <v>11037</v>
      </c>
      <c r="D16994" t="str">
        <f>"1106"</f>
        <v>1106</v>
      </c>
      <c r="E16994" t="s">
        <v>460</v>
      </c>
      <c r="F16994" t="s">
        <v>3670</v>
      </c>
      <c r="G16994" t="s">
        <v>47091</v>
      </c>
      <c r="H16994" t="s">
        <v>47126</v>
      </c>
      <c r="I16994" t="s">
        <v>47127</v>
      </c>
      <c r="J16994" t="s">
        <v>47128</v>
      </c>
      <c r="K16994" t="s">
        <v>47113</v>
      </c>
      <c r="L16994">
        <v>15.4</v>
      </c>
      <c r="M16994">
        <v>31</v>
      </c>
      <c r="N16994">
        <v>0</v>
      </c>
      <c r="O16994">
        <v>31</v>
      </c>
      <c r="P16994">
        <v>0</v>
      </c>
    </row>
    <row r="16995" spans="1:16" x14ac:dyDescent="0.25">
      <c r="A16995" t="s">
        <v>39594</v>
      </c>
      <c r="B16995" t="s">
        <v>11036</v>
      </c>
      <c r="C16995" t="s">
        <v>11037</v>
      </c>
      <c r="D16995" t="str">
        <f>"1303"</f>
        <v>1303</v>
      </c>
      <c r="E16995" t="s">
        <v>4630</v>
      </c>
      <c r="F16995" t="s">
        <v>3670</v>
      </c>
      <c r="G16995" t="s">
        <v>47091</v>
      </c>
      <c r="H16995" t="s">
        <v>47126</v>
      </c>
      <c r="I16995" t="s">
        <v>47127</v>
      </c>
      <c r="J16995" t="s">
        <v>47128</v>
      </c>
      <c r="K16995" t="s">
        <v>47113</v>
      </c>
      <c r="L16995">
        <v>15.4</v>
      </c>
      <c r="M16995">
        <v>31</v>
      </c>
      <c r="N16995">
        <v>0</v>
      </c>
      <c r="O16995">
        <v>31</v>
      </c>
      <c r="P16995">
        <v>0</v>
      </c>
    </row>
    <row r="16996" spans="1:16" x14ac:dyDescent="0.25">
      <c r="A16996" t="s">
        <v>39595</v>
      </c>
      <c r="B16996" t="s">
        <v>11036</v>
      </c>
      <c r="C16996" t="s">
        <v>11037</v>
      </c>
      <c r="D16996" t="str">
        <f>"1377"</f>
        <v>1377</v>
      </c>
      <c r="E16996" t="s">
        <v>74</v>
      </c>
      <c r="F16996" t="s">
        <v>3670</v>
      </c>
      <c r="G16996" t="s">
        <v>47091</v>
      </c>
      <c r="H16996" t="s">
        <v>47126</v>
      </c>
      <c r="I16996" t="s">
        <v>47127</v>
      </c>
      <c r="J16996" t="s">
        <v>47128</v>
      </c>
      <c r="K16996" t="s">
        <v>47113</v>
      </c>
      <c r="L16996">
        <v>15.4</v>
      </c>
      <c r="M16996">
        <v>31</v>
      </c>
      <c r="N16996">
        <v>0</v>
      </c>
      <c r="O16996">
        <v>31</v>
      </c>
      <c r="P16996">
        <v>0</v>
      </c>
    </row>
    <row r="16997" spans="1:16" x14ac:dyDescent="0.25">
      <c r="A16997" t="s">
        <v>39596</v>
      </c>
      <c r="B16997" t="s">
        <v>11036</v>
      </c>
      <c r="C16997" t="s">
        <v>11037</v>
      </c>
      <c r="D16997" t="str">
        <f>"1403"</f>
        <v>1403</v>
      </c>
      <c r="E16997" t="s">
        <v>224</v>
      </c>
      <c r="F16997" t="s">
        <v>3670</v>
      </c>
      <c r="G16997" t="s">
        <v>47091</v>
      </c>
      <c r="H16997" t="s">
        <v>47126</v>
      </c>
      <c r="I16997" t="s">
        <v>47127</v>
      </c>
      <c r="J16997" t="s">
        <v>47128</v>
      </c>
      <c r="K16997" t="s">
        <v>47113</v>
      </c>
      <c r="L16997">
        <v>15.4</v>
      </c>
      <c r="M16997">
        <v>31</v>
      </c>
      <c r="N16997">
        <v>0</v>
      </c>
      <c r="O16997">
        <v>31</v>
      </c>
      <c r="P16997">
        <v>0</v>
      </c>
    </row>
    <row r="16998" spans="1:16" x14ac:dyDescent="0.25">
      <c r="A16998" t="s">
        <v>39597</v>
      </c>
      <c r="B16998" t="s">
        <v>11036</v>
      </c>
      <c r="C16998" t="s">
        <v>11037</v>
      </c>
      <c r="D16998" t="str">
        <f>"1700"</f>
        <v>1700</v>
      </c>
      <c r="E16998" t="s">
        <v>60</v>
      </c>
      <c r="F16998" t="s">
        <v>3670</v>
      </c>
      <c r="G16998" t="s">
        <v>47091</v>
      </c>
      <c r="H16998" t="s">
        <v>47126</v>
      </c>
      <c r="I16998" t="s">
        <v>47127</v>
      </c>
      <c r="J16998" t="s">
        <v>47128</v>
      </c>
      <c r="K16998" t="s">
        <v>47113</v>
      </c>
      <c r="L16998">
        <v>15.4</v>
      </c>
      <c r="M16998">
        <v>31</v>
      </c>
      <c r="N16998">
        <v>0</v>
      </c>
      <c r="O16998">
        <v>31</v>
      </c>
      <c r="P16998">
        <v>0</v>
      </c>
    </row>
    <row r="16999" spans="1:16" x14ac:dyDescent="0.25">
      <c r="A16999" t="s">
        <v>39598</v>
      </c>
      <c r="B16999" t="s">
        <v>11036</v>
      </c>
      <c r="C16999" t="s">
        <v>11037</v>
      </c>
      <c r="D16999" t="str">
        <f>"3501"</f>
        <v>3501</v>
      </c>
      <c r="E16999" t="s">
        <v>3758</v>
      </c>
      <c r="F16999" t="s">
        <v>3670</v>
      </c>
      <c r="G16999" t="s">
        <v>47091</v>
      </c>
      <c r="H16999" t="s">
        <v>47126</v>
      </c>
      <c r="I16999" t="s">
        <v>47127</v>
      </c>
      <c r="J16999" t="s">
        <v>47128</v>
      </c>
      <c r="K16999" t="s">
        <v>47113</v>
      </c>
      <c r="L16999">
        <v>15.4</v>
      </c>
      <c r="M16999">
        <v>31</v>
      </c>
      <c r="N16999">
        <v>0</v>
      </c>
      <c r="O16999">
        <v>31</v>
      </c>
      <c r="P16999">
        <v>0</v>
      </c>
    </row>
    <row r="17000" spans="1:16" x14ac:dyDescent="0.25">
      <c r="A17000" t="s">
        <v>39599</v>
      </c>
      <c r="B17000" t="s">
        <v>11036</v>
      </c>
      <c r="C17000" t="s">
        <v>11037</v>
      </c>
      <c r="D17000" t="str">
        <f>"4753"</f>
        <v>4753</v>
      </c>
      <c r="E17000" t="s">
        <v>3755</v>
      </c>
      <c r="F17000" t="s">
        <v>3670</v>
      </c>
      <c r="G17000" t="s">
        <v>47091</v>
      </c>
      <c r="H17000" t="s">
        <v>47126</v>
      </c>
      <c r="I17000" t="s">
        <v>47127</v>
      </c>
      <c r="J17000" t="s">
        <v>47128</v>
      </c>
      <c r="K17000" t="s">
        <v>47113</v>
      </c>
      <c r="L17000">
        <v>15.4</v>
      </c>
      <c r="M17000">
        <v>31</v>
      </c>
      <c r="N17000">
        <v>0</v>
      </c>
      <c r="O17000">
        <v>31</v>
      </c>
      <c r="P17000">
        <v>0</v>
      </c>
    </row>
    <row r="17001" spans="1:16" x14ac:dyDescent="0.25">
      <c r="A17001" t="s">
        <v>39600</v>
      </c>
      <c r="B17001" t="s">
        <v>11036</v>
      </c>
      <c r="C17001" t="s">
        <v>11037</v>
      </c>
      <c r="D17001" t="str">
        <f>"6500"</f>
        <v>6500</v>
      </c>
      <c r="E17001" t="s">
        <v>151</v>
      </c>
      <c r="F17001" t="s">
        <v>3670</v>
      </c>
      <c r="G17001" t="s">
        <v>47091</v>
      </c>
      <c r="H17001" t="s">
        <v>47126</v>
      </c>
      <c r="I17001" t="s">
        <v>47127</v>
      </c>
      <c r="J17001" t="s">
        <v>47128</v>
      </c>
      <c r="K17001" t="s">
        <v>47113</v>
      </c>
      <c r="L17001">
        <v>15.4</v>
      </c>
      <c r="M17001">
        <v>31</v>
      </c>
      <c r="N17001">
        <v>0</v>
      </c>
      <c r="O17001">
        <v>31</v>
      </c>
      <c r="P17001">
        <v>0</v>
      </c>
    </row>
    <row r="17002" spans="1:16" x14ac:dyDescent="0.25">
      <c r="A17002" t="s">
        <v>39601</v>
      </c>
      <c r="B17002" t="s">
        <v>11036</v>
      </c>
      <c r="C17002" t="s">
        <v>11037</v>
      </c>
      <c r="D17002" t="str">
        <f>"8039"</f>
        <v>8039</v>
      </c>
      <c r="E17002" t="s">
        <v>4631</v>
      </c>
      <c r="F17002" t="s">
        <v>3670</v>
      </c>
      <c r="G17002" t="s">
        <v>47091</v>
      </c>
      <c r="H17002" t="s">
        <v>47126</v>
      </c>
      <c r="I17002" t="s">
        <v>47127</v>
      </c>
      <c r="J17002" t="s">
        <v>47128</v>
      </c>
      <c r="K17002" t="s">
        <v>47113</v>
      </c>
      <c r="L17002">
        <v>15.4</v>
      </c>
      <c r="M17002">
        <v>31</v>
      </c>
      <c r="N17002">
        <v>0</v>
      </c>
      <c r="O17002">
        <v>31</v>
      </c>
      <c r="P17002">
        <v>0</v>
      </c>
    </row>
    <row r="17003" spans="1:16" x14ac:dyDescent="0.25">
      <c r="A17003" t="s">
        <v>39602</v>
      </c>
      <c r="B17003" t="s">
        <v>11038</v>
      </c>
      <c r="C17003" t="s">
        <v>14293</v>
      </c>
      <c r="D17003" t="str">
        <f>"1106"</f>
        <v>1106</v>
      </c>
      <c r="E17003" t="s">
        <v>460</v>
      </c>
      <c r="F17003" t="s">
        <v>3670</v>
      </c>
      <c r="G17003" t="s">
        <v>47091</v>
      </c>
      <c r="H17003" t="s">
        <v>47126</v>
      </c>
      <c r="I17003" t="s">
        <v>47127</v>
      </c>
      <c r="J17003" t="s">
        <v>47128</v>
      </c>
      <c r="K17003" t="s">
        <v>47113</v>
      </c>
      <c r="L17003">
        <v>11.34</v>
      </c>
      <c r="M17003">
        <v>27</v>
      </c>
      <c r="N17003">
        <v>0</v>
      </c>
      <c r="O17003">
        <v>27</v>
      </c>
      <c r="P17003">
        <v>0</v>
      </c>
    </row>
    <row r="17004" spans="1:16" x14ac:dyDescent="0.25">
      <c r="A17004" t="s">
        <v>39603</v>
      </c>
      <c r="B17004" t="s">
        <v>11038</v>
      </c>
      <c r="C17004" t="s">
        <v>14293</v>
      </c>
      <c r="D17004" t="str">
        <f>"1377"</f>
        <v>1377</v>
      </c>
      <c r="E17004" t="s">
        <v>74</v>
      </c>
      <c r="F17004" t="s">
        <v>3670</v>
      </c>
      <c r="G17004" t="s">
        <v>47091</v>
      </c>
      <c r="H17004" t="s">
        <v>47126</v>
      </c>
      <c r="I17004" t="s">
        <v>47127</v>
      </c>
      <c r="J17004" t="s">
        <v>47128</v>
      </c>
      <c r="K17004" t="s">
        <v>47113</v>
      </c>
      <c r="L17004">
        <v>11.34</v>
      </c>
      <c r="M17004">
        <v>27</v>
      </c>
      <c r="N17004">
        <v>0</v>
      </c>
      <c r="O17004">
        <v>27</v>
      </c>
      <c r="P17004">
        <v>0</v>
      </c>
    </row>
    <row r="17005" spans="1:16" x14ac:dyDescent="0.25">
      <c r="A17005" t="s">
        <v>39604</v>
      </c>
      <c r="B17005" t="s">
        <v>11038</v>
      </c>
      <c r="C17005" t="s">
        <v>14293</v>
      </c>
      <c r="D17005" t="str">
        <f>"4753"</f>
        <v>4753</v>
      </c>
      <c r="E17005" t="s">
        <v>3755</v>
      </c>
      <c r="F17005" t="s">
        <v>3670</v>
      </c>
      <c r="G17005" t="s">
        <v>47091</v>
      </c>
      <c r="H17005" t="s">
        <v>47126</v>
      </c>
      <c r="I17005" t="s">
        <v>47127</v>
      </c>
      <c r="J17005" t="s">
        <v>47128</v>
      </c>
      <c r="K17005" t="s">
        <v>47113</v>
      </c>
      <c r="L17005">
        <v>11.34</v>
      </c>
      <c r="M17005">
        <v>27</v>
      </c>
      <c r="N17005">
        <v>0</v>
      </c>
      <c r="O17005">
        <v>27</v>
      </c>
      <c r="P17005">
        <v>0</v>
      </c>
    </row>
    <row r="17006" spans="1:16" x14ac:dyDescent="0.25">
      <c r="A17006" t="s">
        <v>39605</v>
      </c>
      <c r="B17006" t="s">
        <v>11038</v>
      </c>
      <c r="C17006" t="s">
        <v>14293</v>
      </c>
      <c r="D17006" t="str">
        <f>"6500"</f>
        <v>6500</v>
      </c>
      <c r="E17006" t="s">
        <v>151</v>
      </c>
      <c r="F17006" t="s">
        <v>3670</v>
      </c>
      <c r="G17006" t="s">
        <v>47091</v>
      </c>
      <c r="H17006" t="s">
        <v>47126</v>
      </c>
      <c r="I17006" t="s">
        <v>47127</v>
      </c>
      <c r="J17006" t="s">
        <v>47128</v>
      </c>
      <c r="K17006" t="s">
        <v>47113</v>
      </c>
      <c r="L17006">
        <v>11.34</v>
      </c>
      <c r="M17006">
        <v>27</v>
      </c>
      <c r="N17006">
        <v>0</v>
      </c>
      <c r="O17006">
        <v>27</v>
      </c>
      <c r="P17006">
        <v>0</v>
      </c>
    </row>
    <row r="17007" spans="1:16" x14ac:dyDescent="0.25">
      <c r="A17007" t="s">
        <v>39606</v>
      </c>
      <c r="B17007" t="s">
        <v>11038</v>
      </c>
      <c r="C17007" t="s">
        <v>14293</v>
      </c>
      <c r="D17007" t="str">
        <f>"8039"</f>
        <v>8039</v>
      </c>
      <c r="E17007" t="s">
        <v>4631</v>
      </c>
      <c r="F17007" t="s">
        <v>3670</v>
      </c>
      <c r="G17007" t="s">
        <v>47091</v>
      </c>
      <c r="H17007" t="s">
        <v>47126</v>
      </c>
      <c r="I17007" t="s">
        <v>47127</v>
      </c>
      <c r="J17007" t="s">
        <v>47128</v>
      </c>
      <c r="K17007" t="s">
        <v>47113</v>
      </c>
      <c r="L17007">
        <v>11.34</v>
      </c>
      <c r="M17007">
        <v>55</v>
      </c>
      <c r="N17007">
        <v>0</v>
      </c>
      <c r="O17007">
        <v>55</v>
      </c>
      <c r="P17007">
        <v>0</v>
      </c>
    </row>
    <row r="17008" spans="1:16" x14ac:dyDescent="0.25">
      <c r="A17008" t="s">
        <v>39607</v>
      </c>
      <c r="B17008" t="s">
        <v>11039</v>
      </c>
      <c r="C17008" t="s">
        <v>11040</v>
      </c>
      <c r="D17008" t="str">
        <f>"1106"</f>
        <v>1106</v>
      </c>
      <c r="E17008" t="s">
        <v>460</v>
      </c>
      <c r="F17008" t="s">
        <v>3670</v>
      </c>
      <c r="G17008" t="s">
        <v>47091</v>
      </c>
      <c r="H17008" t="s">
        <v>47126</v>
      </c>
      <c r="I17008" t="s">
        <v>47127</v>
      </c>
      <c r="J17008" t="s">
        <v>47128</v>
      </c>
      <c r="K17008" t="s">
        <v>47113</v>
      </c>
      <c r="L17008">
        <v>14.21</v>
      </c>
      <c r="M17008">
        <v>31</v>
      </c>
      <c r="N17008">
        <v>0</v>
      </c>
      <c r="O17008">
        <v>31</v>
      </c>
      <c r="P17008">
        <v>0</v>
      </c>
    </row>
    <row r="17009" spans="1:16" x14ac:dyDescent="0.25">
      <c r="A17009" t="s">
        <v>39608</v>
      </c>
      <c r="B17009" t="s">
        <v>11039</v>
      </c>
      <c r="C17009" t="s">
        <v>11040</v>
      </c>
      <c r="D17009" t="str">
        <f>"1303"</f>
        <v>1303</v>
      </c>
      <c r="E17009" t="s">
        <v>4630</v>
      </c>
      <c r="F17009" t="s">
        <v>3670</v>
      </c>
      <c r="G17009" t="s">
        <v>47091</v>
      </c>
      <c r="H17009" t="s">
        <v>47126</v>
      </c>
      <c r="I17009" t="s">
        <v>47127</v>
      </c>
      <c r="J17009" t="s">
        <v>47128</v>
      </c>
      <c r="K17009" t="s">
        <v>47113</v>
      </c>
      <c r="L17009">
        <v>14.21</v>
      </c>
      <c r="M17009">
        <v>31</v>
      </c>
      <c r="N17009">
        <v>0</v>
      </c>
      <c r="O17009">
        <v>31</v>
      </c>
      <c r="P17009">
        <v>0</v>
      </c>
    </row>
    <row r="17010" spans="1:16" x14ac:dyDescent="0.25">
      <c r="A17010" t="s">
        <v>39609</v>
      </c>
      <c r="B17010" t="s">
        <v>11039</v>
      </c>
      <c r="C17010" t="s">
        <v>11040</v>
      </c>
      <c r="D17010" t="str">
        <f>"1377"</f>
        <v>1377</v>
      </c>
      <c r="E17010" t="s">
        <v>74</v>
      </c>
      <c r="F17010" t="s">
        <v>3670</v>
      </c>
      <c r="G17010" t="s">
        <v>47091</v>
      </c>
      <c r="H17010" t="s">
        <v>47126</v>
      </c>
      <c r="I17010" t="s">
        <v>47127</v>
      </c>
      <c r="J17010" t="s">
        <v>47128</v>
      </c>
      <c r="K17010" t="s">
        <v>47113</v>
      </c>
      <c r="L17010">
        <v>14.21</v>
      </c>
      <c r="M17010">
        <v>31</v>
      </c>
      <c r="N17010">
        <v>0</v>
      </c>
      <c r="O17010">
        <v>31</v>
      </c>
      <c r="P17010">
        <v>0</v>
      </c>
    </row>
    <row r="17011" spans="1:16" x14ac:dyDescent="0.25">
      <c r="A17011" t="s">
        <v>39610</v>
      </c>
      <c r="B17011" t="s">
        <v>11039</v>
      </c>
      <c r="C17011" t="s">
        <v>11040</v>
      </c>
      <c r="D17011" t="str">
        <f>"1403"</f>
        <v>1403</v>
      </c>
      <c r="E17011" t="s">
        <v>224</v>
      </c>
      <c r="F17011" t="s">
        <v>3670</v>
      </c>
      <c r="G17011" t="s">
        <v>47091</v>
      </c>
      <c r="H17011" t="s">
        <v>47126</v>
      </c>
      <c r="I17011" t="s">
        <v>47127</v>
      </c>
      <c r="J17011" t="s">
        <v>47128</v>
      </c>
      <c r="K17011" t="s">
        <v>47113</v>
      </c>
      <c r="L17011">
        <v>14.21</v>
      </c>
      <c r="M17011">
        <v>31</v>
      </c>
      <c r="N17011">
        <v>0</v>
      </c>
      <c r="O17011">
        <v>31</v>
      </c>
      <c r="P17011">
        <v>0</v>
      </c>
    </row>
    <row r="17012" spans="1:16" x14ac:dyDescent="0.25">
      <c r="A17012" t="s">
        <v>39611</v>
      </c>
      <c r="B17012" t="s">
        <v>11039</v>
      </c>
      <c r="C17012" t="s">
        <v>11040</v>
      </c>
      <c r="D17012" t="str">
        <f>"1700"</f>
        <v>1700</v>
      </c>
      <c r="E17012" t="s">
        <v>60</v>
      </c>
      <c r="F17012" t="s">
        <v>3670</v>
      </c>
      <c r="G17012" t="s">
        <v>47091</v>
      </c>
      <c r="H17012" t="s">
        <v>47126</v>
      </c>
      <c r="I17012" t="s">
        <v>47127</v>
      </c>
      <c r="J17012" t="s">
        <v>47128</v>
      </c>
      <c r="K17012" t="s">
        <v>47113</v>
      </c>
      <c r="L17012">
        <v>14.21</v>
      </c>
      <c r="M17012">
        <v>31</v>
      </c>
      <c r="N17012">
        <v>0</v>
      </c>
      <c r="O17012">
        <v>31</v>
      </c>
      <c r="P17012">
        <v>0</v>
      </c>
    </row>
    <row r="17013" spans="1:16" x14ac:dyDescent="0.25">
      <c r="A17013" t="s">
        <v>39612</v>
      </c>
      <c r="B17013" t="s">
        <v>11039</v>
      </c>
      <c r="C17013" t="s">
        <v>11040</v>
      </c>
      <c r="D17013" t="str">
        <f>"3501"</f>
        <v>3501</v>
      </c>
      <c r="E17013" t="s">
        <v>3758</v>
      </c>
      <c r="F17013" t="s">
        <v>3670</v>
      </c>
      <c r="G17013" t="s">
        <v>47091</v>
      </c>
      <c r="H17013" t="s">
        <v>47126</v>
      </c>
      <c r="I17013" t="s">
        <v>47127</v>
      </c>
      <c r="J17013" t="s">
        <v>47128</v>
      </c>
      <c r="K17013" t="s">
        <v>47113</v>
      </c>
      <c r="L17013">
        <v>14.21</v>
      </c>
      <c r="M17013">
        <v>31</v>
      </c>
      <c r="N17013">
        <v>0</v>
      </c>
      <c r="O17013">
        <v>31</v>
      </c>
      <c r="P17013">
        <v>0</v>
      </c>
    </row>
    <row r="17014" spans="1:16" x14ac:dyDescent="0.25">
      <c r="A17014" t="s">
        <v>39613</v>
      </c>
      <c r="B17014" t="s">
        <v>11039</v>
      </c>
      <c r="C17014" t="s">
        <v>11040</v>
      </c>
      <c r="D17014" t="str">
        <f>"4753"</f>
        <v>4753</v>
      </c>
      <c r="E17014" t="s">
        <v>3755</v>
      </c>
      <c r="F17014" t="s">
        <v>3670</v>
      </c>
      <c r="G17014" t="s">
        <v>47091</v>
      </c>
      <c r="H17014" t="s">
        <v>47126</v>
      </c>
      <c r="I17014" t="s">
        <v>47127</v>
      </c>
      <c r="J17014" t="s">
        <v>47128</v>
      </c>
      <c r="K17014" t="s">
        <v>47113</v>
      </c>
      <c r="L17014">
        <v>14.21</v>
      </c>
      <c r="M17014">
        <v>31</v>
      </c>
      <c r="N17014">
        <v>0</v>
      </c>
      <c r="O17014">
        <v>31</v>
      </c>
      <c r="P17014">
        <v>0</v>
      </c>
    </row>
    <row r="17015" spans="1:16" x14ac:dyDescent="0.25">
      <c r="A17015" t="s">
        <v>39614</v>
      </c>
      <c r="B17015" t="s">
        <v>11039</v>
      </c>
      <c r="C17015" t="s">
        <v>11040</v>
      </c>
      <c r="D17015" t="str">
        <f>"6500"</f>
        <v>6500</v>
      </c>
      <c r="E17015" t="s">
        <v>151</v>
      </c>
      <c r="F17015" t="s">
        <v>3670</v>
      </c>
      <c r="G17015" t="s">
        <v>47091</v>
      </c>
      <c r="H17015" t="s">
        <v>47126</v>
      </c>
      <c r="I17015" t="s">
        <v>47127</v>
      </c>
      <c r="J17015" t="s">
        <v>47128</v>
      </c>
      <c r="K17015" t="s">
        <v>47113</v>
      </c>
      <c r="L17015">
        <v>14.21</v>
      </c>
      <c r="M17015">
        <v>31</v>
      </c>
      <c r="N17015">
        <v>0</v>
      </c>
      <c r="O17015">
        <v>31</v>
      </c>
      <c r="P17015">
        <v>0</v>
      </c>
    </row>
    <row r="17016" spans="1:16" x14ac:dyDescent="0.25">
      <c r="A17016" t="s">
        <v>39615</v>
      </c>
      <c r="B17016" t="s">
        <v>11039</v>
      </c>
      <c r="C17016" t="s">
        <v>11040</v>
      </c>
      <c r="D17016" t="str">
        <f>"8039"</f>
        <v>8039</v>
      </c>
      <c r="E17016" t="s">
        <v>4631</v>
      </c>
      <c r="F17016" t="s">
        <v>3670</v>
      </c>
      <c r="G17016" t="s">
        <v>47091</v>
      </c>
      <c r="H17016" t="s">
        <v>47126</v>
      </c>
      <c r="I17016" t="s">
        <v>47127</v>
      </c>
      <c r="J17016" t="s">
        <v>47128</v>
      </c>
      <c r="K17016" t="s">
        <v>47113</v>
      </c>
      <c r="L17016">
        <v>14.21</v>
      </c>
      <c r="M17016">
        <v>31</v>
      </c>
      <c r="N17016">
        <v>0</v>
      </c>
      <c r="O17016">
        <v>31</v>
      </c>
      <c r="P17016">
        <v>0</v>
      </c>
    </row>
    <row r="17017" spans="1:16" x14ac:dyDescent="0.25">
      <c r="A17017" t="s">
        <v>39616</v>
      </c>
      <c r="B17017" t="s">
        <v>11041</v>
      </c>
      <c r="C17017" t="s">
        <v>11042</v>
      </c>
      <c r="D17017" t="str">
        <f>"1106"</f>
        <v>1106</v>
      </c>
      <c r="E17017" t="s">
        <v>460</v>
      </c>
      <c r="F17017" t="s">
        <v>3670</v>
      </c>
      <c r="G17017" t="s">
        <v>47091</v>
      </c>
      <c r="H17017" t="s">
        <v>47126</v>
      </c>
      <c r="I17017" t="s">
        <v>47127</v>
      </c>
      <c r="J17017" t="s">
        <v>47128</v>
      </c>
      <c r="K17017" t="s">
        <v>47113</v>
      </c>
      <c r="L17017">
        <v>14.21</v>
      </c>
      <c r="M17017">
        <v>27</v>
      </c>
      <c r="N17017">
        <v>0</v>
      </c>
      <c r="O17017">
        <v>27</v>
      </c>
      <c r="P17017">
        <v>0</v>
      </c>
    </row>
    <row r="17018" spans="1:16" x14ac:dyDescent="0.25">
      <c r="A17018" t="s">
        <v>39617</v>
      </c>
      <c r="B17018" t="s">
        <v>11041</v>
      </c>
      <c r="C17018" t="s">
        <v>11042</v>
      </c>
      <c r="D17018" t="str">
        <f>"1303"</f>
        <v>1303</v>
      </c>
      <c r="E17018" t="s">
        <v>4630</v>
      </c>
      <c r="F17018" t="s">
        <v>3670</v>
      </c>
      <c r="G17018" t="s">
        <v>47091</v>
      </c>
      <c r="H17018" t="s">
        <v>47126</v>
      </c>
      <c r="I17018" t="s">
        <v>47127</v>
      </c>
      <c r="J17018" t="s">
        <v>47128</v>
      </c>
      <c r="K17018" t="s">
        <v>47113</v>
      </c>
      <c r="L17018">
        <v>14.21</v>
      </c>
      <c r="M17018">
        <v>27</v>
      </c>
      <c r="N17018">
        <v>0</v>
      </c>
      <c r="O17018">
        <v>27</v>
      </c>
      <c r="P17018">
        <v>0</v>
      </c>
    </row>
    <row r="17019" spans="1:16" x14ac:dyDescent="0.25">
      <c r="A17019" t="s">
        <v>39618</v>
      </c>
      <c r="B17019" t="s">
        <v>11041</v>
      </c>
      <c r="C17019" t="s">
        <v>11042</v>
      </c>
      <c r="D17019" t="str">
        <f>"1377"</f>
        <v>1377</v>
      </c>
      <c r="E17019" t="s">
        <v>74</v>
      </c>
      <c r="F17019" t="s">
        <v>3670</v>
      </c>
      <c r="G17019" t="s">
        <v>47091</v>
      </c>
      <c r="H17019" t="s">
        <v>47126</v>
      </c>
      <c r="I17019" t="s">
        <v>47127</v>
      </c>
      <c r="J17019" t="s">
        <v>47128</v>
      </c>
      <c r="K17019" t="s">
        <v>47113</v>
      </c>
      <c r="L17019">
        <v>14.21</v>
      </c>
      <c r="M17019">
        <v>27</v>
      </c>
      <c r="N17019">
        <v>0</v>
      </c>
      <c r="O17019">
        <v>27</v>
      </c>
      <c r="P17019">
        <v>0</v>
      </c>
    </row>
    <row r="17020" spans="1:16" x14ac:dyDescent="0.25">
      <c r="A17020" t="s">
        <v>39619</v>
      </c>
      <c r="B17020" t="s">
        <v>11041</v>
      </c>
      <c r="C17020" t="s">
        <v>11042</v>
      </c>
      <c r="D17020" t="str">
        <f>"1403"</f>
        <v>1403</v>
      </c>
      <c r="E17020" t="s">
        <v>224</v>
      </c>
      <c r="F17020" t="s">
        <v>3670</v>
      </c>
      <c r="G17020" t="s">
        <v>47091</v>
      </c>
      <c r="H17020" t="s">
        <v>47126</v>
      </c>
      <c r="I17020" t="s">
        <v>47127</v>
      </c>
      <c r="J17020" t="s">
        <v>47128</v>
      </c>
      <c r="K17020" t="s">
        <v>47113</v>
      </c>
      <c r="L17020">
        <v>14.21</v>
      </c>
      <c r="M17020">
        <v>27</v>
      </c>
      <c r="N17020">
        <v>0</v>
      </c>
      <c r="O17020">
        <v>27</v>
      </c>
      <c r="P17020">
        <v>0</v>
      </c>
    </row>
    <row r="17021" spans="1:16" x14ac:dyDescent="0.25">
      <c r="A17021" t="s">
        <v>39620</v>
      </c>
      <c r="B17021" t="s">
        <v>11041</v>
      </c>
      <c r="C17021" t="s">
        <v>11042</v>
      </c>
      <c r="D17021" t="str">
        <f>"1700"</f>
        <v>1700</v>
      </c>
      <c r="E17021" t="s">
        <v>60</v>
      </c>
      <c r="F17021" t="s">
        <v>3670</v>
      </c>
      <c r="G17021" t="s">
        <v>47091</v>
      </c>
      <c r="H17021" t="s">
        <v>47126</v>
      </c>
      <c r="I17021" t="s">
        <v>47127</v>
      </c>
      <c r="J17021" t="s">
        <v>47128</v>
      </c>
      <c r="K17021" t="s">
        <v>47113</v>
      </c>
      <c r="L17021">
        <v>14.21</v>
      </c>
      <c r="M17021">
        <v>27</v>
      </c>
      <c r="N17021">
        <v>0</v>
      </c>
      <c r="O17021">
        <v>27</v>
      </c>
      <c r="P17021">
        <v>0</v>
      </c>
    </row>
    <row r="17022" spans="1:16" x14ac:dyDescent="0.25">
      <c r="A17022" t="s">
        <v>39621</v>
      </c>
      <c r="B17022" t="s">
        <v>11041</v>
      </c>
      <c r="C17022" t="s">
        <v>11042</v>
      </c>
      <c r="D17022" t="str">
        <f>"3501"</f>
        <v>3501</v>
      </c>
      <c r="E17022" t="s">
        <v>3758</v>
      </c>
      <c r="F17022" t="s">
        <v>3670</v>
      </c>
      <c r="G17022" t="s">
        <v>47091</v>
      </c>
      <c r="H17022" t="s">
        <v>47126</v>
      </c>
      <c r="I17022" t="s">
        <v>47127</v>
      </c>
      <c r="J17022" t="s">
        <v>47128</v>
      </c>
      <c r="K17022" t="s">
        <v>47113</v>
      </c>
      <c r="L17022">
        <v>14.21</v>
      </c>
      <c r="M17022">
        <v>27</v>
      </c>
      <c r="N17022">
        <v>0</v>
      </c>
      <c r="O17022">
        <v>27</v>
      </c>
      <c r="P17022">
        <v>0</v>
      </c>
    </row>
    <row r="17023" spans="1:16" x14ac:dyDescent="0.25">
      <c r="A17023" t="s">
        <v>39622</v>
      </c>
      <c r="B17023" t="s">
        <v>11041</v>
      </c>
      <c r="C17023" t="s">
        <v>11042</v>
      </c>
      <c r="D17023" t="str">
        <f>"4753"</f>
        <v>4753</v>
      </c>
      <c r="E17023" t="s">
        <v>3755</v>
      </c>
      <c r="F17023" t="s">
        <v>3670</v>
      </c>
      <c r="G17023" t="s">
        <v>47091</v>
      </c>
      <c r="H17023" t="s">
        <v>47126</v>
      </c>
      <c r="I17023" t="s">
        <v>47127</v>
      </c>
      <c r="J17023" t="s">
        <v>47128</v>
      </c>
      <c r="K17023" t="s">
        <v>47113</v>
      </c>
      <c r="L17023">
        <v>14.21</v>
      </c>
      <c r="M17023">
        <v>27</v>
      </c>
      <c r="N17023">
        <v>0</v>
      </c>
      <c r="O17023">
        <v>27</v>
      </c>
      <c r="P17023">
        <v>0</v>
      </c>
    </row>
    <row r="17024" spans="1:16" x14ac:dyDescent="0.25">
      <c r="A17024" t="s">
        <v>39623</v>
      </c>
      <c r="B17024" t="s">
        <v>11041</v>
      </c>
      <c r="C17024" t="s">
        <v>11042</v>
      </c>
      <c r="D17024" t="str">
        <f>"6500"</f>
        <v>6500</v>
      </c>
      <c r="E17024" t="s">
        <v>151</v>
      </c>
      <c r="F17024" t="s">
        <v>3670</v>
      </c>
      <c r="G17024" t="s">
        <v>47091</v>
      </c>
      <c r="H17024" t="s">
        <v>47126</v>
      </c>
      <c r="I17024" t="s">
        <v>47127</v>
      </c>
      <c r="J17024" t="s">
        <v>47128</v>
      </c>
      <c r="K17024" t="s">
        <v>47113</v>
      </c>
      <c r="L17024">
        <v>14.21</v>
      </c>
      <c r="M17024">
        <v>27</v>
      </c>
      <c r="N17024">
        <v>0</v>
      </c>
      <c r="O17024">
        <v>27</v>
      </c>
      <c r="P17024">
        <v>0</v>
      </c>
    </row>
    <row r="17025" spans="1:16" x14ac:dyDescent="0.25">
      <c r="A17025" t="s">
        <v>39624</v>
      </c>
      <c r="B17025" t="s">
        <v>11041</v>
      </c>
      <c r="C17025" t="s">
        <v>11042</v>
      </c>
      <c r="D17025" t="str">
        <f>"8039"</f>
        <v>8039</v>
      </c>
      <c r="E17025" t="s">
        <v>4631</v>
      </c>
      <c r="F17025" t="s">
        <v>3670</v>
      </c>
      <c r="G17025" t="s">
        <v>47091</v>
      </c>
      <c r="H17025" t="s">
        <v>47126</v>
      </c>
      <c r="I17025" t="s">
        <v>47127</v>
      </c>
      <c r="J17025" t="s">
        <v>47128</v>
      </c>
      <c r="K17025" t="s">
        <v>47113</v>
      </c>
      <c r="L17025">
        <v>14.21</v>
      </c>
      <c r="M17025">
        <v>27</v>
      </c>
      <c r="N17025">
        <v>0</v>
      </c>
      <c r="O17025">
        <v>27</v>
      </c>
      <c r="P17025">
        <v>0</v>
      </c>
    </row>
    <row r="17026" spans="1:16" x14ac:dyDescent="0.25">
      <c r="A17026" t="s">
        <v>39625</v>
      </c>
      <c r="B17026" t="s">
        <v>11043</v>
      </c>
      <c r="C17026" t="s">
        <v>11042</v>
      </c>
      <c r="D17026" t="str">
        <f>"1106"</f>
        <v>1106</v>
      </c>
      <c r="E17026" t="s">
        <v>460</v>
      </c>
      <c r="F17026" t="s">
        <v>3670</v>
      </c>
      <c r="G17026" t="s">
        <v>47091</v>
      </c>
      <c r="H17026" t="s">
        <v>47126</v>
      </c>
      <c r="I17026" t="s">
        <v>47127</v>
      </c>
      <c r="J17026" t="s">
        <v>47128</v>
      </c>
      <c r="K17026" t="s">
        <v>47113</v>
      </c>
      <c r="L17026">
        <v>14.21</v>
      </c>
      <c r="M17026">
        <v>27</v>
      </c>
      <c r="N17026">
        <v>0</v>
      </c>
      <c r="O17026">
        <v>27</v>
      </c>
      <c r="P17026">
        <v>0</v>
      </c>
    </row>
    <row r="17027" spans="1:16" x14ac:dyDescent="0.25">
      <c r="A17027" t="s">
        <v>39626</v>
      </c>
      <c r="B17027" t="s">
        <v>11043</v>
      </c>
      <c r="C17027" t="s">
        <v>11042</v>
      </c>
      <c r="D17027" t="str">
        <f>"1303"</f>
        <v>1303</v>
      </c>
      <c r="E17027" t="s">
        <v>4630</v>
      </c>
      <c r="F17027" t="s">
        <v>3670</v>
      </c>
      <c r="G17027" t="s">
        <v>47091</v>
      </c>
      <c r="H17027" t="s">
        <v>47126</v>
      </c>
      <c r="I17027" t="s">
        <v>47127</v>
      </c>
      <c r="J17027" t="s">
        <v>47128</v>
      </c>
      <c r="K17027" t="s">
        <v>47113</v>
      </c>
      <c r="L17027">
        <v>14.21</v>
      </c>
      <c r="M17027">
        <v>27</v>
      </c>
      <c r="N17027">
        <v>0</v>
      </c>
      <c r="O17027">
        <v>27</v>
      </c>
      <c r="P17027">
        <v>0</v>
      </c>
    </row>
    <row r="17028" spans="1:16" x14ac:dyDescent="0.25">
      <c r="A17028" t="s">
        <v>39627</v>
      </c>
      <c r="B17028" t="s">
        <v>11043</v>
      </c>
      <c r="C17028" t="s">
        <v>11042</v>
      </c>
      <c r="D17028" t="str">
        <f>"1377"</f>
        <v>1377</v>
      </c>
      <c r="E17028" t="s">
        <v>74</v>
      </c>
      <c r="F17028" t="s">
        <v>3670</v>
      </c>
      <c r="G17028" t="s">
        <v>47091</v>
      </c>
      <c r="H17028" t="s">
        <v>47126</v>
      </c>
      <c r="I17028" t="s">
        <v>47127</v>
      </c>
      <c r="J17028" t="s">
        <v>47128</v>
      </c>
      <c r="K17028" t="s">
        <v>47113</v>
      </c>
      <c r="L17028">
        <v>14.21</v>
      </c>
      <c r="M17028">
        <v>27</v>
      </c>
      <c r="N17028">
        <v>0</v>
      </c>
      <c r="O17028">
        <v>27</v>
      </c>
      <c r="P17028">
        <v>0</v>
      </c>
    </row>
    <row r="17029" spans="1:16" x14ac:dyDescent="0.25">
      <c r="A17029" t="s">
        <v>39628</v>
      </c>
      <c r="B17029" t="s">
        <v>11043</v>
      </c>
      <c r="C17029" t="s">
        <v>11042</v>
      </c>
      <c r="D17029" t="str">
        <f>"1403"</f>
        <v>1403</v>
      </c>
      <c r="E17029" t="s">
        <v>224</v>
      </c>
      <c r="F17029" t="s">
        <v>3670</v>
      </c>
      <c r="G17029" t="s">
        <v>47091</v>
      </c>
      <c r="H17029" t="s">
        <v>47126</v>
      </c>
      <c r="I17029" t="s">
        <v>47127</v>
      </c>
      <c r="J17029" t="s">
        <v>47128</v>
      </c>
      <c r="K17029" t="s">
        <v>47113</v>
      </c>
      <c r="L17029">
        <v>14.21</v>
      </c>
      <c r="M17029">
        <v>27</v>
      </c>
      <c r="N17029">
        <v>0</v>
      </c>
      <c r="O17029">
        <v>27</v>
      </c>
      <c r="P17029">
        <v>0</v>
      </c>
    </row>
    <row r="17030" spans="1:16" x14ac:dyDescent="0.25">
      <c r="A17030" t="s">
        <v>39629</v>
      </c>
      <c r="B17030" t="s">
        <v>11043</v>
      </c>
      <c r="C17030" t="s">
        <v>11042</v>
      </c>
      <c r="D17030" t="str">
        <f>"1700"</f>
        <v>1700</v>
      </c>
      <c r="E17030" t="s">
        <v>60</v>
      </c>
      <c r="F17030" t="s">
        <v>3670</v>
      </c>
      <c r="G17030" t="s">
        <v>47091</v>
      </c>
      <c r="H17030" t="s">
        <v>47126</v>
      </c>
      <c r="I17030" t="s">
        <v>47127</v>
      </c>
      <c r="J17030" t="s">
        <v>47128</v>
      </c>
      <c r="K17030" t="s">
        <v>47113</v>
      </c>
      <c r="L17030">
        <v>14.21</v>
      </c>
      <c r="M17030">
        <v>27</v>
      </c>
      <c r="N17030">
        <v>0</v>
      </c>
      <c r="O17030">
        <v>27</v>
      </c>
      <c r="P17030">
        <v>0</v>
      </c>
    </row>
    <row r="17031" spans="1:16" x14ac:dyDescent="0.25">
      <c r="A17031" t="s">
        <v>39630</v>
      </c>
      <c r="B17031" t="s">
        <v>11043</v>
      </c>
      <c r="C17031" t="s">
        <v>11042</v>
      </c>
      <c r="D17031" t="str">
        <f>"3501"</f>
        <v>3501</v>
      </c>
      <c r="E17031" t="s">
        <v>3758</v>
      </c>
      <c r="F17031" t="s">
        <v>3670</v>
      </c>
      <c r="G17031" t="s">
        <v>47091</v>
      </c>
      <c r="H17031" t="s">
        <v>47126</v>
      </c>
      <c r="I17031" t="s">
        <v>47127</v>
      </c>
      <c r="J17031" t="s">
        <v>47128</v>
      </c>
      <c r="K17031" t="s">
        <v>47113</v>
      </c>
      <c r="L17031">
        <v>14.21</v>
      </c>
      <c r="M17031">
        <v>27</v>
      </c>
      <c r="N17031">
        <v>0</v>
      </c>
      <c r="O17031">
        <v>27</v>
      </c>
      <c r="P17031">
        <v>0</v>
      </c>
    </row>
    <row r="17032" spans="1:16" x14ac:dyDescent="0.25">
      <c r="A17032" t="s">
        <v>39631</v>
      </c>
      <c r="B17032" t="s">
        <v>11043</v>
      </c>
      <c r="C17032" t="s">
        <v>11042</v>
      </c>
      <c r="D17032" t="str">
        <f>"4753"</f>
        <v>4753</v>
      </c>
      <c r="E17032" t="s">
        <v>3755</v>
      </c>
      <c r="F17032" t="s">
        <v>3670</v>
      </c>
      <c r="G17032" t="s">
        <v>47091</v>
      </c>
      <c r="H17032" t="s">
        <v>47126</v>
      </c>
      <c r="I17032" t="s">
        <v>47127</v>
      </c>
      <c r="J17032" t="s">
        <v>47128</v>
      </c>
      <c r="K17032" t="s">
        <v>47113</v>
      </c>
      <c r="L17032">
        <v>14.21</v>
      </c>
      <c r="M17032">
        <v>27</v>
      </c>
      <c r="N17032">
        <v>0</v>
      </c>
      <c r="O17032">
        <v>27</v>
      </c>
      <c r="P17032">
        <v>0</v>
      </c>
    </row>
    <row r="17033" spans="1:16" x14ac:dyDescent="0.25">
      <c r="A17033" t="s">
        <v>39632</v>
      </c>
      <c r="B17033" t="s">
        <v>11043</v>
      </c>
      <c r="C17033" t="s">
        <v>11042</v>
      </c>
      <c r="D17033" t="str">
        <f>"6500"</f>
        <v>6500</v>
      </c>
      <c r="E17033" t="s">
        <v>151</v>
      </c>
      <c r="F17033" t="s">
        <v>3670</v>
      </c>
      <c r="G17033" t="s">
        <v>47091</v>
      </c>
      <c r="H17033" t="s">
        <v>47126</v>
      </c>
      <c r="I17033" t="s">
        <v>47127</v>
      </c>
      <c r="J17033" t="s">
        <v>47128</v>
      </c>
      <c r="K17033" t="s">
        <v>47113</v>
      </c>
      <c r="L17033">
        <v>14.21</v>
      </c>
      <c r="M17033">
        <v>27</v>
      </c>
      <c r="N17033">
        <v>0</v>
      </c>
      <c r="O17033">
        <v>27</v>
      </c>
      <c r="P17033">
        <v>0</v>
      </c>
    </row>
    <row r="17034" spans="1:16" x14ac:dyDescent="0.25">
      <c r="A17034" t="s">
        <v>39633</v>
      </c>
      <c r="B17034" t="s">
        <v>11043</v>
      </c>
      <c r="C17034" t="s">
        <v>11042</v>
      </c>
      <c r="D17034" t="str">
        <f>"8039"</f>
        <v>8039</v>
      </c>
      <c r="E17034" t="s">
        <v>4631</v>
      </c>
      <c r="F17034" t="s">
        <v>3670</v>
      </c>
      <c r="G17034" t="s">
        <v>47091</v>
      </c>
      <c r="H17034" t="s">
        <v>47126</v>
      </c>
      <c r="I17034" t="s">
        <v>47127</v>
      </c>
      <c r="J17034" t="s">
        <v>47128</v>
      </c>
      <c r="K17034" t="s">
        <v>47113</v>
      </c>
      <c r="L17034">
        <v>14.21</v>
      </c>
      <c r="M17034">
        <v>27</v>
      </c>
      <c r="N17034">
        <v>0</v>
      </c>
      <c r="O17034">
        <v>27</v>
      </c>
      <c r="P17034">
        <v>0</v>
      </c>
    </row>
    <row r="17035" spans="1:16" x14ac:dyDescent="0.25">
      <c r="A17035" t="s">
        <v>39634</v>
      </c>
      <c r="B17035" t="s">
        <v>11044</v>
      </c>
      <c r="C17035" t="s">
        <v>11042</v>
      </c>
      <c r="D17035" t="str">
        <f>"1106"</f>
        <v>1106</v>
      </c>
      <c r="E17035" t="s">
        <v>460</v>
      </c>
      <c r="F17035" t="s">
        <v>3670</v>
      </c>
      <c r="G17035" t="s">
        <v>47091</v>
      </c>
      <c r="H17035" t="s">
        <v>47126</v>
      </c>
      <c r="I17035" t="s">
        <v>47127</v>
      </c>
      <c r="J17035" t="s">
        <v>47128</v>
      </c>
      <c r="K17035" t="s">
        <v>47113</v>
      </c>
      <c r="L17035">
        <v>13.01</v>
      </c>
      <c r="M17035">
        <v>27</v>
      </c>
      <c r="N17035">
        <v>0</v>
      </c>
      <c r="O17035">
        <v>27</v>
      </c>
      <c r="P17035">
        <v>0</v>
      </c>
    </row>
    <row r="17036" spans="1:16" x14ac:dyDescent="0.25">
      <c r="A17036" t="s">
        <v>39635</v>
      </c>
      <c r="B17036" t="s">
        <v>11044</v>
      </c>
      <c r="C17036" t="s">
        <v>11042</v>
      </c>
      <c r="D17036" t="str">
        <f>"1303"</f>
        <v>1303</v>
      </c>
      <c r="E17036" t="s">
        <v>4630</v>
      </c>
      <c r="F17036" t="s">
        <v>3670</v>
      </c>
      <c r="G17036" t="s">
        <v>47091</v>
      </c>
      <c r="H17036" t="s">
        <v>47126</v>
      </c>
      <c r="I17036" t="s">
        <v>47127</v>
      </c>
      <c r="J17036" t="s">
        <v>47128</v>
      </c>
      <c r="K17036" t="s">
        <v>47113</v>
      </c>
      <c r="L17036">
        <v>13.01</v>
      </c>
      <c r="M17036">
        <v>27</v>
      </c>
      <c r="N17036">
        <v>0</v>
      </c>
      <c r="O17036">
        <v>27</v>
      </c>
      <c r="P17036">
        <v>0</v>
      </c>
    </row>
    <row r="17037" spans="1:16" x14ac:dyDescent="0.25">
      <c r="A17037" t="s">
        <v>39636</v>
      </c>
      <c r="B17037" t="s">
        <v>11044</v>
      </c>
      <c r="C17037" t="s">
        <v>11042</v>
      </c>
      <c r="D17037" t="str">
        <f>"1377"</f>
        <v>1377</v>
      </c>
      <c r="E17037" t="s">
        <v>74</v>
      </c>
      <c r="F17037" t="s">
        <v>3670</v>
      </c>
      <c r="G17037" t="s">
        <v>47091</v>
      </c>
      <c r="H17037" t="s">
        <v>47126</v>
      </c>
      <c r="I17037" t="s">
        <v>47127</v>
      </c>
      <c r="J17037" t="s">
        <v>47128</v>
      </c>
      <c r="K17037" t="s">
        <v>47113</v>
      </c>
      <c r="L17037">
        <v>13.01</v>
      </c>
      <c r="M17037">
        <v>27</v>
      </c>
      <c r="N17037">
        <v>0</v>
      </c>
      <c r="O17037">
        <v>27</v>
      </c>
      <c r="P17037">
        <v>0</v>
      </c>
    </row>
    <row r="17038" spans="1:16" x14ac:dyDescent="0.25">
      <c r="A17038" t="s">
        <v>39637</v>
      </c>
      <c r="B17038" t="s">
        <v>11044</v>
      </c>
      <c r="C17038" t="s">
        <v>11042</v>
      </c>
      <c r="D17038" t="str">
        <f>"1403"</f>
        <v>1403</v>
      </c>
      <c r="E17038" t="s">
        <v>224</v>
      </c>
      <c r="F17038" t="s">
        <v>3670</v>
      </c>
      <c r="G17038" t="s">
        <v>47091</v>
      </c>
      <c r="H17038" t="s">
        <v>47126</v>
      </c>
      <c r="I17038" t="s">
        <v>47127</v>
      </c>
      <c r="J17038" t="s">
        <v>47128</v>
      </c>
      <c r="K17038" t="s">
        <v>47113</v>
      </c>
      <c r="L17038">
        <v>13.01</v>
      </c>
      <c r="M17038">
        <v>27</v>
      </c>
      <c r="N17038">
        <v>0</v>
      </c>
      <c r="O17038">
        <v>27</v>
      </c>
      <c r="P17038">
        <v>0</v>
      </c>
    </row>
    <row r="17039" spans="1:16" x14ac:dyDescent="0.25">
      <c r="A17039" t="s">
        <v>39638</v>
      </c>
      <c r="B17039" t="s">
        <v>11044</v>
      </c>
      <c r="C17039" t="s">
        <v>11042</v>
      </c>
      <c r="D17039" t="str">
        <f>"1700"</f>
        <v>1700</v>
      </c>
      <c r="E17039" t="s">
        <v>60</v>
      </c>
      <c r="F17039" t="s">
        <v>3670</v>
      </c>
      <c r="G17039" t="s">
        <v>47091</v>
      </c>
      <c r="H17039" t="s">
        <v>47126</v>
      </c>
      <c r="I17039" t="s">
        <v>47127</v>
      </c>
      <c r="J17039" t="s">
        <v>47128</v>
      </c>
      <c r="K17039" t="s">
        <v>47113</v>
      </c>
      <c r="L17039">
        <v>13.01</v>
      </c>
      <c r="M17039">
        <v>27</v>
      </c>
      <c r="N17039">
        <v>0</v>
      </c>
      <c r="O17039">
        <v>27</v>
      </c>
      <c r="P17039">
        <v>0</v>
      </c>
    </row>
    <row r="17040" spans="1:16" x14ac:dyDescent="0.25">
      <c r="A17040" t="s">
        <v>39639</v>
      </c>
      <c r="B17040" t="s">
        <v>11044</v>
      </c>
      <c r="C17040" t="s">
        <v>11042</v>
      </c>
      <c r="D17040" t="str">
        <f>"3501"</f>
        <v>3501</v>
      </c>
      <c r="E17040" t="s">
        <v>3758</v>
      </c>
      <c r="F17040" t="s">
        <v>3670</v>
      </c>
      <c r="G17040" t="s">
        <v>47091</v>
      </c>
      <c r="H17040" t="s">
        <v>47126</v>
      </c>
      <c r="I17040" t="s">
        <v>47127</v>
      </c>
      <c r="J17040" t="s">
        <v>47128</v>
      </c>
      <c r="K17040" t="s">
        <v>47113</v>
      </c>
      <c r="L17040">
        <v>13.01</v>
      </c>
      <c r="M17040">
        <v>27</v>
      </c>
      <c r="N17040">
        <v>0</v>
      </c>
      <c r="O17040">
        <v>27</v>
      </c>
      <c r="P17040">
        <v>0</v>
      </c>
    </row>
    <row r="17041" spans="1:16" x14ac:dyDescent="0.25">
      <c r="A17041" t="s">
        <v>39640</v>
      </c>
      <c r="B17041" t="s">
        <v>11044</v>
      </c>
      <c r="C17041" t="s">
        <v>11042</v>
      </c>
      <c r="D17041" t="str">
        <f>"4753"</f>
        <v>4753</v>
      </c>
      <c r="E17041" t="s">
        <v>3755</v>
      </c>
      <c r="F17041" t="s">
        <v>3670</v>
      </c>
      <c r="G17041" t="s">
        <v>47091</v>
      </c>
      <c r="H17041" t="s">
        <v>47126</v>
      </c>
      <c r="I17041" t="s">
        <v>47127</v>
      </c>
      <c r="J17041" t="s">
        <v>47128</v>
      </c>
      <c r="K17041" t="s">
        <v>47113</v>
      </c>
      <c r="L17041">
        <v>13.01</v>
      </c>
      <c r="M17041">
        <v>27</v>
      </c>
      <c r="N17041">
        <v>0</v>
      </c>
      <c r="O17041">
        <v>27</v>
      </c>
      <c r="P17041">
        <v>0</v>
      </c>
    </row>
    <row r="17042" spans="1:16" x14ac:dyDescent="0.25">
      <c r="A17042" t="s">
        <v>39641</v>
      </c>
      <c r="B17042" t="s">
        <v>11044</v>
      </c>
      <c r="C17042" t="s">
        <v>11042</v>
      </c>
      <c r="D17042" t="str">
        <f>"6500"</f>
        <v>6500</v>
      </c>
      <c r="E17042" t="s">
        <v>151</v>
      </c>
      <c r="F17042" t="s">
        <v>3670</v>
      </c>
      <c r="G17042" t="s">
        <v>47091</v>
      </c>
      <c r="H17042" t="s">
        <v>47126</v>
      </c>
      <c r="I17042" t="s">
        <v>47127</v>
      </c>
      <c r="J17042" t="s">
        <v>47128</v>
      </c>
      <c r="K17042" t="s">
        <v>47113</v>
      </c>
      <c r="L17042">
        <v>13.01</v>
      </c>
      <c r="M17042">
        <v>27</v>
      </c>
      <c r="N17042">
        <v>0</v>
      </c>
      <c r="O17042">
        <v>27</v>
      </c>
      <c r="P17042">
        <v>0</v>
      </c>
    </row>
    <row r="17043" spans="1:16" x14ac:dyDescent="0.25">
      <c r="A17043" t="s">
        <v>39642</v>
      </c>
      <c r="B17043" t="s">
        <v>11044</v>
      </c>
      <c r="C17043" t="s">
        <v>11042</v>
      </c>
      <c r="D17043" t="str">
        <f>"8039"</f>
        <v>8039</v>
      </c>
      <c r="E17043" t="s">
        <v>4631</v>
      </c>
      <c r="F17043" t="s">
        <v>3670</v>
      </c>
      <c r="G17043" t="s">
        <v>47091</v>
      </c>
      <c r="H17043" t="s">
        <v>47126</v>
      </c>
      <c r="I17043" t="s">
        <v>47127</v>
      </c>
      <c r="J17043" t="s">
        <v>47128</v>
      </c>
      <c r="K17043" t="s">
        <v>47113</v>
      </c>
      <c r="L17043">
        <v>13.01</v>
      </c>
      <c r="M17043">
        <v>27</v>
      </c>
      <c r="N17043">
        <v>0</v>
      </c>
      <c r="O17043">
        <v>27</v>
      </c>
      <c r="P17043">
        <v>0</v>
      </c>
    </row>
    <row r="17044" spans="1:16" x14ac:dyDescent="0.25">
      <c r="A17044" t="s">
        <v>39643</v>
      </c>
      <c r="B17044" t="s">
        <v>11045</v>
      </c>
      <c r="C17044" t="s">
        <v>11032</v>
      </c>
      <c r="D17044" t="str">
        <f>"1303"</f>
        <v>1303</v>
      </c>
      <c r="E17044" t="s">
        <v>4630</v>
      </c>
      <c r="F17044" t="s">
        <v>3670</v>
      </c>
      <c r="G17044" t="s">
        <v>47091</v>
      </c>
      <c r="H17044" t="s">
        <v>47126</v>
      </c>
      <c r="I17044" t="s">
        <v>47127</v>
      </c>
      <c r="J17044" t="s">
        <v>47128</v>
      </c>
      <c r="K17044" t="s">
        <v>47113</v>
      </c>
      <c r="L17044">
        <v>13.01</v>
      </c>
      <c r="M17044">
        <v>24</v>
      </c>
      <c r="N17044">
        <v>0</v>
      </c>
      <c r="O17044">
        <v>24</v>
      </c>
      <c r="P17044">
        <v>0</v>
      </c>
    </row>
    <row r="17045" spans="1:16" x14ac:dyDescent="0.25">
      <c r="A17045" t="s">
        <v>39644</v>
      </c>
      <c r="B17045" t="s">
        <v>11045</v>
      </c>
      <c r="C17045" t="s">
        <v>11032</v>
      </c>
      <c r="D17045" t="str">
        <f>"1377"</f>
        <v>1377</v>
      </c>
      <c r="E17045" t="s">
        <v>74</v>
      </c>
      <c r="F17045" t="s">
        <v>3670</v>
      </c>
      <c r="G17045" t="s">
        <v>47091</v>
      </c>
      <c r="H17045" t="s">
        <v>47126</v>
      </c>
      <c r="I17045" t="s">
        <v>47127</v>
      </c>
      <c r="J17045" t="s">
        <v>47128</v>
      </c>
      <c r="K17045" t="s">
        <v>47113</v>
      </c>
      <c r="L17045">
        <v>13.01</v>
      </c>
      <c r="M17045">
        <v>24</v>
      </c>
      <c r="N17045">
        <v>0</v>
      </c>
      <c r="O17045">
        <v>24</v>
      </c>
      <c r="P17045">
        <v>0</v>
      </c>
    </row>
    <row r="17046" spans="1:16" x14ac:dyDescent="0.25">
      <c r="A17046" t="s">
        <v>39645</v>
      </c>
      <c r="B17046" t="s">
        <v>11045</v>
      </c>
      <c r="C17046" t="s">
        <v>11032</v>
      </c>
      <c r="D17046" t="str">
        <f>"1378"</f>
        <v>1378</v>
      </c>
      <c r="E17046" t="s">
        <v>388</v>
      </c>
      <c r="F17046" t="s">
        <v>3670</v>
      </c>
      <c r="G17046" t="s">
        <v>47091</v>
      </c>
      <c r="H17046" t="s">
        <v>47126</v>
      </c>
      <c r="I17046" t="s">
        <v>47127</v>
      </c>
      <c r="J17046" t="s">
        <v>47128</v>
      </c>
      <c r="K17046" t="s">
        <v>47113</v>
      </c>
      <c r="L17046">
        <v>13.01</v>
      </c>
      <c r="M17046">
        <v>24</v>
      </c>
      <c r="N17046">
        <v>0</v>
      </c>
      <c r="O17046">
        <v>24</v>
      </c>
      <c r="P17046">
        <v>0</v>
      </c>
    </row>
    <row r="17047" spans="1:16" x14ac:dyDescent="0.25">
      <c r="A17047" t="s">
        <v>39646</v>
      </c>
      <c r="B17047" t="s">
        <v>11045</v>
      </c>
      <c r="C17047" t="s">
        <v>11032</v>
      </c>
      <c r="D17047" t="str">
        <f>"1403"</f>
        <v>1403</v>
      </c>
      <c r="E17047" t="s">
        <v>224</v>
      </c>
      <c r="F17047" t="s">
        <v>3670</v>
      </c>
      <c r="G17047" t="s">
        <v>47091</v>
      </c>
      <c r="H17047" t="s">
        <v>47126</v>
      </c>
      <c r="I17047" t="s">
        <v>47127</v>
      </c>
      <c r="J17047" t="s">
        <v>47128</v>
      </c>
      <c r="K17047" t="s">
        <v>47113</v>
      </c>
      <c r="L17047">
        <v>13.01</v>
      </c>
      <c r="M17047">
        <v>24</v>
      </c>
      <c r="N17047">
        <v>0</v>
      </c>
      <c r="O17047">
        <v>24</v>
      </c>
      <c r="P17047">
        <v>0</v>
      </c>
    </row>
    <row r="17048" spans="1:16" x14ac:dyDescent="0.25">
      <c r="A17048" t="s">
        <v>39647</v>
      </c>
      <c r="B17048" t="s">
        <v>11045</v>
      </c>
      <c r="C17048" t="s">
        <v>11032</v>
      </c>
      <c r="D17048" t="str">
        <f>"1700"</f>
        <v>1700</v>
      </c>
      <c r="E17048" t="s">
        <v>60</v>
      </c>
      <c r="F17048" t="s">
        <v>3670</v>
      </c>
      <c r="G17048" t="s">
        <v>47091</v>
      </c>
      <c r="H17048" t="s">
        <v>47126</v>
      </c>
      <c r="I17048" t="s">
        <v>47127</v>
      </c>
      <c r="J17048" t="s">
        <v>47128</v>
      </c>
      <c r="K17048" t="s">
        <v>47113</v>
      </c>
      <c r="L17048">
        <v>13.01</v>
      </c>
      <c r="M17048">
        <v>24</v>
      </c>
      <c r="N17048">
        <v>0</v>
      </c>
      <c r="O17048">
        <v>24</v>
      </c>
      <c r="P17048">
        <v>0</v>
      </c>
    </row>
    <row r="17049" spans="1:16" x14ac:dyDescent="0.25">
      <c r="A17049" t="s">
        <v>39648</v>
      </c>
      <c r="B17049" t="s">
        <v>11045</v>
      </c>
      <c r="C17049" t="s">
        <v>11032</v>
      </c>
      <c r="D17049" t="str">
        <f>"4753"</f>
        <v>4753</v>
      </c>
      <c r="E17049" t="s">
        <v>3755</v>
      </c>
      <c r="F17049" t="s">
        <v>3670</v>
      </c>
      <c r="G17049" t="s">
        <v>47091</v>
      </c>
      <c r="H17049" t="s">
        <v>47126</v>
      </c>
      <c r="I17049" t="s">
        <v>47127</v>
      </c>
      <c r="J17049" t="s">
        <v>47128</v>
      </c>
      <c r="K17049" t="s">
        <v>47113</v>
      </c>
      <c r="L17049">
        <v>13.01</v>
      </c>
      <c r="M17049">
        <v>24</v>
      </c>
      <c r="N17049">
        <v>0</v>
      </c>
      <c r="O17049">
        <v>24</v>
      </c>
      <c r="P17049">
        <v>0</v>
      </c>
    </row>
    <row r="17050" spans="1:16" x14ac:dyDescent="0.25">
      <c r="A17050" t="s">
        <v>39649</v>
      </c>
      <c r="B17050" t="s">
        <v>11045</v>
      </c>
      <c r="C17050" t="s">
        <v>11032</v>
      </c>
      <c r="D17050" t="str">
        <f>"6500"</f>
        <v>6500</v>
      </c>
      <c r="E17050" t="s">
        <v>151</v>
      </c>
      <c r="F17050" t="s">
        <v>3670</v>
      </c>
      <c r="G17050" t="s">
        <v>47091</v>
      </c>
      <c r="H17050" t="s">
        <v>47126</v>
      </c>
      <c r="I17050" t="s">
        <v>47127</v>
      </c>
      <c r="J17050" t="s">
        <v>47128</v>
      </c>
      <c r="K17050" t="s">
        <v>47113</v>
      </c>
      <c r="L17050">
        <v>13.01</v>
      </c>
      <c r="M17050">
        <v>24</v>
      </c>
      <c r="N17050">
        <v>0</v>
      </c>
      <c r="O17050">
        <v>24</v>
      </c>
      <c r="P17050">
        <v>0</v>
      </c>
    </row>
    <row r="17051" spans="1:16" x14ac:dyDescent="0.25">
      <c r="A17051" t="s">
        <v>39650</v>
      </c>
      <c r="B17051" t="s">
        <v>11045</v>
      </c>
      <c r="C17051" t="s">
        <v>11032</v>
      </c>
      <c r="D17051" t="str">
        <f>"8039"</f>
        <v>8039</v>
      </c>
      <c r="E17051" t="s">
        <v>4631</v>
      </c>
      <c r="F17051" t="s">
        <v>3670</v>
      </c>
      <c r="G17051" t="s">
        <v>47091</v>
      </c>
      <c r="H17051" t="s">
        <v>47126</v>
      </c>
      <c r="I17051" t="s">
        <v>47127</v>
      </c>
      <c r="J17051" t="s">
        <v>47128</v>
      </c>
      <c r="K17051" t="s">
        <v>47113</v>
      </c>
      <c r="L17051">
        <v>13.01</v>
      </c>
      <c r="M17051">
        <v>24</v>
      </c>
      <c r="N17051">
        <v>0</v>
      </c>
      <c r="O17051">
        <v>24</v>
      </c>
      <c r="P17051">
        <v>0</v>
      </c>
    </row>
    <row r="17052" spans="1:16" x14ac:dyDescent="0.25">
      <c r="A17052" t="s">
        <v>39651</v>
      </c>
      <c r="B17052" t="s">
        <v>11046</v>
      </c>
      <c r="C17052" t="s">
        <v>11047</v>
      </c>
      <c r="D17052" t="str">
        <f>"1303"</f>
        <v>1303</v>
      </c>
      <c r="E17052" t="s">
        <v>4630</v>
      </c>
      <c r="F17052" t="s">
        <v>3670</v>
      </c>
      <c r="G17052" t="s">
        <v>47091</v>
      </c>
      <c r="H17052" t="s">
        <v>47126</v>
      </c>
      <c r="I17052" t="s">
        <v>47127</v>
      </c>
      <c r="J17052" t="s">
        <v>47128</v>
      </c>
      <c r="K17052" t="s">
        <v>47113</v>
      </c>
      <c r="L17052">
        <v>14.21</v>
      </c>
      <c r="M17052">
        <v>29</v>
      </c>
      <c r="N17052">
        <v>0</v>
      </c>
      <c r="O17052">
        <v>29</v>
      </c>
      <c r="P17052">
        <v>0</v>
      </c>
    </row>
    <row r="17053" spans="1:16" x14ac:dyDescent="0.25">
      <c r="A17053" t="s">
        <v>39652</v>
      </c>
      <c r="B17053" t="s">
        <v>11046</v>
      </c>
      <c r="C17053" t="s">
        <v>11047</v>
      </c>
      <c r="D17053" t="str">
        <f>"1377"</f>
        <v>1377</v>
      </c>
      <c r="E17053" t="s">
        <v>74</v>
      </c>
      <c r="F17053" t="s">
        <v>3670</v>
      </c>
      <c r="G17053" t="s">
        <v>47091</v>
      </c>
      <c r="H17053" t="s">
        <v>47126</v>
      </c>
      <c r="I17053" t="s">
        <v>47127</v>
      </c>
      <c r="J17053" t="s">
        <v>47128</v>
      </c>
      <c r="K17053" t="s">
        <v>47113</v>
      </c>
      <c r="L17053">
        <v>14.21</v>
      </c>
      <c r="M17053">
        <v>29</v>
      </c>
      <c r="N17053">
        <v>0</v>
      </c>
      <c r="O17053">
        <v>29</v>
      </c>
      <c r="P17053">
        <v>0</v>
      </c>
    </row>
    <row r="17054" spans="1:16" x14ac:dyDescent="0.25">
      <c r="A17054" t="s">
        <v>39653</v>
      </c>
      <c r="B17054" t="s">
        <v>11046</v>
      </c>
      <c r="C17054" t="s">
        <v>11047</v>
      </c>
      <c r="D17054" t="str">
        <f>"1378"</f>
        <v>1378</v>
      </c>
      <c r="E17054" t="s">
        <v>388</v>
      </c>
      <c r="F17054" t="s">
        <v>3670</v>
      </c>
      <c r="G17054" t="s">
        <v>47091</v>
      </c>
      <c r="H17054" t="s">
        <v>47126</v>
      </c>
      <c r="I17054" t="s">
        <v>47127</v>
      </c>
      <c r="J17054" t="s">
        <v>47128</v>
      </c>
      <c r="K17054" t="s">
        <v>47113</v>
      </c>
      <c r="L17054">
        <v>14.21</v>
      </c>
      <c r="M17054">
        <v>29</v>
      </c>
      <c r="N17054">
        <v>0</v>
      </c>
      <c r="O17054">
        <v>29</v>
      </c>
      <c r="P17054">
        <v>0</v>
      </c>
    </row>
    <row r="17055" spans="1:16" x14ac:dyDescent="0.25">
      <c r="A17055" t="s">
        <v>39654</v>
      </c>
      <c r="B17055" t="s">
        <v>11046</v>
      </c>
      <c r="C17055" t="s">
        <v>11047</v>
      </c>
      <c r="D17055" t="str">
        <f>"1403"</f>
        <v>1403</v>
      </c>
      <c r="E17055" t="s">
        <v>224</v>
      </c>
      <c r="F17055" t="s">
        <v>3670</v>
      </c>
      <c r="G17055" t="s">
        <v>47091</v>
      </c>
      <c r="H17055" t="s">
        <v>47126</v>
      </c>
      <c r="I17055" t="s">
        <v>47127</v>
      </c>
      <c r="J17055" t="s">
        <v>47128</v>
      </c>
      <c r="K17055" t="s">
        <v>47113</v>
      </c>
      <c r="L17055">
        <v>14.21</v>
      </c>
      <c r="M17055">
        <v>29</v>
      </c>
      <c r="N17055">
        <v>0</v>
      </c>
      <c r="O17055">
        <v>29</v>
      </c>
      <c r="P17055">
        <v>0</v>
      </c>
    </row>
    <row r="17056" spans="1:16" x14ac:dyDescent="0.25">
      <c r="A17056" t="s">
        <v>39655</v>
      </c>
      <c r="B17056" t="s">
        <v>11046</v>
      </c>
      <c r="C17056" t="s">
        <v>11047</v>
      </c>
      <c r="D17056" t="str">
        <f>"1700"</f>
        <v>1700</v>
      </c>
      <c r="E17056" t="s">
        <v>60</v>
      </c>
      <c r="F17056" t="s">
        <v>3670</v>
      </c>
      <c r="G17056" t="s">
        <v>47091</v>
      </c>
      <c r="H17056" t="s">
        <v>47126</v>
      </c>
      <c r="I17056" t="s">
        <v>47127</v>
      </c>
      <c r="J17056" t="s">
        <v>47128</v>
      </c>
      <c r="K17056" t="s">
        <v>47113</v>
      </c>
      <c r="L17056">
        <v>14.21</v>
      </c>
      <c r="M17056">
        <v>29</v>
      </c>
      <c r="N17056">
        <v>0</v>
      </c>
      <c r="O17056">
        <v>29</v>
      </c>
      <c r="P17056">
        <v>0</v>
      </c>
    </row>
    <row r="17057" spans="1:16" x14ac:dyDescent="0.25">
      <c r="A17057" t="s">
        <v>39656</v>
      </c>
      <c r="B17057" t="s">
        <v>11046</v>
      </c>
      <c r="C17057" t="s">
        <v>11047</v>
      </c>
      <c r="D17057" t="str">
        <f>"4753"</f>
        <v>4753</v>
      </c>
      <c r="E17057" t="s">
        <v>3755</v>
      </c>
      <c r="F17057" t="s">
        <v>3670</v>
      </c>
      <c r="G17057" t="s">
        <v>47091</v>
      </c>
      <c r="H17057" t="s">
        <v>47126</v>
      </c>
      <c r="I17057" t="s">
        <v>47127</v>
      </c>
      <c r="J17057" t="s">
        <v>47128</v>
      </c>
      <c r="K17057" t="s">
        <v>47113</v>
      </c>
      <c r="L17057">
        <v>14.21</v>
      </c>
      <c r="M17057">
        <v>29</v>
      </c>
      <c r="N17057">
        <v>0</v>
      </c>
      <c r="O17057">
        <v>29</v>
      </c>
      <c r="P17057">
        <v>0</v>
      </c>
    </row>
    <row r="17058" spans="1:16" x14ac:dyDescent="0.25">
      <c r="A17058" t="s">
        <v>39657</v>
      </c>
      <c r="B17058" t="s">
        <v>11046</v>
      </c>
      <c r="C17058" t="s">
        <v>11047</v>
      </c>
      <c r="D17058" t="str">
        <f>"6500"</f>
        <v>6500</v>
      </c>
      <c r="E17058" t="s">
        <v>151</v>
      </c>
      <c r="F17058" t="s">
        <v>3670</v>
      </c>
      <c r="G17058" t="s">
        <v>47091</v>
      </c>
      <c r="H17058" t="s">
        <v>47126</v>
      </c>
      <c r="I17058" t="s">
        <v>47127</v>
      </c>
      <c r="J17058" t="s">
        <v>47128</v>
      </c>
      <c r="K17058" t="s">
        <v>47113</v>
      </c>
      <c r="L17058">
        <v>14.21</v>
      </c>
      <c r="M17058">
        <v>29</v>
      </c>
      <c r="N17058">
        <v>0</v>
      </c>
      <c r="O17058">
        <v>29</v>
      </c>
      <c r="P17058">
        <v>0</v>
      </c>
    </row>
    <row r="17059" spans="1:16" x14ac:dyDescent="0.25">
      <c r="A17059" t="s">
        <v>39658</v>
      </c>
      <c r="B17059" t="s">
        <v>11046</v>
      </c>
      <c r="C17059" t="s">
        <v>11047</v>
      </c>
      <c r="D17059" t="str">
        <f>"8039"</f>
        <v>8039</v>
      </c>
      <c r="E17059" t="s">
        <v>4631</v>
      </c>
      <c r="F17059" t="s">
        <v>3670</v>
      </c>
      <c r="G17059" t="s">
        <v>47091</v>
      </c>
      <c r="H17059" t="s">
        <v>47126</v>
      </c>
      <c r="I17059" t="s">
        <v>47127</v>
      </c>
      <c r="J17059" t="s">
        <v>47128</v>
      </c>
      <c r="K17059" t="s">
        <v>47113</v>
      </c>
      <c r="L17059">
        <v>14.21</v>
      </c>
      <c r="M17059">
        <v>29</v>
      </c>
      <c r="N17059">
        <v>0</v>
      </c>
      <c r="O17059">
        <v>29</v>
      </c>
      <c r="P17059">
        <v>0</v>
      </c>
    </row>
    <row r="17060" spans="1:16" x14ac:dyDescent="0.25">
      <c r="A17060" t="s">
        <v>39659</v>
      </c>
      <c r="B17060" t="s">
        <v>11048</v>
      </c>
      <c r="C17060" t="s">
        <v>11049</v>
      </c>
      <c r="D17060" t="str">
        <f>"1106"</f>
        <v>1106</v>
      </c>
      <c r="E17060" t="s">
        <v>460</v>
      </c>
      <c r="F17060" t="s">
        <v>3670</v>
      </c>
      <c r="G17060" t="s">
        <v>47091</v>
      </c>
      <c r="H17060" t="s">
        <v>47126</v>
      </c>
      <c r="I17060" t="s">
        <v>47127</v>
      </c>
      <c r="J17060" t="s">
        <v>47128</v>
      </c>
      <c r="K17060" t="s">
        <v>47113</v>
      </c>
      <c r="L17060">
        <v>15.4</v>
      </c>
      <c r="M17060">
        <v>29</v>
      </c>
      <c r="N17060">
        <v>0</v>
      </c>
      <c r="O17060">
        <v>29</v>
      </c>
      <c r="P17060">
        <v>0</v>
      </c>
    </row>
    <row r="17061" spans="1:16" x14ac:dyDescent="0.25">
      <c r="A17061" t="s">
        <v>39660</v>
      </c>
      <c r="B17061" t="s">
        <v>11048</v>
      </c>
      <c r="C17061" t="s">
        <v>11049</v>
      </c>
      <c r="D17061" t="str">
        <f>"1303"</f>
        <v>1303</v>
      </c>
      <c r="E17061" t="s">
        <v>4630</v>
      </c>
      <c r="F17061" t="s">
        <v>3670</v>
      </c>
      <c r="G17061" t="s">
        <v>47091</v>
      </c>
      <c r="H17061" t="s">
        <v>47126</v>
      </c>
      <c r="I17061" t="s">
        <v>47127</v>
      </c>
      <c r="J17061" t="s">
        <v>47128</v>
      </c>
      <c r="K17061" t="s">
        <v>47113</v>
      </c>
      <c r="L17061">
        <v>15.4</v>
      </c>
      <c r="M17061">
        <v>29</v>
      </c>
      <c r="N17061">
        <v>0</v>
      </c>
      <c r="O17061">
        <v>29</v>
      </c>
      <c r="P17061">
        <v>0</v>
      </c>
    </row>
    <row r="17062" spans="1:16" x14ac:dyDescent="0.25">
      <c r="A17062" t="s">
        <v>39661</v>
      </c>
      <c r="B17062" t="s">
        <v>11048</v>
      </c>
      <c r="C17062" t="s">
        <v>11049</v>
      </c>
      <c r="D17062" t="str">
        <f>"1377"</f>
        <v>1377</v>
      </c>
      <c r="E17062" t="s">
        <v>74</v>
      </c>
      <c r="F17062" t="s">
        <v>3670</v>
      </c>
      <c r="G17062" t="s">
        <v>47091</v>
      </c>
      <c r="H17062" t="s">
        <v>47126</v>
      </c>
      <c r="I17062" t="s">
        <v>47127</v>
      </c>
      <c r="J17062" t="s">
        <v>47128</v>
      </c>
      <c r="K17062" t="s">
        <v>47113</v>
      </c>
      <c r="L17062">
        <v>15.4</v>
      </c>
      <c r="M17062">
        <v>29</v>
      </c>
      <c r="N17062">
        <v>0</v>
      </c>
      <c r="O17062">
        <v>29</v>
      </c>
      <c r="P17062">
        <v>0</v>
      </c>
    </row>
    <row r="17063" spans="1:16" x14ac:dyDescent="0.25">
      <c r="A17063" t="s">
        <v>39662</v>
      </c>
      <c r="B17063" t="s">
        <v>11048</v>
      </c>
      <c r="C17063" t="s">
        <v>11049</v>
      </c>
      <c r="D17063" t="str">
        <f>"1403"</f>
        <v>1403</v>
      </c>
      <c r="E17063" t="s">
        <v>224</v>
      </c>
      <c r="F17063" t="s">
        <v>3670</v>
      </c>
      <c r="G17063" t="s">
        <v>47091</v>
      </c>
      <c r="H17063" t="s">
        <v>47126</v>
      </c>
      <c r="I17063" t="s">
        <v>47127</v>
      </c>
      <c r="J17063" t="s">
        <v>47128</v>
      </c>
      <c r="K17063" t="s">
        <v>47113</v>
      </c>
      <c r="L17063">
        <v>15.4</v>
      </c>
      <c r="M17063">
        <v>29</v>
      </c>
      <c r="N17063">
        <v>0</v>
      </c>
      <c r="O17063">
        <v>29</v>
      </c>
      <c r="P17063">
        <v>0</v>
      </c>
    </row>
    <row r="17064" spans="1:16" x14ac:dyDescent="0.25">
      <c r="A17064" t="s">
        <v>39663</v>
      </c>
      <c r="B17064" t="s">
        <v>11048</v>
      </c>
      <c r="C17064" t="s">
        <v>11049</v>
      </c>
      <c r="D17064" t="str">
        <f>"1700"</f>
        <v>1700</v>
      </c>
      <c r="E17064" t="s">
        <v>60</v>
      </c>
      <c r="F17064" t="s">
        <v>3670</v>
      </c>
      <c r="G17064" t="s">
        <v>47091</v>
      </c>
      <c r="H17064" t="s">
        <v>47126</v>
      </c>
      <c r="I17064" t="s">
        <v>47127</v>
      </c>
      <c r="J17064" t="s">
        <v>47128</v>
      </c>
      <c r="K17064" t="s">
        <v>47113</v>
      </c>
      <c r="L17064">
        <v>15.4</v>
      </c>
      <c r="M17064">
        <v>29</v>
      </c>
      <c r="N17064">
        <v>0</v>
      </c>
      <c r="O17064">
        <v>29</v>
      </c>
      <c r="P17064">
        <v>0</v>
      </c>
    </row>
    <row r="17065" spans="1:16" x14ac:dyDescent="0.25">
      <c r="A17065" t="s">
        <v>39664</v>
      </c>
      <c r="B17065" t="s">
        <v>11048</v>
      </c>
      <c r="C17065" t="s">
        <v>11049</v>
      </c>
      <c r="D17065" t="str">
        <f>"4753"</f>
        <v>4753</v>
      </c>
      <c r="E17065" t="s">
        <v>3755</v>
      </c>
      <c r="F17065" t="s">
        <v>3670</v>
      </c>
      <c r="G17065" t="s">
        <v>47091</v>
      </c>
      <c r="H17065" t="s">
        <v>47126</v>
      </c>
      <c r="I17065" t="s">
        <v>47127</v>
      </c>
      <c r="J17065" t="s">
        <v>47128</v>
      </c>
      <c r="K17065" t="s">
        <v>47113</v>
      </c>
      <c r="L17065">
        <v>15.4</v>
      </c>
      <c r="M17065">
        <v>29</v>
      </c>
      <c r="N17065">
        <v>0</v>
      </c>
      <c r="O17065">
        <v>29</v>
      </c>
      <c r="P17065">
        <v>0</v>
      </c>
    </row>
    <row r="17066" spans="1:16" x14ac:dyDescent="0.25">
      <c r="A17066" t="s">
        <v>39665</v>
      </c>
      <c r="B17066" t="s">
        <v>11048</v>
      </c>
      <c r="C17066" t="s">
        <v>11049</v>
      </c>
      <c r="D17066" t="str">
        <f>"6500"</f>
        <v>6500</v>
      </c>
      <c r="E17066" t="s">
        <v>151</v>
      </c>
      <c r="F17066" t="s">
        <v>3670</v>
      </c>
      <c r="G17066" t="s">
        <v>47091</v>
      </c>
      <c r="H17066" t="s">
        <v>47126</v>
      </c>
      <c r="I17066" t="s">
        <v>47127</v>
      </c>
      <c r="J17066" t="s">
        <v>47128</v>
      </c>
      <c r="K17066" t="s">
        <v>47113</v>
      </c>
      <c r="L17066">
        <v>15.4</v>
      </c>
      <c r="M17066">
        <v>29</v>
      </c>
      <c r="N17066">
        <v>0</v>
      </c>
      <c r="O17066">
        <v>29</v>
      </c>
      <c r="P17066">
        <v>0</v>
      </c>
    </row>
    <row r="17067" spans="1:16" x14ac:dyDescent="0.25">
      <c r="A17067" t="s">
        <v>39666</v>
      </c>
      <c r="B17067" t="s">
        <v>11048</v>
      </c>
      <c r="C17067" t="s">
        <v>11049</v>
      </c>
      <c r="D17067" t="str">
        <f>"8039"</f>
        <v>8039</v>
      </c>
      <c r="E17067" t="s">
        <v>4631</v>
      </c>
      <c r="F17067" t="s">
        <v>3670</v>
      </c>
      <c r="G17067" t="s">
        <v>47091</v>
      </c>
      <c r="H17067" t="s">
        <v>47126</v>
      </c>
      <c r="I17067" t="s">
        <v>47127</v>
      </c>
      <c r="J17067" t="s">
        <v>47128</v>
      </c>
      <c r="K17067" t="s">
        <v>47113</v>
      </c>
      <c r="L17067">
        <v>15.4</v>
      </c>
      <c r="M17067">
        <v>29</v>
      </c>
      <c r="N17067">
        <v>0</v>
      </c>
      <c r="O17067">
        <v>29</v>
      </c>
      <c r="P17067">
        <v>0</v>
      </c>
    </row>
    <row r="17068" spans="1:16" x14ac:dyDescent="0.25">
      <c r="A17068" t="s">
        <v>39667</v>
      </c>
      <c r="B17068" t="s">
        <v>11050</v>
      </c>
      <c r="C17068" t="s">
        <v>11051</v>
      </c>
      <c r="D17068" t="str">
        <f>"1303"</f>
        <v>1303</v>
      </c>
      <c r="E17068" t="s">
        <v>4630</v>
      </c>
      <c r="F17068" t="s">
        <v>3670</v>
      </c>
      <c r="G17068" t="s">
        <v>47091</v>
      </c>
      <c r="H17068" t="s">
        <v>47126</v>
      </c>
      <c r="I17068" t="s">
        <v>47127</v>
      </c>
      <c r="J17068" t="s">
        <v>47128</v>
      </c>
      <c r="K17068" t="s">
        <v>47113</v>
      </c>
      <c r="L17068">
        <v>12.54</v>
      </c>
      <c r="M17068">
        <v>24</v>
      </c>
      <c r="N17068">
        <v>0</v>
      </c>
      <c r="O17068">
        <v>24</v>
      </c>
      <c r="P17068">
        <v>0</v>
      </c>
    </row>
    <row r="17069" spans="1:16" x14ac:dyDescent="0.25">
      <c r="A17069" t="s">
        <v>39668</v>
      </c>
      <c r="B17069" t="s">
        <v>11050</v>
      </c>
      <c r="C17069" t="s">
        <v>11051</v>
      </c>
      <c r="D17069" t="str">
        <f>"1377"</f>
        <v>1377</v>
      </c>
      <c r="E17069" t="s">
        <v>74</v>
      </c>
      <c r="F17069" t="s">
        <v>3670</v>
      </c>
      <c r="G17069" t="s">
        <v>47091</v>
      </c>
      <c r="H17069" t="s">
        <v>47126</v>
      </c>
      <c r="I17069" t="s">
        <v>47127</v>
      </c>
      <c r="J17069" t="s">
        <v>47128</v>
      </c>
      <c r="K17069" t="s">
        <v>47113</v>
      </c>
      <c r="L17069">
        <v>12.54</v>
      </c>
      <c r="M17069">
        <v>24</v>
      </c>
      <c r="N17069">
        <v>0</v>
      </c>
      <c r="O17069">
        <v>24</v>
      </c>
      <c r="P17069">
        <v>0</v>
      </c>
    </row>
    <row r="17070" spans="1:16" x14ac:dyDescent="0.25">
      <c r="A17070" t="s">
        <v>39669</v>
      </c>
      <c r="B17070" t="s">
        <v>11050</v>
      </c>
      <c r="C17070" t="s">
        <v>11051</v>
      </c>
      <c r="D17070" t="str">
        <f>"1378"</f>
        <v>1378</v>
      </c>
      <c r="E17070" t="s">
        <v>388</v>
      </c>
      <c r="F17070" t="s">
        <v>3670</v>
      </c>
      <c r="G17070" t="s">
        <v>47091</v>
      </c>
      <c r="H17070" t="s">
        <v>47126</v>
      </c>
      <c r="I17070" t="s">
        <v>47127</v>
      </c>
      <c r="J17070" t="s">
        <v>47128</v>
      </c>
      <c r="K17070" t="s">
        <v>47113</v>
      </c>
      <c r="L17070">
        <v>12.54</v>
      </c>
      <c r="M17070">
        <v>24</v>
      </c>
      <c r="N17070">
        <v>0</v>
      </c>
      <c r="O17070">
        <v>24</v>
      </c>
      <c r="P17070">
        <v>0</v>
      </c>
    </row>
    <row r="17071" spans="1:16" x14ac:dyDescent="0.25">
      <c r="A17071" t="s">
        <v>39670</v>
      </c>
      <c r="B17071" t="s">
        <v>11050</v>
      </c>
      <c r="C17071" t="s">
        <v>11051</v>
      </c>
      <c r="D17071" t="str">
        <f>"1403"</f>
        <v>1403</v>
      </c>
      <c r="E17071" t="s">
        <v>224</v>
      </c>
      <c r="F17071" t="s">
        <v>3670</v>
      </c>
      <c r="G17071" t="s">
        <v>47091</v>
      </c>
      <c r="H17071" t="s">
        <v>47126</v>
      </c>
      <c r="I17071" t="s">
        <v>47127</v>
      </c>
      <c r="J17071" t="s">
        <v>47128</v>
      </c>
      <c r="K17071" t="s">
        <v>47113</v>
      </c>
      <c r="L17071">
        <v>12.54</v>
      </c>
      <c r="M17071">
        <v>24</v>
      </c>
      <c r="N17071">
        <v>0</v>
      </c>
      <c r="O17071">
        <v>24</v>
      </c>
      <c r="P17071">
        <v>0</v>
      </c>
    </row>
    <row r="17072" spans="1:16" x14ac:dyDescent="0.25">
      <c r="A17072" t="s">
        <v>39671</v>
      </c>
      <c r="B17072" t="s">
        <v>11050</v>
      </c>
      <c r="C17072" t="s">
        <v>11051</v>
      </c>
      <c r="D17072" t="str">
        <f>"1700"</f>
        <v>1700</v>
      </c>
      <c r="E17072" t="s">
        <v>60</v>
      </c>
      <c r="F17072" t="s">
        <v>3670</v>
      </c>
      <c r="G17072" t="s">
        <v>47091</v>
      </c>
      <c r="H17072" t="s">
        <v>47126</v>
      </c>
      <c r="I17072" t="s">
        <v>47127</v>
      </c>
      <c r="J17072" t="s">
        <v>47128</v>
      </c>
      <c r="K17072" t="s">
        <v>47113</v>
      </c>
      <c r="L17072">
        <v>12.54</v>
      </c>
      <c r="M17072">
        <v>24</v>
      </c>
      <c r="N17072">
        <v>0</v>
      </c>
      <c r="O17072">
        <v>24</v>
      </c>
      <c r="P17072">
        <v>0</v>
      </c>
    </row>
    <row r="17073" spans="1:16" x14ac:dyDescent="0.25">
      <c r="A17073" t="s">
        <v>39672</v>
      </c>
      <c r="B17073" t="s">
        <v>11050</v>
      </c>
      <c r="C17073" t="s">
        <v>11051</v>
      </c>
      <c r="D17073" t="str">
        <f>"4753"</f>
        <v>4753</v>
      </c>
      <c r="E17073" t="s">
        <v>3755</v>
      </c>
      <c r="F17073" t="s">
        <v>3670</v>
      </c>
      <c r="G17073" t="s">
        <v>47091</v>
      </c>
      <c r="H17073" t="s">
        <v>47126</v>
      </c>
      <c r="I17073" t="s">
        <v>47127</v>
      </c>
      <c r="J17073" t="s">
        <v>47128</v>
      </c>
      <c r="K17073" t="s">
        <v>47113</v>
      </c>
      <c r="L17073">
        <v>12.54</v>
      </c>
      <c r="M17073">
        <v>24</v>
      </c>
      <c r="N17073">
        <v>0</v>
      </c>
      <c r="O17073">
        <v>24</v>
      </c>
      <c r="P17073">
        <v>0</v>
      </c>
    </row>
    <row r="17074" spans="1:16" x14ac:dyDescent="0.25">
      <c r="A17074" t="s">
        <v>39673</v>
      </c>
      <c r="B17074" t="s">
        <v>11050</v>
      </c>
      <c r="C17074" t="s">
        <v>11051</v>
      </c>
      <c r="D17074" t="str">
        <f>"6500"</f>
        <v>6500</v>
      </c>
      <c r="E17074" t="s">
        <v>151</v>
      </c>
      <c r="F17074" t="s">
        <v>3670</v>
      </c>
      <c r="G17074" t="s">
        <v>47091</v>
      </c>
      <c r="H17074" t="s">
        <v>47126</v>
      </c>
      <c r="I17074" t="s">
        <v>47127</v>
      </c>
      <c r="J17074" t="s">
        <v>47128</v>
      </c>
      <c r="K17074" t="s">
        <v>47113</v>
      </c>
      <c r="L17074">
        <v>12.54</v>
      </c>
      <c r="M17074">
        <v>24</v>
      </c>
      <c r="N17074">
        <v>0</v>
      </c>
      <c r="O17074">
        <v>24</v>
      </c>
      <c r="P17074">
        <v>0</v>
      </c>
    </row>
    <row r="17075" spans="1:16" x14ac:dyDescent="0.25">
      <c r="A17075" t="s">
        <v>39674</v>
      </c>
      <c r="B17075" t="s">
        <v>11050</v>
      </c>
      <c r="C17075" t="s">
        <v>11051</v>
      </c>
      <c r="D17075" t="str">
        <f>"8039"</f>
        <v>8039</v>
      </c>
      <c r="E17075" t="s">
        <v>4631</v>
      </c>
      <c r="F17075" t="s">
        <v>3670</v>
      </c>
      <c r="G17075" t="s">
        <v>47091</v>
      </c>
      <c r="H17075" t="s">
        <v>47126</v>
      </c>
      <c r="I17075" t="s">
        <v>47127</v>
      </c>
      <c r="J17075" t="s">
        <v>47128</v>
      </c>
      <c r="K17075" t="s">
        <v>47113</v>
      </c>
      <c r="L17075">
        <v>12.54</v>
      </c>
      <c r="M17075">
        <v>24</v>
      </c>
      <c r="N17075">
        <v>0</v>
      </c>
      <c r="O17075">
        <v>24</v>
      </c>
      <c r="P17075">
        <v>0</v>
      </c>
    </row>
    <row r="17076" spans="1:16" x14ac:dyDescent="0.25">
      <c r="A17076" t="s">
        <v>39675</v>
      </c>
      <c r="B17076" t="s">
        <v>11052</v>
      </c>
      <c r="C17076" t="s">
        <v>11049</v>
      </c>
      <c r="D17076" t="str">
        <f>"1303"</f>
        <v>1303</v>
      </c>
      <c r="E17076" t="s">
        <v>4630</v>
      </c>
      <c r="F17076" t="s">
        <v>3670</v>
      </c>
      <c r="G17076" t="s">
        <v>47091</v>
      </c>
      <c r="H17076" t="s">
        <v>47126</v>
      </c>
      <c r="I17076" t="s">
        <v>47127</v>
      </c>
      <c r="J17076" t="s">
        <v>47128</v>
      </c>
      <c r="K17076" t="s">
        <v>47113</v>
      </c>
      <c r="L17076">
        <v>14.21</v>
      </c>
      <c r="M17076">
        <v>27</v>
      </c>
      <c r="N17076">
        <v>0</v>
      </c>
      <c r="O17076">
        <v>27</v>
      </c>
      <c r="P17076">
        <v>0</v>
      </c>
    </row>
    <row r="17077" spans="1:16" x14ac:dyDescent="0.25">
      <c r="A17077" t="s">
        <v>39676</v>
      </c>
      <c r="B17077" t="s">
        <v>11052</v>
      </c>
      <c r="C17077" t="s">
        <v>11049</v>
      </c>
      <c r="D17077" t="str">
        <f>"1377"</f>
        <v>1377</v>
      </c>
      <c r="E17077" t="s">
        <v>74</v>
      </c>
      <c r="F17077" t="s">
        <v>3670</v>
      </c>
      <c r="G17077" t="s">
        <v>47091</v>
      </c>
      <c r="H17077" t="s">
        <v>47126</v>
      </c>
      <c r="I17077" t="s">
        <v>47127</v>
      </c>
      <c r="J17077" t="s">
        <v>47128</v>
      </c>
      <c r="K17077" t="s">
        <v>47113</v>
      </c>
      <c r="L17077">
        <v>14.21</v>
      </c>
      <c r="M17077">
        <v>27</v>
      </c>
      <c r="N17077">
        <v>0</v>
      </c>
      <c r="O17077">
        <v>27</v>
      </c>
      <c r="P17077">
        <v>0</v>
      </c>
    </row>
    <row r="17078" spans="1:16" x14ac:dyDescent="0.25">
      <c r="A17078" t="s">
        <v>39677</v>
      </c>
      <c r="B17078" t="s">
        <v>11052</v>
      </c>
      <c r="C17078" t="s">
        <v>11049</v>
      </c>
      <c r="D17078" t="str">
        <f>"1378"</f>
        <v>1378</v>
      </c>
      <c r="E17078" t="s">
        <v>388</v>
      </c>
      <c r="F17078" t="s">
        <v>3670</v>
      </c>
      <c r="G17078" t="s">
        <v>47091</v>
      </c>
      <c r="H17078" t="s">
        <v>47126</v>
      </c>
      <c r="I17078" t="s">
        <v>47127</v>
      </c>
      <c r="J17078" t="s">
        <v>47128</v>
      </c>
      <c r="K17078" t="s">
        <v>47113</v>
      </c>
      <c r="L17078">
        <v>14.21</v>
      </c>
      <c r="M17078">
        <v>27</v>
      </c>
      <c r="N17078">
        <v>0</v>
      </c>
      <c r="O17078">
        <v>27</v>
      </c>
      <c r="P17078">
        <v>0</v>
      </c>
    </row>
    <row r="17079" spans="1:16" x14ac:dyDescent="0.25">
      <c r="A17079" t="s">
        <v>39678</v>
      </c>
      <c r="B17079" t="s">
        <v>11052</v>
      </c>
      <c r="C17079" t="s">
        <v>11049</v>
      </c>
      <c r="D17079" t="str">
        <f>"1403"</f>
        <v>1403</v>
      </c>
      <c r="E17079" t="s">
        <v>224</v>
      </c>
      <c r="F17079" t="s">
        <v>3670</v>
      </c>
      <c r="G17079" t="s">
        <v>47091</v>
      </c>
      <c r="H17079" t="s">
        <v>47126</v>
      </c>
      <c r="I17079" t="s">
        <v>47127</v>
      </c>
      <c r="J17079" t="s">
        <v>47128</v>
      </c>
      <c r="K17079" t="s">
        <v>47113</v>
      </c>
      <c r="L17079">
        <v>14.21</v>
      </c>
      <c r="M17079">
        <v>27</v>
      </c>
      <c r="N17079">
        <v>0</v>
      </c>
      <c r="O17079">
        <v>27</v>
      </c>
      <c r="P17079">
        <v>0</v>
      </c>
    </row>
    <row r="17080" spans="1:16" x14ac:dyDescent="0.25">
      <c r="A17080" t="s">
        <v>39679</v>
      </c>
      <c r="B17080" t="s">
        <v>11052</v>
      </c>
      <c r="C17080" t="s">
        <v>11049</v>
      </c>
      <c r="D17080" t="str">
        <f>"1700"</f>
        <v>1700</v>
      </c>
      <c r="E17080" t="s">
        <v>60</v>
      </c>
      <c r="F17080" t="s">
        <v>3670</v>
      </c>
      <c r="G17080" t="s">
        <v>47091</v>
      </c>
      <c r="H17080" t="s">
        <v>47126</v>
      </c>
      <c r="I17080" t="s">
        <v>47127</v>
      </c>
      <c r="J17080" t="s">
        <v>47128</v>
      </c>
      <c r="K17080" t="s">
        <v>47113</v>
      </c>
      <c r="L17080">
        <v>14.21</v>
      </c>
      <c r="M17080">
        <v>27</v>
      </c>
      <c r="N17080">
        <v>0</v>
      </c>
      <c r="O17080">
        <v>27</v>
      </c>
      <c r="P17080">
        <v>0</v>
      </c>
    </row>
    <row r="17081" spans="1:16" x14ac:dyDescent="0.25">
      <c r="A17081" t="s">
        <v>39680</v>
      </c>
      <c r="B17081" t="s">
        <v>11052</v>
      </c>
      <c r="C17081" t="s">
        <v>11049</v>
      </c>
      <c r="D17081" t="str">
        <f>"4753"</f>
        <v>4753</v>
      </c>
      <c r="E17081" t="s">
        <v>3755</v>
      </c>
      <c r="F17081" t="s">
        <v>3670</v>
      </c>
      <c r="G17081" t="s">
        <v>47091</v>
      </c>
      <c r="H17081" t="s">
        <v>47126</v>
      </c>
      <c r="I17081" t="s">
        <v>47127</v>
      </c>
      <c r="J17081" t="s">
        <v>47128</v>
      </c>
      <c r="K17081" t="s">
        <v>47113</v>
      </c>
      <c r="L17081">
        <v>14.21</v>
      </c>
      <c r="M17081">
        <v>27</v>
      </c>
      <c r="N17081">
        <v>0</v>
      </c>
      <c r="O17081">
        <v>27</v>
      </c>
      <c r="P17081">
        <v>0</v>
      </c>
    </row>
    <row r="17082" spans="1:16" x14ac:dyDescent="0.25">
      <c r="A17082" t="s">
        <v>39681</v>
      </c>
      <c r="B17082" t="s">
        <v>11052</v>
      </c>
      <c r="C17082" t="s">
        <v>11049</v>
      </c>
      <c r="D17082" t="str">
        <f>"6500"</f>
        <v>6500</v>
      </c>
      <c r="E17082" t="s">
        <v>151</v>
      </c>
      <c r="F17082" t="s">
        <v>3670</v>
      </c>
      <c r="G17082" t="s">
        <v>47091</v>
      </c>
      <c r="H17082" t="s">
        <v>47126</v>
      </c>
      <c r="I17082" t="s">
        <v>47127</v>
      </c>
      <c r="J17082" t="s">
        <v>47128</v>
      </c>
      <c r="K17082" t="s">
        <v>47113</v>
      </c>
      <c r="L17082">
        <v>14.21</v>
      </c>
      <c r="M17082">
        <v>27</v>
      </c>
      <c r="N17082">
        <v>0</v>
      </c>
      <c r="O17082">
        <v>27</v>
      </c>
      <c r="P17082">
        <v>0</v>
      </c>
    </row>
    <row r="17083" spans="1:16" x14ac:dyDescent="0.25">
      <c r="A17083" t="s">
        <v>39682</v>
      </c>
      <c r="B17083" t="s">
        <v>11052</v>
      </c>
      <c r="C17083" t="s">
        <v>11049</v>
      </c>
      <c r="D17083" t="str">
        <f>"8039"</f>
        <v>8039</v>
      </c>
      <c r="E17083" t="s">
        <v>4631</v>
      </c>
      <c r="F17083" t="s">
        <v>3670</v>
      </c>
      <c r="G17083" t="s">
        <v>47091</v>
      </c>
      <c r="H17083" t="s">
        <v>47126</v>
      </c>
      <c r="I17083" t="s">
        <v>47127</v>
      </c>
      <c r="J17083" t="s">
        <v>47128</v>
      </c>
      <c r="K17083" t="s">
        <v>47113</v>
      </c>
      <c r="L17083">
        <v>14.21</v>
      </c>
      <c r="M17083">
        <v>27</v>
      </c>
      <c r="N17083">
        <v>0</v>
      </c>
      <c r="O17083">
        <v>27</v>
      </c>
      <c r="P17083">
        <v>0</v>
      </c>
    </row>
    <row r="17084" spans="1:16" x14ac:dyDescent="0.25">
      <c r="A17084" t="s">
        <v>39683</v>
      </c>
      <c r="B17084" t="s">
        <v>11053</v>
      </c>
      <c r="C17084" t="s">
        <v>11054</v>
      </c>
      <c r="D17084" t="str">
        <f>"1106"</f>
        <v>1106</v>
      </c>
      <c r="E17084" t="s">
        <v>460</v>
      </c>
      <c r="F17084" t="s">
        <v>3670</v>
      </c>
      <c r="G17084" t="s">
        <v>47091</v>
      </c>
      <c r="H17084" t="s">
        <v>47126</v>
      </c>
      <c r="I17084" t="s">
        <v>47127</v>
      </c>
      <c r="J17084" t="s">
        <v>47128</v>
      </c>
      <c r="K17084" t="s">
        <v>47113</v>
      </c>
      <c r="L17084">
        <v>15.4</v>
      </c>
      <c r="M17084">
        <v>31</v>
      </c>
      <c r="N17084">
        <v>0</v>
      </c>
      <c r="O17084">
        <v>31</v>
      </c>
      <c r="P17084">
        <v>0</v>
      </c>
    </row>
    <row r="17085" spans="1:16" x14ac:dyDescent="0.25">
      <c r="A17085" t="s">
        <v>39684</v>
      </c>
      <c r="B17085" t="s">
        <v>11053</v>
      </c>
      <c r="C17085" t="s">
        <v>11054</v>
      </c>
      <c r="D17085" t="str">
        <f>"1303"</f>
        <v>1303</v>
      </c>
      <c r="E17085" t="s">
        <v>4630</v>
      </c>
      <c r="F17085" t="s">
        <v>3670</v>
      </c>
      <c r="G17085" t="s">
        <v>47091</v>
      </c>
      <c r="H17085" t="s">
        <v>47126</v>
      </c>
      <c r="I17085" t="s">
        <v>47127</v>
      </c>
      <c r="J17085" t="s">
        <v>47128</v>
      </c>
      <c r="K17085" t="s">
        <v>47113</v>
      </c>
      <c r="L17085">
        <v>15.4</v>
      </c>
      <c r="M17085">
        <v>31</v>
      </c>
      <c r="N17085">
        <v>0</v>
      </c>
      <c r="O17085">
        <v>31</v>
      </c>
      <c r="P17085">
        <v>0</v>
      </c>
    </row>
    <row r="17086" spans="1:16" x14ac:dyDescent="0.25">
      <c r="A17086" t="s">
        <v>39685</v>
      </c>
      <c r="B17086" t="s">
        <v>11053</v>
      </c>
      <c r="C17086" t="s">
        <v>11054</v>
      </c>
      <c r="D17086" t="str">
        <f>"1377"</f>
        <v>1377</v>
      </c>
      <c r="E17086" t="s">
        <v>74</v>
      </c>
      <c r="F17086" t="s">
        <v>3670</v>
      </c>
      <c r="G17086" t="s">
        <v>47091</v>
      </c>
      <c r="H17086" t="s">
        <v>47126</v>
      </c>
      <c r="I17086" t="s">
        <v>47127</v>
      </c>
      <c r="J17086" t="s">
        <v>47128</v>
      </c>
      <c r="K17086" t="s">
        <v>47113</v>
      </c>
      <c r="L17086">
        <v>15.4</v>
      </c>
      <c r="M17086">
        <v>31</v>
      </c>
      <c r="N17086">
        <v>0</v>
      </c>
      <c r="O17086">
        <v>31</v>
      </c>
      <c r="P17086">
        <v>0</v>
      </c>
    </row>
    <row r="17087" spans="1:16" x14ac:dyDescent="0.25">
      <c r="A17087" t="s">
        <v>39686</v>
      </c>
      <c r="B17087" t="s">
        <v>11053</v>
      </c>
      <c r="C17087" t="s">
        <v>11054</v>
      </c>
      <c r="D17087" t="str">
        <f>"1378"</f>
        <v>1378</v>
      </c>
      <c r="E17087" t="s">
        <v>388</v>
      </c>
      <c r="F17087" t="s">
        <v>3670</v>
      </c>
      <c r="G17087" t="s">
        <v>47091</v>
      </c>
      <c r="H17087" t="s">
        <v>47126</v>
      </c>
      <c r="I17087" t="s">
        <v>47127</v>
      </c>
      <c r="J17087" t="s">
        <v>47128</v>
      </c>
      <c r="K17087" t="s">
        <v>47113</v>
      </c>
      <c r="L17087">
        <v>15.4</v>
      </c>
      <c r="M17087">
        <v>31</v>
      </c>
      <c r="N17087">
        <v>0</v>
      </c>
      <c r="O17087">
        <v>31</v>
      </c>
      <c r="P17087">
        <v>0</v>
      </c>
    </row>
    <row r="17088" spans="1:16" x14ac:dyDescent="0.25">
      <c r="A17088" t="s">
        <v>39687</v>
      </c>
      <c r="B17088" t="s">
        <v>11053</v>
      </c>
      <c r="C17088" t="s">
        <v>11054</v>
      </c>
      <c r="D17088" t="str">
        <f>"1403"</f>
        <v>1403</v>
      </c>
      <c r="E17088" t="s">
        <v>224</v>
      </c>
      <c r="F17088" t="s">
        <v>3670</v>
      </c>
      <c r="G17088" t="s">
        <v>47091</v>
      </c>
      <c r="H17088" t="s">
        <v>47126</v>
      </c>
      <c r="I17088" t="s">
        <v>47127</v>
      </c>
      <c r="J17088" t="s">
        <v>47128</v>
      </c>
      <c r="K17088" t="s">
        <v>47113</v>
      </c>
      <c r="L17088">
        <v>15.4</v>
      </c>
      <c r="M17088">
        <v>31</v>
      </c>
      <c r="N17088">
        <v>0</v>
      </c>
      <c r="O17088">
        <v>31</v>
      </c>
      <c r="P17088">
        <v>0</v>
      </c>
    </row>
    <row r="17089" spans="1:16" x14ac:dyDescent="0.25">
      <c r="A17089" t="s">
        <v>39688</v>
      </c>
      <c r="B17089" t="s">
        <v>11053</v>
      </c>
      <c r="C17089" t="s">
        <v>11054</v>
      </c>
      <c r="D17089" t="str">
        <f>"1700"</f>
        <v>1700</v>
      </c>
      <c r="E17089" t="s">
        <v>60</v>
      </c>
      <c r="F17089" t="s">
        <v>3670</v>
      </c>
      <c r="G17089" t="s">
        <v>47091</v>
      </c>
      <c r="H17089" t="s">
        <v>47126</v>
      </c>
      <c r="I17089" t="s">
        <v>47127</v>
      </c>
      <c r="J17089" t="s">
        <v>47128</v>
      </c>
      <c r="K17089" t="s">
        <v>47113</v>
      </c>
      <c r="L17089">
        <v>15.4</v>
      </c>
      <c r="M17089">
        <v>31</v>
      </c>
      <c r="N17089">
        <v>0</v>
      </c>
      <c r="O17089">
        <v>31</v>
      </c>
      <c r="P17089">
        <v>0</v>
      </c>
    </row>
    <row r="17090" spans="1:16" x14ac:dyDescent="0.25">
      <c r="A17090" t="s">
        <v>39689</v>
      </c>
      <c r="B17090" t="s">
        <v>11053</v>
      </c>
      <c r="C17090" t="s">
        <v>11054</v>
      </c>
      <c r="D17090" t="str">
        <f>"4753"</f>
        <v>4753</v>
      </c>
      <c r="E17090" t="s">
        <v>3755</v>
      </c>
      <c r="F17090" t="s">
        <v>3670</v>
      </c>
      <c r="G17090" t="s">
        <v>47091</v>
      </c>
      <c r="H17090" t="s">
        <v>47126</v>
      </c>
      <c r="I17090" t="s">
        <v>47127</v>
      </c>
      <c r="J17090" t="s">
        <v>47128</v>
      </c>
      <c r="K17090" t="s">
        <v>47113</v>
      </c>
      <c r="L17090">
        <v>15.4</v>
      </c>
      <c r="M17090">
        <v>31</v>
      </c>
      <c r="N17090">
        <v>0</v>
      </c>
      <c r="O17090">
        <v>31</v>
      </c>
      <c r="P17090">
        <v>0</v>
      </c>
    </row>
    <row r="17091" spans="1:16" x14ac:dyDescent="0.25">
      <c r="A17091" t="s">
        <v>39690</v>
      </c>
      <c r="B17091" t="s">
        <v>11053</v>
      </c>
      <c r="C17091" t="s">
        <v>11054</v>
      </c>
      <c r="D17091" t="str">
        <f>"6500"</f>
        <v>6500</v>
      </c>
      <c r="E17091" t="s">
        <v>151</v>
      </c>
      <c r="F17091" t="s">
        <v>3670</v>
      </c>
      <c r="G17091" t="s">
        <v>47091</v>
      </c>
      <c r="H17091" t="s">
        <v>47126</v>
      </c>
      <c r="I17091" t="s">
        <v>47127</v>
      </c>
      <c r="J17091" t="s">
        <v>47128</v>
      </c>
      <c r="K17091" t="s">
        <v>47113</v>
      </c>
      <c r="L17091">
        <v>15.4</v>
      </c>
      <c r="M17091">
        <v>31</v>
      </c>
      <c r="N17091">
        <v>0</v>
      </c>
      <c r="O17091">
        <v>31</v>
      </c>
      <c r="P17091">
        <v>0</v>
      </c>
    </row>
    <row r="17092" spans="1:16" x14ac:dyDescent="0.25">
      <c r="A17092" t="s">
        <v>39691</v>
      </c>
      <c r="B17092" t="s">
        <v>11053</v>
      </c>
      <c r="C17092" t="s">
        <v>11054</v>
      </c>
      <c r="D17092" t="str">
        <f>"8039"</f>
        <v>8039</v>
      </c>
      <c r="E17092" t="s">
        <v>4631</v>
      </c>
      <c r="F17092" t="s">
        <v>3670</v>
      </c>
      <c r="G17092" t="s">
        <v>47091</v>
      </c>
      <c r="H17092" t="s">
        <v>47126</v>
      </c>
      <c r="I17092" t="s">
        <v>47127</v>
      </c>
      <c r="J17092" t="s">
        <v>47128</v>
      </c>
      <c r="K17092" t="s">
        <v>47113</v>
      </c>
      <c r="L17092">
        <v>15.4</v>
      </c>
      <c r="M17092">
        <v>31</v>
      </c>
      <c r="N17092">
        <v>0</v>
      </c>
      <c r="O17092">
        <v>31</v>
      </c>
      <c r="P17092">
        <v>0</v>
      </c>
    </row>
    <row r="17093" spans="1:16" x14ac:dyDescent="0.25">
      <c r="A17093" t="s">
        <v>39692</v>
      </c>
      <c r="B17093" t="s">
        <v>11055</v>
      </c>
      <c r="C17093" t="s">
        <v>11056</v>
      </c>
      <c r="D17093" t="str">
        <f>"1106"</f>
        <v>1106</v>
      </c>
      <c r="E17093" t="s">
        <v>460</v>
      </c>
      <c r="F17093" t="s">
        <v>3670</v>
      </c>
      <c r="G17093" t="s">
        <v>47091</v>
      </c>
      <c r="H17093" t="s">
        <v>47126</v>
      </c>
      <c r="I17093" t="s">
        <v>47127</v>
      </c>
      <c r="J17093" t="s">
        <v>47128</v>
      </c>
      <c r="K17093" t="s">
        <v>47113</v>
      </c>
      <c r="L17093">
        <v>15.4</v>
      </c>
      <c r="M17093">
        <v>35</v>
      </c>
      <c r="N17093">
        <v>0</v>
      </c>
      <c r="O17093">
        <v>35</v>
      </c>
      <c r="P17093">
        <v>0</v>
      </c>
    </row>
    <row r="17094" spans="1:16" x14ac:dyDescent="0.25">
      <c r="A17094" t="s">
        <v>39693</v>
      </c>
      <c r="B17094" t="s">
        <v>11055</v>
      </c>
      <c r="C17094" t="s">
        <v>11056</v>
      </c>
      <c r="D17094" t="str">
        <f>"1377"</f>
        <v>1377</v>
      </c>
      <c r="E17094" t="s">
        <v>74</v>
      </c>
      <c r="F17094" t="s">
        <v>3670</v>
      </c>
      <c r="G17094" t="s">
        <v>47091</v>
      </c>
      <c r="H17094" t="s">
        <v>47126</v>
      </c>
      <c r="I17094" t="s">
        <v>47127</v>
      </c>
      <c r="J17094" t="s">
        <v>47128</v>
      </c>
      <c r="K17094" t="s">
        <v>47113</v>
      </c>
      <c r="L17094">
        <v>15.4</v>
      </c>
      <c r="M17094">
        <v>35</v>
      </c>
      <c r="N17094">
        <v>0</v>
      </c>
      <c r="O17094">
        <v>35</v>
      </c>
      <c r="P17094">
        <v>0</v>
      </c>
    </row>
    <row r="17095" spans="1:16" x14ac:dyDescent="0.25">
      <c r="A17095" t="s">
        <v>39694</v>
      </c>
      <c r="B17095" t="s">
        <v>11055</v>
      </c>
      <c r="C17095" t="s">
        <v>11056</v>
      </c>
      <c r="D17095" t="str">
        <f>"1403"</f>
        <v>1403</v>
      </c>
      <c r="E17095" t="s">
        <v>224</v>
      </c>
      <c r="F17095" t="s">
        <v>3670</v>
      </c>
      <c r="G17095" t="s">
        <v>47091</v>
      </c>
      <c r="H17095" t="s">
        <v>47126</v>
      </c>
      <c r="I17095" t="s">
        <v>47127</v>
      </c>
      <c r="J17095" t="s">
        <v>47128</v>
      </c>
      <c r="K17095" t="s">
        <v>47113</v>
      </c>
      <c r="L17095">
        <v>15.4</v>
      </c>
      <c r="M17095">
        <v>35</v>
      </c>
      <c r="N17095">
        <v>0</v>
      </c>
      <c r="O17095">
        <v>35</v>
      </c>
      <c r="P17095">
        <v>0</v>
      </c>
    </row>
    <row r="17096" spans="1:16" x14ac:dyDescent="0.25">
      <c r="A17096" t="s">
        <v>39695</v>
      </c>
      <c r="B17096" t="s">
        <v>11055</v>
      </c>
      <c r="C17096" t="s">
        <v>11056</v>
      </c>
      <c r="D17096" t="str">
        <f>"1700"</f>
        <v>1700</v>
      </c>
      <c r="E17096" t="s">
        <v>60</v>
      </c>
      <c r="F17096" t="s">
        <v>3670</v>
      </c>
      <c r="G17096" t="s">
        <v>47091</v>
      </c>
      <c r="H17096" t="s">
        <v>47126</v>
      </c>
      <c r="I17096" t="s">
        <v>47127</v>
      </c>
      <c r="J17096" t="s">
        <v>47128</v>
      </c>
      <c r="K17096" t="s">
        <v>47113</v>
      </c>
      <c r="L17096">
        <v>15.4</v>
      </c>
      <c r="M17096">
        <v>35</v>
      </c>
      <c r="N17096">
        <v>0</v>
      </c>
      <c r="O17096">
        <v>35</v>
      </c>
      <c r="P17096">
        <v>0</v>
      </c>
    </row>
    <row r="17097" spans="1:16" x14ac:dyDescent="0.25">
      <c r="A17097" t="s">
        <v>39696</v>
      </c>
      <c r="B17097" t="s">
        <v>11055</v>
      </c>
      <c r="C17097" t="s">
        <v>11056</v>
      </c>
      <c r="D17097" t="str">
        <f>"6500"</f>
        <v>6500</v>
      </c>
      <c r="E17097" t="s">
        <v>151</v>
      </c>
      <c r="F17097" t="s">
        <v>3670</v>
      </c>
      <c r="G17097" t="s">
        <v>47091</v>
      </c>
      <c r="H17097" t="s">
        <v>47126</v>
      </c>
      <c r="I17097" t="s">
        <v>47127</v>
      </c>
      <c r="J17097" t="s">
        <v>47128</v>
      </c>
      <c r="K17097" t="s">
        <v>47113</v>
      </c>
      <c r="L17097">
        <v>15.4</v>
      </c>
      <c r="M17097">
        <v>35</v>
      </c>
      <c r="N17097">
        <v>0</v>
      </c>
      <c r="O17097">
        <v>35</v>
      </c>
      <c r="P17097">
        <v>0</v>
      </c>
    </row>
    <row r="17098" spans="1:16" x14ac:dyDescent="0.25">
      <c r="A17098" t="s">
        <v>39697</v>
      </c>
      <c r="B17098" t="s">
        <v>11055</v>
      </c>
      <c r="C17098" t="s">
        <v>11056</v>
      </c>
      <c r="D17098" t="str">
        <f>"8039"</f>
        <v>8039</v>
      </c>
      <c r="E17098" t="s">
        <v>4631</v>
      </c>
      <c r="F17098" t="s">
        <v>3670</v>
      </c>
      <c r="G17098" t="s">
        <v>47091</v>
      </c>
      <c r="H17098" t="s">
        <v>47126</v>
      </c>
      <c r="I17098" t="s">
        <v>47127</v>
      </c>
      <c r="J17098" t="s">
        <v>47128</v>
      </c>
      <c r="K17098" t="s">
        <v>47113</v>
      </c>
      <c r="L17098">
        <v>15.4</v>
      </c>
      <c r="M17098">
        <v>35</v>
      </c>
      <c r="N17098">
        <v>0</v>
      </c>
      <c r="O17098">
        <v>35</v>
      </c>
      <c r="P17098">
        <v>0</v>
      </c>
    </row>
    <row r="17099" spans="1:16" x14ac:dyDescent="0.25">
      <c r="A17099" t="s">
        <v>39698</v>
      </c>
      <c r="B17099" t="s">
        <v>11057</v>
      </c>
      <c r="C17099" t="s">
        <v>11047</v>
      </c>
      <c r="D17099" t="str">
        <f>"1106"</f>
        <v>1106</v>
      </c>
      <c r="E17099" t="s">
        <v>460</v>
      </c>
      <c r="F17099" t="s">
        <v>3670</v>
      </c>
      <c r="G17099" t="s">
        <v>47091</v>
      </c>
      <c r="H17099" t="s">
        <v>47126</v>
      </c>
      <c r="I17099" t="s">
        <v>47127</v>
      </c>
      <c r="J17099" t="s">
        <v>47128</v>
      </c>
      <c r="K17099" t="s">
        <v>47113</v>
      </c>
      <c r="L17099">
        <v>15.4</v>
      </c>
      <c r="M17099">
        <v>29</v>
      </c>
      <c r="N17099">
        <v>0</v>
      </c>
      <c r="O17099">
        <v>29</v>
      </c>
      <c r="P17099">
        <v>0</v>
      </c>
    </row>
    <row r="17100" spans="1:16" x14ac:dyDescent="0.25">
      <c r="A17100" t="s">
        <v>39699</v>
      </c>
      <c r="B17100" t="s">
        <v>11057</v>
      </c>
      <c r="C17100" t="s">
        <v>11047</v>
      </c>
      <c r="D17100" t="str">
        <f>"1303"</f>
        <v>1303</v>
      </c>
      <c r="E17100" t="s">
        <v>4630</v>
      </c>
      <c r="F17100" t="s">
        <v>3670</v>
      </c>
      <c r="G17100" t="s">
        <v>47091</v>
      </c>
      <c r="H17100" t="s">
        <v>47126</v>
      </c>
      <c r="I17100" t="s">
        <v>47127</v>
      </c>
      <c r="J17100" t="s">
        <v>47128</v>
      </c>
      <c r="K17100" t="s">
        <v>47113</v>
      </c>
      <c r="L17100">
        <v>15.4</v>
      </c>
      <c r="M17100">
        <v>29</v>
      </c>
      <c r="N17100">
        <v>0</v>
      </c>
      <c r="O17100">
        <v>29</v>
      </c>
      <c r="P17100">
        <v>0</v>
      </c>
    </row>
    <row r="17101" spans="1:16" x14ac:dyDescent="0.25">
      <c r="A17101" t="s">
        <v>39700</v>
      </c>
      <c r="B17101" t="s">
        <v>11057</v>
      </c>
      <c r="C17101" t="s">
        <v>11047</v>
      </c>
      <c r="D17101" t="str">
        <f>"1377"</f>
        <v>1377</v>
      </c>
      <c r="E17101" t="s">
        <v>74</v>
      </c>
      <c r="F17101" t="s">
        <v>3670</v>
      </c>
      <c r="G17101" t="s">
        <v>47091</v>
      </c>
      <c r="H17101" t="s">
        <v>47126</v>
      </c>
      <c r="I17101" t="s">
        <v>47127</v>
      </c>
      <c r="J17101" t="s">
        <v>47128</v>
      </c>
      <c r="K17101" t="s">
        <v>47113</v>
      </c>
      <c r="L17101">
        <v>15.4</v>
      </c>
      <c r="M17101">
        <v>29</v>
      </c>
      <c r="N17101">
        <v>0</v>
      </c>
      <c r="O17101">
        <v>29</v>
      </c>
      <c r="P17101">
        <v>0</v>
      </c>
    </row>
    <row r="17102" spans="1:16" x14ac:dyDescent="0.25">
      <c r="A17102" t="s">
        <v>39701</v>
      </c>
      <c r="B17102" t="s">
        <v>11057</v>
      </c>
      <c r="C17102" t="s">
        <v>11047</v>
      </c>
      <c r="D17102" t="str">
        <f>"1403"</f>
        <v>1403</v>
      </c>
      <c r="E17102" t="s">
        <v>224</v>
      </c>
      <c r="F17102" t="s">
        <v>3670</v>
      </c>
      <c r="G17102" t="s">
        <v>47091</v>
      </c>
      <c r="H17102" t="s">
        <v>47126</v>
      </c>
      <c r="I17102" t="s">
        <v>47127</v>
      </c>
      <c r="J17102" t="s">
        <v>47128</v>
      </c>
      <c r="K17102" t="s">
        <v>47113</v>
      </c>
      <c r="L17102">
        <v>15.4</v>
      </c>
      <c r="M17102">
        <v>29</v>
      </c>
      <c r="N17102">
        <v>0</v>
      </c>
      <c r="O17102">
        <v>29</v>
      </c>
      <c r="P17102">
        <v>0</v>
      </c>
    </row>
    <row r="17103" spans="1:16" x14ac:dyDescent="0.25">
      <c r="A17103" t="s">
        <v>39702</v>
      </c>
      <c r="B17103" t="s">
        <v>11057</v>
      </c>
      <c r="C17103" t="s">
        <v>11047</v>
      </c>
      <c r="D17103" t="str">
        <f>"1700"</f>
        <v>1700</v>
      </c>
      <c r="E17103" t="s">
        <v>60</v>
      </c>
      <c r="F17103" t="s">
        <v>3670</v>
      </c>
      <c r="G17103" t="s">
        <v>47091</v>
      </c>
      <c r="H17103" t="s">
        <v>47126</v>
      </c>
      <c r="I17103" t="s">
        <v>47127</v>
      </c>
      <c r="J17103" t="s">
        <v>47128</v>
      </c>
      <c r="K17103" t="s">
        <v>47113</v>
      </c>
      <c r="L17103">
        <v>15.4</v>
      </c>
      <c r="M17103">
        <v>29</v>
      </c>
      <c r="N17103">
        <v>0</v>
      </c>
      <c r="O17103">
        <v>29</v>
      </c>
      <c r="P17103">
        <v>0</v>
      </c>
    </row>
    <row r="17104" spans="1:16" x14ac:dyDescent="0.25">
      <c r="A17104" t="s">
        <v>39703</v>
      </c>
      <c r="B17104" t="s">
        <v>11057</v>
      </c>
      <c r="C17104" t="s">
        <v>11047</v>
      </c>
      <c r="D17104" t="str">
        <f>"3501"</f>
        <v>3501</v>
      </c>
      <c r="E17104" t="s">
        <v>3758</v>
      </c>
      <c r="F17104" t="s">
        <v>3670</v>
      </c>
      <c r="G17104" t="s">
        <v>47091</v>
      </c>
      <c r="H17104" t="s">
        <v>47126</v>
      </c>
      <c r="I17104" t="s">
        <v>47127</v>
      </c>
      <c r="J17104" t="s">
        <v>47128</v>
      </c>
      <c r="K17104" t="s">
        <v>47113</v>
      </c>
      <c r="L17104">
        <v>15.4</v>
      </c>
      <c r="M17104">
        <v>29</v>
      </c>
      <c r="N17104">
        <v>0</v>
      </c>
      <c r="O17104">
        <v>29</v>
      </c>
      <c r="P17104">
        <v>0</v>
      </c>
    </row>
    <row r="17105" spans="1:16" x14ac:dyDescent="0.25">
      <c r="A17105" t="s">
        <v>39704</v>
      </c>
      <c r="B17105" t="s">
        <v>11057</v>
      </c>
      <c r="C17105" t="s">
        <v>11047</v>
      </c>
      <c r="D17105" t="str">
        <f>"4753"</f>
        <v>4753</v>
      </c>
      <c r="E17105" t="s">
        <v>3755</v>
      </c>
      <c r="F17105" t="s">
        <v>3670</v>
      </c>
      <c r="G17105" t="s">
        <v>47091</v>
      </c>
      <c r="H17105" t="s">
        <v>47126</v>
      </c>
      <c r="I17105" t="s">
        <v>47127</v>
      </c>
      <c r="J17105" t="s">
        <v>47128</v>
      </c>
      <c r="K17105" t="s">
        <v>47113</v>
      </c>
      <c r="L17105">
        <v>15.4</v>
      </c>
      <c r="M17105">
        <v>29</v>
      </c>
      <c r="N17105">
        <v>0</v>
      </c>
      <c r="O17105">
        <v>29</v>
      </c>
      <c r="P17105">
        <v>0</v>
      </c>
    </row>
    <row r="17106" spans="1:16" x14ac:dyDescent="0.25">
      <c r="A17106" t="s">
        <v>39705</v>
      </c>
      <c r="B17106" t="s">
        <v>11057</v>
      </c>
      <c r="C17106" t="s">
        <v>11047</v>
      </c>
      <c r="D17106" t="str">
        <f>"6500"</f>
        <v>6500</v>
      </c>
      <c r="E17106" t="s">
        <v>151</v>
      </c>
      <c r="F17106" t="s">
        <v>3670</v>
      </c>
      <c r="G17106" t="s">
        <v>47091</v>
      </c>
      <c r="H17106" t="s">
        <v>47126</v>
      </c>
      <c r="I17106" t="s">
        <v>47127</v>
      </c>
      <c r="J17106" t="s">
        <v>47128</v>
      </c>
      <c r="K17106" t="s">
        <v>47113</v>
      </c>
      <c r="L17106">
        <v>15.4</v>
      </c>
      <c r="M17106">
        <v>29</v>
      </c>
      <c r="N17106">
        <v>0</v>
      </c>
      <c r="O17106">
        <v>29</v>
      </c>
      <c r="P17106">
        <v>0</v>
      </c>
    </row>
    <row r="17107" spans="1:16" x14ac:dyDescent="0.25">
      <c r="A17107" t="s">
        <v>39706</v>
      </c>
      <c r="B17107" t="s">
        <v>11057</v>
      </c>
      <c r="C17107" t="s">
        <v>11047</v>
      </c>
      <c r="D17107" t="str">
        <f>"8039"</f>
        <v>8039</v>
      </c>
      <c r="E17107" t="s">
        <v>4631</v>
      </c>
      <c r="F17107" t="s">
        <v>3670</v>
      </c>
      <c r="G17107" t="s">
        <v>47091</v>
      </c>
      <c r="H17107" t="s">
        <v>47126</v>
      </c>
      <c r="I17107" t="s">
        <v>47127</v>
      </c>
      <c r="J17107" t="s">
        <v>47128</v>
      </c>
      <c r="K17107" t="s">
        <v>47113</v>
      </c>
      <c r="L17107">
        <v>15.4</v>
      </c>
      <c r="M17107">
        <v>29</v>
      </c>
      <c r="N17107">
        <v>0</v>
      </c>
      <c r="O17107">
        <v>29</v>
      </c>
      <c r="P17107">
        <v>0</v>
      </c>
    </row>
    <row r="17108" spans="1:16" x14ac:dyDescent="0.25">
      <c r="A17108" t="s">
        <v>39707</v>
      </c>
      <c r="B17108" t="s">
        <v>11058</v>
      </c>
      <c r="C17108" t="s">
        <v>11059</v>
      </c>
      <c r="D17108" t="str">
        <f>"1377"</f>
        <v>1377</v>
      </c>
      <c r="E17108" t="s">
        <v>74</v>
      </c>
      <c r="F17108" t="s">
        <v>3670</v>
      </c>
      <c r="G17108" t="s">
        <v>47091</v>
      </c>
      <c r="H17108" t="s">
        <v>47126</v>
      </c>
      <c r="I17108" t="s">
        <v>47127</v>
      </c>
      <c r="J17108" t="s">
        <v>47128</v>
      </c>
      <c r="K17108" t="s">
        <v>47113</v>
      </c>
      <c r="L17108">
        <v>9.82</v>
      </c>
      <c r="M17108">
        <v>29</v>
      </c>
      <c r="N17108">
        <v>0</v>
      </c>
      <c r="O17108">
        <v>29</v>
      </c>
      <c r="P17108">
        <v>0</v>
      </c>
    </row>
    <row r="17109" spans="1:16" x14ac:dyDescent="0.25">
      <c r="A17109" t="s">
        <v>39708</v>
      </c>
      <c r="B17109" t="s">
        <v>11058</v>
      </c>
      <c r="C17109" t="s">
        <v>11059</v>
      </c>
      <c r="D17109" t="str">
        <f>"1378"</f>
        <v>1378</v>
      </c>
      <c r="E17109" t="s">
        <v>388</v>
      </c>
      <c r="F17109" t="s">
        <v>3670</v>
      </c>
      <c r="G17109" t="s">
        <v>47091</v>
      </c>
      <c r="H17109" t="s">
        <v>47126</v>
      </c>
      <c r="I17109" t="s">
        <v>47127</v>
      </c>
      <c r="J17109" t="s">
        <v>47128</v>
      </c>
      <c r="K17109" t="s">
        <v>47113</v>
      </c>
      <c r="L17109">
        <v>9.82</v>
      </c>
      <c r="M17109">
        <v>29</v>
      </c>
      <c r="N17109">
        <v>0</v>
      </c>
      <c r="O17109">
        <v>29</v>
      </c>
      <c r="P17109">
        <v>0</v>
      </c>
    </row>
    <row r="17110" spans="1:16" x14ac:dyDescent="0.25">
      <c r="A17110" t="s">
        <v>39709</v>
      </c>
      <c r="B17110" t="s">
        <v>11058</v>
      </c>
      <c r="C17110" t="s">
        <v>11059</v>
      </c>
      <c r="D17110" t="str">
        <f>"1403"</f>
        <v>1403</v>
      </c>
      <c r="E17110" t="s">
        <v>224</v>
      </c>
      <c r="F17110" t="s">
        <v>3670</v>
      </c>
      <c r="G17110" t="s">
        <v>47091</v>
      </c>
      <c r="H17110" t="s">
        <v>47126</v>
      </c>
      <c r="I17110" t="s">
        <v>47127</v>
      </c>
      <c r="J17110" t="s">
        <v>47128</v>
      </c>
      <c r="K17110" t="s">
        <v>47113</v>
      </c>
      <c r="L17110">
        <v>9.82</v>
      </c>
      <c r="M17110">
        <v>29</v>
      </c>
      <c r="N17110">
        <v>0</v>
      </c>
      <c r="O17110">
        <v>29</v>
      </c>
      <c r="P17110">
        <v>0</v>
      </c>
    </row>
    <row r="17111" spans="1:16" x14ac:dyDescent="0.25">
      <c r="A17111" t="s">
        <v>39710</v>
      </c>
      <c r="B17111" t="s">
        <v>11058</v>
      </c>
      <c r="C17111" t="s">
        <v>11059</v>
      </c>
      <c r="D17111" t="str">
        <f>"1700"</f>
        <v>1700</v>
      </c>
      <c r="E17111" t="s">
        <v>60</v>
      </c>
      <c r="F17111" t="s">
        <v>3670</v>
      </c>
      <c r="G17111" t="s">
        <v>47091</v>
      </c>
      <c r="H17111" t="s">
        <v>47126</v>
      </c>
      <c r="I17111" t="s">
        <v>47127</v>
      </c>
      <c r="J17111" t="s">
        <v>47128</v>
      </c>
      <c r="K17111" t="s">
        <v>47113</v>
      </c>
      <c r="L17111">
        <v>9.82</v>
      </c>
      <c r="M17111">
        <v>29</v>
      </c>
      <c r="N17111">
        <v>0</v>
      </c>
      <c r="O17111">
        <v>29</v>
      </c>
      <c r="P17111">
        <v>0</v>
      </c>
    </row>
    <row r="17112" spans="1:16" x14ac:dyDescent="0.25">
      <c r="A17112" t="s">
        <v>39711</v>
      </c>
      <c r="B17112" t="s">
        <v>11058</v>
      </c>
      <c r="C17112" t="s">
        <v>11059</v>
      </c>
      <c r="D17112" t="str">
        <f>"4753"</f>
        <v>4753</v>
      </c>
      <c r="E17112" t="s">
        <v>3755</v>
      </c>
      <c r="F17112" t="s">
        <v>3670</v>
      </c>
      <c r="G17112" t="s">
        <v>47091</v>
      </c>
      <c r="H17112" t="s">
        <v>47126</v>
      </c>
      <c r="I17112" t="s">
        <v>47127</v>
      </c>
      <c r="J17112" t="s">
        <v>47128</v>
      </c>
      <c r="K17112" t="s">
        <v>47113</v>
      </c>
      <c r="L17112">
        <v>9.82</v>
      </c>
      <c r="M17112">
        <v>29</v>
      </c>
      <c r="N17112">
        <v>0</v>
      </c>
      <c r="O17112">
        <v>29</v>
      </c>
      <c r="P17112">
        <v>0</v>
      </c>
    </row>
    <row r="17113" spans="1:16" x14ac:dyDescent="0.25">
      <c r="A17113" t="s">
        <v>39712</v>
      </c>
      <c r="B17113" t="s">
        <v>11058</v>
      </c>
      <c r="C17113" t="s">
        <v>11059</v>
      </c>
      <c r="D17113" t="str">
        <f>"6500"</f>
        <v>6500</v>
      </c>
      <c r="E17113" t="s">
        <v>151</v>
      </c>
      <c r="F17113" t="s">
        <v>3670</v>
      </c>
      <c r="G17113" t="s">
        <v>47091</v>
      </c>
      <c r="H17113" t="s">
        <v>47126</v>
      </c>
      <c r="I17113" t="s">
        <v>47127</v>
      </c>
      <c r="J17113" t="s">
        <v>47128</v>
      </c>
      <c r="K17113" t="s">
        <v>47113</v>
      </c>
      <c r="L17113">
        <v>9.82</v>
      </c>
      <c r="M17113">
        <v>29</v>
      </c>
      <c r="N17113">
        <v>0</v>
      </c>
      <c r="O17113">
        <v>29</v>
      </c>
      <c r="P17113">
        <v>0</v>
      </c>
    </row>
    <row r="17114" spans="1:16" x14ac:dyDescent="0.25">
      <c r="A17114" t="s">
        <v>39713</v>
      </c>
      <c r="B17114" t="s">
        <v>11058</v>
      </c>
      <c r="C17114" t="s">
        <v>11059</v>
      </c>
      <c r="D17114" t="str">
        <f>"8039"</f>
        <v>8039</v>
      </c>
      <c r="E17114" t="s">
        <v>4631</v>
      </c>
      <c r="F17114" t="s">
        <v>3670</v>
      </c>
      <c r="G17114" t="s">
        <v>47091</v>
      </c>
      <c r="H17114" t="s">
        <v>47126</v>
      </c>
      <c r="I17114" t="s">
        <v>47127</v>
      </c>
      <c r="J17114" t="s">
        <v>47128</v>
      </c>
      <c r="K17114" t="s">
        <v>47113</v>
      </c>
      <c r="L17114">
        <v>9.82</v>
      </c>
      <c r="M17114">
        <v>29</v>
      </c>
      <c r="N17114">
        <v>0</v>
      </c>
      <c r="O17114">
        <v>29</v>
      </c>
      <c r="P17114">
        <v>0</v>
      </c>
    </row>
    <row r="17115" spans="1:16" x14ac:dyDescent="0.25">
      <c r="A17115" t="s">
        <v>39714</v>
      </c>
      <c r="B17115" t="s">
        <v>11060</v>
      </c>
      <c r="C17115" t="s">
        <v>11061</v>
      </c>
      <c r="D17115" t="str">
        <f>"1001"</f>
        <v>1001</v>
      </c>
      <c r="E17115" t="s">
        <v>42</v>
      </c>
      <c r="F17115" t="s">
        <v>3670</v>
      </c>
      <c r="G17115" t="s">
        <v>47098</v>
      </c>
      <c r="H17115" t="s">
        <v>47126</v>
      </c>
      <c r="I17115" t="s">
        <v>47120</v>
      </c>
      <c r="J17115" t="s">
        <v>47121</v>
      </c>
      <c r="K17115" t="s">
        <v>47113</v>
      </c>
      <c r="L17115">
        <v>44.58</v>
      </c>
      <c r="M17115">
        <v>132</v>
      </c>
      <c r="N17115">
        <v>0</v>
      </c>
      <c r="O17115">
        <v>132</v>
      </c>
      <c r="P17115">
        <v>0</v>
      </c>
    </row>
    <row r="17116" spans="1:16" x14ac:dyDescent="0.25">
      <c r="A17116" t="s">
        <v>39715</v>
      </c>
      <c r="B17116" t="s">
        <v>11060</v>
      </c>
      <c r="C17116" t="s">
        <v>11061</v>
      </c>
      <c r="D17116" t="str">
        <f>"2504"</f>
        <v>2504</v>
      </c>
      <c r="E17116" t="s">
        <v>9708</v>
      </c>
      <c r="F17116" t="s">
        <v>3670</v>
      </c>
      <c r="G17116" t="s">
        <v>47098</v>
      </c>
      <c r="H17116" t="s">
        <v>47126</v>
      </c>
      <c r="I17116" t="s">
        <v>47120</v>
      </c>
      <c r="J17116" t="s">
        <v>47121</v>
      </c>
      <c r="K17116" t="s">
        <v>47113</v>
      </c>
      <c r="L17116">
        <v>44.58</v>
      </c>
      <c r="M17116">
        <v>132</v>
      </c>
      <c r="N17116">
        <v>0</v>
      </c>
      <c r="O17116">
        <v>132</v>
      </c>
      <c r="P17116">
        <v>0</v>
      </c>
    </row>
    <row r="17117" spans="1:16" x14ac:dyDescent="0.25">
      <c r="A17117" t="s">
        <v>39716</v>
      </c>
      <c r="B17117" t="s">
        <v>11060</v>
      </c>
      <c r="C17117" t="s">
        <v>11061</v>
      </c>
      <c r="D17117" t="str">
        <f>"6081"</f>
        <v>6081</v>
      </c>
      <c r="E17117" t="s">
        <v>11010</v>
      </c>
      <c r="F17117" t="s">
        <v>3670</v>
      </c>
      <c r="G17117" t="s">
        <v>47098</v>
      </c>
      <c r="H17117" t="s">
        <v>47126</v>
      </c>
      <c r="I17117" t="s">
        <v>47120</v>
      </c>
      <c r="J17117" t="s">
        <v>47121</v>
      </c>
      <c r="K17117" t="s">
        <v>47113</v>
      </c>
      <c r="L17117">
        <v>44.58</v>
      </c>
      <c r="M17117">
        <v>132</v>
      </c>
      <c r="N17117">
        <v>0</v>
      </c>
      <c r="O17117">
        <v>132</v>
      </c>
      <c r="P17117">
        <v>0</v>
      </c>
    </row>
    <row r="17118" spans="1:16" x14ac:dyDescent="0.25">
      <c r="A17118" t="s">
        <v>39717</v>
      </c>
      <c r="B17118" t="s">
        <v>11062</v>
      </c>
      <c r="C17118" t="s">
        <v>11063</v>
      </c>
      <c r="D17118" t="str">
        <f>"1001"</f>
        <v>1001</v>
      </c>
      <c r="E17118" t="s">
        <v>42</v>
      </c>
      <c r="F17118" t="s">
        <v>3670</v>
      </c>
      <c r="G17118" t="s">
        <v>48515</v>
      </c>
      <c r="H17118" t="s">
        <v>47126</v>
      </c>
      <c r="I17118" t="s">
        <v>47120</v>
      </c>
      <c r="J17118" t="s">
        <v>47121</v>
      </c>
      <c r="K17118" t="s">
        <v>47113</v>
      </c>
      <c r="L17118">
        <v>98.17</v>
      </c>
      <c r="M17118">
        <v>292</v>
      </c>
      <c r="N17118">
        <v>0</v>
      </c>
      <c r="O17118">
        <v>292</v>
      </c>
      <c r="P17118">
        <v>0</v>
      </c>
    </row>
    <row r="17119" spans="1:16" x14ac:dyDescent="0.25">
      <c r="A17119" t="s">
        <v>39718</v>
      </c>
      <c r="B17119" t="s">
        <v>11064</v>
      </c>
      <c r="C17119" t="s">
        <v>463</v>
      </c>
      <c r="D17119" t="s">
        <v>11012</v>
      </c>
      <c r="E17119" t="s">
        <v>11013</v>
      </c>
      <c r="F17119" t="s">
        <v>3670</v>
      </c>
      <c r="G17119" t="s">
        <v>47101</v>
      </c>
      <c r="H17119" t="s">
        <v>47153</v>
      </c>
      <c r="I17119" t="s">
        <v>47132</v>
      </c>
      <c r="J17119" t="s">
        <v>47133</v>
      </c>
      <c r="K17119" t="s">
        <v>47113</v>
      </c>
      <c r="L17119">
        <v>59.73</v>
      </c>
      <c r="M17119">
        <v>92</v>
      </c>
      <c r="N17119">
        <v>0</v>
      </c>
      <c r="O17119">
        <v>92</v>
      </c>
      <c r="P17119">
        <v>0</v>
      </c>
    </row>
    <row r="17120" spans="1:16" x14ac:dyDescent="0.25">
      <c r="A17120" t="s">
        <v>39719</v>
      </c>
      <c r="B17120" t="s">
        <v>11065</v>
      </c>
      <c r="C17120" t="s">
        <v>463</v>
      </c>
      <c r="D17120" t="s">
        <v>11015</v>
      </c>
      <c r="E17120" t="s">
        <v>11016</v>
      </c>
      <c r="F17120" t="s">
        <v>3670</v>
      </c>
      <c r="G17120" t="s">
        <v>47101</v>
      </c>
      <c r="H17120" t="s">
        <v>47153</v>
      </c>
      <c r="I17120" t="s">
        <v>47132</v>
      </c>
      <c r="J17120" t="s">
        <v>47133</v>
      </c>
      <c r="K17120" t="s">
        <v>47113</v>
      </c>
      <c r="L17120">
        <v>58.56</v>
      </c>
      <c r="M17120">
        <v>92</v>
      </c>
      <c r="N17120">
        <v>0</v>
      </c>
      <c r="O17120">
        <v>92</v>
      </c>
      <c r="P17120">
        <v>0</v>
      </c>
    </row>
    <row r="17121" spans="1:16" x14ac:dyDescent="0.25">
      <c r="A17121" t="s">
        <v>39720</v>
      </c>
      <c r="B17121" t="s">
        <v>11066</v>
      </c>
      <c r="C17121" t="s">
        <v>11067</v>
      </c>
      <c r="D17121" t="s">
        <v>11068</v>
      </c>
      <c r="E17121" t="s">
        <v>11069</v>
      </c>
      <c r="F17121" t="s">
        <v>3558</v>
      </c>
      <c r="G17121" t="s">
        <v>47093</v>
      </c>
      <c r="H17121" t="s">
        <v>47153</v>
      </c>
      <c r="I17121" t="s">
        <v>47132</v>
      </c>
      <c r="J17121" t="s">
        <v>47133</v>
      </c>
      <c r="K17121" t="s">
        <v>47113</v>
      </c>
      <c r="L17121">
        <v>49.67</v>
      </c>
      <c r="M17121">
        <v>96</v>
      </c>
      <c r="N17121">
        <v>0</v>
      </c>
      <c r="O17121">
        <v>96</v>
      </c>
      <c r="P17121">
        <v>0</v>
      </c>
    </row>
    <row r="17122" spans="1:16" x14ac:dyDescent="0.25">
      <c r="A17122" t="s">
        <v>39721</v>
      </c>
      <c r="B17122" t="s">
        <v>11066</v>
      </c>
      <c r="C17122" t="s">
        <v>11067</v>
      </c>
      <c r="D17122" t="s">
        <v>11070</v>
      </c>
      <c r="E17122" t="s">
        <v>11071</v>
      </c>
      <c r="F17122" t="s">
        <v>3558</v>
      </c>
      <c r="G17122" t="s">
        <v>47093</v>
      </c>
      <c r="H17122" t="s">
        <v>47153</v>
      </c>
      <c r="I17122" t="s">
        <v>47132</v>
      </c>
      <c r="J17122" t="s">
        <v>47133</v>
      </c>
      <c r="K17122" t="s">
        <v>47113</v>
      </c>
      <c r="L17122">
        <v>41.29</v>
      </c>
      <c r="M17122">
        <v>85</v>
      </c>
      <c r="N17122">
        <v>0</v>
      </c>
      <c r="O17122">
        <v>85</v>
      </c>
      <c r="P17122">
        <v>0</v>
      </c>
    </row>
    <row r="17123" spans="1:16" x14ac:dyDescent="0.25">
      <c r="A17123" t="s">
        <v>39722</v>
      </c>
      <c r="B17123" t="s">
        <v>11072</v>
      </c>
      <c r="C17123" t="s">
        <v>11067</v>
      </c>
      <c r="D17123" t="s">
        <v>11073</v>
      </c>
      <c r="E17123" t="s">
        <v>11074</v>
      </c>
      <c r="F17123" t="s">
        <v>3558</v>
      </c>
      <c r="G17123" t="s">
        <v>47093</v>
      </c>
      <c r="H17123" t="s">
        <v>47153</v>
      </c>
      <c r="I17123" t="s">
        <v>47132</v>
      </c>
      <c r="J17123" t="s">
        <v>47133</v>
      </c>
      <c r="K17123" t="s">
        <v>47113</v>
      </c>
      <c r="L17123">
        <v>45.47</v>
      </c>
      <c r="M17123">
        <v>85</v>
      </c>
      <c r="N17123">
        <v>0</v>
      </c>
      <c r="O17123">
        <v>85</v>
      </c>
      <c r="P17123">
        <v>0</v>
      </c>
    </row>
    <row r="17124" spans="1:16" x14ac:dyDescent="0.25">
      <c r="A17124" t="s">
        <v>39723</v>
      </c>
      <c r="B17124" t="s">
        <v>11075</v>
      </c>
      <c r="C17124" t="s">
        <v>11067</v>
      </c>
      <c r="D17124" t="s">
        <v>11076</v>
      </c>
      <c r="E17124" t="s">
        <v>11077</v>
      </c>
      <c r="F17124" t="s">
        <v>3558</v>
      </c>
      <c r="G17124" t="s">
        <v>47093</v>
      </c>
      <c r="H17124" t="s">
        <v>47153</v>
      </c>
      <c r="I17124" t="s">
        <v>47132</v>
      </c>
      <c r="J17124" t="s">
        <v>47133</v>
      </c>
      <c r="K17124" t="s">
        <v>47113</v>
      </c>
      <c r="L17124">
        <v>46.41</v>
      </c>
      <c r="M17124">
        <v>85</v>
      </c>
      <c r="N17124">
        <v>0</v>
      </c>
      <c r="O17124">
        <v>85</v>
      </c>
      <c r="P17124">
        <v>0</v>
      </c>
    </row>
    <row r="17125" spans="1:16" x14ac:dyDescent="0.25">
      <c r="A17125" t="s">
        <v>39724</v>
      </c>
      <c r="B17125" t="s">
        <v>11075</v>
      </c>
      <c r="C17125" t="s">
        <v>11067</v>
      </c>
      <c r="D17125" t="s">
        <v>11078</v>
      </c>
      <c r="E17125" t="s">
        <v>11079</v>
      </c>
      <c r="F17125" t="s">
        <v>3558</v>
      </c>
      <c r="G17125" t="s">
        <v>47093</v>
      </c>
      <c r="H17125" t="s">
        <v>47153</v>
      </c>
      <c r="I17125" t="s">
        <v>47132</v>
      </c>
      <c r="J17125" t="s">
        <v>47133</v>
      </c>
      <c r="K17125" t="s">
        <v>47113</v>
      </c>
      <c r="L17125">
        <v>58.04</v>
      </c>
      <c r="M17125">
        <v>95</v>
      </c>
      <c r="N17125">
        <v>0</v>
      </c>
      <c r="O17125">
        <v>95</v>
      </c>
      <c r="P17125">
        <v>0</v>
      </c>
    </row>
    <row r="17126" spans="1:16" x14ac:dyDescent="0.25">
      <c r="A17126" t="s">
        <v>39725</v>
      </c>
      <c r="B17126" t="s">
        <v>14453</v>
      </c>
      <c r="C17126" t="s">
        <v>14452</v>
      </c>
      <c r="D17126" t="s">
        <v>11092</v>
      </c>
      <c r="E17126" t="s">
        <v>11093</v>
      </c>
      <c r="F17126" t="s">
        <v>3558</v>
      </c>
      <c r="G17126" t="s">
        <v>47093</v>
      </c>
      <c r="H17126" t="s">
        <v>47153</v>
      </c>
      <c r="I17126" t="s">
        <v>47132</v>
      </c>
      <c r="J17126" t="s">
        <v>47133</v>
      </c>
      <c r="K17126" t="s">
        <v>47113</v>
      </c>
      <c r="L17126">
        <v>43.5</v>
      </c>
      <c r="M17126">
        <v>85</v>
      </c>
      <c r="N17126">
        <v>0</v>
      </c>
      <c r="O17126">
        <v>85</v>
      </c>
      <c r="P17126">
        <v>0</v>
      </c>
    </row>
    <row r="17127" spans="1:16" x14ac:dyDescent="0.25">
      <c r="A17127" t="s">
        <v>39726</v>
      </c>
      <c r="B17127" t="s">
        <v>11080</v>
      </c>
      <c r="C17127" t="s">
        <v>11081</v>
      </c>
      <c r="D17127" t="s">
        <v>10561</v>
      </c>
      <c r="E17127" t="s">
        <v>10562</v>
      </c>
      <c r="F17127" t="s">
        <v>3558</v>
      </c>
      <c r="G17127" t="s">
        <v>47093</v>
      </c>
      <c r="H17127" t="s">
        <v>47153</v>
      </c>
      <c r="I17127" t="s">
        <v>47132</v>
      </c>
      <c r="J17127" t="s">
        <v>47133</v>
      </c>
      <c r="K17127" t="s">
        <v>47113</v>
      </c>
      <c r="L17127">
        <v>42.8</v>
      </c>
      <c r="M17127">
        <v>85</v>
      </c>
      <c r="N17127">
        <v>0</v>
      </c>
      <c r="O17127">
        <v>85</v>
      </c>
      <c r="P17127">
        <v>0</v>
      </c>
    </row>
    <row r="17128" spans="1:16" x14ac:dyDescent="0.25">
      <c r="A17128" t="s">
        <v>39727</v>
      </c>
      <c r="B17128" t="s">
        <v>11082</v>
      </c>
      <c r="C17128" t="s">
        <v>11083</v>
      </c>
      <c r="D17128" t="s">
        <v>11076</v>
      </c>
      <c r="E17128" t="s">
        <v>11077</v>
      </c>
      <c r="F17128" t="s">
        <v>3558</v>
      </c>
      <c r="G17128" t="s">
        <v>47093</v>
      </c>
      <c r="H17128" t="s">
        <v>47153</v>
      </c>
      <c r="I17128" t="s">
        <v>47132</v>
      </c>
      <c r="J17128" t="s">
        <v>47133</v>
      </c>
      <c r="K17128" t="s">
        <v>47113</v>
      </c>
      <c r="L17128">
        <v>44.08</v>
      </c>
      <c r="M17128">
        <v>85</v>
      </c>
      <c r="N17128">
        <v>0</v>
      </c>
      <c r="O17128">
        <v>85</v>
      </c>
      <c r="P17128">
        <v>0</v>
      </c>
    </row>
    <row r="17129" spans="1:16" x14ac:dyDescent="0.25">
      <c r="A17129" t="s">
        <v>39728</v>
      </c>
      <c r="B17129" t="s">
        <v>11084</v>
      </c>
      <c r="C17129" t="s">
        <v>11085</v>
      </c>
      <c r="D17129" t="s">
        <v>11086</v>
      </c>
      <c r="E17129" t="s">
        <v>11087</v>
      </c>
      <c r="F17129" t="s">
        <v>3558</v>
      </c>
      <c r="G17129" t="s">
        <v>47093</v>
      </c>
      <c r="H17129" t="s">
        <v>47153</v>
      </c>
      <c r="I17129" t="s">
        <v>47132</v>
      </c>
      <c r="J17129" t="s">
        <v>47133</v>
      </c>
      <c r="K17129" t="s">
        <v>47113</v>
      </c>
      <c r="L17129">
        <v>41.17</v>
      </c>
      <c r="M17129">
        <v>74</v>
      </c>
      <c r="N17129">
        <v>0</v>
      </c>
      <c r="O17129">
        <v>74</v>
      </c>
      <c r="P17129">
        <v>0</v>
      </c>
    </row>
    <row r="17130" spans="1:16" x14ac:dyDescent="0.25">
      <c r="A17130" t="s">
        <v>39729</v>
      </c>
      <c r="B17130" t="s">
        <v>15841</v>
      </c>
      <c r="C17130" t="s">
        <v>10589</v>
      </c>
      <c r="D17130" t="s">
        <v>11070</v>
      </c>
      <c r="E17130" t="s">
        <v>11071</v>
      </c>
      <c r="F17130" t="s">
        <v>3558</v>
      </c>
      <c r="G17130" t="s">
        <v>47093</v>
      </c>
      <c r="H17130" t="s">
        <v>47153</v>
      </c>
      <c r="I17130" t="s">
        <v>47132</v>
      </c>
      <c r="J17130" t="s">
        <v>47133</v>
      </c>
      <c r="K17130" t="s">
        <v>47113</v>
      </c>
      <c r="L17130">
        <v>41.29</v>
      </c>
      <c r="M17130">
        <v>85</v>
      </c>
      <c r="N17130">
        <v>0</v>
      </c>
      <c r="O17130">
        <v>85</v>
      </c>
      <c r="P17130">
        <v>0</v>
      </c>
    </row>
    <row r="17131" spans="1:16" x14ac:dyDescent="0.25">
      <c r="A17131" t="s">
        <v>39730</v>
      </c>
      <c r="B17131" t="s">
        <v>11088</v>
      </c>
      <c r="C17131" t="s">
        <v>10589</v>
      </c>
      <c r="D17131" t="s">
        <v>11089</v>
      </c>
      <c r="E17131" t="s">
        <v>11090</v>
      </c>
      <c r="F17131" t="s">
        <v>3558</v>
      </c>
      <c r="G17131" t="s">
        <v>47093</v>
      </c>
      <c r="H17131" t="s">
        <v>47153</v>
      </c>
      <c r="I17131" t="s">
        <v>47132</v>
      </c>
      <c r="J17131" t="s">
        <v>47133</v>
      </c>
      <c r="K17131" t="s">
        <v>47113</v>
      </c>
      <c r="L17131">
        <v>45.24</v>
      </c>
      <c r="M17131">
        <v>85</v>
      </c>
      <c r="N17131">
        <v>0</v>
      </c>
      <c r="O17131">
        <v>85</v>
      </c>
      <c r="P17131">
        <v>0</v>
      </c>
    </row>
    <row r="17132" spans="1:16" x14ac:dyDescent="0.25">
      <c r="A17132" t="s">
        <v>39731</v>
      </c>
      <c r="B17132" t="s">
        <v>11091</v>
      </c>
      <c r="C17132" t="s">
        <v>10599</v>
      </c>
      <c r="D17132" t="s">
        <v>11092</v>
      </c>
      <c r="E17132" t="s">
        <v>11093</v>
      </c>
      <c r="F17132" t="s">
        <v>3558</v>
      </c>
      <c r="G17132" t="s">
        <v>47093</v>
      </c>
      <c r="H17132" t="s">
        <v>47153</v>
      </c>
      <c r="I17132" t="s">
        <v>47132</v>
      </c>
      <c r="J17132" t="s">
        <v>47133</v>
      </c>
      <c r="K17132" t="s">
        <v>47113</v>
      </c>
      <c r="L17132">
        <v>46.06</v>
      </c>
      <c r="M17132">
        <v>85</v>
      </c>
      <c r="N17132">
        <v>0</v>
      </c>
      <c r="O17132">
        <v>85</v>
      </c>
      <c r="P17132">
        <v>0</v>
      </c>
    </row>
    <row r="17133" spans="1:16" x14ac:dyDescent="0.25">
      <c r="A17133" t="s">
        <v>39732</v>
      </c>
      <c r="B17133" t="s">
        <v>14451</v>
      </c>
      <c r="C17133" t="s">
        <v>10599</v>
      </c>
      <c r="D17133" t="s">
        <v>11096</v>
      </c>
      <c r="E17133" t="s">
        <v>11097</v>
      </c>
      <c r="F17133" t="s">
        <v>3558</v>
      </c>
      <c r="G17133" t="s">
        <v>47093</v>
      </c>
      <c r="H17133" t="s">
        <v>47153</v>
      </c>
      <c r="I17133" t="s">
        <v>47132</v>
      </c>
      <c r="J17133" t="s">
        <v>47133</v>
      </c>
      <c r="K17133" t="s">
        <v>47113</v>
      </c>
      <c r="L17133">
        <v>42.92</v>
      </c>
      <c r="M17133">
        <v>85</v>
      </c>
      <c r="N17133">
        <v>0</v>
      </c>
      <c r="O17133">
        <v>85</v>
      </c>
      <c r="P17133">
        <v>0</v>
      </c>
    </row>
    <row r="17134" spans="1:16" x14ac:dyDescent="0.25">
      <c r="A17134" t="s">
        <v>39733</v>
      </c>
      <c r="B17134" t="s">
        <v>11094</v>
      </c>
      <c r="C17134" t="s">
        <v>10606</v>
      </c>
      <c r="D17134" t="s">
        <v>11076</v>
      </c>
      <c r="E17134" t="s">
        <v>11077</v>
      </c>
      <c r="F17134" t="s">
        <v>3558</v>
      </c>
      <c r="G17134" t="s">
        <v>47093</v>
      </c>
      <c r="H17134" t="s">
        <v>47153</v>
      </c>
      <c r="I17134" t="s">
        <v>47132</v>
      </c>
      <c r="J17134" t="s">
        <v>47133</v>
      </c>
      <c r="K17134" t="s">
        <v>47113</v>
      </c>
      <c r="L17134">
        <v>45.24</v>
      </c>
      <c r="M17134">
        <v>85</v>
      </c>
      <c r="N17134">
        <v>0</v>
      </c>
      <c r="O17134">
        <v>85</v>
      </c>
      <c r="P17134">
        <v>0</v>
      </c>
    </row>
    <row r="17135" spans="1:16" x14ac:dyDescent="0.25">
      <c r="A17135" t="s">
        <v>39734</v>
      </c>
      <c r="B17135" t="s">
        <v>11094</v>
      </c>
      <c r="C17135" t="s">
        <v>10606</v>
      </c>
      <c r="D17135" t="s">
        <v>11078</v>
      </c>
      <c r="E17135" t="s">
        <v>11079</v>
      </c>
      <c r="F17135" t="s">
        <v>3558</v>
      </c>
      <c r="G17135" t="s">
        <v>47093</v>
      </c>
      <c r="H17135" t="s">
        <v>47153</v>
      </c>
      <c r="I17135" t="s">
        <v>47132</v>
      </c>
      <c r="J17135" t="s">
        <v>47133</v>
      </c>
      <c r="K17135" t="s">
        <v>47113</v>
      </c>
      <c r="L17135">
        <v>55.71</v>
      </c>
      <c r="M17135">
        <v>95</v>
      </c>
      <c r="N17135">
        <v>0</v>
      </c>
      <c r="O17135">
        <v>95</v>
      </c>
      <c r="P17135">
        <v>0</v>
      </c>
    </row>
    <row r="17136" spans="1:16" x14ac:dyDescent="0.25">
      <c r="A17136" t="s">
        <v>39735</v>
      </c>
      <c r="B17136" t="s">
        <v>11095</v>
      </c>
      <c r="C17136" t="s">
        <v>10606</v>
      </c>
      <c r="D17136" t="s">
        <v>11096</v>
      </c>
      <c r="E17136" t="s">
        <v>11097</v>
      </c>
      <c r="F17136" t="s">
        <v>3558</v>
      </c>
      <c r="G17136" t="s">
        <v>47093</v>
      </c>
      <c r="H17136" t="s">
        <v>47153</v>
      </c>
      <c r="I17136" t="s">
        <v>47132</v>
      </c>
      <c r="J17136" t="s">
        <v>47133</v>
      </c>
      <c r="K17136" t="s">
        <v>47113</v>
      </c>
      <c r="L17136">
        <v>42.92</v>
      </c>
      <c r="M17136">
        <v>85</v>
      </c>
      <c r="N17136">
        <v>0</v>
      </c>
      <c r="O17136">
        <v>85</v>
      </c>
      <c r="P17136">
        <v>0</v>
      </c>
    </row>
    <row r="17137" spans="1:16" x14ac:dyDescent="0.25">
      <c r="A17137" t="s">
        <v>39736</v>
      </c>
      <c r="B17137" t="s">
        <v>11098</v>
      </c>
      <c r="C17137" t="s">
        <v>10614</v>
      </c>
      <c r="D17137" t="s">
        <v>10561</v>
      </c>
      <c r="E17137" t="s">
        <v>10562</v>
      </c>
      <c r="F17137" t="s">
        <v>3558</v>
      </c>
      <c r="G17137" t="s">
        <v>47093</v>
      </c>
      <c r="H17137" t="s">
        <v>47153</v>
      </c>
      <c r="I17137" t="s">
        <v>47132</v>
      </c>
      <c r="J17137" t="s">
        <v>47133</v>
      </c>
      <c r="K17137" t="s">
        <v>47113</v>
      </c>
      <c r="L17137">
        <v>42.8</v>
      </c>
      <c r="M17137">
        <v>85</v>
      </c>
      <c r="N17137">
        <v>0</v>
      </c>
      <c r="O17137">
        <v>85</v>
      </c>
      <c r="P17137">
        <v>0</v>
      </c>
    </row>
    <row r="17138" spans="1:16" x14ac:dyDescent="0.25">
      <c r="A17138" t="s">
        <v>39737</v>
      </c>
      <c r="B17138" t="s">
        <v>11098</v>
      </c>
      <c r="C17138" t="s">
        <v>10614</v>
      </c>
      <c r="D17138" t="s">
        <v>11073</v>
      </c>
      <c r="E17138" t="s">
        <v>11074</v>
      </c>
      <c r="F17138" t="s">
        <v>3558</v>
      </c>
      <c r="G17138" t="s">
        <v>47093</v>
      </c>
      <c r="H17138" t="s">
        <v>47153</v>
      </c>
      <c r="I17138" t="s">
        <v>47132</v>
      </c>
      <c r="J17138" t="s">
        <v>47133</v>
      </c>
      <c r="K17138" t="s">
        <v>47113</v>
      </c>
      <c r="L17138">
        <v>43.27</v>
      </c>
      <c r="M17138">
        <v>85</v>
      </c>
      <c r="N17138">
        <v>0</v>
      </c>
      <c r="O17138">
        <v>85</v>
      </c>
      <c r="P17138">
        <v>0</v>
      </c>
    </row>
    <row r="17139" spans="1:16" x14ac:dyDescent="0.25">
      <c r="A17139" t="s">
        <v>39738</v>
      </c>
      <c r="B17139" t="s">
        <v>11099</v>
      </c>
      <c r="C17139" t="s">
        <v>10614</v>
      </c>
      <c r="D17139" t="s">
        <v>11089</v>
      </c>
      <c r="E17139" t="s">
        <v>11090</v>
      </c>
      <c r="F17139" t="s">
        <v>3558</v>
      </c>
      <c r="G17139" t="s">
        <v>47093</v>
      </c>
      <c r="H17139" t="s">
        <v>47153</v>
      </c>
      <c r="I17139" t="s">
        <v>47132</v>
      </c>
      <c r="J17139" t="s">
        <v>47133</v>
      </c>
      <c r="K17139" t="s">
        <v>47113</v>
      </c>
      <c r="L17139">
        <v>44.89</v>
      </c>
      <c r="M17139">
        <v>85</v>
      </c>
      <c r="N17139">
        <v>0</v>
      </c>
      <c r="O17139">
        <v>85</v>
      </c>
      <c r="P17139">
        <v>0</v>
      </c>
    </row>
    <row r="17140" spans="1:16" x14ac:dyDescent="0.25">
      <c r="A17140" t="s">
        <v>39739</v>
      </c>
      <c r="B17140" t="s">
        <v>11100</v>
      </c>
      <c r="C17140" t="s">
        <v>11101</v>
      </c>
      <c r="D17140" t="s">
        <v>11096</v>
      </c>
      <c r="E17140" t="s">
        <v>11097</v>
      </c>
      <c r="F17140" t="s">
        <v>3558</v>
      </c>
      <c r="G17140" t="s">
        <v>47093</v>
      </c>
      <c r="H17140" t="s">
        <v>47153</v>
      </c>
      <c r="I17140" t="s">
        <v>47132</v>
      </c>
      <c r="J17140" t="s">
        <v>47133</v>
      </c>
      <c r="K17140" t="s">
        <v>47113</v>
      </c>
      <c r="L17140">
        <v>46.52</v>
      </c>
      <c r="M17140">
        <v>85</v>
      </c>
      <c r="N17140">
        <v>0</v>
      </c>
      <c r="O17140">
        <v>85</v>
      </c>
      <c r="P17140">
        <v>0</v>
      </c>
    </row>
    <row r="17141" spans="1:16" x14ac:dyDescent="0.25">
      <c r="A17141" t="s">
        <v>39740</v>
      </c>
      <c r="B17141" t="s">
        <v>11102</v>
      </c>
      <c r="C17141" t="s">
        <v>11103</v>
      </c>
      <c r="D17141" t="s">
        <v>11092</v>
      </c>
      <c r="E17141" t="s">
        <v>11093</v>
      </c>
      <c r="F17141" t="s">
        <v>3558</v>
      </c>
      <c r="G17141" t="s">
        <v>47093</v>
      </c>
      <c r="H17141" t="s">
        <v>47153</v>
      </c>
      <c r="I17141" t="s">
        <v>47132</v>
      </c>
      <c r="J17141" t="s">
        <v>47133</v>
      </c>
      <c r="K17141" t="s">
        <v>47113</v>
      </c>
      <c r="L17141">
        <v>44.78</v>
      </c>
      <c r="M17141">
        <v>85</v>
      </c>
      <c r="N17141">
        <v>0</v>
      </c>
      <c r="O17141">
        <v>85</v>
      </c>
      <c r="P17141">
        <v>0</v>
      </c>
    </row>
    <row r="17142" spans="1:16" x14ac:dyDescent="0.25">
      <c r="A17142" t="s">
        <v>39741</v>
      </c>
      <c r="B17142" t="s">
        <v>11104</v>
      </c>
      <c r="C17142" t="s">
        <v>11105</v>
      </c>
      <c r="D17142" t="s">
        <v>11070</v>
      </c>
      <c r="E17142" t="s">
        <v>11071</v>
      </c>
      <c r="F17142" t="s">
        <v>3558</v>
      </c>
      <c r="G17142" t="s">
        <v>47093</v>
      </c>
      <c r="H17142" t="s">
        <v>47153</v>
      </c>
      <c r="I17142" t="s">
        <v>47132</v>
      </c>
      <c r="J17142" t="s">
        <v>47133</v>
      </c>
      <c r="K17142" t="s">
        <v>47113</v>
      </c>
      <c r="L17142">
        <v>41.75</v>
      </c>
      <c r="M17142">
        <v>85</v>
      </c>
      <c r="N17142">
        <v>0</v>
      </c>
      <c r="O17142">
        <v>85</v>
      </c>
      <c r="P17142">
        <v>0</v>
      </c>
    </row>
    <row r="17143" spans="1:16" x14ac:dyDescent="0.25">
      <c r="A17143" t="s">
        <v>39742</v>
      </c>
      <c r="B17143" t="s">
        <v>11106</v>
      </c>
      <c r="C17143" t="s">
        <v>11107</v>
      </c>
      <c r="D17143" t="s">
        <v>10561</v>
      </c>
      <c r="E17143" t="s">
        <v>10562</v>
      </c>
      <c r="F17143" t="s">
        <v>3558</v>
      </c>
      <c r="G17143" t="s">
        <v>47093</v>
      </c>
      <c r="H17143" t="s">
        <v>47153</v>
      </c>
      <c r="I17143" t="s">
        <v>47132</v>
      </c>
      <c r="J17143" t="s">
        <v>47133</v>
      </c>
      <c r="K17143" t="s">
        <v>47113</v>
      </c>
      <c r="L17143">
        <v>44.55</v>
      </c>
      <c r="M17143">
        <v>85</v>
      </c>
      <c r="N17143">
        <v>0</v>
      </c>
      <c r="O17143">
        <v>85</v>
      </c>
      <c r="P17143">
        <v>0</v>
      </c>
    </row>
    <row r="17144" spans="1:16" x14ac:dyDescent="0.25">
      <c r="A17144" t="s">
        <v>39743</v>
      </c>
      <c r="B17144" t="s">
        <v>11108</v>
      </c>
      <c r="C17144" t="s">
        <v>11109</v>
      </c>
      <c r="D17144" t="s">
        <v>11078</v>
      </c>
      <c r="E17144" t="s">
        <v>11079</v>
      </c>
      <c r="F17144" t="s">
        <v>3558</v>
      </c>
      <c r="G17144" t="s">
        <v>47093</v>
      </c>
      <c r="H17144" t="s">
        <v>47153</v>
      </c>
      <c r="I17144" t="s">
        <v>47132</v>
      </c>
      <c r="J17144" t="s">
        <v>47133</v>
      </c>
      <c r="K17144" t="s">
        <v>47113</v>
      </c>
      <c r="L17144">
        <v>58.04</v>
      </c>
      <c r="M17144">
        <v>95</v>
      </c>
      <c r="N17144">
        <v>0</v>
      </c>
      <c r="O17144">
        <v>95</v>
      </c>
      <c r="P17144">
        <v>0</v>
      </c>
    </row>
    <row r="17145" spans="1:16" x14ac:dyDescent="0.25">
      <c r="A17145" t="s">
        <v>39744</v>
      </c>
      <c r="B17145" t="s">
        <v>11110</v>
      </c>
      <c r="C17145" t="s">
        <v>11111</v>
      </c>
      <c r="D17145" t="s">
        <v>11086</v>
      </c>
      <c r="E17145" t="s">
        <v>11087</v>
      </c>
      <c r="F17145" t="s">
        <v>3558</v>
      </c>
      <c r="G17145" t="s">
        <v>47093</v>
      </c>
      <c r="H17145" t="s">
        <v>47153</v>
      </c>
      <c r="I17145" t="s">
        <v>47132</v>
      </c>
      <c r="J17145" t="s">
        <v>47133</v>
      </c>
      <c r="K17145" t="s">
        <v>47113</v>
      </c>
      <c r="L17145">
        <v>41.75</v>
      </c>
      <c r="M17145">
        <v>74</v>
      </c>
      <c r="N17145">
        <v>0</v>
      </c>
      <c r="O17145">
        <v>74</v>
      </c>
      <c r="P17145">
        <v>0</v>
      </c>
    </row>
    <row r="17146" spans="1:16" x14ac:dyDescent="0.25">
      <c r="A17146" t="s">
        <v>39745</v>
      </c>
      <c r="B17146" t="s">
        <v>11112</v>
      </c>
      <c r="C17146" t="s">
        <v>11113</v>
      </c>
      <c r="D17146" t="s">
        <v>11086</v>
      </c>
      <c r="E17146" t="s">
        <v>11087</v>
      </c>
      <c r="F17146" t="s">
        <v>3558</v>
      </c>
      <c r="G17146" t="s">
        <v>47093</v>
      </c>
      <c r="H17146" t="s">
        <v>47153</v>
      </c>
      <c r="I17146" t="s">
        <v>47132</v>
      </c>
      <c r="J17146" t="s">
        <v>47133</v>
      </c>
      <c r="K17146" t="s">
        <v>47113</v>
      </c>
      <c r="L17146">
        <v>40.6</v>
      </c>
      <c r="M17146">
        <v>74</v>
      </c>
      <c r="N17146">
        <v>0</v>
      </c>
      <c r="O17146">
        <v>74</v>
      </c>
      <c r="P17146">
        <v>0</v>
      </c>
    </row>
    <row r="17147" spans="1:16" x14ac:dyDescent="0.25">
      <c r="A17147" t="s">
        <v>39746</v>
      </c>
      <c r="B17147" t="s">
        <v>15842</v>
      </c>
      <c r="C17147" t="s">
        <v>15843</v>
      </c>
      <c r="D17147" t="str">
        <f>"1106"</f>
        <v>1106</v>
      </c>
      <c r="E17147" t="s">
        <v>460</v>
      </c>
      <c r="F17147" t="s">
        <v>3558</v>
      </c>
      <c r="G17147" t="s">
        <v>47095</v>
      </c>
      <c r="H17147" t="s">
        <v>47055</v>
      </c>
      <c r="I17147" t="s">
        <v>47127</v>
      </c>
      <c r="J17147" t="s">
        <v>47128</v>
      </c>
      <c r="K17147" t="s">
        <v>47113</v>
      </c>
      <c r="L17147">
        <v>22.09</v>
      </c>
      <c r="M17147">
        <v>49</v>
      </c>
      <c r="N17147">
        <v>0</v>
      </c>
      <c r="O17147">
        <v>49</v>
      </c>
      <c r="P17147">
        <v>0</v>
      </c>
    </row>
    <row r="17148" spans="1:16" x14ac:dyDescent="0.25">
      <c r="A17148" t="s">
        <v>39747</v>
      </c>
      <c r="B17148" t="s">
        <v>15842</v>
      </c>
      <c r="C17148" t="s">
        <v>15843</v>
      </c>
      <c r="D17148" t="str">
        <f>"1377"</f>
        <v>1377</v>
      </c>
      <c r="E17148" t="s">
        <v>74</v>
      </c>
      <c r="F17148" t="s">
        <v>3558</v>
      </c>
      <c r="G17148" t="s">
        <v>47095</v>
      </c>
      <c r="H17148" t="s">
        <v>47055</v>
      </c>
      <c r="I17148" t="s">
        <v>47127</v>
      </c>
      <c r="J17148" t="s">
        <v>47128</v>
      </c>
      <c r="K17148" t="s">
        <v>47113</v>
      </c>
      <c r="L17148">
        <v>22.09</v>
      </c>
      <c r="M17148">
        <v>49</v>
      </c>
      <c r="N17148">
        <v>0</v>
      </c>
      <c r="O17148">
        <v>49</v>
      </c>
      <c r="P17148">
        <v>0</v>
      </c>
    </row>
    <row r="17149" spans="1:16" x14ac:dyDescent="0.25">
      <c r="A17149" t="s">
        <v>39748</v>
      </c>
      <c r="B17149" t="s">
        <v>15842</v>
      </c>
      <c r="C17149" t="s">
        <v>15843</v>
      </c>
      <c r="D17149" t="str">
        <f>"1700"</f>
        <v>1700</v>
      </c>
      <c r="E17149" t="s">
        <v>60</v>
      </c>
      <c r="F17149" t="s">
        <v>3558</v>
      </c>
      <c r="G17149" t="s">
        <v>47095</v>
      </c>
      <c r="H17149" t="s">
        <v>47055</v>
      </c>
      <c r="I17149" t="s">
        <v>47127</v>
      </c>
      <c r="J17149" t="s">
        <v>47128</v>
      </c>
      <c r="K17149" t="s">
        <v>47113</v>
      </c>
      <c r="L17149">
        <v>22.09</v>
      </c>
      <c r="M17149">
        <v>49</v>
      </c>
      <c r="N17149">
        <v>0</v>
      </c>
      <c r="O17149">
        <v>49</v>
      </c>
      <c r="P17149">
        <v>0</v>
      </c>
    </row>
    <row r="17150" spans="1:16" x14ac:dyDescent="0.25">
      <c r="A17150" t="s">
        <v>39749</v>
      </c>
      <c r="B17150" t="s">
        <v>15842</v>
      </c>
      <c r="C17150" t="s">
        <v>15843</v>
      </c>
      <c r="D17150" t="str">
        <f>"1889"</f>
        <v>1889</v>
      </c>
      <c r="E17150" t="s">
        <v>7101</v>
      </c>
      <c r="F17150" t="s">
        <v>3558</v>
      </c>
      <c r="G17150" t="s">
        <v>47095</v>
      </c>
      <c r="H17150" t="s">
        <v>47055</v>
      </c>
      <c r="I17150" t="s">
        <v>47127</v>
      </c>
      <c r="J17150" t="s">
        <v>47128</v>
      </c>
      <c r="K17150" t="s">
        <v>47113</v>
      </c>
      <c r="L17150">
        <v>22.09</v>
      </c>
      <c r="M17150">
        <v>49</v>
      </c>
      <c r="N17150">
        <v>0</v>
      </c>
      <c r="O17150">
        <v>49</v>
      </c>
      <c r="P17150">
        <v>0</v>
      </c>
    </row>
    <row r="17151" spans="1:16" x14ac:dyDescent="0.25">
      <c r="A17151" t="s">
        <v>39750</v>
      </c>
      <c r="B17151" t="s">
        <v>15842</v>
      </c>
      <c r="C17151" t="s">
        <v>15843</v>
      </c>
      <c r="D17151" t="str">
        <f>"3000"</f>
        <v>3000</v>
      </c>
      <c r="E17151" t="s">
        <v>14216</v>
      </c>
      <c r="F17151" t="s">
        <v>3558</v>
      </c>
      <c r="G17151" t="s">
        <v>47095</v>
      </c>
      <c r="H17151" t="s">
        <v>47055</v>
      </c>
      <c r="I17151" t="s">
        <v>47127</v>
      </c>
      <c r="J17151" t="s">
        <v>47128</v>
      </c>
      <c r="K17151" t="s">
        <v>47113</v>
      </c>
      <c r="L17151">
        <v>22.09</v>
      </c>
      <c r="M17151">
        <v>49</v>
      </c>
      <c r="N17151">
        <v>0</v>
      </c>
      <c r="O17151">
        <v>49</v>
      </c>
      <c r="P17151">
        <v>0</v>
      </c>
    </row>
    <row r="17152" spans="1:16" x14ac:dyDescent="0.25">
      <c r="A17152" t="s">
        <v>39751</v>
      </c>
      <c r="B17152" t="s">
        <v>15842</v>
      </c>
      <c r="C17152" t="s">
        <v>15843</v>
      </c>
      <c r="D17152" t="str">
        <f>"4542"</f>
        <v>4542</v>
      </c>
      <c r="E17152" t="s">
        <v>220</v>
      </c>
      <c r="F17152" t="s">
        <v>3558</v>
      </c>
      <c r="G17152" t="s">
        <v>47095</v>
      </c>
      <c r="H17152" t="s">
        <v>47055</v>
      </c>
      <c r="I17152" t="s">
        <v>47127</v>
      </c>
      <c r="J17152" t="s">
        <v>47128</v>
      </c>
      <c r="K17152" t="s">
        <v>47113</v>
      </c>
      <c r="L17152">
        <v>22.09</v>
      </c>
      <c r="M17152">
        <v>49</v>
      </c>
      <c r="N17152">
        <v>0</v>
      </c>
      <c r="O17152">
        <v>49</v>
      </c>
      <c r="P17152">
        <v>0</v>
      </c>
    </row>
    <row r="17153" spans="1:16" x14ac:dyDescent="0.25">
      <c r="A17153" t="s">
        <v>39752</v>
      </c>
      <c r="B17153" t="s">
        <v>15842</v>
      </c>
      <c r="C17153" t="s">
        <v>15843</v>
      </c>
      <c r="D17153" t="str">
        <f>"4645"</f>
        <v>4645</v>
      </c>
      <c r="E17153" t="s">
        <v>9770</v>
      </c>
      <c r="F17153" t="s">
        <v>3558</v>
      </c>
      <c r="G17153" t="s">
        <v>47095</v>
      </c>
      <c r="H17153" t="s">
        <v>47055</v>
      </c>
      <c r="I17153" t="s">
        <v>47127</v>
      </c>
      <c r="J17153" t="s">
        <v>47128</v>
      </c>
      <c r="K17153" t="s">
        <v>47113</v>
      </c>
      <c r="L17153">
        <v>22.09</v>
      </c>
      <c r="M17153">
        <v>49</v>
      </c>
      <c r="N17153">
        <v>0</v>
      </c>
      <c r="O17153">
        <v>49</v>
      </c>
      <c r="P17153">
        <v>0</v>
      </c>
    </row>
    <row r="17154" spans="1:16" x14ac:dyDescent="0.25">
      <c r="A17154" t="s">
        <v>39753</v>
      </c>
      <c r="B17154" t="s">
        <v>15842</v>
      </c>
      <c r="C17154" t="s">
        <v>15843</v>
      </c>
      <c r="D17154" t="str">
        <f>"5301"</f>
        <v>5301</v>
      </c>
      <c r="E17154" t="s">
        <v>1940</v>
      </c>
      <c r="F17154" t="s">
        <v>3558</v>
      </c>
      <c r="G17154" t="s">
        <v>47095</v>
      </c>
      <c r="H17154" t="s">
        <v>47055</v>
      </c>
      <c r="I17154" t="s">
        <v>47127</v>
      </c>
      <c r="J17154" t="s">
        <v>47128</v>
      </c>
      <c r="K17154" t="s">
        <v>47113</v>
      </c>
      <c r="L17154">
        <v>22.09</v>
      </c>
      <c r="M17154">
        <v>49</v>
      </c>
      <c r="N17154">
        <v>0</v>
      </c>
      <c r="O17154">
        <v>49</v>
      </c>
      <c r="P17154">
        <v>0</v>
      </c>
    </row>
    <row r="17155" spans="1:16" x14ac:dyDescent="0.25">
      <c r="A17155" t="s">
        <v>39754</v>
      </c>
      <c r="B17155" t="s">
        <v>15842</v>
      </c>
      <c r="C17155" t="s">
        <v>15843</v>
      </c>
      <c r="D17155" t="str">
        <f>"6081"</f>
        <v>6081</v>
      </c>
      <c r="E17155" t="s">
        <v>11010</v>
      </c>
      <c r="F17155" t="s">
        <v>3558</v>
      </c>
      <c r="G17155" t="s">
        <v>47095</v>
      </c>
      <c r="H17155" t="s">
        <v>47055</v>
      </c>
      <c r="I17155" t="s">
        <v>47127</v>
      </c>
      <c r="J17155" t="s">
        <v>47128</v>
      </c>
      <c r="K17155" t="s">
        <v>47113</v>
      </c>
      <c r="L17155">
        <v>22.09</v>
      </c>
      <c r="M17155">
        <v>49</v>
      </c>
      <c r="N17155">
        <v>0</v>
      </c>
      <c r="O17155">
        <v>49</v>
      </c>
      <c r="P17155">
        <v>0</v>
      </c>
    </row>
    <row r="17156" spans="1:16" x14ac:dyDescent="0.25">
      <c r="A17156" t="s">
        <v>39755</v>
      </c>
      <c r="B17156" t="s">
        <v>15842</v>
      </c>
      <c r="C17156" t="s">
        <v>15843</v>
      </c>
      <c r="D17156" t="str">
        <f>"8206"</f>
        <v>8206</v>
      </c>
      <c r="E17156" t="s">
        <v>14203</v>
      </c>
      <c r="F17156" t="s">
        <v>3558</v>
      </c>
      <c r="G17156" t="s">
        <v>47095</v>
      </c>
      <c r="H17156" t="s">
        <v>47055</v>
      </c>
      <c r="I17156" t="s">
        <v>47127</v>
      </c>
      <c r="J17156" t="s">
        <v>47128</v>
      </c>
      <c r="K17156" t="s">
        <v>47113</v>
      </c>
      <c r="L17156">
        <v>22.09</v>
      </c>
      <c r="M17156">
        <v>49</v>
      </c>
      <c r="N17156">
        <v>0</v>
      </c>
      <c r="O17156">
        <v>49</v>
      </c>
      <c r="P17156">
        <v>0</v>
      </c>
    </row>
    <row r="17157" spans="1:16" x14ac:dyDescent="0.25">
      <c r="A17157" t="s">
        <v>39756</v>
      </c>
      <c r="B17157" t="s">
        <v>14294</v>
      </c>
      <c r="C17157" t="s">
        <v>14211</v>
      </c>
      <c r="D17157" t="str">
        <f>"1106"</f>
        <v>1106</v>
      </c>
      <c r="E17157" t="s">
        <v>460</v>
      </c>
      <c r="F17157" t="s">
        <v>3558</v>
      </c>
      <c r="G17157" t="s">
        <v>47094</v>
      </c>
      <c r="H17157" t="s">
        <v>47055</v>
      </c>
      <c r="I17157" t="s">
        <v>47127</v>
      </c>
      <c r="J17157" t="s">
        <v>47128</v>
      </c>
      <c r="K17157" t="s">
        <v>47113</v>
      </c>
      <c r="L17157">
        <v>41.89</v>
      </c>
      <c r="M17157">
        <v>71</v>
      </c>
      <c r="N17157">
        <v>0</v>
      </c>
      <c r="O17157">
        <v>71</v>
      </c>
      <c r="P17157">
        <v>0</v>
      </c>
    </row>
    <row r="17158" spans="1:16" x14ac:dyDescent="0.25">
      <c r="A17158" t="s">
        <v>39757</v>
      </c>
      <c r="B17158" t="s">
        <v>14294</v>
      </c>
      <c r="C17158" t="s">
        <v>14211</v>
      </c>
      <c r="D17158" t="str">
        <f>"1377"</f>
        <v>1377</v>
      </c>
      <c r="E17158" t="s">
        <v>74</v>
      </c>
      <c r="F17158" t="s">
        <v>3558</v>
      </c>
      <c r="G17158" t="s">
        <v>47094</v>
      </c>
      <c r="H17158" t="s">
        <v>47055</v>
      </c>
      <c r="I17158" t="s">
        <v>47127</v>
      </c>
      <c r="J17158" t="s">
        <v>47128</v>
      </c>
      <c r="K17158" t="s">
        <v>47113</v>
      </c>
      <c r="L17158">
        <v>41.89</v>
      </c>
      <c r="M17158">
        <v>71</v>
      </c>
      <c r="N17158">
        <v>0</v>
      </c>
      <c r="O17158">
        <v>71</v>
      </c>
      <c r="P17158">
        <v>0</v>
      </c>
    </row>
    <row r="17159" spans="1:16" x14ac:dyDescent="0.25">
      <c r="A17159" t="s">
        <v>39758</v>
      </c>
      <c r="B17159" t="s">
        <v>14294</v>
      </c>
      <c r="C17159" t="s">
        <v>14211</v>
      </c>
      <c r="D17159" t="str">
        <f>"1700"</f>
        <v>1700</v>
      </c>
      <c r="E17159" t="s">
        <v>60</v>
      </c>
      <c r="F17159" t="s">
        <v>3558</v>
      </c>
      <c r="G17159" t="s">
        <v>47094</v>
      </c>
      <c r="H17159" t="s">
        <v>47055</v>
      </c>
      <c r="I17159" t="s">
        <v>47127</v>
      </c>
      <c r="J17159" t="s">
        <v>47128</v>
      </c>
      <c r="K17159" t="s">
        <v>47113</v>
      </c>
      <c r="L17159">
        <v>32.229999999999997</v>
      </c>
      <c r="M17159">
        <v>71</v>
      </c>
      <c r="N17159">
        <v>0</v>
      </c>
      <c r="O17159">
        <v>71</v>
      </c>
      <c r="P17159">
        <v>0</v>
      </c>
    </row>
    <row r="17160" spans="1:16" x14ac:dyDescent="0.25">
      <c r="A17160" t="s">
        <v>39759</v>
      </c>
      <c r="B17160" t="s">
        <v>14294</v>
      </c>
      <c r="C17160" t="s">
        <v>14211</v>
      </c>
      <c r="D17160" t="str">
        <f>"1889"</f>
        <v>1889</v>
      </c>
      <c r="E17160" t="s">
        <v>7101</v>
      </c>
      <c r="F17160" t="s">
        <v>3558</v>
      </c>
      <c r="G17160" t="s">
        <v>47094</v>
      </c>
      <c r="H17160" t="s">
        <v>47055</v>
      </c>
      <c r="I17160" t="s">
        <v>47127</v>
      </c>
      <c r="J17160" t="s">
        <v>47128</v>
      </c>
      <c r="K17160" t="s">
        <v>47113</v>
      </c>
      <c r="L17160">
        <v>41.89</v>
      </c>
      <c r="M17160">
        <v>71</v>
      </c>
      <c r="N17160">
        <v>0</v>
      </c>
      <c r="O17160">
        <v>71</v>
      </c>
      <c r="P17160">
        <v>0</v>
      </c>
    </row>
    <row r="17161" spans="1:16" x14ac:dyDescent="0.25">
      <c r="A17161" t="s">
        <v>39760</v>
      </c>
      <c r="B17161" t="s">
        <v>14294</v>
      </c>
      <c r="C17161" t="s">
        <v>14211</v>
      </c>
      <c r="D17161" t="str">
        <f>"4542"</f>
        <v>4542</v>
      </c>
      <c r="E17161" t="s">
        <v>220</v>
      </c>
      <c r="F17161" t="s">
        <v>3558</v>
      </c>
      <c r="G17161" t="s">
        <v>47094</v>
      </c>
      <c r="H17161" t="s">
        <v>47055</v>
      </c>
      <c r="I17161" t="s">
        <v>47127</v>
      </c>
      <c r="J17161" t="s">
        <v>47128</v>
      </c>
      <c r="K17161" t="s">
        <v>47113</v>
      </c>
      <c r="L17161">
        <v>32.229999999999997</v>
      </c>
      <c r="M17161">
        <v>71</v>
      </c>
      <c r="N17161">
        <v>0</v>
      </c>
      <c r="O17161">
        <v>71</v>
      </c>
      <c r="P17161">
        <v>0</v>
      </c>
    </row>
    <row r="17162" spans="1:16" x14ac:dyDescent="0.25">
      <c r="A17162" t="s">
        <v>39761</v>
      </c>
      <c r="B17162" t="s">
        <v>14294</v>
      </c>
      <c r="C17162" t="s">
        <v>14211</v>
      </c>
      <c r="D17162" t="str">
        <f>"5301"</f>
        <v>5301</v>
      </c>
      <c r="E17162" t="s">
        <v>1940</v>
      </c>
      <c r="F17162" t="s">
        <v>3558</v>
      </c>
      <c r="G17162" t="s">
        <v>47094</v>
      </c>
      <c r="H17162" t="s">
        <v>47055</v>
      </c>
      <c r="I17162" t="s">
        <v>47127</v>
      </c>
      <c r="J17162" t="s">
        <v>47128</v>
      </c>
      <c r="K17162" t="s">
        <v>47113</v>
      </c>
      <c r="L17162">
        <v>32.229999999999997</v>
      </c>
      <c r="M17162">
        <v>71</v>
      </c>
      <c r="N17162">
        <v>0</v>
      </c>
      <c r="O17162">
        <v>71</v>
      </c>
      <c r="P17162">
        <v>0</v>
      </c>
    </row>
    <row r="17163" spans="1:16" x14ac:dyDescent="0.25">
      <c r="A17163" t="s">
        <v>39762</v>
      </c>
      <c r="B17163" t="s">
        <v>14294</v>
      </c>
      <c r="C17163" t="s">
        <v>14211</v>
      </c>
      <c r="D17163" t="str">
        <f>"6081"</f>
        <v>6081</v>
      </c>
      <c r="E17163" t="s">
        <v>11010</v>
      </c>
      <c r="F17163" t="s">
        <v>3558</v>
      </c>
      <c r="G17163" t="s">
        <v>47094</v>
      </c>
      <c r="H17163" t="s">
        <v>47055</v>
      </c>
      <c r="I17163" t="s">
        <v>47127</v>
      </c>
      <c r="J17163" t="s">
        <v>47128</v>
      </c>
      <c r="K17163" t="s">
        <v>47113</v>
      </c>
      <c r="L17163">
        <v>32.229999999999997</v>
      </c>
      <c r="M17163">
        <v>71</v>
      </c>
      <c r="N17163">
        <v>0</v>
      </c>
      <c r="O17163">
        <v>71</v>
      </c>
      <c r="P17163">
        <v>0</v>
      </c>
    </row>
    <row r="17164" spans="1:16" x14ac:dyDescent="0.25">
      <c r="A17164" t="s">
        <v>39763</v>
      </c>
      <c r="B17164" t="s">
        <v>14295</v>
      </c>
      <c r="C17164" t="s">
        <v>14296</v>
      </c>
      <c r="D17164" t="str">
        <f>"1106"</f>
        <v>1106</v>
      </c>
      <c r="E17164" t="s">
        <v>460</v>
      </c>
      <c r="F17164" t="s">
        <v>3558</v>
      </c>
      <c r="G17164" t="s">
        <v>47095</v>
      </c>
      <c r="H17164" t="s">
        <v>47055</v>
      </c>
      <c r="I17164" t="s">
        <v>47127</v>
      </c>
      <c r="J17164" t="s">
        <v>47128</v>
      </c>
      <c r="K17164" t="s">
        <v>47113</v>
      </c>
      <c r="L17164">
        <v>35.020000000000003</v>
      </c>
      <c r="M17164">
        <v>58</v>
      </c>
      <c r="N17164">
        <v>0</v>
      </c>
      <c r="O17164">
        <v>58</v>
      </c>
      <c r="P17164">
        <v>0</v>
      </c>
    </row>
    <row r="17165" spans="1:16" x14ac:dyDescent="0.25">
      <c r="A17165" t="s">
        <v>39764</v>
      </c>
      <c r="B17165" t="s">
        <v>14295</v>
      </c>
      <c r="C17165" t="s">
        <v>14296</v>
      </c>
      <c r="D17165" t="str">
        <f>"1377"</f>
        <v>1377</v>
      </c>
      <c r="E17165" t="s">
        <v>74</v>
      </c>
      <c r="F17165" t="s">
        <v>3558</v>
      </c>
      <c r="G17165" t="s">
        <v>47095</v>
      </c>
      <c r="H17165" t="s">
        <v>47055</v>
      </c>
      <c r="I17165" t="s">
        <v>47127</v>
      </c>
      <c r="J17165" t="s">
        <v>47128</v>
      </c>
      <c r="K17165" t="s">
        <v>47113</v>
      </c>
      <c r="L17165">
        <v>35.020000000000003</v>
      </c>
      <c r="M17165">
        <v>58</v>
      </c>
      <c r="N17165">
        <v>0</v>
      </c>
      <c r="O17165">
        <v>58</v>
      </c>
      <c r="P17165">
        <v>0</v>
      </c>
    </row>
    <row r="17166" spans="1:16" x14ac:dyDescent="0.25">
      <c r="A17166" t="s">
        <v>39765</v>
      </c>
      <c r="B17166" t="s">
        <v>14295</v>
      </c>
      <c r="C17166" t="s">
        <v>14296</v>
      </c>
      <c r="D17166" t="str">
        <f>"1700"</f>
        <v>1700</v>
      </c>
      <c r="E17166" t="s">
        <v>60</v>
      </c>
      <c r="F17166" t="s">
        <v>3558</v>
      </c>
      <c r="G17166" t="s">
        <v>47095</v>
      </c>
      <c r="H17166" t="s">
        <v>47055</v>
      </c>
      <c r="I17166" t="s">
        <v>47127</v>
      </c>
      <c r="J17166" t="s">
        <v>47128</v>
      </c>
      <c r="K17166" t="s">
        <v>47113</v>
      </c>
      <c r="L17166">
        <v>35.020000000000003</v>
      </c>
      <c r="M17166">
        <v>58</v>
      </c>
      <c r="N17166">
        <v>0</v>
      </c>
      <c r="O17166">
        <v>58</v>
      </c>
      <c r="P17166">
        <v>0</v>
      </c>
    </row>
    <row r="17167" spans="1:16" x14ac:dyDescent="0.25">
      <c r="A17167" t="s">
        <v>39766</v>
      </c>
      <c r="B17167" t="s">
        <v>14295</v>
      </c>
      <c r="C17167" t="s">
        <v>14296</v>
      </c>
      <c r="D17167" t="str">
        <f>"1889"</f>
        <v>1889</v>
      </c>
      <c r="E17167" t="s">
        <v>7101</v>
      </c>
      <c r="F17167" t="s">
        <v>3558</v>
      </c>
      <c r="G17167" t="s">
        <v>47095</v>
      </c>
      <c r="H17167" t="s">
        <v>47055</v>
      </c>
      <c r="I17167" t="s">
        <v>47127</v>
      </c>
      <c r="J17167" t="s">
        <v>47128</v>
      </c>
      <c r="K17167" t="s">
        <v>47113</v>
      </c>
      <c r="L17167">
        <v>35.020000000000003</v>
      </c>
      <c r="M17167">
        <v>58</v>
      </c>
      <c r="N17167">
        <v>0</v>
      </c>
      <c r="O17167">
        <v>58</v>
      </c>
      <c r="P17167">
        <v>0</v>
      </c>
    </row>
    <row r="17168" spans="1:16" x14ac:dyDescent="0.25">
      <c r="A17168" t="s">
        <v>39767</v>
      </c>
      <c r="B17168" t="s">
        <v>14295</v>
      </c>
      <c r="C17168" t="s">
        <v>14296</v>
      </c>
      <c r="D17168" t="str">
        <f>"4542"</f>
        <v>4542</v>
      </c>
      <c r="E17168" t="s">
        <v>220</v>
      </c>
      <c r="F17168" t="s">
        <v>3558</v>
      </c>
      <c r="G17168" t="s">
        <v>47095</v>
      </c>
      <c r="H17168" t="s">
        <v>47055</v>
      </c>
      <c r="I17168" t="s">
        <v>47127</v>
      </c>
      <c r="J17168" t="s">
        <v>47128</v>
      </c>
      <c r="K17168" t="s">
        <v>47113</v>
      </c>
      <c r="L17168">
        <v>26.26</v>
      </c>
      <c r="M17168">
        <v>58</v>
      </c>
      <c r="N17168">
        <v>0</v>
      </c>
      <c r="O17168">
        <v>58</v>
      </c>
      <c r="P17168">
        <v>0</v>
      </c>
    </row>
    <row r="17169" spans="1:16" x14ac:dyDescent="0.25">
      <c r="A17169" t="s">
        <v>39768</v>
      </c>
      <c r="B17169" t="s">
        <v>14295</v>
      </c>
      <c r="C17169" t="s">
        <v>14296</v>
      </c>
      <c r="D17169" t="str">
        <f>"5301"</f>
        <v>5301</v>
      </c>
      <c r="E17169" t="s">
        <v>1940</v>
      </c>
      <c r="F17169" t="s">
        <v>3558</v>
      </c>
      <c r="G17169" t="s">
        <v>47095</v>
      </c>
      <c r="H17169" t="s">
        <v>47055</v>
      </c>
      <c r="I17169" t="s">
        <v>47127</v>
      </c>
      <c r="J17169" t="s">
        <v>47128</v>
      </c>
      <c r="K17169" t="s">
        <v>47113</v>
      </c>
      <c r="L17169">
        <v>26.26</v>
      </c>
      <c r="M17169">
        <v>58</v>
      </c>
      <c r="N17169">
        <v>0</v>
      </c>
      <c r="O17169">
        <v>58</v>
      </c>
      <c r="P17169">
        <v>0</v>
      </c>
    </row>
    <row r="17170" spans="1:16" x14ac:dyDescent="0.25">
      <c r="A17170" t="s">
        <v>39769</v>
      </c>
      <c r="B17170" t="s">
        <v>14297</v>
      </c>
      <c r="C17170" t="s">
        <v>14298</v>
      </c>
      <c r="D17170" t="str">
        <f>"1377"</f>
        <v>1377</v>
      </c>
      <c r="E17170" t="s">
        <v>74</v>
      </c>
      <c r="F17170" t="s">
        <v>3558</v>
      </c>
      <c r="G17170" t="s">
        <v>49029</v>
      </c>
      <c r="H17170" t="s">
        <v>47055</v>
      </c>
      <c r="I17170" t="s">
        <v>47127</v>
      </c>
      <c r="J17170" t="s">
        <v>47128</v>
      </c>
      <c r="K17170" t="s">
        <v>47113</v>
      </c>
      <c r="L17170">
        <v>23.55</v>
      </c>
      <c r="M17170">
        <v>40</v>
      </c>
      <c r="N17170">
        <v>0</v>
      </c>
      <c r="O17170">
        <v>40</v>
      </c>
      <c r="P17170">
        <v>0</v>
      </c>
    </row>
    <row r="17171" spans="1:16" x14ac:dyDescent="0.25">
      <c r="A17171" t="s">
        <v>39770</v>
      </c>
      <c r="B17171" t="s">
        <v>14297</v>
      </c>
      <c r="C17171" t="s">
        <v>14298</v>
      </c>
      <c r="D17171" t="str">
        <f>"1378"</f>
        <v>1378</v>
      </c>
      <c r="E17171" t="s">
        <v>388</v>
      </c>
      <c r="F17171" t="s">
        <v>3558</v>
      </c>
      <c r="G17171" t="s">
        <v>49029</v>
      </c>
      <c r="H17171" t="s">
        <v>47055</v>
      </c>
      <c r="I17171" t="s">
        <v>47127</v>
      </c>
      <c r="J17171" t="s">
        <v>47128</v>
      </c>
      <c r="K17171" t="s">
        <v>47113</v>
      </c>
      <c r="L17171">
        <v>18.14</v>
      </c>
      <c r="M17171">
        <v>40</v>
      </c>
      <c r="N17171">
        <v>0</v>
      </c>
      <c r="O17171">
        <v>40</v>
      </c>
      <c r="P17171">
        <v>0</v>
      </c>
    </row>
    <row r="17172" spans="1:16" x14ac:dyDescent="0.25">
      <c r="A17172" t="s">
        <v>39771</v>
      </c>
      <c r="B17172" t="s">
        <v>14297</v>
      </c>
      <c r="C17172" t="s">
        <v>14298</v>
      </c>
      <c r="D17172" t="str">
        <f>"1700"</f>
        <v>1700</v>
      </c>
      <c r="E17172" t="s">
        <v>60</v>
      </c>
      <c r="F17172" t="s">
        <v>3558</v>
      </c>
      <c r="G17172" t="s">
        <v>49029</v>
      </c>
      <c r="H17172" t="s">
        <v>47055</v>
      </c>
      <c r="I17172" t="s">
        <v>47127</v>
      </c>
      <c r="J17172" t="s">
        <v>47128</v>
      </c>
      <c r="K17172" t="s">
        <v>47113</v>
      </c>
      <c r="L17172">
        <v>23.55</v>
      </c>
      <c r="M17172">
        <v>40</v>
      </c>
      <c r="N17172">
        <v>0</v>
      </c>
      <c r="O17172">
        <v>40</v>
      </c>
      <c r="P17172">
        <v>0</v>
      </c>
    </row>
    <row r="17173" spans="1:16" x14ac:dyDescent="0.25">
      <c r="A17173" t="s">
        <v>39772</v>
      </c>
      <c r="B17173" t="s">
        <v>14297</v>
      </c>
      <c r="C17173" t="s">
        <v>14298</v>
      </c>
      <c r="D17173" t="str">
        <f>"1889"</f>
        <v>1889</v>
      </c>
      <c r="E17173" t="s">
        <v>7101</v>
      </c>
      <c r="F17173" t="s">
        <v>3558</v>
      </c>
      <c r="G17173" t="s">
        <v>49029</v>
      </c>
      <c r="H17173" t="s">
        <v>47055</v>
      </c>
      <c r="I17173" t="s">
        <v>47127</v>
      </c>
      <c r="J17173" t="s">
        <v>47128</v>
      </c>
      <c r="K17173" t="s">
        <v>47113</v>
      </c>
      <c r="L17173">
        <v>18.14</v>
      </c>
      <c r="M17173">
        <v>40</v>
      </c>
      <c r="N17173">
        <v>0</v>
      </c>
      <c r="O17173">
        <v>40</v>
      </c>
      <c r="P17173">
        <v>0</v>
      </c>
    </row>
    <row r="17174" spans="1:16" x14ac:dyDescent="0.25">
      <c r="A17174" t="s">
        <v>39773</v>
      </c>
      <c r="B17174" t="s">
        <v>14297</v>
      </c>
      <c r="C17174" t="s">
        <v>14298</v>
      </c>
      <c r="D17174" t="str">
        <f>"3000"</f>
        <v>3000</v>
      </c>
      <c r="E17174" t="s">
        <v>14216</v>
      </c>
      <c r="F17174" t="s">
        <v>3558</v>
      </c>
      <c r="G17174" t="s">
        <v>49029</v>
      </c>
      <c r="H17174" t="s">
        <v>47055</v>
      </c>
      <c r="I17174" t="s">
        <v>47127</v>
      </c>
      <c r="J17174" t="s">
        <v>47128</v>
      </c>
      <c r="K17174" t="s">
        <v>47113</v>
      </c>
      <c r="L17174">
        <v>23.55</v>
      </c>
      <c r="M17174">
        <v>40</v>
      </c>
      <c r="N17174">
        <v>0</v>
      </c>
      <c r="O17174">
        <v>40</v>
      </c>
      <c r="P17174">
        <v>0</v>
      </c>
    </row>
    <row r="17175" spans="1:16" x14ac:dyDescent="0.25">
      <c r="A17175" t="s">
        <v>39774</v>
      </c>
      <c r="B17175" t="s">
        <v>14297</v>
      </c>
      <c r="C17175" t="s">
        <v>14298</v>
      </c>
      <c r="D17175" t="str">
        <f>"4542"</f>
        <v>4542</v>
      </c>
      <c r="E17175" t="s">
        <v>220</v>
      </c>
      <c r="F17175" t="s">
        <v>3558</v>
      </c>
      <c r="G17175" t="s">
        <v>49029</v>
      </c>
      <c r="H17175" t="s">
        <v>47055</v>
      </c>
      <c r="I17175" t="s">
        <v>47127</v>
      </c>
      <c r="J17175" t="s">
        <v>47128</v>
      </c>
      <c r="K17175" t="s">
        <v>47113</v>
      </c>
      <c r="L17175">
        <v>18.14</v>
      </c>
      <c r="M17175">
        <v>40</v>
      </c>
      <c r="N17175">
        <v>0</v>
      </c>
      <c r="O17175">
        <v>40</v>
      </c>
      <c r="P17175">
        <v>0</v>
      </c>
    </row>
    <row r="17176" spans="1:16" x14ac:dyDescent="0.25">
      <c r="A17176" t="s">
        <v>39775</v>
      </c>
      <c r="B17176" t="s">
        <v>14297</v>
      </c>
      <c r="C17176" t="s">
        <v>14298</v>
      </c>
      <c r="D17176" t="str">
        <f>"4645"</f>
        <v>4645</v>
      </c>
      <c r="E17176" t="s">
        <v>9770</v>
      </c>
      <c r="F17176" t="s">
        <v>3558</v>
      </c>
      <c r="G17176" t="s">
        <v>49029</v>
      </c>
      <c r="H17176" t="s">
        <v>47055</v>
      </c>
      <c r="I17176" t="s">
        <v>47127</v>
      </c>
      <c r="J17176" t="s">
        <v>47128</v>
      </c>
      <c r="K17176" t="s">
        <v>47113</v>
      </c>
      <c r="L17176">
        <v>18.14</v>
      </c>
      <c r="M17176">
        <v>40</v>
      </c>
      <c r="N17176">
        <v>0</v>
      </c>
      <c r="O17176">
        <v>40</v>
      </c>
      <c r="P17176">
        <v>0</v>
      </c>
    </row>
    <row r="17177" spans="1:16" x14ac:dyDescent="0.25">
      <c r="A17177" t="s">
        <v>39776</v>
      </c>
      <c r="B17177" t="s">
        <v>14297</v>
      </c>
      <c r="C17177" t="s">
        <v>14298</v>
      </c>
      <c r="D17177" t="str">
        <f>"5301"</f>
        <v>5301</v>
      </c>
      <c r="E17177" t="s">
        <v>1940</v>
      </c>
      <c r="F17177" t="s">
        <v>3558</v>
      </c>
      <c r="G17177" t="s">
        <v>49029</v>
      </c>
      <c r="H17177" t="s">
        <v>47055</v>
      </c>
      <c r="I17177" t="s">
        <v>47127</v>
      </c>
      <c r="J17177" t="s">
        <v>47128</v>
      </c>
      <c r="K17177" t="s">
        <v>47113</v>
      </c>
      <c r="L17177">
        <v>18.14</v>
      </c>
      <c r="M17177">
        <v>40</v>
      </c>
      <c r="N17177">
        <v>0</v>
      </c>
      <c r="O17177">
        <v>40</v>
      </c>
      <c r="P17177">
        <v>0</v>
      </c>
    </row>
    <row r="17178" spans="1:16" x14ac:dyDescent="0.25">
      <c r="A17178" t="s">
        <v>39777</v>
      </c>
      <c r="B17178" t="s">
        <v>14297</v>
      </c>
      <c r="C17178" t="s">
        <v>14298</v>
      </c>
      <c r="D17178" t="str">
        <f>"6081"</f>
        <v>6081</v>
      </c>
      <c r="E17178" t="s">
        <v>11010</v>
      </c>
      <c r="F17178" t="s">
        <v>3558</v>
      </c>
      <c r="G17178" t="s">
        <v>49029</v>
      </c>
      <c r="H17178" t="s">
        <v>47055</v>
      </c>
      <c r="I17178" t="s">
        <v>47127</v>
      </c>
      <c r="J17178" t="s">
        <v>47128</v>
      </c>
      <c r="K17178" t="s">
        <v>47113</v>
      </c>
      <c r="L17178">
        <v>23.55</v>
      </c>
      <c r="M17178">
        <v>40</v>
      </c>
      <c r="N17178">
        <v>0</v>
      </c>
      <c r="O17178">
        <v>40</v>
      </c>
      <c r="P17178">
        <v>0</v>
      </c>
    </row>
    <row r="17179" spans="1:16" x14ac:dyDescent="0.25">
      <c r="A17179" t="s">
        <v>39778</v>
      </c>
      <c r="B17179" t="s">
        <v>14297</v>
      </c>
      <c r="C17179" t="s">
        <v>14298</v>
      </c>
      <c r="D17179" t="str">
        <f>"8206"</f>
        <v>8206</v>
      </c>
      <c r="E17179" t="s">
        <v>14203</v>
      </c>
      <c r="F17179" t="s">
        <v>3558</v>
      </c>
      <c r="G17179" t="s">
        <v>49029</v>
      </c>
      <c r="H17179" t="s">
        <v>47055</v>
      </c>
      <c r="I17179" t="s">
        <v>47127</v>
      </c>
      <c r="J17179" t="s">
        <v>47128</v>
      </c>
      <c r="K17179" t="s">
        <v>47113</v>
      </c>
      <c r="L17179">
        <v>23.55</v>
      </c>
      <c r="M17179">
        <v>40</v>
      </c>
      <c r="N17179">
        <v>0</v>
      </c>
      <c r="O17179">
        <v>40</v>
      </c>
      <c r="P17179">
        <v>0</v>
      </c>
    </row>
    <row r="17180" spans="1:16" x14ac:dyDescent="0.25">
      <c r="A17180" t="s">
        <v>39779</v>
      </c>
      <c r="B17180" t="s">
        <v>14299</v>
      </c>
      <c r="C17180" t="s">
        <v>14300</v>
      </c>
      <c r="D17180" t="str">
        <f>"1106"</f>
        <v>1106</v>
      </c>
      <c r="E17180" t="s">
        <v>460</v>
      </c>
      <c r="F17180" t="s">
        <v>3558</v>
      </c>
      <c r="G17180" t="s">
        <v>47094</v>
      </c>
      <c r="H17180" t="s">
        <v>47055</v>
      </c>
      <c r="I17180" t="s">
        <v>47127</v>
      </c>
      <c r="J17180" t="s">
        <v>47128</v>
      </c>
      <c r="K17180" t="s">
        <v>47113</v>
      </c>
      <c r="L17180">
        <v>32.83</v>
      </c>
      <c r="M17180">
        <v>72</v>
      </c>
      <c r="N17180">
        <v>0</v>
      </c>
      <c r="O17180">
        <v>72</v>
      </c>
      <c r="P17180">
        <v>0</v>
      </c>
    </row>
    <row r="17181" spans="1:16" x14ac:dyDescent="0.25">
      <c r="A17181" t="s">
        <v>39780</v>
      </c>
      <c r="B17181" t="s">
        <v>14299</v>
      </c>
      <c r="C17181" t="s">
        <v>14300</v>
      </c>
      <c r="D17181" t="str">
        <f>"1285"</f>
        <v>1285</v>
      </c>
      <c r="E17181" t="s">
        <v>2148</v>
      </c>
      <c r="F17181" t="s">
        <v>3558</v>
      </c>
      <c r="G17181" t="s">
        <v>47094</v>
      </c>
      <c r="H17181" t="s">
        <v>47055</v>
      </c>
      <c r="I17181" t="s">
        <v>47127</v>
      </c>
      <c r="J17181" t="s">
        <v>47128</v>
      </c>
      <c r="K17181" t="s">
        <v>47113</v>
      </c>
      <c r="L17181">
        <v>32.83</v>
      </c>
      <c r="M17181">
        <v>72</v>
      </c>
      <c r="N17181">
        <v>0</v>
      </c>
      <c r="O17181">
        <v>72</v>
      </c>
      <c r="P17181">
        <v>0</v>
      </c>
    </row>
    <row r="17182" spans="1:16" x14ac:dyDescent="0.25">
      <c r="A17182" t="s">
        <v>39781</v>
      </c>
      <c r="B17182" t="s">
        <v>14299</v>
      </c>
      <c r="C17182" t="s">
        <v>14300</v>
      </c>
      <c r="D17182" t="str">
        <f>"1700"</f>
        <v>1700</v>
      </c>
      <c r="E17182" t="s">
        <v>60</v>
      </c>
      <c r="F17182" t="s">
        <v>3558</v>
      </c>
      <c r="G17182" t="s">
        <v>47094</v>
      </c>
      <c r="H17182" t="s">
        <v>47055</v>
      </c>
      <c r="I17182" t="s">
        <v>47127</v>
      </c>
      <c r="J17182" t="s">
        <v>47128</v>
      </c>
      <c r="K17182" t="s">
        <v>47113</v>
      </c>
      <c r="L17182">
        <v>32.83</v>
      </c>
      <c r="M17182">
        <v>72</v>
      </c>
      <c r="N17182">
        <v>0</v>
      </c>
      <c r="O17182">
        <v>72</v>
      </c>
      <c r="P17182">
        <v>0</v>
      </c>
    </row>
    <row r="17183" spans="1:16" x14ac:dyDescent="0.25">
      <c r="A17183" t="s">
        <v>39782</v>
      </c>
      <c r="B17183" t="s">
        <v>14299</v>
      </c>
      <c r="C17183" t="s">
        <v>14300</v>
      </c>
      <c r="D17183" t="str">
        <f>"4542"</f>
        <v>4542</v>
      </c>
      <c r="E17183" t="s">
        <v>220</v>
      </c>
      <c r="F17183" t="s">
        <v>3558</v>
      </c>
      <c r="G17183" t="s">
        <v>47094</v>
      </c>
      <c r="H17183" t="s">
        <v>47055</v>
      </c>
      <c r="I17183" t="s">
        <v>47127</v>
      </c>
      <c r="J17183" t="s">
        <v>47128</v>
      </c>
      <c r="K17183" t="s">
        <v>47113</v>
      </c>
      <c r="L17183">
        <v>32.83</v>
      </c>
      <c r="M17183">
        <v>72</v>
      </c>
      <c r="N17183">
        <v>0</v>
      </c>
      <c r="O17183">
        <v>72</v>
      </c>
      <c r="P17183">
        <v>0</v>
      </c>
    </row>
    <row r="17184" spans="1:16" x14ac:dyDescent="0.25">
      <c r="A17184" t="s">
        <v>39783</v>
      </c>
      <c r="B17184" t="s">
        <v>14299</v>
      </c>
      <c r="C17184" t="s">
        <v>14300</v>
      </c>
      <c r="D17184" t="str">
        <f>"4643"</f>
        <v>4643</v>
      </c>
      <c r="E17184" t="s">
        <v>205</v>
      </c>
      <c r="F17184" t="s">
        <v>3558</v>
      </c>
      <c r="G17184" t="s">
        <v>47094</v>
      </c>
      <c r="H17184" t="s">
        <v>47055</v>
      </c>
      <c r="I17184" t="s">
        <v>47127</v>
      </c>
      <c r="J17184" t="s">
        <v>47128</v>
      </c>
      <c r="K17184" t="s">
        <v>47113</v>
      </c>
      <c r="L17184">
        <v>32.83</v>
      </c>
      <c r="M17184">
        <v>72</v>
      </c>
      <c r="N17184">
        <v>0</v>
      </c>
      <c r="O17184">
        <v>72</v>
      </c>
      <c r="P17184">
        <v>0</v>
      </c>
    </row>
    <row r="17185" spans="1:16" x14ac:dyDescent="0.25">
      <c r="A17185" t="s">
        <v>39784</v>
      </c>
      <c r="B17185" t="s">
        <v>14299</v>
      </c>
      <c r="C17185" t="s">
        <v>14300</v>
      </c>
      <c r="D17185" t="str">
        <f>"6081"</f>
        <v>6081</v>
      </c>
      <c r="E17185" t="s">
        <v>11010</v>
      </c>
      <c r="F17185" t="s">
        <v>3558</v>
      </c>
      <c r="G17185" t="s">
        <v>47094</v>
      </c>
      <c r="H17185" t="s">
        <v>47055</v>
      </c>
      <c r="I17185" t="s">
        <v>47127</v>
      </c>
      <c r="J17185" t="s">
        <v>47128</v>
      </c>
      <c r="K17185" t="s">
        <v>47113</v>
      </c>
      <c r="L17185">
        <v>32.83</v>
      </c>
      <c r="M17185">
        <v>72</v>
      </c>
      <c r="N17185">
        <v>0</v>
      </c>
      <c r="O17185">
        <v>72</v>
      </c>
      <c r="P17185">
        <v>0</v>
      </c>
    </row>
    <row r="17186" spans="1:16" x14ac:dyDescent="0.25">
      <c r="A17186" t="s">
        <v>39785</v>
      </c>
      <c r="B17186" t="s">
        <v>14301</v>
      </c>
      <c r="C17186" t="s">
        <v>14302</v>
      </c>
      <c r="D17186" t="str">
        <f>"1106"</f>
        <v>1106</v>
      </c>
      <c r="E17186" t="s">
        <v>460</v>
      </c>
      <c r="F17186" t="s">
        <v>3558</v>
      </c>
      <c r="G17186" t="s">
        <v>47096</v>
      </c>
      <c r="H17186" t="s">
        <v>47055</v>
      </c>
      <c r="I17186" t="s">
        <v>47127</v>
      </c>
      <c r="J17186" t="s">
        <v>47128</v>
      </c>
      <c r="K17186" t="s">
        <v>47113</v>
      </c>
      <c r="L17186">
        <v>23.28</v>
      </c>
      <c r="M17186">
        <v>51</v>
      </c>
      <c r="N17186">
        <v>0</v>
      </c>
      <c r="O17186">
        <v>51</v>
      </c>
      <c r="P17186">
        <v>0</v>
      </c>
    </row>
    <row r="17187" spans="1:16" x14ac:dyDescent="0.25">
      <c r="A17187" t="s">
        <v>39786</v>
      </c>
      <c r="B17187" t="s">
        <v>14301</v>
      </c>
      <c r="C17187" t="s">
        <v>14302</v>
      </c>
      <c r="D17187" t="str">
        <f>"1285"</f>
        <v>1285</v>
      </c>
      <c r="E17187" t="s">
        <v>2148</v>
      </c>
      <c r="F17187" t="s">
        <v>3558</v>
      </c>
      <c r="G17187" t="s">
        <v>47096</v>
      </c>
      <c r="H17187" t="s">
        <v>47055</v>
      </c>
      <c r="I17187" t="s">
        <v>47127</v>
      </c>
      <c r="J17187" t="s">
        <v>47128</v>
      </c>
      <c r="K17187" t="s">
        <v>47113</v>
      </c>
      <c r="L17187">
        <v>30.43</v>
      </c>
      <c r="M17187">
        <v>51</v>
      </c>
      <c r="N17187">
        <v>0</v>
      </c>
      <c r="O17187">
        <v>51</v>
      </c>
      <c r="P17187">
        <v>0</v>
      </c>
    </row>
    <row r="17188" spans="1:16" x14ac:dyDescent="0.25">
      <c r="A17188" t="s">
        <v>39787</v>
      </c>
      <c r="B17188" t="s">
        <v>14301</v>
      </c>
      <c r="C17188" t="s">
        <v>14302</v>
      </c>
      <c r="D17188" t="str">
        <f>"1700"</f>
        <v>1700</v>
      </c>
      <c r="E17188" t="s">
        <v>60</v>
      </c>
      <c r="F17188" t="s">
        <v>3558</v>
      </c>
      <c r="G17188" t="s">
        <v>47096</v>
      </c>
      <c r="H17188" t="s">
        <v>47055</v>
      </c>
      <c r="I17188" t="s">
        <v>47127</v>
      </c>
      <c r="J17188" t="s">
        <v>47128</v>
      </c>
      <c r="K17188" t="s">
        <v>47113</v>
      </c>
      <c r="L17188">
        <v>30.43</v>
      </c>
      <c r="M17188">
        <v>51</v>
      </c>
      <c r="N17188">
        <v>0</v>
      </c>
      <c r="O17188">
        <v>51</v>
      </c>
      <c r="P17188">
        <v>0</v>
      </c>
    </row>
    <row r="17189" spans="1:16" x14ac:dyDescent="0.25">
      <c r="A17189" t="s">
        <v>39788</v>
      </c>
      <c r="B17189" t="s">
        <v>14301</v>
      </c>
      <c r="C17189" t="s">
        <v>14302</v>
      </c>
      <c r="D17189" t="str">
        <f>"1889"</f>
        <v>1889</v>
      </c>
      <c r="E17189" t="s">
        <v>7101</v>
      </c>
      <c r="F17189" t="s">
        <v>3558</v>
      </c>
      <c r="G17189" t="s">
        <v>47096</v>
      </c>
      <c r="H17189" t="s">
        <v>47055</v>
      </c>
      <c r="I17189" t="s">
        <v>47127</v>
      </c>
      <c r="J17189" t="s">
        <v>47128</v>
      </c>
      <c r="K17189" t="s">
        <v>47113</v>
      </c>
      <c r="L17189">
        <v>23.28</v>
      </c>
      <c r="M17189">
        <v>51</v>
      </c>
      <c r="N17189">
        <v>0</v>
      </c>
      <c r="O17189">
        <v>51</v>
      </c>
      <c r="P17189">
        <v>0</v>
      </c>
    </row>
    <row r="17190" spans="1:16" x14ac:dyDescent="0.25">
      <c r="A17190" t="s">
        <v>39789</v>
      </c>
      <c r="B17190" t="s">
        <v>14301</v>
      </c>
      <c r="C17190" t="s">
        <v>14302</v>
      </c>
      <c r="D17190" t="str">
        <f>"4542"</f>
        <v>4542</v>
      </c>
      <c r="E17190" t="s">
        <v>220</v>
      </c>
      <c r="F17190" t="s">
        <v>3558</v>
      </c>
      <c r="G17190" t="s">
        <v>47096</v>
      </c>
      <c r="H17190" t="s">
        <v>47055</v>
      </c>
      <c r="I17190" t="s">
        <v>47127</v>
      </c>
      <c r="J17190" t="s">
        <v>47128</v>
      </c>
      <c r="K17190" t="s">
        <v>47113</v>
      </c>
      <c r="L17190">
        <v>23.28</v>
      </c>
      <c r="M17190">
        <v>51</v>
      </c>
      <c r="N17190">
        <v>0</v>
      </c>
      <c r="O17190">
        <v>51</v>
      </c>
      <c r="P17190">
        <v>0</v>
      </c>
    </row>
    <row r="17191" spans="1:16" x14ac:dyDescent="0.25">
      <c r="A17191" t="s">
        <v>39790</v>
      </c>
      <c r="B17191" t="s">
        <v>14301</v>
      </c>
      <c r="C17191" t="s">
        <v>14302</v>
      </c>
      <c r="D17191" t="str">
        <f>"4643"</f>
        <v>4643</v>
      </c>
      <c r="E17191" t="s">
        <v>205</v>
      </c>
      <c r="F17191" t="s">
        <v>3558</v>
      </c>
      <c r="G17191" t="s">
        <v>47096</v>
      </c>
      <c r="H17191" t="s">
        <v>47055</v>
      </c>
      <c r="I17191" t="s">
        <v>47127</v>
      </c>
      <c r="J17191" t="s">
        <v>47128</v>
      </c>
      <c r="K17191" t="s">
        <v>47113</v>
      </c>
      <c r="L17191">
        <v>23.28</v>
      </c>
      <c r="M17191">
        <v>51</v>
      </c>
      <c r="N17191">
        <v>0</v>
      </c>
      <c r="O17191">
        <v>51</v>
      </c>
      <c r="P17191">
        <v>0</v>
      </c>
    </row>
    <row r="17192" spans="1:16" x14ac:dyDescent="0.25">
      <c r="A17192" t="s">
        <v>39791</v>
      </c>
      <c r="B17192" t="s">
        <v>14301</v>
      </c>
      <c r="C17192" t="s">
        <v>14302</v>
      </c>
      <c r="D17192" t="str">
        <f>"5301"</f>
        <v>5301</v>
      </c>
      <c r="E17192" t="s">
        <v>1940</v>
      </c>
      <c r="F17192" t="s">
        <v>3558</v>
      </c>
      <c r="G17192" t="s">
        <v>47096</v>
      </c>
      <c r="H17192" t="s">
        <v>47055</v>
      </c>
      <c r="I17192" t="s">
        <v>47127</v>
      </c>
      <c r="J17192" t="s">
        <v>47128</v>
      </c>
      <c r="K17192" t="s">
        <v>47113</v>
      </c>
      <c r="L17192">
        <v>23.28</v>
      </c>
      <c r="M17192">
        <v>51</v>
      </c>
      <c r="N17192">
        <v>0</v>
      </c>
      <c r="O17192">
        <v>51</v>
      </c>
      <c r="P17192">
        <v>0</v>
      </c>
    </row>
    <row r="17193" spans="1:16" x14ac:dyDescent="0.25">
      <c r="A17193" t="s">
        <v>39792</v>
      </c>
      <c r="B17193" t="s">
        <v>14301</v>
      </c>
      <c r="C17193" t="s">
        <v>14302</v>
      </c>
      <c r="D17193" t="str">
        <f>"8206"</f>
        <v>8206</v>
      </c>
      <c r="E17193" t="s">
        <v>14203</v>
      </c>
      <c r="F17193" t="s">
        <v>3558</v>
      </c>
      <c r="G17193" t="s">
        <v>47096</v>
      </c>
      <c r="H17193" t="s">
        <v>47055</v>
      </c>
      <c r="I17193" t="s">
        <v>47127</v>
      </c>
      <c r="J17193" t="s">
        <v>47128</v>
      </c>
      <c r="K17193" t="s">
        <v>47113</v>
      </c>
      <c r="L17193">
        <v>23.28</v>
      </c>
      <c r="M17193">
        <v>51</v>
      </c>
      <c r="N17193">
        <v>0</v>
      </c>
      <c r="O17193">
        <v>51</v>
      </c>
      <c r="P17193">
        <v>0</v>
      </c>
    </row>
    <row r="17194" spans="1:16" x14ac:dyDescent="0.25">
      <c r="A17194" t="s">
        <v>39793</v>
      </c>
      <c r="B17194" t="s">
        <v>14303</v>
      </c>
      <c r="C17194" t="s">
        <v>14304</v>
      </c>
      <c r="D17194" t="str">
        <f>"1106"</f>
        <v>1106</v>
      </c>
      <c r="E17194" t="s">
        <v>460</v>
      </c>
      <c r="F17194" t="s">
        <v>3558</v>
      </c>
      <c r="G17194" t="s">
        <v>47095</v>
      </c>
      <c r="H17194" t="s">
        <v>47055</v>
      </c>
      <c r="I17194" t="s">
        <v>47127</v>
      </c>
      <c r="J17194" t="s">
        <v>47128</v>
      </c>
      <c r="K17194" t="s">
        <v>47113</v>
      </c>
      <c r="L17194">
        <v>32.729999999999997</v>
      </c>
      <c r="M17194">
        <v>57</v>
      </c>
      <c r="N17194">
        <v>0</v>
      </c>
      <c r="O17194">
        <v>57</v>
      </c>
      <c r="P17194">
        <v>0</v>
      </c>
    </row>
    <row r="17195" spans="1:16" x14ac:dyDescent="0.25">
      <c r="A17195" t="s">
        <v>39794</v>
      </c>
      <c r="B17195" t="s">
        <v>14303</v>
      </c>
      <c r="C17195" t="s">
        <v>14304</v>
      </c>
      <c r="D17195" t="str">
        <f>"1285"</f>
        <v>1285</v>
      </c>
      <c r="E17195" t="s">
        <v>2148</v>
      </c>
      <c r="F17195" t="s">
        <v>3558</v>
      </c>
      <c r="G17195" t="s">
        <v>47095</v>
      </c>
      <c r="H17195" t="s">
        <v>47055</v>
      </c>
      <c r="I17195" t="s">
        <v>47127</v>
      </c>
      <c r="J17195" t="s">
        <v>47128</v>
      </c>
      <c r="K17195" t="s">
        <v>47113</v>
      </c>
      <c r="L17195">
        <v>32.729999999999997</v>
      </c>
      <c r="M17195">
        <v>57</v>
      </c>
      <c r="N17195">
        <v>0</v>
      </c>
      <c r="O17195">
        <v>57</v>
      </c>
      <c r="P17195">
        <v>0</v>
      </c>
    </row>
    <row r="17196" spans="1:16" x14ac:dyDescent="0.25">
      <c r="A17196" t="s">
        <v>39795</v>
      </c>
      <c r="B17196" t="s">
        <v>14303</v>
      </c>
      <c r="C17196" t="s">
        <v>14304</v>
      </c>
      <c r="D17196" t="str">
        <f>"1700"</f>
        <v>1700</v>
      </c>
      <c r="E17196" t="s">
        <v>60</v>
      </c>
      <c r="F17196" t="s">
        <v>3558</v>
      </c>
      <c r="G17196" t="s">
        <v>47095</v>
      </c>
      <c r="H17196" t="s">
        <v>47055</v>
      </c>
      <c r="I17196" t="s">
        <v>47127</v>
      </c>
      <c r="J17196" t="s">
        <v>47128</v>
      </c>
      <c r="K17196" t="s">
        <v>47113</v>
      </c>
      <c r="L17196">
        <v>26.14</v>
      </c>
      <c r="M17196">
        <v>57</v>
      </c>
      <c r="N17196">
        <v>0</v>
      </c>
      <c r="O17196">
        <v>57</v>
      </c>
      <c r="P17196">
        <v>0</v>
      </c>
    </row>
    <row r="17197" spans="1:16" x14ac:dyDescent="0.25">
      <c r="A17197" t="s">
        <v>39796</v>
      </c>
      <c r="B17197" t="s">
        <v>14303</v>
      </c>
      <c r="C17197" t="s">
        <v>14304</v>
      </c>
      <c r="D17197" t="str">
        <f>"1889"</f>
        <v>1889</v>
      </c>
      <c r="E17197" t="s">
        <v>7101</v>
      </c>
      <c r="F17197" t="s">
        <v>3558</v>
      </c>
      <c r="G17197" t="s">
        <v>47095</v>
      </c>
      <c r="H17197" t="s">
        <v>47055</v>
      </c>
      <c r="I17197" t="s">
        <v>47127</v>
      </c>
      <c r="J17197" t="s">
        <v>47128</v>
      </c>
      <c r="K17197" t="s">
        <v>47113</v>
      </c>
      <c r="L17197">
        <v>26.14</v>
      </c>
      <c r="M17197">
        <v>57</v>
      </c>
      <c r="N17197">
        <v>0</v>
      </c>
      <c r="O17197">
        <v>57</v>
      </c>
      <c r="P17197">
        <v>0</v>
      </c>
    </row>
    <row r="17198" spans="1:16" x14ac:dyDescent="0.25">
      <c r="A17198" t="s">
        <v>39797</v>
      </c>
      <c r="B17198" t="s">
        <v>14303</v>
      </c>
      <c r="C17198" t="s">
        <v>14304</v>
      </c>
      <c r="D17198" t="str">
        <f>"3000"</f>
        <v>3000</v>
      </c>
      <c r="E17198" t="s">
        <v>14216</v>
      </c>
      <c r="F17198" t="s">
        <v>3558</v>
      </c>
      <c r="G17198" t="s">
        <v>47095</v>
      </c>
      <c r="H17198" t="s">
        <v>47055</v>
      </c>
      <c r="I17198" t="s">
        <v>47127</v>
      </c>
      <c r="J17198" t="s">
        <v>47128</v>
      </c>
      <c r="K17198" t="s">
        <v>47113</v>
      </c>
      <c r="L17198">
        <v>26.14</v>
      </c>
      <c r="M17198">
        <v>57</v>
      </c>
      <c r="N17198">
        <v>0</v>
      </c>
      <c r="O17198">
        <v>57</v>
      </c>
      <c r="P17198">
        <v>0</v>
      </c>
    </row>
    <row r="17199" spans="1:16" x14ac:dyDescent="0.25">
      <c r="A17199" t="s">
        <v>39798</v>
      </c>
      <c r="B17199" t="s">
        <v>14303</v>
      </c>
      <c r="C17199" t="s">
        <v>14304</v>
      </c>
      <c r="D17199" t="str">
        <f>"4542"</f>
        <v>4542</v>
      </c>
      <c r="E17199" t="s">
        <v>220</v>
      </c>
      <c r="F17199" t="s">
        <v>3558</v>
      </c>
      <c r="G17199" t="s">
        <v>47095</v>
      </c>
      <c r="H17199" t="s">
        <v>47055</v>
      </c>
      <c r="I17199" t="s">
        <v>47127</v>
      </c>
      <c r="J17199" t="s">
        <v>47128</v>
      </c>
      <c r="K17199" t="s">
        <v>47113</v>
      </c>
      <c r="L17199">
        <v>26.14</v>
      </c>
      <c r="M17199">
        <v>57</v>
      </c>
      <c r="N17199">
        <v>0</v>
      </c>
      <c r="O17199">
        <v>57</v>
      </c>
      <c r="P17199">
        <v>0</v>
      </c>
    </row>
    <row r="17200" spans="1:16" x14ac:dyDescent="0.25">
      <c r="A17200" t="s">
        <v>39799</v>
      </c>
      <c r="B17200" t="s">
        <v>14303</v>
      </c>
      <c r="C17200" t="s">
        <v>14304</v>
      </c>
      <c r="D17200" t="str">
        <f>"4643"</f>
        <v>4643</v>
      </c>
      <c r="E17200" t="s">
        <v>205</v>
      </c>
      <c r="F17200" t="s">
        <v>3558</v>
      </c>
      <c r="G17200" t="s">
        <v>47095</v>
      </c>
      <c r="H17200" t="s">
        <v>47055</v>
      </c>
      <c r="I17200" t="s">
        <v>47127</v>
      </c>
      <c r="J17200" t="s">
        <v>47128</v>
      </c>
      <c r="K17200" t="s">
        <v>47113</v>
      </c>
      <c r="L17200">
        <v>26.14</v>
      </c>
      <c r="M17200">
        <v>57</v>
      </c>
      <c r="N17200">
        <v>0</v>
      </c>
      <c r="O17200">
        <v>57</v>
      </c>
      <c r="P17200">
        <v>0</v>
      </c>
    </row>
    <row r="17201" spans="1:16" x14ac:dyDescent="0.25">
      <c r="A17201" t="s">
        <v>39800</v>
      </c>
      <c r="B17201" t="s">
        <v>14303</v>
      </c>
      <c r="C17201" t="s">
        <v>14304</v>
      </c>
      <c r="D17201" t="str">
        <f>"4645"</f>
        <v>4645</v>
      </c>
      <c r="E17201" t="s">
        <v>9770</v>
      </c>
      <c r="F17201" t="s">
        <v>3558</v>
      </c>
      <c r="G17201" t="s">
        <v>47095</v>
      </c>
      <c r="H17201" t="s">
        <v>47055</v>
      </c>
      <c r="I17201" t="s">
        <v>47127</v>
      </c>
      <c r="J17201" t="s">
        <v>47128</v>
      </c>
      <c r="K17201" t="s">
        <v>47113</v>
      </c>
      <c r="L17201">
        <v>26.14</v>
      </c>
      <c r="M17201">
        <v>57</v>
      </c>
      <c r="N17201">
        <v>0</v>
      </c>
      <c r="O17201">
        <v>57</v>
      </c>
      <c r="P17201">
        <v>0</v>
      </c>
    </row>
    <row r="17202" spans="1:16" x14ac:dyDescent="0.25">
      <c r="A17202" t="s">
        <v>39801</v>
      </c>
      <c r="B17202" t="s">
        <v>14303</v>
      </c>
      <c r="C17202" t="s">
        <v>14304</v>
      </c>
      <c r="D17202" t="str">
        <f>"5301"</f>
        <v>5301</v>
      </c>
      <c r="E17202" t="s">
        <v>1940</v>
      </c>
      <c r="F17202" t="s">
        <v>3558</v>
      </c>
      <c r="G17202" t="s">
        <v>47095</v>
      </c>
      <c r="H17202" t="s">
        <v>47055</v>
      </c>
      <c r="I17202" t="s">
        <v>47127</v>
      </c>
      <c r="J17202" t="s">
        <v>47128</v>
      </c>
      <c r="K17202" t="s">
        <v>47113</v>
      </c>
      <c r="L17202">
        <v>26.14</v>
      </c>
      <c r="M17202">
        <v>57</v>
      </c>
      <c r="N17202">
        <v>0</v>
      </c>
      <c r="O17202">
        <v>57</v>
      </c>
      <c r="P17202">
        <v>0</v>
      </c>
    </row>
    <row r="17203" spans="1:16" x14ac:dyDescent="0.25">
      <c r="A17203" t="s">
        <v>39802</v>
      </c>
      <c r="B17203" t="s">
        <v>14303</v>
      </c>
      <c r="C17203" t="s">
        <v>14304</v>
      </c>
      <c r="D17203" t="str">
        <f>"6081"</f>
        <v>6081</v>
      </c>
      <c r="E17203" t="s">
        <v>11010</v>
      </c>
      <c r="F17203" t="s">
        <v>3558</v>
      </c>
      <c r="G17203" t="s">
        <v>47095</v>
      </c>
      <c r="H17203" t="s">
        <v>47055</v>
      </c>
      <c r="I17203" t="s">
        <v>47127</v>
      </c>
      <c r="J17203" t="s">
        <v>47128</v>
      </c>
      <c r="K17203" t="s">
        <v>47113</v>
      </c>
      <c r="L17203">
        <v>26.14</v>
      </c>
      <c r="M17203">
        <v>57</v>
      </c>
      <c r="N17203">
        <v>0</v>
      </c>
      <c r="O17203">
        <v>57</v>
      </c>
      <c r="P17203">
        <v>0</v>
      </c>
    </row>
    <row r="17204" spans="1:16" x14ac:dyDescent="0.25">
      <c r="A17204" t="s">
        <v>39803</v>
      </c>
      <c r="B17204" t="s">
        <v>14303</v>
      </c>
      <c r="C17204" t="s">
        <v>14304</v>
      </c>
      <c r="D17204" t="str">
        <f>"8206"</f>
        <v>8206</v>
      </c>
      <c r="E17204" t="s">
        <v>14203</v>
      </c>
      <c r="F17204" t="s">
        <v>3558</v>
      </c>
      <c r="G17204" t="s">
        <v>47095</v>
      </c>
      <c r="H17204" t="s">
        <v>47055</v>
      </c>
      <c r="I17204" t="s">
        <v>47127</v>
      </c>
      <c r="J17204" t="s">
        <v>47128</v>
      </c>
      <c r="K17204" t="s">
        <v>47113</v>
      </c>
      <c r="L17204">
        <v>26.14</v>
      </c>
      <c r="M17204">
        <v>57</v>
      </c>
      <c r="N17204">
        <v>0</v>
      </c>
      <c r="O17204">
        <v>57</v>
      </c>
      <c r="P17204">
        <v>0</v>
      </c>
    </row>
    <row r="17205" spans="1:16" x14ac:dyDescent="0.25">
      <c r="A17205" t="s">
        <v>39804</v>
      </c>
      <c r="B17205" t="s">
        <v>11114</v>
      </c>
      <c r="C17205" t="s">
        <v>10385</v>
      </c>
      <c r="D17205" t="s">
        <v>11115</v>
      </c>
      <c r="E17205" t="s">
        <v>11116</v>
      </c>
      <c r="F17205" t="s">
        <v>3558</v>
      </c>
      <c r="G17205" t="s">
        <v>49030</v>
      </c>
      <c r="H17205" t="s">
        <v>47153</v>
      </c>
      <c r="I17205" t="s">
        <v>47132</v>
      </c>
      <c r="J17205" t="s">
        <v>47133</v>
      </c>
      <c r="K17205" t="s">
        <v>47113</v>
      </c>
      <c r="L17205">
        <v>44.78</v>
      </c>
      <c r="M17205">
        <v>92</v>
      </c>
      <c r="N17205">
        <v>0</v>
      </c>
      <c r="O17205">
        <v>92</v>
      </c>
      <c r="P17205">
        <v>0</v>
      </c>
    </row>
    <row r="17206" spans="1:16" x14ac:dyDescent="0.25">
      <c r="A17206" t="s">
        <v>39805</v>
      </c>
      <c r="B17206" t="s">
        <v>11117</v>
      </c>
      <c r="C17206" t="s">
        <v>10385</v>
      </c>
      <c r="D17206" t="s">
        <v>11078</v>
      </c>
      <c r="E17206" t="s">
        <v>11079</v>
      </c>
      <c r="F17206" t="s">
        <v>3558</v>
      </c>
      <c r="G17206" t="s">
        <v>49030</v>
      </c>
      <c r="H17206" t="s">
        <v>47153</v>
      </c>
      <c r="I17206" t="s">
        <v>47132</v>
      </c>
      <c r="J17206" t="s">
        <v>47133</v>
      </c>
      <c r="K17206" t="s">
        <v>47113</v>
      </c>
      <c r="L17206">
        <v>54.54</v>
      </c>
      <c r="M17206">
        <v>100</v>
      </c>
      <c r="N17206">
        <v>0</v>
      </c>
      <c r="O17206">
        <v>100</v>
      </c>
      <c r="P17206">
        <v>0</v>
      </c>
    </row>
    <row r="17207" spans="1:16" x14ac:dyDescent="0.25">
      <c r="A17207" t="s">
        <v>39806</v>
      </c>
      <c r="B17207" t="s">
        <v>11118</v>
      </c>
      <c r="C17207" t="s">
        <v>10385</v>
      </c>
      <c r="D17207" t="s">
        <v>11089</v>
      </c>
      <c r="E17207" t="s">
        <v>11090</v>
      </c>
      <c r="F17207" t="s">
        <v>3558</v>
      </c>
      <c r="G17207" t="s">
        <v>49030</v>
      </c>
      <c r="H17207" t="s">
        <v>47153</v>
      </c>
      <c r="I17207" t="s">
        <v>47132</v>
      </c>
      <c r="J17207" t="s">
        <v>47133</v>
      </c>
      <c r="K17207" t="s">
        <v>47113</v>
      </c>
      <c r="L17207">
        <v>39.43</v>
      </c>
      <c r="M17207">
        <v>85</v>
      </c>
      <c r="N17207">
        <v>0</v>
      </c>
      <c r="O17207">
        <v>85</v>
      </c>
      <c r="P17207">
        <v>0</v>
      </c>
    </row>
    <row r="17208" spans="1:16" x14ac:dyDescent="0.25">
      <c r="A17208" t="s">
        <v>39807</v>
      </c>
      <c r="B17208" t="s">
        <v>11119</v>
      </c>
      <c r="C17208" t="s">
        <v>11120</v>
      </c>
      <c r="D17208" t="s">
        <v>11092</v>
      </c>
      <c r="E17208" t="s">
        <v>11093</v>
      </c>
      <c r="F17208" t="s">
        <v>3558</v>
      </c>
      <c r="G17208" t="s">
        <v>49029</v>
      </c>
      <c r="H17208" t="s">
        <v>47153</v>
      </c>
      <c r="I17208" t="s">
        <v>47132</v>
      </c>
      <c r="J17208" t="s">
        <v>47133</v>
      </c>
      <c r="K17208" t="s">
        <v>47113</v>
      </c>
      <c r="L17208">
        <v>38.96</v>
      </c>
      <c r="M17208">
        <v>74</v>
      </c>
      <c r="N17208">
        <v>0</v>
      </c>
      <c r="O17208">
        <v>74</v>
      </c>
      <c r="P17208">
        <v>0</v>
      </c>
    </row>
    <row r="17209" spans="1:16" x14ac:dyDescent="0.25">
      <c r="A17209" t="s">
        <v>39808</v>
      </c>
      <c r="B17209" t="s">
        <v>14450</v>
      </c>
      <c r="C17209" t="s">
        <v>14449</v>
      </c>
      <c r="D17209" t="s">
        <v>11070</v>
      </c>
      <c r="E17209" t="s">
        <v>11071</v>
      </c>
      <c r="F17209" t="s">
        <v>3558</v>
      </c>
      <c r="G17209" t="s">
        <v>49029</v>
      </c>
      <c r="H17209" t="s">
        <v>47153</v>
      </c>
      <c r="I17209" t="s">
        <v>47132</v>
      </c>
      <c r="J17209" t="s">
        <v>47133</v>
      </c>
      <c r="K17209" t="s">
        <v>47113</v>
      </c>
      <c r="L17209">
        <v>41.29</v>
      </c>
      <c r="M17209">
        <v>85</v>
      </c>
      <c r="N17209">
        <v>0</v>
      </c>
      <c r="O17209">
        <v>85</v>
      </c>
      <c r="P17209">
        <v>0</v>
      </c>
    </row>
    <row r="17210" spans="1:16" x14ac:dyDescent="0.25">
      <c r="A17210" t="s">
        <v>39809</v>
      </c>
      <c r="B17210" t="s">
        <v>11121</v>
      </c>
      <c r="C17210" t="s">
        <v>409</v>
      </c>
      <c r="D17210" t="s">
        <v>11122</v>
      </c>
      <c r="E17210" t="s">
        <v>11123</v>
      </c>
      <c r="F17210" t="s">
        <v>3558</v>
      </c>
      <c r="G17210" t="s">
        <v>47098</v>
      </c>
      <c r="H17210" t="s">
        <v>47153</v>
      </c>
      <c r="I17210" t="s">
        <v>47132</v>
      </c>
      <c r="J17210" t="s">
        <v>47133</v>
      </c>
      <c r="K17210" t="s">
        <v>47113</v>
      </c>
      <c r="L17210">
        <v>61.99</v>
      </c>
      <c r="M17210">
        <v>94</v>
      </c>
      <c r="N17210">
        <v>0</v>
      </c>
      <c r="O17210">
        <v>94</v>
      </c>
      <c r="P17210">
        <v>0</v>
      </c>
    </row>
    <row r="17211" spans="1:16" x14ac:dyDescent="0.25">
      <c r="A17211" t="s">
        <v>39810</v>
      </c>
      <c r="B17211" t="s">
        <v>11121</v>
      </c>
      <c r="C17211" t="s">
        <v>409</v>
      </c>
      <c r="D17211" t="s">
        <v>11068</v>
      </c>
      <c r="E17211" t="s">
        <v>11069</v>
      </c>
      <c r="F17211" t="s">
        <v>3558</v>
      </c>
      <c r="G17211" t="s">
        <v>47098</v>
      </c>
      <c r="H17211" t="s">
        <v>47153</v>
      </c>
      <c r="I17211" t="s">
        <v>47132</v>
      </c>
      <c r="J17211" t="s">
        <v>47133</v>
      </c>
      <c r="K17211" t="s">
        <v>47113</v>
      </c>
      <c r="L17211">
        <v>66.180000000000007</v>
      </c>
      <c r="M17211">
        <v>94</v>
      </c>
      <c r="N17211">
        <v>0</v>
      </c>
      <c r="O17211">
        <v>94</v>
      </c>
      <c r="P17211">
        <v>0</v>
      </c>
    </row>
    <row r="17212" spans="1:16" x14ac:dyDescent="0.25">
      <c r="A17212" t="s">
        <v>39811</v>
      </c>
      <c r="B17212" t="s">
        <v>15844</v>
      </c>
      <c r="C17212" t="s">
        <v>15845</v>
      </c>
      <c r="D17212" t="s">
        <v>11115</v>
      </c>
      <c r="E17212" t="s">
        <v>11116</v>
      </c>
      <c r="F17212" t="s">
        <v>3558</v>
      </c>
      <c r="G17212" t="s">
        <v>47093</v>
      </c>
      <c r="H17212" t="s">
        <v>47153</v>
      </c>
      <c r="I17212" t="s">
        <v>47132</v>
      </c>
      <c r="J17212" t="s">
        <v>47133</v>
      </c>
      <c r="K17212" t="s">
        <v>47113</v>
      </c>
      <c r="L17212">
        <v>48.03</v>
      </c>
      <c r="M17212">
        <v>92</v>
      </c>
      <c r="N17212">
        <v>0</v>
      </c>
      <c r="O17212">
        <v>92</v>
      </c>
      <c r="P17212">
        <v>0</v>
      </c>
    </row>
    <row r="17213" spans="1:16" x14ac:dyDescent="0.25">
      <c r="A17213" t="s">
        <v>39812</v>
      </c>
      <c r="B17213" t="s">
        <v>14448</v>
      </c>
      <c r="C17213" t="s">
        <v>14447</v>
      </c>
      <c r="D17213" t="s">
        <v>14446</v>
      </c>
      <c r="E17213" t="s">
        <v>14445</v>
      </c>
      <c r="F17213" t="s">
        <v>3558</v>
      </c>
      <c r="G17213" t="s">
        <v>47093</v>
      </c>
      <c r="H17213" t="s">
        <v>47153</v>
      </c>
      <c r="I17213" t="s">
        <v>47132</v>
      </c>
      <c r="J17213" t="s">
        <v>47133</v>
      </c>
      <c r="K17213" t="s">
        <v>47113</v>
      </c>
      <c r="L17213">
        <v>48.27</v>
      </c>
      <c r="M17213">
        <v>96</v>
      </c>
      <c r="N17213">
        <v>0</v>
      </c>
      <c r="O17213">
        <v>96</v>
      </c>
      <c r="P17213">
        <v>0</v>
      </c>
    </row>
    <row r="17214" spans="1:16" x14ac:dyDescent="0.25">
      <c r="A17214" t="s">
        <v>39813</v>
      </c>
      <c r="B17214" t="s">
        <v>14305</v>
      </c>
      <c r="C17214" t="s">
        <v>14306</v>
      </c>
      <c r="D17214" t="str">
        <f>"1106"</f>
        <v>1106</v>
      </c>
      <c r="E17214" t="s">
        <v>460</v>
      </c>
      <c r="F17214" t="s">
        <v>3558</v>
      </c>
      <c r="G17214" t="s">
        <v>47091</v>
      </c>
      <c r="H17214" t="s">
        <v>47055</v>
      </c>
      <c r="I17214" t="s">
        <v>47127</v>
      </c>
      <c r="J17214" t="s">
        <v>47128</v>
      </c>
      <c r="K17214" t="s">
        <v>47113</v>
      </c>
      <c r="L17214">
        <v>13.49</v>
      </c>
      <c r="M17214">
        <v>30</v>
      </c>
      <c r="N17214">
        <v>0</v>
      </c>
      <c r="O17214">
        <v>30</v>
      </c>
      <c r="P17214">
        <v>0</v>
      </c>
    </row>
    <row r="17215" spans="1:16" x14ac:dyDescent="0.25">
      <c r="A17215" t="s">
        <v>39814</v>
      </c>
      <c r="B17215" t="s">
        <v>14305</v>
      </c>
      <c r="C17215" t="s">
        <v>14306</v>
      </c>
      <c r="D17215" t="str">
        <f>"1377"</f>
        <v>1377</v>
      </c>
      <c r="E17215" t="s">
        <v>74</v>
      </c>
      <c r="F17215" t="s">
        <v>3558</v>
      </c>
      <c r="G17215" t="s">
        <v>47091</v>
      </c>
      <c r="H17215" t="s">
        <v>47055</v>
      </c>
      <c r="I17215" t="s">
        <v>47127</v>
      </c>
      <c r="J17215" t="s">
        <v>47128</v>
      </c>
      <c r="K17215" t="s">
        <v>47113</v>
      </c>
      <c r="L17215">
        <v>13.49</v>
      </c>
      <c r="M17215">
        <v>30</v>
      </c>
      <c r="N17215">
        <v>0</v>
      </c>
      <c r="O17215">
        <v>30</v>
      </c>
      <c r="P17215">
        <v>0</v>
      </c>
    </row>
    <row r="17216" spans="1:16" x14ac:dyDescent="0.25">
      <c r="A17216" t="s">
        <v>39815</v>
      </c>
      <c r="B17216" t="s">
        <v>14305</v>
      </c>
      <c r="C17216" t="s">
        <v>14306</v>
      </c>
      <c r="D17216" t="str">
        <f>"1700"</f>
        <v>1700</v>
      </c>
      <c r="E17216" t="s">
        <v>60</v>
      </c>
      <c r="F17216" t="s">
        <v>3558</v>
      </c>
      <c r="G17216" t="s">
        <v>47091</v>
      </c>
      <c r="H17216" t="s">
        <v>47055</v>
      </c>
      <c r="I17216" t="s">
        <v>47127</v>
      </c>
      <c r="J17216" t="s">
        <v>47128</v>
      </c>
      <c r="K17216" t="s">
        <v>47113</v>
      </c>
      <c r="L17216">
        <v>18.97</v>
      </c>
      <c r="M17216">
        <v>30</v>
      </c>
      <c r="N17216">
        <v>0</v>
      </c>
      <c r="O17216">
        <v>30</v>
      </c>
      <c r="P17216">
        <v>0</v>
      </c>
    </row>
    <row r="17217" spans="1:16" x14ac:dyDescent="0.25">
      <c r="A17217" t="s">
        <v>39816</v>
      </c>
      <c r="B17217" t="s">
        <v>14305</v>
      </c>
      <c r="C17217" t="s">
        <v>14306</v>
      </c>
      <c r="D17217" t="str">
        <f>"1889"</f>
        <v>1889</v>
      </c>
      <c r="E17217" t="s">
        <v>7101</v>
      </c>
      <c r="F17217" t="s">
        <v>3558</v>
      </c>
      <c r="G17217" t="s">
        <v>47091</v>
      </c>
      <c r="H17217" t="s">
        <v>47055</v>
      </c>
      <c r="I17217" t="s">
        <v>47127</v>
      </c>
      <c r="J17217" t="s">
        <v>47128</v>
      </c>
      <c r="K17217" t="s">
        <v>47113</v>
      </c>
      <c r="L17217">
        <v>18.97</v>
      </c>
      <c r="M17217">
        <v>30</v>
      </c>
      <c r="N17217">
        <v>0</v>
      </c>
      <c r="O17217">
        <v>30</v>
      </c>
      <c r="P17217">
        <v>0</v>
      </c>
    </row>
    <row r="17218" spans="1:16" x14ac:dyDescent="0.25">
      <c r="A17218" t="s">
        <v>39817</v>
      </c>
      <c r="B17218" t="s">
        <v>14305</v>
      </c>
      <c r="C17218" t="s">
        <v>14306</v>
      </c>
      <c r="D17218" t="str">
        <f>"3000"</f>
        <v>3000</v>
      </c>
      <c r="E17218" t="s">
        <v>14216</v>
      </c>
      <c r="F17218" t="s">
        <v>3558</v>
      </c>
      <c r="G17218" t="s">
        <v>47091</v>
      </c>
      <c r="H17218" t="s">
        <v>47055</v>
      </c>
      <c r="I17218" t="s">
        <v>47127</v>
      </c>
      <c r="J17218" t="s">
        <v>47128</v>
      </c>
      <c r="K17218" t="s">
        <v>47113</v>
      </c>
      <c r="L17218">
        <v>13.49</v>
      </c>
      <c r="M17218">
        <v>30</v>
      </c>
      <c r="N17218">
        <v>0</v>
      </c>
      <c r="O17218">
        <v>30</v>
      </c>
      <c r="P17218">
        <v>0</v>
      </c>
    </row>
    <row r="17219" spans="1:16" x14ac:dyDescent="0.25">
      <c r="A17219" t="s">
        <v>39818</v>
      </c>
      <c r="B17219" t="s">
        <v>14305</v>
      </c>
      <c r="C17219" t="s">
        <v>14306</v>
      </c>
      <c r="D17219" t="str">
        <f>"4542"</f>
        <v>4542</v>
      </c>
      <c r="E17219" t="s">
        <v>220</v>
      </c>
      <c r="F17219" t="s">
        <v>3558</v>
      </c>
      <c r="G17219" t="s">
        <v>47091</v>
      </c>
      <c r="H17219" t="s">
        <v>47055</v>
      </c>
      <c r="I17219" t="s">
        <v>47127</v>
      </c>
      <c r="J17219" t="s">
        <v>47128</v>
      </c>
      <c r="K17219" t="s">
        <v>47113</v>
      </c>
      <c r="L17219">
        <v>13.49</v>
      </c>
      <c r="M17219">
        <v>30</v>
      </c>
      <c r="N17219">
        <v>0</v>
      </c>
      <c r="O17219">
        <v>30</v>
      </c>
      <c r="P17219">
        <v>0</v>
      </c>
    </row>
    <row r="17220" spans="1:16" x14ac:dyDescent="0.25">
      <c r="A17220" t="s">
        <v>39819</v>
      </c>
      <c r="B17220" t="s">
        <v>14305</v>
      </c>
      <c r="C17220" t="s">
        <v>14306</v>
      </c>
      <c r="D17220" t="str">
        <f>"4645"</f>
        <v>4645</v>
      </c>
      <c r="E17220" t="s">
        <v>9770</v>
      </c>
      <c r="F17220" t="s">
        <v>3558</v>
      </c>
      <c r="G17220" t="s">
        <v>47091</v>
      </c>
      <c r="H17220" t="s">
        <v>47055</v>
      </c>
      <c r="I17220" t="s">
        <v>47127</v>
      </c>
      <c r="J17220" t="s">
        <v>47128</v>
      </c>
      <c r="K17220" t="s">
        <v>47113</v>
      </c>
      <c r="L17220">
        <v>13.49</v>
      </c>
      <c r="M17220">
        <v>30</v>
      </c>
      <c r="N17220">
        <v>0</v>
      </c>
      <c r="O17220">
        <v>30</v>
      </c>
      <c r="P17220">
        <v>0</v>
      </c>
    </row>
    <row r="17221" spans="1:16" x14ac:dyDescent="0.25">
      <c r="A17221" t="s">
        <v>39820</v>
      </c>
      <c r="B17221" t="s">
        <v>14305</v>
      </c>
      <c r="C17221" t="s">
        <v>14306</v>
      </c>
      <c r="D17221" t="str">
        <f>"5301"</f>
        <v>5301</v>
      </c>
      <c r="E17221" t="s">
        <v>1940</v>
      </c>
      <c r="F17221" t="s">
        <v>3558</v>
      </c>
      <c r="G17221" t="s">
        <v>47091</v>
      </c>
      <c r="H17221" t="s">
        <v>47055</v>
      </c>
      <c r="I17221" t="s">
        <v>47127</v>
      </c>
      <c r="J17221" t="s">
        <v>47128</v>
      </c>
      <c r="K17221" t="s">
        <v>47113</v>
      </c>
      <c r="L17221">
        <v>18.97</v>
      </c>
      <c r="M17221">
        <v>30</v>
      </c>
      <c r="N17221">
        <v>0</v>
      </c>
      <c r="O17221">
        <v>30</v>
      </c>
      <c r="P17221">
        <v>0</v>
      </c>
    </row>
    <row r="17222" spans="1:16" x14ac:dyDescent="0.25">
      <c r="A17222" t="s">
        <v>39821</v>
      </c>
      <c r="B17222" t="s">
        <v>14305</v>
      </c>
      <c r="C17222" t="s">
        <v>14306</v>
      </c>
      <c r="D17222" t="str">
        <f>"6081"</f>
        <v>6081</v>
      </c>
      <c r="E17222" t="s">
        <v>11010</v>
      </c>
      <c r="F17222" t="s">
        <v>3558</v>
      </c>
      <c r="G17222" t="s">
        <v>47091</v>
      </c>
      <c r="H17222" t="s">
        <v>47055</v>
      </c>
      <c r="I17222" t="s">
        <v>47127</v>
      </c>
      <c r="J17222" t="s">
        <v>47128</v>
      </c>
      <c r="K17222" t="s">
        <v>47113</v>
      </c>
      <c r="L17222">
        <v>18.97</v>
      </c>
      <c r="M17222">
        <v>30</v>
      </c>
      <c r="N17222">
        <v>0</v>
      </c>
      <c r="O17222">
        <v>30</v>
      </c>
      <c r="P17222">
        <v>0</v>
      </c>
    </row>
    <row r="17223" spans="1:16" x14ac:dyDescent="0.25">
      <c r="A17223" t="s">
        <v>39822</v>
      </c>
      <c r="B17223" t="s">
        <v>14305</v>
      </c>
      <c r="C17223" t="s">
        <v>14306</v>
      </c>
      <c r="D17223" t="str">
        <f>"8206"</f>
        <v>8206</v>
      </c>
      <c r="E17223" t="s">
        <v>14203</v>
      </c>
      <c r="F17223" t="s">
        <v>3558</v>
      </c>
      <c r="G17223" t="s">
        <v>47091</v>
      </c>
      <c r="H17223" t="s">
        <v>47055</v>
      </c>
      <c r="I17223" t="s">
        <v>47127</v>
      </c>
      <c r="J17223" t="s">
        <v>47128</v>
      </c>
      <c r="K17223" t="s">
        <v>47113</v>
      </c>
      <c r="L17223">
        <v>13.49</v>
      </c>
      <c r="M17223">
        <v>30</v>
      </c>
      <c r="N17223">
        <v>0</v>
      </c>
      <c r="O17223">
        <v>30</v>
      </c>
      <c r="P17223">
        <v>0</v>
      </c>
    </row>
    <row r="17224" spans="1:16" x14ac:dyDescent="0.25">
      <c r="A17224" t="s">
        <v>39823</v>
      </c>
      <c r="B17224" t="s">
        <v>14307</v>
      </c>
      <c r="C17224" t="s">
        <v>11027</v>
      </c>
      <c r="D17224" t="str">
        <f>"1106"</f>
        <v>1106</v>
      </c>
      <c r="E17224" t="s">
        <v>460</v>
      </c>
      <c r="F17224" t="s">
        <v>3558</v>
      </c>
      <c r="G17224" t="s">
        <v>47092</v>
      </c>
      <c r="H17224" t="s">
        <v>47055</v>
      </c>
      <c r="I17224" t="s">
        <v>47127</v>
      </c>
      <c r="J17224" t="s">
        <v>47128</v>
      </c>
      <c r="K17224" t="s">
        <v>47113</v>
      </c>
      <c r="L17224">
        <v>10.99</v>
      </c>
      <c r="M17224">
        <v>24</v>
      </c>
      <c r="N17224">
        <v>0</v>
      </c>
      <c r="O17224">
        <v>24</v>
      </c>
      <c r="P17224">
        <v>0</v>
      </c>
    </row>
    <row r="17225" spans="1:16" x14ac:dyDescent="0.25">
      <c r="A17225" t="s">
        <v>39824</v>
      </c>
      <c r="B17225" t="s">
        <v>14307</v>
      </c>
      <c r="C17225" t="s">
        <v>11027</v>
      </c>
      <c r="D17225" t="str">
        <f>"1377"</f>
        <v>1377</v>
      </c>
      <c r="E17225" t="s">
        <v>74</v>
      </c>
      <c r="F17225" t="s">
        <v>3558</v>
      </c>
      <c r="G17225" t="s">
        <v>47092</v>
      </c>
      <c r="H17225" t="s">
        <v>47055</v>
      </c>
      <c r="I17225" t="s">
        <v>47127</v>
      </c>
      <c r="J17225" t="s">
        <v>47128</v>
      </c>
      <c r="K17225" t="s">
        <v>47113</v>
      </c>
      <c r="L17225">
        <v>10.99</v>
      </c>
      <c r="M17225">
        <v>24</v>
      </c>
      <c r="N17225">
        <v>0</v>
      </c>
      <c r="O17225">
        <v>24</v>
      </c>
      <c r="P17225">
        <v>0</v>
      </c>
    </row>
    <row r="17226" spans="1:16" x14ac:dyDescent="0.25">
      <c r="A17226" t="s">
        <v>39825</v>
      </c>
      <c r="B17226" t="s">
        <v>14307</v>
      </c>
      <c r="C17226" t="s">
        <v>11027</v>
      </c>
      <c r="D17226" t="str">
        <f>"1700"</f>
        <v>1700</v>
      </c>
      <c r="E17226" t="s">
        <v>60</v>
      </c>
      <c r="F17226" t="s">
        <v>3558</v>
      </c>
      <c r="G17226" t="s">
        <v>47092</v>
      </c>
      <c r="H17226" t="s">
        <v>47055</v>
      </c>
      <c r="I17226" t="s">
        <v>47127</v>
      </c>
      <c r="J17226" t="s">
        <v>47128</v>
      </c>
      <c r="K17226" t="s">
        <v>47113</v>
      </c>
      <c r="L17226">
        <v>14.38</v>
      </c>
      <c r="M17226">
        <v>24</v>
      </c>
      <c r="N17226">
        <v>0</v>
      </c>
      <c r="O17226">
        <v>24</v>
      </c>
      <c r="P17226">
        <v>0</v>
      </c>
    </row>
    <row r="17227" spans="1:16" x14ac:dyDescent="0.25">
      <c r="A17227" t="s">
        <v>39826</v>
      </c>
      <c r="B17227" t="s">
        <v>14307</v>
      </c>
      <c r="C17227" t="s">
        <v>11027</v>
      </c>
      <c r="D17227" t="str">
        <f>"1889"</f>
        <v>1889</v>
      </c>
      <c r="E17227" t="s">
        <v>7101</v>
      </c>
      <c r="F17227" t="s">
        <v>3558</v>
      </c>
      <c r="G17227" t="s">
        <v>47092</v>
      </c>
      <c r="H17227" t="s">
        <v>47055</v>
      </c>
      <c r="I17227" t="s">
        <v>47127</v>
      </c>
      <c r="J17227" t="s">
        <v>47128</v>
      </c>
      <c r="K17227" t="s">
        <v>47113</v>
      </c>
      <c r="L17227">
        <v>10.99</v>
      </c>
      <c r="M17227">
        <v>24</v>
      </c>
      <c r="N17227">
        <v>0</v>
      </c>
      <c r="O17227">
        <v>24</v>
      </c>
      <c r="P17227">
        <v>0</v>
      </c>
    </row>
    <row r="17228" spans="1:16" x14ac:dyDescent="0.25">
      <c r="A17228" t="s">
        <v>39827</v>
      </c>
      <c r="B17228" t="s">
        <v>14307</v>
      </c>
      <c r="C17228" t="s">
        <v>11027</v>
      </c>
      <c r="D17228" t="str">
        <f>"3000"</f>
        <v>3000</v>
      </c>
      <c r="E17228" t="s">
        <v>14216</v>
      </c>
      <c r="F17228" t="s">
        <v>3558</v>
      </c>
      <c r="G17228" t="s">
        <v>47092</v>
      </c>
      <c r="H17228" t="s">
        <v>47055</v>
      </c>
      <c r="I17228" t="s">
        <v>47127</v>
      </c>
      <c r="J17228" t="s">
        <v>47128</v>
      </c>
      <c r="K17228" t="s">
        <v>47113</v>
      </c>
      <c r="L17228">
        <v>14.38</v>
      </c>
      <c r="M17228">
        <v>24</v>
      </c>
      <c r="N17228">
        <v>0</v>
      </c>
      <c r="O17228">
        <v>24</v>
      </c>
      <c r="P17228">
        <v>0</v>
      </c>
    </row>
    <row r="17229" spans="1:16" x14ac:dyDescent="0.25">
      <c r="A17229" t="s">
        <v>39828</v>
      </c>
      <c r="B17229" t="s">
        <v>14307</v>
      </c>
      <c r="C17229" t="s">
        <v>11027</v>
      </c>
      <c r="D17229" t="str">
        <f>"4542"</f>
        <v>4542</v>
      </c>
      <c r="E17229" t="s">
        <v>220</v>
      </c>
      <c r="F17229" t="s">
        <v>3558</v>
      </c>
      <c r="G17229" t="s">
        <v>47092</v>
      </c>
      <c r="H17229" t="s">
        <v>47055</v>
      </c>
      <c r="I17229" t="s">
        <v>47127</v>
      </c>
      <c r="J17229" t="s">
        <v>47128</v>
      </c>
      <c r="K17229" t="s">
        <v>47113</v>
      </c>
      <c r="L17229">
        <v>10.99</v>
      </c>
      <c r="M17229">
        <v>24</v>
      </c>
      <c r="N17229">
        <v>0</v>
      </c>
      <c r="O17229">
        <v>24</v>
      </c>
      <c r="P17229">
        <v>0</v>
      </c>
    </row>
    <row r="17230" spans="1:16" x14ac:dyDescent="0.25">
      <c r="A17230" t="s">
        <v>39829</v>
      </c>
      <c r="B17230" t="s">
        <v>14307</v>
      </c>
      <c r="C17230" t="s">
        <v>11027</v>
      </c>
      <c r="D17230" t="str">
        <f>"4645"</f>
        <v>4645</v>
      </c>
      <c r="E17230" t="s">
        <v>9770</v>
      </c>
      <c r="F17230" t="s">
        <v>3558</v>
      </c>
      <c r="G17230" t="s">
        <v>47092</v>
      </c>
      <c r="H17230" t="s">
        <v>47055</v>
      </c>
      <c r="I17230" t="s">
        <v>47127</v>
      </c>
      <c r="J17230" t="s">
        <v>47128</v>
      </c>
      <c r="K17230" t="s">
        <v>47113</v>
      </c>
      <c r="L17230">
        <v>10.99</v>
      </c>
      <c r="M17230">
        <v>24</v>
      </c>
      <c r="N17230">
        <v>0</v>
      </c>
      <c r="O17230">
        <v>24</v>
      </c>
      <c r="P17230">
        <v>0</v>
      </c>
    </row>
    <row r="17231" spans="1:16" x14ac:dyDescent="0.25">
      <c r="A17231" t="s">
        <v>39830</v>
      </c>
      <c r="B17231" t="s">
        <v>14307</v>
      </c>
      <c r="C17231" t="s">
        <v>11027</v>
      </c>
      <c r="D17231" t="str">
        <f>"5301"</f>
        <v>5301</v>
      </c>
      <c r="E17231" t="s">
        <v>1940</v>
      </c>
      <c r="F17231" t="s">
        <v>3558</v>
      </c>
      <c r="G17231" t="s">
        <v>47092</v>
      </c>
      <c r="H17231" t="s">
        <v>47055</v>
      </c>
      <c r="I17231" t="s">
        <v>47127</v>
      </c>
      <c r="J17231" t="s">
        <v>47128</v>
      </c>
      <c r="K17231" t="s">
        <v>47113</v>
      </c>
      <c r="L17231">
        <v>10.99</v>
      </c>
      <c r="M17231">
        <v>24</v>
      </c>
      <c r="N17231">
        <v>0</v>
      </c>
      <c r="O17231">
        <v>24</v>
      </c>
      <c r="P17231">
        <v>0</v>
      </c>
    </row>
    <row r="17232" spans="1:16" x14ac:dyDescent="0.25">
      <c r="A17232" t="s">
        <v>39831</v>
      </c>
      <c r="B17232" t="s">
        <v>14307</v>
      </c>
      <c r="C17232" t="s">
        <v>11027</v>
      </c>
      <c r="D17232" t="str">
        <f>"6081"</f>
        <v>6081</v>
      </c>
      <c r="E17232" t="s">
        <v>11010</v>
      </c>
      <c r="F17232" t="s">
        <v>3558</v>
      </c>
      <c r="G17232" t="s">
        <v>47092</v>
      </c>
      <c r="H17232" t="s">
        <v>47055</v>
      </c>
      <c r="I17232" t="s">
        <v>47127</v>
      </c>
      <c r="J17232" t="s">
        <v>47128</v>
      </c>
      <c r="K17232" t="s">
        <v>47113</v>
      </c>
      <c r="L17232">
        <v>14.38</v>
      </c>
      <c r="M17232">
        <v>24</v>
      </c>
      <c r="N17232">
        <v>0</v>
      </c>
      <c r="O17232">
        <v>24</v>
      </c>
      <c r="P17232">
        <v>0</v>
      </c>
    </row>
    <row r="17233" spans="1:16" x14ac:dyDescent="0.25">
      <c r="A17233" t="s">
        <v>39832</v>
      </c>
      <c r="B17233" t="s">
        <v>14307</v>
      </c>
      <c r="C17233" t="s">
        <v>11027</v>
      </c>
      <c r="D17233" t="str">
        <f>"8206"</f>
        <v>8206</v>
      </c>
      <c r="E17233" t="s">
        <v>14203</v>
      </c>
      <c r="F17233" t="s">
        <v>3558</v>
      </c>
      <c r="G17233" t="s">
        <v>47092</v>
      </c>
      <c r="H17233" t="s">
        <v>47055</v>
      </c>
      <c r="I17233" t="s">
        <v>47127</v>
      </c>
      <c r="J17233" t="s">
        <v>47128</v>
      </c>
      <c r="K17233" t="s">
        <v>47113</v>
      </c>
      <c r="L17233">
        <v>14.38</v>
      </c>
      <c r="M17233">
        <v>24</v>
      </c>
      <c r="N17233">
        <v>0</v>
      </c>
      <c r="O17233">
        <v>24</v>
      </c>
      <c r="P17233">
        <v>0</v>
      </c>
    </row>
    <row r="17234" spans="1:16" x14ac:dyDescent="0.25">
      <c r="A17234" t="s">
        <v>39833</v>
      </c>
      <c r="B17234" t="s">
        <v>14308</v>
      </c>
      <c r="C17234" t="s">
        <v>14309</v>
      </c>
      <c r="D17234" t="str">
        <f>"1106"</f>
        <v>1106</v>
      </c>
      <c r="E17234" t="s">
        <v>460</v>
      </c>
      <c r="F17234" t="s">
        <v>3558</v>
      </c>
      <c r="G17234" t="s">
        <v>47095</v>
      </c>
      <c r="H17234" t="s">
        <v>47055</v>
      </c>
      <c r="I17234" t="s">
        <v>47127</v>
      </c>
      <c r="J17234" t="s">
        <v>47128</v>
      </c>
      <c r="K17234" t="s">
        <v>47113</v>
      </c>
      <c r="L17234">
        <v>22.09</v>
      </c>
      <c r="M17234">
        <v>49</v>
      </c>
      <c r="N17234">
        <v>0</v>
      </c>
      <c r="O17234">
        <v>49</v>
      </c>
      <c r="P17234">
        <v>0</v>
      </c>
    </row>
    <row r="17235" spans="1:16" x14ac:dyDescent="0.25">
      <c r="A17235" t="s">
        <v>39834</v>
      </c>
      <c r="B17235" t="s">
        <v>14308</v>
      </c>
      <c r="C17235" t="s">
        <v>14309</v>
      </c>
      <c r="D17235" t="str">
        <f>"1377"</f>
        <v>1377</v>
      </c>
      <c r="E17235" t="s">
        <v>74</v>
      </c>
      <c r="F17235" t="s">
        <v>3558</v>
      </c>
      <c r="G17235" t="s">
        <v>47095</v>
      </c>
      <c r="H17235" t="s">
        <v>47055</v>
      </c>
      <c r="I17235" t="s">
        <v>47127</v>
      </c>
      <c r="J17235" t="s">
        <v>47128</v>
      </c>
      <c r="K17235" t="s">
        <v>47113</v>
      </c>
      <c r="L17235">
        <v>22.09</v>
      </c>
      <c r="M17235">
        <v>49</v>
      </c>
      <c r="N17235">
        <v>0</v>
      </c>
      <c r="O17235">
        <v>49</v>
      </c>
      <c r="P17235">
        <v>0</v>
      </c>
    </row>
    <row r="17236" spans="1:16" x14ac:dyDescent="0.25">
      <c r="A17236" t="s">
        <v>39835</v>
      </c>
      <c r="B17236" t="s">
        <v>14308</v>
      </c>
      <c r="C17236" t="s">
        <v>14309</v>
      </c>
      <c r="D17236" t="str">
        <f>"1700"</f>
        <v>1700</v>
      </c>
      <c r="E17236" t="s">
        <v>60</v>
      </c>
      <c r="F17236" t="s">
        <v>3558</v>
      </c>
      <c r="G17236" t="s">
        <v>47095</v>
      </c>
      <c r="H17236" t="s">
        <v>47055</v>
      </c>
      <c r="I17236" t="s">
        <v>47127</v>
      </c>
      <c r="J17236" t="s">
        <v>47128</v>
      </c>
      <c r="K17236" t="s">
        <v>47113</v>
      </c>
      <c r="L17236">
        <v>22.09</v>
      </c>
      <c r="M17236">
        <v>49</v>
      </c>
      <c r="N17236">
        <v>0</v>
      </c>
      <c r="O17236">
        <v>49</v>
      </c>
      <c r="P17236">
        <v>0</v>
      </c>
    </row>
    <row r="17237" spans="1:16" x14ac:dyDescent="0.25">
      <c r="A17237" t="s">
        <v>39836</v>
      </c>
      <c r="B17237" t="s">
        <v>14308</v>
      </c>
      <c r="C17237" t="s">
        <v>14309</v>
      </c>
      <c r="D17237" t="str">
        <f>"1889"</f>
        <v>1889</v>
      </c>
      <c r="E17237" t="s">
        <v>7101</v>
      </c>
      <c r="F17237" t="s">
        <v>3558</v>
      </c>
      <c r="G17237" t="s">
        <v>47095</v>
      </c>
      <c r="H17237" t="s">
        <v>47055</v>
      </c>
      <c r="I17237" t="s">
        <v>47127</v>
      </c>
      <c r="J17237" t="s">
        <v>47128</v>
      </c>
      <c r="K17237" t="s">
        <v>47113</v>
      </c>
      <c r="L17237">
        <v>22.09</v>
      </c>
      <c r="M17237">
        <v>49</v>
      </c>
      <c r="N17237">
        <v>0</v>
      </c>
      <c r="O17237">
        <v>49</v>
      </c>
      <c r="P17237">
        <v>0</v>
      </c>
    </row>
    <row r="17238" spans="1:16" x14ac:dyDescent="0.25">
      <c r="A17238" t="s">
        <v>39837</v>
      </c>
      <c r="B17238" t="s">
        <v>14308</v>
      </c>
      <c r="C17238" t="s">
        <v>14309</v>
      </c>
      <c r="D17238" t="str">
        <f>"3000"</f>
        <v>3000</v>
      </c>
      <c r="E17238" t="s">
        <v>14216</v>
      </c>
      <c r="F17238" t="s">
        <v>3558</v>
      </c>
      <c r="G17238" t="s">
        <v>47095</v>
      </c>
      <c r="H17238" t="s">
        <v>47055</v>
      </c>
      <c r="I17238" t="s">
        <v>47127</v>
      </c>
      <c r="J17238" t="s">
        <v>47128</v>
      </c>
      <c r="K17238" t="s">
        <v>47113</v>
      </c>
      <c r="L17238">
        <v>22.09</v>
      </c>
      <c r="M17238">
        <v>49</v>
      </c>
      <c r="N17238">
        <v>0</v>
      </c>
      <c r="O17238">
        <v>49</v>
      </c>
      <c r="P17238">
        <v>0</v>
      </c>
    </row>
    <row r="17239" spans="1:16" x14ac:dyDescent="0.25">
      <c r="A17239" t="s">
        <v>39838</v>
      </c>
      <c r="B17239" t="s">
        <v>14308</v>
      </c>
      <c r="C17239" t="s">
        <v>14309</v>
      </c>
      <c r="D17239" t="str">
        <f>"4542"</f>
        <v>4542</v>
      </c>
      <c r="E17239" t="s">
        <v>220</v>
      </c>
      <c r="F17239" t="s">
        <v>3558</v>
      </c>
      <c r="G17239" t="s">
        <v>47095</v>
      </c>
      <c r="H17239" t="s">
        <v>47055</v>
      </c>
      <c r="I17239" t="s">
        <v>47127</v>
      </c>
      <c r="J17239" t="s">
        <v>47128</v>
      </c>
      <c r="K17239" t="s">
        <v>47113</v>
      </c>
      <c r="L17239">
        <v>22.09</v>
      </c>
      <c r="M17239">
        <v>49</v>
      </c>
      <c r="N17239">
        <v>0</v>
      </c>
      <c r="O17239">
        <v>49</v>
      </c>
      <c r="P17239">
        <v>0</v>
      </c>
    </row>
    <row r="17240" spans="1:16" x14ac:dyDescent="0.25">
      <c r="A17240" t="s">
        <v>39839</v>
      </c>
      <c r="B17240" t="s">
        <v>14308</v>
      </c>
      <c r="C17240" t="s">
        <v>14309</v>
      </c>
      <c r="D17240" t="str">
        <f>"4645"</f>
        <v>4645</v>
      </c>
      <c r="E17240" t="s">
        <v>9770</v>
      </c>
      <c r="F17240" t="s">
        <v>3558</v>
      </c>
      <c r="G17240" t="s">
        <v>47095</v>
      </c>
      <c r="H17240" t="s">
        <v>47055</v>
      </c>
      <c r="I17240" t="s">
        <v>47127</v>
      </c>
      <c r="J17240" t="s">
        <v>47128</v>
      </c>
      <c r="K17240" t="s">
        <v>47113</v>
      </c>
      <c r="L17240">
        <v>22.09</v>
      </c>
      <c r="M17240">
        <v>49</v>
      </c>
      <c r="N17240">
        <v>0</v>
      </c>
      <c r="O17240">
        <v>49</v>
      </c>
      <c r="P17240">
        <v>0</v>
      </c>
    </row>
    <row r="17241" spans="1:16" x14ac:dyDescent="0.25">
      <c r="A17241" t="s">
        <v>39840</v>
      </c>
      <c r="B17241" t="s">
        <v>14308</v>
      </c>
      <c r="C17241" t="s">
        <v>14309</v>
      </c>
      <c r="D17241" t="str">
        <f>"5301"</f>
        <v>5301</v>
      </c>
      <c r="E17241" t="s">
        <v>1940</v>
      </c>
      <c r="F17241" t="s">
        <v>3558</v>
      </c>
      <c r="G17241" t="s">
        <v>47095</v>
      </c>
      <c r="H17241" t="s">
        <v>47055</v>
      </c>
      <c r="I17241" t="s">
        <v>47127</v>
      </c>
      <c r="J17241" t="s">
        <v>47128</v>
      </c>
      <c r="K17241" t="s">
        <v>47113</v>
      </c>
      <c r="L17241">
        <v>22.09</v>
      </c>
      <c r="M17241">
        <v>49</v>
      </c>
      <c r="N17241">
        <v>0</v>
      </c>
      <c r="O17241">
        <v>49</v>
      </c>
      <c r="P17241">
        <v>0</v>
      </c>
    </row>
    <row r="17242" spans="1:16" x14ac:dyDescent="0.25">
      <c r="A17242" t="s">
        <v>39841</v>
      </c>
      <c r="B17242" t="s">
        <v>14308</v>
      </c>
      <c r="C17242" t="s">
        <v>14309</v>
      </c>
      <c r="D17242" t="str">
        <f>"6081"</f>
        <v>6081</v>
      </c>
      <c r="E17242" t="s">
        <v>11010</v>
      </c>
      <c r="F17242" t="s">
        <v>3558</v>
      </c>
      <c r="G17242" t="s">
        <v>47095</v>
      </c>
      <c r="H17242" t="s">
        <v>47055</v>
      </c>
      <c r="I17242" t="s">
        <v>47127</v>
      </c>
      <c r="J17242" t="s">
        <v>47128</v>
      </c>
      <c r="K17242" t="s">
        <v>47113</v>
      </c>
      <c r="L17242">
        <v>22.09</v>
      </c>
      <c r="M17242">
        <v>49</v>
      </c>
      <c r="N17242">
        <v>0</v>
      </c>
      <c r="O17242">
        <v>49</v>
      </c>
      <c r="P17242">
        <v>0</v>
      </c>
    </row>
    <row r="17243" spans="1:16" x14ac:dyDescent="0.25">
      <c r="A17243" t="s">
        <v>39842</v>
      </c>
      <c r="B17243" t="s">
        <v>14308</v>
      </c>
      <c r="C17243" t="s">
        <v>14309</v>
      </c>
      <c r="D17243" t="str">
        <f>"8206"</f>
        <v>8206</v>
      </c>
      <c r="E17243" t="s">
        <v>14203</v>
      </c>
      <c r="F17243" t="s">
        <v>3558</v>
      </c>
      <c r="G17243" t="s">
        <v>47095</v>
      </c>
      <c r="H17243" t="s">
        <v>47055</v>
      </c>
      <c r="I17243" t="s">
        <v>47127</v>
      </c>
      <c r="J17243" t="s">
        <v>47128</v>
      </c>
      <c r="K17243" t="s">
        <v>47113</v>
      </c>
      <c r="L17243">
        <v>22.09</v>
      </c>
      <c r="M17243">
        <v>49</v>
      </c>
      <c r="N17243">
        <v>0</v>
      </c>
      <c r="O17243">
        <v>49</v>
      </c>
      <c r="P17243">
        <v>0</v>
      </c>
    </row>
    <row r="17244" spans="1:16" x14ac:dyDescent="0.25">
      <c r="A17244" t="s">
        <v>39843</v>
      </c>
      <c r="B17244" t="s">
        <v>14310</v>
      </c>
      <c r="C17244" t="s">
        <v>14311</v>
      </c>
      <c r="D17244" t="str">
        <f>"1106"</f>
        <v>1106</v>
      </c>
      <c r="E17244" t="s">
        <v>460</v>
      </c>
      <c r="F17244" t="s">
        <v>3558</v>
      </c>
      <c r="G17244" t="s">
        <v>47091</v>
      </c>
      <c r="H17244" t="s">
        <v>47055</v>
      </c>
      <c r="I17244" t="s">
        <v>47127</v>
      </c>
      <c r="J17244" t="s">
        <v>47128</v>
      </c>
      <c r="K17244" t="s">
        <v>47113</v>
      </c>
      <c r="L17244">
        <v>13.37</v>
      </c>
      <c r="M17244">
        <v>29</v>
      </c>
      <c r="N17244">
        <v>0</v>
      </c>
      <c r="O17244">
        <v>29</v>
      </c>
      <c r="P17244">
        <v>0</v>
      </c>
    </row>
    <row r="17245" spans="1:16" x14ac:dyDescent="0.25">
      <c r="A17245" t="s">
        <v>39844</v>
      </c>
      <c r="B17245" t="s">
        <v>14310</v>
      </c>
      <c r="C17245" t="s">
        <v>14311</v>
      </c>
      <c r="D17245" t="str">
        <f>"1377"</f>
        <v>1377</v>
      </c>
      <c r="E17245" t="s">
        <v>74</v>
      </c>
      <c r="F17245" t="s">
        <v>3558</v>
      </c>
      <c r="G17245" t="s">
        <v>47091</v>
      </c>
      <c r="H17245" t="s">
        <v>47055</v>
      </c>
      <c r="I17245" t="s">
        <v>47127</v>
      </c>
      <c r="J17245" t="s">
        <v>47128</v>
      </c>
      <c r="K17245" t="s">
        <v>47113</v>
      </c>
      <c r="L17245">
        <v>14.38</v>
      </c>
      <c r="M17245">
        <v>29</v>
      </c>
      <c r="N17245">
        <v>0</v>
      </c>
      <c r="O17245">
        <v>29</v>
      </c>
      <c r="P17245">
        <v>0</v>
      </c>
    </row>
    <row r="17246" spans="1:16" x14ac:dyDescent="0.25">
      <c r="A17246" t="s">
        <v>39845</v>
      </c>
      <c r="B17246" t="s">
        <v>14310</v>
      </c>
      <c r="C17246" t="s">
        <v>14311</v>
      </c>
      <c r="D17246" t="str">
        <f>"1700"</f>
        <v>1700</v>
      </c>
      <c r="E17246" t="s">
        <v>60</v>
      </c>
      <c r="F17246" t="s">
        <v>3558</v>
      </c>
      <c r="G17246" t="s">
        <v>47091</v>
      </c>
      <c r="H17246" t="s">
        <v>47055</v>
      </c>
      <c r="I17246" t="s">
        <v>47127</v>
      </c>
      <c r="J17246" t="s">
        <v>47128</v>
      </c>
      <c r="K17246" t="s">
        <v>47113</v>
      </c>
      <c r="L17246">
        <v>14.38</v>
      </c>
      <c r="M17246">
        <v>29</v>
      </c>
      <c r="N17246">
        <v>0</v>
      </c>
      <c r="O17246">
        <v>29</v>
      </c>
      <c r="P17246">
        <v>0</v>
      </c>
    </row>
    <row r="17247" spans="1:16" x14ac:dyDescent="0.25">
      <c r="A17247" t="s">
        <v>39846</v>
      </c>
      <c r="B17247" t="s">
        <v>14310</v>
      </c>
      <c r="C17247" t="s">
        <v>14311</v>
      </c>
      <c r="D17247" t="str">
        <f>"1889"</f>
        <v>1889</v>
      </c>
      <c r="E17247" t="s">
        <v>7101</v>
      </c>
      <c r="F17247" t="s">
        <v>3558</v>
      </c>
      <c r="G17247" t="s">
        <v>47091</v>
      </c>
      <c r="H17247" t="s">
        <v>47055</v>
      </c>
      <c r="I17247" t="s">
        <v>47127</v>
      </c>
      <c r="J17247" t="s">
        <v>47128</v>
      </c>
      <c r="K17247" t="s">
        <v>47113</v>
      </c>
      <c r="L17247">
        <v>13.37</v>
      </c>
      <c r="M17247">
        <v>29</v>
      </c>
      <c r="N17247">
        <v>0</v>
      </c>
      <c r="O17247">
        <v>29</v>
      </c>
      <c r="P17247">
        <v>0</v>
      </c>
    </row>
    <row r="17248" spans="1:16" x14ac:dyDescent="0.25">
      <c r="A17248" t="s">
        <v>39847</v>
      </c>
      <c r="B17248" t="s">
        <v>14310</v>
      </c>
      <c r="C17248" t="s">
        <v>14311</v>
      </c>
      <c r="D17248" t="str">
        <f>"3000"</f>
        <v>3000</v>
      </c>
      <c r="E17248" t="s">
        <v>14216</v>
      </c>
      <c r="F17248" t="s">
        <v>3558</v>
      </c>
      <c r="G17248" t="s">
        <v>47091</v>
      </c>
      <c r="H17248" t="s">
        <v>47055</v>
      </c>
      <c r="I17248" t="s">
        <v>47127</v>
      </c>
      <c r="J17248" t="s">
        <v>47128</v>
      </c>
      <c r="K17248" t="s">
        <v>47113</v>
      </c>
      <c r="L17248">
        <v>13.37</v>
      </c>
      <c r="M17248">
        <v>29</v>
      </c>
      <c r="N17248">
        <v>0</v>
      </c>
      <c r="O17248">
        <v>29</v>
      </c>
      <c r="P17248">
        <v>0</v>
      </c>
    </row>
    <row r="17249" spans="1:16" x14ac:dyDescent="0.25">
      <c r="A17249" t="s">
        <v>39848</v>
      </c>
      <c r="B17249" t="s">
        <v>14310</v>
      </c>
      <c r="C17249" t="s">
        <v>14311</v>
      </c>
      <c r="D17249" t="str">
        <f>"4542"</f>
        <v>4542</v>
      </c>
      <c r="E17249" t="s">
        <v>220</v>
      </c>
      <c r="F17249" t="s">
        <v>3558</v>
      </c>
      <c r="G17249" t="s">
        <v>47091</v>
      </c>
      <c r="H17249" t="s">
        <v>47055</v>
      </c>
      <c r="I17249" t="s">
        <v>47127</v>
      </c>
      <c r="J17249" t="s">
        <v>47128</v>
      </c>
      <c r="K17249" t="s">
        <v>47113</v>
      </c>
      <c r="L17249">
        <v>13.37</v>
      </c>
      <c r="M17249">
        <v>29</v>
      </c>
      <c r="N17249">
        <v>0</v>
      </c>
      <c r="O17249">
        <v>29</v>
      </c>
      <c r="P17249">
        <v>0</v>
      </c>
    </row>
    <row r="17250" spans="1:16" x14ac:dyDescent="0.25">
      <c r="A17250" t="s">
        <v>39849</v>
      </c>
      <c r="B17250" t="s">
        <v>14310</v>
      </c>
      <c r="C17250" t="s">
        <v>14311</v>
      </c>
      <c r="D17250" t="str">
        <f>"4645"</f>
        <v>4645</v>
      </c>
      <c r="E17250" t="s">
        <v>9770</v>
      </c>
      <c r="F17250" t="s">
        <v>3558</v>
      </c>
      <c r="G17250" t="s">
        <v>47091</v>
      </c>
      <c r="H17250" t="s">
        <v>47055</v>
      </c>
      <c r="I17250" t="s">
        <v>47127</v>
      </c>
      <c r="J17250" t="s">
        <v>47128</v>
      </c>
      <c r="K17250" t="s">
        <v>47113</v>
      </c>
      <c r="L17250">
        <v>13.37</v>
      </c>
      <c r="M17250">
        <v>29</v>
      </c>
      <c r="N17250">
        <v>0</v>
      </c>
      <c r="O17250">
        <v>29</v>
      </c>
      <c r="P17250">
        <v>0</v>
      </c>
    </row>
    <row r="17251" spans="1:16" x14ac:dyDescent="0.25">
      <c r="A17251" t="s">
        <v>39850</v>
      </c>
      <c r="B17251" t="s">
        <v>14310</v>
      </c>
      <c r="C17251" t="s">
        <v>14311</v>
      </c>
      <c r="D17251" t="str">
        <f>"5301"</f>
        <v>5301</v>
      </c>
      <c r="E17251" t="s">
        <v>1940</v>
      </c>
      <c r="F17251" t="s">
        <v>3558</v>
      </c>
      <c r="G17251" t="s">
        <v>47091</v>
      </c>
      <c r="H17251" t="s">
        <v>47055</v>
      </c>
      <c r="I17251" t="s">
        <v>47127</v>
      </c>
      <c r="J17251" t="s">
        <v>47128</v>
      </c>
      <c r="K17251" t="s">
        <v>47113</v>
      </c>
      <c r="L17251">
        <v>14.38</v>
      </c>
      <c r="M17251">
        <v>29</v>
      </c>
      <c r="N17251">
        <v>0</v>
      </c>
      <c r="O17251">
        <v>29</v>
      </c>
      <c r="P17251">
        <v>0</v>
      </c>
    </row>
    <row r="17252" spans="1:16" x14ac:dyDescent="0.25">
      <c r="A17252" t="s">
        <v>39851</v>
      </c>
      <c r="B17252" t="s">
        <v>14310</v>
      </c>
      <c r="C17252" t="s">
        <v>14311</v>
      </c>
      <c r="D17252" t="str">
        <f>"6081"</f>
        <v>6081</v>
      </c>
      <c r="E17252" t="s">
        <v>11010</v>
      </c>
      <c r="F17252" t="s">
        <v>3558</v>
      </c>
      <c r="G17252" t="s">
        <v>47091</v>
      </c>
      <c r="H17252" t="s">
        <v>47055</v>
      </c>
      <c r="I17252" t="s">
        <v>47127</v>
      </c>
      <c r="J17252" t="s">
        <v>47128</v>
      </c>
      <c r="K17252" t="s">
        <v>47113</v>
      </c>
      <c r="L17252">
        <v>13.37</v>
      </c>
      <c r="M17252">
        <v>29</v>
      </c>
      <c r="N17252">
        <v>0</v>
      </c>
      <c r="O17252">
        <v>29</v>
      </c>
      <c r="P17252">
        <v>0</v>
      </c>
    </row>
    <row r="17253" spans="1:16" x14ac:dyDescent="0.25">
      <c r="A17253" t="s">
        <v>39852</v>
      </c>
      <c r="B17253" t="s">
        <v>14310</v>
      </c>
      <c r="C17253" t="s">
        <v>14311</v>
      </c>
      <c r="D17253" t="str">
        <f>"8206"</f>
        <v>8206</v>
      </c>
      <c r="E17253" t="s">
        <v>14203</v>
      </c>
      <c r="F17253" t="s">
        <v>3558</v>
      </c>
      <c r="G17253" t="s">
        <v>47091</v>
      </c>
      <c r="H17253" t="s">
        <v>47055</v>
      </c>
      <c r="I17253" t="s">
        <v>47127</v>
      </c>
      <c r="J17253" t="s">
        <v>47128</v>
      </c>
      <c r="K17253" t="s">
        <v>47113</v>
      </c>
      <c r="L17253">
        <v>13.37</v>
      </c>
      <c r="M17253">
        <v>29</v>
      </c>
      <c r="N17253">
        <v>0</v>
      </c>
      <c r="O17253">
        <v>29</v>
      </c>
      <c r="P17253">
        <v>0</v>
      </c>
    </row>
    <row r="17254" spans="1:16" x14ac:dyDescent="0.25">
      <c r="A17254" t="s">
        <v>39853</v>
      </c>
      <c r="B17254" t="s">
        <v>14312</v>
      </c>
      <c r="C17254" t="s">
        <v>14313</v>
      </c>
      <c r="D17254" t="str">
        <f>"1106"</f>
        <v>1106</v>
      </c>
      <c r="E17254" t="s">
        <v>460</v>
      </c>
      <c r="F17254" t="s">
        <v>3558</v>
      </c>
      <c r="G17254" t="s">
        <v>47091</v>
      </c>
      <c r="H17254" t="s">
        <v>47055</v>
      </c>
      <c r="I17254" t="s">
        <v>47127</v>
      </c>
      <c r="J17254" t="s">
        <v>47128</v>
      </c>
      <c r="K17254" t="s">
        <v>47113</v>
      </c>
      <c r="L17254">
        <v>13.01</v>
      </c>
      <c r="M17254">
        <v>29</v>
      </c>
      <c r="N17254">
        <v>0</v>
      </c>
      <c r="O17254">
        <v>29</v>
      </c>
      <c r="P17254">
        <v>0</v>
      </c>
    </row>
    <row r="17255" spans="1:16" x14ac:dyDescent="0.25">
      <c r="A17255" t="s">
        <v>39854</v>
      </c>
      <c r="B17255" t="s">
        <v>14312</v>
      </c>
      <c r="C17255" t="s">
        <v>14313</v>
      </c>
      <c r="D17255" t="str">
        <f>"1377"</f>
        <v>1377</v>
      </c>
      <c r="E17255" t="s">
        <v>74</v>
      </c>
      <c r="F17255" t="s">
        <v>3558</v>
      </c>
      <c r="G17255" t="s">
        <v>47091</v>
      </c>
      <c r="H17255" t="s">
        <v>47055</v>
      </c>
      <c r="I17255" t="s">
        <v>47127</v>
      </c>
      <c r="J17255" t="s">
        <v>47128</v>
      </c>
      <c r="K17255" t="s">
        <v>47113</v>
      </c>
      <c r="L17255">
        <v>13.01</v>
      </c>
      <c r="M17255">
        <v>29</v>
      </c>
      <c r="N17255">
        <v>0</v>
      </c>
      <c r="O17255">
        <v>29</v>
      </c>
      <c r="P17255">
        <v>0</v>
      </c>
    </row>
    <row r="17256" spans="1:16" x14ac:dyDescent="0.25">
      <c r="A17256" t="s">
        <v>39855</v>
      </c>
      <c r="B17256" t="s">
        <v>14312</v>
      </c>
      <c r="C17256" t="s">
        <v>14313</v>
      </c>
      <c r="D17256" t="str">
        <f>"1378"</f>
        <v>1378</v>
      </c>
      <c r="E17256" t="s">
        <v>388</v>
      </c>
      <c r="F17256" t="s">
        <v>3558</v>
      </c>
      <c r="G17256" t="s">
        <v>47091</v>
      </c>
      <c r="H17256" t="s">
        <v>47055</v>
      </c>
      <c r="I17256" t="s">
        <v>47127</v>
      </c>
      <c r="J17256" t="s">
        <v>47128</v>
      </c>
      <c r="K17256" t="s">
        <v>47113</v>
      </c>
      <c r="L17256">
        <v>13.01</v>
      </c>
      <c r="M17256">
        <v>29</v>
      </c>
      <c r="N17256">
        <v>0</v>
      </c>
      <c r="O17256">
        <v>29</v>
      </c>
      <c r="P17256">
        <v>0</v>
      </c>
    </row>
    <row r="17257" spans="1:16" x14ac:dyDescent="0.25">
      <c r="A17257" t="s">
        <v>39856</v>
      </c>
      <c r="B17257" t="s">
        <v>14312</v>
      </c>
      <c r="C17257" t="s">
        <v>14313</v>
      </c>
      <c r="D17257" t="str">
        <f>"1700"</f>
        <v>1700</v>
      </c>
      <c r="E17257" t="s">
        <v>60</v>
      </c>
      <c r="F17257" t="s">
        <v>3558</v>
      </c>
      <c r="G17257" t="s">
        <v>47091</v>
      </c>
      <c r="H17257" t="s">
        <v>47055</v>
      </c>
      <c r="I17257" t="s">
        <v>47127</v>
      </c>
      <c r="J17257" t="s">
        <v>47128</v>
      </c>
      <c r="K17257" t="s">
        <v>47113</v>
      </c>
      <c r="L17257">
        <v>13.01</v>
      </c>
      <c r="M17257">
        <v>29</v>
      </c>
      <c r="N17257">
        <v>0</v>
      </c>
      <c r="O17257">
        <v>29</v>
      </c>
      <c r="P17257">
        <v>0</v>
      </c>
    </row>
    <row r="17258" spans="1:16" x14ac:dyDescent="0.25">
      <c r="A17258" t="s">
        <v>39857</v>
      </c>
      <c r="B17258" t="s">
        <v>14312</v>
      </c>
      <c r="C17258" t="s">
        <v>14313</v>
      </c>
      <c r="D17258" t="str">
        <f>"4542"</f>
        <v>4542</v>
      </c>
      <c r="E17258" t="s">
        <v>220</v>
      </c>
      <c r="F17258" t="s">
        <v>3558</v>
      </c>
      <c r="G17258" t="s">
        <v>47091</v>
      </c>
      <c r="H17258" t="s">
        <v>47055</v>
      </c>
      <c r="I17258" t="s">
        <v>47127</v>
      </c>
      <c r="J17258" t="s">
        <v>47128</v>
      </c>
      <c r="K17258" t="s">
        <v>47113</v>
      </c>
      <c r="L17258">
        <v>13.01</v>
      </c>
      <c r="M17258">
        <v>29</v>
      </c>
      <c r="N17258">
        <v>0</v>
      </c>
      <c r="O17258">
        <v>29</v>
      </c>
      <c r="P17258">
        <v>0</v>
      </c>
    </row>
    <row r="17259" spans="1:16" x14ac:dyDescent="0.25">
      <c r="A17259" t="s">
        <v>39858</v>
      </c>
      <c r="B17259" t="s">
        <v>14312</v>
      </c>
      <c r="C17259" t="s">
        <v>14313</v>
      </c>
      <c r="D17259" t="str">
        <f>"4643"</f>
        <v>4643</v>
      </c>
      <c r="E17259" t="s">
        <v>205</v>
      </c>
      <c r="F17259" t="s">
        <v>3558</v>
      </c>
      <c r="G17259" t="s">
        <v>47091</v>
      </c>
      <c r="H17259" t="s">
        <v>47055</v>
      </c>
      <c r="I17259" t="s">
        <v>47127</v>
      </c>
      <c r="J17259" t="s">
        <v>47128</v>
      </c>
      <c r="K17259" t="s">
        <v>47113</v>
      </c>
      <c r="L17259">
        <v>13.01</v>
      </c>
      <c r="M17259">
        <v>29</v>
      </c>
      <c r="N17259">
        <v>0</v>
      </c>
      <c r="O17259">
        <v>29</v>
      </c>
      <c r="P17259">
        <v>0</v>
      </c>
    </row>
    <row r="17260" spans="1:16" x14ac:dyDescent="0.25">
      <c r="A17260" t="s">
        <v>39859</v>
      </c>
      <c r="B17260" t="s">
        <v>14312</v>
      </c>
      <c r="C17260" t="s">
        <v>14313</v>
      </c>
      <c r="D17260" t="str">
        <f>"5301"</f>
        <v>5301</v>
      </c>
      <c r="E17260" t="s">
        <v>1940</v>
      </c>
      <c r="F17260" t="s">
        <v>3558</v>
      </c>
      <c r="G17260" t="s">
        <v>47091</v>
      </c>
      <c r="H17260" t="s">
        <v>47055</v>
      </c>
      <c r="I17260" t="s">
        <v>47127</v>
      </c>
      <c r="J17260" t="s">
        <v>47128</v>
      </c>
      <c r="K17260" t="s">
        <v>47113</v>
      </c>
      <c r="L17260">
        <v>13.01</v>
      </c>
      <c r="M17260">
        <v>29</v>
      </c>
      <c r="N17260">
        <v>0</v>
      </c>
      <c r="O17260">
        <v>29</v>
      </c>
      <c r="P17260">
        <v>0</v>
      </c>
    </row>
    <row r="17261" spans="1:16" x14ac:dyDescent="0.25">
      <c r="A17261" t="s">
        <v>39860</v>
      </c>
      <c r="B17261" t="s">
        <v>14314</v>
      </c>
      <c r="C17261" t="s">
        <v>14315</v>
      </c>
      <c r="D17261" t="str">
        <f>"1106"</f>
        <v>1106</v>
      </c>
      <c r="E17261" t="s">
        <v>460</v>
      </c>
      <c r="F17261" t="s">
        <v>3558</v>
      </c>
      <c r="G17261" t="s">
        <v>47092</v>
      </c>
      <c r="H17261" t="s">
        <v>47055</v>
      </c>
      <c r="I17261" t="s">
        <v>47127</v>
      </c>
      <c r="J17261" t="s">
        <v>47128</v>
      </c>
      <c r="K17261" t="s">
        <v>47113</v>
      </c>
      <c r="L17261">
        <v>11.34</v>
      </c>
      <c r="M17261">
        <v>25</v>
      </c>
      <c r="N17261">
        <v>0</v>
      </c>
      <c r="O17261">
        <v>25</v>
      </c>
      <c r="P17261">
        <v>0</v>
      </c>
    </row>
    <row r="17262" spans="1:16" x14ac:dyDescent="0.25">
      <c r="A17262" t="s">
        <v>39861</v>
      </c>
      <c r="B17262" t="s">
        <v>14314</v>
      </c>
      <c r="C17262" t="s">
        <v>14315</v>
      </c>
      <c r="D17262" t="str">
        <f>"1377"</f>
        <v>1377</v>
      </c>
      <c r="E17262" t="s">
        <v>74</v>
      </c>
      <c r="F17262" t="s">
        <v>3558</v>
      </c>
      <c r="G17262" t="s">
        <v>47092</v>
      </c>
      <c r="H17262" t="s">
        <v>47055</v>
      </c>
      <c r="I17262" t="s">
        <v>47127</v>
      </c>
      <c r="J17262" t="s">
        <v>47128</v>
      </c>
      <c r="K17262" t="s">
        <v>47113</v>
      </c>
      <c r="L17262">
        <v>11.34</v>
      </c>
      <c r="M17262">
        <v>25</v>
      </c>
      <c r="N17262">
        <v>0</v>
      </c>
      <c r="O17262">
        <v>25</v>
      </c>
      <c r="P17262">
        <v>0</v>
      </c>
    </row>
    <row r="17263" spans="1:16" x14ac:dyDescent="0.25">
      <c r="A17263" t="s">
        <v>39862</v>
      </c>
      <c r="B17263" t="s">
        <v>14314</v>
      </c>
      <c r="C17263" t="s">
        <v>14315</v>
      </c>
      <c r="D17263" t="str">
        <f>"1378"</f>
        <v>1378</v>
      </c>
      <c r="E17263" t="s">
        <v>388</v>
      </c>
      <c r="F17263" t="s">
        <v>3558</v>
      </c>
      <c r="G17263" t="s">
        <v>47092</v>
      </c>
      <c r="H17263" t="s">
        <v>47055</v>
      </c>
      <c r="I17263" t="s">
        <v>47127</v>
      </c>
      <c r="J17263" t="s">
        <v>47128</v>
      </c>
      <c r="K17263" t="s">
        <v>47113</v>
      </c>
      <c r="L17263">
        <v>11.34</v>
      </c>
      <c r="M17263">
        <v>25</v>
      </c>
      <c r="N17263">
        <v>0</v>
      </c>
      <c r="O17263">
        <v>25</v>
      </c>
      <c r="P17263">
        <v>0</v>
      </c>
    </row>
    <row r="17264" spans="1:16" x14ac:dyDescent="0.25">
      <c r="A17264" t="s">
        <v>39863</v>
      </c>
      <c r="B17264" t="s">
        <v>14314</v>
      </c>
      <c r="C17264" t="s">
        <v>14315</v>
      </c>
      <c r="D17264" t="str">
        <f>"1700"</f>
        <v>1700</v>
      </c>
      <c r="E17264" t="s">
        <v>60</v>
      </c>
      <c r="F17264" t="s">
        <v>3558</v>
      </c>
      <c r="G17264" t="s">
        <v>47092</v>
      </c>
      <c r="H17264" t="s">
        <v>47055</v>
      </c>
      <c r="I17264" t="s">
        <v>47127</v>
      </c>
      <c r="J17264" t="s">
        <v>47128</v>
      </c>
      <c r="K17264" t="s">
        <v>47113</v>
      </c>
      <c r="L17264">
        <v>11.34</v>
      </c>
      <c r="M17264">
        <v>25</v>
      </c>
      <c r="N17264">
        <v>0</v>
      </c>
      <c r="O17264">
        <v>25</v>
      </c>
      <c r="P17264">
        <v>0</v>
      </c>
    </row>
    <row r="17265" spans="1:16" x14ac:dyDescent="0.25">
      <c r="A17265" t="s">
        <v>39864</v>
      </c>
      <c r="B17265" t="s">
        <v>14314</v>
      </c>
      <c r="C17265" t="s">
        <v>14315</v>
      </c>
      <c r="D17265" t="str">
        <f>"4542"</f>
        <v>4542</v>
      </c>
      <c r="E17265" t="s">
        <v>220</v>
      </c>
      <c r="F17265" t="s">
        <v>3558</v>
      </c>
      <c r="G17265" t="s">
        <v>47092</v>
      </c>
      <c r="H17265" t="s">
        <v>47055</v>
      </c>
      <c r="I17265" t="s">
        <v>47127</v>
      </c>
      <c r="J17265" t="s">
        <v>47128</v>
      </c>
      <c r="K17265" t="s">
        <v>47113</v>
      </c>
      <c r="L17265">
        <v>11.34</v>
      </c>
      <c r="M17265">
        <v>25</v>
      </c>
      <c r="N17265">
        <v>0</v>
      </c>
      <c r="O17265">
        <v>25</v>
      </c>
      <c r="P17265">
        <v>0</v>
      </c>
    </row>
    <row r="17266" spans="1:16" x14ac:dyDescent="0.25">
      <c r="A17266" t="s">
        <v>39865</v>
      </c>
      <c r="B17266" t="s">
        <v>14314</v>
      </c>
      <c r="C17266" t="s">
        <v>14315</v>
      </c>
      <c r="D17266" t="str">
        <f>"4643"</f>
        <v>4643</v>
      </c>
      <c r="E17266" t="s">
        <v>205</v>
      </c>
      <c r="F17266" t="s">
        <v>3558</v>
      </c>
      <c r="G17266" t="s">
        <v>47092</v>
      </c>
      <c r="H17266" t="s">
        <v>47055</v>
      </c>
      <c r="I17266" t="s">
        <v>47127</v>
      </c>
      <c r="J17266" t="s">
        <v>47128</v>
      </c>
      <c r="K17266" t="s">
        <v>47113</v>
      </c>
      <c r="L17266">
        <v>11.34</v>
      </c>
      <c r="M17266">
        <v>25</v>
      </c>
      <c r="N17266">
        <v>0</v>
      </c>
      <c r="O17266">
        <v>25</v>
      </c>
      <c r="P17266">
        <v>0</v>
      </c>
    </row>
    <row r="17267" spans="1:16" x14ac:dyDescent="0.25">
      <c r="A17267" t="s">
        <v>39866</v>
      </c>
      <c r="B17267" t="s">
        <v>14314</v>
      </c>
      <c r="C17267" t="s">
        <v>14315</v>
      </c>
      <c r="D17267" t="str">
        <f>"5301"</f>
        <v>5301</v>
      </c>
      <c r="E17267" t="s">
        <v>1940</v>
      </c>
      <c r="F17267" t="s">
        <v>3558</v>
      </c>
      <c r="G17267" t="s">
        <v>47092</v>
      </c>
      <c r="H17267" t="s">
        <v>47055</v>
      </c>
      <c r="I17267" t="s">
        <v>47127</v>
      </c>
      <c r="J17267" t="s">
        <v>47128</v>
      </c>
      <c r="K17267" t="s">
        <v>47113</v>
      </c>
      <c r="L17267">
        <v>11.34</v>
      </c>
      <c r="M17267">
        <v>25</v>
      </c>
      <c r="N17267">
        <v>0</v>
      </c>
      <c r="O17267">
        <v>25</v>
      </c>
      <c r="P17267">
        <v>0</v>
      </c>
    </row>
    <row r="17268" spans="1:16" x14ac:dyDescent="0.25">
      <c r="A17268" t="s">
        <v>39867</v>
      </c>
      <c r="B17268" t="s">
        <v>14316</v>
      </c>
      <c r="C17268" t="s">
        <v>14317</v>
      </c>
      <c r="D17268" t="str">
        <f>"1106"</f>
        <v>1106</v>
      </c>
      <c r="E17268" t="s">
        <v>460</v>
      </c>
      <c r="F17268" t="s">
        <v>3558</v>
      </c>
      <c r="G17268" t="s">
        <v>47092</v>
      </c>
      <c r="H17268" t="s">
        <v>47055</v>
      </c>
      <c r="I17268" t="s">
        <v>47127</v>
      </c>
      <c r="J17268" t="s">
        <v>47128</v>
      </c>
      <c r="K17268" t="s">
        <v>47113</v>
      </c>
      <c r="L17268">
        <v>11.34</v>
      </c>
      <c r="M17268">
        <v>25</v>
      </c>
      <c r="N17268">
        <v>0</v>
      </c>
      <c r="O17268">
        <v>25</v>
      </c>
      <c r="P17268">
        <v>0</v>
      </c>
    </row>
    <row r="17269" spans="1:16" x14ac:dyDescent="0.25">
      <c r="A17269" t="s">
        <v>39868</v>
      </c>
      <c r="B17269" t="s">
        <v>14316</v>
      </c>
      <c r="C17269" t="s">
        <v>14317</v>
      </c>
      <c r="D17269" t="str">
        <f>"1377"</f>
        <v>1377</v>
      </c>
      <c r="E17269" t="s">
        <v>74</v>
      </c>
      <c r="F17269" t="s">
        <v>3558</v>
      </c>
      <c r="G17269" t="s">
        <v>47092</v>
      </c>
      <c r="H17269" t="s">
        <v>47055</v>
      </c>
      <c r="I17269" t="s">
        <v>47127</v>
      </c>
      <c r="J17269" t="s">
        <v>47128</v>
      </c>
      <c r="K17269" t="s">
        <v>47113</v>
      </c>
      <c r="L17269">
        <v>11.34</v>
      </c>
      <c r="M17269">
        <v>25</v>
      </c>
      <c r="N17269">
        <v>0</v>
      </c>
      <c r="O17269">
        <v>25</v>
      </c>
      <c r="P17269">
        <v>0</v>
      </c>
    </row>
    <row r="17270" spans="1:16" x14ac:dyDescent="0.25">
      <c r="A17270" t="s">
        <v>39869</v>
      </c>
      <c r="B17270" t="s">
        <v>14316</v>
      </c>
      <c r="C17270" t="s">
        <v>14317</v>
      </c>
      <c r="D17270" t="str">
        <f>"1378"</f>
        <v>1378</v>
      </c>
      <c r="E17270" t="s">
        <v>388</v>
      </c>
      <c r="F17270" t="s">
        <v>3558</v>
      </c>
      <c r="G17270" t="s">
        <v>47092</v>
      </c>
      <c r="H17270" t="s">
        <v>47055</v>
      </c>
      <c r="I17270" t="s">
        <v>47127</v>
      </c>
      <c r="J17270" t="s">
        <v>47128</v>
      </c>
      <c r="K17270" t="s">
        <v>47113</v>
      </c>
      <c r="L17270">
        <v>11.34</v>
      </c>
      <c r="M17270">
        <v>25</v>
      </c>
      <c r="N17270">
        <v>0</v>
      </c>
      <c r="O17270">
        <v>25</v>
      </c>
      <c r="P17270">
        <v>0</v>
      </c>
    </row>
    <row r="17271" spans="1:16" x14ac:dyDescent="0.25">
      <c r="A17271" t="s">
        <v>39870</v>
      </c>
      <c r="B17271" t="s">
        <v>14316</v>
      </c>
      <c r="C17271" t="s">
        <v>14317</v>
      </c>
      <c r="D17271" t="str">
        <f>"1700"</f>
        <v>1700</v>
      </c>
      <c r="E17271" t="s">
        <v>60</v>
      </c>
      <c r="F17271" t="s">
        <v>3558</v>
      </c>
      <c r="G17271" t="s">
        <v>47092</v>
      </c>
      <c r="H17271" t="s">
        <v>47055</v>
      </c>
      <c r="I17271" t="s">
        <v>47127</v>
      </c>
      <c r="J17271" t="s">
        <v>47128</v>
      </c>
      <c r="K17271" t="s">
        <v>47113</v>
      </c>
      <c r="L17271">
        <v>11.34</v>
      </c>
      <c r="M17271">
        <v>25</v>
      </c>
      <c r="N17271">
        <v>0</v>
      </c>
      <c r="O17271">
        <v>25</v>
      </c>
      <c r="P17271">
        <v>0</v>
      </c>
    </row>
    <row r="17272" spans="1:16" x14ac:dyDescent="0.25">
      <c r="A17272" t="s">
        <v>39871</v>
      </c>
      <c r="B17272" t="s">
        <v>14316</v>
      </c>
      <c r="C17272" t="s">
        <v>14317</v>
      </c>
      <c r="D17272" t="str">
        <f>"1889"</f>
        <v>1889</v>
      </c>
      <c r="E17272" t="s">
        <v>7101</v>
      </c>
      <c r="F17272" t="s">
        <v>3558</v>
      </c>
      <c r="G17272" t="s">
        <v>47092</v>
      </c>
      <c r="H17272" t="s">
        <v>47055</v>
      </c>
      <c r="I17272" t="s">
        <v>47127</v>
      </c>
      <c r="J17272" t="s">
        <v>47128</v>
      </c>
      <c r="K17272" t="s">
        <v>47113</v>
      </c>
      <c r="L17272">
        <v>11.34</v>
      </c>
      <c r="M17272">
        <v>25</v>
      </c>
      <c r="N17272">
        <v>0</v>
      </c>
      <c r="O17272">
        <v>25</v>
      </c>
      <c r="P17272">
        <v>0</v>
      </c>
    </row>
    <row r="17273" spans="1:16" x14ac:dyDescent="0.25">
      <c r="A17273" t="s">
        <v>39872</v>
      </c>
      <c r="B17273" t="s">
        <v>14316</v>
      </c>
      <c r="C17273" t="s">
        <v>14317</v>
      </c>
      <c r="D17273" t="str">
        <f>"4542"</f>
        <v>4542</v>
      </c>
      <c r="E17273" t="s">
        <v>220</v>
      </c>
      <c r="F17273" t="s">
        <v>3558</v>
      </c>
      <c r="G17273" t="s">
        <v>47092</v>
      </c>
      <c r="H17273" t="s">
        <v>47055</v>
      </c>
      <c r="I17273" t="s">
        <v>47127</v>
      </c>
      <c r="J17273" t="s">
        <v>47128</v>
      </c>
      <c r="K17273" t="s">
        <v>47113</v>
      </c>
      <c r="L17273">
        <v>11.34</v>
      </c>
      <c r="M17273">
        <v>25</v>
      </c>
      <c r="N17273">
        <v>0</v>
      </c>
      <c r="O17273">
        <v>25</v>
      </c>
      <c r="P17273">
        <v>0</v>
      </c>
    </row>
    <row r="17274" spans="1:16" x14ac:dyDescent="0.25">
      <c r="A17274" t="s">
        <v>39873</v>
      </c>
      <c r="B17274" t="s">
        <v>14316</v>
      </c>
      <c r="C17274" t="s">
        <v>14317</v>
      </c>
      <c r="D17274" t="str">
        <f>"4643"</f>
        <v>4643</v>
      </c>
      <c r="E17274" t="s">
        <v>205</v>
      </c>
      <c r="F17274" t="s">
        <v>3558</v>
      </c>
      <c r="G17274" t="s">
        <v>47092</v>
      </c>
      <c r="H17274" t="s">
        <v>47055</v>
      </c>
      <c r="I17274" t="s">
        <v>47127</v>
      </c>
      <c r="J17274" t="s">
        <v>47128</v>
      </c>
      <c r="K17274" t="s">
        <v>47113</v>
      </c>
      <c r="L17274">
        <v>11.34</v>
      </c>
      <c r="M17274">
        <v>25</v>
      </c>
      <c r="N17274">
        <v>0</v>
      </c>
      <c r="O17274">
        <v>25</v>
      </c>
      <c r="P17274">
        <v>0</v>
      </c>
    </row>
    <row r="17275" spans="1:16" x14ac:dyDescent="0.25">
      <c r="A17275" t="s">
        <v>39874</v>
      </c>
      <c r="B17275" t="s">
        <v>14316</v>
      </c>
      <c r="C17275" t="s">
        <v>14317</v>
      </c>
      <c r="D17275" t="str">
        <f>"5301"</f>
        <v>5301</v>
      </c>
      <c r="E17275" t="s">
        <v>1940</v>
      </c>
      <c r="F17275" t="s">
        <v>3558</v>
      </c>
      <c r="G17275" t="s">
        <v>47092</v>
      </c>
      <c r="H17275" t="s">
        <v>47055</v>
      </c>
      <c r="I17275" t="s">
        <v>47127</v>
      </c>
      <c r="J17275" t="s">
        <v>47128</v>
      </c>
      <c r="K17275" t="s">
        <v>47113</v>
      </c>
      <c r="L17275">
        <v>11.34</v>
      </c>
      <c r="M17275">
        <v>25</v>
      </c>
      <c r="N17275">
        <v>0</v>
      </c>
      <c r="O17275">
        <v>25</v>
      </c>
      <c r="P17275">
        <v>0</v>
      </c>
    </row>
    <row r="17276" spans="1:16" x14ac:dyDescent="0.25">
      <c r="A17276" t="s">
        <v>39875</v>
      </c>
      <c r="B17276" t="s">
        <v>14318</v>
      </c>
      <c r="C17276" t="s">
        <v>14319</v>
      </c>
      <c r="D17276" t="str">
        <f>"1106"</f>
        <v>1106</v>
      </c>
      <c r="E17276" t="s">
        <v>460</v>
      </c>
      <c r="F17276" t="s">
        <v>3558</v>
      </c>
      <c r="G17276" t="s">
        <v>47091</v>
      </c>
      <c r="H17276" t="s">
        <v>47055</v>
      </c>
      <c r="I17276" t="s">
        <v>47127</v>
      </c>
      <c r="J17276" t="s">
        <v>47128</v>
      </c>
      <c r="K17276" t="s">
        <v>47113</v>
      </c>
      <c r="L17276">
        <v>13.01</v>
      </c>
      <c r="M17276">
        <v>29</v>
      </c>
      <c r="N17276">
        <v>0</v>
      </c>
      <c r="O17276">
        <v>29</v>
      </c>
      <c r="P17276">
        <v>0</v>
      </c>
    </row>
    <row r="17277" spans="1:16" x14ac:dyDescent="0.25">
      <c r="A17277" t="s">
        <v>39876</v>
      </c>
      <c r="B17277" t="s">
        <v>14318</v>
      </c>
      <c r="C17277" t="s">
        <v>14319</v>
      </c>
      <c r="D17277" t="str">
        <f>"1377"</f>
        <v>1377</v>
      </c>
      <c r="E17277" t="s">
        <v>74</v>
      </c>
      <c r="F17277" t="s">
        <v>3558</v>
      </c>
      <c r="G17277" t="s">
        <v>47091</v>
      </c>
      <c r="H17277" t="s">
        <v>47055</v>
      </c>
      <c r="I17277" t="s">
        <v>47127</v>
      </c>
      <c r="J17277" t="s">
        <v>47128</v>
      </c>
      <c r="K17277" t="s">
        <v>47113</v>
      </c>
      <c r="L17277">
        <v>13.01</v>
      </c>
      <c r="M17277">
        <v>29</v>
      </c>
      <c r="N17277">
        <v>0</v>
      </c>
      <c r="O17277">
        <v>29</v>
      </c>
      <c r="P17277">
        <v>0</v>
      </c>
    </row>
    <row r="17278" spans="1:16" x14ac:dyDescent="0.25">
      <c r="A17278" t="s">
        <v>39877</v>
      </c>
      <c r="B17278" t="s">
        <v>14318</v>
      </c>
      <c r="C17278" t="s">
        <v>14319</v>
      </c>
      <c r="D17278" t="str">
        <f>"1378"</f>
        <v>1378</v>
      </c>
      <c r="E17278" t="s">
        <v>388</v>
      </c>
      <c r="F17278" t="s">
        <v>3558</v>
      </c>
      <c r="G17278" t="s">
        <v>47091</v>
      </c>
      <c r="H17278" t="s">
        <v>47055</v>
      </c>
      <c r="I17278" t="s">
        <v>47127</v>
      </c>
      <c r="J17278" t="s">
        <v>47128</v>
      </c>
      <c r="K17278" t="s">
        <v>47113</v>
      </c>
      <c r="L17278">
        <v>13.01</v>
      </c>
      <c r="M17278">
        <v>29</v>
      </c>
      <c r="N17278">
        <v>0</v>
      </c>
      <c r="O17278">
        <v>29</v>
      </c>
      <c r="P17278">
        <v>0</v>
      </c>
    </row>
    <row r="17279" spans="1:16" x14ac:dyDescent="0.25">
      <c r="A17279" t="s">
        <v>39878</v>
      </c>
      <c r="B17279" t="s">
        <v>14318</v>
      </c>
      <c r="C17279" t="s">
        <v>14319</v>
      </c>
      <c r="D17279" t="str">
        <f>"1700"</f>
        <v>1700</v>
      </c>
      <c r="E17279" t="s">
        <v>60</v>
      </c>
      <c r="F17279" t="s">
        <v>3558</v>
      </c>
      <c r="G17279" t="s">
        <v>47091</v>
      </c>
      <c r="H17279" t="s">
        <v>47055</v>
      </c>
      <c r="I17279" t="s">
        <v>47127</v>
      </c>
      <c r="J17279" t="s">
        <v>47128</v>
      </c>
      <c r="K17279" t="s">
        <v>47113</v>
      </c>
      <c r="L17279">
        <v>16.48</v>
      </c>
      <c r="M17279">
        <v>29</v>
      </c>
      <c r="N17279">
        <v>0</v>
      </c>
      <c r="O17279">
        <v>29</v>
      </c>
      <c r="P17279">
        <v>0</v>
      </c>
    </row>
    <row r="17280" spans="1:16" x14ac:dyDescent="0.25">
      <c r="A17280" t="s">
        <v>39879</v>
      </c>
      <c r="B17280" t="s">
        <v>14318</v>
      </c>
      <c r="C17280" t="s">
        <v>14319</v>
      </c>
      <c r="D17280" t="str">
        <f>"1889"</f>
        <v>1889</v>
      </c>
      <c r="E17280" t="s">
        <v>7101</v>
      </c>
      <c r="F17280" t="s">
        <v>3558</v>
      </c>
      <c r="G17280" t="s">
        <v>47091</v>
      </c>
      <c r="H17280" t="s">
        <v>47055</v>
      </c>
      <c r="I17280" t="s">
        <v>47127</v>
      </c>
      <c r="J17280" t="s">
        <v>47128</v>
      </c>
      <c r="K17280" t="s">
        <v>47113</v>
      </c>
      <c r="L17280">
        <v>16.48</v>
      </c>
      <c r="M17280">
        <v>29</v>
      </c>
      <c r="N17280">
        <v>0</v>
      </c>
      <c r="O17280">
        <v>29</v>
      </c>
      <c r="P17280">
        <v>0</v>
      </c>
    </row>
    <row r="17281" spans="1:16" x14ac:dyDescent="0.25">
      <c r="A17281" t="s">
        <v>39880</v>
      </c>
      <c r="B17281" t="s">
        <v>14318</v>
      </c>
      <c r="C17281" t="s">
        <v>14319</v>
      </c>
      <c r="D17281" t="str">
        <f>"4542"</f>
        <v>4542</v>
      </c>
      <c r="E17281" t="s">
        <v>220</v>
      </c>
      <c r="F17281" t="s">
        <v>3558</v>
      </c>
      <c r="G17281" t="s">
        <v>47091</v>
      </c>
      <c r="H17281" t="s">
        <v>47055</v>
      </c>
      <c r="I17281" t="s">
        <v>47127</v>
      </c>
      <c r="J17281" t="s">
        <v>47128</v>
      </c>
      <c r="K17281" t="s">
        <v>47113</v>
      </c>
      <c r="L17281">
        <v>13.01</v>
      </c>
      <c r="M17281">
        <v>29</v>
      </c>
      <c r="N17281">
        <v>0</v>
      </c>
      <c r="O17281">
        <v>29</v>
      </c>
      <c r="P17281">
        <v>0</v>
      </c>
    </row>
    <row r="17282" spans="1:16" x14ac:dyDescent="0.25">
      <c r="A17282" t="s">
        <v>39881</v>
      </c>
      <c r="B17282" t="s">
        <v>14318</v>
      </c>
      <c r="C17282" t="s">
        <v>14319</v>
      </c>
      <c r="D17282" t="str">
        <f>"4643"</f>
        <v>4643</v>
      </c>
      <c r="E17282" t="s">
        <v>205</v>
      </c>
      <c r="F17282" t="s">
        <v>3558</v>
      </c>
      <c r="G17282" t="s">
        <v>47091</v>
      </c>
      <c r="H17282" t="s">
        <v>47055</v>
      </c>
      <c r="I17282" t="s">
        <v>47127</v>
      </c>
      <c r="J17282" t="s">
        <v>47128</v>
      </c>
      <c r="K17282" t="s">
        <v>47113</v>
      </c>
      <c r="L17282">
        <v>13.01</v>
      </c>
      <c r="M17282">
        <v>29</v>
      </c>
      <c r="N17282">
        <v>0</v>
      </c>
      <c r="O17282">
        <v>29</v>
      </c>
      <c r="P17282">
        <v>0</v>
      </c>
    </row>
    <row r="17283" spans="1:16" x14ac:dyDescent="0.25">
      <c r="A17283" t="s">
        <v>39882</v>
      </c>
      <c r="B17283" t="s">
        <v>14318</v>
      </c>
      <c r="C17283" t="s">
        <v>14319</v>
      </c>
      <c r="D17283" t="str">
        <f>"5301"</f>
        <v>5301</v>
      </c>
      <c r="E17283" t="s">
        <v>1940</v>
      </c>
      <c r="F17283" t="s">
        <v>3558</v>
      </c>
      <c r="G17283" t="s">
        <v>47091</v>
      </c>
      <c r="H17283" t="s">
        <v>47055</v>
      </c>
      <c r="I17283" t="s">
        <v>47127</v>
      </c>
      <c r="J17283" t="s">
        <v>47128</v>
      </c>
      <c r="K17283" t="s">
        <v>47113</v>
      </c>
      <c r="L17283">
        <v>16.48</v>
      </c>
      <c r="M17283">
        <v>29</v>
      </c>
      <c r="N17283">
        <v>0</v>
      </c>
      <c r="O17283">
        <v>29</v>
      </c>
      <c r="P17283">
        <v>0</v>
      </c>
    </row>
    <row r="17284" spans="1:16" x14ac:dyDescent="0.25">
      <c r="A17284" t="s">
        <v>39883</v>
      </c>
      <c r="B17284" t="s">
        <v>14318</v>
      </c>
      <c r="C17284" t="s">
        <v>14319</v>
      </c>
      <c r="D17284" t="str">
        <f>"6081"</f>
        <v>6081</v>
      </c>
      <c r="E17284" t="s">
        <v>11010</v>
      </c>
      <c r="F17284" t="s">
        <v>3558</v>
      </c>
      <c r="G17284" t="s">
        <v>47091</v>
      </c>
      <c r="H17284" t="s">
        <v>47055</v>
      </c>
      <c r="I17284" t="s">
        <v>47127</v>
      </c>
      <c r="J17284" t="s">
        <v>47128</v>
      </c>
      <c r="K17284" t="s">
        <v>47113</v>
      </c>
      <c r="L17284">
        <v>16.48</v>
      </c>
      <c r="M17284">
        <v>29</v>
      </c>
      <c r="N17284">
        <v>0</v>
      </c>
      <c r="O17284">
        <v>29</v>
      </c>
      <c r="P17284">
        <v>0</v>
      </c>
    </row>
    <row r="17285" spans="1:16" x14ac:dyDescent="0.25">
      <c r="A17285" t="s">
        <v>39884</v>
      </c>
      <c r="B17285" t="s">
        <v>14320</v>
      </c>
      <c r="C17285" t="s">
        <v>14321</v>
      </c>
      <c r="D17285" t="str">
        <f>"1106"</f>
        <v>1106</v>
      </c>
      <c r="E17285" t="s">
        <v>460</v>
      </c>
      <c r="F17285" t="s">
        <v>3558</v>
      </c>
      <c r="G17285" t="s">
        <v>47091</v>
      </c>
      <c r="H17285" t="s">
        <v>47055</v>
      </c>
      <c r="I17285" t="s">
        <v>47127</v>
      </c>
      <c r="J17285" t="s">
        <v>47128</v>
      </c>
      <c r="K17285" t="s">
        <v>47113</v>
      </c>
      <c r="L17285">
        <v>16.48</v>
      </c>
      <c r="M17285">
        <v>25</v>
      </c>
      <c r="N17285">
        <v>0</v>
      </c>
      <c r="O17285">
        <v>25</v>
      </c>
      <c r="P17285">
        <v>0</v>
      </c>
    </row>
    <row r="17286" spans="1:16" x14ac:dyDescent="0.25">
      <c r="A17286" t="s">
        <v>39885</v>
      </c>
      <c r="B17286" t="s">
        <v>14320</v>
      </c>
      <c r="C17286" t="s">
        <v>14321</v>
      </c>
      <c r="D17286" t="str">
        <f>"1377"</f>
        <v>1377</v>
      </c>
      <c r="E17286" t="s">
        <v>74</v>
      </c>
      <c r="F17286" t="s">
        <v>3558</v>
      </c>
      <c r="G17286" t="s">
        <v>47091</v>
      </c>
      <c r="H17286" t="s">
        <v>47055</v>
      </c>
      <c r="I17286" t="s">
        <v>47127</v>
      </c>
      <c r="J17286" t="s">
        <v>47128</v>
      </c>
      <c r="K17286" t="s">
        <v>47113</v>
      </c>
      <c r="L17286">
        <v>16.48</v>
      </c>
      <c r="M17286">
        <v>25</v>
      </c>
      <c r="N17286">
        <v>0</v>
      </c>
      <c r="O17286">
        <v>25</v>
      </c>
      <c r="P17286">
        <v>0</v>
      </c>
    </row>
    <row r="17287" spans="1:16" x14ac:dyDescent="0.25">
      <c r="A17287" t="s">
        <v>39886</v>
      </c>
      <c r="B17287" t="s">
        <v>14320</v>
      </c>
      <c r="C17287" t="s">
        <v>14321</v>
      </c>
      <c r="D17287" t="str">
        <f>"1700"</f>
        <v>1700</v>
      </c>
      <c r="E17287" t="s">
        <v>60</v>
      </c>
      <c r="F17287" t="s">
        <v>3558</v>
      </c>
      <c r="G17287" t="s">
        <v>47091</v>
      </c>
      <c r="H17287" t="s">
        <v>47055</v>
      </c>
      <c r="I17287" t="s">
        <v>47127</v>
      </c>
      <c r="J17287" t="s">
        <v>47128</v>
      </c>
      <c r="K17287" t="s">
        <v>47113</v>
      </c>
      <c r="L17287">
        <v>11.34</v>
      </c>
      <c r="M17287">
        <v>25</v>
      </c>
      <c r="N17287">
        <v>0</v>
      </c>
      <c r="O17287">
        <v>25</v>
      </c>
      <c r="P17287">
        <v>0</v>
      </c>
    </row>
    <row r="17288" spans="1:16" x14ac:dyDescent="0.25">
      <c r="A17288" t="s">
        <v>39887</v>
      </c>
      <c r="B17288" t="s">
        <v>14320</v>
      </c>
      <c r="C17288" t="s">
        <v>14321</v>
      </c>
      <c r="D17288" t="str">
        <f>"1889"</f>
        <v>1889</v>
      </c>
      <c r="E17288" t="s">
        <v>7101</v>
      </c>
      <c r="F17288" t="s">
        <v>3558</v>
      </c>
      <c r="G17288" t="s">
        <v>47091</v>
      </c>
      <c r="H17288" t="s">
        <v>47055</v>
      </c>
      <c r="I17288" t="s">
        <v>47127</v>
      </c>
      <c r="J17288" t="s">
        <v>47128</v>
      </c>
      <c r="K17288" t="s">
        <v>47113</v>
      </c>
      <c r="L17288">
        <v>11.34</v>
      </c>
      <c r="M17288">
        <v>25</v>
      </c>
      <c r="N17288">
        <v>0</v>
      </c>
      <c r="O17288">
        <v>25</v>
      </c>
      <c r="P17288">
        <v>0</v>
      </c>
    </row>
    <row r="17289" spans="1:16" x14ac:dyDescent="0.25">
      <c r="A17289" t="s">
        <v>39888</v>
      </c>
      <c r="B17289" t="s">
        <v>14320</v>
      </c>
      <c r="C17289" t="s">
        <v>14321</v>
      </c>
      <c r="D17289" t="str">
        <f>"4645"</f>
        <v>4645</v>
      </c>
      <c r="E17289" t="s">
        <v>9770</v>
      </c>
      <c r="F17289" t="s">
        <v>3558</v>
      </c>
      <c r="G17289" t="s">
        <v>47091</v>
      </c>
      <c r="H17289" t="s">
        <v>47055</v>
      </c>
      <c r="I17289" t="s">
        <v>47127</v>
      </c>
      <c r="J17289" t="s">
        <v>47128</v>
      </c>
      <c r="K17289" t="s">
        <v>47113</v>
      </c>
      <c r="L17289">
        <v>11.34</v>
      </c>
      <c r="M17289">
        <v>25</v>
      </c>
      <c r="N17289">
        <v>0</v>
      </c>
      <c r="O17289">
        <v>25</v>
      </c>
      <c r="P17289">
        <v>0</v>
      </c>
    </row>
    <row r="17290" spans="1:16" x14ac:dyDescent="0.25">
      <c r="A17290" t="s">
        <v>39889</v>
      </c>
      <c r="B17290" t="s">
        <v>14320</v>
      </c>
      <c r="C17290" t="s">
        <v>14321</v>
      </c>
      <c r="D17290" t="str">
        <f>"5301"</f>
        <v>5301</v>
      </c>
      <c r="E17290" t="s">
        <v>1940</v>
      </c>
      <c r="F17290" t="s">
        <v>3558</v>
      </c>
      <c r="G17290" t="s">
        <v>47091</v>
      </c>
      <c r="H17290" t="s">
        <v>47055</v>
      </c>
      <c r="I17290" t="s">
        <v>47127</v>
      </c>
      <c r="J17290" t="s">
        <v>47128</v>
      </c>
      <c r="K17290" t="s">
        <v>47113</v>
      </c>
      <c r="L17290">
        <v>11.34</v>
      </c>
      <c r="M17290">
        <v>25</v>
      </c>
      <c r="N17290">
        <v>0</v>
      </c>
      <c r="O17290">
        <v>25</v>
      </c>
      <c r="P17290">
        <v>0</v>
      </c>
    </row>
    <row r="17291" spans="1:16" x14ac:dyDescent="0.25">
      <c r="A17291" t="s">
        <v>39890</v>
      </c>
      <c r="B17291" t="s">
        <v>15846</v>
      </c>
      <c r="C17291" t="s">
        <v>15847</v>
      </c>
      <c r="D17291" t="str">
        <f>"1106"</f>
        <v>1106</v>
      </c>
      <c r="E17291" t="s">
        <v>460</v>
      </c>
      <c r="F17291" t="s">
        <v>3558</v>
      </c>
      <c r="G17291" t="s">
        <v>47091</v>
      </c>
      <c r="H17291" t="s">
        <v>47055</v>
      </c>
      <c r="I17291" t="s">
        <v>47127</v>
      </c>
      <c r="J17291" t="s">
        <v>47128</v>
      </c>
      <c r="K17291" t="s">
        <v>47113</v>
      </c>
      <c r="L17291">
        <v>11.34</v>
      </c>
      <c r="M17291">
        <v>25</v>
      </c>
      <c r="N17291">
        <v>0</v>
      </c>
      <c r="O17291">
        <v>25</v>
      </c>
      <c r="P17291">
        <v>0</v>
      </c>
    </row>
    <row r="17292" spans="1:16" x14ac:dyDescent="0.25">
      <c r="A17292" t="s">
        <v>39891</v>
      </c>
      <c r="B17292" t="s">
        <v>15846</v>
      </c>
      <c r="C17292" t="s">
        <v>15847</v>
      </c>
      <c r="D17292" t="str">
        <f>"1278"</f>
        <v>1278</v>
      </c>
      <c r="E17292" t="s">
        <v>100</v>
      </c>
      <c r="F17292" t="s">
        <v>3558</v>
      </c>
      <c r="G17292" t="s">
        <v>47091</v>
      </c>
      <c r="H17292" t="s">
        <v>47055</v>
      </c>
      <c r="I17292" t="s">
        <v>47127</v>
      </c>
      <c r="J17292" t="s">
        <v>47128</v>
      </c>
      <c r="K17292" t="s">
        <v>47113</v>
      </c>
      <c r="L17292">
        <v>11.34</v>
      </c>
      <c r="M17292">
        <v>25</v>
      </c>
      <c r="N17292">
        <v>0</v>
      </c>
      <c r="O17292">
        <v>25</v>
      </c>
      <c r="P17292">
        <v>0</v>
      </c>
    </row>
    <row r="17293" spans="1:16" x14ac:dyDescent="0.25">
      <c r="A17293" t="s">
        <v>39892</v>
      </c>
      <c r="B17293" t="s">
        <v>15846</v>
      </c>
      <c r="C17293" t="s">
        <v>15847</v>
      </c>
      <c r="D17293" t="str">
        <f>"1700"</f>
        <v>1700</v>
      </c>
      <c r="E17293" t="s">
        <v>60</v>
      </c>
      <c r="F17293" t="s">
        <v>3558</v>
      </c>
      <c r="G17293" t="s">
        <v>47091</v>
      </c>
      <c r="H17293" t="s">
        <v>47055</v>
      </c>
      <c r="I17293" t="s">
        <v>47127</v>
      </c>
      <c r="J17293" t="s">
        <v>47128</v>
      </c>
      <c r="K17293" t="s">
        <v>47113</v>
      </c>
      <c r="L17293">
        <v>11.34</v>
      </c>
      <c r="M17293">
        <v>25</v>
      </c>
      <c r="N17293">
        <v>0</v>
      </c>
      <c r="O17293">
        <v>25</v>
      </c>
      <c r="P17293">
        <v>0</v>
      </c>
    </row>
    <row r="17294" spans="1:16" x14ac:dyDescent="0.25">
      <c r="A17294" t="s">
        <v>39893</v>
      </c>
      <c r="B17294" t="s">
        <v>14322</v>
      </c>
      <c r="C17294" t="s">
        <v>14323</v>
      </c>
      <c r="D17294" t="str">
        <f>"1106"</f>
        <v>1106</v>
      </c>
      <c r="E17294" t="s">
        <v>460</v>
      </c>
      <c r="F17294" t="s">
        <v>3558</v>
      </c>
      <c r="G17294" t="s">
        <v>47091</v>
      </c>
      <c r="H17294" t="s">
        <v>47055</v>
      </c>
      <c r="I17294" t="s">
        <v>47127</v>
      </c>
      <c r="J17294" t="s">
        <v>47128</v>
      </c>
      <c r="K17294" t="s">
        <v>47113</v>
      </c>
      <c r="L17294">
        <v>16.48</v>
      </c>
      <c r="M17294">
        <v>24</v>
      </c>
      <c r="N17294">
        <v>0</v>
      </c>
      <c r="O17294">
        <v>24</v>
      </c>
      <c r="P17294">
        <v>0</v>
      </c>
    </row>
    <row r="17295" spans="1:16" x14ac:dyDescent="0.25">
      <c r="A17295" t="s">
        <v>39894</v>
      </c>
      <c r="B17295" t="s">
        <v>14322</v>
      </c>
      <c r="C17295" t="s">
        <v>14323</v>
      </c>
      <c r="D17295" t="str">
        <f>"1377"</f>
        <v>1377</v>
      </c>
      <c r="E17295" t="s">
        <v>74</v>
      </c>
      <c r="F17295" t="s">
        <v>3558</v>
      </c>
      <c r="G17295" t="s">
        <v>47091</v>
      </c>
      <c r="H17295" t="s">
        <v>47055</v>
      </c>
      <c r="I17295" t="s">
        <v>47127</v>
      </c>
      <c r="J17295" t="s">
        <v>47128</v>
      </c>
      <c r="K17295" t="s">
        <v>47113</v>
      </c>
      <c r="L17295">
        <v>10.99</v>
      </c>
      <c r="M17295">
        <v>24</v>
      </c>
      <c r="N17295">
        <v>0</v>
      </c>
      <c r="O17295">
        <v>24</v>
      </c>
      <c r="P17295">
        <v>0</v>
      </c>
    </row>
    <row r="17296" spans="1:16" x14ac:dyDescent="0.25">
      <c r="A17296" t="s">
        <v>39895</v>
      </c>
      <c r="B17296" t="s">
        <v>14322</v>
      </c>
      <c r="C17296" t="s">
        <v>14323</v>
      </c>
      <c r="D17296" t="str">
        <f>"1700"</f>
        <v>1700</v>
      </c>
      <c r="E17296" t="s">
        <v>60</v>
      </c>
      <c r="F17296" t="s">
        <v>3558</v>
      </c>
      <c r="G17296" t="s">
        <v>47091</v>
      </c>
      <c r="H17296" t="s">
        <v>47055</v>
      </c>
      <c r="I17296" t="s">
        <v>47127</v>
      </c>
      <c r="J17296" t="s">
        <v>47128</v>
      </c>
      <c r="K17296" t="s">
        <v>47113</v>
      </c>
      <c r="L17296">
        <v>16.48</v>
      </c>
      <c r="M17296">
        <v>24</v>
      </c>
      <c r="N17296">
        <v>0</v>
      </c>
      <c r="O17296">
        <v>24</v>
      </c>
      <c r="P17296">
        <v>0</v>
      </c>
    </row>
    <row r="17297" spans="1:16" x14ac:dyDescent="0.25">
      <c r="A17297" t="s">
        <v>39896</v>
      </c>
      <c r="B17297" t="s">
        <v>14322</v>
      </c>
      <c r="C17297" t="s">
        <v>14323</v>
      </c>
      <c r="D17297" t="str">
        <f>"1889"</f>
        <v>1889</v>
      </c>
      <c r="E17297" t="s">
        <v>7101</v>
      </c>
      <c r="F17297" t="s">
        <v>3558</v>
      </c>
      <c r="G17297" t="s">
        <v>47091</v>
      </c>
      <c r="H17297" t="s">
        <v>47055</v>
      </c>
      <c r="I17297" t="s">
        <v>47127</v>
      </c>
      <c r="J17297" t="s">
        <v>47128</v>
      </c>
      <c r="K17297" t="s">
        <v>47113</v>
      </c>
      <c r="L17297">
        <v>10.99</v>
      </c>
      <c r="M17297">
        <v>24</v>
      </c>
      <c r="N17297">
        <v>0</v>
      </c>
      <c r="O17297">
        <v>24</v>
      </c>
      <c r="P17297">
        <v>0</v>
      </c>
    </row>
    <row r="17298" spans="1:16" x14ac:dyDescent="0.25">
      <c r="A17298" t="s">
        <v>39897</v>
      </c>
      <c r="B17298" t="s">
        <v>14322</v>
      </c>
      <c r="C17298" t="s">
        <v>14323</v>
      </c>
      <c r="D17298" t="str">
        <f>"4645"</f>
        <v>4645</v>
      </c>
      <c r="E17298" t="s">
        <v>9770</v>
      </c>
      <c r="F17298" t="s">
        <v>3558</v>
      </c>
      <c r="G17298" t="s">
        <v>47091</v>
      </c>
      <c r="H17298" t="s">
        <v>47055</v>
      </c>
      <c r="I17298" t="s">
        <v>47127</v>
      </c>
      <c r="J17298" t="s">
        <v>47128</v>
      </c>
      <c r="K17298" t="s">
        <v>47113</v>
      </c>
      <c r="L17298">
        <v>10.99</v>
      </c>
      <c r="M17298">
        <v>24</v>
      </c>
      <c r="N17298">
        <v>0</v>
      </c>
      <c r="O17298">
        <v>24</v>
      </c>
      <c r="P17298">
        <v>0</v>
      </c>
    </row>
    <row r="17299" spans="1:16" x14ac:dyDescent="0.25">
      <c r="A17299" t="s">
        <v>39898</v>
      </c>
      <c r="B17299" t="s">
        <v>14322</v>
      </c>
      <c r="C17299" t="s">
        <v>14323</v>
      </c>
      <c r="D17299" t="str">
        <f>"5301"</f>
        <v>5301</v>
      </c>
      <c r="E17299" t="s">
        <v>1940</v>
      </c>
      <c r="F17299" t="s">
        <v>3558</v>
      </c>
      <c r="G17299" t="s">
        <v>47091</v>
      </c>
      <c r="H17299" t="s">
        <v>47055</v>
      </c>
      <c r="I17299" t="s">
        <v>47127</v>
      </c>
      <c r="J17299" t="s">
        <v>47128</v>
      </c>
      <c r="K17299" t="s">
        <v>47113</v>
      </c>
      <c r="L17299">
        <v>10.99</v>
      </c>
      <c r="M17299">
        <v>24</v>
      </c>
      <c r="N17299">
        <v>0</v>
      </c>
      <c r="O17299">
        <v>24</v>
      </c>
      <c r="P17299">
        <v>0</v>
      </c>
    </row>
    <row r="17300" spans="1:16" x14ac:dyDescent="0.25">
      <c r="A17300" t="s">
        <v>39899</v>
      </c>
      <c r="B17300" t="s">
        <v>14324</v>
      </c>
      <c r="C17300" t="s">
        <v>14325</v>
      </c>
      <c r="D17300" t="str">
        <f>"1377"</f>
        <v>1377</v>
      </c>
      <c r="E17300" t="s">
        <v>74</v>
      </c>
      <c r="F17300" t="s">
        <v>3558</v>
      </c>
      <c r="G17300" t="s">
        <v>47091</v>
      </c>
      <c r="H17300" t="s">
        <v>47055</v>
      </c>
      <c r="I17300" t="s">
        <v>47127</v>
      </c>
      <c r="J17300" t="s">
        <v>47128</v>
      </c>
      <c r="K17300" t="s">
        <v>47113</v>
      </c>
      <c r="L17300">
        <v>12.54</v>
      </c>
      <c r="M17300">
        <v>28</v>
      </c>
      <c r="N17300">
        <v>0</v>
      </c>
      <c r="O17300">
        <v>28</v>
      </c>
      <c r="P17300">
        <v>0</v>
      </c>
    </row>
    <row r="17301" spans="1:16" x14ac:dyDescent="0.25">
      <c r="A17301" t="s">
        <v>39900</v>
      </c>
      <c r="B17301" t="s">
        <v>14324</v>
      </c>
      <c r="C17301" t="s">
        <v>14325</v>
      </c>
      <c r="D17301" t="str">
        <f>"1378"</f>
        <v>1378</v>
      </c>
      <c r="E17301" t="s">
        <v>388</v>
      </c>
      <c r="F17301" t="s">
        <v>3558</v>
      </c>
      <c r="G17301" t="s">
        <v>47091</v>
      </c>
      <c r="H17301" t="s">
        <v>47055</v>
      </c>
      <c r="I17301" t="s">
        <v>47127</v>
      </c>
      <c r="J17301" t="s">
        <v>47128</v>
      </c>
      <c r="K17301" t="s">
        <v>47113</v>
      </c>
      <c r="L17301">
        <v>12.54</v>
      </c>
      <c r="M17301">
        <v>28</v>
      </c>
      <c r="N17301">
        <v>0</v>
      </c>
      <c r="O17301">
        <v>28</v>
      </c>
      <c r="P17301">
        <v>0</v>
      </c>
    </row>
    <row r="17302" spans="1:16" x14ac:dyDescent="0.25">
      <c r="A17302" t="s">
        <v>39901</v>
      </c>
      <c r="B17302" t="s">
        <v>14324</v>
      </c>
      <c r="C17302" t="s">
        <v>14325</v>
      </c>
      <c r="D17302" t="str">
        <f>"1700"</f>
        <v>1700</v>
      </c>
      <c r="E17302" t="s">
        <v>60</v>
      </c>
      <c r="F17302" t="s">
        <v>3558</v>
      </c>
      <c r="G17302" t="s">
        <v>47091</v>
      </c>
      <c r="H17302" t="s">
        <v>47055</v>
      </c>
      <c r="I17302" t="s">
        <v>47127</v>
      </c>
      <c r="J17302" t="s">
        <v>47128</v>
      </c>
      <c r="K17302" t="s">
        <v>47113</v>
      </c>
      <c r="L17302">
        <v>12.54</v>
      </c>
      <c r="M17302">
        <v>28</v>
      </c>
      <c r="N17302">
        <v>0</v>
      </c>
      <c r="O17302">
        <v>28</v>
      </c>
      <c r="P17302">
        <v>0</v>
      </c>
    </row>
    <row r="17303" spans="1:16" x14ac:dyDescent="0.25">
      <c r="A17303" t="s">
        <v>39902</v>
      </c>
      <c r="B17303" t="s">
        <v>14324</v>
      </c>
      <c r="C17303" t="s">
        <v>14325</v>
      </c>
      <c r="D17303" t="str">
        <f>"1889"</f>
        <v>1889</v>
      </c>
      <c r="E17303" t="s">
        <v>7101</v>
      </c>
      <c r="F17303" t="s">
        <v>3558</v>
      </c>
      <c r="G17303" t="s">
        <v>47091</v>
      </c>
      <c r="H17303" t="s">
        <v>47055</v>
      </c>
      <c r="I17303" t="s">
        <v>47127</v>
      </c>
      <c r="J17303" t="s">
        <v>47128</v>
      </c>
      <c r="K17303" t="s">
        <v>47113</v>
      </c>
      <c r="L17303">
        <v>12.54</v>
      </c>
      <c r="M17303">
        <v>28</v>
      </c>
      <c r="N17303">
        <v>0</v>
      </c>
      <c r="O17303">
        <v>28</v>
      </c>
      <c r="P17303">
        <v>0</v>
      </c>
    </row>
    <row r="17304" spans="1:16" x14ac:dyDescent="0.25">
      <c r="A17304" t="s">
        <v>39903</v>
      </c>
      <c r="B17304" t="s">
        <v>14324</v>
      </c>
      <c r="C17304" t="s">
        <v>14325</v>
      </c>
      <c r="D17304" t="str">
        <f>"3000"</f>
        <v>3000</v>
      </c>
      <c r="E17304" t="s">
        <v>14216</v>
      </c>
      <c r="F17304" t="s">
        <v>3558</v>
      </c>
      <c r="G17304" t="s">
        <v>47091</v>
      </c>
      <c r="H17304" t="s">
        <v>47055</v>
      </c>
      <c r="I17304" t="s">
        <v>47127</v>
      </c>
      <c r="J17304" t="s">
        <v>47128</v>
      </c>
      <c r="K17304" t="s">
        <v>47113</v>
      </c>
      <c r="L17304">
        <v>12.54</v>
      </c>
      <c r="M17304">
        <v>28</v>
      </c>
      <c r="N17304">
        <v>0</v>
      </c>
      <c r="O17304">
        <v>28</v>
      </c>
      <c r="P17304">
        <v>0</v>
      </c>
    </row>
    <row r="17305" spans="1:16" x14ac:dyDescent="0.25">
      <c r="A17305" t="s">
        <v>39904</v>
      </c>
      <c r="B17305" t="s">
        <v>14324</v>
      </c>
      <c r="C17305" t="s">
        <v>14325</v>
      </c>
      <c r="D17305" t="str">
        <f>"4542"</f>
        <v>4542</v>
      </c>
      <c r="E17305" t="s">
        <v>220</v>
      </c>
      <c r="F17305" t="s">
        <v>3558</v>
      </c>
      <c r="G17305" t="s">
        <v>47091</v>
      </c>
      <c r="H17305" t="s">
        <v>47055</v>
      </c>
      <c r="I17305" t="s">
        <v>47127</v>
      </c>
      <c r="J17305" t="s">
        <v>47128</v>
      </c>
      <c r="K17305" t="s">
        <v>47113</v>
      </c>
      <c r="L17305">
        <v>12.54</v>
      </c>
      <c r="M17305">
        <v>28</v>
      </c>
      <c r="N17305">
        <v>0</v>
      </c>
      <c r="O17305">
        <v>28</v>
      </c>
      <c r="P17305">
        <v>0</v>
      </c>
    </row>
    <row r="17306" spans="1:16" x14ac:dyDescent="0.25">
      <c r="A17306" t="s">
        <v>39905</v>
      </c>
      <c r="B17306" t="s">
        <v>14324</v>
      </c>
      <c r="C17306" t="s">
        <v>14325</v>
      </c>
      <c r="D17306" t="str">
        <f>"4645"</f>
        <v>4645</v>
      </c>
      <c r="E17306" t="s">
        <v>9770</v>
      </c>
      <c r="F17306" t="s">
        <v>3558</v>
      </c>
      <c r="G17306" t="s">
        <v>47091</v>
      </c>
      <c r="H17306" t="s">
        <v>47055</v>
      </c>
      <c r="I17306" t="s">
        <v>47127</v>
      </c>
      <c r="J17306" t="s">
        <v>47128</v>
      </c>
      <c r="K17306" t="s">
        <v>47113</v>
      </c>
      <c r="L17306">
        <v>12.54</v>
      </c>
      <c r="M17306">
        <v>28</v>
      </c>
      <c r="N17306">
        <v>0</v>
      </c>
      <c r="O17306">
        <v>28</v>
      </c>
      <c r="P17306">
        <v>0</v>
      </c>
    </row>
    <row r="17307" spans="1:16" x14ac:dyDescent="0.25">
      <c r="A17307" t="s">
        <v>39906</v>
      </c>
      <c r="B17307" t="s">
        <v>14324</v>
      </c>
      <c r="C17307" t="s">
        <v>14325</v>
      </c>
      <c r="D17307" t="str">
        <f>"5301"</f>
        <v>5301</v>
      </c>
      <c r="E17307" t="s">
        <v>1940</v>
      </c>
      <c r="F17307" t="s">
        <v>3558</v>
      </c>
      <c r="G17307" t="s">
        <v>47091</v>
      </c>
      <c r="H17307" t="s">
        <v>47055</v>
      </c>
      <c r="I17307" t="s">
        <v>47127</v>
      </c>
      <c r="J17307" t="s">
        <v>47128</v>
      </c>
      <c r="K17307" t="s">
        <v>47113</v>
      </c>
      <c r="L17307">
        <v>12.54</v>
      </c>
      <c r="M17307">
        <v>28</v>
      </c>
      <c r="N17307">
        <v>0</v>
      </c>
      <c r="O17307">
        <v>28</v>
      </c>
      <c r="P17307">
        <v>0</v>
      </c>
    </row>
    <row r="17308" spans="1:16" x14ac:dyDescent="0.25">
      <c r="A17308" t="s">
        <v>39907</v>
      </c>
      <c r="B17308" t="s">
        <v>14324</v>
      </c>
      <c r="C17308" t="s">
        <v>14325</v>
      </c>
      <c r="D17308" t="str">
        <f>"6081"</f>
        <v>6081</v>
      </c>
      <c r="E17308" t="s">
        <v>11010</v>
      </c>
      <c r="F17308" t="s">
        <v>3558</v>
      </c>
      <c r="G17308" t="s">
        <v>47091</v>
      </c>
      <c r="H17308" t="s">
        <v>47055</v>
      </c>
      <c r="I17308" t="s">
        <v>47127</v>
      </c>
      <c r="J17308" t="s">
        <v>47128</v>
      </c>
      <c r="K17308" t="s">
        <v>47113</v>
      </c>
      <c r="L17308">
        <v>12.54</v>
      </c>
      <c r="M17308">
        <v>28</v>
      </c>
      <c r="N17308">
        <v>0</v>
      </c>
      <c r="O17308">
        <v>28</v>
      </c>
      <c r="P17308">
        <v>0</v>
      </c>
    </row>
    <row r="17309" spans="1:16" x14ac:dyDescent="0.25">
      <c r="A17309" t="s">
        <v>39908</v>
      </c>
      <c r="B17309" t="s">
        <v>14324</v>
      </c>
      <c r="C17309" t="s">
        <v>14325</v>
      </c>
      <c r="D17309" t="str">
        <f>"8206"</f>
        <v>8206</v>
      </c>
      <c r="E17309" t="s">
        <v>14203</v>
      </c>
      <c r="F17309" t="s">
        <v>3558</v>
      </c>
      <c r="G17309" t="s">
        <v>47091</v>
      </c>
      <c r="H17309" t="s">
        <v>47055</v>
      </c>
      <c r="I17309" t="s">
        <v>47127</v>
      </c>
      <c r="J17309" t="s">
        <v>47128</v>
      </c>
      <c r="K17309" t="s">
        <v>47113</v>
      </c>
      <c r="L17309">
        <v>12.54</v>
      </c>
      <c r="M17309">
        <v>28</v>
      </c>
      <c r="N17309">
        <v>0</v>
      </c>
      <c r="O17309">
        <v>28</v>
      </c>
      <c r="P17309">
        <v>0</v>
      </c>
    </row>
    <row r="17310" spans="1:16" x14ac:dyDescent="0.25">
      <c r="A17310" t="s">
        <v>39909</v>
      </c>
      <c r="B17310" t="s">
        <v>11124</v>
      </c>
      <c r="C17310" t="s">
        <v>387</v>
      </c>
      <c r="D17310" t="str">
        <f>"1001"</f>
        <v>1001</v>
      </c>
      <c r="E17310" t="s">
        <v>42</v>
      </c>
      <c r="F17310" t="s">
        <v>1</v>
      </c>
      <c r="G17310" t="s">
        <v>47094</v>
      </c>
      <c r="H17310" t="s">
        <v>47055</v>
      </c>
      <c r="I17310" t="s">
        <v>47127</v>
      </c>
      <c r="J17310" t="s">
        <v>47128</v>
      </c>
      <c r="K17310" t="s">
        <v>47113</v>
      </c>
      <c r="L17310">
        <v>33.22</v>
      </c>
      <c r="M17310">
        <v>81</v>
      </c>
      <c r="N17310">
        <v>0</v>
      </c>
      <c r="O17310">
        <v>81</v>
      </c>
      <c r="P17310">
        <v>0</v>
      </c>
    </row>
    <row r="17311" spans="1:16" x14ac:dyDescent="0.25">
      <c r="A17311" t="s">
        <v>39910</v>
      </c>
      <c r="B17311" t="s">
        <v>11124</v>
      </c>
      <c r="C17311" t="s">
        <v>387</v>
      </c>
      <c r="D17311" t="str">
        <f>"1377"</f>
        <v>1377</v>
      </c>
      <c r="E17311" t="s">
        <v>74</v>
      </c>
      <c r="F17311" t="s">
        <v>1</v>
      </c>
      <c r="G17311" t="s">
        <v>47094</v>
      </c>
      <c r="H17311" t="s">
        <v>47055</v>
      </c>
      <c r="I17311" t="s">
        <v>47127</v>
      </c>
      <c r="J17311" t="s">
        <v>47128</v>
      </c>
      <c r="K17311" t="s">
        <v>47113</v>
      </c>
      <c r="L17311">
        <v>33.22</v>
      </c>
      <c r="M17311">
        <v>81</v>
      </c>
      <c r="N17311">
        <v>0</v>
      </c>
      <c r="O17311">
        <v>81</v>
      </c>
      <c r="P17311">
        <v>0</v>
      </c>
    </row>
    <row r="17312" spans="1:16" x14ac:dyDescent="0.25">
      <c r="A17312" t="s">
        <v>39911</v>
      </c>
      <c r="B17312" t="s">
        <v>11124</v>
      </c>
      <c r="C17312" t="s">
        <v>387</v>
      </c>
      <c r="D17312" t="str">
        <f>"1378"</f>
        <v>1378</v>
      </c>
      <c r="E17312" t="s">
        <v>388</v>
      </c>
      <c r="F17312" t="s">
        <v>1</v>
      </c>
      <c r="G17312" t="s">
        <v>47094</v>
      </c>
      <c r="H17312" t="s">
        <v>47055</v>
      </c>
      <c r="I17312" t="s">
        <v>47127</v>
      </c>
      <c r="J17312" t="s">
        <v>47128</v>
      </c>
      <c r="K17312" t="s">
        <v>47113</v>
      </c>
      <c r="L17312">
        <v>33.22</v>
      </c>
      <c r="M17312">
        <v>81</v>
      </c>
      <c r="N17312">
        <v>0</v>
      </c>
      <c r="O17312">
        <v>81</v>
      </c>
      <c r="P17312">
        <v>0</v>
      </c>
    </row>
    <row r="17313" spans="1:16" x14ac:dyDescent="0.25">
      <c r="A17313" t="s">
        <v>39912</v>
      </c>
      <c r="B17313" t="s">
        <v>11124</v>
      </c>
      <c r="C17313" t="s">
        <v>387</v>
      </c>
      <c r="D17313" t="str">
        <f>"1700"</f>
        <v>1700</v>
      </c>
      <c r="E17313" t="s">
        <v>60</v>
      </c>
      <c r="F17313" t="s">
        <v>1</v>
      </c>
      <c r="G17313" t="s">
        <v>47094</v>
      </c>
      <c r="H17313" t="s">
        <v>47055</v>
      </c>
      <c r="I17313" t="s">
        <v>47127</v>
      </c>
      <c r="J17313" t="s">
        <v>47128</v>
      </c>
      <c r="K17313" t="s">
        <v>47113</v>
      </c>
      <c r="L17313">
        <v>33.22</v>
      </c>
      <c r="M17313">
        <v>81</v>
      </c>
      <c r="N17313">
        <v>0</v>
      </c>
      <c r="O17313">
        <v>81</v>
      </c>
      <c r="P17313">
        <v>0</v>
      </c>
    </row>
    <row r="17314" spans="1:16" x14ac:dyDescent="0.25">
      <c r="A17314" t="s">
        <v>39913</v>
      </c>
      <c r="B17314" t="s">
        <v>11124</v>
      </c>
      <c r="C17314" t="s">
        <v>387</v>
      </c>
      <c r="D17314" t="str">
        <f>"4729"</f>
        <v>4729</v>
      </c>
      <c r="E17314" t="s">
        <v>2222</v>
      </c>
      <c r="F17314" t="s">
        <v>1</v>
      </c>
      <c r="G17314" t="s">
        <v>47094</v>
      </c>
      <c r="H17314" t="s">
        <v>47055</v>
      </c>
      <c r="I17314" t="s">
        <v>47127</v>
      </c>
      <c r="J17314" t="s">
        <v>47128</v>
      </c>
      <c r="K17314" t="s">
        <v>47113</v>
      </c>
      <c r="L17314">
        <v>33.22</v>
      </c>
      <c r="M17314">
        <v>81</v>
      </c>
      <c r="N17314">
        <v>0</v>
      </c>
      <c r="O17314">
        <v>81</v>
      </c>
      <c r="P17314">
        <v>0</v>
      </c>
    </row>
    <row r="17315" spans="1:16" x14ac:dyDescent="0.25">
      <c r="A17315" t="s">
        <v>39914</v>
      </c>
      <c r="B17315" t="s">
        <v>11124</v>
      </c>
      <c r="C17315" t="s">
        <v>387</v>
      </c>
      <c r="D17315" t="str">
        <f>"4730"</f>
        <v>4730</v>
      </c>
      <c r="E17315" t="s">
        <v>461</v>
      </c>
      <c r="F17315" t="s">
        <v>1</v>
      </c>
      <c r="G17315" t="s">
        <v>47094</v>
      </c>
      <c r="H17315" t="s">
        <v>47055</v>
      </c>
      <c r="I17315" t="s">
        <v>47127</v>
      </c>
      <c r="J17315" t="s">
        <v>47128</v>
      </c>
      <c r="K17315" t="s">
        <v>47113</v>
      </c>
      <c r="L17315">
        <v>33.22</v>
      </c>
      <c r="M17315">
        <v>81</v>
      </c>
      <c r="N17315">
        <v>0</v>
      </c>
      <c r="O17315">
        <v>81</v>
      </c>
      <c r="P17315">
        <v>0</v>
      </c>
    </row>
    <row r="17316" spans="1:16" x14ac:dyDescent="0.25">
      <c r="A17316" t="s">
        <v>39915</v>
      </c>
      <c r="B17316" t="s">
        <v>11124</v>
      </c>
      <c r="C17316" t="s">
        <v>387</v>
      </c>
      <c r="D17316" t="str">
        <f>"6451"</f>
        <v>6451</v>
      </c>
      <c r="E17316" t="s">
        <v>390</v>
      </c>
      <c r="F17316" t="s">
        <v>1</v>
      </c>
      <c r="G17316" t="s">
        <v>47094</v>
      </c>
      <c r="H17316" t="s">
        <v>47055</v>
      </c>
      <c r="I17316" t="s">
        <v>47127</v>
      </c>
      <c r="J17316" t="s">
        <v>47128</v>
      </c>
      <c r="K17316" t="s">
        <v>47113</v>
      </c>
      <c r="L17316">
        <v>33.22</v>
      </c>
      <c r="M17316">
        <v>81</v>
      </c>
      <c r="N17316">
        <v>0</v>
      </c>
      <c r="O17316">
        <v>81</v>
      </c>
      <c r="P17316">
        <v>0</v>
      </c>
    </row>
    <row r="17317" spans="1:16" x14ac:dyDescent="0.25">
      <c r="A17317" t="s">
        <v>39916</v>
      </c>
      <c r="B17317" t="s">
        <v>11124</v>
      </c>
      <c r="C17317" t="s">
        <v>387</v>
      </c>
      <c r="D17317" t="str">
        <f>"7000"</f>
        <v>7000</v>
      </c>
      <c r="E17317" t="s">
        <v>185</v>
      </c>
      <c r="F17317" t="s">
        <v>1</v>
      </c>
      <c r="G17317" t="s">
        <v>47094</v>
      </c>
      <c r="H17317" t="s">
        <v>47055</v>
      </c>
      <c r="I17317" t="s">
        <v>47127</v>
      </c>
      <c r="J17317" t="s">
        <v>47128</v>
      </c>
      <c r="K17317" t="s">
        <v>47113</v>
      </c>
      <c r="L17317">
        <v>33.22</v>
      </c>
      <c r="M17317">
        <v>81</v>
      </c>
      <c r="N17317">
        <v>0</v>
      </c>
      <c r="O17317">
        <v>81</v>
      </c>
      <c r="P17317">
        <v>0</v>
      </c>
    </row>
    <row r="17318" spans="1:16" x14ac:dyDescent="0.25">
      <c r="A17318" t="s">
        <v>39917</v>
      </c>
      <c r="B17318" t="s">
        <v>15848</v>
      </c>
      <c r="C17318" t="s">
        <v>14325</v>
      </c>
      <c r="D17318" t="str">
        <f>"1377"</f>
        <v>1377</v>
      </c>
      <c r="E17318" t="s">
        <v>74</v>
      </c>
      <c r="F17318" t="s">
        <v>3558</v>
      </c>
      <c r="G17318" t="s">
        <v>47091</v>
      </c>
      <c r="H17318" t="s">
        <v>47055</v>
      </c>
      <c r="I17318" t="s">
        <v>47127</v>
      </c>
      <c r="J17318" t="s">
        <v>47128</v>
      </c>
      <c r="K17318" t="s">
        <v>47113</v>
      </c>
      <c r="L17318">
        <v>12.54</v>
      </c>
      <c r="M17318">
        <v>28</v>
      </c>
      <c r="N17318">
        <v>0</v>
      </c>
      <c r="O17318">
        <v>28</v>
      </c>
      <c r="P17318">
        <v>0</v>
      </c>
    </row>
    <row r="17319" spans="1:16" x14ac:dyDescent="0.25">
      <c r="A17319" t="s">
        <v>39918</v>
      </c>
      <c r="B17319" t="s">
        <v>15848</v>
      </c>
      <c r="C17319" t="s">
        <v>14325</v>
      </c>
      <c r="D17319" t="str">
        <f>"1378"</f>
        <v>1378</v>
      </c>
      <c r="E17319" t="s">
        <v>388</v>
      </c>
      <c r="F17319" t="s">
        <v>3558</v>
      </c>
      <c r="G17319" t="s">
        <v>47091</v>
      </c>
      <c r="H17319" t="s">
        <v>47055</v>
      </c>
      <c r="I17319" t="s">
        <v>47127</v>
      </c>
      <c r="J17319" t="s">
        <v>47128</v>
      </c>
      <c r="K17319" t="s">
        <v>47113</v>
      </c>
      <c r="L17319">
        <v>12.54</v>
      </c>
      <c r="M17319">
        <v>28</v>
      </c>
      <c r="N17319">
        <v>0</v>
      </c>
      <c r="O17319">
        <v>28</v>
      </c>
      <c r="P17319">
        <v>0</v>
      </c>
    </row>
    <row r="17320" spans="1:16" x14ac:dyDescent="0.25">
      <c r="A17320" t="s">
        <v>39919</v>
      </c>
      <c r="B17320" t="s">
        <v>15848</v>
      </c>
      <c r="C17320" t="s">
        <v>14325</v>
      </c>
      <c r="D17320" t="str">
        <f>"1700"</f>
        <v>1700</v>
      </c>
      <c r="E17320" t="s">
        <v>60</v>
      </c>
      <c r="F17320" t="s">
        <v>3558</v>
      </c>
      <c r="G17320" t="s">
        <v>47091</v>
      </c>
      <c r="H17320" t="s">
        <v>47055</v>
      </c>
      <c r="I17320" t="s">
        <v>47127</v>
      </c>
      <c r="J17320" t="s">
        <v>47128</v>
      </c>
      <c r="K17320" t="s">
        <v>47113</v>
      </c>
      <c r="L17320">
        <v>12.54</v>
      </c>
      <c r="M17320">
        <v>28</v>
      </c>
      <c r="N17320">
        <v>0</v>
      </c>
      <c r="O17320">
        <v>28</v>
      </c>
      <c r="P17320">
        <v>0</v>
      </c>
    </row>
    <row r="17321" spans="1:16" x14ac:dyDescent="0.25">
      <c r="A17321" t="s">
        <v>39920</v>
      </c>
      <c r="B17321" t="s">
        <v>15848</v>
      </c>
      <c r="C17321" t="s">
        <v>14325</v>
      </c>
      <c r="D17321" t="str">
        <f>"1889"</f>
        <v>1889</v>
      </c>
      <c r="E17321" t="s">
        <v>7101</v>
      </c>
      <c r="F17321" t="s">
        <v>3558</v>
      </c>
      <c r="G17321" t="s">
        <v>47091</v>
      </c>
      <c r="H17321" t="s">
        <v>47055</v>
      </c>
      <c r="I17321" t="s">
        <v>47127</v>
      </c>
      <c r="J17321" t="s">
        <v>47128</v>
      </c>
      <c r="K17321" t="s">
        <v>47113</v>
      </c>
      <c r="L17321">
        <v>12.54</v>
      </c>
      <c r="M17321">
        <v>28</v>
      </c>
      <c r="N17321">
        <v>0</v>
      </c>
      <c r="O17321">
        <v>28</v>
      </c>
      <c r="P17321">
        <v>0</v>
      </c>
    </row>
    <row r="17322" spans="1:16" x14ac:dyDescent="0.25">
      <c r="A17322" t="s">
        <v>39921</v>
      </c>
      <c r="B17322" t="s">
        <v>15848</v>
      </c>
      <c r="C17322" t="s">
        <v>14325</v>
      </c>
      <c r="D17322" t="str">
        <f>"3000"</f>
        <v>3000</v>
      </c>
      <c r="E17322" t="s">
        <v>14216</v>
      </c>
      <c r="F17322" t="s">
        <v>3558</v>
      </c>
      <c r="G17322" t="s">
        <v>47091</v>
      </c>
      <c r="H17322" t="s">
        <v>47055</v>
      </c>
      <c r="I17322" t="s">
        <v>47127</v>
      </c>
      <c r="J17322" t="s">
        <v>47128</v>
      </c>
      <c r="K17322" t="s">
        <v>47113</v>
      </c>
      <c r="L17322">
        <v>12.54</v>
      </c>
      <c r="M17322">
        <v>28</v>
      </c>
      <c r="N17322">
        <v>0</v>
      </c>
      <c r="O17322">
        <v>28</v>
      </c>
      <c r="P17322">
        <v>0</v>
      </c>
    </row>
    <row r="17323" spans="1:16" x14ac:dyDescent="0.25">
      <c r="A17323" t="s">
        <v>39922</v>
      </c>
      <c r="B17323" t="s">
        <v>15848</v>
      </c>
      <c r="C17323" t="s">
        <v>14325</v>
      </c>
      <c r="D17323" t="str">
        <f>"4542"</f>
        <v>4542</v>
      </c>
      <c r="E17323" t="s">
        <v>220</v>
      </c>
      <c r="F17323" t="s">
        <v>3558</v>
      </c>
      <c r="G17323" t="s">
        <v>47091</v>
      </c>
      <c r="H17323" t="s">
        <v>47055</v>
      </c>
      <c r="I17323" t="s">
        <v>47127</v>
      </c>
      <c r="J17323" t="s">
        <v>47128</v>
      </c>
      <c r="K17323" t="s">
        <v>47113</v>
      </c>
      <c r="L17323">
        <v>12.54</v>
      </c>
      <c r="M17323">
        <v>28</v>
      </c>
      <c r="N17323">
        <v>0</v>
      </c>
      <c r="O17323">
        <v>28</v>
      </c>
      <c r="P17323">
        <v>0</v>
      </c>
    </row>
    <row r="17324" spans="1:16" x14ac:dyDescent="0.25">
      <c r="A17324" t="s">
        <v>39923</v>
      </c>
      <c r="B17324" t="s">
        <v>15848</v>
      </c>
      <c r="C17324" t="s">
        <v>14325</v>
      </c>
      <c r="D17324" t="str">
        <f>"4645"</f>
        <v>4645</v>
      </c>
      <c r="E17324" t="s">
        <v>9770</v>
      </c>
      <c r="F17324" t="s">
        <v>3558</v>
      </c>
      <c r="G17324" t="s">
        <v>47091</v>
      </c>
      <c r="H17324" t="s">
        <v>47055</v>
      </c>
      <c r="I17324" t="s">
        <v>47127</v>
      </c>
      <c r="J17324" t="s">
        <v>47128</v>
      </c>
      <c r="K17324" t="s">
        <v>47113</v>
      </c>
      <c r="L17324">
        <v>12.54</v>
      </c>
      <c r="M17324">
        <v>28</v>
      </c>
      <c r="N17324">
        <v>0</v>
      </c>
      <c r="O17324">
        <v>28</v>
      </c>
      <c r="P17324">
        <v>0</v>
      </c>
    </row>
    <row r="17325" spans="1:16" x14ac:dyDescent="0.25">
      <c r="A17325" t="s">
        <v>39924</v>
      </c>
      <c r="B17325" t="s">
        <v>15848</v>
      </c>
      <c r="C17325" t="s">
        <v>14325</v>
      </c>
      <c r="D17325" t="str">
        <f>"5301"</f>
        <v>5301</v>
      </c>
      <c r="E17325" t="s">
        <v>1940</v>
      </c>
      <c r="F17325" t="s">
        <v>3558</v>
      </c>
      <c r="G17325" t="s">
        <v>47091</v>
      </c>
      <c r="H17325" t="s">
        <v>47055</v>
      </c>
      <c r="I17325" t="s">
        <v>47127</v>
      </c>
      <c r="J17325" t="s">
        <v>47128</v>
      </c>
      <c r="K17325" t="s">
        <v>47113</v>
      </c>
      <c r="L17325">
        <v>12.54</v>
      </c>
      <c r="M17325">
        <v>28</v>
      </c>
      <c r="N17325">
        <v>0</v>
      </c>
      <c r="O17325">
        <v>28</v>
      </c>
      <c r="P17325">
        <v>0</v>
      </c>
    </row>
    <row r="17326" spans="1:16" x14ac:dyDescent="0.25">
      <c r="A17326" t="s">
        <v>39925</v>
      </c>
      <c r="B17326" t="s">
        <v>15848</v>
      </c>
      <c r="C17326" t="s">
        <v>14325</v>
      </c>
      <c r="D17326" t="str">
        <f>"6081"</f>
        <v>6081</v>
      </c>
      <c r="E17326" t="s">
        <v>11010</v>
      </c>
      <c r="F17326" t="s">
        <v>3558</v>
      </c>
      <c r="G17326" t="s">
        <v>47091</v>
      </c>
      <c r="H17326" t="s">
        <v>47055</v>
      </c>
      <c r="I17326" t="s">
        <v>47127</v>
      </c>
      <c r="J17326" t="s">
        <v>47128</v>
      </c>
      <c r="K17326" t="s">
        <v>47113</v>
      </c>
      <c r="L17326">
        <v>12.54</v>
      </c>
      <c r="M17326">
        <v>28</v>
      </c>
      <c r="N17326">
        <v>0</v>
      </c>
      <c r="O17326">
        <v>28</v>
      </c>
      <c r="P17326">
        <v>0</v>
      </c>
    </row>
    <row r="17327" spans="1:16" x14ac:dyDescent="0.25">
      <c r="A17327" t="s">
        <v>39926</v>
      </c>
      <c r="B17327" t="s">
        <v>15848</v>
      </c>
      <c r="C17327" t="s">
        <v>14325</v>
      </c>
      <c r="D17327" t="str">
        <f>"8206"</f>
        <v>8206</v>
      </c>
      <c r="E17327" t="s">
        <v>14203</v>
      </c>
      <c r="F17327" t="s">
        <v>3558</v>
      </c>
      <c r="G17327" t="s">
        <v>47091</v>
      </c>
      <c r="H17327" t="s">
        <v>47055</v>
      </c>
      <c r="I17327" t="s">
        <v>47127</v>
      </c>
      <c r="J17327" t="s">
        <v>47128</v>
      </c>
      <c r="K17327" t="s">
        <v>47113</v>
      </c>
      <c r="L17327">
        <v>12.54</v>
      </c>
      <c r="M17327">
        <v>28</v>
      </c>
      <c r="N17327">
        <v>0</v>
      </c>
      <c r="O17327">
        <v>28</v>
      </c>
      <c r="P17327">
        <v>0</v>
      </c>
    </row>
    <row r="17328" spans="1:16" x14ac:dyDescent="0.25">
      <c r="A17328" t="s">
        <v>39927</v>
      </c>
      <c r="B17328" t="s">
        <v>14326</v>
      </c>
      <c r="C17328" t="s">
        <v>14327</v>
      </c>
      <c r="D17328" t="str">
        <f>"1377"</f>
        <v>1377</v>
      </c>
      <c r="E17328" t="s">
        <v>74</v>
      </c>
      <c r="F17328" t="s">
        <v>3558</v>
      </c>
      <c r="G17328" t="s">
        <v>47091</v>
      </c>
      <c r="H17328" t="s">
        <v>47055</v>
      </c>
      <c r="I17328" t="s">
        <v>47127</v>
      </c>
      <c r="J17328" t="s">
        <v>47128</v>
      </c>
      <c r="K17328" t="s">
        <v>47113</v>
      </c>
      <c r="L17328">
        <v>12.54</v>
      </c>
      <c r="M17328">
        <v>28</v>
      </c>
      <c r="N17328">
        <v>0</v>
      </c>
      <c r="O17328">
        <v>28</v>
      </c>
      <c r="P17328">
        <v>0</v>
      </c>
    </row>
    <row r="17329" spans="1:16" x14ac:dyDescent="0.25">
      <c r="A17329" t="s">
        <v>39928</v>
      </c>
      <c r="B17329" t="s">
        <v>14326</v>
      </c>
      <c r="C17329" t="s">
        <v>14327</v>
      </c>
      <c r="D17329" t="str">
        <f>"1378"</f>
        <v>1378</v>
      </c>
      <c r="E17329" t="s">
        <v>388</v>
      </c>
      <c r="F17329" t="s">
        <v>3558</v>
      </c>
      <c r="G17329" t="s">
        <v>47091</v>
      </c>
      <c r="H17329" t="s">
        <v>47055</v>
      </c>
      <c r="I17329" t="s">
        <v>47127</v>
      </c>
      <c r="J17329" t="s">
        <v>47128</v>
      </c>
      <c r="K17329" t="s">
        <v>47113</v>
      </c>
      <c r="L17329">
        <v>12.54</v>
      </c>
      <c r="M17329">
        <v>28</v>
      </c>
      <c r="N17329">
        <v>0</v>
      </c>
      <c r="O17329">
        <v>28</v>
      </c>
      <c r="P17329">
        <v>0</v>
      </c>
    </row>
    <row r="17330" spans="1:16" x14ac:dyDescent="0.25">
      <c r="A17330" t="s">
        <v>39929</v>
      </c>
      <c r="B17330" t="s">
        <v>14326</v>
      </c>
      <c r="C17330" t="s">
        <v>14327</v>
      </c>
      <c r="D17330" t="str">
        <f>"1700"</f>
        <v>1700</v>
      </c>
      <c r="E17330" t="s">
        <v>60</v>
      </c>
      <c r="F17330" t="s">
        <v>3558</v>
      </c>
      <c r="G17330" t="s">
        <v>47091</v>
      </c>
      <c r="H17330" t="s">
        <v>47055</v>
      </c>
      <c r="I17330" t="s">
        <v>47127</v>
      </c>
      <c r="J17330" t="s">
        <v>47128</v>
      </c>
      <c r="K17330" t="s">
        <v>47113</v>
      </c>
      <c r="L17330">
        <v>16.68</v>
      </c>
      <c r="M17330">
        <v>28</v>
      </c>
      <c r="N17330">
        <v>0</v>
      </c>
      <c r="O17330">
        <v>28</v>
      </c>
      <c r="P17330">
        <v>0</v>
      </c>
    </row>
    <row r="17331" spans="1:16" x14ac:dyDescent="0.25">
      <c r="A17331" t="s">
        <v>39930</v>
      </c>
      <c r="B17331" t="s">
        <v>14326</v>
      </c>
      <c r="C17331" t="s">
        <v>14327</v>
      </c>
      <c r="D17331" t="str">
        <f>"1889"</f>
        <v>1889</v>
      </c>
      <c r="E17331" t="s">
        <v>7101</v>
      </c>
      <c r="F17331" t="s">
        <v>3558</v>
      </c>
      <c r="G17331" t="s">
        <v>47091</v>
      </c>
      <c r="H17331" t="s">
        <v>47055</v>
      </c>
      <c r="I17331" t="s">
        <v>47127</v>
      </c>
      <c r="J17331" t="s">
        <v>47128</v>
      </c>
      <c r="K17331" t="s">
        <v>47113</v>
      </c>
      <c r="L17331">
        <v>12.54</v>
      </c>
      <c r="M17331">
        <v>28</v>
      </c>
      <c r="N17331">
        <v>0</v>
      </c>
      <c r="O17331">
        <v>28</v>
      </c>
      <c r="P17331">
        <v>0</v>
      </c>
    </row>
    <row r="17332" spans="1:16" x14ac:dyDescent="0.25">
      <c r="A17332" t="s">
        <v>39931</v>
      </c>
      <c r="B17332" t="s">
        <v>14326</v>
      </c>
      <c r="C17332" t="s">
        <v>14327</v>
      </c>
      <c r="D17332" t="str">
        <f>"3000"</f>
        <v>3000</v>
      </c>
      <c r="E17332" t="s">
        <v>14216</v>
      </c>
      <c r="F17332" t="s">
        <v>3558</v>
      </c>
      <c r="G17332" t="s">
        <v>47091</v>
      </c>
      <c r="H17332" t="s">
        <v>47055</v>
      </c>
      <c r="I17332" t="s">
        <v>47127</v>
      </c>
      <c r="J17332" t="s">
        <v>47128</v>
      </c>
      <c r="K17332" t="s">
        <v>47113</v>
      </c>
      <c r="L17332">
        <v>12.54</v>
      </c>
      <c r="M17332">
        <v>28</v>
      </c>
      <c r="N17332">
        <v>0</v>
      </c>
      <c r="O17332">
        <v>28</v>
      </c>
      <c r="P17332">
        <v>0</v>
      </c>
    </row>
    <row r="17333" spans="1:16" x14ac:dyDescent="0.25">
      <c r="A17333" t="s">
        <v>39932</v>
      </c>
      <c r="B17333" t="s">
        <v>14326</v>
      </c>
      <c r="C17333" t="s">
        <v>14327</v>
      </c>
      <c r="D17333" t="str">
        <f>"4542"</f>
        <v>4542</v>
      </c>
      <c r="E17333" t="s">
        <v>220</v>
      </c>
      <c r="F17333" t="s">
        <v>3558</v>
      </c>
      <c r="G17333" t="s">
        <v>47091</v>
      </c>
      <c r="H17333" t="s">
        <v>47055</v>
      </c>
      <c r="I17333" t="s">
        <v>47127</v>
      </c>
      <c r="J17333" t="s">
        <v>47128</v>
      </c>
      <c r="K17333" t="s">
        <v>47113</v>
      </c>
      <c r="L17333">
        <v>16.68</v>
      </c>
      <c r="M17333">
        <v>28</v>
      </c>
      <c r="N17333">
        <v>0</v>
      </c>
      <c r="O17333">
        <v>28</v>
      </c>
      <c r="P17333">
        <v>0</v>
      </c>
    </row>
    <row r="17334" spans="1:16" x14ac:dyDescent="0.25">
      <c r="A17334" t="s">
        <v>39933</v>
      </c>
      <c r="B17334" t="s">
        <v>14326</v>
      </c>
      <c r="C17334" t="s">
        <v>14327</v>
      </c>
      <c r="D17334" t="str">
        <f>"4645"</f>
        <v>4645</v>
      </c>
      <c r="E17334" t="s">
        <v>9770</v>
      </c>
      <c r="F17334" t="s">
        <v>3558</v>
      </c>
      <c r="G17334" t="s">
        <v>47091</v>
      </c>
      <c r="H17334" t="s">
        <v>47055</v>
      </c>
      <c r="I17334" t="s">
        <v>47127</v>
      </c>
      <c r="J17334" t="s">
        <v>47128</v>
      </c>
      <c r="K17334" t="s">
        <v>47113</v>
      </c>
      <c r="L17334">
        <v>12.54</v>
      </c>
      <c r="M17334">
        <v>28</v>
      </c>
      <c r="N17334">
        <v>0</v>
      </c>
      <c r="O17334">
        <v>28</v>
      </c>
      <c r="P17334">
        <v>0</v>
      </c>
    </row>
    <row r="17335" spans="1:16" x14ac:dyDescent="0.25">
      <c r="A17335" t="s">
        <v>39934</v>
      </c>
      <c r="B17335" t="s">
        <v>14326</v>
      </c>
      <c r="C17335" t="s">
        <v>14327</v>
      </c>
      <c r="D17335" t="str">
        <f>"5301"</f>
        <v>5301</v>
      </c>
      <c r="E17335" t="s">
        <v>1940</v>
      </c>
      <c r="F17335" t="s">
        <v>3558</v>
      </c>
      <c r="G17335" t="s">
        <v>47091</v>
      </c>
      <c r="H17335" t="s">
        <v>47055</v>
      </c>
      <c r="I17335" t="s">
        <v>47127</v>
      </c>
      <c r="J17335" t="s">
        <v>47128</v>
      </c>
      <c r="K17335" t="s">
        <v>47113</v>
      </c>
      <c r="L17335">
        <v>12.54</v>
      </c>
      <c r="M17335">
        <v>28</v>
      </c>
      <c r="N17335">
        <v>0</v>
      </c>
      <c r="O17335">
        <v>28</v>
      </c>
      <c r="P17335">
        <v>0</v>
      </c>
    </row>
    <row r="17336" spans="1:16" x14ac:dyDescent="0.25">
      <c r="A17336" t="s">
        <v>39935</v>
      </c>
      <c r="B17336" t="s">
        <v>14326</v>
      </c>
      <c r="C17336" t="s">
        <v>14327</v>
      </c>
      <c r="D17336" t="str">
        <f>"6081"</f>
        <v>6081</v>
      </c>
      <c r="E17336" t="s">
        <v>11010</v>
      </c>
      <c r="F17336" t="s">
        <v>3558</v>
      </c>
      <c r="G17336" t="s">
        <v>47091</v>
      </c>
      <c r="H17336" t="s">
        <v>47055</v>
      </c>
      <c r="I17336" t="s">
        <v>47127</v>
      </c>
      <c r="J17336" t="s">
        <v>47128</v>
      </c>
      <c r="K17336" t="s">
        <v>47113</v>
      </c>
      <c r="L17336">
        <v>16.68</v>
      </c>
      <c r="M17336">
        <v>28</v>
      </c>
      <c r="N17336">
        <v>0</v>
      </c>
      <c r="O17336">
        <v>28</v>
      </c>
      <c r="P17336">
        <v>0</v>
      </c>
    </row>
    <row r="17337" spans="1:16" x14ac:dyDescent="0.25">
      <c r="A17337" t="s">
        <v>39936</v>
      </c>
      <c r="B17337" t="s">
        <v>14326</v>
      </c>
      <c r="C17337" t="s">
        <v>14327</v>
      </c>
      <c r="D17337" t="str">
        <f>"8206"</f>
        <v>8206</v>
      </c>
      <c r="E17337" t="s">
        <v>14203</v>
      </c>
      <c r="F17337" t="s">
        <v>3558</v>
      </c>
      <c r="G17337" t="s">
        <v>47091</v>
      </c>
      <c r="H17337" t="s">
        <v>47055</v>
      </c>
      <c r="I17337" t="s">
        <v>47127</v>
      </c>
      <c r="J17337" t="s">
        <v>47128</v>
      </c>
      <c r="K17337" t="s">
        <v>47113</v>
      </c>
      <c r="L17337">
        <v>12.54</v>
      </c>
      <c r="M17337">
        <v>28</v>
      </c>
      <c r="N17337">
        <v>0</v>
      </c>
      <c r="O17337">
        <v>28</v>
      </c>
      <c r="P17337">
        <v>0</v>
      </c>
    </row>
    <row r="17338" spans="1:16" x14ac:dyDescent="0.25">
      <c r="A17338" t="s">
        <v>39937</v>
      </c>
      <c r="B17338" t="s">
        <v>14328</v>
      </c>
      <c r="C17338" t="s">
        <v>14329</v>
      </c>
      <c r="D17338" t="str">
        <f>"1106"</f>
        <v>1106</v>
      </c>
      <c r="E17338" t="s">
        <v>460</v>
      </c>
      <c r="F17338" t="s">
        <v>3558</v>
      </c>
      <c r="G17338" t="s">
        <v>47091</v>
      </c>
      <c r="H17338" t="s">
        <v>47055</v>
      </c>
      <c r="I17338" t="s">
        <v>47127</v>
      </c>
      <c r="J17338" t="s">
        <v>47128</v>
      </c>
      <c r="K17338" t="s">
        <v>47113</v>
      </c>
      <c r="L17338">
        <v>13.01</v>
      </c>
      <c r="M17338">
        <v>29</v>
      </c>
      <c r="N17338">
        <v>0</v>
      </c>
      <c r="O17338">
        <v>29</v>
      </c>
      <c r="P17338">
        <v>0</v>
      </c>
    </row>
    <row r="17339" spans="1:16" x14ac:dyDescent="0.25">
      <c r="A17339" t="s">
        <v>39938</v>
      </c>
      <c r="B17339" t="s">
        <v>14328</v>
      </c>
      <c r="C17339" t="s">
        <v>14329</v>
      </c>
      <c r="D17339" t="str">
        <f>"1377"</f>
        <v>1377</v>
      </c>
      <c r="E17339" t="s">
        <v>74</v>
      </c>
      <c r="F17339" t="s">
        <v>3558</v>
      </c>
      <c r="G17339" t="s">
        <v>47091</v>
      </c>
      <c r="H17339" t="s">
        <v>47055</v>
      </c>
      <c r="I17339" t="s">
        <v>47127</v>
      </c>
      <c r="J17339" t="s">
        <v>47128</v>
      </c>
      <c r="K17339" t="s">
        <v>47113</v>
      </c>
      <c r="L17339">
        <v>13.01</v>
      </c>
      <c r="M17339">
        <v>29</v>
      </c>
      <c r="N17339">
        <v>0</v>
      </c>
      <c r="O17339">
        <v>29</v>
      </c>
      <c r="P17339">
        <v>0</v>
      </c>
    </row>
    <row r="17340" spans="1:16" x14ac:dyDescent="0.25">
      <c r="A17340" t="s">
        <v>39939</v>
      </c>
      <c r="B17340" t="s">
        <v>14328</v>
      </c>
      <c r="C17340" t="s">
        <v>14329</v>
      </c>
      <c r="D17340" t="str">
        <f>"1700"</f>
        <v>1700</v>
      </c>
      <c r="E17340" t="s">
        <v>60</v>
      </c>
      <c r="F17340" t="s">
        <v>3558</v>
      </c>
      <c r="G17340" t="s">
        <v>47091</v>
      </c>
      <c r="H17340" t="s">
        <v>47055</v>
      </c>
      <c r="I17340" t="s">
        <v>47127</v>
      </c>
      <c r="J17340" t="s">
        <v>47128</v>
      </c>
      <c r="K17340" t="s">
        <v>47113</v>
      </c>
      <c r="L17340">
        <v>16.68</v>
      </c>
      <c r="M17340">
        <v>29</v>
      </c>
      <c r="N17340">
        <v>0</v>
      </c>
      <c r="O17340">
        <v>29</v>
      </c>
      <c r="P17340">
        <v>0</v>
      </c>
    </row>
    <row r="17341" spans="1:16" x14ac:dyDescent="0.25">
      <c r="A17341" t="s">
        <v>39940</v>
      </c>
      <c r="B17341" t="s">
        <v>14328</v>
      </c>
      <c r="C17341" t="s">
        <v>14329</v>
      </c>
      <c r="D17341" t="str">
        <f>"1889"</f>
        <v>1889</v>
      </c>
      <c r="E17341" t="s">
        <v>7101</v>
      </c>
      <c r="F17341" t="s">
        <v>3558</v>
      </c>
      <c r="G17341" t="s">
        <v>47091</v>
      </c>
      <c r="H17341" t="s">
        <v>47055</v>
      </c>
      <c r="I17341" t="s">
        <v>47127</v>
      </c>
      <c r="J17341" t="s">
        <v>47128</v>
      </c>
      <c r="K17341" t="s">
        <v>47113</v>
      </c>
      <c r="L17341">
        <v>16.68</v>
      </c>
      <c r="M17341">
        <v>29</v>
      </c>
      <c r="N17341">
        <v>0</v>
      </c>
      <c r="O17341">
        <v>29</v>
      </c>
      <c r="P17341">
        <v>0</v>
      </c>
    </row>
    <row r="17342" spans="1:16" x14ac:dyDescent="0.25">
      <c r="A17342" t="s">
        <v>39941</v>
      </c>
      <c r="B17342" t="s">
        <v>14328</v>
      </c>
      <c r="C17342" t="s">
        <v>14329</v>
      </c>
      <c r="D17342" t="str">
        <f>"3000"</f>
        <v>3000</v>
      </c>
      <c r="E17342" t="s">
        <v>14216</v>
      </c>
      <c r="F17342" t="s">
        <v>3558</v>
      </c>
      <c r="G17342" t="s">
        <v>47091</v>
      </c>
      <c r="H17342" t="s">
        <v>47055</v>
      </c>
      <c r="I17342" t="s">
        <v>47127</v>
      </c>
      <c r="J17342" t="s">
        <v>47128</v>
      </c>
      <c r="K17342" t="s">
        <v>47113</v>
      </c>
      <c r="L17342">
        <v>13.01</v>
      </c>
      <c r="M17342">
        <v>29</v>
      </c>
      <c r="N17342">
        <v>0</v>
      </c>
      <c r="O17342">
        <v>29</v>
      </c>
      <c r="P17342">
        <v>0</v>
      </c>
    </row>
    <row r="17343" spans="1:16" x14ac:dyDescent="0.25">
      <c r="A17343" t="s">
        <v>39942</v>
      </c>
      <c r="B17343" t="s">
        <v>14328</v>
      </c>
      <c r="C17343" t="s">
        <v>14329</v>
      </c>
      <c r="D17343" t="str">
        <f>"4645"</f>
        <v>4645</v>
      </c>
      <c r="E17343" t="s">
        <v>9770</v>
      </c>
      <c r="F17343" t="s">
        <v>3558</v>
      </c>
      <c r="G17343" t="s">
        <v>47091</v>
      </c>
      <c r="H17343" t="s">
        <v>47055</v>
      </c>
      <c r="I17343" t="s">
        <v>47127</v>
      </c>
      <c r="J17343" t="s">
        <v>47128</v>
      </c>
      <c r="K17343" t="s">
        <v>47113</v>
      </c>
      <c r="L17343">
        <v>13.01</v>
      </c>
      <c r="M17343">
        <v>29</v>
      </c>
      <c r="N17343">
        <v>0</v>
      </c>
      <c r="O17343">
        <v>29</v>
      </c>
      <c r="P17343">
        <v>0</v>
      </c>
    </row>
    <row r="17344" spans="1:16" x14ac:dyDescent="0.25">
      <c r="A17344" t="s">
        <v>39943</v>
      </c>
      <c r="B17344" t="s">
        <v>14328</v>
      </c>
      <c r="C17344" t="s">
        <v>14329</v>
      </c>
      <c r="D17344" t="str">
        <f>"5301"</f>
        <v>5301</v>
      </c>
      <c r="E17344" t="s">
        <v>1940</v>
      </c>
      <c r="F17344" t="s">
        <v>3558</v>
      </c>
      <c r="G17344" t="s">
        <v>47091</v>
      </c>
      <c r="H17344" t="s">
        <v>47055</v>
      </c>
      <c r="I17344" t="s">
        <v>47127</v>
      </c>
      <c r="J17344" t="s">
        <v>47128</v>
      </c>
      <c r="K17344" t="s">
        <v>47113</v>
      </c>
      <c r="L17344">
        <v>13.01</v>
      </c>
      <c r="M17344">
        <v>29</v>
      </c>
      <c r="N17344">
        <v>0</v>
      </c>
      <c r="O17344">
        <v>29</v>
      </c>
      <c r="P17344">
        <v>0</v>
      </c>
    </row>
    <row r="17345" spans="1:16" x14ac:dyDescent="0.25">
      <c r="A17345" t="s">
        <v>39944</v>
      </c>
      <c r="B17345" t="s">
        <v>14328</v>
      </c>
      <c r="C17345" t="s">
        <v>14329</v>
      </c>
      <c r="D17345" t="str">
        <f>"8206"</f>
        <v>8206</v>
      </c>
      <c r="E17345" t="s">
        <v>14203</v>
      </c>
      <c r="F17345" t="s">
        <v>3558</v>
      </c>
      <c r="G17345" t="s">
        <v>47091</v>
      </c>
      <c r="H17345" t="s">
        <v>47055</v>
      </c>
      <c r="I17345" t="s">
        <v>47127</v>
      </c>
      <c r="J17345" t="s">
        <v>47128</v>
      </c>
      <c r="K17345" t="s">
        <v>47113</v>
      </c>
      <c r="L17345">
        <v>13.01</v>
      </c>
      <c r="M17345">
        <v>29</v>
      </c>
      <c r="N17345">
        <v>0</v>
      </c>
      <c r="O17345">
        <v>29</v>
      </c>
      <c r="P17345">
        <v>0</v>
      </c>
    </row>
    <row r="17346" spans="1:16" x14ac:dyDescent="0.25">
      <c r="A17346" t="s">
        <v>39945</v>
      </c>
      <c r="B17346" t="s">
        <v>14330</v>
      </c>
      <c r="C17346" t="s">
        <v>14331</v>
      </c>
      <c r="D17346" t="str">
        <f>"1377"</f>
        <v>1377</v>
      </c>
      <c r="E17346" t="s">
        <v>74</v>
      </c>
      <c r="F17346" t="s">
        <v>3558</v>
      </c>
      <c r="G17346" t="s">
        <v>47091</v>
      </c>
      <c r="H17346" t="s">
        <v>47055</v>
      </c>
      <c r="I17346" t="s">
        <v>47127</v>
      </c>
      <c r="J17346" t="s">
        <v>47128</v>
      </c>
      <c r="K17346" t="s">
        <v>47113</v>
      </c>
      <c r="L17346">
        <v>12.54</v>
      </c>
      <c r="M17346">
        <v>28</v>
      </c>
      <c r="N17346">
        <v>0</v>
      </c>
      <c r="O17346">
        <v>28</v>
      </c>
      <c r="P17346">
        <v>0</v>
      </c>
    </row>
    <row r="17347" spans="1:16" x14ac:dyDescent="0.25">
      <c r="A17347" t="s">
        <v>39946</v>
      </c>
      <c r="B17347" t="s">
        <v>14330</v>
      </c>
      <c r="C17347" t="s">
        <v>14331</v>
      </c>
      <c r="D17347" t="str">
        <f>"1378"</f>
        <v>1378</v>
      </c>
      <c r="E17347" t="s">
        <v>388</v>
      </c>
      <c r="F17347" t="s">
        <v>3558</v>
      </c>
      <c r="G17347" t="s">
        <v>47091</v>
      </c>
      <c r="H17347" t="s">
        <v>47055</v>
      </c>
      <c r="I17347" t="s">
        <v>47127</v>
      </c>
      <c r="J17347" t="s">
        <v>47128</v>
      </c>
      <c r="K17347" t="s">
        <v>47113</v>
      </c>
      <c r="L17347">
        <v>12.54</v>
      </c>
      <c r="M17347">
        <v>28</v>
      </c>
      <c r="N17347">
        <v>0</v>
      </c>
      <c r="O17347">
        <v>28</v>
      </c>
      <c r="P17347">
        <v>0</v>
      </c>
    </row>
    <row r="17348" spans="1:16" x14ac:dyDescent="0.25">
      <c r="A17348" t="s">
        <v>39947</v>
      </c>
      <c r="B17348" t="s">
        <v>14330</v>
      </c>
      <c r="C17348" t="s">
        <v>14331</v>
      </c>
      <c r="D17348" t="str">
        <f>"1700"</f>
        <v>1700</v>
      </c>
      <c r="E17348" t="s">
        <v>60</v>
      </c>
      <c r="F17348" t="s">
        <v>3558</v>
      </c>
      <c r="G17348" t="s">
        <v>47091</v>
      </c>
      <c r="H17348" t="s">
        <v>47055</v>
      </c>
      <c r="I17348" t="s">
        <v>47127</v>
      </c>
      <c r="J17348" t="s">
        <v>47128</v>
      </c>
      <c r="K17348" t="s">
        <v>47113</v>
      </c>
      <c r="L17348">
        <v>12.54</v>
      </c>
      <c r="M17348">
        <v>28</v>
      </c>
      <c r="N17348">
        <v>0</v>
      </c>
      <c r="O17348">
        <v>28</v>
      </c>
      <c r="P17348">
        <v>0</v>
      </c>
    </row>
    <row r="17349" spans="1:16" x14ac:dyDescent="0.25">
      <c r="A17349" t="s">
        <v>39948</v>
      </c>
      <c r="B17349" t="s">
        <v>14330</v>
      </c>
      <c r="C17349" t="s">
        <v>14331</v>
      </c>
      <c r="D17349" t="str">
        <f>"1889"</f>
        <v>1889</v>
      </c>
      <c r="E17349" t="s">
        <v>7101</v>
      </c>
      <c r="F17349" t="s">
        <v>3558</v>
      </c>
      <c r="G17349" t="s">
        <v>47091</v>
      </c>
      <c r="H17349" t="s">
        <v>47055</v>
      </c>
      <c r="I17349" t="s">
        <v>47127</v>
      </c>
      <c r="J17349" t="s">
        <v>47128</v>
      </c>
      <c r="K17349" t="s">
        <v>47113</v>
      </c>
      <c r="L17349">
        <v>12.54</v>
      </c>
      <c r="M17349">
        <v>28</v>
      </c>
      <c r="N17349">
        <v>0</v>
      </c>
      <c r="O17349">
        <v>28</v>
      </c>
      <c r="P17349">
        <v>0</v>
      </c>
    </row>
    <row r="17350" spans="1:16" x14ac:dyDescent="0.25">
      <c r="A17350" t="s">
        <v>39949</v>
      </c>
      <c r="B17350" t="s">
        <v>14330</v>
      </c>
      <c r="C17350" t="s">
        <v>14331</v>
      </c>
      <c r="D17350" t="str">
        <f>"4542"</f>
        <v>4542</v>
      </c>
      <c r="E17350" t="s">
        <v>220</v>
      </c>
      <c r="F17350" t="s">
        <v>3558</v>
      </c>
      <c r="G17350" t="s">
        <v>47091</v>
      </c>
      <c r="H17350" t="s">
        <v>47055</v>
      </c>
      <c r="I17350" t="s">
        <v>47127</v>
      </c>
      <c r="J17350" t="s">
        <v>47128</v>
      </c>
      <c r="K17350" t="s">
        <v>47113</v>
      </c>
      <c r="L17350">
        <v>12.54</v>
      </c>
      <c r="M17350">
        <v>28</v>
      </c>
      <c r="N17350">
        <v>0</v>
      </c>
      <c r="O17350">
        <v>28</v>
      </c>
      <c r="P17350">
        <v>0</v>
      </c>
    </row>
    <row r="17351" spans="1:16" x14ac:dyDescent="0.25">
      <c r="A17351" t="s">
        <v>39950</v>
      </c>
      <c r="B17351" t="s">
        <v>14330</v>
      </c>
      <c r="C17351" t="s">
        <v>14331</v>
      </c>
      <c r="D17351" t="str">
        <f>"5301"</f>
        <v>5301</v>
      </c>
      <c r="E17351" t="s">
        <v>1940</v>
      </c>
      <c r="F17351" t="s">
        <v>3558</v>
      </c>
      <c r="G17351" t="s">
        <v>47091</v>
      </c>
      <c r="H17351" t="s">
        <v>47055</v>
      </c>
      <c r="I17351" t="s">
        <v>47127</v>
      </c>
      <c r="J17351" t="s">
        <v>47128</v>
      </c>
      <c r="K17351" t="s">
        <v>47113</v>
      </c>
      <c r="L17351">
        <v>12.54</v>
      </c>
      <c r="M17351">
        <v>28</v>
      </c>
      <c r="N17351">
        <v>0</v>
      </c>
      <c r="O17351">
        <v>28</v>
      </c>
      <c r="P17351">
        <v>0</v>
      </c>
    </row>
    <row r="17352" spans="1:16" x14ac:dyDescent="0.25">
      <c r="A17352" t="s">
        <v>39951</v>
      </c>
      <c r="B17352" t="s">
        <v>14332</v>
      </c>
      <c r="C17352" t="s">
        <v>14333</v>
      </c>
      <c r="D17352" t="str">
        <f>"1377"</f>
        <v>1377</v>
      </c>
      <c r="E17352" t="s">
        <v>74</v>
      </c>
      <c r="F17352" t="s">
        <v>3558</v>
      </c>
      <c r="G17352" t="s">
        <v>47091</v>
      </c>
      <c r="H17352" t="s">
        <v>47055</v>
      </c>
      <c r="I17352" t="s">
        <v>47127</v>
      </c>
      <c r="J17352" t="s">
        <v>47128</v>
      </c>
      <c r="K17352" t="s">
        <v>47113</v>
      </c>
      <c r="L17352">
        <v>18.97</v>
      </c>
      <c r="M17352">
        <v>31</v>
      </c>
      <c r="N17352">
        <v>0</v>
      </c>
      <c r="O17352">
        <v>31</v>
      </c>
      <c r="P17352">
        <v>0</v>
      </c>
    </row>
    <row r="17353" spans="1:16" x14ac:dyDescent="0.25">
      <c r="A17353" t="s">
        <v>39952</v>
      </c>
      <c r="B17353" t="s">
        <v>14332</v>
      </c>
      <c r="C17353" t="s">
        <v>14333</v>
      </c>
      <c r="D17353" t="str">
        <f>"1378"</f>
        <v>1378</v>
      </c>
      <c r="E17353" t="s">
        <v>388</v>
      </c>
      <c r="F17353" t="s">
        <v>3558</v>
      </c>
      <c r="G17353" t="s">
        <v>47091</v>
      </c>
      <c r="H17353" t="s">
        <v>47055</v>
      </c>
      <c r="I17353" t="s">
        <v>47127</v>
      </c>
      <c r="J17353" t="s">
        <v>47128</v>
      </c>
      <c r="K17353" t="s">
        <v>47113</v>
      </c>
      <c r="L17353">
        <v>18.97</v>
      </c>
      <c r="M17353">
        <v>31</v>
      </c>
      <c r="N17353">
        <v>0</v>
      </c>
      <c r="O17353">
        <v>31</v>
      </c>
      <c r="P17353">
        <v>0</v>
      </c>
    </row>
    <row r="17354" spans="1:16" x14ac:dyDescent="0.25">
      <c r="A17354" t="s">
        <v>39953</v>
      </c>
      <c r="B17354" t="s">
        <v>14332</v>
      </c>
      <c r="C17354" t="s">
        <v>14333</v>
      </c>
      <c r="D17354" t="str">
        <f>"1700"</f>
        <v>1700</v>
      </c>
      <c r="E17354" t="s">
        <v>60</v>
      </c>
      <c r="F17354" t="s">
        <v>3558</v>
      </c>
      <c r="G17354" t="s">
        <v>47091</v>
      </c>
      <c r="H17354" t="s">
        <v>47055</v>
      </c>
      <c r="I17354" t="s">
        <v>47127</v>
      </c>
      <c r="J17354" t="s">
        <v>47128</v>
      </c>
      <c r="K17354" t="s">
        <v>47113</v>
      </c>
      <c r="L17354">
        <v>18.97</v>
      </c>
      <c r="M17354">
        <v>31</v>
      </c>
      <c r="N17354">
        <v>0</v>
      </c>
      <c r="O17354">
        <v>31</v>
      </c>
      <c r="P17354">
        <v>0</v>
      </c>
    </row>
    <row r="17355" spans="1:16" x14ac:dyDescent="0.25">
      <c r="A17355" t="s">
        <v>39954</v>
      </c>
      <c r="B17355" t="s">
        <v>14332</v>
      </c>
      <c r="C17355" t="s">
        <v>14333</v>
      </c>
      <c r="D17355" t="str">
        <f>"1889"</f>
        <v>1889</v>
      </c>
      <c r="E17355" t="s">
        <v>7101</v>
      </c>
      <c r="F17355" t="s">
        <v>3558</v>
      </c>
      <c r="G17355" t="s">
        <v>47091</v>
      </c>
      <c r="H17355" t="s">
        <v>47055</v>
      </c>
      <c r="I17355" t="s">
        <v>47127</v>
      </c>
      <c r="J17355" t="s">
        <v>47128</v>
      </c>
      <c r="K17355" t="s">
        <v>47113</v>
      </c>
      <c r="L17355">
        <v>14.21</v>
      </c>
      <c r="M17355">
        <v>31</v>
      </c>
      <c r="N17355">
        <v>0</v>
      </c>
      <c r="O17355">
        <v>31</v>
      </c>
      <c r="P17355">
        <v>0</v>
      </c>
    </row>
    <row r="17356" spans="1:16" x14ac:dyDescent="0.25">
      <c r="A17356" t="s">
        <v>39955</v>
      </c>
      <c r="B17356" t="s">
        <v>14332</v>
      </c>
      <c r="C17356" t="s">
        <v>14333</v>
      </c>
      <c r="D17356" t="str">
        <f>"4542"</f>
        <v>4542</v>
      </c>
      <c r="E17356" t="s">
        <v>220</v>
      </c>
      <c r="F17356" t="s">
        <v>3558</v>
      </c>
      <c r="G17356" t="s">
        <v>47091</v>
      </c>
      <c r="H17356" t="s">
        <v>47055</v>
      </c>
      <c r="I17356" t="s">
        <v>47127</v>
      </c>
      <c r="J17356" t="s">
        <v>47128</v>
      </c>
      <c r="K17356" t="s">
        <v>47113</v>
      </c>
      <c r="L17356">
        <v>14.21</v>
      </c>
      <c r="M17356">
        <v>31</v>
      </c>
      <c r="N17356">
        <v>0</v>
      </c>
      <c r="O17356">
        <v>31</v>
      </c>
      <c r="P17356">
        <v>0</v>
      </c>
    </row>
    <row r="17357" spans="1:16" x14ac:dyDescent="0.25">
      <c r="A17357" t="s">
        <v>39956</v>
      </c>
      <c r="B17357" t="s">
        <v>14332</v>
      </c>
      <c r="C17357" t="s">
        <v>14333</v>
      </c>
      <c r="D17357" t="str">
        <f>"4643"</f>
        <v>4643</v>
      </c>
      <c r="E17357" t="s">
        <v>205</v>
      </c>
      <c r="F17357" t="s">
        <v>3558</v>
      </c>
      <c r="G17357" t="s">
        <v>47091</v>
      </c>
      <c r="H17357" t="s">
        <v>47055</v>
      </c>
      <c r="I17357" t="s">
        <v>47127</v>
      </c>
      <c r="J17357" t="s">
        <v>47128</v>
      </c>
      <c r="K17357" t="s">
        <v>47113</v>
      </c>
      <c r="L17357">
        <v>14.21</v>
      </c>
      <c r="M17357">
        <v>31</v>
      </c>
      <c r="N17357">
        <v>0</v>
      </c>
      <c r="O17357">
        <v>31</v>
      </c>
      <c r="P17357">
        <v>0</v>
      </c>
    </row>
    <row r="17358" spans="1:16" x14ac:dyDescent="0.25">
      <c r="A17358" t="s">
        <v>39957</v>
      </c>
      <c r="B17358" t="s">
        <v>14332</v>
      </c>
      <c r="C17358" t="s">
        <v>14333</v>
      </c>
      <c r="D17358" t="str">
        <f>"5301"</f>
        <v>5301</v>
      </c>
      <c r="E17358" t="s">
        <v>1940</v>
      </c>
      <c r="F17358" t="s">
        <v>3558</v>
      </c>
      <c r="G17358" t="s">
        <v>47091</v>
      </c>
      <c r="H17358" t="s">
        <v>47055</v>
      </c>
      <c r="I17358" t="s">
        <v>47127</v>
      </c>
      <c r="J17358" t="s">
        <v>47128</v>
      </c>
      <c r="K17358" t="s">
        <v>47113</v>
      </c>
      <c r="L17358">
        <v>14.21</v>
      </c>
      <c r="M17358">
        <v>31</v>
      </c>
      <c r="N17358">
        <v>0</v>
      </c>
      <c r="O17358">
        <v>31</v>
      </c>
      <c r="P17358">
        <v>0</v>
      </c>
    </row>
    <row r="17359" spans="1:16" x14ac:dyDescent="0.25">
      <c r="A17359" t="s">
        <v>39958</v>
      </c>
      <c r="B17359" t="s">
        <v>14332</v>
      </c>
      <c r="C17359" t="s">
        <v>14333</v>
      </c>
      <c r="D17359" t="str">
        <f>"8206"</f>
        <v>8206</v>
      </c>
      <c r="E17359" t="s">
        <v>14203</v>
      </c>
      <c r="F17359" t="s">
        <v>3558</v>
      </c>
      <c r="G17359" t="s">
        <v>47091</v>
      </c>
      <c r="H17359" t="s">
        <v>47055</v>
      </c>
      <c r="I17359" t="s">
        <v>47127</v>
      </c>
      <c r="J17359" t="s">
        <v>47128</v>
      </c>
      <c r="K17359" t="s">
        <v>47113</v>
      </c>
      <c r="L17359">
        <v>14.21</v>
      </c>
      <c r="M17359">
        <v>31</v>
      </c>
      <c r="N17359">
        <v>0</v>
      </c>
      <c r="O17359">
        <v>31</v>
      </c>
      <c r="P17359">
        <v>0</v>
      </c>
    </row>
    <row r="17360" spans="1:16" x14ac:dyDescent="0.25">
      <c r="A17360" t="s">
        <v>39959</v>
      </c>
      <c r="B17360" t="s">
        <v>15849</v>
      </c>
      <c r="C17360" t="s">
        <v>15850</v>
      </c>
      <c r="D17360" t="str">
        <f>"1106"</f>
        <v>1106</v>
      </c>
      <c r="E17360" t="s">
        <v>460</v>
      </c>
      <c r="F17360" t="s">
        <v>3558</v>
      </c>
      <c r="G17360" t="s">
        <v>47095</v>
      </c>
      <c r="H17360" t="s">
        <v>47055</v>
      </c>
      <c r="I17360" t="s">
        <v>47127</v>
      </c>
      <c r="J17360" t="s">
        <v>47128</v>
      </c>
      <c r="K17360" t="s">
        <v>47113</v>
      </c>
      <c r="L17360">
        <v>26.26</v>
      </c>
      <c r="M17360">
        <v>58</v>
      </c>
      <c r="N17360">
        <v>0</v>
      </c>
      <c r="O17360">
        <v>58</v>
      </c>
      <c r="P17360">
        <v>0</v>
      </c>
    </row>
    <row r="17361" spans="1:16" x14ac:dyDescent="0.25">
      <c r="A17361" t="s">
        <v>39960</v>
      </c>
      <c r="B17361" t="s">
        <v>15849</v>
      </c>
      <c r="C17361" t="s">
        <v>15850</v>
      </c>
      <c r="D17361" t="str">
        <f>"1700"</f>
        <v>1700</v>
      </c>
      <c r="E17361" t="s">
        <v>60</v>
      </c>
      <c r="F17361" t="s">
        <v>3558</v>
      </c>
      <c r="G17361" t="s">
        <v>47095</v>
      </c>
      <c r="H17361" t="s">
        <v>47055</v>
      </c>
      <c r="I17361" t="s">
        <v>47127</v>
      </c>
      <c r="J17361" t="s">
        <v>47128</v>
      </c>
      <c r="K17361" t="s">
        <v>47113</v>
      </c>
      <c r="L17361">
        <v>26.26</v>
      </c>
      <c r="M17361">
        <v>58</v>
      </c>
      <c r="N17361">
        <v>0</v>
      </c>
      <c r="O17361">
        <v>58</v>
      </c>
      <c r="P17361">
        <v>0</v>
      </c>
    </row>
    <row r="17362" spans="1:16" x14ac:dyDescent="0.25">
      <c r="A17362" t="s">
        <v>39961</v>
      </c>
      <c r="B17362" t="s">
        <v>14334</v>
      </c>
      <c r="C17362" t="s">
        <v>14335</v>
      </c>
      <c r="D17362" t="str">
        <f>"1106"</f>
        <v>1106</v>
      </c>
      <c r="E17362" t="s">
        <v>460</v>
      </c>
      <c r="F17362" t="s">
        <v>3558</v>
      </c>
      <c r="G17362" t="s">
        <v>47091</v>
      </c>
      <c r="H17362" t="s">
        <v>47055</v>
      </c>
      <c r="I17362" t="s">
        <v>47127</v>
      </c>
      <c r="J17362" t="s">
        <v>47128</v>
      </c>
      <c r="K17362" t="s">
        <v>47113</v>
      </c>
      <c r="L17362">
        <v>21.26</v>
      </c>
      <c r="M17362">
        <v>34</v>
      </c>
      <c r="N17362">
        <v>0</v>
      </c>
      <c r="O17362">
        <v>34</v>
      </c>
      <c r="P17362">
        <v>0</v>
      </c>
    </row>
    <row r="17363" spans="1:16" x14ac:dyDescent="0.25">
      <c r="A17363" t="s">
        <v>39962</v>
      </c>
      <c r="B17363" t="s">
        <v>14334</v>
      </c>
      <c r="C17363" t="s">
        <v>14335</v>
      </c>
      <c r="D17363" t="str">
        <f>"1377"</f>
        <v>1377</v>
      </c>
      <c r="E17363" t="s">
        <v>74</v>
      </c>
      <c r="F17363" t="s">
        <v>3558</v>
      </c>
      <c r="G17363" t="s">
        <v>47091</v>
      </c>
      <c r="H17363" t="s">
        <v>47055</v>
      </c>
      <c r="I17363" t="s">
        <v>47127</v>
      </c>
      <c r="J17363" t="s">
        <v>47128</v>
      </c>
      <c r="K17363" t="s">
        <v>47113</v>
      </c>
      <c r="L17363">
        <v>15.4</v>
      </c>
      <c r="M17363">
        <v>34</v>
      </c>
      <c r="N17363">
        <v>0</v>
      </c>
      <c r="O17363">
        <v>34</v>
      </c>
      <c r="P17363">
        <v>0</v>
      </c>
    </row>
    <row r="17364" spans="1:16" x14ac:dyDescent="0.25">
      <c r="A17364" t="s">
        <v>39963</v>
      </c>
      <c r="B17364" t="s">
        <v>14334</v>
      </c>
      <c r="C17364" t="s">
        <v>14335</v>
      </c>
      <c r="D17364" t="str">
        <f>"1700"</f>
        <v>1700</v>
      </c>
      <c r="E17364" t="s">
        <v>60</v>
      </c>
      <c r="F17364" t="s">
        <v>14444</v>
      </c>
      <c r="G17364" t="s">
        <v>47091</v>
      </c>
      <c r="H17364" t="s">
        <v>47055</v>
      </c>
      <c r="I17364" t="s">
        <v>47127</v>
      </c>
      <c r="J17364" t="s">
        <v>47128</v>
      </c>
      <c r="K17364" t="s">
        <v>47113</v>
      </c>
      <c r="L17364">
        <v>21.26</v>
      </c>
      <c r="M17364">
        <v>34</v>
      </c>
      <c r="N17364">
        <v>0</v>
      </c>
      <c r="O17364">
        <v>34</v>
      </c>
      <c r="P17364">
        <v>0</v>
      </c>
    </row>
    <row r="17365" spans="1:16" x14ac:dyDescent="0.25">
      <c r="A17365" t="s">
        <v>39964</v>
      </c>
      <c r="B17365" t="s">
        <v>14334</v>
      </c>
      <c r="C17365" t="s">
        <v>14335</v>
      </c>
      <c r="D17365" t="str">
        <f>"1889"</f>
        <v>1889</v>
      </c>
      <c r="E17365" t="s">
        <v>7101</v>
      </c>
      <c r="F17365" t="s">
        <v>3558</v>
      </c>
      <c r="G17365" t="s">
        <v>47091</v>
      </c>
      <c r="H17365" t="s">
        <v>47055</v>
      </c>
      <c r="I17365" t="s">
        <v>47127</v>
      </c>
      <c r="J17365" t="s">
        <v>47128</v>
      </c>
      <c r="K17365" t="s">
        <v>47113</v>
      </c>
      <c r="L17365">
        <v>15.4</v>
      </c>
      <c r="M17365">
        <v>34</v>
      </c>
      <c r="N17365">
        <v>0</v>
      </c>
      <c r="O17365">
        <v>34</v>
      </c>
      <c r="P17365">
        <v>0</v>
      </c>
    </row>
    <row r="17366" spans="1:16" x14ac:dyDescent="0.25">
      <c r="A17366" t="s">
        <v>39965</v>
      </c>
      <c r="B17366" t="s">
        <v>14334</v>
      </c>
      <c r="C17366" t="s">
        <v>14335</v>
      </c>
      <c r="D17366" t="str">
        <f>"3000"</f>
        <v>3000</v>
      </c>
      <c r="E17366" t="s">
        <v>14216</v>
      </c>
      <c r="F17366" t="s">
        <v>3558</v>
      </c>
      <c r="G17366" t="s">
        <v>47091</v>
      </c>
      <c r="H17366" t="s">
        <v>47055</v>
      </c>
      <c r="I17366" t="s">
        <v>47127</v>
      </c>
      <c r="J17366" t="s">
        <v>47128</v>
      </c>
      <c r="K17366" t="s">
        <v>47113</v>
      </c>
      <c r="L17366">
        <v>15.4</v>
      </c>
      <c r="M17366">
        <v>34</v>
      </c>
      <c r="N17366">
        <v>0</v>
      </c>
      <c r="O17366">
        <v>34</v>
      </c>
      <c r="P17366">
        <v>0</v>
      </c>
    </row>
    <row r="17367" spans="1:16" x14ac:dyDescent="0.25">
      <c r="A17367" t="s">
        <v>39966</v>
      </c>
      <c r="B17367" t="s">
        <v>14334</v>
      </c>
      <c r="C17367" t="s">
        <v>14335</v>
      </c>
      <c r="D17367" t="str">
        <f>"4542"</f>
        <v>4542</v>
      </c>
      <c r="E17367" t="s">
        <v>220</v>
      </c>
      <c r="F17367" t="s">
        <v>3558</v>
      </c>
      <c r="G17367" t="s">
        <v>47091</v>
      </c>
      <c r="H17367" t="s">
        <v>47055</v>
      </c>
      <c r="I17367" t="s">
        <v>47127</v>
      </c>
      <c r="J17367" t="s">
        <v>47128</v>
      </c>
      <c r="K17367" t="s">
        <v>47113</v>
      </c>
      <c r="L17367">
        <v>15.4</v>
      </c>
      <c r="M17367">
        <v>34</v>
      </c>
      <c r="N17367">
        <v>0</v>
      </c>
      <c r="O17367">
        <v>34</v>
      </c>
      <c r="P17367">
        <v>0</v>
      </c>
    </row>
    <row r="17368" spans="1:16" x14ac:dyDescent="0.25">
      <c r="A17368" t="s">
        <v>39967</v>
      </c>
      <c r="B17368" t="s">
        <v>14334</v>
      </c>
      <c r="C17368" t="s">
        <v>14335</v>
      </c>
      <c r="D17368" t="str">
        <f>"4645"</f>
        <v>4645</v>
      </c>
      <c r="E17368" t="s">
        <v>9770</v>
      </c>
      <c r="F17368" t="s">
        <v>3558</v>
      </c>
      <c r="G17368" t="s">
        <v>47091</v>
      </c>
      <c r="H17368" t="s">
        <v>47055</v>
      </c>
      <c r="I17368" t="s">
        <v>47127</v>
      </c>
      <c r="J17368" t="s">
        <v>47128</v>
      </c>
      <c r="K17368" t="s">
        <v>47113</v>
      </c>
      <c r="L17368">
        <v>15.4</v>
      </c>
      <c r="M17368">
        <v>34</v>
      </c>
      <c r="N17368">
        <v>0</v>
      </c>
      <c r="O17368">
        <v>34</v>
      </c>
      <c r="P17368">
        <v>0</v>
      </c>
    </row>
    <row r="17369" spans="1:16" x14ac:dyDescent="0.25">
      <c r="A17369" t="s">
        <v>39968</v>
      </c>
      <c r="B17369" t="s">
        <v>14334</v>
      </c>
      <c r="C17369" t="s">
        <v>14335</v>
      </c>
      <c r="D17369" t="str">
        <f>"5301"</f>
        <v>5301</v>
      </c>
      <c r="E17369" t="s">
        <v>1940</v>
      </c>
      <c r="F17369" t="s">
        <v>3558</v>
      </c>
      <c r="G17369" t="s">
        <v>47091</v>
      </c>
      <c r="H17369" t="s">
        <v>47055</v>
      </c>
      <c r="I17369" t="s">
        <v>47127</v>
      </c>
      <c r="J17369" t="s">
        <v>47128</v>
      </c>
      <c r="K17369" t="s">
        <v>47113</v>
      </c>
      <c r="L17369">
        <v>15.4</v>
      </c>
      <c r="M17369">
        <v>34</v>
      </c>
      <c r="N17369">
        <v>0</v>
      </c>
      <c r="O17369">
        <v>34</v>
      </c>
      <c r="P17369">
        <v>0</v>
      </c>
    </row>
    <row r="17370" spans="1:16" x14ac:dyDescent="0.25">
      <c r="A17370" t="s">
        <v>39969</v>
      </c>
      <c r="B17370" t="s">
        <v>14334</v>
      </c>
      <c r="C17370" t="s">
        <v>14335</v>
      </c>
      <c r="D17370" t="str">
        <f>"6081"</f>
        <v>6081</v>
      </c>
      <c r="E17370" t="s">
        <v>11010</v>
      </c>
      <c r="F17370" t="s">
        <v>3558</v>
      </c>
      <c r="G17370" t="s">
        <v>47091</v>
      </c>
      <c r="H17370" t="s">
        <v>47055</v>
      </c>
      <c r="I17370" t="s">
        <v>47127</v>
      </c>
      <c r="J17370" t="s">
        <v>47128</v>
      </c>
      <c r="K17370" t="s">
        <v>47113</v>
      </c>
      <c r="L17370">
        <v>21.26</v>
      </c>
      <c r="M17370">
        <v>34</v>
      </c>
      <c r="N17370">
        <v>0</v>
      </c>
      <c r="O17370">
        <v>34</v>
      </c>
      <c r="P17370">
        <v>0</v>
      </c>
    </row>
    <row r="17371" spans="1:16" x14ac:dyDescent="0.25">
      <c r="A17371" t="s">
        <v>39970</v>
      </c>
      <c r="B17371" t="s">
        <v>14334</v>
      </c>
      <c r="C17371" t="s">
        <v>14335</v>
      </c>
      <c r="D17371" t="str">
        <f>"8206"</f>
        <v>8206</v>
      </c>
      <c r="E17371" t="s">
        <v>14203</v>
      </c>
      <c r="F17371" t="s">
        <v>3558</v>
      </c>
      <c r="G17371" t="s">
        <v>47091</v>
      </c>
      <c r="H17371" t="s">
        <v>47055</v>
      </c>
      <c r="I17371" t="s">
        <v>47127</v>
      </c>
      <c r="J17371" t="s">
        <v>47128</v>
      </c>
      <c r="K17371" t="s">
        <v>47113</v>
      </c>
      <c r="L17371">
        <v>15.4</v>
      </c>
      <c r="M17371">
        <v>34</v>
      </c>
      <c r="N17371">
        <v>0</v>
      </c>
      <c r="O17371">
        <v>34</v>
      </c>
      <c r="P17371">
        <v>0</v>
      </c>
    </row>
    <row r="17372" spans="1:16" x14ac:dyDescent="0.25">
      <c r="A17372" t="s">
        <v>39971</v>
      </c>
      <c r="B17372" t="s">
        <v>14336</v>
      </c>
      <c r="C17372" t="s">
        <v>14337</v>
      </c>
      <c r="D17372" t="str">
        <f>"1377"</f>
        <v>1377</v>
      </c>
      <c r="E17372" t="s">
        <v>74</v>
      </c>
      <c r="F17372" t="s">
        <v>3558</v>
      </c>
      <c r="G17372" t="s">
        <v>47091</v>
      </c>
      <c r="H17372" t="s">
        <v>47055</v>
      </c>
      <c r="I17372" t="s">
        <v>47127</v>
      </c>
      <c r="J17372" t="s">
        <v>47128</v>
      </c>
      <c r="K17372" t="s">
        <v>47113</v>
      </c>
      <c r="L17372">
        <v>15.4</v>
      </c>
      <c r="M17372">
        <v>34</v>
      </c>
      <c r="N17372">
        <v>0</v>
      </c>
      <c r="O17372">
        <v>34</v>
      </c>
      <c r="P17372">
        <v>0</v>
      </c>
    </row>
    <row r="17373" spans="1:16" x14ac:dyDescent="0.25">
      <c r="A17373" t="s">
        <v>39972</v>
      </c>
      <c r="B17373" t="s">
        <v>14336</v>
      </c>
      <c r="C17373" t="s">
        <v>14337</v>
      </c>
      <c r="D17373" t="str">
        <f>"1378"</f>
        <v>1378</v>
      </c>
      <c r="E17373" t="s">
        <v>388</v>
      </c>
      <c r="F17373" t="s">
        <v>3558</v>
      </c>
      <c r="G17373" t="s">
        <v>47091</v>
      </c>
      <c r="H17373" t="s">
        <v>47055</v>
      </c>
      <c r="I17373" t="s">
        <v>47127</v>
      </c>
      <c r="J17373" t="s">
        <v>47128</v>
      </c>
      <c r="K17373" t="s">
        <v>47113</v>
      </c>
      <c r="L17373">
        <v>21.26</v>
      </c>
      <c r="M17373">
        <v>34</v>
      </c>
      <c r="N17373">
        <v>0</v>
      </c>
      <c r="O17373">
        <v>34</v>
      </c>
      <c r="P17373">
        <v>0</v>
      </c>
    </row>
    <row r="17374" spans="1:16" x14ac:dyDescent="0.25">
      <c r="A17374" t="s">
        <v>39973</v>
      </c>
      <c r="B17374" t="s">
        <v>14336</v>
      </c>
      <c r="C17374" t="s">
        <v>14337</v>
      </c>
      <c r="D17374" t="str">
        <f>"1700"</f>
        <v>1700</v>
      </c>
      <c r="E17374" t="s">
        <v>60</v>
      </c>
      <c r="F17374" t="s">
        <v>3558</v>
      </c>
      <c r="G17374" t="s">
        <v>47091</v>
      </c>
      <c r="H17374" t="s">
        <v>47055</v>
      </c>
      <c r="I17374" t="s">
        <v>47127</v>
      </c>
      <c r="J17374" t="s">
        <v>47128</v>
      </c>
      <c r="K17374" t="s">
        <v>47113</v>
      </c>
      <c r="L17374">
        <v>15.4</v>
      </c>
      <c r="M17374">
        <v>34</v>
      </c>
      <c r="N17374">
        <v>0</v>
      </c>
      <c r="O17374">
        <v>34</v>
      </c>
      <c r="P17374">
        <v>0</v>
      </c>
    </row>
    <row r="17375" spans="1:16" x14ac:dyDescent="0.25">
      <c r="A17375" t="s">
        <v>39974</v>
      </c>
      <c r="B17375" t="s">
        <v>14336</v>
      </c>
      <c r="C17375" t="s">
        <v>14337</v>
      </c>
      <c r="D17375" t="str">
        <f>"1889"</f>
        <v>1889</v>
      </c>
      <c r="E17375" t="s">
        <v>7101</v>
      </c>
      <c r="F17375" t="s">
        <v>3558</v>
      </c>
      <c r="G17375" t="s">
        <v>47091</v>
      </c>
      <c r="H17375" t="s">
        <v>47055</v>
      </c>
      <c r="I17375" t="s">
        <v>47127</v>
      </c>
      <c r="J17375" t="s">
        <v>47128</v>
      </c>
      <c r="K17375" t="s">
        <v>47113</v>
      </c>
      <c r="L17375">
        <v>15.4</v>
      </c>
      <c r="M17375">
        <v>34</v>
      </c>
      <c r="N17375">
        <v>0</v>
      </c>
      <c r="O17375">
        <v>34</v>
      </c>
      <c r="P17375">
        <v>0</v>
      </c>
    </row>
    <row r="17376" spans="1:16" x14ac:dyDescent="0.25">
      <c r="A17376" t="s">
        <v>39975</v>
      </c>
      <c r="B17376" t="s">
        <v>14336</v>
      </c>
      <c r="C17376" t="s">
        <v>14337</v>
      </c>
      <c r="D17376" t="str">
        <f>"3000"</f>
        <v>3000</v>
      </c>
      <c r="E17376" t="s">
        <v>14216</v>
      </c>
      <c r="F17376" t="s">
        <v>3558</v>
      </c>
      <c r="G17376" t="s">
        <v>47091</v>
      </c>
      <c r="H17376" t="s">
        <v>47055</v>
      </c>
      <c r="I17376" t="s">
        <v>47127</v>
      </c>
      <c r="J17376" t="s">
        <v>47128</v>
      </c>
      <c r="K17376" t="s">
        <v>47113</v>
      </c>
      <c r="L17376">
        <v>15.4</v>
      </c>
      <c r="M17376">
        <v>34</v>
      </c>
      <c r="N17376">
        <v>0</v>
      </c>
      <c r="O17376">
        <v>34</v>
      </c>
      <c r="P17376">
        <v>0</v>
      </c>
    </row>
    <row r="17377" spans="1:16" x14ac:dyDescent="0.25">
      <c r="A17377" t="s">
        <v>39976</v>
      </c>
      <c r="B17377" t="s">
        <v>14336</v>
      </c>
      <c r="C17377" t="s">
        <v>14337</v>
      </c>
      <c r="D17377" t="str">
        <f>"4542"</f>
        <v>4542</v>
      </c>
      <c r="E17377" t="s">
        <v>220</v>
      </c>
      <c r="F17377" t="s">
        <v>3558</v>
      </c>
      <c r="G17377" t="s">
        <v>47091</v>
      </c>
      <c r="H17377" t="s">
        <v>47055</v>
      </c>
      <c r="I17377" t="s">
        <v>47127</v>
      </c>
      <c r="J17377" t="s">
        <v>47128</v>
      </c>
      <c r="K17377" t="s">
        <v>47113</v>
      </c>
      <c r="L17377">
        <v>15.4</v>
      </c>
      <c r="M17377">
        <v>34</v>
      </c>
      <c r="N17377">
        <v>0</v>
      </c>
      <c r="O17377">
        <v>34</v>
      </c>
      <c r="P17377">
        <v>0</v>
      </c>
    </row>
    <row r="17378" spans="1:16" x14ac:dyDescent="0.25">
      <c r="A17378" t="s">
        <v>39977</v>
      </c>
      <c r="B17378" t="s">
        <v>14336</v>
      </c>
      <c r="C17378" t="s">
        <v>14337</v>
      </c>
      <c r="D17378" t="str">
        <f>"4645"</f>
        <v>4645</v>
      </c>
      <c r="E17378" t="s">
        <v>9770</v>
      </c>
      <c r="F17378" t="s">
        <v>3558</v>
      </c>
      <c r="G17378" t="s">
        <v>47091</v>
      </c>
      <c r="H17378" t="s">
        <v>47055</v>
      </c>
      <c r="I17378" t="s">
        <v>47127</v>
      </c>
      <c r="J17378" t="s">
        <v>47128</v>
      </c>
      <c r="K17378" t="s">
        <v>47113</v>
      </c>
      <c r="L17378">
        <v>15.4</v>
      </c>
      <c r="M17378">
        <v>34</v>
      </c>
      <c r="N17378">
        <v>0</v>
      </c>
      <c r="O17378">
        <v>34</v>
      </c>
      <c r="P17378">
        <v>0</v>
      </c>
    </row>
    <row r="17379" spans="1:16" x14ac:dyDescent="0.25">
      <c r="A17379" t="s">
        <v>39978</v>
      </c>
      <c r="B17379" t="s">
        <v>14336</v>
      </c>
      <c r="C17379" t="s">
        <v>14337</v>
      </c>
      <c r="D17379" t="str">
        <f>"5301"</f>
        <v>5301</v>
      </c>
      <c r="E17379" t="s">
        <v>1940</v>
      </c>
      <c r="F17379" t="s">
        <v>3558</v>
      </c>
      <c r="G17379" t="s">
        <v>47091</v>
      </c>
      <c r="H17379" t="s">
        <v>47055</v>
      </c>
      <c r="I17379" t="s">
        <v>47127</v>
      </c>
      <c r="J17379" t="s">
        <v>47128</v>
      </c>
      <c r="K17379" t="s">
        <v>47113</v>
      </c>
      <c r="L17379">
        <v>15.4</v>
      </c>
      <c r="M17379">
        <v>34</v>
      </c>
      <c r="N17379">
        <v>0</v>
      </c>
      <c r="O17379">
        <v>34</v>
      </c>
      <c r="P17379">
        <v>0</v>
      </c>
    </row>
    <row r="17380" spans="1:16" x14ac:dyDescent="0.25">
      <c r="A17380" t="s">
        <v>39979</v>
      </c>
      <c r="B17380" t="s">
        <v>14336</v>
      </c>
      <c r="C17380" t="s">
        <v>14337</v>
      </c>
      <c r="D17380" t="str">
        <f>"6081"</f>
        <v>6081</v>
      </c>
      <c r="E17380" t="s">
        <v>11010</v>
      </c>
      <c r="F17380" t="s">
        <v>3558</v>
      </c>
      <c r="G17380" t="s">
        <v>47091</v>
      </c>
      <c r="H17380" t="s">
        <v>47055</v>
      </c>
      <c r="I17380" t="s">
        <v>47127</v>
      </c>
      <c r="J17380" t="s">
        <v>47128</v>
      </c>
      <c r="K17380" t="s">
        <v>47113</v>
      </c>
      <c r="L17380">
        <v>21.26</v>
      </c>
      <c r="M17380">
        <v>34</v>
      </c>
      <c r="N17380">
        <v>0</v>
      </c>
      <c r="O17380">
        <v>34</v>
      </c>
      <c r="P17380">
        <v>0</v>
      </c>
    </row>
    <row r="17381" spans="1:16" x14ac:dyDescent="0.25">
      <c r="A17381" t="s">
        <v>39980</v>
      </c>
      <c r="B17381" t="s">
        <v>14336</v>
      </c>
      <c r="C17381" t="s">
        <v>14337</v>
      </c>
      <c r="D17381" t="str">
        <f>"8206"</f>
        <v>8206</v>
      </c>
      <c r="E17381" t="s">
        <v>14203</v>
      </c>
      <c r="F17381" t="s">
        <v>3558</v>
      </c>
      <c r="G17381" t="s">
        <v>47091</v>
      </c>
      <c r="H17381" t="s">
        <v>47055</v>
      </c>
      <c r="I17381" t="s">
        <v>47127</v>
      </c>
      <c r="J17381" t="s">
        <v>47128</v>
      </c>
      <c r="K17381" t="s">
        <v>47113</v>
      </c>
      <c r="L17381">
        <v>15.4</v>
      </c>
      <c r="M17381">
        <v>34</v>
      </c>
      <c r="N17381">
        <v>0</v>
      </c>
      <c r="O17381">
        <v>34</v>
      </c>
      <c r="P17381">
        <v>0</v>
      </c>
    </row>
    <row r="17382" spans="1:16" x14ac:dyDescent="0.25">
      <c r="A17382" t="s">
        <v>39981</v>
      </c>
      <c r="B17382" t="s">
        <v>11125</v>
      </c>
      <c r="C17382" t="s">
        <v>11126</v>
      </c>
      <c r="D17382" t="s">
        <v>11127</v>
      </c>
      <c r="E17382" t="s">
        <v>11128</v>
      </c>
      <c r="F17382" t="s">
        <v>3558</v>
      </c>
      <c r="G17382" t="s">
        <v>47101</v>
      </c>
      <c r="H17382" t="s">
        <v>47153</v>
      </c>
      <c r="I17382" t="s">
        <v>47132</v>
      </c>
      <c r="J17382" t="s">
        <v>47133</v>
      </c>
      <c r="K17382" t="s">
        <v>47113</v>
      </c>
      <c r="L17382">
        <v>64.89</v>
      </c>
      <c r="M17382">
        <v>88</v>
      </c>
      <c r="N17382">
        <v>0</v>
      </c>
      <c r="O17382">
        <v>88</v>
      </c>
      <c r="P17382">
        <v>0</v>
      </c>
    </row>
    <row r="17383" spans="1:16" x14ac:dyDescent="0.25">
      <c r="A17383" t="s">
        <v>39982</v>
      </c>
      <c r="B17383" t="s">
        <v>11125</v>
      </c>
      <c r="C17383" t="s">
        <v>11126</v>
      </c>
      <c r="D17383" t="s">
        <v>11129</v>
      </c>
      <c r="E17383" t="s">
        <v>11130</v>
      </c>
      <c r="F17383" t="s">
        <v>3558</v>
      </c>
      <c r="G17383" t="s">
        <v>47101</v>
      </c>
      <c r="H17383" t="s">
        <v>47153</v>
      </c>
      <c r="I17383" t="s">
        <v>47132</v>
      </c>
      <c r="J17383" t="s">
        <v>47133</v>
      </c>
      <c r="K17383" t="s">
        <v>47113</v>
      </c>
      <c r="L17383">
        <v>58.04</v>
      </c>
      <c r="M17383">
        <v>88</v>
      </c>
      <c r="N17383">
        <v>0</v>
      </c>
      <c r="O17383">
        <v>88</v>
      </c>
      <c r="P17383">
        <v>0</v>
      </c>
    </row>
    <row r="17384" spans="1:16" x14ac:dyDescent="0.25">
      <c r="A17384" t="s">
        <v>39983</v>
      </c>
      <c r="B17384" t="s">
        <v>21280</v>
      </c>
      <c r="C17384" t="s">
        <v>21281</v>
      </c>
      <c r="D17384" t="s">
        <v>21282</v>
      </c>
      <c r="E17384" t="s">
        <v>21283</v>
      </c>
      <c r="F17384" t="s">
        <v>19559</v>
      </c>
      <c r="G17384" t="s">
        <v>47093</v>
      </c>
      <c r="H17384" t="s">
        <v>47055</v>
      </c>
      <c r="I17384" t="s">
        <v>47127</v>
      </c>
      <c r="J17384" t="s">
        <v>47128</v>
      </c>
      <c r="K17384" t="s">
        <v>47113</v>
      </c>
      <c r="L17384">
        <v>38.520000000000003</v>
      </c>
      <c r="M17384">
        <v>82</v>
      </c>
      <c r="N17384">
        <v>0</v>
      </c>
      <c r="O17384">
        <v>82</v>
      </c>
      <c r="P17384">
        <v>0</v>
      </c>
    </row>
    <row r="17385" spans="1:16" x14ac:dyDescent="0.25">
      <c r="A17385" t="s">
        <v>22807</v>
      </c>
      <c r="B17385" t="s">
        <v>21284</v>
      </c>
      <c r="C17385" t="s">
        <v>10614</v>
      </c>
      <c r="D17385" t="s">
        <v>21285</v>
      </c>
      <c r="E17385" t="s">
        <v>21286</v>
      </c>
      <c r="F17385" t="s">
        <v>19559</v>
      </c>
      <c r="G17385" t="s">
        <v>47093</v>
      </c>
      <c r="H17385" t="s">
        <v>47055</v>
      </c>
      <c r="I17385" t="s">
        <v>47127</v>
      </c>
      <c r="J17385" t="s">
        <v>47128</v>
      </c>
      <c r="K17385" t="s">
        <v>47113</v>
      </c>
      <c r="L17385">
        <v>33.43</v>
      </c>
      <c r="M17385">
        <v>70</v>
      </c>
      <c r="N17385">
        <v>0</v>
      </c>
      <c r="O17385">
        <v>70</v>
      </c>
      <c r="P17385">
        <v>0</v>
      </c>
    </row>
    <row r="17386" spans="1:16" x14ac:dyDescent="0.25">
      <c r="A17386" t="s">
        <v>22808</v>
      </c>
      <c r="B17386" t="s">
        <v>21287</v>
      </c>
      <c r="C17386" t="s">
        <v>21288</v>
      </c>
      <c r="D17386" t="s">
        <v>21289</v>
      </c>
      <c r="E17386" t="s">
        <v>21290</v>
      </c>
      <c r="F17386" t="s">
        <v>19559</v>
      </c>
      <c r="G17386" t="s">
        <v>47093</v>
      </c>
      <c r="H17386" t="s">
        <v>47055</v>
      </c>
      <c r="I17386" t="s">
        <v>47127</v>
      </c>
      <c r="J17386" t="s">
        <v>47128</v>
      </c>
      <c r="K17386" t="s">
        <v>47113</v>
      </c>
      <c r="L17386">
        <v>36.82</v>
      </c>
      <c r="M17386">
        <v>74</v>
      </c>
      <c r="N17386">
        <v>0</v>
      </c>
      <c r="O17386">
        <v>74</v>
      </c>
      <c r="P17386">
        <v>0</v>
      </c>
    </row>
    <row r="17387" spans="1:16" x14ac:dyDescent="0.25">
      <c r="A17387" t="s">
        <v>39984</v>
      </c>
      <c r="B17387" t="s">
        <v>21291</v>
      </c>
      <c r="C17387" t="s">
        <v>21292</v>
      </c>
      <c r="D17387" t="s">
        <v>21293</v>
      </c>
      <c r="E17387" t="s">
        <v>21294</v>
      </c>
      <c r="F17387" t="s">
        <v>19552</v>
      </c>
      <c r="G17387" t="s">
        <v>47093</v>
      </c>
      <c r="H17387" t="s">
        <v>47055</v>
      </c>
      <c r="I17387" t="s">
        <v>47127</v>
      </c>
      <c r="J17387" t="s">
        <v>47128</v>
      </c>
      <c r="K17387" t="s">
        <v>47113</v>
      </c>
      <c r="L17387">
        <v>36.26</v>
      </c>
      <c r="M17387">
        <v>82</v>
      </c>
      <c r="N17387">
        <v>0</v>
      </c>
      <c r="O17387">
        <v>82</v>
      </c>
      <c r="P17387">
        <v>0</v>
      </c>
    </row>
    <row r="17388" spans="1:16" x14ac:dyDescent="0.25">
      <c r="A17388" t="s">
        <v>22809</v>
      </c>
      <c r="B17388" t="s">
        <v>21295</v>
      </c>
      <c r="C17388" t="s">
        <v>18572</v>
      </c>
      <c r="D17388" t="s">
        <v>19927</v>
      </c>
      <c r="E17388" t="s">
        <v>19928</v>
      </c>
      <c r="F17388" t="s">
        <v>19559</v>
      </c>
      <c r="G17388" t="s">
        <v>47093</v>
      </c>
      <c r="H17388" t="s">
        <v>47055</v>
      </c>
      <c r="I17388" t="s">
        <v>47127</v>
      </c>
      <c r="J17388" t="s">
        <v>47128</v>
      </c>
      <c r="K17388" t="s">
        <v>47113</v>
      </c>
      <c r="L17388">
        <v>32.53</v>
      </c>
      <c r="M17388">
        <v>70</v>
      </c>
      <c r="N17388">
        <v>0</v>
      </c>
      <c r="O17388">
        <v>70</v>
      </c>
      <c r="P17388">
        <v>0</v>
      </c>
    </row>
    <row r="17389" spans="1:16" x14ac:dyDescent="0.25">
      <c r="A17389" t="s">
        <v>39985</v>
      </c>
      <c r="B17389" t="s">
        <v>21296</v>
      </c>
      <c r="C17389" t="s">
        <v>21297</v>
      </c>
      <c r="D17389" t="str">
        <f>"1378"</f>
        <v>1378</v>
      </c>
      <c r="E17389" t="s">
        <v>388</v>
      </c>
      <c r="F17389" t="s">
        <v>19552</v>
      </c>
      <c r="G17389" t="s">
        <v>47094</v>
      </c>
      <c r="H17389" t="s">
        <v>47055</v>
      </c>
      <c r="I17389" t="s">
        <v>47127</v>
      </c>
      <c r="J17389" t="s">
        <v>47128</v>
      </c>
      <c r="K17389" t="s">
        <v>47113</v>
      </c>
      <c r="L17389">
        <v>28.65</v>
      </c>
      <c r="M17389">
        <v>66</v>
      </c>
      <c r="N17389">
        <v>0</v>
      </c>
      <c r="O17389">
        <v>66</v>
      </c>
      <c r="P17389">
        <v>0</v>
      </c>
    </row>
    <row r="17390" spans="1:16" x14ac:dyDescent="0.25">
      <c r="A17390" t="s">
        <v>39986</v>
      </c>
      <c r="B17390" t="s">
        <v>21296</v>
      </c>
      <c r="C17390" t="s">
        <v>21297</v>
      </c>
      <c r="D17390" t="str">
        <f>"1383"</f>
        <v>1383</v>
      </c>
      <c r="E17390" t="s">
        <v>2273</v>
      </c>
      <c r="F17390" t="s">
        <v>19552</v>
      </c>
      <c r="G17390" t="s">
        <v>47094</v>
      </c>
      <c r="H17390" t="s">
        <v>47055</v>
      </c>
      <c r="I17390" t="s">
        <v>47127</v>
      </c>
      <c r="J17390" t="s">
        <v>47128</v>
      </c>
      <c r="K17390" t="s">
        <v>47113</v>
      </c>
      <c r="L17390">
        <v>28.65</v>
      </c>
      <c r="M17390">
        <v>66</v>
      </c>
      <c r="N17390">
        <v>0</v>
      </c>
      <c r="O17390">
        <v>66</v>
      </c>
      <c r="P17390">
        <v>0</v>
      </c>
    </row>
    <row r="17391" spans="1:16" x14ac:dyDescent="0.25">
      <c r="A17391" t="s">
        <v>39987</v>
      </c>
      <c r="B17391" t="s">
        <v>21296</v>
      </c>
      <c r="C17391" t="s">
        <v>21297</v>
      </c>
      <c r="D17391" t="str">
        <f>"4522"</f>
        <v>4522</v>
      </c>
      <c r="E17391" t="s">
        <v>11009</v>
      </c>
      <c r="F17391" t="s">
        <v>19552</v>
      </c>
      <c r="G17391" t="s">
        <v>47094</v>
      </c>
      <c r="H17391" t="s">
        <v>47055</v>
      </c>
      <c r="I17391" t="s">
        <v>47127</v>
      </c>
      <c r="J17391" t="s">
        <v>47128</v>
      </c>
      <c r="K17391" t="s">
        <v>47113</v>
      </c>
      <c r="L17391">
        <v>28.65</v>
      </c>
      <c r="M17391">
        <v>66</v>
      </c>
      <c r="N17391">
        <v>0</v>
      </c>
      <c r="O17391">
        <v>66</v>
      </c>
      <c r="P17391">
        <v>0</v>
      </c>
    </row>
    <row r="17392" spans="1:16" x14ac:dyDescent="0.25">
      <c r="A17392" t="s">
        <v>39988</v>
      </c>
      <c r="B17392" t="s">
        <v>21296</v>
      </c>
      <c r="C17392" t="s">
        <v>21297</v>
      </c>
      <c r="D17392" t="str">
        <f>"5306"</f>
        <v>5306</v>
      </c>
      <c r="E17392" t="s">
        <v>1991</v>
      </c>
      <c r="F17392" t="s">
        <v>19552</v>
      </c>
      <c r="G17392" t="s">
        <v>47094</v>
      </c>
      <c r="H17392" t="s">
        <v>47055</v>
      </c>
      <c r="I17392" t="s">
        <v>47127</v>
      </c>
      <c r="J17392" t="s">
        <v>47128</v>
      </c>
      <c r="K17392" t="s">
        <v>47113</v>
      </c>
      <c r="L17392">
        <v>28.65</v>
      </c>
      <c r="M17392">
        <v>66</v>
      </c>
      <c r="N17392">
        <v>0</v>
      </c>
      <c r="O17392">
        <v>66</v>
      </c>
      <c r="P17392">
        <v>0</v>
      </c>
    </row>
    <row r="17393" spans="1:16" x14ac:dyDescent="0.25">
      <c r="A17393" t="s">
        <v>39989</v>
      </c>
      <c r="B17393" t="s">
        <v>21296</v>
      </c>
      <c r="C17393" t="s">
        <v>21297</v>
      </c>
      <c r="D17393" t="str">
        <f>"6064"</f>
        <v>6064</v>
      </c>
      <c r="E17393" t="s">
        <v>87</v>
      </c>
      <c r="F17393" t="s">
        <v>19552</v>
      </c>
      <c r="G17393" t="s">
        <v>47094</v>
      </c>
      <c r="H17393" t="s">
        <v>47055</v>
      </c>
      <c r="I17393" t="s">
        <v>47127</v>
      </c>
      <c r="J17393" t="s">
        <v>47128</v>
      </c>
      <c r="K17393" t="s">
        <v>47113</v>
      </c>
      <c r="L17393">
        <v>28.65</v>
      </c>
      <c r="M17393">
        <v>66</v>
      </c>
      <c r="N17393">
        <v>0</v>
      </c>
      <c r="O17393">
        <v>66</v>
      </c>
      <c r="P17393">
        <v>0</v>
      </c>
    </row>
    <row r="17394" spans="1:16" x14ac:dyDescent="0.25">
      <c r="A17394" t="s">
        <v>39990</v>
      </c>
      <c r="B17394" t="s">
        <v>21296</v>
      </c>
      <c r="C17394" t="s">
        <v>21297</v>
      </c>
      <c r="D17394" t="str">
        <f>"6807"</f>
        <v>6807</v>
      </c>
      <c r="E17394" t="s">
        <v>21298</v>
      </c>
      <c r="F17394" t="s">
        <v>19552</v>
      </c>
      <c r="G17394" t="s">
        <v>47094</v>
      </c>
      <c r="H17394" t="s">
        <v>47055</v>
      </c>
      <c r="I17394" t="s">
        <v>47127</v>
      </c>
      <c r="J17394" t="s">
        <v>47128</v>
      </c>
      <c r="K17394" t="s">
        <v>47113</v>
      </c>
      <c r="L17394">
        <v>28.65</v>
      </c>
      <c r="M17394">
        <v>66</v>
      </c>
      <c r="N17394">
        <v>0</v>
      </c>
      <c r="O17394">
        <v>66</v>
      </c>
      <c r="P17394">
        <v>0</v>
      </c>
    </row>
    <row r="17395" spans="1:16" x14ac:dyDescent="0.25">
      <c r="A17395" t="s">
        <v>39991</v>
      </c>
      <c r="B17395" t="s">
        <v>21299</v>
      </c>
      <c r="C17395" t="s">
        <v>21300</v>
      </c>
      <c r="D17395" t="str">
        <f>"1378"</f>
        <v>1378</v>
      </c>
      <c r="E17395" t="s">
        <v>388</v>
      </c>
      <c r="F17395" t="s">
        <v>19552</v>
      </c>
      <c r="G17395" t="s">
        <v>47094</v>
      </c>
      <c r="H17395" t="s">
        <v>47055</v>
      </c>
      <c r="I17395" t="s">
        <v>47127</v>
      </c>
      <c r="J17395" t="s">
        <v>47128</v>
      </c>
      <c r="K17395" t="s">
        <v>47113</v>
      </c>
      <c r="L17395">
        <v>19.79</v>
      </c>
      <c r="M17395">
        <v>44</v>
      </c>
      <c r="N17395">
        <v>0</v>
      </c>
      <c r="O17395">
        <v>44</v>
      </c>
      <c r="P17395">
        <v>0</v>
      </c>
    </row>
    <row r="17396" spans="1:16" x14ac:dyDescent="0.25">
      <c r="A17396" t="s">
        <v>39992</v>
      </c>
      <c r="B17396" t="s">
        <v>21299</v>
      </c>
      <c r="C17396" t="s">
        <v>21300</v>
      </c>
      <c r="D17396" t="str">
        <f>"1383"</f>
        <v>1383</v>
      </c>
      <c r="E17396" t="s">
        <v>2273</v>
      </c>
      <c r="F17396" t="s">
        <v>19552</v>
      </c>
      <c r="G17396" t="s">
        <v>47094</v>
      </c>
      <c r="H17396" t="s">
        <v>47055</v>
      </c>
      <c r="I17396" t="s">
        <v>47127</v>
      </c>
      <c r="J17396" t="s">
        <v>47128</v>
      </c>
      <c r="K17396" t="s">
        <v>47113</v>
      </c>
      <c r="L17396">
        <v>19.79</v>
      </c>
      <c r="M17396">
        <v>44</v>
      </c>
      <c r="N17396">
        <v>0</v>
      </c>
      <c r="O17396">
        <v>44</v>
      </c>
      <c r="P17396">
        <v>0</v>
      </c>
    </row>
    <row r="17397" spans="1:16" x14ac:dyDescent="0.25">
      <c r="A17397" t="s">
        <v>39993</v>
      </c>
      <c r="B17397" t="s">
        <v>21299</v>
      </c>
      <c r="C17397" t="s">
        <v>21300</v>
      </c>
      <c r="D17397" t="str">
        <f>"4522"</f>
        <v>4522</v>
      </c>
      <c r="E17397" t="s">
        <v>11009</v>
      </c>
      <c r="F17397" t="s">
        <v>19552</v>
      </c>
      <c r="G17397" t="s">
        <v>47094</v>
      </c>
      <c r="H17397" t="s">
        <v>47055</v>
      </c>
      <c r="I17397" t="s">
        <v>47127</v>
      </c>
      <c r="J17397" t="s">
        <v>47128</v>
      </c>
      <c r="K17397" t="s">
        <v>47113</v>
      </c>
      <c r="L17397">
        <v>19.79</v>
      </c>
      <c r="M17397">
        <v>44</v>
      </c>
      <c r="N17397">
        <v>0</v>
      </c>
      <c r="O17397">
        <v>44</v>
      </c>
      <c r="P17397">
        <v>0</v>
      </c>
    </row>
    <row r="17398" spans="1:16" x14ac:dyDescent="0.25">
      <c r="A17398" t="s">
        <v>39994</v>
      </c>
      <c r="B17398" t="s">
        <v>21299</v>
      </c>
      <c r="C17398" t="s">
        <v>21300</v>
      </c>
      <c r="D17398" t="str">
        <f>"5306"</f>
        <v>5306</v>
      </c>
      <c r="E17398" t="s">
        <v>1991</v>
      </c>
      <c r="F17398" t="s">
        <v>19552</v>
      </c>
      <c r="G17398" t="s">
        <v>47094</v>
      </c>
      <c r="H17398" t="s">
        <v>47055</v>
      </c>
      <c r="I17398" t="s">
        <v>47127</v>
      </c>
      <c r="J17398" t="s">
        <v>47128</v>
      </c>
      <c r="K17398" t="s">
        <v>47113</v>
      </c>
      <c r="L17398">
        <v>19.79</v>
      </c>
      <c r="M17398">
        <v>44</v>
      </c>
      <c r="N17398">
        <v>0</v>
      </c>
      <c r="O17398">
        <v>44</v>
      </c>
      <c r="P17398">
        <v>0</v>
      </c>
    </row>
    <row r="17399" spans="1:16" x14ac:dyDescent="0.25">
      <c r="A17399" t="s">
        <v>39995</v>
      </c>
      <c r="B17399" t="s">
        <v>21299</v>
      </c>
      <c r="C17399" t="s">
        <v>21300</v>
      </c>
      <c r="D17399" t="str">
        <f>"6064"</f>
        <v>6064</v>
      </c>
      <c r="E17399" t="s">
        <v>87</v>
      </c>
      <c r="F17399" t="s">
        <v>19552</v>
      </c>
      <c r="G17399" t="s">
        <v>47094</v>
      </c>
      <c r="H17399" t="s">
        <v>47055</v>
      </c>
      <c r="I17399" t="s">
        <v>47127</v>
      </c>
      <c r="J17399" t="s">
        <v>47128</v>
      </c>
      <c r="K17399" t="s">
        <v>47113</v>
      </c>
      <c r="L17399">
        <v>19.79</v>
      </c>
      <c r="M17399">
        <v>44</v>
      </c>
      <c r="N17399">
        <v>0</v>
      </c>
      <c r="O17399">
        <v>44</v>
      </c>
      <c r="P17399">
        <v>0</v>
      </c>
    </row>
    <row r="17400" spans="1:16" x14ac:dyDescent="0.25">
      <c r="A17400" t="s">
        <v>39996</v>
      </c>
      <c r="B17400" t="s">
        <v>21299</v>
      </c>
      <c r="C17400" t="s">
        <v>21300</v>
      </c>
      <c r="D17400" t="str">
        <f>"6807"</f>
        <v>6807</v>
      </c>
      <c r="E17400" t="s">
        <v>21298</v>
      </c>
      <c r="F17400" t="s">
        <v>19552</v>
      </c>
      <c r="G17400" t="s">
        <v>47094</v>
      </c>
      <c r="H17400" t="s">
        <v>47055</v>
      </c>
      <c r="I17400" t="s">
        <v>47127</v>
      </c>
      <c r="J17400" t="s">
        <v>47128</v>
      </c>
      <c r="K17400" t="s">
        <v>47113</v>
      </c>
      <c r="L17400">
        <v>19.79</v>
      </c>
      <c r="M17400">
        <v>44</v>
      </c>
      <c r="N17400">
        <v>0</v>
      </c>
      <c r="O17400">
        <v>44</v>
      </c>
      <c r="P17400">
        <v>0</v>
      </c>
    </row>
    <row r="17401" spans="1:16" x14ac:dyDescent="0.25">
      <c r="A17401" t="s">
        <v>39997</v>
      </c>
      <c r="B17401" t="s">
        <v>21301</v>
      </c>
      <c r="C17401" t="s">
        <v>21302</v>
      </c>
      <c r="D17401" t="str">
        <f>"1378"</f>
        <v>1378</v>
      </c>
      <c r="E17401" t="s">
        <v>388</v>
      </c>
      <c r="F17401" t="s">
        <v>19552</v>
      </c>
      <c r="G17401" t="s">
        <v>47094</v>
      </c>
      <c r="H17401" t="s">
        <v>47055</v>
      </c>
      <c r="I17401" t="s">
        <v>47127</v>
      </c>
      <c r="J17401" t="s">
        <v>47128</v>
      </c>
      <c r="K17401" t="s">
        <v>47113</v>
      </c>
      <c r="L17401">
        <v>31.97</v>
      </c>
      <c r="M17401">
        <v>74</v>
      </c>
      <c r="N17401">
        <v>0</v>
      </c>
      <c r="O17401">
        <v>74</v>
      </c>
      <c r="P17401">
        <v>0</v>
      </c>
    </row>
    <row r="17402" spans="1:16" x14ac:dyDescent="0.25">
      <c r="A17402" t="s">
        <v>39998</v>
      </c>
      <c r="B17402" t="s">
        <v>21301</v>
      </c>
      <c r="C17402" t="s">
        <v>21302</v>
      </c>
      <c r="D17402" t="str">
        <f>"1383"</f>
        <v>1383</v>
      </c>
      <c r="E17402" t="s">
        <v>2273</v>
      </c>
      <c r="F17402" t="s">
        <v>19552</v>
      </c>
      <c r="G17402" t="s">
        <v>47094</v>
      </c>
      <c r="H17402" t="s">
        <v>47055</v>
      </c>
      <c r="I17402" t="s">
        <v>47127</v>
      </c>
      <c r="J17402" t="s">
        <v>47128</v>
      </c>
      <c r="K17402" t="s">
        <v>47113</v>
      </c>
      <c r="L17402">
        <v>31.97</v>
      </c>
      <c r="M17402">
        <v>74</v>
      </c>
      <c r="N17402">
        <v>0</v>
      </c>
      <c r="O17402">
        <v>74</v>
      </c>
      <c r="P17402">
        <v>0</v>
      </c>
    </row>
    <row r="17403" spans="1:16" x14ac:dyDescent="0.25">
      <c r="A17403" t="s">
        <v>39999</v>
      </c>
      <c r="B17403" t="s">
        <v>21301</v>
      </c>
      <c r="C17403" t="s">
        <v>21302</v>
      </c>
      <c r="D17403" t="str">
        <f>"4522"</f>
        <v>4522</v>
      </c>
      <c r="E17403" t="s">
        <v>11009</v>
      </c>
      <c r="F17403" t="s">
        <v>19552</v>
      </c>
      <c r="G17403" t="s">
        <v>47094</v>
      </c>
      <c r="H17403" t="s">
        <v>47055</v>
      </c>
      <c r="I17403" t="s">
        <v>47127</v>
      </c>
      <c r="J17403" t="s">
        <v>47128</v>
      </c>
      <c r="K17403" t="s">
        <v>47113</v>
      </c>
      <c r="L17403">
        <v>31.97</v>
      </c>
      <c r="M17403">
        <v>74</v>
      </c>
      <c r="N17403">
        <v>0</v>
      </c>
      <c r="O17403">
        <v>74</v>
      </c>
      <c r="P17403">
        <v>0</v>
      </c>
    </row>
    <row r="17404" spans="1:16" x14ac:dyDescent="0.25">
      <c r="A17404" t="s">
        <v>40000</v>
      </c>
      <c r="B17404" t="s">
        <v>21301</v>
      </c>
      <c r="C17404" t="s">
        <v>21302</v>
      </c>
      <c r="D17404" t="str">
        <f>"5306"</f>
        <v>5306</v>
      </c>
      <c r="E17404" t="s">
        <v>1991</v>
      </c>
      <c r="F17404" t="s">
        <v>19552</v>
      </c>
      <c r="G17404" t="s">
        <v>47094</v>
      </c>
      <c r="H17404" t="s">
        <v>47055</v>
      </c>
      <c r="I17404" t="s">
        <v>47127</v>
      </c>
      <c r="J17404" t="s">
        <v>47128</v>
      </c>
      <c r="K17404" t="s">
        <v>47113</v>
      </c>
      <c r="L17404">
        <v>31.97</v>
      </c>
      <c r="M17404">
        <v>74</v>
      </c>
      <c r="N17404">
        <v>0</v>
      </c>
      <c r="O17404">
        <v>74</v>
      </c>
      <c r="P17404">
        <v>0</v>
      </c>
    </row>
    <row r="17405" spans="1:16" x14ac:dyDescent="0.25">
      <c r="A17405" t="s">
        <v>40001</v>
      </c>
      <c r="B17405" t="s">
        <v>21301</v>
      </c>
      <c r="C17405" t="s">
        <v>21302</v>
      </c>
      <c r="D17405" t="str">
        <f>"6064"</f>
        <v>6064</v>
      </c>
      <c r="E17405" t="s">
        <v>87</v>
      </c>
      <c r="F17405" t="s">
        <v>19552</v>
      </c>
      <c r="G17405" t="s">
        <v>47094</v>
      </c>
      <c r="H17405" t="s">
        <v>47055</v>
      </c>
      <c r="I17405" t="s">
        <v>47127</v>
      </c>
      <c r="J17405" t="s">
        <v>47128</v>
      </c>
      <c r="K17405" t="s">
        <v>47113</v>
      </c>
      <c r="L17405">
        <v>31.97</v>
      </c>
      <c r="M17405">
        <v>74</v>
      </c>
      <c r="N17405">
        <v>0</v>
      </c>
      <c r="O17405">
        <v>74</v>
      </c>
      <c r="P17405">
        <v>0</v>
      </c>
    </row>
    <row r="17406" spans="1:16" x14ac:dyDescent="0.25">
      <c r="A17406" t="s">
        <v>40002</v>
      </c>
      <c r="B17406" t="s">
        <v>21301</v>
      </c>
      <c r="C17406" t="s">
        <v>21302</v>
      </c>
      <c r="D17406" t="str">
        <f>"6807"</f>
        <v>6807</v>
      </c>
      <c r="E17406" t="s">
        <v>21298</v>
      </c>
      <c r="F17406" t="s">
        <v>19552</v>
      </c>
      <c r="G17406" t="s">
        <v>47094</v>
      </c>
      <c r="H17406" t="s">
        <v>47055</v>
      </c>
      <c r="I17406" t="s">
        <v>47127</v>
      </c>
      <c r="J17406" t="s">
        <v>47128</v>
      </c>
      <c r="K17406" t="s">
        <v>47113</v>
      </c>
      <c r="L17406">
        <v>31.97</v>
      </c>
      <c r="M17406">
        <v>74</v>
      </c>
      <c r="N17406">
        <v>0</v>
      </c>
      <c r="O17406">
        <v>74</v>
      </c>
      <c r="P17406">
        <v>0</v>
      </c>
    </row>
    <row r="17407" spans="1:16" x14ac:dyDescent="0.25">
      <c r="A17407" t="s">
        <v>22810</v>
      </c>
      <c r="B17407" t="s">
        <v>21303</v>
      </c>
      <c r="C17407" t="s">
        <v>21304</v>
      </c>
      <c r="D17407" t="str">
        <f>"1378"</f>
        <v>1378</v>
      </c>
      <c r="E17407" t="s">
        <v>388</v>
      </c>
      <c r="F17407" t="s">
        <v>19552</v>
      </c>
      <c r="G17407" t="s">
        <v>47096</v>
      </c>
      <c r="H17407" t="s">
        <v>47055</v>
      </c>
      <c r="I17407" t="s">
        <v>47127</v>
      </c>
      <c r="J17407" t="s">
        <v>47128</v>
      </c>
      <c r="K17407" t="s">
        <v>47113</v>
      </c>
      <c r="L17407">
        <v>19.79</v>
      </c>
      <c r="M17407">
        <v>44</v>
      </c>
      <c r="N17407">
        <v>0</v>
      </c>
      <c r="O17407">
        <v>44</v>
      </c>
      <c r="P17407">
        <v>0</v>
      </c>
    </row>
    <row r="17408" spans="1:16" x14ac:dyDescent="0.25">
      <c r="A17408" t="s">
        <v>40003</v>
      </c>
      <c r="B17408" t="s">
        <v>21303</v>
      </c>
      <c r="C17408" t="s">
        <v>21304</v>
      </c>
      <c r="D17408" t="str">
        <f>"1383"</f>
        <v>1383</v>
      </c>
      <c r="E17408" t="s">
        <v>2273</v>
      </c>
      <c r="F17408" t="s">
        <v>19552</v>
      </c>
      <c r="G17408" t="s">
        <v>47096</v>
      </c>
      <c r="H17408" t="s">
        <v>47055</v>
      </c>
      <c r="I17408" t="s">
        <v>47127</v>
      </c>
      <c r="J17408" t="s">
        <v>47128</v>
      </c>
      <c r="K17408" t="s">
        <v>47113</v>
      </c>
      <c r="L17408">
        <v>19.79</v>
      </c>
      <c r="M17408">
        <v>44</v>
      </c>
      <c r="N17408">
        <v>0</v>
      </c>
      <c r="O17408">
        <v>44</v>
      </c>
      <c r="P17408">
        <v>0</v>
      </c>
    </row>
    <row r="17409" spans="1:16" x14ac:dyDescent="0.25">
      <c r="A17409" t="s">
        <v>40004</v>
      </c>
      <c r="B17409" t="s">
        <v>21303</v>
      </c>
      <c r="C17409" t="s">
        <v>21304</v>
      </c>
      <c r="D17409" t="str">
        <f>"4522"</f>
        <v>4522</v>
      </c>
      <c r="E17409" t="s">
        <v>11009</v>
      </c>
      <c r="F17409" t="s">
        <v>19552</v>
      </c>
      <c r="G17409" t="s">
        <v>47096</v>
      </c>
      <c r="H17409" t="s">
        <v>47055</v>
      </c>
      <c r="I17409" t="s">
        <v>47127</v>
      </c>
      <c r="J17409" t="s">
        <v>47128</v>
      </c>
      <c r="K17409" t="s">
        <v>47113</v>
      </c>
      <c r="L17409">
        <v>19.79</v>
      </c>
      <c r="M17409">
        <v>44</v>
      </c>
      <c r="N17409">
        <v>0</v>
      </c>
      <c r="O17409">
        <v>44</v>
      </c>
      <c r="P17409">
        <v>0</v>
      </c>
    </row>
    <row r="17410" spans="1:16" x14ac:dyDescent="0.25">
      <c r="A17410" t="s">
        <v>40005</v>
      </c>
      <c r="B17410" t="s">
        <v>21303</v>
      </c>
      <c r="C17410" t="s">
        <v>21304</v>
      </c>
      <c r="D17410" t="str">
        <f>"5306"</f>
        <v>5306</v>
      </c>
      <c r="E17410" t="s">
        <v>1991</v>
      </c>
      <c r="F17410" t="s">
        <v>19552</v>
      </c>
      <c r="G17410" t="s">
        <v>47096</v>
      </c>
      <c r="H17410" t="s">
        <v>47055</v>
      </c>
      <c r="I17410" t="s">
        <v>47127</v>
      </c>
      <c r="J17410" t="s">
        <v>47128</v>
      </c>
      <c r="K17410" t="s">
        <v>47113</v>
      </c>
      <c r="L17410">
        <v>19.79</v>
      </c>
      <c r="M17410">
        <v>44</v>
      </c>
      <c r="N17410">
        <v>0</v>
      </c>
      <c r="O17410">
        <v>44</v>
      </c>
      <c r="P17410">
        <v>0</v>
      </c>
    </row>
    <row r="17411" spans="1:16" x14ac:dyDescent="0.25">
      <c r="A17411" t="s">
        <v>22811</v>
      </c>
      <c r="B17411" t="s">
        <v>21303</v>
      </c>
      <c r="C17411" t="s">
        <v>21304</v>
      </c>
      <c r="D17411" t="str">
        <f>"6064"</f>
        <v>6064</v>
      </c>
      <c r="E17411" t="s">
        <v>87</v>
      </c>
      <c r="F17411" t="s">
        <v>19552</v>
      </c>
      <c r="G17411" t="s">
        <v>47096</v>
      </c>
      <c r="H17411" t="s">
        <v>47055</v>
      </c>
      <c r="I17411" t="s">
        <v>47127</v>
      </c>
      <c r="J17411" t="s">
        <v>47128</v>
      </c>
      <c r="K17411" t="s">
        <v>47113</v>
      </c>
      <c r="L17411">
        <v>19.79</v>
      </c>
      <c r="M17411">
        <v>44</v>
      </c>
      <c r="N17411">
        <v>0</v>
      </c>
      <c r="O17411">
        <v>44</v>
      </c>
      <c r="P17411">
        <v>0</v>
      </c>
    </row>
    <row r="17412" spans="1:16" x14ac:dyDescent="0.25">
      <c r="A17412" t="s">
        <v>40006</v>
      </c>
      <c r="B17412" t="s">
        <v>21303</v>
      </c>
      <c r="C17412" t="s">
        <v>21304</v>
      </c>
      <c r="D17412" t="str">
        <f>"6807"</f>
        <v>6807</v>
      </c>
      <c r="E17412" t="s">
        <v>21298</v>
      </c>
      <c r="F17412" t="s">
        <v>19552</v>
      </c>
      <c r="G17412" t="s">
        <v>47096</v>
      </c>
      <c r="H17412" t="s">
        <v>47055</v>
      </c>
      <c r="I17412" t="s">
        <v>47127</v>
      </c>
      <c r="J17412" t="s">
        <v>47128</v>
      </c>
      <c r="K17412" t="s">
        <v>47113</v>
      </c>
      <c r="L17412">
        <v>19.79</v>
      </c>
      <c r="M17412">
        <v>44</v>
      </c>
      <c r="N17412">
        <v>0</v>
      </c>
      <c r="O17412">
        <v>44</v>
      </c>
      <c r="P17412">
        <v>0</v>
      </c>
    </row>
    <row r="17413" spans="1:16" x14ac:dyDescent="0.25">
      <c r="A17413" t="s">
        <v>40007</v>
      </c>
      <c r="B17413" t="s">
        <v>21305</v>
      </c>
      <c r="C17413" t="s">
        <v>21306</v>
      </c>
      <c r="D17413" t="str">
        <f>"1378"</f>
        <v>1378</v>
      </c>
      <c r="E17413" t="s">
        <v>388</v>
      </c>
      <c r="F17413" t="s">
        <v>19552</v>
      </c>
      <c r="G17413" t="s">
        <v>47095</v>
      </c>
      <c r="H17413" t="s">
        <v>47055</v>
      </c>
      <c r="I17413" t="s">
        <v>47127</v>
      </c>
      <c r="J17413" t="s">
        <v>47128</v>
      </c>
      <c r="K17413" t="s">
        <v>47113</v>
      </c>
      <c r="L17413">
        <v>19.79</v>
      </c>
      <c r="M17413">
        <v>44</v>
      </c>
      <c r="N17413">
        <v>0</v>
      </c>
      <c r="O17413">
        <v>44</v>
      </c>
      <c r="P17413">
        <v>0</v>
      </c>
    </row>
    <row r="17414" spans="1:16" x14ac:dyDescent="0.25">
      <c r="A17414" t="s">
        <v>40008</v>
      </c>
      <c r="B17414" t="s">
        <v>21305</v>
      </c>
      <c r="C17414" t="s">
        <v>21306</v>
      </c>
      <c r="D17414" t="str">
        <f>"1383"</f>
        <v>1383</v>
      </c>
      <c r="E17414" t="s">
        <v>2273</v>
      </c>
      <c r="F17414" t="s">
        <v>19552</v>
      </c>
      <c r="G17414" t="s">
        <v>47095</v>
      </c>
      <c r="H17414" t="s">
        <v>47055</v>
      </c>
      <c r="I17414" t="s">
        <v>47127</v>
      </c>
      <c r="J17414" t="s">
        <v>47128</v>
      </c>
      <c r="K17414" t="s">
        <v>47113</v>
      </c>
      <c r="L17414">
        <v>19.79</v>
      </c>
      <c r="M17414">
        <v>44</v>
      </c>
      <c r="N17414">
        <v>0</v>
      </c>
      <c r="O17414">
        <v>44</v>
      </c>
      <c r="P17414">
        <v>0</v>
      </c>
    </row>
    <row r="17415" spans="1:16" x14ac:dyDescent="0.25">
      <c r="A17415" t="s">
        <v>40009</v>
      </c>
      <c r="B17415" t="s">
        <v>21305</v>
      </c>
      <c r="C17415" t="s">
        <v>21306</v>
      </c>
      <c r="D17415" t="str">
        <f>"4522"</f>
        <v>4522</v>
      </c>
      <c r="E17415" t="s">
        <v>11009</v>
      </c>
      <c r="F17415" t="s">
        <v>19552</v>
      </c>
      <c r="G17415" t="s">
        <v>47095</v>
      </c>
      <c r="H17415" t="s">
        <v>47055</v>
      </c>
      <c r="I17415" t="s">
        <v>47127</v>
      </c>
      <c r="J17415" t="s">
        <v>47128</v>
      </c>
      <c r="K17415" t="s">
        <v>47113</v>
      </c>
      <c r="L17415">
        <v>19.79</v>
      </c>
      <c r="M17415">
        <v>44</v>
      </c>
      <c r="N17415">
        <v>0</v>
      </c>
      <c r="O17415">
        <v>44</v>
      </c>
      <c r="P17415">
        <v>0</v>
      </c>
    </row>
    <row r="17416" spans="1:16" x14ac:dyDescent="0.25">
      <c r="A17416" t="s">
        <v>40010</v>
      </c>
      <c r="B17416" t="s">
        <v>21305</v>
      </c>
      <c r="C17416" t="s">
        <v>21306</v>
      </c>
      <c r="D17416" t="str">
        <f>"5306"</f>
        <v>5306</v>
      </c>
      <c r="E17416" t="s">
        <v>1991</v>
      </c>
      <c r="F17416" t="s">
        <v>19552</v>
      </c>
      <c r="G17416" t="s">
        <v>47095</v>
      </c>
      <c r="H17416" t="s">
        <v>47055</v>
      </c>
      <c r="I17416" t="s">
        <v>47127</v>
      </c>
      <c r="J17416" t="s">
        <v>47128</v>
      </c>
      <c r="K17416" t="s">
        <v>47113</v>
      </c>
      <c r="L17416">
        <v>19.79</v>
      </c>
      <c r="M17416">
        <v>44</v>
      </c>
      <c r="N17416">
        <v>0</v>
      </c>
      <c r="O17416">
        <v>44</v>
      </c>
      <c r="P17416">
        <v>0</v>
      </c>
    </row>
    <row r="17417" spans="1:16" x14ac:dyDescent="0.25">
      <c r="A17417" t="s">
        <v>40011</v>
      </c>
      <c r="B17417" t="s">
        <v>21305</v>
      </c>
      <c r="C17417" t="s">
        <v>21306</v>
      </c>
      <c r="D17417" t="str">
        <f>"6064"</f>
        <v>6064</v>
      </c>
      <c r="E17417" t="s">
        <v>87</v>
      </c>
      <c r="F17417" t="s">
        <v>19552</v>
      </c>
      <c r="G17417" t="s">
        <v>47095</v>
      </c>
      <c r="H17417" t="s">
        <v>47055</v>
      </c>
      <c r="I17417" t="s">
        <v>47127</v>
      </c>
      <c r="J17417" t="s">
        <v>47128</v>
      </c>
      <c r="K17417" t="s">
        <v>47113</v>
      </c>
      <c r="L17417">
        <v>19.79</v>
      </c>
      <c r="M17417">
        <v>44</v>
      </c>
      <c r="N17417">
        <v>0</v>
      </c>
      <c r="O17417">
        <v>44</v>
      </c>
      <c r="P17417">
        <v>0</v>
      </c>
    </row>
    <row r="17418" spans="1:16" x14ac:dyDescent="0.25">
      <c r="A17418" t="s">
        <v>40012</v>
      </c>
      <c r="B17418" t="s">
        <v>21305</v>
      </c>
      <c r="C17418" t="s">
        <v>21306</v>
      </c>
      <c r="D17418" t="str">
        <f>"6807"</f>
        <v>6807</v>
      </c>
      <c r="E17418" t="s">
        <v>21298</v>
      </c>
      <c r="F17418" t="s">
        <v>19552</v>
      </c>
      <c r="G17418" t="s">
        <v>47095</v>
      </c>
      <c r="H17418" t="s">
        <v>47055</v>
      </c>
      <c r="I17418" t="s">
        <v>47127</v>
      </c>
      <c r="J17418" t="s">
        <v>47128</v>
      </c>
      <c r="K17418" t="s">
        <v>47113</v>
      </c>
      <c r="L17418">
        <v>19.79</v>
      </c>
      <c r="M17418">
        <v>44</v>
      </c>
      <c r="N17418">
        <v>0</v>
      </c>
      <c r="O17418">
        <v>44</v>
      </c>
      <c r="P17418">
        <v>0</v>
      </c>
    </row>
    <row r="17419" spans="1:16" x14ac:dyDescent="0.25">
      <c r="A17419" t="s">
        <v>40013</v>
      </c>
      <c r="B17419" t="s">
        <v>21307</v>
      </c>
      <c r="C17419" t="s">
        <v>21308</v>
      </c>
      <c r="D17419" t="str">
        <f>"1106"</f>
        <v>1106</v>
      </c>
      <c r="E17419" t="s">
        <v>460</v>
      </c>
      <c r="F17419" t="s">
        <v>19552</v>
      </c>
      <c r="G17419" t="s">
        <v>47094</v>
      </c>
      <c r="H17419" t="s">
        <v>47055</v>
      </c>
      <c r="I17419" t="s">
        <v>47127</v>
      </c>
      <c r="J17419" t="s">
        <v>47128</v>
      </c>
      <c r="K17419" t="s">
        <v>47113</v>
      </c>
      <c r="L17419">
        <v>36.68</v>
      </c>
      <c r="M17419">
        <v>85</v>
      </c>
      <c r="N17419">
        <v>0</v>
      </c>
      <c r="O17419">
        <v>85</v>
      </c>
      <c r="P17419">
        <v>0</v>
      </c>
    </row>
    <row r="17420" spans="1:16" x14ac:dyDescent="0.25">
      <c r="A17420" t="s">
        <v>22812</v>
      </c>
      <c r="B17420" t="s">
        <v>21307</v>
      </c>
      <c r="C17420" t="s">
        <v>21308</v>
      </c>
      <c r="D17420" t="str">
        <f>"1378"</f>
        <v>1378</v>
      </c>
      <c r="E17420" t="s">
        <v>388</v>
      </c>
      <c r="F17420" t="s">
        <v>19552</v>
      </c>
      <c r="G17420" t="s">
        <v>47094</v>
      </c>
      <c r="H17420" t="s">
        <v>47055</v>
      </c>
      <c r="I17420" t="s">
        <v>47127</v>
      </c>
      <c r="J17420" t="s">
        <v>47128</v>
      </c>
      <c r="K17420" t="s">
        <v>47113</v>
      </c>
      <c r="L17420">
        <v>36.68</v>
      </c>
      <c r="M17420">
        <v>85</v>
      </c>
      <c r="N17420">
        <v>0</v>
      </c>
      <c r="O17420">
        <v>85</v>
      </c>
      <c r="P17420">
        <v>0</v>
      </c>
    </row>
    <row r="17421" spans="1:16" x14ac:dyDescent="0.25">
      <c r="A17421" t="s">
        <v>40014</v>
      </c>
      <c r="B17421" t="s">
        <v>21307</v>
      </c>
      <c r="C17421" t="s">
        <v>21308</v>
      </c>
      <c r="D17421" t="str">
        <f>"1383"</f>
        <v>1383</v>
      </c>
      <c r="E17421" t="s">
        <v>2273</v>
      </c>
      <c r="F17421" t="s">
        <v>19552</v>
      </c>
      <c r="G17421" t="s">
        <v>47094</v>
      </c>
      <c r="H17421" t="s">
        <v>47055</v>
      </c>
      <c r="I17421" t="s">
        <v>47127</v>
      </c>
      <c r="J17421" t="s">
        <v>47128</v>
      </c>
      <c r="K17421" t="s">
        <v>47113</v>
      </c>
      <c r="L17421">
        <v>36.68</v>
      </c>
      <c r="M17421">
        <v>85</v>
      </c>
      <c r="N17421">
        <v>0</v>
      </c>
      <c r="O17421">
        <v>85</v>
      </c>
      <c r="P17421">
        <v>0</v>
      </c>
    </row>
    <row r="17422" spans="1:16" x14ac:dyDescent="0.25">
      <c r="A17422" t="s">
        <v>40015</v>
      </c>
      <c r="B17422" t="s">
        <v>21307</v>
      </c>
      <c r="C17422" t="s">
        <v>21308</v>
      </c>
      <c r="D17422" t="str">
        <f>"5306"</f>
        <v>5306</v>
      </c>
      <c r="E17422" t="s">
        <v>1991</v>
      </c>
      <c r="F17422" t="s">
        <v>19552</v>
      </c>
      <c r="G17422" t="s">
        <v>47094</v>
      </c>
      <c r="H17422" t="s">
        <v>47055</v>
      </c>
      <c r="I17422" t="s">
        <v>47127</v>
      </c>
      <c r="J17422" t="s">
        <v>47128</v>
      </c>
      <c r="K17422" t="s">
        <v>47113</v>
      </c>
      <c r="L17422">
        <v>36.68</v>
      </c>
      <c r="M17422">
        <v>85</v>
      </c>
      <c r="N17422">
        <v>0</v>
      </c>
      <c r="O17422">
        <v>85</v>
      </c>
      <c r="P17422">
        <v>0</v>
      </c>
    </row>
    <row r="17423" spans="1:16" x14ac:dyDescent="0.25">
      <c r="A17423" t="s">
        <v>40016</v>
      </c>
      <c r="B17423" t="s">
        <v>21309</v>
      </c>
      <c r="C17423" t="s">
        <v>21310</v>
      </c>
      <c r="D17423" t="str">
        <f>"1106"</f>
        <v>1106</v>
      </c>
      <c r="E17423" t="s">
        <v>460</v>
      </c>
      <c r="F17423" t="s">
        <v>19552</v>
      </c>
      <c r="G17423" t="s">
        <v>47094</v>
      </c>
      <c r="H17423" t="s">
        <v>47055</v>
      </c>
      <c r="I17423" t="s">
        <v>47127</v>
      </c>
      <c r="J17423" t="s">
        <v>47128</v>
      </c>
      <c r="K17423" t="s">
        <v>47113</v>
      </c>
      <c r="L17423">
        <v>37.32</v>
      </c>
      <c r="M17423">
        <v>89</v>
      </c>
      <c r="N17423">
        <v>0</v>
      </c>
      <c r="O17423">
        <v>89</v>
      </c>
      <c r="P17423">
        <v>0</v>
      </c>
    </row>
    <row r="17424" spans="1:16" x14ac:dyDescent="0.25">
      <c r="A17424" t="s">
        <v>40017</v>
      </c>
      <c r="B17424" t="s">
        <v>21309</v>
      </c>
      <c r="C17424" t="s">
        <v>21310</v>
      </c>
      <c r="D17424" t="str">
        <f>"1378"</f>
        <v>1378</v>
      </c>
      <c r="E17424" t="s">
        <v>388</v>
      </c>
      <c r="F17424" t="s">
        <v>19552</v>
      </c>
      <c r="G17424" t="s">
        <v>47094</v>
      </c>
      <c r="H17424" t="s">
        <v>47055</v>
      </c>
      <c r="I17424" t="s">
        <v>47127</v>
      </c>
      <c r="J17424" t="s">
        <v>47128</v>
      </c>
      <c r="K17424" t="s">
        <v>47113</v>
      </c>
      <c r="L17424">
        <v>37.32</v>
      </c>
      <c r="M17424">
        <v>89</v>
      </c>
      <c r="N17424">
        <v>0</v>
      </c>
      <c r="O17424">
        <v>89</v>
      </c>
      <c r="P17424">
        <v>0</v>
      </c>
    </row>
    <row r="17425" spans="1:16" x14ac:dyDescent="0.25">
      <c r="A17425" t="s">
        <v>40018</v>
      </c>
      <c r="B17425" t="s">
        <v>21309</v>
      </c>
      <c r="C17425" t="s">
        <v>21310</v>
      </c>
      <c r="D17425" t="str">
        <f>"1383"</f>
        <v>1383</v>
      </c>
      <c r="E17425" t="s">
        <v>2273</v>
      </c>
      <c r="F17425" t="s">
        <v>19552</v>
      </c>
      <c r="G17425" t="s">
        <v>47094</v>
      </c>
      <c r="H17425" t="s">
        <v>47055</v>
      </c>
      <c r="I17425" t="s">
        <v>47127</v>
      </c>
      <c r="J17425" t="s">
        <v>47128</v>
      </c>
      <c r="K17425" t="s">
        <v>47113</v>
      </c>
      <c r="L17425">
        <v>37.32</v>
      </c>
      <c r="M17425">
        <v>89</v>
      </c>
      <c r="N17425">
        <v>0</v>
      </c>
      <c r="O17425">
        <v>89</v>
      </c>
      <c r="P17425">
        <v>0</v>
      </c>
    </row>
    <row r="17426" spans="1:16" x14ac:dyDescent="0.25">
      <c r="A17426" t="s">
        <v>40019</v>
      </c>
      <c r="B17426" t="s">
        <v>21309</v>
      </c>
      <c r="C17426" t="s">
        <v>21310</v>
      </c>
      <c r="D17426" t="str">
        <f>"5306"</f>
        <v>5306</v>
      </c>
      <c r="E17426" t="s">
        <v>1991</v>
      </c>
      <c r="F17426" t="s">
        <v>19552</v>
      </c>
      <c r="G17426" t="s">
        <v>47094</v>
      </c>
      <c r="H17426" t="s">
        <v>47055</v>
      </c>
      <c r="I17426" t="s">
        <v>47127</v>
      </c>
      <c r="J17426" t="s">
        <v>47128</v>
      </c>
      <c r="K17426" t="s">
        <v>47113</v>
      </c>
      <c r="L17426">
        <v>37.32</v>
      </c>
      <c r="M17426">
        <v>89</v>
      </c>
      <c r="N17426">
        <v>0</v>
      </c>
      <c r="O17426">
        <v>89</v>
      </c>
      <c r="P17426">
        <v>0</v>
      </c>
    </row>
    <row r="17427" spans="1:16" x14ac:dyDescent="0.25">
      <c r="A17427" t="s">
        <v>22813</v>
      </c>
      <c r="B17427" t="s">
        <v>21311</v>
      </c>
      <c r="C17427" t="s">
        <v>21312</v>
      </c>
      <c r="D17427" t="str">
        <f>"1106"</f>
        <v>1106</v>
      </c>
      <c r="E17427" t="s">
        <v>460</v>
      </c>
      <c r="F17427" t="s">
        <v>19552</v>
      </c>
      <c r="G17427" t="s">
        <v>47095</v>
      </c>
      <c r="H17427" t="s">
        <v>47055</v>
      </c>
      <c r="I17427" t="s">
        <v>47127</v>
      </c>
      <c r="J17427" t="s">
        <v>47128</v>
      </c>
      <c r="K17427" t="s">
        <v>47113</v>
      </c>
      <c r="L17427">
        <v>23.74</v>
      </c>
      <c r="M17427">
        <v>55</v>
      </c>
      <c r="N17427">
        <v>0</v>
      </c>
      <c r="O17427">
        <v>55</v>
      </c>
      <c r="P17427">
        <v>0</v>
      </c>
    </row>
    <row r="17428" spans="1:16" x14ac:dyDescent="0.25">
      <c r="A17428" t="s">
        <v>22814</v>
      </c>
      <c r="B17428" t="s">
        <v>21311</v>
      </c>
      <c r="C17428" t="s">
        <v>21312</v>
      </c>
      <c r="D17428" t="str">
        <f>"1378"</f>
        <v>1378</v>
      </c>
      <c r="E17428" t="s">
        <v>388</v>
      </c>
      <c r="F17428" t="s">
        <v>19552</v>
      </c>
      <c r="G17428" t="s">
        <v>47095</v>
      </c>
      <c r="H17428" t="s">
        <v>47055</v>
      </c>
      <c r="I17428" t="s">
        <v>47127</v>
      </c>
      <c r="J17428" t="s">
        <v>47128</v>
      </c>
      <c r="K17428" t="s">
        <v>47113</v>
      </c>
      <c r="L17428">
        <v>23.74</v>
      </c>
      <c r="M17428">
        <v>55</v>
      </c>
      <c r="N17428">
        <v>0</v>
      </c>
      <c r="O17428">
        <v>55</v>
      </c>
      <c r="P17428">
        <v>0</v>
      </c>
    </row>
    <row r="17429" spans="1:16" x14ac:dyDescent="0.25">
      <c r="A17429" t="s">
        <v>40020</v>
      </c>
      <c r="B17429" t="s">
        <v>21311</v>
      </c>
      <c r="C17429" t="s">
        <v>21312</v>
      </c>
      <c r="D17429" t="str">
        <f>"1383"</f>
        <v>1383</v>
      </c>
      <c r="E17429" t="s">
        <v>2273</v>
      </c>
      <c r="F17429" t="s">
        <v>19552</v>
      </c>
      <c r="G17429" t="s">
        <v>47095</v>
      </c>
      <c r="H17429" t="s">
        <v>47055</v>
      </c>
      <c r="I17429" t="s">
        <v>47127</v>
      </c>
      <c r="J17429" t="s">
        <v>47128</v>
      </c>
      <c r="K17429" t="s">
        <v>47113</v>
      </c>
      <c r="L17429">
        <v>23.74</v>
      </c>
      <c r="M17429">
        <v>55</v>
      </c>
      <c r="N17429">
        <v>0</v>
      </c>
      <c r="O17429">
        <v>55</v>
      </c>
      <c r="P17429">
        <v>0</v>
      </c>
    </row>
    <row r="17430" spans="1:16" x14ac:dyDescent="0.25">
      <c r="A17430" t="s">
        <v>40021</v>
      </c>
      <c r="B17430" t="s">
        <v>21311</v>
      </c>
      <c r="C17430" t="s">
        <v>21312</v>
      </c>
      <c r="D17430" t="str">
        <f>"5306"</f>
        <v>5306</v>
      </c>
      <c r="E17430" t="s">
        <v>1991</v>
      </c>
      <c r="F17430" t="s">
        <v>19552</v>
      </c>
      <c r="G17430" t="s">
        <v>47095</v>
      </c>
      <c r="H17430" t="s">
        <v>47055</v>
      </c>
      <c r="I17430" t="s">
        <v>47127</v>
      </c>
      <c r="J17430" t="s">
        <v>47128</v>
      </c>
      <c r="K17430" t="s">
        <v>47113</v>
      </c>
      <c r="L17430">
        <v>23.74</v>
      </c>
      <c r="M17430">
        <v>55</v>
      </c>
      <c r="N17430">
        <v>0</v>
      </c>
      <c r="O17430">
        <v>55</v>
      </c>
      <c r="P17430">
        <v>0</v>
      </c>
    </row>
    <row r="17431" spans="1:16" x14ac:dyDescent="0.25">
      <c r="A17431" t="s">
        <v>22815</v>
      </c>
      <c r="B17431" t="s">
        <v>21313</v>
      </c>
      <c r="C17431" t="s">
        <v>21314</v>
      </c>
      <c r="D17431" t="str">
        <f>"1106"</f>
        <v>1106</v>
      </c>
      <c r="E17431" t="s">
        <v>460</v>
      </c>
      <c r="F17431" t="s">
        <v>19552</v>
      </c>
      <c r="G17431" t="s">
        <v>47094</v>
      </c>
      <c r="H17431" t="s">
        <v>47055</v>
      </c>
      <c r="I17431" t="s">
        <v>47127</v>
      </c>
      <c r="J17431" t="s">
        <v>47128</v>
      </c>
      <c r="K17431" t="s">
        <v>47113</v>
      </c>
      <c r="L17431">
        <v>35.29</v>
      </c>
      <c r="M17431">
        <v>81</v>
      </c>
      <c r="N17431">
        <v>0</v>
      </c>
      <c r="O17431">
        <v>81</v>
      </c>
      <c r="P17431">
        <v>0</v>
      </c>
    </row>
    <row r="17432" spans="1:16" x14ac:dyDescent="0.25">
      <c r="A17432" t="s">
        <v>40022</v>
      </c>
      <c r="B17432" t="s">
        <v>21313</v>
      </c>
      <c r="C17432" t="s">
        <v>21314</v>
      </c>
      <c r="D17432" t="str">
        <f>"1383"</f>
        <v>1383</v>
      </c>
      <c r="E17432" t="s">
        <v>2273</v>
      </c>
      <c r="F17432" t="s">
        <v>19552</v>
      </c>
      <c r="G17432" t="s">
        <v>47094</v>
      </c>
      <c r="H17432" t="s">
        <v>47055</v>
      </c>
      <c r="I17432" t="s">
        <v>47127</v>
      </c>
      <c r="J17432" t="s">
        <v>47128</v>
      </c>
      <c r="K17432" t="s">
        <v>47113</v>
      </c>
      <c r="L17432">
        <v>35.29</v>
      </c>
      <c r="M17432">
        <v>81</v>
      </c>
      <c r="N17432">
        <v>0</v>
      </c>
      <c r="O17432">
        <v>81</v>
      </c>
      <c r="P17432">
        <v>0</v>
      </c>
    </row>
    <row r="17433" spans="1:16" x14ac:dyDescent="0.25">
      <c r="A17433" t="s">
        <v>22816</v>
      </c>
      <c r="B17433" t="s">
        <v>21315</v>
      </c>
      <c r="C17433" t="s">
        <v>21316</v>
      </c>
      <c r="D17433" t="str">
        <f>"1106"</f>
        <v>1106</v>
      </c>
      <c r="E17433" t="s">
        <v>460</v>
      </c>
      <c r="F17433" t="s">
        <v>19559</v>
      </c>
      <c r="G17433" t="s">
        <v>47096</v>
      </c>
      <c r="H17433" t="s">
        <v>47055</v>
      </c>
      <c r="I17433" t="s">
        <v>47127</v>
      </c>
      <c r="J17433" t="s">
        <v>47128</v>
      </c>
      <c r="K17433" t="s">
        <v>47113</v>
      </c>
      <c r="L17433">
        <v>21.5</v>
      </c>
      <c r="M17433">
        <v>51</v>
      </c>
      <c r="N17433">
        <v>0</v>
      </c>
      <c r="O17433">
        <v>51</v>
      </c>
      <c r="P17433">
        <v>0</v>
      </c>
    </row>
    <row r="17434" spans="1:16" x14ac:dyDescent="0.25">
      <c r="A17434" t="s">
        <v>22817</v>
      </c>
      <c r="B17434" t="s">
        <v>21315</v>
      </c>
      <c r="C17434" t="s">
        <v>21316</v>
      </c>
      <c r="D17434" t="str">
        <f>"3106"</f>
        <v>3106</v>
      </c>
      <c r="E17434" t="s">
        <v>230</v>
      </c>
      <c r="F17434" t="s">
        <v>19559</v>
      </c>
      <c r="G17434" t="s">
        <v>47096</v>
      </c>
      <c r="H17434" t="s">
        <v>47055</v>
      </c>
      <c r="I17434" t="s">
        <v>47127</v>
      </c>
      <c r="J17434" t="s">
        <v>47128</v>
      </c>
      <c r="K17434" t="s">
        <v>47113</v>
      </c>
      <c r="L17434">
        <v>21.5</v>
      </c>
      <c r="M17434">
        <v>51</v>
      </c>
      <c r="N17434">
        <v>0</v>
      </c>
      <c r="O17434">
        <v>51</v>
      </c>
      <c r="P17434">
        <v>0</v>
      </c>
    </row>
    <row r="17435" spans="1:16" x14ac:dyDescent="0.25">
      <c r="A17435" t="s">
        <v>22818</v>
      </c>
      <c r="B17435" t="s">
        <v>21315</v>
      </c>
      <c r="C17435" t="s">
        <v>21316</v>
      </c>
      <c r="D17435" t="str">
        <f>"4143"</f>
        <v>4143</v>
      </c>
      <c r="E17435" t="s">
        <v>16626</v>
      </c>
      <c r="F17435" t="s">
        <v>19559</v>
      </c>
      <c r="G17435" t="s">
        <v>47096</v>
      </c>
      <c r="H17435" t="s">
        <v>47055</v>
      </c>
      <c r="I17435" t="s">
        <v>47127</v>
      </c>
      <c r="J17435" t="s">
        <v>47128</v>
      </c>
      <c r="K17435" t="s">
        <v>47113</v>
      </c>
      <c r="L17435">
        <v>21.5</v>
      </c>
      <c r="M17435">
        <v>51</v>
      </c>
      <c r="N17435">
        <v>0</v>
      </c>
      <c r="O17435">
        <v>51</v>
      </c>
      <c r="P17435">
        <v>0</v>
      </c>
    </row>
    <row r="17436" spans="1:16" x14ac:dyDescent="0.25">
      <c r="A17436" t="s">
        <v>40023</v>
      </c>
      <c r="B17436" t="s">
        <v>40024</v>
      </c>
      <c r="C17436" t="s">
        <v>40025</v>
      </c>
      <c r="D17436" t="str">
        <f>"1106"</f>
        <v>1106</v>
      </c>
      <c r="E17436" t="s">
        <v>460</v>
      </c>
      <c r="F17436" t="s">
        <v>24019</v>
      </c>
      <c r="G17436" t="s">
        <v>47091</v>
      </c>
      <c r="H17436" t="s">
        <v>47055</v>
      </c>
      <c r="I17436" t="s">
        <v>47127</v>
      </c>
      <c r="J17436" t="s">
        <v>47128</v>
      </c>
      <c r="K17436" t="s">
        <v>47113</v>
      </c>
      <c r="L17436">
        <v>12.77</v>
      </c>
      <c r="M17436">
        <v>37</v>
      </c>
      <c r="N17436">
        <v>0</v>
      </c>
      <c r="O17436">
        <v>37</v>
      </c>
      <c r="P17436">
        <v>0</v>
      </c>
    </row>
    <row r="17437" spans="1:16" x14ac:dyDescent="0.25">
      <c r="A17437" t="s">
        <v>40026</v>
      </c>
      <c r="B17437" t="s">
        <v>40024</v>
      </c>
      <c r="C17437" t="s">
        <v>40025</v>
      </c>
      <c r="D17437" t="str">
        <f>"1700"</f>
        <v>1700</v>
      </c>
      <c r="E17437" t="s">
        <v>60</v>
      </c>
      <c r="F17437" t="s">
        <v>24019</v>
      </c>
      <c r="G17437" t="s">
        <v>47091</v>
      </c>
      <c r="H17437" t="s">
        <v>47055</v>
      </c>
      <c r="I17437" t="s">
        <v>47127</v>
      </c>
      <c r="J17437" t="s">
        <v>47128</v>
      </c>
      <c r="K17437" t="s">
        <v>47113</v>
      </c>
      <c r="L17437">
        <v>12.77</v>
      </c>
      <c r="M17437">
        <v>37</v>
      </c>
      <c r="N17437">
        <v>0</v>
      </c>
      <c r="O17437">
        <v>37</v>
      </c>
      <c r="P17437">
        <v>0</v>
      </c>
    </row>
    <row r="17438" spans="1:16" x14ac:dyDescent="0.25">
      <c r="A17438" t="s">
        <v>40027</v>
      </c>
      <c r="B17438" t="s">
        <v>40024</v>
      </c>
      <c r="C17438" t="s">
        <v>40025</v>
      </c>
      <c r="D17438" t="str">
        <f>"4143"</f>
        <v>4143</v>
      </c>
      <c r="E17438" t="s">
        <v>16626</v>
      </c>
      <c r="F17438" t="s">
        <v>24019</v>
      </c>
      <c r="G17438" t="s">
        <v>47091</v>
      </c>
      <c r="H17438" t="s">
        <v>47055</v>
      </c>
      <c r="I17438" t="s">
        <v>47127</v>
      </c>
      <c r="J17438" t="s">
        <v>47128</v>
      </c>
      <c r="K17438" t="s">
        <v>47113</v>
      </c>
      <c r="L17438">
        <v>12.77</v>
      </c>
      <c r="M17438">
        <v>37</v>
      </c>
      <c r="N17438">
        <v>0</v>
      </c>
      <c r="O17438">
        <v>37</v>
      </c>
      <c r="P17438">
        <v>0</v>
      </c>
    </row>
    <row r="17439" spans="1:16" x14ac:dyDescent="0.25">
      <c r="A17439" t="s">
        <v>40028</v>
      </c>
      <c r="B17439" t="s">
        <v>21317</v>
      </c>
      <c r="C17439" t="s">
        <v>21318</v>
      </c>
      <c r="D17439" t="str">
        <f>"1106"</f>
        <v>1106</v>
      </c>
      <c r="E17439" t="s">
        <v>460</v>
      </c>
      <c r="F17439" t="s">
        <v>19552</v>
      </c>
      <c r="G17439" t="s">
        <v>47094</v>
      </c>
      <c r="H17439" t="s">
        <v>47055</v>
      </c>
      <c r="I17439" t="s">
        <v>47127</v>
      </c>
      <c r="J17439" t="s">
        <v>47128</v>
      </c>
      <c r="K17439" t="s">
        <v>47113</v>
      </c>
      <c r="L17439">
        <v>29.83</v>
      </c>
      <c r="M17439">
        <v>70</v>
      </c>
      <c r="N17439">
        <v>0</v>
      </c>
      <c r="O17439">
        <v>70</v>
      </c>
      <c r="P17439">
        <v>0</v>
      </c>
    </row>
    <row r="17440" spans="1:16" x14ac:dyDescent="0.25">
      <c r="A17440" t="s">
        <v>22819</v>
      </c>
      <c r="B17440" t="s">
        <v>21319</v>
      </c>
      <c r="C17440" t="s">
        <v>21320</v>
      </c>
      <c r="D17440" t="str">
        <f>"1378"</f>
        <v>1378</v>
      </c>
      <c r="E17440" t="s">
        <v>388</v>
      </c>
      <c r="F17440" t="s">
        <v>19559</v>
      </c>
      <c r="G17440" t="s">
        <v>47094</v>
      </c>
      <c r="H17440" t="s">
        <v>47055</v>
      </c>
      <c r="I17440" t="s">
        <v>47127</v>
      </c>
      <c r="J17440" t="s">
        <v>47128</v>
      </c>
      <c r="K17440" t="s">
        <v>47113</v>
      </c>
      <c r="L17440">
        <v>31.97</v>
      </c>
      <c r="M17440">
        <v>74</v>
      </c>
      <c r="N17440">
        <v>0</v>
      </c>
      <c r="O17440">
        <v>74</v>
      </c>
      <c r="P17440">
        <v>0</v>
      </c>
    </row>
    <row r="17441" spans="1:16" x14ac:dyDescent="0.25">
      <c r="A17441" t="s">
        <v>40029</v>
      </c>
      <c r="B17441" t="s">
        <v>21319</v>
      </c>
      <c r="C17441" t="s">
        <v>21320</v>
      </c>
      <c r="D17441" t="str">
        <f>"1383"</f>
        <v>1383</v>
      </c>
      <c r="E17441" t="s">
        <v>2273</v>
      </c>
      <c r="F17441" t="s">
        <v>19559</v>
      </c>
      <c r="G17441" t="s">
        <v>47094</v>
      </c>
      <c r="H17441" t="s">
        <v>47055</v>
      </c>
      <c r="I17441" t="s">
        <v>47127</v>
      </c>
      <c r="J17441" t="s">
        <v>47128</v>
      </c>
      <c r="K17441" t="s">
        <v>47113</v>
      </c>
      <c r="L17441">
        <v>31.97</v>
      </c>
      <c r="M17441">
        <v>74</v>
      </c>
      <c r="N17441">
        <v>0</v>
      </c>
      <c r="O17441">
        <v>74</v>
      </c>
      <c r="P17441">
        <v>0</v>
      </c>
    </row>
    <row r="17442" spans="1:16" x14ac:dyDescent="0.25">
      <c r="A17442" t="s">
        <v>40030</v>
      </c>
      <c r="B17442" t="s">
        <v>21319</v>
      </c>
      <c r="C17442" t="s">
        <v>21320</v>
      </c>
      <c r="D17442" t="str">
        <f>"5306"</f>
        <v>5306</v>
      </c>
      <c r="E17442" t="s">
        <v>1991</v>
      </c>
      <c r="F17442" t="s">
        <v>19559</v>
      </c>
      <c r="G17442" t="s">
        <v>47094</v>
      </c>
      <c r="H17442" t="s">
        <v>47055</v>
      </c>
      <c r="I17442" t="s">
        <v>47127</v>
      </c>
      <c r="J17442" t="s">
        <v>47128</v>
      </c>
      <c r="K17442" t="s">
        <v>47113</v>
      </c>
      <c r="L17442">
        <v>31.97</v>
      </c>
      <c r="M17442">
        <v>74</v>
      </c>
      <c r="N17442">
        <v>0</v>
      </c>
      <c r="O17442">
        <v>74</v>
      </c>
      <c r="P17442">
        <v>0</v>
      </c>
    </row>
    <row r="17443" spans="1:16" x14ac:dyDescent="0.25">
      <c r="A17443" t="s">
        <v>40031</v>
      </c>
      <c r="B17443" t="s">
        <v>21319</v>
      </c>
      <c r="C17443" t="s">
        <v>21320</v>
      </c>
      <c r="D17443" t="str">
        <f>"6807"</f>
        <v>6807</v>
      </c>
      <c r="E17443" t="s">
        <v>21298</v>
      </c>
      <c r="F17443" t="s">
        <v>19559</v>
      </c>
      <c r="G17443" t="s">
        <v>47094</v>
      </c>
      <c r="H17443" t="s">
        <v>47055</v>
      </c>
      <c r="I17443" t="s">
        <v>47127</v>
      </c>
      <c r="J17443" t="s">
        <v>47128</v>
      </c>
      <c r="K17443" t="s">
        <v>47113</v>
      </c>
      <c r="L17443">
        <v>31.97</v>
      </c>
      <c r="M17443">
        <v>74</v>
      </c>
      <c r="N17443">
        <v>0</v>
      </c>
      <c r="O17443">
        <v>74</v>
      </c>
      <c r="P17443">
        <v>0</v>
      </c>
    </row>
    <row r="17444" spans="1:16" x14ac:dyDescent="0.25">
      <c r="A17444" t="s">
        <v>22820</v>
      </c>
      <c r="B17444" t="s">
        <v>21321</v>
      </c>
      <c r="C17444" t="s">
        <v>21322</v>
      </c>
      <c r="D17444" t="str">
        <f>"1106"</f>
        <v>1106</v>
      </c>
      <c r="E17444" t="s">
        <v>460</v>
      </c>
      <c r="F17444" t="s">
        <v>19552</v>
      </c>
      <c r="G17444" t="s">
        <v>47096</v>
      </c>
      <c r="H17444" t="s">
        <v>47055</v>
      </c>
      <c r="I17444" t="s">
        <v>47127</v>
      </c>
      <c r="J17444" t="s">
        <v>47128</v>
      </c>
      <c r="K17444" t="s">
        <v>47113</v>
      </c>
      <c r="L17444">
        <v>21.5</v>
      </c>
      <c r="M17444">
        <v>48</v>
      </c>
      <c r="N17444">
        <v>0</v>
      </c>
      <c r="O17444">
        <v>48</v>
      </c>
      <c r="P17444">
        <v>0</v>
      </c>
    </row>
    <row r="17445" spans="1:16" x14ac:dyDescent="0.25">
      <c r="A17445" t="s">
        <v>40032</v>
      </c>
      <c r="B17445" t="s">
        <v>21321</v>
      </c>
      <c r="C17445" t="s">
        <v>21322</v>
      </c>
      <c r="D17445" t="str">
        <f>"3106"</f>
        <v>3106</v>
      </c>
      <c r="E17445" t="s">
        <v>230</v>
      </c>
      <c r="F17445" t="s">
        <v>19552</v>
      </c>
      <c r="G17445" t="s">
        <v>47096</v>
      </c>
      <c r="H17445" t="s">
        <v>47055</v>
      </c>
      <c r="I17445" t="s">
        <v>47127</v>
      </c>
      <c r="J17445" t="s">
        <v>47128</v>
      </c>
      <c r="K17445" t="s">
        <v>47113</v>
      </c>
      <c r="L17445">
        <v>21.5</v>
      </c>
      <c r="M17445">
        <v>48</v>
      </c>
      <c r="N17445">
        <v>0</v>
      </c>
      <c r="O17445">
        <v>48</v>
      </c>
      <c r="P17445">
        <v>0</v>
      </c>
    </row>
    <row r="17446" spans="1:16" x14ac:dyDescent="0.25">
      <c r="A17446" t="s">
        <v>40033</v>
      </c>
      <c r="B17446" t="s">
        <v>21321</v>
      </c>
      <c r="C17446" t="s">
        <v>21322</v>
      </c>
      <c r="D17446" t="str">
        <f>"4143"</f>
        <v>4143</v>
      </c>
      <c r="E17446" t="s">
        <v>16626</v>
      </c>
      <c r="F17446" t="s">
        <v>19552</v>
      </c>
      <c r="G17446" t="s">
        <v>47096</v>
      </c>
      <c r="H17446" t="s">
        <v>47055</v>
      </c>
      <c r="I17446" t="s">
        <v>47127</v>
      </c>
      <c r="J17446" t="s">
        <v>47128</v>
      </c>
      <c r="K17446" t="s">
        <v>47113</v>
      </c>
      <c r="L17446">
        <v>21.5</v>
      </c>
      <c r="M17446">
        <v>48</v>
      </c>
      <c r="N17446">
        <v>0</v>
      </c>
      <c r="O17446">
        <v>48</v>
      </c>
      <c r="P17446">
        <v>0</v>
      </c>
    </row>
    <row r="17447" spans="1:16" x14ac:dyDescent="0.25">
      <c r="A17447" t="s">
        <v>22821</v>
      </c>
      <c r="B17447" t="s">
        <v>21323</v>
      </c>
      <c r="C17447" t="s">
        <v>21324</v>
      </c>
      <c r="D17447" t="str">
        <f>"1106"</f>
        <v>1106</v>
      </c>
      <c r="E17447" t="s">
        <v>460</v>
      </c>
      <c r="F17447" t="s">
        <v>19552</v>
      </c>
      <c r="G17447" t="s">
        <v>47094</v>
      </c>
      <c r="H17447" t="s">
        <v>47055</v>
      </c>
      <c r="I17447" t="s">
        <v>47127</v>
      </c>
      <c r="J17447" t="s">
        <v>47128</v>
      </c>
      <c r="K17447" t="s">
        <v>47113</v>
      </c>
      <c r="L17447">
        <v>31.97</v>
      </c>
      <c r="M17447">
        <v>74</v>
      </c>
      <c r="N17447">
        <v>0</v>
      </c>
      <c r="O17447">
        <v>74</v>
      </c>
      <c r="P17447">
        <v>0</v>
      </c>
    </row>
    <row r="17448" spans="1:16" x14ac:dyDescent="0.25">
      <c r="A17448" t="s">
        <v>40034</v>
      </c>
      <c r="B17448" t="s">
        <v>21323</v>
      </c>
      <c r="C17448" t="s">
        <v>21324</v>
      </c>
      <c r="D17448" t="str">
        <f>"1378"</f>
        <v>1378</v>
      </c>
      <c r="E17448" t="s">
        <v>388</v>
      </c>
      <c r="F17448" t="s">
        <v>19552</v>
      </c>
      <c r="G17448" t="s">
        <v>47094</v>
      </c>
      <c r="H17448" t="s">
        <v>47055</v>
      </c>
      <c r="I17448" t="s">
        <v>47127</v>
      </c>
      <c r="J17448" t="s">
        <v>47128</v>
      </c>
      <c r="K17448" t="s">
        <v>47113</v>
      </c>
      <c r="L17448">
        <v>31.97</v>
      </c>
      <c r="M17448">
        <v>74</v>
      </c>
      <c r="N17448">
        <v>0</v>
      </c>
      <c r="O17448">
        <v>74</v>
      </c>
      <c r="P17448">
        <v>0</v>
      </c>
    </row>
    <row r="17449" spans="1:16" x14ac:dyDescent="0.25">
      <c r="A17449" t="s">
        <v>40035</v>
      </c>
      <c r="B17449" t="s">
        <v>21323</v>
      </c>
      <c r="C17449" t="s">
        <v>21324</v>
      </c>
      <c r="D17449" t="str">
        <f>"1383"</f>
        <v>1383</v>
      </c>
      <c r="E17449" t="s">
        <v>2273</v>
      </c>
      <c r="F17449" t="s">
        <v>19552</v>
      </c>
      <c r="G17449" t="s">
        <v>47094</v>
      </c>
      <c r="H17449" t="s">
        <v>47055</v>
      </c>
      <c r="I17449" t="s">
        <v>47127</v>
      </c>
      <c r="J17449" t="s">
        <v>47128</v>
      </c>
      <c r="K17449" t="s">
        <v>47113</v>
      </c>
      <c r="L17449">
        <v>31.97</v>
      </c>
      <c r="M17449">
        <v>74</v>
      </c>
      <c r="N17449">
        <v>0</v>
      </c>
      <c r="O17449">
        <v>74</v>
      </c>
      <c r="P17449">
        <v>0</v>
      </c>
    </row>
    <row r="17450" spans="1:16" x14ac:dyDescent="0.25">
      <c r="A17450" t="s">
        <v>40036</v>
      </c>
      <c r="B17450" t="s">
        <v>21323</v>
      </c>
      <c r="C17450" t="s">
        <v>21324</v>
      </c>
      <c r="D17450" t="str">
        <f>"4522"</f>
        <v>4522</v>
      </c>
      <c r="E17450" t="s">
        <v>11009</v>
      </c>
      <c r="F17450" t="s">
        <v>19552</v>
      </c>
      <c r="G17450" t="s">
        <v>47094</v>
      </c>
      <c r="H17450" t="s">
        <v>47055</v>
      </c>
      <c r="I17450" t="s">
        <v>47127</v>
      </c>
      <c r="J17450" t="s">
        <v>47128</v>
      </c>
      <c r="K17450" t="s">
        <v>47113</v>
      </c>
      <c r="L17450">
        <v>31.97</v>
      </c>
      <c r="M17450">
        <v>74</v>
      </c>
      <c r="N17450">
        <v>0</v>
      </c>
      <c r="O17450">
        <v>74</v>
      </c>
      <c r="P17450">
        <v>0</v>
      </c>
    </row>
    <row r="17451" spans="1:16" x14ac:dyDescent="0.25">
      <c r="A17451" t="s">
        <v>22822</v>
      </c>
      <c r="B17451" t="s">
        <v>21323</v>
      </c>
      <c r="C17451" t="s">
        <v>21324</v>
      </c>
      <c r="D17451" t="str">
        <f>"6064"</f>
        <v>6064</v>
      </c>
      <c r="E17451" t="s">
        <v>87</v>
      </c>
      <c r="F17451" t="s">
        <v>19552</v>
      </c>
      <c r="G17451" t="s">
        <v>47094</v>
      </c>
      <c r="H17451" t="s">
        <v>47055</v>
      </c>
      <c r="I17451" t="s">
        <v>47127</v>
      </c>
      <c r="J17451" t="s">
        <v>47128</v>
      </c>
      <c r="K17451" t="s">
        <v>47113</v>
      </c>
      <c r="L17451">
        <v>31.97</v>
      </c>
      <c r="M17451">
        <v>74</v>
      </c>
      <c r="N17451">
        <v>0</v>
      </c>
      <c r="O17451">
        <v>74</v>
      </c>
      <c r="P17451">
        <v>0</v>
      </c>
    </row>
    <row r="17452" spans="1:16" x14ac:dyDescent="0.25">
      <c r="A17452" t="s">
        <v>22823</v>
      </c>
      <c r="B17452" t="s">
        <v>21325</v>
      </c>
      <c r="C17452" t="s">
        <v>21326</v>
      </c>
      <c r="D17452" t="str">
        <f>"1106"</f>
        <v>1106</v>
      </c>
      <c r="E17452" t="s">
        <v>460</v>
      </c>
      <c r="F17452" t="s">
        <v>19559</v>
      </c>
      <c r="G17452" t="s">
        <v>47096</v>
      </c>
      <c r="H17452" t="s">
        <v>47055</v>
      </c>
      <c r="I17452" t="s">
        <v>47127</v>
      </c>
      <c r="J17452" t="s">
        <v>47128</v>
      </c>
      <c r="K17452" t="s">
        <v>47113</v>
      </c>
      <c r="L17452">
        <v>19.79</v>
      </c>
      <c r="M17452">
        <v>48</v>
      </c>
      <c r="N17452">
        <v>0</v>
      </c>
      <c r="O17452">
        <v>48</v>
      </c>
      <c r="P17452">
        <v>0</v>
      </c>
    </row>
    <row r="17453" spans="1:16" x14ac:dyDescent="0.25">
      <c r="A17453" t="s">
        <v>40037</v>
      </c>
      <c r="B17453" t="s">
        <v>21325</v>
      </c>
      <c r="C17453" t="s">
        <v>21326</v>
      </c>
      <c r="D17453" t="str">
        <f>"1378"</f>
        <v>1378</v>
      </c>
      <c r="E17453" t="s">
        <v>388</v>
      </c>
      <c r="F17453" t="s">
        <v>19559</v>
      </c>
      <c r="G17453" t="s">
        <v>47096</v>
      </c>
      <c r="H17453" t="s">
        <v>47055</v>
      </c>
      <c r="I17453" t="s">
        <v>47127</v>
      </c>
      <c r="J17453" t="s">
        <v>47128</v>
      </c>
      <c r="K17453" t="s">
        <v>47113</v>
      </c>
      <c r="L17453">
        <v>19.79</v>
      </c>
      <c r="M17453">
        <v>48</v>
      </c>
      <c r="N17453">
        <v>0</v>
      </c>
      <c r="O17453">
        <v>48</v>
      </c>
      <c r="P17453">
        <v>0</v>
      </c>
    </row>
    <row r="17454" spans="1:16" x14ac:dyDescent="0.25">
      <c r="A17454" t="s">
        <v>22824</v>
      </c>
      <c r="B17454" t="s">
        <v>21325</v>
      </c>
      <c r="C17454" t="s">
        <v>21326</v>
      </c>
      <c r="D17454" t="str">
        <f>"1383"</f>
        <v>1383</v>
      </c>
      <c r="E17454" t="s">
        <v>2273</v>
      </c>
      <c r="F17454" t="s">
        <v>19559</v>
      </c>
      <c r="G17454" t="s">
        <v>47096</v>
      </c>
      <c r="H17454" t="s">
        <v>47055</v>
      </c>
      <c r="I17454" t="s">
        <v>47127</v>
      </c>
      <c r="J17454" t="s">
        <v>47128</v>
      </c>
      <c r="K17454" t="s">
        <v>47113</v>
      </c>
      <c r="L17454">
        <v>19.79</v>
      </c>
      <c r="M17454">
        <v>48</v>
      </c>
      <c r="N17454">
        <v>0</v>
      </c>
      <c r="O17454">
        <v>48</v>
      </c>
      <c r="P17454">
        <v>0</v>
      </c>
    </row>
    <row r="17455" spans="1:16" x14ac:dyDescent="0.25">
      <c r="A17455" t="s">
        <v>40038</v>
      </c>
      <c r="B17455" t="s">
        <v>21325</v>
      </c>
      <c r="C17455" t="s">
        <v>21326</v>
      </c>
      <c r="D17455" t="str">
        <f>"4522"</f>
        <v>4522</v>
      </c>
      <c r="E17455" t="s">
        <v>11009</v>
      </c>
      <c r="F17455" t="s">
        <v>19559</v>
      </c>
      <c r="G17455" t="s">
        <v>47096</v>
      </c>
      <c r="H17455" t="s">
        <v>47055</v>
      </c>
      <c r="I17455" t="s">
        <v>47127</v>
      </c>
      <c r="J17455" t="s">
        <v>47128</v>
      </c>
      <c r="K17455" t="s">
        <v>47113</v>
      </c>
      <c r="L17455">
        <v>19.79</v>
      </c>
      <c r="M17455">
        <v>48</v>
      </c>
      <c r="N17455">
        <v>0</v>
      </c>
      <c r="O17455">
        <v>48</v>
      </c>
      <c r="P17455">
        <v>0</v>
      </c>
    </row>
    <row r="17456" spans="1:16" x14ac:dyDescent="0.25">
      <c r="A17456" t="s">
        <v>22825</v>
      </c>
      <c r="B17456" t="s">
        <v>21325</v>
      </c>
      <c r="C17456" t="s">
        <v>21326</v>
      </c>
      <c r="D17456" t="str">
        <f>"6807"</f>
        <v>6807</v>
      </c>
      <c r="E17456" t="s">
        <v>21298</v>
      </c>
      <c r="F17456" t="s">
        <v>19559</v>
      </c>
      <c r="G17456" t="s">
        <v>47096</v>
      </c>
      <c r="H17456" t="s">
        <v>47055</v>
      </c>
      <c r="I17456" t="s">
        <v>47127</v>
      </c>
      <c r="J17456" t="s">
        <v>47128</v>
      </c>
      <c r="K17456" t="s">
        <v>47113</v>
      </c>
      <c r="L17456">
        <v>19.79</v>
      </c>
      <c r="M17456">
        <v>48</v>
      </c>
      <c r="N17456">
        <v>0</v>
      </c>
      <c r="O17456">
        <v>48</v>
      </c>
      <c r="P17456">
        <v>0</v>
      </c>
    </row>
    <row r="17457" spans="1:16" x14ac:dyDescent="0.25">
      <c r="A17457" t="s">
        <v>22826</v>
      </c>
      <c r="B17457" t="s">
        <v>21327</v>
      </c>
      <c r="C17457" t="s">
        <v>21328</v>
      </c>
      <c r="D17457" t="str">
        <f>"1106"</f>
        <v>1106</v>
      </c>
      <c r="E17457" t="s">
        <v>460</v>
      </c>
      <c r="F17457" t="s">
        <v>19559</v>
      </c>
      <c r="G17457" t="s">
        <v>47095</v>
      </c>
      <c r="H17457" t="s">
        <v>47055</v>
      </c>
      <c r="I17457" t="s">
        <v>47127</v>
      </c>
      <c r="J17457" t="s">
        <v>47128</v>
      </c>
      <c r="K17457" t="s">
        <v>47113</v>
      </c>
      <c r="L17457">
        <v>20.85</v>
      </c>
      <c r="M17457">
        <v>48</v>
      </c>
      <c r="N17457">
        <v>0</v>
      </c>
      <c r="O17457">
        <v>48</v>
      </c>
      <c r="P17457">
        <v>0</v>
      </c>
    </row>
    <row r="17458" spans="1:16" x14ac:dyDescent="0.25">
      <c r="A17458" t="s">
        <v>40039</v>
      </c>
      <c r="B17458" t="s">
        <v>21327</v>
      </c>
      <c r="C17458" t="s">
        <v>21328</v>
      </c>
      <c r="D17458" t="str">
        <f>"1378"</f>
        <v>1378</v>
      </c>
      <c r="E17458" t="s">
        <v>388</v>
      </c>
      <c r="F17458" t="s">
        <v>19559</v>
      </c>
      <c r="G17458" t="s">
        <v>47095</v>
      </c>
      <c r="H17458" t="s">
        <v>47055</v>
      </c>
      <c r="I17458" t="s">
        <v>47127</v>
      </c>
      <c r="J17458" t="s">
        <v>47128</v>
      </c>
      <c r="K17458" t="s">
        <v>47113</v>
      </c>
      <c r="L17458">
        <v>20.85</v>
      </c>
      <c r="M17458">
        <v>48</v>
      </c>
      <c r="N17458">
        <v>0</v>
      </c>
      <c r="O17458">
        <v>48</v>
      </c>
      <c r="P17458">
        <v>0</v>
      </c>
    </row>
    <row r="17459" spans="1:16" x14ac:dyDescent="0.25">
      <c r="A17459" t="s">
        <v>22827</v>
      </c>
      <c r="B17459" t="s">
        <v>21327</v>
      </c>
      <c r="C17459" t="s">
        <v>21328</v>
      </c>
      <c r="D17459" t="str">
        <f>"1383"</f>
        <v>1383</v>
      </c>
      <c r="E17459" t="s">
        <v>2273</v>
      </c>
      <c r="F17459" t="s">
        <v>19559</v>
      </c>
      <c r="G17459" t="s">
        <v>47095</v>
      </c>
      <c r="H17459" t="s">
        <v>47055</v>
      </c>
      <c r="I17459" t="s">
        <v>47127</v>
      </c>
      <c r="J17459" t="s">
        <v>47128</v>
      </c>
      <c r="K17459" t="s">
        <v>47113</v>
      </c>
      <c r="L17459">
        <v>20.85</v>
      </c>
      <c r="M17459">
        <v>48</v>
      </c>
      <c r="N17459">
        <v>0</v>
      </c>
      <c r="O17459">
        <v>48</v>
      </c>
      <c r="P17459">
        <v>0</v>
      </c>
    </row>
    <row r="17460" spans="1:16" x14ac:dyDescent="0.25">
      <c r="A17460" t="s">
        <v>40040</v>
      </c>
      <c r="B17460" t="s">
        <v>21327</v>
      </c>
      <c r="C17460" t="s">
        <v>21328</v>
      </c>
      <c r="D17460" t="str">
        <f>"4522"</f>
        <v>4522</v>
      </c>
      <c r="E17460" t="s">
        <v>11009</v>
      </c>
      <c r="F17460" t="s">
        <v>19559</v>
      </c>
      <c r="G17460" t="s">
        <v>47095</v>
      </c>
      <c r="H17460" t="s">
        <v>47055</v>
      </c>
      <c r="I17460" t="s">
        <v>47127</v>
      </c>
      <c r="J17460" t="s">
        <v>47128</v>
      </c>
      <c r="K17460" t="s">
        <v>47113</v>
      </c>
      <c r="L17460">
        <v>20.85</v>
      </c>
      <c r="M17460">
        <v>48</v>
      </c>
      <c r="N17460">
        <v>0</v>
      </c>
      <c r="O17460">
        <v>48</v>
      </c>
      <c r="P17460">
        <v>0</v>
      </c>
    </row>
    <row r="17461" spans="1:16" x14ac:dyDescent="0.25">
      <c r="A17461" t="s">
        <v>40041</v>
      </c>
      <c r="B17461" t="s">
        <v>21327</v>
      </c>
      <c r="C17461" t="s">
        <v>21328</v>
      </c>
      <c r="D17461" t="str">
        <f>"6807"</f>
        <v>6807</v>
      </c>
      <c r="E17461" t="s">
        <v>21298</v>
      </c>
      <c r="F17461" t="s">
        <v>19559</v>
      </c>
      <c r="G17461" t="s">
        <v>47095</v>
      </c>
      <c r="H17461" t="s">
        <v>47055</v>
      </c>
      <c r="I17461" t="s">
        <v>47127</v>
      </c>
      <c r="J17461" t="s">
        <v>47128</v>
      </c>
      <c r="K17461" t="s">
        <v>47113</v>
      </c>
      <c r="L17461">
        <v>20.85</v>
      </c>
      <c r="M17461">
        <v>48</v>
      </c>
      <c r="N17461">
        <v>0</v>
      </c>
      <c r="O17461">
        <v>48</v>
      </c>
      <c r="P17461">
        <v>0</v>
      </c>
    </row>
    <row r="17462" spans="1:16" x14ac:dyDescent="0.25">
      <c r="A17462" t="s">
        <v>22828</v>
      </c>
      <c r="B17462" t="s">
        <v>21329</v>
      </c>
      <c r="C17462" t="s">
        <v>21330</v>
      </c>
      <c r="D17462" t="str">
        <f>"1106"</f>
        <v>1106</v>
      </c>
      <c r="E17462" t="s">
        <v>460</v>
      </c>
      <c r="F17462" t="s">
        <v>19559</v>
      </c>
      <c r="G17462" t="s">
        <v>47094</v>
      </c>
      <c r="H17462" t="s">
        <v>47055</v>
      </c>
      <c r="I17462" t="s">
        <v>47127</v>
      </c>
      <c r="J17462" t="s">
        <v>47128</v>
      </c>
      <c r="K17462" t="s">
        <v>47113</v>
      </c>
      <c r="L17462">
        <v>29.41</v>
      </c>
      <c r="M17462">
        <v>66</v>
      </c>
      <c r="N17462">
        <v>0</v>
      </c>
      <c r="O17462">
        <v>66</v>
      </c>
      <c r="P17462">
        <v>0</v>
      </c>
    </row>
    <row r="17463" spans="1:16" x14ac:dyDescent="0.25">
      <c r="A17463" t="s">
        <v>40042</v>
      </c>
      <c r="B17463" t="s">
        <v>21329</v>
      </c>
      <c r="C17463" t="s">
        <v>21330</v>
      </c>
      <c r="D17463" t="str">
        <f>"1378"</f>
        <v>1378</v>
      </c>
      <c r="E17463" t="s">
        <v>388</v>
      </c>
      <c r="F17463" t="s">
        <v>19559</v>
      </c>
      <c r="G17463" t="s">
        <v>47094</v>
      </c>
      <c r="H17463" t="s">
        <v>47055</v>
      </c>
      <c r="I17463" t="s">
        <v>47127</v>
      </c>
      <c r="J17463" t="s">
        <v>47128</v>
      </c>
      <c r="K17463" t="s">
        <v>47113</v>
      </c>
      <c r="L17463">
        <v>29.41</v>
      </c>
      <c r="M17463">
        <v>66</v>
      </c>
      <c r="N17463">
        <v>0</v>
      </c>
      <c r="O17463">
        <v>66</v>
      </c>
      <c r="P17463">
        <v>0</v>
      </c>
    </row>
    <row r="17464" spans="1:16" x14ac:dyDescent="0.25">
      <c r="A17464" t="s">
        <v>22829</v>
      </c>
      <c r="B17464" t="s">
        <v>21329</v>
      </c>
      <c r="C17464" t="s">
        <v>21330</v>
      </c>
      <c r="D17464" t="str">
        <f>"1383"</f>
        <v>1383</v>
      </c>
      <c r="E17464" t="s">
        <v>2273</v>
      </c>
      <c r="F17464" t="s">
        <v>19559</v>
      </c>
      <c r="G17464" t="s">
        <v>47094</v>
      </c>
      <c r="H17464" t="s">
        <v>47055</v>
      </c>
      <c r="I17464" t="s">
        <v>47127</v>
      </c>
      <c r="J17464" t="s">
        <v>47128</v>
      </c>
      <c r="K17464" t="s">
        <v>47113</v>
      </c>
      <c r="L17464">
        <v>29.41</v>
      </c>
      <c r="M17464">
        <v>66</v>
      </c>
      <c r="N17464">
        <v>0</v>
      </c>
      <c r="O17464">
        <v>66</v>
      </c>
      <c r="P17464">
        <v>0</v>
      </c>
    </row>
    <row r="17465" spans="1:16" x14ac:dyDescent="0.25">
      <c r="A17465" t="s">
        <v>40043</v>
      </c>
      <c r="B17465" t="s">
        <v>21329</v>
      </c>
      <c r="C17465" t="s">
        <v>21330</v>
      </c>
      <c r="D17465" t="str">
        <f>"4522"</f>
        <v>4522</v>
      </c>
      <c r="E17465" t="s">
        <v>11009</v>
      </c>
      <c r="F17465" t="s">
        <v>19559</v>
      </c>
      <c r="G17465" t="s">
        <v>47094</v>
      </c>
      <c r="H17465" t="s">
        <v>47055</v>
      </c>
      <c r="I17465" t="s">
        <v>47127</v>
      </c>
      <c r="J17465" t="s">
        <v>47128</v>
      </c>
      <c r="K17465" t="s">
        <v>47113</v>
      </c>
      <c r="L17465">
        <v>29.41</v>
      </c>
      <c r="M17465">
        <v>66</v>
      </c>
      <c r="N17465">
        <v>0</v>
      </c>
      <c r="O17465">
        <v>66</v>
      </c>
      <c r="P17465">
        <v>0</v>
      </c>
    </row>
    <row r="17466" spans="1:16" x14ac:dyDescent="0.25">
      <c r="A17466" t="s">
        <v>22830</v>
      </c>
      <c r="B17466" t="s">
        <v>21329</v>
      </c>
      <c r="C17466" t="s">
        <v>21330</v>
      </c>
      <c r="D17466" t="str">
        <f>"6807"</f>
        <v>6807</v>
      </c>
      <c r="E17466" t="s">
        <v>21298</v>
      </c>
      <c r="F17466" t="s">
        <v>19559</v>
      </c>
      <c r="G17466" t="s">
        <v>47094</v>
      </c>
      <c r="H17466" t="s">
        <v>47055</v>
      </c>
      <c r="I17466" t="s">
        <v>47127</v>
      </c>
      <c r="J17466" t="s">
        <v>47128</v>
      </c>
      <c r="K17466" t="s">
        <v>47113</v>
      </c>
      <c r="L17466">
        <v>29.41</v>
      </c>
      <c r="M17466">
        <v>66</v>
      </c>
      <c r="N17466">
        <v>0</v>
      </c>
      <c r="O17466">
        <v>66</v>
      </c>
      <c r="P17466">
        <v>0</v>
      </c>
    </row>
    <row r="17467" spans="1:16" x14ac:dyDescent="0.25">
      <c r="A17467" t="s">
        <v>40044</v>
      </c>
      <c r="B17467" t="s">
        <v>21331</v>
      </c>
      <c r="C17467" t="s">
        <v>21332</v>
      </c>
      <c r="D17467" t="str">
        <f>"1001"</f>
        <v>1001</v>
      </c>
      <c r="E17467" t="s">
        <v>42</v>
      </c>
      <c r="F17467" t="s">
        <v>19559</v>
      </c>
      <c r="G17467" t="s">
        <v>47094</v>
      </c>
      <c r="H17467" t="s">
        <v>47055</v>
      </c>
      <c r="I17467" t="s">
        <v>47120</v>
      </c>
      <c r="J17467" t="s">
        <v>47121</v>
      </c>
      <c r="K17467" t="s">
        <v>47113</v>
      </c>
      <c r="L17467">
        <v>30.68</v>
      </c>
      <c r="M17467">
        <v>70</v>
      </c>
      <c r="N17467">
        <v>0</v>
      </c>
      <c r="O17467">
        <v>70</v>
      </c>
      <c r="P17467">
        <v>0</v>
      </c>
    </row>
    <row r="17468" spans="1:16" x14ac:dyDescent="0.25">
      <c r="A17468" t="s">
        <v>22831</v>
      </c>
      <c r="B17468" t="s">
        <v>21331</v>
      </c>
      <c r="C17468" t="s">
        <v>21332</v>
      </c>
      <c r="D17468" t="str">
        <f>"1383"</f>
        <v>1383</v>
      </c>
      <c r="E17468" t="s">
        <v>2273</v>
      </c>
      <c r="F17468" t="s">
        <v>19559</v>
      </c>
      <c r="G17468" t="s">
        <v>47094</v>
      </c>
      <c r="H17468" t="s">
        <v>47055</v>
      </c>
      <c r="I17468" t="s">
        <v>47120</v>
      </c>
      <c r="J17468" t="s">
        <v>47121</v>
      </c>
      <c r="K17468" t="s">
        <v>47113</v>
      </c>
      <c r="L17468">
        <v>30.68</v>
      </c>
      <c r="M17468">
        <v>70</v>
      </c>
      <c r="N17468">
        <v>0</v>
      </c>
      <c r="O17468">
        <v>70</v>
      </c>
      <c r="P17468">
        <v>0</v>
      </c>
    </row>
    <row r="17469" spans="1:16" x14ac:dyDescent="0.25">
      <c r="A17469" t="s">
        <v>40045</v>
      </c>
      <c r="B17469" t="s">
        <v>21331</v>
      </c>
      <c r="C17469" t="s">
        <v>21332</v>
      </c>
      <c r="D17469" t="str">
        <f>"4922"</f>
        <v>4922</v>
      </c>
      <c r="E17469" t="s">
        <v>4175</v>
      </c>
      <c r="F17469" t="s">
        <v>19559</v>
      </c>
      <c r="G17469" t="s">
        <v>47094</v>
      </c>
      <c r="H17469" t="s">
        <v>47055</v>
      </c>
      <c r="I17469" t="s">
        <v>47120</v>
      </c>
      <c r="J17469" t="s">
        <v>47121</v>
      </c>
      <c r="K17469" t="s">
        <v>47113</v>
      </c>
      <c r="L17469">
        <v>30.68</v>
      </c>
      <c r="M17469">
        <v>70</v>
      </c>
      <c r="N17469">
        <v>0</v>
      </c>
      <c r="O17469">
        <v>70</v>
      </c>
      <c r="P17469">
        <v>0</v>
      </c>
    </row>
    <row r="17470" spans="1:16" x14ac:dyDescent="0.25">
      <c r="A17470" t="s">
        <v>40046</v>
      </c>
      <c r="B17470" t="s">
        <v>21331</v>
      </c>
      <c r="C17470" t="s">
        <v>21332</v>
      </c>
      <c r="D17470" t="str">
        <f>"6276"</f>
        <v>6276</v>
      </c>
      <c r="E17470" t="s">
        <v>3867</v>
      </c>
      <c r="F17470" t="s">
        <v>19559</v>
      </c>
      <c r="G17470" t="s">
        <v>47094</v>
      </c>
      <c r="H17470" t="s">
        <v>47055</v>
      </c>
      <c r="I17470" t="s">
        <v>47120</v>
      </c>
      <c r="J17470" t="s">
        <v>47121</v>
      </c>
      <c r="K17470" t="s">
        <v>47113</v>
      </c>
      <c r="L17470">
        <v>30.68</v>
      </c>
      <c r="M17470">
        <v>70</v>
      </c>
      <c r="N17470">
        <v>0</v>
      </c>
      <c r="O17470">
        <v>70</v>
      </c>
      <c r="P17470">
        <v>0</v>
      </c>
    </row>
    <row r="17471" spans="1:16" x14ac:dyDescent="0.25">
      <c r="A17471" t="s">
        <v>40047</v>
      </c>
      <c r="B17471" t="s">
        <v>21333</v>
      </c>
      <c r="C17471" t="s">
        <v>21334</v>
      </c>
      <c r="D17471" t="str">
        <f>"1001"</f>
        <v>1001</v>
      </c>
      <c r="E17471" t="s">
        <v>42</v>
      </c>
      <c r="F17471" t="s">
        <v>19559</v>
      </c>
      <c r="G17471" t="s">
        <v>47094</v>
      </c>
      <c r="H17471" t="s">
        <v>47055</v>
      </c>
      <c r="I17471" t="s">
        <v>47120</v>
      </c>
      <c r="J17471" t="s">
        <v>47121</v>
      </c>
      <c r="K17471" t="s">
        <v>47113</v>
      </c>
      <c r="L17471">
        <v>29.69</v>
      </c>
      <c r="M17471">
        <v>70</v>
      </c>
      <c r="N17471">
        <v>0</v>
      </c>
      <c r="O17471">
        <v>70</v>
      </c>
      <c r="P17471">
        <v>0</v>
      </c>
    </row>
    <row r="17472" spans="1:16" x14ac:dyDescent="0.25">
      <c r="A17472" t="s">
        <v>40048</v>
      </c>
      <c r="B17472" t="s">
        <v>21333</v>
      </c>
      <c r="C17472" t="s">
        <v>21334</v>
      </c>
      <c r="D17472" t="str">
        <f>"1383"</f>
        <v>1383</v>
      </c>
      <c r="E17472" t="s">
        <v>2273</v>
      </c>
      <c r="F17472" t="s">
        <v>19559</v>
      </c>
      <c r="G17472" t="s">
        <v>47094</v>
      </c>
      <c r="H17472" t="s">
        <v>47055</v>
      </c>
      <c r="I17472" t="s">
        <v>47120</v>
      </c>
      <c r="J17472" t="s">
        <v>47121</v>
      </c>
      <c r="K17472" t="s">
        <v>47113</v>
      </c>
      <c r="L17472">
        <v>29.69</v>
      </c>
      <c r="M17472">
        <v>70</v>
      </c>
      <c r="N17472">
        <v>0</v>
      </c>
      <c r="O17472">
        <v>70</v>
      </c>
      <c r="P17472">
        <v>0</v>
      </c>
    </row>
    <row r="17473" spans="1:16" x14ac:dyDescent="0.25">
      <c r="A17473" t="s">
        <v>40049</v>
      </c>
      <c r="B17473" t="s">
        <v>21333</v>
      </c>
      <c r="C17473" t="s">
        <v>21334</v>
      </c>
      <c r="D17473" t="str">
        <f>"4922"</f>
        <v>4922</v>
      </c>
      <c r="E17473" t="s">
        <v>4175</v>
      </c>
      <c r="F17473" t="s">
        <v>19559</v>
      </c>
      <c r="G17473" t="s">
        <v>47094</v>
      </c>
      <c r="H17473" t="s">
        <v>47055</v>
      </c>
      <c r="I17473" t="s">
        <v>47120</v>
      </c>
      <c r="J17473" t="s">
        <v>47121</v>
      </c>
      <c r="K17473" t="s">
        <v>47113</v>
      </c>
      <c r="L17473">
        <v>29.69</v>
      </c>
      <c r="M17473">
        <v>70</v>
      </c>
      <c r="N17473">
        <v>0</v>
      </c>
      <c r="O17473">
        <v>70</v>
      </c>
      <c r="P17473">
        <v>0</v>
      </c>
    </row>
    <row r="17474" spans="1:16" x14ac:dyDescent="0.25">
      <c r="A17474" t="s">
        <v>22832</v>
      </c>
      <c r="B17474" t="s">
        <v>21333</v>
      </c>
      <c r="C17474" t="s">
        <v>21334</v>
      </c>
      <c r="D17474" t="str">
        <f>"6276"</f>
        <v>6276</v>
      </c>
      <c r="E17474" t="s">
        <v>3867</v>
      </c>
      <c r="F17474" t="s">
        <v>19559</v>
      </c>
      <c r="G17474" t="s">
        <v>47094</v>
      </c>
      <c r="H17474" t="s">
        <v>47055</v>
      </c>
      <c r="I17474" t="s">
        <v>47120</v>
      </c>
      <c r="J17474" t="s">
        <v>47121</v>
      </c>
      <c r="K17474" t="s">
        <v>47113</v>
      </c>
      <c r="L17474">
        <v>29.69</v>
      </c>
      <c r="M17474">
        <v>70</v>
      </c>
      <c r="N17474">
        <v>0</v>
      </c>
      <c r="O17474">
        <v>70</v>
      </c>
      <c r="P17474">
        <v>0</v>
      </c>
    </row>
    <row r="17475" spans="1:16" x14ac:dyDescent="0.25">
      <c r="A17475" t="s">
        <v>40050</v>
      </c>
      <c r="B17475" t="s">
        <v>21335</v>
      </c>
      <c r="C17475" t="s">
        <v>21336</v>
      </c>
      <c r="D17475" t="str">
        <f>"1001"</f>
        <v>1001</v>
      </c>
      <c r="E17475" t="s">
        <v>42</v>
      </c>
      <c r="F17475" t="s">
        <v>19559</v>
      </c>
      <c r="G17475" t="s">
        <v>47094</v>
      </c>
      <c r="H17475" t="s">
        <v>47055</v>
      </c>
      <c r="I17475" t="s">
        <v>47120</v>
      </c>
      <c r="J17475" t="s">
        <v>47121</v>
      </c>
      <c r="K17475" t="s">
        <v>47113</v>
      </c>
      <c r="L17475">
        <v>30.19</v>
      </c>
      <c r="M17475">
        <v>70</v>
      </c>
      <c r="N17475">
        <v>0</v>
      </c>
      <c r="O17475">
        <v>70</v>
      </c>
      <c r="P17475">
        <v>0</v>
      </c>
    </row>
    <row r="17476" spans="1:16" x14ac:dyDescent="0.25">
      <c r="A17476" t="s">
        <v>40051</v>
      </c>
      <c r="B17476" t="s">
        <v>21335</v>
      </c>
      <c r="C17476" t="s">
        <v>21336</v>
      </c>
      <c r="D17476" t="str">
        <f>"1383"</f>
        <v>1383</v>
      </c>
      <c r="E17476" t="s">
        <v>2273</v>
      </c>
      <c r="F17476" t="s">
        <v>19559</v>
      </c>
      <c r="G17476" t="s">
        <v>47094</v>
      </c>
      <c r="H17476" t="s">
        <v>47055</v>
      </c>
      <c r="I17476" t="s">
        <v>47120</v>
      </c>
      <c r="J17476" t="s">
        <v>47121</v>
      </c>
      <c r="K17476" t="s">
        <v>47113</v>
      </c>
      <c r="L17476">
        <v>30.19</v>
      </c>
      <c r="M17476">
        <v>70</v>
      </c>
      <c r="N17476">
        <v>0</v>
      </c>
      <c r="O17476">
        <v>70</v>
      </c>
      <c r="P17476">
        <v>0</v>
      </c>
    </row>
    <row r="17477" spans="1:16" x14ac:dyDescent="0.25">
      <c r="A17477" t="s">
        <v>40052</v>
      </c>
      <c r="B17477" t="s">
        <v>21335</v>
      </c>
      <c r="C17477" t="s">
        <v>21336</v>
      </c>
      <c r="D17477" t="str">
        <f>"4922"</f>
        <v>4922</v>
      </c>
      <c r="E17477" t="s">
        <v>4175</v>
      </c>
      <c r="F17477" t="s">
        <v>19559</v>
      </c>
      <c r="G17477" t="s">
        <v>47094</v>
      </c>
      <c r="H17477" t="s">
        <v>47055</v>
      </c>
      <c r="I17477" t="s">
        <v>47120</v>
      </c>
      <c r="J17477" t="s">
        <v>47121</v>
      </c>
      <c r="K17477" t="s">
        <v>47113</v>
      </c>
      <c r="L17477">
        <v>30.19</v>
      </c>
      <c r="M17477">
        <v>70</v>
      </c>
      <c r="N17477">
        <v>0</v>
      </c>
      <c r="O17477">
        <v>70</v>
      </c>
      <c r="P17477">
        <v>0</v>
      </c>
    </row>
    <row r="17478" spans="1:16" x14ac:dyDescent="0.25">
      <c r="A17478" t="s">
        <v>40053</v>
      </c>
      <c r="B17478" t="s">
        <v>21335</v>
      </c>
      <c r="C17478" t="s">
        <v>21336</v>
      </c>
      <c r="D17478" t="str">
        <f>"6276"</f>
        <v>6276</v>
      </c>
      <c r="E17478" t="s">
        <v>3867</v>
      </c>
      <c r="F17478" t="s">
        <v>19559</v>
      </c>
      <c r="G17478" t="s">
        <v>47094</v>
      </c>
      <c r="H17478" t="s">
        <v>47055</v>
      </c>
      <c r="I17478" t="s">
        <v>47120</v>
      </c>
      <c r="J17478" t="s">
        <v>47121</v>
      </c>
      <c r="K17478" t="s">
        <v>47113</v>
      </c>
      <c r="L17478">
        <v>30.19</v>
      </c>
      <c r="M17478">
        <v>70</v>
      </c>
      <c r="N17478">
        <v>0</v>
      </c>
      <c r="O17478">
        <v>70</v>
      </c>
      <c r="P17478">
        <v>0</v>
      </c>
    </row>
    <row r="17479" spans="1:16" x14ac:dyDescent="0.25">
      <c r="A17479" t="s">
        <v>40054</v>
      </c>
      <c r="B17479" t="s">
        <v>21337</v>
      </c>
      <c r="C17479" t="s">
        <v>21338</v>
      </c>
      <c r="D17479" t="str">
        <f>"1001"</f>
        <v>1001</v>
      </c>
      <c r="E17479" t="s">
        <v>42</v>
      </c>
      <c r="F17479" t="s">
        <v>19552</v>
      </c>
      <c r="G17479" t="s">
        <v>48515</v>
      </c>
      <c r="H17479" t="s">
        <v>47055</v>
      </c>
      <c r="I17479" t="s">
        <v>47120</v>
      </c>
      <c r="J17479" t="s">
        <v>47121</v>
      </c>
      <c r="K17479" t="s">
        <v>47113</v>
      </c>
      <c r="L17479">
        <v>49.49</v>
      </c>
      <c r="M17479">
        <v>111</v>
      </c>
      <c r="N17479">
        <v>0</v>
      </c>
      <c r="O17479">
        <v>111</v>
      </c>
      <c r="P17479">
        <v>0</v>
      </c>
    </row>
    <row r="17480" spans="1:16" x14ac:dyDescent="0.25">
      <c r="A17480" t="s">
        <v>40055</v>
      </c>
      <c r="B17480" t="s">
        <v>21337</v>
      </c>
      <c r="C17480" t="s">
        <v>21338</v>
      </c>
      <c r="D17480" t="str">
        <f>"1305"</f>
        <v>1305</v>
      </c>
      <c r="E17480" t="s">
        <v>11901</v>
      </c>
      <c r="F17480" t="s">
        <v>19552</v>
      </c>
      <c r="G17480" t="s">
        <v>48515</v>
      </c>
      <c r="H17480" t="s">
        <v>47055</v>
      </c>
      <c r="I17480" t="s">
        <v>47120</v>
      </c>
      <c r="J17480" t="s">
        <v>47121</v>
      </c>
      <c r="K17480" t="s">
        <v>47113</v>
      </c>
      <c r="L17480">
        <v>49.49</v>
      </c>
      <c r="M17480">
        <v>111</v>
      </c>
      <c r="N17480">
        <v>0</v>
      </c>
      <c r="O17480">
        <v>111</v>
      </c>
      <c r="P17480">
        <v>0</v>
      </c>
    </row>
    <row r="17481" spans="1:16" x14ac:dyDescent="0.25">
      <c r="A17481" t="s">
        <v>40056</v>
      </c>
      <c r="B17481" t="s">
        <v>21337</v>
      </c>
      <c r="C17481" t="s">
        <v>21338</v>
      </c>
      <c r="D17481" t="str">
        <f>"4067"</f>
        <v>4067</v>
      </c>
      <c r="E17481" t="s">
        <v>1865</v>
      </c>
      <c r="F17481" t="s">
        <v>19552</v>
      </c>
      <c r="G17481" t="s">
        <v>48515</v>
      </c>
      <c r="H17481" t="s">
        <v>47055</v>
      </c>
      <c r="I17481" t="s">
        <v>47120</v>
      </c>
      <c r="J17481" t="s">
        <v>47121</v>
      </c>
      <c r="K17481" t="s">
        <v>47113</v>
      </c>
      <c r="L17481">
        <v>49.49</v>
      </c>
      <c r="M17481">
        <v>111</v>
      </c>
      <c r="N17481">
        <v>0</v>
      </c>
      <c r="O17481">
        <v>111</v>
      </c>
      <c r="P17481">
        <v>0</v>
      </c>
    </row>
    <row r="17482" spans="1:16" x14ac:dyDescent="0.25">
      <c r="A17482" t="s">
        <v>40057</v>
      </c>
      <c r="B17482" t="s">
        <v>21337</v>
      </c>
      <c r="C17482" t="s">
        <v>21338</v>
      </c>
      <c r="D17482" t="str">
        <f>"6000"</f>
        <v>6000</v>
      </c>
      <c r="E17482" t="s">
        <v>238</v>
      </c>
      <c r="F17482" t="s">
        <v>19552</v>
      </c>
      <c r="G17482" t="s">
        <v>48515</v>
      </c>
      <c r="H17482" t="s">
        <v>47055</v>
      </c>
      <c r="I17482" t="s">
        <v>47120</v>
      </c>
      <c r="J17482" t="s">
        <v>47121</v>
      </c>
      <c r="K17482" t="s">
        <v>47113</v>
      </c>
      <c r="L17482">
        <v>49.49</v>
      </c>
      <c r="M17482">
        <v>111</v>
      </c>
      <c r="N17482">
        <v>0</v>
      </c>
      <c r="O17482">
        <v>111</v>
      </c>
      <c r="P17482">
        <v>0</v>
      </c>
    </row>
    <row r="17483" spans="1:16" x14ac:dyDescent="0.25">
      <c r="A17483" t="s">
        <v>40058</v>
      </c>
      <c r="B17483" t="s">
        <v>21339</v>
      </c>
      <c r="C17483" t="s">
        <v>21340</v>
      </c>
      <c r="D17483" t="str">
        <f>"1702"</f>
        <v>1702</v>
      </c>
      <c r="E17483" t="s">
        <v>1956</v>
      </c>
      <c r="F17483" t="s">
        <v>19552</v>
      </c>
      <c r="G17483" t="s">
        <v>47102</v>
      </c>
      <c r="H17483" t="s">
        <v>47055</v>
      </c>
      <c r="I17483" t="s">
        <v>47120</v>
      </c>
      <c r="J17483" t="s">
        <v>47121</v>
      </c>
      <c r="K17483" t="s">
        <v>47113</v>
      </c>
      <c r="L17483">
        <v>70.28</v>
      </c>
      <c r="M17483">
        <v>148</v>
      </c>
      <c r="N17483">
        <v>0</v>
      </c>
      <c r="O17483">
        <v>148</v>
      </c>
      <c r="P17483">
        <v>0</v>
      </c>
    </row>
    <row r="17484" spans="1:16" x14ac:dyDescent="0.25">
      <c r="A17484" t="s">
        <v>40059</v>
      </c>
      <c r="B17484" t="s">
        <v>21339</v>
      </c>
      <c r="C17484" t="s">
        <v>21340</v>
      </c>
      <c r="D17484" t="str">
        <f>"3197"</f>
        <v>3197</v>
      </c>
      <c r="E17484" t="s">
        <v>19602</v>
      </c>
      <c r="F17484" t="s">
        <v>19552</v>
      </c>
      <c r="G17484" t="s">
        <v>47102</v>
      </c>
      <c r="H17484" t="s">
        <v>47055</v>
      </c>
      <c r="I17484" t="s">
        <v>47120</v>
      </c>
      <c r="J17484" t="s">
        <v>47121</v>
      </c>
      <c r="K17484" t="s">
        <v>47113</v>
      </c>
      <c r="L17484">
        <v>70.28</v>
      </c>
      <c r="M17484">
        <v>148</v>
      </c>
      <c r="N17484">
        <v>0</v>
      </c>
      <c r="O17484">
        <v>148</v>
      </c>
      <c r="P17484">
        <v>0</v>
      </c>
    </row>
    <row r="17485" spans="1:16" x14ac:dyDescent="0.25">
      <c r="A17485" t="s">
        <v>40060</v>
      </c>
      <c r="B17485" t="s">
        <v>21339</v>
      </c>
      <c r="C17485" t="s">
        <v>21340</v>
      </c>
      <c r="D17485" t="str">
        <f>"4819"</f>
        <v>4819</v>
      </c>
      <c r="E17485" t="s">
        <v>221</v>
      </c>
      <c r="F17485" t="s">
        <v>19552</v>
      </c>
      <c r="G17485" t="s">
        <v>47102</v>
      </c>
      <c r="H17485" t="s">
        <v>47055</v>
      </c>
      <c r="I17485" t="s">
        <v>47120</v>
      </c>
      <c r="J17485" t="s">
        <v>47121</v>
      </c>
      <c r="K17485" t="s">
        <v>47113</v>
      </c>
      <c r="L17485">
        <v>70.28</v>
      </c>
      <c r="M17485">
        <v>148</v>
      </c>
      <c r="N17485">
        <v>0</v>
      </c>
      <c r="O17485">
        <v>148</v>
      </c>
      <c r="P17485">
        <v>0</v>
      </c>
    </row>
    <row r="17486" spans="1:16" x14ac:dyDescent="0.25">
      <c r="A17486" t="s">
        <v>40061</v>
      </c>
      <c r="B17486" t="s">
        <v>21341</v>
      </c>
      <c r="C17486" t="s">
        <v>21342</v>
      </c>
      <c r="D17486" t="str">
        <f>"1001"</f>
        <v>1001</v>
      </c>
      <c r="E17486" t="s">
        <v>42</v>
      </c>
      <c r="F17486" t="s">
        <v>19559</v>
      </c>
      <c r="G17486" t="s">
        <v>47098</v>
      </c>
      <c r="H17486" t="s">
        <v>47055</v>
      </c>
      <c r="I17486" t="s">
        <v>47120</v>
      </c>
      <c r="J17486" t="s">
        <v>47121</v>
      </c>
      <c r="K17486" t="s">
        <v>47113</v>
      </c>
      <c r="L17486">
        <v>38.6</v>
      </c>
      <c r="M17486">
        <v>85</v>
      </c>
      <c r="N17486">
        <v>0</v>
      </c>
      <c r="O17486">
        <v>85</v>
      </c>
      <c r="P17486">
        <v>0</v>
      </c>
    </row>
    <row r="17487" spans="1:16" x14ac:dyDescent="0.25">
      <c r="A17487" t="s">
        <v>40062</v>
      </c>
      <c r="B17487" t="s">
        <v>21341</v>
      </c>
      <c r="C17487" t="s">
        <v>21342</v>
      </c>
      <c r="D17487" t="str">
        <f>"2105"</f>
        <v>2105</v>
      </c>
      <c r="E17487" t="s">
        <v>21343</v>
      </c>
      <c r="F17487" t="s">
        <v>19559</v>
      </c>
      <c r="G17487" t="s">
        <v>47098</v>
      </c>
      <c r="H17487" t="s">
        <v>47055</v>
      </c>
      <c r="I17487" t="s">
        <v>47120</v>
      </c>
      <c r="J17487" t="s">
        <v>47121</v>
      </c>
      <c r="K17487" t="s">
        <v>47113</v>
      </c>
      <c r="L17487">
        <v>38.6</v>
      </c>
      <c r="M17487">
        <v>85</v>
      </c>
      <c r="N17487">
        <v>0</v>
      </c>
      <c r="O17487">
        <v>85</v>
      </c>
      <c r="P17487">
        <v>0</v>
      </c>
    </row>
    <row r="17488" spans="1:16" x14ac:dyDescent="0.25">
      <c r="A17488" t="s">
        <v>40063</v>
      </c>
      <c r="B17488" t="s">
        <v>21341</v>
      </c>
      <c r="C17488" t="s">
        <v>21342</v>
      </c>
      <c r="D17488" t="str">
        <f>"3197"</f>
        <v>3197</v>
      </c>
      <c r="E17488" t="s">
        <v>19602</v>
      </c>
      <c r="F17488" t="s">
        <v>19559</v>
      </c>
      <c r="G17488" t="s">
        <v>47098</v>
      </c>
      <c r="H17488" t="s">
        <v>47055</v>
      </c>
      <c r="I17488" t="s">
        <v>47120</v>
      </c>
      <c r="J17488" t="s">
        <v>47121</v>
      </c>
      <c r="K17488" t="s">
        <v>47113</v>
      </c>
      <c r="L17488">
        <v>38.6</v>
      </c>
      <c r="M17488">
        <v>85</v>
      </c>
      <c r="N17488">
        <v>0</v>
      </c>
      <c r="O17488">
        <v>85</v>
      </c>
      <c r="P17488">
        <v>0</v>
      </c>
    </row>
    <row r="17489" spans="1:16" x14ac:dyDescent="0.25">
      <c r="A17489" t="s">
        <v>40064</v>
      </c>
      <c r="B17489" t="s">
        <v>21341</v>
      </c>
      <c r="C17489" t="s">
        <v>21342</v>
      </c>
      <c r="D17489" t="str">
        <f>"4819"</f>
        <v>4819</v>
      </c>
      <c r="E17489" t="s">
        <v>221</v>
      </c>
      <c r="F17489" t="s">
        <v>19559</v>
      </c>
      <c r="G17489" t="s">
        <v>47098</v>
      </c>
      <c r="H17489" t="s">
        <v>47055</v>
      </c>
      <c r="I17489" t="s">
        <v>47120</v>
      </c>
      <c r="J17489" t="s">
        <v>47121</v>
      </c>
      <c r="K17489" t="s">
        <v>47113</v>
      </c>
      <c r="L17489">
        <v>38.6</v>
      </c>
      <c r="M17489">
        <v>85</v>
      </c>
      <c r="N17489">
        <v>0</v>
      </c>
      <c r="O17489">
        <v>85</v>
      </c>
      <c r="P17489">
        <v>0</v>
      </c>
    </row>
    <row r="17490" spans="1:16" x14ac:dyDescent="0.25">
      <c r="A17490" t="s">
        <v>22833</v>
      </c>
      <c r="B17490" t="s">
        <v>21344</v>
      </c>
      <c r="C17490" t="s">
        <v>21345</v>
      </c>
      <c r="D17490" t="str">
        <f>"3106"</f>
        <v>3106</v>
      </c>
      <c r="E17490" t="s">
        <v>230</v>
      </c>
      <c r="F17490" t="s">
        <v>19559</v>
      </c>
      <c r="G17490" t="s">
        <v>47098</v>
      </c>
      <c r="H17490" t="s">
        <v>47055</v>
      </c>
      <c r="I17490" t="s">
        <v>47120</v>
      </c>
      <c r="J17490" t="s">
        <v>47121</v>
      </c>
      <c r="K17490" t="s">
        <v>47113</v>
      </c>
      <c r="L17490">
        <v>128.66999999999999</v>
      </c>
      <c r="M17490">
        <v>277</v>
      </c>
      <c r="N17490">
        <v>0</v>
      </c>
      <c r="O17490">
        <v>277</v>
      </c>
      <c r="P17490">
        <v>0</v>
      </c>
    </row>
    <row r="17491" spans="1:16" x14ac:dyDescent="0.25">
      <c r="A17491" t="s">
        <v>40065</v>
      </c>
      <c r="B17491" t="s">
        <v>21346</v>
      </c>
      <c r="C17491" t="s">
        <v>21347</v>
      </c>
      <c r="D17491" t="str">
        <f>"1001"</f>
        <v>1001</v>
      </c>
      <c r="E17491" t="s">
        <v>42</v>
      </c>
      <c r="F17491" t="s">
        <v>19559</v>
      </c>
      <c r="G17491" t="s">
        <v>47098</v>
      </c>
      <c r="H17491" t="s">
        <v>47055</v>
      </c>
      <c r="I17491" t="s">
        <v>47120</v>
      </c>
      <c r="J17491" t="s">
        <v>47121</v>
      </c>
      <c r="K17491" t="s">
        <v>47113</v>
      </c>
      <c r="L17491">
        <v>113.83</v>
      </c>
      <c r="M17491">
        <v>259</v>
      </c>
      <c r="N17491">
        <v>0</v>
      </c>
      <c r="O17491">
        <v>259</v>
      </c>
      <c r="P17491">
        <v>0</v>
      </c>
    </row>
    <row r="17492" spans="1:16" x14ac:dyDescent="0.25">
      <c r="A17492" t="s">
        <v>22834</v>
      </c>
      <c r="B17492" t="s">
        <v>21348</v>
      </c>
      <c r="C17492" t="s">
        <v>21349</v>
      </c>
      <c r="D17492" t="str">
        <f>"1001"</f>
        <v>1001</v>
      </c>
      <c r="E17492" t="s">
        <v>42</v>
      </c>
      <c r="F17492" t="s">
        <v>19559</v>
      </c>
      <c r="G17492" t="s">
        <v>47098</v>
      </c>
      <c r="H17492" t="s">
        <v>47055</v>
      </c>
      <c r="I17492" t="s">
        <v>47120</v>
      </c>
      <c r="J17492" t="s">
        <v>47121</v>
      </c>
      <c r="K17492" t="s">
        <v>47113</v>
      </c>
      <c r="L17492">
        <v>117.79</v>
      </c>
      <c r="M17492">
        <v>259</v>
      </c>
      <c r="N17492">
        <v>0</v>
      </c>
      <c r="O17492">
        <v>259</v>
      </c>
      <c r="P17492">
        <v>0</v>
      </c>
    </row>
    <row r="17493" spans="1:16" x14ac:dyDescent="0.25">
      <c r="A17493" t="s">
        <v>40066</v>
      </c>
      <c r="B17493" t="s">
        <v>21350</v>
      </c>
      <c r="C17493" t="s">
        <v>21351</v>
      </c>
      <c r="D17493" t="str">
        <f>"1001"</f>
        <v>1001</v>
      </c>
      <c r="E17493" t="s">
        <v>42</v>
      </c>
      <c r="F17493" t="s">
        <v>19559</v>
      </c>
      <c r="G17493" t="s">
        <v>47098</v>
      </c>
      <c r="H17493" t="s">
        <v>47055</v>
      </c>
      <c r="I17493" t="s">
        <v>47120</v>
      </c>
      <c r="J17493" t="s">
        <v>47121</v>
      </c>
      <c r="K17493" t="s">
        <v>47113</v>
      </c>
      <c r="L17493">
        <v>104.92</v>
      </c>
      <c r="M17493">
        <v>222</v>
      </c>
      <c r="N17493">
        <v>0</v>
      </c>
      <c r="O17493">
        <v>222</v>
      </c>
      <c r="P17493">
        <v>0</v>
      </c>
    </row>
    <row r="17494" spans="1:16" x14ac:dyDescent="0.25">
      <c r="A17494" t="s">
        <v>22835</v>
      </c>
      <c r="B17494" t="s">
        <v>21352</v>
      </c>
      <c r="C17494" t="s">
        <v>21353</v>
      </c>
      <c r="D17494" t="str">
        <f>"1106"</f>
        <v>1106</v>
      </c>
      <c r="E17494" t="s">
        <v>460</v>
      </c>
      <c r="F17494" t="s">
        <v>19559</v>
      </c>
      <c r="G17494" t="s">
        <v>47096</v>
      </c>
      <c r="H17494" t="s">
        <v>47055</v>
      </c>
      <c r="I17494" t="s">
        <v>47127</v>
      </c>
      <c r="J17494" t="s">
        <v>47128</v>
      </c>
      <c r="K17494" t="s">
        <v>47113</v>
      </c>
      <c r="L17494">
        <v>18.07</v>
      </c>
      <c r="M17494">
        <v>48</v>
      </c>
      <c r="N17494">
        <v>0</v>
      </c>
      <c r="O17494">
        <v>48</v>
      </c>
      <c r="P17494">
        <v>0</v>
      </c>
    </row>
    <row r="17495" spans="1:16" x14ac:dyDescent="0.25">
      <c r="A17495" t="s">
        <v>22836</v>
      </c>
      <c r="B17495" t="s">
        <v>21352</v>
      </c>
      <c r="C17495" t="s">
        <v>21353</v>
      </c>
      <c r="D17495" t="str">
        <f>"1285"</f>
        <v>1285</v>
      </c>
      <c r="E17495" t="s">
        <v>2148</v>
      </c>
      <c r="F17495" t="s">
        <v>19559</v>
      </c>
      <c r="G17495" t="s">
        <v>47096</v>
      </c>
      <c r="H17495" t="s">
        <v>47055</v>
      </c>
      <c r="I17495" t="s">
        <v>47127</v>
      </c>
      <c r="J17495" t="s">
        <v>47128</v>
      </c>
      <c r="K17495" t="s">
        <v>47113</v>
      </c>
      <c r="L17495">
        <v>18.07</v>
      </c>
      <c r="M17495">
        <v>48</v>
      </c>
      <c r="N17495">
        <v>0</v>
      </c>
      <c r="O17495">
        <v>48</v>
      </c>
      <c r="P17495">
        <v>0</v>
      </c>
    </row>
    <row r="17496" spans="1:16" x14ac:dyDescent="0.25">
      <c r="A17496" t="s">
        <v>22837</v>
      </c>
      <c r="B17496" t="s">
        <v>21354</v>
      </c>
      <c r="C17496" t="s">
        <v>19619</v>
      </c>
      <c r="D17496" t="str">
        <f>"1001"</f>
        <v>1001</v>
      </c>
      <c r="E17496" t="s">
        <v>42</v>
      </c>
      <c r="F17496" t="s">
        <v>19552</v>
      </c>
      <c r="G17496" t="s">
        <v>47097</v>
      </c>
      <c r="H17496" t="s">
        <v>47055</v>
      </c>
      <c r="I17496" t="s">
        <v>47120</v>
      </c>
      <c r="J17496" t="s">
        <v>47121</v>
      </c>
      <c r="K17496" t="s">
        <v>47113</v>
      </c>
      <c r="L17496">
        <v>39.590000000000003</v>
      </c>
      <c r="M17496">
        <v>85</v>
      </c>
      <c r="N17496">
        <v>0</v>
      </c>
      <c r="O17496">
        <v>85</v>
      </c>
      <c r="P17496">
        <v>0</v>
      </c>
    </row>
    <row r="17497" spans="1:16" x14ac:dyDescent="0.25">
      <c r="A17497" t="s">
        <v>40067</v>
      </c>
      <c r="B17497" t="s">
        <v>21354</v>
      </c>
      <c r="C17497" t="s">
        <v>19619</v>
      </c>
      <c r="D17497" t="str">
        <f>"2602"</f>
        <v>2602</v>
      </c>
      <c r="E17497" t="s">
        <v>2307</v>
      </c>
      <c r="F17497" t="s">
        <v>19552</v>
      </c>
      <c r="G17497" t="s">
        <v>47097</v>
      </c>
      <c r="H17497" t="s">
        <v>47055</v>
      </c>
      <c r="I17497" t="s">
        <v>47120</v>
      </c>
      <c r="J17497" t="s">
        <v>47121</v>
      </c>
      <c r="K17497" t="s">
        <v>47113</v>
      </c>
      <c r="L17497">
        <v>39.590000000000003</v>
      </c>
      <c r="M17497">
        <v>85</v>
      </c>
      <c r="N17497">
        <v>0</v>
      </c>
      <c r="O17497">
        <v>85</v>
      </c>
      <c r="P17497">
        <v>0</v>
      </c>
    </row>
    <row r="17498" spans="1:16" x14ac:dyDescent="0.25">
      <c r="A17498" t="s">
        <v>40068</v>
      </c>
      <c r="B17498" t="s">
        <v>21354</v>
      </c>
      <c r="C17498" t="s">
        <v>19619</v>
      </c>
      <c r="D17498" t="str">
        <f>"4922"</f>
        <v>4922</v>
      </c>
      <c r="E17498" t="s">
        <v>4175</v>
      </c>
      <c r="F17498" t="s">
        <v>19552</v>
      </c>
      <c r="G17498" t="s">
        <v>47097</v>
      </c>
      <c r="H17498" t="s">
        <v>47055</v>
      </c>
      <c r="I17498" t="s">
        <v>47120</v>
      </c>
      <c r="J17498" t="s">
        <v>47121</v>
      </c>
      <c r="K17498" t="s">
        <v>47113</v>
      </c>
      <c r="L17498">
        <v>39.590000000000003</v>
      </c>
      <c r="M17498">
        <v>85</v>
      </c>
      <c r="N17498">
        <v>0</v>
      </c>
      <c r="O17498">
        <v>85</v>
      </c>
      <c r="P17498">
        <v>0</v>
      </c>
    </row>
    <row r="17499" spans="1:16" x14ac:dyDescent="0.25">
      <c r="A17499" t="s">
        <v>40069</v>
      </c>
      <c r="B17499" t="s">
        <v>21354</v>
      </c>
      <c r="C17499" t="s">
        <v>19619</v>
      </c>
      <c r="D17499" t="str">
        <f>"6276"</f>
        <v>6276</v>
      </c>
      <c r="E17499" t="s">
        <v>3867</v>
      </c>
      <c r="F17499" t="s">
        <v>19552</v>
      </c>
      <c r="G17499" t="s">
        <v>47097</v>
      </c>
      <c r="H17499" t="s">
        <v>47055</v>
      </c>
      <c r="I17499" t="s">
        <v>47120</v>
      </c>
      <c r="J17499" t="s">
        <v>47121</v>
      </c>
      <c r="K17499" t="s">
        <v>47113</v>
      </c>
      <c r="L17499">
        <v>39.590000000000003</v>
      </c>
      <c r="M17499">
        <v>85</v>
      </c>
      <c r="N17499">
        <v>0</v>
      </c>
      <c r="O17499">
        <v>85</v>
      </c>
      <c r="P17499">
        <v>0</v>
      </c>
    </row>
    <row r="17500" spans="1:16" x14ac:dyDescent="0.25">
      <c r="A17500" t="s">
        <v>40070</v>
      </c>
      <c r="B17500" t="s">
        <v>21355</v>
      </c>
      <c r="C17500" t="s">
        <v>21356</v>
      </c>
      <c r="D17500" t="str">
        <f>"1001"</f>
        <v>1001</v>
      </c>
      <c r="E17500" t="s">
        <v>42</v>
      </c>
      <c r="F17500" t="s">
        <v>19552</v>
      </c>
      <c r="G17500" t="s">
        <v>47097</v>
      </c>
      <c r="H17500" t="s">
        <v>47055</v>
      </c>
      <c r="I17500" t="s">
        <v>47120</v>
      </c>
      <c r="J17500" t="s">
        <v>47121</v>
      </c>
      <c r="K17500" t="s">
        <v>47113</v>
      </c>
      <c r="L17500">
        <v>59.39</v>
      </c>
      <c r="M17500">
        <v>129</v>
      </c>
      <c r="N17500">
        <v>0</v>
      </c>
      <c r="O17500">
        <v>129</v>
      </c>
      <c r="P17500">
        <v>0</v>
      </c>
    </row>
    <row r="17501" spans="1:16" x14ac:dyDescent="0.25">
      <c r="A17501" t="s">
        <v>40071</v>
      </c>
      <c r="B17501" t="s">
        <v>21355</v>
      </c>
      <c r="C17501" t="s">
        <v>21356</v>
      </c>
      <c r="D17501" t="str">
        <f>"2602"</f>
        <v>2602</v>
      </c>
      <c r="E17501" t="s">
        <v>2307</v>
      </c>
      <c r="F17501" t="s">
        <v>19552</v>
      </c>
      <c r="G17501" t="s">
        <v>47097</v>
      </c>
      <c r="H17501" t="s">
        <v>47055</v>
      </c>
      <c r="I17501" t="s">
        <v>47120</v>
      </c>
      <c r="J17501" t="s">
        <v>47121</v>
      </c>
      <c r="K17501" t="s">
        <v>47113</v>
      </c>
      <c r="L17501">
        <v>59.39</v>
      </c>
      <c r="M17501">
        <v>129</v>
      </c>
      <c r="N17501">
        <v>0</v>
      </c>
      <c r="O17501">
        <v>129</v>
      </c>
      <c r="P17501">
        <v>0</v>
      </c>
    </row>
    <row r="17502" spans="1:16" x14ac:dyDescent="0.25">
      <c r="A17502" t="s">
        <v>40072</v>
      </c>
      <c r="B17502" t="s">
        <v>21355</v>
      </c>
      <c r="C17502" t="s">
        <v>21356</v>
      </c>
      <c r="D17502" t="str">
        <f>"4922"</f>
        <v>4922</v>
      </c>
      <c r="E17502" t="s">
        <v>4175</v>
      </c>
      <c r="F17502" t="s">
        <v>19552</v>
      </c>
      <c r="G17502" t="s">
        <v>47097</v>
      </c>
      <c r="H17502" t="s">
        <v>47055</v>
      </c>
      <c r="I17502" t="s">
        <v>47120</v>
      </c>
      <c r="J17502" t="s">
        <v>47121</v>
      </c>
      <c r="K17502" t="s">
        <v>47113</v>
      </c>
      <c r="L17502">
        <v>59.39</v>
      </c>
      <c r="M17502">
        <v>129</v>
      </c>
      <c r="N17502">
        <v>0</v>
      </c>
      <c r="O17502">
        <v>129</v>
      </c>
      <c r="P17502">
        <v>0</v>
      </c>
    </row>
    <row r="17503" spans="1:16" x14ac:dyDescent="0.25">
      <c r="A17503" t="s">
        <v>40073</v>
      </c>
      <c r="B17503" t="s">
        <v>21355</v>
      </c>
      <c r="C17503" t="s">
        <v>21356</v>
      </c>
      <c r="D17503" t="str">
        <f>"6276"</f>
        <v>6276</v>
      </c>
      <c r="E17503" t="s">
        <v>3867</v>
      </c>
      <c r="F17503" t="s">
        <v>19552</v>
      </c>
      <c r="G17503" t="s">
        <v>47097</v>
      </c>
      <c r="H17503" t="s">
        <v>47055</v>
      </c>
      <c r="I17503" t="s">
        <v>47120</v>
      </c>
      <c r="J17503" t="s">
        <v>47121</v>
      </c>
      <c r="K17503" t="s">
        <v>47113</v>
      </c>
      <c r="L17503">
        <v>59.39</v>
      </c>
      <c r="M17503">
        <v>129</v>
      </c>
      <c r="N17503">
        <v>0</v>
      </c>
      <c r="O17503">
        <v>129</v>
      </c>
      <c r="P17503">
        <v>0</v>
      </c>
    </row>
    <row r="17504" spans="1:16" x14ac:dyDescent="0.25">
      <c r="A17504" t="s">
        <v>22838</v>
      </c>
      <c r="B17504" t="s">
        <v>21357</v>
      </c>
      <c r="C17504" t="s">
        <v>21358</v>
      </c>
      <c r="D17504" t="str">
        <f>"1370"</f>
        <v>1370</v>
      </c>
      <c r="E17504" t="s">
        <v>2162</v>
      </c>
      <c r="F17504" t="s">
        <v>19559</v>
      </c>
      <c r="G17504" t="s">
        <v>47094</v>
      </c>
      <c r="H17504" t="s">
        <v>47055</v>
      </c>
      <c r="I17504" t="s">
        <v>47120</v>
      </c>
      <c r="J17504" t="s">
        <v>47121</v>
      </c>
      <c r="K17504" t="s">
        <v>47113</v>
      </c>
      <c r="L17504">
        <v>37.61</v>
      </c>
      <c r="M17504">
        <v>85</v>
      </c>
      <c r="N17504">
        <v>0</v>
      </c>
      <c r="O17504">
        <v>85</v>
      </c>
      <c r="P17504">
        <v>0</v>
      </c>
    </row>
    <row r="17505" spans="1:16" x14ac:dyDescent="0.25">
      <c r="A17505" t="s">
        <v>40074</v>
      </c>
      <c r="B17505" t="s">
        <v>21359</v>
      </c>
      <c r="C17505" t="s">
        <v>21360</v>
      </c>
      <c r="D17505" t="str">
        <f>"1702"</f>
        <v>1702</v>
      </c>
      <c r="E17505" t="s">
        <v>1956</v>
      </c>
      <c r="F17505" t="s">
        <v>19552</v>
      </c>
      <c r="G17505" t="s">
        <v>47102</v>
      </c>
      <c r="H17505" t="s">
        <v>47055</v>
      </c>
      <c r="I17505" t="s">
        <v>47120</v>
      </c>
      <c r="J17505" t="s">
        <v>47121</v>
      </c>
      <c r="K17505" t="s">
        <v>47113</v>
      </c>
      <c r="L17505">
        <v>70.28</v>
      </c>
      <c r="M17505">
        <v>148</v>
      </c>
      <c r="N17505">
        <v>0</v>
      </c>
      <c r="O17505">
        <v>148</v>
      </c>
      <c r="P17505">
        <v>0</v>
      </c>
    </row>
    <row r="17506" spans="1:16" x14ac:dyDescent="0.25">
      <c r="A17506" t="s">
        <v>40075</v>
      </c>
      <c r="B17506" t="s">
        <v>21359</v>
      </c>
      <c r="C17506" t="s">
        <v>21360</v>
      </c>
      <c r="D17506" t="str">
        <f>"3197"</f>
        <v>3197</v>
      </c>
      <c r="E17506" t="s">
        <v>19602</v>
      </c>
      <c r="F17506" t="s">
        <v>19552</v>
      </c>
      <c r="G17506" t="s">
        <v>47102</v>
      </c>
      <c r="H17506" t="s">
        <v>47055</v>
      </c>
      <c r="I17506" t="s">
        <v>47120</v>
      </c>
      <c r="J17506" t="s">
        <v>47121</v>
      </c>
      <c r="K17506" t="s">
        <v>47113</v>
      </c>
      <c r="L17506">
        <v>70.28</v>
      </c>
      <c r="M17506">
        <v>148</v>
      </c>
      <c r="N17506">
        <v>0</v>
      </c>
      <c r="O17506">
        <v>148</v>
      </c>
      <c r="P17506">
        <v>0</v>
      </c>
    </row>
    <row r="17507" spans="1:16" x14ac:dyDescent="0.25">
      <c r="A17507" t="s">
        <v>40076</v>
      </c>
      <c r="B17507" t="s">
        <v>21359</v>
      </c>
      <c r="C17507" t="s">
        <v>21360</v>
      </c>
      <c r="D17507" t="str">
        <f>"4819"</f>
        <v>4819</v>
      </c>
      <c r="E17507" t="s">
        <v>221</v>
      </c>
      <c r="F17507" t="s">
        <v>19552</v>
      </c>
      <c r="G17507" t="s">
        <v>47102</v>
      </c>
      <c r="H17507" t="s">
        <v>47055</v>
      </c>
      <c r="I17507" t="s">
        <v>47120</v>
      </c>
      <c r="J17507" t="s">
        <v>47121</v>
      </c>
      <c r="K17507" t="s">
        <v>47113</v>
      </c>
      <c r="L17507">
        <v>70.28</v>
      </c>
      <c r="M17507">
        <v>148</v>
      </c>
      <c r="N17507">
        <v>0</v>
      </c>
      <c r="O17507">
        <v>148</v>
      </c>
      <c r="P17507">
        <v>0</v>
      </c>
    </row>
    <row r="17508" spans="1:16" x14ac:dyDescent="0.25">
      <c r="A17508" t="s">
        <v>40077</v>
      </c>
      <c r="B17508" t="s">
        <v>21361</v>
      </c>
      <c r="C17508" t="s">
        <v>21362</v>
      </c>
      <c r="D17508" t="str">
        <f>"1001"</f>
        <v>1001</v>
      </c>
      <c r="E17508" t="s">
        <v>42</v>
      </c>
      <c r="F17508" t="s">
        <v>19552</v>
      </c>
      <c r="G17508" t="s">
        <v>47102</v>
      </c>
      <c r="H17508" t="s">
        <v>47055</v>
      </c>
      <c r="I17508" t="s">
        <v>47120</v>
      </c>
      <c r="J17508" t="s">
        <v>47121</v>
      </c>
      <c r="K17508" t="s">
        <v>47113</v>
      </c>
      <c r="L17508">
        <v>78.2</v>
      </c>
      <c r="M17508">
        <v>166</v>
      </c>
      <c r="N17508">
        <v>0</v>
      </c>
      <c r="O17508">
        <v>166</v>
      </c>
      <c r="P17508">
        <v>0</v>
      </c>
    </row>
    <row r="17509" spans="1:16" x14ac:dyDescent="0.25">
      <c r="A17509" t="s">
        <v>40078</v>
      </c>
      <c r="B17509" t="s">
        <v>21361</v>
      </c>
      <c r="C17509" t="s">
        <v>21362</v>
      </c>
      <c r="D17509" t="str">
        <f>"1305"</f>
        <v>1305</v>
      </c>
      <c r="E17509" t="s">
        <v>11901</v>
      </c>
      <c r="F17509" t="s">
        <v>19552</v>
      </c>
      <c r="G17509" t="s">
        <v>47102</v>
      </c>
      <c r="H17509" t="s">
        <v>47055</v>
      </c>
      <c r="I17509" t="s">
        <v>47120</v>
      </c>
      <c r="J17509" t="s">
        <v>47121</v>
      </c>
      <c r="K17509" t="s">
        <v>47113</v>
      </c>
      <c r="L17509">
        <v>78.2</v>
      </c>
      <c r="M17509">
        <v>166</v>
      </c>
      <c r="N17509">
        <v>0</v>
      </c>
      <c r="O17509">
        <v>166</v>
      </c>
      <c r="P17509">
        <v>0</v>
      </c>
    </row>
    <row r="17510" spans="1:16" x14ac:dyDescent="0.25">
      <c r="A17510" t="s">
        <v>40079</v>
      </c>
      <c r="B17510" t="s">
        <v>21361</v>
      </c>
      <c r="C17510" t="s">
        <v>21362</v>
      </c>
      <c r="D17510" t="str">
        <f>"4067"</f>
        <v>4067</v>
      </c>
      <c r="E17510" t="s">
        <v>1865</v>
      </c>
      <c r="F17510" t="s">
        <v>19552</v>
      </c>
      <c r="G17510" t="s">
        <v>47102</v>
      </c>
      <c r="H17510" t="s">
        <v>47055</v>
      </c>
      <c r="I17510" t="s">
        <v>47120</v>
      </c>
      <c r="J17510" t="s">
        <v>47121</v>
      </c>
      <c r="K17510" t="s">
        <v>47113</v>
      </c>
      <c r="L17510">
        <v>78.2</v>
      </c>
      <c r="M17510">
        <v>166</v>
      </c>
      <c r="N17510">
        <v>0</v>
      </c>
      <c r="O17510">
        <v>166</v>
      </c>
      <c r="P17510">
        <v>0</v>
      </c>
    </row>
    <row r="17511" spans="1:16" x14ac:dyDescent="0.25">
      <c r="A17511" t="s">
        <v>40080</v>
      </c>
      <c r="B17511" t="s">
        <v>21361</v>
      </c>
      <c r="C17511" t="s">
        <v>21362</v>
      </c>
      <c r="D17511" t="str">
        <f>"6000"</f>
        <v>6000</v>
      </c>
      <c r="E17511" t="s">
        <v>238</v>
      </c>
      <c r="F17511" t="s">
        <v>19552</v>
      </c>
      <c r="G17511" t="s">
        <v>47102</v>
      </c>
      <c r="H17511" t="s">
        <v>47055</v>
      </c>
      <c r="I17511" t="s">
        <v>47120</v>
      </c>
      <c r="J17511" t="s">
        <v>47121</v>
      </c>
      <c r="K17511" t="s">
        <v>47113</v>
      </c>
      <c r="L17511">
        <v>78.2</v>
      </c>
      <c r="M17511">
        <v>166</v>
      </c>
      <c r="N17511">
        <v>0</v>
      </c>
      <c r="O17511">
        <v>166</v>
      </c>
      <c r="P17511">
        <v>0</v>
      </c>
    </row>
    <row r="17512" spans="1:16" x14ac:dyDescent="0.25">
      <c r="A17512" t="s">
        <v>40081</v>
      </c>
      <c r="B17512" t="s">
        <v>21363</v>
      </c>
      <c r="C17512" t="s">
        <v>21364</v>
      </c>
      <c r="D17512" t="str">
        <f>"1449"</f>
        <v>1449</v>
      </c>
      <c r="E17512" t="s">
        <v>16239</v>
      </c>
      <c r="F17512" t="s">
        <v>19559</v>
      </c>
      <c r="G17512" t="s">
        <v>47102</v>
      </c>
      <c r="H17512" t="s">
        <v>47055</v>
      </c>
      <c r="I17512" t="s">
        <v>47120</v>
      </c>
      <c r="J17512" t="s">
        <v>47121</v>
      </c>
      <c r="K17512" t="s">
        <v>47113</v>
      </c>
      <c r="L17512">
        <v>75.069999999999993</v>
      </c>
      <c r="M17512">
        <v>148</v>
      </c>
      <c r="N17512">
        <v>0</v>
      </c>
      <c r="O17512">
        <v>148</v>
      </c>
      <c r="P17512">
        <v>0</v>
      </c>
    </row>
    <row r="17513" spans="1:16" x14ac:dyDescent="0.25">
      <c r="A17513" t="s">
        <v>40082</v>
      </c>
      <c r="B17513" t="s">
        <v>21363</v>
      </c>
      <c r="C17513" t="s">
        <v>21364</v>
      </c>
      <c r="D17513" t="str">
        <f>"2351"</f>
        <v>2351</v>
      </c>
      <c r="E17513" t="s">
        <v>9728</v>
      </c>
      <c r="F17513" t="s">
        <v>19559</v>
      </c>
      <c r="G17513" t="s">
        <v>47102</v>
      </c>
      <c r="H17513" t="s">
        <v>47055</v>
      </c>
      <c r="I17513" t="s">
        <v>47120</v>
      </c>
      <c r="J17513" t="s">
        <v>47121</v>
      </c>
      <c r="K17513" t="s">
        <v>47113</v>
      </c>
      <c r="L17513">
        <v>70.28</v>
      </c>
      <c r="M17513">
        <v>148</v>
      </c>
      <c r="N17513">
        <v>0</v>
      </c>
      <c r="O17513">
        <v>148</v>
      </c>
      <c r="P17513">
        <v>0</v>
      </c>
    </row>
    <row r="17514" spans="1:16" x14ac:dyDescent="0.25">
      <c r="A17514" t="s">
        <v>40083</v>
      </c>
      <c r="B17514" t="s">
        <v>21363</v>
      </c>
      <c r="C17514" t="s">
        <v>21364</v>
      </c>
      <c r="D17514" t="str">
        <f>"6000"</f>
        <v>6000</v>
      </c>
      <c r="E17514" t="s">
        <v>238</v>
      </c>
      <c r="F17514" t="s">
        <v>19559</v>
      </c>
      <c r="G17514" t="s">
        <v>47102</v>
      </c>
      <c r="H17514" t="s">
        <v>47055</v>
      </c>
      <c r="I17514" t="s">
        <v>47120</v>
      </c>
      <c r="J17514" t="s">
        <v>47121</v>
      </c>
      <c r="K17514" t="s">
        <v>47113</v>
      </c>
      <c r="L17514">
        <v>70.28</v>
      </c>
      <c r="M17514">
        <v>148</v>
      </c>
      <c r="N17514">
        <v>0</v>
      </c>
      <c r="O17514">
        <v>148</v>
      </c>
      <c r="P17514">
        <v>0</v>
      </c>
    </row>
    <row r="17515" spans="1:16" x14ac:dyDescent="0.25">
      <c r="A17515" t="s">
        <v>40084</v>
      </c>
      <c r="B17515" t="s">
        <v>21365</v>
      </c>
      <c r="C17515" t="s">
        <v>21366</v>
      </c>
      <c r="D17515" t="str">
        <f>"1449"</f>
        <v>1449</v>
      </c>
      <c r="E17515" t="s">
        <v>16239</v>
      </c>
      <c r="F17515" t="s">
        <v>19559</v>
      </c>
      <c r="G17515" t="s">
        <v>47102</v>
      </c>
      <c r="H17515" t="s">
        <v>47055</v>
      </c>
      <c r="I17515" t="s">
        <v>47120</v>
      </c>
      <c r="J17515" t="s">
        <v>47121</v>
      </c>
      <c r="K17515" t="s">
        <v>47113</v>
      </c>
      <c r="L17515">
        <v>79.180000000000007</v>
      </c>
      <c r="M17515">
        <v>166</v>
      </c>
      <c r="N17515">
        <v>0</v>
      </c>
      <c r="O17515">
        <v>166</v>
      </c>
      <c r="P17515">
        <v>0</v>
      </c>
    </row>
    <row r="17516" spans="1:16" x14ac:dyDescent="0.25">
      <c r="A17516" t="s">
        <v>40085</v>
      </c>
      <c r="B17516" t="s">
        <v>21365</v>
      </c>
      <c r="C17516" t="s">
        <v>21366</v>
      </c>
      <c r="D17516" t="str">
        <f>"2351"</f>
        <v>2351</v>
      </c>
      <c r="E17516" t="s">
        <v>9728</v>
      </c>
      <c r="F17516" t="s">
        <v>19559</v>
      </c>
      <c r="G17516" t="s">
        <v>47102</v>
      </c>
      <c r="H17516" t="s">
        <v>47055</v>
      </c>
      <c r="I17516" t="s">
        <v>47120</v>
      </c>
      <c r="J17516" t="s">
        <v>47121</v>
      </c>
      <c r="K17516" t="s">
        <v>47113</v>
      </c>
      <c r="L17516">
        <v>84.68</v>
      </c>
      <c r="M17516">
        <v>166</v>
      </c>
      <c r="N17516">
        <v>0</v>
      </c>
      <c r="O17516">
        <v>166</v>
      </c>
      <c r="P17516">
        <v>0</v>
      </c>
    </row>
    <row r="17517" spans="1:16" x14ac:dyDescent="0.25">
      <c r="A17517" t="s">
        <v>40086</v>
      </c>
      <c r="B17517" t="s">
        <v>21365</v>
      </c>
      <c r="C17517" t="s">
        <v>21366</v>
      </c>
      <c r="D17517" t="str">
        <f>"6000"</f>
        <v>6000</v>
      </c>
      <c r="E17517" t="s">
        <v>238</v>
      </c>
      <c r="F17517" t="s">
        <v>19559</v>
      </c>
      <c r="G17517" t="s">
        <v>47102</v>
      </c>
      <c r="H17517" t="s">
        <v>47055</v>
      </c>
      <c r="I17517" t="s">
        <v>47120</v>
      </c>
      <c r="J17517" t="s">
        <v>47121</v>
      </c>
      <c r="K17517" t="s">
        <v>47113</v>
      </c>
      <c r="L17517">
        <v>79.180000000000007</v>
      </c>
      <c r="M17517">
        <v>166</v>
      </c>
      <c r="N17517">
        <v>0</v>
      </c>
      <c r="O17517">
        <v>166</v>
      </c>
      <c r="P17517">
        <v>0</v>
      </c>
    </row>
    <row r="17518" spans="1:16" x14ac:dyDescent="0.25">
      <c r="A17518" t="s">
        <v>40087</v>
      </c>
      <c r="B17518" t="s">
        <v>21367</v>
      </c>
      <c r="C17518" t="s">
        <v>21368</v>
      </c>
      <c r="D17518" t="str">
        <f>"1370"</f>
        <v>1370</v>
      </c>
      <c r="E17518" t="s">
        <v>2162</v>
      </c>
      <c r="F17518" t="s">
        <v>19559</v>
      </c>
      <c r="G17518" t="s">
        <v>47102</v>
      </c>
      <c r="H17518" t="s">
        <v>47055</v>
      </c>
      <c r="I17518" t="s">
        <v>47120</v>
      </c>
      <c r="J17518" t="s">
        <v>47121</v>
      </c>
      <c r="K17518" t="s">
        <v>47113</v>
      </c>
      <c r="L17518">
        <v>63.35</v>
      </c>
      <c r="M17518">
        <v>133</v>
      </c>
      <c r="N17518">
        <v>0</v>
      </c>
      <c r="O17518">
        <v>133</v>
      </c>
      <c r="P17518">
        <v>0</v>
      </c>
    </row>
    <row r="17519" spans="1:16" x14ac:dyDescent="0.25">
      <c r="A17519" t="s">
        <v>40088</v>
      </c>
      <c r="B17519" t="s">
        <v>21369</v>
      </c>
      <c r="C17519" t="s">
        <v>21370</v>
      </c>
      <c r="D17519" t="str">
        <f>"1001"</f>
        <v>1001</v>
      </c>
      <c r="E17519" t="s">
        <v>42</v>
      </c>
      <c r="F17519" t="s">
        <v>19552</v>
      </c>
      <c r="G17519" t="s">
        <v>47102</v>
      </c>
      <c r="H17519" t="s">
        <v>47055</v>
      </c>
      <c r="I17519" t="s">
        <v>47120</v>
      </c>
      <c r="J17519" t="s">
        <v>47121</v>
      </c>
      <c r="K17519" t="s">
        <v>47113</v>
      </c>
      <c r="L17519">
        <v>64.349999999999994</v>
      </c>
      <c r="M17519">
        <v>137</v>
      </c>
      <c r="N17519">
        <v>0</v>
      </c>
      <c r="O17519">
        <v>137</v>
      </c>
      <c r="P17519">
        <v>0</v>
      </c>
    </row>
    <row r="17520" spans="1:16" x14ac:dyDescent="0.25">
      <c r="A17520" t="s">
        <v>40089</v>
      </c>
      <c r="B17520" t="s">
        <v>21369</v>
      </c>
      <c r="C17520" t="s">
        <v>21370</v>
      </c>
      <c r="D17520" t="str">
        <f>"3197"</f>
        <v>3197</v>
      </c>
      <c r="E17520" t="s">
        <v>19602</v>
      </c>
      <c r="F17520" t="s">
        <v>19552</v>
      </c>
      <c r="G17520" t="s">
        <v>47102</v>
      </c>
      <c r="H17520" t="s">
        <v>47055</v>
      </c>
      <c r="I17520" t="s">
        <v>47120</v>
      </c>
      <c r="J17520" t="s">
        <v>47121</v>
      </c>
      <c r="K17520" t="s">
        <v>47113</v>
      </c>
      <c r="L17520">
        <v>64.349999999999994</v>
      </c>
      <c r="M17520">
        <v>137</v>
      </c>
      <c r="N17520">
        <v>0</v>
      </c>
      <c r="O17520">
        <v>137</v>
      </c>
      <c r="P17520">
        <v>0</v>
      </c>
    </row>
    <row r="17521" spans="1:16" x14ac:dyDescent="0.25">
      <c r="A17521" t="s">
        <v>40090</v>
      </c>
      <c r="B17521" t="s">
        <v>21371</v>
      </c>
      <c r="C17521" t="s">
        <v>21372</v>
      </c>
      <c r="D17521" t="str">
        <f>"2701"</f>
        <v>2701</v>
      </c>
      <c r="E17521" t="s">
        <v>2149</v>
      </c>
      <c r="F17521" t="s">
        <v>19552</v>
      </c>
      <c r="G17521" t="s">
        <v>47102</v>
      </c>
      <c r="H17521" t="s">
        <v>47055</v>
      </c>
      <c r="I17521" t="s">
        <v>47120</v>
      </c>
      <c r="J17521" t="s">
        <v>47121</v>
      </c>
      <c r="K17521" t="s">
        <v>47113</v>
      </c>
      <c r="L17521">
        <v>63.35</v>
      </c>
      <c r="M17521">
        <v>133</v>
      </c>
      <c r="N17521">
        <v>0</v>
      </c>
      <c r="O17521">
        <v>133</v>
      </c>
      <c r="P17521">
        <v>0</v>
      </c>
    </row>
    <row r="17522" spans="1:16" x14ac:dyDescent="0.25">
      <c r="A17522" t="s">
        <v>40091</v>
      </c>
      <c r="B17522" t="s">
        <v>21371</v>
      </c>
      <c r="C17522" t="s">
        <v>21372</v>
      </c>
      <c r="D17522" t="str">
        <f>"3197"</f>
        <v>3197</v>
      </c>
      <c r="E17522" t="s">
        <v>19602</v>
      </c>
      <c r="F17522" t="s">
        <v>19552</v>
      </c>
      <c r="G17522" t="s">
        <v>47102</v>
      </c>
      <c r="H17522" t="s">
        <v>47055</v>
      </c>
      <c r="I17522" t="s">
        <v>47120</v>
      </c>
      <c r="J17522" t="s">
        <v>47121</v>
      </c>
      <c r="K17522" t="s">
        <v>47113</v>
      </c>
      <c r="L17522">
        <v>63.35</v>
      </c>
      <c r="M17522">
        <v>133</v>
      </c>
      <c r="N17522">
        <v>0</v>
      </c>
      <c r="O17522">
        <v>133</v>
      </c>
      <c r="P17522">
        <v>0</v>
      </c>
    </row>
    <row r="17523" spans="1:16" x14ac:dyDescent="0.25">
      <c r="A17523" t="s">
        <v>40092</v>
      </c>
      <c r="B17523" t="s">
        <v>21373</v>
      </c>
      <c r="C17523" t="s">
        <v>21372</v>
      </c>
      <c r="D17523" t="str">
        <f>"2377"</f>
        <v>2377</v>
      </c>
      <c r="E17523" t="s">
        <v>16572</v>
      </c>
      <c r="F17523" t="s">
        <v>19552</v>
      </c>
      <c r="G17523" t="s">
        <v>47102</v>
      </c>
      <c r="H17523" t="s">
        <v>47055</v>
      </c>
      <c r="I17523" t="s">
        <v>47120</v>
      </c>
      <c r="J17523" t="s">
        <v>47121</v>
      </c>
      <c r="K17523" t="s">
        <v>47113</v>
      </c>
      <c r="L17523">
        <v>75.72</v>
      </c>
      <c r="M17523">
        <v>159</v>
      </c>
      <c r="N17523">
        <v>0</v>
      </c>
      <c r="O17523">
        <v>159</v>
      </c>
      <c r="P17523">
        <v>0</v>
      </c>
    </row>
    <row r="17524" spans="1:16" x14ac:dyDescent="0.25">
      <c r="A17524" t="s">
        <v>40093</v>
      </c>
      <c r="B17524" t="s">
        <v>21374</v>
      </c>
      <c r="C17524" t="s">
        <v>21375</v>
      </c>
      <c r="D17524" t="str">
        <f>"3197"</f>
        <v>3197</v>
      </c>
      <c r="E17524" t="s">
        <v>19602</v>
      </c>
      <c r="F17524" t="s">
        <v>19559</v>
      </c>
      <c r="G17524" t="s">
        <v>47098</v>
      </c>
      <c r="H17524" t="s">
        <v>47055</v>
      </c>
      <c r="I17524" t="s">
        <v>47120</v>
      </c>
      <c r="J17524" t="s">
        <v>47121</v>
      </c>
      <c r="K17524" t="s">
        <v>47113</v>
      </c>
      <c r="L17524">
        <v>55.43</v>
      </c>
      <c r="M17524">
        <v>122</v>
      </c>
      <c r="N17524">
        <v>0</v>
      </c>
      <c r="O17524">
        <v>122</v>
      </c>
      <c r="P17524">
        <v>0</v>
      </c>
    </row>
    <row r="17525" spans="1:16" x14ac:dyDescent="0.25">
      <c r="A17525" t="s">
        <v>22839</v>
      </c>
      <c r="B17525" t="s">
        <v>21374</v>
      </c>
      <c r="C17525" t="s">
        <v>21375</v>
      </c>
      <c r="D17525" t="str">
        <f>"4926"</f>
        <v>4926</v>
      </c>
      <c r="E17525" t="s">
        <v>4088</v>
      </c>
      <c r="F17525" t="s">
        <v>19559</v>
      </c>
      <c r="G17525" t="s">
        <v>47098</v>
      </c>
      <c r="H17525" t="s">
        <v>47055</v>
      </c>
      <c r="I17525" t="s">
        <v>47120</v>
      </c>
      <c r="J17525" t="s">
        <v>47121</v>
      </c>
      <c r="K17525" t="s">
        <v>47113</v>
      </c>
      <c r="L17525">
        <v>55.43</v>
      </c>
      <c r="M17525">
        <v>122</v>
      </c>
      <c r="N17525">
        <v>0</v>
      </c>
      <c r="O17525">
        <v>122</v>
      </c>
      <c r="P17525">
        <v>0</v>
      </c>
    </row>
    <row r="17526" spans="1:16" x14ac:dyDescent="0.25">
      <c r="A17526" t="s">
        <v>40094</v>
      </c>
      <c r="B17526" t="s">
        <v>21376</v>
      </c>
      <c r="C17526" t="s">
        <v>21377</v>
      </c>
      <c r="D17526" t="str">
        <f>"3197"</f>
        <v>3197</v>
      </c>
      <c r="E17526" t="s">
        <v>19602</v>
      </c>
      <c r="F17526" t="s">
        <v>19559</v>
      </c>
      <c r="G17526" t="s">
        <v>47098</v>
      </c>
      <c r="H17526" t="s">
        <v>47055</v>
      </c>
      <c r="I17526" t="s">
        <v>47120</v>
      </c>
      <c r="J17526" t="s">
        <v>47121</v>
      </c>
      <c r="K17526" t="s">
        <v>47113</v>
      </c>
      <c r="L17526">
        <v>77.209999999999994</v>
      </c>
      <c r="M17526">
        <v>166</v>
      </c>
      <c r="N17526">
        <v>0</v>
      </c>
      <c r="O17526">
        <v>166</v>
      </c>
      <c r="P17526">
        <v>0</v>
      </c>
    </row>
    <row r="17527" spans="1:16" x14ac:dyDescent="0.25">
      <c r="A17527" t="s">
        <v>40095</v>
      </c>
      <c r="B17527" t="s">
        <v>21376</v>
      </c>
      <c r="C17527" t="s">
        <v>21377</v>
      </c>
      <c r="D17527" t="str">
        <f>"4926"</f>
        <v>4926</v>
      </c>
      <c r="E17527" t="s">
        <v>4088</v>
      </c>
      <c r="F17527" t="s">
        <v>19559</v>
      </c>
      <c r="G17527" t="s">
        <v>47098</v>
      </c>
      <c r="H17527" t="s">
        <v>47055</v>
      </c>
      <c r="I17527" t="s">
        <v>47120</v>
      </c>
      <c r="J17527" t="s">
        <v>47121</v>
      </c>
      <c r="K17527" t="s">
        <v>47113</v>
      </c>
      <c r="L17527">
        <v>77.209999999999994</v>
      </c>
      <c r="M17527">
        <v>166</v>
      </c>
      <c r="N17527">
        <v>0</v>
      </c>
      <c r="O17527">
        <v>166</v>
      </c>
      <c r="P17527">
        <v>0</v>
      </c>
    </row>
    <row r="17528" spans="1:16" x14ac:dyDescent="0.25">
      <c r="A17528" t="s">
        <v>40096</v>
      </c>
      <c r="B17528" t="s">
        <v>21378</v>
      </c>
      <c r="C17528" t="s">
        <v>21379</v>
      </c>
      <c r="D17528" t="str">
        <f>"1001"</f>
        <v>1001</v>
      </c>
      <c r="E17528" t="s">
        <v>42</v>
      </c>
      <c r="F17528" t="s">
        <v>19552</v>
      </c>
      <c r="G17528" t="s">
        <v>47091</v>
      </c>
      <c r="H17528" t="s">
        <v>47055</v>
      </c>
      <c r="I17528" t="s">
        <v>47120</v>
      </c>
      <c r="J17528" t="s">
        <v>47121</v>
      </c>
      <c r="K17528" t="s">
        <v>47113</v>
      </c>
      <c r="L17528">
        <v>38.6</v>
      </c>
      <c r="M17528">
        <v>85</v>
      </c>
      <c r="N17528">
        <v>0</v>
      </c>
      <c r="O17528">
        <v>85</v>
      </c>
      <c r="P17528">
        <v>0</v>
      </c>
    </row>
    <row r="17529" spans="1:16" x14ac:dyDescent="0.25">
      <c r="A17529" t="s">
        <v>40097</v>
      </c>
      <c r="B17529" t="s">
        <v>21378</v>
      </c>
      <c r="C17529" t="s">
        <v>21379</v>
      </c>
      <c r="D17529" t="str">
        <f>"1383"</f>
        <v>1383</v>
      </c>
      <c r="E17529" t="s">
        <v>2273</v>
      </c>
      <c r="F17529" t="s">
        <v>19552</v>
      </c>
      <c r="G17529" t="s">
        <v>47091</v>
      </c>
      <c r="H17529" t="s">
        <v>47055</v>
      </c>
      <c r="I17529" t="s">
        <v>47120</v>
      </c>
      <c r="J17529" t="s">
        <v>47121</v>
      </c>
      <c r="K17529" t="s">
        <v>47113</v>
      </c>
      <c r="L17529">
        <v>38.6</v>
      </c>
      <c r="M17529">
        <v>85</v>
      </c>
      <c r="N17529">
        <v>0</v>
      </c>
      <c r="O17529">
        <v>85</v>
      </c>
      <c r="P17529">
        <v>0</v>
      </c>
    </row>
    <row r="17530" spans="1:16" x14ac:dyDescent="0.25">
      <c r="A17530" t="s">
        <v>40098</v>
      </c>
      <c r="B17530" t="s">
        <v>21378</v>
      </c>
      <c r="C17530" t="s">
        <v>21379</v>
      </c>
      <c r="D17530" t="str">
        <f>"2602"</f>
        <v>2602</v>
      </c>
      <c r="E17530" t="s">
        <v>2307</v>
      </c>
      <c r="F17530" t="s">
        <v>19552</v>
      </c>
      <c r="G17530" t="s">
        <v>47091</v>
      </c>
      <c r="H17530" t="s">
        <v>47055</v>
      </c>
      <c r="I17530" t="s">
        <v>47120</v>
      </c>
      <c r="J17530" t="s">
        <v>47121</v>
      </c>
      <c r="K17530" t="s">
        <v>47113</v>
      </c>
      <c r="L17530">
        <v>38.6</v>
      </c>
      <c r="M17530">
        <v>85</v>
      </c>
      <c r="N17530">
        <v>0</v>
      </c>
      <c r="O17530">
        <v>85</v>
      </c>
      <c r="P17530">
        <v>0</v>
      </c>
    </row>
    <row r="17531" spans="1:16" x14ac:dyDescent="0.25">
      <c r="A17531" t="s">
        <v>40099</v>
      </c>
      <c r="B17531" t="s">
        <v>21378</v>
      </c>
      <c r="C17531" t="s">
        <v>21379</v>
      </c>
      <c r="D17531" t="str">
        <f>"4922"</f>
        <v>4922</v>
      </c>
      <c r="E17531" t="s">
        <v>4175</v>
      </c>
      <c r="F17531" t="s">
        <v>19552</v>
      </c>
      <c r="G17531" t="s">
        <v>47091</v>
      </c>
      <c r="H17531" t="s">
        <v>47055</v>
      </c>
      <c r="I17531" t="s">
        <v>47120</v>
      </c>
      <c r="J17531" t="s">
        <v>47121</v>
      </c>
      <c r="K17531" t="s">
        <v>47113</v>
      </c>
      <c r="L17531">
        <v>38.6</v>
      </c>
      <c r="M17531">
        <v>85</v>
      </c>
      <c r="N17531">
        <v>0</v>
      </c>
      <c r="O17531">
        <v>85</v>
      </c>
      <c r="P17531">
        <v>0</v>
      </c>
    </row>
    <row r="17532" spans="1:16" x14ac:dyDescent="0.25">
      <c r="A17532" t="s">
        <v>40100</v>
      </c>
      <c r="B17532" t="s">
        <v>21380</v>
      </c>
      <c r="C17532" t="s">
        <v>21381</v>
      </c>
      <c r="D17532" t="str">
        <f>"1001"</f>
        <v>1001</v>
      </c>
      <c r="E17532" t="s">
        <v>42</v>
      </c>
      <c r="F17532" t="s">
        <v>19552</v>
      </c>
      <c r="G17532" t="s">
        <v>47091</v>
      </c>
      <c r="H17532" t="s">
        <v>47055</v>
      </c>
      <c r="I17532" t="s">
        <v>47120</v>
      </c>
      <c r="J17532" t="s">
        <v>47121</v>
      </c>
      <c r="K17532" t="s">
        <v>47113</v>
      </c>
      <c r="L17532">
        <v>38.6</v>
      </c>
      <c r="M17532">
        <v>85</v>
      </c>
      <c r="N17532">
        <v>0</v>
      </c>
      <c r="O17532">
        <v>85</v>
      </c>
      <c r="P17532">
        <v>0</v>
      </c>
    </row>
    <row r="17533" spans="1:16" x14ac:dyDescent="0.25">
      <c r="A17533" t="s">
        <v>40101</v>
      </c>
      <c r="B17533" t="s">
        <v>21380</v>
      </c>
      <c r="C17533" t="s">
        <v>21381</v>
      </c>
      <c r="D17533" t="str">
        <f>"1383"</f>
        <v>1383</v>
      </c>
      <c r="E17533" t="s">
        <v>2273</v>
      </c>
      <c r="F17533" t="s">
        <v>19552</v>
      </c>
      <c r="G17533" t="s">
        <v>47091</v>
      </c>
      <c r="H17533" t="s">
        <v>47055</v>
      </c>
      <c r="I17533" t="s">
        <v>47120</v>
      </c>
      <c r="J17533" t="s">
        <v>47121</v>
      </c>
      <c r="K17533" t="s">
        <v>47113</v>
      </c>
      <c r="L17533">
        <v>38.6</v>
      </c>
      <c r="M17533">
        <v>85</v>
      </c>
      <c r="N17533">
        <v>0</v>
      </c>
      <c r="O17533">
        <v>85</v>
      </c>
      <c r="P17533">
        <v>0</v>
      </c>
    </row>
    <row r="17534" spans="1:16" x14ac:dyDescent="0.25">
      <c r="A17534" t="s">
        <v>40102</v>
      </c>
      <c r="B17534" t="s">
        <v>21380</v>
      </c>
      <c r="C17534" t="s">
        <v>21381</v>
      </c>
      <c r="D17534" t="str">
        <f>"2602"</f>
        <v>2602</v>
      </c>
      <c r="E17534" t="s">
        <v>2307</v>
      </c>
      <c r="F17534" t="s">
        <v>19552</v>
      </c>
      <c r="G17534" t="s">
        <v>47091</v>
      </c>
      <c r="H17534" t="s">
        <v>47055</v>
      </c>
      <c r="I17534" t="s">
        <v>47120</v>
      </c>
      <c r="J17534" t="s">
        <v>47121</v>
      </c>
      <c r="K17534" t="s">
        <v>47113</v>
      </c>
      <c r="L17534">
        <v>38.6</v>
      </c>
      <c r="M17534">
        <v>85</v>
      </c>
      <c r="N17534">
        <v>0</v>
      </c>
      <c r="O17534">
        <v>85</v>
      </c>
      <c r="P17534">
        <v>0</v>
      </c>
    </row>
    <row r="17535" spans="1:16" x14ac:dyDescent="0.25">
      <c r="A17535" t="s">
        <v>40103</v>
      </c>
      <c r="B17535" t="s">
        <v>21380</v>
      </c>
      <c r="C17535" t="s">
        <v>21381</v>
      </c>
      <c r="D17535" t="str">
        <f>"4922"</f>
        <v>4922</v>
      </c>
      <c r="E17535" t="s">
        <v>4175</v>
      </c>
      <c r="F17535" t="s">
        <v>19552</v>
      </c>
      <c r="G17535" t="s">
        <v>47091</v>
      </c>
      <c r="H17535" t="s">
        <v>47055</v>
      </c>
      <c r="I17535" t="s">
        <v>47120</v>
      </c>
      <c r="J17535" t="s">
        <v>47121</v>
      </c>
      <c r="K17535" t="s">
        <v>47113</v>
      </c>
      <c r="L17535">
        <v>38.6</v>
      </c>
      <c r="M17535">
        <v>85</v>
      </c>
      <c r="N17535">
        <v>0</v>
      </c>
      <c r="O17535">
        <v>85</v>
      </c>
      <c r="P17535">
        <v>0</v>
      </c>
    </row>
    <row r="17536" spans="1:16" x14ac:dyDescent="0.25">
      <c r="A17536" t="s">
        <v>40104</v>
      </c>
      <c r="B17536" t="s">
        <v>21382</v>
      </c>
      <c r="C17536" t="s">
        <v>21383</v>
      </c>
      <c r="D17536" t="str">
        <f>"1001"</f>
        <v>1001</v>
      </c>
      <c r="E17536" t="s">
        <v>42</v>
      </c>
      <c r="F17536" t="s">
        <v>19552</v>
      </c>
      <c r="G17536" t="s">
        <v>47092</v>
      </c>
      <c r="H17536" t="s">
        <v>47055</v>
      </c>
      <c r="I17536" t="s">
        <v>47120</v>
      </c>
      <c r="J17536" t="s">
        <v>47121</v>
      </c>
      <c r="K17536" t="s">
        <v>47113</v>
      </c>
      <c r="L17536">
        <v>23.75</v>
      </c>
      <c r="M17536">
        <v>55</v>
      </c>
      <c r="N17536">
        <v>0</v>
      </c>
      <c r="O17536">
        <v>55</v>
      </c>
      <c r="P17536">
        <v>0</v>
      </c>
    </row>
    <row r="17537" spans="1:16" x14ac:dyDescent="0.25">
      <c r="A17537" t="s">
        <v>40105</v>
      </c>
      <c r="B17537" t="s">
        <v>21382</v>
      </c>
      <c r="C17537" t="s">
        <v>21383</v>
      </c>
      <c r="D17537" t="str">
        <f>"1383"</f>
        <v>1383</v>
      </c>
      <c r="E17537" t="s">
        <v>2273</v>
      </c>
      <c r="F17537" t="s">
        <v>19552</v>
      </c>
      <c r="G17537" t="s">
        <v>47092</v>
      </c>
      <c r="H17537" t="s">
        <v>47055</v>
      </c>
      <c r="I17537" t="s">
        <v>47120</v>
      </c>
      <c r="J17537" t="s">
        <v>47121</v>
      </c>
      <c r="K17537" t="s">
        <v>47113</v>
      </c>
      <c r="L17537">
        <v>23.75</v>
      </c>
      <c r="M17537">
        <v>55</v>
      </c>
      <c r="N17537">
        <v>0</v>
      </c>
      <c r="O17537">
        <v>55</v>
      </c>
      <c r="P17537">
        <v>0</v>
      </c>
    </row>
    <row r="17538" spans="1:16" x14ac:dyDescent="0.25">
      <c r="A17538" t="s">
        <v>40106</v>
      </c>
      <c r="B17538" t="s">
        <v>21382</v>
      </c>
      <c r="C17538" t="s">
        <v>21383</v>
      </c>
      <c r="D17538" t="str">
        <f>"2602"</f>
        <v>2602</v>
      </c>
      <c r="E17538" t="s">
        <v>2307</v>
      </c>
      <c r="F17538" t="s">
        <v>19552</v>
      </c>
      <c r="G17538" t="s">
        <v>47092</v>
      </c>
      <c r="H17538" t="s">
        <v>47055</v>
      </c>
      <c r="I17538" t="s">
        <v>47120</v>
      </c>
      <c r="J17538" t="s">
        <v>47121</v>
      </c>
      <c r="K17538" t="s">
        <v>47113</v>
      </c>
      <c r="L17538">
        <v>23.75</v>
      </c>
      <c r="M17538">
        <v>55</v>
      </c>
      <c r="N17538">
        <v>0</v>
      </c>
      <c r="O17538">
        <v>55</v>
      </c>
      <c r="P17538">
        <v>0</v>
      </c>
    </row>
    <row r="17539" spans="1:16" x14ac:dyDescent="0.25">
      <c r="A17539" t="s">
        <v>40107</v>
      </c>
      <c r="B17539" t="s">
        <v>21382</v>
      </c>
      <c r="C17539" t="s">
        <v>21383</v>
      </c>
      <c r="D17539" t="str">
        <f>"4922"</f>
        <v>4922</v>
      </c>
      <c r="E17539" t="s">
        <v>4175</v>
      </c>
      <c r="F17539" t="s">
        <v>19552</v>
      </c>
      <c r="G17539" t="s">
        <v>47092</v>
      </c>
      <c r="H17539" t="s">
        <v>47055</v>
      </c>
      <c r="I17539" t="s">
        <v>47120</v>
      </c>
      <c r="J17539" t="s">
        <v>47121</v>
      </c>
      <c r="K17539" t="s">
        <v>47113</v>
      </c>
      <c r="L17539">
        <v>23.75</v>
      </c>
      <c r="M17539">
        <v>55</v>
      </c>
      <c r="N17539">
        <v>0</v>
      </c>
      <c r="O17539">
        <v>55</v>
      </c>
      <c r="P17539">
        <v>0</v>
      </c>
    </row>
    <row r="17540" spans="1:16" x14ac:dyDescent="0.25">
      <c r="A17540" t="s">
        <v>40108</v>
      </c>
      <c r="B17540" t="s">
        <v>21384</v>
      </c>
      <c r="C17540" t="s">
        <v>21385</v>
      </c>
      <c r="D17540" t="str">
        <f>"1001"</f>
        <v>1001</v>
      </c>
      <c r="E17540" t="s">
        <v>42</v>
      </c>
      <c r="F17540" t="s">
        <v>19552</v>
      </c>
      <c r="G17540" t="s">
        <v>47091</v>
      </c>
      <c r="H17540" t="s">
        <v>47055</v>
      </c>
      <c r="I17540" t="s">
        <v>47120</v>
      </c>
      <c r="J17540" t="s">
        <v>47121</v>
      </c>
      <c r="K17540" t="s">
        <v>47113</v>
      </c>
      <c r="L17540">
        <v>41.57</v>
      </c>
      <c r="M17540">
        <v>92</v>
      </c>
      <c r="N17540">
        <v>0</v>
      </c>
      <c r="O17540">
        <v>92</v>
      </c>
      <c r="P17540">
        <v>0</v>
      </c>
    </row>
    <row r="17541" spans="1:16" x14ac:dyDescent="0.25">
      <c r="A17541" t="s">
        <v>40109</v>
      </c>
      <c r="B17541" t="s">
        <v>21384</v>
      </c>
      <c r="C17541" t="s">
        <v>21385</v>
      </c>
      <c r="D17541" t="str">
        <f>"1383"</f>
        <v>1383</v>
      </c>
      <c r="E17541" t="s">
        <v>2273</v>
      </c>
      <c r="F17541" t="s">
        <v>19552</v>
      </c>
      <c r="G17541" t="s">
        <v>47091</v>
      </c>
      <c r="H17541" t="s">
        <v>47055</v>
      </c>
      <c r="I17541" t="s">
        <v>47120</v>
      </c>
      <c r="J17541" t="s">
        <v>47121</v>
      </c>
      <c r="K17541" t="s">
        <v>47113</v>
      </c>
      <c r="L17541">
        <v>41.57</v>
      </c>
      <c r="M17541">
        <v>92</v>
      </c>
      <c r="N17541">
        <v>0</v>
      </c>
      <c r="O17541">
        <v>92</v>
      </c>
      <c r="P17541">
        <v>0</v>
      </c>
    </row>
    <row r="17542" spans="1:16" x14ac:dyDescent="0.25">
      <c r="A17542" t="s">
        <v>40110</v>
      </c>
      <c r="B17542" t="s">
        <v>21384</v>
      </c>
      <c r="C17542" t="s">
        <v>21385</v>
      </c>
      <c r="D17542" t="str">
        <f>"2602"</f>
        <v>2602</v>
      </c>
      <c r="E17542" t="s">
        <v>2307</v>
      </c>
      <c r="F17542" t="s">
        <v>19552</v>
      </c>
      <c r="G17542" t="s">
        <v>47091</v>
      </c>
      <c r="H17542" t="s">
        <v>47055</v>
      </c>
      <c r="I17542" t="s">
        <v>47120</v>
      </c>
      <c r="J17542" t="s">
        <v>47121</v>
      </c>
      <c r="K17542" t="s">
        <v>47113</v>
      </c>
      <c r="L17542">
        <v>41.57</v>
      </c>
      <c r="M17542">
        <v>92</v>
      </c>
      <c r="N17542">
        <v>0</v>
      </c>
      <c r="O17542">
        <v>92</v>
      </c>
      <c r="P17542">
        <v>0</v>
      </c>
    </row>
    <row r="17543" spans="1:16" x14ac:dyDescent="0.25">
      <c r="A17543" t="s">
        <v>22840</v>
      </c>
      <c r="B17543" t="s">
        <v>21384</v>
      </c>
      <c r="C17543" t="s">
        <v>21385</v>
      </c>
      <c r="D17543" t="str">
        <f>"4922"</f>
        <v>4922</v>
      </c>
      <c r="E17543" t="s">
        <v>4175</v>
      </c>
      <c r="F17543" t="s">
        <v>19552</v>
      </c>
      <c r="G17543" t="s">
        <v>47091</v>
      </c>
      <c r="H17543" t="s">
        <v>47055</v>
      </c>
      <c r="I17543" t="s">
        <v>47120</v>
      </c>
      <c r="J17543" t="s">
        <v>47121</v>
      </c>
      <c r="K17543" t="s">
        <v>47113</v>
      </c>
      <c r="L17543">
        <v>41.57</v>
      </c>
      <c r="M17543">
        <v>92</v>
      </c>
      <c r="N17543">
        <v>0</v>
      </c>
      <c r="O17543">
        <v>92</v>
      </c>
      <c r="P17543">
        <v>0</v>
      </c>
    </row>
    <row r="17544" spans="1:16" x14ac:dyDescent="0.25">
      <c r="A17544" t="s">
        <v>40111</v>
      </c>
      <c r="B17544" t="s">
        <v>21386</v>
      </c>
      <c r="C17544" t="s">
        <v>21387</v>
      </c>
      <c r="D17544" t="str">
        <f>"1001"</f>
        <v>1001</v>
      </c>
      <c r="E17544" t="s">
        <v>42</v>
      </c>
      <c r="F17544" t="s">
        <v>19552</v>
      </c>
      <c r="G17544" t="s">
        <v>47091</v>
      </c>
      <c r="H17544" t="s">
        <v>47055</v>
      </c>
      <c r="I17544" t="s">
        <v>47120</v>
      </c>
      <c r="J17544" t="s">
        <v>47121</v>
      </c>
      <c r="K17544" t="s">
        <v>47113</v>
      </c>
      <c r="L17544">
        <v>41.76</v>
      </c>
      <c r="M17544">
        <v>92</v>
      </c>
      <c r="N17544">
        <v>0</v>
      </c>
      <c r="O17544">
        <v>92</v>
      </c>
      <c r="P17544">
        <v>0</v>
      </c>
    </row>
    <row r="17545" spans="1:16" x14ac:dyDescent="0.25">
      <c r="A17545" t="s">
        <v>40112</v>
      </c>
      <c r="B17545" t="s">
        <v>21386</v>
      </c>
      <c r="C17545" t="s">
        <v>21387</v>
      </c>
      <c r="D17545" t="str">
        <f>"1383"</f>
        <v>1383</v>
      </c>
      <c r="E17545" t="s">
        <v>2273</v>
      </c>
      <c r="F17545" t="s">
        <v>19552</v>
      </c>
      <c r="G17545" t="s">
        <v>47091</v>
      </c>
      <c r="H17545" t="s">
        <v>47055</v>
      </c>
      <c r="I17545" t="s">
        <v>47120</v>
      </c>
      <c r="J17545" t="s">
        <v>47121</v>
      </c>
      <c r="K17545" t="s">
        <v>47113</v>
      </c>
      <c r="L17545">
        <v>41.76</v>
      </c>
      <c r="M17545">
        <v>92</v>
      </c>
      <c r="N17545">
        <v>0</v>
      </c>
      <c r="O17545">
        <v>92</v>
      </c>
      <c r="P17545">
        <v>0</v>
      </c>
    </row>
    <row r="17546" spans="1:16" x14ac:dyDescent="0.25">
      <c r="A17546" t="s">
        <v>22841</v>
      </c>
      <c r="B17546" t="s">
        <v>21386</v>
      </c>
      <c r="C17546" t="s">
        <v>21387</v>
      </c>
      <c r="D17546" t="str">
        <f>"2602"</f>
        <v>2602</v>
      </c>
      <c r="E17546" t="s">
        <v>2307</v>
      </c>
      <c r="F17546" t="s">
        <v>19552</v>
      </c>
      <c r="G17546" t="s">
        <v>47091</v>
      </c>
      <c r="H17546" t="s">
        <v>47055</v>
      </c>
      <c r="I17546" t="s">
        <v>47120</v>
      </c>
      <c r="J17546" t="s">
        <v>47121</v>
      </c>
      <c r="K17546" t="s">
        <v>47113</v>
      </c>
      <c r="L17546">
        <v>41.76</v>
      </c>
      <c r="M17546">
        <v>92</v>
      </c>
      <c r="N17546">
        <v>0</v>
      </c>
      <c r="O17546">
        <v>92</v>
      </c>
      <c r="P17546">
        <v>0</v>
      </c>
    </row>
    <row r="17547" spans="1:16" x14ac:dyDescent="0.25">
      <c r="A17547" t="s">
        <v>40113</v>
      </c>
      <c r="B17547" t="s">
        <v>21386</v>
      </c>
      <c r="C17547" t="s">
        <v>21387</v>
      </c>
      <c r="D17547" t="str">
        <f>"4922"</f>
        <v>4922</v>
      </c>
      <c r="E17547" t="s">
        <v>4175</v>
      </c>
      <c r="F17547" t="s">
        <v>19552</v>
      </c>
      <c r="G17547" t="s">
        <v>47091</v>
      </c>
      <c r="H17547" t="s">
        <v>47055</v>
      </c>
      <c r="I17547" t="s">
        <v>47120</v>
      </c>
      <c r="J17547" t="s">
        <v>47121</v>
      </c>
      <c r="K17547" t="s">
        <v>47113</v>
      </c>
      <c r="L17547">
        <v>41.76</v>
      </c>
      <c r="M17547">
        <v>92</v>
      </c>
      <c r="N17547">
        <v>0</v>
      </c>
      <c r="O17547">
        <v>92</v>
      </c>
      <c r="P17547">
        <v>0</v>
      </c>
    </row>
    <row r="17548" spans="1:16" x14ac:dyDescent="0.25">
      <c r="A17548" t="s">
        <v>40114</v>
      </c>
      <c r="B17548" t="s">
        <v>21388</v>
      </c>
      <c r="C17548" t="s">
        <v>21389</v>
      </c>
      <c r="D17548" t="str">
        <f>"1001"</f>
        <v>1001</v>
      </c>
      <c r="E17548" t="s">
        <v>42</v>
      </c>
      <c r="F17548" t="s">
        <v>19552</v>
      </c>
      <c r="G17548" t="s">
        <v>47091</v>
      </c>
      <c r="H17548" t="s">
        <v>47055</v>
      </c>
      <c r="I17548" t="s">
        <v>47120</v>
      </c>
      <c r="J17548" t="s">
        <v>47121</v>
      </c>
      <c r="K17548" t="s">
        <v>47113</v>
      </c>
      <c r="L17548">
        <v>34.15</v>
      </c>
      <c r="M17548">
        <v>74</v>
      </c>
      <c r="N17548">
        <v>0</v>
      </c>
      <c r="O17548">
        <v>74</v>
      </c>
      <c r="P17548">
        <v>0</v>
      </c>
    </row>
    <row r="17549" spans="1:16" x14ac:dyDescent="0.25">
      <c r="A17549" t="s">
        <v>40115</v>
      </c>
      <c r="B17549" t="s">
        <v>21388</v>
      </c>
      <c r="C17549" t="s">
        <v>21389</v>
      </c>
      <c r="D17549" t="str">
        <f>"1383"</f>
        <v>1383</v>
      </c>
      <c r="E17549" t="s">
        <v>2273</v>
      </c>
      <c r="F17549" t="s">
        <v>19552</v>
      </c>
      <c r="G17549" t="s">
        <v>47091</v>
      </c>
      <c r="H17549" t="s">
        <v>47055</v>
      </c>
      <c r="I17549" t="s">
        <v>47120</v>
      </c>
      <c r="J17549" t="s">
        <v>47121</v>
      </c>
      <c r="K17549" t="s">
        <v>47113</v>
      </c>
      <c r="L17549">
        <v>34.15</v>
      </c>
      <c r="M17549">
        <v>74</v>
      </c>
      <c r="N17549">
        <v>0</v>
      </c>
      <c r="O17549">
        <v>74</v>
      </c>
      <c r="P17549">
        <v>0</v>
      </c>
    </row>
    <row r="17550" spans="1:16" x14ac:dyDescent="0.25">
      <c r="A17550" t="s">
        <v>40116</v>
      </c>
      <c r="B17550" t="s">
        <v>21388</v>
      </c>
      <c r="C17550" t="s">
        <v>21389</v>
      </c>
      <c r="D17550" t="str">
        <f>"2602"</f>
        <v>2602</v>
      </c>
      <c r="E17550" t="s">
        <v>2307</v>
      </c>
      <c r="F17550" t="s">
        <v>19552</v>
      </c>
      <c r="G17550" t="s">
        <v>47091</v>
      </c>
      <c r="H17550" t="s">
        <v>47055</v>
      </c>
      <c r="I17550" t="s">
        <v>47120</v>
      </c>
      <c r="J17550" t="s">
        <v>47121</v>
      </c>
      <c r="K17550" t="s">
        <v>47113</v>
      </c>
      <c r="L17550">
        <v>34.15</v>
      </c>
      <c r="M17550">
        <v>74</v>
      </c>
      <c r="N17550">
        <v>0</v>
      </c>
      <c r="O17550">
        <v>74</v>
      </c>
      <c r="P17550">
        <v>0</v>
      </c>
    </row>
    <row r="17551" spans="1:16" x14ac:dyDescent="0.25">
      <c r="A17551" t="s">
        <v>40117</v>
      </c>
      <c r="B17551" t="s">
        <v>21388</v>
      </c>
      <c r="C17551" t="s">
        <v>21389</v>
      </c>
      <c r="D17551" t="str">
        <f>"4922"</f>
        <v>4922</v>
      </c>
      <c r="E17551" t="s">
        <v>4175</v>
      </c>
      <c r="F17551" t="s">
        <v>19552</v>
      </c>
      <c r="G17551" t="s">
        <v>47091</v>
      </c>
      <c r="H17551" t="s">
        <v>47055</v>
      </c>
      <c r="I17551" t="s">
        <v>47120</v>
      </c>
      <c r="J17551" t="s">
        <v>47121</v>
      </c>
      <c r="K17551" t="s">
        <v>47113</v>
      </c>
      <c r="L17551">
        <v>34.15</v>
      </c>
      <c r="M17551">
        <v>74</v>
      </c>
      <c r="N17551">
        <v>0</v>
      </c>
      <c r="O17551">
        <v>74</v>
      </c>
      <c r="P17551">
        <v>0</v>
      </c>
    </row>
    <row r="17552" spans="1:16" x14ac:dyDescent="0.25">
      <c r="A17552" t="s">
        <v>40118</v>
      </c>
      <c r="B17552" t="s">
        <v>21390</v>
      </c>
      <c r="C17552" t="s">
        <v>21391</v>
      </c>
      <c r="D17552" t="str">
        <f>"1370"</f>
        <v>1370</v>
      </c>
      <c r="E17552" t="s">
        <v>2162</v>
      </c>
      <c r="F17552" t="s">
        <v>19559</v>
      </c>
      <c r="G17552" t="s">
        <v>47091</v>
      </c>
      <c r="H17552" t="s">
        <v>47055</v>
      </c>
      <c r="I17552" t="s">
        <v>47120</v>
      </c>
      <c r="J17552" t="s">
        <v>47121</v>
      </c>
      <c r="K17552" t="s">
        <v>47113</v>
      </c>
      <c r="L17552">
        <v>36.43</v>
      </c>
      <c r="M17552">
        <v>74</v>
      </c>
      <c r="N17552">
        <v>0</v>
      </c>
      <c r="O17552">
        <v>74</v>
      </c>
      <c r="P17552">
        <v>0</v>
      </c>
    </row>
    <row r="17553" spans="1:16" x14ac:dyDescent="0.25">
      <c r="A17553" t="s">
        <v>22842</v>
      </c>
      <c r="B17553" t="s">
        <v>21392</v>
      </c>
      <c r="C17553" t="s">
        <v>21393</v>
      </c>
      <c r="D17553" t="str">
        <f>"1370"</f>
        <v>1370</v>
      </c>
      <c r="E17553" t="s">
        <v>2162</v>
      </c>
      <c r="F17553" t="s">
        <v>19559</v>
      </c>
      <c r="G17553" t="s">
        <v>47094</v>
      </c>
      <c r="H17553" t="s">
        <v>47055</v>
      </c>
      <c r="I17553" t="s">
        <v>47120</v>
      </c>
      <c r="J17553" t="s">
        <v>47121</v>
      </c>
      <c r="K17553" t="s">
        <v>47113</v>
      </c>
      <c r="L17553">
        <v>37.119999999999997</v>
      </c>
      <c r="M17553">
        <v>74</v>
      </c>
      <c r="N17553">
        <v>0</v>
      </c>
      <c r="O17553">
        <v>74</v>
      </c>
      <c r="P17553">
        <v>0</v>
      </c>
    </row>
    <row r="17554" spans="1:16" x14ac:dyDescent="0.25">
      <c r="A17554" t="s">
        <v>40119</v>
      </c>
      <c r="B17554" t="s">
        <v>21394</v>
      </c>
      <c r="C17554" t="s">
        <v>21395</v>
      </c>
      <c r="D17554" t="str">
        <f>"1001"</f>
        <v>1001</v>
      </c>
      <c r="E17554" t="s">
        <v>42</v>
      </c>
      <c r="F17554" t="s">
        <v>19559</v>
      </c>
      <c r="G17554" t="s">
        <v>47091</v>
      </c>
      <c r="H17554" t="s">
        <v>47055</v>
      </c>
      <c r="I17554" t="s">
        <v>47120</v>
      </c>
      <c r="J17554" t="s">
        <v>47121</v>
      </c>
      <c r="K17554" t="s">
        <v>47113</v>
      </c>
      <c r="L17554">
        <v>34.15</v>
      </c>
      <c r="M17554">
        <v>74</v>
      </c>
      <c r="N17554">
        <v>0</v>
      </c>
      <c r="O17554">
        <v>74</v>
      </c>
      <c r="P17554">
        <v>0</v>
      </c>
    </row>
    <row r="17555" spans="1:16" x14ac:dyDescent="0.25">
      <c r="A17555" t="s">
        <v>40120</v>
      </c>
      <c r="B17555" t="s">
        <v>21394</v>
      </c>
      <c r="C17555" t="s">
        <v>21395</v>
      </c>
      <c r="D17555" t="str">
        <f>"1383"</f>
        <v>1383</v>
      </c>
      <c r="E17555" t="s">
        <v>2273</v>
      </c>
      <c r="F17555" t="s">
        <v>19559</v>
      </c>
      <c r="G17555" t="s">
        <v>47091</v>
      </c>
      <c r="H17555" t="s">
        <v>47055</v>
      </c>
      <c r="I17555" t="s">
        <v>47120</v>
      </c>
      <c r="J17555" t="s">
        <v>47121</v>
      </c>
      <c r="K17555" t="s">
        <v>47113</v>
      </c>
      <c r="L17555">
        <v>34.15</v>
      </c>
      <c r="M17555">
        <v>74</v>
      </c>
      <c r="N17555">
        <v>0</v>
      </c>
      <c r="O17555">
        <v>74</v>
      </c>
      <c r="P17555">
        <v>0</v>
      </c>
    </row>
    <row r="17556" spans="1:16" x14ac:dyDescent="0.25">
      <c r="A17556" t="s">
        <v>40121</v>
      </c>
      <c r="B17556" t="s">
        <v>21394</v>
      </c>
      <c r="C17556" t="s">
        <v>21395</v>
      </c>
      <c r="D17556" t="str">
        <f>"1700"</f>
        <v>1700</v>
      </c>
      <c r="E17556" t="s">
        <v>60</v>
      </c>
      <c r="F17556" t="s">
        <v>19559</v>
      </c>
      <c r="G17556" t="s">
        <v>47091</v>
      </c>
      <c r="H17556" t="s">
        <v>47055</v>
      </c>
      <c r="I17556" t="s">
        <v>47120</v>
      </c>
      <c r="J17556" t="s">
        <v>47121</v>
      </c>
      <c r="K17556" t="s">
        <v>47113</v>
      </c>
      <c r="L17556">
        <v>34.15</v>
      </c>
      <c r="M17556">
        <v>74</v>
      </c>
      <c r="N17556">
        <v>0</v>
      </c>
      <c r="O17556">
        <v>74</v>
      </c>
      <c r="P17556">
        <v>0</v>
      </c>
    </row>
    <row r="17557" spans="1:16" x14ac:dyDescent="0.25">
      <c r="A17557" t="s">
        <v>22843</v>
      </c>
      <c r="B17557" t="s">
        <v>21396</v>
      </c>
      <c r="C17557" t="s">
        <v>19637</v>
      </c>
      <c r="D17557" t="str">
        <f>"1378"</f>
        <v>1378</v>
      </c>
      <c r="E17557" t="s">
        <v>388</v>
      </c>
      <c r="F17557" t="s">
        <v>19552</v>
      </c>
      <c r="G17557" t="s">
        <v>47091</v>
      </c>
      <c r="H17557" t="s">
        <v>47055</v>
      </c>
      <c r="I17557" t="s">
        <v>47127</v>
      </c>
      <c r="J17557" t="s">
        <v>47128</v>
      </c>
      <c r="K17557" t="s">
        <v>47113</v>
      </c>
      <c r="L17557">
        <v>12.73</v>
      </c>
      <c r="M17557">
        <v>29</v>
      </c>
      <c r="N17557">
        <v>0</v>
      </c>
      <c r="O17557">
        <v>29</v>
      </c>
      <c r="P17557">
        <v>0</v>
      </c>
    </row>
    <row r="17558" spans="1:16" x14ac:dyDescent="0.25">
      <c r="A17558" t="s">
        <v>40122</v>
      </c>
      <c r="B17558" t="s">
        <v>21396</v>
      </c>
      <c r="C17558" t="s">
        <v>19637</v>
      </c>
      <c r="D17558" t="str">
        <f>"1383"</f>
        <v>1383</v>
      </c>
      <c r="E17558" t="s">
        <v>2273</v>
      </c>
      <c r="F17558" t="s">
        <v>19552</v>
      </c>
      <c r="G17558" t="s">
        <v>47091</v>
      </c>
      <c r="H17558" t="s">
        <v>47055</v>
      </c>
      <c r="I17558" t="s">
        <v>47127</v>
      </c>
      <c r="J17558" t="s">
        <v>47128</v>
      </c>
      <c r="K17558" t="s">
        <v>47113</v>
      </c>
      <c r="L17558">
        <v>12.73</v>
      </c>
      <c r="M17558">
        <v>29</v>
      </c>
      <c r="N17558">
        <v>0</v>
      </c>
      <c r="O17558">
        <v>29</v>
      </c>
      <c r="P17558">
        <v>0</v>
      </c>
    </row>
    <row r="17559" spans="1:16" x14ac:dyDescent="0.25">
      <c r="A17559" t="s">
        <v>22844</v>
      </c>
      <c r="B17559" t="s">
        <v>21396</v>
      </c>
      <c r="C17559" t="s">
        <v>19637</v>
      </c>
      <c r="D17559" t="str">
        <f>"1700"</f>
        <v>1700</v>
      </c>
      <c r="E17559" t="s">
        <v>60</v>
      </c>
      <c r="F17559" t="s">
        <v>19552</v>
      </c>
      <c r="G17559" t="s">
        <v>47091</v>
      </c>
      <c r="H17559" t="s">
        <v>47055</v>
      </c>
      <c r="I17559" t="s">
        <v>47127</v>
      </c>
      <c r="J17559" t="s">
        <v>47128</v>
      </c>
      <c r="K17559" t="s">
        <v>47113</v>
      </c>
      <c r="L17559">
        <v>12.73</v>
      </c>
      <c r="M17559">
        <v>29</v>
      </c>
      <c r="N17559">
        <v>0</v>
      </c>
      <c r="O17559">
        <v>29</v>
      </c>
      <c r="P17559">
        <v>0</v>
      </c>
    </row>
    <row r="17560" spans="1:16" x14ac:dyDescent="0.25">
      <c r="A17560" t="s">
        <v>40123</v>
      </c>
      <c r="B17560" t="s">
        <v>21396</v>
      </c>
      <c r="C17560" t="s">
        <v>19637</v>
      </c>
      <c r="D17560" t="str">
        <f>"5306"</f>
        <v>5306</v>
      </c>
      <c r="E17560" t="s">
        <v>1991</v>
      </c>
      <c r="F17560" t="s">
        <v>19552</v>
      </c>
      <c r="G17560" t="s">
        <v>47091</v>
      </c>
      <c r="H17560" t="s">
        <v>47055</v>
      </c>
      <c r="I17560" t="s">
        <v>47127</v>
      </c>
      <c r="J17560" t="s">
        <v>47128</v>
      </c>
      <c r="K17560" t="s">
        <v>47113</v>
      </c>
      <c r="L17560">
        <v>12.73</v>
      </c>
      <c r="M17560">
        <v>29</v>
      </c>
      <c r="N17560">
        <v>0</v>
      </c>
      <c r="O17560">
        <v>29</v>
      </c>
      <c r="P17560">
        <v>0</v>
      </c>
    </row>
    <row r="17561" spans="1:16" x14ac:dyDescent="0.25">
      <c r="A17561" t="s">
        <v>40124</v>
      </c>
      <c r="B17561" t="s">
        <v>21396</v>
      </c>
      <c r="C17561" t="s">
        <v>19637</v>
      </c>
      <c r="D17561" t="str">
        <f>"6807"</f>
        <v>6807</v>
      </c>
      <c r="E17561" t="s">
        <v>21298</v>
      </c>
      <c r="F17561" t="s">
        <v>19552</v>
      </c>
      <c r="G17561" t="s">
        <v>47091</v>
      </c>
      <c r="H17561" t="s">
        <v>47055</v>
      </c>
      <c r="I17561" t="s">
        <v>47127</v>
      </c>
      <c r="J17561" t="s">
        <v>47128</v>
      </c>
      <c r="K17561" t="s">
        <v>47113</v>
      </c>
      <c r="L17561">
        <v>12.73</v>
      </c>
      <c r="M17561">
        <v>29</v>
      </c>
      <c r="N17561">
        <v>0</v>
      </c>
      <c r="O17561">
        <v>29</v>
      </c>
      <c r="P17561">
        <v>0</v>
      </c>
    </row>
    <row r="17562" spans="1:16" x14ac:dyDescent="0.25">
      <c r="A17562" t="s">
        <v>22845</v>
      </c>
      <c r="B17562" t="s">
        <v>21397</v>
      </c>
      <c r="C17562" t="s">
        <v>21398</v>
      </c>
      <c r="D17562" t="str">
        <f>"1106"</f>
        <v>1106</v>
      </c>
      <c r="E17562" t="s">
        <v>460</v>
      </c>
      <c r="F17562" t="s">
        <v>19552</v>
      </c>
      <c r="G17562" t="s">
        <v>47091</v>
      </c>
      <c r="H17562" t="s">
        <v>47055</v>
      </c>
      <c r="I17562" t="s">
        <v>47127</v>
      </c>
      <c r="J17562" t="s">
        <v>47128</v>
      </c>
      <c r="K17562" t="s">
        <v>47113</v>
      </c>
      <c r="L17562">
        <v>11.33</v>
      </c>
      <c r="M17562">
        <v>29</v>
      </c>
      <c r="N17562">
        <v>0</v>
      </c>
      <c r="O17562">
        <v>29</v>
      </c>
      <c r="P17562">
        <v>0</v>
      </c>
    </row>
    <row r="17563" spans="1:16" x14ac:dyDescent="0.25">
      <c r="A17563" t="s">
        <v>22846</v>
      </c>
      <c r="B17563" t="s">
        <v>21397</v>
      </c>
      <c r="C17563" t="s">
        <v>21398</v>
      </c>
      <c r="D17563" t="str">
        <f>"1700"</f>
        <v>1700</v>
      </c>
      <c r="E17563" t="s">
        <v>60</v>
      </c>
      <c r="F17563" t="s">
        <v>19552</v>
      </c>
      <c r="G17563" t="s">
        <v>47091</v>
      </c>
      <c r="H17563" t="s">
        <v>47055</v>
      </c>
      <c r="I17563" t="s">
        <v>47127</v>
      </c>
      <c r="J17563" t="s">
        <v>47128</v>
      </c>
      <c r="K17563" t="s">
        <v>47113</v>
      </c>
      <c r="L17563">
        <v>11.33</v>
      </c>
      <c r="M17563">
        <v>29</v>
      </c>
      <c r="N17563">
        <v>0</v>
      </c>
      <c r="O17563">
        <v>29</v>
      </c>
      <c r="P17563">
        <v>0</v>
      </c>
    </row>
    <row r="17564" spans="1:16" x14ac:dyDescent="0.25">
      <c r="A17564" t="s">
        <v>40125</v>
      </c>
      <c r="B17564" t="s">
        <v>21397</v>
      </c>
      <c r="C17564" t="s">
        <v>21398</v>
      </c>
      <c r="D17564" t="str">
        <f>"3106"</f>
        <v>3106</v>
      </c>
      <c r="E17564" t="s">
        <v>230</v>
      </c>
      <c r="F17564" t="s">
        <v>19552</v>
      </c>
      <c r="G17564" t="s">
        <v>47091</v>
      </c>
      <c r="H17564" t="s">
        <v>47055</v>
      </c>
      <c r="I17564" t="s">
        <v>47127</v>
      </c>
      <c r="J17564" t="s">
        <v>47128</v>
      </c>
      <c r="K17564" t="s">
        <v>47113</v>
      </c>
      <c r="L17564">
        <v>11.33</v>
      </c>
      <c r="M17564">
        <v>29</v>
      </c>
      <c r="N17564">
        <v>0</v>
      </c>
      <c r="O17564">
        <v>29</v>
      </c>
      <c r="P17564">
        <v>0</v>
      </c>
    </row>
    <row r="17565" spans="1:16" x14ac:dyDescent="0.25">
      <c r="A17565" t="s">
        <v>40126</v>
      </c>
      <c r="B17565" t="s">
        <v>21397</v>
      </c>
      <c r="C17565" t="s">
        <v>21398</v>
      </c>
      <c r="D17565" t="str">
        <f>"4143"</f>
        <v>4143</v>
      </c>
      <c r="E17565" t="s">
        <v>16626</v>
      </c>
      <c r="F17565" t="s">
        <v>19552</v>
      </c>
      <c r="G17565" t="s">
        <v>47091</v>
      </c>
      <c r="H17565" t="s">
        <v>47055</v>
      </c>
      <c r="I17565" t="s">
        <v>47127</v>
      </c>
      <c r="J17565" t="s">
        <v>47128</v>
      </c>
      <c r="K17565" t="s">
        <v>47113</v>
      </c>
      <c r="L17565">
        <v>11.33</v>
      </c>
      <c r="M17565">
        <v>29</v>
      </c>
      <c r="N17565">
        <v>0</v>
      </c>
      <c r="O17565">
        <v>29</v>
      </c>
      <c r="P17565">
        <v>0</v>
      </c>
    </row>
    <row r="17566" spans="1:16" x14ac:dyDescent="0.25">
      <c r="A17566" t="s">
        <v>40127</v>
      </c>
      <c r="B17566" t="s">
        <v>21399</v>
      </c>
      <c r="C17566" t="s">
        <v>19664</v>
      </c>
      <c r="D17566" t="str">
        <f>"1106"</f>
        <v>1106</v>
      </c>
      <c r="E17566" t="s">
        <v>460</v>
      </c>
      <c r="F17566" t="s">
        <v>19552</v>
      </c>
      <c r="G17566" t="s">
        <v>47091</v>
      </c>
      <c r="H17566" t="s">
        <v>47055</v>
      </c>
      <c r="I17566" t="s">
        <v>47127</v>
      </c>
      <c r="J17566" t="s">
        <v>47128</v>
      </c>
      <c r="K17566" t="s">
        <v>47113</v>
      </c>
      <c r="L17566">
        <v>12.3</v>
      </c>
      <c r="M17566">
        <v>29</v>
      </c>
      <c r="N17566">
        <v>0</v>
      </c>
      <c r="O17566">
        <v>29</v>
      </c>
      <c r="P17566">
        <v>0</v>
      </c>
    </row>
    <row r="17567" spans="1:16" x14ac:dyDescent="0.25">
      <c r="A17567" t="s">
        <v>40128</v>
      </c>
      <c r="B17567" t="s">
        <v>21399</v>
      </c>
      <c r="C17567" t="s">
        <v>19664</v>
      </c>
      <c r="D17567" t="str">
        <f>"1383"</f>
        <v>1383</v>
      </c>
      <c r="E17567" t="s">
        <v>2273</v>
      </c>
      <c r="F17567" t="s">
        <v>19552</v>
      </c>
      <c r="G17567" t="s">
        <v>47091</v>
      </c>
      <c r="H17567" t="s">
        <v>47055</v>
      </c>
      <c r="I17567" t="s">
        <v>47127</v>
      </c>
      <c r="J17567" t="s">
        <v>47128</v>
      </c>
      <c r="K17567" t="s">
        <v>47113</v>
      </c>
      <c r="L17567">
        <v>12.3</v>
      </c>
      <c r="M17567">
        <v>29</v>
      </c>
      <c r="N17567">
        <v>0</v>
      </c>
      <c r="O17567">
        <v>29</v>
      </c>
      <c r="P17567">
        <v>0</v>
      </c>
    </row>
    <row r="17568" spans="1:16" x14ac:dyDescent="0.25">
      <c r="A17568" t="s">
        <v>40129</v>
      </c>
      <c r="B17568" t="s">
        <v>21399</v>
      </c>
      <c r="C17568" t="s">
        <v>19664</v>
      </c>
      <c r="D17568" t="str">
        <f>"1700"</f>
        <v>1700</v>
      </c>
      <c r="E17568" t="s">
        <v>60</v>
      </c>
      <c r="F17568" t="s">
        <v>19552</v>
      </c>
      <c r="G17568" t="s">
        <v>47091</v>
      </c>
      <c r="H17568" t="s">
        <v>47055</v>
      </c>
      <c r="I17568" t="s">
        <v>47127</v>
      </c>
      <c r="J17568" t="s">
        <v>47128</v>
      </c>
      <c r="K17568" t="s">
        <v>47113</v>
      </c>
      <c r="L17568">
        <v>12.3</v>
      </c>
      <c r="M17568">
        <v>29</v>
      </c>
      <c r="N17568">
        <v>0</v>
      </c>
      <c r="O17568">
        <v>29</v>
      </c>
      <c r="P17568">
        <v>0</v>
      </c>
    </row>
    <row r="17569" spans="1:16" x14ac:dyDescent="0.25">
      <c r="A17569" t="s">
        <v>40130</v>
      </c>
      <c r="B17569" t="s">
        <v>21399</v>
      </c>
      <c r="C17569" t="s">
        <v>19664</v>
      </c>
      <c r="D17569" t="str">
        <f>"4522"</f>
        <v>4522</v>
      </c>
      <c r="E17569" t="s">
        <v>11009</v>
      </c>
      <c r="F17569" t="s">
        <v>19552</v>
      </c>
      <c r="G17569" t="s">
        <v>47091</v>
      </c>
      <c r="H17569" t="s">
        <v>47055</v>
      </c>
      <c r="I17569" t="s">
        <v>47127</v>
      </c>
      <c r="J17569" t="s">
        <v>47128</v>
      </c>
      <c r="K17569" t="s">
        <v>47113</v>
      </c>
      <c r="L17569">
        <v>12.3</v>
      </c>
      <c r="M17569">
        <v>29</v>
      </c>
      <c r="N17569">
        <v>0</v>
      </c>
      <c r="O17569">
        <v>29</v>
      </c>
      <c r="P17569">
        <v>0</v>
      </c>
    </row>
    <row r="17570" spans="1:16" x14ac:dyDescent="0.25">
      <c r="A17570" t="s">
        <v>40131</v>
      </c>
      <c r="B17570" t="s">
        <v>21399</v>
      </c>
      <c r="C17570" t="s">
        <v>19664</v>
      </c>
      <c r="D17570" t="str">
        <f>"5306"</f>
        <v>5306</v>
      </c>
      <c r="E17570" t="s">
        <v>1991</v>
      </c>
      <c r="F17570" t="s">
        <v>19552</v>
      </c>
      <c r="G17570" t="s">
        <v>47091</v>
      </c>
      <c r="H17570" t="s">
        <v>47055</v>
      </c>
      <c r="I17570" t="s">
        <v>47127</v>
      </c>
      <c r="J17570" t="s">
        <v>47128</v>
      </c>
      <c r="K17570" t="s">
        <v>47113</v>
      </c>
      <c r="L17570">
        <v>12.3</v>
      </c>
      <c r="M17570">
        <v>29</v>
      </c>
      <c r="N17570">
        <v>0</v>
      </c>
      <c r="O17570">
        <v>29</v>
      </c>
      <c r="P17570">
        <v>0</v>
      </c>
    </row>
    <row r="17571" spans="1:16" x14ac:dyDescent="0.25">
      <c r="A17571" t="s">
        <v>40132</v>
      </c>
      <c r="B17571" t="s">
        <v>21399</v>
      </c>
      <c r="C17571" t="s">
        <v>19664</v>
      </c>
      <c r="D17571" t="str">
        <f>"6064"</f>
        <v>6064</v>
      </c>
      <c r="E17571" t="s">
        <v>87</v>
      </c>
      <c r="F17571" t="s">
        <v>19552</v>
      </c>
      <c r="G17571" t="s">
        <v>47091</v>
      </c>
      <c r="H17571" t="s">
        <v>47055</v>
      </c>
      <c r="I17571" t="s">
        <v>47127</v>
      </c>
      <c r="J17571" t="s">
        <v>47128</v>
      </c>
      <c r="K17571" t="s">
        <v>47113</v>
      </c>
      <c r="L17571">
        <v>12.3</v>
      </c>
      <c r="M17571">
        <v>29</v>
      </c>
      <c r="N17571">
        <v>0</v>
      </c>
      <c r="O17571">
        <v>29</v>
      </c>
      <c r="P17571">
        <v>0</v>
      </c>
    </row>
    <row r="17572" spans="1:16" x14ac:dyDescent="0.25">
      <c r="A17572" t="s">
        <v>40133</v>
      </c>
      <c r="B17572" t="s">
        <v>21399</v>
      </c>
      <c r="C17572" t="s">
        <v>19664</v>
      </c>
      <c r="D17572" t="str">
        <f>"6807"</f>
        <v>6807</v>
      </c>
      <c r="E17572" t="s">
        <v>21298</v>
      </c>
      <c r="F17572" t="s">
        <v>19552</v>
      </c>
      <c r="G17572" t="s">
        <v>47091</v>
      </c>
      <c r="H17572" t="s">
        <v>47055</v>
      </c>
      <c r="I17572" t="s">
        <v>47127</v>
      </c>
      <c r="J17572" t="s">
        <v>47128</v>
      </c>
      <c r="K17572" t="s">
        <v>47113</v>
      </c>
      <c r="L17572">
        <v>12.3</v>
      </c>
      <c r="M17572">
        <v>29</v>
      </c>
      <c r="N17572">
        <v>0</v>
      </c>
      <c r="O17572">
        <v>29</v>
      </c>
      <c r="P17572">
        <v>0</v>
      </c>
    </row>
    <row r="17573" spans="1:16" x14ac:dyDescent="0.25">
      <c r="A17573" t="s">
        <v>40134</v>
      </c>
      <c r="B17573" t="s">
        <v>21400</v>
      </c>
      <c r="C17573" t="s">
        <v>21401</v>
      </c>
      <c r="D17573" t="str">
        <f>"1378"</f>
        <v>1378</v>
      </c>
      <c r="E17573" t="s">
        <v>388</v>
      </c>
      <c r="F17573" t="s">
        <v>19559</v>
      </c>
      <c r="G17573" t="s">
        <v>47091</v>
      </c>
      <c r="H17573" t="s">
        <v>47055</v>
      </c>
      <c r="I17573" t="s">
        <v>47127</v>
      </c>
      <c r="J17573" t="s">
        <v>47128</v>
      </c>
      <c r="K17573" t="s">
        <v>47113</v>
      </c>
      <c r="L17573">
        <v>11.65</v>
      </c>
      <c r="M17573">
        <v>26</v>
      </c>
      <c r="N17573">
        <v>0</v>
      </c>
      <c r="O17573">
        <v>26</v>
      </c>
      <c r="P17573">
        <v>0</v>
      </c>
    </row>
    <row r="17574" spans="1:16" x14ac:dyDescent="0.25">
      <c r="A17574" t="s">
        <v>40135</v>
      </c>
      <c r="B17574" t="s">
        <v>21400</v>
      </c>
      <c r="C17574" t="s">
        <v>21401</v>
      </c>
      <c r="D17574" t="str">
        <f>"1383"</f>
        <v>1383</v>
      </c>
      <c r="E17574" t="s">
        <v>2273</v>
      </c>
      <c r="F17574" t="s">
        <v>19559</v>
      </c>
      <c r="G17574" t="s">
        <v>47091</v>
      </c>
      <c r="H17574" t="s">
        <v>47055</v>
      </c>
      <c r="I17574" t="s">
        <v>47127</v>
      </c>
      <c r="J17574" t="s">
        <v>47128</v>
      </c>
      <c r="K17574" t="s">
        <v>47113</v>
      </c>
      <c r="L17574">
        <v>11.65</v>
      </c>
      <c r="M17574">
        <v>26</v>
      </c>
      <c r="N17574">
        <v>0</v>
      </c>
      <c r="O17574">
        <v>26</v>
      </c>
      <c r="P17574">
        <v>0</v>
      </c>
    </row>
    <row r="17575" spans="1:16" x14ac:dyDescent="0.25">
      <c r="A17575" t="s">
        <v>40136</v>
      </c>
      <c r="B17575" t="s">
        <v>21400</v>
      </c>
      <c r="C17575" t="s">
        <v>21401</v>
      </c>
      <c r="D17575" t="str">
        <f>"1700"</f>
        <v>1700</v>
      </c>
      <c r="E17575" t="s">
        <v>60</v>
      </c>
      <c r="F17575" t="s">
        <v>19559</v>
      </c>
      <c r="G17575" t="s">
        <v>47091</v>
      </c>
      <c r="H17575" t="s">
        <v>47055</v>
      </c>
      <c r="I17575" t="s">
        <v>47127</v>
      </c>
      <c r="J17575" t="s">
        <v>47128</v>
      </c>
      <c r="K17575" t="s">
        <v>47113</v>
      </c>
      <c r="L17575">
        <v>11.65</v>
      </c>
      <c r="M17575">
        <v>26</v>
      </c>
      <c r="N17575">
        <v>0</v>
      </c>
      <c r="O17575">
        <v>26</v>
      </c>
      <c r="P17575">
        <v>0</v>
      </c>
    </row>
    <row r="17576" spans="1:16" x14ac:dyDescent="0.25">
      <c r="A17576" t="s">
        <v>40137</v>
      </c>
      <c r="B17576" t="s">
        <v>21400</v>
      </c>
      <c r="C17576" t="s">
        <v>21401</v>
      </c>
      <c r="D17576" t="str">
        <f>"4522"</f>
        <v>4522</v>
      </c>
      <c r="E17576" t="s">
        <v>11009</v>
      </c>
      <c r="F17576" t="s">
        <v>19559</v>
      </c>
      <c r="G17576" t="s">
        <v>47091</v>
      </c>
      <c r="H17576" t="s">
        <v>47055</v>
      </c>
      <c r="I17576" t="s">
        <v>47127</v>
      </c>
      <c r="J17576" t="s">
        <v>47128</v>
      </c>
      <c r="K17576" t="s">
        <v>47113</v>
      </c>
      <c r="L17576">
        <v>11.65</v>
      </c>
      <c r="M17576">
        <v>26</v>
      </c>
      <c r="N17576">
        <v>0</v>
      </c>
      <c r="O17576">
        <v>26</v>
      </c>
      <c r="P17576">
        <v>0</v>
      </c>
    </row>
    <row r="17577" spans="1:16" x14ac:dyDescent="0.25">
      <c r="A17577" t="s">
        <v>40138</v>
      </c>
      <c r="B17577" t="s">
        <v>21400</v>
      </c>
      <c r="C17577" t="s">
        <v>21401</v>
      </c>
      <c r="D17577" t="str">
        <f>"5306"</f>
        <v>5306</v>
      </c>
      <c r="E17577" t="s">
        <v>1991</v>
      </c>
      <c r="F17577" t="s">
        <v>19559</v>
      </c>
      <c r="G17577" t="s">
        <v>47091</v>
      </c>
      <c r="H17577" t="s">
        <v>47055</v>
      </c>
      <c r="I17577" t="s">
        <v>47127</v>
      </c>
      <c r="J17577" t="s">
        <v>47128</v>
      </c>
      <c r="K17577" t="s">
        <v>47113</v>
      </c>
      <c r="L17577">
        <v>11.65</v>
      </c>
      <c r="M17577">
        <v>26</v>
      </c>
      <c r="N17577">
        <v>0</v>
      </c>
      <c r="O17577">
        <v>26</v>
      </c>
      <c r="P17577">
        <v>0</v>
      </c>
    </row>
    <row r="17578" spans="1:16" x14ac:dyDescent="0.25">
      <c r="A17578" t="s">
        <v>22847</v>
      </c>
      <c r="B17578" t="s">
        <v>21400</v>
      </c>
      <c r="C17578" t="s">
        <v>21401</v>
      </c>
      <c r="D17578" t="str">
        <f>"6807"</f>
        <v>6807</v>
      </c>
      <c r="E17578" t="s">
        <v>21298</v>
      </c>
      <c r="F17578" t="s">
        <v>19559</v>
      </c>
      <c r="G17578" t="s">
        <v>47091</v>
      </c>
      <c r="H17578" t="s">
        <v>47055</v>
      </c>
      <c r="I17578" t="s">
        <v>47127</v>
      </c>
      <c r="J17578" t="s">
        <v>47128</v>
      </c>
      <c r="K17578" t="s">
        <v>47113</v>
      </c>
      <c r="L17578">
        <v>11.65</v>
      </c>
      <c r="M17578">
        <v>26</v>
      </c>
      <c r="N17578">
        <v>0</v>
      </c>
      <c r="O17578">
        <v>26</v>
      </c>
      <c r="P17578">
        <v>0</v>
      </c>
    </row>
    <row r="17579" spans="1:16" x14ac:dyDescent="0.25">
      <c r="A17579" t="s">
        <v>40139</v>
      </c>
      <c r="B17579" t="s">
        <v>21402</v>
      </c>
      <c r="C17579" t="s">
        <v>21403</v>
      </c>
      <c r="D17579" t="str">
        <f>"1378"</f>
        <v>1378</v>
      </c>
      <c r="E17579" t="s">
        <v>388</v>
      </c>
      <c r="F17579" t="s">
        <v>19552</v>
      </c>
      <c r="G17579" t="s">
        <v>47091</v>
      </c>
      <c r="H17579" t="s">
        <v>47055</v>
      </c>
      <c r="I17579" t="s">
        <v>47127</v>
      </c>
      <c r="J17579" t="s">
        <v>47128</v>
      </c>
      <c r="K17579" t="s">
        <v>47113</v>
      </c>
      <c r="L17579">
        <v>12.73</v>
      </c>
      <c r="M17579">
        <v>26</v>
      </c>
      <c r="N17579">
        <v>0</v>
      </c>
      <c r="O17579">
        <v>26</v>
      </c>
      <c r="P17579">
        <v>0</v>
      </c>
    </row>
    <row r="17580" spans="1:16" x14ac:dyDescent="0.25">
      <c r="A17580" t="s">
        <v>40140</v>
      </c>
      <c r="B17580" t="s">
        <v>21402</v>
      </c>
      <c r="C17580" t="s">
        <v>21403</v>
      </c>
      <c r="D17580" t="str">
        <f>"1383"</f>
        <v>1383</v>
      </c>
      <c r="E17580" t="s">
        <v>2273</v>
      </c>
      <c r="F17580" t="s">
        <v>19552</v>
      </c>
      <c r="G17580" t="s">
        <v>47091</v>
      </c>
      <c r="H17580" t="s">
        <v>47055</v>
      </c>
      <c r="I17580" t="s">
        <v>47127</v>
      </c>
      <c r="J17580" t="s">
        <v>47128</v>
      </c>
      <c r="K17580" t="s">
        <v>47113</v>
      </c>
      <c r="L17580">
        <v>12.73</v>
      </c>
      <c r="M17580">
        <v>26</v>
      </c>
      <c r="N17580">
        <v>0</v>
      </c>
      <c r="O17580">
        <v>26</v>
      </c>
      <c r="P17580">
        <v>0</v>
      </c>
    </row>
    <row r="17581" spans="1:16" x14ac:dyDescent="0.25">
      <c r="A17581" t="s">
        <v>40141</v>
      </c>
      <c r="B17581" t="s">
        <v>21402</v>
      </c>
      <c r="C17581" t="s">
        <v>21403</v>
      </c>
      <c r="D17581" t="str">
        <f>"1700"</f>
        <v>1700</v>
      </c>
      <c r="E17581" t="s">
        <v>60</v>
      </c>
      <c r="F17581" t="s">
        <v>19552</v>
      </c>
      <c r="G17581" t="s">
        <v>47091</v>
      </c>
      <c r="H17581" t="s">
        <v>47055</v>
      </c>
      <c r="I17581" t="s">
        <v>47127</v>
      </c>
      <c r="J17581" t="s">
        <v>47128</v>
      </c>
      <c r="K17581" t="s">
        <v>47113</v>
      </c>
      <c r="L17581">
        <v>12.73</v>
      </c>
      <c r="M17581">
        <v>26</v>
      </c>
      <c r="N17581">
        <v>0</v>
      </c>
      <c r="O17581">
        <v>26</v>
      </c>
      <c r="P17581">
        <v>0</v>
      </c>
    </row>
    <row r="17582" spans="1:16" x14ac:dyDescent="0.25">
      <c r="A17582" t="s">
        <v>40142</v>
      </c>
      <c r="B17582" t="s">
        <v>21402</v>
      </c>
      <c r="C17582" t="s">
        <v>21403</v>
      </c>
      <c r="D17582" t="str">
        <f>"4522"</f>
        <v>4522</v>
      </c>
      <c r="E17582" t="s">
        <v>11009</v>
      </c>
      <c r="F17582" t="s">
        <v>19552</v>
      </c>
      <c r="G17582" t="s">
        <v>47091</v>
      </c>
      <c r="H17582" t="s">
        <v>47055</v>
      </c>
      <c r="I17582" t="s">
        <v>47127</v>
      </c>
      <c r="J17582" t="s">
        <v>47128</v>
      </c>
      <c r="K17582" t="s">
        <v>47113</v>
      </c>
      <c r="L17582">
        <v>12.73</v>
      </c>
      <c r="M17582">
        <v>26</v>
      </c>
      <c r="N17582">
        <v>0</v>
      </c>
      <c r="O17582">
        <v>26</v>
      </c>
      <c r="P17582">
        <v>0</v>
      </c>
    </row>
    <row r="17583" spans="1:16" x14ac:dyDescent="0.25">
      <c r="A17583" t="s">
        <v>40143</v>
      </c>
      <c r="B17583" t="s">
        <v>21402</v>
      </c>
      <c r="C17583" t="s">
        <v>21403</v>
      </c>
      <c r="D17583" t="str">
        <f>"5306"</f>
        <v>5306</v>
      </c>
      <c r="E17583" t="s">
        <v>1991</v>
      </c>
      <c r="F17583" t="s">
        <v>19552</v>
      </c>
      <c r="G17583" t="s">
        <v>47091</v>
      </c>
      <c r="H17583" t="s">
        <v>47055</v>
      </c>
      <c r="I17583" t="s">
        <v>47127</v>
      </c>
      <c r="J17583" t="s">
        <v>47128</v>
      </c>
      <c r="K17583" t="s">
        <v>47113</v>
      </c>
      <c r="L17583">
        <v>12.73</v>
      </c>
      <c r="M17583">
        <v>26</v>
      </c>
      <c r="N17583">
        <v>0</v>
      </c>
      <c r="O17583">
        <v>26</v>
      </c>
      <c r="P17583">
        <v>0</v>
      </c>
    </row>
    <row r="17584" spans="1:16" x14ac:dyDescent="0.25">
      <c r="A17584" t="s">
        <v>40144</v>
      </c>
      <c r="B17584" t="s">
        <v>21402</v>
      </c>
      <c r="C17584" t="s">
        <v>21403</v>
      </c>
      <c r="D17584" t="str">
        <f>"6064"</f>
        <v>6064</v>
      </c>
      <c r="E17584" t="s">
        <v>87</v>
      </c>
      <c r="F17584" t="s">
        <v>19552</v>
      </c>
      <c r="G17584" t="s">
        <v>47091</v>
      </c>
      <c r="H17584" t="s">
        <v>47055</v>
      </c>
      <c r="I17584" t="s">
        <v>47127</v>
      </c>
      <c r="J17584" t="s">
        <v>47128</v>
      </c>
      <c r="K17584" t="s">
        <v>47113</v>
      </c>
      <c r="L17584">
        <v>12.73</v>
      </c>
      <c r="M17584">
        <v>26</v>
      </c>
      <c r="N17584">
        <v>0</v>
      </c>
      <c r="O17584">
        <v>26</v>
      </c>
      <c r="P17584">
        <v>0</v>
      </c>
    </row>
    <row r="17585" spans="1:16" x14ac:dyDescent="0.25">
      <c r="A17585" t="s">
        <v>40145</v>
      </c>
      <c r="B17585" t="s">
        <v>21402</v>
      </c>
      <c r="C17585" t="s">
        <v>21403</v>
      </c>
      <c r="D17585" t="str">
        <f>"6807"</f>
        <v>6807</v>
      </c>
      <c r="E17585" t="s">
        <v>21298</v>
      </c>
      <c r="F17585" t="s">
        <v>19552</v>
      </c>
      <c r="G17585" t="s">
        <v>47091</v>
      </c>
      <c r="H17585" t="s">
        <v>47055</v>
      </c>
      <c r="I17585" t="s">
        <v>47127</v>
      </c>
      <c r="J17585" t="s">
        <v>47128</v>
      </c>
      <c r="K17585" t="s">
        <v>47113</v>
      </c>
      <c r="L17585">
        <v>12.73</v>
      </c>
      <c r="M17585">
        <v>26</v>
      </c>
      <c r="N17585">
        <v>0</v>
      </c>
      <c r="O17585">
        <v>26</v>
      </c>
      <c r="P17585">
        <v>0</v>
      </c>
    </row>
    <row r="17586" spans="1:16" x14ac:dyDescent="0.25">
      <c r="A17586" t="s">
        <v>40146</v>
      </c>
      <c r="B17586" t="s">
        <v>21404</v>
      </c>
      <c r="C17586" t="s">
        <v>21405</v>
      </c>
      <c r="D17586" t="str">
        <f>"1378"</f>
        <v>1378</v>
      </c>
      <c r="E17586" t="s">
        <v>388</v>
      </c>
      <c r="F17586" t="s">
        <v>19552</v>
      </c>
      <c r="G17586" t="s">
        <v>47091</v>
      </c>
      <c r="H17586" t="s">
        <v>47055</v>
      </c>
      <c r="I17586" t="s">
        <v>47127</v>
      </c>
      <c r="J17586" t="s">
        <v>47128</v>
      </c>
      <c r="K17586" t="s">
        <v>47113</v>
      </c>
      <c r="L17586">
        <v>13.79</v>
      </c>
      <c r="M17586">
        <v>29</v>
      </c>
      <c r="N17586">
        <v>0</v>
      </c>
      <c r="O17586">
        <v>29</v>
      </c>
      <c r="P17586">
        <v>0</v>
      </c>
    </row>
    <row r="17587" spans="1:16" x14ac:dyDescent="0.25">
      <c r="A17587" t="s">
        <v>40147</v>
      </c>
      <c r="B17587" t="s">
        <v>21404</v>
      </c>
      <c r="C17587" t="s">
        <v>21405</v>
      </c>
      <c r="D17587" t="str">
        <f>"1383"</f>
        <v>1383</v>
      </c>
      <c r="E17587" t="s">
        <v>2273</v>
      </c>
      <c r="F17587" t="s">
        <v>19552</v>
      </c>
      <c r="G17587" t="s">
        <v>47091</v>
      </c>
      <c r="H17587" t="s">
        <v>47055</v>
      </c>
      <c r="I17587" t="s">
        <v>47127</v>
      </c>
      <c r="J17587" t="s">
        <v>47128</v>
      </c>
      <c r="K17587" t="s">
        <v>47113</v>
      </c>
      <c r="L17587">
        <v>13.79</v>
      </c>
      <c r="M17587">
        <v>29</v>
      </c>
      <c r="N17587">
        <v>0</v>
      </c>
      <c r="O17587">
        <v>29</v>
      </c>
      <c r="P17587">
        <v>0</v>
      </c>
    </row>
    <row r="17588" spans="1:16" x14ac:dyDescent="0.25">
      <c r="A17588" t="s">
        <v>40148</v>
      </c>
      <c r="B17588" t="s">
        <v>21404</v>
      </c>
      <c r="C17588" t="s">
        <v>21405</v>
      </c>
      <c r="D17588" t="str">
        <f>"1700"</f>
        <v>1700</v>
      </c>
      <c r="E17588" t="s">
        <v>60</v>
      </c>
      <c r="F17588" t="s">
        <v>19552</v>
      </c>
      <c r="G17588" t="s">
        <v>47091</v>
      </c>
      <c r="H17588" t="s">
        <v>47055</v>
      </c>
      <c r="I17588" t="s">
        <v>47127</v>
      </c>
      <c r="J17588" t="s">
        <v>47128</v>
      </c>
      <c r="K17588" t="s">
        <v>47113</v>
      </c>
      <c r="L17588">
        <v>13.79</v>
      </c>
      <c r="M17588">
        <v>29</v>
      </c>
      <c r="N17588">
        <v>0</v>
      </c>
      <c r="O17588">
        <v>29</v>
      </c>
      <c r="P17588">
        <v>0</v>
      </c>
    </row>
    <row r="17589" spans="1:16" x14ac:dyDescent="0.25">
      <c r="A17589" t="s">
        <v>40149</v>
      </c>
      <c r="B17589" t="s">
        <v>21404</v>
      </c>
      <c r="C17589" t="s">
        <v>21405</v>
      </c>
      <c r="D17589" t="str">
        <f>"5306"</f>
        <v>5306</v>
      </c>
      <c r="E17589" t="s">
        <v>1991</v>
      </c>
      <c r="F17589" t="s">
        <v>19552</v>
      </c>
      <c r="G17589" t="s">
        <v>47091</v>
      </c>
      <c r="H17589" t="s">
        <v>47055</v>
      </c>
      <c r="I17589" t="s">
        <v>47127</v>
      </c>
      <c r="J17589" t="s">
        <v>47128</v>
      </c>
      <c r="K17589" t="s">
        <v>47113</v>
      </c>
      <c r="L17589">
        <v>13.79</v>
      </c>
      <c r="M17589">
        <v>29</v>
      </c>
      <c r="N17589">
        <v>0</v>
      </c>
      <c r="O17589">
        <v>29</v>
      </c>
      <c r="P17589">
        <v>0</v>
      </c>
    </row>
    <row r="17590" spans="1:16" x14ac:dyDescent="0.25">
      <c r="A17590" t="s">
        <v>40150</v>
      </c>
      <c r="B17590" t="s">
        <v>21404</v>
      </c>
      <c r="C17590" t="s">
        <v>21405</v>
      </c>
      <c r="D17590" t="str">
        <f>"6064"</f>
        <v>6064</v>
      </c>
      <c r="E17590" t="s">
        <v>87</v>
      </c>
      <c r="F17590" t="s">
        <v>19552</v>
      </c>
      <c r="G17590" t="s">
        <v>47091</v>
      </c>
      <c r="H17590" t="s">
        <v>47055</v>
      </c>
      <c r="I17590" t="s">
        <v>47127</v>
      </c>
      <c r="J17590" t="s">
        <v>47128</v>
      </c>
      <c r="K17590" t="s">
        <v>47113</v>
      </c>
      <c r="L17590">
        <v>13.79</v>
      </c>
      <c r="M17590">
        <v>29</v>
      </c>
      <c r="N17590">
        <v>0</v>
      </c>
      <c r="O17590">
        <v>29</v>
      </c>
      <c r="P17590">
        <v>0</v>
      </c>
    </row>
    <row r="17591" spans="1:16" x14ac:dyDescent="0.25">
      <c r="A17591" t="s">
        <v>40151</v>
      </c>
      <c r="B17591" t="s">
        <v>21404</v>
      </c>
      <c r="C17591" t="s">
        <v>21405</v>
      </c>
      <c r="D17591" t="str">
        <f>"6807"</f>
        <v>6807</v>
      </c>
      <c r="E17591" t="s">
        <v>21298</v>
      </c>
      <c r="F17591" t="s">
        <v>19552</v>
      </c>
      <c r="G17591" t="s">
        <v>47091</v>
      </c>
      <c r="H17591" t="s">
        <v>47055</v>
      </c>
      <c r="I17591" t="s">
        <v>47127</v>
      </c>
      <c r="J17591" t="s">
        <v>47128</v>
      </c>
      <c r="K17591" t="s">
        <v>47113</v>
      </c>
      <c r="L17591">
        <v>13.79</v>
      </c>
      <c r="M17591">
        <v>29</v>
      </c>
      <c r="N17591">
        <v>0</v>
      </c>
      <c r="O17591">
        <v>29</v>
      </c>
      <c r="P17591">
        <v>0</v>
      </c>
    </row>
    <row r="17592" spans="1:16" x14ac:dyDescent="0.25">
      <c r="A17592" t="s">
        <v>40152</v>
      </c>
      <c r="B17592" t="s">
        <v>21406</v>
      </c>
      <c r="C17592" t="s">
        <v>19658</v>
      </c>
      <c r="D17592" t="str">
        <f>"1106"</f>
        <v>1106</v>
      </c>
      <c r="E17592" t="s">
        <v>460</v>
      </c>
      <c r="F17592" t="s">
        <v>19552</v>
      </c>
      <c r="G17592" t="s">
        <v>47091</v>
      </c>
      <c r="H17592" t="s">
        <v>47055</v>
      </c>
      <c r="I17592" t="s">
        <v>47127</v>
      </c>
      <c r="J17592" t="s">
        <v>47128</v>
      </c>
      <c r="K17592" t="s">
        <v>47113</v>
      </c>
      <c r="L17592">
        <v>11.65</v>
      </c>
      <c r="M17592">
        <v>26</v>
      </c>
      <c r="N17592">
        <v>0</v>
      </c>
      <c r="O17592">
        <v>26</v>
      </c>
      <c r="P17592">
        <v>0</v>
      </c>
    </row>
    <row r="17593" spans="1:16" x14ac:dyDescent="0.25">
      <c r="A17593" t="s">
        <v>40153</v>
      </c>
      <c r="B17593" t="s">
        <v>21406</v>
      </c>
      <c r="C17593" t="s">
        <v>19658</v>
      </c>
      <c r="D17593" t="str">
        <f>"1285"</f>
        <v>1285</v>
      </c>
      <c r="E17593" t="s">
        <v>2148</v>
      </c>
      <c r="F17593" t="s">
        <v>19552</v>
      </c>
      <c r="G17593" t="s">
        <v>47091</v>
      </c>
      <c r="H17593" t="s">
        <v>47055</v>
      </c>
      <c r="I17593" t="s">
        <v>47127</v>
      </c>
      <c r="J17593" t="s">
        <v>47128</v>
      </c>
      <c r="K17593" t="s">
        <v>47113</v>
      </c>
      <c r="L17593">
        <v>11.65</v>
      </c>
      <c r="M17593">
        <v>26</v>
      </c>
      <c r="N17593">
        <v>0</v>
      </c>
      <c r="O17593">
        <v>26</v>
      </c>
      <c r="P17593">
        <v>0</v>
      </c>
    </row>
    <row r="17594" spans="1:16" x14ac:dyDescent="0.25">
      <c r="A17594" t="s">
        <v>40154</v>
      </c>
      <c r="B17594" t="s">
        <v>21406</v>
      </c>
      <c r="C17594" t="s">
        <v>19658</v>
      </c>
      <c r="D17594" t="str">
        <f>"1704"</f>
        <v>1704</v>
      </c>
      <c r="E17594" t="s">
        <v>7181</v>
      </c>
      <c r="F17594" t="s">
        <v>19552</v>
      </c>
      <c r="G17594" t="s">
        <v>47091</v>
      </c>
      <c r="H17594" t="s">
        <v>47055</v>
      </c>
      <c r="I17594" t="s">
        <v>47127</v>
      </c>
      <c r="J17594" t="s">
        <v>47128</v>
      </c>
      <c r="K17594" t="s">
        <v>47113</v>
      </c>
      <c r="L17594">
        <v>11.65</v>
      </c>
      <c r="M17594">
        <v>26</v>
      </c>
      <c r="N17594">
        <v>0</v>
      </c>
      <c r="O17594">
        <v>26</v>
      </c>
      <c r="P17594">
        <v>0</v>
      </c>
    </row>
    <row r="17595" spans="1:16" x14ac:dyDescent="0.25">
      <c r="A17595" t="s">
        <v>40155</v>
      </c>
      <c r="B17595" t="s">
        <v>21407</v>
      </c>
      <c r="C17595" t="s">
        <v>19658</v>
      </c>
      <c r="D17595" t="str">
        <f>"1106"</f>
        <v>1106</v>
      </c>
      <c r="E17595" t="s">
        <v>460</v>
      </c>
      <c r="F17595" t="s">
        <v>19559</v>
      </c>
      <c r="G17595" t="s">
        <v>47091</v>
      </c>
      <c r="H17595" t="s">
        <v>47055</v>
      </c>
      <c r="I17595" t="s">
        <v>47127</v>
      </c>
      <c r="J17595" t="s">
        <v>47128</v>
      </c>
      <c r="K17595" t="s">
        <v>47113</v>
      </c>
      <c r="L17595">
        <v>10.59</v>
      </c>
      <c r="M17595">
        <v>26</v>
      </c>
      <c r="N17595">
        <v>0</v>
      </c>
      <c r="O17595">
        <v>26</v>
      </c>
      <c r="P17595">
        <v>0</v>
      </c>
    </row>
    <row r="17596" spans="1:16" x14ac:dyDescent="0.25">
      <c r="A17596" t="s">
        <v>40156</v>
      </c>
      <c r="B17596" t="s">
        <v>21407</v>
      </c>
      <c r="C17596" t="s">
        <v>19658</v>
      </c>
      <c r="D17596" t="str">
        <f>"1700"</f>
        <v>1700</v>
      </c>
      <c r="E17596" t="s">
        <v>60</v>
      </c>
      <c r="F17596" t="s">
        <v>19559</v>
      </c>
      <c r="G17596" t="s">
        <v>47091</v>
      </c>
      <c r="H17596" t="s">
        <v>47055</v>
      </c>
      <c r="I17596" t="s">
        <v>47127</v>
      </c>
      <c r="J17596" t="s">
        <v>47128</v>
      </c>
      <c r="K17596" t="s">
        <v>47113</v>
      </c>
      <c r="L17596">
        <v>10.59</v>
      </c>
      <c r="M17596">
        <v>26</v>
      </c>
      <c r="N17596">
        <v>0</v>
      </c>
      <c r="O17596">
        <v>26</v>
      </c>
      <c r="P17596">
        <v>0</v>
      </c>
    </row>
    <row r="17597" spans="1:16" x14ac:dyDescent="0.25">
      <c r="A17597" t="s">
        <v>40157</v>
      </c>
      <c r="B17597" t="s">
        <v>21407</v>
      </c>
      <c r="C17597" t="s">
        <v>19658</v>
      </c>
      <c r="D17597" t="str">
        <f>"4143"</f>
        <v>4143</v>
      </c>
      <c r="E17597" t="s">
        <v>16626</v>
      </c>
      <c r="F17597" t="s">
        <v>19559</v>
      </c>
      <c r="G17597" t="s">
        <v>47091</v>
      </c>
      <c r="H17597" t="s">
        <v>47055</v>
      </c>
      <c r="I17597" t="s">
        <v>47127</v>
      </c>
      <c r="J17597" t="s">
        <v>47128</v>
      </c>
      <c r="K17597" t="s">
        <v>47113</v>
      </c>
      <c r="L17597">
        <v>10.59</v>
      </c>
      <c r="M17597">
        <v>26</v>
      </c>
      <c r="N17597">
        <v>0</v>
      </c>
      <c r="O17597">
        <v>26</v>
      </c>
      <c r="P17597">
        <v>0</v>
      </c>
    </row>
    <row r="17598" spans="1:16" x14ac:dyDescent="0.25">
      <c r="A17598" t="s">
        <v>40158</v>
      </c>
      <c r="B17598" t="s">
        <v>21407</v>
      </c>
      <c r="C17598" t="s">
        <v>19658</v>
      </c>
      <c r="D17598" t="str">
        <f>"6807"</f>
        <v>6807</v>
      </c>
      <c r="E17598" t="s">
        <v>21298</v>
      </c>
      <c r="F17598" t="s">
        <v>19559</v>
      </c>
      <c r="G17598" t="s">
        <v>47091</v>
      </c>
      <c r="H17598" t="s">
        <v>47055</v>
      </c>
      <c r="I17598" t="s">
        <v>47127</v>
      </c>
      <c r="J17598" t="s">
        <v>47128</v>
      </c>
      <c r="K17598" t="s">
        <v>47113</v>
      </c>
      <c r="L17598">
        <v>10.59</v>
      </c>
      <c r="M17598">
        <v>26</v>
      </c>
      <c r="N17598">
        <v>0</v>
      </c>
      <c r="O17598">
        <v>26</v>
      </c>
      <c r="P17598">
        <v>0</v>
      </c>
    </row>
    <row r="17599" spans="1:16" x14ac:dyDescent="0.25">
      <c r="A17599" t="s">
        <v>40159</v>
      </c>
      <c r="B17599" t="s">
        <v>21408</v>
      </c>
      <c r="C17599" t="s">
        <v>21409</v>
      </c>
      <c r="D17599" t="str">
        <f>"1106"</f>
        <v>1106</v>
      </c>
      <c r="E17599" t="s">
        <v>460</v>
      </c>
      <c r="F17599" t="s">
        <v>19559</v>
      </c>
      <c r="G17599" t="s">
        <v>47091</v>
      </c>
      <c r="H17599" t="s">
        <v>47055</v>
      </c>
      <c r="I17599" t="s">
        <v>47127</v>
      </c>
      <c r="J17599" t="s">
        <v>47128</v>
      </c>
      <c r="K17599" t="s">
        <v>47113</v>
      </c>
      <c r="L17599">
        <v>10.59</v>
      </c>
      <c r="M17599">
        <v>26</v>
      </c>
      <c r="N17599">
        <v>0</v>
      </c>
      <c r="O17599">
        <v>26</v>
      </c>
      <c r="P17599">
        <v>0</v>
      </c>
    </row>
    <row r="17600" spans="1:16" x14ac:dyDescent="0.25">
      <c r="A17600" t="s">
        <v>40160</v>
      </c>
      <c r="B17600" t="s">
        <v>21408</v>
      </c>
      <c r="C17600" t="s">
        <v>21409</v>
      </c>
      <c r="D17600" t="str">
        <f>"1700"</f>
        <v>1700</v>
      </c>
      <c r="E17600" t="s">
        <v>60</v>
      </c>
      <c r="F17600" t="s">
        <v>19559</v>
      </c>
      <c r="G17600" t="s">
        <v>47091</v>
      </c>
      <c r="H17600" t="s">
        <v>47055</v>
      </c>
      <c r="I17600" t="s">
        <v>47127</v>
      </c>
      <c r="J17600" t="s">
        <v>47128</v>
      </c>
      <c r="K17600" t="s">
        <v>47113</v>
      </c>
      <c r="L17600">
        <v>10.59</v>
      </c>
      <c r="M17600">
        <v>26</v>
      </c>
      <c r="N17600">
        <v>0</v>
      </c>
      <c r="O17600">
        <v>26</v>
      </c>
      <c r="P17600">
        <v>0</v>
      </c>
    </row>
    <row r="17601" spans="1:16" x14ac:dyDescent="0.25">
      <c r="A17601" t="s">
        <v>40161</v>
      </c>
      <c r="B17601" t="s">
        <v>21408</v>
      </c>
      <c r="C17601" t="s">
        <v>21409</v>
      </c>
      <c r="D17601" t="str">
        <f>"4143"</f>
        <v>4143</v>
      </c>
      <c r="E17601" t="s">
        <v>16626</v>
      </c>
      <c r="F17601" t="s">
        <v>19559</v>
      </c>
      <c r="G17601" t="s">
        <v>47091</v>
      </c>
      <c r="H17601" t="s">
        <v>47055</v>
      </c>
      <c r="I17601" t="s">
        <v>47127</v>
      </c>
      <c r="J17601" t="s">
        <v>47128</v>
      </c>
      <c r="K17601" t="s">
        <v>47113</v>
      </c>
      <c r="L17601">
        <v>10.59</v>
      </c>
      <c r="M17601">
        <v>26</v>
      </c>
      <c r="N17601">
        <v>0</v>
      </c>
      <c r="O17601">
        <v>26</v>
      </c>
      <c r="P17601">
        <v>0</v>
      </c>
    </row>
    <row r="17602" spans="1:16" x14ac:dyDescent="0.25">
      <c r="A17602" t="s">
        <v>40162</v>
      </c>
      <c r="B17602" t="s">
        <v>21408</v>
      </c>
      <c r="C17602" t="s">
        <v>21409</v>
      </c>
      <c r="D17602" t="str">
        <f>"6807"</f>
        <v>6807</v>
      </c>
      <c r="E17602" t="s">
        <v>21298</v>
      </c>
      <c r="F17602" t="s">
        <v>19559</v>
      </c>
      <c r="G17602" t="s">
        <v>47091</v>
      </c>
      <c r="H17602" t="s">
        <v>47055</v>
      </c>
      <c r="I17602" t="s">
        <v>47127</v>
      </c>
      <c r="J17602" t="s">
        <v>47128</v>
      </c>
      <c r="K17602" t="s">
        <v>47113</v>
      </c>
      <c r="L17602">
        <v>10.59</v>
      </c>
      <c r="M17602">
        <v>26</v>
      </c>
      <c r="N17602">
        <v>0</v>
      </c>
      <c r="O17602">
        <v>26</v>
      </c>
      <c r="P17602">
        <v>0</v>
      </c>
    </row>
    <row r="17603" spans="1:16" x14ac:dyDescent="0.25">
      <c r="A17603" t="s">
        <v>22848</v>
      </c>
      <c r="B17603" t="s">
        <v>21410</v>
      </c>
      <c r="C17603" t="s">
        <v>21411</v>
      </c>
      <c r="D17603" t="str">
        <f>"1106"</f>
        <v>1106</v>
      </c>
      <c r="E17603" t="s">
        <v>460</v>
      </c>
      <c r="F17603" t="s">
        <v>19559</v>
      </c>
      <c r="G17603" t="s">
        <v>47091</v>
      </c>
      <c r="H17603" t="s">
        <v>47055</v>
      </c>
      <c r="I17603" t="s">
        <v>47127</v>
      </c>
      <c r="J17603" t="s">
        <v>47128</v>
      </c>
      <c r="K17603" t="s">
        <v>47113</v>
      </c>
      <c r="L17603">
        <v>11.33</v>
      </c>
      <c r="M17603">
        <v>29</v>
      </c>
      <c r="N17603">
        <v>0</v>
      </c>
      <c r="O17603">
        <v>29</v>
      </c>
      <c r="P17603">
        <v>0</v>
      </c>
    </row>
    <row r="17604" spans="1:16" x14ac:dyDescent="0.25">
      <c r="A17604" t="s">
        <v>22849</v>
      </c>
      <c r="B17604" t="s">
        <v>21410</v>
      </c>
      <c r="C17604" t="s">
        <v>21411</v>
      </c>
      <c r="D17604" t="str">
        <f>"1700"</f>
        <v>1700</v>
      </c>
      <c r="E17604" t="s">
        <v>60</v>
      </c>
      <c r="F17604" t="s">
        <v>19559</v>
      </c>
      <c r="G17604" t="s">
        <v>47091</v>
      </c>
      <c r="H17604" t="s">
        <v>47055</v>
      </c>
      <c r="I17604" t="s">
        <v>47127</v>
      </c>
      <c r="J17604" t="s">
        <v>47128</v>
      </c>
      <c r="K17604" t="s">
        <v>47113</v>
      </c>
      <c r="L17604">
        <v>11.33</v>
      </c>
      <c r="M17604">
        <v>29</v>
      </c>
      <c r="N17604">
        <v>0</v>
      </c>
      <c r="O17604">
        <v>29</v>
      </c>
      <c r="P17604">
        <v>0</v>
      </c>
    </row>
    <row r="17605" spans="1:16" x14ac:dyDescent="0.25">
      <c r="A17605" t="s">
        <v>40163</v>
      </c>
      <c r="B17605" t="s">
        <v>21410</v>
      </c>
      <c r="C17605" t="s">
        <v>21411</v>
      </c>
      <c r="D17605" t="str">
        <f>"4143"</f>
        <v>4143</v>
      </c>
      <c r="E17605" t="s">
        <v>16626</v>
      </c>
      <c r="F17605" t="s">
        <v>19559</v>
      </c>
      <c r="G17605" t="s">
        <v>47091</v>
      </c>
      <c r="H17605" t="s">
        <v>47055</v>
      </c>
      <c r="I17605" t="s">
        <v>47127</v>
      </c>
      <c r="J17605" t="s">
        <v>47128</v>
      </c>
      <c r="K17605" t="s">
        <v>47113</v>
      </c>
      <c r="L17605">
        <v>11.33</v>
      </c>
      <c r="M17605">
        <v>29</v>
      </c>
      <c r="N17605">
        <v>0</v>
      </c>
      <c r="O17605">
        <v>29</v>
      </c>
      <c r="P17605">
        <v>0</v>
      </c>
    </row>
    <row r="17606" spans="1:16" x14ac:dyDescent="0.25">
      <c r="A17606" t="s">
        <v>40164</v>
      </c>
      <c r="B17606" t="s">
        <v>21412</v>
      </c>
      <c r="C17606" t="s">
        <v>21413</v>
      </c>
      <c r="D17606" t="str">
        <f>"1106"</f>
        <v>1106</v>
      </c>
      <c r="E17606" t="s">
        <v>460</v>
      </c>
      <c r="F17606" t="s">
        <v>19559</v>
      </c>
      <c r="G17606" t="s">
        <v>47091</v>
      </c>
      <c r="H17606" t="s">
        <v>47055</v>
      </c>
      <c r="I17606" t="s">
        <v>47127</v>
      </c>
      <c r="J17606" t="s">
        <v>47128</v>
      </c>
      <c r="K17606" t="s">
        <v>47113</v>
      </c>
      <c r="L17606">
        <v>11.65</v>
      </c>
      <c r="M17606">
        <v>26</v>
      </c>
      <c r="N17606">
        <v>0</v>
      </c>
      <c r="O17606">
        <v>26</v>
      </c>
      <c r="P17606">
        <v>0</v>
      </c>
    </row>
    <row r="17607" spans="1:16" x14ac:dyDescent="0.25">
      <c r="A17607" t="s">
        <v>40165</v>
      </c>
      <c r="B17607" t="s">
        <v>21412</v>
      </c>
      <c r="C17607" t="s">
        <v>21413</v>
      </c>
      <c r="D17607" t="str">
        <f>"1700"</f>
        <v>1700</v>
      </c>
      <c r="E17607" t="s">
        <v>60</v>
      </c>
      <c r="F17607" t="s">
        <v>19559</v>
      </c>
      <c r="G17607" t="s">
        <v>47091</v>
      </c>
      <c r="H17607" t="s">
        <v>47055</v>
      </c>
      <c r="I17607" t="s">
        <v>47127</v>
      </c>
      <c r="J17607" t="s">
        <v>47128</v>
      </c>
      <c r="K17607" t="s">
        <v>47113</v>
      </c>
      <c r="L17607">
        <v>11.65</v>
      </c>
      <c r="M17607">
        <v>26</v>
      </c>
      <c r="N17607">
        <v>0</v>
      </c>
      <c r="O17607">
        <v>26</v>
      </c>
      <c r="P17607">
        <v>0</v>
      </c>
    </row>
    <row r="17608" spans="1:16" x14ac:dyDescent="0.25">
      <c r="A17608" t="s">
        <v>40166</v>
      </c>
      <c r="B17608" t="s">
        <v>21412</v>
      </c>
      <c r="C17608" t="s">
        <v>21413</v>
      </c>
      <c r="D17608" t="str">
        <f>"4143"</f>
        <v>4143</v>
      </c>
      <c r="E17608" t="s">
        <v>16626</v>
      </c>
      <c r="F17608" t="s">
        <v>19559</v>
      </c>
      <c r="G17608" t="s">
        <v>47091</v>
      </c>
      <c r="H17608" t="s">
        <v>47055</v>
      </c>
      <c r="I17608" t="s">
        <v>47127</v>
      </c>
      <c r="J17608" t="s">
        <v>47128</v>
      </c>
      <c r="K17608" t="s">
        <v>47113</v>
      </c>
      <c r="L17608">
        <v>11.65</v>
      </c>
      <c r="M17608">
        <v>26</v>
      </c>
      <c r="N17608">
        <v>0</v>
      </c>
      <c r="O17608">
        <v>26</v>
      </c>
      <c r="P17608">
        <v>0</v>
      </c>
    </row>
    <row r="17609" spans="1:16" x14ac:dyDescent="0.25">
      <c r="A17609" t="s">
        <v>40167</v>
      </c>
      <c r="B17609" t="s">
        <v>21412</v>
      </c>
      <c r="C17609" t="s">
        <v>21413</v>
      </c>
      <c r="D17609" t="str">
        <f>"6807"</f>
        <v>6807</v>
      </c>
      <c r="E17609" t="s">
        <v>21298</v>
      </c>
      <c r="F17609" t="s">
        <v>19559</v>
      </c>
      <c r="G17609" t="s">
        <v>47091</v>
      </c>
      <c r="H17609" t="s">
        <v>47055</v>
      </c>
      <c r="I17609" t="s">
        <v>47127</v>
      </c>
      <c r="J17609" t="s">
        <v>47128</v>
      </c>
      <c r="K17609" t="s">
        <v>47113</v>
      </c>
      <c r="L17609">
        <v>11.65</v>
      </c>
      <c r="M17609">
        <v>26</v>
      </c>
      <c r="N17609">
        <v>0</v>
      </c>
      <c r="O17609">
        <v>26</v>
      </c>
      <c r="P17609">
        <v>0</v>
      </c>
    </row>
    <row r="17610" spans="1:16" x14ac:dyDescent="0.25">
      <c r="A17610" t="s">
        <v>22850</v>
      </c>
      <c r="B17610" t="s">
        <v>21414</v>
      </c>
      <c r="C17610" t="s">
        <v>21415</v>
      </c>
      <c r="D17610" t="str">
        <f>"1106"</f>
        <v>1106</v>
      </c>
      <c r="E17610" t="s">
        <v>460</v>
      </c>
      <c r="F17610" t="s">
        <v>19552</v>
      </c>
      <c r="G17610" t="s">
        <v>47097</v>
      </c>
      <c r="H17610" t="s">
        <v>47055</v>
      </c>
      <c r="I17610" t="s">
        <v>47127</v>
      </c>
      <c r="J17610" t="s">
        <v>47128</v>
      </c>
      <c r="K17610" t="s">
        <v>47113</v>
      </c>
      <c r="L17610">
        <v>12.3</v>
      </c>
      <c r="M17610">
        <v>29</v>
      </c>
      <c r="N17610">
        <v>0</v>
      </c>
      <c r="O17610">
        <v>29</v>
      </c>
      <c r="P17610">
        <v>0</v>
      </c>
    </row>
    <row r="17611" spans="1:16" x14ac:dyDescent="0.25">
      <c r="A17611" t="s">
        <v>22851</v>
      </c>
      <c r="B17611" t="s">
        <v>21414</v>
      </c>
      <c r="C17611" t="s">
        <v>21415</v>
      </c>
      <c r="D17611" t="str">
        <f>"1285"</f>
        <v>1285</v>
      </c>
      <c r="E17611" t="s">
        <v>2148</v>
      </c>
      <c r="F17611" t="s">
        <v>19552</v>
      </c>
      <c r="G17611" t="s">
        <v>47097</v>
      </c>
      <c r="H17611" t="s">
        <v>47055</v>
      </c>
      <c r="I17611" t="s">
        <v>47127</v>
      </c>
      <c r="J17611" t="s">
        <v>47128</v>
      </c>
      <c r="K17611" t="s">
        <v>47113</v>
      </c>
      <c r="L17611">
        <v>12.3</v>
      </c>
      <c r="M17611">
        <v>29</v>
      </c>
      <c r="N17611">
        <v>0</v>
      </c>
      <c r="O17611">
        <v>29</v>
      </c>
      <c r="P17611">
        <v>0</v>
      </c>
    </row>
    <row r="17612" spans="1:16" x14ac:dyDescent="0.25">
      <c r="A17612" t="s">
        <v>40168</v>
      </c>
      <c r="B17612" t="s">
        <v>21414</v>
      </c>
      <c r="C17612" t="s">
        <v>21415</v>
      </c>
      <c r="D17612" t="str">
        <f>"1704"</f>
        <v>1704</v>
      </c>
      <c r="E17612" t="s">
        <v>7181</v>
      </c>
      <c r="F17612" t="s">
        <v>19552</v>
      </c>
      <c r="G17612" t="s">
        <v>47097</v>
      </c>
      <c r="H17612" t="s">
        <v>47055</v>
      </c>
      <c r="I17612" t="s">
        <v>47127</v>
      </c>
      <c r="J17612" t="s">
        <v>47128</v>
      </c>
      <c r="K17612" t="s">
        <v>47113</v>
      </c>
      <c r="L17612">
        <v>12.3</v>
      </c>
      <c r="M17612">
        <v>29</v>
      </c>
      <c r="N17612">
        <v>0</v>
      </c>
      <c r="O17612">
        <v>29</v>
      </c>
      <c r="P17612">
        <v>0</v>
      </c>
    </row>
    <row r="17613" spans="1:16" x14ac:dyDescent="0.25">
      <c r="A17613" t="s">
        <v>40169</v>
      </c>
      <c r="B17613" t="s">
        <v>21416</v>
      </c>
      <c r="C17613" t="s">
        <v>21417</v>
      </c>
      <c r="D17613" t="str">
        <f>"1001"</f>
        <v>1001</v>
      </c>
      <c r="E17613" t="s">
        <v>42</v>
      </c>
      <c r="F17613" t="s">
        <v>19552</v>
      </c>
      <c r="G17613" t="s">
        <v>47091</v>
      </c>
      <c r="H17613" t="s">
        <v>47055</v>
      </c>
      <c r="I17613" t="s">
        <v>47120</v>
      </c>
      <c r="J17613" t="s">
        <v>47121</v>
      </c>
      <c r="K17613" t="s">
        <v>47113</v>
      </c>
      <c r="L17613">
        <v>15.04</v>
      </c>
      <c r="M17613">
        <v>33</v>
      </c>
      <c r="N17613">
        <v>0</v>
      </c>
      <c r="O17613">
        <v>33</v>
      </c>
      <c r="P17613">
        <v>0</v>
      </c>
    </row>
    <row r="17614" spans="1:16" x14ac:dyDescent="0.25">
      <c r="A17614" t="s">
        <v>40170</v>
      </c>
      <c r="B17614" t="s">
        <v>21416</v>
      </c>
      <c r="C17614" t="s">
        <v>21417</v>
      </c>
      <c r="D17614" t="str">
        <f>"4922"</f>
        <v>4922</v>
      </c>
      <c r="E17614" t="s">
        <v>4175</v>
      </c>
      <c r="F17614" t="s">
        <v>19552</v>
      </c>
      <c r="G17614" t="s">
        <v>47091</v>
      </c>
      <c r="H17614" t="s">
        <v>47055</v>
      </c>
      <c r="I17614" t="s">
        <v>47120</v>
      </c>
      <c r="J17614" t="s">
        <v>47121</v>
      </c>
      <c r="K17614" t="s">
        <v>47113</v>
      </c>
      <c r="L17614">
        <v>15.04</v>
      </c>
      <c r="M17614">
        <v>33</v>
      </c>
      <c r="N17614">
        <v>0</v>
      </c>
      <c r="O17614">
        <v>33</v>
      </c>
      <c r="P17614">
        <v>0</v>
      </c>
    </row>
    <row r="17615" spans="1:16" x14ac:dyDescent="0.25">
      <c r="A17615" t="s">
        <v>40171</v>
      </c>
      <c r="B17615" t="s">
        <v>21418</v>
      </c>
      <c r="C17615" t="s">
        <v>21419</v>
      </c>
      <c r="D17615" t="str">
        <f>"1001"</f>
        <v>1001</v>
      </c>
      <c r="E17615" t="s">
        <v>42</v>
      </c>
      <c r="F17615" t="s">
        <v>19552</v>
      </c>
      <c r="G17615" t="s">
        <v>47091</v>
      </c>
      <c r="H17615" t="s">
        <v>47055</v>
      </c>
      <c r="I17615" t="s">
        <v>47120</v>
      </c>
      <c r="J17615" t="s">
        <v>47121</v>
      </c>
      <c r="K17615" t="s">
        <v>47113</v>
      </c>
      <c r="L17615">
        <v>16.829999999999998</v>
      </c>
      <c r="M17615">
        <v>37</v>
      </c>
      <c r="N17615">
        <v>0</v>
      </c>
      <c r="O17615">
        <v>37</v>
      </c>
      <c r="P17615">
        <v>0</v>
      </c>
    </row>
    <row r="17616" spans="1:16" x14ac:dyDescent="0.25">
      <c r="A17616" t="s">
        <v>40172</v>
      </c>
      <c r="B17616" t="s">
        <v>21418</v>
      </c>
      <c r="C17616" t="s">
        <v>21419</v>
      </c>
      <c r="D17616" t="str">
        <f>"4922"</f>
        <v>4922</v>
      </c>
      <c r="E17616" t="s">
        <v>4175</v>
      </c>
      <c r="F17616" t="s">
        <v>19552</v>
      </c>
      <c r="G17616" t="s">
        <v>47091</v>
      </c>
      <c r="H17616" t="s">
        <v>47055</v>
      </c>
      <c r="I17616" t="s">
        <v>47120</v>
      </c>
      <c r="J17616" t="s">
        <v>47121</v>
      </c>
      <c r="K17616" t="s">
        <v>47113</v>
      </c>
      <c r="L17616">
        <v>16.829999999999998</v>
      </c>
      <c r="M17616">
        <v>37</v>
      </c>
      <c r="N17616">
        <v>0</v>
      </c>
      <c r="O17616">
        <v>37</v>
      </c>
      <c r="P17616">
        <v>0</v>
      </c>
    </row>
    <row r="17617" spans="1:16" x14ac:dyDescent="0.25">
      <c r="A17617" t="s">
        <v>40173</v>
      </c>
      <c r="B17617" t="s">
        <v>21420</v>
      </c>
      <c r="C17617" t="s">
        <v>21421</v>
      </c>
      <c r="D17617" t="str">
        <f>"1001"</f>
        <v>1001</v>
      </c>
      <c r="E17617" t="s">
        <v>42</v>
      </c>
      <c r="F17617" t="s">
        <v>19552</v>
      </c>
      <c r="G17617" t="s">
        <v>47091</v>
      </c>
      <c r="H17617" t="s">
        <v>47055</v>
      </c>
      <c r="I17617" t="s">
        <v>47120</v>
      </c>
      <c r="J17617" t="s">
        <v>47121</v>
      </c>
      <c r="K17617" t="s">
        <v>47113</v>
      </c>
      <c r="L17617">
        <v>13.86</v>
      </c>
      <c r="M17617">
        <v>33</v>
      </c>
      <c r="N17617">
        <v>0</v>
      </c>
      <c r="O17617">
        <v>33</v>
      </c>
      <c r="P17617">
        <v>0</v>
      </c>
    </row>
    <row r="17618" spans="1:16" x14ac:dyDescent="0.25">
      <c r="A17618" t="s">
        <v>40174</v>
      </c>
      <c r="B17618" t="s">
        <v>21420</v>
      </c>
      <c r="C17618" t="s">
        <v>21421</v>
      </c>
      <c r="D17618" t="str">
        <f>"4922"</f>
        <v>4922</v>
      </c>
      <c r="E17618" t="s">
        <v>4175</v>
      </c>
      <c r="F17618" t="s">
        <v>19552</v>
      </c>
      <c r="G17618" t="s">
        <v>47091</v>
      </c>
      <c r="H17618" t="s">
        <v>47055</v>
      </c>
      <c r="I17618" t="s">
        <v>47120</v>
      </c>
      <c r="J17618" t="s">
        <v>47121</v>
      </c>
      <c r="K17618" t="s">
        <v>47113</v>
      </c>
      <c r="L17618">
        <v>13.86</v>
      </c>
      <c r="M17618">
        <v>33</v>
      </c>
      <c r="N17618">
        <v>0</v>
      </c>
      <c r="O17618">
        <v>33</v>
      </c>
      <c r="P17618">
        <v>0</v>
      </c>
    </row>
    <row r="17619" spans="1:16" x14ac:dyDescent="0.25">
      <c r="A17619" t="s">
        <v>40175</v>
      </c>
      <c r="B17619" t="s">
        <v>21422</v>
      </c>
      <c r="C17619" t="s">
        <v>21423</v>
      </c>
      <c r="D17619" t="str">
        <f>"1001"</f>
        <v>1001</v>
      </c>
      <c r="E17619" t="s">
        <v>42</v>
      </c>
      <c r="F17619" t="s">
        <v>19552</v>
      </c>
      <c r="G17619" t="s">
        <v>47091</v>
      </c>
      <c r="H17619" t="s">
        <v>47055</v>
      </c>
      <c r="I17619" t="s">
        <v>47120</v>
      </c>
      <c r="J17619" t="s">
        <v>47121</v>
      </c>
      <c r="K17619" t="s">
        <v>47113</v>
      </c>
      <c r="L17619">
        <v>16.829999999999998</v>
      </c>
      <c r="M17619">
        <v>37</v>
      </c>
      <c r="N17619">
        <v>0</v>
      </c>
      <c r="O17619">
        <v>37</v>
      </c>
      <c r="P17619">
        <v>0</v>
      </c>
    </row>
    <row r="17620" spans="1:16" x14ac:dyDescent="0.25">
      <c r="A17620" t="s">
        <v>22852</v>
      </c>
      <c r="B17620" t="s">
        <v>21422</v>
      </c>
      <c r="C17620" t="s">
        <v>21423</v>
      </c>
      <c r="D17620" t="str">
        <f>"1383"</f>
        <v>1383</v>
      </c>
      <c r="E17620" t="s">
        <v>2273</v>
      </c>
      <c r="F17620" t="s">
        <v>19552</v>
      </c>
      <c r="G17620" t="s">
        <v>47091</v>
      </c>
      <c r="H17620" t="s">
        <v>47055</v>
      </c>
      <c r="I17620" t="s">
        <v>47120</v>
      </c>
      <c r="J17620" t="s">
        <v>47121</v>
      </c>
      <c r="K17620" t="s">
        <v>47113</v>
      </c>
      <c r="L17620">
        <v>16.829999999999998</v>
      </c>
      <c r="M17620">
        <v>37</v>
      </c>
      <c r="N17620">
        <v>0</v>
      </c>
      <c r="O17620">
        <v>37</v>
      </c>
      <c r="P17620">
        <v>0</v>
      </c>
    </row>
    <row r="17621" spans="1:16" x14ac:dyDescent="0.25">
      <c r="A17621" t="s">
        <v>40176</v>
      </c>
      <c r="B17621" t="s">
        <v>21422</v>
      </c>
      <c r="C17621" t="s">
        <v>21423</v>
      </c>
      <c r="D17621" t="str">
        <f>"4922"</f>
        <v>4922</v>
      </c>
      <c r="E17621" t="s">
        <v>4175</v>
      </c>
      <c r="F17621" t="s">
        <v>19552</v>
      </c>
      <c r="G17621" t="s">
        <v>47091</v>
      </c>
      <c r="H17621" t="s">
        <v>47055</v>
      </c>
      <c r="I17621" t="s">
        <v>47120</v>
      </c>
      <c r="J17621" t="s">
        <v>47121</v>
      </c>
      <c r="K17621" t="s">
        <v>47113</v>
      </c>
      <c r="L17621">
        <v>16.829999999999998</v>
      </c>
      <c r="M17621">
        <v>37</v>
      </c>
      <c r="N17621">
        <v>0</v>
      </c>
      <c r="O17621">
        <v>37</v>
      </c>
      <c r="P17621">
        <v>0</v>
      </c>
    </row>
    <row r="17622" spans="1:16" x14ac:dyDescent="0.25">
      <c r="A17622" t="s">
        <v>40177</v>
      </c>
      <c r="B17622" t="s">
        <v>21424</v>
      </c>
      <c r="C17622" t="s">
        <v>21425</v>
      </c>
      <c r="D17622" t="str">
        <f>"1001"</f>
        <v>1001</v>
      </c>
      <c r="E17622" t="s">
        <v>42</v>
      </c>
      <c r="F17622" t="s">
        <v>19552</v>
      </c>
      <c r="G17622" t="s">
        <v>47091</v>
      </c>
      <c r="H17622" t="s">
        <v>47055</v>
      </c>
      <c r="I17622" t="s">
        <v>47120</v>
      </c>
      <c r="J17622" t="s">
        <v>47121</v>
      </c>
      <c r="K17622" t="s">
        <v>47113</v>
      </c>
      <c r="L17622">
        <v>16.329999999999998</v>
      </c>
      <c r="M17622">
        <v>37</v>
      </c>
      <c r="N17622">
        <v>0</v>
      </c>
      <c r="O17622">
        <v>37</v>
      </c>
      <c r="P17622">
        <v>0</v>
      </c>
    </row>
    <row r="17623" spans="1:16" x14ac:dyDescent="0.25">
      <c r="A17623" t="s">
        <v>22853</v>
      </c>
      <c r="B17623" t="s">
        <v>21424</v>
      </c>
      <c r="C17623" t="s">
        <v>21425</v>
      </c>
      <c r="D17623" t="str">
        <f>"1383"</f>
        <v>1383</v>
      </c>
      <c r="E17623" t="s">
        <v>2273</v>
      </c>
      <c r="F17623" t="s">
        <v>19552</v>
      </c>
      <c r="G17623" t="s">
        <v>47091</v>
      </c>
      <c r="H17623" t="s">
        <v>47055</v>
      </c>
      <c r="I17623" t="s">
        <v>47120</v>
      </c>
      <c r="J17623" t="s">
        <v>47121</v>
      </c>
      <c r="K17623" t="s">
        <v>47113</v>
      </c>
      <c r="L17623">
        <v>16.329999999999998</v>
      </c>
      <c r="M17623">
        <v>37</v>
      </c>
      <c r="N17623">
        <v>0</v>
      </c>
      <c r="O17623">
        <v>37</v>
      </c>
      <c r="P17623">
        <v>0</v>
      </c>
    </row>
    <row r="17624" spans="1:16" x14ac:dyDescent="0.25">
      <c r="A17624" t="s">
        <v>22854</v>
      </c>
      <c r="B17624" t="s">
        <v>21424</v>
      </c>
      <c r="C17624" t="s">
        <v>21425</v>
      </c>
      <c r="D17624" t="str">
        <f>"4922"</f>
        <v>4922</v>
      </c>
      <c r="E17624" t="s">
        <v>4175</v>
      </c>
      <c r="F17624" t="s">
        <v>19552</v>
      </c>
      <c r="G17624" t="s">
        <v>47091</v>
      </c>
      <c r="H17624" t="s">
        <v>47055</v>
      </c>
      <c r="I17624" t="s">
        <v>47120</v>
      </c>
      <c r="J17624" t="s">
        <v>47121</v>
      </c>
      <c r="K17624" t="s">
        <v>47113</v>
      </c>
      <c r="L17624">
        <v>16.329999999999998</v>
      </c>
      <c r="M17624">
        <v>37</v>
      </c>
      <c r="N17624">
        <v>0</v>
      </c>
      <c r="O17624">
        <v>37</v>
      </c>
      <c r="P17624">
        <v>0</v>
      </c>
    </row>
    <row r="17625" spans="1:16" x14ac:dyDescent="0.25">
      <c r="A17625" t="s">
        <v>40178</v>
      </c>
      <c r="B17625" t="s">
        <v>40179</v>
      </c>
      <c r="C17625" t="s">
        <v>40180</v>
      </c>
      <c r="D17625" t="str">
        <f>"1001"</f>
        <v>1001</v>
      </c>
      <c r="E17625" t="s">
        <v>42</v>
      </c>
      <c r="F17625" t="s">
        <v>24019</v>
      </c>
      <c r="G17625" t="s">
        <v>47092</v>
      </c>
      <c r="H17625" t="s">
        <v>47055</v>
      </c>
      <c r="I17625" t="s">
        <v>47120</v>
      </c>
      <c r="J17625" t="s">
        <v>47121</v>
      </c>
      <c r="K17625" t="s">
        <v>47113</v>
      </c>
      <c r="L17625">
        <v>18.309999999999999</v>
      </c>
      <c r="M17625">
        <v>52</v>
      </c>
      <c r="N17625">
        <v>0</v>
      </c>
      <c r="O17625">
        <v>52</v>
      </c>
      <c r="P17625">
        <v>0</v>
      </c>
    </row>
    <row r="17626" spans="1:16" x14ac:dyDescent="0.25">
      <c r="A17626" t="s">
        <v>40181</v>
      </c>
      <c r="B17626" t="s">
        <v>40182</v>
      </c>
      <c r="C17626" t="s">
        <v>40183</v>
      </c>
      <c r="D17626" t="str">
        <f>"4922"</f>
        <v>4922</v>
      </c>
      <c r="E17626" t="s">
        <v>4175</v>
      </c>
      <c r="F17626" t="s">
        <v>24019</v>
      </c>
      <c r="G17626" t="s">
        <v>47092</v>
      </c>
      <c r="H17626" t="s">
        <v>47055</v>
      </c>
      <c r="I17626" t="s">
        <v>47120</v>
      </c>
      <c r="J17626" t="s">
        <v>47121</v>
      </c>
      <c r="K17626" t="s">
        <v>47113</v>
      </c>
      <c r="L17626">
        <v>22.16</v>
      </c>
      <c r="M17626">
        <v>77</v>
      </c>
      <c r="N17626">
        <v>0</v>
      </c>
      <c r="O17626">
        <v>77</v>
      </c>
      <c r="P17626">
        <v>0</v>
      </c>
    </row>
    <row r="17627" spans="1:16" x14ac:dyDescent="0.25">
      <c r="A17627" t="s">
        <v>40184</v>
      </c>
      <c r="B17627" t="s">
        <v>40185</v>
      </c>
      <c r="C17627" t="s">
        <v>40186</v>
      </c>
      <c r="D17627" t="str">
        <f>"1001"</f>
        <v>1001</v>
      </c>
      <c r="E17627" t="s">
        <v>42</v>
      </c>
      <c r="F17627" t="s">
        <v>24019</v>
      </c>
      <c r="G17627" t="s">
        <v>47091</v>
      </c>
      <c r="H17627" t="s">
        <v>47055</v>
      </c>
      <c r="I17627" t="s">
        <v>47120</v>
      </c>
      <c r="J17627" t="s">
        <v>47121</v>
      </c>
      <c r="K17627" t="s">
        <v>47113</v>
      </c>
      <c r="L17627">
        <v>20.72</v>
      </c>
      <c r="M17627">
        <v>48</v>
      </c>
      <c r="N17627">
        <v>0</v>
      </c>
      <c r="O17627">
        <v>48</v>
      </c>
      <c r="P17627">
        <v>0</v>
      </c>
    </row>
    <row r="17628" spans="1:16" x14ac:dyDescent="0.25">
      <c r="A17628" t="s">
        <v>40187</v>
      </c>
      <c r="B17628" t="s">
        <v>40188</v>
      </c>
      <c r="C17628" t="s">
        <v>40189</v>
      </c>
      <c r="D17628" t="str">
        <f>"4922"</f>
        <v>4922</v>
      </c>
      <c r="E17628" t="s">
        <v>4175</v>
      </c>
      <c r="F17628" t="s">
        <v>24019</v>
      </c>
      <c r="G17628" t="s">
        <v>47091</v>
      </c>
      <c r="H17628" t="s">
        <v>47055</v>
      </c>
      <c r="I17628" t="s">
        <v>47120</v>
      </c>
      <c r="J17628" t="s">
        <v>47121</v>
      </c>
      <c r="K17628" t="s">
        <v>47113</v>
      </c>
      <c r="L17628">
        <v>29.87</v>
      </c>
      <c r="M17628">
        <v>100</v>
      </c>
      <c r="N17628">
        <v>0</v>
      </c>
      <c r="O17628">
        <v>100</v>
      </c>
      <c r="P17628">
        <v>0</v>
      </c>
    </row>
    <row r="17629" spans="1:16" x14ac:dyDescent="0.25">
      <c r="A17629" t="s">
        <v>40190</v>
      </c>
      <c r="B17629" t="s">
        <v>40191</v>
      </c>
      <c r="C17629" t="s">
        <v>40192</v>
      </c>
      <c r="D17629" t="str">
        <f>"1700"</f>
        <v>1700</v>
      </c>
      <c r="E17629" t="s">
        <v>60</v>
      </c>
      <c r="F17629" t="s">
        <v>24019</v>
      </c>
      <c r="G17629" t="s">
        <v>47091</v>
      </c>
      <c r="H17629" t="s">
        <v>47055</v>
      </c>
      <c r="I17629" t="s">
        <v>47120</v>
      </c>
      <c r="J17629" t="s">
        <v>47121</v>
      </c>
      <c r="K17629" t="s">
        <v>47113</v>
      </c>
      <c r="L17629">
        <v>29.87</v>
      </c>
      <c r="M17629">
        <v>100</v>
      </c>
      <c r="N17629">
        <v>0</v>
      </c>
      <c r="O17629">
        <v>100</v>
      </c>
      <c r="P17629">
        <v>0</v>
      </c>
    </row>
    <row r="17630" spans="1:16" x14ac:dyDescent="0.25">
      <c r="A17630" t="s">
        <v>40193</v>
      </c>
      <c r="B17630" t="s">
        <v>40194</v>
      </c>
      <c r="C17630" t="s">
        <v>40195</v>
      </c>
      <c r="D17630" t="str">
        <f>"1001"</f>
        <v>1001</v>
      </c>
      <c r="E17630" t="s">
        <v>42</v>
      </c>
      <c r="F17630" t="s">
        <v>24019</v>
      </c>
      <c r="G17630" t="s">
        <v>47091</v>
      </c>
      <c r="H17630" t="s">
        <v>47055</v>
      </c>
      <c r="I17630" t="s">
        <v>47120</v>
      </c>
      <c r="J17630" t="s">
        <v>47121</v>
      </c>
      <c r="K17630" t="s">
        <v>47113</v>
      </c>
      <c r="L17630">
        <v>28.91</v>
      </c>
      <c r="M17630">
        <v>100</v>
      </c>
      <c r="N17630">
        <v>0</v>
      </c>
      <c r="O17630">
        <v>100</v>
      </c>
      <c r="P17630">
        <v>0</v>
      </c>
    </row>
    <row r="17631" spans="1:16" x14ac:dyDescent="0.25">
      <c r="A17631" t="s">
        <v>40196</v>
      </c>
      <c r="B17631" t="s">
        <v>40197</v>
      </c>
      <c r="C17631" t="s">
        <v>40198</v>
      </c>
      <c r="D17631" t="str">
        <f>"1219"</f>
        <v>1219</v>
      </c>
      <c r="E17631" t="s">
        <v>40199</v>
      </c>
      <c r="F17631" t="s">
        <v>24019</v>
      </c>
      <c r="G17631" t="s">
        <v>47093</v>
      </c>
      <c r="H17631" t="s">
        <v>47055</v>
      </c>
      <c r="I17631" t="s">
        <v>47127</v>
      </c>
      <c r="J17631" t="s">
        <v>47128</v>
      </c>
      <c r="K17631" t="s">
        <v>47113</v>
      </c>
      <c r="L17631">
        <v>36.200000000000003</v>
      </c>
      <c r="M17631">
        <v>81</v>
      </c>
      <c r="N17631">
        <v>219</v>
      </c>
      <c r="O17631">
        <v>81</v>
      </c>
      <c r="P17631">
        <v>219</v>
      </c>
    </row>
    <row r="17632" spans="1:16" x14ac:dyDescent="0.25">
      <c r="A17632" t="s">
        <v>40200</v>
      </c>
      <c r="B17632" t="s">
        <v>40201</v>
      </c>
      <c r="C17632" t="s">
        <v>40202</v>
      </c>
      <c r="D17632" t="str">
        <f>"4319"</f>
        <v>4319</v>
      </c>
      <c r="E17632" t="s">
        <v>40203</v>
      </c>
      <c r="F17632" t="s">
        <v>24019</v>
      </c>
      <c r="G17632" t="s">
        <v>47093</v>
      </c>
      <c r="H17632" t="s">
        <v>47055</v>
      </c>
      <c r="I17632" t="s">
        <v>47127</v>
      </c>
      <c r="J17632" t="s">
        <v>47128</v>
      </c>
      <c r="K17632" t="s">
        <v>47113</v>
      </c>
      <c r="L17632">
        <v>37.15</v>
      </c>
      <c r="M17632">
        <v>81</v>
      </c>
      <c r="N17632">
        <v>219</v>
      </c>
      <c r="O17632">
        <v>81</v>
      </c>
      <c r="P17632">
        <v>219</v>
      </c>
    </row>
    <row r="17633" spans="1:16" x14ac:dyDescent="0.25">
      <c r="A17633" t="s">
        <v>40204</v>
      </c>
      <c r="B17633" t="s">
        <v>40205</v>
      </c>
      <c r="C17633" t="s">
        <v>40206</v>
      </c>
      <c r="D17633" t="str">
        <f>"1046"</f>
        <v>1046</v>
      </c>
      <c r="E17633" t="s">
        <v>40207</v>
      </c>
      <c r="F17633" t="s">
        <v>24019</v>
      </c>
      <c r="G17633" t="s">
        <v>47093</v>
      </c>
      <c r="H17633" t="s">
        <v>47055</v>
      </c>
      <c r="I17633" t="s">
        <v>47127</v>
      </c>
      <c r="J17633" t="s">
        <v>47128</v>
      </c>
      <c r="K17633" t="s">
        <v>47113</v>
      </c>
      <c r="L17633">
        <v>36.770000000000003</v>
      </c>
      <c r="M17633">
        <v>74</v>
      </c>
      <c r="N17633">
        <v>199</v>
      </c>
      <c r="O17633">
        <v>74</v>
      </c>
      <c r="P17633">
        <v>199</v>
      </c>
    </row>
    <row r="17634" spans="1:16" x14ac:dyDescent="0.25">
      <c r="A17634" t="s">
        <v>40208</v>
      </c>
      <c r="B17634" t="s">
        <v>40209</v>
      </c>
      <c r="C17634" t="s">
        <v>40210</v>
      </c>
      <c r="D17634" t="str">
        <f>"1229"</f>
        <v>1229</v>
      </c>
      <c r="E17634" t="s">
        <v>27978</v>
      </c>
      <c r="F17634" t="s">
        <v>24019</v>
      </c>
      <c r="G17634" t="s">
        <v>47093</v>
      </c>
      <c r="H17634" t="s">
        <v>47055</v>
      </c>
      <c r="I17634" t="s">
        <v>47127</v>
      </c>
      <c r="J17634" t="s">
        <v>47128</v>
      </c>
      <c r="K17634" t="s">
        <v>47113</v>
      </c>
      <c r="L17634">
        <v>37.020000000000003</v>
      </c>
      <c r="M17634">
        <v>81</v>
      </c>
      <c r="N17634">
        <v>0</v>
      </c>
      <c r="O17634">
        <v>81</v>
      </c>
      <c r="P17634">
        <v>0</v>
      </c>
    </row>
    <row r="17635" spans="1:16" x14ac:dyDescent="0.25">
      <c r="A17635" t="s">
        <v>40211</v>
      </c>
      <c r="B17635" t="s">
        <v>40212</v>
      </c>
      <c r="C17635" t="s">
        <v>40213</v>
      </c>
      <c r="D17635" t="str">
        <f>"1045"</f>
        <v>1045</v>
      </c>
      <c r="E17635" t="s">
        <v>40214</v>
      </c>
      <c r="F17635" t="s">
        <v>24019</v>
      </c>
      <c r="G17635" t="s">
        <v>47093</v>
      </c>
      <c r="H17635" t="s">
        <v>47055</v>
      </c>
      <c r="I17635" t="s">
        <v>47127</v>
      </c>
      <c r="J17635" t="s">
        <v>47128</v>
      </c>
      <c r="K17635" t="s">
        <v>47113</v>
      </c>
      <c r="L17635">
        <v>33.26</v>
      </c>
      <c r="M17635">
        <v>74</v>
      </c>
      <c r="N17635">
        <v>0</v>
      </c>
      <c r="O17635">
        <v>74</v>
      </c>
      <c r="P17635">
        <v>0</v>
      </c>
    </row>
    <row r="17636" spans="1:16" x14ac:dyDescent="0.25">
      <c r="A17636" t="s">
        <v>40215</v>
      </c>
      <c r="B17636" t="s">
        <v>40216</v>
      </c>
      <c r="C17636" t="s">
        <v>40217</v>
      </c>
      <c r="D17636" t="str">
        <f>"1044"</f>
        <v>1044</v>
      </c>
      <c r="E17636" t="s">
        <v>40218</v>
      </c>
      <c r="F17636" t="s">
        <v>24019</v>
      </c>
      <c r="G17636" t="s">
        <v>47093</v>
      </c>
      <c r="H17636" t="s">
        <v>47055</v>
      </c>
      <c r="I17636" t="s">
        <v>47127</v>
      </c>
      <c r="J17636" t="s">
        <v>47128</v>
      </c>
      <c r="K17636" t="s">
        <v>47113</v>
      </c>
      <c r="L17636">
        <v>33.049999999999997</v>
      </c>
      <c r="M17636">
        <v>74</v>
      </c>
      <c r="N17636">
        <v>199</v>
      </c>
      <c r="O17636">
        <v>74</v>
      </c>
      <c r="P17636">
        <v>199</v>
      </c>
    </row>
    <row r="17637" spans="1:16" x14ac:dyDescent="0.25">
      <c r="A17637" t="s">
        <v>40219</v>
      </c>
      <c r="B17637" t="s">
        <v>40220</v>
      </c>
      <c r="C17637" t="s">
        <v>40221</v>
      </c>
      <c r="D17637" t="str">
        <f>"4322"</f>
        <v>4322</v>
      </c>
      <c r="E17637" t="s">
        <v>40222</v>
      </c>
      <c r="F17637" t="s">
        <v>24019</v>
      </c>
      <c r="G17637" t="s">
        <v>47093</v>
      </c>
      <c r="H17637" t="s">
        <v>47055</v>
      </c>
      <c r="I17637" t="s">
        <v>47127</v>
      </c>
      <c r="J17637" t="s">
        <v>47128</v>
      </c>
      <c r="K17637" t="s">
        <v>47113</v>
      </c>
      <c r="L17637">
        <v>48.08</v>
      </c>
      <c r="M17637">
        <v>103</v>
      </c>
      <c r="N17637">
        <v>279</v>
      </c>
      <c r="O17637">
        <v>103</v>
      </c>
      <c r="P17637">
        <v>279</v>
      </c>
    </row>
    <row r="17638" spans="1:16" x14ac:dyDescent="0.25">
      <c r="A17638" t="s">
        <v>40223</v>
      </c>
      <c r="B17638" t="s">
        <v>40224</v>
      </c>
      <c r="C17638" t="s">
        <v>40225</v>
      </c>
      <c r="D17638" t="str">
        <f>"1106"</f>
        <v>1106</v>
      </c>
      <c r="E17638" t="s">
        <v>460</v>
      </c>
      <c r="F17638" t="s">
        <v>24019</v>
      </c>
      <c r="G17638" t="s">
        <v>47094</v>
      </c>
      <c r="H17638" t="s">
        <v>47055</v>
      </c>
      <c r="I17638" t="s">
        <v>47127</v>
      </c>
      <c r="J17638" t="s">
        <v>47128</v>
      </c>
      <c r="K17638" t="s">
        <v>47113</v>
      </c>
      <c r="L17638">
        <v>27.36</v>
      </c>
      <c r="M17638">
        <v>85</v>
      </c>
      <c r="N17638">
        <v>0</v>
      </c>
      <c r="O17638">
        <v>85</v>
      </c>
      <c r="P17638">
        <v>0</v>
      </c>
    </row>
    <row r="17639" spans="1:16" x14ac:dyDescent="0.25">
      <c r="A17639" t="s">
        <v>40226</v>
      </c>
      <c r="B17639" t="s">
        <v>40224</v>
      </c>
      <c r="C17639" t="s">
        <v>40225</v>
      </c>
      <c r="D17639" t="str">
        <f>"1700"</f>
        <v>1700</v>
      </c>
      <c r="E17639" t="s">
        <v>60</v>
      </c>
      <c r="F17639" t="s">
        <v>24019</v>
      </c>
      <c r="G17639" t="s">
        <v>47094</v>
      </c>
      <c r="H17639" t="s">
        <v>47055</v>
      </c>
      <c r="I17639" t="s">
        <v>47127</v>
      </c>
      <c r="J17639" t="s">
        <v>47128</v>
      </c>
      <c r="K17639" t="s">
        <v>47113</v>
      </c>
      <c r="L17639">
        <v>27.36</v>
      </c>
      <c r="M17639">
        <v>85</v>
      </c>
      <c r="N17639">
        <v>0</v>
      </c>
      <c r="O17639">
        <v>85</v>
      </c>
      <c r="P17639">
        <v>0</v>
      </c>
    </row>
    <row r="17640" spans="1:16" x14ac:dyDescent="0.25">
      <c r="A17640" t="s">
        <v>40227</v>
      </c>
      <c r="B17640" t="s">
        <v>40228</v>
      </c>
      <c r="C17640" t="s">
        <v>40229</v>
      </c>
      <c r="D17640" t="str">
        <f>"1106"</f>
        <v>1106</v>
      </c>
      <c r="E17640" t="s">
        <v>460</v>
      </c>
      <c r="F17640" t="s">
        <v>24019</v>
      </c>
      <c r="G17640" t="s">
        <v>47094</v>
      </c>
      <c r="H17640" t="s">
        <v>47055</v>
      </c>
      <c r="I17640" t="s">
        <v>47127</v>
      </c>
      <c r="J17640" t="s">
        <v>47128</v>
      </c>
      <c r="K17640" t="s">
        <v>47113</v>
      </c>
      <c r="L17640">
        <v>27.36</v>
      </c>
      <c r="M17640">
        <v>85</v>
      </c>
      <c r="N17640">
        <v>0</v>
      </c>
      <c r="O17640">
        <v>85</v>
      </c>
      <c r="P17640">
        <v>0</v>
      </c>
    </row>
    <row r="17641" spans="1:16" x14ac:dyDescent="0.25">
      <c r="A17641" t="s">
        <v>40230</v>
      </c>
      <c r="B17641" t="s">
        <v>40228</v>
      </c>
      <c r="C17641" t="s">
        <v>40229</v>
      </c>
      <c r="D17641" t="str">
        <f>"1700"</f>
        <v>1700</v>
      </c>
      <c r="E17641" t="s">
        <v>60</v>
      </c>
      <c r="F17641" t="s">
        <v>24019</v>
      </c>
      <c r="G17641" t="s">
        <v>47094</v>
      </c>
      <c r="H17641" t="s">
        <v>47055</v>
      </c>
      <c r="I17641" t="s">
        <v>47127</v>
      </c>
      <c r="J17641" t="s">
        <v>47128</v>
      </c>
      <c r="K17641" t="s">
        <v>47113</v>
      </c>
      <c r="L17641">
        <v>27.36</v>
      </c>
      <c r="M17641">
        <v>85</v>
      </c>
      <c r="N17641">
        <v>0</v>
      </c>
      <c r="O17641">
        <v>85</v>
      </c>
      <c r="P17641">
        <v>0</v>
      </c>
    </row>
    <row r="17642" spans="1:16" x14ac:dyDescent="0.25">
      <c r="A17642" t="s">
        <v>40231</v>
      </c>
      <c r="B17642" t="s">
        <v>40232</v>
      </c>
      <c r="C17642" t="s">
        <v>40233</v>
      </c>
      <c r="D17642" t="str">
        <f>"1106"</f>
        <v>1106</v>
      </c>
      <c r="E17642" t="s">
        <v>460</v>
      </c>
      <c r="F17642" t="s">
        <v>17351</v>
      </c>
      <c r="G17642" t="s">
        <v>47096</v>
      </c>
      <c r="H17642" t="s">
        <v>47055</v>
      </c>
      <c r="I17642" t="s">
        <v>47127</v>
      </c>
      <c r="J17642" t="s">
        <v>47128</v>
      </c>
      <c r="K17642" t="s">
        <v>47113</v>
      </c>
      <c r="L17642">
        <v>18.989999999999998</v>
      </c>
      <c r="M17642">
        <v>59</v>
      </c>
      <c r="N17642">
        <v>0</v>
      </c>
      <c r="O17642">
        <v>59</v>
      </c>
      <c r="P17642">
        <v>0</v>
      </c>
    </row>
    <row r="17643" spans="1:16" x14ac:dyDescent="0.25">
      <c r="A17643" t="s">
        <v>40234</v>
      </c>
      <c r="B17643" t="s">
        <v>40232</v>
      </c>
      <c r="C17643" t="s">
        <v>40233</v>
      </c>
      <c r="D17643" t="str">
        <f>"1700"</f>
        <v>1700</v>
      </c>
      <c r="E17643" t="s">
        <v>60</v>
      </c>
      <c r="F17643" t="s">
        <v>17351</v>
      </c>
      <c r="G17643" t="s">
        <v>47096</v>
      </c>
      <c r="H17643" t="s">
        <v>47055</v>
      </c>
      <c r="I17643" t="s">
        <v>47127</v>
      </c>
      <c r="J17643" t="s">
        <v>47128</v>
      </c>
      <c r="K17643" t="s">
        <v>47113</v>
      </c>
      <c r="L17643">
        <v>18.989999999999998</v>
      </c>
      <c r="M17643">
        <v>59</v>
      </c>
      <c r="N17643">
        <v>0</v>
      </c>
      <c r="O17643">
        <v>59</v>
      </c>
      <c r="P17643">
        <v>0</v>
      </c>
    </row>
    <row r="17644" spans="1:16" x14ac:dyDescent="0.25">
      <c r="A17644" t="s">
        <v>40235</v>
      </c>
      <c r="B17644" t="s">
        <v>40236</v>
      </c>
      <c r="C17644" t="s">
        <v>40237</v>
      </c>
      <c r="D17644" t="str">
        <f>"1106"</f>
        <v>1106</v>
      </c>
      <c r="E17644" t="s">
        <v>460</v>
      </c>
      <c r="F17644" t="s">
        <v>24019</v>
      </c>
      <c r="G17644" t="s">
        <v>47095</v>
      </c>
      <c r="H17644" t="s">
        <v>47055</v>
      </c>
      <c r="I17644" t="s">
        <v>47127</v>
      </c>
      <c r="J17644" t="s">
        <v>47128</v>
      </c>
      <c r="K17644" t="s">
        <v>47113</v>
      </c>
      <c r="L17644">
        <v>18.989999999999998</v>
      </c>
      <c r="M17644">
        <v>59</v>
      </c>
      <c r="N17644">
        <v>0</v>
      </c>
      <c r="O17644">
        <v>59</v>
      </c>
      <c r="P17644">
        <v>0</v>
      </c>
    </row>
    <row r="17645" spans="1:16" x14ac:dyDescent="0.25">
      <c r="A17645" t="s">
        <v>40238</v>
      </c>
      <c r="B17645" t="s">
        <v>40236</v>
      </c>
      <c r="C17645" t="s">
        <v>40237</v>
      </c>
      <c r="D17645" t="str">
        <f>"1700"</f>
        <v>1700</v>
      </c>
      <c r="E17645" t="s">
        <v>60</v>
      </c>
      <c r="F17645" t="s">
        <v>24019</v>
      </c>
      <c r="G17645" t="s">
        <v>47095</v>
      </c>
      <c r="H17645" t="s">
        <v>47055</v>
      </c>
      <c r="I17645" t="s">
        <v>47127</v>
      </c>
      <c r="J17645" t="s">
        <v>47128</v>
      </c>
      <c r="K17645" t="s">
        <v>47113</v>
      </c>
      <c r="L17645">
        <v>18.989999999999998</v>
      </c>
      <c r="M17645">
        <v>59</v>
      </c>
      <c r="N17645">
        <v>0</v>
      </c>
      <c r="O17645">
        <v>59</v>
      </c>
      <c r="P17645">
        <v>0</v>
      </c>
    </row>
    <row r="17646" spans="1:16" x14ac:dyDescent="0.25">
      <c r="A17646" t="s">
        <v>22855</v>
      </c>
      <c r="B17646" t="s">
        <v>22856</v>
      </c>
      <c r="C17646" t="s">
        <v>22857</v>
      </c>
      <c r="D17646" t="str">
        <f>"1106"</f>
        <v>1106</v>
      </c>
      <c r="E17646" t="s">
        <v>460</v>
      </c>
      <c r="F17646" t="s">
        <v>24019</v>
      </c>
      <c r="G17646" t="s">
        <v>47096</v>
      </c>
      <c r="H17646" t="s">
        <v>47055</v>
      </c>
      <c r="I17646" t="s">
        <v>47127</v>
      </c>
      <c r="J17646" t="s">
        <v>47128</v>
      </c>
      <c r="K17646" t="s">
        <v>47113</v>
      </c>
      <c r="L17646">
        <v>19.850000000000001</v>
      </c>
      <c r="M17646">
        <v>52</v>
      </c>
      <c r="N17646">
        <v>0</v>
      </c>
      <c r="O17646">
        <v>52</v>
      </c>
      <c r="P17646">
        <v>0</v>
      </c>
    </row>
    <row r="17647" spans="1:16" x14ac:dyDescent="0.25">
      <c r="A17647" t="s">
        <v>40239</v>
      </c>
      <c r="B17647" t="s">
        <v>22856</v>
      </c>
      <c r="C17647" t="s">
        <v>22857</v>
      </c>
      <c r="D17647" t="str">
        <f>"1700"</f>
        <v>1700</v>
      </c>
      <c r="E17647" t="s">
        <v>60</v>
      </c>
      <c r="F17647" t="s">
        <v>24019</v>
      </c>
      <c r="G17647" t="s">
        <v>47096</v>
      </c>
      <c r="H17647" t="s">
        <v>47055</v>
      </c>
      <c r="I17647" t="s">
        <v>47127</v>
      </c>
      <c r="J17647" t="s">
        <v>47128</v>
      </c>
      <c r="K17647" t="s">
        <v>47113</v>
      </c>
      <c r="L17647">
        <v>19.850000000000001</v>
      </c>
      <c r="M17647">
        <v>52</v>
      </c>
      <c r="N17647">
        <v>0</v>
      </c>
      <c r="O17647">
        <v>52</v>
      </c>
      <c r="P17647">
        <v>0</v>
      </c>
    </row>
    <row r="17648" spans="1:16" x14ac:dyDescent="0.25">
      <c r="A17648" t="s">
        <v>22858</v>
      </c>
      <c r="B17648" t="s">
        <v>22856</v>
      </c>
      <c r="C17648" t="s">
        <v>22857</v>
      </c>
      <c r="D17648" t="str">
        <f>"3106"</f>
        <v>3106</v>
      </c>
      <c r="E17648" t="s">
        <v>230</v>
      </c>
      <c r="F17648" t="s">
        <v>24019</v>
      </c>
      <c r="G17648" t="s">
        <v>47096</v>
      </c>
      <c r="H17648" t="s">
        <v>47055</v>
      </c>
      <c r="I17648" t="s">
        <v>47127</v>
      </c>
      <c r="J17648" t="s">
        <v>47128</v>
      </c>
      <c r="K17648" t="s">
        <v>47113</v>
      </c>
      <c r="L17648">
        <v>19.850000000000001</v>
      </c>
      <c r="M17648">
        <v>52</v>
      </c>
      <c r="N17648">
        <v>0</v>
      </c>
      <c r="O17648">
        <v>52</v>
      </c>
      <c r="P17648">
        <v>0</v>
      </c>
    </row>
    <row r="17649" spans="1:16" x14ac:dyDescent="0.25">
      <c r="A17649" t="s">
        <v>22859</v>
      </c>
      <c r="B17649" t="s">
        <v>22856</v>
      </c>
      <c r="C17649" t="s">
        <v>22857</v>
      </c>
      <c r="D17649" t="str">
        <f>"4143"</f>
        <v>4143</v>
      </c>
      <c r="E17649" t="s">
        <v>16626</v>
      </c>
      <c r="F17649" t="s">
        <v>24019</v>
      </c>
      <c r="G17649" t="s">
        <v>47096</v>
      </c>
      <c r="H17649" t="s">
        <v>47055</v>
      </c>
      <c r="I17649" t="s">
        <v>47127</v>
      </c>
      <c r="J17649" t="s">
        <v>47128</v>
      </c>
      <c r="K17649" t="s">
        <v>47113</v>
      </c>
      <c r="L17649">
        <v>19.850000000000001</v>
      </c>
      <c r="M17649">
        <v>52</v>
      </c>
      <c r="N17649">
        <v>0</v>
      </c>
      <c r="O17649">
        <v>52</v>
      </c>
      <c r="P17649">
        <v>0</v>
      </c>
    </row>
    <row r="17650" spans="1:16" x14ac:dyDescent="0.25">
      <c r="A17650" t="s">
        <v>40240</v>
      </c>
      <c r="B17650" t="s">
        <v>40241</v>
      </c>
      <c r="C17650" t="s">
        <v>40242</v>
      </c>
      <c r="D17650" t="str">
        <f>"1106"</f>
        <v>1106</v>
      </c>
      <c r="E17650" t="s">
        <v>460</v>
      </c>
      <c r="F17650" t="s">
        <v>24019</v>
      </c>
      <c r="G17650" t="s">
        <v>47094</v>
      </c>
      <c r="H17650" t="s">
        <v>47055</v>
      </c>
      <c r="I17650" t="s">
        <v>47127</v>
      </c>
      <c r="J17650" t="s">
        <v>47128</v>
      </c>
      <c r="K17650" t="s">
        <v>47113</v>
      </c>
      <c r="L17650">
        <v>27.36</v>
      </c>
      <c r="M17650">
        <v>85</v>
      </c>
      <c r="N17650">
        <v>0</v>
      </c>
      <c r="O17650">
        <v>85</v>
      </c>
      <c r="P17650">
        <v>0</v>
      </c>
    </row>
    <row r="17651" spans="1:16" x14ac:dyDescent="0.25">
      <c r="A17651" t="s">
        <v>40243</v>
      </c>
      <c r="B17651" t="s">
        <v>40241</v>
      </c>
      <c r="C17651" t="s">
        <v>40242</v>
      </c>
      <c r="D17651" t="str">
        <f>"1285"</f>
        <v>1285</v>
      </c>
      <c r="E17651" t="s">
        <v>2148</v>
      </c>
      <c r="F17651" t="s">
        <v>24019</v>
      </c>
      <c r="G17651" t="s">
        <v>47094</v>
      </c>
      <c r="H17651" t="s">
        <v>47055</v>
      </c>
      <c r="I17651" t="s">
        <v>47127</v>
      </c>
      <c r="J17651" t="s">
        <v>47128</v>
      </c>
      <c r="K17651" t="s">
        <v>47113</v>
      </c>
      <c r="L17651">
        <v>27.36</v>
      </c>
      <c r="M17651">
        <v>85</v>
      </c>
      <c r="N17651">
        <v>0</v>
      </c>
      <c r="O17651">
        <v>85</v>
      </c>
      <c r="P17651">
        <v>0</v>
      </c>
    </row>
    <row r="17652" spans="1:16" x14ac:dyDescent="0.25">
      <c r="A17652" t="s">
        <v>40244</v>
      </c>
      <c r="B17652" t="s">
        <v>40241</v>
      </c>
      <c r="C17652" t="s">
        <v>40242</v>
      </c>
      <c r="D17652" t="str">
        <f>"4143"</f>
        <v>4143</v>
      </c>
      <c r="E17652" t="s">
        <v>16626</v>
      </c>
      <c r="F17652" t="s">
        <v>24019</v>
      </c>
      <c r="G17652" t="s">
        <v>47094</v>
      </c>
      <c r="H17652" t="s">
        <v>47055</v>
      </c>
      <c r="I17652" t="s">
        <v>47127</v>
      </c>
      <c r="J17652" t="s">
        <v>47128</v>
      </c>
      <c r="K17652" t="s">
        <v>47113</v>
      </c>
      <c r="L17652">
        <v>27.36</v>
      </c>
      <c r="M17652">
        <v>85</v>
      </c>
      <c r="N17652">
        <v>0</v>
      </c>
      <c r="O17652">
        <v>85</v>
      </c>
      <c r="P17652">
        <v>0</v>
      </c>
    </row>
    <row r="17653" spans="1:16" x14ac:dyDescent="0.25">
      <c r="A17653" t="s">
        <v>40245</v>
      </c>
      <c r="B17653" t="s">
        <v>40246</v>
      </c>
      <c r="C17653" t="s">
        <v>21316</v>
      </c>
      <c r="D17653" t="str">
        <f>"1106"</f>
        <v>1106</v>
      </c>
      <c r="E17653" t="s">
        <v>460</v>
      </c>
      <c r="F17653" t="s">
        <v>24019</v>
      </c>
      <c r="G17653" t="s">
        <v>47096</v>
      </c>
      <c r="H17653" t="s">
        <v>47055</v>
      </c>
      <c r="I17653" t="s">
        <v>47127</v>
      </c>
      <c r="J17653" t="s">
        <v>47128</v>
      </c>
      <c r="K17653" t="s">
        <v>47113</v>
      </c>
      <c r="L17653">
        <v>19.850000000000001</v>
      </c>
      <c r="M17653">
        <v>63</v>
      </c>
      <c r="N17653">
        <v>0</v>
      </c>
      <c r="O17653">
        <v>63</v>
      </c>
      <c r="P17653">
        <v>0</v>
      </c>
    </row>
    <row r="17654" spans="1:16" x14ac:dyDescent="0.25">
      <c r="A17654" t="s">
        <v>40247</v>
      </c>
      <c r="B17654" t="s">
        <v>40246</v>
      </c>
      <c r="C17654" t="s">
        <v>21316</v>
      </c>
      <c r="D17654" t="str">
        <f>"1285"</f>
        <v>1285</v>
      </c>
      <c r="E17654" t="s">
        <v>2148</v>
      </c>
      <c r="F17654" t="s">
        <v>24019</v>
      </c>
      <c r="G17654" t="s">
        <v>47096</v>
      </c>
      <c r="H17654" t="s">
        <v>47055</v>
      </c>
      <c r="I17654" t="s">
        <v>47127</v>
      </c>
      <c r="J17654" t="s">
        <v>47128</v>
      </c>
      <c r="K17654" t="s">
        <v>47113</v>
      </c>
      <c r="L17654">
        <v>19.850000000000001</v>
      </c>
      <c r="M17654">
        <v>63</v>
      </c>
      <c r="N17654">
        <v>0</v>
      </c>
      <c r="O17654">
        <v>63</v>
      </c>
      <c r="P17654">
        <v>0</v>
      </c>
    </row>
    <row r="17655" spans="1:16" x14ac:dyDescent="0.25">
      <c r="A17655" t="s">
        <v>40248</v>
      </c>
      <c r="B17655" t="s">
        <v>40246</v>
      </c>
      <c r="C17655" t="s">
        <v>21316</v>
      </c>
      <c r="D17655" t="str">
        <f>"4143"</f>
        <v>4143</v>
      </c>
      <c r="E17655" t="s">
        <v>16626</v>
      </c>
      <c r="F17655" t="s">
        <v>24019</v>
      </c>
      <c r="G17655" t="s">
        <v>47096</v>
      </c>
      <c r="H17655" t="s">
        <v>47055</v>
      </c>
      <c r="I17655" t="s">
        <v>47127</v>
      </c>
      <c r="J17655" t="s">
        <v>47128</v>
      </c>
      <c r="K17655" t="s">
        <v>47113</v>
      </c>
      <c r="L17655">
        <v>19.850000000000001</v>
      </c>
      <c r="M17655">
        <v>63</v>
      </c>
      <c r="N17655">
        <v>0</v>
      </c>
      <c r="O17655">
        <v>63</v>
      </c>
      <c r="P17655">
        <v>0</v>
      </c>
    </row>
    <row r="17656" spans="1:16" x14ac:dyDescent="0.25">
      <c r="A17656" t="s">
        <v>40249</v>
      </c>
      <c r="B17656" t="s">
        <v>40250</v>
      </c>
      <c r="C17656" t="s">
        <v>40251</v>
      </c>
      <c r="D17656" t="str">
        <f>"1001"</f>
        <v>1001</v>
      </c>
      <c r="E17656" t="s">
        <v>42</v>
      </c>
      <c r="F17656" t="s">
        <v>24019</v>
      </c>
      <c r="G17656" t="s">
        <v>47096</v>
      </c>
      <c r="H17656" t="s">
        <v>47055</v>
      </c>
      <c r="I17656" t="s">
        <v>47120</v>
      </c>
      <c r="J17656" t="s">
        <v>47121</v>
      </c>
      <c r="K17656" t="s">
        <v>47113</v>
      </c>
      <c r="L17656">
        <v>28.3</v>
      </c>
      <c r="M17656">
        <v>77</v>
      </c>
      <c r="N17656">
        <v>0</v>
      </c>
      <c r="O17656">
        <v>77</v>
      </c>
      <c r="P17656">
        <v>0</v>
      </c>
    </row>
    <row r="17657" spans="1:16" x14ac:dyDescent="0.25">
      <c r="A17657" t="s">
        <v>40252</v>
      </c>
      <c r="B17657" t="s">
        <v>40253</v>
      </c>
      <c r="C17657" t="s">
        <v>40254</v>
      </c>
      <c r="D17657" t="str">
        <f>"1285"</f>
        <v>1285</v>
      </c>
      <c r="E17657" t="s">
        <v>2148</v>
      </c>
      <c r="F17657" t="s">
        <v>24019</v>
      </c>
      <c r="G17657" t="s">
        <v>47096</v>
      </c>
      <c r="H17657" t="s">
        <v>47055</v>
      </c>
      <c r="I17657" t="s">
        <v>47120</v>
      </c>
      <c r="J17657" t="s">
        <v>47121</v>
      </c>
      <c r="K17657" t="s">
        <v>47113</v>
      </c>
      <c r="L17657">
        <v>26.98</v>
      </c>
      <c r="M17657">
        <v>77</v>
      </c>
      <c r="N17657">
        <v>0</v>
      </c>
      <c r="O17657">
        <v>77</v>
      </c>
      <c r="P17657">
        <v>0</v>
      </c>
    </row>
    <row r="17658" spans="1:16" x14ac:dyDescent="0.25">
      <c r="A17658" t="s">
        <v>40255</v>
      </c>
      <c r="B17658" t="s">
        <v>40256</v>
      </c>
      <c r="C17658" t="s">
        <v>40257</v>
      </c>
      <c r="D17658" t="str">
        <f>"1700"</f>
        <v>1700</v>
      </c>
      <c r="E17658" t="s">
        <v>60</v>
      </c>
      <c r="F17658" t="s">
        <v>24019</v>
      </c>
      <c r="G17658" t="s">
        <v>47096</v>
      </c>
      <c r="H17658" t="s">
        <v>47055</v>
      </c>
      <c r="I17658" t="s">
        <v>47120</v>
      </c>
      <c r="J17658" t="s">
        <v>47121</v>
      </c>
      <c r="K17658" t="s">
        <v>47113</v>
      </c>
      <c r="L17658">
        <v>26.02</v>
      </c>
      <c r="M17658">
        <v>89</v>
      </c>
      <c r="N17658">
        <v>0</v>
      </c>
      <c r="O17658">
        <v>89</v>
      </c>
      <c r="P17658">
        <v>0</v>
      </c>
    </row>
    <row r="17659" spans="1:16" x14ac:dyDescent="0.25">
      <c r="A17659" t="s">
        <v>40258</v>
      </c>
      <c r="B17659" t="s">
        <v>40259</v>
      </c>
      <c r="C17659" t="s">
        <v>40260</v>
      </c>
      <c r="D17659" t="str">
        <f>"1106"</f>
        <v>1106</v>
      </c>
      <c r="E17659" t="s">
        <v>460</v>
      </c>
      <c r="F17659" t="s">
        <v>24019</v>
      </c>
      <c r="G17659" t="s">
        <v>47094</v>
      </c>
      <c r="H17659" t="s">
        <v>47055</v>
      </c>
      <c r="I17659" t="s">
        <v>47127</v>
      </c>
      <c r="J17659" t="s">
        <v>47128</v>
      </c>
      <c r="K17659" t="s">
        <v>47113</v>
      </c>
      <c r="L17659">
        <v>19.850000000000001</v>
      </c>
      <c r="M17659">
        <v>52</v>
      </c>
      <c r="N17659">
        <v>0</v>
      </c>
      <c r="O17659">
        <v>52</v>
      </c>
      <c r="P17659">
        <v>0</v>
      </c>
    </row>
    <row r="17660" spans="1:16" x14ac:dyDescent="0.25">
      <c r="A17660" t="s">
        <v>40261</v>
      </c>
      <c r="B17660" t="s">
        <v>40259</v>
      </c>
      <c r="C17660" t="s">
        <v>40260</v>
      </c>
      <c r="D17660" t="str">
        <f>"1700"</f>
        <v>1700</v>
      </c>
      <c r="E17660" t="s">
        <v>60</v>
      </c>
      <c r="F17660" t="s">
        <v>24019</v>
      </c>
      <c r="G17660" t="s">
        <v>47094</v>
      </c>
      <c r="H17660" t="s">
        <v>47055</v>
      </c>
      <c r="I17660" t="s">
        <v>47127</v>
      </c>
      <c r="J17660" t="s">
        <v>47128</v>
      </c>
      <c r="K17660" t="s">
        <v>47113</v>
      </c>
      <c r="L17660">
        <v>19.850000000000001</v>
      </c>
      <c r="M17660">
        <v>52</v>
      </c>
      <c r="N17660">
        <v>0</v>
      </c>
      <c r="O17660">
        <v>52</v>
      </c>
      <c r="P17660">
        <v>0</v>
      </c>
    </row>
    <row r="17661" spans="1:16" x14ac:dyDescent="0.25">
      <c r="A17661" t="s">
        <v>40262</v>
      </c>
      <c r="B17661" t="s">
        <v>40259</v>
      </c>
      <c r="C17661" t="s">
        <v>40260</v>
      </c>
      <c r="D17661" t="str">
        <f>"3106"</f>
        <v>3106</v>
      </c>
      <c r="E17661" t="s">
        <v>230</v>
      </c>
      <c r="F17661" t="s">
        <v>24019</v>
      </c>
      <c r="G17661" t="s">
        <v>47094</v>
      </c>
      <c r="H17661" t="s">
        <v>47055</v>
      </c>
      <c r="I17661" t="s">
        <v>47127</v>
      </c>
      <c r="J17661" t="s">
        <v>47128</v>
      </c>
      <c r="K17661" t="s">
        <v>47113</v>
      </c>
      <c r="L17661">
        <v>19.850000000000001</v>
      </c>
      <c r="M17661">
        <v>52</v>
      </c>
      <c r="N17661">
        <v>0</v>
      </c>
      <c r="O17661">
        <v>52</v>
      </c>
      <c r="P17661">
        <v>0</v>
      </c>
    </row>
    <row r="17662" spans="1:16" x14ac:dyDescent="0.25">
      <c r="A17662" t="s">
        <v>40263</v>
      </c>
      <c r="B17662" t="s">
        <v>40259</v>
      </c>
      <c r="C17662" t="s">
        <v>40260</v>
      </c>
      <c r="D17662" t="str">
        <f>"4143"</f>
        <v>4143</v>
      </c>
      <c r="E17662" t="s">
        <v>16626</v>
      </c>
      <c r="F17662" t="s">
        <v>24019</v>
      </c>
      <c r="G17662" t="s">
        <v>47094</v>
      </c>
      <c r="H17662" t="s">
        <v>47055</v>
      </c>
      <c r="I17662" t="s">
        <v>47127</v>
      </c>
      <c r="J17662" t="s">
        <v>47128</v>
      </c>
      <c r="K17662" t="s">
        <v>47113</v>
      </c>
      <c r="L17662">
        <v>19.850000000000001</v>
      </c>
      <c r="M17662">
        <v>52</v>
      </c>
      <c r="N17662">
        <v>0</v>
      </c>
      <c r="O17662">
        <v>52</v>
      </c>
      <c r="P17662">
        <v>0</v>
      </c>
    </row>
    <row r="17663" spans="1:16" x14ac:dyDescent="0.25">
      <c r="A17663" t="s">
        <v>40264</v>
      </c>
      <c r="B17663" t="s">
        <v>40265</v>
      </c>
      <c r="C17663" t="s">
        <v>40266</v>
      </c>
      <c r="D17663" t="str">
        <f>"1001"</f>
        <v>1001</v>
      </c>
      <c r="E17663" t="s">
        <v>42</v>
      </c>
      <c r="F17663" t="s">
        <v>24019</v>
      </c>
      <c r="G17663" t="s">
        <v>47096</v>
      </c>
      <c r="H17663" t="s">
        <v>47055</v>
      </c>
      <c r="I17663" t="s">
        <v>47120</v>
      </c>
      <c r="J17663" t="s">
        <v>47121</v>
      </c>
      <c r="K17663" t="s">
        <v>47113</v>
      </c>
      <c r="L17663">
        <v>27.47</v>
      </c>
      <c r="M17663">
        <v>77</v>
      </c>
      <c r="N17663">
        <v>0</v>
      </c>
      <c r="O17663">
        <v>77</v>
      </c>
      <c r="P17663">
        <v>0</v>
      </c>
    </row>
    <row r="17664" spans="1:16" x14ac:dyDescent="0.25">
      <c r="A17664" t="s">
        <v>22860</v>
      </c>
      <c r="B17664" t="s">
        <v>22861</v>
      </c>
      <c r="C17664" t="s">
        <v>14304</v>
      </c>
      <c r="D17664" t="str">
        <f>"1106"</f>
        <v>1106</v>
      </c>
      <c r="E17664" t="s">
        <v>460</v>
      </c>
      <c r="F17664" t="s">
        <v>24019</v>
      </c>
      <c r="G17664" t="s">
        <v>47095</v>
      </c>
      <c r="H17664" t="s">
        <v>47055</v>
      </c>
      <c r="I17664" t="s">
        <v>47127</v>
      </c>
      <c r="J17664" t="s">
        <v>47128</v>
      </c>
      <c r="K17664" t="s">
        <v>47113</v>
      </c>
      <c r="L17664">
        <v>18.989999999999998</v>
      </c>
      <c r="M17664">
        <v>55</v>
      </c>
      <c r="N17664">
        <v>0</v>
      </c>
      <c r="O17664">
        <v>55</v>
      </c>
      <c r="P17664">
        <v>0</v>
      </c>
    </row>
    <row r="17665" spans="1:16" x14ac:dyDescent="0.25">
      <c r="A17665" t="s">
        <v>22862</v>
      </c>
      <c r="B17665" t="s">
        <v>22861</v>
      </c>
      <c r="C17665" t="s">
        <v>14304</v>
      </c>
      <c r="D17665" t="str">
        <f>"3106"</f>
        <v>3106</v>
      </c>
      <c r="E17665" t="s">
        <v>230</v>
      </c>
      <c r="F17665" t="s">
        <v>24019</v>
      </c>
      <c r="G17665" t="s">
        <v>47095</v>
      </c>
      <c r="H17665" t="s">
        <v>47055</v>
      </c>
      <c r="I17665" t="s">
        <v>47127</v>
      </c>
      <c r="J17665" t="s">
        <v>47128</v>
      </c>
      <c r="K17665" t="s">
        <v>47113</v>
      </c>
      <c r="L17665">
        <v>18.989999999999998</v>
      </c>
      <c r="M17665">
        <v>55</v>
      </c>
      <c r="N17665">
        <v>0</v>
      </c>
      <c r="O17665">
        <v>55</v>
      </c>
      <c r="P17665">
        <v>0</v>
      </c>
    </row>
    <row r="17666" spans="1:16" x14ac:dyDescent="0.25">
      <c r="A17666" t="s">
        <v>22863</v>
      </c>
      <c r="B17666" t="s">
        <v>22861</v>
      </c>
      <c r="C17666" t="s">
        <v>14304</v>
      </c>
      <c r="D17666" t="str">
        <f>"4143"</f>
        <v>4143</v>
      </c>
      <c r="E17666" t="s">
        <v>16626</v>
      </c>
      <c r="F17666" t="s">
        <v>24019</v>
      </c>
      <c r="G17666" t="s">
        <v>47095</v>
      </c>
      <c r="H17666" t="s">
        <v>47055</v>
      </c>
      <c r="I17666" t="s">
        <v>47127</v>
      </c>
      <c r="J17666" t="s">
        <v>47128</v>
      </c>
      <c r="K17666" t="s">
        <v>47113</v>
      </c>
      <c r="L17666">
        <v>18.989999999999998</v>
      </c>
      <c r="M17666">
        <v>55</v>
      </c>
      <c r="N17666">
        <v>0</v>
      </c>
      <c r="O17666">
        <v>55</v>
      </c>
      <c r="P17666">
        <v>0</v>
      </c>
    </row>
    <row r="17667" spans="1:16" x14ac:dyDescent="0.25">
      <c r="A17667" t="s">
        <v>40267</v>
      </c>
      <c r="B17667" t="s">
        <v>40268</v>
      </c>
      <c r="C17667" t="s">
        <v>40269</v>
      </c>
      <c r="D17667" t="str">
        <f>"1285"</f>
        <v>1285</v>
      </c>
      <c r="E17667" t="s">
        <v>2148</v>
      </c>
      <c r="F17667" t="s">
        <v>24019</v>
      </c>
      <c r="G17667" t="s">
        <v>47096</v>
      </c>
      <c r="H17667" t="s">
        <v>47055</v>
      </c>
      <c r="I17667" t="s">
        <v>47120</v>
      </c>
      <c r="J17667" t="s">
        <v>47121</v>
      </c>
      <c r="K17667" t="s">
        <v>47113</v>
      </c>
      <c r="L17667">
        <v>28.91</v>
      </c>
      <c r="M17667">
        <v>85</v>
      </c>
      <c r="N17667">
        <v>0</v>
      </c>
      <c r="O17667">
        <v>85</v>
      </c>
      <c r="P17667">
        <v>0</v>
      </c>
    </row>
    <row r="17668" spans="1:16" x14ac:dyDescent="0.25">
      <c r="A17668" t="s">
        <v>40270</v>
      </c>
      <c r="B17668" t="s">
        <v>40271</v>
      </c>
      <c r="C17668" t="s">
        <v>40251</v>
      </c>
      <c r="D17668" t="str">
        <f>"1001"</f>
        <v>1001</v>
      </c>
      <c r="E17668" t="s">
        <v>42</v>
      </c>
      <c r="F17668" t="s">
        <v>24019</v>
      </c>
      <c r="G17668" t="s">
        <v>47096</v>
      </c>
      <c r="H17668" t="s">
        <v>47055</v>
      </c>
      <c r="I17668" t="s">
        <v>47120</v>
      </c>
      <c r="J17668" t="s">
        <v>47121</v>
      </c>
      <c r="K17668" t="s">
        <v>47113</v>
      </c>
      <c r="L17668">
        <v>38.159999999999997</v>
      </c>
      <c r="M17668">
        <v>99</v>
      </c>
      <c r="N17668">
        <v>0</v>
      </c>
      <c r="O17668">
        <v>99</v>
      </c>
      <c r="P17668">
        <v>0</v>
      </c>
    </row>
    <row r="17669" spans="1:16" x14ac:dyDescent="0.25">
      <c r="A17669" t="s">
        <v>40272</v>
      </c>
      <c r="B17669" t="s">
        <v>40273</v>
      </c>
      <c r="C17669" t="s">
        <v>40274</v>
      </c>
      <c r="D17669" t="str">
        <f>"1285"</f>
        <v>1285</v>
      </c>
      <c r="E17669" t="s">
        <v>2148</v>
      </c>
      <c r="F17669" t="s">
        <v>24019</v>
      </c>
      <c r="G17669" t="s">
        <v>47096</v>
      </c>
      <c r="H17669" t="s">
        <v>47055</v>
      </c>
      <c r="I17669" t="s">
        <v>47120</v>
      </c>
      <c r="J17669" t="s">
        <v>47121</v>
      </c>
      <c r="K17669" t="s">
        <v>47113</v>
      </c>
      <c r="L17669">
        <v>28.43</v>
      </c>
      <c r="M17669">
        <v>85</v>
      </c>
      <c r="N17669">
        <v>0</v>
      </c>
      <c r="O17669">
        <v>85</v>
      </c>
      <c r="P17669">
        <v>0</v>
      </c>
    </row>
    <row r="17670" spans="1:16" x14ac:dyDescent="0.25">
      <c r="A17670" t="s">
        <v>40275</v>
      </c>
      <c r="B17670" t="s">
        <v>40276</v>
      </c>
      <c r="C17670" t="s">
        <v>40277</v>
      </c>
      <c r="D17670" t="str">
        <f>"1285"</f>
        <v>1285</v>
      </c>
      <c r="E17670" t="s">
        <v>2148</v>
      </c>
      <c r="F17670" t="s">
        <v>24019</v>
      </c>
      <c r="G17670" t="s">
        <v>47097</v>
      </c>
      <c r="H17670" t="s">
        <v>47055</v>
      </c>
      <c r="I17670" t="s">
        <v>47127</v>
      </c>
      <c r="J17670" t="s">
        <v>47128</v>
      </c>
      <c r="K17670" t="s">
        <v>47113</v>
      </c>
      <c r="L17670">
        <v>27.04</v>
      </c>
      <c r="M17670">
        <v>85</v>
      </c>
      <c r="N17670">
        <v>0</v>
      </c>
      <c r="O17670">
        <v>85</v>
      </c>
      <c r="P17670">
        <v>0</v>
      </c>
    </row>
    <row r="17671" spans="1:16" x14ac:dyDescent="0.25">
      <c r="A17671" t="s">
        <v>40278</v>
      </c>
      <c r="B17671" t="s">
        <v>40279</v>
      </c>
      <c r="C17671" t="s">
        <v>40280</v>
      </c>
      <c r="D17671" t="str">
        <f>"1285"</f>
        <v>1285</v>
      </c>
      <c r="E17671" t="s">
        <v>2148</v>
      </c>
      <c r="F17671" t="s">
        <v>24019</v>
      </c>
      <c r="G17671" t="s">
        <v>47097</v>
      </c>
      <c r="H17671" t="s">
        <v>47055</v>
      </c>
      <c r="I17671" t="s">
        <v>47127</v>
      </c>
      <c r="J17671" t="s">
        <v>47128</v>
      </c>
      <c r="K17671" t="s">
        <v>47113</v>
      </c>
      <c r="L17671">
        <v>28.43</v>
      </c>
      <c r="M17671">
        <v>89</v>
      </c>
      <c r="N17671">
        <v>0</v>
      </c>
      <c r="O17671">
        <v>89</v>
      </c>
      <c r="P17671">
        <v>0</v>
      </c>
    </row>
    <row r="17672" spans="1:16" x14ac:dyDescent="0.25">
      <c r="A17672" t="s">
        <v>40281</v>
      </c>
      <c r="B17672" t="s">
        <v>40282</v>
      </c>
      <c r="C17672" t="s">
        <v>40283</v>
      </c>
      <c r="D17672" t="str">
        <f>"1285"</f>
        <v>1285</v>
      </c>
      <c r="E17672" t="s">
        <v>2148</v>
      </c>
      <c r="F17672" t="s">
        <v>24019</v>
      </c>
      <c r="G17672" t="s">
        <v>47097</v>
      </c>
      <c r="H17672" t="s">
        <v>47055</v>
      </c>
      <c r="I17672" t="s">
        <v>47127</v>
      </c>
      <c r="J17672" t="s">
        <v>47128</v>
      </c>
      <c r="K17672" t="s">
        <v>47113</v>
      </c>
      <c r="L17672">
        <v>34.869999999999997</v>
      </c>
      <c r="M17672">
        <v>111</v>
      </c>
      <c r="N17672">
        <v>0</v>
      </c>
      <c r="O17672">
        <v>111</v>
      </c>
      <c r="P17672">
        <v>0</v>
      </c>
    </row>
    <row r="17673" spans="1:16" x14ac:dyDescent="0.25">
      <c r="A17673" t="s">
        <v>40284</v>
      </c>
      <c r="B17673" t="s">
        <v>40285</v>
      </c>
      <c r="C17673" t="s">
        <v>40286</v>
      </c>
      <c r="D17673" t="str">
        <f>"1106"</f>
        <v>1106</v>
      </c>
      <c r="E17673" t="s">
        <v>460</v>
      </c>
      <c r="F17673" t="s">
        <v>24019</v>
      </c>
      <c r="G17673" t="s">
        <v>47091</v>
      </c>
      <c r="H17673" t="s">
        <v>47055</v>
      </c>
      <c r="I17673" t="s">
        <v>47127</v>
      </c>
      <c r="J17673" t="s">
        <v>47128</v>
      </c>
      <c r="K17673" t="s">
        <v>47113</v>
      </c>
      <c r="L17673">
        <v>10.84</v>
      </c>
      <c r="M17673">
        <v>33</v>
      </c>
      <c r="N17673">
        <v>0</v>
      </c>
      <c r="O17673">
        <v>33</v>
      </c>
      <c r="P17673">
        <v>0</v>
      </c>
    </row>
    <row r="17674" spans="1:16" x14ac:dyDescent="0.25">
      <c r="A17674" t="s">
        <v>40287</v>
      </c>
      <c r="B17674" t="s">
        <v>40285</v>
      </c>
      <c r="C17674" t="s">
        <v>40286</v>
      </c>
      <c r="D17674" t="str">
        <f>"1700"</f>
        <v>1700</v>
      </c>
      <c r="E17674" t="s">
        <v>60</v>
      </c>
      <c r="F17674" t="s">
        <v>24019</v>
      </c>
      <c r="G17674" t="s">
        <v>47091</v>
      </c>
      <c r="H17674" t="s">
        <v>47055</v>
      </c>
      <c r="I17674" t="s">
        <v>47127</v>
      </c>
      <c r="J17674" t="s">
        <v>47128</v>
      </c>
      <c r="K17674" t="s">
        <v>47113</v>
      </c>
      <c r="L17674">
        <v>10.84</v>
      </c>
      <c r="M17674">
        <v>33</v>
      </c>
      <c r="N17674">
        <v>0</v>
      </c>
      <c r="O17674">
        <v>33</v>
      </c>
      <c r="P17674">
        <v>0</v>
      </c>
    </row>
    <row r="17675" spans="1:16" x14ac:dyDescent="0.25">
      <c r="A17675" t="s">
        <v>40288</v>
      </c>
      <c r="B17675" t="s">
        <v>40285</v>
      </c>
      <c r="C17675" t="s">
        <v>40286</v>
      </c>
      <c r="D17675" t="str">
        <f>"3106"</f>
        <v>3106</v>
      </c>
      <c r="E17675" t="s">
        <v>230</v>
      </c>
      <c r="F17675" t="s">
        <v>24019</v>
      </c>
      <c r="G17675" t="s">
        <v>47091</v>
      </c>
      <c r="H17675" t="s">
        <v>47055</v>
      </c>
      <c r="I17675" t="s">
        <v>47127</v>
      </c>
      <c r="J17675" t="s">
        <v>47128</v>
      </c>
      <c r="K17675" t="s">
        <v>47113</v>
      </c>
      <c r="L17675">
        <v>10.84</v>
      </c>
      <c r="M17675">
        <v>33</v>
      </c>
      <c r="N17675">
        <v>0</v>
      </c>
      <c r="O17675">
        <v>33</v>
      </c>
      <c r="P17675">
        <v>0</v>
      </c>
    </row>
    <row r="17676" spans="1:16" x14ac:dyDescent="0.25">
      <c r="A17676" t="s">
        <v>40289</v>
      </c>
      <c r="B17676" t="s">
        <v>40285</v>
      </c>
      <c r="C17676" t="s">
        <v>40286</v>
      </c>
      <c r="D17676" t="str">
        <f>"4143"</f>
        <v>4143</v>
      </c>
      <c r="E17676" t="s">
        <v>16626</v>
      </c>
      <c r="F17676" t="s">
        <v>24019</v>
      </c>
      <c r="G17676" t="s">
        <v>47091</v>
      </c>
      <c r="H17676" t="s">
        <v>47055</v>
      </c>
      <c r="I17676" t="s">
        <v>47127</v>
      </c>
      <c r="J17676" t="s">
        <v>47128</v>
      </c>
      <c r="K17676" t="s">
        <v>47113</v>
      </c>
      <c r="L17676">
        <v>10.84</v>
      </c>
      <c r="M17676">
        <v>33</v>
      </c>
      <c r="N17676">
        <v>0</v>
      </c>
      <c r="O17676">
        <v>33</v>
      </c>
      <c r="P17676">
        <v>0</v>
      </c>
    </row>
    <row r="17677" spans="1:16" x14ac:dyDescent="0.25">
      <c r="A17677" t="s">
        <v>40290</v>
      </c>
      <c r="B17677" t="s">
        <v>40291</v>
      </c>
      <c r="C17677" t="s">
        <v>2212</v>
      </c>
      <c r="D17677" t="str">
        <f>"1106"</f>
        <v>1106</v>
      </c>
      <c r="E17677" t="s">
        <v>460</v>
      </c>
      <c r="F17677" t="s">
        <v>24019</v>
      </c>
      <c r="G17677" t="s">
        <v>47091</v>
      </c>
      <c r="H17677" t="s">
        <v>47055</v>
      </c>
      <c r="I17677" t="s">
        <v>47127</v>
      </c>
      <c r="J17677" t="s">
        <v>47128</v>
      </c>
      <c r="K17677" t="s">
        <v>47113</v>
      </c>
      <c r="L17677">
        <v>10.94</v>
      </c>
      <c r="M17677">
        <v>29</v>
      </c>
      <c r="N17677">
        <v>0</v>
      </c>
      <c r="O17677">
        <v>29</v>
      </c>
      <c r="P17677">
        <v>0</v>
      </c>
    </row>
    <row r="17678" spans="1:16" x14ac:dyDescent="0.25">
      <c r="A17678" t="s">
        <v>40292</v>
      </c>
      <c r="B17678" t="s">
        <v>40291</v>
      </c>
      <c r="C17678" t="s">
        <v>2212</v>
      </c>
      <c r="D17678" t="str">
        <f>"1700"</f>
        <v>1700</v>
      </c>
      <c r="E17678" t="s">
        <v>60</v>
      </c>
      <c r="F17678" t="s">
        <v>24019</v>
      </c>
      <c r="G17678" t="s">
        <v>47091</v>
      </c>
      <c r="H17678" t="s">
        <v>47055</v>
      </c>
      <c r="I17678" t="s">
        <v>47127</v>
      </c>
      <c r="J17678" t="s">
        <v>47128</v>
      </c>
      <c r="K17678" t="s">
        <v>47113</v>
      </c>
      <c r="L17678">
        <v>10.94</v>
      </c>
      <c r="M17678">
        <v>29</v>
      </c>
      <c r="N17678">
        <v>0</v>
      </c>
      <c r="O17678">
        <v>29</v>
      </c>
      <c r="P17678">
        <v>0</v>
      </c>
    </row>
    <row r="17679" spans="1:16" x14ac:dyDescent="0.25">
      <c r="A17679" t="s">
        <v>40293</v>
      </c>
      <c r="B17679" t="s">
        <v>40291</v>
      </c>
      <c r="C17679" t="s">
        <v>2212</v>
      </c>
      <c r="D17679" t="str">
        <f>"3106"</f>
        <v>3106</v>
      </c>
      <c r="E17679" t="s">
        <v>230</v>
      </c>
      <c r="F17679" t="s">
        <v>24019</v>
      </c>
      <c r="G17679" t="s">
        <v>47091</v>
      </c>
      <c r="H17679" t="s">
        <v>47055</v>
      </c>
      <c r="I17679" t="s">
        <v>47127</v>
      </c>
      <c r="J17679" t="s">
        <v>47128</v>
      </c>
      <c r="K17679" t="s">
        <v>47113</v>
      </c>
      <c r="L17679">
        <v>10.94</v>
      </c>
      <c r="M17679">
        <v>29</v>
      </c>
      <c r="N17679">
        <v>0</v>
      </c>
      <c r="O17679">
        <v>29</v>
      </c>
      <c r="P17679">
        <v>0</v>
      </c>
    </row>
    <row r="17680" spans="1:16" x14ac:dyDescent="0.25">
      <c r="A17680" t="s">
        <v>40294</v>
      </c>
      <c r="B17680" t="s">
        <v>40291</v>
      </c>
      <c r="C17680" t="s">
        <v>2212</v>
      </c>
      <c r="D17680" t="str">
        <f>"4143"</f>
        <v>4143</v>
      </c>
      <c r="E17680" t="s">
        <v>16626</v>
      </c>
      <c r="F17680" t="s">
        <v>24019</v>
      </c>
      <c r="G17680" t="s">
        <v>47091</v>
      </c>
      <c r="H17680" t="s">
        <v>47055</v>
      </c>
      <c r="I17680" t="s">
        <v>47127</v>
      </c>
      <c r="J17680" t="s">
        <v>47128</v>
      </c>
      <c r="K17680" t="s">
        <v>47113</v>
      </c>
      <c r="L17680">
        <v>10.94</v>
      </c>
      <c r="M17680">
        <v>29</v>
      </c>
      <c r="N17680">
        <v>0</v>
      </c>
      <c r="O17680">
        <v>29</v>
      </c>
      <c r="P17680">
        <v>0</v>
      </c>
    </row>
    <row r="17681" spans="1:16" x14ac:dyDescent="0.25">
      <c r="A17681" t="s">
        <v>40295</v>
      </c>
      <c r="B17681" t="s">
        <v>40296</v>
      </c>
      <c r="C17681" t="s">
        <v>27442</v>
      </c>
      <c r="D17681" t="str">
        <f>"1106"</f>
        <v>1106</v>
      </c>
      <c r="E17681" t="s">
        <v>460</v>
      </c>
      <c r="F17681" t="s">
        <v>24019</v>
      </c>
      <c r="G17681" t="s">
        <v>47091</v>
      </c>
      <c r="H17681" t="s">
        <v>47055</v>
      </c>
      <c r="I17681" t="s">
        <v>47127</v>
      </c>
      <c r="J17681" t="s">
        <v>47128</v>
      </c>
      <c r="K17681" t="s">
        <v>47113</v>
      </c>
      <c r="L17681">
        <v>10.94</v>
      </c>
      <c r="M17681">
        <v>29</v>
      </c>
      <c r="N17681">
        <v>0</v>
      </c>
      <c r="O17681">
        <v>29</v>
      </c>
      <c r="P17681">
        <v>0</v>
      </c>
    </row>
    <row r="17682" spans="1:16" x14ac:dyDescent="0.25">
      <c r="A17682" t="s">
        <v>40297</v>
      </c>
      <c r="B17682" t="s">
        <v>40296</v>
      </c>
      <c r="C17682" t="s">
        <v>27442</v>
      </c>
      <c r="D17682" t="str">
        <f>"1285"</f>
        <v>1285</v>
      </c>
      <c r="E17682" t="s">
        <v>2148</v>
      </c>
      <c r="F17682" t="s">
        <v>24019</v>
      </c>
      <c r="G17682" t="s">
        <v>47091</v>
      </c>
      <c r="H17682" t="s">
        <v>47055</v>
      </c>
      <c r="I17682" t="s">
        <v>47127</v>
      </c>
      <c r="J17682" t="s">
        <v>47128</v>
      </c>
      <c r="K17682" t="s">
        <v>47113</v>
      </c>
      <c r="L17682">
        <v>10.94</v>
      </c>
      <c r="M17682">
        <v>29</v>
      </c>
      <c r="N17682">
        <v>0</v>
      </c>
      <c r="O17682">
        <v>29</v>
      </c>
      <c r="P17682">
        <v>0</v>
      </c>
    </row>
    <row r="17683" spans="1:16" x14ac:dyDescent="0.25">
      <c r="A17683" t="s">
        <v>40298</v>
      </c>
      <c r="B17683" t="s">
        <v>40296</v>
      </c>
      <c r="C17683" t="s">
        <v>27442</v>
      </c>
      <c r="D17683" t="str">
        <f>"4143"</f>
        <v>4143</v>
      </c>
      <c r="E17683" t="s">
        <v>16626</v>
      </c>
      <c r="F17683" t="s">
        <v>24019</v>
      </c>
      <c r="G17683" t="s">
        <v>47091</v>
      </c>
      <c r="H17683" t="s">
        <v>47055</v>
      </c>
      <c r="I17683" t="s">
        <v>47127</v>
      </c>
      <c r="J17683" t="s">
        <v>47128</v>
      </c>
      <c r="K17683" t="s">
        <v>47113</v>
      </c>
      <c r="L17683">
        <v>10.94</v>
      </c>
      <c r="M17683">
        <v>29</v>
      </c>
      <c r="N17683">
        <v>0</v>
      </c>
      <c r="O17683">
        <v>29</v>
      </c>
      <c r="P17683">
        <v>0</v>
      </c>
    </row>
    <row r="17684" spans="1:16" x14ac:dyDescent="0.25">
      <c r="A17684" t="s">
        <v>22864</v>
      </c>
      <c r="B17684" t="s">
        <v>22865</v>
      </c>
      <c r="C17684" t="s">
        <v>22866</v>
      </c>
      <c r="D17684" t="str">
        <f>"1106"</f>
        <v>1106</v>
      </c>
      <c r="E17684" t="s">
        <v>460</v>
      </c>
      <c r="F17684" t="s">
        <v>24019</v>
      </c>
      <c r="G17684" t="s">
        <v>47091</v>
      </c>
      <c r="H17684" t="s">
        <v>47055</v>
      </c>
      <c r="I17684" t="s">
        <v>47127</v>
      </c>
      <c r="J17684" t="s">
        <v>47128</v>
      </c>
      <c r="K17684" t="s">
        <v>47113</v>
      </c>
      <c r="L17684">
        <v>10.84</v>
      </c>
      <c r="M17684">
        <v>26</v>
      </c>
      <c r="N17684">
        <v>0</v>
      </c>
      <c r="O17684">
        <v>26</v>
      </c>
      <c r="P17684">
        <v>0</v>
      </c>
    </row>
    <row r="17685" spans="1:16" x14ac:dyDescent="0.25">
      <c r="A17685" t="s">
        <v>22867</v>
      </c>
      <c r="B17685" t="s">
        <v>22865</v>
      </c>
      <c r="C17685" t="s">
        <v>22866</v>
      </c>
      <c r="D17685" t="str">
        <f>"1700"</f>
        <v>1700</v>
      </c>
      <c r="E17685" t="s">
        <v>60</v>
      </c>
      <c r="F17685" t="s">
        <v>24019</v>
      </c>
      <c r="G17685" t="s">
        <v>47091</v>
      </c>
      <c r="H17685" t="s">
        <v>47055</v>
      </c>
      <c r="I17685" t="s">
        <v>47127</v>
      </c>
      <c r="J17685" t="s">
        <v>47128</v>
      </c>
      <c r="K17685" t="s">
        <v>47113</v>
      </c>
      <c r="L17685">
        <v>10.84</v>
      </c>
      <c r="M17685">
        <v>26</v>
      </c>
      <c r="N17685">
        <v>0</v>
      </c>
      <c r="O17685">
        <v>26</v>
      </c>
      <c r="P17685">
        <v>0</v>
      </c>
    </row>
    <row r="17686" spans="1:16" x14ac:dyDescent="0.25">
      <c r="A17686" t="s">
        <v>22868</v>
      </c>
      <c r="B17686" t="s">
        <v>22865</v>
      </c>
      <c r="C17686" t="s">
        <v>22866</v>
      </c>
      <c r="D17686" t="str">
        <f>"3106"</f>
        <v>3106</v>
      </c>
      <c r="E17686" t="s">
        <v>230</v>
      </c>
      <c r="F17686" t="s">
        <v>24019</v>
      </c>
      <c r="G17686" t="s">
        <v>47091</v>
      </c>
      <c r="H17686" t="s">
        <v>47055</v>
      </c>
      <c r="I17686" t="s">
        <v>47127</v>
      </c>
      <c r="J17686" t="s">
        <v>47128</v>
      </c>
      <c r="K17686" t="s">
        <v>47113</v>
      </c>
      <c r="L17686">
        <v>10.84</v>
      </c>
      <c r="M17686">
        <v>26</v>
      </c>
      <c r="N17686">
        <v>0</v>
      </c>
      <c r="O17686">
        <v>26</v>
      </c>
      <c r="P17686">
        <v>0</v>
      </c>
    </row>
    <row r="17687" spans="1:16" x14ac:dyDescent="0.25">
      <c r="A17687" t="s">
        <v>22869</v>
      </c>
      <c r="B17687" t="s">
        <v>22865</v>
      </c>
      <c r="C17687" t="s">
        <v>22866</v>
      </c>
      <c r="D17687" t="str">
        <f>"4143"</f>
        <v>4143</v>
      </c>
      <c r="E17687" t="s">
        <v>16626</v>
      </c>
      <c r="F17687" t="s">
        <v>24019</v>
      </c>
      <c r="G17687" t="s">
        <v>47091</v>
      </c>
      <c r="H17687" t="s">
        <v>47055</v>
      </c>
      <c r="I17687" t="s">
        <v>47127</v>
      </c>
      <c r="J17687" t="s">
        <v>47128</v>
      </c>
      <c r="K17687" t="s">
        <v>47113</v>
      </c>
      <c r="L17687">
        <v>10.84</v>
      </c>
      <c r="M17687">
        <v>26</v>
      </c>
      <c r="N17687">
        <v>0</v>
      </c>
      <c r="O17687">
        <v>26</v>
      </c>
      <c r="P17687">
        <v>0</v>
      </c>
    </row>
    <row r="17688" spans="1:16" x14ac:dyDescent="0.25">
      <c r="A17688" t="s">
        <v>40299</v>
      </c>
      <c r="B17688" t="s">
        <v>22871</v>
      </c>
      <c r="C17688" t="s">
        <v>22872</v>
      </c>
      <c r="D17688" t="str">
        <f>"1106"</f>
        <v>1106</v>
      </c>
      <c r="E17688" t="s">
        <v>460</v>
      </c>
      <c r="F17688" t="s">
        <v>24019</v>
      </c>
      <c r="G17688" t="s">
        <v>47091</v>
      </c>
      <c r="H17688" t="s">
        <v>47055</v>
      </c>
      <c r="I17688" t="s">
        <v>47127</v>
      </c>
      <c r="J17688" t="s">
        <v>47128</v>
      </c>
      <c r="K17688" t="s">
        <v>47113</v>
      </c>
      <c r="L17688">
        <v>12.34</v>
      </c>
      <c r="M17688">
        <v>40</v>
      </c>
      <c r="N17688">
        <v>0</v>
      </c>
      <c r="O17688">
        <v>40</v>
      </c>
      <c r="P17688">
        <v>0</v>
      </c>
    </row>
    <row r="17689" spans="1:16" x14ac:dyDescent="0.25">
      <c r="A17689" t="s">
        <v>40300</v>
      </c>
      <c r="B17689" t="s">
        <v>22871</v>
      </c>
      <c r="C17689" t="s">
        <v>22872</v>
      </c>
      <c r="D17689" t="str">
        <f>"1700"</f>
        <v>1700</v>
      </c>
      <c r="E17689" t="s">
        <v>60</v>
      </c>
      <c r="F17689" t="s">
        <v>24019</v>
      </c>
      <c r="G17689" t="s">
        <v>47091</v>
      </c>
      <c r="H17689" t="s">
        <v>47055</v>
      </c>
      <c r="I17689" t="s">
        <v>47127</v>
      </c>
      <c r="J17689" t="s">
        <v>47128</v>
      </c>
      <c r="K17689" t="s">
        <v>47113</v>
      </c>
      <c r="L17689">
        <v>12.34</v>
      </c>
      <c r="M17689">
        <v>40</v>
      </c>
      <c r="N17689">
        <v>0</v>
      </c>
      <c r="O17689">
        <v>40</v>
      </c>
      <c r="P17689">
        <v>0</v>
      </c>
    </row>
    <row r="17690" spans="1:16" x14ac:dyDescent="0.25">
      <c r="A17690" t="s">
        <v>40301</v>
      </c>
      <c r="B17690" t="s">
        <v>22871</v>
      </c>
      <c r="C17690" t="s">
        <v>22872</v>
      </c>
      <c r="D17690" t="str">
        <f>"3106"</f>
        <v>3106</v>
      </c>
      <c r="E17690" t="s">
        <v>230</v>
      </c>
      <c r="F17690" t="s">
        <v>24019</v>
      </c>
      <c r="G17690" t="s">
        <v>47091</v>
      </c>
      <c r="H17690" t="s">
        <v>47055</v>
      </c>
      <c r="I17690" t="s">
        <v>47127</v>
      </c>
      <c r="J17690" t="s">
        <v>47128</v>
      </c>
      <c r="K17690" t="s">
        <v>47113</v>
      </c>
      <c r="L17690">
        <v>12.34</v>
      </c>
      <c r="M17690">
        <v>40</v>
      </c>
      <c r="N17690">
        <v>0</v>
      </c>
      <c r="O17690">
        <v>40</v>
      </c>
      <c r="P17690">
        <v>0</v>
      </c>
    </row>
    <row r="17691" spans="1:16" x14ac:dyDescent="0.25">
      <c r="A17691" t="s">
        <v>22870</v>
      </c>
      <c r="B17691" t="s">
        <v>22871</v>
      </c>
      <c r="C17691" t="s">
        <v>22872</v>
      </c>
      <c r="D17691" t="str">
        <f>"4143"</f>
        <v>4143</v>
      </c>
      <c r="E17691" t="s">
        <v>16626</v>
      </c>
      <c r="F17691" t="s">
        <v>24019</v>
      </c>
      <c r="G17691" t="s">
        <v>47091</v>
      </c>
      <c r="H17691" t="s">
        <v>47055</v>
      </c>
      <c r="I17691" t="s">
        <v>47127</v>
      </c>
      <c r="J17691" t="s">
        <v>47128</v>
      </c>
      <c r="K17691" t="s">
        <v>47113</v>
      </c>
      <c r="L17691">
        <v>12.34</v>
      </c>
      <c r="M17691">
        <v>40</v>
      </c>
      <c r="N17691">
        <v>0</v>
      </c>
      <c r="O17691">
        <v>40</v>
      </c>
      <c r="P17691">
        <v>0</v>
      </c>
    </row>
    <row r="17692" spans="1:16" x14ac:dyDescent="0.25">
      <c r="A17692" t="s">
        <v>40302</v>
      </c>
      <c r="B17692" t="s">
        <v>40303</v>
      </c>
      <c r="C17692" t="s">
        <v>40304</v>
      </c>
      <c r="D17692" t="str">
        <f>"1106"</f>
        <v>1106</v>
      </c>
      <c r="E17692" t="s">
        <v>460</v>
      </c>
      <c r="F17692" t="s">
        <v>24019</v>
      </c>
      <c r="G17692" t="s">
        <v>47091</v>
      </c>
      <c r="H17692" t="s">
        <v>47055</v>
      </c>
      <c r="I17692" t="s">
        <v>47127</v>
      </c>
      <c r="J17692" t="s">
        <v>47128</v>
      </c>
      <c r="K17692" t="s">
        <v>47113</v>
      </c>
      <c r="L17692">
        <v>11.27</v>
      </c>
      <c r="M17692">
        <v>37</v>
      </c>
      <c r="N17692">
        <v>0</v>
      </c>
      <c r="O17692">
        <v>37</v>
      </c>
      <c r="P17692">
        <v>0</v>
      </c>
    </row>
    <row r="17693" spans="1:16" x14ac:dyDescent="0.25">
      <c r="A17693" t="s">
        <v>40305</v>
      </c>
      <c r="B17693" t="s">
        <v>40303</v>
      </c>
      <c r="C17693" t="s">
        <v>40304</v>
      </c>
      <c r="D17693" t="str">
        <f>"1700"</f>
        <v>1700</v>
      </c>
      <c r="E17693" t="s">
        <v>60</v>
      </c>
      <c r="F17693" t="s">
        <v>24019</v>
      </c>
      <c r="G17693" t="s">
        <v>47091</v>
      </c>
      <c r="H17693" t="s">
        <v>47055</v>
      </c>
      <c r="I17693" t="s">
        <v>47127</v>
      </c>
      <c r="J17693" t="s">
        <v>47128</v>
      </c>
      <c r="K17693" t="s">
        <v>47113</v>
      </c>
      <c r="L17693">
        <v>11.27</v>
      </c>
      <c r="M17693">
        <v>37</v>
      </c>
      <c r="N17693">
        <v>0</v>
      </c>
      <c r="O17693">
        <v>37</v>
      </c>
      <c r="P17693">
        <v>0</v>
      </c>
    </row>
    <row r="17694" spans="1:16" x14ac:dyDescent="0.25">
      <c r="A17694" t="s">
        <v>40306</v>
      </c>
      <c r="B17694" t="s">
        <v>40303</v>
      </c>
      <c r="C17694" t="s">
        <v>40304</v>
      </c>
      <c r="D17694" t="str">
        <f>"3106"</f>
        <v>3106</v>
      </c>
      <c r="E17694" t="s">
        <v>230</v>
      </c>
      <c r="F17694" t="s">
        <v>24019</v>
      </c>
      <c r="G17694" t="s">
        <v>47091</v>
      </c>
      <c r="H17694" t="s">
        <v>47055</v>
      </c>
      <c r="I17694" t="s">
        <v>47127</v>
      </c>
      <c r="J17694" t="s">
        <v>47128</v>
      </c>
      <c r="K17694" t="s">
        <v>47113</v>
      </c>
      <c r="L17694">
        <v>11.27</v>
      </c>
      <c r="M17694">
        <v>37</v>
      </c>
      <c r="N17694">
        <v>0</v>
      </c>
      <c r="O17694">
        <v>37</v>
      </c>
      <c r="P17694">
        <v>0</v>
      </c>
    </row>
    <row r="17695" spans="1:16" x14ac:dyDescent="0.25">
      <c r="A17695" t="s">
        <v>40307</v>
      </c>
      <c r="B17695" t="s">
        <v>40303</v>
      </c>
      <c r="C17695" t="s">
        <v>40304</v>
      </c>
      <c r="D17695" t="str">
        <f>"4143"</f>
        <v>4143</v>
      </c>
      <c r="E17695" t="s">
        <v>16626</v>
      </c>
      <c r="F17695" t="s">
        <v>24019</v>
      </c>
      <c r="G17695" t="s">
        <v>47091</v>
      </c>
      <c r="H17695" t="s">
        <v>47055</v>
      </c>
      <c r="I17695" t="s">
        <v>47127</v>
      </c>
      <c r="J17695" t="s">
        <v>47128</v>
      </c>
      <c r="K17695" t="s">
        <v>47113</v>
      </c>
      <c r="L17695">
        <v>11.27</v>
      </c>
      <c r="M17695">
        <v>37</v>
      </c>
      <c r="N17695">
        <v>0</v>
      </c>
      <c r="O17695">
        <v>37</v>
      </c>
      <c r="P17695">
        <v>0</v>
      </c>
    </row>
    <row r="17696" spans="1:16" x14ac:dyDescent="0.25">
      <c r="A17696" t="s">
        <v>40308</v>
      </c>
      <c r="B17696" t="s">
        <v>40309</v>
      </c>
      <c r="C17696" t="s">
        <v>27480</v>
      </c>
      <c r="D17696" t="str">
        <f>"1106"</f>
        <v>1106</v>
      </c>
      <c r="E17696" t="s">
        <v>460</v>
      </c>
      <c r="F17696" t="s">
        <v>24019</v>
      </c>
      <c r="G17696" t="s">
        <v>47091</v>
      </c>
      <c r="H17696" t="s">
        <v>47055</v>
      </c>
      <c r="I17696" t="s">
        <v>47127</v>
      </c>
      <c r="J17696" t="s">
        <v>47128</v>
      </c>
      <c r="K17696" t="s">
        <v>47113</v>
      </c>
      <c r="L17696">
        <v>11.7</v>
      </c>
      <c r="M17696">
        <v>33</v>
      </c>
      <c r="N17696">
        <v>0</v>
      </c>
      <c r="O17696">
        <v>33</v>
      </c>
      <c r="P17696">
        <v>0</v>
      </c>
    </row>
    <row r="17697" spans="1:16" x14ac:dyDescent="0.25">
      <c r="A17697" t="s">
        <v>40310</v>
      </c>
      <c r="B17697" t="s">
        <v>40309</v>
      </c>
      <c r="C17697" t="s">
        <v>27480</v>
      </c>
      <c r="D17697" t="str">
        <f>"1700"</f>
        <v>1700</v>
      </c>
      <c r="E17697" t="s">
        <v>60</v>
      </c>
      <c r="F17697" t="s">
        <v>24019</v>
      </c>
      <c r="G17697" t="s">
        <v>47091</v>
      </c>
      <c r="H17697" t="s">
        <v>47055</v>
      </c>
      <c r="I17697" t="s">
        <v>47127</v>
      </c>
      <c r="J17697" t="s">
        <v>47128</v>
      </c>
      <c r="K17697" t="s">
        <v>47113</v>
      </c>
      <c r="L17697">
        <v>11.7</v>
      </c>
      <c r="M17697">
        <v>33</v>
      </c>
      <c r="N17697">
        <v>0</v>
      </c>
      <c r="O17697">
        <v>33</v>
      </c>
      <c r="P17697">
        <v>0</v>
      </c>
    </row>
    <row r="17698" spans="1:16" x14ac:dyDescent="0.25">
      <c r="A17698" t="s">
        <v>40311</v>
      </c>
      <c r="B17698" t="s">
        <v>40309</v>
      </c>
      <c r="C17698" t="s">
        <v>27480</v>
      </c>
      <c r="D17698" t="str">
        <f>"3106"</f>
        <v>3106</v>
      </c>
      <c r="E17698" t="s">
        <v>230</v>
      </c>
      <c r="F17698" t="s">
        <v>24019</v>
      </c>
      <c r="G17698" t="s">
        <v>47091</v>
      </c>
      <c r="H17698" t="s">
        <v>47055</v>
      </c>
      <c r="I17698" t="s">
        <v>47127</v>
      </c>
      <c r="J17698" t="s">
        <v>47128</v>
      </c>
      <c r="K17698" t="s">
        <v>47113</v>
      </c>
      <c r="L17698">
        <v>11.7</v>
      </c>
      <c r="M17698">
        <v>33</v>
      </c>
      <c r="N17698">
        <v>0</v>
      </c>
      <c r="O17698">
        <v>33</v>
      </c>
      <c r="P17698">
        <v>0</v>
      </c>
    </row>
    <row r="17699" spans="1:16" x14ac:dyDescent="0.25">
      <c r="A17699" t="s">
        <v>40312</v>
      </c>
      <c r="B17699" t="s">
        <v>40309</v>
      </c>
      <c r="C17699" t="s">
        <v>27480</v>
      </c>
      <c r="D17699" t="str">
        <f>"4143"</f>
        <v>4143</v>
      </c>
      <c r="E17699" t="s">
        <v>16626</v>
      </c>
      <c r="F17699" t="s">
        <v>24019</v>
      </c>
      <c r="G17699" t="s">
        <v>47091</v>
      </c>
      <c r="H17699" t="s">
        <v>47055</v>
      </c>
      <c r="I17699" t="s">
        <v>47127</v>
      </c>
      <c r="J17699" t="s">
        <v>47128</v>
      </c>
      <c r="K17699" t="s">
        <v>47113</v>
      </c>
      <c r="L17699">
        <v>11.7</v>
      </c>
      <c r="M17699">
        <v>33</v>
      </c>
      <c r="N17699">
        <v>0</v>
      </c>
      <c r="O17699">
        <v>33</v>
      </c>
      <c r="P17699">
        <v>0</v>
      </c>
    </row>
    <row r="17700" spans="1:16" x14ac:dyDescent="0.25">
      <c r="A17700" t="s">
        <v>40313</v>
      </c>
      <c r="B17700" t="s">
        <v>40314</v>
      </c>
      <c r="C17700" t="s">
        <v>40315</v>
      </c>
      <c r="D17700" t="str">
        <f>"1106"</f>
        <v>1106</v>
      </c>
      <c r="E17700" t="s">
        <v>460</v>
      </c>
      <c r="F17700" t="s">
        <v>24019</v>
      </c>
      <c r="G17700" t="s">
        <v>47091</v>
      </c>
      <c r="H17700" t="s">
        <v>47055</v>
      </c>
      <c r="I17700" t="s">
        <v>47127</v>
      </c>
      <c r="J17700" t="s">
        <v>47128</v>
      </c>
      <c r="K17700" t="s">
        <v>47113</v>
      </c>
      <c r="L17700">
        <v>11.7</v>
      </c>
      <c r="M17700">
        <v>37</v>
      </c>
      <c r="N17700">
        <v>0</v>
      </c>
      <c r="O17700">
        <v>37</v>
      </c>
      <c r="P17700">
        <v>0</v>
      </c>
    </row>
    <row r="17701" spans="1:16" x14ac:dyDescent="0.25">
      <c r="A17701" t="s">
        <v>40316</v>
      </c>
      <c r="B17701" t="s">
        <v>40314</v>
      </c>
      <c r="C17701" t="s">
        <v>40315</v>
      </c>
      <c r="D17701" t="str">
        <f>"1285"</f>
        <v>1285</v>
      </c>
      <c r="E17701" t="s">
        <v>2148</v>
      </c>
      <c r="F17701" t="s">
        <v>24019</v>
      </c>
      <c r="G17701" t="s">
        <v>47091</v>
      </c>
      <c r="H17701" t="s">
        <v>47055</v>
      </c>
      <c r="I17701" t="s">
        <v>47127</v>
      </c>
      <c r="J17701" t="s">
        <v>47128</v>
      </c>
      <c r="K17701" t="s">
        <v>47113</v>
      </c>
      <c r="L17701">
        <v>11.7</v>
      </c>
      <c r="M17701">
        <v>37</v>
      </c>
      <c r="N17701">
        <v>0</v>
      </c>
      <c r="O17701">
        <v>37</v>
      </c>
      <c r="P17701">
        <v>0</v>
      </c>
    </row>
    <row r="17702" spans="1:16" x14ac:dyDescent="0.25">
      <c r="A17702" t="s">
        <v>40317</v>
      </c>
      <c r="B17702" t="s">
        <v>40318</v>
      </c>
      <c r="C17702" t="s">
        <v>40319</v>
      </c>
      <c r="D17702" t="str">
        <f>"1106"</f>
        <v>1106</v>
      </c>
      <c r="E17702" t="s">
        <v>460</v>
      </c>
      <c r="F17702" t="s">
        <v>24019</v>
      </c>
      <c r="G17702" t="s">
        <v>47091</v>
      </c>
      <c r="H17702" t="s">
        <v>47055</v>
      </c>
      <c r="I17702" t="s">
        <v>47127</v>
      </c>
      <c r="J17702" t="s">
        <v>47128</v>
      </c>
      <c r="K17702" t="s">
        <v>47113</v>
      </c>
      <c r="L17702">
        <v>11.27</v>
      </c>
      <c r="M17702">
        <v>37</v>
      </c>
      <c r="N17702">
        <v>0</v>
      </c>
      <c r="O17702">
        <v>37</v>
      </c>
      <c r="P17702">
        <v>0</v>
      </c>
    </row>
    <row r="17703" spans="1:16" x14ac:dyDescent="0.25">
      <c r="A17703" t="s">
        <v>40320</v>
      </c>
      <c r="B17703" t="s">
        <v>40318</v>
      </c>
      <c r="C17703" t="s">
        <v>40319</v>
      </c>
      <c r="D17703" t="str">
        <f>"1285"</f>
        <v>1285</v>
      </c>
      <c r="E17703" t="s">
        <v>2148</v>
      </c>
      <c r="F17703" t="s">
        <v>24019</v>
      </c>
      <c r="G17703" t="s">
        <v>47091</v>
      </c>
      <c r="H17703" t="s">
        <v>47055</v>
      </c>
      <c r="I17703" t="s">
        <v>47127</v>
      </c>
      <c r="J17703" t="s">
        <v>47128</v>
      </c>
      <c r="K17703" t="s">
        <v>47113</v>
      </c>
      <c r="L17703">
        <v>11.27</v>
      </c>
      <c r="M17703">
        <v>37</v>
      </c>
      <c r="N17703">
        <v>0</v>
      </c>
      <c r="O17703">
        <v>37</v>
      </c>
      <c r="P17703">
        <v>0</v>
      </c>
    </row>
    <row r="17704" spans="1:16" x14ac:dyDescent="0.25">
      <c r="A17704" t="s">
        <v>40321</v>
      </c>
      <c r="B17704" t="s">
        <v>40322</v>
      </c>
      <c r="C17704" t="s">
        <v>40323</v>
      </c>
      <c r="D17704" t="str">
        <f>"1700"</f>
        <v>1700</v>
      </c>
      <c r="E17704" t="s">
        <v>60</v>
      </c>
      <c r="F17704" t="s">
        <v>24019</v>
      </c>
      <c r="G17704" t="s">
        <v>47091</v>
      </c>
      <c r="H17704" t="s">
        <v>47055</v>
      </c>
      <c r="I17704" t="s">
        <v>47120</v>
      </c>
      <c r="J17704" t="s">
        <v>47121</v>
      </c>
      <c r="K17704" t="s">
        <v>47113</v>
      </c>
      <c r="L17704">
        <v>19.27</v>
      </c>
      <c r="M17704">
        <v>52</v>
      </c>
      <c r="N17704">
        <v>0</v>
      </c>
      <c r="O17704">
        <v>52</v>
      </c>
      <c r="P17704">
        <v>0</v>
      </c>
    </row>
    <row r="17705" spans="1:16" x14ac:dyDescent="0.25">
      <c r="A17705" t="s">
        <v>40324</v>
      </c>
      <c r="B17705" t="s">
        <v>40325</v>
      </c>
      <c r="C17705" t="s">
        <v>40326</v>
      </c>
      <c r="D17705" t="str">
        <f>"1001"</f>
        <v>1001</v>
      </c>
      <c r="E17705" t="s">
        <v>42</v>
      </c>
      <c r="F17705" t="s">
        <v>24019</v>
      </c>
      <c r="G17705" t="s">
        <v>47091</v>
      </c>
      <c r="H17705" t="s">
        <v>47055</v>
      </c>
      <c r="I17705" t="s">
        <v>47120</v>
      </c>
      <c r="J17705" t="s">
        <v>47121</v>
      </c>
      <c r="K17705" t="s">
        <v>47113</v>
      </c>
      <c r="L17705">
        <v>31.32</v>
      </c>
      <c r="M17705">
        <v>77</v>
      </c>
      <c r="N17705">
        <v>0</v>
      </c>
      <c r="O17705">
        <v>77</v>
      </c>
      <c r="P17705">
        <v>0</v>
      </c>
    </row>
    <row r="17706" spans="1:16" x14ac:dyDescent="0.25">
      <c r="A17706" t="s">
        <v>40327</v>
      </c>
      <c r="B17706" t="s">
        <v>40328</v>
      </c>
      <c r="C17706" t="s">
        <v>40329</v>
      </c>
      <c r="D17706" t="str">
        <f>"1700"</f>
        <v>1700</v>
      </c>
      <c r="E17706" t="s">
        <v>60</v>
      </c>
      <c r="F17706" t="s">
        <v>24019</v>
      </c>
      <c r="G17706" t="s">
        <v>47091</v>
      </c>
      <c r="H17706" t="s">
        <v>47055</v>
      </c>
      <c r="I17706" t="s">
        <v>47120</v>
      </c>
      <c r="J17706" t="s">
        <v>47121</v>
      </c>
      <c r="K17706" t="s">
        <v>47113</v>
      </c>
      <c r="L17706">
        <v>18.309999999999999</v>
      </c>
      <c r="M17706">
        <v>63</v>
      </c>
      <c r="N17706">
        <v>0</v>
      </c>
      <c r="O17706">
        <v>63</v>
      </c>
      <c r="P17706">
        <v>0</v>
      </c>
    </row>
    <row r="17707" spans="1:16" x14ac:dyDescent="0.25">
      <c r="A17707" t="s">
        <v>40330</v>
      </c>
      <c r="B17707" t="s">
        <v>40328</v>
      </c>
      <c r="C17707" t="s">
        <v>40329</v>
      </c>
      <c r="D17707" t="str">
        <f>"4922"</f>
        <v>4922</v>
      </c>
      <c r="E17707" t="s">
        <v>4175</v>
      </c>
      <c r="F17707" t="s">
        <v>24019</v>
      </c>
      <c r="G17707" t="s">
        <v>47091</v>
      </c>
      <c r="H17707" t="s">
        <v>47055</v>
      </c>
      <c r="I17707" t="s">
        <v>47120</v>
      </c>
      <c r="J17707" t="s">
        <v>47121</v>
      </c>
      <c r="K17707" t="s">
        <v>47113</v>
      </c>
      <c r="L17707">
        <v>18.309999999999999</v>
      </c>
      <c r="M17707">
        <v>52</v>
      </c>
      <c r="N17707">
        <v>0</v>
      </c>
      <c r="O17707">
        <v>52</v>
      </c>
      <c r="P17707">
        <v>0</v>
      </c>
    </row>
    <row r="17708" spans="1:16" x14ac:dyDescent="0.25">
      <c r="A17708" t="s">
        <v>40331</v>
      </c>
      <c r="B17708" t="s">
        <v>40332</v>
      </c>
      <c r="C17708" t="s">
        <v>40333</v>
      </c>
      <c r="D17708" t="str">
        <f>"1106"</f>
        <v>1106</v>
      </c>
      <c r="E17708" t="s">
        <v>460</v>
      </c>
      <c r="F17708" t="s">
        <v>24019</v>
      </c>
      <c r="G17708" t="s">
        <v>47091</v>
      </c>
      <c r="H17708" t="s">
        <v>47055</v>
      </c>
      <c r="I17708" t="s">
        <v>47127</v>
      </c>
      <c r="J17708" t="s">
        <v>47128</v>
      </c>
      <c r="K17708" t="s">
        <v>47113</v>
      </c>
      <c r="L17708">
        <v>14.16</v>
      </c>
      <c r="M17708">
        <v>40</v>
      </c>
      <c r="N17708">
        <v>0</v>
      </c>
      <c r="O17708">
        <v>40</v>
      </c>
      <c r="P17708">
        <v>0</v>
      </c>
    </row>
    <row r="17709" spans="1:16" x14ac:dyDescent="0.25">
      <c r="A17709" t="s">
        <v>40334</v>
      </c>
      <c r="B17709" t="s">
        <v>40332</v>
      </c>
      <c r="C17709" t="s">
        <v>40333</v>
      </c>
      <c r="D17709" t="str">
        <f>"1700"</f>
        <v>1700</v>
      </c>
      <c r="E17709" t="s">
        <v>60</v>
      </c>
      <c r="F17709" t="s">
        <v>24019</v>
      </c>
      <c r="G17709" t="s">
        <v>47091</v>
      </c>
      <c r="H17709" t="s">
        <v>47055</v>
      </c>
      <c r="I17709" t="s">
        <v>47127</v>
      </c>
      <c r="J17709" t="s">
        <v>47128</v>
      </c>
      <c r="K17709" t="s">
        <v>47113</v>
      </c>
      <c r="L17709">
        <v>14.16</v>
      </c>
      <c r="M17709">
        <v>40</v>
      </c>
      <c r="N17709">
        <v>0</v>
      </c>
      <c r="O17709">
        <v>40</v>
      </c>
      <c r="P17709">
        <v>0</v>
      </c>
    </row>
    <row r="17710" spans="1:16" x14ac:dyDescent="0.25">
      <c r="A17710" t="s">
        <v>22873</v>
      </c>
      <c r="B17710" t="s">
        <v>22874</v>
      </c>
      <c r="C17710" t="s">
        <v>22875</v>
      </c>
      <c r="D17710" t="str">
        <f>"1001"</f>
        <v>1001</v>
      </c>
      <c r="E17710" t="s">
        <v>42</v>
      </c>
      <c r="F17710" t="s">
        <v>24019</v>
      </c>
      <c r="G17710" t="s">
        <v>47098</v>
      </c>
      <c r="H17710" t="s">
        <v>47055</v>
      </c>
      <c r="I17710" t="s">
        <v>47120</v>
      </c>
      <c r="J17710" t="s">
        <v>47121</v>
      </c>
      <c r="K17710" t="s">
        <v>47113</v>
      </c>
      <c r="L17710">
        <v>92.51</v>
      </c>
      <c r="M17710">
        <v>259</v>
      </c>
      <c r="N17710">
        <v>0</v>
      </c>
      <c r="O17710">
        <v>259</v>
      </c>
      <c r="P17710">
        <v>0</v>
      </c>
    </row>
    <row r="17711" spans="1:16" x14ac:dyDescent="0.25">
      <c r="A17711" t="s">
        <v>40335</v>
      </c>
      <c r="B17711" t="s">
        <v>40336</v>
      </c>
      <c r="C17711" t="s">
        <v>40337</v>
      </c>
      <c r="D17711" t="str">
        <f>"2723"</f>
        <v>2723</v>
      </c>
      <c r="E17711" t="s">
        <v>16220</v>
      </c>
      <c r="F17711" t="s">
        <v>17351</v>
      </c>
      <c r="G17711" t="s">
        <v>47098</v>
      </c>
      <c r="H17711" t="s">
        <v>47055</v>
      </c>
      <c r="I17711" t="s">
        <v>47120</v>
      </c>
      <c r="J17711" t="s">
        <v>47121</v>
      </c>
      <c r="K17711" t="s">
        <v>47113</v>
      </c>
      <c r="L17711">
        <v>120.46</v>
      </c>
      <c r="M17711">
        <v>289</v>
      </c>
      <c r="N17711">
        <v>0</v>
      </c>
      <c r="O17711">
        <v>289</v>
      </c>
      <c r="P17711">
        <v>0</v>
      </c>
    </row>
    <row r="17712" spans="1:16" x14ac:dyDescent="0.25">
      <c r="A17712" t="s">
        <v>40338</v>
      </c>
      <c r="B17712" t="s">
        <v>40339</v>
      </c>
      <c r="C17712" t="s">
        <v>40340</v>
      </c>
      <c r="D17712" t="str">
        <f>"1001"</f>
        <v>1001</v>
      </c>
      <c r="E17712" t="str">
        <f>"1001"</f>
        <v>1001</v>
      </c>
      <c r="F17712" t="s">
        <v>24019</v>
      </c>
      <c r="G17712" t="s">
        <v>47099</v>
      </c>
      <c r="H17712" t="s">
        <v>47055</v>
      </c>
      <c r="I17712" t="s">
        <v>47120</v>
      </c>
      <c r="J17712" t="s">
        <v>47121</v>
      </c>
      <c r="K17712" t="s">
        <v>47113</v>
      </c>
      <c r="L17712">
        <v>129.13</v>
      </c>
      <c r="M17712">
        <v>259</v>
      </c>
      <c r="N17712">
        <v>0</v>
      </c>
      <c r="O17712">
        <v>259</v>
      </c>
      <c r="P17712">
        <v>0</v>
      </c>
    </row>
    <row r="17713" spans="1:16" x14ac:dyDescent="0.25">
      <c r="A17713" t="s">
        <v>40341</v>
      </c>
      <c r="B17713" t="s">
        <v>40342</v>
      </c>
      <c r="C17713" t="s">
        <v>40343</v>
      </c>
      <c r="D17713" t="str">
        <f>"2723"</f>
        <v>2723</v>
      </c>
      <c r="E17713" t="s">
        <v>16220</v>
      </c>
      <c r="F17713" t="s">
        <v>24019</v>
      </c>
      <c r="G17713" t="s">
        <v>47099</v>
      </c>
      <c r="H17713" t="s">
        <v>47055</v>
      </c>
      <c r="I17713" t="s">
        <v>47120</v>
      </c>
      <c r="J17713" t="s">
        <v>47121</v>
      </c>
      <c r="K17713" t="s">
        <v>47113</v>
      </c>
      <c r="L17713">
        <v>120.46</v>
      </c>
      <c r="M17713">
        <v>259</v>
      </c>
      <c r="N17713">
        <v>0</v>
      </c>
      <c r="O17713">
        <v>259</v>
      </c>
      <c r="P17713">
        <v>0</v>
      </c>
    </row>
    <row r="17714" spans="1:16" x14ac:dyDescent="0.25">
      <c r="A17714" t="s">
        <v>40344</v>
      </c>
      <c r="B17714" t="s">
        <v>21426</v>
      </c>
      <c r="C17714" t="s">
        <v>21427</v>
      </c>
      <c r="D17714" t="str">
        <f>"3106"</f>
        <v>3106</v>
      </c>
      <c r="E17714" t="s">
        <v>230</v>
      </c>
      <c r="F17714" t="s">
        <v>16623</v>
      </c>
      <c r="G17714" t="s">
        <v>47094</v>
      </c>
      <c r="H17714" t="s">
        <v>47055</v>
      </c>
      <c r="I17714" t="s">
        <v>47120</v>
      </c>
      <c r="J17714" t="s">
        <v>47121</v>
      </c>
      <c r="K17714" t="s">
        <v>47113</v>
      </c>
      <c r="L17714">
        <v>45.03</v>
      </c>
      <c r="M17714">
        <v>100</v>
      </c>
      <c r="N17714">
        <v>0</v>
      </c>
      <c r="O17714">
        <v>100</v>
      </c>
      <c r="P17714">
        <v>0</v>
      </c>
    </row>
    <row r="17715" spans="1:16" x14ac:dyDescent="0.25">
      <c r="A17715" t="s">
        <v>40345</v>
      </c>
      <c r="B17715" t="s">
        <v>21426</v>
      </c>
      <c r="C17715" t="s">
        <v>21427</v>
      </c>
      <c r="D17715" t="str">
        <f>"4765"</f>
        <v>4765</v>
      </c>
      <c r="E17715" t="s">
        <v>4369</v>
      </c>
      <c r="F17715" t="s">
        <v>16623</v>
      </c>
      <c r="G17715" t="s">
        <v>47094</v>
      </c>
      <c r="H17715" t="s">
        <v>47055</v>
      </c>
      <c r="I17715" t="s">
        <v>47120</v>
      </c>
      <c r="J17715" t="s">
        <v>47121</v>
      </c>
      <c r="K17715" t="s">
        <v>47113</v>
      </c>
      <c r="L17715">
        <v>45.03</v>
      </c>
      <c r="M17715">
        <v>100</v>
      </c>
      <c r="N17715">
        <v>0</v>
      </c>
      <c r="O17715">
        <v>100</v>
      </c>
      <c r="P17715">
        <v>0</v>
      </c>
    </row>
    <row r="17716" spans="1:16" x14ac:dyDescent="0.25">
      <c r="A17716" t="s">
        <v>40346</v>
      </c>
      <c r="B17716" t="s">
        <v>18356</v>
      </c>
      <c r="C17716" t="s">
        <v>18357</v>
      </c>
      <c r="D17716" t="str">
        <f>"1383"</f>
        <v>1383</v>
      </c>
      <c r="E17716" t="s">
        <v>2273</v>
      </c>
      <c r="F17716" t="s">
        <v>16623</v>
      </c>
      <c r="G17716" t="s">
        <v>47098</v>
      </c>
      <c r="H17716" t="s">
        <v>47055</v>
      </c>
      <c r="I17716" t="s">
        <v>47120</v>
      </c>
      <c r="J17716" t="s">
        <v>47121</v>
      </c>
      <c r="K17716" t="s">
        <v>47113</v>
      </c>
      <c r="L17716">
        <v>116.33</v>
      </c>
      <c r="M17716">
        <v>196</v>
      </c>
      <c r="N17716">
        <v>0</v>
      </c>
      <c r="O17716">
        <v>196</v>
      </c>
      <c r="P17716">
        <v>0</v>
      </c>
    </row>
    <row r="17717" spans="1:16" x14ac:dyDescent="0.25">
      <c r="A17717" t="s">
        <v>40347</v>
      </c>
      <c r="B17717" t="s">
        <v>21428</v>
      </c>
      <c r="C17717" t="s">
        <v>21429</v>
      </c>
      <c r="D17717" t="str">
        <f>"4001"</f>
        <v>4001</v>
      </c>
      <c r="E17717" t="s">
        <v>19675</v>
      </c>
      <c r="F17717" t="s">
        <v>16623</v>
      </c>
      <c r="G17717" t="s">
        <v>47093</v>
      </c>
      <c r="H17717" t="s">
        <v>47055</v>
      </c>
      <c r="I17717" t="s">
        <v>47127</v>
      </c>
      <c r="J17717" t="s">
        <v>47128</v>
      </c>
      <c r="K17717" t="s">
        <v>47113</v>
      </c>
      <c r="L17717">
        <v>34.56</v>
      </c>
      <c r="M17717">
        <v>74</v>
      </c>
      <c r="N17717">
        <v>0</v>
      </c>
      <c r="O17717">
        <v>74</v>
      </c>
      <c r="P17717">
        <v>0</v>
      </c>
    </row>
    <row r="17718" spans="1:16" x14ac:dyDescent="0.25">
      <c r="A17718" t="s">
        <v>49031</v>
      </c>
      <c r="B17718" t="s">
        <v>21430</v>
      </c>
      <c r="C17718" t="s">
        <v>21429</v>
      </c>
      <c r="D17718" t="str">
        <f>"4001"</f>
        <v>4001</v>
      </c>
      <c r="E17718" t="s">
        <v>19696</v>
      </c>
      <c r="F17718" t="s">
        <v>16623</v>
      </c>
      <c r="G17718" t="s">
        <v>47093</v>
      </c>
      <c r="H17718" t="s">
        <v>47054</v>
      </c>
      <c r="I17718" t="s">
        <v>47127</v>
      </c>
      <c r="J17718" t="s">
        <v>47128</v>
      </c>
      <c r="K17718" t="s">
        <v>47113</v>
      </c>
      <c r="L17718">
        <v>71.010000000000005</v>
      </c>
      <c r="M17718">
        <v>122</v>
      </c>
      <c r="N17718">
        <v>329</v>
      </c>
      <c r="O17718">
        <v>122</v>
      </c>
      <c r="P17718">
        <v>329</v>
      </c>
    </row>
    <row r="17719" spans="1:16" x14ac:dyDescent="0.25">
      <c r="A17719" t="s">
        <v>40348</v>
      </c>
      <c r="B17719" t="s">
        <v>21430</v>
      </c>
      <c r="C17719" t="s">
        <v>21429</v>
      </c>
      <c r="D17719" t="str">
        <f>"4002"</f>
        <v>4002</v>
      </c>
      <c r="E17719" t="s">
        <v>19696</v>
      </c>
      <c r="F17719" t="s">
        <v>16623</v>
      </c>
      <c r="G17719" t="s">
        <v>47093</v>
      </c>
      <c r="H17719" t="s">
        <v>47054</v>
      </c>
      <c r="I17719" t="s">
        <v>47127</v>
      </c>
      <c r="J17719" t="s">
        <v>47128</v>
      </c>
      <c r="K17719" t="s">
        <v>47113</v>
      </c>
      <c r="L17719">
        <v>38.61</v>
      </c>
      <c r="M17719">
        <v>81</v>
      </c>
      <c r="N17719">
        <v>0</v>
      </c>
      <c r="O17719">
        <v>81</v>
      </c>
      <c r="P17719">
        <v>0</v>
      </c>
    </row>
    <row r="17720" spans="1:16" x14ac:dyDescent="0.25">
      <c r="A17720" t="s">
        <v>40349</v>
      </c>
      <c r="B17720" t="s">
        <v>21431</v>
      </c>
      <c r="C17720" t="s">
        <v>21432</v>
      </c>
      <c r="D17720" t="str">
        <f>"1016"</f>
        <v>1016</v>
      </c>
      <c r="E17720" t="s">
        <v>21433</v>
      </c>
      <c r="F17720" t="s">
        <v>16623</v>
      </c>
      <c r="G17720" t="s">
        <v>47093</v>
      </c>
      <c r="H17720" t="s">
        <v>47055</v>
      </c>
      <c r="I17720" t="s">
        <v>47127</v>
      </c>
      <c r="J17720" t="s">
        <v>47128</v>
      </c>
      <c r="K17720" t="s">
        <v>47113</v>
      </c>
      <c r="L17720">
        <v>32.64</v>
      </c>
      <c r="M17720">
        <v>70</v>
      </c>
      <c r="N17720">
        <v>0</v>
      </c>
      <c r="O17720">
        <v>70</v>
      </c>
      <c r="P17720">
        <v>0</v>
      </c>
    </row>
    <row r="17721" spans="1:16" x14ac:dyDescent="0.25">
      <c r="A17721" t="s">
        <v>49032</v>
      </c>
      <c r="B17721" t="s">
        <v>21434</v>
      </c>
      <c r="C17721" t="s">
        <v>21432</v>
      </c>
      <c r="D17721" t="str">
        <f>"1001"</f>
        <v>1001</v>
      </c>
      <c r="E17721" t="s">
        <v>19683</v>
      </c>
      <c r="F17721" t="s">
        <v>16623</v>
      </c>
      <c r="G17721" t="s">
        <v>47093</v>
      </c>
      <c r="H17721" t="s">
        <v>47054</v>
      </c>
      <c r="I17721" t="s">
        <v>47127</v>
      </c>
      <c r="J17721" t="s">
        <v>47128</v>
      </c>
      <c r="K17721" t="s">
        <v>47113</v>
      </c>
      <c r="L17721">
        <v>73.62</v>
      </c>
      <c r="M17721">
        <v>122</v>
      </c>
      <c r="N17721">
        <v>329</v>
      </c>
      <c r="O17721">
        <v>122</v>
      </c>
      <c r="P17721">
        <v>329</v>
      </c>
    </row>
    <row r="17722" spans="1:16" x14ac:dyDescent="0.25">
      <c r="A17722" t="s">
        <v>40350</v>
      </c>
      <c r="B17722" t="s">
        <v>21434</v>
      </c>
      <c r="C17722" t="s">
        <v>21432</v>
      </c>
      <c r="D17722" t="str">
        <f>"1008"</f>
        <v>1008</v>
      </c>
      <c r="E17722" t="s">
        <v>19683</v>
      </c>
      <c r="F17722" t="s">
        <v>16623</v>
      </c>
      <c r="G17722" t="s">
        <v>47093</v>
      </c>
      <c r="H17722" t="s">
        <v>47054</v>
      </c>
      <c r="I17722" t="s">
        <v>47127</v>
      </c>
      <c r="J17722" t="s">
        <v>47128</v>
      </c>
      <c r="K17722" t="s">
        <v>47113</v>
      </c>
      <c r="L17722">
        <v>37.19</v>
      </c>
      <c r="M17722">
        <v>81</v>
      </c>
      <c r="N17722">
        <v>0</v>
      </c>
      <c r="O17722">
        <v>81</v>
      </c>
      <c r="P17722">
        <v>0</v>
      </c>
    </row>
    <row r="17723" spans="1:16" x14ac:dyDescent="0.25">
      <c r="A17723" t="s">
        <v>40351</v>
      </c>
      <c r="B17723" t="s">
        <v>21435</v>
      </c>
      <c r="C17723" t="s">
        <v>21436</v>
      </c>
      <c r="D17723" t="str">
        <f>"1200"</f>
        <v>1200</v>
      </c>
      <c r="E17723" t="s">
        <v>241</v>
      </c>
      <c r="F17723" t="s">
        <v>16623</v>
      </c>
      <c r="G17723" t="s">
        <v>47093</v>
      </c>
      <c r="H17723" t="s">
        <v>47055</v>
      </c>
      <c r="I17723" t="s">
        <v>47127</v>
      </c>
      <c r="J17723" t="s">
        <v>47128</v>
      </c>
      <c r="K17723" t="s">
        <v>47113</v>
      </c>
      <c r="L17723">
        <v>27.66</v>
      </c>
      <c r="M17723">
        <v>66</v>
      </c>
      <c r="N17723">
        <v>0</v>
      </c>
      <c r="O17723">
        <v>66</v>
      </c>
      <c r="P17723">
        <v>0</v>
      </c>
    </row>
    <row r="17724" spans="1:16" x14ac:dyDescent="0.25">
      <c r="A17724" t="s">
        <v>40352</v>
      </c>
      <c r="B17724" t="s">
        <v>21437</v>
      </c>
      <c r="C17724" t="s">
        <v>21438</v>
      </c>
      <c r="D17724" t="str">
        <f>"1218"</f>
        <v>1218</v>
      </c>
      <c r="E17724" t="s">
        <v>21439</v>
      </c>
      <c r="F17724" t="s">
        <v>16623</v>
      </c>
      <c r="G17724" t="s">
        <v>47093</v>
      </c>
      <c r="H17724" t="s">
        <v>47055</v>
      </c>
      <c r="I17724" t="s">
        <v>47127</v>
      </c>
      <c r="J17724" t="s">
        <v>47128</v>
      </c>
      <c r="K17724" t="s">
        <v>47113</v>
      </c>
      <c r="L17724">
        <v>27.66</v>
      </c>
      <c r="M17724">
        <v>66</v>
      </c>
      <c r="N17724">
        <v>0</v>
      </c>
      <c r="O17724">
        <v>66</v>
      </c>
      <c r="P17724">
        <v>0</v>
      </c>
    </row>
    <row r="17725" spans="1:16" x14ac:dyDescent="0.25">
      <c r="A17725" t="s">
        <v>49033</v>
      </c>
      <c r="B17725" t="s">
        <v>21440</v>
      </c>
      <c r="C17725" t="s">
        <v>10614</v>
      </c>
      <c r="D17725" t="str">
        <f>"03"</f>
        <v>03</v>
      </c>
      <c r="E17725" t="s">
        <v>21442</v>
      </c>
      <c r="F17725" t="s">
        <v>17351</v>
      </c>
      <c r="G17725" t="s">
        <v>47093</v>
      </c>
      <c r="H17725" t="s">
        <v>47054</v>
      </c>
      <c r="I17725" t="s">
        <v>47127</v>
      </c>
      <c r="J17725" t="s">
        <v>47128</v>
      </c>
      <c r="K17725" t="s">
        <v>47113</v>
      </c>
      <c r="L17725">
        <v>75.040000000000006</v>
      </c>
      <c r="M17725">
        <v>111</v>
      </c>
      <c r="N17725">
        <v>299</v>
      </c>
      <c r="O17725">
        <v>111</v>
      </c>
      <c r="P17725">
        <v>299</v>
      </c>
    </row>
    <row r="17726" spans="1:16" x14ac:dyDescent="0.25">
      <c r="A17726" t="s">
        <v>40353</v>
      </c>
      <c r="B17726" t="s">
        <v>21440</v>
      </c>
      <c r="C17726" t="s">
        <v>10614</v>
      </c>
      <c r="D17726" t="s">
        <v>21441</v>
      </c>
      <c r="E17726" t="s">
        <v>21442</v>
      </c>
      <c r="F17726" t="s">
        <v>17351</v>
      </c>
      <c r="G17726" t="s">
        <v>47093</v>
      </c>
      <c r="H17726" t="s">
        <v>47054</v>
      </c>
      <c r="I17726" t="s">
        <v>47127</v>
      </c>
      <c r="J17726" t="s">
        <v>47128</v>
      </c>
      <c r="K17726" t="s">
        <v>47113</v>
      </c>
      <c r="L17726">
        <v>34.57</v>
      </c>
      <c r="M17726">
        <v>74</v>
      </c>
      <c r="N17726">
        <v>0</v>
      </c>
      <c r="O17726">
        <v>74</v>
      </c>
      <c r="P17726">
        <v>0</v>
      </c>
    </row>
    <row r="17727" spans="1:16" x14ac:dyDescent="0.25">
      <c r="A17727" t="s">
        <v>40354</v>
      </c>
      <c r="B17727" t="s">
        <v>21443</v>
      </c>
      <c r="C17727" t="s">
        <v>10614</v>
      </c>
      <c r="D17727" t="s">
        <v>21444</v>
      </c>
      <c r="E17727" t="s">
        <v>21445</v>
      </c>
      <c r="F17727" t="s">
        <v>17351</v>
      </c>
      <c r="G17727" t="s">
        <v>47093</v>
      </c>
      <c r="H17727" t="s">
        <v>47055</v>
      </c>
      <c r="I17727" t="s">
        <v>47127</v>
      </c>
      <c r="J17727" t="s">
        <v>47128</v>
      </c>
      <c r="K17727" t="s">
        <v>47113</v>
      </c>
      <c r="L17727">
        <v>36.44</v>
      </c>
      <c r="M17727">
        <v>82</v>
      </c>
      <c r="N17727">
        <v>0</v>
      </c>
      <c r="O17727">
        <v>82</v>
      </c>
      <c r="P17727">
        <v>0</v>
      </c>
    </row>
    <row r="17728" spans="1:16" x14ac:dyDescent="0.25">
      <c r="A17728" t="s">
        <v>40355</v>
      </c>
      <c r="B17728" t="s">
        <v>21446</v>
      </c>
      <c r="C17728" t="s">
        <v>21447</v>
      </c>
      <c r="D17728" t="s">
        <v>15897</v>
      </c>
      <c r="E17728" t="s">
        <v>21448</v>
      </c>
      <c r="F17728" t="s">
        <v>17351</v>
      </c>
      <c r="G17728" t="s">
        <v>47093</v>
      </c>
      <c r="H17728" t="s">
        <v>47055</v>
      </c>
      <c r="I17728" t="s">
        <v>47127</v>
      </c>
      <c r="J17728" t="s">
        <v>47128</v>
      </c>
      <c r="K17728" t="s">
        <v>47113</v>
      </c>
      <c r="L17728">
        <v>33.630000000000003</v>
      </c>
      <c r="M17728">
        <v>74</v>
      </c>
      <c r="N17728">
        <v>0</v>
      </c>
      <c r="O17728">
        <v>74</v>
      </c>
      <c r="P17728">
        <v>0</v>
      </c>
    </row>
    <row r="17729" spans="1:16" x14ac:dyDescent="0.25">
      <c r="A17729" t="s">
        <v>40356</v>
      </c>
      <c r="B17729" t="s">
        <v>18358</v>
      </c>
      <c r="C17729" t="s">
        <v>18359</v>
      </c>
      <c r="D17729" t="str">
        <f>"1001"</f>
        <v>1001</v>
      </c>
      <c r="E17729" t="s">
        <v>42</v>
      </c>
      <c r="F17729" t="s">
        <v>16623</v>
      </c>
      <c r="G17729" t="s">
        <v>47094</v>
      </c>
      <c r="H17729" t="s">
        <v>47055</v>
      </c>
      <c r="I17729" t="s">
        <v>47127</v>
      </c>
      <c r="J17729" t="s">
        <v>47128</v>
      </c>
      <c r="K17729" t="s">
        <v>47113</v>
      </c>
      <c r="L17729">
        <v>26.83</v>
      </c>
      <c r="M17729">
        <v>51</v>
      </c>
      <c r="N17729">
        <v>0</v>
      </c>
      <c r="O17729">
        <v>51</v>
      </c>
      <c r="P17729">
        <v>0</v>
      </c>
    </row>
    <row r="17730" spans="1:16" x14ac:dyDescent="0.25">
      <c r="A17730" t="s">
        <v>40357</v>
      </c>
      <c r="B17730" t="s">
        <v>18358</v>
      </c>
      <c r="C17730" t="s">
        <v>18359</v>
      </c>
      <c r="D17730" t="str">
        <f>"1378"</f>
        <v>1378</v>
      </c>
      <c r="E17730" t="s">
        <v>388</v>
      </c>
      <c r="F17730" t="s">
        <v>16623</v>
      </c>
      <c r="G17730" t="s">
        <v>47094</v>
      </c>
      <c r="H17730" t="s">
        <v>47055</v>
      </c>
      <c r="I17730" t="s">
        <v>47127</v>
      </c>
      <c r="J17730" t="s">
        <v>47128</v>
      </c>
      <c r="K17730" t="s">
        <v>47113</v>
      </c>
      <c r="L17730">
        <v>26.83</v>
      </c>
      <c r="M17730">
        <v>51</v>
      </c>
      <c r="N17730">
        <v>0</v>
      </c>
      <c r="O17730">
        <v>51</v>
      </c>
      <c r="P17730">
        <v>0</v>
      </c>
    </row>
    <row r="17731" spans="1:16" x14ac:dyDescent="0.25">
      <c r="A17731" t="s">
        <v>40358</v>
      </c>
      <c r="B17731" t="s">
        <v>18358</v>
      </c>
      <c r="C17731" t="s">
        <v>18359</v>
      </c>
      <c r="D17731" t="str">
        <f>"1924"</f>
        <v>1924</v>
      </c>
      <c r="E17731" t="s">
        <v>9794</v>
      </c>
      <c r="F17731" t="s">
        <v>16623</v>
      </c>
      <c r="G17731" t="s">
        <v>47094</v>
      </c>
      <c r="H17731" t="s">
        <v>47055</v>
      </c>
      <c r="I17731" t="s">
        <v>47127</v>
      </c>
      <c r="J17731" t="s">
        <v>47128</v>
      </c>
      <c r="K17731" t="s">
        <v>47113</v>
      </c>
      <c r="L17731">
        <v>26.83</v>
      </c>
      <c r="M17731">
        <v>51</v>
      </c>
      <c r="N17731">
        <v>0</v>
      </c>
      <c r="O17731">
        <v>51</v>
      </c>
      <c r="P17731">
        <v>0</v>
      </c>
    </row>
    <row r="17732" spans="1:16" x14ac:dyDescent="0.25">
      <c r="A17732" t="s">
        <v>40359</v>
      </c>
      <c r="B17732" t="s">
        <v>18358</v>
      </c>
      <c r="C17732" t="s">
        <v>18359</v>
      </c>
      <c r="D17732" t="str">
        <f>"3160"</f>
        <v>3160</v>
      </c>
      <c r="E17732" t="s">
        <v>16602</v>
      </c>
      <c r="F17732" t="s">
        <v>16623</v>
      </c>
      <c r="G17732" t="s">
        <v>47094</v>
      </c>
      <c r="H17732" t="s">
        <v>47055</v>
      </c>
      <c r="I17732" t="s">
        <v>47127</v>
      </c>
      <c r="J17732" t="s">
        <v>47128</v>
      </c>
      <c r="K17732" t="s">
        <v>47113</v>
      </c>
      <c r="L17732">
        <v>26.83</v>
      </c>
      <c r="M17732">
        <v>51</v>
      </c>
      <c r="N17732">
        <v>0</v>
      </c>
      <c r="O17732">
        <v>51</v>
      </c>
      <c r="P17732">
        <v>0</v>
      </c>
    </row>
    <row r="17733" spans="1:16" x14ac:dyDescent="0.25">
      <c r="A17733" t="s">
        <v>40360</v>
      </c>
      <c r="B17733" t="s">
        <v>18358</v>
      </c>
      <c r="C17733" t="s">
        <v>18359</v>
      </c>
      <c r="D17733" t="str">
        <f>"4000"</f>
        <v>4000</v>
      </c>
      <c r="E17733" t="s">
        <v>16630</v>
      </c>
      <c r="F17733" t="s">
        <v>16623</v>
      </c>
      <c r="G17733" t="s">
        <v>47094</v>
      </c>
      <c r="H17733" t="s">
        <v>47055</v>
      </c>
      <c r="I17733" t="s">
        <v>47127</v>
      </c>
      <c r="J17733" t="s">
        <v>47128</v>
      </c>
      <c r="K17733" t="s">
        <v>47113</v>
      </c>
      <c r="L17733">
        <v>26.83</v>
      </c>
      <c r="M17733">
        <v>51</v>
      </c>
      <c r="N17733">
        <v>0</v>
      </c>
      <c r="O17733">
        <v>51</v>
      </c>
      <c r="P17733">
        <v>0</v>
      </c>
    </row>
    <row r="17734" spans="1:16" x14ac:dyDescent="0.25">
      <c r="A17734" t="s">
        <v>40361</v>
      </c>
      <c r="B17734" t="s">
        <v>18358</v>
      </c>
      <c r="C17734" t="s">
        <v>18359</v>
      </c>
      <c r="D17734" t="str">
        <f>"4143"</f>
        <v>4143</v>
      </c>
      <c r="E17734" t="s">
        <v>16626</v>
      </c>
      <c r="F17734" t="s">
        <v>16623</v>
      </c>
      <c r="G17734" t="s">
        <v>47094</v>
      </c>
      <c r="H17734" t="s">
        <v>47055</v>
      </c>
      <c r="I17734" t="s">
        <v>47127</v>
      </c>
      <c r="J17734" t="s">
        <v>47128</v>
      </c>
      <c r="K17734" t="s">
        <v>47113</v>
      </c>
      <c r="L17734">
        <v>26.83</v>
      </c>
      <c r="M17734">
        <v>51</v>
      </c>
      <c r="N17734">
        <v>0</v>
      </c>
      <c r="O17734">
        <v>51</v>
      </c>
      <c r="P17734">
        <v>0</v>
      </c>
    </row>
    <row r="17735" spans="1:16" x14ac:dyDescent="0.25">
      <c r="A17735" t="s">
        <v>40362</v>
      </c>
      <c r="B17735" t="s">
        <v>18358</v>
      </c>
      <c r="C17735" t="s">
        <v>18359</v>
      </c>
      <c r="D17735" t="str">
        <f>"5000"</f>
        <v>5000</v>
      </c>
      <c r="E17735" t="s">
        <v>16627</v>
      </c>
      <c r="F17735" t="s">
        <v>16623</v>
      </c>
      <c r="G17735" t="s">
        <v>47094</v>
      </c>
      <c r="H17735" t="s">
        <v>47055</v>
      </c>
      <c r="I17735" t="s">
        <v>47127</v>
      </c>
      <c r="J17735" t="s">
        <v>47128</v>
      </c>
      <c r="K17735" t="s">
        <v>47113</v>
      </c>
      <c r="L17735">
        <v>26.83</v>
      </c>
      <c r="M17735">
        <v>51</v>
      </c>
      <c r="N17735">
        <v>0</v>
      </c>
      <c r="O17735">
        <v>51</v>
      </c>
      <c r="P17735">
        <v>0</v>
      </c>
    </row>
    <row r="17736" spans="1:16" x14ac:dyDescent="0.25">
      <c r="A17736" t="s">
        <v>40363</v>
      </c>
      <c r="B17736" t="s">
        <v>18358</v>
      </c>
      <c r="C17736" t="s">
        <v>18359</v>
      </c>
      <c r="D17736" t="str">
        <f>"6064"</f>
        <v>6064</v>
      </c>
      <c r="E17736" t="s">
        <v>87</v>
      </c>
      <c r="F17736" t="s">
        <v>16623</v>
      </c>
      <c r="G17736" t="s">
        <v>47094</v>
      </c>
      <c r="H17736" t="s">
        <v>47055</v>
      </c>
      <c r="I17736" t="s">
        <v>47127</v>
      </c>
      <c r="J17736" t="s">
        <v>47128</v>
      </c>
      <c r="K17736" t="s">
        <v>47113</v>
      </c>
      <c r="L17736">
        <v>26.83</v>
      </c>
      <c r="M17736">
        <v>51</v>
      </c>
      <c r="N17736">
        <v>0</v>
      </c>
      <c r="O17736">
        <v>51</v>
      </c>
      <c r="P17736">
        <v>0</v>
      </c>
    </row>
    <row r="17737" spans="1:16" x14ac:dyDescent="0.25">
      <c r="A17737" t="s">
        <v>40364</v>
      </c>
      <c r="B17737" t="s">
        <v>18358</v>
      </c>
      <c r="C17737" t="s">
        <v>18359</v>
      </c>
      <c r="D17737" t="str">
        <f>"6500"</f>
        <v>6500</v>
      </c>
      <c r="E17737" t="s">
        <v>151</v>
      </c>
      <c r="F17737" t="s">
        <v>16623</v>
      </c>
      <c r="G17737" t="s">
        <v>47094</v>
      </c>
      <c r="H17737" t="s">
        <v>47055</v>
      </c>
      <c r="I17737" t="s">
        <v>47127</v>
      </c>
      <c r="J17737" t="s">
        <v>47128</v>
      </c>
      <c r="K17737" t="s">
        <v>47113</v>
      </c>
      <c r="L17737">
        <v>26.83</v>
      </c>
      <c r="M17737">
        <v>51</v>
      </c>
      <c r="N17737">
        <v>0</v>
      </c>
      <c r="O17737">
        <v>51</v>
      </c>
      <c r="P17737">
        <v>0</v>
      </c>
    </row>
    <row r="17738" spans="1:16" x14ac:dyDescent="0.25">
      <c r="A17738" t="s">
        <v>40365</v>
      </c>
      <c r="B17738" t="s">
        <v>18358</v>
      </c>
      <c r="C17738" t="s">
        <v>18359</v>
      </c>
      <c r="D17738" t="str">
        <f>"8206"</f>
        <v>8206</v>
      </c>
      <c r="E17738" t="s">
        <v>14203</v>
      </c>
      <c r="F17738" t="s">
        <v>16623</v>
      </c>
      <c r="G17738" t="s">
        <v>47094</v>
      </c>
      <c r="H17738" t="s">
        <v>47055</v>
      </c>
      <c r="I17738" t="s">
        <v>47127</v>
      </c>
      <c r="J17738" t="s">
        <v>47128</v>
      </c>
      <c r="K17738" t="s">
        <v>47113</v>
      </c>
      <c r="L17738">
        <v>26.83</v>
      </c>
      <c r="M17738">
        <v>51</v>
      </c>
      <c r="N17738">
        <v>0</v>
      </c>
      <c r="O17738">
        <v>51</v>
      </c>
      <c r="P17738">
        <v>0</v>
      </c>
    </row>
    <row r="17739" spans="1:16" x14ac:dyDescent="0.25">
      <c r="A17739" t="s">
        <v>40366</v>
      </c>
      <c r="B17739" t="s">
        <v>18360</v>
      </c>
      <c r="C17739" t="s">
        <v>18361</v>
      </c>
      <c r="D17739" t="str">
        <f>"1001"</f>
        <v>1001</v>
      </c>
      <c r="E17739" t="s">
        <v>42</v>
      </c>
      <c r="F17739" t="s">
        <v>16623</v>
      </c>
      <c r="G17739" t="s">
        <v>47094</v>
      </c>
      <c r="H17739" t="s">
        <v>47055</v>
      </c>
      <c r="I17739" t="s">
        <v>47127</v>
      </c>
      <c r="J17739" t="s">
        <v>47128</v>
      </c>
      <c r="K17739" t="s">
        <v>47113</v>
      </c>
      <c r="L17739">
        <v>31.77</v>
      </c>
      <c r="M17739">
        <v>51</v>
      </c>
      <c r="N17739">
        <v>0</v>
      </c>
      <c r="O17739">
        <v>51</v>
      </c>
      <c r="P17739">
        <v>0</v>
      </c>
    </row>
    <row r="17740" spans="1:16" x14ac:dyDescent="0.25">
      <c r="A17740" t="s">
        <v>40367</v>
      </c>
      <c r="B17740" t="s">
        <v>18360</v>
      </c>
      <c r="C17740" t="s">
        <v>18361</v>
      </c>
      <c r="D17740" t="str">
        <f>"1924"</f>
        <v>1924</v>
      </c>
      <c r="E17740" t="s">
        <v>9794</v>
      </c>
      <c r="F17740" t="s">
        <v>16623</v>
      </c>
      <c r="G17740" t="s">
        <v>47094</v>
      </c>
      <c r="H17740" t="s">
        <v>47055</v>
      </c>
      <c r="I17740" t="s">
        <v>47127</v>
      </c>
      <c r="J17740" t="s">
        <v>47128</v>
      </c>
      <c r="K17740" t="s">
        <v>47113</v>
      </c>
      <c r="L17740">
        <v>31.3</v>
      </c>
      <c r="M17740">
        <v>51</v>
      </c>
      <c r="N17740">
        <v>0</v>
      </c>
      <c r="O17740">
        <v>51</v>
      </c>
      <c r="P17740">
        <v>0</v>
      </c>
    </row>
    <row r="17741" spans="1:16" x14ac:dyDescent="0.25">
      <c r="A17741" t="s">
        <v>40368</v>
      </c>
      <c r="B17741" t="s">
        <v>18360</v>
      </c>
      <c r="C17741" t="s">
        <v>18361</v>
      </c>
      <c r="D17741" t="str">
        <f>"3160"</f>
        <v>3160</v>
      </c>
      <c r="E17741" t="s">
        <v>16602</v>
      </c>
      <c r="F17741" t="s">
        <v>16623</v>
      </c>
      <c r="G17741" t="s">
        <v>47094</v>
      </c>
      <c r="H17741" t="s">
        <v>47055</v>
      </c>
      <c r="I17741" t="s">
        <v>47127</v>
      </c>
      <c r="J17741" t="s">
        <v>47128</v>
      </c>
      <c r="K17741" t="s">
        <v>47113</v>
      </c>
      <c r="L17741">
        <v>31.3</v>
      </c>
      <c r="M17741">
        <v>51</v>
      </c>
      <c r="N17741">
        <v>0</v>
      </c>
      <c r="O17741">
        <v>51</v>
      </c>
      <c r="P17741">
        <v>0</v>
      </c>
    </row>
    <row r="17742" spans="1:16" x14ac:dyDescent="0.25">
      <c r="A17742" t="s">
        <v>40369</v>
      </c>
      <c r="B17742" t="s">
        <v>18360</v>
      </c>
      <c r="C17742" t="s">
        <v>18361</v>
      </c>
      <c r="D17742" t="str">
        <f>"4000"</f>
        <v>4000</v>
      </c>
      <c r="E17742" t="s">
        <v>190</v>
      </c>
      <c r="F17742" t="s">
        <v>16623</v>
      </c>
      <c r="G17742" t="s">
        <v>47094</v>
      </c>
      <c r="H17742" t="s">
        <v>47055</v>
      </c>
      <c r="I17742" t="s">
        <v>47127</v>
      </c>
      <c r="J17742" t="s">
        <v>47128</v>
      </c>
      <c r="K17742" t="s">
        <v>47113</v>
      </c>
      <c r="L17742">
        <v>31.3</v>
      </c>
      <c r="M17742">
        <v>51</v>
      </c>
      <c r="N17742">
        <v>0</v>
      </c>
      <c r="O17742">
        <v>51</v>
      </c>
      <c r="P17742">
        <v>0</v>
      </c>
    </row>
    <row r="17743" spans="1:16" x14ac:dyDescent="0.25">
      <c r="A17743" t="s">
        <v>40370</v>
      </c>
      <c r="B17743" t="s">
        <v>18360</v>
      </c>
      <c r="C17743" t="s">
        <v>18361</v>
      </c>
      <c r="D17743" t="str">
        <f>"5000"</f>
        <v>5000</v>
      </c>
      <c r="E17743" t="s">
        <v>16627</v>
      </c>
      <c r="F17743" t="s">
        <v>16623</v>
      </c>
      <c r="G17743" t="s">
        <v>47094</v>
      </c>
      <c r="H17743" t="s">
        <v>47055</v>
      </c>
      <c r="I17743" t="s">
        <v>47127</v>
      </c>
      <c r="J17743" t="s">
        <v>47128</v>
      </c>
      <c r="K17743" t="s">
        <v>47113</v>
      </c>
      <c r="L17743">
        <v>31.3</v>
      </c>
      <c r="M17743">
        <v>51</v>
      </c>
      <c r="N17743">
        <v>0</v>
      </c>
      <c r="O17743">
        <v>51</v>
      </c>
      <c r="P17743">
        <v>0</v>
      </c>
    </row>
    <row r="17744" spans="1:16" x14ac:dyDescent="0.25">
      <c r="A17744" t="s">
        <v>40371</v>
      </c>
      <c r="B17744" t="s">
        <v>18360</v>
      </c>
      <c r="C17744" t="s">
        <v>18361</v>
      </c>
      <c r="D17744" t="str">
        <f>"6500"</f>
        <v>6500</v>
      </c>
      <c r="E17744" t="s">
        <v>151</v>
      </c>
      <c r="F17744" t="s">
        <v>16623</v>
      </c>
      <c r="G17744" t="s">
        <v>47094</v>
      </c>
      <c r="H17744" t="s">
        <v>47055</v>
      </c>
      <c r="I17744" t="s">
        <v>47127</v>
      </c>
      <c r="J17744" t="s">
        <v>47128</v>
      </c>
      <c r="K17744" t="s">
        <v>47113</v>
      </c>
      <c r="L17744">
        <v>31.3</v>
      </c>
      <c r="M17744">
        <v>51</v>
      </c>
      <c r="N17744">
        <v>0</v>
      </c>
      <c r="O17744">
        <v>51</v>
      </c>
      <c r="P17744">
        <v>0</v>
      </c>
    </row>
    <row r="17745" spans="1:16" x14ac:dyDescent="0.25">
      <c r="A17745" t="s">
        <v>40372</v>
      </c>
      <c r="B17745" t="s">
        <v>18360</v>
      </c>
      <c r="C17745" t="s">
        <v>18361</v>
      </c>
      <c r="D17745" t="str">
        <f>"8206"</f>
        <v>8206</v>
      </c>
      <c r="E17745" t="s">
        <v>14203</v>
      </c>
      <c r="F17745" t="s">
        <v>16623</v>
      </c>
      <c r="G17745" t="s">
        <v>47094</v>
      </c>
      <c r="H17745" t="s">
        <v>47055</v>
      </c>
      <c r="I17745" t="s">
        <v>47127</v>
      </c>
      <c r="J17745" t="s">
        <v>47128</v>
      </c>
      <c r="K17745" t="s">
        <v>47113</v>
      </c>
      <c r="L17745">
        <v>31.3</v>
      </c>
      <c r="M17745">
        <v>51</v>
      </c>
      <c r="N17745">
        <v>0</v>
      </c>
      <c r="O17745">
        <v>51</v>
      </c>
      <c r="P17745">
        <v>0</v>
      </c>
    </row>
    <row r="17746" spans="1:16" x14ac:dyDescent="0.25">
      <c r="A17746" t="s">
        <v>40373</v>
      </c>
      <c r="B17746" t="s">
        <v>18362</v>
      </c>
      <c r="C17746" t="s">
        <v>18363</v>
      </c>
      <c r="D17746" t="str">
        <f>"1001"</f>
        <v>1001</v>
      </c>
      <c r="E17746" t="s">
        <v>42</v>
      </c>
      <c r="F17746" t="s">
        <v>16623</v>
      </c>
      <c r="G17746" t="s">
        <v>47094</v>
      </c>
      <c r="H17746" t="s">
        <v>47055</v>
      </c>
      <c r="I17746" t="s">
        <v>47127</v>
      </c>
      <c r="J17746" t="s">
        <v>47128</v>
      </c>
      <c r="K17746" t="s">
        <v>47113</v>
      </c>
      <c r="L17746">
        <v>42.48</v>
      </c>
      <c r="M17746">
        <v>51</v>
      </c>
      <c r="N17746">
        <v>0</v>
      </c>
      <c r="O17746">
        <v>51</v>
      </c>
      <c r="P17746">
        <v>0</v>
      </c>
    </row>
    <row r="17747" spans="1:16" x14ac:dyDescent="0.25">
      <c r="A17747" t="s">
        <v>40374</v>
      </c>
      <c r="B17747" t="s">
        <v>18362</v>
      </c>
      <c r="C17747" t="s">
        <v>18363</v>
      </c>
      <c r="D17747" t="str">
        <f>"1285"</f>
        <v>1285</v>
      </c>
      <c r="E17747" t="s">
        <v>2148</v>
      </c>
      <c r="F17747" t="s">
        <v>16623</v>
      </c>
      <c r="G17747" t="s">
        <v>47094</v>
      </c>
      <c r="H17747" t="s">
        <v>47055</v>
      </c>
      <c r="I17747" t="s">
        <v>47127</v>
      </c>
      <c r="J17747" t="s">
        <v>47128</v>
      </c>
      <c r="K17747" t="s">
        <v>47113</v>
      </c>
      <c r="L17747">
        <v>42.48</v>
      </c>
      <c r="M17747">
        <v>51</v>
      </c>
      <c r="N17747">
        <v>0</v>
      </c>
      <c r="O17747">
        <v>51</v>
      </c>
      <c r="P17747">
        <v>0</v>
      </c>
    </row>
    <row r="17748" spans="1:16" x14ac:dyDescent="0.25">
      <c r="A17748" t="s">
        <v>40375</v>
      </c>
      <c r="B17748" t="s">
        <v>18362</v>
      </c>
      <c r="C17748" t="s">
        <v>18363</v>
      </c>
      <c r="D17748" t="str">
        <f>"1924"</f>
        <v>1924</v>
      </c>
      <c r="E17748" t="s">
        <v>9794</v>
      </c>
      <c r="F17748" t="s">
        <v>16623</v>
      </c>
      <c r="G17748" t="s">
        <v>47094</v>
      </c>
      <c r="H17748" t="s">
        <v>47055</v>
      </c>
      <c r="I17748" t="s">
        <v>47127</v>
      </c>
      <c r="J17748" t="s">
        <v>47128</v>
      </c>
      <c r="K17748" t="s">
        <v>47113</v>
      </c>
      <c r="L17748">
        <v>42.48</v>
      </c>
      <c r="M17748">
        <v>51</v>
      </c>
      <c r="N17748">
        <v>0</v>
      </c>
      <c r="O17748">
        <v>51</v>
      </c>
      <c r="P17748">
        <v>0</v>
      </c>
    </row>
    <row r="17749" spans="1:16" x14ac:dyDescent="0.25">
      <c r="A17749" t="s">
        <v>40376</v>
      </c>
      <c r="B17749" t="s">
        <v>18362</v>
      </c>
      <c r="C17749" t="s">
        <v>18363</v>
      </c>
      <c r="D17749" t="str">
        <f>"3160"</f>
        <v>3160</v>
      </c>
      <c r="E17749" t="s">
        <v>16602</v>
      </c>
      <c r="F17749" t="s">
        <v>16623</v>
      </c>
      <c r="G17749" t="s">
        <v>47094</v>
      </c>
      <c r="H17749" t="s">
        <v>47055</v>
      </c>
      <c r="I17749" t="s">
        <v>47127</v>
      </c>
      <c r="J17749" t="s">
        <v>47128</v>
      </c>
      <c r="K17749" t="s">
        <v>47113</v>
      </c>
      <c r="L17749">
        <v>42.48</v>
      </c>
      <c r="M17749">
        <v>51</v>
      </c>
      <c r="N17749">
        <v>0</v>
      </c>
      <c r="O17749">
        <v>51</v>
      </c>
      <c r="P17749">
        <v>0</v>
      </c>
    </row>
    <row r="17750" spans="1:16" x14ac:dyDescent="0.25">
      <c r="A17750" t="s">
        <v>40377</v>
      </c>
      <c r="B17750" t="s">
        <v>18362</v>
      </c>
      <c r="C17750" t="s">
        <v>18363</v>
      </c>
      <c r="D17750" t="str">
        <f>"4000"</f>
        <v>4000</v>
      </c>
      <c r="E17750" t="s">
        <v>16630</v>
      </c>
      <c r="F17750" t="s">
        <v>16623</v>
      </c>
      <c r="G17750" t="s">
        <v>47094</v>
      </c>
      <c r="H17750" t="s">
        <v>47055</v>
      </c>
      <c r="I17750" t="s">
        <v>47127</v>
      </c>
      <c r="J17750" t="s">
        <v>47128</v>
      </c>
      <c r="K17750" t="s">
        <v>47113</v>
      </c>
      <c r="L17750">
        <v>42.48</v>
      </c>
      <c r="M17750">
        <v>51</v>
      </c>
      <c r="N17750">
        <v>0</v>
      </c>
      <c r="O17750">
        <v>51</v>
      </c>
      <c r="P17750">
        <v>0</v>
      </c>
    </row>
    <row r="17751" spans="1:16" x14ac:dyDescent="0.25">
      <c r="A17751" t="s">
        <v>40378</v>
      </c>
      <c r="B17751" t="s">
        <v>18362</v>
      </c>
      <c r="C17751" t="s">
        <v>18363</v>
      </c>
      <c r="D17751" t="str">
        <f>"4143"</f>
        <v>4143</v>
      </c>
      <c r="E17751" t="s">
        <v>16626</v>
      </c>
      <c r="F17751" t="s">
        <v>16623</v>
      </c>
      <c r="G17751" t="s">
        <v>47094</v>
      </c>
      <c r="H17751" t="s">
        <v>47055</v>
      </c>
      <c r="I17751" t="s">
        <v>47127</v>
      </c>
      <c r="J17751" t="s">
        <v>47128</v>
      </c>
      <c r="K17751" t="s">
        <v>47113</v>
      </c>
      <c r="L17751">
        <v>42.48</v>
      </c>
      <c r="M17751">
        <v>51</v>
      </c>
      <c r="N17751">
        <v>0</v>
      </c>
      <c r="O17751">
        <v>51</v>
      </c>
      <c r="P17751">
        <v>0</v>
      </c>
    </row>
    <row r="17752" spans="1:16" x14ac:dyDescent="0.25">
      <c r="A17752" t="s">
        <v>40379</v>
      </c>
      <c r="B17752" t="s">
        <v>18362</v>
      </c>
      <c r="C17752" t="s">
        <v>18363</v>
      </c>
      <c r="D17752" t="str">
        <f>"5000"</f>
        <v>5000</v>
      </c>
      <c r="E17752" t="s">
        <v>16627</v>
      </c>
      <c r="F17752" t="s">
        <v>16623</v>
      </c>
      <c r="G17752" t="s">
        <v>47094</v>
      </c>
      <c r="H17752" t="s">
        <v>47055</v>
      </c>
      <c r="I17752" t="s">
        <v>47127</v>
      </c>
      <c r="J17752" t="s">
        <v>47128</v>
      </c>
      <c r="K17752" t="s">
        <v>47113</v>
      </c>
      <c r="L17752">
        <v>42.48</v>
      </c>
      <c r="M17752">
        <v>51</v>
      </c>
      <c r="N17752">
        <v>0</v>
      </c>
      <c r="O17752">
        <v>51</v>
      </c>
      <c r="P17752">
        <v>0</v>
      </c>
    </row>
    <row r="17753" spans="1:16" x14ac:dyDescent="0.25">
      <c r="A17753" t="s">
        <v>40380</v>
      </c>
      <c r="B17753" t="s">
        <v>18362</v>
      </c>
      <c r="C17753" t="s">
        <v>18363</v>
      </c>
      <c r="D17753" t="str">
        <f>"6500"</f>
        <v>6500</v>
      </c>
      <c r="E17753" t="s">
        <v>151</v>
      </c>
      <c r="F17753" t="s">
        <v>16623</v>
      </c>
      <c r="G17753" t="s">
        <v>47094</v>
      </c>
      <c r="H17753" t="s">
        <v>47055</v>
      </c>
      <c r="I17753" t="s">
        <v>47127</v>
      </c>
      <c r="J17753" t="s">
        <v>47128</v>
      </c>
      <c r="K17753" t="s">
        <v>47113</v>
      </c>
      <c r="L17753">
        <v>42.48</v>
      </c>
      <c r="M17753">
        <v>51</v>
      </c>
      <c r="N17753">
        <v>0</v>
      </c>
      <c r="O17753">
        <v>51</v>
      </c>
      <c r="P17753">
        <v>0</v>
      </c>
    </row>
    <row r="17754" spans="1:16" x14ac:dyDescent="0.25">
      <c r="A17754" t="s">
        <v>40381</v>
      </c>
      <c r="B17754" t="s">
        <v>18362</v>
      </c>
      <c r="C17754" t="s">
        <v>18363</v>
      </c>
      <c r="D17754" t="str">
        <f>"8206"</f>
        <v>8206</v>
      </c>
      <c r="E17754" t="s">
        <v>14203</v>
      </c>
      <c r="F17754" t="s">
        <v>16623</v>
      </c>
      <c r="G17754" t="s">
        <v>47094</v>
      </c>
      <c r="H17754" t="s">
        <v>47055</v>
      </c>
      <c r="I17754" t="s">
        <v>47127</v>
      </c>
      <c r="J17754" t="s">
        <v>47128</v>
      </c>
      <c r="K17754" t="s">
        <v>47113</v>
      </c>
      <c r="L17754">
        <v>42.48</v>
      </c>
      <c r="M17754">
        <v>51</v>
      </c>
      <c r="N17754">
        <v>0</v>
      </c>
      <c r="O17754">
        <v>51</v>
      </c>
      <c r="P17754">
        <v>0</v>
      </c>
    </row>
    <row r="17755" spans="1:16" x14ac:dyDescent="0.25">
      <c r="A17755" t="s">
        <v>40382</v>
      </c>
      <c r="B17755" t="s">
        <v>18364</v>
      </c>
      <c r="C17755" t="s">
        <v>18365</v>
      </c>
      <c r="D17755" t="str">
        <f>"1285"</f>
        <v>1285</v>
      </c>
      <c r="E17755" t="s">
        <v>2148</v>
      </c>
      <c r="F17755" t="s">
        <v>16623</v>
      </c>
      <c r="G17755" t="s">
        <v>47095</v>
      </c>
      <c r="H17755" t="s">
        <v>47055</v>
      </c>
      <c r="I17755" t="s">
        <v>47127</v>
      </c>
      <c r="J17755" t="s">
        <v>47128</v>
      </c>
      <c r="K17755" t="s">
        <v>47113</v>
      </c>
      <c r="L17755">
        <v>22.36</v>
      </c>
      <c r="M17755">
        <v>37</v>
      </c>
      <c r="N17755">
        <v>0</v>
      </c>
      <c r="O17755">
        <v>37</v>
      </c>
      <c r="P17755">
        <v>0</v>
      </c>
    </row>
    <row r="17756" spans="1:16" x14ac:dyDescent="0.25">
      <c r="A17756" t="s">
        <v>40383</v>
      </c>
      <c r="B17756" t="s">
        <v>18364</v>
      </c>
      <c r="C17756" t="s">
        <v>18365</v>
      </c>
      <c r="D17756" t="str">
        <f>"1378"</f>
        <v>1378</v>
      </c>
      <c r="E17756" t="s">
        <v>388</v>
      </c>
      <c r="F17756" t="s">
        <v>16623</v>
      </c>
      <c r="G17756" t="s">
        <v>47095</v>
      </c>
      <c r="H17756" t="s">
        <v>47055</v>
      </c>
      <c r="I17756" t="s">
        <v>47127</v>
      </c>
      <c r="J17756" t="s">
        <v>47128</v>
      </c>
      <c r="K17756" t="s">
        <v>47113</v>
      </c>
      <c r="L17756">
        <v>22.36</v>
      </c>
      <c r="M17756">
        <v>37</v>
      </c>
      <c r="N17756">
        <v>0</v>
      </c>
      <c r="O17756">
        <v>37</v>
      </c>
      <c r="P17756">
        <v>0</v>
      </c>
    </row>
    <row r="17757" spans="1:16" x14ac:dyDescent="0.25">
      <c r="A17757" t="s">
        <v>40384</v>
      </c>
      <c r="B17757" t="s">
        <v>18364</v>
      </c>
      <c r="C17757" t="s">
        <v>18365</v>
      </c>
      <c r="D17757" t="str">
        <f>"1924"</f>
        <v>1924</v>
      </c>
      <c r="E17757" t="s">
        <v>9794</v>
      </c>
      <c r="F17757" t="s">
        <v>16623</v>
      </c>
      <c r="G17757" t="s">
        <v>47095</v>
      </c>
      <c r="H17757" t="s">
        <v>47055</v>
      </c>
      <c r="I17757" t="s">
        <v>47127</v>
      </c>
      <c r="J17757" t="s">
        <v>47128</v>
      </c>
      <c r="K17757" t="s">
        <v>47113</v>
      </c>
      <c r="L17757">
        <v>22.36</v>
      </c>
      <c r="M17757">
        <v>37</v>
      </c>
      <c r="N17757">
        <v>0</v>
      </c>
      <c r="O17757">
        <v>37</v>
      </c>
      <c r="P17757">
        <v>0</v>
      </c>
    </row>
    <row r="17758" spans="1:16" x14ac:dyDescent="0.25">
      <c r="A17758" t="s">
        <v>40385</v>
      </c>
      <c r="B17758" t="s">
        <v>18364</v>
      </c>
      <c r="C17758" t="s">
        <v>18365</v>
      </c>
      <c r="D17758" t="str">
        <f>"3160"</f>
        <v>3160</v>
      </c>
      <c r="E17758" t="s">
        <v>16602</v>
      </c>
      <c r="F17758" t="s">
        <v>16623</v>
      </c>
      <c r="G17758" t="s">
        <v>47095</v>
      </c>
      <c r="H17758" t="s">
        <v>47055</v>
      </c>
      <c r="I17758" t="s">
        <v>47127</v>
      </c>
      <c r="J17758" t="s">
        <v>47128</v>
      </c>
      <c r="K17758" t="s">
        <v>47113</v>
      </c>
      <c r="L17758">
        <v>22.36</v>
      </c>
      <c r="M17758">
        <v>37</v>
      </c>
      <c r="N17758">
        <v>0</v>
      </c>
      <c r="O17758">
        <v>37</v>
      </c>
      <c r="P17758">
        <v>0</v>
      </c>
    </row>
    <row r="17759" spans="1:16" x14ac:dyDescent="0.25">
      <c r="A17759" t="s">
        <v>40386</v>
      </c>
      <c r="B17759" t="s">
        <v>18364</v>
      </c>
      <c r="C17759" t="s">
        <v>18365</v>
      </c>
      <c r="D17759" t="str">
        <f>"4000"</f>
        <v>4000</v>
      </c>
      <c r="E17759" t="s">
        <v>16630</v>
      </c>
      <c r="F17759" t="s">
        <v>16623</v>
      </c>
      <c r="G17759" t="s">
        <v>47095</v>
      </c>
      <c r="H17759" t="s">
        <v>47055</v>
      </c>
      <c r="I17759" t="s">
        <v>47127</v>
      </c>
      <c r="J17759" t="s">
        <v>47128</v>
      </c>
      <c r="K17759" t="s">
        <v>47113</v>
      </c>
      <c r="L17759">
        <v>22.36</v>
      </c>
      <c r="M17759">
        <v>37</v>
      </c>
      <c r="N17759">
        <v>0</v>
      </c>
      <c r="O17759">
        <v>37</v>
      </c>
      <c r="P17759">
        <v>0</v>
      </c>
    </row>
    <row r="17760" spans="1:16" x14ac:dyDescent="0.25">
      <c r="A17760" t="s">
        <v>40387</v>
      </c>
      <c r="B17760" t="s">
        <v>18364</v>
      </c>
      <c r="C17760" t="s">
        <v>18365</v>
      </c>
      <c r="D17760" t="str">
        <f>"4001"</f>
        <v>4001</v>
      </c>
      <c r="E17760" t="s">
        <v>16647</v>
      </c>
      <c r="F17760" t="s">
        <v>16623</v>
      </c>
      <c r="G17760" t="s">
        <v>47095</v>
      </c>
      <c r="H17760" t="s">
        <v>47055</v>
      </c>
      <c r="I17760" t="s">
        <v>47127</v>
      </c>
      <c r="J17760" t="s">
        <v>47128</v>
      </c>
      <c r="K17760" t="s">
        <v>47113</v>
      </c>
      <c r="L17760">
        <v>22.36</v>
      </c>
      <c r="M17760">
        <v>37</v>
      </c>
      <c r="N17760">
        <v>0</v>
      </c>
      <c r="O17760">
        <v>37</v>
      </c>
      <c r="P17760">
        <v>0</v>
      </c>
    </row>
    <row r="17761" spans="1:16" x14ac:dyDescent="0.25">
      <c r="A17761" t="s">
        <v>40388</v>
      </c>
      <c r="B17761" t="s">
        <v>18364</v>
      </c>
      <c r="C17761" t="s">
        <v>18365</v>
      </c>
      <c r="D17761" t="str">
        <f>"5000"</f>
        <v>5000</v>
      </c>
      <c r="E17761" t="s">
        <v>16627</v>
      </c>
      <c r="F17761" t="s">
        <v>16623</v>
      </c>
      <c r="G17761" t="s">
        <v>47095</v>
      </c>
      <c r="H17761" t="s">
        <v>47055</v>
      </c>
      <c r="I17761" t="s">
        <v>47127</v>
      </c>
      <c r="J17761" t="s">
        <v>47128</v>
      </c>
      <c r="K17761" t="s">
        <v>47113</v>
      </c>
      <c r="L17761">
        <v>22.36</v>
      </c>
      <c r="M17761">
        <v>37</v>
      </c>
      <c r="N17761">
        <v>0</v>
      </c>
      <c r="O17761">
        <v>37</v>
      </c>
      <c r="P17761">
        <v>0</v>
      </c>
    </row>
    <row r="17762" spans="1:16" x14ac:dyDescent="0.25">
      <c r="A17762" t="s">
        <v>40389</v>
      </c>
      <c r="B17762" t="s">
        <v>18364</v>
      </c>
      <c r="C17762" t="s">
        <v>18365</v>
      </c>
      <c r="D17762" t="str">
        <f>"6500"</f>
        <v>6500</v>
      </c>
      <c r="E17762" t="s">
        <v>151</v>
      </c>
      <c r="F17762" t="s">
        <v>16623</v>
      </c>
      <c r="G17762" t="s">
        <v>47095</v>
      </c>
      <c r="H17762" t="s">
        <v>47055</v>
      </c>
      <c r="I17762" t="s">
        <v>47127</v>
      </c>
      <c r="J17762" t="s">
        <v>47128</v>
      </c>
      <c r="K17762" t="s">
        <v>47113</v>
      </c>
      <c r="L17762">
        <v>22.36</v>
      </c>
      <c r="M17762">
        <v>37</v>
      </c>
      <c r="N17762">
        <v>0</v>
      </c>
      <c r="O17762">
        <v>37</v>
      </c>
      <c r="P17762">
        <v>0</v>
      </c>
    </row>
    <row r="17763" spans="1:16" x14ac:dyDescent="0.25">
      <c r="A17763" t="s">
        <v>40390</v>
      </c>
      <c r="B17763" t="s">
        <v>18364</v>
      </c>
      <c r="C17763" t="s">
        <v>18365</v>
      </c>
      <c r="D17763" t="str">
        <f>"8206"</f>
        <v>8206</v>
      </c>
      <c r="E17763" t="s">
        <v>14203</v>
      </c>
      <c r="F17763" t="s">
        <v>16623</v>
      </c>
      <c r="G17763" t="s">
        <v>47095</v>
      </c>
      <c r="H17763" t="s">
        <v>47055</v>
      </c>
      <c r="I17763" t="s">
        <v>47127</v>
      </c>
      <c r="J17763" t="s">
        <v>47128</v>
      </c>
      <c r="K17763" t="s">
        <v>47113</v>
      </c>
      <c r="L17763">
        <v>22.36</v>
      </c>
      <c r="M17763">
        <v>37</v>
      </c>
      <c r="N17763">
        <v>0</v>
      </c>
      <c r="O17763">
        <v>37</v>
      </c>
      <c r="P17763">
        <v>0</v>
      </c>
    </row>
    <row r="17764" spans="1:16" x14ac:dyDescent="0.25">
      <c r="A17764" t="s">
        <v>40391</v>
      </c>
      <c r="B17764" t="s">
        <v>18366</v>
      </c>
      <c r="C17764" t="s">
        <v>10760</v>
      </c>
      <c r="D17764" t="str">
        <f>"1001"</f>
        <v>1001</v>
      </c>
      <c r="E17764" t="s">
        <v>42</v>
      </c>
      <c r="F17764" t="s">
        <v>16623</v>
      </c>
      <c r="G17764" t="s">
        <v>47095</v>
      </c>
      <c r="H17764" t="s">
        <v>47055</v>
      </c>
      <c r="I17764" t="s">
        <v>47127</v>
      </c>
      <c r="J17764" t="s">
        <v>47128</v>
      </c>
      <c r="K17764" t="s">
        <v>47113</v>
      </c>
      <c r="L17764">
        <v>22.36</v>
      </c>
      <c r="M17764">
        <v>37</v>
      </c>
      <c r="N17764">
        <v>0</v>
      </c>
      <c r="O17764">
        <v>37</v>
      </c>
      <c r="P17764">
        <v>0</v>
      </c>
    </row>
    <row r="17765" spans="1:16" x14ac:dyDescent="0.25">
      <c r="A17765" t="s">
        <v>40392</v>
      </c>
      <c r="B17765" t="s">
        <v>18366</v>
      </c>
      <c r="C17765" t="s">
        <v>10760</v>
      </c>
      <c r="D17765" t="str">
        <f>"1285"</f>
        <v>1285</v>
      </c>
      <c r="E17765" t="s">
        <v>2148</v>
      </c>
      <c r="F17765" t="s">
        <v>16623</v>
      </c>
      <c r="G17765" t="s">
        <v>47095</v>
      </c>
      <c r="H17765" t="s">
        <v>47055</v>
      </c>
      <c r="I17765" t="s">
        <v>47127</v>
      </c>
      <c r="J17765" t="s">
        <v>47128</v>
      </c>
      <c r="K17765" t="s">
        <v>47113</v>
      </c>
      <c r="L17765">
        <v>22.36</v>
      </c>
      <c r="M17765">
        <v>37</v>
      </c>
      <c r="N17765">
        <v>0</v>
      </c>
      <c r="O17765">
        <v>37</v>
      </c>
      <c r="P17765">
        <v>0</v>
      </c>
    </row>
    <row r="17766" spans="1:16" x14ac:dyDescent="0.25">
      <c r="A17766" t="s">
        <v>40393</v>
      </c>
      <c r="B17766" t="s">
        <v>18366</v>
      </c>
      <c r="C17766" t="s">
        <v>10760</v>
      </c>
      <c r="D17766" t="str">
        <f>"1378"</f>
        <v>1378</v>
      </c>
      <c r="E17766" t="s">
        <v>388</v>
      </c>
      <c r="F17766" t="s">
        <v>16623</v>
      </c>
      <c r="G17766" t="s">
        <v>47095</v>
      </c>
      <c r="H17766" t="s">
        <v>47055</v>
      </c>
      <c r="I17766" t="s">
        <v>47127</v>
      </c>
      <c r="J17766" t="s">
        <v>47128</v>
      </c>
      <c r="K17766" t="s">
        <v>47113</v>
      </c>
      <c r="L17766">
        <v>22.36</v>
      </c>
      <c r="M17766">
        <v>37</v>
      </c>
      <c r="N17766">
        <v>0</v>
      </c>
      <c r="O17766">
        <v>37</v>
      </c>
      <c r="P17766">
        <v>0</v>
      </c>
    </row>
    <row r="17767" spans="1:16" x14ac:dyDescent="0.25">
      <c r="A17767" t="s">
        <v>40394</v>
      </c>
      <c r="B17767" t="s">
        <v>18366</v>
      </c>
      <c r="C17767" t="s">
        <v>10760</v>
      </c>
      <c r="D17767" t="str">
        <f>"1924"</f>
        <v>1924</v>
      </c>
      <c r="E17767" t="s">
        <v>9794</v>
      </c>
      <c r="F17767" t="s">
        <v>16623</v>
      </c>
      <c r="G17767" t="s">
        <v>47095</v>
      </c>
      <c r="H17767" t="s">
        <v>47055</v>
      </c>
      <c r="I17767" t="s">
        <v>47127</v>
      </c>
      <c r="J17767" t="s">
        <v>47128</v>
      </c>
      <c r="K17767" t="s">
        <v>47113</v>
      </c>
      <c r="L17767">
        <v>22.36</v>
      </c>
      <c r="M17767">
        <v>37</v>
      </c>
      <c r="N17767">
        <v>0</v>
      </c>
      <c r="O17767">
        <v>37</v>
      </c>
      <c r="P17767">
        <v>0</v>
      </c>
    </row>
    <row r="17768" spans="1:16" x14ac:dyDescent="0.25">
      <c r="A17768" t="s">
        <v>40395</v>
      </c>
      <c r="B17768" t="s">
        <v>18366</v>
      </c>
      <c r="C17768" t="s">
        <v>10760</v>
      </c>
      <c r="D17768" t="str">
        <f>"3160"</f>
        <v>3160</v>
      </c>
      <c r="E17768" t="s">
        <v>16602</v>
      </c>
      <c r="F17768" t="s">
        <v>16623</v>
      </c>
      <c r="G17768" t="s">
        <v>47095</v>
      </c>
      <c r="H17768" t="s">
        <v>47055</v>
      </c>
      <c r="I17768" t="s">
        <v>47127</v>
      </c>
      <c r="J17768" t="s">
        <v>47128</v>
      </c>
      <c r="K17768" t="s">
        <v>47113</v>
      </c>
      <c r="L17768">
        <v>22.36</v>
      </c>
      <c r="M17768">
        <v>37</v>
      </c>
      <c r="N17768">
        <v>0</v>
      </c>
      <c r="O17768">
        <v>37</v>
      </c>
      <c r="P17768">
        <v>0</v>
      </c>
    </row>
    <row r="17769" spans="1:16" x14ac:dyDescent="0.25">
      <c r="A17769" t="s">
        <v>40396</v>
      </c>
      <c r="B17769" t="s">
        <v>18366</v>
      </c>
      <c r="C17769" t="s">
        <v>10760</v>
      </c>
      <c r="D17769" t="str">
        <f>"4000"</f>
        <v>4000</v>
      </c>
      <c r="E17769" t="s">
        <v>16630</v>
      </c>
      <c r="F17769" t="s">
        <v>16623</v>
      </c>
      <c r="G17769" t="s">
        <v>47095</v>
      </c>
      <c r="H17769" t="s">
        <v>47055</v>
      </c>
      <c r="I17769" t="s">
        <v>47127</v>
      </c>
      <c r="J17769" t="s">
        <v>47128</v>
      </c>
      <c r="K17769" t="s">
        <v>47113</v>
      </c>
      <c r="L17769">
        <v>22.36</v>
      </c>
      <c r="M17769">
        <v>37</v>
      </c>
      <c r="N17769">
        <v>0</v>
      </c>
      <c r="O17769">
        <v>37</v>
      </c>
      <c r="P17769">
        <v>0</v>
      </c>
    </row>
    <row r="17770" spans="1:16" x14ac:dyDescent="0.25">
      <c r="A17770" t="s">
        <v>40397</v>
      </c>
      <c r="B17770" t="s">
        <v>18366</v>
      </c>
      <c r="C17770" t="s">
        <v>10760</v>
      </c>
      <c r="D17770" t="str">
        <f>"5000"</f>
        <v>5000</v>
      </c>
      <c r="E17770" t="s">
        <v>16627</v>
      </c>
      <c r="F17770" t="s">
        <v>16623</v>
      </c>
      <c r="G17770" t="s">
        <v>47095</v>
      </c>
      <c r="H17770" t="s">
        <v>47055</v>
      </c>
      <c r="I17770" t="s">
        <v>47127</v>
      </c>
      <c r="J17770" t="s">
        <v>47128</v>
      </c>
      <c r="K17770" t="s">
        <v>47113</v>
      </c>
      <c r="L17770">
        <v>22.36</v>
      </c>
      <c r="M17770">
        <v>37</v>
      </c>
      <c r="N17770">
        <v>0</v>
      </c>
      <c r="O17770">
        <v>37</v>
      </c>
      <c r="P17770">
        <v>0</v>
      </c>
    </row>
    <row r="17771" spans="1:16" x14ac:dyDescent="0.25">
      <c r="A17771" t="s">
        <v>40398</v>
      </c>
      <c r="B17771" t="s">
        <v>18366</v>
      </c>
      <c r="C17771" t="s">
        <v>10760</v>
      </c>
      <c r="D17771" t="str">
        <f>"8206"</f>
        <v>8206</v>
      </c>
      <c r="E17771" t="s">
        <v>14203</v>
      </c>
      <c r="F17771" t="s">
        <v>16623</v>
      </c>
      <c r="G17771" t="s">
        <v>47095</v>
      </c>
      <c r="H17771" t="s">
        <v>47055</v>
      </c>
      <c r="I17771" t="s">
        <v>47127</v>
      </c>
      <c r="J17771" t="s">
        <v>47128</v>
      </c>
      <c r="K17771" t="s">
        <v>47113</v>
      </c>
      <c r="L17771">
        <v>22.36</v>
      </c>
      <c r="M17771">
        <v>37</v>
      </c>
      <c r="N17771">
        <v>0</v>
      </c>
      <c r="O17771">
        <v>37</v>
      </c>
      <c r="P17771">
        <v>0</v>
      </c>
    </row>
    <row r="17772" spans="1:16" x14ac:dyDescent="0.25">
      <c r="A17772" t="s">
        <v>40399</v>
      </c>
      <c r="B17772" t="s">
        <v>18367</v>
      </c>
      <c r="C17772" t="s">
        <v>18368</v>
      </c>
      <c r="D17772" t="str">
        <f>"1378"</f>
        <v>1378</v>
      </c>
      <c r="E17772" t="s">
        <v>388</v>
      </c>
      <c r="F17772" t="s">
        <v>16623</v>
      </c>
      <c r="G17772" t="s">
        <v>47094</v>
      </c>
      <c r="H17772" t="s">
        <v>47055</v>
      </c>
      <c r="I17772" t="s">
        <v>47127</v>
      </c>
      <c r="J17772" t="s">
        <v>47128</v>
      </c>
      <c r="K17772" t="s">
        <v>47113</v>
      </c>
      <c r="L17772">
        <v>40.25</v>
      </c>
      <c r="M17772">
        <v>70</v>
      </c>
      <c r="N17772">
        <v>0</v>
      </c>
      <c r="O17772">
        <v>70</v>
      </c>
      <c r="P17772">
        <v>0</v>
      </c>
    </row>
    <row r="17773" spans="1:16" x14ac:dyDescent="0.25">
      <c r="A17773" t="s">
        <v>40400</v>
      </c>
      <c r="B17773" t="s">
        <v>18367</v>
      </c>
      <c r="C17773" t="s">
        <v>18368</v>
      </c>
      <c r="D17773" t="str">
        <f>"1924"</f>
        <v>1924</v>
      </c>
      <c r="E17773" t="s">
        <v>9794</v>
      </c>
      <c r="F17773" t="s">
        <v>16623</v>
      </c>
      <c r="G17773" t="s">
        <v>47094</v>
      </c>
      <c r="H17773" t="s">
        <v>47055</v>
      </c>
      <c r="I17773" t="s">
        <v>47127</v>
      </c>
      <c r="J17773" t="s">
        <v>47128</v>
      </c>
      <c r="K17773" t="s">
        <v>47113</v>
      </c>
      <c r="L17773">
        <v>40.25</v>
      </c>
      <c r="M17773">
        <v>70</v>
      </c>
      <c r="N17773">
        <v>0</v>
      </c>
      <c r="O17773">
        <v>70</v>
      </c>
      <c r="P17773">
        <v>0</v>
      </c>
    </row>
    <row r="17774" spans="1:16" x14ac:dyDescent="0.25">
      <c r="A17774" t="s">
        <v>40401</v>
      </c>
      <c r="B17774" t="s">
        <v>18367</v>
      </c>
      <c r="C17774" t="s">
        <v>18368</v>
      </c>
      <c r="D17774" t="str">
        <f>"3160"</f>
        <v>3160</v>
      </c>
      <c r="E17774" t="s">
        <v>16602</v>
      </c>
      <c r="F17774" t="s">
        <v>16623</v>
      </c>
      <c r="G17774" t="s">
        <v>47094</v>
      </c>
      <c r="H17774" t="s">
        <v>47055</v>
      </c>
      <c r="I17774" t="s">
        <v>47127</v>
      </c>
      <c r="J17774" t="s">
        <v>47128</v>
      </c>
      <c r="K17774" t="s">
        <v>47113</v>
      </c>
      <c r="L17774">
        <v>40.25</v>
      </c>
      <c r="M17774">
        <v>70</v>
      </c>
      <c r="N17774">
        <v>0</v>
      </c>
      <c r="O17774">
        <v>70</v>
      </c>
      <c r="P17774">
        <v>0</v>
      </c>
    </row>
    <row r="17775" spans="1:16" x14ac:dyDescent="0.25">
      <c r="A17775" t="s">
        <v>40402</v>
      </c>
      <c r="B17775" t="s">
        <v>18367</v>
      </c>
      <c r="C17775" t="s">
        <v>18368</v>
      </c>
      <c r="D17775" t="str">
        <f>"4000"</f>
        <v>4000</v>
      </c>
      <c r="E17775" t="s">
        <v>16630</v>
      </c>
      <c r="F17775" t="s">
        <v>16623</v>
      </c>
      <c r="G17775" t="s">
        <v>47094</v>
      </c>
      <c r="H17775" t="s">
        <v>47055</v>
      </c>
      <c r="I17775" t="s">
        <v>47127</v>
      </c>
      <c r="J17775" t="s">
        <v>47128</v>
      </c>
      <c r="K17775" t="s">
        <v>47113</v>
      </c>
      <c r="L17775">
        <v>40.25</v>
      </c>
      <c r="M17775">
        <v>70</v>
      </c>
      <c r="N17775">
        <v>0</v>
      </c>
      <c r="O17775">
        <v>70</v>
      </c>
      <c r="P17775">
        <v>0</v>
      </c>
    </row>
    <row r="17776" spans="1:16" x14ac:dyDescent="0.25">
      <c r="A17776" t="s">
        <v>40403</v>
      </c>
      <c r="B17776" t="s">
        <v>18367</v>
      </c>
      <c r="C17776" t="s">
        <v>18368</v>
      </c>
      <c r="D17776" t="str">
        <f>"4001"</f>
        <v>4001</v>
      </c>
      <c r="E17776" t="s">
        <v>16647</v>
      </c>
      <c r="F17776" t="s">
        <v>16623</v>
      </c>
      <c r="G17776" t="s">
        <v>47094</v>
      </c>
      <c r="H17776" t="s">
        <v>47055</v>
      </c>
      <c r="I17776" t="s">
        <v>47127</v>
      </c>
      <c r="J17776" t="s">
        <v>47128</v>
      </c>
      <c r="K17776" t="s">
        <v>47113</v>
      </c>
      <c r="L17776">
        <v>40.25</v>
      </c>
      <c r="M17776">
        <v>70</v>
      </c>
      <c r="N17776">
        <v>0</v>
      </c>
      <c r="O17776">
        <v>70</v>
      </c>
      <c r="P17776">
        <v>0</v>
      </c>
    </row>
    <row r="17777" spans="1:16" x14ac:dyDescent="0.25">
      <c r="A17777" t="s">
        <v>40404</v>
      </c>
      <c r="B17777" t="s">
        <v>18367</v>
      </c>
      <c r="C17777" t="s">
        <v>18368</v>
      </c>
      <c r="D17777" t="str">
        <f>"4143"</f>
        <v>4143</v>
      </c>
      <c r="E17777" t="s">
        <v>16626</v>
      </c>
      <c r="F17777" t="s">
        <v>16623</v>
      </c>
      <c r="G17777" t="s">
        <v>47094</v>
      </c>
      <c r="H17777" t="s">
        <v>47055</v>
      </c>
      <c r="I17777" t="s">
        <v>47127</v>
      </c>
      <c r="J17777" t="s">
        <v>47128</v>
      </c>
      <c r="K17777" t="s">
        <v>47113</v>
      </c>
      <c r="L17777">
        <v>40.25</v>
      </c>
      <c r="M17777">
        <v>70</v>
      </c>
      <c r="N17777">
        <v>0</v>
      </c>
      <c r="O17777">
        <v>70</v>
      </c>
      <c r="P17777">
        <v>0</v>
      </c>
    </row>
    <row r="17778" spans="1:16" x14ac:dyDescent="0.25">
      <c r="A17778" t="s">
        <v>40405</v>
      </c>
      <c r="B17778" t="s">
        <v>18367</v>
      </c>
      <c r="C17778" t="s">
        <v>18368</v>
      </c>
      <c r="D17778" t="str">
        <f>"5000"</f>
        <v>5000</v>
      </c>
      <c r="E17778" t="s">
        <v>16627</v>
      </c>
      <c r="F17778" t="s">
        <v>16623</v>
      </c>
      <c r="G17778" t="s">
        <v>47094</v>
      </c>
      <c r="H17778" t="s">
        <v>47055</v>
      </c>
      <c r="I17778" t="s">
        <v>47127</v>
      </c>
      <c r="J17778" t="s">
        <v>47128</v>
      </c>
      <c r="K17778" t="s">
        <v>47113</v>
      </c>
      <c r="L17778">
        <v>40.25</v>
      </c>
      <c r="M17778">
        <v>70</v>
      </c>
      <c r="N17778">
        <v>0</v>
      </c>
      <c r="O17778">
        <v>70</v>
      </c>
      <c r="P17778">
        <v>0</v>
      </c>
    </row>
    <row r="17779" spans="1:16" x14ac:dyDescent="0.25">
      <c r="A17779" t="s">
        <v>40406</v>
      </c>
      <c r="B17779" t="s">
        <v>18367</v>
      </c>
      <c r="C17779" t="s">
        <v>18368</v>
      </c>
      <c r="D17779" t="str">
        <f>"6500"</f>
        <v>6500</v>
      </c>
      <c r="E17779" t="s">
        <v>151</v>
      </c>
      <c r="F17779" t="s">
        <v>16623</v>
      </c>
      <c r="G17779" t="s">
        <v>47094</v>
      </c>
      <c r="H17779" t="s">
        <v>47055</v>
      </c>
      <c r="I17779" t="s">
        <v>47127</v>
      </c>
      <c r="J17779" t="s">
        <v>47128</v>
      </c>
      <c r="K17779" t="s">
        <v>47113</v>
      </c>
      <c r="L17779">
        <v>40.25</v>
      </c>
      <c r="M17779">
        <v>70</v>
      </c>
      <c r="N17779">
        <v>0</v>
      </c>
      <c r="O17779">
        <v>70</v>
      </c>
      <c r="P17779">
        <v>0</v>
      </c>
    </row>
    <row r="17780" spans="1:16" x14ac:dyDescent="0.25">
      <c r="A17780" t="s">
        <v>40407</v>
      </c>
      <c r="B17780" t="s">
        <v>18367</v>
      </c>
      <c r="C17780" t="s">
        <v>18368</v>
      </c>
      <c r="D17780" t="str">
        <f>"8206"</f>
        <v>8206</v>
      </c>
      <c r="E17780" t="s">
        <v>14203</v>
      </c>
      <c r="F17780" t="s">
        <v>16623</v>
      </c>
      <c r="G17780" t="s">
        <v>47094</v>
      </c>
      <c r="H17780" t="s">
        <v>47055</v>
      </c>
      <c r="I17780" t="s">
        <v>47127</v>
      </c>
      <c r="J17780" t="s">
        <v>47128</v>
      </c>
      <c r="K17780" t="s">
        <v>47113</v>
      </c>
      <c r="L17780">
        <v>40.25</v>
      </c>
      <c r="M17780">
        <v>70</v>
      </c>
      <c r="N17780">
        <v>0</v>
      </c>
      <c r="O17780">
        <v>70</v>
      </c>
      <c r="P17780">
        <v>0</v>
      </c>
    </row>
    <row r="17781" spans="1:16" x14ac:dyDescent="0.25">
      <c r="A17781" t="s">
        <v>40408</v>
      </c>
      <c r="B17781" t="s">
        <v>18369</v>
      </c>
      <c r="C17781" t="s">
        <v>3977</v>
      </c>
      <c r="D17781" t="str">
        <f>"1001"</f>
        <v>1001</v>
      </c>
      <c r="E17781" t="s">
        <v>42</v>
      </c>
      <c r="F17781" t="s">
        <v>16623</v>
      </c>
      <c r="G17781" t="s">
        <v>47098</v>
      </c>
      <c r="H17781" t="s">
        <v>47055</v>
      </c>
      <c r="I17781" t="s">
        <v>47120</v>
      </c>
      <c r="J17781" t="s">
        <v>47121</v>
      </c>
      <c r="K17781" t="s">
        <v>47113</v>
      </c>
      <c r="L17781">
        <v>167.63</v>
      </c>
      <c r="M17781">
        <v>259</v>
      </c>
      <c r="N17781">
        <v>0</v>
      </c>
      <c r="O17781">
        <v>259</v>
      </c>
      <c r="P17781">
        <v>0</v>
      </c>
    </row>
    <row r="17782" spans="1:16" x14ac:dyDescent="0.25">
      <c r="A17782" t="s">
        <v>40409</v>
      </c>
      <c r="B17782" t="s">
        <v>18369</v>
      </c>
      <c r="C17782" t="s">
        <v>3977</v>
      </c>
      <c r="D17782" t="str">
        <f>"3106"</f>
        <v>3106</v>
      </c>
      <c r="E17782" t="s">
        <v>230</v>
      </c>
      <c r="F17782" t="s">
        <v>16623</v>
      </c>
      <c r="G17782" t="s">
        <v>47098</v>
      </c>
      <c r="H17782" t="s">
        <v>47055</v>
      </c>
      <c r="I17782" t="s">
        <v>47120</v>
      </c>
      <c r="J17782" t="s">
        <v>47121</v>
      </c>
      <c r="K17782" t="s">
        <v>47113</v>
      </c>
      <c r="L17782">
        <v>167.63</v>
      </c>
      <c r="M17782">
        <v>259</v>
      </c>
      <c r="N17782">
        <v>0</v>
      </c>
      <c r="O17782">
        <v>259</v>
      </c>
      <c r="P17782">
        <v>0</v>
      </c>
    </row>
    <row r="17783" spans="1:16" x14ac:dyDescent="0.25">
      <c r="A17783" t="s">
        <v>40410</v>
      </c>
      <c r="B17783" t="s">
        <v>21449</v>
      </c>
      <c r="C17783" t="s">
        <v>21450</v>
      </c>
      <c r="D17783" t="str">
        <f>"1001"</f>
        <v>1001</v>
      </c>
      <c r="E17783" t="s">
        <v>42</v>
      </c>
      <c r="F17783" t="s">
        <v>19559</v>
      </c>
      <c r="G17783" t="s">
        <v>47091</v>
      </c>
      <c r="H17783" t="s">
        <v>47055</v>
      </c>
      <c r="I17783" t="s">
        <v>47120</v>
      </c>
      <c r="J17783" t="s">
        <v>47121</v>
      </c>
      <c r="K17783" t="s">
        <v>47113</v>
      </c>
      <c r="L17783">
        <v>21.39</v>
      </c>
      <c r="M17783">
        <v>44</v>
      </c>
      <c r="N17783">
        <v>0</v>
      </c>
      <c r="O17783">
        <v>44</v>
      </c>
      <c r="P17783">
        <v>0</v>
      </c>
    </row>
    <row r="17784" spans="1:16" x14ac:dyDescent="0.25">
      <c r="A17784" t="s">
        <v>40411</v>
      </c>
      <c r="B17784" t="s">
        <v>21449</v>
      </c>
      <c r="C17784" t="s">
        <v>21450</v>
      </c>
      <c r="D17784" t="str">
        <f>"1700"</f>
        <v>1700</v>
      </c>
      <c r="E17784" t="s">
        <v>60</v>
      </c>
      <c r="F17784" t="s">
        <v>19559</v>
      </c>
      <c r="G17784" t="s">
        <v>47091</v>
      </c>
      <c r="H17784" t="s">
        <v>47055</v>
      </c>
      <c r="I17784" t="s">
        <v>47120</v>
      </c>
      <c r="J17784" t="s">
        <v>47121</v>
      </c>
      <c r="K17784" t="s">
        <v>47113</v>
      </c>
      <c r="L17784">
        <v>21.39</v>
      </c>
      <c r="M17784">
        <v>44</v>
      </c>
      <c r="N17784">
        <v>0</v>
      </c>
      <c r="O17784">
        <v>44</v>
      </c>
      <c r="P17784">
        <v>0</v>
      </c>
    </row>
    <row r="17785" spans="1:16" x14ac:dyDescent="0.25">
      <c r="A17785" t="s">
        <v>22876</v>
      </c>
      <c r="B17785" t="s">
        <v>21449</v>
      </c>
      <c r="C17785" t="s">
        <v>21450</v>
      </c>
      <c r="D17785" t="str">
        <f>"4922"</f>
        <v>4922</v>
      </c>
      <c r="E17785" t="s">
        <v>4175</v>
      </c>
      <c r="F17785" t="s">
        <v>19559</v>
      </c>
      <c r="G17785" t="s">
        <v>47091</v>
      </c>
      <c r="H17785" t="s">
        <v>47055</v>
      </c>
      <c r="I17785" t="s">
        <v>47120</v>
      </c>
      <c r="J17785" t="s">
        <v>47121</v>
      </c>
      <c r="K17785" t="s">
        <v>47113</v>
      </c>
      <c r="L17785">
        <v>21.39</v>
      </c>
      <c r="M17785">
        <v>44</v>
      </c>
      <c r="N17785">
        <v>0</v>
      </c>
      <c r="O17785">
        <v>44</v>
      </c>
      <c r="P17785">
        <v>0</v>
      </c>
    </row>
    <row r="17786" spans="1:16" x14ac:dyDescent="0.25">
      <c r="A17786" t="s">
        <v>40412</v>
      </c>
      <c r="B17786" t="s">
        <v>21451</v>
      </c>
      <c r="C17786" t="s">
        <v>18421</v>
      </c>
      <c r="D17786" t="str">
        <f>"3106"</f>
        <v>3106</v>
      </c>
      <c r="E17786" t="s">
        <v>230</v>
      </c>
      <c r="F17786" t="s">
        <v>16623</v>
      </c>
      <c r="G17786" t="s">
        <v>49030</v>
      </c>
      <c r="H17786" t="s">
        <v>47055</v>
      </c>
      <c r="I17786" t="s">
        <v>47120</v>
      </c>
      <c r="J17786" t="s">
        <v>47121</v>
      </c>
      <c r="K17786" t="s">
        <v>47113</v>
      </c>
      <c r="L17786">
        <v>55.43</v>
      </c>
      <c r="M17786">
        <v>111</v>
      </c>
      <c r="N17786">
        <v>0</v>
      </c>
      <c r="O17786">
        <v>111</v>
      </c>
      <c r="P17786">
        <v>0</v>
      </c>
    </row>
    <row r="17787" spans="1:16" x14ac:dyDescent="0.25">
      <c r="A17787" t="s">
        <v>40413</v>
      </c>
      <c r="B17787" t="s">
        <v>21451</v>
      </c>
      <c r="C17787" t="s">
        <v>18421</v>
      </c>
      <c r="D17787" t="str">
        <f>"4765"</f>
        <v>4765</v>
      </c>
      <c r="E17787" t="s">
        <v>4369</v>
      </c>
      <c r="F17787" t="s">
        <v>16623</v>
      </c>
      <c r="G17787" t="s">
        <v>49030</v>
      </c>
      <c r="H17787" t="s">
        <v>47055</v>
      </c>
      <c r="I17787" t="s">
        <v>47120</v>
      </c>
      <c r="J17787" t="s">
        <v>47121</v>
      </c>
      <c r="K17787" t="s">
        <v>47113</v>
      </c>
      <c r="L17787">
        <v>55.43</v>
      </c>
      <c r="M17787">
        <v>111</v>
      </c>
      <c r="N17787">
        <v>0</v>
      </c>
      <c r="O17787">
        <v>111</v>
      </c>
      <c r="P17787">
        <v>0</v>
      </c>
    </row>
    <row r="17788" spans="1:16" x14ac:dyDescent="0.25">
      <c r="A17788" t="s">
        <v>40414</v>
      </c>
      <c r="B17788" t="s">
        <v>21452</v>
      </c>
      <c r="C17788" t="s">
        <v>19619</v>
      </c>
      <c r="D17788" t="str">
        <f>"4645"</f>
        <v>4645</v>
      </c>
      <c r="E17788" t="s">
        <v>9770</v>
      </c>
      <c r="F17788" t="s">
        <v>17351</v>
      </c>
      <c r="G17788" t="s">
        <v>47096</v>
      </c>
      <c r="H17788" t="s">
        <v>47055</v>
      </c>
      <c r="I17788" t="s">
        <v>47120</v>
      </c>
      <c r="J17788" t="s">
        <v>47121</v>
      </c>
      <c r="K17788" t="s">
        <v>47113</v>
      </c>
      <c r="L17788">
        <v>26.66</v>
      </c>
      <c r="M17788">
        <v>66</v>
      </c>
      <c r="N17788">
        <v>0</v>
      </c>
      <c r="O17788">
        <v>66</v>
      </c>
      <c r="P17788">
        <v>0</v>
      </c>
    </row>
    <row r="17789" spans="1:16" x14ac:dyDescent="0.25">
      <c r="A17789" t="s">
        <v>40415</v>
      </c>
      <c r="B17789" t="s">
        <v>18370</v>
      </c>
      <c r="C17789" t="s">
        <v>18357</v>
      </c>
      <c r="D17789" t="str">
        <f>"1200"</f>
        <v>1200</v>
      </c>
      <c r="E17789" t="s">
        <v>241</v>
      </c>
      <c r="F17789" t="s">
        <v>16623</v>
      </c>
      <c r="G17789" t="s">
        <v>47098</v>
      </c>
      <c r="H17789" t="s">
        <v>47055</v>
      </c>
      <c r="I17789" t="s">
        <v>47120</v>
      </c>
      <c r="J17789" t="s">
        <v>47121</v>
      </c>
      <c r="K17789" t="s">
        <v>47113</v>
      </c>
      <c r="L17789">
        <v>134.28</v>
      </c>
      <c r="M17789">
        <v>222</v>
      </c>
      <c r="N17789">
        <v>0</v>
      </c>
      <c r="O17789">
        <v>222</v>
      </c>
      <c r="P17789">
        <v>0</v>
      </c>
    </row>
    <row r="17790" spans="1:16" x14ac:dyDescent="0.25">
      <c r="A17790" t="s">
        <v>40416</v>
      </c>
      <c r="B17790" t="s">
        <v>18370</v>
      </c>
      <c r="C17790" t="s">
        <v>18357</v>
      </c>
      <c r="D17790" t="str">
        <f>"1383"</f>
        <v>1383</v>
      </c>
      <c r="E17790" t="s">
        <v>2273</v>
      </c>
      <c r="F17790" t="s">
        <v>16623</v>
      </c>
      <c r="G17790" t="s">
        <v>47098</v>
      </c>
      <c r="H17790" t="s">
        <v>47055</v>
      </c>
      <c r="I17790" t="s">
        <v>47120</v>
      </c>
      <c r="J17790" t="s">
        <v>47121</v>
      </c>
      <c r="K17790" t="s">
        <v>47113</v>
      </c>
      <c r="L17790">
        <v>134.28</v>
      </c>
      <c r="M17790">
        <v>222</v>
      </c>
      <c r="N17790">
        <v>0</v>
      </c>
      <c r="O17790">
        <v>222</v>
      </c>
      <c r="P17790">
        <v>0</v>
      </c>
    </row>
    <row r="17791" spans="1:16" x14ac:dyDescent="0.25">
      <c r="A17791" t="s">
        <v>40417</v>
      </c>
      <c r="B17791" t="s">
        <v>21453</v>
      </c>
      <c r="C17791" t="s">
        <v>21454</v>
      </c>
      <c r="D17791" t="str">
        <f>"1378"</f>
        <v>1378</v>
      </c>
      <c r="E17791" t="s">
        <v>388</v>
      </c>
      <c r="F17791" t="s">
        <v>16623</v>
      </c>
      <c r="G17791" t="s">
        <v>47092</v>
      </c>
      <c r="H17791" t="s">
        <v>47055</v>
      </c>
      <c r="I17791" t="s">
        <v>47120</v>
      </c>
      <c r="J17791" t="s">
        <v>47121</v>
      </c>
      <c r="K17791" t="s">
        <v>47113</v>
      </c>
      <c r="L17791">
        <v>34.64</v>
      </c>
      <c r="M17791">
        <v>74</v>
      </c>
      <c r="N17791">
        <v>0</v>
      </c>
      <c r="O17791">
        <v>74</v>
      </c>
      <c r="P17791">
        <v>0</v>
      </c>
    </row>
    <row r="17792" spans="1:16" x14ac:dyDescent="0.25">
      <c r="A17792" t="s">
        <v>40418</v>
      </c>
      <c r="B17792" t="s">
        <v>21453</v>
      </c>
      <c r="C17792" t="s">
        <v>21454</v>
      </c>
      <c r="D17792" t="str">
        <f>"1700"</f>
        <v>1700</v>
      </c>
      <c r="E17792" t="s">
        <v>60</v>
      </c>
      <c r="F17792" t="s">
        <v>16623</v>
      </c>
      <c r="G17792" t="s">
        <v>47092</v>
      </c>
      <c r="H17792" t="s">
        <v>47055</v>
      </c>
      <c r="I17792" t="s">
        <v>47120</v>
      </c>
      <c r="J17792" t="s">
        <v>47121</v>
      </c>
      <c r="K17792" t="s">
        <v>47113</v>
      </c>
      <c r="L17792">
        <v>34.64</v>
      </c>
      <c r="M17792">
        <v>74</v>
      </c>
      <c r="N17792">
        <v>0</v>
      </c>
      <c r="O17792">
        <v>74</v>
      </c>
      <c r="P17792">
        <v>0</v>
      </c>
    </row>
    <row r="17793" spans="1:16" x14ac:dyDescent="0.25">
      <c r="A17793" t="s">
        <v>40419</v>
      </c>
      <c r="B17793" t="s">
        <v>21453</v>
      </c>
      <c r="C17793" t="s">
        <v>21454</v>
      </c>
      <c r="D17793" t="str">
        <f>"2701"</f>
        <v>2701</v>
      </c>
      <c r="E17793" t="s">
        <v>2149</v>
      </c>
      <c r="F17793" t="s">
        <v>16623</v>
      </c>
      <c r="G17793" t="s">
        <v>47092</v>
      </c>
      <c r="H17793" t="s">
        <v>47055</v>
      </c>
      <c r="I17793" t="s">
        <v>47120</v>
      </c>
      <c r="J17793" t="s">
        <v>47121</v>
      </c>
      <c r="K17793" t="s">
        <v>47113</v>
      </c>
      <c r="L17793">
        <v>34.64</v>
      </c>
      <c r="M17793">
        <v>74</v>
      </c>
      <c r="N17793">
        <v>0</v>
      </c>
      <c r="O17793">
        <v>74</v>
      </c>
      <c r="P17793">
        <v>0</v>
      </c>
    </row>
    <row r="17794" spans="1:16" x14ac:dyDescent="0.25">
      <c r="A17794" t="s">
        <v>40420</v>
      </c>
      <c r="B17794" t="s">
        <v>21453</v>
      </c>
      <c r="C17794" t="s">
        <v>21454</v>
      </c>
      <c r="D17794" t="str">
        <f>"3106"</f>
        <v>3106</v>
      </c>
      <c r="E17794" t="s">
        <v>230</v>
      </c>
      <c r="F17794" t="s">
        <v>16623</v>
      </c>
      <c r="G17794" t="s">
        <v>47092</v>
      </c>
      <c r="H17794" t="s">
        <v>47055</v>
      </c>
      <c r="I17794" t="s">
        <v>47120</v>
      </c>
      <c r="J17794" t="s">
        <v>47121</v>
      </c>
      <c r="K17794" t="s">
        <v>47113</v>
      </c>
      <c r="L17794">
        <v>34.64</v>
      </c>
      <c r="M17794">
        <v>74</v>
      </c>
      <c r="N17794">
        <v>0</v>
      </c>
      <c r="O17794">
        <v>74</v>
      </c>
      <c r="P17794">
        <v>0</v>
      </c>
    </row>
    <row r="17795" spans="1:16" x14ac:dyDescent="0.25">
      <c r="A17795" t="s">
        <v>40421</v>
      </c>
      <c r="B17795" t="s">
        <v>21453</v>
      </c>
      <c r="C17795" t="s">
        <v>21454</v>
      </c>
      <c r="D17795" t="str">
        <f>"4143"</f>
        <v>4143</v>
      </c>
      <c r="E17795" t="s">
        <v>261</v>
      </c>
      <c r="F17795" t="s">
        <v>16623</v>
      </c>
      <c r="G17795" t="s">
        <v>47092</v>
      </c>
      <c r="H17795" t="s">
        <v>47055</v>
      </c>
      <c r="I17795" t="s">
        <v>47120</v>
      </c>
      <c r="J17795" t="s">
        <v>47121</v>
      </c>
      <c r="K17795" t="s">
        <v>47113</v>
      </c>
      <c r="L17795">
        <v>34.64</v>
      </c>
      <c r="M17795">
        <v>74</v>
      </c>
      <c r="N17795">
        <v>0</v>
      </c>
      <c r="O17795">
        <v>74</v>
      </c>
      <c r="P17795">
        <v>0</v>
      </c>
    </row>
    <row r="17796" spans="1:16" x14ac:dyDescent="0.25">
      <c r="A17796" t="s">
        <v>40422</v>
      </c>
      <c r="B17796" t="s">
        <v>18371</v>
      </c>
      <c r="C17796" t="s">
        <v>18372</v>
      </c>
      <c r="D17796" t="str">
        <f>"1001"</f>
        <v>1001</v>
      </c>
      <c r="E17796" t="s">
        <v>42</v>
      </c>
      <c r="F17796" t="s">
        <v>16839</v>
      </c>
      <c r="G17796" t="s">
        <v>47099</v>
      </c>
      <c r="H17796" t="s">
        <v>47055</v>
      </c>
      <c r="I17796" t="s">
        <v>47120</v>
      </c>
      <c r="J17796" t="s">
        <v>47121</v>
      </c>
      <c r="K17796" t="s">
        <v>47113</v>
      </c>
      <c r="L17796">
        <v>178.81</v>
      </c>
      <c r="M17796">
        <v>233</v>
      </c>
      <c r="N17796">
        <v>0</v>
      </c>
      <c r="O17796">
        <v>233</v>
      </c>
      <c r="P17796">
        <v>0</v>
      </c>
    </row>
    <row r="17797" spans="1:16" x14ac:dyDescent="0.25">
      <c r="A17797" t="s">
        <v>40423</v>
      </c>
      <c r="B17797" t="s">
        <v>18373</v>
      </c>
      <c r="C17797" t="s">
        <v>18374</v>
      </c>
      <c r="D17797" t="str">
        <f>"1200"</f>
        <v>1200</v>
      </c>
      <c r="E17797" t="s">
        <v>241</v>
      </c>
      <c r="F17797" t="s">
        <v>16623</v>
      </c>
      <c r="G17797" t="s">
        <v>47099</v>
      </c>
      <c r="H17797" t="s">
        <v>47055</v>
      </c>
      <c r="I17797" t="s">
        <v>47120</v>
      </c>
      <c r="J17797" t="s">
        <v>47121</v>
      </c>
      <c r="K17797" t="s">
        <v>47113</v>
      </c>
      <c r="L17797">
        <v>157.06</v>
      </c>
      <c r="M17797">
        <v>222</v>
      </c>
      <c r="N17797">
        <v>0</v>
      </c>
      <c r="O17797">
        <v>222</v>
      </c>
      <c r="P17797">
        <v>0</v>
      </c>
    </row>
    <row r="17798" spans="1:16" x14ac:dyDescent="0.25">
      <c r="A17798" t="s">
        <v>40424</v>
      </c>
      <c r="B17798" t="s">
        <v>18375</v>
      </c>
      <c r="C17798" t="s">
        <v>18376</v>
      </c>
      <c r="D17798" t="str">
        <f>"2552"</f>
        <v>2552</v>
      </c>
      <c r="E17798" t="s">
        <v>18377</v>
      </c>
      <c r="F17798" t="s">
        <v>16623</v>
      </c>
      <c r="G17798" t="s">
        <v>47099</v>
      </c>
      <c r="H17798" t="s">
        <v>47055</v>
      </c>
      <c r="I17798" t="s">
        <v>47120</v>
      </c>
      <c r="J17798" t="s">
        <v>47121</v>
      </c>
      <c r="K17798" t="s">
        <v>47113</v>
      </c>
      <c r="L17798">
        <v>157.06</v>
      </c>
      <c r="M17798">
        <v>222</v>
      </c>
      <c r="N17798">
        <v>0</v>
      </c>
      <c r="O17798">
        <v>222</v>
      </c>
      <c r="P17798">
        <v>0</v>
      </c>
    </row>
    <row r="17799" spans="1:16" x14ac:dyDescent="0.25">
      <c r="A17799" t="s">
        <v>40425</v>
      </c>
      <c r="B17799" t="s">
        <v>18378</v>
      </c>
      <c r="C17799" t="s">
        <v>18379</v>
      </c>
      <c r="D17799" t="str">
        <f>"2552"</f>
        <v>2552</v>
      </c>
      <c r="E17799" t="s">
        <v>18380</v>
      </c>
      <c r="F17799" t="s">
        <v>16623</v>
      </c>
      <c r="G17799" t="s">
        <v>47099</v>
      </c>
      <c r="H17799" t="s">
        <v>47055</v>
      </c>
      <c r="I17799" t="s">
        <v>47120</v>
      </c>
      <c r="J17799" t="s">
        <v>47121</v>
      </c>
      <c r="K17799" t="s">
        <v>47113</v>
      </c>
      <c r="L17799">
        <v>156.63999999999999</v>
      </c>
      <c r="M17799">
        <v>222</v>
      </c>
      <c r="N17799">
        <v>0</v>
      </c>
      <c r="O17799">
        <v>222</v>
      </c>
      <c r="P17799">
        <v>0</v>
      </c>
    </row>
    <row r="17800" spans="1:16" x14ac:dyDescent="0.25">
      <c r="A17800" t="s">
        <v>40426</v>
      </c>
      <c r="B17800" t="s">
        <v>18381</v>
      </c>
      <c r="C17800" t="s">
        <v>18379</v>
      </c>
      <c r="D17800" t="str">
        <f>"1001"</f>
        <v>1001</v>
      </c>
      <c r="E17800" t="s">
        <v>42</v>
      </c>
      <c r="F17800" t="s">
        <v>16623</v>
      </c>
      <c r="G17800" t="s">
        <v>47099</v>
      </c>
      <c r="H17800" t="s">
        <v>47055</v>
      </c>
      <c r="I17800" t="s">
        <v>47120</v>
      </c>
      <c r="J17800" t="s">
        <v>47121</v>
      </c>
      <c r="K17800" t="s">
        <v>47113</v>
      </c>
      <c r="L17800">
        <v>157.06</v>
      </c>
      <c r="M17800">
        <v>222</v>
      </c>
      <c r="N17800">
        <v>0</v>
      </c>
      <c r="O17800">
        <v>222</v>
      </c>
      <c r="P17800">
        <v>0</v>
      </c>
    </row>
    <row r="17801" spans="1:16" x14ac:dyDescent="0.25">
      <c r="A17801" t="s">
        <v>40427</v>
      </c>
      <c r="B17801" t="s">
        <v>21455</v>
      </c>
      <c r="C17801" t="s">
        <v>21456</v>
      </c>
      <c r="D17801" t="str">
        <f>"3106"</f>
        <v>3106</v>
      </c>
      <c r="E17801" t="s">
        <v>230</v>
      </c>
      <c r="F17801" t="s">
        <v>16623</v>
      </c>
      <c r="G17801" t="s">
        <v>47092</v>
      </c>
      <c r="H17801" t="s">
        <v>47055</v>
      </c>
      <c r="I17801" t="s">
        <v>47120</v>
      </c>
      <c r="J17801" t="s">
        <v>47121</v>
      </c>
      <c r="K17801" t="s">
        <v>47113</v>
      </c>
      <c r="L17801">
        <v>34.840000000000003</v>
      </c>
      <c r="M17801">
        <v>74</v>
      </c>
      <c r="N17801">
        <v>0</v>
      </c>
      <c r="O17801">
        <v>74</v>
      </c>
      <c r="P17801">
        <v>0</v>
      </c>
    </row>
    <row r="17802" spans="1:16" x14ac:dyDescent="0.25">
      <c r="A17802" t="s">
        <v>40428</v>
      </c>
      <c r="B17802" t="s">
        <v>21455</v>
      </c>
      <c r="C17802" t="s">
        <v>21456</v>
      </c>
      <c r="D17802" t="str">
        <f>"4765"</f>
        <v>4765</v>
      </c>
      <c r="E17802" t="s">
        <v>4369</v>
      </c>
      <c r="F17802" t="s">
        <v>16623</v>
      </c>
      <c r="G17802" t="s">
        <v>47092</v>
      </c>
      <c r="H17802" t="s">
        <v>47055</v>
      </c>
      <c r="I17802" t="s">
        <v>47120</v>
      </c>
      <c r="J17802" t="s">
        <v>47121</v>
      </c>
      <c r="K17802" t="s">
        <v>47113</v>
      </c>
      <c r="L17802">
        <v>34.840000000000003</v>
      </c>
      <c r="M17802">
        <v>74</v>
      </c>
      <c r="N17802">
        <v>0</v>
      </c>
      <c r="O17802">
        <v>74</v>
      </c>
      <c r="P17802">
        <v>0</v>
      </c>
    </row>
    <row r="17803" spans="1:16" x14ac:dyDescent="0.25">
      <c r="A17803" t="s">
        <v>40429</v>
      </c>
      <c r="B17803" t="s">
        <v>21457</v>
      </c>
      <c r="C17803" t="s">
        <v>21456</v>
      </c>
      <c r="D17803" t="str">
        <f>"3106"</f>
        <v>3106</v>
      </c>
      <c r="E17803" t="s">
        <v>230</v>
      </c>
      <c r="F17803" t="s">
        <v>16623</v>
      </c>
      <c r="G17803" t="s">
        <v>47092</v>
      </c>
      <c r="H17803" t="s">
        <v>47055</v>
      </c>
      <c r="I17803" t="s">
        <v>47120</v>
      </c>
      <c r="J17803" t="s">
        <v>47121</v>
      </c>
      <c r="K17803" t="s">
        <v>47113</v>
      </c>
      <c r="L17803">
        <v>27.59</v>
      </c>
      <c r="M17803">
        <v>59</v>
      </c>
      <c r="N17803">
        <v>0</v>
      </c>
      <c r="O17803">
        <v>59</v>
      </c>
      <c r="P17803">
        <v>0</v>
      </c>
    </row>
    <row r="17804" spans="1:16" x14ac:dyDescent="0.25">
      <c r="A17804" t="s">
        <v>40430</v>
      </c>
      <c r="B17804" t="s">
        <v>21457</v>
      </c>
      <c r="C17804" t="s">
        <v>21456</v>
      </c>
      <c r="D17804" t="str">
        <f>"4765"</f>
        <v>4765</v>
      </c>
      <c r="E17804" t="s">
        <v>4369</v>
      </c>
      <c r="F17804" t="s">
        <v>16623</v>
      </c>
      <c r="G17804" t="s">
        <v>47092</v>
      </c>
      <c r="H17804" t="s">
        <v>47055</v>
      </c>
      <c r="I17804" t="s">
        <v>47120</v>
      </c>
      <c r="J17804" t="s">
        <v>47121</v>
      </c>
      <c r="K17804" t="s">
        <v>47113</v>
      </c>
      <c r="L17804">
        <v>27.59</v>
      </c>
      <c r="M17804">
        <v>59</v>
      </c>
      <c r="N17804">
        <v>0</v>
      </c>
      <c r="O17804">
        <v>59</v>
      </c>
      <c r="P17804">
        <v>0</v>
      </c>
    </row>
    <row r="17805" spans="1:16" x14ac:dyDescent="0.25">
      <c r="A17805" t="s">
        <v>40431</v>
      </c>
      <c r="B17805" t="s">
        <v>18382</v>
      </c>
      <c r="C17805" t="s">
        <v>18383</v>
      </c>
      <c r="D17805" t="str">
        <f>"1200"</f>
        <v>1200</v>
      </c>
      <c r="E17805" t="s">
        <v>241</v>
      </c>
      <c r="F17805" t="s">
        <v>16623</v>
      </c>
      <c r="G17805" t="s">
        <v>49030</v>
      </c>
      <c r="H17805" t="s">
        <v>47055</v>
      </c>
      <c r="I17805" t="s">
        <v>47120</v>
      </c>
      <c r="J17805" t="s">
        <v>47121</v>
      </c>
      <c r="K17805" t="s">
        <v>47113</v>
      </c>
      <c r="L17805">
        <v>89.5</v>
      </c>
      <c r="M17805">
        <v>148</v>
      </c>
      <c r="N17805">
        <v>0</v>
      </c>
      <c r="O17805">
        <v>148</v>
      </c>
      <c r="P17805">
        <v>0</v>
      </c>
    </row>
    <row r="17806" spans="1:16" x14ac:dyDescent="0.25">
      <c r="A17806" t="s">
        <v>40432</v>
      </c>
      <c r="B17806" t="s">
        <v>18382</v>
      </c>
      <c r="C17806" t="s">
        <v>18383</v>
      </c>
      <c r="D17806" t="str">
        <f>"2552"</f>
        <v>2552</v>
      </c>
      <c r="E17806" t="s">
        <v>18380</v>
      </c>
      <c r="F17806" t="s">
        <v>16623</v>
      </c>
      <c r="G17806" t="s">
        <v>49030</v>
      </c>
      <c r="H17806" t="s">
        <v>47055</v>
      </c>
      <c r="I17806" t="s">
        <v>47120</v>
      </c>
      <c r="J17806" t="s">
        <v>47121</v>
      </c>
      <c r="K17806" t="s">
        <v>47113</v>
      </c>
      <c r="L17806">
        <v>89.5</v>
      </c>
      <c r="M17806">
        <v>148</v>
      </c>
      <c r="N17806">
        <v>0</v>
      </c>
      <c r="O17806">
        <v>148</v>
      </c>
      <c r="P17806">
        <v>0</v>
      </c>
    </row>
    <row r="17807" spans="1:16" x14ac:dyDescent="0.25">
      <c r="A17807" t="s">
        <v>40433</v>
      </c>
      <c r="B17807" t="s">
        <v>21458</v>
      </c>
      <c r="C17807" t="s">
        <v>21459</v>
      </c>
      <c r="D17807" t="str">
        <f>"1378"</f>
        <v>1378</v>
      </c>
      <c r="E17807" t="s">
        <v>388</v>
      </c>
      <c r="F17807" t="s">
        <v>16623</v>
      </c>
      <c r="G17807" t="s">
        <v>47091</v>
      </c>
      <c r="H17807" t="s">
        <v>47055</v>
      </c>
      <c r="I17807" t="s">
        <v>47127</v>
      </c>
      <c r="J17807" t="s">
        <v>47128</v>
      </c>
      <c r="K17807" t="s">
        <v>47113</v>
      </c>
      <c r="L17807">
        <v>14.29</v>
      </c>
      <c r="M17807">
        <v>26</v>
      </c>
      <c r="N17807">
        <v>0</v>
      </c>
      <c r="O17807">
        <v>26</v>
      </c>
      <c r="P17807">
        <v>0</v>
      </c>
    </row>
    <row r="17808" spans="1:16" x14ac:dyDescent="0.25">
      <c r="A17808" t="s">
        <v>40434</v>
      </c>
      <c r="B17808" t="s">
        <v>21458</v>
      </c>
      <c r="C17808" t="s">
        <v>21459</v>
      </c>
      <c r="D17808" t="str">
        <f>"1700"</f>
        <v>1700</v>
      </c>
      <c r="E17808" t="s">
        <v>60</v>
      </c>
      <c r="F17808" t="s">
        <v>16623</v>
      </c>
      <c r="G17808" t="s">
        <v>47091</v>
      </c>
      <c r="H17808" t="s">
        <v>47055</v>
      </c>
      <c r="I17808" t="s">
        <v>47127</v>
      </c>
      <c r="J17808" t="s">
        <v>47128</v>
      </c>
      <c r="K17808" t="s">
        <v>47113</v>
      </c>
      <c r="L17808">
        <v>14.29</v>
      </c>
      <c r="M17808">
        <v>26</v>
      </c>
      <c r="N17808">
        <v>0</v>
      </c>
      <c r="O17808">
        <v>26</v>
      </c>
      <c r="P17808">
        <v>0</v>
      </c>
    </row>
    <row r="17809" spans="1:16" x14ac:dyDescent="0.25">
      <c r="A17809" t="s">
        <v>40435</v>
      </c>
      <c r="B17809" t="s">
        <v>21458</v>
      </c>
      <c r="C17809" t="s">
        <v>21459</v>
      </c>
      <c r="D17809" t="str">
        <f>"3160"</f>
        <v>3160</v>
      </c>
      <c r="E17809" t="s">
        <v>16602</v>
      </c>
      <c r="F17809" t="s">
        <v>16623</v>
      </c>
      <c r="G17809" t="s">
        <v>47091</v>
      </c>
      <c r="H17809" t="s">
        <v>47055</v>
      </c>
      <c r="I17809" t="s">
        <v>47127</v>
      </c>
      <c r="J17809" t="s">
        <v>47128</v>
      </c>
      <c r="K17809" t="s">
        <v>47113</v>
      </c>
      <c r="L17809">
        <v>14.29</v>
      </c>
      <c r="M17809">
        <v>26</v>
      </c>
      <c r="N17809">
        <v>0</v>
      </c>
      <c r="O17809">
        <v>26</v>
      </c>
      <c r="P17809">
        <v>0</v>
      </c>
    </row>
    <row r="17810" spans="1:16" x14ac:dyDescent="0.25">
      <c r="A17810" t="s">
        <v>40436</v>
      </c>
      <c r="B17810" t="s">
        <v>21458</v>
      </c>
      <c r="C17810" t="s">
        <v>21459</v>
      </c>
      <c r="D17810" t="str">
        <f>"4000"</f>
        <v>4000</v>
      </c>
      <c r="E17810" t="s">
        <v>16630</v>
      </c>
      <c r="F17810" t="s">
        <v>16623</v>
      </c>
      <c r="G17810" t="s">
        <v>47091</v>
      </c>
      <c r="H17810" t="s">
        <v>47055</v>
      </c>
      <c r="I17810" t="s">
        <v>47127</v>
      </c>
      <c r="J17810" t="s">
        <v>47128</v>
      </c>
      <c r="K17810" t="s">
        <v>47113</v>
      </c>
      <c r="L17810">
        <v>14.29</v>
      </c>
      <c r="M17810">
        <v>26</v>
      </c>
      <c r="N17810">
        <v>0</v>
      </c>
      <c r="O17810">
        <v>26</v>
      </c>
      <c r="P17810">
        <v>0</v>
      </c>
    </row>
    <row r="17811" spans="1:16" x14ac:dyDescent="0.25">
      <c r="A17811" t="s">
        <v>40437</v>
      </c>
      <c r="B17811" t="s">
        <v>21458</v>
      </c>
      <c r="C17811" t="s">
        <v>21459</v>
      </c>
      <c r="D17811" t="str">
        <f>"8206"</f>
        <v>8206</v>
      </c>
      <c r="E17811" t="s">
        <v>14203</v>
      </c>
      <c r="F17811" t="s">
        <v>16623</v>
      </c>
      <c r="G17811" t="s">
        <v>47091</v>
      </c>
      <c r="H17811" t="s">
        <v>47055</v>
      </c>
      <c r="I17811" t="s">
        <v>47127</v>
      </c>
      <c r="J17811" t="s">
        <v>47128</v>
      </c>
      <c r="K17811" t="s">
        <v>47113</v>
      </c>
      <c r="L17811">
        <v>14.29</v>
      </c>
      <c r="M17811">
        <v>26</v>
      </c>
      <c r="N17811">
        <v>0</v>
      </c>
      <c r="O17811">
        <v>26</v>
      </c>
      <c r="P17811">
        <v>0</v>
      </c>
    </row>
    <row r="17812" spans="1:16" x14ac:dyDescent="0.25">
      <c r="A17812" t="s">
        <v>40438</v>
      </c>
      <c r="B17812" t="s">
        <v>18384</v>
      </c>
      <c r="C17812" t="s">
        <v>18385</v>
      </c>
      <c r="D17812" t="str">
        <f>"1001"</f>
        <v>1001</v>
      </c>
      <c r="E17812" t="s">
        <v>42</v>
      </c>
      <c r="F17812" t="s">
        <v>16623</v>
      </c>
      <c r="G17812" t="s">
        <v>47091</v>
      </c>
      <c r="H17812" t="s">
        <v>47055</v>
      </c>
      <c r="I17812" t="s">
        <v>47127</v>
      </c>
      <c r="J17812" t="s">
        <v>47128</v>
      </c>
      <c r="K17812" t="s">
        <v>47113</v>
      </c>
      <c r="L17812">
        <v>17.88</v>
      </c>
      <c r="M17812">
        <v>29</v>
      </c>
      <c r="N17812">
        <v>0</v>
      </c>
      <c r="O17812">
        <v>29</v>
      </c>
      <c r="P17812">
        <v>0</v>
      </c>
    </row>
    <row r="17813" spans="1:16" x14ac:dyDescent="0.25">
      <c r="A17813" t="s">
        <v>40439</v>
      </c>
      <c r="B17813" t="s">
        <v>18384</v>
      </c>
      <c r="C17813" t="s">
        <v>18385</v>
      </c>
      <c r="D17813" t="str">
        <f>"1378"</f>
        <v>1378</v>
      </c>
      <c r="E17813" t="s">
        <v>388</v>
      </c>
      <c r="F17813" t="s">
        <v>16623</v>
      </c>
      <c r="G17813" t="s">
        <v>47091</v>
      </c>
      <c r="H17813" t="s">
        <v>47055</v>
      </c>
      <c r="I17813" t="s">
        <v>47127</v>
      </c>
      <c r="J17813" t="s">
        <v>47128</v>
      </c>
      <c r="K17813" t="s">
        <v>47113</v>
      </c>
      <c r="L17813">
        <v>17.88</v>
      </c>
      <c r="M17813">
        <v>29</v>
      </c>
      <c r="N17813">
        <v>0</v>
      </c>
      <c r="O17813">
        <v>29</v>
      </c>
      <c r="P17813">
        <v>0</v>
      </c>
    </row>
    <row r="17814" spans="1:16" x14ac:dyDescent="0.25">
      <c r="A17814" t="s">
        <v>40440</v>
      </c>
      <c r="B17814" t="s">
        <v>18384</v>
      </c>
      <c r="C17814" t="s">
        <v>18385</v>
      </c>
      <c r="D17814" t="str">
        <f>"1700"</f>
        <v>1700</v>
      </c>
      <c r="E17814" t="s">
        <v>60</v>
      </c>
      <c r="F17814" t="s">
        <v>16623</v>
      </c>
      <c r="G17814" t="s">
        <v>47091</v>
      </c>
      <c r="H17814" t="s">
        <v>47055</v>
      </c>
      <c r="I17814" t="s">
        <v>47127</v>
      </c>
      <c r="J17814" t="s">
        <v>47128</v>
      </c>
      <c r="K17814" t="s">
        <v>47113</v>
      </c>
      <c r="L17814">
        <v>17.88</v>
      </c>
      <c r="M17814">
        <v>29</v>
      </c>
      <c r="N17814">
        <v>0</v>
      </c>
      <c r="O17814">
        <v>29</v>
      </c>
      <c r="P17814">
        <v>0</v>
      </c>
    </row>
    <row r="17815" spans="1:16" x14ac:dyDescent="0.25">
      <c r="A17815" t="s">
        <v>40441</v>
      </c>
      <c r="B17815" t="s">
        <v>18384</v>
      </c>
      <c r="C17815" t="s">
        <v>18385</v>
      </c>
      <c r="D17815" t="str">
        <f>"2701"</f>
        <v>2701</v>
      </c>
      <c r="E17815" t="s">
        <v>2149</v>
      </c>
      <c r="F17815" t="s">
        <v>16623</v>
      </c>
      <c r="G17815" t="s">
        <v>47091</v>
      </c>
      <c r="H17815" t="s">
        <v>47055</v>
      </c>
      <c r="I17815" t="s">
        <v>47127</v>
      </c>
      <c r="J17815" t="s">
        <v>47128</v>
      </c>
      <c r="K17815" t="s">
        <v>47113</v>
      </c>
      <c r="L17815">
        <v>17.88</v>
      </c>
      <c r="M17815">
        <v>29</v>
      </c>
      <c r="N17815">
        <v>0</v>
      </c>
      <c r="O17815">
        <v>29</v>
      </c>
      <c r="P17815">
        <v>0</v>
      </c>
    </row>
    <row r="17816" spans="1:16" x14ac:dyDescent="0.25">
      <c r="A17816" t="s">
        <v>40442</v>
      </c>
      <c r="B17816" t="s">
        <v>18384</v>
      </c>
      <c r="C17816" t="s">
        <v>18385</v>
      </c>
      <c r="D17816" t="str">
        <f>"3160"</f>
        <v>3160</v>
      </c>
      <c r="E17816" t="s">
        <v>16602</v>
      </c>
      <c r="F17816" t="s">
        <v>16623</v>
      </c>
      <c r="G17816" t="s">
        <v>47091</v>
      </c>
      <c r="H17816" t="s">
        <v>47055</v>
      </c>
      <c r="I17816" t="s">
        <v>47127</v>
      </c>
      <c r="J17816" t="s">
        <v>47128</v>
      </c>
      <c r="K17816" t="s">
        <v>47113</v>
      </c>
      <c r="L17816">
        <v>17.88</v>
      </c>
      <c r="M17816">
        <v>29</v>
      </c>
      <c r="N17816">
        <v>0</v>
      </c>
      <c r="O17816">
        <v>29</v>
      </c>
      <c r="P17816">
        <v>0</v>
      </c>
    </row>
    <row r="17817" spans="1:16" x14ac:dyDescent="0.25">
      <c r="A17817" t="s">
        <v>40443</v>
      </c>
      <c r="B17817" t="s">
        <v>18384</v>
      </c>
      <c r="C17817" t="s">
        <v>18385</v>
      </c>
      <c r="D17817" t="str">
        <f>"4000"</f>
        <v>4000</v>
      </c>
      <c r="E17817" t="s">
        <v>16630</v>
      </c>
      <c r="F17817" t="s">
        <v>16623</v>
      </c>
      <c r="G17817" t="s">
        <v>47091</v>
      </c>
      <c r="H17817" t="s">
        <v>47055</v>
      </c>
      <c r="I17817" t="s">
        <v>47127</v>
      </c>
      <c r="J17817" t="s">
        <v>47128</v>
      </c>
      <c r="K17817" t="s">
        <v>47113</v>
      </c>
      <c r="L17817">
        <v>17.88</v>
      </c>
      <c r="M17817">
        <v>29</v>
      </c>
      <c r="N17817">
        <v>0</v>
      </c>
      <c r="O17817">
        <v>29</v>
      </c>
      <c r="P17817">
        <v>0</v>
      </c>
    </row>
    <row r="17818" spans="1:16" x14ac:dyDescent="0.25">
      <c r="A17818" t="s">
        <v>40444</v>
      </c>
      <c r="B17818" t="s">
        <v>18384</v>
      </c>
      <c r="C17818" t="s">
        <v>18385</v>
      </c>
      <c r="D17818" t="str">
        <f>"4001"</f>
        <v>4001</v>
      </c>
      <c r="E17818" t="s">
        <v>16647</v>
      </c>
      <c r="F17818" t="s">
        <v>16623</v>
      </c>
      <c r="G17818" t="s">
        <v>47091</v>
      </c>
      <c r="H17818" t="s">
        <v>47055</v>
      </c>
      <c r="I17818" t="s">
        <v>47127</v>
      </c>
      <c r="J17818" t="s">
        <v>47128</v>
      </c>
      <c r="K17818" t="s">
        <v>47113</v>
      </c>
      <c r="L17818">
        <v>17.88</v>
      </c>
      <c r="M17818">
        <v>29</v>
      </c>
      <c r="N17818">
        <v>0</v>
      </c>
      <c r="O17818">
        <v>29</v>
      </c>
      <c r="P17818">
        <v>0</v>
      </c>
    </row>
    <row r="17819" spans="1:16" x14ac:dyDescent="0.25">
      <c r="A17819" t="s">
        <v>40445</v>
      </c>
      <c r="B17819" t="s">
        <v>18384</v>
      </c>
      <c r="C17819" t="s">
        <v>18385</v>
      </c>
      <c r="D17819" t="str">
        <f>"4143"</f>
        <v>4143</v>
      </c>
      <c r="E17819" t="s">
        <v>16626</v>
      </c>
      <c r="F17819" t="s">
        <v>16623</v>
      </c>
      <c r="G17819" t="s">
        <v>47091</v>
      </c>
      <c r="H17819" t="s">
        <v>47055</v>
      </c>
      <c r="I17819" t="s">
        <v>47127</v>
      </c>
      <c r="J17819" t="s">
        <v>47128</v>
      </c>
      <c r="K17819" t="s">
        <v>47113</v>
      </c>
      <c r="L17819">
        <v>17.88</v>
      </c>
      <c r="M17819">
        <v>29</v>
      </c>
      <c r="N17819">
        <v>0</v>
      </c>
      <c r="O17819">
        <v>29</v>
      </c>
      <c r="P17819">
        <v>0</v>
      </c>
    </row>
    <row r="17820" spans="1:16" x14ac:dyDescent="0.25">
      <c r="A17820" t="s">
        <v>40446</v>
      </c>
      <c r="B17820" t="s">
        <v>18384</v>
      </c>
      <c r="C17820" t="s">
        <v>18385</v>
      </c>
      <c r="D17820" t="str">
        <f>"5000"</f>
        <v>5000</v>
      </c>
      <c r="E17820" t="s">
        <v>16627</v>
      </c>
      <c r="F17820" t="s">
        <v>16623</v>
      </c>
      <c r="G17820" t="s">
        <v>47091</v>
      </c>
      <c r="H17820" t="s">
        <v>47055</v>
      </c>
      <c r="I17820" t="s">
        <v>47127</v>
      </c>
      <c r="J17820" t="s">
        <v>47128</v>
      </c>
      <c r="K17820" t="s">
        <v>47113</v>
      </c>
      <c r="L17820">
        <v>17.88</v>
      </c>
      <c r="M17820">
        <v>29</v>
      </c>
      <c r="N17820">
        <v>0</v>
      </c>
      <c r="O17820">
        <v>29</v>
      </c>
      <c r="P17820">
        <v>0</v>
      </c>
    </row>
    <row r="17821" spans="1:16" x14ac:dyDescent="0.25">
      <c r="A17821" t="s">
        <v>40447</v>
      </c>
      <c r="B17821" t="s">
        <v>18384</v>
      </c>
      <c r="C17821" t="s">
        <v>18385</v>
      </c>
      <c r="D17821" t="str">
        <f>"6064"</f>
        <v>6064</v>
      </c>
      <c r="E17821" t="s">
        <v>87</v>
      </c>
      <c r="F17821" t="s">
        <v>16623</v>
      </c>
      <c r="G17821" t="s">
        <v>47091</v>
      </c>
      <c r="H17821" t="s">
        <v>47055</v>
      </c>
      <c r="I17821" t="s">
        <v>47127</v>
      </c>
      <c r="J17821" t="s">
        <v>47128</v>
      </c>
      <c r="K17821" t="s">
        <v>47113</v>
      </c>
      <c r="L17821">
        <v>17.88</v>
      </c>
      <c r="M17821">
        <v>29</v>
      </c>
      <c r="N17821">
        <v>0</v>
      </c>
      <c r="O17821">
        <v>29</v>
      </c>
      <c r="P17821">
        <v>0</v>
      </c>
    </row>
    <row r="17822" spans="1:16" x14ac:dyDescent="0.25">
      <c r="A17822" t="s">
        <v>40448</v>
      </c>
      <c r="B17822" t="s">
        <v>18384</v>
      </c>
      <c r="C17822" t="s">
        <v>18385</v>
      </c>
      <c r="D17822" t="str">
        <f>"6500"</f>
        <v>6500</v>
      </c>
      <c r="E17822" t="s">
        <v>151</v>
      </c>
      <c r="F17822" t="s">
        <v>16623</v>
      </c>
      <c r="G17822" t="s">
        <v>47091</v>
      </c>
      <c r="H17822" t="s">
        <v>47055</v>
      </c>
      <c r="I17822" t="s">
        <v>47127</v>
      </c>
      <c r="J17822" t="s">
        <v>47128</v>
      </c>
      <c r="K17822" t="s">
        <v>47113</v>
      </c>
      <c r="L17822">
        <v>17.88</v>
      </c>
      <c r="M17822">
        <v>29</v>
      </c>
      <c r="N17822">
        <v>0</v>
      </c>
      <c r="O17822">
        <v>29</v>
      </c>
      <c r="P17822">
        <v>0</v>
      </c>
    </row>
    <row r="17823" spans="1:16" x14ac:dyDescent="0.25">
      <c r="A17823" t="s">
        <v>40449</v>
      </c>
      <c r="B17823" t="s">
        <v>18384</v>
      </c>
      <c r="C17823" t="s">
        <v>18385</v>
      </c>
      <c r="D17823" t="str">
        <f>"7100"</f>
        <v>7100</v>
      </c>
      <c r="E17823" t="s">
        <v>225</v>
      </c>
      <c r="F17823" t="s">
        <v>16623</v>
      </c>
      <c r="G17823" t="s">
        <v>47091</v>
      </c>
      <c r="H17823" t="s">
        <v>47055</v>
      </c>
      <c r="I17823" t="s">
        <v>47127</v>
      </c>
      <c r="J17823" t="s">
        <v>47128</v>
      </c>
      <c r="K17823" t="s">
        <v>47113</v>
      </c>
      <c r="L17823">
        <v>17.88</v>
      </c>
      <c r="M17823">
        <v>29</v>
      </c>
      <c r="N17823">
        <v>0</v>
      </c>
      <c r="O17823">
        <v>29</v>
      </c>
      <c r="P17823">
        <v>0</v>
      </c>
    </row>
    <row r="17824" spans="1:16" x14ac:dyDescent="0.25">
      <c r="A17824" t="s">
        <v>40450</v>
      </c>
      <c r="B17824" t="s">
        <v>18384</v>
      </c>
      <c r="C17824" t="s">
        <v>18385</v>
      </c>
      <c r="D17824" t="str">
        <f>"8206"</f>
        <v>8206</v>
      </c>
      <c r="E17824" t="s">
        <v>14203</v>
      </c>
      <c r="F17824" t="s">
        <v>16623</v>
      </c>
      <c r="G17824" t="s">
        <v>47091</v>
      </c>
      <c r="H17824" t="s">
        <v>47055</v>
      </c>
      <c r="I17824" t="s">
        <v>47127</v>
      </c>
      <c r="J17824" t="s">
        <v>47128</v>
      </c>
      <c r="K17824" t="s">
        <v>47113</v>
      </c>
      <c r="L17824">
        <v>17.88</v>
      </c>
      <c r="M17824">
        <v>29</v>
      </c>
      <c r="N17824">
        <v>0</v>
      </c>
      <c r="O17824">
        <v>29</v>
      </c>
      <c r="P17824">
        <v>0</v>
      </c>
    </row>
    <row r="17825" spans="1:16" x14ac:dyDescent="0.25">
      <c r="A17825" t="s">
        <v>40451</v>
      </c>
      <c r="B17825" t="s">
        <v>21460</v>
      </c>
      <c r="C17825" t="s">
        <v>21461</v>
      </c>
      <c r="D17825" t="str">
        <f>"1001"</f>
        <v>1001</v>
      </c>
      <c r="E17825" t="s">
        <v>42</v>
      </c>
      <c r="F17825" t="s">
        <v>16623</v>
      </c>
      <c r="G17825" t="s">
        <v>47091</v>
      </c>
      <c r="H17825" t="s">
        <v>47055</v>
      </c>
      <c r="I17825" t="s">
        <v>47127</v>
      </c>
      <c r="J17825" t="s">
        <v>47128</v>
      </c>
      <c r="K17825" t="s">
        <v>47113</v>
      </c>
      <c r="L17825">
        <v>14.29</v>
      </c>
      <c r="M17825">
        <v>26</v>
      </c>
      <c r="N17825">
        <v>0</v>
      </c>
      <c r="O17825">
        <v>26</v>
      </c>
      <c r="P17825">
        <v>0</v>
      </c>
    </row>
    <row r="17826" spans="1:16" x14ac:dyDescent="0.25">
      <c r="A17826" t="s">
        <v>40452</v>
      </c>
      <c r="B17826" t="s">
        <v>21460</v>
      </c>
      <c r="C17826" t="s">
        <v>21461</v>
      </c>
      <c r="D17826" t="str">
        <f>"1700"</f>
        <v>1700</v>
      </c>
      <c r="E17826" t="s">
        <v>60</v>
      </c>
      <c r="F17826" t="s">
        <v>16623</v>
      </c>
      <c r="G17826" t="s">
        <v>47091</v>
      </c>
      <c r="H17826" t="s">
        <v>47055</v>
      </c>
      <c r="I17826" t="s">
        <v>47127</v>
      </c>
      <c r="J17826" t="s">
        <v>47128</v>
      </c>
      <c r="K17826" t="s">
        <v>47113</v>
      </c>
      <c r="L17826">
        <v>14.29</v>
      </c>
      <c r="M17826">
        <v>26</v>
      </c>
      <c r="N17826">
        <v>0</v>
      </c>
      <c r="O17826">
        <v>26</v>
      </c>
      <c r="P17826">
        <v>0</v>
      </c>
    </row>
    <row r="17827" spans="1:16" x14ac:dyDescent="0.25">
      <c r="A17827" t="s">
        <v>40453</v>
      </c>
      <c r="B17827" t="s">
        <v>21460</v>
      </c>
      <c r="C17827" t="s">
        <v>21461</v>
      </c>
      <c r="D17827" t="str">
        <f>"4000"</f>
        <v>4000</v>
      </c>
      <c r="E17827" t="s">
        <v>16630</v>
      </c>
      <c r="F17827" t="s">
        <v>16623</v>
      </c>
      <c r="G17827" t="s">
        <v>47091</v>
      </c>
      <c r="H17827" t="s">
        <v>47055</v>
      </c>
      <c r="I17827" t="s">
        <v>47127</v>
      </c>
      <c r="J17827" t="s">
        <v>47128</v>
      </c>
      <c r="K17827" t="s">
        <v>47113</v>
      </c>
      <c r="L17827">
        <v>14.29</v>
      </c>
      <c r="M17827">
        <v>26</v>
      </c>
      <c r="N17827">
        <v>0</v>
      </c>
      <c r="O17827">
        <v>26</v>
      </c>
      <c r="P17827">
        <v>0</v>
      </c>
    </row>
    <row r="17828" spans="1:16" x14ac:dyDescent="0.25">
      <c r="A17828" t="s">
        <v>40454</v>
      </c>
      <c r="B17828" t="s">
        <v>21462</v>
      </c>
      <c r="C17828" t="s">
        <v>89</v>
      </c>
      <c r="D17828" t="str">
        <f>"4000"</f>
        <v>4000</v>
      </c>
      <c r="E17828" t="s">
        <v>16630</v>
      </c>
      <c r="F17828" t="s">
        <v>16623</v>
      </c>
      <c r="G17828" t="s">
        <v>47091</v>
      </c>
      <c r="H17828" t="s">
        <v>47055</v>
      </c>
      <c r="I17828" t="s">
        <v>47127</v>
      </c>
      <c r="J17828" t="s">
        <v>47128</v>
      </c>
      <c r="K17828" t="s">
        <v>47113</v>
      </c>
      <c r="L17828">
        <v>14.37</v>
      </c>
      <c r="M17828">
        <v>37</v>
      </c>
      <c r="N17828">
        <v>0</v>
      </c>
      <c r="O17828">
        <v>37</v>
      </c>
      <c r="P17828">
        <v>0</v>
      </c>
    </row>
    <row r="17829" spans="1:16" x14ac:dyDescent="0.25">
      <c r="A17829" t="s">
        <v>40455</v>
      </c>
      <c r="B17829" t="s">
        <v>18386</v>
      </c>
      <c r="C17829" t="s">
        <v>89</v>
      </c>
      <c r="D17829" t="str">
        <f>"1378"</f>
        <v>1378</v>
      </c>
      <c r="E17829" t="s">
        <v>388</v>
      </c>
      <c r="F17829" t="s">
        <v>16623</v>
      </c>
      <c r="G17829" t="s">
        <v>47091</v>
      </c>
      <c r="H17829" t="s">
        <v>47055</v>
      </c>
      <c r="I17829" t="s">
        <v>47127</v>
      </c>
      <c r="J17829" t="s">
        <v>47128</v>
      </c>
      <c r="K17829" t="s">
        <v>47113</v>
      </c>
      <c r="L17829">
        <v>22.36</v>
      </c>
      <c r="M17829">
        <v>37</v>
      </c>
      <c r="N17829">
        <v>0</v>
      </c>
      <c r="O17829">
        <v>37</v>
      </c>
      <c r="P17829">
        <v>0</v>
      </c>
    </row>
    <row r="17830" spans="1:16" x14ac:dyDescent="0.25">
      <c r="A17830" t="s">
        <v>40456</v>
      </c>
      <c r="B17830" t="s">
        <v>18386</v>
      </c>
      <c r="C17830" t="s">
        <v>89</v>
      </c>
      <c r="D17830" t="str">
        <f>"3160"</f>
        <v>3160</v>
      </c>
      <c r="E17830" t="s">
        <v>16602</v>
      </c>
      <c r="F17830" t="s">
        <v>16623</v>
      </c>
      <c r="G17830" t="s">
        <v>47091</v>
      </c>
      <c r="H17830" t="s">
        <v>47055</v>
      </c>
      <c r="I17830" t="s">
        <v>47127</v>
      </c>
      <c r="J17830" t="s">
        <v>47128</v>
      </c>
      <c r="K17830" t="s">
        <v>47113</v>
      </c>
      <c r="L17830">
        <v>22.36</v>
      </c>
      <c r="M17830">
        <v>37</v>
      </c>
      <c r="N17830">
        <v>0</v>
      </c>
      <c r="O17830">
        <v>37</v>
      </c>
      <c r="P17830">
        <v>0</v>
      </c>
    </row>
    <row r="17831" spans="1:16" x14ac:dyDescent="0.25">
      <c r="A17831" t="s">
        <v>40457</v>
      </c>
      <c r="B17831" t="s">
        <v>18386</v>
      </c>
      <c r="C17831" t="s">
        <v>89</v>
      </c>
      <c r="D17831" t="str">
        <f>"4000"</f>
        <v>4000</v>
      </c>
      <c r="E17831" t="s">
        <v>16630</v>
      </c>
      <c r="F17831" t="s">
        <v>16623</v>
      </c>
      <c r="G17831" t="s">
        <v>47091</v>
      </c>
      <c r="H17831" t="s">
        <v>47055</v>
      </c>
      <c r="I17831" t="s">
        <v>47127</v>
      </c>
      <c r="J17831" t="s">
        <v>47128</v>
      </c>
      <c r="K17831" t="s">
        <v>47113</v>
      </c>
      <c r="L17831">
        <v>22.36</v>
      </c>
      <c r="M17831">
        <v>37</v>
      </c>
      <c r="N17831">
        <v>0</v>
      </c>
      <c r="O17831">
        <v>37</v>
      </c>
      <c r="P17831">
        <v>0</v>
      </c>
    </row>
    <row r="17832" spans="1:16" x14ac:dyDescent="0.25">
      <c r="A17832" t="s">
        <v>40458</v>
      </c>
      <c r="B17832" t="s">
        <v>18386</v>
      </c>
      <c r="C17832" t="s">
        <v>89</v>
      </c>
      <c r="D17832" t="str">
        <f>"4001"</f>
        <v>4001</v>
      </c>
      <c r="E17832" t="s">
        <v>18387</v>
      </c>
      <c r="F17832" t="s">
        <v>16623</v>
      </c>
      <c r="G17832" t="s">
        <v>47091</v>
      </c>
      <c r="H17832" t="s">
        <v>47055</v>
      </c>
      <c r="I17832" t="s">
        <v>47127</v>
      </c>
      <c r="J17832" t="s">
        <v>47128</v>
      </c>
      <c r="K17832" t="s">
        <v>47113</v>
      </c>
      <c r="L17832">
        <v>22.36</v>
      </c>
      <c r="M17832">
        <v>37</v>
      </c>
      <c r="N17832">
        <v>0</v>
      </c>
      <c r="O17832">
        <v>37</v>
      </c>
      <c r="P17832">
        <v>0</v>
      </c>
    </row>
    <row r="17833" spans="1:16" x14ac:dyDescent="0.25">
      <c r="A17833" t="s">
        <v>40459</v>
      </c>
      <c r="B17833" t="s">
        <v>18386</v>
      </c>
      <c r="C17833" t="s">
        <v>89</v>
      </c>
      <c r="D17833" t="str">
        <f>"5000"</f>
        <v>5000</v>
      </c>
      <c r="E17833" t="s">
        <v>16627</v>
      </c>
      <c r="F17833" t="s">
        <v>16623</v>
      </c>
      <c r="G17833" t="s">
        <v>47091</v>
      </c>
      <c r="H17833" t="s">
        <v>47055</v>
      </c>
      <c r="I17833" t="s">
        <v>47127</v>
      </c>
      <c r="J17833" t="s">
        <v>47128</v>
      </c>
      <c r="K17833" t="s">
        <v>47113</v>
      </c>
      <c r="L17833">
        <v>22.36</v>
      </c>
      <c r="M17833">
        <v>37</v>
      </c>
      <c r="N17833">
        <v>0</v>
      </c>
      <c r="O17833">
        <v>37</v>
      </c>
      <c r="P17833">
        <v>0</v>
      </c>
    </row>
    <row r="17834" spans="1:16" x14ac:dyDescent="0.25">
      <c r="A17834" t="s">
        <v>40460</v>
      </c>
      <c r="B17834" t="s">
        <v>18386</v>
      </c>
      <c r="C17834" t="s">
        <v>89</v>
      </c>
      <c r="D17834" t="str">
        <f>"6500"</f>
        <v>6500</v>
      </c>
      <c r="E17834" t="s">
        <v>151</v>
      </c>
      <c r="F17834" t="s">
        <v>16623</v>
      </c>
      <c r="G17834" t="s">
        <v>47091</v>
      </c>
      <c r="H17834" t="s">
        <v>47055</v>
      </c>
      <c r="I17834" t="s">
        <v>47127</v>
      </c>
      <c r="J17834" t="s">
        <v>47128</v>
      </c>
      <c r="K17834" t="s">
        <v>47113</v>
      </c>
      <c r="L17834">
        <v>22.36</v>
      </c>
      <c r="M17834">
        <v>37</v>
      </c>
      <c r="N17834">
        <v>0</v>
      </c>
      <c r="O17834">
        <v>37</v>
      </c>
      <c r="P17834">
        <v>0</v>
      </c>
    </row>
    <row r="17835" spans="1:16" x14ac:dyDescent="0.25">
      <c r="A17835" t="s">
        <v>40461</v>
      </c>
      <c r="B17835" t="s">
        <v>18386</v>
      </c>
      <c r="C17835" t="s">
        <v>89</v>
      </c>
      <c r="D17835" t="str">
        <f>"8206"</f>
        <v>8206</v>
      </c>
      <c r="E17835" t="s">
        <v>14203</v>
      </c>
      <c r="F17835" t="s">
        <v>16623</v>
      </c>
      <c r="G17835" t="s">
        <v>47091</v>
      </c>
      <c r="H17835" t="s">
        <v>47055</v>
      </c>
      <c r="I17835" t="s">
        <v>47127</v>
      </c>
      <c r="J17835" t="s">
        <v>47128</v>
      </c>
      <c r="K17835" t="s">
        <v>47113</v>
      </c>
      <c r="L17835">
        <v>22.36</v>
      </c>
      <c r="M17835">
        <v>37</v>
      </c>
      <c r="N17835">
        <v>0</v>
      </c>
      <c r="O17835">
        <v>37</v>
      </c>
      <c r="P17835">
        <v>0</v>
      </c>
    </row>
    <row r="17836" spans="1:16" x14ac:dyDescent="0.25">
      <c r="A17836" t="s">
        <v>40462</v>
      </c>
      <c r="B17836" t="s">
        <v>18388</v>
      </c>
      <c r="C17836" t="s">
        <v>18389</v>
      </c>
      <c r="D17836" t="str">
        <f>"1378"</f>
        <v>1378</v>
      </c>
      <c r="E17836" t="s">
        <v>388</v>
      </c>
      <c r="F17836" t="s">
        <v>16623</v>
      </c>
      <c r="G17836" t="s">
        <v>47091</v>
      </c>
      <c r="H17836" t="s">
        <v>47055</v>
      </c>
      <c r="I17836" t="s">
        <v>47127</v>
      </c>
      <c r="J17836" t="s">
        <v>47128</v>
      </c>
      <c r="K17836" t="s">
        <v>47113</v>
      </c>
      <c r="L17836">
        <v>13.42</v>
      </c>
      <c r="M17836">
        <v>22</v>
      </c>
      <c r="N17836">
        <v>0</v>
      </c>
      <c r="O17836">
        <v>22</v>
      </c>
      <c r="P17836">
        <v>0</v>
      </c>
    </row>
    <row r="17837" spans="1:16" x14ac:dyDescent="0.25">
      <c r="A17837" t="s">
        <v>40463</v>
      </c>
      <c r="B17837" t="s">
        <v>18388</v>
      </c>
      <c r="C17837" t="s">
        <v>18389</v>
      </c>
      <c r="D17837" t="str">
        <f>"3160"</f>
        <v>3160</v>
      </c>
      <c r="E17837" t="s">
        <v>16602</v>
      </c>
      <c r="F17837" t="s">
        <v>16623</v>
      </c>
      <c r="G17837" t="s">
        <v>47091</v>
      </c>
      <c r="H17837" t="s">
        <v>47055</v>
      </c>
      <c r="I17837" t="s">
        <v>47127</v>
      </c>
      <c r="J17837" t="s">
        <v>47128</v>
      </c>
      <c r="K17837" t="s">
        <v>47113</v>
      </c>
      <c r="L17837">
        <v>13.42</v>
      </c>
      <c r="M17837">
        <v>22</v>
      </c>
      <c r="N17837">
        <v>0</v>
      </c>
      <c r="O17837">
        <v>22</v>
      </c>
      <c r="P17837">
        <v>0</v>
      </c>
    </row>
    <row r="17838" spans="1:16" x14ac:dyDescent="0.25">
      <c r="A17838" t="s">
        <v>40464</v>
      </c>
      <c r="B17838" t="s">
        <v>18388</v>
      </c>
      <c r="C17838" t="s">
        <v>18389</v>
      </c>
      <c r="D17838" t="str">
        <f>"4000"</f>
        <v>4000</v>
      </c>
      <c r="E17838" t="s">
        <v>16630</v>
      </c>
      <c r="F17838" t="s">
        <v>16623</v>
      </c>
      <c r="G17838" t="s">
        <v>47091</v>
      </c>
      <c r="H17838" t="s">
        <v>47055</v>
      </c>
      <c r="I17838" t="s">
        <v>47127</v>
      </c>
      <c r="J17838" t="s">
        <v>47128</v>
      </c>
      <c r="K17838" t="s">
        <v>47113</v>
      </c>
      <c r="L17838">
        <v>13.42</v>
      </c>
      <c r="M17838">
        <v>22</v>
      </c>
      <c r="N17838">
        <v>0</v>
      </c>
      <c r="O17838">
        <v>22</v>
      </c>
      <c r="P17838">
        <v>0</v>
      </c>
    </row>
    <row r="17839" spans="1:16" x14ac:dyDescent="0.25">
      <c r="A17839" t="s">
        <v>40465</v>
      </c>
      <c r="B17839" t="s">
        <v>18388</v>
      </c>
      <c r="C17839" t="s">
        <v>18389</v>
      </c>
      <c r="D17839" t="str">
        <f>"4001"</f>
        <v>4001</v>
      </c>
      <c r="E17839" t="s">
        <v>16647</v>
      </c>
      <c r="F17839" t="s">
        <v>16623</v>
      </c>
      <c r="G17839" t="s">
        <v>47091</v>
      </c>
      <c r="H17839" t="s">
        <v>47055</v>
      </c>
      <c r="I17839" t="s">
        <v>47127</v>
      </c>
      <c r="J17839" t="s">
        <v>47128</v>
      </c>
      <c r="K17839" t="s">
        <v>47113</v>
      </c>
      <c r="L17839">
        <v>13.42</v>
      </c>
      <c r="M17839">
        <v>22</v>
      </c>
      <c r="N17839">
        <v>0</v>
      </c>
      <c r="O17839">
        <v>22</v>
      </c>
      <c r="P17839">
        <v>0</v>
      </c>
    </row>
    <row r="17840" spans="1:16" x14ac:dyDescent="0.25">
      <c r="A17840" t="s">
        <v>40466</v>
      </c>
      <c r="B17840" t="s">
        <v>18388</v>
      </c>
      <c r="C17840" t="s">
        <v>18389</v>
      </c>
      <c r="D17840" t="str">
        <f>"5000"</f>
        <v>5000</v>
      </c>
      <c r="E17840" t="s">
        <v>16627</v>
      </c>
      <c r="F17840" t="s">
        <v>16623</v>
      </c>
      <c r="G17840" t="s">
        <v>47091</v>
      </c>
      <c r="H17840" t="s">
        <v>47055</v>
      </c>
      <c r="I17840" t="s">
        <v>47127</v>
      </c>
      <c r="J17840" t="s">
        <v>47128</v>
      </c>
      <c r="K17840" t="s">
        <v>47113</v>
      </c>
      <c r="L17840">
        <v>13.42</v>
      </c>
      <c r="M17840">
        <v>22</v>
      </c>
      <c r="N17840">
        <v>0</v>
      </c>
      <c r="O17840">
        <v>22</v>
      </c>
      <c r="P17840">
        <v>0</v>
      </c>
    </row>
    <row r="17841" spans="1:16" x14ac:dyDescent="0.25">
      <c r="A17841" t="s">
        <v>40467</v>
      </c>
      <c r="B17841" t="s">
        <v>18388</v>
      </c>
      <c r="C17841" t="s">
        <v>18389</v>
      </c>
      <c r="D17841" t="str">
        <f>"6500"</f>
        <v>6500</v>
      </c>
      <c r="E17841" t="s">
        <v>151</v>
      </c>
      <c r="F17841" t="s">
        <v>16623</v>
      </c>
      <c r="G17841" t="s">
        <v>47091</v>
      </c>
      <c r="H17841" t="s">
        <v>47055</v>
      </c>
      <c r="I17841" t="s">
        <v>47127</v>
      </c>
      <c r="J17841" t="s">
        <v>47128</v>
      </c>
      <c r="K17841" t="s">
        <v>47113</v>
      </c>
      <c r="L17841">
        <v>13.42</v>
      </c>
      <c r="M17841">
        <v>22</v>
      </c>
      <c r="N17841">
        <v>0</v>
      </c>
      <c r="O17841">
        <v>22</v>
      </c>
      <c r="P17841">
        <v>0</v>
      </c>
    </row>
    <row r="17842" spans="1:16" x14ac:dyDescent="0.25">
      <c r="A17842" t="s">
        <v>40468</v>
      </c>
      <c r="B17842" t="s">
        <v>18388</v>
      </c>
      <c r="C17842" t="s">
        <v>18389</v>
      </c>
      <c r="D17842" t="str">
        <f>"8206"</f>
        <v>8206</v>
      </c>
      <c r="E17842" t="s">
        <v>14203</v>
      </c>
      <c r="F17842" t="s">
        <v>16623</v>
      </c>
      <c r="G17842" t="s">
        <v>47091</v>
      </c>
      <c r="H17842" t="s">
        <v>47055</v>
      </c>
      <c r="I17842" t="s">
        <v>47127</v>
      </c>
      <c r="J17842" t="s">
        <v>47128</v>
      </c>
      <c r="K17842" t="s">
        <v>47113</v>
      </c>
      <c r="L17842">
        <v>13.42</v>
      </c>
      <c r="M17842">
        <v>22</v>
      </c>
      <c r="N17842">
        <v>0</v>
      </c>
      <c r="O17842">
        <v>22</v>
      </c>
      <c r="P17842">
        <v>0</v>
      </c>
    </row>
    <row r="17843" spans="1:16" x14ac:dyDescent="0.25">
      <c r="A17843" t="s">
        <v>40469</v>
      </c>
      <c r="B17843" t="s">
        <v>18390</v>
      </c>
      <c r="C17843" t="s">
        <v>161</v>
      </c>
      <c r="D17843" t="str">
        <f>"1378"</f>
        <v>1378</v>
      </c>
      <c r="E17843" t="s">
        <v>388</v>
      </c>
      <c r="F17843" t="s">
        <v>16623</v>
      </c>
      <c r="G17843" t="s">
        <v>47091</v>
      </c>
      <c r="H17843" t="s">
        <v>47055</v>
      </c>
      <c r="I17843" t="s">
        <v>47127</v>
      </c>
      <c r="J17843" t="s">
        <v>47128</v>
      </c>
      <c r="K17843" t="s">
        <v>47113</v>
      </c>
      <c r="L17843">
        <v>13.42</v>
      </c>
      <c r="M17843">
        <v>22</v>
      </c>
      <c r="N17843">
        <v>0</v>
      </c>
      <c r="O17843">
        <v>22</v>
      </c>
      <c r="P17843">
        <v>0</v>
      </c>
    </row>
    <row r="17844" spans="1:16" x14ac:dyDescent="0.25">
      <c r="A17844" t="s">
        <v>40470</v>
      </c>
      <c r="B17844" t="s">
        <v>18390</v>
      </c>
      <c r="C17844" t="s">
        <v>161</v>
      </c>
      <c r="D17844" t="str">
        <f>"3160"</f>
        <v>3160</v>
      </c>
      <c r="E17844" t="s">
        <v>16602</v>
      </c>
      <c r="F17844" t="s">
        <v>16623</v>
      </c>
      <c r="G17844" t="s">
        <v>47091</v>
      </c>
      <c r="H17844" t="s">
        <v>47055</v>
      </c>
      <c r="I17844" t="s">
        <v>47127</v>
      </c>
      <c r="J17844" t="s">
        <v>47128</v>
      </c>
      <c r="K17844" t="s">
        <v>47113</v>
      </c>
      <c r="L17844">
        <v>13.42</v>
      </c>
      <c r="M17844">
        <v>22</v>
      </c>
      <c r="N17844">
        <v>0</v>
      </c>
      <c r="O17844">
        <v>22</v>
      </c>
      <c r="P17844">
        <v>0</v>
      </c>
    </row>
    <row r="17845" spans="1:16" x14ac:dyDescent="0.25">
      <c r="A17845" t="s">
        <v>40471</v>
      </c>
      <c r="B17845" t="s">
        <v>18390</v>
      </c>
      <c r="C17845" t="s">
        <v>161</v>
      </c>
      <c r="D17845" t="str">
        <f>"4000"</f>
        <v>4000</v>
      </c>
      <c r="E17845" t="s">
        <v>16630</v>
      </c>
      <c r="F17845" t="s">
        <v>16623</v>
      </c>
      <c r="G17845" t="s">
        <v>47091</v>
      </c>
      <c r="H17845" t="s">
        <v>47055</v>
      </c>
      <c r="I17845" t="s">
        <v>47127</v>
      </c>
      <c r="J17845" t="s">
        <v>47128</v>
      </c>
      <c r="K17845" t="s">
        <v>47113</v>
      </c>
      <c r="L17845">
        <v>13.42</v>
      </c>
      <c r="M17845">
        <v>22</v>
      </c>
      <c r="N17845">
        <v>0</v>
      </c>
      <c r="O17845">
        <v>22</v>
      </c>
      <c r="P17845">
        <v>0</v>
      </c>
    </row>
    <row r="17846" spans="1:16" x14ac:dyDescent="0.25">
      <c r="A17846" t="s">
        <v>40472</v>
      </c>
      <c r="B17846" t="s">
        <v>18390</v>
      </c>
      <c r="C17846" t="s">
        <v>161</v>
      </c>
      <c r="D17846" t="str">
        <f>"4001"</f>
        <v>4001</v>
      </c>
      <c r="E17846" t="s">
        <v>16647</v>
      </c>
      <c r="F17846" t="s">
        <v>16623</v>
      </c>
      <c r="G17846" t="s">
        <v>47091</v>
      </c>
      <c r="H17846" t="s">
        <v>47055</v>
      </c>
      <c r="I17846" t="s">
        <v>47127</v>
      </c>
      <c r="J17846" t="s">
        <v>47128</v>
      </c>
      <c r="K17846" t="s">
        <v>47113</v>
      </c>
      <c r="L17846">
        <v>13.42</v>
      </c>
      <c r="M17846">
        <v>22</v>
      </c>
      <c r="N17846">
        <v>0</v>
      </c>
      <c r="O17846">
        <v>22</v>
      </c>
      <c r="P17846">
        <v>0</v>
      </c>
    </row>
    <row r="17847" spans="1:16" x14ac:dyDescent="0.25">
      <c r="A17847" t="s">
        <v>40473</v>
      </c>
      <c r="B17847" t="s">
        <v>18390</v>
      </c>
      <c r="C17847" t="s">
        <v>161</v>
      </c>
      <c r="D17847" t="str">
        <f>"4143"</f>
        <v>4143</v>
      </c>
      <c r="E17847" t="s">
        <v>261</v>
      </c>
      <c r="F17847" t="s">
        <v>16623</v>
      </c>
      <c r="G17847" t="s">
        <v>47091</v>
      </c>
      <c r="H17847" t="s">
        <v>47055</v>
      </c>
      <c r="I17847" t="s">
        <v>47127</v>
      </c>
      <c r="J17847" t="s">
        <v>47128</v>
      </c>
      <c r="K17847" t="s">
        <v>47113</v>
      </c>
      <c r="L17847">
        <v>13.42</v>
      </c>
      <c r="M17847">
        <v>22</v>
      </c>
      <c r="N17847">
        <v>0</v>
      </c>
      <c r="O17847">
        <v>22</v>
      </c>
      <c r="P17847">
        <v>0</v>
      </c>
    </row>
    <row r="17848" spans="1:16" x14ac:dyDescent="0.25">
      <c r="A17848" t="s">
        <v>40474</v>
      </c>
      <c r="B17848" t="s">
        <v>18390</v>
      </c>
      <c r="C17848" t="s">
        <v>161</v>
      </c>
      <c r="D17848" t="str">
        <f>"5000"</f>
        <v>5000</v>
      </c>
      <c r="E17848" t="s">
        <v>16627</v>
      </c>
      <c r="F17848" t="s">
        <v>16623</v>
      </c>
      <c r="G17848" t="s">
        <v>47091</v>
      </c>
      <c r="H17848" t="s">
        <v>47055</v>
      </c>
      <c r="I17848" t="s">
        <v>47127</v>
      </c>
      <c r="J17848" t="s">
        <v>47128</v>
      </c>
      <c r="K17848" t="s">
        <v>47113</v>
      </c>
      <c r="L17848">
        <v>13.42</v>
      </c>
      <c r="M17848">
        <v>22</v>
      </c>
      <c r="N17848">
        <v>0</v>
      </c>
      <c r="O17848">
        <v>22</v>
      </c>
      <c r="P17848">
        <v>0</v>
      </c>
    </row>
    <row r="17849" spans="1:16" x14ac:dyDescent="0.25">
      <c r="A17849" t="s">
        <v>40475</v>
      </c>
      <c r="B17849" t="s">
        <v>18390</v>
      </c>
      <c r="C17849" t="s">
        <v>161</v>
      </c>
      <c r="D17849" t="str">
        <f>"6500"</f>
        <v>6500</v>
      </c>
      <c r="E17849" t="s">
        <v>151</v>
      </c>
      <c r="F17849" t="s">
        <v>16623</v>
      </c>
      <c r="G17849" t="s">
        <v>47091</v>
      </c>
      <c r="H17849" t="s">
        <v>47055</v>
      </c>
      <c r="I17849" t="s">
        <v>47127</v>
      </c>
      <c r="J17849" t="s">
        <v>47128</v>
      </c>
      <c r="K17849" t="s">
        <v>47113</v>
      </c>
      <c r="L17849">
        <v>13.42</v>
      </c>
      <c r="M17849">
        <v>22</v>
      </c>
      <c r="N17849">
        <v>0</v>
      </c>
      <c r="O17849">
        <v>22</v>
      </c>
      <c r="P17849">
        <v>0</v>
      </c>
    </row>
    <row r="17850" spans="1:16" x14ac:dyDescent="0.25">
      <c r="A17850" t="s">
        <v>40476</v>
      </c>
      <c r="B17850" t="s">
        <v>18390</v>
      </c>
      <c r="C17850" t="s">
        <v>161</v>
      </c>
      <c r="D17850" t="str">
        <f>"8206"</f>
        <v>8206</v>
      </c>
      <c r="E17850" t="s">
        <v>14203</v>
      </c>
      <c r="F17850" t="s">
        <v>16623</v>
      </c>
      <c r="G17850" t="s">
        <v>47091</v>
      </c>
      <c r="H17850" t="s">
        <v>47055</v>
      </c>
      <c r="I17850" t="s">
        <v>47127</v>
      </c>
      <c r="J17850" t="s">
        <v>47128</v>
      </c>
      <c r="K17850" t="s">
        <v>47113</v>
      </c>
      <c r="L17850">
        <v>13.42</v>
      </c>
      <c r="M17850">
        <v>22</v>
      </c>
      <c r="N17850">
        <v>0</v>
      </c>
      <c r="O17850">
        <v>22</v>
      </c>
      <c r="P17850">
        <v>0</v>
      </c>
    </row>
    <row r="17851" spans="1:16" x14ac:dyDescent="0.25">
      <c r="A17851" t="s">
        <v>40477</v>
      </c>
      <c r="B17851" t="s">
        <v>18391</v>
      </c>
      <c r="C17851" t="s">
        <v>2212</v>
      </c>
      <c r="D17851" t="str">
        <f>"1378"</f>
        <v>1378</v>
      </c>
      <c r="E17851" t="s">
        <v>388</v>
      </c>
      <c r="F17851" t="s">
        <v>16623</v>
      </c>
      <c r="G17851" t="s">
        <v>47091</v>
      </c>
      <c r="H17851" t="s">
        <v>47055</v>
      </c>
      <c r="I17851" t="s">
        <v>47127</v>
      </c>
      <c r="J17851" t="s">
        <v>47128</v>
      </c>
      <c r="K17851" t="s">
        <v>47113</v>
      </c>
      <c r="L17851">
        <v>15.65</v>
      </c>
      <c r="M17851">
        <v>26</v>
      </c>
      <c r="N17851">
        <v>0</v>
      </c>
      <c r="O17851">
        <v>26</v>
      </c>
      <c r="P17851">
        <v>0</v>
      </c>
    </row>
    <row r="17852" spans="1:16" x14ac:dyDescent="0.25">
      <c r="A17852" t="s">
        <v>40478</v>
      </c>
      <c r="B17852" t="s">
        <v>18391</v>
      </c>
      <c r="C17852" t="s">
        <v>2212</v>
      </c>
      <c r="D17852" t="str">
        <f>"3160"</f>
        <v>3160</v>
      </c>
      <c r="E17852" t="s">
        <v>16602</v>
      </c>
      <c r="F17852" t="s">
        <v>16623</v>
      </c>
      <c r="G17852" t="s">
        <v>47091</v>
      </c>
      <c r="H17852" t="s">
        <v>47055</v>
      </c>
      <c r="I17852" t="s">
        <v>47127</v>
      </c>
      <c r="J17852" t="s">
        <v>47128</v>
      </c>
      <c r="K17852" t="s">
        <v>47113</v>
      </c>
      <c r="L17852">
        <v>15.65</v>
      </c>
      <c r="M17852">
        <v>26</v>
      </c>
      <c r="N17852">
        <v>0</v>
      </c>
      <c r="O17852">
        <v>26</v>
      </c>
      <c r="P17852">
        <v>0</v>
      </c>
    </row>
    <row r="17853" spans="1:16" x14ac:dyDescent="0.25">
      <c r="A17853" t="s">
        <v>40479</v>
      </c>
      <c r="B17853" t="s">
        <v>18391</v>
      </c>
      <c r="C17853" t="s">
        <v>2212</v>
      </c>
      <c r="D17853" t="str">
        <f>"4000"</f>
        <v>4000</v>
      </c>
      <c r="E17853" t="s">
        <v>16630</v>
      </c>
      <c r="F17853" t="s">
        <v>16623</v>
      </c>
      <c r="G17853" t="s">
        <v>47091</v>
      </c>
      <c r="H17853" t="s">
        <v>47055</v>
      </c>
      <c r="I17853" t="s">
        <v>47127</v>
      </c>
      <c r="J17853" t="s">
        <v>47128</v>
      </c>
      <c r="K17853" t="s">
        <v>47113</v>
      </c>
      <c r="L17853">
        <v>15.65</v>
      </c>
      <c r="M17853">
        <v>26</v>
      </c>
      <c r="N17853">
        <v>0</v>
      </c>
      <c r="O17853">
        <v>26</v>
      </c>
      <c r="P17853">
        <v>0</v>
      </c>
    </row>
    <row r="17854" spans="1:16" x14ac:dyDescent="0.25">
      <c r="A17854" t="s">
        <v>40480</v>
      </c>
      <c r="B17854" t="s">
        <v>18391</v>
      </c>
      <c r="C17854" t="s">
        <v>2212</v>
      </c>
      <c r="D17854" t="str">
        <f>"4001"</f>
        <v>4001</v>
      </c>
      <c r="E17854" t="s">
        <v>16647</v>
      </c>
      <c r="F17854" t="s">
        <v>16623</v>
      </c>
      <c r="G17854" t="s">
        <v>47091</v>
      </c>
      <c r="H17854" t="s">
        <v>47055</v>
      </c>
      <c r="I17854" t="s">
        <v>47127</v>
      </c>
      <c r="J17854" t="s">
        <v>47128</v>
      </c>
      <c r="K17854" t="s">
        <v>47113</v>
      </c>
      <c r="L17854">
        <v>15.65</v>
      </c>
      <c r="M17854">
        <v>26</v>
      </c>
      <c r="N17854">
        <v>0</v>
      </c>
      <c r="O17854">
        <v>26</v>
      </c>
      <c r="P17854">
        <v>0</v>
      </c>
    </row>
    <row r="17855" spans="1:16" x14ac:dyDescent="0.25">
      <c r="A17855" t="s">
        <v>40481</v>
      </c>
      <c r="B17855" t="s">
        <v>18391</v>
      </c>
      <c r="C17855" t="s">
        <v>2212</v>
      </c>
      <c r="D17855" t="str">
        <f>"4143"</f>
        <v>4143</v>
      </c>
      <c r="E17855" t="s">
        <v>16626</v>
      </c>
      <c r="F17855" t="s">
        <v>16623</v>
      </c>
      <c r="G17855" t="s">
        <v>47091</v>
      </c>
      <c r="H17855" t="s">
        <v>47055</v>
      </c>
      <c r="I17855" t="s">
        <v>47127</v>
      </c>
      <c r="J17855" t="s">
        <v>47128</v>
      </c>
      <c r="K17855" t="s">
        <v>47113</v>
      </c>
      <c r="L17855">
        <v>15.65</v>
      </c>
      <c r="M17855">
        <v>26</v>
      </c>
      <c r="N17855">
        <v>0</v>
      </c>
      <c r="O17855">
        <v>26</v>
      </c>
      <c r="P17855">
        <v>0</v>
      </c>
    </row>
    <row r="17856" spans="1:16" x14ac:dyDescent="0.25">
      <c r="A17856" t="s">
        <v>40482</v>
      </c>
      <c r="B17856" t="s">
        <v>18391</v>
      </c>
      <c r="C17856" t="s">
        <v>2212</v>
      </c>
      <c r="D17856" t="str">
        <f>"5000"</f>
        <v>5000</v>
      </c>
      <c r="E17856" t="s">
        <v>16627</v>
      </c>
      <c r="F17856" t="s">
        <v>16623</v>
      </c>
      <c r="G17856" t="s">
        <v>47091</v>
      </c>
      <c r="H17856" t="s">
        <v>47055</v>
      </c>
      <c r="I17856" t="s">
        <v>47127</v>
      </c>
      <c r="J17856" t="s">
        <v>47128</v>
      </c>
      <c r="K17856" t="s">
        <v>47113</v>
      </c>
      <c r="L17856">
        <v>15.65</v>
      </c>
      <c r="M17856">
        <v>26</v>
      </c>
      <c r="N17856">
        <v>0</v>
      </c>
      <c r="O17856">
        <v>26</v>
      </c>
      <c r="P17856">
        <v>0</v>
      </c>
    </row>
    <row r="17857" spans="1:16" x14ac:dyDescent="0.25">
      <c r="A17857" t="s">
        <v>40483</v>
      </c>
      <c r="B17857" t="s">
        <v>18391</v>
      </c>
      <c r="C17857" t="s">
        <v>2212</v>
      </c>
      <c r="D17857" t="str">
        <f>"6500"</f>
        <v>6500</v>
      </c>
      <c r="E17857" t="s">
        <v>151</v>
      </c>
      <c r="F17857" t="s">
        <v>16623</v>
      </c>
      <c r="G17857" t="s">
        <v>47091</v>
      </c>
      <c r="H17857" t="s">
        <v>47055</v>
      </c>
      <c r="I17857" t="s">
        <v>47127</v>
      </c>
      <c r="J17857" t="s">
        <v>47128</v>
      </c>
      <c r="K17857" t="s">
        <v>47113</v>
      </c>
      <c r="L17857">
        <v>15.65</v>
      </c>
      <c r="M17857">
        <v>26</v>
      </c>
      <c r="N17857">
        <v>0</v>
      </c>
      <c r="O17857">
        <v>26</v>
      </c>
      <c r="P17857">
        <v>0</v>
      </c>
    </row>
    <row r="17858" spans="1:16" x14ac:dyDescent="0.25">
      <c r="A17858" t="s">
        <v>40484</v>
      </c>
      <c r="B17858" t="s">
        <v>18391</v>
      </c>
      <c r="C17858" t="s">
        <v>2212</v>
      </c>
      <c r="D17858" t="str">
        <f>"8206"</f>
        <v>8206</v>
      </c>
      <c r="E17858" t="s">
        <v>14203</v>
      </c>
      <c r="F17858" t="s">
        <v>16623</v>
      </c>
      <c r="G17858" t="s">
        <v>47091</v>
      </c>
      <c r="H17858" t="s">
        <v>47055</v>
      </c>
      <c r="I17858" t="s">
        <v>47127</v>
      </c>
      <c r="J17858" t="s">
        <v>47128</v>
      </c>
      <c r="K17858" t="s">
        <v>47113</v>
      </c>
      <c r="L17858">
        <v>15.65</v>
      </c>
      <c r="M17858">
        <v>26</v>
      </c>
      <c r="N17858">
        <v>0</v>
      </c>
      <c r="O17858">
        <v>26</v>
      </c>
      <c r="P17858">
        <v>0</v>
      </c>
    </row>
    <row r="17859" spans="1:16" x14ac:dyDescent="0.25">
      <c r="A17859" t="s">
        <v>40485</v>
      </c>
      <c r="B17859" t="s">
        <v>18392</v>
      </c>
      <c r="C17859" t="s">
        <v>18393</v>
      </c>
      <c r="D17859" t="str">
        <f>"1378"</f>
        <v>1378</v>
      </c>
      <c r="E17859" t="s">
        <v>388</v>
      </c>
      <c r="F17859" t="s">
        <v>16623</v>
      </c>
      <c r="G17859" t="s">
        <v>47091</v>
      </c>
      <c r="H17859" t="s">
        <v>47055</v>
      </c>
      <c r="I17859" t="s">
        <v>47127</v>
      </c>
      <c r="J17859" t="s">
        <v>47128</v>
      </c>
      <c r="K17859" t="s">
        <v>47113</v>
      </c>
      <c r="L17859">
        <v>22.36</v>
      </c>
      <c r="M17859">
        <v>37</v>
      </c>
      <c r="N17859">
        <v>0</v>
      </c>
      <c r="O17859">
        <v>37</v>
      </c>
      <c r="P17859">
        <v>0</v>
      </c>
    </row>
    <row r="17860" spans="1:16" x14ac:dyDescent="0.25">
      <c r="A17860" t="s">
        <v>40486</v>
      </c>
      <c r="B17860" t="s">
        <v>18392</v>
      </c>
      <c r="C17860" t="s">
        <v>18393</v>
      </c>
      <c r="D17860" t="str">
        <f>"3160"</f>
        <v>3160</v>
      </c>
      <c r="E17860" t="s">
        <v>16602</v>
      </c>
      <c r="F17860" t="s">
        <v>16623</v>
      </c>
      <c r="G17860" t="s">
        <v>47091</v>
      </c>
      <c r="H17860" t="s">
        <v>47055</v>
      </c>
      <c r="I17860" t="s">
        <v>47127</v>
      </c>
      <c r="J17860" t="s">
        <v>47128</v>
      </c>
      <c r="K17860" t="s">
        <v>47113</v>
      </c>
      <c r="L17860">
        <v>22.36</v>
      </c>
      <c r="M17860">
        <v>37</v>
      </c>
      <c r="N17860">
        <v>0</v>
      </c>
      <c r="O17860">
        <v>37</v>
      </c>
      <c r="P17860">
        <v>0</v>
      </c>
    </row>
    <row r="17861" spans="1:16" x14ac:dyDescent="0.25">
      <c r="A17861" t="s">
        <v>40487</v>
      </c>
      <c r="B17861" t="s">
        <v>18392</v>
      </c>
      <c r="C17861" t="s">
        <v>18393</v>
      </c>
      <c r="D17861" t="str">
        <f>"4000"</f>
        <v>4000</v>
      </c>
      <c r="E17861" t="s">
        <v>16630</v>
      </c>
      <c r="F17861" t="s">
        <v>16623</v>
      </c>
      <c r="G17861" t="s">
        <v>47091</v>
      </c>
      <c r="H17861" t="s">
        <v>47055</v>
      </c>
      <c r="I17861" t="s">
        <v>47127</v>
      </c>
      <c r="J17861" t="s">
        <v>47128</v>
      </c>
      <c r="K17861" t="s">
        <v>47113</v>
      </c>
      <c r="L17861">
        <v>22.36</v>
      </c>
      <c r="M17861">
        <v>37</v>
      </c>
      <c r="N17861">
        <v>0</v>
      </c>
      <c r="O17861">
        <v>37</v>
      </c>
      <c r="P17861">
        <v>0</v>
      </c>
    </row>
    <row r="17862" spans="1:16" x14ac:dyDescent="0.25">
      <c r="A17862" t="s">
        <v>40488</v>
      </c>
      <c r="B17862" t="s">
        <v>18392</v>
      </c>
      <c r="C17862" t="s">
        <v>18393</v>
      </c>
      <c r="D17862" t="str">
        <f>"4001"</f>
        <v>4001</v>
      </c>
      <c r="E17862" t="s">
        <v>16647</v>
      </c>
      <c r="F17862" t="s">
        <v>16623</v>
      </c>
      <c r="G17862" t="s">
        <v>47091</v>
      </c>
      <c r="H17862" t="s">
        <v>47055</v>
      </c>
      <c r="I17862" t="s">
        <v>47127</v>
      </c>
      <c r="J17862" t="s">
        <v>47128</v>
      </c>
      <c r="K17862" t="s">
        <v>47113</v>
      </c>
      <c r="L17862">
        <v>22.36</v>
      </c>
      <c r="M17862">
        <v>37</v>
      </c>
      <c r="N17862">
        <v>0</v>
      </c>
      <c r="O17862">
        <v>37</v>
      </c>
      <c r="P17862">
        <v>0</v>
      </c>
    </row>
    <row r="17863" spans="1:16" x14ac:dyDescent="0.25">
      <c r="A17863" t="s">
        <v>40489</v>
      </c>
      <c r="B17863" t="s">
        <v>18392</v>
      </c>
      <c r="C17863" t="s">
        <v>18393</v>
      </c>
      <c r="D17863" t="str">
        <f>"5000"</f>
        <v>5000</v>
      </c>
      <c r="E17863" t="s">
        <v>16627</v>
      </c>
      <c r="F17863" t="s">
        <v>16623</v>
      </c>
      <c r="G17863" t="s">
        <v>47091</v>
      </c>
      <c r="H17863" t="s">
        <v>47055</v>
      </c>
      <c r="I17863" t="s">
        <v>47127</v>
      </c>
      <c r="J17863" t="s">
        <v>47128</v>
      </c>
      <c r="K17863" t="s">
        <v>47113</v>
      </c>
      <c r="L17863">
        <v>22.36</v>
      </c>
      <c r="M17863">
        <v>37</v>
      </c>
      <c r="N17863">
        <v>0</v>
      </c>
      <c r="O17863">
        <v>37</v>
      </c>
      <c r="P17863">
        <v>0</v>
      </c>
    </row>
    <row r="17864" spans="1:16" x14ac:dyDescent="0.25">
      <c r="A17864" t="s">
        <v>40490</v>
      </c>
      <c r="B17864" t="s">
        <v>18392</v>
      </c>
      <c r="C17864" t="s">
        <v>18393</v>
      </c>
      <c r="D17864" t="str">
        <f>"6500"</f>
        <v>6500</v>
      </c>
      <c r="E17864" t="s">
        <v>151</v>
      </c>
      <c r="F17864" t="s">
        <v>16623</v>
      </c>
      <c r="G17864" t="s">
        <v>47091</v>
      </c>
      <c r="H17864" t="s">
        <v>47055</v>
      </c>
      <c r="I17864" t="s">
        <v>47127</v>
      </c>
      <c r="J17864" t="s">
        <v>47128</v>
      </c>
      <c r="K17864" t="s">
        <v>47113</v>
      </c>
      <c r="L17864">
        <v>22.36</v>
      </c>
      <c r="M17864">
        <v>37</v>
      </c>
      <c r="N17864">
        <v>0</v>
      </c>
      <c r="O17864">
        <v>37</v>
      </c>
      <c r="P17864">
        <v>0</v>
      </c>
    </row>
    <row r="17865" spans="1:16" x14ac:dyDescent="0.25">
      <c r="A17865" t="s">
        <v>40491</v>
      </c>
      <c r="B17865" t="s">
        <v>18392</v>
      </c>
      <c r="C17865" t="s">
        <v>18393</v>
      </c>
      <c r="D17865" t="str">
        <f>"8206"</f>
        <v>8206</v>
      </c>
      <c r="E17865" t="s">
        <v>14203</v>
      </c>
      <c r="F17865" t="s">
        <v>16623</v>
      </c>
      <c r="G17865" t="s">
        <v>47091</v>
      </c>
      <c r="H17865" t="s">
        <v>47055</v>
      </c>
      <c r="I17865" t="s">
        <v>47127</v>
      </c>
      <c r="J17865" t="s">
        <v>47128</v>
      </c>
      <c r="K17865" t="s">
        <v>47113</v>
      </c>
      <c r="L17865">
        <v>22.36</v>
      </c>
      <c r="M17865">
        <v>37</v>
      </c>
      <c r="N17865">
        <v>0</v>
      </c>
      <c r="O17865">
        <v>37</v>
      </c>
      <c r="P17865">
        <v>0</v>
      </c>
    </row>
    <row r="17866" spans="1:16" x14ac:dyDescent="0.25">
      <c r="A17866" t="s">
        <v>40492</v>
      </c>
      <c r="B17866" t="s">
        <v>21463</v>
      </c>
      <c r="C17866" t="s">
        <v>21464</v>
      </c>
      <c r="D17866" t="str">
        <f>"1001"</f>
        <v>1001</v>
      </c>
      <c r="E17866" t="s">
        <v>42</v>
      </c>
      <c r="F17866" t="s">
        <v>16623</v>
      </c>
      <c r="G17866" t="s">
        <v>47091</v>
      </c>
      <c r="H17866" t="s">
        <v>47055</v>
      </c>
      <c r="I17866" t="s">
        <v>47127</v>
      </c>
      <c r="J17866" t="s">
        <v>47128</v>
      </c>
      <c r="K17866" t="s">
        <v>47113</v>
      </c>
      <c r="L17866">
        <v>14.37</v>
      </c>
      <c r="M17866">
        <v>37</v>
      </c>
      <c r="N17866">
        <v>0</v>
      </c>
      <c r="O17866">
        <v>37</v>
      </c>
      <c r="P17866">
        <v>0</v>
      </c>
    </row>
    <row r="17867" spans="1:16" x14ac:dyDescent="0.25">
      <c r="A17867" t="s">
        <v>40493</v>
      </c>
      <c r="B17867" t="s">
        <v>21463</v>
      </c>
      <c r="C17867" t="s">
        <v>21464</v>
      </c>
      <c r="D17867" t="str">
        <f>"3160"</f>
        <v>3160</v>
      </c>
      <c r="E17867" t="s">
        <v>16602</v>
      </c>
      <c r="F17867" t="s">
        <v>16623</v>
      </c>
      <c r="G17867" t="s">
        <v>47091</v>
      </c>
      <c r="H17867" t="s">
        <v>47055</v>
      </c>
      <c r="I17867" t="s">
        <v>47127</v>
      </c>
      <c r="J17867" t="s">
        <v>47128</v>
      </c>
      <c r="K17867" t="s">
        <v>47113</v>
      </c>
      <c r="L17867">
        <v>14.37</v>
      </c>
      <c r="M17867">
        <v>37</v>
      </c>
      <c r="N17867">
        <v>0</v>
      </c>
      <c r="O17867">
        <v>37</v>
      </c>
      <c r="P17867">
        <v>0</v>
      </c>
    </row>
    <row r="17868" spans="1:16" x14ac:dyDescent="0.25">
      <c r="A17868" t="s">
        <v>40494</v>
      </c>
      <c r="B17868" t="s">
        <v>18394</v>
      </c>
      <c r="C17868" t="s">
        <v>161</v>
      </c>
      <c r="D17868" t="str">
        <f>"1001"</f>
        <v>1001</v>
      </c>
      <c r="E17868" t="s">
        <v>42</v>
      </c>
      <c r="F17868" t="s">
        <v>16623</v>
      </c>
      <c r="G17868" t="s">
        <v>47091</v>
      </c>
      <c r="H17868" t="s">
        <v>47055</v>
      </c>
      <c r="I17868" t="s">
        <v>47127</v>
      </c>
      <c r="J17868" t="s">
        <v>47128</v>
      </c>
      <c r="K17868" t="s">
        <v>47113</v>
      </c>
      <c r="L17868">
        <v>13.42</v>
      </c>
      <c r="M17868">
        <v>22</v>
      </c>
      <c r="N17868">
        <v>0</v>
      </c>
      <c r="O17868">
        <v>22</v>
      </c>
      <c r="P17868">
        <v>0</v>
      </c>
    </row>
    <row r="17869" spans="1:16" x14ac:dyDescent="0.25">
      <c r="A17869" t="s">
        <v>40495</v>
      </c>
      <c r="B17869" t="s">
        <v>18394</v>
      </c>
      <c r="C17869" t="s">
        <v>161</v>
      </c>
      <c r="D17869" t="str">
        <f>"1023"</f>
        <v>1023</v>
      </c>
      <c r="E17869" t="s">
        <v>1815</v>
      </c>
      <c r="F17869" t="s">
        <v>16623</v>
      </c>
      <c r="G17869" t="s">
        <v>47091</v>
      </c>
      <c r="H17869" t="s">
        <v>47055</v>
      </c>
      <c r="I17869" t="s">
        <v>47127</v>
      </c>
      <c r="J17869" t="s">
        <v>47128</v>
      </c>
      <c r="K17869" t="s">
        <v>47113</v>
      </c>
      <c r="L17869">
        <v>13.42</v>
      </c>
      <c r="M17869">
        <v>22</v>
      </c>
      <c r="N17869">
        <v>0</v>
      </c>
      <c r="O17869">
        <v>22</v>
      </c>
      <c r="P17869">
        <v>0</v>
      </c>
    </row>
    <row r="17870" spans="1:16" x14ac:dyDescent="0.25">
      <c r="A17870" t="s">
        <v>40496</v>
      </c>
      <c r="B17870" t="s">
        <v>18394</v>
      </c>
      <c r="C17870" t="s">
        <v>161</v>
      </c>
      <c r="D17870" t="str">
        <f>"1700"</f>
        <v>1700</v>
      </c>
      <c r="E17870" t="s">
        <v>60</v>
      </c>
      <c r="F17870" t="s">
        <v>16623</v>
      </c>
      <c r="G17870" t="s">
        <v>47091</v>
      </c>
      <c r="H17870" t="s">
        <v>47055</v>
      </c>
      <c r="I17870" t="s">
        <v>47127</v>
      </c>
      <c r="J17870" t="s">
        <v>47128</v>
      </c>
      <c r="K17870" t="s">
        <v>47113</v>
      </c>
      <c r="L17870">
        <v>13.42</v>
      </c>
      <c r="M17870">
        <v>22</v>
      </c>
      <c r="N17870">
        <v>0</v>
      </c>
      <c r="O17870">
        <v>22</v>
      </c>
      <c r="P17870">
        <v>0</v>
      </c>
    </row>
    <row r="17871" spans="1:16" x14ac:dyDescent="0.25">
      <c r="A17871" t="s">
        <v>40497</v>
      </c>
      <c r="B17871" t="s">
        <v>18394</v>
      </c>
      <c r="C17871" t="s">
        <v>161</v>
      </c>
      <c r="D17871" t="str">
        <f>"4000"</f>
        <v>4000</v>
      </c>
      <c r="E17871" t="s">
        <v>16630</v>
      </c>
      <c r="F17871" t="s">
        <v>16623</v>
      </c>
      <c r="G17871" t="s">
        <v>47091</v>
      </c>
      <c r="H17871" t="s">
        <v>47055</v>
      </c>
      <c r="I17871" t="s">
        <v>47127</v>
      </c>
      <c r="J17871" t="s">
        <v>47128</v>
      </c>
      <c r="K17871" t="s">
        <v>47113</v>
      </c>
      <c r="L17871">
        <v>13.42</v>
      </c>
      <c r="M17871">
        <v>22</v>
      </c>
      <c r="N17871">
        <v>0</v>
      </c>
      <c r="O17871">
        <v>22</v>
      </c>
      <c r="P17871">
        <v>0</v>
      </c>
    </row>
    <row r="17872" spans="1:16" x14ac:dyDescent="0.25">
      <c r="A17872" t="s">
        <v>40498</v>
      </c>
      <c r="B17872" t="s">
        <v>18394</v>
      </c>
      <c r="C17872" t="s">
        <v>161</v>
      </c>
      <c r="D17872" t="str">
        <f>"6500"</f>
        <v>6500</v>
      </c>
      <c r="E17872" t="s">
        <v>151</v>
      </c>
      <c r="F17872" t="s">
        <v>16623</v>
      </c>
      <c r="G17872" t="s">
        <v>47091</v>
      </c>
      <c r="H17872" t="s">
        <v>47055</v>
      </c>
      <c r="I17872" t="s">
        <v>47127</v>
      </c>
      <c r="J17872" t="s">
        <v>47128</v>
      </c>
      <c r="K17872" t="s">
        <v>47113</v>
      </c>
      <c r="L17872">
        <v>13.42</v>
      </c>
      <c r="M17872">
        <v>22</v>
      </c>
      <c r="N17872">
        <v>0</v>
      </c>
      <c r="O17872">
        <v>22</v>
      </c>
      <c r="P17872">
        <v>0</v>
      </c>
    </row>
    <row r="17873" spans="1:16" x14ac:dyDescent="0.25">
      <c r="A17873" t="s">
        <v>40499</v>
      </c>
      <c r="B17873" t="s">
        <v>18394</v>
      </c>
      <c r="C17873" t="s">
        <v>161</v>
      </c>
      <c r="D17873" t="str">
        <f>"7100"</f>
        <v>7100</v>
      </c>
      <c r="E17873" t="s">
        <v>225</v>
      </c>
      <c r="F17873" t="s">
        <v>16623</v>
      </c>
      <c r="G17873" t="s">
        <v>47091</v>
      </c>
      <c r="H17873" t="s">
        <v>47055</v>
      </c>
      <c r="I17873" t="s">
        <v>47127</v>
      </c>
      <c r="J17873" t="s">
        <v>47128</v>
      </c>
      <c r="K17873" t="s">
        <v>47113</v>
      </c>
      <c r="L17873">
        <v>13.42</v>
      </c>
      <c r="M17873">
        <v>22</v>
      </c>
      <c r="N17873">
        <v>0</v>
      </c>
      <c r="O17873">
        <v>22</v>
      </c>
      <c r="P17873">
        <v>0</v>
      </c>
    </row>
    <row r="17874" spans="1:16" x14ac:dyDescent="0.25">
      <c r="A17874" t="s">
        <v>40500</v>
      </c>
      <c r="B17874" t="s">
        <v>18395</v>
      </c>
      <c r="C17874" t="s">
        <v>16675</v>
      </c>
      <c r="D17874" t="str">
        <f>"1001"</f>
        <v>1001</v>
      </c>
      <c r="E17874" t="s">
        <v>42</v>
      </c>
      <c r="F17874" t="s">
        <v>16623</v>
      </c>
      <c r="G17874" t="s">
        <v>47091</v>
      </c>
      <c r="H17874" t="s">
        <v>47055</v>
      </c>
      <c r="I17874" t="s">
        <v>47127</v>
      </c>
      <c r="J17874" t="s">
        <v>47128</v>
      </c>
      <c r="K17874" t="s">
        <v>47113</v>
      </c>
      <c r="L17874">
        <v>15.65</v>
      </c>
      <c r="M17874">
        <v>26</v>
      </c>
      <c r="N17874">
        <v>0</v>
      </c>
      <c r="O17874">
        <v>26</v>
      </c>
      <c r="P17874">
        <v>0</v>
      </c>
    </row>
    <row r="17875" spans="1:16" x14ac:dyDescent="0.25">
      <c r="A17875" t="s">
        <v>40501</v>
      </c>
      <c r="B17875" t="s">
        <v>18395</v>
      </c>
      <c r="C17875" t="s">
        <v>16675</v>
      </c>
      <c r="D17875" t="str">
        <f>"1023"</f>
        <v>1023</v>
      </c>
      <c r="E17875" t="s">
        <v>1815</v>
      </c>
      <c r="F17875" t="s">
        <v>16623</v>
      </c>
      <c r="G17875" t="s">
        <v>47091</v>
      </c>
      <c r="H17875" t="s">
        <v>47055</v>
      </c>
      <c r="I17875" t="s">
        <v>47127</v>
      </c>
      <c r="J17875" t="s">
        <v>47128</v>
      </c>
      <c r="K17875" t="s">
        <v>47113</v>
      </c>
      <c r="L17875">
        <v>15.65</v>
      </c>
      <c r="M17875">
        <v>26</v>
      </c>
      <c r="N17875">
        <v>0</v>
      </c>
      <c r="O17875">
        <v>26</v>
      </c>
      <c r="P17875">
        <v>0</v>
      </c>
    </row>
    <row r="17876" spans="1:16" x14ac:dyDescent="0.25">
      <c r="A17876" t="s">
        <v>40502</v>
      </c>
      <c r="B17876" t="s">
        <v>18395</v>
      </c>
      <c r="C17876" t="s">
        <v>16675</v>
      </c>
      <c r="D17876" t="str">
        <f>"1700"</f>
        <v>1700</v>
      </c>
      <c r="E17876" t="s">
        <v>60</v>
      </c>
      <c r="F17876" t="s">
        <v>16623</v>
      </c>
      <c r="G17876" t="s">
        <v>47091</v>
      </c>
      <c r="H17876" t="s">
        <v>47055</v>
      </c>
      <c r="I17876" t="s">
        <v>47127</v>
      </c>
      <c r="J17876" t="s">
        <v>47128</v>
      </c>
      <c r="K17876" t="s">
        <v>47113</v>
      </c>
      <c r="L17876">
        <v>15.65</v>
      </c>
      <c r="M17876">
        <v>26</v>
      </c>
      <c r="N17876">
        <v>0</v>
      </c>
      <c r="O17876">
        <v>26</v>
      </c>
      <c r="P17876">
        <v>0</v>
      </c>
    </row>
    <row r="17877" spans="1:16" x14ac:dyDescent="0.25">
      <c r="A17877" t="s">
        <v>40503</v>
      </c>
      <c r="B17877" t="s">
        <v>18395</v>
      </c>
      <c r="C17877" t="s">
        <v>16675</v>
      </c>
      <c r="D17877" t="str">
        <f>"4000"</f>
        <v>4000</v>
      </c>
      <c r="E17877" t="s">
        <v>16630</v>
      </c>
      <c r="F17877" t="s">
        <v>16623</v>
      </c>
      <c r="G17877" t="s">
        <v>47091</v>
      </c>
      <c r="H17877" t="s">
        <v>47055</v>
      </c>
      <c r="I17877" t="s">
        <v>47127</v>
      </c>
      <c r="J17877" t="s">
        <v>47128</v>
      </c>
      <c r="K17877" t="s">
        <v>47113</v>
      </c>
      <c r="L17877">
        <v>15.65</v>
      </c>
      <c r="M17877">
        <v>26</v>
      </c>
      <c r="N17877">
        <v>0</v>
      </c>
      <c r="O17877">
        <v>26</v>
      </c>
      <c r="P17877">
        <v>0</v>
      </c>
    </row>
    <row r="17878" spans="1:16" x14ac:dyDescent="0.25">
      <c r="A17878" t="s">
        <v>40504</v>
      </c>
      <c r="B17878" t="s">
        <v>18395</v>
      </c>
      <c r="C17878" t="s">
        <v>16675</v>
      </c>
      <c r="D17878" t="str">
        <f>"6500"</f>
        <v>6500</v>
      </c>
      <c r="E17878" t="s">
        <v>151</v>
      </c>
      <c r="F17878" t="s">
        <v>16623</v>
      </c>
      <c r="G17878" t="s">
        <v>47091</v>
      </c>
      <c r="H17878" t="s">
        <v>47055</v>
      </c>
      <c r="I17878" t="s">
        <v>47127</v>
      </c>
      <c r="J17878" t="s">
        <v>47128</v>
      </c>
      <c r="K17878" t="s">
        <v>47113</v>
      </c>
      <c r="L17878">
        <v>15.65</v>
      </c>
      <c r="M17878">
        <v>26</v>
      </c>
      <c r="N17878">
        <v>0</v>
      </c>
      <c r="O17878">
        <v>26</v>
      </c>
      <c r="P17878">
        <v>0</v>
      </c>
    </row>
    <row r="17879" spans="1:16" x14ac:dyDescent="0.25">
      <c r="A17879" t="s">
        <v>40505</v>
      </c>
      <c r="B17879" t="s">
        <v>18395</v>
      </c>
      <c r="C17879" t="s">
        <v>16675</v>
      </c>
      <c r="D17879" t="str">
        <f>"7100"</f>
        <v>7100</v>
      </c>
      <c r="E17879" t="s">
        <v>225</v>
      </c>
      <c r="F17879" t="s">
        <v>16623</v>
      </c>
      <c r="G17879" t="s">
        <v>47091</v>
      </c>
      <c r="H17879" t="s">
        <v>47055</v>
      </c>
      <c r="I17879" t="s">
        <v>47127</v>
      </c>
      <c r="J17879" t="s">
        <v>47128</v>
      </c>
      <c r="K17879" t="s">
        <v>47113</v>
      </c>
      <c r="L17879">
        <v>15.65</v>
      </c>
      <c r="M17879">
        <v>26</v>
      </c>
      <c r="N17879">
        <v>0</v>
      </c>
      <c r="O17879">
        <v>26</v>
      </c>
      <c r="P17879">
        <v>0</v>
      </c>
    </row>
    <row r="17880" spans="1:16" x14ac:dyDescent="0.25">
      <c r="A17880" t="s">
        <v>40506</v>
      </c>
      <c r="B17880" t="s">
        <v>18396</v>
      </c>
      <c r="C17880" t="s">
        <v>18397</v>
      </c>
      <c r="D17880" t="str">
        <f>"1001"</f>
        <v>1001</v>
      </c>
      <c r="E17880" t="s">
        <v>42</v>
      </c>
      <c r="F17880" t="s">
        <v>16623</v>
      </c>
      <c r="G17880" t="s">
        <v>47091</v>
      </c>
      <c r="H17880" t="s">
        <v>47055</v>
      </c>
      <c r="I17880" t="s">
        <v>47127</v>
      </c>
      <c r="J17880" t="s">
        <v>47128</v>
      </c>
      <c r="K17880" t="s">
        <v>47113</v>
      </c>
      <c r="L17880">
        <v>17.88</v>
      </c>
      <c r="M17880">
        <v>29</v>
      </c>
      <c r="N17880">
        <v>0</v>
      </c>
      <c r="O17880">
        <v>29</v>
      </c>
      <c r="P17880">
        <v>0</v>
      </c>
    </row>
    <row r="17881" spans="1:16" x14ac:dyDescent="0.25">
      <c r="A17881" t="s">
        <v>40507</v>
      </c>
      <c r="B17881" t="s">
        <v>18396</v>
      </c>
      <c r="C17881" t="s">
        <v>18397</v>
      </c>
      <c r="D17881" t="str">
        <f>"1023"</f>
        <v>1023</v>
      </c>
      <c r="E17881" t="s">
        <v>1815</v>
      </c>
      <c r="F17881" t="s">
        <v>16623</v>
      </c>
      <c r="G17881" t="s">
        <v>47091</v>
      </c>
      <c r="H17881" t="s">
        <v>47055</v>
      </c>
      <c r="I17881" t="s">
        <v>47127</v>
      </c>
      <c r="J17881" t="s">
        <v>47128</v>
      </c>
      <c r="K17881" t="s">
        <v>47113</v>
      </c>
      <c r="L17881">
        <v>17.88</v>
      </c>
      <c r="M17881">
        <v>29</v>
      </c>
      <c r="N17881">
        <v>0</v>
      </c>
      <c r="O17881">
        <v>29</v>
      </c>
      <c r="P17881">
        <v>0</v>
      </c>
    </row>
    <row r="17882" spans="1:16" x14ac:dyDescent="0.25">
      <c r="A17882" t="s">
        <v>40508</v>
      </c>
      <c r="B17882" t="s">
        <v>18396</v>
      </c>
      <c r="C17882" t="s">
        <v>18397</v>
      </c>
      <c r="D17882" t="str">
        <f>"1700"</f>
        <v>1700</v>
      </c>
      <c r="E17882" t="s">
        <v>60</v>
      </c>
      <c r="F17882" t="s">
        <v>16623</v>
      </c>
      <c r="G17882" t="s">
        <v>47091</v>
      </c>
      <c r="H17882" t="s">
        <v>47055</v>
      </c>
      <c r="I17882" t="s">
        <v>47127</v>
      </c>
      <c r="J17882" t="s">
        <v>47128</v>
      </c>
      <c r="K17882" t="s">
        <v>47113</v>
      </c>
      <c r="L17882">
        <v>17.88</v>
      </c>
      <c r="M17882">
        <v>29</v>
      </c>
      <c r="N17882">
        <v>0</v>
      </c>
      <c r="O17882">
        <v>29</v>
      </c>
      <c r="P17882">
        <v>0</v>
      </c>
    </row>
    <row r="17883" spans="1:16" x14ac:dyDescent="0.25">
      <c r="A17883" t="s">
        <v>40509</v>
      </c>
      <c r="B17883" t="s">
        <v>18396</v>
      </c>
      <c r="C17883" t="s">
        <v>18397</v>
      </c>
      <c r="D17883" t="str">
        <f>"4000"</f>
        <v>4000</v>
      </c>
      <c r="E17883" t="s">
        <v>16630</v>
      </c>
      <c r="F17883" t="s">
        <v>16623</v>
      </c>
      <c r="G17883" t="s">
        <v>47091</v>
      </c>
      <c r="H17883" t="s">
        <v>47055</v>
      </c>
      <c r="I17883" t="s">
        <v>47127</v>
      </c>
      <c r="J17883" t="s">
        <v>47128</v>
      </c>
      <c r="K17883" t="s">
        <v>47113</v>
      </c>
      <c r="L17883">
        <v>17.88</v>
      </c>
      <c r="M17883">
        <v>29</v>
      </c>
      <c r="N17883">
        <v>0</v>
      </c>
      <c r="O17883">
        <v>29</v>
      </c>
      <c r="P17883">
        <v>0</v>
      </c>
    </row>
    <row r="17884" spans="1:16" x14ac:dyDescent="0.25">
      <c r="A17884" t="s">
        <v>40510</v>
      </c>
      <c r="B17884" t="s">
        <v>18396</v>
      </c>
      <c r="C17884" t="s">
        <v>18397</v>
      </c>
      <c r="D17884" t="str">
        <f>"6500"</f>
        <v>6500</v>
      </c>
      <c r="E17884" t="s">
        <v>151</v>
      </c>
      <c r="F17884" t="s">
        <v>16623</v>
      </c>
      <c r="G17884" t="s">
        <v>47091</v>
      </c>
      <c r="H17884" t="s">
        <v>47055</v>
      </c>
      <c r="I17884" t="s">
        <v>47127</v>
      </c>
      <c r="J17884" t="s">
        <v>47128</v>
      </c>
      <c r="K17884" t="s">
        <v>47113</v>
      </c>
      <c r="L17884">
        <v>17.88</v>
      </c>
      <c r="M17884">
        <v>29</v>
      </c>
      <c r="N17884">
        <v>0</v>
      </c>
      <c r="O17884">
        <v>29</v>
      </c>
      <c r="P17884">
        <v>0</v>
      </c>
    </row>
    <row r="17885" spans="1:16" x14ac:dyDescent="0.25">
      <c r="A17885" t="s">
        <v>40511</v>
      </c>
      <c r="B17885" t="s">
        <v>18396</v>
      </c>
      <c r="C17885" t="s">
        <v>18397</v>
      </c>
      <c r="D17885" t="str">
        <f>"7100"</f>
        <v>7100</v>
      </c>
      <c r="E17885" t="s">
        <v>225</v>
      </c>
      <c r="F17885" t="s">
        <v>16623</v>
      </c>
      <c r="G17885" t="s">
        <v>47091</v>
      </c>
      <c r="H17885" t="s">
        <v>47055</v>
      </c>
      <c r="I17885" t="s">
        <v>47127</v>
      </c>
      <c r="J17885" t="s">
        <v>47128</v>
      </c>
      <c r="K17885" t="s">
        <v>47113</v>
      </c>
      <c r="L17885">
        <v>17.88</v>
      </c>
      <c r="M17885">
        <v>29</v>
      </c>
      <c r="N17885">
        <v>0</v>
      </c>
      <c r="O17885">
        <v>29</v>
      </c>
      <c r="P17885">
        <v>0</v>
      </c>
    </row>
    <row r="17886" spans="1:16" x14ac:dyDescent="0.25">
      <c r="A17886" t="s">
        <v>40512</v>
      </c>
      <c r="B17886" t="s">
        <v>18398</v>
      </c>
      <c r="C17886" t="s">
        <v>18399</v>
      </c>
      <c r="D17886" t="str">
        <f>"4143"</f>
        <v>4143</v>
      </c>
      <c r="E17886" t="s">
        <v>16626</v>
      </c>
      <c r="F17886" t="s">
        <v>16623</v>
      </c>
      <c r="G17886" t="s">
        <v>47091</v>
      </c>
      <c r="H17886" t="s">
        <v>47055</v>
      </c>
      <c r="I17886" t="s">
        <v>47127</v>
      </c>
      <c r="J17886" t="s">
        <v>47128</v>
      </c>
      <c r="K17886" t="s">
        <v>47113</v>
      </c>
      <c r="L17886">
        <v>15.65</v>
      </c>
      <c r="M17886">
        <v>29</v>
      </c>
      <c r="N17886">
        <v>0</v>
      </c>
      <c r="O17886">
        <v>29</v>
      </c>
      <c r="P17886">
        <v>0</v>
      </c>
    </row>
    <row r="17887" spans="1:16" x14ac:dyDescent="0.25">
      <c r="A17887" t="s">
        <v>40513</v>
      </c>
      <c r="B17887" t="s">
        <v>18400</v>
      </c>
      <c r="C17887" t="s">
        <v>18401</v>
      </c>
      <c r="D17887" t="str">
        <f>"4143"</f>
        <v>4143</v>
      </c>
      <c r="E17887" t="s">
        <v>16626</v>
      </c>
      <c r="F17887" t="s">
        <v>16623</v>
      </c>
      <c r="G17887" t="s">
        <v>47091</v>
      </c>
      <c r="H17887" t="s">
        <v>47055</v>
      </c>
      <c r="I17887" t="s">
        <v>47127</v>
      </c>
      <c r="J17887" t="s">
        <v>47128</v>
      </c>
      <c r="K17887" t="s">
        <v>47113</v>
      </c>
      <c r="L17887">
        <v>15.65</v>
      </c>
      <c r="M17887">
        <v>26</v>
      </c>
      <c r="N17887">
        <v>0</v>
      </c>
      <c r="O17887">
        <v>26</v>
      </c>
      <c r="P17887">
        <v>0</v>
      </c>
    </row>
    <row r="17888" spans="1:16" x14ac:dyDescent="0.25">
      <c r="A17888" t="s">
        <v>40514</v>
      </c>
      <c r="B17888" t="s">
        <v>18402</v>
      </c>
      <c r="C17888" t="s">
        <v>18403</v>
      </c>
      <c r="D17888" t="str">
        <f>"4143"</f>
        <v>4143</v>
      </c>
      <c r="E17888" t="s">
        <v>16626</v>
      </c>
      <c r="F17888" t="s">
        <v>16623</v>
      </c>
      <c r="G17888" t="s">
        <v>47091</v>
      </c>
      <c r="H17888" t="s">
        <v>47055</v>
      </c>
      <c r="I17888" t="s">
        <v>47127</v>
      </c>
      <c r="J17888" t="s">
        <v>47128</v>
      </c>
      <c r="K17888" t="s">
        <v>47113</v>
      </c>
      <c r="L17888">
        <v>17.88</v>
      </c>
      <c r="M17888">
        <v>29</v>
      </c>
      <c r="N17888">
        <v>0</v>
      </c>
      <c r="O17888">
        <v>29</v>
      </c>
      <c r="P17888">
        <v>0</v>
      </c>
    </row>
    <row r="17889" spans="1:16" x14ac:dyDescent="0.25">
      <c r="A17889" t="s">
        <v>40515</v>
      </c>
      <c r="B17889" t="s">
        <v>18404</v>
      </c>
      <c r="C17889" t="s">
        <v>18403</v>
      </c>
      <c r="D17889" t="str">
        <f>"4143"</f>
        <v>4143</v>
      </c>
      <c r="E17889" t="s">
        <v>16626</v>
      </c>
      <c r="F17889" t="s">
        <v>16623</v>
      </c>
      <c r="G17889" t="s">
        <v>47091</v>
      </c>
      <c r="H17889" t="s">
        <v>47055</v>
      </c>
      <c r="I17889" t="s">
        <v>47127</v>
      </c>
      <c r="J17889" t="s">
        <v>47128</v>
      </c>
      <c r="K17889" t="s">
        <v>47113</v>
      </c>
      <c r="L17889">
        <v>17.88</v>
      </c>
      <c r="M17889">
        <v>29</v>
      </c>
      <c r="N17889">
        <v>0</v>
      </c>
      <c r="O17889">
        <v>29</v>
      </c>
      <c r="P17889">
        <v>0</v>
      </c>
    </row>
    <row r="17890" spans="1:16" x14ac:dyDescent="0.25">
      <c r="A17890" t="s">
        <v>40516</v>
      </c>
      <c r="B17890" t="s">
        <v>18405</v>
      </c>
      <c r="C17890" t="s">
        <v>18406</v>
      </c>
      <c r="D17890" t="str">
        <f>"1378"</f>
        <v>1378</v>
      </c>
      <c r="E17890" t="s">
        <v>388</v>
      </c>
      <c r="F17890" t="s">
        <v>16623</v>
      </c>
      <c r="G17890" t="s">
        <v>47091</v>
      </c>
      <c r="H17890" t="s">
        <v>47055</v>
      </c>
      <c r="I17890" t="s">
        <v>47127</v>
      </c>
      <c r="J17890" t="s">
        <v>47128</v>
      </c>
      <c r="K17890" t="s">
        <v>47113</v>
      </c>
      <c r="L17890">
        <v>15.65</v>
      </c>
      <c r="M17890">
        <v>26</v>
      </c>
      <c r="N17890">
        <v>0</v>
      </c>
      <c r="O17890">
        <v>26</v>
      </c>
      <c r="P17890">
        <v>0</v>
      </c>
    </row>
    <row r="17891" spans="1:16" x14ac:dyDescent="0.25">
      <c r="A17891" t="s">
        <v>40517</v>
      </c>
      <c r="B17891" t="s">
        <v>18405</v>
      </c>
      <c r="C17891" t="s">
        <v>18406</v>
      </c>
      <c r="D17891" t="str">
        <f>"1700"</f>
        <v>1700</v>
      </c>
      <c r="E17891" t="s">
        <v>60</v>
      </c>
      <c r="F17891" t="s">
        <v>16623</v>
      </c>
      <c r="G17891" t="s">
        <v>47091</v>
      </c>
      <c r="H17891" t="s">
        <v>47055</v>
      </c>
      <c r="I17891" t="s">
        <v>47127</v>
      </c>
      <c r="J17891" t="s">
        <v>47128</v>
      </c>
      <c r="K17891" t="s">
        <v>47113</v>
      </c>
      <c r="L17891">
        <v>15.65</v>
      </c>
      <c r="M17891">
        <v>26</v>
      </c>
      <c r="N17891">
        <v>0</v>
      </c>
      <c r="O17891">
        <v>26</v>
      </c>
      <c r="P17891">
        <v>0</v>
      </c>
    </row>
    <row r="17892" spans="1:16" x14ac:dyDescent="0.25">
      <c r="A17892" t="s">
        <v>40518</v>
      </c>
      <c r="B17892" t="s">
        <v>18405</v>
      </c>
      <c r="C17892" t="s">
        <v>18406</v>
      </c>
      <c r="D17892" t="str">
        <f>"4000"</f>
        <v>4000</v>
      </c>
      <c r="E17892" t="s">
        <v>16630</v>
      </c>
      <c r="F17892" t="s">
        <v>16623</v>
      </c>
      <c r="G17892" t="s">
        <v>47091</v>
      </c>
      <c r="H17892" t="s">
        <v>47055</v>
      </c>
      <c r="I17892" t="s">
        <v>47127</v>
      </c>
      <c r="J17892" t="s">
        <v>47128</v>
      </c>
      <c r="K17892" t="s">
        <v>47113</v>
      </c>
      <c r="L17892">
        <v>15.65</v>
      </c>
      <c r="M17892">
        <v>26</v>
      </c>
      <c r="N17892">
        <v>0</v>
      </c>
      <c r="O17892">
        <v>26</v>
      </c>
      <c r="P17892">
        <v>0</v>
      </c>
    </row>
    <row r="17893" spans="1:16" x14ac:dyDescent="0.25">
      <c r="A17893" t="s">
        <v>40519</v>
      </c>
      <c r="B17893" t="s">
        <v>18405</v>
      </c>
      <c r="C17893" t="s">
        <v>18406</v>
      </c>
      <c r="D17893" t="str">
        <f>"4001"</f>
        <v>4001</v>
      </c>
      <c r="E17893" t="s">
        <v>16647</v>
      </c>
      <c r="F17893" t="s">
        <v>16623</v>
      </c>
      <c r="G17893" t="s">
        <v>47091</v>
      </c>
      <c r="H17893" t="s">
        <v>47055</v>
      </c>
      <c r="I17893" t="s">
        <v>47127</v>
      </c>
      <c r="J17893" t="s">
        <v>47128</v>
      </c>
      <c r="K17893" t="s">
        <v>47113</v>
      </c>
      <c r="L17893">
        <v>15.65</v>
      </c>
      <c r="M17893">
        <v>26</v>
      </c>
      <c r="N17893">
        <v>0</v>
      </c>
      <c r="O17893">
        <v>26</v>
      </c>
      <c r="P17893">
        <v>0</v>
      </c>
    </row>
    <row r="17894" spans="1:16" x14ac:dyDescent="0.25">
      <c r="A17894" t="s">
        <v>40520</v>
      </c>
      <c r="B17894" t="s">
        <v>18405</v>
      </c>
      <c r="C17894" t="s">
        <v>18406</v>
      </c>
      <c r="D17894" t="str">
        <f>"5000"</f>
        <v>5000</v>
      </c>
      <c r="E17894" t="s">
        <v>16627</v>
      </c>
      <c r="F17894" t="s">
        <v>16623</v>
      </c>
      <c r="G17894" t="s">
        <v>47091</v>
      </c>
      <c r="H17894" t="s">
        <v>47055</v>
      </c>
      <c r="I17894" t="s">
        <v>47127</v>
      </c>
      <c r="J17894" t="s">
        <v>47128</v>
      </c>
      <c r="K17894" t="s">
        <v>47113</v>
      </c>
      <c r="L17894">
        <v>15.65</v>
      </c>
      <c r="M17894">
        <v>26</v>
      </c>
      <c r="N17894">
        <v>0</v>
      </c>
      <c r="O17894">
        <v>26</v>
      </c>
      <c r="P17894">
        <v>0</v>
      </c>
    </row>
    <row r="17895" spans="1:16" x14ac:dyDescent="0.25">
      <c r="A17895" t="s">
        <v>40521</v>
      </c>
      <c r="B17895" t="s">
        <v>18405</v>
      </c>
      <c r="C17895" t="s">
        <v>18406</v>
      </c>
      <c r="D17895" t="str">
        <f>"6500"</f>
        <v>6500</v>
      </c>
      <c r="E17895" t="s">
        <v>151</v>
      </c>
      <c r="F17895" t="s">
        <v>16623</v>
      </c>
      <c r="G17895" t="s">
        <v>47091</v>
      </c>
      <c r="H17895" t="s">
        <v>47055</v>
      </c>
      <c r="I17895" t="s">
        <v>47127</v>
      </c>
      <c r="J17895" t="s">
        <v>47128</v>
      </c>
      <c r="K17895" t="s">
        <v>47113</v>
      </c>
      <c r="L17895">
        <v>15.65</v>
      </c>
      <c r="M17895">
        <v>26</v>
      </c>
      <c r="N17895">
        <v>0</v>
      </c>
      <c r="O17895">
        <v>26</v>
      </c>
      <c r="P17895">
        <v>0</v>
      </c>
    </row>
    <row r="17896" spans="1:16" x14ac:dyDescent="0.25">
      <c r="A17896" t="s">
        <v>40522</v>
      </c>
      <c r="B17896" t="s">
        <v>18405</v>
      </c>
      <c r="C17896" t="s">
        <v>18406</v>
      </c>
      <c r="D17896" t="str">
        <f>"8206"</f>
        <v>8206</v>
      </c>
      <c r="E17896" t="s">
        <v>14203</v>
      </c>
      <c r="F17896" t="s">
        <v>16623</v>
      </c>
      <c r="G17896" t="s">
        <v>47091</v>
      </c>
      <c r="H17896" t="s">
        <v>47055</v>
      </c>
      <c r="I17896" t="s">
        <v>47127</v>
      </c>
      <c r="J17896" t="s">
        <v>47128</v>
      </c>
      <c r="K17896" t="s">
        <v>47113</v>
      </c>
      <c r="L17896">
        <v>15.65</v>
      </c>
      <c r="M17896">
        <v>26</v>
      </c>
      <c r="N17896">
        <v>0</v>
      </c>
      <c r="O17896">
        <v>26</v>
      </c>
      <c r="P17896">
        <v>0</v>
      </c>
    </row>
    <row r="17897" spans="1:16" x14ac:dyDescent="0.25">
      <c r="A17897" t="s">
        <v>40523</v>
      </c>
      <c r="B17897" t="s">
        <v>21465</v>
      </c>
      <c r="C17897" t="s">
        <v>21466</v>
      </c>
      <c r="D17897" t="str">
        <f>"1001"</f>
        <v>1001</v>
      </c>
      <c r="E17897" t="s">
        <v>42</v>
      </c>
      <c r="F17897" t="s">
        <v>16623</v>
      </c>
      <c r="G17897" t="s">
        <v>47091</v>
      </c>
      <c r="H17897" t="s">
        <v>47055</v>
      </c>
      <c r="I17897" t="s">
        <v>47127</v>
      </c>
      <c r="J17897" t="s">
        <v>47128</v>
      </c>
      <c r="K17897" t="s">
        <v>47113</v>
      </c>
      <c r="L17897">
        <v>22.36</v>
      </c>
      <c r="M17897">
        <v>37</v>
      </c>
      <c r="N17897">
        <v>0</v>
      </c>
      <c r="O17897">
        <v>37</v>
      </c>
      <c r="P17897">
        <v>0</v>
      </c>
    </row>
    <row r="17898" spans="1:16" x14ac:dyDescent="0.25">
      <c r="A17898" t="s">
        <v>40524</v>
      </c>
      <c r="B17898" t="s">
        <v>21465</v>
      </c>
      <c r="C17898" t="s">
        <v>21466</v>
      </c>
      <c r="D17898" t="str">
        <f>"1378"</f>
        <v>1378</v>
      </c>
      <c r="E17898" t="s">
        <v>388</v>
      </c>
      <c r="F17898" t="s">
        <v>16623</v>
      </c>
      <c r="G17898" t="s">
        <v>47091</v>
      </c>
      <c r="H17898" t="s">
        <v>47055</v>
      </c>
      <c r="I17898" t="s">
        <v>47127</v>
      </c>
      <c r="J17898" t="s">
        <v>47128</v>
      </c>
      <c r="K17898" t="s">
        <v>47113</v>
      </c>
      <c r="L17898">
        <v>22.36</v>
      </c>
      <c r="M17898">
        <v>37</v>
      </c>
      <c r="N17898">
        <v>0</v>
      </c>
      <c r="O17898">
        <v>37</v>
      </c>
      <c r="P17898">
        <v>0</v>
      </c>
    </row>
    <row r="17899" spans="1:16" x14ac:dyDescent="0.25">
      <c r="A17899" t="s">
        <v>40525</v>
      </c>
      <c r="B17899" t="s">
        <v>21465</v>
      </c>
      <c r="C17899" t="s">
        <v>21466</v>
      </c>
      <c r="D17899" t="str">
        <f>"1700"</f>
        <v>1700</v>
      </c>
      <c r="E17899" t="s">
        <v>60</v>
      </c>
      <c r="F17899" t="s">
        <v>16623</v>
      </c>
      <c r="G17899" t="s">
        <v>47091</v>
      </c>
      <c r="H17899" t="s">
        <v>47055</v>
      </c>
      <c r="I17899" t="s">
        <v>47127</v>
      </c>
      <c r="J17899" t="s">
        <v>47128</v>
      </c>
      <c r="K17899" t="s">
        <v>47113</v>
      </c>
      <c r="L17899">
        <v>22.36</v>
      </c>
      <c r="M17899">
        <v>37</v>
      </c>
      <c r="N17899">
        <v>0</v>
      </c>
      <c r="O17899">
        <v>37</v>
      </c>
      <c r="P17899">
        <v>0</v>
      </c>
    </row>
    <row r="17900" spans="1:16" x14ac:dyDescent="0.25">
      <c r="A17900" t="s">
        <v>40526</v>
      </c>
      <c r="B17900" t="s">
        <v>21465</v>
      </c>
      <c r="C17900" t="s">
        <v>21466</v>
      </c>
      <c r="D17900" t="str">
        <f>"3160"</f>
        <v>3160</v>
      </c>
      <c r="E17900" t="s">
        <v>16602</v>
      </c>
      <c r="F17900" t="s">
        <v>16623</v>
      </c>
      <c r="G17900" t="s">
        <v>47091</v>
      </c>
      <c r="H17900" t="s">
        <v>47055</v>
      </c>
      <c r="I17900" t="s">
        <v>47127</v>
      </c>
      <c r="J17900" t="s">
        <v>47128</v>
      </c>
      <c r="K17900" t="s">
        <v>47113</v>
      </c>
      <c r="L17900">
        <v>22.36</v>
      </c>
      <c r="M17900">
        <v>37</v>
      </c>
      <c r="N17900">
        <v>0</v>
      </c>
      <c r="O17900">
        <v>37</v>
      </c>
      <c r="P17900">
        <v>0</v>
      </c>
    </row>
    <row r="17901" spans="1:16" x14ac:dyDescent="0.25">
      <c r="A17901" t="s">
        <v>40527</v>
      </c>
      <c r="B17901" t="s">
        <v>21465</v>
      </c>
      <c r="C17901" t="s">
        <v>21466</v>
      </c>
      <c r="D17901" t="str">
        <f>"4000"</f>
        <v>4000</v>
      </c>
      <c r="E17901" t="s">
        <v>16630</v>
      </c>
      <c r="F17901" t="s">
        <v>16623</v>
      </c>
      <c r="G17901" t="s">
        <v>47091</v>
      </c>
      <c r="H17901" t="s">
        <v>47055</v>
      </c>
      <c r="I17901" t="s">
        <v>47127</v>
      </c>
      <c r="J17901" t="s">
        <v>47128</v>
      </c>
      <c r="K17901" t="s">
        <v>47113</v>
      </c>
      <c r="L17901">
        <v>22.36</v>
      </c>
      <c r="M17901">
        <v>37</v>
      </c>
      <c r="N17901">
        <v>0</v>
      </c>
      <c r="O17901">
        <v>37</v>
      </c>
      <c r="P17901">
        <v>0</v>
      </c>
    </row>
    <row r="17902" spans="1:16" x14ac:dyDescent="0.25">
      <c r="A17902" t="s">
        <v>40528</v>
      </c>
      <c r="B17902" t="s">
        <v>21465</v>
      </c>
      <c r="C17902" t="s">
        <v>21466</v>
      </c>
      <c r="D17902" t="str">
        <f>"6500"</f>
        <v>6500</v>
      </c>
      <c r="E17902" t="s">
        <v>151</v>
      </c>
      <c r="F17902" t="s">
        <v>16623</v>
      </c>
      <c r="G17902" t="s">
        <v>47091</v>
      </c>
      <c r="H17902" t="s">
        <v>47055</v>
      </c>
      <c r="I17902" t="s">
        <v>47127</v>
      </c>
      <c r="J17902" t="s">
        <v>47128</v>
      </c>
      <c r="K17902" t="s">
        <v>47113</v>
      </c>
      <c r="L17902">
        <v>22.36</v>
      </c>
      <c r="M17902">
        <v>37</v>
      </c>
      <c r="N17902">
        <v>0</v>
      </c>
      <c r="O17902">
        <v>37</v>
      </c>
      <c r="P17902">
        <v>0</v>
      </c>
    </row>
    <row r="17903" spans="1:16" x14ac:dyDescent="0.25">
      <c r="A17903" t="s">
        <v>40529</v>
      </c>
      <c r="B17903" t="s">
        <v>21465</v>
      </c>
      <c r="C17903" t="s">
        <v>21466</v>
      </c>
      <c r="D17903" t="str">
        <f>"8206"</f>
        <v>8206</v>
      </c>
      <c r="E17903" t="s">
        <v>14203</v>
      </c>
      <c r="F17903" t="s">
        <v>16623</v>
      </c>
      <c r="G17903" t="s">
        <v>47091</v>
      </c>
      <c r="H17903" t="s">
        <v>47055</v>
      </c>
      <c r="I17903" t="s">
        <v>47127</v>
      </c>
      <c r="J17903" t="s">
        <v>47128</v>
      </c>
      <c r="K17903" t="s">
        <v>47113</v>
      </c>
      <c r="L17903">
        <v>22.36</v>
      </c>
      <c r="M17903">
        <v>37</v>
      </c>
      <c r="N17903">
        <v>0</v>
      </c>
      <c r="O17903">
        <v>37</v>
      </c>
      <c r="P17903">
        <v>0</v>
      </c>
    </row>
    <row r="17904" spans="1:16" x14ac:dyDescent="0.25">
      <c r="A17904" t="s">
        <v>40530</v>
      </c>
      <c r="B17904" t="s">
        <v>21467</v>
      </c>
      <c r="C17904" t="s">
        <v>21468</v>
      </c>
      <c r="D17904" t="str">
        <f>"1001"</f>
        <v>1001</v>
      </c>
      <c r="E17904" t="s">
        <v>42</v>
      </c>
      <c r="F17904" t="s">
        <v>16623</v>
      </c>
      <c r="G17904" t="s">
        <v>47097</v>
      </c>
      <c r="H17904" t="s">
        <v>47055</v>
      </c>
      <c r="I17904" t="s">
        <v>47127</v>
      </c>
      <c r="J17904" t="s">
        <v>47128</v>
      </c>
      <c r="K17904" t="s">
        <v>47113</v>
      </c>
      <c r="L17904">
        <v>20.12</v>
      </c>
      <c r="M17904">
        <v>37</v>
      </c>
      <c r="N17904">
        <v>0</v>
      </c>
      <c r="O17904">
        <v>37</v>
      </c>
      <c r="P17904">
        <v>0</v>
      </c>
    </row>
    <row r="17905" spans="1:16" x14ac:dyDescent="0.25">
      <c r="A17905" t="s">
        <v>40531</v>
      </c>
      <c r="B17905" t="s">
        <v>21467</v>
      </c>
      <c r="C17905" t="s">
        <v>21468</v>
      </c>
      <c r="D17905" t="str">
        <f>"1378"</f>
        <v>1378</v>
      </c>
      <c r="E17905" t="s">
        <v>388</v>
      </c>
      <c r="F17905" t="s">
        <v>16623</v>
      </c>
      <c r="G17905" t="s">
        <v>47097</v>
      </c>
      <c r="H17905" t="s">
        <v>47055</v>
      </c>
      <c r="I17905" t="s">
        <v>47127</v>
      </c>
      <c r="J17905" t="s">
        <v>47128</v>
      </c>
      <c r="K17905" t="s">
        <v>47113</v>
      </c>
      <c r="L17905">
        <v>20.12</v>
      </c>
      <c r="M17905">
        <v>37</v>
      </c>
      <c r="N17905">
        <v>0</v>
      </c>
      <c r="O17905">
        <v>37</v>
      </c>
      <c r="P17905">
        <v>0</v>
      </c>
    </row>
    <row r="17906" spans="1:16" x14ac:dyDescent="0.25">
      <c r="A17906" t="s">
        <v>40532</v>
      </c>
      <c r="B17906" t="s">
        <v>21467</v>
      </c>
      <c r="C17906" t="s">
        <v>21468</v>
      </c>
      <c r="D17906" t="str">
        <f>"1700"</f>
        <v>1700</v>
      </c>
      <c r="E17906" t="s">
        <v>60</v>
      </c>
      <c r="F17906" t="s">
        <v>16623</v>
      </c>
      <c r="G17906" t="s">
        <v>47097</v>
      </c>
      <c r="H17906" t="s">
        <v>47055</v>
      </c>
      <c r="I17906" t="s">
        <v>47127</v>
      </c>
      <c r="J17906" t="s">
        <v>47128</v>
      </c>
      <c r="K17906" t="s">
        <v>47113</v>
      </c>
      <c r="L17906">
        <v>20.12</v>
      </c>
      <c r="M17906">
        <v>37</v>
      </c>
      <c r="N17906">
        <v>0</v>
      </c>
      <c r="O17906">
        <v>37</v>
      </c>
      <c r="P17906">
        <v>0</v>
      </c>
    </row>
    <row r="17907" spans="1:16" x14ac:dyDescent="0.25">
      <c r="A17907" t="s">
        <v>40533</v>
      </c>
      <c r="B17907" t="s">
        <v>21467</v>
      </c>
      <c r="C17907" t="s">
        <v>21468</v>
      </c>
      <c r="D17907" t="str">
        <f>"3160"</f>
        <v>3160</v>
      </c>
      <c r="E17907" t="s">
        <v>16602</v>
      </c>
      <c r="F17907" t="s">
        <v>16623</v>
      </c>
      <c r="G17907" t="s">
        <v>47097</v>
      </c>
      <c r="H17907" t="s">
        <v>47055</v>
      </c>
      <c r="I17907" t="s">
        <v>47127</v>
      </c>
      <c r="J17907" t="s">
        <v>47128</v>
      </c>
      <c r="K17907" t="s">
        <v>47113</v>
      </c>
      <c r="L17907">
        <v>20.12</v>
      </c>
      <c r="M17907">
        <v>37</v>
      </c>
      <c r="N17907">
        <v>0</v>
      </c>
      <c r="O17907">
        <v>37</v>
      </c>
      <c r="P17907">
        <v>0</v>
      </c>
    </row>
    <row r="17908" spans="1:16" x14ac:dyDescent="0.25">
      <c r="A17908" t="s">
        <v>40534</v>
      </c>
      <c r="B17908" t="s">
        <v>21467</v>
      </c>
      <c r="C17908" t="s">
        <v>21468</v>
      </c>
      <c r="D17908" t="str">
        <f>"4000"</f>
        <v>4000</v>
      </c>
      <c r="E17908" t="s">
        <v>16630</v>
      </c>
      <c r="F17908" t="s">
        <v>16623</v>
      </c>
      <c r="G17908" t="s">
        <v>47097</v>
      </c>
      <c r="H17908" t="s">
        <v>47055</v>
      </c>
      <c r="I17908" t="s">
        <v>47127</v>
      </c>
      <c r="J17908" t="s">
        <v>47128</v>
      </c>
      <c r="K17908" t="s">
        <v>47113</v>
      </c>
      <c r="L17908">
        <v>20.12</v>
      </c>
      <c r="M17908">
        <v>37</v>
      </c>
      <c r="N17908">
        <v>0</v>
      </c>
      <c r="O17908">
        <v>37</v>
      </c>
      <c r="P17908">
        <v>0</v>
      </c>
    </row>
    <row r="17909" spans="1:16" x14ac:dyDescent="0.25">
      <c r="A17909" t="s">
        <v>40535</v>
      </c>
      <c r="B17909" t="s">
        <v>21467</v>
      </c>
      <c r="C17909" t="s">
        <v>21468</v>
      </c>
      <c r="D17909" t="str">
        <f>"6500"</f>
        <v>6500</v>
      </c>
      <c r="E17909" t="s">
        <v>151</v>
      </c>
      <c r="F17909" t="s">
        <v>16623</v>
      </c>
      <c r="G17909" t="s">
        <v>47097</v>
      </c>
      <c r="H17909" t="s">
        <v>47055</v>
      </c>
      <c r="I17909" t="s">
        <v>47127</v>
      </c>
      <c r="J17909" t="s">
        <v>47128</v>
      </c>
      <c r="K17909" t="s">
        <v>47113</v>
      </c>
      <c r="L17909">
        <v>20.12</v>
      </c>
      <c r="M17909">
        <v>37</v>
      </c>
      <c r="N17909">
        <v>0</v>
      </c>
      <c r="O17909">
        <v>37</v>
      </c>
      <c r="P17909">
        <v>0</v>
      </c>
    </row>
    <row r="17910" spans="1:16" x14ac:dyDescent="0.25">
      <c r="A17910" t="s">
        <v>40536</v>
      </c>
      <c r="B17910" t="s">
        <v>21467</v>
      </c>
      <c r="C17910" t="s">
        <v>21468</v>
      </c>
      <c r="D17910" t="str">
        <f>"8206"</f>
        <v>8206</v>
      </c>
      <c r="E17910" t="s">
        <v>14203</v>
      </c>
      <c r="F17910" t="s">
        <v>16623</v>
      </c>
      <c r="G17910" t="s">
        <v>47097</v>
      </c>
      <c r="H17910" t="s">
        <v>47055</v>
      </c>
      <c r="I17910" t="s">
        <v>47127</v>
      </c>
      <c r="J17910" t="s">
        <v>47128</v>
      </c>
      <c r="K17910" t="s">
        <v>47113</v>
      </c>
      <c r="L17910">
        <v>20.12</v>
      </c>
      <c r="M17910">
        <v>37</v>
      </c>
      <c r="N17910">
        <v>0</v>
      </c>
      <c r="O17910">
        <v>37</v>
      </c>
      <c r="P17910">
        <v>0</v>
      </c>
    </row>
    <row r="17911" spans="1:16" x14ac:dyDescent="0.25">
      <c r="A17911" t="s">
        <v>40537</v>
      </c>
      <c r="B17911" t="s">
        <v>21469</v>
      </c>
      <c r="C17911" t="s">
        <v>21470</v>
      </c>
      <c r="D17911" t="str">
        <f>"1378"</f>
        <v>1378</v>
      </c>
      <c r="E17911" t="s">
        <v>388</v>
      </c>
      <c r="F17911" t="s">
        <v>16623</v>
      </c>
      <c r="G17911" t="s">
        <v>47095</v>
      </c>
      <c r="H17911" t="s">
        <v>47055</v>
      </c>
      <c r="I17911" t="s">
        <v>47120</v>
      </c>
      <c r="J17911" t="s">
        <v>47121</v>
      </c>
      <c r="K17911" t="s">
        <v>47113</v>
      </c>
      <c r="L17911">
        <v>40.58</v>
      </c>
      <c r="M17911">
        <v>85</v>
      </c>
      <c r="N17911">
        <v>0</v>
      </c>
      <c r="O17911">
        <v>85</v>
      </c>
      <c r="P17911">
        <v>0</v>
      </c>
    </row>
    <row r="17912" spans="1:16" x14ac:dyDescent="0.25">
      <c r="A17912" t="s">
        <v>40538</v>
      </c>
      <c r="B17912" t="s">
        <v>21469</v>
      </c>
      <c r="C17912" t="s">
        <v>21470</v>
      </c>
      <c r="D17912" t="str">
        <f>"2701"</f>
        <v>2701</v>
      </c>
      <c r="E17912" t="s">
        <v>2149</v>
      </c>
      <c r="F17912" t="s">
        <v>16623</v>
      </c>
      <c r="G17912" t="s">
        <v>47095</v>
      </c>
      <c r="H17912" t="s">
        <v>47055</v>
      </c>
      <c r="I17912" t="s">
        <v>47120</v>
      </c>
      <c r="J17912" t="s">
        <v>47121</v>
      </c>
      <c r="K17912" t="s">
        <v>47113</v>
      </c>
      <c r="L17912">
        <v>40.58</v>
      </c>
      <c r="M17912">
        <v>85</v>
      </c>
      <c r="N17912">
        <v>0</v>
      </c>
      <c r="O17912">
        <v>85</v>
      </c>
      <c r="P17912">
        <v>0</v>
      </c>
    </row>
    <row r="17913" spans="1:16" x14ac:dyDescent="0.25">
      <c r="A17913" t="s">
        <v>40539</v>
      </c>
      <c r="B17913" t="s">
        <v>21469</v>
      </c>
      <c r="C17913" t="s">
        <v>21470</v>
      </c>
      <c r="D17913" t="str">
        <f>"3106"</f>
        <v>3106</v>
      </c>
      <c r="E17913" t="s">
        <v>230</v>
      </c>
      <c r="F17913" t="s">
        <v>16623</v>
      </c>
      <c r="G17913" t="s">
        <v>47095</v>
      </c>
      <c r="H17913" t="s">
        <v>47055</v>
      </c>
      <c r="I17913" t="s">
        <v>47120</v>
      </c>
      <c r="J17913" t="s">
        <v>47121</v>
      </c>
      <c r="K17913" t="s">
        <v>47113</v>
      </c>
      <c r="L17913">
        <v>40.58</v>
      </c>
      <c r="M17913">
        <v>85</v>
      </c>
      <c r="N17913">
        <v>0</v>
      </c>
      <c r="O17913">
        <v>85</v>
      </c>
      <c r="P17913">
        <v>0</v>
      </c>
    </row>
    <row r="17914" spans="1:16" x14ac:dyDescent="0.25">
      <c r="A17914" t="s">
        <v>40540</v>
      </c>
      <c r="B17914" t="s">
        <v>21469</v>
      </c>
      <c r="C17914" t="s">
        <v>21470</v>
      </c>
      <c r="D17914" t="str">
        <f>"4143"</f>
        <v>4143</v>
      </c>
      <c r="E17914" t="s">
        <v>261</v>
      </c>
      <c r="F17914" t="s">
        <v>16623</v>
      </c>
      <c r="G17914" t="s">
        <v>47095</v>
      </c>
      <c r="H17914" t="s">
        <v>47055</v>
      </c>
      <c r="I17914" t="s">
        <v>47120</v>
      </c>
      <c r="J17914" t="s">
        <v>47121</v>
      </c>
      <c r="K17914" t="s">
        <v>47113</v>
      </c>
      <c r="L17914">
        <v>40.58</v>
      </c>
      <c r="M17914">
        <v>85</v>
      </c>
      <c r="N17914">
        <v>0</v>
      </c>
      <c r="O17914">
        <v>85</v>
      </c>
      <c r="P17914">
        <v>0</v>
      </c>
    </row>
    <row r="17915" spans="1:16" x14ac:dyDescent="0.25">
      <c r="A17915" t="s">
        <v>40541</v>
      </c>
      <c r="B17915" t="s">
        <v>18407</v>
      </c>
      <c r="C17915" t="s">
        <v>18408</v>
      </c>
      <c r="D17915" t="str">
        <f>"1001"</f>
        <v>1001</v>
      </c>
      <c r="E17915" t="s">
        <v>42</v>
      </c>
      <c r="F17915" t="s">
        <v>16623</v>
      </c>
      <c r="G17915" t="s">
        <v>47098</v>
      </c>
      <c r="H17915" t="s">
        <v>47055</v>
      </c>
      <c r="I17915" t="s">
        <v>47120</v>
      </c>
      <c r="J17915" t="s">
        <v>47121</v>
      </c>
      <c r="K17915" t="s">
        <v>47113</v>
      </c>
      <c r="L17915">
        <v>62.66</v>
      </c>
      <c r="M17915">
        <v>111</v>
      </c>
      <c r="N17915">
        <v>0</v>
      </c>
      <c r="O17915">
        <v>111</v>
      </c>
      <c r="P17915">
        <v>0</v>
      </c>
    </row>
    <row r="17916" spans="1:16" x14ac:dyDescent="0.25">
      <c r="A17916" t="s">
        <v>40542</v>
      </c>
      <c r="B17916" t="s">
        <v>18409</v>
      </c>
      <c r="C17916" t="s">
        <v>18410</v>
      </c>
      <c r="D17916" t="str">
        <f>"1001"</f>
        <v>1001</v>
      </c>
      <c r="E17916" t="s">
        <v>42</v>
      </c>
      <c r="F17916" t="s">
        <v>16623</v>
      </c>
      <c r="G17916" t="s">
        <v>47102</v>
      </c>
      <c r="H17916" t="s">
        <v>47055</v>
      </c>
      <c r="I17916" t="s">
        <v>47120</v>
      </c>
      <c r="J17916" t="s">
        <v>47121</v>
      </c>
      <c r="K17916" t="s">
        <v>47113</v>
      </c>
      <c r="L17916">
        <v>67.14</v>
      </c>
      <c r="M17916">
        <v>111</v>
      </c>
      <c r="N17916">
        <v>0</v>
      </c>
      <c r="O17916">
        <v>111</v>
      </c>
      <c r="P17916">
        <v>0</v>
      </c>
    </row>
    <row r="17917" spans="1:16" x14ac:dyDescent="0.25">
      <c r="A17917" t="s">
        <v>40543</v>
      </c>
      <c r="B17917" t="s">
        <v>18409</v>
      </c>
      <c r="C17917" t="s">
        <v>18410</v>
      </c>
      <c r="D17917" t="str">
        <f>"3106"</f>
        <v>3106</v>
      </c>
      <c r="E17917" t="s">
        <v>230</v>
      </c>
      <c r="F17917" t="s">
        <v>16623</v>
      </c>
      <c r="G17917" t="s">
        <v>47102</v>
      </c>
      <c r="H17917" t="s">
        <v>47055</v>
      </c>
      <c r="I17917" t="s">
        <v>47120</v>
      </c>
      <c r="J17917" t="s">
        <v>47121</v>
      </c>
      <c r="K17917" t="s">
        <v>47113</v>
      </c>
      <c r="L17917">
        <v>67.14</v>
      </c>
      <c r="M17917">
        <v>111</v>
      </c>
      <c r="N17917">
        <v>0</v>
      </c>
      <c r="O17917">
        <v>111</v>
      </c>
      <c r="P17917">
        <v>0</v>
      </c>
    </row>
    <row r="17918" spans="1:16" x14ac:dyDescent="0.25">
      <c r="A17918" t="s">
        <v>40544</v>
      </c>
      <c r="B17918" t="s">
        <v>18411</v>
      </c>
      <c r="C17918" t="s">
        <v>15359</v>
      </c>
      <c r="D17918" t="str">
        <f>"3196"</f>
        <v>3196</v>
      </c>
      <c r="E17918" t="s">
        <v>159</v>
      </c>
      <c r="F17918" t="s">
        <v>16623</v>
      </c>
      <c r="G17918" t="s">
        <v>47102</v>
      </c>
      <c r="H17918" t="s">
        <v>47055</v>
      </c>
      <c r="I17918" t="s">
        <v>47120</v>
      </c>
      <c r="J17918" t="s">
        <v>47121</v>
      </c>
      <c r="K17918" t="s">
        <v>47113</v>
      </c>
      <c r="L17918">
        <v>80.56</v>
      </c>
      <c r="M17918">
        <v>148</v>
      </c>
      <c r="N17918">
        <v>0</v>
      </c>
      <c r="O17918">
        <v>148</v>
      </c>
      <c r="P17918">
        <v>0</v>
      </c>
    </row>
    <row r="17919" spans="1:16" x14ac:dyDescent="0.25">
      <c r="A17919" t="s">
        <v>40545</v>
      </c>
      <c r="B17919" t="s">
        <v>18412</v>
      </c>
      <c r="C17919" t="s">
        <v>6116</v>
      </c>
      <c r="D17919" t="str">
        <f>"1001"</f>
        <v>1001</v>
      </c>
      <c r="E17919" t="s">
        <v>42</v>
      </c>
      <c r="F17919" t="s">
        <v>16623</v>
      </c>
      <c r="G17919" t="s">
        <v>47098</v>
      </c>
      <c r="H17919" t="s">
        <v>47055</v>
      </c>
      <c r="I17919" t="s">
        <v>47120</v>
      </c>
      <c r="J17919" t="s">
        <v>47121</v>
      </c>
      <c r="K17919" t="s">
        <v>47113</v>
      </c>
      <c r="L17919">
        <v>62.61</v>
      </c>
      <c r="M17919">
        <v>111</v>
      </c>
      <c r="N17919">
        <v>0</v>
      </c>
      <c r="O17919">
        <v>111</v>
      </c>
      <c r="P17919">
        <v>0</v>
      </c>
    </row>
    <row r="17920" spans="1:16" x14ac:dyDescent="0.25">
      <c r="A17920" t="s">
        <v>40546</v>
      </c>
      <c r="B17920" t="s">
        <v>18412</v>
      </c>
      <c r="C17920" t="s">
        <v>6116</v>
      </c>
      <c r="D17920" t="str">
        <f>"2725"</f>
        <v>2725</v>
      </c>
      <c r="E17920" t="s">
        <v>9391</v>
      </c>
      <c r="F17920" t="s">
        <v>16623</v>
      </c>
      <c r="G17920" t="s">
        <v>47098</v>
      </c>
      <c r="H17920" t="s">
        <v>47055</v>
      </c>
      <c r="I17920" t="s">
        <v>47120</v>
      </c>
      <c r="J17920" t="s">
        <v>47121</v>
      </c>
      <c r="K17920" t="s">
        <v>47113</v>
      </c>
      <c r="L17920">
        <v>62.61</v>
      </c>
      <c r="M17920">
        <v>111</v>
      </c>
      <c r="N17920">
        <v>0</v>
      </c>
      <c r="O17920">
        <v>111</v>
      </c>
      <c r="P17920">
        <v>0</v>
      </c>
    </row>
    <row r="17921" spans="1:16" x14ac:dyDescent="0.25">
      <c r="A17921" t="s">
        <v>40547</v>
      </c>
      <c r="B17921" t="s">
        <v>18413</v>
      </c>
      <c r="C17921" t="s">
        <v>18414</v>
      </c>
      <c r="D17921" t="str">
        <f>"1001"</f>
        <v>1001</v>
      </c>
      <c r="E17921" t="s">
        <v>42</v>
      </c>
      <c r="F17921" t="s">
        <v>16623</v>
      </c>
      <c r="G17921" t="s">
        <v>47098</v>
      </c>
      <c r="H17921" t="s">
        <v>47055</v>
      </c>
      <c r="I17921" t="s">
        <v>47120</v>
      </c>
      <c r="J17921" t="s">
        <v>47121</v>
      </c>
      <c r="K17921" t="s">
        <v>47113</v>
      </c>
      <c r="L17921">
        <v>145.44999999999999</v>
      </c>
      <c r="M17921">
        <v>222</v>
      </c>
      <c r="N17921">
        <v>0</v>
      </c>
      <c r="O17921">
        <v>222</v>
      </c>
      <c r="P17921">
        <v>0</v>
      </c>
    </row>
    <row r="17922" spans="1:16" x14ac:dyDescent="0.25">
      <c r="A17922" t="s">
        <v>40548</v>
      </c>
      <c r="B17922" t="s">
        <v>18415</v>
      </c>
      <c r="C17922" t="s">
        <v>18416</v>
      </c>
      <c r="D17922" t="str">
        <f>"4015"</f>
        <v>4015</v>
      </c>
      <c r="E17922" t="s">
        <v>18417</v>
      </c>
      <c r="F17922" t="s">
        <v>16623</v>
      </c>
      <c r="G17922" t="s">
        <v>47102</v>
      </c>
      <c r="H17922" t="s">
        <v>47055</v>
      </c>
      <c r="I17922" t="s">
        <v>47120</v>
      </c>
      <c r="J17922" t="s">
        <v>47121</v>
      </c>
      <c r="K17922" t="s">
        <v>47113</v>
      </c>
      <c r="L17922">
        <v>105.69</v>
      </c>
      <c r="M17922">
        <v>170</v>
      </c>
      <c r="N17922">
        <v>0</v>
      </c>
      <c r="O17922">
        <v>170</v>
      </c>
      <c r="P17922">
        <v>0</v>
      </c>
    </row>
    <row r="17923" spans="1:16" x14ac:dyDescent="0.25">
      <c r="A17923" t="s">
        <v>40549</v>
      </c>
      <c r="B17923" t="s">
        <v>18418</v>
      </c>
      <c r="C17923" t="s">
        <v>18419</v>
      </c>
      <c r="D17923" t="str">
        <f>"1704"</f>
        <v>1704</v>
      </c>
      <c r="E17923" t="s">
        <v>7181</v>
      </c>
      <c r="F17923" t="s">
        <v>16623</v>
      </c>
      <c r="G17923" t="s">
        <v>47102</v>
      </c>
      <c r="H17923" t="s">
        <v>47055</v>
      </c>
      <c r="I17923" t="s">
        <v>47120</v>
      </c>
      <c r="J17923" t="s">
        <v>47121</v>
      </c>
      <c r="K17923" t="s">
        <v>47113</v>
      </c>
      <c r="L17923">
        <v>67.14</v>
      </c>
      <c r="M17923">
        <v>111</v>
      </c>
      <c r="N17923">
        <v>0</v>
      </c>
      <c r="O17923">
        <v>111</v>
      </c>
      <c r="P17923">
        <v>0</v>
      </c>
    </row>
    <row r="17924" spans="1:16" x14ac:dyDescent="0.25">
      <c r="A17924" t="s">
        <v>40550</v>
      </c>
      <c r="B17924" t="s">
        <v>18418</v>
      </c>
      <c r="C17924" t="s">
        <v>18419</v>
      </c>
      <c r="D17924" t="str">
        <f>"2701"</f>
        <v>2701</v>
      </c>
      <c r="E17924" t="s">
        <v>2149</v>
      </c>
      <c r="F17924" t="s">
        <v>16623</v>
      </c>
      <c r="G17924" t="s">
        <v>47102</v>
      </c>
      <c r="H17924" t="s">
        <v>47055</v>
      </c>
      <c r="I17924" t="s">
        <v>47120</v>
      </c>
      <c r="J17924" t="s">
        <v>47121</v>
      </c>
      <c r="K17924" t="s">
        <v>47113</v>
      </c>
      <c r="L17924">
        <v>67.14</v>
      </c>
      <c r="M17924">
        <v>111</v>
      </c>
      <c r="N17924">
        <v>0</v>
      </c>
      <c r="O17924">
        <v>111</v>
      </c>
      <c r="P17924">
        <v>0</v>
      </c>
    </row>
    <row r="17925" spans="1:16" x14ac:dyDescent="0.25">
      <c r="A17925" t="s">
        <v>40551</v>
      </c>
      <c r="B17925" t="s">
        <v>21471</v>
      </c>
      <c r="C17925" t="s">
        <v>21472</v>
      </c>
      <c r="D17925" t="str">
        <f>"1001"</f>
        <v>1001</v>
      </c>
      <c r="E17925" t="s">
        <v>42</v>
      </c>
      <c r="F17925" t="s">
        <v>17351</v>
      </c>
      <c r="G17925" t="s">
        <v>47092</v>
      </c>
      <c r="H17925" t="s">
        <v>47055</v>
      </c>
      <c r="I17925" t="s">
        <v>47120</v>
      </c>
      <c r="J17925" t="s">
        <v>47121</v>
      </c>
      <c r="K17925" t="s">
        <v>47113</v>
      </c>
      <c r="L17925">
        <v>24.32</v>
      </c>
      <c r="M17925">
        <v>59</v>
      </c>
      <c r="N17925">
        <v>0</v>
      </c>
      <c r="O17925">
        <v>59</v>
      </c>
      <c r="P17925">
        <v>0</v>
      </c>
    </row>
    <row r="17926" spans="1:16" x14ac:dyDescent="0.25">
      <c r="A17926" t="s">
        <v>40552</v>
      </c>
      <c r="B17926" t="s">
        <v>21471</v>
      </c>
      <c r="C17926" t="s">
        <v>21472</v>
      </c>
      <c r="D17926" t="str">
        <f>"4646"</f>
        <v>4646</v>
      </c>
      <c r="E17926" t="s">
        <v>9741</v>
      </c>
      <c r="F17926" t="s">
        <v>17351</v>
      </c>
      <c r="G17926" t="s">
        <v>47092</v>
      </c>
      <c r="H17926" t="s">
        <v>47055</v>
      </c>
      <c r="I17926" t="s">
        <v>47120</v>
      </c>
      <c r="J17926" t="s">
        <v>47121</v>
      </c>
      <c r="K17926" t="s">
        <v>47113</v>
      </c>
      <c r="L17926">
        <v>24.32</v>
      </c>
      <c r="M17926">
        <v>59</v>
      </c>
      <c r="N17926">
        <v>0</v>
      </c>
      <c r="O17926">
        <v>59</v>
      </c>
      <c r="P17926">
        <v>0</v>
      </c>
    </row>
    <row r="17927" spans="1:16" x14ac:dyDescent="0.25">
      <c r="A17927" t="s">
        <v>40553</v>
      </c>
      <c r="B17927" t="s">
        <v>21473</v>
      </c>
      <c r="C17927" t="s">
        <v>21474</v>
      </c>
      <c r="D17927" t="str">
        <f>"1001"</f>
        <v>1001</v>
      </c>
      <c r="E17927" t="s">
        <v>42</v>
      </c>
      <c r="F17927" t="s">
        <v>17351</v>
      </c>
      <c r="G17927" t="s">
        <v>47092</v>
      </c>
      <c r="H17927" t="s">
        <v>47055</v>
      </c>
      <c r="I17927" t="s">
        <v>47120</v>
      </c>
      <c r="J17927" t="s">
        <v>47121</v>
      </c>
      <c r="K17927" t="s">
        <v>47113</v>
      </c>
      <c r="L17927">
        <v>23.86</v>
      </c>
      <c r="M17927">
        <v>59</v>
      </c>
      <c r="N17927">
        <v>0</v>
      </c>
      <c r="O17927">
        <v>59</v>
      </c>
      <c r="P17927">
        <v>0</v>
      </c>
    </row>
    <row r="17928" spans="1:16" x14ac:dyDescent="0.25">
      <c r="A17928" t="s">
        <v>40554</v>
      </c>
      <c r="B17928" t="s">
        <v>21473</v>
      </c>
      <c r="C17928" t="s">
        <v>21474</v>
      </c>
      <c r="D17928" t="str">
        <f>"4646"</f>
        <v>4646</v>
      </c>
      <c r="E17928" t="s">
        <v>9741</v>
      </c>
      <c r="F17928" t="s">
        <v>17351</v>
      </c>
      <c r="G17928" t="s">
        <v>47092</v>
      </c>
      <c r="H17928" t="s">
        <v>47055</v>
      </c>
      <c r="I17928" t="s">
        <v>47120</v>
      </c>
      <c r="J17928" t="s">
        <v>47121</v>
      </c>
      <c r="K17928" t="s">
        <v>47113</v>
      </c>
      <c r="L17928">
        <v>23.86</v>
      </c>
      <c r="M17928">
        <v>59</v>
      </c>
      <c r="N17928">
        <v>0</v>
      </c>
      <c r="O17928">
        <v>59</v>
      </c>
      <c r="P17928">
        <v>0</v>
      </c>
    </row>
    <row r="17929" spans="1:16" x14ac:dyDescent="0.25">
      <c r="A17929" t="s">
        <v>40555</v>
      </c>
      <c r="B17929" t="s">
        <v>21475</v>
      </c>
      <c r="C17929" t="s">
        <v>21476</v>
      </c>
      <c r="D17929" t="str">
        <f>"1708"</f>
        <v>1708</v>
      </c>
      <c r="E17929" t="s">
        <v>16240</v>
      </c>
      <c r="F17929" t="s">
        <v>17351</v>
      </c>
      <c r="G17929" t="s">
        <v>47092</v>
      </c>
      <c r="H17929" t="s">
        <v>47055</v>
      </c>
      <c r="I17929" t="s">
        <v>47120</v>
      </c>
      <c r="J17929" t="s">
        <v>47121</v>
      </c>
      <c r="K17929" t="s">
        <v>47113</v>
      </c>
      <c r="L17929">
        <v>27.99</v>
      </c>
      <c r="M17929">
        <v>67</v>
      </c>
      <c r="N17929">
        <v>0</v>
      </c>
      <c r="O17929">
        <v>67</v>
      </c>
      <c r="P17929">
        <v>0</v>
      </c>
    </row>
    <row r="17930" spans="1:16" x14ac:dyDescent="0.25">
      <c r="A17930" t="s">
        <v>40556</v>
      </c>
      <c r="B17930" t="s">
        <v>21477</v>
      </c>
      <c r="C17930" t="s">
        <v>21478</v>
      </c>
      <c r="D17930" t="str">
        <f>"1370"</f>
        <v>1370</v>
      </c>
      <c r="E17930" t="s">
        <v>2162</v>
      </c>
      <c r="F17930" t="s">
        <v>17351</v>
      </c>
      <c r="G17930" t="s">
        <v>47094</v>
      </c>
      <c r="H17930" t="s">
        <v>47055</v>
      </c>
      <c r="I17930" t="s">
        <v>47120</v>
      </c>
      <c r="J17930" t="s">
        <v>47121</v>
      </c>
      <c r="K17930" t="s">
        <v>47113</v>
      </c>
      <c r="L17930">
        <v>24.6</v>
      </c>
      <c r="M17930">
        <v>59</v>
      </c>
      <c r="N17930">
        <v>0</v>
      </c>
      <c r="O17930">
        <v>59</v>
      </c>
      <c r="P17930">
        <v>0</v>
      </c>
    </row>
    <row r="17931" spans="1:16" x14ac:dyDescent="0.25">
      <c r="A17931" t="s">
        <v>40557</v>
      </c>
      <c r="B17931" t="s">
        <v>21479</v>
      </c>
      <c r="C17931" t="s">
        <v>21480</v>
      </c>
      <c r="D17931" t="str">
        <f>"1001"</f>
        <v>1001</v>
      </c>
      <c r="E17931" t="s">
        <v>42</v>
      </c>
      <c r="F17931" t="s">
        <v>17351</v>
      </c>
      <c r="G17931" t="s">
        <v>47101</v>
      </c>
      <c r="H17931" t="s">
        <v>47055</v>
      </c>
      <c r="I17931" t="s">
        <v>47120</v>
      </c>
      <c r="J17931" t="s">
        <v>47121</v>
      </c>
      <c r="K17931" t="s">
        <v>47113</v>
      </c>
      <c r="L17931">
        <v>34.880000000000003</v>
      </c>
      <c r="M17931">
        <v>82</v>
      </c>
      <c r="N17931">
        <v>0</v>
      </c>
      <c r="O17931">
        <v>82</v>
      </c>
      <c r="P17931">
        <v>0</v>
      </c>
    </row>
    <row r="17932" spans="1:16" x14ac:dyDescent="0.25">
      <c r="A17932" t="s">
        <v>40558</v>
      </c>
      <c r="B17932" t="s">
        <v>21481</v>
      </c>
      <c r="C17932" t="s">
        <v>21482</v>
      </c>
      <c r="D17932" t="str">
        <f>"1700"</f>
        <v>1700</v>
      </c>
      <c r="E17932" t="s">
        <v>60</v>
      </c>
      <c r="F17932" t="s">
        <v>17351</v>
      </c>
      <c r="G17932" t="s">
        <v>47101</v>
      </c>
      <c r="H17932" t="s">
        <v>47055</v>
      </c>
      <c r="I17932" t="s">
        <v>47120</v>
      </c>
      <c r="J17932" t="s">
        <v>47121</v>
      </c>
      <c r="K17932" t="s">
        <v>47113</v>
      </c>
      <c r="L17932">
        <v>43.3</v>
      </c>
      <c r="M17932">
        <v>74</v>
      </c>
      <c r="N17932">
        <v>0</v>
      </c>
      <c r="O17932">
        <v>74</v>
      </c>
      <c r="P17932">
        <v>0</v>
      </c>
    </row>
    <row r="17933" spans="1:16" x14ac:dyDescent="0.25">
      <c r="A17933" t="s">
        <v>40559</v>
      </c>
      <c r="B17933" t="s">
        <v>21483</v>
      </c>
      <c r="C17933" t="s">
        <v>21484</v>
      </c>
      <c r="D17933" t="str">
        <f>"1378"</f>
        <v>1378</v>
      </c>
      <c r="E17933" t="s">
        <v>388</v>
      </c>
      <c r="F17933" t="s">
        <v>17351</v>
      </c>
      <c r="G17933" t="s">
        <v>47103</v>
      </c>
      <c r="H17933" t="s">
        <v>47055</v>
      </c>
      <c r="I17933" t="s">
        <v>47120</v>
      </c>
      <c r="J17933" t="s">
        <v>47121</v>
      </c>
      <c r="K17933" t="s">
        <v>47113</v>
      </c>
      <c r="L17933">
        <v>42.23</v>
      </c>
      <c r="M17933">
        <v>96</v>
      </c>
      <c r="N17933">
        <v>0</v>
      </c>
      <c r="O17933">
        <v>96</v>
      </c>
      <c r="P17933">
        <v>0</v>
      </c>
    </row>
    <row r="17934" spans="1:16" x14ac:dyDescent="0.25">
      <c r="A17934" t="s">
        <v>40560</v>
      </c>
      <c r="B17934" t="s">
        <v>21483</v>
      </c>
      <c r="C17934" t="s">
        <v>21484</v>
      </c>
      <c r="D17934" t="str">
        <f>"6858"</f>
        <v>6858</v>
      </c>
      <c r="E17934" t="s">
        <v>16427</v>
      </c>
      <c r="F17934" t="s">
        <v>17351</v>
      </c>
      <c r="G17934" t="s">
        <v>47103</v>
      </c>
      <c r="H17934" t="s">
        <v>47055</v>
      </c>
      <c r="I17934" t="s">
        <v>47120</v>
      </c>
      <c r="J17934" t="s">
        <v>47121</v>
      </c>
      <c r="K17934" t="s">
        <v>47113</v>
      </c>
      <c r="L17934">
        <v>42.23</v>
      </c>
      <c r="M17934">
        <v>96</v>
      </c>
      <c r="N17934">
        <v>0</v>
      </c>
      <c r="O17934">
        <v>96</v>
      </c>
      <c r="P17934">
        <v>0</v>
      </c>
    </row>
    <row r="17935" spans="1:16" x14ac:dyDescent="0.25">
      <c r="A17935" t="s">
        <v>40561</v>
      </c>
      <c r="B17935" t="s">
        <v>21485</v>
      </c>
      <c r="C17935" t="s">
        <v>21486</v>
      </c>
      <c r="D17935" t="str">
        <f>"1106"</f>
        <v>1106</v>
      </c>
      <c r="E17935" t="s">
        <v>460</v>
      </c>
      <c r="F17935" t="s">
        <v>17351</v>
      </c>
      <c r="G17935" t="s">
        <v>47095</v>
      </c>
      <c r="H17935" t="s">
        <v>47055</v>
      </c>
      <c r="I17935" t="s">
        <v>47127</v>
      </c>
      <c r="J17935" t="s">
        <v>47128</v>
      </c>
      <c r="K17935" t="s">
        <v>47113</v>
      </c>
      <c r="L17935">
        <v>14.37</v>
      </c>
      <c r="M17935">
        <v>37</v>
      </c>
      <c r="N17935">
        <v>0</v>
      </c>
      <c r="O17935">
        <v>37</v>
      </c>
      <c r="P17935">
        <v>0</v>
      </c>
    </row>
    <row r="17936" spans="1:16" x14ac:dyDescent="0.25">
      <c r="A17936" t="s">
        <v>40562</v>
      </c>
      <c r="B17936" t="s">
        <v>21485</v>
      </c>
      <c r="C17936" t="s">
        <v>21486</v>
      </c>
      <c r="D17936" t="str">
        <f>"1700"</f>
        <v>1700</v>
      </c>
      <c r="E17936" t="s">
        <v>60</v>
      </c>
      <c r="F17936" t="s">
        <v>17351</v>
      </c>
      <c r="G17936" t="s">
        <v>47095</v>
      </c>
      <c r="H17936" t="s">
        <v>47055</v>
      </c>
      <c r="I17936" t="s">
        <v>47127</v>
      </c>
      <c r="J17936" t="s">
        <v>47128</v>
      </c>
      <c r="K17936" t="s">
        <v>47113</v>
      </c>
      <c r="L17936">
        <v>14.37</v>
      </c>
      <c r="M17936">
        <v>37</v>
      </c>
      <c r="N17936">
        <v>0</v>
      </c>
      <c r="O17936">
        <v>37</v>
      </c>
      <c r="P17936">
        <v>0</v>
      </c>
    </row>
    <row r="17937" spans="1:16" x14ac:dyDescent="0.25">
      <c r="A17937" t="s">
        <v>40563</v>
      </c>
      <c r="B17937" t="s">
        <v>21485</v>
      </c>
      <c r="C17937" t="s">
        <v>21486</v>
      </c>
      <c r="D17937" t="str">
        <f>"3501"</f>
        <v>3501</v>
      </c>
      <c r="E17937" t="s">
        <v>3758</v>
      </c>
      <c r="F17937" t="s">
        <v>17351</v>
      </c>
      <c r="G17937" t="s">
        <v>47095</v>
      </c>
      <c r="H17937" t="s">
        <v>47055</v>
      </c>
      <c r="I17937" t="s">
        <v>47127</v>
      </c>
      <c r="J17937" t="s">
        <v>47128</v>
      </c>
      <c r="K17937" t="s">
        <v>47113</v>
      </c>
      <c r="L17937">
        <v>14.37</v>
      </c>
      <c r="M17937">
        <v>37</v>
      </c>
      <c r="N17937">
        <v>0</v>
      </c>
      <c r="O17937">
        <v>37</v>
      </c>
      <c r="P17937">
        <v>0</v>
      </c>
    </row>
    <row r="17938" spans="1:16" x14ac:dyDescent="0.25">
      <c r="A17938" t="s">
        <v>40564</v>
      </c>
      <c r="B17938" t="s">
        <v>21485</v>
      </c>
      <c r="C17938" t="s">
        <v>21486</v>
      </c>
      <c r="D17938" t="str">
        <f>"4522"</f>
        <v>4522</v>
      </c>
      <c r="E17938" t="s">
        <v>11009</v>
      </c>
      <c r="F17938" t="s">
        <v>17351</v>
      </c>
      <c r="G17938" t="s">
        <v>47095</v>
      </c>
      <c r="H17938" t="s">
        <v>47055</v>
      </c>
      <c r="I17938" t="s">
        <v>47127</v>
      </c>
      <c r="J17938" t="s">
        <v>47128</v>
      </c>
      <c r="K17938" t="s">
        <v>47113</v>
      </c>
      <c r="L17938">
        <v>14.37</v>
      </c>
      <c r="M17938">
        <v>37</v>
      </c>
      <c r="N17938">
        <v>0</v>
      </c>
      <c r="O17938">
        <v>37</v>
      </c>
      <c r="P17938">
        <v>0</v>
      </c>
    </row>
    <row r="17939" spans="1:16" x14ac:dyDescent="0.25">
      <c r="A17939" t="s">
        <v>40565</v>
      </c>
      <c r="B17939" t="s">
        <v>21485</v>
      </c>
      <c r="C17939" t="s">
        <v>21486</v>
      </c>
      <c r="D17939" t="str">
        <f>"6512"</f>
        <v>6512</v>
      </c>
      <c r="E17939" t="s">
        <v>21487</v>
      </c>
      <c r="F17939" t="s">
        <v>17351</v>
      </c>
      <c r="G17939" t="s">
        <v>47095</v>
      </c>
      <c r="H17939" t="s">
        <v>47055</v>
      </c>
      <c r="I17939" t="s">
        <v>47127</v>
      </c>
      <c r="J17939" t="s">
        <v>47128</v>
      </c>
      <c r="K17939" t="s">
        <v>47113</v>
      </c>
      <c r="L17939">
        <v>14.37</v>
      </c>
      <c r="M17939">
        <v>37</v>
      </c>
      <c r="N17939">
        <v>0</v>
      </c>
      <c r="O17939">
        <v>37</v>
      </c>
      <c r="P17939">
        <v>0</v>
      </c>
    </row>
    <row r="17940" spans="1:16" x14ac:dyDescent="0.25">
      <c r="A17940" t="s">
        <v>40566</v>
      </c>
      <c r="B17940" t="s">
        <v>21488</v>
      </c>
      <c r="C17940" t="s">
        <v>21489</v>
      </c>
      <c r="D17940" t="str">
        <f>"1106"</f>
        <v>1106</v>
      </c>
      <c r="E17940" t="s">
        <v>460</v>
      </c>
      <c r="F17940" t="s">
        <v>17351</v>
      </c>
      <c r="G17940" t="s">
        <v>47095</v>
      </c>
      <c r="H17940" t="s">
        <v>47055</v>
      </c>
      <c r="I17940" t="s">
        <v>47127</v>
      </c>
      <c r="J17940" t="s">
        <v>47128</v>
      </c>
      <c r="K17940" t="s">
        <v>47113</v>
      </c>
      <c r="L17940">
        <v>18.72</v>
      </c>
      <c r="M17940">
        <v>48</v>
      </c>
      <c r="N17940">
        <v>0</v>
      </c>
      <c r="O17940">
        <v>48</v>
      </c>
      <c r="P17940">
        <v>0</v>
      </c>
    </row>
    <row r="17941" spans="1:16" x14ac:dyDescent="0.25">
      <c r="A17941" t="s">
        <v>40567</v>
      </c>
      <c r="B17941" t="s">
        <v>21488</v>
      </c>
      <c r="C17941" t="s">
        <v>21489</v>
      </c>
      <c r="D17941" t="str">
        <f>"1700"</f>
        <v>1700</v>
      </c>
      <c r="E17941" t="s">
        <v>60</v>
      </c>
      <c r="F17941" t="s">
        <v>17351</v>
      </c>
      <c r="G17941" t="s">
        <v>47095</v>
      </c>
      <c r="H17941" t="s">
        <v>47055</v>
      </c>
      <c r="I17941" t="s">
        <v>47127</v>
      </c>
      <c r="J17941" t="s">
        <v>47128</v>
      </c>
      <c r="K17941" t="s">
        <v>47113</v>
      </c>
      <c r="L17941">
        <v>18.72</v>
      </c>
      <c r="M17941">
        <v>48</v>
      </c>
      <c r="N17941">
        <v>0</v>
      </c>
      <c r="O17941">
        <v>48</v>
      </c>
      <c r="P17941">
        <v>0</v>
      </c>
    </row>
    <row r="17942" spans="1:16" x14ac:dyDescent="0.25">
      <c r="A17942" t="s">
        <v>40568</v>
      </c>
      <c r="B17942" t="s">
        <v>21488</v>
      </c>
      <c r="C17942" t="s">
        <v>21489</v>
      </c>
      <c r="D17942" t="str">
        <f>"3501"</f>
        <v>3501</v>
      </c>
      <c r="E17942" t="s">
        <v>3758</v>
      </c>
      <c r="F17942" t="s">
        <v>17351</v>
      </c>
      <c r="G17942" t="s">
        <v>47095</v>
      </c>
      <c r="H17942" t="s">
        <v>47055</v>
      </c>
      <c r="I17942" t="s">
        <v>47127</v>
      </c>
      <c r="J17942" t="s">
        <v>47128</v>
      </c>
      <c r="K17942" t="s">
        <v>47113</v>
      </c>
      <c r="L17942">
        <v>18.72</v>
      </c>
      <c r="M17942">
        <v>48</v>
      </c>
      <c r="N17942">
        <v>0</v>
      </c>
      <c r="O17942">
        <v>48</v>
      </c>
      <c r="P17942">
        <v>0</v>
      </c>
    </row>
    <row r="17943" spans="1:16" x14ac:dyDescent="0.25">
      <c r="A17943" t="s">
        <v>40569</v>
      </c>
      <c r="B17943" t="s">
        <v>21488</v>
      </c>
      <c r="C17943" t="s">
        <v>21489</v>
      </c>
      <c r="D17943" t="str">
        <f>"4522"</f>
        <v>4522</v>
      </c>
      <c r="E17943" t="s">
        <v>11009</v>
      </c>
      <c r="F17943" t="s">
        <v>17351</v>
      </c>
      <c r="G17943" t="s">
        <v>47095</v>
      </c>
      <c r="H17943" t="s">
        <v>47055</v>
      </c>
      <c r="I17943" t="s">
        <v>47127</v>
      </c>
      <c r="J17943" t="s">
        <v>47128</v>
      </c>
      <c r="K17943" t="s">
        <v>47113</v>
      </c>
      <c r="L17943">
        <v>18.72</v>
      </c>
      <c r="M17943">
        <v>48</v>
      </c>
      <c r="N17943">
        <v>0</v>
      </c>
      <c r="O17943">
        <v>48</v>
      </c>
      <c r="P17943">
        <v>0</v>
      </c>
    </row>
    <row r="17944" spans="1:16" x14ac:dyDescent="0.25">
      <c r="A17944" t="s">
        <v>40570</v>
      </c>
      <c r="B17944" t="s">
        <v>21488</v>
      </c>
      <c r="C17944" t="s">
        <v>21489</v>
      </c>
      <c r="D17944" t="str">
        <f>"4926"</f>
        <v>4926</v>
      </c>
      <c r="E17944" t="s">
        <v>19721</v>
      </c>
      <c r="F17944" t="s">
        <v>17351</v>
      </c>
      <c r="G17944" t="s">
        <v>47095</v>
      </c>
      <c r="H17944" t="s">
        <v>47055</v>
      </c>
      <c r="I17944" t="s">
        <v>47127</v>
      </c>
      <c r="J17944" t="s">
        <v>47128</v>
      </c>
      <c r="K17944" t="s">
        <v>47113</v>
      </c>
      <c r="L17944">
        <v>18.72</v>
      </c>
      <c r="M17944">
        <v>48</v>
      </c>
      <c r="N17944">
        <v>0</v>
      </c>
      <c r="O17944">
        <v>48</v>
      </c>
      <c r="P17944">
        <v>0</v>
      </c>
    </row>
    <row r="17945" spans="1:16" x14ac:dyDescent="0.25">
      <c r="A17945" t="s">
        <v>40571</v>
      </c>
      <c r="B17945" t="s">
        <v>21490</v>
      </c>
      <c r="C17945" t="s">
        <v>21491</v>
      </c>
      <c r="D17945" t="str">
        <f>"1106"</f>
        <v>1106</v>
      </c>
      <c r="E17945" t="s">
        <v>460</v>
      </c>
      <c r="F17945" t="s">
        <v>17351</v>
      </c>
      <c r="G17945" t="s">
        <v>47094</v>
      </c>
      <c r="H17945" t="s">
        <v>47055</v>
      </c>
      <c r="I17945" t="s">
        <v>47127</v>
      </c>
      <c r="J17945" t="s">
        <v>47128</v>
      </c>
      <c r="K17945" t="s">
        <v>47113</v>
      </c>
      <c r="L17945">
        <v>17.34</v>
      </c>
      <c r="M17945">
        <v>44</v>
      </c>
      <c r="N17945">
        <v>0</v>
      </c>
      <c r="O17945">
        <v>44</v>
      </c>
      <c r="P17945">
        <v>0</v>
      </c>
    </row>
    <row r="17946" spans="1:16" x14ac:dyDescent="0.25">
      <c r="A17946" t="s">
        <v>40572</v>
      </c>
      <c r="B17946" t="s">
        <v>21490</v>
      </c>
      <c r="C17946" t="s">
        <v>21491</v>
      </c>
      <c r="D17946" t="str">
        <f>"1700"</f>
        <v>1700</v>
      </c>
      <c r="E17946" t="s">
        <v>60</v>
      </c>
      <c r="F17946" t="s">
        <v>17351</v>
      </c>
      <c r="G17946" t="s">
        <v>47094</v>
      </c>
      <c r="H17946" t="s">
        <v>47055</v>
      </c>
      <c r="I17946" t="s">
        <v>47127</v>
      </c>
      <c r="J17946" t="s">
        <v>47128</v>
      </c>
      <c r="K17946" t="s">
        <v>47113</v>
      </c>
      <c r="L17946">
        <v>17.34</v>
      </c>
      <c r="M17946">
        <v>44</v>
      </c>
      <c r="N17946">
        <v>0</v>
      </c>
      <c r="O17946">
        <v>44</v>
      </c>
      <c r="P17946">
        <v>0</v>
      </c>
    </row>
    <row r="17947" spans="1:16" x14ac:dyDescent="0.25">
      <c r="A17947" t="s">
        <v>40573</v>
      </c>
      <c r="B17947" t="s">
        <v>21490</v>
      </c>
      <c r="C17947" t="s">
        <v>21491</v>
      </c>
      <c r="D17947" t="str">
        <f>"4522"</f>
        <v>4522</v>
      </c>
      <c r="E17947" t="s">
        <v>11009</v>
      </c>
      <c r="F17947" t="s">
        <v>17351</v>
      </c>
      <c r="G17947" t="s">
        <v>47094</v>
      </c>
      <c r="H17947" t="s">
        <v>47055</v>
      </c>
      <c r="I17947" t="s">
        <v>47127</v>
      </c>
      <c r="J17947" t="s">
        <v>47128</v>
      </c>
      <c r="K17947" t="s">
        <v>47113</v>
      </c>
      <c r="L17947">
        <v>17.34</v>
      </c>
      <c r="M17947">
        <v>44</v>
      </c>
      <c r="N17947">
        <v>0</v>
      </c>
      <c r="O17947">
        <v>44</v>
      </c>
      <c r="P17947">
        <v>0</v>
      </c>
    </row>
    <row r="17948" spans="1:16" x14ac:dyDescent="0.25">
      <c r="A17948" t="s">
        <v>40574</v>
      </c>
      <c r="B17948" t="s">
        <v>21490</v>
      </c>
      <c r="C17948" t="s">
        <v>21491</v>
      </c>
      <c r="D17948" t="str">
        <f>"4926"</f>
        <v>4926</v>
      </c>
      <c r="E17948" t="s">
        <v>19721</v>
      </c>
      <c r="F17948" t="s">
        <v>17351</v>
      </c>
      <c r="G17948" t="s">
        <v>47094</v>
      </c>
      <c r="H17948" t="s">
        <v>47055</v>
      </c>
      <c r="I17948" t="s">
        <v>47127</v>
      </c>
      <c r="J17948" t="s">
        <v>47128</v>
      </c>
      <c r="K17948" t="s">
        <v>47113</v>
      </c>
      <c r="L17948">
        <v>17.34</v>
      </c>
      <c r="M17948">
        <v>44</v>
      </c>
      <c r="N17948">
        <v>0</v>
      </c>
      <c r="O17948">
        <v>44</v>
      </c>
      <c r="P17948">
        <v>0</v>
      </c>
    </row>
    <row r="17949" spans="1:16" x14ac:dyDescent="0.25">
      <c r="A17949" t="s">
        <v>40575</v>
      </c>
      <c r="B17949" t="s">
        <v>21492</v>
      </c>
      <c r="C17949" t="s">
        <v>21493</v>
      </c>
      <c r="D17949" t="str">
        <f>"1106"</f>
        <v>1106</v>
      </c>
      <c r="E17949" t="s">
        <v>460</v>
      </c>
      <c r="F17949" t="s">
        <v>17351</v>
      </c>
      <c r="G17949" t="s">
        <v>47094</v>
      </c>
      <c r="H17949" t="s">
        <v>47055</v>
      </c>
      <c r="I17949" t="s">
        <v>47127</v>
      </c>
      <c r="J17949" t="s">
        <v>47128</v>
      </c>
      <c r="K17949" t="s">
        <v>47113</v>
      </c>
      <c r="L17949">
        <v>20.41</v>
      </c>
      <c r="M17949">
        <v>48</v>
      </c>
      <c r="N17949">
        <v>0</v>
      </c>
      <c r="O17949">
        <v>48</v>
      </c>
      <c r="P17949">
        <v>0</v>
      </c>
    </row>
    <row r="17950" spans="1:16" x14ac:dyDescent="0.25">
      <c r="A17950" t="s">
        <v>40576</v>
      </c>
      <c r="B17950" t="s">
        <v>21492</v>
      </c>
      <c r="C17950" t="s">
        <v>21493</v>
      </c>
      <c r="D17950" t="str">
        <f>"1700"</f>
        <v>1700</v>
      </c>
      <c r="E17950" t="s">
        <v>60</v>
      </c>
      <c r="F17950" t="s">
        <v>17351</v>
      </c>
      <c r="G17950" t="s">
        <v>47094</v>
      </c>
      <c r="H17950" t="s">
        <v>47055</v>
      </c>
      <c r="I17950" t="s">
        <v>47127</v>
      </c>
      <c r="J17950" t="s">
        <v>47128</v>
      </c>
      <c r="K17950" t="s">
        <v>47113</v>
      </c>
      <c r="L17950">
        <v>20.41</v>
      </c>
      <c r="M17950">
        <v>48</v>
      </c>
      <c r="N17950">
        <v>0</v>
      </c>
      <c r="O17950">
        <v>48</v>
      </c>
      <c r="P17950">
        <v>0</v>
      </c>
    </row>
    <row r="17951" spans="1:16" x14ac:dyDescent="0.25">
      <c r="A17951" t="s">
        <v>40577</v>
      </c>
      <c r="B17951" t="s">
        <v>21492</v>
      </c>
      <c r="C17951" t="s">
        <v>21493</v>
      </c>
      <c r="D17951" t="str">
        <f>"3501"</f>
        <v>3501</v>
      </c>
      <c r="E17951" t="s">
        <v>3758</v>
      </c>
      <c r="F17951" t="s">
        <v>17351</v>
      </c>
      <c r="G17951" t="s">
        <v>47094</v>
      </c>
      <c r="H17951" t="s">
        <v>47055</v>
      </c>
      <c r="I17951" t="s">
        <v>47127</v>
      </c>
      <c r="J17951" t="s">
        <v>47128</v>
      </c>
      <c r="K17951" t="s">
        <v>47113</v>
      </c>
      <c r="L17951">
        <v>20.41</v>
      </c>
      <c r="M17951">
        <v>48</v>
      </c>
      <c r="N17951">
        <v>0</v>
      </c>
      <c r="O17951">
        <v>48</v>
      </c>
      <c r="P17951">
        <v>0</v>
      </c>
    </row>
    <row r="17952" spans="1:16" x14ac:dyDescent="0.25">
      <c r="A17952" t="s">
        <v>40578</v>
      </c>
      <c r="B17952" t="s">
        <v>21492</v>
      </c>
      <c r="C17952" t="s">
        <v>21493</v>
      </c>
      <c r="D17952" t="str">
        <f>"4926"</f>
        <v>4926</v>
      </c>
      <c r="E17952" t="s">
        <v>19721</v>
      </c>
      <c r="F17952" t="s">
        <v>17351</v>
      </c>
      <c r="G17952" t="s">
        <v>47094</v>
      </c>
      <c r="H17952" t="s">
        <v>47055</v>
      </c>
      <c r="I17952" t="s">
        <v>47127</v>
      </c>
      <c r="J17952" t="s">
        <v>47128</v>
      </c>
      <c r="K17952" t="s">
        <v>47113</v>
      </c>
      <c r="L17952">
        <v>20.41</v>
      </c>
      <c r="M17952">
        <v>48</v>
      </c>
      <c r="N17952">
        <v>0</v>
      </c>
      <c r="O17952">
        <v>48</v>
      </c>
      <c r="P17952">
        <v>0</v>
      </c>
    </row>
    <row r="17953" spans="1:16" x14ac:dyDescent="0.25">
      <c r="A17953" t="s">
        <v>40579</v>
      </c>
      <c r="B17953" t="s">
        <v>21494</v>
      </c>
      <c r="C17953" t="s">
        <v>21495</v>
      </c>
      <c r="D17953" t="str">
        <f>"1106"</f>
        <v>1106</v>
      </c>
      <c r="E17953" t="s">
        <v>460</v>
      </c>
      <c r="F17953" t="s">
        <v>17351</v>
      </c>
      <c r="G17953" t="s">
        <v>47094</v>
      </c>
      <c r="H17953" t="s">
        <v>47055</v>
      </c>
      <c r="I17953" t="s">
        <v>47127</v>
      </c>
      <c r="J17953" t="s">
        <v>47128</v>
      </c>
      <c r="K17953" t="s">
        <v>47113</v>
      </c>
      <c r="L17953">
        <v>19.420000000000002</v>
      </c>
      <c r="M17953">
        <v>48</v>
      </c>
      <c r="N17953">
        <v>0</v>
      </c>
      <c r="O17953">
        <v>48</v>
      </c>
      <c r="P17953">
        <v>0</v>
      </c>
    </row>
    <row r="17954" spans="1:16" x14ac:dyDescent="0.25">
      <c r="A17954" t="s">
        <v>40580</v>
      </c>
      <c r="B17954" t="s">
        <v>21494</v>
      </c>
      <c r="C17954" t="s">
        <v>21495</v>
      </c>
      <c r="D17954" t="str">
        <f>"4522"</f>
        <v>4522</v>
      </c>
      <c r="E17954" t="s">
        <v>11009</v>
      </c>
      <c r="F17954" t="s">
        <v>17351</v>
      </c>
      <c r="G17954" t="s">
        <v>47094</v>
      </c>
      <c r="H17954" t="s">
        <v>47055</v>
      </c>
      <c r="I17954" t="s">
        <v>47127</v>
      </c>
      <c r="J17954" t="s">
        <v>47128</v>
      </c>
      <c r="K17954" t="s">
        <v>47113</v>
      </c>
      <c r="L17954">
        <v>19.420000000000002</v>
      </c>
      <c r="M17954">
        <v>48</v>
      </c>
      <c r="N17954">
        <v>0</v>
      </c>
      <c r="O17954">
        <v>48</v>
      </c>
      <c r="P17954">
        <v>0</v>
      </c>
    </row>
    <row r="17955" spans="1:16" x14ac:dyDescent="0.25">
      <c r="A17955" t="s">
        <v>40581</v>
      </c>
      <c r="B17955" t="s">
        <v>21494</v>
      </c>
      <c r="C17955" t="s">
        <v>21495</v>
      </c>
      <c r="D17955" t="str">
        <f>"4926"</f>
        <v>4926</v>
      </c>
      <c r="E17955" t="s">
        <v>19721</v>
      </c>
      <c r="F17955" t="s">
        <v>17351</v>
      </c>
      <c r="G17955" t="s">
        <v>47094</v>
      </c>
      <c r="H17955" t="s">
        <v>47055</v>
      </c>
      <c r="I17955" t="s">
        <v>47127</v>
      </c>
      <c r="J17955" t="s">
        <v>47128</v>
      </c>
      <c r="K17955" t="s">
        <v>47113</v>
      </c>
      <c r="L17955">
        <v>19.420000000000002</v>
      </c>
      <c r="M17955">
        <v>48</v>
      </c>
      <c r="N17955">
        <v>0</v>
      </c>
      <c r="O17955">
        <v>48</v>
      </c>
      <c r="P17955">
        <v>0</v>
      </c>
    </row>
    <row r="17956" spans="1:16" x14ac:dyDescent="0.25">
      <c r="A17956" t="s">
        <v>40582</v>
      </c>
      <c r="B17956" t="s">
        <v>21494</v>
      </c>
      <c r="C17956" t="s">
        <v>21495</v>
      </c>
      <c r="D17956" t="str">
        <f>"6512"</f>
        <v>6512</v>
      </c>
      <c r="E17956" t="s">
        <v>21487</v>
      </c>
      <c r="F17956" t="s">
        <v>17351</v>
      </c>
      <c r="G17956" t="s">
        <v>47094</v>
      </c>
      <c r="H17956" t="s">
        <v>47055</v>
      </c>
      <c r="I17956" t="s">
        <v>47127</v>
      </c>
      <c r="J17956" t="s">
        <v>47128</v>
      </c>
      <c r="K17956" t="s">
        <v>47113</v>
      </c>
      <c r="L17956">
        <v>19.420000000000002</v>
      </c>
      <c r="M17956">
        <v>48</v>
      </c>
      <c r="N17956">
        <v>0</v>
      </c>
      <c r="O17956">
        <v>48</v>
      </c>
      <c r="P17956">
        <v>0</v>
      </c>
    </row>
    <row r="17957" spans="1:16" x14ac:dyDescent="0.25">
      <c r="A17957" t="s">
        <v>40583</v>
      </c>
      <c r="B17957" t="s">
        <v>21496</v>
      </c>
      <c r="C17957" t="s">
        <v>21497</v>
      </c>
      <c r="D17957" t="str">
        <f>"1106"</f>
        <v>1106</v>
      </c>
      <c r="E17957" t="s">
        <v>460</v>
      </c>
      <c r="F17957" t="s">
        <v>17351</v>
      </c>
      <c r="G17957" t="s">
        <v>47094</v>
      </c>
      <c r="H17957" t="s">
        <v>47055</v>
      </c>
      <c r="I17957" t="s">
        <v>47127</v>
      </c>
      <c r="J17957" t="s">
        <v>47128</v>
      </c>
      <c r="K17957" t="s">
        <v>47113</v>
      </c>
      <c r="L17957">
        <v>19.420000000000002</v>
      </c>
      <c r="M17957">
        <v>48</v>
      </c>
      <c r="N17957">
        <v>0</v>
      </c>
      <c r="O17957">
        <v>48</v>
      </c>
      <c r="P17957">
        <v>0</v>
      </c>
    </row>
    <row r="17958" spans="1:16" x14ac:dyDescent="0.25">
      <c r="A17958" t="s">
        <v>40584</v>
      </c>
      <c r="B17958" t="s">
        <v>21496</v>
      </c>
      <c r="C17958" t="s">
        <v>21497</v>
      </c>
      <c r="D17958" t="str">
        <f>"1700"</f>
        <v>1700</v>
      </c>
      <c r="E17958" t="s">
        <v>60</v>
      </c>
      <c r="F17958" t="s">
        <v>17351</v>
      </c>
      <c r="G17958" t="s">
        <v>47094</v>
      </c>
      <c r="H17958" t="s">
        <v>47055</v>
      </c>
      <c r="I17958" t="s">
        <v>47127</v>
      </c>
      <c r="J17958" t="s">
        <v>47128</v>
      </c>
      <c r="K17958" t="s">
        <v>47113</v>
      </c>
      <c r="L17958">
        <v>19.420000000000002</v>
      </c>
      <c r="M17958">
        <v>48</v>
      </c>
      <c r="N17958">
        <v>0</v>
      </c>
      <c r="O17958">
        <v>48</v>
      </c>
      <c r="P17958">
        <v>0</v>
      </c>
    </row>
    <row r="17959" spans="1:16" x14ac:dyDescent="0.25">
      <c r="A17959" t="s">
        <v>40585</v>
      </c>
      <c r="B17959" t="s">
        <v>21496</v>
      </c>
      <c r="C17959" t="s">
        <v>21497</v>
      </c>
      <c r="D17959" t="str">
        <f>"3501"</f>
        <v>3501</v>
      </c>
      <c r="E17959" t="s">
        <v>3758</v>
      </c>
      <c r="F17959" t="s">
        <v>17351</v>
      </c>
      <c r="G17959" t="s">
        <v>47094</v>
      </c>
      <c r="H17959" t="s">
        <v>47055</v>
      </c>
      <c r="I17959" t="s">
        <v>47127</v>
      </c>
      <c r="J17959" t="s">
        <v>47128</v>
      </c>
      <c r="K17959" t="s">
        <v>47113</v>
      </c>
      <c r="L17959">
        <v>19.420000000000002</v>
      </c>
      <c r="M17959">
        <v>48</v>
      </c>
      <c r="N17959">
        <v>0</v>
      </c>
      <c r="O17959">
        <v>48</v>
      </c>
      <c r="P17959">
        <v>0</v>
      </c>
    </row>
    <row r="17960" spans="1:16" x14ac:dyDescent="0.25">
      <c r="A17960" t="s">
        <v>40586</v>
      </c>
      <c r="B17960" t="s">
        <v>21496</v>
      </c>
      <c r="C17960" t="s">
        <v>21497</v>
      </c>
      <c r="D17960" t="str">
        <f>"4522"</f>
        <v>4522</v>
      </c>
      <c r="E17960" t="s">
        <v>11009</v>
      </c>
      <c r="F17960" t="s">
        <v>17351</v>
      </c>
      <c r="G17960" t="s">
        <v>47094</v>
      </c>
      <c r="H17960" t="s">
        <v>47055</v>
      </c>
      <c r="I17960" t="s">
        <v>47127</v>
      </c>
      <c r="J17960" t="s">
        <v>47128</v>
      </c>
      <c r="K17960" t="s">
        <v>47113</v>
      </c>
      <c r="L17960">
        <v>19.420000000000002</v>
      </c>
      <c r="M17960">
        <v>48</v>
      </c>
      <c r="N17960">
        <v>0</v>
      </c>
      <c r="O17960">
        <v>48</v>
      </c>
      <c r="P17960">
        <v>0</v>
      </c>
    </row>
    <row r="17961" spans="1:16" x14ac:dyDescent="0.25">
      <c r="A17961" t="s">
        <v>40587</v>
      </c>
      <c r="B17961" t="s">
        <v>21496</v>
      </c>
      <c r="C17961" t="s">
        <v>21497</v>
      </c>
      <c r="D17961" t="str">
        <f>"4926"</f>
        <v>4926</v>
      </c>
      <c r="E17961" t="s">
        <v>19721</v>
      </c>
      <c r="F17961" t="s">
        <v>17351</v>
      </c>
      <c r="G17961" t="s">
        <v>47094</v>
      </c>
      <c r="H17961" t="s">
        <v>47055</v>
      </c>
      <c r="I17961" t="s">
        <v>47127</v>
      </c>
      <c r="J17961" t="s">
        <v>47128</v>
      </c>
      <c r="K17961" t="s">
        <v>47113</v>
      </c>
      <c r="L17961">
        <v>19.420000000000002</v>
      </c>
      <c r="M17961">
        <v>48</v>
      </c>
      <c r="N17961">
        <v>0</v>
      </c>
      <c r="O17961">
        <v>48</v>
      </c>
      <c r="P17961">
        <v>0</v>
      </c>
    </row>
    <row r="17962" spans="1:16" x14ac:dyDescent="0.25">
      <c r="A17962" t="s">
        <v>40588</v>
      </c>
      <c r="B17962" t="s">
        <v>21498</v>
      </c>
      <c r="C17962" t="s">
        <v>19751</v>
      </c>
      <c r="D17962" t="str">
        <f>"1106"</f>
        <v>1106</v>
      </c>
      <c r="E17962" t="s">
        <v>460</v>
      </c>
      <c r="F17962" t="s">
        <v>17351</v>
      </c>
      <c r="G17962" t="s">
        <v>47094</v>
      </c>
      <c r="H17962" t="s">
        <v>47055</v>
      </c>
      <c r="I17962" t="s">
        <v>47127</v>
      </c>
      <c r="J17962" t="s">
        <v>47128</v>
      </c>
      <c r="K17962" t="s">
        <v>47113</v>
      </c>
      <c r="L17962">
        <v>28.24</v>
      </c>
      <c r="M17962">
        <v>70</v>
      </c>
      <c r="N17962">
        <v>0</v>
      </c>
      <c r="O17962">
        <v>70</v>
      </c>
      <c r="P17962">
        <v>0</v>
      </c>
    </row>
    <row r="17963" spans="1:16" x14ac:dyDescent="0.25">
      <c r="A17963" t="s">
        <v>40589</v>
      </c>
      <c r="B17963" t="s">
        <v>21498</v>
      </c>
      <c r="C17963" t="s">
        <v>19751</v>
      </c>
      <c r="D17963" t="str">
        <f>"1221"</f>
        <v>1221</v>
      </c>
      <c r="E17963" t="s">
        <v>19720</v>
      </c>
      <c r="F17963" t="s">
        <v>17351</v>
      </c>
      <c r="G17963" t="s">
        <v>47094</v>
      </c>
      <c r="H17963" t="s">
        <v>47055</v>
      </c>
      <c r="I17963" t="s">
        <v>47127</v>
      </c>
      <c r="J17963" t="s">
        <v>47128</v>
      </c>
      <c r="K17963" t="s">
        <v>47113</v>
      </c>
      <c r="L17963">
        <v>28.24</v>
      </c>
      <c r="M17963">
        <v>70</v>
      </c>
      <c r="N17963">
        <v>0</v>
      </c>
      <c r="O17963">
        <v>70</v>
      </c>
      <c r="P17963">
        <v>0</v>
      </c>
    </row>
    <row r="17964" spans="1:16" x14ac:dyDescent="0.25">
      <c r="A17964" t="s">
        <v>40590</v>
      </c>
      <c r="B17964" t="s">
        <v>21498</v>
      </c>
      <c r="C17964" t="s">
        <v>19751</v>
      </c>
      <c r="D17964" t="str">
        <f>"1748"</f>
        <v>1748</v>
      </c>
      <c r="E17964" t="s">
        <v>13941</v>
      </c>
      <c r="F17964" t="s">
        <v>17351</v>
      </c>
      <c r="G17964" t="s">
        <v>47094</v>
      </c>
      <c r="H17964" t="s">
        <v>47055</v>
      </c>
      <c r="I17964" t="s">
        <v>47127</v>
      </c>
      <c r="J17964" t="s">
        <v>47128</v>
      </c>
      <c r="K17964" t="s">
        <v>47113</v>
      </c>
      <c r="L17964">
        <v>28.24</v>
      </c>
      <c r="M17964">
        <v>70</v>
      </c>
      <c r="N17964">
        <v>0</v>
      </c>
      <c r="O17964">
        <v>70</v>
      </c>
      <c r="P17964">
        <v>0</v>
      </c>
    </row>
    <row r="17965" spans="1:16" x14ac:dyDescent="0.25">
      <c r="A17965" t="s">
        <v>40591</v>
      </c>
      <c r="B17965" t="s">
        <v>21498</v>
      </c>
      <c r="C17965" t="s">
        <v>19751</v>
      </c>
      <c r="D17965" t="str">
        <f>"4926"</f>
        <v>4926</v>
      </c>
      <c r="E17965" t="s">
        <v>19721</v>
      </c>
      <c r="F17965" t="s">
        <v>17351</v>
      </c>
      <c r="G17965" t="s">
        <v>47094</v>
      </c>
      <c r="H17965" t="s">
        <v>47055</v>
      </c>
      <c r="I17965" t="s">
        <v>47127</v>
      </c>
      <c r="J17965" t="s">
        <v>47128</v>
      </c>
      <c r="K17965" t="s">
        <v>47113</v>
      </c>
      <c r="L17965">
        <v>28.24</v>
      </c>
      <c r="M17965">
        <v>70</v>
      </c>
      <c r="N17965">
        <v>0</v>
      </c>
      <c r="O17965">
        <v>70</v>
      </c>
      <c r="P17965">
        <v>0</v>
      </c>
    </row>
    <row r="17966" spans="1:16" x14ac:dyDescent="0.25">
      <c r="A17966" t="s">
        <v>40592</v>
      </c>
      <c r="B17966" t="s">
        <v>21499</v>
      </c>
      <c r="C17966" t="s">
        <v>21500</v>
      </c>
      <c r="D17966" t="str">
        <f>"1106"</f>
        <v>1106</v>
      </c>
      <c r="E17966" t="s">
        <v>460</v>
      </c>
      <c r="F17966" t="s">
        <v>17351</v>
      </c>
      <c r="G17966" t="s">
        <v>47095</v>
      </c>
      <c r="H17966" t="s">
        <v>47055</v>
      </c>
      <c r="I17966" t="s">
        <v>47127</v>
      </c>
      <c r="J17966" t="s">
        <v>47128</v>
      </c>
      <c r="K17966" t="s">
        <v>47113</v>
      </c>
      <c r="L17966">
        <v>21.99</v>
      </c>
      <c r="M17966">
        <v>55</v>
      </c>
      <c r="N17966">
        <v>0</v>
      </c>
      <c r="O17966">
        <v>55</v>
      </c>
      <c r="P17966">
        <v>0</v>
      </c>
    </row>
    <row r="17967" spans="1:16" x14ac:dyDescent="0.25">
      <c r="A17967" t="s">
        <v>40593</v>
      </c>
      <c r="B17967" t="s">
        <v>21499</v>
      </c>
      <c r="C17967" t="s">
        <v>21500</v>
      </c>
      <c r="D17967" t="str">
        <f>"1221"</f>
        <v>1221</v>
      </c>
      <c r="E17967" t="s">
        <v>19720</v>
      </c>
      <c r="F17967" t="s">
        <v>17351</v>
      </c>
      <c r="G17967" t="s">
        <v>47095</v>
      </c>
      <c r="H17967" t="s">
        <v>47055</v>
      </c>
      <c r="I17967" t="s">
        <v>47127</v>
      </c>
      <c r="J17967" t="s">
        <v>47128</v>
      </c>
      <c r="K17967" t="s">
        <v>47113</v>
      </c>
      <c r="L17967">
        <v>21.99</v>
      </c>
      <c r="M17967">
        <v>55</v>
      </c>
      <c r="N17967">
        <v>0</v>
      </c>
      <c r="O17967">
        <v>55</v>
      </c>
      <c r="P17967">
        <v>0</v>
      </c>
    </row>
    <row r="17968" spans="1:16" x14ac:dyDescent="0.25">
      <c r="A17968" t="s">
        <v>40594</v>
      </c>
      <c r="B17968" t="s">
        <v>21499</v>
      </c>
      <c r="C17968" t="s">
        <v>21500</v>
      </c>
      <c r="D17968" t="str">
        <f>"3501"</f>
        <v>3501</v>
      </c>
      <c r="E17968" t="s">
        <v>3758</v>
      </c>
      <c r="F17968" t="s">
        <v>17351</v>
      </c>
      <c r="G17968" t="s">
        <v>47095</v>
      </c>
      <c r="H17968" t="s">
        <v>47055</v>
      </c>
      <c r="I17968" t="s">
        <v>47127</v>
      </c>
      <c r="J17968" t="s">
        <v>47128</v>
      </c>
      <c r="K17968" t="s">
        <v>47113</v>
      </c>
      <c r="L17968">
        <v>21.99</v>
      </c>
      <c r="M17968">
        <v>55</v>
      </c>
      <c r="N17968">
        <v>0</v>
      </c>
      <c r="O17968">
        <v>55</v>
      </c>
      <c r="P17968">
        <v>0</v>
      </c>
    </row>
    <row r="17969" spans="1:16" x14ac:dyDescent="0.25">
      <c r="A17969" t="s">
        <v>40595</v>
      </c>
      <c r="B17969" t="s">
        <v>21499</v>
      </c>
      <c r="C17969" t="s">
        <v>21500</v>
      </c>
      <c r="D17969" t="str">
        <f>"4522"</f>
        <v>4522</v>
      </c>
      <c r="E17969" t="s">
        <v>11009</v>
      </c>
      <c r="F17969" t="s">
        <v>17351</v>
      </c>
      <c r="G17969" t="s">
        <v>47095</v>
      </c>
      <c r="H17969" t="s">
        <v>47055</v>
      </c>
      <c r="I17969" t="s">
        <v>47127</v>
      </c>
      <c r="J17969" t="s">
        <v>47128</v>
      </c>
      <c r="K17969" t="s">
        <v>47113</v>
      </c>
      <c r="L17969">
        <v>21.99</v>
      </c>
      <c r="M17969">
        <v>55</v>
      </c>
      <c r="N17969">
        <v>0</v>
      </c>
      <c r="O17969">
        <v>55</v>
      </c>
      <c r="P17969">
        <v>0</v>
      </c>
    </row>
    <row r="17970" spans="1:16" x14ac:dyDescent="0.25">
      <c r="A17970" t="s">
        <v>40596</v>
      </c>
      <c r="B17970" t="s">
        <v>21501</v>
      </c>
      <c r="C17970" t="s">
        <v>10760</v>
      </c>
      <c r="D17970" t="str">
        <f>"1106"</f>
        <v>1106</v>
      </c>
      <c r="E17970" t="s">
        <v>460</v>
      </c>
      <c r="F17970" t="s">
        <v>17351</v>
      </c>
      <c r="G17970" t="s">
        <v>47095</v>
      </c>
      <c r="H17970" t="s">
        <v>47055</v>
      </c>
      <c r="I17970" t="s">
        <v>47127</v>
      </c>
      <c r="J17970" t="s">
        <v>47128</v>
      </c>
      <c r="K17970" t="s">
        <v>47113</v>
      </c>
      <c r="L17970">
        <v>14.37</v>
      </c>
      <c r="M17970">
        <v>37</v>
      </c>
      <c r="N17970">
        <v>0</v>
      </c>
      <c r="O17970">
        <v>37</v>
      </c>
      <c r="P17970">
        <v>0</v>
      </c>
    </row>
    <row r="17971" spans="1:16" x14ac:dyDescent="0.25">
      <c r="A17971" t="s">
        <v>40597</v>
      </c>
      <c r="B17971" t="s">
        <v>21501</v>
      </c>
      <c r="C17971" t="s">
        <v>10760</v>
      </c>
      <c r="D17971" t="str">
        <f>"1221"</f>
        <v>1221</v>
      </c>
      <c r="E17971" t="s">
        <v>19720</v>
      </c>
      <c r="F17971" t="s">
        <v>17351</v>
      </c>
      <c r="G17971" t="s">
        <v>47095</v>
      </c>
      <c r="H17971" t="s">
        <v>47055</v>
      </c>
      <c r="I17971" t="s">
        <v>47127</v>
      </c>
      <c r="J17971" t="s">
        <v>47128</v>
      </c>
      <c r="K17971" t="s">
        <v>47113</v>
      </c>
      <c r="L17971">
        <v>14.37</v>
      </c>
      <c r="M17971">
        <v>37</v>
      </c>
      <c r="N17971">
        <v>0</v>
      </c>
      <c r="O17971">
        <v>37</v>
      </c>
      <c r="P17971">
        <v>0</v>
      </c>
    </row>
    <row r="17972" spans="1:16" x14ac:dyDescent="0.25">
      <c r="A17972" t="s">
        <v>40598</v>
      </c>
      <c r="B17972" t="s">
        <v>21501</v>
      </c>
      <c r="C17972" t="s">
        <v>10760</v>
      </c>
      <c r="D17972" t="str">
        <f>"6512"</f>
        <v>6512</v>
      </c>
      <c r="E17972" t="s">
        <v>21487</v>
      </c>
      <c r="F17972" t="s">
        <v>17351</v>
      </c>
      <c r="G17972" t="s">
        <v>47095</v>
      </c>
      <c r="H17972" t="s">
        <v>47055</v>
      </c>
      <c r="I17972" t="s">
        <v>47127</v>
      </c>
      <c r="J17972" t="s">
        <v>47128</v>
      </c>
      <c r="K17972" t="s">
        <v>47113</v>
      </c>
      <c r="L17972">
        <v>14.37</v>
      </c>
      <c r="M17972">
        <v>37</v>
      </c>
      <c r="N17972">
        <v>0</v>
      </c>
      <c r="O17972">
        <v>37</v>
      </c>
      <c r="P17972">
        <v>0</v>
      </c>
    </row>
    <row r="17973" spans="1:16" x14ac:dyDescent="0.25">
      <c r="A17973" t="s">
        <v>40599</v>
      </c>
      <c r="B17973" t="s">
        <v>21502</v>
      </c>
      <c r="C17973" t="s">
        <v>19741</v>
      </c>
      <c r="D17973" t="str">
        <f>"1106"</f>
        <v>1106</v>
      </c>
      <c r="E17973" t="s">
        <v>460</v>
      </c>
      <c r="F17973" t="s">
        <v>17351</v>
      </c>
      <c r="G17973" t="s">
        <v>47094</v>
      </c>
      <c r="H17973" t="s">
        <v>47055</v>
      </c>
      <c r="I17973" t="s">
        <v>47127</v>
      </c>
      <c r="J17973" t="s">
        <v>47128</v>
      </c>
      <c r="K17973" t="s">
        <v>47113</v>
      </c>
      <c r="L17973">
        <v>21.99</v>
      </c>
      <c r="M17973">
        <v>55</v>
      </c>
      <c r="N17973">
        <v>0</v>
      </c>
      <c r="O17973">
        <v>55</v>
      </c>
      <c r="P17973">
        <v>0</v>
      </c>
    </row>
    <row r="17974" spans="1:16" x14ac:dyDescent="0.25">
      <c r="A17974" t="s">
        <v>40600</v>
      </c>
      <c r="B17974" t="s">
        <v>21502</v>
      </c>
      <c r="C17974" t="s">
        <v>19741</v>
      </c>
      <c r="D17974" t="str">
        <f>"1221"</f>
        <v>1221</v>
      </c>
      <c r="E17974" t="s">
        <v>19720</v>
      </c>
      <c r="F17974" t="s">
        <v>17351</v>
      </c>
      <c r="G17974" t="s">
        <v>47094</v>
      </c>
      <c r="H17974" t="s">
        <v>47055</v>
      </c>
      <c r="I17974" t="s">
        <v>47127</v>
      </c>
      <c r="J17974" t="s">
        <v>47128</v>
      </c>
      <c r="K17974" t="s">
        <v>47113</v>
      </c>
      <c r="L17974">
        <v>21.99</v>
      </c>
      <c r="M17974">
        <v>55</v>
      </c>
      <c r="N17974">
        <v>0</v>
      </c>
      <c r="O17974">
        <v>55</v>
      </c>
      <c r="P17974">
        <v>0</v>
      </c>
    </row>
    <row r="17975" spans="1:16" x14ac:dyDescent="0.25">
      <c r="A17975" t="s">
        <v>40601</v>
      </c>
      <c r="B17975" t="s">
        <v>21502</v>
      </c>
      <c r="C17975" t="s">
        <v>19741</v>
      </c>
      <c r="D17975" t="str">
        <f>"3501"</f>
        <v>3501</v>
      </c>
      <c r="E17975" t="s">
        <v>3758</v>
      </c>
      <c r="F17975" t="s">
        <v>17351</v>
      </c>
      <c r="G17975" t="s">
        <v>47094</v>
      </c>
      <c r="H17975" t="s">
        <v>47055</v>
      </c>
      <c r="I17975" t="s">
        <v>47127</v>
      </c>
      <c r="J17975" t="s">
        <v>47128</v>
      </c>
      <c r="K17975" t="s">
        <v>47113</v>
      </c>
      <c r="L17975">
        <v>21.99</v>
      </c>
      <c r="M17975">
        <v>55</v>
      </c>
      <c r="N17975">
        <v>0</v>
      </c>
      <c r="O17975">
        <v>55</v>
      </c>
      <c r="P17975">
        <v>0</v>
      </c>
    </row>
    <row r="17976" spans="1:16" x14ac:dyDescent="0.25">
      <c r="A17976" t="s">
        <v>40602</v>
      </c>
      <c r="B17976" t="s">
        <v>21502</v>
      </c>
      <c r="C17976" t="s">
        <v>19741</v>
      </c>
      <c r="D17976" t="str">
        <f>"4926"</f>
        <v>4926</v>
      </c>
      <c r="E17976" t="s">
        <v>19721</v>
      </c>
      <c r="F17976" t="s">
        <v>17351</v>
      </c>
      <c r="G17976" t="s">
        <v>47094</v>
      </c>
      <c r="H17976" t="s">
        <v>47055</v>
      </c>
      <c r="I17976" t="s">
        <v>47127</v>
      </c>
      <c r="J17976" t="s">
        <v>47128</v>
      </c>
      <c r="K17976" t="s">
        <v>47113</v>
      </c>
      <c r="L17976">
        <v>21.99</v>
      </c>
      <c r="M17976">
        <v>55</v>
      </c>
      <c r="N17976">
        <v>0</v>
      </c>
      <c r="O17976">
        <v>55</v>
      </c>
      <c r="P17976">
        <v>0</v>
      </c>
    </row>
    <row r="17977" spans="1:16" x14ac:dyDescent="0.25">
      <c r="A17977" t="s">
        <v>40603</v>
      </c>
      <c r="B17977" t="s">
        <v>21502</v>
      </c>
      <c r="C17977" t="s">
        <v>19741</v>
      </c>
      <c r="D17977" t="str">
        <f>"6512"</f>
        <v>6512</v>
      </c>
      <c r="E17977" t="s">
        <v>21487</v>
      </c>
      <c r="F17977" t="s">
        <v>17351</v>
      </c>
      <c r="G17977" t="s">
        <v>47094</v>
      </c>
      <c r="H17977" t="s">
        <v>47055</v>
      </c>
      <c r="I17977" t="s">
        <v>47127</v>
      </c>
      <c r="J17977" t="s">
        <v>47128</v>
      </c>
      <c r="K17977" t="s">
        <v>47113</v>
      </c>
      <c r="L17977">
        <v>21.99</v>
      </c>
      <c r="M17977">
        <v>55</v>
      </c>
      <c r="N17977">
        <v>0</v>
      </c>
      <c r="O17977">
        <v>55</v>
      </c>
      <c r="P17977">
        <v>0</v>
      </c>
    </row>
    <row r="17978" spans="1:16" x14ac:dyDescent="0.25">
      <c r="A17978" t="s">
        <v>40604</v>
      </c>
      <c r="B17978" t="s">
        <v>21503</v>
      </c>
      <c r="C17978" t="s">
        <v>21504</v>
      </c>
      <c r="D17978" t="str">
        <f>"1106"</f>
        <v>1106</v>
      </c>
      <c r="E17978" t="s">
        <v>460</v>
      </c>
      <c r="F17978" t="s">
        <v>17351</v>
      </c>
      <c r="G17978" t="s">
        <v>47094</v>
      </c>
      <c r="H17978" t="s">
        <v>47055</v>
      </c>
      <c r="I17978" t="s">
        <v>47127</v>
      </c>
      <c r="J17978" t="s">
        <v>47128</v>
      </c>
      <c r="K17978" t="s">
        <v>47113</v>
      </c>
      <c r="L17978">
        <v>18.829999999999998</v>
      </c>
      <c r="M17978">
        <v>48</v>
      </c>
      <c r="N17978">
        <v>0</v>
      </c>
      <c r="O17978">
        <v>48</v>
      </c>
      <c r="P17978">
        <v>0</v>
      </c>
    </row>
    <row r="17979" spans="1:16" x14ac:dyDescent="0.25">
      <c r="A17979" t="s">
        <v>40605</v>
      </c>
      <c r="B17979" t="s">
        <v>21505</v>
      </c>
      <c r="C17979" t="s">
        <v>21506</v>
      </c>
      <c r="D17979" t="str">
        <f>"1106"</f>
        <v>1106</v>
      </c>
      <c r="E17979" t="s">
        <v>460</v>
      </c>
      <c r="F17979" t="s">
        <v>17351</v>
      </c>
      <c r="G17979" t="s">
        <v>47095</v>
      </c>
      <c r="H17979" t="s">
        <v>47055</v>
      </c>
      <c r="I17979" t="s">
        <v>47127</v>
      </c>
      <c r="J17979" t="s">
        <v>47128</v>
      </c>
      <c r="K17979" t="s">
        <v>47113</v>
      </c>
      <c r="L17979">
        <v>13.38</v>
      </c>
      <c r="M17979">
        <v>37</v>
      </c>
      <c r="N17979">
        <v>0</v>
      </c>
      <c r="O17979">
        <v>37</v>
      </c>
      <c r="P17979">
        <v>0</v>
      </c>
    </row>
    <row r="17980" spans="1:16" x14ac:dyDescent="0.25">
      <c r="A17980" t="s">
        <v>40606</v>
      </c>
      <c r="B17980" t="s">
        <v>21507</v>
      </c>
      <c r="C17980" t="s">
        <v>21508</v>
      </c>
      <c r="D17980" t="str">
        <f>"1106"</f>
        <v>1106</v>
      </c>
      <c r="E17980" t="s">
        <v>460</v>
      </c>
      <c r="F17980" t="s">
        <v>17351</v>
      </c>
      <c r="G17980" t="s">
        <v>47095</v>
      </c>
      <c r="H17980" t="s">
        <v>47055</v>
      </c>
      <c r="I17980" t="s">
        <v>47127</v>
      </c>
      <c r="J17980" t="s">
        <v>47128</v>
      </c>
      <c r="K17980" t="s">
        <v>47113</v>
      </c>
      <c r="L17980">
        <v>17.34</v>
      </c>
      <c r="M17980">
        <v>44</v>
      </c>
      <c r="N17980">
        <v>0</v>
      </c>
      <c r="O17980">
        <v>44</v>
      </c>
      <c r="P17980">
        <v>0</v>
      </c>
    </row>
    <row r="17981" spans="1:16" x14ac:dyDescent="0.25">
      <c r="A17981" t="s">
        <v>40607</v>
      </c>
      <c r="B17981" t="s">
        <v>21509</v>
      </c>
      <c r="C17981" t="s">
        <v>19717</v>
      </c>
      <c r="D17981" t="str">
        <f>"1106"</f>
        <v>1106</v>
      </c>
      <c r="E17981" t="s">
        <v>460</v>
      </c>
      <c r="F17981" t="s">
        <v>17351</v>
      </c>
      <c r="G17981" t="s">
        <v>47094</v>
      </c>
      <c r="H17981" t="s">
        <v>47055</v>
      </c>
      <c r="I17981" t="s">
        <v>47127</v>
      </c>
      <c r="J17981" t="s">
        <v>47128</v>
      </c>
      <c r="K17981" t="s">
        <v>47113</v>
      </c>
      <c r="L17981">
        <v>25.67</v>
      </c>
      <c r="M17981">
        <v>66</v>
      </c>
      <c r="N17981">
        <v>0</v>
      </c>
      <c r="O17981">
        <v>66</v>
      </c>
      <c r="P17981">
        <v>0</v>
      </c>
    </row>
    <row r="17982" spans="1:16" x14ac:dyDescent="0.25">
      <c r="A17982" t="s">
        <v>40608</v>
      </c>
      <c r="B17982" t="s">
        <v>18420</v>
      </c>
      <c r="C17982" t="s">
        <v>18421</v>
      </c>
      <c r="D17982" t="str">
        <f>"1001"</f>
        <v>1001</v>
      </c>
      <c r="E17982" t="s">
        <v>42</v>
      </c>
      <c r="F17982" t="s">
        <v>16623</v>
      </c>
      <c r="G17982" t="s">
        <v>49030</v>
      </c>
      <c r="H17982" t="s">
        <v>47055</v>
      </c>
      <c r="I17982" t="s">
        <v>47120</v>
      </c>
      <c r="J17982" t="s">
        <v>47121</v>
      </c>
      <c r="K17982" t="s">
        <v>47113</v>
      </c>
      <c r="L17982">
        <v>40.25</v>
      </c>
      <c r="M17982">
        <v>70</v>
      </c>
      <c r="N17982">
        <v>0</v>
      </c>
      <c r="O17982">
        <v>70</v>
      </c>
      <c r="P17982">
        <v>0</v>
      </c>
    </row>
    <row r="17983" spans="1:16" x14ac:dyDescent="0.25">
      <c r="A17983" t="s">
        <v>40609</v>
      </c>
      <c r="B17983" t="s">
        <v>21510</v>
      </c>
      <c r="C17983" t="s">
        <v>21511</v>
      </c>
      <c r="D17983" t="str">
        <f>"1106"</f>
        <v>1106</v>
      </c>
      <c r="E17983" t="s">
        <v>460</v>
      </c>
      <c r="F17983" t="s">
        <v>17351</v>
      </c>
      <c r="G17983" t="s">
        <v>47096</v>
      </c>
      <c r="H17983" t="s">
        <v>47055</v>
      </c>
      <c r="I17983" t="s">
        <v>47127</v>
      </c>
      <c r="J17983" t="s">
        <v>47128</v>
      </c>
      <c r="K17983" t="s">
        <v>47113</v>
      </c>
      <c r="L17983">
        <v>20.71</v>
      </c>
      <c r="M17983">
        <v>55</v>
      </c>
      <c r="N17983">
        <v>0</v>
      </c>
      <c r="O17983">
        <v>55</v>
      </c>
      <c r="P17983">
        <v>0</v>
      </c>
    </row>
    <row r="17984" spans="1:16" x14ac:dyDescent="0.25">
      <c r="A17984" t="s">
        <v>40610</v>
      </c>
      <c r="B17984" t="s">
        <v>21512</v>
      </c>
      <c r="C17984" t="s">
        <v>21513</v>
      </c>
      <c r="D17984" t="str">
        <f>"1210"</f>
        <v>1210</v>
      </c>
      <c r="E17984" t="s">
        <v>16369</v>
      </c>
      <c r="F17984" t="s">
        <v>17351</v>
      </c>
      <c r="G17984" t="s">
        <v>47098</v>
      </c>
      <c r="H17984" t="s">
        <v>47055</v>
      </c>
      <c r="I17984" t="s">
        <v>47120</v>
      </c>
      <c r="J17984" t="s">
        <v>47121</v>
      </c>
      <c r="K17984" t="s">
        <v>47113</v>
      </c>
      <c r="L17984">
        <v>44.05</v>
      </c>
      <c r="M17984">
        <v>96</v>
      </c>
      <c r="N17984">
        <v>0</v>
      </c>
      <c r="O17984">
        <v>96</v>
      </c>
      <c r="P17984">
        <v>0</v>
      </c>
    </row>
    <row r="17985" spans="1:16" x14ac:dyDescent="0.25">
      <c r="A17985" t="s">
        <v>40611</v>
      </c>
      <c r="B17985" t="s">
        <v>21512</v>
      </c>
      <c r="C17985" t="s">
        <v>21513</v>
      </c>
      <c r="D17985" t="str">
        <f>"1704"</f>
        <v>1704</v>
      </c>
      <c r="E17985" t="s">
        <v>7181</v>
      </c>
      <c r="F17985" t="s">
        <v>17351</v>
      </c>
      <c r="G17985" t="s">
        <v>47098</v>
      </c>
      <c r="H17985" t="s">
        <v>47055</v>
      </c>
      <c r="I17985" t="s">
        <v>47120</v>
      </c>
      <c r="J17985" t="s">
        <v>47121</v>
      </c>
      <c r="K17985" t="s">
        <v>47113</v>
      </c>
      <c r="L17985">
        <v>44.05</v>
      </c>
      <c r="M17985">
        <v>96</v>
      </c>
      <c r="N17985">
        <v>0</v>
      </c>
      <c r="O17985">
        <v>96</v>
      </c>
      <c r="P17985">
        <v>0</v>
      </c>
    </row>
    <row r="17986" spans="1:16" x14ac:dyDescent="0.25">
      <c r="A17986" t="s">
        <v>40612</v>
      </c>
      <c r="B17986" t="s">
        <v>21514</v>
      </c>
      <c r="C17986" t="s">
        <v>21515</v>
      </c>
      <c r="D17986" t="str">
        <f>"1210"</f>
        <v>1210</v>
      </c>
      <c r="E17986" t="s">
        <v>16369</v>
      </c>
      <c r="F17986" t="s">
        <v>17351</v>
      </c>
      <c r="G17986" t="s">
        <v>48515</v>
      </c>
      <c r="H17986" t="s">
        <v>47055</v>
      </c>
      <c r="I17986" t="s">
        <v>47120</v>
      </c>
      <c r="J17986" t="s">
        <v>47121</v>
      </c>
      <c r="K17986" t="s">
        <v>47113</v>
      </c>
      <c r="L17986">
        <v>37.64</v>
      </c>
      <c r="M17986">
        <v>89</v>
      </c>
      <c r="N17986">
        <v>0</v>
      </c>
      <c r="O17986">
        <v>89</v>
      </c>
      <c r="P17986">
        <v>0</v>
      </c>
    </row>
    <row r="17987" spans="1:16" x14ac:dyDescent="0.25">
      <c r="A17987" t="s">
        <v>40613</v>
      </c>
      <c r="B17987" t="s">
        <v>21514</v>
      </c>
      <c r="C17987" t="s">
        <v>21515</v>
      </c>
      <c r="D17987" t="str">
        <f>"4926"</f>
        <v>4926</v>
      </c>
      <c r="E17987" t="s">
        <v>4088</v>
      </c>
      <c r="F17987" t="s">
        <v>17351</v>
      </c>
      <c r="G17987" t="s">
        <v>48515</v>
      </c>
      <c r="H17987" t="s">
        <v>47055</v>
      </c>
      <c r="I17987" t="s">
        <v>47120</v>
      </c>
      <c r="J17987" t="s">
        <v>47121</v>
      </c>
      <c r="K17987" t="s">
        <v>47113</v>
      </c>
      <c r="L17987">
        <v>37.64</v>
      </c>
      <c r="M17987">
        <v>89</v>
      </c>
      <c r="N17987">
        <v>0</v>
      </c>
      <c r="O17987">
        <v>89</v>
      </c>
      <c r="P17987">
        <v>0</v>
      </c>
    </row>
    <row r="17988" spans="1:16" x14ac:dyDescent="0.25">
      <c r="A17988" t="s">
        <v>40614</v>
      </c>
      <c r="B17988" t="s">
        <v>21516</v>
      </c>
      <c r="C17988" t="s">
        <v>21517</v>
      </c>
      <c r="D17988" t="str">
        <f>"1210"</f>
        <v>1210</v>
      </c>
      <c r="E17988" t="s">
        <v>16369</v>
      </c>
      <c r="F17988" t="s">
        <v>17351</v>
      </c>
      <c r="G17988" t="s">
        <v>47098</v>
      </c>
      <c r="H17988" t="s">
        <v>47055</v>
      </c>
      <c r="I17988" t="s">
        <v>47120</v>
      </c>
      <c r="J17988" t="s">
        <v>47121</v>
      </c>
      <c r="K17988" t="s">
        <v>47113</v>
      </c>
      <c r="L17988">
        <v>42.23</v>
      </c>
      <c r="M17988">
        <v>96</v>
      </c>
      <c r="N17988">
        <v>0</v>
      </c>
      <c r="O17988">
        <v>96</v>
      </c>
      <c r="P17988">
        <v>0</v>
      </c>
    </row>
    <row r="17989" spans="1:16" x14ac:dyDescent="0.25">
      <c r="A17989" t="s">
        <v>40615</v>
      </c>
      <c r="B17989" t="s">
        <v>21516</v>
      </c>
      <c r="C17989" t="s">
        <v>21517</v>
      </c>
      <c r="D17989" t="str">
        <f>"4926"</f>
        <v>4926</v>
      </c>
      <c r="E17989" t="s">
        <v>4088</v>
      </c>
      <c r="F17989" t="s">
        <v>17351</v>
      </c>
      <c r="G17989" t="s">
        <v>47098</v>
      </c>
      <c r="H17989" t="s">
        <v>47055</v>
      </c>
      <c r="I17989" t="s">
        <v>47120</v>
      </c>
      <c r="J17989" t="s">
        <v>47121</v>
      </c>
      <c r="K17989" t="s">
        <v>47113</v>
      </c>
      <c r="L17989">
        <v>42.23</v>
      </c>
      <c r="M17989">
        <v>96</v>
      </c>
      <c r="N17989">
        <v>0</v>
      </c>
      <c r="O17989">
        <v>96</v>
      </c>
      <c r="P17989">
        <v>0</v>
      </c>
    </row>
    <row r="17990" spans="1:16" x14ac:dyDescent="0.25">
      <c r="A17990" t="s">
        <v>40616</v>
      </c>
      <c r="B17990" t="s">
        <v>21518</v>
      </c>
      <c r="C17990" t="s">
        <v>21519</v>
      </c>
      <c r="D17990" t="str">
        <f>"1210"</f>
        <v>1210</v>
      </c>
      <c r="E17990" t="s">
        <v>16369</v>
      </c>
      <c r="F17990" t="s">
        <v>17351</v>
      </c>
      <c r="G17990" t="s">
        <v>47098</v>
      </c>
      <c r="H17990" t="s">
        <v>47055</v>
      </c>
      <c r="I17990" t="s">
        <v>47120</v>
      </c>
      <c r="J17990" t="s">
        <v>47121</v>
      </c>
      <c r="K17990" t="s">
        <v>47113</v>
      </c>
      <c r="L17990">
        <v>70.22</v>
      </c>
      <c r="M17990">
        <v>148</v>
      </c>
      <c r="N17990">
        <v>0</v>
      </c>
      <c r="O17990">
        <v>148</v>
      </c>
      <c r="P17990">
        <v>0</v>
      </c>
    </row>
    <row r="17991" spans="1:16" x14ac:dyDescent="0.25">
      <c r="A17991" t="s">
        <v>40617</v>
      </c>
      <c r="B17991" t="s">
        <v>21518</v>
      </c>
      <c r="C17991" t="s">
        <v>21519</v>
      </c>
      <c r="D17991" t="str">
        <f>"3106"</f>
        <v>3106</v>
      </c>
      <c r="E17991" t="s">
        <v>230</v>
      </c>
      <c r="F17991" t="s">
        <v>17351</v>
      </c>
      <c r="G17991" t="s">
        <v>47098</v>
      </c>
      <c r="H17991" t="s">
        <v>47055</v>
      </c>
      <c r="I17991" t="s">
        <v>47120</v>
      </c>
      <c r="J17991" t="s">
        <v>47121</v>
      </c>
      <c r="K17991" t="s">
        <v>47113</v>
      </c>
      <c r="L17991">
        <v>70.22</v>
      </c>
      <c r="M17991">
        <v>148</v>
      </c>
      <c r="N17991">
        <v>0</v>
      </c>
      <c r="O17991">
        <v>148</v>
      </c>
      <c r="P17991">
        <v>0</v>
      </c>
    </row>
    <row r="17992" spans="1:16" x14ac:dyDescent="0.25">
      <c r="A17992" t="s">
        <v>40618</v>
      </c>
      <c r="B17992" t="s">
        <v>21520</v>
      </c>
      <c r="C17992" t="s">
        <v>21521</v>
      </c>
      <c r="D17992" t="str">
        <f>"1700"</f>
        <v>1700</v>
      </c>
      <c r="E17992" t="s">
        <v>60</v>
      </c>
      <c r="F17992" t="s">
        <v>17351</v>
      </c>
      <c r="G17992" t="s">
        <v>47101</v>
      </c>
      <c r="H17992" t="s">
        <v>47055</v>
      </c>
      <c r="I17992" t="s">
        <v>47120</v>
      </c>
      <c r="J17992" t="s">
        <v>47121</v>
      </c>
      <c r="K17992" t="s">
        <v>47113</v>
      </c>
      <c r="L17992">
        <v>43.3</v>
      </c>
      <c r="M17992">
        <v>74</v>
      </c>
      <c r="N17992">
        <v>0</v>
      </c>
      <c r="O17992">
        <v>74</v>
      </c>
      <c r="P17992">
        <v>0</v>
      </c>
    </row>
    <row r="17993" spans="1:16" x14ac:dyDescent="0.25">
      <c r="A17993" t="s">
        <v>40619</v>
      </c>
      <c r="B17993" t="s">
        <v>21522</v>
      </c>
      <c r="C17993" t="s">
        <v>21523</v>
      </c>
      <c r="D17993" t="str">
        <f>"1001"</f>
        <v>1001</v>
      </c>
      <c r="E17993" t="s">
        <v>42</v>
      </c>
      <c r="F17993" t="s">
        <v>17351</v>
      </c>
      <c r="G17993" t="s">
        <v>47103</v>
      </c>
      <c r="H17993" t="s">
        <v>47055</v>
      </c>
      <c r="I17993" t="s">
        <v>47120</v>
      </c>
      <c r="J17993" t="s">
        <v>47121</v>
      </c>
      <c r="K17993" t="s">
        <v>47113</v>
      </c>
      <c r="L17993">
        <v>44.98</v>
      </c>
      <c r="M17993">
        <v>104</v>
      </c>
      <c r="N17993">
        <v>0</v>
      </c>
      <c r="O17993">
        <v>104</v>
      </c>
      <c r="P17993">
        <v>0</v>
      </c>
    </row>
    <row r="17994" spans="1:16" x14ac:dyDescent="0.25">
      <c r="A17994" t="s">
        <v>40620</v>
      </c>
      <c r="B17994" t="s">
        <v>21522</v>
      </c>
      <c r="C17994" t="s">
        <v>21523</v>
      </c>
      <c r="D17994" t="str">
        <f>"1700"</f>
        <v>1700</v>
      </c>
      <c r="E17994" t="s">
        <v>60</v>
      </c>
      <c r="F17994" t="s">
        <v>17351</v>
      </c>
      <c r="G17994" t="s">
        <v>47103</v>
      </c>
      <c r="H17994" t="s">
        <v>47055</v>
      </c>
      <c r="I17994" t="s">
        <v>47120</v>
      </c>
      <c r="J17994" t="s">
        <v>47121</v>
      </c>
      <c r="K17994" t="s">
        <v>47113</v>
      </c>
      <c r="L17994">
        <v>44.98</v>
      </c>
      <c r="M17994">
        <v>104</v>
      </c>
      <c r="N17994">
        <v>0</v>
      </c>
      <c r="O17994">
        <v>104</v>
      </c>
      <c r="P17994">
        <v>0</v>
      </c>
    </row>
    <row r="17995" spans="1:16" x14ac:dyDescent="0.25">
      <c r="A17995" t="s">
        <v>40621</v>
      </c>
      <c r="B17995" t="s">
        <v>21522</v>
      </c>
      <c r="C17995" t="s">
        <v>21523</v>
      </c>
      <c r="D17995" t="str">
        <f>"4926"</f>
        <v>4926</v>
      </c>
      <c r="E17995" t="s">
        <v>4088</v>
      </c>
      <c r="F17995" t="s">
        <v>17351</v>
      </c>
      <c r="G17995" t="s">
        <v>47103</v>
      </c>
      <c r="H17995" t="s">
        <v>47055</v>
      </c>
      <c r="I17995" t="s">
        <v>47120</v>
      </c>
      <c r="J17995" t="s">
        <v>47121</v>
      </c>
      <c r="K17995" t="s">
        <v>47113</v>
      </c>
      <c r="L17995">
        <v>44.98</v>
      </c>
      <c r="M17995">
        <v>104</v>
      </c>
      <c r="N17995">
        <v>0</v>
      </c>
      <c r="O17995">
        <v>104</v>
      </c>
      <c r="P17995">
        <v>0</v>
      </c>
    </row>
    <row r="17996" spans="1:16" x14ac:dyDescent="0.25">
      <c r="A17996" t="s">
        <v>40622</v>
      </c>
      <c r="B17996" t="s">
        <v>21524</v>
      </c>
      <c r="C17996" t="s">
        <v>21525</v>
      </c>
      <c r="D17996" t="str">
        <f>"1001"</f>
        <v>1001</v>
      </c>
      <c r="E17996" t="s">
        <v>42</v>
      </c>
      <c r="F17996" t="s">
        <v>17351</v>
      </c>
      <c r="G17996" t="s">
        <v>47103</v>
      </c>
      <c r="H17996" t="s">
        <v>47055</v>
      </c>
      <c r="I17996" t="s">
        <v>47120</v>
      </c>
      <c r="J17996" t="s">
        <v>47121</v>
      </c>
      <c r="K17996" t="s">
        <v>47113</v>
      </c>
      <c r="L17996">
        <v>51.86</v>
      </c>
      <c r="M17996">
        <v>111</v>
      </c>
      <c r="N17996">
        <v>0</v>
      </c>
      <c r="O17996">
        <v>111</v>
      </c>
      <c r="P17996">
        <v>0</v>
      </c>
    </row>
    <row r="17997" spans="1:16" x14ac:dyDescent="0.25">
      <c r="A17997" t="s">
        <v>40623</v>
      </c>
      <c r="B17997" t="s">
        <v>21526</v>
      </c>
      <c r="C17997" t="s">
        <v>21527</v>
      </c>
      <c r="D17997" t="str">
        <f>"1001"</f>
        <v>1001</v>
      </c>
      <c r="E17997" t="s">
        <v>42</v>
      </c>
      <c r="F17997" t="s">
        <v>17351</v>
      </c>
      <c r="G17997" t="s">
        <v>47103</v>
      </c>
      <c r="H17997" t="s">
        <v>47055</v>
      </c>
      <c r="I17997" t="s">
        <v>47120</v>
      </c>
      <c r="J17997" t="s">
        <v>47121</v>
      </c>
      <c r="K17997" t="s">
        <v>47113</v>
      </c>
      <c r="L17997">
        <v>45.15</v>
      </c>
      <c r="M17997">
        <v>100</v>
      </c>
      <c r="N17997">
        <v>0</v>
      </c>
      <c r="O17997">
        <v>100</v>
      </c>
      <c r="P17997">
        <v>0</v>
      </c>
    </row>
    <row r="17998" spans="1:16" x14ac:dyDescent="0.25">
      <c r="A17998" t="s">
        <v>40624</v>
      </c>
      <c r="B17998" t="s">
        <v>40625</v>
      </c>
      <c r="C17998" t="s">
        <v>21292</v>
      </c>
      <c r="D17998" t="s">
        <v>40626</v>
      </c>
      <c r="E17998" t="s">
        <v>40627</v>
      </c>
      <c r="F17998" t="s">
        <v>24019</v>
      </c>
      <c r="G17998" t="s">
        <v>47093</v>
      </c>
      <c r="H17998" t="s">
        <v>47055</v>
      </c>
      <c r="I17998" t="s">
        <v>47127</v>
      </c>
      <c r="J17998" t="s">
        <v>47128</v>
      </c>
      <c r="K17998" t="s">
        <v>47113</v>
      </c>
      <c r="L17998">
        <v>33.79</v>
      </c>
      <c r="M17998">
        <v>74</v>
      </c>
      <c r="N17998">
        <v>0</v>
      </c>
      <c r="O17998">
        <v>74</v>
      </c>
      <c r="P17998">
        <v>0</v>
      </c>
    </row>
    <row r="17999" spans="1:16" x14ac:dyDescent="0.25">
      <c r="A17999" t="s">
        <v>40628</v>
      </c>
      <c r="B17999" t="s">
        <v>40629</v>
      </c>
      <c r="C17999" t="s">
        <v>18894</v>
      </c>
      <c r="D17999" t="s">
        <v>40630</v>
      </c>
      <c r="E17999" t="s">
        <v>40631</v>
      </c>
      <c r="F17999" t="s">
        <v>24019</v>
      </c>
      <c r="G17999" t="s">
        <v>47093</v>
      </c>
      <c r="H17999" t="s">
        <v>47055</v>
      </c>
      <c r="I17999" t="s">
        <v>47127</v>
      </c>
      <c r="J17999" t="s">
        <v>47128</v>
      </c>
      <c r="K17999" t="s">
        <v>47113</v>
      </c>
      <c r="L17999">
        <v>33.58</v>
      </c>
      <c r="M17999">
        <v>74</v>
      </c>
      <c r="N17999">
        <v>0</v>
      </c>
      <c r="O17999">
        <v>74</v>
      </c>
      <c r="P17999">
        <v>0</v>
      </c>
    </row>
    <row r="18000" spans="1:16" x14ac:dyDescent="0.25">
      <c r="A18000" t="s">
        <v>40632</v>
      </c>
      <c r="B18000" t="s">
        <v>40633</v>
      </c>
      <c r="C18000" t="s">
        <v>21292</v>
      </c>
      <c r="D18000" t="s">
        <v>40634</v>
      </c>
      <c r="E18000" t="s">
        <v>40635</v>
      </c>
      <c r="F18000" t="s">
        <v>24019</v>
      </c>
      <c r="G18000" t="s">
        <v>47093</v>
      </c>
      <c r="H18000" t="s">
        <v>47055</v>
      </c>
      <c r="I18000" t="s">
        <v>47127</v>
      </c>
      <c r="J18000" t="s">
        <v>47128</v>
      </c>
      <c r="K18000" t="s">
        <v>47113</v>
      </c>
      <c r="L18000">
        <v>34.65</v>
      </c>
      <c r="M18000">
        <v>74</v>
      </c>
      <c r="N18000">
        <v>199</v>
      </c>
      <c r="O18000">
        <v>74</v>
      </c>
      <c r="P18000">
        <v>199</v>
      </c>
    </row>
    <row r="18001" spans="1:16" x14ac:dyDescent="0.25">
      <c r="A18001" t="s">
        <v>40636</v>
      </c>
      <c r="B18001" t="s">
        <v>40637</v>
      </c>
      <c r="C18001" t="s">
        <v>18572</v>
      </c>
      <c r="D18001" t="s">
        <v>40630</v>
      </c>
      <c r="E18001" t="s">
        <v>40631</v>
      </c>
      <c r="F18001" t="s">
        <v>24019</v>
      </c>
      <c r="G18001" t="s">
        <v>47093</v>
      </c>
      <c r="H18001" t="s">
        <v>47055</v>
      </c>
      <c r="I18001" t="s">
        <v>47127</v>
      </c>
      <c r="J18001" t="s">
        <v>47128</v>
      </c>
      <c r="K18001" t="s">
        <v>47113</v>
      </c>
      <c r="L18001">
        <v>33.58</v>
      </c>
      <c r="M18001">
        <v>74</v>
      </c>
      <c r="N18001">
        <v>0</v>
      </c>
      <c r="O18001">
        <v>74</v>
      </c>
      <c r="P18001">
        <v>0</v>
      </c>
    </row>
    <row r="18002" spans="1:16" x14ac:dyDescent="0.25">
      <c r="A18002" t="s">
        <v>40638</v>
      </c>
      <c r="B18002" t="s">
        <v>40639</v>
      </c>
      <c r="C18002" t="s">
        <v>18572</v>
      </c>
      <c r="D18002" t="s">
        <v>40640</v>
      </c>
      <c r="E18002" t="s">
        <v>40641</v>
      </c>
      <c r="F18002" t="s">
        <v>24019</v>
      </c>
      <c r="G18002" t="s">
        <v>47093</v>
      </c>
      <c r="H18002" t="s">
        <v>47055</v>
      </c>
      <c r="I18002" t="s">
        <v>47127</v>
      </c>
      <c r="J18002" t="s">
        <v>47128</v>
      </c>
      <c r="K18002" t="s">
        <v>47113</v>
      </c>
      <c r="L18002">
        <v>35.299999999999997</v>
      </c>
      <c r="M18002">
        <v>74</v>
      </c>
      <c r="N18002">
        <v>0</v>
      </c>
      <c r="O18002">
        <v>74</v>
      </c>
      <c r="P18002">
        <v>0</v>
      </c>
    </row>
    <row r="18003" spans="1:16" x14ac:dyDescent="0.25">
      <c r="A18003" t="s">
        <v>40642</v>
      </c>
      <c r="B18003" t="s">
        <v>40643</v>
      </c>
      <c r="C18003" t="s">
        <v>40644</v>
      </c>
      <c r="D18003" t="s">
        <v>40634</v>
      </c>
      <c r="E18003" t="s">
        <v>40635</v>
      </c>
      <c r="F18003" t="s">
        <v>24019</v>
      </c>
      <c r="G18003" t="s">
        <v>47093</v>
      </c>
      <c r="H18003" t="s">
        <v>47055</v>
      </c>
      <c r="I18003" t="s">
        <v>47127</v>
      </c>
      <c r="J18003" t="s">
        <v>47128</v>
      </c>
      <c r="K18003" t="s">
        <v>47113</v>
      </c>
      <c r="L18003">
        <v>35.200000000000003</v>
      </c>
      <c r="M18003">
        <v>74</v>
      </c>
      <c r="N18003">
        <v>0</v>
      </c>
      <c r="O18003">
        <v>74</v>
      </c>
      <c r="P18003">
        <v>0</v>
      </c>
    </row>
    <row r="18004" spans="1:16" x14ac:dyDescent="0.25">
      <c r="A18004" t="s">
        <v>40645</v>
      </c>
      <c r="B18004" t="s">
        <v>40646</v>
      </c>
      <c r="C18004" t="s">
        <v>18572</v>
      </c>
      <c r="D18004" t="s">
        <v>40626</v>
      </c>
      <c r="E18004" t="s">
        <v>40627</v>
      </c>
      <c r="F18004" t="s">
        <v>24019</v>
      </c>
      <c r="G18004" t="s">
        <v>47093</v>
      </c>
      <c r="H18004" t="s">
        <v>47055</v>
      </c>
      <c r="I18004" t="s">
        <v>47127</v>
      </c>
      <c r="J18004" t="s">
        <v>47128</v>
      </c>
      <c r="K18004" t="s">
        <v>47113</v>
      </c>
      <c r="L18004">
        <v>34.22</v>
      </c>
      <c r="M18004">
        <v>74</v>
      </c>
      <c r="N18004">
        <v>0</v>
      </c>
      <c r="O18004">
        <v>74</v>
      </c>
      <c r="P18004">
        <v>0</v>
      </c>
    </row>
    <row r="18005" spans="1:16" x14ac:dyDescent="0.25">
      <c r="A18005" t="s">
        <v>40647</v>
      </c>
      <c r="B18005" t="s">
        <v>21528</v>
      </c>
      <c r="C18005" t="s">
        <v>21529</v>
      </c>
      <c r="D18005" t="str">
        <f>"1370"</f>
        <v>1370</v>
      </c>
      <c r="E18005" t="s">
        <v>2162</v>
      </c>
      <c r="F18005" t="s">
        <v>17351</v>
      </c>
      <c r="G18005" t="s">
        <v>47091</v>
      </c>
      <c r="H18005" t="s">
        <v>47055</v>
      </c>
      <c r="I18005" t="s">
        <v>47120</v>
      </c>
      <c r="J18005" t="s">
        <v>47121</v>
      </c>
      <c r="K18005" t="s">
        <v>47113</v>
      </c>
      <c r="L18005">
        <v>37.18</v>
      </c>
      <c r="M18005">
        <v>85</v>
      </c>
      <c r="N18005">
        <v>0</v>
      </c>
      <c r="O18005">
        <v>85</v>
      </c>
      <c r="P18005">
        <v>0</v>
      </c>
    </row>
    <row r="18006" spans="1:16" x14ac:dyDescent="0.25">
      <c r="A18006" t="s">
        <v>40648</v>
      </c>
      <c r="B18006" t="s">
        <v>21530</v>
      </c>
      <c r="C18006" t="s">
        <v>21531</v>
      </c>
      <c r="D18006" t="str">
        <f>"1378"</f>
        <v>1378</v>
      </c>
      <c r="E18006" t="s">
        <v>388</v>
      </c>
      <c r="F18006" t="s">
        <v>17351</v>
      </c>
      <c r="G18006" t="s">
        <v>47091</v>
      </c>
      <c r="H18006" t="s">
        <v>47055</v>
      </c>
      <c r="I18006" t="s">
        <v>47120</v>
      </c>
      <c r="J18006" t="s">
        <v>47121</v>
      </c>
      <c r="K18006" t="s">
        <v>47113</v>
      </c>
      <c r="L18006">
        <v>20.190000000000001</v>
      </c>
      <c r="M18006">
        <v>48</v>
      </c>
      <c r="N18006">
        <v>0</v>
      </c>
      <c r="O18006">
        <v>48</v>
      </c>
      <c r="P18006">
        <v>0</v>
      </c>
    </row>
    <row r="18007" spans="1:16" x14ac:dyDescent="0.25">
      <c r="A18007" t="s">
        <v>40649</v>
      </c>
      <c r="B18007" t="s">
        <v>21530</v>
      </c>
      <c r="C18007" t="s">
        <v>21531</v>
      </c>
      <c r="D18007" t="str">
        <f>"4926"</f>
        <v>4926</v>
      </c>
      <c r="E18007" t="s">
        <v>4088</v>
      </c>
      <c r="F18007" t="s">
        <v>17351</v>
      </c>
      <c r="G18007" t="s">
        <v>47091</v>
      </c>
      <c r="H18007" t="s">
        <v>47055</v>
      </c>
      <c r="I18007" t="s">
        <v>47120</v>
      </c>
      <c r="J18007" t="s">
        <v>47121</v>
      </c>
      <c r="K18007" t="s">
        <v>47113</v>
      </c>
      <c r="L18007">
        <v>20.190000000000001</v>
      </c>
      <c r="M18007">
        <v>48</v>
      </c>
      <c r="N18007">
        <v>0</v>
      </c>
      <c r="O18007">
        <v>48</v>
      </c>
      <c r="P18007">
        <v>0</v>
      </c>
    </row>
    <row r="18008" spans="1:16" x14ac:dyDescent="0.25">
      <c r="A18008" t="s">
        <v>40650</v>
      </c>
      <c r="B18008" t="s">
        <v>21532</v>
      </c>
      <c r="C18008" t="s">
        <v>21533</v>
      </c>
      <c r="D18008" t="str">
        <f>"1001"</f>
        <v>1001</v>
      </c>
      <c r="E18008" t="s">
        <v>42</v>
      </c>
      <c r="F18008" t="s">
        <v>17351</v>
      </c>
      <c r="G18008" t="s">
        <v>49030</v>
      </c>
      <c r="H18008" t="s">
        <v>47055</v>
      </c>
      <c r="I18008" t="s">
        <v>47120</v>
      </c>
      <c r="J18008" t="s">
        <v>47121</v>
      </c>
      <c r="K18008" t="s">
        <v>47113</v>
      </c>
      <c r="L18008">
        <v>31.21</v>
      </c>
      <c r="M18008">
        <v>74</v>
      </c>
      <c r="N18008">
        <v>0</v>
      </c>
      <c r="O18008">
        <v>74</v>
      </c>
      <c r="P18008">
        <v>0</v>
      </c>
    </row>
    <row r="18009" spans="1:16" x14ac:dyDescent="0.25">
      <c r="A18009" t="s">
        <v>40651</v>
      </c>
      <c r="B18009" t="s">
        <v>21532</v>
      </c>
      <c r="C18009" t="s">
        <v>21533</v>
      </c>
      <c r="D18009" t="str">
        <f>"1700"</f>
        <v>1700</v>
      </c>
      <c r="E18009" t="s">
        <v>60</v>
      </c>
      <c r="F18009" t="s">
        <v>17351</v>
      </c>
      <c r="G18009" t="s">
        <v>49030</v>
      </c>
      <c r="H18009" t="s">
        <v>47055</v>
      </c>
      <c r="I18009" t="s">
        <v>47120</v>
      </c>
      <c r="J18009" t="s">
        <v>47121</v>
      </c>
      <c r="K18009" t="s">
        <v>47113</v>
      </c>
      <c r="L18009">
        <v>31.21</v>
      </c>
      <c r="M18009">
        <v>74</v>
      </c>
      <c r="N18009">
        <v>0</v>
      </c>
      <c r="O18009">
        <v>74</v>
      </c>
      <c r="P18009">
        <v>0</v>
      </c>
    </row>
    <row r="18010" spans="1:16" x14ac:dyDescent="0.25">
      <c r="A18010" t="s">
        <v>40652</v>
      </c>
      <c r="B18010" t="s">
        <v>21532</v>
      </c>
      <c r="C18010" t="s">
        <v>21533</v>
      </c>
      <c r="D18010" t="str">
        <f>"4926"</f>
        <v>4926</v>
      </c>
      <c r="E18010" t="s">
        <v>4088</v>
      </c>
      <c r="F18010" t="s">
        <v>17351</v>
      </c>
      <c r="G18010" t="s">
        <v>49030</v>
      </c>
      <c r="H18010" t="s">
        <v>47055</v>
      </c>
      <c r="I18010" t="s">
        <v>47120</v>
      </c>
      <c r="J18010" t="s">
        <v>47121</v>
      </c>
      <c r="K18010" t="s">
        <v>47113</v>
      </c>
      <c r="L18010">
        <v>31.21</v>
      </c>
      <c r="M18010">
        <v>74</v>
      </c>
      <c r="N18010">
        <v>0</v>
      </c>
      <c r="O18010">
        <v>74</v>
      </c>
      <c r="P18010">
        <v>0</v>
      </c>
    </row>
    <row r="18011" spans="1:16" x14ac:dyDescent="0.25">
      <c r="A18011" t="s">
        <v>40653</v>
      </c>
      <c r="B18011" t="s">
        <v>21534</v>
      </c>
      <c r="C18011" t="s">
        <v>21535</v>
      </c>
      <c r="D18011" t="str">
        <f>"1708"</f>
        <v>1708</v>
      </c>
      <c r="E18011" t="s">
        <v>16240</v>
      </c>
      <c r="F18011" t="s">
        <v>17351</v>
      </c>
      <c r="G18011" t="s">
        <v>47091</v>
      </c>
      <c r="H18011" t="s">
        <v>47055</v>
      </c>
      <c r="I18011" t="s">
        <v>47120</v>
      </c>
      <c r="J18011" t="s">
        <v>47121</v>
      </c>
      <c r="K18011" t="s">
        <v>47113</v>
      </c>
      <c r="L18011">
        <v>25.7</v>
      </c>
      <c r="M18011">
        <v>67</v>
      </c>
      <c r="N18011">
        <v>0</v>
      </c>
      <c r="O18011">
        <v>67</v>
      </c>
      <c r="P18011">
        <v>0</v>
      </c>
    </row>
    <row r="18012" spans="1:16" x14ac:dyDescent="0.25">
      <c r="A18012" t="s">
        <v>40654</v>
      </c>
      <c r="B18012" t="s">
        <v>21536</v>
      </c>
      <c r="C18012" t="s">
        <v>21537</v>
      </c>
      <c r="D18012" t="str">
        <f>"1708"</f>
        <v>1708</v>
      </c>
      <c r="E18012" t="s">
        <v>16240</v>
      </c>
      <c r="F18012" t="s">
        <v>17351</v>
      </c>
      <c r="G18012" t="s">
        <v>47091</v>
      </c>
      <c r="H18012" t="s">
        <v>47055</v>
      </c>
      <c r="I18012" t="s">
        <v>47120</v>
      </c>
      <c r="J18012" t="s">
        <v>47121</v>
      </c>
      <c r="K18012" t="s">
        <v>47113</v>
      </c>
      <c r="L18012">
        <v>24.6</v>
      </c>
      <c r="M18012">
        <v>67</v>
      </c>
      <c r="N18012">
        <v>0</v>
      </c>
      <c r="O18012">
        <v>67</v>
      </c>
      <c r="P18012">
        <v>0</v>
      </c>
    </row>
    <row r="18013" spans="1:16" x14ac:dyDescent="0.25">
      <c r="A18013" t="s">
        <v>40655</v>
      </c>
      <c r="B18013" t="s">
        <v>21538</v>
      </c>
      <c r="C18013" t="s">
        <v>21539</v>
      </c>
      <c r="D18013" t="str">
        <f>"1106"</f>
        <v>1106</v>
      </c>
      <c r="E18013" t="s">
        <v>460</v>
      </c>
      <c r="F18013" t="s">
        <v>17351</v>
      </c>
      <c r="G18013" t="s">
        <v>47091</v>
      </c>
      <c r="H18013" t="s">
        <v>47055</v>
      </c>
      <c r="I18013" t="s">
        <v>47127</v>
      </c>
      <c r="J18013" t="s">
        <v>47128</v>
      </c>
      <c r="K18013" t="s">
        <v>47113</v>
      </c>
      <c r="L18013">
        <v>10.01</v>
      </c>
      <c r="M18013">
        <v>26</v>
      </c>
      <c r="N18013">
        <v>0</v>
      </c>
      <c r="O18013">
        <v>26</v>
      </c>
      <c r="P18013">
        <v>0</v>
      </c>
    </row>
    <row r="18014" spans="1:16" x14ac:dyDescent="0.25">
      <c r="A18014" t="s">
        <v>40656</v>
      </c>
      <c r="B18014" t="s">
        <v>21538</v>
      </c>
      <c r="C18014" t="s">
        <v>21539</v>
      </c>
      <c r="D18014" t="str">
        <f>"1700"</f>
        <v>1700</v>
      </c>
      <c r="E18014" t="s">
        <v>60</v>
      </c>
      <c r="F18014" t="s">
        <v>17351</v>
      </c>
      <c r="G18014" t="s">
        <v>47091</v>
      </c>
      <c r="H18014" t="s">
        <v>47055</v>
      </c>
      <c r="I18014" t="s">
        <v>47127</v>
      </c>
      <c r="J18014" t="s">
        <v>47128</v>
      </c>
      <c r="K18014" t="s">
        <v>47113</v>
      </c>
      <c r="L18014">
        <v>10.01</v>
      </c>
      <c r="M18014">
        <v>26</v>
      </c>
      <c r="N18014">
        <v>0</v>
      </c>
      <c r="O18014">
        <v>26</v>
      </c>
      <c r="P18014">
        <v>0</v>
      </c>
    </row>
    <row r="18015" spans="1:16" x14ac:dyDescent="0.25">
      <c r="A18015" t="s">
        <v>40657</v>
      </c>
      <c r="B18015" t="s">
        <v>21538</v>
      </c>
      <c r="C18015" t="s">
        <v>21539</v>
      </c>
      <c r="D18015" t="str">
        <f>"3501"</f>
        <v>3501</v>
      </c>
      <c r="E18015" t="s">
        <v>3758</v>
      </c>
      <c r="F18015" t="s">
        <v>17351</v>
      </c>
      <c r="G18015" t="s">
        <v>47091</v>
      </c>
      <c r="H18015" t="s">
        <v>47055</v>
      </c>
      <c r="I18015" t="s">
        <v>47127</v>
      </c>
      <c r="J18015" t="s">
        <v>47128</v>
      </c>
      <c r="K18015" t="s">
        <v>47113</v>
      </c>
      <c r="L18015">
        <v>10.01</v>
      </c>
      <c r="M18015">
        <v>26</v>
      </c>
      <c r="N18015">
        <v>0</v>
      </c>
      <c r="O18015">
        <v>26</v>
      </c>
      <c r="P18015">
        <v>0</v>
      </c>
    </row>
    <row r="18016" spans="1:16" x14ac:dyDescent="0.25">
      <c r="A18016" t="s">
        <v>40658</v>
      </c>
      <c r="B18016" t="s">
        <v>21538</v>
      </c>
      <c r="C18016" t="s">
        <v>21539</v>
      </c>
      <c r="D18016" t="str">
        <f>"4522"</f>
        <v>4522</v>
      </c>
      <c r="E18016" t="s">
        <v>11009</v>
      </c>
      <c r="F18016" t="s">
        <v>17351</v>
      </c>
      <c r="G18016" t="s">
        <v>47091</v>
      </c>
      <c r="H18016" t="s">
        <v>47055</v>
      </c>
      <c r="I18016" t="s">
        <v>47127</v>
      </c>
      <c r="J18016" t="s">
        <v>47128</v>
      </c>
      <c r="K18016" t="s">
        <v>47113</v>
      </c>
      <c r="L18016">
        <v>10.01</v>
      </c>
      <c r="M18016">
        <v>26</v>
      </c>
      <c r="N18016">
        <v>0</v>
      </c>
      <c r="O18016">
        <v>26</v>
      </c>
      <c r="P18016">
        <v>0</v>
      </c>
    </row>
    <row r="18017" spans="1:16" x14ac:dyDescent="0.25">
      <c r="A18017" t="s">
        <v>40659</v>
      </c>
      <c r="B18017" t="s">
        <v>21538</v>
      </c>
      <c r="C18017" t="s">
        <v>21539</v>
      </c>
      <c r="D18017" t="str">
        <f>"4926"</f>
        <v>4926</v>
      </c>
      <c r="E18017" t="s">
        <v>19721</v>
      </c>
      <c r="F18017" t="s">
        <v>17351</v>
      </c>
      <c r="G18017" t="s">
        <v>47091</v>
      </c>
      <c r="H18017" t="s">
        <v>47055</v>
      </c>
      <c r="I18017" t="s">
        <v>47127</v>
      </c>
      <c r="J18017" t="s">
        <v>47128</v>
      </c>
      <c r="K18017" t="s">
        <v>47113</v>
      </c>
      <c r="L18017">
        <v>10.01</v>
      </c>
      <c r="M18017">
        <v>26</v>
      </c>
      <c r="N18017">
        <v>0</v>
      </c>
      <c r="O18017">
        <v>26</v>
      </c>
      <c r="P18017">
        <v>0</v>
      </c>
    </row>
    <row r="18018" spans="1:16" x14ac:dyDescent="0.25">
      <c r="A18018" t="s">
        <v>40660</v>
      </c>
      <c r="B18018" t="s">
        <v>21538</v>
      </c>
      <c r="C18018" t="s">
        <v>21539</v>
      </c>
      <c r="D18018" t="str">
        <f>"6512"</f>
        <v>6512</v>
      </c>
      <c r="E18018" t="s">
        <v>21487</v>
      </c>
      <c r="F18018" t="s">
        <v>17351</v>
      </c>
      <c r="G18018" t="s">
        <v>47091</v>
      </c>
      <c r="H18018" t="s">
        <v>47055</v>
      </c>
      <c r="I18018" t="s">
        <v>47127</v>
      </c>
      <c r="J18018" t="s">
        <v>47128</v>
      </c>
      <c r="K18018" t="s">
        <v>47113</v>
      </c>
      <c r="L18018">
        <v>10.01</v>
      </c>
      <c r="M18018">
        <v>26</v>
      </c>
      <c r="N18018">
        <v>0</v>
      </c>
      <c r="O18018">
        <v>26</v>
      </c>
      <c r="P18018">
        <v>0</v>
      </c>
    </row>
    <row r="18019" spans="1:16" x14ac:dyDescent="0.25">
      <c r="A18019" t="s">
        <v>40661</v>
      </c>
      <c r="B18019" t="s">
        <v>21540</v>
      </c>
      <c r="C18019" t="s">
        <v>21541</v>
      </c>
      <c r="D18019" t="str">
        <f>"1106"</f>
        <v>1106</v>
      </c>
      <c r="E18019" t="s">
        <v>460</v>
      </c>
      <c r="F18019" t="s">
        <v>17351</v>
      </c>
      <c r="G18019" t="s">
        <v>47091</v>
      </c>
      <c r="H18019" t="s">
        <v>47055</v>
      </c>
      <c r="I18019" t="s">
        <v>47127</v>
      </c>
      <c r="J18019" t="s">
        <v>47128</v>
      </c>
      <c r="K18019" t="s">
        <v>47113</v>
      </c>
      <c r="L18019">
        <v>10.01</v>
      </c>
      <c r="M18019">
        <v>26</v>
      </c>
      <c r="N18019">
        <v>0</v>
      </c>
      <c r="O18019">
        <v>26</v>
      </c>
      <c r="P18019">
        <v>0</v>
      </c>
    </row>
    <row r="18020" spans="1:16" x14ac:dyDescent="0.25">
      <c r="A18020" t="s">
        <v>40662</v>
      </c>
      <c r="B18020" t="s">
        <v>21540</v>
      </c>
      <c r="C18020" t="s">
        <v>21541</v>
      </c>
      <c r="D18020" t="str">
        <f>"1700"</f>
        <v>1700</v>
      </c>
      <c r="E18020" t="s">
        <v>60</v>
      </c>
      <c r="F18020" t="s">
        <v>17351</v>
      </c>
      <c r="G18020" t="s">
        <v>47091</v>
      </c>
      <c r="H18020" t="s">
        <v>47055</v>
      </c>
      <c r="I18020" t="s">
        <v>47127</v>
      </c>
      <c r="J18020" t="s">
        <v>47128</v>
      </c>
      <c r="K18020" t="s">
        <v>47113</v>
      </c>
      <c r="L18020">
        <v>10.01</v>
      </c>
      <c r="M18020">
        <v>26</v>
      </c>
      <c r="N18020">
        <v>0</v>
      </c>
      <c r="O18020">
        <v>26</v>
      </c>
      <c r="P18020">
        <v>0</v>
      </c>
    </row>
    <row r="18021" spans="1:16" x14ac:dyDescent="0.25">
      <c r="A18021" t="s">
        <v>40663</v>
      </c>
      <c r="B18021" t="s">
        <v>21540</v>
      </c>
      <c r="C18021" t="s">
        <v>21541</v>
      </c>
      <c r="D18021" t="str">
        <f>"3501"</f>
        <v>3501</v>
      </c>
      <c r="E18021" t="s">
        <v>3758</v>
      </c>
      <c r="F18021" t="s">
        <v>17351</v>
      </c>
      <c r="G18021" t="s">
        <v>47091</v>
      </c>
      <c r="H18021" t="s">
        <v>47055</v>
      </c>
      <c r="I18021" t="s">
        <v>47127</v>
      </c>
      <c r="J18021" t="s">
        <v>47128</v>
      </c>
      <c r="K18021" t="s">
        <v>47113</v>
      </c>
      <c r="L18021">
        <v>10.01</v>
      </c>
      <c r="M18021">
        <v>26</v>
      </c>
      <c r="N18021">
        <v>0</v>
      </c>
      <c r="O18021">
        <v>26</v>
      </c>
      <c r="P18021">
        <v>0</v>
      </c>
    </row>
    <row r="18022" spans="1:16" x14ac:dyDescent="0.25">
      <c r="A18022" t="s">
        <v>40664</v>
      </c>
      <c r="B18022" t="s">
        <v>21540</v>
      </c>
      <c r="C18022" t="s">
        <v>21541</v>
      </c>
      <c r="D18022" t="str">
        <f>"4522"</f>
        <v>4522</v>
      </c>
      <c r="E18022" t="s">
        <v>11009</v>
      </c>
      <c r="F18022" t="s">
        <v>17351</v>
      </c>
      <c r="G18022" t="s">
        <v>47091</v>
      </c>
      <c r="H18022" t="s">
        <v>47055</v>
      </c>
      <c r="I18022" t="s">
        <v>47127</v>
      </c>
      <c r="J18022" t="s">
        <v>47128</v>
      </c>
      <c r="K18022" t="s">
        <v>47113</v>
      </c>
      <c r="L18022">
        <v>10.01</v>
      </c>
      <c r="M18022">
        <v>26</v>
      </c>
      <c r="N18022">
        <v>0</v>
      </c>
      <c r="O18022">
        <v>26</v>
      </c>
      <c r="P18022">
        <v>0</v>
      </c>
    </row>
    <row r="18023" spans="1:16" x14ac:dyDescent="0.25">
      <c r="A18023" t="s">
        <v>40665</v>
      </c>
      <c r="B18023" t="s">
        <v>21540</v>
      </c>
      <c r="C18023" t="s">
        <v>21541</v>
      </c>
      <c r="D18023" t="str">
        <f>"4926"</f>
        <v>4926</v>
      </c>
      <c r="E18023" t="s">
        <v>19721</v>
      </c>
      <c r="F18023" t="s">
        <v>17351</v>
      </c>
      <c r="G18023" t="s">
        <v>47091</v>
      </c>
      <c r="H18023" t="s">
        <v>47055</v>
      </c>
      <c r="I18023" t="s">
        <v>47127</v>
      </c>
      <c r="J18023" t="s">
        <v>47128</v>
      </c>
      <c r="K18023" t="s">
        <v>47113</v>
      </c>
      <c r="L18023">
        <v>10.01</v>
      </c>
      <c r="M18023">
        <v>26</v>
      </c>
      <c r="N18023">
        <v>0</v>
      </c>
      <c r="O18023">
        <v>26</v>
      </c>
      <c r="P18023">
        <v>0</v>
      </c>
    </row>
    <row r="18024" spans="1:16" x14ac:dyDescent="0.25">
      <c r="A18024" t="s">
        <v>40666</v>
      </c>
      <c r="B18024" t="s">
        <v>21540</v>
      </c>
      <c r="C18024" t="s">
        <v>21541</v>
      </c>
      <c r="D18024" t="str">
        <f>"6512"</f>
        <v>6512</v>
      </c>
      <c r="E18024" t="s">
        <v>21487</v>
      </c>
      <c r="F18024" t="s">
        <v>17351</v>
      </c>
      <c r="G18024" t="s">
        <v>47091</v>
      </c>
      <c r="H18024" t="s">
        <v>47055</v>
      </c>
      <c r="I18024" t="s">
        <v>47127</v>
      </c>
      <c r="J18024" t="s">
        <v>47128</v>
      </c>
      <c r="K18024" t="s">
        <v>47113</v>
      </c>
      <c r="L18024">
        <v>10.01</v>
      </c>
      <c r="M18024">
        <v>26</v>
      </c>
      <c r="N18024">
        <v>0</v>
      </c>
      <c r="O18024">
        <v>26</v>
      </c>
      <c r="P18024">
        <v>0</v>
      </c>
    </row>
    <row r="18025" spans="1:16" x14ac:dyDescent="0.25">
      <c r="A18025" t="s">
        <v>40667</v>
      </c>
      <c r="B18025" t="s">
        <v>21542</v>
      </c>
      <c r="C18025" t="s">
        <v>21543</v>
      </c>
      <c r="D18025" t="str">
        <f>"1106"</f>
        <v>1106</v>
      </c>
      <c r="E18025" t="s">
        <v>460</v>
      </c>
      <c r="F18025" t="s">
        <v>17351</v>
      </c>
      <c r="G18025" t="s">
        <v>47091</v>
      </c>
      <c r="H18025" t="s">
        <v>47055</v>
      </c>
      <c r="I18025" t="s">
        <v>47127</v>
      </c>
      <c r="J18025" t="s">
        <v>47128</v>
      </c>
      <c r="K18025" t="s">
        <v>47113</v>
      </c>
      <c r="L18025">
        <v>10.6</v>
      </c>
      <c r="M18025">
        <v>29</v>
      </c>
      <c r="N18025">
        <v>0</v>
      </c>
      <c r="O18025">
        <v>29</v>
      </c>
      <c r="P18025">
        <v>0</v>
      </c>
    </row>
    <row r="18026" spans="1:16" x14ac:dyDescent="0.25">
      <c r="A18026" t="s">
        <v>40668</v>
      </c>
      <c r="B18026" t="s">
        <v>21542</v>
      </c>
      <c r="C18026" t="s">
        <v>21543</v>
      </c>
      <c r="D18026" t="str">
        <f>"1700"</f>
        <v>1700</v>
      </c>
      <c r="E18026" t="s">
        <v>60</v>
      </c>
      <c r="F18026" t="s">
        <v>17351</v>
      </c>
      <c r="G18026" t="s">
        <v>47091</v>
      </c>
      <c r="H18026" t="s">
        <v>47055</v>
      </c>
      <c r="I18026" t="s">
        <v>47127</v>
      </c>
      <c r="J18026" t="s">
        <v>47128</v>
      </c>
      <c r="K18026" t="s">
        <v>47113</v>
      </c>
      <c r="L18026">
        <v>10.6</v>
      </c>
      <c r="M18026">
        <v>29</v>
      </c>
      <c r="N18026">
        <v>0</v>
      </c>
      <c r="O18026">
        <v>29</v>
      </c>
      <c r="P18026">
        <v>0</v>
      </c>
    </row>
    <row r="18027" spans="1:16" x14ac:dyDescent="0.25">
      <c r="A18027" t="s">
        <v>40669</v>
      </c>
      <c r="B18027" t="s">
        <v>21542</v>
      </c>
      <c r="C18027" t="s">
        <v>21543</v>
      </c>
      <c r="D18027" t="str">
        <f>"3501"</f>
        <v>3501</v>
      </c>
      <c r="E18027" t="s">
        <v>3758</v>
      </c>
      <c r="F18027" t="s">
        <v>17351</v>
      </c>
      <c r="G18027" t="s">
        <v>47091</v>
      </c>
      <c r="H18027" t="s">
        <v>47055</v>
      </c>
      <c r="I18027" t="s">
        <v>47127</v>
      </c>
      <c r="J18027" t="s">
        <v>47128</v>
      </c>
      <c r="K18027" t="s">
        <v>47113</v>
      </c>
      <c r="L18027">
        <v>10.6</v>
      </c>
      <c r="M18027">
        <v>29</v>
      </c>
      <c r="N18027">
        <v>0</v>
      </c>
      <c r="O18027">
        <v>29</v>
      </c>
      <c r="P18027">
        <v>0</v>
      </c>
    </row>
    <row r="18028" spans="1:16" x14ac:dyDescent="0.25">
      <c r="A18028" t="s">
        <v>40670</v>
      </c>
      <c r="B18028" t="s">
        <v>21542</v>
      </c>
      <c r="C18028" t="s">
        <v>21543</v>
      </c>
      <c r="D18028" t="str">
        <f>"4522"</f>
        <v>4522</v>
      </c>
      <c r="E18028" t="s">
        <v>11009</v>
      </c>
      <c r="F18028" t="s">
        <v>17351</v>
      </c>
      <c r="G18028" t="s">
        <v>47091</v>
      </c>
      <c r="H18028" t="s">
        <v>47055</v>
      </c>
      <c r="I18028" t="s">
        <v>47127</v>
      </c>
      <c r="J18028" t="s">
        <v>47128</v>
      </c>
      <c r="K18028" t="s">
        <v>47113</v>
      </c>
      <c r="L18028">
        <v>10.6</v>
      </c>
      <c r="M18028">
        <v>29</v>
      </c>
      <c r="N18028">
        <v>0</v>
      </c>
      <c r="O18028">
        <v>29</v>
      </c>
      <c r="P18028">
        <v>0</v>
      </c>
    </row>
    <row r="18029" spans="1:16" x14ac:dyDescent="0.25">
      <c r="A18029" t="s">
        <v>40671</v>
      </c>
      <c r="B18029" t="s">
        <v>21542</v>
      </c>
      <c r="C18029" t="s">
        <v>21543</v>
      </c>
      <c r="D18029" t="str">
        <f>"4926"</f>
        <v>4926</v>
      </c>
      <c r="E18029" t="s">
        <v>19721</v>
      </c>
      <c r="F18029" t="s">
        <v>17351</v>
      </c>
      <c r="G18029" t="s">
        <v>47091</v>
      </c>
      <c r="H18029" t="s">
        <v>47055</v>
      </c>
      <c r="I18029" t="s">
        <v>47127</v>
      </c>
      <c r="J18029" t="s">
        <v>47128</v>
      </c>
      <c r="K18029" t="s">
        <v>47113</v>
      </c>
      <c r="L18029">
        <v>10.6</v>
      </c>
      <c r="M18029">
        <v>29</v>
      </c>
      <c r="N18029">
        <v>0</v>
      </c>
      <c r="O18029">
        <v>29</v>
      </c>
      <c r="P18029">
        <v>0</v>
      </c>
    </row>
    <row r="18030" spans="1:16" x14ac:dyDescent="0.25">
      <c r="A18030" t="s">
        <v>40672</v>
      </c>
      <c r="B18030" t="s">
        <v>21544</v>
      </c>
      <c r="C18030" t="s">
        <v>21545</v>
      </c>
      <c r="D18030" t="str">
        <f>"1106"</f>
        <v>1106</v>
      </c>
      <c r="E18030" t="s">
        <v>460</v>
      </c>
      <c r="F18030" t="s">
        <v>17351</v>
      </c>
      <c r="G18030" t="s">
        <v>47092</v>
      </c>
      <c r="H18030" t="s">
        <v>47055</v>
      </c>
      <c r="I18030" t="s">
        <v>47127</v>
      </c>
      <c r="J18030" t="s">
        <v>47128</v>
      </c>
      <c r="K18030" t="s">
        <v>47113</v>
      </c>
      <c r="L18030">
        <v>9.61</v>
      </c>
      <c r="M18030">
        <v>26</v>
      </c>
      <c r="N18030">
        <v>0</v>
      </c>
      <c r="O18030">
        <v>26</v>
      </c>
      <c r="P18030">
        <v>0</v>
      </c>
    </row>
    <row r="18031" spans="1:16" x14ac:dyDescent="0.25">
      <c r="A18031" t="s">
        <v>40673</v>
      </c>
      <c r="B18031" t="s">
        <v>21544</v>
      </c>
      <c r="C18031" t="s">
        <v>21545</v>
      </c>
      <c r="D18031" t="str">
        <f>"1700"</f>
        <v>1700</v>
      </c>
      <c r="E18031" t="s">
        <v>60</v>
      </c>
      <c r="F18031" t="s">
        <v>17351</v>
      </c>
      <c r="G18031" t="s">
        <v>47092</v>
      </c>
      <c r="H18031" t="s">
        <v>47055</v>
      </c>
      <c r="I18031" t="s">
        <v>47127</v>
      </c>
      <c r="J18031" t="s">
        <v>47128</v>
      </c>
      <c r="K18031" t="s">
        <v>47113</v>
      </c>
      <c r="L18031">
        <v>9.61</v>
      </c>
      <c r="M18031">
        <v>26</v>
      </c>
      <c r="N18031">
        <v>0</v>
      </c>
      <c r="O18031">
        <v>26</v>
      </c>
      <c r="P18031">
        <v>0</v>
      </c>
    </row>
    <row r="18032" spans="1:16" x14ac:dyDescent="0.25">
      <c r="A18032" t="s">
        <v>40674</v>
      </c>
      <c r="B18032" t="s">
        <v>21544</v>
      </c>
      <c r="C18032" t="s">
        <v>21545</v>
      </c>
      <c r="D18032" t="str">
        <f>"3501"</f>
        <v>3501</v>
      </c>
      <c r="E18032" t="s">
        <v>3758</v>
      </c>
      <c r="F18032" t="s">
        <v>17351</v>
      </c>
      <c r="G18032" t="s">
        <v>47092</v>
      </c>
      <c r="H18032" t="s">
        <v>47055</v>
      </c>
      <c r="I18032" t="s">
        <v>47127</v>
      </c>
      <c r="J18032" t="s">
        <v>47128</v>
      </c>
      <c r="K18032" t="s">
        <v>47113</v>
      </c>
      <c r="L18032">
        <v>9.61</v>
      </c>
      <c r="M18032">
        <v>26</v>
      </c>
      <c r="N18032">
        <v>0</v>
      </c>
      <c r="O18032">
        <v>26</v>
      </c>
      <c r="P18032">
        <v>0</v>
      </c>
    </row>
    <row r="18033" spans="1:16" x14ac:dyDescent="0.25">
      <c r="A18033" t="s">
        <v>40675</v>
      </c>
      <c r="B18033" t="s">
        <v>21544</v>
      </c>
      <c r="C18033" t="s">
        <v>21545</v>
      </c>
      <c r="D18033" t="str">
        <f>"4522"</f>
        <v>4522</v>
      </c>
      <c r="E18033" t="s">
        <v>11009</v>
      </c>
      <c r="F18033" t="s">
        <v>17351</v>
      </c>
      <c r="G18033" t="s">
        <v>47092</v>
      </c>
      <c r="H18033" t="s">
        <v>47055</v>
      </c>
      <c r="I18033" t="s">
        <v>47127</v>
      </c>
      <c r="J18033" t="s">
        <v>47128</v>
      </c>
      <c r="K18033" t="s">
        <v>47113</v>
      </c>
      <c r="L18033">
        <v>9.61</v>
      </c>
      <c r="M18033">
        <v>26</v>
      </c>
      <c r="N18033">
        <v>0</v>
      </c>
      <c r="O18033">
        <v>26</v>
      </c>
      <c r="P18033">
        <v>0</v>
      </c>
    </row>
    <row r="18034" spans="1:16" x14ac:dyDescent="0.25">
      <c r="A18034" t="s">
        <v>40676</v>
      </c>
      <c r="B18034" t="s">
        <v>21544</v>
      </c>
      <c r="C18034" t="s">
        <v>21545</v>
      </c>
      <c r="D18034" t="str">
        <f>"4926"</f>
        <v>4926</v>
      </c>
      <c r="E18034" t="s">
        <v>19721</v>
      </c>
      <c r="F18034" t="s">
        <v>17351</v>
      </c>
      <c r="G18034" t="s">
        <v>47092</v>
      </c>
      <c r="H18034" t="s">
        <v>47055</v>
      </c>
      <c r="I18034" t="s">
        <v>47127</v>
      </c>
      <c r="J18034" t="s">
        <v>47128</v>
      </c>
      <c r="K18034" t="s">
        <v>47113</v>
      </c>
      <c r="L18034">
        <v>9.61</v>
      </c>
      <c r="M18034">
        <v>26</v>
      </c>
      <c r="N18034">
        <v>0</v>
      </c>
      <c r="O18034">
        <v>26</v>
      </c>
      <c r="P18034">
        <v>0</v>
      </c>
    </row>
    <row r="18035" spans="1:16" x14ac:dyDescent="0.25">
      <c r="A18035" t="s">
        <v>40677</v>
      </c>
      <c r="B18035" t="s">
        <v>21546</v>
      </c>
      <c r="C18035" t="s">
        <v>21547</v>
      </c>
      <c r="D18035" t="str">
        <f>"1106"</f>
        <v>1106</v>
      </c>
      <c r="E18035" t="s">
        <v>460</v>
      </c>
      <c r="F18035" t="s">
        <v>17351</v>
      </c>
      <c r="G18035" t="s">
        <v>47092</v>
      </c>
      <c r="H18035" t="s">
        <v>47055</v>
      </c>
      <c r="I18035" t="s">
        <v>47127</v>
      </c>
      <c r="J18035" t="s">
        <v>47128</v>
      </c>
      <c r="K18035" t="s">
        <v>47113</v>
      </c>
      <c r="L18035">
        <v>9.11</v>
      </c>
      <c r="M18035">
        <v>22</v>
      </c>
      <c r="N18035">
        <v>0</v>
      </c>
      <c r="O18035">
        <v>22</v>
      </c>
      <c r="P18035">
        <v>0</v>
      </c>
    </row>
    <row r="18036" spans="1:16" x14ac:dyDescent="0.25">
      <c r="A18036" t="s">
        <v>40678</v>
      </c>
      <c r="B18036" t="s">
        <v>21546</v>
      </c>
      <c r="C18036" t="s">
        <v>21547</v>
      </c>
      <c r="D18036" t="str">
        <f>"1700"</f>
        <v>1700</v>
      </c>
      <c r="E18036" t="s">
        <v>60</v>
      </c>
      <c r="F18036" t="s">
        <v>17351</v>
      </c>
      <c r="G18036" t="s">
        <v>47092</v>
      </c>
      <c r="H18036" t="s">
        <v>47055</v>
      </c>
      <c r="I18036" t="s">
        <v>47127</v>
      </c>
      <c r="J18036" t="s">
        <v>47128</v>
      </c>
      <c r="K18036" t="s">
        <v>47113</v>
      </c>
      <c r="L18036">
        <v>9.11</v>
      </c>
      <c r="M18036">
        <v>22</v>
      </c>
      <c r="N18036">
        <v>0</v>
      </c>
      <c r="O18036">
        <v>22</v>
      </c>
      <c r="P18036">
        <v>0</v>
      </c>
    </row>
    <row r="18037" spans="1:16" x14ac:dyDescent="0.25">
      <c r="A18037" t="s">
        <v>40679</v>
      </c>
      <c r="B18037" t="s">
        <v>21546</v>
      </c>
      <c r="C18037" t="s">
        <v>21547</v>
      </c>
      <c r="D18037" t="str">
        <f>"4522"</f>
        <v>4522</v>
      </c>
      <c r="E18037" t="s">
        <v>11009</v>
      </c>
      <c r="F18037" t="s">
        <v>17351</v>
      </c>
      <c r="G18037" t="s">
        <v>47092</v>
      </c>
      <c r="H18037" t="s">
        <v>47055</v>
      </c>
      <c r="I18037" t="s">
        <v>47127</v>
      </c>
      <c r="J18037" t="s">
        <v>47128</v>
      </c>
      <c r="K18037" t="s">
        <v>47113</v>
      </c>
      <c r="L18037">
        <v>9.11</v>
      </c>
      <c r="M18037">
        <v>22</v>
      </c>
      <c r="N18037">
        <v>0</v>
      </c>
      <c r="O18037">
        <v>22</v>
      </c>
      <c r="P18037">
        <v>0</v>
      </c>
    </row>
    <row r="18038" spans="1:16" x14ac:dyDescent="0.25">
      <c r="A18038" t="s">
        <v>40680</v>
      </c>
      <c r="B18038" t="s">
        <v>21546</v>
      </c>
      <c r="C18038" t="s">
        <v>21547</v>
      </c>
      <c r="D18038" t="str">
        <f>"4926"</f>
        <v>4926</v>
      </c>
      <c r="E18038" t="s">
        <v>19721</v>
      </c>
      <c r="F18038" t="s">
        <v>17351</v>
      </c>
      <c r="G18038" t="s">
        <v>47092</v>
      </c>
      <c r="H18038" t="s">
        <v>47055</v>
      </c>
      <c r="I18038" t="s">
        <v>47127</v>
      </c>
      <c r="J18038" t="s">
        <v>47128</v>
      </c>
      <c r="K18038" t="s">
        <v>47113</v>
      </c>
      <c r="L18038">
        <v>9.11</v>
      </c>
      <c r="M18038">
        <v>22</v>
      </c>
      <c r="N18038">
        <v>0</v>
      </c>
      <c r="O18038">
        <v>22</v>
      </c>
      <c r="P18038">
        <v>0</v>
      </c>
    </row>
    <row r="18039" spans="1:16" x14ac:dyDescent="0.25">
      <c r="A18039" t="s">
        <v>40681</v>
      </c>
      <c r="B18039" t="s">
        <v>21546</v>
      </c>
      <c r="C18039" t="s">
        <v>21547</v>
      </c>
      <c r="D18039" t="str">
        <f>"6512"</f>
        <v>6512</v>
      </c>
      <c r="E18039" t="s">
        <v>21487</v>
      </c>
      <c r="F18039" t="s">
        <v>17351</v>
      </c>
      <c r="G18039" t="s">
        <v>47092</v>
      </c>
      <c r="H18039" t="s">
        <v>47055</v>
      </c>
      <c r="I18039" t="s">
        <v>47127</v>
      </c>
      <c r="J18039" t="s">
        <v>47128</v>
      </c>
      <c r="K18039" t="s">
        <v>47113</v>
      </c>
      <c r="L18039">
        <v>9.11</v>
      </c>
      <c r="M18039">
        <v>22</v>
      </c>
      <c r="N18039">
        <v>0</v>
      </c>
      <c r="O18039">
        <v>22</v>
      </c>
      <c r="P18039">
        <v>0</v>
      </c>
    </row>
    <row r="18040" spans="1:16" x14ac:dyDescent="0.25">
      <c r="A18040" t="s">
        <v>40682</v>
      </c>
      <c r="B18040" t="s">
        <v>21548</v>
      </c>
      <c r="C18040" t="s">
        <v>21549</v>
      </c>
      <c r="D18040" t="str">
        <f>"1106"</f>
        <v>1106</v>
      </c>
      <c r="E18040" t="s">
        <v>460</v>
      </c>
      <c r="F18040" t="s">
        <v>17351</v>
      </c>
      <c r="G18040" t="s">
        <v>47091</v>
      </c>
      <c r="H18040" t="s">
        <v>47055</v>
      </c>
      <c r="I18040" t="s">
        <v>47127</v>
      </c>
      <c r="J18040" t="s">
        <v>47128</v>
      </c>
      <c r="K18040" t="s">
        <v>47113</v>
      </c>
      <c r="L18040">
        <v>11.59</v>
      </c>
      <c r="M18040">
        <v>29</v>
      </c>
      <c r="N18040">
        <v>0</v>
      </c>
      <c r="O18040">
        <v>29</v>
      </c>
      <c r="P18040">
        <v>0</v>
      </c>
    </row>
    <row r="18041" spans="1:16" x14ac:dyDescent="0.25">
      <c r="A18041" t="s">
        <v>40683</v>
      </c>
      <c r="B18041" t="s">
        <v>21548</v>
      </c>
      <c r="C18041" t="s">
        <v>21549</v>
      </c>
      <c r="D18041" t="str">
        <f>"1700"</f>
        <v>1700</v>
      </c>
      <c r="E18041" t="s">
        <v>60</v>
      </c>
      <c r="F18041" t="s">
        <v>17351</v>
      </c>
      <c r="G18041" t="s">
        <v>47091</v>
      </c>
      <c r="H18041" t="s">
        <v>47055</v>
      </c>
      <c r="I18041" t="s">
        <v>47127</v>
      </c>
      <c r="J18041" t="s">
        <v>47128</v>
      </c>
      <c r="K18041" t="s">
        <v>47113</v>
      </c>
      <c r="L18041">
        <v>11.59</v>
      </c>
      <c r="M18041">
        <v>29</v>
      </c>
      <c r="N18041">
        <v>0</v>
      </c>
      <c r="O18041">
        <v>29</v>
      </c>
      <c r="P18041">
        <v>0</v>
      </c>
    </row>
    <row r="18042" spans="1:16" x14ac:dyDescent="0.25">
      <c r="A18042" t="s">
        <v>40684</v>
      </c>
      <c r="B18042" t="s">
        <v>21548</v>
      </c>
      <c r="C18042" t="s">
        <v>21549</v>
      </c>
      <c r="D18042" t="str">
        <f>"3501"</f>
        <v>3501</v>
      </c>
      <c r="E18042" t="s">
        <v>3758</v>
      </c>
      <c r="F18042" t="s">
        <v>17351</v>
      </c>
      <c r="G18042" t="s">
        <v>47091</v>
      </c>
      <c r="H18042" t="s">
        <v>47055</v>
      </c>
      <c r="I18042" t="s">
        <v>47127</v>
      </c>
      <c r="J18042" t="s">
        <v>47128</v>
      </c>
      <c r="K18042" t="s">
        <v>47113</v>
      </c>
      <c r="L18042">
        <v>11.59</v>
      </c>
      <c r="M18042">
        <v>29</v>
      </c>
      <c r="N18042">
        <v>0</v>
      </c>
      <c r="O18042">
        <v>29</v>
      </c>
      <c r="P18042">
        <v>0</v>
      </c>
    </row>
    <row r="18043" spans="1:16" x14ac:dyDescent="0.25">
      <c r="A18043" t="s">
        <v>40685</v>
      </c>
      <c r="B18043" t="s">
        <v>21548</v>
      </c>
      <c r="C18043" t="s">
        <v>21549</v>
      </c>
      <c r="D18043" t="str">
        <f>"4522"</f>
        <v>4522</v>
      </c>
      <c r="E18043" t="s">
        <v>11009</v>
      </c>
      <c r="F18043" t="s">
        <v>17351</v>
      </c>
      <c r="G18043" t="s">
        <v>47091</v>
      </c>
      <c r="H18043" t="s">
        <v>47055</v>
      </c>
      <c r="I18043" t="s">
        <v>47127</v>
      </c>
      <c r="J18043" t="s">
        <v>47128</v>
      </c>
      <c r="K18043" t="s">
        <v>47113</v>
      </c>
      <c r="L18043">
        <v>11.59</v>
      </c>
      <c r="M18043">
        <v>29</v>
      </c>
      <c r="N18043">
        <v>0</v>
      </c>
      <c r="O18043">
        <v>29</v>
      </c>
      <c r="P18043">
        <v>0</v>
      </c>
    </row>
    <row r="18044" spans="1:16" x14ac:dyDescent="0.25">
      <c r="A18044" t="s">
        <v>40686</v>
      </c>
      <c r="B18044" t="s">
        <v>21548</v>
      </c>
      <c r="C18044" t="s">
        <v>21549</v>
      </c>
      <c r="D18044" t="str">
        <f>"4926"</f>
        <v>4926</v>
      </c>
      <c r="E18044" t="s">
        <v>19721</v>
      </c>
      <c r="F18044" t="s">
        <v>17351</v>
      </c>
      <c r="G18044" t="s">
        <v>47091</v>
      </c>
      <c r="H18044" t="s">
        <v>47055</v>
      </c>
      <c r="I18044" t="s">
        <v>47127</v>
      </c>
      <c r="J18044" t="s">
        <v>47128</v>
      </c>
      <c r="K18044" t="s">
        <v>47113</v>
      </c>
      <c r="L18044">
        <v>11.59</v>
      </c>
      <c r="M18044">
        <v>29</v>
      </c>
      <c r="N18044">
        <v>0</v>
      </c>
      <c r="O18044">
        <v>29</v>
      </c>
      <c r="P18044">
        <v>0</v>
      </c>
    </row>
    <row r="18045" spans="1:16" x14ac:dyDescent="0.25">
      <c r="A18045" t="s">
        <v>40687</v>
      </c>
      <c r="B18045" t="s">
        <v>21550</v>
      </c>
      <c r="C18045" t="s">
        <v>21551</v>
      </c>
      <c r="D18045" t="str">
        <f>"1106"</f>
        <v>1106</v>
      </c>
      <c r="E18045" t="s">
        <v>460</v>
      </c>
      <c r="F18045" t="s">
        <v>17351</v>
      </c>
      <c r="G18045" t="s">
        <v>47091</v>
      </c>
      <c r="H18045" t="s">
        <v>47055</v>
      </c>
      <c r="I18045" t="s">
        <v>47127</v>
      </c>
      <c r="J18045" t="s">
        <v>47128</v>
      </c>
      <c r="K18045" t="s">
        <v>47113</v>
      </c>
      <c r="L18045">
        <v>10.8</v>
      </c>
      <c r="M18045">
        <v>26</v>
      </c>
      <c r="N18045">
        <v>0</v>
      </c>
      <c r="O18045">
        <v>26</v>
      </c>
      <c r="P18045">
        <v>0</v>
      </c>
    </row>
    <row r="18046" spans="1:16" x14ac:dyDescent="0.25">
      <c r="A18046" t="s">
        <v>40688</v>
      </c>
      <c r="B18046" t="s">
        <v>21550</v>
      </c>
      <c r="C18046" t="s">
        <v>21551</v>
      </c>
      <c r="D18046" t="str">
        <f>"1700"</f>
        <v>1700</v>
      </c>
      <c r="E18046" t="s">
        <v>60</v>
      </c>
      <c r="F18046" t="s">
        <v>17351</v>
      </c>
      <c r="G18046" t="s">
        <v>47091</v>
      </c>
      <c r="H18046" t="s">
        <v>47055</v>
      </c>
      <c r="I18046" t="s">
        <v>47127</v>
      </c>
      <c r="J18046" t="s">
        <v>47128</v>
      </c>
      <c r="K18046" t="s">
        <v>47113</v>
      </c>
      <c r="L18046">
        <v>10.8</v>
      </c>
      <c r="M18046">
        <v>26</v>
      </c>
      <c r="N18046">
        <v>0</v>
      </c>
      <c r="O18046">
        <v>26</v>
      </c>
      <c r="P18046">
        <v>0</v>
      </c>
    </row>
    <row r="18047" spans="1:16" x14ac:dyDescent="0.25">
      <c r="A18047" t="s">
        <v>40689</v>
      </c>
      <c r="B18047" t="s">
        <v>21550</v>
      </c>
      <c r="C18047" t="s">
        <v>21551</v>
      </c>
      <c r="D18047" t="str">
        <f>"3501"</f>
        <v>3501</v>
      </c>
      <c r="E18047" t="s">
        <v>3758</v>
      </c>
      <c r="F18047" t="s">
        <v>17351</v>
      </c>
      <c r="G18047" t="s">
        <v>47091</v>
      </c>
      <c r="H18047" t="s">
        <v>47055</v>
      </c>
      <c r="I18047" t="s">
        <v>47127</v>
      </c>
      <c r="J18047" t="s">
        <v>47128</v>
      </c>
      <c r="K18047" t="s">
        <v>47113</v>
      </c>
      <c r="L18047">
        <v>10.8</v>
      </c>
      <c r="M18047">
        <v>26</v>
      </c>
      <c r="N18047">
        <v>0</v>
      </c>
      <c r="O18047">
        <v>26</v>
      </c>
      <c r="P18047">
        <v>0</v>
      </c>
    </row>
    <row r="18048" spans="1:16" x14ac:dyDescent="0.25">
      <c r="A18048" t="s">
        <v>40690</v>
      </c>
      <c r="B18048" t="s">
        <v>21550</v>
      </c>
      <c r="C18048" t="s">
        <v>21551</v>
      </c>
      <c r="D18048" t="str">
        <f>"4522"</f>
        <v>4522</v>
      </c>
      <c r="E18048" t="s">
        <v>11009</v>
      </c>
      <c r="F18048" t="s">
        <v>17351</v>
      </c>
      <c r="G18048" t="s">
        <v>47091</v>
      </c>
      <c r="H18048" t="s">
        <v>47055</v>
      </c>
      <c r="I18048" t="s">
        <v>47127</v>
      </c>
      <c r="J18048" t="s">
        <v>47128</v>
      </c>
      <c r="K18048" t="s">
        <v>47113</v>
      </c>
      <c r="L18048">
        <v>10.8</v>
      </c>
      <c r="M18048">
        <v>26</v>
      </c>
      <c r="N18048">
        <v>0</v>
      </c>
      <c r="O18048">
        <v>26</v>
      </c>
      <c r="P18048">
        <v>0</v>
      </c>
    </row>
    <row r="18049" spans="1:16" x14ac:dyDescent="0.25">
      <c r="A18049" t="s">
        <v>40691</v>
      </c>
      <c r="B18049" t="s">
        <v>21550</v>
      </c>
      <c r="C18049" t="s">
        <v>21551</v>
      </c>
      <c r="D18049" t="str">
        <f>"4926"</f>
        <v>4926</v>
      </c>
      <c r="E18049" t="s">
        <v>19721</v>
      </c>
      <c r="F18049" t="s">
        <v>17351</v>
      </c>
      <c r="G18049" t="s">
        <v>47091</v>
      </c>
      <c r="H18049" t="s">
        <v>47055</v>
      </c>
      <c r="I18049" t="s">
        <v>47127</v>
      </c>
      <c r="J18049" t="s">
        <v>47128</v>
      </c>
      <c r="K18049" t="s">
        <v>47113</v>
      </c>
      <c r="L18049">
        <v>10.8</v>
      </c>
      <c r="M18049">
        <v>26</v>
      </c>
      <c r="N18049">
        <v>0</v>
      </c>
      <c r="O18049">
        <v>26</v>
      </c>
      <c r="P18049">
        <v>0</v>
      </c>
    </row>
    <row r="18050" spans="1:16" x14ac:dyDescent="0.25">
      <c r="A18050" t="s">
        <v>40692</v>
      </c>
      <c r="B18050" t="s">
        <v>21552</v>
      </c>
      <c r="C18050" t="s">
        <v>21553</v>
      </c>
      <c r="D18050" t="str">
        <f>"1106"</f>
        <v>1106</v>
      </c>
      <c r="E18050" t="s">
        <v>460</v>
      </c>
      <c r="F18050" t="s">
        <v>17351</v>
      </c>
      <c r="G18050" t="s">
        <v>47091</v>
      </c>
      <c r="H18050" t="s">
        <v>47055</v>
      </c>
      <c r="I18050" t="s">
        <v>47127</v>
      </c>
      <c r="J18050" t="s">
        <v>47128</v>
      </c>
      <c r="K18050" t="s">
        <v>47113</v>
      </c>
      <c r="L18050">
        <v>10.41</v>
      </c>
      <c r="M18050">
        <v>26</v>
      </c>
      <c r="N18050">
        <v>0</v>
      </c>
      <c r="O18050">
        <v>26</v>
      </c>
      <c r="P18050">
        <v>0</v>
      </c>
    </row>
    <row r="18051" spans="1:16" x14ac:dyDescent="0.25">
      <c r="A18051" t="s">
        <v>40693</v>
      </c>
      <c r="B18051" t="s">
        <v>21552</v>
      </c>
      <c r="C18051" t="s">
        <v>21553</v>
      </c>
      <c r="D18051" t="str">
        <f>"1700"</f>
        <v>1700</v>
      </c>
      <c r="E18051" t="s">
        <v>60</v>
      </c>
      <c r="F18051" t="s">
        <v>17351</v>
      </c>
      <c r="G18051" t="s">
        <v>47091</v>
      </c>
      <c r="H18051" t="s">
        <v>47055</v>
      </c>
      <c r="I18051" t="s">
        <v>47127</v>
      </c>
      <c r="J18051" t="s">
        <v>47128</v>
      </c>
      <c r="K18051" t="s">
        <v>47113</v>
      </c>
      <c r="L18051">
        <v>10.41</v>
      </c>
      <c r="M18051">
        <v>26</v>
      </c>
      <c r="N18051">
        <v>0</v>
      </c>
      <c r="O18051">
        <v>26</v>
      </c>
      <c r="P18051">
        <v>0</v>
      </c>
    </row>
    <row r="18052" spans="1:16" x14ac:dyDescent="0.25">
      <c r="A18052" t="s">
        <v>40694</v>
      </c>
      <c r="B18052" t="s">
        <v>21552</v>
      </c>
      <c r="C18052" t="s">
        <v>21553</v>
      </c>
      <c r="D18052" t="str">
        <f>"3501"</f>
        <v>3501</v>
      </c>
      <c r="E18052" t="s">
        <v>3758</v>
      </c>
      <c r="F18052" t="s">
        <v>17351</v>
      </c>
      <c r="G18052" t="s">
        <v>47091</v>
      </c>
      <c r="H18052" t="s">
        <v>47055</v>
      </c>
      <c r="I18052" t="s">
        <v>47127</v>
      </c>
      <c r="J18052" t="s">
        <v>47128</v>
      </c>
      <c r="K18052" t="s">
        <v>47113</v>
      </c>
      <c r="L18052">
        <v>10.41</v>
      </c>
      <c r="M18052">
        <v>26</v>
      </c>
      <c r="N18052">
        <v>0</v>
      </c>
      <c r="O18052">
        <v>26</v>
      </c>
      <c r="P18052">
        <v>0</v>
      </c>
    </row>
    <row r="18053" spans="1:16" x14ac:dyDescent="0.25">
      <c r="A18053" t="s">
        <v>40695</v>
      </c>
      <c r="B18053" t="s">
        <v>21552</v>
      </c>
      <c r="C18053" t="s">
        <v>21553</v>
      </c>
      <c r="D18053" t="str">
        <f>"4522"</f>
        <v>4522</v>
      </c>
      <c r="E18053" t="s">
        <v>11009</v>
      </c>
      <c r="F18053" t="s">
        <v>17351</v>
      </c>
      <c r="G18053" t="s">
        <v>47091</v>
      </c>
      <c r="H18053" t="s">
        <v>47055</v>
      </c>
      <c r="I18053" t="s">
        <v>47127</v>
      </c>
      <c r="J18053" t="s">
        <v>47128</v>
      </c>
      <c r="K18053" t="s">
        <v>47113</v>
      </c>
      <c r="L18053">
        <v>10.41</v>
      </c>
      <c r="M18053">
        <v>26</v>
      </c>
      <c r="N18053">
        <v>0</v>
      </c>
      <c r="O18053">
        <v>26</v>
      </c>
      <c r="P18053">
        <v>0</v>
      </c>
    </row>
    <row r="18054" spans="1:16" x14ac:dyDescent="0.25">
      <c r="A18054" t="s">
        <v>40696</v>
      </c>
      <c r="B18054" t="s">
        <v>21552</v>
      </c>
      <c r="C18054" t="s">
        <v>21553</v>
      </c>
      <c r="D18054" t="str">
        <f>"4926"</f>
        <v>4926</v>
      </c>
      <c r="E18054" t="s">
        <v>19721</v>
      </c>
      <c r="F18054" t="s">
        <v>17351</v>
      </c>
      <c r="G18054" t="s">
        <v>47091</v>
      </c>
      <c r="H18054" t="s">
        <v>47055</v>
      </c>
      <c r="I18054" t="s">
        <v>47127</v>
      </c>
      <c r="J18054" t="s">
        <v>47128</v>
      </c>
      <c r="K18054" t="s">
        <v>47113</v>
      </c>
      <c r="L18054">
        <v>10.41</v>
      </c>
      <c r="M18054">
        <v>26</v>
      </c>
      <c r="N18054">
        <v>0</v>
      </c>
      <c r="O18054">
        <v>26</v>
      </c>
      <c r="P18054">
        <v>0</v>
      </c>
    </row>
    <row r="18055" spans="1:16" x14ac:dyDescent="0.25">
      <c r="A18055" t="s">
        <v>40697</v>
      </c>
      <c r="B18055" t="s">
        <v>21554</v>
      </c>
      <c r="C18055" t="s">
        <v>21555</v>
      </c>
      <c r="D18055" t="str">
        <f>"4926"</f>
        <v>4926</v>
      </c>
      <c r="E18055" t="s">
        <v>19721</v>
      </c>
      <c r="F18055" t="s">
        <v>17351</v>
      </c>
      <c r="G18055" t="s">
        <v>47091</v>
      </c>
      <c r="H18055" t="s">
        <v>47055</v>
      </c>
      <c r="I18055" t="s">
        <v>47127</v>
      </c>
      <c r="J18055" t="s">
        <v>47128</v>
      </c>
      <c r="K18055" t="s">
        <v>47113</v>
      </c>
      <c r="L18055">
        <v>14.07</v>
      </c>
      <c r="M18055">
        <v>37</v>
      </c>
      <c r="N18055">
        <v>0</v>
      </c>
      <c r="O18055">
        <v>37</v>
      </c>
      <c r="P18055">
        <v>0</v>
      </c>
    </row>
    <row r="18056" spans="1:16" x14ac:dyDescent="0.25">
      <c r="A18056" t="s">
        <v>40698</v>
      </c>
      <c r="B18056" t="s">
        <v>21556</v>
      </c>
      <c r="C18056" t="s">
        <v>21557</v>
      </c>
      <c r="D18056" t="str">
        <f>"1106"</f>
        <v>1106</v>
      </c>
      <c r="E18056" t="s">
        <v>460</v>
      </c>
      <c r="F18056" t="s">
        <v>17351</v>
      </c>
      <c r="G18056" t="s">
        <v>47091</v>
      </c>
      <c r="H18056" t="s">
        <v>47055</v>
      </c>
      <c r="I18056" t="s">
        <v>47127</v>
      </c>
      <c r="J18056" t="s">
        <v>47128</v>
      </c>
      <c r="K18056" t="s">
        <v>47113</v>
      </c>
      <c r="L18056">
        <v>10.8</v>
      </c>
      <c r="M18056">
        <v>26</v>
      </c>
      <c r="N18056">
        <v>0</v>
      </c>
      <c r="O18056">
        <v>26</v>
      </c>
      <c r="P18056">
        <v>0</v>
      </c>
    </row>
    <row r="18057" spans="1:16" x14ac:dyDescent="0.25">
      <c r="A18057" t="s">
        <v>40699</v>
      </c>
      <c r="B18057" t="s">
        <v>21556</v>
      </c>
      <c r="C18057" t="s">
        <v>21557</v>
      </c>
      <c r="D18057" t="str">
        <f>"1285"</f>
        <v>1285</v>
      </c>
      <c r="E18057" t="s">
        <v>2148</v>
      </c>
      <c r="F18057" t="s">
        <v>17351</v>
      </c>
      <c r="G18057" t="s">
        <v>47091</v>
      </c>
      <c r="H18057" t="s">
        <v>47055</v>
      </c>
      <c r="I18057" t="s">
        <v>47127</v>
      </c>
      <c r="J18057" t="s">
        <v>47128</v>
      </c>
      <c r="K18057" t="s">
        <v>47113</v>
      </c>
      <c r="L18057">
        <v>10.8</v>
      </c>
      <c r="M18057">
        <v>26</v>
      </c>
      <c r="N18057">
        <v>0</v>
      </c>
      <c r="O18057">
        <v>26</v>
      </c>
      <c r="P18057">
        <v>0</v>
      </c>
    </row>
    <row r="18058" spans="1:16" x14ac:dyDescent="0.25">
      <c r="A18058" t="s">
        <v>40700</v>
      </c>
      <c r="B18058" t="s">
        <v>21556</v>
      </c>
      <c r="C18058" t="s">
        <v>21557</v>
      </c>
      <c r="D18058" t="str">
        <f>"1748"</f>
        <v>1748</v>
      </c>
      <c r="E18058" t="s">
        <v>13941</v>
      </c>
      <c r="F18058" t="s">
        <v>17351</v>
      </c>
      <c r="G18058" t="s">
        <v>47091</v>
      </c>
      <c r="H18058" t="s">
        <v>47055</v>
      </c>
      <c r="I18058" t="s">
        <v>47127</v>
      </c>
      <c r="J18058" t="s">
        <v>47128</v>
      </c>
      <c r="K18058" t="s">
        <v>47113</v>
      </c>
      <c r="L18058">
        <v>10.8</v>
      </c>
      <c r="M18058">
        <v>26</v>
      </c>
      <c r="N18058">
        <v>0</v>
      </c>
      <c r="O18058">
        <v>26</v>
      </c>
      <c r="P18058">
        <v>0</v>
      </c>
    </row>
    <row r="18059" spans="1:16" x14ac:dyDescent="0.25">
      <c r="A18059" t="s">
        <v>40701</v>
      </c>
      <c r="B18059" t="s">
        <v>21558</v>
      </c>
      <c r="C18059" t="s">
        <v>21559</v>
      </c>
      <c r="D18059" t="str">
        <f>"1106"</f>
        <v>1106</v>
      </c>
      <c r="E18059" t="s">
        <v>460</v>
      </c>
      <c r="F18059" t="s">
        <v>17351</v>
      </c>
      <c r="G18059" t="s">
        <v>47092</v>
      </c>
      <c r="H18059" t="s">
        <v>47055</v>
      </c>
      <c r="I18059" t="s">
        <v>47127</v>
      </c>
      <c r="J18059" t="s">
        <v>47128</v>
      </c>
      <c r="K18059" t="s">
        <v>47113</v>
      </c>
      <c r="L18059">
        <v>9.52</v>
      </c>
      <c r="M18059">
        <v>22</v>
      </c>
      <c r="N18059">
        <v>0</v>
      </c>
      <c r="O18059">
        <v>22</v>
      </c>
      <c r="P18059">
        <v>0</v>
      </c>
    </row>
    <row r="18060" spans="1:16" x14ac:dyDescent="0.25">
      <c r="A18060" t="s">
        <v>40702</v>
      </c>
      <c r="B18060" t="s">
        <v>21558</v>
      </c>
      <c r="C18060" t="s">
        <v>21559</v>
      </c>
      <c r="D18060" t="str">
        <f>"1285"</f>
        <v>1285</v>
      </c>
      <c r="E18060" t="s">
        <v>2148</v>
      </c>
      <c r="F18060" t="s">
        <v>17351</v>
      </c>
      <c r="G18060" t="s">
        <v>47092</v>
      </c>
      <c r="H18060" t="s">
        <v>47055</v>
      </c>
      <c r="I18060" t="s">
        <v>47127</v>
      </c>
      <c r="J18060" t="s">
        <v>47128</v>
      </c>
      <c r="K18060" t="s">
        <v>47113</v>
      </c>
      <c r="L18060">
        <v>9.52</v>
      </c>
      <c r="M18060">
        <v>22</v>
      </c>
      <c r="N18060">
        <v>0</v>
      </c>
      <c r="O18060">
        <v>22</v>
      </c>
      <c r="P18060">
        <v>0</v>
      </c>
    </row>
    <row r="18061" spans="1:16" x14ac:dyDescent="0.25">
      <c r="A18061" t="s">
        <v>40703</v>
      </c>
      <c r="B18061" t="s">
        <v>21558</v>
      </c>
      <c r="C18061" t="s">
        <v>21559</v>
      </c>
      <c r="D18061" t="str">
        <f>"1748"</f>
        <v>1748</v>
      </c>
      <c r="E18061" t="s">
        <v>13941</v>
      </c>
      <c r="F18061" t="s">
        <v>17351</v>
      </c>
      <c r="G18061" t="s">
        <v>47092</v>
      </c>
      <c r="H18061" t="s">
        <v>47055</v>
      </c>
      <c r="I18061" t="s">
        <v>47127</v>
      </c>
      <c r="J18061" t="s">
        <v>47128</v>
      </c>
      <c r="K18061" t="s">
        <v>47113</v>
      </c>
      <c r="L18061">
        <v>9.52</v>
      </c>
      <c r="M18061">
        <v>22</v>
      </c>
      <c r="N18061">
        <v>0</v>
      </c>
      <c r="O18061">
        <v>22</v>
      </c>
      <c r="P18061">
        <v>0</v>
      </c>
    </row>
    <row r="18062" spans="1:16" x14ac:dyDescent="0.25">
      <c r="A18062" t="s">
        <v>40704</v>
      </c>
      <c r="B18062" t="s">
        <v>21560</v>
      </c>
      <c r="C18062" t="s">
        <v>21561</v>
      </c>
      <c r="D18062" t="str">
        <f>"1106"</f>
        <v>1106</v>
      </c>
      <c r="E18062" t="s">
        <v>460</v>
      </c>
      <c r="F18062" t="s">
        <v>17351</v>
      </c>
      <c r="G18062" t="s">
        <v>47091</v>
      </c>
      <c r="H18062" t="s">
        <v>47055</v>
      </c>
      <c r="I18062" t="s">
        <v>47127</v>
      </c>
      <c r="J18062" t="s">
        <v>47128</v>
      </c>
      <c r="K18062" t="s">
        <v>47113</v>
      </c>
      <c r="L18062">
        <v>9.81</v>
      </c>
      <c r="M18062">
        <v>26</v>
      </c>
      <c r="N18062">
        <v>0</v>
      </c>
      <c r="O18062">
        <v>26</v>
      </c>
      <c r="P18062">
        <v>0</v>
      </c>
    </row>
    <row r="18063" spans="1:16" x14ac:dyDescent="0.25">
      <c r="A18063" t="s">
        <v>40705</v>
      </c>
      <c r="B18063" t="s">
        <v>21560</v>
      </c>
      <c r="C18063" t="s">
        <v>21561</v>
      </c>
      <c r="D18063" t="str">
        <f>"1285"</f>
        <v>1285</v>
      </c>
      <c r="E18063" t="s">
        <v>2148</v>
      </c>
      <c r="F18063" t="s">
        <v>17351</v>
      </c>
      <c r="G18063" t="s">
        <v>47091</v>
      </c>
      <c r="H18063" t="s">
        <v>47055</v>
      </c>
      <c r="I18063" t="s">
        <v>47127</v>
      </c>
      <c r="J18063" t="s">
        <v>47128</v>
      </c>
      <c r="K18063" t="s">
        <v>47113</v>
      </c>
      <c r="L18063">
        <v>9.81</v>
      </c>
      <c r="M18063">
        <v>26</v>
      </c>
      <c r="N18063">
        <v>0</v>
      </c>
      <c r="O18063">
        <v>26</v>
      </c>
      <c r="P18063">
        <v>0</v>
      </c>
    </row>
    <row r="18064" spans="1:16" x14ac:dyDescent="0.25">
      <c r="A18064" t="s">
        <v>40706</v>
      </c>
      <c r="B18064" t="s">
        <v>21560</v>
      </c>
      <c r="C18064" t="s">
        <v>21561</v>
      </c>
      <c r="D18064" t="str">
        <f>"1748"</f>
        <v>1748</v>
      </c>
      <c r="E18064" t="s">
        <v>13941</v>
      </c>
      <c r="F18064" t="s">
        <v>17351</v>
      </c>
      <c r="G18064" t="s">
        <v>47091</v>
      </c>
      <c r="H18064" t="s">
        <v>47055</v>
      </c>
      <c r="I18064" t="s">
        <v>47127</v>
      </c>
      <c r="J18064" t="s">
        <v>47128</v>
      </c>
      <c r="K18064" t="s">
        <v>47113</v>
      </c>
      <c r="L18064">
        <v>9.81</v>
      </c>
      <c r="M18064">
        <v>26</v>
      </c>
      <c r="N18064">
        <v>0</v>
      </c>
      <c r="O18064">
        <v>26</v>
      </c>
      <c r="P18064">
        <v>0</v>
      </c>
    </row>
    <row r="18065" spans="1:16" x14ac:dyDescent="0.25">
      <c r="A18065" t="s">
        <v>40707</v>
      </c>
      <c r="B18065" t="s">
        <v>21562</v>
      </c>
      <c r="C18065" t="s">
        <v>21563</v>
      </c>
      <c r="D18065" t="str">
        <f>"1106"</f>
        <v>1106</v>
      </c>
      <c r="E18065" t="s">
        <v>460</v>
      </c>
      <c r="F18065" t="s">
        <v>17351</v>
      </c>
      <c r="G18065" t="s">
        <v>47091</v>
      </c>
      <c r="H18065" t="s">
        <v>47055</v>
      </c>
      <c r="I18065" t="s">
        <v>47127</v>
      </c>
      <c r="J18065" t="s">
        <v>47128</v>
      </c>
      <c r="K18065" t="s">
        <v>47113</v>
      </c>
      <c r="L18065">
        <v>19.72</v>
      </c>
      <c r="M18065">
        <v>48</v>
      </c>
      <c r="N18065">
        <v>0</v>
      </c>
      <c r="O18065">
        <v>48</v>
      </c>
      <c r="P18065">
        <v>0</v>
      </c>
    </row>
    <row r="18066" spans="1:16" x14ac:dyDescent="0.25">
      <c r="A18066" t="s">
        <v>40708</v>
      </c>
      <c r="B18066" t="s">
        <v>21562</v>
      </c>
      <c r="C18066" t="s">
        <v>21563</v>
      </c>
      <c r="D18066" t="str">
        <f>"1748"</f>
        <v>1748</v>
      </c>
      <c r="E18066" t="s">
        <v>13941</v>
      </c>
      <c r="F18066" t="s">
        <v>17351</v>
      </c>
      <c r="G18066" t="s">
        <v>47091</v>
      </c>
      <c r="H18066" t="s">
        <v>47055</v>
      </c>
      <c r="I18066" t="s">
        <v>47127</v>
      </c>
      <c r="J18066" t="s">
        <v>47128</v>
      </c>
      <c r="K18066" t="s">
        <v>47113</v>
      </c>
      <c r="L18066">
        <v>19.72</v>
      </c>
      <c r="M18066">
        <v>48</v>
      </c>
      <c r="N18066">
        <v>0</v>
      </c>
      <c r="O18066">
        <v>48</v>
      </c>
      <c r="P18066">
        <v>0</v>
      </c>
    </row>
    <row r="18067" spans="1:16" x14ac:dyDescent="0.25">
      <c r="A18067" t="s">
        <v>40709</v>
      </c>
      <c r="B18067" t="s">
        <v>21564</v>
      </c>
      <c r="C18067" t="s">
        <v>21565</v>
      </c>
      <c r="D18067" t="str">
        <f>"1106"</f>
        <v>1106</v>
      </c>
      <c r="E18067" t="s">
        <v>460</v>
      </c>
      <c r="F18067" t="s">
        <v>17351</v>
      </c>
      <c r="G18067" t="s">
        <v>47092</v>
      </c>
      <c r="H18067" t="s">
        <v>47055</v>
      </c>
      <c r="I18067" t="s">
        <v>47127</v>
      </c>
      <c r="J18067" t="s">
        <v>47128</v>
      </c>
      <c r="K18067" t="s">
        <v>47113</v>
      </c>
      <c r="L18067">
        <v>9.11</v>
      </c>
      <c r="M18067">
        <v>22</v>
      </c>
      <c r="N18067">
        <v>0</v>
      </c>
      <c r="O18067">
        <v>22</v>
      </c>
      <c r="P18067">
        <v>0</v>
      </c>
    </row>
    <row r="18068" spans="1:16" x14ac:dyDescent="0.25">
      <c r="A18068" t="s">
        <v>40710</v>
      </c>
      <c r="B18068" t="s">
        <v>21564</v>
      </c>
      <c r="C18068" t="s">
        <v>21565</v>
      </c>
      <c r="D18068" t="str">
        <f>"1221"</f>
        <v>1221</v>
      </c>
      <c r="E18068" t="s">
        <v>19720</v>
      </c>
      <c r="F18068" t="s">
        <v>17351</v>
      </c>
      <c r="G18068" t="s">
        <v>47092</v>
      </c>
      <c r="H18068" t="s">
        <v>47055</v>
      </c>
      <c r="I18068" t="s">
        <v>47127</v>
      </c>
      <c r="J18068" t="s">
        <v>47128</v>
      </c>
      <c r="K18068" t="s">
        <v>47113</v>
      </c>
      <c r="L18068">
        <v>9.11</v>
      </c>
      <c r="M18068">
        <v>22</v>
      </c>
      <c r="N18068">
        <v>0</v>
      </c>
      <c r="O18068">
        <v>22</v>
      </c>
      <c r="P18068">
        <v>0</v>
      </c>
    </row>
    <row r="18069" spans="1:16" x14ac:dyDescent="0.25">
      <c r="A18069" t="s">
        <v>40711</v>
      </c>
      <c r="B18069" t="s">
        <v>21564</v>
      </c>
      <c r="C18069" t="s">
        <v>21565</v>
      </c>
      <c r="D18069" t="str">
        <f>"1700"</f>
        <v>1700</v>
      </c>
      <c r="E18069" t="s">
        <v>60</v>
      </c>
      <c r="F18069" t="s">
        <v>17351</v>
      </c>
      <c r="G18069" t="s">
        <v>47092</v>
      </c>
      <c r="H18069" t="s">
        <v>47055</v>
      </c>
      <c r="I18069" t="s">
        <v>47127</v>
      </c>
      <c r="J18069" t="s">
        <v>47128</v>
      </c>
      <c r="K18069" t="s">
        <v>47113</v>
      </c>
      <c r="L18069">
        <v>9.11</v>
      </c>
      <c r="M18069">
        <v>22</v>
      </c>
      <c r="N18069">
        <v>0</v>
      </c>
      <c r="O18069">
        <v>22</v>
      </c>
      <c r="P18069">
        <v>0</v>
      </c>
    </row>
    <row r="18070" spans="1:16" x14ac:dyDescent="0.25">
      <c r="A18070" t="s">
        <v>40712</v>
      </c>
      <c r="B18070" t="s">
        <v>21564</v>
      </c>
      <c r="C18070" t="s">
        <v>21565</v>
      </c>
      <c r="D18070" t="str">
        <f>"4926"</f>
        <v>4926</v>
      </c>
      <c r="E18070" t="s">
        <v>19721</v>
      </c>
      <c r="F18070" t="s">
        <v>17351</v>
      </c>
      <c r="G18070" t="s">
        <v>47092</v>
      </c>
      <c r="H18070" t="s">
        <v>47055</v>
      </c>
      <c r="I18070" t="s">
        <v>47127</v>
      </c>
      <c r="J18070" t="s">
        <v>47128</v>
      </c>
      <c r="K18070" t="s">
        <v>47113</v>
      </c>
      <c r="L18070">
        <v>9.11</v>
      </c>
      <c r="M18070">
        <v>22</v>
      </c>
      <c r="N18070">
        <v>0</v>
      </c>
      <c r="O18070">
        <v>22</v>
      </c>
      <c r="P18070">
        <v>0</v>
      </c>
    </row>
    <row r="18071" spans="1:16" x14ac:dyDescent="0.25">
      <c r="A18071" t="s">
        <v>40713</v>
      </c>
      <c r="B18071" t="s">
        <v>21566</v>
      </c>
      <c r="C18071" t="s">
        <v>21567</v>
      </c>
      <c r="D18071" t="str">
        <f>"1106"</f>
        <v>1106</v>
      </c>
      <c r="E18071" t="s">
        <v>460</v>
      </c>
      <c r="F18071" t="s">
        <v>17351</v>
      </c>
      <c r="G18071" t="s">
        <v>47091</v>
      </c>
      <c r="H18071" t="s">
        <v>47055</v>
      </c>
      <c r="I18071" t="s">
        <v>47127</v>
      </c>
      <c r="J18071" t="s">
        <v>47128</v>
      </c>
      <c r="K18071" t="s">
        <v>47113</v>
      </c>
      <c r="L18071">
        <v>10.41</v>
      </c>
      <c r="M18071">
        <v>26</v>
      </c>
      <c r="N18071">
        <v>0</v>
      </c>
      <c r="O18071">
        <v>26</v>
      </c>
      <c r="P18071">
        <v>0</v>
      </c>
    </row>
    <row r="18072" spans="1:16" x14ac:dyDescent="0.25">
      <c r="A18072" t="s">
        <v>40714</v>
      </c>
      <c r="B18072" t="s">
        <v>21566</v>
      </c>
      <c r="C18072" t="s">
        <v>21567</v>
      </c>
      <c r="D18072" t="str">
        <f>"1221"</f>
        <v>1221</v>
      </c>
      <c r="E18072" t="s">
        <v>19720</v>
      </c>
      <c r="F18072" t="s">
        <v>17351</v>
      </c>
      <c r="G18072" t="s">
        <v>47091</v>
      </c>
      <c r="H18072" t="s">
        <v>47055</v>
      </c>
      <c r="I18072" t="s">
        <v>47127</v>
      </c>
      <c r="J18072" t="s">
        <v>47128</v>
      </c>
      <c r="K18072" t="s">
        <v>47113</v>
      </c>
      <c r="L18072">
        <v>10.41</v>
      </c>
      <c r="M18072">
        <v>26</v>
      </c>
      <c r="N18072">
        <v>0</v>
      </c>
      <c r="O18072">
        <v>26</v>
      </c>
      <c r="P18072">
        <v>0</v>
      </c>
    </row>
    <row r="18073" spans="1:16" x14ac:dyDescent="0.25">
      <c r="A18073" t="s">
        <v>40715</v>
      </c>
      <c r="B18073" t="s">
        <v>21566</v>
      </c>
      <c r="C18073" t="s">
        <v>21567</v>
      </c>
      <c r="D18073" t="str">
        <f>"1700"</f>
        <v>1700</v>
      </c>
      <c r="E18073" t="s">
        <v>60</v>
      </c>
      <c r="F18073" t="s">
        <v>17351</v>
      </c>
      <c r="G18073" t="s">
        <v>47091</v>
      </c>
      <c r="H18073" t="s">
        <v>47055</v>
      </c>
      <c r="I18073" t="s">
        <v>47127</v>
      </c>
      <c r="J18073" t="s">
        <v>47128</v>
      </c>
      <c r="K18073" t="s">
        <v>47113</v>
      </c>
      <c r="L18073">
        <v>10.41</v>
      </c>
      <c r="M18073">
        <v>26</v>
      </c>
      <c r="N18073">
        <v>0</v>
      </c>
      <c r="O18073">
        <v>26</v>
      </c>
      <c r="P18073">
        <v>0</v>
      </c>
    </row>
    <row r="18074" spans="1:16" x14ac:dyDescent="0.25">
      <c r="A18074" t="s">
        <v>40716</v>
      </c>
      <c r="B18074" t="s">
        <v>21566</v>
      </c>
      <c r="C18074" t="s">
        <v>21567</v>
      </c>
      <c r="D18074" t="str">
        <f>"4926"</f>
        <v>4926</v>
      </c>
      <c r="E18074" t="s">
        <v>19721</v>
      </c>
      <c r="F18074" t="s">
        <v>17351</v>
      </c>
      <c r="G18074" t="s">
        <v>47091</v>
      </c>
      <c r="H18074" t="s">
        <v>47055</v>
      </c>
      <c r="I18074" t="s">
        <v>47127</v>
      </c>
      <c r="J18074" t="s">
        <v>47128</v>
      </c>
      <c r="K18074" t="s">
        <v>47113</v>
      </c>
      <c r="L18074">
        <v>10.41</v>
      </c>
      <c r="M18074">
        <v>26</v>
      </c>
      <c r="N18074">
        <v>0</v>
      </c>
      <c r="O18074">
        <v>26</v>
      </c>
      <c r="P18074">
        <v>0</v>
      </c>
    </row>
    <row r="18075" spans="1:16" x14ac:dyDescent="0.25">
      <c r="A18075" t="s">
        <v>40717</v>
      </c>
      <c r="B18075" t="s">
        <v>21566</v>
      </c>
      <c r="C18075" t="s">
        <v>21567</v>
      </c>
      <c r="D18075" t="str">
        <f>"6512"</f>
        <v>6512</v>
      </c>
      <c r="E18075" t="s">
        <v>21487</v>
      </c>
      <c r="F18075" t="s">
        <v>17351</v>
      </c>
      <c r="G18075" t="s">
        <v>47091</v>
      </c>
      <c r="H18075" t="s">
        <v>47055</v>
      </c>
      <c r="I18075" t="s">
        <v>47127</v>
      </c>
      <c r="J18075" t="s">
        <v>47128</v>
      </c>
      <c r="K18075" t="s">
        <v>47113</v>
      </c>
      <c r="L18075">
        <v>10.41</v>
      </c>
      <c r="M18075">
        <v>26</v>
      </c>
      <c r="N18075">
        <v>0</v>
      </c>
      <c r="O18075">
        <v>26</v>
      </c>
      <c r="P18075">
        <v>0</v>
      </c>
    </row>
    <row r="18076" spans="1:16" x14ac:dyDescent="0.25">
      <c r="A18076" t="s">
        <v>40718</v>
      </c>
      <c r="B18076" t="s">
        <v>21568</v>
      </c>
      <c r="C18076" t="s">
        <v>21557</v>
      </c>
      <c r="D18076" t="str">
        <f>"1106"</f>
        <v>1106</v>
      </c>
      <c r="E18076" t="s">
        <v>460</v>
      </c>
      <c r="F18076" t="s">
        <v>17351</v>
      </c>
      <c r="G18076" t="s">
        <v>47091</v>
      </c>
      <c r="H18076" t="s">
        <v>47055</v>
      </c>
      <c r="I18076" t="s">
        <v>47127</v>
      </c>
      <c r="J18076" t="s">
        <v>47128</v>
      </c>
      <c r="K18076" t="s">
        <v>47113</v>
      </c>
      <c r="L18076">
        <v>12.59</v>
      </c>
      <c r="M18076">
        <v>37</v>
      </c>
      <c r="N18076">
        <v>0</v>
      </c>
      <c r="O18076">
        <v>37</v>
      </c>
      <c r="P18076">
        <v>0</v>
      </c>
    </row>
    <row r="18077" spans="1:16" x14ac:dyDescent="0.25">
      <c r="A18077" t="s">
        <v>40719</v>
      </c>
      <c r="B18077" t="s">
        <v>21568</v>
      </c>
      <c r="C18077" t="s">
        <v>21557</v>
      </c>
      <c r="D18077" t="str">
        <f>"1221"</f>
        <v>1221</v>
      </c>
      <c r="E18077" t="s">
        <v>19720</v>
      </c>
      <c r="F18077" t="s">
        <v>17351</v>
      </c>
      <c r="G18077" t="s">
        <v>47091</v>
      </c>
      <c r="H18077" t="s">
        <v>47055</v>
      </c>
      <c r="I18077" t="s">
        <v>47127</v>
      </c>
      <c r="J18077" t="s">
        <v>47128</v>
      </c>
      <c r="K18077" t="s">
        <v>47113</v>
      </c>
      <c r="L18077">
        <v>12.59</v>
      </c>
      <c r="M18077">
        <v>37</v>
      </c>
      <c r="N18077">
        <v>0</v>
      </c>
      <c r="O18077">
        <v>37</v>
      </c>
      <c r="P18077">
        <v>0</v>
      </c>
    </row>
    <row r="18078" spans="1:16" x14ac:dyDescent="0.25">
      <c r="A18078" t="s">
        <v>40720</v>
      </c>
      <c r="B18078" t="s">
        <v>21568</v>
      </c>
      <c r="C18078" t="s">
        <v>21557</v>
      </c>
      <c r="D18078" t="str">
        <f>"1700"</f>
        <v>1700</v>
      </c>
      <c r="E18078" t="s">
        <v>60</v>
      </c>
      <c r="F18078" t="s">
        <v>17351</v>
      </c>
      <c r="G18078" t="s">
        <v>47091</v>
      </c>
      <c r="H18078" t="s">
        <v>47055</v>
      </c>
      <c r="I18078" t="s">
        <v>47127</v>
      </c>
      <c r="J18078" t="s">
        <v>47128</v>
      </c>
      <c r="K18078" t="s">
        <v>47113</v>
      </c>
      <c r="L18078">
        <v>12.59</v>
      </c>
      <c r="M18078">
        <v>37</v>
      </c>
      <c r="N18078">
        <v>0</v>
      </c>
      <c r="O18078">
        <v>37</v>
      </c>
      <c r="P18078">
        <v>0</v>
      </c>
    </row>
    <row r="18079" spans="1:16" x14ac:dyDescent="0.25">
      <c r="A18079" t="s">
        <v>40721</v>
      </c>
      <c r="B18079" t="s">
        <v>21568</v>
      </c>
      <c r="C18079" t="s">
        <v>21557</v>
      </c>
      <c r="D18079" t="str">
        <f>"1748"</f>
        <v>1748</v>
      </c>
      <c r="E18079" t="s">
        <v>13941</v>
      </c>
      <c r="F18079" t="s">
        <v>17351</v>
      </c>
      <c r="G18079" t="s">
        <v>47091</v>
      </c>
      <c r="H18079" t="s">
        <v>47055</v>
      </c>
      <c r="I18079" t="s">
        <v>47127</v>
      </c>
      <c r="J18079" t="s">
        <v>47128</v>
      </c>
      <c r="K18079" t="s">
        <v>47113</v>
      </c>
      <c r="L18079">
        <v>12.59</v>
      </c>
      <c r="M18079">
        <v>37</v>
      </c>
      <c r="N18079">
        <v>0</v>
      </c>
      <c r="O18079">
        <v>37</v>
      </c>
      <c r="P18079">
        <v>0</v>
      </c>
    </row>
    <row r="18080" spans="1:16" x14ac:dyDescent="0.25">
      <c r="A18080" t="s">
        <v>40722</v>
      </c>
      <c r="B18080" t="s">
        <v>21568</v>
      </c>
      <c r="C18080" t="s">
        <v>21557</v>
      </c>
      <c r="D18080" t="str">
        <f>"2725"</f>
        <v>2725</v>
      </c>
      <c r="E18080" t="s">
        <v>21569</v>
      </c>
      <c r="F18080" t="s">
        <v>17351</v>
      </c>
      <c r="G18080" t="s">
        <v>47091</v>
      </c>
      <c r="H18080" t="s">
        <v>47055</v>
      </c>
      <c r="I18080" t="s">
        <v>47127</v>
      </c>
      <c r="J18080" t="s">
        <v>47128</v>
      </c>
      <c r="K18080" t="s">
        <v>47113</v>
      </c>
      <c r="L18080">
        <v>12.59</v>
      </c>
      <c r="M18080">
        <v>37</v>
      </c>
      <c r="N18080">
        <v>0</v>
      </c>
      <c r="O18080">
        <v>37</v>
      </c>
      <c r="P18080">
        <v>0</v>
      </c>
    </row>
    <row r="18081" spans="1:16" x14ac:dyDescent="0.25">
      <c r="A18081" t="s">
        <v>40723</v>
      </c>
      <c r="B18081" t="s">
        <v>21568</v>
      </c>
      <c r="C18081" t="s">
        <v>21557</v>
      </c>
      <c r="D18081" t="str">
        <f>"4926"</f>
        <v>4926</v>
      </c>
      <c r="E18081" t="s">
        <v>19721</v>
      </c>
      <c r="F18081" t="s">
        <v>17351</v>
      </c>
      <c r="G18081" t="s">
        <v>47091</v>
      </c>
      <c r="H18081" t="s">
        <v>47055</v>
      </c>
      <c r="I18081" t="s">
        <v>47127</v>
      </c>
      <c r="J18081" t="s">
        <v>47128</v>
      </c>
      <c r="K18081" t="s">
        <v>47113</v>
      </c>
      <c r="L18081">
        <v>12.59</v>
      </c>
      <c r="M18081">
        <v>37</v>
      </c>
      <c r="N18081">
        <v>0</v>
      </c>
      <c r="O18081">
        <v>37</v>
      </c>
      <c r="P18081">
        <v>0</v>
      </c>
    </row>
    <row r="18082" spans="1:16" x14ac:dyDescent="0.25">
      <c r="A18082" t="s">
        <v>40724</v>
      </c>
      <c r="B18082" t="s">
        <v>21570</v>
      </c>
      <c r="C18082" t="s">
        <v>21571</v>
      </c>
      <c r="D18082" t="str">
        <f>"1106"</f>
        <v>1106</v>
      </c>
      <c r="E18082" t="s">
        <v>460</v>
      </c>
      <c r="F18082" t="s">
        <v>17351</v>
      </c>
      <c r="G18082" t="s">
        <v>47092</v>
      </c>
      <c r="H18082" t="s">
        <v>47055</v>
      </c>
      <c r="I18082" t="s">
        <v>47127</v>
      </c>
      <c r="J18082" t="s">
        <v>47128</v>
      </c>
      <c r="K18082" t="s">
        <v>47113</v>
      </c>
      <c r="L18082">
        <v>10.11</v>
      </c>
      <c r="M18082">
        <v>26</v>
      </c>
      <c r="N18082">
        <v>0</v>
      </c>
      <c r="O18082">
        <v>26</v>
      </c>
      <c r="P18082">
        <v>0</v>
      </c>
    </row>
    <row r="18083" spans="1:16" x14ac:dyDescent="0.25">
      <c r="A18083" t="s">
        <v>40725</v>
      </c>
      <c r="B18083" t="s">
        <v>21570</v>
      </c>
      <c r="C18083" t="s">
        <v>21571</v>
      </c>
      <c r="D18083" t="str">
        <f>"1221"</f>
        <v>1221</v>
      </c>
      <c r="E18083" t="s">
        <v>19720</v>
      </c>
      <c r="F18083" t="s">
        <v>17351</v>
      </c>
      <c r="G18083" t="s">
        <v>47092</v>
      </c>
      <c r="H18083" t="s">
        <v>47055</v>
      </c>
      <c r="I18083" t="s">
        <v>47127</v>
      </c>
      <c r="J18083" t="s">
        <v>47128</v>
      </c>
      <c r="K18083" t="s">
        <v>47113</v>
      </c>
      <c r="L18083">
        <v>10.11</v>
      </c>
      <c r="M18083">
        <v>26</v>
      </c>
      <c r="N18083">
        <v>0</v>
      </c>
      <c r="O18083">
        <v>26</v>
      </c>
      <c r="P18083">
        <v>0</v>
      </c>
    </row>
    <row r="18084" spans="1:16" x14ac:dyDescent="0.25">
      <c r="A18084" t="s">
        <v>40726</v>
      </c>
      <c r="B18084" t="s">
        <v>21570</v>
      </c>
      <c r="C18084" t="s">
        <v>21571</v>
      </c>
      <c r="D18084" t="str">
        <f>"1700"</f>
        <v>1700</v>
      </c>
      <c r="E18084" t="s">
        <v>60</v>
      </c>
      <c r="F18084" t="s">
        <v>17351</v>
      </c>
      <c r="G18084" t="s">
        <v>47092</v>
      </c>
      <c r="H18084" t="s">
        <v>47055</v>
      </c>
      <c r="I18084" t="s">
        <v>47127</v>
      </c>
      <c r="J18084" t="s">
        <v>47128</v>
      </c>
      <c r="K18084" t="s">
        <v>47113</v>
      </c>
      <c r="L18084">
        <v>10.11</v>
      </c>
      <c r="M18084">
        <v>26</v>
      </c>
      <c r="N18084">
        <v>0</v>
      </c>
      <c r="O18084">
        <v>26</v>
      </c>
      <c r="P18084">
        <v>0</v>
      </c>
    </row>
    <row r="18085" spans="1:16" x14ac:dyDescent="0.25">
      <c r="A18085" t="s">
        <v>40727</v>
      </c>
      <c r="B18085" t="s">
        <v>21570</v>
      </c>
      <c r="C18085" t="s">
        <v>21571</v>
      </c>
      <c r="D18085" t="str">
        <f>"3501"</f>
        <v>3501</v>
      </c>
      <c r="E18085" t="s">
        <v>3758</v>
      </c>
      <c r="F18085" t="s">
        <v>17351</v>
      </c>
      <c r="G18085" t="s">
        <v>47092</v>
      </c>
      <c r="H18085" t="s">
        <v>47055</v>
      </c>
      <c r="I18085" t="s">
        <v>47127</v>
      </c>
      <c r="J18085" t="s">
        <v>47128</v>
      </c>
      <c r="K18085" t="s">
        <v>47113</v>
      </c>
      <c r="L18085">
        <v>10.11</v>
      </c>
      <c r="M18085">
        <v>26</v>
      </c>
      <c r="N18085">
        <v>0</v>
      </c>
      <c r="O18085">
        <v>26</v>
      </c>
      <c r="P18085">
        <v>0</v>
      </c>
    </row>
    <row r="18086" spans="1:16" x14ac:dyDescent="0.25">
      <c r="A18086" t="s">
        <v>40728</v>
      </c>
      <c r="B18086" t="s">
        <v>21570</v>
      </c>
      <c r="C18086" t="s">
        <v>21571</v>
      </c>
      <c r="D18086" t="str">
        <f>"4926"</f>
        <v>4926</v>
      </c>
      <c r="E18086" t="s">
        <v>19721</v>
      </c>
      <c r="F18086" t="s">
        <v>17351</v>
      </c>
      <c r="G18086" t="s">
        <v>47092</v>
      </c>
      <c r="H18086" t="s">
        <v>47055</v>
      </c>
      <c r="I18086" t="s">
        <v>47127</v>
      </c>
      <c r="J18086" t="s">
        <v>47128</v>
      </c>
      <c r="K18086" t="s">
        <v>47113</v>
      </c>
      <c r="L18086">
        <v>10.11</v>
      </c>
      <c r="M18086">
        <v>26</v>
      </c>
      <c r="N18086">
        <v>0</v>
      </c>
      <c r="O18086">
        <v>26</v>
      </c>
      <c r="P18086">
        <v>0</v>
      </c>
    </row>
    <row r="18087" spans="1:16" x14ac:dyDescent="0.25">
      <c r="A18087" t="s">
        <v>40729</v>
      </c>
      <c r="B18087" t="s">
        <v>21572</v>
      </c>
      <c r="C18087" t="s">
        <v>21573</v>
      </c>
      <c r="D18087" t="str">
        <f>"1106"</f>
        <v>1106</v>
      </c>
      <c r="E18087" t="s">
        <v>460</v>
      </c>
      <c r="F18087" t="s">
        <v>17351</v>
      </c>
      <c r="G18087" t="s">
        <v>47091</v>
      </c>
      <c r="H18087" t="s">
        <v>47055</v>
      </c>
      <c r="I18087" t="s">
        <v>47127</v>
      </c>
      <c r="J18087" t="s">
        <v>47128</v>
      </c>
      <c r="K18087" t="s">
        <v>47113</v>
      </c>
      <c r="L18087">
        <v>11.79</v>
      </c>
      <c r="M18087">
        <v>29</v>
      </c>
      <c r="N18087">
        <v>0</v>
      </c>
      <c r="O18087">
        <v>29</v>
      </c>
      <c r="P18087">
        <v>0</v>
      </c>
    </row>
    <row r="18088" spans="1:16" x14ac:dyDescent="0.25">
      <c r="A18088" t="s">
        <v>40730</v>
      </c>
      <c r="B18088" t="s">
        <v>21572</v>
      </c>
      <c r="C18088" t="s">
        <v>21573</v>
      </c>
      <c r="D18088" t="str">
        <f>"1221"</f>
        <v>1221</v>
      </c>
      <c r="E18088" t="s">
        <v>19720</v>
      </c>
      <c r="F18088" t="s">
        <v>17351</v>
      </c>
      <c r="G18088" t="s">
        <v>47091</v>
      </c>
      <c r="H18088" t="s">
        <v>47055</v>
      </c>
      <c r="I18088" t="s">
        <v>47127</v>
      </c>
      <c r="J18088" t="s">
        <v>47128</v>
      </c>
      <c r="K18088" t="s">
        <v>47113</v>
      </c>
      <c r="L18088">
        <v>11.79</v>
      </c>
      <c r="M18088">
        <v>29</v>
      </c>
      <c r="N18088">
        <v>0</v>
      </c>
      <c r="O18088">
        <v>29</v>
      </c>
      <c r="P18088">
        <v>0</v>
      </c>
    </row>
    <row r="18089" spans="1:16" x14ac:dyDescent="0.25">
      <c r="A18089" t="s">
        <v>40731</v>
      </c>
      <c r="B18089" t="s">
        <v>21572</v>
      </c>
      <c r="C18089" t="s">
        <v>21573</v>
      </c>
      <c r="D18089" t="str">
        <f>"1700"</f>
        <v>1700</v>
      </c>
      <c r="E18089" t="s">
        <v>60</v>
      </c>
      <c r="F18089" t="s">
        <v>17351</v>
      </c>
      <c r="G18089" t="s">
        <v>47091</v>
      </c>
      <c r="H18089" t="s">
        <v>47055</v>
      </c>
      <c r="I18089" t="s">
        <v>47127</v>
      </c>
      <c r="J18089" t="s">
        <v>47128</v>
      </c>
      <c r="K18089" t="s">
        <v>47113</v>
      </c>
      <c r="L18089">
        <v>11.79</v>
      </c>
      <c r="M18089">
        <v>29</v>
      </c>
      <c r="N18089">
        <v>0</v>
      </c>
      <c r="O18089">
        <v>29</v>
      </c>
      <c r="P18089">
        <v>0</v>
      </c>
    </row>
    <row r="18090" spans="1:16" x14ac:dyDescent="0.25">
      <c r="A18090" t="s">
        <v>40732</v>
      </c>
      <c r="B18090" t="s">
        <v>21572</v>
      </c>
      <c r="C18090" t="s">
        <v>21573</v>
      </c>
      <c r="D18090" t="str">
        <f>"4522"</f>
        <v>4522</v>
      </c>
      <c r="E18090" t="s">
        <v>11009</v>
      </c>
      <c r="F18090" t="s">
        <v>17351</v>
      </c>
      <c r="G18090" t="s">
        <v>47091</v>
      </c>
      <c r="H18090" t="s">
        <v>47055</v>
      </c>
      <c r="I18090" t="s">
        <v>47127</v>
      </c>
      <c r="J18090" t="s">
        <v>47128</v>
      </c>
      <c r="K18090" t="s">
        <v>47113</v>
      </c>
      <c r="L18090">
        <v>11.79</v>
      </c>
      <c r="M18090">
        <v>29</v>
      </c>
      <c r="N18090">
        <v>0</v>
      </c>
      <c r="O18090">
        <v>29</v>
      </c>
      <c r="P18090">
        <v>0</v>
      </c>
    </row>
    <row r="18091" spans="1:16" x14ac:dyDescent="0.25">
      <c r="A18091" t="s">
        <v>40733</v>
      </c>
      <c r="B18091" t="s">
        <v>21572</v>
      </c>
      <c r="C18091" t="s">
        <v>21573</v>
      </c>
      <c r="D18091" t="str">
        <f>"4926"</f>
        <v>4926</v>
      </c>
      <c r="E18091" t="s">
        <v>19721</v>
      </c>
      <c r="F18091" t="s">
        <v>17351</v>
      </c>
      <c r="G18091" t="s">
        <v>47091</v>
      </c>
      <c r="H18091" t="s">
        <v>47055</v>
      </c>
      <c r="I18091" t="s">
        <v>47127</v>
      </c>
      <c r="J18091" t="s">
        <v>47128</v>
      </c>
      <c r="K18091" t="s">
        <v>47113</v>
      </c>
      <c r="L18091">
        <v>11.79</v>
      </c>
      <c r="M18091">
        <v>29</v>
      </c>
      <c r="N18091">
        <v>0</v>
      </c>
      <c r="O18091">
        <v>29</v>
      </c>
      <c r="P18091">
        <v>0</v>
      </c>
    </row>
    <row r="18092" spans="1:16" x14ac:dyDescent="0.25">
      <c r="A18092" t="s">
        <v>40734</v>
      </c>
      <c r="B18092" t="s">
        <v>21574</v>
      </c>
      <c r="C18092" t="s">
        <v>21575</v>
      </c>
      <c r="D18092" t="str">
        <f>"1001"</f>
        <v>1001</v>
      </c>
      <c r="E18092" t="s">
        <v>42</v>
      </c>
      <c r="F18092" t="s">
        <v>17351</v>
      </c>
      <c r="G18092" t="s">
        <v>47091</v>
      </c>
      <c r="H18092" t="s">
        <v>47055</v>
      </c>
      <c r="I18092" t="s">
        <v>47120</v>
      </c>
      <c r="J18092" t="s">
        <v>47121</v>
      </c>
      <c r="K18092" t="s">
        <v>47113</v>
      </c>
      <c r="L18092">
        <v>23.4</v>
      </c>
      <c r="M18092">
        <v>59</v>
      </c>
      <c r="N18092">
        <v>0</v>
      </c>
      <c r="O18092">
        <v>59</v>
      </c>
      <c r="P18092">
        <v>0</v>
      </c>
    </row>
    <row r="18093" spans="1:16" x14ac:dyDescent="0.25">
      <c r="A18093" t="s">
        <v>40735</v>
      </c>
      <c r="B18093" t="s">
        <v>21574</v>
      </c>
      <c r="C18093" t="s">
        <v>21575</v>
      </c>
      <c r="D18093" t="str">
        <f>"4646"</f>
        <v>4646</v>
      </c>
      <c r="E18093" t="s">
        <v>9741</v>
      </c>
      <c r="F18093" t="s">
        <v>17351</v>
      </c>
      <c r="G18093" t="s">
        <v>47091</v>
      </c>
      <c r="H18093" t="s">
        <v>47055</v>
      </c>
      <c r="I18093" t="s">
        <v>47120</v>
      </c>
      <c r="J18093" t="s">
        <v>47121</v>
      </c>
      <c r="K18093" t="s">
        <v>47113</v>
      </c>
      <c r="L18093">
        <v>23.4</v>
      </c>
      <c r="M18093">
        <v>59</v>
      </c>
      <c r="N18093">
        <v>0</v>
      </c>
      <c r="O18093">
        <v>59</v>
      </c>
      <c r="P18093">
        <v>0</v>
      </c>
    </row>
    <row r="18094" spans="1:16" x14ac:dyDescent="0.25">
      <c r="A18094" t="s">
        <v>40736</v>
      </c>
      <c r="B18094" t="s">
        <v>21576</v>
      </c>
      <c r="C18094" t="s">
        <v>21577</v>
      </c>
      <c r="D18094" t="str">
        <f>"1001"</f>
        <v>1001</v>
      </c>
      <c r="E18094" t="s">
        <v>42</v>
      </c>
      <c r="F18094" t="s">
        <v>17351</v>
      </c>
      <c r="G18094" t="s">
        <v>47091</v>
      </c>
      <c r="H18094" t="s">
        <v>47055</v>
      </c>
      <c r="I18094" t="s">
        <v>47120</v>
      </c>
      <c r="J18094" t="s">
        <v>47121</v>
      </c>
      <c r="K18094" t="s">
        <v>47113</v>
      </c>
      <c r="L18094">
        <v>27.54</v>
      </c>
      <c r="M18094">
        <v>67</v>
      </c>
      <c r="N18094">
        <v>0</v>
      </c>
      <c r="O18094">
        <v>67</v>
      </c>
      <c r="P18094">
        <v>0</v>
      </c>
    </row>
    <row r="18095" spans="1:16" x14ac:dyDescent="0.25">
      <c r="A18095" t="s">
        <v>40737</v>
      </c>
      <c r="B18095" t="s">
        <v>21576</v>
      </c>
      <c r="C18095" t="s">
        <v>21577</v>
      </c>
      <c r="D18095" t="str">
        <f>"4646"</f>
        <v>4646</v>
      </c>
      <c r="E18095" t="s">
        <v>9741</v>
      </c>
      <c r="F18095" t="s">
        <v>17351</v>
      </c>
      <c r="G18095" t="s">
        <v>47091</v>
      </c>
      <c r="H18095" t="s">
        <v>47055</v>
      </c>
      <c r="I18095" t="s">
        <v>47120</v>
      </c>
      <c r="J18095" t="s">
        <v>47121</v>
      </c>
      <c r="K18095" t="s">
        <v>47113</v>
      </c>
      <c r="L18095">
        <v>27.54</v>
      </c>
      <c r="M18095">
        <v>67</v>
      </c>
      <c r="N18095">
        <v>0</v>
      </c>
      <c r="O18095">
        <v>67</v>
      </c>
      <c r="P18095">
        <v>0</v>
      </c>
    </row>
    <row r="18096" spans="1:16" x14ac:dyDescent="0.25">
      <c r="A18096" t="s">
        <v>40738</v>
      </c>
      <c r="B18096" t="s">
        <v>21578</v>
      </c>
      <c r="C18096" t="s">
        <v>21579</v>
      </c>
      <c r="D18096" t="str">
        <f>"1001"</f>
        <v>1001</v>
      </c>
      <c r="E18096" t="s">
        <v>42</v>
      </c>
      <c r="F18096" t="s">
        <v>17351</v>
      </c>
      <c r="G18096" t="s">
        <v>47091</v>
      </c>
      <c r="H18096" t="s">
        <v>47055</v>
      </c>
      <c r="I18096" t="s">
        <v>47120</v>
      </c>
      <c r="J18096" t="s">
        <v>47121</v>
      </c>
      <c r="K18096" t="s">
        <v>47113</v>
      </c>
      <c r="L18096">
        <v>27.09</v>
      </c>
      <c r="M18096">
        <v>67</v>
      </c>
      <c r="N18096">
        <v>0</v>
      </c>
      <c r="O18096">
        <v>67</v>
      </c>
      <c r="P18096">
        <v>0</v>
      </c>
    </row>
    <row r="18097" spans="1:16" x14ac:dyDescent="0.25">
      <c r="A18097" t="s">
        <v>40739</v>
      </c>
      <c r="B18097" t="s">
        <v>21578</v>
      </c>
      <c r="C18097" t="s">
        <v>21579</v>
      </c>
      <c r="D18097" t="str">
        <f>"4646"</f>
        <v>4646</v>
      </c>
      <c r="E18097" t="s">
        <v>9741</v>
      </c>
      <c r="F18097" t="s">
        <v>17351</v>
      </c>
      <c r="G18097" t="s">
        <v>47091</v>
      </c>
      <c r="H18097" t="s">
        <v>47055</v>
      </c>
      <c r="I18097" t="s">
        <v>47120</v>
      </c>
      <c r="J18097" t="s">
        <v>47121</v>
      </c>
      <c r="K18097" t="s">
        <v>47113</v>
      </c>
      <c r="L18097">
        <v>27.09</v>
      </c>
      <c r="M18097">
        <v>67</v>
      </c>
      <c r="N18097">
        <v>0</v>
      </c>
      <c r="O18097">
        <v>67</v>
      </c>
      <c r="P18097">
        <v>0</v>
      </c>
    </row>
    <row r="18098" spans="1:16" x14ac:dyDescent="0.25">
      <c r="A18098" t="s">
        <v>40740</v>
      </c>
      <c r="B18098" t="s">
        <v>21580</v>
      </c>
      <c r="C18098" t="s">
        <v>21581</v>
      </c>
      <c r="D18098" t="str">
        <f>"1001"</f>
        <v>1001</v>
      </c>
      <c r="E18098" t="s">
        <v>42</v>
      </c>
      <c r="F18098" t="s">
        <v>17351</v>
      </c>
      <c r="G18098" t="s">
        <v>47092</v>
      </c>
      <c r="H18098" t="s">
        <v>47055</v>
      </c>
      <c r="I18098" t="s">
        <v>47120</v>
      </c>
      <c r="J18098" t="s">
        <v>47121</v>
      </c>
      <c r="K18098" t="s">
        <v>47113</v>
      </c>
      <c r="L18098">
        <v>19.27</v>
      </c>
      <c r="M18098">
        <v>48</v>
      </c>
      <c r="N18098">
        <v>0</v>
      </c>
      <c r="O18098">
        <v>48</v>
      </c>
      <c r="P18098">
        <v>0</v>
      </c>
    </row>
    <row r="18099" spans="1:16" x14ac:dyDescent="0.25">
      <c r="A18099" t="s">
        <v>40741</v>
      </c>
      <c r="B18099" t="s">
        <v>21580</v>
      </c>
      <c r="C18099" t="s">
        <v>21581</v>
      </c>
      <c r="D18099" t="str">
        <f>"4646"</f>
        <v>4646</v>
      </c>
      <c r="E18099" t="s">
        <v>9741</v>
      </c>
      <c r="F18099" t="s">
        <v>17351</v>
      </c>
      <c r="G18099" t="s">
        <v>47092</v>
      </c>
      <c r="H18099" t="s">
        <v>47055</v>
      </c>
      <c r="I18099" t="s">
        <v>47120</v>
      </c>
      <c r="J18099" t="s">
        <v>47121</v>
      </c>
      <c r="K18099" t="s">
        <v>47113</v>
      </c>
      <c r="L18099">
        <v>19.27</v>
      </c>
      <c r="M18099">
        <v>48</v>
      </c>
      <c r="N18099">
        <v>0</v>
      </c>
      <c r="O18099">
        <v>48</v>
      </c>
      <c r="P18099">
        <v>0</v>
      </c>
    </row>
    <row r="18100" spans="1:16" x14ac:dyDescent="0.25">
      <c r="A18100" t="s">
        <v>40742</v>
      </c>
      <c r="B18100" t="s">
        <v>21582</v>
      </c>
      <c r="C18100" t="s">
        <v>21583</v>
      </c>
      <c r="D18100" t="str">
        <f>"1001"</f>
        <v>1001</v>
      </c>
      <c r="E18100" t="s">
        <v>42</v>
      </c>
      <c r="F18100" t="s">
        <v>17351</v>
      </c>
      <c r="G18100" t="s">
        <v>47092</v>
      </c>
      <c r="H18100" t="s">
        <v>47055</v>
      </c>
      <c r="I18100" t="s">
        <v>47120</v>
      </c>
      <c r="J18100" t="s">
        <v>47121</v>
      </c>
      <c r="K18100" t="s">
        <v>47113</v>
      </c>
      <c r="L18100">
        <v>23.86</v>
      </c>
      <c r="M18100">
        <v>59</v>
      </c>
      <c r="N18100">
        <v>0</v>
      </c>
      <c r="O18100">
        <v>59</v>
      </c>
      <c r="P18100">
        <v>0</v>
      </c>
    </row>
    <row r="18101" spans="1:16" x14ac:dyDescent="0.25">
      <c r="A18101" t="s">
        <v>40743</v>
      </c>
      <c r="B18101" t="s">
        <v>21582</v>
      </c>
      <c r="C18101" t="s">
        <v>21583</v>
      </c>
      <c r="D18101" t="str">
        <f>"4646"</f>
        <v>4646</v>
      </c>
      <c r="E18101" t="s">
        <v>9741</v>
      </c>
      <c r="F18101" t="s">
        <v>17351</v>
      </c>
      <c r="G18101" t="s">
        <v>47092</v>
      </c>
      <c r="H18101" t="s">
        <v>47055</v>
      </c>
      <c r="I18101" t="s">
        <v>47120</v>
      </c>
      <c r="J18101" t="s">
        <v>47121</v>
      </c>
      <c r="K18101" t="s">
        <v>47113</v>
      </c>
      <c r="L18101">
        <v>23.86</v>
      </c>
      <c r="M18101">
        <v>59</v>
      </c>
      <c r="N18101">
        <v>0</v>
      </c>
      <c r="O18101">
        <v>59</v>
      </c>
      <c r="P18101">
        <v>0</v>
      </c>
    </row>
    <row r="18102" spans="1:16" x14ac:dyDescent="0.25">
      <c r="A18102" t="s">
        <v>40744</v>
      </c>
      <c r="B18102" t="s">
        <v>21584</v>
      </c>
      <c r="C18102" t="s">
        <v>21585</v>
      </c>
      <c r="D18102" t="str">
        <f>"1704"</f>
        <v>1704</v>
      </c>
      <c r="E18102" t="s">
        <v>7181</v>
      </c>
      <c r="F18102" t="s">
        <v>17351</v>
      </c>
      <c r="G18102" t="s">
        <v>47098</v>
      </c>
      <c r="H18102" t="s">
        <v>47055</v>
      </c>
      <c r="I18102" t="s">
        <v>47120</v>
      </c>
      <c r="J18102" t="s">
        <v>47121</v>
      </c>
      <c r="K18102" t="s">
        <v>47113</v>
      </c>
      <c r="L18102">
        <v>69.75</v>
      </c>
      <c r="M18102">
        <v>166</v>
      </c>
      <c r="N18102">
        <v>0</v>
      </c>
      <c r="O18102">
        <v>166</v>
      </c>
      <c r="P18102">
        <v>0</v>
      </c>
    </row>
    <row r="18103" spans="1:16" x14ac:dyDescent="0.25">
      <c r="A18103" t="s">
        <v>40745</v>
      </c>
      <c r="B18103" t="s">
        <v>21584</v>
      </c>
      <c r="C18103" t="s">
        <v>21585</v>
      </c>
      <c r="D18103" t="str">
        <f>"2701"</f>
        <v>2701</v>
      </c>
      <c r="E18103" t="s">
        <v>2149</v>
      </c>
      <c r="F18103" t="s">
        <v>17351</v>
      </c>
      <c r="G18103" t="s">
        <v>47098</v>
      </c>
      <c r="H18103" t="s">
        <v>47055</v>
      </c>
      <c r="I18103" t="s">
        <v>47120</v>
      </c>
      <c r="J18103" t="s">
        <v>47121</v>
      </c>
      <c r="K18103" t="s">
        <v>47113</v>
      </c>
      <c r="L18103">
        <v>69.75</v>
      </c>
      <c r="M18103">
        <v>166</v>
      </c>
      <c r="N18103">
        <v>0</v>
      </c>
      <c r="O18103">
        <v>166</v>
      </c>
      <c r="P18103">
        <v>0</v>
      </c>
    </row>
    <row r="18104" spans="1:16" x14ac:dyDescent="0.25">
      <c r="A18104" t="s">
        <v>40746</v>
      </c>
      <c r="B18104" t="s">
        <v>21584</v>
      </c>
      <c r="C18104" t="s">
        <v>21585</v>
      </c>
      <c r="D18104" t="str">
        <f>"3106"</f>
        <v>3106</v>
      </c>
      <c r="E18104" t="s">
        <v>230</v>
      </c>
      <c r="F18104" t="s">
        <v>17351</v>
      </c>
      <c r="G18104" t="s">
        <v>47098</v>
      </c>
      <c r="H18104" t="s">
        <v>47055</v>
      </c>
      <c r="I18104" t="s">
        <v>47120</v>
      </c>
      <c r="J18104" t="s">
        <v>47121</v>
      </c>
      <c r="K18104" t="s">
        <v>47113</v>
      </c>
      <c r="L18104">
        <v>69.75</v>
      </c>
      <c r="M18104">
        <v>166</v>
      </c>
      <c r="N18104">
        <v>0</v>
      </c>
      <c r="O18104">
        <v>166</v>
      </c>
      <c r="P18104">
        <v>0</v>
      </c>
    </row>
    <row r="18105" spans="1:16" x14ac:dyDescent="0.25">
      <c r="A18105" t="s">
        <v>40747</v>
      </c>
      <c r="B18105" t="s">
        <v>21586</v>
      </c>
      <c r="C18105" t="s">
        <v>21587</v>
      </c>
      <c r="D18105" t="str">
        <f>"1704"</f>
        <v>1704</v>
      </c>
      <c r="E18105" t="s">
        <v>7181</v>
      </c>
      <c r="F18105" t="s">
        <v>17351</v>
      </c>
      <c r="G18105" t="s">
        <v>47098</v>
      </c>
      <c r="H18105" t="s">
        <v>47055</v>
      </c>
      <c r="I18105" t="s">
        <v>47120</v>
      </c>
      <c r="J18105" t="s">
        <v>47121</v>
      </c>
      <c r="K18105" t="s">
        <v>47113</v>
      </c>
      <c r="L18105">
        <v>106.48</v>
      </c>
      <c r="M18105">
        <v>240</v>
      </c>
      <c r="N18105">
        <v>0</v>
      </c>
      <c r="O18105">
        <v>240</v>
      </c>
      <c r="P18105">
        <v>0</v>
      </c>
    </row>
    <row r="18106" spans="1:16" x14ac:dyDescent="0.25">
      <c r="A18106" t="s">
        <v>40748</v>
      </c>
      <c r="B18106" t="s">
        <v>21586</v>
      </c>
      <c r="C18106" t="s">
        <v>21587</v>
      </c>
      <c r="D18106" t="str">
        <f>"2701"</f>
        <v>2701</v>
      </c>
      <c r="E18106" t="s">
        <v>2149</v>
      </c>
      <c r="F18106" t="s">
        <v>17351</v>
      </c>
      <c r="G18106" t="s">
        <v>47098</v>
      </c>
      <c r="H18106" t="s">
        <v>47055</v>
      </c>
      <c r="I18106" t="s">
        <v>47120</v>
      </c>
      <c r="J18106" t="s">
        <v>47121</v>
      </c>
      <c r="K18106" t="s">
        <v>47113</v>
      </c>
      <c r="L18106">
        <v>106.48</v>
      </c>
      <c r="M18106">
        <v>240</v>
      </c>
      <c r="N18106">
        <v>0</v>
      </c>
      <c r="O18106">
        <v>240</v>
      </c>
      <c r="P18106">
        <v>0</v>
      </c>
    </row>
    <row r="18107" spans="1:16" x14ac:dyDescent="0.25">
      <c r="A18107" t="s">
        <v>40749</v>
      </c>
      <c r="B18107" t="s">
        <v>21586</v>
      </c>
      <c r="C18107" t="s">
        <v>21587</v>
      </c>
      <c r="D18107" t="str">
        <f>"3106"</f>
        <v>3106</v>
      </c>
      <c r="E18107" t="s">
        <v>230</v>
      </c>
      <c r="F18107" t="s">
        <v>17351</v>
      </c>
      <c r="G18107" t="s">
        <v>47098</v>
      </c>
      <c r="H18107" t="s">
        <v>47055</v>
      </c>
      <c r="I18107" t="s">
        <v>47120</v>
      </c>
      <c r="J18107" t="s">
        <v>47121</v>
      </c>
      <c r="K18107" t="s">
        <v>47113</v>
      </c>
      <c r="L18107">
        <v>106.48</v>
      </c>
      <c r="M18107">
        <v>240</v>
      </c>
      <c r="N18107">
        <v>0</v>
      </c>
      <c r="O18107">
        <v>240</v>
      </c>
      <c r="P18107">
        <v>0</v>
      </c>
    </row>
    <row r="18108" spans="1:16" x14ac:dyDescent="0.25">
      <c r="A18108" t="s">
        <v>40750</v>
      </c>
      <c r="B18108" t="s">
        <v>11131</v>
      </c>
      <c r="C18108" t="s">
        <v>11132</v>
      </c>
      <c r="D18108" t="str">
        <f>"1100"</f>
        <v>1100</v>
      </c>
      <c r="E18108" t="s">
        <v>54</v>
      </c>
      <c r="F18108" t="s">
        <v>52</v>
      </c>
      <c r="G18108" t="s">
        <v>47095</v>
      </c>
      <c r="H18108" t="s">
        <v>47054</v>
      </c>
      <c r="I18108" t="s">
        <v>47114</v>
      </c>
      <c r="J18108" t="s">
        <v>47115</v>
      </c>
      <c r="K18108" t="s">
        <v>47113</v>
      </c>
      <c r="L18108">
        <v>17.88</v>
      </c>
      <c r="M18108">
        <v>41</v>
      </c>
      <c r="N18108">
        <v>0</v>
      </c>
      <c r="O18108">
        <v>41</v>
      </c>
      <c r="P18108">
        <v>0</v>
      </c>
    </row>
    <row r="18109" spans="1:16" x14ac:dyDescent="0.25">
      <c r="A18109" t="s">
        <v>40751</v>
      </c>
      <c r="B18109" t="s">
        <v>11133</v>
      </c>
      <c r="C18109" t="s">
        <v>11134</v>
      </c>
      <c r="D18109" t="str">
        <f>"6142"</f>
        <v>6142</v>
      </c>
      <c r="E18109" t="s">
        <v>4737</v>
      </c>
      <c r="F18109" t="s">
        <v>6</v>
      </c>
      <c r="G18109" t="s">
        <v>47098</v>
      </c>
      <c r="H18109" t="s">
        <v>47054</v>
      </c>
      <c r="I18109" t="s">
        <v>47114</v>
      </c>
      <c r="J18109" t="s">
        <v>47115</v>
      </c>
      <c r="K18109" t="s">
        <v>47113</v>
      </c>
      <c r="L18109">
        <v>40.590000000000003</v>
      </c>
      <c r="M18109">
        <v>100</v>
      </c>
      <c r="N18109">
        <v>0</v>
      </c>
      <c r="O18109">
        <v>100</v>
      </c>
      <c r="P18109">
        <v>0</v>
      </c>
    </row>
    <row r="18110" spans="1:16" x14ac:dyDescent="0.25">
      <c r="A18110" t="s">
        <v>49034</v>
      </c>
      <c r="B18110" t="s">
        <v>49035</v>
      </c>
      <c r="C18110" t="s">
        <v>49036</v>
      </c>
      <c r="D18110" t="str">
        <f>"1370"</f>
        <v>1370</v>
      </c>
      <c r="E18110" t="s">
        <v>2162</v>
      </c>
      <c r="F18110" t="s">
        <v>47193</v>
      </c>
      <c r="G18110" t="s">
        <v>47094</v>
      </c>
      <c r="H18110" t="s">
        <v>47055</v>
      </c>
      <c r="I18110" t="s">
        <v>47120</v>
      </c>
      <c r="J18110" t="s">
        <v>47121</v>
      </c>
      <c r="K18110" t="s">
        <v>47113</v>
      </c>
      <c r="L18110">
        <v>39.97</v>
      </c>
      <c r="M18110">
        <v>89</v>
      </c>
      <c r="N18110">
        <v>239</v>
      </c>
      <c r="O18110">
        <v>89</v>
      </c>
      <c r="P18110">
        <v>239</v>
      </c>
    </row>
    <row r="18111" spans="1:16" x14ac:dyDescent="0.25">
      <c r="A18111" t="s">
        <v>49037</v>
      </c>
      <c r="B18111" t="s">
        <v>49038</v>
      </c>
      <c r="C18111" t="s">
        <v>49039</v>
      </c>
      <c r="D18111" t="str">
        <f>"6003"</f>
        <v>6003</v>
      </c>
      <c r="E18111" t="s">
        <v>9711</v>
      </c>
      <c r="F18111" t="s">
        <v>47193</v>
      </c>
      <c r="G18111" t="s">
        <v>47094</v>
      </c>
      <c r="H18111" t="s">
        <v>47055</v>
      </c>
      <c r="I18111" t="s">
        <v>47120</v>
      </c>
      <c r="J18111" t="s">
        <v>47121</v>
      </c>
      <c r="K18111" t="s">
        <v>47113</v>
      </c>
      <c r="L18111">
        <v>42.73</v>
      </c>
      <c r="M18111">
        <v>92</v>
      </c>
      <c r="N18111">
        <v>249</v>
      </c>
      <c r="O18111">
        <v>92</v>
      </c>
      <c r="P18111">
        <v>249</v>
      </c>
    </row>
    <row r="18112" spans="1:16" x14ac:dyDescent="0.25">
      <c r="A18112" t="s">
        <v>49040</v>
      </c>
      <c r="B18112" t="s">
        <v>49041</v>
      </c>
      <c r="C18112" t="s">
        <v>49042</v>
      </c>
      <c r="D18112" t="str">
        <f>"4646"</f>
        <v>4646</v>
      </c>
      <c r="E18112" t="s">
        <v>9741</v>
      </c>
      <c r="F18112" t="s">
        <v>47193</v>
      </c>
      <c r="G18112" t="s">
        <v>47094</v>
      </c>
      <c r="H18112" t="s">
        <v>47055</v>
      </c>
      <c r="I18112" t="s">
        <v>47120</v>
      </c>
      <c r="J18112" t="s">
        <v>47121</v>
      </c>
      <c r="K18112" t="s">
        <v>47113</v>
      </c>
      <c r="L18112">
        <v>28.62</v>
      </c>
      <c r="M18112">
        <v>63</v>
      </c>
      <c r="N18112">
        <v>169</v>
      </c>
      <c r="O18112">
        <v>63</v>
      </c>
      <c r="P18112">
        <v>169</v>
      </c>
    </row>
    <row r="18113" spans="1:16" x14ac:dyDescent="0.25">
      <c r="A18113" t="s">
        <v>49043</v>
      </c>
      <c r="B18113" t="s">
        <v>49044</v>
      </c>
      <c r="C18113" t="s">
        <v>49045</v>
      </c>
      <c r="D18113" t="str">
        <f>"4117"</f>
        <v>4117</v>
      </c>
      <c r="E18113" t="s">
        <v>49046</v>
      </c>
      <c r="F18113" t="s">
        <v>47193</v>
      </c>
      <c r="G18113" t="s">
        <v>47093</v>
      </c>
      <c r="H18113" t="s">
        <v>47055</v>
      </c>
      <c r="I18113" t="s">
        <v>47127</v>
      </c>
      <c r="J18113" t="s">
        <v>47128</v>
      </c>
      <c r="K18113" t="s">
        <v>47113</v>
      </c>
      <c r="L18113">
        <v>26.36</v>
      </c>
      <c r="M18113">
        <v>63</v>
      </c>
      <c r="N18113">
        <v>169</v>
      </c>
      <c r="O18113">
        <v>63</v>
      </c>
      <c r="P18113">
        <v>169</v>
      </c>
    </row>
    <row r="18114" spans="1:16" x14ac:dyDescent="0.25">
      <c r="A18114" t="s">
        <v>49047</v>
      </c>
      <c r="B18114" t="s">
        <v>49048</v>
      </c>
      <c r="C18114" t="s">
        <v>49049</v>
      </c>
      <c r="D18114" t="str">
        <f>"1071"</f>
        <v>1071</v>
      </c>
      <c r="E18114" t="s">
        <v>49050</v>
      </c>
      <c r="F18114" t="s">
        <v>47193</v>
      </c>
      <c r="G18114" t="s">
        <v>47093</v>
      </c>
      <c r="H18114" t="s">
        <v>47055</v>
      </c>
      <c r="I18114" t="s">
        <v>47127</v>
      </c>
      <c r="J18114" t="s">
        <v>47128</v>
      </c>
      <c r="K18114" t="s">
        <v>47113</v>
      </c>
      <c r="L18114">
        <v>29.74</v>
      </c>
      <c r="M18114">
        <v>70</v>
      </c>
      <c r="N18114">
        <v>189</v>
      </c>
      <c r="O18114">
        <v>70</v>
      </c>
      <c r="P18114">
        <v>189</v>
      </c>
    </row>
    <row r="18115" spans="1:16" x14ac:dyDescent="0.25">
      <c r="A18115" t="s">
        <v>49051</v>
      </c>
      <c r="B18115" t="s">
        <v>49052</v>
      </c>
      <c r="C18115" t="s">
        <v>49053</v>
      </c>
      <c r="D18115" t="str">
        <f>"4125"</f>
        <v>4125</v>
      </c>
      <c r="E18115" t="s">
        <v>47206</v>
      </c>
      <c r="F18115" t="s">
        <v>47193</v>
      </c>
      <c r="G18115" t="s">
        <v>47093</v>
      </c>
      <c r="H18115" t="s">
        <v>47055</v>
      </c>
      <c r="I18115" t="s">
        <v>47127</v>
      </c>
      <c r="J18115" t="s">
        <v>47128</v>
      </c>
      <c r="K18115" t="s">
        <v>47113</v>
      </c>
      <c r="L18115">
        <v>28.52</v>
      </c>
      <c r="M18115">
        <v>66</v>
      </c>
      <c r="N18115">
        <v>179</v>
      </c>
      <c r="O18115">
        <v>66</v>
      </c>
      <c r="P18115">
        <v>179</v>
      </c>
    </row>
    <row r="18116" spans="1:16" x14ac:dyDescent="0.25">
      <c r="A18116" t="s">
        <v>49054</v>
      </c>
      <c r="B18116" t="s">
        <v>49055</v>
      </c>
      <c r="C18116" t="s">
        <v>49056</v>
      </c>
      <c r="D18116" t="str">
        <f>"4646"</f>
        <v>4646</v>
      </c>
      <c r="E18116" t="s">
        <v>9741</v>
      </c>
      <c r="F18116" t="s">
        <v>47193</v>
      </c>
      <c r="G18116" t="s">
        <v>47093</v>
      </c>
      <c r="H18116" t="s">
        <v>47055</v>
      </c>
      <c r="I18116" t="s">
        <v>47127</v>
      </c>
      <c r="J18116" t="s">
        <v>47128</v>
      </c>
      <c r="K18116" t="s">
        <v>47113</v>
      </c>
      <c r="L18116">
        <v>30.64</v>
      </c>
      <c r="M18116">
        <v>74</v>
      </c>
      <c r="N18116">
        <v>199</v>
      </c>
      <c r="O18116">
        <v>74</v>
      </c>
      <c r="P18116">
        <v>199</v>
      </c>
    </row>
    <row r="18117" spans="1:16" x14ac:dyDescent="0.25">
      <c r="A18117" t="s">
        <v>49057</v>
      </c>
      <c r="B18117" t="s">
        <v>49058</v>
      </c>
      <c r="C18117" t="s">
        <v>49059</v>
      </c>
      <c r="D18117" t="str">
        <f>"1001"</f>
        <v>1001</v>
      </c>
      <c r="E18117" t="s">
        <v>42</v>
      </c>
      <c r="F18117" t="s">
        <v>47193</v>
      </c>
      <c r="G18117" t="s">
        <v>47093</v>
      </c>
      <c r="H18117" t="s">
        <v>47055</v>
      </c>
      <c r="I18117" t="s">
        <v>47127</v>
      </c>
      <c r="J18117" t="s">
        <v>47128</v>
      </c>
      <c r="K18117" t="s">
        <v>47113</v>
      </c>
      <c r="L18117">
        <v>34.33</v>
      </c>
      <c r="M18117">
        <v>74</v>
      </c>
      <c r="N18117">
        <v>199</v>
      </c>
      <c r="O18117">
        <v>74</v>
      </c>
      <c r="P18117">
        <v>199</v>
      </c>
    </row>
    <row r="18118" spans="1:16" x14ac:dyDescent="0.25">
      <c r="A18118" t="s">
        <v>49060</v>
      </c>
      <c r="B18118" t="s">
        <v>49058</v>
      </c>
      <c r="C18118" t="s">
        <v>49059</v>
      </c>
      <c r="D18118" t="str">
        <f>"3106"</f>
        <v>3106</v>
      </c>
      <c r="E18118" t="s">
        <v>230</v>
      </c>
      <c r="F18118" t="s">
        <v>47193</v>
      </c>
      <c r="G18118" t="s">
        <v>47093</v>
      </c>
      <c r="H18118" t="s">
        <v>47055</v>
      </c>
      <c r="I18118" t="s">
        <v>47127</v>
      </c>
      <c r="J18118" t="s">
        <v>47128</v>
      </c>
      <c r="K18118" t="s">
        <v>47113</v>
      </c>
      <c r="L18118">
        <v>34.33</v>
      </c>
      <c r="M18118">
        <v>74</v>
      </c>
      <c r="N18118">
        <v>199</v>
      </c>
      <c r="O18118">
        <v>74</v>
      </c>
      <c r="P18118">
        <v>199</v>
      </c>
    </row>
    <row r="18119" spans="1:16" x14ac:dyDescent="0.25">
      <c r="A18119" t="s">
        <v>49061</v>
      </c>
      <c r="B18119" t="s">
        <v>49062</v>
      </c>
      <c r="C18119" t="s">
        <v>49063</v>
      </c>
      <c r="D18119" t="str">
        <f>"1001"</f>
        <v>1001</v>
      </c>
      <c r="E18119" t="s">
        <v>42</v>
      </c>
      <c r="F18119" t="s">
        <v>47193</v>
      </c>
      <c r="G18119" t="s">
        <v>47093</v>
      </c>
      <c r="H18119" t="s">
        <v>47055</v>
      </c>
      <c r="I18119" t="s">
        <v>47127</v>
      </c>
      <c r="J18119" t="s">
        <v>47128</v>
      </c>
      <c r="K18119" t="s">
        <v>47113</v>
      </c>
      <c r="L18119">
        <v>26.36</v>
      </c>
      <c r="M18119">
        <v>63</v>
      </c>
      <c r="N18119">
        <v>169</v>
      </c>
      <c r="O18119">
        <v>63</v>
      </c>
      <c r="P18119">
        <v>169</v>
      </c>
    </row>
    <row r="18120" spans="1:16" x14ac:dyDescent="0.25">
      <c r="A18120" t="s">
        <v>49064</v>
      </c>
      <c r="B18120" t="s">
        <v>49065</v>
      </c>
      <c r="C18120" t="s">
        <v>49066</v>
      </c>
      <c r="D18120" t="str">
        <f>"4646"</f>
        <v>4646</v>
      </c>
      <c r="E18120" t="s">
        <v>9741</v>
      </c>
      <c r="F18120" t="s">
        <v>47193</v>
      </c>
      <c r="G18120" t="s">
        <v>47093</v>
      </c>
      <c r="H18120" t="s">
        <v>47055</v>
      </c>
      <c r="I18120" t="s">
        <v>47127</v>
      </c>
      <c r="J18120" t="s">
        <v>47128</v>
      </c>
      <c r="K18120" t="s">
        <v>47113</v>
      </c>
      <c r="L18120">
        <v>26.36</v>
      </c>
      <c r="M18120">
        <v>63</v>
      </c>
      <c r="N18120">
        <v>169</v>
      </c>
      <c r="O18120">
        <v>63</v>
      </c>
      <c r="P18120">
        <v>169</v>
      </c>
    </row>
    <row r="18121" spans="1:16" x14ac:dyDescent="0.25">
      <c r="A18121" t="s">
        <v>49067</v>
      </c>
      <c r="B18121" t="s">
        <v>49068</v>
      </c>
      <c r="C18121" t="s">
        <v>49069</v>
      </c>
      <c r="D18121" t="str">
        <f>"4125"</f>
        <v>4125</v>
      </c>
      <c r="E18121" t="s">
        <v>47206</v>
      </c>
      <c r="F18121" t="s">
        <v>47193</v>
      </c>
      <c r="G18121" t="s">
        <v>47093</v>
      </c>
      <c r="H18121" t="s">
        <v>47055</v>
      </c>
      <c r="I18121" t="s">
        <v>47127</v>
      </c>
      <c r="J18121" t="s">
        <v>47128</v>
      </c>
      <c r="K18121" t="s">
        <v>47113</v>
      </c>
      <c r="L18121">
        <v>28.52</v>
      </c>
      <c r="M18121">
        <v>63</v>
      </c>
      <c r="N18121">
        <v>169</v>
      </c>
      <c r="O18121">
        <v>63</v>
      </c>
      <c r="P18121">
        <v>169</v>
      </c>
    </row>
    <row r="18122" spans="1:16" x14ac:dyDescent="0.25">
      <c r="A18122" t="s">
        <v>49070</v>
      </c>
      <c r="B18122" t="s">
        <v>49071</v>
      </c>
      <c r="C18122" t="s">
        <v>49072</v>
      </c>
      <c r="D18122" t="str">
        <f>"4646"</f>
        <v>4646</v>
      </c>
      <c r="E18122" t="s">
        <v>9741</v>
      </c>
      <c r="F18122" t="s">
        <v>47193</v>
      </c>
      <c r="G18122" t="s">
        <v>47098</v>
      </c>
      <c r="H18122" t="s">
        <v>47055</v>
      </c>
      <c r="I18122" t="s">
        <v>47127</v>
      </c>
      <c r="J18122" t="s">
        <v>47128</v>
      </c>
      <c r="K18122" t="s">
        <v>47113</v>
      </c>
      <c r="L18122">
        <v>37.61</v>
      </c>
      <c r="M18122">
        <v>74</v>
      </c>
      <c r="N18122">
        <v>199</v>
      </c>
      <c r="O18122">
        <v>74</v>
      </c>
      <c r="P18122">
        <v>199</v>
      </c>
    </row>
    <row r="18123" spans="1:16" x14ac:dyDescent="0.25">
      <c r="A18123" t="s">
        <v>49073</v>
      </c>
      <c r="B18123" t="s">
        <v>49074</v>
      </c>
      <c r="C18123" t="s">
        <v>49053</v>
      </c>
      <c r="D18123" t="str">
        <f>"4125"</f>
        <v>4125</v>
      </c>
      <c r="E18123" t="s">
        <v>47206</v>
      </c>
      <c r="F18123" t="s">
        <v>47193</v>
      </c>
      <c r="G18123" t="s">
        <v>47093</v>
      </c>
      <c r="H18123" t="s">
        <v>47055</v>
      </c>
      <c r="I18123" t="s">
        <v>47127</v>
      </c>
      <c r="J18123" t="s">
        <v>47128</v>
      </c>
      <c r="K18123" t="s">
        <v>47113</v>
      </c>
      <c r="L18123">
        <v>28.52</v>
      </c>
      <c r="M18123">
        <v>63</v>
      </c>
      <c r="N18123">
        <v>169</v>
      </c>
      <c r="O18123">
        <v>63</v>
      </c>
      <c r="P18123">
        <v>169</v>
      </c>
    </row>
    <row r="18124" spans="1:16" x14ac:dyDescent="0.25">
      <c r="A18124" t="s">
        <v>49075</v>
      </c>
      <c r="B18124" t="s">
        <v>49076</v>
      </c>
      <c r="C18124" t="s">
        <v>49077</v>
      </c>
      <c r="D18124" t="str">
        <f>"4646"</f>
        <v>4646</v>
      </c>
      <c r="E18124" t="s">
        <v>9741</v>
      </c>
      <c r="F18124" t="s">
        <v>47193</v>
      </c>
      <c r="G18124" t="s">
        <v>47093</v>
      </c>
      <c r="H18124" t="s">
        <v>47055</v>
      </c>
      <c r="I18124" t="s">
        <v>47127</v>
      </c>
      <c r="J18124" t="s">
        <v>47128</v>
      </c>
      <c r="K18124" t="s">
        <v>47113</v>
      </c>
      <c r="L18124">
        <v>30.64</v>
      </c>
      <c r="M18124">
        <v>74</v>
      </c>
      <c r="N18124">
        <v>199</v>
      </c>
      <c r="O18124">
        <v>74</v>
      </c>
      <c r="P18124">
        <v>199</v>
      </c>
    </row>
    <row r="18125" spans="1:16" x14ac:dyDescent="0.25">
      <c r="A18125" t="s">
        <v>49078</v>
      </c>
      <c r="B18125" t="s">
        <v>49079</v>
      </c>
      <c r="C18125" t="s">
        <v>47238</v>
      </c>
      <c r="D18125" t="str">
        <f>"1001"</f>
        <v>1001</v>
      </c>
      <c r="E18125" t="s">
        <v>42</v>
      </c>
      <c r="F18125" t="s">
        <v>47193</v>
      </c>
      <c r="G18125" t="s">
        <v>47094</v>
      </c>
      <c r="H18125" t="s">
        <v>47055</v>
      </c>
      <c r="I18125" t="s">
        <v>47127</v>
      </c>
      <c r="J18125" t="s">
        <v>47128</v>
      </c>
      <c r="K18125" t="s">
        <v>47113</v>
      </c>
      <c r="L18125">
        <v>31.59</v>
      </c>
      <c r="M18125">
        <v>70</v>
      </c>
      <c r="N18125">
        <v>189</v>
      </c>
      <c r="O18125">
        <v>70</v>
      </c>
      <c r="P18125">
        <v>189</v>
      </c>
    </row>
    <row r="18126" spans="1:16" x14ac:dyDescent="0.25">
      <c r="A18126" t="s">
        <v>49080</v>
      </c>
      <c r="B18126" t="s">
        <v>49081</v>
      </c>
      <c r="C18126" t="s">
        <v>49082</v>
      </c>
      <c r="D18126" t="str">
        <f>"1001"</f>
        <v>1001</v>
      </c>
      <c r="E18126" t="s">
        <v>42</v>
      </c>
      <c r="F18126" t="s">
        <v>47193</v>
      </c>
      <c r="G18126" t="s">
        <v>47094</v>
      </c>
      <c r="H18126" t="s">
        <v>47055</v>
      </c>
      <c r="I18126" t="s">
        <v>47127</v>
      </c>
      <c r="J18126" t="s">
        <v>47128</v>
      </c>
      <c r="K18126" t="s">
        <v>47113</v>
      </c>
      <c r="L18126">
        <v>34.76</v>
      </c>
      <c r="M18126">
        <v>70</v>
      </c>
      <c r="N18126">
        <v>189</v>
      </c>
      <c r="O18126">
        <v>70</v>
      </c>
      <c r="P18126">
        <v>189</v>
      </c>
    </row>
    <row r="18127" spans="1:16" x14ac:dyDescent="0.25">
      <c r="A18127" t="s">
        <v>49083</v>
      </c>
      <c r="B18127" t="s">
        <v>49084</v>
      </c>
      <c r="C18127" t="s">
        <v>49085</v>
      </c>
      <c r="D18127" t="str">
        <f>"1001"</f>
        <v>1001</v>
      </c>
      <c r="E18127" t="s">
        <v>42</v>
      </c>
      <c r="F18127" t="s">
        <v>47193</v>
      </c>
      <c r="G18127" t="s">
        <v>47096</v>
      </c>
      <c r="H18127" t="s">
        <v>47055</v>
      </c>
      <c r="I18127" t="s">
        <v>47127</v>
      </c>
      <c r="J18127" t="s">
        <v>47128</v>
      </c>
      <c r="K18127" t="s">
        <v>47113</v>
      </c>
      <c r="L18127">
        <v>21.66</v>
      </c>
      <c r="M18127">
        <v>51</v>
      </c>
      <c r="N18127">
        <v>139</v>
      </c>
      <c r="O18127">
        <v>51</v>
      </c>
      <c r="P18127">
        <v>139</v>
      </c>
    </row>
    <row r="18128" spans="1:16" x14ac:dyDescent="0.25">
      <c r="A18128" t="s">
        <v>49086</v>
      </c>
      <c r="B18128" t="s">
        <v>49084</v>
      </c>
      <c r="C18128" t="s">
        <v>49085</v>
      </c>
      <c r="D18128" t="str">
        <f>"6000"</f>
        <v>6000</v>
      </c>
      <c r="E18128" t="s">
        <v>1749</v>
      </c>
      <c r="F18128" t="s">
        <v>47193</v>
      </c>
      <c r="G18128" t="s">
        <v>47096</v>
      </c>
      <c r="H18128" t="s">
        <v>47055</v>
      </c>
      <c r="I18128" t="s">
        <v>47127</v>
      </c>
      <c r="J18128" t="s">
        <v>47128</v>
      </c>
      <c r="K18128" t="s">
        <v>47113</v>
      </c>
      <c r="L18128">
        <v>21.66</v>
      </c>
      <c r="M18128">
        <v>51</v>
      </c>
      <c r="N18128">
        <v>139</v>
      </c>
      <c r="O18128">
        <v>51</v>
      </c>
      <c r="P18128">
        <v>139</v>
      </c>
    </row>
    <row r="18129" spans="1:16" x14ac:dyDescent="0.25">
      <c r="A18129" t="s">
        <v>49087</v>
      </c>
      <c r="B18129" t="s">
        <v>49088</v>
      </c>
      <c r="C18129" t="s">
        <v>49089</v>
      </c>
      <c r="D18129" t="str">
        <f>"1377"</f>
        <v>1377</v>
      </c>
      <c r="E18129" t="s">
        <v>74</v>
      </c>
      <c r="F18129" t="s">
        <v>47193</v>
      </c>
      <c r="G18129" t="s">
        <v>47094</v>
      </c>
      <c r="H18129" t="s">
        <v>47055</v>
      </c>
      <c r="I18129" t="s">
        <v>47127</v>
      </c>
      <c r="J18129" t="s">
        <v>47128</v>
      </c>
      <c r="K18129" t="s">
        <v>47113</v>
      </c>
      <c r="L18129">
        <v>29.26</v>
      </c>
      <c r="M18129">
        <v>63</v>
      </c>
      <c r="N18129">
        <v>169</v>
      </c>
      <c r="O18129">
        <v>63</v>
      </c>
      <c r="P18129">
        <v>169</v>
      </c>
    </row>
    <row r="18130" spans="1:16" x14ac:dyDescent="0.25">
      <c r="A18130" t="s">
        <v>49090</v>
      </c>
      <c r="B18130" t="s">
        <v>49088</v>
      </c>
      <c r="C18130" t="s">
        <v>49089</v>
      </c>
      <c r="D18130" t="str">
        <f>"4269"</f>
        <v>4269</v>
      </c>
      <c r="E18130" t="s">
        <v>7493</v>
      </c>
      <c r="F18130" t="s">
        <v>47193</v>
      </c>
      <c r="G18130" t="s">
        <v>47094</v>
      </c>
      <c r="H18130" t="s">
        <v>47055</v>
      </c>
      <c r="I18130" t="s">
        <v>47127</v>
      </c>
      <c r="J18130" t="s">
        <v>47128</v>
      </c>
      <c r="K18130" t="s">
        <v>47113</v>
      </c>
      <c r="L18130">
        <v>29.26</v>
      </c>
      <c r="M18130">
        <v>63</v>
      </c>
      <c r="N18130">
        <v>169</v>
      </c>
      <c r="O18130">
        <v>63</v>
      </c>
      <c r="P18130">
        <v>169</v>
      </c>
    </row>
    <row r="18131" spans="1:16" x14ac:dyDescent="0.25">
      <c r="A18131" t="s">
        <v>49091</v>
      </c>
      <c r="B18131" t="s">
        <v>49092</v>
      </c>
      <c r="C18131" t="s">
        <v>49093</v>
      </c>
      <c r="D18131" t="str">
        <f>"1001"</f>
        <v>1001</v>
      </c>
      <c r="E18131" t="s">
        <v>42</v>
      </c>
      <c r="F18131" t="s">
        <v>47193</v>
      </c>
      <c r="G18131" t="s">
        <v>47094</v>
      </c>
      <c r="H18131" t="s">
        <v>47055</v>
      </c>
      <c r="I18131" t="s">
        <v>47127</v>
      </c>
      <c r="J18131" t="s">
        <v>47128</v>
      </c>
      <c r="K18131" t="s">
        <v>47113</v>
      </c>
      <c r="L18131">
        <v>25.35</v>
      </c>
      <c r="M18131">
        <v>59</v>
      </c>
      <c r="N18131">
        <v>159</v>
      </c>
      <c r="O18131">
        <v>59</v>
      </c>
      <c r="P18131">
        <v>159</v>
      </c>
    </row>
    <row r="18132" spans="1:16" x14ac:dyDescent="0.25">
      <c r="A18132" t="s">
        <v>49094</v>
      </c>
      <c r="B18132" t="s">
        <v>49092</v>
      </c>
      <c r="C18132" t="s">
        <v>49093</v>
      </c>
      <c r="D18132" t="str">
        <f>"1377"</f>
        <v>1377</v>
      </c>
      <c r="E18132" t="s">
        <v>74</v>
      </c>
      <c r="F18132" t="s">
        <v>47193</v>
      </c>
      <c r="G18132" t="s">
        <v>47094</v>
      </c>
      <c r="H18132" t="s">
        <v>47055</v>
      </c>
      <c r="I18132" t="s">
        <v>47127</v>
      </c>
      <c r="J18132" t="s">
        <v>47128</v>
      </c>
      <c r="K18132" t="s">
        <v>47113</v>
      </c>
      <c r="L18132">
        <v>25.35</v>
      </c>
      <c r="M18132">
        <v>59</v>
      </c>
      <c r="N18132">
        <v>159</v>
      </c>
      <c r="O18132">
        <v>59</v>
      </c>
      <c r="P18132">
        <v>159</v>
      </c>
    </row>
    <row r="18133" spans="1:16" x14ac:dyDescent="0.25">
      <c r="A18133" t="s">
        <v>49095</v>
      </c>
      <c r="B18133" t="s">
        <v>49096</v>
      </c>
      <c r="C18133" t="s">
        <v>49097</v>
      </c>
      <c r="D18133" t="str">
        <f>"1001"</f>
        <v>1001</v>
      </c>
      <c r="E18133" t="s">
        <v>42</v>
      </c>
      <c r="F18133" t="s">
        <v>47193</v>
      </c>
      <c r="G18133" t="s">
        <v>47094</v>
      </c>
      <c r="H18133" t="s">
        <v>47055</v>
      </c>
      <c r="I18133" t="s">
        <v>47127</v>
      </c>
      <c r="J18133" t="s">
        <v>47128</v>
      </c>
      <c r="K18133" t="s">
        <v>47113</v>
      </c>
      <c r="L18133">
        <v>29.47</v>
      </c>
      <c r="M18133">
        <v>70</v>
      </c>
      <c r="N18133">
        <v>189</v>
      </c>
      <c r="O18133">
        <v>70</v>
      </c>
      <c r="P18133">
        <v>189</v>
      </c>
    </row>
    <row r="18134" spans="1:16" x14ac:dyDescent="0.25">
      <c r="A18134" t="s">
        <v>49098</v>
      </c>
      <c r="B18134" t="s">
        <v>49096</v>
      </c>
      <c r="C18134" t="s">
        <v>49097</v>
      </c>
      <c r="D18134" t="str">
        <f>"2639"</f>
        <v>2639</v>
      </c>
      <c r="E18134" t="s">
        <v>47214</v>
      </c>
      <c r="F18134" t="s">
        <v>47193</v>
      </c>
      <c r="G18134" t="s">
        <v>47094</v>
      </c>
      <c r="H18134" t="s">
        <v>47055</v>
      </c>
      <c r="I18134" t="s">
        <v>47127</v>
      </c>
      <c r="J18134" t="s">
        <v>47128</v>
      </c>
      <c r="K18134" t="s">
        <v>47113</v>
      </c>
      <c r="L18134">
        <v>29.47</v>
      </c>
      <c r="M18134">
        <v>70</v>
      </c>
      <c r="N18134">
        <v>189</v>
      </c>
      <c r="O18134">
        <v>70</v>
      </c>
      <c r="P18134">
        <v>189</v>
      </c>
    </row>
    <row r="18135" spans="1:16" x14ac:dyDescent="0.25">
      <c r="A18135" t="s">
        <v>49099</v>
      </c>
      <c r="B18135" t="s">
        <v>49096</v>
      </c>
      <c r="C18135" t="s">
        <v>49097</v>
      </c>
      <c r="D18135" t="str">
        <f>"4000"</f>
        <v>4000</v>
      </c>
      <c r="E18135" t="s">
        <v>2383</v>
      </c>
      <c r="F18135" t="s">
        <v>47193</v>
      </c>
      <c r="G18135" t="s">
        <v>47094</v>
      </c>
      <c r="H18135" t="s">
        <v>47055</v>
      </c>
      <c r="I18135" t="s">
        <v>47127</v>
      </c>
      <c r="J18135" t="s">
        <v>47128</v>
      </c>
      <c r="K18135" t="s">
        <v>47113</v>
      </c>
      <c r="L18135">
        <v>29.47</v>
      </c>
      <c r="M18135">
        <v>70</v>
      </c>
      <c r="N18135">
        <v>189</v>
      </c>
      <c r="O18135">
        <v>70</v>
      </c>
      <c r="P18135">
        <v>189</v>
      </c>
    </row>
    <row r="18136" spans="1:16" x14ac:dyDescent="0.25">
      <c r="A18136" t="s">
        <v>49100</v>
      </c>
      <c r="B18136" t="s">
        <v>49101</v>
      </c>
      <c r="C18136" t="s">
        <v>49102</v>
      </c>
      <c r="D18136" t="str">
        <f>"1001"</f>
        <v>1001</v>
      </c>
      <c r="E18136" t="s">
        <v>42</v>
      </c>
      <c r="F18136" t="s">
        <v>47193</v>
      </c>
      <c r="G18136" t="s">
        <v>47095</v>
      </c>
      <c r="H18136" t="s">
        <v>47055</v>
      </c>
      <c r="I18136" t="s">
        <v>47127</v>
      </c>
      <c r="J18136" t="s">
        <v>47128</v>
      </c>
      <c r="K18136" t="s">
        <v>47113</v>
      </c>
      <c r="L18136">
        <v>15.63</v>
      </c>
      <c r="M18136">
        <v>48</v>
      </c>
      <c r="N18136">
        <v>129</v>
      </c>
      <c r="O18136">
        <v>48</v>
      </c>
      <c r="P18136">
        <v>129</v>
      </c>
    </row>
    <row r="18137" spans="1:16" x14ac:dyDescent="0.25">
      <c r="A18137" t="s">
        <v>49103</v>
      </c>
      <c r="B18137" t="s">
        <v>49101</v>
      </c>
      <c r="C18137" t="s">
        <v>49102</v>
      </c>
      <c r="D18137" t="str">
        <f>"4000"</f>
        <v>4000</v>
      </c>
      <c r="E18137" t="s">
        <v>2383</v>
      </c>
      <c r="F18137" t="s">
        <v>47193</v>
      </c>
      <c r="G18137" t="s">
        <v>47095</v>
      </c>
      <c r="H18137" t="s">
        <v>47055</v>
      </c>
      <c r="I18137" t="s">
        <v>47127</v>
      </c>
      <c r="J18137" t="s">
        <v>47128</v>
      </c>
      <c r="K18137" t="s">
        <v>47113</v>
      </c>
      <c r="L18137">
        <v>15.63</v>
      </c>
      <c r="M18137">
        <v>48</v>
      </c>
      <c r="N18137">
        <v>129</v>
      </c>
      <c r="O18137">
        <v>48</v>
      </c>
      <c r="P18137">
        <v>129</v>
      </c>
    </row>
    <row r="18138" spans="1:16" x14ac:dyDescent="0.25">
      <c r="A18138" t="s">
        <v>49104</v>
      </c>
      <c r="B18138" t="s">
        <v>49105</v>
      </c>
      <c r="C18138" t="s">
        <v>49106</v>
      </c>
      <c r="D18138" t="str">
        <f>"2639"</f>
        <v>2639</v>
      </c>
      <c r="E18138" t="s">
        <v>47214</v>
      </c>
      <c r="F18138" t="s">
        <v>47193</v>
      </c>
      <c r="G18138" t="s">
        <v>47096</v>
      </c>
      <c r="H18138" t="s">
        <v>47055</v>
      </c>
      <c r="I18138" t="s">
        <v>47127</v>
      </c>
      <c r="J18138" t="s">
        <v>47128</v>
      </c>
      <c r="K18138" t="s">
        <v>47113</v>
      </c>
      <c r="L18138">
        <v>21.66</v>
      </c>
      <c r="M18138">
        <v>51</v>
      </c>
      <c r="N18138">
        <v>139</v>
      </c>
      <c r="O18138">
        <v>51</v>
      </c>
      <c r="P18138">
        <v>139</v>
      </c>
    </row>
    <row r="18139" spans="1:16" x14ac:dyDescent="0.25">
      <c r="A18139" t="s">
        <v>49107</v>
      </c>
      <c r="B18139" t="s">
        <v>49105</v>
      </c>
      <c r="C18139" t="s">
        <v>49106</v>
      </c>
      <c r="D18139" t="str">
        <f>"4000"</f>
        <v>4000</v>
      </c>
      <c r="E18139" t="s">
        <v>2383</v>
      </c>
      <c r="F18139" t="s">
        <v>47193</v>
      </c>
      <c r="G18139" t="s">
        <v>47096</v>
      </c>
      <c r="H18139" t="s">
        <v>47055</v>
      </c>
      <c r="I18139" t="s">
        <v>47127</v>
      </c>
      <c r="J18139" t="s">
        <v>47128</v>
      </c>
      <c r="K18139" t="s">
        <v>47113</v>
      </c>
      <c r="L18139">
        <v>21.66</v>
      </c>
      <c r="M18139">
        <v>51</v>
      </c>
      <c r="N18139">
        <v>139</v>
      </c>
      <c r="O18139">
        <v>51</v>
      </c>
      <c r="P18139">
        <v>139</v>
      </c>
    </row>
    <row r="18140" spans="1:16" x14ac:dyDescent="0.25">
      <c r="A18140" t="s">
        <v>49108</v>
      </c>
      <c r="B18140" t="s">
        <v>49109</v>
      </c>
      <c r="C18140" t="s">
        <v>49110</v>
      </c>
      <c r="D18140" t="str">
        <f>"1001"</f>
        <v>1001</v>
      </c>
      <c r="E18140" t="s">
        <v>42</v>
      </c>
      <c r="F18140" t="s">
        <v>47193</v>
      </c>
      <c r="G18140" t="s">
        <v>47094</v>
      </c>
      <c r="H18140" t="s">
        <v>47055</v>
      </c>
      <c r="I18140" t="s">
        <v>47127</v>
      </c>
      <c r="J18140" t="s">
        <v>47128</v>
      </c>
      <c r="K18140" t="s">
        <v>47113</v>
      </c>
      <c r="L18140">
        <v>31.59</v>
      </c>
      <c r="M18140">
        <v>70</v>
      </c>
      <c r="N18140">
        <v>189</v>
      </c>
      <c r="O18140">
        <v>70</v>
      </c>
      <c r="P18140">
        <v>189</v>
      </c>
    </row>
    <row r="18141" spans="1:16" x14ac:dyDescent="0.25">
      <c r="A18141" t="s">
        <v>49111</v>
      </c>
      <c r="B18141" t="s">
        <v>49109</v>
      </c>
      <c r="C18141" t="s">
        <v>49110</v>
      </c>
      <c r="D18141" t="str">
        <f>"2639"</f>
        <v>2639</v>
      </c>
      <c r="E18141" t="s">
        <v>47214</v>
      </c>
      <c r="F18141" t="s">
        <v>47193</v>
      </c>
      <c r="G18141" t="s">
        <v>47094</v>
      </c>
      <c r="H18141" t="s">
        <v>47055</v>
      </c>
      <c r="I18141" t="s">
        <v>47127</v>
      </c>
      <c r="J18141" t="s">
        <v>47128</v>
      </c>
      <c r="K18141" t="s">
        <v>47113</v>
      </c>
      <c r="L18141">
        <v>31.59</v>
      </c>
      <c r="M18141">
        <v>70</v>
      </c>
      <c r="N18141">
        <v>189</v>
      </c>
      <c r="O18141">
        <v>70</v>
      </c>
      <c r="P18141">
        <v>189</v>
      </c>
    </row>
    <row r="18142" spans="1:16" x14ac:dyDescent="0.25">
      <c r="A18142" t="s">
        <v>49112</v>
      </c>
      <c r="B18142" t="s">
        <v>49113</v>
      </c>
      <c r="C18142" t="s">
        <v>49114</v>
      </c>
      <c r="D18142" t="str">
        <f>"1001"</f>
        <v>1001</v>
      </c>
      <c r="E18142" t="s">
        <v>42</v>
      </c>
      <c r="F18142" t="s">
        <v>47193</v>
      </c>
      <c r="G18142" t="s">
        <v>47094</v>
      </c>
      <c r="H18142" t="s">
        <v>47055</v>
      </c>
      <c r="I18142" t="s">
        <v>47120</v>
      </c>
      <c r="J18142" t="s">
        <v>47121</v>
      </c>
      <c r="K18142" t="s">
        <v>47113</v>
      </c>
      <c r="L18142">
        <v>32.07</v>
      </c>
      <c r="M18142">
        <v>70</v>
      </c>
      <c r="N18142">
        <v>189</v>
      </c>
      <c r="O18142">
        <v>70</v>
      </c>
      <c r="P18142">
        <v>189</v>
      </c>
    </row>
    <row r="18143" spans="1:16" x14ac:dyDescent="0.25">
      <c r="A18143" t="s">
        <v>49115</v>
      </c>
      <c r="B18143" t="s">
        <v>49113</v>
      </c>
      <c r="C18143" t="s">
        <v>49114</v>
      </c>
      <c r="D18143" t="str">
        <f>"1285"</f>
        <v>1285</v>
      </c>
      <c r="E18143" t="s">
        <v>2148</v>
      </c>
      <c r="F18143" t="s">
        <v>47193</v>
      </c>
      <c r="G18143" t="s">
        <v>47094</v>
      </c>
      <c r="H18143" t="s">
        <v>47055</v>
      </c>
      <c r="I18143" t="s">
        <v>47120</v>
      </c>
      <c r="J18143" t="s">
        <v>47121</v>
      </c>
      <c r="K18143" t="s">
        <v>47113</v>
      </c>
      <c r="L18143">
        <v>32.07</v>
      </c>
      <c r="M18143">
        <v>70</v>
      </c>
      <c r="N18143">
        <v>189</v>
      </c>
      <c r="O18143">
        <v>70</v>
      </c>
      <c r="P18143">
        <v>189</v>
      </c>
    </row>
    <row r="18144" spans="1:16" x14ac:dyDescent="0.25">
      <c r="A18144" t="s">
        <v>49116</v>
      </c>
      <c r="B18144" t="s">
        <v>49117</v>
      </c>
      <c r="C18144" t="s">
        <v>49118</v>
      </c>
      <c r="D18144" t="str">
        <f>"1001"</f>
        <v>1001</v>
      </c>
      <c r="E18144" t="s">
        <v>42</v>
      </c>
      <c r="F18144" t="s">
        <v>47193</v>
      </c>
      <c r="G18144" t="s">
        <v>47096</v>
      </c>
      <c r="H18144" t="s">
        <v>47055</v>
      </c>
      <c r="I18144" t="s">
        <v>47127</v>
      </c>
      <c r="J18144" t="s">
        <v>47128</v>
      </c>
      <c r="K18144" t="s">
        <v>47113</v>
      </c>
      <c r="L18144">
        <v>27.36</v>
      </c>
      <c r="M18144">
        <v>63</v>
      </c>
      <c r="N18144">
        <v>169</v>
      </c>
      <c r="O18144">
        <v>63</v>
      </c>
      <c r="P18144">
        <v>169</v>
      </c>
    </row>
    <row r="18145" spans="1:16" x14ac:dyDescent="0.25">
      <c r="A18145" t="s">
        <v>49119</v>
      </c>
      <c r="B18145" t="s">
        <v>49120</v>
      </c>
      <c r="C18145" t="s">
        <v>49121</v>
      </c>
      <c r="D18145" t="str">
        <f>"4015"</f>
        <v>4015</v>
      </c>
      <c r="E18145" t="s">
        <v>49122</v>
      </c>
      <c r="F18145" t="s">
        <v>47193</v>
      </c>
      <c r="G18145" t="s">
        <v>47094</v>
      </c>
      <c r="H18145" t="s">
        <v>47055</v>
      </c>
      <c r="I18145" t="s">
        <v>47120</v>
      </c>
      <c r="J18145" t="s">
        <v>47121</v>
      </c>
      <c r="K18145" t="s">
        <v>47113</v>
      </c>
      <c r="L18145">
        <v>31.58</v>
      </c>
      <c r="M18145">
        <v>70</v>
      </c>
      <c r="N18145">
        <v>189</v>
      </c>
      <c r="O18145">
        <v>70</v>
      </c>
      <c r="P18145">
        <v>189</v>
      </c>
    </row>
    <row r="18146" spans="1:16" x14ac:dyDescent="0.25">
      <c r="A18146" t="s">
        <v>49123</v>
      </c>
      <c r="B18146" t="s">
        <v>49124</v>
      </c>
      <c r="C18146" t="s">
        <v>49125</v>
      </c>
      <c r="D18146" t="str">
        <f>"1106"</f>
        <v>1106</v>
      </c>
      <c r="E18146" t="s">
        <v>460</v>
      </c>
      <c r="F18146" t="s">
        <v>47193</v>
      </c>
      <c r="G18146" t="s">
        <v>47102</v>
      </c>
      <c r="H18146" t="s">
        <v>47055</v>
      </c>
      <c r="I18146" t="s">
        <v>47120</v>
      </c>
      <c r="J18146" t="s">
        <v>47121</v>
      </c>
      <c r="K18146" t="s">
        <v>47113</v>
      </c>
      <c r="L18146">
        <v>55.26</v>
      </c>
      <c r="M18146">
        <v>122</v>
      </c>
      <c r="N18146">
        <v>329</v>
      </c>
      <c r="O18146">
        <v>122</v>
      </c>
      <c r="P18146">
        <v>329</v>
      </c>
    </row>
    <row r="18147" spans="1:16" x14ac:dyDescent="0.25">
      <c r="A18147" t="s">
        <v>49126</v>
      </c>
      <c r="B18147" t="s">
        <v>49124</v>
      </c>
      <c r="C18147" t="s">
        <v>49125</v>
      </c>
      <c r="D18147" t="str">
        <f>"3122"</f>
        <v>3122</v>
      </c>
      <c r="E18147" t="s">
        <v>47260</v>
      </c>
      <c r="F18147" t="s">
        <v>47193</v>
      </c>
      <c r="G18147" t="s">
        <v>47102</v>
      </c>
      <c r="H18147" t="s">
        <v>47055</v>
      </c>
      <c r="I18147" t="s">
        <v>47120</v>
      </c>
      <c r="J18147" t="s">
        <v>47121</v>
      </c>
      <c r="K18147" t="s">
        <v>47113</v>
      </c>
      <c r="L18147">
        <v>55.26</v>
      </c>
      <c r="M18147">
        <v>122</v>
      </c>
      <c r="N18147">
        <v>329</v>
      </c>
      <c r="O18147">
        <v>122</v>
      </c>
      <c r="P18147">
        <v>329</v>
      </c>
    </row>
    <row r="18148" spans="1:16" x14ac:dyDescent="0.25">
      <c r="A18148" t="s">
        <v>49127</v>
      </c>
      <c r="B18148" t="s">
        <v>49128</v>
      </c>
      <c r="C18148" t="s">
        <v>49129</v>
      </c>
      <c r="D18148" t="str">
        <f>"1106"</f>
        <v>1106</v>
      </c>
      <c r="E18148" t="s">
        <v>460</v>
      </c>
      <c r="F18148" t="s">
        <v>47193</v>
      </c>
      <c r="G18148" t="s">
        <v>47102</v>
      </c>
      <c r="H18148" t="s">
        <v>47055</v>
      </c>
      <c r="I18148" t="s">
        <v>47120</v>
      </c>
      <c r="J18148" t="s">
        <v>47121</v>
      </c>
      <c r="K18148" t="s">
        <v>47113</v>
      </c>
      <c r="L18148">
        <v>121.37</v>
      </c>
      <c r="M18148">
        <v>259</v>
      </c>
      <c r="N18148">
        <v>699</v>
      </c>
      <c r="O18148">
        <v>259</v>
      </c>
      <c r="P18148">
        <v>699</v>
      </c>
    </row>
    <row r="18149" spans="1:16" x14ac:dyDescent="0.25">
      <c r="A18149" t="s">
        <v>49130</v>
      </c>
      <c r="B18149" t="s">
        <v>49131</v>
      </c>
      <c r="C18149" t="s">
        <v>49132</v>
      </c>
      <c r="D18149" t="str">
        <f>"3122"</f>
        <v>3122</v>
      </c>
      <c r="E18149" t="s">
        <v>47260</v>
      </c>
      <c r="F18149" t="s">
        <v>47193</v>
      </c>
      <c r="G18149" t="s">
        <v>47102</v>
      </c>
      <c r="H18149" t="s">
        <v>47055</v>
      </c>
      <c r="I18149" t="s">
        <v>47120</v>
      </c>
      <c r="J18149" t="s">
        <v>47121</v>
      </c>
      <c r="K18149" t="s">
        <v>47113</v>
      </c>
      <c r="L18149">
        <v>45.88</v>
      </c>
      <c r="M18149">
        <v>100</v>
      </c>
      <c r="N18149">
        <v>269</v>
      </c>
      <c r="O18149">
        <v>100</v>
      </c>
      <c r="P18149">
        <v>269</v>
      </c>
    </row>
    <row r="18150" spans="1:16" x14ac:dyDescent="0.25">
      <c r="A18150" t="s">
        <v>49133</v>
      </c>
      <c r="B18150" t="s">
        <v>49134</v>
      </c>
      <c r="C18150" t="s">
        <v>49135</v>
      </c>
      <c r="D18150" t="str">
        <f>"1106"</f>
        <v>1106</v>
      </c>
      <c r="E18150" t="s">
        <v>460</v>
      </c>
      <c r="F18150" t="s">
        <v>47193</v>
      </c>
      <c r="G18150" t="s">
        <v>47102</v>
      </c>
      <c r="H18150" t="s">
        <v>47055</v>
      </c>
      <c r="I18150" t="s">
        <v>47120</v>
      </c>
      <c r="J18150" t="s">
        <v>47121</v>
      </c>
      <c r="K18150" t="s">
        <v>47113</v>
      </c>
      <c r="L18150">
        <v>47.86</v>
      </c>
      <c r="M18150">
        <v>111</v>
      </c>
      <c r="N18150">
        <v>299</v>
      </c>
      <c r="O18150">
        <v>111</v>
      </c>
      <c r="P18150">
        <v>299</v>
      </c>
    </row>
    <row r="18151" spans="1:16" x14ac:dyDescent="0.25">
      <c r="A18151" t="s">
        <v>49136</v>
      </c>
      <c r="B18151" t="s">
        <v>49137</v>
      </c>
      <c r="C18151" t="s">
        <v>49138</v>
      </c>
      <c r="D18151" t="str">
        <f>"4015"</f>
        <v>4015</v>
      </c>
      <c r="E18151" t="s">
        <v>49122</v>
      </c>
      <c r="F18151" t="s">
        <v>47193</v>
      </c>
      <c r="G18151" t="s">
        <v>47102</v>
      </c>
      <c r="H18151" t="s">
        <v>47055</v>
      </c>
      <c r="I18151" t="s">
        <v>47120</v>
      </c>
      <c r="J18151" t="s">
        <v>47121</v>
      </c>
      <c r="K18151" t="s">
        <v>47113</v>
      </c>
      <c r="L18151">
        <v>66.91</v>
      </c>
      <c r="M18151">
        <v>148</v>
      </c>
      <c r="N18151">
        <v>399</v>
      </c>
      <c r="O18151">
        <v>148</v>
      </c>
      <c r="P18151">
        <v>399</v>
      </c>
    </row>
    <row r="18152" spans="1:16" x14ac:dyDescent="0.25">
      <c r="A18152" t="s">
        <v>49139</v>
      </c>
      <c r="B18152" t="s">
        <v>49140</v>
      </c>
      <c r="C18152" t="s">
        <v>49141</v>
      </c>
      <c r="D18152" t="str">
        <f>"1106"</f>
        <v>1106</v>
      </c>
      <c r="E18152" t="s">
        <v>460</v>
      </c>
      <c r="F18152" t="s">
        <v>47193</v>
      </c>
      <c r="G18152" t="s">
        <v>47102</v>
      </c>
      <c r="H18152" t="s">
        <v>47055</v>
      </c>
      <c r="I18152" t="s">
        <v>47120</v>
      </c>
      <c r="J18152" t="s">
        <v>47121</v>
      </c>
      <c r="K18152" t="s">
        <v>47113</v>
      </c>
      <c r="L18152">
        <v>45.4</v>
      </c>
      <c r="M18152">
        <v>100</v>
      </c>
      <c r="N18152">
        <v>269</v>
      </c>
      <c r="O18152">
        <v>100</v>
      </c>
      <c r="P18152">
        <v>269</v>
      </c>
    </row>
    <row r="18153" spans="1:16" x14ac:dyDescent="0.25">
      <c r="A18153" t="s">
        <v>49142</v>
      </c>
      <c r="B18153" t="s">
        <v>49140</v>
      </c>
      <c r="C18153" t="s">
        <v>49141</v>
      </c>
      <c r="D18153" t="str">
        <f>"3122"</f>
        <v>3122</v>
      </c>
      <c r="E18153" t="s">
        <v>47260</v>
      </c>
      <c r="F18153" t="s">
        <v>47193</v>
      </c>
      <c r="G18153" t="s">
        <v>47102</v>
      </c>
      <c r="H18153" t="s">
        <v>47055</v>
      </c>
      <c r="I18153" t="s">
        <v>47120</v>
      </c>
      <c r="J18153" t="s">
        <v>47121</v>
      </c>
      <c r="K18153" t="s">
        <v>47113</v>
      </c>
      <c r="L18153">
        <v>45.4</v>
      </c>
      <c r="M18153">
        <v>100</v>
      </c>
      <c r="N18153">
        <v>269</v>
      </c>
      <c r="O18153">
        <v>100</v>
      </c>
      <c r="P18153">
        <v>269</v>
      </c>
    </row>
    <row r="18154" spans="1:16" x14ac:dyDescent="0.25">
      <c r="A18154" t="s">
        <v>49143</v>
      </c>
      <c r="B18154" t="s">
        <v>49144</v>
      </c>
      <c r="C18154" t="s">
        <v>49145</v>
      </c>
      <c r="D18154" t="str">
        <f>"3518"</f>
        <v>3518</v>
      </c>
      <c r="E18154" t="s">
        <v>47257</v>
      </c>
      <c r="F18154" t="s">
        <v>47193</v>
      </c>
      <c r="G18154" t="s">
        <v>47102</v>
      </c>
      <c r="H18154" t="s">
        <v>47055</v>
      </c>
      <c r="I18154" t="s">
        <v>47120</v>
      </c>
      <c r="J18154" t="s">
        <v>47121</v>
      </c>
      <c r="K18154" t="s">
        <v>47113</v>
      </c>
      <c r="L18154">
        <v>64.14</v>
      </c>
      <c r="M18154">
        <v>140</v>
      </c>
      <c r="N18154">
        <v>379</v>
      </c>
      <c r="O18154">
        <v>140</v>
      </c>
      <c r="P18154">
        <v>379</v>
      </c>
    </row>
    <row r="18155" spans="1:16" x14ac:dyDescent="0.25">
      <c r="A18155" t="s">
        <v>49146</v>
      </c>
      <c r="B18155" t="s">
        <v>49144</v>
      </c>
      <c r="C18155" t="s">
        <v>49145</v>
      </c>
      <c r="D18155" t="str">
        <f>"4015"</f>
        <v>4015</v>
      </c>
      <c r="E18155" t="s">
        <v>49122</v>
      </c>
      <c r="F18155" t="s">
        <v>47193</v>
      </c>
      <c r="G18155" t="s">
        <v>47102</v>
      </c>
      <c r="H18155" t="s">
        <v>47055</v>
      </c>
      <c r="I18155" t="s">
        <v>47120</v>
      </c>
      <c r="J18155" t="s">
        <v>47121</v>
      </c>
      <c r="K18155" t="s">
        <v>47113</v>
      </c>
      <c r="L18155">
        <v>64.14</v>
      </c>
      <c r="M18155">
        <v>140</v>
      </c>
      <c r="N18155">
        <v>379</v>
      </c>
      <c r="O18155">
        <v>140</v>
      </c>
      <c r="P18155">
        <v>379</v>
      </c>
    </row>
    <row r="18156" spans="1:16" x14ac:dyDescent="0.25">
      <c r="A18156" t="s">
        <v>49147</v>
      </c>
      <c r="B18156" t="s">
        <v>49148</v>
      </c>
      <c r="C18156" t="s">
        <v>49149</v>
      </c>
      <c r="D18156" t="str">
        <f>"3547"</f>
        <v>3547</v>
      </c>
      <c r="E18156" t="s">
        <v>47274</v>
      </c>
      <c r="F18156" t="s">
        <v>47193</v>
      </c>
      <c r="G18156" t="s">
        <v>47102</v>
      </c>
      <c r="H18156" t="s">
        <v>47055</v>
      </c>
      <c r="I18156" t="s">
        <v>47120</v>
      </c>
      <c r="J18156" t="s">
        <v>47121</v>
      </c>
      <c r="K18156" t="s">
        <v>47113</v>
      </c>
      <c r="L18156">
        <v>70.06</v>
      </c>
      <c r="M18156">
        <v>148</v>
      </c>
      <c r="N18156">
        <v>399</v>
      </c>
      <c r="O18156">
        <v>148</v>
      </c>
      <c r="P18156">
        <v>399</v>
      </c>
    </row>
    <row r="18157" spans="1:16" x14ac:dyDescent="0.25">
      <c r="A18157" t="s">
        <v>49150</v>
      </c>
      <c r="B18157" t="s">
        <v>49151</v>
      </c>
      <c r="C18157" t="s">
        <v>49145</v>
      </c>
      <c r="D18157" t="str">
        <f>"1506"</f>
        <v>1506</v>
      </c>
      <c r="E18157" t="s">
        <v>49152</v>
      </c>
      <c r="F18157" t="s">
        <v>47193</v>
      </c>
      <c r="G18157" t="s">
        <v>47102</v>
      </c>
      <c r="H18157" t="s">
        <v>47055</v>
      </c>
      <c r="I18157" t="s">
        <v>47120</v>
      </c>
      <c r="J18157" t="s">
        <v>47121</v>
      </c>
      <c r="K18157" t="s">
        <v>47113</v>
      </c>
      <c r="L18157">
        <v>60.69</v>
      </c>
      <c r="M18157">
        <v>140</v>
      </c>
      <c r="N18157">
        <v>379</v>
      </c>
      <c r="O18157">
        <v>140</v>
      </c>
      <c r="P18157">
        <v>379</v>
      </c>
    </row>
    <row r="18158" spans="1:16" x14ac:dyDescent="0.25">
      <c r="A18158" t="s">
        <v>49153</v>
      </c>
      <c r="B18158" t="s">
        <v>49154</v>
      </c>
      <c r="C18158" t="s">
        <v>49155</v>
      </c>
      <c r="D18158" t="str">
        <f>"1001"</f>
        <v>1001</v>
      </c>
      <c r="E18158" t="s">
        <v>42</v>
      </c>
      <c r="F18158" t="s">
        <v>47193</v>
      </c>
      <c r="G18158" t="s">
        <v>47097</v>
      </c>
      <c r="H18158" t="s">
        <v>47055</v>
      </c>
      <c r="I18158" t="s">
        <v>47127</v>
      </c>
      <c r="J18158" t="s">
        <v>47128</v>
      </c>
      <c r="K18158" t="s">
        <v>47113</v>
      </c>
      <c r="L18158">
        <v>51.12</v>
      </c>
      <c r="M18158">
        <v>92</v>
      </c>
      <c r="N18158">
        <v>249</v>
      </c>
      <c r="O18158">
        <v>92</v>
      </c>
      <c r="P18158">
        <v>249</v>
      </c>
    </row>
    <row r="18159" spans="1:16" x14ac:dyDescent="0.25">
      <c r="A18159" t="s">
        <v>49156</v>
      </c>
      <c r="B18159" t="s">
        <v>49154</v>
      </c>
      <c r="C18159" t="s">
        <v>49155</v>
      </c>
      <c r="D18159" t="str">
        <f>"1278"</f>
        <v>1278</v>
      </c>
      <c r="E18159" t="s">
        <v>241</v>
      </c>
      <c r="F18159" t="s">
        <v>47193</v>
      </c>
      <c r="G18159" t="s">
        <v>47097</v>
      </c>
      <c r="H18159" t="s">
        <v>47055</v>
      </c>
      <c r="I18159" t="s">
        <v>47127</v>
      </c>
      <c r="J18159" t="s">
        <v>47128</v>
      </c>
      <c r="K18159" t="s">
        <v>47113</v>
      </c>
      <c r="L18159">
        <v>51.12</v>
      </c>
      <c r="M18159">
        <v>92</v>
      </c>
      <c r="N18159">
        <v>249</v>
      </c>
      <c r="O18159">
        <v>92</v>
      </c>
      <c r="P18159">
        <v>249</v>
      </c>
    </row>
    <row r="18160" spans="1:16" x14ac:dyDescent="0.25">
      <c r="A18160" t="s">
        <v>49157</v>
      </c>
      <c r="B18160" t="s">
        <v>49154</v>
      </c>
      <c r="C18160" t="s">
        <v>49155</v>
      </c>
      <c r="D18160" t="str">
        <f>"1700"</f>
        <v>1700</v>
      </c>
      <c r="E18160" t="s">
        <v>49158</v>
      </c>
      <c r="F18160" t="s">
        <v>47193</v>
      </c>
      <c r="G18160" t="s">
        <v>47097</v>
      </c>
      <c r="H18160" t="s">
        <v>47055</v>
      </c>
      <c r="I18160" t="s">
        <v>47127</v>
      </c>
      <c r="J18160" t="s">
        <v>47128</v>
      </c>
      <c r="K18160" t="s">
        <v>47113</v>
      </c>
      <c r="L18160">
        <v>51.12</v>
      </c>
      <c r="M18160">
        <v>92</v>
      </c>
      <c r="N18160">
        <v>249</v>
      </c>
      <c r="O18160">
        <v>92</v>
      </c>
      <c r="P18160">
        <v>249</v>
      </c>
    </row>
    <row r="18161" spans="1:16" x14ac:dyDescent="0.25">
      <c r="A18161" t="s">
        <v>49159</v>
      </c>
      <c r="B18161" t="s">
        <v>49160</v>
      </c>
      <c r="C18161" t="s">
        <v>49161</v>
      </c>
      <c r="D18161" t="str">
        <f>"1001"</f>
        <v>1001</v>
      </c>
      <c r="E18161" t="s">
        <v>42</v>
      </c>
      <c r="F18161" t="s">
        <v>47193</v>
      </c>
      <c r="G18161" t="s">
        <v>47097</v>
      </c>
      <c r="H18161" t="s">
        <v>47055</v>
      </c>
      <c r="I18161" t="s">
        <v>47120</v>
      </c>
      <c r="J18161" t="s">
        <v>47121</v>
      </c>
      <c r="K18161" t="s">
        <v>47113</v>
      </c>
      <c r="L18161">
        <v>31.58</v>
      </c>
      <c r="M18161">
        <v>70</v>
      </c>
      <c r="N18161">
        <v>189</v>
      </c>
      <c r="O18161">
        <v>70</v>
      </c>
      <c r="P18161">
        <v>189</v>
      </c>
    </row>
    <row r="18162" spans="1:16" x14ac:dyDescent="0.25">
      <c r="A18162" t="s">
        <v>49162</v>
      </c>
      <c r="B18162" t="s">
        <v>49163</v>
      </c>
      <c r="C18162" t="s">
        <v>49164</v>
      </c>
      <c r="D18162" t="str">
        <f>"1278"</f>
        <v>1278</v>
      </c>
      <c r="E18162" t="s">
        <v>241</v>
      </c>
      <c r="F18162" t="s">
        <v>47193</v>
      </c>
      <c r="G18162" t="s">
        <v>47097</v>
      </c>
      <c r="H18162" t="s">
        <v>47055</v>
      </c>
      <c r="I18162" t="s">
        <v>47127</v>
      </c>
      <c r="J18162" t="s">
        <v>47128</v>
      </c>
      <c r="K18162" t="s">
        <v>47113</v>
      </c>
      <c r="L18162">
        <v>45.43</v>
      </c>
      <c r="M18162">
        <v>85</v>
      </c>
      <c r="N18162">
        <v>229</v>
      </c>
      <c r="O18162">
        <v>85</v>
      </c>
      <c r="P18162">
        <v>229</v>
      </c>
    </row>
    <row r="18163" spans="1:16" x14ac:dyDescent="0.25">
      <c r="A18163" t="s">
        <v>49165</v>
      </c>
      <c r="B18163" t="s">
        <v>49163</v>
      </c>
      <c r="C18163" t="s">
        <v>49164</v>
      </c>
      <c r="D18163" t="str">
        <f>"4000"</f>
        <v>4000</v>
      </c>
      <c r="E18163" t="s">
        <v>2383</v>
      </c>
      <c r="F18163" t="s">
        <v>47193</v>
      </c>
      <c r="G18163" t="s">
        <v>47097</v>
      </c>
      <c r="H18163" t="s">
        <v>47055</v>
      </c>
      <c r="I18163" t="s">
        <v>47127</v>
      </c>
      <c r="J18163" t="s">
        <v>47128</v>
      </c>
      <c r="K18163" t="s">
        <v>47113</v>
      </c>
      <c r="L18163">
        <v>45.43</v>
      </c>
      <c r="M18163">
        <v>85</v>
      </c>
      <c r="N18163">
        <v>229</v>
      </c>
      <c r="O18163">
        <v>85</v>
      </c>
      <c r="P18163">
        <v>229</v>
      </c>
    </row>
    <row r="18164" spans="1:16" x14ac:dyDescent="0.25">
      <c r="A18164" t="s">
        <v>49166</v>
      </c>
      <c r="B18164" t="s">
        <v>49167</v>
      </c>
      <c r="C18164" t="s">
        <v>49168</v>
      </c>
      <c r="D18164" t="str">
        <f>"1001"</f>
        <v>1001</v>
      </c>
      <c r="E18164" t="s">
        <v>42</v>
      </c>
      <c r="F18164" t="s">
        <v>47193</v>
      </c>
      <c r="G18164" t="s">
        <v>47097</v>
      </c>
      <c r="H18164" t="s">
        <v>47055</v>
      </c>
      <c r="I18164" t="s">
        <v>47127</v>
      </c>
      <c r="J18164" t="s">
        <v>47128</v>
      </c>
      <c r="K18164" t="s">
        <v>47113</v>
      </c>
      <c r="L18164">
        <v>47.96</v>
      </c>
      <c r="M18164">
        <v>92</v>
      </c>
      <c r="N18164">
        <v>249</v>
      </c>
      <c r="O18164">
        <v>92</v>
      </c>
      <c r="P18164">
        <v>249</v>
      </c>
    </row>
    <row r="18165" spans="1:16" x14ac:dyDescent="0.25">
      <c r="A18165" t="s">
        <v>49169</v>
      </c>
      <c r="B18165" t="s">
        <v>49167</v>
      </c>
      <c r="C18165" t="s">
        <v>49168</v>
      </c>
      <c r="D18165" t="str">
        <f>"1278"</f>
        <v>1278</v>
      </c>
      <c r="E18165" t="s">
        <v>241</v>
      </c>
      <c r="F18165" t="s">
        <v>47193</v>
      </c>
      <c r="G18165" t="s">
        <v>47097</v>
      </c>
      <c r="H18165" t="s">
        <v>47055</v>
      </c>
      <c r="I18165" t="s">
        <v>47127</v>
      </c>
      <c r="J18165" t="s">
        <v>47128</v>
      </c>
      <c r="K18165" t="s">
        <v>47113</v>
      </c>
      <c r="L18165">
        <v>47.96</v>
      </c>
      <c r="M18165">
        <v>92</v>
      </c>
      <c r="N18165">
        <v>249</v>
      </c>
      <c r="O18165">
        <v>92</v>
      </c>
      <c r="P18165">
        <v>249</v>
      </c>
    </row>
    <row r="18166" spans="1:16" x14ac:dyDescent="0.25">
      <c r="A18166" t="s">
        <v>49170</v>
      </c>
      <c r="B18166" t="s">
        <v>49171</v>
      </c>
      <c r="C18166" t="s">
        <v>49172</v>
      </c>
      <c r="D18166" t="str">
        <f>"1378"</f>
        <v>1378</v>
      </c>
      <c r="E18166" t="s">
        <v>388</v>
      </c>
      <c r="F18166" t="s">
        <v>47193</v>
      </c>
      <c r="G18166" t="s">
        <v>47102</v>
      </c>
      <c r="H18166" t="s">
        <v>47055</v>
      </c>
      <c r="I18166" t="s">
        <v>47120</v>
      </c>
      <c r="J18166" t="s">
        <v>47121</v>
      </c>
      <c r="K18166" t="s">
        <v>47113</v>
      </c>
      <c r="L18166">
        <v>81.41</v>
      </c>
      <c r="M18166">
        <v>177</v>
      </c>
      <c r="N18166">
        <v>479</v>
      </c>
      <c r="O18166">
        <v>177</v>
      </c>
      <c r="P18166">
        <v>479</v>
      </c>
    </row>
    <row r="18167" spans="1:16" x14ac:dyDescent="0.25">
      <c r="A18167" t="s">
        <v>49173</v>
      </c>
      <c r="B18167" t="s">
        <v>49174</v>
      </c>
      <c r="C18167" t="s">
        <v>49175</v>
      </c>
      <c r="D18167" t="str">
        <f>"4926"</f>
        <v>4926</v>
      </c>
      <c r="E18167" t="s">
        <v>4088</v>
      </c>
      <c r="F18167" t="s">
        <v>47193</v>
      </c>
      <c r="G18167" t="s">
        <v>47102</v>
      </c>
      <c r="H18167" t="s">
        <v>47055</v>
      </c>
      <c r="I18167" t="s">
        <v>47120</v>
      </c>
      <c r="J18167" t="s">
        <v>47121</v>
      </c>
      <c r="K18167" t="s">
        <v>47113</v>
      </c>
      <c r="L18167">
        <v>54.27</v>
      </c>
      <c r="M18167">
        <v>122</v>
      </c>
      <c r="N18167">
        <v>329</v>
      </c>
      <c r="O18167">
        <v>122</v>
      </c>
      <c r="P18167">
        <v>329</v>
      </c>
    </row>
    <row r="18168" spans="1:16" x14ac:dyDescent="0.25">
      <c r="A18168" t="s">
        <v>49176</v>
      </c>
      <c r="B18168" t="s">
        <v>49177</v>
      </c>
      <c r="C18168" t="s">
        <v>49178</v>
      </c>
      <c r="D18168" t="str">
        <f>"1106"</f>
        <v>1106</v>
      </c>
      <c r="E18168" t="s">
        <v>460</v>
      </c>
      <c r="F18168" t="s">
        <v>47193</v>
      </c>
      <c r="G18168" t="s">
        <v>47102</v>
      </c>
      <c r="H18168" t="s">
        <v>47055</v>
      </c>
      <c r="I18168" t="s">
        <v>47120</v>
      </c>
      <c r="J18168" t="s">
        <v>47121</v>
      </c>
      <c r="K18168" t="s">
        <v>47113</v>
      </c>
      <c r="L18168">
        <v>72.83</v>
      </c>
      <c r="M18168">
        <v>159</v>
      </c>
      <c r="N18168">
        <v>429</v>
      </c>
      <c r="O18168">
        <v>159</v>
      </c>
      <c r="P18168">
        <v>429</v>
      </c>
    </row>
    <row r="18169" spans="1:16" x14ac:dyDescent="0.25">
      <c r="A18169" t="s">
        <v>49179</v>
      </c>
      <c r="B18169" t="s">
        <v>49177</v>
      </c>
      <c r="C18169" t="s">
        <v>49178</v>
      </c>
      <c r="D18169" t="str">
        <f>"4015"</f>
        <v>4015</v>
      </c>
      <c r="E18169" t="s">
        <v>49122</v>
      </c>
      <c r="F18169" t="s">
        <v>47193</v>
      </c>
      <c r="G18169" t="s">
        <v>47102</v>
      </c>
      <c r="H18169" t="s">
        <v>47055</v>
      </c>
      <c r="I18169" t="s">
        <v>47120</v>
      </c>
      <c r="J18169" t="s">
        <v>47121</v>
      </c>
      <c r="K18169" t="s">
        <v>47113</v>
      </c>
      <c r="L18169">
        <v>72.83</v>
      </c>
      <c r="M18169">
        <v>159</v>
      </c>
      <c r="N18169">
        <v>429</v>
      </c>
      <c r="O18169">
        <v>159</v>
      </c>
      <c r="P18169">
        <v>429</v>
      </c>
    </row>
    <row r="18170" spans="1:16" x14ac:dyDescent="0.25">
      <c r="A18170" t="s">
        <v>49180</v>
      </c>
      <c r="B18170" t="s">
        <v>49181</v>
      </c>
      <c r="C18170" t="s">
        <v>49182</v>
      </c>
      <c r="D18170" t="str">
        <f>"1106"</f>
        <v>1106</v>
      </c>
      <c r="E18170" t="s">
        <v>460</v>
      </c>
      <c r="F18170" t="s">
        <v>47193</v>
      </c>
      <c r="G18170" t="s">
        <v>47102</v>
      </c>
      <c r="H18170" t="s">
        <v>47055</v>
      </c>
      <c r="I18170" t="s">
        <v>47120</v>
      </c>
      <c r="J18170" t="s">
        <v>47121</v>
      </c>
      <c r="K18170" t="s">
        <v>47113</v>
      </c>
      <c r="L18170">
        <v>70.06</v>
      </c>
      <c r="M18170">
        <v>148</v>
      </c>
      <c r="N18170">
        <v>399</v>
      </c>
      <c r="O18170">
        <v>148</v>
      </c>
      <c r="P18170">
        <v>399</v>
      </c>
    </row>
    <row r="18171" spans="1:16" x14ac:dyDescent="0.25">
      <c r="A18171" t="s">
        <v>49183</v>
      </c>
      <c r="B18171" t="s">
        <v>49184</v>
      </c>
      <c r="C18171" t="s">
        <v>49185</v>
      </c>
      <c r="D18171" t="str">
        <f>"1700"</f>
        <v>1700</v>
      </c>
      <c r="E18171" t="s">
        <v>60</v>
      </c>
      <c r="F18171" t="s">
        <v>47193</v>
      </c>
      <c r="G18171" t="s">
        <v>47091</v>
      </c>
      <c r="H18171" t="s">
        <v>47055</v>
      </c>
      <c r="I18171" t="s">
        <v>47127</v>
      </c>
      <c r="J18171" t="s">
        <v>47128</v>
      </c>
      <c r="K18171" t="s">
        <v>47113</v>
      </c>
      <c r="L18171">
        <v>11.51</v>
      </c>
      <c r="M18171">
        <v>26</v>
      </c>
      <c r="N18171">
        <v>69</v>
      </c>
      <c r="O18171">
        <v>26</v>
      </c>
      <c r="P18171">
        <v>69</v>
      </c>
    </row>
    <row r="18172" spans="1:16" x14ac:dyDescent="0.25">
      <c r="A18172" t="s">
        <v>49186</v>
      </c>
      <c r="B18172" t="s">
        <v>49184</v>
      </c>
      <c r="C18172" t="s">
        <v>49185</v>
      </c>
      <c r="D18172" t="str">
        <f>"3106"</f>
        <v>3106</v>
      </c>
      <c r="E18172" t="s">
        <v>3758</v>
      </c>
      <c r="F18172" t="s">
        <v>47193</v>
      </c>
      <c r="G18172" t="s">
        <v>47091</v>
      </c>
      <c r="H18172" t="s">
        <v>47055</v>
      </c>
      <c r="I18172" t="s">
        <v>47127</v>
      </c>
      <c r="J18172" t="s">
        <v>47128</v>
      </c>
      <c r="K18172" t="s">
        <v>47113</v>
      </c>
      <c r="L18172">
        <v>11.51</v>
      </c>
      <c r="M18172">
        <v>26</v>
      </c>
      <c r="N18172">
        <v>69</v>
      </c>
      <c r="O18172">
        <v>26</v>
      </c>
      <c r="P18172">
        <v>69</v>
      </c>
    </row>
    <row r="18173" spans="1:16" x14ac:dyDescent="0.25">
      <c r="A18173" t="s">
        <v>49187</v>
      </c>
      <c r="B18173" t="s">
        <v>49184</v>
      </c>
      <c r="C18173" t="s">
        <v>49185</v>
      </c>
      <c r="D18173" t="str">
        <f>"6000"</f>
        <v>6000</v>
      </c>
      <c r="E18173" t="s">
        <v>1749</v>
      </c>
      <c r="F18173" t="s">
        <v>47193</v>
      </c>
      <c r="G18173" t="s">
        <v>47091</v>
      </c>
      <c r="H18173" t="s">
        <v>47055</v>
      </c>
      <c r="I18173" t="s">
        <v>47127</v>
      </c>
      <c r="J18173" t="s">
        <v>47128</v>
      </c>
      <c r="K18173" t="s">
        <v>47113</v>
      </c>
      <c r="L18173">
        <v>11.51</v>
      </c>
      <c r="M18173">
        <v>26</v>
      </c>
      <c r="N18173">
        <v>69</v>
      </c>
      <c r="O18173">
        <v>26</v>
      </c>
      <c r="P18173">
        <v>69</v>
      </c>
    </row>
    <row r="18174" spans="1:16" x14ac:dyDescent="0.25">
      <c r="A18174" t="s">
        <v>49188</v>
      </c>
      <c r="B18174" t="s">
        <v>49189</v>
      </c>
      <c r="C18174" t="s">
        <v>49190</v>
      </c>
      <c r="D18174" t="str">
        <f>"1001"</f>
        <v>1001</v>
      </c>
      <c r="E18174" t="s">
        <v>42</v>
      </c>
      <c r="F18174" t="s">
        <v>47193</v>
      </c>
      <c r="G18174" t="s">
        <v>47091</v>
      </c>
      <c r="H18174" t="s">
        <v>47055</v>
      </c>
      <c r="I18174" t="s">
        <v>47127</v>
      </c>
      <c r="J18174" t="s">
        <v>47128</v>
      </c>
      <c r="K18174" t="s">
        <v>47113</v>
      </c>
      <c r="L18174">
        <v>13.2</v>
      </c>
      <c r="M18174">
        <v>26</v>
      </c>
      <c r="N18174">
        <v>69</v>
      </c>
      <c r="O18174">
        <v>26</v>
      </c>
      <c r="P18174">
        <v>69</v>
      </c>
    </row>
    <row r="18175" spans="1:16" x14ac:dyDescent="0.25">
      <c r="A18175" t="s">
        <v>49191</v>
      </c>
      <c r="B18175" t="s">
        <v>49192</v>
      </c>
      <c r="C18175" t="s">
        <v>49193</v>
      </c>
      <c r="D18175" t="str">
        <f>"1377"</f>
        <v>1377</v>
      </c>
      <c r="E18175" t="s">
        <v>74</v>
      </c>
      <c r="F18175" t="s">
        <v>47193</v>
      </c>
      <c r="G18175" t="s">
        <v>47091</v>
      </c>
      <c r="H18175" t="s">
        <v>47055</v>
      </c>
      <c r="I18175" t="s">
        <v>47127</v>
      </c>
      <c r="J18175" t="s">
        <v>47128</v>
      </c>
      <c r="K18175" t="s">
        <v>47113</v>
      </c>
      <c r="L18175">
        <v>13.62</v>
      </c>
      <c r="M18175">
        <v>29</v>
      </c>
      <c r="N18175">
        <v>79</v>
      </c>
      <c r="O18175">
        <v>29</v>
      </c>
      <c r="P18175">
        <v>79</v>
      </c>
    </row>
    <row r="18176" spans="1:16" x14ac:dyDescent="0.25">
      <c r="A18176" t="s">
        <v>49194</v>
      </c>
      <c r="B18176" t="s">
        <v>49192</v>
      </c>
      <c r="C18176" t="s">
        <v>49193</v>
      </c>
      <c r="D18176" t="str">
        <f>"4269"</f>
        <v>4269</v>
      </c>
      <c r="E18176" t="s">
        <v>7493</v>
      </c>
      <c r="F18176" t="s">
        <v>47193</v>
      </c>
      <c r="G18176" t="s">
        <v>47091</v>
      </c>
      <c r="H18176" t="s">
        <v>47055</v>
      </c>
      <c r="I18176" t="s">
        <v>47127</v>
      </c>
      <c r="J18176" t="s">
        <v>47128</v>
      </c>
      <c r="K18176" t="s">
        <v>47113</v>
      </c>
      <c r="L18176">
        <v>13.62</v>
      </c>
      <c r="M18176">
        <v>29</v>
      </c>
      <c r="N18176">
        <v>79</v>
      </c>
      <c r="O18176">
        <v>29</v>
      </c>
      <c r="P18176">
        <v>79</v>
      </c>
    </row>
    <row r="18177" spans="1:16" x14ac:dyDescent="0.25">
      <c r="A18177" t="s">
        <v>49195</v>
      </c>
      <c r="B18177" t="s">
        <v>49196</v>
      </c>
      <c r="C18177" t="s">
        <v>49197</v>
      </c>
      <c r="D18177" t="str">
        <f>"4015"</f>
        <v>4015</v>
      </c>
      <c r="E18177" t="s">
        <v>49122</v>
      </c>
      <c r="F18177" t="s">
        <v>47193</v>
      </c>
      <c r="G18177" t="s">
        <v>47091</v>
      </c>
      <c r="H18177" t="s">
        <v>47055</v>
      </c>
      <c r="I18177" t="s">
        <v>47120</v>
      </c>
      <c r="J18177" t="s">
        <v>47121</v>
      </c>
      <c r="K18177" t="s">
        <v>47113</v>
      </c>
      <c r="L18177">
        <v>25.66</v>
      </c>
      <c r="M18177">
        <v>55</v>
      </c>
      <c r="N18177">
        <v>149</v>
      </c>
      <c r="O18177">
        <v>55</v>
      </c>
      <c r="P18177">
        <v>149</v>
      </c>
    </row>
    <row r="18178" spans="1:16" x14ac:dyDescent="0.25">
      <c r="A18178" t="s">
        <v>49198</v>
      </c>
      <c r="B18178" t="s">
        <v>49199</v>
      </c>
      <c r="C18178" t="s">
        <v>49200</v>
      </c>
      <c r="D18178" t="str">
        <f>"1001"</f>
        <v>1001</v>
      </c>
      <c r="E18178" t="s">
        <v>42</v>
      </c>
      <c r="F18178" t="s">
        <v>47193</v>
      </c>
      <c r="G18178" t="s">
        <v>47091</v>
      </c>
      <c r="H18178" t="s">
        <v>47055</v>
      </c>
      <c r="I18178" t="s">
        <v>47120</v>
      </c>
      <c r="J18178" t="s">
        <v>47121</v>
      </c>
      <c r="K18178" t="s">
        <v>47113</v>
      </c>
      <c r="L18178">
        <v>26.15</v>
      </c>
      <c r="M18178">
        <v>59</v>
      </c>
      <c r="N18178">
        <v>159</v>
      </c>
      <c r="O18178">
        <v>59</v>
      </c>
      <c r="P18178">
        <v>159</v>
      </c>
    </row>
    <row r="18179" spans="1:16" x14ac:dyDescent="0.25">
      <c r="A18179" t="s">
        <v>49201</v>
      </c>
      <c r="B18179" t="s">
        <v>49202</v>
      </c>
      <c r="C18179" t="s">
        <v>49203</v>
      </c>
      <c r="D18179" t="str">
        <f>"1001"</f>
        <v>1001</v>
      </c>
      <c r="E18179" t="s">
        <v>42</v>
      </c>
      <c r="F18179" t="s">
        <v>47193</v>
      </c>
      <c r="G18179" t="s">
        <v>47091</v>
      </c>
      <c r="H18179" t="s">
        <v>47055</v>
      </c>
      <c r="I18179" t="s">
        <v>47120</v>
      </c>
      <c r="J18179" t="s">
        <v>47121</v>
      </c>
      <c r="K18179" t="s">
        <v>47113</v>
      </c>
      <c r="L18179">
        <v>17.760000000000002</v>
      </c>
      <c r="M18179">
        <v>37</v>
      </c>
      <c r="N18179">
        <v>99</v>
      </c>
      <c r="O18179">
        <v>37</v>
      </c>
      <c r="P18179">
        <v>99</v>
      </c>
    </row>
    <row r="18180" spans="1:16" x14ac:dyDescent="0.25">
      <c r="A18180" t="s">
        <v>49204</v>
      </c>
      <c r="B18180" t="s">
        <v>49205</v>
      </c>
      <c r="C18180" t="s">
        <v>49206</v>
      </c>
      <c r="D18180" t="str">
        <f>"1001"</f>
        <v>1001</v>
      </c>
      <c r="E18180" t="s">
        <v>42</v>
      </c>
      <c r="F18180" t="s">
        <v>47193</v>
      </c>
      <c r="G18180" t="s">
        <v>47091</v>
      </c>
      <c r="H18180" t="s">
        <v>47055</v>
      </c>
      <c r="I18180" t="s">
        <v>47127</v>
      </c>
      <c r="J18180" t="s">
        <v>47128</v>
      </c>
      <c r="K18180" t="s">
        <v>47113</v>
      </c>
      <c r="L18180">
        <v>13.94</v>
      </c>
      <c r="M18180">
        <v>33</v>
      </c>
      <c r="N18180">
        <v>89</v>
      </c>
      <c r="O18180">
        <v>33</v>
      </c>
      <c r="P18180">
        <v>89</v>
      </c>
    </row>
    <row r="18181" spans="1:16" x14ac:dyDescent="0.25">
      <c r="A18181" t="s">
        <v>40752</v>
      </c>
      <c r="B18181" t="s">
        <v>40753</v>
      </c>
      <c r="C18181" t="s">
        <v>40754</v>
      </c>
      <c r="D18181" t="str">
        <f>"4143"</f>
        <v>4143</v>
      </c>
      <c r="E18181" t="s">
        <v>16626</v>
      </c>
      <c r="F18181" t="s">
        <v>27965</v>
      </c>
      <c r="G18181" t="s">
        <v>47103</v>
      </c>
      <c r="H18181" t="s">
        <v>47055</v>
      </c>
      <c r="I18181" t="s">
        <v>47120</v>
      </c>
      <c r="J18181" t="s">
        <v>47121</v>
      </c>
      <c r="K18181" t="s">
        <v>47113</v>
      </c>
      <c r="L18181">
        <v>20.68</v>
      </c>
      <c r="M18181">
        <v>37</v>
      </c>
      <c r="N18181">
        <v>99</v>
      </c>
      <c r="O18181">
        <v>37</v>
      </c>
      <c r="P18181">
        <v>99</v>
      </c>
    </row>
    <row r="18182" spans="1:16" x14ac:dyDescent="0.25">
      <c r="A18182" t="s">
        <v>40755</v>
      </c>
      <c r="B18182" t="s">
        <v>40756</v>
      </c>
      <c r="C18182" t="s">
        <v>40757</v>
      </c>
      <c r="D18182" t="str">
        <f>"1001"</f>
        <v>1001</v>
      </c>
      <c r="E18182" t="s">
        <v>42</v>
      </c>
      <c r="F18182" t="s">
        <v>27965</v>
      </c>
      <c r="G18182" t="s">
        <v>47103</v>
      </c>
      <c r="H18182" t="s">
        <v>47055</v>
      </c>
      <c r="I18182" t="s">
        <v>47120</v>
      </c>
      <c r="J18182" t="s">
        <v>47121</v>
      </c>
      <c r="K18182" t="s">
        <v>47113</v>
      </c>
      <c r="L18182">
        <v>14.71</v>
      </c>
      <c r="M18182">
        <v>33</v>
      </c>
      <c r="N18182">
        <v>89</v>
      </c>
      <c r="O18182">
        <v>33</v>
      </c>
      <c r="P18182">
        <v>89</v>
      </c>
    </row>
    <row r="18183" spans="1:16" x14ac:dyDescent="0.25">
      <c r="A18183" t="s">
        <v>40758</v>
      </c>
      <c r="B18183" t="s">
        <v>40756</v>
      </c>
      <c r="C18183" t="s">
        <v>40757</v>
      </c>
      <c r="D18183" t="str">
        <f>"1700"</f>
        <v>1700</v>
      </c>
      <c r="E18183" t="s">
        <v>60</v>
      </c>
      <c r="F18183" t="s">
        <v>27965</v>
      </c>
      <c r="G18183" t="s">
        <v>47103</v>
      </c>
      <c r="H18183" t="s">
        <v>47055</v>
      </c>
      <c r="I18183" t="s">
        <v>47120</v>
      </c>
      <c r="J18183" t="s">
        <v>47121</v>
      </c>
      <c r="K18183" t="s">
        <v>47113</v>
      </c>
      <c r="L18183">
        <v>14.71</v>
      </c>
      <c r="M18183">
        <v>33</v>
      </c>
      <c r="N18183">
        <v>89</v>
      </c>
      <c r="O18183">
        <v>33</v>
      </c>
      <c r="P18183">
        <v>89</v>
      </c>
    </row>
    <row r="18184" spans="1:16" x14ac:dyDescent="0.25">
      <c r="A18184" t="s">
        <v>40759</v>
      </c>
      <c r="B18184" t="s">
        <v>40760</v>
      </c>
      <c r="C18184" t="s">
        <v>40761</v>
      </c>
      <c r="D18184" t="str">
        <f>"1700"</f>
        <v>1700</v>
      </c>
      <c r="E18184" t="s">
        <v>60</v>
      </c>
      <c r="F18184" t="s">
        <v>27965</v>
      </c>
      <c r="G18184" t="s">
        <v>47101</v>
      </c>
      <c r="H18184" t="s">
        <v>47055</v>
      </c>
      <c r="I18184" t="s">
        <v>47120</v>
      </c>
      <c r="J18184" t="s">
        <v>47121</v>
      </c>
      <c r="K18184" t="s">
        <v>47113</v>
      </c>
      <c r="L18184">
        <v>23.53</v>
      </c>
      <c r="M18184">
        <v>63</v>
      </c>
      <c r="N18184">
        <v>169</v>
      </c>
      <c r="O18184">
        <v>63</v>
      </c>
      <c r="P18184">
        <v>169</v>
      </c>
    </row>
    <row r="18185" spans="1:16" x14ac:dyDescent="0.25">
      <c r="A18185" t="s">
        <v>40762</v>
      </c>
      <c r="B18185" t="s">
        <v>40760</v>
      </c>
      <c r="C18185" t="s">
        <v>40761</v>
      </c>
      <c r="D18185" t="str">
        <f>"4922"</f>
        <v>4922</v>
      </c>
      <c r="E18185" t="s">
        <v>4175</v>
      </c>
      <c r="F18185" t="s">
        <v>27965</v>
      </c>
      <c r="G18185" t="s">
        <v>47101</v>
      </c>
      <c r="H18185" t="s">
        <v>47055</v>
      </c>
      <c r="I18185" t="s">
        <v>47120</v>
      </c>
      <c r="J18185" t="s">
        <v>47121</v>
      </c>
      <c r="K18185" t="s">
        <v>47113</v>
      </c>
      <c r="L18185">
        <v>23.53</v>
      </c>
      <c r="M18185">
        <v>63</v>
      </c>
      <c r="N18185">
        <v>169</v>
      </c>
      <c r="O18185">
        <v>63</v>
      </c>
      <c r="P18185">
        <v>169</v>
      </c>
    </row>
    <row r="18186" spans="1:16" x14ac:dyDescent="0.25">
      <c r="A18186" t="s">
        <v>40763</v>
      </c>
      <c r="B18186" t="s">
        <v>40764</v>
      </c>
      <c r="C18186" t="s">
        <v>40765</v>
      </c>
      <c r="D18186" t="str">
        <f>"6500"</f>
        <v>6500</v>
      </c>
      <c r="E18186" t="s">
        <v>151</v>
      </c>
      <c r="F18186" t="s">
        <v>27965</v>
      </c>
      <c r="G18186" t="s">
        <v>47091</v>
      </c>
      <c r="H18186" t="s">
        <v>47055</v>
      </c>
      <c r="I18186" t="s">
        <v>47120</v>
      </c>
      <c r="J18186" t="s">
        <v>47121</v>
      </c>
      <c r="K18186" t="s">
        <v>47113</v>
      </c>
      <c r="L18186">
        <v>34.700000000000003</v>
      </c>
      <c r="M18186">
        <v>85</v>
      </c>
      <c r="N18186">
        <v>229</v>
      </c>
      <c r="O18186">
        <v>85</v>
      </c>
      <c r="P18186">
        <v>229</v>
      </c>
    </row>
    <row r="18187" spans="1:16" x14ac:dyDescent="0.25">
      <c r="A18187" t="s">
        <v>40766</v>
      </c>
      <c r="B18187" t="s">
        <v>40767</v>
      </c>
      <c r="C18187" t="s">
        <v>40768</v>
      </c>
      <c r="D18187" t="str">
        <f>"4400"</f>
        <v>4400</v>
      </c>
      <c r="E18187" t="s">
        <v>154</v>
      </c>
      <c r="F18187" t="s">
        <v>27965</v>
      </c>
      <c r="G18187" t="s">
        <v>47091</v>
      </c>
      <c r="H18187" t="s">
        <v>47055</v>
      </c>
      <c r="I18187" t="s">
        <v>47120</v>
      </c>
      <c r="J18187" t="s">
        <v>47121</v>
      </c>
      <c r="K18187" t="s">
        <v>47113</v>
      </c>
      <c r="L18187">
        <v>32.83</v>
      </c>
      <c r="M18187">
        <v>85</v>
      </c>
      <c r="N18187">
        <v>229</v>
      </c>
      <c r="O18187">
        <v>85</v>
      </c>
      <c r="P18187">
        <v>229</v>
      </c>
    </row>
    <row r="18188" spans="1:16" x14ac:dyDescent="0.25">
      <c r="A18188" t="s">
        <v>40769</v>
      </c>
      <c r="B18188" t="s">
        <v>40770</v>
      </c>
      <c r="C18188" t="s">
        <v>40771</v>
      </c>
      <c r="D18188" t="str">
        <f>"4143"</f>
        <v>4143</v>
      </c>
      <c r="E18188" t="s">
        <v>16626</v>
      </c>
      <c r="F18188" t="s">
        <v>27965</v>
      </c>
      <c r="G18188" t="s">
        <v>47101</v>
      </c>
      <c r="H18188" t="s">
        <v>47055</v>
      </c>
      <c r="I18188" t="s">
        <v>47120</v>
      </c>
      <c r="J18188" t="s">
        <v>47121</v>
      </c>
      <c r="K18188" t="s">
        <v>47113</v>
      </c>
      <c r="L18188">
        <v>32.130000000000003</v>
      </c>
      <c r="M18188">
        <v>63</v>
      </c>
      <c r="N18188">
        <v>169</v>
      </c>
      <c r="O18188">
        <v>63</v>
      </c>
      <c r="P18188">
        <v>169</v>
      </c>
    </row>
    <row r="18189" spans="1:16" x14ac:dyDescent="0.25">
      <c r="A18189" t="s">
        <v>40772</v>
      </c>
      <c r="B18189" t="s">
        <v>40773</v>
      </c>
      <c r="C18189" t="s">
        <v>40768</v>
      </c>
      <c r="D18189" t="str">
        <f>"1700"</f>
        <v>1700</v>
      </c>
      <c r="E18189" t="s">
        <v>60</v>
      </c>
      <c r="F18189" t="s">
        <v>27965</v>
      </c>
      <c r="G18189" t="s">
        <v>47091</v>
      </c>
      <c r="H18189" t="s">
        <v>47055</v>
      </c>
      <c r="I18189" t="s">
        <v>47120</v>
      </c>
      <c r="J18189" t="s">
        <v>47121</v>
      </c>
      <c r="K18189" t="s">
        <v>47113</v>
      </c>
      <c r="L18189">
        <v>45.58</v>
      </c>
      <c r="M18189">
        <v>92</v>
      </c>
      <c r="N18189">
        <v>249</v>
      </c>
      <c r="O18189">
        <v>92</v>
      </c>
      <c r="P18189">
        <v>249</v>
      </c>
    </row>
    <row r="18190" spans="1:16" x14ac:dyDescent="0.25">
      <c r="A18190" t="s">
        <v>40774</v>
      </c>
      <c r="B18190" t="s">
        <v>40773</v>
      </c>
      <c r="C18190" t="s">
        <v>40768</v>
      </c>
      <c r="D18190" t="str">
        <f>"6092"</f>
        <v>6092</v>
      </c>
      <c r="E18190" t="s">
        <v>28002</v>
      </c>
      <c r="F18190" t="s">
        <v>27965</v>
      </c>
      <c r="G18190" t="s">
        <v>47091</v>
      </c>
      <c r="H18190" t="s">
        <v>47055</v>
      </c>
      <c r="I18190" t="s">
        <v>47120</v>
      </c>
      <c r="J18190" t="s">
        <v>47121</v>
      </c>
      <c r="K18190" t="s">
        <v>47113</v>
      </c>
      <c r="L18190">
        <v>45.58</v>
      </c>
      <c r="M18190">
        <v>92</v>
      </c>
      <c r="N18190">
        <v>249</v>
      </c>
      <c r="O18190">
        <v>92</v>
      </c>
      <c r="P18190">
        <v>249</v>
      </c>
    </row>
    <row r="18191" spans="1:16" x14ac:dyDescent="0.25">
      <c r="A18191" t="s">
        <v>40775</v>
      </c>
      <c r="B18191" t="s">
        <v>40776</v>
      </c>
      <c r="C18191" t="s">
        <v>40777</v>
      </c>
      <c r="D18191" t="str">
        <f>"1800"</f>
        <v>1800</v>
      </c>
      <c r="E18191" t="s">
        <v>1999</v>
      </c>
      <c r="F18191" t="s">
        <v>27965</v>
      </c>
      <c r="G18191" t="s">
        <v>47093</v>
      </c>
      <c r="H18191" t="s">
        <v>47055</v>
      </c>
      <c r="I18191" t="s">
        <v>47127</v>
      </c>
      <c r="J18191" t="s">
        <v>47128</v>
      </c>
      <c r="K18191" t="s">
        <v>47113</v>
      </c>
      <c r="L18191">
        <v>36.659999999999997</v>
      </c>
      <c r="M18191">
        <v>85</v>
      </c>
      <c r="N18191">
        <v>229</v>
      </c>
      <c r="O18191">
        <v>85</v>
      </c>
      <c r="P18191">
        <v>229</v>
      </c>
    </row>
    <row r="18192" spans="1:16" x14ac:dyDescent="0.25">
      <c r="A18192" t="s">
        <v>40778</v>
      </c>
      <c r="B18192" t="s">
        <v>40779</v>
      </c>
      <c r="C18192" t="s">
        <v>18894</v>
      </c>
      <c r="D18192" t="str">
        <f>"1800"</f>
        <v>1800</v>
      </c>
      <c r="E18192" t="s">
        <v>1999</v>
      </c>
      <c r="F18192" t="s">
        <v>27965</v>
      </c>
      <c r="G18192" t="s">
        <v>47093</v>
      </c>
      <c r="H18192" t="s">
        <v>47055</v>
      </c>
      <c r="I18192" t="s">
        <v>47127</v>
      </c>
      <c r="J18192" t="s">
        <v>47128</v>
      </c>
      <c r="K18192" t="s">
        <v>47113</v>
      </c>
      <c r="L18192">
        <v>36.49</v>
      </c>
      <c r="M18192">
        <v>74</v>
      </c>
      <c r="N18192">
        <v>199</v>
      </c>
      <c r="O18192">
        <v>74</v>
      </c>
      <c r="P18192">
        <v>199</v>
      </c>
    </row>
    <row r="18193" spans="1:16" x14ac:dyDescent="0.25">
      <c r="A18193" t="s">
        <v>40780</v>
      </c>
      <c r="B18193" t="s">
        <v>40781</v>
      </c>
      <c r="C18193" t="s">
        <v>10614</v>
      </c>
      <c r="D18193" t="str">
        <f>"1700"</f>
        <v>1700</v>
      </c>
      <c r="E18193" t="s">
        <v>1999</v>
      </c>
      <c r="F18193" t="s">
        <v>24617</v>
      </c>
      <c r="G18193" t="s">
        <v>47093</v>
      </c>
      <c r="H18193" t="s">
        <v>47126</v>
      </c>
      <c r="I18193" t="s">
        <v>47127</v>
      </c>
      <c r="J18193" t="s">
        <v>47128</v>
      </c>
      <c r="K18193" t="s">
        <v>47113</v>
      </c>
      <c r="L18193">
        <v>34.75</v>
      </c>
      <c r="M18193">
        <v>85</v>
      </c>
      <c r="N18193">
        <v>229</v>
      </c>
      <c r="O18193">
        <v>85</v>
      </c>
      <c r="P18193">
        <v>229</v>
      </c>
    </row>
    <row r="18194" spans="1:16" x14ac:dyDescent="0.25">
      <c r="A18194" t="s">
        <v>40782</v>
      </c>
      <c r="B18194" t="s">
        <v>40783</v>
      </c>
      <c r="C18194" t="s">
        <v>40784</v>
      </c>
      <c r="D18194" t="str">
        <f>"4000"</f>
        <v>4000</v>
      </c>
      <c r="E18194" t="s">
        <v>190</v>
      </c>
      <c r="F18194" t="s">
        <v>27965</v>
      </c>
      <c r="G18194" t="s">
        <v>47093</v>
      </c>
      <c r="H18194" t="s">
        <v>47055</v>
      </c>
      <c r="I18194" t="s">
        <v>47127</v>
      </c>
      <c r="J18194" t="s">
        <v>47128</v>
      </c>
      <c r="K18194" t="s">
        <v>47113</v>
      </c>
      <c r="L18194">
        <v>37.700000000000003</v>
      </c>
      <c r="M18194">
        <v>81</v>
      </c>
      <c r="N18194">
        <v>219</v>
      </c>
      <c r="O18194">
        <v>81</v>
      </c>
      <c r="P18194">
        <v>219</v>
      </c>
    </row>
    <row r="18195" spans="1:16" x14ac:dyDescent="0.25">
      <c r="A18195" t="s">
        <v>40785</v>
      </c>
      <c r="B18195" t="s">
        <v>40786</v>
      </c>
      <c r="C18195" t="s">
        <v>40787</v>
      </c>
      <c r="D18195" t="str">
        <f>"4000"</f>
        <v>4000</v>
      </c>
      <c r="E18195" t="s">
        <v>190</v>
      </c>
      <c r="F18195" t="s">
        <v>27965</v>
      </c>
      <c r="G18195" t="s">
        <v>47093</v>
      </c>
      <c r="H18195" t="s">
        <v>47055</v>
      </c>
      <c r="I18195" t="s">
        <v>47127</v>
      </c>
      <c r="J18195" t="s">
        <v>47128</v>
      </c>
      <c r="K18195" t="s">
        <v>47113</v>
      </c>
      <c r="L18195">
        <v>38.159999999999997</v>
      </c>
      <c r="M18195">
        <v>85</v>
      </c>
      <c r="N18195">
        <v>229</v>
      </c>
      <c r="O18195">
        <v>85</v>
      </c>
      <c r="P18195">
        <v>229</v>
      </c>
    </row>
    <row r="18196" spans="1:16" x14ac:dyDescent="0.25">
      <c r="A18196" t="s">
        <v>40788</v>
      </c>
      <c r="B18196" t="s">
        <v>40789</v>
      </c>
      <c r="C18196" t="s">
        <v>40790</v>
      </c>
      <c r="D18196" t="str">
        <f>"4318"</f>
        <v>4318</v>
      </c>
      <c r="E18196" t="s">
        <v>27359</v>
      </c>
      <c r="F18196" t="s">
        <v>27965</v>
      </c>
      <c r="G18196" t="s">
        <v>47093</v>
      </c>
      <c r="H18196" t="s">
        <v>47055</v>
      </c>
      <c r="I18196" t="s">
        <v>47127</v>
      </c>
      <c r="J18196" t="s">
        <v>47128</v>
      </c>
      <c r="K18196" t="s">
        <v>47113</v>
      </c>
      <c r="L18196">
        <v>38.58</v>
      </c>
      <c r="M18196">
        <v>85</v>
      </c>
      <c r="N18196">
        <v>229</v>
      </c>
      <c r="O18196">
        <v>85</v>
      </c>
      <c r="P18196">
        <v>229</v>
      </c>
    </row>
    <row r="18197" spans="1:16" x14ac:dyDescent="0.25">
      <c r="A18197" t="s">
        <v>40791</v>
      </c>
      <c r="B18197" t="s">
        <v>40792</v>
      </c>
      <c r="C18197" t="s">
        <v>40793</v>
      </c>
      <c r="D18197" t="str">
        <f>"1229"</f>
        <v>1229</v>
      </c>
      <c r="E18197" t="s">
        <v>27978</v>
      </c>
      <c r="F18197" t="s">
        <v>27965</v>
      </c>
      <c r="G18197" t="s">
        <v>47093</v>
      </c>
      <c r="H18197" t="s">
        <v>47055</v>
      </c>
      <c r="I18197" t="s">
        <v>47127</v>
      </c>
      <c r="J18197" t="s">
        <v>47128</v>
      </c>
      <c r="K18197" t="s">
        <v>47113</v>
      </c>
      <c r="L18197">
        <v>39.700000000000003</v>
      </c>
      <c r="M18197">
        <v>89</v>
      </c>
      <c r="N18197">
        <v>239</v>
      </c>
      <c r="O18197">
        <v>89</v>
      </c>
      <c r="P18197">
        <v>239</v>
      </c>
    </row>
    <row r="18198" spans="1:16" x14ac:dyDescent="0.25">
      <c r="A18198" t="s">
        <v>40794</v>
      </c>
      <c r="B18198" t="s">
        <v>40795</v>
      </c>
      <c r="C18198" t="s">
        <v>40796</v>
      </c>
      <c r="D18198" t="str">
        <f>"1265"</f>
        <v>1265</v>
      </c>
      <c r="E18198" t="s">
        <v>40797</v>
      </c>
      <c r="F18198" t="s">
        <v>27965</v>
      </c>
      <c r="G18198" t="s">
        <v>47093</v>
      </c>
      <c r="H18198" t="s">
        <v>47055</v>
      </c>
      <c r="I18198" t="s">
        <v>47127</v>
      </c>
      <c r="J18198" t="s">
        <v>47128</v>
      </c>
      <c r="K18198" t="s">
        <v>47113</v>
      </c>
      <c r="L18198">
        <v>37.04</v>
      </c>
      <c r="M18198">
        <v>85</v>
      </c>
      <c r="N18198">
        <v>229</v>
      </c>
      <c r="O18198">
        <v>85</v>
      </c>
      <c r="P18198">
        <v>229</v>
      </c>
    </row>
    <row r="18199" spans="1:16" x14ac:dyDescent="0.25">
      <c r="A18199" t="s">
        <v>40798</v>
      </c>
      <c r="B18199" t="s">
        <v>40799</v>
      </c>
      <c r="C18199" t="s">
        <v>40800</v>
      </c>
      <c r="D18199" t="str">
        <f>"4000"</f>
        <v>4000</v>
      </c>
      <c r="E18199" t="s">
        <v>190</v>
      </c>
      <c r="F18199" t="s">
        <v>27965</v>
      </c>
      <c r="G18199" t="s">
        <v>47093</v>
      </c>
      <c r="H18199" t="s">
        <v>47055</v>
      </c>
      <c r="I18199" t="s">
        <v>47127</v>
      </c>
      <c r="J18199" t="s">
        <v>47128</v>
      </c>
      <c r="K18199" t="s">
        <v>47113</v>
      </c>
      <c r="L18199">
        <v>35.380000000000003</v>
      </c>
      <c r="M18199">
        <v>81</v>
      </c>
      <c r="N18199">
        <v>219</v>
      </c>
      <c r="O18199">
        <v>81</v>
      </c>
      <c r="P18199">
        <v>219</v>
      </c>
    </row>
    <row r="18200" spans="1:16" x14ac:dyDescent="0.25">
      <c r="A18200" t="s">
        <v>40801</v>
      </c>
      <c r="B18200" t="s">
        <v>40802</v>
      </c>
      <c r="C18200" t="s">
        <v>21281</v>
      </c>
      <c r="D18200" t="str">
        <f>"1377"</f>
        <v>1377</v>
      </c>
      <c r="E18200" t="s">
        <v>74</v>
      </c>
      <c r="F18200" t="s">
        <v>27965</v>
      </c>
      <c r="G18200" t="s">
        <v>47093</v>
      </c>
      <c r="H18200" t="s">
        <v>47055</v>
      </c>
      <c r="I18200" t="s">
        <v>47127</v>
      </c>
      <c r="J18200" t="s">
        <v>47128</v>
      </c>
      <c r="K18200" t="s">
        <v>47113</v>
      </c>
      <c r="L18200">
        <v>33.729999999999997</v>
      </c>
      <c r="M18200">
        <v>74</v>
      </c>
      <c r="N18200">
        <v>199</v>
      </c>
      <c r="O18200">
        <v>74</v>
      </c>
      <c r="P18200">
        <v>199</v>
      </c>
    </row>
    <row r="18201" spans="1:16" x14ac:dyDescent="0.25">
      <c r="A18201" t="s">
        <v>40803</v>
      </c>
      <c r="B18201" t="s">
        <v>40802</v>
      </c>
      <c r="C18201" t="s">
        <v>21281</v>
      </c>
      <c r="D18201" t="str">
        <f>"1378"</f>
        <v>1378</v>
      </c>
      <c r="E18201" t="s">
        <v>388</v>
      </c>
      <c r="F18201" t="s">
        <v>27965</v>
      </c>
      <c r="G18201" t="s">
        <v>47093</v>
      </c>
      <c r="H18201" t="s">
        <v>47055</v>
      </c>
      <c r="I18201" t="s">
        <v>47127</v>
      </c>
      <c r="J18201" t="s">
        <v>47128</v>
      </c>
      <c r="K18201" t="s">
        <v>47113</v>
      </c>
      <c r="L18201">
        <v>33.729999999999997</v>
      </c>
      <c r="M18201">
        <v>74</v>
      </c>
      <c r="N18201">
        <v>199</v>
      </c>
      <c r="O18201">
        <v>74</v>
      </c>
      <c r="P18201">
        <v>199</v>
      </c>
    </row>
    <row r="18202" spans="1:16" x14ac:dyDescent="0.25">
      <c r="A18202" t="s">
        <v>40804</v>
      </c>
      <c r="B18202" t="s">
        <v>40802</v>
      </c>
      <c r="C18202" t="s">
        <v>21281</v>
      </c>
      <c r="D18202" t="str">
        <f>"4025"</f>
        <v>4025</v>
      </c>
      <c r="E18202" t="s">
        <v>24724</v>
      </c>
      <c r="F18202" t="s">
        <v>27965</v>
      </c>
      <c r="G18202" t="s">
        <v>47093</v>
      </c>
      <c r="H18202" t="s">
        <v>47055</v>
      </c>
      <c r="I18202" t="s">
        <v>47127</v>
      </c>
      <c r="J18202" t="s">
        <v>47128</v>
      </c>
      <c r="K18202" t="s">
        <v>47113</v>
      </c>
      <c r="L18202">
        <v>33.729999999999997</v>
      </c>
      <c r="M18202">
        <v>74</v>
      </c>
      <c r="N18202">
        <v>199</v>
      </c>
      <c r="O18202">
        <v>74</v>
      </c>
      <c r="P18202">
        <v>199</v>
      </c>
    </row>
    <row r="18203" spans="1:16" x14ac:dyDescent="0.25">
      <c r="A18203" t="s">
        <v>40805</v>
      </c>
      <c r="B18203" t="s">
        <v>40802</v>
      </c>
      <c r="C18203" t="s">
        <v>21281</v>
      </c>
      <c r="D18203" t="str">
        <f>"4677"</f>
        <v>4677</v>
      </c>
      <c r="E18203" t="s">
        <v>9288</v>
      </c>
      <c r="F18203" t="s">
        <v>27965</v>
      </c>
      <c r="G18203" t="s">
        <v>47093</v>
      </c>
      <c r="H18203" t="s">
        <v>47055</v>
      </c>
      <c r="I18203" t="s">
        <v>47127</v>
      </c>
      <c r="J18203" t="s">
        <v>47128</v>
      </c>
      <c r="K18203" t="s">
        <v>47113</v>
      </c>
      <c r="L18203">
        <v>33.729999999999997</v>
      </c>
      <c r="M18203">
        <v>74</v>
      </c>
      <c r="N18203">
        <v>199</v>
      </c>
      <c r="O18203">
        <v>74</v>
      </c>
      <c r="P18203">
        <v>199</v>
      </c>
    </row>
    <row r="18204" spans="1:16" x14ac:dyDescent="0.25">
      <c r="A18204" t="s">
        <v>40806</v>
      </c>
      <c r="B18204" t="s">
        <v>40802</v>
      </c>
      <c r="C18204" t="s">
        <v>21281</v>
      </c>
      <c r="D18204" t="str">
        <f>"6500"</f>
        <v>6500</v>
      </c>
      <c r="E18204" t="s">
        <v>151</v>
      </c>
      <c r="F18204" t="s">
        <v>27965</v>
      </c>
      <c r="G18204" t="s">
        <v>47093</v>
      </c>
      <c r="H18204" t="s">
        <v>47055</v>
      </c>
      <c r="I18204" t="s">
        <v>47127</v>
      </c>
      <c r="J18204" t="s">
        <v>47128</v>
      </c>
      <c r="K18204" t="s">
        <v>47113</v>
      </c>
      <c r="L18204">
        <v>33.729999999999997</v>
      </c>
      <c r="M18204">
        <v>74</v>
      </c>
      <c r="N18204">
        <v>199</v>
      </c>
      <c r="O18204">
        <v>74</v>
      </c>
      <c r="P18204">
        <v>199</v>
      </c>
    </row>
    <row r="18205" spans="1:16" x14ac:dyDescent="0.25">
      <c r="A18205" t="s">
        <v>40807</v>
      </c>
      <c r="B18205" t="s">
        <v>40808</v>
      </c>
      <c r="C18205" t="s">
        <v>40809</v>
      </c>
      <c r="D18205" t="str">
        <f>"1700"</f>
        <v>1700</v>
      </c>
      <c r="E18205" t="s">
        <v>60</v>
      </c>
      <c r="F18205" t="s">
        <v>27965</v>
      </c>
      <c r="G18205" t="s">
        <v>47103</v>
      </c>
      <c r="H18205" t="s">
        <v>47055</v>
      </c>
      <c r="I18205" t="s">
        <v>47120</v>
      </c>
      <c r="J18205" t="s">
        <v>47121</v>
      </c>
      <c r="K18205" t="s">
        <v>47113</v>
      </c>
      <c r="L18205">
        <v>24.51</v>
      </c>
      <c r="M18205">
        <v>63</v>
      </c>
      <c r="N18205">
        <v>169</v>
      </c>
      <c r="O18205">
        <v>63</v>
      </c>
      <c r="P18205">
        <v>169</v>
      </c>
    </row>
    <row r="18206" spans="1:16" x14ac:dyDescent="0.25">
      <c r="A18206" t="s">
        <v>40810</v>
      </c>
      <c r="B18206" t="s">
        <v>40808</v>
      </c>
      <c r="C18206" t="s">
        <v>40809</v>
      </c>
      <c r="D18206" t="str">
        <f>"4922"</f>
        <v>4922</v>
      </c>
      <c r="E18206" t="s">
        <v>4175</v>
      </c>
      <c r="F18206" t="s">
        <v>27965</v>
      </c>
      <c r="G18206" t="s">
        <v>47103</v>
      </c>
      <c r="H18206" t="s">
        <v>47055</v>
      </c>
      <c r="I18206" t="s">
        <v>47120</v>
      </c>
      <c r="J18206" t="s">
        <v>47121</v>
      </c>
      <c r="K18206" t="s">
        <v>47113</v>
      </c>
      <c r="L18206">
        <v>24.51</v>
      </c>
      <c r="M18206">
        <v>63</v>
      </c>
      <c r="N18206">
        <v>169</v>
      </c>
      <c r="O18206">
        <v>63</v>
      </c>
      <c r="P18206">
        <v>169</v>
      </c>
    </row>
    <row r="18207" spans="1:16" x14ac:dyDescent="0.25">
      <c r="A18207" t="s">
        <v>40811</v>
      </c>
      <c r="B18207" t="s">
        <v>40812</v>
      </c>
      <c r="C18207" t="s">
        <v>40813</v>
      </c>
      <c r="D18207" t="str">
        <f>"1001"</f>
        <v>1001</v>
      </c>
      <c r="E18207" t="s">
        <v>42</v>
      </c>
      <c r="F18207" t="s">
        <v>27965</v>
      </c>
      <c r="G18207" t="s">
        <v>47095</v>
      </c>
      <c r="H18207" t="s">
        <v>47055</v>
      </c>
      <c r="I18207" t="s">
        <v>47127</v>
      </c>
      <c r="J18207" t="s">
        <v>47128</v>
      </c>
      <c r="K18207" t="s">
        <v>47113</v>
      </c>
      <c r="L18207">
        <v>20.14</v>
      </c>
      <c r="M18207">
        <v>48</v>
      </c>
      <c r="N18207">
        <v>129</v>
      </c>
      <c r="O18207">
        <v>48</v>
      </c>
      <c r="P18207">
        <v>129</v>
      </c>
    </row>
    <row r="18208" spans="1:16" x14ac:dyDescent="0.25">
      <c r="A18208" t="s">
        <v>40814</v>
      </c>
      <c r="B18208" t="s">
        <v>40812</v>
      </c>
      <c r="C18208" t="s">
        <v>40813</v>
      </c>
      <c r="D18208" t="str">
        <f>"1700"</f>
        <v>1700</v>
      </c>
      <c r="E18208" t="s">
        <v>60</v>
      </c>
      <c r="F18208" t="s">
        <v>27965</v>
      </c>
      <c r="G18208" t="s">
        <v>47095</v>
      </c>
      <c r="H18208" t="s">
        <v>47055</v>
      </c>
      <c r="I18208" t="s">
        <v>47127</v>
      </c>
      <c r="J18208" t="s">
        <v>47128</v>
      </c>
      <c r="K18208" t="s">
        <v>47113</v>
      </c>
      <c r="L18208">
        <v>20.14</v>
      </c>
      <c r="M18208">
        <v>48</v>
      </c>
      <c r="N18208">
        <v>129</v>
      </c>
      <c r="O18208">
        <v>48</v>
      </c>
      <c r="P18208">
        <v>129</v>
      </c>
    </row>
    <row r="18209" spans="1:16" x14ac:dyDescent="0.25">
      <c r="A18209" t="s">
        <v>40815</v>
      </c>
      <c r="B18209" t="s">
        <v>40812</v>
      </c>
      <c r="C18209" t="s">
        <v>40813</v>
      </c>
      <c r="D18209" t="str">
        <f>"3081"</f>
        <v>3081</v>
      </c>
      <c r="E18209" t="s">
        <v>28008</v>
      </c>
      <c r="F18209" t="s">
        <v>27965</v>
      </c>
      <c r="G18209" t="s">
        <v>47095</v>
      </c>
      <c r="H18209" t="s">
        <v>47055</v>
      </c>
      <c r="I18209" t="s">
        <v>47127</v>
      </c>
      <c r="J18209" t="s">
        <v>47128</v>
      </c>
      <c r="K18209" t="s">
        <v>47113</v>
      </c>
      <c r="L18209">
        <v>20.14</v>
      </c>
      <c r="M18209">
        <v>48</v>
      </c>
      <c r="N18209">
        <v>129</v>
      </c>
      <c r="O18209">
        <v>48</v>
      </c>
      <c r="P18209">
        <v>129</v>
      </c>
    </row>
    <row r="18210" spans="1:16" x14ac:dyDescent="0.25">
      <c r="A18210" t="s">
        <v>40816</v>
      </c>
      <c r="B18210" t="s">
        <v>40812</v>
      </c>
      <c r="C18210" t="s">
        <v>40813</v>
      </c>
      <c r="D18210" t="str">
        <f>"3501"</f>
        <v>3501</v>
      </c>
      <c r="E18210" t="s">
        <v>3758</v>
      </c>
      <c r="F18210" t="s">
        <v>27965</v>
      </c>
      <c r="G18210" t="s">
        <v>47095</v>
      </c>
      <c r="H18210" t="s">
        <v>47055</v>
      </c>
      <c r="I18210" t="s">
        <v>47127</v>
      </c>
      <c r="J18210" t="s">
        <v>47128</v>
      </c>
      <c r="K18210" t="s">
        <v>47113</v>
      </c>
      <c r="L18210">
        <v>20.14</v>
      </c>
      <c r="M18210">
        <v>48</v>
      </c>
      <c r="N18210">
        <v>129</v>
      </c>
      <c r="O18210">
        <v>48</v>
      </c>
      <c r="P18210">
        <v>129</v>
      </c>
    </row>
    <row r="18211" spans="1:16" x14ac:dyDescent="0.25">
      <c r="A18211" t="s">
        <v>40817</v>
      </c>
      <c r="B18211" t="s">
        <v>40812</v>
      </c>
      <c r="C18211" t="s">
        <v>40813</v>
      </c>
      <c r="D18211" t="str">
        <f>"4025"</f>
        <v>4025</v>
      </c>
      <c r="E18211" t="s">
        <v>24724</v>
      </c>
      <c r="F18211" t="s">
        <v>27965</v>
      </c>
      <c r="G18211" t="s">
        <v>47095</v>
      </c>
      <c r="H18211" t="s">
        <v>47055</v>
      </c>
      <c r="I18211" t="s">
        <v>47127</v>
      </c>
      <c r="J18211" t="s">
        <v>47128</v>
      </c>
      <c r="K18211" t="s">
        <v>47113</v>
      </c>
      <c r="L18211">
        <v>20.14</v>
      </c>
      <c r="M18211">
        <v>48</v>
      </c>
      <c r="N18211">
        <v>129</v>
      </c>
      <c r="O18211">
        <v>48</v>
      </c>
      <c r="P18211">
        <v>129</v>
      </c>
    </row>
    <row r="18212" spans="1:16" x14ac:dyDescent="0.25">
      <c r="A18212" t="s">
        <v>40818</v>
      </c>
      <c r="B18212" t="s">
        <v>40812</v>
      </c>
      <c r="C18212" t="s">
        <v>40813</v>
      </c>
      <c r="D18212" t="str">
        <f>"6500"</f>
        <v>6500</v>
      </c>
      <c r="E18212" t="s">
        <v>151</v>
      </c>
      <c r="F18212" t="s">
        <v>27965</v>
      </c>
      <c r="G18212" t="s">
        <v>47095</v>
      </c>
      <c r="H18212" t="s">
        <v>47055</v>
      </c>
      <c r="I18212" t="s">
        <v>47127</v>
      </c>
      <c r="J18212" t="s">
        <v>47128</v>
      </c>
      <c r="K18212" t="s">
        <v>47113</v>
      </c>
      <c r="L18212">
        <v>20.14</v>
      </c>
      <c r="M18212">
        <v>48</v>
      </c>
      <c r="N18212">
        <v>129</v>
      </c>
      <c r="O18212">
        <v>48</v>
      </c>
      <c r="P18212">
        <v>129</v>
      </c>
    </row>
    <row r="18213" spans="1:16" x14ac:dyDescent="0.25">
      <c r="A18213" t="s">
        <v>40819</v>
      </c>
      <c r="B18213" t="s">
        <v>40820</v>
      </c>
      <c r="C18213" t="s">
        <v>40821</v>
      </c>
      <c r="D18213" t="str">
        <f>"1001"</f>
        <v>1001</v>
      </c>
      <c r="E18213" t="s">
        <v>42</v>
      </c>
      <c r="F18213" t="s">
        <v>27965</v>
      </c>
      <c r="G18213" t="s">
        <v>47094</v>
      </c>
      <c r="H18213" t="s">
        <v>47055</v>
      </c>
      <c r="I18213" t="s">
        <v>47127</v>
      </c>
      <c r="J18213" t="s">
        <v>47128</v>
      </c>
      <c r="K18213" t="s">
        <v>47113</v>
      </c>
      <c r="L18213">
        <v>20.46</v>
      </c>
      <c r="M18213">
        <v>48</v>
      </c>
      <c r="N18213">
        <v>129</v>
      </c>
      <c r="O18213">
        <v>48</v>
      </c>
      <c r="P18213">
        <v>129</v>
      </c>
    </row>
    <row r="18214" spans="1:16" x14ac:dyDescent="0.25">
      <c r="A18214" t="s">
        <v>40822</v>
      </c>
      <c r="B18214" t="s">
        <v>40820</v>
      </c>
      <c r="C18214" t="s">
        <v>40821</v>
      </c>
      <c r="D18214" t="str">
        <f>"1700"</f>
        <v>1700</v>
      </c>
      <c r="E18214" t="s">
        <v>60</v>
      </c>
      <c r="F18214" t="s">
        <v>27965</v>
      </c>
      <c r="G18214" t="s">
        <v>47094</v>
      </c>
      <c r="H18214" t="s">
        <v>47055</v>
      </c>
      <c r="I18214" t="s">
        <v>47127</v>
      </c>
      <c r="J18214" t="s">
        <v>47128</v>
      </c>
      <c r="K18214" t="s">
        <v>47113</v>
      </c>
      <c r="L18214">
        <v>20.46</v>
      </c>
      <c r="M18214">
        <v>48</v>
      </c>
      <c r="N18214">
        <v>129</v>
      </c>
      <c r="O18214">
        <v>48</v>
      </c>
      <c r="P18214">
        <v>129</v>
      </c>
    </row>
    <row r="18215" spans="1:16" x14ac:dyDescent="0.25">
      <c r="A18215" t="s">
        <v>40823</v>
      </c>
      <c r="B18215" t="s">
        <v>40820</v>
      </c>
      <c r="C18215" t="s">
        <v>40821</v>
      </c>
      <c r="D18215" t="str">
        <f>"3081"</f>
        <v>3081</v>
      </c>
      <c r="E18215" t="s">
        <v>28008</v>
      </c>
      <c r="F18215" t="s">
        <v>27965</v>
      </c>
      <c r="G18215" t="s">
        <v>47094</v>
      </c>
      <c r="H18215" t="s">
        <v>47055</v>
      </c>
      <c r="I18215" t="s">
        <v>47127</v>
      </c>
      <c r="J18215" t="s">
        <v>47128</v>
      </c>
      <c r="K18215" t="s">
        <v>47113</v>
      </c>
      <c r="L18215">
        <v>20.46</v>
      </c>
      <c r="M18215">
        <v>48</v>
      </c>
      <c r="N18215">
        <v>129</v>
      </c>
      <c r="O18215">
        <v>48</v>
      </c>
      <c r="P18215">
        <v>129</v>
      </c>
    </row>
    <row r="18216" spans="1:16" x14ac:dyDescent="0.25">
      <c r="A18216" t="s">
        <v>40824</v>
      </c>
      <c r="B18216" t="s">
        <v>40820</v>
      </c>
      <c r="C18216" t="s">
        <v>40821</v>
      </c>
      <c r="D18216" t="str">
        <f>"3501"</f>
        <v>3501</v>
      </c>
      <c r="E18216" t="s">
        <v>3758</v>
      </c>
      <c r="F18216" t="s">
        <v>27965</v>
      </c>
      <c r="G18216" t="s">
        <v>47094</v>
      </c>
      <c r="H18216" t="s">
        <v>47055</v>
      </c>
      <c r="I18216" t="s">
        <v>47127</v>
      </c>
      <c r="J18216" t="s">
        <v>47128</v>
      </c>
      <c r="K18216" t="s">
        <v>47113</v>
      </c>
      <c r="L18216">
        <v>20.46</v>
      </c>
      <c r="M18216">
        <v>48</v>
      </c>
      <c r="N18216">
        <v>129</v>
      </c>
      <c r="O18216">
        <v>48</v>
      </c>
      <c r="P18216">
        <v>129</v>
      </c>
    </row>
    <row r="18217" spans="1:16" x14ac:dyDescent="0.25">
      <c r="A18217" t="s">
        <v>40825</v>
      </c>
      <c r="B18217" t="s">
        <v>40820</v>
      </c>
      <c r="C18217" t="s">
        <v>40821</v>
      </c>
      <c r="D18217" t="str">
        <f>"4025"</f>
        <v>4025</v>
      </c>
      <c r="E18217" t="s">
        <v>24724</v>
      </c>
      <c r="F18217" t="s">
        <v>27965</v>
      </c>
      <c r="G18217" t="s">
        <v>47094</v>
      </c>
      <c r="H18217" t="s">
        <v>47055</v>
      </c>
      <c r="I18217" t="s">
        <v>47127</v>
      </c>
      <c r="J18217" t="s">
        <v>47128</v>
      </c>
      <c r="K18217" t="s">
        <v>47113</v>
      </c>
      <c r="L18217">
        <v>20.46</v>
      </c>
      <c r="M18217">
        <v>48</v>
      </c>
      <c r="N18217">
        <v>129</v>
      </c>
      <c r="O18217">
        <v>48</v>
      </c>
      <c r="P18217">
        <v>129</v>
      </c>
    </row>
    <row r="18218" spans="1:16" x14ac:dyDescent="0.25">
      <c r="A18218" t="s">
        <v>40826</v>
      </c>
      <c r="B18218" t="s">
        <v>40820</v>
      </c>
      <c r="C18218" t="s">
        <v>40821</v>
      </c>
      <c r="D18218" t="str">
        <f>"6500"</f>
        <v>6500</v>
      </c>
      <c r="E18218" t="s">
        <v>151</v>
      </c>
      <c r="F18218" t="s">
        <v>27965</v>
      </c>
      <c r="G18218" t="s">
        <v>47094</v>
      </c>
      <c r="H18218" t="s">
        <v>47055</v>
      </c>
      <c r="I18218" t="s">
        <v>47127</v>
      </c>
      <c r="J18218" t="s">
        <v>47128</v>
      </c>
      <c r="K18218" t="s">
        <v>47113</v>
      </c>
      <c r="L18218">
        <v>20.46</v>
      </c>
      <c r="M18218">
        <v>48</v>
      </c>
      <c r="N18218">
        <v>129</v>
      </c>
      <c r="O18218">
        <v>48</v>
      </c>
      <c r="P18218">
        <v>129</v>
      </c>
    </row>
    <row r="18219" spans="1:16" x14ac:dyDescent="0.25">
      <c r="A18219" t="s">
        <v>40827</v>
      </c>
      <c r="B18219" t="s">
        <v>40828</v>
      </c>
      <c r="C18219" t="s">
        <v>40829</v>
      </c>
      <c r="D18219" t="str">
        <f>"1001"</f>
        <v>1001</v>
      </c>
      <c r="E18219" t="s">
        <v>42</v>
      </c>
      <c r="F18219" t="s">
        <v>27965</v>
      </c>
      <c r="G18219" t="s">
        <v>47094</v>
      </c>
      <c r="H18219" t="s">
        <v>47055</v>
      </c>
      <c r="I18219" t="s">
        <v>47127</v>
      </c>
      <c r="J18219" t="s">
        <v>47128</v>
      </c>
      <c r="K18219" t="s">
        <v>47113</v>
      </c>
      <c r="L18219">
        <v>20.190000000000001</v>
      </c>
      <c r="M18219">
        <v>48</v>
      </c>
      <c r="N18219">
        <v>129</v>
      </c>
      <c r="O18219">
        <v>48</v>
      </c>
      <c r="P18219">
        <v>129</v>
      </c>
    </row>
    <row r="18220" spans="1:16" x14ac:dyDescent="0.25">
      <c r="A18220" t="s">
        <v>40830</v>
      </c>
      <c r="B18220" t="s">
        <v>40828</v>
      </c>
      <c r="C18220" t="s">
        <v>40829</v>
      </c>
      <c r="D18220" t="str">
        <f>"1700"</f>
        <v>1700</v>
      </c>
      <c r="E18220" t="s">
        <v>60</v>
      </c>
      <c r="F18220" t="s">
        <v>27965</v>
      </c>
      <c r="G18220" t="s">
        <v>47094</v>
      </c>
      <c r="H18220" t="s">
        <v>47055</v>
      </c>
      <c r="I18220" t="s">
        <v>47127</v>
      </c>
      <c r="J18220" t="s">
        <v>47128</v>
      </c>
      <c r="K18220" t="s">
        <v>47113</v>
      </c>
      <c r="L18220">
        <v>20.46</v>
      </c>
      <c r="M18220">
        <v>48</v>
      </c>
      <c r="N18220">
        <v>129</v>
      </c>
      <c r="O18220">
        <v>48</v>
      </c>
      <c r="P18220">
        <v>129</v>
      </c>
    </row>
    <row r="18221" spans="1:16" x14ac:dyDescent="0.25">
      <c r="A18221" t="s">
        <v>40831</v>
      </c>
      <c r="B18221" t="s">
        <v>40828</v>
      </c>
      <c r="C18221" t="s">
        <v>40829</v>
      </c>
      <c r="D18221" t="str">
        <f>"3081"</f>
        <v>3081</v>
      </c>
      <c r="E18221" t="s">
        <v>28008</v>
      </c>
      <c r="F18221" t="s">
        <v>27965</v>
      </c>
      <c r="G18221" t="s">
        <v>47094</v>
      </c>
      <c r="H18221" t="s">
        <v>47055</v>
      </c>
      <c r="I18221" t="s">
        <v>47127</v>
      </c>
      <c r="J18221" t="s">
        <v>47128</v>
      </c>
      <c r="K18221" t="s">
        <v>47113</v>
      </c>
      <c r="L18221">
        <v>20.46</v>
      </c>
      <c r="M18221">
        <v>48</v>
      </c>
      <c r="N18221">
        <v>129</v>
      </c>
      <c r="O18221">
        <v>48</v>
      </c>
      <c r="P18221">
        <v>129</v>
      </c>
    </row>
    <row r="18222" spans="1:16" x14ac:dyDescent="0.25">
      <c r="A18222" t="s">
        <v>40832</v>
      </c>
      <c r="B18222" t="s">
        <v>40828</v>
      </c>
      <c r="C18222" t="s">
        <v>40829</v>
      </c>
      <c r="D18222" t="str">
        <f>"3501"</f>
        <v>3501</v>
      </c>
      <c r="E18222" t="s">
        <v>3758</v>
      </c>
      <c r="F18222" t="s">
        <v>27965</v>
      </c>
      <c r="G18222" t="s">
        <v>47094</v>
      </c>
      <c r="H18222" t="s">
        <v>47055</v>
      </c>
      <c r="I18222" t="s">
        <v>47127</v>
      </c>
      <c r="J18222" t="s">
        <v>47128</v>
      </c>
      <c r="K18222" t="s">
        <v>47113</v>
      </c>
      <c r="L18222">
        <v>20.46</v>
      </c>
      <c r="M18222">
        <v>48</v>
      </c>
      <c r="N18222">
        <v>129</v>
      </c>
      <c r="O18222">
        <v>48</v>
      </c>
      <c r="P18222">
        <v>129</v>
      </c>
    </row>
    <row r="18223" spans="1:16" x14ac:dyDescent="0.25">
      <c r="A18223" t="s">
        <v>40833</v>
      </c>
      <c r="B18223" t="s">
        <v>40828</v>
      </c>
      <c r="C18223" t="s">
        <v>40829</v>
      </c>
      <c r="D18223" t="str">
        <f>"4025"</f>
        <v>4025</v>
      </c>
      <c r="E18223" t="s">
        <v>24724</v>
      </c>
      <c r="F18223" t="s">
        <v>27965</v>
      </c>
      <c r="G18223" t="s">
        <v>47094</v>
      </c>
      <c r="H18223" t="s">
        <v>47055</v>
      </c>
      <c r="I18223" t="s">
        <v>47127</v>
      </c>
      <c r="J18223" t="s">
        <v>47128</v>
      </c>
      <c r="K18223" t="s">
        <v>47113</v>
      </c>
      <c r="L18223">
        <v>20.46</v>
      </c>
      <c r="M18223">
        <v>48</v>
      </c>
      <c r="N18223">
        <v>129</v>
      </c>
      <c r="O18223">
        <v>48</v>
      </c>
      <c r="P18223">
        <v>129</v>
      </c>
    </row>
    <row r="18224" spans="1:16" x14ac:dyDescent="0.25">
      <c r="A18224" t="s">
        <v>40834</v>
      </c>
      <c r="B18224" t="s">
        <v>40828</v>
      </c>
      <c r="C18224" t="s">
        <v>40829</v>
      </c>
      <c r="D18224" t="str">
        <f>"6500"</f>
        <v>6500</v>
      </c>
      <c r="E18224" t="s">
        <v>151</v>
      </c>
      <c r="F18224" t="s">
        <v>27965</v>
      </c>
      <c r="G18224" t="s">
        <v>47094</v>
      </c>
      <c r="H18224" t="s">
        <v>47055</v>
      </c>
      <c r="I18224" t="s">
        <v>47127</v>
      </c>
      <c r="J18224" t="s">
        <v>47128</v>
      </c>
      <c r="K18224" t="s">
        <v>47113</v>
      </c>
      <c r="L18224">
        <v>20.46</v>
      </c>
      <c r="M18224">
        <v>48</v>
      </c>
      <c r="N18224">
        <v>129</v>
      </c>
      <c r="O18224">
        <v>48</v>
      </c>
      <c r="P18224">
        <v>129</v>
      </c>
    </row>
    <row r="18225" spans="1:16" x14ac:dyDescent="0.25">
      <c r="A18225" t="s">
        <v>40835</v>
      </c>
      <c r="B18225" t="s">
        <v>40836</v>
      </c>
      <c r="C18225" t="s">
        <v>40837</v>
      </c>
      <c r="D18225" t="str">
        <f>"3501"</f>
        <v>3501</v>
      </c>
      <c r="E18225" t="s">
        <v>3758</v>
      </c>
      <c r="F18225" t="s">
        <v>27965</v>
      </c>
      <c r="G18225" t="s">
        <v>47096</v>
      </c>
      <c r="H18225" t="s">
        <v>47055</v>
      </c>
      <c r="I18225" t="s">
        <v>47127</v>
      </c>
      <c r="J18225" t="s">
        <v>47128</v>
      </c>
      <c r="K18225" t="s">
        <v>47113</v>
      </c>
      <c r="L18225">
        <v>23.98</v>
      </c>
      <c r="M18225">
        <v>48</v>
      </c>
      <c r="N18225">
        <v>129</v>
      </c>
      <c r="O18225">
        <v>48</v>
      </c>
      <c r="P18225">
        <v>129</v>
      </c>
    </row>
    <row r="18226" spans="1:16" x14ac:dyDescent="0.25">
      <c r="A18226" t="s">
        <v>40838</v>
      </c>
      <c r="B18226" t="s">
        <v>40836</v>
      </c>
      <c r="C18226" t="s">
        <v>40837</v>
      </c>
      <c r="D18226" t="str">
        <f>"4025"</f>
        <v>4025</v>
      </c>
      <c r="E18226" t="s">
        <v>24724</v>
      </c>
      <c r="F18226" t="s">
        <v>27965</v>
      </c>
      <c r="G18226" t="s">
        <v>47096</v>
      </c>
      <c r="H18226" t="s">
        <v>47055</v>
      </c>
      <c r="I18226" t="s">
        <v>47127</v>
      </c>
      <c r="J18226" t="s">
        <v>47128</v>
      </c>
      <c r="K18226" t="s">
        <v>47113</v>
      </c>
      <c r="L18226">
        <v>23.98</v>
      </c>
      <c r="M18226">
        <v>48</v>
      </c>
      <c r="N18226">
        <v>129</v>
      </c>
      <c r="O18226">
        <v>48</v>
      </c>
      <c r="P18226">
        <v>129</v>
      </c>
    </row>
    <row r="18227" spans="1:16" x14ac:dyDescent="0.25">
      <c r="A18227" t="s">
        <v>40839</v>
      </c>
      <c r="B18227" t="s">
        <v>40836</v>
      </c>
      <c r="C18227" t="s">
        <v>40837</v>
      </c>
      <c r="D18227" t="str">
        <f>"6500"</f>
        <v>6500</v>
      </c>
      <c r="E18227" t="s">
        <v>151</v>
      </c>
      <c r="F18227" t="s">
        <v>27965</v>
      </c>
      <c r="G18227" t="s">
        <v>47096</v>
      </c>
      <c r="H18227" t="s">
        <v>47055</v>
      </c>
      <c r="I18227" t="s">
        <v>47127</v>
      </c>
      <c r="J18227" t="s">
        <v>47128</v>
      </c>
      <c r="K18227" t="s">
        <v>47113</v>
      </c>
      <c r="L18227">
        <v>23.98</v>
      </c>
      <c r="M18227">
        <v>48</v>
      </c>
      <c r="N18227">
        <v>129</v>
      </c>
      <c r="O18227">
        <v>48</v>
      </c>
      <c r="P18227">
        <v>129</v>
      </c>
    </row>
    <row r="18228" spans="1:16" x14ac:dyDescent="0.25">
      <c r="A18228" t="s">
        <v>40840</v>
      </c>
      <c r="B18228" t="s">
        <v>40841</v>
      </c>
      <c r="C18228" t="s">
        <v>40842</v>
      </c>
      <c r="D18228" t="str">
        <f>"3501"</f>
        <v>3501</v>
      </c>
      <c r="E18228" t="s">
        <v>3758</v>
      </c>
      <c r="F18228" t="s">
        <v>27965</v>
      </c>
      <c r="G18228" t="s">
        <v>47095</v>
      </c>
      <c r="H18228" t="s">
        <v>47055</v>
      </c>
      <c r="I18228" t="s">
        <v>47127</v>
      </c>
      <c r="J18228" t="s">
        <v>47128</v>
      </c>
      <c r="K18228" t="s">
        <v>47113</v>
      </c>
      <c r="L18228">
        <v>20.79</v>
      </c>
      <c r="M18228">
        <v>48</v>
      </c>
      <c r="N18228">
        <v>129</v>
      </c>
      <c r="O18228">
        <v>48</v>
      </c>
      <c r="P18228">
        <v>129</v>
      </c>
    </row>
    <row r="18229" spans="1:16" x14ac:dyDescent="0.25">
      <c r="A18229" t="s">
        <v>40843</v>
      </c>
      <c r="B18229" t="s">
        <v>40841</v>
      </c>
      <c r="C18229" t="s">
        <v>40842</v>
      </c>
      <c r="D18229" t="str">
        <f>"4025"</f>
        <v>4025</v>
      </c>
      <c r="E18229" t="s">
        <v>24724</v>
      </c>
      <c r="F18229" t="s">
        <v>27965</v>
      </c>
      <c r="G18229" t="s">
        <v>47095</v>
      </c>
      <c r="H18229" t="s">
        <v>47055</v>
      </c>
      <c r="I18229" t="s">
        <v>47127</v>
      </c>
      <c r="J18229" t="s">
        <v>47128</v>
      </c>
      <c r="K18229" t="s">
        <v>47113</v>
      </c>
      <c r="L18229">
        <v>20.79</v>
      </c>
      <c r="M18229">
        <v>48</v>
      </c>
      <c r="N18229">
        <v>129</v>
      </c>
      <c r="O18229">
        <v>48</v>
      </c>
      <c r="P18229">
        <v>129</v>
      </c>
    </row>
    <row r="18230" spans="1:16" x14ac:dyDescent="0.25">
      <c r="A18230" t="s">
        <v>40844</v>
      </c>
      <c r="B18230" t="s">
        <v>40841</v>
      </c>
      <c r="C18230" t="s">
        <v>40842</v>
      </c>
      <c r="D18230" t="str">
        <f>"6500"</f>
        <v>6500</v>
      </c>
      <c r="E18230" t="s">
        <v>151</v>
      </c>
      <c r="F18230" t="s">
        <v>27965</v>
      </c>
      <c r="G18230" t="s">
        <v>47095</v>
      </c>
      <c r="H18230" t="s">
        <v>47055</v>
      </c>
      <c r="I18230" t="s">
        <v>47127</v>
      </c>
      <c r="J18230" t="s">
        <v>47128</v>
      </c>
      <c r="K18230" t="s">
        <v>47113</v>
      </c>
      <c r="L18230">
        <v>20.79</v>
      </c>
      <c r="M18230">
        <v>48</v>
      </c>
      <c r="N18230">
        <v>129</v>
      </c>
      <c r="O18230">
        <v>48</v>
      </c>
      <c r="P18230">
        <v>129</v>
      </c>
    </row>
    <row r="18231" spans="1:16" x14ac:dyDescent="0.25">
      <c r="A18231" t="s">
        <v>40845</v>
      </c>
      <c r="B18231" t="s">
        <v>40846</v>
      </c>
      <c r="C18231" t="s">
        <v>40847</v>
      </c>
      <c r="D18231" t="str">
        <f>"3501"</f>
        <v>3501</v>
      </c>
      <c r="E18231" t="s">
        <v>3758</v>
      </c>
      <c r="F18231" t="s">
        <v>27965</v>
      </c>
      <c r="G18231" t="s">
        <v>47094</v>
      </c>
      <c r="H18231" t="s">
        <v>47055</v>
      </c>
      <c r="I18231" t="s">
        <v>47127</v>
      </c>
      <c r="J18231" t="s">
        <v>47128</v>
      </c>
      <c r="K18231" t="s">
        <v>47113</v>
      </c>
      <c r="L18231">
        <v>33.549999999999997</v>
      </c>
      <c r="M18231">
        <v>85</v>
      </c>
      <c r="N18231">
        <v>229</v>
      </c>
      <c r="O18231">
        <v>85</v>
      </c>
      <c r="P18231">
        <v>229</v>
      </c>
    </row>
    <row r="18232" spans="1:16" x14ac:dyDescent="0.25">
      <c r="A18232" t="s">
        <v>40848</v>
      </c>
      <c r="B18232" t="s">
        <v>40846</v>
      </c>
      <c r="C18232" t="s">
        <v>40847</v>
      </c>
      <c r="D18232" t="str">
        <f>"4025"</f>
        <v>4025</v>
      </c>
      <c r="E18232" t="s">
        <v>24724</v>
      </c>
      <c r="F18232" t="s">
        <v>27965</v>
      </c>
      <c r="G18232" t="s">
        <v>47094</v>
      </c>
      <c r="H18232" t="s">
        <v>47055</v>
      </c>
      <c r="I18232" t="s">
        <v>47127</v>
      </c>
      <c r="J18232" t="s">
        <v>47128</v>
      </c>
      <c r="K18232" t="s">
        <v>47113</v>
      </c>
      <c r="L18232">
        <v>34</v>
      </c>
      <c r="M18232">
        <v>85</v>
      </c>
      <c r="N18232">
        <v>229</v>
      </c>
      <c r="O18232">
        <v>85</v>
      </c>
      <c r="P18232">
        <v>229</v>
      </c>
    </row>
    <row r="18233" spans="1:16" x14ac:dyDescent="0.25">
      <c r="A18233" t="s">
        <v>40849</v>
      </c>
      <c r="B18233" t="s">
        <v>40846</v>
      </c>
      <c r="C18233" t="s">
        <v>40847</v>
      </c>
      <c r="D18233" t="str">
        <f>"6500"</f>
        <v>6500</v>
      </c>
      <c r="E18233" t="s">
        <v>151</v>
      </c>
      <c r="F18233" t="s">
        <v>27965</v>
      </c>
      <c r="G18233" t="s">
        <v>47094</v>
      </c>
      <c r="H18233" t="s">
        <v>47055</v>
      </c>
      <c r="I18233" t="s">
        <v>47127</v>
      </c>
      <c r="J18233" t="s">
        <v>47128</v>
      </c>
      <c r="K18233" t="s">
        <v>47113</v>
      </c>
      <c r="L18233">
        <v>34</v>
      </c>
      <c r="M18233">
        <v>85</v>
      </c>
      <c r="N18233">
        <v>229</v>
      </c>
      <c r="O18233">
        <v>85</v>
      </c>
      <c r="P18233">
        <v>229</v>
      </c>
    </row>
    <row r="18234" spans="1:16" x14ac:dyDescent="0.25">
      <c r="A18234" t="s">
        <v>40850</v>
      </c>
      <c r="B18234" t="s">
        <v>40851</v>
      </c>
      <c r="C18234" t="s">
        <v>40852</v>
      </c>
      <c r="D18234" t="str">
        <f>"3501"</f>
        <v>3501</v>
      </c>
      <c r="E18234" t="s">
        <v>3758</v>
      </c>
      <c r="F18234" t="s">
        <v>27965</v>
      </c>
      <c r="G18234" t="s">
        <v>47095</v>
      </c>
      <c r="H18234" t="s">
        <v>47055</v>
      </c>
      <c r="I18234" t="s">
        <v>47127</v>
      </c>
      <c r="J18234" t="s">
        <v>47128</v>
      </c>
      <c r="K18234" t="s">
        <v>47113</v>
      </c>
      <c r="L18234">
        <v>16.52</v>
      </c>
      <c r="M18234">
        <v>37</v>
      </c>
      <c r="N18234">
        <v>99</v>
      </c>
      <c r="O18234">
        <v>37</v>
      </c>
      <c r="P18234">
        <v>99</v>
      </c>
    </row>
    <row r="18235" spans="1:16" x14ac:dyDescent="0.25">
      <c r="A18235" t="s">
        <v>40853</v>
      </c>
      <c r="B18235" t="s">
        <v>40851</v>
      </c>
      <c r="C18235" t="s">
        <v>40852</v>
      </c>
      <c r="D18235" t="str">
        <f>"4025"</f>
        <v>4025</v>
      </c>
      <c r="E18235" t="s">
        <v>24724</v>
      </c>
      <c r="F18235" t="s">
        <v>27965</v>
      </c>
      <c r="G18235" t="s">
        <v>47095</v>
      </c>
      <c r="H18235" t="s">
        <v>47055</v>
      </c>
      <c r="I18235" t="s">
        <v>47127</v>
      </c>
      <c r="J18235" t="s">
        <v>47128</v>
      </c>
      <c r="K18235" t="s">
        <v>47113</v>
      </c>
      <c r="L18235">
        <v>16.52</v>
      </c>
      <c r="M18235">
        <v>37</v>
      </c>
      <c r="N18235">
        <v>99</v>
      </c>
      <c r="O18235">
        <v>37</v>
      </c>
      <c r="P18235">
        <v>99</v>
      </c>
    </row>
    <row r="18236" spans="1:16" x14ac:dyDescent="0.25">
      <c r="A18236" t="s">
        <v>40854</v>
      </c>
      <c r="B18236" t="s">
        <v>40851</v>
      </c>
      <c r="C18236" t="s">
        <v>40852</v>
      </c>
      <c r="D18236" t="str">
        <f>"6500"</f>
        <v>6500</v>
      </c>
      <c r="E18236" t="s">
        <v>151</v>
      </c>
      <c r="F18236" t="s">
        <v>27965</v>
      </c>
      <c r="G18236" t="s">
        <v>47095</v>
      </c>
      <c r="H18236" t="s">
        <v>47055</v>
      </c>
      <c r="I18236" t="s">
        <v>47127</v>
      </c>
      <c r="J18236" t="s">
        <v>47128</v>
      </c>
      <c r="K18236" t="s">
        <v>47113</v>
      </c>
      <c r="L18236">
        <v>16.52</v>
      </c>
      <c r="M18236">
        <v>37</v>
      </c>
      <c r="N18236">
        <v>99</v>
      </c>
      <c r="O18236">
        <v>37</v>
      </c>
      <c r="P18236">
        <v>99</v>
      </c>
    </row>
    <row r="18237" spans="1:16" x14ac:dyDescent="0.25">
      <c r="A18237" t="s">
        <v>40855</v>
      </c>
      <c r="B18237" t="s">
        <v>40856</v>
      </c>
      <c r="C18237" t="s">
        <v>95</v>
      </c>
      <c r="D18237" t="str">
        <f>"1001"</f>
        <v>1001</v>
      </c>
      <c r="E18237" t="s">
        <v>42</v>
      </c>
      <c r="F18237" t="s">
        <v>27965</v>
      </c>
      <c r="G18237" t="s">
        <v>47095</v>
      </c>
      <c r="H18237" t="s">
        <v>47055</v>
      </c>
      <c r="I18237" t="s">
        <v>47127</v>
      </c>
      <c r="J18237" t="s">
        <v>47128</v>
      </c>
      <c r="K18237" t="s">
        <v>47113</v>
      </c>
      <c r="L18237">
        <v>20.14</v>
      </c>
      <c r="M18237">
        <v>48</v>
      </c>
      <c r="N18237">
        <v>129</v>
      </c>
      <c r="O18237">
        <v>48</v>
      </c>
      <c r="P18237">
        <v>129</v>
      </c>
    </row>
    <row r="18238" spans="1:16" x14ac:dyDescent="0.25">
      <c r="A18238" t="s">
        <v>40857</v>
      </c>
      <c r="B18238" t="s">
        <v>40856</v>
      </c>
      <c r="C18238" t="s">
        <v>95</v>
      </c>
      <c r="D18238" t="str">
        <f>"1377"</f>
        <v>1377</v>
      </c>
      <c r="E18238" t="s">
        <v>74</v>
      </c>
      <c r="F18238" t="s">
        <v>27965</v>
      </c>
      <c r="G18238" t="s">
        <v>47095</v>
      </c>
      <c r="H18238" t="s">
        <v>47055</v>
      </c>
      <c r="I18238" t="s">
        <v>47127</v>
      </c>
      <c r="J18238" t="s">
        <v>47128</v>
      </c>
      <c r="K18238" t="s">
        <v>47113</v>
      </c>
      <c r="L18238">
        <v>20.14</v>
      </c>
      <c r="M18238">
        <v>48</v>
      </c>
      <c r="N18238">
        <v>129</v>
      </c>
      <c r="O18238">
        <v>48</v>
      </c>
      <c r="P18238">
        <v>129</v>
      </c>
    </row>
    <row r="18239" spans="1:16" x14ac:dyDescent="0.25">
      <c r="A18239" t="s">
        <v>40858</v>
      </c>
      <c r="B18239" t="s">
        <v>40856</v>
      </c>
      <c r="C18239" t="s">
        <v>95</v>
      </c>
      <c r="D18239" t="str">
        <f>"1700"</f>
        <v>1700</v>
      </c>
      <c r="E18239" t="s">
        <v>60</v>
      </c>
      <c r="F18239" t="s">
        <v>27965</v>
      </c>
      <c r="G18239" t="s">
        <v>47095</v>
      </c>
      <c r="H18239" t="s">
        <v>47055</v>
      </c>
      <c r="I18239" t="s">
        <v>47127</v>
      </c>
      <c r="J18239" t="s">
        <v>47128</v>
      </c>
      <c r="K18239" t="s">
        <v>47113</v>
      </c>
      <c r="L18239">
        <v>20.14</v>
      </c>
      <c r="M18239">
        <v>48</v>
      </c>
      <c r="N18239">
        <v>129</v>
      </c>
      <c r="O18239">
        <v>48</v>
      </c>
      <c r="P18239">
        <v>129</v>
      </c>
    </row>
    <row r="18240" spans="1:16" x14ac:dyDescent="0.25">
      <c r="A18240" t="s">
        <v>40859</v>
      </c>
      <c r="B18240" t="s">
        <v>40856</v>
      </c>
      <c r="C18240" t="s">
        <v>95</v>
      </c>
      <c r="D18240" t="str">
        <f>"4025"</f>
        <v>4025</v>
      </c>
      <c r="E18240" t="s">
        <v>24724</v>
      </c>
      <c r="F18240" t="s">
        <v>27965</v>
      </c>
      <c r="G18240" t="s">
        <v>47095</v>
      </c>
      <c r="H18240" t="s">
        <v>47055</v>
      </c>
      <c r="I18240" t="s">
        <v>47127</v>
      </c>
      <c r="J18240" t="s">
        <v>47128</v>
      </c>
      <c r="K18240" t="s">
        <v>47113</v>
      </c>
      <c r="L18240">
        <v>20.14</v>
      </c>
      <c r="M18240">
        <v>48</v>
      </c>
      <c r="N18240">
        <v>129</v>
      </c>
      <c r="O18240">
        <v>48</v>
      </c>
      <c r="P18240">
        <v>129</v>
      </c>
    </row>
    <row r="18241" spans="1:16" x14ac:dyDescent="0.25">
      <c r="A18241" t="s">
        <v>40860</v>
      </c>
      <c r="B18241" t="s">
        <v>40856</v>
      </c>
      <c r="C18241" t="s">
        <v>95</v>
      </c>
      <c r="D18241" t="str">
        <f>"4677"</f>
        <v>4677</v>
      </c>
      <c r="E18241" t="s">
        <v>9288</v>
      </c>
      <c r="F18241" t="s">
        <v>27965</v>
      </c>
      <c r="G18241" t="s">
        <v>47095</v>
      </c>
      <c r="H18241" t="s">
        <v>47055</v>
      </c>
      <c r="I18241" t="s">
        <v>47127</v>
      </c>
      <c r="J18241" t="s">
        <v>47128</v>
      </c>
      <c r="K18241" t="s">
        <v>47113</v>
      </c>
      <c r="L18241">
        <v>20.14</v>
      </c>
      <c r="M18241">
        <v>48</v>
      </c>
      <c r="N18241">
        <v>129</v>
      </c>
      <c r="O18241">
        <v>48</v>
      </c>
      <c r="P18241">
        <v>129</v>
      </c>
    </row>
    <row r="18242" spans="1:16" x14ac:dyDescent="0.25">
      <c r="A18242" t="s">
        <v>40861</v>
      </c>
      <c r="B18242" t="s">
        <v>40856</v>
      </c>
      <c r="C18242" t="s">
        <v>95</v>
      </c>
      <c r="D18242" t="str">
        <f>"6092"</f>
        <v>6092</v>
      </c>
      <c r="E18242" t="s">
        <v>28002</v>
      </c>
      <c r="F18242" t="s">
        <v>27965</v>
      </c>
      <c r="G18242" t="s">
        <v>47095</v>
      </c>
      <c r="H18242" t="s">
        <v>47055</v>
      </c>
      <c r="I18242" t="s">
        <v>47127</v>
      </c>
      <c r="J18242" t="s">
        <v>47128</v>
      </c>
      <c r="K18242" t="s">
        <v>47113</v>
      </c>
      <c r="L18242">
        <v>20.14</v>
      </c>
      <c r="M18242">
        <v>48</v>
      </c>
      <c r="N18242">
        <v>129</v>
      </c>
      <c r="O18242">
        <v>48</v>
      </c>
      <c r="P18242">
        <v>129</v>
      </c>
    </row>
    <row r="18243" spans="1:16" x14ac:dyDescent="0.25">
      <c r="A18243" t="s">
        <v>40862</v>
      </c>
      <c r="B18243" t="s">
        <v>40856</v>
      </c>
      <c r="C18243" t="s">
        <v>95</v>
      </c>
      <c r="D18243" t="str">
        <f>"6500"</f>
        <v>6500</v>
      </c>
      <c r="E18243" t="s">
        <v>151</v>
      </c>
      <c r="F18243" t="s">
        <v>27965</v>
      </c>
      <c r="G18243" t="s">
        <v>47095</v>
      </c>
      <c r="H18243" t="s">
        <v>47055</v>
      </c>
      <c r="I18243" t="s">
        <v>47127</v>
      </c>
      <c r="J18243" t="s">
        <v>47128</v>
      </c>
      <c r="K18243" t="s">
        <v>47113</v>
      </c>
      <c r="L18243">
        <v>20.14</v>
      </c>
      <c r="M18243">
        <v>48</v>
      </c>
      <c r="N18243">
        <v>129</v>
      </c>
      <c r="O18243">
        <v>48</v>
      </c>
      <c r="P18243">
        <v>129</v>
      </c>
    </row>
    <row r="18244" spans="1:16" x14ac:dyDescent="0.25">
      <c r="A18244" t="s">
        <v>40863</v>
      </c>
      <c r="B18244" t="s">
        <v>40864</v>
      </c>
      <c r="C18244" t="s">
        <v>40865</v>
      </c>
      <c r="D18244" t="str">
        <f>"1377"</f>
        <v>1377</v>
      </c>
      <c r="E18244" t="s">
        <v>74</v>
      </c>
      <c r="F18244" t="s">
        <v>27965</v>
      </c>
      <c r="G18244" t="s">
        <v>47095</v>
      </c>
      <c r="H18244" t="s">
        <v>47055</v>
      </c>
      <c r="I18244" t="s">
        <v>47127</v>
      </c>
      <c r="J18244" t="s">
        <v>47128</v>
      </c>
      <c r="K18244" t="s">
        <v>47113</v>
      </c>
      <c r="L18244">
        <v>23.67</v>
      </c>
      <c r="M18244">
        <v>63</v>
      </c>
      <c r="N18244">
        <v>169</v>
      </c>
      <c r="O18244">
        <v>63</v>
      </c>
      <c r="P18244">
        <v>169</v>
      </c>
    </row>
    <row r="18245" spans="1:16" x14ac:dyDescent="0.25">
      <c r="A18245" t="s">
        <v>40866</v>
      </c>
      <c r="B18245" t="s">
        <v>40864</v>
      </c>
      <c r="C18245" t="s">
        <v>40865</v>
      </c>
      <c r="D18245" t="str">
        <f>"1378"</f>
        <v>1378</v>
      </c>
      <c r="E18245" t="s">
        <v>388</v>
      </c>
      <c r="F18245" t="s">
        <v>27965</v>
      </c>
      <c r="G18245" t="s">
        <v>47095</v>
      </c>
      <c r="H18245" t="s">
        <v>47055</v>
      </c>
      <c r="I18245" t="s">
        <v>47127</v>
      </c>
      <c r="J18245" t="s">
        <v>47128</v>
      </c>
      <c r="K18245" t="s">
        <v>47113</v>
      </c>
      <c r="L18245">
        <v>23.67</v>
      </c>
      <c r="M18245">
        <v>63</v>
      </c>
      <c r="N18245">
        <v>169</v>
      </c>
      <c r="O18245">
        <v>63</v>
      </c>
      <c r="P18245">
        <v>169</v>
      </c>
    </row>
    <row r="18246" spans="1:16" x14ac:dyDescent="0.25">
      <c r="A18246" t="s">
        <v>40867</v>
      </c>
      <c r="B18246" t="s">
        <v>40864</v>
      </c>
      <c r="C18246" t="s">
        <v>40865</v>
      </c>
      <c r="D18246" t="str">
        <f>"4249"</f>
        <v>4249</v>
      </c>
      <c r="E18246" t="s">
        <v>27992</v>
      </c>
      <c r="F18246" t="s">
        <v>27965</v>
      </c>
      <c r="G18246" t="s">
        <v>47095</v>
      </c>
      <c r="H18246" t="s">
        <v>47055</v>
      </c>
      <c r="I18246" t="s">
        <v>47127</v>
      </c>
      <c r="J18246" t="s">
        <v>47128</v>
      </c>
      <c r="K18246" t="s">
        <v>47113</v>
      </c>
      <c r="L18246">
        <v>23.67</v>
      </c>
      <c r="M18246">
        <v>63</v>
      </c>
      <c r="N18246">
        <v>169</v>
      </c>
      <c r="O18246">
        <v>63</v>
      </c>
      <c r="P18246">
        <v>169</v>
      </c>
    </row>
    <row r="18247" spans="1:16" x14ac:dyDescent="0.25">
      <c r="A18247" t="s">
        <v>40868</v>
      </c>
      <c r="B18247" t="s">
        <v>40864</v>
      </c>
      <c r="C18247" t="s">
        <v>40865</v>
      </c>
      <c r="D18247" t="str">
        <f>"4677"</f>
        <v>4677</v>
      </c>
      <c r="E18247" t="s">
        <v>9288</v>
      </c>
      <c r="F18247" t="s">
        <v>27965</v>
      </c>
      <c r="G18247" t="s">
        <v>47095</v>
      </c>
      <c r="H18247" t="s">
        <v>47055</v>
      </c>
      <c r="I18247" t="s">
        <v>47127</v>
      </c>
      <c r="J18247" t="s">
        <v>47128</v>
      </c>
      <c r="K18247" t="s">
        <v>47113</v>
      </c>
      <c r="L18247">
        <v>23.67</v>
      </c>
      <c r="M18247">
        <v>63</v>
      </c>
      <c r="N18247">
        <v>169</v>
      </c>
      <c r="O18247">
        <v>63</v>
      </c>
      <c r="P18247">
        <v>169</v>
      </c>
    </row>
    <row r="18248" spans="1:16" x14ac:dyDescent="0.25">
      <c r="A18248" t="s">
        <v>40869</v>
      </c>
      <c r="B18248" t="s">
        <v>40870</v>
      </c>
      <c r="C18248" t="s">
        <v>40871</v>
      </c>
      <c r="D18248" t="str">
        <f>"1377"</f>
        <v>1377</v>
      </c>
      <c r="E18248" t="s">
        <v>74</v>
      </c>
      <c r="F18248" t="s">
        <v>27965</v>
      </c>
      <c r="G18248" t="s">
        <v>47096</v>
      </c>
      <c r="H18248" t="s">
        <v>47055</v>
      </c>
      <c r="I18248" t="s">
        <v>47127</v>
      </c>
      <c r="J18248" t="s">
        <v>47128</v>
      </c>
      <c r="K18248" t="s">
        <v>47113</v>
      </c>
      <c r="L18248">
        <v>21</v>
      </c>
      <c r="M18248">
        <v>48</v>
      </c>
      <c r="N18248">
        <v>129</v>
      </c>
      <c r="O18248">
        <v>48</v>
      </c>
      <c r="P18248">
        <v>129</v>
      </c>
    </row>
    <row r="18249" spans="1:16" x14ac:dyDescent="0.25">
      <c r="A18249" t="s">
        <v>40872</v>
      </c>
      <c r="B18249" t="s">
        <v>40870</v>
      </c>
      <c r="C18249" t="s">
        <v>40871</v>
      </c>
      <c r="D18249" t="str">
        <f>"3081"</f>
        <v>3081</v>
      </c>
      <c r="E18249" t="s">
        <v>28008</v>
      </c>
      <c r="F18249" t="s">
        <v>27965</v>
      </c>
      <c r="G18249" t="s">
        <v>47096</v>
      </c>
      <c r="H18249" t="s">
        <v>47055</v>
      </c>
      <c r="I18249" t="s">
        <v>47127</v>
      </c>
      <c r="J18249" t="s">
        <v>47128</v>
      </c>
      <c r="K18249" t="s">
        <v>47113</v>
      </c>
      <c r="L18249">
        <v>20.72</v>
      </c>
      <c r="M18249">
        <v>48</v>
      </c>
      <c r="N18249">
        <v>129</v>
      </c>
      <c r="O18249">
        <v>48</v>
      </c>
      <c r="P18249">
        <v>129</v>
      </c>
    </row>
    <row r="18250" spans="1:16" x14ac:dyDescent="0.25">
      <c r="A18250" t="s">
        <v>40873</v>
      </c>
      <c r="B18250" t="s">
        <v>40870</v>
      </c>
      <c r="C18250" t="s">
        <v>40871</v>
      </c>
      <c r="D18250" t="str">
        <f>"4025"</f>
        <v>4025</v>
      </c>
      <c r="E18250" t="s">
        <v>24724</v>
      </c>
      <c r="F18250" t="s">
        <v>27965</v>
      </c>
      <c r="G18250" t="s">
        <v>47096</v>
      </c>
      <c r="H18250" t="s">
        <v>47055</v>
      </c>
      <c r="I18250" t="s">
        <v>47127</v>
      </c>
      <c r="J18250" t="s">
        <v>47128</v>
      </c>
      <c r="K18250" t="s">
        <v>47113</v>
      </c>
      <c r="L18250">
        <v>20.72</v>
      </c>
      <c r="M18250">
        <v>48</v>
      </c>
      <c r="N18250">
        <v>129</v>
      </c>
      <c r="O18250">
        <v>48</v>
      </c>
      <c r="P18250">
        <v>129</v>
      </c>
    </row>
    <row r="18251" spans="1:16" x14ac:dyDescent="0.25">
      <c r="A18251" t="s">
        <v>40874</v>
      </c>
      <c r="B18251" t="s">
        <v>40870</v>
      </c>
      <c r="C18251" t="s">
        <v>40871</v>
      </c>
      <c r="D18251" t="str">
        <f>"4677"</f>
        <v>4677</v>
      </c>
      <c r="E18251" t="s">
        <v>9288</v>
      </c>
      <c r="F18251" t="s">
        <v>27965</v>
      </c>
      <c r="G18251" t="s">
        <v>47096</v>
      </c>
      <c r="H18251" t="s">
        <v>47055</v>
      </c>
      <c r="I18251" t="s">
        <v>47127</v>
      </c>
      <c r="J18251" t="s">
        <v>47128</v>
      </c>
      <c r="K18251" t="s">
        <v>47113</v>
      </c>
      <c r="L18251">
        <v>21</v>
      </c>
      <c r="M18251">
        <v>48</v>
      </c>
      <c r="N18251">
        <v>129</v>
      </c>
      <c r="O18251">
        <v>48</v>
      </c>
      <c r="P18251">
        <v>129</v>
      </c>
    </row>
    <row r="18252" spans="1:16" x14ac:dyDescent="0.25">
      <c r="A18252" t="s">
        <v>40875</v>
      </c>
      <c r="B18252" t="s">
        <v>40870</v>
      </c>
      <c r="C18252" t="s">
        <v>40871</v>
      </c>
      <c r="D18252" t="str">
        <f>"6092"</f>
        <v>6092</v>
      </c>
      <c r="E18252" t="s">
        <v>28002</v>
      </c>
      <c r="F18252" t="s">
        <v>27965</v>
      </c>
      <c r="G18252" t="s">
        <v>47096</v>
      </c>
      <c r="H18252" t="s">
        <v>47055</v>
      </c>
      <c r="I18252" t="s">
        <v>47127</v>
      </c>
      <c r="J18252" t="s">
        <v>47128</v>
      </c>
      <c r="K18252" t="s">
        <v>47113</v>
      </c>
      <c r="L18252">
        <v>21</v>
      </c>
      <c r="M18252">
        <v>48</v>
      </c>
      <c r="N18252">
        <v>129</v>
      </c>
      <c r="O18252">
        <v>48</v>
      </c>
      <c r="P18252">
        <v>129</v>
      </c>
    </row>
    <row r="18253" spans="1:16" x14ac:dyDescent="0.25">
      <c r="A18253" t="s">
        <v>40876</v>
      </c>
      <c r="B18253" t="s">
        <v>40870</v>
      </c>
      <c r="C18253" t="s">
        <v>40871</v>
      </c>
      <c r="D18253" t="str">
        <f>"6500"</f>
        <v>6500</v>
      </c>
      <c r="E18253" t="s">
        <v>151</v>
      </c>
      <c r="F18253" t="s">
        <v>27965</v>
      </c>
      <c r="G18253" t="s">
        <v>47096</v>
      </c>
      <c r="H18253" t="s">
        <v>47055</v>
      </c>
      <c r="I18253" t="s">
        <v>47127</v>
      </c>
      <c r="J18253" t="s">
        <v>47128</v>
      </c>
      <c r="K18253" t="s">
        <v>47113</v>
      </c>
      <c r="L18253">
        <v>21</v>
      </c>
      <c r="M18253">
        <v>48</v>
      </c>
      <c r="N18253">
        <v>129</v>
      </c>
      <c r="O18253">
        <v>48</v>
      </c>
      <c r="P18253">
        <v>129</v>
      </c>
    </row>
    <row r="18254" spans="1:16" x14ac:dyDescent="0.25">
      <c r="A18254" t="s">
        <v>40877</v>
      </c>
      <c r="B18254" t="s">
        <v>40878</v>
      </c>
      <c r="C18254" t="s">
        <v>40879</v>
      </c>
      <c r="D18254" t="str">
        <f>"1377"</f>
        <v>1377</v>
      </c>
      <c r="E18254" t="s">
        <v>74</v>
      </c>
      <c r="F18254" t="s">
        <v>27965</v>
      </c>
      <c r="G18254" t="s">
        <v>47094</v>
      </c>
      <c r="H18254" t="s">
        <v>47055</v>
      </c>
      <c r="I18254" t="s">
        <v>47127</v>
      </c>
      <c r="J18254" t="s">
        <v>47128</v>
      </c>
      <c r="K18254" t="s">
        <v>47113</v>
      </c>
      <c r="L18254">
        <v>31.87</v>
      </c>
      <c r="M18254">
        <v>85</v>
      </c>
      <c r="N18254">
        <v>229</v>
      </c>
      <c r="O18254">
        <v>85</v>
      </c>
      <c r="P18254">
        <v>229</v>
      </c>
    </row>
    <row r="18255" spans="1:16" x14ac:dyDescent="0.25">
      <c r="A18255" t="s">
        <v>40880</v>
      </c>
      <c r="B18255" t="s">
        <v>40878</v>
      </c>
      <c r="C18255" t="s">
        <v>40879</v>
      </c>
      <c r="D18255" t="str">
        <f>"3081"</f>
        <v>3081</v>
      </c>
      <c r="E18255" t="s">
        <v>28008</v>
      </c>
      <c r="F18255" t="s">
        <v>27965</v>
      </c>
      <c r="G18255" t="s">
        <v>47094</v>
      </c>
      <c r="H18255" t="s">
        <v>47055</v>
      </c>
      <c r="I18255" t="s">
        <v>47127</v>
      </c>
      <c r="J18255" t="s">
        <v>47128</v>
      </c>
      <c r="K18255" t="s">
        <v>47113</v>
      </c>
      <c r="L18255">
        <v>31.87</v>
      </c>
      <c r="M18255">
        <v>85</v>
      </c>
      <c r="N18255">
        <v>229</v>
      </c>
      <c r="O18255">
        <v>85</v>
      </c>
      <c r="P18255">
        <v>229</v>
      </c>
    </row>
    <row r="18256" spans="1:16" x14ac:dyDescent="0.25">
      <c r="A18256" t="s">
        <v>40881</v>
      </c>
      <c r="B18256" t="s">
        <v>40878</v>
      </c>
      <c r="C18256" t="s">
        <v>40879</v>
      </c>
      <c r="D18256" t="str">
        <f>"4025"</f>
        <v>4025</v>
      </c>
      <c r="E18256" t="s">
        <v>24724</v>
      </c>
      <c r="F18256" t="s">
        <v>27965</v>
      </c>
      <c r="G18256" t="s">
        <v>47094</v>
      </c>
      <c r="H18256" t="s">
        <v>47055</v>
      </c>
      <c r="I18256" t="s">
        <v>47127</v>
      </c>
      <c r="J18256" t="s">
        <v>47128</v>
      </c>
      <c r="K18256" t="s">
        <v>47113</v>
      </c>
      <c r="L18256">
        <v>31.87</v>
      </c>
      <c r="M18256">
        <v>85</v>
      </c>
      <c r="N18256">
        <v>229</v>
      </c>
      <c r="O18256">
        <v>85</v>
      </c>
      <c r="P18256">
        <v>229</v>
      </c>
    </row>
    <row r="18257" spans="1:16" x14ac:dyDescent="0.25">
      <c r="A18257" t="s">
        <v>40882</v>
      </c>
      <c r="B18257" t="s">
        <v>40878</v>
      </c>
      <c r="C18257" t="s">
        <v>40879</v>
      </c>
      <c r="D18257" t="str">
        <f>"4677"</f>
        <v>4677</v>
      </c>
      <c r="E18257" t="s">
        <v>9288</v>
      </c>
      <c r="F18257" t="s">
        <v>27965</v>
      </c>
      <c r="G18257" t="s">
        <v>47094</v>
      </c>
      <c r="H18257" t="s">
        <v>47055</v>
      </c>
      <c r="I18257" t="s">
        <v>47127</v>
      </c>
      <c r="J18257" t="s">
        <v>47128</v>
      </c>
      <c r="K18257" t="s">
        <v>47113</v>
      </c>
      <c r="L18257">
        <v>31.87</v>
      </c>
      <c r="M18257">
        <v>85</v>
      </c>
      <c r="N18257">
        <v>229</v>
      </c>
      <c r="O18257">
        <v>85</v>
      </c>
      <c r="P18257">
        <v>229</v>
      </c>
    </row>
    <row r="18258" spans="1:16" x14ac:dyDescent="0.25">
      <c r="A18258" t="s">
        <v>40883</v>
      </c>
      <c r="B18258" t="s">
        <v>40878</v>
      </c>
      <c r="C18258" t="s">
        <v>40879</v>
      </c>
      <c r="D18258" t="str">
        <f>"6092"</f>
        <v>6092</v>
      </c>
      <c r="E18258" t="s">
        <v>28002</v>
      </c>
      <c r="F18258" t="s">
        <v>27965</v>
      </c>
      <c r="G18258" t="s">
        <v>47094</v>
      </c>
      <c r="H18258" t="s">
        <v>47055</v>
      </c>
      <c r="I18258" t="s">
        <v>47127</v>
      </c>
      <c r="J18258" t="s">
        <v>47128</v>
      </c>
      <c r="K18258" t="s">
        <v>47113</v>
      </c>
      <c r="L18258">
        <v>31.87</v>
      </c>
      <c r="M18258">
        <v>85</v>
      </c>
      <c r="N18258">
        <v>229</v>
      </c>
      <c r="O18258">
        <v>85</v>
      </c>
      <c r="P18258">
        <v>229</v>
      </c>
    </row>
    <row r="18259" spans="1:16" x14ac:dyDescent="0.25">
      <c r="A18259" t="s">
        <v>40884</v>
      </c>
      <c r="B18259" t="s">
        <v>40878</v>
      </c>
      <c r="C18259" t="s">
        <v>40879</v>
      </c>
      <c r="D18259" t="str">
        <f>"6500"</f>
        <v>6500</v>
      </c>
      <c r="E18259" t="s">
        <v>151</v>
      </c>
      <c r="F18259" t="s">
        <v>27965</v>
      </c>
      <c r="G18259" t="s">
        <v>47094</v>
      </c>
      <c r="H18259" t="s">
        <v>47055</v>
      </c>
      <c r="I18259" t="s">
        <v>47127</v>
      </c>
      <c r="J18259" t="s">
        <v>47128</v>
      </c>
      <c r="K18259" t="s">
        <v>47113</v>
      </c>
      <c r="L18259">
        <v>31.87</v>
      </c>
      <c r="M18259">
        <v>85</v>
      </c>
      <c r="N18259">
        <v>229</v>
      </c>
      <c r="O18259">
        <v>85</v>
      </c>
      <c r="P18259">
        <v>229</v>
      </c>
    </row>
    <row r="18260" spans="1:16" x14ac:dyDescent="0.25">
      <c r="A18260" t="s">
        <v>40885</v>
      </c>
      <c r="B18260" t="s">
        <v>40886</v>
      </c>
      <c r="C18260" t="s">
        <v>40887</v>
      </c>
      <c r="D18260" t="str">
        <f>"3501"</f>
        <v>3501</v>
      </c>
      <c r="E18260" t="s">
        <v>3758</v>
      </c>
      <c r="F18260" t="s">
        <v>27965</v>
      </c>
      <c r="G18260" t="s">
        <v>47094</v>
      </c>
      <c r="H18260" t="s">
        <v>47055</v>
      </c>
      <c r="I18260" t="s">
        <v>47127</v>
      </c>
      <c r="J18260" t="s">
        <v>47128</v>
      </c>
      <c r="K18260" t="s">
        <v>47113</v>
      </c>
      <c r="L18260">
        <v>21.85</v>
      </c>
      <c r="M18260">
        <v>48</v>
      </c>
      <c r="N18260">
        <v>129</v>
      </c>
      <c r="O18260">
        <v>48</v>
      </c>
      <c r="P18260">
        <v>129</v>
      </c>
    </row>
    <row r="18261" spans="1:16" x14ac:dyDescent="0.25">
      <c r="A18261" t="s">
        <v>40888</v>
      </c>
      <c r="B18261" t="s">
        <v>40886</v>
      </c>
      <c r="C18261" t="s">
        <v>40887</v>
      </c>
      <c r="D18261" t="str">
        <f>"4025"</f>
        <v>4025</v>
      </c>
      <c r="E18261" t="s">
        <v>24724</v>
      </c>
      <c r="F18261" t="s">
        <v>27965</v>
      </c>
      <c r="G18261" t="s">
        <v>47094</v>
      </c>
      <c r="H18261" t="s">
        <v>47055</v>
      </c>
      <c r="I18261" t="s">
        <v>47127</v>
      </c>
      <c r="J18261" t="s">
        <v>47128</v>
      </c>
      <c r="K18261" t="s">
        <v>47113</v>
      </c>
      <c r="L18261">
        <v>21.85</v>
      </c>
      <c r="M18261">
        <v>48</v>
      </c>
      <c r="N18261">
        <v>129</v>
      </c>
      <c r="O18261">
        <v>48</v>
      </c>
      <c r="P18261">
        <v>129</v>
      </c>
    </row>
    <row r="18262" spans="1:16" x14ac:dyDescent="0.25">
      <c r="A18262" t="s">
        <v>40889</v>
      </c>
      <c r="B18262" t="s">
        <v>40886</v>
      </c>
      <c r="C18262" t="s">
        <v>40887</v>
      </c>
      <c r="D18262" t="str">
        <f>"6500"</f>
        <v>6500</v>
      </c>
      <c r="E18262" t="s">
        <v>151</v>
      </c>
      <c r="F18262" t="s">
        <v>27965</v>
      </c>
      <c r="G18262" t="s">
        <v>47094</v>
      </c>
      <c r="H18262" t="s">
        <v>47055</v>
      </c>
      <c r="I18262" t="s">
        <v>47127</v>
      </c>
      <c r="J18262" t="s">
        <v>47128</v>
      </c>
      <c r="K18262" t="s">
        <v>47113</v>
      </c>
      <c r="L18262">
        <v>21.85</v>
      </c>
      <c r="M18262">
        <v>48</v>
      </c>
      <c r="N18262">
        <v>129</v>
      </c>
      <c r="O18262">
        <v>48</v>
      </c>
      <c r="P18262">
        <v>129</v>
      </c>
    </row>
    <row r="18263" spans="1:16" x14ac:dyDescent="0.25">
      <c r="A18263" t="s">
        <v>49207</v>
      </c>
      <c r="B18263" t="s">
        <v>49208</v>
      </c>
      <c r="C18263" t="s">
        <v>49209</v>
      </c>
      <c r="D18263" t="str">
        <f>"1001"</f>
        <v>1001</v>
      </c>
      <c r="E18263" t="s">
        <v>42</v>
      </c>
      <c r="F18263" t="s">
        <v>27965</v>
      </c>
      <c r="G18263" t="s">
        <v>47095</v>
      </c>
      <c r="H18263" t="s">
        <v>47055</v>
      </c>
      <c r="I18263" t="s">
        <v>47127</v>
      </c>
      <c r="J18263" t="s">
        <v>47128</v>
      </c>
      <c r="K18263" t="s">
        <v>47113</v>
      </c>
      <c r="L18263">
        <v>18.7</v>
      </c>
      <c r="M18263">
        <v>48</v>
      </c>
      <c r="N18263">
        <v>129</v>
      </c>
      <c r="O18263">
        <v>48</v>
      </c>
      <c r="P18263">
        <v>129</v>
      </c>
    </row>
    <row r="18264" spans="1:16" x14ac:dyDescent="0.25">
      <c r="A18264" t="s">
        <v>49210</v>
      </c>
      <c r="B18264" t="s">
        <v>49211</v>
      </c>
      <c r="C18264" t="s">
        <v>49212</v>
      </c>
      <c r="D18264" t="str">
        <f>"1001"</f>
        <v>1001</v>
      </c>
      <c r="E18264" t="s">
        <v>42</v>
      </c>
      <c r="F18264" t="s">
        <v>27965</v>
      </c>
      <c r="G18264" t="s">
        <v>47096</v>
      </c>
      <c r="H18264" t="s">
        <v>47055</v>
      </c>
      <c r="I18264" t="s">
        <v>47127</v>
      </c>
      <c r="J18264" t="s">
        <v>47128</v>
      </c>
      <c r="K18264" t="s">
        <v>47113</v>
      </c>
      <c r="L18264">
        <v>19.7</v>
      </c>
      <c r="M18264">
        <v>85</v>
      </c>
      <c r="N18264">
        <v>229</v>
      </c>
      <c r="O18264">
        <v>85</v>
      </c>
      <c r="P18264">
        <v>229</v>
      </c>
    </row>
    <row r="18265" spans="1:16" x14ac:dyDescent="0.25">
      <c r="A18265" t="s">
        <v>40890</v>
      </c>
      <c r="B18265" t="s">
        <v>40891</v>
      </c>
      <c r="C18265" t="s">
        <v>40892</v>
      </c>
      <c r="D18265" t="str">
        <f>"3501"</f>
        <v>3501</v>
      </c>
      <c r="E18265" t="s">
        <v>3758</v>
      </c>
      <c r="F18265" t="s">
        <v>27965</v>
      </c>
      <c r="G18265" t="s">
        <v>47094</v>
      </c>
      <c r="H18265" t="s">
        <v>47055</v>
      </c>
      <c r="I18265" t="s">
        <v>47127</v>
      </c>
      <c r="J18265" t="s">
        <v>47128</v>
      </c>
      <c r="K18265" t="s">
        <v>47113</v>
      </c>
      <c r="L18265">
        <v>30.37</v>
      </c>
      <c r="M18265">
        <v>85</v>
      </c>
      <c r="N18265">
        <v>229</v>
      </c>
      <c r="O18265">
        <v>85</v>
      </c>
      <c r="P18265">
        <v>229</v>
      </c>
    </row>
    <row r="18266" spans="1:16" x14ac:dyDescent="0.25">
      <c r="A18266" t="s">
        <v>40893</v>
      </c>
      <c r="B18266" t="s">
        <v>40891</v>
      </c>
      <c r="C18266" t="s">
        <v>40892</v>
      </c>
      <c r="D18266" t="str">
        <f>"4025"</f>
        <v>4025</v>
      </c>
      <c r="E18266" t="s">
        <v>24724</v>
      </c>
      <c r="F18266" t="s">
        <v>27965</v>
      </c>
      <c r="G18266" t="s">
        <v>47094</v>
      </c>
      <c r="H18266" t="s">
        <v>47055</v>
      </c>
      <c r="I18266" t="s">
        <v>47127</v>
      </c>
      <c r="J18266" t="s">
        <v>47128</v>
      </c>
      <c r="K18266" t="s">
        <v>47113</v>
      </c>
      <c r="L18266">
        <v>30.37</v>
      </c>
      <c r="M18266">
        <v>85</v>
      </c>
      <c r="N18266">
        <v>229</v>
      </c>
      <c r="O18266">
        <v>85</v>
      </c>
      <c r="P18266">
        <v>229</v>
      </c>
    </row>
    <row r="18267" spans="1:16" x14ac:dyDescent="0.25">
      <c r="A18267" t="s">
        <v>40894</v>
      </c>
      <c r="B18267" t="s">
        <v>40891</v>
      </c>
      <c r="C18267" t="s">
        <v>40892</v>
      </c>
      <c r="D18267" t="str">
        <f>"6500"</f>
        <v>6500</v>
      </c>
      <c r="E18267" t="s">
        <v>151</v>
      </c>
      <c r="F18267" t="s">
        <v>27965</v>
      </c>
      <c r="G18267" t="s">
        <v>47094</v>
      </c>
      <c r="H18267" t="s">
        <v>47055</v>
      </c>
      <c r="I18267" t="s">
        <v>47127</v>
      </c>
      <c r="J18267" t="s">
        <v>47128</v>
      </c>
      <c r="K18267" t="s">
        <v>47113</v>
      </c>
      <c r="L18267">
        <v>30.37</v>
      </c>
      <c r="M18267">
        <v>85</v>
      </c>
      <c r="N18267">
        <v>229</v>
      </c>
      <c r="O18267">
        <v>85</v>
      </c>
      <c r="P18267">
        <v>229</v>
      </c>
    </row>
    <row r="18268" spans="1:16" x14ac:dyDescent="0.25">
      <c r="A18268" t="s">
        <v>40895</v>
      </c>
      <c r="B18268" t="s">
        <v>40896</v>
      </c>
      <c r="C18268" t="s">
        <v>40897</v>
      </c>
      <c r="D18268" t="str">
        <f>"1795"</f>
        <v>1795</v>
      </c>
      <c r="E18268" t="s">
        <v>40898</v>
      </c>
      <c r="F18268" t="s">
        <v>27965</v>
      </c>
      <c r="G18268" t="s">
        <v>47098</v>
      </c>
      <c r="H18268" t="s">
        <v>47055</v>
      </c>
      <c r="I18268" t="s">
        <v>47120</v>
      </c>
      <c r="J18268" t="s">
        <v>47121</v>
      </c>
      <c r="K18268" t="s">
        <v>47113</v>
      </c>
      <c r="L18268">
        <v>49.84</v>
      </c>
      <c r="M18268">
        <v>85</v>
      </c>
      <c r="N18268">
        <v>229</v>
      </c>
      <c r="O18268">
        <v>85</v>
      </c>
      <c r="P18268">
        <v>229</v>
      </c>
    </row>
    <row r="18269" spans="1:16" x14ac:dyDescent="0.25">
      <c r="A18269" t="s">
        <v>40899</v>
      </c>
      <c r="B18269" t="s">
        <v>40900</v>
      </c>
      <c r="C18269" t="s">
        <v>40901</v>
      </c>
      <c r="D18269" t="str">
        <f>"6506"</f>
        <v>6506</v>
      </c>
      <c r="E18269" t="s">
        <v>40902</v>
      </c>
      <c r="F18269" t="s">
        <v>24622</v>
      </c>
      <c r="G18269" t="s">
        <v>47098</v>
      </c>
      <c r="H18269" t="s">
        <v>47126</v>
      </c>
      <c r="I18269" t="s">
        <v>47120</v>
      </c>
      <c r="J18269" t="s">
        <v>47121</v>
      </c>
      <c r="K18269" t="s">
        <v>47113</v>
      </c>
      <c r="L18269">
        <v>41.71</v>
      </c>
      <c r="M18269">
        <v>92</v>
      </c>
      <c r="N18269">
        <v>249</v>
      </c>
      <c r="O18269">
        <v>92</v>
      </c>
      <c r="P18269">
        <v>249</v>
      </c>
    </row>
    <row r="18270" spans="1:16" x14ac:dyDescent="0.25">
      <c r="A18270" t="s">
        <v>40903</v>
      </c>
      <c r="B18270" t="s">
        <v>40904</v>
      </c>
      <c r="C18270" t="s">
        <v>28053</v>
      </c>
      <c r="D18270" t="str">
        <f>"1001"</f>
        <v>1001</v>
      </c>
      <c r="E18270" t="s">
        <v>42</v>
      </c>
      <c r="F18270" t="s">
        <v>27965</v>
      </c>
      <c r="G18270" t="s">
        <v>47102</v>
      </c>
      <c r="H18270" t="s">
        <v>47055</v>
      </c>
      <c r="I18270" t="s">
        <v>47120</v>
      </c>
      <c r="J18270" t="s">
        <v>47121</v>
      </c>
      <c r="K18270" t="s">
        <v>47113</v>
      </c>
      <c r="L18270">
        <v>47.04</v>
      </c>
      <c r="M18270">
        <v>111</v>
      </c>
      <c r="N18270">
        <v>299</v>
      </c>
      <c r="O18270">
        <v>111</v>
      </c>
      <c r="P18270">
        <v>299</v>
      </c>
    </row>
    <row r="18271" spans="1:16" x14ac:dyDescent="0.25">
      <c r="A18271" t="s">
        <v>40905</v>
      </c>
      <c r="B18271" t="s">
        <v>40904</v>
      </c>
      <c r="C18271" t="s">
        <v>28053</v>
      </c>
      <c r="D18271" t="str">
        <f>"4677"</f>
        <v>4677</v>
      </c>
      <c r="E18271" t="s">
        <v>9288</v>
      </c>
      <c r="F18271" t="s">
        <v>27965</v>
      </c>
      <c r="G18271" t="s">
        <v>47102</v>
      </c>
      <c r="H18271" t="s">
        <v>47055</v>
      </c>
      <c r="I18271" t="s">
        <v>47120</v>
      </c>
      <c r="J18271" t="s">
        <v>47121</v>
      </c>
      <c r="K18271" t="s">
        <v>47113</v>
      </c>
      <c r="L18271">
        <v>48.83</v>
      </c>
      <c r="M18271">
        <v>111</v>
      </c>
      <c r="N18271">
        <v>299</v>
      </c>
      <c r="O18271">
        <v>111</v>
      </c>
      <c r="P18271">
        <v>299</v>
      </c>
    </row>
    <row r="18272" spans="1:16" x14ac:dyDescent="0.25">
      <c r="A18272" t="s">
        <v>40906</v>
      </c>
      <c r="B18272" t="s">
        <v>40904</v>
      </c>
      <c r="C18272" t="s">
        <v>28053</v>
      </c>
      <c r="D18272" t="str">
        <f>"6247"</f>
        <v>6247</v>
      </c>
      <c r="E18272" t="s">
        <v>28089</v>
      </c>
      <c r="F18272" t="s">
        <v>27965</v>
      </c>
      <c r="G18272" t="s">
        <v>47102</v>
      </c>
      <c r="H18272" t="s">
        <v>47055</v>
      </c>
      <c r="I18272" t="s">
        <v>47120</v>
      </c>
      <c r="J18272" t="s">
        <v>47121</v>
      </c>
      <c r="K18272" t="s">
        <v>47113</v>
      </c>
      <c r="L18272">
        <v>47.04</v>
      </c>
      <c r="M18272">
        <v>111</v>
      </c>
      <c r="N18272">
        <v>299</v>
      </c>
      <c r="O18272">
        <v>111</v>
      </c>
      <c r="P18272">
        <v>299</v>
      </c>
    </row>
    <row r="18273" spans="1:16" x14ac:dyDescent="0.25">
      <c r="A18273" t="s">
        <v>40907</v>
      </c>
      <c r="B18273" t="s">
        <v>40908</v>
      </c>
      <c r="C18273" t="s">
        <v>40901</v>
      </c>
      <c r="D18273" t="str">
        <f>"3559"</f>
        <v>3559</v>
      </c>
      <c r="E18273" t="s">
        <v>40909</v>
      </c>
      <c r="F18273" t="s">
        <v>27965</v>
      </c>
      <c r="G18273" t="s">
        <v>47098</v>
      </c>
      <c r="H18273" t="s">
        <v>47055</v>
      </c>
      <c r="I18273" t="s">
        <v>47120</v>
      </c>
      <c r="J18273" t="s">
        <v>47121</v>
      </c>
      <c r="K18273" t="s">
        <v>47113</v>
      </c>
      <c r="L18273">
        <v>35.61</v>
      </c>
      <c r="M18273">
        <v>92</v>
      </c>
      <c r="N18273">
        <v>249</v>
      </c>
      <c r="O18273">
        <v>92</v>
      </c>
      <c r="P18273">
        <v>249</v>
      </c>
    </row>
    <row r="18274" spans="1:16" x14ac:dyDescent="0.25">
      <c r="A18274" t="s">
        <v>40910</v>
      </c>
      <c r="B18274" t="s">
        <v>40908</v>
      </c>
      <c r="C18274" t="s">
        <v>40901</v>
      </c>
      <c r="D18274" t="str">
        <f>"6017"</f>
        <v>6017</v>
      </c>
      <c r="E18274" t="s">
        <v>40911</v>
      </c>
      <c r="F18274" t="s">
        <v>27965</v>
      </c>
      <c r="G18274" t="s">
        <v>47098</v>
      </c>
      <c r="H18274" t="s">
        <v>47055</v>
      </c>
      <c r="I18274" t="s">
        <v>47120</v>
      </c>
      <c r="J18274" t="s">
        <v>47121</v>
      </c>
      <c r="K18274" t="s">
        <v>47113</v>
      </c>
      <c r="L18274">
        <v>35.61</v>
      </c>
      <c r="M18274">
        <v>92</v>
      </c>
      <c r="N18274">
        <v>249</v>
      </c>
      <c r="O18274">
        <v>92</v>
      </c>
      <c r="P18274">
        <v>249</v>
      </c>
    </row>
    <row r="18275" spans="1:16" x14ac:dyDescent="0.25">
      <c r="A18275" t="s">
        <v>40912</v>
      </c>
      <c r="B18275" t="s">
        <v>40913</v>
      </c>
      <c r="C18275" t="s">
        <v>40914</v>
      </c>
      <c r="D18275" t="str">
        <f>"3435"</f>
        <v>3435</v>
      </c>
      <c r="E18275" t="s">
        <v>28060</v>
      </c>
      <c r="F18275" t="s">
        <v>27965</v>
      </c>
      <c r="G18275" t="s">
        <v>47102</v>
      </c>
      <c r="H18275" t="s">
        <v>47055</v>
      </c>
      <c r="I18275" t="s">
        <v>47120</v>
      </c>
      <c r="J18275" t="s">
        <v>47121</v>
      </c>
      <c r="K18275" t="s">
        <v>47113</v>
      </c>
      <c r="L18275">
        <v>48.02</v>
      </c>
      <c r="M18275">
        <v>103</v>
      </c>
      <c r="N18275">
        <v>279</v>
      </c>
      <c r="O18275">
        <v>103</v>
      </c>
      <c r="P18275">
        <v>279</v>
      </c>
    </row>
    <row r="18276" spans="1:16" x14ac:dyDescent="0.25">
      <c r="A18276" t="s">
        <v>40915</v>
      </c>
      <c r="B18276" t="s">
        <v>40913</v>
      </c>
      <c r="C18276" t="s">
        <v>40914</v>
      </c>
      <c r="D18276" t="str">
        <f>"4626"</f>
        <v>4626</v>
      </c>
      <c r="E18276" t="s">
        <v>40916</v>
      </c>
      <c r="F18276" t="s">
        <v>27965</v>
      </c>
      <c r="G18276" t="s">
        <v>47102</v>
      </c>
      <c r="H18276" t="s">
        <v>47055</v>
      </c>
      <c r="I18276" t="s">
        <v>47120</v>
      </c>
      <c r="J18276" t="s">
        <v>47121</v>
      </c>
      <c r="K18276" t="s">
        <v>47113</v>
      </c>
      <c r="L18276">
        <v>75.28</v>
      </c>
      <c r="M18276">
        <v>111</v>
      </c>
      <c r="N18276">
        <v>299</v>
      </c>
      <c r="O18276">
        <v>111</v>
      </c>
      <c r="P18276">
        <v>299</v>
      </c>
    </row>
    <row r="18277" spans="1:16" x14ac:dyDescent="0.25">
      <c r="A18277" t="s">
        <v>40917</v>
      </c>
      <c r="B18277" t="s">
        <v>40918</v>
      </c>
      <c r="C18277" t="s">
        <v>40919</v>
      </c>
      <c r="D18277" t="str">
        <f>"3559"</f>
        <v>3559</v>
      </c>
      <c r="E18277" t="s">
        <v>40909</v>
      </c>
      <c r="F18277" t="s">
        <v>27965</v>
      </c>
      <c r="G18277" t="s">
        <v>47102</v>
      </c>
      <c r="H18277" t="s">
        <v>47055</v>
      </c>
      <c r="I18277" t="s">
        <v>47120</v>
      </c>
      <c r="J18277" t="s">
        <v>47121</v>
      </c>
      <c r="K18277" t="s">
        <v>47113</v>
      </c>
      <c r="L18277">
        <v>56.46</v>
      </c>
      <c r="M18277">
        <v>111</v>
      </c>
      <c r="N18277">
        <v>299</v>
      </c>
      <c r="O18277">
        <v>111</v>
      </c>
      <c r="P18277">
        <v>299</v>
      </c>
    </row>
    <row r="18278" spans="1:16" x14ac:dyDescent="0.25">
      <c r="A18278" t="s">
        <v>40920</v>
      </c>
      <c r="B18278" t="s">
        <v>40921</v>
      </c>
      <c r="C18278" t="s">
        <v>40922</v>
      </c>
      <c r="D18278" t="str">
        <f>"3559"</f>
        <v>3559</v>
      </c>
      <c r="E18278" t="s">
        <v>40909</v>
      </c>
      <c r="F18278" t="s">
        <v>27965</v>
      </c>
      <c r="G18278" t="s">
        <v>47102</v>
      </c>
      <c r="H18278" t="s">
        <v>47055</v>
      </c>
      <c r="I18278" t="s">
        <v>47120</v>
      </c>
      <c r="J18278" t="s">
        <v>47121</v>
      </c>
      <c r="K18278" t="s">
        <v>47113</v>
      </c>
      <c r="L18278">
        <v>37.630000000000003</v>
      </c>
      <c r="M18278">
        <v>85</v>
      </c>
      <c r="N18278">
        <v>229</v>
      </c>
      <c r="O18278">
        <v>85</v>
      </c>
      <c r="P18278">
        <v>229</v>
      </c>
    </row>
    <row r="18279" spans="1:16" x14ac:dyDescent="0.25">
      <c r="A18279" t="s">
        <v>40923</v>
      </c>
      <c r="B18279" t="s">
        <v>40921</v>
      </c>
      <c r="C18279" t="s">
        <v>40922</v>
      </c>
      <c r="D18279" t="str">
        <f>"6017"</f>
        <v>6017</v>
      </c>
      <c r="E18279" t="s">
        <v>40911</v>
      </c>
      <c r="F18279" t="s">
        <v>27965</v>
      </c>
      <c r="G18279" t="s">
        <v>47102</v>
      </c>
      <c r="H18279" t="s">
        <v>47055</v>
      </c>
      <c r="I18279" t="s">
        <v>47120</v>
      </c>
      <c r="J18279" t="s">
        <v>47121</v>
      </c>
      <c r="K18279" t="s">
        <v>47113</v>
      </c>
      <c r="L18279">
        <v>37.630000000000003</v>
      </c>
      <c r="M18279">
        <v>85</v>
      </c>
      <c r="N18279">
        <v>229</v>
      </c>
      <c r="O18279">
        <v>85</v>
      </c>
      <c r="P18279">
        <v>229</v>
      </c>
    </row>
    <row r="18280" spans="1:16" x14ac:dyDescent="0.25">
      <c r="A18280" t="s">
        <v>40924</v>
      </c>
      <c r="B18280" t="s">
        <v>40925</v>
      </c>
      <c r="C18280" t="s">
        <v>40926</v>
      </c>
      <c r="D18280" t="str">
        <f>"4249"</f>
        <v>4249</v>
      </c>
      <c r="E18280" t="s">
        <v>27992</v>
      </c>
      <c r="F18280" t="s">
        <v>27965</v>
      </c>
      <c r="G18280" t="s">
        <v>47102</v>
      </c>
      <c r="H18280" t="s">
        <v>47055</v>
      </c>
      <c r="I18280" t="s">
        <v>47120</v>
      </c>
      <c r="J18280" t="s">
        <v>47121</v>
      </c>
      <c r="K18280" t="s">
        <v>47113</v>
      </c>
      <c r="L18280">
        <v>51.45</v>
      </c>
      <c r="M18280">
        <v>111</v>
      </c>
      <c r="N18280">
        <v>299</v>
      </c>
      <c r="O18280">
        <v>111</v>
      </c>
      <c r="P18280">
        <v>299</v>
      </c>
    </row>
    <row r="18281" spans="1:16" x14ac:dyDescent="0.25">
      <c r="A18281" t="s">
        <v>40927</v>
      </c>
      <c r="B18281" t="s">
        <v>40928</v>
      </c>
      <c r="C18281" t="s">
        <v>40929</v>
      </c>
      <c r="D18281" t="str">
        <f>"1377"</f>
        <v>1377</v>
      </c>
      <c r="E18281" t="s">
        <v>74</v>
      </c>
      <c r="F18281" t="s">
        <v>27965</v>
      </c>
      <c r="G18281" t="s">
        <v>47091</v>
      </c>
      <c r="H18281" t="s">
        <v>47055</v>
      </c>
      <c r="I18281" t="s">
        <v>47127</v>
      </c>
      <c r="J18281" t="s">
        <v>47128</v>
      </c>
      <c r="K18281" t="s">
        <v>47113</v>
      </c>
      <c r="L18281">
        <v>12.69</v>
      </c>
      <c r="M18281">
        <v>33</v>
      </c>
      <c r="N18281">
        <v>89</v>
      </c>
      <c r="O18281">
        <v>33</v>
      </c>
      <c r="P18281">
        <v>89</v>
      </c>
    </row>
    <row r="18282" spans="1:16" x14ac:dyDescent="0.25">
      <c r="A18282" t="s">
        <v>40930</v>
      </c>
      <c r="B18282" t="s">
        <v>40928</v>
      </c>
      <c r="C18282" t="s">
        <v>40929</v>
      </c>
      <c r="D18282" t="str">
        <f>"1378"</f>
        <v>1378</v>
      </c>
      <c r="E18282" t="s">
        <v>388</v>
      </c>
      <c r="F18282" t="s">
        <v>27965</v>
      </c>
      <c r="G18282" t="s">
        <v>47091</v>
      </c>
      <c r="H18282" t="s">
        <v>47055</v>
      </c>
      <c r="I18282" t="s">
        <v>47127</v>
      </c>
      <c r="J18282" t="s">
        <v>47128</v>
      </c>
      <c r="K18282" t="s">
        <v>47113</v>
      </c>
      <c r="L18282">
        <v>12.69</v>
      </c>
      <c r="M18282">
        <v>33</v>
      </c>
      <c r="N18282">
        <v>89</v>
      </c>
      <c r="O18282">
        <v>33</v>
      </c>
      <c r="P18282">
        <v>89</v>
      </c>
    </row>
    <row r="18283" spans="1:16" x14ac:dyDescent="0.25">
      <c r="A18283" t="s">
        <v>40931</v>
      </c>
      <c r="B18283" t="s">
        <v>40928</v>
      </c>
      <c r="C18283" t="s">
        <v>40929</v>
      </c>
      <c r="D18283" t="str">
        <f>"1700"</f>
        <v>1700</v>
      </c>
      <c r="E18283" t="s">
        <v>60</v>
      </c>
      <c r="F18283" t="s">
        <v>27965</v>
      </c>
      <c r="G18283" t="s">
        <v>47091</v>
      </c>
      <c r="H18283" t="s">
        <v>47055</v>
      </c>
      <c r="I18283" t="s">
        <v>47127</v>
      </c>
      <c r="J18283" t="s">
        <v>47128</v>
      </c>
      <c r="K18283" t="s">
        <v>47113</v>
      </c>
      <c r="L18283">
        <v>12.69</v>
      </c>
      <c r="M18283">
        <v>33</v>
      </c>
      <c r="N18283">
        <v>89</v>
      </c>
      <c r="O18283">
        <v>33</v>
      </c>
      <c r="P18283">
        <v>89</v>
      </c>
    </row>
    <row r="18284" spans="1:16" x14ac:dyDescent="0.25">
      <c r="A18284" t="s">
        <v>40932</v>
      </c>
      <c r="B18284" t="s">
        <v>40928</v>
      </c>
      <c r="C18284" t="s">
        <v>40929</v>
      </c>
      <c r="D18284" t="str">
        <f>"3081"</f>
        <v>3081</v>
      </c>
      <c r="E18284" t="s">
        <v>28008</v>
      </c>
      <c r="F18284" t="s">
        <v>27965</v>
      </c>
      <c r="G18284" t="s">
        <v>47091</v>
      </c>
      <c r="H18284" t="s">
        <v>47055</v>
      </c>
      <c r="I18284" t="s">
        <v>47127</v>
      </c>
      <c r="J18284" t="s">
        <v>47128</v>
      </c>
      <c r="K18284" t="s">
        <v>47113</v>
      </c>
      <c r="L18284">
        <v>12.69</v>
      </c>
      <c r="M18284">
        <v>33</v>
      </c>
      <c r="N18284">
        <v>89</v>
      </c>
      <c r="O18284">
        <v>33</v>
      </c>
      <c r="P18284">
        <v>89</v>
      </c>
    </row>
    <row r="18285" spans="1:16" x14ac:dyDescent="0.25">
      <c r="A18285" t="s">
        <v>40933</v>
      </c>
      <c r="B18285" t="s">
        <v>40928</v>
      </c>
      <c r="C18285" t="s">
        <v>40929</v>
      </c>
      <c r="D18285" t="str">
        <f>"4677"</f>
        <v>4677</v>
      </c>
      <c r="E18285" t="s">
        <v>9288</v>
      </c>
      <c r="F18285" t="s">
        <v>27965</v>
      </c>
      <c r="G18285" t="s">
        <v>47091</v>
      </c>
      <c r="H18285" t="s">
        <v>47055</v>
      </c>
      <c r="I18285" t="s">
        <v>47127</v>
      </c>
      <c r="J18285" t="s">
        <v>47128</v>
      </c>
      <c r="K18285" t="s">
        <v>47113</v>
      </c>
      <c r="L18285">
        <v>12.69</v>
      </c>
      <c r="M18285">
        <v>33</v>
      </c>
      <c r="N18285">
        <v>89</v>
      </c>
      <c r="O18285">
        <v>33</v>
      </c>
      <c r="P18285">
        <v>89</v>
      </c>
    </row>
    <row r="18286" spans="1:16" x14ac:dyDescent="0.25">
      <c r="A18286" t="s">
        <v>40934</v>
      </c>
      <c r="B18286" t="s">
        <v>40928</v>
      </c>
      <c r="C18286" t="s">
        <v>40929</v>
      </c>
      <c r="D18286" t="str">
        <f>"6092"</f>
        <v>6092</v>
      </c>
      <c r="E18286" t="s">
        <v>28002</v>
      </c>
      <c r="F18286" t="s">
        <v>27965</v>
      </c>
      <c r="G18286" t="s">
        <v>47091</v>
      </c>
      <c r="H18286" t="s">
        <v>47055</v>
      </c>
      <c r="I18286" t="s">
        <v>47127</v>
      </c>
      <c r="J18286" t="s">
        <v>47128</v>
      </c>
      <c r="K18286" t="s">
        <v>47113</v>
      </c>
      <c r="L18286">
        <v>12.69</v>
      </c>
      <c r="M18286">
        <v>33</v>
      </c>
      <c r="N18286">
        <v>89</v>
      </c>
      <c r="O18286">
        <v>33</v>
      </c>
      <c r="P18286">
        <v>89</v>
      </c>
    </row>
    <row r="18287" spans="1:16" x14ac:dyDescent="0.25">
      <c r="A18287" t="s">
        <v>40935</v>
      </c>
      <c r="B18287" t="s">
        <v>40936</v>
      </c>
      <c r="C18287" t="s">
        <v>40937</v>
      </c>
      <c r="D18287" t="str">
        <f>"1377"</f>
        <v>1377</v>
      </c>
      <c r="E18287" t="s">
        <v>74</v>
      </c>
      <c r="F18287" t="s">
        <v>27965</v>
      </c>
      <c r="G18287" t="s">
        <v>47091</v>
      </c>
      <c r="H18287" t="s">
        <v>47055</v>
      </c>
      <c r="I18287" t="s">
        <v>47127</v>
      </c>
      <c r="J18287" t="s">
        <v>47128</v>
      </c>
      <c r="K18287" t="s">
        <v>47113</v>
      </c>
      <c r="L18287">
        <v>11.19</v>
      </c>
      <c r="M18287">
        <v>26</v>
      </c>
      <c r="N18287">
        <v>69</v>
      </c>
      <c r="O18287">
        <v>26</v>
      </c>
      <c r="P18287">
        <v>69</v>
      </c>
    </row>
    <row r="18288" spans="1:16" x14ac:dyDescent="0.25">
      <c r="A18288" t="s">
        <v>40938</v>
      </c>
      <c r="B18288" t="s">
        <v>40936</v>
      </c>
      <c r="C18288" t="s">
        <v>40937</v>
      </c>
      <c r="D18288" t="str">
        <f>"1700"</f>
        <v>1700</v>
      </c>
      <c r="E18288" t="s">
        <v>60</v>
      </c>
      <c r="F18288" t="s">
        <v>27965</v>
      </c>
      <c r="G18288" t="s">
        <v>47091</v>
      </c>
      <c r="H18288" t="s">
        <v>47055</v>
      </c>
      <c r="I18288" t="s">
        <v>47127</v>
      </c>
      <c r="J18288" t="s">
        <v>47128</v>
      </c>
      <c r="K18288" t="s">
        <v>47113</v>
      </c>
      <c r="L18288">
        <v>11.19</v>
      </c>
      <c r="M18288">
        <v>26</v>
      </c>
      <c r="N18288">
        <v>69</v>
      </c>
      <c r="O18288">
        <v>26</v>
      </c>
      <c r="P18288">
        <v>69</v>
      </c>
    </row>
    <row r="18289" spans="1:16" x14ac:dyDescent="0.25">
      <c r="A18289" t="s">
        <v>40939</v>
      </c>
      <c r="B18289" t="s">
        <v>40936</v>
      </c>
      <c r="C18289" t="s">
        <v>40937</v>
      </c>
      <c r="D18289" t="str">
        <f>"3081"</f>
        <v>3081</v>
      </c>
      <c r="E18289" t="s">
        <v>28008</v>
      </c>
      <c r="F18289" t="s">
        <v>27965</v>
      </c>
      <c r="G18289" t="s">
        <v>47091</v>
      </c>
      <c r="H18289" t="s">
        <v>47055</v>
      </c>
      <c r="I18289" t="s">
        <v>47127</v>
      </c>
      <c r="J18289" t="s">
        <v>47128</v>
      </c>
      <c r="K18289" t="s">
        <v>47113</v>
      </c>
      <c r="L18289">
        <v>11.19</v>
      </c>
      <c r="M18289">
        <v>26</v>
      </c>
      <c r="N18289">
        <v>69</v>
      </c>
      <c r="O18289">
        <v>26</v>
      </c>
      <c r="P18289">
        <v>69</v>
      </c>
    </row>
    <row r="18290" spans="1:16" x14ac:dyDescent="0.25">
      <c r="A18290" t="s">
        <v>40940</v>
      </c>
      <c r="B18290" t="s">
        <v>40936</v>
      </c>
      <c r="C18290" t="s">
        <v>40937</v>
      </c>
      <c r="D18290" t="str">
        <f>"4677"</f>
        <v>4677</v>
      </c>
      <c r="E18290" t="s">
        <v>9288</v>
      </c>
      <c r="F18290" t="s">
        <v>27965</v>
      </c>
      <c r="G18290" t="s">
        <v>47091</v>
      </c>
      <c r="H18290" t="s">
        <v>47055</v>
      </c>
      <c r="I18290" t="s">
        <v>47127</v>
      </c>
      <c r="J18290" t="s">
        <v>47128</v>
      </c>
      <c r="K18290" t="s">
        <v>47113</v>
      </c>
      <c r="L18290">
        <v>11.19</v>
      </c>
      <c r="M18290">
        <v>26</v>
      </c>
      <c r="N18290">
        <v>69</v>
      </c>
      <c r="O18290">
        <v>26</v>
      </c>
      <c r="P18290">
        <v>69</v>
      </c>
    </row>
    <row r="18291" spans="1:16" x14ac:dyDescent="0.25">
      <c r="A18291" t="s">
        <v>40941</v>
      </c>
      <c r="B18291" t="s">
        <v>40936</v>
      </c>
      <c r="C18291" t="s">
        <v>40937</v>
      </c>
      <c r="D18291" t="str">
        <f>"6092"</f>
        <v>6092</v>
      </c>
      <c r="E18291" t="s">
        <v>28002</v>
      </c>
      <c r="F18291" t="s">
        <v>27965</v>
      </c>
      <c r="G18291" t="s">
        <v>47091</v>
      </c>
      <c r="H18291" t="s">
        <v>47055</v>
      </c>
      <c r="I18291" t="s">
        <v>47127</v>
      </c>
      <c r="J18291" t="s">
        <v>47128</v>
      </c>
      <c r="K18291" t="s">
        <v>47113</v>
      </c>
      <c r="L18291">
        <v>11.19</v>
      </c>
      <c r="M18291">
        <v>26</v>
      </c>
      <c r="N18291">
        <v>69</v>
      </c>
      <c r="O18291">
        <v>26</v>
      </c>
      <c r="P18291">
        <v>69</v>
      </c>
    </row>
    <row r="18292" spans="1:16" x14ac:dyDescent="0.25">
      <c r="A18292" t="s">
        <v>40942</v>
      </c>
      <c r="B18292" t="s">
        <v>40936</v>
      </c>
      <c r="C18292" t="s">
        <v>40937</v>
      </c>
      <c r="D18292" t="str">
        <f>"6500"</f>
        <v>6500</v>
      </c>
      <c r="E18292" t="s">
        <v>151</v>
      </c>
      <c r="F18292" t="s">
        <v>27965</v>
      </c>
      <c r="G18292" t="s">
        <v>47091</v>
      </c>
      <c r="H18292" t="s">
        <v>47055</v>
      </c>
      <c r="I18292" t="s">
        <v>47127</v>
      </c>
      <c r="J18292" t="s">
        <v>47128</v>
      </c>
      <c r="K18292" t="s">
        <v>47113</v>
      </c>
      <c r="L18292">
        <v>11.19</v>
      </c>
      <c r="M18292">
        <v>26</v>
      </c>
      <c r="N18292">
        <v>69</v>
      </c>
      <c r="O18292">
        <v>26</v>
      </c>
      <c r="P18292">
        <v>69</v>
      </c>
    </row>
    <row r="18293" spans="1:16" x14ac:dyDescent="0.25">
      <c r="A18293" t="s">
        <v>40943</v>
      </c>
      <c r="B18293" t="s">
        <v>40944</v>
      </c>
      <c r="C18293" t="s">
        <v>40945</v>
      </c>
      <c r="D18293" t="str">
        <f>"1001"</f>
        <v>1001</v>
      </c>
      <c r="E18293" t="s">
        <v>42</v>
      </c>
      <c r="F18293" t="s">
        <v>27965</v>
      </c>
      <c r="G18293" t="s">
        <v>47091</v>
      </c>
      <c r="H18293" t="s">
        <v>47055</v>
      </c>
      <c r="I18293" t="s">
        <v>47127</v>
      </c>
      <c r="J18293" t="s">
        <v>47128</v>
      </c>
      <c r="K18293" t="s">
        <v>47113</v>
      </c>
      <c r="L18293">
        <v>11.62</v>
      </c>
      <c r="M18293">
        <v>26</v>
      </c>
      <c r="N18293">
        <v>69</v>
      </c>
      <c r="O18293">
        <v>26</v>
      </c>
      <c r="P18293">
        <v>69</v>
      </c>
    </row>
    <row r="18294" spans="1:16" x14ac:dyDescent="0.25">
      <c r="A18294" t="s">
        <v>40946</v>
      </c>
      <c r="B18294" t="s">
        <v>40944</v>
      </c>
      <c r="C18294" t="s">
        <v>40945</v>
      </c>
      <c r="D18294" t="str">
        <f>"1377"</f>
        <v>1377</v>
      </c>
      <c r="E18294" t="s">
        <v>74</v>
      </c>
      <c r="F18294" t="s">
        <v>27965</v>
      </c>
      <c r="G18294" t="s">
        <v>47091</v>
      </c>
      <c r="H18294" t="s">
        <v>47055</v>
      </c>
      <c r="I18294" t="s">
        <v>47127</v>
      </c>
      <c r="J18294" t="s">
        <v>47128</v>
      </c>
      <c r="K18294" t="s">
        <v>47113</v>
      </c>
      <c r="L18294">
        <v>11.62</v>
      </c>
      <c r="M18294">
        <v>26</v>
      </c>
      <c r="N18294">
        <v>69</v>
      </c>
      <c r="O18294">
        <v>26</v>
      </c>
      <c r="P18294">
        <v>69</v>
      </c>
    </row>
    <row r="18295" spans="1:16" x14ac:dyDescent="0.25">
      <c r="A18295" t="s">
        <v>40947</v>
      </c>
      <c r="B18295" t="s">
        <v>40944</v>
      </c>
      <c r="C18295" t="s">
        <v>40945</v>
      </c>
      <c r="D18295" t="str">
        <f>"3081"</f>
        <v>3081</v>
      </c>
      <c r="E18295" t="s">
        <v>28008</v>
      </c>
      <c r="F18295" t="s">
        <v>27965</v>
      </c>
      <c r="G18295" t="s">
        <v>47091</v>
      </c>
      <c r="H18295" t="s">
        <v>47055</v>
      </c>
      <c r="I18295" t="s">
        <v>47127</v>
      </c>
      <c r="J18295" t="s">
        <v>47128</v>
      </c>
      <c r="K18295" t="s">
        <v>47113</v>
      </c>
      <c r="L18295">
        <v>11.62</v>
      </c>
      <c r="M18295">
        <v>26</v>
      </c>
      <c r="N18295">
        <v>69</v>
      </c>
      <c r="O18295">
        <v>26</v>
      </c>
      <c r="P18295">
        <v>69</v>
      </c>
    </row>
    <row r="18296" spans="1:16" x14ac:dyDescent="0.25">
      <c r="A18296" t="s">
        <v>40948</v>
      </c>
      <c r="B18296" t="s">
        <v>40944</v>
      </c>
      <c r="C18296" t="s">
        <v>40945</v>
      </c>
      <c r="D18296" t="str">
        <f>"4025"</f>
        <v>4025</v>
      </c>
      <c r="E18296" t="s">
        <v>24724</v>
      </c>
      <c r="F18296" t="s">
        <v>27965</v>
      </c>
      <c r="G18296" t="s">
        <v>47091</v>
      </c>
      <c r="H18296" t="s">
        <v>47055</v>
      </c>
      <c r="I18296" t="s">
        <v>47127</v>
      </c>
      <c r="J18296" t="s">
        <v>47128</v>
      </c>
      <c r="K18296" t="s">
        <v>47113</v>
      </c>
      <c r="L18296">
        <v>11.62</v>
      </c>
      <c r="M18296">
        <v>26</v>
      </c>
      <c r="N18296">
        <v>69</v>
      </c>
      <c r="O18296">
        <v>26</v>
      </c>
      <c r="P18296">
        <v>69</v>
      </c>
    </row>
    <row r="18297" spans="1:16" x14ac:dyDescent="0.25">
      <c r="A18297" t="s">
        <v>40949</v>
      </c>
      <c r="B18297" t="s">
        <v>40944</v>
      </c>
      <c r="C18297" t="s">
        <v>40945</v>
      </c>
      <c r="D18297" t="str">
        <f>"4677"</f>
        <v>4677</v>
      </c>
      <c r="E18297" t="s">
        <v>9288</v>
      </c>
      <c r="F18297" t="s">
        <v>27965</v>
      </c>
      <c r="G18297" t="s">
        <v>47091</v>
      </c>
      <c r="H18297" t="s">
        <v>47055</v>
      </c>
      <c r="I18297" t="s">
        <v>47127</v>
      </c>
      <c r="J18297" t="s">
        <v>47128</v>
      </c>
      <c r="K18297" t="s">
        <v>47113</v>
      </c>
      <c r="L18297">
        <v>11.62</v>
      </c>
      <c r="M18297">
        <v>26</v>
      </c>
      <c r="N18297">
        <v>69</v>
      </c>
      <c r="O18297">
        <v>26</v>
      </c>
      <c r="P18297">
        <v>69</v>
      </c>
    </row>
    <row r="18298" spans="1:16" x14ac:dyDescent="0.25">
      <c r="A18298" t="s">
        <v>40950</v>
      </c>
      <c r="B18298" t="s">
        <v>40944</v>
      </c>
      <c r="C18298" t="s">
        <v>40945</v>
      </c>
      <c r="D18298" t="str">
        <f>"6500"</f>
        <v>6500</v>
      </c>
      <c r="E18298" t="s">
        <v>151</v>
      </c>
      <c r="F18298" t="s">
        <v>27965</v>
      </c>
      <c r="G18298" t="s">
        <v>47091</v>
      </c>
      <c r="H18298" t="s">
        <v>47055</v>
      </c>
      <c r="I18298" t="s">
        <v>47127</v>
      </c>
      <c r="J18298" t="s">
        <v>47128</v>
      </c>
      <c r="K18298" t="s">
        <v>47113</v>
      </c>
      <c r="L18298">
        <v>11.62</v>
      </c>
      <c r="M18298">
        <v>26</v>
      </c>
      <c r="N18298">
        <v>69</v>
      </c>
      <c r="O18298">
        <v>26</v>
      </c>
      <c r="P18298">
        <v>69</v>
      </c>
    </row>
    <row r="18299" spans="1:16" x14ac:dyDescent="0.25">
      <c r="A18299" t="s">
        <v>40951</v>
      </c>
      <c r="B18299" t="s">
        <v>40952</v>
      </c>
      <c r="C18299" t="s">
        <v>40953</v>
      </c>
      <c r="D18299" t="str">
        <f>"1377"</f>
        <v>1377</v>
      </c>
      <c r="E18299" t="s">
        <v>74</v>
      </c>
      <c r="F18299" t="s">
        <v>27965</v>
      </c>
      <c r="G18299" t="s">
        <v>47091</v>
      </c>
      <c r="H18299" t="s">
        <v>47055</v>
      </c>
      <c r="I18299" t="s">
        <v>47127</v>
      </c>
      <c r="J18299" t="s">
        <v>47128</v>
      </c>
      <c r="K18299" t="s">
        <v>47113</v>
      </c>
      <c r="L18299">
        <v>11.62</v>
      </c>
      <c r="M18299">
        <v>26</v>
      </c>
      <c r="N18299">
        <v>69</v>
      </c>
      <c r="O18299">
        <v>26</v>
      </c>
      <c r="P18299">
        <v>69</v>
      </c>
    </row>
    <row r="18300" spans="1:16" x14ac:dyDescent="0.25">
      <c r="A18300" t="s">
        <v>40954</v>
      </c>
      <c r="B18300" t="s">
        <v>40952</v>
      </c>
      <c r="C18300" t="s">
        <v>40953</v>
      </c>
      <c r="D18300" t="str">
        <f>"1700"</f>
        <v>1700</v>
      </c>
      <c r="E18300" t="s">
        <v>60</v>
      </c>
      <c r="F18300" t="s">
        <v>27965</v>
      </c>
      <c r="G18300" t="s">
        <v>47091</v>
      </c>
      <c r="H18300" t="s">
        <v>47055</v>
      </c>
      <c r="I18300" t="s">
        <v>47127</v>
      </c>
      <c r="J18300" t="s">
        <v>47128</v>
      </c>
      <c r="K18300" t="s">
        <v>47113</v>
      </c>
      <c r="L18300">
        <v>11.62</v>
      </c>
      <c r="M18300">
        <v>26</v>
      </c>
      <c r="N18300">
        <v>69</v>
      </c>
      <c r="O18300">
        <v>26</v>
      </c>
      <c r="P18300">
        <v>69</v>
      </c>
    </row>
    <row r="18301" spans="1:16" x14ac:dyDescent="0.25">
      <c r="A18301" t="s">
        <v>40955</v>
      </c>
      <c r="B18301" t="s">
        <v>40952</v>
      </c>
      <c r="C18301" t="s">
        <v>40953</v>
      </c>
      <c r="D18301" t="str">
        <f>"3081"</f>
        <v>3081</v>
      </c>
      <c r="E18301" t="s">
        <v>28008</v>
      </c>
      <c r="F18301" t="s">
        <v>27965</v>
      </c>
      <c r="G18301" t="s">
        <v>47091</v>
      </c>
      <c r="H18301" t="s">
        <v>47055</v>
      </c>
      <c r="I18301" t="s">
        <v>47127</v>
      </c>
      <c r="J18301" t="s">
        <v>47128</v>
      </c>
      <c r="K18301" t="s">
        <v>47113</v>
      </c>
      <c r="L18301">
        <v>11.62</v>
      </c>
      <c r="M18301">
        <v>26</v>
      </c>
      <c r="N18301">
        <v>69</v>
      </c>
      <c r="O18301">
        <v>26</v>
      </c>
      <c r="P18301">
        <v>69</v>
      </c>
    </row>
    <row r="18302" spans="1:16" x14ac:dyDescent="0.25">
      <c r="A18302" t="s">
        <v>40956</v>
      </c>
      <c r="B18302" t="s">
        <v>40952</v>
      </c>
      <c r="C18302" t="s">
        <v>40953</v>
      </c>
      <c r="D18302" t="str">
        <f>"4677"</f>
        <v>4677</v>
      </c>
      <c r="E18302" t="s">
        <v>9288</v>
      </c>
      <c r="F18302" t="s">
        <v>27965</v>
      </c>
      <c r="G18302" t="s">
        <v>47091</v>
      </c>
      <c r="H18302" t="s">
        <v>47055</v>
      </c>
      <c r="I18302" t="s">
        <v>47127</v>
      </c>
      <c r="J18302" t="s">
        <v>47128</v>
      </c>
      <c r="K18302" t="s">
        <v>47113</v>
      </c>
      <c r="L18302">
        <v>11.62</v>
      </c>
      <c r="M18302">
        <v>26</v>
      </c>
      <c r="N18302">
        <v>69</v>
      </c>
      <c r="O18302">
        <v>26</v>
      </c>
      <c r="P18302">
        <v>69</v>
      </c>
    </row>
    <row r="18303" spans="1:16" x14ac:dyDescent="0.25">
      <c r="A18303" t="s">
        <v>40957</v>
      </c>
      <c r="B18303" t="s">
        <v>40952</v>
      </c>
      <c r="C18303" t="s">
        <v>40953</v>
      </c>
      <c r="D18303" t="str">
        <f>"6092"</f>
        <v>6092</v>
      </c>
      <c r="E18303" t="s">
        <v>28002</v>
      </c>
      <c r="F18303" t="s">
        <v>27965</v>
      </c>
      <c r="G18303" t="s">
        <v>47091</v>
      </c>
      <c r="H18303" t="s">
        <v>47055</v>
      </c>
      <c r="I18303" t="s">
        <v>47127</v>
      </c>
      <c r="J18303" t="s">
        <v>47128</v>
      </c>
      <c r="K18303" t="s">
        <v>47113</v>
      </c>
      <c r="L18303">
        <v>11.62</v>
      </c>
      <c r="M18303">
        <v>26</v>
      </c>
      <c r="N18303">
        <v>69</v>
      </c>
      <c r="O18303">
        <v>26</v>
      </c>
      <c r="P18303">
        <v>69</v>
      </c>
    </row>
    <row r="18304" spans="1:16" x14ac:dyDescent="0.25">
      <c r="A18304" t="s">
        <v>40958</v>
      </c>
      <c r="B18304" t="s">
        <v>40952</v>
      </c>
      <c r="C18304" t="s">
        <v>40953</v>
      </c>
      <c r="D18304" t="str">
        <f>"6500"</f>
        <v>6500</v>
      </c>
      <c r="E18304" t="s">
        <v>151</v>
      </c>
      <c r="F18304" t="s">
        <v>27965</v>
      </c>
      <c r="G18304" t="s">
        <v>47091</v>
      </c>
      <c r="H18304" t="s">
        <v>47055</v>
      </c>
      <c r="I18304" t="s">
        <v>47127</v>
      </c>
      <c r="J18304" t="s">
        <v>47128</v>
      </c>
      <c r="K18304" t="s">
        <v>47113</v>
      </c>
      <c r="L18304">
        <v>11.62</v>
      </c>
      <c r="M18304">
        <v>26</v>
      </c>
      <c r="N18304">
        <v>69</v>
      </c>
      <c r="O18304">
        <v>26</v>
      </c>
      <c r="P18304">
        <v>69</v>
      </c>
    </row>
    <row r="18305" spans="1:16" x14ac:dyDescent="0.25">
      <c r="A18305" t="s">
        <v>40959</v>
      </c>
      <c r="B18305" t="s">
        <v>40960</v>
      </c>
      <c r="C18305" t="s">
        <v>40961</v>
      </c>
      <c r="D18305" t="str">
        <f>"1377"</f>
        <v>1377</v>
      </c>
      <c r="E18305" t="s">
        <v>74</v>
      </c>
      <c r="F18305" t="s">
        <v>27965</v>
      </c>
      <c r="G18305" t="s">
        <v>47091</v>
      </c>
      <c r="H18305" t="s">
        <v>47055</v>
      </c>
      <c r="I18305" t="s">
        <v>47127</v>
      </c>
      <c r="J18305" t="s">
        <v>47128</v>
      </c>
      <c r="K18305" t="s">
        <v>47113</v>
      </c>
      <c r="L18305">
        <v>14.29</v>
      </c>
      <c r="M18305">
        <v>26</v>
      </c>
      <c r="N18305">
        <v>69</v>
      </c>
      <c r="O18305">
        <v>26</v>
      </c>
      <c r="P18305">
        <v>69</v>
      </c>
    </row>
    <row r="18306" spans="1:16" x14ac:dyDescent="0.25">
      <c r="A18306" t="s">
        <v>40962</v>
      </c>
      <c r="B18306" t="s">
        <v>40960</v>
      </c>
      <c r="C18306" t="s">
        <v>40961</v>
      </c>
      <c r="D18306" t="str">
        <f>"1378"</f>
        <v>1378</v>
      </c>
      <c r="E18306" t="s">
        <v>388</v>
      </c>
      <c r="F18306" t="s">
        <v>27965</v>
      </c>
      <c r="G18306" t="s">
        <v>47091</v>
      </c>
      <c r="H18306" t="s">
        <v>47055</v>
      </c>
      <c r="I18306" t="s">
        <v>47127</v>
      </c>
      <c r="J18306" t="s">
        <v>47128</v>
      </c>
      <c r="K18306" t="s">
        <v>47113</v>
      </c>
      <c r="L18306">
        <v>14.29</v>
      </c>
      <c r="M18306">
        <v>26</v>
      </c>
      <c r="N18306">
        <v>69</v>
      </c>
      <c r="O18306">
        <v>26</v>
      </c>
      <c r="P18306">
        <v>69</v>
      </c>
    </row>
    <row r="18307" spans="1:16" x14ac:dyDescent="0.25">
      <c r="A18307" t="s">
        <v>40963</v>
      </c>
      <c r="B18307" t="s">
        <v>40960</v>
      </c>
      <c r="C18307" t="s">
        <v>40961</v>
      </c>
      <c r="D18307" t="str">
        <f>"1700"</f>
        <v>1700</v>
      </c>
      <c r="E18307" t="s">
        <v>60</v>
      </c>
      <c r="F18307" t="s">
        <v>27965</v>
      </c>
      <c r="G18307" t="s">
        <v>47091</v>
      </c>
      <c r="H18307" t="s">
        <v>47055</v>
      </c>
      <c r="I18307" t="s">
        <v>47127</v>
      </c>
      <c r="J18307" t="s">
        <v>47128</v>
      </c>
      <c r="K18307" t="s">
        <v>47113</v>
      </c>
      <c r="L18307">
        <v>14.09</v>
      </c>
      <c r="M18307">
        <v>26</v>
      </c>
      <c r="N18307">
        <v>69</v>
      </c>
      <c r="O18307">
        <v>26</v>
      </c>
      <c r="P18307">
        <v>69</v>
      </c>
    </row>
    <row r="18308" spans="1:16" x14ac:dyDescent="0.25">
      <c r="A18308" t="s">
        <v>40964</v>
      </c>
      <c r="B18308" t="s">
        <v>40960</v>
      </c>
      <c r="C18308" t="s">
        <v>40961</v>
      </c>
      <c r="D18308" t="str">
        <f>"3081"</f>
        <v>3081</v>
      </c>
      <c r="E18308" t="s">
        <v>28008</v>
      </c>
      <c r="F18308" t="s">
        <v>27965</v>
      </c>
      <c r="G18308" t="s">
        <v>47091</v>
      </c>
      <c r="H18308" t="s">
        <v>47055</v>
      </c>
      <c r="I18308" t="s">
        <v>47127</v>
      </c>
      <c r="J18308" t="s">
        <v>47128</v>
      </c>
      <c r="K18308" t="s">
        <v>47113</v>
      </c>
      <c r="L18308">
        <v>14.29</v>
      </c>
      <c r="M18308">
        <v>26</v>
      </c>
      <c r="N18308">
        <v>69</v>
      </c>
      <c r="O18308">
        <v>26</v>
      </c>
      <c r="P18308">
        <v>69</v>
      </c>
    </row>
    <row r="18309" spans="1:16" x14ac:dyDescent="0.25">
      <c r="A18309" t="s">
        <v>40965</v>
      </c>
      <c r="B18309" t="s">
        <v>40960</v>
      </c>
      <c r="C18309" t="s">
        <v>40961</v>
      </c>
      <c r="D18309" t="str">
        <f>"4677"</f>
        <v>4677</v>
      </c>
      <c r="E18309" t="s">
        <v>9288</v>
      </c>
      <c r="F18309" t="s">
        <v>27965</v>
      </c>
      <c r="G18309" t="s">
        <v>47091</v>
      </c>
      <c r="H18309" t="s">
        <v>47055</v>
      </c>
      <c r="I18309" t="s">
        <v>47127</v>
      </c>
      <c r="J18309" t="s">
        <v>47128</v>
      </c>
      <c r="K18309" t="s">
        <v>47113</v>
      </c>
      <c r="L18309">
        <v>14.09</v>
      </c>
      <c r="M18309">
        <v>26</v>
      </c>
      <c r="N18309">
        <v>69</v>
      </c>
      <c r="O18309">
        <v>26</v>
      </c>
      <c r="P18309">
        <v>69</v>
      </c>
    </row>
    <row r="18310" spans="1:16" x14ac:dyDescent="0.25">
      <c r="A18310" t="s">
        <v>40966</v>
      </c>
      <c r="B18310" t="s">
        <v>40960</v>
      </c>
      <c r="C18310" t="s">
        <v>40961</v>
      </c>
      <c r="D18310" t="str">
        <f>"6092"</f>
        <v>6092</v>
      </c>
      <c r="E18310" t="s">
        <v>28002</v>
      </c>
      <c r="F18310" t="s">
        <v>27965</v>
      </c>
      <c r="G18310" t="s">
        <v>47091</v>
      </c>
      <c r="H18310" t="s">
        <v>47055</v>
      </c>
      <c r="I18310" t="s">
        <v>47127</v>
      </c>
      <c r="J18310" t="s">
        <v>47128</v>
      </c>
      <c r="K18310" t="s">
        <v>47113</v>
      </c>
      <c r="L18310">
        <v>14.29</v>
      </c>
      <c r="M18310">
        <v>26</v>
      </c>
      <c r="N18310">
        <v>69</v>
      </c>
      <c r="O18310">
        <v>26</v>
      </c>
      <c r="P18310">
        <v>69</v>
      </c>
    </row>
    <row r="18311" spans="1:16" x14ac:dyDescent="0.25">
      <c r="A18311" t="s">
        <v>40967</v>
      </c>
      <c r="B18311" t="s">
        <v>40960</v>
      </c>
      <c r="C18311" t="s">
        <v>40961</v>
      </c>
      <c r="D18311" t="str">
        <f>"6500"</f>
        <v>6500</v>
      </c>
      <c r="E18311" t="s">
        <v>151</v>
      </c>
      <c r="F18311" t="s">
        <v>27965</v>
      </c>
      <c r="G18311" t="s">
        <v>47091</v>
      </c>
      <c r="H18311" t="s">
        <v>47055</v>
      </c>
      <c r="I18311" t="s">
        <v>47127</v>
      </c>
      <c r="J18311" t="s">
        <v>47128</v>
      </c>
      <c r="K18311" t="s">
        <v>47113</v>
      </c>
      <c r="L18311">
        <v>14.29</v>
      </c>
      <c r="M18311">
        <v>26</v>
      </c>
      <c r="N18311">
        <v>69</v>
      </c>
      <c r="O18311">
        <v>26</v>
      </c>
      <c r="P18311">
        <v>69</v>
      </c>
    </row>
    <row r="18312" spans="1:16" x14ac:dyDescent="0.25">
      <c r="A18312" t="s">
        <v>40968</v>
      </c>
      <c r="B18312" t="s">
        <v>40969</v>
      </c>
      <c r="C18312" t="s">
        <v>40970</v>
      </c>
      <c r="D18312" t="str">
        <f>"1001"</f>
        <v>1001</v>
      </c>
      <c r="E18312" t="s">
        <v>42</v>
      </c>
      <c r="F18312" t="s">
        <v>27965</v>
      </c>
      <c r="G18312" t="s">
        <v>47091</v>
      </c>
      <c r="H18312" t="s">
        <v>47055</v>
      </c>
      <c r="I18312" t="s">
        <v>47127</v>
      </c>
      <c r="J18312" t="s">
        <v>47128</v>
      </c>
      <c r="K18312" t="s">
        <v>47113</v>
      </c>
      <c r="L18312">
        <v>11.62</v>
      </c>
      <c r="M18312">
        <v>26</v>
      </c>
      <c r="N18312">
        <v>69</v>
      </c>
      <c r="O18312">
        <v>26</v>
      </c>
      <c r="P18312">
        <v>69</v>
      </c>
    </row>
    <row r="18313" spans="1:16" x14ac:dyDescent="0.25">
      <c r="A18313" t="s">
        <v>40971</v>
      </c>
      <c r="B18313" t="s">
        <v>40969</v>
      </c>
      <c r="C18313" t="s">
        <v>40970</v>
      </c>
      <c r="D18313" t="str">
        <f>"1700"</f>
        <v>1700</v>
      </c>
      <c r="E18313" t="s">
        <v>60</v>
      </c>
      <c r="F18313" t="s">
        <v>27965</v>
      </c>
      <c r="G18313" t="s">
        <v>47091</v>
      </c>
      <c r="H18313" t="s">
        <v>47055</v>
      </c>
      <c r="I18313" t="s">
        <v>47127</v>
      </c>
      <c r="J18313" t="s">
        <v>47128</v>
      </c>
      <c r="K18313" t="s">
        <v>47113</v>
      </c>
      <c r="L18313">
        <v>11.62</v>
      </c>
      <c r="M18313">
        <v>26</v>
      </c>
      <c r="N18313">
        <v>69</v>
      </c>
      <c r="O18313">
        <v>26</v>
      </c>
      <c r="P18313">
        <v>69</v>
      </c>
    </row>
    <row r="18314" spans="1:16" x14ac:dyDescent="0.25">
      <c r="A18314" t="s">
        <v>40972</v>
      </c>
      <c r="B18314" t="s">
        <v>40969</v>
      </c>
      <c r="C18314" t="s">
        <v>40970</v>
      </c>
      <c r="D18314" t="str">
        <f>"3081"</f>
        <v>3081</v>
      </c>
      <c r="E18314" t="s">
        <v>28008</v>
      </c>
      <c r="F18314" t="s">
        <v>27965</v>
      </c>
      <c r="G18314" t="s">
        <v>47091</v>
      </c>
      <c r="H18314" t="s">
        <v>47055</v>
      </c>
      <c r="I18314" t="s">
        <v>47127</v>
      </c>
      <c r="J18314" t="s">
        <v>47128</v>
      </c>
      <c r="K18314" t="s">
        <v>47113</v>
      </c>
      <c r="L18314">
        <v>11.62</v>
      </c>
      <c r="M18314">
        <v>26</v>
      </c>
      <c r="N18314">
        <v>69</v>
      </c>
      <c r="O18314">
        <v>26</v>
      </c>
      <c r="P18314">
        <v>69</v>
      </c>
    </row>
    <row r="18315" spans="1:16" x14ac:dyDescent="0.25">
      <c r="A18315" t="s">
        <v>40973</v>
      </c>
      <c r="B18315" t="s">
        <v>40969</v>
      </c>
      <c r="C18315" t="s">
        <v>40970</v>
      </c>
      <c r="D18315" t="str">
        <f>"3501"</f>
        <v>3501</v>
      </c>
      <c r="E18315" t="s">
        <v>3758</v>
      </c>
      <c r="F18315" t="s">
        <v>27965</v>
      </c>
      <c r="G18315" t="s">
        <v>47091</v>
      </c>
      <c r="H18315" t="s">
        <v>47055</v>
      </c>
      <c r="I18315" t="s">
        <v>47127</v>
      </c>
      <c r="J18315" t="s">
        <v>47128</v>
      </c>
      <c r="K18315" t="s">
        <v>47113</v>
      </c>
      <c r="L18315">
        <v>11.62</v>
      </c>
      <c r="M18315">
        <v>26</v>
      </c>
      <c r="N18315">
        <v>69</v>
      </c>
      <c r="O18315">
        <v>26</v>
      </c>
      <c r="P18315">
        <v>69</v>
      </c>
    </row>
    <row r="18316" spans="1:16" x14ac:dyDescent="0.25">
      <c r="A18316" t="s">
        <v>40974</v>
      </c>
      <c r="B18316" t="s">
        <v>40969</v>
      </c>
      <c r="C18316" t="s">
        <v>40970</v>
      </c>
      <c r="D18316" t="str">
        <f>"4025"</f>
        <v>4025</v>
      </c>
      <c r="E18316" t="s">
        <v>24724</v>
      </c>
      <c r="F18316" t="s">
        <v>27965</v>
      </c>
      <c r="G18316" t="s">
        <v>47091</v>
      </c>
      <c r="H18316" t="s">
        <v>47055</v>
      </c>
      <c r="I18316" t="s">
        <v>47127</v>
      </c>
      <c r="J18316" t="s">
        <v>47128</v>
      </c>
      <c r="K18316" t="s">
        <v>47113</v>
      </c>
      <c r="L18316">
        <v>11.62</v>
      </c>
      <c r="M18316">
        <v>26</v>
      </c>
      <c r="N18316">
        <v>69</v>
      </c>
      <c r="O18316">
        <v>26</v>
      </c>
      <c r="P18316">
        <v>69</v>
      </c>
    </row>
    <row r="18317" spans="1:16" x14ac:dyDescent="0.25">
      <c r="A18317" t="s">
        <v>40975</v>
      </c>
      <c r="B18317" t="s">
        <v>40969</v>
      </c>
      <c r="C18317" t="s">
        <v>40970</v>
      </c>
      <c r="D18317" t="str">
        <f>"6500"</f>
        <v>6500</v>
      </c>
      <c r="E18317" t="s">
        <v>151</v>
      </c>
      <c r="F18317" t="s">
        <v>27965</v>
      </c>
      <c r="G18317" t="s">
        <v>47091</v>
      </c>
      <c r="H18317" t="s">
        <v>47055</v>
      </c>
      <c r="I18317" t="s">
        <v>47127</v>
      </c>
      <c r="J18317" t="s">
        <v>47128</v>
      </c>
      <c r="K18317" t="s">
        <v>47113</v>
      </c>
      <c r="L18317">
        <v>11.62</v>
      </c>
      <c r="M18317">
        <v>26</v>
      </c>
      <c r="N18317">
        <v>69</v>
      </c>
      <c r="O18317">
        <v>26</v>
      </c>
      <c r="P18317">
        <v>69</v>
      </c>
    </row>
    <row r="18318" spans="1:16" x14ac:dyDescent="0.25">
      <c r="A18318" t="s">
        <v>40976</v>
      </c>
      <c r="B18318" t="s">
        <v>40977</v>
      </c>
      <c r="C18318" t="s">
        <v>40978</v>
      </c>
      <c r="D18318" t="str">
        <f>"1001"</f>
        <v>1001</v>
      </c>
      <c r="E18318" t="s">
        <v>42</v>
      </c>
      <c r="F18318" t="s">
        <v>27965</v>
      </c>
      <c r="G18318" t="s">
        <v>47091</v>
      </c>
      <c r="H18318" t="s">
        <v>47055</v>
      </c>
      <c r="I18318" t="s">
        <v>47127</v>
      </c>
      <c r="J18318" t="s">
        <v>47128</v>
      </c>
      <c r="K18318" t="s">
        <v>47113</v>
      </c>
      <c r="L18318">
        <v>11.46</v>
      </c>
      <c r="M18318">
        <v>26</v>
      </c>
      <c r="N18318">
        <v>69</v>
      </c>
      <c r="O18318">
        <v>26</v>
      </c>
      <c r="P18318">
        <v>69</v>
      </c>
    </row>
    <row r="18319" spans="1:16" x14ac:dyDescent="0.25">
      <c r="A18319" t="s">
        <v>40979</v>
      </c>
      <c r="B18319" t="s">
        <v>40977</v>
      </c>
      <c r="C18319" t="s">
        <v>40978</v>
      </c>
      <c r="D18319" t="str">
        <f>"1700"</f>
        <v>1700</v>
      </c>
      <c r="E18319" t="s">
        <v>60</v>
      </c>
      <c r="F18319" t="s">
        <v>27965</v>
      </c>
      <c r="G18319" t="s">
        <v>47091</v>
      </c>
      <c r="H18319" t="s">
        <v>47055</v>
      </c>
      <c r="I18319" t="s">
        <v>47127</v>
      </c>
      <c r="J18319" t="s">
        <v>47128</v>
      </c>
      <c r="K18319" t="s">
        <v>47113</v>
      </c>
      <c r="L18319">
        <v>11.46</v>
      </c>
      <c r="M18319">
        <v>26</v>
      </c>
      <c r="N18319">
        <v>69</v>
      </c>
      <c r="O18319">
        <v>26</v>
      </c>
      <c r="P18319">
        <v>69</v>
      </c>
    </row>
    <row r="18320" spans="1:16" x14ac:dyDescent="0.25">
      <c r="A18320" t="s">
        <v>40980</v>
      </c>
      <c r="B18320" t="s">
        <v>40977</v>
      </c>
      <c r="C18320" t="s">
        <v>40978</v>
      </c>
      <c r="D18320" t="str">
        <f>"3081"</f>
        <v>3081</v>
      </c>
      <c r="E18320" t="s">
        <v>28008</v>
      </c>
      <c r="F18320" t="s">
        <v>27965</v>
      </c>
      <c r="G18320" t="s">
        <v>47091</v>
      </c>
      <c r="H18320" t="s">
        <v>47055</v>
      </c>
      <c r="I18320" t="s">
        <v>47127</v>
      </c>
      <c r="J18320" t="s">
        <v>47128</v>
      </c>
      <c r="K18320" t="s">
        <v>47113</v>
      </c>
      <c r="L18320">
        <v>11.62</v>
      </c>
      <c r="M18320">
        <v>26</v>
      </c>
      <c r="N18320">
        <v>69</v>
      </c>
      <c r="O18320">
        <v>26</v>
      </c>
      <c r="P18320">
        <v>69</v>
      </c>
    </row>
    <row r="18321" spans="1:16" x14ac:dyDescent="0.25">
      <c r="A18321" t="s">
        <v>40981</v>
      </c>
      <c r="B18321" t="s">
        <v>40977</v>
      </c>
      <c r="C18321" t="s">
        <v>40978</v>
      </c>
      <c r="D18321" t="str">
        <f>"4025"</f>
        <v>4025</v>
      </c>
      <c r="E18321" t="s">
        <v>24724</v>
      </c>
      <c r="F18321" t="s">
        <v>27965</v>
      </c>
      <c r="G18321" t="s">
        <v>47091</v>
      </c>
      <c r="H18321" t="s">
        <v>47055</v>
      </c>
      <c r="I18321" t="s">
        <v>47127</v>
      </c>
      <c r="J18321" t="s">
        <v>47128</v>
      </c>
      <c r="K18321" t="s">
        <v>47113</v>
      </c>
      <c r="L18321">
        <v>11.62</v>
      </c>
      <c r="M18321">
        <v>26</v>
      </c>
      <c r="N18321">
        <v>69</v>
      </c>
      <c r="O18321">
        <v>26</v>
      </c>
      <c r="P18321">
        <v>69</v>
      </c>
    </row>
    <row r="18322" spans="1:16" x14ac:dyDescent="0.25">
      <c r="A18322" t="s">
        <v>40982</v>
      </c>
      <c r="B18322" t="s">
        <v>40977</v>
      </c>
      <c r="C18322" t="s">
        <v>40978</v>
      </c>
      <c r="D18322" t="str">
        <f>"6500"</f>
        <v>6500</v>
      </c>
      <c r="E18322" t="s">
        <v>151</v>
      </c>
      <c r="F18322" t="s">
        <v>27965</v>
      </c>
      <c r="G18322" t="s">
        <v>47091</v>
      </c>
      <c r="H18322" t="s">
        <v>47055</v>
      </c>
      <c r="I18322" t="s">
        <v>47127</v>
      </c>
      <c r="J18322" t="s">
        <v>47128</v>
      </c>
      <c r="K18322" t="s">
        <v>47113</v>
      </c>
      <c r="L18322">
        <v>11.62</v>
      </c>
      <c r="M18322">
        <v>26</v>
      </c>
      <c r="N18322">
        <v>69</v>
      </c>
      <c r="O18322">
        <v>26</v>
      </c>
      <c r="P18322">
        <v>69</v>
      </c>
    </row>
    <row r="18323" spans="1:16" x14ac:dyDescent="0.25">
      <c r="A18323" t="s">
        <v>40983</v>
      </c>
      <c r="B18323" t="s">
        <v>40984</v>
      </c>
      <c r="C18323" t="s">
        <v>40985</v>
      </c>
      <c r="D18323" t="str">
        <f>"1001"</f>
        <v>1001</v>
      </c>
      <c r="E18323" t="s">
        <v>42</v>
      </c>
      <c r="F18323" t="s">
        <v>27965</v>
      </c>
      <c r="G18323" t="s">
        <v>47091</v>
      </c>
      <c r="H18323" t="s">
        <v>47055</v>
      </c>
      <c r="I18323" t="s">
        <v>47127</v>
      </c>
      <c r="J18323" t="s">
        <v>47128</v>
      </c>
      <c r="K18323" t="s">
        <v>47113</v>
      </c>
      <c r="L18323">
        <v>11.62</v>
      </c>
      <c r="M18323">
        <v>26</v>
      </c>
      <c r="N18323">
        <v>69</v>
      </c>
      <c r="O18323">
        <v>26</v>
      </c>
      <c r="P18323">
        <v>69</v>
      </c>
    </row>
    <row r="18324" spans="1:16" x14ac:dyDescent="0.25">
      <c r="A18324" t="s">
        <v>40986</v>
      </c>
      <c r="B18324" t="s">
        <v>40984</v>
      </c>
      <c r="C18324" t="s">
        <v>40985</v>
      </c>
      <c r="D18324" t="str">
        <f>"1377"</f>
        <v>1377</v>
      </c>
      <c r="E18324" t="s">
        <v>74</v>
      </c>
      <c r="F18324" t="s">
        <v>27965</v>
      </c>
      <c r="G18324" t="s">
        <v>47091</v>
      </c>
      <c r="H18324" t="s">
        <v>47055</v>
      </c>
      <c r="I18324" t="s">
        <v>47127</v>
      </c>
      <c r="J18324" t="s">
        <v>47128</v>
      </c>
      <c r="K18324" t="s">
        <v>47113</v>
      </c>
      <c r="L18324">
        <v>11.46</v>
      </c>
      <c r="M18324">
        <v>26</v>
      </c>
      <c r="N18324">
        <v>69</v>
      </c>
      <c r="O18324">
        <v>26</v>
      </c>
      <c r="P18324">
        <v>69</v>
      </c>
    </row>
    <row r="18325" spans="1:16" x14ac:dyDescent="0.25">
      <c r="A18325" t="s">
        <v>40987</v>
      </c>
      <c r="B18325" t="s">
        <v>40984</v>
      </c>
      <c r="C18325" t="s">
        <v>40985</v>
      </c>
      <c r="D18325" t="str">
        <f>"1378"</f>
        <v>1378</v>
      </c>
      <c r="E18325" t="s">
        <v>388</v>
      </c>
      <c r="F18325" t="s">
        <v>27965</v>
      </c>
      <c r="G18325" t="s">
        <v>47091</v>
      </c>
      <c r="H18325" t="s">
        <v>47055</v>
      </c>
      <c r="I18325" t="s">
        <v>47127</v>
      </c>
      <c r="J18325" t="s">
        <v>47128</v>
      </c>
      <c r="K18325" t="s">
        <v>47113</v>
      </c>
      <c r="L18325">
        <v>11.62</v>
      </c>
      <c r="M18325">
        <v>26</v>
      </c>
      <c r="N18325">
        <v>69</v>
      </c>
      <c r="O18325">
        <v>26</v>
      </c>
      <c r="P18325">
        <v>69</v>
      </c>
    </row>
    <row r="18326" spans="1:16" x14ac:dyDescent="0.25">
      <c r="A18326" t="s">
        <v>40988</v>
      </c>
      <c r="B18326" t="s">
        <v>40984</v>
      </c>
      <c r="C18326" t="s">
        <v>40985</v>
      </c>
      <c r="D18326" t="str">
        <f>"1700"</f>
        <v>1700</v>
      </c>
      <c r="E18326" t="s">
        <v>60</v>
      </c>
      <c r="F18326" t="s">
        <v>27965</v>
      </c>
      <c r="G18326" t="s">
        <v>47091</v>
      </c>
      <c r="H18326" t="s">
        <v>47055</v>
      </c>
      <c r="I18326" t="s">
        <v>47127</v>
      </c>
      <c r="J18326" t="s">
        <v>47128</v>
      </c>
      <c r="K18326" t="s">
        <v>47113</v>
      </c>
      <c r="L18326">
        <v>11.46</v>
      </c>
      <c r="M18326">
        <v>26</v>
      </c>
      <c r="N18326">
        <v>69</v>
      </c>
      <c r="O18326">
        <v>26</v>
      </c>
      <c r="P18326">
        <v>69</v>
      </c>
    </row>
    <row r="18327" spans="1:16" x14ac:dyDescent="0.25">
      <c r="A18327" t="s">
        <v>40989</v>
      </c>
      <c r="B18327" t="s">
        <v>40984</v>
      </c>
      <c r="C18327" t="s">
        <v>40985</v>
      </c>
      <c r="D18327" t="str">
        <f>"4025"</f>
        <v>4025</v>
      </c>
      <c r="E18327" t="s">
        <v>24724</v>
      </c>
      <c r="F18327" t="s">
        <v>27965</v>
      </c>
      <c r="G18327" t="s">
        <v>47091</v>
      </c>
      <c r="H18327" t="s">
        <v>47055</v>
      </c>
      <c r="I18327" t="s">
        <v>47127</v>
      </c>
      <c r="J18327" t="s">
        <v>47128</v>
      </c>
      <c r="K18327" t="s">
        <v>47113</v>
      </c>
      <c r="L18327">
        <v>11.62</v>
      </c>
      <c r="M18327">
        <v>26</v>
      </c>
      <c r="N18327">
        <v>69</v>
      </c>
      <c r="O18327">
        <v>26</v>
      </c>
      <c r="P18327">
        <v>69</v>
      </c>
    </row>
    <row r="18328" spans="1:16" x14ac:dyDescent="0.25">
      <c r="A18328" t="s">
        <v>40990</v>
      </c>
      <c r="B18328" t="s">
        <v>40984</v>
      </c>
      <c r="C18328" t="s">
        <v>40985</v>
      </c>
      <c r="D18328" t="str">
        <f>"4677"</f>
        <v>4677</v>
      </c>
      <c r="E18328" t="s">
        <v>9288</v>
      </c>
      <c r="F18328" t="s">
        <v>27965</v>
      </c>
      <c r="G18328" t="s">
        <v>47091</v>
      </c>
      <c r="H18328" t="s">
        <v>47055</v>
      </c>
      <c r="I18328" t="s">
        <v>47127</v>
      </c>
      <c r="J18328" t="s">
        <v>47128</v>
      </c>
      <c r="K18328" t="s">
        <v>47113</v>
      </c>
      <c r="L18328">
        <v>11.62</v>
      </c>
      <c r="M18328">
        <v>26</v>
      </c>
      <c r="N18328">
        <v>69</v>
      </c>
      <c r="O18328">
        <v>26</v>
      </c>
      <c r="P18328">
        <v>69</v>
      </c>
    </row>
    <row r="18329" spans="1:16" x14ac:dyDescent="0.25">
      <c r="A18329" t="s">
        <v>40991</v>
      </c>
      <c r="B18329" t="s">
        <v>40984</v>
      </c>
      <c r="C18329" t="s">
        <v>40985</v>
      </c>
      <c r="D18329" t="str">
        <f>"6500"</f>
        <v>6500</v>
      </c>
      <c r="E18329" t="s">
        <v>151</v>
      </c>
      <c r="F18329" t="s">
        <v>27965</v>
      </c>
      <c r="G18329" t="s">
        <v>47091</v>
      </c>
      <c r="H18329" t="s">
        <v>47055</v>
      </c>
      <c r="I18329" t="s">
        <v>47127</v>
      </c>
      <c r="J18329" t="s">
        <v>47128</v>
      </c>
      <c r="K18329" t="s">
        <v>47113</v>
      </c>
      <c r="L18329">
        <v>11.62</v>
      </c>
      <c r="M18329">
        <v>26</v>
      </c>
      <c r="N18329">
        <v>69</v>
      </c>
      <c r="O18329">
        <v>26</v>
      </c>
      <c r="P18329">
        <v>69</v>
      </c>
    </row>
    <row r="18330" spans="1:16" x14ac:dyDescent="0.25">
      <c r="A18330" t="s">
        <v>40992</v>
      </c>
      <c r="B18330" t="s">
        <v>40993</v>
      </c>
      <c r="C18330" t="s">
        <v>40994</v>
      </c>
      <c r="D18330" t="str">
        <f>"1377"</f>
        <v>1377</v>
      </c>
      <c r="E18330" t="s">
        <v>74</v>
      </c>
      <c r="F18330" t="s">
        <v>27965</v>
      </c>
      <c r="G18330" t="s">
        <v>47091</v>
      </c>
      <c r="H18330" t="s">
        <v>47055</v>
      </c>
      <c r="I18330" t="s">
        <v>47127</v>
      </c>
      <c r="J18330" t="s">
        <v>47128</v>
      </c>
      <c r="K18330" t="s">
        <v>47113</v>
      </c>
      <c r="L18330">
        <v>14.71</v>
      </c>
      <c r="M18330">
        <v>33</v>
      </c>
      <c r="N18330">
        <v>89</v>
      </c>
      <c r="O18330">
        <v>33</v>
      </c>
      <c r="P18330">
        <v>89</v>
      </c>
    </row>
    <row r="18331" spans="1:16" x14ac:dyDescent="0.25">
      <c r="A18331" t="s">
        <v>40995</v>
      </c>
      <c r="B18331" t="s">
        <v>40993</v>
      </c>
      <c r="C18331" t="s">
        <v>40994</v>
      </c>
      <c r="D18331" t="str">
        <f>"1700"</f>
        <v>1700</v>
      </c>
      <c r="E18331" t="s">
        <v>60</v>
      </c>
      <c r="F18331" t="s">
        <v>27965</v>
      </c>
      <c r="G18331" t="s">
        <v>47091</v>
      </c>
      <c r="H18331" t="s">
        <v>47055</v>
      </c>
      <c r="I18331" t="s">
        <v>47127</v>
      </c>
      <c r="J18331" t="s">
        <v>47128</v>
      </c>
      <c r="K18331" t="s">
        <v>47113</v>
      </c>
      <c r="L18331">
        <v>14.71</v>
      </c>
      <c r="M18331">
        <v>33</v>
      </c>
      <c r="N18331">
        <v>89</v>
      </c>
      <c r="O18331">
        <v>33</v>
      </c>
      <c r="P18331">
        <v>89</v>
      </c>
    </row>
    <row r="18332" spans="1:16" x14ac:dyDescent="0.25">
      <c r="A18332" t="s">
        <v>40996</v>
      </c>
      <c r="B18332" t="s">
        <v>40993</v>
      </c>
      <c r="C18332" t="s">
        <v>40994</v>
      </c>
      <c r="D18332" t="str">
        <f>"4025"</f>
        <v>4025</v>
      </c>
      <c r="E18332" t="s">
        <v>24724</v>
      </c>
      <c r="F18332" t="s">
        <v>27965</v>
      </c>
      <c r="G18332" t="s">
        <v>47091</v>
      </c>
      <c r="H18332" t="s">
        <v>47055</v>
      </c>
      <c r="I18332" t="s">
        <v>47127</v>
      </c>
      <c r="J18332" t="s">
        <v>47128</v>
      </c>
      <c r="K18332" t="s">
        <v>47113</v>
      </c>
      <c r="L18332">
        <v>14.71</v>
      </c>
      <c r="M18332">
        <v>33</v>
      </c>
      <c r="N18332">
        <v>89</v>
      </c>
      <c r="O18332">
        <v>33</v>
      </c>
      <c r="P18332">
        <v>89</v>
      </c>
    </row>
    <row r="18333" spans="1:16" x14ac:dyDescent="0.25">
      <c r="A18333" t="s">
        <v>40997</v>
      </c>
      <c r="B18333" t="s">
        <v>40993</v>
      </c>
      <c r="C18333" t="s">
        <v>40994</v>
      </c>
      <c r="D18333" t="str">
        <f>"4677"</f>
        <v>4677</v>
      </c>
      <c r="E18333" t="s">
        <v>9288</v>
      </c>
      <c r="F18333" t="s">
        <v>27965</v>
      </c>
      <c r="G18333" t="s">
        <v>47091</v>
      </c>
      <c r="H18333" t="s">
        <v>47055</v>
      </c>
      <c r="I18333" t="s">
        <v>47127</v>
      </c>
      <c r="J18333" t="s">
        <v>47128</v>
      </c>
      <c r="K18333" t="s">
        <v>47113</v>
      </c>
      <c r="L18333">
        <v>14.71</v>
      </c>
      <c r="M18333">
        <v>33</v>
      </c>
      <c r="N18333">
        <v>89</v>
      </c>
      <c r="O18333">
        <v>33</v>
      </c>
      <c r="P18333">
        <v>89</v>
      </c>
    </row>
    <row r="18334" spans="1:16" x14ac:dyDescent="0.25">
      <c r="A18334" t="s">
        <v>40998</v>
      </c>
      <c r="B18334" t="s">
        <v>40999</v>
      </c>
      <c r="C18334" t="s">
        <v>41000</v>
      </c>
      <c r="D18334" t="str">
        <f>"1377"</f>
        <v>1377</v>
      </c>
      <c r="E18334" t="s">
        <v>74</v>
      </c>
      <c r="F18334" t="s">
        <v>27965</v>
      </c>
      <c r="G18334" t="s">
        <v>47091</v>
      </c>
      <c r="H18334" t="s">
        <v>47055</v>
      </c>
      <c r="I18334" t="s">
        <v>47127</v>
      </c>
      <c r="J18334" t="s">
        <v>47128</v>
      </c>
      <c r="K18334" t="s">
        <v>47113</v>
      </c>
      <c r="L18334">
        <v>11.62</v>
      </c>
      <c r="M18334">
        <v>26</v>
      </c>
      <c r="N18334">
        <v>69</v>
      </c>
      <c r="O18334">
        <v>26</v>
      </c>
      <c r="P18334">
        <v>69</v>
      </c>
    </row>
    <row r="18335" spans="1:16" x14ac:dyDescent="0.25">
      <c r="A18335" t="s">
        <v>41001</v>
      </c>
      <c r="B18335" t="s">
        <v>40999</v>
      </c>
      <c r="C18335" t="s">
        <v>41000</v>
      </c>
      <c r="D18335" t="str">
        <f>"1700"</f>
        <v>1700</v>
      </c>
      <c r="E18335" t="s">
        <v>60</v>
      </c>
      <c r="F18335" t="s">
        <v>27965</v>
      </c>
      <c r="G18335" t="s">
        <v>47091</v>
      </c>
      <c r="H18335" t="s">
        <v>47055</v>
      </c>
      <c r="I18335" t="s">
        <v>47127</v>
      </c>
      <c r="J18335" t="s">
        <v>47128</v>
      </c>
      <c r="K18335" t="s">
        <v>47113</v>
      </c>
      <c r="L18335">
        <v>11.62</v>
      </c>
      <c r="M18335">
        <v>26</v>
      </c>
      <c r="N18335">
        <v>69</v>
      </c>
      <c r="O18335">
        <v>26</v>
      </c>
      <c r="P18335">
        <v>69</v>
      </c>
    </row>
    <row r="18336" spans="1:16" x14ac:dyDescent="0.25">
      <c r="A18336" t="s">
        <v>41002</v>
      </c>
      <c r="B18336" t="s">
        <v>40999</v>
      </c>
      <c r="C18336" t="s">
        <v>41000</v>
      </c>
      <c r="D18336" t="str">
        <f>"4677"</f>
        <v>4677</v>
      </c>
      <c r="E18336" t="s">
        <v>9288</v>
      </c>
      <c r="F18336" t="s">
        <v>27965</v>
      </c>
      <c r="G18336" t="s">
        <v>47091</v>
      </c>
      <c r="H18336" t="s">
        <v>47055</v>
      </c>
      <c r="I18336" t="s">
        <v>47127</v>
      </c>
      <c r="J18336" t="s">
        <v>47128</v>
      </c>
      <c r="K18336" t="s">
        <v>47113</v>
      </c>
      <c r="L18336">
        <v>11.62</v>
      </c>
      <c r="M18336">
        <v>26</v>
      </c>
      <c r="N18336">
        <v>69</v>
      </c>
      <c r="O18336">
        <v>26</v>
      </c>
      <c r="P18336">
        <v>69</v>
      </c>
    </row>
    <row r="18337" spans="1:16" x14ac:dyDescent="0.25">
      <c r="A18337" t="s">
        <v>41003</v>
      </c>
      <c r="B18337" t="s">
        <v>41004</v>
      </c>
      <c r="C18337" t="s">
        <v>41005</v>
      </c>
      <c r="D18337" t="str">
        <f>"1001"</f>
        <v>1001</v>
      </c>
      <c r="E18337" t="s">
        <v>42</v>
      </c>
      <c r="F18337" t="s">
        <v>27965</v>
      </c>
      <c r="G18337" t="s">
        <v>47091</v>
      </c>
      <c r="H18337" t="s">
        <v>47055</v>
      </c>
      <c r="I18337" t="s">
        <v>47127</v>
      </c>
      <c r="J18337" t="s">
        <v>47128</v>
      </c>
      <c r="K18337" t="s">
        <v>47113</v>
      </c>
      <c r="L18337">
        <v>11.41</v>
      </c>
      <c r="M18337">
        <v>26</v>
      </c>
      <c r="N18337">
        <v>69</v>
      </c>
      <c r="O18337">
        <v>26</v>
      </c>
      <c r="P18337">
        <v>69</v>
      </c>
    </row>
    <row r="18338" spans="1:16" x14ac:dyDescent="0.25">
      <c r="A18338" t="s">
        <v>41006</v>
      </c>
      <c r="B18338" t="s">
        <v>41004</v>
      </c>
      <c r="C18338" t="s">
        <v>41005</v>
      </c>
      <c r="D18338" t="str">
        <f>"1377"</f>
        <v>1377</v>
      </c>
      <c r="E18338" t="s">
        <v>74</v>
      </c>
      <c r="F18338" t="s">
        <v>27965</v>
      </c>
      <c r="G18338" t="s">
        <v>47091</v>
      </c>
      <c r="H18338" t="s">
        <v>47055</v>
      </c>
      <c r="I18338" t="s">
        <v>47127</v>
      </c>
      <c r="J18338" t="s">
        <v>47128</v>
      </c>
      <c r="K18338" t="s">
        <v>47113</v>
      </c>
      <c r="L18338">
        <v>11.41</v>
      </c>
      <c r="M18338">
        <v>26</v>
      </c>
      <c r="N18338">
        <v>69</v>
      </c>
      <c r="O18338">
        <v>26</v>
      </c>
      <c r="P18338">
        <v>69</v>
      </c>
    </row>
    <row r="18339" spans="1:16" x14ac:dyDescent="0.25">
      <c r="A18339" t="s">
        <v>41007</v>
      </c>
      <c r="B18339" t="s">
        <v>41004</v>
      </c>
      <c r="C18339" t="s">
        <v>41005</v>
      </c>
      <c r="D18339" t="str">
        <f>"3081"</f>
        <v>3081</v>
      </c>
      <c r="E18339" t="s">
        <v>28008</v>
      </c>
      <c r="F18339" t="s">
        <v>27965</v>
      </c>
      <c r="G18339" t="s">
        <v>47091</v>
      </c>
      <c r="H18339" t="s">
        <v>47055</v>
      </c>
      <c r="I18339" t="s">
        <v>47127</v>
      </c>
      <c r="J18339" t="s">
        <v>47128</v>
      </c>
      <c r="K18339" t="s">
        <v>47113</v>
      </c>
      <c r="L18339">
        <v>11.41</v>
      </c>
      <c r="M18339">
        <v>26</v>
      </c>
      <c r="N18339">
        <v>69</v>
      </c>
      <c r="O18339">
        <v>26</v>
      </c>
      <c r="P18339">
        <v>69</v>
      </c>
    </row>
    <row r="18340" spans="1:16" x14ac:dyDescent="0.25">
      <c r="A18340" t="s">
        <v>41008</v>
      </c>
      <c r="B18340" t="s">
        <v>41004</v>
      </c>
      <c r="C18340" t="s">
        <v>41005</v>
      </c>
      <c r="D18340" t="str">
        <f>"4025"</f>
        <v>4025</v>
      </c>
      <c r="E18340" t="s">
        <v>24724</v>
      </c>
      <c r="F18340" t="s">
        <v>27965</v>
      </c>
      <c r="G18340" t="s">
        <v>47091</v>
      </c>
      <c r="H18340" t="s">
        <v>47055</v>
      </c>
      <c r="I18340" t="s">
        <v>47127</v>
      </c>
      <c r="J18340" t="s">
        <v>47128</v>
      </c>
      <c r="K18340" t="s">
        <v>47113</v>
      </c>
      <c r="L18340">
        <v>11.41</v>
      </c>
      <c r="M18340">
        <v>26</v>
      </c>
      <c r="N18340">
        <v>69</v>
      </c>
      <c r="O18340">
        <v>26</v>
      </c>
      <c r="P18340">
        <v>69</v>
      </c>
    </row>
    <row r="18341" spans="1:16" x14ac:dyDescent="0.25">
      <c r="A18341" t="s">
        <v>41009</v>
      </c>
      <c r="B18341" t="s">
        <v>41004</v>
      </c>
      <c r="C18341" t="s">
        <v>41005</v>
      </c>
      <c r="D18341" t="str">
        <f>"6092"</f>
        <v>6092</v>
      </c>
      <c r="E18341" t="s">
        <v>28002</v>
      </c>
      <c r="F18341" t="s">
        <v>27965</v>
      </c>
      <c r="G18341" t="s">
        <v>47091</v>
      </c>
      <c r="H18341" t="s">
        <v>47055</v>
      </c>
      <c r="I18341" t="s">
        <v>47127</v>
      </c>
      <c r="J18341" t="s">
        <v>47128</v>
      </c>
      <c r="K18341" t="s">
        <v>47113</v>
      </c>
      <c r="L18341">
        <v>11.41</v>
      </c>
      <c r="M18341">
        <v>26</v>
      </c>
      <c r="N18341">
        <v>69</v>
      </c>
      <c r="O18341">
        <v>26</v>
      </c>
      <c r="P18341">
        <v>69</v>
      </c>
    </row>
    <row r="18342" spans="1:16" x14ac:dyDescent="0.25">
      <c r="A18342" t="s">
        <v>41010</v>
      </c>
      <c r="B18342" t="s">
        <v>41011</v>
      </c>
      <c r="C18342" t="s">
        <v>41012</v>
      </c>
      <c r="D18342" t="str">
        <f>"1378"</f>
        <v>1378</v>
      </c>
      <c r="E18342" t="s">
        <v>388</v>
      </c>
      <c r="F18342" t="s">
        <v>27965</v>
      </c>
      <c r="G18342" t="s">
        <v>47092</v>
      </c>
      <c r="H18342" t="s">
        <v>47055</v>
      </c>
      <c r="I18342" t="s">
        <v>47127</v>
      </c>
      <c r="J18342" t="s">
        <v>47128</v>
      </c>
      <c r="K18342" t="s">
        <v>47113</v>
      </c>
      <c r="L18342">
        <v>11.41</v>
      </c>
      <c r="M18342">
        <v>26</v>
      </c>
      <c r="N18342">
        <v>69</v>
      </c>
      <c r="O18342">
        <v>26</v>
      </c>
      <c r="P18342">
        <v>69</v>
      </c>
    </row>
    <row r="18343" spans="1:16" x14ac:dyDescent="0.25">
      <c r="A18343" t="s">
        <v>41013</v>
      </c>
      <c r="B18343" t="s">
        <v>41011</v>
      </c>
      <c r="C18343" t="s">
        <v>41012</v>
      </c>
      <c r="D18343" t="str">
        <f>"3081"</f>
        <v>3081</v>
      </c>
      <c r="E18343" t="s">
        <v>28008</v>
      </c>
      <c r="F18343" t="s">
        <v>27965</v>
      </c>
      <c r="G18343" t="s">
        <v>47092</v>
      </c>
      <c r="H18343" t="s">
        <v>47055</v>
      </c>
      <c r="I18343" t="s">
        <v>47127</v>
      </c>
      <c r="J18343" t="s">
        <v>47128</v>
      </c>
      <c r="K18343" t="s">
        <v>47113</v>
      </c>
      <c r="L18343">
        <v>11.41</v>
      </c>
      <c r="M18343">
        <v>26</v>
      </c>
      <c r="N18343">
        <v>69</v>
      </c>
      <c r="O18343">
        <v>26</v>
      </c>
      <c r="P18343">
        <v>69</v>
      </c>
    </row>
    <row r="18344" spans="1:16" x14ac:dyDescent="0.25">
      <c r="A18344" t="s">
        <v>41014</v>
      </c>
      <c r="B18344" t="s">
        <v>41011</v>
      </c>
      <c r="C18344" t="s">
        <v>41012</v>
      </c>
      <c r="D18344" t="str">
        <f>"4025"</f>
        <v>4025</v>
      </c>
      <c r="E18344" t="s">
        <v>24724</v>
      </c>
      <c r="F18344" t="s">
        <v>27965</v>
      </c>
      <c r="G18344" t="s">
        <v>47092</v>
      </c>
      <c r="H18344" t="s">
        <v>47055</v>
      </c>
      <c r="I18344" t="s">
        <v>47127</v>
      </c>
      <c r="J18344" t="s">
        <v>47128</v>
      </c>
      <c r="K18344" t="s">
        <v>47113</v>
      </c>
      <c r="L18344">
        <v>11.41</v>
      </c>
      <c r="M18344">
        <v>26</v>
      </c>
      <c r="N18344">
        <v>69</v>
      </c>
      <c r="O18344">
        <v>26</v>
      </c>
      <c r="P18344">
        <v>69</v>
      </c>
    </row>
    <row r="18345" spans="1:16" x14ac:dyDescent="0.25">
      <c r="A18345" t="s">
        <v>41015</v>
      </c>
      <c r="B18345" t="s">
        <v>41011</v>
      </c>
      <c r="C18345" t="s">
        <v>41012</v>
      </c>
      <c r="D18345" t="str">
        <f>"6092"</f>
        <v>6092</v>
      </c>
      <c r="E18345" t="s">
        <v>28002</v>
      </c>
      <c r="F18345" t="s">
        <v>27965</v>
      </c>
      <c r="G18345" t="s">
        <v>47092</v>
      </c>
      <c r="H18345" t="s">
        <v>47055</v>
      </c>
      <c r="I18345" t="s">
        <v>47127</v>
      </c>
      <c r="J18345" t="s">
        <v>47128</v>
      </c>
      <c r="K18345" t="s">
        <v>47113</v>
      </c>
      <c r="L18345">
        <v>11.41</v>
      </c>
      <c r="M18345">
        <v>26</v>
      </c>
      <c r="N18345">
        <v>69</v>
      </c>
      <c r="O18345">
        <v>26</v>
      </c>
      <c r="P18345">
        <v>69</v>
      </c>
    </row>
    <row r="18346" spans="1:16" x14ac:dyDescent="0.25">
      <c r="A18346" t="s">
        <v>41016</v>
      </c>
      <c r="B18346" t="s">
        <v>41017</v>
      </c>
      <c r="C18346" t="s">
        <v>41018</v>
      </c>
      <c r="D18346" t="str">
        <f>"1377"</f>
        <v>1377</v>
      </c>
      <c r="E18346" t="s">
        <v>74</v>
      </c>
      <c r="F18346" t="s">
        <v>27965</v>
      </c>
      <c r="G18346" t="s">
        <v>47091</v>
      </c>
      <c r="H18346" t="s">
        <v>47055</v>
      </c>
      <c r="I18346" t="s">
        <v>47127</v>
      </c>
      <c r="J18346" t="s">
        <v>47128</v>
      </c>
      <c r="K18346" t="s">
        <v>47113</v>
      </c>
      <c r="L18346">
        <v>11.62</v>
      </c>
      <c r="M18346">
        <v>26</v>
      </c>
      <c r="N18346">
        <v>69</v>
      </c>
      <c r="O18346">
        <v>26</v>
      </c>
      <c r="P18346">
        <v>69</v>
      </c>
    </row>
    <row r="18347" spans="1:16" x14ac:dyDescent="0.25">
      <c r="A18347" t="s">
        <v>41019</v>
      </c>
      <c r="B18347" t="s">
        <v>41017</v>
      </c>
      <c r="C18347" t="s">
        <v>41018</v>
      </c>
      <c r="D18347" t="str">
        <f>"1378"</f>
        <v>1378</v>
      </c>
      <c r="E18347" t="s">
        <v>388</v>
      </c>
      <c r="F18347" t="s">
        <v>27965</v>
      </c>
      <c r="G18347" t="s">
        <v>47091</v>
      </c>
      <c r="H18347" t="s">
        <v>47055</v>
      </c>
      <c r="I18347" t="s">
        <v>47127</v>
      </c>
      <c r="J18347" t="s">
        <v>47128</v>
      </c>
      <c r="K18347" t="s">
        <v>47113</v>
      </c>
      <c r="L18347">
        <v>11.62</v>
      </c>
      <c r="M18347">
        <v>26</v>
      </c>
      <c r="N18347">
        <v>69</v>
      </c>
      <c r="O18347">
        <v>26</v>
      </c>
      <c r="P18347">
        <v>69</v>
      </c>
    </row>
    <row r="18348" spans="1:16" x14ac:dyDescent="0.25">
      <c r="A18348" t="s">
        <v>41020</v>
      </c>
      <c r="B18348" t="s">
        <v>41017</v>
      </c>
      <c r="C18348" t="s">
        <v>41018</v>
      </c>
      <c r="D18348" t="str">
        <f>"3081"</f>
        <v>3081</v>
      </c>
      <c r="E18348" t="s">
        <v>28008</v>
      </c>
      <c r="F18348" t="s">
        <v>27965</v>
      </c>
      <c r="G18348" t="s">
        <v>47091</v>
      </c>
      <c r="H18348" t="s">
        <v>47055</v>
      </c>
      <c r="I18348" t="s">
        <v>47127</v>
      </c>
      <c r="J18348" t="s">
        <v>47128</v>
      </c>
      <c r="K18348" t="s">
        <v>47113</v>
      </c>
      <c r="L18348">
        <v>11.62</v>
      </c>
      <c r="M18348">
        <v>26</v>
      </c>
      <c r="N18348">
        <v>69</v>
      </c>
      <c r="O18348">
        <v>26</v>
      </c>
      <c r="P18348">
        <v>69</v>
      </c>
    </row>
    <row r="18349" spans="1:16" x14ac:dyDescent="0.25">
      <c r="A18349" t="s">
        <v>41021</v>
      </c>
      <c r="B18349" t="s">
        <v>41017</v>
      </c>
      <c r="C18349" t="s">
        <v>41018</v>
      </c>
      <c r="D18349" t="str">
        <f>"4025"</f>
        <v>4025</v>
      </c>
      <c r="E18349" t="s">
        <v>24724</v>
      </c>
      <c r="F18349" t="s">
        <v>27965</v>
      </c>
      <c r="G18349" t="s">
        <v>47091</v>
      </c>
      <c r="H18349" t="s">
        <v>47055</v>
      </c>
      <c r="I18349" t="s">
        <v>47127</v>
      </c>
      <c r="J18349" t="s">
        <v>47128</v>
      </c>
      <c r="K18349" t="s">
        <v>47113</v>
      </c>
      <c r="L18349">
        <v>11.62</v>
      </c>
      <c r="M18349">
        <v>26</v>
      </c>
      <c r="N18349">
        <v>69</v>
      </c>
      <c r="O18349">
        <v>26</v>
      </c>
      <c r="P18349">
        <v>69</v>
      </c>
    </row>
    <row r="18350" spans="1:16" x14ac:dyDescent="0.25">
      <c r="A18350" t="s">
        <v>41022</v>
      </c>
      <c r="B18350" t="s">
        <v>41017</v>
      </c>
      <c r="C18350" t="s">
        <v>41018</v>
      </c>
      <c r="D18350" t="str">
        <f>"4677"</f>
        <v>4677</v>
      </c>
      <c r="E18350" t="s">
        <v>9288</v>
      </c>
      <c r="F18350" t="s">
        <v>27965</v>
      </c>
      <c r="G18350" t="s">
        <v>47091</v>
      </c>
      <c r="H18350" t="s">
        <v>47055</v>
      </c>
      <c r="I18350" t="s">
        <v>47127</v>
      </c>
      <c r="J18350" t="s">
        <v>47128</v>
      </c>
      <c r="K18350" t="s">
        <v>47113</v>
      </c>
      <c r="L18350">
        <v>11.62</v>
      </c>
      <c r="M18350">
        <v>26</v>
      </c>
      <c r="N18350">
        <v>69</v>
      </c>
      <c r="O18350">
        <v>26</v>
      </c>
      <c r="P18350">
        <v>69</v>
      </c>
    </row>
    <row r="18351" spans="1:16" x14ac:dyDescent="0.25">
      <c r="A18351" t="s">
        <v>41023</v>
      </c>
      <c r="B18351" t="s">
        <v>41017</v>
      </c>
      <c r="C18351" t="s">
        <v>41018</v>
      </c>
      <c r="D18351" t="str">
        <f>"6092"</f>
        <v>6092</v>
      </c>
      <c r="E18351" t="s">
        <v>28002</v>
      </c>
      <c r="F18351" t="s">
        <v>27965</v>
      </c>
      <c r="G18351" t="s">
        <v>47091</v>
      </c>
      <c r="H18351" t="s">
        <v>47055</v>
      </c>
      <c r="I18351" t="s">
        <v>47127</v>
      </c>
      <c r="J18351" t="s">
        <v>47128</v>
      </c>
      <c r="K18351" t="s">
        <v>47113</v>
      </c>
      <c r="L18351">
        <v>11.62</v>
      </c>
      <c r="M18351">
        <v>26</v>
      </c>
      <c r="N18351">
        <v>69</v>
      </c>
      <c r="O18351">
        <v>26</v>
      </c>
      <c r="P18351">
        <v>69</v>
      </c>
    </row>
    <row r="18352" spans="1:16" x14ac:dyDescent="0.25">
      <c r="A18352" t="s">
        <v>41024</v>
      </c>
      <c r="B18352" t="s">
        <v>41025</v>
      </c>
      <c r="C18352" t="s">
        <v>19759</v>
      </c>
      <c r="D18352" t="str">
        <f>"1001"</f>
        <v>1001</v>
      </c>
      <c r="E18352" t="s">
        <v>42</v>
      </c>
      <c r="F18352" t="s">
        <v>27965</v>
      </c>
      <c r="G18352" t="s">
        <v>47091</v>
      </c>
      <c r="H18352" t="s">
        <v>47055</v>
      </c>
      <c r="I18352" t="s">
        <v>47127</v>
      </c>
      <c r="J18352" t="s">
        <v>47128</v>
      </c>
      <c r="K18352" t="s">
        <v>47113</v>
      </c>
      <c r="L18352">
        <v>12.69</v>
      </c>
      <c r="M18352">
        <v>33</v>
      </c>
      <c r="N18352">
        <v>89</v>
      </c>
      <c r="O18352">
        <v>33</v>
      </c>
      <c r="P18352">
        <v>89</v>
      </c>
    </row>
    <row r="18353" spans="1:16" x14ac:dyDescent="0.25">
      <c r="A18353" t="s">
        <v>41026</v>
      </c>
      <c r="B18353" t="s">
        <v>41025</v>
      </c>
      <c r="C18353" t="s">
        <v>19759</v>
      </c>
      <c r="D18353" t="str">
        <f>"1377"</f>
        <v>1377</v>
      </c>
      <c r="E18353" t="s">
        <v>74</v>
      </c>
      <c r="F18353" t="s">
        <v>27965</v>
      </c>
      <c r="G18353" t="s">
        <v>47091</v>
      </c>
      <c r="H18353" t="s">
        <v>47055</v>
      </c>
      <c r="I18353" t="s">
        <v>47127</v>
      </c>
      <c r="J18353" t="s">
        <v>47128</v>
      </c>
      <c r="K18353" t="s">
        <v>47113</v>
      </c>
      <c r="L18353">
        <v>12.69</v>
      </c>
      <c r="M18353">
        <v>33</v>
      </c>
      <c r="N18353">
        <v>89</v>
      </c>
      <c r="O18353">
        <v>33</v>
      </c>
      <c r="P18353">
        <v>89</v>
      </c>
    </row>
    <row r="18354" spans="1:16" x14ac:dyDescent="0.25">
      <c r="A18354" t="s">
        <v>41027</v>
      </c>
      <c r="B18354" t="s">
        <v>41025</v>
      </c>
      <c r="C18354" t="s">
        <v>19759</v>
      </c>
      <c r="D18354" t="str">
        <f>"3081"</f>
        <v>3081</v>
      </c>
      <c r="E18354" t="s">
        <v>28008</v>
      </c>
      <c r="F18354" t="s">
        <v>27965</v>
      </c>
      <c r="G18354" t="s">
        <v>47091</v>
      </c>
      <c r="H18354" t="s">
        <v>47055</v>
      </c>
      <c r="I18354" t="s">
        <v>47127</v>
      </c>
      <c r="J18354" t="s">
        <v>47128</v>
      </c>
      <c r="K18354" t="s">
        <v>47113</v>
      </c>
      <c r="L18354">
        <v>12.69</v>
      </c>
      <c r="M18354">
        <v>33</v>
      </c>
      <c r="N18354">
        <v>89</v>
      </c>
      <c r="O18354">
        <v>33</v>
      </c>
      <c r="P18354">
        <v>89</v>
      </c>
    </row>
    <row r="18355" spans="1:16" x14ac:dyDescent="0.25">
      <c r="A18355" t="s">
        <v>41028</v>
      </c>
      <c r="B18355" t="s">
        <v>41025</v>
      </c>
      <c r="C18355" t="s">
        <v>19759</v>
      </c>
      <c r="D18355" t="str">
        <f>"4025"</f>
        <v>4025</v>
      </c>
      <c r="E18355" t="s">
        <v>24724</v>
      </c>
      <c r="F18355" t="s">
        <v>27965</v>
      </c>
      <c r="G18355" t="s">
        <v>47091</v>
      </c>
      <c r="H18355" t="s">
        <v>47055</v>
      </c>
      <c r="I18355" t="s">
        <v>47127</v>
      </c>
      <c r="J18355" t="s">
        <v>47128</v>
      </c>
      <c r="K18355" t="s">
        <v>47113</v>
      </c>
      <c r="L18355">
        <v>12.69</v>
      </c>
      <c r="M18355">
        <v>33</v>
      </c>
      <c r="N18355">
        <v>89</v>
      </c>
      <c r="O18355">
        <v>33</v>
      </c>
      <c r="P18355">
        <v>89</v>
      </c>
    </row>
    <row r="18356" spans="1:16" x14ac:dyDescent="0.25">
      <c r="A18356" t="s">
        <v>41029</v>
      </c>
      <c r="B18356" t="s">
        <v>41025</v>
      </c>
      <c r="C18356" t="s">
        <v>19759</v>
      </c>
      <c r="D18356" t="str">
        <f>"6092"</f>
        <v>6092</v>
      </c>
      <c r="E18356" t="s">
        <v>28002</v>
      </c>
      <c r="F18356" t="s">
        <v>27965</v>
      </c>
      <c r="G18356" t="s">
        <v>47091</v>
      </c>
      <c r="H18356" t="s">
        <v>47055</v>
      </c>
      <c r="I18356" t="s">
        <v>47127</v>
      </c>
      <c r="J18356" t="s">
        <v>47128</v>
      </c>
      <c r="K18356" t="s">
        <v>47113</v>
      </c>
      <c r="L18356">
        <v>12.69</v>
      </c>
      <c r="M18356">
        <v>33</v>
      </c>
      <c r="N18356">
        <v>89</v>
      </c>
      <c r="O18356">
        <v>33</v>
      </c>
      <c r="P18356">
        <v>89</v>
      </c>
    </row>
    <row r="18357" spans="1:16" x14ac:dyDescent="0.25">
      <c r="A18357" t="s">
        <v>41030</v>
      </c>
      <c r="B18357" t="s">
        <v>41031</v>
      </c>
      <c r="C18357" t="s">
        <v>41032</v>
      </c>
      <c r="D18357" t="str">
        <f>"1001"</f>
        <v>1001</v>
      </c>
      <c r="E18357" t="s">
        <v>42</v>
      </c>
      <c r="F18357" t="s">
        <v>27965</v>
      </c>
      <c r="G18357" t="s">
        <v>47091</v>
      </c>
      <c r="H18357" t="s">
        <v>47055</v>
      </c>
      <c r="I18357" t="s">
        <v>47127</v>
      </c>
      <c r="J18357" t="s">
        <v>47128</v>
      </c>
      <c r="K18357" t="s">
        <v>47113</v>
      </c>
      <c r="L18357">
        <v>13.54</v>
      </c>
      <c r="M18357">
        <v>33</v>
      </c>
      <c r="N18357">
        <v>89</v>
      </c>
      <c r="O18357">
        <v>33</v>
      </c>
      <c r="P18357">
        <v>89</v>
      </c>
    </row>
    <row r="18358" spans="1:16" x14ac:dyDescent="0.25">
      <c r="A18358" t="s">
        <v>41033</v>
      </c>
      <c r="B18358" t="s">
        <v>41034</v>
      </c>
      <c r="C18358" t="s">
        <v>41035</v>
      </c>
      <c r="D18358" t="str">
        <f>"1001"</f>
        <v>1001</v>
      </c>
      <c r="E18358" t="s">
        <v>42</v>
      </c>
      <c r="F18358" t="s">
        <v>27965</v>
      </c>
      <c r="G18358" t="s">
        <v>47091</v>
      </c>
      <c r="H18358" t="s">
        <v>47055</v>
      </c>
      <c r="I18358" t="s">
        <v>47127</v>
      </c>
      <c r="J18358" t="s">
        <v>47128</v>
      </c>
      <c r="K18358" t="s">
        <v>47113</v>
      </c>
      <c r="L18358">
        <v>13.01</v>
      </c>
      <c r="M18358">
        <v>33</v>
      </c>
      <c r="N18358">
        <v>89</v>
      </c>
      <c r="O18358">
        <v>33</v>
      </c>
      <c r="P18358">
        <v>89</v>
      </c>
    </row>
    <row r="18359" spans="1:16" x14ac:dyDescent="0.25">
      <c r="A18359" t="s">
        <v>41036</v>
      </c>
      <c r="B18359" t="s">
        <v>41037</v>
      </c>
      <c r="C18359" t="s">
        <v>41038</v>
      </c>
      <c r="D18359" t="str">
        <f>"3501"</f>
        <v>3501</v>
      </c>
      <c r="E18359" t="s">
        <v>3758</v>
      </c>
      <c r="F18359" t="s">
        <v>27965</v>
      </c>
      <c r="G18359" t="s">
        <v>47091</v>
      </c>
      <c r="H18359" t="s">
        <v>47055</v>
      </c>
      <c r="I18359" t="s">
        <v>47127</v>
      </c>
      <c r="J18359" t="s">
        <v>47128</v>
      </c>
      <c r="K18359" t="s">
        <v>47113</v>
      </c>
      <c r="L18359">
        <v>10.51</v>
      </c>
      <c r="M18359">
        <v>26</v>
      </c>
      <c r="N18359">
        <v>69</v>
      </c>
      <c r="O18359">
        <v>26</v>
      </c>
      <c r="P18359">
        <v>69</v>
      </c>
    </row>
    <row r="18360" spans="1:16" x14ac:dyDescent="0.25">
      <c r="A18360" t="s">
        <v>41039</v>
      </c>
      <c r="B18360" t="s">
        <v>41037</v>
      </c>
      <c r="C18360" t="s">
        <v>41038</v>
      </c>
      <c r="D18360" t="str">
        <f>"4025"</f>
        <v>4025</v>
      </c>
      <c r="E18360" t="s">
        <v>24724</v>
      </c>
      <c r="F18360" t="s">
        <v>27965</v>
      </c>
      <c r="G18360" t="s">
        <v>47091</v>
      </c>
      <c r="H18360" t="s">
        <v>47055</v>
      </c>
      <c r="I18360" t="s">
        <v>47127</v>
      </c>
      <c r="J18360" t="s">
        <v>47128</v>
      </c>
      <c r="K18360" t="s">
        <v>47113</v>
      </c>
      <c r="L18360">
        <v>11.19</v>
      </c>
      <c r="M18360">
        <v>26</v>
      </c>
      <c r="N18360">
        <v>69</v>
      </c>
      <c r="O18360">
        <v>26</v>
      </c>
      <c r="P18360">
        <v>69</v>
      </c>
    </row>
    <row r="18361" spans="1:16" x14ac:dyDescent="0.25">
      <c r="A18361" t="s">
        <v>41040</v>
      </c>
      <c r="B18361" t="s">
        <v>41037</v>
      </c>
      <c r="C18361" t="s">
        <v>41038</v>
      </c>
      <c r="D18361" t="str">
        <f>"6500"</f>
        <v>6500</v>
      </c>
      <c r="E18361" t="s">
        <v>151</v>
      </c>
      <c r="F18361" t="s">
        <v>27965</v>
      </c>
      <c r="G18361" t="s">
        <v>47091</v>
      </c>
      <c r="H18361" t="s">
        <v>47055</v>
      </c>
      <c r="I18361" t="s">
        <v>47127</v>
      </c>
      <c r="J18361" t="s">
        <v>47128</v>
      </c>
      <c r="K18361" t="s">
        <v>47113</v>
      </c>
      <c r="L18361">
        <v>11.19</v>
      </c>
      <c r="M18361">
        <v>26</v>
      </c>
      <c r="N18361">
        <v>69</v>
      </c>
      <c r="O18361">
        <v>26</v>
      </c>
      <c r="P18361">
        <v>69</v>
      </c>
    </row>
    <row r="18362" spans="1:16" x14ac:dyDescent="0.25">
      <c r="A18362" t="s">
        <v>41041</v>
      </c>
      <c r="B18362" t="s">
        <v>41042</v>
      </c>
      <c r="C18362" t="s">
        <v>41043</v>
      </c>
      <c r="D18362" t="str">
        <f>"3501"</f>
        <v>3501</v>
      </c>
      <c r="E18362" t="s">
        <v>3758</v>
      </c>
      <c r="F18362" t="s">
        <v>27965</v>
      </c>
      <c r="G18362" t="s">
        <v>47091</v>
      </c>
      <c r="H18362" t="s">
        <v>47055</v>
      </c>
      <c r="I18362" t="s">
        <v>47127</v>
      </c>
      <c r="J18362" t="s">
        <v>47128</v>
      </c>
      <c r="K18362" t="s">
        <v>47113</v>
      </c>
      <c r="L18362">
        <v>13.57</v>
      </c>
      <c r="M18362">
        <v>26</v>
      </c>
      <c r="N18362">
        <v>69</v>
      </c>
      <c r="O18362">
        <v>26</v>
      </c>
      <c r="P18362">
        <v>69</v>
      </c>
    </row>
    <row r="18363" spans="1:16" x14ac:dyDescent="0.25">
      <c r="A18363" t="s">
        <v>41044</v>
      </c>
      <c r="B18363" t="s">
        <v>41042</v>
      </c>
      <c r="C18363" t="s">
        <v>41043</v>
      </c>
      <c r="D18363" t="str">
        <f>"4025"</f>
        <v>4025</v>
      </c>
      <c r="E18363" t="s">
        <v>24724</v>
      </c>
      <c r="F18363" t="s">
        <v>27965</v>
      </c>
      <c r="G18363" t="s">
        <v>47091</v>
      </c>
      <c r="H18363" t="s">
        <v>47055</v>
      </c>
      <c r="I18363" t="s">
        <v>47127</v>
      </c>
      <c r="J18363" t="s">
        <v>47128</v>
      </c>
      <c r="K18363" t="s">
        <v>47113</v>
      </c>
      <c r="L18363">
        <v>13.75</v>
      </c>
      <c r="M18363">
        <v>26</v>
      </c>
      <c r="N18363">
        <v>69</v>
      </c>
      <c r="O18363">
        <v>26</v>
      </c>
      <c r="P18363">
        <v>69</v>
      </c>
    </row>
    <row r="18364" spans="1:16" x14ac:dyDescent="0.25">
      <c r="A18364" t="s">
        <v>41045</v>
      </c>
      <c r="B18364" t="s">
        <v>41042</v>
      </c>
      <c r="C18364" t="s">
        <v>41043</v>
      </c>
      <c r="D18364" t="str">
        <f>"6500"</f>
        <v>6500</v>
      </c>
      <c r="E18364" t="s">
        <v>151</v>
      </c>
      <c r="F18364" t="s">
        <v>27965</v>
      </c>
      <c r="G18364" t="s">
        <v>47091</v>
      </c>
      <c r="H18364" t="s">
        <v>47055</v>
      </c>
      <c r="I18364" t="s">
        <v>47127</v>
      </c>
      <c r="J18364" t="s">
        <v>47128</v>
      </c>
      <c r="K18364" t="s">
        <v>47113</v>
      </c>
      <c r="L18364">
        <v>13.75</v>
      </c>
      <c r="M18364">
        <v>26</v>
      </c>
      <c r="N18364">
        <v>69</v>
      </c>
      <c r="O18364">
        <v>26</v>
      </c>
      <c r="P18364">
        <v>69</v>
      </c>
    </row>
    <row r="18365" spans="1:16" x14ac:dyDescent="0.25">
      <c r="A18365" t="s">
        <v>41046</v>
      </c>
      <c r="B18365" t="s">
        <v>41047</v>
      </c>
      <c r="C18365" t="s">
        <v>41048</v>
      </c>
      <c r="D18365" t="str">
        <f>"3501"</f>
        <v>3501</v>
      </c>
      <c r="E18365" t="s">
        <v>3758</v>
      </c>
      <c r="F18365" t="s">
        <v>27965</v>
      </c>
      <c r="G18365" t="s">
        <v>47091</v>
      </c>
      <c r="H18365" t="s">
        <v>47055</v>
      </c>
      <c r="I18365" t="s">
        <v>47127</v>
      </c>
      <c r="J18365" t="s">
        <v>47128</v>
      </c>
      <c r="K18365" t="s">
        <v>47113</v>
      </c>
      <c r="L18365">
        <v>13.75</v>
      </c>
      <c r="M18365">
        <v>33</v>
      </c>
      <c r="N18365">
        <v>89</v>
      </c>
      <c r="O18365">
        <v>33</v>
      </c>
      <c r="P18365">
        <v>89</v>
      </c>
    </row>
    <row r="18366" spans="1:16" x14ac:dyDescent="0.25">
      <c r="A18366" t="s">
        <v>41049</v>
      </c>
      <c r="B18366" t="s">
        <v>41047</v>
      </c>
      <c r="C18366" t="s">
        <v>41048</v>
      </c>
      <c r="D18366" t="str">
        <f>"4025"</f>
        <v>4025</v>
      </c>
      <c r="E18366" t="s">
        <v>24724</v>
      </c>
      <c r="F18366" t="s">
        <v>27965</v>
      </c>
      <c r="G18366" t="s">
        <v>47091</v>
      </c>
      <c r="H18366" t="s">
        <v>47055</v>
      </c>
      <c r="I18366" t="s">
        <v>47127</v>
      </c>
      <c r="J18366" t="s">
        <v>47128</v>
      </c>
      <c r="K18366" t="s">
        <v>47113</v>
      </c>
      <c r="L18366">
        <v>13.75</v>
      </c>
      <c r="M18366">
        <v>33</v>
      </c>
      <c r="N18366">
        <v>89</v>
      </c>
      <c r="O18366">
        <v>33</v>
      </c>
      <c r="P18366">
        <v>89</v>
      </c>
    </row>
    <row r="18367" spans="1:16" x14ac:dyDescent="0.25">
      <c r="A18367" t="s">
        <v>41050</v>
      </c>
      <c r="B18367" t="s">
        <v>41047</v>
      </c>
      <c r="C18367" t="s">
        <v>41048</v>
      </c>
      <c r="D18367" t="str">
        <f>"6500"</f>
        <v>6500</v>
      </c>
      <c r="E18367" t="s">
        <v>151</v>
      </c>
      <c r="F18367" t="s">
        <v>27965</v>
      </c>
      <c r="G18367" t="s">
        <v>47091</v>
      </c>
      <c r="H18367" t="s">
        <v>47055</v>
      </c>
      <c r="I18367" t="s">
        <v>47127</v>
      </c>
      <c r="J18367" t="s">
        <v>47128</v>
      </c>
      <c r="K18367" t="s">
        <v>47113</v>
      </c>
      <c r="L18367">
        <v>13.75</v>
      </c>
      <c r="M18367">
        <v>33</v>
      </c>
      <c r="N18367">
        <v>89</v>
      </c>
      <c r="O18367">
        <v>33</v>
      </c>
      <c r="P18367">
        <v>89</v>
      </c>
    </row>
    <row r="18368" spans="1:16" x14ac:dyDescent="0.25">
      <c r="A18368" t="s">
        <v>41051</v>
      </c>
      <c r="B18368" t="s">
        <v>41052</v>
      </c>
      <c r="C18368" t="s">
        <v>28194</v>
      </c>
      <c r="D18368" t="str">
        <f>"3501"</f>
        <v>3501</v>
      </c>
      <c r="E18368" t="s">
        <v>3758</v>
      </c>
      <c r="F18368" t="s">
        <v>27965</v>
      </c>
      <c r="G18368" t="s">
        <v>47091</v>
      </c>
      <c r="H18368" t="s">
        <v>47055</v>
      </c>
      <c r="I18368" t="s">
        <v>47127</v>
      </c>
      <c r="J18368" t="s">
        <v>47128</v>
      </c>
      <c r="K18368" t="s">
        <v>47113</v>
      </c>
      <c r="L18368">
        <v>12.69</v>
      </c>
      <c r="M18368">
        <v>33</v>
      </c>
      <c r="N18368">
        <v>89</v>
      </c>
      <c r="O18368">
        <v>33</v>
      </c>
      <c r="P18368">
        <v>89</v>
      </c>
    </row>
    <row r="18369" spans="1:16" x14ac:dyDescent="0.25">
      <c r="A18369" t="s">
        <v>41053</v>
      </c>
      <c r="B18369" t="s">
        <v>41052</v>
      </c>
      <c r="C18369" t="s">
        <v>28194</v>
      </c>
      <c r="D18369" t="str">
        <f>"4025"</f>
        <v>4025</v>
      </c>
      <c r="E18369" t="s">
        <v>24724</v>
      </c>
      <c r="F18369" t="s">
        <v>27965</v>
      </c>
      <c r="G18369" t="s">
        <v>47091</v>
      </c>
      <c r="H18369" t="s">
        <v>47055</v>
      </c>
      <c r="I18369" t="s">
        <v>47127</v>
      </c>
      <c r="J18369" t="s">
        <v>47128</v>
      </c>
      <c r="K18369" t="s">
        <v>47113</v>
      </c>
      <c r="L18369">
        <v>12.69</v>
      </c>
      <c r="M18369">
        <v>33</v>
      </c>
      <c r="N18369">
        <v>89</v>
      </c>
      <c r="O18369">
        <v>33</v>
      </c>
      <c r="P18369">
        <v>89</v>
      </c>
    </row>
    <row r="18370" spans="1:16" x14ac:dyDescent="0.25">
      <c r="A18370" t="s">
        <v>41054</v>
      </c>
      <c r="B18370" t="s">
        <v>41052</v>
      </c>
      <c r="C18370" t="s">
        <v>28194</v>
      </c>
      <c r="D18370" t="str">
        <f>"6500"</f>
        <v>6500</v>
      </c>
      <c r="E18370" t="s">
        <v>151</v>
      </c>
      <c r="F18370" t="s">
        <v>27965</v>
      </c>
      <c r="G18370" t="s">
        <v>47091</v>
      </c>
      <c r="H18370" t="s">
        <v>47055</v>
      </c>
      <c r="I18370" t="s">
        <v>47127</v>
      </c>
      <c r="J18370" t="s">
        <v>47128</v>
      </c>
      <c r="K18370" t="s">
        <v>47113</v>
      </c>
      <c r="L18370">
        <v>12.69</v>
      </c>
      <c r="M18370">
        <v>33</v>
      </c>
      <c r="N18370">
        <v>89</v>
      </c>
      <c r="O18370">
        <v>33</v>
      </c>
      <c r="P18370">
        <v>89</v>
      </c>
    </row>
    <row r="18371" spans="1:16" x14ac:dyDescent="0.25">
      <c r="A18371" t="s">
        <v>41055</v>
      </c>
      <c r="B18371" t="s">
        <v>41056</v>
      </c>
      <c r="C18371" t="s">
        <v>41057</v>
      </c>
      <c r="D18371" t="str">
        <f>"3501"</f>
        <v>3501</v>
      </c>
      <c r="E18371" t="s">
        <v>3758</v>
      </c>
      <c r="F18371" t="s">
        <v>27965</v>
      </c>
      <c r="G18371" t="s">
        <v>47092</v>
      </c>
      <c r="H18371" t="s">
        <v>47055</v>
      </c>
      <c r="I18371" t="s">
        <v>47127</v>
      </c>
      <c r="J18371" t="s">
        <v>47128</v>
      </c>
      <c r="K18371" t="s">
        <v>47113</v>
      </c>
      <c r="L18371">
        <v>10.130000000000001</v>
      </c>
      <c r="M18371">
        <v>22</v>
      </c>
      <c r="N18371">
        <v>59</v>
      </c>
      <c r="O18371">
        <v>22</v>
      </c>
      <c r="P18371">
        <v>59</v>
      </c>
    </row>
    <row r="18372" spans="1:16" x14ac:dyDescent="0.25">
      <c r="A18372" t="s">
        <v>41058</v>
      </c>
      <c r="B18372" t="s">
        <v>41056</v>
      </c>
      <c r="C18372" t="s">
        <v>41057</v>
      </c>
      <c r="D18372" t="str">
        <f>"4025"</f>
        <v>4025</v>
      </c>
      <c r="E18372" t="s">
        <v>24724</v>
      </c>
      <c r="F18372" t="s">
        <v>27965</v>
      </c>
      <c r="G18372" t="s">
        <v>47092</v>
      </c>
      <c r="H18372" t="s">
        <v>47055</v>
      </c>
      <c r="I18372" t="s">
        <v>47127</v>
      </c>
      <c r="J18372" t="s">
        <v>47128</v>
      </c>
      <c r="K18372" t="s">
        <v>47113</v>
      </c>
      <c r="L18372">
        <v>10.130000000000001</v>
      </c>
      <c r="M18372">
        <v>22</v>
      </c>
      <c r="N18372">
        <v>59</v>
      </c>
      <c r="O18372">
        <v>22</v>
      </c>
      <c r="P18372">
        <v>59</v>
      </c>
    </row>
    <row r="18373" spans="1:16" x14ac:dyDescent="0.25">
      <c r="A18373" t="s">
        <v>41059</v>
      </c>
      <c r="B18373" t="s">
        <v>41056</v>
      </c>
      <c r="C18373" t="s">
        <v>41057</v>
      </c>
      <c r="D18373" t="str">
        <f>"6500"</f>
        <v>6500</v>
      </c>
      <c r="E18373" t="s">
        <v>151</v>
      </c>
      <c r="F18373" t="s">
        <v>27965</v>
      </c>
      <c r="G18373" t="s">
        <v>47092</v>
      </c>
      <c r="H18373" t="s">
        <v>47055</v>
      </c>
      <c r="I18373" t="s">
        <v>47127</v>
      </c>
      <c r="J18373" t="s">
        <v>47128</v>
      </c>
      <c r="K18373" t="s">
        <v>47113</v>
      </c>
      <c r="L18373">
        <v>10.130000000000001</v>
      </c>
      <c r="M18373">
        <v>22</v>
      </c>
      <c r="N18373">
        <v>59</v>
      </c>
      <c r="O18373">
        <v>22</v>
      </c>
      <c r="P18373">
        <v>59</v>
      </c>
    </row>
    <row r="18374" spans="1:16" x14ac:dyDescent="0.25">
      <c r="A18374" t="s">
        <v>41060</v>
      </c>
      <c r="B18374" t="s">
        <v>41061</v>
      </c>
      <c r="C18374" t="s">
        <v>41062</v>
      </c>
      <c r="D18374" t="str">
        <f>"4400"</f>
        <v>4400</v>
      </c>
      <c r="E18374" t="s">
        <v>154</v>
      </c>
      <c r="F18374" t="s">
        <v>27965</v>
      </c>
      <c r="G18374" t="s">
        <v>47091</v>
      </c>
      <c r="H18374" t="s">
        <v>47055</v>
      </c>
      <c r="I18374" t="s">
        <v>47120</v>
      </c>
      <c r="J18374" t="s">
        <v>47121</v>
      </c>
      <c r="K18374" t="s">
        <v>47113</v>
      </c>
      <c r="L18374">
        <v>21.56</v>
      </c>
      <c r="M18374">
        <v>55</v>
      </c>
      <c r="N18374">
        <v>149</v>
      </c>
      <c r="O18374">
        <v>55</v>
      </c>
      <c r="P18374">
        <v>149</v>
      </c>
    </row>
    <row r="18375" spans="1:16" x14ac:dyDescent="0.25">
      <c r="A18375" t="s">
        <v>49213</v>
      </c>
      <c r="B18375" t="s">
        <v>41064</v>
      </c>
      <c r="C18375" t="s">
        <v>41065</v>
      </c>
      <c r="D18375" t="str">
        <f>"1100"</f>
        <v>1100</v>
      </c>
      <c r="E18375" t="s">
        <v>54</v>
      </c>
      <c r="F18375" t="s">
        <v>27965</v>
      </c>
      <c r="G18375" t="s">
        <v>47091</v>
      </c>
      <c r="H18375" t="s">
        <v>47055</v>
      </c>
      <c r="I18375" t="s">
        <v>47127</v>
      </c>
      <c r="J18375" t="s">
        <v>47128</v>
      </c>
      <c r="K18375" t="s">
        <v>47113</v>
      </c>
      <c r="L18375">
        <v>12.47</v>
      </c>
      <c r="M18375">
        <v>26</v>
      </c>
      <c r="N18375">
        <v>69</v>
      </c>
      <c r="O18375">
        <v>26</v>
      </c>
      <c r="P18375">
        <v>69</v>
      </c>
    </row>
    <row r="18376" spans="1:16" x14ac:dyDescent="0.25">
      <c r="A18376" t="s">
        <v>41063</v>
      </c>
      <c r="B18376" t="s">
        <v>41064</v>
      </c>
      <c r="C18376" t="s">
        <v>41065</v>
      </c>
      <c r="D18376" t="str">
        <f>"1377"</f>
        <v>1377</v>
      </c>
      <c r="E18376" t="s">
        <v>74</v>
      </c>
      <c r="F18376" t="s">
        <v>27965</v>
      </c>
      <c r="G18376" t="s">
        <v>47091</v>
      </c>
      <c r="H18376" t="s">
        <v>47055</v>
      </c>
      <c r="I18376" t="s">
        <v>47127</v>
      </c>
      <c r="J18376" t="s">
        <v>47128</v>
      </c>
      <c r="K18376" t="s">
        <v>47113</v>
      </c>
      <c r="L18376">
        <v>12.47</v>
      </c>
      <c r="M18376">
        <v>26</v>
      </c>
      <c r="N18376">
        <v>69</v>
      </c>
      <c r="O18376">
        <v>26</v>
      </c>
      <c r="P18376">
        <v>69</v>
      </c>
    </row>
    <row r="18377" spans="1:16" x14ac:dyDescent="0.25">
      <c r="A18377" t="s">
        <v>41066</v>
      </c>
      <c r="B18377" t="s">
        <v>41064</v>
      </c>
      <c r="C18377" t="s">
        <v>41065</v>
      </c>
      <c r="D18377" t="str">
        <f>"1378"</f>
        <v>1378</v>
      </c>
      <c r="E18377" t="s">
        <v>388</v>
      </c>
      <c r="F18377" t="s">
        <v>27965</v>
      </c>
      <c r="G18377" t="s">
        <v>47091</v>
      </c>
      <c r="H18377" t="s">
        <v>47055</v>
      </c>
      <c r="I18377" t="s">
        <v>47127</v>
      </c>
      <c r="J18377" t="s">
        <v>47128</v>
      </c>
      <c r="K18377" t="s">
        <v>47113</v>
      </c>
      <c r="L18377">
        <v>12.47</v>
      </c>
      <c r="M18377">
        <v>26</v>
      </c>
      <c r="N18377">
        <v>69</v>
      </c>
      <c r="O18377">
        <v>26</v>
      </c>
      <c r="P18377">
        <v>69</v>
      </c>
    </row>
    <row r="18378" spans="1:16" x14ac:dyDescent="0.25">
      <c r="A18378" t="s">
        <v>41067</v>
      </c>
      <c r="B18378" t="s">
        <v>41064</v>
      </c>
      <c r="C18378" t="s">
        <v>41065</v>
      </c>
      <c r="D18378" t="str">
        <f>"1700"</f>
        <v>1700</v>
      </c>
      <c r="E18378" t="s">
        <v>60</v>
      </c>
      <c r="F18378" t="s">
        <v>27965</v>
      </c>
      <c r="G18378" t="s">
        <v>47091</v>
      </c>
      <c r="H18378" t="s">
        <v>47055</v>
      </c>
      <c r="I18378" t="s">
        <v>47127</v>
      </c>
      <c r="J18378" t="s">
        <v>47128</v>
      </c>
      <c r="K18378" t="s">
        <v>47113</v>
      </c>
      <c r="L18378">
        <v>12.47</v>
      </c>
      <c r="M18378">
        <v>26</v>
      </c>
      <c r="N18378">
        <v>69</v>
      </c>
      <c r="O18378">
        <v>26</v>
      </c>
      <c r="P18378">
        <v>69</v>
      </c>
    </row>
    <row r="18379" spans="1:16" x14ac:dyDescent="0.25">
      <c r="A18379" t="s">
        <v>41068</v>
      </c>
      <c r="B18379" t="s">
        <v>41064</v>
      </c>
      <c r="C18379" t="s">
        <v>41065</v>
      </c>
      <c r="D18379" t="str">
        <f>"3081"</f>
        <v>3081</v>
      </c>
      <c r="E18379" t="s">
        <v>28008</v>
      </c>
      <c r="F18379" t="s">
        <v>27965</v>
      </c>
      <c r="G18379" t="s">
        <v>47091</v>
      </c>
      <c r="H18379" t="s">
        <v>47055</v>
      </c>
      <c r="I18379" t="s">
        <v>47127</v>
      </c>
      <c r="J18379" t="s">
        <v>47128</v>
      </c>
      <c r="K18379" t="s">
        <v>47113</v>
      </c>
      <c r="L18379">
        <v>12.47</v>
      </c>
      <c r="M18379">
        <v>26</v>
      </c>
      <c r="N18379">
        <v>69</v>
      </c>
      <c r="O18379">
        <v>26</v>
      </c>
      <c r="P18379">
        <v>69</v>
      </c>
    </row>
    <row r="18380" spans="1:16" x14ac:dyDescent="0.25">
      <c r="A18380" t="s">
        <v>41069</v>
      </c>
      <c r="B18380" t="s">
        <v>41064</v>
      </c>
      <c r="C18380" t="s">
        <v>41065</v>
      </c>
      <c r="D18380" t="str">
        <f>"4677"</f>
        <v>4677</v>
      </c>
      <c r="E18380" t="s">
        <v>9288</v>
      </c>
      <c r="F18380" t="s">
        <v>27965</v>
      </c>
      <c r="G18380" t="s">
        <v>47091</v>
      </c>
      <c r="H18380" t="s">
        <v>47055</v>
      </c>
      <c r="I18380" t="s">
        <v>47127</v>
      </c>
      <c r="J18380" t="s">
        <v>47128</v>
      </c>
      <c r="K18380" t="s">
        <v>47113</v>
      </c>
      <c r="L18380">
        <v>12.47</v>
      </c>
      <c r="M18380">
        <v>26</v>
      </c>
      <c r="N18380">
        <v>69</v>
      </c>
      <c r="O18380">
        <v>26</v>
      </c>
      <c r="P18380">
        <v>69</v>
      </c>
    </row>
    <row r="18381" spans="1:16" x14ac:dyDescent="0.25">
      <c r="A18381" t="s">
        <v>41070</v>
      </c>
      <c r="B18381" t="s">
        <v>41064</v>
      </c>
      <c r="C18381" t="s">
        <v>41065</v>
      </c>
      <c r="D18381" t="str">
        <f>"6092"</f>
        <v>6092</v>
      </c>
      <c r="E18381" t="s">
        <v>28002</v>
      </c>
      <c r="F18381" t="s">
        <v>27965</v>
      </c>
      <c r="G18381" t="s">
        <v>47091</v>
      </c>
      <c r="H18381" t="s">
        <v>47055</v>
      </c>
      <c r="I18381" t="s">
        <v>47127</v>
      </c>
      <c r="J18381" t="s">
        <v>47128</v>
      </c>
      <c r="K18381" t="s">
        <v>47113</v>
      </c>
      <c r="L18381">
        <v>12.47</v>
      </c>
      <c r="M18381">
        <v>26</v>
      </c>
      <c r="N18381">
        <v>69</v>
      </c>
      <c r="O18381">
        <v>26</v>
      </c>
      <c r="P18381">
        <v>69</v>
      </c>
    </row>
    <row r="18382" spans="1:16" x14ac:dyDescent="0.25">
      <c r="A18382" t="s">
        <v>41071</v>
      </c>
      <c r="B18382" t="s">
        <v>41064</v>
      </c>
      <c r="C18382" t="s">
        <v>41065</v>
      </c>
      <c r="D18382" t="str">
        <f>"6500"</f>
        <v>6500</v>
      </c>
      <c r="E18382" t="s">
        <v>151</v>
      </c>
      <c r="F18382" t="s">
        <v>27965</v>
      </c>
      <c r="G18382" t="s">
        <v>47091</v>
      </c>
      <c r="H18382" t="s">
        <v>47055</v>
      </c>
      <c r="I18382" t="s">
        <v>47127</v>
      </c>
      <c r="J18382" t="s">
        <v>47128</v>
      </c>
      <c r="K18382" t="s">
        <v>47113</v>
      </c>
      <c r="L18382">
        <v>12.47</v>
      </c>
      <c r="M18382">
        <v>26</v>
      </c>
      <c r="N18382">
        <v>69</v>
      </c>
      <c r="O18382">
        <v>26</v>
      </c>
      <c r="P18382">
        <v>69</v>
      </c>
    </row>
    <row r="18383" spans="1:16" x14ac:dyDescent="0.25">
      <c r="A18383" t="s">
        <v>41072</v>
      </c>
      <c r="B18383" t="s">
        <v>41073</v>
      </c>
      <c r="C18383" t="s">
        <v>41074</v>
      </c>
      <c r="D18383" t="str">
        <f>"1001"</f>
        <v>1001</v>
      </c>
      <c r="E18383" t="s">
        <v>42</v>
      </c>
      <c r="F18383" t="s">
        <v>27965</v>
      </c>
      <c r="G18383" t="s">
        <v>47091</v>
      </c>
      <c r="H18383" t="s">
        <v>47055</v>
      </c>
      <c r="I18383" t="s">
        <v>47127</v>
      </c>
      <c r="J18383" t="s">
        <v>47128</v>
      </c>
      <c r="K18383" t="s">
        <v>47113</v>
      </c>
      <c r="L18383">
        <v>12.26</v>
      </c>
      <c r="M18383">
        <v>33</v>
      </c>
      <c r="N18383">
        <v>89</v>
      </c>
      <c r="O18383">
        <v>33</v>
      </c>
      <c r="P18383">
        <v>89</v>
      </c>
    </row>
    <row r="18384" spans="1:16" x14ac:dyDescent="0.25">
      <c r="A18384" t="s">
        <v>41075</v>
      </c>
      <c r="B18384" t="s">
        <v>41073</v>
      </c>
      <c r="C18384" t="s">
        <v>41074</v>
      </c>
      <c r="D18384" t="str">
        <f>"3081"</f>
        <v>3081</v>
      </c>
      <c r="E18384" t="s">
        <v>28008</v>
      </c>
      <c r="F18384" t="s">
        <v>27965</v>
      </c>
      <c r="G18384" t="s">
        <v>47091</v>
      </c>
      <c r="H18384" t="s">
        <v>47055</v>
      </c>
      <c r="I18384" t="s">
        <v>47127</v>
      </c>
      <c r="J18384" t="s">
        <v>47128</v>
      </c>
      <c r="K18384" t="s">
        <v>47113</v>
      </c>
      <c r="L18384">
        <v>12.26</v>
      </c>
      <c r="M18384">
        <v>33</v>
      </c>
      <c r="N18384">
        <v>89</v>
      </c>
      <c r="O18384">
        <v>33</v>
      </c>
      <c r="P18384">
        <v>89</v>
      </c>
    </row>
    <row r="18385" spans="1:16" x14ac:dyDescent="0.25">
      <c r="A18385" t="s">
        <v>41076</v>
      </c>
      <c r="B18385" t="s">
        <v>41073</v>
      </c>
      <c r="C18385" t="s">
        <v>41074</v>
      </c>
      <c r="D18385" t="str">
        <f>"4025"</f>
        <v>4025</v>
      </c>
      <c r="E18385" t="s">
        <v>24724</v>
      </c>
      <c r="F18385" t="s">
        <v>27965</v>
      </c>
      <c r="G18385" t="s">
        <v>47091</v>
      </c>
      <c r="H18385" t="s">
        <v>47055</v>
      </c>
      <c r="I18385" t="s">
        <v>47127</v>
      </c>
      <c r="J18385" t="s">
        <v>47128</v>
      </c>
      <c r="K18385" t="s">
        <v>47113</v>
      </c>
      <c r="L18385">
        <v>12.26</v>
      </c>
      <c r="M18385">
        <v>33</v>
      </c>
      <c r="N18385">
        <v>89</v>
      </c>
      <c r="O18385">
        <v>33</v>
      </c>
      <c r="P18385">
        <v>89</v>
      </c>
    </row>
    <row r="18386" spans="1:16" x14ac:dyDescent="0.25">
      <c r="A18386" t="s">
        <v>41077</v>
      </c>
      <c r="B18386" t="s">
        <v>41073</v>
      </c>
      <c r="C18386" t="s">
        <v>41074</v>
      </c>
      <c r="D18386" t="str">
        <f>"6500"</f>
        <v>6500</v>
      </c>
      <c r="E18386" t="s">
        <v>151</v>
      </c>
      <c r="F18386" t="s">
        <v>27965</v>
      </c>
      <c r="G18386" t="s">
        <v>47091</v>
      </c>
      <c r="H18386" t="s">
        <v>47055</v>
      </c>
      <c r="I18386" t="s">
        <v>47127</v>
      </c>
      <c r="J18386" t="s">
        <v>47128</v>
      </c>
      <c r="K18386" t="s">
        <v>47113</v>
      </c>
      <c r="L18386">
        <v>12.26</v>
      </c>
      <c r="M18386">
        <v>33</v>
      </c>
      <c r="N18386">
        <v>89</v>
      </c>
      <c r="O18386">
        <v>33</v>
      </c>
      <c r="P18386">
        <v>89</v>
      </c>
    </row>
    <row r="18387" spans="1:16" x14ac:dyDescent="0.25">
      <c r="A18387" t="s">
        <v>41078</v>
      </c>
      <c r="B18387" t="s">
        <v>41079</v>
      </c>
      <c r="C18387" t="s">
        <v>41080</v>
      </c>
      <c r="D18387" t="str">
        <f>"1001"</f>
        <v>1001</v>
      </c>
      <c r="E18387" t="s">
        <v>42</v>
      </c>
      <c r="F18387" t="s">
        <v>27965</v>
      </c>
      <c r="G18387" t="s">
        <v>49030</v>
      </c>
      <c r="H18387" t="s">
        <v>47055</v>
      </c>
      <c r="I18387" t="s">
        <v>47120</v>
      </c>
      <c r="J18387" t="s">
        <v>47121</v>
      </c>
      <c r="K18387" t="s">
        <v>47113</v>
      </c>
      <c r="L18387">
        <v>83.35</v>
      </c>
      <c r="M18387">
        <v>185</v>
      </c>
      <c r="N18387">
        <v>499</v>
      </c>
      <c r="O18387">
        <v>185</v>
      </c>
      <c r="P18387">
        <v>499</v>
      </c>
    </row>
    <row r="18388" spans="1:16" x14ac:dyDescent="0.25">
      <c r="A18388" t="s">
        <v>41081</v>
      </c>
      <c r="B18388" t="s">
        <v>41082</v>
      </c>
      <c r="C18388" t="s">
        <v>41083</v>
      </c>
      <c r="D18388" t="str">
        <f>"1001"</f>
        <v>1001</v>
      </c>
      <c r="E18388" t="s">
        <v>42</v>
      </c>
      <c r="F18388" t="s">
        <v>27965</v>
      </c>
      <c r="G18388" t="s">
        <v>47098</v>
      </c>
      <c r="H18388" t="s">
        <v>47055</v>
      </c>
      <c r="I18388" t="s">
        <v>47120</v>
      </c>
      <c r="J18388" t="s">
        <v>47121</v>
      </c>
      <c r="K18388" t="s">
        <v>47113</v>
      </c>
      <c r="L18388">
        <v>133.30000000000001</v>
      </c>
      <c r="M18388">
        <v>296</v>
      </c>
      <c r="N18388">
        <v>799</v>
      </c>
      <c r="O18388">
        <v>296</v>
      </c>
      <c r="P18388">
        <v>799</v>
      </c>
    </row>
    <row r="18389" spans="1:16" x14ac:dyDescent="0.25">
      <c r="A18389" t="s">
        <v>41084</v>
      </c>
      <c r="B18389" t="s">
        <v>41082</v>
      </c>
      <c r="C18389" t="s">
        <v>41083</v>
      </c>
      <c r="D18389" t="str">
        <f>"6092"</f>
        <v>6092</v>
      </c>
      <c r="E18389" t="s">
        <v>28002</v>
      </c>
      <c r="F18389" t="s">
        <v>27965</v>
      </c>
      <c r="G18389" t="s">
        <v>47098</v>
      </c>
      <c r="H18389" t="s">
        <v>47055</v>
      </c>
      <c r="I18389" t="s">
        <v>47120</v>
      </c>
      <c r="J18389" t="s">
        <v>47121</v>
      </c>
      <c r="K18389" t="s">
        <v>47113</v>
      </c>
      <c r="L18389">
        <v>133.30000000000001</v>
      </c>
      <c r="M18389">
        <v>296</v>
      </c>
      <c r="N18389">
        <v>799</v>
      </c>
      <c r="O18389">
        <v>296</v>
      </c>
      <c r="P18389">
        <v>799</v>
      </c>
    </row>
    <row r="18390" spans="1:16" x14ac:dyDescent="0.25">
      <c r="A18390" t="s">
        <v>41085</v>
      </c>
      <c r="B18390" t="s">
        <v>41082</v>
      </c>
      <c r="C18390" t="s">
        <v>41083</v>
      </c>
      <c r="D18390" t="str">
        <f>"6247"</f>
        <v>6247</v>
      </c>
      <c r="E18390" t="s">
        <v>28089</v>
      </c>
      <c r="F18390" t="s">
        <v>27965</v>
      </c>
      <c r="G18390" t="s">
        <v>47098</v>
      </c>
      <c r="H18390" t="s">
        <v>47055</v>
      </c>
      <c r="I18390" t="s">
        <v>47120</v>
      </c>
      <c r="J18390" t="s">
        <v>47121</v>
      </c>
      <c r="K18390" t="s">
        <v>47113</v>
      </c>
      <c r="L18390">
        <v>133.30000000000001</v>
      </c>
      <c r="M18390">
        <v>296</v>
      </c>
      <c r="N18390">
        <v>799</v>
      </c>
      <c r="O18390">
        <v>296</v>
      </c>
      <c r="P18390">
        <v>799</v>
      </c>
    </row>
    <row r="18391" spans="1:16" x14ac:dyDescent="0.25">
      <c r="A18391" t="s">
        <v>41086</v>
      </c>
      <c r="B18391" t="s">
        <v>41087</v>
      </c>
      <c r="C18391" t="s">
        <v>41088</v>
      </c>
      <c r="D18391" t="str">
        <f>"1001"</f>
        <v>1001</v>
      </c>
      <c r="E18391" t="s">
        <v>42</v>
      </c>
      <c r="F18391" t="s">
        <v>27965</v>
      </c>
      <c r="G18391" t="s">
        <v>47098</v>
      </c>
      <c r="H18391" t="s">
        <v>47055</v>
      </c>
      <c r="I18391" t="s">
        <v>47120</v>
      </c>
      <c r="J18391" t="s">
        <v>47121</v>
      </c>
      <c r="K18391" t="s">
        <v>47113</v>
      </c>
      <c r="L18391">
        <v>118.92</v>
      </c>
      <c r="M18391">
        <v>259</v>
      </c>
      <c r="N18391">
        <v>699</v>
      </c>
      <c r="O18391">
        <v>259</v>
      </c>
      <c r="P18391">
        <v>699</v>
      </c>
    </row>
    <row r="18392" spans="1:16" x14ac:dyDescent="0.25">
      <c r="A18392" t="s">
        <v>49214</v>
      </c>
      <c r="B18392" t="s">
        <v>49215</v>
      </c>
      <c r="C18392" t="s">
        <v>49216</v>
      </c>
      <c r="D18392" t="str">
        <f>"1700"</f>
        <v>1700</v>
      </c>
      <c r="E18392" t="s">
        <v>60</v>
      </c>
      <c r="F18392" t="s">
        <v>47325</v>
      </c>
      <c r="G18392" t="s">
        <v>47091</v>
      </c>
      <c r="H18392" t="s">
        <v>47055</v>
      </c>
      <c r="I18392" t="s">
        <v>47120</v>
      </c>
      <c r="J18392" t="s">
        <v>47121</v>
      </c>
      <c r="K18392" t="s">
        <v>47113</v>
      </c>
      <c r="L18392">
        <v>42.22</v>
      </c>
      <c r="M18392">
        <v>85</v>
      </c>
      <c r="N18392">
        <v>229</v>
      </c>
      <c r="O18392">
        <v>85</v>
      </c>
      <c r="P18392">
        <v>229</v>
      </c>
    </row>
    <row r="18393" spans="1:16" x14ac:dyDescent="0.25">
      <c r="A18393" t="s">
        <v>49217</v>
      </c>
      <c r="B18393" t="s">
        <v>49218</v>
      </c>
      <c r="C18393" t="s">
        <v>49219</v>
      </c>
      <c r="D18393" t="str">
        <f>"4646"</f>
        <v>4646</v>
      </c>
      <c r="E18393" t="s">
        <v>9741</v>
      </c>
      <c r="F18393" t="s">
        <v>47325</v>
      </c>
      <c r="G18393" t="s">
        <v>47091</v>
      </c>
      <c r="H18393" t="s">
        <v>47055</v>
      </c>
      <c r="I18393" t="s">
        <v>47120</v>
      </c>
      <c r="J18393" t="s">
        <v>47121</v>
      </c>
      <c r="K18393" t="s">
        <v>47113</v>
      </c>
      <c r="L18393">
        <v>33.57</v>
      </c>
      <c r="M18393">
        <v>70</v>
      </c>
      <c r="N18393">
        <v>189</v>
      </c>
      <c r="O18393">
        <v>70</v>
      </c>
      <c r="P18393">
        <v>189</v>
      </c>
    </row>
    <row r="18394" spans="1:16" x14ac:dyDescent="0.25">
      <c r="A18394" t="s">
        <v>49220</v>
      </c>
      <c r="B18394" t="s">
        <v>49221</v>
      </c>
      <c r="C18394" t="s">
        <v>49222</v>
      </c>
      <c r="D18394" t="str">
        <f>"1001"</f>
        <v>1001</v>
      </c>
      <c r="E18394" t="s">
        <v>42</v>
      </c>
      <c r="F18394" t="s">
        <v>47325</v>
      </c>
      <c r="G18394" t="s">
        <v>47091</v>
      </c>
      <c r="H18394" t="s">
        <v>47055</v>
      </c>
      <c r="I18394" t="s">
        <v>47120</v>
      </c>
      <c r="J18394" t="s">
        <v>47121</v>
      </c>
      <c r="K18394" t="s">
        <v>47113</v>
      </c>
      <c r="L18394">
        <v>39.869999999999997</v>
      </c>
      <c r="M18394">
        <v>81</v>
      </c>
      <c r="N18394">
        <v>219</v>
      </c>
      <c r="O18394">
        <v>81</v>
      </c>
      <c r="P18394">
        <v>219</v>
      </c>
    </row>
    <row r="18395" spans="1:16" x14ac:dyDescent="0.25">
      <c r="A18395" t="s">
        <v>49223</v>
      </c>
      <c r="B18395" t="s">
        <v>49224</v>
      </c>
      <c r="C18395" t="s">
        <v>49225</v>
      </c>
      <c r="D18395" t="str">
        <f>"1001"</f>
        <v>1001</v>
      </c>
      <c r="E18395" t="s">
        <v>42</v>
      </c>
      <c r="F18395" t="s">
        <v>47325</v>
      </c>
      <c r="G18395" t="s">
        <v>47092</v>
      </c>
      <c r="H18395" t="s">
        <v>47055</v>
      </c>
      <c r="I18395" t="s">
        <v>47120</v>
      </c>
      <c r="J18395" t="s">
        <v>47121</v>
      </c>
      <c r="K18395" t="s">
        <v>47113</v>
      </c>
      <c r="L18395">
        <v>31.53</v>
      </c>
      <c r="M18395">
        <v>66</v>
      </c>
      <c r="N18395">
        <v>179</v>
      </c>
      <c r="O18395">
        <v>66</v>
      </c>
      <c r="P18395">
        <v>179</v>
      </c>
    </row>
    <row r="18396" spans="1:16" x14ac:dyDescent="0.25">
      <c r="A18396" t="s">
        <v>49226</v>
      </c>
      <c r="B18396" t="s">
        <v>49227</v>
      </c>
      <c r="C18396" t="s">
        <v>49228</v>
      </c>
      <c r="D18396" t="str">
        <f>"2709"</f>
        <v>2709</v>
      </c>
      <c r="E18396" t="s">
        <v>9103</v>
      </c>
      <c r="F18396" t="s">
        <v>47325</v>
      </c>
      <c r="G18396" t="s">
        <v>47091</v>
      </c>
      <c r="H18396" t="s">
        <v>47055</v>
      </c>
      <c r="I18396" t="s">
        <v>47120</v>
      </c>
      <c r="J18396" t="s">
        <v>47121</v>
      </c>
      <c r="K18396" t="s">
        <v>47113</v>
      </c>
      <c r="L18396">
        <v>32.549999999999997</v>
      </c>
      <c r="M18396">
        <v>70</v>
      </c>
      <c r="N18396">
        <v>189</v>
      </c>
      <c r="O18396">
        <v>70</v>
      </c>
      <c r="P18396">
        <v>189</v>
      </c>
    </row>
    <row r="18397" spans="1:16" x14ac:dyDescent="0.25">
      <c r="A18397" t="s">
        <v>49229</v>
      </c>
      <c r="B18397" t="s">
        <v>49230</v>
      </c>
      <c r="C18397" t="s">
        <v>49231</v>
      </c>
      <c r="D18397" t="str">
        <f>"1370"</f>
        <v>1370</v>
      </c>
      <c r="E18397" t="s">
        <v>2162</v>
      </c>
      <c r="F18397" t="s">
        <v>47325</v>
      </c>
      <c r="G18397" t="s">
        <v>47092</v>
      </c>
      <c r="H18397" t="s">
        <v>47055</v>
      </c>
      <c r="I18397" t="s">
        <v>47120</v>
      </c>
      <c r="J18397" t="s">
        <v>47121</v>
      </c>
      <c r="K18397" t="s">
        <v>47113</v>
      </c>
      <c r="L18397">
        <v>32.049999999999997</v>
      </c>
      <c r="M18397">
        <v>66</v>
      </c>
      <c r="N18397">
        <v>179</v>
      </c>
      <c r="O18397">
        <v>66</v>
      </c>
      <c r="P18397">
        <v>179</v>
      </c>
    </row>
    <row r="18398" spans="1:16" x14ac:dyDescent="0.25">
      <c r="A18398" t="s">
        <v>49232</v>
      </c>
      <c r="B18398" t="s">
        <v>49233</v>
      </c>
      <c r="C18398" t="s">
        <v>49234</v>
      </c>
      <c r="D18398" t="str">
        <f>"4626"</f>
        <v>4626</v>
      </c>
      <c r="E18398" t="s">
        <v>40916</v>
      </c>
      <c r="F18398" t="s">
        <v>47325</v>
      </c>
      <c r="G18398" t="s">
        <v>47091</v>
      </c>
      <c r="H18398" t="s">
        <v>47055</v>
      </c>
      <c r="I18398" t="s">
        <v>47120</v>
      </c>
      <c r="J18398" t="s">
        <v>47121</v>
      </c>
      <c r="K18398" t="s">
        <v>47113</v>
      </c>
      <c r="L18398">
        <v>21.36</v>
      </c>
      <c r="M18398">
        <v>48</v>
      </c>
      <c r="N18398">
        <v>129</v>
      </c>
      <c r="O18398">
        <v>48</v>
      </c>
      <c r="P18398">
        <v>129</v>
      </c>
    </row>
    <row r="18399" spans="1:16" x14ac:dyDescent="0.25">
      <c r="A18399" t="s">
        <v>49235</v>
      </c>
      <c r="B18399" t="s">
        <v>49236</v>
      </c>
      <c r="C18399" t="s">
        <v>49237</v>
      </c>
      <c r="D18399" t="str">
        <f>"1800"</f>
        <v>1800</v>
      </c>
      <c r="E18399" t="s">
        <v>1999</v>
      </c>
      <c r="F18399" t="s">
        <v>47325</v>
      </c>
      <c r="G18399" t="s">
        <v>47093</v>
      </c>
      <c r="H18399" t="s">
        <v>47055</v>
      </c>
      <c r="I18399" t="s">
        <v>47127</v>
      </c>
      <c r="J18399" t="s">
        <v>47128</v>
      </c>
      <c r="K18399" t="s">
        <v>47113</v>
      </c>
      <c r="L18399">
        <v>41.75</v>
      </c>
      <c r="M18399">
        <v>96</v>
      </c>
      <c r="N18399">
        <v>259</v>
      </c>
      <c r="O18399">
        <v>96</v>
      </c>
      <c r="P18399">
        <v>259</v>
      </c>
    </row>
    <row r="18400" spans="1:16" x14ac:dyDescent="0.25">
      <c r="A18400" t="s">
        <v>49238</v>
      </c>
      <c r="B18400" t="s">
        <v>49239</v>
      </c>
      <c r="C18400" t="s">
        <v>49240</v>
      </c>
      <c r="D18400" t="str">
        <f>"1001"</f>
        <v>1001</v>
      </c>
      <c r="E18400" t="s">
        <v>42</v>
      </c>
      <c r="F18400" t="s">
        <v>47325</v>
      </c>
      <c r="G18400" t="s">
        <v>47093</v>
      </c>
      <c r="H18400" t="s">
        <v>47055</v>
      </c>
      <c r="I18400" t="s">
        <v>47127</v>
      </c>
      <c r="J18400" t="s">
        <v>47128</v>
      </c>
      <c r="K18400" t="s">
        <v>47113</v>
      </c>
      <c r="L18400">
        <v>36.44</v>
      </c>
      <c r="M18400">
        <v>85</v>
      </c>
      <c r="N18400">
        <v>229</v>
      </c>
      <c r="O18400">
        <v>85</v>
      </c>
      <c r="P18400">
        <v>229</v>
      </c>
    </row>
    <row r="18401" spans="1:16" x14ac:dyDescent="0.25">
      <c r="A18401" t="s">
        <v>49241</v>
      </c>
      <c r="B18401" t="s">
        <v>49242</v>
      </c>
      <c r="C18401" t="s">
        <v>49243</v>
      </c>
      <c r="D18401" t="str">
        <f>"4646"</f>
        <v>4646</v>
      </c>
      <c r="E18401" t="s">
        <v>9741</v>
      </c>
      <c r="F18401" t="s">
        <v>47325</v>
      </c>
      <c r="G18401" t="s">
        <v>47091</v>
      </c>
      <c r="H18401" t="s">
        <v>47055</v>
      </c>
      <c r="I18401" t="s">
        <v>47120</v>
      </c>
      <c r="J18401" t="s">
        <v>47121</v>
      </c>
      <c r="K18401" t="s">
        <v>47113</v>
      </c>
      <c r="L18401">
        <v>38.86</v>
      </c>
      <c r="M18401">
        <v>81</v>
      </c>
      <c r="N18401">
        <v>219</v>
      </c>
      <c r="O18401">
        <v>81</v>
      </c>
      <c r="P18401">
        <v>219</v>
      </c>
    </row>
    <row r="18402" spans="1:16" x14ac:dyDescent="0.25">
      <c r="A18402" t="s">
        <v>49244</v>
      </c>
      <c r="B18402" t="s">
        <v>49245</v>
      </c>
      <c r="C18402" t="s">
        <v>49246</v>
      </c>
      <c r="D18402" t="str">
        <f>"4003"</f>
        <v>4003</v>
      </c>
      <c r="E18402" t="s">
        <v>1847</v>
      </c>
      <c r="F18402" t="s">
        <v>47325</v>
      </c>
      <c r="G18402" t="s">
        <v>47093</v>
      </c>
      <c r="H18402" t="s">
        <v>47055</v>
      </c>
      <c r="I18402" t="s">
        <v>47127</v>
      </c>
      <c r="J18402" t="s">
        <v>47128</v>
      </c>
      <c r="K18402" t="s">
        <v>47113</v>
      </c>
      <c r="L18402">
        <v>36.380000000000003</v>
      </c>
      <c r="M18402">
        <v>85</v>
      </c>
      <c r="N18402">
        <v>229</v>
      </c>
      <c r="O18402">
        <v>85</v>
      </c>
      <c r="P18402">
        <v>229</v>
      </c>
    </row>
    <row r="18403" spans="1:16" x14ac:dyDescent="0.25">
      <c r="A18403" t="s">
        <v>49247</v>
      </c>
      <c r="B18403" t="s">
        <v>49248</v>
      </c>
      <c r="C18403" t="s">
        <v>49249</v>
      </c>
      <c r="D18403" t="str">
        <f>"1200"</f>
        <v>1200</v>
      </c>
      <c r="E18403" t="s">
        <v>241</v>
      </c>
      <c r="F18403" t="s">
        <v>47325</v>
      </c>
      <c r="G18403" t="s">
        <v>47093</v>
      </c>
      <c r="H18403" t="s">
        <v>47055</v>
      </c>
      <c r="I18403" t="s">
        <v>47127</v>
      </c>
      <c r="J18403" t="s">
        <v>47128</v>
      </c>
      <c r="K18403" t="s">
        <v>47113</v>
      </c>
      <c r="L18403">
        <v>42.83</v>
      </c>
      <c r="M18403">
        <v>100</v>
      </c>
      <c r="N18403">
        <v>269</v>
      </c>
      <c r="O18403">
        <v>100</v>
      </c>
      <c r="P18403">
        <v>269</v>
      </c>
    </row>
    <row r="18404" spans="1:16" x14ac:dyDescent="0.25">
      <c r="A18404" t="s">
        <v>49250</v>
      </c>
      <c r="B18404" t="s">
        <v>49251</v>
      </c>
      <c r="C18404" t="s">
        <v>49243</v>
      </c>
      <c r="D18404" t="str">
        <f>"4646"</f>
        <v>4646</v>
      </c>
      <c r="E18404" t="s">
        <v>9741</v>
      </c>
      <c r="F18404" t="s">
        <v>47325</v>
      </c>
      <c r="G18404" t="s">
        <v>47091</v>
      </c>
      <c r="H18404" t="s">
        <v>47055</v>
      </c>
      <c r="I18404" t="s">
        <v>47120</v>
      </c>
      <c r="J18404" t="s">
        <v>47121</v>
      </c>
      <c r="K18404" t="s">
        <v>47113</v>
      </c>
      <c r="L18404">
        <v>27.24</v>
      </c>
      <c r="M18404">
        <v>63</v>
      </c>
      <c r="N18404">
        <v>169</v>
      </c>
      <c r="O18404">
        <v>63</v>
      </c>
      <c r="P18404">
        <v>169</v>
      </c>
    </row>
    <row r="18405" spans="1:16" x14ac:dyDescent="0.25">
      <c r="A18405" t="s">
        <v>49252</v>
      </c>
      <c r="B18405" t="s">
        <v>49253</v>
      </c>
      <c r="C18405" t="s">
        <v>49254</v>
      </c>
      <c r="D18405" t="str">
        <f>"4646"</f>
        <v>4646</v>
      </c>
      <c r="E18405" t="s">
        <v>9741</v>
      </c>
      <c r="F18405" t="s">
        <v>47325</v>
      </c>
      <c r="G18405" t="s">
        <v>47091</v>
      </c>
      <c r="H18405" t="s">
        <v>47055</v>
      </c>
      <c r="I18405" t="s">
        <v>47120</v>
      </c>
      <c r="J18405" t="s">
        <v>47121</v>
      </c>
      <c r="K18405" t="s">
        <v>47113</v>
      </c>
      <c r="L18405">
        <v>34.06</v>
      </c>
      <c r="M18405">
        <v>74</v>
      </c>
      <c r="N18405">
        <v>199</v>
      </c>
      <c r="O18405">
        <v>74</v>
      </c>
      <c r="P18405">
        <v>199</v>
      </c>
    </row>
    <row r="18406" spans="1:16" x14ac:dyDescent="0.25">
      <c r="A18406" t="s">
        <v>49255</v>
      </c>
      <c r="B18406" t="s">
        <v>49256</v>
      </c>
      <c r="C18406" t="s">
        <v>49257</v>
      </c>
      <c r="D18406" t="str">
        <f>"4000"</f>
        <v>4000</v>
      </c>
      <c r="E18406" t="s">
        <v>190</v>
      </c>
      <c r="F18406" t="s">
        <v>47325</v>
      </c>
      <c r="G18406" t="s">
        <v>47093</v>
      </c>
      <c r="H18406" t="s">
        <v>47055</v>
      </c>
      <c r="I18406" t="s">
        <v>47127</v>
      </c>
      <c r="J18406" t="s">
        <v>47128</v>
      </c>
      <c r="K18406" t="s">
        <v>47113</v>
      </c>
      <c r="L18406">
        <v>37.96</v>
      </c>
      <c r="M18406">
        <v>85</v>
      </c>
      <c r="N18406">
        <v>229</v>
      </c>
      <c r="O18406">
        <v>85</v>
      </c>
      <c r="P18406">
        <v>229</v>
      </c>
    </row>
    <row r="18407" spans="1:16" x14ac:dyDescent="0.25">
      <c r="A18407" t="s">
        <v>49258</v>
      </c>
      <c r="B18407" t="s">
        <v>49259</v>
      </c>
      <c r="C18407" t="s">
        <v>49260</v>
      </c>
      <c r="D18407" t="str">
        <f>"4000"</f>
        <v>4000</v>
      </c>
      <c r="E18407" t="s">
        <v>190</v>
      </c>
      <c r="F18407" t="s">
        <v>47325</v>
      </c>
      <c r="G18407" t="s">
        <v>47093</v>
      </c>
      <c r="H18407" t="s">
        <v>47055</v>
      </c>
      <c r="I18407" t="s">
        <v>47127</v>
      </c>
      <c r="J18407" t="s">
        <v>47128</v>
      </c>
      <c r="K18407" t="s">
        <v>47113</v>
      </c>
      <c r="L18407">
        <v>37.65</v>
      </c>
      <c r="M18407">
        <v>85</v>
      </c>
      <c r="N18407">
        <v>229</v>
      </c>
      <c r="O18407">
        <v>85</v>
      </c>
      <c r="P18407">
        <v>229</v>
      </c>
    </row>
    <row r="18408" spans="1:16" x14ac:dyDescent="0.25">
      <c r="A18408" t="s">
        <v>49261</v>
      </c>
      <c r="B18408" t="s">
        <v>49262</v>
      </c>
      <c r="C18408" t="s">
        <v>49263</v>
      </c>
      <c r="D18408" t="str">
        <f>"1700"</f>
        <v>1700</v>
      </c>
      <c r="E18408" t="s">
        <v>60</v>
      </c>
      <c r="F18408" t="s">
        <v>47325</v>
      </c>
      <c r="G18408" t="s">
        <v>47096</v>
      </c>
      <c r="H18408" t="s">
        <v>47055</v>
      </c>
      <c r="I18408" t="s">
        <v>47120</v>
      </c>
      <c r="J18408" t="s">
        <v>47121</v>
      </c>
      <c r="K18408" t="s">
        <v>47113</v>
      </c>
      <c r="L18408">
        <v>27.98</v>
      </c>
      <c r="M18408">
        <v>63</v>
      </c>
      <c r="N18408">
        <v>169</v>
      </c>
      <c r="O18408">
        <v>63</v>
      </c>
      <c r="P18408">
        <v>169</v>
      </c>
    </row>
    <row r="18409" spans="1:16" x14ac:dyDescent="0.25">
      <c r="A18409" t="s">
        <v>49264</v>
      </c>
      <c r="B18409" t="s">
        <v>49262</v>
      </c>
      <c r="C18409" t="s">
        <v>49263</v>
      </c>
      <c r="D18409" t="str">
        <f>"4644"</f>
        <v>4644</v>
      </c>
      <c r="E18409" t="s">
        <v>201</v>
      </c>
      <c r="F18409" t="s">
        <v>47325</v>
      </c>
      <c r="G18409" t="s">
        <v>47096</v>
      </c>
      <c r="H18409" t="s">
        <v>47055</v>
      </c>
      <c r="I18409" t="s">
        <v>47120</v>
      </c>
      <c r="J18409" t="s">
        <v>47121</v>
      </c>
      <c r="K18409" t="s">
        <v>47113</v>
      </c>
      <c r="L18409">
        <v>27.98</v>
      </c>
      <c r="M18409">
        <v>63</v>
      </c>
      <c r="N18409">
        <v>169</v>
      </c>
      <c r="O18409">
        <v>63</v>
      </c>
      <c r="P18409">
        <v>169</v>
      </c>
    </row>
    <row r="18410" spans="1:16" x14ac:dyDescent="0.25">
      <c r="A18410" t="s">
        <v>49265</v>
      </c>
      <c r="B18410" t="s">
        <v>49266</v>
      </c>
      <c r="C18410" t="s">
        <v>49267</v>
      </c>
      <c r="D18410" t="str">
        <f>"1106"</f>
        <v>1106</v>
      </c>
      <c r="E18410" t="s">
        <v>460</v>
      </c>
      <c r="F18410" t="s">
        <v>47325</v>
      </c>
      <c r="G18410" t="s">
        <v>47094</v>
      </c>
      <c r="H18410" t="s">
        <v>47055</v>
      </c>
      <c r="I18410" t="s">
        <v>47127</v>
      </c>
      <c r="J18410" t="s">
        <v>47128</v>
      </c>
      <c r="K18410" t="s">
        <v>47113</v>
      </c>
      <c r="L18410">
        <v>31.66</v>
      </c>
      <c r="M18410">
        <v>70</v>
      </c>
      <c r="N18410">
        <v>189</v>
      </c>
      <c r="O18410">
        <v>70</v>
      </c>
      <c r="P18410">
        <v>189</v>
      </c>
    </row>
    <row r="18411" spans="1:16" x14ac:dyDescent="0.25">
      <c r="A18411" t="s">
        <v>49268</v>
      </c>
      <c r="B18411" t="s">
        <v>49266</v>
      </c>
      <c r="C18411" t="s">
        <v>49267</v>
      </c>
      <c r="D18411" t="str">
        <f>"1278"</f>
        <v>1278</v>
      </c>
      <c r="E18411" t="s">
        <v>100</v>
      </c>
      <c r="F18411" t="s">
        <v>47325</v>
      </c>
      <c r="G18411" t="s">
        <v>47094</v>
      </c>
      <c r="H18411" t="s">
        <v>47055</v>
      </c>
      <c r="I18411" t="s">
        <v>47127</v>
      </c>
      <c r="J18411" t="s">
        <v>47128</v>
      </c>
      <c r="K18411" t="s">
        <v>47113</v>
      </c>
      <c r="L18411">
        <v>31.66</v>
      </c>
      <c r="M18411">
        <v>70</v>
      </c>
      <c r="N18411">
        <v>189</v>
      </c>
      <c r="O18411">
        <v>70</v>
      </c>
      <c r="P18411">
        <v>189</v>
      </c>
    </row>
    <row r="18412" spans="1:16" x14ac:dyDescent="0.25">
      <c r="A18412" t="s">
        <v>49269</v>
      </c>
      <c r="B18412" t="s">
        <v>49270</v>
      </c>
      <c r="C18412" t="s">
        <v>49271</v>
      </c>
      <c r="D18412" t="str">
        <f>"1106"</f>
        <v>1106</v>
      </c>
      <c r="E18412" t="s">
        <v>460</v>
      </c>
      <c r="F18412" t="s">
        <v>47325</v>
      </c>
      <c r="G18412" t="s">
        <v>47095</v>
      </c>
      <c r="H18412" t="s">
        <v>47055</v>
      </c>
      <c r="I18412" t="s">
        <v>47127</v>
      </c>
      <c r="J18412" t="s">
        <v>47128</v>
      </c>
      <c r="K18412" t="s">
        <v>47113</v>
      </c>
      <c r="L18412">
        <v>25.23</v>
      </c>
      <c r="M18412">
        <v>59</v>
      </c>
      <c r="N18412">
        <v>159</v>
      </c>
      <c r="O18412">
        <v>59</v>
      </c>
      <c r="P18412">
        <v>159</v>
      </c>
    </row>
    <row r="18413" spans="1:16" x14ac:dyDescent="0.25">
      <c r="A18413" t="s">
        <v>49272</v>
      </c>
      <c r="B18413" t="s">
        <v>49270</v>
      </c>
      <c r="C18413" t="s">
        <v>49271</v>
      </c>
      <c r="D18413" t="str">
        <f>"1278"</f>
        <v>1278</v>
      </c>
      <c r="E18413" t="s">
        <v>100</v>
      </c>
      <c r="F18413" t="s">
        <v>47325</v>
      </c>
      <c r="G18413" t="s">
        <v>47095</v>
      </c>
      <c r="H18413" t="s">
        <v>47055</v>
      </c>
      <c r="I18413" t="s">
        <v>47127</v>
      </c>
      <c r="J18413" t="s">
        <v>47128</v>
      </c>
      <c r="K18413" t="s">
        <v>47113</v>
      </c>
      <c r="L18413">
        <v>25.23</v>
      </c>
      <c r="M18413">
        <v>59</v>
      </c>
      <c r="N18413">
        <v>159</v>
      </c>
      <c r="O18413">
        <v>59</v>
      </c>
      <c r="P18413">
        <v>159</v>
      </c>
    </row>
    <row r="18414" spans="1:16" x14ac:dyDescent="0.25">
      <c r="A18414" t="s">
        <v>49273</v>
      </c>
      <c r="B18414" t="s">
        <v>49274</v>
      </c>
      <c r="C18414" t="s">
        <v>49275</v>
      </c>
      <c r="D18414" t="str">
        <f>"1369"</f>
        <v>1369</v>
      </c>
      <c r="E18414" t="s">
        <v>197</v>
      </c>
      <c r="F18414" t="s">
        <v>47325</v>
      </c>
      <c r="G18414" t="s">
        <v>47096</v>
      </c>
      <c r="H18414" t="s">
        <v>47055</v>
      </c>
      <c r="I18414" t="s">
        <v>47120</v>
      </c>
      <c r="J18414" t="s">
        <v>47121</v>
      </c>
      <c r="K18414" t="s">
        <v>47113</v>
      </c>
      <c r="L18414">
        <v>28.48</v>
      </c>
      <c r="M18414">
        <v>63</v>
      </c>
      <c r="N18414">
        <v>169</v>
      </c>
      <c r="O18414">
        <v>63</v>
      </c>
      <c r="P18414">
        <v>169</v>
      </c>
    </row>
    <row r="18415" spans="1:16" x14ac:dyDescent="0.25">
      <c r="A18415" t="s">
        <v>49276</v>
      </c>
      <c r="B18415" t="s">
        <v>49274</v>
      </c>
      <c r="C18415" t="s">
        <v>49275</v>
      </c>
      <c r="D18415" t="str">
        <f>"1700"</f>
        <v>1700</v>
      </c>
      <c r="E18415" t="s">
        <v>60</v>
      </c>
      <c r="F18415" t="s">
        <v>47325</v>
      </c>
      <c r="G18415" t="s">
        <v>47096</v>
      </c>
      <c r="H18415" t="s">
        <v>47055</v>
      </c>
      <c r="I18415" t="s">
        <v>47120</v>
      </c>
      <c r="J18415" t="s">
        <v>47121</v>
      </c>
      <c r="K18415" t="s">
        <v>47113</v>
      </c>
      <c r="L18415">
        <v>28.48</v>
      </c>
      <c r="M18415">
        <v>63</v>
      </c>
      <c r="N18415">
        <v>169</v>
      </c>
      <c r="O18415">
        <v>63</v>
      </c>
      <c r="P18415">
        <v>169</v>
      </c>
    </row>
    <row r="18416" spans="1:16" x14ac:dyDescent="0.25">
      <c r="A18416" t="s">
        <v>49277</v>
      </c>
      <c r="B18416" t="s">
        <v>49278</v>
      </c>
      <c r="C18416" t="s">
        <v>47376</v>
      </c>
      <c r="D18416" t="str">
        <f>"1106"</f>
        <v>1106</v>
      </c>
      <c r="E18416" t="s">
        <v>460</v>
      </c>
      <c r="F18416" t="s">
        <v>47325</v>
      </c>
      <c r="G18416" t="s">
        <v>47094</v>
      </c>
      <c r="H18416" t="s">
        <v>47055</v>
      </c>
      <c r="I18416" t="s">
        <v>47127</v>
      </c>
      <c r="J18416" t="s">
        <v>47128</v>
      </c>
      <c r="K18416" t="s">
        <v>47113</v>
      </c>
      <c r="L18416">
        <v>27.8</v>
      </c>
      <c r="M18416">
        <v>70</v>
      </c>
      <c r="N18416">
        <v>189</v>
      </c>
      <c r="O18416">
        <v>70</v>
      </c>
      <c r="P18416">
        <v>189</v>
      </c>
    </row>
    <row r="18417" spans="1:16" x14ac:dyDescent="0.25">
      <c r="A18417" t="s">
        <v>49279</v>
      </c>
      <c r="B18417" t="s">
        <v>49278</v>
      </c>
      <c r="C18417" t="s">
        <v>47376</v>
      </c>
      <c r="D18417" t="str">
        <f>"1285"</f>
        <v>1285</v>
      </c>
      <c r="E18417" t="s">
        <v>2148</v>
      </c>
      <c r="F18417" t="s">
        <v>47325</v>
      </c>
      <c r="G18417" t="s">
        <v>47094</v>
      </c>
      <c r="H18417" t="s">
        <v>47055</v>
      </c>
      <c r="I18417" t="s">
        <v>47127</v>
      </c>
      <c r="J18417" t="s">
        <v>47128</v>
      </c>
      <c r="K18417" t="s">
        <v>47113</v>
      </c>
      <c r="L18417">
        <v>27.8</v>
      </c>
      <c r="M18417">
        <v>70</v>
      </c>
      <c r="N18417">
        <v>189</v>
      </c>
      <c r="O18417">
        <v>70</v>
      </c>
      <c r="P18417">
        <v>189</v>
      </c>
    </row>
    <row r="18418" spans="1:16" x14ac:dyDescent="0.25">
      <c r="A18418" t="s">
        <v>49280</v>
      </c>
      <c r="B18418" t="s">
        <v>49278</v>
      </c>
      <c r="C18418" t="s">
        <v>47376</v>
      </c>
      <c r="D18418" t="str">
        <f>"1700"</f>
        <v>1700</v>
      </c>
      <c r="E18418" t="s">
        <v>60</v>
      </c>
      <c r="F18418" t="s">
        <v>47325</v>
      </c>
      <c r="G18418" t="s">
        <v>47094</v>
      </c>
      <c r="H18418" t="s">
        <v>47055</v>
      </c>
      <c r="I18418" t="s">
        <v>47127</v>
      </c>
      <c r="J18418" t="s">
        <v>47128</v>
      </c>
      <c r="K18418" t="s">
        <v>47113</v>
      </c>
      <c r="L18418">
        <v>27.8</v>
      </c>
      <c r="M18418">
        <v>70</v>
      </c>
      <c r="N18418">
        <v>189</v>
      </c>
      <c r="O18418">
        <v>70</v>
      </c>
      <c r="P18418">
        <v>189</v>
      </c>
    </row>
    <row r="18419" spans="1:16" x14ac:dyDescent="0.25">
      <c r="A18419" t="s">
        <v>49281</v>
      </c>
      <c r="B18419" t="s">
        <v>49278</v>
      </c>
      <c r="C18419" t="s">
        <v>47376</v>
      </c>
      <c r="D18419" t="str">
        <f>"3190"</f>
        <v>3190</v>
      </c>
      <c r="E18419" t="s">
        <v>1748</v>
      </c>
      <c r="F18419" t="s">
        <v>47325</v>
      </c>
      <c r="G18419" t="s">
        <v>47094</v>
      </c>
      <c r="H18419" t="s">
        <v>47055</v>
      </c>
      <c r="I18419" t="s">
        <v>47127</v>
      </c>
      <c r="J18419" t="s">
        <v>47128</v>
      </c>
      <c r="K18419" t="s">
        <v>47113</v>
      </c>
      <c r="L18419">
        <v>27.8</v>
      </c>
      <c r="M18419">
        <v>66</v>
      </c>
      <c r="N18419">
        <v>179</v>
      </c>
      <c r="O18419">
        <v>66</v>
      </c>
      <c r="P18419">
        <v>179</v>
      </c>
    </row>
    <row r="18420" spans="1:16" x14ac:dyDescent="0.25">
      <c r="A18420" t="s">
        <v>49282</v>
      </c>
      <c r="B18420" t="s">
        <v>49283</v>
      </c>
      <c r="C18420" t="s">
        <v>47382</v>
      </c>
      <c r="D18420" t="str">
        <f>"1106"</f>
        <v>1106</v>
      </c>
      <c r="E18420" t="s">
        <v>460</v>
      </c>
      <c r="F18420" t="s">
        <v>47325</v>
      </c>
      <c r="G18420" t="s">
        <v>47095</v>
      </c>
      <c r="H18420" t="s">
        <v>47055</v>
      </c>
      <c r="I18420" t="s">
        <v>47127</v>
      </c>
      <c r="J18420" t="s">
        <v>47128</v>
      </c>
      <c r="K18420" t="s">
        <v>47113</v>
      </c>
      <c r="L18420">
        <v>19.850000000000001</v>
      </c>
      <c r="M18420">
        <v>48</v>
      </c>
      <c r="N18420">
        <v>129</v>
      </c>
      <c r="O18420">
        <v>48</v>
      </c>
      <c r="P18420">
        <v>129</v>
      </c>
    </row>
    <row r="18421" spans="1:16" x14ac:dyDescent="0.25">
      <c r="A18421" t="s">
        <v>49284</v>
      </c>
      <c r="B18421" t="s">
        <v>49283</v>
      </c>
      <c r="C18421" t="s">
        <v>47382</v>
      </c>
      <c r="D18421" t="str">
        <f>"1285"</f>
        <v>1285</v>
      </c>
      <c r="E18421" t="s">
        <v>2148</v>
      </c>
      <c r="F18421" t="s">
        <v>47325</v>
      </c>
      <c r="G18421" t="s">
        <v>47095</v>
      </c>
      <c r="H18421" t="s">
        <v>47055</v>
      </c>
      <c r="I18421" t="s">
        <v>47127</v>
      </c>
      <c r="J18421" t="s">
        <v>47128</v>
      </c>
      <c r="K18421" t="s">
        <v>47113</v>
      </c>
      <c r="L18421">
        <v>19.850000000000001</v>
      </c>
      <c r="M18421">
        <v>48</v>
      </c>
      <c r="N18421">
        <v>129</v>
      </c>
      <c r="O18421">
        <v>48</v>
      </c>
      <c r="P18421">
        <v>129</v>
      </c>
    </row>
    <row r="18422" spans="1:16" x14ac:dyDescent="0.25">
      <c r="A18422" t="s">
        <v>49285</v>
      </c>
      <c r="B18422" t="s">
        <v>49283</v>
      </c>
      <c r="C18422" t="s">
        <v>47382</v>
      </c>
      <c r="D18422" t="str">
        <f>"1700"</f>
        <v>1700</v>
      </c>
      <c r="E18422" t="s">
        <v>60</v>
      </c>
      <c r="F18422" t="s">
        <v>47325</v>
      </c>
      <c r="G18422" t="s">
        <v>47095</v>
      </c>
      <c r="H18422" t="s">
        <v>47055</v>
      </c>
      <c r="I18422" t="s">
        <v>47127</v>
      </c>
      <c r="J18422" t="s">
        <v>47128</v>
      </c>
      <c r="K18422" t="s">
        <v>47113</v>
      </c>
      <c r="L18422">
        <v>19.850000000000001</v>
      </c>
      <c r="M18422">
        <v>48</v>
      </c>
      <c r="N18422">
        <v>129</v>
      </c>
      <c r="O18422">
        <v>48</v>
      </c>
      <c r="P18422">
        <v>129</v>
      </c>
    </row>
    <row r="18423" spans="1:16" x14ac:dyDescent="0.25">
      <c r="A18423" t="s">
        <v>49286</v>
      </c>
      <c r="B18423" t="s">
        <v>49287</v>
      </c>
      <c r="C18423" t="s">
        <v>47387</v>
      </c>
      <c r="D18423" t="str">
        <f>"1106"</f>
        <v>1106</v>
      </c>
      <c r="E18423" t="s">
        <v>460</v>
      </c>
      <c r="F18423" t="s">
        <v>47325</v>
      </c>
      <c r="G18423" t="s">
        <v>47095</v>
      </c>
      <c r="H18423" t="s">
        <v>47055</v>
      </c>
      <c r="I18423" t="s">
        <v>47127</v>
      </c>
      <c r="J18423" t="s">
        <v>47128</v>
      </c>
      <c r="K18423" t="s">
        <v>47113</v>
      </c>
      <c r="L18423">
        <v>23.82</v>
      </c>
      <c r="M18423">
        <v>55</v>
      </c>
      <c r="N18423">
        <v>149</v>
      </c>
      <c r="O18423">
        <v>55</v>
      </c>
      <c r="P18423">
        <v>149</v>
      </c>
    </row>
    <row r="18424" spans="1:16" x14ac:dyDescent="0.25">
      <c r="A18424" t="s">
        <v>49288</v>
      </c>
      <c r="B18424" t="s">
        <v>49287</v>
      </c>
      <c r="C18424" t="s">
        <v>47387</v>
      </c>
      <c r="D18424" t="str">
        <f>"1700"</f>
        <v>1700</v>
      </c>
      <c r="E18424" t="s">
        <v>60</v>
      </c>
      <c r="F18424" t="s">
        <v>47325</v>
      </c>
      <c r="G18424" t="s">
        <v>47095</v>
      </c>
      <c r="H18424" t="s">
        <v>47055</v>
      </c>
      <c r="I18424" t="s">
        <v>47127</v>
      </c>
      <c r="J18424" t="s">
        <v>47128</v>
      </c>
      <c r="K18424" t="s">
        <v>47113</v>
      </c>
      <c r="L18424">
        <v>23.82</v>
      </c>
      <c r="M18424">
        <v>55</v>
      </c>
      <c r="N18424">
        <v>149</v>
      </c>
      <c r="O18424">
        <v>55</v>
      </c>
      <c r="P18424">
        <v>149</v>
      </c>
    </row>
    <row r="18425" spans="1:16" x14ac:dyDescent="0.25">
      <c r="A18425" t="s">
        <v>49289</v>
      </c>
      <c r="B18425" t="s">
        <v>49287</v>
      </c>
      <c r="C18425" t="s">
        <v>47387</v>
      </c>
      <c r="D18425" t="str">
        <f>"3190"</f>
        <v>3190</v>
      </c>
      <c r="E18425" t="s">
        <v>1748</v>
      </c>
      <c r="F18425" t="s">
        <v>47325</v>
      </c>
      <c r="G18425" t="s">
        <v>47095</v>
      </c>
      <c r="H18425" t="s">
        <v>47055</v>
      </c>
      <c r="I18425" t="s">
        <v>47127</v>
      </c>
      <c r="J18425" t="s">
        <v>47128</v>
      </c>
      <c r="K18425" t="s">
        <v>47113</v>
      </c>
      <c r="L18425">
        <v>23.82</v>
      </c>
      <c r="M18425">
        <v>55</v>
      </c>
      <c r="N18425">
        <v>149</v>
      </c>
      <c r="O18425">
        <v>55</v>
      </c>
      <c r="P18425">
        <v>149</v>
      </c>
    </row>
    <row r="18426" spans="1:16" x14ac:dyDescent="0.25">
      <c r="A18426" t="s">
        <v>49290</v>
      </c>
      <c r="B18426" t="s">
        <v>49291</v>
      </c>
      <c r="C18426" t="s">
        <v>49292</v>
      </c>
      <c r="D18426" t="str">
        <f>"1106"</f>
        <v>1106</v>
      </c>
      <c r="E18426" t="s">
        <v>460</v>
      </c>
      <c r="F18426" t="s">
        <v>47325</v>
      </c>
      <c r="G18426" t="s">
        <v>47094</v>
      </c>
      <c r="H18426" t="s">
        <v>47055</v>
      </c>
      <c r="I18426" t="s">
        <v>47127</v>
      </c>
      <c r="J18426" t="s">
        <v>47128</v>
      </c>
      <c r="K18426" t="s">
        <v>47113</v>
      </c>
      <c r="L18426">
        <v>22</v>
      </c>
      <c r="M18426">
        <v>51</v>
      </c>
      <c r="N18426">
        <v>139</v>
      </c>
      <c r="O18426">
        <v>51</v>
      </c>
      <c r="P18426">
        <v>139</v>
      </c>
    </row>
    <row r="18427" spans="1:16" x14ac:dyDescent="0.25">
      <c r="A18427" t="s">
        <v>49293</v>
      </c>
      <c r="B18427" t="s">
        <v>49291</v>
      </c>
      <c r="C18427" t="s">
        <v>49292</v>
      </c>
      <c r="D18427" t="str">
        <f>"1700"</f>
        <v>1700</v>
      </c>
      <c r="E18427" t="s">
        <v>60</v>
      </c>
      <c r="F18427" t="s">
        <v>47325</v>
      </c>
      <c r="G18427" t="s">
        <v>47094</v>
      </c>
      <c r="H18427" t="s">
        <v>47055</v>
      </c>
      <c r="I18427" t="s">
        <v>47127</v>
      </c>
      <c r="J18427" t="s">
        <v>47128</v>
      </c>
      <c r="K18427" t="s">
        <v>47113</v>
      </c>
      <c r="L18427">
        <v>22</v>
      </c>
      <c r="M18427">
        <v>51</v>
      </c>
      <c r="N18427">
        <v>139</v>
      </c>
      <c r="O18427">
        <v>51</v>
      </c>
      <c r="P18427">
        <v>139</v>
      </c>
    </row>
    <row r="18428" spans="1:16" x14ac:dyDescent="0.25">
      <c r="A18428" t="s">
        <v>49294</v>
      </c>
      <c r="B18428" t="s">
        <v>49295</v>
      </c>
      <c r="C18428" t="s">
        <v>47392</v>
      </c>
      <c r="D18428" t="str">
        <f>"1106"</f>
        <v>1106</v>
      </c>
      <c r="E18428" t="s">
        <v>460</v>
      </c>
      <c r="F18428" t="s">
        <v>47325</v>
      </c>
      <c r="G18428" t="s">
        <v>47094</v>
      </c>
      <c r="H18428" t="s">
        <v>47055</v>
      </c>
      <c r="I18428" t="s">
        <v>47127</v>
      </c>
      <c r="J18428" t="s">
        <v>47128</v>
      </c>
      <c r="K18428" t="s">
        <v>47113</v>
      </c>
      <c r="L18428">
        <v>29.94</v>
      </c>
      <c r="M18428">
        <v>63</v>
      </c>
      <c r="N18428">
        <v>169</v>
      </c>
      <c r="O18428">
        <v>63</v>
      </c>
      <c r="P18428">
        <v>169</v>
      </c>
    </row>
    <row r="18429" spans="1:16" x14ac:dyDescent="0.25">
      <c r="A18429" t="s">
        <v>49296</v>
      </c>
      <c r="B18429" t="s">
        <v>49295</v>
      </c>
      <c r="C18429" t="s">
        <v>47392</v>
      </c>
      <c r="D18429" t="str">
        <f>"1285"</f>
        <v>1285</v>
      </c>
      <c r="E18429" t="s">
        <v>2148</v>
      </c>
      <c r="F18429" t="s">
        <v>47325</v>
      </c>
      <c r="G18429" t="s">
        <v>47094</v>
      </c>
      <c r="H18429" t="s">
        <v>47055</v>
      </c>
      <c r="I18429" t="s">
        <v>47127</v>
      </c>
      <c r="J18429" t="s">
        <v>47128</v>
      </c>
      <c r="K18429" t="s">
        <v>47113</v>
      </c>
      <c r="L18429">
        <v>29.94</v>
      </c>
      <c r="M18429">
        <v>63</v>
      </c>
      <c r="N18429">
        <v>169</v>
      </c>
      <c r="O18429">
        <v>63</v>
      </c>
      <c r="P18429">
        <v>169</v>
      </c>
    </row>
    <row r="18430" spans="1:16" x14ac:dyDescent="0.25">
      <c r="A18430" t="s">
        <v>49297</v>
      </c>
      <c r="B18430" t="s">
        <v>49295</v>
      </c>
      <c r="C18430" t="s">
        <v>47392</v>
      </c>
      <c r="D18430" t="str">
        <f>"1700"</f>
        <v>1700</v>
      </c>
      <c r="E18430" t="s">
        <v>60</v>
      </c>
      <c r="F18430" t="s">
        <v>47325</v>
      </c>
      <c r="G18430" t="s">
        <v>47094</v>
      </c>
      <c r="H18430" t="s">
        <v>47055</v>
      </c>
      <c r="I18430" t="s">
        <v>47127</v>
      </c>
      <c r="J18430" t="s">
        <v>47128</v>
      </c>
      <c r="K18430" t="s">
        <v>47113</v>
      </c>
      <c r="L18430">
        <v>29.94</v>
      </c>
      <c r="M18430">
        <v>63</v>
      </c>
      <c r="N18430">
        <v>169</v>
      </c>
      <c r="O18430">
        <v>63</v>
      </c>
      <c r="P18430">
        <v>169</v>
      </c>
    </row>
    <row r="18431" spans="1:16" x14ac:dyDescent="0.25">
      <c r="A18431" t="s">
        <v>49298</v>
      </c>
      <c r="B18431" t="s">
        <v>49295</v>
      </c>
      <c r="C18431" t="s">
        <v>47392</v>
      </c>
      <c r="D18431" t="str">
        <f>"3190"</f>
        <v>3190</v>
      </c>
      <c r="E18431" t="s">
        <v>1748</v>
      </c>
      <c r="F18431" t="s">
        <v>47325</v>
      </c>
      <c r="G18431" t="s">
        <v>47094</v>
      </c>
      <c r="H18431" t="s">
        <v>47055</v>
      </c>
      <c r="I18431" t="s">
        <v>47127</v>
      </c>
      <c r="J18431" t="s">
        <v>47128</v>
      </c>
      <c r="K18431" t="s">
        <v>47113</v>
      </c>
      <c r="L18431">
        <v>29.94</v>
      </c>
      <c r="M18431">
        <v>63</v>
      </c>
      <c r="N18431">
        <v>169</v>
      </c>
      <c r="O18431">
        <v>63</v>
      </c>
      <c r="P18431">
        <v>169</v>
      </c>
    </row>
    <row r="18432" spans="1:16" x14ac:dyDescent="0.25">
      <c r="A18432" t="s">
        <v>49299</v>
      </c>
      <c r="B18432" t="s">
        <v>49295</v>
      </c>
      <c r="C18432" t="s">
        <v>47392</v>
      </c>
      <c r="D18432" t="str">
        <f>"4025"</f>
        <v>4025</v>
      </c>
      <c r="E18432" t="s">
        <v>24724</v>
      </c>
      <c r="F18432" t="s">
        <v>47325</v>
      </c>
      <c r="G18432" t="s">
        <v>47094</v>
      </c>
      <c r="H18432" t="s">
        <v>47055</v>
      </c>
      <c r="I18432" t="s">
        <v>47127</v>
      </c>
      <c r="J18432" t="s">
        <v>47128</v>
      </c>
      <c r="K18432" t="s">
        <v>47113</v>
      </c>
      <c r="L18432">
        <v>29.94</v>
      </c>
      <c r="M18432">
        <v>63</v>
      </c>
      <c r="N18432">
        <v>169</v>
      </c>
      <c r="O18432">
        <v>63</v>
      </c>
      <c r="P18432">
        <v>169</v>
      </c>
    </row>
    <row r="18433" spans="1:16" x14ac:dyDescent="0.25">
      <c r="A18433" t="s">
        <v>49300</v>
      </c>
      <c r="B18433" t="s">
        <v>49301</v>
      </c>
      <c r="C18433" t="s">
        <v>28005</v>
      </c>
      <c r="D18433" t="str">
        <f>"1106"</f>
        <v>1106</v>
      </c>
      <c r="E18433" t="s">
        <v>460</v>
      </c>
      <c r="F18433" t="s">
        <v>47325</v>
      </c>
      <c r="G18433" t="s">
        <v>47094</v>
      </c>
      <c r="H18433" t="s">
        <v>47055</v>
      </c>
      <c r="I18433" t="s">
        <v>47127</v>
      </c>
      <c r="J18433" t="s">
        <v>47128</v>
      </c>
      <c r="K18433" t="s">
        <v>47113</v>
      </c>
      <c r="L18433">
        <v>22.43</v>
      </c>
      <c r="M18433">
        <v>51</v>
      </c>
      <c r="N18433">
        <v>139</v>
      </c>
      <c r="O18433">
        <v>51</v>
      </c>
      <c r="P18433">
        <v>139</v>
      </c>
    </row>
    <row r="18434" spans="1:16" x14ac:dyDescent="0.25">
      <c r="A18434" t="s">
        <v>49302</v>
      </c>
      <c r="B18434" t="s">
        <v>49301</v>
      </c>
      <c r="C18434" t="s">
        <v>28005</v>
      </c>
      <c r="D18434" t="str">
        <f>"1700"</f>
        <v>1700</v>
      </c>
      <c r="E18434" t="s">
        <v>60</v>
      </c>
      <c r="F18434" t="s">
        <v>47325</v>
      </c>
      <c r="G18434" t="s">
        <v>47094</v>
      </c>
      <c r="H18434" t="s">
        <v>47055</v>
      </c>
      <c r="I18434" t="s">
        <v>47127</v>
      </c>
      <c r="J18434" t="s">
        <v>47128</v>
      </c>
      <c r="K18434" t="s">
        <v>47113</v>
      </c>
      <c r="L18434">
        <v>22.43</v>
      </c>
      <c r="M18434">
        <v>51</v>
      </c>
      <c r="N18434">
        <v>139</v>
      </c>
      <c r="O18434">
        <v>51</v>
      </c>
      <c r="P18434">
        <v>139</v>
      </c>
    </row>
    <row r="18435" spans="1:16" x14ac:dyDescent="0.25">
      <c r="A18435" t="s">
        <v>49303</v>
      </c>
      <c r="B18435" t="s">
        <v>49304</v>
      </c>
      <c r="C18435" t="s">
        <v>49305</v>
      </c>
      <c r="D18435" t="str">
        <f>"1106"</f>
        <v>1106</v>
      </c>
      <c r="E18435" t="s">
        <v>460</v>
      </c>
      <c r="F18435" t="s">
        <v>47325</v>
      </c>
      <c r="G18435" t="s">
        <v>47099</v>
      </c>
      <c r="H18435" t="s">
        <v>47055</v>
      </c>
      <c r="I18435" t="s">
        <v>47127</v>
      </c>
      <c r="J18435" t="s">
        <v>47128</v>
      </c>
      <c r="K18435" t="s">
        <v>47113</v>
      </c>
      <c r="L18435">
        <v>15.88</v>
      </c>
      <c r="M18435">
        <v>48</v>
      </c>
      <c r="N18435">
        <v>129</v>
      </c>
      <c r="O18435">
        <v>48</v>
      </c>
      <c r="P18435">
        <v>129</v>
      </c>
    </row>
    <row r="18436" spans="1:16" x14ac:dyDescent="0.25">
      <c r="A18436" t="s">
        <v>49306</v>
      </c>
      <c r="B18436" t="s">
        <v>49304</v>
      </c>
      <c r="C18436" t="s">
        <v>49305</v>
      </c>
      <c r="D18436" t="str">
        <f>"1285"</f>
        <v>1285</v>
      </c>
      <c r="E18436" t="s">
        <v>2148</v>
      </c>
      <c r="F18436" t="s">
        <v>47325</v>
      </c>
      <c r="G18436" t="s">
        <v>47099</v>
      </c>
      <c r="H18436" t="s">
        <v>47055</v>
      </c>
      <c r="I18436" t="s">
        <v>47127</v>
      </c>
      <c r="J18436" t="s">
        <v>47128</v>
      </c>
      <c r="K18436" t="s">
        <v>47113</v>
      </c>
      <c r="L18436">
        <v>15.88</v>
      </c>
      <c r="M18436">
        <v>48</v>
      </c>
      <c r="N18436">
        <v>129</v>
      </c>
      <c r="O18436">
        <v>48</v>
      </c>
      <c r="P18436">
        <v>129</v>
      </c>
    </row>
    <row r="18437" spans="1:16" x14ac:dyDescent="0.25">
      <c r="A18437" t="s">
        <v>49307</v>
      </c>
      <c r="B18437" t="s">
        <v>49304</v>
      </c>
      <c r="C18437" t="s">
        <v>49305</v>
      </c>
      <c r="D18437" t="str">
        <f>"1700"</f>
        <v>1700</v>
      </c>
      <c r="E18437" t="s">
        <v>60</v>
      </c>
      <c r="F18437" t="s">
        <v>47325</v>
      </c>
      <c r="G18437" t="s">
        <v>47099</v>
      </c>
      <c r="H18437" t="s">
        <v>47055</v>
      </c>
      <c r="I18437" t="s">
        <v>47127</v>
      </c>
      <c r="J18437" t="s">
        <v>47128</v>
      </c>
      <c r="K18437" t="s">
        <v>47113</v>
      </c>
      <c r="L18437">
        <v>15.88</v>
      </c>
      <c r="M18437">
        <v>48</v>
      </c>
      <c r="N18437">
        <v>129</v>
      </c>
      <c r="O18437">
        <v>48</v>
      </c>
      <c r="P18437">
        <v>129</v>
      </c>
    </row>
    <row r="18438" spans="1:16" x14ac:dyDescent="0.25">
      <c r="A18438" t="s">
        <v>49308</v>
      </c>
      <c r="B18438" t="s">
        <v>49304</v>
      </c>
      <c r="C18438" t="s">
        <v>49305</v>
      </c>
      <c r="D18438" t="str">
        <f>"3190"</f>
        <v>3190</v>
      </c>
      <c r="E18438" t="s">
        <v>1748</v>
      </c>
      <c r="F18438" t="s">
        <v>47325</v>
      </c>
      <c r="G18438" t="s">
        <v>47099</v>
      </c>
      <c r="H18438" t="s">
        <v>47055</v>
      </c>
      <c r="I18438" t="s">
        <v>47127</v>
      </c>
      <c r="J18438" t="s">
        <v>47128</v>
      </c>
      <c r="K18438" t="s">
        <v>47113</v>
      </c>
      <c r="L18438">
        <v>15.88</v>
      </c>
      <c r="M18438">
        <v>48</v>
      </c>
      <c r="N18438">
        <v>129</v>
      </c>
      <c r="O18438">
        <v>48</v>
      </c>
      <c r="P18438">
        <v>129</v>
      </c>
    </row>
    <row r="18439" spans="1:16" x14ac:dyDescent="0.25">
      <c r="A18439" t="s">
        <v>49309</v>
      </c>
      <c r="B18439" t="s">
        <v>49304</v>
      </c>
      <c r="C18439" t="s">
        <v>49305</v>
      </c>
      <c r="D18439" t="str">
        <f>"4025"</f>
        <v>4025</v>
      </c>
      <c r="E18439" t="s">
        <v>24724</v>
      </c>
      <c r="F18439" t="s">
        <v>47325</v>
      </c>
      <c r="G18439" t="s">
        <v>47099</v>
      </c>
      <c r="H18439" t="s">
        <v>47055</v>
      </c>
      <c r="I18439" t="s">
        <v>47127</v>
      </c>
      <c r="J18439" t="s">
        <v>47128</v>
      </c>
      <c r="K18439" t="s">
        <v>47113</v>
      </c>
      <c r="L18439">
        <v>15.88</v>
      </c>
      <c r="M18439">
        <v>48</v>
      </c>
      <c r="N18439">
        <v>129</v>
      </c>
      <c r="O18439">
        <v>48</v>
      </c>
      <c r="P18439">
        <v>129</v>
      </c>
    </row>
    <row r="18440" spans="1:16" x14ac:dyDescent="0.25">
      <c r="A18440" t="s">
        <v>49310</v>
      </c>
      <c r="B18440" t="s">
        <v>49311</v>
      </c>
      <c r="C18440" t="s">
        <v>49312</v>
      </c>
      <c r="D18440" t="str">
        <f>"1106"</f>
        <v>1106</v>
      </c>
      <c r="E18440" t="s">
        <v>460</v>
      </c>
      <c r="F18440" t="s">
        <v>47325</v>
      </c>
      <c r="G18440" t="s">
        <v>47096</v>
      </c>
      <c r="H18440" t="s">
        <v>47055</v>
      </c>
      <c r="I18440" t="s">
        <v>47127</v>
      </c>
      <c r="J18440" t="s">
        <v>47128</v>
      </c>
      <c r="K18440" t="s">
        <v>47113</v>
      </c>
      <c r="L18440">
        <v>15.88</v>
      </c>
      <c r="M18440">
        <v>48</v>
      </c>
      <c r="N18440">
        <v>129</v>
      </c>
      <c r="O18440">
        <v>48</v>
      </c>
      <c r="P18440">
        <v>129</v>
      </c>
    </row>
    <row r="18441" spans="1:16" x14ac:dyDescent="0.25">
      <c r="A18441" t="s">
        <v>49313</v>
      </c>
      <c r="B18441" t="s">
        <v>49311</v>
      </c>
      <c r="C18441" t="s">
        <v>49312</v>
      </c>
      <c r="D18441" t="str">
        <f>"1285"</f>
        <v>1285</v>
      </c>
      <c r="E18441" t="s">
        <v>2148</v>
      </c>
      <c r="F18441" t="s">
        <v>47325</v>
      </c>
      <c r="G18441" t="s">
        <v>47096</v>
      </c>
      <c r="H18441" t="s">
        <v>47055</v>
      </c>
      <c r="I18441" t="s">
        <v>47127</v>
      </c>
      <c r="J18441" t="s">
        <v>47128</v>
      </c>
      <c r="K18441" t="s">
        <v>47113</v>
      </c>
      <c r="L18441">
        <v>15.88</v>
      </c>
      <c r="M18441">
        <v>48</v>
      </c>
      <c r="N18441">
        <v>129</v>
      </c>
      <c r="O18441">
        <v>48</v>
      </c>
      <c r="P18441">
        <v>129</v>
      </c>
    </row>
    <row r="18442" spans="1:16" x14ac:dyDescent="0.25">
      <c r="A18442" t="s">
        <v>49314</v>
      </c>
      <c r="B18442" t="s">
        <v>49311</v>
      </c>
      <c r="C18442" t="s">
        <v>49312</v>
      </c>
      <c r="D18442" t="str">
        <f>"1700"</f>
        <v>1700</v>
      </c>
      <c r="E18442" t="s">
        <v>60</v>
      </c>
      <c r="F18442" t="s">
        <v>47325</v>
      </c>
      <c r="G18442" t="s">
        <v>47096</v>
      </c>
      <c r="H18442" t="s">
        <v>47055</v>
      </c>
      <c r="I18442" t="s">
        <v>47127</v>
      </c>
      <c r="J18442" t="s">
        <v>47128</v>
      </c>
      <c r="K18442" t="s">
        <v>47113</v>
      </c>
      <c r="L18442">
        <v>15.88</v>
      </c>
      <c r="M18442">
        <v>48</v>
      </c>
      <c r="N18442">
        <v>129</v>
      </c>
      <c r="O18442">
        <v>48</v>
      </c>
      <c r="P18442">
        <v>129</v>
      </c>
    </row>
    <row r="18443" spans="1:16" x14ac:dyDescent="0.25">
      <c r="A18443" t="s">
        <v>49315</v>
      </c>
      <c r="B18443" t="s">
        <v>49311</v>
      </c>
      <c r="C18443" t="s">
        <v>49312</v>
      </c>
      <c r="D18443" t="str">
        <f>"3190"</f>
        <v>3190</v>
      </c>
      <c r="E18443" t="s">
        <v>1748</v>
      </c>
      <c r="F18443" t="s">
        <v>47325</v>
      </c>
      <c r="G18443" t="s">
        <v>47096</v>
      </c>
      <c r="H18443" t="s">
        <v>47055</v>
      </c>
      <c r="I18443" t="s">
        <v>47127</v>
      </c>
      <c r="J18443" t="s">
        <v>47128</v>
      </c>
      <c r="K18443" t="s">
        <v>47113</v>
      </c>
      <c r="L18443">
        <v>15.88</v>
      </c>
      <c r="M18443">
        <v>48</v>
      </c>
      <c r="N18443">
        <v>129</v>
      </c>
      <c r="O18443">
        <v>48</v>
      </c>
      <c r="P18443">
        <v>129</v>
      </c>
    </row>
    <row r="18444" spans="1:16" x14ac:dyDescent="0.25">
      <c r="A18444" t="s">
        <v>49316</v>
      </c>
      <c r="B18444" t="s">
        <v>49311</v>
      </c>
      <c r="C18444" t="s">
        <v>49312</v>
      </c>
      <c r="D18444" t="str">
        <f>"4025"</f>
        <v>4025</v>
      </c>
      <c r="E18444" t="s">
        <v>24724</v>
      </c>
      <c r="F18444" t="s">
        <v>47325</v>
      </c>
      <c r="G18444" t="s">
        <v>47096</v>
      </c>
      <c r="H18444" t="s">
        <v>47055</v>
      </c>
      <c r="I18444" t="s">
        <v>47127</v>
      </c>
      <c r="J18444" t="s">
        <v>47128</v>
      </c>
      <c r="K18444" t="s">
        <v>47113</v>
      </c>
      <c r="L18444">
        <v>15.88</v>
      </c>
      <c r="M18444">
        <v>48</v>
      </c>
      <c r="N18444">
        <v>129</v>
      </c>
      <c r="O18444">
        <v>48</v>
      </c>
      <c r="P18444">
        <v>129</v>
      </c>
    </row>
    <row r="18445" spans="1:16" x14ac:dyDescent="0.25">
      <c r="A18445" t="s">
        <v>49317</v>
      </c>
      <c r="B18445" t="s">
        <v>49318</v>
      </c>
      <c r="C18445" t="s">
        <v>49319</v>
      </c>
      <c r="D18445" t="str">
        <f>"4504"</f>
        <v>4504</v>
      </c>
      <c r="E18445" t="s">
        <v>49320</v>
      </c>
      <c r="F18445" t="s">
        <v>47325</v>
      </c>
      <c r="G18445" t="s">
        <v>47096</v>
      </c>
      <c r="H18445" t="s">
        <v>47055</v>
      </c>
      <c r="I18445" t="s">
        <v>47120</v>
      </c>
      <c r="J18445" t="s">
        <v>47121</v>
      </c>
      <c r="K18445" t="s">
        <v>47113</v>
      </c>
      <c r="L18445">
        <v>39.17</v>
      </c>
      <c r="M18445">
        <v>81</v>
      </c>
      <c r="N18445">
        <v>219</v>
      </c>
      <c r="O18445">
        <v>81</v>
      </c>
      <c r="P18445">
        <v>219</v>
      </c>
    </row>
    <row r="18446" spans="1:16" x14ac:dyDescent="0.25">
      <c r="A18446" t="s">
        <v>49321</v>
      </c>
      <c r="B18446" t="s">
        <v>49322</v>
      </c>
      <c r="C18446" t="s">
        <v>49323</v>
      </c>
      <c r="D18446" t="str">
        <f>"1700"</f>
        <v>1700</v>
      </c>
      <c r="E18446" t="s">
        <v>60</v>
      </c>
      <c r="F18446" t="s">
        <v>47325</v>
      </c>
      <c r="G18446" t="s">
        <v>47091</v>
      </c>
      <c r="H18446" t="s">
        <v>47055</v>
      </c>
      <c r="I18446" t="s">
        <v>47120</v>
      </c>
      <c r="J18446" t="s">
        <v>47121</v>
      </c>
      <c r="K18446" t="s">
        <v>47113</v>
      </c>
      <c r="L18446">
        <v>20.65</v>
      </c>
      <c r="M18446">
        <v>48</v>
      </c>
      <c r="N18446">
        <v>129</v>
      </c>
      <c r="O18446">
        <v>48</v>
      </c>
      <c r="P18446">
        <v>129</v>
      </c>
    </row>
    <row r="18447" spans="1:16" x14ac:dyDescent="0.25">
      <c r="A18447" t="s">
        <v>49324</v>
      </c>
      <c r="B18447" t="s">
        <v>49322</v>
      </c>
      <c r="C18447" t="s">
        <v>49323</v>
      </c>
      <c r="D18447" t="str">
        <f>"4644"</f>
        <v>4644</v>
      </c>
      <c r="E18447" t="s">
        <v>201</v>
      </c>
      <c r="F18447" t="s">
        <v>47325</v>
      </c>
      <c r="G18447" t="s">
        <v>47091</v>
      </c>
      <c r="H18447" t="s">
        <v>47055</v>
      </c>
      <c r="I18447" t="s">
        <v>47120</v>
      </c>
      <c r="J18447" t="s">
        <v>47121</v>
      </c>
      <c r="K18447" t="s">
        <v>47113</v>
      </c>
      <c r="L18447">
        <v>20.65</v>
      </c>
      <c r="M18447">
        <v>48</v>
      </c>
      <c r="N18447">
        <v>129</v>
      </c>
      <c r="O18447">
        <v>48</v>
      </c>
      <c r="P18447">
        <v>129</v>
      </c>
    </row>
    <row r="18448" spans="1:16" x14ac:dyDescent="0.25">
      <c r="A18448" t="s">
        <v>49325</v>
      </c>
      <c r="B18448" t="s">
        <v>49326</v>
      </c>
      <c r="C18448" t="s">
        <v>49327</v>
      </c>
      <c r="D18448" t="str">
        <f>"1700"</f>
        <v>1700</v>
      </c>
      <c r="E18448" t="s">
        <v>60</v>
      </c>
      <c r="F18448" t="s">
        <v>47325</v>
      </c>
      <c r="G18448" t="s">
        <v>47091</v>
      </c>
      <c r="H18448" t="s">
        <v>47055</v>
      </c>
      <c r="I18448" t="s">
        <v>47120</v>
      </c>
      <c r="J18448" t="s">
        <v>47121</v>
      </c>
      <c r="K18448" t="s">
        <v>47113</v>
      </c>
      <c r="L18448">
        <v>23.2</v>
      </c>
      <c r="M18448">
        <v>48</v>
      </c>
      <c r="N18448">
        <v>129</v>
      </c>
      <c r="O18448">
        <v>48</v>
      </c>
      <c r="P18448">
        <v>129</v>
      </c>
    </row>
    <row r="18449" spans="1:16" x14ac:dyDescent="0.25">
      <c r="A18449" t="s">
        <v>49328</v>
      </c>
      <c r="B18449" t="s">
        <v>49329</v>
      </c>
      <c r="C18449" t="s">
        <v>49330</v>
      </c>
      <c r="D18449" t="str">
        <f>"1369"</f>
        <v>1369</v>
      </c>
      <c r="E18449" t="s">
        <v>197</v>
      </c>
      <c r="F18449" t="s">
        <v>47325</v>
      </c>
      <c r="G18449" t="s">
        <v>47091</v>
      </c>
      <c r="H18449" t="s">
        <v>47055</v>
      </c>
      <c r="I18449" t="s">
        <v>47120</v>
      </c>
      <c r="J18449" t="s">
        <v>47121</v>
      </c>
      <c r="K18449" t="s">
        <v>47113</v>
      </c>
      <c r="L18449">
        <v>21.4</v>
      </c>
      <c r="M18449">
        <v>48</v>
      </c>
      <c r="N18449">
        <v>129</v>
      </c>
      <c r="O18449">
        <v>48</v>
      </c>
      <c r="P18449">
        <v>129</v>
      </c>
    </row>
    <row r="18450" spans="1:16" x14ac:dyDescent="0.25">
      <c r="A18450" t="s">
        <v>49331</v>
      </c>
      <c r="B18450" t="s">
        <v>49329</v>
      </c>
      <c r="C18450" t="s">
        <v>49330</v>
      </c>
      <c r="D18450" t="str">
        <f>"1700"</f>
        <v>1700</v>
      </c>
      <c r="E18450" t="s">
        <v>60</v>
      </c>
      <c r="F18450" t="s">
        <v>47325</v>
      </c>
      <c r="G18450" t="s">
        <v>47091</v>
      </c>
      <c r="H18450" t="s">
        <v>47055</v>
      </c>
      <c r="I18450" t="s">
        <v>47120</v>
      </c>
      <c r="J18450" t="s">
        <v>47121</v>
      </c>
      <c r="K18450" t="s">
        <v>47113</v>
      </c>
      <c r="L18450">
        <v>22.38</v>
      </c>
      <c r="M18450">
        <v>48</v>
      </c>
      <c r="N18450">
        <v>129</v>
      </c>
      <c r="O18450">
        <v>48</v>
      </c>
      <c r="P18450">
        <v>129</v>
      </c>
    </row>
    <row r="18451" spans="1:16" x14ac:dyDescent="0.25">
      <c r="A18451" t="s">
        <v>49332</v>
      </c>
      <c r="B18451" t="s">
        <v>49333</v>
      </c>
      <c r="C18451" t="s">
        <v>49334</v>
      </c>
      <c r="D18451" t="str">
        <f>"1106"</f>
        <v>1106</v>
      </c>
      <c r="E18451" t="s">
        <v>460</v>
      </c>
      <c r="F18451" t="s">
        <v>47325</v>
      </c>
      <c r="G18451" t="s">
        <v>47091</v>
      </c>
      <c r="H18451" t="s">
        <v>47055</v>
      </c>
      <c r="I18451" t="s">
        <v>47127</v>
      </c>
      <c r="J18451" t="s">
        <v>47128</v>
      </c>
      <c r="K18451" t="s">
        <v>47113</v>
      </c>
      <c r="L18451">
        <v>12.34</v>
      </c>
      <c r="M18451">
        <v>29</v>
      </c>
      <c r="N18451">
        <v>79</v>
      </c>
      <c r="O18451">
        <v>29</v>
      </c>
      <c r="P18451">
        <v>79</v>
      </c>
    </row>
    <row r="18452" spans="1:16" x14ac:dyDescent="0.25">
      <c r="A18452" t="s">
        <v>49335</v>
      </c>
      <c r="B18452" t="s">
        <v>49333</v>
      </c>
      <c r="C18452" t="s">
        <v>49334</v>
      </c>
      <c r="D18452" t="str">
        <f>"1700"</f>
        <v>1700</v>
      </c>
      <c r="E18452" t="s">
        <v>60</v>
      </c>
      <c r="F18452" t="s">
        <v>47325</v>
      </c>
      <c r="G18452" t="s">
        <v>47091</v>
      </c>
      <c r="H18452" t="s">
        <v>47055</v>
      </c>
      <c r="I18452" t="s">
        <v>47127</v>
      </c>
      <c r="J18452" t="s">
        <v>47128</v>
      </c>
      <c r="K18452" t="s">
        <v>47113</v>
      </c>
      <c r="L18452">
        <v>12.34</v>
      </c>
      <c r="M18452">
        <v>29</v>
      </c>
      <c r="N18452">
        <v>79</v>
      </c>
      <c r="O18452">
        <v>29</v>
      </c>
      <c r="P18452">
        <v>79</v>
      </c>
    </row>
    <row r="18453" spans="1:16" x14ac:dyDescent="0.25">
      <c r="A18453" t="s">
        <v>49336</v>
      </c>
      <c r="B18453" t="s">
        <v>49333</v>
      </c>
      <c r="C18453" t="s">
        <v>49334</v>
      </c>
      <c r="D18453" t="str">
        <f>"3190"</f>
        <v>3190</v>
      </c>
      <c r="E18453" t="s">
        <v>1748</v>
      </c>
      <c r="F18453" t="s">
        <v>47325</v>
      </c>
      <c r="G18453" t="s">
        <v>47091</v>
      </c>
      <c r="H18453" t="s">
        <v>47055</v>
      </c>
      <c r="I18453" t="s">
        <v>47127</v>
      </c>
      <c r="J18453" t="s">
        <v>47128</v>
      </c>
      <c r="K18453" t="s">
        <v>47113</v>
      </c>
      <c r="L18453">
        <v>12.34</v>
      </c>
      <c r="M18453">
        <v>29</v>
      </c>
      <c r="N18453">
        <v>79</v>
      </c>
      <c r="O18453">
        <v>29</v>
      </c>
      <c r="P18453">
        <v>79</v>
      </c>
    </row>
    <row r="18454" spans="1:16" x14ac:dyDescent="0.25">
      <c r="A18454" t="s">
        <v>49337</v>
      </c>
      <c r="B18454" t="s">
        <v>49333</v>
      </c>
      <c r="C18454" t="s">
        <v>49334</v>
      </c>
      <c r="D18454" t="str">
        <f>"6807"</f>
        <v>6807</v>
      </c>
      <c r="E18454" t="s">
        <v>21298</v>
      </c>
      <c r="F18454" t="s">
        <v>47325</v>
      </c>
      <c r="G18454" t="s">
        <v>47091</v>
      </c>
      <c r="H18454" t="s">
        <v>47055</v>
      </c>
      <c r="I18454" t="s">
        <v>47127</v>
      </c>
      <c r="J18454" t="s">
        <v>47128</v>
      </c>
      <c r="K18454" t="s">
        <v>47113</v>
      </c>
      <c r="L18454">
        <v>12.34</v>
      </c>
      <c r="M18454">
        <v>29</v>
      </c>
      <c r="N18454">
        <v>79</v>
      </c>
      <c r="O18454">
        <v>29</v>
      </c>
      <c r="P18454">
        <v>79</v>
      </c>
    </row>
    <row r="18455" spans="1:16" x14ac:dyDescent="0.25">
      <c r="A18455" t="s">
        <v>49338</v>
      </c>
      <c r="B18455" t="s">
        <v>49339</v>
      </c>
      <c r="C18455" t="s">
        <v>49340</v>
      </c>
      <c r="D18455" t="str">
        <f>"1106"</f>
        <v>1106</v>
      </c>
      <c r="E18455" t="s">
        <v>460</v>
      </c>
      <c r="F18455" t="s">
        <v>47325</v>
      </c>
      <c r="G18455" t="s">
        <v>47091</v>
      </c>
      <c r="H18455" t="s">
        <v>47055</v>
      </c>
      <c r="I18455" t="s">
        <v>47127</v>
      </c>
      <c r="J18455" t="s">
        <v>47128</v>
      </c>
      <c r="K18455" t="s">
        <v>47113</v>
      </c>
      <c r="L18455">
        <v>12.56</v>
      </c>
      <c r="M18455">
        <v>29</v>
      </c>
      <c r="N18455">
        <v>79</v>
      </c>
      <c r="O18455">
        <v>29</v>
      </c>
      <c r="P18455">
        <v>79</v>
      </c>
    </row>
    <row r="18456" spans="1:16" x14ac:dyDescent="0.25">
      <c r="A18456" t="s">
        <v>49341</v>
      </c>
      <c r="B18456" t="s">
        <v>49339</v>
      </c>
      <c r="C18456" t="s">
        <v>49340</v>
      </c>
      <c r="D18456" t="str">
        <f>"1700"</f>
        <v>1700</v>
      </c>
      <c r="E18456" t="s">
        <v>60</v>
      </c>
      <c r="F18456" t="s">
        <v>47325</v>
      </c>
      <c r="G18456" t="s">
        <v>47091</v>
      </c>
      <c r="H18456" t="s">
        <v>47055</v>
      </c>
      <c r="I18456" t="s">
        <v>47127</v>
      </c>
      <c r="J18456" t="s">
        <v>47128</v>
      </c>
      <c r="K18456" t="s">
        <v>47113</v>
      </c>
      <c r="L18456">
        <v>12.56</v>
      </c>
      <c r="M18456">
        <v>29</v>
      </c>
      <c r="N18456">
        <v>79</v>
      </c>
      <c r="O18456">
        <v>29</v>
      </c>
      <c r="P18456">
        <v>79</v>
      </c>
    </row>
    <row r="18457" spans="1:16" x14ac:dyDescent="0.25">
      <c r="A18457" t="s">
        <v>49342</v>
      </c>
      <c r="B18457" t="s">
        <v>49339</v>
      </c>
      <c r="C18457" t="s">
        <v>49340</v>
      </c>
      <c r="D18457" t="str">
        <f>"3501"</f>
        <v>3501</v>
      </c>
      <c r="E18457" t="s">
        <v>3758</v>
      </c>
      <c r="F18457" t="s">
        <v>47325</v>
      </c>
      <c r="G18457" t="s">
        <v>47091</v>
      </c>
      <c r="H18457" t="s">
        <v>47055</v>
      </c>
      <c r="I18457" t="s">
        <v>47127</v>
      </c>
      <c r="J18457" t="s">
        <v>47128</v>
      </c>
      <c r="K18457" t="s">
        <v>47113</v>
      </c>
      <c r="L18457">
        <v>12.56</v>
      </c>
      <c r="M18457">
        <v>29</v>
      </c>
      <c r="N18457">
        <v>79</v>
      </c>
      <c r="O18457">
        <v>29</v>
      </c>
      <c r="P18457">
        <v>79</v>
      </c>
    </row>
    <row r="18458" spans="1:16" x14ac:dyDescent="0.25">
      <c r="A18458" t="s">
        <v>49343</v>
      </c>
      <c r="B18458" t="s">
        <v>49339</v>
      </c>
      <c r="C18458" t="s">
        <v>49340</v>
      </c>
      <c r="D18458" t="str">
        <f>"6474"</f>
        <v>6474</v>
      </c>
      <c r="E18458" t="s">
        <v>19570</v>
      </c>
      <c r="F18458" t="s">
        <v>47325</v>
      </c>
      <c r="G18458" t="s">
        <v>47091</v>
      </c>
      <c r="H18458" t="s">
        <v>47055</v>
      </c>
      <c r="I18458" t="s">
        <v>47127</v>
      </c>
      <c r="J18458" t="s">
        <v>47128</v>
      </c>
      <c r="K18458" t="s">
        <v>47113</v>
      </c>
      <c r="L18458">
        <v>12.56</v>
      </c>
      <c r="M18458">
        <v>29</v>
      </c>
      <c r="N18458">
        <v>79</v>
      </c>
      <c r="O18458">
        <v>29</v>
      </c>
      <c r="P18458">
        <v>79</v>
      </c>
    </row>
    <row r="18459" spans="1:16" x14ac:dyDescent="0.25">
      <c r="A18459" t="s">
        <v>49344</v>
      </c>
      <c r="B18459" t="s">
        <v>49345</v>
      </c>
      <c r="C18459" t="s">
        <v>49346</v>
      </c>
      <c r="D18459" t="str">
        <f>"1106"</f>
        <v>1106</v>
      </c>
      <c r="E18459" t="s">
        <v>460</v>
      </c>
      <c r="F18459" t="s">
        <v>47325</v>
      </c>
      <c r="G18459" t="s">
        <v>47091</v>
      </c>
      <c r="H18459" t="s">
        <v>47055</v>
      </c>
      <c r="I18459" t="s">
        <v>47127</v>
      </c>
      <c r="J18459" t="s">
        <v>47128</v>
      </c>
      <c r="K18459" t="s">
        <v>47113</v>
      </c>
      <c r="L18459">
        <v>11.27</v>
      </c>
      <c r="M18459">
        <v>26</v>
      </c>
      <c r="N18459">
        <v>69</v>
      </c>
      <c r="O18459">
        <v>26</v>
      </c>
      <c r="P18459">
        <v>69</v>
      </c>
    </row>
    <row r="18460" spans="1:16" x14ac:dyDescent="0.25">
      <c r="A18460" t="s">
        <v>49347</v>
      </c>
      <c r="B18460" t="s">
        <v>49345</v>
      </c>
      <c r="C18460" t="s">
        <v>49346</v>
      </c>
      <c r="D18460" t="str">
        <f>"1700"</f>
        <v>1700</v>
      </c>
      <c r="E18460" t="s">
        <v>60</v>
      </c>
      <c r="F18460" t="s">
        <v>47325</v>
      </c>
      <c r="G18460" t="s">
        <v>47091</v>
      </c>
      <c r="H18460" t="s">
        <v>47055</v>
      </c>
      <c r="I18460" t="s">
        <v>47127</v>
      </c>
      <c r="J18460" t="s">
        <v>47128</v>
      </c>
      <c r="K18460" t="s">
        <v>47113</v>
      </c>
      <c r="L18460">
        <v>11.27</v>
      </c>
      <c r="M18460">
        <v>26</v>
      </c>
      <c r="N18460">
        <v>69</v>
      </c>
      <c r="O18460">
        <v>26</v>
      </c>
      <c r="P18460">
        <v>69</v>
      </c>
    </row>
    <row r="18461" spans="1:16" x14ac:dyDescent="0.25">
      <c r="A18461" t="s">
        <v>49348</v>
      </c>
      <c r="B18461" t="s">
        <v>49349</v>
      </c>
      <c r="C18461" t="s">
        <v>49350</v>
      </c>
      <c r="D18461" t="str">
        <f>"1106"</f>
        <v>1106</v>
      </c>
      <c r="E18461" t="s">
        <v>460</v>
      </c>
      <c r="F18461" t="s">
        <v>47325</v>
      </c>
      <c r="G18461" t="s">
        <v>47091</v>
      </c>
      <c r="H18461" t="s">
        <v>47055</v>
      </c>
      <c r="I18461" t="s">
        <v>47127</v>
      </c>
      <c r="J18461" t="s">
        <v>47128</v>
      </c>
      <c r="K18461" t="s">
        <v>47113</v>
      </c>
      <c r="L18461">
        <v>11.27</v>
      </c>
      <c r="M18461">
        <v>26</v>
      </c>
      <c r="N18461">
        <v>69</v>
      </c>
      <c r="O18461">
        <v>26</v>
      </c>
      <c r="P18461">
        <v>69</v>
      </c>
    </row>
    <row r="18462" spans="1:16" x14ac:dyDescent="0.25">
      <c r="A18462" t="s">
        <v>49351</v>
      </c>
      <c r="B18462" t="s">
        <v>49349</v>
      </c>
      <c r="C18462" t="s">
        <v>49350</v>
      </c>
      <c r="D18462" t="str">
        <f>"1700"</f>
        <v>1700</v>
      </c>
      <c r="E18462" t="s">
        <v>60</v>
      </c>
      <c r="F18462" t="s">
        <v>47325</v>
      </c>
      <c r="G18462" t="s">
        <v>47091</v>
      </c>
      <c r="H18462" t="s">
        <v>47055</v>
      </c>
      <c r="I18462" t="s">
        <v>47127</v>
      </c>
      <c r="J18462" t="s">
        <v>47128</v>
      </c>
      <c r="K18462" t="s">
        <v>47113</v>
      </c>
      <c r="L18462">
        <v>11.27</v>
      </c>
      <c r="M18462">
        <v>26</v>
      </c>
      <c r="N18462">
        <v>69</v>
      </c>
      <c r="O18462">
        <v>26</v>
      </c>
      <c r="P18462">
        <v>69</v>
      </c>
    </row>
    <row r="18463" spans="1:16" x14ac:dyDescent="0.25">
      <c r="A18463" t="s">
        <v>49352</v>
      </c>
      <c r="B18463" t="s">
        <v>49349</v>
      </c>
      <c r="C18463" t="s">
        <v>49350</v>
      </c>
      <c r="D18463" t="str">
        <f>"4025"</f>
        <v>4025</v>
      </c>
      <c r="E18463" t="s">
        <v>24724</v>
      </c>
      <c r="F18463" t="s">
        <v>47325</v>
      </c>
      <c r="G18463" t="s">
        <v>47091</v>
      </c>
      <c r="H18463" t="s">
        <v>47055</v>
      </c>
      <c r="I18463" t="s">
        <v>47127</v>
      </c>
      <c r="J18463" t="s">
        <v>47128</v>
      </c>
      <c r="K18463" t="s">
        <v>47113</v>
      </c>
      <c r="L18463">
        <v>11.27</v>
      </c>
      <c r="M18463">
        <v>26</v>
      </c>
      <c r="N18463">
        <v>69</v>
      </c>
      <c r="O18463">
        <v>26</v>
      </c>
      <c r="P18463">
        <v>69</v>
      </c>
    </row>
    <row r="18464" spans="1:16" x14ac:dyDescent="0.25">
      <c r="A18464" t="s">
        <v>49353</v>
      </c>
      <c r="B18464" t="s">
        <v>49354</v>
      </c>
      <c r="C18464" t="s">
        <v>19667</v>
      </c>
      <c r="D18464" t="str">
        <f>"1106"</f>
        <v>1106</v>
      </c>
      <c r="E18464" t="s">
        <v>460</v>
      </c>
      <c r="F18464" t="s">
        <v>47325</v>
      </c>
      <c r="G18464" t="s">
        <v>47091</v>
      </c>
      <c r="H18464" t="s">
        <v>47055</v>
      </c>
      <c r="I18464" t="s">
        <v>47127</v>
      </c>
      <c r="J18464" t="s">
        <v>47128</v>
      </c>
      <c r="K18464" t="s">
        <v>47113</v>
      </c>
      <c r="L18464">
        <v>11.46</v>
      </c>
      <c r="M18464">
        <v>29</v>
      </c>
      <c r="N18464">
        <v>79</v>
      </c>
      <c r="O18464">
        <v>29</v>
      </c>
      <c r="P18464">
        <v>79</v>
      </c>
    </row>
    <row r="18465" spans="1:16" x14ac:dyDescent="0.25">
      <c r="A18465" t="s">
        <v>49355</v>
      </c>
      <c r="B18465" t="s">
        <v>49356</v>
      </c>
      <c r="C18465" t="s">
        <v>49357</v>
      </c>
      <c r="D18465" t="str">
        <f>"1106"</f>
        <v>1106</v>
      </c>
      <c r="E18465" t="s">
        <v>460</v>
      </c>
      <c r="F18465" t="s">
        <v>47325</v>
      </c>
      <c r="G18465" t="s">
        <v>47091</v>
      </c>
      <c r="H18465" t="s">
        <v>47055</v>
      </c>
      <c r="I18465" t="s">
        <v>47127</v>
      </c>
      <c r="J18465" t="s">
        <v>47128</v>
      </c>
      <c r="K18465" t="s">
        <v>47113</v>
      </c>
      <c r="L18465">
        <v>12.34</v>
      </c>
      <c r="M18465">
        <v>29</v>
      </c>
      <c r="N18465">
        <v>79</v>
      </c>
      <c r="O18465">
        <v>29</v>
      </c>
      <c r="P18465">
        <v>79</v>
      </c>
    </row>
    <row r="18466" spans="1:16" x14ac:dyDescent="0.25">
      <c r="A18466" t="s">
        <v>49358</v>
      </c>
      <c r="B18466" t="s">
        <v>49359</v>
      </c>
      <c r="C18466" t="s">
        <v>49360</v>
      </c>
      <c r="D18466" t="str">
        <f>"1106"</f>
        <v>1106</v>
      </c>
      <c r="E18466" t="s">
        <v>460</v>
      </c>
      <c r="F18466" t="s">
        <v>47325</v>
      </c>
      <c r="G18466" t="s">
        <v>47091</v>
      </c>
      <c r="H18466" t="s">
        <v>47055</v>
      </c>
      <c r="I18466" t="s">
        <v>47127</v>
      </c>
      <c r="J18466" t="s">
        <v>47128</v>
      </c>
      <c r="K18466" t="s">
        <v>47113</v>
      </c>
      <c r="L18466">
        <v>14.91</v>
      </c>
      <c r="M18466">
        <v>48</v>
      </c>
      <c r="N18466">
        <v>129</v>
      </c>
      <c r="O18466">
        <v>48</v>
      </c>
      <c r="P18466">
        <v>129</v>
      </c>
    </row>
    <row r="18467" spans="1:16" x14ac:dyDescent="0.25">
      <c r="A18467" t="s">
        <v>41089</v>
      </c>
      <c r="B18467" t="s">
        <v>11135</v>
      </c>
      <c r="C18467" t="s">
        <v>11136</v>
      </c>
      <c r="D18467" t="str">
        <f>"1700"</f>
        <v>1700</v>
      </c>
      <c r="E18467" t="s">
        <v>60</v>
      </c>
      <c r="F18467" t="s">
        <v>1717</v>
      </c>
      <c r="G18467" t="s">
        <v>47101</v>
      </c>
      <c r="H18467" t="s">
        <v>47054</v>
      </c>
      <c r="I18467" t="s">
        <v>47114</v>
      </c>
      <c r="J18467" t="s">
        <v>47115</v>
      </c>
      <c r="K18467" t="s">
        <v>47113</v>
      </c>
      <c r="L18467">
        <v>30.75</v>
      </c>
      <c r="M18467">
        <v>77</v>
      </c>
      <c r="N18467">
        <v>0</v>
      </c>
      <c r="O18467">
        <v>77</v>
      </c>
      <c r="P18467">
        <v>0</v>
      </c>
    </row>
    <row r="18468" spans="1:16" x14ac:dyDescent="0.25">
      <c r="A18468" t="s">
        <v>41090</v>
      </c>
      <c r="B18468" t="s">
        <v>11137</v>
      </c>
      <c r="C18468" t="s">
        <v>11138</v>
      </c>
      <c r="D18468" t="str">
        <f>"1035"</f>
        <v>1035</v>
      </c>
      <c r="E18468" t="s">
        <v>758</v>
      </c>
      <c r="F18468" t="s">
        <v>0</v>
      </c>
      <c r="G18468" t="s">
        <v>47091</v>
      </c>
      <c r="H18468" t="s">
        <v>47054</v>
      </c>
      <c r="I18468" t="s">
        <v>47111</v>
      </c>
      <c r="J18468" t="s">
        <v>47112</v>
      </c>
      <c r="K18468" t="s">
        <v>47113</v>
      </c>
      <c r="L18468">
        <v>6.4</v>
      </c>
      <c r="M18468">
        <v>16</v>
      </c>
      <c r="N18468">
        <v>0</v>
      </c>
      <c r="O18468">
        <v>16</v>
      </c>
      <c r="P18468">
        <v>0</v>
      </c>
    </row>
    <row r="18469" spans="1:16" x14ac:dyDescent="0.25">
      <c r="A18469" t="s">
        <v>41091</v>
      </c>
      <c r="B18469" t="s">
        <v>11137</v>
      </c>
      <c r="C18469" t="s">
        <v>11138</v>
      </c>
      <c r="D18469" t="str">
        <f>"1746"</f>
        <v>1746</v>
      </c>
      <c r="E18469" t="s">
        <v>807</v>
      </c>
      <c r="F18469" t="s">
        <v>0</v>
      </c>
      <c r="G18469" t="s">
        <v>47091</v>
      </c>
      <c r="H18469" t="s">
        <v>47054</v>
      </c>
      <c r="I18469" t="s">
        <v>47111</v>
      </c>
      <c r="J18469" t="s">
        <v>47112</v>
      </c>
      <c r="K18469" t="s">
        <v>47113</v>
      </c>
      <c r="L18469">
        <v>6.4</v>
      </c>
      <c r="M18469">
        <v>16</v>
      </c>
      <c r="N18469">
        <v>0</v>
      </c>
      <c r="O18469">
        <v>16</v>
      </c>
      <c r="P18469">
        <v>0</v>
      </c>
    </row>
    <row r="18470" spans="1:16" x14ac:dyDescent="0.25">
      <c r="A18470" t="s">
        <v>41092</v>
      </c>
      <c r="B18470" t="s">
        <v>15851</v>
      </c>
      <c r="C18470" t="s">
        <v>15852</v>
      </c>
      <c r="D18470" t="str">
        <f>"1700"</f>
        <v>1700</v>
      </c>
      <c r="E18470" t="s">
        <v>60</v>
      </c>
      <c r="F18470" t="s">
        <v>3750</v>
      </c>
      <c r="G18470" t="s">
        <v>47097</v>
      </c>
      <c r="H18470" t="s">
        <v>47054</v>
      </c>
      <c r="I18470" t="s">
        <v>47118</v>
      </c>
      <c r="J18470" t="s">
        <v>47119</v>
      </c>
      <c r="K18470" t="s">
        <v>47113</v>
      </c>
      <c r="L18470">
        <v>11.21</v>
      </c>
      <c r="M18470">
        <v>44</v>
      </c>
      <c r="N18470">
        <v>0</v>
      </c>
      <c r="O18470">
        <v>44</v>
      </c>
      <c r="P18470">
        <v>0</v>
      </c>
    </row>
    <row r="18471" spans="1:16" x14ac:dyDescent="0.25">
      <c r="A18471" t="s">
        <v>41093</v>
      </c>
      <c r="B18471" t="s">
        <v>11139</v>
      </c>
      <c r="C18471" t="s">
        <v>11140</v>
      </c>
      <c r="D18471" t="str">
        <f>"1700"</f>
        <v>1700</v>
      </c>
      <c r="E18471" t="s">
        <v>60</v>
      </c>
      <c r="F18471" t="s">
        <v>1</v>
      </c>
      <c r="G18471" t="s">
        <v>47101</v>
      </c>
      <c r="H18471" t="s">
        <v>47054</v>
      </c>
      <c r="I18471" t="s">
        <v>47118</v>
      </c>
      <c r="J18471" t="s">
        <v>47119</v>
      </c>
      <c r="K18471" t="s">
        <v>47113</v>
      </c>
      <c r="L18471">
        <v>24.38</v>
      </c>
      <c r="M18471">
        <v>60</v>
      </c>
      <c r="N18471">
        <v>0</v>
      </c>
      <c r="O18471">
        <v>60</v>
      </c>
      <c r="P18471">
        <v>0</v>
      </c>
    </row>
    <row r="18472" spans="1:16" x14ac:dyDescent="0.25">
      <c r="A18472" t="s">
        <v>41094</v>
      </c>
      <c r="B18472" t="s">
        <v>11141</v>
      </c>
      <c r="C18472" t="s">
        <v>11142</v>
      </c>
      <c r="D18472" t="str">
        <f>"2382"</f>
        <v>2382</v>
      </c>
      <c r="E18472" t="s">
        <v>11143</v>
      </c>
      <c r="F18472" t="s">
        <v>3546</v>
      </c>
      <c r="G18472" t="s">
        <v>47101</v>
      </c>
      <c r="H18472" t="s">
        <v>47054</v>
      </c>
      <c r="I18472" t="s">
        <v>47118</v>
      </c>
      <c r="J18472" t="s">
        <v>47119</v>
      </c>
      <c r="K18472" t="s">
        <v>47113</v>
      </c>
      <c r="L18472">
        <v>16.27</v>
      </c>
      <c r="M18472">
        <v>40</v>
      </c>
      <c r="N18472">
        <v>0</v>
      </c>
      <c r="O18472">
        <v>40</v>
      </c>
      <c r="P18472">
        <v>0</v>
      </c>
    </row>
    <row r="18473" spans="1:16" x14ac:dyDescent="0.25">
      <c r="A18473" t="s">
        <v>41095</v>
      </c>
      <c r="B18473" t="s">
        <v>11144</v>
      </c>
      <c r="C18473" t="s">
        <v>11145</v>
      </c>
      <c r="D18473" t="str">
        <f>"4048"</f>
        <v>4048</v>
      </c>
      <c r="E18473" t="s">
        <v>710</v>
      </c>
      <c r="F18473" t="s">
        <v>2068</v>
      </c>
      <c r="G18473" t="s">
        <v>47091</v>
      </c>
      <c r="H18473" t="s">
        <v>47054</v>
      </c>
      <c r="I18473" t="s">
        <v>47111</v>
      </c>
      <c r="J18473" t="s">
        <v>47112</v>
      </c>
      <c r="K18473" t="s">
        <v>47113</v>
      </c>
      <c r="L18473">
        <v>18.89</v>
      </c>
      <c r="M18473">
        <v>46</v>
      </c>
      <c r="N18473">
        <v>0</v>
      </c>
      <c r="O18473">
        <v>46</v>
      </c>
      <c r="P18473">
        <v>0</v>
      </c>
    </row>
    <row r="18474" spans="1:16" x14ac:dyDescent="0.25">
      <c r="A18474" t="s">
        <v>41096</v>
      </c>
      <c r="B18474" t="s">
        <v>11146</v>
      </c>
      <c r="C18474" t="s">
        <v>3331</v>
      </c>
      <c r="D18474" t="str">
        <f>"1001"</f>
        <v>1001</v>
      </c>
      <c r="E18474" t="s">
        <v>42</v>
      </c>
      <c r="F18474" t="s">
        <v>2068</v>
      </c>
      <c r="G18474" t="s">
        <v>47101</v>
      </c>
      <c r="H18474" t="s">
        <v>47054</v>
      </c>
      <c r="I18474" t="s">
        <v>47120</v>
      </c>
      <c r="J18474" t="s">
        <v>47121</v>
      </c>
      <c r="K18474" t="s">
        <v>47113</v>
      </c>
      <c r="L18474">
        <v>19.13</v>
      </c>
      <c r="M18474">
        <v>43</v>
      </c>
      <c r="N18474">
        <v>0</v>
      </c>
      <c r="O18474">
        <v>43</v>
      </c>
      <c r="P18474">
        <v>0</v>
      </c>
    </row>
    <row r="18475" spans="1:16" x14ac:dyDescent="0.25">
      <c r="A18475" t="s">
        <v>41097</v>
      </c>
      <c r="B18475" t="s">
        <v>11146</v>
      </c>
      <c r="C18475" t="s">
        <v>3331</v>
      </c>
      <c r="D18475" t="str">
        <f>"1847"</f>
        <v>1847</v>
      </c>
      <c r="E18475" t="s">
        <v>11147</v>
      </c>
      <c r="F18475" t="s">
        <v>2068</v>
      </c>
      <c r="G18475" t="s">
        <v>47101</v>
      </c>
      <c r="H18475" t="s">
        <v>47054</v>
      </c>
      <c r="I18475" t="s">
        <v>47120</v>
      </c>
      <c r="J18475" t="s">
        <v>47121</v>
      </c>
      <c r="K18475" t="s">
        <v>47113</v>
      </c>
      <c r="L18475">
        <v>19.13</v>
      </c>
      <c r="M18475">
        <v>43</v>
      </c>
      <c r="N18475">
        <v>0</v>
      </c>
      <c r="O18475">
        <v>43</v>
      </c>
      <c r="P18475">
        <v>0</v>
      </c>
    </row>
    <row r="18476" spans="1:16" x14ac:dyDescent="0.25">
      <c r="A18476" t="s">
        <v>41098</v>
      </c>
      <c r="B18476" t="s">
        <v>11146</v>
      </c>
      <c r="C18476" t="s">
        <v>3331</v>
      </c>
      <c r="D18476" t="str">
        <f>"4048"</f>
        <v>4048</v>
      </c>
      <c r="E18476" t="s">
        <v>710</v>
      </c>
      <c r="F18476" t="s">
        <v>2068</v>
      </c>
      <c r="G18476" t="s">
        <v>47101</v>
      </c>
      <c r="H18476" t="s">
        <v>47054</v>
      </c>
      <c r="I18476" t="s">
        <v>47120</v>
      </c>
      <c r="J18476" t="s">
        <v>47121</v>
      </c>
      <c r="K18476" t="s">
        <v>47113</v>
      </c>
      <c r="L18476">
        <v>19.13</v>
      </c>
      <c r="M18476">
        <v>43</v>
      </c>
      <c r="N18476">
        <v>0</v>
      </c>
      <c r="O18476">
        <v>43</v>
      </c>
      <c r="P18476">
        <v>0</v>
      </c>
    </row>
    <row r="18477" spans="1:16" x14ac:dyDescent="0.25">
      <c r="A18477" t="s">
        <v>41099</v>
      </c>
      <c r="B18477" t="s">
        <v>11146</v>
      </c>
      <c r="C18477" t="s">
        <v>3331</v>
      </c>
      <c r="D18477" t="str">
        <f>"4868"</f>
        <v>4868</v>
      </c>
      <c r="E18477" t="s">
        <v>11148</v>
      </c>
      <c r="F18477" t="s">
        <v>2068</v>
      </c>
      <c r="G18477" t="s">
        <v>47101</v>
      </c>
      <c r="H18477" t="s">
        <v>47054</v>
      </c>
      <c r="I18477" t="s">
        <v>47120</v>
      </c>
      <c r="J18477" t="s">
        <v>47121</v>
      </c>
      <c r="K18477" t="s">
        <v>47113</v>
      </c>
      <c r="L18477">
        <v>19.13</v>
      </c>
      <c r="M18477">
        <v>43</v>
      </c>
      <c r="N18477">
        <v>0</v>
      </c>
      <c r="O18477">
        <v>43</v>
      </c>
      <c r="P18477">
        <v>0</v>
      </c>
    </row>
    <row r="18478" spans="1:16" x14ac:dyDescent="0.25">
      <c r="A18478" t="s">
        <v>41100</v>
      </c>
      <c r="B18478" t="s">
        <v>11146</v>
      </c>
      <c r="C18478" t="s">
        <v>3331</v>
      </c>
      <c r="D18478" t="str">
        <f>"6475"</f>
        <v>6475</v>
      </c>
      <c r="E18478" t="s">
        <v>9399</v>
      </c>
      <c r="F18478" t="s">
        <v>2068</v>
      </c>
      <c r="G18478" t="s">
        <v>47101</v>
      </c>
      <c r="H18478" t="s">
        <v>47054</v>
      </c>
      <c r="I18478" t="s">
        <v>47120</v>
      </c>
      <c r="J18478" t="s">
        <v>47121</v>
      </c>
      <c r="K18478" t="s">
        <v>47113</v>
      </c>
      <c r="L18478">
        <v>19.13</v>
      </c>
      <c r="M18478">
        <v>43</v>
      </c>
      <c r="N18478">
        <v>0</v>
      </c>
      <c r="O18478">
        <v>43</v>
      </c>
      <c r="P18478">
        <v>0</v>
      </c>
    </row>
    <row r="18479" spans="1:16" x14ac:dyDescent="0.25">
      <c r="A18479" t="s">
        <v>41101</v>
      </c>
      <c r="B18479" t="s">
        <v>11149</v>
      </c>
      <c r="C18479" t="s">
        <v>11150</v>
      </c>
      <c r="D18479" t="str">
        <f>"6875"</f>
        <v>6875</v>
      </c>
      <c r="E18479" t="s">
        <v>11151</v>
      </c>
      <c r="F18479" t="s">
        <v>2068</v>
      </c>
      <c r="G18479" t="s">
        <v>47101</v>
      </c>
      <c r="H18479" t="s">
        <v>47054</v>
      </c>
      <c r="I18479" t="s">
        <v>47118</v>
      </c>
      <c r="J18479" t="s">
        <v>47119</v>
      </c>
      <c r="K18479" t="s">
        <v>47113</v>
      </c>
      <c r="L18479">
        <v>39.71</v>
      </c>
      <c r="M18479">
        <v>73</v>
      </c>
      <c r="N18479">
        <v>0</v>
      </c>
      <c r="O18479">
        <v>73</v>
      </c>
      <c r="P18479">
        <v>0</v>
      </c>
    </row>
    <row r="18480" spans="1:16" x14ac:dyDescent="0.25">
      <c r="A18480" t="s">
        <v>41102</v>
      </c>
      <c r="B18480" t="s">
        <v>11152</v>
      </c>
      <c r="C18480" t="s">
        <v>11153</v>
      </c>
      <c r="D18480" t="str">
        <f>"4904"</f>
        <v>4904</v>
      </c>
      <c r="E18480" t="s">
        <v>11154</v>
      </c>
      <c r="F18480" t="s">
        <v>3546</v>
      </c>
      <c r="G18480" t="s">
        <v>47101</v>
      </c>
      <c r="H18480" t="s">
        <v>47054</v>
      </c>
      <c r="I18480" t="s">
        <v>47120</v>
      </c>
      <c r="J18480" t="s">
        <v>47121</v>
      </c>
      <c r="K18480" t="s">
        <v>47113</v>
      </c>
      <c r="L18480">
        <v>37.06</v>
      </c>
      <c r="M18480">
        <v>91</v>
      </c>
      <c r="N18480">
        <v>0</v>
      </c>
      <c r="O18480">
        <v>91</v>
      </c>
      <c r="P18480">
        <v>0</v>
      </c>
    </row>
    <row r="18481" spans="1:16" x14ac:dyDescent="0.25">
      <c r="A18481" t="s">
        <v>41103</v>
      </c>
      <c r="B18481" t="s">
        <v>11155</v>
      </c>
      <c r="C18481" t="s">
        <v>11156</v>
      </c>
      <c r="D18481" t="s">
        <v>964</v>
      </c>
      <c r="E18481" t="s">
        <v>965</v>
      </c>
      <c r="F18481" t="s">
        <v>5</v>
      </c>
      <c r="G18481" t="s">
        <v>47101</v>
      </c>
      <c r="H18481" t="s">
        <v>47054</v>
      </c>
      <c r="I18481" t="s">
        <v>47116</v>
      </c>
      <c r="J18481" t="s">
        <v>47117</v>
      </c>
      <c r="K18481" t="s">
        <v>47113</v>
      </c>
      <c r="L18481">
        <v>31.2</v>
      </c>
      <c r="M18481">
        <v>73</v>
      </c>
      <c r="N18481">
        <v>0</v>
      </c>
      <c r="O18481">
        <v>73</v>
      </c>
      <c r="P18481">
        <v>0</v>
      </c>
    </row>
    <row r="18482" spans="1:16" x14ac:dyDescent="0.25">
      <c r="A18482" t="s">
        <v>41104</v>
      </c>
      <c r="B18482" t="s">
        <v>15853</v>
      </c>
      <c r="C18482" t="s">
        <v>15854</v>
      </c>
      <c r="D18482" t="str">
        <f>"1826"</f>
        <v>1826</v>
      </c>
      <c r="E18482" t="s">
        <v>1074</v>
      </c>
      <c r="F18482" t="s">
        <v>3750</v>
      </c>
      <c r="G18482" t="s">
        <v>47093</v>
      </c>
      <c r="H18482" t="s">
        <v>47054</v>
      </c>
      <c r="I18482" t="s">
        <v>47116</v>
      </c>
      <c r="J18482" t="s">
        <v>47117</v>
      </c>
      <c r="K18482" t="s">
        <v>47113</v>
      </c>
      <c r="L18482">
        <v>18.29</v>
      </c>
      <c r="M18482">
        <v>72</v>
      </c>
      <c r="N18482">
        <v>0</v>
      </c>
      <c r="O18482">
        <v>72</v>
      </c>
      <c r="P18482">
        <v>0</v>
      </c>
    </row>
    <row r="18483" spans="1:16" x14ac:dyDescent="0.25">
      <c r="A18483" t="s">
        <v>41105</v>
      </c>
      <c r="B18483" t="s">
        <v>18422</v>
      </c>
      <c r="C18483" t="s">
        <v>18423</v>
      </c>
      <c r="D18483" t="str">
        <f>"4000"</f>
        <v>4000</v>
      </c>
      <c r="E18483" t="s">
        <v>18424</v>
      </c>
      <c r="F18483" t="s">
        <v>3750</v>
      </c>
      <c r="G18483" t="s">
        <v>47093</v>
      </c>
      <c r="H18483" t="s">
        <v>47054</v>
      </c>
      <c r="I18483" t="s">
        <v>47116</v>
      </c>
      <c r="J18483" t="s">
        <v>47117</v>
      </c>
      <c r="K18483" t="s">
        <v>47113</v>
      </c>
      <c r="L18483">
        <v>24.52</v>
      </c>
      <c r="M18483">
        <v>69</v>
      </c>
      <c r="N18483">
        <v>0</v>
      </c>
      <c r="O18483">
        <v>69</v>
      </c>
      <c r="P18483">
        <v>0</v>
      </c>
    </row>
    <row r="18484" spans="1:16" x14ac:dyDescent="0.25">
      <c r="A18484" t="s">
        <v>41106</v>
      </c>
      <c r="B18484" t="s">
        <v>18422</v>
      </c>
      <c r="C18484" t="s">
        <v>18423</v>
      </c>
      <c r="D18484" t="str">
        <f>"6500"</f>
        <v>6500</v>
      </c>
      <c r="E18484" t="s">
        <v>18425</v>
      </c>
      <c r="F18484" t="s">
        <v>3750</v>
      </c>
      <c r="G18484" t="s">
        <v>47093</v>
      </c>
      <c r="H18484" t="s">
        <v>47054</v>
      </c>
      <c r="I18484" t="s">
        <v>47116</v>
      </c>
      <c r="J18484" t="s">
        <v>47117</v>
      </c>
      <c r="K18484" t="s">
        <v>47113</v>
      </c>
      <c r="L18484">
        <v>24.52</v>
      </c>
      <c r="M18484">
        <v>69</v>
      </c>
      <c r="N18484">
        <v>0</v>
      </c>
      <c r="O18484">
        <v>69</v>
      </c>
      <c r="P18484">
        <v>0</v>
      </c>
    </row>
    <row r="18485" spans="1:16" x14ac:dyDescent="0.25">
      <c r="A18485" t="s">
        <v>41107</v>
      </c>
      <c r="B18485" t="s">
        <v>18426</v>
      </c>
      <c r="C18485" t="s">
        <v>18427</v>
      </c>
      <c r="D18485" t="str">
        <f>"1001"</f>
        <v>1001</v>
      </c>
      <c r="E18485" t="s">
        <v>18428</v>
      </c>
      <c r="F18485" t="s">
        <v>3750</v>
      </c>
      <c r="G18485" t="s">
        <v>47099</v>
      </c>
      <c r="H18485" t="s">
        <v>47054</v>
      </c>
      <c r="I18485" t="s">
        <v>47116</v>
      </c>
      <c r="J18485" t="s">
        <v>47117</v>
      </c>
      <c r="K18485" t="s">
        <v>47113</v>
      </c>
      <c r="L18485">
        <v>24.79</v>
      </c>
      <c r="M18485">
        <v>69</v>
      </c>
      <c r="N18485">
        <v>0</v>
      </c>
      <c r="O18485">
        <v>69</v>
      </c>
      <c r="P18485">
        <v>0</v>
      </c>
    </row>
    <row r="18486" spans="1:16" x14ac:dyDescent="0.25">
      <c r="A18486" t="s">
        <v>41108</v>
      </c>
      <c r="B18486" t="s">
        <v>15855</v>
      </c>
      <c r="C18486" t="s">
        <v>15856</v>
      </c>
      <c r="D18486" t="str">
        <f>"1800"</f>
        <v>1800</v>
      </c>
      <c r="E18486" t="s">
        <v>21588</v>
      </c>
      <c r="F18486" t="s">
        <v>3750</v>
      </c>
      <c r="G18486" t="s">
        <v>49029</v>
      </c>
      <c r="H18486" t="s">
        <v>47054</v>
      </c>
      <c r="I18486" t="s">
        <v>47116</v>
      </c>
      <c r="J18486" t="s">
        <v>47117</v>
      </c>
      <c r="K18486" t="s">
        <v>47113</v>
      </c>
      <c r="L18486">
        <v>19.34</v>
      </c>
      <c r="M18486">
        <v>67</v>
      </c>
      <c r="N18486">
        <v>0</v>
      </c>
      <c r="O18486">
        <v>67</v>
      </c>
      <c r="P18486">
        <v>0</v>
      </c>
    </row>
    <row r="18487" spans="1:16" x14ac:dyDescent="0.25">
      <c r="A18487" t="s">
        <v>41109</v>
      </c>
      <c r="B18487" t="s">
        <v>15855</v>
      </c>
      <c r="C18487" t="s">
        <v>15856</v>
      </c>
      <c r="D18487" t="str">
        <f>"1826"</f>
        <v>1826</v>
      </c>
      <c r="E18487" t="s">
        <v>1074</v>
      </c>
      <c r="F18487" t="s">
        <v>3750</v>
      </c>
      <c r="G18487" t="s">
        <v>49029</v>
      </c>
      <c r="H18487" t="s">
        <v>47054</v>
      </c>
      <c r="I18487" t="s">
        <v>47116</v>
      </c>
      <c r="J18487" t="s">
        <v>47117</v>
      </c>
      <c r="K18487" t="s">
        <v>47113</v>
      </c>
      <c r="L18487">
        <v>16.86</v>
      </c>
      <c r="M18487">
        <v>65</v>
      </c>
      <c r="N18487">
        <v>0</v>
      </c>
      <c r="O18487">
        <v>65</v>
      </c>
      <c r="P18487">
        <v>0</v>
      </c>
    </row>
    <row r="18488" spans="1:16" x14ac:dyDescent="0.25">
      <c r="A18488" t="s">
        <v>41110</v>
      </c>
      <c r="B18488" t="s">
        <v>18429</v>
      </c>
      <c r="C18488" t="s">
        <v>18430</v>
      </c>
      <c r="D18488" t="str">
        <f>"1826"</f>
        <v>1826</v>
      </c>
      <c r="E18488" t="s">
        <v>1074</v>
      </c>
      <c r="F18488" t="s">
        <v>3750</v>
      </c>
      <c r="G18488" t="s">
        <v>47093</v>
      </c>
      <c r="H18488" t="s">
        <v>47054</v>
      </c>
      <c r="I18488" t="s">
        <v>47116</v>
      </c>
      <c r="J18488" t="s">
        <v>47117</v>
      </c>
      <c r="K18488" t="s">
        <v>47113</v>
      </c>
      <c r="L18488">
        <v>26.56</v>
      </c>
      <c r="M18488">
        <v>74</v>
      </c>
      <c r="N18488">
        <v>0</v>
      </c>
      <c r="O18488">
        <v>74</v>
      </c>
      <c r="P18488">
        <v>0</v>
      </c>
    </row>
    <row r="18489" spans="1:16" x14ac:dyDescent="0.25">
      <c r="A18489" t="s">
        <v>41111</v>
      </c>
      <c r="B18489" t="s">
        <v>18431</v>
      </c>
      <c r="C18489" t="s">
        <v>18432</v>
      </c>
      <c r="D18489" t="str">
        <f>"6500"</f>
        <v>6500</v>
      </c>
      <c r="E18489" t="s">
        <v>18433</v>
      </c>
      <c r="F18489" t="s">
        <v>3750</v>
      </c>
      <c r="G18489" t="s">
        <v>47099</v>
      </c>
      <c r="H18489" t="s">
        <v>47054</v>
      </c>
      <c r="I18489" t="s">
        <v>47116</v>
      </c>
      <c r="J18489" t="s">
        <v>47117</v>
      </c>
      <c r="K18489" t="s">
        <v>47113</v>
      </c>
      <c r="L18489">
        <v>27.8</v>
      </c>
      <c r="M18489">
        <v>103</v>
      </c>
      <c r="N18489">
        <v>0</v>
      </c>
      <c r="O18489">
        <v>103</v>
      </c>
      <c r="P18489">
        <v>0</v>
      </c>
    </row>
    <row r="18490" spans="1:16" x14ac:dyDescent="0.25">
      <c r="A18490" t="s">
        <v>41112</v>
      </c>
      <c r="B18490" t="s">
        <v>15857</v>
      </c>
      <c r="C18490" t="s">
        <v>15858</v>
      </c>
      <c r="D18490" t="str">
        <f>"1826"</f>
        <v>1826</v>
      </c>
      <c r="E18490" t="s">
        <v>1074</v>
      </c>
      <c r="F18490" t="s">
        <v>3750</v>
      </c>
      <c r="G18490" t="s">
        <v>47098</v>
      </c>
      <c r="H18490" t="s">
        <v>47054</v>
      </c>
      <c r="I18490" t="s">
        <v>47116</v>
      </c>
      <c r="J18490" t="s">
        <v>47117</v>
      </c>
      <c r="K18490" t="s">
        <v>47113</v>
      </c>
      <c r="L18490">
        <v>24.21</v>
      </c>
      <c r="M18490">
        <v>94</v>
      </c>
      <c r="N18490">
        <v>0</v>
      </c>
      <c r="O18490">
        <v>94</v>
      </c>
      <c r="P18490">
        <v>0</v>
      </c>
    </row>
    <row r="18491" spans="1:16" x14ac:dyDescent="0.25">
      <c r="A18491" t="s">
        <v>41113</v>
      </c>
      <c r="B18491" t="s">
        <v>11157</v>
      </c>
      <c r="C18491" t="s">
        <v>11158</v>
      </c>
      <c r="D18491" t="s">
        <v>5288</v>
      </c>
      <c r="E18491" t="s">
        <v>5289</v>
      </c>
      <c r="F18491" t="s">
        <v>56</v>
      </c>
      <c r="G18491" t="s">
        <v>47093</v>
      </c>
      <c r="H18491" t="s">
        <v>47054</v>
      </c>
      <c r="I18491" t="s">
        <v>47114</v>
      </c>
      <c r="J18491" t="s">
        <v>47115</v>
      </c>
      <c r="K18491" t="s">
        <v>47113</v>
      </c>
      <c r="L18491">
        <v>39.75</v>
      </c>
      <c r="M18491">
        <v>85</v>
      </c>
      <c r="N18491">
        <v>0</v>
      </c>
      <c r="O18491">
        <v>85</v>
      </c>
      <c r="P18491">
        <v>0</v>
      </c>
    </row>
    <row r="18492" spans="1:16" x14ac:dyDescent="0.25">
      <c r="A18492" t="s">
        <v>41114</v>
      </c>
      <c r="B18492" t="s">
        <v>11159</v>
      </c>
      <c r="C18492" t="s">
        <v>11160</v>
      </c>
      <c r="D18492" t="s">
        <v>5288</v>
      </c>
      <c r="E18492" t="s">
        <v>5289</v>
      </c>
      <c r="F18492" t="s">
        <v>56</v>
      </c>
      <c r="G18492" t="s">
        <v>47093</v>
      </c>
      <c r="H18492" t="s">
        <v>47054</v>
      </c>
      <c r="I18492" t="s">
        <v>47114</v>
      </c>
      <c r="J18492" t="s">
        <v>47115</v>
      </c>
      <c r="K18492" t="s">
        <v>47113</v>
      </c>
      <c r="L18492">
        <v>39.75</v>
      </c>
      <c r="M18492">
        <v>85</v>
      </c>
      <c r="N18492">
        <v>0</v>
      </c>
      <c r="O18492">
        <v>85</v>
      </c>
      <c r="P18492">
        <v>0</v>
      </c>
    </row>
    <row r="18493" spans="1:16" x14ac:dyDescent="0.25">
      <c r="A18493" t="s">
        <v>41115</v>
      </c>
      <c r="B18493" t="s">
        <v>11161</v>
      </c>
      <c r="C18493" t="s">
        <v>11162</v>
      </c>
      <c r="D18493" t="s">
        <v>5288</v>
      </c>
      <c r="E18493" t="s">
        <v>5289</v>
      </c>
      <c r="F18493" t="s">
        <v>56</v>
      </c>
      <c r="G18493" t="s">
        <v>47093</v>
      </c>
      <c r="H18493" t="s">
        <v>47054</v>
      </c>
      <c r="I18493" t="s">
        <v>47111</v>
      </c>
      <c r="J18493" t="s">
        <v>47112</v>
      </c>
      <c r="K18493" t="s">
        <v>47113</v>
      </c>
      <c r="L18493">
        <v>39.89</v>
      </c>
      <c r="M18493">
        <v>92</v>
      </c>
      <c r="N18493">
        <v>0</v>
      </c>
      <c r="O18493">
        <v>92</v>
      </c>
      <c r="P18493">
        <v>0</v>
      </c>
    </row>
    <row r="18494" spans="1:16" x14ac:dyDescent="0.25">
      <c r="A18494" t="s">
        <v>41116</v>
      </c>
      <c r="B18494" t="s">
        <v>11163</v>
      </c>
      <c r="C18494" t="s">
        <v>11164</v>
      </c>
      <c r="D18494" t="s">
        <v>5288</v>
      </c>
      <c r="E18494" t="s">
        <v>5289</v>
      </c>
      <c r="F18494" t="s">
        <v>56</v>
      </c>
      <c r="G18494" t="s">
        <v>49029</v>
      </c>
      <c r="H18494" t="s">
        <v>47054</v>
      </c>
      <c r="I18494" t="s">
        <v>47114</v>
      </c>
      <c r="J18494" t="s">
        <v>47115</v>
      </c>
      <c r="K18494" t="s">
        <v>47113</v>
      </c>
      <c r="L18494">
        <v>29.37</v>
      </c>
      <c r="M18494">
        <v>75</v>
      </c>
      <c r="N18494">
        <v>0</v>
      </c>
      <c r="O18494">
        <v>75</v>
      </c>
      <c r="P18494">
        <v>0</v>
      </c>
    </row>
    <row r="18495" spans="1:16" x14ac:dyDescent="0.25">
      <c r="A18495" t="s">
        <v>552</v>
      </c>
      <c r="B18495" t="s">
        <v>553</v>
      </c>
      <c r="C18495" t="s">
        <v>554</v>
      </c>
      <c r="D18495" t="str">
        <f>"1983"</f>
        <v>1983</v>
      </c>
      <c r="E18495" t="s">
        <v>555</v>
      </c>
      <c r="F18495" t="s">
        <v>0</v>
      </c>
      <c r="G18495" t="s">
        <v>49029</v>
      </c>
      <c r="H18495" t="s">
        <v>47054</v>
      </c>
      <c r="I18495" t="s">
        <v>47111</v>
      </c>
      <c r="J18495" t="s">
        <v>47112</v>
      </c>
      <c r="K18495" t="s">
        <v>47113</v>
      </c>
      <c r="L18495">
        <v>33.33</v>
      </c>
      <c r="M18495">
        <v>69</v>
      </c>
      <c r="N18495">
        <v>0</v>
      </c>
      <c r="O18495">
        <v>69</v>
      </c>
      <c r="P18495">
        <v>0</v>
      </c>
    </row>
    <row r="18496" spans="1:16" x14ac:dyDescent="0.25">
      <c r="A18496" t="s">
        <v>41117</v>
      </c>
      <c r="B18496" t="s">
        <v>11165</v>
      </c>
      <c r="C18496" t="s">
        <v>11166</v>
      </c>
      <c r="D18496" t="str">
        <f>"1001"</f>
        <v>1001</v>
      </c>
      <c r="E18496" t="s">
        <v>42</v>
      </c>
      <c r="F18496" t="s">
        <v>4</v>
      </c>
      <c r="G18496" t="s">
        <v>47092</v>
      </c>
      <c r="H18496" t="s">
        <v>47054</v>
      </c>
      <c r="I18496" t="s">
        <v>47118</v>
      </c>
      <c r="J18496" t="s">
        <v>47119</v>
      </c>
      <c r="K18496" t="s">
        <v>47113</v>
      </c>
      <c r="L18496">
        <v>14.31</v>
      </c>
      <c r="M18496">
        <v>35</v>
      </c>
      <c r="N18496">
        <v>0</v>
      </c>
      <c r="O18496">
        <v>35</v>
      </c>
      <c r="P18496">
        <v>0</v>
      </c>
    </row>
    <row r="18497" spans="1:16" x14ac:dyDescent="0.25">
      <c r="A18497" t="s">
        <v>41118</v>
      </c>
      <c r="B18497" t="s">
        <v>11167</v>
      </c>
      <c r="C18497" t="s">
        <v>11168</v>
      </c>
      <c r="D18497" t="str">
        <f>"1035"</f>
        <v>1035</v>
      </c>
      <c r="E18497" t="s">
        <v>758</v>
      </c>
      <c r="F18497" t="s">
        <v>2068</v>
      </c>
      <c r="G18497" t="s">
        <v>47099</v>
      </c>
      <c r="H18497" t="s">
        <v>47054</v>
      </c>
      <c r="I18497" t="s">
        <v>47120</v>
      </c>
      <c r="J18497" t="s">
        <v>47121</v>
      </c>
      <c r="K18497" t="s">
        <v>47113</v>
      </c>
      <c r="L18497">
        <v>23.39</v>
      </c>
      <c r="M18497">
        <v>58</v>
      </c>
      <c r="N18497">
        <v>0</v>
      </c>
      <c r="O18497">
        <v>58</v>
      </c>
      <c r="P18497">
        <v>0</v>
      </c>
    </row>
    <row r="18498" spans="1:16" x14ac:dyDescent="0.25">
      <c r="A18498" t="s">
        <v>41119</v>
      </c>
      <c r="B18498" t="s">
        <v>11167</v>
      </c>
      <c r="C18498" t="s">
        <v>11168</v>
      </c>
      <c r="D18498" t="str">
        <f>"6488"</f>
        <v>6488</v>
      </c>
      <c r="E18498" t="s">
        <v>11169</v>
      </c>
      <c r="F18498" t="s">
        <v>2068</v>
      </c>
      <c r="G18498" t="s">
        <v>47099</v>
      </c>
      <c r="H18498" t="s">
        <v>47054</v>
      </c>
      <c r="I18498" t="s">
        <v>47120</v>
      </c>
      <c r="J18498" t="s">
        <v>47121</v>
      </c>
      <c r="K18498" t="s">
        <v>47113</v>
      </c>
      <c r="L18498">
        <v>23.39</v>
      </c>
      <c r="M18498">
        <v>58</v>
      </c>
      <c r="N18498">
        <v>0</v>
      </c>
      <c r="O18498">
        <v>58</v>
      </c>
      <c r="P18498">
        <v>0</v>
      </c>
    </row>
    <row r="18499" spans="1:16" x14ac:dyDescent="0.25">
      <c r="A18499" t="s">
        <v>41120</v>
      </c>
      <c r="B18499" t="s">
        <v>15859</v>
      </c>
      <c r="C18499" t="s">
        <v>15860</v>
      </c>
      <c r="D18499" t="s">
        <v>5476</v>
      </c>
      <c r="E18499" t="s">
        <v>5477</v>
      </c>
      <c r="F18499" t="s">
        <v>3750</v>
      </c>
      <c r="G18499" t="s">
        <v>49029</v>
      </c>
      <c r="H18499" t="s">
        <v>47054</v>
      </c>
      <c r="I18499" t="s">
        <v>47116</v>
      </c>
      <c r="J18499" t="s">
        <v>47117</v>
      </c>
      <c r="K18499" t="s">
        <v>47113</v>
      </c>
      <c r="L18499">
        <v>19.16</v>
      </c>
      <c r="M18499">
        <v>74</v>
      </c>
      <c r="N18499">
        <v>0</v>
      </c>
      <c r="O18499">
        <v>74</v>
      </c>
      <c r="P18499">
        <v>0</v>
      </c>
    </row>
    <row r="18500" spans="1:16" x14ac:dyDescent="0.25">
      <c r="A18500" t="s">
        <v>41121</v>
      </c>
      <c r="B18500" t="s">
        <v>15861</v>
      </c>
      <c r="C18500" t="s">
        <v>15862</v>
      </c>
      <c r="D18500" t="s">
        <v>721</v>
      </c>
      <c r="E18500" t="s">
        <v>722</v>
      </c>
      <c r="F18500" t="s">
        <v>3750</v>
      </c>
      <c r="G18500" t="s">
        <v>47093</v>
      </c>
      <c r="H18500" t="s">
        <v>47054</v>
      </c>
      <c r="I18500" t="s">
        <v>47116</v>
      </c>
      <c r="J18500" t="s">
        <v>47117</v>
      </c>
      <c r="K18500" t="s">
        <v>47113</v>
      </c>
      <c r="L18500">
        <v>15.23</v>
      </c>
      <c r="M18500">
        <v>69</v>
      </c>
      <c r="N18500">
        <v>0</v>
      </c>
      <c r="O18500">
        <v>69</v>
      </c>
      <c r="P18500">
        <v>0</v>
      </c>
    </row>
    <row r="18501" spans="1:16" x14ac:dyDescent="0.25">
      <c r="A18501" t="s">
        <v>41122</v>
      </c>
      <c r="B18501" t="s">
        <v>15863</v>
      </c>
      <c r="C18501" t="s">
        <v>15864</v>
      </c>
      <c r="D18501" t="str">
        <f>"11"</f>
        <v>11</v>
      </c>
      <c r="E18501" t="s">
        <v>288</v>
      </c>
      <c r="F18501" t="s">
        <v>3750</v>
      </c>
      <c r="G18501" t="s">
        <v>47093</v>
      </c>
      <c r="H18501" t="s">
        <v>47054</v>
      </c>
      <c r="I18501" t="s">
        <v>47116</v>
      </c>
      <c r="J18501" t="s">
        <v>47117</v>
      </c>
      <c r="K18501" t="s">
        <v>47113</v>
      </c>
      <c r="L18501">
        <v>15.79</v>
      </c>
      <c r="M18501">
        <v>69</v>
      </c>
      <c r="N18501">
        <v>0</v>
      </c>
      <c r="O18501">
        <v>69</v>
      </c>
      <c r="P18501">
        <v>0</v>
      </c>
    </row>
    <row r="18502" spans="1:16" x14ac:dyDescent="0.25">
      <c r="A18502" t="s">
        <v>41123</v>
      </c>
      <c r="B18502" t="s">
        <v>15865</v>
      </c>
      <c r="C18502" t="s">
        <v>15866</v>
      </c>
      <c r="D18502" t="s">
        <v>27</v>
      </c>
      <c r="E18502" t="s">
        <v>28</v>
      </c>
      <c r="F18502" t="s">
        <v>3750</v>
      </c>
      <c r="G18502" t="s">
        <v>47093</v>
      </c>
      <c r="H18502" t="s">
        <v>47054</v>
      </c>
      <c r="I18502" t="s">
        <v>47116</v>
      </c>
      <c r="J18502" t="s">
        <v>47117</v>
      </c>
      <c r="K18502" t="s">
        <v>47113</v>
      </c>
      <c r="L18502">
        <v>17.91</v>
      </c>
      <c r="M18502">
        <v>69</v>
      </c>
      <c r="N18502">
        <v>0</v>
      </c>
      <c r="O18502">
        <v>69</v>
      </c>
      <c r="P18502">
        <v>0</v>
      </c>
    </row>
    <row r="18503" spans="1:16" x14ac:dyDescent="0.25">
      <c r="A18503" t="s">
        <v>41124</v>
      </c>
      <c r="B18503" t="s">
        <v>21589</v>
      </c>
      <c r="C18503" t="s">
        <v>21590</v>
      </c>
      <c r="D18503" t="s">
        <v>16255</v>
      </c>
      <c r="E18503" t="s">
        <v>16256</v>
      </c>
      <c r="F18503" t="s">
        <v>3750</v>
      </c>
      <c r="G18503" t="s">
        <v>47093</v>
      </c>
      <c r="H18503" t="s">
        <v>47054</v>
      </c>
      <c r="I18503" t="s">
        <v>47116</v>
      </c>
      <c r="J18503" t="s">
        <v>47117</v>
      </c>
      <c r="K18503" t="s">
        <v>47113</v>
      </c>
      <c r="L18503">
        <v>26.52</v>
      </c>
      <c r="M18503">
        <v>46</v>
      </c>
      <c r="N18503">
        <v>0</v>
      </c>
      <c r="O18503">
        <v>46</v>
      </c>
      <c r="P18503">
        <v>0</v>
      </c>
    </row>
    <row r="18504" spans="1:16" x14ac:dyDescent="0.25">
      <c r="A18504" t="s">
        <v>41125</v>
      </c>
      <c r="B18504" t="s">
        <v>41126</v>
      </c>
      <c r="C18504" t="s">
        <v>41127</v>
      </c>
      <c r="D18504" t="s">
        <v>27</v>
      </c>
      <c r="E18504" t="s">
        <v>28</v>
      </c>
      <c r="F18504" t="s">
        <v>3750</v>
      </c>
      <c r="G18504" t="s">
        <v>47093</v>
      </c>
      <c r="H18504" t="s">
        <v>47054</v>
      </c>
      <c r="I18504" t="s">
        <v>47116</v>
      </c>
      <c r="J18504" t="s">
        <v>47117</v>
      </c>
      <c r="K18504" t="s">
        <v>47113</v>
      </c>
      <c r="L18504">
        <v>19.600000000000001</v>
      </c>
      <c r="M18504">
        <v>85</v>
      </c>
      <c r="N18504">
        <v>229</v>
      </c>
      <c r="O18504">
        <v>85</v>
      </c>
      <c r="P18504">
        <v>229</v>
      </c>
    </row>
    <row r="18505" spans="1:16" x14ac:dyDescent="0.25">
      <c r="A18505" t="s">
        <v>41128</v>
      </c>
      <c r="B18505" t="s">
        <v>11170</v>
      </c>
      <c r="C18505" t="s">
        <v>11171</v>
      </c>
      <c r="D18505" t="s">
        <v>721</v>
      </c>
      <c r="E18505" t="s">
        <v>722</v>
      </c>
      <c r="F18505" t="s">
        <v>3750</v>
      </c>
      <c r="G18505" t="s">
        <v>47093</v>
      </c>
      <c r="H18505" t="s">
        <v>47054</v>
      </c>
      <c r="I18505" t="s">
        <v>47116</v>
      </c>
      <c r="J18505" t="s">
        <v>47117</v>
      </c>
      <c r="K18505" t="s">
        <v>47113</v>
      </c>
      <c r="L18505">
        <v>15.31</v>
      </c>
      <c r="M18505">
        <v>68</v>
      </c>
      <c r="N18505">
        <v>0</v>
      </c>
      <c r="O18505">
        <v>68</v>
      </c>
      <c r="P18505">
        <v>0</v>
      </c>
    </row>
    <row r="18506" spans="1:16" x14ac:dyDescent="0.25">
      <c r="A18506" t="s">
        <v>41129</v>
      </c>
      <c r="B18506" t="s">
        <v>11172</v>
      </c>
      <c r="C18506" t="s">
        <v>11173</v>
      </c>
      <c r="D18506" t="s">
        <v>11174</v>
      </c>
      <c r="E18506" t="s">
        <v>11175</v>
      </c>
      <c r="F18506" t="s">
        <v>3750</v>
      </c>
      <c r="G18506" t="s">
        <v>47093</v>
      </c>
      <c r="H18506" t="s">
        <v>47054</v>
      </c>
      <c r="I18506" t="s">
        <v>47116</v>
      </c>
      <c r="J18506" t="s">
        <v>47117</v>
      </c>
      <c r="K18506" t="s">
        <v>47113</v>
      </c>
      <c r="L18506">
        <v>28.57</v>
      </c>
      <c r="M18506">
        <v>109</v>
      </c>
      <c r="N18506">
        <v>0</v>
      </c>
      <c r="O18506">
        <v>109</v>
      </c>
      <c r="P18506">
        <v>0</v>
      </c>
    </row>
    <row r="18507" spans="1:16" x14ac:dyDescent="0.25">
      <c r="A18507" t="s">
        <v>41130</v>
      </c>
      <c r="B18507" t="s">
        <v>18434</v>
      </c>
      <c r="C18507" t="s">
        <v>2356</v>
      </c>
      <c r="D18507" t="s">
        <v>17829</v>
      </c>
      <c r="E18507" t="s">
        <v>17830</v>
      </c>
      <c r="F18507" t="s">
        <v>3750</v>
      </c>
      <c r="G18507" t="s">
        <v>47093</v>
      </c>
      <c r="H18507" t="s">
        <v>47054</v>
      </c>
      <c r="I18507" t="s">
        <v>47116</v>
      </c>
      <c r="J18507" t="s">
        <v>47117</v>
      </c>
      <c r="K18507" t="s">
        <v>47113</v>
      </c>
      <c r="L18507">
        <v>21.87</v>
      </c>
      <c r="M18507">
        <v>65</v>
      </c>
      <c r="N18507">
        <v>0</v>
      </c>
      <c r="O18507">
        <v>65</v>
      </c>
      <c r="P18507">
        <v>0</v>
      </c>
    </row>
    <row r="18508" spans="1:16" x14ac:dyDescent="0.25">
      <c r="A18508" t="s">
        <v>41131</v>
      </c>
      <c r="B18508" t="s">
        <v>16364</v>
      </c>
      <c r="C18508" t="s">
        <v>16365</v>
      </c>
      <c r="D18508" t="s">
        <v>16366</v>
      </c>
      <c r="E18508" t="s">
        <v>16367</v>
      </c>
      <c r="F18508" t="s">
        <v>3750</v>
      </c>
      <c r="G18508" t="s">
        <v>47093</v>
      </c>
      <c r="H18508" t="s">
        <v>47054</v>
      </c>
      <c r="I18508" t="s">
        <v>47116</v>
      </c>
      <c r="J18508" t="s">
        <v>47117</v>
      </c>
      <c r="K18508" t="s">
        <v>47113</v>
      </c>
      <c r="L18508">
        <v>29.46</v>
      </c>
      <c r="M18508">
        <v>82</v>
      </c>
      <c r="N18508">
        <v>0</v>
      </c>
      <c r="O18508">
        <v>82</v>
      </c>
      <c r="P18508">
        <v>0</v>
      </c>
    </row>
    <row r="18509" spans="1:16" x14ac:dyDescent="0.25">
      <c r="A18509" t="s">
        <v>41132</v>
      </c>
      <c r="B18509" t="s">
        <v>15867</v>
      </c>
      <c r="C18509" t="s">
        <v>15868</v>
      </c>
      <c r="D18509" t="s">
        <v>15869</v>
      </c>
      <c r="E18509" t="s">
        <v>15870</v>
      </c>
      <c r="F18509" t="s">
        <v>3750</v>
      </c>
      <c r="G18509" t="s">
        <v>47093</v>
      </c>
      <c r="H18509" t="s">
        <v>47054</v>
      </c>
      <c r="I18509" t="s">
        <v>47116</v>
      </c>
      <c r="J18509" t="s">
        <v>47117</v>
      </c>
      <c r="K18509" t="s">
        <v>47113</v>
      </c>
      <c r="L18509">
        <v>17.91</v>
      </c>
      <c r="M18509">
        <v>69</v>
      </c>
      <c r="N18509">
        <v>0</v>
      </c>
      <c r="O18509">
        <v>69</v>
      </c>
      <c r="P18509">
        <v>0</v>
      </c>
    </row>
    <row r="18510" spans="1:16" x14ac:dyDescent="0.25">
      <c r="A18510" t="s">
        <v>41133</v>
      </c>
      <c r="B18510" t="s">
        <v>11176</v>
      </c>
      <c r="C18510" t="s">
        <v>11177</v>
      </c>
      <c r="D18510" t="s">
        <v>6626</v>
      </c>
      <c r="E18510" t="s">
        <v>6627</v>
      </c>
      <c r="F18510" t="s">
        <v>3750</v>
      </c>
      <c r="G18510" t="s">
        <v>47093</v>
      </c>
      <c r="H18510" t="s">
        <v>47054</v>
      </c>
      <c r="I18510" t="s">
        <v>47116</v>
      </c>
      <c r="J18510" t="s">
        <v>47117</v>
      </c>
      <c r="K18510" t="s">
        <v>47113</v>
      </c>
      <c r="L18510">
        <v>18.010000000000002</v>
      </c>
      <c r="M18510">
        <v>68</v>
      </c>
      <c r="N18510">
        <v>0</v>
      </c>
      <c r="O18510">
        <v>68</v>
      </c>
      <c r="P18510">
        <v>0</v>
      </c>
    </row>
    <row r="18511" spans="1:16" x14ac:dyDescent="0.25">
      <c r="A18511" t="s">
        <v>41134</v>
      </c>
      <c r="B18511" t="s">
        <v>18435</v>
      </c>
      <c r="C18511" t="s">
        <v>18436</v>
      </c>
      <c r="D18511" t="s">
        <v>721</v>
      </c>
      <c r="E18511" t="s">
        <v>722</v>
      </c>
      <c r="F18511" t="s">
        <v>3750</v>
      </c>
      <c r="G18511" t="s">
        <v>47093</v>
      </c>
      <c r="H18511" t="s">
        <v>47054</v>
      </c>
      <c r="I18511" t="s">
        <v>47116</v>
      </c>
      <c r="J18511" t="s">
        <v>47117</v>
      </c>
      <c r="K18511" t="s">
        <v>47113</v>
      </c>
      <c r="L18511">
        <v>28.49</v>
      </c>
      <c r="M18511">
        <v>104</v>
      </c>
      <c r="N18511">
        <v>0</v>
      </c>
      <c r="O18511">
        <v>104</v>
      </c>
      <c r="P18511">
        <v>0</v>
      </c>
    </row>
    <row r="18512" spans="1:16" x14ac:dyDescent="0.25">
      <c r="A18512" t="s">
        <v>41135</v>
      </c>
      <c r="B18512" t="s">
        <v>15871</v>
      </c>
      <c r="C18512" t="s">
        <v>15872</v>
      </c>
      <c r="D18512" t="s">
        <v>15186</v>
      </c>
      <c r="E18512" t="s">
        <v>15187</v>
      </c>
      <c r="F18512" t="s">
        <v>3750</v>
      </c>
      <c r="G18512" t="s">
        <v>47093</v>
      </c>
      <c r="H18512" t="s">
        <v>47054</v>
      </c>
      <c r="I18512" t="s">
        <v>47116</v>
      </c>
      <c r="J18512" t="s">
        <v>47117</v>
      </c>
      <c r="K18512" t="s">
        <v>47113</v>
      </c>
      <c r="L18512">
        <v>17.91</v>
      </c>
      <c r="M18512">
        <v>69</v>
      </c>
      <c r="N18512">
        <v>0</v>
      </c>
      <c r="O18512">
        <v>69</v>
      </c>
      <c r="P18512">
        <v>0</v>
      </c>
    </row>
    <row r="18513" spans="1:16" x14ac:dyDescent="0.25">
      <c r="A18513" t="s">
        <v>41136</v>
      </c>
      <c r="B18513" t="s">
        <v>11178</v>
      </c>
      <c r="C18513" t="s">
        <v>11179</v>
      </c>
      <c r="D18513" t="s">
        <v>5488</v>
      </c>
      <c r="E18513" t="s">
        <v>5489</v>
      </c>
      <c r="F18513" t="s">
        <v>3750</v>
      </c>
      <c r="G18513" t="s">
        <v>47093</v>
      </c>
      <c r="H18513" t="s">
        <v>47054</v>
      </c>
      <c r="I18513" t="s">
        <v>47116</v>
      </c>
      <c r="J18513" t="s">
        <v>47117</v>
      </c>
      <c r="K18513" t="s">
        <v>47113</v>
      </c>
      <c r="L18513">
        <v>18.010000000000002</v>
      </c>
      <c r="M18513">
        <v>68</v>
      </c>
      <c r="N18513">
        <v>0</v>
      </c>
      <c r="O18513">
        <v>68</v>
      </c>
      <c r="P18513">
        <v>0</v>
      </c>
    </row>
    <row r="18514" spans="1:16" x14ac:dyDescent="0.25">
      <c r="A18514" t="s">
        <v>41137</v>
      </c>
      <c r="B18514" t="s">
        <v>11180</v>
      </c>
      <c r="C18514" t="s">
        <v>11181</v>
      </c>
      <c r="D18514" t="str">
        <f>"11"</f>
        <v>11</v>
      </c>
      <c r="E18514" t="s">
        <v>288</v>
      </c>
      <c r="F18514" t="s">
        <v>3750</v>
      </c>
      <c r="G18514" t="s">
        <v>47093</v>
      </c>
      <c r="H18514" t="s">
        <v>47054</v>
      </c>
      <c r="I18514" t="s">
        <v>47116</v>
      </c>
      <c r="J18514" t="s">
        <v>47117</v>
      </c>
      <c r="K18514" t="s">
        <v>47113</v>
      </c>
      <c r="L18514">
        <v>16.27</v>
      </c>
      <c r="M18514">
        <v>68</v>
      </c>
      <c r="N18514">
        <v>0</v>
      </c>
      <c r="O18514">
        <v>68</v>
      </c>
      <c r="P18514">
        <v>0</v>
      </c>
    </row>
    <row r="18515" spans="1:16" x14ac:dyDescent="0.25">
      <c r="A18515" t="s">
        <v>41138</v>
      </c>
      <c r="B18515" t="s">
        <v>18437</v>
      </c>
      <c r="C18515" t="s">
        <v>18438</v>
      </c>
      <c r="D18515" t="s">
        <v>5476</v>
      </c>
      <c r="E18515" t="s">
        <v>5477</v>
      </c>
      <c r="F18515" t="s">
        <v>3750</v>
      </c>
      <c r="G18515" t="s">
        <v>47093</v>
      </c>
      <c r="H18515" t="s">
        <v>47054</v>
      </c>
      <c r="I18515" t="s">
        <v>47116</v>
      </c>
      <c r="J18515" t="s">
        <v>47117</v>
      </c>
      <c r="K18515" t="s">
        <v>47113</v>
      </c>
      <c r="L18515">
        <v>19.82</v>
      </c>
      <c r="M18515">
        <v>56</v>
      </c>
      <c r="N18515">
        <v>0</v>
      </c>
      <c r="O18515">
        <v>56</v>
      </c>
      <c r="P18515">
        <v>0</v>
      </c>
    </row>
    <row r="18516" spans="1:16" x14ac:dyDescent="0.25">
      <c r="A18516" t="s">
        <v>41139</v>
      </c>
      <c r="B18516" t="s">
        <v>21591</v>
      </c>
      <c r="C18516" t="s">
        <v>21592</v>
      </c>
      <c r="D18516" t="s">
        <v>721</v>
      </c>
      <c r="E18516" t="s">
        <v>722</v>
      </c>
      <c r="F18516" t="s">
        <v>3750</v>
      </c>
      <c r="G18516" t="s">
        <v>49029</v>
      </c>
      <c r="H18516" t="s">
        <v>47054</v>
      </c>
      <c r="I18516" t="s">
        <v>47116</v>
      </c>
      <c r="J18516" t="s">
        <v>47117</v>
      </c>
      <c r="K18516" t="s">
        <v>47113</v>
      </c>
      <c r="L18516">
        <v>17.07</v>
      </c>
      <c r="M18516">
        <v>95</v>
      </c>
      <c r="N18516">
        <v>0</v>
      </c>
      <c r="O18516">
        <v>95</v>
      </c>
      <c r="P18516">
        <v>0</v>
      </c>
    </row>
    <row r="18517" spans="1:16" x14ac:dyDescent="0.25">
      <c r="A18517" t="s">
        <v>41140</v>
      </c>
      <c r="B18517" t="s">
        <v>15873</v>
      </c>
      <c r="C18517" t="s">
        <v>15874</v>
      </c>
      <c r="D18517" t="s">
        <v>5476</v>
      </c>
      <c r="E18517" t="s">
        <v>5477</v>
      </c>
      <c r="F18517" t="s">
        <v>3750</v>
      </c>
      <c r="G18517" t="s">
        <v>47093</v>
      </c>
      <c r="H18517" t="s">
        <v>47054</v>
      </c>
      <c r="I18517" t="s">
        <v>47116</v>
      </c>
      <c r="J18517" t="s">
        <v>47117</v>
      </c>
      <c r="K18517" t="s">
        <v>47113</v>
      </c>
      <c r="L18517">
        <v>17.91</v>
      </c>
      <c r="M18517">
        <v>69</v>
      </c>
      <c r="N18517">
        <v>0</v>
      </c>
      <c r="O18517">
        <v>69</v>
      </c>
      <c r="P18517">
        <v>0</v>
      </c>
    </row>
    <row r="18518" spans="1:16" x14ac:dyDescent="0.25">
      <c r="A18518" t="s">
        <v>41141</v>
      </c>
      <c r="B18518" t="s">
        <v>11182</v>
      </c>
      <c r="C18518" t="s">
        <v>11183</v>
      </c>
      <c r="D18518" t="s">
        <v>5476</v>
      </c>
      <c r="E18518" t="s">
        <v>5477</v>
      </c>
      <c r="F18518" t="s">
        <v>3750</v>
      </c>
      <c r="G18518" t="s">
        <v>47093</v>
      </c>
      <c r="H18518" t="s">
        <v>47054</v>
      </c>
      <c r="I18518" t="s">
        <v>47116</v>
      </c>
      <c r="J18518" t="s">
        <v>47117</v>
      </c>
      <c r="K18518" t="s">
        <v>47113</v>
      </c>
      <c r="L18518">
        <v>18.010000000000002</v>
      </c>
      <c r="M18518">
        <v>68</v>
      </c>
      <c r="N18518">
        <v>0</v>
      </c>
      <c r="O18518">
        <v>68</v>
      </c>
      <c r="P18518">
        <v>0</v>
      </c>
    </row>
    <row r="18519" spans="1:16" x14ac:dyDescent="0.25">
      <c r="A18519" t="s">
        <v>41142</v>
      </c>
      <c r="B18519" t="s">
        <v>11184</v>
      </c>
      <c r="C18519" t="s">
        <v>11185</v>
      </c>
      <c r="D18519" t="s">
        <v>5476</v>
      </c>
      <c r="E18519" t="s">
        <v>5477</v>
      </c>
      <c r="F18519" t="s">
        <v>3750</v>
      </c>
      <c r="G18519" t="s">
        <v>47093</v>
      </c>
      <c r="H18519" t="s">
        <v>47054</v>
      </c>
      <c r="I18519" t="s">
        <v>47116</v>
      </c>
      <c r="J18519" t="s">
        <v>47117</v>
      </c>
      <c r="K18519" t="s">
        <v>47113</v>
      </c>
      <c r="L18519">
        <v>18.010000000000002</v>
      </c>
      <c r="M18519">
        <v>68</v>
      </c>
      <c r="N18519">
        <v>0</v>
      </c>
      <c r="O18519">
        <v>68</v>
      </c>
      <c r="P18519">
        <v>0</v>
      </c>
    </row>
    <row r="18520" spans="1:16" x14ac:dyDescent="0.25">
      <c r="A18520" t="s">
        <v>41143</v>
      </c>
      <c r="B18520" t="s">
        <v>21593</v>
      </c>
      <c r="C18520" t="s">
        <v>21594</v>
      </c>
      <c r="D18520" t="s">
        <v>721</v>
      </c>
      <c r="E18520" t="s">
        <v>722</v>
      </c>
      <c r="F18520" t="s">
        <v>3750</v>
      </c>
      <c r="G18520" t="s">
        <v>49029</v>
      </c>
      <c r="H18520" t="s">
        <v>47054</v>
      </c>
      <c r="I18520" t="s">
        <v>47116</v>
      </c>
      <c r="J18520" t="s">
        <v>47117</v>
      </c>
      <c r="K18520" t="s">
        <v>47113</v>
      </c>
      <c r="L18520">
        <v>17.07</v>
      </c>
      <c r="M18520">
        <v>95</v>
      </c>
      <c r="N18520">
        <v>0</v>
      </c>
      <c r="O18520">
        <v>95</v>
      </c>
      <c r="P18520">
        <v>0</v>
      </c>
    </row>
    <row r="18521" spans="1:16" x14ac:dyDescent="0.25">
      <c r="A18521" t="s">
        <v>41144</v>
      </c>
      <c r="B18521" t="s">
        <v>21595</v>
      </c>
      <c r="C18521" t="s">
        <v>21596</v>
      </c>
      <c r="D18521" t="s">
        <v>21597</v>
      </c>
      <c r="E18521" t="s">
        <v>21598</v>
      </c>
      <c r="F18521" t="s">
        <v>3750</v>
      </c>
      <c r="G18521" t="s">
        <v>49029</v>
      </c>
      <c r="H18521" t="s">
        <v>47054</v>
      </c>
      <c r="I18521" t="s">
        <v>47116</v>
      </c>
      <c r="J18521" t="s">
        <v>47117</v>
      </c>
      <c r="K18521" t="s">
        <v>47113</v>
      </c>
      <c r="L18521">
        <v>16.350000000000001</v>
      </c>
      <c r="M18521">
        <v>67</v>
      </c>
      <c r="N18521">
        <v>0</v>
      </c>
      <c r="O18521">
        <v>67</v>
      </c>
      <c r="P18521">
        <v>0</v>
      </c>
    </row>
    <row r="18522" spans="1:16" x14ac:dyDescent="0.25">
      <c r="A18522" t="s">
        <v>41145</v>
      </c>
      <c r="B18522" t="s">
        <v>21599</v>
      </c>
      <c r="C18522" t="s">
        <v>21600</v>
      </c>
      <c r="D18522" t="s">
        <v>721</v>
      </c>
      <c r="E18522" t="s">
        <v>722</v>
      </c>
      <c r="F18522" t="s">
        <v>3750</v>
      </c>
      <c r="G18522" t="s">
        <v>47093</v>
      </c>
      <c r="H18522" t="s">
        <v>47054</v>
      </c>
      <c r="I18522" t="s">
        <v>47116</v>
      </c>
      <c r="J18522" t="s">
        <v>47117</v>
      </c>
      <c r="K18522" t="s">
        <v>47113</v>
      </c>
      <c r="L18522">
        <v>20.65</v>
      </c>
      <c r="M18522">
        <v>108</v>
      </c>
      <c r="N18522">
        <v>0</v>
      </c>
      <c r="O18522">
        <v>108</v>
      </c>
      <c r="P18522">
        <v>0</v>
      </c>
    </row>
    <row r="18523" spans="1:16" x14ac:dyDescent="0.25">
      <c r="A18523" t="s">
        <v>41146</v>
      </c>
      <c r="B18523" t="s">
        <v>11186</v>
      </c>
      <c r="C18523" t="s">
        <v>11187</v>
      </c>
      <c r="D18523" t="s">
        <v>11188</v>
      </c>
      <c r="E18523" t="s">
        <v>11189</v>
      </c>
      <c r="F18523" t="s">
        <v>2068</v>
      </c>
      <c r="G18523" t="s">
        <v>49030</v>
      </c>
      <c r="H18523" t="s">
        <v>47054</v>
      </c>
      <c r="I18523" t="s">
        <v>47111</v>
      </c>
      <c r="J18523" t="s">
        <v>47112</v>
      </c>
      <c r="K18523" t="s">
        <v>47113</v>
      </c>
      <c r="L18523">
        <v>34.630000000000003</v>
      </c>
      <c r="M18523">
        <v>78</v>
      </c>
      <c r="N18523">
        <v>0</v>
      </c>
      <c r="O18523">
        <v>78</v>
      </c>
      <c r="P18523">
        <v>0</v>
      </c>
    </row>
    <row r="18524" spans="1:16" x14ac:dyDescent="0.25">
      <c r="A18524" t="s">
        <v>41147</v>
      </c>
      <c r="B18524" t="s">
        <v>11190</v>
      </c>
      <c r="C18524" t="s">
        <v>11191</v>
      </c>
      <c r="D18524" t="s">
        <v>11192</v>
      </c>
      <c r="E18524" t="s">
        <v>11193</v>
      </c>
      <c r="F18524" t="s">
        <v>3546</v>
      </c>
      <c r="G18524" t="s">
        <v>47093</v>
      </c>
      <c r="H18524" t="s">
        <v>47054</v>
      </c>
      <c r="I18524" t="s">
        <v>47111</v>
      </c>
      <c r="J18524" t="s">
        <v>47112</v>
      </c>
      <c r="K18524" t="s">
        <v>47113</v>
      </c>
      <c r="L18524">
        <v>56</v>
      </c>
      <c r="M18524">
        <v>138</v>
      </c>
      <c r="N18524">
        <v>0</v>
      </c>
      <c r="O18524">
        <v>138</v>
      </c>
      <c r="P18524">
        <v>0</v>
      </c>
    </row>
    <row r="18525" spans="1:16" x14ac:dyDescent="0.25">
      <c r="A18525" t="s">
        <v>41148</v>
      </c>
      <c r="B18525" t="s">
        <v>11194</v>
      </c>
      <c r="C18525" t="s">
        <v>11195</v>
      </c>
      <c r="D18525" t="s">
        <v>11192</v>
      </c>
      <c r="E18525" t="s">
        <v>11193</v>
      </c>
      <c r="F18525" t="s">
        <v>3546</v>
      </c>
      <c r="G18525" t="s">
        <v>49030</v>
      </c>
      <c r="H18525" t="s">
        <v>47054</v>
      </c>
      <c r="I18525" t="s">
        <v>47111</v>
      </c>
      <c r="J18525" t="s">
        <v>47112</v>
      </c>
      <c r="K18525" t="s">
        <v>47113</v>
      </c>
      <c r="L18525">
        <v>58.94</v>
      </c>
      <c r="M18525">
        <v>145</v>
      </c>
      <c r="N18525">
        <v>0</v>
      </c>
      <c r="O18525">
        <v>145</v>
      </c>
      <c r="P18525">
        <v>0</v>
      </c>
    </row>
    <row r="18526" spans="1:16" x14ac:dyDescent="0.25">
      <c r="A18526" t="s">
        <v>41149</v>
      </c>
      <c r="B18526" t="s">
        <v>11196</v>
      </c>
      <c r="C18526" t="s">
        <v>11197</v>
      </c>
      <c r="D18526" t="s">
        <v>11192</v>
      </c>
      <c r="E18526" t="s">
        <v>11193</v>
      </c>
      <c r="F18526" t="s">
        <v>3546</v>
      </c>
      <c r="G18526" t="s">
        <v>47098</v>
      </c>
      <c r="H18526" t="s">
        <v>47054</v>
      </c>
      <c r="I18526" t="s">
        <v>47116</v>
      </c>
      <c r="J18526" t="s">
        <v>47117</v>
      </c>
      <c r="K18526" t="s">
        <v>47113</v>
      </c>
      <c r="L18526">
        <v>46.41</v>
      </c>
      <c r="M18526">
        <v>114</v>
      </c>
      <c r="N18526">
        <v>0</v>
      </c>
      <c r="O18526">
        <v>114</v>
      </c>
      <c r="P18526">
        <v>0</v>
      </c>
    </row>
    <row r="18527" spans="1:16" x14ac:dyDescent="0.25">
      <c r="A18527" t="s">
        <v>41150</v>
      </c>
      <c r="B18527" t="s">
        <v>11198</v>
      </c>
      <c r="C18527" t="s">
        <v>11199</v>
      </c>
      <c r="D18527" t="str">
        <f>"1700"</f>
        <v>1700</v>
      </c>
      <c r="E18527" t="s">
        <v>60</v>
      </c>
      <c r="F18527" t="s">
        <v>2068</v>
      </c>
      <c r="G18527" t="s">
        <v>47091</v>
      </c>
      <c r="H18527" t="s">
        <v>47054</v>
      </c>
      <c r="I18527" t="s">
        <v>47111</v>
      </c>
      <c r="J18527" t="s">
        <v>47112</v>
      </c>
      <c r="K18527" t="s">
        <v>47113</v>
      </c>
      <c r="L18527">
        <v>13.31</v>
      </c>
      <c r="M18527">
        <v>30</v>
      </c>
      <c r="N18527">
        <v>0</v>
      </c>
      <c r="O18527">
        <v>30</v>
      </c>
      <c r="P18527">
        <v>0</v>
      </c>
    </row>
    <row r="18528" spans="1:16" x14ac:dyDescent="0.25">
      <c r="A18528" t="s">
        <v>41151</v>
      </c>
      <c r="B18528" t="s">
        <v>11200</v>
      </c>
      <c r="C18528" t="s">
        <v>11201</v>
      </c>
      <c r="D18528" t="str">
        <f>"1001"</f>
        <v>1001</v>
      </c>
      <c r="E18528" t="s">
        <v>11202</v>
      </c>
      <c r="F18528" t="s">
        <v>3546</v>
      </c>
      <c r="G18528" t="s">
        <v>47091</v>
      </c>
      <c r="H18528" t="s">
        <v>47054</v>
      </c>
      <c r="I18528" t="s">
        <v>47111</v>
      </c>
      <c r="J18528" t="s">
        <v>47112</v>
      </c>
      <c r="K18528" t="s">
        <v>47113</v>
      </c>
      <c r="L18528">
        <v>15.67</v>
      </c>
      <c r="M18528">
        <v>25</v>
      </c>
      <c r="N18528">
        <v>0</v>
      </c>
      <c r="O18528">
        <v>25</v>
      </c>
      <c r="P18528">
        <v>0</v>
      </c>
    </row>
    <row r="18529" spans="1:16" x14ac:dyDescent="0.25">
      <c r="A18529" t="s">
        <v>41152</v>
      </c>
      <c r="B18529" t="s">
        <v>11200</v>
      </c>
      <c r="C18529" t="s">
        <v>11201</v>
      </c>
      <c r="D18529" t="str">
        <f>"1035"</f>
        <v>1035</v>
      </c>
      <c r="E18529" t="s">
        <v>758</v>
      </c>
      <c r="F18529" t="s">
        <v>1</v>
      </c>
      <c r="G18529" t="s">
        <v>47091</v>
      </c>
      <c r="H18529" t="s">
        <v>47054</v>
      </c>
      <c r="I18529" t="s">
        <v>47111</v>
      </c>
      <c r="J18529" t="s">
        <v>47112</v>
      </c>
      <c r="K18529" t="s">
        <v>47113</v>
      </c>
      <c r="L18529">
        <v>11.91</v>
      </c>
      <c r="M18529">
        <v>25</v>
      </c>
      <c r="N18529">
        <v>0</v>
      </c>
      <c r="O18529">
        <v>25</v>
      </c>
      <c r="P18529">
        <v>0</v>
      </c>
    </row>
    <row r="18530" spans="1:16" x14ac:dyDescent="0.25">
      <c r="A18530" t="s">
        <v>41153</v>
      </c>
      <c r="B18530" t="s">
        <v>11200</v>
      </c>
      <c r="C18530" t="s">
        <v>11201</v>
      </c>
      <c r="D18530" t="str">
        <f>"1746"</f>
        <v>1746</v>
      </c>
      <c r="E18530" t="s">
        <v>807</v>
      </c>
      <c r="F18530" t="s">
        <v>1</v>
      </c>
      <c r="G18530" t="s">
        <v>47091</v>
      </c>
      <c r="H18530" t="s">
        <v>47054</v>
      </c>
      <c r="I18530" t="s">
        <v>47111</v>
      </c>
      <c r="J18530" t="s">
        <v>47112</v>
      </c>
      <c r="K18530" t="s">
        <v>47113</v>
      </c>
      <c r="L18530">
        <v>11.91</v>
      </c>
      <c r="M18530">
        <v>25</v>
      </c>
      <c r="N18530">
        <v>0</v>
      </c>
      <c r="O18530">
        <v>25</v>
      </c>
      <c r="P18530">
        <v>0</v>
      </c>
    </row>
    <row r="18531" spans="1:16" x14ac:dyDescent="0.25">
      <c r="A18531" t="s">
        <v>41154</v>
      </c>
      <c r="B18531" t="s">
        <v>11200</v>
      </c>
      <c r="C18531" t="s">
        <v>11201</v>
      </c>
      <c r="D18531" t="str">
        <f>"4900"</f>
        <v>4900</v>
      </c>
      <c r="E18531" t="s">
        <v>11203</v>
      </c>
      <c r="F18531" t="s">
        <v>3546</v>
      </c>
      <c r="G18531" t="s">
        <v>47091</v>
      </c>
      <c r="H18531" t="s">
        <v>47054</v>
      </c>
      <c r="I18531" t="s">
        <v>47111</v>
      </c>
      <c r="J18531" t="s">
        <v>47112</v>
      </c>
      <c r="K18531" t="s">
        <v>47113</v>
      </c>
      <c r="L18531">
        <v>15.67</v>
      </c>
      <c r="M18531">
        <v>25</v>
      </c>
      <c r="N18531">
        <v>0</v>
      </c>
      <c r="O18531">
        <v>25</v>
      </c>
      <c r="P18531">
        <v>0</v>
      </c>
    </row>
    <row r="18532" spans="1:16" x14ac:dyDescent="0.25">
      <c r="A18532" t="s">
        <v>41155</v>
      </c>
      <c r="B18532" t="s">
        <v>11200</v>
      </c>
      <c r="C18532" t="s">
        <v>11201</v>
      </c>
      <c r="D18532" t="str">
        <f>"6068"</f>
        <v>6068</v>
      </c>
      <c r="E18532" t="s">
        <v>11204</v>
      </c>
      <c r="F18532" t="s">
        <v>3546</v>
      </c>
      <c r="G18532" t="s">
        <v>47091</v>
      </c>
      <c r="H18532" t="s">
        <v>47054</v>
      </c>
      <c r="I18532" t="s">
        <v>47111</v>
      </c>
      <c r="J18532" t="s">
        <v>47112</v>
      </c>
      <c r="K18532" t="s">
        <v>47113</v>
      </c>
      <c r="L18532">
        <v>15.67</v>
      </c>
      <c r="M18532">
        <v>25</v>
      </c>
      <c r="N18532">
        <v>0</v>
      </c>
      <c r="O18532">
        <v>25</v>
      </c>
      <c r="P18532">
        <v>0</v>
      </c>
    </row>
    <row r="18533" spans="1:16" x14ac:dyDescent="0.25">
      <c r="A18533" t="s">
        <v>41156</v>
      </c>
      <c r="B18533" t="s">
        <v>11200</v>
      </c>
      <c r="C18533" t="s">
        <v>11201</v>
      </c>
      <c r="D18533" t="str">
        <f>"6490"</f>
        <v>6490</v>
      </c>
      <c r="E18533" t="s">
        <v>11205</v>
      </c>
      <c r="F18533" t="s">
        <v>1</v>
      </c>
      <c r="G18533" t="s">
        <v>47091</v>
      </c>
      <c r="H18533" t="s">
        <v>47054</v>
      </c>
      <c r="I18533" t="s">
        <v>47111</v>
      </c>
      <c r="J18533" t="s">
        <v>47112</v>
      </c>
      <c r="K18533" t="s">
        <v>47113</v>
      </c>
      <c r="L18533">
        <v>11.91</v>
      </c>
      <c r="M18533">
        <v>25</v>
      </c>
      <c r="N18533">
        <v>0</v>
      </c>
      <c r="O18533">
        <v>25</v>
      </c>
      <c r="P18533">
        <v>0</v>
      </c>
    </row>
    <row r="18534" spans="1:16" x14ac:dyDescent="0.25">
      <c r="A18534" t="s">
        <v>41157</v>
      </c>
      <c r="B18534" t="s">
        <v>11206</v>
      </c>
      <c r="C18534" t="s">
        <v>11207</v>
      </c>
      <c r="D18534" t="str">
        <f>"6040"</f>
        <v>6040</v>
      </c>
      <c r="E18534" t="s">
        <v>11208</v>
      </c>
      <c r="F18534" t="s">
        <v>3546</v>
      </c>
      <c r="G18534" t="s">
        <v>47091</v>
      </c>
      <c r="H18534" t="s">
        <v>47054</v>
      </c>
      <c r="I18534" t="s">
        <v>47111</v>
      </c>
      <c r="J18534" t="s">
        <v>47112</v>
      </c>
      <c r="K18534" t="s">
        <v>47113</v>
      </c>
      <c r="L18534">
        <v>14.34</v>
      </c>
      <c r="M18534">
        <v>35</v>
      </c>
      <c r="N18534">
        <v>0</v>
      </c>
      <c r="O18534">
        <v>35</v>
      </c>
      <c r="P18534">
        <v>0</v>
      </c>
    </row>
    <row r="18535" spans="1:16" x14ac:dyDescent="0.25">
      <c r="A18535" t="s">
        <v>41158</v>
      </c>
      <c r="B18535" t="s">
        <v>11209</v>
      </c>
      <c r="C18535" t="s">
        <v>11210</v>
      </c>
      <c r="D18535" t="str">
        <f>"1794"</f>
        <v>1794</v>
      </c>
      <c r="E18535" t="s">
        <v>8743</v>
      </c>
      <c r="F18535" t="s">
        <v>3546</v>
      </c>
      <c r="G18535" t="s">
        <v>47091</v>
      </c>
      <c r="H18535" t="s">
        <v>47054</v>
      </c>
      <c r="I18535" t="s">
        <v>47111</v>
      </c>
      <c r="J18535" t="s">
        <v>47112</v>
      </c>
      <c r="K18535" t="s">
        <v>47113</v>
      </c>
      <c r="L18535">
        <v>12.14</v>
      </c>
      <c r="M18535">
        <v>30</v>
      </c>
      <c r="N18535">
        <v>0</v>
      </c>
      <c r="O18535">
        <v>30</v>
      </c>
      <c r="P18535">
        <v>0</v>
      </c>
    </row>
    <row r="18536" spans="1:16" x14ac:dyDescent="0.25">
      <c r="A18536" t="s">
        <v>41159</v>
      </c>
      <c r="B18536" t="s">
        <v>11211</v>
      </c>
      <c r="C18536" t="s">
        <v>11212</v>
      </c>
      <c r="D18536" t="str">
        <f>"1438"</f>
        <v>1438</v>
      </c>
      <c r="E18536" t="s">
        <v>11213</v>
      </c>
      <c r="F18536" t="s">
        <v>1</v>
      </c>
      <c r="G18536" t="s">
        <v>47097</v>
      </c>
      <c r="H18536" t="s">
        <v>47054</v>
      </c>
      <c r="I18536" t="s">
        <v>47111</v>
      </c>
      <c r="J18536" t="s">
        <v>47112</v>
      </c>
      <c r="K18536" t="s">
        <v>47113</v>
      </c>
      <c r="L18536">
        <v>10.16</v>
      </c>
      <c r="M18536">
        <v>25</v>
      </c>
      <c r="N18536">
        <v>0</v>
      </c>
      <c r="O18536">
        <v>25</v>
      </c>
      <c r="P18536">
        <v>0</v>
      </c>
    </row>
    <row r="18537" spans="1:16" x14ac:dyDescent="0.25">
      <c r="A18537" t="s">
        <v>41160</v>
      </c>
      <c r="B18537" t="s">
        <v>11211</v>
      </c>
      <c r="C18537" t="s">
        <v>11212</v>
      </c>
      <c r="D18537" t="str">
        <f>"1700"</f>
        <v>1700</v>
      </c>
      <c r="E18537" t="s">
        <v>60</v>
      </c>
      <c r="F18537" t="s">
        <v>1</v>
      </c>
      <c r="G18537" t="s">
        <v>47097</v>
      </c>
      <c r="H18537" t="s">
        <v>47054</v>
      </c>
      <c r="I18537" t="s">
        <v>47111</v>
      </c>
      <c r="J18537" t="s">
        <v>47112</v>
      </c>
      <c r="K18537" t="s">
        <v>47113</v>
      </c>
      <c r="L18537">
        <v>10.16</v>
      </c>
      <c r="M18537">
        <v>25</v>
      </c>
      <c r="N18537">
        <v>0</v>
      </c>
      <c r="O18537">
        <v>25</v>
      </c>
      <c r="P18537">
        <v>0</v>
      </c>
    </row>
    <row r="18538" spans="1:16" x14ac:dyDescent="0.25">
      <c r="A18538" t="s">
        <v>41161</v>
      </c>
      <c r="B18538" t="s">
        <v>11211</v>
      </c>
      <c r="C18538" t="s">
        <v>11212</v>
      </c>
      <c r="D18538" t="str">
        <f>"6868"</f>
        <v>6868</v>
      </c>
      <c r="E18538" t="s">
        <v>11214</v>
      </c>
      <c r="F18538" t="s">
        <v>1</v>
      </c>
      <c r="G18538" t="s">
        <v>47097</v>
      </c>
      <c r="H18538" t="s">
        <v>47054</v>
      </c>
      <c r="I18538" t="s">
        <v>47111</v>
      </c>
      <c r="J18538" t="s">
        <v>47112</v>
      </c>
      <c r="K18538" t="s">
        <v>47113</v>
      </c>
      <c r="L18538">
        <v>10.16</v>
      </c>
      <c r="M18538">
        <v>25</v>
      </c>
      <c r="N18538">
        <v>0</v>
      </c>
      <c r="O18538">
        <v>25</v>
      </c>
      <c r="P18538">
        <v>0</v>
      </c>
    </row>
    <row r="18539" spans="1:16" x14ac:dyDescent="0.25">
      <c r="A18539" t="s">
        <v>41162</v>
      </c>
      <c r="B18539" t="s">
        <v>11215</v>
      </c>
      <c r="C18539" t="s">
        <v>11216</v>
      </c>
      <c r="D18539" t="str">
        <f>"1001"</f>
        <v>1001</v>
      </c>
      <c r="E18539" t="s">
        <v>42</v>
      </c>
      <c r="F18539" t="s">
        <v>1</v>
      </c>
      <c r="G18539" t="s">
        <v>47092</v>
      </c>
      <c r="H18539" t="s">
        <v>47054</v>
      </c>
      <c r="I18539" t="s">
        <v>47111</v>
      </c>
      <c r="J18539" t="s">
        <v>47112</v>
      </c>
      <c r="K18539" t="s">
        <v>47113</v>
      </c>
      <c r="L18539">
        <v>12.18</v>
      </c>
      <c r="M18539">
        <v>30</v>
      </c>
      <c r="N18539">
        <v>0</v>
      </c>
      <c r="O18539">
        <v>30</v>
      </c>
      <c r="P18539">
        <v>0</v>
      </c>
    </row>
    <row r="18540" spans="1:16" x14ac:dyDescent="0.25">
      <c r="A18540" t="s">
        <v>41163</v>
      </c>
      <c r="B18540" t="s">
        <v>11217</v>
      </c>
      <c r="C18540" t="s">
        <v>11218</v>
      </c>
      <c r="D18540" t="str">
        <f>"1700"</f>
        <v>1700</v>
      </c>
      <c r="E18540" t="s">
        <v>60</v>
      </c>
      <c r="F18540" t="s">
        <v>1</v>
      </c>
      <c r="G18540" t="s">
        <v>47091</v>
      </c>
      <c r="H18540" t="s">
        <v>47054</v>
      </c>
      <c r="I18540" t="s">
        <v>47111</v>
      </c>
      <c r="J18540" t="s">
        <v>47112</v>
      </c>
      <c r="K18540" t="s">
        <v>47113</v>
      </c>
      <c r="L18540">
        <v>14</v>
      </c>
      <c r="M18540">
        <v>34</v>
      </c>
      <c r="N18540">
        <v>0</v>
      </c>
      <c r="O18540">
        <v>34</v>
      </c>
      <c r="P18540">
        <v>0</v>
      </c>
    </row>
    <row r="18541" spans="1:16" x14ac:dyDescent="0.25">
      <c r="A18541" t="s">
        <v>41164</v>
      </c>
      <c r="B18541" t="s">
        <v>11217</v>
      </c>
      <c r="C18541" t="s">
        <v>11218</v>
      </c>
      <c r="D18541" t="str">
        <f>"7457"</f>
        <v>7457</v>
      </c>
      <c r="E18541" t="s">
        <v>11219</v>
      </c>
      <c r="F18541" t="s">
        <v>1</v>
      </c>
      <c r="G18541" t="s">
        <v>47091</v>
      </c>
      <c r="H18541" t="s">
        <v>47054</v>
      </c>
      <c r="I18541" t="s">
        <v>47111</v>
      </c>
      <c r="J18541" t="s">
        <v>47112</v>
      </c>
      <c r="K18541" t="s">
        <v>47113</v>
      </c>
      <c r="L18541">
        <v>14</v>
      </c>
      <c r="M18541">
        <v>34</v>
      </c>
      <c r="N18541">
        <v>0</v>
      </c>
      <c r="O18541">
        <v>34</v>
      </c>
      <c r="P18541">
        <v>0</v>
      </c>
    </row>
    <row r="18542" spans="1:16" x14ac:dyDescent="0.25">
      <c r="A18542" t="s">
        <v>41165</v>
      </c>
      <c r="B18542" t="s">
        <v>11220</v>
      </c>
      <c r="C18542" t="s">
        <v>11221</v>
      </c>
      <c r="D18542" t="str">
        <f>"1035"</f>
        <v>1035</v>
      </c>
      <c r="E18542" t="s">
        <v>758</v>
      </c>
      <c r="F18542" t="s">
        <v>3546</v>
      </c>
      <c r="G18542" t="s">
        <v>47091</v>
      </c>
      <c r="H18542" t="s">
        <v>47054</v>
      </c>
      <c r="I18542" t="s">
        <v>47111</v>
      </c>
      <c r="J18542" t="s">
        <v>47112</v>
      </c>
      <c r="K18542" t="s">
        <v>47113</v>
      </c>
      <c r="L18542">
        <v>13.46</v>
      </c>
      <c r="M18542">
        <v>33</v>
      </c>
      <c r="N18542">
        <v>0</v>
      </c>
      <c r="O18542">
        <v>33</v>
      </c>
      <c r="P18542">
        <v>0</v>
      </c>
    </row>
    <row r="18543" spans="1:16" x14ac:dyDescent="0.25">
      <c r="A18543" t="s">
        <v>41166</v>
      </c>
      <c r="B18543" t="s">
        <v>11220</v>
      </c>
      <c r="C18543" t="s">
        <v>11221</v>
      </c>
      <c r="D18543" t="str">
        <f>"1794"</f>
        <v>1794</v>
      </c>
      <c r="E18543" t="s">
        <v>8743</v>
      </c>
      <c r="F18543" t="s">
        <v>3546</v>
      </c>
      <c r="G18543" t="s">
        <v>47091</v>
      </c>
      <c r="H18543" t="s">
        <v>47054</v>
      </c>
      <c r="I18543" t="s">
        <v>47111</v>
      </c>
      <c r="J18543" t="s">
        <v>47112</v>
      </c>
      <c r="K18543" t="s">
        <v>47113</v>
      </c>
      <c r="L18543">
        <v>13.46</v>
      </c>
      <c r="M18543">
        <v>33</v>
      </c>
      <c r="N18543">
        <v>0</v>
      </c>
      <c r="O18543">
        <v>33</v>
      </c>
      <c r="P18543">
        <v>0</v>
      </c>
    </row>
    <row r="18544" spans="1:16" x14ac:dyDescent="0.25">
      <c r="A18544" t="s">
        <v>41167</v>
      </c>
      <c r="B18544" t="s">
        <v>11222</v>
      </c>
      <c r="C18544" t="s">
        <v>11223</v>
      </c>
      <c r="D18544" t="str">
        <f>"1035"</f>
        <v>1035</v>
      </c>
      <c r="E18544" t="s">
        <v>758</v>
      </c>
      <c r="F18544" t="s">
        <v>3546</v>
      </c>
      <c r="G18544" t="s">
        <v>47091</v>
      </c>
      <c r="H18544" t="s">
        <v>47054</v>
      </c>
      <c r="I18544" t="s">
        <v>47111</v>
      </c>
      <c r="J18544" t="s">
        <v>47112</v>
      </c>
      <c r="K18544" t="s">
        <v>47113</v>
      </c>
      <c r="L18544">
        <v>13.46</v>
      </c>
      <c r="M18544">
        <v>33</v>
      </c>
      <c r="N18544">
        <v>0</v>
      </c>
      <c r="O18544">
        <v>33</v>
      </c>
      <c r="P18544">
        <v>0</v>
      </c>
    </row>
    <row r="18545" spans="1:16" x14ac:dyDescent="0.25">
      <c r="A18545" t="s">
        <v>41168</v>
      </c>
      <c r="B18545" t="s">
        <v>11222</v>
      </c>
      <c r="C18545" t="s">
        <v>11223</v>
      </c>
      <c r="D18545" t="str">
        <f>"1746"</f>
        <v>1746</v>
      </c>
      <c r="E18545" t="s">
        <v>807</v>
      </c>
      <c r="F18545" t="s">
        <v>3546</v>
      </c>
      <c r="G18545" t="s">
        <v>47091</v>
      </c>
      <c r="H18545" t="s">
        <v>47054</v>
      </c>
      <c r="I18545" t="s">
        <v>47111</v>
      </c>
      <c r="J18545" t="s">
        <v>47112</v>
      </c>
      <c r="K18545" t="s">
        <v>47113</v>
      </c>
      <c r="L18545">
        <v>13.46</v>
      </c>
      <c r="M18545">
        <v>33</v>
      </c>
      <c r="N18545">
        <v>0</v>
      </c>
      <c r="O18545">
        <v>33</v>
      </c>
      <c r="P18545">
        <v>0</v>
      </c>
    </row>
    <row r="18546" spans="1:16" x14ac:dyDescent="0.25">
      <c r="A18546" t="s">
        <v>41169</v>
      </c>
      <c r="B18546" t="s">
        <v>11224</v>
      </c>
      <c r="C18546" t="s">
        <v>11225</v>
      </c>
      <c r="D18546" t="str">
        <f>"1700"</f>
        <v>1700</v>
      </c>
      <c r="E18546" t="s">
        <v>60</v>
      </c>
      <c r="F18546" t="s">
        <v>2068</v>
      </c>
      <c r="G18546" t="s">
        <v>47097</v>
      </c>
      <c r="H18546" t="s">
        <v>47054</v>
      </c>
      <c r="I18546" t="s">
        <v>47111</v>
      </c>
      <c r="J18546" t="s">
        <v>47112</v>
      </c>
      <c r="K18546" t="s">
        <v>47113</v>
      </c>
      <c r="L18546">
        <v>13.85</v>
      </c>
      <c r="M18546">
        <v>73</v>
      </c>
      <c r="N18546">
        <v>0</v>
      </c>
      <c r="O18546">
        <v>73</v>
      </c>
      <c r="P18546">
        <v>0</v>
      </c>
    </row>
    <row r="18547" spans="1:16" x14ac:dyDescent="0.25">
      <c r="A18547" t="s">
        <v>41170</v>
      </c>
      <c r="B18547" t="s">
        <v>11226</v>
      </c>
      <c r="C18547" t="s">
        <v>11227</v>
      </c>
      <c r="D18547" t="str">
        <f>"2703"</f>
        <v>2703</v>
      </c>
      <c r="E18547" t="s">
        <v>11228</v>
      </c>
      <c r="F18547" t="s">
        <v>2068</v>
      </c>
      <c r="G18547" t="s">
        <v>47097</v>
      </c>
      <c r="H18547" t="s">
        <v>47054</v>
      </c>
      <c r="I18547" t="s">
        <v>47111</v>
      </c>
      <c r="J18547" t="s">
        <v>47112</v>
      </c>
      <c r="K18547" t="s">
        <v>47113</v>
      </c>
      <c r="L18547">
        <v>14.08</v>
      </c>
      <c r="M18547">
        <v>35</v>
      </c>
      <c r="N18547">
        <v>0</v>
      </c>
      <c r="O18547">
        <v>35</v>
      </c>
      <c r="P18547">
        <v>0</v>
      </c>
    </row>
    <row r="18548" spans="1:16" x14ac:dyDescent="0.25">
      <c r="A18548" t="s">
        <v>41171</v>
      </c>
      <c r="B18548" t="s">
        <v>11229</v>
      </c>
      <c r="C18548" t="s">
        <v>11230</v>
      </c>
      <c r="D18548" t="str">
        <f>"1035"</f>
        <v>1035</v>
      </c>
      <c r="E18548" t="s">
        <v>758</v>
      </c>
      <c r="F18548" t="s">
        <v>3546</v>
      </c>
      <c r="G18548" t="s">
        <v>47091</v>
      </c>
      <c r="H18548" t="s">
        <v>47054</v>
      </c>
      <c r="I18548" t="s">
        <v>47111</v>
      </c>
      <c r="J18548" t="s">
        <v>47112</v>
      </c>
      <c r="K18548" t="s">
        <v>47113</v>
      </c>
      <c r="L18548">
        <v>14.08</v>
      </c>
      <c r="M18548">
        <v>25</v>
      </c>
      <c r="N18548">
        <v>0</v>
      </c>
      <c r="O18548">
        <v>25</v>
      </c>
      <c r="P18548">
        <v>0</v>
      </c>
    </row>
    <row r="18549" spans="1:16" x14ac:dyDescent="0.25">
      <c r="A18549" t="s">
        <v>41172</v>
      </c>
      <c r="B18549" t="s">
        <v>11229</v>
      </c>
      <c r="C18549" t="s">
        <v>11230</v>
      </c>
      <c r="D18549" t="str">
        <f>"1794"</f>
        <v>1794</v>
      </c>
      <c r="E18549" t="s">
        <v>8743</v>
      </c>
      <c r="F18549" t="s">
        <v>3546</v>
      </c>
      <c r="G18549" t="s">
        <v>47091</v>
      </c>
      <c r="H18549" t="s">
        <v>47054</v>
      </c>
      <c r="I18549" t="s">
        <v>47111</v>
      </c>
      <c r="J18549" t="s">
        <v>47112</v>
      </c>
      <c r="K18549" t="s">
        <v>47113</v>
      </c>
      <c r="L18549">
        <v>14.08</v>
      </c>
      <c r="M18549">
        <v>25</v>
      </c>
      <c r="N18549">
        <v>0</v>
      </c>
      <c r="O18549">
        <v>25</v>
      </c>
      <c r="P18549">
        <v>0</v>
      </c>
    </row>
    <row r="18550" spans="1:16" x14ac:dyDescent="0.25">
      <c r="A18550" t="s">
        <v>41173</v>
      </c>
      <c r="B18550" t="s">
        <v>11231</v>
      </c>
      <c r="C18550" t="s">
        <v>18439</v>
      </c>
      <c r="D18550" t="str">
        <f>"1700"</f>
        <v>1700</v>
      </c>
      <c r="E18550" t="s">
        <v>60</v>
      </c>
      <c r="F18550" t="s">
        <v>3558</v>
      </c>
      <c r="G18550" t="s">
        <v>47091</v>
      </c>
      <c r="H18550" t="s">
        <v>47054</v>
      </c>
      <c r="I18550" t="s">
        <v>47111</v>
      </c>
      <c r="J18550" t="s">
        <v>47112</v>
      </c>
      <c r="K18550" t="s">
        <v>47113</v>
      </c>
      <c r="L18550">
        <v>8.65</v>
      </c>
      <c r="M18550">
        <v>26</v>
      </c>
      <c r="N18550">
        <v>0</v>
      </c>
      <c r="O18550">
        <v>26</v>
      </c>
      <c r="P18550">
        <v>0</v>
      </c>
    </row>
    <row r="18551" spans="1:16" x14ac:dyDescent="0.25">
      <c r="A18551" t="s">
        <v>41174</v>
      </c>
      <c r="B18551" t="s">
        <v>11231</v>
      </c>
      <c r="C18551" t="s">
        <v>18439</v>
      </c>
      <c r="D18551" t="str">
        <f>"4108"</f>
        <v>4108</v>
      </c>
      <c r="E18551" t="s">
        <v>6277</v>
      </c>
      <c r="F18551" t="s">
        <v>3558</v>
      </c>
      <c r="G18551" t="s">
        <v>47091</v>
      </c>
      <c r="H18551" t="s">
        <v>47054</v>
      </c>
      <c r="I18551" t="s">
        <v>47111</v>
      </c>
      <c r="J18551" t="s">
        <v>47112</v>
      </c>
      <c r="K18551" t="s">
        <v>47113</v>
      </c>
      <c r="L18551">
        <v>8.65</v>
      </c>
      <c r="M18551">
        <v>26</v>
      </c>
      <c r="N18551">
        <v>0</v>
      </c>
      <c r="O18551">
        <v>26</v>
      </c>
      <c r="P18551">
        <v>0</v>
      </c>
    </row>
    <row r="18552" spans="1:16" x14ac:dyDescent="0.25">
      <c r="A18552" t="s">
        <v>41175</v>
      </c>
      <c r="B18552" t="s">
        <v>11231</v>
      </c>
      <c r="C18552" t="s">
        <v>18439</v>
      </c>
      <c r="D18552" t="str">
        <f>"5320"</f>
        <v>5320</v>
      </c>
      <c r="E18552" t="s">
        <v>15875</v>
      </c>
      <c r="F18552" t="s">
        <v>3558</v>
      </c>
      <c r="G18552" t="s">
        <v>47091</v>
      </c>
      <c r="H18552" t="s">
        <v>47054</v>
      </c>
      <c r="I18552" t="s">
        <v>47111</v>
      </c>
      <c r="J18552" t="s">
        <v>47112</v>
      </c>
      <c r="K18552" t="s">
        <v>47113</v>
      </c>
      <c r="L18552">
        <v>8.65</v>
      </c>
      <c r="M18552">
        <v>26</v>
      </c>
      <c r="N18552">
        <v>0</v>
      </c>
      <c r="O18552">
        <v>26</v>
      </c>
      <c r="P18552">
        <v>0</v>
      </c>
    </row>
    <row r="18553" spans="1:16" x14ac:dyDescent="0.25">
      <c r="A18553" t="s">
        <v>41176</v>
      </c>
      <c r="B18553" t="s">
        <v>11231</v>
      </c>
      <c r="C18553" t="s">
        <v>18439</v>
      </c>
      <c r="D18553" t="str">
        <f>"6000"</f>
        <v>6000</v>
      </c>
      <c r="E18553" t="s">
        <v>7598</v>
      </c>
      <c r="F18553" t="s">
        <v>3558</v>
      </c>
      <c r="G18553" t="s">
        <v>47091</v>
      </c>
      <c r="H18553" t="s">
        <v>47054</v>
      </c>
      <c r="I18553" t="s">
        <v>47111</v>
      </c>
      <c r="J18553" t="s">
        <v>47112</v>
      </c>
      <c r="K18553" t="s">
        <v>47113</v>
      </c>
      <c r="L18553">
        <v>8.65</v>
      </c>
      <c r="M18553">
        <v>26</v>
      </c>
      <c r="N18553">
        <v>0</v>
      </c>
      <c r="O18553">
        <v>26</v>
      </c>
      <c r="P18553">
        <v>0</v>
      </c>
    </row>
    <row r="18554" spans="1:16" x14ac:dyDescent="0.25">
      <c r="A18554" t="s">
        <v>41177</v>
      </c>
      <c r="B18554" t="s">
        <v>11231</v>
      </c>
      <c r="C18554" t="s">
        <v>18439</v>
      </c>
      <c r="D18554" t="str">
        <f>"7000"</f>
        <v>7000</v>
      </c>
      <c r="E18554" t="s">
        <v>185</v>
      </c>
      <c r="F18554" t="s">
        <v>3558</v>
      </c>
      <c r="G18554" t="s">
        <v>47091</v>
      </c>
      <c r="H18554" t="s">
        <v>47054</v>
      </c>
      <c r="I18554" t="s">
        <v>47111</v>
      </c>
      <c r="J18554" t="s">
        <v>47112</v>
      </c>
      <c r="K18554" t="s">
        <v>47113</v>
      </c>
      <c r="L18554">
        <v>8.65</v>
      </c>
      <c r="M18554">
        <v>26</v>
      </c>
      <c r="N18554">
        <v>0</v>
      </c>
      <c r="O18554">
        <v>26</v>
      </c>
      <c r="P18554">
        <v>0</v>
      </c>
    </row>
    <row r="18555" spans="1:16" x14ac:dyDescent="0.25">
      <c r="A18555" t="s">
        <v>41178</v>
      </c>
      <c r="B18555" t="s">
        <v>11232</v>
      </c>
      <c r="C18555" t="s">
        <v>11233</v>
      </c>
      <c r="D18555" t="str">
        <f>"1830"</f>
        <v>1830</v>
      </c>
      <c r="E18555" t="s">
        <v>8971</v>
      </c>
      <c r="F18555" t="s">
        <v>3558</v>
      </c>
      <c r="G18555" t="s">
        <v>47092</v>
      </c>
      <c r="H18555" t="s">
        <v>47054</v>
      </c>
      <c r="I18555" t="s">
        <v>47111</v>
      </c>
      <c r="J18555" t="s">
        <v>47112</v>
      </c>
      <c r="K18555" t="s">
        <v>47113</v>
      </c>
      <c r="L18555">
        <v>7.61</v>
      </c>
      <c r="M18555">
        <v>22</v>
      </c>
      <c r="N18555">
        <v>0</v>
      </c>
      <c r="O18555">
        <v>22</v>
      </c>
      <c r="P18555">
        <v>0</v>
      </c>
    </row>
    <row r="18556" spans="1:16" x14ac:dyDescent="0.25">
      <c r="A18556" t="s">
        <v>41179</v>
      </c>
      <c r="B18556" t="s">
        <v>11232</v>
      </c>
      <c r="C18556" t="s">
        <v>11233</v>
      </c>
      <c r="D18556" t="str">
        <f>"4127"</f>
        <v>4127</v>
      </c>
      <c r="E18556" t="s">
        <v>8897</v>
      </c>
      <c r="F18556" t="s">
        <v>3558</v>
      </c>
      <c r="G18556" t="s">
        <v>47092</v>
      </c>
      <c r="H18556" t="s">
        <v>47054</v>
      </c>
      <c r="I18556" t="s">
        <v>47111</v>
      </c>
      <c r="J18556" t="s">
        <v>47112</v>
      </c>
      <c r="K18556" t="s">
        <v>47113</v>
      </c>
      <c r="L18556">
        <v>7.61</v>
      </c>
      <c r="M18556">
        <v>22</v>
      </c>
      <c r="N18556">
        <v>0</v>
      </c>
      <c r="O18556">
        <v>22</v>
      </c>
      <c r="P18556">
        <v>0</v>
      </c>
    </row>
    <row r="18557" spans="1:16" x14ac:dyDescent="0.25">
      <c r="A18557" t="s">
        <v>41180</v>
      </c>
      <c r="B18557" t="s">
        <v>11234</v>
      </c>
      <c r="C18557" t="s">
        <v>11235</v>
      </c>
      <c r="D18557" t="str">
        <f>"1700"</f>
        <v>1700</v>
      </c>
      <c r="E18557" t="s">
        <v>60</v>
      </c>
      <c r="F18557" t="s">
        <v>1</v>
      </c>
      <c r="G18557" t="s">
        <v>47101</v>
      </c>
      <c r="H18557" t="s">
        <v>47054</v>
      </c>
      <c r="I18557" t="s">
        <v>47178</v>
      </c>
      <c r="J18557" t="s">
        <v>47179</v>
      </c>
      <c r="K18557" t="s">
        <v>47113</v>
      </c>
      <c r="L18557">
        <v>22.57</v>
      </c>
      <c r="M18557">
        <v>55</v>
      </c>
      <c r="N18557">
        <v>0</v>
      </c>
      <c r="O18557">
        <v>55</v>
      </c>
      <c r="P18557">
        <v>0</v>
      </c>
    </row>
    <row r="18558" spans="1:16" x14ac:dyDescent="0.25">
      <c r="A18558" t="s">
        <v>41181</v>
      </c>
      <c r="B18558" t="s">
        <v>11236</v>
      </c>
      <c r="C18558" t="s">
        <v>11237</v>
      </c>
      <c r="D18558" t="str">
        <f>"1001"</f>
        <v>1001</v>
      </c>
      <c r="E18558" t="s">
        <v>11238</v>
      </c>
      <c r="F18558" t="s">
        <v>1</v>
      </c>
      <c r="G18558" t="s">
        <v>47099</v>
      </c>
      <c r="H18558" t="s">
        <v>47054</v>
      </c>
      <c r="I18558" t="s">
        <v>47120</v>
      </c>
      <c r="J18558" t="s">
        <v>47121</v>
      </c>
      <c r="K18558" t="s">
        <v>47113</v>
      </c>
      <c r="L18558">
        <v>21.76</v>
      </c>
      <c r="M18558">
        <v>53</v>
      </c>
      <c r="N18558">
        <v>0</v>
      </c>
      <c r="O18558">
        <v>53</v>
      </c>
      <c r="P18558">
        <v>0</v>
      </c>
    </row>
    <row r="18559" spans="1:16" x14ac:dyDescent="0.25">
      <c r="A18559" t="s">
        <v>41182</v>
      </c>
      <c r="B18559" t="s">
        <v>11236</v>
      </c>
      <c r="C18559" t="s">
        <v>11237</v>
      </c>
      <c r="D18559" t="str">
        <f>"1438"</f>
        <v>1438</v>
      </c>
      <c r="E18559" t="s">
        <v>11213</v>
      </c>
      <c r="F18559" t="s">
        <v>1</v>
      </c>
      <c r="G18559" t="s">
        <v>47099</v>
      </c>
      <c r="H18559" t="s">
        <v>47054</v>
      </c>
      <c r="I18559" t="s">
        <v>47120</v>
      </c>
      <c r="J18559" t="s">
        <v>47121</v>
      </c>
      <c r="K18559" t="s">
        <v>47113</v>
      </c>
      <c r="L18559">
        <v>21.76</v>
      </c>
      <c r="M18559">
        <v>53</v>
      </c>
      <c r="N18559">
        <v>0</v>
      </c>
      <c r="O18559">
        <v>53</v>
      </c>
      <c r="P18559">
        <v>0</v>
      </c>
    </row>
    <row r="18560" spans="1:16" x14ac:dyDescent="0.25">
      <c r="A18560" t="s">
        <v>41183</v>
      </c>
      <c r="B18560" t="s">
        <v>11236</v>
      </c>
      <c r="C18560" t="s">
        <v>11237</v>
      </c>
      <c r="D18560" t="str">
        <f>"1700"</f>
        <v>1700</v>
      </c>
      <c r="E18560" t="s">
        <v>11239</v>
      </c>
      <c r="F18560" t="s">
        <v>1</v>
      </c>
      <c r="G18560" t="s">
        <v>47099</v>
      </c>
      <c r="H18560" t="s">
        <v>47054</v>
      </c>
      <c r="I18560" t="s">
        <v>47120</v>
      </c>
      <c r="J18560" t="s">
        <v>47121</v>
      </c>
      <c r="K18560" t="s">
        <v>47113</v>
      </c>
      <c r="L18560">
        <v>21.76</v>
      </c>
      <c r="M18560">
        <v>53</v>
      </c>
      <c r="N18560">
        <v>0</v>
      </c>
      <c r="O18560">
        <v>53</v>
      </c>
      <c r="P18560">
        <v>0</v>
      </c>
    </row>
    <row r="18561" spans="1:16" x14ac:dyDescent="0.25">
      <c r="A18561" t="s">
        <v>41184</v>
      </c>
      <c r="B18561" t="s">
        <v>11236</v>
      </c>
      <c r="C18561" t="s">
        <v>11237</v>
      </c>
      <c r="D18561" t="str">
        <f>"2364"</f>
        <v>2364</v>
      </c>
      <c r="E18561" t="s">
        <v>11240</v>
      </c>
      <c r="F18561" t="s">
        <v>1</v>
      </c>
      <c r="G18561" t="s">
        <v>47099</v>
      </c>
      <c r="H18561" t="s">
        <v>47054</v>
      </c>
      <c r="I18561" t="s">
        <v>47120</v>
      </c>
      <c r="J18561" t="s">
        <v>47121</v>
      </c>
      <c r="K18561" t="s">
        <v>47113</v>
      </c>
      <c r="L18561">
        <v>21.76</v>
      </c>
      <c r="M18561">
        <v>53</v>
      </c>
      <c r="N18561">
        <v>0</v>
      </c>
      <c r="O18561">
        <v>53</v>
      </c>
      <c r="P18561">
        <v>0</v>
      </c>
    </row>
    <row r="18562" spans="1:16" x14ac:dyDescent="0.25">
      <c r="A18562" t="s">
        <v>41185</v>
      </c>
      <c r="B18562" t="s">
        <v>11241</v>
      </c>
      <c r="C18562" t="s">
        <v>11242</v>
      </c>
      <c r="D18562" t="str">
        <f>"1001"</f>
        <v>1001</v>
      </c>
      <c r="E18562" t="s">
        <v>11238</v>
      </c>
      <c r="F18562" t="s">
        <v>1</v>
      </c>
      <c r="G18562" t="s">
        <v>49029</v>
      </c>
      <c r="H18562" t="s">
        <v>47054</v>
      </c>
      <c r="I18562" t="s">
        <v>47120</v>
      </c>
      <c r="J18562" t="s">
        <v>47121</v>
      </c>
      <c r="K18562" t="s">
        <v>47113</v>
      </c>
      <c r="L18562">
        <v>17.100000000000001</v>
      </c>
      <c r="M18562">
        <v>42</v>
      </c>
      <c r="N18562">
        <v>0</v>
      </c>
      <c r="O18562">
        <v>42</v>
      </c>
      <c r="P18562">
        <v>0</v>
      </c>
    </row>
    <row r="18563" spans="1:16" x14ac:dyDescent="0.25">
      <c r="A18563" t="s">
        <v>41186</v>
      </c>
      <c r="B18563" t="s">
        <v>11241</v>
      </c>
      <c r="C18563" t="s">
        <v>11242</v>
      </c>
      <c r="D18563" t="str">
        <f>"1438"</f>
        <v>1438</v>
      </c>
      <c r="E18563" t="s">
        <v>11213</v>
      </c>
      <c r="F18563" t="s">
        <v>1</v>
      </c>
      <c r="G18563" t="s">
        <v>49029</v>
      </c>
      <c r="H18563" t="s">
        <v>47054</v>
      </c>
      <c r="I18563" t="s">
        <v>47120</v>
      </c>
      <c r="J18563" t="s">
        <v>47121</v>
      </c>
      <c r="K18563" t="s">
        <v>47113</v>
      </c>
      <c r="L18563">
        <v>17.100000000000001</v>
      </c>
      <c r="M18563">
        <v>42</v>
      </c>
      <c r="N18563">
        <v>0</v>
      </c>
      <c r="O18563">
        <v>42</v>
      </c>
      <c r="P18563">
        <v>0</v>
      </c>
    </row>
    <row r="18564" spans="1:16" x14ac:dyDescent="0.25">
      <c r="A18564" t="s">
        <v>41187</v>
      </c>
      <c r="B18564" t="s">
        <v>11241</v>
      </c>
      <c r="C18564" t="s">
        <v>11242</v>
      </c>
      <c r="D18564" t="str">
        <f>"1700"</f>
        <v>1700</v>
      </c>
      <c r="E18564" t="s">
        <v>11239</v>
      </c>
      <c r="F18564" t="s">
        <v>1</v>
      </c>
      <c r="G18564" t="s">
        <v>49029</v>
      </c>
      <c r="H18564" t="s">
        <v>47054</v>
      </c>
      <c r="I18564" t="s">
        <v>47120</v>
      </c>
      <c r="J18564" t="s">
        <v>47121</v>
      </c>
      <c r="K18564" t="s">
        <v>47113</v>
      </c>
      <c r="L18564">
        <v>17.100000000000001</v>
      </c>
      <c r="M18564">
        <v>42</v>
      </c>
      <c r="N18564">
        <v>0</v>
      </c>
      <c r="O18564">
        <v>42</v>
      </c>
      <c r="P18564">
        <v>0</v>
      </c>
    </row>
    <row r="18565" spans="1:16" x14ac:dyDescent="0.25">
      <c r="A18565" t="s">
        <v>41188</v>
      </c>
      <c r="B18565" t="s">
        <v>11241</v>
      </c>
      <c r="C18565" t="s">
        <v>11242</v>
      </c>
      <c r="D18565" t="str">
        <f>"2364"</f>
        <v>2364</v>
      </c>
      <c r="E18565" t="s">
        <v>11240</v>
      </c>
      <c r="F18565" t="s">
        <v>1</v>
      </c>
      <c r="G18565" t="s">
        <v>49029</v>
      </c>
      <c r="H18565" t="s">
        <v>47054</v>
      </c>
      <c r="I18565" t="s">
        <v>47120</v>
      </c>
      <c r="J18565" t="s">
        <v>47121</v>
      </c>
      <c r="K18565" t="s">
        <v>47113</v>
      </c>
      <c r="L18565">
        <v>17.100000000000001</v>
      </c>
      <c r="M18565">
        <v>42</v>
      </c>
      <c r="N18565">
        <v>0</v>
      </c>
      <c r="O18565">
        <v>42</v>
      </c>
      <c r="P18565">
        <v>0</v>
      </c>
    </row>
    <row r="18566" spans="1:16" x14ac:dyDescent="0.25">
      <c r="A18566" t="s">
        <v>41189</v>
      </c>
      <c r="B18566" t="s">
        <v>11243</v>
      </c>
      <c r="C18566" t="s">
        <v>11244</v>
      </c>
      <c r="D18566" t="str">
        <f>"1001"</f>
        <v>1001</v>
      </c>
      <c r="E18566" t="s">
        <v>42</v>
      </c>
      <c r="F18566" t="s">
        <v>2068</v>
      </c>
      <c r="G18566" t="s">
        <v>47093</v>
      </c>
      <c r="H18566" t="s">
        <v>47054</v>
      </c>
      <c r="I18566" t="s">
        <v>47111</v>
      </c>
      <c r="J18566" t="s">
        <v>47112</v>
      </c>
      <c r="K18566" t="s">
        <v>47113</v>
      </c>
      <c r="L18566">
        <v>29.51</v>
      </c>
      <c r="M18566">
        <v>67</v>
      </c>
      <c r="N18566">
        <v>0</v>
      </c>
      <c r="O18566">
        <v>67</v>
      </c>
      <c r="P18566">
        <v>0</v>
      </c>
    </row>
    <row r="18567" spans="1:16" x14ac:dyDescent="0.25">
      <c r="A18567" t="s">
        <v>41190</v>
      </c>
      <c r="B18567" t="s">
        <v>11245</v>
      </c>
      <c r="C18567" t="s">
        <v>11246</v>
      </c>
      <c r="D18567" t="str">
        <f>"1001"</f>
        <v>1001</v>
      </c>
      <c r="E18567" t="s">
        <v>42</v>
      </c>
      <c r="F18567" t="s">
        <v>2068</v>
      </c>
      <c r="G18567" t="s">
        <v>47099</v>
      </c>
      <c r="H18567" t="s">
        <v>47054</v>
      </c>
      <c r="I18567" t="s">
        <v>47111</v>
      </c>
      <c r="J18567" t="s">
        <v>47112</v>
      </c>
      <c r="K18567" t="s">
        <v>47113</v>
      </c>
      <c r="L18567">
        <v>27.68</v>
      </c>
      <c r="M18567">
        <v>63</v>
      </c>
      <c r="N18567">
        <v>0</v>
      </c>
      <c r="O18567">
        <v>63</v>
      </c>
      <c r="P18567">
        <v>0</v>
      </c>
    </row>
    <row r="18568" spans="1:16" x14ac:dyDescent="0.25">
      <c r="A18568" t="s">
        <v>41191</v>
      </c>
      <c r="B18568" t="s">
        <v>11247</v>
      </c>
      <c r="C18568" t="s">
        <v>11248</v>
      </c>
      <c r="D18568" t="str">
        <f>"1075"</f>
        <v>1075</v>
      </c>
      <c r="E18568" t="s">
        <v>11249</v>
      </c>
      <c r="F18568" t="s">
        <v>2068</v>
      </c>
      <c r="G18568" t="s">
        <v>47099</v>
      </c>
      <c r="H18568" t="s">
        <v>47054</v>
      </c>
      <c r="I18568" t="s">
        <v>47111</v>
      </c>
      <c r="J18568" t="s">
        <v>47112</v>
      </c>
      <c r="K18568" t="s">
        <v>47113</v>
      </c>
      <c r="L18568">
        <v>39.08</v>
      </c>
      <c r="M18568">
        <v>96</v>
      </c>
      <c r="N18568">
        <v>0</v>
      </c>
      <c r="O18568">
        <v>96</v>
      </c>
      <c r="P18568">
        <v>0</v>
      </c>
    </row>
    <row r="18569" spans="1:16" x14ac:dyDescent="0.25">
      <c r="A18569" t="s">
        <v>41192</v>
      </c>
      <c r="B18569" t="s">
        <v>11250</v>
      </c>
      <c r="C18569" t="s">
        <v>11251</v>
      </c>
      <c r="D18569" t="s">
        <v>11252</v>
      </c>
      <c r="E18569" t="s">
        <v>11253</v>
      </c>
      <c r="F18569" t="s">
        <v>2068</v>
      </c>
      <c r="G18569" t="s">
        <v>47093</v>
      </c>
      <c r="H18569" t="s">
        <v>47054</v>
      </c>
      <c r="I18569" t="s">
        <v>47111</v>
      </c>
      <c r="J18569" t="s">
        <v>47112</v>
      </c>
      <c r="K18569" t="s">
        <v>47113</v>
      </c>
      <c r="L18569">
        <v>42.59</v>
      </c>
      <c r="M18569">
        <v>128</v>
      </c>
      <c r="N18569">
        <v>0</v>
      </c>
      <c r="O18569">
        <v>128</v>
      </c>
      <c r="P18569">
        <v>0</v>
      </c>
    </row>
    <row r="18570" spans="1:16" x14ac:dyDescent="0.25">
      <c r="A18570" t="s">
        <v>41193</v>
      </c>
      <c r="B18570" t="s">
        <v>11254</v>
      </c>
      <c r="C18570" t="s">
        <v>11251</v>
      </c>
      <c r="D18570" t="s">
        <v>11255</v>
      </c>
      <c r="E18570" t="s">
        <v>11256</v>
      </c>
      <c r="F18570" t="s">
        <v>2068</v>
      </c>
      <c r="G18570" t="s">
        <v>47093</v>
      </c>
      <c r="H18570" t="s">
        <v>47054</v>
      </c>
      <c r="I18570" t="s">
        <v>47111</v>
      </c>
      <c r="J18570" t="s">
        <v>47112</v>
      </c>
      <c r="K18570" t="s">
        <v>47113</v>
      </c>
      <c r="L18570">
        <v>42.56</v>
      </c>
      <c r="M18570">
        <v>128</v>
      </c>
      <c r="N18570">
        <v>0</v>
      </c>
      <c r="O18570">
        <v>128</v>
      </c>
      <c r="P18570">
        <v>0</v>
      </c>
    </row>
    <row r="18571" spans="1:16" x14ac:dyDescent="0.25">
      <c r="A18571" t="s">
        <v>41194</v>
      </c>
      <c r="B18571" t="s">
        <v>11257</v>
      </c>
      <c r="C18571" t="s">
        <v>11258</v>
      </c>
      <c r="D18571" t="s">
        <v>11259</v>
      </c>
      <c r="E18571" t="s">
        <v>11260</v>
      </c>
      <c r="F18571" t="s">
        <v>2068</v>
      </c>
      <c r="G18571" t="s">
        <v>47093</v>
      </c>
      <c r="H18571" t="s">
        <v>47054</v>
      </c>
      <c r="I18571" t="s">
        <v>47111</v>
      </c>
      <c r="J18571" t="s">
        <v>47112</v>
      </c>
      <c r="K18571" t="s">
        <v>47113</v>
      </c>
      <c r="L18571">
        <v>38.979999999999997</v>
      </c>
      <c r="M18571">
        <v>109</v>
      </c>
      <c r="N18571">
        <v>0</v>
      </c>
      <c r="O18571">
        <v>109</v>
      </c>
      <c r="P18571">
        <v>0</v>
      </c>
    </row>
    <row r="18572" spans="1:16" x14ac:dyDescent="0.25">
      <c r="A18572" t="s">
        <v>41195</v>
      </c>
      <c r="B18572" t="s">
        <v>11261</v>
      </c>
      <c r="C18572" t="s">
        <v>11258</v>
      </c>
      <c r="D18572" t="s">
        <v>11262</v>
      </c>
      <c r="E18572" t="s">
        <v>11263</v>
      </c>
      <c r="F18572" t="s">
        <v>2068</v>
      </c>
      <c r="G18572" t="s">
        <v>47093</v>
      </c>
      <c r="H18572" t="s">
        <v>47054</v>
      </c>
      <c r="I18572" t="s">
        <v>47111</v>
      </c>
      <c r="J18572" t="s">
        <v>47112</v>
      </c>
      <c r="K18572" t="s">
        <v>47113</v>
      </c>
      <c r="L18572">
        <v>39.79</v>
      </c>
      <c r="M18572">
        <v>84</v>
      </c>
      <c r="N18572">
        <v>0</v>
      </c>
      <c r="O18572">
        <v>84</v>
      </c>
      <c r="P18572">
        <v>0</v>
      </c>
    </row>
    <row r="18573" spans="1:16" x14ac:dyDescent="0.25">
      <c r="A18573" t="s">
        <v>41196</v>
      </c>
      <c r="B18573" t="s">
        <v>11264</v>
      </c>
      <c r="C18573" t="s">
        <v>11265</v>
      </c>
      <c r="D18573" t="s">
        <v>11259</v>
      </c>
      <c r="E18573" t="s">
        <v>11260</v>
      </c>
      <c r="F18573" t="s">
        <v>3670</v>
      </c>
      <c r="G18573" t="s">
        <v>47093</v>
      </c>
      <c r="H18573" t="s">
        <v>47054</v>
      </c>
      <c r="I18573" t="s">
        <v>47111</v>
      </c>
      <c r="J18573" t="s">
        <v>47112</v>
      </c>
      <c r="K18573" t="s">
        <v>47113</v>
      </c>
      <c r="L18573">
        <v>41.55</v>
      </c>
      <c r="M18573">
        <v>70</v>
      </c>
      <c r="N18573">
        <v>0</v>
      </c>
      <c r="O18573">
        <v>70</v>
      </c>
      <c r="P18573">
        <v>0</v>
      </c>
    </row>
    <row r="18574" spans="1:16" x14ac:dyDescent="0.25">
      <c r="A18574" t="s">
        <v>41197</v>
      </c>
      <c r="B18574" t="s">
        <v>11266</v>
      </c>
      <c r="C18574" t="s">
        <v>14338</v>
      </c>
      <c r="D18574" t="s">
        <v>11259</v>
      </c>
      <c r="E18574" t="s">
        <v>11260</v>
      </c>
      <c r="F18574" t="s">
        <v>3670</v>
      </c>
      <c r="G18574" t="s">
        <v>47093</v>
      </c>
      <c r="H18574" t="s">
        <v>47054</v>
      </c>
      <c r="I18574" t="s">
        <v>47111</v>
      </c>
      <c r="J18574" t="s">
        <v>47112</v>
      </c>
      <c r="K18574" t="s">
        <v>47113</v>
      </c>
      <c r="L18574">
        <v>41.55</v>
      </c>
      <c r="M18574">
        <v>70</v>
      </c>
      <c r="N18574">
        <v>0</v>
      </c>
      <c r="O18574">
        <v>70</v>
      </c>
      <c r="P18574">
        <v>0</v>
      </c>
    </row>
    <row r="18575" spans="1:16" x14ac:dyDescent="0.25">
      <c r="A18575" t="s">
        <v>41198</v>
      </c>
      <c r="B18575" t="s">
        <v>11267</v>
      </c>
      <c r="C18575" t="s">
        <v>10606</v>
      </c>
      <c r="D18575" t="s">
        <v>11259</v>
      </c>
      <c r="E18575" t="s">
        <v>11260</v>
      </c>
      <c r="F18575" t="s">
        <v>2068</v>
      </c>
      <c r="G18575" t="s">
        <v>47093</v>
      </c>
      <c r="H18575" t="s">
        <v>47054</v>
      </c>
      <c r="I18575" t="s">
        <v>47111</v>
      </c>
      <c r="J18575" t="s">
        <v>47112</v>
      </c>
      <c r="K18575" t="s">
        <v>47113</v>
      </c>
      <c r="L18575">
        <v>35.270000000000003</v>
      </c>
      <c r="M18575">
        <v>66</v>
      </c>
      <c r="N18575">
        <v>0</v>
      </c>
      <c r="O18575">
        <v>66</v>
      </c>
      <c r="P18575">
        <v>0</v>
      </c>
    </row>
    <row r="18576" spans="1:16" x14ac:dyDescent="0.25">
      <c r="A18576" t="s">
        <v>15113</v>
      </c>
      <c r="B18576" t="s">
        <v>11269</v>
      </c>
      <c r="C18576" t="s">
        <v>11270</v>
      </c>
      <c r="D18576" t="s">
        <v>11255</v>
      </c>
      <c r="E18576" t="s">
        <v>11256</v>
      </c>
      <c r="F18576" t="s">
        <v>2068</v>
      </c>
      <c r="G18576" t="s">
        <v>47093</v>
      </c>
      <c r="H18576" t="s">
        <v>47054</v>
      </c>
      <c r="I18576" t="s">
        <v>47111</v>
      </c>
      <c r="J18576" t="s">
        <v>47112</v>
      </c>
      <c r="K18576" t="s">
        <v>47113</v>
      </c>
      <c r="L18576">
        <v>42.56</v>
      </c>
      <c r="M18576">
        <v>128</v>
      </c>
      <c r="N18576">
        <v>0</v>
      </c>
      <c r="O18576">
        <v>128</v>
      </c>
      <c r="P18576">
        <v>0</v>
      </c>
    </row>
    <row r="18577" spans="1:16" x14ac:dyDescent="0.25">
      <c r="A18577" t="s">
        <v>41199</v>
      </c>
      <c r="B18577" t="s">
        <v>11271</v>
      </c>
      <c r="C18577" t="s">
        <v>11272</v>
      </c>
      <c r="D18577" t="s">
        <v>6768</v>
      </c>
      <c r="E18577" t="s">
        <v>6769</v>
      </c>
      <c r="F18577" t="s">
        <v>3546</v>
      </c>
      <c r="G18577" t="s">
        <v>47093</v>
      </c>
      <c r="H18577" t="s">
        <v>47054</v>
      </c>
      <c r="I18577" t="s">
        <v>47111</v>
      </c>
      <c r="J18577" t="s">
        <v>47112</v>
      </c>
      <c r="K18577" t="s">
        <v>47113</v>
      </c>
      <c r="L18577">
        <v>56.68</v>
      </c>
      <c r="M18577">
        <v>140</v>
      </c>
      <c r="N18577">
        <v>0</v>
      </c>
      <c r="O18577">
        <v>140</v>
      </c>
      <c r="P18577">
        <v>0</v>
      </c>
    </row>
    <row r="18578" spans="1:16" x14ac:dyDescent="0.25">
      <c r="A18578" t="s">
        <v>41200</v>
      </c>
      <c r="B18578" t="s">
        <v>11273</v>
      </c>
      <c r="C18578" t="s">
        <v>11274</v>
      </c>
      <c r="D18578" t="s">
        <v>11259</v>
      </c>
      <c r="E18578" t="s">
        <v>11260</v>
      </c>
      <c r="F18578" t="s">
        <v>3546</v>
      </c>
      <c r="G18578" t="s">
        <v>47093</v>
      </c>
      <c r="H18578" t="s">
        <v>47054</v>
      </c>
      <c r="I18578" t="s">
        <v>47111</v>
      </c>
      <c r="J18578" t="s">
        <v>47112</v>
      </c>
      <c r="K18578" t="s">
        <v>47113</v>
      </c>
      <c r="L18578">
        <v>42.12</v>
      </c>
      <c r="M18578">
        <v>104</v>
      </c>
      <c r="N18578">
        <v>0</v>
      </c>
      <c r="O18578">
        <v>104</v>
      </c>
      <c r="P18578">
        <v>0</v>
      </c>
    </row>
    <row r="18579" spans="1:16" x14ac:dyDescent="0.25">
      <c r="A18579" t="s">
        <v>41201</v>
      </c>
      <c r="B18579" t="s">
        <v>11275</v>
      </c>
      <c r="C18579" t="s">
        <v>10614</v>
      </c>
      <c r="D18579" t="s">
        <v>11277</v>
      </c>
      <c r="E18579" t="s">
        <v>11278</v>
      </c>
      <c r="F18579" t="s">
        <v>2068</v>
      </c>
      <c r="G18579" t="s">
        <v>47093</v>
      </c>
      <c r="H18579" t="s">
        <v>47054</v>
      </c>
      <c r="I18579" t="s">
        <v>47111</v>
      </c>
      <c r="J18579" t="s">
        <v>47112</v>
      </c>
      <c r="K18579" t="s">
        <v>47113</v>
      </c>
      <c r="L18579">
        <v>38.75</v>
      </c>
      <c r="M18579">
        <v>82</v>
      </c>
      <c r="N18579">
        <v>0</v>
      </c>
      <c r="O18579">
        <v>82</v>
      </c>
      <c r="P18579">
        <v>0</v>
      </c>
    </row>
    <row r="18580" spans="1:16" x14ac:dyDescent="0.25">
      <c r="A18580" t="s">
        <v>41202</v>
      </c>
      <c r="B18580" t="s">
        <v>11275</v>
      </c>
      <c r="C18580" t="s">
        <v>10614</v>
      </c>
      <c r="D18580" t="s">
        <v>11259</v>
      </c>
      <c r="E18580" t="s">
        <v>11260</v>
      </c>
      <c r="F18580" t="s">
        <v>2068</v>
      </c>
      <c r="G18580" t="s">
        <v>47093</v>
      </c>
      <c r="H18580" t="s">
        <v>47054</v>
      </c>
      <c r="I18580" t="s">
        <v>47111</v>
      </c>
      <c r="J18580" t="s">
        <v>47112</v>
      </c>
      <c r="K18580" t="s">
        <v>47113</v>
      </c>
      <c r="L18580">
        <v>36.28</v>
      </c>
      <c r="M18580">
        <v>77</v>
      </c>
      <c r="N18580">
        <v>0</v>
      </c>
      <c r="O18580">
        <v>77</v>
      </c>
      <c r="P18580">
        <v>0</v>
      </c>
    </row>
    <row r="18581" spans="1:16" x14ac:dyDescent="0.25">
      <c r="A18581" t="s">
        <v>41203</v>
      </c>
      <c r="B18581" t="s">
        <v>11279</v>
      </c>
      <c r="C18581" t="s">
        <v>11280</v>
      </c>
      <c r="D18581" t="str">
        <f>"1001"</f>
        <v>1001</v>
      </c>
      <c r="E18581" t="s">
        <v>11281</v>
      </c>
      <c r="F18581" t="s">
        <v>3546</v>
      </c>
      <c r="G18581" t="s">
        <v>47093</v>
      </c>
      <c r="H18581" t="s">
        <v>47054</v>
      </c>
      <c r="I18581" t="s">
        <v>47111</v>
      </c>
      <c r="J18581" t="s">
        <v>47112</v>
      </c>
      <c r="K18581" t="s">
        <v>47113</v>
      </c>
      <c r="L18581">
        <v>42.66</v>
      </c>
      <c r="M18581">
        <v>92</v>
      </c>
      <c r="N18581">
        <v>0</v>
      </c>
      <c r="O18581">
        <v>92</v>
      </c>
      <c r="P18581">
        <v>0</v>
      </c>
    </row>
    <row r="18582" spans="1:16" x14ac:dyDescent="0.25">
      <c r="A18582" t="s">
        <v>41204</v>
      </c>
      <c r="B18582" t="s">
        <v>11279</v>
      </c>
      <c r="C18582" t="s">
        <v>11280</v>
      </c>
      <c r="D18582" t="str">
        <f>"1118"</f>
        <v>1118</v>
      </c>
      <c r="E18582" t="s">
        <v>11282</v>
      </c>
      <c r="F18582" t="s">
        <v>3546</v>
      </c>
      <c r="G18582" t="s">
        <v>47093</v>
      </c>
      <c r="H18582" t="s">
        <v>47054</v>
      </c>
      <c r="I18582" t="s">
        <v>47111</v>
      </c>
      <c r="J18582" t="s">
        <v>47112</v>
      </c>
      <c r="K18582" t="s">
        <v>47113</v>
      </c>
      <c r="L18582">
        <v>42.66</v>
      </c>
      <c r="M18582">
        <v>92</v>
      </c>
      <c r="N18582">
        <v>0</v>
      </c>
      <c r="O18582">
        <v>92</v>
      </c>
      <c r="P18582">
        <v>0</v>
      </c>
    </row>
    <row r="18583" spans="1:16" x14ac:dyDescent="0.25">
      <c r="A18583" t="s">
        <v>41205</v>
      </c>
      <c r="B18583" t="s">
        <v>11279</v>
      </c>
      <c r="C18583" t="s">
        <v>11280</v>
      </c>
      <c r="D18583" t="str">
        <f>"1489"</f>
        <v>1489</v>
      </c>
      <c r="E18583" t="s">
        <v>11283</v>
      </c>
      <c r="F18583" t="s">
        <v>3546</v>
      </c>
      <c r="G18583" t="s">
        <v>47093</v>
      </c>
      <c r="H18583" t="s">
        <v>47054</v>
      </c>
      <c r="I18583" t="s">
        <v>47111</v>
      </c>
      <c r="J18583" t="s">
        <v>47112</v>
      </c>
      <c r="K18583" t="s">
        <v>47113</v>
      </c>
      <c r="L18583">
        <v>42.66</v>
      </c>
      <c r="M18583">
        <v>92</v>
      </c>
      <c r="N18583">
        <v>0</v>
      </c>
      <c r="O18583">
        <v>92</v>
      </c>
      <c r="P18583">
        <v>0</v>
      </c>
    </row>
    <row r="18584" spans="1:16" x14ac:dyDescent="0.25">
      <c r="A18584" t="s">
        <v>41206</v>
      </c>
      <c r="B18584" t="s">
        <v>11279</v>
      </c>
      <c r="C18584" t="s">
        <v>11280</v>
      </c>
      <c r="D18584" t="str">
        <f>"1506"</f>
        <v>1506</v>
      </c>
      <c r="E18584" t="s">
        <v>11284</v>
      </c>
      <c r="F18584" t="s">
        <v>3546</v>
      </c>
      <c r="G18584" t="s">
        <v>47093</v>
      </c>
      <c r="H18584" t="s">
        <v>47054</v>
      </c>
      <c r="I18584" t="s">
        <v>47111</v>
      </c>
      <c r="J18584" t="s">
        <v>47112</v>
      </c>
      <c r="K18584" t="s">
        <v>47113</v>
      </c>
      <c r="L18584">
        <v>42.66</v>
      </c>
      <c r="M18584">
        <v>92</v>
      </c>
      <c r="N18584">
        <v>0</v>
      </c>
      <c r="O18584">
        <v>92</v>
      </c>
      <c r="P18584">
        <v>0</v>
      </c>
    </row>
    <row r="18585" spans="1:16" x14ac:dyDescent="0.25">
      <c r="A18585" t="s">
        <v>41207</v>
      </c>
      <c r="B18585" t="s">
        <v>11279</v>
      </c>
      <c r="C18585" t="s">
        <v>11280</v>
      </c>
      <c r="D18585" t="str">
        <f>"2386"</f>
        <v>2386</v>
      </c>
      <c r="E18585" t="s">
        <v>11285</v>
      </c>
      <c r="F18585" t="s">
        <v>3546</v>
      </c>
      <c r="G18585" t="s">
        <v>47093</v>
      </c>
      <c r="H18585" t="s">
        <v>47054</v>
      </c>
      <c r="I18585" t="s">
        <v>47111</v>
      </c>
      <c r="J18585" t="s">
        <v>47112</v>
      </c>
      <c r="K18585" t="s">
        <v>47113</v>
      </c>
      <c r="L18585">
        <v>42.66</v>
      </c>
      <c r="M18585">
        <v>92</v>
      </c>
      <c r="N18585">
        <v>0</v>
      </c>
      <c r="O18585">
        <v>92</v>
      </c>
      <c r="P18585">
        <v>0</v>
      </c>
    </row>
    <row r="18586" spans="1:16" x14ac:dyDescent="0.25">
      <c r="A18586" t="s">
        <v>41208</v>
      </c>
      <c r="B18586" t="s">
        <v>11286</v>
      </c>
      <c r="C18586" t="s">
        <v>11287</v>
      </c>
      <c r="D18586" t="s">
        <v>721</v>
      </c>
      <c r="E18586" t="s">
        <v>722</v>
      </c>
      <c r="F18586" t="s">
        <v>3546</v>
      </c>
      <c r="G18586" t="s">
        <v>47093</v>
      </c>
      <c r="H18586" t="s">
        <v>47054</v>
      </c>
      <c r="K18586" t="s">
        <v>47113</v>
      </c>
      <c r="L18586">
        <v>31.66</v>
      </c>
      <c r="M18586">
        <v>78</v>
      </c>
      <c r="N18586">
        <v>0</v>
      </c>
      <c r="O18586">
        <v>78</v>
      </c>
      <c r="P18586">
        <v>0</v>
      </c>
    </row>
    <row r="18587" spans="1:16" x14ac:dyDescent="0.25">
      <c r="A18587" t="s">
        <v>41209</v>
      </c>
      <c r="B18587" t="s">
        <v>11288</v>
      </c>
      <c r="C18587" t="s">
        <v>11289</v>
      </c>
      <c r="D18587" t="s">
        <v>721</v>
      </c>
      <c r="E18587" t="s">
        <v>722</v>
      </c>
      <c r="F18587" t="s">
        <v>3546</v>
      </c>
      <c r="G18587" t="s">
        <v>47093</v>
      </c>
      <c r="H18587" t="s">
        <v>47054</v>
      </c>
      <c r="I18587" t="s">
        <v>47111</v>
      </c>
      <c r="J18587" t="s">
        <v>47112</v>
      </c>
      <c r="K18587" t="s">
        <v>47113</v>
      </c>
      <c r="L18587">
        <v>28.78</v>
      </c>
      <c r="M18587">
        <v>71</v>
      </c>
      <c r="N18587">
        <v>0</v>
      </c>
      <c r="O18587">
        <v>71</v>
      </c>
      <c r="P18587">
        <v>0</v>
      </c>
    </row>
    <row r="18588" spans="1:16" x14ac:dyDescent="0.25">
      <c r="A18588" t="s">
        <v>41210</v>
      </c>
      <c r="B18588" t="s">
        <v>11290</v>
      </c>
      <c r="C18588" t="s">
        <v>11291</v>
      </c>
      <c r="D18588" t="s">
        <v>11292</v>
      </c>
      <c r="E18588" t="s">
        <v>11293</v>
      </c>
      <c r="F18588" t="s">
        <v>2068</v>
      </c>
      <c r="G18588" t="s">
        <v>47101</v>
      </c>
      <c r="H18588" t="s">
        <v>47054</v>
      </c>
      <c r="I18588" t="s">
        <v>47120</v>
      </c>
      <c r="J18588" t="s">
        <v>47121</v>
      </c>
      <c r="K18588" t="s">
        <v>47113</v>
      </c>
      <c r="L18588">
        <v>21.61</v>
      </c>
      <c r="M18588">
        <v>49</v>
      </c>
      <c r="N18588">
        <v>0</v>
      </c>
      <c r="O18588">
        <v>49</v>
      </c>
      <c r="P18588">
        <v>0</v>
      </c>
    </row>
    <row r="18589" spans="1:16" x14ac:dyDescent="0.25">
      <c r="A18589" t="s">
        <v>41211</v>
      </c>
      <c r="B18589" t="s">
        <v>11294</v>
      </c>
      <c r="C18589" t="s">
        <v>11142</v>
      </c>
      <c r="D18589" t="s">
        <v>11295</v>
      </c>
      <c r="E18589" t="s">
        <v>11296</v>
      </c>
      <c r="F18589" t="s">
        <v>3546</v>
      </c>
      <c r="G18589" t="s">
        <v>47101</v>
      </c>
      <c r="H18589" t="s">
        <v>47054</v>
      </c>
      <c r="I18589" t="s">
        <v>47120</v>
      </c>
      <c r="J18589" t="s">
        <v>47121</v>
      </c>
      <c r="K18589" t="s">
        <v>47113</v>
      </c>
      <c r="L18589">
        <v>30.43</v>
      </c>
      <c r="M18589">
        <v>75</v>
      </c>
      <c r="N18589">
        <v>0</v>
      </c>
      <c r="O18589">
        <v>75</v>
      </c>
      <c r="P18589">
        <v>0</v>
      </c>
    </row>
    <row r="18590" spans="1:16" x14ac:dyDescent="0.25">
      <c r="A18590" t="s">
        <v>41212</v>
      </c>
      <c r="B18590" t="s">
        <v>11297</v>
      </c>
      <c r="C18590" t="s">
        <v>11248</v>
      </c>
      <c r="D18590" t="str">
        <f>"1213"</f>
        <v>1213</v>
      </c>
      <c r="E18590" t="s">
        <v>11298</v>
      </c>
      <c r="F18590" t="s">
        <v>2068</v>
      </c>
      <c r="G18590" t="s">
        <v>47099</v>
      </c>
      <c r="H18590" t="s">
        <v>47054</v>
      </c>
      <c r="I18590" t="s">
        <v>47111</v>
      </c>
      <c r="J18590" t="s">
        <v>47112</v>
      </c>
      <c r="K18590" t="s">
        <v>47113</v>
      </c>
      <c r="L18590">
        <v>39.08</v>
      </c>
      <c r="M18590">
        <v>96</v>
      </c>
      <c r="N18590">
        <v>0</v>
      </c>
      <c r="O18590">
        <v>96</v>
      </c>
      <c r="P18590">
        <v>0</v>
      </c>
    </row>
    <row r="18591" spans="1:16" x14ac:dyDescent="0.25">
      <c r="A18591" t="s">
        <v>41213</v>
      </c>
      <c r="B18591" t="s">
        <v>11299</v>
      </c>
      <c r="C18591" t="s">
        <v>11300</v>
      </c>
      <c r="D18591" t="str">
        <f>"4793"</f>
        <v>4793</v>
      </c>
      <c r="E18591" t="s">
        <v>11301</v>
      </c>
      <c r="F18591" t="s">
        <v>2068</v>
      </c>
      <c r="G18591" t="s">
        <v>47101</v>
      </c>
      <c r="H18591" t="s">
        <v>47054</v>
      </c>
      <c r="I18591" t="s">
        <v>47120</v>
      </c>
      <c r="J18591" t="s">
        <v>47121</v>
      </c>
      <c r="K18591" t="s">
        <v>47113</v>
      </c>
      <c r="L18591">
        <v>24.15</v>
      </c>
      <c r="M18591">
        <v>55</v>
      </c>
      <c r="N18591">
        <v>0</v>
      </c>
      <c r="O18591">
        <v>55</v>
      </c>
      <c r="P18591">
        <v>0</v>
      </c>
    </row>
    <row r="18592" spans="1:16" x14ac:dyDescent="0.25">
      <c r="A18592" t="s">
        <v>41214</v>
      </c>
      <c r="B18592" t="s">
        <v>11302</v>
      </c>
      <c r="C18592" t="s">
        <v>11303</v>
      </c>
      <c r="D18592" t="s">
        <v>11304</v>
      </c>
      <c r="E18592" t="s">
        <v>11305</v>
      </c>
      <c r="F18592" t="s">
        <v>4</v>
      </c>
      <c r="G18592" t="s">
        <v>47098</v>
      </c>
      <c r="H18592" t="s">
        <v>47054</v>
      </c>
      <c r="I18592" t="s">
        <v>47116</v>
      </c>
      <c r="J18592" t="s">
        <v>47117</v>
      </c>
      <c r="K18592" t="s">
        <v>47113</v>
      </c>
      <c r="L18592">
        <v>47.08</v>
      </c>
      <c r="M18592">
        <v>115</v>
      </c>
      <c r="N18592">
        <v>0</v>
      </c>
      <c r="O18592">
        <v>115</v>
      </c>
      <c r="P18592">
        <v>0</v>
      </c>
    </row>
    <row r="18593" spans="1:16" x14ac:dyDescent="0.25">
      <c r="A18593" t="s">
        <v>41215</v>
      </c>
      <c r="B18593" t="s">
        <v>11306</v>
      </c>
      <c r="C18593" t="s">
        <v>11307</v>
      </c>
      <c r="D18593" t="s">
        <v>120</v>
      </c>
      <c r="E18593" t="s">
        <v>121</v>
      </c>
      <c r="F18593" t="s">
        <v>4</v>
      </c>
      <c r="G18593" t="s">
        <v>47093</v>
      </c>
      <c r="H18593" t="s">
        <v>47054</v>
      </c>
      <c r="I18593" t="s">
        <v>47111</v>
      </c>
      <c r="J18593" t="s">
        <v>47112</v>
      </c>
      <c r="K18593" t="s">
        <v>47113</v>
      </c>
      <c r="L18593">
        <v>40.6</v>
      </c>
      <c r="M18593">
        <v>92</v>
      </c>
      <c r="N18593">
        <v>0</v>
      </c>
      <c r="O18593">
        <v>92</v>
      </c>
      <c r="P18593">
        <v>0</v>
      </c>
    </row>
    <row r="18594" spans="1:16" x14ac:dyDescent="0.25">
      <c r="A18594" t="s">
        <v>41216</v>
      </c>
      <c r="B18594" t="s">
        <v>11308</v>
      </c>
      <c r="C18594" t="s">
        <v>11309</v>
      </c>
      <c r="D18594" t="s">
        <v>120</v>
      </c>
      <c r="E18594" t="s">
        <v>121</v>
      </c>
      <c r="F18594" t="s">
        <v>4</v>
      </c>
      <c r="G18594" t="s">
        <v>47093</v>
      </c>
      <c r="H18594" t="s">
        <v>47054</v>
      </c>
      <c r="I18594" t="s">
        <v>47111</v>
      </c>
      <c r="J18594" t="s">
        <v>47112</v>
      </c>
      <c r="K18594" t="s">
        <v>47113</v>
      </c>
      <c r="L18594">
        <v>40.42</v>
      </c>
      <c r="M18594">
        <v>92</v>
      </c>
      <c r="N18594">
        <v>0</v>
      </c>
      <c r="O18594">
        <v>92</v>
      </c>
      <c r="P18594">
        <v>0</v>
      </c>
    </row>
    <row r="18595" spans="1:16" x14ac:dyDescent="0.25">
      <c r="A18595" t="s">
        <v>41217</v>
      </c>
      <c r="B18595" t="s">
        <v>11310</v>
      </c>
      <c r="C18595" t="s">
        <v>11311</v>
      </c>
      <c r="D18595" t="s">
        <v>120</v>
      </c>
      <c r="E18595" t="s">
        <v>121</v>
      </c>
      <c r="F18595" t="s">
        <v>4</v>
      </c>
      <c r="G18595" t="s">
        <v>49030</v>
      </c>
      <c r="H18595" t="s">
        <v>47054</v>
      </c>
      <c r="I18595" t="s">
        <v>47111</v>
      </c>
      <c r="J18595" t="s">
        <v>47112</v>
      </c>
      <c r="K18595" t="s">
        <v>47113</v>
      </c>
      <c r="L18595">
        <v>31.89</v>
      </c>
      <c r="M18595">
        <v>78</v>
      </c>
      <c r="N18595">
        <v>0</v>
      </c>
      <c r="O18595">
        <v>78</v>
      </c>
      <c r="P18595">
        <v>0</v>
      </c>
    </row>
    <row r="18596" spans="1:16" x14ac:dyDescent="0.25">
      <c r="A18596" t="s">
        <v>556</v>
      </c>
      <c r="B18596" t="s">
        <v>557</v>
      </c>
      <c r="C18596" t="s">
        <v>558</v>
      </c>
      <c r="D18596" t="s">
        <v>559</v>
      </c>
      <c r="E18596" t="s">
        <v>560</v>
      </c>
      <c r="F18596" t="s">
        <v>0</v>
      </c>
      <c r="G18596" t="s">
        <v>47093</v>
      </c>
      <c r="H18596" t="s">
        <v>47054</v>
      </c>
      <c r="I18596" t="s">
        <v>47111</v>
      </c>
      <c r="J18596" t="s">
        <v>47112</v>
      </c>
      <c r="K18596" t="s">
        <v>47113</v>
      </c>
      <c r="L18596">
        <v>40.119999999999997</v>
      </c>
      <c r="M18596">
        <v>88</v>
      </c>
      <c r="N18596">
        <v>0</v>
      </c>
      <c r="O18596">
        <v>88</v>
      </c>
      <c r="P18596">
        <v>0</v>
      </c>
    </row>
    <row r="18597" spans="1:16" x14ac:dyDescent="0.25">
      <c r="A18597" t="s">
        <v>41218</v>
      </c>
      <c r="B18597" t="s">
        <v>11312</v>
      </c>
      <c r="C18597" t="s">
        <v>11313</v>
      </c>
      <c r="D18597" t="s">
        <v>559</v>
      </c>
      <c r="E18597" t="s">
        <v>560</v>
      </c>
      <c r="F18597" t="s">
        <v>1</v>
      </c>
      <c r="G18597" t="s">
        <v>47093</v>
      </c>
      <c r="H18597" t="s">
        <v>47054</v>
      </c>
      <c r="I18597" t="s">
        <v>47111</v>
      </c>
      <c r="J18597" t="s">
        <v>47112</v>
      </c>
      <c r="K18597" t="s">
        <v>47113</v>
      </c>
      <c r="L18597">
        <v>31.85</v>
      </c>
      <c r="M18597">
        <v>96</v>
      </c>
      <c r="N18597">
        <v>0</v>
      </c>
      <c r="O18597">
        <v>96</v>
      </c>
      <c r="P18597">
        <v>0</v>
      </c>
    </row>
    <row r="18598" spans="1:16" x14ac:dyDescent="0.25">
      <c r="A18598" t="s">
        <v>41219</v>
      </c>
      <c r="B18598" t="s">
        <v>11314</v>
      </c>
      <c r="C18598" t="s">
        <v>11315</v>
      </c>
      <c r="D18598" t="s">
        <v>11316</v>
      </c>
      <c r="E18598" t="s">
        <v>11317</v>
      </c>
      <c r="F18598" t="s">
        <v>3546</v>
      </c>
      <c r="G18598" t="s">
        <v>47093</v>
      </c>
      <c r="H18598" t="s">
        <v>47054</v>
      </c>
      <c r="I18598" t="s">
        <v>47111</v>
      </c>
      <c r="J18598" t="s">
        <v>47112</v>
      </c>
      <c r="K18598" t="s">
        <v>47113</v>
      </c>
      <c r="L18598">
        <v>69.89</v>
      </c>
      <c r="M18598">
        <v>172</v>
      </c>
      <c r="N18598">
        <v>0</v>
      </c>
      <c r="O18598">
        <v>172</v>
      </c>
      <c r="P18598">
        <v>0</v>
      </c>
    </row>
    <row r="18599" spans="1:16" x14ac:dyDescent="0.25">
      <c r="A18599" t="s">
        <v>41220</v>
      </c>
      <c r="B18599" t="s">
        <v>11318</v>
      </c>
      <c r="C18599" t="s">
        <v>11319</v>
      </c>
      <c r="D18599" t="s">
        <v>11320</v>
      </c>
      <c r="E18599" t="s">
        <v>11321</v>
      </c>
      <c r="F18599" t="s">
        <v>3546</v>
      </c>
      <c r="G18599" t="s">
        <v>47093</v>
      </c>
      <c r="H18599" t="s">
        <v>47054</v>
      </c>
      <c r="I18599" t="s">
        <v>47111</v>
      </c>
      <c r="J18599" t="s">
        <v>47112</v>
      </c>
      <c r="K18599" t="s">
        <v>47113</v>
      </c>
      <c r="L18599">
        <v>48.79</v>
      </c>
      <c r="M18599">
        <v>120</v>
      </c>
      <c r="N18599">
        <v>0</v>
      </c>
      <c r="O18599">
        <v>120</v>
      </c>
      <c r="P18599">
        <v>0</v>
      </c>
    </row>
    <row r="18600" spans="1:16" x14ac:dyDescent="0.25">
      <c r="A18600" t="s">
        <v>41221</v>
      </c>
      <c r="B18600" t="s">
        <v>11322</v>
      </c>
      <c r="C18600" t="s">
        <v>11323</v>
      </c>
      <c r="D18600" t="s">
        <v>11324</v>
      </c>
      <c r="E18600" t="s">
        <v>11325</v>
      </c>
      <c r="F18600" t="s">
        <v>3546</v>
      </c>
      <c r="G18600" t="s">
        <v>47093</v>
      </c>
      <c r="H18600" t="s">
        <v>47054</v>
      </c>
      <c r="I18600" t="s">
        <v>47111</v>
      </c>
      <c r="J18600" t="s">
        <v>47112</v>
      </c>
      <c r="K18600" t="s">
        <v>47113</v>
      </c>
      <c r="L18600">
        <v>41.88</v>
      </c>
      <c r="M18600">
        <v>109</v>
      </c>
      <c r="N18600">
        <v>0</v>
      </c>
      <c r="O18600">
        <v>109</v>
      </c>
      <c r="P18600">
        <v>0</v>
      </c>
    </row>
    <row r="18601" spans="1:16" x14ac:dyDescent="0.25">
      <c r="A18601" t="s">
        <v>41222</v>
      </c>
      <c r="B18601" t="s">
        <v>11326</v>
      </c>
      <c r="C18601" t="s">
        <v>11327</v>
      </c>
      <c r="D18601" t="s">
        <v>11324</v>
      </c>
      <c r="E18601" t="s">
        <v>11325</v>
      </c>
      <c r="F18601" t="s">
        <v>3546</v>
      </c>
      <c r="G18601" t="s">
        <v>47093</v>
      </c>
      <c r="H18601" t="s">
        <v>47054</v>
      </c>
      <c r="I18601" t="s">
        <v>47111</v>
      </c>
      <c r="J18601" t="s">
        <v>47112</v>
      </c>
      <c r="K18601" t="s">
        <v>47113</v>
      </c>
      <c r="L18601">
        <v>44.46</v>
      </c>
      <c r="M18601">
        <v>109</v>
      </c>
      <c r="N18601">
        <v>0</v>
      </c>
      <c r="O18601">
        <v>109</v>
      </c>
      <c r="P18601">
        <v>0</v>
      </c>
    </row>
    <row r="18602" spans="1:16" x14ac:dyDescent="0.25">
      <c r="A18602" t="s">
        <v>41223</v>
      </c>
      <c r="B18602" t="s">
        <v>11328</v>
      </c>
      <c r="C18602" t="s">
        <v>409</v>
      </c>
      <c r="D18602" t="s">
        <v>11324</v>
      </c>
      <c r="E18602" t="s">
        <v>11325</v>
      </c>
      <c r="F18602" t="s">
        <v>3546</v>
      </c>
      <c r="G18602" t="s">
        <v>47098</v>
      </c>
      <c r="H18602" t="s">
        <v>47054</v>
      </c>
      <c r="I18602" t="s">
        <v>47111</v>
      </c>
      <c r="J18602" t="s">
        <v>47112</v>
      </c>
      <c r="K18602" t="s">
        <v>47113</v>
      </c>
      <c r="L18602">
        <v>32.130000000000003</v>
      </c>
      <c r="M18602">
        <v>99</v>
      </c>
      <c r="N18602">
        <v>0</v>
      </c>
      <c r="O18602">
        <v>99</v>
      </c>
      <c r="P18602">
        <v>0</v>
      </c>
    </row>
    <row r="18603" spans="1:16" x14ac:dyDescent="0.25">
      <c r="A18603" t="s">
        <v>41224</v>
      </c>
      <c r="B18603" t="s">
        <v>11329</v>
      </c>
      <c r="C18603" t="s">
        <v>11330</v>
      </c>
      <c r="D18603" t="s">
        <v>11331</v>
      </c>
      <c r="E18603" t="s">
        <v>11332</v>
      </c>
      <c r="F18603" t="s">
        <v>3546</v>
      </c>
      <c r="G18603" t="s">
        <v>47093</v>
      </c>
      <c r="H18603" t="s">
        <v>47054</v>
      </c>
      <c r="I18603" t="s">
        <v>47111</v>
      </c>
      <c r="J18603" t="s">
        <v>47112</v>
      </c>
      <c r="K18603" t="s">
        <v>47113</v>
      </c>
      <c r="L18603">
        <v>49.13</v>
      </c>
      <c r="M18603">
        <v>121</v>
      </c>
      <c r="N18603">
        <v>0</v>
      </c>
      <c r="O18603">
        <v>121</v>
      </c>
      <c r="P18603">
        <v>0</v>
      </c>
    </row>
    <row r="18604" spans="1:16" x14ac:dyDescent="0.25">
      <c r="A18604" t="s">
        <v>41225</v>
      </c>
      <c r="B18604" t="s">
        <v>11333</v>
      </c>
      <c r="C18604" t="s">
        <v>11334</v>
      </c>
      <c r="D18604" t="s">
        <v>6333</v>
      </c>
      <c r="E18604" t="s">
        <v>6334</v>
      </c>
      <c r="F18604" t="s">
        <v>3546</v>
      </c>
      <c r="G18604" t="s">
        <v>47093</v>
      </c>
      <c r="H18604" t="s">
        <v>47054</v>
      </c>
      <c r="I18604" t="s">
        <v>47111</v>
      </c>
      <c r="J18604" t="s">
        <v>47112</v>
      </c>
      <c r="K18604" t="s">
        <v>47113</v>
      </c>
      <c r="L18604">
        <v>69.95</v>
      </c>
      <c r="M18604">
        <v>127</v>
      </c>
      <c r="N18604">
        <v>0</v>
      </c>
      <c r="O18604">
        <v>127</v>
      </c>
      <c r="P18604">
        <v>0</v>
      </c>
    </row>
    <row r="18605" spans="1:16" x14ac:dyDescent="0.25">
      <c r="A18605" t="s">
        <v>561</v>
      </c>
      <c r="B18605" t="s">
        <v>562</v>
      </c>
      <c r="C18605" t="s">
        <v>563</v>
      </c>
      <c r="D18605" t="s">
        <v>564</v>
      </c>
      <c r="E18605" t="s">
        <v>565</v>
      </c>
      <c r="F18605" t="s">
        <v>4</v>
      </c>
      <c r="G18605" t="s">
        <v>47093</v>
      </c>
      <c r="H18605" t="s">
        <v>47054</v>
      </c>
      <c r="I18605" t="s">
        <v>47111</v>
      </c>
      <c r="J18605" t="s">
        <v>47112</v>
      </c>
      <c r="K18605" t="s">
        <v>47113</v>
      </c>
      <c r="L18605">
        <v>36</v>
      </c>
      <c r="M18605">
        <v>84</v>
      </c>
      <c r="N18605">
        <v>0</v>
      </c>
      <c r="O18605">
        <v>84</v>
      </c>
      <c r="P18605">
        <v>0</v>
      </c>
    </row>
    <row r="18606" spans="1:16" x14ac:dyDescent="0.25">
      <c r="A18606" t="s">
        <v>41226</v>
      </c>
      <c r="B18606" t="s">
        <v>11335</v>
      </c>
      <c r="C18606" t="s">
        <v>11336</v>
      </c>
      <c r="D18606" t="s">
        <v>564</v>
      </c>
      <c r="E18606" t="s">
        <v>565</v>
      </c>
      <c r="F18606" t="s">
        <v>4</v>
      </c>
      <c r="G18606" t="s">
        <v>47093</v>
      </c>
      <c r="H18606" t="s">
        <v>47054</v>
      </c>
      <c r="I18606" t="s">
        <v>47111</v>
      </c>
      <c r="J18606" t="s">
        <v>47112</v>
      </c>
      <c r="K18606" t="s">
        <v>47113</v>
      </c>
      <c r="L18606">
        <v>36</v>
      </c>
      <c r="M18606">
        <v>84</v>
      </c>
      <c r="N18606">
        <v>0</v>
      </c>
      <c r="O18606">
        <v>84</v>
      </c>
      <c r="P18606">
        <v>0</v>
      </c>
    </row>
    <row r="18607" spans="1:16" x14ac:dyDescent="0.25">
      <c r="A18607" t="s">
        <v>14148</v>
      </c>
      <c r="B18607" t="s">
        <v>11337</v>
      </c>
      <c r="C18607" t="s">
        <v>11338</v>
      </c>
      <c r="D18607" t="s">
        <v>564</v>
      </c>
      <c r="E18607" t="s">
        <v>565</v>
      </c>
      <c r="F18607" t="s">
        <v>4</v>
      </c>
      <c r="G18607" t="s">
        <v>47093</v>
      </c>
      <c r="H18607" t="s">
        <v>47054</v>
      </c>
      <c r="I18607" t="s">
        <v>47111</v>
      </c>
      <c r="J18607" t="s">
        <v>47112</v>
      </c>
      <c r="K18607" t="s">
        <v>47113</v>
      </c>
      <c r="L18607">
        <v>36</v>
      </c>
      <c r="M18607">
        <v>84</v>
      </c>
      <c r="N18607">
        <v>0</v>
      </c>
      <c r="O18607">
        <v>84</v>
      </c>
      <c r="P18607">
        <v>0</v>
      </c>
    </row>
    <row r="18608" spans="1:16" x14ac:dyDescent="0.25">
      <c r="A18608" t="s">
        <v>41227</v>
      </c>
      <c r="B18608" t="s">
        <v>21601</v>
      </c>
      <c r="C18608" t="s">
        <v>21602</v>
      </c>
      <c r="D18608" t="str">
        <f>"1001"</f>
        <v>1001</v>
      </c>
      <c r="E18608" t="s">
        <v>21603</v>
      </c>
      <c r="F18608" t="s">
        <v>3750</v>
      </c>
      <c r="G18608" t="s">
        <v>47093</v>
      </c>
      <c r="H18608" t="s">
        <v>47054</v>
      </c>
      <c r="I18608" t="s">
        <v>47111</v>
      </c>
      <c r="J18608" t="s">
        <v>47112</v>
      </c>
      <c r="K18608" t="s">
        <v>47113</v>
      </c>
      <c r="L18608">
        <v>32.69</v>
      </c>
      <c r="M18608">
        <v>81</v>
      </c>
      <c r="N18608">
        <v>0</v>
      </c>
      <c r="O18608">
        <v>81</v>
      </c>
      <c r="P18608">
        <v>0</v>
      </c>
    </row>
    <row r="18609" spans="1:16" x14ac:dyDescent="0.25">
      <c r="A18609" t="s">
        <v>41228</v>
      </c>
      <c r="B18609" t="s">
        <v>11339</v>
      </c>
      <c r="C18609" t="s">
        <v>11340</v>
      </c>
      <c r="D18609" t="str">
        <f>"1001"</f>
        <v>1001</v>
      </c>
      <c r="E18609" t="s">
        <v>42</v>
      </c>
      <c r="F18609" t="s">
        <v>5</v>
      </c>
      <c r="G18609" t="s">
        <v>47099</v>
      </c>
      <c r="H18609" t="s">
        <v>47054</v>
      </c>
      <c r="I18609" t="s">
        <v>47544</v>
      </c>
      <c r="J18609" t="s">
        <v>47545</v>
      </c>
      <c r="K18609" t="s">
        <v>47113</v>
      </c>
      <c r="L18609">
        <v>47.96</v>
      </c>
      <c r="M18609">
        <v>44</v>
      </c>
      <c r="N18609">
        <v>0</v>
      </c>
      <c r="O18609">
        <v>44</v>
      </c>
      <c r="P18609">
        <v>0</v>
      </c>
    </row>
    <row r="18610" spans="1:16" x14ac:dyDescent="0.25">
      <c r="A18610" t="s">
        <v>41229</v>
      </c>
      <c r="B18610" t="s">
        <v>11341</v>
      </c>
      <c r="C18610" t="s">
        <v>11342</v>
      </c>
      <c r="D18610" t="str">
        <f>"1001"</f>
        <v>1001</v>
      </c>
      <c r="E18610" t="s">
        <v>42</v>
      </c>
      <c r="F18610" t="s">
        <v>5</v>
      </c>
      <c r="G18610" t="s">
        <v>47099</v>
      </c>
      <c r="H18610" t="s">
        <v>47054</v>
      </c>
      <c r="I18610" t="s">
        <v>47544</v>
      </c>
      <c r="J18610" t="s">
        <v>47545</v>
      </c>
      <c r="K18610" t="s">
        <v>47113</v>
      </c>
      <c r="L18610">
        <v>17.149999999999999</v>
      </c>
      <c r="M18610">
        <v>52</v>
      </c>
      <c r="N18610">
        <v>0</v>
      </c>
      <c r="O18610">
        <v>52</v>
      </c>
      <c r="P18610">
        <v>0</v>
      </c>
    </row>
    <row r="18611" spans="1:16" x14ac:dyDescent="0.25">
      <c r="A18611" t="s">
        <v>41230</v>
      </c>
      <c r="B18611" t="s">
        <v>11343</v>
      </c>
      <c r="C18611" t="s">
        <v>11344</v>
      </c>
      <c r="D18611" t="str">
        <f>"1001"</f>
        <v>1001</v>
      </c>
      <c r="E18611" t="s">
        <v>11345</v>
      </c>
      <c r="F18611" t="s">
        <v>4</v>
      </c>
      <c r="G18611" t="s">
        <v>47099</v>
      </c>
      <c r="H18611" t="s">
        <v>47054</v>
      </c>
      <c r="I18611" t="s">
        <v>47544</v>
      </c>
      <c r="J18611" t="s">
        <v>47545</v>
      </c>
      <c r="K18611" t="s">
        <v>47113</v>
      </c>
      <c r="L18611">
        <v>29.05</v>
      </c>
      <c r="M18611">
        <v>58</v>
      </c>
      <c r="N18611">
        <v>0</v>
      </c>
      <c r="O18611">
        <v>58</v>
      </c>
      <c r="P18611">
        <v>0</v>
      </c>
    </row>
    <row r="18612" spans="1:16" x14ac:dyDescent="0.25">
      <c r="A18612" t="s">
        <v>41231</v>
      </c>
      <c r="B18612" t="s">
        <v>11346</v>
      </c>
      <c r="C18612" t="s">
        <v>11344</v>
      </c>
      <c r="D18612" t="str">
        <f>"1001"</f>
        <v>1001</v>
      </c>
      <c r="E18612" t="s">
        <v>11345</v>
      </c>
      <c r="F18612" t="s">
        <v>4</v>
      </c>
      <c r="G18612" t="s">
        <v>47099</v>
      </c>
      <c r="I18612" t="s">
        <v>47544</v>
      </c>
      <c r="J18612" t="s">
        <v>47545</v>
      </c>
      <c r="K18612" t="s">
        <v>47113</v>
      </c>
      <c r="L18612">
        <v>29.05</v>
      </c>
      <c r="M18612">
        <v>58</v>
      </c>
      <c r="N18612">
        <v>0</v>
      </c>
      <c r="O18612">
        <v>58</v>
      </c>
      <c r="P18612">
        <v>0</v>
      </c>
    </row>
    <row r="18613" spans="1:16" x14ac:dyDescent="0.25">
      <c r="A18613" t="s">
        <v>15114</v>
      </c>
      <c r="B18613" t="s">
        <v>11347</v>
      </c>
      <c r="C18613" t="s">
        <v>11348</v>
      </c>
      <c r="D18613" t="str">
        <f>"1035"</f>
        <v>1035</v>
      </c>
      <c r="E18613" t="s">
        <v>758</v>
      </c>
      <c r="F18613" t="s">
        <v>2068</v>
      </c>
      <c r="G18613" t="s">
        <v>47099</v>
      </c>
      <c r="H18613" t="s">
        <v>47054</v>
      </c>
      <c r="I18613" t="s">
        <v>47111</v>
      </c>
      <c r="J18613" t="s">
        <v>47112</v>
      </c>
      <c r="K18613" t="s">
        <v>47113</v>
      </c>
      <c r="L18613">
        <v>42.41</v>
      </c>
      <c r="M18613">
        <v>74</v>
      </c>
      <c r="N18613">
        <v>0</v>
      </c>
      <c r="O18613">
        <v>74</v>
      </c>
      <c r="P18613">
        <v>0</v>
      </c>
    </row>
    <row r="18614" spans="1:16" x14ac:dyDescent="0.25">
      <c r="A18614" t="s">
        <v>41232</v>
      </c>
      <c r="B18614" t="s">
        <v>11347</v>
      </c>
      <c r="C18614" t="s">
        <v>11348</v>
      </c>
      <c r="D18614" t="str">
        <f>"4044"</f>
        <v>4044</v>
      </c>
      <c r="E18614" t="s">
        <v>7070</v>
      </c>
      <c r="F18614" t="s">
        <v>2068</v>
      </c>
      <c r="G18614" t="s">
        <v>47099</v>
      </c>
      <c r="H18614" t="s">
        <v>47054</v>
      </c>
      <c r="I18614" t="s">
        <v>47111</v>
      </c>
      <c r="J18614" t="s">
        <v>47112</v>
      </c>
      <c r="K18614" t="s">
        <v>47113</v>
      </c>
      <c r="L18614">
        <v>42.41</v>
      </c>
      <c r="M18614">
        <v>74</v>
      </c>
      <c r="N18614">
        <v>0</v>
      </c>
      <c r="O18614">
        <v>74</v>
      </c>
      <c r="P18614">
        <v>0</v>
      </c>
    </row>
    <row r="18615" spans="1:16" x14ac:dyDescent="0.25">
      <c r="A18615" t="s">
        <v>41233</v>
      </c>
      <c r="B18615" t="s">
        <v>11347</v>
      </c>
      <c r="C18615" t="s">
        <v>11348</v>
      </c>
      <c r="D18615" t="str">
        <f>"6392"</f>
        <v>6392</v>
      </c>
      <c r="E18615" t="s">
        <v>3144</v>
      </c>
      <c r="F18615" t="s">
        <v>2068</v>
      </c>
      <c r="G18615" t="s">
        <v>47099</v>
      </c>
      <c r="H18615" t="s">
        <v>47054</v>
      </c>
      <c r="I18615" t="s">
        <v>47111</v>
      </c>
      <c r="J18615" t="s">
        <v>47112</v>
      </c>
      <c r="K18615" t="s">
        <v>47113</v>
      </c>
      <c r="L18615">
        <v>42.41</v>
      </c>
      <c r="M18615">
        <v>74</v>
      </c>
      <c r="N18615">
        <v>0</v>
      </c>
      <c r="O18615">
        <v>74</v>
      </c>
      <c r="P18615">
        <v>0</v>
      </c>
    </row>
    <row r="18616" spans="1:16" x14ac:dyDescent="0.25">
      <c r="A18616" t="s">
        <v>15115</v>
      </c>
      <c r="B18616" t="s">
        <v>11349</v>
      </c>
      <c r="C18616" t="s">
        <v>11350</v>
      </c>
      <c r="D18616" t="str">
        <f>"1035"</f>
        <v>1035</v>
      </c>
      <c r="E18616" t="s">
        <v>758</v>
      </c>
      <c r="F18616" t="s">
        <v>2068</v>
      </c>
      <c r="G18616" t="s">
        <v>47099</v>
      </c>
      <c r="H18616" t="s">
        <v>47054</v>
      </c>
      <c r="I18616" t="s">
        <v>47111</v>
      </c>
      <c r="J18616" t="s">
        <v>47112</v>
      </c>
      <c r="K18616" t="s">
        <v>47113</v>
      </c>
      <c r="L18616">
        <v>37.9</v>
      </c>
      <c r="M18616">
        <v>67</v>
      </c>
      <c r="N18616">
        <v>0</v>
      </c>
      <c r="O18616">
        <v>67</v>
      </c>
      <c r="P18616">
        <v>0</v>
      </c>
    </row>
    <row r="18617" spans="1:16" x14ac:dyDescent="0.25">
      <c r="A18617" t="s">
        <v>41234</v>
      </c>
      <c r="B18617" t="s">
        <v>11349</v>
      </c>
      <c r="C18617" t="s">
        <v>11350</v>
      </c>
      <c r="D18617" t="str">
        <f>"4044"</f>
        <v>4044</v>
      </c>
      <c r="E18617" t="s">
        <v>7070</v>
      </c>
      <c r="F18617" t="s">
        <v>2068</v>
      </c>
      <c r="G18617" t="s">
        <v>47099</v>
      </c>
      <c r="H18617" t="s">
        <v>47054</v>
      </c>
      <c r="I18617" t="s">
        <v>47111</v>
      </c>
      <c r="J18617" t="s">
        <v>47112</v>
      </c>
      <c r="K18617" t="s">
        <v>47113</v>
      </c>
      <c r="L18617">
        <v>37.9</v>
      </c>
      <c r="M18617">
        <v>67</v>
      </c>
      <c r="N18617">
        <v>0</v>
      </c>
      <c r="O18617">
        <v>67</v>
      </c>
      <c r="P18617">
        <v>0</v>
      </c>
    </row>
    <row r="18618" spans="1:16" x14ac:dyDescent="0.25">
      <c r="A18618" t="s">
        <v>41235</v>
      </c>
      <c r="B18618" t="s">
        <v>11349</v>
      </c>
      <c r="C18618" t="s">
        <v>11350</v>
      </c>
      <c r="D18618" t="str">
        <f>"6392"</f>
        <v>6392</v>
      </c>
      <c r="E18618" t="s">
        <v>3144</v>
      </c>
      <c r="F18618" t="s">
        <v>2068</v>
      </c>
      <c r="G18618" t="s">
        <v>47099</v>
      </c>
      <c r="H18618" t="s">
        <v>47054</v>
      </c>
      <c r="I18618" t="s">
        <v>47111</v>
      </c>
      <c r="J18618" t="s">
        <v>47112</v>
      </c>
      <c r="K18618" t="s">
        <v>47113</v>
      </c>
      <c r="L18618">
        <v>37.9</v>
      </c>
      <c r="M18618">
        <v>67</v>
      </c>
      <c r="N18618">
        <v>0</v>
      </c>
      <c r="O18618">
        <v>67</v>
      </c>
      <c r="P18618">
        <v>0</v>
      </c>
    </row>
    <row r="18619" spans="1:16" x14ac:dyDescent="0.25">
      <c r="A18619" t="s">
        <v>41236</v>
      </c>
      <c r="B18619" t="s">
        <v>11351</v>
      </c>
      <c r="C18619" t="s">
        <v>11352</v>
      </c>
      <c r="D18619" t="s">
        <v>11353</v>
      </c>
      <c r="E18619" t="s">
        <v>11354</v>
      </c>
      <c r="F18619" t="s">
        <v>3750</v>
      </c>
      <c r="G18619" t="s">
        <v>47093</v>
      </c>
      <c r="H18619" t="s">
        <v>47054</v>
      </c>
      <c r="I18619" t="s">
        <v>47116</v>
      </c>
      <c r="J18619" t="s">
        <v>47117</v>
      </c>
      <c r="K18619" t="s">
        <v>47113</v>
      </c>
      <c r="L18619">
        <v>27.62</v>
      </c>
      <c r="M18619">
        <v>109</v>
      </c>
      <c r="N18619">
        <v>0</v>
      </c>
      <c r="O18619">
        <v>109</v>
      </c>
      <c r="P18619">
        <v>0</v>
      </c>
    </row>
    <row r="18620" spans="1:16" x14ac:dyDescent="0.25">
      <c r="A18620" t="s">
        <v>41237</v>
      </c>
      <c r="B18620" t="s">
        <v>11355</v>
      </c>
      <c r="C18620" t="s">
        <v>11356</v>
      </c>
      <c r="D18620" t="s">
        <v>721</v>
      </c>
      <c r="E18620" t="s">
        <v>722</v>
      </c>
      <c r="F18620" t="s">
        <v>3750</v>
      </c>
      <c r="G18620" t="s">
        <v>47093</v>
      </c>
      <c r="H18620" t="s">
        <v>47054</v>
      </c>
      <c r="I18620" t="s">
        <v>47116</v>
      </c>
      <c r="J18620" t="s">
        <v>47117</v>
      </c>
      <c r="K18620" t="s">
        <v>47113</v>
      </c>
      <c r="L18620">
        <v>15.31</v>
      </c>
      <c r="M18620">
        <v>68</v>
      </c>
      <c r="N18620">
        <v>0</v>
      </c>
      <c r="O18620">
        <v>68</v>
      </c>
      <c r="P18620">
        <v>0</v>
      </c>
    </row>
    <row r="18621" spans="1:16" x14ac:dyDescent="0.25">
      <c r="A18621" t="s">
        <v>41238</v>
      </c>
      <c r="B18621" t="s">
        <v>11357</v>
      </c>
      <c r="C18621" t="s">
        <v>11358</v>
      </c>
      <c r="D18621" t="s">
        <v>721</v>
      </c>
      <c r="E18621" t="s">
        <v>722</v>
      </c>
      <c r="F18621" t="s">
        <v>3750</v>
      </c>
      <c r="G18621" t="s">
        <v>47098</v>
      </c>
      <c r="H18621" t="s">
        <v>47054</v>
      </c>
      <c r="I18621" t="s">
        <v>47116</v>
      </c>
      <c r="J18621" t="s">
        <v>47117</v>
      </c>
      <c r="K18621" t="s">
        <v>47113</v>
      </c>
      <c r="L18621">
        <v>19.82</v>
      </c>
      <c r="M18621">
        <v>87</v>
      </c>
      <c r="N18621">
        <v>0</v>
      </c>
      <c r="O18621">
        <v>87</v>
      </c>
      <c r="P18621">
        <v>0</v>
      </c>
    </row>
    <row r="18622" spans="1:16" x14ac:dyDescent="0.25">
      <c r="A18622" t="s">
        <v>41239</v>
      </c>
      <c r="B18622" t="s">
        <v>11359</v>
      </c>
      <c r="C18622" t="s">
        <v>11265</v>
      </c>
      <c r="D18622" t="s">
        <v>11360</v>
      </c>
      <c r="E18622" t="s">
        <v>11361</v>
      </c>
      <c r="F18622" t="s">
        <v>3670</v>
      </c>
      <c r="G18622" t="s">
        <v>47093</v>
      </c>
      <c r="H18622" t="s">
        <v>47054</v>
      </c>
      <c r="I18622" t="s">
        <v>47111</v>
      </c>
      <c r="J18622" t="s">
        <v>47112</v>
      </c>
      <c r="K18622" t="s">
        <v>47113</v>
      </c>
      <c r="L18622">
        <v>39.619999999999997</v>
      </c>
      <c r="M18622">
        <v>74</v>
      </c>
      <c r="N18622">
        <v>0</v>
      </c>
      <c r="O18622">
        <v>74</v>
      </c>
      <c r="P18622">
        <v>0</v>
      </c>
    </row>
    <row r="18623" spans="1:16" x14ac:dyDescent="0.25">
      <c r="A18623" t="s">
        <v>41240</v>
      </c>
      <c r="B18623" t="s">
        <v>11362</v>
      </c>
      <c r="C18623" t="s">
        <v>11363</v>
      </c>
      <c r="D18623" t="s">
        <v>11360</v>
      </c>
      <c r="E18623" t="s">
        <v>11361</v>
      </c>
      <c r="F18623" t="s">
        <v>3546</v>
      </c>
      <c r="G18623" t="s">
        <v>47093</v>
      </c>
      <c r="H18623" t="s">
        <v>47054</v>
      </c>
      <c r="I18623" t="s">
        <v>47111</v>
      </c>
      <c r="J18623" t="s">
        <v>47112</v>
      </c>
      <c r="K18623" t="s">
        <v>47113</v>
      </c>
      <c r="L18623">
        <v>46.23</v>
      </c>
      <c r="M18623">
        <v>92</v>
      </c>
      <c r="N18623">
        <v>0</v>
      </c>
      <c r="O18623">
        <v>92</v>
      </c>
      <c r="P18623">
        <v>0</v>
      </c>
    </row>
    <row r="18624" spans="1:16" x14ac:dyDescent="0.25">
      <c r="A18624" t="s">
        <v>41241</v>
      </c>
      <c r="B18624" t="s">
        <v>11364</v>
      </c>
      <c r="C18624" t="s">
        <v>11365</v>
      </c>
      <c r="D18624" t="str">
        <f>"1438"</f>
        <v>1438</v>
      </c>
      <c r="E18624" t="s">
        <v>11213</v>
      </c>
      <c r="F18624" t="s">
        <v>1</v>
      </c>
      <c r="G18624" t="s">
        <v>47091</v>
      </c>
      <c r="H18624" t="s">
        <v>47054</v>
      </c>
      <c r="I18624" t="s">
        <v>47111</v>
      </c>
      <c r="J18624" t="s">
        <v>47112</v>
      </c>
      <c r="K18624" t="s">
        <v>47113</v>
      </c>
      <c r="L18624">
        <v>10.7</v>
      </c>
      <c r="M18624">
        <v>26</v>
      </c>
      <c r="N18624">
        <v>0</v>
      </c>
      <c r="O18624">
        <v>26</v>
      </c>
      <c r="P18624">
        <v>0</v>
      </c>
    </row>
    <row r="18625" spans="1:16" x14ac:dyDescent="0.25">
      <c r="A18625" t="s">
        <v>41242</v>
      </c>
      <c r="B18625" t="s">
        <v>11366</v>
      </c>
      <c r="C18625" t="s">
        <v>11367</v>
      </c>
      <c r="D18625" t="str">
        <f>"3501"</f>
        <v>3501</v>
      </c>
      <c r="E18625" t="s">
        <v>3758</v>
      </c>
      <c r="F18625" t="s">
        <v>1</v>
      </c>
      <c r="G18625" t="s">
        <v>47091</v>
      </c>
      <c r="H18625" t="s">
        <v>47054</v>
      </c>
      <c r="I18625" t="s">
        <v>47111</v>
      </c>
      <c r="J18625" t="s">
        <v>47112</v>
      </c>
      <c r="K18625" t="s">
        <v>47113</v>
      </c>
      <c r="L18625">
        <v>7.76</v>
      </c>
      <c r="M18625">
        <v>19</v>
      </c>
      <c r="N18625">
        <v>0</v>
      </c>
      <c r="O18625">
        <v>19</v>
      </c>
      <c r="P18625">
        <v>0</v>
      </c>
    </row>
    <row r="18626" spans="1:16" x14ac:dyDescent="0.25">
      <c r="A18626" t="s">
        <v>41243</v>
      </c>
      <c r="B18626" t="s">
        <v>11366</v>
      </c>
      <c r="C18626" t="s">
        <v>11367</v>
      </c>
      <c r="D18626" t="str">
        <f>"4753"</f>
        <v>4753</v>
      </c>
      <c r="E18626" t="s">
        <v>3755</v>
      </c>
      <c r="F18626" t="s">
        <v>1</v>
      </c>
      <c r="G18626" t="s">
        <v>47091</v>
      </c>
      <c r="H18626" t="s">
        <v>47054</v>
      </c>
      <c r="I18626" t="s">
        <v>47111</v>
      </c>
      <c r="J18626" t="s">
        <v>47112</v>
      </c>
      <c r="K18626" t="s">
        <v>47113</v>
      </c>
      <c r="L18626">
        <v>7.76</v>
      </c>
      <c r="M18626">
        <v>19</v>
      </c>
      <c r="N18626">
        <v>0</v>
      </c>
      <c r="O18626">
        <v>19</v>
      </c>
      <c r="P18626">
        <v>0</v>
      </c>
    </row>
    <row r="18627" spans="1:16" x14ac:dyDescent="0.25">
      <c r="A18627" t="s">
        <v>41244</v>
      </c>
      <c r="B18627" t="s">
        <v>11368</v>
      </c>
      <c r="C18627" t="s">
        <v>11369</v>
      </c>
      <c r="D18627" t="str">
        <f>"1001"</f>
        <v>1001</v>
      </c>
      <c r="E18627" t="s">
        <v>42</v>
      </c>
      <c r="F18627" t="s">
        <v>2068</v>
      </c>
      <c r="G18627" t="s">
        <v>47099</v>
      </c>
      <c r="H18627" t="s">
        <v>47054</v>
      </c>
      <c r="I18627" t="s">
        <v>47111</v>
      </c>
      <c r="J18627" t="s">
        <v>47112</v>
      </c>
      <c r="K18627" t="s">
        <v>47113</v>
      </c>
      <c r="L18627">
        <v>26.17</v>
      </c>
      <c r="M18627">
        <v>79</v>
      </c>
      <c r="N18627">
        <v>0</v>
      </c>
      <c r="O18627">
        <v>79</v>
      </c>
      <c r="P18627">
        <v>0</v>
      </c>
    </row>
    <row r="18628" spans="1:16" x14ac:dyDescent="0.25">
      <c r="A18628" t="s">
        <v>41245</v>
      </c>
      <c r="B18628" t="s">
        <v>11370</v>
      </c>
      <c r="C18628" t="s">
        <v>11371</v>
      </c>
      <c r="D18628" t="str">
        <f>"1459"</f>
        <v>1459</v>
      </c>
      <c r="E18628" t="s">
        <v>11372</v>
      </c>
      <c r="F18628" t="s">
        <v>2068</v>
      </c>
      <c r="G18628" t="s">
        <v>47093</v>
      </c>
      <c r="H18628" t="s">
        <v>47054</v>
      </c>
      <c r="I18628" t="s">
        <v>47111</v>
      </c>
      <c r="J18628" t="s">
        <v>47112</v>
      </c>
      <c r="K18628" t="s">
        <v>47113</v>
      </c>
      <c r="L18628">
        <v>41.29</v>
      </c>
      <c r="M18628">
        <v>115</v>
      </c>
      <c r="N18628">
        <v>0</v>
      </c>
      <c r="O18628">
        <v>115</v>
      </c>
      <c r="P18628">
        <v>0</v>
      </c>
    </row>
    <row r="18629" spans="1:16" x14ac:dyDescent="0.25">
      <c r="A18629" t="s">
        <v>15116</v>
      </c>
      <c r="B18629" t="s">
        <v>11373</v>
      </c>
      <c r="C18629" t="s">
        <v>11374</v>
      </c>
      <c r="D18629" t="s">
        <v>11375</v>
      </c>
      <c r="E18629" t="s">
        <v>11376</v>
      </c>
      <c r="F18629" t="s">
        <v>2068</v>
      </c>
      <c r="G18629" t="s">
        <v>47093</v>
      </c>
      <c r="H18629" t="s">
        <v>47054</v>
      </c>
      <c r="I18629" t="s">
        <v>47111</v>
      </c>
      <c r="J18629" t="s">
        <v>47112</v>
      </c>
      <c r="K18629" t="s">
        <v>47113</v>
      </c>
      <c r="L18629">
        <v>44.7</v>
      </c>
      <c r="M18629">
        <v>125</v>
      </c>
      <c r="N18629">
        <v>0</v>
      </c>
      <c r="O18629">
        <v>125</v>
      </c>
      <c r="P18629">
        <v>0</v>
      </c>
    </row>
    <row r="18630" spans="1:16" x14ac:dyDescent="0.25">
      <c r="A18630" t="s">
        <v>15117</v>
      </c>
      <c r="B18630" t="s">
        <v>11377</v>
      </c>
      <c r="C18630" t="s">
        <v>11378</v>
      </c>
      <c r="D18630" t="s">
        <v>11375</v>
      </c>
      <c r="E18630" t="s">
        <v>11376</v>
      </c>
      <c r="F18630" t="s">
        <v>2068</v>
      </c>
      <c r="G18630" t="s">
        <v>47093</v>
      </c>
      <c r="H18630" t="s">
        <v>47054</v>
      </c>
      <c r="I18630" t="s">
        <v>47111</v>
      </c>
      <c r="J18630" t="s">
        <v>47112</v>
      </c>
      <c r="K18630" t="s">
        <v>47113</v>
      </c>
      <c r="L18630">
        <v>42.05</v>
      </c>
      <c r="M18630">
        <v>125</v>
      </c>
      <c r="N18630">
        <v>0</v>
      </c>
      <c r="O18630">
        <v>125</v>
      </c>
      <c r="P18630">
        <v>0</v>
      </c>
    </row>
    <row r="18631" spans="1:16" x14ac:dyDescent="0.25">
      <c r="A18631" t="s">
        <v>41246</v>
      </c>
      <c r="B18631" t="s">
        <v>11379</v>
      </c>
      <c r="C18631" t="s">
        <v>11380</v>
      </c>
      <c r="D18631" t="s">
        <v>11381</v>
      </c>
      <c r="E18631" t="s">
        <v>11382</v>
      </c>
      <c r="F18631" t="s">
        <v>2068</v>
      </c>
      <c r="G18631" t="s">
        <v>47098</v>
      </c>
      <c r="H18631" t="s">
        <v>47054</v>
      </c>
      <c r="I18631" t="s">
        <v>47111</v>
      </c>
      <c r="J18631" t="s">
        <v>47112</v>
      </c>
      <c r="K18631" t="s">
        <v>47113</v>
      </c>
      <c r="L18631">
        <v>46.33</v>
      </c>
      <c r="M18631">
        <v>105</v>
      </c>
      <c r="N18631">
        <v>0</v>
      </c>
      <c r="O18631">
        <v>105</v>
      </c>
      <c r="P18631">
        <v>0</v>
      </c>
    </row>
    <row r="18632" spans="1:16" x14ac:dyDescent="0.25">
      <c r="A18632" t="s">
        <v>41247</v>
      </c>
      <c r="B18632" t="s">
        <v>11383</v>
      </c>
      <c r="C18632" t="s">
        <v>11384</v>
      </c>
      <c r="D18632" t="s">
        <v>11385</v>
      </c>
      <c r="E18632" t="s">
        <v>11386</v>
      </c>
      <c r="F18632" t="s">
        <v>3546</v>
      </c>
      <c r="G18632" t="s">
        <v>47093</v>
      </c>
      <c r="H18632" t="s">
        <v>47054</v>
      </c>
      <c r="I18632" t="s">
        <v>47111</v>
      </c>
      <c r="J18632" t="s">
        <v>47112</v>
      </c>
      <c r="K18632" t="s">
        <v>47113</v>
      </c>
      <c r="L18632">
        <v>37.33</v>
      </c>
      <c r="M18632">
        <v>76</v>
      </c>
      <c r="N18632">
        <v>0</v>
      </c>
      <c r="O18632">
        <v>76</v>
      </c>
      <c r="P18632">
        <v>0</v>
      </c>
    </row>
    <row r="18633" spans="1:16" x14ac:dyDescent="0.25">
      <c r="A18633" t="s">
        <v>41248</v>
      </c>
      <c r="B18633" t="s">
        <v>11387</v>
      </c>
      <c r="C18633" t="s">
        <v>11388</v>
      </c>
      <c r="D18633" t="s">
        <v>11385</v>
      </c>
      <c r="E18633" t="s">
        <v>11386</v>
      </c>
      <c r="F18633" t="s">
        <v>3546</v>
      </c>
      <c r="G18633" t="s">
        <v>47093</v>
      </c>
      <c r="H18633" t="s">
        <v>47054</v>
      </c>
      <c r="I18633" t="s">
        <v>47111</v>
      </c>
      <c r="J18633" t="s">
        <v>47112</v>
      </c>
      <c r="K18633" t="s">
        <v>47113</v>
      </c>
      <c r="L18633">
        <v>37.25</v>
      </c>
      <c r="M18633">
        <v>76</v>
      </c>
      <c r="N18633">
        <v>0</v>
      </c>
      <c r="O18633">
        <v>76</v>
      </c>
      <c r="P18633">
        <v>0</v>
      </c>
    </row>
    <row r="18634" spans="1:16" x14ac:dyDescent="0.25">
      <c r="A18634" t="s">
        <v>41249</v>
      </c>
      <c r="B18634" t="s">
        <v>11389</v>
      </c>
      <c r="C18634" t="s">
        <v>11390</v>
      </c>
      <c r="D18634" t="s">
        <v>11391</v>
      </c>
      <c r="E18634" t="s">
        <v>11392</v>
      </c>
      <c r="F18634" t="s">
        <v>3546</v>
      </c>
      <c r="G18634" t="s">
        <v>47093</v>
      </c>
      <c r="H18634" t="s">
        <v>47054</v>
      </c>
      <c r="I18634" t="s">
        <v>47111</v>
      </c>
      <c r="J18634" t="s">
        <v>47112</v>
      </c>
      <c r="K18634" t="s">
        <v>47113</v>
      </c>
      <c r="L18634">
        <v>44.61</v>
      </c>
      <c r="M18634">
        <v>96</v>
      </c>
      <c r="N18634">
        <v>0</v>
      </c>
      <c r="O18634">
        <v>96</v>
      </c>
      <c r="P18634">
        <v>0</v>
      </c>
    </row>
    <row r="18635" spans="1:16" x14ac:dyDescent="0.25">
      <c r="A18635" t="s">
        <v>41250</v>
      </c>
      <c r="B18635" t="s">
        <v>11393</v>
      </c>
      <c r="C18635" t="s">
        <v>11394</v>
      </c>
      <c r="D18635" t="s">
        <v>11395</v>
      </c>
      <c r="E18635" t="s">
        <v>11396</v>
      </c>
      <c r="F18635" t="s">
        <v>2068</v>
      </c>
      <c r="G18635" t="s">
        <v>47093</v>
      </c>
      <c r="H18635" t="s">
        <v>47054</v>
      </c>
      <c r="I18635" t="s">
        <v>47111</v>
      </c>
      <c r="J18635" t="s">
        <v>47112</v>
      </c>
      <c r="K18635" t="s">
        <v>47113</v>
      </c>
      <c r="L18635">
        <v>58.74</v>
      </c>
      <c r="M18635">
        <v>128</v>
      </c>
      <c r="N18635">
        <v>0</v>
      </c>
      <c r="O18635">
        <v>128</v>
      </c>
      <c r="P18635">
        <v>0</v>
      </c>
    </row>
    <row r="18636" spans="1:16" x14ac:dyDescent="0.25">
      <c r="A18636" t="s">
        <v>15118</v>
      </c>
      <c r="B18636" t="s">
        <v>11393</v>
      </c>
      <c r="C18636" t="s">
        <v>11394</v>
      </c>
      <c r="D18636" t="s">
        <v>11397</v>
      </c>
      <c r="E18636" t="s">
        <v>11398</v>
      </c>
      <c r="F18636" t="s">
        <v>2068</v>
      </c>
      <c r="G18636" t="s">
        <v>47093</v>
      </c>
      <c r="H18636" t="s">
        <v>47054</v>
      </c>
      <c r="I18636" t="s">
        <v>47111</v>
      </c>
      <c r="J18636" t="s">
        <v>47112</v>
      </c>
      <c r="K18636" t="s">
        <v>47113</v>
      </c>
      <c r="L18636">
        <v>59.82</v>
      </c>
      <c r="M18636">
        <v>130</v>
      </c>
      <c r="N18636">
        <v>0</v>
      </c>
      <c r="O18636">
        <v>130</v>
      </c>
      <c r="P18636">
        <v>0</v>
      </c>
    </row>
    <row r="18637" spans="1:16" x14ac:dyDescent="0.25">
      <c r="A18637" t="s">
        <v>15119</v>
      </c>
      <c r="B18637" t="s">
        <v>11399</v>
      </c>
      <c r="C18637" t="s">
        <v>11400</v>
      </c>
      <c r="D18637" t="s">
        <v>11395</v>
      </c>
      <c r="E18637" t="s">
        <v>11396</v>
      </c>
      <c r="F18637" t="s">
        <v>2068</v>
      </c>
      <c r="G18637" t="s">
        <v>47093</v>
      </c>
      <c r="H18637" t="s">
        <v>47054</v>
      </c>
      <c r="I18637" t="s">
        <v>47111</v>
      </c>
      <c r="J18637" t="s">
        <v>47112</v>
      </c>
      <c r="K18637" t="s">
        <v>47113</v>
      </c>
      <c r="L18637">
        <v>57.97</v>
      </c>
      <c r="M18637">
        <v>125</v>
      </c>
      <c r="N18637">
        <v>0</v>
      </c>
      <c r="O18637">
        <v>125</v>
      </c>
      <c r="P18637">
        <v>0</v>
      </c>
    </row>
    <row r="18638" spans="1:16" x14ac:dyDescent="0.25">
      <c r="A18638" t="s">
        <v>15120</v>
      </c>
      <c r="B18638" t="s">
        <v>11399</v>
      </c>
      <c r="C18638" t="s">
        <v>11400</v>
      </c>
      <c r="D18638" t="s">
        <v>11397</v>
      </c>
      <c r="E18638" t="s">
        <v>11398</v>
      </c>
      <c r="F18638" t="s">
        <v>2068</v>
      </c>
      <c r="G18638" t="s">
        <v>47093</v>
      </c>
      <c r="H18638" t="s">
        <v>47054</v>
      </c>
      <c r="I18638" t="s">
        <v>47111</v>
      </c>
      <c r="J18638" t="s">
        <v>47112</v>
      </c>
      <c r="K18638" t="s">
        <v>47113</v>
      </c>
      <c r="L18638">
        <v>59.06</v>
      </c>
      <c r="M18638">
        <v>128</v>
      </c>
      <c r="N18638">
        <v>0</v>
      </c>
      <c r="O18638">
        <v>128</v>
      </c>
      <c r="P18638">
        <v>0</v>
      </c>
    </row>
    <row r="18639" spans="1:16" x14ac:dyDescent="0.25">
      <c r="A18639" t="s">
        <v>41251</v>
      </c>
      <c r="B18639" t="s">
        <v>11401</v>
      </c>
      <c r="C18639" t="s">
        <v>11402</v>
      </c>
      <c r="D18639" t="s">
        <v>11385</v>
      </c>
      <c r="E18639" t="s">
        <v>11386</v>
      </c>
      <c r="F18639" t="s">
        <v>3546</v>
      </c>
      <c r="G18639" t="s">
        <v>49029</v>
      </c>
      <c r="H18639" t="s">
        <v>47054</v>
      </c>
      <c r="I18639" t="s">
        <v>47111</v>
      </c>
      <c r="J18639" t="s">
        <v>47112</v>
      </c>
      <c r="K18639" t="s">
        <v>47113</v>
      </c>
      <c r="L18639">
        <v>33.729999999999997</v>
      </c>
      <c r="M18639">
        <v>65</v>
      </c>
      <c r="N18639">
        <v>0</v>
      </c>
      <c r="O18639">
        <v>65</v>
      </c>
      <c r="P18639">
        <v>0</v>
      </c>
    </row>
    <row r="18640" spans="1:16" x14ac:dyDescent="0.25">
      <c r="A18640" t="s">
        <v>41252</v>
      </c>
      <c r="B18640" t="s">
        <v>11403</v>
      </c>
      <c r="C18640" t="s">
        <v>11404</v>
      </c>
      <c r="D18640" t="s">
        <v>11385</v>
      </c>
      <c r="E18640" t="s">
        <v>11386</v>
      </c>
      <c r="F18640" t="s">
        <v>3546</v>
      </c>
      <c r="G18640" t="s">
        <v>47098</v>
      </c>
      <c r="H18640" t="s">
        <v>47054</v>
      </c>
      <c r="I18640" t="s">
        <v>47116</v>
      </c>
      <c r="J18640" t="s">
        <v>47117</v>
      </c>
      <c r="K18640" t="s">
        <v>47113</v>
      </c>
      <c r="L18640">
        <v>42.18</v>
      </c>
      <c r="M18640">
        <v>76</v>
      </c>
      <c r="N18640">
        <v>0</v>
      </c>
      <c r="O18640">
        <v>76</v>
      </c>
      <c r="P18640">
        <v>0</v>
      </c>
    </row>
    <row r="18641" spans="1:16" x14ac:dyDescent="0.25">
      <c r="A18641" t="s">
        <v>41253</v>
      </c>
      <c r="B18641" t="s">
        <v>11405</v>
      </c>
      <c r="C18641" t="s">
        <v>11406</v>
      </c>
      <c r="D18641" t="str">
        <f>"1001"</f>
        <v>1001</v>
      </c>
      <c r="E18641" t="s">
        <v>42</v>
      </c>
      <c r="F18641" t="s">
        <v>2068</v>
      </c>
      <c r="G18641" t="s">
        <v>47098</v>
      </c>
      <c r="H18641" t="s">
        <v>47054</v>
      </c>
      <c r="I18641" t="s">
        <v>47120</v>
      </c>
      <c r="J18641" t="s">
        <v>47121</v>
      </c>
      <c r="K18641" t="s">
        <v>47113</v>
      </c>
      <c r="L18641">
        <v>33.57</v>
      </c>
      <c r="M18641">
        <v>76</v>
      </c>
      <c r="N18641">
        <v>0</v>
      </c>
      <c r="O18641">
        <v>76</v>
      </c>
      <c r="P18641">
        <v>0</v>
      </c>
    </row>
    <row r="18642" spans="1:16" x14ac:dyDescent="0.25">
      <c r="A18642" t="s">
        <v>41254</v>
      </c>
      <c r="B18642" t="s">
        <v>11405</v>
      </c>
      <c r="C18642" t="s">
        <v>11406</v>
      </c>
      <c r="D18642" t="str">
        <f>"3522"</f>
        <v>3522</v>
      </c>
      <c r="E18642" t="s">
        <v>2312</v>
      </c>
      <c r="F18642" t="s">
        <v>2068</v>
      </c>
      <c r="G18642" t="s">
        <v>47098</v>
      </c>
      <c r="H18642" t="s">
        <v>47054</v>
      </c>
      <c r="I18642" t="s">
        <v>47120</v>
      </c>
      <c r="J18642" t="s">
        <v>47121</v>
      </c>
      <c r="K18642" t="s">
        <v>47113</v>
      </c>
      <c r="L18642">
        <v>33.57</v>
      </c>
      <c r="M18642">
        <v>76</v>
      </c>
      <c r="N18642">
        <v>0</v>
      </c>
      <c r="O18642">
        <v>76</v>
      </c>
      <c r="P18642">
        <v>0</v>
      </c>
    </row>
    <row r="18643" spans="1:16" x14ac:dyDescent="0.25">
      <c r="A18643" t="s">
        <v>41255</v>
      </c>
      <c r="B18643" t="s">
        <v>11407</v>
      </c>
      <c r="C18643" t="s">
        <v>11408</v>
      </c>
      <c r="D18643" t="str">
        <f>"1001"</f>
        <v>1001</v>
      </c>
      <c r="E18643" t="s">
        <v>11409</v>
      </c>
      <c r="F18643" t="s">
        <v>3546</v>
      </c>
      <c r="G18643" t="s">
        <v>47101</v>
      </c>
      <c r="H18643" t="s">
        <v>47054</v>
      </c>
      <c r="I18643" t="s">
        <v>47120</v>
      </c>
      <c r="J18643" t="s">
        <v>47121</v>
      </c>
      <c r="K18643" t="s">
        <v>47113</v>
      </c>
      <c r="L18643">
        <v>34.9</v>
      </c>
      <c r="M18643">
        <v>86</v>
      </c>
      <c r="N18643">
        <v>0</v>
      </c>
      <c r="O18643">
        <v>86</v>
      </c>
      <c r="P18643">
        <v>0</v>
      </c>
    </row>
    <row r="18644" spans="1:16" x14ac:dyDescent="0.25">
      <c r="A18644" t="s">
        <v>41256</v>
      </c>
      <c r="B18644" t="s">
        <v>11407</v>
      </c>
      <c r="C18644" t="s">
        <v>11408</v>
      </c>
      <c r="D18644" t="str">
        <f>"1742"</f>
        <v>1742</v>
      </c>
      <c r="E18644" t="s">
        <v>11410</v>
      </c>
      <c r="F18644" t="s">
        <v>3546</v>
      </c>
      <c r="G18644" t="s">
        <v>47101</v>
      </c>
      <c r="H18644" t="s">
        <v>47054</v>
      </c>
      <c r="I18644" t="s">
        <v>47120</v>
      </c>
      <c r="J18644" t="s">
        <v>47121</v>
      </c>
      <c r="K18644" t="s">
        <v>47113</v>
      </c>
      <c r="L18644">
        <v>34.9</v>
      </c>
      <c r="M18644">
        <v>86</v>
      </c>
      <c r="N18644">
        <v>0</v>
      </c>
      <c r="O18644">
        <v>86</v>
      </c>
      <c r="P18644">
        <v>0</v>
      </c>
    </row>
    <row r="18645" spans="1:16" x14ac:dyDescent="0.25">
      <c r="A18645" t="s">
        <v>41257</v>
      </c>
      <c r="B18645" t="s">
        <v>11407</v>
      </c>
      <c r="C18645" t="s">
        <v>11408</v>
      </c>
      <c r="D18645" t="str">
        <f>"6033"</f>
        <v>6033</v>
      </c>
      <c r="E18645" t="s">
        <v>11411</v>
      </c>
      <c r="F18645" t="s">
        <v>3546</v>
      </c>
      <c r="G18645" t="s">
        <v>47101</v>
      </c>
      <c r="H18645" t="s">
        <v>47054</v>
      </c>
      <c r="I18645" t="s">
        <v>47120</v>
      </c>
      <c r="J18645" t="s">
        <v>47121</v>
      </c>
      <c r="K18645" t="s">
        <v>47113</v>
      </c>
      <c r="L18645">
        <v>34.9</v>
      </c>
      <c r="M18645">
        <v>86</v>
      </c>
      <c r="N18645">
        <v>0</v>
      </c>
      <c r="O18645">
        <v>86</v>
      </c>
      <c r="P18645">
        <v>0</v>
      </c>
    </row>
    <row r="18646" spans="1:16" x14ac:dyDescent="0.25">
      <c r="A18646" t="s">
        <v>41258</v>
      </c>
      <c r="B18646" t="s">
        <v>11412</v>
      </c>
      <c r="C18646" t="s">
        <v>11413</v>
      </c>
      <c r="D18646" t="str">
        <f>"4864"</f>
        <v>4864</v>
      </c>
      <c r="E18646" t="s">
        <v>11414</v>
      </c>
      <c r="F18646" t="s">
        <v>2068</v>
      </c>
      <c r="G18646" t="s">
        <v>47093</v>
      </c>
      <c r="H18646" t="s">
        <v>47054</v>
      </c>
      <c r="I18646" t="s">
        <v>47111</v>
      </c>
      <c r="J18646" t="s">
        <v>47112</v>
      </c>
      <c r="K18646" t="s">
        <v>47113</v>
      </c>
      <c r="L18646">
        <v>39.25</v>
      </c>
      <c r="M18646">
        <v>109</v>
      </c>
      <c r="N18646">
        <v>0</v>
      </c>
      <c r="O18646">
        <v>109</v>
      </c>
      <c r="P18646">
        <v>0</v>
      </c>
    </row>
    <row r="18647" spans="1:16" x14ac:dyDescent="0.25">
      <c r="A18647" t="s">
        <v>41259</v>
      </c>
      <c r="B18647" t="s">
        <v>11415</v>
      </c>
      <c r="C18647" t="s">
        <v>11416</v>
      </c>
      <c r="D18647" t="str">
        <f>"1001"</f>
        <v>1001</v>
      </c>
      <c r="E18647" t="s">
        <v>11409</v>
      </c>
      <c r="F18647" t="s">
        <v>3546</v>
      </c>
      <c r="G18647" t="s">
        <v>47098</v>
      </c>
      <c r="H18647" t="s">
        <v>47054</v>
      </c>
      <c r="I18647" t="s">
        <v>47120</v>
      </c>
      <c r="J18647" t="s">
        <v>47121</v>
      </c>
      <c r="K18647" t="s">
        <v>47113</v>
      </c>
      <c r="L18647">
        <v>48.76</v>
      </c>
      <c r="M18647">
        <v>120</v>
      </c>
      <c r="N18647">
        <v>0</v>
      </c>
      <c r="O18647">
        <v>120</v>
      </c>
      <c r="P18647">
        <v>0</v>
      </c>
    </row>
    <row r="18648" spans="1:16" x14ac:dyDescent="0.25">
      <c r="A18648" t="s">
        <v>41260</v>
      </c>
      <c r="B18648" t="s">
        <v>11415</v>
      </c>
      <c r="C18648" t="s">
        <v>11416</v>
      </c>
      <c r="D18648" t="str">
        <f>"3271"</f>
        <v>3271</v>
      </c>
      <c r="E18648" t="s">
        <v>11417</v>
      </c>
      <c r="F18648" t="s">
        <v>3546</v>
      </c>
      <c r="G18648" t="s">
        <v>47098</v>
      </c>
      <c r="H18648" t="s">
        <v>47054</v>
      </c>
      <c r="I18648" t="s">
        <v>47120</v>
      </c>
      <c r="J18648" t="s">
        <v>47121</v>
      </c>
      <c r="K18648" t="s">
        <v>47113</v>
      </c>
      <c r="L18648">
        <v>48.76</v>
      </c>
      <c r="M18648">
        <v>120</v>
      </c>
      <c r="N18648">
        <v>0</v>
      </c>
      <c r="O18648">
        <v>120</v>
      </c>
      <c r="P18648">
        <v>0</v>
      </c>
    </row>
    <row r="18649" spans="1:16" x14ac:dyDescent="0.25">
      <c r="A18649" t="s">
        <v>41261</v>
      </c>
      <c r="B18649" t="s">
        <v>11418</v>
      </c>
      <c r="C18649" t="s">
        <v>11419</v>
      </c>
      <c r="D18649" t="str">
        <f>"2360"</f>
        <v>2360</v>
      </c>
      <c r="E18649" t="s">
        <v>11420</v>
      </c>
      <c r="F18649" t="s">
        <v>1</v>
      </c>
      <c r="G18649" t="s">
        <v>47093</v>
      </c>
      <c r="H18649" t="s">
        <v>47054</v>
      </c>
      <c r="I18649" t="s">
        <v>47111</v>
      </c>
      <c r="J18649" t="s">
        <v>47112</v>
      </c>
      <c r="K18649" t="s">
        <v>47113</v>
      </c>
      <c r="L18649">
        <v>37.76</v>
      </c>
      <c r="M18649">
        <v>114</v>
      </c>
      <c r="N18649">
        <v>0</v>
      </c>
      <c r="O18649">
        <v>114</v>
      </c>
      <c r="P18649">
        <v>0</v>
      </c>
    </row>
    <row r="18650" spans="1:16" x14ac:dyDescent="0.25">
      <c r="A18650" t="s">
        <v>41262</v>
      </c>
      <c r="B18650" t="s">
        <v>11418</v>
      </c>
      <c r="C18650" t="s">
        <v>11419</v>
      </c>
      <c r="D18650" t="str">
        <f>"4743"</f>
        <v>4743</v>
      </c>
      <c r="E18650" t="s">
        <v>11421</v>
      </c>
      <c r="F18650" t="s">
        <v>1</v>
      </c>
      <c r="G18650" t="s">
        <v>47093</v>
      </c>
      <c r="H18650" t="s">
        <v>47054</v>
      </c>
      <c r="I18650" t="s">
        <v>47111</v>
      </c>
      <c r="J18650" t="s">
        <v>47112</v>
      </c>
      <c r="K18650" t="s">
        <v>47113</v>
      </c>
      <c r="L18650">
        <v>37.76</v>
      </c>
      <c r="M18650">
        <v>114</v>
      </c>
      <c r="N18650">
        <v>0</v>
      </c>
      <c r="O18650">
        <v>114</v>
      </c>
      <c r="P18650">
        <v>0</v>
      </c>
    </row>
    <row r="18651" spans="1:16" x14ac:dyDescent="0.25">
      <c r="A18651" t="s">
        <v>41263</v>
      </c>
      <c r="B18651" t="s">
        <v>11418</v>
      </c>
      <c r="C18651" t="s">
        <v>11419</v>
      </c>
      <c r="D18651" t="str">
        <f>"6431"</f>
        <v>6431</v>
      </c>
      <c r="E18651" t="s">
        <v>11422</v>
      </c>
      <c r="F18651" t="s">
        <v>1</v>
      </c>
      <c r="G18651" t="s">
        <v>47093</v>
      </c>
      <c r="H18651" t="s">
        <v>47054</v>
      </c>
      <c r="I18651" t="s">
        <v>47111</v>
      </c>
      <c r="J18651" t="s">
        <v>47112</v>
      </c>
      <c r="K18651" t="s">
        <v>47113</v>
      </c>
      <c r="L18651">
        <v>37.76</v>
      </c>
      <c r="M18651">
        <v>114</v>
      </c>
      <c r="N18651">
        <v>0</v>
      </c>
      <c r="O18651">
        <v>114</v>
      </c>
      <c r="P18651">
        <v>0</v>
      </c>
    </row>
    <row r="18652" spans="1:16" x14ac:dyDescent="0.25">
      <c r="A18652" t="s">
        <v>41264</v>
      </c>
      <c r="B18652" t="s">
        <v>11418</v>
      </c>
      <c r="C18652" t="s">
        <v>11419</v>
      </c>
      <c r="D18652" t="str">
        <f>"7455"</f>
        <v>7455</v>
      </c>
      <c r="E18652" t="s">
        <v>11423</v>
      </c>
      <c r="F18652" t="s">
        <v>1</v>
      </c>
      <c r="G18652" t="s">
        <v>47093</v>
      </c>
      <c r="H18652" t="s">
        <v>47054</v>
      </c>
      <c r="I18652" t="s">
        <v>47111</v>
      </c>
      <c r="J18652" t="s">
        <v>47112</v>
      </c>
      <c r="K18652" t="s">
        <v>47113</v>
      </c>
      <c r="L18652">
        <v>37.76</v>
      </c>
      <c r="M18652">
        <v>114</v>
      </c>
      <c r="N18652">
        <v>0</v>
      </c>
      <c r="O18652">
        <v>114</v>
      </c>
      <c r="P18652">
        <v>0</v>
      </c>
    </row>
    <row r="18653" spans="1:16" x14ac:dyDescent="0.25">
      <c r="A18653" t="s">
        <v>41265</v>
      </c>
      <c r="B18653" t="s">
        <v>11418</v>
      </c>
      <c r="C18653" t="s">
        <v>11419</v>
      </c>
      <c r="D18653" t="str">
        <f>"8400"</f>
        <v>8400</v>
      </c>
      <c r="E18653" t="s">
        <v>11424</v>
      </c>
      <c r="F18653" t="s">
        <v>1</v>
      </c>
      <c r="G18653" t="s">
        <v>47093</v>
      </c>
      <c r="H18653" t="s">
        <v>47054</v>
      </c>
      <c r="I18653" t="s">
        <v>47111</v>
      </c>
      <c r="J18653" t="s">
        <v>47112</v>
      </c>
      <c r="K18653" t="s">
        <v>47113</v>
      </c>
      <c r="L18653">
        <v>37.76</v>
      </c>
      <c r="M18653">
        <v>114</v>
      </c>
      <c r="N18653">
        <v>0</v>
      </c>
      <c r="O18653">
        <v>114</v>
      </c>
      <c r="P18653">
        <v>0</v>
      </c>
    </row>
    <row r="18654" spans="1:16" x14ac:dyDescent="0.25">
      <c r="A18654" t="s">
        <v>41266</v>
      </c>
      <c r="B18654" t="s">
        <v>11425</v>
      </c>
      <c r="C18654" t="s">
        <v>11426</v>
      </c>
      <c r="D18654" t="str">
        <f>"1700"</f>
        <v>1700</v>
      </c>
      <c r="E18654" t="s">
        <v>11427</v>
      </c>
      <c r="F18654" t="s">
        <v>1</v>
      </c>
      <c r="G18654" t="s">
        <v>47093</v>
      </c>
      <c r="H18654" t="s">
        <v>47054</v>
      </c>
      <c r="I18654" t="s">
        <v>47111</v>
      </c>
      <c r="J18654" t="s">
        <v>47112</v>
      </c>
      <c r="K18654" t="s">
        <v>47113</v>
      </c>
      <c r="L18654">
        <v>33.96</v>
      </c>
      <c r="M18654">
        <v>103</v>
      </c>
      <c r="N18654">
        <v>0</v>
      </c>
      <c r="O18654">
        <v>103</v>
      </c>
      <c r="P18654">
        <v>0</v>
      </c>
    </row>
    <row r="18655" spans="1:16" x14ac:dyDescent="0.25">
      <c r="A18655" t="s">
        <v>41267</v>
      </c>
      <c r="B18655" t="s">
        <v>11428</v>
      </c>
      <c r="C18655" t="s">
        <v>11429</v>
      </c>
      <c r="D18655" t="str">
        <f>"2360"</f>
        <v>2360</v>
      </c>
      <c r="E18655" t="s">
        <v>11420</v>
      </c>
      <c r="F18655" t="s">
        <v>1</v>
      </c>
      <c r="G18655" t="s">
        <v>47093</v>
      </c>
      <c r="H18655" t="s">
        <v>47054</v>
      </c>
      <c r="I18655" t="s">
        <v>47111</v>
      </c>
      <c r="J18655" t="s">
        <v>47112</v>
      </c>
      <c r="K18655" t="s">
        <v>47113</v>
      </c>
      <c r="L18655">
        <v>38.090000000000003</v>
      </c>
      <c r="M18655">
        <v>115</v>
      </c>
      <c r="N18655">
        <v>0</v>
      </c>
      <c r="O18655">
        <v>115</v>
      </c>
      <c r="P18655">
        <v>0</v>
      </c>
    </row>
    <row r="18656" spans="1:16" x14ac:dyDescent="0.25">
      <c r="A18656" t="s">
        <v>41268</v>
      </c>
      <c r="B18656" t="s">
        <v>11428</v>
      </c>
      <c r="C18656" t="s">
        <v>11429</v>
      </c>
      <c r="D18656" t="str">
        <f>"4743"</f>
        <v>4743</v>
      </c>
      <c r="E18656" t="s">
        <v>11421</v>
      </c>
      <c r="F18656" t="s">
        <v>1</v>
      </c>
      <c r="G18656" t="s">
        <v>47093</v>
      </c>
      <c r="H18656" t="s">
        <v>47054</v>
      </c>
      <c r="I18656" t="s">
        <v>47111</v>
      </c>
      <c r="J18656" t="s">
        <v>47112</v>
      </c>
      <c r="K18656" t="s">
        <v>47113</v>
      </c>
      <c r="L18656">
        <v>38.090000000000003</v>
      </c>
      <c r="M18656">
        <v>113</v>
      </c>
      <c r="N18656">
        <v>0</v>
      </c>
      <c r="O18656">
        <v>113</v>
      </c>
      <c r="P18656">
        <v>0</v>
      </c>
    </row>
    <row r="18657" spans="1:16" x14ac:dyDescent="0.25">
      <c r="A18657" t="s">
        <v>41269</v>
      </c>
      <c r="B18657" t="s">
        <v>11428</v>
      </c>
      <c r="C18657" t="s">
        <v>11429</v>
      </c>
      <c r="D18657" t="str">
        <f>"6431"</f>
        <v>6431</v>
      </c>
      <c r="E18657" t="s">
        <v>11422</v>
      </c>
      <c r="F18657" t="s">
        <v>1</v>
      </c>
      <c r="G18657" t="s">
        <v>47093</v>
      </c>
      <c r="H18657" t="s">
        <v>47054</v>
      </c>
      <c r="I18657" t="s">
        <v>47111</v>
      </c>
      <c r="J18657" t="s">
        <v>47112</v>
      </c>
      <c r="K18657" t="s">
        <v>47113</v>
      </c>
      <c r="L18657">
        <v>38.090000000000003</v>
      </c>
      <c r="M18657">
        <v>113</v>
      </c>
      <c r="N18657">
        <v>0</v>
      </c>
      <c r="O18657">
        <v>113</v>
      </c>
      <c r="P18657">
        <v>0</v>
      </c>
    </row>
    <row r="18658" spans="1:16" x14ac:dyDescent="0.25">
      <c r="A18658" t="s">
        <v>41270</v>
      </c>
      <c r="B18658" t="s">
        <v>11428</v>
      </c>
      <c r="C18658" t="s">
        <v>11429</v>
      </c>
      <c r="D18658" t="str">
        <f>"7455"</f>
        <v>7455</v>
      </c>
      <c r="E18658" t="s">
        <v>11423</v>
      </c>
      <c r="F18658" t="s">
        <v>1</v>
      </c>
      <c r="G18658" t="s">
        <v>47093</v>
      </c>
      <c r="H18658" t="s">
        <v>47054</v>
      </c>
      <c r="I18658" t="s">
        <v>47111</v>
      </c>
      <c r="J18658" t="s">
        <v>47112</v>
      </c>
      <c r="K18658" t="s">
        <v>47113</v>
      </c>
      <c r="L18658">
        <v>38.090000000000003</v>
      </c>
      <c r="M18658">
        <v>113</v>
      </c>
      <c r="N18658">
        <v>0</v>
      </c>
      <c r="O18658">
        <v>113</v>
      </c>
      <c r="P18658">
        <v>0</v>
      </c>
    </row>
    <row r="18659" spans="1:16" x14ac:dyDescent="0.25">
      <c r="A18659" t="s">
        <v>41271</v>
      </c>
      <c r="B18659" t="s">
        <v>11428</v>
      </c>
      <c r="C18659" t="s">
        <v>11429</v>
      </c>
      <c r="D18659" t="str">
        <f>"8400"</f>
        <v>8400</v>
      </c>
      <c r="E18659" t="s">
        <v>11424</v>
      </c>
      <c r="F18659" t="s">
        <v>1</v>
      </c>
      <c r="G18659" t="s">
        <v>47093</v>
      </c>
      <c r="H18659" t="s">
        <v>47054</v>
      </c>
      <c r="I18659" t="s">
        <v>47111</v>
      </c>
      <c r="J18659" t="s">
        <v>47112</v>
      </c>
      <c r="K18659" t="s">
        <v>47113</v>
      </c>
      <c r="L18659">
        <v>38.090000000000003</v>
      </c>
      <c r="M18659">
        <v>115</v>
      </c>
      <c r="N18659">
        <v>0</v>
      </c>
      <c r="O18659">
        <v>115</v>
      </c>
      <c r="P18659">
        <v>0</v>
      </c>
    </row>
    <row r="18660" spans="1:16" x14ac:dyDescent="0.25">
      <c r="A18660" t="s">
        <v>41272</v>
      </c>
      <c r="B18660" t="s">
        <v>11430</v>
      </c>
      <c r="C18660" t="s">
        <v>11431</v>
      </c>
      <c r="D18660" t="str">
        <f>"1001"</f>
        <v>1001</v>
      </c>
      <c r="E18660" t="s">
        <v>11432</v>
      </c>
      <c r="F18660" t="s">
        <v>1</v>
      </c>
      <c r="G18660" t="s">
        <v>47093</v>
      </c>
      <c r="H18660" t="s">
        <v>47054</v>
      </c>
      <c r="I18660" t="s">
        <v>47111</v>
      </c>
      <c r="J18660" t="s">
        <v>47112</v>
      </c>
      <c r="K18660" t="s">
        <v>47113</v>
      </c>
      <c r="L18660">
        <v>35.619999999999997</v>
      </c>
      <c r="M18660">
        <v>100</v>
      </c>
      <c r="N18660">
        <v>0</v>
      </c>
      <c r="O18660">
        <v>100</v>
      </c>
      <c r="P18660">
        <v>0</v>
      </c>
    </row>
    <row r="18661" spans="1:16" x14ac:dyDescent="0.25">
      <c r="A18661" t="s">
        <v>41273</v>
      </c>
      <c r="B18661" t="s">
        <v>11433</v>
      </c>
      <c r="C18661" t="s">
        <v>11429</v>
      </c>
      <c r="D18661" t="str">
        <f>"1700"</f>
        <v>1700</v>
      </c>
      <c r="E18661" t="s">
        <v>11427</v>
      </c>
      <c r="F18661" t="s">
        <v>1</v>
      </c>
      <c r="G18661" t="s">
        <v>47093</v>
      </c>
      <c r="H18661" t="s">
        <v>47054</v>
      </c>
      <c r="I18661" t="s">
        <v>47111</v>
      </c>
      <c r="J18661" t="s">
        <v>47112</v>
      </c>
      <c r="K18661" t="s">
        <v>47113</v>
      </c>
      <c r="L18661">
        <v>32.18</v>
      </c>
      <c r="M18661">
        <v>97</v>
      </c>
      <c r="N18661">
        <v>0</v>
      </c>
      <c r="O18661">
        <v>97</v>
      </c>
      <c r="P18661">
        <v>0</v>
      </c>
    </row>
    <row r="18662" spans="1:16" x14ac:dyDescent="0.25">
      <c r="A18662" t="s">
        <v>41274</v>
      </c>
      <c r="B18662" t="s">
        <v>11434</v>
      </c>
      <c r="C18662" t="s">
        <v>11435</v>
      </c>
      <c r="D18662" t="str">
        <f>"1001"</f>
        <v>1001</v>
      </c>
      <c r="E18662" t="s">
        <v>11432</v>
      </c>
      <c r="F18662" t="s">
        <v>0</v>
      </c>
      <c r="G18662" t="s">
        <v>47093</v>
      </c>
      <c r="H18662" t="s">
        <v>47054</v>
      </c>
      <c r="I18662" t="s">
        <v>47111</v>
      </c>
      <c r="J18662" t="s">
        <v>47112</v>
      </c>
      <c r="K18662" t="s">
        <v>47113</v>
      </c>
      <c r="L18662">
        <v>35.64</v>
      </c>
      <c r="M18662">
        <v>104</v>
      </c>
      <c r="N18662">
        <v>0</v>
      </c>
      <c r="O18662">
        <v>104</v>
      </c>
      <c r="P18662">
        <v>0</v>
      </c>
    </row>
    <row r="18663" spans="1:16" x14ac:dyDescent="0.25">
      <c r="A18663" t="s">
        <v>41275</v>
      </c>
      <c r="B18663" t="s">
        <v>11436</v>
      </c>
      <c r="C18663" t="s">
        <v>11363</v>
      </c>
      <c r="D18663" t="str">
        <f>"1821"</f>
        <v>1821</v>
      </c>
      <c r="E18663" t="s">
        <v>590</v>
      </c>
      <c r="F18663" t="s">
        <v>3546</v>
      </c>
      <c r="G18663" t="s">
        <v>47093</v>
      </c>
      <c r="H18663" t="s">
        <v>47054</v>
      </c>
      <c r="I18663" t="s">
        <v>47111</v>
      </c>
      <c r="J18663" t="s">
        <v>47112</v>
      </c>
      <c r="K18663" t="s">
        <v>47113</v>
      </c>
      <c r="L18663">
        <v>44.8</v>
      </c>
      <c r="M18663">
        <v>111</v>
      </c>
      <c r="N18663">
        <v>0</v>
      </c>
      <c r="O18663">
        <v>111</v>
      </c>
      <c r="P18663">
        <v>0</v>
      </c>
    </row>
    <row r="18664" spans="1:16" x14ac:dyDescent="0.25">
      <c r="A18664" t="s">
        <v>41276</v>
      </c>
      <c r="B18664" t="s">
        <v>21604</v>
      </c>
      <c r="C18664" t="s">
        <v>21605</v>
      </c>
      <c r="D18664" t="str">
        <f>"11"</f>
        <v>11</v>
      </c>
      <c r="E18664" t="s">
        <v>288</v>
      </c>
      <c r="F18664" t="s">
        <v>3750</v>
      </c>
      <c r="G18664" t="s">
        <v>47093</v>
      </c>
      <c r="H18664" t="s">
        <v>47054</v>
      </c>
      <c r="I18664" t="s">
        <v>47111</v>
      </c>
      <c r="J18664" t="s">
        <v>47112</v>
      </c>
      <c r="K18664" t="s">
        <v>47113</v>
      </c>
      <c r="L18664">
        <v>32.71</v>
      </c>
      <c r="M18664">
        <v>81</v>
      </c>
      <c r="N18664">
        <v>0</v>
      </c>
      <c r="O18664">
        <v>81</v>
      </c>
      <c r="P18664">
        <v>0</v>
      </c>
    </row>
    <row r="18665" spans="1:16" x14ac:dyDescent="0.25">
      <c r="A18665" t="s">
        <v>41277</v>
      </c>
      <c r="B18665" t="s">
        <v>21604</v>
      </c>
      <c r="C18665" t="s">
        <v>21605</v>
      </c>
      <c r="D18665" t="s">
        <v>21606</v>
      </c>
      <c r="E18665" t="s">
        <v>21607</v>
      </c>
      <c r="F18665" t="s">
        <v>3750</v>
      </c>
      <c r="G18665" t="s">
        <v>47093</v>
      </c>
      <c r="H18665" t="s">
        <v>47054</v>
      </c>
      <c r="I18665" t="s">
        <v>47111</v>
      </c>
      <c r="J18665" t="s">
        <v>47112</v>
      </c>
      <c r="K18665" t="s">
        <v>47113</v>
      </c>
      <c r="L18665">
        <v>42.25</v>
      </c>
      <c r="M18665">
        <v>81</v>
      </c>
      <c r="N18665">
        <v>0</v>
      </c>
      <c r="O18665">
        <v>81</v>
      </c>
      <c r="P18665">
        <v>0</v>
      </c>
    </row>
    <row r="18666" spans="1:16" x14ac:dyDescent="0.25">
      <c r="A18666" t="s">
        <v>566</v>
      </c>
      <c r="B18666" t="s">
        <v>567</v>
      </c>
      <c r="C18666" t="s">
        <v>568</v>
      </c>
      <c r="D18666" t="str">
        <f>"1394"</f>
        <v>1394</v>
      </c>
      <c r="E18666" t="s">
        <v>569</v>
      </c>
      <c r="F18666" t="s">
        <v>4</v>
      </c>
      <c r="G18666" t="s">
        <v>47093</v>
      </c>
      <c r="H18666" t="s">
        <v>47054</v>
      </c>
      <c r="I18666" t="s">
        <v>47111</v>
      </c>
      <c r="J18666" t="s">
        <v>47112</v>
      </c>
      <c r="K18666" t="s">
        <v>47113</v>
      </c>
      <c r="L18666">
        <v>64.11</v>
      </c>
      <c r="M18666">
        <v>115</v>
      </c>
      <c r="N18666">
        <v>0</v>
      </c>
      <c r="O18666">
        <v>115</v>
      </c>
      <c r="P18666">
        <v>0</v>
      </c>
    </row>
    <row r="18667" spans="1:16" x14ac:dyDescent="0.25">
      <c r="A18667" t="s">
        <v>41278</v>
      </c>
      <c r="B18667" t="s">
        <v>11437</v>
      </c>
      <c r="C18667" t="s">
        <v>11438</v>
      </c>
      <c r="D18667" t="s">
        <v>11439</v>
      </c>
      <c r="E18667" t="s">
        <v>11440</v>
      </c>
      <c r="F18667" t="s">
        <v>1</v>
      </c>
      <c r="G18667" t="s">
        <v>47093</v>
      </c>
      <c r="H18667" t="s">
        <v>47054</v>
      </c>
      <c r="I18667" t="s">
        <v>47111</v>
      </c>
      <c r="J18667" t="s">
        <v>47112</v>
      </c>
      <c r="K18667" t="s">
        <v>47113</v>
      </c>
      <c r="L18667">
        <v>35.35</v>
      </c>
      <c r="M18667">
        <v>107</v>
      </c>
      <c r="N18667">
        <v>0</v>
      </c>
      <c r="O18667">
        <v>107</v>
      </c>
      <c r="P18667">
        <v>0</v>
      </c>
    </row>
    <row r="18668" spans="1:16" x14ac:dyDescent="0.25">
      <c r="A18668" t="s">
        <v>41279</v>
      </c>
      <c r="B18668" t="s">
        <v>11441</v>
      </c>
      <c r="C18668" t="s">
        <v>11442</v>
      </c>
      <c r="D18668" t="s">
        <v>11439</v>
      </c>
      <c r="E18668" t="s">
        <v>11440</v>
      </c>
      <c r="F18668" t="s">
        <v>1</v>
      </c>
      <c r="G18668" t="s">
        <v>47093</v>
      </c>
      <c r="H18668" t="s">
        <v>47054</v>
      </c>
      <c r="I18668" t="s">
        <v>47111</v>
      </c>
      <c r="J18668" t="s">
        <v>47112</v>
      </c>
      <c r="K18668" t="s">
        <v>47113</v>
      </c>
      <c r="L18668">
        <v>36.229999999999997</v>
      </c>
      <c r="M18668">
        <v>110</v>
      </c>
      <c r="N18668">
        <v>0</v>
      </c>
      <c r="O18668">
        <v>110</v>
      </c>
      <c r="P18668">
        <v>0</v>
      </c>
    </row>
    <row r="18669" spans="1:16" x14ac:dyDescent="0.25">
      <c r="A18669" t="s">
        <v>41280</v>
      </c>
      <c r="B18669" t="s">
        <v>41281</v>
      </c>
      <c r="C18669" t="s">
        <v>41282</v>
      </c>
      <c r="D18669" t="s">
        <v>41283</v>
      </c>
      <c r="E18669" t="s">
        <v>41284</v>
      </c>
      <c r="F18669" t="s">
        <v>2068</v>
      </c>
      <c r="G18669" t="s">
        <v>47093</v>
      </c>
      <c r="H18669" t="s">
        <v>47054</v>
      </c>
      <c r="I18669" t="s">
        <v>47111</v>
      </c>
      <c r="J18669" t="s">
        <v>47112</v>
      </c>
      <c r="K18669" t="s">
        <v>47113</v>
      </c>
      <c r="L18669">
        <v>48.53</v>
      </c>
      <c r="M18669">
        <v>107</v>
      </c>
      <c r="N18669">
        <v>289</v>
      </c>
      <c r="O18669">
        <v>107</v>
      </c>
      <c r="P18669">
        <v>289</v>
      </c>
    </row>
    <row r="18670" spans="1:16" x14ac:dyDescent="0.25">
      <c r="A18670" t="s">
        <v>41285</v>
      </c>
      <c r="B18670" t="s">
        <v>11443</v>
      </c>
      <c r="C18670" t="s">
        <v>11444</v>
      </c>
      <c r="D18670" t="s">
        <v>11445</v>
      </c>
      <c r="E18670" t="s">
        <v>11446</v>
      </c>
      <c r="F18670" t="s">
        <v>3546</v>
      </c>
      <c r="G18670" t="s">
        <v>47093</v>
      </c>
      <c r="H18670" t="s">
        <v>47054</v>
      </c>
      <c r="I18670" t="s">
        <v>47111</v>
      </c>
      <c r="J18670" t="s">
        <v>47112</v>
      </c>
      <c r="K18670" t="s">
        <v>47113</v>
      </c>
      <c r="L18670">
        <v>39.549999999999997</v>
      </c>
      <c r="M18670">
        <v>98</v>
      </c>
      <c r="N18670">
        <v>0</v>
      </c>
      <c r="O18670">
        <v>98</v>
      </c>
      <c r="P18670">
        <v>0</v>
      </c>
    </row>
    <row r="18671" spans="1:16" x14ac:dyDescent="0.25">
      <c r="A18671" t="s">
        <v>41286</v>
      </c>
      <c r="B18671" t="s">
        <v>11447</v>
      </c>
      <c r="C18671" t="s">
        <v>11448</v>
      </c>
      <c r="D18671" t="s">
        <v>11445</v>
      </c>
      <c r="E18671" t="s">
        <v>11446</v>
      </c>
      <c r="F18671" t="s">
        <v>3546</v>
      </c>
      <c r="G18671" t="s">
        <v>47093</v>
      </c>
      <c r="H18671" t="s">
        <v>47054</v>
      </c>
      <c r="I18671" t="s">
        <v>47111</v>
      </c>
      <c r="J18671" t="s">
        <v>47112</v>
      </c>
      <c r="K18671" t="s">
        <v>47113</v>
      </c>
      <c r="L18671">
        <v>39.9</v>
      </c>
      <c r="M18671">
        <v>98</v>
      </c>
      <c r="N18671">
        <v>0</v>
      </c>
      <c r="O18671">
        <v>98</v>
      </c>
      <c r="P18671">
        <v>0</v>
      </c>
    </row>
    <row r="18672" spans="1:16" x14ac:dyDescent="0.25">
      <c r="A18672" t="s">
        <v>41287</v>
      </c>
      <c r="B18672" t="s">
        <v>11449</v>
      </c>
      <c r="C18672" t="s">
        <v>11450</v>
      </c>
      <c r="D18672" t="s">
        <v>126</v>
      </c>
      <c r="E18672" t="s">
        <v>127</v>
      </c>
      <c r="F18672" t="s">
        <v>4</v>
      </c>
      <c r="G18672" t="s">
        <v>47093</v>
      </c>
      <c r="H18672" t="s">
        <v>47054</v>
      </c>
      <c r="I18672" t="s">
        <v>47111</v>
      </c>
      <c r="J18672" t="s">
        <v>47112</v>
      </c>
      <c r="K18672" t="s">
        <v>47113</v>
      </c>
      <c r="L18672">
        <v>36.33</v>
      </c>
      <c r="M18672">
        <v>85</v>
      </c>
      <c r="N18672">
        <v>0</v>
      </c>
      <c r="O18672">
        <v>85</v>
      </c>
      <c r="P18672">
        <v>0</v>
      </c>
    </row>
    <row r="18673" spans="1:16" x14ac:dyDescent="0.25">
      <c r="A18673" t="s">
        <v>41288</v>
      </c>
      <c r="B18673" t="s">
        <v>11451</v>
      </c>
      <c r="C18673" t="s">
        <v>125</v>
      </c>
      <c r="D18673" t="s">
        <v>126</v>
      </c>
      <c r="E18673" t="s">
        <v>127</v>
      </c>
      <c r="F18673" t="s">
        <v>4</v>
      </c>
      <c r="G18673" t="s">
        <v>47093</v>
      </c>
      <c r="H18673" t="s">
        <v>47054</v>
      </c>
      <c r="I18673" t="s">
        <v>47111</v>
      </c>
      <c r="J18673" t="s">
        <v>47112</v>
      </c>
      <c r="K18673" t="s">
        <v>47113</v>
      </c>
      <c r="L18673">
        <v>42.23</v>
      </c>
      <c r="M18673">
        <v>95</v>
      </c>
      <c r="N18673">
        <v>0</v>
      </c>
      <c r="O18673">
        <v>95</v>
      </c>
      <c r="P18673">
        <v>0</v>
      </c>
    </row>
    <row r="18674" spans="1:16" x14ac:dyDescent="0.25">
      <c r="A18674" t="s">
        <v>41289</v>
      </c>
      <c r="B18674" t="s">
        <v>11452</v>
      </c>
      <c r="C18674" t="s">
        <v>11453</v>
      </c>
      <c r="D18674" t="s">
        <v>126</v>
      </c>
      <c r="E18674" t="s">
        <v>127</v>
      </c>
      <c r="F18674" t="s">
        <v>4</v>
      </c>
      <c r="G18674" t="s">
        <v>47093</v>
      </c>
      <c r="H18674" t="s">
        <v>47054</v>
      </c>
      <c r="I18674" t="s">
        <v>47111</v>
      </c>
      <c r="J18674" t="s">
        <v>47112</v>
      </c>
      <c r="K18674" t="s">
        <v>47113</v>
      </c>
      <c r="L18674">
        <v>84.2</v>
      </c>
      <c r="M18674">
        <v>168</v>
      </c>
      <c r="N18674">
        <v>0</v>
      </c>
      <c r="O18674">
        <v>168</v>
      </c>
      <c r="P18674">
        <v>0</v>
      </c>
    </row>
    <row r="18675" spans="1:16" x14ac:dyDescent="0.25">
      <c r="A18675" t="s">
        <v>41290</v>
      </c>
      <c r="B18675" t="s">
        <v>11454</v>
      </c>
      <c r="C18675" t="s">
        <v>11455</v>
      </c>
      <c r="D18675" t="s">
        <v>11456</v>
      </c>
      <c r="E18675" t="s">
        <v>11457</v>
      </c>
      <c r="F18675" t="s">
        <v>1</v>
      </c>
      <c r="G18675" t="s">
        <v>49029</v>
      </c>
      <c r="H18675" t="s">
        <v>47054</v>
      </c>
      <c r="I18675" t="s">
        <v>47111</v>
      </c>
      <c r="J18675" t="s">
        <v>47112</v>
      </c>
      <c r="K18675" t="s">
        <v>47113</v>
      </c>
      <c r="L18675">
        <v>32.79</v>
      </c>
      <c r="M18675">
        <v>81</v>
      </c>
      <c r="N18675">
        <v>0</v>
      </c>
      <c r="O18675">
        <v>81</v>
      </c>
      <c r="P18675">
        <v>0</v>
      </c>
    </row>
    <row r="18676" spans="1:16" x14ac:dyDescent="0.25">
      <c r="A18676" t="s">
        <v>41291</v>
      </c>
      <c r="B18676" t="s">
        <v>570</v>
      </c>
      <c r="C18676" t="s">
        <v>571</v>
      </c>
      <c r="D18676" t="s">
        <v>126</v>
      </c>
      <c r="E18676" t="s">
        <v>127</v>
      </c>
      <c r="F18676" t="s">
        <v>4</v>
      </c>
      <c r="G18676" t="s">
        <v>47093</v>
      </c>
      <c r="H18676" t="s">
        <v>47054</v>
      </c>
      <c r="I18676" t="s">
        <v>47111</v>
      </c>
      <c r="J18676" t="s">
        <v>47112</v>
      </c>
      <c r="K18676" t="s">
        <v>47113</v>
      </c>
      <c r="L18676">
        <v>79.72</v>
      </c>
      <c r="M18676">
        <v>168</v>
      </c>
      <c r="N18676">
        <v>0</v>
      </c>
      <c r="O18676">
        <v>168</v>
      </c>
      <c r="P18676">
        <v>0</v>
      </c>
    </row>
    <row r="18677" spans="1:16" x14ac:dyDescent="0.25">
      <c r="A18677" t="s">
        <v>41292</v>
      </c>
      <c r="B18677" t="s">
        <v>11458</v>
      </c>
      <c r="C18677" t="s">
        <v>11459</v>
      </c>
      <c r="D18677" t="s">
        <v>11460</v>
      </c>
      <c r="E18677" t="s">
        <v>11461</v>
      </c>
      <c r="F18677" t="s">
        <v>3670</v>
      </c>
      <c r="G18677" t="s">
        <v>47093</v>
      </c>
      <c r="H18677" t="s">
        <v>47054</v>
      </c>
      <c r="I18677" t="s">
        <v>47111</v>
      </c>
      <c r="J18677" t="s">
        <v>47112</v>
      </c>
      <c r="K18677" t="s">
        <v>47113</v>
      </c>
      <c r="L18677">
        <v>36.229999999999997</v>
      </c>
      <c r="M18677">
        <v>66</v>
      </c>
      <c r="N18677">
        <v>0</v>
      </c>
      <c r="O18677">
        <v>66</v>
      </c>
      <c r="P18677">
        <v>0</v>
      </c>
    </row>
    <row r="18678" spans="1:16" x14ac:dyDescent="0.25">
      <c r="A18678" t="s">
        <v>41293</v>
      </c>
      <c r="B18678" t="s">
        <v>11462</v>
      </c>
      <c r="C18678" t="s">
        <v>10003</v>
      </c>
      <c r="D18678" t="s">
        <v>11463</v>
      </c>
      <c r="E18678" t="s">
        <v>11464</v>
      </c>
      <c r="F18678" t="s">
        <v>2068</v>
      </c>
      <c r="G18678" t="s">
        <v>47093</v>
      </c>
      <c r="H18678" t="s">
        <v>47054</v>
      </c>
      <c r="I18678" t="s">
        <v>47111</v>
      </c>
      <c r="J18678" t="s">
        <v>47112</v>
      </c>
      <c r="K18678" t="s">
        <v>47113</v>
      </c>
      <c r="L18678">
        <v>38.42</v>
      </c>
      <c r="M18678">
        <v>82</v>
      </c>
      <c r="N18678">
        <v>0</v>
      </c>
      <c r="O18678">
        <v>82</v>
      </c>
      <c r="P18678">
        <v>0</v>
      </c>
    </row>
    <row r="18679" spans="1:16" x14ac:dyDescent="0.25">
      <c r="A18679" t="s">
        <v>41294</v>
      </c>
      <c r="B18679" t="s">
        <v>11465</v>
      </c>
      <c r="C18679" t="s">
        <v>11466</v>
      </c>
      <c r="D18679" t="s">
        <v>11460</v>
      </c>
      <c r="E18679" t="s">
        <v>11461</v>
      </c>
      <c r="F18679" t="s">
        <v>3670</v>
      </c>
      <c r="G18679" t="s">
        <v>47093</v>
      </c>
      <c r="H18679" t="s">
        <v>47054</v>
      </c>
      <c r="I18679" t="s">
        <v>47111</v>
      </c>
      <c r="J18679" t="s">
        <v>47112</v>
      </c>
      <c r="K18679" t="s">
        <v>47113</v>
      </c>
      <c r="L18679">
        <v>35.28</v>
      </c>
      <c r="M18679">
        <v>66</v>
      </c>
      <c r="N18679">
        <v>0</v>
      </c>
      <c r="O18679">
        <v>66</v>
      </c>
      <c r="P18679">
        <v>0</v>
      </c>
    </row>
    <row r="18680" spans="1:16" x14ac:dyDescent="0.25">
      <c r="A18680" t="s">
        <v>41295</v>
      </c>
      <c r="B18680" t="s">
        <v>11467</v>
      </c>
      <c r="C18680" t="s">
        <v>11468</v>
      </c>
      <c r="D18680" t="s">
        <v>11469</v>
      </c>
      <c r="E18680" t="s">
        <v>11470</v>
      </c>
      <c r="F18680" t="s">
        <v>1</v>
      </c>
      <c r="G18680" t="s">
        <v>49029</v>
      </c>
      <c r="H18680" t="s">
        <v>47054</v>
      </c>
      <c r="I18680" t="s">
        <v>47111</v>
      </c>
      <c r="J18680" t="s">
        <v>47112</v>
      </c>
      <c r="K18680" t="s">
        <v>47113</v>
      </c>
      <c r="L18680">
        <v>33.49</v>
      </c>
      <c r="M18680">
        <v>100</v>
      </c>
      <c r="N18680">
        <v>0</v>
      </c>
      <c r="O18680">
        <v>100</v>
      </c>
      <c r="P18680">
        <v>0</v>
      </c>
    </row>
    <row r="18681" spans="1:16" x14ac:dyDescent="0.25">
      <c r="A18681" t="s">
        <v>41296</v>
      </c>
      <c r="B18681" t="s">
        <v>11471</v>
      </c>
      <c r="C18681" t="s">
        <v>11472</v>
      </c>
      <c r="D18681" t="s">
        <v>11463</v>
      </c>
      <c r="E18681" t="s">
        <v>11464</v>
      </c>
      <c r="F18681" t="s">
        <v>1</v>
      </c>
      <c r="G18681" t="s">
        <v>49029</v>
      </c>
      <c r="H18681" t="s">
        <v>47054</v>
      </c>
      <c r="I18681" t="s">
        <v>47111</v>
      </c>
      <c r="J18681" t="s">
        <v>47112</v>
      </c>
      <c r="K18681" t="s">
        <v>47113</v>
      </c>
      <c r="L18681">
        <v>43.7</v>
      </c>
      <c r="M18681">
        <v>107</v>
      </c>
      <c r="N18681">
        <v>0</v>
      </c>
      <c r="O18681">
        <v>107</v>
      </c>
      <c r="P18681">
        <v>0</v>
      </c>
    </row>
    <row r="18682" spans="1:16" x14ac:dyDescent="0.25">
      <c r="A18682" t="s">
        <v>41297</v>
      </c>
      <c r="B18682" t="s">
        <v>11473</v>
      </c>
      <c r="C18682" t="s">
        <v>11474</v>
      </c>
      <c r="D18682" t="s">
        <v>11475</v>
      </c>
      <c r="E18682" t="s">
        <v>11476</v>
      </c>
      <c r="F18682" t="s">
        <v>2068</v>
      </c>
      <c r="G18682" t="s">
        <v>47093</v>
      </c>
      <c r="H18682" t="s">
        <v>47054</v>
      </c>
      <c r="I18682" t="s">
        <v>47111</v>
      </c>
      <c r="J18682" t="s">
        <v>47112</v>
      </c>
      <c r="K18682" t="s">
        <v>47113</v>
      </c>
      <c r="L18682">
        <v>37.33</v>
      </c>
      <c r="M18682">
        <v>92</v>
      </c>
      <c r="N18682">
        <v>0</v>
      </c>
      <c r="O18682">
        <v>92</v>
      </c>
      <c r="P18682">
        <v>0</v>
      </c>
    </row>
    <row r="18683" spans="1:16" x14ac:dyDescent="0.25">
      <c r="A18683" t="s">
        <v>41298</v>
      </c>
      <c r="B18683" t="s">
        <v>11477</v>
      </c>
      <c r="C18683" t="s">
        <v>11478</v>
      </c>
      <c r="D18683" t="s">
        <v>11479</v>
      </c>
      <c r="E18683" t="s">
        <v>11480</v>
      </c>
      <c r="F18683" t="s">
        <v>3546</v>
      </c>
      <c r="G18683" t="s">
        <v>49029</v>
      </c>
      <c r="H18683" t="s">
        <v>47054</v>
      </c>
      <c r="I18683" t="s">
        <v>47111</v>
      </c>
      <c r="J18683" t="s">
        <v>47112</v>
      </c>
      <c r="K18683" t="s">
        <v>47113</v>
      </c>
      <c r="L18683">
        <v>33.630000000000003</v>
      </c>
      <c r="M18683">
        <v>83</v>
      </c>
      <c r="N18683">
        <v>0</v>
      </c>
      <c r="O18683">
        <v>83</v>
      </c>
      <c r="P18683">
        <v>0</v>
      </c>
    </row>
    <row r="18684" spans="1:16" x14ac:dyDescent="0.25">
      <c r="A18684" t="s">
        <v>41299</v>
      </c>
      <c r="B18684" t="s">
        <v>11481</v>
      </c>
      <c r="C18684" t="s">
        <v>11482</v>
      </c>
      <c r="D18684" t="s">
        <v>11460</v>
      </c>
      <c r="E18684" t="s">
        <v>11461</v>
      </c>
      <c r="F18684" t="s">
        <v>2068</v>
      </c>
      <c r="G18684" t="s">
        <v>47093</v>
      </c>
      <c r="H18684" t="s">
        <v>47054</v>
      </c>
      <c r="I18684" t="s">
        <v>47111</v>
      </c>
      <c r="J18684" t="s">
        <v>47112</v>
      </c>
      <c r="K18684" t="s">
        <v>47113</v>
      </c>
      <c r="L18684">
        <v>34.909999999999997</v>
      </c>
      <c r="M18684">
        <v>66</v>
      </c>
      <c r="N18684">
        <v>0</v>
      </c>
      <c r="O18684">
        <v>66</v>
      </c>
      <c r="P18684">
        <v>0</v>
      </c>
    </row>
    <row r="18685" spans="1:16" x14ac:dyDescent="0.25">
      <c r="A18685" t="s">
        <v>41300</v>
      </c>
      <c r="B18685" t="s">
        <v>11483</v>
      </c>
      <c r="C18685" t="s">
        <v>11484</v>
      </c>
      <c r="D18685" t="s">
        <v>11475</v>
      </c>
      <c r="E18685" t="s">
        <v>11476</v>
      </c>
      <c r="F18685" t="s">
        <v>2068</v>
      </c>
      <c r="G18685" t="s">
        <v>47093</v>
      </c>
      <c r="H18685" t="s">
        <v>47054</v>
      </c>
      <c r="I18685" t="s">
        <v>47111</v>
      </c>
      <c r="J18685" t="s">
        <v>47112</v>
      </c>
      <c r="K18685" t="s">
        <v>47113</v>
      </c>
      <c r="L18685">
        <v>42.14</v>
      </c>
      <c r="M18685">
        <v>84</v>
      </c>
      <c r="N18685">
        <v>0</v>
      </c>
      <c r="O18685">
        <v>84</v>
      </c>
      <c r="P18685">
        <v>0</v>
      </c>
    </row>
    <row r="18686" spans="1:16" x14ac:dyDescent="0.25">
      <c r="A18686" t="s">
        <v>41301</v>
      </c>
      <c r="B18686" t="s">
        <v>11485</v>
      </c>
      <c r="C18686" t="s">
        <v>11486</v>
      </c>
      <c r="D18686" t="s">
        <v>11479</v>
      </c>
      <c r="E18686" t="s">
        <v>11480</v>
      </c>
      <c r="F18686" t="s">
        <v>3546</v>
      </c>
      <c r="G18686" t="s">
        <v>47093</v>
      </c>
      <c r="H18686" t="s">
        <v>47054</v>
      </c>
      <c r="I18686" t="s">
        <v>47111</v>
      </c>
      <c r="J18686" t="s">
        <v>47112</v>
      </c>
      <c r="K18686" t="s">
        <v>47113</v>
      </c>
      <c r="L18686">
        <v>42.22</v>
      </c>
      <c r="M18686">
        <v>95</v>
      </c>
      <c r="N18686">
        <v>0</v>
      </c>
      <c r="O18686">
        <v>95</v>
      </c>
      <c r="P18686">
        <v>0</v>
      </c>
    </row>
    <row r="18687" spans="1:16" x14ac:dyDescent="0.25">
      <c r="A18687" t="s">
        <v>41302</v>
      </c>
      <c r="B18687" t="s">
        <v>11487</v>
      </c>
      <c r="C18687" t="s">
        <v>11488</v>
      </c>
      <c r="D18687" t="s">
        <v>6329</v>
      </c>
      <c r="E18687" t="s">
        <v>6330</v>
      </c>
      <c r="F18687" t="s">
        <v>3546</v>
      </c>
      <c r="G18687" t="s">
        <v>47093</v>
      </c>
      <c r="H18687" t="s">
        <v>47054</v>
      </c>
      <c r="I18687" t="s">
        <v>47111</v>
      </c>
      <c r="J18687" t="s">
        <v>47112</v>
      </c>
      <c r="K18687" t="s">
        <v>47113</v>
      </c>
      <c r="L18687">
        <v>51.25</v>
      </c>
      <c r="M18687">
        <v>126</v>
      </c>
      <c r="N18687">
        <v>0</v>
      </c>
      <c r="O18687">
        <v>126</v>
      </c>
      <c r="P18687">
        <v>0</v>
      </c>
    </row>
    <row r="18688" spans="1:16" x14ac:dyDescent="0.25">
      <c r="A18688" t="s">
        <v>41303</v>
      </c>
      <c r="B18688" t="s">
        <v>11489</v>
      </c>
      <c r="C18688" t="s">
        <v>11490</v>
      </c>
      <c r="D18688" t="str">
        <f>"1153"</f>
        <v>1153</v>
      </c>
      <c r="E18688" t="s">
        <v>11491</v>
      </c>
      <c r="F18688" t="s">
        <v>4</v>
      </c>
      <c r="G18688" t="s">
        <v>47093</v>
      </c>
      <c r="H18688" t="s">
        <v>47054</v>
      </c>
      <c r="I18688" t="s">
        <v>47111</v>
      </c>
      <c r="J18688" t="s">
        <v>47112</v>
      </c>
      <c r="K18688" t="s">
        <v>47113</v>
      </c>
      <c r="L18688">
        <v>31.45</v>
      </c>
      <c r="M18688">
        <v>77</v>
      </c>
      <c r="N18688">
        <v>0</v>
      </c>
      <c r="O18688">
        <v>77</v>
      </c>
      <c r="P18688">
        <v>0</v>
      </c>
    </row>
    <row r="18689" spans="1:16" x14ac:dyDescent="0.25">
      <c r="A18689" t="s">
        <v>41304</v>
      </c>
      <c r="B18689" t="s">
        <v>11489</v>
      </c>
      <c r="C18689" t="s">
        <v>11490</v>
      </c>
      <c r="D18689" t="str">
        <f>"1703"</f>
        <v>1703</v>
      </c>
      <c r="E18689" t="s">
        <v>11492</v>
      </c>
      <c r="F18689" t="s">
        <v>4</v>
      </c>
      <c r="G18689" t="s">
        <v>47093</v>
      </c>
      <c r="H18689" t="s">
        <v>47054</v>
      </c>
      <c r="I18689" t="s">
        <v>47111</v>
      </c>
      <c r="J18689" t="s">
        <v>47112</v>
      </c>
      <c r="K18689" t="s">
        <v>47113</v>
      </c>
      <c r="L18689">
        <v>31.45</v>
      </c>
      <c r="M18689">
        <v>77</v>
      </c>
      <c r="N18689">
        <v>0</v>
      </c>
      <c r="O18689">
        <v>77</v>
      </c>
      <c r="P18689">
        <v>0</v>
      </c>
    </row>
    <row r="18690" spans="1:16" x14ac:dyDescent="0.25">
      <c r="A18690" t="s">
        <v>41305</v>
      </c>
      <c r="B18690" t="s">
        <v>11489</v>
      </c>
      <c r="C18690" t="s">
        <v>11490</v>
      </c>
      <c r="D18690" t="str">
        <f>"2319"</f>
        <v>2319</v>
      </c>
      <c r="E18690" t="s">
        <v>11493</v>
      </c>
      <c r="F18690" t="s">
        <v>4</v>
      </c>
      <c r="G18690" t="s">
        <v>47093</v>
      </c>
      <c r="H18690" t="s">
        <v>47054</v>
      </c>
      <c r="I18690" t="s">
        <v>47111</v>
      </c>
      <c r="J18690" t="s">
        <v>47112</v>
      </c>
      <c r="K18690" t="s">
        <v>47113</v>
      </c>
      <c r="L18690">
        <v>31.45</v>
      </c>
      <c r="M18690">
        <v>77</v>
      </c>
      <c r="N18690">
        <v>0</v>
      </c>
      <c r="O18690">
        <v>77</v>
      </c>
      <c r="P18690">
        <v>0</v>
      </c>
    </row>
    <row r="18691" spans="1:16" x14ac:dyDescent="0.25">
      <c r="A18691" t="s">
        <v>41306</v>
      </c>
      <c r="B18691" t="s">
        <v>11489</v>
      </c>
      <c r="C18691" t="s">
        <v>11490</v>
      </c>
      <c r="D18691" t="str">
        <f>"6861"</f>
        <v>6861</v>
      </c>
      <c r="E18691" t="s">
        <v>11494</v>
      </c>
      <c r="F18691" t="s">
        <v>4</v>
      </c>
      <c r="G18691" t="s">
        <v>47093</v>
      </c>
      <c r="H18691" t="s">
        <v>47054</v>
      </c>
      <c r="I18691" t="s">
        <v>47111</v>
      </c>
      <c r="J18691" t="s">
        <v>47112</v>
      </c>
      <c r="K18691" t="s">
        <v>47113</v>
      </c>
      <c r="L18691">
        <v>31.45</v>
      </c>
      <c r="M18691">
        <v>77</v>
      </c>
      <c r="N18691">
        <v>0</v>
      </c>
      <c r="O18691">
        <v>77</v>
      </c>
      <c r="P18691">
        <v>0</v>
      </c>
    </row>
    <row r="18692" spans="1:16" x14ac:dyDescent="0.25">
      <c r="A18692" t="s">
        <v>41307</v>
      </c>
      <c r="B18692" t="s">
        <v>11489</v>
      </c>
      <c r="C18692" t="s">
        <v>11490</v>
      </c>
      <c r="D18692" t="str">
        <f>"7023"</f>
        <v>7023</v>
      </c>
      <c r="E18692" t="s">
        <v>11495</v>
      </c>
      <c r="F18692" t="s">
        <v>4</v>
      </c>
      <c r="G18692" t="s">
        <v>47093</v>
      </c>
      <c r="H18692" t="s">
        <v>47054</v>
      </c>
      <c r="I18692" t="s">
        <v>47111</v>
      </c>
      <c r="J18692" t="s">
        <v>47112</v>
      </c>
      <c r="K18692" t="s">
        <v>47113</v>
      </c>
      <c r="L18692">
        <v>31.45</v>
      </c>
      <c r="M18692">
        <v>77</v>
      </c>
      <c r="N18692">
        <v>0</v>
      </c>
      <c r="O18692">
        <v>77</v>
      </c>
      <c r="P18692">
        <v>0</v>
      </c>
    </row>
    <row r="18693" spans="1:16" x14ac:dyDescent="0.25">
      <c r="A18693" t="s">
        <v>41308</v>
      </c>
      <c r="B18693" t="s">
        <v>11496</v>
      </c>
      <c r="C18693" t="s">
        <v>11497</v>
      </c>
      <c r="D18693" t="s">
        <v>130</v>
      </c>
      <c r="E18693" t="s">
        <v>131</v>
      </c>
      <c r="F18693" t="s">
        <v>4</v>
      </c>
      <c r="G18693" t="s">
        <v>47093</v>
      </c>
      <c r="H18693" t="s">
        <v>47054</v>
      </c>
      <c r="I18693" t="s">
        <v>47111</v>
      </c>
      <c r="J18693" t="s">
        <v>47112</v>
      </c>
      <c r="K18693" t="s">
        <v>47113</v>
      </c>
      <c r="L18693">
        <v>49.3</v>
      </c>
      <c r="M18693">
        <v>99</v>
      </c>
      <c r="N18693">
        <v>0</v>
      </c>
      <c r="O18693">
        <v>99</v>
      </c>
      <c r="P18693">
        <v>0</v>
      </c>
    </row>
    <row r="18694" spans="1:16" x14ac:dyDescent="0.25">
      <c r="A18694" t="s">
        <v>41309</v>
      </c>
      <c r="B18694" t="s">
        <v>11498</v>
      </c>
      <c r="C18694" t="s">
        <v>11499</v>
      </c>
      <c r="D18694" t="s">
        <v>130</v>
      </c>
      <c r="E18694" t="s">
        <v>131</v>
      </c>
      <c r="F18694" t="s">
        <v>4</v>
      </c>
      <c r="G18694" t="s">
        <v>47093</v>
      </c>
      <c r="H18694" t="s">
        <v>47054</v>
      </c>
      <c r="I18694" t="s">
        <v>47111</v>
      </c>
      <c r="J18694" t="s">
        <v>47112</v>
      </c>
      <c r="K18694" t="s">
        <v>47113</v>
      </c>
      <c r="L18694">
        <v>45.79</v>
      </c>
      <c r="M18694">
        <v>92</v>
      </c>
      <c r="N18694">
        <v>0</v>
      </c>
      <c r="O18694">
        <v>92</v>
      </c>
      <c r="P18694">
        <v>0</v>
      </c>
    </row>
    <row r="18695" spans="1:16" x14ac:dyDescent="0.25">
      <c r="A18695" t="s">
        <v>41310</v>
      </c>
      <c r="B18695" t="s">
        <v>11500</v>
      </c>
      <c r="C18695" t="s">
        <v>11501</v>
      </c>
      <c r="D18695" t="s">
        <v>130</v>
      </c>
      <c r="E18695" t="s">
        <v>131</v>
      </c>
      <c r="F18695" t="s">
        <v>4</v>
      </c>
      <c r="G18695" t="s">
        <v>47093</v>
      </c>
      <c r="H18695" t="s">
        <v>47054</v>
      </c>
      <c r="I18695" t="s">
        <v>47111</v>
      </c>
      <c r="J18695" t="s">
        <v>47112</v>
      </c>
      <c r="K18695" t="s">
        <v>47113</v>
      </c>
      <c r="L18695">
        <v>45.79</v>
      </c>
      <c r="M18695">
        <v>92</v>
      </c>
      <c r="N18695">
        <v>0</v>
      </c>
      <c r="O18695">
        <v>92</v>
      </c>
      <c r="P18695">
        <v>0</v>
      </c>
    </row>
    <row r="18696" spans="1:16" x14ac:dyDescent="0.25">
      <c r="A18696" t="s">
        <v>41311</v>
      </c>
      <c r="B18696" t="s">
        <v>41312</v>
      </c>
      <c r="C18696" t="s">
        <v>41313</v>
      </c>
      <c r="D18696" t="s">
        <v>41314</v>
      </c>
      <c r="E18696" t="s">
        <v>41315</v>
      </c>
      <c r="F18696" t="s">
        <v>0</v>
      </c>
      <c r="G18696" t="s">
        <v>47093</v>
      </c>
      <c r="H18696" t="s">
        <v>47054</v>
      </c>
      <c r="I18696" t="s">
        <v>47111</v>
      </c>
      <c r="J18696" t="s">
        <v>47112</v>
      </c>
      <c r="K18696" t="s">
        <v>47113</v>
      </c>
      <c r="L18696">
        <v>42.41</v>
      </c>
      <c r="M18696">
        <v>107</v>
      </c>
      <c r="N18696">
        <v>0</v>
      </c>
      <c r="O18696">
        <v>107</v>
      </c>
      <c r="P18696">
        <v>0</v>
      </c>
    </row>
    <row r="18697" spans="1:16" x14ac:dyDescent="0.25">
      <c r="A18697" t="s">
        <v>41316</v>
      </c>
      <c r="B18697" t="s">
        <v>11502</v>
      </c>
      <c r="C18697" t="s">
        <v>11503</v>
      </c>
      <c r="D18697" t="s">
        <v>130</v>
      </c>
      <c r="E18697" t="s">
        <v>131</v>
      </c>
      <c r="F18697" t="s">
        <v>4</v>
      </c>
      <c r="G18697" t="s">
        <v>47093</v>
      </c>
      <c r="H18697" t="s">
        <v>47054</v>
      </c>
      <c r="I18697" t="s">
        <v>47111</v>
      </c>
      <c r="J18697" t="s">
        <v>47112</v>
      </c>
      <c r="K18697" t="s">
        <v>47113</v>
      </c>
      <c r="L18697">
        <v>45.79</v>
      </c>
      <c r="M18697">
        <v>92</v>
      </c>
      <c r="N18697">
        <v>0</v>
      </c>
      <c r="O18697">
        <v>92</v>
      </c>
      <c r="P18697">
        <v>0</v>
      </c>
    </row>
    <row r="18698" spans="1:16" x14ac:dyDescent="0.25">
      <c r="A18698" t="s">
        <v>41317</v>
      </c>
      <c r="B18698" t="s">
        <v>11504</v>
      </c>
      <c r="C18698" t="s">
        <v>11459</v>
      </c>
      <c r="D18698" t="s">
        <v>11505</v>
      </c>
      <c r="E18698" t="s">
        <v>11506</v>
      </c>
      <c r="F18698" t="s">
        <v>3670</v>
      </c>
      <c r="G18698" t="s">
        <v>47093</v>
      </c>
      <c r="H18698" t="s">
        <v>47054</v>
      </c>
      <c r="I18698" t="s">
        <v>47111</v>
      </c>
      <c r="J18698" t="s">
        <v>47112</v>
      </c>
      <c r="K18698" t="s">
        <v>47113</v>
      </c>
      <c r="L18698">
        <v>39.590000000000003</v>
      </c>
      <c r="M18698">
        <v>74</v>
      </c>
      <c r="N18698">
        <v>0</v>
      </c>
      <c r="O18698">
        <v>74</v>
      </c>
      <c r="P18698">
        <v>0</v>
      </c>
    </row>
    <row r="18699" spans="1:16" x14ac:dyDescent="0.25">
      <c r="A18699" t="s">
        <v>41318</v>
      </c>
      <c r="B18699" t="s">
        <v>11507</v>
      </c>
      <c r="C18699" t="s">
        <v>11466</v>
      </c>
      <c r="D18699" t="s">
        <v>11505</v>
      </c>
      <c r="E18699" t="s">
        <v>11506</v>
      </c>
      <c r="F18699" t="s">
        <v>3670</v>
      </c>
      <c r="G18699" t="s">
        <v>47093</v>
      </c>
      <c r="H18699" t="s">
        <v>47054</v>
      </c>
      <c r="I18699" t="s">
        <v>47111</v>
      </c>
      <c r="J18699" t="s">
        <v>47112</v>
      </c>
      <c r="K18699" t="s">
        <v>47113</v>
      </c>
      <c r="L18699">
        <v>39.6</v>
      </c>
      <c r="M18699">
        <v>74</v>
      </c>
      <c r="N18699">
        <v>0</v>
      </c>
      <c r="O18699">
        <v>74</v>
      </c>
      <c r="P18699">
        <v>0</v>
      </c>
    </row>
    <row r="18700" spans="1:16" x14ac:dyDescent="0.25">
      <c r="A18700" t="s">
        <v>41319</v>
      </c>
      <c r="B18700" t="s">
        <v>11508</v>
      </c>
      <c r="C18700" t="s">
        <v>11509</v>
      </c>
      <c r="D18700" t="s">
        <v>11510</v>
      </c>
      <c r="E18700" t="s">
        <v>11511</v>
      </c>
      <c r="F18700" t="s">
        <v>1</v>
      </c>
      <c r="G18700" t="s">
        <v>47093</v>
      </c>
      <c r="H18700" t="s">
        <v>47054</v>
      </c>
      <c r="I18700" t="s">
        <v>47111</v>
      </c>
      <c r="J18700" t="s">
        <v>47112</v>
      </c>
      <c r="K18700" t="s">
        <v>47113</v>
      </c>
      <c r="L18700">
        <v>44.41</v>
      </c>
      <c r="M18700">
        <v>135</v>
      </c>
      <c r="N18700">
        <v>0</v>
      </c>
      <c r="O18700">
        <v>135</v>
      </c>
      <c r="P18700">
        <v>0</v>
      </c>
    </row>
    <row r="18701" spans="1:16" x14ac:dyDescent="0.25">
      <c r="A18701" t="s">
        <v>41320</v>
      </c>
      <c r="B18701" t="s">
        <v>11512</v>
      </c>
      <c r="C18701" t="s">
        <v>11513</v>
      </c>
      <c r="D18701" t="s">
        <v>11514</v>
      </c>
      <c r="E18701" t="s">
        <v>11515</v>
      </c>
      <c r="F18701" t="s">
        <v>1</v>
      </c>
      <c r="G18701" t="s">
        <v>47093</v>
      </c>
      <c r="H18701" t="s">
        <v>47054</v>
      </c>
      <c r="I18701" t="s">
        <v>47111</v>
      </c>
      <c r="J18701" t="s">
        <v>47112</v>
      </c>
      <c r="K18701" t="s">
        <v>47113</v>
      </c>
      <c r="L18701">
        <v>34.200000000000003</v>
      </c>
      <c r="M18701">
        <v>102</v>
      </c>
      <c r="N18701">
        <v>0</v>
      </c>
      <c r="O18701">
        <v>102</v>
      </c>
      <c r="P18701">
        <v>0</v>
      </c>
    </row>
    <row r="18702" spans="1:16" x14ac:dyDescent="0.25">
      <c r="A18702" t="s">
        <v>41321</v>
      </c>
      <c r="B18702" t="s">
        <v>11516</v>
      </c>
      <c r="C18702" t="s">
        <v>11517</v>
      </c>
      <c r="D18702" t="s">
        <v>11518</v>
      </c>
      <c r="E18702" t="s">
        <v>11519</v>
      </c>
      <c r="F18702" t="s">
        <v>1</v>
      </c>
      <c r="G18702" t="s">
        <v>47093</v>
      </c>
      <c r="H18702" t="s">
        <v>47054</v>
      </c>
      <c r="I18702" t="s">
        <v>47111</v>
      </c>
      <c r="J18702" t="s">
        <v>47112</v>
      </c>
      <c r="K18702" t="s">
        <v>47113</v>
      </c>
      <c r="L18702">
        <v>42.11</v>
      </c>
      <c r="M18702">
        <v>128</v>
      </c>
      <c r="N18702">
        <v>0</v>
      </c>
      <c r="O18702">
        <v>128</v>
      </c>
      <c r="P18702">
        <v>0</v>
      </c>
    </row>
    <row r="18703" spans="1:16" x14ac:dyDescent="0.25">
      <c r="A18703" t="s">
        <v>41322</v>
      </c>
      <c r="B18703" t="s">
        <v>11520</v>
      </c>
      <c r="C18703" t="s">
        <v>11521</v>
      </c>
      <c r="D18703" t="s">
        <v>11522</v>
      </c>
      <c r="E18703" t="s">
        <v>11523</v>
      </c>
      <c r="F18703" t="s">
        <v>1</v>
      </c>
      <c r="G18703" t="s">
        <v>47093</v>
      </c>
      <c r="H18703" t="s">
        <v>47054</v>
      </c>
      <c r="I18703" t="s">
        <v>47111</v>
      </c>
      <c r="J18703" t="s">
        <v>47112</v>
      </c>
      <c r="K18703" t="s">
        <v>47113</v>
      </c>
      <c r="L18703">
        <v>56.1</v>
      </c>
      <c r="M18703">
        <v>167</v>
      </c>
      <c r="N18703">
        <v>0</v>
      </c>
      <c r="O18703">
        <v>167</v>
      </c>
      <c r="P18703">
        <v>0</v>
      </c>
    </row>
    <row r="18704" spans="1:16" x14ac:dyDescent="0.25">
      <c r="A18704" t="s">
        <v>41323</v>
      </c>
      <c r="B18704" t="s">
        <v>11524</v>
      </c>
      <c r="C18704" t="s">
        <v>11525</v>
      </c>
      <c r="D18704" t="s">
        <v>11514</v>
      </c>
      <c r="E18704" t="s">
        <v>11515</v>
      </c>
      <c r="F18704" t="s">
        <v>1</v>
      </c>
      <c r="G18704" t="s">
        <v>49029</v>
      </c>
      <c r="H18704" t="s">
        <v>47054</v>
      </c>
      <c r="I18704" t="s">
        <v>47111</v>
      </c>
      <c r="J18704" t="s">
        <v>47112</v>
      </c>
      <c r="K18704" t="s">
        <v>47113</v>
      </c>
      <c r="L18704">
        <v>58.3</v>
      </c>
      <c r="M18704">
        <v>143</v>
      </c>
      <c r="N18704">
        <v>0</v>
      </c>
      <c r="O18704">
        <v>143</v>
      </c>
      <c r="P18704">
        <v>0</v>
      </c>
    </row>
    <row r="18705" spans="1:16" x14ac:dyDescent="0.25">
      <c r="A18705" t="s">
        <v>41324</v>
      </c>
      <c r="B18705" t="s">
        <v>11526</v>
      </c>
      <c r="C18705" t="s">
        <v>11527</v>
      </c>
      <c r="D18705" t="s">
        <v>11510</v>
      </c>
      <c r="E18705" t="s">
        <v>11511</v>
      </c>
      <c r="F18705" t="s">
        <v>1</v>
      </c>
      <c r="G18705" t="s">
        <v>47093</v>
      </c>
      <c r="H18705" t="s">
        <v>47054</v>
      </c>
      <c r="I18705" t="s">
        <v>47111</v>
      </c>
      <c r="J18705" t="s">
        <v>47112</v>
      </c>
      <c r="K18705" t="s">
        <v>47113</v>
      </c>
      <c r="L18705">
        <v>44.41</v>
      </c>
      <c r="M18705">
        <v>135</v>
      </c>
      <c r="N18705">
        <v>0</v>
      </c>
      <c r="O18705">
        <v>135</v>
      </c>
      <c r="P18705">
        <v>0</v>
      </c>
    </row>
    <row r="18706" spans="1:16" x14ac:dyDescent="0.25">
      <c r="A18706" t="s">
        <v>41325</v>
      </c>
      <c r="B18706" t="s">
        <v>11528</v>
      </c>
      <c r="C18706" t="s">
        <v>11529</v>
      </c>
      <c r="D18706" t="s">
        <v>11530</v>
      </c>
      <c r="E18706" t="s">
        <v>11531</v>
      </c>
      <c r="F18706" t="s">
        <v>1</v>
      </c>
      <c r="G18706" t="s">
        <v>47093</v>
      </c>
      <c r="H18706" t="s">
        <v>47054</v>
      </c>
      <c r="I18706" t="s">
        <v>47111</v>
      </c>
      <c r="J18706" t="s">
        <v>47112</v>
      </c>
      <c r="K18706" t="s">
        <v>47113</v>
      </c>
      <c r="L18706">
        <v>34.18</v>
      </c>
      <c r="M18706">
        <v>104</v>
      </c>
      <c r="N18706">
        <v>0</v>
      </c>
      <c r="O18706">
        <v>104</v>
      </c>
      <c r="P18706">
        <v>0</v>
      </c>
    </row>
    <row r="18707" spans="1:16" x14ac:dyDescent="0.25">
      <c r="A18707" t="s">
        <v>41326</v>
      </c>
      <c r="B18707" t="s">
        <v>11532</v>
      </c>
      <c r="C18707" t="s">
        <v>11533</v>
      </c>
      <c r="D18707" t="s">
        <v>11534</v>
      </c>
      <c r="E18707" t="s">
        <v>11535</v>
      </c>
      <c r="F18707" t="s">
        <v>2068</v>
      </c>
      <c r="G18707" t="s">
        <v>47093</v>
      </c>
      <c r="H18707" t="s">
        <v>47054</v>
      </c>
      <c r="I18707" t="s">
        <v>47111</v>
      </c>
      <c r="J18707" t="s">
        <v>47112</v>
      </c>
      <c r="K18707" t="s">
        <v>47113</v>
      </c>
      <c r="L18707">
        <v>42.32</v>
      </c>
      <c r="M18707">
        <v>118</v>
      </c>
      <c r="N18707">
        <v>0</v>
      </c>
      <c r="O18707">
        <v>118</v>
      </c>
      <c r="P18707">
        <v>0</v>
      </c>
    </row>
    <row r="18708" spans="1:16" x14ac:dyDescent="0.25">
      <c r="A18708" t="s">
        <v>41327</v>
      </c>
      <c r="B18708" t="s">
        <v>11536</v>
      </c>
      <c r="C18708" t="s">
        <v>11537</v>
      </c>
      <c r="D18708" t="s">
        <v>11538</v>
      </c>
      <c r="E18708" t="s">
        <v>11539</v>
      </c>
      <c r="F18708" t="s">
        <v>2068</v>
      </c>
      <c r="G18708" t="s">
        <v>47093</v>
      </c>
      <c r="H18708" t="s">
        <v>47054</v>
      </c>
      <c r="I18708" t="s">
        <v>47111</v>
      </c>
      <c r="J18708" t="s">
        <v>47112</v>
      </c>
      <c r="K18708" t="s">
        <v>47113</v>
      </c>
      <c r="L18708">
        <v>47.19</v>
      </c>
      <c r="M18708">
        <v>95</v>
      </c>
      <c r="N18708">
        <v>0</v>
      </c>
      <c r="O18708">
        <v>95</v>
      </c>
      <c r="P18708">
        <v>0</v>
      </c>
    </row>
    <row r="18709" spans="1:16" x14ac:dyDescent="0.25">
      <c r="A18709" t="s">
        <v>41328</v>
      </c>
      <c r="B18709" t="s">
        <v>11540</v>
      </c>
      <c r="C18709" t="s">
        <v>11541</v>
      </c>
      <c r="D18709" t="s">
        <v>11514</v>
      </c>
      <c r="E18709" t="s">
        <v>11515</v>
      </c>
      <c r="F18709" t="s">
        <v>1</v>
      </c>
      <c r="G18709" t="s">
        <v>47093</v>
      </c>
      <c r="H18709" t="s">
        <v>47054</v>
      </c>
      <c r="I18709" t="s">
        <v>47111</v>
      </c>
      <c r="J18709" t="s">
        <v>47112</v>
      </c>
      <c r="K18709" t="s">
        <v>47113</v>
      </c>
      <c r="L18709">
        <v>36.76</v>
      </c>
      <c r="M18709">
        <v>102</v>
      </c>
      <c r="N18709">
        <v>0</v>
      </c>
      <c r="O18709">
        <v>102</v>
      </c>
      <c r="P18709">
        <v>0</v>
      </c>
    </row>
    <row r="18710" spans="1:16" x14ac:dyDescent="0.25">
      <c r="A18710" t="s">
        <v>41329</v>
      </c>
      <c r="B18710" t="s">
        <v>11542</v>
      </c>
      <c r="C18710" t="s">
        <v>11543</v>
      </c>
      <c r="D18710" t="s">
        <v>11522</v>
      </c>
      <c r="E18710" t="s">
        <v>11523</v>
      </c>
      <c r="F18710" t="s">
        <v>1</v>
      </c>
      <c r="G18710" t="s">
        <v>47093</v>
      </c>
      <c r="H18710" t="s">
        <v>47054</v>
      </c>
      <c r="I18710" t="s">
        <v>47111</v>
      </c>
      <c r="J18710" t="s">
        <v>47112</v>
      </c>
      <c r="K18710" t="s">
        <v>47113</v>
      </c>
      <c r="L18710">
        <v>56.1</v>
      </c>
      <c r="M18710">
        <v>167</v>
      </c>
      <c r="N18710">
        <v>0</v>
      </c>
      <c r="O18710">
        <v>167</v>
      </c>
      <c r="P18710">
        <v>0</v>
      </c>
    </row>
    <row r="18711" spans="1:16" x14ac:dyDescent="0.25">
      <c r="A18711" t="s">
        <v>41330</v>
      </c>
      <c r="B18711" t="s">
        <v>11544</v>
      </c>
      <c r="C18711" t="s">
        <v>11545</v>
      </c>
      <c r="D18711" t="s">
        <v>11546</v>
      </c>
      <c r="E18711" t="s">
        <v>11547</v>
      </c>
      <c r="F18711" t="s">
        <v>2068</v>
      </c>
      <c r="G18711" t="s">
        <v>47093</v>
      </c>
      <c r="H18711" t="s">
        <v>47054</v>
      </c>
      <c r="I18711" t="s">
        <v>47111</v>
      </c>
      <c r="J18711" t="s">
        <v>47112</v>
      </c>
      <c r="K18711" t="s">
        <v>47113</v>
      </c>
      <c r="L18711">
        <v>46.29</v>
      </c>
      <c r="M18711">
        <v>70</v>
      </c>
      <c r="N18711">
        <v>0</v>
      </c>
      <c r="O18711">
        <v>70</v>
      </c>
      <c r="P18711">
        <v>0</v>
      </c>
    </row>
    <row r="18712" spans="1:16" x14ac:dyDescent="0.25">
      <c r="A18712" t="s">
        <v>41331</v>
      </c>
      <c r="B18712" t="s">
        <v>11548</v>
      </c>
      <c r="C18712" t="s">
        <v>11549</v>
      </c>
      <c r="D18712" t="s">
        <v>11505</v>
      </c>
      <c r="E18712" t="s">
        <v>11506</v>
      </c>
      <c r="F18712" t="s">
        <v>2068</v>
      </c>
      <c r="G18712" t="s">
        <v>47093</v>
      </c>
      <c r="H18712" t="s">
        <v>47054</v>
      </c>
      <c r="I18712" t="s">
        <v>47111</v>
      </c>
      <c r="J18712" t="s">
        <v>47112</v>
      </c>
      <c r="K18712" t="s">
        <v>47113</v>
      </c>
      <c r="L18712">
        <v>43.04</v>
      </c>
      <c r="M18712">
        <v>97</v>
      </c>
      <c r="N18712">
        <v>0</v>
      </c>
      <c r="O18712">
        <v>97</v>
      </c>
      <c r="P18712">
        <v>0</v>
      </c>
    </row>
    <row r="18713" spans="1:16" x14ac:dyDescent="0.25">
      <c r="A18713" t="s">
        <v>41332</v>
      </c>
      <c r="B18713" t="s">
        <v>11550</v>
      </c>
      <c r="C18713" t="s">
        <v>21608</v>
      </c>
      <c r="D18713" t="s">
        <v>11546</v>
      </c>
      <c r="E18713" t="s">
        <v>11547</v>
      </c>
      <c r="F18713" t="s">
        <v>2068</v>
      </c>
      <c r="G18713" t="s">
        <v>47093</v>
      </c>
      <c r="H18713" t="s">
        <v>47054</v>
      </c>
      <c r="I18713" t="s">
        <v>47111</v>
      </c>
      <c r="J18713" t="s">
        <v>47112</v>
      </c>
      <c r="K18713" t="s">
        <v>47113</v>
      </c>
      <c r="L18713">
        <v>46.65</v>
      </c>
      <c r="M18713">
        <v>70</v>
      </c>
      <c r="N18713">
        <v>0</v>
      </c>
      <c r="O18713">
        <v>70</v>
      </c>
      <c r="P18713">
        <v>0</v>
      </c>
    </row>
    <row r="18714" spans="1:16" x14ac:dyDescent="0.25">
      <c r="A18714" t="s">
        <v>41333</v>
      </c>
      <c r="B18714" t="s">
        <v>11550</v>
      </c>
      <c r="C18714" t="s">
        <v>21608</v>
      </c>
      <c r="D18714" t="s">
        <v>11551</v>
      </c>
      <c r="E18714" t="s">
        <v>11552</v>
      </c>
      <c r="F18714" t="s">
        <v>2068</v>
      </c>
      <c r="G18714" t="s">
        <v>47093</v>
      </c>
      <c r="H18714" t="s">
        <v>47054</v>
      </c>
      <c r="I18714" t="s">
        <v>47111</v>
      </c>
      <c r="J18714" t="s">
        <v>47112</v>
      </c>
      <c r="K18714" t="s">
        <v>47113</v>
      </c>
      <c r="L18714">
        <v>45.61</v>
      </c>
      <c r="M18714">
        <v>92</v>
      </c>
      <c r="N18714">
        <v>0</v>
      </c>
      <c r="O18714">
        <v>92</v>
      </c>
      <c r="P18714">
        <v>0</v>
      </c>
    </row>
    <row r="18715" spans="1:16" x14ac:dyDescent="0.25">
      <c r="A18715" t="s">
        <v>41334</v>
      </c>
      <c r="B18715" t="s">
        <v>11553</v>
      </c>
      <c r="C18715" t="s">
        <v>18440</v>
      </c>
      <c r="D18715" t="s">
        <v>11505</v>
      </c>
      <c r="E18715" t="s">
        <v>11506</v>
      </c>
      <c r="F18715" t="s">
        <v>3670</v>
      </c>
      <c r="G18715" t="s">
        <v>47093</v>
      </c>
      <c r="H18715" t="s">
        <v>47054</v>
      </c>
      <c r="I18715" t="s">
        <v>47111</v>
      </c>
      <c r="J18715" t="s">
        <v>47112</v>
      </c>
      <c r="K18715" t="s">
        <v>47113</v>
      </c>
      <c r="L18715">
        <v>39.409999999999997</v>
      </c>
      <c r="M18715">
        <v>74</v>
      </c>
      <c r="N18715">
        <v>0</v>
      </c>
      <c r="O18715">
        <v>74</v>
      </c>
      <c r="P18715">
        <v>0</v>
      </c>
    </row>
    <row r="18716" spans="1:16" x14ac:dyDescent="0.25">
      <c r="A18716" t="s">
        <v>41335</v>
      </c>
      <c r="B18716" t="s">
        <v>14339</v>
      </c>
      <c r="C18716" t="s">
        <v>16368</v>
      </c>
      <c r="D18716" t="s">
        <v>11505</v>
      </c>
      <c r="E18716" t="s">
        <v>11506</v>
      </c>
      <c r="F18716" t="s">
        <v>3558</v>
      </c>
      <c r="G18716" t="s">
        <v>47093</v>
      </c>
      <c r="H18716" t="s">
        <v>47054</v>
      </c>
      <c r="I18716" t="s">
        <v>47111</v>
      </c>
      <c r="J18716" t="s">
        <v>47112</v>
      </c>
      <c r="K18716" t="s">
        <v>47113</v>
      </c>
      <c r="L18716">
        <v>40.43</v>
      </c>
      <c r="M18716">
        <v>74</v>
      </c>
      <c r="N18716">
        <v>0</v>
      </c>
      <c r="O18716">
        <v>74</v>
      </c>
      <c r="P18716">
        <v>0</v>
      </c>
    </row>
    <row r="18717" spans="1:16" x14ac:dyDescent="0.25">
      <c r="A18717" t="s">
        <v>41336</v>
      </c>
      <c r="B18717" t="s">
        <v>11554</v>
      </c>
      <c r="C18717" t="s">
        <v>11555</v>
      </c>
      <c r="D18717" t="s">
        <v>130</v>
      </c>
      <c r="E18717" t="s">
        <v>131</v>
      </c>
      <c r="F18717" t="s">
        <v>2068</v>
      </c>
      <c r="G18717" t="s">
        <v>47093</v>
      </c>
      <c r="H18717" t="s">
        <v>47054</v>
      </c>
      <c r="I18717" t="s">
        <v>47111</v>
      </c>
      <c r="J18717" t="s">
        <v>47112</v>
      </c>
      <c r="K18717" t="s">
        <v>47113</v>
      </c>
      <c r="L18717">
        <v>41.64</v>
      </c>
      <c r="M18717">
        <v>84</v>
      </c>
      <c r="N18717">
        <v>0</v>
      </c>
      <c r="O18717">
        <v>84</v>
      </c>
      <c r="P18717">
        <v>0</v>
      </c>
    </row>
    <row r="18718" spans="1:16" x14ac:dyDescent="0.25">
      <c r="A18718" t="s">
        <v>41337</v>
      </c>
      <c r="B18718" t="s">
        <v>11556</v>
      </c>
      <c r="C18718" t="s">
        <v>11557</v>
      </c>
      <c r="D18718" t="s">
        <v>11505</v>
      </c>
      <c r="E18718" t="s">
        <v>11506</v>
      </c>
      <c r="F18718" t="s">
        <v>2068</v>
      </c>
      <c r="G18718" t="s">
        <v>47093</v>
      </c>
      <c r="H18718" t="s">
        <v>47054</v>
      </c>
      <c r="I18718" t="s">
        <v>47111</v>
      </c>
      <c r="J18718" t="s">
        <v>47112</v>
      </c>
      <c r="K18718" t="s">
        <v>47113</v>
      </c>
      <c r="L18718">
        <v>42.05</v>
      </c>
      <c r="M18718">
        <v>95</v>
      </c>
      <c r="N18718">
        <v>0</v>
      </c>
      <c r="O18718">
        <v>95</v>
      </c>
      <c r="P18718">
        <v>0</v>
      </c>
    </row>
    <row r="18719" spans="1:16" x14ac:dyDescent="0.25">
      <c r="A18719" t="s">
        <v>41338</v>
      </c>
      <c r="B18719" t="s">
        <v>11558</v>
      </c>
      <c r="C18719" t="s">
        <v>11268</v>
      </c>
      <c r="D18719" t="s">
        <v>11505</v>
      </c>
      <c r="E18719" t="s">
        <v>11506</v>
      </c>
      <c r="F18719" t="s">
        <v>3670</v>
      </c>
      <c r="G18719" t="s">
        <v>47093</v>
      </c>
      <c r="H18719" t="s">
        <v>47054</v>
      </c>
      <c r="I18719" t="s">
        <v>47111</v>
      </c>
      <c r="J18719" t="s">
        <v>47112</v>
      </c>
      <c r="K18719" t="s">
        <v>47113</v>
      </c>
      <c r="L18719">
        <v>42.43</v>
      </c>
      <c r="M18719">
        <v>74</v>
      </c>
      <c r="N18719">
        <v>0</v>
      </c>
      <c r="O18719">
        <v>74</v>
      </c>
      <c r="P18719">
        <v>0</v>
      </c>
    </row>
    <row r="18720" spans="1:16" x14ac:dyDescent="0.25">
      <c r="A18720" t="s">
        <v>41339</v>
      </c>
      <c r="B18720" t="s">
        <v>11559</v>
      </c>
      <c r="C18720" t="s">
        <v>11560</v>
      </c>
      <c r="D18720" t="s">
        <v>11546</v>
      </c>
      <c r="E18720" t="s">
        <v>11547</v>
      </c>
      <c r="F18720" t="s">
        <v>3670</v>
      </c>
      <c r="G18720" t="s">
        <v>47093</v>
      </c>
      <c r="H18720" t="s">
        <v>47054</v>
      </c>
      <c r="I18720" t="s">
        <v>47111</v>
      </c>
      <c r="J18720" t="s">
        <v>47112</v>
      </c>
      <c r="K18720" t="s">
        <v>47113</v>
      </c>
      <c r="L18720">
        <v>43.41</v>
      </c>
      <c r="M18720">
        <v>70</v>
      </c>
      <c r="N18720">
        <v>0</v>
      </c>
      <c r="O18720">
        <v>70</v>
      </c>
      <c r="P18720">
        <v>0</v>
      </c>
    </row>
    <row r="18721" spans="1:16" x14ac:dyDescent="0.25">
      <c r="A18721" t="s">
        <v>41340</v>
      </c>
      <c r="B18721" t="s">
        <v>11561</v>
      </c>
      <c r="C18721" t="s">
        <v>11265</v>
      </c>
      <c r="D18721" t="s">
        <v>11546</v>
      </c>
      <c r="E18721" t="s">
        <v>11547</v>
      </c>
      <c r="F18721" t="s">
        <v>3670</v>
      </c>
      <c r="G18721" t="s">
        <v>47093</v>
      </c>
      <c r="H18721" t="s">
        <v>47054</v>
      </c>
      <c r="I18721" t="s">
        <v>47111</v>
      </c>
      <c r="J18721" t="s">
        <v>47112</v>
      </c>
      <c r="K18721" t="s">
        <v>47113</v>
      </c>
      <c r="L18721">
        <v>42.8</v>
      </c>
      <c r="M18721">
        <v>70</v>
      </c>
      <c r="N18721">
        <v>0</v>
      </c>
      <c r="O18721">
        <v>70</v>
      </c>
      <c r="P18721">
        <v>0</v>
      </c>
    </row>
    <row r="18722" spans="1:16" x14ac:dyDescent="0.25">
      <c r="A18722" t="s">
        <v>41341</v>
      </c>
      <c r="B18722" t="s">
        <v>11562</v>
      </c>
      <c r="C18722" t="s">
        <v>11563</v>
      </c>
      <c r="D18722" t="s">
        <v>11564</v>
      </c>
      <c r="E18722" t="s">
        <v>11565</v>
      </c>
      <c r="F18722" t="s">
        <v>2068</v>
      </c>
      <c r="G18722" t="s">
        <v>47093</v>
      </c>
      <c r="H18722" t="s">
        <v>47054</v>
      </c>
      <c r="I18722" t="s">
        <v>47111</v>
      </c>
      <c r="J18722" t="s">
        <v>47112</v>
      </c>
      <c r="K18722" t="s">
        <v>47113</v>
      </c>
      <c r="L18722">
        <v>42.86</v>
      </c>
      <c r="M18722">
        <v>86</v>
      </c>
      <c r="N18722">
        <v>0</v>
      </c>
      <c r="O18722">
        <v>86</v>
      </c>
      <c r="P18722">
        <v>0</v>
      </c>
    </row>
    <row r="18723" spans="1:16" x14ac:dyDescent="0.25">
      <c r="A18723" t="s">
        <v>41342</v>
      </c>
      <c r="B18723" t="s">
        <v>11566</v>
      </c>
      <c r="C18723" t="s">
        <v>11563</v>
      </c>
      <c r="D18723" t="s">
        <v>11564</v>
      </c>
      <c r="E18723" t="s">
        <v>11565</v>
      </c>
      <c r="F18723" t="s">
        <v>2068</v>
      </c>
      <c r="G18723" t="s">
        <v>47093</v>
      </c>
      <c r="H18723" t="s">
        <v>47054</v>
      </c>
      <c r="I18723" t="s">
        <v>47111</v>
      </c>
      <c r="J18723" t="s">
        <v>47112</v>
      </c>
      <c r="K18723" t="s">
        <v>47113</v>
      </c>
      <c r="L18723">
        <v>43.96</v>
      </c>
      <c r="M18723">
        <v>108</v>
      </c>
      <c r="N18723">
        <v>0</v>
      </c>
      <c r="O18723">
        <v>108</v>
      </c>
      <c r="P18723">
        <v>0</v>
      </c>
    </row>
    <row r="18724" spans="1:16" x14ac:dyDescent="0.25">
      <c r="A18724" t="s">
        <v>41343</v>
      </c>
      <c r="B18724" t="s">
        <v>11567</v>
      </c>
      <c r="C18724" t="s">
        <v>11265</v>
      </c>
      <c r="D18724" t="s">
        <v>11505</v>
      </c>
      <c r="E18724" t="s">
        <v>11506</v>
      </c>
      <c r="F18724" t="s">
        <v>3670</v>
      </c>
      <c r="G18724" t="s">
        <v>47093</v>
      </c>
      <c r="H18724" t="s">
        <v>47054</v>
      </c>
      <c r="I18724" t="s">
        <v>47111</v>
      </c>
      <c r="J18724" t="s">
        <v>47112</v>
      </c>
      <c r="K18724" t="s">
        <v>47113</v>
      </c>
      <c r="L18724">
        <v>40.11</v>
      </c>
      <c r="M18724">
        <v>74</v>
      </c>
      <c r="N18724">
        <v>0</v>
      </c>
      <c r="O18724">
        <v>74</v>
      </c>
      <c r="P18724">
        <v>0</v>
      </c>
    </row>
    <row r="18725" spans="1:16" x14ac:dyDescent="0.25">
      <c r="A18725" t="s">
        <v>41344</v>
      </c>
      <c r="B18725" t="s">
        <v>11568</v>
      </c>
      <c r="C18725" t="s">
        <v>11569</v>
      </c>
      <c r="D18725" t="s">
        <v>11538</v>
      </c>
      <c r="E18725" t="s">
        <v>11539</v>
      </c>
      <c r="F18725" t="s">
        <v>2068</v>
      </c>
      <c r="G18725" t="s">
        <v>47093</v>
      </c>
      <c r="H18725" t="s">
        <v>47054</v>
      </c>
      <c r="I18725" t="s">
        <v>47111</v>
      </c>
      <c r="J18725" t="s">
        <v>47112</v>
      </c>
      <c r="K18725" t="s">
        <v>47113</v>
      </c>
      <c r="L18725">
        <v>46.91</v>
      </c>
      <c r="M18725">
        <v>116</v>
      </c>
      <c r="N18725">
        <v>0</v>
      </c>
      <c r="O18725">
        <v>116</v>
      </c>
      <c r="P18725">
        <v>0</v>
      </c>
    </row>
    <row r="18726" spans="1:16" x14ac:dyDescent="0.25">
      <c r="A18726" t="s">
        <v>41345</v>
      </c>
      <c r="B18726" t="s">
        <v>11570</v>
      </c>
      <c r="C18726" t="s">
        <v>11571</v>
      </c>
      <c r="D18726" t="s">
        <v>11505</v>
      </c>
      <c r="E18726" t="s">
        <v>11506</v>
      </c>
      <c r="F18726" t="s">
        <v>3670</v>
      </c>
      <c r="G18726" t="s">
        <v>47093</v>
      </c>
      <c r="H18726" t="s">
        <v>47054</v>
      </c>
      <c r="I18726" t="s">
        <v>47111</v>
      </c>
      <c r="J18726" t="s">
        <v>47112</v>
      </c>
      <c r="K18726" t="s">
        <v>47113</v>
      </c>
      <c r="L18726">
        <v>42.45</v>
      </c>
      <c r="M18726">
        <v>74</v>
      </c>
      <c r="N18726">
        <v>0</v>
      </c>
      <c r="O18726">
        <v>74</v>
      </c>
      <c r="P18726">
        <v>0</v>
      </c>
    </row>
    <row r="18727" spans="1:16" x14ac:dyDescent="0.25">
      <c r="A18727" t="s">
        <v>41346</v>
      </c>
      <c r="B18727" t="s">
        <v>11572</v>
      </c>
      <c r="C18727" t="s">
        <v>11573</v>
      </c>
      <c r="D18727" t="str">
        <f>"4910"</f>
        <v>4910</v>
      </c>
      <c r="E18727" t="s">
        <v>11574</v>
      </c>
      <c r="F18727" t="s">
        <v>3546</v>
      </c>
      <c r="G18727" t="s">
        <v>47103</v>
      </c>
      <c r="H18727" t="s">
        <v>47054</v>
      </c>
      <c r="I18727" t="s">
        <v>47120</v>
      </c>
      <c r="J18727" t="s">
        <v>47121</v>
      </c>
      <c r="K18727" t="s">
        <v>47113</v>
      </c>
      <c r="L18727">
        <v>40.49</v>
      </c>
      <c r="M18727">
        <v>100</v>
      </c>
      <c r="N18727">
        <v>0</v>
      </c>
      <c r="O18727">
        <v>100</v>
      </c>
      <c r="P18727">
        <v>0</v>
      </c>
    </row>
    <row r="18728" spans="1:16" x14ac:dyDescent="0.25">
      <c r="A18728" t="s">
        <v>41347</v>
      </c>
      <c r="B18728" t="s">
        <v>11575</v>
      </c>
      <c r="C18728" t="s">
        <v>11576</v>
      </c>
      <c r="D18728" t="str">
        <f>"4128"</f>
        <v>4128</v>
      </c>
      <c r="E18728" t="s">
        <v>1284</v>
      </c>
      <c r="F18728" t="s">
        <v>3546</v>
      </c>
      <c r="G18728" t="s">
        <v>47101</v>
      </c>
      <c r="H18728" t="s">
        <v>47054</v>
      </c>
      <c r="I18728" t="s">
        <v>47120</v>
      </c>
      <c r="J18728" t="s">
        <v>47121</v>
      </c>
      <c r="K18728" t="s">
        <v>47113</v>
      </c>
      <c r="L18728">
        <v>32.49</v>
      </c>
      <c r="M18728">
        <v>80</v>
      </c>
      <c r="N18728">
        <v>0</v>
      </c>
      <c r="O18728">
        <v>80</v>
      </c>
      <c r="P18728">
        <v>0</v>
      </c>
    </row>
    <row r="18729" spans="1:16" x14ac:dyDescent="0.25">
      <c r="A18729" t="s">
        <v>41348</v>
      </c>
      <c r="B18729" t="s">
        <v>18441</v>
      </c>
      <c r="C18729" t="s">
        <v>18442</v>
      </c>
      <c r="D18729" t="str">
        <f>"1767"</f>
        <v>1767</v>
      </c>
      <c r="E18729" t="s">
        <v>18443</v>
      </c>
      <c r="F18729" t="s">
        <v>3750</v>
      </c>
      <c r="G18729" t="s">
        <v>47093</v>
      </c>
      <c r="H18729" t="s">
        <v>47054</v>
      </c>
      <c r="I18729" t="s">
        <v>47116</v>
      </c>
      <c r="J18729" t="s">
        <v>47117</v>
      </c>
      <c r="K18729" t="s">
        <v>47113</v>
      </c>
      <c r="L18729">
        <v>26.79</v>
      </c>
      <c r="M18729">
        <v>75</v>
      </c>
      <c r="N18729">
        <v>0</v>
      </c>
      <c r="O18729">
        <v>75</v>
      </c>
      <c r="P18729">
        <v>0</v>
      </c>
    </row>
    <row r="18730" spans="1:16" x14ac:dyDescent="0.25">
      <c r="A18730" t="s">
        <v>41349</v>
      </c>
      <c r="B18730" t="s">
        <v>18444</v>
      </c>
      <c r="C18730" t="s">
        <v>18445</v>
      </c>
      <c r="D18730" t="str">
        <f>"6202"</f>
        <v>6202</v>
      </c>
      <c r="E18730" t="s">
        <v>18446</v>
      </c>
      <c r="F18730" t="s">
        <v>3750</v>
      </c>
      <c r="G18730" t="s">
        <v>47093</v>
      </c>
      <c r="H18730" t="s">
        <v>47054</v>
      </c>
      <c r="I18730" t="s">
        <v>47116</v>
      </c>
      <c r="J18730" t="s">
        <v>47117</v>
      </c>
      <c r="K18730" t="s">
        <v>47113</v>
      </c>
      <c r="L18730">
        <v>27.49</v>
      </c>
      <c r="M18730">
        <v>78</v>
      </c>
      <c r="N18730">
        <v>0</v>
      </c>
      <c r="O18730">
        <v>78</v>
      </c>
      <c r="P18730">
        <v>0</v>
      </c>
    </row>
    <row r="18731" spans="1:16" x14ac:dyDescent="0.25">
      <c r="A18731" t="s">
        <v>41350</v>
      </c>
      <c r="B18731" t="s">
        <v>18447</v>
      </c>
      <c r="C18731" t="s">
        <v>18448</v>
      </c>
      <c r="D18731" t="str">
        <f>"1001"</f>
        <v>1001</v>
      </c>
      <c r="E18731" t="s">
        <v>42</v>
      </c>
      <c r="F18731" t="s">
        <v>3750</v>
      </c>
      <c r="G18731" t="s">
        <v>47097</v>
      </c>
      <c r="H18731" t="s">
        <v>47054</v>
      </c>
      <c r="I18731" t="s">
        <v>47116</v>
      </c>
      <c r="J18731" t="s">
        <v>47117</v>
      </c>
      <c r="K18731" t="s">
        <v>47113</v>
      </c>
      <c r="L18731">
        <v>9.6300000000000008</v>
      </c>
      <c r="M18731">
        <v>28</v>
      </c>
      <c r="N18731">
        <v>0</v>
      </c>
      <c r="O18731">
        <v>28</v>
      </c>
      <c r="P18731">
        <v>0</v>
      </c>
    </row>
    <row r="18732" spans="1:16" x14ac:dyDescent="0.25">
      <c r="A18732" t="s">
        <v>41351</v>
      </c>
      <c r="B18732" t="s">
        <v>18447</v>
      </c>
      <c r="C18732" t="s">
        <v>18448</v>
      </c>
      <c r="D18732" t="str">
        <f>"1700"</f>
        <v>1700</v>
      </c>
      <c r="E18732" t="s">
        <v>60</v>
      </c>
      <c r="F18732" t="s">
        <v>3750</v>
      </c>
      <c r="G18732" t="s">
        <v>47097</v>
      </c>
      <c r="H18732" t="s">
        <v>47054</v>
      </c>
      <c r="I18732" t="s">
        <v>47116</v>
      </c>
      <c r="J18732" t="s">
        <v>47117</v>
      </c>
      <c r="K18732" t="s">
        <v>47113</v>
      </c>
      <c r="L18732">
        <v>9.6300000000000008</v>
      </c>
      <c r="M18732">
        <v>28</v>
      </c>
      <c r="N18732">
        <v>0</v>
      </c>
      <c r="O18732">
        <v>28</v>
      </c>
      <c r="P18732">
        <v>0</v>
      </c>
    </row>
    <row r="18733" spans="1:16" x14ac:dyDescent="0.25">
      <c r="A18733" t="s">
        <v>41352</v>
      </c>
      <c r="B18733" t="s">
        <v>11577</v>
      </c>
      <c r="C18733" t="s">
        <v>11578</v>
      </c>
      <c r="D18733" t="str">
        <f>"1001"</f>
        <v>1001</v>
      </c>
      <c r="E18733" t="s">
        <v>42</v>
      </c>
      <c r="F18733" t="s">
        <v>1</v>
      </c>
      <c r="G18733" t="s">
        <v>47091</v>
      </c>
      <c r="H18733" t="s">
        <v>47054</v>
      </c>
      <c r="I18733" t="s">
        <v>47118</v>
      </c>
      <c r="J18733" t="s">
        <v>47119</v>
      </c>
      <c r="K18733" t="s">
        <v>47113</v>
      </c>
      <c r="L18733">
        <v>20.53</v>
      </c>
      <c r="M18733">
        <v>50</v>
      </c>
      <c r="N18733">
        <v>0</v>
      </c>
      <c r="O18733">
        <v>50</v>
      </c>
      <c r="P18733">
        <v>0</v>
      </c>
    </row>
    <row r="18734" spans="1:16" x14ac:dyDescent="0.25">
      <c r="A18734" t="s">
        <v>41353</v>
      </c>
      <c r="B18734" t="s">
        <v>11577</v>
      </c>
      <c r="C18734" t="s">
        <v>11578</v>
      </c>
      <c r="D18734" t="str">
        <f>"1700"</f>
        <v>1700</v>
      </c>
      <c r="E18734" t="s">
        <v>60</v>
      </c>
      <c r="F18734" t="s">
        <v>1</v>
      </c>
      <c r="G18734" t="s">
        <v>47091</v>
      </c>
      <c r="H18734" t="s">
        <v>47054</v>
      </c>
      <c r="I18734" t="s">
        <v>47118</v>
      </c>
      <c r="J18734" t="s">
        <v>47119</v>
      </c>
      <c r="K18734" t="s">
        <v>47113</v>
      </c>
      <c r="L18734">
        <v>20.53</v>
      </c>
      <c r="M18734">
        <v>50</v>
      </c>
      <c r="N18734">
        <v>0</v>
      </c>
      <c r="O18734">
        <v>50</v>
      </c>
      <c r="P18734">
        <v>0</v>
      </c>
    </row>
    <row r="18735" spans="1:16" x14ac:dyDescent="0.25">
      <c r="A18735" t="s">
        <v>41354</v>
      </c>
      <c r="B18735" t="s">
        <v>11577</v>
      </c>
      <c r="C18735" t="s">
        <v>11578</v>
      </c>
      <c r="D18735" t="str">
        <f>"6441"</f>
        <v>6441</v>
      </c>
      <c r="E18735" t="s">
        <v>11579</v>
      </c>
      <c r="F18735" t="s">
        <v>1</v>
      </c>
      <c r="G18735" t="s">
        <v>47091</v>
      </c>
      <c r="H18735" t="s">
        <v>47054</v>
      </c>
      <c r="I18735" t="s">
        <v>47118</v>
      </c>
      <c r="J18735" t="s">
        <v>47119</v>
      </c>
      <c r="K18735" t="s">
        <v>47113</v>
      </c>
      <c r="L18735">
        <v>20.53</v>
      </c>
      <c r="M18735">
        <v>50</v>
      </c>
      <c r="N18735">
        <v>0</v>
      </c>
      <c r="O18735">
        <v>50</v>
      </c>
      <c r="P18735">
        <v>0</v>
      </c>
    </row>
    <row r="18736" spans="1:16" x14ac:dyDescent="0.25">
      <c r="A18736" t="s">
        <v>41355</v>
      </c>
      <c r="B18736" t="s">
        <v>11580</v>
      </c>
      <c r="C18736" t="s">
        <v>11581</v>
      </c>
      <c r="D18736" t="str">
        <f>"5151"</f>
        <v>5151</v>
      </c>
      <c r="E18736" t="s">
        <v>11582</v>
      </c>
      <c r="F18736" t="s">
        <v>1</v>
      </c>
      <c r="G18736" t="s">
        <v>47103</v>
      </c>
      <c r="H18736" t="s">
        <v>47054</v>
      </c>
      <c r="I18736" t="s">
        <v>47118</v>
      </c>
      <c r="J18736" t="s">
        <v>47119</v>
      </c>
      <c r="K18736" t="s">
        <v>47113</v>
      </c>
      <c r="L18736">
        <v>24.66</v>
      </c>
      <c r="M18736">
        <v>61</v>
      </c>
      <c r="N18736">
        <v>0</v>
      </c>
      <c r="O18736">
        <v>61</v>
      </c>
      <c r="P18736">
        <v>0</v>
      </c>
    </row>
    <row r="18737" spans="1:16" x14ac:dyDescent="0.25">
      <c r="A18737" t="s">
        <v>41356</v>
      </c>
      <c r="B18737" t="s">
        <v>11583</v>
      </c>
      <c r="C18737" t="s">
        <v>11584</v>
      </c>
      <c r="D18737" t="str">
        <f>"5152"</f>
        <v>5152</v>
      </c>
      <c r="E18737" t="s">
        <v>11585</v>
      </c>
      <c r="F18737" t="s">
        <v>1</v>
      </c>
      <c r="G18737" t="s">
        <v>47101</v>
      </c>
      <c r="H18737" t="s">
        <v>47054</v>
      </c>
      <c r="I18737" t="s">
        <v>47118</v>
      </c>
      <c r="J18737" t="s">
        <v>47119</v>
      </c>
      <c r="K18737" t="s">
        <v>47113</v>
      </c>
      <c r="L18737">
        <v>18.05</v>
      </c>
      <c r="M18737">
        <v>44</v>
      </c>
      <c r="N18737">
        <v>0</v>
      </c>
      <c r="O18737">
        <v>44</v>
      </c>
      <c r="P18737">
        <v>0</v>
      </c>
    </row>
    <row r="18738" spans="1:16" x14ac:dyDescent="0.25">
      <c r="A18738" t="s">
        <v>41357</v>
      </c>
      <c r="B18738" t="s">
        <v>41358</v>
      </c>
      <c r="C18738" t="s">
        <v>41359</v>
      </c>
      <c r="D18738" t="str">
        <f>"1081"</f>
        <v>1081</v>
      </c>
      <c r="E18738" t="s">
        <v>41360</v>
      </c>
      <c r="F18738" t="s">
        <v>3750</v>
      </c>
      <c r="G18738" t="s">
        <v>47097</v>
      </c>
      <c r="H18738" t="s">
        <v>47054</v>
      </c>
      <c r="I18738" t="s">
        <v>47154</v>
      </c>
      <c r="J18738" t="s">
        <v>47155</v>
      </c>
      <c r="K18738" t="s">
        <v>47113</v>
      </c>
      <c r="L18738">
        <v>7.32</v>
      </c>
      <c r="M18738">
        <v>29</v>
      </c>
      <c r="N18738">
        <v>79</v>
      </c>
      <c r="O18738">
        <v>29</v>
      </c>
      <c r="P18738">
        <v>79</v>
      </c>
    </row>
    <row r="18739" spans="1:16" x14ac:dyDescent="0.25">
      <c r="A18739" t="s">
        <v>41361</v>
      </c>
      <c r="B18739" t="s">
        <v>41358</v>
      </c>
      <c r="C18739" t="s">
        <v>41359</v>
      </c>
      <c r="D18739" t="str">
        <f>"1827"</f>
        <v>1827</v>
      </c>
      <c r="E18739" t="s">
        <v>41362</v>
      </c>
      <c r="F18739" t="s">
        <v>3750</v>
      </c>
      <c r="G18739" t="s">
        <v>47097</v>
      </c>
      <c r="H18739" t="s">
        <v>47054</v>
      </c>
      <c r="I18739" t="s">
        <v>47154</v>
      </c>
      <c r="J18739" t="s">
        <v>47155</v>
      </c>
      <c r="K18739" t="s">
        <v>47113</v>
      </c>
      <c r="L18739">
        <v>7.76</v>
      </c>
      <c r="M18739">
        <v>29</v>
      </c>
      <c r="N18739">
        <v>79</v>
      </c>
      <c r="O18739">
        <v>29</v>
      </c>
      <c r="P18739">
        <v>79</v>
      </c>
    </row>
    <row r="18740" spans="1:16" x14ac:dyDescent="0.25">
      <c r="A18740" t="s">
        <v>41363</v>
      </c>
      <c r="B18740" t="s">
        <v>41358</v>
      </c>
      <c r="C18740" t="s">
        <v>41359</v>
      </c>
      <c r="D18740" t="str">
        <f>"3070"</f>
        <v>3070</v>
      </c>
      <c r="E18740" t="s">
        <v>41364</v>
      </c>
      <c r="F18740" t="s">
        <v>3750</v>
      </c>
      <c r="G18740" t="s">
        <v>47097</v>
      </c>
      <c r="H18740" t="s">
        <v>47054</v>
      </c>
      <c r="I18740" t="s">
        <v>47154</v>
      </c>
      <c r="J18740" t="s">
        <v>47155</v>
      </c>
      <c r="K18740" t="s">
        <v>47113</v>
      </c>
      <c r="L18740">
        <v>7.32</v>
      </c>
      <c r="M18740">
        <v>29</v>
      </c>
      <c r="N18740">
        <v>79</v>
      </c>
      <c r="O18740">
        <v>29</v>
      </c>
      <c r="P18740">
        <v>79</v>
      </c>
    </row>
    <row r="18741" spans="1:16" x14ac:dyDescent="0.25">
      <c r="A18741" t="s">
        <v>41365</v>
      </c>
      <c r="B18741" t="s">
        <v>11586</v>
      </c>
      <c r="C18741" t="s">
        <v>11587</v>
      </c>
      <c r="D18741" t="s">
        <v>11588</v>
      </c>
      <c r="E18741" t="s">
        <v>11589</v>
      </c>
      <c r="F18741" t="s">
        <v>3546</v>
      </c>
      <c r="G18741" t="s">
        <v>47093</v>
      </c>
      <c r="H18741" t="s">
        <v>47054</v>
      </c>
      <c r="I18741" t="s">
        <v>47111</v>
      </c>
      <c r="J18741" t="s">
        <v>47112</v>
      </c>
      <c r="K18741" t="s">
        <v>47113</v>
      </c>
      <c r="L18741">
        <v>44.24</v>
      </c>
      <c r="M18741">
        <v>84</v>
      </c>
      <c r="N18741">
        <v>0</v>
      </c>
      <c r="O18741">
        <v>84</v>
      </c>
      <c r="P18741">
        <v>0</v>
      </c>
    </row>
    <row r="18742" spans="1:16" x14ac:dyDescent="0.25">
      <c r="A18742" t="s">
        <v>41366</v>
      </c>
      <c r="B18742" t="s">
        <v>11590</v>
      </c>
      <c r="C18742" t="s">
        <v>14341</v>
      </c>
      <c r="D18742" t="s">
        <v>11591</v>
      </c>
      <c r="E18742" t="s">
        <v>11592</v>
      </c>
      <c r="F18742" t="s">
        <v>3670</v>
      </c>
      <c r="G18742" t="s">
        <v>47093</v>
      </c>
      <c r="H18742" t="s">
        <v>47054</v>
      </c>
      <c r="I18742" t="s">
        <v>47111</v>
      </c>
      <c r="J18742" t="s">
        <v>47112</v>
      </c>
      <c r="K18742" t="s">
        <v>47113</v>
      </c>
      <c r="L18742">
        <v>44.02</v>
      </c>
      <c r="M18742">
        <v>74</v>
      </c>
      <c r="N18742">
        <v>0</v>
      </c>
      <c r="O18742">
        <v>74</v>
      </c>
      <c r="P18742">
        <v>0</v>
      </c>
    </row>
    <row r="18743" spans="1:16" x14ac:dyDescent="0.25">
      <c r="A18743" t="s">
        <v>41367</v>
      </c>
      <c r="B18743" t="s">
        <v>11593</v>
      </c>
      <c r="C18743" t="s">
        <v>11594</v>
      </c>
      <c r="D18743" t="s">
        <v>11595</v>
      </c>
      <c r="E18743" t="s">
        <v>11596</v>
      </c>
      <c r="F18743" t="s">
        <v>3546</v>
      </c>
      <c r="G18743" t="s">
        <v>47093</v>
      </c>
      <c r="H18743" t="s">
        <v>47054</v>
      </c>
      <c r="I18743" t="s">
        <v>47111</v>
      </c>
      <c r="J18743" t="s">
        <v>47112</v>
      </c>
      <c r="K18743" t="s">
        <v>47113</v>
      </c>
      <c r="L18743">
        <v>42.9</v>
      </c>
      <c r="M18743">
        <v>84</v>
      </c>
      <c r="N18743">
        <v>0</v>
      </c>
      <c r="O18743">
        <v>84</v>
      </c>
      <c r="P18743">
        <v>0</v>
      </c>
    </row>
    <row r="18744" spans="1:16" x14ac:dyDescent="0.25">
      <c r="A18744" t="s">
        <v>41368</v>
      </c>
      <c r="B18744" t="s">
        <v>11597</v>
      </c>
      <c r="C18744" t="s">
        <v>11598</v>
      </c>
      <c r="D18744" t="s">
        <v>11599</v>
      </c>
      <c r="E18744" t="s">
        <v>11600</v>
      </c>
      <c r="F18744" t="s">
        <v>3546</v>
      </c>
      <c r="G18744" t="s">
        <v>47093</v>
      </c>
      <c r="H18744" t="s">
        <v>47054</v>
      </c>
      <c r="I18744" t="s">
        <v>47111</v>
      </c>
      <c r="J18744" t="s">
        <v>47112</v>
      </c>
      <c r="K18744" t="s">
        <v>47113</v>
      </c>
      <c r="L18744">
        <v>55.16</v>
      </c>
      <c r="M18744">
        <v>136</v>
      </c>
      <c r="N18744">
        <v>0</v>
      </c>
      <c r="O18744">
        <v>136</v>
      </c>
      <c r="P18744">
        <v>0</v>
      </c>
    </row>
    <row r="18745" spans="1:16" x14ac:dyDescent="0.25">
      <c r="A18745" t="s">
        <v>41369</v>
      </c>
      <c r="B18745" t="s">
        <v>11597</v>
      </c>
      <c r="C18745" t="s">
        <v>11598</v>
      </c>
      <c r="D18745" t="s">
        <v>11601</v>
      </c>
      <c r="E18745" t="s">
        <v>11602</v>
      </c>
      <c r="F18745" t="s">
        <v>3546</v>
      </c>
      <c r="G18745" t="s">
        <v>47093</v>
      </c>
      <c r="H18745" t="s">
        <v>47054</v>
      </c>
      <c r="I18745" t="s">
        <v>47111</v>
      </c>
      <c r="J18745" t="s">
        <v>47112</v>
      </c>
      <c r="K18745" t="s">
        <v>47113</v>
      </c>
      <c r="L18745">
        <v>55.16</v>
      </c>
      <c r="M18745">
        <v>136</v>
      </c>
      <c r="N18745">
        <v>0</v>
      </c>
      <c r="O18745">
        <v>136</v>
      </c>
      <c r="P18745">
        <v>0</v>
      </c>
    </row>
    <row r="18746" spans="1:16" x14ac:dyDescent="0.25">
      <c r="A18746" t="s">
        <v>41370</v>
      </c>
      <c r="B18746" t="s">
        <v>11603</v>
      </c>
      <c r="C18746" t="s">
        <v>11604</v>
      </c>
      <c r="D18746" t="s">
        <v>11588</v>
      </c>
      <c r="E18746" t="s">
        <v>11589</v>
      </c>
      <c r="F18746" t="s">
        <v>3546</v>
      </c>
      <c r="G18746" t="s">
        <v>47093</v>
      </c>
      <c r="H18746" t="s">
        <v>47054</v>
      </c>
      <c r="I18746" t="s">
        <v>47111</v>
      </c>
      <c r="J18746" t="s">
        <v>47112</v>
      </c>
      <c r="K18746" t="s">
        <v>47113</v>
      </c>
      <c r="L18746">
        <v>46.71</v>
      </c>
      <c r="M18746">
        <v>84</v>
      </c>
      <c r="N18746">
        <v>0</v>
      </c>
      <c r="O18746">
        <v>84</v>
      </c>
      <c r="P18746">
        <v>0</v>
      </c>
    </row>
    <row r="18747" spans="1:16" x14ac:dyDescent="0.25">
      <c r="A18747" t="s">
        <v>41371</v>
      </c>
      <c r="B18747" t="s">
        <v>11605</v>
      </c>
      <c r="C18747" t="s">
        <v>11606</v>
      </c>
      <c r="D18747" t="s">
        <v>11607</v>
      </c>
      <c r="E18747" t="s">
        <v>11608</v>
      </c>
      <c r="F18747" t="s">
        <v>3546</v>
      </c>
      <c r="G18747" t="s">
        <v>47093</v>
      </c>
      <c r="H18747" t="s">
        <v>47054</v>
      </c>
      <c r="I18747" t="s">
        <v>47111</v>
      </c>
      <c r="J18747" t="s">
        <v>47112</v>
      </c>
      <c r="K18747" t="s">
        <v>47113</v>
      </c>
      <c r="L18747">
        <v>62.95</v>
      </c>
      <c r="M18747">
        <v>155</v>
      </c>
      <c r="N18747">
        <v>0</v>
      </c>
      <c r="O18747">
        <v>155</v>
      </c>
      <c r="P18747">
        <v>0</v>
      </c>
    </row>
    <row r="18748" spans="1:16" x14ac:dyDescent="0.25">
      <c r="A18748" t="s">
        <v>41372</v>
      </c>
      <c r="B18748" t="s">
        <v>11609</v>
      </c>
      <c r="C18748" t="s">
        <v>11610</v>
      </c>
      <c r="D18748" t="s">
        <v>11588</v>
      </c>
      <c r="E18748" t="s">
        <v>11589</v>
      </c>
      <c r="F18748" t="s">
        <v>3546</v>
      </c>
      <c r="G18748" t="s">
        <v>47093</v>
      </c>
      <c r="H18748" t="s">
        <v>47054</v>
      </c>
      <c r="I18748" t="s">
        <v>47111</v>
      </c>
      <c r="J18748" t="s">
        <v>47112</v>
      </c>
      <c r="K18748" t="s">
        <v>47113</v>
      </c>
      <c r="L18748">
        <v>44.59</v>
      </c>
      <c r="M18748">
        <v>84</v>
      </c>
      <c r="N18748">
        <v>0</v>
      </c>
      <c r="O18748">
        <v>84</v>
      </c>
      <c r="P18748">
        <v>0</v>
      </c>
    </row>
    <row r="18749" spans="1:16" x14ac:dyDescent="0.25">
      <c r="A18749" t="s">
        <v>41373</v>
      </c>
      <c r="B18749" t="s">
        <v>11611</v>
      </c>
      <c r="C18749" t="s">
        <v>11612</v>
      </c>
      <c r="D18749" t="s">
        <v>11595</v>
      </c>
      <c r="E18749" t="s">
        <v>11596</v>
      </c>
      <c r="F18749" t="s">
        <v>3546</v>
      </c>
      <c r="G18749" t="s">
        <v>47093</v>
      </c>
      <c r="H18749" t="s">
        <v>47054</v>
      </c>
      <c r="I18749" t="s">
        <v>47111</v>
      </c>
      <c r="J18749" t="s">
        <v>47112</v>
      </c>
      <c r="K18749" t="s">
        <v>47113</v>
      </c>
      <c r="L18749">
        <v>41.28</v>
      </c>
      <c r="M18749">
        <v>84</v>
      </c>
      <c r="N18749">
        <v>0</v>
      </c>
      <c r="O18749">
        <v>84</v>
      </c>
      <c r="P18749">
        <v>0</v>
      </c>
    </row>
    <row r="18750" spans="1:16" x14ac:dyDescent="0.25">
      <c r="A18750" t="s">
        <v>41374</v>
      </c>
      <c r="B18750" t="s">
        <v>11613</v>
      </c>
      <c r="C18750" t="s">
        <v>11614</v>
      </c>
      <c r="D18750" t="s">
        <v>11615</v>
      </c>
      <c r="E18750" t="s">
        <v>11616</v>
      </c>
      <c r="F18750" t="s">
        <v>3546</v>
      </c>
      <c r="G18750" t="s">
        <v>49029</v>
      </c>
      <c r="H18750" t="s">
        <v>47054</v>
      </c>
      <c r="I18750" t="s">
        <v>47111</v>
      </c>
      <c r="J18750" t="s">
        <v>47112</v>
      </c>
      <c r="K18750" t="s">
        <v>47113</v>
      </c>
      <c r="L18750">
        <v>46.07</v>
      </c>
      <c r="M18750">
        <v>113</v>
      </c>
      <c r="N18750">
        <v>0</v>
      </c>
      <c r="O18750">
        <v>113</v>
      </c>
      <c r="P18750">
        <v>0</v>
      </c>
    </row>
    <row r="18751" spans="1:16" x14ac:dyDescent="0.25">
      <c r="A18751" t="s">
        <v>41375</v>
      </c>
      <c r="B18751" t="s">
        <v>11617</v>
      </c>
      <c r="C18751" t="s">
        <v>11618</v>
      </c>
      <c r="D18751" t="s">
        <v>11619</v>
      </c>
      <c r="E18751" t="s">
        <v>11620</v>
      </c>
      <c r="F18751" t="s">
        <v>3546</v>
      </c>
      <c r="G18751" t="s">
        <v>47093</v>
      </c>
      <c r="H18751" t="s">
        <v>47054</v>
      </c>
      <c r="I18751" t="s">
        <v>47111</v>
      </c>
      <c r="J18751" t="s">
        <v>47112</v>
      </c>
      <c r="K18751" t="s">
        <v>47113</v>
      </c>
      <c r="L18751">
        <v>44.8</v>
      </c>
      <c r="M18751">
        <v>109</v>
      </c>
      <c r="N18751">
        <v>0</v>
      </c>
      <c r="O18751">
        <v>109</v>
      </c>
      <c r="P18751">
        <v>0</v>
      </c>
    </row>
    <row r="18752" spans="1:16" x14ac:dyDescent="0.25">
      <c r="A18752" t="s">
        <v>41376</v>
      </c>
      <c r="B18752" t="s">
        <v>11621</v>
      </c>
      <c r="C18752" t="s">
        <v>11618</v>
      </c>
      <c r="D18752" t="s">
        <v>11619</v>
      </c>
      <c r="E18752" t="s">
        <v>11620</v>
      </c>
      <c r="F18752" t="s">
        <v>3546</v>
      </c>
      <c r="G18752" t="s">
        <v>47093</v>
      </c>
      <c r="H18752" t="s">
        <v>47054</v>
      </c>
      <c r="I18752" t="s">
        <v>47111</v>
      </c>
      <c r="J18752" t="s">
        <v>47112</v>
      </c>
      <c r="K18752" t="s">
        <v>47113</v>
      </c>
      <c r="L18752">
        <v>38.729999999999997</v>
      </c>
      <c r="M18752">
        <v>96</v>
      </c>
      <c r="N18752">
        <v>0</v>
      </c>
      <c r="O18752">
        <v>96</v>
      </c>
      <c r="P18752">
        <v>0</v>
      </c>
    </row>
    <row r="18753" spans="1:16" x14ac:dyDescent="0.25">
      <c r="A18753" t="s">
        <v>41377</v>
      </c>
      <c r="B18753" t="s">
        <v>11622</v>
      </c>
      <c r="C18753" t="s">
        <v>11623</v>
      </c>
      <c r="D18753" t="s">
        <v>11624</v>
      </c>
      <c r="E18753" t="s">
        <v>11625</v>
      </c>
      <c r="F18753" t="s">
        <v>3546</v>
      </c>
      <c r="G18753" t="s">
        <v>47093</v>
      </c>
      <c r="H18753" t="s">
        <v>47054</v>
      </c>
      <c r="I18753" t="s">
        <v>47111</v>
      </c>
      <c r="J18753" t="s">
        <v>47112</v>
      </c>
      <c r="K18753" t="s">
        <v>47113</v>
      </c>
      <c r="L18753">
        <v>52.22</v>
      </c>
      <c r="M18753">
        <v>109</v>
      </c>
      <c r="N18753">
        <v>0</v>
      </c>
      <c r="O18753">
        <v>109</v>
      </c>
      <c r="P18753">
        <v>0</v>
      </c>
    </row>
    <row r="18754" spans="1:16" x14ac:dyDescent="0.25">
      <c r="A18754" t="s">
        <v>41378</v>
      </c>
      <c r="B18754" t="s">
        <v>11626</v>
      </c>
      <c r="C18754" t="s">
        <v>11627</v>
      </c>
      <c r="D18754" t="s">
        <v>11619</v>
      </c>
      <c r="E18754" t="s">
        <v>11620</v>
      </c>
      <c r="F18754" t="s">
        <v>3546</v>
      </c>
      <c r="G18754" t="s">
        <v>47093</v>
      </c>
      <c r="H18754" t="s">
        <v>47054</v>
      </c>
      <c r="I18754" t="s">
        <v>47111</v>
      </c>
      <c r="J18754" t="s">
        <v>47112</v>
      </c>
      <c r="K18754" t="s">
        <v>47113</v>
      </c>
      <c r="L18754">
        <v>32.75</v>
      </c>
      <c r="M18754">
        <v>74</v>
      </c>
      <c r="N18754">
        <v>0</v>
      </c>
      <c r="O18754">
        <v>74</v>
      </c>
      <c r="P18754">
        <v>0</v>
      </c>
    </row>
    <row r="18755" spans="1:16" x14ac:dyDescent="0.25">
      <c r="A18755" t="s">
        <v>41379</v>
      </c>
      <c r="B18755" t="s">
        <v>11628</v>
      </c>
      <c r="C18755" t="s">
        <v>11629</v>
      </c>
      <c r="D18755" t="s">
        <v>11588</v>
      </c>
      <c r="E18755" t="s">
        <v>11589</v>
      </c>
      <c r="F18755" t="s">
        <v>3546</v>
      </c>
      <c r="G18755" t="s">
        <v>47093</v>
      </c>
      <c r="H18755" t="s">
        <v>47054</v>
      </c>
      <c r="I18755" t="s">
        <v>47111</v>
      </c>
      <c r="J18755" t="s">
        <v>47112</v>
      </c>
      <c r="K18755" t="s">
        <v>47113</v>
      </c>
      <c r="L18755">
        <v>64.510000000000005</v>
      </c>
      <c r="M18755">
        <v>122</v>
      </c>
      <c r="N18755">
        <v>0</v>
      </c>
      <c r="O18755">
        <v>122</v>
      </c>
      <c r="P18755">
        <v>0</v>
      </c>
    </row>
    <row r="18756" spans="1:16" x14ac:dyDescent="0.25">
      <c r="A18756" t="s">
        <v>41380</v>
      </c>
      <c r="B18756" t="s">
        <v>11630</v>
      </c>
      <c r="C18756" t="s">
        <v>11631</v>
      </c>
      <c r="D18756" t="s">
        <v>11588</v>
      </c>
      <c r="E18756" t="s">
        <v>11589</v>
      </c>
      <c r="F18756" t="s">
        <v>3546</v>
      </c>
      <c r="G18756" t="s">
        <v>47093</v>
      </c>
      <c r="H18756" t="s">
        <v>47054</v>
      </c>
      <c r="I18756" t="s">
        <v>47111</v>
      </c>
      <c r="J18756" t="s">
        <v>47112</v>
      </c>
      <c r="K18756" t="s">
        <v>47113</v>
      </c>
      <c r="L18756">
        <v>62.46</v>
      </c>
      <c r="M18756">
        <v>122</v>
      </c>
      <c r="N18756">
        <v>0</v>
      </c>
      <c r="O18756">
        <v>122</v>
      </c>
      <c r="P18756">
        <v>0</v>
      </c>
    </row>
    <row r="18757" spans="1:16" x14ac:dyDescent="0.25">
      <c r="A18757" t="s">
        <v>41381</v>
      </c>
      <c r="B18757" t="s">
        <v>11632</v>
      </c>
      <c r="C18757" t="s">
        <v>11633</v>
      </c>
      <c r="D18757" t="s">
        <v>11595</v>
      </c>
      <c r="E18757" t="s">
        <v>11596</v>
      </c>
      <c r="F18757" t="s">
        <v>3546</v>
      </c>
      <c r="G18757" t="s">
        <v>47093</v>
      </c>
      <c r="H18757" t="s">
        <v>47054</v>
      </c>
      <c r="I18757" t="s">
        <v>47111</v>
      </c>
      <c r="J18757" t="s">
        <v>47112</v>
      </c>
      <c r="K18757" t="s">
        <v>47113</v>
      </c>
      <c r="L18757">
        <v>59.14</v>
      </c>
      <c r="M18757">
        <v>127</v>
      </c>
      <c r="N18757">
        <v>0</v>
      </c>
      <c r="O18757">
        <v>127</v>
      </c>
      <c r="P18757">
        <v>0</v>
      </c>
    </row>
    <row r="18758" spans="1:16" x14ac:dyDescent="0.25">
      <c r="A18758" t="s">
        <v>41382</v>
      </c>
      <c r="B18758" t="s">
        <v>11634</v>
      </c>
      <c r="C18758" t="s">
        <v>11635</v>
      </c>
      <c r="D18758" t="s">
        <v>11588</v>
      </c>
      <c r="E18758" t="s">
        <v>11589</v>
      </c>
      <c r="F18758" t="s">
        <v>3546</v>
      </c>
      <c r="G18758" t="s">
        <v>47093</v>
      </c>
      <c r="H18758" t="s">
        <v>47054</v>
      </c>
      <c r="I18758" t="s">
        <v>47111</v>
      </c>
      <c r="J18758" t="s">
        <v>47112</v>
      </c>
      <c r="K18758" t="s">
        <v>47113</v>
      </c>
      <c r="L18758">
        <v>63.6</v>
      </c>
      <c r="M18758">
        <v>122</v>
      </c>
      <c r="N18758">
        <v>0</v>
      </c>
      <c r="O18758">
        <v>122</v>
      </c>
      <c r="P18758">
        <v>0</v>
      </c>
    </row>
    <row r="18759" spans="1:16" x14ac:dyDescent="0.25">
      <c r="A18759" t="s">
        <v>41383</v>
      </c>
      <c r="B18759" t="s">
        <v>11636</v>
      </c>
      <c r="C18759" t="s">
        <v>11637</v>
      </c>
      <c r="D18759" t="s">
        <v>11615</v>
      </c>
      <c r="E18759" t="s">
        <v>11616</v>
      </c>
      <c r="F18759" t="s">
        <v>3546</v>
      </c>
      <c r="G18759" t="s">
        <v>47098</v>
      </c>
      <c r="H18759" t="s">
        <v>47054</v>
      </c>
      <c r="I18759" t="s">
        <v>47116</v>
      </c>
      <c r="J18759" t="s">
        <v>47117</v>
      </c>
      <c r="K18759" t="s">
        <v>47113</v>
      </c>
      <c r="L18759">
        <v>50.14</v>
      </c>
      <c r="M18759">
        <v>123</v>
      </c>
      <c r="N18759">
        <v>0</v>
      </c>
      <c r="O18759">
        <v>123</v>
      </c>
      <c r="P18759">
        <v>0</v>
      </c>
    </row>
    <row r="18760" spans="1:16" x14ac:dyDescent="0.25">
      <c r="A18760" t="s">
        <v>41384</v>
      </c>
      <c r="B18760" t="s">
        <v>11638</v>
      </c>
      <c r="C18760" t="s">
        <v>14342</v>
      </c>
      <c r="D18760" t="s">
        <v>11591</v>
      </c>
      <c r="E18760" t="s">
        <v>11592</v>
      </c>
      <c r="F18760" t="s">
        <v>3670</v>
      </c>
      <c r="G18760" t="s">
        <v>47093</v>
      </c>
      <c r="H18760" t="s">
        <v>47054</v>
      </c>
      <c r="I18760" t="s">
        <v>47111</v>
      </c>
      <c r="J18760" t="s">
        <v>47112</v>
      </c>
      <c r="K18760" t="s">
        <v>47113</v>
      </c>
      <c r="L18760">
        <v>40.130000000000003</v>
      </c>
      <c r="M18760">
        <v>74</v>
      </c>
      <c r="N18760">
        <v>0</v>
      </c>
      <c r="O18760">
        <v>74</v>
      </c>
      <c r="P18760">
        <v>0</v>
      </c>
    </row>
    <row r="18761" spans="1:16" x14ac:dyDescent="0.25">
      <c r="A18761" t="s">
        <v>41385</v>
      </c>
      <c r="B18761" t="s">
        <v>11639</v>
      </c>
      <c r="C18761" t="s">
        <v>11640</v>
      </c>
      <c r="D18761" t="s">
        <v>11607</v>
      </c>
      <c r="E18761" t="s">
        <v>11608</v>
      </c>
      <c r="F18761" t="s">
        <v>3546</v>
      </c>
      <c r="G18761" t="s">
        <v>48515</v>
      </c>
      <c r="H18761" t="s">
        <v>47054</v>
      </c>
      <c r="I18761" t="s">
        <v>47116</v>
      </c>
      <c r="J18761" t="s">
        <v>47117</v>
      </c>
      <c r="K18761" t="s">
        <v>47113</v>
      </c>
      <c r="L18761">
        <v>33.299999999999997</v>
      </c>
      <c r="M18761">
        <v>82</v>
      </c>
      <c r="N18761">
        <v>0</v>
      </c>
      <c r="O18761">
        <v>82</v>
      </c>
      <c r="P18761">
        <v>0</v>
      </c>
    </row>
    <row r="18762" spans="1:16" x14ac:dyDescent="0.25">
      <c r="A18762" t="s">
        <v>41386</v>
      </c>
      <c r="B18762" t="s">
        <v>11641</v>
      </c>
      <c r="C18762" t="s">
        <v>11642</v>
      </c>
      <c r="D18762" t="s">
        <v>11607</v>
      </c>
      <c r="E18762" t="s">
        <v>11608</v>
      </c>
      <c r="F18762" t="s">
        <v>3546</v>
      </c>
      <c r="G18762" t="s">
        <v>47093</v>
      </c>
      <c r="H18762" t="s">
        <v>47054</v>
      </c>
      <c r="I18762" t="s">
        <v>47111</v>
      </c>
      <c r="J18762" t="s">
        <v>47112</v>
      </c>
      <c r="K18762" t="s">
        <v>47113</v>
      </c>
      <c r="L18762">
        <v>58.07</v>
      </c>
      <c r="M18762">
        <v>127</v>
      </c>
      <c r="N18762">
        <v>0</v>
      </c>
      <c r="O18762">
        <v>127</v>
      </c>
      <c r="P18762">
        <v>0</v>
      </c>
    </row>
    <row r="18763" spans="1:16" x14ac:dyDescent="0.25">
      <c r="A18763" t="s">
        <v>41387</v>
      </c>
      <c r="B18763" t="s">
        <v>11643</v>
      </c>
      <c r="C18763" t="s">
        <v>11644</v>
      </c>
      <c r="D18763" t="s">
        <v>11645</v>
      </c>
      <c r="E18763" t="s">
        <v>11646</v>
      </c>
      <c r="F18763" t="s">
        <v>3670</v>
      </c>
      <c r="G18763" t="s">
        <v>47093</v>
      </c>
      <c r="I18763" t="s">
        <v>47111</v>
      </c>
      <c r="J18763" t="s">
        <v>47112</v>
      </c>
      <c r="K18763" t="s">
        <v>47113</v>
      </c>
      <c r="L18763">
        <v>69.209999999999994</v>
      </c>
      <c r="M18763">
        <v>129</v>
      </c>
      <c r="N18763">
        <v>0</v>
      </c>
      <c r="O18763">
        <v>129</v>
      </c>
      <c r="P18763">
        <v>0</v>
      </c>
    </row>
    <row r="18764" spans="1:16" x14ac:dyDescent="0.25">
      <c r="A18764" t="s">
        <v>41388</v>
      </c>
      <c r="B18764" t="s">
        <v>11647</v>
      </c>
      <c r="C18764" t="s">
        <v>11648</v>
      </c>
      <c r="D18764" t="s">
        <v>5063</v>
      </c>
      <c r="E18764" t="s">
        <v>5064</v>
      </c>
      <c r="F18764" t="s">
        <v>3670</v>
      </c>
      <c r="G18764" t="s">
        <v>47093</v>
      </c>
      <c r="H18764" t="s">
        <v>47054</v>
      </c>
      <c r="I18764" t="s">
        <v>47111</v>
      </c>
      <c r="J18764" t="s">
        <v>47112</v>
      </c>
      <c r="K18764" t="s">
        <v>47113</v>
      </c>
      <c r="L18764">
        <v>54.03</v>
      </c>
      <c r="M18764">
        <v>100</v>
      </c>
      <c r="N18764">
        <v>0</v>
      </c>
      <c r="O18764">
        <v>100</v>
      </c>
      <c r="P18764">
        <v>0</v>
      </c>
    </row>
    <row r="18765" spans="1:16" x14ac:dyDescent="0.25">
      <c r="A18765" t="s">
        <v>41389</v>
      </c>
      <c r="B18765" t="s">
        <v>11649</v>
      </c>
      <c r="C18765" t="s">
        <v>11650</v>
      </c>
      <c r="D18765" t="s">
        <v>11651</v>
      </c>
      <c r="E18765" t="s">
        <v>11652</v>
      </c>
      <c r="F18765" t="s">
        <v>3670</v>
      </c>
      <c r="G18765" t="s">
        <v>47093</v>
      </c>
      <c r="H18765" t="s">
        <v>47054</v>
      </c>
      <c r="I18765" t="s">
        <v>47111</v>
      </c>
      <c r="J18765" t="s">
        <v>47112</v>
      </c>
      <c r="K18765" t="s">
        <v>47113</v>
      </c>
      <c r="L18765">
        <v>45.4</v>
      </c>
      <c r="M18765">
        <v>103</v>
      </c>
      <c r="N18765">
        <v>0</v>
      </c>
      <c r="O18765">
        <v>103</v>
      </c>
      <c r="P18765">
        <v>0</v>
      </c>
    </row>
    <row r="18766" spans="1:16" x14ac:dyDescent="0.25">
      <c r="A18766" t="s">
        <v>41390</v>
      </c>
      <c r="B18766" t="s">
        <v>11649</v>
      </c>
      <c r="C18766" t="s">
        <v>11650</v>
      </c>
      <c r="D18766" t="s">
        <v>11653</v>
      </c>
      <c r="E18766" t="s">
        <v>11654</v>
      </c>
      <c r="F18766" t="s">
        <v>3670</v>
      </c>
      <c r="G18766" t="s">
        <v>47093</v>
      </c>
      <c r="H18766" t="s">
        <v>47054</v>
      </c>
      <c r="I18766" t="s">
        <v>47111</v>
      </c>
      <c r="J18766" t="s">
        <v>47112</v>
      </c>
      <c r="K18766" t="s">
        <v>47113</v>
      </c>
      <c r="L18766">
        <v>70.569999999999993</v>
      </c>
      <c r="M18766">
        <v>103</v>
      </c>
      <c r="N18766">
        <v>0</v>
      </c>
      <c r="O18766">
        <v>103</v>
      </c>
      <c r="P18766">
        <v>0</v>
      </c>
    </row>
    <row r="18767" spans="1:16" x14ac:dyDescent="0.25">
      <c r="A18767" t="s">
        <v>41391</v>
      </c>
      <c r="B18767" t="s">
        <v>11655</v>
      </c>
      <c r="C18767" t="s">
        <v>11650</v>
      </c>
      <c r="D18767" t="s">
        <v>11656</v>
      </c>
      <c r="E18767" t="s">
        <v>11657</v>
      </c>
      <c r="F18767" t="s">
        <v>3670</v>
      </c>
      <c r="G18767" t="s">
        <v>47093</v>
      </c>
      <c r="I18767" t="s">
        <v>47111</v>
      </c>
      <c r="J18767" t="s">
        <v>47112</v>
      </c>
      <c r="K18767" t="s">
        <v>47113</v>
      </c>
      <c r="L18767">
        <v>73.849999999999994</v>
      </c>
      <c r="M18767">
        <v>122</v>
      </c>
      <c r="N18767">
        <v>0</v>
      </c>
      <c r="O18767">
        <v>122</v>
      </c>
      <c r="P18767">
        <v>0</v>
      </c>
    </row>
    <row r="18768" spans="1:16" x14ac:dyDescent="0.25">
      <c r="A18768" t="s">
        <v>41392</v>
      </c>
      <c r="B18768" t="s">
        <v>11658</v>
      </c>
      <c r="C18768" t="s">
        <v>11659</v>
      </c>
      <c r="D18768" t="s">
        <v>11660</v>
      </c>
      <c r="E18768" t="s">
        <v>11661</v>
      </c>
      <c r="F18768" t="s">
        <v>3670</v>
      </c>
      <c r="G18768" t="s">
        <v>47093</v>
      </c>
      <c r="H18768" t="s">
        <v>47054</v>
      </c>
      <c r="I18768" t="s">
        <v>47111</v>
      </c>
      <c r="J18768" t="s">
        <v>47112</v>
      </c>
      <c r="K18768" t="s">
        <v>47113</v>
      </c>
      <c r="L18768">
        <v>64.59</v>
      </c>
      <c r="M18768">
        <v>122</v>
      </c>
      <c r="N18768">
        <v>0</v>
      </c>
      <c r="O18768">
        <v>122</v>
      </c>
      <c r="P18768">
        <v>0</v>
      </c>
    </row>
    <row r="18769" spans="1:16" x14ac:dyDescent="0.25">
      <c r="A18769" t="s">
        <v>41393</v>
      </c>
      <c r="B18769" t="s">
        <v>11658</v>
      </c>
      <c r="C18769" t="s">
        <v>11659</v>
      </c>
      <c r="D18769" t="s">
        <v>11662</v>
      </c>
      <c r="E18769" t="s">
        <v>11663</v>
      </c>
      <c r="F18769" t="s">
        <v>3670</v>
      </c>
      <c r="G18769" t="s">
        <v>47093</v>
      </c>
      <c r="H18769" t="s">
        <v>47054</v>
      </c>
      <c r="I18769" t="s">
        <v>47111</v>
      </c>
      <c r="J18769" t="s">
        <v>47112</v>
      </c>
      <c r="K18769" t="s">
        <v>47113</v>
      </c>
      <c r="L18769">
        <v>63.5</v>
      </c>
      <c r="M18769">
        <v>122</v>
      </c>
      <c r="N18769">
        <v>0</v>
      </c>
      <c r="O18769">
        <v>122</v>
      </c>
      <c r="P18769">
        <v>0</v>
      </c>
    </row>
    <row r="18770" spans="1:16" x14ac:dyDescent="0.25">
      <c r="A18770" t="s">
        <v>41394</v>
      </c>
      <c r="B18770" t="s">
        <v>11664</v>
      </c>
      <c r="C18770" t="s">
        <v>11665</v>
      </c>
      <c r="D18770" t="s">
        <v>11653</v>
      </c>
      <c r="E18770" t="s">
        <v>11654</v>
      </c>
      <c r="F18770" t="s">
        <v>3670</v>
      </c>
      <c r="G18770" t="s">
        <v>47093</v>
      </c>
      <c r="H18770" t="s">
        <v>47054</v>
      </c>
      <c r="I18770" t="s">
        <v>47111</v>
      </c>
      <c r="J18770" t="s">
        <v>47112</v>
      </c>
      <c r="K18770" t="s">
        <v>47113</v>
      </c>
      <c r="L18770">
        <v>44.63</v>
      </c>
      <c r="M18770">
        <v>103</v>
      </c>
      <c r="N18770">
        <v>0</v>
      </c>
      <c r="O18770">
        <v>103</v>
      </c>
      <c r="P18770">
        <v>0</v>
      </c>
    </row>
    <row r="18771" spans="1:16" x14ac:dyDescent="0.25">
      <c r="A18771" t="s">
        <v>41395</v>
      </c>
      <c r="B18771" t="s">
        <v>11666</v>
      </c>
      <c r="C18771" t="s">
        <v>10614</v>
      </c>
      <c r="D18771" t="s">
        <v>11667</v>
      </c>
      <c r="E18771" t="s">
        <v>11668</v>
      </c>
      <c r="F18771" t="s">
        <v>3670</v>
      </c>
      <c r="G18771" t="s">
        <v>47093</v>
      </c>
      <c r="H18771" t="s">
        <v>47054</v>
      </c>
      <c r="I18771" t="s">
        <v>47111</v>
      </c>
      <c r="J18771" t="s">
        <v>47112</v>
      </c>
      <c r="K18771" t="s">
        <v>47113</v>
      </c>
      <c r="L18771">
        <v>50.07</v>
      </c>
      <c r="M18771">
        <v>103</v>
      </c>
      <c r="N18771">
        <v>0</v>
      </c>
      <c r="O18771">
        <v>103</v>
      </c>
      <c r="P18771">
        <v>0</v>
      </c>
    </row>
    <row r="18772" spans="1:16" x14ac:dyDescent="0.25">
      <c r="A18772" t="s">
        <v>41396</v>
      </c>
      <c r="B18772" t="s">
        <v>11669</v>
      </c>
      <c r="C18772" t="s">
        <v>14443</v>
      </c>
      <c r="D18772" t="s">
        <v>11670</v>
      </c>
      <c r="E18772" t="s">
        <v>11671</v>
      </c>
      <c r="F18772" t="s">
        <v>3670</v>
      </c>
      <c r="G18772" t="s">
        <v>47093</v>
      </c>
      <c r="H18772" t="s">
        <v>47054</v>
      </c>
      <c r="I18772" t="s">
        <v>47111</v>
      </c>
      <c r="J18772" t="s">
        <v>47112</v>
      </c>
      <c r="K18772" t="s">
        <v>47113</v>
      </c>
      <c r="L18772">
        <v>50.42</v>
      </c>
      <c r="M18772">
        <v>92</v>
      </c>
      <c r="N18772">
        <v>0</v>
      </c>
      <c r="O18772">
        <v>92</v>
      </c>
      <c r="P18772">
        <v>0</v>
      </c>
    </row>
    <row r="18773" spans="1:16" x14ac:dyDescent="0.25">
      <c r="A18773" t="s">
        <v>41397</v>
      </c>
      <c r="B18773" t="s">
        <v>11672</v>
      </c>
      <c r="C18773" t="s">
        <v>14443</v>
      </c>
      <c r="D18773" t="s">
        <v>11667</v>
      </c>
      <c r="E18773" t="s">
        <v>11668</v>
      </c>
      <c r="F18773" t="s">
        <v>3670</v>
      </c>
      <c r="G18773" t="s">
        <v>47093</v>
      </c>
      <c r="H18773" t="s">
        <v>47054</v>
      </c>
      <c r="I18773" t="s">
        <v>47111</v>
      </c>
      <c r="J18773" t="s">
        <v>47112</v>
      </c>
      <c r="K18773" t="s">
        <v>47113</v>
      </c>
      <c r="L18773">
        <v>66.42</v>
      </c>
      <c r="M18773">
        <v>129</v>
      </c>
      <c r="N18773">
        <v>0</v>
      </c>
      <c r="O18773">
        <v>129</v>
      </c>
      <c r="P18773">
        <v>0</v>
      </c>
    </row>
    <row r="18774" spans="1:16" x14ac:dyDescent="0.25">
      <c r="A18774" t="s">
        <v>41398</v>
      </c>
      <c r="B18774" t="s">
        <v>11673</v>
      </c>
      <c r="C18774" t="s">
        <v>11674</v>
      </c>
      <c r="D18774" t="s">
        <v>11591</v>
      </c>
      <c r="E18774" t="s">
        <v>11592</v>
      </c>
      <c r="F18774" t="s">
        <v>3670</v>
      </c>
      <c r="G18774" t="s">
        <v>47093</v>
      </c>
      <c r="H18774" t="s">
        <v>47054</v>
      </c>
      <c r="I18774" t="s">
        <v>47111</v>
      </c>
      <c r="J18774" t="s">
        <v>47112</v>
      </c>
      <c r="K18774" t="s">
        <v>47113</v>
      </c>
      <c r="L18774">
        <v>41.41</v>
      </c>
      <c r="M18774">
        <v>74</v>
      </c>
      <c r="N18774">
        <v>0</v>
      </c>
      <c r="O18774">
        <v>74</v>
      </c>
      <c r="P18774">
        <v>0</v>
      </c>
    </row>
    <row r="18775" spans="1:16" x14ac:dyDescent="0.25">
      <c r="A18775" t="s">
        <v>41399</v>
      </c>
      <c r="B18775" t="s">
        <v>11675</v>
      </c>
      <c r="C18775" t="s">
        <v>41400</v>
      </c>
      <c r="D18775" t="s">
        <v>11676</v>
      </c>
      <c r="E18775" t="s">
        <v>11677</v>
      </c>
      <c r="F18775" t="s">
        <v>3546</v>
      </c>
      <c r="G18775" t="s">
        <v>47093</v>
      </c>
      <c r="I18775" t="s">
        <v>47111</v>
      </c>
      <c r="J18775" t="s">
        <v>47112</v>
      </c>
      <c r="K18775" t="s">
        <v>47113</v>
      </c>
      <c r="L18775">
        <v>79.16</v>
      </c>
      <c r="M18775">
        <v>111</v>
      </c>
      <c r="N18775">
        <v>0</v>
      </c>
      <c r="O18775">
        <v>111</v>
      </c>
      <c r="P18775">
        <v>0</v>
      </c>
    </row>
    <row r="18776" spans="1:16" x14ac:dyDescent="0.25">
      <c r="A18776" t="s">
        <v>41401</v>
      </c>
      <c r="B18776" t="s">
        <v>11675</v>
      </c>
      <c r="C18776" t="s">
        <v>41400</v>
      </c>
      <c r="D18776" t="s">
        <v>11678</v>
      </c>
      <c r="E18776" t="s">
        <v>11679</v>
      </c>
      <c r="F18776" t="s">
        <v>3670</v>
      </c>
      <c r="G18776" t="s">
        <v>47093</v>
      </c>
      <c r="I18776" t="s">
        <v>47111</v>
      </c>
      <c r="J18776" t="s">
        <v>47112</v>
      </c>
      <c r="K18776" t="s">
        <v>47113</v>
      </c>
      <c r="L18776">
        <v>74.849999999999994</v>
      </c>
      <c r="M18776">
        <v>111</v>
      </c>
      <c r="N18776">
        <v>0</v>
      </c>
      <c r="O18776">
        <v>111</v>
      </c>
      <c r="P18776">
        <v>0</v>
      </c>
    </row>
    <row r="18777" spans="1:16" x14ac:dyDescent="0.25">
      <c r="A18777" t="s">
        <v>41402</v>
      </c>
      <c r="B18777" t="s">
        <v>11680</v>
      </c>
      <c r="C18777" t="s">
        <v>11681</v>
      </c>
      <c r="D18777" t="s">
        <v>11595</v>
      </c>
      <c r="E18777" t="s">
        <v>11596</v>
      </c>
      <c r="F18777" t="s">
        <v>3546</v>
      </c>
      <c r="G18777" t="s">
        <v>47093</v>
      </c>
      <c r="H18777" t="s">
        <v>47054</v>
      </c>
      <c r="I18777" t="s">
        <v>47111</v>
      </c>
      <c r="J18777" t="s">
        <v>47112</v>
      </c>
      <c r="K18777" t="s">
        <v>47113</v>
      </c>
      <c r="L18777">
        <v>63.94</v>
      </c>
      <c r="M18777">
        <v>158</v>
      </c>
      <c r="N18777">
        <v>0</v>
      </c>
      <c r="O18777">
        <v>158</v>
      </c>
      <c r="P18777">
        <v>0</v>
      </c>
    </row>
    <row r="18778" spans="1:16" x14ac:dyDescent="0.25">
      <c r="A18778" t="s">
        <v>41403</v>
      </c>
      <c r="B18778" t="s">
        <v>11682</v>
      </c>
      <c r="C18778" t="s">
        <v>11683</v>
      </c>
      <c r="D18778" t="s">
        <v>11607</v>
      </c>
      <c r="E18778" t="s">
        <v>11608</v>
      </c>
      <c r="F18778" t="s">
        <v>3546</v>
      </c>
      <c r="G18778" t="s">
        <v>47093</v>
      </c>
      <c r="H18778" t="s">
        <v>47054</v>
      </c>
      <c r="I18778" t="s">
        <v>47111</v>
      </c>
      <c r="J18778" t="s">
        <v>47112</v>
      </c>
      <c r="K18778" t="s">
        <v>47113</v>
      </c>
      <c r="L18778">
        <v>62.58</v>
      </c>
      <c r="M18778">
        <v>154</v>
      </c>
      <c r="N18778">
        <v>0</v>
      </c>
      <c r="O18778">
        <v>154</v>
      </c>
      <c r="P18778">
        <v>0</v>
      </c>
    </row>
    <row r="18779" spans="1:16" x14ac:dyDescent="0.25">
      <c r="A18779" t="s">
        <v>41404</v>
      </c>
      <c r="B18779" t="s">
        <v>11684</v>
      </c>
      <c r="C18779" t="s">
        <v>14442</v>
      </c>
      <c r="D18779" t="s">
        <v>11591</v>
      </c>
      <c r="E18779" t="s">
        <v>11592</v>
      </c>
      <c r="F18779" t="s">
        <v>3670</v>
      </c>
      <c r="G18779" t="s">
        <v>47093</v>
      </c>
      <c r="H18779" t="s">
        <v>47054</v>
      </c>
      <c r="I18779" t="s">
        <v>47111</v>
      </c>
      <c r="J18779" t="s">
        <v>47112</v>
      </c>
      <c r="K18779" t="s">
        <v>47113</v>
      </c>
      <c r="L18779">
        <v>34.9</v>
      </c>
      <c r="M18779">
        <v>66</v>
      </c>
      <c r="N18779">
        <v>0</v>
      </c>
      <c r="O18779">
        <v>66</v>
      </c>
      <c r="P18779">
        <v>0</v>
      </c>
    </row>
    <row r="18780" spans="1:16" x14ac:dyDescent="0.25">
      <c r="A18780" t="s">
        <v>41405</v>
      </c>
      <c r="B18780" t="s">
        <v>11685</v>
      </c>
      <c r="C18780" t="s">
        <v>18449</v>
      </c>
      <c r="D18780" t="s">
        <v>11686</v>
      </c>
      <c r="E18780" t="s">
        <v>11687</v>
      </c>
      <c r="F18780" t="s">
        <v>3670</v>
      </c>
      <c r="G18780" t="s">
        <v>47093</v>
      </c>
      <c r="H18780" t="s">
        <v>47054</v>
      </c>
      <c r="I18780" t="s">
        <v>47111</v>
      </c>
      <c r="J18780" t="s">
        <v>47112</v>
      </c>
      <c r="K18780" t="s">
        <v>47113</v>
      </c>
      <c r="L18780">
        <v>73.599999999999994</v>
      </c>
      <c r="M18780">
        <v>111</v>
      </c>
      <c r="N18780">
        <v>0</v>
      </c>
      <c r="O18780">
        <v>111</v>
      </c>
      <c r="P18780">
        <v>0</v>
      </c>
    </row>
    <row r="18781" spans="1:16" x14ac:dyDescent="0.25">
      <c r="A18781" t="s">
        <v>41406</v>
      </c>
      <c r="B18781" t="s">
        <v>11688</v>
      </c>
      <c r="C18781" t="s">
        <v>18450</v>
      </c>
      <c r="D18781" t="s">
        <v>11591</v>
      </c>
      <c r="E18781" t="s">
        <v>11592</v>
      </c>
      <c r="F18781" t="s">
        <v>3670</v>
      </c>
      <c r="G18781" t="s">
        <v>49029</v>
      </c>
      <c r="H18781" t="s">
        <v>47054</v>
      </c>
      <c r="I18781" t="s">
        <v>47111</v>
      </c>
      <c r="J18781" t="s">
        <v>47112</v>
      </c>
      <c r="K18781" t="s">
        <v>47113</v>
      </c>
      <c r="L18781">
        <v>36.43</v>
      </c>
      <c r="M18781">
        <v>66</v>
      </c>
      <c r="N18781">
        <v>0</v>
      </c>
      <c r="O18781">
        <v>66</v>
      </c>
      <c r="P18781">
        <v>0</v>
      </c>
    </row>
    <row r="18782" spans="1:16" x14ac:dyDescent="0.25">
      <c r="A18782" t="s">
        <v>41407</v>
      </c>
      <c r="B18782" t="s">
        <v>11689</v>
      </c>
      <c r="C18782" t="s">
        <v>11690</v>
      </c>
      <c r="D18782" t="s">
        <v>11624</v>
      </c>
      <c r="E18782" t="s">
        <v>11625</v>
      </c>
      <c r="F18782" t="s">
        <v>3546</v>
      </c>
      <c r="G18782" t="s">
        <v>47093</v>
      </c>
      <c r="H18782" t="s">
        <v>47054</v>
      </c>
      <c r="I18782" t="s">
        <v>47111</v>
      </c>
      <c r="J18782" t="s">
        <v>47112</v>
      </c>
      <c r="K18782" t="s">
        <v>47113</v>
      </c>
      <c r="L18782">
        <v>52.55</v>
      </c>
      <c r="M18782">
        <v>130</v>
      </c>
      <c r="N18782">
        <v>0</v>
      </c>
      <c r="O18782">
        <v>130</v>
      </c>
      <c r="P18782">
        <v>0</v>
      </c>
    </row>
    <row r="18783" spans="1:16" x14ac:dyDescent="0.25">
      <c r="A18783" t="s">
        <v>41408</v>
      </c>
      <c r="B18783" t="s">
        <v>11691</v>
      </c>
      <c r="C18783" t="s">
        <v>11692</v>
      </c>
      <c r="D18783" t="s">
        <v>11693</v>
      </c>
      <c r="E18783" t="s">
        <v>11694</v>
      </c>
      <c r="F18783" t="s">
        <v>3670</v>
      </c>
      <c r="G18783" t="s">
        <v>47093</v>
      </c>
      <c r="H18783" t="s">
        <v>47054</v>
      </c>
      <c r="I18783" t="s">
        <v>47111</v>
      </c>
      <c r="J18783" t="s">
        <v>47112</v>
      </c>
      <c r="K18783" t="s">
        <v>47113</v>
      </c>
      <c r="L18783">
        <v>45.86</v>
      </c>
      <c r="M18783">
        <v>92</v>
      </c>
      <c r="N18783">
        <v>0</v>
      </c>
      <c r="O18783">
        <v>92</v>
      </c>
      <c r="P18783">
        <v>0</v>
      </c>
    </row>
    <row r="18784" spans="1:16" x14ac:dyDescent="0.25">
      <c r="A18784" t="s">
        <v>41409</v>
      </c>
      <c r="B18784" t="s">
        <v>11695</v>
      </c>
      <c r="C18784" t="s">
        <v>12411</v>
      </c>
      <c r="D18784" t="s">
        <v>11660</v>
      </c>
      <c r="E18784" t="s">
        <v>11661</v>
      </c>
      <c r="F18784" t="s">
        <v>3670</v>
      </c>
      <c r="G18784" t="s">
        <v>47093</v>
      </c>
      <c r="I18784" t="s">
        <v>47111</v>
      </c>
      <c r="J18784" t="s">
        <v>47112</v>
      </c>
      <c r="K18784" t="s">
        <v>47113</v>
      </c>
      <c r="L18784">
        <v>62.69</v>
      </c>
      <c r="M18784">
        <v>122</v>
      </c>
      <c r="N18784">
        <v>0</v>
      </c>
      <c r="O18784">
        <v>122</v>
      </c>
      <c r="P18784">
        <v>0</v>
      </c>
    </row>
    <row r="18785" spans="1:16" x14ac:dyDescent="0.25">
      <c r="A18785" t="s">
        <v>41410</v>
      </c>
      <c r="B18785" t="s">
        <v>11695</v>
      </c>
      <c r="C18785" t="s">
        <v>12411</v>
      </c>
      <c r="D18785" t="s">
        <v>11662</v>
      </c>
      <c r="E18785" t="s">
        <v>11663</v>
      </c>
      <c r="F18785" t="s">
        <v>3670</v>
      </c>
      <c r="G18785" t="s">
        <v>47093</v>
      </c>
      <c r="I18785" t="s">
        <v>47111</v>
      </c>
      <c r="J18785" t="s">
        <v>47112</v>
      </c>
      <c r="K18785" t="s">
        <v>47113</v>
      </c>
      <c r="L18785">
        <v>61.61</v>
      </c>
      <c r="M18785">
        <v>122</v>
      </c>
      <c r="N18785">
        <v>0</v>
      </c>
      <c r="O18785">
        <v>122</v>
      </c>
      <c r="P18785">
        <v>0</v>
      </c>
    </row>
    <row r="18786" spans="1:16" x14ac:dyDescent="0.25">
      <c r="A18786" t="s">
        <v>41411</v>
      </c>
      <c r="B18786" t="s">
        <v>11697</v>
      </c>
      <c r="C18786" t="s">
        <v>12407</v>
      </c>
      <c r="D18786" t="s">
        <v>11660</v>
      </c>
      <c r="E18786" t="s">
        <v>11661</v>
      </c>
      <c r="F18786" t="s">
        <v>3670</v>
      </c>
      <c r="G18786" t="s">
        <v>47093</v>
      </c>
      <c r="H18786" t="s">
        <v>47054</v>
      </c>
      <c r="I18786" t="s">
        <v>47111</v>
      </c>
      <c r="J18786" t="s">
        <v>47112</v>
      </c>
      <c r="K18786" t="s">
        <v>47113</v>
      </c>
      <c r="L18786">
        <v>63.91</v>
      </c>
      <c r="M18786">
        <v>122</v>
      </c>
      <c r="N18786">
        <v>0</v>
      </c>
      <c r="O18786">
        <v>122</v>
      </c>
      <c r="P18786">
        <v>0</v>
      </c>
    </row>
    <row r="18787" spans="1:16" x14ac:dyDescent="0.25">
      <c r="A18787" t="s">
        <v>41412</v>
      </c>
      <c r="B18787" t="s">
        <v>11697</v>
      </c>
      <c r="C18787" t="s">
        <v>12407</v>
      </c>
      <c r="D18787" t="s">
        <v>11662</v>
      </c>
      <c r="E18787" t="s">
        <v>11663</v>
      </c>
      <c r="F18787" t="s">
        <v>3670</v>
      </c>
      <c r="G18787" t="s">
        <v>47093</v>
      </c>
      <c r="H18787" t="s">
        <v>47054</v>
      </c>
      <c r="I18787" t="s">
        <v>47111</v>
      </c>
      <c r="J18787" t="s">
        <v>47112</v>
      </c>
      <c r="K18787" t="s">
        <v>47113</v>
      </c>
      <c r="L18787">
        <v>62.82</v>
      </c>
      <c r="M18787">
        <v>122</v>
      </c>
      <c r="N18787">
        <v>0</v>
      </c>
      <c r="O18787">
        <v>122</v>
      </c>
      <c r="P18787">
        <v>0</v>
      </c>
    </row>
    <row r="18788" spans="1:16" x14ac:dyDescent="0.25">
      <c r="A18788" t="s">
        <v>41413</v>
      </c>
      <c r="B18788" t="s">
        <v>11698</v>
      </c>
      <c r="C18788" t="s">
        <v>11699</v>
      </c>
      <c r="D18788" t="s">
        <v>11653</v>
      </c>
      <c r="E18788" t="s">
        <v>11654</v>
      </c>
      <c r="F18788" t="s">
        <v>3670</v>
      </c>
      <c r="G18788" t="s">
        <v>49029</v>
      </c>
      <c r="H18788" t="s">
        <v>47054</v>
      </c>
      <c r="I18788" t="s">
        <v>47111</v>
      </c>
      <c r="J18788" t="s">
        <v>47112</v>
      </c>
      <c r="K18788" t="s">
        <v>47113</v>
      </c>
      <c r="L18788">
        <v>0</v>
      </c>
      <c r="M18788">
        <v>92</v>
      </c>
      <c r="N18788">
        <v>0</v>
      </c>
      <c r="O18788">
        <v>92</v>
      </c>
      <c r="P18788">
        <v>0</v>
      </c>
    </row>
    <row r="18789" spans="1:16" x14ac:dyDescent="0.25">
      <c r="A18789" t="s">
        <v>41414</v>
      </c>
      <c r="B18789" t="s">
        <v>11700</v>
      </c>
      <c r="C18789" t="s">
        <v>11701</v>
      </c>
      <c r="D18789" t="s">
        <v>11591</v>
      </c>
      <c r="E18789" t="s">
        <v>11592</v>
      </c>
      <c r="F18789" t="s">
        <v>3670</v>
      </c>
      <c r="G18789" t="s">
        <v>49029</v>
      </c>
      <c r="H18789" t="s">
        <v>47054</v>
      </c>
      <c r="I18789" t="s">
        <v>47111</v>
      </c>
      <c r="J18789" t="s">
        <v>47112</v>
      </c>
      <c r="K18789" t="s">
        <v>47113</v>
      </c>
      <c r="L18789">
        <v>39.97</v>
      </c>
      <c r="M18789">
        <v>66</v>
      </c>
      <c r="N18789">
        <v>0</v>
      </c>
      <c r="O18789">
        <v>66</v>
      </c>
      <c r="P18789">
        <v>0</v>
      </c>
    </row>
    <row r="18790" spans="1:16" x14ac:dyDescent="0.25">
      <c r="A18790" t="s">
        <v>41415</v>
      </c>
      <c r="B18790" t="s">
        <v>11702</v>
      </c>
      <c r="C18790" t="s">
        <v>18451</v>
      </c>
      <c r="D18790" t="s">
        <v>11693</v>
      </c>
      <c r="E18790" t="s">
        <v>11694</v>
      </c>
      <c r="F18790" t="s">
        <v>3670</v>
      </c>
      <c r="G18790" t="s">
        <v>49029</v>
      </c>
      <c r="H18790" t="s">
        <v>47054</v>
      </c>
      <c r="I18790" t="s">
        <v>47111</v>
      </c>
      <c r="J18790" t="s">
        <v>47112</v>
      </c>
      <c r="K18790" t="s">
        <v>47113</v>
      </c>
      <c r="L18790">
        <v>39.76</v>
      </c>
      <c r="M18790">
        <v>63</v>
      </c>
      <c r="N18790">
        <v>0</v>
      </c>
      <c r="O18790">
        <v>63</v>
      </c>
      <c r="P18790">
        <v>0</v>
      </c>
    </row>
    <row r="18791" spans="1:16" x14ac:dyDescent="0.25">
      <c r="A18791" t="s">
        <v>41416</v>
      </c>
      <c r="B18791" t="s">
        <v>11703</v>
      </c>
      <c r="C18791" t="s">
        <v>11704</v>
      </c>
      <c r="D18791" t="s">
        <v>11591</v>
      </c>
      <c r="E18791" t="s">
        <v>11592</v>
      </c>
      <c r="F18791" t="s">
        <v>3670</v>
      </c>
      <c r="G18791" t="s">
        <v>47093</v>
      </c>
      <c r="I18791" t="s">
        <v>47111</v>
      </c>
      <c r="J18791" t="s">
        <v>47112</v>
      </c>
      <c r="K18791" t="s">
        <v>47113</v>
      </c>
      <c r="L18791">
        <v>65.430000000000007</v>
      </c>
      <c r="M18791">
        <v>129</v>
      </c>
      <c r="N18791">
        <v>0</v>
      </c>
      <c r="O18791">
        <v>129</v>
      </c>
      <c r="P18791">
        <v>0</v>
      </c>
    </row>
    <row r="18792" spans="1:16" x14ac:dyDescent="0.25">
      <c r="A18792" t="s">
        <v>41417</v>
      </c>
      <c r="B18792" t="s">
        <v>11705</v>
      </c>
      <c r="C18792" t="s">
        <v>14343</v>
      </c>
      <c r="D18792" t="s">
        <v>7278</v>
      </c>
      <c r="E18792" t="s">
        <v>7279</v>
      </c>
      <c r="F18792" t="s">
        <v>3670</v>
      </c>
      <c r="G18792" t="s">
        <v>47093</v>
      </c>
      <c r="H18792" t="s">
        <v>47054</v>
      </c>
      <c r="I18792" t="s">
        <v>47111</v>
      </c>
      <c r="J18792" t="s">
        <v>47112</v>
      </c>
      <c r="K18792" t="s">
        <v>47113</v>
      </c>
      <c r="L18792">
        <v>70.84</v>
      </c>
      <c r="M18792">
        <v>129</v>
      </c>
      <c r="N18792">
        <v>0</v>
      </c>
      <c r="O18792">
        <v>129</v>
      </c>
      <c r="P18792">
        <v>0</v>
      </c>
    </row>
    <row r="18793" spans="1:16" x14ac:dyDescent="0.25">
      <c r="A18793" t="s">
        <v>41418</v>
      </c>
      <c r="B18793" t="s">
        <v>11706</v>
      </c>
      <c r="C18793" t="s">
        <v>11707</v>
      </c>
      <c r="D18793" t="s">
        <v>11667</v>
      </c>
      <c r="E18793" t="s">
        <v>11668</v>
      </c>
      <c r="F18793" t="s">
        <v>3670</v>
      </c>
      <c r="G18793" t="s">
        <v>49029</v>
      </c>
      <c r="H18793" t="s">
        <v>47054</v>
      </c>
      <c r="I18793" t="s">
        <v>47111</v>
      </c>
      <c r="J18793" t="s">
        <v>47112</v>
      </c>
      <c r="K18793" t="s">
        <v>47113</v>
      </c>
      <c r="L18793">
        <v>44.8</v>
      </c>
      <c r="M18793">
        <v>96</v>
      </c>
      <c r="N18793">
        <v>0</v>
      </c>
      <c r="O18793">
        <v>96</v>
      </c>
      <c r="P18793">
        <v>0</v>
      </c>
    </row>
    <row r="18794" spans="1:16" x14ac:dyDescent="0.25">
      <c r="A18794" t="s">
        <v>41419</v>
      </c>
      <c r="B18794" t="s">
        <v>11708</v>
      </c>
      <c r="C18794" t="s">
        <v>11709</v>
      </c>
      <c r="D18794" t="s">
        <v>5063</v>
      </c>
      <c r="E18794" t="s">
        <v>5064</v>
      </c>
      <c r="F18794" t="s">
        <v>3670</v>
      </c>
      <c r="G18794" t="s">
        <v>47093</v>
      </c>
      <c r="H18794" t="s">
        <v>47054</v>
      </c>
      <c r="I18794" t="s">
        <v>47111</v>
      </c>
      <c r="J18794" t="s">
        <v>47112</v>
      </c>
      <c r="K18794" t="s">
        <v>47113</v>
      </c>
      <c r="L18794">
        <v>54.03</v>
      </c>
      <c r="M18794">
        <v>100</v>
      </c>
      <c r="N18794">
        <v>0</v>
      </c>
      <c r="O18794">
        <v>100</v>
      </c>
      <c r="P18794">
        <v>0</v>
      </c>
    </row>
    <row r="18795" spans="1:16" x14ac:dyDescent="0.25">
      <c r="A18795" t="s">
        <v>41420</v>
      </c>
      <c r="B18795" t="s">
        <v>11710</v>
      </c>
      <c r="C18795" t="s">
        <v>11711</v>
      </c>
      <c r="D18795" t="s">
        <v>11615</v>
      </c>
      <c r="E18795" t="s">
        <v>11616</v>
      </c>
      <c r="F18795" t="s">
        <v>3546</v>
      </c>
      <c r="G18795" t="s">
        <v>47093</v>
      </c>
      <c r="H18795" t="s">
        <v>47054</v>
      </c>
      <c r="I18795" t="s">
        <v>47111</v>
      </c>
      <c r="J18795" t="s">
        <v>47112</v>
      </c>
      <c r="K18795" t="s">
        <v>47113</v>
      </c>
      <c r="L18795">
        <v>61.91</v>
      </c>
      <c r="M18795">
        <v>153</v>
      </c>
      <c r="N18795">
        <v>0</v>
      </c>
      <c r="O18795">
        <v>153</v>
      </c>
      <c r="P18795">
        <v>0</v>
      </c>
    </row>
    <row r="18796" spans="1:16" x14ac:dyDescent="0.25">
      <c r="A18796" t="s">
        <v>41421</v>
      </c>
      <c r="B18796" t="s">
        <v>11712</v>
      </c>
      <c r="C18796" t="s">
        <v>11713</v>
      </c>
      <c r="D18796" t="s">
        <v>11714</v>
      </c>
      <c r="E18796" t="s">
        <v>11715</v>
      </c>
      <c r="F18796" t="s">
        <v>3546</v>
      </c>
      <c r="G18796" t="s">
        <v>47093</v>
      </c>
      <c r="H18796" t="s">
        <v>47054</v>
      </c>
      <c r="I18796" t="s">
        <v>47111</v>
      </c>
      <c r="J18796" t="s">
        <v>47112</v>
      </c>
      <c r="K18796" t="s">
        <v>47113</v>
      </c>
      <c r="L18796">
        <v>52.02</v>
      </c>
      <c r="M18796">
        <v>128</v>
      </c>
      <c r="N18796">
        <v>0</v>
      </c>
      <c r="O18796">
        <v>128</v>
      </c>
      <c r="P18796">
        <v>0</v>
      </c>
    </row>
    <row r="18797" spans="1:16" x14ac:dyDescent="0.25">
      <c r="A18797" t="s">
        <v>41422</v>
      </c>
      <c r="B18797" t="s">
        <v>11716</v>
      </c>
      <c r="C18797" t="s">
        <v>11717</v>
      </c>
      <c r="D18797" t="s">
        <v>11667</v>
      </c>
      <c r="E18797" t="s">
        <v>11668</v>
      </c>
      <c r="F18797" t="s">
        <v>3670</v>
      </c>
      <c r="G18797" t="s">
        <v>47098</v>
      </c>
      <c r="I18797" t="s">
        <v>47111</v>
      </c>
      <c r="J18797" t="s">
        <v>47112</v>
      </c>
      <c r="K18797" t="s">
        <v>47113</v>
      </c>
      <c r="L18797">
        <v>54.39</v>
      </c>
      <c r="M18797">
        <v>103</v>
      </c>
      <c r="N18797">
        <v>0</v>
      </c>
      <c r="O18797">
        <v>103</v>
      </c>
      <c r="P18797">
        <v>0</v>
      </c>
    </row>
    <row r="18798" spans="1:16" x14ac:dyDescent="0.25">
      <c r="A18798" t="s">
        <v>41423</v>
      </c>
      <c r="B18798" t="s">
        <v>11718</v>
      </c>
      <c r="C18798" t="s">
        <v>11717</v>
      </c>
      <c r="D18798" t="s">
        <v>11645</v>
      </c>
      <c r="E18798" t="s">
        <v>11646</v>
      </c>
      <c r="F18798" t="s">
        <v>3670</v>
      </c>
      <c r="G18798" t="s">
        <v>47098</v>
      </c>
      <c r="H18798" t="s">
        <v>47054</v>
      </c>
      <c r="I18798" t="s">
        <v>47111</v>
      </c>
      <c r="J18798" t="s">
        <v>47112</v>
      </c>
      <c r="K18798" t="s">
        <v>47113</v>
      </c>
      <c r="L18798">
        <v>58.91</v>
      </c>
      <c r="M18798">
        <v>129</v>
      </c>
      <c r="N18798">
        <v>0</v>
      </c>
      <c r="O18798">
        <v>129</v>
      </c>
      <c r="P18798">
        <v>0</v>
      </c>
    </row>
    <row r="18799" spans="1:16" x14ac:dyDescent="0.25">
      <c r="A18799" t="s">
        <v>572</v>
      </c>
      <c r="B18799" t="s">
        <v>573</v>
      </c>
      <c r="C18799" t="s">
        <v>574</v>
      </c>
      <c r="D18799" t="s">
        <v>575</v>
      </c>
      <c r="E18799" t="s">
        <v>576</v>
      </c>
      <c r="F18799" t="s">
        <v>0</v>
      </c>
      <c r="G18799" t="s">
        <v>48515</v>
      </c>
      <c r="H18799" t="s">
        <v>47054</v>
      </c>
      <c r="I18799" t="s">
        <v>47116</v>
      </c>
      <c r="J18799" t="s">
        <v>47117</v>
      </c>
      <c r="K18799" t="s">
        <v>47113</v>
      </c>
      <c r="L18799">
        <v>41.63</v>
      </c>
      <c r="M18799">
        <v>92</v>
      </c>
      <c r="N18799">
        <v>0</v>
      </c>
      <c r="O18799">
        <v>92</v>
      </c>
      <c r="P18799">
        <v>0</v>
      </c>
    </row>
    <row r="18800" spans="1:16" x14ac:dyDescent="0.25">
      <c r="A18800" t="s">
        <v>577</v>
      </c>
      <c r="B18800" t="s">
        <v>578</v>
      </c>
      <c r="C18800" t="s">
        <v>579</v>
      </c>
      <c r="D18800" t="s">
        <v>575</v>
      </c>
      <c r="E18800" t="s">
        <v>576</v>
      </c>
      <c r="F18800" t="s">
        <v>0</v>
      </c>
      <c r="G18800" t="s">
        <v>49029</v>
      </c>
      <c r="H18800" t="s">
        <v>47054</v>
      </c>
      <c r="I18800" t="s">
        <v>47111</v>
      </c>
      <c r="J18800" t="s">
        <v>47112</v>
      </c>
      <c r="K18800" t="s">
        <v>47113</v>
      </c>
      <c r="L18800">
        <v>30.14</v>
      </c>
      <c r="M18800">
        <v>65</v>
      </c>
      <c r="N18800">
        <v>0</v>
      </c>
      <c r="O18800">
        <v>65</v>
      </c>
      <c r="P18800">
        <v>0</v>
      </c>
    </row>
    <row r="18801" spans="1:16" x14ac:dyDescent="0.25">
      <c r="A18801" t="s">
        <v>41424</v>
      </c>
      <c r="B18801" t="s">
        <v>11719</v>
      </c>
      <c r="C18801" t="s">
        <v>11720</v>
      </c>
      <c r="D18801" t="s">
        <v>11721</v>
      </c>
      <c r="E18801" t="s">
        <v>11722</v>
      </c>
      <c r="F18801" t="s">
        <v>0</v>
      </c>
      <c r="G18801" t="s">
        <v>47093</v>
      </c>
      <c r="H18801" t="s">
        <v>47054</v>
      </c>
      <c r="I18801" t="s">
        <v>47111</v>
      </c>
      <c r="J18801" t="s">
        <v>47112</v>
      </c>
      <c r="K18801" t="s">
        <v>47113</v>
      </c>
      <c r="L18801">
        <v>69.180000000000007</v>
      </c>
      <c r="M18801">
        <v>134</v>
      </c>
      <c r="N18801">
        <v>0</v>
      </c>
      <c r="O18801">
        <v>134</v>
      </c>
      <c r="P18801">
        <v>0</v>
      </c>
    </row>
    <row r="18802" spans="1:16" x14ac:dyDescent="0.25">
      <c r="A18802" t="s">
        <v>41425</v>
      </c>
      <c r="B18802" t="s">
        <v>11723</v>
      </c>
      <c r="C18802" t="s">
        <v>11724</v>
      </c>
      <c r="D18802" t="s">
        <v>11725</v>
      </c>
      <c r="E18802" t="s">
        <v>11726</v>
      </c>
      <c r="F18802" t="s">
        <v>1</v>
      </c>
      <c r="G18802" t="s">
        <v>48515</v>
      </c>
      <c r="H18802" t="s">
        <v>47054</v>
      </c>
      <c r="I18802" t="s">
        <v>47116</v>
      </c>
      <c r="J18802" t="s">
        <v>47117</v>
      </c>
      <c r="K18802" t="s">
        <v>47113</v>
      </c>
      <c r="L18802">
        <v>38.26</v>
      </c>
      <c r="M18802">
        <v>94</v>
      </c>
      <c r="N18802">
        <v>0</v>
      </c>
      <c r="O18802">
        <v>94</v>
      </c>
      <c r="P18802">
        <v>0</v>
      </c>
    </row>
    <row r="18803" spans="1:16" x14ac:dyDescent="0.25">
      <c r="A18803" t="s">
        <v>580</v>
      </c>
      <c r="B18803" t="s">
        <v>581</v>
      </c>
      <c r="C18803" t="s">
        <v>582</v>
      </c>
      <c r="D18803" t="s">
        <v>575</v>
      </c>
      <c r="E18803" t="s">
        <v>576</v>
      </c>
      <c r="F18803" t="s">
        <v>1</v>
      </c>
      <c r="G18803" t="s">
        <v>47093</v>
      </c>
      <c r="H18803" t="s">
        <v>47054</v>
      </c>
      <c r="I18803" t="s">
        <v>47111</v>
      </c>
      <c r="J18803" t="s">
        <v>47112</v>
      </c>
      <c r="K18803" t="s">
        <v>47113</v>
      </c>
      <c r="L18803">
        <v>37.799999999999997</v>
      </c>
      <c r="M18803">
        <v>112</v>
      </c>
      <c r="N18803">
        <v>0</v>
      </c>
      <c r="O18803">
        <v>112</v>
      </c>
      <c r="P18803">
        <v>0</v>
      </c>
    </row>
    <row r="18804" spans="1:16" x14ac:dyDescent="0.25">
      <c r="A18804" t="s">
        <v>41426</v>
      </c>
      <c r="B18804" t="s">
        <v>11727</v>
      </c>
      <c r="C18804" t="s">
        <v>11728</v>
      </c>
      <c r="D18804" t="s">
        <v>585</v>
      </c>
      <c r="E18804" t="s">
        <v>586</v>
      </c>
      <c r="F18804" t="s">
        <v>1</v>
      </c>
      <c r="G18804" t="s">
        <v>47093</v>
      </c>
      <c r="H18804" t="s">
        <v>47054</v>
      </c>
      <c r="I18804" t="s">
        <v>47111</v>
      </c>
      <c r="J18804" t="s">
        <v>47112</v>
      </c>
      <c r="K18804" t="s">
        <v>47113</v>
      </c>
      <c r="L18804">
        <v>35.380000000000003</v>
      </c>
      <c r="M18804">
        <v>105</v>
      </c>
      <c r="N18804">
        <v>0</v>
      </c>
      <c r="O18804">
        <v>105</v>
      </c>
      <c r="P18804">
        <v>0</v>
      </c>
    </row>
    <row r="18805" spans="1:16" x14ac:dyDescent="0.25">
      <c r="A18805" t="s">
        <v>41427</v>
      </c>
      <c r="B18805" t="s">
        <v>11729</v>
      </c>
      <c r="C18805" t="s">
        <v>11730</v>
      </c>
      <c r="D18805" t="s">
        <v>11731</v>
      </c>
      <c r="E18805" t="s">
        <v>11732</v>
      </c>
      <c r="F18805" t="s">
        <v>1</v>
      </c>
      <c r="G18805" t="s">
        <v>47093</v>
      </c>
      <c r="H18805" t="s">
        <v>47054</v>
      </c>
      <c r="I18805" t="s">
        <v>47111</v>
      </c>
      <c r="J18805" t="s">
        <v>47112</v>
      </c>
      <c r="K18805" t="s">
        <v>47113</v>
      </c>
      <c r="L18805">
        <v>38.46</v>
      </c>
      <c r="M18805">
        <v>116</v>
      </c>
      <c r="N18805">
        <v>0</v>
      </c>
      <c r="O18805">
        <v>116</v>
      </c>
      <c r="P18805">
        <v>0</v>
      </c>
    </row>
    <row r="18806" spans="1:16" x14ac:dyDescent="0.25">
      <c r="A18806" t="s">
        <v>41428</v>
      </c>
      <c r="B18806" t="s">
        <v>11733</v>
      </c>
      <c r="C18806" t="s">
        <v>11734</v>
      </c>
      <c r="D18806" t="s">
        <v>585</v>
      </c>
      <c r="E18806" t="s">
        <v>586</v>
      </c>
      <c r="F18806" t="s">
        <v>1</v>
      </c>
      <c r="G18806" t="s">
        <v>49029</v>
      </c>
      <c r="H18806" t="s">
        <v>47054</v>
      </c>
      <c r="I18806" t="s">
        <v>47111</v>
      </c>
      <c r="J18806" t="s">
        <v>47112</v>
      </c>
      <c r="K18806" t="s">
        <v>47113</v>
      </c>
      <c r="L18806">
        <v>32.229999999999997</v>
      </c>
      <c r="M18806">
        <v>81</v>
      </c>
      <c r="N18806">
        <v>0</v>
      </c>
      <c r="O18806">
        <v>81</v>
      </c>
      <c r="P18806">
        <v>0</v>
      </c>
    </row>
    <row r="18807" spans="1:16" x14ac:dyDescent="0.25">
      <c r="A18807" t="s">
        <v>41429</v>
      </c>
      <c r="B18807" t="s">
        <v>11735</v>
      </c>
      <c r="C18807" t="s">
        <v>11736</v>
      </c>
      <c r="D18807" t="s">
        <v>11731</v>
      </c>
      <c r="E18807" t="s">
        <v>11732</v>
      </c>
      <c r="F18807" t="s">
        <v>1</v>
      </c>
      <c r="G18807" t="s">
        <v>49029</v>
      </c>
      <c r="H18807" t="s">
        <v>47054</v>
      </c>
      <c r="I18807" t="s">
        <v>47111</v>
      </c>
      <c r="J18807" t="s">
        <v>47112</v>
      </c>
      <c r="K18807" t="s">
        <v>47113</v>
      </c>
      <c r="L18807">
        <v>37.799999999999997</v>
      </c>
      <c r="M18807">
        <v>92</v>
      </c>
      <c r="N18807">
        <v>0</v>
      </c>
      <c r="O18807">
        <v>92</v>
      </c>
      <c r="P18807">
        <v>0</v>
      </c>
    </row>
    <row r="18808" spans="1:16" x14ac:dyDescent="0.25">
      <c r="A18808" t="s">
        <v>41430</v>
      </c>
      <c r="B18808" t="s">
        <v>11737</v>
      </c>
      <c r="C18808" t="s">
        <v>11738</v>
      </c>
      <c r="D18808" t="s">
        <v>11739</v>
      </c>
      <c r="E18808" t="s">
        <v>11740</v>
      </c>
      <c r="F18808" t="s">
        <v>2068</v>
      </c>
      <c r="G18808" t="s">
        <v>47098</v>
      </c>
      <c r="H18808" t="s">
        <v>47054</v>
      </c>
      <c r="I18808" t="s">
        <v>47116</v>
      </c>
      <c r="J18808" t="s">
        <v>47117</v>
      </c>
      <c r="K18808" t="s">
        <v>47113</v>
      </c>
      <c r="L18808">
        <v>62.8</v>
      </c>
      <c r="M18808">
        <v>142</v>
      </c>
      <c r="N18808">
        <v>0</v>
      </c>
      <c r="O18808">
        <v>142</v>
      </c>
      <c r="P18808">
        <v>0</v>
      </c>
    </row>
    <row r="18809" spans="1:16" x14ac:dyDescent="0.25">
      <c r="A18809" t="s">
        <v>41431</v>
      </c>
      <c r="B18809" t="s">
        <v>11741</v>
      </c>
      <c r="C18809" t="s">
        <v>11742</v>
      </c>
      <c r="D18809" t="s">
        <v>11743</v>
      </c>
      <c r="E18809" t="s">
        <v>11744</v>
      </c>
      <c r="F18809" t="s">
        <v>2068</v>
      </c>
      <c r="G18809" t="s">
        <v>47093</v>
      </c>
      <c r="H18809" t="s">
        <v>47054</v>
      </c>
      <c r="I18809" t="s">
        <v>47111</v>
      </c>
      <c r="J18809" t="s">
        <v>47112</v>
      </c>
      <c r="K18809" t="s">
        <v>47113</v>
      </c>
      <c r="L18809">
        <v>47.28</v>
      </c>
      <c r="M18809">
        <v>132</v>
      </c>
      <c r="N18809">
        <v>0</v>
      </c>
      <c r="O18809">
        <v>132</v>
      </c>
      <c r="P18809">
        <v>0</v>
      </c>
    </row>
    <row r="18810" spans="1:16" x14ac:dyDescent="0.25">
      <c r="A18810" t="s">
        <v>15121</v>
      </c>
      <c r="B18810" t="s">
        <v>11745</v>
      </c>
      <c r="C18810" t="s">
        <v>11746</v>
      </c>
      <c r="D18810" t="s">
        <v>11747</v>
      </c>
      <c r="E18810" t="s">
        <v>11748</v>
      </c>
      <c r="F18810" t="s">
        <v>2068</v>
      </c>
      <c r="G18810" t="s">
        <v>47093</v>
      </c>
      <c r="H18810" t="s">
        <v>47054</v>
      </c>
      <c r="I18810" t="s">
        <v>47111</v>
      </c>
      <c r="J18810" t="s">
        <v>47112</v>
      </c>
      <c r="K18810" t="s">
        <v>47113</v>
      </c>
      <c r="L18810">
        <v>49.51</v>
      </c>
      <c r="M18810">
        <v>138</v>
      </c>
      <c r="N18810">
        <v>0</v>
      </c>
      <c r="O18810">
        <v>138</v>
      </c>
      <c r="P18810">
        <v>0</v>
      </c>
    </row>
    <row r="18811" spans="1:16" x14ac:dyDescent="0.25">
      <c r="A18811" t="s">
        <v>41432</v>
      </c>
      <c r="B18811" t="s">
        <v>583</v>
      </c>
      <c r="C18811" t="s">
        <v>584</v>
      </c>
      <c r="D18811" t="s">
        <v>585</v>
      </c>
      <c r="E18811" t="s">
        <v>586</v>
      </c>
      <c r="F18811" t="s">
        <v>1</v>
      </c>
      <c r="G18811" t="s">
        <v>47093</v>
      </c>
      <c r="H18811" t="s">
        <v>47054</v>
      </c>
      <c r="I18811" t="s">
        <v>47111</v>
      </c>
      <c r="J18811" t="s">
        <v>47112</v>
      </c>
      <c r="K18811" t="s">
        <v>47113</v>
      </c>
      <c r="L18811">
        <v>35.619999999999997</v>
      </c>
      <c r="M18811">
        <v>105</v>
      </c>
      <c r="N18811">
        <v>0</v>
      </c>
      <c r="O18811">
        <v>105</v>
      </c>
      <c r="P18811">
        <v>0</v>
      </c>
    </row>
    <row r="18812" spans="1:16" x14ac:dyDescent="0.25">
      <c r="A18812" t="s">
        <v>41433</v>
      </c>
      <c r="B18812" t="s">
        <v>11749</v>
      </c>
      <c r="C18812" t="s">
        <v>11750</v>
      </c>
      <c r="D18812" t="s">
        <v>11743</v>
      </c>
      <c r="E18812" t="s">
        <v>11744</v>
      </c>
      <c r="F18812" t="s">
        <v>2068</v>
      </c>
      <c r="G18812" t="s">
        <v>47093</v>
      </c>
      <c r="H18812" t="s">
        <v>47054</v>
      </c>
      <c r="I18812" t="s">
        <v>47111</v>
      </c>
      <c r="J18812" t="s">
        <v>47112</v>
      </c>
      <c r="K18812" t="s">
        <v>47113</v>
      </c>
      <c r="L18812">
        <v>49.21</v>
      </c>
      <c r="M18812">
        <v>137</v>
      </c>
      <c r="N18812">
        <v>0</v>
      </c>
      <c r="O18812">
        <v>137</v>
      </c>
      <c r="P18812">
        <v>0</v>
      </c>
    </row>
    <row r="18813" spans="1:16" x14ac:dyDescent="0.25">
      <c r="A18813" t="s">
        <v>15122</v>
      </c>
      <c r="B18813" t="s">
        <v>11751</v>
      </c>
      <c r="C18813" t="s">
        <v>11752</v>
      </c>
      <c r="D18813" t="s">
        <v>11747</v>
      </c>
      <c r="E18813" t="s">
        <v>11748</v>
      </c>
      <c r="F18813" t="s">
        <v>2068</v>
      </c>
      <c r="G18813" t="s">
        <v>47093</v>
      </c>
      <c r="H18813" t="s">
        <v>47054</v>
      </c>
      <c r="I18813" t="s">
        <v>47111</v>
      </c>
      <c r="J18813" t="s">
        <v>47112</v>
      </c>
      <c r="K18813" t="s">
        <v>47113</v>
      </c>
      <c r="L18813">
        <v>52.69</v>
      </c>
      <c r="M18813">
        <v>147</v>
      </c>
      <c r="N18813">
        <v>0</v>
      </c>
      <c r="O18813">
        <v>147</v>
      </c>
      <c r="P18813">
        <v>0</v>
      </c>
    </row>
    <row r="18814" spans="1:16" x14ac:dyDescent="0.25">
      <c r="A18814" t="s">
        <v>41434</v>
      </c>
      <c r="B18814" t="s">
        <v>11753</v>
      </c>
      <c r="C18814" t="s">
        <v>11754</v>
      </c>
      <c r="D18814" t="s">
        <v>11755</v>
      </c>
      <c r="E18814" t="s">
        <v>11756</v>
      </c>
      <c r="F18814" t="s">
        <v>2068</v>
      </c>
      <c r="G18814" t="s">
        <v>47093</v>
      </c>
      <c r="H18814" t="s">
        <v>47054</v>
      </c>
      <c r="I18814" t="s">
        <v>47111</v>
      </c>
      <c r="J18814" t="s">
        <v>47112</v>
      </c>
      <c r="K18814" t="s">
        <v>47113</v>
      </c>
      <c r="L18814">
        <v>45</v>
      </c>
      <c r="M18814">
        <v>102</v>
      </c>
      <c r="N18814">
        <v>0</v>
      </c>
      <c r="O18814">
        <v>102</v>
      </c>
      <c r="P18814">
        <v>0</v>
      </c>
    </row>
    <row r="18815" spans="1:16" x14ac:dyDescent="0.25">
      <c r="A18815" t="s">
        <v>41435</v>
      </c>
      <c r="B18815" t="s">
        <v>11757</v>
      </c>
      <c r="C18815" t="s">
        <v>11758</v>
      </c>
      <c r="D18815" t="s">
        <v>11686</v>
      </c>
      <c r="E18815" t="s">
        <v>11687</v>
      </c>
      <c r="F18815" t="s">
        <v>2068</v>
      </c>
      <c r="G18815" t="s">
        <v>47093</v>
      </c>
      <c r="H18815" t="s">
        <v>47054</v>
      </c>
      <c r="I18815" t="s">
        <v>47111</v>
      </c>
      <c r="J18815" t="s">
        <v>47112</v>
      </c>
      <c r="K18815" t="s">
        <v>47113</v>
      </c>
      <c r="L18815">
        <v>56.81</v>
      </c>
      <c r="M18815">
        <v>123</v>
      </c>
      <c r="N18815">
        <v>0</v>
      </c>
      <c r="O18815">
        <v>123</v>
      </c>
      <c r="P18815">
        <v>0</v>
      </c>
    </row>
    <row r="18816" spans="1:16" x14ac:dyDescent="0.25">
      <c r="A18816" t="s">
        <v>41436</v>
      </c>
      <c r="B18816" t="s">
        <v>11757</v>
      </c>
      <c r="C18816" t="s">
        <v>11758</v>
      </c>
      <c r="D18816" t="s">
        <v>11551</v>
      </c>
      <c r="E18816" t="s">
        <v>11552</v>
      </c>
      <c r="F18816" t="s">
        <v>2068</v>
      </c>
      <c r="G18816" t="s">
        <v>47093</v>
      </c>
      <c r="H18816" t="s">
        <v>47054</v>
      </c>
      <c r="I18816" t="s">
        <v>47111</v>
      </c>
      <c r="J18816" t="s">
        <v>47112</v>
      </c>
      <c r="K18816" t="s">
        <v>47113</v>
      </c>
      <c r="L18816">
        <v>56.57</v>
      </c>
      <c r="M18816">
        <v>121</v>
      </c>
      <c r="N18816">
        <v>0</v>
      </c>
      <c r="O18816">
        <v>121</v>
      </c>
      <c r="P18816">
        <v>0</v>
      </c>
    </row>
    <row r="18817" spans="1:16" x14ac:dyDescent="0.25">
      <c r="A18817" t="s">
        <v>41437</v>
      </c>
      <c r="B18817" t="s">
        <v>11759</v>
      </c>
      <c r="C18817" t="s">
        <v>11760</v>
      </c>
      <c r="D18817" t="s">
        <v>11686</v>
      </c>
      <c r="E18817" t="s">
        <v>11687</v>
      </c>
      <c r="F18817" t="s">
        <v>2068</v>
      </c>
      <c r="G18817" t="s">
        <v>47093</v>
      </c>
      <c r="H18817" t="s">
        <v>47054</v>
      </c>
      <c r="I18817" t="s">
        <v>47111</v>
      </c>
      <c r="J18817" t="s">
        <v>47112</v>
      </c>
      <c r="K18817" t="s">
        <v>47113</v>
      </c>
      <c r="L18817">
        <v>57.52</v>
      </c>
      <c r="M18817">
        <v>123</v>
      </c>
      <c r="N18817">
        <v>0</v>
      </c>
      <c r="O18817">
        <v>123</v>
      </c>
      <c r="P18817">
        <v>0</v>
      </c>
    </row>
    <row r="18818" spans="1:16" x14ac:dyDescent="0.25">
      <c r="A18818" t="s">
        <v>15123</v>
      </c>
      <c r="B18818" t="s">
        <v>11759</v>
      </c>
      <c r="C18818" t="s">
        <v>11760</v>
      </c>
      <c r="D18818" t="s">
        <v>11551</v>
      </c>
      <c r="E18818" t="s">
        <v>11552</v>
      </c>
      <c r="F18818" t="s">
        <v>2068</v>
      </c>
      <c r="G18818" t="s">
        <v>47093</v>
      </c>
      <c r="H18818" t="s">
        <v>47054</v>
      </c>
      <c r="I18818" t="s">
        <v>47111</v>
      </c>
      <c r="J18818" t="s">
        <v>47112</v>
      </c>
      <c r="K18818" t="s">
        <v>47113</v>
      </c>
      <c r="L18818">
        <v>57.3</v>
      </c>
      <c r="M18818">
        <v>123</v>
      </c>
      <c r="N18818">
        <v>0</v>
      </c>
      <c r="O18818">
        <v>123</v>
      </c>
      <c r="P18818">
        <v>0</v>
      </c>
    </row>
    <row r="18819" spans="1:16" x14ac:dyDescent="0.25">
      <c r="A18819" t="s">
        <v>41438</v>
      </c>
      <c r="B18819" t="s">
        <v>11761</v>
      </c>
      <c r="C18819" t="s">
        <v>11762</v>
      </c>
      <c r="D18819" t="s">
        <v>585</v>
      </c>
      <c r="E18819" t="s">
        <v>586</v>
      </c>
      <c r="F18819" t="s">
        <v>1</v>
      </c>
      <c r="G18819" t="s">
        <v>49029</v>
      </c>
      <c r="H18819" t="s">
        <v>47054</v>
      </c>
      <c r="I18819" t="s">
        <v>47111</v>
      </c>
      <c r="J18819" t="s">
        <v>47112</v>
      </c>
      <c r="K18819" t="s">
        <v>47113</v>
      </c>
      <c r="L18819">
        <v>33.35</v>
      </c>
      <c r="M18819">
        <v>73</v>
      </c>
      <c r="N18819">
        <v>0</v>
      </c>
      <c r="O18819">
        <v>73</v>
      </c>
      <c r="P18819">
        <v>0</v>
      </c>
    </row>
    <row r="18820" spans="1:16" x14ac:dyDescent="0.25">
      <c r="A18820" t="s">
        <v>41439</v>
      </c>
      <c r="B18820" t="s">
        <v>11763</v>
      </c>
      <c r="C18820" t="s">
        <v>11764</v>
      </c>
      <c r="D18820" t="str">
        <f>"1177"</f>
        <v>1177</v>
      </c>
      <c r="E18820" t="s">
        <v>5695</v>
      </c>
      <c r="F18820" t="s">
        <v>8</v>
      </c>
      <c r="G18820" t="s">
        <v>47093</v>
      </c>
      <c r="H18820" t="s">
        <v>47054</v>
      </c>
      <c r="I18820" t="s">
        <v>47111</v>
      </c>
      <c r="J18820" t="s">
        <v>47112</v>
      </c>
      <c r="K18820" t="s">
        <v>47113</v>
      </c>
      <c r="L18820">
        <v>44.53</v>
      </c>
      <c r="M18820">
        <v>127</v>
      </c>
      <c r="N18820">
        <v>0</v>
      </c>
      <c r="O18820">
        <v>127</v>
      </c>
      <c r="P18820">
        <v>0</v>
      </c>
    </row>
    <row r="18821" spans="1:16" x14ac:dyDescent="0.25">
      <c r="A18821" t="s">
        <v>41440</v>
      </c>
      <c r="B18821" t="s">
        <v>11763</v>
      </c>
      <c r="C18821" t="s">
        <v>11764</v>
      </c>
      <c r="D18821" t="str">
        <f>"3338"</f>
        <v>3338</v>
      </c>
      <c r="E18821" t="s">
        <v>5714</v>
      </c>
      <c r="F18821" t="s">
        <v>8</v>
      </c>
      <c r="G18821" t="s">
        <v>47093</v>
      </c>
      <c r="H18821" t="s">
        <v>47054</v>
      </c>
      <c r="I18821" t="s">
        <v>47111</v>
      </c>
      <c r="J18821" t="s">
        <v>47112</v>
      </c>
      <c r="K18821" t="s">
        <v>47113</v>
      </c>
      <c r="L18821">
        <v>44.53</v>
      </c>
      <c r="M18821">
        <v>127</v>
      </c>
      <c r="N18821">
        <v>0</v>
      </c>
      <c r="O18821">
        <v>127</v>
      </c>
      <c r="P18821">
        <v>0</v>
      </c>
    </row>
    <row r="18822" spans="1:16" x14ac:dyDescent="0.25">
      <c r="A18822" t="s">
        <v>41441</v>
      </c>
      <c r="B18822" t="s">
        <v>11765</v>
      </c>
      <c r="C18822" t="s">
        <v>11766</v>
      </c>
      <c r="D18822" t="str">
        <f>"2731"</f>
        <v>2731</v>
      </c>
      <c r="E18822" t="s">
        <v>11767</v>
      </c>
      <c r="F18822" t="s">
        <v>58</v>
      </c>
      <c r="G18822" t="s">
        <v>49029</v>
      </c>
      <c r="H18822" t="s">
        <v>47054</v>
      </c>
      <c r="I18822" t="s">
        <v>47111</v>
      </c>
      <c r="J18822" t="s">
        <v>47112</v>
      </c>
      <c r="K18822" t="s">
        <v>47113</v>
      </c>
      <c r="L18822">
        <v>35.43</v>
      </c>
      <c r="M18822">
        <v>80</v>
      </c>
      <c r="N18822">
        <v>0</v>
      </c>
      <c r="O18822">
        <v>80</v>
      </c>
      <c r="P18822">
        <v>0</v>
      </c>
    </row>
    <row r="18823" spans="1:16" x14ac:dyDescent="0.25">
      <c r="A18823" t="s">
        <v>41442</v>
      </c>
      <c r="B18823" t="s">
        <v>11768</v>
      </c>
      <c r="C18823" t="s">
        <v>11769</v>
      </c>
      <c r="D18823" t="str">
        <f>"2805"</f>
        <v>2805</v>
      </c>
      <c r="E18823" t="s">
        <v>1755</v>
      </c>
      <c r="F18823" t="s">
        <v>58</v>
      </c>
      <c r="G18823" t="s">
        <v>49029</v>
      </c>
      <c r="H18823" t="s">
        <v>47054</v>
      </c>
      <c r="I18823" t="s">
        <v>47111</v>
      </c>
      <c r="J18823" t="s">
        <v>47112</v>
      </c>
      <c r="K18823" t="s">
        <v>47113</v>
      </c>
      <c r="L18823">
        <v>33.35</v>
      </c>
      <c r="M18823">
        <v>75</v>
      </c>
      <c r="N18823">
        <v>0</v>
      </c>
      <c r="O18823">
        <v>75</v>
      </c>
      <c r="P18823">
        <v>0</v>
      </c>
    </row>
    <row r="18824" spans="1:16" x14ac:dyDescent="0.25">
      <c r="A18824" t="s">
        <v>41443</v>
      </c>
      <c r="B18824" t="s">
        <v>11770</v>
      </c>
      <c r="C18824" t="s">
        <v>11771</v>
      </c>
      <c r="D18824" t="str">
        <f>"1001"</f>
        <v>1001</v>
      </c>
      <c r="E18824" t="s">
        <v>42</v>
      </c>
      <c r="F18824" t="s">
        <v>4</v>
      </c>
      <c r="G18824" t="s">
        <v>47098</v>
      </c>
      <c r="H18824" t="s">
        <v>47054</v>
      </c>
      <c r="I18824" t="s">
        <v>47118</v>
      </c>
      <c r="J18824" t="s">
        <v>47119</v>
      </c>
      <c r="K18824" t="s">
        <v>47113</v>
      </c>
      <c r="L18824">
        <v>122.81</v>
      </c>
      <c r="M18824">
        <v>300</v>
      </c>
      <c r="N18824">
        <v>0</v>
      </c>
      <c r="O18824">
        <v>300</v>
      </c>
      <c r="P18824">
        <v>0</v>
      </c>
    </row>
    <row r="18825" spans="1:16" x14ac:dyDescent="0.25">
      <c r="A18825" t="s">
        <v>41444</v>
      </c>
      <c r="B18825" t="s">
        <v>11772</v>
      </c>
      <c r="C18825" t="s">
        <v>11773</v>
      </c>
      <c r="D18825" t="str">
        <f>"1758"</f>
        <v>1758</v>
      </c>
      <c r="E18825" t="s">
        <v>11774</v>
      </c>
      <c r="F18825" t="s">
        <v>3546</v>
      </c>
      <c r="G18825" t="s">
        <v>47093</v>
      </c>
      <c r="H18825" t="s">
        <v>47054</v>
      </c>
      <c r="I18825" t="s">
        <v>47111</v>
      </c>
      <c r="J18825" t="s">
        <v>47112</v>
      </c>
      <c r="K18825" t="s">
        <v>47113</v>
      </c>
      <c r="L18825">
        <v>39.07</v>
      </c>
      <c r="M18825">
        <v>96</v>
      </c>
      <c r="N18825">
        <v>0</v>
      </c>
      <c r="O18825">
        <v>96</v>
      </c>
      <c r="P18825">
        <v>0</v>
      </c>
    </row>
    <row r="18826" spans="1:16" x14ac:dyDescent="0.25">
      <c r="A18826" t="s">
        <v>41445</v>
      </c>
      <c r="B18826" t="s">
        <v>11775</v>
      </c>
      <c r="C18826" t="s">
        <v>11776</v>
      </c>
      <c r="D18826" t="str">
        <f>"4742"</f>
        <v>4742</v>
      </c>
      <c r="E18826" t="s">
        <v>11777</v>
      </c>
      <c r="F18826" t="s">
        <v>1</v>
      </c>
      <c r="G18826" t="s">
        <v>47093</v>
      </c>
      <c r="H18826" t="s">
        <v>47054</v>
      </c>
      <c r="I18826" t="s">
        <v>47111</v>
      </c>
      <c r="J18826" t="s">
        <v>47112</v>
      </c>
      <c r="K18826" t="s">
        <v>47113</v>
      </c>
      <c r="L18826">
        <v>48.95</v>
      </c>
      <c r="M18826">
        <v>148</v>
      </c>
      <c r="N18826">
        <v>0</v>
      </c>
      <c r="O18826">
        <v>148</v>
      </c>
      <c r="P18826">
        <v>0</v>
      </c>
    </row>
    <row r="18827" spans="1:16" x14ac:dyDescent="0.25">
      <c r="A18827" t="s">
        <v>41446</v>
      </c>
      <c r="B18827" t="s">
        <v>11778</v>
      </c>
      <c r="C18827" t="s">
        <v>11779</v>
      </c>
      <c r="D18827" t="str">
        <f>"1001"</f>
        <v>1001</v>
      </c>
      <c r="E18827" t="s">
        <v>7601</v>
      </c>
      <c r="F18827" t="s">
        <v>3558</v>
      </c>
      <c r="G18827" t="s">
        <v>47091</v>
      </c>
      <c r="H18827" t="s">
        <v>47054</v>
      </c>
      <c r="I18827" t="s">
        <v>47569</v>
      </c>
      <c r="J18827" t="s">
        <v>47570</v>
      </c>
      <c r="K18827" t="s">
        <v>47113</v>
      </c>
      <c r="L18827">
        <v>13.57</v>
      </c>
      <c r="M18827">
        <v>26</v>
      </c>
      <c r="N18827">
        <v>0</v>
      </c>
      <c r="O18827">
        <v>26</v>
      </c>
      <c r="P18827">
        <v>0</v>
      </c>
    </row>
    <row r="18828" spans="1:16" x14ac:dyDescent="0.25">
      <c r="A18828" t="s">
        <v>41447</v>
      </c>
      <c r="B18828" t="s">
        <v>11778</v>
      </c>
      <c r="C18828" t="s">
        <v>11779</v>
      </c>
      <c r="D18828" t="str">
        <f>"1700"</f>
        <v>1700</v>
      </c>
      <c r="E18828" t="s">
        <v>60</v>
      </c>
      <c r="F18828" t="s">
        <v>3558</v>
      </c>
      <c r="G18828" t="s">
        <v>47091</v>
      </c>
      <c r="H18828" t="s">
        <v>47054</v>
      </c>
      <c r="I18828" t="s">
        <v>47569</v>
      </c>
      <c r="J18828" t="s">
        <v>47570</v>
      </c>
      <c r="K18828" t="s">
        <v>47113</v>
      </c>
      <c r="L18828">
        <v>13.57</v>
      </c>
      <c r="M18828">
        <v>26</v>
      </c>
      <c r="N18828">
        <v>0</v>
      </c>
      <c r="O18828">
        <v>26</v>
      </c>
      <c r="P18828">
        <v>0</v>
      </c>
    </row>
    <row r="18829" spans="1:16" x14ac:dyDescent="0.25">
      <c r="A18829" t="s">
        <v>41448</v>
      </c>
      <c r="B18829" t="s">
        <v>11778</v>
      </c>
      <c r="C18829" t="s">
        <v>11779</v>
      </c>
      <c r="D18829" t="str">
        <f>"4123"</f>
        <v>4123</v>
      </c>
      <c r="E18829" t="s">
        <v>11780</v>
      </c>
      <c r="F18829" t="s">
        <v>3558</v>
      </c>
      <c r="G18829" t="s">
        <v>47091</v>
      </c>
      <c r="H18829" t="s">
        <v>47054</v>
      </c>
      <c r="I18829" t="s">
        <v>47569</v>
      </c>
      <c r="J18829" t="s">
        <v>47570</v>
      </c>
      <c r="K18829" t="s">
        <v>47113</v>
      </c>
      <c r="L18829">
        <v>13.57</v>
      </c>
      <c r="M18829">
        <v>26</v>
      </c>
      <c r="N18829">
        <v>0</v>
      </c>
      <c r="O18829">
        <v>26</v>
      </c>
      <c r="P18829">
        <v>0</v>
      </c>
    </row>
    <row r="18830" spans="1:16" x14ac:dyDescent="0.25">
      <c r="A18830" t="s">
        <v>41449</v>
      </c>
      <c r="B18830" t="s">
        <v>18452</v>
      </c>
      <c r="C18830" t="s">
        <v>18453</v>
      </c>
      <c r="D18830" t="str">
        <f>"1700"</f>
        <v>1700</v>
      </c>
      <c r="E18830" t="s">
        <v>18454</v>
      </c>
      <c r="F18830" t="s">
        <v>3558</v>
      </c>
      <c r="G18830" t="s">
        <v>47093</v>
      </c>
      <c r="H18830" t="s">
        <v>47054</v>
      </c>
      <c r="I18830" t="s">
        <v>47116</v>
      </c>
      <c r="J18830" t="s">
        <v>47117</v>
      </c>
      <c r="K18830" t="s">
        <v>47113</v>
      </c>
      <c r="L18830">
        <v>19.600000000000001</v>
      </c>
      <c r="M18830">
        <v>55</v>
      </c>
      <c r="N18830">
        <v>0</v>
      </c>
      <c r="O18830">
        <v>55</v>
      </c>
      <c r="P18830">
        <v>0</v>
      </c>
    </row>
    <row r="18831" spans="1:16" x14ac:dyDescent="0.25">
      <c r="A18831" t="s">
        <v>41450</v>
      </c>
      <c r="B18831" t="s">
        <v>18455</v>
      </c>
      <c r="C18831" t="s">
        <v>18456</v>
      </c>
      <c r="D18831" t="str">
        <f>"1001"</f>
        <v>1001</v>
      </c>
      <c r="E18831" t="s">
        <v>18457</v>
      </c>
      <c r="F18831" t="s">
        <v>3558</v>
      </c>
      <c r="G18831" t="s">
        <v>47093</v>
      </c>
      <c r="H18831" t="s">
        <v>47054</v>
      </c>
      <c r="I18831" t="s">
        <v>47116</v>
      </c>
      <c r="J18831" t="s">
        <v>47117</v>
      </c>
      <c r="K18831" t="s">
        <v>47113</v>
      </c>
      <c r="L18831">
        <v>20.43</v>
      </c>
      <c r="M18831">
        <v>57</v>
      </c>
      <c r="N18831">
        <v>0</v>
      </c>
      <c r="O18831">
        <v>57</v>
      </c>
      <c r="P18831">
        <v>0</v>
      </c>
    </row>
    <row r="18832" spans="1:16" x14ac:dyDescent="0.25">
      <c r="A18832" t="s">
        <v>41451</v>
      </c>
      <c r="B18832" t="s">
        <v>18458</v>
      </c>
      <c r="C18832" t="s">
        <v>18459</v>
      </c>
      <c r="D18832" t="str">
        <f>"1826"</f>
        <v>1826</v>
      </c>
      <c r="E18832" t="s">
        <v>1074</v>
      </c>
      <c r="F18832" t="s">
        <v>3750</v>
      </c>
      <c r="G18832" t="s">
        <v>47093</v>
      </c>
      <c r="H18832" t="s">
        <v>47054</v>
      </c>
      <c r="I18832" t="s">
        <v>47116</v>
      </c>
      <c r="J18832" t="s">
        <v>47117</v>
      </c>
      <c r="K18832" t="s">
        <v>47113</v>
      </c>
      <c r="L18832">
        <v>27.99</v>
      </c>
      <c r="M18832">
        <v>83</v>
      </c>
      <c r="N18832">
        <v>0</v>
      </c>
      <c r="O18832">
        <v>83</v>
      </c>
      <c r="P18832">
        <v>0</v>
      </c>
    </row>
    <row r="18833" spans="1:16" x14ac:dyDescent="0.25">
      <c r="A18833" t="s">
        <v>41452</v>
      </c>
      <c r="B18833" t="s">
        <v>11781</v>
      </c>
      <c r="C18833" t="s">
        <v>11782</v>
      </c>
      <c r="D18833" t="str">
        <f>"4756"</f>
        <v>4756</v>
      </c>
      <c r="E18833" t="s">
        <v>11783</v>
      </c>
      <c r="F18833" t="s">
        <v>1</v>
      </c>
      <c r="G18833" t="s">
        <v>47101</v>
      </c>
      <c r="H18833" t="s">
        <v>47054</v>
      </c>
      <c r="I18833" t="s">
        <v>47118</v>
      </c>
      <c r="J18833" t="s">
        <v>47119</v>
      </c>
      <c r="K18833" t="s">
        <v>47113</v>
      </c>
      <c r="L18833">
        <v>15.35</v>
      </c>
      <c r="M18833">
        <v>38</v>
      </c>
      <c r="N18833">
        <v>0</v>
      </c>
      <c r="O18833">
        <v>38</v>
      </c>
      <c r="P18833">
        <v>0</v>
      </c>
    </row>
    <row r="18834" spans="1:16" x14ac:dyDescent="0.25">
      <c r="A18834" t="s">
        <v>22877</v>
      </c>
      <c r="B18834" t="s">
        <v>22878</v>
      </c>
      <c r="C18834" t="s">
        <v>22879</v>
      </c>
      <c r="D18834" t="str">
        <f>"1784"</f>
        <v>1784</v>
      </c>
      <c r="E18834" t="s">
        <v>22880</v>
      </c>
      <c r="F18834" t="s">
        <v>3750</v>
      </c>
      <c r="G18834" t="s">
        <v>47091</v>
      </c>
      <c r="H18834" t="s">
        <v>47054</v>
      </c>
      <c r="I18834" t="s">
        <v>47154</v>
      </c>
      <c r="J18834" t="s">
        <v>47155</v>
      </c>
      <c r="K18834" t="s">
        <v>47113</v>
      </c>
      <c r="L18834">
        <v>8.7899999999999991</v>
      </c>
      <c r="M18834">
        <v>34</v>
      </c>
      <c r="N18834">
        <v>0</v>
      </c>
      <c r="O18834">
        <v>34</v>
      </c>
      <c r="P18834">
        <v>0</v>
      </c>
    </row>
    <row r="18835" spans="1:16" x14ac:dyDescent="0.25">
      <c r="A18835" t="s">
        <v>22881</v>
      </c>
      <c r="B18835" t="s">
        <v>22882</v>
      </c>
      <c r="C18835" t="s">
        <v>22883</v>
      </c>
      <c r="D18835" t="str">
        <f>"1518"</f>
        <v>1518</v>
      </c>
      <c r="E18835" t="s">
        <v>22884</v>
      </c>
      <c r="F18835" t="s">
        <v>3750</v>
      </c>
      <c r="G18835" t="s">
        <v>47091</v>
      </c>
      <c r="H18835" t="s">
        <v>47054</v>
      </c>
      <c r="I18835" t="s">
        <v>47154</v>
      </c>
      <c r="J18835" t="s">
        <v>47155</v>
      </c>
      <c r="K18835" t="s">
        <v>47113</v>
      </c>
      <c r="L18835">
        <v>8.74</v>
      </c>
      <c r="M18835">
        <v>34</v>
      </c>
      <c r="N18835">
        <v>0</v>
      </c>
      <c r="O18835">
        <v>34</v>
      </c>
      <c r="P18835">
        <v>0</v>
      </c>
    </row>
    <row r="18836" spans="1:16" x14ac:dyDescent="0.25">
      <c r="A18836" t="s">
        <v>41453</v>
      </c>
      <c r="B18836" t="s">
        <v>41454</v>
      </c>
      <c r="C18836" t="s">
        <v>41359</v>
      </c>
      <c r="D18836" t="str">
        <f>"1081"</f>
        <v>1081</v>
      </c>
      <c r="E18836" t="s">
        <v>41360</v>
      </c>
      <c r="F18836" t="s">
        <v>3750</v>
      </c>
      <c r="G18836" t="s">
        <v>47097</v>
      </c>
      <c r="H18836" t="s">
        <v>47054</v>
      </c>
      <c r="I18836" t="s">
        <v>47154</v>
      </c>
      <c r="J18836" t="s">
        <v>47155</v>
      </c>
      <c r="K18836" t="s">
        <v>47113</v>
      </c>
      <c r="L18836">
        <v>7.36</v>
      </c>
      <c r="M18836">
        <v>34</v>
      </c>
      <c r="N18836">
        <v>0</v>
      </c>
      <c r="O18836">
        <v>34</v>
      </c>
      <c r="P18836">
        <v>0</v>
      </c>
    </row>
    <row r="18837" spans="1:16" x14ac:dyDescent="0.25">
      <c r="A18837" t="s">
        <v>41455</v>
      </c>
      <c r="B18837" t="s">
        <v>41454</v>
      </c>
      <c r="C18837" t="s">
        <v>41359</v>
      </c>
      <c r="D18837" t="str">
        <f>"1483"</f>
        <v>1483</v>
      </c>
      <c r="E18837" t="s">
        <v>41456</v>
      </c>
      <c r="F18837" t="s">
        <v>3750</v>
      </c>
      <c r="G18837" t="s">
        <v>47097</v>
      </c>
      <c r="H18837" t="s">
        <v>47054</v>
      </c>
      <c r="I18837" t="s">
        <v>47154</v>
      </c>
      <c r="J18837" t="s">
        <v>47155</v>
      </c>
      <c r="K18837" t="s">
        <v>47113</v>
      </c>
      <c r="L18837">
        <v>7.81</v>
      </c>
      <c r="M18837">
        <v>34</v>
      </c>
      <c r="N18837">
        <v>0</v>
      </c>
      <c r="O18837">
        <v>34</v>
      </c>
      <c r="P18837">
        <v>0</v>
      </c>
    </row>
    <row r="18838" spans="1:16" x14ac:dyDescent="0.25">
      <c r="A18838" t="s">
        <v>41457</v>
      </c>
      <c r="B18838" t="s">
        <v>41454</v>
      </c>
      <c r="C18838" t="s">
        <v>41359</v>
      </c>
      <c r="D18838" t="str">
        <f>"1827"</f>
        <v>1827</v>
      </c>
      <c r="E18838" t="s">
        <v>41362</v>
      </c>
      <c r="F18838" t="s">
        <v>3750</v>
      </c>
      <c r="G18838" t="s">
        <v>47097</v>
      </c>
      <c r="H18838" t="s">
        <v>47054</v>
      </c>
      <c r="I18838" t="s">
        <v>47154</v>
      </c>
      <c r="J18838" t="s">
        <v>47155</v>
      </c>
      <c r="K18838" t="s">
        <v>47113</v>
      </c>
      <c r="L18838">
        <v>7.81</v>
      </c>
      <c r="M18838">
        <v>34</v>
      </c>
      <c r="N18838">
        <v>0</v>
      </c>
      <c r="O18838">
        <v>34</v>
      </c>
      <c r="P18838">
        <v>0</v>
      </c>
    </row>
    <row r="18839" spans="1:16" x14ac:dyDescent="0.25">
      <c r="A18839" t="s">
        <v>41458</v>
      </c>
      <c r="B18839" t="s">
        <v>41454</v>
      </c>
      <c r="C18839" t="s">
        <v>41359</v>
      </c>
      <c r="D18839" t="str">
        <f>"3070"</f>
        <v>3070</v>
      </c>
      <c r="E18839" t="s">
        <v>41364</v>
      </c>
      <c r="F18839" t="s">
        <v>3750</v>
      </c>
      <c r="G18839" t="s">
        <v>47097</v>
      </c>
      <c r="H18839" t="s">
        <v>47054</v>
      </c>
      <c r="I18839" t="s">
        <v>47154</v>
      </c>
      <c r="J18839" t="s">
        <v>47155</v>
      </c>
      <c r="K18839" t="s">
        <v>47113</v>
      </c>
      <c r="L18839">
        <v>7.36</v>
      </c>
      <c r="M18839">
        <v>34</v>
      </c>
      <c r="N18839">
        <v>0</v>
      </c>
      <c r="O18839">
        <v>34</v>
      </c>
      <c r="P18839">
        <v>0</v>
      </c>
    </row>
    <row r="18840" spans="1:16" x14ac:dyDescent="0.25">
      <c r="A18840" t="s">
        <v>41459</v>
      </c>
      <c r="B18840" t="s">
        <v>21609</v>
      </c>
      <c r="C18840" t="s">
        <v>21610</v>
      </c>
      <c r="D18840" t="str">
        <f>"1444"</f>
        <v>1444</v>
      </c>
      <c r="E18840" t="s">
        <v>16426</v>
      </c>
      <c r="F18840" t="s">
        <v>3750</v>
      </c>
      <c r="G18840" t="s">
        <v>47091</v>
      </c>
      <c r="H18840" t="s">
        <v>47054</v>
      </c>
      <c r="I18840" t="s">
        <v>47154</v>
      </c>
      <c r="J18840" t="s">
        <v>47155</v>
      </c>
      <c r="K18840" t="s">
        <v>47113</v>
      </c>
      <c r="L18840">
        <v>8.17</v>
      </c>
      <c r="M18840">
        <v>33</v>
      </c>
      <c r="N18840">
        <v>0</v>
      </c>
      <c r="O18840">
        <v>33</v>
      </c>
      <c r="P18840">
        <v>0</v>
      </c>
    </row>
    <row r="18841" spans="1:16" x14ac:dyDescent="0.25">
      <c r="A18841" t="s">
        <v>41460</v>
      </c>
      <c r="B18841" t="s">
        <v>21609</v>
      </c>
      <c r="C18841" t="s">
        <v>21610</v>
      </c>
      <c r="D18841" t="str">
        <f>"4000"</f>
        <v>4000</v>
      </c>
      <c r="E18841" t="s">
        <v>21611</v>
      </c>
      <c r="F18841" t="s">
        <v>3750</v>
      </c>
      <c r="G18841" t="s">
        <v>47091</v>
      </c>
      <c r="H18841" t="s">
        <v>47054</v>
      </c>
      <c r="I18841" t="s">
        <v>47154</v>
      </c>
      <c r="J18841" t="s">
        <v>47155</v>
      </c>
      <c r="K18841" t="s">
        <v>47113</v>
      </c>
      <c r="L18841">
        <v>8.17</v>
      </c>
      <c r="M18841">
        <v>33</v>
      </c>
      <c r="N18841">
        <v>0</v>
      </c>
      <c r="O18841">
        <v>33</v>
      </c>
      <c r="P18841">
        <v>0</v>
      </c>
    </row>
    <row r="18842" spans="1:16" x14ac:dyDescent="0.25">
      <c r="A18842" t="s">
        <v>41461</v>
      </c>
      <c r="B18842" t="s">
        <v>21612</v>
      </c>
      <c r="C18842" t="s">
        <v>21613</v>
      </c>
      <c r="D18842" t="str">
        <f>"1501"</f>
        <v>1501</v>
      </c>
      <c r="E18842" t="s">
        <v>46</v>
      </c>
      <c r="F18842" t="s">
        <v>3750</v>
      </c>
      <c r="G18842" t="s">
        <v>47091</v>
      </c>
      <c r="H18842" t="s">
        <v>47054</v>
      </c>
      <c r="I18842" t="s">
        <v>47154</v>
      </c>
      <c r="J18842" t="s">
        <v>47155</v>
      </c>
      <c r="K18842" t="s">
        <v>47113</v>
      </c>
      <c r="L18842">
        <v>6.86</v>
      </c>
      <c r="M18842">
        <v>28</v>
      </c>
      <c r="N18842">
        <v>0</v>
      </c>
      <c r="O18842">
        <v>28</v>
      </c>
      <c r="P18842">
        <v>0</v>
      </c>
    </row>
    <row r="18843" spans="1:16" x14ac:dyDescent="0.25">
      <c r="A18843" t="s">
        <v>41462</v>
      </c>
      <c r="B18843" t="s">
        <v>21614</v>
      </c>
      <c r="C18843" t="s">
        <v>21615</v>
      </c>
      <c r="D18843" t="str">
        <f>"1014"</f>
        <v>1014</v>
      </c>
      <c r="E18843" t="s">
        <v>16045</v>
      </c>
      <c r="F18843" t="s">
        <v>3750</v>
      </c>
      <c r="G18843" t="s">
        <v>47091</v>
      </c>
      <c r="H18843" t="s">
        <v>47054</v>
      </c>
      <c r="I18843" t="s">
        <v>47154</v>
      </c>
      <c r="J18843" t="s">
        <v>47155</v>
      </c>
      <c r="K18843" t="s">
        <v>47113</v>
      </c>
      <c r="L18843">
        <v>6.91</v>
      </c>
      <c r="M18843">
        <v>28</v>
      </c>
      <c r="N18843">
        <v>0</v>
      </c>
      <c r="O18843">
        <v>28</v>
      </c>
      <c r="P18843">
        <v>0</v>
      </c>
    </row>
    <row r="18844" spans="1:16" x14ac:dyDescent="0.25">
      <c r="A18844" t="s">
        <v>41463</v>
      </c>
      <c r="B18844" t="s">
        <v>21616</v>
      </c>
      <c r="C18844" t="s">
        <v>21617</v>
      </c>
      <c r="D18844" t="str">
        <f>"1014"</f>
        <v>1014</v>
      </c>
      <c r="E18844" t="s">
        <v>16045</v>
      </c>
      <c r="F18844" t="s">
        <v>3750</v>
      </c>
      <c r="G18844" t="s">
        <v>47091</v>
      </c>
      <c r="H18844" t="s">
        <v>47054</v>
      </c>
      <c r="I18844" t="s">
        <v>47154</v>
      </c>
      <c r="J18844" t="s">
        <v>47155</v>
      </c>
      <c r="K18844" t="s">
        <v>47113</v>
      </c>
      <c r="L18844">
        <v>9.0399999999999991</v>
      </c>
      <c r="M18844">
        <v>34</v>
      </c>
      <c r="N18844">
        <v>0</v>
      </c>
      <c r="O18844">
        <v>34</v>
      </c>
      <c r="P18844">
        <v>0</v>
      </c>
    </row>
    <row r="18845" spans="1:16" x14ac:dyDescent="0.25">
      <c r="A18845" t="s">
        <v>41464</v>
      </c>
      <c r="B18845" t="s">
        <v>21616</v>
      </c>
      <c r="C18845" t="s">
        <v>21617</v>
      </c>
      <c r="D18845" t="str">
        <f>"1700"</f>
        <v>1700</v>
      </c>
      <c r="E18845" t="s">
        <v>60</v>
      </c>
      <c r="F18845" t="s">
        <v>3750</v>
      </c>
      <c r="G18845" t="s">
        <v>47091</v>
      </c>
      <c r="H18845" t="s">
        <v>47054</v>
      </c>
      <c r="I18845" t="s">
        <v>47154</v>
      </c>
      <c r="J18845" t="s">
        <v>47155</v>
      </c>
      <c r="K18845" t="s">
        <v>47113</v>
      </c>
      <c r="L18845">
        <v>8.6999999999999993</v>
      </c>
      <c r="M18845">
        <v>34</v>
      </c>
      <c r="N18845">
        <v>0</v>
      </c>
      <c r="O18845">
        <v>34</v>
      </c>
      <c r="P18845">
        <v>0</v>
      </c>
    </row>
    <row r="18846" spans="1:16" x14ac:dyDescent="0.25">
      <c r="A18846" t="s">
        <v>22885</v>
      </c>
      <c r="B18846" t="s">
        <v>22886</v>
      </c>
      <c r="C18846" t="s">
        <v>22887</v>
      </c>
      <c r="D18846" t="str">
        <f>"1700"</f>
        <v>1700</v>
      </c>
      <c r="E18846" t="s">
        <v>60</v>
      </c>
      <c r="F18846" t="s">
        <v>3750</v>
      </c>
      <c r="G18846" t="s">
        <v>47091</v>
      </c>
      <c r="H18846" t="s">
        <v>47054</v>
      </c>
      <c r="I18846" t="s">
        <v>47154</v>
      </c>
      <c r="J18846" t="s">
        <v>47155</v>
      </c>
      <c r="K18846" t="s">
        <v>47113</v>
      </c>
      <c r="L18846">
        <v>7.86</v>
      </c>
      <c r="M18846">
        <v>34</v>
      </c>
      <c r="N18846">
        <v>0</v>
      </c>
      <c r="O18846">
        <v>34</v>
      </c>
      <c r="P18846">
        <v>0</v>
      </c>
    </row>
    <row r="18847" spans="1:16" x14ac:dyDescent="0.25">
      <c r="A18847" t="s">
        <v>41465</v>
      </c>
      <c r="B18847" t="s">
        <v>41466</v>
      </c>
      <c r="C18847" t="s">
        <v>41467</v>
      </c>
      <c r="D18847" t="str">
        <f>"1501"</f>
        <v>1501</v>
      </c>
      <c r="E18847" t="s">
        <v>46</v>
      </c>
      <c r="F18847" t="s">
        <v>3750</v>
      </c>
      <c r="G18847" t="s">
        <v>47091</v>
      </c>
      <c r="H18847" t="s">
        <v>47054</v>
      </c>
      <c r="I18847" t="s">
        <v>47154</v>
      </c>
      <c r="J18847" t="s">
        <v>47155</v>
      </c>
      <c r="K18847" t="s">
        <v>47113</v>
      </c>
      <c r="L18847">
        <v>9.5399999999999991</v>
      </c>
      <c r="M18847">
        <v>37</v>
      </c>
      <c r="N18847">
        <v>99</v>
      </c>
      <c r="O18847">
        <v>37</v>
      </c>
      <c r="P18847">
        <v>99</v>
      </c>
    </row>
    <row r="18848" spans="1:16" x14ac:dyDescent="0.25">
      <c r="A18848" t="s">
        <v>41468</v>
      </c>
      <c r="B18848" t="s">
        <v>41466</v>
      </c>
      <c r="C18848" t="s">
        <v>41467</v>
      </c>
      <c r="D18848" t="str">
        <f>"4100"</f>
        <v>4100</v>
      </c>
      <c r="E18848" t="s">
        <v>17644</v>
      </c>
      <c r="F18848" t="s">
        <v>3750</v>
      </c>
      <c r="G18848" t="s">
        <v>47091</v>
      </c>
      <c r="H18848" t="s">
        <v>47054</v>
      </c>
      <c r="I18848" t="s">
        <v>47154</v>
      </c>
      <c r="J18848" t="s">
        <v>47155</v>
      </c>
      <c r="K18848" t="s">
        <v>47113</v>
      </c>
      <c r="L18848">
        <v>9.5399999999999991</v>
      </c>
      <c r="M18848">
        <v>37</v>
      </c>
      <c r="N18848">
        <v>99</v>
      </c>
      <c r="O18848">
        <v>37</v>
      </c>
      <c r="P18848">
        <v>99</v>
      </c>
    </row>
    <row r="18849" spans="1:16" x14ac:dyDescent="0.25">
      <c r="A18849" t="s">
        <v>22888</v>
      </c>
      <c r="B18849" t="s">
        <v>22889</v>
      </c>
      <c r="C18849" t="s">
        <v>47100</v>
      </c>
      <c r="D18849" t="str">
        <f>"2690"</f>
        <v>2690</v>
      </c>
      <c r="E18849" t="s">
        <v>22890</v>
      </c>
      <c r="F18849" t="s">
        <v>3750</v>
      </c>
      <c r="G18849" t="s">
        <v>47091</v>
      </c>
      <c r="H18849" t="s">
        <v>47054</v>
      </c>
      <c r="I18849" t="s">
        <v>47154</v>
      </c>
      <c r="J18849" t="s">
        <v>47155</v>
      </c>
      <c r="K18849" t="s">
        <v>47113</v>
      </c>
      <c r="L18849">
        <v>8.15</v>
      </c>
      <c r="M18849">
        <v>26</v>
      </c>
      <c r="N18849">
        <v>0</v>
      </c>
      <c r="O18849">
        <v>26</v>
      </c>
      <c r="P18849">
        <v>0</v>
      </c>
    </row>
    <row r="18850" spans="1:16" x14ac:dyDescent="0.25">
      <c r="A18850" t="s">
        <v>41469</v>
      </c>
      <c r="B18850" t="s">
        <v>22889</v>
      </c>
      <c r="C18850" t="s">
        <v>47100</v>
      </c>
      <c r="D18850" t="str">
        <f>"4739"</f>
        <v>4739</v>
      </c>
      <c r="E18850" t="s">
        <v>41470</v>
      </c>
      <c r="F18850" t="s">
        <v>3750</v>
      </c>
      <c r="G18850" t="s">
        <v>47091</v>
      </c>
      <c r="H18850" t="s">
        <v>47054</v>
      </c>
      <c r="I18850" t="s">
        <v>47154</v>
      </c>
      <c r="J18850" t="s">
        <v>47155</v>
      </c>
      <c r="K18850" t="s">
        <v>47113</v>
      </c>
      <c r="L18850">
        <v>8.15</v>
      </c>
      <c r="M18850">
        <v>26</v>
      </c>
      <c r="N18850">
        <v>0</v>
      </c>
      <c r="O18850">
        <v>26</v>
      </c>
      <c r="P18850">
        <v>0</v>
      </c>
    </row>
    <row r="18851" spans="1:16" x14ac:dyDescent="0.25">
      <c r="A18851" t="s">
        <v>41471</v>
      </c>
      <c r="B18851" t="s">
        <v>41472</v>
      </c>
      <c r="C18851" t="s">
        <v>41473</v>
      </c>
      <c r="D18851" t="str">
        <f>"1001"</f>
        <v>1001</v>
      </c>
      <c r="E18851" t="s">
        <v>42</v>
      </c>
      <c r="F18851" t="s">
        <v>3750</v>
      </c>
      <c r="G18851" t="s">
        <v>47091</v>
      </c>
      <c r="H18851" t="s">
        <v>47054</v>
      </c>
      <c r="I18851" t="s">
        <v>47154</v>
      </c>
      <c r="J18851" t="s">
        <v>47155</v>
      </c>
      <c r="K18851" t="s">
        <v>47113</v>
      </c>
      <c r="L18851">
        <v>8.82</v>
      </c>
      <c r="M18851">
        <v>37</v>
      </c>
      <c r="N18851">
        <v>99</v>
      </c>
      <c r="O18851">
        <v>37</v>
      </c>
      <c r="P18851">
        <v>99</v>
      </c>
    </row>
    <row r="18852" spans="1:16" x14ac:dyDescent="0.25">
      <c r="A18852" t="s">
        <v>41474</v>
      </c>
      <c r="B18852" t="s">
        <v>41472</v>
      </c>
      <c r="C18852" t="s">
        <v>41473</v>
      </c>
      <c r="D18852" t="str">
        <f>"6132"</f>
        <v>6132</v>
      </c>
      <c r="E18852" t="s">
        <v>9411</v>
      </c>
      <c r="F18852" t="s">
        <v>3750</v>
      </c>
      <c r="G18852" t="s">
        <v>47091</v>
      </c>
      <c r="H18852" t="s">
        <v>47054</v>
      </c>
      <c r="I18852" t="s">
        <v>47154</v>
      </c>
      <c r="J18852" t="s">
        <v>47155</v>
      </c>
      <c r="K18852" t="s">
        <v>47113</v>
      </c>
      <c r="L18852">
        <v>8.82</v>
      </c>
      <c r="M18852">
        <v>37</v>
      </c>
      <c r="N18852">
        <v>99</v>
      </c>
      <c r="O18852">
        <v>37</v>
      </c>
      <c r="P18852">
        <v>99</v>
      </c>
    </row>
    <row r="18853" spans="1:16" x14ac:dyDescent="0.25">
      <c r="A18853" t="s">
        <v>41475</v>
      </c>
      <c r="B18853" t="s">
        <v>21618</v>
      </c>
      <c r="C18853" t="s">
        <v>21619</v>
      </c>
      <c r="D18853" t="str">
        <f>"1700"</f>
        <v>1700</v>
      </c>
      <c r="E18853" t="s">
        <v>60</v>
      </c>
      <c r="F18853" t="s">
        <v>3750</v>
      </c>
      <c r="G18853" t="s">
        <v>47091</v>
      </c>
      <c r="H18853" t="s">
        <v>47054</v>
      </c>
      <c r="I18853" t="s">
        <v>47154</v>
      </c>
      <c r="J18853" t="s">
        <v>47155</v>
      </c>
      <c r="K18853" t="s">
        <v>47113</v>
      </c>
      <c r="L18853">
        <v>8.1</v>
      </c>
      <c r="M18853">
        <v>34</v>
      </c>
      <c r="N18853">
        <v>0</v>
      </c>
      <c r="O18853">
        <v>34</v>
      </c>
      <c r="P18853">
        <v>0</v>
      </c>
    </row>
    <row r="18854" spans="1:16" x14ac:dyDescent="0.25">
      <c r="A18854" t="s">
        <v>41476</v>
      </c>
      <c r="B18854" t="s">
        <v>11784</v>
      </c>
      <c r="C18854" t="s">
        <v>11406</v>
      </c>
      <c r="D18854" t="str">
        <f>"2504"</f>
        <v>2504</v>
      </c>
      <c r="E18854" t="s">
        <v>9708</v>
      </c>
      <c r="F18854" t="s">
        <v>2068</v>
      </c>
      <c r="G18854" t="s">
        <v>47098</v>
      </c>
      <c r="H18854" t="s">
        <v>47054</v>
      </c>
      <c r="I18854" t="s">
        <v>47118</v>
      </c>
      <c r="J18854" t="s">
        <v>47119</v>
      </c>
      <c r="K18854" t="s">
        <v>47113</v>
      </c>
      <c r="L18854">
        <v>115.5</v>
      </c>
      <c r="M18854">
        <v>261</v>
      </c>
      <c r="N18854">
        <v>0</v>
      </c>
      <c r="O18854">
        <v>261</v>
      </c>
      <c r="P18854">
        <v>0</v>
      </c>
    </row>
    <row r="18855" spans="1:16" x14ac:dyDescent="0.25">
      <c r="A18855" t="s">
        <v>15124</v>
      </c>
      <c r="B18855" t="s">
        <v>11785</v>
      </c>
      <c r="C18855" t="s">
        <v>11786</v>
      </c>
      <c r="D18855" t="str">
        <f>"1075"</f>
        <v>1075</v>
      </c>
      <c r="E18855" t="s">
        <v>11249</v>
      </c>
      <c r="F18855" t="s">
        <v>2068</v>
      </c>
      <c r="G18855" t="s">
        <v>47103</v>
      </c>
      <c r="H18855" t="s">
        <v>47054</v>
      </c>
      <c r="I18855" t="s">
        <v>47118</v>
      </c>
      <c r="J18855" t="s">
        <v>47119</v>
      </c>
      <c r="K18855" t="s">
        <v>47113</v>
      </c>
      <c r="L18855">
        <v>103.76</v>
      </c>
      <c r="M18855">
        <v>235</v>
      </c>
      <c r="N18855">
        <v>0</v>
      </c>
      <c r="O18855">
        <v>235</v>
      </c>
      <c r="P18855">
        <v>0</v>
      </c>
    </row>
    <row r="18856" spans="1:16" x14ac:dyDescent="0.25">
      <c r="A18856" t="s">
        <v>41477</v>
      </c>
      <c r="B18856" t="s">
        <v>11787</v>
      </c>
      <c r="C18856" t="s">
        <v>11788</v>
      </c>
      <c r="D18856" t="str">
        <f>"4909"</f>
        <v>4909</v>
      </c>
      <c r="E18856" t="s">
        <v>11789</v>
      </c>
      <c r="F18856" t="s">
        <v>3546</v>
      </c>
      <c r="G18856" t="s">
        <v>47101</v>
      </c>
      <c r="H18856" t="s">
        <v>47054</v>
      </c>
      <c r="I18856" t="s">
        <v>47120</v>
      </c>
      <c r="J18856" t="s">
        <v>47121</v>
      </c>
      <c r="K18856" t="s">
        <v>47113</v>
      </c>
      <c r="L18856">
        <v>27.21</v>
      </c>
      <c r="M18856">
        <v>67</v>
      </c>
      <c r="N18856">
        <v>0</v>
      </c>
      <c r="O18856">
        <v>67</v>
      </c>
      <c r="P18856">
        <v>0</v>
      </c>
    </row>
    <row r="18857" spans="1:16" x14ac:dyDescent="0.25">
      <c r="A18857" t="s">
        <v>41478</v>
      </c>
      <c r="B18857" t="s">
        <v>11790</v>
      </c>
      <c r="C18857" t="s">
        <v>11791</v>
      </c>
      <c r="D18857" t="str">
        <f>"4061"</f>
        <v>4061</v>
      </c>
      <c r="E18857" t="s">
        <v>2809</v>
      </c>
      <c r="F18857" t="s">
        <v>296</v>
      </c>
      <c r="G18857" t="s">
        <v>47091</v>
      </c>
      <c r="H18857" t="s">
        <v>47054</v>
      </c>
      <c r="I18857" t="s">
        <v>47120</v>
      </c>
      <c r="J18857" t="s">
        <v>47121</v>
      </c>
      <c r="K18857" t="s">
        <v>47113</v>
      </c>
      <c r="L18857">
        <v>10.76</v>
      </c>
      <c r="M18857">
        <v>27</v>
      </c>
      <c r="N18857">
        <v>0</v>
      </c>
      <c r="O18857">
        <v>27</v>
      </c>
      <c r="P18857">
        <v>0</v>
      </c>
    </row>
    <row r="18858" spans="1:16" x14ac:dyDescent="0.25">
      <c r="A18858" t="s">
        <v>41479</v>
      </c>
      <c r="B18858" t="s">
        <v>11790</v>
      </c>
      <c r="C18858" t="s">
        <v>11791</v>
      </c>
      <c r="D18858" t="str">
        <f>"6205"</f>
        <v>6205</v>
      </c>
      <c r="E18858" t="s">
        <v>6493</v>
      </c>
      <c r="F18858" t="s">
        <v>296</v>
      </c>
      <c r="G18858" t="s">
        <v>47091</v>
      </c>
      <c r="H18858" t="s">
        <v>47054</v>
      </c>
      <c r="I18858" t="s">
        <v>47120</v>
      </c>
      <c r="J18858" t="s">
        <v>47121</v>
      </c>
      <c r="K18858" t="s">
        <v>47113</v>
      </c>
      <c r="L18858">
        <v>10.15</v>
      </c>
      <c r="M18858">
        <v>27</v>
      </c>
      <c r="N18858">
        <v>0</v>
      </c>
      <c r="O18858">
        <v>27</v>
      </c>
      <c r="P18858">
        <v>0</v>
      </c>
    </row>
    <row r="18859" spans="1:16" x14ac:dyDescent="0.25">
      <c r="A18859" t="s">
        <v>41480</v>
      </c>
      <c r="B18859" t="s">
        <v>11790</v>
      </c>
      <c r="C18859" t="s">
        <v>11791</v>
      </c>
      <c r="D18859" t="str">
        <f>"7206"</f>
        <v>7206</v>
      </c>
      <c r="E18859" t="s">
        <v>8658</v>
      </c>
      <c r="F18859" t="s">
        <v>296</v>
      </c>
      <c r="G18859" t="s">
        <v>47091</v>
      </c>
      <c r="H18859" t="s">
        <v>47054</v>
      </c>
      <c r="I18859" t="s">
        <v>47120</v>
      </c>
      <c r="J18859" t="s">
        <v>47121</v>
      </c>
      <c r="K18859" t="s">
        <v>47113</v>
      </c>
      <c r="L18859">
        <v>10.76</v>
      </c>
      <c r="M18859">
        <v>27</v>
      </c>
      <c r="N18859">
        <v>0</v>
      </c>
      <c r="O18859">
        <v>27</v>
      </c>
      <c r="P18859">
        <v>0</v>
      </c>
    </row>
    <row r="18860" spans="1:16" x14ac:dyDescent="0.25">
      <c r="A18860" t="s">
        <v>41481</v>
      </c>
      <c r="B18860" t="s">
        <v>11792</v>
      </c>
      <c r="C18860" t="s">
        <v>11793</v>
      </c>
      <c r="D18860" t="str">
        <f>"1746"</f>
        <v>1746</v>
      </c>
      <c r="E18860" t="s">
        <v>807</v>
      </c>
      <c r="F18860" t="s">
        <v>7</v>
      </c>
      <c r="G18860" t="s">
        <v>47091</v>
      </c>
      <c r="H18860" t="s">
        <v>47054</v>
      </c>
      <c r="I18860" t="s">
        <v>47120</v>
      </c>
      <c r="J18860" t="s">
        <v>47121</v>
      </c>
      <c r="K18860" t="s">
        <v>47113</v>
      </c>
      <c r="L18860">
        <v>8.86</v>
      </c>
      <c r="M18860">
        <v>22</v>
      </c>
      <c r="N18860">
        <v>0</v>
      </c>
      <c r="O18860">
        <v>22</v>
      </c>
      <c r="P18860">
        <v>0</v>
      </c>
    </row>
    <row r="18861" spans="1:16" x14ac:dyDescent="0.25">
      <c r="A18861" t="s">
        <v>41482</v>
      </c>
      <c r="B18861" t="s">
        <v>11794</v>
      </c>
      <c r="C18861" t="s">
        <v>11795</v>
      </c>
      <c r="D18861" t="str">
        <f>"5142"</f>
        <v>5142</v>
      </c>
      <c r="E18861" t="s">
        <v>11796</v>
      </c>
      <c r="F18861" t="s">
        <v>5</v>
      </c>
      <c r="G18861" t="s">
        <v>47091</v>
      </c>
      <c r="H18861" t="s">
        <v>47054</v>
      </c>
      <c r="I18861" t="s">
        <v>47111</v>
      </c>
      <c r="J18861" t="s">
        <v>47112</v>
      </c>
      <c r="K18861" t="s">
        <v>47113</v>
      </c>
      <c r="L18861">
        <v>12.11</v>
      </c>
      <c r="M18861">
        <v>27</v>
      </c>
      <c r="N18861">
        <v>0</v>
      </c>
      <c r="O18861">
        <v>27</v>
      </c>
      <c r="P18861">
        <v>0</v>
      </c>
    </row>
    <row r="18862" spans="1:16" x14ac:dyDescent="0.25">
      <c r="A18862" t="s">
        <v>41483</v>
      </c>
      <c r="B18862" t="s">
        <v>11797</v>
      </c>
      <c r="C18862" t="s">
        <v>11798</v>
      </c>
      <c r="D18862" t="str">
        <f>"1968"</f>
        <v>1968</v>
      </c>
      <c r="E18862" t="s">
        <v>11799</v>
      </c>
      <c r="F18862" t="s">
        <v>5</v>
      </c>
      <c r="G18862" t="s">
        <v>47091</v>
      </c>
      <c r="H18862" t="s">
        <v>47054</v>
      </c>
      <c r="I18862" t="s">
        <v>47111</v>
      </c>
      <c r="J18862" t="s">
        <v>47112</v>
      </c>
      <c r="K18862" t="s">
        <v>47113</v>
      </c>
      <c r="L18862">
        <v>9.39</v>
      </c>
      <c r="M18862">
        <v>27</v>
      </c>
      <c r="N18862">
        <v>0</v>
      </c>
      <c r="O18862">
        <v>27</v>
      </c>
      <c r="P18862">
        <v>0</v>
      </c>
    </row>
    <row r="18863" spans="1:16" x14ac:dyDescent="0.25">
      <c r="A18863" t="s">
        <v>41484</v>
      </c>
      <c r="B18863" t="s">
        <v>11800</v>
      </c>
      <c r="C18863" t="s">
        <v>11801</v>
      </c>
      <c r="D18863" t="str">
        <f>"1001"</f>
        <v>1001</v>
      </c>
      <c r="E18863" t="s">
        <v>42</v>
      </c>
      <c r="F18863" t="s">
        <v>5</v>
      </c>
      <c r="G18863" t="s">
        <v>47091</v>
      </c>
      <c r="H18863" t="s">
        <v>47054</v>
      </c>
      <c r="I18863" t="s">
        <v>47111</v>
      </c>
      <c r="J18863" t="s">
        <v>47112</v>
      </c>
      <c r="K18863" t="s">
        <v>47113</v>
      </c>
      <c r="L18863">
        <v>13.02</v>
      </c>
      <c r="M18863">
        <v>27</v>
      </c>
      <c r="N18863">
        <v>0</v>
      </c>
      <c r="O18863">
        <v>27</v>
      </c>
      <c r="P18863">
        <v>0</v>
      </c>
    </row>
    <row r="18864" spans="1:16" x14ac:dyDescent="0.25">
      <c r="A18864" t="s">
        <v>41485</v>
      </c>
      <c r="B18864" t="s">
        <v>11802</v>
      </c>
      <c r="C18864" t="s">
        <v>11803</v>
      </c>
      <c r="D18864" t="str">
        <f>"4130"</f>
        <v>4130</v>
      </c>
      <c r="E18864" t="s">
        <v>2374</v>
      </c>
      <c r="F18864" t="s">
        <v>7</v>
      </c>
      <c r="G18864" t="s">
        <v>47091</v>
      </c>
      <c r="H18864" t="s">
        <v>47054</v>
      </c>
      <c r="I18864" t="s">
        <v>47120</v>
      </c>
      <c r="J18864" t="s">
        <v>47121</v>
      </c>
      <c r="K18864" t="s">
        <v>47113</v>
      </c>
      <c r="L18864">
        <v>10.210000000000001</v>
      </c>
      <c r="M18864">
        <v>27</v>
      </c>
      <c r="N18864">
        <v>0</v>
      </c>
      <c r="O18864">
        <v>27</v>
      </c>
      <c r="P18864">
        <v>0</v>
      </c>
    </row>
    <row r="18865" spans="1:16" x14ac:dyDescent="0.25">
      <c r="A18865" t="s">
        <v>41486</v>
      </c>
      <c r="B18865" t="s">
        <v>11804</v>
      </c>
      <c r="C18865" t="s">
        <v>11805</v>
      </c>
      <c r="D18865" t="str">
        <f>"1033"</f>
        <v>1033</v>
      </c>
      <c r="E18865" t="s">
        <v>1195</v>
      </c>
      <c r="F18865" t="s">
        <v>7</v>
      </c>
      <c r="G18865" t="s">
        <v>47091</v>
      </c>
      <c r="H18865" t="s">
        <v>47054</v>
      </c>
      <c r="I18865" t="s">
        <v>47120</v>
      </c>
      <c r="J18865" t="s">
        <v>47121</v>
      </c>
      <c r="K18865" t="s">
        <v>47113</v>
      </c>
      <c r="L18865">
        <v>15</v>
      </c>
      <c r="M18865">
        <v>37</v>
      </c>
      <c r="N18865">
        <v>0</v>
      </c>
      <c r="O18865">
        <v>37</v>
      </c>
      <c r="P18865">
        <v>0</v>
      </c>
    </row>
    <row r="18866" spans="1:16" x14ac:dyDescent="0.25">
      <c r="A18866" t="s">
        <v>41487</v>
      </c>
      <c r="B18866" t="s">
        <v>11804</v>
      </c>
      <c r="C18866" t="s">
        <v>11805</v>
      </c>
      <c r="D18866" t="str">
        <f>"1746"</f>
        <v>1746</v>
      </c>
      <c r="E18866" t="s">
        <v>807</v>
      </c>
      <c r="F18866" t="s">
        <v>7</v>
      </c>
      <c r="G18866" t="s">
        <v>47091</v>
      </c>
      <c r="H18866" t="s">
        <v>47054</v>
      </c>
      <c r="I18866" t="s">
        <v>47111</v>
      </c>
      <c r="J18866" t="s">
        <v>47112</v>
      </c>
      <c r="K18866" t="s">
        <v>47113</v>
      </c>
      <c r="L18866">
        <v>12.8</v>
      </c>
      <c r="M18866">
        <v>32</v>
      </c>
      <c r="N18866">
        <v>0</v>
      </c>
      <c r="O18866">
        <v>32</v>
      </c>
      <c r="P18866">
        <v>0</v>
      </c>
    </row>
    <row r="18867" spans="1:16" x14ac:dyDescent="0.25">
      <c r="A18867" t="s">
        <v>41488</v>
      </c>
      <c r="B18867" t="s">
        <v>11806</v>
      </c>
      <c r="C18867" t="s">
        <v>8646</v>
      </c>
      <c r="D18867" t="str">
        <f>"1746"</f>
        <v>1746</v>
      </c>
      <c r="E18867" t="s">
        <v>807</v>
      </c>
      <c r="F18867" t="s">
        <v>5</v>
      </c>
      <c r="G18867" t="s">
        <v>47091</v>
      </c>
      <c r="H18867" t="s">
        <v>47054</v>
      </c>
      <c r="I18867" t="s">
        <v>47111</v>
      </c>
      <c r="J18867" t="s">
        <v>47112</v>
      </c>
      <c r="K18867" t="s">
        <v>47113</v>
      </c>
      <c r="L18867">
        <v>8.1999999999999993</v>
      </c>
      <c r="M18867">
        <v>20</v>
      </c>
      <c r="N18867">
        <v>0</v>
      </c>
      <c r="O18867">
        <v>20</v>
      </c>
      <c r="P18867">
        <v>0</v>
      </c>
    </row>
    <row r="18868" spans="1:16" x14ac:dyDescent="0.25">
      <c r="A18868" t="s">
        <v>41489</v>
      </c>
      <c r="B18868" t="s">
        <v>11807</v>
      </c>
      <c r="C18868" t="s">
        <v>11808</v>
      </c>
      <c r="D18868" t="str">
        <f>"3481"</f>
        <v>3481</v>
      </c>
      <c r="E18868" t="s">
        <v>11809</v>
      </c>
      <c r="F18868" t="s">
        <v>0</v>
      </c>
      <c r="G18868" t="s">
        <v>47097</v>
      </c>
      <c r="H18868" t="s">
        <v>47054</v>
      </c>
      <c r="I18868" t="s">
        <v>47118</v>
      </c>
      <c r="J18868" t="s">
        <v>47119</v>
      </c>
      <c r="K18868" t="s">
        <v>47113</v>
      </c>
      <c r="L18868">
        <v>18.940000000000001</v>
      </c>
      <c r="M18868">
        <v>40</v>
      </c>
      <c r="N18868">
        <v>0</v>
      </c>
      <c r="O18868">
        <v>40</v>
      </c>
      <c r="P18868">
        <v>0</v>
      </c>
    </row>
    <row r="18869" spans="1:16" x14ac:dyDescent="0.25">
      <c r="A18869" t="s">
        <v>41490</v>
      </c>
      <c r="B18869" t="s">
        <v>11810</v>
      </c>
      <c r="C18869" t="s">
        <v>11811</v>
      </c>
      <c r="D18869" t="str">
        <f>"3501"</f>
        <v>3501</v>
      </c>
      <c r="E18869" t="s">
        <v>3758</v>
      </c>
      <c r="F18869" t="s">
        <v>1</v>
      </c>
      <c r="G18869" t="s">
        <v>47096</v>
      </c>
      <c r="H18869" t="s">
        <v>47054</v>
      </c>
      <c r="I18869" t="s">
        <v>47118</v>
      </c>
      <c r="J18869" t="s">
        <v>47119</v>
      </c>
      <c r="K18869" t="s">
        <v>47113</v>
      </c>
      <c r="L18869">
        <v>22.57</v>
      </c>
      <c r="M18869">
        <v>55</v>
      </c>
      <c r="N18869">
        <v>0</v>
      </c>
      <c r="O18869">
        <v>55</v>
      </c>
      <c r="P18869">
        <v>0</v>
      </c>
    </row>
    <row r="18870" spans="1:16" x14ac:dyDescent="0.25">
      <c r="A18870" t="s">
        <v>41491</v>
      </c>
      <c r="B18870" t="s">
        <v>11812</v>
      </c>
      <c r="C18870" t="s">
        <v>11813</v>
      </c>
      <c r="D18870" t="str">
        <f>"3501"</f>
        <v>3501</v>
      </c>
      <c r="E18870" t="s">
        <v>3758</v>
      </c>
      <c r="F18870" t="s">
        <v>1</v>
      </c>
      <c r="G18870" t="s">
        <v>49029</v>
      </c>
      <c r="H18870" t="s">
        <v>47054</v>
      </c>
      <c r="I18870" t="s">
        <v>47118</v>
      </c>
      <c r="J18870" t="s">
        <v>47119</v>
      </c>
      <c r="K18870" t="s">
        <v>47113</v>
      </c>
      <c r="L18870">
        <v>13.76</v>
      </c>
      <c r="M18870">
        <v>34</v>
      </c>
      <c r="N18870">
        <v>0</v>
      </c>
      <c r="O18870">
        <v>34</v>
      </c>
      <c r="P18870">
        <v>0</v>
      </c>
    </row>
    <row r="18871" spans="1:16" x14ac:dyDescent="0.25">
      <c r="A18871" t="s">
        <v>41492</v>
      </c>
      <c r="B18871" t="s">
        <v>11814</v>
      </c>
      <c r="C18871" t="s">
        <v>11815</v>
      </c>
      <c r="D18871" t="str">
        <f>"1704"</f>
        <v>1704</v>
      </c>
      <c r="E18871" t="s">
        <v>11816</v>
      </c>
      <c r="F18871" t="s">
        <v>2068</v>
      </c>
      <c r="G18871" t="s">
        <v>47096</v>
      </c>
      <c r="H18871" t="s">
        <v>47054</v>
      </c>
      <c r="I18871" t="s">
        <v>47118</v>
      </c>
      <c r="J18871" t="s">
        <v>47119</v>
      </c>
      <c r="K18871" t="s">
        <v>47113</v>
      </c>
      <c r="L18871">
        <v>23.08</v>
      </c>
      <c r="M18871">
        <v>41</v>
      </c>
      <c r="N18871">
        <v>0</v>
      </c>
      <c r="O18871">
        <v>41</v>
      </c>
      <c r="P18871">
        <v>0</v>
      </c>
    </row>
    <row r="18872" spans="1:16" x14ac:dyDescent="0.25">
      <c r="A18872" t="s">
        <v>41493</v>
      </c>
      <c r="B18872" t="s">
        <v>11817</v>
      </c>
      <c r="C18872" t="s">
        <v>11818</v>
      </c>
      <c r="D18872" t="str">
        <f>"3522"</f>
        <v>3522</v>
      </c>
      <c r="E18872" t="s">
        <v>2312</v>
      </c>
      <c r="F18872" t="s">
        <v>2068</v>
      </c>
      <c r="G18872" t="s">
        <v>47096</v>
      </c>
      <c r="H18872" t="s">
        <v>47054</v>
      </c>
      <c r="I18872" t="s">
        <v>47118</v>
      </c>
      <c r="J18872" t="s">
        <v>47119</v>
      </c>
      <c r="K18872" t="s">
        <v>47113</v>
      </c>
      <c r="L18872">
        <v>11.19</v>
      </c>
      <c r="M18872">
        <v>25</v>
      </c>
      <c r="N18872">
        <v>0</v>
      </c>
      <c r="O18872">
        <v>25</v>
      </c>
      <c r="P18872">
        <v>0</v>
      </c>
    </row>
    <row r="18873" spans="1:16" x14ac:dyDescent="0.25">
      <c r="A18873" t="s">
        <v>41494</v>
      </c>
      <c r="B18873" t="s">
        <v>11817</v>
      </c>
      <c r="C18873" t="s">
        <v>11818</v>
      </c>
      <c r="D18873" t="str">
        <f>"4868"</f>
        <v>4868</v>
      </c>
      <c r="E18873" t="s">
        <v>11148</v>
      </c>
      <c r="F18873" t="s">
        <v>2068</v>
      </c>
      <c r="G18873" t="s">
        <v>47096</v>
      </c>
      <c r="H18873" t="s">
        <v>47054</v>
      </c>
      <c r="I18873" t="s">
        <v>47118</v>
      </c>
      <c r="J18873" t="s">
        <v>47119</v>
      </c>
      <c r="K18873" t="s">
        <v>47113</v>
      </c>
      <c r="L18873">
        <v>11.19</v>
      </c>
      <c r="M18873">
        <v>25</v>
      </c>
      <c r="N18873">
        <v>0</v>
      </c>
      <c r="O18873">
        <v>25</v>
      </c>
      <c r="P18873">
        <v>0</v>
      </c>
    </row>
    <row r="18874" spans="1:16" x14ac:dyDescent="0.25">
      <c r="A18874" t="s">
        <v>41495</v>
      </c>
      <c r="B18874" t="s">
        <v>11819</v>
      </c>
      <c r="C18874" t="s">
        <v>11820</v>
      </c>
      <c r="D18874" t="str">
        <f>"4900"</f>
        <v>4900</v>
      </c>
      <c r="E18874" t="s">
        <v>11203</v>
      </c>
      <c r="F18874" t="s">
        <v>3546</v>
      </c>
      <c r="G18874" t="s">
        <v>47096</v>
      </c>
      <c r="H18874" t="s">
        <v>47054</v>
      </c>
      <c r="K18874" t="s">
        <v>47113</v>
      </c>
      <c r="L18874">
        <v>14.44</v>
      </c>
      <c r="M18874">
        <v>36</v>
      </c>
      <c r="N18874">
        <v>0</v>
      </c>
      <c r="O18874">
        <v>36</v>
      </c>
      <c r="P18874">
        <v>0</v>
      </c>
    </row>
    <row r="18875" spans="1:16" x14ac:dyDescent="0.25">
      <c r="A18875" t="s">
        <v>41496</v>
      </c>
      <c r="B18875" t="s">
        <v>11819</v>
      </c>
      <c r="C18875" t="s">
        <v>11820</v>
      </c>
      <c r="D18875" t="str">
        <f>"6029"</f>
        <v>6029</v>
      </c>
      <c r="E18875" t="s">
        <v>11821</v>
      </c>
      <c r="F18875" t="s">
        <v>3546</v>
      </c>
      <c r="G18875" t="s">
        <v>47096</v>
      </c>
      <c r="H18875" t="s">
        <v>47054</v>
      </c>
      <c r="K18875" t="s">
        <v>47113</v>
      </c>
      <c r="L18875">
        <v>14.44</v>
      </c>
      <c r="M18875">
        <v>36</v>
      </c>
      <c r="N18875">
        <v>0</v>
      </c>
      <c r="O18875">
        <v>36</v>
      </c>
      <c r="P18875">
        <v>0</v>
      </c>
    </row>
    <row r="18876" spans="1:16" x14ac:dyDescent="0.25">
      <c r="A18876" t="s">
        <v>41497</v>
      </c>
      <c r="B18876" t="s">
        <v>11822</v>
      </c>
      <c r="C18876" t="s">
        <v>11818</v>
      </c>
      <c r="D18876" t="str">
        <f>"4127"</f>
        <v>4127</v>
      </c>
      <c r="E18876" t="s">
        <v>8897</v>
      </c>
      <c r="F18876" t="s">
        <v>3558</v>
      </c>
      <c r="G18876" t="s">
        <v>47094</v>
      </c>
      <c r="H18876" t="s">
        <v>47054</v>
      </c>
      <c r="I18876" t="s">
        <v>47118</v>
      </c>
      <c r="J18876" t="s">
        <v>47119</v>
      </c>
      <c r="K18876" t="s">
        <v>47113</v>
      </c>
      <c r="L18876">
        <v>15.1</v>
      </c>
      <c r="M18876">
        <v>48</v>
      </c>
      <c r="N18876">
        <v>0</v>
      </c>
      <c r="O18876">
        <v>48</v>
      </c>
      <c r="P18876">
        <v>0</v>
      </c>
    </row>
    <row r="18877" spans="1:16" x14ac:dyDescent="0.25">
      <c r="A18877" t="s">
        <v>41498</v>
      </c>
      <c r="B18877" t="s">
        <v>11822</v>
      </c>
      <c r="C18877" t="s">
        <v>11818</v>
      </c>
      <c r="D18877" t="str">
        <f>"6497"</f>
        <v>6497</v>
      </c>
      <c r="E18877" t="s">
        <v>8781</v>
      </c>
      <c r="F18877" t="s">
        <v>3558</v>
      </c>
      <c r="G18877" t="s">
        <v>47094</v>
      </c>
      <c r="H18877" t="s">
        <v>47054</v>
      </c>
      <c r="I18877" t="s">
        <v>47118</v>
      </c>
      <c r="J18877" t="s">
        <v>47119</v>
      </c>
      <c r="K18877" t="s">
        <v>47113</v>
      </c>
      <c r="L18877">
        <v>15.1</v>
      </c>
      <c r="M18877">
        <v>48</v>
      </c>
      <c r="N18877">
        <v>0</v>
      </c>
      <c r="O18877">
        <v>48</v>
      </c>
      <c r="P18877">
        <v>0</v>
      </c>
    </row>
    <row r="18878" spans="1:16" x14ac:dyDescent="0.25">
      <c r="A18878" t="s">
        <v>41499</v>
      </c>
      <c r="B18878" t="s">
        <v>11823</v>
      </c>
      <c r="C18878" t="s">
        <v>11824</v>
      </c>
      <c r="D18878" t="str">
        <f>"6475"</f>
        <v>6475</v>
      </c>
      <c r="E18878" t="s">
        <v>9399</v>
      </c>
      <c r="F18878" t="s">
        <v>2068</v>
      </c>
      <c r="G18878" t="s">
        <v>47094</v>
      </c>
      <c r="H18878" t="s">
        <v>47054</v>
      </c>
      <c r="I18878" t="s">
        <v>47118</v>
      </c>
      <c r="J18878" t="s">
        <v>47119</v>
      </c>
      <c r="K18878" t="s">
        <v>47113</v>
      </c>
      <c r="L18878">
        <v>14.39</v>
      </c>
      <c r="M18878">
        <v>33</v>
      </c>
      <c r="N18878">
        <v>0</v>
      </c>
      <c r="O18878">
        <v>33</v>
      </c>
      <c r="P18878">
        <v>0</v>
      </c>
    </row>
    <row r="18879" spans="1:16" x14ac:dyDescent="0.25">
      <c r="A18879" t="s">
        <v>15125</v>
      </c>
      <c r="B18879" t="s">
        <v>11825</v>
      </c>
      <c r="C18879" t="s">
        <v>11826</v>
      </c>
      <c r="D18879" t="str">
        <f>"3522"</f>
        <v>3522</v>
      </c>
      <c r="E18879" t="s">
        <v>2312</v>
      </c>
      <c r="F18879" t="s">
        <v>2068</v>
      </c>
      <c r="G18879" t="s">
        <v>47095</v>
      </c>
      <c r="H18879" t="s">
        <v>47054</v>
      </c>
      <c r="I18879" t="s">
        <v>47118</v>
      </c>
      <c r="J18879" t="s">
        <v>47119</v>
      </c>
      <c r="K18879" t="s">
        <v>47113</v>
      </c>
      <c r="L18879">
        <v>17.55</v>
      </c>
      <c r="M18879">
        <v>40</v>
      </c>
      <c r="N18879">
        <v>0</v>
      </c>
      <c r="O18879">
        <v>40</v>
      </c>
      <c r="P18879">
        <v>0</v>
      </c>
    </row>
    <row r="18880" spans="1:16" x14ac:dyDescent="0.25">
      <c r="A18880" t="s">
        <v>15126</v>
      </c>
      <c r="B18880" t="s">
        <v>11825</v>
      </c>
      <c r="C18880" t="s">
        <v>11826</v>
      </c>
      <c r="D18880" t="str">
        <f>"4868"</f>
        <v>4868</v>
      </c>
      <c r="E18880" t="s">
        <v>11148</v>
      </c>
      <c r="F18880" t="s">
        <v>2068</v>
      </c>
      <c r="G18880" t="s">
        <v>47095</v>
      </c>
      <c r="H18880" t="s">
        <v>47054</v>
      </c>
      <c r="I18880" t="s">
        <v>47118</v>
      </c>
      <c r="J18880" t="s">
        <v>47119</v>
      </c>
      <c r="K18880" t="s">
        <v>47113</v>
      </c>
      <c r="L18880">
        <v>17.55</v>
      </c>
      <c r="M18880">
        <v>40</v>
      </c>
      <c r="N18880">
        <v>0</v>
      </c>
      <c r="O18880">
        <v>40</v>
      </c>
      <c r="P18880">
        <v>0</v>
      </c>
    </row>
    <row r="18881" spans="1:16" x14ac:dyDescent="0.25">
      <c r="A18881" t="s">
        <v>41500</v>
      </c>
      <c r="B18881" t="s">
        <v>11825</v>
      </c>
      <c r="C18881" t="s">
        <v>11826</v>
      </c>
      <c r="D18881" t="str">
        <f>"6475"</f>
        <v>6475</v>
      </c>
      <c r="E18881" t="s">
        <v>9399</v>
      </c>
      <c r="F18881" t="s">
        <v>2068</v>
      </c>
      <c r="G18881" t="s">
        <v>47095</v>
      </c>
      <c r="H18881" t="s">
        <v>47054</v>
      </c>
      <c r="I18881" t="s">
        <v>47118</v>
      </c>
      <c r="J18881" t="s">
        <v>47119</v>
      </c>
      <c r="K18881" t="s">
        <v>47113</v>
      </c>
      <c r="L18881">
        <v>17.55</v>
      </c>
      <c r="M18881">
        <v>40</v>
      </c>
      <c r="N18881">
        <v>0</v>
      </c>
      <c r="O18881">
        <v>40</v>
      </c>
      <c r="P18881">
        <v>0</v>
      </c>
    </row>
    <row r="18882" spans="1:16" x14ac:dyDescent="0.25">
      <c r="A18882" t="s">
        <v>41501</v>
      </c>
      <c r="B18882" t="s">
        <v>11827</v>
      </c>
      <c r="C18882" t="s">
        <v>11828</v>
      </c>
      <c r="D18882" t="str">
        <f>"1001"</f>
        <v>1001</v>
      </c>
      <c r="E18882" t="s">
        <v>11202</v>
      </c>
      <c r="F18882" t="s">
        <v>3546</v>
      </c>
      <c r="G18882" t="s">
        <v>47095</v>
      </c>
      <c r="H18882" t="s">
        <v>47054</v>
      </c>
      <c r="I18882" t="s">
        <v>47118</v>
      </c>
      <c r="J18882" t="s">
        <v>47119</v>
      </c>
      <c r="K18882" t="s">
        <v>47113</v>
      </c>
      <c r="L18882">
        <v>17.63</v>
      </c>
      <c r="M18882">
        <v>38</v>
      </c>
      <c r="N18882">
        <v>0</v>
      </c>
      <c r="O18882">
        <v>38</v>
      </c>
      <c r="P18882">
        <v>0</v>
      </c>
    </row>
    <row r="18883" spans="1:16" x14ac:dyDescent="0.25">
      <c r="A18883" t="s">
        <v>41502</v>
      </c>
      <c r="B18883" t="s">
        <v>11827</v>
      </c>
      <c r="C18883" t="s">
        <v>11828</v>
      </c>
      <c r="D18883" t="str">
        <f>"6029"</f>
        <v>6029</v>
      </c>
      <c r="E18883" t="s">
        <v>11821</v>
      </c>
      <c r="F18883" t="s">
        <v>3546</v>
      </c>
      <c r="G18883" t="s">
        <v>47095</v>
      </c>
      <c r="H18883" t="s">
        <v>47054</v>
      </c>
      <c r="I18883" t="s">
        <v>47118</v>
      </c>
      <c r="J18883" t="s">
        <v>47119</v>
      </c>
      <c r="K18883" t="s">
        <v>47113</v>
      </c>
      <c r="L18883">
        <v>17.63</v>
      </c>
      <c r="M18883">
        <v>38</v>
      </c>
      <c r="N18883">
        <v>0</v>
      </c>
      <c r="O18883">
        <v>38</v>
      </c>
      <c r="P18883">
        <v>0</v>
      </c>
    </row>
    <row r="18884" spans="1:16" x14ac:dyDescent="0.25">
      <c r="A18884" t="s">
        <v>41503</v>
      </c>
      <c r="B18884" t="s">
        <v>11829</v>
      </c>
      <c r="C18884" t="s">
        <v>11830</v>
      </c>
      <c r="D18884" t="str">
        <f>"1794"</f>
        <v>1794</v>
      </c>
      <c r="E18884" t="s">
        <v>8743</v>
      </c>
      <c r="F18884" t="s">
        <v>3546</v>
      </c>
      <c r="G18884" t="s">
        <v>47094</v>
      </c>
      <c r="H18884" t="s">
        <v>47054</v>
      </c>
      <c r="I18884" t="s">
        <v>47118</v>
      </c>
      <c r="J18884" t="s">
        <v>47119</v>
      </c>
      <c r="K18884" t="s">
        <v>47113</v>
      </c>
      <c r="L18884">
        <v>14.68</v>
      </c>
      <c r="M18884">
        <v>36</v>
      </c>
      <c r="N18884">
        <v>0</v>
      </c>
      <c r="O18884">
        <v>36</v>
      </c>
      <c r="P18884">
        <v>0</v>
      </c>
    </row>
    <row r="18885" spans="1:16" x14ac:dyDescent="0.25">
      <c r="A18885" t="s">
        <v>41504</v>
      </c>
      <c r="B18885" t="s">
        <v>11829</v>
      </c>
      <c r="C18885" t="s">
        <v>11830</v>
      </c>
      <c r="D18885" t="str">
        <f>"6040"</f>
        <v>6040</v>
      </c>
      <c r="E18885" t="s">
        <v>11208</v>
      </c>
      <c r="F18885" t="s">
        <v>3546</v>
      </c>
      <c r="G18885" t="s">
        <v>47094</v>
      </c>
      <c r="H18885" t="s">
        <v>47054</v>
      </c>
      <c r="I18885" t="s">
        <v>47118</v>
      </c>
      <c r="J18885" t="s">
        <v>47119</v>
      </c>
      <c r="K18885" t="s">
        <v>47113</v>
      </c>
      <c r="L18885">
        <v>14.68</v>
      </c>
      <c r="M18885">
        <v>36</v>
      </c>
      <c r="N18885">
        <v>0</v>
      </c>
      <c r="O18885">
        <v>36</v>
      </c>
      <c r="P18885">
        <v>0</v>
      </c>
    </row>
    <row r="18886" spans="1:16" x14ac:dyDescent="0.25">
      <c r="A18886" t="s">
        <v>41505</v>
      </c>
      <c r="B18886" t="s">
        <v>11831</v>
      </c>
      <c r="C18886" t="s">
        <v>11832</v>
      </c>
      <c r="D18886" t="str">
        <f>"1024"</f>
        <v>1024</v>
      </c>
      <c r="E18886" t="s">
        <v>717</v>
      </c>
      <c r="F18886" t="s">
        <v>3546</v>
      </c>
      <c r="G18886" t="s">
        <v>47095</v>
      </c>
      <c r="H18886" t="s">
        <v>47054</v>
      </c>
      <c r="I18886" t="s">
        <v>47118</v>
      </c>
      <c r="J18886" t="s">
        <v>47119</v>
      </c>
      <c r="K18886" t="s">
        <v>47113</v>
      </c>
      <c r="L18886">
        <v>15.64</v>
      </c>
      <c r="M18886">
        <v>38</v>
      </c>
      <c r="N18886">
        <v>0</v>
      </c>
      <c r="O18886">
        <v>38</v>
      </c>
      <c r="P18886">
        <v>0</v>
      </c>
    </row>
    <row r="18887" spans="1:16" x14ac:dyDescent="0.25">
      <c r="A18887" t="s">
        <v>41506</v>
      </c>
      <c r="B18887" t="s">
        <v>11833</v>
      </c>
      <c r="C18887" t="s">
        <v>11834</v>
      </c>
      <c r="D18887" t="str">
        <f>"1001"</f>
        <v>1001</v>
      </c>
      <c r="E18887" t="s">
        <v>11202</v>
      </c>
      <c r="F18887" t="s">
        <v>3546</v>
      </c>
      <c r="G18887" t="s">
        <v>47094</v>
      </c>
      <c r="H18887" t="s">
        <v>47054</v>
      </c>
      <c r="I18887" t="s">
        <v>47118</v>
      </c>
      <c r="J18887" t="s">
        <v>47119</v>
      </c>
      <c r="K18887" t="s">
        <v>47113</v>
      </c>
      <c r="L18887">
        <v>22.72</v>
      </c>
      <c r="M18887">
        <v>49</v>
      </c>
      <c r="N18887">
        <v>0</v>
      </c>
      <c r="O18887">
        <v>49</v>
      </c>
      <c r="P18887">
        <v>0</v>
      </c>
    </row>
    <row r="18888" spans="1:16" x14ac:dyDescent="0.25">
      <c r="A18888" t="s">
        <v>41507</v>
      </c>
      <c r="B18888" t="s">
        <v>11833</v>
      </c>
      <c r="C18888" t="s">
        <v>11834</v>
      </c>
      <c r="D18888" t="str">
        <f>"6029"</f>
        <v>6029</v>
      </c>
      <c r="E18888" t="s">
        <v>11821</v>
      </c>
      <c r="F18888" t="s">
        <v>3546</v>
      </c>
      <c r="G18888" t="s">
        <v>47094</v>
      </c>
      <c r="H18888" t="s">
        <v>47054</v>
      </c>
      <c r="I18888" t="s">
        <v>47118</v>
      </c>
      <c r="J18888" t="s">
        <v>47119</v>
      </c>
      <c r="K18888" t="s">
        <v>47113</v>
      </c>
      <c r="L18888">
        <v>22.72</v>
      </c>
      <c r="M18888">
        <v>49</v>
      </c>
      <c r="N18888">
        <v>0</v>
      </c>
      <c r="O18888">
        <v>49</v>
      </c>
      <c r="P18888">
        <v>0</v>
      </c>
    </row>
    <row r="18889" spans="1:16" x14ac:dyDescent="0.25">
      <c r="A18889" t="s">
        <v>41508</v>
      </c>
      <c r="B18889" t="s">
        <v>11835</v>
      </c>
      <c r="C18889" t="s">
        <v>11836</v>
      </c>
      <c r="D18889" t="str">
        <f>"1035"</f>
        <v>1035</v>
      </c>
      <c r="E18889" t="s">
        <v>758</v>
      </c>
      <c r="F18889" t="s">
        <v>3546</v>
      </c>
      <c r="G18889" t="s">
        <v>47095</v>
      </c>
      <c r="H18889" t="s">
        <v>47054</v>
      </c>
      <c r="I18889" t="s">
        <v>47118</v>
      </c>
      <c r="J18889" t="s">
        <v>47119</v>
      </c>
      <c r="K18889" t="s">
        <v>47113</v>
      </c>
      <c r="L18889">
        <v>22.52</v>
      </c>
      <c r="M18889">
        <v>55</v>
      </c>
      <c r="N18889">
        <v>0</v>
      </c>
      <c r="O18889">
        <v>55</v>
      </c>
      <c r="P18889">
        <v>0</v>
      </c>
    </row>
    <row r="18890" spans="1:16" x14ac:dyDescent="0.25">
      <c r="A18890" t="s">
        <v>41509</v>
      </c>
      <c r="B18890" t="s">
        <v>11835</v>
      </c>
      <c r="C18890" t="s">
        <v>11836</v>
      </c>
      <c r="D18890" t="str">
        <f>"1307"</f>
        <v>1307</v>
      </c>
      <c r="E18890" t="s">
        <v>11837</v>
      </c>
      <c r="F18890" t="s">
        <v>3558</v>
      </c>
      <c r="G18890" t="s">
        <v>47095</v>
      </c>
      <c r="H18890" t="s">
        <v>47054</v>
      </c>
      <c r="I18890" t="s">
        <v>47118</v>
      </c>
      <c r="J18890" t="s">
        <v>47119</v>
      </c>
      <c r="K18890" t="s">
        <v>47113</v>
      </c>
      <c r="L18890">
        <v>22.06</v>
      </c>
      <c r="M18890">
        <v>48</v>
      </c>
      <c r="N18890">
        <v>0</v>
      </c>
      <c r="O18890">
        <v>48</v>
      </c>
      <c r="P18890">
        <v>0</v>
      </c>
    </row>
    <row r="18891" spans="1:16" x14ac:dyDescent="0.25">
      <c r="A18891" t="s">
        <v>41510</v>
      </c>
      <c r="B18891" t="s">
        <v>11835</v>
      </c>
      <c r="C18891" t="s">
        <v>11836</v>
      </c>
      <c r="D18891" t="str">
        <f>"1541"</f>
        <v>1541</v>
      </c>
      <c r="E18891" t="s">
        <v>6246</v>
      </c>
      <c r="F18891" t="s">
        <v>3670</v>
      </c>
      <c r="G18891" t="s">
        <v>47095</v>
      </c>
      <c r="H18891" t="s">
        <v>47054</v>
      </c>
      <c r="I18891" t="s">
        <v>47118</v>
      </c>
      <c r="J18891" t="s">
        <v>47119</v>
      </c>
      <c r="K18891" t="s">
        <v>47113</v>
      </c>
      <c r="L18891">
        <v>20.9</v>
      </c>
      <c r="M18891">
        <v>55</v>
      </c>
      <c r="N18891">
        <v>0</v>
      </c>
      <c r="O18891">
        <v>55</v>
      </c>
      <c r="P18891">
        <v>0</v>
      </c>
    </row>
    <row r="18892" spans="1:16" x14ac:dyDescent="0.25">
      <c r="A18892" t="s">
        <v>41511</v>
      </c>
      <c r="B18892" t="s">
        <v>11835</v>
      </c>
      <c r="C18892" t="s">
        <v>11836</v>
      </c>
      <c r="D18892" t="str">
        <f>"6006"</f>
        <v>6006</v>
      </c>
      <c r="E18892" t="s">
        <v>5837</v>
      </c>
      <c r="F18892" t="s">
        <v>3546</v>
      </c>
      <c r="G18892" t="s">
        <v>47095</v>
      </c>
      <c r="H18892" t="s">
        <v>47054</v>
      </c>
      <c r="I18892" t="s">
        <v>47118</v>
      </c>
      <c r="J18892" t="s">
        <v>47119</v>
      </c>
      <c r="K18892" t="s">
        <v>47113</v>
      </c>
      <c r="L18892">
        <v>22.52</v>
      </c>
      <c r="M18892">
        <v>55</v>
      </c>
      <c r="N18892">
        <v>0</v>
      </c>
      <c r="O18892">
        <v>55</v>
      </c>
      <c r="P18892">
        <v>0</v>
      </c>
    </row>
    <row r="18893" spans="1:16" x14ac:dyDescent="0.25">
      <c r="A18893" t="s">
        <v>41512</v>
      </c>
      <c r="B18893" t="s">
        <v>11835</v>
      </c>
      <c r="C18893" t="s">
        <v>11836</v>
      </c>
      <c r="D18893" t="str">
        <f>"6011"</f>
        <v>6011</v>
      </c>
      <c r="E18893" t="s">
        <v>8746</v>
      </c>
      <c r="F18893" t="s">
        <v>3670</v>
      </c>
      <c r="G18893" t="s">
        <v>47095</v>
      </c>
      <c r="H18893" t="s">
        <v>47054</v>
      </c>
      <c r="I18893" t="s">
        <v>47118</v>
      </c>
      <c r="J18893" t="s">
        <v>47119</v>
      </c>
      <c r="K18893" t="s">
        <v>47113</v>
      </c>
      <c r="L18893">
        <v>20.9</v>
      </c>
      <c r="M18893">
        <v>55</v>
      </c>
      <c r="N18893">
        <v>0</v>
      </c>
      <c r="O18893">
        <v>55</v>
      </c>
      <c r="P18893">
        <v>0</v>
      </c>
    </row>
    <row r="18894" spans="1:16" x14ac:dyDescent="0.25">
      <c r="A18894" t="s">
        <v>41513</v>
      </c>
      <c r="B18894" t="s">
        <v>11835</v>
      </c>
      <c r="C18894" t="s">
        <v>11836</v>
      </c>
      <c r="D18894" t="str">
        <f>"6487"</f>
        <v>6487</v>
      </c>
      <c r="E18894" t="s">
        <v>11838</v>
      </c>
      <c r="F18894" t="s">
        <v>3558</v>
      </c>
      <c r="G18894" t="s">
        <v>47095</v>
      </c>
      <c r="H18894" t="s">
        <v>47054</v>
      </c>
      <c r="I18894" t="s">
        <v>47118</v>
      </c>
      <c r="J18894" t="s">
        <v>47119</v>
      </c>
      <c r="K18894" t="s">
        <v>47113</v>
      </c>
      <c r="L18894">
        <v>22.06</v>
      </c>
      <c r="M18894">
        <v>48</v>
      </c>
      <c r="N18894">
        <v>0</v>
      </c>
      <c r="O18894">
        <v>48</v>
      </c>
      <c r="P18894">
        <v>0</v>
      </c>
    </row>
    <row r="18895" spans="1:16" x14ac:dyDescent="0.25">
      <c r="A18895" t="s">
        <v>41514</v>
      </c>
      <c r="B18895" t="s">
        <v>11839</v>
      </c>
      <c r="C18895" t="s">
        <v>11840</v>
      </c>
      <c r="D18895" t="str">
        <f>"1035"</f>
        <v>1035</v>
      </c>
      <c r="E18895" t="s">
        <v>758</v>
      </c>
      <c r="F18895" t="s">
        <v>3546</v>
      </c>
      <c r="G18895" t="s">
        <v>47094</v>
      </c>
      <c r="H18895" t="s">
        <v>47054</v>
      </c>
      <c r="I18895" t="s">
        <v>47118</v>
      </c>
      <c r="J18895" t="s">
        <v>47119</v>
      </c>
      <c r="K18895" t="s">
        <v>47113</v>
      </c>
      <c r="L18895">
        <v>28.58</v>
      </c>
      <c r="M18895">
        <v>70</v>
      </c>
      <c r="N18895">
        <v>0</v>
      </c>
      <c r="O18895">
        <v>70</v>
      </c>
      <c r="P18895">
        <v>0</v>
      </c>
    </row>
    <row r="18896" spans="1:16" x14ac:dyDescent="0.25">
      <c r="A18896" t="s">
        <v>41515</v>
      </c>
      <c r="B18896" t="s">
        <v>11839</v>
      </c>
      <c r="C18896" t="s">
        <v>11840</v>
      </c>
      <c r="D18896" t="str">
        <f>"1307"</f>
        <v>1307</v>
      </c>
      <c r="E18896" t="s">
        <v>11837</v>
      </c>
      <c r="F18896" t="s">
        <v>3558</v>
      </c>
      <c r="G18896" t="s">
        <v>47094</v>
      </c>
      <c r="H18896" t="s">
        <v>47054</v>
      </c>
      <c r="I18896" t="s">
        <v>47118</v>
      </c>
      <c r="J18896" t="s">
        <v>47119</v>
      </c>
      <c r="K18896" t="s">
        <v>47113</v>
      </c>
      <c r="L18896">
        <v>26.69</v>
      </c>
      <c r="M18896">
        <v>55</v>
      </c>
      <c r="N18896">
        <v>0</v>
      </c>
      <c r="O18896">
        <v>55</v>
      </c>
      <c r="P18896">
        <v>0</v>
      </c>
    </row>
    <row r="18897" spans="1:16" x14ac:dyDescent="0.25">
      <c r="A18897" t="s">
        <v>41516</v>
      </c>
      <c r="B18897" t="s">
        <v>11839</v>
      </c>
      <c r="C18897" t="s">
        <v>11840</v>
      </c>
      <c r="D18897" t="str">
        <f>"1541"</f>
        <v>1541</v>
      </c>
      <c r="E18897" t="s">
        <v>6246</v>
      </c>
      <c r="F18897" t="s">
        <v>3670</v>
      </c>
      <c r="G18897" t="s">
        <v>47094</v>
      </c>
      <c r="H18897" t="s">
        <v>47054</v>
      </c>
      <c r="I18897" t="s">
        <v>47118</v>
      </c>
      <c r="J18897" t="s">
        <v>47119</v>
      </c>
      <c r="K18897" t="s">
        <v>47113</v>
      </c>
      <c r="L18897">
        <v>25.29</v>
      </c>
      <c r="M18897">
        <v>55</v>
      </c>
      <c r="N18897">
        <v>0</v>
      </c>
      <c r="O18897">
        <v>55</v>
      </c>
      <c r="P18897">
        <v>0</v>
      </c>
    </row>
    <row r="18898" spans="1:16" x14ac:dyDescent="0.25">
      <c r="A18898" t="s">
        <v>41517</v>
      </c>
      <c r="B18898" t="s">
        <v>11839</v>
      </c>
      <c r="C18898" t="s">
        <v>11840</v>
      </c>
      <c r="D18898" t="str">
        <f>"6006"</f>
        <v>6006</v>
      </c>
      <c r="E18898" t="s">
        <v>5837</v>
      </c>
      <c r="F18898" t="s">
        <v>3546</v>
      </c>
      <c r="G18898" t="s">
        <v>47094</v>
      </c>
      <c r="H18898" t="s">
        <v>47054</v>
      </c>
      <c r="I18898" t="s">
        <v>47118</v>
      </c>
      <c r="J18898" t="s">
        <v>47119</v>
      </c>
      <c r="K18898" t="s">
        <v>47113</v>
      </c>
      <c r="L18898">
        <v>28.58</v>
      </c>
      <c r="M18898">
        <v>70</v>
      </c>
      <c r="N18898">
        <v>0</v>
      </c>
      <c r="O18898">
        <v>70</v>
      </c>
      <c r="P18898">
        <v>0</v>
      </c>
    </row>
    <row r="18899" spans="1:16" x14ac:dyDescent="0.25">
      <c r="A18899" t="s">
        <v>41518</v>
      </c>
      <c r="B18899" t="s">
        <v>11839</v>
      </c>
      <c r="C18899" t="s">
        <v>11840</v>
      </c>
      <c r="D18899" t="str">
        <f>"6011"</f>
        <v>6011</v>
      </c>
      <c r="E18899" t="s">
        <v>8746</v>
      </c>
      <c r="F18899" t="s">
        <v>3670</v>
      </c>
      <c r="G18899" t="s">
        <v>47094</v>
      </c>
      <c r="H18899" t="s">
        <v>47054</v>
      </c>
      <c r="I18899" t="s">
        <v>47118</v>
      </c>
      <c r="J18899" t="s">
        <v>47119</v>
      </c>
      <c r="K18899" t="s">
        <v>47113</v>
      </c>
      <c r="L18899">
        <v>25.29</v>
      </c>
      <c r="M18899">
        <v>55</v>
      </c>
      <c r="N18899">
        <v>0</v>
      </c>
      <c r="O18899">
        <v>55</v>
      </c>
      <c r="P18899">
        <v>0</v>
      </c>
    </row>
    <row r="18900" spans="1:16" x14ac:dyDescent="0.25">
      <c r="A18900" t="s">
        <v>41519</v>
      </c>
      <c r="B18900" t="s">
        <v>11839</v>
      </c>
      <c r="C18900" t="s">
        <v>11840</v>
      </c>
      <c r="D18900" t="str">
        <f>"6487"</f>
        <v>6487</v>
      </c>
      <c r="E18900" t="s">
        <v>11838</v>
      </c>
      <c r="F18900" t="s">
        <v>3558</v>
      </c>
      <c r="G18900" t="s">
        <v>47094</v>
      </c>
      <c r="H18900" t="s">
        <v>47054</v>
      </c>
      <c r="I18900" t="s">
        <v>47118</v>
      </c>
      <c r="J18900" t="s">
        <v>47119</v>
      </c>
      <c r="K18900" t="s">
        <v>47113</v>
      </c>
      <c r="L18900">
        <v>26.69</v>
      </c>
      <c r="M18900">
        <v>55</v>
      </c>
      <c r="N18900">
        <v>0</v>
      </c>
      <c r="O18900">
        <v>55</v>
      </c>
      <c r="P18900">
        <v>0</v>
      </c>
    </row>
    <row r="18901" spans="1:16" x14ac:dyDescent="0.25">
      <c r="A18901" t="s">
        <v>41520</v>
      </c>
      <c r="B18901" t="s">
        <v>11839</v>
      </c>
      <c r="C18901" t="s">
        <v>11840</v>
      </c>
      <c r="D18901" t="str">
        <f>"8422"</f>
        <v>8422</v>
      </c>
      <c r="E18901" t="s">
        <v>7598</v>
      </c>
      <c r="F18901" t="s">
        <v>3558</v>
      </c>
      <c r="G18901" t="s">
        <v>47094</v>
      </c>
      <c r="H18901" t="s">
        <v>47054</v>
      </c>
      <c r="I18901" t="s">
        <v>47118</v>
      </c>
      <c r="J18901" t="s">
        <v>47119</v>
      </c>
      <c r="K18901" t="s">
        <v>47113</v>
      </c>
      <c r="L18901">
        <v>26.69</v>
      </c>
      <c r="M18901">
        <v>55</v>
      </c>
      <c r="N18901">
        <v>0</v>
      </c>
      <c r="O18901">
        <v>55</v>
      </c>
      <c r="P18901">
        <v>0</v>
      </c>
    </row>
    <row r="18902" spans="1:16" x14ac:dyDescent="0.25">
      <c r="A18902" t="s">
        <v>41521</v>
      </c>
      <c r="B18902" t="s">
        <v>15876</v>
      </c>
      <c r="C18902" t="s">
        <v>15877</v>
      </c>
      <c r="D18902" t="str">
        <f>"8422"</f>
        <v>8422</v>
      </c>
      <c r="E18902" t="s">
        <v>7598</v>
      </c>
      <c r="F18902" t="s">
        <v>3670</v>
      </c>
      <c r="G18902" t="s">
        <v>47095</v>
      </c>
      <c r="H18902" t="s">
        <v>47054</v>
      </c>
      <c r="I18902" t="s">
        <v>47118</v>
      </c>
      <c r="J18902" t="s">
        <v>47119</v>
      </c>
      <c r="K18902" t="s">
        <v>47113</v>
      </c>
      <c r="L18902">
        <v>16.440000000000001</v>
      </c>
      <c r="M18902">
        <v>37</v>
      </c>
      <c r="N18902">
        <v>0</v>
      </c>
      <c r="O18902">
        <v>37</v>
      </c>
      <c r="P18902">
        <v>0</v>
      </c>
    </row>
    <row r="18903" spans="1:16" x14ac:dyDescent="0.25">
      <c r="A18903" t="s">
        <v>41522</v>
      </c>
      <c r="B18903" t="s">
        <v>11841</v>
      </c>
      <c r="C18903" t="s">
        <v>11842</v>
      </c>
      <c r="D18903" t="s">
        <v>11843</v>
      </c>
      <c r="E18903" t="s">
        <v>11844</v>
      </c>
      <c r="F18903" t="s">
        <v>2068</v>
      </c>
      <c r="G18903" t="s">
        <v>47093</v>
      </c>
      <c r="H18903" t="s">
        <v>47054</v>
      </c>
      <c r="I18903" t="s">
        <v>47111</v>
      </c>
      <c r="J18903" t="s">
        <v>47112</v>
      </c>
      <c r="K18903" t="s">
        <v>47113</v>
      </c>
      <c r="L18903">
        <v>45.44</v>
      </c>
      <c r="M18903">
        <v>127</v>
      </c>
      <c r="N18903">
        <v>0</v>
      </c>
      <c r="O18903">
        <v>127</v>
      </c>
      <c r="P18903">
        <v>0</v>
      </c>
    </row>
    <row r="18904" spans="1:16" x14ac:dyDescent="0.25">
      <c r="A18904" t="s">
        <v>41523</v>
      </c>
      <c r="B18904" t="s">
        <v>11845</v>
      </c>
      <c r="C18904" t="s">
        <v>11846</v>
      </c>
      <c r="D18904" t="str">
        <f>"4755"</f>
        <v>4755</v>
      </c>
      <c r="E18904" t="s">
        <v>11847</v>
      </c>
      <c r="F18904" t="s">
        <v>1</v>
      </c>
      <c r="G18904" t="s">
        <v>49029</v>
      </c>
      <c r="H18904" t="s">
        <v>47054</v>
      </c>
      <c r="I18904" t="s">
        <v>47118</v>
      </c>
      <c r="J18904" t="s">
        <v>47119</v>
      </c>
      <c r="K18904" t="s">
        <v>47113</v>
      </c>
      <c r="L18904">
        <v>24.59</v>
      </c>
      <c r="M18904">
        <v>60</v>
      </c>
      <c r="N18904">
        <v>0</v>
      </c>
      <c r="O18904">
        <v>60</v>
      </c>
      <c r="P18904">
        <v>0</v>
      </c>
    </row>
    <row r="18905" spans="1:16" x14ac:dyDescent="0.25">
      <c r="A18905" t="s">
        <v>41524</v>
      </c>
      <c r="B18905" t="s">
        <v>11848</v>
      </c>
      <c r="C18905" t="s">
        <v>11849</v>
      </c>
      <c r="D18905" t="str">
        <f>"2693"</f>
        <v>2693</v>
      </c>
      <c r="E18905" t="s">
        <v>11850</v>
      </c>
      <c r="F18905" t="s">
        <v>2068</v>
      </c>
      <c r="G18905" t="s">
        <v>47093</v>
      </c>
      <c r="H18905" t="s">
        <v>47054</v>
      </c>
      <c r="I18905" t="s">
        <v>47111</v>
      </c>
      <c r="J18905" t="s">
        <v>47112</v>
      </c>
      <c r="K18905" t="s">
        <v>47113</v>
      </c>
      <c r="L18905">
        <v>37.28</v>
      </c>
      <c r="M18905">
        <v>104</v>
      </c>
      <c r="N18905">
        <v>0</v>
      </c>
      <c r="O18905">
        <v>104</v>
      </c>
      <c r="P18905">
        <v>0</v>
      </c>
    </row>
    <row r="18906" spans="1:16" x14ac:dyDescent="0.25">
      <c r="A18906" t="s">
        <v>41525</v>
      </c>
      <c r="B18906" t="s">
        <v>11851</v>
      </c>
      <c r="C18906" t="s">
        <v>11852</v>
      </c>
      <c r="D18906" t="str">
        <f>"1760"</f>
        <v>1760</v>
      </c>
      <c r="E18906" t="s">
        <v>11853</v>
      </c>
      <c r="F18906" t="s">
        <v>3546</v>
      </c>
      <c r="G18906" t="s">
        <v>47093</v>
      </c>
      <c r="H18906" t="s">
        <v>47054</v>
      </c>
      <c r="I18906" t="s">
        <v>47111</v>
      </c>
      <c r="J18906" t="s">
        <v>47112</v>
      </c>
      <c r="K18906" t="s">
        <v>47113</v>
      </c>
      <c r="L18906">
        <v>33.18</v>
      </c>
      <c r="M18906">
        <v>73</v>
      </c>
      <c r="N18906">
        <v>0</v>
      </c>
      <c r="O18906">
        <v>73</v>
      </c>
      <c r="P18906">
        <v>0</v>
      </c>
    </row>
    <row r="18907" spans="1:16" x14ac:dyDescent="0.25">
      <c r="A18907" t="s">
        <v>41526</v>
      </c>
      <c r="B18907" t="s">
        <v>11854</v>
      </c>
      <c r="C18907" t="s">
        <v>11390</v>
      </c>
      <c r="D18907" t="s">
        <v>11855</v>
      </c>
      <c r="E18907" t="s">
        <v>11856</v>
      </c>
      <c r="F18907" t="s">
        <v>3546</v>
      </c>
      <c r="G18907" t="s">
        <v>47093</v>
      </c>
      <c r="H18907" t="s">
        <v>47054</v>
      </c>
      <c r="I18907" t="s">
        <v>47111</v>
      </c>
      <c r="J18907" t="s">
        <v>47112</v>
      </c>
      <c r="K18907" t="s">
        <v>47113</v>
      </c>
      <c r="L18907">
        <v>42.16</v>
      </c>
      <c r="M18907">
        <v>96</v>
      </c>
      <c r="N18907">
        <v>0</v>
      </c>
      <c r="O18907">
        <v>96</v>
      </c>
      <c r="P18907">
        <v>0</v>
      </c>
    </row>
    <row r="18908" spans="1:16" x14ac:dyDescent="0.25">
      <c r="A18908" t="s">
        <v>41527</v>
      </c>
      <c r="B18908" t="s">
        <v>11857</v>
      </c>
      <c r="C18908" t="s">
        <v>11858</v>
      </c>
      <c r="D18908" t="str">
        <f>"1758"</f>
        <v>1758</v>
      </c>
      <c r="E18908" t="s">
        <v>11774</v>
      </c>
      <c r="F18908" t="s">
        <v>3546</v>
      </c>
      <c r="G18908" t="s">
        <v>47093</v>
      </c>
      <c r="H18908" t="s">
        <v>47054</v>
      </c>
      <c r="I18908" t="s">
        <v>47111</v>
      </c>
      <c r="J18908" t="s">
        <v>47112</v>
      </c>
      <c r="K18908" t="s">
        <v>47113</v>
      </c>
      <c r="L18908">
        <v>50.54</v>
      </c>
      <c r="M18908">
        <v>125</v>
      </c>
      <c r="N18908">
        <v>0</v>
      </c>
      <c r="O18908">
        <v>125</v>
      </c>
      <c r="P18908">
        <v>0</v>
      </c>
    </row>
    <row r="18909" spans="1:16" x14ac:dyDescent="0.25">
      <c r="A18909" t="s">
        <v>41528</v>
      </c>
      <c r="B18909" t="s">
        <v>11859</v>
      </c>
      <c r="C18909" t="s">
        <v>11860</v>
      </c>
      <c r="D18909" t="str">
        <f>"1758"</f>
        <v>1758</v>
      </c>
      <c r="E18909" t="s">
        <v>11774</v>
      </c>
      <c r="F18909" t="s">
        <v>3546</v>
      </c>
      <c r="G18909" t="s">
        <v>47098</v>
      </c>
      <c r="H18909" t="s">
        <v>47054</v>
      </c>
      <c r="I18909" t="s">
        <v>47116</v>
      </c>
      <c r="J18909" t="s">
        <v>47117</v>
      </c>
      <c r="K18909" t="s">
        <v>47113</v>
      </c>
      <c r="L18909">
        <v>39.86</v>
      </c>
      <c r="M18909">
        <v>98</v>
      </c>
      <c r="N18909">
        <v>0</v>
      </c>
      <c r="O18909">
        <v>98</v>
      </c>
      <c r="P18909">
        <v>0</v>
      </c>
    </row>
    <row r="18910" spans="1:16" x14ac:dyDescent="0.25">
      <c r="A18910" t="s">
        <v>41529</v>
      </c>
      <c r="B18910" t="s">
        <v>11861</v>
      </c>
      <c r="C18910" t="s">
        <v>11862</v>
      </c>
      <c r="D18910" t="str">
        <f>"1758"</f>
        <v>1758</v>
      </c>
      <c r="E18910" t="s">
        <v>11774</v>
      </c>
      <c r="F18910" t="s">
        <v>3546</v>
      </c>
      <c r="G18910" t="s">
        <v>47093</v>
      </c>
      <c r="H18910" t="s">
        <v>47054</v>
      </c>
      <c r="I18910" t="s">
        <v>47111</v>
      </c>
      <c r="J18910" t="s">
        <v>47112</v>
      </c>
      <c r="K18910" t="s">
        <v>47113</v>
      </c>
      <c r="L18910">
        <v>42.68</v>
      </c>
      <c r="M18910">
        <v>105</v>
      </c>
      <c r="N18910">
        <v>0</v>
      </c>
      <c r="O18910">
        <v>105</v>
      </c>
      <c r="P18910">
        <v>0</v>
      </c>
    </row>
    <row r="18911" spans="1:16" x14ac:dyDescent="0.25">
      <c r="A18911" t="s">
        <v>41530</v>
      </c>
      <c r="B18911" t="s">
        <v>11863</v>
      </c>
      <c r="C18911" t="s">
        <v>11858</v>
      </c>
      <c r="D18911" t="str">
        <f>"1760"</f>
        <v>1760</v>
      </c>
      <c r="E18911" t="s">
        <v>11853</v>
      </c>
      <c r="F18911" t="s">
        <v>3546</v>
      </c>
      <c r="G18911" t="s">
        <v>47093</v>
      </c>
      <c r="H18911" t="s">
        <v>47054</v>
      </c>
      <c r="I18911" t="s">
        <v>47111</v>
      </c>
      <c r="J18911" t="s">
        <v>47112</v>
      </c>
      <c r="K18911" t="s">
        <v>47113</v>
      </c>
      <c r="L18911">
        <v>50.18</v>
      </c>
      <c r="M18911">
        <v>124</v>
      </c>
      <c r="N18911">
        <v>0</v>
      </c>
      <c r="O18911">
        <v>124</v>
      </c>
      <c r="P18911">
        <v>0</v>
      </c>
    </row>
    <row r="18912" spans="1:16" x14ac:dyDescent="0.25">
      <c r="A18912" t="s">
        <v>41531</v>
      </c>
      <c r="B18912" t="s">
        <v>11864</v>
      </c>
      <c r="C18912" t="s">
        <v>11858</v>
      </c>
      <c r="D18912" t="str">
        <f>"1700"</f>
        <v>1700</v>
      </c>
      <c r="E18912" t="s">
        <v>11865</v>
      </c>
      <c r="F18912" t="s">
        <v>3546</v>
      </c>
      <c r="G18912" t="s">
        <v>47093</v>
      </c>
      <c r="H18912" t="s">
        <v>47054</v>
      </c>
      <c r="I18912" t="s">
        <v>47111</v>
      </c>
      <c r="J18912" t="s">
        <v>47112</v>
      </c>
      <c r="K18912" t="s">
        <v>47113</v>
      </c>
      <c r="L18912">
        <v>50.18</v>
      </c>
      <c r="M18912">
        <v>123</v>
      </c>
      <c r="N18912">
        <v>0</v>
      </c>
      <c r="O18912">
        <v>123</v>
      </c>
      <c r="P18912">
        <v>0</v>
      </c>
    </row>
    <row r="18913" spans="1:16" x14ac:dyDescent="0.25">
      <c r="A18913" t="s">
        <v>41532</v>
      </c>
      <c r="B18913" t="s">
        <v>11864</v>
      </c>
      <c r="C18913" t="s">
        <v>11858</v>
      </c>
      <c r="D18913" t="str">
        <f>"1760"</f>
        <v>1760</v>
      </c>
      <c r="E18913" t="s">
        <v>11853</v>
      </c>
      <c r="F18913" t="s">
        <v>3546</v>
      </c>
      <c r="G18913" t="s">
        <v>47093</v>
      </c>
      <c r="H18913" t="s">
        <v>47054</v>
      </c>
      <c r="I18913" t="s">
        <v>47111</v>
      </c>
      <c r="J18913" t="s">
        <v>47112</v>
      </c>
      <c r="K18913" t="s">
        <v>47113</v>
      </c>
      <c r="L18913">
        <v>50.18</v>
      </c>
      <c r="M18913">
        <v>123</v>
      </c>
      <c r="N18913">
        <v>0</v>
      </c>
      <c r="O18913">
        <v>123</v>
      </c>
      <c r="P18913">
        <v>0</v>
      </c>
    </row>
    <row r="18914" spans="1:16" x14ac:dyDescent="0.25">
      <c r="A18914" t="s">
        <v>41533</v>
      </c>
      <c r="B18914" t="s">
        <v>11866</v>
      </c>
      <c r="C18914" t="s">
        <v>11867</v>
      </c>
      <c r="D18914" t="s">
        <v>657</v>
      </c>
      <c r="E18914" t="s">
        <v>658</v>
      </c>
      <c r="F18914" t="s">
        <v>1401</v>
      </c>
      <c r="G18914" t="s">
        <v>47093</v>
      </c>
      <c r="H18914" t="s">
        <v>47054</v>
      </c>
      <c r="I18914" t="s">
        <v>47111</v>
      </c>
      <c r="J18914" t="s">
        <v>47112</v>
      </c>
      <c r="K18914" t="s">
        <v>47113</v>
      </c>
      <c r="L18914">
        <v>40.159999999999997</v>
      </c>
      <c r="M18914">
        <v>90</v>
      </c>
      <c r="N18914">
        <v>0</v>
      </c>
      <c r="O18914">
        <v>90</v>
      </c>
      <c r="P18914">
        <v>0</v>
      </c>
    </row>
    <row r="18915" spans="1:16" x14ac:dyDescent="0.25">
      <c r="A18915" t="s">
        <v>41534</v>
      </c>
      <c r="B18915" t="s">
        <v>11868</v>
      </c>
      <c r="C18915" t="s">
        <v>11869</v>
      </c>
      <c r="D18915" t="s">
        <v>652</v>
      </c>
      <c r="E18915" t="s">
        <v>1544</v>
      </c>
      <c r="F18915" t="s">
        <v>1401</v>
      </c>
      <c r="G18915" t="s">
        <v>47093</v>
      </c>
      <c r="H18915" t="s">
        <v>47054</v>
      </c>
      <c r="I18915" t="s">
        <v>47111</v>
      </c>
      <c r="J18915" t="s">
        <v>47112</v>
      </c>
      <c r="K18915" t="s">
        <v>47113</v>
      </c>
      <c r="L18915">
        <v>39.93</v>
      </c>
      <c r="M18915">
        <v>90</v>
      </c>
      <c r="N18915">
        <v>0</v>
      </c>
      <c r="O18915">
        <v>90</v>
      </c>
      <c r="P18915">
        <v>0</v>
      </c>
    </row>
    <row r="18916" spans="1:16" x14ac:dyDescent="0.25">
      <c r="A18916" t="s">
        <v>41535</v>
      </c>
      <c r="B18916" t="s">
        <v>11870</v>
      </c>
      <c r="C18916" t="s">
        <v>11871</v>
      </c>
      <c r="D18916" t="s">
        <v>652</v>
      </c>
      <c r="E18916" t="s">
        <v>1544</v>
      </c>
      <c r="F18916" t="s">
        <v>1401</v>
      </c>
      <c r="G18916" t="s">
        <v>47093</v>
      </c>
      <c r="H18916" t="s">
        <v>47054</v>
      </c>
      <c r="I18916" t="s">
        <v>47111</v>
      </c>
      <c r="J18916" t="s">
        <v>47112</v>
      </c>
      <c r="K18916" t="s">
        <v>47113</v>
      </c>
      <c r="L18916">
        <v>39.43</v>
      </c>
      <c r="M18916">
        <v>88</v>
      </c>
      <c r="N18916">
        <v>0</v>
      </c>
      <c r="O18916">
        <v>88</v>
      </c>
      <c r="P18916">
        <v>0</v>
      </c>
    </row>
    <row r="18917" spans="1:16" x14ac:dyDescent="0.25">
      <c r="A18917" t="s">
        <v>41536</v>
      </c>
      <c r="B18917" t="s">
        <v>11872</v>
      </c>
      <c r="C18917" t="s">
        <v>11873</v>
      </c>
      <c r="D18917" t="str">
        <f>"1001"</f>
        <v>1001</v>
      </c>
      <c r="E18917" t="s">
        <v>11874</v>
      </c>
      <c r="F18917" t="s">
        <v>4</v>
      </c>
      <c r="G18917" t="s">
        <v>47092</v>
      </c>
      <c r="H18917" t="s">
        <v>47054</v>
      </c>
      <c r="I18917" t="s">
        <v>47118</v>
      </c>
      <c r="J18917" t="s">
        <v>47119</v>
      </c>
      <c r="K18917" t="s">
        <v>47113</v>
      </c>
      <c r="L18917">
        <v>34.33</v>
      </c>
      <c r="M18917">
        <v>84</v>
      </c>
      <c r="N18917">
        <v>0</v>
      </c>
      <c r="O18917">
        <v>84</v>
      </c>
      <c r="P18917">
        <v>0</v>
      </c>
    </row>
    <row r="18918" spans="1:16" x14ac:dyDescent="0.25">
      <c r="A18918" t="s">
        <v>41537</v>
      </c>
      <c r="B18918" t="s">
        <v>11872</v>
      </c>
      <c r="C18918" t="s">
        <v>11873</v>
      </c>
      <c r="D18918" t="str">
        <f>"1793"</f>
        <v>1793</v>
      </c>
      <c r="E18918" t="s">
        <v>11875</v>
      </c>
      <c r="F18918" t="s">
        <v>4</v>
      </c>
      <c r="G18918" t="s">
        <v>47092</v>
      </c>
      <c r="H18918" t="s">
        <v>47054</v>
      </c>
      <c r="I18918" t="s">
        <v>47118</v>
      </c>
      <c r="J18918" t="s">
        <v>47119</v>
      </c>
      <c r="K18918" t="s">
        <v>47113</v>
      </c>
      <c r="L18918">
        <v>34.33</v>
      </c>
      <c r="M18918">
        <v>84</v>
      </c>
      <c r="N18918">
        <v>0</v>
      </c>
      <c r="O18918">
        <v>84</v>
      </c>
      <c r="P18918">
        <v>0</v>
      </c>
    </row>
    <row r="18919" spans="1:16" x14ac:dyDescent="0.25">
      <c r="A18919" t="s">
        <v>41538</v>
      </c>
      <c r="B18919" t="s">
        <v>11876</v>
      </c>
      <c r="C18919" t="s">
        <v>11877</v>
      </c>
      <c r="D18919" t="str">
        <f>"1001"</f>
        <v>1001</v>
      </c>
      <c r="E18919" t="s">
        <v>42</v>
      </c>
      <c r="F18919" t="s">
        <v>4</v>
      </c>
      <c r="G18919" t="s">
        <v>47092</v>
      </c>
      <c r="H18919" t="s">
        <v>47054</v>
      </c>
      <c r="I18919" t="s">
        <v>47118</v>
      </c>
      <c r="J18919" t="s">
        <v>47119</v>
      </c>
      <c r="K18919" t="s">
        <v>47113</v>
      </c>
      <c r="L18919">
        <v>48.21</v>
      </c>
      <c r="M18919">
        <v>118</v>
      </c>
      <c r="N18919">
        <v>0</v>
      </c>
      <c r="O18919">
        <v>118</v>
      </c>
      <c r="P18919">
        <v>0</v>
      </c>
    </row>
    <row r="18920" spans="1:16" x14ac:dyDescent="0.25">
      <c r="A18920" t="s">
        <v>41539</v>
      </c>
      <c r="B18920" t="s">
        <v>11878</v>
      </c>
      <c r="C18920" t="s">
        <v>11879</v>
      </c>
      <c r="D18920" t="s">
        <v>11880</v>
      </c>
      <c r="E18920" t="s">
        <v>11881</v>
      </c>
      <c r="F18920" t="s">
        <v>2068</v>
      </c>
      <c r="G18920" t="s">
        <v>47093</v>
      </c>
      <c r="H18920" t="s">
        <v>47054</v>
      </c>
      <c r="I18920" t="s">
        <v>47111</v>
      </c>
      <c r="J18920" t="s">
        <v>47112</v>
      </c>
      <c r="K18920" t="s">
        <v>47113</v>
      </c>
      <c r="L18920">
        <v>59.39</v>
      </c>
      <c r="M18920">
        <v>166</v>
      </c>
      <c r="N18920">
        <v>0</v>
      </c>
      <c r="O18920">
        <v>166</v>
      </c>
      <c r="P18920">
        <v>0</v>
      </c>
    </row>
    <row r="18921" spans="1:16" x14ac:dyDescent="0.25">
      <c r="A18921" t="s">
        <v>41540</v>
      </c>
      <c r="B18921" t="s">
        <v>11878</v>
      </c>
      <c r="C18921" t="s">
        <v>11879</v>
      </c>
      <c r="D18921" t="s">
        <v>11882</v>
      </c>
      <c r="E18921" t="s">
        <v>11883</v>
      </c>
      <c r="F18921" t="s">
        <v>2068</v>
      </c>
      <c r="G18921" t="s">
        <v>47093</v>
      </c>
      <c r="H18921" t="s">
        <v>47054</v>
      </c>
      <c r="I18921" t="s">
        <v>47111</v>
      </c>
      <c r="J18921" t="s">
        <v>47112</v>
      </c>
      <c r="K18921" t="s">
        <v>47113</v>
      </c>
      <c r="L18921">
        <v>58.16</v>
      </c>
      <c r="M18921">
        <v>162</v>
      </c>
      <c r="N18921">
        <v>0</v>
      </c>
      <c r="O18921">
        <v>162</v>
      </c>
      <c r="P18921">
        <v>0</v>
      </c>
    </row>
    <row r="18922" spans="1:16" x14ac:dyDescent="0.25">
      <c r="A18922" t="s">
        <v>41541</v>
      </c>
      <c r="B18922" t="s">
        <v>11884</v>
      </c>
      <c r="C18922" t="s">
        <v>11885</v>
      </c>
      <c r="D18922" t="str">
        <f>"1700"</f>
        <v>1700</v>
      </c>
      <c r="E18922" t="s">
        <v>11886</v>
      </c>
      <c r="F18922" t="s">
        <v>1</v>
      </c>
      <c r="G18922" t="s">
        <v>47103</v>
      </c>
      <c r="H18922" t="s">
        <v>47054</v>
      </c>
      <c r="I18922" t="s">
        <v>47118</v>
      </c>
      <c r="J18922" t="s">
        <v>47119</v>
      </c>
      <c r="K18922" t="s">
        <v>47113</v>
      </c>
      <c r="L18922">
        <v>28.89</v>
      </c>
      <c r="M18922">
        <v>71</v>
      </c>
      <c r="N18922">
        <v>0</v>
      </c>
      <c r="O18922">
        <v>71</v>
      </c>
      <c r="P18922">
        <v>0</v>
      </c>
    </row>
    <row r="18923" spans="1:16" x14ac:dyDescent="0.25">
      <c r="A18923" t="s">
        <v>41542</v>
      </c>
      <c r="B18923" t="s">
        <v>11887</v>
      </c>
      <c r="C18923" t="s">
        <v>11888</v>
      </c>
      <c r="D18923" t="str">
        <f>"1001"</f>
        <v>1001</v>
      </c>
      <c r="E18923" t="s">
        <v>11889</v>
      </c>
      <c r="F18923" t="s">
        <v>1</v>
      </c>
      <c r="G18923" t="s">
        <v>47097</v>
      </c>
      <c r="H18923" t="s">
        <v>47054</v>
      </c>
      <c r="I18923" t="s">
        <v>47111</v>
      </c>
      <c r="J18923" t="s">
        <v>47112</v>
      </c>
      <c r="K18923" t="s">
        <v>47113</v>
      </c>
      <c r="L18923">
        <v>14</v>
      </c>
      <c r="M18923">
        <v>34</v>
      </c>
      <c r="N18923">
        <v>0</v>
      </c>
      <c r="O18923">
        <v>34</v>
      </c>
      <c r="P18923">
        <v>0</v>
      </c>
    </row>
    <row r="18924" spans="1:16" x14ac:dyDescent="0.25">
      <c r="A18924" t="s">
        <v>41543</v>
      </c>
      <c r="B18924" t="s">
        <v>11890</v>
      </c>
      <c r="C18924" t="s">
        <v>11891</v>
      </c>
      <c r="D18924" t="str">
        <f>"1700"</f>
        <v>1700</v>
      </c>
      <c r="E18924" t="s">
        <v>60</v>
      </c>
      <c r="F18924" t="s">
        <v>1</v>
      </c>
      <c r="G18924" t="s">
        <v>47103</v>
      </c>
      <c r="H18924" t="s">
        <v>47054</v>
      </c>
      <c r="I18924" t="s">
        <v>47111</v>
      </c>
      <c r="J18924" t="s">
        <v>47112</v>
      </c>
      <c r="K18924" t="s">
        <v>47113</v>
      </c>
      <c r="L18924">
        <v>21.22</v>
      </c>
      <c r="M18924">
        <v>52</v>
      </c>
      <c r="N18924">
        <v>0</v>
      </c>
      <c r="O18924">
        <v>52</v>
      </c>
      <c r="P18924">
        <v>0</v>
      </c>
    </row>
    <row r="18925" spans="1:16" x14ac:dyDescent="0.25">
      <c r="A18925" t="s">
        <v>41544</v>
      </c>
      <c r="B18925" t="s">
        <v>11892</v>
      </c>
      <c r="C18925" t="s">
        <v>11413</v>
      </c>
      <c r="D18925" t="str">
        <f>"1458"</f>
        <v>1458</v>
      </c>
      <c r="E18925" t="s">
        <v>11893</v>
      </c>
      <c r="F18925" t="s">
        <v>2068</v>
      </c>
      <c r="G18925" t="s">
        <v>47093</v>
      </c>
      <c r="H18925" t="s">
        <v>47054</v>
      </c>
      <c r="I18925" t="s">
        <v>47111</v>
      </c>
      <c r="J18925" t="s">
        <v>47112</v>
      </c>
      <c r="K18925" t="s">
        <v>47113</v>
      </c>
      <c r="L18925">
        <v>34.94</v>
      </c>
      <c r="M18925">
        <v>97</v>
      </c>
      <c r="N18925">
        <v>0</v>
      </c>
      <c r="O18925">
        <v>97</v>
      </c>
      <c r="P18925">
        <v>0</v>
      </c>
    </row>
    <row r="18926" spans="1:16" x14ac:dyDescent="0.25">
      <c r="A18926" t="s">
        <v>41545</v>
      </c>
      <c r="B18926" t="s">
        <v>11892</v>
      </c>
      <c r="C18926" t="s">
        <v>11413</v>
      </c>
      <c r="D18926" t="str">
        <f>"6471"</f>
        <v>6471</v>
      </c>
      <c r="E18926" t="s">
        <v>11894</v>
      </c>
      <c r="F18926" t="s">
        <v>2068</v>
      </c>
      <c r="G18926" t="s">
        <v>47093</v>
      </c>
      <c r="H18926" t="s">
        <v>47054</v>
      </c>
      <c r="I18926" t="s">
        <v>47111</v>
      </c>
      <c r="J18926" t="s">
        <v>47112</v>
      </c>
      <c r="K18926" t="s">
        <v>47113</v>
      </c>
      <c r="L18926">
        <v>34.94</v>
      </c>
      <c r="M18926">
        <v>97</v>
      </c>
      <c r="N18926">
        <v>0</v>
      </c>
      <c r="O18926">
        <v>97</v>
      </c>
      <c r="P18926">
        <v>0</v>
      </c>
    </row>
    <row r="18927" spans="1:16" x14ac:dyDescent="0.25">
      <c r="A18927" t="s">
        <v>41546</v>
      </c>
      <c r="B18927" t="s">
        <v>11895</v>
      </c>
      <c r="C18927" t="s">
        <v>11896</v>
      </c>
      <c r="D18927" t="str">
        <f>"4048"</f>
        <v>4048</v>
      </c>
      <c r="E18927" t="s">
        <v>710</v>
      </c>
      <c r="F18927" t="s">
        <v>2068</v>
      </c>
      <c r="G18927" t="s">
        <v>47097</v>
      </c>
      <c r="H18927" t="s">
        <v>47054</v>
      </c>
      <c r="I18927" t="s">
        <v>47544</v>
      </c>
      <c r="J18927" t="s">
        <v>47545</v>
      </c>
      <c r="K18927" t="s">
        <v>47113</v>
      </c>
      <c r="L18927">
        <v>17.16</v>
      </c>
      <c r="M18927">
        <v>28</v>
      </c>
      <c r="N18927">
        <v>0</v>
      </c>
      <c r="O18927">
        <v>28</v>
      </c>
      <c r="P18927">
        <v>0</v>
      </c>
    </row>
    <row r="18928" spans="1:16" x14ac:dyDescent="0.25">
      <c r="A18928" t="s">
        <v>41547</v>
      </c>
      <c r="B18928" t="s">
        <v>11895</v>
      </c>
      <c r="C18928" t="s">
        <v>11896</v>
      </c>
      <c r="D18928" t="str">
        <f>"4868"</f>
        <v>4868</v>
      </c>
      <c r="E18928" t="s">
        <v>11148</v>
      </c>
      <c r="F18928" t="s">
        <v>2068</v>
      </c>
      <c r="G18928" t="s">
        <v>47097</v>
      </c>
      <c r="H18928" t="s">
        <v>47054</v>
      </c>
      <c r="I18928" t="s">
        <v>47544</v>
      </c>
      <c r="J18928" t="s">
        <v>47545</v>
      </c>
      <c r="K18928" t="s">
        <v>47113</v>
      </c>
      <c r="L18928">
        <v>17.16</v>
      </c>
      <c r="M18928">
        <v>28</v>
      </c>
      <c r="N18928">
        <v>0</v>
      </c>
      <c r="O18928">
        <v>28</v>
      </c>
      <c r="P18928">
        <v>0</v>
      </c>
    </row>
    <row r="18929" spans="1:16" x14ac:dyDescent="0.25">
      <c r="A18929" t="s">
        <v>41548</v>
      </c>
      <c r="B18929" t="s">
        <v>11897</v>
      </c>
      <c r="C18929" t="s">
        <v>11898</v>
      </c>
      <c r="D18929" t="str">
        <f>"4048"</f>
        <v>4048</v>
      </c>
      <c r="E18929" t="s">
        <v>710</v>
      </c>
      <c r="F18929" t="s">
        <v>2068</v>
      </c>
      <c r="G18929" t="s">
        <v>47096</v>
      </c>
      <c r="H18929" t="s">
        <v>47054</v>
      </c>
      <c r="I18929" t="s">
        <v>47544</v>
      </c>
      <c r="J18929" t="s">
        <v>47545</v>
      </c>
      <c r="K18929" t="s">
        <v>47113</v>
      </c>
      <c r="L18929">
        <v>20.97</v>
      </c>
      <c r="M18929">
        <v>34</v>
      </c>
      <c r="N18929">
        <v>0</v>
      </c>
      <c r="O18929">
        <v>34</v>
      </c>
      <c r="P18929">
        <v>0</v>
      </c>
    </row>
    <row r="18930" spans="1:16" x14ac:dyDescent="0.25">
      <c r="A18930" t="s">
        <v>41549</v>
      </c>
      <c r="B18930" t="s">
        <v>11897</v>
      </c>
      <c r="C18930" t="s">
        <v>11898</v>
      </c>
      <c r="D18930" t="str">
        <f>"4868"</f>
        <v>4868</v>
      </c>
      <c r="E18930" t="s">
        <v>11148</v>
      </c>
      <c r="F18930" t="s">
        <v>2068</v>
      </c>
      <c r="G18930" t="s">
        <v>47096</v>
      </c>
      <c r="H18930" t="s">
        <v>47054</v>
      </c>
      <c r="I18930" t="s">
        <v>47544</v>
      </c>
      <c r="J18930" t="s">
        <v>47545</v>
      </c>
      <c r="K18930" t="s">
        <v>47113</v>
      </c>
      <c r="L18930">
        <v>20.97</v>
      </c>
      <c r="M18930">
        <v>34</v>
      </c>
      <c r="N18930">
        <v>0</v>
      </c>
      <c r="O18930">
        <v>34</v>
      </c>
      <c r="P18930">
        <v>0</v>
      </c>
    </row>
    <row r="18931" spans="1:16" x14ac:dyDescent="0.25">
      <c r="A18931" t="s">
        <v>41550</v>
      </c>
      <c r="B18931" t="s">
        <v>11899</v>
      </c>
      <c r="C18931" t="s">
        <v>11900</v>
      </c>
      <c r="D18931" t="str">
        <f>"1001"</f>
        <v>1001</v>
      </c>
      <c r="E18931" t="s">
        <v>42</v>
      </c>
      <c r="F18931" t="s">
        <v>2068</v>
      </c>
      <c r="G18931" t="s">
        <v>47097</v>
      </c>
      <c r="H18931" t="s">
        <v>47054</v>
      </c>
      <c r="I18931" t="s">
        <v>47544</v>
      </c>
      <c r="J18931" t="s">
        <v>47545</v>
      </c>
      <c r="K18931" t="s">
        <v>47113</v>
      </c>
      <c r="L18931">
        <v>17.760000000000002</v>
      </c>
      <c r="M18931">
        <v>29</v>
      </c>
      <c r="N18931">
        <v>0</v>
      </c>
      <c r="O18931">
        <v>29</v>
      </c>
      <c r="P18931">
        <v>0</v>
      </c>
    </row>
    <row r="18932" spans="1:16" x14ac:dyDescent="0.25">
      <c r="A18932" t="s">
        <v>41551</v>
      </c>
      <c r="B18932" t="s">
        <v>11899</v>
      </c>
      <c r="C18932" t="s">
        <v>11900</v>
      </c>
      <c r="D18932" t="str">
        <f>"1305"</f>
        <v>1305</v>
      </c>
      <c r="E18932" t="s">
        <v>11901</v>
      </c>
      <c r="F18932" t="s">
        <v>2068</v>
      </c>
      <c r="G18932" t="s">
        <v>47097</v>
      </c>
      <c r="H18932" t="s">
        <v>47054</v>
      </c>
      <c r="I18932" t="s">
        <v>47544</v>
      </c>
      <c r="J18932" t="s">
        <v>47545</v>
      </c>
      <c r="K18932" t="s">
        <v>47113</v>
      </c>
      <c r="L18932">
        <v>17.760000000000002</v>
      </c>
      <c r="M18932">
        <v>29</v>
      </c>
      <c r="N18932">
        <v>0</v>
      </c>
      <c r="O18932">
        <v>29</v>
      </c>
      <c r="P18932">
        <v>0</v>
      </c>
    </row>
    <row r="18933" spans="1:16" x14ac:dyDescent="0.25">
      <c r="A18933" t="s">
        <v>41552</v>
      </c>
      <c r="B18933" t="s">
        <v>11902</v>
      </c>
      <c r="C18933" t="s">
        <v>11903</v>
      </c>
      <c r="D18933" t="str">
        <f>"1024"</f>
        <v>1024</v>
      </c>
      <c r="E18933" t="s">
        <v>717</v>
      </c>
      <c r="F18933" t="s">
        <v>3546</v>
      </c>
      <c r="G18933" t="s">
        <v>47096</v>
      </c>
      <c r="H18933" t="s">
        <v>47054</v>
      </c>
      <c r="K18933" t="s">
        <v>47113</v>
      </c>
      <c r="L18933">
        <v>16.91</v>
      </c>
      <c r="M18933">
        <v>42</v>
      </c>
      <c r="N18933">
        <v>0</v>
      </c>
      <c r="O18933">
        <v>42</v>
      </c>
      <c r="P18933">
        <v>0</v>
      </c>
    </row>
    <row r="18934" spans="1:16" x14ac:dyDescent="0.25">
      <c r="A18934" t="s">
        <v>41553</v>
      </c>
      <c r="B18934" t="s">
        <v>11902</v>
      </c>
      <c r="C18934" t="s">
        <v>11903</v>
      </c>
      <c r="D18934" t="str">
        <f>"1744"</f>
        <v>1744</v>
      </c>
      <c r="E18934" t="s">
        <v>5831</v>
      </c>
      <c r="F18934" t="s">
        <v>3546</v>
      </c>
      <c r="G18934" t="s">
        <v>47096</v>
      </c>
      <c r="H18934" t="s">
        <v>47054</v>
      </c>
      <c r="K18934" t="s">
        <v>47113</v>
      </c>
      <c r="L18934">
        <v>16.91</v>
      </c>
      <c r="M18934">
        <v>42</v>
      </c>
      <c r="N18934">
        <v>0</v>
      </c>
      <c r="O18934">
        <v>42</v>
      </c>
      <c r="P18934">
        <v>0</v>
      </c>
    </row>
    <row r="18935" spans="1:16" x14ac:dyDescent="0.25">
      <c r="A18935" t="s">
        <v>41554</v>
      </c>
      <c r="B18935" t="s">
        <v>11904</v>
      </c>
      <c r="C18935" t="s">
        <v>11905</v>
      </c>
      <c r="D18935" t="str">
        <f>"1024"</f>
        <v>1024</v>
      </c>
      <c r="E18935" t="s">
        <v>717</v>
      </c>
      <c r="F18935" t="s">
        <v>3546</v>
      </c>
      <c r="G18935" t="s">
        <v>47095</v>
      </c>
      <c r="H18935" t="s">
        <v>47054</v>
      </c>
      <c r="I18935" t="s">
        <v>47118</v>
      </c>
      <c r="J18935" t="s">
        <v>47119</v>
      </c>
      <c r="K18935" t="s">
        <v>47113</v>
      </c>
      <c r="L18935">
        <v>16.07</v>
      </c>
      <c r="M18935">
        <v>40</v>
      </c>
      <c r="N18935">
        <v>0</v>
      </c>
      <c r="O18935">
        <v>40</v>
      </c>
      <c r="P18935">
        <v>0</v>
      </c>
    </row>
    <row r="18936" spans="1:16" x14ac:dyDescent="0.25">
      <c r="A18936" t="s">
        <v>41555</v>
      </c>
      <c r="B18936" t="s">
        <v>11904</v>
      </c>
      <c r="C18936" t="s">
        <v>11905</v>
      </c>
      <c r="D18936" t="str">
        <f>"1744"</f>
        <v>1744</v>
      </c>
      <c r="E18936" t="s">
        <v>5831</v>
      </c>
      <c r="F18936" t="s">
        <v>3546</v>
      </c>
      <c r="G18936" t="s">
        <v>47095</v>
      </c>
      <c r="H18936" t="s">
        <v>47054</v>
      </c>
      <c r="I18936" t="s">
        <v>47118</v>
      </c>
      <c r="J18936" t="s">
        <v>47119</v>
      </c>
      <c r="K18936" t="s">
        <v>47113</v>
      </c>
      <c r="L18936">
        <v>16.07</v>
      </c>
      <c r="M18936">
        <v>40</v>
      </c>
      <c r="N18936">
        <v>0</v>
      </c>
      <c r="O18936">
        <v>40</v>
      </c>
      <c r="P18936">
        <v>0</v>
      </c>
    </row>
    <row r="18937" spans="1:16" x14ac:dyDescent="0.25">
      <c r="A18937" t="s">
        <v>41556</v>
      </c>
      <c r="B18937" t="s">
        <v>11906</v>
      </c>
      <c r="C18937" t="s">
        <v>11907</v>
      </c>
      <c r="D18937" t="str">
        <f>"1001"</f>
        <v>1001</v>
      </c>
      <c r="E18937" t="s">
        <v>42</v>
      </c>
      <c r="F18937" t="s">
        <v>3546</v>
      </c>
      <c r="G18937" t="s">
        <v>47098</v>
      </c>
      <c r="H18937" t="s">
        <v>47054</v>
      </c>
      <c r="I18937" t="s">
        <v>47120</v>
      </c>
      <c r="J18937" t="s">
        <v>47121</v>
      </c>
      <c r="K18937" t="s">
        <v>47113</v>
      </c>
      <c r="L18937">
        <v>83.37</v>
      </c>
      <c r="M18937">
        <v>205</v>
      </c>
      <c r="N18937">
        <v>0</v>
      </c>
      <c r="O18937">
        <v>205</v>
      </c>
      <c r="P18937">
        <v>0</v>
      </c>
    </row>
    <row r="18938" spans="1:16" x14ac:dyDescent="0.25">
      <c r="A18938" t="s">
        <v>41557</v>
      </c>
      <c r="B18938" t="s">
        <v>11906</v>
      </c>
      <c r="C18938" t="s">
        <v>11907</v>
      </c>
      <c r="D18938" t="str">
        <f>"6387"</f>
        <v>6387</v>
      </c>
      <c r="E18938" t="s">
        <v>6010</v>
      </c>
      <c r="F18938" t="s">
        <v>3546</v>
      </c>
      <c r="G18938" t="s">
        <v>47098</v>
      </c>
      <c r="H18938" t="s">
        <v>47054</v>
      </c>
      <c r="I18938" t="s">
        <v>47120</v>
      </c>
      <c r="J18938" t="s">
        <v>47121</v>
      </c>
      <c r="K18938" t="s">
        <v>47113</v>
      </c>
      <c r="L18938">
        <v>83.37</v>
      </c>
      <c r="M18938">
        <v>205</v>
      </c>
      <c r="N18938">
        <v>0</v>
      </c>
      <c r="O18938">
        <v>205</v>
      </c>
      <c r="P18938">
        <v>0</v>
      </c>
    </row>
    <row r="18939" spans="1:16" x14ac:dyDescent="0.25">
      <c r="A18939" t="s">
        <v>41558</v>
      </c>
      <c r="B18939" t="s">
        <v>11908</v>
      </c>
      <c r="C18939" t="s">
        <v>11909</v>
      </c>
      <c r="D18939" t="s">
        <v>11910</v>
      </c>
      <c r="E18939" t="s">
        <v>11911</v>
      </c>
      <c r="F18939" t="s">
        <v>2068</v>
      </c>
      <c r="G18939" t="s">
        <v>47093</v>
      </c>
      <c r="H18939" t="s">
        <v>47054</v>
      </c>
      <c r="I18939" t="s">
        <v>47111</v>
      </c>
      <c r="J18939" t="s">
        <v>47112</v>
      </c>
      <c r="K18939" t="s">
        <v>47113</v>
      </c>
      <c r="L18939">
        <v>43.36</v>
      </c>
      <c r="M18939">
        <v>121</v>
      </c>
      <c r="N18939">
        <v>0</v>
      </c>
      <c r="O18939">
        <v>121</v>
      </c>
      <c r="P18939">
        <v>0</v>
      </c>
    </row>
    <row r="18940" spans="1:16" x14ac:dyDescent="0.25">
      <c r="A18940" t="s">
        <v>41559</v>
      </c>
      <c r="B18940" t="s">
        <v>11912</v>
      </c>
      <c r="C18940" t="s">
        <v>11913</v>
      </c>
      <c r="D18940" t="str">
        <f>"6447"</f>
        <v>6447</v>
      </c>
      <c r="E18940" t="s">
        <v>11914</v>
      </c>
      <c r="F18940" t="s">
        <v>1</v>
      </c>
      <c r="G18940" t="s">
        <v>48515</v>
      </c>
      <c r="H18940" t="s">
        <v>47054</v>
      </c>
      <c r="I18940" t="s">
        <v>47118</v>
      </c>
      <c r="J18940" t="s">
        <v>47119</v>
      </c>
      <c r="K18940" t="s">
        <v>47113</v>
      </c>
      <c r="L18940">
        <v>25.27</v>
      </c>
      <c r="M18940">
        <v>62</v>
      </c>
      <c r="N18940">
        <v>0</v>
      </c>
      <c r="O18940">
        <v>62</v>
      </c>
      <c r="P18940">
        <v>0</v>
      </c>
    </row>
    <row r="18941" spans="1:16" x14ac:dyDescent="0.25">
      <c r="A18941" t="s">
        <v>41560</v>
      </c>
      <c r="B18941" t="s">
        <v>11915</v>
      </c>
      <c r="C18941" t="s">
        <v>11916</v>
      </c>
      <c r="D18941" t="str">
        <f>"6389"</f>
        <v>6389</v>
      </c>
      <c r="E18941" t="s">
        <v>11917</v>
      </c>
      <c r="F18941" t="s">
        <v>1</v>
      </c>
      <c r="G18941" t="s">
        <v>47097</v>
      </c>
      <c r="H18941" t="s">
        <v>47054</v>
      </c>
      <c r="I18941" t="s">
        <v>47118</v>
      </c>
      <c r="J18941" t="s">
        <v>47119</v>
      </c>
      <c r="K18941" t="s">
        <v>47113</v>
      </c>
      <c r="L18941">
        <v>13.54</v>
      </c>
      <c r="M18941">
        <v>33</v>
      </c>
      <c r="N18941">
        <v>0</v>
      </c>
      <c r="O18941">
        <v>33</v>
      </c>
      <c r="P18941">
        <v>0</v>
      </c>
    </row>
    <row r="18942" spans="1:16" x14ac:dyDescent="0.25">
      <c r="A18942" t="s">
        <v>41561</v>
      </c>
      <c r="B18942" t="s">
        <v>11918</v>
      </c>
      <c r="C18942" t="s">
        <v>11919</v>
      </c>
      <c r="D18942" t="str">
        <f>"4171"</f>
        <v>4171</v>
      </c>
      <c r="E18942" t="s">
        <v>43</v>
      </c>
      <c r="F18942" t="s">
        <v>1</v>
      </c>
      <c r="G18942" t="s">
        <v>47097</v>
      </c>
      <c r="H18942" t="s">
        <v>47054</v>
      </c>
      <c r="I18942" t="s">
        <v>47118</v>
      </c>
      <c r="J18942" t="s">
        <v>47119</v>
      </c>
      <c r="K18942" t="s">
        <v>47113</v>
      </c>
      <c r="L18942">
        <v>19.27</v>
      </c>
      <c r="M18942">
        <v>47</v>
      </c>
      <c r="N18942">
        <v>0</v>
      </c>
      <c r="O18942">
        <v>47</v>
      </c>
      <c r="P18942">
        <v>0</v>
      </c>
    </row>
    <row r="18943" spans="1:16" x14ac:dyDescent="0.25">
      <c r="A18943" t="s">
        <v>41562</v>
      </c>
      <c r="B18943" t="s">
        <v>11920</v>
      </c>
      <c r="C18943" t="s">
        <v>11921</v>
      </c>
      <c r="D18943" t="str">
        <f>"1001"</f>
        <v>1001</v>
      </c>
      <c r="E18943" t="s">
        <v>42</v>
      </c>
      <c r="F18943" t="s">
        <v>3546</v>
      </c>
      <c r="G18943" t="s">
        <v>47101</v>
      </c>
      <c r="H18943" t="s">
        <v>47054</v>
      </c>
      <c r="I18943" t="s">
        <v>47120</v>
      </c>
      <c r="J18943" t="s">
        <v>47121</v>
      </c>
      <c r="K18943" t="s">
        <v>47113</v>
      </c>
      <c r="L18943">
        <v>24.99</v>
      </c>
      <c r="M18943">
        <v>61</v>
      </c>
      <c r="N18943">
        <v>0</v>
      </c>
      <c r="O18943">
        <v>61</v>
      </c>
      <c r="P18943">
        <v>0</v>
      </c>
    </row>
    <row r="18944" spans="1:16" x14ac:dyDescent="0.25">
      <c r="A18944" t="s">
        <v>41563</v>
      </c>
      <c r="B18944" t="s">
        <v>11920</v>
      </c>
      <c r="C18944" t="s">
        <v>11921</v>
      </c>
      <c r="D18944" t="str">
        <f>"6067"</f>
        <v>6067</v>
      </c>
      <c r="E18944" t="s">
        <v>11922</v>
      </c>
      <c r="F18944" t="s">
        <v>3546</v>
      </c>
      <c r="G18944" t="s">
        <v>47101</v>
      </c>
      <c r="H18944" t="s">
        <v>47054</v>
      </c>
      <c r="I18944" t="s">
        <v>47120</v>
      </c>
      <c r="J18944" t="s">
        <v>47121</v>
      </c>
      <c r="K18944" t="s">
        <v>47113</v>
      </c>
      <c r="L18944">
        <v>24.99</v>
      </c>
      <c r="M18944">
        <v>61</v>
      </c>
      <c r="N18944">
        <v>0</v>
      </c>
      <c r="O18944">
        <v>61</v>
      </c>
      <c r="P18944">
        <v>0</v>
      </c>
    </row>
    <row r="18945" spans="1:16" x14ac:dyDescent="0.25">
      <c r="A18945" t="s">
        <v>15127</v>
      </c>
      <c r="B18945" t="s">
        <v>11923</v>
      </c>
      <c r="C18945" t="s">
        <v>11924</v>
      </c>
      <c r="D18945" t="s">
        <v>11925</v>
      </c>
      <c r="E18945" t="s">
        <v>11926</v>
      </c>
      <c r="F18945" t="s">
        <v>2068</v>
      </c>
      <c r="G18945" t="s">
        <v>47093</v>
      </c>
      <c r="H18945" t="s">
        <v>47054</v>
      </c>
      <c r="I18945" t="s">
        <v>47111</v>
      </c>
      <c r="J18945" t="s">
        <v>47112</v>
      </c>
      <c r="K18945" t="s">
        <v>47113</v>
      </c>
      <c r="L18945">
        <v>46.33</v>
      </c>
      <c r="M18945">
        <v>129</v>
      </c>
      <c r="N18945">
        <v>0</v>
      </c>
      <c r="O18945">
        <v>129</v>
      </c>
      <c r="P18945">
        <v>0</v>
      </c>
    </row>
    <row r="18946" spans="1:16" x14ac:dyDescent="0.25">
      <c r="A18946" t="s">
        <v>41564</v>
      </c>
      <c r="B18946" t="s">
        <v>11927</v>
      </c>
      <c r="C18946" t="s">
        <v>11928</v>
      </c>
      <c r="D18946" t="s">
        <v>11929</v>
      </c>
      <c r="E18946" t="s">
        <v>11930</v>
      </c>
      <c r="F18946" t="s">
        <v>2068</v>
      </c>
      <c r="G18946" t="s">
        <v>49030</v>
      </c>
      <c r="H18946" t="s">
        <v>47054</v>
      </c>
      <c r="I18946" t="s">
        <v>47111</v>
      </c>
      <c r="J18946" t="s">
        <v>47112</v>
      </c>
      <c r="K18946" t="s">
        <v>47113</v>
      </c>
      <c r="L18946">
        <v>32.82</v>
      </c>
      <c r="M18946">
        <v>74</v>
      </c>
      <c r="N18946">
        <v>0</v>
      </c>
      <c r="O18946">
        <v>74</v>
      </c>
      <c r="P18946">
        <v>0</v>
      </c>
    </row>
    <row r="18947" spans="1:16" x14ac:dyDescent="0.25">
      <c r="A18947" t="s">
        <v>41565</v>
      </c>
      <c r="B18947" t="s">
        <v>11931</v>
      </c>
      <c r="C18947" t="s">
        <v>11932</v>
      </c>
      <c r="D18947" t="s">
        <v>11360</v>
      </c>
      <c r="E18947" t="s">
        <v>11361</v>
      </c>
      <c r="F18947" t="s">
        <v>2068</v>
      </c>
      <c r="G18947" t="s">
        <v>47093</v>
      </c>
      <c r="H18947" t="s">
        <v>47054</v>
      </c>
      <c r="I18947" t="s">
        <v>47111</v>
      </c>
      <c r="J18947" t="s">
        <v>47112</v>
      </c>
      <c r="K18947" t="s">
        <v>47113</v>
      </c>
      <c r="L18947">
        <v>39</v>
      </c>
      <c r="M18947">
        <v>109</v>
      </c>
      <c r="N18947">
        <v>0</v>
      </c>
      <c r="O18947">
        <v>109</v>
      </c>
      <c r="P18947">
        <v>0</v>
      </c>
    </row>
    <row r="18948" spans="1:16" x14ac:dyDescent="0.25">
      <c r="A18948" t="s">
        <v>41566</v>
      </c>
      <c r="B18948" t="s">
        <v>11933</v>
      </c>
      <c r="C18948" t="s">
        <v>11934</v>
      </c>
      <c r="D18948" t="s">
        <v>11935</v>
      </c>
      <c r="E18948" t="s">
        <v>11936</v>
      </c>
      <c r="F18948" t="s">
        <v>2068</v>
      </c>
      <c r="G18948" t="s">
        <v>47093</v>
      </c>
      <c r="H18948" t="s">
        <v>47054</v>
      </c>
      <c r="I18948" t="s">
        <v>47111</v>
      </c>
      <c r="J18948" t="s">
        <v>47112</v>
      </c>
      <c r="K18948" t="s">
        <v>47113</v>
      </c>
      <c r="L18948">
        <v>34.880000000000003</v>
      </c>
      <c r="M18948">
        <v>66</v>
      </c>
      <c r="N18948">
        <v>0</v>
      </c>
      <c r="O18948">
        <v>66</v>
      </c>
      <c r="P18948">
        <v>0</v>
      </c>
    </row>
    <row r="18949" spans="1:16" x14ac:dyDescent="0.25">
      <c r="A18949" t="s">
        <v>41567</v>
      </c>
      <c r="B18949" t="s">
        <v>11937</v>
      </c>
      <c r="C18949" t="s">
        <v>11276</v>
      </c>
      <c r="D18949" t="s">
        <v>11935</v>
      </c>
      <c r="E18949" t="s">
        <v>11936</v>
      </c>
      <c r="F18949" t="s">
        <v>3670</v>
      </c>
      <c r="G18949" t="s">
        <v>47093</v>
      </c>
      <c r="H18949" t="s">
        <v>47054</v>
      </c>
      <c r="I18949" t="s">
        <v>47111</v>
      </c>
      <c r="J18949" t="s">
        <v>47112</v>
      </c>
      <c r="K18949" t="s">
        <v>47113</v>
      </c>
      <c r="L18949">
        <v>42.73</v>
      </c>
      <c r="M18949">
        <v>86</v>
      </c>
      <c r="N18949">
        <v>0</v>
      </c>
      <c r="O18949">
        <v>86</v>
      </c>
      <c r="P18949">
        <v>0</v>
      </c>
    </row>
    <row r="18950" spans="1:16" x14ac:dyDescent="0.25">
      <c r="A18950" t="s">
        <v>41568</v>
      </c>
      <c r="B18950" t="s">
        <v>11938</v>
      </c>
      <c r="C18950" t="s">
        <v>11276</v>
      </c>
      <c r="D18950" t="s">
        <v>11939</v>
      </c>
      <c r="E18950" t="s">
        <v>11940</v>
      </c>
      <c r="F18950" t="s">
        <v>2068</v>
      </c>
      <c r="G18950" t="s">
        <v>47093</v>
      </c>
      <c r="H18950" t="s">
        <v>47054</v>
      </c>
      <c r="I18950" t="s">
        <v>47111</v>
      </c>
      <c r="J18950" t="s">
        <v>47112</v>
      </c>
      <c r="K18950" t="s">
        <v>47113</v>
      </c>
      <c r="L18950">
        <v>34.11</v>
      </c>
      <c r="M18950">
        <v>70</v>
      </c>
      <c r="N18950">
        <v>0</v>
      </c>
      <c r="O18950">
        <v>70</v>
      </c>
      <c r="P18950">
        <v>0</v>
      </c>
    </row>
    <row r="18951" spans="1:16" x14ac:dyDescent="0.25">
      <c r="A18951" t="s">
        <v>41569</v>
      </c>
      <c r="B18951" t="s">
        <v>11941</v>
      </c>
      <c r="C18951" t="s">
        <v>11363</v>
      </c>
      <c r="D18951" t="s">
        <v>11360</v>
      </c>
      <c r="E18951" t="s">
        <v>11361</v>
      </c>
      <c r="F18951" t="s">
        <v>3546</v>
      </c>
      <c r="G18951" t="s">
        <v>47093</v>
      </c>
      <c r="H18951" t="s">
        <v>47054</v>
      </c>
      <c r="I18951" t="s">
        <v>47111</v>
      </c>
      <c r="J18951" t="s">
        <v>47112</v>
      </c>
      <c r="K18951" t="s">
        <v>47113</v>
      </c>
      <c r="L18951">
        <v>48.66</v>
      </c>
      <c r="M18951">
        <v>92</v>
      </c>
      <c r="N18951">
        <v>0</v>
      </c>
      <c r="O18951">
        <v>92</v>
      </c>
      <c r="P18951">
        <v>0</v>
      </c>
    </row>
    <row r="18952" spans="1:16" x14ac:dyDescent="0.25">
      <c r="A18952" t="s">
        <v>41570</v>
      </c>
      <c r="B18952" t="s">
        <v>11942</v>
      </c>
      <c r="C18952" t="s">
        <v>11943</v>
      </c>
      <c r="D18952" t="str">
        <f>"1305"</f>
        <v>1305</v>
      </c>
      <c r="E18952" t="s">
        <v>11901</v>
      </c>
      <c r="F18952" t="s">
        <v>2068</v>
      </c>
      <c r="G18952" t="s">
        <v>47096</v>
      </c>
      <c r="H18952" t="s">
        <v>47054</v>
      </c>
      <c r="I18952" t="s">
        <v>47118</v>
      </c>
      <c r="J18952" t="s">
        <v>47119</v>
      </c>
      <c r="K18952" t="s">
        <v>47113</v>
      </c>
      <c r="L18952">
        <v>12.81</v>
      </c>
      <c r="M18952">
        <v>29</v>
      </c>
      <c r="N18952">
        <v>0</v>
      </c>
      <c r="O18952">
        <v>29</v>
      </c>
      <c r="P18952">
        <v>0</v>
      </c>
    </row>
    <row r="18953" spans="1:16" x14ac:dyDescent="0.25">
      <c r="A18953" t="s">
        <v>41571</v>
      </c>
      <c r="B18953" t="s">
        <v>11942</v>
      </c>
      <c r="C18953" t="s">
        <v>11943</v>
      </c>
      <c r="D18953" t="str">
        <f>"4868"</f>
        <v>4868</v>
      </c>
      <c r="E18953" t="s">
        <v>11148</v>
      </c>
      <c r="F18953" t="s">
        <v>2068</v>
      </c>
      <c r="G18953" t="s">
        <v>47096</v>
      </c>
      <c r="H18953" t="s">
        <v>47054</v>
      </c>
      <c r="I18953" t="s">
        <v>47118</v>
      </c>
      <c r="J18953" t="s">
        <v>47119</v>
      </c>
      <c r="K18953" t="s">
        <v>47113</v>
      </c>
      <c r="L18953">
        <v>12.81</v>
      </c>
      <c r="M18953">
        <v>29</v>
      </c>
      <c r="N18953">
        <v>0</v>
      </c>
      <c r="O18953">
        <v>29</v>
      </c>
      <c r="P18953">
        <v>0</v>
      </c>
    </row>
    <row r="18954" spans="1:16" x14ac:dyDescent="0.25">
      <c r="A18954" t="s">
        <v>41572</v>
      </c>
      <c r="B18954" t="s">
        <v>11944</v>
      </c>
      <c r="C18954" t="s">
        <v>11945</v>
      </c>
      <c r="D18954" t="str">
        <f>"4903"</f>
        <v>4903</v>
      </c>
      <c r="E18954" t="s">
        <v>11946</v>
      </c>
      <c r="F18954" t="s">
        <v>3546</v>
      </c>
      <c r="G18954" t="s">
        <v>47096</v>
      </c>
      <c r="H18954" t="s">
        <v>47054</v>
      </c>
      <c r="I18954" t="s">
        <v>47120</v>
      </c>
      <c r="J18954" t="s">
        <v>47121</v>
      </c>
      <c r="K18954" t="s">
        <v>47113</v>
      </c>
      <c r="L18954">
        <v>17.27</v>
      </c>
      <c r="M18954">
        <v>42</v>
      </c>
      <c r="N18954">
        <v>0</v>
      </c>
      <c r="O18954">
        <v>42</v>
      </c>
      <c r="P18954">
        <v>0</v>
      </c>
    </row>
    <row r="18955" spans="1:16" x14ac:dyDescent="0.25">
      <c r="A18955" t="s">
        <v>41573</v>
      </c>
      <c r="B18955" t="s">
        <v>11944</v>
      </c>
      <c r="C18955" t="s">
        <v>11945</v>
      </c>
      <c r="D18955" t="str">
        <f>"6038"</f>
        <v>6038</v>
      </c>
      <c r="E18955" t="s">
        <v>11947</v>
      </c>
      <c r="F18955" t="s">
        <v>3546</v>
      </c>
      <c r="G18955" t="s">
        <v>47096</v>
      </c>
      <c r="H18955" t="s">
        <v>47054</v>
      </c>
      <c r="I18955" t="s">
        <v>47120</v>
      </c>
      <c r="J18955" t="s">
        <v>47121</v>
      </c>
      <c r="K18955" t="s">
        <v>47113</v>
      </c>
      <c r="L18955">
        <v>17.27</v>
      </c>
      <c r="M18955">
        <v>42</v>
      </c>
      <c r="N18955">
        <v>0</v>
      </c>
      <c r="O18955">
        <v>42</v>
      </c>
      <c r="P18955">
        <v>0</v>
      </c>
    </row>
    <row r="18956" spans="1:16" x14ac:dyDescent="0.25">
      <c r="A18956" t="s">
        <v>41574</v>
      </c>
      <c r="B18956" t="s">
        <v>11948</v>
      </c>
      <c r="C18956" t="s">
        <v>11949</v>
      </c>
      <c r="D18956" t="str">
        <f>"4028"</f>
        <v>4028</v>
      </c>
      <c r="E18956" t="s">
        <v>11950</v>
      </c>
      <c r="F18956" t="s">
        <v>2068</v>
      </c>
      <c r="G18956" t="s">
        <v>47101</v>
      </c>
      <c r="H18956" t="s">
        <v>47054</v>
      </c>
      <c r="I18956" t="s">
        <v>47120</v>
      </c>
      <c r="J18956" t="s">
        <v>47121</v>
      </c>
      <c r="K18956" t="s">
        <v>47113</v>
      </c>
      <c r="L18956">
        <v>19.100000000000001</v>
      </c>
      <c r="M18956">
        <v>35</v>
      </c>
      <c r="N18956">
        <v>0</v>
      </c>
      <c r="O18956">
        <v>35</v>
      </c>
      <c r="P18956">
        <v>0</v>
      </c>
    </row>
    <row r="18957" spans="1:16" x14ac:dyDescent="0.25">
      <c r="A18957" t="s">
        <v>41575</v>
      </c>
      <c r="B18957" t="s">
        <v>11948</v>
      </c>
      <c r="C18957" t="s">
        <v>11949</v>
      </c>
      <c r="D18957" t="str">
        <f>"6060"</f>
        <v>6060</v>
      </c>
      <c r="E18957" t="s">
        <v>11951</v>
      </c>
      <c r="F18957" t="s">
        <v>2068</v>
      </c>
      <c r="G18957" t="s">
        <v>47101</v>
      </c>
      <c r="H18957" t="s">
        <v>47054</v>
      </c>
      <c r="I18957" t="s">
        <v>47120</v>
      </c>
      <c r="J18957" t="s">
        <v>47121</v>
      </c>
      <c r="K18957" t="s">
        <v>47113</v>
      </c>
      <c r="L18957">
        <v>19.100000000000001</v>
      </c>
      <c r="M18957">
        <v>35</v>
      </c>
      <c r="N18957">
        <v>0</v>
      </c>
      <c r="O18957">
        <v>35</v>
      </c>
      <c r="P18957">
        <v>0</v>
      </c>
    </row>
    <row r="18958" spans="1:16" x14ac:dyDescent="0.25">
      <c r="A18958" t="s">
        <v>41576</v>
      </c>
      <c r="B18958" t="s">
        <v>11952</v>
      </c>
      <c r="C18958" t="s">
        <v>11953</v>
      </c>
      <c r="D18958" t="str">
        <f>"1825"</f>
        <v>1825</v>
      </c>
      <c r="E18958" t="s">
        <v>1645</v>
      </c>
      <c r="F18958" t="s">
        <v>56</v>
      </c>
      <c r="G18958" t="s">
        <v>47093</v>
      </c>
      <c r="H18958" t="s">
        <v>47054</v>
      </c>
      <c r="I18958" t="s">
        <v>47111</v>
      </c>
      <c r="J18958" t="s">
        <v>47112</v>
      </c>
      <c r="K18958" t="s">
        <v>47113</v>
      </c>
      <c r="L18958">
        <v>55.6</v>
      </c>
      <c r="M18958">
        <v>124</v>
      </c>
      <c r="N18958">
        <v>0</v>
      </c>
      <c r="O18958">
        <v>124</v>
      </c>
      <c r="P18958">
        <v>0</v>
      </c>
    </row>
    <row r="18959" spans="1:16" x14ac:dyDescent="0.25">
      <c r="A18959" t="s">
        <v>41577</v>
      </c>
      <c r="B18959" t="s">
        <v>11952</v>
      </c>
      <c r="C18959" t="s">
        <v>11953</v>
      </c>
      <c r="D18959" t="str">
        <f>"2608"</f>
        <v>2608</v>
      </c>
      <c r="E18959" t="s">
        <v>11954</v>
      </c>
      <c r="F18959" t="s">
        <v>56</v>
      </c>
      <c r="G18959" t="s">
        <v>47093</v>
      </c>
      <c r="H18959" t="s">
        <v>47054</v>
      </c>
      <c r="I18959" t="s">
        <v>47111</v>
      </c>
      <c r="J18959" t="s">
        <v>47112</v>
      </c>
      <c r="K18959" t="s">
        <v>47113</v>
      </c>
      <c r="L18959">
        <v>56.71</v>
      </c>
      <c r="M18959">
        <v>124</v>
      </c>
      <c r="N18959">
        <v>0</v>
      </c>
      <c r="O18959">
        <v>124</v>
      </c>
      <c r="P18959">
        <v>0</v>
      </c>
    </row>
    <row r="18960" spans="1:16" x14ac:dyDescent="0.25">
      <c r="A18960" t="s">
        <v>41578</v>
      </c>
      <c r="B18960" t="s">
        <v>11952</v>
      </c>
      <c r="C18960" t="s">
        <v>11953</v>
      </c>
      <c r="D18960" t="str">
        <f>"4548"</f>
        <v>4548</v>
      </c>
      <c r="E18960" t="s">
        <v>1412</v>
      </c>
      <c r="F18960" t="s">
        <v>56</v>
      </c>
      <c r="G18960" t="s">
        <v>47093</v>
      </c>
      <c r="H18960" t="s">
        <v>47054</v>
      </c>
      <c r="I18960" t="s">
        <v>47111</v>
      </c>
      <c r="J18960" t="s">
        <v>47112</v>
      </c>
      <c r="K18960" t="s">
        <v>47113</v>
      </c>
      <c r="L18960">
        <v>57.86</v>
      </c>
      <c r="M18960">
        <v>124</v>
      </c>
      <c r="N18960">
        <v>0</v>
      </c>
      <c r="O18960">
        <v>124</v>
      </c>
      <c r="P18960">
        <v>0</v>
      </c>
    </row>
    <row r="18961" spans="1:16" x14ac:dyDescent="0.25">
      <c r="A18961" t="s">
        <v>41579</v>
      </c>
      <c r="B18961" t="s">
        <v>11952</v>
      </c>
      <c r="C18961" t="s">
        <v>11953</v>
      </c>
      <c r="D18961" t="str">
        <f>"5127"</f>
        <v>5127</v>
      </c>
      <c r="E18961" t="s">
        <v>11955</v>
      </c>
      <c r="F18961" t="s">
        <v>56</v>
      </c>
      <c r="G18961" t="s">
        <v>47093</v>
      </c>
      <c r="H18961" t="s">
        <v>47054</v>
      </c>
      <c r="I18961" t="s">
        <v>47111</v>
      </c>
      <c r="J18961" t="s">
        <v>47112</v>
      </c>
      <c r="K18961" t="s">
        <v>47113</v>
      </c>
      <c r="L18961">
        <v>57.86</v>
      </c>
      <c r="M18961">
        <v>124</v>
      </c>
      <c r="N18961">
        <v>0</v>
      </c>
      <c r="O18961">
        <v>124</v>
      </c>
      <c r="P18961">
        <v>0</v>
      </c>
    </row>
    <row r="18962" spans="1:16" x14ac:dyDescent="0.25">
      <c r="A18962" t="s">
        <v>41580</v>
      </c>
      <c r="B18962" t="s">
        <v>11956</v>
      </c>
      <c r="C18962" t="s">
        <v>11957</v>
      </c>
      <c r="D18962" t="str">
        <f>"1218"</f>
        <v>1218</v>
      </c>
      <c r="E18962" t="s">
        <v>11958</v>
      </c>
      <c r="F18962" t="s">
        <v>56</v>
      </c>
      <c r="G18962" t="s">
        <v>47093</v>
      </c>
      <c r="H18962" t="s">
        <v>47054</v>
      </c>
      <c r="I18962" t="s">
        <v>47111</v>
      </c>
      <c r="J18962" t="s">
        <v>47112</v>
      </c>
      <c r="K18962" t="s">
        <v>47113</v>
      </c>
      <c r="L18962">
        <v>57.81</v>
      </c>
      <c r="M18962">
        <v>117</v>
      </c>
      <c r="N18962">
        <v>0</v>
      </c>
      <c r="O18962">
        <v>117</v>
      </c>
      <c r="P18962">
        <v>0</v>
      </c>
    </row>
    <row r="18963" spans="1:16" x14ac:dyDescent="0.25">
      <c r="A18963" t="s">
        <v>41581</v>
      </c>
      <c r="B18963" t="s">
        <v>11956</v>
      </c>
      <c r="C18963" t="s">
        <v>11957</v>
      </c>
      <c r="D18963" t="str">
        <f>"1825"</f>
        <v>1825</v>
      </c>
      <c r="E18963" t="s">
        <v>1645</v>
      </c>
      <c r="F18963" t="s">
        <v>56</v>
      </c>
      <c r="G18963" t="s">
        <v>47093</v>
      </c>
      <c r="H18963" t="s">
        <v>47054</v>
      </c>
      <c r="I18963" t="s">
        <v>47111</v>
      </c>
      <c r="J18963" t="s">
        <v>47112</v>
      </c>
      <c r="K18963" t="s">
        <v>47113</v>
      </c>
      <c r="L18963">
        <v>55.55</v>
      </c>
      <c r="M18963">
        <v>117</v>
      </c>
      <c r="N18963">
        <v>0</v>
      </c>
      <c r="O18963">
        <v>117</v>
      </c>
      <c r="P18963">
        <v>0</v>
      </c>
    </row>
    <row r="18964" spans="1:16" x14ac:dyDescent="0.25">
      <c r="A18964" t="s">
        <v>41582</v>
      </c>
      <c r="B18964" t="s">
        <v>11956</v>
      </c>
      <c r="C18964" t="s">
        <v>11957</v>
      </c>
      <c r="D18964" t="str">
        <f>"2608"</f>
        <v>2608</v>
      </c>
      <c r="E18964" t="s">
        <v>11954</v>
      </c>
      <c r="F18964" t="s">
        <v>56</v>
      </c>
      <c r="G18964" t="s">
        <v>47093</v>
      </c>
      <c r="H18964" t="s">
        <v>47054</v>
      </c>
      <c r="I18964" t="s">
        <v>47111</v>
      </c>
      <c r="J18964" t="s">
        <v>47112</v>
      </c>
      <c r="K18964" t="s">
        <v>47113</v>
      </c>
      <c r="L18964">
        <v>57.81</v>
      </c>
      <c r="M18964">
        <v>117</v>
      </c>
      <c r="N18964">
        <v>0</v>
      </c>
      <c r="O18964">
        <v>117</v>
      </c>
      <c r="P18964">
        <v>0</v>
      </c>
    </row>
    <row r="18965" spans="1:16" x14ac:dyDescent="0.25">
      <c r="A18965" t="s">
        <v>41583</v>
      </c>
      <c r="B18965" t="s">
        <v>11956</v>
      </c>
      <c r="C18965" t="s">
        <v>11957</v>
      </c>
      <c r="D18965" t="str">
        <f>"4548"</f>
        <v>4548</v>
      </c>
      <c r="E18965" t="s">
        <v>1412</v>
      </c>
      <c r="F18965" t="s">
        <v>56</v>
      </c>
      <c r="G18965" t="s">
        <v>47093</v>
      </c>
      <c r="H18965" t="s">
        <v>47054</v>
      </c>
      <c r="I18965" t="s">
        <v>47111</v>
      </c>
      <c r="J18965" t="s">
        <v>47112</v>
      </c>
      <c r="K18965" t="s">
        <v>47113</v>
      </c>
      <c r="L18965">
        <v>57.86</v>
      </c>
      <c r="M18965">
        <v>117</v>
      </c>
      <c r="N18965">
        <v>0</v>
      </c>
      <c r="O18965">
        <v>117</v>
      </c>
      <c r="P18965">
        <v>0</v>
      </c>
    </row>
    <row r="18966" spans="1:16" x14ac:dyDescent="0.25">
      <c r="A18966" t="s">
        <v>41584</v>
      </c>
      <c r="B18966" t="s">
        <v>11956</v>
      </c>
      <c r="C18966" t="s">
        <v>11957</v>
      </c>
      <c r="D18966" t="str">
        <f>"5127"</f>
        <v>5127</v>
      </c>
      <c r="E18966" t="s">
        <v>11955</v>
      </c>
      <c r="F18966" t="s">
        <v>56</v>
      </c>
      <c r="G18966" t="s">
        <v>47093</v>
      </c>
      <c r="H18966" t="s">
        <v>47054</v>
      </c>
      <c r="I18966" t="s">
        <v>47111</v>
      </c>
      <c r="J18966" t="s">
        <v>47112</v>
      </c>
      <c r="K18966" t="s">
        <v>47113</v>
      </c>
      <c r="L18966">
        <v>57.86</v>
      </c>
      <c r="M18966">
        <v>117</v>
      </c>
      <c r="N18966">
        <v>0</v>
      </c>
      <c r="O18966">
        <v>117</v>
      </c>
      <c r="P18966">
        <v>0</v>
      </c>
    </row>
    <row r="18967" spans="1:16" x14ac:dyDescent="0.25">
      <c r="A18967" t="s">
        <v>41585</v>
      </c>
      <c r="B18967" t="s">
        <v>11959</v>
      </c>
      <c r="C18967" t="s">
        <v>11960</v>
      </c>
      <c r="D18967" t="str">
        <f>"1821"</f>
        <v>1821</v>
      </c>
      <c r="E18967" t="s">
        <v>590</v>
      </c>
      <c r="F18967" t="s">
        <v>3</v>
      </c>
      <c r="G18967" t="s">
        <v>47093</v>
      </c>
      <c r="H18967" t="s">
        <v>47054</v>
      </c>
      <c r="I18967" t="s">
        <v>47111</v>
      </c>
      <c r="J18967" t="s">
        <v>47112</v>
      </c>
      <c r="K18967" t="s">
        <v>47113</v>
      </c>
      <c r="L18967">
        <v>46.28</v>
      </c>
      <c r="M18967">
        <v>112</v>
      </c>
      <c r="N18967">
        <v>0</v>
      </c>
      <c r="O18967">
        <v>112</v>
      </c>
      <c r="P18967">
        <v>0</v>
      </c>
    </row>
    <row r="18968" spans="1:16" x14ac:dyDescent="0.25">
      <c r="A18968" t="s">
        <v>587</v>
      </c>
      <c r="B18968" t="s">
        <v>588</v>
      </c>
      <c r="C18968" t="s">
        <v>589</v>
      </c>
      <c r="D18968" t="str">
        <f>"1821"</f>
        <v>1821</v>
      </c>
      <c r="E18968" t="s">
        <v>590</v>
      </c>
      <c r="F18968" t="s">
        <v>3</v>
      </c>
      <c r="G18968" t="s">
        <v>47093</v>
      </c>
      <c r="H18968" t="s">
        <v>47054</v>
      </c>
      <c r="I18968" t="s">
        <v>47111</v>
      </c>
      <c r="J18968" t="s">
        <v>47112</v>
      </c>
      <c r="K18968" t="s">
        <v>47113</v>
      </c>
      <c r="L18968">
        <v>47.66</v>
      </c>
      <c r="M18968">
        <v>112</v>
      </c>
      <c r="N18968">
        <v>0</v>
      </c>
      <c r="O18968">
        <v>112</v>
      </c>
      <c r="P18968">
        <v>0</v>
      </c>
    </row>
    <row r="18969" spans="1:16" x14ac:dyDescent="0.25">
      <c r="A18969" t="s">
        <v>41586</v>
      </c>
      <c r="B18969" t="s">
        <v>11961</v>
      </c>
      <c r="C18969" t="s">
        <v>11962</v>
      </c>
      <c r="D18969" t="str">
        <f>"1218"</f>
        <v>1218</v>
      </c>
      <c r="E18969" t="s">
        <v>11958</v>
      </c>
      <c r="F18969" t="s">
        <v>56</v>
      </c>
      <c r="G18969" t="s">
        <v>47093</v>
      </c>
      <c r="H18969" t="s">
        <v>47054</v>
      </c>
      <c r="I18969" t="s">
        <v>47111</v>
      </c>
      <c r="J18969" t="s">
        <v>47112</v>
      </c>
      <c r="K18969" t="s">
        <v>47113</v>
      </c>
      <c r="L18969">
        <v>55.61</v>
      </c>
      <c r="M18969">
        <v>117</v>
      </c>
      <c r="N18969">
        <v>0</v>
      </c>
      <c r="O18969">
        <v>117</v>
      </c>
      <c r="P18969">
        <v>0</v>
      </c>
    </row>
    <row r="18970" spans="1:16" x14ac:dyDescent="0.25">
      <c r="A18970" t="s">
        <v>41587</v>
      </c>
      <c r="B18970" t="s">
        <v>11961</v>
      </c>
      <c r="C18970" t="s">
        <v>11962</v>
      </c>
      <c r="D18970" t="str">
        <f>"1825"</f>
        <v>1825</v>
      </c>
      <c r="E18970" t="s">
        <v>1645</v>
      </c>
      <c r="F18970" t="s">
        <v>56</v>
      </c>
      <c r="G18970" t="s">
        <v>47093</v>
      </c>
      <c r="H18970" t="s">
        <v>47054</v>
      </c>
      <c r="I18970" t="s">
        <v>47111</v>
      </c>
      <c r="J18970" t="s">
        <v>47112</v>
      </c>
      <c r="K18970" t="s">
        <v>47113</v>
      </c>
      <c r="L18970">
        <v>53.38</v>
      </c>
      <c r="M18970">
        <v>117</v>
      </c>
      <c r="N18970">
        <v>0</v>
      </c>
      <c r="O18970">
        <v>117</v>
      </c>
      <c r="P18970">
        <v>0</v>
      </c>
    </row>
    <row r="18971" spans="1:16" x14ac:dyDescent="0.25">
      <c r="A18971" t="s">
        <v>41588</v>
      </c>
      <c r="B18971" t="s">
        <v>11961</v>
      </c>
      <c r="C18971" t="s">
        <v>11962</v>
      </c>
      <c r="D18971" t="str">
        <f>"4125"</f>
        <v>4125</v>
      </c>
      <c r="E18971" t="s">
        <v>11963</v>
      </c>
      <c r="F18971" t="s">
        <v>296</v>
      </c>
      <c r="G18971" t="s">
        <v>47093</v>
      </c>
      <c r="H18971" t="s">
        <v>47054</v>
      </c>
      <c r="I18971" t="s">
        <v>47111</v>
      </c>
      <c r="J18971" t="s">
        <v>47112</v>
      </c>
      <c r="K18971" t="s">
        <v>47113</v>
      </c>
      <c r="L18971">
        <v>55.65</v>
      </c>
      <c r="M18971">
        <v>122</v>
      </c>
      <c r="N18971">
        <v>0</v>
      </c>
      <c r="O18971">
        <v>122</v>
      </c>
      <c r="P18971">
        <v>0</v>
      </c>
    </row>
    <row r="18972" spans="1:16" x14ac:dyDescent="0.25">
      <c r="A18972" t="s">
        <v>41589</v>
      </c>
      <c r="B18972" t="s">
        <v>11961</v>
      </c>
      <c r="C18972" t="s">
        <v>11962</v>
      </c>
      <c r="D18972" t="str">
        <f>"4548"</f>
        <v>4548</v>
      </c>
      <c r="E18972" t="s">
        <v>1412</v>
      </c>
      <c r="F18972" t="s">
        <v>56</v>
      </c>
      <c r="G18972" t="s">
        <v>47093</v>
      </c>
      <c r="H18972" t="s">
        <v>47054</v>
      </c>
      <c r="I18972" t="s">
        <v>47111</v>
      </c>
      <c r="J18972" t="s">
        <v>47112</v>
      </c>
      <c r="K18972" t="s">
        <v>47113</v>
      </c>
      <c r="L18972">
        <v>55.65</v>
      </c>
      <c r="M18972">
        <v>117</v>
      </c>
      <c r="N18972">
        <v>0</v>
      </c>
      <c r="O18972">
        <v>117</v>
      </c>
      <c r="P18972">
        <v>0</v>
      </c>
    </row>
    <row r="18973" spans="1:16" x14ac:dyDescent="0.25">
      <c r="A18973" t="s">
        <v>41590</v>
      </c>
      <c r="B18973" t="s">
        <v>11961</v>
      </c>
      <c r="C18973" t="s">
        <v>11962</v>
      </c>
      <c r="D18973" t="str">
        <f>"5127"</f>
        <v>5127</v>
      </c>
      <c r="E18973" t="s">
        <v>11955</v>
      </c>
      <c r="F18973" t="s">
        <v>56</v>
      </c>
      <c r="G18973" t="s">
        <v>47093</v>
      </c>
      <c r="H18973" t="s">
        <v>47054</v>
      </c>
      <c r="I18973" t="s">
        <v>47111</v>
      </c>
      <c r="J18973" t="s">
        <v>47112</v>
      </c>
      <c r="K18973" t="s">
        <v>47113</v>
      </c>
      <c r="L18973">
        <v>55.65</v>
      </c>
      <c r="M18973">
        <v>117</v>
      </c>
      <c r="N18973">
        <v>0</v>
      </c>
      <c r="O18973">
        <v>117</v>
      </c>
      <c r="P18973">
        <v>0</v>
      </c>
    </row>
    <row r="18974" spans="1:16" x14ac:dyDescent="0.25">
      <c r="A18974" t="s">
        <v>41591</v>
      </c>
      <c r="B18974" t="s">
        <v>11961</v>
      </c>
      <c r="C18974" t="s">
        <v>11962</v>
      </c>
      <c r="D18974" t="str">
        <f>"6214"</f>
        <v>6214</v>
      </c>
      <c r="E18974" t="s">
        <v>11964</v>
      </c>
      <c r="F18974" t="s">
        <v>296</v>
      </c>
      <c r="G18974" t="s">
        <v>47093</v>
      </c>
      <c r="H18974" t="s">
        <v>47054</v>
      </c>
      <c r="I18974" t="s">
        <v>47111</v>
      </c>
      <c r="J18974" t="s">
        <v>47112</v>
      </c>
      <c r="K18974" t="s">
        <v>47113</v>
      </c>
      <c r="L18974">
        <v>55.65</v>
      </c>
      <c r="M18974">
        <v>122</v>
      </c>
      <c r="N18974">
        <v>0</v>
      </c>
      <c r="O18974">
        <v>122</v>
      </c>
      <c r="P18974">
        <v>0</v>
      </c>
    </row>
    <row r="18975" spans="1:16" x14ac:dyDescent="0.25">
      <c r="A18975" t="s">
        <v>41592</v>
      </c>
      <c r="B18975" t="s">
        <v>11961</v>
      </c>
      <c r="C18975" t="s">
        <v>11962</v>
      </c>
      <c r="D18975" t="str">
        <f>"7216"</f>
        <v>7216</v>
      </c>
      <c r="E18975" t="s">
        <v>11965</v>
      </c>
      <c r="F18975" t="s">
        <v>296</v>
      </c>
      <c r="G18975" t="s">
        <v>47093</v>
      </c>
      <c r="H18975" t="s">
        <v>47054</v>
      </c>
      <c r="I18975" t="s">
        <v>47111</v>
      </c>
      <c r="J18975" t="s">
        <v>47112</v>
      </c>
      <c r="K18975" t="s">
        <v>47113</v>
      </c>
      <c r="L18975">
        <v>53.75</v>
      </c>
      <c r="M18975">
        <v>122</v>
      </c>
      <c r="N18975">
        <v>0</v>
      </c>
      <c r="O18975">
        <v>122</v>
      </c>
      <c r="P18975">
        <v>0</v>
      </c>
    </row>
    <row r="18976" spans="1:16" x14ac:dyDescent="0.25">
      <c r="A18976" t="s">
        <v>41593</v>
      </c>
      <c r="B18976" t="s">
        <v>11966</v>
      </c>
      <c r="C18976" t="s">
        <v>11967</v>
      </c>
      <c r="D18976" t="str">
        <f>"1044"</f>
        <v>1044</v>
      </c>
      <c r="E18976" t="s">
        <v>11968</v>
      </c>
      <c r="F18976" t="s">
        <v>296</v>
      </c>
      <c r="G18976" t="s">
        <v>47093</v>
      </c>
      <c r="H18976" t="s">
        <v>47054</v>
      </c>
      <c r="I18976" t="s">
        <v>47111</v>
      </c>
      <c r="J18976" t="s">
        <v>47112</v>
      </c>
      <c r="K18976" t="s">
        <v>47113</v>
      </c>
      <c r="L18976">
        <v>33.22</v>
      </c>
      <c r="M18976">
        <v>75</v>
      </c>
      <c r="N18976">
        <v>0</v>
      </c>
      <c r="O18976">
        <v>75</v>
      </c>
      <c r="P18976">
        <v>0</v>
      </c>
    </row>
    <row r="18977" spans="1:16" x14ac:dyDescent="0.25">
      <c r="A18977" t="s">
        <v>41594</v>
      </c>
      <c r="B18977" t="s">
        <v>11966</v>
      </c>
      <c r="C18977" t="s">
        <v>11967</v>
      </c>
      <c r="D18977" t="str">
        <f>"1221"</f>
        <v>1221</v>
      </c>
      <c r="E18977" t="s">
        <v>11969</v>
      </c>
      <c r="F18977" t="s">
        <v>296</v>
      </c>
      <c r="G18977" t="s">
        <v>47093</v>
      </c>
      <c r="H18977" t="s">
        <v>47054</v>
      </c>
      <c r="I18977" t="s">
        <v>47111</v>
      </c>
      <c r="J18977" t="s">
        <v>47112</v>
      </c>
      <c r="K18977" t="s">
        <v>47113</v>
      </c>
      <c r="L18977">
        <v>33.54</v>
      </c>
      <c r="M18977">
        <v>75</v>
      </c>
      <c r="N18977">
        <v>0</v>
      </c>
      <c r="O18977">
        <v>75</v>
      </c>
      <c r="P18977">
        <v>0</v>
      </c>
    </row>
    <row r="18978" spans="1:16" x14ac:dyDescent="0.25">
      <c r="A18978" t="s">
        <v>41595</v>
      </c>
      <c r="B18978" t="s">
        <v>11970</v>
      </c>
      <c r="C18978" t="s">
        <v>11971</v>
      </c>
      <c r="D18978" t="str">
        <f>"1218"</f>
        <v>1218</v>
      </c>
      <c r="E18978" t="s">
        <v>11958</v>
      </c>
      <c r="F18978" t="s">
        <v>56</v>
      </c>
      <c r="G18978" t="s">
        <v>47093</v>
      </c>
      <c r="H18978" t="s">
        <v>47054</v>
      </c>
      <c r="I18978" t="s">
        <v>47111</v>
      </c>
      <c r="J18978" t="s">
        <v>47112</v>
      </c>
      <c r="K18978" t="s">
        <v>47113</v>
      </c>
      <c r="L18978">
        <v>57.86</v>
      </c>
      <c r="M18978">
        <v>117</v>
      </c>
      <c r="N18978">
        <v>0</v>
      </c>
      <c r="O18978">
        <v>117</v>
      </c>
      <c r="P18978">
        <v>0</v>
      </c>
    </row>
    <row r="18979" spans="1:16" x14ac:dyDescent="0.25">
      <c r="A18979" t="s">
        <v>41596</v>
      </c>
      <c r="B18979" t="s">
        <v>11970</v>
      </c>
      <c r="C18979" t="s">
        <v>11971</v>
      </c>
      <c r="D18979" t="str">
        <f>"1825"</f>
        <v>1825</v>
      </c>
      <c r="E18979" t="s">
        <v>1645</v>
      </c>
      <c r="F18979" t="s">
        <v>56</v>
      </c>
      <c r="G18979" t="s">
        <v>47093</v>
      </c>
      <c r="H18979" t="s">
        <v>47054</v>
      </c>
      <c r="I18979" t="s">
        <v>47111</v>
      </c>
      <c r="J18979" t="s">
        <v>47112</v>
      </c>
      <c r="K18979" t="s">
        <v>47113</v>
      </c>
      <c r="L18979">
        <v>55.6</v>
      </c>
      <c r="M18979">
        <v>117</v>
      </c>
      <c r="N18979">
        <v>0</v>
      </c>
      <c r="O18979">
        <v>117</v>
      </c>
      <c r="P18979">
        <v>0</v>
      </c>
    </row>
    <row r="18980" spans="1:16" x14ac:dyDescent="0.25">
      <c r="A18980" t="s">
        <v>41597</v>
      </c>
      <c r="B18980" t="s">
        <v>11970</v>
      </c>
      <c r="C18980" t="s">
        <v>11971</v>
      </c>
      <c r="D18980" t="str">
        <f>"2608"</f>
        <v>2608</v>
      </c>
      <c r="E18980" t="s">
        <v>11954</v>
      </c>
      <c r="F18980" t="s">
        <v>56</v>
      </c>
      <c r="G18980" t="s">
        <v>47093</v>
      </c>
      <c r="H18980" t="s">
        <v>47054</v>
      </c>
      <c r="I18980" t="s">
        <v>47111</v>
      </c>
      <c r="J18980" t="s">
        <v>47112</v>
      </c>
      <c r="K18980" t="s">
        <v>47113</v>
      </c>
      <c r="L18980">
        <v>57.86</v>
      </c>
      <c r="M18980">
        <v>117</v>
      </c>
      <c r="N18980">
        <v>0</v>
      </c>
      <c r="O18980">
        <v>117</v>
      </c>
      <c r="P18980">
        <v>0</v>
      </c>
    </row>
    <row r="18981" spans="1:16" x14ac:dyDescent="0.25">
      <c r="A18981" t="s">
        <v>41598</v>
      </c>
      <c r="B18981" t="s">
        <v>11970</v>
      </c>
      <c r="C18981" t="s">
        <v>11971</v>
      </c>
      <c r="D18981" t="str">
        <f>"4548"</f>
        <v>4548</v>
      </c>
      <c r="E18981" t="s">
        <v>1412</v>
      </c>
      <c r="F18981" t="s">
        <v>56</v>
      </c>
      <c r="G18981" t="s">
        <v>47093</v>
      </c>
      <c r="H18981" t="s">
        <v>47054</v>
      </c>
      <c r="I18981" t="s">
        <v>47111</v>
      </c>
      <c r="J18981" t="s">
        <v>47112</v>
      </c>
      <c r="K18981" t="s">
        <v>47113</v>
      </c>
      <c r="L18981">
        <v>57.81</v>
      </c>
      <c r="M18981">
        <v>117</v>
      </c>
      <c r="N18981">
        <v>0</v>
      </c>
      <c r="O18981">
        <v>117</v>
      </c>
      <c r="P18981">
        <v>0</v>
      </c>
    </row>
    <row r="18982" spans="1:16" x14ac:dyDescent="0.25">
      <c r="A18982" t="s">
        <v>41599</v>
      </c>
      <c r="B18982" t="s">
        <v>11970</v>
      </c>
      <c r="C18982" t="s">
        <v>11971</v>
      </c>
      <c r="D18982" t="str">
        <f>"5127"</f>
        <v>5127</v>
      </c>
      <c r="E18982" t="s">
        <v>11955</v>
      </c>
      <c r="F18982" t="s">
        <v>56</v>
      </c>
      <c r="G18982" t="s">
        <v>47093</v>
      </c>
      <c r="H18982" t="s">
        <v>47054</v>
      </c>
      <c r="I18982" t="s">
        <v>47111</v>
      </c>
      <c r="J18982" t="s">
        <v>47112</v>
      </c>
      <c r="K18982" t="s">
        <v>47113</v>
      </c>
      <c r="L18982">
        <v>57.81</v>
      </c>
      <c r="M18982">
        <v>117</v>
      </c>
      <c r="N18982">
        <v>0</v>
      </c>
      <c r="O18982">
        <v>117</v>
      </c>
      <c r="P18982">
        <v>0</v>
      </c>
    </row>
    <row r="18983" spans="1:16" x14ac:dyDescent="0.25">
      <c r="A18983" t="s">
        <v>41600</v>
      </c>
      <c r="B18983" t="s">
        <v>11972</v>
      </c>
      <c r="C18983" t="s">
        <v>11973</v>
      </c>
      <c r="D18983" t="str">
        <f>"1821"</f>
        <v>1821</v>
      </c>
      <c r="E18983" t="s">
        <v>590</v>
      </c>
      <c r="F18983" t="s">
        <v>3</v>
      </c>
      <c r="G18983" t="s">
        <v>49029</v>
      </c>
      <c r="H18983" t="s">
        <v>47054</v>
      </c>
      <c r="I18983" t="s">
        <v>47111</v>
      </c>
      <c r="J18983" t="s">
        <v>47112</v>
      </c>
      <c r="K18983" t="s">
        <v>47113</v>
      </c>
      <c r="L18983">
        <v>44.35</v>
      </c>
      <c r="M18983">
        <v>112</v>
      </c>
      <c r="N18983">
        <v>0</v>
      </c>
      <c r="O18983">
        <v>112</v>
      </c>
      <c r="P18983">
        <v>0</v>
      </c>
    </row>
    <row r="18984" spans="1:16" x14ac:dyDescent="0.25">
      <c r="A18984" t="s">
        <v>41601</v>
      </c>
      <c r="B18984" t="s">
        <v>11974</v>
      </c>
      <c r="C18984" t="s">
        <v>11975</v>
      </c>
      <c r="D18984" t="str">
        <f>"1851"</f>
        <v>1851</v>
      </c>
      <c r="E18984" t="s">
        <v>590</v>
      </c>
      <c r="F18984" t="s">
        <v>296</v>
      </c>
      <c r="G18984" t="s">
        <v>47093</v>
      </c>
      <c r="H18984" t="s">
        <v>47054</v>
      </c>
      <c r="I18984" t="s">
        <v>47111</v>
      </c>
      <c r="J18984" t="s">
        <v>47112</v>
      </c>
      <c r="K18984" t="s">
        <v>47113</v>
      </c>
      <c r="L18984">
        <v>35.36</v>
      </c>
      <c r="M18984">
        <v>78</v>
      </c>
      <c r="N18984">
        <v>0</v>
      </c>
      <c r="O18984">
        <v>78</v>
      </c>
      <c r="P18984">
        <v>0</v>
      </c>
    </row>
    <row r="18985" spans="1:16" x14ac:dyDescent="0.25">
      <c r="A18985" t="s">
        <v>591</v>
      </c>
      <c r="B18985" t="s">
        <v>592</v>
      </c>
      <c r="C18985" t="s">
        <v>593</v>
      </c>
      <c r="D18985" t="str">
        <f>"1851"</f>
        <v>1851</v>
      </c>
      <c r="E18985" t="s">
        <v>590</v>
      </c>
      <c r="F18985" t="s">
        <v>296</v>
      </c>
      <c r="G18985" t="s">
        <v>47093</v>
      </c>
      <c r="H18985" t="s">
        <v>47054</v>
      </c>
      <c r="I18985" t="s">
        <v>47111</v>
      </c>
      <c r="J18985" t="s">
        <v>47112</v>
      </c>
      <c r="K18985" t="s">
        <v>47113</v>
      </c>
      <c r="L18985">
        <v>34.049999999999997</v>
      </c>
      <c r="M18985">
        <v>78</v>
      </c>
      <c r="N18985">
        <v>0</v>
      </c>
      <c r="O18985">
        <v>78</v>
      </c>
      <c r="P18985">
        <v>0</v>
      </c>
    </row>
    <row r="18986" spans="1:16" x14ac:dyDescent="0.25">
      <c r="A18986" t="s">
        <v>41602</v>
      </c>
      <c r="B18986" t="s">
        <v>11976</v>
      </c>
      <c r="C18986" t="s">
        <v>11977</v>
      </c>
      <c r="D18986" t="str">
        <f>"1825"</f>
        <v>1825</v>
      </c>
      <c r="E18986" t="s">
        <v>1645</v>
      </c>
      <c r="F18986" t="s">
        <v>56</v>
      </c>
      <c r="G18986" t="s">
        <v>47098</v>
      </c>
      <c r="H18986" t="s">
        <v>47054</v>
      </c>
      <c r="I18986" t="s">
        <v>47114</v>
      </c>
      <c r="J18986" t="s">
        <v>47115</v>
      </c>
      <c r="K18986" t="s">
        <v>47113</v>
      </c>
      <c r="L18986">
        <v>38.82</v>
      </c>
      <c r="M18986">
        <v>74</v>
      </c>
      <c r="N18986">
        <v>0</v>
      </c>
      <c r="O18986">
        <v>74</v>
      </c>
      <c r="P18986">
        <v>0</v>
      </c>
    </row>
    <row r="18987" spans="1:16" x14ac:dyDescent="0.25">
      <c r="A18987" t="s">
        <v>41603</v>
      </c>
      <c r="B18987" t="s">
        <v>11978</v>
      </c>
      <c r="C18987" t="s">
        <v>11158</v>
      </c>
      <c r="D18987" t="str">
        <f>"1851"</f>
        <v>1851</v>
      </c>
      <c r="E18987" t="s">
        <v>590</v>
      </c>
      <c r="F18987" t="s">
        <v>296</v>
      </c>
      <c r="G18987" t="s">
        <v>47093</v>
      </c>
      <c r="H18987" t="s">
        <v>47054</v>
      </c>
      <c r="I18987" t="s">
        <v>47114</v>
      </c>
      <c r="J18987" t="s">
        <v>47115</v>
      </c>
      <c r="K18987" t="s">
        <v>47113</v>
      </c>
      <c r="L18987">
        <v>27.38</v>
      </c>
      <c r="M18987">
        <v>63</v>
      </c>
      <c r="N18987">
        <v>0</v>
      </c>
      <c r="O18987">
        <v>63</v>
      </c>
      <c r="P18987">
        <v>0</v>
      </c>
    </row>
    <row r="18988" spans="1:16" x14ac:dyDescent="0.25">
      <c r="A18988" t="s">
        <v>41604</v>
      </c>
      <c r="B18988" t="s">
        <v>11979</v>
      </c>
      <c r="C18988" t="s">
        <v>11980</v>
      </c>
      <c r="D18988" t="str">
        <f>"1825"</f>
        <v>1825</v>
      </c>
      <c r="E18988" t="s">
        <v>1645</v>
      </c>
      <c r="F18988" t="s">
        <v>56</v>
      </c>
      <c r="G18988" t="s">
        <v>47093</v>
      </c>
      <c r="H18988" t="s">
        <v>47054</v>
      </c>
      <c r="I18988" t="s">
        <v>47114</v>
      </c>
      <c r="J18988" t="s">
        <v>47115</v>
      </c>
      <c r="K18988" t="s">
        <v>47113</v>
      </c>
      <c r="L18988">
        <v>34.380000000000003</v>
      </c>
      <c r="M18988">
        <v>79</v>
      </c>
      <c r="N18988">
        <v>0</v>
      </c>
      <c r="O18988">
        <v>79</v>
      </c>
      <c r="P18988">
        <v>0</v>
      </c>
    </row>
    <row r="18989" spans="1:16" x14ac:dyDescent="0.25">
      <c r="A18989" t="s">
        <v>41605</v>
      </c>
      <c r="B18989" t="s">
        <v>11981</v>
      </c>
      <c r="C18989" t="s">
        <v>11982</v>
      </c>
      <c r="D18989" t="str">
        <f>"1218"</f>
        <v>1218</v>
      </c>
      <c r="E18989" t="s">
        <v>11958</v>
      </c>
      <c r="F18989" t="s">
        <v>56</v>
      </c>
      <c r="G18989" t="s">
        <v>47093</v>
      </c>
      <c r="H18989" t="s">
        <v>47054</v>
      </c>
      <c r="I18989" t="s">
        <v>47114</v>
      </c>
      <c r="J18989" t="s">
        <v>47115</v>
      </c>
      <c r="K18989" t="s">
        <v>47113</v>
      </c>
      <c r="L18989">
        <v>42.44</v>
      </c>
      <c r="M18989">
        <v>90</v>
      </c>
      <c r="N18989">
        <v>0</v>
      </c>
      <c r="O18989">
        <v>90</v>
      </c>
      <c r="P18989">
        <v>0</v>
      </c>
    </row>
    <row r="18990" spans="1:16" x14ac:dyDescent="0.25">
      <c r="A18990" t="s">
        <v>41606</v>
      </c>
      <c r="B18990" t="s">
        <v>11981</v>
      </c>
      <c r="C18990" t="s">
        <v>11982</v>
      </c>
      <c r="D18990" t="str">
        <f>"1825"</f>
        <v>1825</v>
      </c>
      <c r="E18990" t="s">
        <v>1645</v>
      </c>
      <c r="F18990" t="s">
        <v>56</v>
      </c>
      <c r="G18990" t="s">
        <v>47093</v>
      </c>
      <c r="H18990" t="s">
        <v>47054</v>
      </c>
      <c r="I18990" t="s">
        <v>47114</v>
      </c>
      <c r="J18990" t="s">
        <v>47115</v>
      </c>
      <c r="K18990" t="s">
        <v>47113</v>
      </c>
      <c r="L18990">
        <v>40.22</v>
      </c>
      <c r="M18990">
        <v>90</v>
      </c>
      <c r="N18990">
        <v>0</v>
      </c>
      <c r="O18990">
        <v>90</v>
      </c>
      <c r="P18990">
        <v>0</v>
      </c>
    </row>
    <row r="18991" spans="1:16" x14ac:dyDescent="0.25">
      <c r="A18991" t="s">
        <v>41607</v>
      </c>
      <c r="B18991" t="s">
        <v>11981</v>
      </c>
      <c r="C18991" t="s">
        <v>11982</v>
      </c>
      <c r="D18991" t="str">
        <f>"4218"</f>
        <v>4218</v>
      </c>
      <c r="E18991" t="s">
        <v>11983</v>
      </c>
      <c r="F18991" t="s">
        <v>56</v>
      </c>
      <c r="G18991" t="s">
        <v>47093</v>
      </c>
      <c r="H18991" t="s">
        <v>47054</v>
      </c>
      <c r="I18991" t="s">
        <v>47114</v>
      </c>
      <c r="J18991" t="s">
        <v>47115</v>
      </c>
      <c r="K18991" t="s">
        <v>47113</v>
      </c>
      <c r="L18991">
        <v>42.44</v>
      </c>
      <c r="M18991">
        <v>90</v>
      </c>
      <c r="N18991">
        <v>0</v>
      </c>
      <c r="O18991">
        <v>90</v>
      </c>
      <c r="P18991">
        <v>0</v>
      </c>
    </row>
    <row r="18992" spans="1:16" x14ac:dyDescent="0.25">
      <c r="A18992" t="s">
        <v>41608</v>
      </c>
      <c r="B18992" t="s">
        <v>11984</v>
      </c>
      <c r="C18992" t="s">
        <v>11985</v>
      </c>
      <c r="D18992" t="str">
        <f>"1218"</f>
        <v>1218</v>
      </c>
      <c r="E18992" t="s">
        <v>11958</v>
      </c>
      <c r="F18992" t="s">
        <v>56</v>
      </c>
      <c r="G18992" t="s">
        <v>47093</v>
      </c>
      <c r="H18992" t="s">
        <v>47054</v>
      </c>
      <c r="I18992" t="s">
        <v>47114</v>
      </c>
      <c r="J18992" t="s">
        <v>47115</v>
      </c>
      <c r="K18992" t="s">
        <v>47113</v>
      </c>
      <c r="L18992">
        <v>35.340000000000003</v>
      </c>
      <c r="M18992">
        <v>79</v>
      </c>
      <c r="N18992">
        <v>0</v>
      </c>
      <c r="O18992">
        <v>79</v>
      </c>
      <c r="P18992">
        <v>0</v>
      </c>
    </row>
    <row r="18993" spans="1:16" x14ac:dyDescent="0.25">
      <c r="A18993" t="s">
        <v>41609</v>
      </c>
      <c r="B18993" t="s">
        <v>11984</v>
      </c>
      <c r="C18993" t="s">
        <v>11985</v>
      </c>
      <c r="D18993" t="str">
        <f>"1825"</f>
        <v>1825</v>
      </c>
      <c r="E18993" t="s">
        <v>1645</v>
      </c>
      <c r="F18993" t="s">
        <v>56</v>
      </c>
      <c r="G18993" t="s">
        <v>47093</v>
      </c>
      <c r="H18993" t="s">
        <v>47054</v>
      </c>
      <c r="I18993" t="s">
        <v>47114</v>
      </c>
      <c r="J18993" t="s">
        <v>47115</v>
      </c>
      <c r="K18993" t="s">
        <v>47113</v>
      </c>
      <c r="L18993">
        <v>37.82</v>
      </c>
      <c r="M18993">
        <v>79</v>
      </c>
      <c r="N18993">
        <v>0</v>
      </c>
      <c r="O18993">
        <v>79</v>
      </c>
      <c r="P18993">
        <v>0</v>
      </c>
    </row>
    <row r="18994" spans="1:16" x14ac:dyDescent="0.25">
      <c r="A18994" t="s">
        <v>41610</v>
      </c>
      <c r="B18994" t="s">
        <v>11984</v>
      </c>
      <c r="C18994" t="s">
        <v>11985</v>
      </c>
      <c r="D18994" t="str">
        <f>"3315"</f>
        <v>3315</v>
      </c>
      <c r="E18994" t="s">
        <v>11986</v>
      </c>
      <c r="F18994" t="s">
        <v>56</v>
      </c>
      <c r="G18994" t="s">
        <v>47093</v>
      </c>
      <c r="H18994" t="s">
        <v>47054</v>
      </c>
      <c r="I18994" t="s">
        <v>47114</v>
      </c>
      <c r="J18994" t="s">
        <v>47115</v>
      </c>
      <c r="K18994" t="s">
        <v>47113</v>
      </c>
      <c r="L18994">
        <v>35.340000000000003</v>
      </c>
      <c r="M18994">
        <v>79</v>
      </c>
      <c r="N18994">
        <v>0</v>
      </c>
      <c r="O18994">
        <v>79</v>
      </c>
      <c r="P18994">
        <v>0</v>
      </c>
    </row>
    <row r="18995" spans="1:16" x14ac:dyDescent="0.25">
      <c r="A18995" t="s">
        <v>41611</v>
      </c>
      <c r="B18995" t="s">
        <v>11984</v>
      </c>
      <c r="C18995" t="s">
        <v>11985</v>
      </c>
      <c r="D18995" t="str">
        <f>"4218"</f>
        <v>4218</v>
      </c>
      <c r="E18995" t="s">
        <v>11983</v>
      </c>
      <c r="F18995" t="s">
        <v>56</v>
      </c>
      <c r="G18995" t="s">
        <v>47093</v>
      </c>
      <c r="H18995" t="s">
        <v>47054</v>
      </c>
      <c r="I18995" t="s">
        <v>47114</v>
      </c>
      <c r="J18995" t="s">
        <v>47115</v>
      </c>
      <c r="K18995" t="s">
        <v>47113</v>
      </c>
      <c r="L18995">
        <v>35.340000000000003</v>
      </c>
      <c r="M18995">
        <v>79</v>
      </c>
      <c r="N18995">
        <v>0</v>
      </c>
      <c r="O18995">
        <v>79</v>
      </c>
      <c r="P18995">
        <v>0</v>
      </c>
    </row>
    <row r="18996" spans="1:16" x14ac:dyDescent="0.25">
      <c r="A18996" t="s">
        <v>41612</v>
      </c>
      <c r="B18996" t="s">
        <v>11987</v>
      </c>
      <c r="C18996" t="s">
        <v>11988</v>
      </c>
      <c r="D18996" t="str">
        <f>"1218"</f>
        <v>1218</v>
      </c>
      <c r="E18996" t="s">
        <v>11958</v>
      </c>
      <c r="F18996" t="s">
        <v>56</v>
      </c>
      <c r="G18996" t="s">
        <v>47093</v>
      </c>
      <c r="H18996" t="s">
        <v>47054</v>
      </c>
      <c r="I18996" t="s">
        <v>47111</v>
      </c>
      <c r="J18996" t="s">
        <v>47112</v>
      </c>
      <c r="K18996" t="s">
        <v>47113</v>
      </c>
      <c r="L18996">
        <v>34.28</v>
      </c>
      <c r="M18996">
        <v>79</v>
      </c>
      <c r="N18996">
        <v>0</v>
      </c>
      <c r="O18996">
        <v>79</v>
      </c>
      <c r="P18996">
        <v>0</v>
      </c>
    </row>
    <row r="18997" spans="1:16" x14ac:dyDescent="0.25">
      <c r="A18997" t="s">
        <v>41613</v>
      </c>
      <c r="B18997" t="s">
        <v>11987</v>
      </c>
      <c r="C18997" t="s">
        <v>11988</v>
      </c>
      <c r="D18997" t="str">
        <f>"1825"</f>
        <v>1825</v>
      </c>
      <c r="E18997" t="s">
        <v>1645</v>
      </c>
      <c r="F18997" t="s">
        <v>56</v>
      </c>
      <c r="G18997" t="s">
        <v>47093</v>
      </c>
      <c r="H18997" t="s">
        <v>47054</v>
      </c>
      <c r="I18997" t="s">
        <v>47111</v>
      </c>
      <c r="J18997" t="s">
        <v>47112</v>
      </c>
      <c r="K18997" t="s">
        <v>47113</v>
      </c>
      <c r="L18997">
        <v>32.64</v>
      </c>
      <c r="M18997">
        <v>79</v>
      </c>
      <c r="N18997">
        <v>0</v>
      </c>
      <c r="O18997">
        <v>79</v>
      </c>
      <c r="P18997">
        <v>0</v>
      </c>
    </row>
    <row r="18998" spans="1:16" x14ac:dyDescent="0.25">
      <c r="A18998" t="s">
        <v>41614</v>
      </c>
      <c r="B18998" t="s">
        <v>11987</v>
      </c>
      <c r="C18998" t="s">
        <v>11988</v>
      </c>
      <c r="D18998" t="str">
        <f>"3315"</f>
        <v>3315</v>
      </c>
      <c r="E18998" t="s">
        <v>11986</v>
      </c>
      <c r="F18998" t="s">
        <v>56</v>
      </c>
      <c r="G18998" t="s">
        <v>47093</v>
      </c>
      <c r="H18998" t="s">
        <v>47054</v>
      </c>
      <c r="I18998" t="s">
        <v>47111</v>
      </c>
      <c r="J18998" t="s">
        <v>47112</v>
      </c>
      <c r="K18998" t="s">
        <v>47113</v>
      </c>
      <c r="L18998">
        <v>34.28</v>
      </c>
      <c r="M18998">
        <v>79</v>
      </c>
      <c r="N18998">
        <v>0</v>
      </c>
      <c r="O18998">
        <v>79</v>
      </c>
      <c r="P18998">
        <v>0</v>
      </c>
    </row>
    <row r="18999" spans="1:16" x14ac:dyDescent="0.25">
      <c r="A18999" t="s">
        <v>41615</v>
      </c>
      <c r="B18999" t="s">
        <v>11987</v>
      </c>
      <c r="C18999" t="s">
        <v>11988</v>
      </c>
      <c r="D18999" t="str">
        <f>"3326"</f>
        <v>3326</v>
      </c>
      <c r="E18999" t="s">
        <v>5755</v>
      </c>
      <c r="F18999" t="s">
        <v>56</v>
      </c>
      <c r="G18999" t="s">
        <v>47093</v>
      </c>
      <c r="H18999" t="s">
        <v>47054</v>
      </c>
      <c r="I18999" t="s">
        <v>47111</v>
      </c>
      <c r="J18999" t="s">
        <v>47112</v>
      </c>
      <c r="K18999" t="s">
        <v>47113</v>
      </c>
      <c r="L18999">
        <v>35.14</v>
      </c>
      <c r="M18999">
        <v>79</v>
      </c>
      <c r="N18999">
        <v>0</v>
      </c>
      <c r="O18999">
        <v>79</v>
      </c>
      <c r="P18999">
        <v>0</v>
      </c>
    </row>
    <row r="19000" spans="1:16" x14ac:dyDescent="0.25">
      <c r="A19000" t="s">
        <v>41616</v>
      </c>
      <c r="B19000" t="s">
        <v>11987</v>
      </c>
      <c r="C19000" t="s">
        <v>11988</v>
      </c>
      <c r="D19000" t="str">
        <f>"4218"</f>
        <v>4218</v>
      </c>
      <c r="E19000" t="s">
        <v>11983</v>
      </c>
      <c r="F19000" t="s">
        <v>56</v>
      </c>
      <c r="G19000" t="s">
        <v>47093</v>
      </c>
      <c r="H19000" t="s">
        <v>47054</v>
      </c>
      <c r="I19000" t="s">
        <v>47111</v>
      </c>
      <c r="J19000" t="s">
        <v>47112</v>
      </c>
      <c r="K19000" t="s">
        <v>47113</v>
      </c>
      <c r="L19000">
        <v>34.83</v>
      </c>
      <c r="M19000">
        <v>79</v>
      </c>
      <c r="N19000">
        <v>0</v>
      </c>
      <c r="O19000">
        <v>79</v>
      </c>
      <c r="P19000">
        <v>0</v>
      </c>
    </row>
    <row r="19001" spans="1:16" x14ac:dyDescent="0.25">
      <c r="A19001" t="s">
        <v>41617</v>
      </c>
      <c r="B19001" t="s">
        <v>11987</v>
      </c>
      <c r="C19001" t="s">
        <v>11988</v>
      </c>
      <c r="D19001" t="str">
        <f>"5127"</f>
        <v>5127</v>
      </c>
      <c r="E19001" t="s">
        <v>11955</v>
      </c>
      <c r="F19001" t="s">
        <v>56</v>
      </c>
      <c r="G19001" t="s">
        <v>47093</v>
      </c>
      <c r="H19001" t="s">
        <v>47054</v>
      </c>
      <c r="I19001" t="s">
        <v>47111</v>
      </c>
      <c r="J19001" t="s">
        <v>47112</v>
      </c>
      <c r="K19001" t="s">
        <v>47113</v>
      </c>
      <c r="L19001">
        <v>34.28</v>
      </c>
      <c r="M19001">
        <v>79</v>
      </c>
      <c r="N19001">
        <v>0</v>
      </c>
      <c r="O19001">
        <v>79</v>
      </c>
      <c r="P19001">
        <v>0</v>
      </c>
    </row>
    <row r="19002" spans="1:16" x14ac:dyDescent="0.25">
      <c r="A19002" t="s">
        <v>41618</v>
      </c>
      <c r="B19002" t="s">
        <v>11987</v>
      </c>
      <c r="C19002" t="s">
        <v>11988</v>
      </c>
      <c r="D19002" t="str">
        <f>"6107"</f>
        <v>6107</v>
      </c>
      <c r="E19002" t="s">
        <v>811</v>
      </c>
      <c r="F19002" t="s">
        <v>296</v>
      </c>
      <c r="G19002" t="s">
        <v>47093</v>
      </c>
      <c r="H19002" t="s">
        <v>47054</v>
      </c>
      <c r="I19002" t="s">
        <v>47111</v>
      </c>
      <c r="J19002" t="s">
        <v>47112</v>
      </c>
      <c r="K19002" t="s">
        <v>47113</v>
      </c>
      <c r="L19002">
        <v>27.59</v>
      </c>
      <c r="M19002">
        <v>70</v>
      </c>
      <c r="N19002">
        <v>0</v>
      </c>
      <c r="O19002">
        <v>70</v>
      </c>
      <c r="P19002">
        <v>0</v>
      </c>
    </row>
    <row r="19003" spans="1:16" x14ac:dyDescent="0.25">
      <c r="A19003" t="s">
        <v>41619</v>
      </c>
      <c r="B19003" t="s">
        <v>11989</v>
      </c>
      <c r="C19003" t="s">
        <v>11990</v>
      </c>
      <c r="D19003" t="str">
        <f>"1825"</f>
        <v>1825</v>
      </c>
      <c r="E19003" t="s">
        <v>1645</v>
      </c>
      <c r="F19003" t="s">
        <v>56</v>
      </c>
      <c r="G19003" t="s">
        <v>47093</v>
      </c>
      <c r="H19003" t="s">
        <v>47054</v>
      </c>
      <c r="I19003" t="s">
        <v>47111</v>
      </c>
      <c r="J19003" t="s">
        <v>47112</v>
      </c>
      <c r="K19003" t="s">
        <v>47113</v>
      </c>
      <c r="L19003">
        <v>35.51</v>
      </c>
      <c r="M19003">
        <v>79</v>
      </c>
      <c r="N19003">
        <v>0</v>
      </c>
      <c r="O19003">
        <v>79</v>
      </c>
      <c r="P19003">
        <v>0</v>
      </c>
    </row>
    <row r="19004" spans="1:16" x14ac:dyDescent="0.25">
      <c r="A19004" t="s">
        <v>41620</v>
      </c>
      <c r="B19004" t="s">
        <v>11989</v>
      </c>
      <c r="C19004" t="s">
        <v>11990</v>
      </c>
      <c r="D19004" t="str">
        <f>"3315"</f>
        <v>3315</v>
      </c>
      <c r="E19004" t="s">
        <v>11986</v>
      </c>
      <c r="F19004" t="s">
        <v>56</v>
      </c>
      <c r="G19004" t="s">
        <v>47093</v>
      </c>
      <c r="H19004" t="s">
        <v>47054</v>
      </c>
      <c r="I19004" t="s">
        <v>47111</v>
      </c>
      <c r="J19004" t="s">
        <v>47112</v>
      </c>
      <c r="K19004" t="s">
        <v>47113</v>
      </c>
      <c r="L19004">
        <v>37.770000000000003</v>
      </c>
      <c r="M19004">
        <v>79</v>
      </c>
      <c r="N19004">
        <v>0</v>
      </c>
      <c r="O19004">
        <v>79</v>
      </c>
      <c r="P19004">
        <v>0</v>
      </c>
    </row>
    <row r="19005" spans="1:16" x14ac:dyDescent="0.25">
      <c r="A19005" t="s">
        <v>41621</v>
      </c>
      <c r="B19005" t="s">
        <v>11989</v>
      </c>
      <c r="C19005" t="s">
        <v>11990</v>
      </c>
      <c r="D19005" t="str">
        <f>"3326"</f>
        <v>3326</v>
      </c>
      <c r="E19005" t="s">
        <v>5755</v>
      </c>
      <c r="F19005" t="s">
        <v>56</v>
      </c>
      <c r="G19005" t="s">
        <v>47093</v>
      </c>
      <c r="H19005" t="s">
        <v>47054</v>
      </c>
      <c r="I19005" t="s">
        <v>47111</v>
      </c>
      <c r="J19005" t="s">
        <v>47112</v>
      </c>
      <c r="K19005" t="s">
        <v>47113</v>
      </c>
      <c r="L19005">
        <v>33.4</v>
      </c>
      <c r="M19005">
        <v>79</v>
      </c>
      <c r="N19005">
        <v>0</v>
      </c>
      <c r="O19005">
        <v>79</v>
      </c>
      <c r="P19005">
        <v>0</v>
      </c>
    </row>
    <row r="19006" spans="1:16" x14ac:dyDescent="0.25">
      <c r="A19006" t="s">
        <v>41622</v>
      </c>
      <c r="B19006" t="s">
        <v>11989</v>
      </c>
      <c r="C19006" t="s">
        <v>11990</v>
      </c>
      <c r="D19006" t="str">
        <f>"4218"</f>
        <v>4218</v>
      </c>
      <c r="E19006" t="s">
        <v>11983</v>
      </c>
      <c r="F19006" t="s">
        <v>56</v>
      </c>
      <c r="G19006" t="s">
        <v>47093</v>
      </c>
      <c r="H19006" t="s">
        <v>47054</v>
      </c>
      <c r="I19006" t="s">
        <v>47111</v>
      </c>
      <c r="J19006" t="s">
        <v>47112</v>
      </c>
      <c r="K19006" t="s">
        <v>47113</v>
      </c>
      <c r="L19006">
        <v>33.4</v>
      </c>
      <c r="M19006">
        <v>79</v>
      </c>
      <c r="N19006">
        <v>0</v>
      </c>
      <c r="O19006">
        <v>79</v>
      </c>
      <c r="P19006">
        <v>0</v>
      </c>
    </row>
    <row r="19007" spans="1:16" x14ac:dyDescent="0.25">
      <c r="A19007" t="s">
        <v>41623</v>
      </c>
      <c r="B19007" t="s">
        <v>11989</v>
      </c>
      <c r="C19007" t="s">
        <v>11990</v>
      </c>
      <c r="D19007" t="str">
        <f>"5111"</f>
        <v>5111</v>
      </c>
      <c r="E19007" t="s">
        <v>11991</v>
      </c>
      <c r="F19007" t="s">
        <v>56</v>
      </c>
      <c r="G19007" t="s">
        <v>47093</v>
      </c>
      <c r="H19007" t="s">
        <v>47054</v>
      </c>
      <c r="I19007" t="s">
        <v>47111</v>
      </c>
      <c r="J19007" t="s">
        <v>47112</v>
      </c>
      <c r="K19007" t="s">
        <v>47113</v>
      </c>
      <c r="L19007">
        <v>37.770000000000003</v>
      </c>
      <c r="M19007">
        <v>79</v>
      </c>
      <c r="N19007">
        <v>0</v>
      </c>
      <c r="O19007">
        <v>79</v>
      </c>
      <c r="P19007">
        <v>0</v>
      </c>
    </row>
    <row r="19008" spans="1:16" x14ac:dyDescent="0.25">
      <c r="A19008" t="s">
        <v>41624</v>
      </c>
      <c r="B19008" t="s">
        <v>11989</v>
      </c>
      <c r="C19008" t="s">
        <v>11990</v>
      </c>
      <c r="D19008" t="str">
        <f>"5127"</f>
        <v>5127</v>
      </c>
      <c r="E19008" t="s">
        <v>11955</v>
      </c>
      <c r="F19008" t="s">
        <v>56</v>
      </c>
      <c r="G19008" t="s">
        <v>47093</v>
      </c>
      <c r="H19008" t="s">
        <v>47054</v>
      </c>
      <c r="I19008" t="s">
        <v>47111</v>
      </c>
      <c r="J19008" t="s">
        <v>47112</v>
      </c>
      <c r="K19008" t="s">
        <v>47113</v>
      </c>
      <c r="L19008">
        <v>37.770000000000003</v>
      </c>
      <c r="M19008">
        <v>79</v>
      </c>
      <c r="N19008">
        <v>0</v>
      </c>
      <c r="O19008">
        <v>79</v>
      </c>
      <c r="P19008">
        <v>0</v>
      </c>
    </row>
    <row r="19009" spans="1:16" x14ac:dyDescent="0.25">
      <c r="A19009" t="s">
        <v>594</v>
      </c>
      <c r="B19009" t="s">
        <v>595</v>
      </c>
      <c r="C19009" t="s">
        <v>596</v>
      </c>
      <c r="D19009" t="str">
        <f>"1049"</f>
        <v>1049</v>
      </c>
      <c r="E19009" t="s">
        <v>597</v>
      </c>
      <c r="F19009" t="s">
        <v>56</v>
      </c>
      <c r="G19009" t="s">
        <v>47093</v>
      </c>
      <c r="H19009" t="s">
        <v>47054</v>
      </c>
      <c r="I19009" t="s">
        <v>47111</v>
      </c>
      <c r="J19009" t="s">
        <v>47112</v>
      </c>
      <c r="K19009" t="s">
        <v>47113</v>
      </c>
      <c r="L19009">
        <v>52.52</v>
      </c>
      <c r="M19009">
        <v>122</v>
      </c>
      <c r="N19009">
        <v>0</v>
      </c>
      <c r="O19009">
        <v>122</v>
      </c>
      <c r="P19009">
        <v>0</v>
      </c>
    </row>
    <row r="19010" spans="1:16" x14ac:dyDescent="0.25">
      <c r="A19010" t="s">
        <v>41625</v>
      </c>
      <c r="B19010" t="s">
        <v>595</v>
      </c>
      <c r="C19010" t="s">
        <v>596</v>
      </c>
      <c r="D19010" t="str">
        <f>"1224"</f>
        <v>1224</v>
      </c>
      <c r="E19010" t="s">
        <v>11992</v>
      </c>
      <c r="F19010" t="s">
        <v>56</v>
      </c>
      <c r="G19010" t="s">
        <v>47093</v>
      </c>
      <c r="H19010" t="s">
        <v>47054</v>
      </c>
      <c r="I19010" t="s">
        <v>47111</v>
      </c>
      <c r="J19010" t="s">
        <v>47112</v>
      </c>
      <c r="K19010" t="s">
        <v>47113</v>
      </c>
      <c r="L19010">
        <v>50.6</v>
      </c>
      <c r="M19010">
        <v>122</v>
      </c>
      <c r="N19010">
        <v>0</v>
      </c>
      <c r="O19010">
        <v>122</v>
      </c>
      <c r="P19010">
        <v>0</v>
      </c>
    </row>
    <row r="19011" spans="1:16" x14ac:dyDescent="0.25">
      <c r="A19011" t="s">
        <v>41626</v>
      </c>
      <c r="B19011" t="s">
        <v>595</v>
      </c>
      <c r="C19011" t="s">
        <v>596</v>
      </c>
      <c r="D19011" t="str">
        <f>"2119"</f>
        <v>2119</v>
      </c>
      <c r="E19011" t="s">
        <v>11993</v>
      </c>
      <c r="F19011" t="s">
        <v>56</v>
      </c>
      <c r="G19011" t="s">
        <v>47093</v>
      </c>
      <c r="H19011" t="s">
        <v>47054</v>
      </c>
      <c r="I19011" t="s">
        <v>47111</v>
      </c>
      <c r="J19011" t="s">
        <v>47112</v>
      </c>
      <c r="K19011" t="s">
        <v>47113</v>
      </c>
      <c r="L19011">
        <v>50.6</v>
      </c>
      <c r="M19011">
        <v>126</v>
      </c>
      <c r="N19011">
        <v>0</v>
      </c>
      <c r="O19011">
        <v>126</v>
      </c>
      <c r="P19011">
        <v>0</v>
      </c>
    </row>
    <row r="19012" spans="1:16" x14ac:dyDescent="0.25">
      <c r="A19012" t="s">
        <v>598</v>
      </c>
      <c r="B19012" t="s">
        <v>595</v>
      </c>
      <c r="C19012" t="s">
        <v>596</v>
      </c>
      <c r="D19012" t="str">
        <f>"4149"</f>
        <v>4149</v>
      </c>
      <c r="E19012" t="s">
        <v>599</v>
      </c>
      <c r="F19012" t="s">
        <v>56</v>
      </c>
      <c r="G19012" t="s">
        <v>47093</v>
      </c>
      <c r="H19012" t="s">
        <v>47054</v>
      </c>
      <c r="I19012" t="s">
        <v>47111</v>
      </c>
      <c r="J19012" t="s">
        <v>47112</v>
      </c>
      <c r="K19012" t="s">
        <v>47113</v>
      </c>
      <c r="L19012">
        <v>52.49</v>
      </c>
      <c r="M19012">
        <v>122</v>
      </c>
      <c r="N19012">
        <v>0</v>
      </c>
      <c r="O19012">
        <v>122</v>
      </c>
      <c r="P19012">
        <v>0</v>
      </c>
    </row>
    <row r="19013" spans="1:16" x14ac:dyDescent="0.25">
      <c r="A19013" t="s">
        <v>41627</v>
      </c>
      <c r="B19013" t="s">
        <v>11994</v>
      </c>
      <c r="C19013" t="s">
        <v>11995</v>
      </c>
      <c r="D19013" t="str">
        <f>"3028"</f>
        <v>3028</v>
      </c>
      <c r="E19013" t="s">
        <v>11996</v>
      </c>
      <c r="F19013" t="s">
        <v>7</v>
      </c>
      <c r="G19013" t="s">
        <v>47093</v>
      </c>
      <c r="H19013" t="s">
        <v>47054</v>
      </c>
      <c r="I19013" t="s">
        <v>47111</v>
      </c>
      <c r="J19013" t="s">
        <v>47112</v>
      </c>
      <c r="K19013" t="s">
        <v>47113</v>
      </c>
      <c r="L19013">
        <v>46.5</v>
      </c>
      <c r="M19013">
        <v>114</v>
      </c>
      <c r="N19013">
        <v>0</v>
      </c>
      <c r="O19013">
        <v>114</v>
      </c>
      <c r="P19013">
        <v>0</v>
      </c>
    </row>
    <row r="19014" spans="1:16" x14ac:dyDescent="0.25">
      <c r="A19014" t="s">
        <v>41628</v>
      </c>
      <c r="B19014" t="s">
        <v>601</v>
      </c>
      <c r="C19014" t="s">
        <v>602</v>
      </c>
      <c r="D19014" t="str">
        <f>"1168"</f>
        <v>1168</v>
      </c>
      <c r="E19014" t="s">
        <v>11997</v>
      </c>
      <c r="F19014" t="s">
        <v>6</v>
      </c>
      <c r="G19014" t="s">
        <v>47093</v>
      </c>
      <c r="H19014" t="s">
        <v>47054</v>
      </c>
      <c r="I19014" t="s">
        <v>47111</v>
      </c>
      <c r="J19014" t="s">
        <v>47112</v>
      </c>
      <c r="K19014" t="s">
        <v>47113</v>
      </c>
      <c r="L19014">
        <v>38.69</v>
      </c>
      <c r="M19014">
        <v>98</v>
      </c>
      <c r="N19014">
        <v>0</v>
      </c>
      <c r="O19014">
        <v>98</v>
      </c>
      <c r="P19014">
        <v>0</v>
      </c>
    </row>
    <row r="19015" spans="1:16" x14ac:dyDescent="0.25">
      <c r="A19015" t="s">
        <v>600</v>
      </c>
      <c r="B19015" t="s">
        <v>601</v>
      </c>
      <c r="C19015" t="s">
        <v>602</v>
      </c>
      <c r="D19015" t="str">
        <f>"1264"</f>
        <v>1264</v>
      </c>
      <c r="E19015" t="s">
        <v>603</v>
      </c>
      <c r="F19015" t="s">
        <v>6</v>
      </c>
      <c r="G19015" t="s">
        <v>47093</v>
      </c>
      <c r="H19015" t="s">
        <v>47054</v>
      </c>
      <c r="I19015" t="s">
        <v>47111</v>
      </c>
      <c r="J19015" t="s">
        <v>47112</v>
      </c>
      <c r="K19015" t="s">
        <v>47113</v>
      </c>
      <c r="L19015">
        <v>41.69</v>
      </c>
      <c r="M19015">
        <v>100</v>
      </c>
      <c r="N19015">
        <v>0</v>
      </c>
      <c r="O19015">
        <v>100</v>
      </c>
      <c r="P19015">
        <v>0</v>
      </c>
    </row>
    <row r="19016" spans="1:16" x14ac:dyDescent="0.25">
      <c r="A19016" t="s">
        <v>41629</v>
      </c>
      <c r="B19016" t="s">
        <v>11998</v>
      </c>
      <c r="C19016" t="s">
        <v>11999</v>
      </c>
      <c r="D19016" t="str">
        <f>"1168"</f>
        <v>1168</v>
      </c>
      <c r="E19016" t="s">
        <v>11997</v>
      </c>
      <c r="F19016" t="s">
        <v>6</v>
      </c>
      <c r="G19016" t="s">
        <v>47093</v>
      </c>
      <c r="H19016" t="s">
        <v>47054</v>
      </c>
      <c r="I19016" t="s">
        <v>47111</v>
      </c>
      <c r="J19016" t="s">
        <v>47112</v>
      </c>
      <c r="K19016" t="s">
        <v>47113</v>
      </c>
      <c r="L19016">
        <v>39.880000000000003</v>
      </c>
      <c r="M19016">
        <v>102</v>
      </c>
      <c r="N19016">
        <v>0</v>
      </c>
      <c r="O19016">
        <v>102</v>
      </c>
      <c r="P19016">
        <v>0</v>
      </c>
    </row>
    <row r="19017" spans="1:16" x14ac:dyDescent="0.25">
      <c r="A19017" t="s">
        <v>41630</v>
      </c>
      <c r="B19017" t="s">
        <v>12000</v>
      </c>
      <c r="C19017" t="s">
        <v>12001</v>
      </c>
      <c r="D19017" t="str">
        <f>"1361"</f>
        <v>1361</v>
      </c>
      <c r="E19017" t="s">
        <v>12002</v>
      </c>
      <c r="F19017" t="s">
        <v>2</v>
      </c>
      <c r="G19017" t="s">
        <v>47093</v>
      </c>
      <c r="H19017" t="s">
        <v>47054</v>
      </c>
      <c r="I19017" t="s">
        <v>47111</v>
      </c>
      <c r="J19017" t="s">
        <v>47112</v>
      </c>
      <c r="K19017" t="s">
        <v>47113</v>
      </c>
      <c r="L19017">
        <v>37.049999999999997</v>
      </c>
      <c r="M19017">
        <v>85</v>
      </c>
      <c r="N19017">
        <v>0</v>
      </c>
      <c r="O19017">
        <v>85</v>
      </c>
      <c r="P19017">
        <v>0</v>
      </c>
    </row>
    <row r="19018" spans="1:16" x14ac:dyDescent="0.25">
      <c r="A19018" t="s">
        <v>41631</v>
      </c>
      <c r="B19018" t="s">
        <v>12000</v>
      </c>
      <c r="C19018" t="s">
        <v>12001</v>
      </c>
      <c r="D19018" t="str">
        <f>"1908"</f>
        <v>1908</v>
      </c>
      <c r="E19018" t="s">
        <v>12003</v>
      </c>
      <c r="F19018" t="s">
        <v>2</v>
      </c>
      <c r="G19018" t="s">
        <v>47093</v>
      </c>
      <c r="H19018" t="s">
        <v>47054</v>
      </c>
      <c r="I19018" t="s">
        <v>47111</v>
      </c>
      <c r="J19018" t="s">
        <v>47112</v>
      </c>
      <c r="K19018" t="s">
        <v>47113</v>
      </c>
      <c r="L19018">
        <v>37.049999999999997</v>
      </c>
      <c r="M19018">
        <v>85</v>
      </c>
      <c r="N19018">
        <v>0</v>
      </c>
      <c r="O19018">
        <v>85</v>
      </c>
      <c r="P19018">
        <v>0</v>
      </c>
    </row>
    <row r="19019" spans="1:16" x14ac:dyDescent="0.25">
      <c r="A19019" t="s">
        <v>41632</v>
      </c>
      <c r="B19019" t="s">
        <v>12000</v>
      </c>
      <c r="C19019" t="s">
        <v>12001</v>
      </c>
      <c r="D19019" t="str">
        <f>"4318"</f>
        <v>4318</v>
      </c>
      <c r="E19019" t="s">
        <v>12004</v>
      </c>
      <c r="F19019" t="s">
        <v>2</v>
      </c>
      <c r="G19019" t="s">
        <v>47093</v>
      </c>
      <c r="H19019" t="s">
        <v>47054</v>
      </c>
      <c r="I19019" t="s">
        <v>47111</v>
      </c>
      <c r="J19019" t="s">
        <v>47112</v>
      </c>
      <c r="K19019" t="s">
        <v>47113</v>
      </c>
      <c r="L19019">
        <v>37.049999999999997</v>
      </c>
      <c r="M19019">
        <v>85</v>
      </c>
      <c r="N19019">
        <v>0</v>
      </c>
      <c r="O19019">
        <v>85</v>
      </c>
      <c r="P19019">
        <v>0</v>
      </c>
    </row>
    <row r="19020" spans="1:16" x14ac:dyDescent="0.25">
      <c r="A19020" t="s">
        <v>41633</v>
      </c>
      <c r="B19020" t="s">
        <v>12000</v>
      </c>
      <c r="C19020" t="s">
        <v>12001</v>
      </c>
      <c r="D19020" t="str">
        <f>"4498"</f>
        <v>4498</v>
      </c>
      <c r="E19020" t="s">
        <v>12005</v>
      </c>
      <c r="F19020" t="s">
        <v>2</v>
      </c>
      <c r="G19020" t="s">
        <v>47093</v>
      </c>
      <c r="H19020" t="s">
        <v>47054</v>
      </c>
      <c r="I19020" t="s">
        <v>47111</v>
      </c>
      <c r="J19020" t="s">
        <v>47112</v>
      </c>
      <c r="K19020" t="s">
        <v>47113</v>
      </c>
      <c r="L19020">
        <v>37.049999999999997</v>
      </c>
      <c r="M19020">
        <v>85</v>
      </c>
      <c r="N19020">
        <v>0</v>
      </c>
      <c r="O19020">
        <v>85</v>
      </c>
      <c r="P19020">
        <v>0</v>
      </c>
    </row>
    <row r="19021" spans="1:16" x14ac:dyDescent="0.25">
      <c r="A19021" t="s">
        <v>41634</v>
      </c>
      <c r="B19021" t="s">
        <v>12000</v>
      </c>
      <c r="C19021" t="s">
        <v>12001</v>
      </c>
      <c r="D19021" t="str">
        <f>"6167"</f>
        <v>6167</v>
      </c>
      <c r="E19021" t="s">
        <v>12006</v>
      </c>
      <c r="F19021" t="s">
        <v>2</v>
      </c>
      <c r="G19021" t="s">
        <v>47093</v>
      </c>
      <c r="H19021" t="s">
        <v>47054</v>
      </c>
      <c r="I19021" t="s">
        <v>47111</v>
      </c>
      <c r="J19021" t="s">
        <v>47112</v>
      </c>
      <c r="K19021" t="s">
        <v>47113</v>
      </c>
      <c r="L19021">
        <v>37.049999999999997</v>
      </c>
      <c r="M19021">
        <v>85</v>
      </c>
      <c r="N19021">
        <v>0</v>
      </c>
      <c r="O19021">
        <v>85</v>
      </c>
      <c r="P19021">
        <v>0</v>
      </c>
    </row>
    <row r="19022" spans="1:16" x14ac:dyDescent="0.25">
      <c r="A19022" t="s">
        <v>41635</v>
      </c>
      <c r="B19022" t="s">
        <v>12000</v>
      </c>
      <c r="C19022" t="s">
        <v>12001</v>
      </c>
      <c r="D19022" t="str">
        <f>"6256"</f>
        <v>6256</v>
      </c>
      <c r="E19022" t="s">
        <v>12007</v>
      </c>
      <c r="F19022" t="s">
        <v>2</v>
      </c>
      <c r="G19022" t="s">
        <v>47093</v>
      </c>
      <c r="H19022" t="s">
        <v>47054</v>
      </c>
      <c r="I19022" t="s">
        <v>47111</v>
      </c>
      <c r="J19022" t="s">
        <v>47112</v>
      </c>
      <c r="K19022" t="s">
        <v>47113</v>
      </c>
      <c r="L19022">
        <v>37.049999999999997</v>
      </c>
      <c r="M19022">
        <v>85</v>
      </c>
      <c r="N19022">
        <v>0</v>
      </c>
      <c r="O19022">
        <v>85</v>
      </c>
      <c r="P19022">
        <v>0</v>
      </c>
    </row>
    <row r="19023" spans="1:16" x14ac:dyDescent="0.25">
      <c r="A19023" t="s">
        <v>41636</v>
      </c>
      <c r="B19023" t="s">
        <v>12000</v>
      </c>
      <c r="C19023" t="s">
        <v>12001</v>
      </c>
      <c r="D19023" t="str">
        <f>"7345"</f>
        <v>7345</v>
      </c>
      <c r="E19023" t="s">
        <v>12008</v>
      </c>
      <c r="F19023" t="s">
        <v>2</v>
      </c>
      <c r="G19023" t="s">
        <v>47093</v>
      </c>
      <c r="H19023" t="s">
        <v>47054</v>
      </c>
      <c r="I19023" t="s">
        <v>47111</v>
      </c>
      <c r="J19023" t="s">
        <v>47112</v>
      </c>
      <c r="K19023" t="s">
        <v>47113</v>
      </c>
      <c r="L19023">
        <v>37.049999999999997</v>
      </c>
      <c r="M19023">
        <v>85</v>
      </c>
      <c r="N19023">
        <v>0</v>
      </c>
      <c r="O19023">
        <v>85</v>
      </c>
      <c r="P19023">
        <v>0</v>
      </c>
    </row>
    <row r="19024" spans="1:16" x14ac:dyDescent="0.25">
      <c r="A19024" t="s">
        <v>41637</v>
      </c>
      <c r="B19024" t="s">
        <v>12000</v>
      </c>
      <c r="C19024" t="s">
        <v>12001</v>
      </c>
      <c r="D19024" t="str">
        <f>"8336"</f>
        <v>8336</v>
      </c>
      <c r="E19024" t="s">
        <v>12009</v>
      </c>
      <c r="F19024" t="s">
        <v>2</v>
      </c>
      <c r="G19024" t="s">
        <v>47093</v>
      </c>
      <c r="H19024" t="s">
        <v>47054</v>
      </c>
      <c r="I19024" t="s">
        <v>47111</v>
      </c>
      <c r="J19024" t="s">
        <v>47112</v>
      </c>
      <c r="K19024" t="s">
        <v>47113</v>
      </c>
      <c r="L19024">
        <v>37.049999999999997</v>
      </c>
      <c r="M19024">
        <v>85</v>
      </c>
      <c r="N19024">
        <v>0</v>
      </c>
      <c r="O19024">
        <v>85</v>
      </c>
      <c r="P19024">
        <v>0</v>
      </c>
    </row>
    <row r="19025" spans="1:16" x14ac:dyDescent="0.25">
      <c r="A19025" t="s">
        <v>41638</v>
      </c>
      <c r="B19025" t="s">
        <v>12010</v>
      </c>
      <c r="C19025" t="s">
        <v>12011</v>
      </c>
      <c r="D19025" t="str">
        <f>"1364"</f>
        <v>1364</v>
      </c>
      <c r="E19025" t="s">
        <v>12012</v>
      </c>
      <c r="F19025" t="s">
        <v>2</v>
      </c>
      <c r="G19025" t="s">
        <v>47098</v>
      </c>
      <c r="H19025" t="s">
        <v>47054</v>
      </c>
      <c r="I19025" t="s">
        <v>47116</v>
      </c>
      <c r="J19025" t="s">
        <v>47117</v>
      </c>
      <c r="K19025" t="s">
        <v>47113</v>
      </c>
      <c r="L19025">
        <v>45.59</v>
      </c>
      <c r="M19025">
        <v>85</v>
      </c>
      <c r="N19025">
        <v>0</v>
      </c>
      <c r="O19025">
        <v>85</v>
      </c>
      <c r="P19025">
        <v>0</v>
      </c>
    </row>
    <row r="19026" spans="1:16" x14ac:dyDescent="0.25">
      <c r="A19026" t="s">
        <v>41639</v>
      </c>
      <c r="B19026" t="s">
        <v>12010</v>
      </c>
      <c r="C19026" t="s">
        <v>12011</v>
      </c>
      <c r="D19026" t="str">
        <f>"1920"</f>
        <v>1920</v>
      </c>
      <c r="E19026" t="s">
        <v>12013</v>
      </c>
      <c r="F19026" t="s">
        <v>2</v>
      </c>
      <c r="G19026" t="s">
        <v>47098</v>
      </c>
      <c r="H19026" t="s">
        <v>47054</v>
      </c>
      <c r="I19026" t="s">
        <v>47116</v>
      </c>
      <c r="J19026" t="s">
        <v>47117</v>
      </c>
      <c r="K19026" t="s">
        <v>47113</v>
      </c>
      <c r="L19026">
        <v>45.59</v>
      </c>
      <c r="M19026">
        <v>85</v>
      </c>
      <c r="N19026">
        <v>0</v>
      </c>
      <c r="O19026">
        <v>85</v>
      </c>
      <c r="P19026">
        <v>0</v>
      </c>
    </row>
    <row r="19027" spans="1:16" x14ac:dyDescent="0.25">
      <c r="A19027" t="s">
        <v>41640</v>
      </c>
      <c r="B19027" t="s">
        <v>12010</v>
      </c>
      <c r="C19027" t="s">
        <v>12011</v>
      </c>
      <c r="D19027" t="str">
        <f>"4322"</f>
        <v>4322</v>
      </c>
      <c r="E19027" t="s">
        <v>8527</v>
      </c>
      <c r="F19027" t="s">
        <v>2</v>
      </c>
      <c r="G19027" t="s">
        <v>47098</v>
      </c>
      <c r="H19027" t="s">
        <v>47054</v>
      </c>
      <c r="I19027" t="s">
        <v>47116</v>
      </c>
      <c r="J19027" t="s">
        <v>47117</v>
      </c>
      <c r="K19027" t="s">
        <v>47113</v>
      </c>
      <c r="L19027">
        <v>45.59</v>
      </c>
      <c r="M19027">
        <v>85</v>
      </c>
      <c r="N19027">
        <v>0</v>
      </c>
      <c r="O19027">
        <v>85</v>
      </c>
      <c r="P19027">
        <v>0</v>
      </c>
    </row>
    <row r="19028" spans="1:16" x14ac:dyDescent="0.25">
      <c r="A19028" t="s">
        <v>41641</v>
      </c>
      <c r="B19028" t="s">
        <v>12010</v>
      </c>
      <c r="C19028" t="s">
        <v>12011</v>
      </c>
      <c r="D19028" t="str">
        <f>"4634"</f>
        <v>4634</v>
      </c>
      <c r="E19028" t="s">
        <v>12014</v>
      </c>
      <c r="F19028" t="s">
        <v>2</v>
      </c>
      <c r="G19028" t="s">
        <v>47098</v>
      </c>
      <c r="H19028" t="s">
        <v>47054</v>
      </c>
      <c r="I19028" t="s">
        <v>47116</v>
      </c>
      <c r="J19028" t="s">
        <v>47117</v>
      </c>
      <c r="K19028" t="s">
        <v>47113</v>
      </c>
      <c r="L19028">
        <v>45.59</v>
      </c>
      <c r="M19028">
        <v>85</v>
      </c>
      <c r="N19028">
        <v>0</v>
      </c>
      <c r="O19028">
        <v>85</v>
      </c>
      <c r="P19028">
        <v>0</v>
      </c>
    </row>
    <row r="19029" spans="1:16" x14ac:dyDescent="0.25">
      <c r="A19029" t="s">
        <v>41642</v>
      </c>
      <c r="B19029" t="s">
        <v>12010</v>
      </c>
      <c r="C19029" t="s">
        <v>12011</v>
      </c>
      <c r="D19029" t="str">
        <f>"6170"</f>
        <v>6170</v>
      </c>
      <c r="E19029" t="s">
        <v>8528</v>
      </c>
      <c r="F19029" t="s">
        <v>2</v>
      </c>
      <c r="G19029" t="s">
        <v>47098</v>
      </c>
      <c r="H19029" t="s">
        <v>47054</v>
      </c>
      <c r="I19029" t="s">
        <v>47116</v>
      </c>
      <c r="J19029" t="s">
        <v>47117</v>
      </c>
      <c r="K19029" t="s">
        <v>47113</v>
      </c>
      <c r="L19029">
        <v>45.59</v>
      </c>
      <c r="M19029">
        <v>85</v>
      </c>
      <c r="N19029">
        <v>0</v>
      </c>
      <c r="O19029">
        <v>85</v>
      </c>
      <c r="P19029">
        <v>0</v>
      </c>
    </row>
    <row r="19030" spans="1:16" x14ac:dyDescent="0.25">
      <c r="A19030" t="s">
        <v>41643</v>
      </c>
      <c r="B19030" t="s">
        <v>12010</v>
      </c>
      <c r="C19030" t="s">
        <v>12011</v>
      </c>
      <c r="D19030" t="str">
        <f>"7358"</f>
        <v>7358</v>
      </c>
      <c r="E19030" t="s">
        <v>12015</v>
      </c>
      <c r="F19030" t="s">
        <v>2</v>
      </c>
      <c r="G19030" t="s">
        <v>47098</v>
      </c>
      <c r="H19030" t="s">
        <v>47054</v>
      </c>
      <c r="I19030" t="s">
        <v>47116</v>
      </c>
      <c r="J19030" t="s">
        <v>47117</v>
      </c>
      <c r="K19030" t="s">
        <v>47113</v>
      </c>
      <c r="L19030">
        <v>45.59</v>
      </c>
      <c r="M19030">
        <v>85</v>
      </c>
      <c r="N19030">
        <v>0</v>
      </c>
      <c r="O19030">
        <v>85</v>
      </c>
      <c r="P19030">
        <v>0</v>
      </c>
    </row>
    <row r="19031" spans="1:16" x14ac:dyDescent="0.25">
      <c r="A19031" t="s">
        <v>41644</v>
      </c>
      <c r="B19031" t="s">
        <v>12010</v>
      </c>
      <c r="C19031" t="s">
        <v>12011</v>
      </c>
      <c r="D19031" t="str">
        <f>"8338"</f>
        <v>8338</v>
      </c>
      <c r="E19031" t="s">
        <v>8529</v>
      </c>
      <c r="F19031" t="s">
        <v>2</v>
      </c>
      <c r="G19031" t="s">
        <v>47098</v>
      </c>
      <c r="H19031" t="s">
        <v>47054</v>
      </c>
      <c r="I19031" t="s">
        <v>47116</v>
      </c>
      <c r="J19031" t="s">
        <v>47117</v>
      </c>
      <c r="K19031" t="s">
        <v>47113</v>
      </c>
      <c r="L19031">
        <v>45.59</v>
      </c>
      <c r="M19031">
        <v>85</v>
      </c>
      <c r="N19031">
        <v>0</v>
      </c>
      <c r="O19031">
        <v>85</v>
      </c>
      <c r="P19031">
        <v>0</v>
      </c>
    </row>
    <row r="19032" spans="1:16" x14ac:dyDescent="0.25">
      <c r="A19032" t="s">
        <v>41645</v>
      </c>
      <c r="B19032" t="s">
        <v>12016</v>
      </c>
      <c r="C19032" t="s">
        <v>12017</v>
      </c>
      <c r="D19032" t="str">
        <f>"1361"</f>
        <v>1361</v>
      </c>
      <c r="E19032" t="s">
        <v>12002</v>
      </c>
      <c r="F19032" t="s">
        <v>2</v>
      </c>
      <c r="G19032" t="s">
        <v>47093</v>
      </c>
      <c r="H19032" t="s">
        <v>47054</v>
      </c>
      <c r="I19032" t="s">
        <v>47111</v>
      </c>
      <c r="J19032" t="s">
        <v>47112</v>
      </c>
      <c r="K19032" t="s">
        <v>47113</v>
      </c>
      <c r="L19032">
        <v>37.049999999999997</v>
      </c>
      <c r="M19032">
        <v>96</v>
      </c>
      <c r="N19032">
        <v>0</v>
      </c>
      <c r="O19032">
        <v>96</v>
      </c>
      <c r="P19032">
        <v>0</v>
      </c>
    </row>
    <row r="19033" spans="1:16" x14ac:dyDescent="0.25">
      <c r="A19033" t="s">
        <v>41646</v>
      </c>
      <c r="B19033" t="s">
        <v>12016</v>
      </c>
      <c r="C19033" t="s">
        <v>12017</v>
      </c>
      <c r="D19033" t="str">
        <f>"1908"</f>
        <v>1908</v>
      </c>
      <c r="E19033" t="s">
        <v>12003</v>
      </c>
      <c r="F19033" t="s">
        <v>2</v>
      </c>
      <c r="G19033" t="s">
        <v>47093</v>
      </c>
      <c r="H19033" t="s">
        <v>47054</v>
      </c>
      <c r="I19033" t="s">
        <v>47111</v>
      </c>
      <c r="J19033" t="s">
        <v>47112</v>
      </c>
      <c r="K19033" t="s">
        <v>47113</v>
      </c>
      <c r="L19033">
        <v>37.049999999999997</v>
      </c>
      <c r="M19033">
        <v>96</v>
      </c>
      <c r="N19033">
        <v>0</v>
      </c>
      <c r="O19033">
        <v>96</v>
      </c>
      <c r="P19033">
        <v>0</v>
      </c>
    </row>
    <row r="19034" spans="1:16" x14ac:dyDescent="0.25">
      <c r="A19034" t="s">
        <v>41647</v>
      </c>
      <c r="B19034" t="s">
        <v>12016</v>
      </c>
      <c r="C19034" t="s">
        <v>12017</v>
      </c>
      <c r="D19034" t="str">
        <f>"4318"</f>
        <v>4318</v>
      </c>
      <c r="E19034" t="s">
        <v>12004</v>
      </c>
      <c r="F19034" t="s">
        <v>2</v>
      </c>
      <c r="G19034" t="s">
        <v>47093</v>
      </c>
      <c r="H19034" t="s">
        <v>47054</v>
      </c>
      <c r="I19034" t="s">
        <v>47111</v>
      </c>
      <c r="J19034" t="s">
        <v>47112</v>
      </c>
      <c r="K19034" t="s">
        <v>47113</v>
      </c>
      <c r="L19034">
        <v>37.049999999999997</v>
      </c>
      <c r="M19034">
        <v>96</v>
      </c>
      <c r="N19034">
        <v>0</v>
      </c>
      <c r="O19034">
        <v>96</v>
      </c>
      <c r="P19034">
        <v>0</v>
      </c>
    </row>
    <row r="19035" spans="1:16" x14ac:dyDescent="0.25">
      <c r="A19035" t="s">
        <v>41648</v>
      </c>
      <c r="B19035" t="s">
        <v>12016</v>
      </c>
      <c r="C19035" t="s">
        <v>12017</v>
      </c>
      <c r="D19035" t="str">
        <f>"4498"</f>
        <v>4498</v>
      </c>
      <c r="E19035" t="s">
        <v>12005</v>
      </c>
      <c r="F19035" t="s">
        <v>2</v>
      </c>
      <c r="G19035" t="s">
        <v>47093</v>
      </c>
      <c r="H19035" t="s">
        <v>47054</v>
      </c>
      <c r="I19035" t="s">
        <v>47111</v>
      </c>
      <c r="J19035" t="s">
        <v>47112</v>
      </c>
      <c r="K19035" t="s">
        <v>47113</v>
      </c>
      <c r="L19035">
        <v>37.049999999999997</v>
      </c>
      <c r="M19035">
        <v>96</v>
      </c>
      <c r="N19035">
        <v>0</v>
      </c>
      <c r="O19035">
        <v>96</v>
      </c>
      <c r="P19035">
        <v>0</v>
      </c>
    </row>
    <row r="19036" spans="1:16" x14ac:dyDescent="0.25">
      <c r="A19036" t="s">
        <v>41649</v>
      </c>
      <c r="B19036" t="s">
        <v>12016</v>
      </c>
      <c r="C19036" t="s">
        <v>12017</v>
      </c>
      <c r="D19036" t="str">
        <f>"6167"</f>
        <v>6167</v>
      </c>
      <c r="E19036" t="s">
        <v>12006</v>
      </c>
      <c r="F19036" t="s">
        <v>2</v>
      </c>
      <c r="G19036" t="s">
        <v>47093</v>
      </c>
      <c r="H19036" t="s">
        <v>47054</v>
      </c>
      <c r="I19036" t="s">
        <v>47111</v>
      </c>
      <c r="J19036" t="s">
        <v>47112</v>
      </c>
      <c r="K19036" t="s">
        <v>47113</v>
      </c>
      <c r="L19036">
        <v>37.049999999999997</v>
      </c>
      <c r="M19036">
        <v>96</v>
      </c>
      <c r="N19036">
        <v>0</v>
      </c>
      <c r="O19036">
        <v>96</v>
      </c>
      <c r="P19036">
        <v>0</v>
      </c>
    </row>
    <row r="19037" spans="1:16" x14ac:dyDescent="0.25">
      <c r="A19037" t="s">
        <v>41650</v>
      </c>
      <c r="B19037" t="s">
        <v>12016</v>
      </c>
      <c r="C19037" t="s">
        <v>12017</v>
      </c>
      <c r="D19037" t="str">
        <f>"6256"</f>
        <v>6256</v>
      </c>
      <c r="E19037" t="s">
        <v>12007</v>
      </c>
      <c r="F19037" t="s">
        <v>2</v>
      </c>
      <c r="G19037" t="s">
        <v>47093</v>
      </c>
      <c r="H19037" t="s">
        <v>47054</v>
      </c>
      <c r="I19037" t="s">
        <v>47111</v>
      </c>
      <c r="J19037" t="s">
        <v>47112</v>
      </c>
      <c r="K19037" t="s">
        <v>47113</v>
      </c>
      <c r="L19037">
        <v>37.049999999999997</v>
      </c>
      <c r="M19037">
        <v>96</v>
      </c>
      <c r="N19037">
        <v>0</v>
      </c>
      <c r="O19037">
        <v>96</v>
      </c>
      <c r="P19037">
        <v>0</v>
      </c>
    </row>
    <row r="19038" spans="1:16" x14ac:dyDescent="0.25">
      <c r="A19038" t="s">
        <v>41651</v>
      </c>
      <c r="B19038" t="s">
        <v>12016</v>
      </c>
      <c r="C19038" t="s">
        <v>12017</v>
      </c>
      <c r="D19038" t="str">
        <f>"7345"</f>
        <v>7345</v>
      </c>
      <c r="E19038" t="s">
        <v>12008</v>
      </c>
      <c r="F19038" t="s">
        <v>2</v>
      </c>
      <c r="G19038" t="s">
        <v>47093</v>
      </c>
      <c r="H19038" t="s">
        <v>47054</v>
      </c>
      <c r="I19038" t="s">
        <v>47111</v>
      </c>
      <c r="J19038" t="s">
        <v>47112</v>
      </c>
      <c r="K19038" t="s">
        <v>47113</v>
      </c>
      <c r="L19038">
        <v>37.049999999999997</v>
      </c>
      <c r="M19038">
        <v>96</v>
      </c>
      <c r="N19038">
        <v>0</v>
      </c>
      <c r="O19038">
        <v>96</v>
      </c>
      <c r="P19038">
        <v>0</v>
      </c>
    </row>
    <row r="19039" spans="1:16" x14ac:dyDescent="0.25">
      <c r="A19039" t="s">
        <v>41652</v>
      </c>
      <c r="B19039" t="s">
        <v>12016</v>
      </c>
      <c r="C19039" t="s">
        <v>12017</v>
      </c>
      <c r="D19039" t="str">
        <f>"8336"</f>
        <v>8336</v>
      </c>
      <c r="E19039" t="s">
        <v>12009</v>
      </c>
      <c r="F19039" t="s">
        <v>2</v>
      </c>
      <c r="G19039" t="s">
        <v>47093</v>
      </c>
      <c r="H19039" t="s">
        <v>47054</v>
      </c>
      <c r="I19039" t="s">
        <v>47111</v>
      </c>
      <c r="J19039" t="s">
        <v>47112</v>
      </c>
      <c r="K19039" t="s">
        <v>47113</v>
      </c>
      <c r="L19039">
        <v>37.049999999999997</v>
      </c>
      <c r="M19039">
        <v>96</v>
      </c>
      <c r="N19039">
        <v>0</v>
      </c>
      <c r="O19039">
        <v>96</v>
      </c>
      <c r="P19039">
        <v>0</v>
      </c>
    </row>
    <row r="19040" spans="1:16" x14ac:dyDescent="0.25">
      <c r="A19040" t="s">
        <v>41653</v>
      </c>
      <c r="B19040" t="s">
        <v>12018</v>
      </c>
      <c r="C19040" t="s">
        <v>12019</v>
      </c>
      <c r="D19040" t="str">
        <f>"1821"</f>
        <v>1821</v>
      </c>
      <c r="E19040" t="s">
        <v>590</v>
      </c>
      <c r="F19040" t="s">
        <v>2</v>
      </c>
      <c r="G19040" t="s">
        <v>47093</v>
      </c>
      <c r="H19040" t="s">
        <v>47054</v>
      </c>
      <c r="I19040" t="s">
        <v>47111</v>
      </c>
      <c r="J19040" t="s">
        <v>47112</v>
      </c>
      <c r="K19040" t="s">
        <v>47113</v>
      </c>
      <c r="L19040">
        <v>32.93</v>
      </c>
      <c r="M19040">
        <v>80</v>
      </c>
      <c r="N19040">
        <v>0</v>
      </c>
      <c r="O19040">
        <v>80</v>
      </c>
      <c r="P19040">
        <v>0</v>
      </c>
    </row>
    <row r="19041" spans="1:16" x14ac:dyDescent="0.25">
      <c r="A19041" t="s">
        <v>41654</v>
      </c>
      <c r="B19041" t="s">
        <v>12020</v>
      </c>
      <c r="C19041" t="s">
        <v>12021</v>
      </c>
      <c r="D19041" t="str">
        <f>"1875"</f>
        <v>1875</v>
      </c>
      <c r="E19041" t="s">
        <v>12022</v>
      </c>
      <c r="F19041" t="s">
        <v>687</v>
      </c>
      <c r="G19041" t="s">
        <v>47093</v>
      </c>
      <c r="H19041" t="s">
        <v>47054</v>
      </c>
      <c r="I19041" t="s">
        <v>47111</v>
      </c>
      <c r="J19041" t="s">
        <v>47112</v>
      </c>
      <c r="K19041" t="s">
        <v>47113</v>
      </c>
      <c r="L19041">
        <v>32.07</v>
      </c>
      <c r="M19041">
        <v>72</v>
      </c>
      <c r="N19041">
        <v>0</v>
      </c>
      <c r="O19041">
        <v>72</v>
      </c>
      <c r="P19041">
        <v>0</v>
      </c>
    </row>
    <row r="19042" spans="1:16" x14ac:dyDescent="0.25">
      <c r="A19042" t="s">
        <v>41655</v>
      </c>
      <c r="B19042" t="s">
        <v>12023</v>
      </c>
      <c r="C19042" t="s">
        <v>12024</v>
      </c>
      <c r="D19042" t="str">
        <f>"1885"</f>
        <v>1885</v>
      </c>
      <c r="E19042" t="s">
        <v>1934</v>
      </c>
      <c r="F19042" t="s">
        <v>687</v>
      </c>
      <c r="G19042" t="s">
        <v>47093</v>
      </c>
      <c r="H19042" t="s">
        <v>47054</v>
      </c>
      <c r="I19042" t="s">
        <v>47111</v>
      </c>
      <c r="J19042" t="s">
        <v>47112</v>
      </c>
      <c r="K19042" t="s">
        <v>47113</v>
      </c>
      <c r="L19042">
        <v>28.55</v>
      </c>
      <c r="M19042">
        <v>65</v>
      </c>
      <c r="N19042">
        <v>0</v>
      </c>
      <c r="O19042">
        <v>65</v>
      </c>
      <c r="P19042">
        <v>0</v>
      </c>
    </row>
    <row r="19043" spans="1:16" x14ac:dyDescent="0.25">
      <c r="A19043" t="s">
        <v>41656</v>
      </c>
      <c r="B19043" t="s">
        <v>12025</v>
      </c>
      <c r="C19043" t="s">
        <v>12026</v>
      </c>
      <c r="D19043" t="str">
        <f>"1001"</f>
        <v>1001</v>
      </c>
      <c r="E19043" t="s">
        <v>42</v>
      </c>
      <c r="F19043" t="s">
        <v>3546</v>
      </c>
      <c r="G19043" t="s">
        <v>47098</v>
      </c>
      <c r="H19043" t="s">
        <v>47054</v>
      </c>
      <c r="I19043" t="s">
        <v>47120</v>
      </c>
      <c r="J19043" t="s">
        <v>47121</v>
      </c>
      <c r="K19043" t="s">
        <v>47113</v>
      </c>
      <c r="L19043">
        <v>101.19</v>
      </c>
      <c r="M19043">
        <v>249</v>
      </c>
      <c r="N19043">
        <v>0</v>
      </c>
      <c r="O19043">
        <v>249</v>
      </c>
      <c r="P19043">
        <v>0</v>
      </c>
    </row>
    <row r="19044" spans="1:16" x14ac:dyDescent="0.25">
      <c r="A19044" t="s">
        <v>41657</v>
      </c>
      <c r="B19044" t="s">
        <v>12027</v>
      </c>
      <c r="C19044" t="s">
        <v>11949</v>
      </c>
      <c r="D19044" t="str">
        <f>"4792"</f>
        <v>4792</v>
      </c>
      <c r="E19044" t="s">
        <v>12028</v>
      </c>
      <c r="F19044" t="s">
        <v>2068</v>
      </c>
      <c r="G19044" t="s">
        <v>47101</v>
      </c>
      <c r="H19044" t="s">
        <v>47054</v>
      </c>
      <c r="I19044" t="s">
        <v>47120</v>
      </c>
      <c r="J19044" t="s">
        <v>47121</v>
      </c>
      <c r="K19044" t="s">
        <v>47113</v>
      </c>
      <c r="L19044">
        <v>20.55</v>
      </c>
      <c r="M19044">
        <v>38</v>
      </c>
      <c r="N19044">
        <v>0</v>
      </c>
      <c r="O19044">
        <v>38</v>
      </c>
      <c r="P19044">
        <v>0</v>
      </c>
    </row>
    <row r="19045" spans="1:16" x14ac:dyDescent="0.25">
      <c r="A19045" t="s">
        <v>41658</v>
      </c>
      <c r="B19045" t="s">
        <v>12029</v>
      </c>
      <c r="C19045" t="s">
        <v>12030</v>
      </c>
      <c r="D19045" t="str">
        <f>"4792"</f>
        <v>4792</v>
      </c>
      <c r="E19045" t="s">
        <v>12028</v>
      </c>
      <c r="F19045" t="s">
        <v>2068</v>
      </c>
      <c r="G19045" t="s">
        <v>47103</v>
      </c>
      <c r="H19045" t="s">
        <v>47054</v>
      </c>
      <c r="I19045" t="s">
        <v>47120</v>
      </c>
      <c r="J19045" t="s">
        <v>47121</v>
      </c>
      <c r="K19045" t="s">
        <v>47113</v>
      </c>
      <c r="L19045">
        <v>28.91</v>
      </c>
      <c r="M19045">
        <v>58</v>
      </c>
      <c r="N19045">
        <v>0</v>
      </c>
      <c r="O19045">
        <v>58</v>
      </c>
      <c r="P19045">
        <v>0</v>
      </c>
    </row>
    <row r="19046" spans="1:16" x14ac:dyDescent="0.25">
      <c r="A19046" t="s">
        <v>41659</v>
      </c>
      <c r="B19046" t="s">
        <v>12031</v>
      </c>
      <c r="C19046" t="s">
        <v>12032</v>
      </c>
      <c r="D19046" t="s">
        <v>607</v>
      </c>
      <c r="E19046" t="s">
        <v>608</v>
      </c>
      <c r="F19046" t="s">
        <v>1</v>
      </c>
      <c r="G19046" t="s">
        <v>47093</v>
      </c>
      <c r="H19046" t="s">
        <v>47054</v>
      </c>
      <c r="I19046" t="s">
        <v>47111</v>
      </c>
      <c r="J19046" t="s">
        <v>47112</v>
      </c>
      <c r="K19046" t="s">
        <v>47113</v>
      </c>
      <c r="L19046">
        <v>63</v>
      </c>
      <c r="M19046">
        <v>174</v>
      </c>
      <c r="N19046">
        <v>0</v>
      </c>
      <c r="O19046">
        <v>174</v>
      </c>
      <c r="P19046">
        <v>0</v>
      </c>
    </row>
    <row r="19047" spans="1:16" x14ac:dyDescent="0.25">
      <c r="A19047" t="s">
        <v>41660</v>
      </c>
      <c r="B19047" t="s">
        <v>12033</v>
      </c>
      <c r="C19047" t="s">
        <v>12034</v>
      </c>
      <c r="D19047" t="s">
        <v>611</v>
      </c>
      <c r="E19047" t="s">
        <v>612</v>
      </c>
      <c r="F19047" t="s">
        <v>1</v>
      </c>
      <c r="G19047" t="s">
        <v>47093</v>
      </c>
      <c r="H19047" t="s">
        <v>47054</v>
      </c>
      <c r="I19047" t="s">
        <v>47111</v>
      </c>
      <c r="J19047" t="s">
        <v>47112</v>
      </c>
      <c r="K19047" t="s">
        <v>47113</v>
      </c>
      <c r="L19047">
        <v>58.46</v>
      </c>
      <c r="M19047">
        <v>174</v>
      </c>
      <c r="N19047">
        <v>0</v>
      </c>
      <c r="O19047">
        <v>174</v>
      </c>
      <c r="P19047">
        <v>0</v>
      </c>
    </row>
    <row r="19048" spans="1:16" x14ac:dyDescent="0.25">
      <c r="A19048" t="s">
        <v>41661</v>
      </c>
      <c r="B19048" t="s">
        <v>12035</v>
      </c>
      <c r="C19048" t="s">
        <v>606</v>
      </c>
      <c r="D19048" t="s">
        <v>611</v>
      </c>
      <c r="E19048" t="s">
        <v>612</v>
      </c>
      <c r="F19048" t="s">
        <v>1</v>
      </c>
      <c r="G19048" t="s">
        <v>47093</v>
      </c>
      <c r="H19048" t="s">
        <v>47054</v>
      </c>
      <c r="I19048" t="s">
        <v>47111</v>
      </c>
      <c r="J19048" t="s">
        <v>47112</v>
      </c>
      <c r="K19048" t="s">
        <v>47113</v>
      </c>
      <c r="L19048">
        <v>58.37</v>
      </c>
      <c r="M19048">
        <v>174</v>
      </c>
      <c r="N19048">
        <v>0</v>
      </c>
      <c r="O19048">
        <v>174</v>
      </c>
      <c r="P19048">
        <v>0</v>
      </c>
    </row>
    <row r="19049" spans="1:16" x14ac:dyDescent="0.25">
      <c r="A19049" t="s">
        <v>41662</v>
      </c>
      <c r="B19049" t="s">
        <v>12035</v>
      </c>
      <c r="C19049" t="s">
        <v>606</v>
      </c>
      <c r="D19049" t="s">
        <v>607</v>
      </c>
      <c r="E19049" t="s">
        <v>608</v>
      </c>
      <c r="F19049" t="s">
        <v>1</v>
      </c>
      <c r="G19049" t="s">
        <v>47093</v>
      </c>
      <c r="H19049" t="s">
        <v>47054</v>
      </c>
      <c r="I19049" t="s">
        <v>47111</v>
      </c>
      <c r="J19049" t="s">
        <v>47112</v>
      </c>
      <c r="K19049" t="s">
        <v>47113</v>
      </c>
      <c r="L19049">
        <v>62.67</v>
      </c>
      <c r="M19049">
        <v>174</v>
      </c>
      <c r="N19049">
        <v>0</v>
      </c>
      <c r="O19049">
        <v>174</v>
      </c>
      <c r="P19049">
        <v>0</v>
      </c>
    </row>
    <row r="19050" spans="1:16" x14ac:dyDescent="0.25">
      <c r="A19050" t="s">
        <v>604</v>
      </c>
      <c r="B19050" t="s">
        <v>605</v>
      </c>
      <c r="C19050" t="s">
        <v>606</v>
      </c>
      <c r="D19050" t="s">
        <v>607</v>
      </c>
      <c r="E19050" t="s">
        <v>608</v>
      </c>
      <c r="F19050" t="s">
        <v>1</v>
      </c>
      <c r="G19050" t="s">
        <v>47093</v>
      </c>
      <c r="H19050" t="s">
        <v>47054</v>
      </c>
      <c r="I19050" t="s">
        <v>47111</v>
      </c>
      <c r="J19050" t="s">
        <v>47112</v>
      </c>
      <c r="K19050" t="s">
        <v>47113</v>
      </c>
      <c r="L19050">
        <v>62.58</v>
      </c>
      <c r="M19050">
        <v>174</v>
      </c>
      <c r="N19050">
        <v>0</v>
      </c>
      <c r="O19050">
        <v>174</v>
      </c>
      <c r="P19050">
        <v>0</v>
      </c>
    </row>
    <row r="19051" spans="1:16" x14ac:dyDescent="0.25">
      <c r="A19051" t="s">
        <v>609</v>
      </c>
      <c r="B19051" t="s">
        <v>610</v>
      </c>
      <c r="C19051" t="s">
        <v>606</v>
      </c>
      <c r="D19051" t="s">
        <v>611</v>
      </c>
      <c r="E19051" t="s">
        <v>612</v>
      </c>
      <c r="F19051" t="s">
        <v>1</v>
      </c>
      <c r="G19051" t="s">
        <v>47093</v>
      </c>
      <c r="H19051" t="s">
        <v>47054</v>
      </c>
      <c r="I19051" t="s">
        <v>47111</v>
      </c>
      <c r="J19051" t="s">
        <v>47112</v>
      </c>
      <c r="K19051" t="s">
        <v>47113</v>
      </c>
      <c r="L19051">
        <v>57.92</v>
      </c>
      <c r="M19051">
        <v>174</v>
      </c>
      <c r="N19051">
        <v>0</v>
      </c>
      <c r="O19051">
        <v>174</v>
      </c>
      <c r="P19051">
        <v>0</v>
      </c>
    </row>
    <row r="19052" spans="1:16" x14ac:dyDescent="0.25">
      <c r="A19052" t="s">
        <v>15128</v>
      </c>
      <c r="B19052" t="s">
        <v>12036</v>
      </c>
      <c r="C19052" t="s">
        <v>12037</v>
      </c>
      <c r="D19052" t="s">
        <v>12038</v>
      </c>
      <c r="E19052" t="s">
        <v>12039</v>
      </c>
      <c r="F19052" t="s">
        <v>2068</v>
      </c>
      <c r="G19052" t="s">
        <v>47093</v>
      </c>
      <c r="H19052" t="s">
        <v>47054</v>
      </c>
      <c r="I19052" t="s">
        <v>47111</v>
      </c>
      <c r="J19052" t="s">
        <v>47112</v>
      </c>
      <c r="K19052" t="s">
        <v>47113</v>
      </c>
      <c r="L19052">
        <v>60.07</v>
      </c>
      <c r="M19052">
        <v>139</v>
      </c>
      <c r="N19052">
        <v>0</v>
      </c>
      <c r="O19052">
        <v>139</v>
      </c>
      <c r="P19052">
        <v>0</v>
      </c>
    </row>
    <row r="19053" spans="1:16" x14ac:dyDescent="0.25">
      <c r="A19053" t="s">
        <v>41663</v>
      </c>
      <c r="B19053" t="s">
        <v>12040</v>
      </c>
      <c r="C19053" t="s">
        <v>12041</v>
      </c>
      <c r="D19053" t="s">
        <v>11686</v>
      </c>
      <c r="E19053" t="s">
        <v>11687</v>
      </c>
      <c r="F19053" t="s">
        <v>2068</v>
      </c>
      <c r="G19053" t="s">
        <v>47093</v>
      </c>
      <c r="H19053" t="s">
        <v>47054</v>
      </c>
      <c r="I19053" t="s">
        <v>47111</v>
      </c>
      <c r="J19053" t="s">
        <v>47112</v>
      </c>
      <c r="K19053" t="s">
        <v>47113</v>
      </c>
      <c r="L19053">
        <v>60.41</v>
      </c>
      <c r="M19053">
        <v>168</v>
      </c>
      <c r="N19053">
        <v>0</v>
      </c>
      <c r="O19053">
        <v>168</v>
      </c>
      <c r="P19053">
        <v>0</v>
      </c>
    </row>
    <row r="19054" spans="1:16" x14ac:dyDescent="0.25">
      <c r="A19054" t="s">
        <v>41664</v>
      </c>
      <c r="B19054" t="s">
        <v>12042</v>
      </c>
      <c r="C19054" t="s">
        <v>12043</v>
      </c>
      <c r="D19054" t="str">
        <f>"1001"</f>
        <v>1001</v>
      </c>
      <c r="E19054" t="s">
        <v>42</v>
      </c>
      <c r="F19054" t="s">
        <v>3546</v>
      </c>
      <c r="G19054" t="s">
        <v>47098</v>
      </c>
      <c r="H19054" t="s">
        <v>47054</v>
      </c>
      <c r="I19054" t="s">
        <v>47118</v>
      </c>
      <c r="J19054" t="s">
        <v>47119</v>
      </c>
      <c r="K19054" t="s">
        <v>47113</v>
      </c>
      <c r="L19054">
        <v>136.19</v>
      </c>
      <c r="M19054">
        <v>335</v>
      </c>
      <c r="N19054">
        <v>0</v>
      </c>
      <c r="O19054">
        <v>335</v>
      </c>
      <c r="P19054">
        <v>0</v>
      </c>
    </row>
    <row r="19055" spans="1:16" x14ac:dyDescent="0.25">
      <c r="A19055" t="s">
        <v>41665</v>
      </c>
      <c r="B19055" t="s">
        <v>12044</v>
      </c>
      <c r="C19055" t="s">
        <v>12045</v>
      </c>
      <c r="D19055" t="str">
        <f>"1001"</f>
        <v>1001</v>
      </c>
      <c r="E19055" t="s">
        <v>12046</v>
      </c>
      <c r="F19055" t="s">
        <v>1</v>
      </c>
      <c r="G19055" t="s">
        <v>47098</v>
      </c>
      <c r="H19055" t="s">
        <v>47054</v>
      </c>
      <c r="I19055" t="s">
        <v>47118</v>
      </c>
      <c r="J19055" t="s">
        <v>47119</v>
      </c>
      <c r="K19055" t="s">
        <v>47113</v>
      </c>
      <c r="L19055">
        <v>32.950000000000003</v>
      </c>
      <c r="M19055">
        <v>81</v>
      </c>
      <c r="N19055">
        <v>0</v>
      </c>
      <c r="O19055">
        <v>81</v>
      </c>
      <c r="P19055">
        <v>0</v>
      </c>
    </row>
    <row r="19056" spans="1:16" x14ac:dyDescent="0.25">
      <c r="A19056" t="s">
        <v>41666</v>
      </c>
      <c r="B19056" t="s">
        <v>12047</v>
      </c>
      <c r="C19056" t="s">
        <v>12048</v>
      </c>
      <c r="D19056" t="str">
        <f>"1490"</f>
        <v>1490</v>
      </c>
      <c r="E19056" t="s">
        <v>12049</v>
      </c>
      <c r="F19056" t="s">
        <v>3546</v>
      </c>
      <c r="G19056" t="s">
        <v>47091</v>
      </c>
      <c r="H19056" t="s">
        <v>47054</v>
      </c>
      <c r="I19056" t="s">
        <v>47111</v>
      </c>
      <c r="J19056" t="s">
        <v>47112</v>
      </c>
      <c r="K19056" t="s">
        <v>47113</v>
      </c>
      <c r="L19056">
        <v>19.38</v>
      </c>
      <c r="M19056">
        <v>48</v>
      </c>
      <c r="N19056">
        <v>0</v>
      </c>
      <c r="O19056">
        <v>48</v>
      </c>
      <c r="P19056">
        <v>0</v>
      </c>
    </row>
    <row r="19057" spans="1:16" x14ac:dyDescent="0.25">
      <c r="A19057" t="s">
        <v>41667</v>
      </c>
      <c r="B19057" t="s">
        <v>12047</v>
      </c>
      <c r="C19057" t="s">
        <v>12048</v>
      </c>
      <c r="D19057" t="str">
        <f>"2387"</f>
        <v>2387</v>
      </c>
      <c r="E19057" t="s">
        <v>12050</v>
      </c>
      <c r="F19057" t="s">
        <v>3546</v>
      </c>
      <c r="G19057" t="s">
        <v>47091</v>
      </c>
      <c r="H19057" t="s">
        <v>47054</v>
      </c>
      <c r="I19057" t="s">
        <v>47111</v>
      </c>
      <c r="J19057" t="s">
        <v>47112</v>
      </c>
      <c r="K19057" t="s">
        <v>47113</v>
      </c>
      <c r="L19057">
        <v>19.38</v>
      </c>
      <c r="M19057">
        <v>48</v>
      </c>
      <c r="N19057">
        <v>0</v>
      </c>
      <c r="O19057">
        <v>48</v>
      </c>
      <c r="P19057">
        <v>0</v>
      </c>
    </row>
    <row r="19058" spans="1:16" x14ac:dyDescent="0.25">
      <c r="A19058" t="s">
        <v>41668</v>
      </c>
      <c r="B19058" t="s">
        <v>12051</v>
      </c>
      <c r="C19058" t="s">
        <v>12052</v>
      </c>
      <c r="D19058" t="str">
        <f>"1744"</f>
        <v>1744</v>
      </c>
      <c r="E19058" t="s">
        <v>5831</v>
      </c>
      <c r="F19058" t="s">
        <v>3546</v>
      </c>
      <c r="G19058" t="s">
        <v>47094</v>
      </c>
      <c r="H19058" t="s">
        <v>47054</v>
      </c>
      <c r="I19058" t="s">
        <v>47118</v>
      </c>
      <c r="J19058" t="s">
        <v>47119</v>
      </c>
      <c r="K19058" t="s">
        <v>47113</v>
      </c>
      <c r="L19058">
        <v>14.44</v>
      </c>
      <c r="M19058">
        <v>36</v>
      </c>
      <c r="N19058">
        <v>0</v>
      </c>
      <c r="O19058">
        <v>36</v>
      </c>
      <c r="P19058">
        <v>0</v>
      </c>
    </row>
    <row r="19059" spans="1:16" x14ac:dyDescent="0.25">
      <c r="A19059" t="s">
        <v>41669</v>
      </c>
      <c r="B19059" t="s">
        <v>12053</v>
      </c>
      <c r="C19059" t="s">
        <v>12054</v>
      </c>
      <c r="D19059" t="str">
        <f>"1744"</f>
        <v>1744</v>
      </c>
      <c r="E19059" t="s">
        <v>5831</v>
      </c>
      <c r="F19059" t="s">
        <v>3546</v>
      </c>
      <c r="G19059" t="s">
        <v>47091</v>
      </c>
      <c r="H19059" t="s">
        <v>47054</v>
      </c>
      <c r="I19059" t="s">
        <v>47111</v>
      </c>
      <c r="J19059" t="s">
        <v>47112</v>
      </c>
      <c r="K19059" t="s">
        <v>47113</v>
      </c>
      <c r="L19059">
        <v>17.12</v>
      </c>
      <c r="M19059">
        <v>42</v>
      </c>
      <c r="N19059">
        <v>0</v>
      </c>
      <c r="O19059">
        <v>42</v>
      </c>
      <c r="P19059">
        <v>0</v>
      </c>
    </row>
    <row r="19060" spans="1:16" x14ac:dyDescent="0.25">
      <c r="A19060" t="s">
        <v>41670</v>
      </c>
      <c r="B19060" t="s">
        <v>12055</v>
      </c>
      <c r="C19060" t="s">
        <v>18460</v>
      </c>
      <c r="D19060" t="str">
        <f>"1001"</f>
        <v>1001</v>
      </c>
      <c r="E19060" t="s">
        <v>7601</v>
      </c>
      <c r="F19060" t="s">
        <v>3558</v>
      </c>
      <c r="G19060" t="s">
        <v>47091</v>
      </c>
      <c r="H19060" t="s">
        <v>47054</v>
      </c>
      <c r="I19060" t="s">
        <v>47118</v>
      </c>
      <c r="J19060" t="s">
        <v>47119</v>
      </c>
      <c r="K19060" t="s">
        <v>47113</v>
      </c>
      <c r="L19060">
        <v>14.56</v>
      </c>
      <c r="M19060">
        <v>26</v>
      </c>
      <c r="N19060">
        <v>0</v>
      </c>
      <c r="O19060">
        <v>26</v>
      </c>
      <c r="P19060">
        <v>0</v>
      </c>
    </row>
    <row r="19061" spans="1:16" x14ac:dyDescent="0.25">
      <c r="A19061" t="s">
        <v>41671</v>
      </c>
      <c r="B19061" t="s">
        <v>12055</v>
      </c>
      <c r="C19061" t="s">
        <v>18460</v>
      </c>
      <c r="D19061" t="str">
        <f>"1700"</f>
        <v>1700</v>
      </c>
      <c r="E19061" t="s">
        <v>60</v>
      </c>
      <c r="F19061" t="s">
        <v>3558</v>
      </c>
      <c r="G19061" t="s">
        <v>47091</v>
      </c>
      <c r="H19061" t="s">
        <v>47054</v>
      </c>
      <c r="I19061" t="s">
        <v>47118</v>
      </c>
      <c r="J19061" t="s">
        <v>47119</v>
      </c>
      <c r="K19061" t="s">
        <v>47113</v>
      </c>
      <c r="L19061">
        <v>14.56</v>
      </c>
      <c r="M19061">
        <v>26</v>
      </c>
      <c r="N19061">
        <v>0</v>
      </c>
      <c r="O19061">
        <v>26</v>
      </c>
      <c r="P19061">
        <v>0</v>
      </c>
    </row>
    <row r="19062" spans="1:16" x14ac:dyDescent="0.25">
      <c r="A19062" t="s">
        <v>41672</v>
      </c>
      <c r="B19062" t="s">
        <v>12056</v>
      </c>
      <c r="C19062" t="s">
        <v>12057</v>
      </c>
      <c r="D19062" t="str">
        <f>"1746"</f>
        <v>1746</v>
      </c>
      <c r="E19062" t="s">
        <v>807</v>
      </c>
      <c r="F19062" t="s">
        <v>3670</v>
      </c>
      <c r="G19062" t="s">
        <v>47091</v>
      </c>
      <c r="H19062" t="s">
        <v>47054</v>
      </c>
      <c r="I19062" t="s">
        <v>47111</v>
      </c>
      <c r="J19062" t="s">
        <v>47112</v>
      </c>
      <c r="K19062" t="s">
        <v>47113</v>
      </c>
      <c r="L19062">
        <v>14.05</v>
      </c>
      <c r="M19062">
        <v>26</v>
      </c>
      <c r="N19062">
        <v>0</v>
      </c>
      <c r="O19062">
        <v>26</v>
      </c>
      <c r="P19062">
        <v>0</v>
      </c>
    </row>
    <row r="19063" spans="1:16" x14ac:dyDescent="0.25">
      <c r="A19063" t="s">
        <v>41673</v>
      </c>
      <c r="B19063" t="s">
        <v>12058</v>
      </c>
      <c r="C19063" t="s">
        <v>11924</v>
      </c>
      <c r="D19063" t="s">
        <v>11925</v>
      </c>
      <c r="E19063" t="s">
        <v>11926</v>
      </c>
      <c r="F19063" t="s">
        <v>2068</v>
      </c>
      <c r="G19063" t="s">
        <v>47093</v>
      </c>
      <c r="H19063" t="s">
        <v>47054</v>
      </c>
      <c r="I19063" t="s">
        <v>47111</v>
      </c>
      <c r="J19063" t="s">
        <v>47112</v>
      </c>
      <c r="K19063" t="s">
        <v>47113</v>
      </c>
      <c r="L19063">
        <v>46.33</v>
      </c>
      <c r="M19063">
        <v>129</v>
      </c>
      <c r="N19063">
        <v>0</v>
      </c>
      <c r="O19063">
        <v>129</v>
      </c>
      <c r="P19063">
        <v>0</v>
      </c>
    </row>
    <row r="19064" spans="1:16" x14ac:dyDescent="0.25">
      <c r="A19064" t="s">
        <v>41674</v>
      </c>
      <c r="B19064" t="s">
        <v>12059</v>
      </c>
      <c r="C19064" t="s">
        <v>11291</v>
      </c>
      <c r="D19064" t="s">
        <v>12060</v>
      </c>
      <c r="E19064" t="s">
        <v>12061</v>
      </c>
      <c r="F19064" t="s">
        <v>2068</v>
      </c>
      <c r="G19064" t="s">
        <v>47101</v>
      </c>
      <c r="H19064" t="s">
        <v>47054</v>
      </c>
      <c r="I19064" t="s">
        <v>47120</v>
      </c>
      <c r="J19064" t="s">
        <v>47121</v>
      </c>
      <c r="K19064" t="s">
        <v>47113</v>
      </c>
      <c r="L19064">
        <v>21.88</v>
      </c>
      <c r="M19064">
        <v>50</v>
      </c>
      <c r="N19064">
        <v>0</v>
      </c>
      <c r="O19064">
        <v>50</v>
      </c>
      <c r="P19064">
        <v>0</v>
      </c>
    </row>
    <row r="19065" spans="1:16" x14ac:dyDescent="0.25">
      <c r="A19065" t="s">
        <v>47045</v>
      </c>
      <c r="B19065" t="s">
        <v>46925</v>
      </c>
      <c r="C19065" t="s">
        <v>46926</v>
      </c>
      <c r="D19065" t="str">
        <f>"1001"</f>
        <v>1001</v>
      </c>
      <c r="E19065" t="s">
        <v>42</v>
      </c>
      <c r="F19065" t="s">
        <v>19552</v>
      </c>
      <c r="G19065" t="s">
        <v>47091</v>
      </c>
      <c r="H19065" t="s">
        <v>47054</v>
      </c>
      <c r="I19065" t="s">
        <v>47154</v>
      </c>
      <c r="J19065" t="s">
        <v>47155</v>
      </c>
      <c r="K19065" t="s">
        <v>47113</v>
      </c>
      <c r="L19065">
        <v>8.4600000000000009</v>
      </c>
      <c r="M19065">
        <v>22</v>
      </c>
      <c r="N19065">
        <v>59</v>
      </c>
      <c r="O19065">
        <v>22</v>
      </c>
      <c r="P19065">
        <v>59</v>
      </c>
    </row>
    <row r="19066" spans="1:16" x14ac:dyDescent="0.25">
      <c r="A19066" t="s">
        <v>47046</v>
      </c>
      <c r="B19066" t="s">
        <v>46925</v>
      </c>
      <c r="C19066" t="s">
        <v>46926</v>
      </c>
      <c r="D19066" t="str">
        <f>"1700"</f>
        <v>1700</v>
      </c>
      <c r="E19066" t="s">
        <v>60</v>
      </c>
      <c r="F19066" t="s">
        <v>19552</v>
      </c>
      <c r="G19066" t="s">
        <v>47091</v>
      </c>
      <c r="H19066" t="s">
        <v>47054</v>
      </c>
      <c r="I19066" t="s">
        <v>47154</v>
      </c>
      <c r="J19066" t="s">
        <v>47155</v>
      </c>
      <c r="K19066" t="s">
        <v>47113</v>
      </c>
      <c r="L19066">
        <v>8.4600000000000009</v>
      </c>
      <c r="M19066">
        <v>22</v>
      </c>
      <c r="N19066">
        <v>59</v>
      </c>
      <c r="O19066">
        <v>22</v>
      </c>
      <c r="P19066">
        <v>59</v>
      </c>
    </row>
    <row r="19067" spans="1:16" x14ac:dyDescent="0.25">
      <c r="A19067" t="s">
        <v>47047</v>
      </c>
      <c r="B19067" t="s">
        <v>46925</v>
      </c>
      <c r="C19067" t="s">
        <v>46926</v>
      </c>
      <c r="D19067" t="str">
        <f>"6000"</f>
        <v>6000</v>
      </c>
      <c r="E19067" t="s">
        <v>87</v>
      </c>
      <c r="F19067" t="s">
        <v>19552</v>
      </c>
      <c r="G19067" t="s">
        <v>47091</v>
      </c>
      <c r="H19067" t="s">
        <v>47054</v>
      </c>
      <c r="I19067" t="s">
        <v>47154</v>
      </c>
      <c r="J19067" t="s">
        <v>47155</v>
      </c>
      <c r="K19067" t="s">
        <v>47113</v>
      </c>
      <c r="L19067">
        <v>8.4600000000000009</v>
      </c>
      <c r="M19067">
        <v>22</v>
      </c>
      <c r="N19067">
        <v>59</v>
      </c>
      <c r="O19067">
        <v>22</v>
      </c>
      <c r="P19067">
        <v>59</v>
      </c>
    </row>
    <row r="19068" spans="1:16" x14ac:dyDescent="0.25">
      <c r="A19068" t="s">
        <v>41675</v>
      </c>
      <c r="B19068" t="s">
        <v>21620</v>
      </c>
      <c r="C19068" t="s">
        <v>21621</v>
      </c>
      <c r="D19068" t="str">
        <f>"1001"</f>
        <v>1001</v>
      </c>
      <c r="E19068" t="s">
        <v>42</v>
      </c>
      <c r="F19068" t="s">
        <v>16601</v>
      </c>
      <c r="G19068" t="s">
        <v>47091</v>
      </c>
      <c r="H19068" t="s">
        <v>47054</v>
      </c>
      <c r="I19068" t="s">
        <v>47964</v>
      </c>
      <c r="J19068" t="s">
        <v>47965</v>
      </c>
      <c r="K19068" t="s">
        <v>47113</v>
      </c>
      <c r="L19068">
        <v>8.02</v>
      </c>
      <c r="M19068">
        <v>16</v>
      </c>
      <c r="N19068">
        <v>0</v>
      </c>
      <c r="O19068">
        <v>16</v>
      </c>
      <c r="P19068">
        <v>0</v>
      </c>
    </row>
    <row r="19069" spans="1:16" x14ac:dyDescent="0.25">
      <c r="A19069" t="s">
        <v>41676</v>
      </c>
      <c r="B19069" t="s">
        <v>21620</v>
      </c>
      <c r="C19069" t="s">
        <v>21621</v>
      </c>
      <c r="D19069" t="str">
        <f>"1700"</f>
        <v>1700</v>
      </c>
      <c r="E19069" t="s">
        <v>60</v>
      </c>
      <c r="F19069" t="s">
        <v>16601</v>
      </c>
      <c r="G19069" t="s">
        <v>47091</v>
      </c>
      <c r="H19069" t="s">
        <v>47054</v>
      </c>
      <c r="I19069" t="s">
        <v>47964</v>
      </c>
      <c r="J19069" t="s">
        <v>47965</v>
      </c>
      <c r="K19069" t="s">
        <v>47113</v>
      </c>
      <c r="L19069">
        <v>8.02</v>
      </c>
      <c r="M19069">
        <v>16</v>
      </c>
      <c r="N19069">
        <v>0</v>
      </c>
      <c r="O19069">
        <v>16</v>
      </c>
      <c r="P19069">
        <v>0</v>
      </c>
    </row>
    <row r="19070" spans="1:16" x14ac:dyDescent="0.25">
      <c r="A19070" t="s">
        <v>41677</v>
      </c>
      <c r="B19070" t="s">
        <v>21622</v>
      </c>
      <c r="C19070" t="s">
        <v>21623</v>
      </c>
      <c r="D19070" t="str">
        <f>"1001"</f>
        <v>1001</v>
      </c>
      <c r="E19070" t="s">
        <v>42</v>
      </c>
      <c r="F19070" t="s">
        <v>16762</v>
      </c>
      <c r="G19070" t="s">
        <v>47091</v>
      </c>
      <c r="H19070" t="s">
        <v>47054</v>
      </c>
      <c r="I19070" t="s">
        <v>47120</v>
      </c>
      <c r="J19070" t="s">
        <v>47121</v>
      </c>
      <c r="K19070" t="s">
        <v>47113</v>
      </c>
      <c r="L19070">
        <v>6.24</v>
      </c>
      <c r="M19070">
        <v>43</v>
      </c>
      <c r="N19070">
        <v>0</v>
      </c>
      <c r="O19070">
        <v>43</v>
      </c>
      <c r="P19070">
        <v>0</v>
      </c>
    </row>
    <row r="19071" spans="1:16" x14ac:dyDescent="0.25">
      <c r="A19071" t="s">
        <v>41678</v>
      </c>
      <c r="B19071" t="s">
        <v>21624</v>
      </c>
      <c r="C19071" t="s">
        <v>21625</v>
      </c>
      <c r="D19071" t="str">
        <f>"1700"</f>
        <v>1700</v>
      </c>
      <c r="E19071" t="s">
        <v>60</v>
      </c>
      <c r="F19071" t="s">
        <v>16746</v>
      </c>
      <c r="G19071" t="s">
        <v>47091</v>
      </c>
      <c r="H19071" t="s">
        <v>47054</v>
      </c>
      <c r="I19071" t="s">
        <v>47120</v>
      </c>
      <c r="J19071" t="s">
        <v>47121</v>
      </c>
      <c r="K19071" t="s">
        <v>47113</v>
      </c>
      <c r="L19071">
        <v>5.75</v>
      </c>
      <c r="M19071">
        <v>43</v>
      </c>
      <c r="N19071">
        <v>0</v>
      </c>
      <c r="O19071">
        <v>43</v>
      </c>
      <c r="P19071">
        <v>0</v>
      </c>
    </row>
    <row r="19072" spans="1:16" x14ac:dyDescent="0.25">
      <c r="A19072" t="s">
        <v>41679</v>
      </c>
      <c r="B19072" t="s">
        <v>21626</v>
      </c>
      <c r="C19072" t="s">
        <v>18462</v>
      </c>
      <c r="D19072" t="str">
        <f>"1001"</f>
        <v>1001</v>
      </c>
      <c r="E19072" t="s">
        <v>42</v>
      </c>
      <c r="F19072" t="s">
        <v>31484</v>
      </c>
      <c r="G19072" t="s">
        <v>47091</v>
      </c>
      <c r="H19072" t="s">
        <v>47054</v>
      </c>
      <c r="I19072" t="s">
        <v>47569</v>
      </c>
      <c r="J19072" t="s">
        <v>47570</v>
      </c>
      <c r="K19072" t="s">
        <v>47113</v>
      </c>
      <c r="L19072">
        <v>10.02</v>
      </c>
      <c r="M19072">
        <v>26</v>
      </c>
      <c r="N19072">
        <v>0</v>
      </c>
      <c r="O19072">
        <v>26</v>
      </c>
      <c r="P19072">
        <v>0</v>
      </c>
    </row>
    <row r="19073" spans="1:16" x14ac:dyDescent="0.25">
      <c r="A19073" t="s">
        <v>41680</v>
      </c>
      <c r="B19073" t="s">
        <v>21626</v>
      </c>
      <c r="C19073" t="s">
        <v>18462</v>
      </c>
      <c r="D19073" t="str">
        <f>"1501"</f>
        <v>1501</v>
      </c>
      <c r="E19073" t="s">
        <v>46</v>
      </c>
      <c r="F19073" t="s">
        <v>31484</v>
      </c>
      <c r="G19073" t="s">
        <v>47091</v>
      </c>
      <c r="H19073" t="s">
        <v>47054</v>
      </c>
      <c r="I19073" t="s">
        <v>47569</v>
      </c>
      <c r="J19073" t="s">
        <v>47570</v>
      </c>
      <c r="K19073" t="s">
        <v>47113</v>
      </c>
      <c r="L19073">
        <v>8.44</v>
      </c>
      <c r="M19073">
        <v>22</v>
      </c>
      <c r="N19073">
        <v>0</v>
      </c>
      <c r="O19073">
        <v>22</v>
      </c>
      <c r="P19073">
        <v>0</v>
      </c>
    </row>
    <row r="19074" spans="1:16" x14ac:dyDescent="0.25">
      <c r="A19074" t="s">
        <v>41681</v>
      </c>
      <c r="B19074" t="s">
        <v>21626</v>
      </c>
      <c r="C19074" t="s">
        <v>18462</v>
      </c>
      <c r="D19074" t="str">
        <f>"1700"</f>
        <v>1700</v>
      </c>
      <c r="E19074" t="s">
        <v>60</v>
      </c>
      <c r="F19074" t="s">
        <v>31484</v>
      </c>
      <c r="G19074" t="s">
        <v>47091</v>
      </c>
      <c r="H19074" t="s">
        <v>47054</v>
      </c>
      <c r="I19074" t="s">
        <v>47569</v>
      </c>
      <c r="J19074" t="s">
        <v>47570</v>
      </c>
      <c r="K19074" t="s">
        <v>47113</v>
      </c>
      <c r="L19074">
        <v>8.44</v>
      </c>
      <c r="M19074">
        <v>26</v>
      </c>
      <c r="N19074">
        <v>0</v>
      </c>
      <c r="O19074">
        <v>26</v>
      </c>
      <c r="P19074">
        <v>0</v>
      </c>
    </row>
    <row r="19075" spans="1:16" x14ac:dyDescent="0.25">
      <c r="A19075" t="s">
        <v>41682</v>
      </c>
      <c r="B19075" t="s">
        <v>21626</v>
      </c>
      <c r="C19075" t="s">
        <v>18462</v>
      </c>
      <c r="D19075" t="str">
        <f>"3071"</f>
        <v>3071</v>
      </c>
      <c r="E19075" t="s">
        <v>18711</v>
      </c>
      <c r="F19075" t="s">
        <v>31484</v>
      </c>
      <c r="G19075" t="s">
        <v>47091</v>
      </c>
      <c r="H19075" t="s">
        <v>47054</v>
      </c>
      <c r="I19075" t="s">
        <v>47569</v>
      </c>
      <c r="J19075" t="s">
        <v>47570</v>
      </c>
      <c r="K19075" t="s">
        <v>47113</v>
      </c>
      <c r="L19075">
        <v>8.44</v>
      </c>
      <c r="M19075">
        <v>26</v>
      </c>
      <c r="N19075">
        <v>0</v>
      </c>
      <c r="O19075">
        <v>26</v>
      </c>
      <c r="P19075">
        <v>0</v>
      </c>
    </row>
    <row r="19076" spans="1:16" x14ac:dyDescent="0.25">
      <c r="A19076" t="s">
        <v>41683</v>
      </c>
      <c r="B19076" t="s">
        <v>21626</v>
      </c>
      <c r="C19076" t="s">
        <v>18462</v>
      </c>
      <c r="D19076" t="str">
        <f>"3190"</f>
        <v>3190</v>
      </c>
      <c r="E19076" t="s">
        <v>1748</v>
      </c>
      <c r="F19076" t="s">
        <v>21627</v>
      </c>
      <c r="G19076" t="s">
        <v>47091</v>
      </c>
      <c r="H19076" t="s">
        <v>47054</v>
      </c>
      <c r="I19076" t="s">
        <v>47569</v>
      </c>
      <c r="J19076" t="s">
        <v>47570</v>
      </c>
      <c r="K19076" t="s">
        <v>47113</v>
      </c>
      <c r="L19076">
        <v>8.44</v>
      </c>
      <c r="M19076">
        <v>26</v>
      </c>
      <c r="N19076">
        <v>0</v>
      </c>
      <c r="O19076">
        <v>26</v>
      </c>
      <c r="P19076">
        <v>0</v>
      </c>
    </row>
    <row r="19077" spans="1:16" x14ac:dyDescent="0.25">
      <c r="A19077" t="s">
        <v>41684</v>
      </c>
      <c r="B19077" t="s">
        <v>21626</v>
      </c>
      <c r="C19077" t="s">
        <v>18462</v>
      </c>
      <c r="D19077" t="str">
        <f>"6000"</f>
        <v>6000</v>
      </c>
      <c r="E19077" t="s">
        <v>18464</v>
      </c>
      <c r="F19077" t="s">
        <v>31484</v>
      </c>
      <c r="G19077" t="s">
        <v>47091</v>
      </c>
      <c r="H19077" t="s">
        <v>47054</v>
      </c>
      <c r="I19077" t="s">
        <v>47569</v>
      </c>
      <c r="J19077" t="s">
        <v>47570</v>
      </c>
      <c r="K19077" t="s">
        <v>47113</v>
      </c>
      <c r="L19077">
        <v>8.44</v>
      </c>
      <c r="M19077">
        <v>26</v>
      </c>
      <c r="N19077">
        <v>0</v>
      </c>
      <c r="O19077">
        <v>26</v>
      </c>
      <c r="P19077">
        <v>0</v>
      </c>
    </row>
    <row r="19078" spans="1:16" x14ac:dyDescent="0.25">
      <c r="A19078" t="s">
        <v>41685</v>
      </c>
      <c r="B19078" t="s">
        <v>21626</v>
      </c>
      <c r="C19078" t="s">
        <v>18462</v>
      </c>
      <c r="D19078" t="str">
        <f>"6012"</f>
        <v>6012</v>
      </c>
      <c r="E19078" t="s">
        <v>21628</v>
      </c>
      <c r="F19078" t="s">
        <v>21629</v>
      </c>
      <c r="G19078" t="s">
        <v>47091</v>
      </c>
      <c r="H19078" t="s">
        <v>47054</v>
      </c>
      <c r="I19078" t="s">
        <v>47569</v>
      </c>
      <c r="J19078" t="s">
        <v>47570</v>
      </c>
      <c r="K19078" t="s">
        <v>47113</v>
      </c>
      <c r="L19078">
        <v>8.44</v>
      </c>
      <c r="M19078">
        <v>26</v>
      </c>
      <c r="N19078">
        <v>0</v>
      </c>
      <c r="O19078">
        <v>26</v>
      </c>
      <c r="P19078">
        <v>0</v>
      </c>
    </row>
    <row r="19079" spans="1:16" x14ac:dyDescent="0.25">
      <c r="A19079" t="s">
        <v>41686</v>
      </c>
      <c r="B19079" t="s">
        <v>21626</v>
      </c>
      <c r="C19079" t="s">
        <v>18462</v>
      </c>
      <c r="D19079" t="str">
        <f>"6149"</f>
        <v>6149</v>
      </c>
      <c r="E19079" t="s">
        <v>21630</v>
      </c>
      <c r="F19079" t="s">
        <v>31484</v>
      </c>
      <c r="G19079" t="s">
        <v>47091</v>
      </c>
      <c r="H19079" t="s">
        <v>47054</v>
      </c>
      <c r="I19079" t="s">
        <v>47569</v>
      </c>
      <c r="J19079" t="s">
        <v>47570</v>
      </c>
      <c r="K19079" t="s">
        <v>47113</v>
      </c>
      <c r="L19079">
        <v>8.44</v>
      </c>
      <c r="M19079">
        <v>26</v>
      </c>
      <c r="N19079">
        <v>0</v>
      </c>
      <c r="O19079">
        <v>26</v>
      </c>
      <c r="P19079">
        <v>0</v>
      </c>
    </row>
    <row r="19080" spans="1:16" x14ac:dyDescent="0.25">
      <c r="A19080" t="s">
        <v>41687</v>
      </c>
      <c r="B19080" t="s">
        <v>21626</v>
      </c>
      <c r="C19080" t="s">
        <v>18462</v>
      </c>
      <c r="D19080" t="str">
        <f>"6387"</f>
        <v>6387</v>
      </c>
      <c r="E19080" t="s">
        <v>6010</v>
      </c>
      <c r="F19080" t="s">
        <v>20496</v>
      </c>
      <c r="G19080" t="s">
        <v>47091</v>
      </c>
      <c r="H19080" t="s">
        <v>47054</v>
      </c>
      <c r="I19080" t="s">
        <v>47569</v>
      </c>
      <c r="J19080" t="s">
        <v>47570</v>
      </c>
      <c r="K19080" t="s">
        <v>47113</v>
      </c>
      <c r="L19080">
        <v>8.44</v>
      </c>
      <c r="M19080">
        <v>26</v>
      </c>
      <c r="N19080">
        <v>0</v>
      </c>
      <c r="O19080">
        <v>26</v>
      </c>
      <c r="P19080">
        <v>0</v>
      </c>
    </row>
    <row r="19081" spans="1:16" x14ac:dyDescent="0.25">
      <c r="A19081" t="s">
        <v>41688</v>
      </c>
      <c r="B19081" t="s">
        <v>21626</v>
      </c>
      <c r="C19081" t="s">
        <v>18462</v>
      </c>
      <c r="D19081" t="str">
        <f>"6404"</f>
        <v>6404</v>
      </c>
      <c r="E19081" t="s">
        <v>21631</v>
      </c>
      <c r="F19081" t="s">
        <v>21627</v>
      </c>
      <c r="G19081" t="s">
        <v>47091</v>
      </c>
      <c r="H19081" t="s">
        <v>47054</v>
      </c>
      <c r="I19081" t="s">
        <v>47569</v>
      </c>
      <c r="J19081" t="s">
        <v>47570</v>
      </c>
      <c r="K19081" t="s">
        <v>47113</v>
      </c>
      <c r="L19081">
        <v>8.44</v>
      </c>
      <c r="M19081">
        <v>26</v>
      </c>
      <c r="N19081">
        <v>0</v>
      </c>
      <c r="O19081">
        <v>26</v>
      </c>
      <c r="P19081">
        <v>0</v>
      </c>
    </row>
    <row r="19082" spans="1:16" x14ac:dyDescent="0.25">
      <c r="A19082" t="s">
        <v>41689</v>
      </c>
      <c r="B19082" t="s">
        <v>21626</v>
      </c>
      <c r="C19082" t="s">
        <v>18462</v>
      </c>
      <c r="D19082" t="str">
        <f>"6807"</f>
        <v>6807</v>
      </c>
      <c r="E19082" t="s">
        <v>21298</v>
      </c>
      <c r="F19082" t="s">
        <v>31484</v>
      </c>
      <c r="G19082" t="s">
        <v>47091</v>
      </c>
      <c r="H19082" t="s">
        <v>47054</v>
      </c>
      <c r="I19082" t="s">
        <v>47569</v>
      </c>
      <c r="J19082" t="s">
        <v>47570</v>
      </c>
      <c r="K19082" t="s">
        <v>47113</v>
      </c>
      <c r="L19082">
        <v>8.44</v>
      </c>
      <c r="M19082">
        <v>26</v>
      </c>
      <c r="N19082">
        <v>0</v>
      </c>
      <c r="O19082">
        <v>26</v>
      </c>
      <c r="P19082">
        <v>0</v>
      </c>
    </row>
    <row r="19083" spans="1:16" x14ac:dyDescent="0.25">
      <c r="A19083" t="s">
        <v>41690</v>
      </c>
      <c r="B19083" t="s">
        <v>41691</v>
      </c>
      <c r="C19083" t="s">
        <v>18462</v>
      </c>
      <c r="D19083" t="str">
        <f>"6387"</f>
        <v>6387</v>
      </c>
      <c r="E19083" t="s">
        <v>6010</v>
      </c>
      <c r="F19083" t="s">
        <v>20496</v>
      </c>
      <c r="G19083" t="s">
        <v>47091</v>
      </c>
      <c r="H19083" t="s">
        <v>47054</v>
      </c>
      <c r="I19083" t="s">
        <v>47118</v>
      </c>
      <c r="J19083" t="s">
        <v>47119</v>
      </c>
      <c r="K19083" t="s">
        <v>47113</v>
      </c>
      <c r="L19083">
        <v>10.45</v>
      </c>
      <c r="M19083">
        <v>26</v>
      </c>
      <c r="N19083">
        <v>0</v>
      </c>
      <c r="O19083">
        <v>26</v>
      </c>
      <c r="P19083">
        <v>0</v>
      </c>
    </row>
    <row r="19084" spans="1:16" x14ac:dyDescent="0.25">
      <c r="A19084" t="s">
        <v>41692</v>
      </c>
      <c r="B19084" t="s">
        <v>41691</v>
      </c>
      <c r="C19084" t="s">
        <v>18462</v>
      </c>
      <c r="D19084" t="str">
        <f>"6404"</f>
        <v>6404</v>
      </c>
      <c r="E19084" t="s">
        <v>21631</v>
      </c>
      <c r="F19084" t="s">
        <v>21627</v>
      </c>
      <c r="G19084" t="s">
        <v>47091</v>
      </c>
      <c r="H19084" t="s">
        <v>47054</v>
      </c>
      <c r="I19084" t="s">
        <v>47118</v>
      </c>
      <c r="J19084" t="s">
        <v>47119</v>
      </c>
      <c r="K19084" t="s">
        <v>47113</v>
      </c>
      <c r="L19084">
        <v>10.45</v>
      </c>
      <c r="M19084">
        <v>26</v>
      </c>
      <c r="N19084">
        <v>0</v>
      </c>
      <c r="O19084">
        <v>26</v>
      </c>
      <c r="P19084">
        <v>0</v>
      </c>
    </row>
    <row r="19085" spans="1:16" x14ac:dyDescent="0.25">
      <c r="A19085" t="s">
        <v>41693</v>
      </c>
      <c r="B19085" t="s">
        <v>18461</v>
      </c>
      <c r="C19085" t="s">
        <v>18462</v>
      </c>
      <c r="D19085" t="str">
        <f>"3002"</f>
        <v>3002</v>
      </c>
      <c r="E19085" t="s">
        <v>18463</v>
      </c>
      <c r="F19085" t="s">
        <v>16730</v>
      </c>
      <c r="G19085" t="s">
        <v>47091</v>
      </c>
      <c r="H19085" t="s">
        <v>47054</v>
      </c>
      <c r="I19085" t="s">
        <v>47116</v>
      </c>
      <c r="J19085" t="s">
        <v>47117</v>
      </c>
      <c r="K19085" t="s">
        <v>47113</v>
      </c>
      <c r="L19085">
        <v>8.42</v>
      </c>
      <c r="M19085">
        <v>22</v>
      </c>
      <c r="N19085">
        <v>0</v>
      </c>
      <c r="O19085">
        <v>22</v>
      </c>
      <c r="P19085">
        <v>0</v>
      </c>
    </row>
    <row r="19086" spans="1:16" x14ac:dyDescent="0.25">
      <c r="A19086" t="s">
        <v>41694</v>
      </c>
      <c r="B19086" t="s">
        <v>18461</v>
      </c>
      <c r="C19086" t="s">
        <v>18462</v>
      </c>
      <c r="D19086" t="str">
        <f>"6000"</f>
        <v>6000</v>
      </c>
      <c r="E19086" t="s">
        <v>18464</v>
      </c>
      <c r="F19086" t="s">
        <v>16730</v>
      </c>
      <c r="G19086" t="s">
        <v>47091</v>
      </c>
      <c r="H19086" t="s">
        <v>47054</v>
      </c>
      <c r="I19086" t="s">
        <v>47116</v>
      </c>
      <c r="J19086" t="s">
        <v>47117</v>
      </c>
      <c r="K19086" t="s">
        <v>47113</v>
      </c>
      <c r="L19086">
        <v>8.42</v>
      </c>
      <c r="M19086">
        <v>22</v>
      </c>
      <c r="N19086">
        <v>0</v>
      </c>
      <c r="O19086">
        <v>22</v>
      </c>
      <c r="P19086">
        <v>0</v>
      </c>
    </row>
    <row r="19087" spans="1:16" x14ac:dyDescent="0.25">
      <c r="A19087" t="s">
        <v>41695</v>
      </c>
      <c r="B19087" t="s">
        <v>18461</v>
      </c>
      <c r="C19087" t="s">
        <v>18462</v>
      </c>
      <c r="D19087" t="str">
        <f>"6602"</f>
        <v>6602</v>
      </c>
      <c r="E19087" t="s">
        <v>18465</v>
      </c>
      <c r="F19087" t="s">
        <v>16730</v>
      </c>
      <c r="G19087" t="s">
        <v>47091</v>
      </c>
      <c r="H19087" t="s">
        <v>47054</v>
      </c>
      <c r="I19087" t="s">
        <v>47116</v>
      </c>
      <c r="J19087" t="s">
        <v>47117</v>
      </c>
      <c r="K19087" t="s">
        <v>47113</v>
      </c>
      <c r="L19087">
        <v>8.42</v>
      </c>
      <c r="M19087">
        <v>22</v>
      </c>
      <c r="N19087">
        <v>0</v>
      </c>
      <c r="O19087">
        <v>22</v>
      </c>
      <c r="P19087">
        <v>0</v>
      </c>
    </row>
    <row r="19088" spans="1:16" x14ac:dyDescent="0.25">
      <c r="A19088" t="s">
        <v>41696</v>
      </c>
      <c r="B19088" t="s">
        <v>18461</v>
      </c>
      <c r="C19088" t="s">
        <v>18462</v>
      </c>
      <c r="D19088" t="str">
        <f>"7000"</f>
        <v>7000</v>
      </c>
      <c r="E19088" t="s">
        <v>18466</v>
      </c>
      <c r="F19088" t="s">
        <v>16730</v>
      </c>
      <c r="G19088" t="s">
        <v>47091</v>
      </c>
      <c r="H19088" t="s">
        <v>47054</v>
      </c>
      <c r="I19088" t="s">
        <v>47116</v>
      </c>
      <c r="J19088" t="s">
        <v>47117</v>
      </c>
      <c r="K19088" t="s">
        <v>47113</v>
      </c>
      <c r="L19088">
        <v>8.42</v>
      </c>
      <c r="M19088">
        <v>22</v>
      </c>
      <c r="N19088">
        <v>0</v>
      </c>
      <c r="O19088">
        <v>22</v>
      </c>
      <c r="P19088">
        <v>0</v>
      </c>
    </row>
    <row r="19089" spans="1:16" x14ac:dyDescent="0.25">
      <c r="A19089" t="s">
        <v>41697</v>
      </c>
      <c r="B19089" t="s">
        <v>614</v>
      </c>
      <c r="C19089" t="s">
        <v>615</v>
      </c>
      <c r="D19089" t="s">
        <v>3064</v>
      </c>
      <c r="E19089" t="s">
        <v>3065</v>
      </c>
      <c r="F19089" t="s">
        <v>631</v>
      </c>
      <c r="G19089" t="s">
        <v>47093</v>
      </c>
      <c r="H19089" t="s">
        <v>47054</v>
      </c>
      <c r="I19089" t="s">
        <v>47111</v>
      </c>
      <c r="J19089" t="s">
        <v>47112</v>
      </c>
      <c r="K19089" t="s">
        <v>47113</v>
      </c>
      <c r="L19089">
        <v>64.61</v>
      </c>
      <c r="M19089">
        <v>182</v>
      </c>
      <c r="N19089">
        <v>0</v>
      </c>
      <c r="O19089">
        <v>182</v>
      </c>
      <c r="P19089">
        <v>0</v>
      </c>
    </row>
    <row r="19090" spans="1:16" x14ac:dyDescent="0.25">
      <c r="A19090" t="s">
        <v>41698</v>
      </c>
      <c r="B19090" t="s">
        <v>614</v>
      </c>
      <c r="C19090" t="s">
        <v>615</v>
      </c>
      <c r="D19090" t="s">
        <v>6203</v>
      </c>
      <c r="E19090" t="s">
        <v>6204</v>
      </c>
      <c r="F19090" t="s">
        <v>631</v>
      </c>
      <c r="G19090" t="s">
        <v>47093</v>
      </c>
      <c r="H19090" t="s">
        <v>47054</v>
      </c>
      <c r="I19090" t="s">
        <v>47111</v>
      </c>
      <c r="J19090" t="s">
        <v>47112</v>
      </c>
      <c r="K19090" t="s">
        <v>47113</v>
      </c>
      <c r="L19090">
        <v>70.510000000000005</v>
      </c>
      <c r="M19090">
        <v>175</v>
      </c>
      <c r="N19090">
        <v>0</v>
      </c>
      <c r="O19090">
        <v>175</v>
      </c>
      <c r="P19090">
        <v>0</v>
      </c>
    </row>
    <row r="19091" spans="1:16" x14ac:dyDescent="0.25">
      <c r="A19091" t="s">
        <v>41699</v>
      </c>
      <c r="B19091" t="s">
        <v>614</v>
      </c>
      <c r="C19091" t="s">
        <v>615</v>
      </c>
      <c r="D19091" t="s">
        <v>6205</v>
      </c>
      <c r="E19091" t="s">
        <v>6206</v>
      </c>
      <c r="F19091" t="s">
        <v>631</v>
      </c>
      <c r="G19091" t="s">
        <v>47093</v>
      </c>
      <c r="H19091" t="s">
        <v>47054</v>
      </c>
      <c r="I19091" t="s">
        <v>47111</v>
      </c>
      <c r="J19091" t="s">
        <v>47112</v>
      </c>
      <c r="K19091" t="s">
        <v>47113</v>
      </c>
      <c r="L19091">
        <v>66.91</v>
      </c>
      <c r="M19091">
        <v>166</v>
      </c>
      <c r="N19091">
        <v>0</v>
      </c>
      <c r="O19091">
        <v>166</v>
      </c>
      <c r="P19091">
        <v>0</v>
      </c>
    </row>
    <row r="19092" spans="1:16" x14ac:dyDescent="0.25">
      <c r="A19092" t="s">
        <v>41700</v>
      </c>
      <c r="B19092" t="s">
        <v>614</v>
      </c>
      <c r="C19092" t="s">
        <v>615</v>
      </c>
      <c r="D19092" t="s">
        <v>6217</v>
      </c>
      <c r="E19092" t="s">
        <v>6218</v>
      </c>
      <c r="F19092" t="s">
        <v>58</v>
      </c>
      <c r="G19092" t="s">
        <v>47093</v>
      </c>
      <c r="H19092" t="s">
        <v>47054</v>
      </c>
      <c r="I19092" t="s">
        <v>47111</v>
      </c>
      <c r="J19092" t="s">
        <v>47112</v>
      </c>
      <c r="K19092" t="s">
        <v>47113</v>
      </c>
      <c r="L19092">
        <v>64.72</v>
      </c>
      <c r="M19092">
        <v>182</v>
      </c>
      <c r="N19092">
        <v>0</v>
      </c>
      <c r="O19092">
        <v>182</v>
      </c>
      <c r="P19092">
        <v>0</v>
      </c>
    </row>
    <row r="19093" spans="1:16" x14ac:dyDescent="0.25">
      <c r="A19093" t="s">
        <v>41701</v>
      </c>
      <c r="B19093" t="s">
        <v>614</v>
      </c>
      <c r="C19093" t="s">
        <v>615</v>
      </c>
      <c r="D19093" t="s">
        <v>6209</v>
      </c>
      <c r="E19093" t="s">
        <v>6210</v>
      </c>
      <c r="F19093" t="s">
        <v>8</v>
      </c>
      <c r="G19093" t="s">
        <v>47093</v>
      </c>
      <c r="H19093" t="s">
        <v>47054</v>
      </c>
      <c r="I19093" t="s">
        <v>47111</v>
      </c>
      <c r="J19093" t="s">
        <v>47112</v>
      </c>
      <c r="K19093" t="s">
        <v>47113</v>
      </c>
      <c r="L19093">
        <v>68.489999999999995</v>
      </c>
      <c r="M19093">
        <v>135</v>
      </c>
      <c r="N19093">
        <v>0</v>
      </c>
      <c r="O19093">
        <v>135</v>
      </c>
      <c r="P19093">
        <v>0</v>
      </c>
    </row>
    <row r="19094" spans="1:16" x14ac:dyDescent="0.25">
      <c r="A19094" t="s">
        <v>41702</v>
      </c>
      <c r="B19094" t="s">
        <v>614</v>
      </c>
      <c r="C19094" t="s">
        <v>615</v>
      </c>
      <c r="D19094" t="s">
        <v>6193</v>
      </c>
      <c r="E19094" t="s">
        <v>6194</v>
      </c>
      <c r="F19094" t="s">
        <v>8</v>
      </c>
      <c r="G19094" t="s">
        <v>47093</v>
      </c>
      <c r="H19094" t="s">
        <v>47054</v>
      </c>
      <c r="I19094" t="s">
        <v>47111</v>
      </c>
      <c r="J19094" t="s">
        <v>47112</v>
      </c>
      <c r="K19094" t="s">
        <v>47113</v>
      </c>
      <c r="L19094">
        <v>57.84</v>
      </c>
      <c r="M19094">
        <v>147</v>
      </c>
      <c r="N19094">
        <v>0</v>
      </c>
      <c r="O19094">
        <v>147</v>
      </c>
      <c r="P19094">
        <v>0</v>
      </c>
    </row>
    <row r="19095" spans="1:16" x14ac:dyDescent="0.25">
      <c r="A19095" t="s">
        <v>613</v>
      </c>
      <c r="B19095" t="s">
        <v>614</v>
      </c>
      <c r="C19095" t="s">
        <v>615</v>
      </c>
      <c r="D19095" t="s">
        <v>294</v>
      </c>
      <c r="E19095" t="s">
        <v>295</v>
      </c>
      <c r="F19095" t="s">
        <v>8</v>
      </c>
      <c r="G19095" t="s">
        <v>47093</v>
      </c>
      <c r="H19095" t="s">
        <v>47054</v>
      </c>
      <c r="I19095" t="s">
        <v>47111</v>
      </c>
      <c r="J19095" t="s">
        <v>47112</v>
      </c>
      <c r="K19095" t="s">
        <v>47113</v>
      </c>
      <c r="L19095">
        <v>61.79</v>
      </c>
      <c r="M19095">
        <v>104</v>
      </c>
      <c r="N19095">
        <v>0</v>
      </c>
      <c r="O19095">
        <v>104</v>
      </c>
      <c r="P19095">
        <v>0</v>
      </c>
    </row>
    <row r="19096" spans="1:16" x14ac:dyDescent="0.25">
      <c r="A19096" t="s">
        <v>41703</v>
      </c>
      <c r="B19096" t="s">
        <v>614</v>
      </c>
      <c r="C19096" t="s">
        <v>615</v>
      </c>
      <c r="D19096" t="s">
        <v>6219</v>
      </c>
      <c r="E19096" t="s">
        <v>6220</v>
      </c>
      <c r="F19096" t="s">
        <v>8</v>
      </c>
      <c r="G19096" t="s">
        <v>47093</v>
      </c>
      <c r="H19096" t="s">
        <v>47054</v>
      </c>
      <c r="I19096" t="s">
        <v>47111</v>
      </c>
      <c r="J19096" t="s">
        <v>47112</v>
      </c>
      <c r="K19096" t="s">
        <v>47113</v>
      </c>
      <c r="L19096">
        <v>68.430000000000007</v>
      </c>
      <c r="M19096">
        <v>130</v>
      </c>
      <c r="N19096">
        <v>0</v>
      </c>
      <c r="O19096">
        <v>130</v>
      </c>
      <c r="P19096">
        <v>0</v>
      </c>
    </row>
    <row r="19097" spans="1:16" x14ac:dyDescent="0.25">
      <c r="A19097" t="s">
        <v>41704</v>
      </c>
      <c r="B19097" t="s">
        <v>614</v>
      </c>
      <c r="C19097" t="s">
        <v>615</v>
      </c>
      <c r="D19097" t="s">
        <v>1381</v>
      </c>
      <c r="E19097" t="s">
        <v>6221</v>
      </c>
      <c r="F19097" t="s">
        <v>52</v>
      </c>
      <c r="G19097" t="s">
        <v>47093</v>
      </c>
      <c r="H19097" t="s">
        <v>47054</v>
      </c>
      <c r="I19097" t="s">
        <v>47111</v>
      </c>
      <c r="J19097" t="s">
        <v>47112</v>
      </c>
      <c r="K19097" t="s">
        <v>47113</v>
      </c>
      <c r="L19097">
        <v>74.78</v>
      </c>
      <c r="M19097">
        <v>163</v>
      </c>
      <c r="N19097">
        <v>0</v>
      </c>
      <c r="O19097">
        <v>163</v>
      </c>
      <c r="P19097">
        <v>0</v>
      </c>
    </row>
    <row r="19098" spans="1:16" x14ac:dyDescent="0.25">
      <c r="A19098" t="s">
        <v>41705</v>
      </c>
      <c r="B19098" t="s">
        <v>614</v>
      </c>
      <c r="C19098" t="s">
        <v>615</v>
      </c>
      <c r="D19098" t="s">
        <v>6211</v>
      </c>
      <c r="E19098" t="s">
        <v>6212</v>
      </c>
      <c r="F19098" t="s">
        <v>56</v>
      </c>
      <c r="G19098" t="s">
        <v>47093</v>
      </c>
      <c r="H19098" t="s">
        <v>47054</v>
      </c>
      <c r="I19098" t="s">
        <v>47111</v>
      </c>
      <c r="J19098" t="s">
        <v>47112</v>
      </c>
      <c r="K19098" t="s">
        <v>47113</v>
      </c>
      <c r="L19098">
        <v>63.47</v>
      </c>
      <c r="M19098">
        <v>143</v>
      </c>
      <c r="N19098">
        <v>0</v>
      </c>
      <c r="O19098">
        <v>143</v>
      </c>
      <c r="P19098">
        <v>0</v>
      </c>
    </row>
    <row r="19099" spans="1:16" x14ac:dyDescent="0.25">
      <c r="A19099" t="s">
        <v>616</v>
      </c>
      <c r="B19099" t="s">
        <v>614</v>
      </c>
      <c r="C19099" t="s">
        <v>615</v>
      </c>
      <c r="D19099" t="s">
        <v>617</v>
      </c>
      <c r="E19099" t="s">
        <v>618</v>
      </c>
      <c r="F19099" t="s">
        <v>56</v>
      </c>
      <c r="G19099" t="s">
        <v>47093</v>
      </c>
      <c r="H19099" t="s">
        <v>47054</v>
      </c>
      <c r="I19099" t="s">
        <v>47111</v>
      </c>
      <c r="J19099" t="s">
        <v>47112</v>
      </c>
      <c r="K19099" t="s">
        <v>47113</v>
      </c>
      <c r="L19099">
        <v>57.97</v>
      </c>
      <c r="M19099">
        <v>141</v>
      </c>
      <c r="N19099">
        <v>0</v>
      </c>
      <c r="O19099">
        <v>141</v>
      </c>
      <c r="P19099">
        <v>0</v>
      </c>
    </row>
    <row r="19100" spans="1:16" x14ac:dyDescent="0.25">
      <c r="A19100" t="s">
        <v>41706</v>
      </c>
      <c r="B19100" t="s">
        <v>12062</v>
      </c>
      <c r="C19100" t="s">
        <v>12063</v>
      </c>
      <c r="D19100" t="s">
        <v>617</v>
      </c>
      <c r="E19100" t="s">
        <v>618</v>
      </c>
      <c r="F19100" t="s">
        <v>56</v>
      </c>
      <c r="G19100" t="s">
        <v>49029</v>
      </c>
      <c r="H19100" t="s">
        <v>47054</v>
      </c>
      <c r="I19100" t="s">
        <v>47111</v>
      </c>
      <c r="J19100" t="s">
        <v>47112</v>
      </c>
      <c r="K19100" t="s">
        <v>47113</v>
      </c>
      <c r="L19100">
        <v>38.46</v>
      </c>
      <c r="M19100">
        <v>95</v>
      </c>
      <c r="N19100">
        <v>0</v>
      </c>
      <c r="O19100">
        <v>95</v>
      </c>
      <c r="P19100">
        <v>0</v>
      </c>
    </row>
    <row r="19101" spans="1:16" x14ac:dyDescent="0.25">
      <c r="A19101" t="s">
        <v>41707</v>
      </c>
      <c r="B19101" t="s">
        <v>12064</v>
      </c>
      <c r="C19101" t="s">
        <v>12065</v>
      </c>
      <c r="D19101" t="s">
        <v>6209</v>
      </c>
      <c r="E19101" t="s">
        <v>6210</v>
      </c>
      <c r="F19101" t="s">
        <v>8</v>
      </c>
      <c r="G19101" t="s">
        <v>47098</v>
      </c>
      <c r="H19101" t="s">
        <v>47054</v>
      </c>
      <c r="I19101" t="s">
        <v>47116</v>
      </c>
      <c r="J19101" t="s">
        <v>47117</v>
      </c>
      <c r="K19101" t="s">
        <v>47113</v>
      </c>
      <c r="L19101">
        <v>73.28</v>
      </c>
      <c r="M19101">
        <v>151</v>
      </c>
      <c r="N19101">
        <v>0</v>
      </c>
      <c r="O19101">
        <v>151</v>
      </c>
      <c r="P19101">
        <v>0</v>
      </c>
    </row>
    <row r="19102" spans="1:16" x14ac:dyDescent="0.25">
      <c r="A19102" t="s">
        <v>41708</v>
      </c>
      <c r="B19102" t="s">
        <v>12064</v>
      </c>
      <c r="C19102" t="s">
        <v>12065</v>
      </c>
      <c r="D19102" t="s">
        <v>6193</v>
      </c>
      <c r="E19102" t="s">
        <v>6194</v>
      </c>
      <c r="F19102" t="s">
        <v>8</v>
      </c>
      <c r="G19102" t="s">
        <v>47098</v>
      </c>
      <c r="H19102" t="s">
        <v>47054</v>
      </c>
      <c r="I19102" t="s">
        <v>47116</v>
      </c>
      <c r="J19102" t="s">
        <v>47117</v>
      </c>
      <c r="K19102" t="s">
        <v>47113</v>
      </c>
      <c r="L19102">
        <v>71.260000000000005</v>
      </c>
      <c r="M19102">
        <v>138</v>
      </c>
      <c r="N19102">
        <v>0</v>
      </c>
      <c r="O19102">
        <v>138</v>
      </c>
      <c r="P19102">
        <v>0</v>
      </c>
    </row>
    <row r="19103" spans="1:16" x14ac:dyDescent="0.25">
      <c r="A19103" t="s">
        <v>41709</v>
      </c>
      <c r="B19103" t="s">
        <v>12064</v>
      </c>
      <c r="C19103" t="s">
        <v>12065</v>
      </c>
      <c r="D19103" t="s">
        <v>617</v>
      </c>
      <c r="E19103" t="s">
        <v>618</v>
      </c>
      <c r="F19103" t="s">
        <v>56</v>
      </c>
      <c r="G19103" t="s">
        <v>47098</v>
      </c>
      <c r="H19103" t="s">
        <v>47054</v>
      </c>
      <c r="I19103" t="s">
        <v>47116</v>
      </c>
      <c r="J19103" t="s">
        <v>47117</v>
      </c>
      <c r="K19103" t="s">
        <v>47113</v>
      </c>
      <c r="L19103">
        <v>58.51</v>
      </c>
      <c r="M19103">
        <v>142</v>
      </c>
      <c r="N19103">
        <v>0</v>
      </c>
      <c r="O19103">
        <v>142</v>
      </c>
      <c r="P19103">
        <v>0</v>
      </c>
    </row>
    <row r="19104" spans="1:16" x14ac:dyDescent="0.25">
      <c r="A19104" t="s">
        <v>41710</v>
      </c>
      <c r="B19104" t="s">
        <v>12066</v>
      </c>
      <c r="C19104" t="s">
        <v>12067</v>
      </c>
      <c r="D19104" t="s">
        <v>3064</v>
      </c>
      <c r="E19104" t="s">
        <v>3065</v>
      </c>
      <c r="F19104" t="s">
        <v>8</v>
      </c>
      <c r="G19104" t="s">
        <v>47093</v>
      </c>
      <c r="H19104" t="s">
        <v>47054</v>
      </c>
      <c r="I19104" t="s">
        <v>47111</v>
      </c>
      <c r="J19104" t="s">
        <v>47112</v>
      </c>
      <c r="K19104" t="s">
        <v>47113</v>
      </c>
      <c r="L19104">
        <v>60.27</v>
      </c>
      <c r="M19104">
        <v>131</v>
      </c>
      <c r="N19104">
        <v>0</v>
      </c>
      <c r="O19104">
        <v>131</v>
      </c>
      <c r="P19104">
        <v>0</v>
      </c>
    </row>
    <row r="19105" spans="1:16" x14ac:dyDescent="0.25">
      <c r="A19105" t="s">
        <v>41711</v>
      </c>
      <c r="B19105" t="s">
        <v>12066</v>
      </c>
      <c r="C19105" t="s">
        <v>12067</v>
      </c>
      <c r="D19105" t="s">
        <v>6203</v>
      </c>
      <c r="E19105" t="s">
        <v>6204</v>
      </c>
      <c r="F19105" t="s">
        <v>8</v>
      </c>
      <c r="G19105" t="s">
        <v>47093</v>
      </c>
      <c r="H19105" t="s">
        <v>47054</v>
      </c>
      <c r="I19105" t="s">
        <v>47111</v>
      </c>
      <c r="J19105" t="s">
        <v>47112</v>
      </c>
      <c r="K19105" t="s">
        <v>47113</v>
      </c>
      <c r="L19105">
        <v>57.38</v>
      </c>
      <c r="M19105">
        <v>125</v>
      </c>
      <c r="N19105">
        <v>0</v>
      </c>
      <c r="O19105">
        <v>125</v>
      </c>
      <c r="P19105">
        <v>0</v>
      </c>
    </row>
    <row r="19106" spans="1:16" x14ac:dyDescent="0.25">
      <c r="A19106" t="s">
        <v>41712</v>
      </c>
      <c r="B19106" t="s">
        <v>12066</v>
      </c>
      <c r="C19106" t="s">
        <v>12067</v>
      </c>
      <c r="D19106" t="s">
        <v>6217</v>
      </c>
      <c r="E19106" t="s">
        <v>6218</v>
      </c>
      <c r="F19106" t="s">
        <v>8</v>
      </c>
      <c r="G19106" t="s">
        <v>47093</v>
      </c>
      <c r="H19106" t="s">
        <v>47054</v>
      </c>
      <c r="I19106" t="s">
        <v>47111</v>
      </c>
      <c r="J19106" t="s">
        <v>47112</v>
      </c>
      <c r="K19106" t="s">
        <v>47113</v>
      </c>
      <c r="L19106">
        <v>55.08</v>
      </c>
      <c r="M19106">
        <v>120</v>
      </c>
      <c r="N19106">
        <v>0</v>
      </c>
      <c r="O19106">
        <v>120</v>
      </c>
      <c r="P19106">
        <v>0</v>
      </c>
    </row>
    <row r="19107" spans="1:16" x14ac:dyDescent="0.25">
      <c r="A19107" t="s">
        <v>41713</v>
      </c>
      <c r="B19107" t="s">
        <v>12066</v>
      </c>
      <c r="C19107" t="s">
        <v>12067</v>
      </c>
      <c r="D19107" t="s">
        <v>6209</v>
      </c>
      <c r="E19107" t="s">
        <v>6210</v>
      </c>
      <c r="F19107" t="s">
        <v>8</v>
      </c>
      <c r="G19107" t="s">
        <v>47093</v>
      </c>
      <c r="H19107" t="s">
        <v>47054</v>
      </c>
      <c r="I19107" t="s">
        <v>47111</v>
      </c>
      <c r="J19107" t="s">
        <v>47112</v>
      </c>
      <c r="K19107" t="s">
        <v>47113</v>
      </c>
      <c r="L19107">
        <v>57.06</v>
      </c>
      <c r="M19107">
        <v>154</v>
      </c>
      <c r="N19107">
        <v>0</v>
      </c>
      <c r="O19107">
        <v>154</v>
      </c>
      <c r="P19107">
        <v>0</v>
      </c>
    </row>
    <row r="19108" spans="1:16" x14ac:dyDescent="0.25">
      <c r="A19108" t="s">
        <v>41714</v>
      </c>
      <c r="B19108" t="s">
        <v>12066</v>
      </c>
      <c r="C19108" t="s">
        <v>12067</v>
      </c>
      <c r="D19108" t="s">
        <v>6193</v>
      </c>
      <c r="E19108" t="s">
        <v>6194</v>
      </c>
      <c r="F19108" t="s">
        <v>8</v>
      </c>
      <c r="G19108" t="s">
        <v>47093</v>
      </c>
      <c r="H19108" t="s">
        <v>47054</v>
      </c>
      <c r="I19108" t="s">
        <v>47111</v>
      </c>
      <c r="J19108" t="s">
        <v>47112</v>
      </c>
      <c r="K19108" t="s">
        <v>47113</v>
      </c>
      <c r="L19108">
        <v>54.05</v>
      </c>
      <c r="M19108">
        <v>137</v>
      </c>
      <c r="N19108">
        <v>0</v>
      </c>
      <c r="O19108">
        <v>137</v>
      </c>
      <c r="P19108">
        <v>0</v>
      </c>
    </row>
    <row r="19109" spans="1:16" x14ac:dyDescent="0.25">
      <c r="A19109" t="s">
        <v>41715</v>
      </c>
      <c r="B19109" t="s">
        <v>12066</v>
      </c>
      <c r="C19109" t="s">
        <v>12067</v>
      </c>
      <c r="D19109" t="s">
        <v>294</v>
      </c>
      <c r="E19109" t="s">
        <v>295</v>
      </c>
      <c r="F19109" t="s">
        <v>8</v>
      </c>
      <c r="G19109" t="s">
        <v>47093</v>
      </c>
      <c r="H19109" t="s">
        <v>47054</v>
      </c>
      <c r="I19109" t="s">
        <v>47111</v>
      </c>
      <c r="J19109" t="s">
        <v>47112</v>
      </c>
      <c r="K19109" t="s">
        <v>47113</v>
      </c>
      <c r="L19109">
        <v>57.74</v>
      </c>
      <c r="M19109">
        <v>130</v>
      </c>
      <c r="N19109">
        <v>0</v>
      </c>
      <c r="O19109">
        <v>130</v>
      </c>
      <c r="P19109">
        <v>0</v>
      </c>
    </row>
    <row r="19110" spans="1:16" x14ac:dyDescent="0.25">
      <c r="A19110" t="s">
        <v>41716</v>
      </c>
      <c r="B19110" t="s">
        <v>12066</v>
      </c>
      <c r="C19110" t="s">
        <v>12067</v>
      </c>
      <c r="D19110" t="s">
        <v>6219</v>
      </c>
      <c r="E19110" t="s">
        <v>6220</v>
      </c>
      <c r="F19110" t="s">
        <v>8</v>
      </c>
      <c r="G19110" t="s">
        <v>47093</v>
      </c>
      <c r="H19110" t="s">
        <v>47054</v>
      </c>
      <c r="I19110" t="s">
        <v>47111</v>
      </c>
      <c r="J19110" t="s">
        <v>47112</v>
      </c>
      <c r="K19110" t="s">
        <v>47113</v>
      </c>
      <c r="L19110">
        <v>64.36</v>
      </c>
      <c r="M19110">
        <v>130</v>
      </c>
      <c r="N19110">
        <v>0</v>
      </c>
      <c r="O19110">
        <v>130</v>
      </c>
      <c r="P19110">
        <v>0</v>
      </c>
    </row>
    <row r="19111" spans="1:16" x14ac:dyDescent="0.25">
      <c r="A19111" t="s">
        <v>41717</v>
      </c>
      <c r="B19111" t="s">
        <v>12066</v>
      </c>
      <c r="C19111" t="s">
        <v>12067</v>
      </c>
      <c r="D19111" t="s">
        <v>1381</v>
      </c>
      <c r="E19111" t="s">
        <v>6221</v>
      </c>
      <c r="F19111" t="s">
        <v>52</v>
      </c>
      <c r="G19111" t="s">
        <v>47093</v>
      </c>
      <c r="H19111" t="s">
        <v>47054</v>
      </c>
      <c r="I19111" t="s">
        <v>47111</v>
      </c>
      <c r="J19111" t="s">
        <v>47112</v>
      </c>
      <c r="K19111" t="s">
        <v>47113</v>
      </c>
      <c r="L19111">
        <v>71.010000000000005</v>
      </c>
      <c r="M19111">
        <v>174</v>
      </c>
      <c r="N19111">
        <v>0</v>
      </c>
      <c r="O19111">
        <v>174</v>
      </c>
      <c r="P19111">
        <v>0</v>
      </c>
    </row>
    <row r="19112" spans="1:16" x14ac:dyDescent="0.25">
      <c r="A19112" t="s">
        <v>41718</v>
      </c>
      <c r="B19112" t="s">
        <v>12066</v>
      </c>
      <c r="C19112" t="s">
        <v>12067</v>
      </c>
      <c r="D19112" t="s">
        <v>617</v>
      </c>
      <c r="E19112" t="s">
        <v>618</v>
      </c>
      <c r="F19112" t="s">
        <v>56</v>
      </c>
      <c r="G19112" t="s">
        <v>47093</v>
      </c>
      <c r="H19112" t="s">
        <v>47054</v>
      </c>
      <c r="I19112" t="s">
        <v>47111</v>
      </c>
      <c r="J19112" t="s">
        <v>47112</v>
      </c>
      <c r="K19112" t="s">
        <v>47113</v>
      </c>
      <c r="L19112">
        <v>58.54</v>
      </c>
      <c r="M19112">
        <v>132</v>
      </c>
      <c r="N19112">
        <v>0</v>
      </c>
      <c r="O19112">
        <v>132</v>
      </c>
      <c r="P19112">
        <v>0</v>
      </c>
    </row>
    <row r="19113" spans="1:16" x14ac:dyDescent="0.25">
      <c r="A19113" t="s">
        <v>41719</v>
      </c>
      <c r="B19113" t="s">
        <v>12068</v>
      </c>
      <c r="C19113" t="s">
        <v>12069</v>
      </c>
      <c r="D19113" t="s">
        <v>3064</v>
      </c>
      <c r="E19113" t="s">
        <v>3065</v>
      </c>
      <c r="F19113" t="s">
        <v>631</v>
      </c>
      <c r="G19113" t="s">
        <v>47093</v>
      </c>
      <c r="H19113" t="s">
        <v>47054</v>
      </c>
      <c r="I19113" t="s">
        <v>47111</v>
      </c>
      <c r="J19113" t="s">
        <v>47112</v>
      </c>
      <c r="K19113" t="s">
        <v>47113</v>
      </c>
      <c r="L19113">
        <v>65.39</v>
      </c>
      <c r="M19113">
        <v>184</v>
      </c>
      <c r="N19113">
        <v>0</v>
      </c>
      <c r="O19113">
        <v>184</v>
      </c>
      <c r="P19113">
        <v>0</v>
      </c>
    </row>
    <row r="19114" spans="1:16" x14ac:dyDescent="0.25">
      <c r="A19114" t="s">
        <v>41720</v>
      </c>
      <c r="B19114" t="s">
        <v>12068</v>
      </c>
      <c r="C19114" t="s">
        <v>12069</v>
      </c>
      <c r="D19114" t="s">
        <v>6203</v>
      </c>
      <c r="E19114" t="s">
        <v>6204</v>
      </c>
      <c r="F19114" t="s">
        <v>631</v>
      </c>
      <c r="G19114" t="s">
        <v>47093</v>
      </c>
      <c r="H19114" t="s">
        <v>47054</v>
      </c>
      <c r="I19114" t="s">
        <v>47111</v>
      </c>
      <c r="J19114" t="s">
        <v>47112</v>
      </c>
      <c r="K19114" t="s">
        <v>47113</v>
      </c>
      <c r="L19114">
        <v>71.7</v>
      </c>
      <c r="M19114">
        <v>136</v>
      </c>
      <c r="N19114">
        <v>0</v>
      </c>
      <c r="O19114">
        <v>136</v>
      </c>
      <c r="P19114">
        <v>0</v>
      </c>
    </row>
    <row r="19115" spans="1:16" x14ac:dyDescent="0.25">
      <c r="A19115" t="s">
        <v>41721</v>
      </c>
      <c r="B19115" t="s">
        <v>12068</v>
      </c>
      <c r="C19115" t="s">
        <v>12069</v>
      </c>
      <c r="D19115" t="s">
        <v>6205</v>
      </c>
      <c r="E19115" t="s">
        <v>6206</v>
      </c>
      <c r="F19115" t="s">
        <v>631</v>
      </c>
      <c r="G19115" t="s">
        <v>47093</v>
      </c>
      <c r="H19115" t="s">
        <v>47054</v>
      </c>
      <c r="I19115" t="s">
        <v>47111</v>
      </c>
      <c r="J19115" t="s">
        <v>47112</v>
      </c>
      <c r="K19115" t="s">
        <v>47113</v>
      </c>
      <c r="L19115">
        <v>74.040000000000006</v>
      </c>
      <c r="M19115">
        <v>132</v>
      </c>
      <c r="N19115">
        <v>0</v>
      </c>
      <c r="O19115">
        <v>132</v>
      </c>
      <c r="P19115">
        <v>0</v>
      </c>
    </row>
    <row r="19116" spans="1:16" x14ac:dyDescent="0.25">
      <c r="A19116" t="s">
        <v>41722</v>
      </c>
      <c r="B19116" t="s">
        <v>12068</v>
      </c>
      <c r="C19116" t="s">
        <v>12069</v>
      </c>
      <c r="D19116" t="s">
        <v>6217</v>
      </c>
      <c r="E19116" t="s">
        <v>6218</v>
      </c>
      <c r="F19116" t="s">
        <v>58</v>
      </c>
      <c r="G19116" t="s">
        <v>47093</v>
      </c>
      <c r="H19116" t="s">
        <v>47054</v>
      </c>
      <c r="I19116" t="s">
        <v>47111</v>
      </c>
      <c r="J19116" t="s">
        <v>47112</v>
      </c>
      <c r="K19116" t="s">
        <v>47113</v>
      </c>
      <c r="L19116">
        <v>65.510000000000005</v>
      </c>
      <c r="M19116">
        <v>184</v>
      </c>
      <c r="N19116">
        <v>0</v>
      </c>
      <c r="O19116">
        <v>184</v>
      </c>
      <c r="P19116">
        <v>0</v>
      </c>
    </row>
    <row r="19117" spans="1:16" x14ac:dyDescent="0.25">
      <c r="A19117" t="s">
        <v>41723</v>
      </c>
      <c r="B19117" t="s">
        <v>12068</v>
      </c>
      <c r="C19117" t="s">
        <v>12069</v>
      </c>
      <c r="D19117" t="s">
        <v>6209</v>
      </c>
      <c r="E19117" t="s">
        <v>6210</v>
      </c>
      <c r="F19117" t="s">
        <v>8</v>
      </c>
      <c r="G19117" t="s">
        <v>47093</v>
      </c>
      <c r="H19117" t="s">
        <v>47054</v>
      </c>
      <c r="I19117" t="s">
        <v>47111</v>
      </c>
      <c r="J19117" t="s">
        <v>47112</v>
      </c>
      <c r="K19117" t="s">
        <v>47113</v>
      </c>
      <c r="L19117">
        <v>69.12</v>
      </c>
      <c r="M19117">
        <v>165</v>
      </c>
      <c r="N19117">
        <v>0</v>
      </c>
      <c r="O19117">
        <v>165</v>
      </c>
      <c r="P19117">
        <v>0</v>
      </c>
    </row>
    <row r="19118" spans="1:16" x14ac:dyDescent="0.25">
      <c r="A19118" t="s">
        <v>41724</v>
      </c>
      <c r="B19118" t="s">
        <v>12068</v>
      </c>
      <c r="C19118" t="s">
        <v>12069</v>
      </c>
      <c r="D19118" t="s">
        <v>6193</v>
      </c>
      <c r="E19118" t="s">
        <v>6194</v>
      </c>
      <c r="F19118" t="s">
        <v>8</v>
      </c>
      <c r="G19118" t="s">
        <v>47093</v>
      </c>
      <c r="H19118" t="s">
        <v>47054</v>
      </c>
      <c r="I19118" t="s">
        <v>47111</v>
      </c>
      <c r="J19118" t="s">
        <v>47112</v>
      </c>
      <c r="K19118" t="s">
        <v>47113</v>
      </c>
      <c r="L19118">
        <v>52.82</v>
      </c>
      <c r="M19118">
        <v>148</v>
      </c>
      <c r="N19118">
        <v>0</v>
      </c>
      <c r="O19118">
        <v>148</v>
      </c>
      <c r="P19118">
        <v>0</v>
      </c>
    </row>
    <row r="19119" spans="1:16" x14ac:dyDescent="0.25">
      <c r="A19119" t="s">
        <v>41725</v>
      </c>
      <c r="B19119" t="s">
        <v>12068</v>
      </c>
      <c r="C19119" t="s">
        <v>12069</v>
      </c>
      <c r="D19119" t="s">
        <v>294</v>
      </c>
      <c r="E19119" t="s">
        <v>295</v>
      </c>
      <c r="F19119" t="s">
        <v>8</v>
      </c>
      <c r="G19119" t="s">
        <v>47093</v>
      </c>
      <c r="H19119" t="s">
        <v>47054</v>
      </c>
      <c r="I19119" t="s">
        <v>47111</v>
      </c>
      <c r="J19119" t="s">
        <v>47112</v>
      </c>
      <c r="K19119" t="s">
        <v>47113</v>
      </c>
      <c r="L19119">
        <v>62.42</v>
      </c>
      <c r="M19119">
        <v>130</v>
      </c>
      <c r="N19119">
        <v>0</v>
      </c>
      <c r="O19119">
        <v>130</v>
      </c>
      <c r="P19119">
        <v>0</v>
      </c>
    </row>
    <row r="19120" spans="1:16" x14ac:dyDescent="0.25">
      <c r="A19120" t="s">
        <v>41726</v>
      </c>
      <c r="B19120" t="s">
        <v>12068</v>
      </c>
      <c r="C19120" t="s">
        <v>12069</v>
      </c>
      <c r="D19120" t="s">
        <v>6219</v>
      </c>
      <c r="E19120" t="s">
        <v>6220</v>
      </c>
      <c r="F19120" t="s">
        <v>8</v>
      </c>
      <c r="G19120" t="s">
        <v>47093</v>
      </c>
      <c r="H19120" t="s">
        <v>47054</v>
      </c>
      <c r="I19120" t="s">
        <v>47111</v>
      </c>
      <c r="J19120" t="s">
        <v>47112</v>
      </c>
      <c r="K19120" t="s">
        <v>47113</v>
      </c>
      <c r="L19120">
        <v>63.68</v>
      </c>
      <c r="M19120">
        <v>130</v>
      </c>
      <c r="N19120">
        <v>0</v>
      </c>
      <c r="O19120">
        <v>130</v>
      </c>
      <c r="P19120">
        <v>0</v>
      </c>
    </row>
    <row r="19121" spans="1:16" x14ac:dyDescent="0.25">
      <c r="A19121" t="s">
        <v>41727</v>
      </c>
      <c r="B19121" t="s">
        <v>12068</v>
      </c>
      <c r="C19121" t="s">
        <v>12069</v>
      </c>
      <c r="D19121" t="s">
        <v>1381</v>
      </c>
      <c r="E19121" t="s">
        <v>6221</v>
      </c>
      <c r="F19121" t="s">
        <v>52</v>
      </c>
      <c r="G19121" t="s">
        <v>47093</v>
      </c>
      <c r="H19121" t="s">
        <v>47054</v>
      </c>
      <c r="I19121" t="s">
        <v>47111</v>
      </c>
      <c r="J19121" t="s">
        <v>47112</v>
      </c>
      <c r="K19121" t="s">
        <v>47113</v>
      </c>
      <c r="L19121">
        <v>77.37</v>
      </c>
      <c r="M19121">
        <v>163</v>
      </c>
      <c r="N19121">
        <v>0</v>
      </c>
      <c r="O19121">
        <v>163</v>
      </c>
      <c r="P19121">
        <v>0</v>
      </c>
    </row>
    <row r="19122" spans="1:16" x14ac:dyDescent="0.25">
      <c r="A19122" t="s">
        <v>41728</v>
      </c>
      <c r="B19122" t="s">
        <v>12068</v>
      </c>
      <c r="C19122" t="s">
        <v>12069</v>
      </c>
      <c r="D19122" t="s">
        <v>617</v>
      </c>
      <c r="E19122" t="s">
        <v>618</v>
      </c>
      <c r="F19122" t="s">
        <v>56</v>
      </c>
      <c r="G19122" t="s">
        <v>47093</v>
      </c>
      <c r="H19122" t="s">
        <v>47054</v>
      </c>
      <c r="I19122" t="s">
        <v>47111</v>
      </c>
      <c r="J19122" t="s">
        <v>47112</v>
      </c>
      <c r="K19122" t="s">
        <v>47113</v>
      </c>
      <c r="L19122">
        <v>57.95</v>
      </c>
      <c r="M19122">
        <v>141</v>
      </c>
      <c r="N19122">
        <v>0</v>
      </c>
      <c r="O19122">
        <v>141</v>
      </c>
      <c r="P19122">
        <v>0</v>
      </c>
    </row>
    <row r="19123" spans="1:16" x14ac:dyDescent="0.25">
      <c r="A19123" t="s">
        <v>41729</v>
      </c>
      <c r="B19123" t="s">
        <v>12070</v>
      </c>
      <c r="C19123" t="s">
        <v>12071</v>
      </c>
      <c r="D19123" t="s">
        <v>721</v>
      </c>
      <c r="E19123" t="s">
        <v>722</v>
      </c>
      <c r="F19123" t="s">
        <v>56</v>
      </c>
      <c r="G19123" t="s">
        <v>49029</v>
      </c>
      <c r="H19123" t="s">
        <v>47054</v>
      </c>
      <c r="I19123" t="s">
        <v>47111</v>
      </c>
      <c r="J19123" t="s">
        <v>47112</v>
      </c>
      <c r="K19123" t="s">
        <v>47113</v>
      </c>
      <c r="L19123">
        <v>35.25</v>
      </c>
      <c r="M19123">
        <v>81</v>
      </c>
      <c r="N19123">
        <v>0</v>
      </c>
      <c r="O19123">
        <v>81</v>
      </c>
      <c r="P19123">
        <v>0</v>
      </c>
    </row>
    <row r="19124" spans="1:16" x14ac:dyDescent="0.25">
      <c r="A19124" t="s">
        <v>41730</v>
      </c>
      <c r="B19124" t="s">
        <v>12070</v>
      </c>
      <c r="C19124" t="s">
        <v>12071</v>
      </c>
      <c r="D19124" t="s">
        <v>6205</v>
      </c>
      <c r="E19124" t="s">
        <v>6206</v>
      </c>
      <c r="F19124" t="s">
        <v>631</v>
      </c>
      <c r="G19124" t="s">
        <v>49029</v>
      </c>
      <c r="H19124" t="s">
        <v>47054</v>
      </c>
      <c r="I19124" t="s">
        <v>47111</v>
      </c>
      <c r="J19124" t="s">
        <v>47112</v>
      </c>
      <c r="K19124" t="s">
        <v>47113</v>
      </c>
      <c r="L19124">
        <v>45.98</v>
      </c>
      <c r="M19124">
        <v>118</v>
      </c>
      <c r="N19124">
        <v>0</v>
      </c>
      <c r="O19124">
        <v>118</v>
      </c>
      <c r="P19124">
        <v>0</v>
      </c>
    </row>
    <row r="19125" spans="1:16" x14ac:dyDescent="0.25">
      <c r="A19125" t="s">
        <v>41731</v>
      </c>
      <c r="B19125" t="s">
        <v>12070</v>
      </c>
      <c r="C19125" t="s">
        <v>12071</v>
      </c>
      <c r="D19125" t="s">
        <v>6211</v>
      </c>
      <c r="E19125" t="s">
        <v>6212</v>
      </c>
      <c r="F19125" t="s">
        <v>56</v>
      </c>
      <c r="G19125" t="s">
        <v>49029</v>
      </c>
      <c r="H19125" t="s">
        <v>47054</v>
      </c>
      <c r="I19125" t="s">
        <v>47111</v>
      </c>
      <c r="J19125" t="s">
        <v>47112</v>
      </c>
      <c r="K19125" t="s">
        <v>47113</v>
      </c>
      <c r="L19125">
        <v>49.61</v>
      </c>
      <c r="M19125">
        <v>108</v>
      </c>
      <c r="N19125">
        <v>0</v>
      </c>
      <c r="O19125">
        <v>108</v>
      </c>
      <c r="P19125">
        <v>0</v>
      </c>
    </row>
    <row r="19126" spans="1:16" x14ac:dyDescent="0.25">
      <c r="A19126" t="s">
        <v>41732</v>
      </c>
      <c r="B19126" t="s">
        <v>12070</v>
      </c>
      <c r="C19126" t="s">
        <v>12071</v>
      </c>
      <c r="D19126" t="s">
        <v>617</v>
      </c>
      <c r="E19126" t="s">
        <v>618</v>
      </c>
      <c r="F19126" t="s">
        <v>56</v>
      </c>
      <c r="G19126" t="s">
        <v>49029</v>
      </c>
      <c r="H19126" t="s">
        <v>47054</v>
      </c>
      <c r="I19126" t="s">
        <v>47111</v>
      </c>
      <c r="J19126" t="s">
        <v>47112</v>
      </c>
      <c r="K19126" t="s">
        <v>47113</v>
      </c>
      <c r="L19126">
        <v>45.69</v>
      </c>
      <c r="M19126">
        <v>108</v>
      </c>
      <c r="N19126">
        <v>0</v>
      </c>
      <c r="O19126">
        <v>108</v>
      </c>
      <c r="P19126">
        <v>0</v>
      </c>
    </row>
    <row r="19127" spans="1:16" x14ac:dyDescent="0.25">
      <c r="A19127" t="s">
        <v>41733</v>
      </c>
      <c r="B19127" t="s">
        <v>12072</v>
      </c>
      <c r="C19127" t="s">
        <v>12073</v>
      </c>
      <c r="D19127" t="s">
        <v>3064</v>
      </c>
      <c r="E19127" t="s">
        <v>3065</v>
      </c>
      <c r="F19127" t="s">
        <v>631</v>
      </c>
      <c r="G19127" t="s">
        <v>47093</v>
      </c>
      <c r="H19127" t="s">
        <v>47054</v>
      </c>
      <c r="I19127" t="s">
        <v>47111</v>
      </c>
      <c r="J19127" t="s">
        <v>47112</v>
      </c>
      <c r="K19127" t="s">
        <v>47113</v>
      </c>
      <c r="L19127">
        <v>74.3</v>
      </c>
      <c r="M19127">
        <v>184</v>
      </c>
      <c r="N19127">
        <v>0</v>
      </c>
      <c r="O19127">
        <v>184</v>
      </c>
      <c r="P19127">
        <v>0</v>
      </c>
    </row>
    <row r="19128" spans="1:16" x14ac:dyDescent="0.25">
      <c r="A19128" t="s">
        <v>41734</v>
      </c>
      <c r="B19128" t="s">
        <v>12072</v>
      </c>
      <c r="C19128" t="s">
        <v>12073</v>
      </c>
      <c r="D19128" t="s">
        <v>6203</v>
      </c>
      <c r="E19128" t="s">
        <v>6204</v>
      </c>
      <c r="F19128" t="s">
        <v>631</v>
      </c>
      <c r="G19128" t="s">
        <v>47093</v>
      </c>
      <c r="H19128" t="s">
        <v>47054</v>
      </c>
      <c r="I19128" t="s">
        <v>47111</v>
      </c>
      <c r="J19128" t="s">
        <v>47112</v>
      </c>
      <c r="K19128" t="s">
        <v>47113</v>
      </c>
      <c r="L19128">
        <v>61</v>
      </c>
      <c r="M19128">
        <v>177</v>
      </c>
      <c r="N19128">
        <v>0</v>
      </c>
      <c r="O19128">
        <v>177</v>
      </c>
      <c r="P19128">
        <v>0</v>
      </c>
    </row>
    <row r="19129" spans="1:16" x14ac:dyDescent="0.25">
      <c r="A19129" t="s">
        <v>41735</v>
      </c>
      <c r="B19129" t="s">
        <v>12072</v>
      </c>
      <c r="C19129" t="s">
        <v>12073</v>
      </c>
      <c r="D19129" t="s">
        <v>6217</v>
      </c>
      <c r="E19129" t="s">
        <v>6218</v>
      </c>
      <c r="F19129" t="s">
        <v>58</v>
      </c>
      <c r="G19129" t="s">
        <v>47093</v>
      </c>
      <c r="H19129" t="s">
        <v>47054</v>
      </c>
      <c r="I19129" t="s">
        <v>47111</v>
      </c>
      <c r="J19129" t="s">
        <v>47112</v>
      </c>
      <c r="K19129" t="s">
        <v>47113</v>
      </c>
      <c r="L19129">
        <v>58.69</v>
      </c>
      <c r="M19129">
        <v>184</v>
      </c>
      <c r="N19129">
        <v>0</v>
      </c>
      <c r="O19129">
        <v>184</v>
      </c>
      <c r="P19129">
        <v>0</v>
      </c>
    </row>
    <row r="19130" spans="1:16" x14ac:dyDescent="0.25">
      <c r="A19130" t="s">
        <v>41736</v>
      </c>
      <c r="B19130" t="s">
        <v>12072</v>
      </c>
      <c r="C19130" t="s">
        <v>12073</v>
      </c>
      <c r="D19130" t="s">
        <v>6209</v>
      </c>
      <c r="E19130" t="s">
        <v>6210</v>
      </c>
      <c r="F19130" t="s">
        <v>8</v>
      </c>
      <c r="G19130" t="s">
        <v>47093</v>
      </c>
      <c r="H19130" t="s">
        <v>47054</v>
      </c>
      <c r="I19130" t="s">
        <v>47111</v>
      </c>
      <c r="J19130" t="s">
        <v>47112</v>
      </c>
      <c r="K19130" t="s">
        <v>47113</v>
      </c>
      <c r="L19130">
        <v>61.27</v>
      </c>
      <c r="M19130">
        <v>165</v>
      </c>
      <c r="N19130">
        <v>0</v>
      </c>
      <c r="O19130">
        <v>165</v>
      </c>
      <c r="P19130">
        <v>0</v>
      </c>
    </row>
    <row r="19131" spans="1:16" x14ac:dyDescent="0.25">
      <c r="A19131" t="s">
        <v>41737</v>
      </c>
      <c r="B19131" t="s">
        <v>12072</v>
      </c>
      <c r="C19131" t="s">
        <v>12073</v>
      </c>
      <c r="D19131" t="s">
        <v>6193</v>
      </c>
      <c r="E19131" t="s">
        <v>6194</v>
      </c>
      <c r="F19131" t="s">
        <v>8</v>
      </c>
      <c r="G19131" t="s">
        <v>47093</v>
      </c>
      <c r="H19131" t="s">
        <v>47054</v>
      </c>
      <c r="I19131" t="s">
        <v>47111</v>
      </c>
      <c r="J19131" t="s">
        <v>47112</v>
      </c>
      <c r="K19131" t="s">
        <v>47113</v>
      </c>
      <c r="L19131">
        <v>58.26</v>
      </c>
      <c r="M19131">
        <v>148</v>
      </c>
      <c r="N19131">
        <v>0</v>
      </c>
      <c r="O19131">
        <v>148</v>
      </c>
      <c r="P19131">
        <v>0</v>
      </c>
    </row>
    <row r="19132" spans="1:16" x14ac:dyDescent="0.25">
      <c r="A19132" t="s">
        <v>41738</v>
      </c>
      <c r="B19132" t="s">
        <v>12072</v>
      </c>
      <c r="C19132" t="s">
        <v>12073</v>
      </c>
      <c r="D19132" t="s">
        <v>294</v>
      </c>
      <c r="E19132" t="s">
        <v>295</v>
      </c>
      <c r="F19132" t="s">
        <v>8</v>
      </c>
      <c r="G19132" t="s">
        <v>47093</v>
      </c>
      <c r="H19132" t="s">
        <v>47054</v>
      </c>
      <c r="I19132" t="s">
        <v>47111</v>
      </c>
      <c r="J19132" t="s">
        <v>47112</v>
      </c>
      <c r="K19132" t="s">
        <v>47113</v>
      </c>
      <c r="L19132">
        <v>62.47</v>
      </c>
      <c r="M19132">
        <v>154</v>
      </c>
      <c r="N19132">
        <v>0</v>
      </c>
      <c r="O19132">
        <v>154</v>
      </c>
      <c r="P19132">
        <v>0</v>
      </c>
    </row>
    <row r="19133" spans="1:16" x14ac:dyDescent="0.25">
      <c r="A19133" t="s">
        <v>41739</v>
      </c>
      <c r="B19133" t="s">
        <v>12072</v>
      </c>
      <c r="C19133" t="s">
        <v>12073</v>
      </c>
      <c r="D19133" t="s">
        <v>6219</v>
      </c>
      <c r="E19133" t="s">
        <v>6220</v>
      </c>
      <c r="F19133" t="s">
        <v>8</v>
      </c>
      <c r="G19133" t="s">
        <v>47093</v>
      </c>
      <c r="H19133" t="s">
        <v>47054</v>
      </c>
      <c r="I19133" t="s">
        <v>47111</v>
      </c>
      <c r="J19133" t="s">
        <v>47112</v>
      </c>
      <c r="K19133" t="s">
        <v>47113</v>
      </c>
      <c r="L19133">
        <v>61.27</v>
      </c>
      <c r="M19133">
        <v>163</v>
      </c>
      <c r="N19133">
        <v>0</v>
      </c>
      <c r="O19133">
        <v>163</v>
      </c>
      <c r="P19133">
        <v>0</v>
      </c>
    </row>
    <row r="19134" spans="1:16" x14ac:dyDescent="0.25">
      <c r="A19134" t="s">
        <v>41740</v>
      </c>
      <c r="B19134" t="s">
        <v>12072</v>
      </c>
      <c r="C19134" t="s">
        <v>12073</v>
      </c>
      <c r="D19134" t="s">
        <v>1381</v>
      </c>
      <c r="E19134" t="s">
        <v>6221</v>
      </c>
      <c r="F19134" t="s">
        <v>52</v>
      </c>
      <c r="G19134" t="s">
        <v>47093</v>
      </c>
      <c r="H19134" t="s">
        <v>47054</v>
      </c>
      <c r="I19134" t="s">
        <v>47111</v>
      </c>
      <c r="J19134" t="s">
        <v>47112</v>
      </c>
      <c r="K19134" t="s">
        <v>47113</v>
      </c>
      <c r="L19134">
        <v>75.44</v>
      </c>
      <c r="M19134">
        <v>185</v>
      </c>
      <c r="N19134">
        <v>0</v>
      </c>
      <c r="O19134">
        <v>185</v>
      </c>
      <c r="P19134">
        <v>0</v>
      </c>
    </row>
    <row r="19135" spans="1:16" x14ac:dyDescent="0.25">
      <c r="A19135" t="s">
        <v>41741</v>
      </c>
      <c r="B19135" t="s">
        <v>12074</v>
      </c>
      <c r="C19135" t="s">
        <v>12075</v>
      </c>
      <c r="D19135" t="s">
        <v>3064</v>
      </c>
      <c r="E19135" t="s">
        <v>3065</v>
      </c>
      <c r="F19135" t="s">
        <v>8</v>
      </c>
      <c r="G19135" t="s">
        <v>47093</v>
      </c>
      <c r="H19135" t="s">
        <v>47054</v>
      </c>
      <c r="I19135" t="s">
        <v>47111</v>
      </c>
      <c r="J19135" t="s">
        <v>47112</v>
      </c>
      <c r="K19135" t="s">
        <v>47113</v>
      </c>
      <c r="L19135">
        <v>60.27</v>
      </c>
      <c r="M19135">
        <v>170</v>
      </c>
      <c r="N19135">
        <v>0</v>
      </c>
      <c r="O19135">
        <v>170</v>
      </c>
      <c r="P19135">
        <v>0</v>
      </c>
    </row>
    <row r="19136" spans="1:16" x14ac:dyDescent="0.25">
      <c r="A19136" t="s">
        <v>41742</v>
      </c>
      <c r="B19136" t="s">
        <v>12074</v>
      </c>
      <c r="C19136" t="s">
        <v>12075</v>
      </c>
      <c r="D19136" t="s">
        <v>6203</v>
      </c>
      <c r="E19136" t="s">
        <v>6204</v>
      </c>
      <c r="F19136" t="s">
        <v>8</v>
      </c>
      <c r="G19136" t="s">
        <v>47093</v>
      </c>
      <c r="H19136" t="s">
        <v>47054</v>
      </c>
      <c r="I19136" t="s">
        <v>47111</v>
      </c>
      <c r="J19136" t="s">
        <v>47112</v>
      </c>
      <c r="K19136" t="s">
        <v>47113</v>
      </c>
      <c r="L19136">
        <v>57.38</v>
      </c>
      <c r="M19136">
        <v>163</v>
      </c>
      <c r="N19136">
        <v>0</v>
      </c>
      <c r="O19136">
        <v>163</v>
      </c>
      <c r="P19136">
        <v>0</v>
      </c>
    </row>
    <row r="19137" spans="1:16" x14ac:dyDescent="0.25">
      <c r="A19137" t="s">
        <v>41743</v>
      </c>
      <c r="B19137" t="s">
        <v>12074</v>
      </c>
      <c r="C19137" t="s">
        <v>12075</v>
      </c>
      <c r="D19137" t="s">
        <v>6217</v>
      </c>
      <c r="E19137" t="s">
        <v>6218</v>
      </c>
      <c r="F19137" t="s">
        <v>8</v>
      </c>
      <c r="G19137" t="s">
        <v>47093</v>
      </c>
      <c r="H19137" t="s">
        <v>47054</v>
      </c>
      <c r="I19137" t="s">
        <v>47111</v>
      </c>
      <c r="J19137" t="s">
        <v>47112</v>
      </c>
      <c r="K19137" t="s">
        <v>47113</v>
      </c>
      <c r="L19137">
        <v>55.08</v>
      </c>
      <c r="M19137">
        <v>170</v>
      </c>
      <c r="N19137">
        <v>0</v>
      </c>
      <c r="O19137">
        <v>170</v>
      </c>
      <c r="P19137">
        <v>0</v>
      </c>
    </row>
    <row r="19138" spans="1:16" x14ac:dyDescent="0.25">
      <c r="A19138" t="s">
        <v>41744</v>
      </c>
      <c r="B19138" t="s">
        <v>12074</v>
      </c>
      <c r="C19138" t="s">
        <v>12075</v>
      </c>
      <c r="D19138" t="s">
        <v>6209</v>
      </c>
      <c r="E19138" t="s">
        <v>6210</v>
      </c>
      <c r="F19138" t="s">
        <v>8</v>
      </c>
      <c r="G19138" t="s">
        <v>47093</v>
      </c>
      <c r="H19138" t="s">
        <v>47054</v>
      </c>
      <c r="I19138" t="s">
        <v>47111</v>
      </c>
      <c r="J19138" t="s">
        <v>47112</v>
      </c>
      <c r="K19138" t="s">
        <v>47113</v>
      </c>
      <c r="L19138">
        <v>55.73</v>
      </c>
      <c r="M19138">
        <v>151</v>
      </c>
      <c r="N19138">
        <v>0</v>
      </c>
      <c r="O19138">
        <v>151</v>
      </c>
      <c r="P19138">
        <v>0</v>
      </c>
    </row>
    <row r="19139" spans="1:16" x14ac:dyDescent="0.25">
      <c r="A19139" t="s">
        <v>41745</v>
      </c>
      <c r="B19139" t="s">
        <v>12074</v>
      </c>
      <c r="C19139" t="s">
        <v>12075</v>
      </c>
      <c r="D19139" t="s">
        <v>6193</v>
      </c>
      <c r="E19139" t="s">
        <v>6194</v>
      </c>
      <c r="F19139" t="s">
        <v>8</v>
      </c>
      <c r="G19139" t="s">
        <v>47093</v>
      </c>
      <c r="H19139" t="s">
        <v>47054</v>
      </c>
      <c r="I19139" t="s">
        <v>47111</v>
      </c>
      <c r="J19139" t="s">
        <v>47112</v>
      </c>
      <c r="K19139" t="s">
        <v>47113</v>
      </c>
      <c r="L19139">
        <v>52.71</v>
      </c>
      <c r="M19139">
        <v>134</v>
      </c>
      <c r="N19139">
        <v>0</v>
      </c>
      <c r="O19139">
        <v>134</v>
      </c>
      <c r="P19139">
        <v>0</v>
      </c>
    </row>
    <row r="19140" spans="1:16" x14ac:dyDescent="0.25">
      <c r="A19140" t="s">
        <v>41746</v>
      </c>
      <c r="B19140" t="s">
        <v>12074</v>
      </c>
      <c r="C19140" t="s">
        <v>12075</v>
      </c>
      <c r="D19140" t="s">
        <v>294</v>
      </c>
      <c r="E19140" t="s">
        <v>295</v>
      </c>
      <c r="F19140" t="s">
        <v>8</v>
      </c>
      <c r="G19140" t="s">
        <v>47093</v>
      </c>
      <c r="H19140" t="s">
        <v>47054</v>
      </c>
      <c r="I19140" t="s">
        <v>47111</v>
      </c>
      <c r="J19140" t="s">
        <v>47112</v>
      </c>
      <c r="K19140" t="s">
        <v>47113</v>
      </c>
      <c r="L19140">
        <v>53.71</v>
      </c>
      <c r="M19140">
        <v>140</v>
      </c>
      <c r="N19140">
        <v>0</v>
      </c>
      <c r="O19140">
        <v>140</v>
      </c>
      <c r="P19140">
        <v>0</v>
      </c>
    </row>
    <row r="19141" spans="1:16" x14ac:dyDescent="0.25">
      <c r="A19141" t="s">
        <v>41747</v>
      </c>
      <c r="B19141" t="s">
        <v>12074</v>
      </c>
      <c r="C19141" t="s">
        <v>12075</v>
      </c>
      <c r="D19141" t="s">
        <v>6219</v>
      </c>
      <c r="E19141" t="s">
        <v>6220</v>
      </c>
      <c r="F19141" t="s">
        <v>8</v>
      </c>
      <c r="G19141" t="s">
        <v>47093</v>
      </c>
      <c r="H19141" t="s">
        <v>47054</v>
      </c>
      <c r="I19141" t="s">
        <v>47111</v>
      </c>
      <c r="J19141" t="s">
        <v>47112</v>
      </c>
      <c r="K19141" t="s">
        <v>47113</v>
      </c>
      <c r="L19141">
        <v>55.73</v>
      </c>
      <c r="M19141">
        <v>149</v>
      </c>
      <c r="N19141">
        <v>0</v>
      </c>
      <c r="O19141">
        <v>149</v>
      </c>
      <c r="P19141">
        <v>0</v>
      </c>
    </row>
    <row r="19142" spans="1:16" x14ac:dyDescent="0.25">
      <c r="A19142" t="s">
        <v>41748</v>
      </c>
      <c r="B19142" t="s">
        <v>12074</v>
      </c>
      <c r="C19142" t="s">
        <v>12075</v>
      </c>
      <c r="D19142" t="s">
        <v>1381</v>
      </c>
      <c r="E19142" t="s">
        <v>6221</v>
      </c>
      <c r="F19142" t="s">
        <v>52</v>
      </c>
      <c r="G19142" t="s">
        <v>47093</v>
      </c>
      <c r="H19142" t="s">
        <v>47054</v>
      </c>
      <c r="I19142" t="s">
        <v>47111</v>
      </c>
      <c r="J19142" t="s">
        <v>47112</v>
      </c>
      <c r="K19142" t="s">
        <v>47113</v>
      </c>
      <c r="L19142">
        <v>69.790000000000006</v>
      </c>
      <c r="M19142">
        <v>171</v>
      </c>
      <c r="N19142">
        <v>0</v>
      </c>
      <c r="O19142">
        <v>171</v>
      </c>
      <c r="P19142">
        <v>0</v>
      </c>
    </row>
    <row r="19143" spans="1:16" x14ac:dyDescent="0.25">
      <c r="A19143" t="s">
        <v>41749</v>
      </c>
      <c r="B19143" t="s">
        <v>12076</v>
      </c>
      <c r="C19143" t="s">
        <v>12077</v>
      </c>
      <c r="D19143" t="s">
        <v>721</v>
      </c>
      <c r="E19143" t="s">
        <v>722</v>
      </c>
      <c r="F19143" t="s">
        <v>56</v>
      </c>
      <c r="G19143" t="s">
        <v>47093</v>
      </c>
      <c r="H19143" t="s">
        <v>47054</v>
      </c>
      <c r="I19143" t="s">
        <v>47114</v>
      </c>
      <c r="J19143" t="s">
        <v>47115</v>
      </c>
      <c r="K19143" t="s">
        <v>47113</v>
      </c>
      <c r="L19143">
        <v>45.86</v>
      </c>
      <c r="M19143">
        <v>101</v>
      </c>
      <c r="N19143">
        <v>0</v>
      </c>
      <c r="O19143">
        <v>101</v>
      </c>
      <c r="P19143">
        <v>0</v>
      </c>
    </row>
    <row r="19144" spans="1:16" x14ac:dyDescent="0.25">
      <c r="A19144" t="s">
        <v>41750</v>
      </c>
      <c r="B19144" t="s">
        <v>12076</v>
      </c>
      <c r="C19144" t="s">
        <v>12077</v>
      </c>
      <c r="D19144" t="s">
        <v>617</v>
      </c>
      <c r="E19144" t="s">
        <v>618</v>
      </c>
      <c r="F19144" t="s">
        <v>56</v>
      </c>
      <c r="G19144" t="s">
        <v>47093</v>
      </c>
      <c r="H19144" t="s">
        <v>47054</v>
      </c>
      <c r="I19144" t="s">
        <v>47111</v>
      </c>
      <c r="J19144" t="s">
        <v>47112</v>
      </c>
      <c r="K19144" t="s">
        <v>47113</v>
      </c>
      <c r="L19144">
        <v>61.36</v>
      </c>
      <c r="M19144">
        <v>132</v>
      </c>
      <c r="N19144">
        <v>0</v>
      </c>
      <c r="O19144">
        <v>132</v>
      </c>
      <c r="P19144">
        <v>0</v>
      </c>
    </row>
    <row r="19145" spans="1:16" x14ac:dyDescent="0.25">
      <c r="A19145" t="s">
        <v>41751</v>
      </c>
      <c r="B19145" t="s">
        <v>12078</v>
      </c>
      <c r="C19145" t="s">
        <v>12079</v>
      </c>
      <c r="D19145" t="s">
        <v>2981</v>
      </c>
      <c r="E19145" t="s">
        <v>2982</v>
      </c>
      <c r="F19145" t="s">
        <v>56</v>
      </c>
      <c r="G19145" t="s">
        <v>47098</v>
      </c>
      <c r="H19145" t="s">
        <v>47054</v>
      </c>
      <c r="I19145" t="s">
        <v>47114</v>
      </c>
      <c r="J19145" t="s">
        <v>47115</v>
      </c>
      <c r="K19145" t="s">
        <v>47113</v>
      </c>
      <c r="L19145">
        <v>55.76</v>
      </c>
      <c r="M19145">
        <v>141</v>
      </c>
      <c r="N19145">
        <v>0</v>
      </c>
      <c r="O19145">
        <v>141</v>
      </c>
      <c r="P19145">
        <v>0</v>
      </c>
    </row>
    <row r="19146" spans="1:16" x14ac:dyDescent="0.25">
      <c r="A19146" t="s">
        <v>41752</v>
      </c>
      <c r="B19146" t="s">
        <v>12080</v>
      </c>
      <c r="C19146" t="s">
        <v>12081</v>
      </c>
      <c r="D19146" t="s">
        <v>2981</v>
      </c>
      <c r="E19146" t="s">
        <v>2982</v>
      </c>
      <c r="F19146" t="s">
        <v>56</v>
      </c>
      <c r="G19146" t="s">
        <v>47093</v>
      </c>
      <c r="H19146" t="s">
        <v>47054</v>
      </c>
      <c r="I19146" t="s">
        <v>47114</v>
      </c>
      <c r="J19146" t="s">
        <v>47115</v>
      </c>
      <c r="K19146" t="s">
        <v>47113</v>
      </c>
      <c r="L19146">
        <v>59.96</v>
      </c>
      <c r="M19146">
        <v>146</v>
      </c>
      <c r="N19146">
        <v>0</v>
      </c>
      <c r="O19146">
        <v>146</v>
      </c>
      <c r="P19146">
        <v>0</v>
      </c>
    </row>
    <row r="19147" spans="1:16" x14ac:dyDescent="0.25">
      <c r="A19147" t="s">
        <v>41753</v>
      </c>
      <c r="B19147" t="s">
        <v>12082</v>
      </c>
      <c r="C19147" t="s">
        <v>12083</v>
      </c>
      <c r="D19147" t="s">
        <v>2028</v>
      </c>
      <c r="E19147" t="s">
        <v>2029</v>
      </c>
      <c r="F19147" t="s">
        <v>56</v>
      </c>
      <c r="G19147" t="s">
        <v>47093</v>
      </c>
      <c r="H19147" t="s">
        <v>47054</v>
      </c>
      <c r="I19147" t="s">
        <v>47114</v>
      </c>
      <c r="J19147" t="s">
        <v>47115</v>
      </c>
      <c r="K19147" t="s">
        <v>47113</v>
      </c>
      <c r="L19147">
        <v>57.99</v>
      </c>
      <c r="M19147">
        <v>127</v>
      </c>
      <c r="N19147">
        <v>0</v>
      </c>
      <c r="O19147">
        <v>127</v>
      </c>
      <c r="P19147">
        <v>0</v>
      </c>
    </row>
    <row r="19148" spans="1:16" x14ac:dyDescent="0.25">
      <c r="A19148" t="s">
        <v>41754</v>
      </c>
      <c r="B19148" t="s">
        <v>12082</v>
      </c>
      <c r="C19148" t="s">
        <v>12083</v>
      </c>
      <c r="D19148" t="s">
        <v>2981</v>
      </c>
      <c r="E19148" t="s">
        <v>2982</v>
      </c>
      <c r="F19148" t="s">
        <v>56</v>
      </c>
      <c r="G19148" t="s">
        <v>47093</v>
      </c>
      <c r="H19148" t="s">
        <v>47054</v>
      </c>
      <c r="I19148" t="s">
        <v>47114</v>
      </c>
      <c r="J19148" t="s">
        <v>47115</v>
      </c>
      <c r="K19148" t="s">
        <v>47113</v>
      </c>
      <c r="L19148">
        <v>63.35</v>
      </c>
      <c r="M19148">
        <v>146</v>
      </c>
      <c r="N19148">
        <v>0</v>
      </c>
      <c r="O19148">
        <v>146</v>
      </c>
      <c r="P19148">
        <v>0</v>
      </c>
    </row>
    <row r="19149" spans="1:16" x14ac:dyDescent="0.25">
      <c r="A19149" t="s">
        <v>41755</v>
      </c>
      <c r="B19149" t="s">
        <v>12084</v>
      </c>
      <c r="C19149" t="s">
        <v>12085</v>
      </c>
      <c r="D19149" t="s">
        <v>721</v>
      </c>
      <c r="E19149" t="s">
        <v>722</v>
      </c>
      <c r="F19149" t="s">
        <v>56</v>
      </c>
      <c r="G19149" t="s">
        <v>47093</v>
      </c>
      <c r="H19149" t="s">
        <v>47054</v>
      </c>
      <c r="I19149" t="s">
        <v>47111</v>
      </c>
      <c r="J19149" t="s">
        <v>47112</v>
      </c>
      <c r="K19149" t="s">
        <v>47113</v>
      </c>
      <c r="L19149">
        <v>40.200000000000003</v>
      </c>
      <c r="M19149">
        <v>89</v>
      </c>
      <c r="N19149">
        <v>0</v>
      </c>
      <c r="O19149">
        <v>89</v>
      </c>
      <c r="P19149">
        <v>0</v>
      </c>
    </row>
    <row r="19150" spans="1:16" x14ac:dyDescent="0.25">
      <c r="A19150" t="s">
        <v>41756</v>
      </c>
      <c r="B19150" t="s">
        <v>12084</v>
      </c>
      <c r="C19150" t="s">
        <v>12085</v>
      </c>
      <c r="D19150" t="s">
        <v>2981</v>
      </c>
      <c r="E19150" t="s">
        <v>2982</v>
      </c>
      <c r="F19150" t="s">
        <v>56</v>
      </c>
      <c r="G19150" t="s">
        <v>47093</v>
      </c>
      <c r="H19150" t="s">
        <v>47054</v>
      </c>
      <c r="I19150" t="s">
        <v>47111</v>
      </c>
      <c r="J19150" t="s">
        <v>47112</v>
      </c>
      <c r="K19150" t="s">
        <v>47113</v>
      </c>
      <c r="L19150">
        <v>61.31</v>
      </c>
      <c r="M19150">
        <v>146</v>
      </c>
      <c r="N19150">
        <v>0</v>
      </c>
      <c r="O19150">
        <v>146</v>
      </c>
      <c r="P19150">
        <v>0</v>
      </c>
    </row>
    <row r="19151" spans="1:16" x14ac:dyDescent="0.25">
      <c r="A19151" t="s">
        <v>41757</v>
      </c>
      <c r="B19151" t="s">
        <v>12086</v>
      </c>
      <c r="C19151" t="s">
        <v>12087</v>
      </c>
      <c r="D19151" t="s">
        <v>2981</v>
      </c>
      <c r="E19151" t="s">
        <v>2982</v>
      </c>
      <c r="F19151" t="s">
        <v>56</v>
      </c>
      <c r="G19151" t="s">
        <v>47093</v>
      </c>
      <c r="H19151" t="s">
        <v>47054</v>
      </c>
      <c r="I19151" t="s">
        <v>47111</v>
      </c>
      <c r="J19151" t="s">
        <v>47112</v>
      </c>
      <c r="K19151" t="s">
        <v>47113</v>
      </c>
      <c r="L19151">
        <v>57.33</v>
      </c>
      <c r="M19151">
        <v>146</v>
      </c>
      <c r="N19151">
        <v>0</v>
      </c>
      <c r="O19151">
        <v>146</v>
      </c>
      <c r="P19151">
        <v>0</v>
      </c>
    </row>
    <row r="19152" spans="1:16" x14ac:dyDescent="0.25">
      <c r="A19152" t="s">
        <v>41758</v>
      </c>
      <c r="B19152" t="s">
        <v>12088</v>
      </c>
      <c r="C19152" t="s">
        <v>12089</v>
      </c>
      <c r="D19152" t="s">
        <v>2981</v>
      </c>
      <c r="E19152" t="s">
        <v>2982</v>
      </c>
      <c r="F19152" t="s">
        <v>56</v>
      </c>
      <c r="G19152" t="s">
        <v>49029</v>
      </c>
      <c r="H19152" t="s">
        <v>47054</v>
      </c>
      <c r="I19152" t="s">
        <v>47114</v>
      </c>
      <c r="J19152" t="s">
        <v>47115</v>
      </c>
      <c r="K19152" t="s">
        <v>47113</v>
      </c>
      <c r="L19152">
        <v>38.409999999999997</v>
      </c>
      <c r="M19152">
        <v>93</v>
      </c>
      <c r="N19152">
        <v>0</v>
      </c>
      <c r="O19152">
        <v>93</v>
      </c>
      <c r="P19152">
        <v>0</v>
      </c>
    </row>
    <row r="19153" spans="1:16" x14ac:dyDescent="0.25">
      <c r="A19153" t="s">
        <v>41759</v>
      </c>
      <c r="B19153" t="s">
        <v>12090</v>
      </c>
      <c r="C19153" t="s">
        <v>12091</v>
      </c>
      <c r="D19153" t="s">
        <v>2028</v>
      </c>
      <c r="E19153" t="s">
        <v>2029</v>
      </c>
      <c r="F19153" t="s">
        <v>56</v>
      </c>
      <c r="G19153" t="s">
        <v>49030</v>
      </c>
      <c r="H19153" t="s">
        <v>47054</v>
      </c>
      <c r="I19153" t="s">
        <v>47114</v>
      </c>
      <c r="J19153" t="s">
        <v>47115</v>
      </c>
      <c r="K19153" t="s">
        <v>47113</v>
      </c>
      <c r="L19153">
        <v>36.130000000000003</v>
      </c>
      <c r="M19153">
        <v>87</v>
      </c>
      <c r="N19153">
        <v>0</v>
      </c>
      <c r="O19153">
        <v>87</v>
      </c>
      <c r="P19153">
        <v>0</v>
      </c>
    </row>
    <row r="19154" spans="1:16" x14ac:dyDescent="0.25">
      <c r="A19154" t="s">
        <v>41760</v>
      </c>
      <c r="B19154" t="s">
        <v>12090</v>
      </c>
      <c r="C19154" t="s">
        <v>12091</v>
      </c>
      <c r="D19154" t="s">
        <v>2981</v>
      </c>
      <c r="E19154" t="s">
        <v>2982</v>
      </c>
      <c r="F19154" t="s">
        <v>56</v>
      </c>
      <c r="G19154" t="s">
        <v>49030</v>
      </c>
      <c r="H19154" t="s">
        <v>47054</v>
      </c>
      <c r="I19154" t="s">
        <v>47114</v>
      </c>
      <c r="J19154" t="s">
        <v>47115</v>
      </c>
      <c r="K19154" t="s">
        <v>47113</v>
      </c>
      <c r="L19154">
        <v>38.71</v>
      </c>
      <c r="M19154">
        <v>92</v>
      </c>
      <c r="N19154">
        <v>0</v>
      </c>
      <c r="O19154">
        <v>92</v>
      </c>
      <c r="P19154">
        <v>0</v>
      </c>
    </row>
    <row r="19155" spans="1:16" x14ac:dyDescent="0.25">
      <c r="A19155" t="s">
        <v>41761</v>
      </c>
      <c r="B19155" t="s">
        <v>12092</v>
      </c>
      <c r="C19155" t="s">
        <v>12093</v>
      </c>
      <c r="D19155" t="s">
        <v>2028</v>
      </c>
      <c r="E19155" t="s">
        <v>2029</v>
      </c>
      <c r="F19155" t="s">
        <v>56</v>
      </c>
      <c r="G19155" t="s">
        <v>47093</v>
      </c>
      <c r="H19155" t="s">
        <v>47054</v>
      </c>
      <c r="I19155" t="s">
        <v>47114</v>
      </c>
      <c r="J19155" t="s">
        <v>47115</v>
      </c>
      <c r="K19155" t="s">
        <v>47113</v>
      </c>
      <c r="L19155">
        <v>51.12</v>
      </c>
      <c r="M19155">
        <v>127</v>
      </c>
      <c r="N19155">
        <v>0</v>
      </c>
      <c r="O19155">
        <v>127</v>
      </c>
      <c r="P19155">
        <v>0</v>
      </c>
    </row>
    <row r="19156" spans="1:16" x14ac:dyDescent="0.25">
      <c r="A19156" t="s">
        <v>41762</v>
      </c>
      <c r="B19156" t="s">
        <v>12094</v>
      </c>
      <c r="C19156" t="s">
        <v>12095</v>
      </c>
      <c r="D19156" t="s">
        <v>1164</v>
      </c>
      <c r="E19156" t="s">
        <v>1165</v>
      </c>
      <c r="F19156" t="s">
        <v>8</v>
      </c>
      <c r="G19156" t="s">
        <v>47093</v>
      </c>
      <c r="H19156" t="s">
        <v>47054</v>
      </c>
      <c r="I19156" t="s">
        <v>47111</v>
      </c>
      <c r="J19156" t="s">
        <v>47112</v>
      </c>
      <c r="K19156" t="s">
        <v>47113</v>
      </c>
      <c r="L19156">
        <v>33.4</v>
      </c>
      <c r="M19156">
        <v>81</v>
      </c>
      <c r="N19156">
        <v>0</v>
      </c>
      <c r="O19156">
        <v>81</v>
      </c>
      <c r="P19156">
        <v>0</v>
      </c>
    </row>
    <row r="19157" spans="1:16" x14ac:dyDescent="0.25">
      <c r="A19157" t="s">
        <v>41763</v>
      </c>
      <c r="B19157" t="s">
        <v>12096</v>
      </c>
      <c r="C19157" t="s">
        <v>1785</v>
      </c>
      <c r="D19157" t="s">
        <v>721</v>
      </c>
      <c r="E19157" t="s">
        <v>722</v>
      </c>
      <c r="F19157" t="s">
        <v>56</v>
      </c>
      <c r="G19157" t="s">
        <v>47093</v>
      </c>
      <c r="H19157" t="s">
        <v>47054</v>
      </c>
      <c r="I19157" t="s">
        <v>47111</v>
      </c>
      <c r="J19157" t="s">
        <v>47112</v>
      </c>
      <c r="K19157" t="s">
        <v>47113</v>
      </c>
      <c r="L19157">
        <v>26.81</v>
      </c>
      <c r="M19157">
        <v>60</v>
      </c>
      <c r="N19157">
        <v>0</v>
      </c>
      <c r="O19157">
        <v>60</v>
      </c>
      <c r="P19157">
        <v>0</v>
      </c>
    </row>
    <row r="19158" spans="1:16" x14ac:dyDescent="0.25">
      <c r="A19158" t="s">
        <v>41764</v>
      </c>
      <c r="B19158" t="s">
        <v>12096</v>
      </c>
      <c r="C19158" t="s">
        <v>1785</v>
      </c>
      <c r="D19158" t="s">
        <v>27</v>
      </c>
      <c r="E19158" t="s">
        <v>622</v>
      </c>
      <c r="F19158" t="s">
        <v>56</v>
      </c>
      <c r="G19158" t="s">
        <v>47093</v>
      </c>
      <c r="H19158" t="s">
        <v>47054</v>
      </c>
      <c r="I19158" t="s">
        <v>47111</v>
      </c>
      <c r="J19158" t="s">
        <v>47112</v>
      </c>
      <c r="K19158" t="s">
        <v>47113</v>
      </c>
      <c r="L19158">
        <v>35.06</v>
      </c>
      <c r="M19158">
        <v>77</v>
      </c>
      <c r="N19158">
        <v>0</v>
      </c>
      <c r="O19158">
        <v>77</v>
      </c>
      <c r="P19158">
        <v>0</v>
      </c>
    </row>
    <row r="19159" spans="1:16" x14ac:dyDescent="0.25">
      <c r="A19159" t="s">
        <v>41765</v>
      </c>
      <c r="B19159" t="s">
        <v>12096</v>
      </c>
      <c r="C19159" t="s">
        <v>1785</v>
      </c>
      <c r="D19159" t="str">
        <f>"40"</f>
        <v>40</v>
      </c>
      <c r="E19159" t="s">
        <v>31</v>
      </c>
      <c r="F19159" t="s">
        <v>56</v>
      </c>
      <c r="G19159" t="s">
        <v>47093</v>
      </c>
      <c r="H19159" t="s">
        <v>47054</v>
      </c>
      <c r="I19159" t="s">
        <v>47111</v>
      </c>
      <c r="J19159" t="s">
        <v>47112</v>
      </c>
      <c r="K19159" t="s">
        <v>47113</v>
      </c>
      <c r="L19159">
        <v>33.56</v>
      </c>
      <c r="M19159">
        <v>75</v>
      </c>
      <c r="N19159">
        <v>0</v>
      </c>
      <c r="O19159">
        <v>75</v>
      </c>
      <c r="P19159">
        <v>0</v>
      </c>
    </row>
    <row r="19160" spans="1:16" x14ac:dyDescent="0.25">
      <c r="A19160" t="s">
        <v>41766</v>
      </c>
      <c r="B19160" t="s">
        <v>12097</v>
      </c>
      <c r="C19160" t="s">
        <v>12098</v>
      </c>
      <c r="D19160" t="s">
        <v>27</v>
      </c>
      <c r="E19160" t="s">
        <v>622</v>
      </c>
      <c r="F19160" t="s">
        <v>8</v>
      </c>
      <c r="G19160" t="s">
        <v>47093</v>
      </c>
      <c r="H19160" t="s">
        <v>47054</v>
      </c>
      <c r="I19160" t="s">
        <v>47111</v>
      </c>
      <c r="J19160" t="s">
        <v>47112</v>
      </c>
      <c r="K19160" t="s">
        <v>47113</v>
      </c>
      <c r="L19160">
        <v>34.729999999999997</v>
      </c>
      <c r="M19160">
        <v>77</v>
      </c>
      <c r="N19160">
        <v>0</v>
      </c>
      <c r="O19160">
        <v>77</v>
      </c>
      <c r="P19160">
        <v>0</v>
      </c>
    </row>
    <row r="19161" spans="1:16" x14ac:dyDescent="0.25">
      <c r="A19161" t="s">
        <v>41767</v>
      </c>
      <c r="B19161" t="s">
        <v>12097</v>
      </c>
      <c r="C19161" t="s">
        <v>12098</v>
      </c>
      <c r="D19161" t="str">
        <f>"40"</f>
        <v>40</v>
      </c>
      <c r="E19161" t="s">
        <v>31</v>
      </c>
      <c r="F19161" t="s">
        <v>56</v>
      </c>
      <c r="G19161" t="s">
        <v>47093</v>
      </c>
      <c r="H19161" t="s">
        <v>47054</v>
      </c>
      <c r="I19161" t="s">
        <v>47111</v>
      </c>
      <c r="J19161" t="s">
        <v>47112</v>
      </c>
      <c r="K19161" t="s">
        <v>47113</v>
      </c>
      <c r="L19161">
        <v>33.229999999999997</v>
      </c>
      <c r="M19161">
        <v>75</v>
      </c>
      <c r="N19161">
        <v>0</v>
      </c>
      <c r="O19161">
        <v>75</v>
      </c>
      <c r="P19161">
        <v>0</v>
      </c>
    </row>
    <row r="19162" spans="1:16" x14ac:dyDescent="0.25">
      <c r="A19162" t="s">
        <v>41768</v>
      </c>
      <c r="B19162" t="s">
        <v>12099</v>
      </c>
      <c r="C19162" t="s">
        <v>969</v>
      </c>
      <c r="D19162" t="s">
        <v>721</v>
      </c>
      <c r="E19162" t="s">
        <v>722</v>
      </c>
      <c r="F19162" t="s">
        <v>56</v>
      </c>
      <c r="G19162" t="s">
        <v>47093</v>
      </c>
      <c r="H19162" t="s">
        <v>47054</v>
      </c>
      <c r="I19162" t="s">
        <v>47111</v>
      </c>
      <c r="J19162" t="s">
        <v>47112</v>
      </c>
      <c r="K19162" t="s">
        <v>47113</v>
      </c>
      <c r="L19162">
        <v>24.66</v>
      </c>
      <c r="M19162">
        <v>54</v>
      </c>
      <c r="N19162">
        <v>0</v>
      </c>
      <c r="O19162">
        <v>54</v>
      </c>
      <c r="P19162">
        <v>0</v>
      </c>
    </row>
    <row r="19163" spans="1:16" x14ac:dyDescent="0.25">
      <c r="A19163" t="s">
        <v>41769</v>
      </c>
      <c r="B19163" t="s">
        <v>12099</v>
      </c>
      <c r="C19163" t="s">
        <v>969</v>
      </c>
      <c r="D19163" t="s">
        <v>27</v>
      </c>
      <c r="E19163" t="s">
        <v>622</v>
      </c>
      <c r="F19163" t="s">
        <v>56</v>
      </c>
      <c r="G19163" t="s">
        <v>47093</v>
      </c>
      <c r="H19163" t="s">
        <v>47054</v>
      </c>
      <c r="I19163" t="s">
        <v>47111</v>
      </c>
      <c r="J19163" t="s">
        <v>47112</v>
      </c>
      <c r="K19163" t="s">
        <v>47113</v>
      </c>
      <c r="L19163">
        <v>33.03</v>
      </c>
      <c r="M19163">
        <v>77</v>
      </c>
      <c r="N19163">
        <v>0</v>
      </c>
      <c r="O19163">
        <v>77</v>
      </c>
      <c r="P19163">
        <v>0</v>
      </c>
    </row>
    <row r="19164" spans="1:16" x14ac:dyDescent="0.25">
      <c r="A19164" t="s">
        <v>41770</v>
      </c>
      <c r="B19164" t="s">
        <v>620</v>
      </c>
      <c r="C19164" t="s">
        <v>621</v>
      </c>
      <c r="D19164" t="s">
        <v>721</v>
      </c>
      <c r="E19164" t="s">
        <v>722</v>
      </c>
      <c r="F19164" t="s">
        <v>56</v>
      </c>
      <c r="G19164" t="s">
        <v>47093</v>
      </c>
      <c r="H19164" t="s">
        <v>47054</v>
      </c>
      <c r="I19164" t="s">
        <v>47111</v>
      </c>
      <c r="J19164" t="s">
        <v>47112</v>
      </c>
      <c r="K19164" t="s">
        <v>47113</v>
      </c>
      <c r="L19164">
        <v>23.97</v>
      </c>
      <c r="M19164">
        <v>55</v>
      </c>
      <c r="N19164">
        <v>0</v>
      </c>
      <c r="O19164">
        <v>55</v>
      </c>
      <c r="P19164">
        <v>0</v>
      </c>
    </row>
    <row r="19165" spans="1:16" x14ac:dyDescent="0.25">
      <c r="A19165" t="s">
        <v>619</v>
      </c>
      <c r="B19165" t="s">
        <v>620</v>
      </c>
      <c r="C19165" t="s">
        <v>621</v>
      </c>
      <c r="D19165" t="s">
        <v>27</v>
      </c>
      <c r="E19165" t="s">
        <v>622</v>
      </c>
      <c r="F19165" t="s">
        <v>8</v>
      </c>
      <c r="G19165" t="s">
        <v>47093</v>
      </c>
      <c r="H19165" t="s">
        <v>47054</v>
      </c>
      <c r="I19165" t="s">
        <v>47111</v>
      </c>
      <c r="J19165" t="s">
        <v>47112</v>
      </c>
      <c r="K19165" t="s">
        <v>47113</v>
      </c>
      <c r="L19165">
        <v>31.85</v>
      </c>
      <c r="M19165">
        <v>77</v>
      </c>
      <c r="N19165">
        <v>0</v>
      </c>
      <c r="O19165">
        <v>77</v>
      </c>
      <c r="P19165">
        <v>0</v>
      </c>
    </row>
    <row r="19166" spans="1:16" x14ac:dyDescent="0.25">
      <c r="A19166" t="s">
        <v>623</v>
      </c>
      <c r="B19166" t="s">
        <v>620</v>
      </c>
      <c r="C19166" t="s">
        <v>621</v>
      </c>
      <c r="D19166" t="str">
        <f>"40"</f>
        <v>40</v>
      </c>
      <c r="E19166" t="s">
        <v>31</v>
      </c>
      <c r="F19166" t="s">
        <v>56</v>
      </c>
      <c r="G19166" t="s">
        <v>47093</v>
      </c>
      <c r="H19166" t="s">
        <v>47054</v>
      </c>
      <c r="I19166" t="s">
        <v>47111</v>
      </c>
      <c r="J19166" t="s">
        <v>47112</v>
      </c>
      <c r="K19166" t="s">
        <v>47113</v>
      </c>
      <c r="L19166">
        <v>30.65</v>
      </c>
      <c r="M19166">
        <v>71</v>
      </c>
      <c r="N19166">
        <v>0</v>
      </c>
      <c r="O19166">
        <v>71</v>
      </c>
      <c r="P19166">
        <v>0</v>
      </c>
    </row>
    <row r="19167" spans="1:16" x14ac:dyDescent="0.25">
      <c r="A19167" t="s">
        <v>624</v>
      </c>
      <c r="B19167" t="s">
        <v>625</v>
      </c>
      <c r="C19167" t="s">
        <v>626</v>
      </c>
      <c r="D19167" t="str">
        <f>"11"</f>
        <v>11</v>
      </c>
      <c r="E19167" t="s">
        <v>288</v>
      </c>
      <c r="F19167" t="s">
        <v>52</v>
      </c>
      <c r="G19167" t="s">
        <v>47093</v>
      </c>
      <c r="H19167" t="s">
        <v>47054</v>
      </c>
      <c r="I19167" t="s">
        <v>47111</v>
      </c>
      <c r="J19167" t="s">
        <v>47112</v>
      </c>
      <c r="K19167" t="s">
        <v>47113</v>
      </c>
      <c r="L19167">
        <v>26.43</v>
      </c>
      <c r="M19167">
        <v>61</v>
      </c>
      <c r="N19167">
        <v>0</v>
      </c>
      <c r="O19167">
        <v>61</v>
      </c>
      <c r="P19167">
        <v>0</v>
      </c>
    </row>
    <row r="19168" spans="1:16" x14ac:dyDescent="0.25">
      <c r="A19168" t="s">
        <v>41771</v>
      </c>
      <c r="B19168" t="s">
        <v>12100</v>
      </c>
      <c r="C19168" t="s">
        <v>12101</v>
      </c>
      <c r="D19168" t="str">
        <f>"40"</f>
        <v>40</v>
      </c>
      <c r="E19168" t="s">
        <v>31</v>
      </c>
      <c r="F19168" t="s">
        <v>8</v>
      </c>
      <c r="G19168" t="s">
        <v>47093</v>
      </c>
      <c r="H19168" t="s">
        <v>47054</v>
      </c>
      <c r="I19168" t="s">
        <v>47111</v>
      </c>
      <c r="J19168" t="s">
        <v>47112</v>
      </c>
      <c r="K19168" t="s">
        <v>47113</v>
      </c>
      <c r="L19168">
        <v>34.979999999999997</v>
      </c>
      <c r="M19168">
        <v>119</v>
      </c>
      <c r="N19168">
        <v>0</v>
      </c>
      <c r="O19168">
        <v>119</v>
      </c>
      <c r="P19168">
        <v>0</v>
      </c>
    </row>
    <row r="19169" spans="1:16" x14ac:dyDescent="0.25">
      <c r="A19169" t="s">
        <v>41772</v>
      </c>
      <c r="B19169" t="s">
        <v>12100</v>
      </c>
      <c r="C19169" t="s">
        <v>12101</v>
      </c>
      <c r="D19169" t="s">
        <v>629</v>
      </c>
      <c r="E19169" t="s">
        <v>630</v>
      </c>
      <c r="F19169" t="s">
        <v>8</v>
      </c>
      <c r="G19169" t="s">
        <v>47093</v>
      </c>
      <c r="H19169" t="s">
        <v>47054</v>
      </c>
      <c r="I19169" t="s">
        <v>47111</v>
      </c>
      <c r="J19169" t="s">
        <v>47112</v>
      </c>
      <c r="K19169" t="s">
        <v>47113</v>
      </c>
      <c r="L19169">
        <v>36.06</v>
      </c>
      <c r="M19169">
        <v>119</v>
      </c>
      <c r="N19169">
        <v>0</v>
      </c>
      <c r="O19169">
        <v>119</v>
      </c>
      <c r="P19169">
        <v>0</v>
      </c>
    </row>
    <row r="19170" spans="1:16" x14ac:dyDescent="0.25">
      <c r="A19170" t="s">
        <v>41773</v>
      </c>
      <c r="B19170" t="s">
        <v>12100</v>
      </c>
      <c r="C19170" t="s">
        <v>12101</v>
      </c>
      <c r="D19170" t="s">
        <v>1777</v>
      </c>
      <c r="E19170" t="s">
        <v>1778</v>
      </c>
      <c r="F19170" t="s">
        <v>8</v>
      </c>
      <c r="G19170" t="s">
        <v>47093</v>
      </c>
      <c r="H19170" t="s">
        <v>47054</v>
      </c>
      <c r="I19170" t="s">
        <v>47111</v>
      </c>
      <c r="J19170" t="s">
        <v>47112</v>
      </c>
      <c r="K19170" t="s">
        <v>47113</v>
      </c>
      <c r="L19170">
        <v>34.340000000000003</v>
      </c>
      <c r="M19170">
        <v>116</v>
      </c>
      <c r="N19170">
        <v>0</v>
      </c>
      <c r="O19170">
        <v>116</v>
      </c>
      <c r="P19170">
        <v>0</v>
      </c>
    </row>
    <row r="19171" spans="1:16" x14ac:dyDescent="0.25">
      <c r="A19171" t="s">
        <v>41774</v>
      </c>
      <c r="B19171" t="s">
        <v>12102</v>
      </c>
      <c r="C19171" t="s">
        <v>12103</v>
      </c>
      <c r="D19171" t="str">
        <f>"40"</f>
        <v>40</v>
      </c>
      <c r="E19171" t="s">
        <v>31</v>
      </c>
      <c r="F19171" t="s">
        <v>8</v>
      </c>
      <c r="G19171" t="s">
        <v>47093</v>
      </c>
      <c r="H19171" t="s">
        <v>47054</v>
      </c>
      <c r="I19171" t="s">
        <v>47111</v>
      </c>
      <c r="J19171" t="s">
        <v>47112</v>
      </c>
      <c r="K19171" t="s">
        <v>47113</v>
      </c>
      <c r="L19171">
        <v>35.409999999999997</v>
      </c>
      <c r="M19171">
        <v>96</v>
      </c>
      <c r="N19171">
        <v>0</v>
      </c>
      <c r="O19171">
        <v>96</v>
      </c>
      <c r="P19171">
        <v>0</v>
      </c>
    </row>
    <row r="19172" spans="1:16" x14ac:dyDescent="0.25">
      <c r="A19172" t="s">
        <v>41775</v>
      </c>
      <c r="B19172" t="s">
        <v>12104</v>
      </c>
      <c r="C19172" t="s">
        <v>12105</v>
      </c>
      <c r="D19172" t="str">
        <f>"40"</f>
        <v>40</v>
      </c>
      <c r="E19172" t="s">
        <v>31</v>
      </c>
      <c r="F19172" t="s">
        <v>8</v>
      </c>
      <c r="G19172" t="s">
        <v>47093</v>
      </c>
      <c r="H19172" t="s">
        <v>47054</v>
      </c>
      <c r="I19172" t="s">
        <v>47111</v>
      </c>
      <c r="J19172" t="s">
        <v>47112</v>
      </c>
      <c r="K19172" t="s">
        <v>47113</v>
      </c>
      <c r="L19172">
        <v>39.78</v>
      </c>
      <c r="M19172">
        <v>119</v>
      </c>
      <c r="N19172">
        <v>0</v>
      </c>
      <c r="O19172">
        <v>119</v>
      </c>
      <c r="P19172">
        <v>0</v>
      </c>
    </row>
    <row r="19173" spans="1:16" x14ac:dyDescent="0.25">
      <c r="A19173" t="s">
        <v>41776</v>
      </c>
      <c r="B19173" t="s">
        <v>12106</v>
      </c>
      <c r="C19173" t="s">
        <v>12107</v>
      </c>
      <c r="D19173" t="s">
        <v>6636</v>
      </c>
      <c r="E19173" t="s">
        <v>6637</v>
      </c>
      <c r="F19173" t="s">
        <v>296</v>
      </c>
      <c r="G19173" t="s">
        <v>47093</v>
      </c>
      <c r="H19173" t="s">
        <v>47054</v>
      </c>
      <c r="I19173" t="s">
        <v>47111</v>
      </c>
      <c r="J19173" t="s">
        <v>47112</v>
      </c>
      <c r="K19173" t="s">
        <v>47113</v>
      </c>
      <c r="L19173">
        <v>36.81</v>
      </c>
      <c r="M19173">
        <v>91</v>
      </c>
      <c r="N19173">
        <v>0</v>
      </c>
      <c r="O19173">
        <v>91</v>
      </c>
      <c r="P19173">
        <v>0</v>
      </c>
    </row>
    <row r="19174" spans="1:16" x14ac:dyDescent="0.25">
      <c r="A19174" t="s">
        <v>41777</v>
      </c>
      <c r="B19174" t="s">
        <v>12106</v>
      </c>
      <c r="C19174" t="s">
        <v>12107</v>
      </c>
      <c r="D19174" t="s">
        <v>6410</v>
      </c>
      <c r="E19174" t="s">
        <v>6411</v>
      </c>
      <c r="F19174" t="s">
        <v>296</v>
      </c>
      <c r="G19174" t="s">
        <v>47093</v>
      </c>
      <c r="H19174" t="s">
        <v>47054</v>
      </c>
      <c r="I19174" t="s">
        <v>47111</v>
      </c>
      <c r="J19174" t="s">
        <v>47112</v>
      </c>
      <c r="K19174" t="s">
        <v>47113</v>
      </c>
      <c r="L19174">
        <v>36.659999999999997</v>
      </c>
      <c r="M19174">
        <v>85</v>
      </c>
      <c r="N19174">
        <v>0</v>
      </c>
      <c r="O19174">
        <v>85</v>
      </c>
      <c r="P19174">
        <v>0</v>
      </c>
    </row>
    <row r="19175" spans="1:16" x14ac:dyDescent="0.25">
      <c r="A19175" t="s">
        <v>41778</v>
      </c>
      <c r="B19175" t="s">
        <v>12108</v>
      </c>
      <c r="C19175" t="s">
        <v>12109</v>
      </c>
      <c r="D19175" t="s">
        <v>1341</v>
      </c>
      <c r="E19175" t="s">
        <v>1342</v>
      </c>
      <c r="F19175" t="s">
        <v>8</v>
      </c>
      <c r="G19175" t="s">
        <v>47093</v>
      </c>
      <c r="H19175" t="s">
        <v>47054</v>
      </c>
      <c r="I19175" t="s">
        <v>47111</v>
      </c>
      <c r="J19175" t="s">
        <v>47112</v>
      </c>
      <c r="K19175" t="s">
        <v>47113</v>
      </c>
      <c r="L19175">
        <v>33.69</v>
      </c>
      <c r="M19175">
        <v>96</v>
      </c>
      <c r="N19175">
        <v>0</v>
      </c>
      <c r="O19175">
        <v>96</v>
      </c>
      <c r="P19175">
        <v>0</v>
      </c>
    </row>
    <row r="19176" spans="1:16" x14ac:dyDescent="0.25">
      <c r="A19176" t="s">
        <v>41779</v>
      </c>
      <c r="B19176" t="s">
        <v>12110</v>
      </c>
      <c r="C19176" t="s">
        <v>12111</v>
      </c>
      <c r="D19176" t="s">
        <v>2020</v>
      </c>
      <c r="E19176" t="s">
        <v>2021</v>
      </c>
      <c r="F19176" t="s">
        <v>631</v>
      </c>
      <c r="G19176" t="s">
        <v>47093</v>
      </c>
      <c r="H19176" t="s">
        <v>47054</v>
      </c>
      <c r="I19176" t="s">
        <v>47111</v>
      </c>
      <c r="J19176" t="s">
        <v>47112</v>
      </c>
      <c r="K19176" t="s">
        <v>47113</v>
      </c>
      <c r="L19176">
        <v>36.9</v>
      </c>
      <c r="M19176">
        <v>92</v>
      </c>
      <c r="N19176">
        <v>0</v>
      </c>
      <c r="O19176">
        <v>92</v>
      </c>
      <c r="P19176">
        <v>0</v>
      </c>
    </row>
    <row r="19177" spans="1:16" x14ac:dyDescent="0.25">
      <c r="A19177" t="s">
        <v>41780</v>
      </c>
      <c r="B19177" t="s">
        <v>12112</v>
      </c>
      <c r="C19177" t="s">
        <v>12065</v>
      </c>
      <c r="D19177" t="s">
        <v>1926</v>
      </c>
      <c r="E19177" t="s">
        <v>1927</v>
      </c>
      <c r="F19177" t="s">
        <v>8</v>
      </c>
      <c r="G19177" t="s">
        <v>47098</v>
      </c>
      <c r="H19177" t="s">
        <v>47054</v>
      </c>
      <c r="I19177" t="s">
        <v>47111</v>
      </c>
      <c r="J19177" t="s">
        <v>47112</v>
      </c>
      <c r="K19177" t="s">
        <v>47113</v>
      </c>
      <c r="L19177">
        <v>42.15</v>
      </c>
      <c r="M19177">
        <v>89</v>
      </c>
      <c r="N19177">
        <v>0</v>
      </c>
      <c r="O19177">
        <v>89</v>
      </c>
      <c r="P19177">
        <v>0</v>
      </c>
    </row>
    <row r="19178" spans="1:16" x14ac:dyDescent="0.25">
      <c r="A19178" t="s">
        <v>41781</v>
      </c>
      <c r="B19178" t="s">
        <v>627</v>
      </c>
      <c r="C19178" t="s">
        <v>628</v>
      </c>
      <c r="D19178" t="s">
        <v>629</v>
      </c>
      <c r="E19178" t="s">
        <v>630</v>
      </c>
      <c r="F19178" t="s">
        <v>631</v>
      </c>
      <c r="G19178" t="s">
        <v>47093</v>
      </c>
      <c r="H19178" t="s">
        <v>47054</v>
      </c>
      <c r="I19178" t="s">
        <v>47111</v>
      </c>
      <c r="J19178" t="s">
        <v>47112</v>
      </c>
      <c r="K19178" t="s">
        <v>47113</v>
      </c>
      <c r="L19178">
        <v>94.11</v>
      </c>
      <c r="M19178">
        <v>89</v>
      </c>
      <c r="N19178">
        <v>0</v>
      </c>
      <c r="O19178">
        <v>89</v>
      </c>
      <c r="P19178">
        <v>0</v>
      </c>
    </row>
    <row r="19179" spans="1:16" x14ac:dyDescent="0.25">
      <c r="A19179" t="s">
        <v>41782</v>
      </c>
      <c r="B19179" t="s">
        <v>12113</v>
      </c>
      <c r="C19179" t="s">
        <v>12114</v>
      </c>
      <c r="D19179" t="str">
        <f>"40"</f>
        <v>40</v>
      </c>
      <c r="E19179" t="s">
        <v>31</v>
      </c>
      <c r="F19179" t="s">
        <v>8</v>
      </c>
      <c r="G19179" t="s">
        <v>47093</v>
      </c>
      <c r="H19179" t="s">
        <v>47054</v>
      </c>
      <c r="I19179" t="s">
        <v>47111</v>
      </c>
      <c r="J19179" t="s">
        <v>47112</v>
      </c>
      <c r="K19179" t="s">
        <v>47113</v>
      </c>
      <c r="L19179">
        <v>32.31</v>
      </c>
      <c r="M19179">
        <v>96</v>
      </c>
      <c r="N19179">
        <v>0</v>
      </c>
      <c r="O19179">
        <v>96</v>
      </c>
      <c r="P19179">
        <v>0</v>
      </c>
    </row>
    <row r="19180" spans="1:16" x14ac:dyDescent="0.25">
      <c r="A19180" t="s">
        <v>41783</v>
      </c>
      <c r="B19180" t="s">
        <v>12113</v>
      </c>
      <c r="C19180" t="s">
        <v>12114</v>
      </c>
      <c r="D19180" t="s">
        <v>3422</v>
      </c>
      <c r="E19180" t="s">
        <v>3423</v>
      </c>
      <c r="F19180" t="s">
        <v>58</v>
      </c>
      <c r="G19180" t="s">
        <v>47093</v>
      </c>
      <c r="H19180" t="s">
        <v>47054</v>
      </c>
      <c r="I19180" t="s">
        <v>47111</v>
      </c>
      <c r="J19180" t="s">
        <v>47112</v>
      </c>
      <c r="K19180" t="s">
        <v>47113</v>
      </c>
      <c r="L19180">
        <v>102.67</v>
      </c>
      <c r="M19180">
        <v>98</v>
      </c>
      <c r="N19180">
        <v>0</v>
      </c>
      <c r="O19180">
        <v>98</v>
      </c>
      <c r="P19180">
        <v>0</v>
      </c>
    </row>
    <row r="19181" spans="1:16" x14ac:dyDescent="0.25">
      <c r="A19181" t="s">
        <v>41784</v>
      </c>
      <c r="B19181" t="s">
        <v>12113</v>
      </c>
      <c r="C19181" t="s">
        <v>12114</v>
      </c>
      <c r="D19181" t="s">
        <v>1777</v>
      </c>
      <c r="E19181" t="s">
        <v>1778</v>
      </c>
      <c r="F19181" t="s">
        <v>8</v>
      </c>
      <c r="G19181" t="s">
        <v>47093</v>
      </c>
      <c r="H19181" t="s">
        <v>47054</v>
      </c>
      <c r="I19181" t="s">
        <v>47111</v>
      </c>
      <c r="J19181" t="s">
        <v>47112</v>
      </c>
      <c r="K19181" t="s">
        <v>47113</v>
      </c>
      <c r="L19181">
        <v>33.67</v>
      </c>
      <c r="M19181">
        <v>87</v>
      </c>
      <c r="N19181">
        <v>0</v>
      </c>
      <c r="O19181">
        <v>87</v>
      </c>
      <c r="P19181">
        <v>0</v>
      </c>
    </row>
    <row r="19182" spans="1:16" x14ac:dyDescent="0.25">
      <c r="A19182" t="s">
        <v>41785</v>
      </c>
      <c r="B19182" t="s">
        <v>12115</v>
      </c>
      <c r="C19182" t="s">
        <v>12116</v>
      </c>
      <c r="D19182" t="s">
        <v>1752</v>
      </c>
      <c r="E19182" t="s">
        <v>1753</v>
      </c>
      <c r="F19182" t="s">
        <v>58</v>
      </c>
      <c r="G19182" t="s">
        <v>49029</v>
      </c>
      <c r="H19182" t="s">
        <v>47054</v>
      </c>
      <c r="I19182" t="s">
        <v>47111</v>
      </c>
      <c r="J19182" t="s">
        <v>47112</v>
      </c>
      <c r="K19182" t="s">
        <v>47113</v>
      </c>
      <c r="L19182">
        <v>28.61</v>
      </c>
      <c r="M19182">
        <v>65</v>
      </c>
      <c r="N19182">
        <v>0</v>
      </c>
      <c r="O19182">
        <v>65</v>
      </c>
      <c r="P19182">
        <v>0</v>
      </c>
    </row>
    <row r="19183" spans="1:16" x14ac:dyDescent="0.25">
      <c r="A19183" t="s">
        <v>41786</v>
      </c>
      <c r="B19183" t="s">
        <v>12117</v>
      </c>
      <c r="C19183" t="s">
        <v>12118</v>
      </c>
      <c r="D19183" t="s">
        <v>3422</v>
      </c>
      <c r="E19183" t="s">
        <v>3423</v>
      </c>
      <c r="F19183" t="s">
        <v>631</v>
      </c>
      <c r="G19183" t="s">
        <v>47093</v>
      </c>
      <c r="H19183" t="s">
        <v>47054</v>
      </c>
      <c r="I19183" t="s">
        <v>47111</v>
      </c>
      <c r="J19183" t="s">
        <v>47112</v>
      </c>
      <c r="K19183" t="s">
        <v>47113</v>
      </c>
      <c r="L19183">
        <v>40.03</v>
      </c>
      <c r="M19183">
        <v>90</v>
      </c>
      <c r="N19183">
        <v>0</v>
      </c>
      <c r="O19183">
        <v>90</v>
      </c>
      <c r="P19183">
        <v>0</v>
      </c>
    </row>
    <row r="19184" spans="1:16" x14ac:dyDescent="0.25">
      <c r="A19184" t="s">
        <v>41787</v>
      </c>
      <c r="B19184" t="s">
        <v>12119</v>
      </c>
      <c r="C19184" t="s">
        <v>12120</v>
      </c>
      <c r="D19184" t="s">
        <v>1341</v>
      </c>
      <c r="E19184" t="s">
        <v>1342</v>
      </c>
      <c r="F19184" t="s">
        <v>8</v>
      </c>
      <c r="G19184" t="s">
        <v>47093</v>
      </c>
      <c r="H19184" t="s">
        <v>47054</v>
      </c>
      <c r="I19184" t="s">
        <v>47111</v>
      </c>
      <c r="J19184" t="s">
        <v>47112</v>
      </c>
      <c r="K19184" t="s">
        <v>47113</v>
      </c>
      <c r="L19184">
        <v>32.619999999999997</v>
      </c>
      <c r="M19184">
        <v>96</v>
      </c>
      <c r="N19184">
        <v>0</v>
      </c>
      <c r="O19184">
        <v>96</v>
      </c>
      <c r="P19184">
        <v>0</v>
      </c>
    </row>
    <row r="19185" spans="1:16" x14ac:dyDescent="0.25">
      <c r="A19185" t="s">
        <v>41788</v>
      </c>
      <c r="B19185" t="s">
        <v>12121</v>
      </c>
      <c r="C19185" t="s">
        <v>12122</v>
      </c>
      <c r="D19185" t="str">
        <f>"40"</f>
        <v>40</v>
      </c>
      <c r="E19185" t="s">
        <v>31</v>
      </c>
      <c r="F19185" t="s">
        <v>8</v>
      </c>
      <c r="G19185" t="s">
        <v>47093</v>
      </c>
      <c r="H19185" t="s">
        <v>47054</v>
      </c>
      <c r="I19185" t="s">
        <v>47111</v>
      </c>
      <c r="J19185" t="s">
        <v>47112</v>
      </c>
      <c r="K19185" t="s">
        <v>47113</v>
      </c>
      <c r="L19185">
        <v>34.909999999999997</v>
      </c>
      <c r="M19185">
        <v>101</v>
      </c>
      <c r="N19185">
        <v>0</v>
      </c>
      <c r="O19185">
        <v>101</v>
      </c>
      <c r="P19185">
        <v>0</v>
      </c>
    </row>
    <row r="19186" spans="1:16" x14ac:dyDescent="0.25">
      <c r="A19186" t="s">
        <v>41789</v>
      </c>
      <c r="B19186" t="s">
        <v>12123</v>
      </c>
      <c r="C19186" t="s">
        <v>12124</v>
      </c>
      <c r="D19186" t="s">
        <v>635</v>
      </c>
      <c r="E19186" t="s">
        <v>636</v>
      </c>
      <c r="F19186" t="s">
        <v>8</v>
      </c>
      <c r="G19186" t="s">
        <v>47093</v>
      </c>
      <c r="H19186" t="s">
        <v>47054</v>
      </c>
      <c r="I19186" t="s">
        <v>47111</v>
      </c>
      <c r="J19186" t="s">
        <v>47112</v>
      </c>
      <c r="K19186" t="s">
        <v>47113</v>
      </c>
      <c r="L19186">
        <v>29.04</v>
      </c>
      <c r="M19186">
        <v>81</v>
      </c>
      <c r="N19186">
        <v>0</v>
      </c>
      <c r="O19186">
        <v>81</v>
      </c>
      <c r="P19186">
        <v>0</v>
      </c>
    </row>
    <row r="19187" spans="1:16" x14ac:dyDescent="0.25">
      <c r="A19187" t="s">
        <v>41790</v>
      </c>
      <c r="B19187" t="s">
        <v>12125</v>
      </c>
      <c r="C19187" t="s">
        <v>12126</v>
      </c>
      <c r="D19187" t="s">
        <v>635</v>
      </c>
      <c r="E19187" t="s">
        <v>636</v>
      </c>
      <c r="F19187" t="s">
        <v>56</v>
      </c>
      <c r="G19187" t="s">
        <v>47093</v>
      </c>
      <c r="H19187" t="s">
        <v>47054</v>
      </c>
      <c r="I19187" t="s">
        <v>47111</v>
      </c>
      <c r="J19187" t="s">
        <v>47112</v>
      </c>
      <c r="K19187" t="s">
        <v>47113</v>
      </c>
      <c r="L19187">
        <v>37.9</v>
      </c>
      <c r="M19187">
        <v>84</v>
      </c>
      <c r="N19187">
        <v>0</v>
      </c>
      <c r="O19187">
        <v>84</v>
      </c>
      <c r="P19187">
        <v>0</v>
      </c>
    </row>
    <row r="19188" spans="1:16" x14ac:dyDescent="0.25">
      <c r="A19188" t="s">
        <v>41791</v>
      </c>
      <c r="B19188" t="s">
        <v>12127</v>
      </c>
      <c r="C19188" t="s">
        <v>12128</v>
      </c>
      <c r="D19188" t="s">
        <v>635</v>
      </c>
      <c r="E19188" t="s">
        <v>636</v>
      </c>
      <c r="F19188" t="s">
        <v>56</v>
      </c>
      <c r="G19188" t="s">
        <v>47093</v>
      </c>
      <c r="H19188" t="s">
        <v>47054</v>
      </c>
      <c r="I19188" t="s">
        <v>47111</v>
      </c>
      <c r="J19188" t="s">
        <v>47112</v>
      </c>
      <c r="K19188" t="s">
        <v>47113</v>
      </c>
      <c r="L19188">
        <v>34.31</v>
      </c>
      <c r="M19188">
        <v>77</v>
      </c>
      <c r="N19188">
        <v>0</v>
      </c>
      <c r="O19188">
        <v>77</v>
      </c>
      <c r="P19188">
        <v>0</v>
      </c>
    </row>
    <row r="19189" spans="1:16" x14ac:dyDescent="0.25">
      <c r="A19189" t="s">
        <v>632</v>
      </c>
      <c r="B19189" t="s">
        <v>633</v>
      </c>
      <c r="C19189" t="s">
        <v>634</v>
      </c>
      <c r="D19189" t="s">
        <v>635</v>
      </c>
      <c r="E19189" t="s">
        <v>636</v>
      </c>
      <c r="F19189" t="s">
        <v>56</v>
      </c>
      <c r="G19189" t="s">
        <v>49029</v>
      </c>
      <c r="H19189" t="s">
        <v>47054</v>
      </c>
      <c r="I19189" t="s">
        <v>47111</v>
      </c>
      <c r="J19189" t="s">
        <v>47112</v>
      </c>
      <c r="K19189" t="s">
        <v>47113</v>
      </c>
      <c r="L19189">
        <v>30.08</v>
      </c>
      <c r="M19189">
        <v>66</v>
      </c>
      <c r="N19189">
        <v>0</v>
      </c>
      <c r="O19189">
        <v>66</v>
      </c>
      <c r="P19189">
        <v>0</v>
      </c>
    </row>
    <row r="19190" spans="1:16" x14ac:dyDescent="0.25">
      <c r="A19190" t="s">
        <v>41792</v>
      </c>
      <c r="B19190" t="s">
        <v>12129</v>
      </c>
      <c r="C19190" t="s">
        <v>12130</v>
      </c>
      <c r="D19190" t="s">
        <v>6410</v>
      </c>
      <c r="E19190" t="s">
        <v>6411</v>
      </c>
      <c r="F19190" t="s">
        <v>296</v>
      </c>
      <c r="G19190" t="s">
        <v>49029</v>
      </c>
      <c r="H19190" t="s">
        <v>47054</v>
      </c>
      <c r="I19190" t="s">
        <v>47114</v>
      </c>
      <c r="J19190" t="s">
        <v>47115</v>
      </c>
      <c r="K19190" t="s">
        <v>47113</v>
      </c>
      <c r="L19190">
        <v>25.95</v>
      </c>
      <c r="M19190">
        <v>60</v>
      </c>
      <c r="N19190">
        <v>0</v>
      </c>
      <c r="O19190">
        <v>60</v>
      </c>
      <c r="P19190">
        <v>0</v>
      </c>
    </row>
    <row r="19191" spans="1:16" x14ac:dyDescent="0.25">
      <c r="A19191" t="s">
        <v>41793</v>
      </c>
      <c r="B19191" t="s">
        <v>12131</v>
      </c>
      <c r="C19191" t="s">
        <v>12132</v>
      </c>
      <c r="D19191" t="str">
        <f>"1001"</f>
        <v>1001</v>
      </c>
      <c r="E19191" t="s">
        <v>42</v>
      </c>
      <c r="F19191" t="s">
        <v>4</v>
      </c>
      <c r="G19191" t="s">
        <v>47101</v>
      </c>
      <c r="H19191" t="s">
        <v>47054</v>
      </c>
      <c r="I19191" t="s">
        <v>47120</v>
      </c>
      <c r="J19191" t="s">
        <v>47121</v>
      </c>
      <c r="K19191" t="s">
        <v>47113</v>
      </c>
      <c r="L19191">
        <v>25.56</v>
      </c>
      <c r="M19191">
        <v>62</v>
      </c>
      <c r="N19191">
        <v>0</v>
      </c>
      <c r="O19191">
        <v>62</v>
      </c>
      <c r="P19191">
        <v>0</v>
      </c>
    </row>
    <row r="19192" spans="1:16" x14ac:dyDescent="0.25">
      <c r="A19192" t="s">
        <v>41794</v>
      </c>
      <c r="B19192" t="s">
        <v>12131</v>
      </c>
      <c r="C19192" t="s">
        <v>12132</v>
      </c>
      <c r="D19192" t="str">
        <f>"1704"</f>
        <v>1704</v>
      </c>
      <c r="E19192" t="s">
        <v>7181</v>
      </c>
      <c r="F19192" t="s">
        <v>4</v>
      </c>
      <c r="G19192" t="s">
        <v>47101</v>
      </c>
      <c r="H19192" t="s">
        <v>47054</v>
      </c>
      <c r="I19192" t="s">
        <v>47120</v>
      </c>
      <c r="J19192" t="s">
        <v>47121</v>
      </c>
      <c r="K19192" t="s">
        <v>47113</v>
      </c>
      <c r="L19192">
        <v>25.56</v>
      </c>
      <c r="M19192">
        <v>62</v>
      </c>
      <c r="N19192">
        <v>0</v>
      </c>
      <c r="O19192">
        <v>62</v>
      </c>
      <c r="P19192">
        <v>0</v>
      </c>
    </row>
    <row r="19193" spans="1:16" x14ac:dyDescent="0.25">
      <c r="A19193" t="s">
        <v>41795</v>
      </c>
      <c r="B19193" t="s">
        <v>12131</v>
      </c>
      <c r="C19193" t="s">
        <v>12132</v>
      </c>
      <c r="D19193" t="str">
        <f>"6389"</f>
        <v>6389</v>
      </c>
      <c r="E19193" t="s">
        <v>11917</v>
      </c>
      <c r="F19193" t="s">
        <v>4</v>
      </c>
      <c r="G19193" t="s">
        <v>47101</v>
      </c>
      <c r="H19193" t="s">
        <v>47054</v>
      </c>
      <c r="I19193" t="s">
        <v>47120</v>
      </c>
      <c r="J19193" t="s">
        <v>47121</v>
      </c>
      <c r="K19193" t="s">
        <v>47113</v>
      </c>
      <c r="L19193">
        <v>25.56</v>
      </c>
      <c r="M19193">
        <v>62</v>
      </c>
      <c r="N19193">
        <v>0</v>
      </c>
      <c r="O19193">
        <v>62</v>
      </c>
      <c r="P19193">
        <v>0</v>
      </c>
    </row>
    <row r="19194" spans="1:16" x14ac:dyDescent="0.25">
      <c r="A19194" t="s">
        <v>41796</v>
      </c>
      <c r="B19194" t="s">
        <v>12133</v>
      </c>
      <c r="C19194" t="s">
        <v>12134</v>
      </c>
      <c r="D19194" t="str">
        <f>"1700"</f>
        <v>1700</v>
      </c>
      <c r="E19194" t="s">
        <v>60</v>
      </c>
      <c r="F19194" t="s">
        <v>7</v>
      </c>
      <c r="G19194" t="s">
        <v>47101</v>
      </c>
      <c r="H19194" t="s">
        <v>47054</v>
      </c>
      <c r="I19194" t="s">
        <v>47120</v>
      </c>
      <c r="J19194" t="s">
        <v>47121</v>
      </c>
      <c r="K19194" t="s">
        <v>47113</v>
      </c>
      <c r="L19194">
        <v>21.37</v>
      </c>
      <c r="M19194">
        <v>62</v>
      </c>
      <c r="N19194">
        <v>0</v>
      </c>
      <c r="O19194">
        <v>62</v>
      </c>
      <c r="P19194">
        <v>0</v>
      </c>
    </row>
    <row r="19195" spans="1:16" x14ac:dyDescent="0.25">
      <c r="A19195" t="s">
        <v>41797</v>
      </c>
      <c r="B19195" t="s">
        <v>12133</v>
      </c>
      <c r="C19195" t="s">
        <v>12134</v>
      </c>
      <c r="D19195" t="str">
        <f>"1701"</f>
        <v>1701</v>
      </c>
      <c r="E19195" t="s">
        <v>55</v>
      </c>
      <c r="F19195" t="s">
        <v>56</v>
      </c>
      <c r="G19195" t="s">
        <v>47101</v>
      </c>
      <c r="H19195" t="s">
        <v>47054</v>
      </c>
      <c r="I19195" t="s">
        <v>47120</v>
      </c>
      <c r="J19195" t="s">
        <v>47121</v>
      </c>
      <c r="K19195" t="s">
        <v>47113</v>
      </c>
      <c r="L19195">
        <v>24.47</v>
      </c>
      <c r="M19195">
        <v>56</v>
      </c>
      <c r="N19195">
        <v>0</v>
      </c>
      <c r="O19195">
        <v>56</v>
      </c>
      <c r="P19195">
        <v>0</v>
      </c>
    </row>
    <row r="19196" spans="1:16" x14ac:dyDescent="0.25">
      <c r="A19196" t="s">
        <v>41798</v>
      </c>
      <c r="B19196" t="s">
        <v>12133</v>
      </c>
      <c r="C19196" t="s">
        <v>12134</v>
      </c>
      <c r="D19196" t="str">
        <f>"4542"</f>
        <v>4542</v>
      </c>
      <c r="E19196" t="s">
        <v>220</v>
      </c>
      <c r="F19196" t="s">
        <v>56</v>
      </c>
      <c r="G19196" t="s">
        <v>47101</v>
      </c>
      <c r="H19196" t="s">
        <v>47054</v>
      </c>
      <c r="I19196" t="s">
        <v>47120</v>
      </c>
      <c r="J19196" t="s">
        <v>47121</v>
      </c>
      <c r="K19196" t="s">
        <v>47113</v>
      </c>
      <c r="L19196">
        <v>24.47</v>
      </c>
      <c r="M19196">
        <v>56</v>
      </c>
      <c r="N19196">
        <v>0</v>
      </c>
      <c r="O19196">
        <v>56</v>
      </c>
      <c r="P19196">
        <v>0</v>
      </c>
    </row>
    <row r="19197" spans="1:16" x14ac:dyDescent="0.25">
      <c r="A19197" t="s">
        <v>41799</v>
      </c>
      <c r="B19197" t="s">
        <v>12133</v>
      </c>
      <c r="C19197" t="s">
        <v>12134</v>
      </c>
      <c r="D19197" t="str">
        <f>"5301"</f>
        <v>5301</v>
      </c>
      <c r="E19197" t="s">
        <v>1940</v>
      </c>
      <c r="F19197" t="s">
        <v>56</v>
      </c>
      <c r="G19197" t="s">
        <v>47101</v>
      </c>
      <c r="H19197" t="s">
        <v>47054</v>
      </c>
      <c r="I19197" t="s">
        <v>47120</v>
      </c>
      <c r="J19197" t="s">
        <v>47121</v>
      </c>
      <c r="K19197" t="s">
        <v>47113</v>
      </c>
      <c r="L19197">
        <v>24.47</v>
      </c>
      <c r="M19197">
        <v>56</v>
      </c>
      <c r="N19197">
        <v>0</v>
      </c>
      <c r="O19197">
        <v>56</v>
      </c>
      <c r="P19197">
        <v>0</v>
      </c>
    </row>
    <row r="19198" spans="1:16" x14ac:dyDescent="0.25">
      <c r="A19198" t="s">
        <v>41800</v>
      </c>
      <c r="B19198" t="s">
        <v>12135</v>
      </c>
      <c r="C19198" t="s">
        <v>12136</v>
      </c>
      <c r="D19198" t="s">
        <v>657</v>
      </c>
      <c r="E19198" t="s">
        <v>658</v>
      </c>
      <c r="F19198" t="s">
        <v>8</v>
      </c>
      <c r="G19198" t="s">
        <v>47093</v>
      </c>
      <c r="H19198" t="s">
        <v>47054</v>
      </c>
      <c r="I19198" t="s">
        <v>47111</v>
      </c>
      <c r="J19198" t="s">
        <v>47112</v>
      </c>
      <c r="K19198" t="s">
        <v>47113</v>
      </c>
      <c r="L19198">
        <v>41.53</v>
      </c>
      <c r="M19198">
        <v>119</v>
      </c>
      <c r="N19198">
        <v>0</v>
      </c>
      <c r="O19198">
        <v>119</v>
      </c>
      <c r="P19198">
        <v>0</v>
      </c>
    </row>
    <row r="19199" spans="1:16" x14ac:dyDescent="0.25">
      <c r="A19199" t="s">
        <v>41801</v>
      </c>
      <c r="B19199" t="s">
        <v>12135</v>
      </c>
      <c r="C19199" t="s">
        <v>12136</v>
      </c>
      <c r="D19199" t="s">
        <v>12137</v>
      </c>
      <c r="E19199" t="s">
        <v>12138</v>
      </c>
      <c r="F19199" t="s">
        <v>8</v>
      </c>
      <c r="G19199" t="s">
        <v>47093</v>
      </c>
      <c r="H19199" t="s">
        <v>47054</v>
      </c>
      <c r="I19199" t="s">
        <v>47111</v>
      </c>
      <c r="J19199" t="s">
        <v>47112</v>
      </c>
      <c r="K19199" t="s">
        <v>47113</v>
      </c>
      <c r="L19199">
        <v>49.58</v>
      </c>
      <c r="M19199">
        <v>137</v>
      </c>
      <c r="N19199">
        <v>0</v>
      </c>
      <c r="O19199">
        <v>137</v>
      </c>
      <c r="P19199">
        <v>0</v>
      </c>
    </row>
    <row r="19200" spans="1:16" x14ac:dyDescent="0.25">
      <c r="A19200" t="s">
        <v>41802</v>
      </c>
      <c r="B19200" t="s">
        <v>12139</v>
      </c>
      <c r="C19200" t="s">
        <v>12140</v>
      </c>
      <c r="D19200" t="s">
        <v>657</v>
      </c>
      <c r="E19200" t="s">
        <v>658</v>
      </c>
      <c r="F19200" t="s">
        <v>52</v>
      </c>
      <c r="G19200" t="s">
        <v>47093</v>
      </c>
      <c r="H19200" t="s">
        <v>47054</v>
      </c>
      <c r="I19200" t="s">
        <v>47114</v>
      </c>
      <c r="J19200" t="s">
        <v>47115</v>
      </c>
      <c r="K19200" t="s">
        <v>47113</v>
      </c>
      <c r="L19200">
        <v>47.58</v>
      </c>
      <c r="M19200">
        <v>109</v>
      </c>
      <c r="N19200">
        <v>0</v>
      </c>
      <c r="O19200">
        <v>109</v>
      </c>
      <c r="P19200">
        <v>0</v>
      </c>
    </row>
    <row r="19201" spans="1:16" x14ac:dyDescent="0.25">
      <c r="A19201" t="s">
        <v>41803</v>
      </c>
      <c r="B19201" t="s">
        <v>12139</v>
      </c>
      <c r="C19201" t="s">
        <v>12140</v>
      </c>
      <c r="D19201" t="s">
        <v>12141</v>
      </c>
      <c r="E19201" t="s">
        <v>12142</v>
      </c>
      <c r="F19201" t="s">
        <v>52</v>
      </c>
      <c r="G19201" t="s">
        <v>47093</v>
      </c>
      <c r="H19201" t="s">
        <v>47054</v>
      </c>
      <c r="I19201" t="s">
        <v>47114</v>
      </c>
      <c r="J19201" t="s">
        <v>47115</v>
      </c>
      <c r="K19201" t="s">
        <v>47113</v>
      </c>
      <c r="L19201">
        <v>51.16</v>
      </c>
      <c r="M19201">
        <v>120</v>
      </c>
      <c r="N19201">
        <v>0</v>
      </c>
      <c r="O19201">
        <v>120</v>
      </c>
      <c r="P19201">
        <v>0</v>
      </c>
    </row>
    <row r="19202" spans="1:16" x14ac:dyDescent="0.25">
      <c r="A19202" t="s">
        <v>41804</v>
      </c>
      <c r="B19202" t="s">
        <v>12139</v>
      </c>
      <c r="C19202" t="s">
        <v>12140</v>
      </c>
      <c r="D19202" t="s">
        <v>12143</v>
      </c>
      <c r="E19202" t="s">
        <v>12144</v>
      </c>
      <c r="F19202" t="s">
        <v>52</v>
      </c>
      <c r="G19202" t="s">
        <v>47093</v>
      </c>
      <c r="H19202" t="s">
        <v>47054</v>
      </c>
      <c r="I19202" t="s">
        <v>47114</v>
      </c>
      <c r="J19202" t="s">
        <v>47115</v>
      </c>
      <c r="K19202" t="s">
        <v>47113</v>
      </c>
      <c r="L19202">
        <v>55.65</v>
      </c>
      <c r="M19202">
        <v>128</v>
      </c>
      <c r="N19202">
        <v>0</v>
      </c>
      <c r="O19202">
        <v>128</v>
      </c>
      <c r="P19202">
        <v>0</v>
      </c>
    </row>
    <row r="19203" spans="1:16" x14ac:dyDescent="0.25">
      <c r="A19203" t="s">
        <v>41805</v>
      </c>
      <c r="B19203" t="s">
        <v>12145</v>
      </c>
      <c r="C19203" t="s">
        <v>12146</v>
      </c>
      <c r="D19203" t="s">
        <v>657</v>
      </c>
      <c r="E19203" t="s">
        <v>658</v>
      </c>
      <c r="F19203" t="s">
        <v>52</v>
      </c>
      <c r="G19203" t="s">
        <v>47093</v>
      </c>
      <c r="H19203" t="s">
        <v>47054</v>
      </c>
      <c r="I19203" t="s">
        <v>47114</v>
      </c>
      <c r="J19203" t="s">
        <v>47115</v>
      </c>
      <c r="K19203" t="s">
        <v>47113</v>
      </c>
      <c r="L19203">
        <v>44.23</v>
      </c>
      <c r="M19203">
        <v>109</v>
      </c>
      <c r="N19203">
        <v>0</v>
      </c>
      <c r="O19203">
        <v>109</v>
      </c>
      <c r="P19203">
        <v>0</v>
      </c>
    </row>
    <row r="19204" spans="1:16" x14ac:dyDescent="0.25">
      <c r="A19204" t="s">
        <v>41806</v>
      </c>
      <c r="B19204" t="s">
        <v>12145</v>
      </c>
      <c r="C19204" t="s">
        <v>12146</v>
      </c>
      <c r="D19204" t="s">
        <v>12141</v>
      </c>
      <c r="E19204" t="s">
        <v>12142</v>
      </c>
      <c r="F19204" t="s">
        <v>52</v>
      </c>
      <c r="G19204" t="s">
        <v>47093</v>
      </c>
      <c r="H19204" t="s">
        <v>47054</v>
      </c>
      <c r="I19204" t="s">
        <v>47114</v>
      </c>
      <c r="J19204" t="s">
        <v>47115</v>
      </c>
      <c r="K19204" t="s">
        <v>47113</v>
      </c>
      <c r="L19204">
        <v>48.91</v>
      </c>
      <c r="M19204">
        <v>120</v>
      </c>
      <c r="N19204">
        <v>0</v>
      </c>
      <c r="O19204">
        <v>120</v>
      </c>
      <c r="P19204">
        <v>0</v>
      </c>
    </row>
    <row r="19205" spans="1:16" x14ac:dyDescent="0.25">
      <c r="A19205" t="s">
        <v>41807</v>
      </c>
      <c r="B19205" t="s">
        <v>12145</v>
      </c>
      <c r="C19205" t="s">
        <v>12146</v>
      </c>
      <c r="D19205" t="s">
        <v>12143</v>
      </c>
      <c r="E19205" t="s">
        <v>12144</v>
      </c>
      <c r="F19205" t="s">
        <v>52</v>
      </c>
      <c r="G19205" t="s">
        <v>47093</v>
      </c>
      <c r="H19205" t="s">
        <v>47054</v>
      </c>
      <c r="I19205" t="s">
        <v>47114</v>
      </c>
      <c r="J19205" t="s">
        <v>47115</v>
      </c>
      <c r="K19205" t="s">
        <v>47113</v>
      </c>
      <c r="L19205">
        <v>55.65</v>
      </c>
      <c r="M19205">
        <v>128</v>
      </c>
      <c r="N19205">
        <v>0</v>
      </c>
      <c r="O19205">
        <v>128</v>
      </c>
      <c r="P19205">
        <v>0</v>
      </c>
    </row>
    <row r="19206" spans="1:16" x14ac:dyDescent="0.25">
      <c r="A19206" t="s">
        <v>41808</v>
      </c>
      <c r="B19206" t="s">
        <v>12147</v>
      </c>
      <c r="C19206" t="s">
        <v>12148</v>
      </c>
      <c r="D19206" t="s">
        <v>12149</v>
      </c>
      <c r="E19206" t="s">
        <v>12150</v>
      </c>
      <c r="F19206" t="s">
        <v>5</v>
      </c>
      <c r="G19206" t="s">
        <v>47093</v>
      </c>
      <c r="H19206" t="s">
        <v>47054</v>
      </c>
      <c r="I19206" t="s">
        <v>47111</v>
      </c>
      <c r="J19206" t="s">
        <v>47112</v>
      </c>
      <c r="K19206" t="s">
        <v>47113</v>
      </c>
      <c r="L19206">
        <v>30.05</v>
      </c>
      <c r="M19206">
        <v>69</v>
      </c>
      <c r="N19206">
        <v>0</v>
      </c>
      <c r="O19206">
        <v>69</v>
      </c>
      <c r="P19206">
        <v>0</v>
      </c>
    </row>
    <row r="19207" spans="1:16" x14ac:dyDescent="0.25">
      <c r="A19207" t="s">
        <v>41809</v>
      </c>
      <c r="B19207" t="s">
        <v>12147</v>
      </c>
      <c r="C19207" t="s">
        <v>12148</v>
      </c>
      <c r="D19207" t="s">
        <v>12151</v>
      </c>
      <c r="E19207" t="s">
        <v>12152</v>
      </c>
      <c r="F19207" t="s">
        <v>5</v>
      </c>
      <c r="G19207" t="s">
        <v>47093</v>
      </c>
      <c r="H19207" t="s">
        <v>47054</v>
      </c>
      <c r="I19207" t="s">
        <v>47111</v>
      </c>
      <c r="J19207" t="s">
        <v>47112</v>
      </c>
      <c r="K19207" t="s">
        <v>47113</v>
      </c>
      <c r="L19207">
        <v>37.57</v>
      </c>
      <c r="M19207">
        <v>88</v>
      </c>
      <c r="N19207">
        <v>0</v>
      </c>
      <c r="O19207">
        <v>88</v>
      </c>
      <c r="P19207">
        <v>0</v>
      </c>
    </row>
    <row r="19208" spans="1:16" x14ac:dyDescent="0.25">
      <c r="A19208" t="s">
        <v>41810</v>
      </c>
      <c r="B19208" t="s">
        <v>637</v>
      </c>
      <c r="C19208" t="s">
        <v>638</v>
      </c>
      <c r="D19208" t="s">
        <v>639</v>
      </c>
      <c r="E19208" t="s">
        <v>640</v>
      </c>
      <c r="F19208" t="s">
        <v>4</v>
      </c>
      <c r="G19208" t="s">
        <v>47093</v>
      </c>
      <c r="H19208" t="s">
        <v>47054</v>
      </c>
      <c r="I19208" t="s">
        <v>47111</v>
      </c>
      <c r="J19208" t="s">
        <v>47112</v>
      </c>
      <c r="K19208" t="s">
        <v>47113</v>
      </c>
      <c r="L19208">
        <v>49.8</v>
      </c>
      <c r="M19208">
        <v>121</v>
      </c>
      <c r="N19208">
        <v>0</v>
      </c>
      <c r="O19208">
        <v>121</v>
      </c>
      <c r="P19208">
        <v>0</v>
      </c>
    </row>
    <row r="19209" spans="1:16" x14ac:dyDescent="0.25">
      <c r="A19209" t="s">
        <v>41811</v>
      </c>
      <c r="B19209" t="s">
        <v>12153</v>
      </c>
      <c r="C19209" t="s">
        <v>12154</v>
      </c>
      <c r="D19209" t="s">
        <v>12137</v>
      </c>
      <c r="E19209" t="s">
        <v>12138</v>
      </c>
      <c r="F19209" t="s">
        <v>8</v>
      </c>
      <c r="G19209" t="s">
        <v>47093</v>
      </c>
      <c r="H19209" t="s">
        <v>47054</v>
      </c>
      <c r="I19209" t="s">
        <v>47111</v>
      </c>
      <c r="J19209" t="s">
        <v>47112</v>
      </c>
      <c r="K19209" t="s">
        <v>47113</v>
      </c>
      <c r="L19209">
        <v>51.56</v>
      </c>
      <c r="M19209">
        <v>137</v>
      </c>
      <c r="N19209">
        <v>0</v>
      </c>
      <c r="O19209">
        <v>137</v>
      </c>
      <c r="P19209">
        <v>0</v>
      </c>
    </row>
    <row r="19210" spans="1:16" x14ac:dyDescent="0.25">
      <c r="A19210" t="s">
        <v>41812</v>
      </c>
      <c r="B19210" t="s">
        <v>12155</v>
      </c>
      <c r="C19210" t="s">
        <v>12156</v>
      </c>
      <c r="D19210" t="s">
        <v>657</v>
      </c>
      <c r="E19210" t="s">
        <v>658</v>
      </c>
      <c r="F19210" t="s">
        <v>52</v>
      </c>
      <c r="G19210" t="s">
        <v>47093</v>
      </c>
      <c r="H19210" t="s">
        <v>47054</v>
      </c>
      <c r="I19210" t="s">
        <v>47111</v>
      </c>
      <c r="J19210" t="s">
        <v>47112</v>
      </c>
      <c r="K19210" t="s">
        <v>47113</v>
      </c>
      <c r="L19210">
        <v>49.17</v>
      </c>
      <c r="M19210">
        <v>121</v>
      </c>
      <c r="N19210">
        <v>0</v>
      </c>
      <c r="O19210">
        <v>121</v>
      </c>
      <c r="P19210">
        <v>0</v>
      </c>
    </row>
    <row r="19211" spans="1:16" x14ac:dyDescent="0.25">
      <c r="A19211" t="s">
        <v>41813</v>
      </c>
      <c r="B19211" t="s">
        <v>12155</v>
      </c>
      <c r="C19211" t="s">
        <v>12156</v>
      </c>
      <c r="D19211" t="s">
        <v>12143</v>
      </c>
      <c r="E19211" t="s">
        <v>12144</v>
      </c>
      <c r="F19211" t="s">
        <v>52</v>
      </c>
      <c r="G19211" t="s">
        <v>47093</v>
      </c>
      <c r="H19211" t="s">
        <v>47054</v>
      </c>
      <c r="I19211" t="s">
        <v>47111</v>
      </c>
      <c r="J19211" t="s">
        <v>47112</v>
      </c>
      <c r="K19211" t="s">
        <v>47113</v>
      </c>
      <c r="L19211">
        <v>57.24</v>
      </c>
      <c r="M19211">
        <v>129</v>
      </c>
      <c r="N19211">
        <v>0</v>
      </c>
      <c r="O19211">
        <v>129</v>
      </c>
      <c r="P19211">
        <v>0</v>
      </c>
    </row>
    <row r="19212" spans="1:16" x14ac:dyDescent="0.25">
      <c r="A19212" t="s">
        <v>41814</v>
      </c>
      <c r="B19212" t="s">
        <v>12157</v>
      </c>
      <c r="C19212" t="s">
        <v>12158</v>
      </c>
      <c r="D19212" t="s">
        <v>657</v>
      </c>
      <c r="E19212" t="s">
        <v>658</v>
      </c>
      <c r="F19212" t="s">
        <v>52</v>
      </c>
      <c r="G19212" t="s">
        <v>47093</v>
      </c>
      <c r="H19212" t="s">
        <v>47054</v>
      </c>
      <c r="I19212" t="s">
        <v>47114</v>
      </c>
      <c r="J19212" t="s">
        <v>47115</v>
      </c>
      <c r="K19212" t="s">
        <v>47113</v>
      </c>
      <c r="L19212">
        <v>44.14</v>
      </c>
      <c r="M19212">
        <v>103</v>
      </c>
      <c r="N19212">
        <v>0</v>
      </c>
      <c r="O19212">
        <v>103</v>
      </c>
      <c r="P19212">
        <v>0</v>
      </c>
    </row>
    <row r="19213" spans="1:16" x14ac:dyDescent="0.25">
      <c r="A19213" t="s">
        <v>41815</v>
      </c>
      <c r="B19213" t="s">
        <v>12157</v>
      </c>
      <c r="C19213" t="s">
        <v>12158</v>
      </c>
      <c r="D19213" t="s">
        <v>12143</v>
      </c>
      <c r="E19213" t="s">
        <v>12144</v>
      </c>
      <c r="F19213" t="s">
        <v>52</v>
      </c>
      <c r="G19213" t="s">
        <v>47093</v>
      </c>
      <c r="H19213" t="s">
        <v>47054</v>
      </c>
      <c r="I19213" t="s">
        <v>47114</v>
      </c>
      <c r="J19213" t="s">
        <v>47115</v>
      </c>
      <c r="K19213" t="s">
        <v>47113</v>
      </c>
      <c r="L19213">
        <v>52.2</v>
      </c>
      <c r="M19213">
        <v>123</v>
      </c>
      <c r="N19213">
        <v>0</v>
      </c>
      <c r="O19213">
        <v>123</v>
      </c>
      <c r="P19213">
        <v>0</v>
      </c>
    </row>
    <row r="19214" spans="1:16" x14ac:dyDescent="0.25">
      <c r="A19214" t="s">
        <v>41816</v>
      </c>
      <c r="B19214" t="s">
        <v>12159</v>
      </c>
      <c r="C19214" t="s">
        <v>12160</v>
      </c>
      <c r="D19214" t="s">
        <v>2624</v>
      </c>
      <c r="E19214" t="s">
        <v>2625</v>
      </c>
      <c r="F19214" t="s">
        <v>8</v>
      </c>
      <c r="G19214" t="s">
        <v>47093</v>
      </c>
      <c r="H19214" t="s">
        <v>47054</v>
      </c>
      <c r="I19214" t="s">
        <v>47111</v>
      </c>
      <c r="J19214" t="s">
        <v>47112</v>
      </c>
      <c r="K19214" t="s">
        <v>47113</v>
      </c>
      <c r="L19214">
        <v>37.44</v>
      </c>
      <c r="M19214">
        <v>100</v>
      </c>
      <c r="N19214">
        <v>0</v>
      </c>
      <c r="O19214">
        <v>100</v>
      </c>
      <c r="P19214">
        <v>0</v>
      </c>
    </row>
    <row r="19215" spans="1:16" x14ac:dyDescent="0.25">
      <c r="A19215" t="s">
        <v>41817</v>
      </c>
      <c r="B19215" t="s">
        <v>12161</v>
      </c>
      <c r="C19215" t="s">
        <v>12162</v>
      </c>
      <c r="D19215" t="s">
        <v>657</v>
      </c>
      <c r="E19215" t="s">
        <v>658</v>
      </c>
      <c r="F19215" t="s">
        <v>52</v>
      </c>
      <c r="G19215" t="s">
        <v>47093</v>
      </c>
      <c r="H19215" t="s">
        <v>47054</v>
      </c>
      <c r="I19215" t="s">
        <v>47111</v>
      </c>
      <c r="J19215" t="s">
        <v>47112</v>
      </c>
      <c r="K19215" t="s">
        <v>47113</v>
      </c>
      <c r="L19215">
        <v>47.58</v>
      </c>
      <c r="M19215">
        <v>109</v>
      </c>
      <c r="N19215">
        <v>0</v>
      </c>
      <c r="O19215">
        <v>109</v>
      </c>
      <c r="P19215">
        <v>0</v>
      </c>
    </row>
    <row r="19216" spans="1:16" x14ac:dyDescent="0.25">
      <c r="A19216" t="s">
        <v>41818</v>
      </c>
      <c r="B19216" t="s">
        <v>12161</v>
      </c>
      <c r="C19216" t="s">
        <v>12162</v>
      </c>
      <c r="D19216" t="s">
        <v>12141</v>
      </c>
      <c r="E19216" t="s">
        <v>12142</v>
      </c>
      <c r="F19216" t="s">
        <v>52</v>
      </c>
      <c r="G19216" t="s">
        <v>47093</v>
      </c>
      <c r="H19216" t="s">
        <v>47054</v>
      </c>
      <c r="I19216" t="s">
        <v>47111</v>
      </c>
      <c r="J19216" t="s">
        <v>47112</v>
      </c>
      <c r="K19216" t="s">
        <v>47113</v>
      </c>
      <c r="L19216">
        <v>48.91</v>
      </c>
      <c r="M19216">
        <v>120</v>
      </c>
      <c r="N19216">
        <v>0</v>
      </c>
      <c r="O19216">
        <v>120</v>
      </c>
      <c r="P19216">
        <v>0</v>
      </c>
    </row>
    <row r="19217" spans="1:16" x14ac:dyDescent="0.25">
      <c r="A19217" t="s">
        <v>41819</v>
      </c>
      <c r="B19217" t="s">
        <v>12161</v>
      </c>
      <c r="C19217" t="s">
        <v>12162</v>
      </c>
      <c r="D19217" t="s">
        <v>12143</v>
      </c>
      <c r="E19217" t="s">
        <v>12144</v>
      </c>
      <c r="F19217" t="s">
        <v>52</v>
      </c>
      <c r="G19217" t="s">
        <v>47093</v>
      </c>
      <c r="H19217" t="s">
        <v>47054</v>
      </c>
      <c r="I19217" t="s">
        <v>47111</v>
      </c>
      <c r="J19217" t="s">
        <v>47112</v>
      </c>
      <c r="K19217" t="s">
        <v>47113</v>
      </c>
      <c r="L19217">
        <v>55.65</v>
      </c>
      <c r="M19217">
        <v>128</v>
      </c>
      <c r="N19217">
        <v>0</v>
      </c>
      <c r="O19217">
        <v>128</v>
      </c>
      <c r="P19217">
        <v>0</v>
      </c>
    </row>
    <row r="19218" spans="1:16" x14ac:dyDescent="0.25">
      <c r="A19218" t="s">
        <v>41820</v>
      </c>
      <c r="B19218" t="s">
        <v>12163</v>
      </c>
      <c r="C19218" t="s">
        <v>12164</v>
      </c>
      <c r="D19218" t="s">
        <v>12149</v>
      </c>
      <c r="E19218" t="s">
        <v>12150</v>
      </c>
      <c r="F19218" t="s">
        <v>5</v>
      </c>
      <c r="G19218" t="s">
        <v>47093</v>
      </c>
      <c r="H19218" t="s">
        <v>47054</v>
      </c>
      <c r="I19218" t="s">
        <v>47111</v>
      </c>
      <c r="J19218" t="s">
        <v>47112</v>
      </c>
      <c r="K19218" t="s">
        <v>47113</v>
      </c>
      <c r="L19218">
        <v>30.05</v>
      </c>
      <c r="M19218">
        <v>69</v>
      </c>
      <c r="N19218">
        <v>0</v>
      </c>
      <c r="O19218">
        <v>69</v>
      </c>
      <c r="P19218">
        <v>0</v>
      </c>
    </row>
    <row r="19219" spans="1:16" x14ac:dyDescent="0.25">
      <c r="A19219" t="s">
        <v>41821</v>
      </c>
      <c r="B19219" t="s">
        <v>12163</v>
      </c>
      <c r="C19219" t="s">
        <v>12164</v>
      </c>
      <c r="D19219" t="s">
        <v>12151</v>
      </c>
      <c r="E19219" t="s">
        <v>12152</v>
      </c>
      <c r="F19219" t="s">
        <v>5</v>
      </c>
      <c r="G19219" t="s">
        <v>47093</v>
      </c>
      <c r="H19219" t="s">
        <v>47054</v>
      </c>
      <c r="I19219" t="s">
        <v>47111</v>
      </c>
      <c r="J19219" t="s">
        <v>47112</v>
      </c>
      <c r="K19219" t="s">
        <v>47113</v>
      </c>
      <c r="L19219">
        <v>37.57</v>
      </c>
      <c r="M19219">
        <v>88</v>
      </c>
      <c r="N19219">
        <v>0</v>
      </c>
      <c r="O19219">
        <v>88</v>
      </c>
      <c r="P19219">
        <v>0</v>
      </c>
    </row>
    <row r="19220" spans="1:16" x14ac:dyDescent="0.25">
      <c r="A19220" t="s">
        <v>641</v>
      </c>
      <c r="B19220" t="s">
        <v>642</v>
      </c>
      <c r="C19220" t="s">
        <v>643</v>
      </c>
      <c r="D19220" t="s">
        <v>644</v>
      </c>
      <c r="E19220" t="s">
        <v>645</v>
      </c>
      <c r="F19220" t="s">
        <v>4</v>
      </c>
      <c r="G19220" t="s">
        <v>47093</v>
      </c>
      <c r="H19220" t="s">
        <v>47054</v>
      </c>
      <c r="I19220" t="s">
        <v>47111</v>
      </c>
      <c r="J19220" t="s">
        <v>47112</v>
      </c>
      <c r="K19220" t="s">
        <v>47113</v>
      </c>
      <c r="L19220">
        <v>54.6</v>
      </c>
      <c r="M19220">
        <v>134</v>
      </c>
      <c r="N19220">
        <v>0</v>
      </c>
      <c r="O19220">
        <v>134</v>
      </c>
      <c r="P19220">
        <v>0</v>
      </c>
    </row>
    <row r="19221" spans="1:16" x14ac:dyDescent="0.25">
      <c r="A19221" t="s">
        <v>41822</v>
      </c>
      <c r="B19221" t="s">
        <v>12165</v>
      </c>
      <c r="C19221" t="s">
        <v>12166</v>
      </c>
      <c r="D19221" t="s">
        <v>639</v>
      </c>
      <c r="E19221" t="s">
        <v>640</v>
      </c>
      <c r="F19221" t="s">
        <v>4</v>
      </c>
      <c r="G19221" t="s">
        <v>47093</v>
      </c>
      <c r="H19221" t="s">
        <v>47054</v>
      </c>
      <c r="I19221" t="s">
        <v>47111</v>
      </c>
      <c r="J19221" t="s">
        <v>47112</v>
      </c>
      <c r="K19221" t="s">
        <v>47113</v>
      </c>
      <c r="L19221">
        <v>49.8</v>
      </c>
      <c r="M19221">
        <v>121</v>
      </c>
      <c r="N19221">
        <v>0</v>
      </c>
      <c r="O19221">
        <v>121</v>
      </c>
      <c r="P19221">
        <v>0</v>
      </c>
    </row>
    <row r="19222" spans="1:16" x14ac:dyDescent="0.25">
      <c r="A19222" t="s">
        <v>41823</v>
      </c>
      <c r="B19222" t="s">
        <v>12167</v>
      </c>
      <c r="C19222" t="s">
        <v>12168</v>
      </c>
      <c r="D19222" t="s">
        <v>657</v>
      </c>
      <c r="E19222" t="s">
        <v>658</v>
      </c>
      <c r="F19222" t="s">
        <v>52</v>
      </c>
      <c r="G19222" t="s">
        <v>47093</v>
      </c>
      <c r="H19222" t="s">
        <v>47054</v>
      </c>
      <c r="I19222" t="s">
        <v>47114</v>
      </c>
      <c r="J19222" t="s">
        <v>47115</v>
      </c>
      <c r="K19222" t="s">
        <v>47113</v>
      </c>
      <c r="L19222">
        <v>49.17</v>
      </c>
      <c r="M19222">
        <v>121</v>
      </c>
      <c r="N19222">
        <v>0</v>
      </c>
      <c r="O19222">
        <v>121</v>
      </c>
      <c r="P19222">
        <v>0</v>
      </c>
    </row>
    <row r="19223" spans="1:16" x14ac:dyDescent="0.25">
      <c r="A19223" t="s">
        <v>41824</v>
      </c>
      <c r="B19223" t="s">
        <v>12167</v>
      </c>
      <c r="C19223" t="s">
        <v>12168</v>
      </c>
      <c r="D19223" t="s">
        <v>12143</v>
      </c>
      <c r="E19223" t="s">
        <v>12144</v>
      </c>
      <c r="F19223" t="s">
        <v>52</v>
      </c>
      <c r="G19223" t="s">
        <v>47093</v>
      </c>
      <c r="H19223" t="s">
        <v>47054</v>
      </c>
      <c r="I19223" t="s">
        <v>47114</v>
      </c>
      <c r="J19223" t="s">
        <v>47115</v>
      </c>
      <c r="K19223" t="s">
        <v>47113</v>
      </c>
      <c r="L19223">
        <v>57.24</v>
      </c>
      <c r="M19223">
        <v>129</v>
      </c>
      <c r="N19223">
        <v>0</v>
      </c>
      <c r="O19223">
        <v>129</v>
      </c>
      <c r="P19223">
        <v>0</v>
      </c>
    </row>
    <row r="19224" spans="1:16" x14ac:dyDescent="0.25">
      <c r="A19224" t="s">
        <v>41825</v>
      </c>
      <c r="B19224" t="s">
        <v>12169</v>
      </c>
      <c r="C19224" t="s">
        <v>12170</v>
      </c>
      <c r="D19224" t="s">
        <v>657</v>
      </c>
      <c r="E19224" t="s">
        <v>658</v>
      </c>
      <c r="F19224" t="s">
        <v>52</v>
      </c>
      <c r="G19224" t="s">
        <v>47093</v>
      </c>
      <c r="H19224" t="s">
        <v>47054</v>
      </c>
      <c r="I19224" t="s">
        <v>47111</v>
      </c>
      <c r="J19224" t="s">
        <v>47112</v>
      </c>
      <c r="K19224" t="s">
        <v>47113</v>
      </c>
      <c r="L19224">
        <v>44.14</v>
      </c>
      <c r="M19224">
        <v>103</v>
      </c>
      <c r="N19224">
        <v>0</v>
      </c>
      <c r="O19224">
        <v>103</v>
      </c>
      <c r="P19224">
        <v>0</v>
      </c>
    </row>
    <row r="19225" spans="1:16" x14ac:dyDescent="0.25">
      <c r="A19225" t="s">
        <v>41826</v>
      </c>
      <c r="B19225" t="s">
        <v>12169</v>
      </c>
      <c r="C19225" t="s">
        <v>12170</v>
      </c>
      <c r="D19225" t="s">
        <v>12143</v>
      </c>
      <c r="E19225" t="s">
        <v>12144</v>
      </c>
      <c r="F19225" t="s">
        <v>52</v>
      </c>
      <c r="G19225" t="s">
        <v>47093</v>
      </c>
      <c r="H19225" t="s">
        <v>47054</v>
      </c>
      <c r="I19225" t="s">
        <v>47111</v>
      </c>
      <c r="J19225" t="s">
        <v>47112</v>
      </c>
      <c r="K19225" t="s">
        <v>47113</v>
      </c>
      <c r="L19225">
        <v>52.2</v>
      </c>
      <c r="M19225">
        <v>123</v>
      </c>
      <c r="N19225">
        <v>0</v>
      </c>
      <c r="O19225">
        <v>123</v>
      </c>
      <c r="P19225">
        <v>0</v>
      </c>
    </row>
    <row r="19226" spans="1:16" x14ac:dyDescent="0.25">
      <c r="A19226" t="s">
        <v>41827</v>
      </c>
      <c r="B19226" t="s">
        <v>12171</v>
      </c>
      <c r="C19226" t="s">
        <v>12172</v>
      </c>
      <c r="D19226" t="s">
        <v>2624</v>
      </c>
      <c r="E19226" t="s">
        <v>2625</v>
      </c>
      <c r="F19226" t="s">
        <v>8</v>
      </c>
      <c r="G19226" t="s">
        <v>47093</v>
      </c>
      <c r="H19226" t="s">
        <v>47054</v>
      </c>
      <c r="I19226" t="s">
        <v>47111</v>
      </c>
      <c r="J19226" t="s">
        <v>47112</v>
      </c>
      <c r="K19226" t="s">
        <v>47113</v>
      </c>
      <c r="L19226">
        <v>37.44</v>
      </c>
      <c r="M19226">
        <v>100</v>
      </c>
      <c r="N19226">
        <v>0</v>
      </c>
      <c r="O19226">
        <v>100</v>
      </c>
      <c r="P19226">
        <v>0</v>
      </c>
    </row>
    <row r="19227" spans="1:16" x14ac:dyDescent="0.25">
      <c r="A19227" t="s">
        <v>41828</v>
      </c>
      <c r="B19227" t="s">
        <v>12171</v>
      </c>
      <c r="C19227" t="s">
        <v>12172</v>
      </c>
      <c r="D19227" t="s">
        <v>1679</v>
      </c>
      <c r="E19227" t="s">
        <v>1680</v>
      </c>
      <c r="F19227" t="s">
        <v>8</v>
      </c>
      <c r="G19227" t="s">
        <v>47093</v>
      </c>
      <c r="H19227" t="s">
        <v>47054</v>
      </c>
      <c r="I19227" t="s">
        <v>47111</v>
      </c>
      <c r="J19227" t="s">
        <v>47112</v>
      </c>
      <c r="K19227" t="s">
        <v>47113</v>
      </c>
      <c r="L19227">
        <v>35.36</v>
      </c>
      <c r="M19227">
        <v>83</v>
      </c>
      <c r="N19227">
        <v>0</v>
      </c>
      <c r="O19227">
        <v>83</v>
      </c>
      <c r="P19227">
        <v>0</v>
      </c>
    </row>
    <row r="19228" spans="1:16" x14ac:dyDescent="0.25">
      <c r="A19228" t="s">
        <v>41829</v>
      </c>
      <c r="B19228" t="s">
        <v>12171</v>
      </c>
      <c r="C19228" t="s">
        <v>12172</v>
      </c>
      <c r="D19228" t="s">
        <v>657</v>
      </c>
      <c r="E19228" t="s">
        <v>658</v>
      </c>
      <c r="F19228" t="s">
        <v>631</v>
      </c>
      <c r="G19228" t="s">
        <v>47093</v>
      </c>
      <c r="H19228" t="s">
        <v>47054</v>
      </c>
      <c r="I19228" t="s">
        <v>47111</v>
      </c>
      <c r="J19228" t="s">
        <v>47112</v>
      </c>
      <c r="K19228" t="s">
        <v>47113</v>
      </c>
      <c r="L19228">
        <v>29.13</v>
      </c>
      <c r="M19228">
        <v>83</v>
      </c>
      <c r="N19228">
        <v>0</v>
      </c>
      <c r="O19228">
        <v>83</v>
      </c>
      <c r="P19228">
        <v>0</v>
      </c>
    </row>
    <row r="19229" spans="1:16" x14ac:dyDescent="0.25">
      <c r="A19229" t="s">
        <v>41830</v>
      </c>
      <c r="B19229" t="s">
        <v>12171</v>
      </c>
      <c r="C19229" t="s">
        <v>12172</v>
      </c>
      <c r="D19229" t="s">
        <v>3096</v>
      </c>
      <c r="E19229" t="s">
        <v>3097</v>
      </c>
      <c r="F19229" t="s">
        <v>631</v>
      </c>
      <c r="G19229" t="s">
        <v>47093</v>
      </c>
      <c r="H19229" t="s">
        <v>47054</v>
      </c>
      <c r="I19229" t="s">
        <v>47111</v>
      </c>
      <c r="J19229" t="s">
        <v>47112</v>
      </c>
      <c r="K19229" t="s">
        <v>47113</v>
      </c>
      <c r="L19229">
        <v>33.25</v>
      </c>
      <c r="M19229">
        <v>78</v>
      </c>
      <c r="N19229">
        <v>0</v>
      </c>
      <c r="O19229">
        <v>78</v>
      </c>
      <c r="P19229">
        <v>0</v>
      </c>
    </row>
    <row r="19230" spans="1:16" x14ac:dyDescent="0.25">
      <c r="A19230" t="s">
        <v>41831</v>
      </c>
      <c r="B19230" t="s">
        <v>12171</v>
      </c>
      <c r="C19230" t="s">
        <v>12172</v>
      </c>
      <c r="D19230" t="s">
        <v>12137</v>
      </c>
      <c r="E19230" t="s">
        <v>12138</v>
      </c>
      <c r="F19230" t="s">
        <v>631</v>
      </c>
      <c r="G19230" t="s">
        <v>47093</v>
      </c>
      <c r="H19230" t="s">
        <v>47054</v>
      </c>
      <c r="I19230" t="s">
        <v>47111</v>
      </c>
      <c r="J19230" t="s">
        <v>47112</v>
      </c>
      <c r="K19230" t="s">
        <v>47113</v>
      </c>
      <c r="L19230">
        <v>37.44</v>
      </c>
      <c r="M19230">
        <v>100</v>
      </c>
      <c r="N19230">
        <v>0</v>
      </c>
      <c r="O19230">
        <v>100</v>
      </c>
      <c r="P19230">
        <v>0</v>
      </c>
    </row>
    <row r="19231" spans="1:16" x14ac:dyDescent="0.25">
      <c r="A19231" t="s">
        <v>41832</v>
      </c>
      <c r="B19231" t="s">
        <v>12173</v>
      </c>
      <c r="C19231" t="s">
        <v>12174</v>
      </c>
      <c r="D19231" t="s">
        <v>657</v>
      </c>
      <c r="E19231" t="s">
        <v>658</v>
      </c>
      <c r="F19231" t="s">
        <v>52</v>
      </c>
      <c r="G19231" t="s">
        <v>47093</v>
      </c>
      <c r="H19231" t="s">
        <v>47054</v>
      </c>
      <c r="I19231" t="s">
        <v>47111</v>
      </c>
      <c r="J19231" t="s">
        <v>47112</v>
      </c>
      <c r="K19231" t="s">
        <v>47113</v>
      </c>
      <c r="L19231">
        <v>41.84</v>
      </c>
      <c r="M19231">
        <v>103</v>
      </c>
      <c r="N19231">
        <v>0</v>
      </c>
      <c r="O19231">
        <v>103</v>
      </c>
      <c r="P19231">
        <v>0</v>
      </c>
    </row>
    <row r="19232" spans="1:16" x14ac:dyDescent="0.25">
      <c r="A19232" t="s">
        <v>41833</v>
      </c>
      <c r="B19232" t="s">
        <v>12173</v>
      </c>
      <c r="C19232" t="s">
        <v>12174</v>
      </c>
      <c r="D19232" t="s">
        <v>12141</v>
      </c>
      <c r="E19232" t="s">
        <v>12142</v>
      </c>
      <c r="F19232" t="s">
        <v>52</v>
      </c>
      <c r="G19232" t="s">
        <v>47093</v>
      </c>
      <c r="H19232" t="s">
        <v>47054</v>
      </c>
      <c r="I19232" t="s">
        <v>47111</v>
      </c>
      <c r="J19232" t="s">
        <v>47112</v>
      </c>
      <c r="K19232" t="s">
        <v>47113</v>
      </c>
      <c r="L19232">
        <v>48.76</v>
      </c>
      <c r="M19232">
        <v>114</v>
      </c>
      <c r="N19232">
        <v>0</v>
      </c>
      <c r="O19232">
        <v>114</v>
      </c>
      <c r="P19232">
        <v>0</v>
      </c>
    </row>
    <row r="19233" spans="1:16" x14ac:dyDescent="0.25">
      <c r="A19233" t="s">
        <v>41834</v>
      </c>
      <c r="B19233" t="s">
        <v>12173</v>
      </c>
      <c r="C19233" t="s">
        <v>12174</v>
      </c>
      <c r="D19233" t="s">
        <v>12143</v>
      </c>
      <c r="E19233" t="s">
        <v>12144</v>
      </c>
      <c r="F19233" t="s">
        <v>52</v>
      </c>
      <c r="G19233" t="s">
        <v>47093</v>
      </c>
      <c r="H19233" t="s">
        <v>47054</v>
      </c>
      <c r="I19233" t="s">
        <v>47111</v>
      </c>
      <c r="J19233" t="s">
        <v>47112</v>
      </c>
      <c r="K19233" t="s">
        <v>47113</v>
      </c>
      <c r="L19233">
        <v>49.9</v>
      </c>
      <c r="M19233">
        <v>122</v>
      </c>
      <c r="N19233">
        <v>0</v>
      </c>
      <c r="O19233">
        <v>122</v>
      </c>
      <c r="P19233">
        <v>0</v>
      </c>
    </row>
    <row r="19234" spans="1:16" x14ac:dyDescent="0.25">
      <c r="A19234" t="s">
        <v>646</v>
      </c>
      <c r="B19234" t="s">
        <v>647</v>
      </c>
      <c r="C19234" t="s">
        <v>648</v>
      </c>
      <c r="D19234" t="s">
        <v>639</v>
      </c>
      <c r="E19234" t="s">
        <v>640</v>
      </c>
      <c r="F19234" t="s">
        <v>4</v>
      </c>
      <c r="G19234" t="s">
        <v>47093</v>
      </c>
      <c r="H19234" t="s">
        <v>47054</v>
      </c>
      <c r="I19234" t="s">
        <v>47111</v>
      </c>
      <c r="J19234" t="s">
        <v>47112</v>
      </c>
      <c r="K19234" t="s">
        <v>47113</v>
      </c>
      <c r="L19234">
        <v>49.8</v>
      </c>
      <c r="M19234">
        <v>121</v>
      </c>
      <c r="N19234">
        <v>0</v>
      </c>
      <c r="O19234">
        <v>121</v>
      </c>
      <c r="P19234">
        <v>0</v>
      </c>
    </row>
    <row r="19235" spans="1:16" x14ac:dyDescent="0.25">
      <c r="A19235" t="s">
        <v>41835</v>
      </c>
      <c r="B19235" t="s">
        <v>12175</v>
      </c>
      <c r="C19235" t="s">
        <v>12176</v>
      </c>
      <c r="D19235" t="s">
        <v>657</v>
      </c>
      <c r="E19235" t="s">
        <v>658</v>
      </c>
      <c r="F19235" t="s">
        <v>52</v>
      </c>
      <c r="G19235" t="s">
        <v>47093</v>
      </c>
      <c r="H19235" t="s">
        <v>47054</v>
      </c>
      <c r="I19235" t="s">
        <v>47111</v>
      </c>
      <c r="J19235" t="s">
        <v>47112</v>
      </c>
      <c r="K19235" t="s">
        <v>47113</v>
      </c>
      <c r="L19235">
        <v>42.44</v>
      </c>
      <c r="M19235">
        <v>99</v>
      </c>
      <c r="N19235">
        <v>0</v>
      </c>
      <c r="O19235">
        <v>99</v>
      </c>
      <c r="P19235">
        <v>0</v>
      </c>
    </row>
    <row r="19236" spans="1:16" x14ac:dyDescent="0.25">
      <c r="A19236" t="s">
        <v>41836</v>
      </c>
      <c r="B19236" t="s">
        <v>12175</v>
      </c>
      <c r="C19236" t="s">
        <v>12176</v>
      </c>
      <c r="D19236" t="s">
        <v>12143</v>
      </c>
      <c r="E19236" t="s">
        <v>12144</v>
      </c>
      <c r="F19236" t="s">
        <v>52</v>
      </c>
      <c r="G19236" t="s">
        <v>47093</v>
      </c>
      <c r="H19236" t="s">
        <v>47054</v>
      </c>
      <c r="I19236" t="s">
        <v>47111</v>
      </c>
      <c r="J19236" t="s">
        <v>47112</v>
      </c>
      <c r="K19236" t="s">
        <v>47113</v>
      </c>
      <c r="L19236">
        <v>50.51</v>
      </c>
      <c r="M19236">
        <v>119</v>
      </c>
      <c r="N19236">
        <v>0</v>
      </c>
      <c r="O19236">
        <v>119</v>
      </c>
      <c r="P19236">
        <v>0</v>
      </c>
    </row>
    <row r="19237" spans="1:16" x14ac:dyDescent="0.25">
      <c r="A19237" t="s">
        <v>649</v>
      </c>
      <c r="B19237" t="s">
        <v>650</v>
      </c>
      <c r="C19237" t="s">
        <v>651</v>
      </c>
      <c r="D19237" t="s">
        <v>652</v>
      </c>
      <c r="E19237" t="s">
        <v>653</v>
      </c>
      <c r="F19237" t="s">
        <v>296</v>
      </c>
      <c r="G19237" t="s">
        <v>47093</v>
      </c>
      <c r="H19237" t="s">
        <v>47054</v>
      </c>
      <c r="I19237" t="s">
        <v>47111</v>
      </c>
      <c r="J19237" t="s">
        <v>47112</v>
      </c>
      <c r="K19237" t="s">
        <v>47113</v>
      </c>
      <c r="L19237">
        <v>34.1</v>
      </c>
      <c r="M19237">
        <v>93</v>
      </c>
      <c r="N19237">
        <v>0</v>
      </c>
      <c r="O19237">
        <v>93</v>
      </c>
      <c r="P19237">
        <v>0</v>
      </c>
    </row>
    <row r="19238" spans="1:16" x14ac:dyDescent="0.25">
      <c r="A19238" t="s">
        <v>41837</v>
      </c>
      <c r="B19238" t="s">
        <v>655</v>
      </c>
      <c r="C19238" t="s">
        <v>656</v>
      </c>
      <c r="D19238" t="str">
        <f>"1028"</f>
        <v>1028</v>
      </c>
      <c r="E19238" t="s">
        <v>12177</v>
      </c>
      <c r="F19238" t="s">
        <v>2</v>
      </c>
      <c r="G19238" t="s">
        <v>47093</v>
      </c>
      <c r="H19238" t="s">
        <v>47054</v>
      </c>
      <c r="I19238" t="s">
        <v>47111</v>
      </c>
      <c r="J19238" t="s">
        <v>47112</v>
      </c>
      <c r="K19238" t="s">
        <v>47113</v>
      </c>
      <c r="L19238">
        <v>36.01</v>
      </c>
      <c r="M19238">
        <v>90</v>
      </c>
      <c r="N19238">
        <v>0</v>
      </c>
      <c r="O19238">
        <v>90</v>
      </c>
      <c r="P19238">
        <v>0</v>
      </c>
    </row>
    <row r="19239" spans="1:16" x14ac:dyDescent="0.25">
      <c r="A19239" t="s">
        <v>41838</v>
      </c>
      <c r="B19239" t="s">
        <v>655</v>
      </c>
      <c r="C19239" t="s">
        <v>656</v>
      </c>
      <c r="D19239" t="str">
        <f>"1032"</f>
        <v>1032</v>
      </c>
      <c r="E19239" t="s">
        <v>12178</v>
      </c>
      <c r="F19239" t="s">
        <v>2</v>
      </c>
      <c r="G19239" t="s">
        <v>47093</v>
      </c>
      <c r="H19239" t="s">
        <v>47054</v>
      </c>
      <c r="I19239" t="s">
        <v>47111</v>
      </c>
      <c r="J19239" t="s">
        <v>47112</v>
      </c>
      <c r="K19239" t="s">
        <v>47113</v>
      </c>
      <c r="L19239">
        <v>41.53</v>
      </c>
      <c r="M19239">
        <v>90</v>
      </c>
      <c r="N19239">
        <v>0</v>
      </c>
      <c r="O19239">
        <v>90</v>
      </c>
      <c r="P19239">
        <v>0</v>
      </c>
    </row>
    <row r="19240" spans="1:16" x14ac:dyDescent="0.25">
      <c r="A19240" t="s">
        <v>41839</v>
      </c>
      <c r="B19240" t="s">
        <v>655</v>
      </c>
      <c r="C19240" t="s">
        <v>656</v>
      </c>
      <c r="D19240" t="s">
        <v>2624</v>
      </c>
      <c r="E19240" t="s">
        <v>2625</v>
      </c>
      <c r="F19240" t="s">
        <v>7</v>
      </c>
      <c r="G19240" t="s">
        <v>47093</v>
      </c>
      <c r="H19240" t="s">
        <v>47054</v>
      </c>
      <c r="I19240" t="s">
        <v>47111</v>
      </c>
      <c r="J19240" t="s">
        <v>47112</v>
      </c>
      <c r="K19240" t="s">
        <v>47113</v>
      </c>
      <c r="L19240">
        <v>37.44</v>
      </c>
      <c r="M19240">
        <v>90</v>
      </c>
      <c r="N19240">
        <v>0</v>
      </c>
      <c r="O19240">
        <v>90</v>
      </c>
      <c r="P19240">
        <v>0</v>
      </c>
    </row>
    <row r="19241" spans="1:16" x14ac:dyDescent="0.25">
      <c r="A19241" t="s">
        <v>41840</v>
      </c>
      <c r="B19241" t="s">
        <v>655</v>
      </c>
      <c r="C19241" t="s">
        <v>656</v>
      </c>
      <c r="D19241" t="s">
        <v>1679</v>
      </c>
      <c r="E19241" t="s">
        <v>1680</v>
      </c>
      <c r="F19241" t="s">
        <v>2</v>
      </c>
      <c r="G19241" t="s">
        <v>47093</v>
      </c>
      <c r="H19241" t="s">
        <v>47054</v>
      </c>
      <c r="I19241" t="s">
        <v>47111</v>
      </c>
      <c r="J19241" t="s">
        <v>47112</v>
      </c>
      <c r="K19241" t="s">
        <v>47113</v>
      </c>
      <c r="L19241">
        <v>30.73</v>
      </c>
      <c r="M19241">
        <v>83</v>
      </c>
      <c r="N19241">
        <v>0</v>
      </c>
      <c r="O19241">
        <v>83</v>
      </c>
      <c r="P19241">
        <v>0</v>
      </c>
    </row>
    <row r="19242" spans="1:16" x14ac:dyDescent="0.25">
      <c r="A19242" t="s">
        <v>654</v>
      </c>
      <c r="B19242" t="s">
        <v>655</v>
      </c>
      <c r="C19242" t="s">
        <v>656</v>
      </c>
      <c r="D19242" t="s">
        <v>657</v>
      </c>
      <c r="E19242" t="s">
        <v>658</v>
      </c>
      <c r="F19242" t="s">
        <v>7</v>
      </c>
      <c r="G19242" t="s">
        <v>47093</v>
      </c>
      <c r="H19242" t="s">
        <v>47054</v>
      </c>
      <c r="I19242" t="s">
        <v>47111</v>
      </c>
      <c r="J19242" t="s">
        <v>47112</v>
      </c>
      <c r="K19242" t="s">
        <v>47113</v>
      </c>
      <c r="L19242">
        <v>28.65</v>
      </c>
      <c r="M19242">
        <v>83</v>
      </c>
      <c r="N19242">
        <v>0</v>
      </c>
      <c r="O19242">
        <v>83</v>
      </c>
      <c r="P19242">
        <v>0</v>
      </c>
    </row>
    <row r="19243" spans="1:16" x14ac:dyDescent="0.25">
      <c r="A19243" t="s">
        <v>41841</v>
      </c>
      <c r="B19243" t="s">
        <v>12179</v>
      </c>
      <c r="C19243" t="s">
        <v>12180</v>
      </c>
      <c r="D19243" t="s">
        <v>657</v>
      </c>
      <c r="E19243" t="s">
        <v>658</v>
      </c>
      <c r="F19243" t="s">
        <v>52</v>
      </c>
      <c r="G19243" t="s">
        <v>47093</v>
      </c>
      <c r="H19243" t="s">
        <v>47054</v>
      </c>
      <c r="I19243" t="s">
        <v>47111</v>
      </c>
      <c r="J19243" t="s">
        <v>47112</v>
      </c>
      <c r="K19243" t="s">
        <v>47113</v>
      </c>
      <c r="L19243">
        <v>47.58</v>
      </c>
      <c r="M19243">
        <v>109</v>
      </c>
      <c r="N19243">
        <v>0</v>
      </c>
      <c r="O19243">
        <v>109</v>
      </c>
      <c r="P19243">
        <v>0</v>
      </c>
    </row>
    <row r="19244" spans="1:16" x14ac:dyDescent="0.25">
      <c r="A19244" t="s">
        <v>41842</v>
      </c>
      <c r="B19244" t="s">
        <v>12179</v>
      </c>
      <c r="C19244" t="s">
        <v>12180</v>
      </c>
      <c r="D19244" t="s">
        <v>12141</v>
      </c>
      <c r="E19244" t="s">
        <v>12142</v>
      </c>
      <c r="F19244" t="s">
        <v>52</v>
      </c>
      <c r="G19244" t="s">
        <v>47093</v>
      </c>
      <c r="H19244" t="s">
        <v>47054</v>
      </c>
      <c r="I19244" t="s">
        <v>47111</v>
      </c>
      <c r="J19244" t="s">
        <v>47112</v>
      </c>
      <c r="K19244" t="s">
        <v>47113</v>
      </c>
      <c r="L19244">
        <v>48.91</v>
      </c>
      <c r="M19244">
        <v>120</v>
      </c>
      <c r="N19244">
        <v>0</v>
      </c>
      <c r="O19244">
        <v>120</v>
      </c>
      <c r="P19244">
        <v>0</v>
      </c>
    </row>
    <row r="19245" spans="1:16" x14ac:dyDescent="0.25">
      <c r="A19245" t="s">
        <v>41843</v>
      </c>
      <c r="B19245" t="s">
        <v>12179</v>
      </c>
      <c r="C19245" t="s">
        <v>12180</v>
      </c>
      <c r="D19245" t="s">
        <v>12143</v>
      </c>
      <c r="E19245" t="s">
        <v>12144</v>
      </c>
      <c r="F19245" t="s">
        <v>52</v>
      </c>
      <c r="G19245" t="s">
        <v>47093</v>
      </c>
      <c r="H19245" t="s">
        <v>47054</v>
      </c>
      <c r="I19245" t="s">
        <v>47111</v>
      </c>
      <c r="J19245" t="s">
        <v>47112</v>
      </c>
      <c r="K19245" t="s">
        <v>47113</v>
      </c>
      <c r="L19245">
        <v>55.65</v>
      </c>
      <c r="M19245">
        <v>128</v>
      </c>
      <c r="N19245">
        <v>0</v>
      </c>
      <c r="O19245">
        <v>128</v>
      </c>
      <c r="P19245">
        <v>0</v>
      </c>
    </row>
    <row r="19246" spans="1:16" x14ac:dyDescent="0.25">
      <c r="A19246" t="s">
        <v>659</v>
      </c>
      <c r="B19246" t="s">
        <v>660</v>
      </c>
      <c r="C19246" t="s">
        <v>661</v>
      </c>
      <c r="D19246" t="s">
        <v>644</v>
      </c>
      <c r="E19246" t="s">
        <v>645</v>
      </c>
      <c r="F19246" t="s">
        <v>4</v>
      </c>
      <c r="G19246" t="s">
        <v>47093</v>
      </c>
      <c r="H19246" t="s">
        <v>47054</v>
      </c>
      <c r="I19246" t="s">
        <v>47111</v>
      </c>
      <c r="J19246" t="s">
        <v>47112</v>
      </c>
      <c r="K19246" t="s">
        <v>47113</v>
      </c>
      <c r="L19246">
        <v>54.6</v>
      </c>
      <c r="M19246">
        <v>134</v>
      </c>
      <c r="N19246">
        <v>0</v>
      </c>
      <c r="O19246">
        <v>134</v>
      </c>
      <c r="P19246">
        <v>0</v>
      </c>
    </row>
    <row r="19247" spans="1:16" x14ac:dyDescent="0.25">
      <c r="A19247" t="s">
        <v>41844</v>
      </c>
      <c r="B19247" t="s">
        <v>12181</v>
      </c>
      <c r="C19247" t="s">
        <v>12182</v>
      </c>
      <c r="D19247" t="s">
        <v>639</v>
      </c>
      <c r="E19247" t="s">
        <v>640</v>
      </c>
      <c r="F19247" t="s">
        <v>4</v>
      </c>
      <c r="G19247" t="s">
        <v>47093</v>
      </c>
      <c r="H19247" t="s">
        <v>47054</v>
      </c>
      <c r="I19247" t="s">
        <v>47111</v>
      </c>
      <c r="J19247" t="s">
        <v>47112</v>
      </c>
      <c r="K19247" t="s">
        <v>47113</v>
      </c>
      <c r="L19247">
        <v>49.8</v>
      </c>
      <c r="M19247">
        <v>121</v>
      </c>
      <c r="N19247">
        <v>0</v>
      </c>
      <c r="O19247">
        <v>121</v>
      </c>
      <c r="P19247">
        <v>0</v>
      </c>
    </row>
    <row r="19248" spans="1:16" x14ac:dyDescent="0.25">
      <c r="A19248" t="s">
        <v>41845</v>
      </c>
      <c r="B19248" t="s">
        <v>12183</v>
      </c>
      <c r="C19248" t="s">
        <v>12184</v>
      </c>
      <c r="D19248" t="s">
        <v>1679</v>
      </c>
      <c r="E19248" t="s">
        <v>1680</v>
      </c>
      <c r="F19248" t="s">
        <v>8</v>
      </c>
      <c r="G19248" t="s">
        <v>47093</v>
      </c>
      <c r="H19248" t="s">
        <v>47054</v>
      </c>
      <c r="I19248" t="s">
        <v>47111</v>
      </c>
      <c r="J19248" t="s">
        <v>47112</v>
      </c>
      <c r="K19248" t="s">
        <v>47113</v>
      </c>
      <c r="L19248">
        <v>50.99</v>
      </c>
      <c r="M19248">
        <v>125</v>
      </c>
      <c r="N19248">
        <v>0</v>
      </c>
      <c r="O19248">
        <v>125</v>
      </c>
      <c r="P19248">
        <v>0</v>
      </c>
    </row>
    <row r="19249" spans="1:16" x14ac:dyDescent="0.25">
      <c r="A19249" t="s">
        <v>41846</v>
      </c>
      <c r="B19249" t="s">
        <v>12183</v>
      </c>
      <c r="C19249" t="s">
        <v>12184</v>
      </c>
      <c r="D19249" t="s">
        <v>657</v>
      </c>
      <c r="E19249" t="s">
        <v>658</v>
      </c>
      <c r="F19249" t="s">
        <v>8</v>
      </c>
      <c r="G19249" t="s">
        <v>47093</v>
      </c>
      <c r="H19249" t="s">
        <v>47054</v>
      </c>
      <c r="I19249" t="s">
        <v>47111</v>
      </c>
      <c r="J19249" t="s">
        <v>47112</v>
      </c>
      <c r="K19249" t="s">
        <v>47113</v>
      </c>
      <c r="L19249">
        <v>43.5</v>
      </c>
      <c r="M19249">
        <v>119</v>
      </c>
      <c r="N19249">
        <v>0</v>
      </c>
      <c r="O19249">
        <v>119</v>
      </c>
      <c r="P19249">
        <v>0</v>
      </c>
    </row>
    <row r="19250" spans="1:16" x14ac:dyDescent="0.25">
      <c r="A19250" t="s">
        <v>41847</v>
      </c>
      <c r="B19250" t="s">
        <v>12183</v>
      </c>
      <c r="C19250" t="s">
        <v>12184</v>
      </c>
      <c r="D19250" t="s">
        <v>12137</v>
      </c>
      <c r="E19250" t="s">
        <v>12138</v>
      </c>
      <c r="F19250" t="s">
        <v>8</v>
      </c>
      <c r="G19250" t="s">
        <v>47093</v>
      </c>
      <c r="H19250" t="s">
        <v>47054</v>
      </c>
      <c r="I19250" t="s">
        <v>47111</v>
      </c>
      <c r="J19250" t="s">
        <v>47112</v>
      </c>
      <c r="K19250" t="s">
        <v>47113</v>
      </c>
      <c r="L19250">
        <v>51.56</v>
      </c>
      <c r="M19250">
        <v>137</v>
      </c>
      <c r="N19250">
        <v>0</v>
      </c>
      <c r="O19250">
        <v>137</v>
      </c>
      <c r="P19250">
        <v>0</v>
      </c>
    </row>
    <row r="19251" spans="1:16" x14ac:dyDescent="0.25">
      <c r="A19251" t="s">
        <v>41848</v>
      </c>
      <c r="B19251" t="s">
        <v>12185</v>
      </c>
      <c r="C19251" t="s">
        <v>12186</v>
      </c>
      <c r="D19251" t="s">
        <v>657</v>
      </c>
      <c r="E19251" t="s">
        <v>658</v>
      </c>
      <c r="F19251" t="s">
        <v>52</v>
      </c>
      <c r="G19251" t="s">
        <v>47093</v>
      </c>
      <c r="H19251" t="s">
        <v>47054</v>
      </c>
      <c r="I19251" t="s">
        <v>47111</v>
      </c>
      <c r="J19251" t="s">
        <v>47112</v>
      </c>
      <c r="K19251" t="s">
        <v>47113</v>
      </c>
      <c r="L19251">
        <v>49.17</v>
      </c>
      <c r="M19251">
        <v>121</v>
      </c>
      <c r="N19251">
        <v>0</v>
      </c>
      <c r="O19251">
        <v>121</v>
      </c>
      <c r="P19251">
        <v>0</v>
      </c>
    </row>
    <row r="19252" spans="1:16" x14ac:dyDescent="0.25">
      <c r="A19252" t="s">
        <v>41849</v>
      </c>
      <c r="B19252" t="s">
        <v>12185</v>
      </c>
      <c r="C19252" t="s">
        <v>12186</v>
      </c>
      <c r="D19252" t="s">
        <v>12143</v>
      </c>
      <c r="E19252" t="s">
        <v>12144</v>
      </c>
      <c r="F19252" t="s">
        <v>52</v>
      </c>
      <c r="G19252" t="s">
        <v>47093</v>
      </c>
      <c r="H19252" t="s">
        <v>47054</v>
      </c>
      <c r="I19252" t="s">
        <v>47111</v>
      </c>
      <c r="J19252" t="s">
        <v>47112</v>
      </c>
      <c r="K19252" t="s">
        <v>47113</v>
      </c>
      <c r="L19252">
        <v>57.24</v>
      </c>
      <c r="M19252">
        <v>129</v>
      </c>
      <c r="N19252">
        <v>0</v>
      </c>
      <c r="O19252">
        <v>129</v>
      </c>
      <c r="P19252">
        <v>0</v>
      </c>
    </row>
    <row r="19253" spans="1:16" x14ac:dyDescent="0.25">
      <c r="A19253" t="s">
        <v>41850</v>
      </c>
      <c r="B19253" t="s">
        <v>12187</v>
      </c>
      <c r="C19253" t="s">
        <v>12188</v>
      </c>
      <c r="D19253" t="s">
        <v>2624</v>
      </c>
      <c r="E19253" t="s">
        <v>2625</v>
      </c>
      <c r="F19253" t="s">
        <v>8</v>
      </c>
      <c r="G19253" t="s">
        <v>47093</v>
      </c>
      <c r="H19253" t="s">
        <v>47054</v>
      </c>
      <c r="I19253" t="s">
        <v>47111</v>
      </c>
      <c r="J19253" t="s">
        <v>47112</v>
      </c>
      <c r="K19253" t="s">
        <v>47113</v>
      </c>
      <c r="L19253">
        <v>36.51</v>
      </c>
      <c r="M19253">
        <v>93</v>
      </c>
      <c r="N19253">
        <v>0</v>
      </c>
      <c r="O19253">
        <v>93</v>
      </c>
      <c r="P19253">
        <v>0</v>
      </c>
    </row>
    <row r="19254" spans="1:16" x14ac:dyDescent="0.25">
      <c r="A19254" t="s">
        <v>41851</v>
      </c>
      <c r="B19254" t="s">
        <v>12187</v>
      </c>
      <c r="C19254" t="s">
        <v>12188</v>
      </c>
      <c r="D19254" t="s">
        <v>1679</v>
      </c>
      <c r="E19254" t="s">
        <v>1680</v>
      </c>
      <c r="F19254" t="s">
        <v>8</v>
      </c>
      <c r="G19254" t="s">
        <v>47093</v>
      </c>
      <c r="H19254" t="s">
        <v>47054</v>
      </c>
      <c r="I19254" t="s">
        <v>47111</v>
      </c>
      <c r="J19254" t="s">
        <v>47112</v>
      </c>
      <c r="K19254" t="s">
        <v>47113</v>
      </c>
      <c r="L19254">
        <v>32.26</v>
      </c>
      <c r="M19254">
        <v>90</v>
      </c>
      <c r="N19254">
        <v>0</v>
      </c>
      <c r="O19254">
        <v>90</v>
      </c>
      <c r="P19254">
        <v>0</v>
      </c>
    </row>
    <row r="19255" spans="1:16" x14ac:dyDescent="0.25">
      <c r="A19255" t="s">
        <v>41852</v>
      </c>
      <c r="B19255" t="s">
        <v>12187</v>
      </c>
      <c r="C19255" t="s">
        <v>12188</v>
      </c>
      <c r="D19255" t="s">
        <v>657</v>
      </c>
      <c r="E19255" t="s">
        <v>658</v>
      </c>
      <c r="F19255" t="s">
        <v>631</v>
      </c>
      <c r="G19255" t="s">
        <v>47093</v>
      </c>
      <c r="H19255" t="s">
        <v>47054</v>
      </c>
      <c r="I19255" t="s">
        <v>47111</v>
      </c>
      <c r="J19255" t="s">
        <v>47112</v>
      </c>
      <c r="K19255" t="s">
        <v>47113</v>
      </c>
      <c r="L19255">
        <v>30.9</v>
      </c>
      <c r="M19255">
        <v>73</v>
      </c>
      <c r="N19255">
        <v>0</v>
      </c>
      <c r="O19255">
        <v>73</v>
      </c>
      <c r="P19255">
        <v>0</v>
      </c>
    </row>
    <row r="19256" spans="1:16" x14ac:dyDescent="0.25">
      <c r="A19256" t="s">
        <v>41853</v>
      </c>
      <c r="B19256" t="s">
        <v>12187</v>
      </c>
      <c r="C19256" t="s">
        <v>12188</v>
      </c>
      <c r="D19256" t="s">
        <v>12189</v>
      </c>
      <c r="E19256" t="s">
        <v>12190</v>
      </c>
      <c r="F19256" t="s">
        <v>631</v>
      </c>
      <c r="G19256" t="s">
        <v>47093</v>
      </c>
      <c r="H19256" t="s">
        <v>47054</v>
      </c>
      <c r="I19256" t="s">
        <v>47111</v>
      </c>
      <c r="J19256" t="s">
        <v>47112</v>
      </c>
      <c r="K19256" t="s">
        <v>47113</v>
      </c>
      <c r="L19256">
        <v>30.83</v>
      </c>
      <c r="M19256">
        <v>78</v>
      </c>
      <c r="N19256">
        <v>0</v>
      </c>
      <c r="O19256">
        <v>78</v>
      </c>
      <c r="P19256">
        <v>0</v>
      </c>
    </row>
    <row r="19257" spans="1:16" x14ac:dyDescent="0.25">
      <c r="A19257" t="s">
        <v>41854</v>
      </c>
      <c r="B19257" t="s">
        <v>12187</v>
      </c>
      <c r="C19257" t="s">
        <v>12188</v>
      </c>
      <c r="D19257" t="s">
        <v>12137</v>
      </c>
      <c r="E19257" t="s">
        <v>12138</v>
      </c>
      <c r="F19257" t="s">
        <v>631</v>
      </c>
      <c r="G19257" t="s">
        <v>47093</v>
      </c>
      <c r="H19257" t="s">
        <v>47054</v>
      </c>
      <c r="I19257" t="s">
        <v>47111</v>
      </c>
      <c r="J19257" t="s">
        <v>47112</v>
      </c>
      <c r="K19257" t="s">
        <v>47113</v>
      </c>
      <c r="L19257">
        <v>37.44</v>
      </c>
      <c r="M19257">
        <v>100</v>
      </c>
      <c r="N19257">
        <v>0</v>
      </c>
      <c r="O19257">
        <v>100</v>
      </c>
      <c r="P19257">
        <v>0</v>
      </c>
    </row>
    <row r="19258" spans="1:16" x14ac:dyDescent="0.25">
      <c r="A19258" t="s">
        <v>41855</v>
      </c>
      <c r="B19258" t="s">
        <v>12191</v>
      </c>
      <c r="C19258" t="s">
        <v>12192</v>
      </c>
      <c r="D19258" t="str">
        <f>"11"</f>
        <v>11</v>
      </c>
      <c r="E19258" t="s">
        <v>288</v>
      </c>
      <c r="F19258" t="s">
        <v>6</v>
      </c>
      <c r="G19258" t="s">
        <v>47093</v>
      </c>
      <c r="H19258" t="s">
        <v>47054</v>
      </c>
      <c r="I19258" t="s">
        <v>47111</v>
      </c>
      <c r="J19258" t="s">
        <v>47112</v>
      </c>
      <c r="K19258" t="s">
        <v>47113</v>
      </c>
      <c r="L19258">
        <v>45.72</v>
      </c>
      <c r="M19258">
        <v>101</v>
      </c>
      <c r="N19258">
        <v>0</v>
      </c>
      <c r="O19258">
        <v>101</v>
      </c>
      <c r="P19258">
        <v>0</v>
      </c>
    </row>
    <row r="19259" spans="1:16" x14ac:dyDescent="0.25">
      <c r="A19259" t="s">
        <v>41856</v>
      </c>
      <c r="B19259" t="s">
        <v>662</v>
      </c>
      <c r="C19259" t="s">
        <v>663</v>
      </c>
      <c r="D19259" t="s">
        <v>664</v>
      </c>
      <c r="E19259" t="s">
        <v>665</v>
      </c>
      <c r="F19259" t="s">
        <v>4</v>
      </c>
      <c r="G19259" t="s">
        <v>47093</v>
      </c>
      <c r="H19259" t="s">
        <v>47054</v>
      </c>
      <c r="I19259" t="s">
        <v>47111</v>
      </c>
      <c r="J19259" t="s">
        <v>47112</v>
      </c>
      <c r="K19259" t="s">
        <v>47113</v>
      </c>
      <c r="L19259">
        <v>40.92</v>
      </c>
      <c r="M19259">
        <v>100</v>
      </c>
      <c r="N19259">
        <v>0</v>
      </c>
      <c r="O19259">
        <v>100</v>
      </c>
      <c r="P19259">
        <v>0</v>
      </c>
    </row>
    <row r="19260" spans="1:16" x14ac:dyDescent="0.25">
      <c r="A19260" t="s">
        <v>41857</v>
      </c>
      <c r="B19260" t="s">
        <v>12193</v>
      </c>
      <c r="C19260" t="s">
        <v>12194</v>
      </c>
      <c r="D19260" t="s">
        <v>657</v>
      </c>
      <c r="E19260" t="s">
        <v>658</v>
      </c>
      <c r="F19260" t="s">
        <v>52</v>
      </c>
      <c r="G19260" t="s">
        <v>47093</v>
      </c>
      <c r="H19260" t="s">
        <v>47054</v>
      </c>
      <c r="I19260" t="s">
        <v>47114</v>
      </c>
      <c r="J19260" t="s">
        <v>47115</v>
      </c>
      <c r="K19260" t="s">
        <v>47113</v>
      </c>
      <c r="L19260">
        <v>29.18</v>
      </c>
      <c r="M19260">
        <v>72</v>
      </c>
      <c r="N19260">
        <v>0</v>
      </c>
      <c r="O19260">
        <v>72</v>
      </c>
      <c r="P19260">
        <v>0</v>
      </c>
    </row>
    <row r="19261" spans="1:16" x14ac:dyDescent="0.25">
      <c r="A19261" t="s">
        <v>41858</v>
      </c>
      <c r="B19261" t="s">
        <v>12193</v>
      </c>
      <c r="C19261" t="s">
        <v>12194</v>
      </c>
      <c r="D19261" t="s">
        <v>12141</v>
      </c>
      <c r="E19261" t="s">
        <v>12142</v>
      </c>
      <c r="F19261" t="s">
        <v>52</v>
      </c>
      <c r="G19261" t="s">
        <v>47093</v>
      </c>
      <c r="H19261" t="s">
        <v>47054</v>
      </c>
      <c r="I19261" t="s">
        <v>47114</v>
      </c>
      <c r="J19261" t="s">
        <v>47115</v>
      </c>
      <c r="K19261" t="s">
        <v>47113</v>
      </c>
      <c r="L19261">
        <v>32.729999999999997</v>
      </c>
      <c r="M19261">
        <v>80</v>
      </c>
      <c r="N19261">
        <v>0</v>
      </c>
      <c r="O19261">
        <v>80</v>
      </c>
      <c r="P19261">
        <v>0</v>
      </c>
    </row>
    <row r="19262" spans="1:16" x14ac:dyDescent="0.25">
      <c r="A19262" t="s">
        <v>41859</v>
      </c>
      <c r="B19262" t="s">
        <v>12193</v>
      </c>
      <c r="C19262" t="s">
        <v>12194</v>
      </c>
      <c r="D19262" t="s">
        <v>12143</v>
      </c>
      <c r="E19262" t="s">
        <v>12144</v>
      </c>
      <c r="F19262" t="s">
        <v>52</v>
      </c>
      <c r="G19262" t="s">
        <v>47093</v>
      </c>
      <c r="H19262" t="s">
        <v>47054</v>
      </c>
      <c r="I19262" t="s">
        <v>47114</v>
      </c>
      <c r="J19262" t="s">
        <v>47115</v>
      </c>
      <c r="K19262" t="s">
        <v>47113</v>
      </c>
      <c r="L19262">
        <v>37.229999999999997</v>
      </c>
      <c r="M19262">
        <v>91</v>
      </c>
      <c r="N19262">
        <v>0</v>
      </c>
      <c r="O19262">
        <v>91</v>
      </c>
      <c r="P19262">
        <v>0</v>
      </c>
    </row>
    <row r="19263" spans="1:16" x14ac:dyDescent="0.25">
      <c r="A19263" t="s">
        <v>41860</v>
      </c>
      <c r="B19263" t="s">
        <v>41861</v>
      </c>
      <c r="C19263" t="s">
        <v>41862</v>
      </c>
      <c r="D19263" t="s">
        <v>41863</v>
      </c>
      <c r="E19263" t="s">
        <v>41864</v>
      </c>
      <c r="F19263" t="s">
        <v>3750</v>
      </c>
      <c r="G19263" t="s">
        <v>47093</v>
      </c>
      <c r="H19263" t="s">
        <v>47054</v>
      </c>
      <c r="I19263" t="s">
        <v>47120</v>
      </c>
      <c r="J19263" t="s">
        <v>47121</v>
      </c>
      <c r="K19263" t="s">
        <v>47113</v>
      </c>
      <c r="L19263">
        <v>29.3</v>
      </c>
      <c r="M19263">
        <v>111</v>
      </c>
      <c r="N19263">
        <v>299</v>
      </c>
      <c r="O19263">
        <v>111</v>
      </c>
      <c r="P19263">
        <v>299</v>
      </c>
    </row>
    <row r="19264" spans="1:16" x14ac:dyDescent="0.25">
      <c r="A19264" t="s">
        <v>41865</v>
      </c>
      <c r="B19264" t="s">
        <v>666</v>
      </c>
      <c r="C19264" t="s">
        <v>667</v>
      </c>
      <c r="D19264" t="str">
        <f>"1050"</f>
        <v>1050</v>
      </c>
      <c r="E19264" t="s">
        <v>668</v>
      </c>
      <c r="F19264" t="s">
        <v>5</v>
      </c>
      <c r="G19264" t="s">
        <v>47093</v>
      </c>
      <c r="H19264" t="s">
        <v>47054</v>
      </c>
      <c r="I19264" t="s">
        <v>47111</v>
      </c>
      <c r="J19264" t="s">
        <v>47112</v>
      </c>
      <c r="K19264" t="s">
        <v>47113</v>
      </c>
      <c r="L19264">
        <v>36.56</v>
      </c>
      <c r="M19264">
        <v>88</v>
      </c>
      <c r="N19264">
        <v>0</v>
      </c>
      <c r="O19264">
        <v>88</v>
      </c>
      <c r="P19264">
        <v>0</v>
      </c>
    </row>
    <row r="19265" spans="1:16" x14ac:dyDescent="0.25">
      <c r="A19265" t="s">
        <v>41866</v>
      </c>
      <c r="B19265" t="s">
        <v>670</v>
      </c>
      <c r="C19265" t="s">
        <v>671</v>
      </c>
      <c r="D19265" t="s">
        <v>1679</v>
      </c>
      <c r="E19265" t="s">
        <v>1680</v>
      </c>
      <c r="F19265" t="s">
        <v>8</v>
      </c>
      <c r="G19265" t="s">
        <v>47093</v>
      </c>
      <c r="H19265" t="s">
        <v>47054</v>
      </c>
      <c r="I19265" t="s">
        <v>47111</v>
      </c>
      <c r="J19265" t="s">
        <v>47112</v>
      </c>
      <c r="K19265" t="s">
        <v>47113</v>
      </c>
      <c r="L19265">
        <v>37.159999999999997</v>
      </c>
      <c r="M19265">
        <v>100</v>
      </c>
      <c r="N19265">
        <v>0</v>
      </c>
      <c r="O19265">
        <v>100</v>
      </c>
      <c r="P19265">
        <v>0</v>
      </c>
    </row>
    <row r="19266" spans="1:16" x14ac:dyDescent="0.25">
      <c r="A19266" t="s">
        <v>669</v>
      </c>
      <c r="B19266" t="s">
        <v>670</v>
      </c>
      <c r="C19266" t="s">
        <v>671</v>
      </c>
      <c r="D19266" t="s">
        <v>657</v>
      </c>
      <c r="E19266" t="s">
        <v>658</v>
      </c>
      <c r="F19266" t="s">
        <v>8</v>
      </c>
      <c r="G19266" t="s">
        <v>47093</v>
      </c>
      <c r="H19266" t="s">
        <v>47054</v>
      </c>
      <c r="I19266" t="s">
        <v>47111</v>
      </c>
      <c r="J19266" t="s">
        <v>47112</v>
      </c>
      <c r="K19266" t="s">
        <v>47113</v>
      </c>
      <c r="L19266">
        <v>25.97</v>
      </c>
      <c r="M19266">
        <v>83</v>
      </c>
      <c r="N19266">
        <v>0</v>
      </c>
      <c r="O19266">
        <v>83</v>
      </c>
      <c r="P19266">
        <v>0</v>
      </c>
    </row>
    <row r="19267" spans="1:16" x14ac:dyDescent="0.25">
      <c r="A19267" t="s">
        <v>41867</v>
      </c>
      <c r="B19267" t="s">
        <v>12195</v>
      </c>
      <c r="C19267" t="s">
        <v>12196</v>
      </c>
      <c r="D19267" t="s">
        <v>657</v>
      </c>
      <c r="E19267" t="s">
        <v>658</v>
      </c>
      <c r="F19267" t="s">
        <v>8</v>
      </c>
      <c r="G19267" t="s">
        <v>47093</v>
      </c>
      <c r="H19267" t="s">
        <v>47054</v>
      </c>
      <c r="I19267" t="s">
        <v>47111</v>
      </c>
      <c r="J19267" t="s">
        <v>47112</v>
      </c>
      <c r="K19267" t="s">
        <v>47113</v>
      </c>
      <c r="L19267">
        <v>31.55</v>
      </c>
      <c r="M19267">
        <v>83</v>
      </c>
      <c r="N19267">
        <v>0</v>
      </c>
      <c r="O19267">
        <v>83</v>
      </c>
      <c r="P19267">
        <v>0</v>
      </c>
    </row>
    <row r="19268" spans="1:16" x14ac:dyDescent="0.25">
      <c r="A19268" t="s">
        <v>41868</v>
      </c>
      <c r="B19268" t="s">
        <v>12197</v>
      </c>
      <c r="C19268" t="s">
        <v>12198</v>
      </c>
      <c r="D19268" t="s">
        <v>12199</v>
      </c>
      <c r="E19268" t="s">
        <v>12200</v>
      </c>
      <c r="F19268" t="s">
        <v>56</v>
      </c>
      <c r="G19268" t="s">
        <v>47093</v>
      </c>
      <c r="H19268" t="s">
        <v>47054</v>
      </c>
      <c r="I19268" t="s">
        <v>47114</v>
      </c>
      <c r="J19268" t="s">
        <v>47115</v>
      </c>
      <c r="K19268" t="s">
        <v>47113</v>
      </c>
      <c r="L19268">
        <v>31.52</v>
      </c>
      <c r="M19268">
        <v>71</v>
      </c>
      <c r="N19268">
        <v>0</v>
      </c>
      <c r="O19268">
        <v>71</v>
      </c>
      <c r="P19268">
        <v>0</v>
      </c>
    </row>
    <row r="19269" spans="1:16" x14ac:dyDescent="0.25">
      <c r="A19269" t="s">
        <v>41869</v>
      </c>
      <c r="B19269" t="s">
        <v>12201</v>
      </c>
      <c r="C19269" t="s">
        <v>12202</v>
      </c>
      <c r="D19269" t="s">
        <v>657</v>
      </c>
      <c r="E19269" t="s">
        <v>658</v>
      </c>
      <c r="F19269" t="s">
        <v>52</v>
      </c>
      <c r="G19269" t="s">
        <v>47093</v>
      </c>
      <c r="H19269" t="s">
        <v>47054</v>
      </c>
      <c r="I19269" t="s">
        <v>47111</v>
      </c>
      <c r="J19269" t="s">
        <v>47112</v>
      </c>
      <c r="K19269" t="s">
        <v>47113</v>
      </c>
      <c r="L19269">
        <v>32.020000000000003</v>
      </c>
      <c r="M19269">
        <v>72</v>
      </c>
      <c r="N19269">
        <v>0</v>
      </c>
      <c r="O19269">
        <v>72</v>
      </c>
      <c r="P19269">
        <v>0</v>
      </c>
    </row>
    <row r="19270" spans="1:16" x14ac:dyDescent="0.25">
      <c r="A19270" t="s">
        <v>41870</v>
      </c>
      <c r="B19270" t="s">
        <v>12201</v>
      </c>
      <c r="C19270" t="s">
        <v>12202</v>
      </c>
      <c r="D19270" t="s">
        <v>12141</v>
      </c>
      <c r="E19270" t="s">
        <v>12142</v>
      </c>
      <c r="F19270" t="s">
        <v>52</v>
      </c>
      <c r="G19270" t="s">
        <v>47093</v>
      </c>
      <c r="H19270" t="s">
        <v>47054</v>
      </c>
      <c r="I19270" t="s">
        <v>47111</v>
      </c>
      <c r="J19270" t="s">
        <v>47112</v>
      </c>
      <c r="K19270" t="s">
        <v>47113</v>
      </c>
      <c r="L19270">
        <v>32.729999999999997</v>
      </c>
      <c r="M19270">
        <v>80</v>
      </c>
      <c r="N19270">
        <v>0</v>
      </c>
      <c r="O19270">
        <v>80</v>
      </c>
      <c r="P19270">
        <v>0</v>
      </c>
    </row>
    <row r="19271" spans="1:16" x14ac:dyDescent="0.25">
      <c r="A19271" t="s">
        <v>41871</v>
      </c>
      <c r="B19271" t="s">
        <v>12201</v>
      </c>
      <c r="C19271" t="s">
        <v>12202</v>
      </c>
      <c r="D19271" t="s">
        <v>12143</v>
      </c>
      <c r="E19271" t="s">
        <v>12144</v>
      </c>
      <c r="F19271" t="s">
        <v>52</v>
      </c>
      <c r="G19271" t="s">
        <v>47093</v>
      </c>
      <c r="H19271" t="s">
        <v>47054</v>
      </c>
      <c r="I19271" t="s">
        <v>47111</v>
      </c>
      <c r="J19271" t="s">
        <v>47112</v>
      </c>
      <c r="K19271" t="s">
        <v>47113</v>
      </c>
      <c r="L19271">
        <v>37.229999999999997</v>
      </c>
      <c r="M19271">
        <v>91</v>
      </c>
      <c r="N19271">
        <v>0</v>
      </c>
      <c r="O19271">
        <v>91</v>
      </c>
      <c r="P19271">
        <v>0</v>
      </c>
    </row>
    <row r="19272" spans="1:16" x14ac:dyDescent="0.25">
      <c r="A19272" t="s">
        <v>41872</v>
      </c>
      <c r="B19272" t="s">
        <v>12203</v>
      </c>
      <c r="C19272" t="s">
        <v>12204</v>
      </c>
      <c r="D19272" t="s">
        <v>657</v>
      </c>
      <c r="E19272" t="s">
        <v>658</v>
      </c>
      <c r="F19272" t="s">
        <v>52</v>
      </c>
      <c r="G19272" t="s">
        <v>47093</v>
      </c>
      <c r="H19272" t="s">
        <v>47054</v>
      </c>
      <c r="I19272" t="s">
        <v>47111</v>
      </c>
      <c r="J19272" t="s">
        <v>47112</v>
      </c>
      <c r="K19272" t="s">
        <v>47113</v>
      </c>
      <c r="L19272">
        <v>32.869999999999997</v>
      </c>
      <c r="M19272">
        <v>77</v>
      </c>
      <c r="N19272">
        <v>0</v>
      </c>
      <c r="O19272">
        <v>77</v>
      </c>
      <c r="P19272">
        <v>0</v>
      </c>
    </row>
    <row r="19273" spans="1:16" x14ac:dyDescent="0.25">
      <c r="A19273" t="s">
        <v>41873</v>
      </c>
      <c r="B19273" t="s">
        <v>12203</v>
      </c>
      <c r="C19273" t="s">
        <v>12204</v>
      </c>
      <c r="D19273" t="s">
        <v>12141</v>
      </c>
      <c r="E19273" t="s">
        <v>12142</v>
      </c>
      <c r="F19273" t="s">
        <v>52</v>
      </c>
      <c r="G19273" t="s">
        <v>47093</v>
      </c>
      <c r="H19273" t="s">
        <v>47054</v>
      </c>
      <c r="I19273" t="s">
        <v>47111</v>
      </c>
      <c r="J19273" t="s">
        <v>47112</v>
      </c>
      <c r="K19273" t="s">
        <v>47113</v>
      </c>
      <c r="L19273">
        <v>35.07</v>
      </c>
      <c r="M19273">
        <v>86</v>
      </c>
      <c r="N19273">
        <v>0</v>
      </c>
      <c r="O19273">
        <v>86</v>
      </c>
      <c r="P19273">
        <v>0</v>
      </c>
    </row>
    <row r="19274" spans="1:16" x14ac:dyDescent="0.25">
      <c r="A19274" t="s">
        <v>41874</v>
      </c>
      <c r="B19274" t="s">
        <v>12203</v>
      </c>
      <c r="C19274" t="s">
        <v>12204</v>
      </c>
      <c r="D19274" t="s">
        <v>12143</v>
      </c>
      <c r="E19274" t="s">
        <v>12144</v>
      </c>
      <c r="F19274" t="s">
        <v>52</v>
      </c>
      <c r="G19274" t="s">
        <v>47093</v>
      </c>
      <c r="H19274" t="s">
        <v>47054</v>
      </c>
      <c r="I19274" t="s">
        <v>47111</v>
      </c>
      <c r="J19274" t="s">
        <v>47112</v>
      </c>
      <c r="K19274" t="s">
        <v>47113</v>
      </c>
      <c r="L19274">
        <v>42.82</v>
      </c>
      <c r="M19274">
        <v>97</v>
      </c>
      <c r="N19274">
        <v>0</v>
      </c>
      <c r="O19274">
        <v>97</v>
      </c>
      <c r="P19274">
        <v>0</v>
      </c>
    </row>
    <row r="19275" spans="1:16" x14ac:dyDescent="0.25">
      <c r="A19275" t="s">
        <v>41875</v>
      </c>
      <c r="B19275" t="s">
        <v>12205</v>
      </c>
      <c r="C19275" t="s">
        <v>12206</v>
      </c>
      <c r="D19275" t="s">
        <v>657</v>
      </c>
      <c r="E19275" t="s">
        <v>658</v>
      </c>
      <c r="F19275" t="s">
        <v>52</v>
      </c>
      <c r="G19275" t="s">
        <v>47093</v>
      </c>
      <c r="H19275" t="s">
        <v>47054</v>
      </c>
      <c r="I19275" t="s">
        <v>47111</v>
      </c>
      <c r="J19275" t="s">
        <v>47112</v>
      </c>
      <c r="K19275" t="s">
        <v>47113</v>
      </c>
      <c r="L19275">
        <v>29.18</v>
      </c>
      <c r="M19275">
        <v>72</v>
      </c>
      <c r="N19275">
        <v>0</v>
      </c>
      <c r="O19275">
        <v>72</v>
      </c>
      <c r="P19275">
        <v>0</v>
      </c>
    </row>
    <row r="19276" spans="1:16" x14ac:dyDescent="0.25">
      <c r="A19276" t="s">
        <v>41876</v>
      </c>
      <c r="B19276" t="s">
        <v>12205</v>
      </c>
      <c r="C19276" t="s">
        <v>12206</v>
      </c>
      <c r="D19276" t="s">
        <v>12141</v>
      </c>
      <c r="E19276" t="s">
        <v>12142</v>
      </c>
      <c r="F19276" t="s">
        <v>52</v>
      </c>
      <c r="G19276" t="s">
        <v>47093</v>
      </c>
      <c r="H19276" t="s">
        <v>47054</v>
      </c>
      <c r="I19276" t="s">
        <v>47111</v>
      </c>
      <c r="J19276" t="s">
        <v>47112</v>
      </c>
      <c r="K19276" t="s">
        <v>47113</v>
      </c>
      <c r="L19276">
        <v>35.61</v>
      </c>
      <c r="M19276">
        <v>80</v>
      </c>
      <c r="N19276">
        <v>0</v>
      </c>
      <c r="O19276">
        <v>80</v>
      </c>
      <c r="P19276">
        <v>0</v>
      </c>
    </row>
    <row r="19277" spans="1:16" x14ac:dyDescent="0.25">
      <c r="A19277" t="s">
        <v>41877</v>
      </c>
      <c r="B19277" t="s">
        <v>12205</v>
      </c>
      <c r="C19277" t="s">
        <v>12206</v>
      </c>
      <c r="D19277" t="s">
        <v>12143</v>
      </c>
      <c r="E19277" t="s">
        <v>12144</v>
      </c>
      <c r="F19277" t="s">
        <v>52</v>
      </c>
      <c r="G19277" t="s">
        <v>47093</v>
      </c>
      <c r="H19277" t="s">
        <v>47054</v>
      </c>
      <c r="I19277" t="s">
        <v>47111</v>
      </c>
      <c r="J19277" t="s">
        <v>47112</v>
      </c>
      <c r="K19277" t="s">
        <v>47113</v>
      </c>
      <c r="L19277">
        <v>37.229999999999997</v>
      </c>
      <c r="M19277">
        <v>91</v>
      </c>
      <c r="N19277">
        <v>0</v>
      </c>
      <c r="O19277">
        <v>91</v>
      </c>
      <c r="P19277">
        <v>0</v>
      </c>
    </row>
    <row r="19278" spans="1:16" x14ac:dyDescent="0.25">
      <c r="A19278" t="s">
        <v>41878</v>
      </c>
      <c r="B19278" t="s">
        <v>12207</v>
      </c>
      <c r="C19278" t="s">
        <v>12208</v>
      </c>
      <c r="D19278" t="s">
        <v>12149</v>
      </c>
      <c r="E19278" t="s">
        <v>12150</v>
      </c>
      <c r="F19278" t="s">
        <v>5</v>
      </c>
      <c r="G19278" t="s">
        <v>47093</v>
      </c>
      <c r="H19278" t="s">
        <v>47054</v>
      </c>
      <c r="I19278" t="s">
        <v>47111</v>
      </c>
      <c r="J19278" t="s">
        <v>47112</v>
      </c>
      <c r="K19278" t="s">
        <v>47113</v>
      </c>
      <c r="L19278">
        <v>29.43</v>
      </c>
      <c r="M19278">
        <v>71</v>
      </c>
      <c r="N19278">
        <v>0</v>
      </c>
      <c r="O19278">
        <v>71</v>
      </c>
      <c r="P19278">
        <v>0</v>
      </c>
    </row>
    <row r="19279" spans="1:16" x14ac:dyDescent="0.25">
      <c r="A19279" t="s">
        <v>41879</v>
      </c>
      <c r="B19279" t="s">
        <v>12207</v>
      </c>
      <c r="C19279" t="s">
        <v>12208</v>
      </c>
      <c r="D19279" t="s">
        <v>12151</v>
      </c>
      <c r="E19279" t="s">
        <v>12152</v>
      </c>
      <c r="F19279" t="s">
        <v>5</v>
      </c>
      <c r="G19279" t="s">
        <v>47093</v>
      </c>
      <c r="H19279" t="s">
        <v>47054</v>
      </c>
      <c r="I19279" t="s">
        <v>47111</v>
      </c>
      <c r="J19279" t="s">
        <v>47112</v>
      </c>
      <c r="K19279" t="s">
        <v>47113</v>
      </c>
      <c r="L19279">
        <v>31.35</v>
      </c>
      <c r="M19279">
        <v>91</v>
      </c>
      <c r="N19279">
        <v>0</v>
      </c>
      <c r="O19279">
        <v>91</v>
      </c>
      <c r="P19279">
        <v>0</v>
      </c>
    </row>
    <row r="19280" spans="1:16" x14ac:dyDescent="0.25">
      <c r="A19280" t="s">
        <v>14149</v>
      </c>
      <c r="B19280" t="s">
        <v>12209</v>
      </c>
      <c r="C19280" t="s">
        <v>12210</v>
      </c>
      <c r="D19280" t="str">
        <f>"1050"</f>
        <v>1050</v>
      </c>
      <c r="E19280" t="s">
        <v>668</v>
      </c>
      <c r="F19280" t="s">
        <v>5</v>
      </c>
      <c r="G19280" t="s">
        <v>47093</v>
      </c>
      <c r="H19280" t="s">
        <v>47054</v>
      </c>
      <c r="I19280" t="s">
        <v>47111</v>
      </c>
      <c r="J19280" t="s">
        <v>47112</v>
      </c>
      <c r="K19280" t="s">
        <v>47113</v>
      </c>
      <c r="L19280">
        <v>36.619999999999997</v>
      </c>
      <c r="M19280">
        <v>88</v>
      </c>
      <c r="N19280">
        <v>0</v>
      </c>
      <c r="O19280">
        <v>88</v>
      </c>
      <c r="P19280">
        <v>0</v>
      </c>
    </row>
    <row r="19281" spans="1:16" x14ac:dyDescent="0.25">
      <c r="A19281" t="s">
        <v>41880</v>
      </c>
      <c r="B19281" t="s">
        <v>12211</v>
      </c>
      <c r="C19281" t="s">
        <v>10145</v>
      </c>
      <c r="D19281" t="s">
        <v>657</v>
      </c>
      <c r="E19281" t="s">
        <v>658</v>
      </c>
      <c r="F19281" t="s">
        <v>56</v>
      </c>
      <c r="G19281" t="s">
        <v>47093</v>
      </c>
      <c r="H19281" t="s">
        <v>47054</v>
      </c>
      <c r="I19281" t="s">
        <v>47114</v>
      </c>
      <c r="J19281" t="s">
        <v>47115</v>
      </c>
      <c r="K19281" t="s">
        <v>47113</v>
      </c>
      <c r="L19281">
        <v>26.19</v>
      </c>
      <c r="M19281">
        <v>60</v>
      </c>
      <c r="N19281">
        <v>0</v>
      </c>
      <c r="O19281">
        <v>60</v>
      </c>
      <c r="P19281">
        <v>0</v>
      </c>
    </row>
    <row r="19282" spans="1:16" x14ac:dyDescent="0.25">
      <c r="A19282" t="s">
        <v>41881</v>
      </c>
      <c r="B19282" t="s">
        <v>12211</v>
      </c>
      <c r="C19282" t="s">
        <v>10145</v>
      </c>
      <c r="D19282" t="s">
        <v>3096</v>
      </c>
      <c r="E19282" t="s">
        <v>3097</v>
      </c>
      <c r="F19282" t="s">
        <v>56</v>
      </c>
      <c r="G19282" t="s">
        <v>47093</v>
      </c>
      <c r="H19282" t="s">
        <v>47054</v>
      </c>
      <c r="I19282" t="s">
        <v>47114</v>
      </c>
      <c r="J19282" t="s">
        <v>47115</v>
      </c>
      <c r="K19282" t="s">
        <v>47113</v>
      </c>
      <c r="L19282">
        <v>30.87</v>
      </c>
      <c r="M19282">
        <v>69</v>
      </c>
      <c r="N19282">
        <v>0</v>
      </c>
      <c r="O19282">
        <v>69</v>
      </c>
      <c r="P19282">
        <v>0</v>
      </c>
    </row>
    <row r="19283" spans="1:16" x14ac:dyDescent="0.25">
      <c r="A19283" t="s">
        <v>41882</v>
      </c>
      <c r="B19283" t="s">
        <v>12211</v>
      </c>
      <c r="C19283" t="s">
        <v>10145</v>
      </c>
      <c r="D19283" t="s">
        <v>12199</v>
      </c>
      <c r="E19283" t="s">
        <v>12200</v>
      </c>
      <c r="F19283" t="s">
        <v>56</v>
      </c>
      <c r="G19283" t="s">
        <v>47093</v>
      </c>
      <c r="H19283" t="s">
        <v>47054</v>
      </c>
      <c r="I19283" t="s">
        <v>47114</v>
      </c>
      <c r="J19283" t="s">
        <v>47115</v>
      </c>
      <c r="K19283" t="s">
        <v>47113</v>
      </c>
      <c r="L19283">
        <v>29.74</v>
      </c>
      <c r="M19283">
        <v>71</v>
      </c>
      <c r="N19283">
        <v>0</v>
      </c>
      <c r="O19283">
        <v>71</v>
      </c>
      <c r="P19283">
        <v>0</v>
      </c>
    </row>
    <row r="19284" spans="1:16" x14ac:dyDescent="0.25">
      <c r="A19284" t="s">
        <v>41883</v>
      </c>
      <c r="B19284" t="s">
        <v>12212</v>
      </c>
      <c r="C19284" t="s">
        <v>12213</v>
      </c>
      <c r="D19284" t="s">
        <v>3096</v>
      </c>
      <c r="E19284" t="s">
        <v>3097</v>
      </c>
      <c r="F19284" t="s">
        <v>56</v>
      </c>
      <c r="G19284" t="s">
        <v>47098</v>
      </c>
      <c r="H19284" t="s">
        <v>47054</v>
      </c>
      <c r="I19284" t="s">
        <v>47114</v>
      </c>
      <c r="J19284" t="s">
        <v>47115</v>
      </c>
      <c r="K19284" t="s">
        <v>47113</v>
      </c>
      <c r="L19284">
        <v>32.299999999999997</v>
      </c>
      <c r="M19284">
        <v>70</v>
      </c>
      <c r="N19284">
        <v>0</v>
      </c>
      <c r="O19284">
        <v>70</v>
      </c>
      <c r="P19284">
        <v>0</v>
      </c>
    </row>
    <row r="19285" spans="1:16" x14ac:dyDescent="0.25">
      <c r="A19285" t="s">
        <v>41884</v>
      </c>
      <c r="B19285" t="s">
        <v>12214</v>
      </c>
      <c r="C19285" t="s">
        <v>11982</v>
      </c>
      <c r="D19285" t="s">
        <v>3096</v>
      </c>
      <c r="E19285" t="s">
        <v>3097</v>
      </c>
      <c r="F19285" t="s">
        <v>56</v>
      </c>
      <c r="G19285" t="s">
        <v>47093</v>
      </c>
      <c r="H19285" t="s">
        <v>47054</v>
      </c>
      <c r="I19285" t="s">
        <v>47114</v>
      </c>
      <c r="J19285" t="s">
        <v>47115</v>
      </c>
      <c r="K19285" t="s">
        <v>47113</v>
      </c>
      <c r="L19285">
        <v>38.93</v>
      </c>
      <c r="M19285">
        <v>87</v>
      </c>
      <c r="N19285">
        <v>0</v>
      </c>
      <c r="O19285">
        <v>87</v>
      </c>
      <c r="P19285">
        <v>0</v>
      </c>
    </row>
    <row r="19286" spans="1:16" x14ac:dyDescent="0.25">
      <c r="A19286" t="s">
        <v>41885</v>
      </c>
      <c r="B19286" t="s">
        <v>12215</v>
      </c>
      <c r="C19286" t="s">
        <v>11985</v>
      </c>
      <c r="D19286" t="s">
        <v>3096</v>
      </c>
      <c r="E19286" t="s">
        <v>3097</v>
      </c>
      <c r="F19286" t="s">
        <v>56</v>
      </c>
      <c r="G19286" t="s">
        <v>47093</v>
      </c>
      <c r="H19286" t="s">
        <v>47054</v>
      </c>
      <c r="I19286" t="s">
        <v>47111</v>
      </c>
      <c r="J19286" t="s">
        <v>47112</v>
      </c>
      <c r="K19286" t="s">
        <v>47113</v>
      </c>
      <c r="L19286">
        <v>35.56</v>
      </c>
      <c r="M19286">
        <v>78</v>
      </c>
      <c r="N19286">
        <v>0</v>
      </c>
      <c r="O19286">
        <v>78</v>
      </c>
      <c r="P19286">
        <v>0</v>
      </c>
    </row>
    <row r="19287" spans="1:16" x14ac:dyDescent="0.25">
      <c r="A19287" t="s">
        <v>41886</v>
      </c>
      <c r="B19287" t="s">
        <v>12216</v>
      </c>
      <c r="C19287" t="s">
        <v>12217</v>
      </c>
      <c r="D19287" t="s">
        <v>12218</v>
      </c>
      <c r="E19287" t="s">
        <v>12219</v>
      </c>
      <c r="F19287" t="s">
        <v>7</v>
      </c>
      <c r="G19287" t="s">
        <v>47093</v>
      </c>
      <c r="H19287" t="s">
        <v>47054</v>
      </c>
      <c r="I19287" t="s">
        <v>47111</v>
      </c>
      <c r="J19287" t="s">
        <v>47112</v>
      </c>
      <c r="K19287" t="s">
        <v>47113</v>
      </c>
      <c r="L19287">
        <v>40.36</v>
      </c>
      <c r="M19287">
        <v>99</v>
      </c>
      <c r="N19287">
        <v>0</v>
      </c>
      <c r="O19287">
        <v>99</v>
      </c>
      <c r="P19287">
        <v>0</v>
      </c>
    </row>
    <row r="19288" spans="1:16" x14ac:dyDescent="0.25">
      <c r="A19288" t="s">
        <v>41887</v>
      </c>
      <c r="B19288" t="s">
        <v>12220</v>
      </c>
      <c r="C19288" t="s">
        <v>11988</v>
      </c>
      <c r="D19288" t="s">
        <v>721</v>
      </c>
      <c r="E19288" t="s">
        <v>722</v>
      </c>
      <c r="F19288" t="s">
        <v>56</v>
      </c>
      <c r="G19288" t="s">
        <v>47093</v>
      </c>
      <c r="H19288" t="s">
        <v>47054</v>
      </c>
      <c r="I19288" t="s">
        <v>47111</v>
      </c>
      <c r="J19288" t="s">
        <v>47112</v>
      </c>
      <c r="K19288" t="s">
        <v>47113</v>
      </c>
      <c r="L19288">
        <v>25.3</v>
      </c>
      <c r="M19288">
        <v>57</v>
      </c>
      <c r="N19288">
        <v>0</v>
      </c>
      <c r="O19288">
        <v>57</v>
      </c>
      <c r="P19288">
        <v>0</v>
      </c>
    </row>
    <row r="19289" spans="1:16" x14ac:dyDescent="0.25">
      <c r="A19289" t="s">
        <v>41888</v>
      </c>
      <c r="B19289" t="s">
        <v>12220</v>
      </c>
      <c r="C19289" t="s">
        <v>11988</v>
      </c>
      <c r="D19289" t="s">
        <v>3096</v>
      </c>
      <c r="E19289" t="s">
        <v>3097</v>
      </c>
      <c r="F19289" t="s">
        <v>56</v>
      </c>
      <c r="G19289" t="s">
        <v>47093</v>
      </c>
      <c r="H19289" t="s">
        <v>47054</v>
      </c>
      <c r="I19289" t="s">
        <v>47111</v>
      </c>
      <c r="J19289" t="s">
        <v>47112</v>
      </c>
      <c r="K19289" t="s">
        <v>47113</v>
      </c>
      <c r="L19289">
        <v>35.56</v>
      </c>
      <c r="M19289">
        <v>78</v>
      </c>
      <c r="N19289">
        <v>0</v>
      </c>
      <c r="O19289">
        <v>78</v>
      </c>
      <c r="P19289">
        <v>0</v>
      </c>
    </row>
    <row r="19290" spans="1:16" x14ac:dyDescent="0.25">
      <c r="A19290" t="s">
        <v>41889</v>
      </c>
      <c r="B19290" t="s">
        <v>12221</v>
      </c>
      <c r="C19290" t="s">
        <v>909</v>
      </c>
      <c r="D19290" t="s">
        <v>12218</v>
      </c>
      <c r="E19290" t="s">
        <v>12219</v>
      </c>
      <c r="F19290" t="s">
        <v>7</v>
      </c>
      <c r="G19290" t="s">
        <v>47093</v>
      </c>
      <c r="H19290" t="s">
        <v>47054</v>
      </c>
      <c r="I19290" t="s">
        <v>47111</v>
      </c>
      <c r="J19290" t="s">
        <v>47112</v>
      </c>
      <c r="K19290" t="s">
        <v>47113</v>
      </c>
      <c r="L19290">
        <v>40.6</v>
      </c>
      <c r="M19290">
        <v>99</v>
      </c>
      <c r="N19290">
        <v>0</v>
      </c>
      <c r="O19290">
        <v>99</v>
      </c>
      <c r="P19290">
        <v>0</v>
      </c>
    </row>
    <row r="19291" spans="1:16" x14ac:dyDescent="0.25">
      <c r="A19291" t="s">
        <v>41890</v>
      </c>
      <c r="B19291" t="s">
        <v>12222</v>
      </c>
      <c r="C19291" t="s">
        <v>12223</v>
      </c>
      <c r="D19291" t="s">
        <v>3096</v>
      </c>
      <c r="E19291" t="s">
        <v>3097</v>
      </c>
      <c r="F19291" t="s">
        <v>56</v>
      </c>
      <c r="G19291" t="s">
        <v>47093</v>
      </c>
      <c r="H19291" t="s">
        <v>47054</v>
      </c>
      <c r="I19291" t="s">
        <v>47114</v>
      </c>
      <c r="J19291" t="s">
        <v>47115</v>
      </c>
      <c r="K19291" t="s">
        <v>47113</v>
      </c>
      <c r="L19291">
        <v>34.380000000000003</v>
      </c>
      <c r="M19291">
        <v>78</v>
      </c>
      <c r="N19291">
        <v>0</v>
      </c>
      <c r="O19291">
        <v>78</v>
      </c>
      <c r="P19291">
        <v>0</v>
      </c>
    </row>
    <row r="19292" spans="1:16" x14ac:dyDescent="0.25">
      <c r="A19292" t="s">
        <v>41891</v>
      </c>
      <c r="B19292" t="s">
        <v>12224</v>
      </c>
      <c r="C19292" t="s">
        <v>12225</v>
      </c>
      <c r="D19292" t="s">
        <v>12218</v>
      </c>
      <c r="E19292" t="s">
        <v>12219</v>
      </c>
      <c r="F19292" t="s">
        <v>7</v>
      </c>
      <c r="G19292" t="s">
        <v>47093</v>
      </c>
      <c r="H19292" t="s">
        <v>47054</v>
      </c>
      <c r="I19292" t="s">
        <v>47111</v>
      </c>
      <c r="J19292" t="s">
        <v>47112</v>
      </c>
      <c r="K19292" t="s">
        <v>47113</v>
      </c>
      <c r="L19292">
        <v>49.41</v>
      </c>
      <c r="M19292">
        <v>116</v>
      </c>
      <c r="N19292">
        <v>0</v>
      </c>
      <c r="O19292">
        <v>116</v>
      </c>
      <c r="P19292">
        <v>0</v>
      </c>
    </row>
    <row r="19293" spans="1:16" x14ac:dyDescent="0.25">
      <c r="A19293" t="s">
        <v>41892</v>
      </c>
      <c r="B19293" t="s">
        <v>12226</v>
      </c>
      <c r="C19293" t="s">
        <v>12227</v>
      </c>
      <c r="D19293" t="str">
        <f>"1050"</f>
        <v>1050</v>
      </c>
      <c r="E19293" t="s">
        <v>668</v>
      </c>
      <c r="F19293" t="s">
        <v>7</v>
      </c>
      <c r="G19293" t="s">
        <v>47093</v>
      </c>
      <c r="H19293" t="s">
        <v>47054</v>
      </c>
      <c r="I19293" t="s">
        <v>47111</v>
      </c>
      <c r="J19293" t="s">
        <v>47112</v>
      </c>
      <c r="K19293" t="s">
        <v>47113</v>
      </c>
      <c r="L19293">
        <v>38.61</v>
      </c>
      <c r="M19293">
        <v>101</v>
      </c>
      <c r="N19293">
        <v>0</v>
      </c>
      <c r="O19293">
        <v>101</v>
      </c>
      <c r="P19293">
        <v>0</v>
      </c>
    </row>
    <row r="19294" spans="1:16" x14ac:dyDescent="0.25">
      <c r="A19294" t="s">
        <v>41893</v>
      </c>
      <c r="B19294" t="s">
        <v>12226</v>
      </c>
      <c r="C19294" t="s">
        <v>12227</v>
      </c>
      <c r="D19294" t="str">
        <f>"4156"</f>
        <v>4156</v>
      </c>
      <c r="E19294" t="s">
        <v>12228</v>
      </c>
      <c r="F19294" t="s">
        <v>7</v>
      </c>
      <c r="G19294" t="s">
        <v>47093</v>
      </c>
      <c r="H19294" t="s">
        <v>47054</v>
      </c>
      <c r="I19294" t="s">
        <v>47111</v>
      </c>
      <c r="J19294" t="s">
        <v>47112</v>
      </c>
      <c r="K19294" t="s">
        <v>47113</v>
      </c>
      <c r="L19294">
        <v>39</v>
      </c>
      <c r="M19294">
        <v>101</v>
      </c>
      <c r="N19294">
        <v>0</v>
      </c>
      <c r="O19294">
        <v>101</v>
      </c>
      <c r="P19294">
        <v>0</v>
      </c>
    </row>
    <row r="19295" spans="1:16" x14ac:dyDescent="0.25">
      <c r="A19295" t="s">
        <v>41894</v>
      </c>
      <c r="B19295" t="s">
        <v>12226</v>
      </c>
      <c r="C19295" t="s">
        <v>12227</v>
      </c>
      <c r="D19295" t="str">
        <f>"6129"</f>
        <v>6129</v>
      </c>
      <c r="E19295" t="s">
        <v>12229</v>
      </c>
      <c r="F19295" t="s">
        <v>7</v>
      </c>
      <c r="G19295" t="s">
        <v>47093</v>
      </c>
      <c r="H19295" t="s">
        <v>47054</v>
      </c>
      <c r="I19295" t="s">
        <v>47111</v>
      </c>
      <c r="J19295" t="s">
        <v>47112</v>
      </c>
      <c r="K19295" t="s">
        <v>47113</v>
      </c>
      <c r="L19295">
        <v>38.729999999999997</v>
      </c>
      <c r="M19295">
        <v>101</v>
      </c>
      <c r="N19295">
        <v>0</v>
      </c>
      <c r="O19295">
        <v>101</v>
      </c>
      <c r="P19295">
        <v>0</v>
      </c>
    </row>
    <row r="19296" spans="1:16" x14ac:dyDescent="0.25">
      <c r="A19296" t="s">
        <v>672</v>
      </c>
      <c r="B19296" t="s">
        <v>673</v>
      </c>
      <c r="C19296" t="s">
        <v>674</v>
      </c>
      <c r="D19296" t="s">
        <v>675</v>
      </c>
      <c r="E19296" t="s">
        <v>676</v>
      </c>
      <c r="F19296" t="s">
        <v>6</v>
      </c>
      <c r="G19296" t="s">
        <v>47093</v>
      </c>
      <c r="H19296" t="s">
        <v>47054</v>
      </c>
      <c r="I19296" t="s">
        <v>47111</v>
      </c>
      <c r="J19296" t="s">
        <v>47112</v>
      </c>
      <c r="K19296" t="s">
        <v>47113</v>
      </c>
      <c r="L19296">
        <v>41.09</v>
      </c>
      <c r="M19296">
        <v>94</v>
      </c>
      <c r="N19296">
        <v>0</v>
      </c>
      <c r="O19296">
        <v>94</v>
      </c>
      <c r="P19296">
        <v>0</v>
      </c>
    </row>
    <row r="19297" spans="1:16" x14ac:dyDescent="0.25">
      <c r="A19297" t="s">
        <v>41895</v>
      </c>
      <c r="B19297" t="s">
        <v>12230</v>
      </c>
      <c r="C19297" t="s">
        <v>12231</v>
      </c>
      <c r="D19297" t="s">
        <v>12218</v>
      </c>
      <c r="E19297" t="s">
        <v>12219</v>
      </c>
      <c r="F19297" t="s">
        <v>7</v>
      </c>
      <c r="G19297" t="s">
        <v>47093</v>
      </c>
      <c r="H19297" t="s">
        <v>47054</v>
      </c>
      <c r="I19297" t="s">
        <v>47111</v>
      </c>
      <c r="J19297" t="s">
        <v>47112</v>
      </c>
      <c r="K19297" t="s">
        <v>47113</v>
      </c>
      <c r="L19297">
        <v>40.36</v>
      </c>
      <c r="M19297">
        <v>99</v>
      </c>
      <c r="N19297">
        <v>0</v>
      </c>
      <c r="O19297">
        <v>99</v>
      </c>
      <c r="P19297">
        <v>0</v>
      </c>
    </row>
    <row r="19298" spans="1:16" x14ac:dyDescent="0.25">
      <c r="A19298" t="s">
        <v>41896</v>
      </c>
      <c r="B19298" t="s">
        <v>12232</v>
      </c>
      <c r="C19298" t="s">
        <v>12233</v>
      </c>
      <c r="D19298" t="str">
        <f>"4156"</f>
        <v>4156</v>
      </c>
      <c r="E19298" t="s">
        <v>12228</v>
      </c>
      <c r="F19298" t="s">
        <v>7</v>
      </c>
      <c r="G19298" t="s">
        <v>47093</v>
      </c>
      <c r="H19298" t="s">
        <v>47054</v>
      </c>
      <c r="I19298" t="s">
        <v>47111</v>
      </c>
      <c r="J19298" t="s">
        <v>47112</v>
      </c>
      <c r="K19298" t="s">
        <v>47113</v>
      </c>
      <c r="L19298">
        <v>40.909999999999997</v>
      </c>
      <c r="M19298">
        <v>101</v>
      </c>
      <c r="N19298">
        <v>0</v>
      </c>
      <c r="O19298">
        <v>101</v>
      </c>
      <c r="P19298">
        <v>0</v>
      </c>
    </row>
    <row r="19299" spans="1:16" x14ac:dyDescent="0.25">
      <c r="A19299" t="s">
        <v>41897</v>
      </c>
      <c r="B19299" t="s">
        <v>12234</v>
      </c>
      <c r="C19299" t="s">
        <v>12235</v>
      </c>
      <c r="D19299" t="s">
        <v>12149</v>
      </c>
      <c r="E19299" t="s">
        <v>12150</v>
      </c>
      <c r="F19299" t="s">
        <v>5</v>
      </c>
      <c r="G19299" t="s">
        <v>47093</v>
      </c>
      <c r="H19299" t="s">
        <v>47054</v>
      </c>
      <c r="I19299" t="s">
        <v>47111</v>
      </c>
      <c r="J19299" t="s">
        <v>47112</v>
      </c>
      <c r="K19299" t="s">
        <v>47113</v>
      </c>
      <c r="L19299">
        <v>30.05</v>
      </c>
      <c r="M19299">
        <v>69</v>
      </c>
      <c r="N19299">
        <v>0</v>
      </c>
      <c r="O19299">
        <v>69</v>
      </c>
      <c r="P19299">
        <v>0</v>
      </c>
    </row>
    <row r="19300" spans="1:16" x14ac:dyDescent="0.25">
      <c r="A19300" t="s">
        <v>41898</v>
      </c>
      <c r="B19300" t="s">
        <v>12234</v>
      </c>
      <c r="C19300" t="s">
        <v>12235</v>
      </c>
      <c r="D19300" t="s">
        <v>12151</v>
      </c>
      <c r="E19300" t="s">
        <v>12152</v>
      </c>
      <c r="F19300" t="s">
        <v>5</v>
      </c>
      <c r="G19300" t="s">
        <v>47093</v>
      </c>
      <c r="H19300" t="s">
        <v>47054</v>
      </c>
      <c r="I19300" t="s">
        <v>47111</v>
      </c>
      <c r="J19300" t="s">
        <v>47112</v>
      </c>
      <c r="K19300" t="s">
        <v>47113</v>
      </c>
      <c r="L19300">
        <v>37.57</v>
      </c>
      <c r="M19300">
        <v>88</v>
      </c>
      <c r="N19300">
        <v>0</v>
      </c>
      <c r="O19300">
        <v>88</v>
      </c>
      <c r="P19300">
        <v>0</v>
      </c>
    </row>
    <row r="19301" spans="1:16" x14ac:dyDescent="0.25">
      <c r="A19301" t="s">
        <v>41899</v>
      </c>
      <c r="B19301" t="s">
        <v>12236</v>
      </c>
      <c r="C19301" t="s">
        <v>12237</v>
      </c>
      <c r="D19301" t="s">
        <v>721</v>
      </c>
      <c r="E19301" t="s">
        <v>722</v>
      </c>
      <c r="F19301" t="s">
        <v>5</v>
      </c>
      <c r="G19301" t="s">
        <v>47093</v>
      </c>
      <c r="H19301" t="s">
        <v>47054</v>
      </c>
      <c r="I19301" t="s">
        <v>47111</v>
      </c>
      <c r="J19301" t="s">
        <v>47112</v>
      </c>
      <c r="K19301" t="s">
        <v>47113</v>
      </c>
      <c r="L19301">
        <v>40.700000000000003</v>
      </c>
      <c r="M19301">
        <v>84</v>
      </c>
      <c r="N19301">
        <v>0</v>
      </c>
      <c r="O19301">
        <v>84</v>
      </c>
      <c r="P19301">
        <v>0</v>
      </c>
    </row>
    <row r="19302" spans="1:16" x14ac:dyDescent="0.25">
      <c r="A19302" t="s">
        <v>41900</v>
      </c>
      <c r="B19302" t="s">
        <v>12238</v>
      </c>
      <c r="C19302" t="s">
        <v>12239</v>
      </c>
      <c r="D19302" t="s">
        <v>3103</v>
      </c>
      <c r="E19302" t="s">
        <v>3104</v>
      </c>
      <c r="F19302" t="s">
        <v>5</v>
      </c>
      <c r="G19302" t="s">
        <v>47093</v>
      </c>
      <c r="H19302" t="s">
        <v>47054</v>
      </c>
      <c r="I19302" t="s">
        <v>47111</v>
      </c>
      <c r="J19302" t="s">
        <v>47112</v>
      </c>
      <c r="K19302" t="s">
        <v>47113</v>
      </c>
      <c r="L19302">
        <v>34.369999999999997</v>
      </c>
      <c r="M19302">
        <v>80</v>
      </c>
      <c r="N19302">
        <v>0</v>
      </c>
      <c r="O19302">
        <v>80</v>
      </c>
      <c r="P19302">
        <v>0</v>
      </c>
    </row>
    <row r="19303" spans="1:16" x14ac:dyDescent="0.25">
      <c r="A19303" t="s">
        <v>41901</v>
      </c>
      <c r="B19303" t="s">
        <v>12238</v>
      </c>
      <c r="C19303" t="s">
        <v>12239</v>
      </c>
      <c r="D19303" t="s">
        <v>12240</v>
      </c>
      <c r="E19303" t="s">
        <v>12241</v>
      </c>
      <c r="F19303" t="s">
        <v>5</v>
      </c>
      <c r="G19303" t="s">
        <v>47093</v>
      </c>
      <c r="H19303" t="s">
        <v>47054</v>
      </c>
      <c r="I19303" t="s">
        <v>47111</v>
      </c>
      <c r="J19303" t="s">
        <v>47112</v>
      </c>
      <c r="K19303" t="s">
        <v>47113</v>
      </c>
      <c r="L19303">
        <v>34.92</v>
      </c>
      <c r="M19303">
        <v>65</v>
      </c>
      <c r="N19303">
        <v>0</v>
      </c>
      <c r="O19303">
        <v>65</v>
      </c>
      <c r="P19303">
        <v>0</v>
      </c>
    </row>
    <row r="19304" spans="1:16" x14ac:dyDescent="0.25">
      <c r="A19304" t="s">
        <v>41902</v>
      </c>
      <c r="B19304" t="s">
        <v>12238</v>
      </c>
      <c r="C19304" t="s">
        <v>12239</v>
      </c>
      <c r="D19304" t="s">
        <v>12242</v>
      </c>
      <c r="E19304" t="s">
        <v>12243</v>
      </c>
      <c r="F19304" t="s">
        <v>5</v>
      </c>
      <c r="G19304" t="s">
        <v>47093</v>
      </c>
      <c r="H19304" t="s">
        <v>47054</v>
      </c>
      <c r="I19304" t="s">
        <v>47111</v>
      </c>
      <c r="J19304" t="s">
        <v>47112</v>
      </c>
      <c r="K19304" t="s">
        <v>47113</v>
      </c>
      <c r="L19304">
        <v>31.62</v>
      </c>
      <c r="M19304">
        <v>65</v>
      </c>
      <c r="N19304">
        <v>0</v>
      </c>
      <c r="O19304">
        <v>65</v>
      </c>
      <c r="P19304">
        <v>0</v>
      </c>
    </row>
    <row r="19305" spans="1:16" x14ac:dyDescent="0.25">
      <c r="A19305" t="s">
        <v>41903</v>
      </c>
      <c r="B19305" t="s">
        <v>12244</v>
      </c>
      <c r="C19305" t="s">
        <v>12245</v>
      </c>
      <c r="D19305" t="s">
        <v>3103</v>
      </c>
      <c r="E19305" t="s">
        <v>3104</v>
      </c>
      <c r="F19305" t="s">
        <v>5</v>
      </c>
      <c r="G19305" t="s">
        <v>47093</v>
      </c>
      <c r="H19305" t="s">
        <v>47054</v>
      </c>
      <c r="I19305" t="s">
        <v>47111</v>
      </c>
      <c r="J19305" t="s">
        <v>47112</v>
      </c>
      <c r="K19305" t="s">
        <v>47113</v>
      </c>
      <c r="L19305">
        <v>34.369999999999997</v>
      </c>
      <c r="M19305">
        <v>80</v>
      </c>
      <c r="N19305">
        <v>0</v>
      </c>
      <c r="O19305">
        <v>80</v>
      </c>
      <c r="P19305">
        <v>0</v>
      </c>
    </row>
    <row r="19306" spans="1:16" x14ac:dyDescent="0.25">
      <c r="A19306" t="s">
        <v>41904</v>
      </c>
      <c r="B19306" t="s">
        <v>12244</v>
      </c>
      <c r="C19306" t="s">
        <v>12245</v>
      </c>
      <c r="D19306" t="s">
        <v>12240</v>
      </c>
      <c r="E19306" t="s">
        <v>12241</v>
      </c>
      <c r="F19306" t="s">
        <v>5</v>
      </c>
      <c r="G19306" t="s">
        <v>47093</v>
      </c>
      <c r="H19306" t="s">
        <v>47054</v>
      </c>
      <c r="I19306" t="s">
        <v>47111</v>
      </c>
      <c r="J19306" t="s">
        <v>47112</v>
      </c>
      <c r="K19306" t="s">
        <v>47113</v>
      </c>
      <c r="L19306">
        <v>34.92</v>
      </c>
      <c r="M19306">
        <v>65</v>
      </c>
      <c r="N19306">
        <v>0</v>
      </c>
      <c r="O19306">
        <v>65</v>
      </c>
      <c r="P19306">
        <v>0</v>
      </c>
    </row>
    <row r="19307" spans="1:16" x14ac:dyDescent="0.25">
      <c r="A19307" t="s">
        <v>41905</v>
      </c>
      <c r="B19307" t="s">
        <v>12244</v>
      </c>
      <c r="C19307" t="s">
        <v>12245</v>
      </c>
      <c r="D19307" t="s">
        <v>12242</v>
      </c>
      <c r="E19307" t="s">
        <v>12243</v>
      </c>
      <c r="F19307" t="s">
        <v>5</v>
      </c>
      <c r="G19307" t="s">
        <v>47093</v>
      </c>
      <c r="H19307" t="s">
        <v>47054</v>
      </c>
      <c r="I19307" t="s">
        <v>47111</v>
      </c>
      <c r="J19307" t="s">
        <v>47112</v>
      </c>
      <c r="K19307" t="s">
        <v>47113</v>
      </c>
      <c r="L19307">
        <v>31.62</v>
      </c>
      <c r="M19307">
        <v>65</v>
      </c>
      <c r="N19307">
        <v>0</v>
      </c>
      <c r="O19307">
        <v>65</v>
      </c>
      <c r="P19307">
        <v>0</v>
      </c>
    </row>
    <row r="19308" spans="1:16" x14ac:dyDescent="0.25">
      <c r="A19308" t="s">
        <v>41906</v>
      </c>
      <c r="B19308" t="s">
        <v>41907</v>
      </c>
      <c r="C19308" t="s">
        <v>41908</v>
      </c>
      <c r="D19308" t="s">
        <v>41909</v>
      </c>
      <c r="E19308" t="s">
        <v>41910</v>
      </c>
      <c r="F19308" t="s">
        <v>24627</v>
      </c>
      <c r="G19308" t="s">
        <v>49029</v>
      </c>
      <c r="H19308" t="s">
        <v>47054</v>
      </c>
      <c r="I19308" t="s">
        <v>47120</v>
      </c>
      <c r="J19308" t="s">
        <v>47121</v>
      </c>
      <c r="K19308" t="s">
        <v>47113</v>
      </c>
      <c r="L19308">
        <v>19.32</v>
      </c>
      <c r="M19308">
        <v>70</v>
      </c>
      <c r="N19308">
        <v>189</v>
      </c>
      <c r="O19308">
        <v>70</v>
      </c>
      <c r="P19308">
        <v>189</v>
      </c>
    </row>
    <row r="19309" spans="1:16" x14ac:dyDescent="0.25">
      <c r="A19309" t="s">
        <v>41911</v>
      </c>
      <c r="B19309" t="s">
        <v>12246</v>
      </c>
      <c r="C19309" t="s">
        <v>12247</v>
      </c>
      <c r="D19309" t="str">
        <f>"1516"</f>
        <v>1516</v>
      </c>
      <c r="E19309" t="s">
        <v>12248</v>
      </c>
      <c r="F19309" t="s">
        <v>631</v>
      </c>
      <c r="G19309" t="s">
        <v>47099</v>
      </c>
      <c r="H19309" t="s">
        <v>47054</v>
      </c>
      <c r="I19309" t="s">
        <v>47136</v>
      </c>
      <c r="J19309" t="s">
        <v>47137</v>
      </c>
      <c r="K19309" t="s">
        <v>47113</v>
      </c>
      <c r="L19309">
        <v>28.27</v>
      </c>
      <c r="M19309">
        <v>71</v>
      </c>
      <c r="N19309">
        <v>0</v>
      </c>
      <c r="O19309">
        <v>71</v>
      </c>
      <c r="P19309">
        <v>0</v>
      </c>
    </row>
    <row r="19310" spans="1:16" x14ac:dyDescent="0.25">
      <c r="A19310" t="s">
        <v>41912</v>
      </c>
      <c r="B19310" t="s">
        <v>12246</v>
      </c>
      <c r="C19310" t="s">
        <v>12247</v>
      </c>
      <c r="D19310" t="str">
        <f>"1774"</f>
        <v>1774</v>
      </c>
      <c r="E19310" t="s">
        <v>12249</v>
      </c>
      <c r="F19310" t="s">
        <v>631</v>
      </c>
      <c r="G19310" t="s">
        <v>47099</v>
      </c>
      <c r="H19310" t="s">
        <v>47054</v>
      </c>
      <c r="I19310" t="s">
        <v>47136</v>
      </c>
      <c r="J19310" t="s">
        <v>47137</v>
      </c>
      <c r="K19310" t="s">
        <v>47113</v>
      </c>
      <c r="L19310">
        <v>28.27</v>
      </c>
      <c r="M19310">
        <v>71</v>
      </c>
      <c r="N19310">
        <v>0</v>
      </c>
      <c r="O19310">
        <v>71</v>
      </c>
      <c r="P19310">
        <v>0</v>
      </c>
    </row>
    <row r="19311" spans="1:16" x14ac:dyDescent="0.25">
      <c r="A19311" t="s">
        <v>41913</v>
      </c>
      <c r="B19311" t="s">
        <v>12246</v>
      </c>
      <c r="C19311" t="s">
        <v>12247</v>
      </c>
      <c r="D19311" t="str">
        <f>"2320"</f>
        <v>2320</v>
      </c>
      <c r="E19311" t="s">
        <v>5531</v>
      </c>
      <c r="F19311" t="s">
        <v>631</v>
      </c>
      <c r="G19311" t="s">
        <v>47099</v>
      </c>
      <c r="H19311" t="s">
        <v>47054</v>
      </c>
      <c r="I19311" t="s">
        <v>47136</v>
      </c>
      <c r="J19311" t="s">
        <v>47137</v>
      </c>
      <c r="K19311" t="s">
        <v>47113</v>
      </c>
      <c r="L19311">
        <v>28.27</v>
      </c>
      <c r="M19311">
        <v>71</v>
      </c>
      <c r="N19311">
        <v>0</v>
      </c>
      <c r="O19311">
        <v>71</v>
      </c>
      <c r="P19311">
        <v>0</v>
      </c>
    </row>
    <row r="19312" spans="1:16" x14ac:dyDescent="0.25">
      <c r="A19312" t="s">
        <v>41914</v>
      </c>
      <c r="B19312" t="s">
        <v>12246</v>
      </c>
      <c r="C19312" t="s">
        <v>12247</v>
      </c>
      <c r="D19312" t="str">
        <f>"3172"</f>
        <v>3172</v>
      </c>
      <c r="E19312" t="s">
        <v>5533</v>
      </c>
      <c r="F19312" t="s">
        <v>631</v>
      </c>
      <c r="G19312" t="s">
        <v>47099</v>
      </c>
      <c r="H19312" t="s">
        <v>47054</v>
      </c>
      <c r="I19312" t="s">
        <v>47136</v>
      </c>
      <c r="J19312" t="s">
        <v>47137</v>
      </c>
      <c r="K19312" t="s">
        <v>47113</v>
      </c>
      <c r="L19312">
        <v>28.27</v>
      </c>
      <c r="M19312">
        <v>71</v>
      </c>
      <c r="N19312">
        <v>0</v>
      </c>
      <c r="O19312">
        <v>71</v>
      </c>
      <c r="P19312">
        <v>0</v>
      </c>
    </row>
    <row r="19313" spans="1:16" x14ac:dyDescent="0.25">
      <c r="A19313" t="s">
        <v>41915</v>
      </c>
      <c r="B19313" t="s">
        <v>12246</v>
      </c>
      <c r="C19313" t="s">
        <v>12247</v>
      </c>
      <c r="D19313" t="str">
        <f>"4014"</f>
        <v>4014</v>
      </c>
      <c r="E19313" t="s">
        <v>12250</v>
      </c>
      <c r="F19313" t="s">
        <v>631</v>
      </c>
      <c r="G19313" t="s">
        <v>47099</v>
      </c>
      <c r="H19313" t="s">
        <v>47054</v>
      </c>
      <c r="I19313" t="s">
        <v>47136</v>
      </c>
      <c r="J19313" t="s">
        <v>47137</v>
      </c>
      <c r="K19313" t="s">
        <v>47113</v>
      </c>
      <c r="L19313">
        <v>28.27</v>
      </c>
      <c r="M19313">
        <v>71</v>
      </c>
      <c r="N19313">
        <v>0</v>
      </c>
      <c r="O19313">
        <v>71</v>
      </c>
      <c r="P19313">
        <v>0</v>
      </c>
    </row>
    <row r="19314" spans="1:16" x14ac:dyDescent="0.25">
      <c r="A19314" t="s">
        <v>41916</v>
      </c>
      <c r="B19314" t="s">
        <v>12251</v>
      </c>
      <c r="C19314" t="s">
        <v>12252</v>
      </c>
      <c r="D19314" t="str">
        <f>"1516"</f>
        <v>1516</v>
      </c>
      <c r="E19314" t="s">
        <v>12248</v>
      </c>
      <c r="F19314" t="s">
        <v>631</v>
      </c>
      <c r="G19314" t="s">
        <v>49029</v>
      </c>
      <c r="H19314" t="s">
        <v>47054</v>
      </c>
      <c r="I19314" t="s">
        <v>47136</v>
      </c>
      <c r="J19314" t="s">
        <v>47137</v>
      </c>
      <c r="K19314" t="s">
        <v>47113</v>
      </c>
      <c r="L19314">
        <v>23.82</v>
      </c>
      <c r="M19314">
        <v>71</v>
      </c>
      <c r="N19314">
        <v>0</v>
      </c>
      <c r="O19314">
        <v>71</v>
      </c>
      <c r="P19314">
        <v>0</v>
      </c>
    </row>
    <row r="19315" spans="1:16" x14ac:dyDescent="0.25">
      <c r="A19315" t="s">
        <v>41917</v>
      </c>
      <c r="B19315" t="s">
        <v>12251</v>
      </c>
      <c r="C19315" t="s">
        <v>12252</v>
      </c>
      <c r="D19315" t="str">
        <f>"1774"</f>
        <v>1774</v>
      </c>
      <c r="E19315" t="s">
        <v>12249</v>
      </c>
      <c r="F19315" t="s">
        <v>631</v>
      </c>
      <c r="G19315" t="s">
        <v>49029</v>
      </c>
      <c r="H19315" t="s">
        <v>47054</v>
      </c>
      <c r="I19315" t="s">
        <v>47136</v>
      </c>
      <c r="J19315" t="s">
        <v>47137</v>
      </c>
      <c r="K19315" t="s">
        <v>47113</v>
      </c>
      <c r="L19315">
        <v>23.82</v>
      </c>
      <c r="M19315">
        <v>71</v>
      </c>
      <c r="N19315">
        <v>0</v>
      </c>
      <c r="O19315">
        <v>71</v>
      </c>
      <c r="P19315">
        <v>0</v>
      </c>
    </row>
    <row r="19316" spans="1:16" x14ac:dyDescent="0.25">
      <c r="A19316" t="s">
        <v>41918</v>
      </c>
      <c r="B19316" t="s">
        <v>12251</v>
      </c>
      <c r="C19316" t="s">
        <v>12252</v>
      </c>
      <c r="D19316" t="str">
        <f>"2320"</f>
        <v>2320</v>
      </c>
      <c r="E19316" t="s">
        <v>5531</v>
      </c>
      <c r="F19316" t="s">
        <v>631</v>
      </c>
      <c r="G19316" t="s">
        <v>49029</v>
      </c>
      <c r="H19316" t="s">
        <v>47054</v>
      </c>
      <c r="I19316" t="s">
        <v>47136</v>
      </c>
      <c r="J19316" t="s">
        <v>47137</v>
      </c>
      <c r="K19316" t="s">
        <v>47113</v>
      </c>
      <c r="L19316">
        <v>23.82</v>
      </c>
      <c r="M19316">
        <v>71</v>
      </c>
      <c r="N19316">
        <v>0</v>
      </c>
      <c r="O19316">
        <v>71</v>
      </c>
      <c r="P19316">
        <v>0</v>
      </c>
    </row>
    <row r="19317" spans="1:16" x14ac:dyDescent="0.25">
      <c r="A19317" t="s">
        <v>41919</v>
      </c>
      <c r="B19317" t="s">
        <v>12251</v>
      </c>
      <c r="C19317" t="s">
        <v>12252</v>
      </c>
      <c r="D19317" t="str">
        <f>"3172"</f>
        <v>3172</v>
      </c>
      <c r="E19317" t="s">
        <v>5533</v>
      </c>
      <c r="F19317" t="s">
        <v>631</v>
      </c>
      <c r="G19317" t="s">
        <v>49029</v>
      </c>
      <c r="H19317" t="s">
        <v>47054</v>
      </c>
      <c r="I19317" t="s">
        <v>47136</v>
      </c>
      <c r="J19317" t="s">
        <v>47137</v>
      </c>
      <c r="K19317" t="s">
        <v>47113</v>
      </c>
      <c r="L19317">
        <v>23.82</v>
      </c>
      <c r="M19317">
        <v>71</v>
      </c>
      <c r="N19317">
        <v>0</v>
      </c>
      <c r="O19317">
        <v>71</v>
      </c>
      <c r="P19317">
        <v>0</v>
      </c>
    </row>
    <row r="19318" spans="1:16" x14ac:dyDescent="0.25">
      <c r="A19318" t="s">
        <v>41920</v>
      </c>
      <c r="B19318" t="s">
        <v>12253</v>
      </c>
      <c r="C19318" t="s">
        <v>12254</v>
      </c>
      <c r="D19318" t="str">
        <f>"1041"</f>
        <v>1041</v>
      </c>
      <c r="E19318" t="s">
        <v>12255</v>
      </c>
      <c r="F19318" t="s">
        <v>8</v>
      </c>
      <c r="G19318" t="s">
        <v>47099</v>
      </c>
      <c r="H19318" t="s">
        <v>47054</v>
      </c>
      <c r="I19318" t="s">
        <v>47111</v>
      </c>
      <c r="J19318" t="s">
        <v>47112</v>
      </c>
      <c r="K19318" t="s">
        <v>47113</v>
      </c>
      <c r="L19318">
        <v>40.119999999999997</v>
      </c>
      <c r="M19318">
        <v>105</v>
      </c>
      <c r="N19318">
        <v>0</v>
      </c>
      <c r="O19318">
        <v>105</v>
      </c>
      <c r="P19318">
        <v>0</v>
      </c>
    </row>
    <row r="19319" spans="1:16" x14ac:dyDescent="0.25">
      <c r="A19319" t="s">
        <v>41921</v>
      </c>
      <c r="B19319" t="s">
        <v>12253</v>
      </c>
      <c r="C19319" t="s">
        <v>12254</v>
      </c>
      <c r="D19319" t="str">
        <f>"4243"</f>
        <v>4243</v>
      </c>
      <c r="E19319" t="s">
        <v>12256</v>
      </c>
      <c r="F19319" t="s">
        <v>8</v>
      </c>
      <c r="G19319" t="s">
        <v>47099</v>
      </c>
      <c r="H19319" t="s">
        <v>47054</v>
      </c>
      <c r="I19319" t="s">
        <v>47111</v>
      </c>
      <c r="J19319" t="s">
        <v>47112</v>
      </c>
      <c r="K19319" t="s">
        <v>47113</v>
      </c>
      <c r="L19319">
        <v>38.96</v>
      </c>
      <c r="M19319">
        <v>71</v>
      </c>
      <c r="N19319">
        <v>0</v>
      </c>
      <c r="O19319">
        <v>71</v>
      </c>
      <c r="P19319">
        <v>0</v>
      </c>
    </row>
    <row r="19320" spans="1:16" x14ac:dyDescent="0.25">
      <c r="A19320" t="s">
        <v>41922</v>
      </c>
      <c r="B19320" t="s">
        <v>12257</v>
      </c>
      <c r="C19320" t="s">
        <v>12258</v>
      </c>
      <c r="D19320" t="str">
        <f>"1041"</f>
        <v>1041</v>
      </c>
      <c r="E19320" t="s">
        <v>12255</v>
      </c>
      <c r="F19320" t="s">
        <v>8</v>
      </c>
      <c r="G19320" t="s">
        <v>47099</v>
      </c>
      <c r="H19320" t="s">
        <v>47054</v>
      </c>
      <c r="I19320" t="s">
        <v>47111</v>
      </c>
      <c r="J19320" t="s">
        <v>47112</v>
      </c>
      <c r="K19320" t="s">
        <v>47113</v>
      </c>
      <c r="L19320">
        <v>39.35</v>
      </c>
      <c r="M19320">
        <v>105</v>
      </c>
      <c r="N19320">
        <v>0</v>
      </c>
      <c r="O19320">
        <v>105</v>
      </c>
      <c r="P19320">
        <v>0</v>
      </c>
    </row>
    <row r="19321" spans="1:16" x14ac:dyDescent="0.25">
      <c r="A19321" t="s">
        <v>41923</v>
      </c>
      <c r="B19321" t="s">
        <v>15878</v>
      </c>
      <c r="C19321" t="s">
        <v>15879</v>
      </c>
      <c r="D19321" t="s">
        <v>15880</v>
      </c>
      <c r="E19321" t="s">
        <v>15881</v>
      </c>
      <c r="F19321" t="s">
        <v>15183</v>
      </c>
      <c r="G19321" t="s">
        <v>47093</v>
      </c>
      <c r="H19321" t="s">
        <v>47054</v>
      </c>
      <c r="I19321" t="s">
        <v>47111</v>
      </c>
      <c r="J19321" t="s">
        <v>47112</v>
      </c>
      <c r="K19321" t="s">
        <v>47113</v>
      </c>
      <c r="L19321">
        <v>41.68</v>
      </c>
      <c r="M19321">
        <v>74</v>
      </c>
      <c r="N19321">
        <v>0</v>
      </c>
      <c r="O19321">
        <v>74</v>
      </c>
      <c r="P19321">
        <v>0</v>
      </c>
    </row>
    <row r="19322" spans="1:16" x14ac:dyDescent="0.25">
      <c r="A19322" t="s">
        <v>41924</v>
      </c>
      <c r="B19322" t="s">
        <v>15882</v>
      </c>
      <c r="C19322" t="s">
        <v>15883</v>
      </c>
      <c r="D19322" t="s">
        <v>15884</v>
      </c>
      <c r="E19322" t="s">
        <v>15885</v>
      </c>
      <c r="F19322" t="s">
        <v>15183</v>
      </c>
      <c r="G19322" t="s">
        <v>47093</v>
      </c>
      <c r="H19322" t="s">
        <v>47054</v>
      </c>
      <c r="I19322" t="s">
        <v>47111</v>
      </c>
      <c r="J19322" t="s">
        <v>47112</v>
      </c>
      <c r="K19322" t="s">
        <v>47113</v>
      </c>
      <c r="L19322">
        <v>57.5</v>
      </c>
      <c r="M19322">
        <v>118</v>
      </c>
      <c r="N19322">
        <v>0</v>
      </c>
      <c r="O19322">
        <v>118</v>
      </c>
      <c r="P19322">
        <v>0</v>
      </c>
    </row>
    <row r="19323" spans="1:16" x14ac:dyDescent="0.25">
      <c r="A19323" t="s">
        <v>41925</v>
      </c>
      <c r="B19323" t="s">
        <v>18467</v>
      </c>
      <c r="C19323" t="s">
        <v>18468</v>
      </c>
      <c r="D19323" t="s">
        <v>18469</v>
      </c>
      <c r="E19323" t="s">
        <v>18470</v>
      </c>
      <c r="F19323" t="s">
        <v>16601</v>
      </c>
      <c r="G19323" t="s">
        <v>47093</v>
      </c>
      <c r="H19323" t="s">
        <v>47054</v>
      </c>
      <c r="I19323" t="s">
        <v>47111</v>
      </c>
      <c r="J19323" t="s">
        <v>47112</v>
      </c>
      <c r="K19323" t="s">
        <v>47113</v>
      </c>
      <c r="L19323">
        <v>60.5</v>
      </c>
      <c r="M19323">
        <v>118</v>
      </c>
      <c r="N19323">
        <v>0</v>
      </c>
      <c r="O19323">
        <v>118</v>
      </c>
      <c r="P19323">
        <v>0</v>
      </c>
    </row>
    <row r="19324" spans="1:16" x14ac:dyDescent="0.25">
      <c r="A19324" t="s">
        <v>41926</v>
      </c>
      <c r="B19324" t="s">
        <v>18471</v>
      </c>
      <c r="C19324" t="s">
        <v>18472</v>
      </c>
      <c r="D19324" t="s">
        <v>18473</v>
      </c>
      <c r="E19324" t="s">
        <v>18474</v>
      </c>
      <c r="F19324" t="s">
        <v>16601</v>
      </c>
      <c r="G19324" t="s">
        <v>47093</v>
      </c>
      <c r="H19324" t="s">
        <v>47054</v>
      </c>
      <c r="I19324" t="s">
        <v>47111</v>
      </c>
      <c r="J19324" t="s">
        <v>47112</v>
      </c>
      <c r="K19324" t="s">
        <v>47113</v>
      </c>
      <c r="L19324">
        <v>76.290000000000006</v>
      </c>
      <c r="M19324">
        <v>129</v>
      </c>
      <c r="N19324">
        <v>0</v>
      </c>
      <c r="O19324">
        <v>129</v>
      </c>
      <c r="P19324">
        <v>0</v>
      </c>
    </row>
    <row r="19325" spans="1:16" x14ac:dyDescent="0.25">
      <c r="A19325" t="s">
        <v>41927</v>
      </c>
      <c r="B19325" t="s">
        <v>18475</v>
      </c>
      <c r="C19325" t="s">
        <v>18476</v>
      </c>
      <c r="D19325" t="s">
        <v>18477</v>
      </c>
      <c r="E19325" t="s">
        <v>18478</v>
      </c>
      <c r="F19325" t="s">
        <v>16601</v>
      </c>
      <c r="G19325" t="s">
        <v>47093</v>
      </c>
      <c r="H19325" t="s">
        <v>47054</v>
      </c>
      <c r="I19325" t="s">
        <v>47111</v>
      </c>
      <c r="J19325" t="s">
        <v>47112</v>
      </c>
      <c r="K19325" t="s">
        <v>47113</v>
      </c>
      <c r="L19325">
        <v>56.54</v>
      </c>
      <c r="M19325">
        <v>100</v>
      </c>
      <c r="N19325">
        <v>0</v>
      </c>
      <c r="O19325">
        <v>100</v>
      </c>
      <c r="P19325">
        <v>0</v>
      </c>
    </row>
    <row r="19326" spans="1:16" x14ac:dyDescent="0.25">
      <c r="A19326" t="s">
        <v>41928</v>
      </c>
      <c r="B19326" t="s">
        <v>18479</v>
      </c>
      <c r="C19326" t="s">
        <v>10599</v>
      </c>
      <c r="D19326" t="str">
        <f>"1700"</f>
        <v>1700</v>
      </c>
      <c r="E19326" t="s">
        <v>18480</v>
      </c>
      <c r="F19326" t="s">
        <v>16601</v>
      </c>
      <c r="G19326" t="s">
        <v>47093</v>
      </c>
      <c r="H19326" t="s">
        <v>47054</v>
      </c>
      <c r="I19326" t="s">
        <v>47111</v>
      </c>
      <c r="J19326" t="s">
        <v>47112</v>
      </c>
      <c r="K19326" t="s">
        <v>47113</v>
      </c>
      <c r="L19326">
        <v>48.28</v>
      </c>
      <c r="M19326">
        <v>111</v>
      </c>
      <c r="N19326">
        <v>0</v>
      </c>
      <c r="O19326">
        <v>111</v>
      </c>
      <c r="P19326">
        <v>0</v>
      </c>
    </row>
    <row r="19327" spans="1:16" x14ac:dyDescent="0.25">
      <c r="A19327" t="s">
        <v>41929</v>
      </c>
      <c r="B19327" t="s">
        <v>15886</v>
      </c>
      <c r="C19327" t="s">
        <v>18481</v>
      </c>
      <c r="D19327" t="s">
        <v>15887</v>
      </c>
      <c r="E19327" t="s">
        <v>15888</v>
      </c>
      <c r="F19327" t="s">
        <v>15183</v>
      </c>
      <c r="G19327" t="s">
        <v>47093</v>
      </c>
      <c r="H19327" t="s">
        <v>47054</v>
      </c>
      <c r="I19327" t="s">
        <v>47111</v>
      </c>
      <c r="J19327" t="s">
        <v>47112</v>
      </c>
      <c r="K19327" t="s">
        <v>47113</v>
      </c>
      <c r="L19327">
        <v>39.64</v>
      </c>
      <c r="M19327">
        <v>74</v>
      </c>
      <c r="N19327">
        <v>0</v>
      </c>
      <c r="O19327">
        <v>74</v>
      </c>
      <c r="P19327">
        <v>0</v>
      </c>
    </row>
    <row r="19328" spans="1:16" x14ac:dyDescent="0.25">
      <c r="A19328" t="s">
        <v>41930</v>
      </c>
      <c r="B19328" t="s">
        <v>15889</v>
      </c>
      <c r="C19328" t="s">
        <v>18481</v>
      </c>
      <c r="D19328" t="s">
        <v>15884</v>
      </c>
      <c r="E19328" t="s">
        <v>15885</v>
      </c>
      <c r="F19328" t="s">
        <v>15183</v>
      </c>
      <c r="G19328" t="s">
        <v>47093</v>
      </c>
      <c r="H19328" t="s">
        <v>47054</v>
      </c>
      <c r="I19328" t="s">
        <v>47111</v>
      </c>
      <c r="J19328" t="s">
        <v>47112</v>
      </c>
      <c r="K19328" t="s">
        <v>47113</v>
      </c>
      <c r="L19328">
        <v>40.159999999999997</v>
      </c>
      <c r="M19328">
        <v>74</v>
      </c>
      <c r="N19328">
        <v>0</v>
      </c>
      <c r="O19328">
        <v>74</v>
      </c>
      <c r="P19328">
        <v>0</v>
      </c>
    </row>
    <row r="19329" spans="1:16" x14ac:dyDescent="0.25">
      <c r="A19329" t="s">
        <v>41931</v>
      </c>
      <c r="B19329" t="s">
        <v>15890</v>
      </c>
      <c r="C19329" t="s">
        <v>18481</v>
      </c>
      <c r="D19329" t="s">
        <v>15891</v>
      </c>
      <c r="E19329" t="s">
        <v>15892</v>
      </c>
      <c r="F19329" t="s">
        <v>15183</v>
      </c>
      <c r="G19329" t="s">
        <v>47093</v>
      </c>
      <c r="H19329" t="s">
        <v>47054</v>
      </c>
      <c r="I19329" t="s">
        <v>47111</v>
      </c>
      <c r="J19329" t="s">
        <v>47112</v>
      </c>
      <c r="K19329" t="s">
        <v>47113</v>
      </c>
      <c r="L19329">
        <v>35.53</v>
      </c>
      <c r="M19329">
        <v>92</v>
      </c>
      <c r="N19329">
        <v>0</v>
      </c>
      <c r="O19329">
        <v>92</v>
      </c>
      <c r="P19329">
        <v>0</v>
      </c>
    </row>
    <row r="19330" spans="1:16" x14ac:dyDescent="0.25">
      <c r="A19330" t="s">
        <v>41932</v>
      </c>
      <c r="B19330" t="s">
        <v>15893</v>
      </c>
      <c r="C19330" t="s">
        <v>18481</v>
      </c>
      <c r="D19330" t="s">
        <v>15894</v>
      </c>
      <c r="E19330" t="s">
        <v>15895</v>
      </c>
      <c r="F19330" t="s">
        <v>15183</v>
      </c>
      <c r="G19330" t="s">
        <v>47093</v>
      </c>
      <c r="H19330" t="s">
        <v>47054</v>
      </c>
      <c r="I19330" t="s">
        <v>47111</v>
      </c>
      <c r="J19330" t="s">
        <v>47112</v>
      </c>
      <c r="K19330" t="s">
        <v>47113</v>
      </c>
      <c r="L19330">
        <v>38.81</v>
      </c>
      <c r="M19330">
        <v>74</v>
      </c>
      <c r="N19330">
        <v>0</v>
      </c>
      <c r="O19330">
        <v>74</v>
      </c>
      <c r="P19330">
        <v>0</v>
      </c>
    </row>
    <row r="19331" spans="1:16" x14ac:dyDescent="0.25">
      <c r="A19331" t="s">
        <v>41933</v>
      </c>
      <c r="B19331" t="s">
        <v>18482</v>
      </c>
      <c r="C19331" t="s">
        <v>18483</v>
      </c>
      <c r="D19331" t="s">
        <v>18484</v>
      </c>
      <c r="E19331" t="s">
        <v>18485</v>
      </c>
      <c r="F19331" t="s">
        <v>16601</v>
      </c>
      <c r="G19331" t="s">
        <v>47093</v>
      </c>
      <c r="H19331" t="s">
        <v>47054</v>
      </c>
      <c r="I19331" t="s">
        <v>47116</v>
      </c>
      <c r="J19331" t="s">
        <v>47117</v>
      </c>
      <c r="K19331" t="s">
        <v>47113</v>
      </c>
      <c r="L19331">
        <v>44.34</v>
      </c>
      <c r="M19331">
        <v>92</v>
      </c>
      <c r="N19331">
        <v>0</v>
      </c>
      <c r="O19331">
        <v>92</v>
      </c>
      <c r="P19331">
        <v>0</v>
      </c>
    </row>
    <row r="19332" spans="1:16" x14ac:dyDescent="0.25">
      <c r="A19332" t="s">
        <v>41934</v>
      </c>
      <c r="B19332" t="s">
        <v>18486</v>
      </c>
      <c r="C19332" t="s">
        <v>18483</v>
      </c>
      <c r="D19332" t="s">
        <v>18487</v>
      </c>
      <c r="E19332" t="s">
        <v>18488</v>
      </c>
      <c r="F19332" t="s">
        <v>16601</v>
      </c>
      <c r="G19332" t="s">
        <v>47093</v>
      </c>
      <c r="H19332" t="s">
        <v>47054</v>
      </c>
      <c r="I19332" t="s">
        <v>47116</v>
      </c>
      <c r="J19332" t="s">
        <v>47117</v>
      </c>
      <c r="K19332" t="s">
        <v>47113</v>
      </c>
      <c r="L19332">
        <v>43.21</v>
      </c>
      <c r="M19332">
        <v>92</v>
      </c>
      <c r="N19332">
        <v>0</v>
      </c>
      <c r="O19332">
        <v>92</v>
      </c>
      <c r="P19332">
        <v>0</v>
      </c>
    </row>
    <row r="19333" spans="1:16" x14ac:dyDescent="0.25">
      <c r="A19333" t="s">
        <v>41935</v>
      </c>
      <c r="B19333" t="s">
        <v>21632</v>
      </c>
      <c r="C19333" t="s">
        <v>18481</v>
      </c>
      <c r="D19333" t="s">
        <v>21633</v>
      </c>
      <c r="E19333" t="s">
        <v>21634</v>
      </c>
      <c r="F19333" t="s">
        <v>17351</v>
      </c>
      <c r="G19333" t="s">
        <v>47093</v>
      </c>
      <c r="H19333" t="s">
        <v>47054</v>
      </c>
      <c r="I19333" t="s">
        <v>47111</v>
      </c>
      <c r="J19333" t="s">
        <v>47112</v>
      </c>
      <c r="K19333" t="s">
        <v>47113</v>
      </c>
      <c r="L19333">
        <v>45.31</v>
      </c>
      <c r="M19333">
        <v>103</v>
      </c>
      <c r="N19333">
        <v>0</v>
      </c>
      <c r="O19333">
        <v>103</v>
      </c>
      <c r="P19333">
        <v>0</v>
      </c>
    </row>
    <row r="19334" spans="1:16" x14ac:dyDescent="0.25">
      <c r="A19334" t="s">
        <v>41936</v>
      </c>
      <c r="B19334" t="s">
        <v>21635</v>
      </c>
      <c r="C19334" t="s">
        <v>21636</v>
      </c>
      <c r="D19334" t="s">
        <v>21637</v>
      </c>
      <c r="E19334" t="s">
        <v>21638</v>
      </c>
      <c r="F19334" t="s">
        <v>19552</v>
      </c>
      <c r="G19334" t="s">
        <v>47093</v>
      </c>
      <c r="H19334" t="s">
        <v>47054</v>
      </c>
      <c r="I19334" t="s">
        <v>47111</v>
      </c>
      <c r="J19334" t="s">
        <v>47112</v>
      </c>
      <c r="K19334" t="s">
        <v>47113</v>
      </c>
      <c r="L19334">
        <v>54.23</v>
      </c>
      <c r="M19334">
        <v>111</v>
      </c>
      <c r="N19334">
        <v>0</v>
      </c>
      <c r="O19334">
        <v>111</v>
      </c>
      <c r="P19334">
        <v>0</v>
      </c>
    </row>
    <row r="19335" spans="1:16" x14ac:dyDescent="0.25">
      <c r="A19335" t="s">
        <v>22891</v>
      </c>
      <c r="B19335" t="s">
        <v>21639</v>
      </c>
      <c r="C19335" t="s">
        <v>18481</v>
      </c>
      <c r="D19335" t="s">
        <v>21640</v>
      </c>
      <c r="E19335" t="s">
        <v>21641</v>
      </c>
      <c r="F19335" t="s">
        <v>19552</v>
      </c>
      <c r="G19335" t="s">
        <v>47093</v>
      </c>
      <c r="H19335" t="s">
        <v>47054</v>
      </c>
      <c r="I19335" t="s">
        <v>47116</v>
      </c>
      <c r="J19335" t="s">
        <v>47117</v>
      </c>
      <c r="K19335" t="s">
        <v>47113</v>
      </c>
      <c r="L19335">
        <v>43.86</v>
      </c>
      <c r="M19335">
        <v>92</v>
      </c>
      <c r="N19335">
        <v>0</v>
      </c>
      <c r="O19335">
        <v>92</v>
      </c>
      <c r="P19335">
        <v>0</v>
      </c>
    </row>
    <row r="19336" spans="1:16" x14ac:dyDescent="0.25">
      <c r="A19336" t="s">
        <v>41937</v>
      </c>
      <c r="B19336" t="s">
        <v>41938</v>
      </c>
      <c r="C19336" t="s">
        <v>18481</v>
      </c>
      <c r="D19336" t="s">
        <v>40626</v>
      </c>
      <c r="E19336" t="s">
        <v>40627</v>
      </c>
      <c r="F19336" t="s">
        <v>20496</v>
      </c>
      <c r="G19336" t="s">
        <v>47093</v>
      </c>
      <c r="H19336" t="s">
        <v>47054</v>
      </c>
      <c r="I19336" t="s">
        <v>47116</v>
      </c>
      <c r="J19336" t="s">
        <v>47117</v>
      </c>
      <c r="K19336" t="s">
        <v>47113</v>
      </c>
      <c r="L19336">
        <v>49.56</v>
      </c>
      <c r="M19336">
        <v>148</v>
      </c>
      <c r="N19336">
        <v>0</v>
      </c>
      <c r="O19336">
        <v>148</v>
      </c>
      <c r="P19336">
        <v>0</v>
      </c>
    </row>
    <row r="19337" spans="1:16" x14ac:dyDescent="0.25">
      <c r="A19337" t="s">
        <v>41939</v>
      </c>
      <c r="B19337" t="s">
        <v>41940</v>
      </c>
      <c r="C19337" t="s">
        <v>18481</v>
      </c>
      <c r="D19337" t="s">
        <v>41941</v>
      </c>
      <c r="E19337" t="s">
        <v>41942</v>
      </c>
      <c r="F19337" t="s">
        <v>20496</v>
      </c>
      <c r="G19337" t="s">
        <v>47093</v>
      </c>
      <c r="H19337" t="s">
        <v>47054</v>
      </c>
      <c r="I19337" t="s">
        <v>47544</v>
      </c>
      <c r="J19337" t="s">
        <v>47545</v>
      </c>
      <c r="K19337" t="s">
        <v>47113</v>
      </c>
      <c r="L19337">
        <v>27.51</v>
      </c>
      <c r="M19337">
        <v>70</v>
      </c>
      <c r="N19337">
        <v>0</v>
      </c>
      <c r="O19337">
        <v>70</v>
      </c>
      <c r="P19337">
        <v>0</v>
      </c>
    </row>
    <row r="19338" spans="1:16" x14ac:dyDescent="0.25">
      <c r="A19338" t="s">
        <v>22892</v>
      </c>
      <c r="B19338" t="s">
        <v>21642</v>
      </c>
      <c r="C19338" t="s">
        <v>21643</v>
      </c>
      <c r="D19338" t="s">
        <v>21644</v>
      </c>
      <c r="E19338" t="s">
        <v>21645</v>
      </c>
      <c r="F19338" t="s">
        <v>19552</v>
      </c>
      <c r="G19338" t="s">
        <v>47093</v>
      </c>
      <c r="H19338" t="s">
        <v>47054</v>
      </c>
      <c r="I19338" t="s">
        <v>47116</v>
      </c>
      <c r="J19338" t="s">
        <v>47117</v>
      </c>
      <c r="K19338" t="s">
        <v>47113</v>
      </c>
      <c r="L19338">
        <v>38.11</v>
      </c>
      <c r="M19338">
        <v>70</v>
      </c>
      <c r="N19338">
        <v>0</v>
      </c>
      <c r="O19338">
        <v>70</v>
      </c>
      <c r="P19338">
        <v>0</v>
      </c>
    </row>
    <row r="19339" spans="1:16" x14ac:dyDescent="0.25">
      <c r="A19339" t="s">
        <v>41943</v>
      </c>
      <c r="B19339" t="s">
        <v>41944</v>
      </c>
      <c r="C19339" t="s">
        <v>10614</v>
      </c>
      <c r="D19339" t="s">
        <v>41945</v>
      </c>
      <c r="E19339" t="s">
        <v>41946</v>
      </c>
      <c r="F19339" t="s">
        <v>24617</v>
      </c>
      <c r="G19339" t="s">
        <v>47093</v>
      </c>
      <c r="H19339" t="s">
        <v>47054</v>
      </c>
      <c r="I19339" t="s">
        <v>47120</v>
      </c>
      <c r="J19339" t="s">
        <v>47121</v>
      </c>
      <c r="K19339" t="s">
        <v>47113</v>
      </c>
      <c r="L19339">
        <v>30.23</v>
      </c>
      <c r="M19339">
        <v>85</v>
      </c>
      <c r="N19339">
        <v>229</v>
      </c>
      <c r="O19339">
        <v>85</v>
      </c>
      <c r="P19339">
        <v>229</v>
      </c>
    </row>
    <row r="19340" spans="1:16" x14ac:dyDescent="0.25">
      <c r="A19340" t="s">
        <v>41947</v>
      </c>
      <c r="B19340" t="s">
        <v>41948</v>
      </c>
      <c r="C19340" t="s">
        <v>41949</v>
      </c>
      <c r="D19340" t="s">
        <v>41950</v>
      </c>
      <c r="E19340" t="s">
        <v>41951</v>
      </c>
      <c r="F19340" t="s">
        <v>20496</v>
      </c>
      <c r="G19340" t="s">
        <v>47093</v>
      </c>
      <c r="H19340" t="s">
        <v>47054</v>
      </c>
      <c r="I19340" t="s">
        <v>47120</v>
      </c>
      <c r="J19340" t="s">
        <v>47121</v>
      </c>
      <c r="K19340" t="s">
        <v>47113</v>
      </c>
      <c r="L19340">
        <v>55.89</v>
      </c>
      <c r="M19340">
        <v>111</v>
      </c>
      <c r="N19340">
        <v>0</v>
      </c>
      <c r="O19340">
        <v>111</v>
      </c>
      <c r="P19340">
        <v>0</v>
      </c>
    </row>
    <row r="19341" spans="1:16" x14ac:dyDescent="0.25">
      <c r="A19341" t="s">
        <v>41952</v>
      </c>
      <c r="B19341" t="s">
        <v>21646</v>
      </c>
      <c r="C19341" t="s">
        <v>16434</v>
      </c>
      <c r="D19341" t="s">
        <v>21647</v>
      </c>
      <c r="E19341" t="s">
        <v>21648</v>
      </c>
      <c r="F19341" t="s">
        <v>19552</v>
      </c>
      <c r="G19341" t="s">
        <v>47093</v>
      </c>
      <c r="H19341" t="s">
        <v>47054</v>
      </c>
      <c r="I19341" t="s">
        <v>47111</v>
      </c>
      <c r="J19341" t="s">
        <v>47112</v>
      </c>
      <c r="K19341" t="s">
        <v>47113</v>
      </c>
      <c r="L19341">
        <v>68.709999999999994</v>
      </c>
      <c r="M19341">
        <v>148</v>
      </c>
      <c r="N19341">
        <v>0</v>
      </c>
      <c r="O19341">
        <v>148</v>
      </c>
      <c r="P19341">
        <v>0</v>
      </c>
    </row>
    <row r="19342" spans="1:16" x14ac:dyDescent="0.25">
      <c r="A19342" t="s">
        <v>41953</v>
      </c>
      <c r="B19342" t="s">
        <v>41954</v>
      </c>
      <c r="C19342" t="s">
        <v>41949</v>
      </c>
      <c r="D19342" t="s">
        <v>41955</v>
      </c>
      <c r="E19342" t="s">
        <v>41956</v>
      </c>
      <c r="F19342" t="s">
        <v>20496</v>
      </c>
      <c r="G19342" t="s">
        <v>47093</v>
      </c>
      <c r="H19342" t="s">
        <v>47054</v>
      </c>
      <c r="I19342" t="s">
        <v>47120</v>
      </c>
      <c r="J19342" t="s">
        <v>47121</v>
      </c>
      <c r="K19342" t="s">
        <v>47113</v>
      </c>
      <c r="L19342">
        <v>37.590000000000003</v>
      </c>
      <c r="M19342">
        <v>111</v>
      </c>
      <c r="N19342">
        <v>0</v>
      </c>
      <c r="O19342">
        <v>111</v>
      </c>
      <c r="P19342">
        <v>0</v>
      </c>
    </row>
    <row r="19343" spans="1:16" x14ac:dyDescent="0.25">
      <c r="A19343" t="s">
        <v>41957</v>
      </c>
      <c r="B19343" t="s">
        <v>41958</v>
      </c>
      <c r="C19343" t="s">
        <v>41949</v>
      </c>
      <c r="D19343" t="s">
        <v>22902</v>
      </c>
      <c r="E19343" t="s">
        <v>22903</v>
      </c>
      <c r="F19343" t="s">
        <v>20496</v>
      </c>
      <c r="G19343" t="s">
        <v>47093</v>
      </c>
      <c r="H19343" t="s">
        <v>47054</v>
      </c>
      <c r="I19343" t="s">
        <v>47120</v>
      </c>
      <c r="J19343" t="s">
        <v>47121</v>
      </c>
      <c r="K19343" t="s">
        <v>47113</v>
      </c>
      <c r="L19343">
        <v>8.44</v>
      </c>
      <c r="M19343">
        <v>111</v>
      </c>
      <c r="N19343">
        <v>0</v>
      </c>
      <c r="O19343">
        <v>111</v>
      </c>
      <c r="P19343">
        <v>0</v>
      </c>
    </row>
    <row r="19344" spans="1:16" x14ac:dyDescent="0.25">
      <c r="A19344" t="s">
        <v>41959</v>
      </c>
      <c r="B19344" t="s">
        <v>41960</v>
      </c>
      <c r="C19344" t="s">
        <v>16434</v>
      </c>
      <c r="D19344" t="s">
        <v>41961</v>
      </c>
      <c r="E19344" t="s">
        <v>41962</v>
      </c>
      <c r="F19344" t="s">
        <v>24622</v>
      </c>
      <c r="G19344" t="s">
        <v>47093</v>
      </c>
      <c r="H19344" t="s">
        <v>47054</v>
      </c>
      <c r="I19344" t="s">
        <v>47120</v>
      </c>
      <c r="J19344" t="s">
        <v>47121</v>
      </c>
      <c r="K19344" t="s">
        <v>47113</v>
      </c>
      <c r="L19344">
        <v>34.380000000000003</v>
      </c>
      <c r="M19344">
        <v>111</v>
      </c>
      <c r="N19344">
        <v>299</v>
      </c>
      <c r="O19344">
        <v>111</v>
      </c>
      <c r="P19344">
        <v>299</v>
      </c>
    </row>
    <row r="19345" spans="1:16" x14ac:dyDescent="0.25">
      <c r="A19345" t="s">
        <v>41963</v>
      </c>
      <c r="B19345" t="s">
        <v>41964</v>
      </c>
      <c r="C19345" t="s">
        <v>10614</v>
      </c>
      <c r="D19345" t="s">
        <v>41965</v>
      </c>
      <c r="E19345" t="s">
        <v>41966</v>
      </c>
      <c r="F19345" t="s">
        <v>24622</v>
      </c>
      <c r="G19345" t="s">
        <v>47093</v>
      </c>
      <c r="H19345" t="s">
        <v>47054</v>
      </c>
      <c r="I19345" t="s">
        <v>47120</v>
      </c>
      <c r="J19345" t="s">
        <v>47121</v>
      </c>
      <c r="K19345" t="s">
        <v>47113</v>
      </c>
      <c r="L19345">
        <v>59.3</v>
      </c>
      <c r="M19345">
        <v>111</v>
      </c>
      <c r="N19345">
        <v>299</v>
      </c>
      <c r="O19345">
        <v>111</v>
      </c>
      <c r="P19345">
        <v>299</v>
      </c>
    </row>
    <row r="19346" spans="1:16" x14ac:dyDescent="0.25">
      <c r="A19346" t="s">
        <v>41967</v>
      </c>
      <c r="B19346" t="s">
        <v>41968</v>
      </c>
      <c r="C19346" t="s">
        <v>10614</v>
      </c>
      <c r="D19346" t="str">
        <f>"9602"</f>
        <v>9602</v>
      </c>
      <c r="E19346" t="s">
        <v>41969</v>
      </c>
      <c r="F19346" t="s">
        <v>24627</v>
      </c>
      <c r="G19346" t="s">
        <v>47093</v>
      </c>
      <c r="H19346" t="s">
        <v>47054</v>
      </c>
      <c r="I19346" t="s">
        <v>47120</v>
      </c>
      <c r="J19346" t="s">
        <v>47121</v>
      </c>
      <c r="K19346" t="s">
        <v>47113</v>
      </c>
      <c r="L19346">
        <v>23.33</v>
      </c>
      <c r="M19346">
        <v>70</v>
      </c>
      <c r="N19346">
        <v>189</v>
      </c>
      <c r="O19346">
        <v>70</v>
      </c>
      <c r="P19346">
        <v>189</v>
      </c>
    </row>
    <row r="19347" spans="1:16" x14ac:dyDescent="0.25">
      <c r="A19347" t="s">
        <v>41970</v>
      </c>
      <c r="B19347" t="s">
        <v>15896</v>
      </c>
      <c r="C19347" t="s">
        <v>11644</v>
      </c>
      <c r="D19347" t="s">
        <v>15897</v>
      </c>
      <c r="E19347" t="s">
        <v>15898</v>
      </c>
      <c r="F19347" t="s">
        <v>15183</v>
      </c>
      <c r="G19347" t="s">
        <v>47093</v>
      </c>
      <c r="H19347" t="s">
        <v>47054</v>
      </c>
      <c r="I19347" t="s">
        <v>47111</v>
      </c>
      <c r="J19347" t="s">
        <v>47112</v>
      </c>
      <c r="K19347" t="s">
        <v>47113</v>
      </c>
      <c r="L19347">
        <v>48.33</v>
      </c>
      <c r="M19347">
        <v>74</v>
      </c>
      <c r="N19347">
        <v>0</v>
      </c>
      <c r="O19347">
        <v>74</v>
      </c>
      <c r="P19347">
        <v>0</v>
      </c>
    </row>
    <row r="19348" spans="1:16" x14ac:dyDescent="0.25">
      <c r="A19348" t="s">
        <v>41971</v>
      </c>
      <c r="B19348" t="s">
        <v>15899</v>
      </c>
      <c r="C19348" t="s">
        <v>11644</v>
      </c>
      <c r="D19348" t="s">
        <v>15900</v>
      </c>
      <c r="E19348" t="s">
        <v>15901</v>
      </c>
      <c r="F19348" t="s">
        <v>15183</v>
      </c>
      <c r="G19348" t="s">
        <v>47093</v>
      </c>
      <c r="H19348" t="s">
        <v>47054</v>
      </c>
      <c r="I19348" t="s">
        <v>47111</v>
      </c>
      <c r="J19348" t="s">
        <v>47112</v>
      </c>
      <c r="K19348" t="s">
        <v>47113</v>
      </c>
      <c r="L19348">
        <v>59.47</v>
      </c>
      <c r="M19348">
        <v>103</v>
      </c>
      <c r="N19348">
        <v>0</v>
      </c>
      <c r="O19348">
        <v>103</v>
      </c>
      <c r="P19348">
        <v>0</v>
      </c>
    </row>
    <row r="19349" spans="1:16" x14ac:dyDescent="0.25">
      <c r="A19349" t="s">
        <v>41972</v>
      </c>
      <c r="B19349" t="s">
        <v>15902</v>
      </c>
      <c r="C19349" t="s">
        <v>11644</v>
      </c>
      <c r="D19349" t="s">
        <v>15880</v>
      </c>
      <c r="E19349" t="s">
        <v>15881</v>
      </c>
      <c r="F19349" t="s">
        <v>15183</v>
      </c>
      <c r="G19349" t="s">
        <v>47093</v>
      </c>
      <c r="H19349" t="s">
        <v>47054</v>
      </c>
      <c r="I19349" t="s">
        <v>47111</v>
      </c>
      <c r="J19349" t="s">
        <v>47112</v>
      </c>
      <c r="K19349" t="s">
        <v>47113</v>
      </c>
      <c r="L19349">
        <v>41.68</v>
      </c>
      <c r="M19349">
        <v>74</v>
      </c>
      <c r="N19349">
        <v>0</v>
      </c>
      <c r="O19349">
        <v>74</v>
      </c>
      <c r="P19349">
        <v>0</v>
      </c>
    </row>
    <row r="19350" spans="1:16" x14ac:dyDescent="0.25">
      <c r="A19350" t="s">
        <v>41973</v>
      </c>
      <c r="B19350" t="s">
        <v>15903</v>
      </c>
      <c r="C19350" t="s">
        <v>11644</v>
      </c>
      <c r="D19350" t="s">
        <v>15904</v>
      </c>
      <c r="E19350" t="s">
        <v>15905</v>
      </c>
      <c r="F19350" t="s">
        <v>15183</v>
      </c>
      <c r="G19350" t="s">
        <v>47093</v>
      </c>
      <c r="H19350" t="s">
        <v>47054</v>
      </c>
      <c r="I19350" t="s">
        <v>47111</v>
      </c>
      <c r="J19350" t="s">
        <v>47112</v>
      </c>
      <c r="K19350" t="s">
        <v>47113</v>
      </c>
      <c r="L19350">
        <v>41.27</v>
      </c>
      <c r="M19350">
        <v>92</v>
      </c>
      <c r="N19350">
        <v>0</v>
      </c>
      <c r="O19350">
        <v>92</v>
      </c>
      <c r="P19350">
        <v>0</v>
      </c>
    </row>
    <row r="19351" spans="1:16" x14ac:dyDescent="0.25">
      <c r="A19351" t="s">
        <v>41974</v>
      </c>
      <c r="B19351" t="s">
        <v>15906</v>
      </c>
      <c r="C19351" t="s">
        <v>11644</v>
      </c>
      <c r="D19351" t="s">
        <v>15907</v>
      </c>
      <c r="E19351" t="s">
        <v>15908</v>
      </c>
      <c r="F19351" t="s">
        <v>15183</v>
      </c>
      <c r="G19351" t="s">
        <v>47093</v>
      </c>
      <c r="H19351" t="s">
        <v>47054</v>
      </c>
      <c r="I19351" t="s">
        <v>47111</v>
      </c>
      <c r="J19351" t="s">
        <v>47112</v>
      </c>
      <c r="K19351" t="s">
        <v>47113</v>
      </c>
      <c r="L19351">
        <v>48.17</v>
      </c>
      <c r="M19351">
        <v>100</v>
      </c>
      <c r="N19351">
        <v>0</v>
      </c>
      <c r="O19351">
        <v>100</v>
      </c>
      <c r="P19351">
        <v>0</v>
      </c>
    </row>
    <row r="19352" spans="1:16" x14ac:dyDescent="0.25">
      <c r="A19352" t="s">
        <v>41975</v>
      </c>
      <c r="B19352" t="s">
        <v>15909</v>
      </c>
      <c r="C19352" t="s">
        <v>11644</v>
      </c>
      <c r="D19352" t="s">
        <v>721</v>
      </c>
      <c r="E19352" t="s">
        <v>722</v>
      </c>
      <c r="F19352" t="s">
        <v>15183</v>
      </c>
      <c r="G19352" t="s">
        <v>47093</v>
      </c>
      <c r="H19352" t="s">
        <v>47054</v>
      </c>
      <c r="I19352" t="s">
        <v>47111</v>
      </c>
      <c r="J19352" t="s">
        <v>47112</v>
      </c>
      <c r="K19352" t="s">
        <v>47113</v>
      </c>
      <c r="L19352">
        <v>43.36</v>
      </c>
      <c r="M19352">
        <v>92</v>
      </c>
      <c r="N19352">
        <v>0</v>
      </c>
      <c r="O19352">
        <v>92</v>
      </c>
      <c r="P19352">
        <v>0</v>
      </c>
    </row>
    <row r="19353" spans="1:16" x14ac:dyDescent="0.25">
      <c r="A19353" t="s">
        <v>41976</v>
      </c>
      <c r="B19353" t="s">
        <v>15910</v>
      </c>
      <c r="C19353" t="s">
        <v>15911</v>
      </c>
      <c r="D19353" t="s">
        <v>11395</v>
      </c>
      <c r="E19353" t="s">
        <v>11396</v>
      </c>
      <c r="F19353" t="s">
        <v>15183</v>
      </c>
      <c r="G19353" t="s">
        <v>47093</v>
      </c>
      <c r="H19353" t="s">
        <v>47054</v>
      </c>
      <c r="I19353" t="s">
        <v>47111</v>
      </c>
      <c r="J19353" t="s">
        <v>47112</v>
      </c>
      <c r="K19353" t="s">
        <v>47113</v>
      </c>
      <c r="L19353">
        <v>50.54</v>
      </c>
      <c r="M19353">
        <v>122</v>
      </c>
      <c r="N19353">
        <v>0</v>
      </c>
      <c r="O19353">
        <v>122</v>
      </c>
      <c r="P19353">
        <v>0</v>
      </c>
    </row>
    <row r="19354" spans="1:16" x14ac:dyDescent="0.25">
      <c r="A19354" t="s">
        <v>41977</v>
      </c>
      <c r="B19354" t="s">
        <v>15912</v>
      </c>
      <c r="C19354" t="s">
        <v>11644</v>
      </c>
      <c r="D19354" t="s">
        <v>15913</v>
      </c>
      <c r="E19354" t="s">
        <v>15914</v>
      </c>
      <c r="F19354" t="s">
        <v>15183</v>
      </c>
      <c r="G19354" t="s">
        <v>47093</v>
      </c>
      <c r="H19354" t="s">
        <v>47054</v>
      </c>
      <c r="I19354" t="s">
        <v>47111</v>
      </c>
      <c r="J19354" t="s">
        <v>47112</v>
      </c>
      <c r="K19354" t="s">
        <v>47113</v>
      </c>
      <c r="L19354">
        <v>36.67</v>
      </c>
      <c r="M19354">
        <v>74</v>
      </c>
      <c r="N19354">
        <v>0</v>
      </c>
      <c r="O19354">
        <v>74</v>
      </c>
      <c r="P19354">
        <v>0</v>
      </c>
    </row>
    <row r="19355" spans="1:16" x14ac:dyDescent="0.25">
      <c r="A19355" t="s">
        <v>41978</v>
      </c>
      <c r="B19355" t="s">
        <v>15915</v>
      </c>
      <c r="C19355" t="s">
        <v>11644</v>
      </c>
      <c r="D19355" t="s">
        <v>15916</v>
      </c>
      <c r="E19355" t="s">
        <v>15917</v>
      </c>
      <c r="F19355" t="s">
        <v>15183</v>
      </c>
      <c r="G19355" t="s">
        <v>47093</v>
      </c>
      <c r="H19355" t="s">
        <v>47054</v>
      </c>
      <c r="I19355" t="s">
        <v>47111</v>
      </c>
      <c r="J19355" t="s">
        <v>47112</v>
      </c>
      <c r="K19355" t="s">
        <v>47113</v>
      </c>
      <c r="L19355">
        <v>67.59</v>
      </c>
      <c r="M19355">
        <v>103</v>
      </c>
      <c r="N19355">
        <v>0</v>
      </c>
      <c r="O19355">
        <v>103</v>
      </c>
      <c r="P19355">
        <v>0</v>
      </c>
    </row>
    <row r="19356" spans="1:16" x14ac:dyDescent="0.25">
      <c r="A19356" t="s">
        <v>41979</v>
      </c>
      <c r="B19356" t="s">
        <v>15918</v>
      </c>
      <c r="C19356" t="s">
        <v>11644</v>
      </c>
      <c r="D19356" t="s">
        <v>15919</v>
      </c>
      <c r="E19356" t="s">
        <v>15920</v>
      </c>
      <c r="F19356" t="s">
        <v>15183</v>
      </c>
      <c r="G19356" t="s">
        <v>47093</v>
      </c>
      <c r="H19356" t="s">
        <v>47054</v>
      </c>
      <c r="I19356" t="s">
        <v>47111</v>
      </c>
      <c r="J19356" t="s">
        <v>47112</v>
      </c>
      <c r="K19356" t="s">
        <v>47113</v>
      </c>
      <c r="L19356">
        <v>44.5</v>
      </c>
      <c r="M19356">
        <v>92</v>
      </c>
      <c r="N19356">
        <v>0</v>
      </c>
      <c r="O19356">
        <v>92</v>
      </c>
      <c r="P19356">
        <v>0</v>
      </c>
    </row>
    <row r="19357" spans="1:16" x14ac:dyDescent="0.25">
      <c r="A19357" t="s">
        <v>41980</v>
      </c>
      <c r="B19357" t="s">
        <v>15921</v>
      </c>
      <c r="C19357" t="s">
        <v>15922</v>
      </c>
      <c r="D19357" t="s">
        <v>15884</v>
      </c>
      <c r="E19357" t="s">
        <v>15885</v>
      </c>
      <c r="F19357" t="s">
        <v>15183</v>
      </c>
      <c r="G19357" t="s">
        <v>47093</v>
      </c>
      <c r="H19357" t="s">
        <v>47054</v>
      </c>
      <c r="I19357" t="s">
        <v>47111</v>
      </c>
      <c r="J19357" t="s">
        <v>47112</v>
      </c>
      <c r="K19357" t="s">
        <v>47113</v>
      </c>
      <c r="L19357">
        <v>53.91</v>
      </c>
      <c r="M19357">
        <v>118</v>
      </c>
      <c r="N19357">
        <v>0</v>
      </c>
      <c r="O19357">
        <v>118</v>
      </c>
      <c r="P19357">
        <v>0</v>
      </c>
    </row>
    <row r="19358" spans="1:16" x14ac:dyDescent="0.25">
      <c r="A19358" t="s">
        <v>41981</v>
      </c>
      <c r="B19358" t="s">
        <v>15923</v>
      </c>
      <c r="C19358" t="s">
        <v>11644</v>
      </c>
      <c r="D19358" t="s">
        <v>15924</v>
      </c>
      <c r="E19358" t="s">
        <v>15925</v>
      </c>
      <c r="F19358" t="s">
        <v>15183</v>
      </c>
      <c r="G19358" t="s">
        <v>47093</v>
      </c>
      <c r="H19358" t="s">
        <v>47054</v>
      </c>
      <c r="I19358" t="s">
        <v>47111</v>
      </c>
      <c r="J19358" t="s">
        <v>47112</v>
      </c>
      <c r="K19358" t="s">
        <v>47113</v>
      </c>
      <c r="L19358">
        <v>42.41</v>
      </c>
      <c r="M19358">
        <v>92</v>
      </c>
      <c r="N19358">
        <v>0</v>
      </c>
      <c r="O19358">
        <v>92</v>
      </c>
      <c r="P19358">
        <v>0</v>
      </c>
    </row>
    <row r="19359" spans="1:16" x14ac:dyDescent="0.25">
      <c r="A19359" t="s">
        <v>41982</v>
      </c>
      <c r="B19359" t="s">
        <v>15926</v>
      </c>
      <c r="C19359" t="s">
        <v>11644</v>
      </c>
      <c r="D19359" t="s">
        <v>15880</v>
      </c>
      <c r="E19359" t="s">
        <v>15927</v>
      </c>
      <c r="F19359" t="s">
        <v>15183</v>
      </c>
      <c r="G19359" t="s">
        <v>47099</v>
      </c>
      <c r="H19359" t="s">
        <v>47054</v>
      </c>
      <c r="I19359" t="s">
        <v>47111</v>
      </c>
      <c r="J19359" t="s">
        <v>47112</v>
      </c>
      <c r="K19359" t="s">
        <v>47113</v>
      </c>
      <c r="L19359">
        <v>45.34</v>
      </c>
      <c r="M19359">
        <v>74</v>
      </c>
      <c r="N19359">
        <v>0</v>
      </c>
      <c r="O19359">
        <v>74</v>
      </c>
      <c r="P19359">
        <v>0</v>
      </c>
    </row>
    <row r="19360" spans="1:16" x14ac:dyDescent="0.25">
      <c r="A19360" t="s">
        <v>41983</v>
      </c>
      <c r="B19360" t="s">
        <v>15926</v>
      </c>
      <c r="C19360" t="s">
        <v>11644</v>
      </c>
      <c r="D19360" t="s">
        <v>15928</v>
      </c>
      <c r="E19360" t="s">
        <v>15929</v>
      </c>
      <c r="F19360" t="s">
        <v>15183</v>
      </c>
      <c r="G19360" t="s">
        <v>47099</v>
      </c>
      <c r="H19360" t="s">
        <v>47054</v>
      </c>
      <c r="I19360" t="s">
        <v>47111</v>
      </c>
      <c r="J19360" t="s">
        <v>47112</v>
      </c>
      <c r="K19360" t="s">
        <v>47113</v>
      </c>
      <c r="L19360">
        <v>45.34</v>
      </c>
      <c r="M19360">
        <v>74</v>
      </c>
      <c r="N19360">
        <v>0</v>
      </c>
      <c r="O19360">
        <v>74</v>
      </c>
      <c r="P19360">
        <v>0</v>
      </c>
    </row>
    <row r="19361" spans="1:16" x14ac:dyDescent="0.25">
      <c r="A19361" t="s">
        <v>41984</v>
      </c>
      <c r="B19361" t="s">
        <v>18489</v>
      </c>
      <c r="C19361" t="s">
        <v>11323</v>
      </c>
      <c r="D19361" t="s">
        <v>18490</v>
      </c>
      <c r="E19361" t="s">
        <v>18491</v>
      </c>
      <c r="F19361" t="s">
        <v>16730</v>
      </c>
      <c r="G19361" t="s">
        <v>47093</v>
      </c>
      <c r="I19361" t="s">
        <v>47111</v>
      </c>
      <c r="J19361" t="s">
        <v>47112</v>
      </c>
      <c r="K19361" t="s">
        <v>47113</v>
      </c>
      <c r="L19361">
        <v>46.31</v>
      </c>
      <c r="M19361">
        <v>103</v>
      </c>
      <c r="N19361">
        <v>0</v>
      </c>
      <c r="O19361">
        <v>103</v>
      </c>
      <c r="P19361">
        <v>0</v>
      </c>
    </row>
    <row r="19362" spans="1:16" x14ac:dyDescent="0.25">
      <c r="A19362" t="s">
        <v>41985</v>
      </c>
      <c r="B19362" t="s">
        <v>18492</v>
      </c>
      <c r="C19362" t="s">
        <v>10614</v>
      </c>
      <c r="D19362" t="s">
        <v>17365</v>
      </c>
      <c r="E19362" t="s">
        <v>17366</v>
      </c>
      <c r="F19362" t="s">
        <v>16601</v>
      </c>
      <c r="G19362" t="s">
        <v>47093</v>
      </c>
      <c r="H19362" t="s">
        <v>47054</v>
      </c>
      <c r="I19362" t="s">
        <v>47116</v>
      </c>
      <c r="J19362" t="s">
        <v>47117</v>
      </c>
      <c r="K19362" t="s">
        <v>47113</v>
      </c>
      <c r="L19362">
        <v>51.98</v>
      </c>
      <c r="M19362">
        <v>92</v>
      </c>
      <c r="N19362">
        <v>0</v>
      </c>
      <c r="O19362">
        <v>92</v>
      </c>
      <c r="P19362">
        <v>0</v>
      </c>
    </row>
    <row r="19363" spans="1:16" x14ac:dyDescent="0.25">
      <c r="A19363" t="s">
        <v>41986</v>
      </c>
      <c r="B19363" t="s">
        <v>18493</v>
      </c>
      <c r="C19363" t="s">
        <v>11323</v>
      </c>
      <c r="D19363" t="s">
        <v>18473</v>
      </c>
      <c r="E19363" t="s">
        <v>18474</v>
      </c>
      <c r="F19363" t="s">
        <v>16601</v>
      </c>
      <c r="G19363" t="s">
        <v>47093</v>
      </c>
      <c r="H19363" t="s">
        <v>47054</v>
      </c>
      <c r="I19363" t="s">
        <v>47111</v>
      </c>
      <c r="J19363" t="s">
        <v>47112</v>
      </c>
      <c r="K19363" t="s">
        <v>47113</v>
      </c>
      <c r="L19363">
        <v>53.43</v>
      </c>
      <c r="M19363">
        <v>92</v>
      </c>
      <c r="N19363">
        <v>0</v>
      </c>
      <c r="O19363">
        <v>92</v>
      </c>
      <c r="P19363">
        <v>0</v>
      </c>
    </row>
    <row r="19364" spans="1:16" x14ac:dyDescent="0.25">
      <c r="A19364" t="s">
        <v>41987</v>
      </c>
      <c r="B19364" t="s">
        <v>18494</v>
      </c>
      <c r="C19364" t="s">
        <v>11323</v>
      </c>
      <c r="D19364" t="s">
        <v>18495</v>
      </c>
      <c r="E19364" t="s">
        <v>18496</v>
      </c>
      <c r="F19364" t="s">
        <v>16601</v>
      </c>
      <c r="G19364" t="s">
        <v>47093</v>
      </c>
      <c r="H19364" t="s">
        <v>47054</v>
      </c>
      <c r="I19364" t="s">
        <v>47111</v>
      </c>
      <c r="J19364" t="s">
        <v>47112</v>
      </c>
      <c r="K19364" t="s">
        <v>47113</v>
      </c>
      <c r="L19364">
        <v>72.27</v>
      </c>
      <c r="M19364">
        <v>100</v>
      </c>
      <c r="N19364">
        <v>0</v>
      </c>
      <c r="O19364">
        <v>100</v>
      </c>
      <c r="P19364">
        <v>0</v>
      </c>
    </row>
    <row r="19365" spans="1:16" x14ac:dyDescent="0.25">
      <c r="A19365" t="s">
        <v>41988</v>
      </c>
      <c r="B19365" t="s">
        <v>18497</v>
      </c>
      <c r="C19365" t="s">
        <v>11323</v>
      </c>
      <c r="D19365" t="str">
        <f>"1001"</f>
        <v>1001</v>
      </c>
      <c r="E19365" t="s">
        <v>18498</v>
      </c>
      <c r="F19365" t="s">
        <v>16601</v>
      </c>
      <c r="G19365" t="s">
        <v>47093</v>
      </c>
      <c r="H19365" t="s">
        <v>47054</v>
      </c>
      <c r="I19365" t="s">
        <v>47120</v>
      </c>
      <c r="J19365" t="s">
        <v>47121</v>
      </c>
      <c r="K19365" t="s">
        <v>47113</v>
      </c>
      <c r="L19365">
        <v>38.520000000000003</v>
      </c>
      <c r="M19365">
        <v>74</v>
      </c>
      <c r="N19365">
        <v>0</v>
      </c>
      <c r="O19365">
        <v>74</v>
      </c>
      <c r="P19365">
        <v>0</v>
      </c>
    </row>
    <row r="19366" spans="1:16" x14ac:dyDescent="0.25">
      <c r="A19366" t="s">
        <v>41989</v>
      </c>
      <c r="B19366" t="s">
        <v>18499</v>
      </c>
      <c r="C19366" t="s">
        <v>11323</v>
      </c>
      <c r="D19366" t="str">
        <f>"4000"</f>
        <v>4000</v>
      </c>
      <c r="E19366" t="s">
        <v>18500</v>
      </c>
      <c r="F19366" t="s">
        <v>16601</v>
      </c>
      <c r="G19366" t="s">
        <v>47093</v>
      </c>
      <c r="H19366" t="s">
        <v>47054</v>
      </c>
      <c r="I19366" t="s">
        <v>47111</v>
      </c>
      <c r="J19366" t="s">
        <v>47112</v>
      </c>
      <c r="K19366" t="s">
        <v>47113</v>
      </c>
      <c r="L19366">
        <v>59.41</v>
      </c>
      <c r="M19366">
        <v>92</v>
      </c>
      <c r="N19366">
        <v>0</v>
      </c>
      <c r="O19366">
        <v>92</v>
      </c>
      <c r="P19366">
        <v>0</v>
      </c>
    </row>
    <row r="19367" spans="1:16" x14ac:dyDescent="0.25">
      <c r="A19367" t="s">
        <v>41990</v>
      </c>
      <c r="B19367" t="s">
        <v>18499</v>
      </c>
      <c r="C19367" t="s">
        <v>11323</v>
      </c>
      <c r="D19367" t="str">
        <f>"5000"</f>
        <v>5000</v>
      </c>
      <c r="E19367" t="s">
        <v>18501</v>
      </c>
      <c r="F19367" t="s">
        <v>16601</v>
      </c>
      <c r="G19367" t="s">
        <v>47093</v>
      </c>
      <c r="H19367" t="s">
        <v>47054</v>
      </c>
      <c r="I19367" t="s">
        <v>47111</v>
      </c>
      <c r="J19367" t="s">
        <v>47112</v>
      </c>
      <c r="K19367" t="s">
        <v>47113</v>
      </c>
      <c r="L19367">
        <v>59.41</v>
      </c>
      <c r="M19367">
        <v>92</v>
      </c>
      <c r="N19367">
        <v>0</v>
      </c>
      <c r="O19367">
        <v>92</v>
      </c>
      <c r="P19367">
        <v>0</v>
      </c>
    </row>
    <row r="19368" spans="1:16" x14ac:dyDescent="0.25">
      <c r="A19368" t="s">
        <v>41991</v>
      </c>
      <c r="B19368" t="s">
        <v>18499</v>
      </c>
      <c r="C19368" t="s">
        <v>11323</v>
      </c>
      <c r="D19368" t="str">
        <f>"6500"</f>
        <v>6500</v>
      </c>
      <c r="E19368" t="s">
        <v>18502</v>
      </c>
      <c r="F19368" t="s">
        <v>16601</v>
      </c>
      <c r="G19368" t="s">
        <v>47093</v>
      </c>
      <c r="H19368" t="s">
        <v>47054</v>
      </c>
      <c r="I19368" t="s">
        <v>47111</v>
      </c>
      <c r="J19368" t="s">
        <v>47112</v>
      </c>
      <c r="K19368" t="s">
        <v>47113</v>
      </c>
      <c r="L19368">
        <v>59.41</v>
      </c>
      <c r="M19368">
        <v>92</v>
      </c>
      <c r="N19368">
        <v>0</v>
      </c>
      <c r="O19368">
        <v>92</v>
      </c>
      <c r="P19368">
        <v>0</v>
      </c>
    </row>
    <row r="19369" spans="1:16" x14ac:dyDescent="0.25">
      <c r="A19369" t="s">
        <v>41992</v>
      </c>
      <c r="B19369" t="s">
        <v>18503</v>
      </c>
      <c r="C19369" t="s">
        <v>16434</v>
      </c>
      <c r="D19369" t="s">
        <v>17365</v>
      </c>
      <c r="E19369" t="s">
        <v>17366</v>
      </c>
      <c r="F19369" t="s">
        <v>16601</v>
      </c>
      <c r="G19369" t="s">
        <v>47093</v>
      </c>
      <c r="I19369" t="s">
        <v>47111</v>
      </c>
      <c r="J19369" t="s">
        <v>47112</v>
      </c>
      <c r="K19369" t="s">
        <v>47113</v>
      </c>
      <c r="L19369">
        <v>73.09</v>
      </c>
      <c r="M19369">
        <v>129</v>
      </c>
      <c r="N19369">
        <v>0</v>
      </c>
      <c r="O19369">
        <v>129</v>
      </c>
      <c r="P19369">
        <v>0</v>
      </c>
    </row>
    <row r="19370" spans="1:16" x14ac:dyDescent="0.25">
      <c r="A19370" t="s">
        <v>41993</v>
      </c>
      <c r="B19370" t="s">
        <v>18504</v>
      </c>
      <c r="C19370" t="s">
        <v>11323</v>
      </c>
      <c r="D19370" t="s">
        <v>18505</v>
      </c>
      <c r="E19370" t="s">
        <v>18506</v>
      </c>
      <c r="F19370" t="s">
        <v>16601</v>
      </c>
      <c r="G19370" t="s">
        <v>47093</v>
      </c>
      <c r="I19370" t="s">
        <v>47111</v>
      </c>
      <c r="J19370" t="s">
        <v>47112</v>
      </c>
      <c r="K19370" t="s">
        <v>47113</v>
      </c>
      <c r="L19370">
        <v>52.99</v>
      </c>
      <c r="M19370">
        <v>74</v>
      </c>
      <c r="N19370">
        <v>0</v>
      </c>
      <c r="O19370">
        <v>74</v>
      </c>
      <c r="P19370">
        <v>0</v>
      </c>
    </row>
    <row r="19371" spans="1:16" x14ac:dyDescent="0.25">
      <c r="A19371" t="s">
        <v>41994</v>
      </c>
      <c r="B19371" t="s">
        <v>18507</v>
      </c>
      <c r="C19371" t="s">
        <v>11323</v>
      </c>
      <c r="D19371" t="s">
        <v>18508</v>
      </c>
      <c r="E19371" t="s">
        <v>18509</v>
      </c>
      <c r="F19371" t="s">
        <v>16771</v>
      </c>
      <c r="G19371" t="s">
        <v>47093</v>
      </c>
      <c r="H19371" t="s">
        <v>47054</v>
      </c>
      <c r="I19371" t="s">
        <v>47111</v>
      </c>
      <c r="J19371" t="s">
        <v>47112</v>
      </c>
      <c r="K19371" t="s">
        <v>47113</v>
      </c>
      <c r="L19371">
        <v>43.51</v>
      </c>
      <c r="M19371">
        <v>92</v>
      </c>
      <c r="N19371">
        <v>0</v>
      </c>
      <c r="O19371">
        <v>92</v>
      </c>
      <c r="P19371">
        <v>0</v>
      </c>
    </row>
    <row r="19372" spans="1:16" x14ac:dyDescent="0.25">
      <c r="A19372" t="s">
        <v>41995</v>
      </c>
      <c r="B19372" t="s">
        <v>18510</v>
      </c>
      <c r="C19372" t="s">
        <v>11323</v>
      </c>
      <c r="D19372" t="s">
        <v>18511</v>
      </c>
      <c r="E19372" t="s">
        <v>18512</v>
      </c>
      <c r="F19372" t="s">
        <v>16601</v>
      </c>
      <c r="G19372" t="s">
        <v>47093</v>
      </c>
      <c r="I19372" t="s">
        <v>47111</v>
      </c>
      <c r="J19372" t="s">
        <v>47112</v>
      </c>
      <c r="K19372" t="s">
        <v>47113</v>
      </c>
      <c r="L19372">
        <v>78.52</v>
      </c>
      <c r="M19372">
        <v>111</v>
      </c>
      <c r="N19372">
        <v>0</v>
      </c>
      <c r="O19372">
        <v>111</v>
      </c>
      <c r="P19372">
        <v>0</v>
      </c>
    </row>
    <row r="19373" spans="1:16" x14ac:dyDescent="0.25">
      <c r="A19373" t="s">
        <v>41996</v>
      </c>
      <c r="B19373" t="s">
        <v>18513</v>
      </c>
      <c r="C19373" t="s">
        <v>10614</v>
      </c>
      <c r="D19373" t="s">
        <v>18514</v>
      </c>
      <c r="E19373" t="s">
        <v>18515</v>
      </c>
      <c r="F19373" t="s">
        <v>16601</v>
      </c>
      <c r="G19373" t="s">
        <v>47093</v>
      </c>
      <c r="H19373" t="s">
        <v>47054</v>
      </c>
      <c r="I19373" t="s">
        <v>47116</v>
      </c>
      <c r="J19373" t="s">
        <v>47117</v>
      </c>
      <c r="K19373" t="s">
        <v>47113</v>
      </c>
      <c r="L19373">
        <v>51.91</v>
      </c>
      <c r="M19373">
        <v>92</v>
      </c>
      <c r="N19373">
        <v>0</v>
      </c>
      <c r="O19373">
        <v>92</v>
      </c>
      <c r="P19373">
        <v>0</v>
      </c>
    </row>
    <row r="19374" spans="1:16" x14ac:dyDescent="0.25">
      <c r="A19374" t="s">
        <v>41997</v>
      </c>
      <c r="B19374" t="s">
        <v>18513</v>
      </c>
      <c r="C19374" t="s">
        <v>10614</v>
      </c>
      <c r="D19374" t="s">
        <v>41998</v>
      </c>
      <c r="E19374" t="s">
        <v>41999</v>
      </c>
      <c r="F19374" t="s">
        <v>16771</v>
      </c>
      <c r="G19374" t="s">
        <v>47093</v>
      </c>
      <c r="H19374" t="s">
        <v>47054</v>
      </c>
      <c r="I19374" t="s">
        <v>47116</v>
      </c>
      <c r="J19374" t="s">
        <v>47117</v>
      </c>
      <c r="K19374" t="s">
        <v>47113</v>
      </c>
      <c r="L19374">
        <v>74.5</v>
      </c>
      <c r="M19374">
        <v>166</v>
      </c>
      <c r="N19374">
        <v>0</v>
      </c>
      <c r="O19374">
        <v>166</v>
      </c>
      <c r="P19374">
        <v>0</v>
      </c>
    </row>
    <row r="19375" spans="1:16" x14ac:dyDescent="0.25">
      <c r="A19375" t="s">
        <v>42000</v>
      </c>
      <c r="B19375" t="s">
        <v>18516</v>
      </c>
      <c r="C19375" t="s">
        <v>11323</v>
      </c>
      <c r="D19375" t="s">
        <v>18517</v>
      </c>
      <c r="E19375" t="s">
        <v>18518</v>
      </c>
      <c r="F19375" t="s">
        <v>16601</v>
      </c>
      <c r="G19375" t="s">
        <v>47093</v>
      </c>
      <c r="I19375" t="s">
        <v>47111</v>
      </c>
      <c r="J19375" t="s">
        <v>47112</v>
      </c>
      <c r="K19375" t="s">
        <v>47113</v>
      </c>
      <c r="L19375">
        <v>54.47</v>
      </c>
      <c r="M19375">
        <v>92</v>
      </c>
      <c r="N19375">
        <v>0</v>
      </c>
      <c r="O19375">
        <v>92</v>
      </c>
      <c r="P19375">
        <v>0</v>
      </c>
    </row>
    <row r="19376" spans="1:16" x14ac:dyDescent="0.25">
      <c r="A19376" t="s">
        <v>42001</v>
      </c>
      <c r="B19376" t="s">
        <v>18519</v>
      </c>
      <c r="C19376" t="s">
        <v>11323</v>
      </c>
      <c r="D19376" t="s">
        <v>18520</v>
      </c>
      <c r="E19376" t="s">
        <v>18521</v>
      </c>
      <c r="F19376" t="s">
        <v>16601</v>
      </c>
      <c r="G19376" t="s">
        <v>47093</v>
      </c>
      <c r="H19376" t="s">
        <v>47054</v>
      </c>
      <c r="I19376" t="s">
        <v>47111</v>
      </c>
      <c r="J19376" t="s">
        <v>47112</v>
      </c>
      <c r="K19376" t="s">
        <v>47113</v>
      </c>
      <c r="L19376">
        <v>48</v>
      </c>
      <c r="M19376">
        <v>96</v>
      </c>
      <c r="N19376">
        <v>0</v>
      </c>
      <c r="O19376">
        <v>96</v>
      </c>
      <c r="P19376">
        <v>0</v>
      </c>
    </row>
    <row r="19377" spans="1:16" x14ac:dyDescent="0.25">
      <c r="A19377" t="s">
        <v>42002</v>
      </c>
      <c r="B19377" t="s">
        <v>18522</v>
      </c>
      <c r="C19377" t="s">
        <v>11323</v>
      </c>
      <c r="D19377" t="s">
        <v>18523</v>
      </c>
      <c r="E19377" t="s">
        <v>18524</v>
      </c>
      <c r="F19377" t="s">
        <v>16601</v>
      </c>
      <c r="G19377" t="s">
        <v>47093</v>
      </c>
      <c r="I19377" t="s">
        <v>47111</v>
      </c>
      <c r="J19377" t="s">
        <v>47112</v>
      </c>
      <c r="K19377" t="s">
        <v>47113</v>
      </c>
      <c r="L19377">
        <v>44.81</v>
      </c>
      <c r="M19377">
        <v>74</v>
      </c>
      <c r="N19377">
        <v>0</v>
      </c>
      <c r="O19377">
        <v>74</v>
      </c>
      <c r="P19377">
        <v>0</v>
      </c>
    </row>
    <row r="19378" spans="1:16" x14ac:dyDescent="0.25">
      <c r="A19378" t="s">
        <v>42003</v>
      </c>
      <c r="B19378" t="s">
        <v>18525</v>
      </c>
      <c r="C19378" t="s">
        <v>11323</v>
      </c>
      <c r="D19378" t="s">
        <v>18526</v>
      </c>
      <c r="E19378" t="s">
        <v>18527</v>
      </c>
      <c r="F19378" t="s">
        <v>16601</v>
      </c>
      <c r="G19378" t="s">
        <v>47093</v>
      </c>
      <c r="I19378" t="s">
        <v>47111</v>
      </c>
      <c r="J19378" t="s">
        <v>47112</v>
      </c>
      <c r="K19378" t="s">
        <v>47113</v>
      </c>
      <c r="L19378">
        <v>40.85</v>
      </c>
      <c r="M19378">
        <v>74</v>
      </c>
      <c r="N19378">
        <v>0</v>
      </c>
      <c r="O19378">
        <v>74</v>
      </c>
      <c r="P19378">
        <v>0</v>
      </c>
    </row>
    <row r="19379" spans="1:16" x14ac:dyDescent="0.25">
      <c r="A19379" t="s">
        <v>42004</v>
      </c>
      <c r="B19379" t="s">
        <v>18528</v>
      </c>
      <c r="C19379" t="s">
        <v>11323</v>
      </c>
      <c r="D19379" t="str">
        <f>"1001"</f>
        <v>1001</v>
      </c>
      <c r="E19379" t="s">
        <v>18529</v>
      </c>
      <c r="F19379" t="s">
        <v>16601</v>
      </c>
      <c r="G19379" t="s">
        <v>47093</v>
      </c>
      <c r="H19379" t="s">
        <v>47054</v>
      </c>
      <c r="I19379" t="s">
        <v>47120</v>
      </c>
      <c r="J19379" t="s">
        <v>47121</v>
      </c>
      <c r="K19379" t="s">
        <v>47113</v>
      </c>
      <c r="L19379">
        <v>50.26</v>
      </c>
      <c r="M19379">
        <v>96</v>
      </c>
      <c r="N19379">
        <v>0</v>
      </c>
      <c r="O19379">
        <v>96</v>
      </c>
      <c r="P19379">
        <v>0</v>
      </c>
    </row>
    <row r="19380" spans="1:16" x14ac:dyDescent="0.25">
      <c r="A19380" t="s">
        <v>42005</v>
      </c>
      <c r="B19380" t="s">
        <v>18530</v>
      </c>
      <c r="C19380" t="s">
        <v>11323</v>
      </c>
      <c r="D19380" t="str">
        <f>"1001"</f>
        <v>1001</v>
      </c>
      <c r="E19380" t="s">
        <v>18531</v>
      </c>
      <c r="F19380" t="s">
        <v>16601</v>
      </c>
      <c r="G19380" t="s">
        <v>47093</v>
      </c>
      <c r="H19380" t="s">
        <v>47054</v>
      </c>
      <c r="I19380" t="s">
        <v>47120</v>
      </c>
      <c r="J19380" t="s">
        <v>47121</v>
      </c>
      <c r="K19380" t="s">
        <v>47113</v>
      </c>
      <c r="L19380">
        <v>50.26</v>
      </c>
      <c r="M19380">
        <v>96</v>
      </c>
      <c r="N19380">
        <v>0</v>
      </c>
      <c r="O19380">
        <v>96</v>
      </c>
      <c r="P19380">
        <v>0</v>
      </c>
    </row>
    <row r="19381" spans="1:16" x14ac:dyDescent="0.25">
      <c r="A19381" t="s">
        <v>42006</v>
      </c>
      <c r="B19381" t="s">
        <v>18530</v>
      </c>
      <c r="C19381" t="s">
        <v>11323</v>
      </c>
      <c r="D19381" t="str">
        <f>"1701"</f>
        <v>1701</v>
      </c>
      <c r="E19381" t="s">
        <v>18529</v>
      </c>
      <c r="F19381" t="s">
        <v>16771</v>
      </c>
      <c r="G19381" t="s">
        <v>47093</v>
      </c>
      <c r="H19381" t="s">
        <v>47054</v>
      </c>
      <c r="I19381" t="s">
        <v>47120</v>
      </c>
      <c r="J19381" t="s">
        <v>47121</v>
      </c>
      <c r="K19381" t="s">
        <v>47113</v>
      </c>
      <c r="L19381">
        <v>50.26</v>
      </c>
      <c r="M19381">
        <v>96</v>
      </c>
      <c r="N19381">
        <v>0</v>
      </c>
      <c r="O19381">
        <v>96</v>
      </c>
      <c r="P19381">
        <v>0</v>
      </c>
    </row>
    <row r="19382" spans="1:16" x14ac:dyDescent="0.25">
      <c r="A19382" t="s">
        <v>42007</v>
      </c>
      <c r="B19382" t="s">
        <v>18532</v>
      </c>
      <c r="C19382" t="s">
        <v>11323</v>
      </c>
      <c r="D19382" t="s">
        <v>18505</v>
      </c>
      <c r="E19382" t="s">
        <v>18506</v>
      </c>
      <c r="F19382" t="s">
        <v>16601</v>
      </c>
      <c r="G19382" t="s">
        <v>47093</v>
      </c>
      <c r="H19382" t="s">
        <v>47054</v>
      </c>
      <c r="I19382" t="s">
        <v>47111</v>
      </c>
      <c r="J19382" t="s">
        <v>47112</v>
      </c>
      <c r="K19382" t="s">
        <v>47113</v>
      </c>
      <c r="L19382">
        <v>71.260000000000005</v>
      </c>
      <c r="M19382">
        <v>122</v>
      </c>
      <c r="N19382">
        <v>0</v>
      </c>
      <c r="O19382">
        <v>122</v>
      </c>
      <c r="P19382">
        <v>0</v>
      </c>
    </row>
    <row r="19383" spans="1:16" x14ac:dyDescent="0.25">
      <c r="A19383" t="s">
        <v>42008</v>
      </c>
      <c r="B19383" t="s">
        <v>18533</v>
      </c>
      <c r="C19383" t="s">
        <v>11323</v>
      </c>
      <c r="D19383" t="str">
        <f>"6000"</f>
        <v>6000</v>
      </c>
      <c r="E19383" t="s">
        <v>18534</v>
      </c>
      <c r="F19383" t="s">
        <v>16601</v>
      </c>
      <c r="G19383" t="s">
        <v>47093</v>
      </c>
      <c r="H19383" t="s">
        <v>47054</v>
      </c>
      <c r="I19383" t="s">
        <v>47111</v>
      </c>
      <c r="J19383" t="s">
        <v>47112</v>
      </c>
      <c r="K19383" t="s">
        <v>47113</v>
      </c>
      <c r="L19383">
        <v>45.55</v>
      </c>
      <c r="M19383">
        <v>70</v>
      </c>
      <c r="N19383">
        <v>0</v>
      </c>
      <c r="O19383">
        <v>70</v>
      </c>
      <c r="P19383">
        <v>0</v>
      </c>
    </row>
    <row r="19384" spans="1:16" x14ac:dyDescent="0.25">
      <c r="A19384" t="s">
        <v>42009</v>
      </c>
      <c r="B19384" t="s">
        <v>18535</v>
      </c>
      <c r="C19384" t="s">
        <v>10614</v>
      </c>
      <c r="D19384" t="str">
        <f>"1700"</f>
        <v>1700</v>
      </c>
      <c r="E19384" t="s">
        <v>18536</v>
      </c>
      <c r="F19384" t="s">
        <v>3558</v>
      </c>
      <c r="G19384" t="s">
        <v>47093</v>
      </c>
      <c r="H19384" t="s">
        <v>47054</v>
      </c>
      <c r="I19384" t="s">
        <v>47111</v>
      </c>
      <c r="J19384" t="s">
        <v>47112</v>
      </c>
      <c r="K19384" t="s">
        <v>47113</v>
      </c>
      <c r="L19384">
        <v>34.11</v>
      </c>
      <c r="M19384">
        <v>101</v>
      </c>
      <c r="N19384">
        <v>0</v>
      </c>
      <c r="O19384">
        <v>101</v>
      </c>
      <c r="P19384">
        <v>0</v>
      </c>
    </row>
    <row r="19385" spans="1:16" x14ac:dyDescent="0.25">
      <c r="A19385" t="s">
        <v>42010</v>
      </c>
      <c r="B19385" t="s">
        <v>18537</v>
      </c>
      <c r="C19385" t="s">
        <v>16434</v>
      </c>
      <c r="D19385" t="s">
        <v>18538</v>
      </c>
      <c r="E19385" t="s">
        <v>18539</v>
      </c>
      <c r="F19385" t="s">
        <v>16601</v>
      </c>
      <c r="G19385" t="s">
        <v>47093</v>
      </c>
      <c r="H19385" t="s">
        <v>47054</v>
      </c>
      <c r="I19385" t="s">
        <v>47111</v>
      </c>
      <c r="J19385" t="s">
        <v>47112</v>
      </c>
      <c r="K19385" t="s">
        <v>47113</v>
      </c>
      <c r="L19385">
        <v>60.78</v>
      </c>
      <c r="M19385">
        <v>129</v>
      </c>
      <c r="N19385">
        <v>0</v>
      </c>
      <c r="O19385">
        <v>129</v>
      </c>
      <c r="P19385">
        <v>0</v>
      </c>
    </row>
    <row r="19386" spans="1:16" x14ac:dyDescent="0.25">
      <c r="A19386" t="s">
        <v>42011</v>
      </c>
      <c r="B19386" t="s">
        <v>18537</v>
      </c>
      <c r="C19386" t="s">
        <v>16434</v>
      </c>
      <c r="D19386" t="s">
        <v>18526</v>
      </c>
      <c r="E19386" t="s">
        <v>18527</v>
      </c>
      <c r="F19386" t="s">
        <v>16762</v>
      </c>
      <c r="G19386" t="s">
        <v>47093</v>
      </c>
      <c r="H19386" t="s">
        <v>47054</v>
      </c>
      <c r="I19386" t="s">
        <v>47111</v>
      </c>
      <c r="J19386" t="s">
        <v>47112</v>
      </c>
      <c r="K19386" t="s">
        <v>47113</v>
      </c>
      <c r="L19386">
        <v>57.52</v>
      </c>
      <c r="M19386">
        <v>129</v>
      </c>
      <c r="N19386">
        <v>0</v>
      </c>
      <c r="O19386">
        <v>129</v>
      </c>
      <c r="P19386">
        <v>0</v>
      </c>
    </row>
    <row r="19387" spans="1:16" x14ac:dyDescent="0.25">
      <c r="A19387" t="s">
        <v>42012</v>
      </c>
      <c r="B19387" t="s">
        <v>18540</v>
      </c>
      <c r="C19387" t="s">
        <v>11323</v>
      </c>
      <c r="D19387" t="str">
        <f>"1700"</f>
        <v>1700</v>
      </c>
      <c r="E19387" t="s">
        <v>18541</v>
      </c>
      <c r="F19387" t="s">
        <v>16601</v>
      </c>
      <c r="G19387" t="s">
        <v>47093</v>
      </c>
      <c r="I19387" t="s">
        <v>47111</v>
      </c>
      <c r="J19387" t="s">
        <v>47112</v>
      </c>
      <c r="K19387" t="s">
        <v>47113</v>
      </c>
      <c r="L19387">
        <v>49.3</v>
      </c>
      <c r="M19387">
        <v>92</v>
      </c>
      <c r="N19387">
        <v>0</v>
      </c>
      <c r="O19387">
        <v>92</v>
      </c>
      <c r="P19387">
        <v>0</v>
      </c>
    </row>
    <row r="19388" spans="1:16" x14ac:dyDescent="0.25">
      <c r="A19388" t="s">
        <v>42013</v>
      </c>
      <c r="B19388" t="s">
        <v>18542</v>
      </c>
      <c r="C19388" t="s">
        <v>10614</v>
      </c>
      <c r="D19388" t="str">
        <f>"1700"</f>
        <v>1700</v>
      </c>
      <c r="E19388" t="s">
        <v>18480</v>
      </c>
      <c r="F19388" t="s">
        <v>16601</v>
      </c>
      <c r="G19388" t="s">
        <v>47093</v>
      </c>
      <c r="H19388" t="s">
        <v>47054</v>
      </c>
      <c r="I19388" t="s">
        <v>47116</v>
      </c>
      <c r="J19388" t="s">
        <v>47117</v>
      </c>
      <c r="K19388" t="s">
        <v>47113</v>
      </c>
      <c r="L19388">
        <v>48.28</v>
      </c>
      <c r="M19388">
        <v>111</v>
      </c>
      <c r="N19388">
        <v>0</v>
      </c>
      <c r="O19388">
        <v>111</v>
      </c>
      <c r="P19388">
        <v>0</v>
      </c>
    </row>
    <row r="19389" spans="1:16" x14ac:dyDescent="0.25">
      <c r="A19389" t="s">
        <v>42014</v>
      </c>
      <c r="B19389" t="s">
        <v>18543</v>
      </c>
      <c r="C19389" t="s">
        <v>11323</v>
      </c>
      <c r="D19389" t="str">
        <f>"7000"</f>
        <v>7000</v>
      </c>
      <c r="E19389" t="s">
        <v>18544</v>
      </c>
      <c r="F19389" t="s">
        <v>16762</v>
      </c>
      <c r="G19389" t="s">
        <v>47093</v>
      </c>
      <c r="H19389" t="s">
        <v>47054</v>
      </c>
      <c r="I19389" t="s">
        <v>47111</v>
      </c>
      <c r="J19389" t="s">
        <v>47112</v>
      </c>
      <c r="K19389" t="s">
        <v>47113</v>
      </c>
      <c r="L19389">
        <v>47.75</v>
      </c>
      <c r="M19389">
        <v>70</v>
      </c>
      <c r="N19389">
        <v>0</v>
      </c>
      <c r="O19389">
        <v>70</v>
      </c>
      <c r="P19389">
        <v>0</v>
      </c>
    </row>
    <row r="19390" spans="1:16" x14ac:dyDescent="0.25">
      <c r="A19390" t="s">
        <v>42015</v>
      </c>
      <c r="B19390" t="s">
        <v>18543</v>
      </c>
      <c r="C19390" t="s">
        <v>11323</v>
      </c>
      <c r="D19390" t="s">
        <v>18545</v>
      </c>
      <c r="E19390" t="s">
        <v>18544</v>
      </c>
      <c r="F19390" t="s">
        <v>16601</v>
      </c>
      <c r="G19390" t="s">
        <v>47093</v>
      </c>
      <c r="H19390" t="s">
        <v>47054</v>
      </c>
      <c r="I19390" t="s">
        <v>47111</v>
      </c>
      <c r="J19390" t="s">
        <v>47112</v>
      </c>
      <c r="K19390" t="s">
        <v>47113</v>
      </c>
      <c r="L19390">
        <v>47.75</v>
      </c>
      <c r="M19390">
        <v>70</v>
      </c>
      <c r="N19390">
        <v>0</v>
      </c>
      <c r="O19390">
        <v>70</v>
      </c>
      <c r="P19390">
        <v>0</v>
      </c>
    </row>
    <row r="19391" spans="1:16" x14ac:dyDescent="0.25">
      <c r="A19391" t="s">
        <v>42016</v>
      </c>
      <c r="B19391" t="s">
        <v>18546</v>
      </c>
      <c r="C19391" t="s">
        <v>11323</v>
      </c>
      <c r="D19391" t="s">
        <v>18547</v>
      </c>
      <c r="E19391" t="s">
        <v>18548</v>
      </c>
      <c r="F19391" t="s">
        <v>16601</v>
      </c>
      <c r="G19391" t="s">
        <v>47093</v>
      </c>
      <c r="H19391" t="s">
        <v>47054</v>
      </c>
      <c r="I19391" t="s">
        <v>47111</v>
      </c>
      <c r="J19391" t="s">
        <v>47112</v>
      </c>
      <c r="K19391" t="s">
        <v>47113</v>
      </c>
      <c r="L19391">
        <v>51.27</v>
      </c>
      <c r="M19391">
        <v>100</v>
      </c>
      <c r="N19391">
        <v>0</v>
      </c>
      <c r="O19391">
        <v>100</v>
      </c>
      <c r="P19391">
        <v>0</v>
      </c>
    </row>
    <row r="19392" spans="1:16" x14ac:dyDescent="0.25">
      <c r="A19392" t="s">
        <v>42017</v>
      </c>
      <c r="B19392" t="s">
        <v>18549</v>
      </c>
      <c r="C19392" t="s">
        <v>10614</v>
      </c>
      <c r="D19392" t="s">
        <v>18550</v>
      </c>
      <c r="E19392" t="s">
        <v>18551</v>
      </c>
      <c r="F19392" t="s">
        <v>16839</v>
      </c>
      <c r="G19392" t="s">
        <v>47093</v>
      </c>
      <c r="H19392" t="s">
        <v>47054</v>
      </c>
      <c r="I19392" t="s">
        <v>47111</v>
      </c>
      <c r="J19392" t="s">
        <v>47112</v>
      </c>
      <c r="K19392" t="s">
        <v>47113</v>
      </c>
      <c r="L19392">
        <v>53.97</v>
      </c>
      <c r="M19392">
        <v>103</v>
      </c>
      <c r="N19392">
        <v>0</v>
      </c>
      <c r="O19392">
        <v>103</v>
      </c>
      <c r="P19392">
        <v>0</v>
      </c>
    </row>
    <row r="19393" spans="1:16" x14ac:dyDescent="0.25">
      <c r="A19393" t="s">
        <v>42018</v>
      </c>
      <c r="B19393" t="s">
        <v>18552</v>
      </c>
      <c r="C19393" t="s">
        <v>10614</v>
      </c>
      <c r="D19393" t="s">
        <v>18553</v>
      </c>
      <c r="E19393" t="s">
        <v>18554</v>
      </c>
      <c r="F19393" t="s">
        <v>16839</v>
      </c>
      <c r="G19393" t="s">
        <v>47093</v>
      </c>
      <c r="H19393" t="s">
        <v>47054</v>
      </c>
      <c r="I19393" t="s">
        <v>47116</v>
      </c>
      <c r="J19393" t="s">
        <v>47117</v>
      </c>
      <c r="K19393" t="s">
        <v>47113</v>
      </c>
      <c r="L19393">
        <v>34.799999999999997</v>
      </c>
      <c r="M19393">
        <v>70</v>
      </c>
      <c r="N19393">
        <v>0</v>
      </c>
      <c r="O19393">
        <v>70</v>
      </c>
      <c r="P19393">
        <v>0</v>
      </c>
    </row>
    <row r="19394" spans="1:16" x14ac:dyDescent="0.25">
      <c r="A19394" t="s">
        <v>42019</v>
      </c>
      <c r="B19394" t="s">
        <v>18555</v>
      </c>
      <c r="C19394" t="s">
        <v>10614</v>
      </c>
      <c r="D19394" t="str">
        <f>"1200"</f>
        <v>1200</v>
      </c>
      <c r="E19394" t="s">
        <v>18556</v>
      </c>
      <c r="F19394" t="s">
        <v>16839</v>
      </c>
      <c r="G19394" t="s">
        <v>47099</v>
      </c>
      <c r="H19394" t="s">
        <v>47054</v>
      </c>
      <c r="I19394" t="s">
        <v>47120</v>
      </c>
      <c r="J19394" t="s">
        <v>47121</v>
      </c>
      <c r="K19394" t="s">
        <v>47113</v>
      </c>
      <c r="L19394">
        <v>34.799999999999997</v>
      </c>
      <c r="M19394">
        <v>70</v>
      </c>
      <c r="N19394">
        <v>0</v>
      </c>
      <c r="O19394">
        <v>70</v>
      </c>
      <c r="P19394">
        <v>0</v>
      </c>
    </row>
    <row r="19395" spans="1:16" x14ac:dyDescent="0.25">
      <c r="A19395" t="s">
        <v>42020</v>
      </c>
      <c r="B19395" t="s">
        <v>18557</v>
      </c>
      <c r="C19395" t="s">
        <v>10614</v>
      </c>
      <c r="D19395" t="s">
        <v>18558</v>
      </c>
      <c r="E19395" t="s">
        <v>18559</v>
      </c>
      <c r="F19395" t="s">
        <v>16810</v>
      </c>
      <c r="G19395" t="s">
        <v>47093</v>
      </c>
      <c r="H19395" t="s">
        <v>47054</v>
      </c>
      <c r="I19395" t="s">
        <v>47111</v>
      </c>
      <c r="J19395" t="s">
        <v>47112</v>
      </c>
      <c r="K19395" t="s">
        <v>47113</v>
      </c>
      <c r="L19395">
        <v>45.86</v>
      </c>
      <c r="M19395">
        <v>92</v>
      </c>
      <c r="N19395">
        <v>0</v>
      </c>
      <c r="O19395">
        <v>92</v>
      </c>
      <c r="P19395">
        <v>0</v>
      </c>
    </row>
    <row r="19396" spans="1:16" x14ac:dyDescent="0.25">
      <c r="A19396" t="s">
        <v>42021</v>
      </c>
      <c r="B19396" t="s">
        <v>18560</v>
      </c>
      <c r="C19396" t="s">
        <v>16434</v>
      </c>
      <c r="D19396" t="s">
        <v>18558</v>
      </c>
      <c r="E19396" t="s">
        <v>18559</v>
      </c>
      <c r="F19396" t="s">
        <v>16810</v>
      </c>
      <c r="G19396" t="s">
        <v>47093</v>
      </c>
      <c r="H19396" t="s">
        <v>47054</v>
      </c>
      <c r="I19396" t="s">
        <v>47111</v>
      </c>
      <c r="J19396" t="s">
        <v>47112</v>
      </c>
      <c r="K19396" t="s">
        <v>47113</v>
      </c>
      <c r="L19396">
        <v>64.260000000000005</v>
      </c>
      <c r="M19396">
        <v>129</v>
      </c>
      <c r="N19396">
        <v>0</v>
      </c>
      <c r="O19396">
        <v>129</v>
      </c>
      <c r="P19396">
        <v>0</v>
      </c>
    </row>
    <row r="19397" spans="1:16" x14ac:dyDescent="0.25">
      <c r="A19397" t="s">
        <v>42022</v>
      </c>
      <c r="B19397" t="s">
        <v>18561</v>
      </c>
      <c r="C19397" t="s">
        <v>10614</v>
      </c>
      <c r="D19397" t="s">
        <v>18562</v>
      </c>
      <c r="E19397" t="s">
        <v>18563</v>
      </c>
      <c r="F19397" t="s">
        <v>16810</v>
      </c>
      <c r="G19397" t="s">
        <v>47093</v>
      </c>
      <c r="H19397" t="s">
        <v>47054</v>
      </c>
      <c r="I19397" t="s">
        <v>47111</v>
      </c>
      <c r="J19397" t="s">
        <v>47112</v>
      </c>
      <c r="K19397" t="s">
        <v>47113</v>
      </c>
      <c r="L19397">
        <v>49.54</v>
      </c>
      <c r="M19397">
        <v>100</v>
      </c>
      <c r="N19397">
        <v>0</v>
      </c>
      <c r="O19397">
        <v>100</v>
      </c>
      <c r="P19397">
        <v>0</v>
      </c>
    </row>
    <row r="19398" spans="1:16" x14ac:dyDescent="0.25">
      <c r="A19398" t="s">
        <v>42023</v>
      </c>
      <c r="B19398" t="s">
        <v>18564</v>
      </c>
      <c r="C19398" t="s">
        <v>10614</v>
      </c>
      <c r="D19398" t="str">
        <f>"1700"</f>
        <v>1700</v>
      </c>
      <c r="E19398" t="s">
        <v>18565</v>
      </c>
      <c r="F19398" t="s">
        <v>16746</v>
      </c>
      <c r="G19398" t="s">
        <v>47093</v>
      </c>
      <c r="H19398" t="s">
        <v>47054</v>
      </c>
      <c r="I19398" t="s">
        <v>47111</v>
      </c>
      <c r="J19398" t="s">
        <v>47112</v>
      </c>
      <c r="K19398" t="s">
        <v>47113</v>
      </c>
      <c r="L19398">
        <v>49.54</v>
      </c>
      <c r="M19398">
        <v>100</v>
      </c>
      <c r="N19398">
        <v>0</v>
      </c>
      <c r="O19398">
        <v>100</v>
      </c>
      <c r="P19398">
        <v>0</v>
      </c>
    </row>
    <row r="19399" spans="1:16" x14ac:dyDescent="0.25">
      <c r="A19399" t="s">
        <v>42024</v>
      </c>
      <c r="B19399" t="s">
        <v>21649</v>
      </c>
      <c r="C19399" t="s">
        <v>10614</v>
      </c>
      <c r="D19399" t="str">
        <f>"3010"</f>
        <v>3010</v>
      </c>
      <c r="E19399" t="s">
        <v>21650</v>
      </c>
      <c r="F19399" t="s">
        <v>19552</v>
      </c>
      <c r="G19399" t="s">
        <v>47099</v>
      </c>
      <c r="H19399" t="s">
        <v>47054</v>
      </c>
      <c r="I19399" t="s">
        <v>47120</v>
      </c>
      <c r="J19399" t="s">
        <v>47121</v>
      </c>
      <c r="K19399" t="s">
        <v>47113</v>
      </c>
      <c r="L19399">
        <v>24.25</v>
      </c>
      <c r="M19399">
        <v>70</v>
      </c>
      <c r="N19399">
        <v>0</v>
      </c>
      <c r="O19399">
        <v>70</v>
      </c>
      <c r="P19399">
        <v>0</v>
      </c>
    </row>
    <row r="19400" spans="1:16" x14ac:dyDescent="0.25">
      <c r="A19400" t="s">
        <v>42025</v>
      </c>
      <c r="B19400" t="s">
        <v>21651</v>
      </c>
      <c r="C19400" t="s">
        <v>10614</v>
      </c>
      <c r="D19400" t="s">
        <v>21652</v>
      </c>
      <c r="E19400" t="s">
        <v>21653</v>
      </c>
      <c r="F19400" t="s">
        <v>17351</v>
      </c>
      <c r="G19400" t="s">
        <v>47093</v>
      </c>
      <c r="H19400" t="s">
        <v>47054</v>
      </c>
      <c r="I19400" t="s">
        <v>47111</v>
      </c>
      <c r="J19400" t="s">
        <v>47112</v>
      </c>
      <c r="K19400" t="s">
        <v>47113</v>
      </c>
      <c r="L19400">
        <v>56.7</v>
      </c>
      <c r="M19400">
        <v>107</v>
      </c>
      <c r="N19400">
        <v>0</v>
      </c>
      <c r="O19400">
        <v>107</v>
      </c>
      <c r="P19400">
        <v>0</v>
      </c>
    </row>
    <row r="19401" spans="1:16" x14ac:dyDescent="0.25">
      <c r="A19401" t="s">
        <v>42026</v>
      </c>
      <c r="B19401" t="s">
        <v>21654</v>
      </c>
      <c r="C19401" t="s">
        <v>10614</v>
      </c>
      <c r="D19401" t="s">
        <v>21441</v>
      </c>
      <c r="E19401" t="s">
        <v>21442</v>
      </c>
      <c r="F19401" t="s">
        <v>19559</v>
      </c>
      <c r="G19401" t="s">
        <v>47093</v>
      </c>
      <c r="H19401" t="s">
        <v>47054</v>
      </c>
      <c r="I19401" t="s">
        <v>47116</v>
      </c>
      <c r="J19401" t="s">
        <v>47117</v>
      </c>
      <c r="K19401" t="s">
        <v>47113</v>
      </c>
      <c r="L19401">
        <v>43.29</v>
      </c>
      <c r="M19401">
        <v>111</v>
      </c>
      <c r="N19401">
        <v>0</v>
      </c>
      <c r="O19401">
        <v>111</v>
      </c>
      <c r="P19401">
        <v>0</v>
      </c>
    </row>
    <row r="19402" spans="1:16" x14ac:dyDescent="0.25">
      <c r="A19402" t="s">
        <v>49361</v>
      </c>
      <c r="B19402" t="s">
        <v>49362</v>
      </c>
      <c r="C19402" t="s">
        <v>10614</v>
      </c>
      <c r="D19402" t="s">
        <v>21441</v>
      </c>
      <c r="E19402" t="s">
        <v>21442</v>
      </c>
      <c r="F19402" t="s">
        <v>19559</v>
      </c>
      <c r="G19402" t="s">
        <v>47093</v>
      </c>
      <c r="H19402" t="s">
        <v>47054</v>
      </c>
      <c r="I19402" t="s">
        <v>47544</v>
      </c>
      <c r="J19402" t="s">
        <v>47545</v>
      </c>
      <c r="K19402" t="s">
        <v>47113</v>
      </c>
      <c r="L19402">
        <v>42.18</v>
      </c>
      <c r="M19402">
        <v>70</v>
      </c>
      <c r="N19402">
        <v>189</v>
      </c>
      <c r="O19402">
        <v>70</v>
      </c>
      <c r="P19402">
        <v>189</v>
      </c>
    </row>
    <row r="19403" spans="1:16" x14ac:dyDescent="0.25">
      <c r="A19403" t="s">
        <v>42027</v>
      </c>
      <c r="B19403" t="s">
        <v>21655</v>
      </c>
      <c r="C19403" t="s">
        <v>10614</v>
      </c>
      <c r="D19403" t="s">
        <v>21656</v>
      </c>
      <c r="E19403" t="s">
        <v>21657</v>
      </c>
      <c r="F19403" t="s">
        <v>17351</v>
      </c>
      <c r="G19403" t="s">
        <v>47093</v>
      </c>
      <c r="H19403" t="s">
        <v>47054</v>
      </c>
      <c r="I19403" t="s">
        <v>47111</v>
      </c>
      <c r="J19403" t="s">
        <v>47112</v>
      </c>
      <c r="K19403" t="s">
        <v>47113</v>
      </c>
      <c r="L19403">
        <v>67.099999999999994</v>
      </c>
      <c r="M19403">
        <v>122</v>
      </c>
      <c r="N19403">
        <v>0</v>
      </c>
      <c r="O19403">
        <v>122</v>
      </c>
      <c r="P19403">
        <v>0</v>
      </c>
    </row>
    <row r="19404" spans="1:16" x14ac:dyDescent="0.25">
      <c r="A19404" t="s">
        <v>42028</v>
      </c>
      <c r="B19404" t="s">
        <v>21658</v>
      </c>
      <c r="C19404" t="s">
        <v>10614</v>
      </c>
      <c r="D19404" t="s">
        <v>21659</v>
      </c>
      <c r="E19404" t="s">
        <v>21660</v>
      </c>
      <c r="F19404" t="s">
        <v>17351</v>
      </c>
      <c r="G19404" t="s">
        <v>47093</v>
      </c>
      <c r="H19404" t="s">
        <v>47054</v>
      </c>
      <c r="I19404" t="s">
        <v>47111</v>
      </c>
      <c r="J19404" t="s">
        <v>47112</v>
      </c>
      <c r="K19404" t="s">
        <v>47113</v>
      </c>
      <c r="L19404">
        <v>57.76</v>
      </c>
      <c r="M19404">
        <v>111</v>
      </c>
      <c r="N19404">
        <v>0</v>
      </c>
      <c r="O19404">
        <v>111</v>
      </c>
      <c r="P19404">
        <v>0</v>
      </c>
    </row>
    <row r="19405" spans="1:16" x14ac:dyDescent="0.25">
      <c r="A19405" t="s">
        <v>42029</v>
      </c>
      <c r="B19405" t="s">
        <v>21661</v>
      </c>
      <c r="C19405" t="s">
        <v>10614</v>
      </c>
      <c r="D19405" t="s">
        <v>21662</v>
      </c>
      <c r="E19405" t="s">
        <v>21663</v>
      </c>
      <c r="F19405" t="s">
        <v>17351</v>
      </c>
      <c r="G19405" t="s">
        <v>47093</v>
      </c>
      <c r="H19405" t="s">
        <v>47054</v>
      </c>
      <c r="I19405" t="s">
        <v>47111</v>
      </c>
      <c r="J19405" t="s">
        <v>47112</v>
      </c>
      <c r="K19405" t="s">
        <v>47113</v>
      </c>
      <c r="L19405">
        <v>61.51</v>
      </c>
      <c r="M19405">
        <v>122</v>
      </c>
      <c r="N19405">
        <v>0</v>
      </c>
      <c r="O19405">
        <v>122</v>
      </c>
      <c r="P19405">
        <v>0</v>
      </c>
    </row>
    <row r="19406" spans="1:16" x14ac:dyDescent="0.25">
      <c r="A19406" t="s">
        <v>42030</v>
      </c>
      <c r="B19406" t="s">
        <v>21664</v>
      </c>
      <c r="C19406" t="s">
        <v>10614</v>
      </c>
      <c r="D19406" t="s">
        <v>21665</v>
      </c>
      <c r="E19406" t="s">
        <v>21666</v>
      </c>
      <c r="F19406" t="s">
        <v>17351</v>
      </c>
      <c r="G19406" t="s">
        <v>47093</v>
      </c>
      <c r="H19406" t="s">
        <v>47054</v>
      </c>
      <c r="I19406" t="s">
        <v>47116</v>
      </c>
      <c r="J19406" t="s">
        <v>47117</v>
      </c>
      <c r="K19406" t="s">
        <v>47113</v>
      </c>
      <c r="L19406">
        <v>49.42</v>
      </c>
      <c r="M19406">
        <v>107</v>
      </c>
      <c r="N19406">
        <v>0</v>
      </c>
      <c r="O19406">
        <v>107</v>
      </c>
      <c r="P19406">
        <v>0</v>
      </c>
    </row>
    <row r="19407" spans="1:16" x14ac:dyDescent="0.25">
      <c r="A19407" t="s">
        <v>42031</v>
      </c>
      <c r="B19407" t="s">
        <v>21667</v>
      </c>
      <c r="C19407" t="s">
        <v>10614</v>
      </c>
      <c r="D19407" t="s">
        <v>21444</v>
      </c>
      <c r="E19407" t="s">
        <v>21445</v>
      </c>
      <c r="F19407" t="s">
        <v>17351</v>
      </c>
      <c r="G19407" t="s">
        <v>47093</v>
      </c>
      <c r="H19407" t="s">
        <v>47054</v>
      </c>
      <c r="I19407" t="s">
        <v>47116</v>
      </c>
      <c r="J19407" t="s">
        <v>47117</v>
      </c>
      <c r="K19407" t="s">
        <v>47113</v>
      </c>
      <c r="L19407">
        <v>61.44</v>
      </c>
      <c r="M19407">
        <v>122</v>
      </c>
      <c r="N19407">
        <v>0</v>
      </c>
      <c r="O19407">
        <v>122</v>
      </c>
      <c r="P19407">
        <v>0</v>
      </c>
    </row>
    <row r="19408" spans="1:16" x14ac:dyDescent="0.25">
      <c r="A19408" t="s">
        <v>42032</v>
      </c>
      <c r="B19408" t="s">
        <v>21668</v>
      </c>
      <c r="C19408" t="s">
        <v>10614</v>
      </c>
      <c r="D19408" t="s">
        <v>21669</v>
      </c>
      <c r="E19408" t="s">
        <v>21670</v>
      </c>
      <c r="F19408" t="s">
        <v>17351</v>
      </c>
      <c r="G19408" t="s">
        <v>47093</v>
      </c>
      <c r="H19408" t="s">
        <v>47054</v>
      </c>
      <c r="I19408" t="s">
        <v>47116</v>
      </c>
      <c r="J19408" t="s">
        <v>47117</v>
      </c>
      <c r="K19408" t="s">
        <v>47113</v>
      </c>
      <c r="L19408">
        <v>54.74</v>
      </c>
      <c r="M19408">
        <v>92</v>
      </c>
      <c r="N19408">
        <v>0</v>
      </c>
      <c r="O19408">
        <v>92</v>
      </c>
      <c r="P19408">
        <v>0</v>
      </c>
    </row>
    <row r="19409" spans="1:16" x14ac:dyDescent="0.25">
      <c r="A19409" t="s">
        <v>42033</v>
      </c>
      <c r="B19409" t="s">
        <v>21671</v>
      </c>
      <c r="C19409" t="s">
        <v>21672</v>
      </c>
      <c r="D19409" t="s">
        <v>21633</v>
      </c>
      <c r="E19409" t="s">
        <v>21634</v>
      </c>
      <c r="F19409" t="s">
        <v>19847</v>
      </c>
      <c r="G19409" t="s">
        <v>47093</v>
      </c>
      <c r="H19409" t="s">
        <v>47054</v>
      </c>
      <c r="I19409" t="s">
        <v>47111</v>
      </c>
      <c r="J19409" t="s">
        <v>47112</v>
      </c>
      <c r="K19409" t="s">
        <v>47113</v>
      </c>
      <c r="L19409">
        <v>64.3</v>
      </c>
      <c r="M19409">
        <v>148</v>
      </c>
      <c r="N19409">
        <v>0</v>
      </c>
      <c r="O19409">
        <v>148</v>
      </c>
      <c r="P19409">
        <v>0</v>
      </c>
    </row>
    <row r="19410" spans="1:16" x14ac:dyDescent="0.25">
      <c r="A19410" t="s">
        <v>42034</v>
      </c>
      <c r="B19410" t="s">
        <v>18566</v>
      </c>
      <c r="C19410" t="s">
        <v>10614</v>
      </c>
      <c r="D19410" t="str">
        <f>"1001"</f>
        <v>1001</v>
      </c>
      <c r="E19410" t="s">
        <v>18567</v>
      </c>
      <c r="F19410" t="s">
        <v>16839</v>
      </c>
      <c r="G19410" t="s">
        <v>47093</v>
      </c>
      <c r="H19410" t="s">
        <v>47054</v>
      </c>
      <c r="I19410" t="s">
        <v>47116</v>
      </c>
      <c r="J19410" t="s">
        <v>47117</v>
      </c>
      <c r="K19410" t="s">
        <v>47113</v>
      </c>
      <c r="L19410">
        <v>54.98</v>
      </c>
      <c r="M19410">
        <v>122</v>
      </c>
      <c r="N19410">
        <v>189</v>
      </c>
      <c r="O19410">
        <v>122</v>
      </c>
      <c r="P19410">
        <v>189</v>
      </c>
    </row>
    <row r="19411" spans="1:16" x14ac:dyDescent="0.25">
      <c r="A19411" t="s">
        <v>42035</v>
      </c>
      <c r="B19411" t="s">
        <v>42036</v>
      </c>
      <c r="C19411" t="s">
        <v>10614</v>
      </c>
      <c r="D19411" t="str">
        <f>"1001"</f>
        <v>1001</v>
      </c>
      <c r="E19411" t="s">
        <v>18567</v>
      </c>
      <c r="F19411" t="s">
        <v>16839</v>
      </c>
      <c r="G19411" t="s">
        <v>47093</v>
      </c>
      <c r="H19411" t="s">
        <v>47054</v>
      </c>
      <c r="I19411" t="s">
        <v>47544</v>
      </c>
      <c r="J19411" t="s">
        <v>47545</v>
      </c>
      <c r="K19411" t="s">
        <v>47113</v>
      </c>
      <c r="L19411">
        <v>26.03</v>
      </c>
      <c r="M19411">
        <v>70</v>
      </c>
      <c r="N19411">
        <v>189</v>
      </c>
      <c r="O19411">
        <v>70</v>
      </c>
      <c r="P19411">
        <v>189</v>
      </c>
    </row>
    <row r="19412" spans="1:16" x14ac:dyDescent="0.25">
      <c r="A19412" t="s">
        <v>42037</v>
      </c>
      <c r="B19412" t="s">
        <v>21673</v>
      </c>
      <c r="C19412" t="s">
        <v>16434</v>
      </c>
      <c r="D19412" t="s">
        <v>21640</v>
      </c>
      <c r="E19412" t="s">
        <v>21641</v>
      </c>
      <c r="F19412" t="s">
        <v>19552</v>
      </c>
      <c r="G19412" t="s">
        <v>47093</v>
      </c>
      <c r="H19412" t="s">
        <v>47054</v>
      </c>
      <c r="I19412" t="s">
        <v>47111</v>
      </c>
      <c r="J19412" t="s">
        <v>47112</v>
      </c>
      <c r="K19412" t="s">
        <v>47113</v>
      </c>
      <c r="L19412">
        <v>60.94</v>
      </c>
      <c r="M19412">
        <v>148</v>
      </c>
      <c r="N19412">
        <v>0</v>
      </c>
      <c r="O19412">
        <v>148</v>
      </c>
      <c r="P19412">
        <v>0</v>
      </c>
    </row>
    <row r="19413" spans="1:16" x14ac:dyDescent="0.25">
      <c r="A19413" t="s">
        <v>42038</v>
      </c>
      <c r="B19413" t="s">
        <v>21674</v>
      </c>
      <c r="C19413" t="s">
        <v>10614</v>
      </c>
      <c r="D19413" t="s">
        <v>21675</v>
      </c>
      <c r="E19413" t="s">
        <v>21676</v>
      </c>
      <c r="F19413" t="s">
        <v>19552</v>
      </c>
      <c r="G19413" t="s">
        <v>47093</v>
      </c>
      <c r="H19413" t="s">
        <v>47054</v>
      </c>
      <c r="I19413" t="s">
        <v>47111</v>
      </c>
      <c r="J19413" t="s">
        <v>47112</v>
      </c>
      <c r="K19413" t="s">
        <v>47113</v>
      </c>
      <c r="L19413">
        <v>74.489999999999995</v>
      </c>
      <c r="M19413">
        <v>122</v>
      </c>
      <c r="N19413">
        <v>0</v>
      </c>
      <c r="O19413">
        <v>122</v>
      </c>
      <c r="P19413">
        <v>0</v>
      </c>
    </row>
    <row r="19414" spans="1:16" x14ac:dyDescent="0.25">
      <c r="A19414" t="s">
        <v>42039</v>
      </c>
      <c r="B19414" t="s">
        <v>21677</v>
      </c>
      <c r="C19414" t="s">
        <v>10614</v>
      </c>
      <c r="D19414" t="s">
        <v>21285</v>
      </c>
      <c r="E19414" t="s">
        <v>21286</v>
      </c>
      <c r="F19414" t="s">
        <v>19878</v>
      </c>
      <c r="G19414" t="s">
        <v>47093</v>
      </c>
      <c r="H19414" t="s">
        <v>47054</v>
      </c>
      <c r="I19414" t="s">
        <v>47111</v>
      </c>
      <c r="J19414" t="s">
        <v>47112</v>
      </c>
      <c r="K19414" t="s">
        <v>47113</v>
      </c>
      <c r="L19414">
        <v>50.55</v>
      </c>
      <c r="M19414">
        <v>111</v>
      </c>
      <c r="N19414">
        <v>0</v>
      </c>
      <c r="O19414">
        <v>111</v>
      </c>
      <c r="P19414">
        <v>0</v>
      </c>
    </row>
    <row r="19415" spans="1:16" x14ac:dyDescent="0.25">
      <c r="A19415" t="s">
        <v>42040</v>
      </c>
      <c r="B19415" t="s">
        <v>21678</v>
      </c>
      <c r="C19415" t="s">
        <v>10614</v>
      </c>
      <c r="D19415" t="s">
        <v>21679</v>
      </c>
      <c r="E19415" t="s">
        <v>21680</v>
      </c>
      <c r="F19415" t="s">
        <v>19878</v>
      </c>
      <c r="G19415" t="s">
        <v>47093</v>
      </c>
      <c r="H19415" t="s">
        <v>47054</v>
      </c>
      <c r="I19415" t="s">
        <v>47544</v>
      </c>
      <c r="J19415" t="s">
        <v>47545</v>
      </c>
      <c r="K19415" t="s">
        <v>47113</v>
      </c>
      <c r="L19415">
        <v>28.76</v>
      </c>
      <c r="M19415">
        <v>66</v>
      </c>
      <c r="N19415">
        <v>0</v>
      </c>
      <c r="O19415">
        <v>66</v>
      </c>
      <c r="P19415">
        <v>0</v>
      </c>
    </row>
    <row r="19416" spans="1:16" x14ac:dyDescent="0.25">
      <c r="A19416" t="s">
        <v>22893</v>
      </c>
      <c r="B19416" t="s">
        <v>21681</v>
      </c>
      <c r="C19416" t="s">
        <v>10614</v>
      </c>
      <c r="D19416" t="s">
        <v>21682</v>
      </c>
      <c r="E19416" t="s">
        <v>21683</v>
      </c>
      <c r="F19416" t="s">
        <v>19559</v>
      </c>
      <c r="G19416" t="s">
        <v>47093</v>
      </c>
      <c r="H19416" t="s">
        <v>47054</v>
      </c>
      <c r="I19416" t="s">
        <v>47111</v>
      </c>
      <c r="J19416" t="s">
        <v>47112</v>
      </c>
      <c r="K19416" t="s">
        <v>47113</v>
      </c>
      <c r="L19416">
        <v>58.85</v>
      </c>
      <c r="M19416">
        <v>129</v>
      </c>
      <c r="N19416">
        <v>0</v>
      </c>
      <c r="O19416">
        <v>129</v>
      </c>
      <c r="P19416">
        <v>0</v>
      </c>
    </row>
    <row r="19417" spans="1:16" x14ac:dyDescent="0.25">
      <c r="A19417" t="s">
        <v>22894</v>
      </c>
      <c r="B19417" t="s">
        <v>21684</v>
      </c>
      <c r="C19417" t="s">
        <v>10614</v>
      </c>
      <c r="D19417" t="s">
        <v>15967</v>
      </c>
      <c r="E19417" t="s">
        <v>15968</v>
      </c>
      <c r="F19417" t="s">
        <v>19878</v>
      </c>
      <c r="G19417" t="s">
        <v>47093</v>
      </c>
      <c r="H19417" t="s">
        <v>47054</v>
      </c>
      <c r="I19417" t="s">
        <v>47120</v>
      </c>
      <c r="J19417" t="s">
        <v>47121</v>
      </c>
      <c r="K19417" t="s">
        <v>47113</v>
      </c>
      <c r="L19417">
        <v>26.38</v>
      </c>
      <c r="M19417">
        <v>66</v>
      </c>
      <c r="N19417">
        <v>0</v>
      </c>
      <c r="O19417">
        <v>66</v>
      </c>
      <c r="P19417">
        <v>0</v>
      </c>
    </row>
    <row r="19418" spans="1:16" x14ac:dyDescent="0.25">
      <c r="A19418" t="s">
        <v>42041</v>
      </c>
      <c r="B19418" t="s">
        <v>21685</v>
      </c>
      <c r="C19418" t="s">
        <v>10614</v>
      </c>
      <c r="D19418" t="s">
        <v>21686</v>
      </c>
      <c r="E19418" t="s">
        <v>21687</v>
      </c>
      <c r="F19418" t="s">
        <v>16623</v>
      </c>
      <c r="G19418" t="s">
        <v>47093</v>
      </c>
      <c r="H19418" t="s">
        <v>47054</v>
      </c>
      <c r="I19418" t="s">
        <v>47111</v>
      </c>
      <c r="J19418" t="s">
        <v>47112</v>
      </c>
      <c r="K19418" t="s">
        <v>47113</v>
      </c>
      <c r="L19418">
        <v>57.25</v>
      </c>
      <c r="M19418">
        <v>122</v>
      </c>
      <c r="N19418">
        <v>0</v>
      </c>
      <c r="O19418">
        <v>122</v>
      </c>
      <c r="P19418">
        <v>0</v>
      </c>
    </row>
    <row r="19419" spans="1:16" x14ac:dyDescent="0.25">
      <c r="A19419" t="s">
        <v>22895</v>
      </c>
      <c r="B19419" t="s">
        <v>21688</v>
      </c>
      <c r="C19419" t="s">
        <v>16434</v>
      </c>
      <c r="D19419" t="s">
        <v>21647</v>
      </c>
      <c r="E19419" t="s">
        <v>21648</v>
      </c>
      <c r="F19419" t="s">
        <v>19559</v>
      </c>
      <c r="G19419" t="s">
        <v>47093</v>
      </c>
      <c r="H19419" t="s">
        <v>47054</v>
      </c>
      <c r="I19419" t="s">
        <v>47111</v>
      </c>
      <c r="J19419" t="s">
        <v>47112</v>
      </c>
      <c r="K19419" t="s">
        <v>47113</v>
      </c>
      <c r="L19419">
        <v>70.62</v>
      </c>
      <c r="M19419">
        <v>148</v>
      </c>
      <c r="N19419">
        <v>0</v>
      </c>
      <c r="O19419">
        <v>148</v>
      </c>
      <c r="P19419">
        <v>0</v>
      </c>
    </row>
    <row r="19420" spans="1:16" x14ac:dyDescent="0.25">
      <c r="A19420" t="s">
        <v>42042</v>
      </c>
      <c r="B19420" t="s">
        <v>42043</v>
      </c>
      <c r="C19420" t="s">
        <v>10614</v>
      </c>
      <c r="D19420" t="s">
        <v>42044</v>
      </c>
      <c r="E19420" t="s">
        <v>42045</v>
      </c>
      <c r="F19420" t="s">
        <v>20496</v>
      </c>
      <c r="G19420" t="s">
        <v>47093</v>
      </c>
      <c r="H19420" t="s">
        <v>47054</v>
      </c>
      <c r="I19420" t="s">
        <v>47544</v>
      </c>
      <c r="J19420" t="s">
        <v>47545</v>
      </c>
      <c r="K19420" t="s">
        <v>47113</v>
      </c>
      <c r="L19420">
        <v>28.13</v>
      </c>
      <c r="M19420">
        <v>74</v>
      </c>
      <c r="N19420">
        <v>0</v>
      </c>
      <c r="O19420">
        <v>74</v>
      </c>
      <c r="P19420">
        <v>0</v>
      </c>
    </row>
    <row r="19421" spans="1:16" x14ac:dyDescent="0.25">
      <c r="A19421" t="s">
        <v>42046</v>
      </c>
      <c r="B19421" t="s">
        <v>42047</v>
      </c>
      <c r="C19421" t="s">
        <v>10614</v>
      </c>
      <c r="D19421" t="s">
        <v>42048</v>
      </c>
      <c r="E19421" t="s">
        <v>42049</v>
      </c>
      <c r="F19421" t="s">
        <v>21629</v>
      </c>
      <c r="G19421" t="s">
        <v>47093</v>
      </c>
      <c r="H19421" t="s">
        <v>47054</v>
      </c>
      <c r="I19421" t="s">
        <v>47120</v>
      </c>
      <c r="J19421" t="s">
        <v>47121</v>
      </c>
      <c r="K19421" t="s">
        <v>47113</v>
      </c>
      <c r="L19421">
        <v>33.729999999999997</v>
      </c>
      <c r="M19421">
        <v>85</v>
      </c>
      <c r="N19421">
        <v>0</v>
      </c>
      <c r="O19421">
        <v>85</v>
      </c>
      <c r="P19421">
        <v>0</v>
      </c>
    </row>
    <row r="19422" spans="1:16" x14ac:dyDescent="0.25">
      <c r="A19422" t="s">
        <v>42050</v>
      </c>
      <c r="B19422" t="s">
        <v>42051</v>
      </c>
      <c r="C19422" t="s">
        <v>10614</v>
      </c>
      <c r="D19422" t="str">
        <f>"11"</f>
        <v>11</v>
      </c>
      <c r="E19422" t="s">
        <v>288</v>
      </c>
      <c r="F19422" t="s">
        <v>21629</v>
      </c>
      <c r="G19422" t="s">
        <v>47093</v>
      </c>
      <c r="H19422" t="s">
        <v>47054</v>
      </c>
      <c r="I19422" t="s">
        <v>47544</v>
      </c>
      <c r="J19422" t="s">
        <v>47545</v>
      </c>
      <c r="K19422" t="s">
        <v>47113</v>
      </c>
      <c r="L19422">
        <v>28.8</v>
      </c>
      <c r="M19422">
        <v>70</v>
      </c>
      <c r="N19422">
        <v>0</v>
      </c>
      <c r="O19422">
        <v>70</v>
      </c>
      <c r="P19422">
        <v>0</v>
      </c>
    </row>
    <row r="19423" spans="1:16" x14ac:dyDescent="0.25">
      <c r="A19423" t="s">
        <v>42052</v>
      </c>
      <c r="B19423" t="s">
        <v>42053</v>
      </c>
      <c r="C19423" t="s">
        <v>10614</v>
      </c>
      <c r="D19423" t="s">
        <v>40630</v>
      </c>
      <c r="E19423" t="s">
        <v>40631</v>
      </c>
      <c r="F19423" t="s">
        <v>21629</v>
      </c>
      <c r="G19423" t="s">
        <v>47093</v>
      </c>
      <c r="H19423" t="s">
        <v>47054</v>
      </c>
      <c r="I19423" t="s">
        <v>47116</v>
      </c>
      <c r="J19423" t="s">
        <v>47117</v>
      </c>
      <c r="K19423" t="s">
        <v>47113</v>
      </c>
      <c r="L19423">
        <v>43.53</v>
      </c>
      <c r="M19423">
        <v>111</v>
      </c>
      <c r="N19423">
        <v>0</v>
      </c>
      <c r="O19423">
        <v>111</v>
      </c>
      <c r="P19423">
        <v>0</v>
      </c>
    </row>
    <row r="19424" spans="1:16" x14ac:dyDescent="0.25">
      <c r="A19424" t="s">
        <v>42054</v>
      </c>
      <c r="B19424" t="s">
        <v>42055</v>
      </c>
      <c r="C19424" t="s">
        <v>16434</v>
      </c>
      <c r="D19424" t="s">
        <v>42048</v>
      </c>
      <c r="E19424" t="s">
        <v>42049</v>
      </c>
      <c r="F19424" t="s">
        <v>21629</v>
      </c>
      <c r="G19424" t="s">
        <v>47093</v>
      </c>
      <c r="H19424" t="s">
        <v>47054</v>
      </c>
      <c r="I19424" t="s">
        <v>47120</v>
      </c>
      <c r="J19424" t="s">
        <v>47121</v>
      </c>
      <c r="K19424" t="s">
        <v>47113</v>
      </c>
      <c r="L19424">
        <v>38.35</v>
      </c>
      <c r="M19424">
        <v>148</v>
      </c>
      <c r="N19424">
        <v>0</v>
      </c>
      <c r="O19424">
        <v>148</v>
      </c>
      <c r="P19424">
        <v>0</v>
      </c>
    </row>
    <row r="19425" spans="1:16" x14ac:dyDescent="0.25">
      <c r="A19425" t="s">
        <v>42056</v>
      </c>
      <c r="B19425" t="s">
        <v>42057</v>
      </c>
      <c r="C19425" t="s">
        <v>10614</v>
      </c>
      <c r="D19425" t="s">
        <v>42058</v>
      </c>
      <c r="E19425" t="s">
        <v>42059</v>
      </c>
      <c r="F19425" t="s">
        <v>21629</v>
      </c>
      <c r="G19425" t="s">
        <v>47093</v>
      </c>
      <c r="H19425" t="s">
        <v>47054</v>
      </c>
      <c r="I19425" t="s">
        <v>47544</v>
      </c>
      <c r="J19425" t="s">
        <v>47545</v>
      </c>
      <c r="K19425" t="s">
        <v>47113</v>
      </c>
      <c r="L19425">
        <v>27.51</v>
      </c>
      <c r="M19425">
        <v>70</v>
      </c>
      <c r="N19425">
        <v>0</v>
      </c>
      <c r="O19425">
        <v>70</v>
      </c>
      <c r="P19425">
        <v>0</v>
      </c>
    </row>
    <row r="19426" spans="1:16" x14ac:dyDescent="0.25">
      <c r="A19426" t="s">
        <v>22896</v>
      </c>
      <c r="B19426" t="s">
        <v>22897</v>
      </c>
      <c r="C19426" t="s">
        <v>16434</v>
      </c>
      <c r="D19426" t="s">
        <v>22898</v>
      </c>
      <c r="E19426" t="s">
        <v>22899</v>
      </c>
      <c r="F19426" t="s">
        <v>20496</v>
      </c>
      <c r="G19426" t="s">
        <v>47093</v>
      </c>
      <c r="H19426" t="s">
        <v>47054</v>
      </c>
      <c r="I19426" t="s">
        <v>47111</v>
      </c>
      <c r="J19426" t="s">
        <v>47112</v>
      </c>
      <c r="K19426" t="s">
        <v>47113</v>
      </c>
      <c r="L19426">
        <v>72.53</v>
      </c>
      <c r="M19426">
        <v>148</v>
      </c>
      <c r="N19426">
        <v>0</v>
      </c>
      <c r="O19426">
        <v>148</v>
      </c>
      <c r="P19426">
        <v>0</v>
      </c>
    </row>
    <row r="19427" spans="1:16" x14ac:dyDescent="0.25">
      <c r="A19427" t="s">
        <v>42060</v>
      </c>
      <c r="B19427" t="s">
        <v>42061</v>
      </c>
      <c r="C19427" t="s">
        <v>10614</v>
      </c>
      <c r="D19427" t="s">
        <v>40634</v>
      </c>
      <c r="E19427" t="s">
        <v>40635</v>
      </c>
      <c r="F19427" t="s">
        <v>21627</v>
      </c>
      <c r="G19427" t="s">
        <v>47093</v>
      </c>
      <c r="H19427" t="s">
        <v>47054</v>
      </c>
      <c r="I19427" t="s">
        <v>47116</v>
      </c>
      <c r="J19427" t="s">
        <v>47117</v>
      </c>
      <c r="K19427" t="s">
        <v>47113</v>
      </c>
      <c r="L19427">
        <v>45.7</v>
      </c>
      <c r="M19427">
        <v>111</v>
      </c>
      <c r="N19427">
        <v>0</v>
      </c>
      <c r="O19427">
        <v>111</v>
      </c>
      <c r="P19427">
        <v>0</v>
      </c>
    </row>
    <row r="19428" spans="1:16" x14ac:dyDescent="0.25">
      <c r="A19428" t="s">
        <v>42062</v>
      </c>
      <c r="B19428" t="s">
        <v>42063</v>
      </c>
      <c r="C19428" t="s">
        <v>10614</v>
      </c>
      <c r="D19428" t="s">
        <v>42064</v>
      </c>
      <c r="E19428" t="s">
        <v>42065</v>
      </c>
      <c r="F19428" t="s">
        <v>21627</v>
      </c>
      <c r="G19428" t="s">
        <v>47093</v>
      </c>
      <c r="H19428" t="s">
        <v>47054</v>
      </c>
      <c r="I19428" t="s">
        <v>47544</v>
      </c>
      <c r="J19428" t="s">
        <v>47545</v>
      </c>
      <c r="K19428" t="s">
        <v>47113</v>
      </c>
      <c r="L19428">
        <v>31.17</v>
      </c>
      <c r="M19428">
        <v>74</v>
      </c>
      <c r="N19428">
        <v>0</v>
      </c>
      <c r="O19428">
        <v>74</v>
      </c>
      <c r="P19428">
        <v>0</v>
      </c>
    </row>
    <row r="19429" spans="1:16" x14ac:dyDescent="0.25">
      <c r="A19429" t="s">
        <v>42066</v>
      </c>
      <c r="B19429" t="s">
        <v>42067</v>
      </c>
      <c r="C19429" t="s">
        <v>10614</v>
      </c>
      <c r="D19429" t="s">
        <v>18745</v>
      </c>
      <c r="E19429" t="s">
        <v>18746</v>
      </c>
      <c r="F19429" t="s">
        <v>21629</v>
      </c>
      <c r="G19429" t="s">
        <v>47093</v>
      </c>
      <c r="H19429" t="s">
        <v>47054</v>
      </c>
      <c r="I19429" t="s">
        <v>47120</v>
      </c>
      <c r="J19429" t="s">
        <v>47121</v>
      </c>
      <c r="K19429" t="s">
        <v>47113</v>
      </c>
      <c r="L19429">
        <v>38.380000000000003</v>
      </c>
      <c r="M19429">
        <v>111</v>
      </c>
      <c r="N19429">
        <v>0</v>
      </c>
      <c r="O19429">
        <v>111</v>
      </c>
      <c r="P19429">
        <v>0</v>
      </c>
    </row>
    <row r="19430" spans="1:16" x14ac:dyDescent="0.25">
      <c r="A19430" t="s">
        <v>42068</v>
      </c>
      <c r="B19430" t="s">
        <v>42069</v>
      </c>
      <c r="C19430" t="s">
        <v>10614</v>
      </c>
      <c r="D19430" t="s">
        <v>42070</v>
      </c>
      <c r="E19430" t="s">
        <v>42071</v>
      </c>
      <c r="F19430" t="s">
        <v>21629</v>
      </c>
      <c r="G19430" t="s">
        <v>47093</v>
      </c>
      <c r="H19430" t="s">
        <v>47054</v>
      </c>
      <c r="I19430" t="s">
        <v>47120</v>
      </c>
      <c r="J19430" t="s">
        <v>47121</v>
      </c>
      <c r="K19430" t="s">
        <v>47113</v>
      </c>
      <c r="L19430">
        <v>31.91</v>
      </c>
      <c r="M19430">
        <v>74</v>
      </c>
      <c r="N19430">
        <v>0</v>
      </c>
      <c r="O19430">
        <v>74</v>
      </c>
      <c r="P19430">
        <v>0</v>
      </c>
    </row>
    <row r="19431" spans="1:16" x14ac:dyDescent="0.25">
      <c r="A19431" t="s">
        <v>42072</v>
      </c>
      <c r="B19431" t="s">
        <v>15930</v>
      </c>
      <c r="C19431" t="s">
        <v>15931</v>
      </c>
      <c r="D19431" t="s">
        <v>15897</v>
      </c>
      <c r="E19431" t="s">
        <v>15898</v>
      </c>
      <c r="F19431" t="s">
        <v>15183</v>
      </c>
      <c r="G19431" t="s">
        <v>47093</v>
      </c>
      <c r="H19431" t="s">
        <v>47054</v>
      </c>
      <c r="I19431" t="s">
        <v>47111</v>
      </c>
      <c r="J19431" t="s">
        <v>47112</v>
      </c>
      <c r="K19431" t="s">
        <v>47113</v>
      </c>
      <c r="L19431">
        <v>48.33</v>
      </c>
      <c r="M19431">
        <v>74</v>
      </c>
      <c r="N19431">
        <v>0</v>
      </c>
      <c r="O19431">
        <v>74</v>
      </c>
      <c r="P19431">
        <v>0</v>
      </c>
    </row>
    <row r="19432" spans="1:16" x14ac:dyDescent="0.25">
      <c r="A19432" t="s">
        <v>42073</v>
      </c>
      <c r="B19432" t="s">
        <v>18568</v>
      </c>
      <c r="C19432" t="s">
        <v>14441</v>
      </c>
      <c r="D19432" t="s">
        <v>18569</v>
      </c>
      <c r="E19432" t="s">
        <v>18570</v>
      </c>
      <c r="F19432" t="s">
        <v>16601</v>
      </c>
      <c r="G19432" t="s">
        <v>47093</v>
      </c>
      <c r="H19432" t="s">
        <v>47054</v>
      </c>
      <c r="I19432" t="s">
        <v>47111</v>
      </c>
      <c r="J19432" t="s">
        <v>47112</v>
      </c>
      <c r="K19432" t="s">
        <v>47113</v>
      </c>
      <c r="L19432">
        <v>52.23</v>
      </c>
      <c r="M19432">
        <v>92</v>
      </c>
      <c r="N19432">
        <v>0</v>
      </c>
      <c r="O19432">
        <v>92</v>
      </c>
      <c r="P19432">
        <v>0</v>
      </c>
    </row>
    <row r="19433" spans="1:16" x14ac:dyDescent="0.25">
      <c r="A19433" t="s">
        <v>42074</v>
      </c>
      <c r="B19433" t="s">
        <v>18571</v>
      </c>
      <c r="C19433" t="s">
        <v>18572</v>
      </c>
      <c r="D19433" t="s">
        <v>18514</v>
      </c>
      <c r="E19433" t="s">
        <v>18515</v>
      </c>
      <c r="F19433" t="s">
        <v>16601</v>
      </c>
      <c r="G19433" t="s">
        <v>47093</v>
      </c>
      <c r="I19433" t="s">
        <v>47111</v>
      </c>
      <c r="J19433" t="s">
        <v>47112</v>
      </c>
      <c r="K19433" t="s">
        <v>47113</v>
      </c>
      <c r="L19433">
        <v>51.91</v>
      </c>
      <c r="M19433">
        <v>92</v>
      </c>
      <c r="N19433">
        <v>0</v>
      </c>
      <c r="O19433">
        <v>92</v>
      </c>
      <c r="P19433">
        <v>0</v>
      </c>
    </row>
    <row r="19434" spans="1:16" x14ac:dyDescent="0.25">
      <c r="A19434" t="s">
        <v>42075</v>
      </c>
      <c r="B19434" t="s">
        <v>18573</v>
      </c>
      <c r="C19434" t="s">
        <v>18574</v>
      </c>
      <c r="D19434" t="s">
        <v>18575</v>
      </c>
      <c r="E19434" t="s">
        <v>18576</v>
      </c>
      <c r="F19434" t="s">
        <v>16810</v>
      </c>
      <c r="G19434" t="s">
        <v>47093</v>
      </c>
      <c r="H19434" t="s">
        <v>47054</v>
      </c>
      <c r="I19434" t="s">
        <v>47111</v>
      </c>
      <c r="J19434" t="s">
        <v>47112</v>
      </c>
      <c r="K19434" t="s">
        <v>47113</v>
      </c>
      <c r="L19434">
        <v>69.61</v>
      </c>
      <c r="M19434">
        <v>140</v>
      </c>
      <c r="N19434">
        <v>0</v>
      </c>
      <c r="O19434">
        <v>140</v>
      </c>
      <c r="P19434">
        <v>0</v>
      </c>
    </row>
    <row r="19435" spans="1:16" x14ac:dyDescent="0.25">
      <c r="A19435" t="s">
        <v>42076</v>
      </c>
      <c r="B19435" t="s">
        <v>18577</v>
      </c>
      <c r="C19435" t="s">
        <v>18578</v>
      </c>
      <c r="D19435" t="s">
        <v>18579</v>
      </c>
      <c r="E19435" t="s">
        <v>18580</v>
      </c>
      <c r="F19435" t="s">
        <v>16810</v>
      </c>
      <c r="G19435" t="s">
        <v>49029</v>
      </c>
      <c r="H19435" t="s">
        <v>47054</v>
      </c>
      <c r="I19435" t="s">
        <v>47111</v>
      </c>
      <c r="J19435" t="s">
        <v>47112</v>
      </c>
      <c r="K19435" t="s">
        <v>47113</v>
      </c>
      <c r="L19435">
        <v>32.81</v>
      </c>
      <c r="M19435">
        <v>66</v>
      </c>
      <c r="N19435">
        <v>0</v>
      </c>
      <c r="O19435">
        <v>66</v>
      </c>
      <c r="P19435">
        <v>0</v>
      </c>
    </row>
    <row r="19436" spans="1:16" x14ac:dyDescent="0.25">
      <c r="A19436" t="s">
        <v>42077</v>
      </c>
      <c r="B19436" t="s">
        <v>18581</v>
      </c>
      <c r="C19436" t="s">
        <v>18578</v>
      </c>
      <c r="D19436" t="s">
        <v>18558</v>
      </c>
      <c r="E19436" t="s">
        <v>18559</v>
      </c>
      <c r="F19436" t="s">
        <v>16623</v>
      </c>
      <c r="G19436" t="s">
        <v>49029</v>
      </c>
      <c r="H19436" t="s">
        <v>47054</v>
      </c>
      <c r="I19436" t="s">
        <v>47111</v>
      </c>
      <c r="J19436" t="s">
        <v>47112</v>
      </c>
      <c r="K19436" t="s">
        <v>47113</v>
      </c>
      <c r="L19436">
        <v>39.28</v>
      </c>
      <c r="M19436">
        <v>79</v>
      </c>
      <c r="N19436">
        <v>0</v>
      </c>
      <c r="O19436">
        <v>79</v>
      </c>
      <c r="P19436">
        <v>0</v>
      </c>
    </row>
    <row r="19437" spans="1:16" x14ac:dyDescent="0.25">
      <c r="A19437" t="s">
        <v>42078</v>
      </c>
      <c r="B19437" t="s">
        <v>18582</v>
      </c>
      <c r="C19437" t="s">
        <v>18578</v>
      </c>
      <c r="D19437" t="s">
        <v>18583</v>
      </c>
      <c r="E19437" t="s">
        <v>18584</v>
      </c>
      <c r="F19437" t="s">
        <v>16810</v>
      </c>
      <c r="G19437" t="s">
        <v>49029</v>
      </c>
      <c r="H19437" t="s">
        <v>47054</v>
      </c>
      <c r="I19437" t="s">
        <v>47111</v>
      </c>
      <c r="J19437" t="s">
        <v>47112</v>
      </c>
      <c r="K19437" t="s">
        <v>47113</v>
      </c>
      <c r="L19437">
        <v>39.28</v>
      </c>
      <c r="M19437">
        <v>79</v>
      </c>
      <c r="N19437">
        <v>0</v>
      </c>
      <c r="O19437">
        <v>79</v>
      </c>
      <c r="P19437">
        <v>0</v>
      </c>
    </row>
    <row r="19438" spans="1:16" x14ac:dyDescent="0.25">
      <c r="A19438" t="s">
        <v>42079</v>
      </c>
      <c r="B19438" t="s">
        <v>15932</v>
      </c>
      <c r="C19438" t="s">
        <v>15933</v>
      </c>
      <c r="D19438" t="s">
        <v>15934</v>
      </c>
      <c r="E19438" t="s">
        <v>15935</v>
      </c>
      <c r="F19438" t="s">
        <v>15183</v>
      </c>
      <c r="G19438" t="s">
        <v>47093</v>
      </c>
      <c r="H19438" t="s">
        <v>47054</v>
      </c>
      <c r="I19438" t="s">
        <v>47111</v>
      </c>
      <c r="J19438" t="s">
        <v>47112</v>
      </c>
      <c r="K19438" t="s">
        <v>47113</v>
      </c>
      <c r="L19438">
        <v>78.739999999999995</v>
      </c>
      <c r="M19438">
        <v>118</v>
      </c>
      <c r="N19438">
        <v>0</v>
      </c>
      <c r="O19438">
        <v>118</v>
      </c>
      <c r="P19438">
        <v>0</v>
      </c>
    </row>
    <row r="19439" spans="1:16" x14ac:dyDescent="0.25">
      <c r="A19439" t="s">
        <v>42080</v>
      </c>
      <c r="B19439" t="s">
        <v>15936</v>
      </c>
      <c r="C19439" t="s">
        <v>15937</v>
      </c>
      <c r="D19439" t="str">
        <f>"1001"</f>
        <v>1001</v>
      </c>
      <c r="E19439" t="s">
        <v>7601</v>
      </c>
      <c r="F19439" t="s">
        <v>15183</v>
      </c>
      <c r="G19439" t="s">
        <v>47095</v>
      </c>
      <c r="H19439" t="s">
        <v>47054</v>
      </c>
      <c r="I19439" t="s">
        <v>47111</v>
      </c>
      <c r="J19439" t="s">
        <v>47112</v>
      </c>
      <c r="K19439" t="s">
        <v>47113</v>
      </c>
      <c r="L19439">
        <v>28.43</v>
      </c>
      <c r="M19439">
        <v>63</v>
      </c>
      <c r="N19439">
        <v>0</v>
      </c>
      <c r="O19439">
        <v>63</v>
      </c>
      <c r="P19439">
        <v>0</v>
      </c>
    </row>
    <row r="19440" spans="1:16" x14ac:dyDescent="0.25">
      <c r="A19440" t="s">
        <v>42081</v>
      </c>
      <c r="B19440" t="s">
        <v>15936</v>
      </c>
      <c r="C19440" t="s">
        <v>15937</v>
      </c>
      <c r="D19440" t="str">
        <f>"5000"</f>
        <v>5000</v>
      </c>
      <c r="E19440" t="s">
        <v>15939</v>
      </c>
      <c r="F19440" t="s">
        <v>15183</v>
      </c>
      <c r="G19440" t="s">
        <v>47095</v>
      </c>
      <c r="H19440" t="s">
        <v>47054</v>
      </c>
      <c r="I19440" t="s">
        <v>47111</v>
      </c>
      <c r="J19440" t="s">
        <v>47112</v>
      </c>
      <c r="K19440" t="s">
        <v>47113</v>
      </c>
      <c r="L19440">
        <v>28.43</v>
      </c>
      <c r="M19440">
        <v>63</v>
      </c>
      <c r="N19440">
        <v>0</v>
      </c>
      <c r="O19440">
        <v>63</v>
      </c>
      <c r="P19440">
        <v>0</v>
      </c>
    </row>
    <row r="19441" spans="1:16" x14ac:dyDescent="0.25">
      <c r="A19441" t="s">
        <v>42082</v>
      </c>
      <c r="B19441" t="s">
        <v>18585</v>
      </c>
      <c r="C19441" t="s">
        <v>15937</v>
      </c>
      <c r="D19441" t="str">
        <f>"1001"</f>
        <v>1001</v>
      </c>
      <c r="E19441" t="s">
        <v>7601</v>
      </c>
      <c r="F19441" t="s">
        <v>15183</v>
      </c>
      <c r="G19441" t="s">
        <v>47095</v>
      </c>
      <c r="H19441" t="s">
        <v>47054</v>
      </c>
      <c r="I19441" t="s">
        <v>47120</v>
      </c>
      <c r="J19441" t="s">
        <v>47121</v>
      </c>
      <c r="K19441" t="s">
        <v>47113</v>
      </c>
      <c r="L19441">
        <v>34.83</v>
      </c>
      <c r="M19441">
        <v>74</v>
      </c>
      <c r="N19441">
        <v>0</v>
      </c>
      <c r="O19441">
        <v>74</v>
      </c>
      <c r="P19441">
        <v>0</v>
      </c>
    </row>
    <row r="19442" spans="1:16" x14ac:dyDescent="0.25">
      <c r="A19442" t="s">
        <v>42083</v>
      </c>
      <c r="B19442" t="s">
        <v>42084</v>
      </c>
      <c r="C19442" t="s">
        <v>42085</v>
      </c>
      <c r="D19442" t="s">
        <v>42086</v>
      </c>
      <c r="E19442" t="s">
        <v>42087</v>
      </c>
      <c r="F19442" t="s">
        <v>20496</v>
      </c>
      <c r="G19442" t="s">
        <v>47093</v>
      </c>
      <c r="H19442" t="s">
        <v>47054</v>
      </c>
      <c r="I19442" t="s">
        <v>47120</v>
      </c>
      <c r="J19442" t="s">
        <v>47121</v>
      </c>
      <c r="K19442" t="s">
        <v>47113</v>
      </c>
      <c r="L19442">
        <v>53.29</v>
      </c>
      <c r="M19442">
        <v>149</v>
      </c>
      <c r="N19442">
        <v>0</v>
      </c>
      <c r="O19442">
        <v>149</v>
      </c>
      <c r="P19442">
        <v>0</v>
      </c>
    </row>
    <row r="19443" spans="1:16" x14ac:dyDescent="0.25">
      <c r="A19443" t="s">
        <v>42088</v>
      </c>
      <c r="B19443" t="s">
        <v>15940</v>
      </c>
      <c r="C19443" t="s">
        <v>14340</v>
      </c>
      <c r="D19443" t="s">
        <v>15900</v>
      </c>
      <c r="E19443" t="s">
        <v>15941</v>
      </c>
      <c r="F19443" t="s">
        <v>15183</v>
      </c>
      <c r="G19443" t="s">
        <v>47093</v>
      </c>
      <c r="H19443" t="s">
        <v>47054</v>
      </c>
      <c r="I19443" t="s">
        <v>47111</v>
      </c>
      <c r="J19443" t="s">
        <v>47112</v>
      </c>
      <c r="K19443" t="s">
        <v>47113</v>
      </c>
      <c r="L19443">
        <v>59.47</v>
      </c>
      <c r="M19443">
        <v>103</v>
      </c>
      <c r="N19443">
        <v>0</v>
      </c>
      <c r="O19443">
        <v>103</v>
      </c>
      <c r="P19443">
        <v>0</v>
      </c>
    </row>
    <row r="19444" spans="1:16" x14ac:dyDescent="0.25">
      <c r="A19444" t="s">
        <v>42089</v>
      </c>
      <c r="B19444" t="s">
        <v>15942</v>
      </c>
      <c r="C19444" t="s">
        <v>14340</v>
      </c>
      <c r="D19444" t="s">
        <v>15943</v>
      </c>
      <c r="E19444" t="s">
        <v>15944</v>
      </c>
      <c r="F19444" t="s">
        <v>15183</v>
      </c>
      <c r="G19444" t="s">
        <v>47093</v>
      </c>
      <c r="H19444" t="s">
        <v>47054</v>
      </c>
      <c r="I19444" t="s">
        <v>47111</v>
      </c>
      <c r="J19444" t="s">
        <v>47112</v>
      </c>
      <c r="K19444" t="s">
        <v>47113</v>
      </c>
      <c r="L19444">
        <v>59.47</v>
      </c>
      <c r="M19444">
        <v>103</v>
      </c>
      <c r="N19444">
        <v>0</v>
      </c>
      <c r="O19444">
        <v>103</v>
      </c>
      <c r="P19444">
        <v>0</v>
      </c>
    </row>
    <row r="19445" spans="1:16" x14ac:dyDescent="0.25">
      <c r="A19445" t="s">
        <v>42090</v>
      </c>
      <c r="B19445" t="s">
        <v>15945</v>
      </c>
      <c r="C19445" t="s">
        <v>14340</v>
      </c>
      <c r="D19445" t="s">
        <v>15913</v>
      </c>
      <c r="E19445" t="s">
        <v>15914</v>
      </c>
      <c r="F19445" t="s">
        <v>15183</v>
      </c>
      <c r="G19445" t="s">
        <v>47093</v>
      </c>
      <c r="H19445" t="s">
        <v>47054</v>
      </c>
      <c r="I19445" t="s">
        <v>47111</v>
      </c>
      <c r="J19445" t="s">
        <v>47112</v>
      </c>
      <c r="K19445" t="s">
        <v>47113</v>
      </c>
      <c r="L19445">
        <v>36.67</v>
      </c>
      <c r="M19445">
        <v>74</v>
      </c>
      <c r="N19445">
        <v>0</v>
      </c>
      <c r="O19445">
        <v>74</v>
      </c>
      <c r="P19445">
        <v>0</v>
      </c>
    </row>
    <row r="19446" spans="1:16" x14ac:dyDescent="0.25">
      <c r="A19446" t="s">
        <v>42091</v>
      </c>
      <c r="B19446" t="s">
        <v>15946</v>
      </c>
      <c r="C19446" t="s">
        <v>14340</v>
      </c>
      <c r="D19446" t="s">
        <v>15919</v>
      </c>
      <c r="E19446" t="s">
        <v>15947</v>
      </c>
      <c r="F19446" t="s">
        <v>15183</v>
      </c>
      <c r="G19446" t="s">
        <v>47093</v>
      </c>
      <c r="H19446" t="s">
        <v>47054</v>
      </c>
      <c r="I19446" t="s">
        <v>47111</v>
      </c>
      <c r="J19446" t="s">
        <v>47112</v>
      </c>
      <c r="K19446" t="s">
        <v>47113</v>
      </c>
      <c r="L19446">
        <v>44.5</v>
      </c>
      <c r="M19446">
        <v>92</v>
      </c>
      <c r="N19446">
        <v>0</v>
      </c>
      <c r="O19446">
        <v>92</v>
      </c>
      <c r="P19446">
        <v>0</v>
      </c>
    </row>
    <row r="19447" spans="1:16" x14ac:dyDescent="0.25">
      <c r="A19447" t="s">
        <v>42092</v>
      </c>
      <c r="B19447" t="s">
        <v>18586</v>
      </c>
      <c r="C19447" t="s">
        <v>16368</v>
      </c>
      <c r="D19447" t="s">
        <v>18587</v>
      </c>
      <c r="E19447" t="s">
        <v>18588</v>
      </c>
      <c r="F19447" t="s">
        <v>16810</v>
      </c>
      <c r="G19447" t="s">
        <v>47093</v>
      </c>
      <c r="H19447" t="s">
        <v>47054</v>
      </c>
      <c r="I19447" t="s">
        <v>47111</v>
      </c>
      <c r="J19447" t="s">
        <v>47112</v>
      </c>
      <c r="K19447" t="s">
        <v>47113</v>
      </c>
      <c r="L19447">
        <v>55.06</v>
      </c>
      <c r="M19447">
        <v>111</v>
      </c>
      <c r="N19447">
        <v>0</v>
      </c>
      <c r="O19447">
        <v>111</v>
      </c>
      <c r="P19447">
        <v>0</v>
      </c>
    </row>
    <row r="19448" spans="1:16" x14ac:dyDescent="0.25">
      <c r="A19448" t="s">
        <v>42093</v>
      </c>
      <c r="B19448" t="s">
        <v>18589</v>
      </c>
      <c r="C19448" t="s">
        <v>16368</v>
      </c>
      <c r="D19448" t="s">
        <v>18590</v>
      </c>
      <c r="E19448" t="s">
        <v>18591</v>
      </c>
      <c r="F19448" t="s">
        <v>16810</v>
      </c>
      <c r="G19448" t="s">
        <v>47093</v>
      </c>
      <c r="H19448" t="s">
        <v>47054</v>
      </c>
      <c r="I19448" t="s">
        <v>47111</v>
      </c>
      <c r="J19448" t="s">
        <v>47112</v>
      </c>
      <c r="K19448" t="s">
        <v>47113</v>
      </c>
      <c r="L19448">
        <v>49.54</v>
      </c>
      <c r="M19448">
        <v>100</v>
      </c>
      <c r="N19448">
        <v>0</v>
      </c>
      <c r="O19448">
        <v>100</v>
      </c>
      <c r="P19448">
        <v>0</v>
      </c>
    </row>
    <row r="19449" spans="1:16" x14ac:dyDescent="0.25">
      <c r="A19449" t="s">
        <v>42094</v>
      </c>
      <c r="B19449" t="s">
        <v>21689</v>
      </c>
      <c r="C19449" t="s">
        <v>16368</v>
      </c>
      <c r="D19449" t="s">
        <v>21662</v>
      </c>
      <c r="E19449" t="s">
        <v>21663</v>
      </c>
      <c r="F19449" t="s">
        <v>17351</v>
      </c>
      <c r="G19449" t="s">
        <v>47093</v>
      </c>
      <c r="H19449" t="s">
        <v>47054</v>
      </c>
      <c r="I19449" t="s">
        <v>47111</v>
      </c>
      <c r="J19449" t="s">
        <v>47112</v>
      </c>
      <c r="K19449" t="s">
        <v>47113</v>
      </c>
      <c r="L19449">
        <v>82.68</v>
      </c>
      <c r="M19449">
        <v>174</v>
      </c>
      <c r="N19449">
        <v>0</v>
      </c>
      <c r="O19449">
        <v>174</v>
      </c>
      <c r="P19449">
        <v>0</v>
      </c>
    </row>
    <row r="19450" spans="1:16" x14ac:dyDescent="0.25">
      <c r="A19450" t="s">
        <v>42095</v>
      </c>
      <c r="B19450" t="s">
        <v>21690</v>
      </c>
      <c r="C19450" t="s">
        <v>16368</v>
      </c>
      <c r="D19450" t="s">
        <v>21441</v>
      </c>
      <c r="E19450" t="s">
        <v>21442</v>
      </c>
      <c r="F19450" t="s">
        <v>17351</v>
      </c>
      <c r="G19450" t="s">
        <v>47093</v>
      </c>
      <c r="H19450" t="s">
        <v>47054</v>
      </c>
      <c r="I19450" t="s">
        <v>47116</v>
      </c>
      <c r="J19450" t="s">
        <v>47117</v>
      </c>
      <c r="K19450" t="s">
        <v>47113</v>
      </c>
      <c r="L19450">
        <v>81.38</v>
      </c>
      <c r="M19450">
        <v>159</v>
      </c>
      <c r="N19450">
        <v>0</v>
      </c>
      <c r="O19450">
        <v>159</v>
      </c>
      <c r="P19450">
        <v>0</v>
      </c>
    </row>
    <row r="19451" spans="1:16" x14ac:dyDescent="0.25">
      <c r="A19451" t="s">
        <v>42096</v>
      </c>
      <c r="B19451" t="s">
        <v>21691</v>
      </c>
      <c r="C19451" t="s">
        <v>21692</v>
      </c>
      <c r="D19451" t="s">
        <v>21682</v>
      </c>
      <c r="E19451" t="s">
        <v>21683</v>
      </c>
      <c r="F19451" t="s">
        <v>19559</v>
      </c>
      <c r="G19451" t="s">
        <v>47093</v>
      </c>
      <c r="H19451" t="s">
        <v>47054</v>
      </c>
      <c r="I19451" t="s">
        <v>47111</v>
      </c>
      <c r="J19451" t="s">
        <v>47112</v>
      </c>
      <c r="K19451" t="s">
        <v>47113</v>
      </c>
      <c r="L19451">
        <v>60.92</v>
      </c>
      <c r="M19451">
        <v>129</v>
      </c>
      <c r="N19451">
        <v>0</v>
      </c>
      <c r="O19451">
        <v>129</v>
      </c>
      <c r="P19451">
        <v>0</v>
      </c>
    </row>
    <row r="19452" spans="1:16" x14ac:dyDescent="0.25">
      <c r="A19452" t="s">
        <v>42097</v>
      </c>
      <c r="B19452" t="s">
        <v>21693</v>
      </c>
      <c r="C19452" t="s">
        <v>21692</v>
      </c>
      <c r="D19452" t="s">
        <v>19927</v>
      </c>
      <c r="E19452" t="s">
        <v>19928</v>
      </c>
      <c r="F19452" t="s">
        <v>19552</v>
      </c>
      <c r="G19452" t="s">
        <v>47093</v>
      </c>
      <c r="H19452" t="s">
        <v>47054</v>
      </c>
      <c r="I19452" t="s">
        <v>47111</v>
      </c>
      <c r="J19452" t="s">
        <v>47112</v>
      </c>
      <c r="K19452" t="s">
        <v>47113</v>
      </c>
      <c r="L19452">
        <v>67.02</v>
      </c>
      <c r="M19452">
        <v>137</v>
      </c>
      <c r="N19452">
        <v>0</v>
      </c>
      <c r="O19452">
        <v>137</v>
      </c>
      <c r="P19452">
        <v>0</v>
      </c>
    </row>
    <row r="19453" spans="1:16" x14ac:dyDescent="0.25">
      <c r="A19453" t="s">
        <v>42098</v>
      </c>
      <c r="B19453" t="s">
        <v>21694</v>
      </c>
      <c r="C19453" t="s">
        <v>21692</v>
      </c>
      <c r="D19453" t="str">
        <f>"1001"</f>
        <v>1001</v>
      </c>
      <c r="E19453" t="s">
        <v>21695</v>
      </c>
      <c r="F19453" t="s">
        <v>19552</v>
      </c>
      <c r="G19453" t="s">
        <v>47099</v>
      </c>
      <c r="H19453" t="s">
        <v>47054</v>
      </c>
      <c r="I19453" t="s">
        <v>47120</v>
      </c>
      <c r="J19453" t="s">
        <v>47121</v>
      </c>
      <c r="K19453" t="s">
        <v>47113</v>
      </c>
      <c r="L19453">
        <v>31.94</v>
      </c>
      <c r="M19453">
        <v>66</v>
      </c>
      <c r="N19453">
        <v>0</v>
      </c>
      <c r="O19453">
        <v>66</v>
      </c>
      <c r="P19453">
        <v>0</v>
      </c>
    </row>
    <row r="19454" spans="1:16" x14ac:dyDescent="0.25">
      <c r="A19454" t="s">
        <v>42099</v>
      </c>
      <c r="B19454" t="s">
        <v>21694</v>
      </c>
      <c r="C19454" t="s">
        <v>21692</v>
      </c>
      <c r="D19454" t="str">
        <f>"3071"</f>
        <v>3071</v>
      </c>
      <c r="E19454" t="s">
        <v>21696</v>
      </c>
      <c r="F19454" t="s">
        <v>19552</v>
      </c>
      <c r="G19454" t="s">
        <v>47099</v>
      </c>
      <c r="H19454" t="s">
        <v>47054</v>
      </c>
      <c r="I19454" t="s">
        <v>47120</v>
      </c>
      <c r="J19454" t="s">
        <v>47121</v>
      </c>
      <c r="K19454" t="s">
        <v>47113</v>
      </c>
      <c r="L19454">
        <v>31.94</v>
      </c>
      <c r="M19454">
        <v>66</v>
      </c>
      <c r="N19454">
        <v>0</v>
      </c>
      <c r="O19454">
        <v>66</v>
      </c>
      <c r="P19454">
        <v>0</v>
      </c>
    </row>
    <row r="19455" spans="1:16" x14ac:dyDescent="0.25">
      <c r="A19455" t="s">
        <v>42100</v>
      </c>
      <c r="B19455" t="s">
        <v>42101</v>
      </c>
      <c r="C19455" t="s">
        <v>42102</v>
      </c>
      <c r="D19455" t="s">
        <v>42103</v>
      </c>
      <c r="E19455" t="s">
        <v>42104</v>
      </c>
      <c r="F19455" t="s">
        <v>20496</v>
      </c>
      <c r="G19455" t="s">
        <v>47093</v>
      </c>
      <c r="H19455" t="s">
        <v>47054</v>
      </c>
      <c r="I19455" t="s">
        <v>47111</v>
      </c>
      <c r="J19455" t="s">
        <v>47112</v>
      </c>
      <c r="K19455" t="s">
        <v>47113</v>
      </c>
      <c r="L19455">
        <v>71.98</v>
      </c>
      <c r="M19455">
        <v>148</v>
      </c>
      <c r="N19455">
        <v>0</v>
      </c>
      <c r="O19455">
        <v>148</v>
      </c>
      <c r="P19455">
        <v>0</v>
      </c>
    </row>
    <row r="19456" spans="1:16" x14ac:dyDescent="0.25">
      <c r="A19456" t="s">
        <v>42105</v>
      </c>
      <c r="B19456" t="s">
        <v>42106</v>
      </c>
      <c r="C19456" t="s">
        <v>21692</v>
      </c>
      <c r="D19456" t="s">
        <v>40630</v>
      </c>
      <c r="E19456" t="s">
        <v>40631</v>
      </c>
      <c r="F19456" t="s">
        <v>21629</v>
      </c>
      <c r="G19456" t="s">
        <v>47093</v>
      </c>
      <c r="H19456" t="s">
        <v>47054</v>
      </c>
      <c r="I19456" t="s">
        <v>47116</v>
      </c>
      <c r="J19456" t="s">
        <v>47117</v>
      </c>
      <c r="K19456" t="s">
        <v>47113</v>
      </c>
      <c r="L19456">
        <v>46.01</v>
      </c>
      <c r="M19456">
        <v>111</v>
      </c>
      <c r="N19456">
        <v>0</v>
      </c>
      <c r="O19456">
        <v>111</v>
      </c>
      <c r="P19456">
        <v>0</v>
      </c>
    </row>
    <row r="19457" spans="1:16" x14ac:dyDescent="0.25">
      <c r="A19457" t="s">
        <v>42107</v>
      </c>
      <c r="B19457" t="s">
        <v>15948</v>
      </c>
      <c r="C19457" t="s">
        <v>15949</v>
      </c>
      <c r="D19457" t="str">
        <f>"1001"</f>
        <v>1001</v>
      </c>
      <c r="E19457" t="s">
        <v>7601</v>
      </c>
      <c r="F19457" t="s">
        <v>15183</v>
      </c>
      <c r="G19457" t="s">
        <v>47098</v>
      </c>
      <c r="H19457" t="s">
        <v>47054</v>
      </c>
      <c r="I19457" t="s">
        <v>47120</v>
      </c>
      <c r="J19457" t="s">
        <v>47121</v>
      </c>
      <c r="K19457" t="s">
        <v>47113</v>
      </c>
      <c r="L19457">
        <v>40.89</v>
      </c>
      <c r="M19457">
        <v>74</v>
      </c>
      <c r="N19457">
        <v>0</v>
      </c>
      <c r="O19457">
        <v>74</v>
      </c>
      <c r="P19457">
        <v>0</v>
      </c>
    </row>
    <row r="19458" spans="1:16" x14ac:dyDescent="0.25">
      <c r="A19458" t="s">
        <v>42108</v>
      </c>
      <c r="B19458" t="s">
        <v>15948</v>
      </c>
      <c r="C19458" t="s">
        <v>15949</v>
      </c>
      <c r="D19458" t="str">
        <f>"5000"</f>
        <v>5000</v>
      </c>
      <c r="E19458" t="s">
        <v>15321</v>
      </c>
      <c r="F19458" t="s">
        <v>15183</v>
      </c>
      <c r="G19458" t="s">
        <v>47098</v>
      </c>
      <c r="H19458" t="s">
        <v>47054</v>
      </c>
      <c r="I19458" t="s">
        <v>47120</v>
      </c>
      <c r="J19458" t="s">
        <v>47121</v>
      </c>
      <c r="K19458" t="s">
        <v>47113</v>
      </c>
      <c r="L19458">
        <v>40.89</v>
      </c>
      <c r="M19458">
        <v>74</v>
      </c>
      <c r="N19458">
        <v>0</v>
      </c>
      <c r="O19458">
        <v>74</v>
      </c>
      <c r="P19458">
        <v>0</v>
      </c>
    </row>
    <row r="19459" spans="1:16" x14ac:dyDescent="0.25">
      <c r="A19459" t="s">
        <v>42109</v>
      </c>
      <c r="B19459" t="s">
        <v>15950</v>
      </c>
      <c r="C19459" t="s">
        <v>18592</v>
      </c>
      <c r="D19459" t="s">
        <v>15880</v>
      </c>
      <c r="E19459" t="s">
        <v>15951</v>
      </c>
      <c r="F19459" t="s">
        <v>15183</v>
      </c>
      <c r="G19459" t="s">
        <v>47093</v>
      </c>
      <c r="H19459" t="s">
        <v>47054</v>
      </c>
      <c r="I19459" t="s">
        <v>47111</v>
      </c>
      <c r="J19459" t="s">
        <v>47112</v>
      </c>
      <c r="K19459" t="s">
        <v>47113</v>
      </c>
      <c r="L19459">
        <v>54.42</v>
      </c>
      <c r="M19459">
        <v>119</v>
      </c>
      <c r="N19459">
        <v>0</v>
      </c>
      <c r="O19459">
        <v>119</v>
      </c>
      <c r="P19459">
        <v>0</v>
      </c>
    </row>
    <row r="19460" spans="1:16" x14ac:dyDescent="0.25">
      <c r="A19460" t="s">
        <v>42110</v>
      </c>
      <c r="B19460" t="s">
        <v>21697</v>
      </c>
      <c r="C19460" t="s">
        <v>15953</v>
      </c>
      <c r="D19460" t="str">
        <f>"4143"</f>
        <v>4143</v>
      </c>
      <c r="E19460" t="s">
        <v>261</v>
      </c>
      <c r="F19460" t="s">
        <v>19552</v>
      </c>
      <c r="G19460" t="s">
        <v>47095</v>
      </c>
      <c r="H19460" t="s">
        <v>47054</v>
      </c>
      <c r="I19460" t="s">
        <v>47120</v>
      </c>
      <c r="J19460" t="s">
        <v>47121</v>
      </c>
      <c r="K19460" t="s">
        <v>47113</v>
      </c>
      <c r="L19460">
        <v>28.53</v>
      </c>
      <c r="M19460">
        <v>55</v>
      </c>
      <c r="N19460">
        <v>0</v>
      </c>
      <c r="O19460">
        <v>55</v>
      </c>
      <c r="P19460">
        <v>0</v>
      </c>
    </row>
    <row r="19461" spans="1:16" x14ac:dyDescent="0.25">
      <c r="A19461" t="s">
        <v>42111</v>
      </c>
      <c r="B19461" t="s">
        <v>15952</v>
      </c>
      <c r="C19461" t="s">
        <v>15953</v>
      </c>
      <c r="D19461" t="s">
        <v>15954</v>
      </c>
      <c r="E19461" t="s">
        <v>15955</v>
      </c>
      <c r="F19461" t="s">
        <v>15183</v>
      </c>
      <c r="G19461" t="s">
        <v>47095</v>
      </c>
      <c r="H19461" t="s">
        <v>47054</v>
      </c>
      <c r="I19461" t="s">
        <v>47120</v>
      </c>
      <c r="J19461" t="s">
        <v>47121</v>
      </c>
      <c r="K19461" t="s">
        <v>47113</v>
      </c>
      <c r="L19461">
        <v>32.049999999999997</v>
      </c>
      <c r="M19461">
        <v>59</v>
      </c>
      <c r="N19461">
        <v>0</v>
      </c>
      <c r="O19461">
        <v>59</v>
      </c>
      <c r="P19461">
        <v>0</v>
      </c>
    </row>
    <row r="19462" spans="1:16" x14ac:dyDescent="0.25">
      <c r="A19462" t="s">
        <v>42112</v>
      </c>
      <c r="B19462" t="s">
        <v>15956</v>
      </c>
      <c r="C19462" t="s">
        <v>15953</v>
      </c>
      <c r="D19462" t="s">
        <v>15957</v>
      </c>
      <c r="E19462" t="s">
        <v>15958</v>
      </c>
      <c r="F19462" t="s">
        <v>15183</v>
      </c>
      <c r="G19462" t="s">
        <v>47095</v>
      </c>
      <c r="H19462" t="s">
        <v>47054</v>
      </c>
      <c r="I19462" t="s">
        <v>47120</v>
      </c>
      <c r="J19462" t="s">
        <v>47121</v>
      </c>
      <c r="K19462" t="s">
        <v>47113</v>
      </c>
      <c r="L19462">
        <v>35.619999999999997</v>
      </c>
      <c r="M19462">
        <v>59</v>
      </c>
      <c r="N19462">
        <v>0</v>
      </c>
      <c r="O19462">
        <v>59</v>
      </c>
      <c r="P19462">
        <v>0</v>
      </c>
    </row>
    <row r="19463" spans="1:16" x14ac:dyDescent="0.25">
      <c r="A19463" t="s">
        <v>42113</v>
      </c>
      <c r="B19463" t="s">
        <v>15959</v>
      </c>
      <c r="C19463" t="s">
        <v>15953</v>
      </c>
      <c r="D19463" t="s">
        <v>15960</v>
      </c>
      <c r="E19463" t="s">
        <v>15961</v>
      </c>
      <c r="F19463" t="s">
        <v>15183</v>
      </c>
      <c r="G19463" t="s">
        <v>47095</v>
      </c>
      <c r="H19463" t="s">
        <v>47054</v>
      </c>
      <c r="I19463" t="s">
        <v>47120</v>
      </c>
      <c r="J19463" t="s">
        <v>47121</v>
      </c>
      <c r="K19463" t="s">
        <v>47113</v>
      </c>
      <c r="L19463">
        <v>26.42</v>
      </c>
      <c r="M19463">
        <v>59</v>
      </c>
      <c r="N19463">
        <v>0</v>
      </c>
      <c r="O19463">
        <v>59</v>
      </c>
      <c r="P19463">
        <v>0</v>
      </c>
    </row>
    <row r="19464" spans="1:16" x14ac:dyDescent="0.25">
      <c r="A19464" t="s">
        <v>42114</v>
      </c>
      <c r="B19464" t="s">
        <v>15962</v>
      </c>
      <c r="C19464" t="s">
        <v>15963</v>
      </c>
      <c r="D19464" t="str">
        <f>"1001"</f>
        <v>1001</v>
      </c>
      <c r="E19464" t="s">
        <v>42</v>
      </c>
      <c r="F19464" t="s">
        <v>15183</v>
      </c>
      <c r="G19464" t="s">
        <v>47102</v>
      </c>
      <c r="H19464" t="s">
        <v>47054</v>
      </c>
      <c r="I19464" t="s">
        <v>47120</v>
      </c>
      <c r="J19464" t="s">
        <v>47121</v>
      </c>
      <c r="K19464" t="s">
        <v>47113</v>
      </c>
      <c r="L19464">
        <v>51.21</v>
      </c>
      <c r="M19464">
        <v>111</v>
      </c>
      <c r="N19464">
        <v>0</v>
      </c>
      <c r="O19464">
        <v>111</v>
      </c>
      <c r="P19464">
        <v>0</v>
      </c>
    </row>
    <row r="19465" spans="1:16" x14ac:dyDescent="0.25">
      <c r="A19465" t="s">
        <v>42115</v>
      </c>
      <c r="B19465" t="s">
        <v>15964</v>
      </c>
      <c r="C19465" t="s">
        <v>18593</v>
      </c>
      <c r="D19465" t="str">
        <f>"1001"</f>
        <v>1001</v>
      </c>
      <c r="E19465" t="s">
        <v>42</v>
      </c>
      <c r="F19465" t="s">
        <v>15183</v>
      </c>
      <c r="G19465" t="s">
        <v>47102</v>
      </c>
      <c r="H19465" t="s">
        <v>47054</v>
      </c>
      <c r="I19465" t="s">
        <v>47120</v>
      </c>
      <c r="J19465" t="s">
        <v>47121</v>
      </c>
      <c r="K19465" t="s">
        <v>47113</v>
      </c>
      <c r="L19465">
        <v>57.14</v>
      </c>
      <c r="M19465">
        <v>129</v>
      </c>
      <c r="N19465">
        <v>0</v>
      </c>
      <c r="O19465">
        <v>129</v>
      </c>
      <c r="P19465">
        <v>0</v>
      </c>
    </row>
    <row r="19466" spans="1:16" x14ac:dyDescent="0.25">
      <c r="A19466" t="s">
        <v>42116</v>
      </c>
      <c r="B19466" t="s">
        <v>15965</v>
      </c>
      <c r="C19466" t="s">
        <v>15966</v>
      </c>
      <c r="D19466" t="s">
        <v>15967</v>
      </c>
      <c r="E19466" t="s">
        <v>15968</v>
      </c>
      <c r="F19466" t="s">
        <v>15183</v>
      </c>
      <c r="G19466" t="s">
        <v>47093</v>
      </c>
      <c r="H19466" t="s">
        <v>47054</v>
      </c>
      <c r="I19466" t="s">
        <v>47111</v>
      </c>
      <c r="J19466" t="s">
        <v>47112</v>
      </c>
      <c r="K19466" t="s">
        <v>47113</v>
      </c>
      <c r="L19466">
        <v>30.9</v>
      </c>
      <c r="M19466">
        <v>92</v>
      </c>
      <c r="N19466">
        <v>0</v>
      </c>
      <c r="O19466">
        <v>92</v>
      </c>
      <c r="P19466">
        <v>0</v>
      </c>
    </row>
    <row r="19467" spans="1:16" x14ac:dyDescent="0.25">
      <c r="A19467" t="s">
        <v>42117</v>
      </c>
      <c r="B19467" t="s">
        <v>18594</v>
      </c>
      <c r="C19467" t="s">
        <v>18595</v>
      </c>
      <c r="D19467" t="s">
        <v>18596</v>
      </c>
      <c r="E19467" t="s">
        <v>18597</v>
      </c>
      <c r="F19467" t="s">
        <v>15183</v>
      </c>
      <c r="G19467" t="s">
        <v>47093</v>
      </c>
      <c r="H19467" t="s">
        <v>47054</v>
      </c>
      <c r="I19467" t="s">
        <v>47111</v>
      </c>
      <c r="J19467" t="s">
        <v>47112</v>
      </c>
      <c r="K19467" t="s">
        <v>47113</v>
      </c>
      <c r="L19467">
        <v>41.69</v>
      </c>
      <c r="M19467">
        <v>85</v>
      </c>
      <c r="N19467">
        <v>0</v>
      </c>
      <c r="O19467">
        <v>85</v>
      </c>
      <c r="P19467">
        <v>0</v>
      </c>
    </row>
    <row r="19468" spans="1:16" x14ac:dyDescent="0.25">
      <c r="A19468" t="s">
        <v>42118</v>
      </c>
      <c r="B19468" t="s">
        <v>18598</v>
      </c>
      <c r="C19468" t="s">
        <v>18595</v>
      </c>
      <c r="D19468" t="s">
        <v>18599</v>
      </c>
      <c r="E19468" t="s">
        <v>18600</v>
      </c>
      <c r="F19468" t="s">
        <v>15183</v>
      </c>
      <c r="G19468" t="s">
        <v>47093</v>
      </c>
      <c r="H19468" t="s">
        <v>47054</v>
      </c>
      <c r="I19468" t="s">
        <v>47111</v>
      </c>
      <c r="J19468" t="s">
        <v>47112</v>
      </c>
      <c r="K19468" t="s">
        <v>47113</v>
      </c>
      <c r="L19468">
        <v>42.87</v>
      </c>
      <c r="M19468">
        <v>85</v>
      </c>
      <c r="N19468">
        <v>0</v>
      </c>
      <c r="O19468">
        <v>85</v>
      </c>
      <c r="P19468">
        <v>0</v>
      </c>
    </row>
    <row r="19469" spans="1:16" x14ac:dyDescent="0.25">
      <c r="A19469" t="s">
        <v>42119</v>
      </c>
      <c r="B19469" t="s">
        <v>15969</v>
      </c>
      <c r="C19469" t="s">
        <v>18601</v>
      </c>
      <c r="D19469" t="str">
        <f>"1001"</f>
        <v>1001</v>
      </c>
      <c r="E19469" t="s">
        <v>42</v>
      </c>
      <c r="F19469" t="s">
        <v>3558</v>
      </c>
      <c r="G19469" t="s">
        <v>47095</v>
      </c>
      <c r="H19469" t="s">
        <v>47054</v>
      </c>
      <c r="I19469" t="s">
        <v>47111</v>
      </c>
      <c r="J19469" t="s">
        <v>47112</v>
      </c>
      <c r="K19469" t="s">
        <v>47113</v>
      </c>
      <c r="L19469">
        <v>13.31</v>
      </c>
      <c r="M19469">
        <v>22</v>
      </c>
      <c r="N19469">
        <v>0</v>
      </c>
      <c r="O19469">
        <v>22</v>
      </c>
      <c r="P19469">
        <v>0</v>
      </c>
    </row>
    <row r="19470" spans="1:16" x14ac:dyDescent="0.25">
      <c r="A19470" t="s">
        <v>42120</v>
      </c>
      <c r="B19470" t="s">
        <v>18602</v>
      </c>
      <c r="C19470" t="s">
        <v>18603</v>
      </c>
      <c r="D19470" t="str">
        <f>"1001"</f>
        <v>1001</v>
      </c>
      <c r="E19470" t="s">
        <v>42</v>
      </c>
      <c r="F19470" t="s">
        <v>3670</v>
      </c>
      <c r="G19470" t="s">
        <v>47094</v>
      </c>
      <c r="H19470" t="s">
        <v>47054</v>
      </c>
      <c r="I19470" t="s">
        <v>47111</v>
      </c>
      <c r="J19470" t="s">
        <v>47112</v>
      </c>
      <c r="K19470" t="s">
        <v>47113</v>
      </c>
      <c r="L19470">
        <v>17.7</v>
      </c>
      <c r="M19470">
        <v>37</v>
      </c>
      <c r="N19470">
        <v>0</v>
      </c>
      <c r="O19470">
        <v>37</v>
      </c>
      <c r="P19470">
        <v>0</v>
      </c>
    </row>
    <row r="19471" spans="1:16" x14ac:dyDescent="0.25">
      <c r="A19471" t="s">
        <v>42121</v>
      </c>
      <c r="B19471" t="s">
        <v>15970</v>
      </c>
      <c r="C19471" t="s">
        <v>15971</v>
      </c>
      <c r="D19471" t="str">
        <f>"1001"</f>
        <v>1001</v>
      </c>
      <c r="E19471" t="s">
        <v>42</v>
      </c>
      <c r="F19471" t="s">
        <v>3670</v>
      </c>
      <c r="G19471" t="s">
        <v>49363</v>
      </c>
      <c r="H19471" t="s">
        <v>47054</v>
      </c>
      <c r="I19471" t="s">
        <v>47111</v>
      </c>
      <c r="J19471" t="s">
        <v>47112</v>
      </c>
      <c r="K19471" t="s">
        <v>47113</v>
      </c>
      <c r="L19471">
        <v>14.88</v>
      </c>
      <c r="M19471">
        <v>37</v>
      </c>
      <c r="N19471">
        <v>0</v>
      </c>
      <c r="O19471">
        <v>37</v>
      </c>
      <c r="P19471">
        <v>0</v>
      </c>
    </row>
    <row r="19472" spans="1:16" x14ac:dyDescent="0.25">
      <c r="A19472" t="s">
        <v>42122</v>
      </c>
      <c r="B19472" t="s">
        <v>15972</v>
      </c>
      <c r="C19472" t="s">
        <v>15973</v>
      </c>
      <c r="D19472" t="str">
        <f>"1100"</f>
        <v>1100</v>
      </c>
      <c r="E19472" t="s">
        <v>15974</v>
      </c>
      <c r="F19472" t="s">
        <v>3558</v>
      </c>
      <c r="G19472" t="s">
        <v>47099</v>
      </c>
      <c r="H19472" t="s">
        <v>47054</v>
      </c>
      <c r="I19472" t="s">
        <v>47111</v>
      </c>
      <c r="J19472" t="s">
        <v>47112</v>
      </c>
      <c r="K19472" t="s">
        <v>47113</v>
      </c>
      <c r="L19472">
        <v>54.05</v>
      </c>
      <c r="M19472">
        <v>96</v>
      </c>
      <c r="N19472">
        <v>0</v>
      </c>
      <c r="O19472">
        <v>96</v>
      </c>
      <c r="P19472">
        <v>0</v>
      </c>
    </row>
    <row r="19473" spans="1:16" x14ac:dyDescent="0.25">
      <c r="A19473" t="s">
        <v>42123</v>
      </c>
      <c r="B19473" t="s">
        <v>15972</v>
      </c>
      <c r="C19473" t="s">
        <v>15973</v>
      </c>
      <c r="D19473" t="str">
        <f>"4000"</f>
        <v>4000</v>
      </c>
      <c r="E19473" t="s">
        <v>15975</v>
      </c>
      <c r="F19473" t="s">
        <v>3558</v>
      </c>
      <c r="G19473" t="s">
        <v>47099</v>
      </c>
      <c r="H19473" t="s">
        <v>47054</v>
      </c>
      <c r="I19473" t="s">
        <v>47111</v>
      </c>
      <c r="J19473" t="s">
        <v>47112</v>
      </c>
      <c r="K19473" t="s">
        <v>47113</v>
      </c>
      <c r="L19473">
        <v>54.05</v>
      </c>
      <c r="M19473">
        <v>96</v>
      </c>
      <c r="N19473">
        <v>0</v>
      </c>
      <c r="O19473">
        <v>96</v>
      </c>
      <c r="P19473">
        <v>0</v>
      </c>
    </row>
    <row r="19474" spans="1:16" x14ac:dyDescent="0.25">
      <c r="A19474" t="s">
        <v>42124</v>
      </c>
      <c r="B19474" t="s">
        <v>15976</v>
      </c>
      <c r="C19474" t="s">
        <v>15973</v>
      </c>
      <c r="D19474" t="str">
        <f>"1700"</f>
        <v>1700</v>
      </c>
      <c r="E19474" t="s">
        <v>807</v>
      </c>
      <c r="F19474" t="s">
        <v>3558</v>
      </c>
      <c r="G19474" t="s">
        <v>47093</v>
      </c>
      <c r="H19474" t="s">
        <v>47054</v>
      </c>
      <c r="I19474" t="s">
        <v>47111</v>
      </c>
      <c r="J19474" t="s">
        <v>47112</v>
      </c>
      <c r="K19474" t="s">
        <v>47113</v>
      </c>
      <c r="L19474">
        <v>39.83</v>
      </c>
      <c r="M19474">
        <v>92</v>
      </c>
      <c r="N19474">
        <v>0</v>
      </c>
      <c r="O19474">
        <v>92</v>
      </c>
      <c r="P19474">
        <v>0</v>
      </c>
    </row>
    <row r="19475" spans="1:16" x14ac:dyDescent="0.25">
      <c r="A19475" t="s">
        <v>42125</v>
      </c>
      <c r="B19475" t="s">
        <v>15976</v>
      </c>
      <c r="C19475" t="s">
        <v>15973</v>
      </c>
      <c r="D19475" t="str">
        <f>"6003"</f>
        <v>6003</v>
      </c>
      <c r="E19475" t="s">
        <v>15977</v>
      </c>
      <c r="F19475" t="s">
        <v>3558</v>
      </c>
      <c r="G19475" t="s">
        <v>47093</v>
      </c>
      <c r="H19475" t="s">
        <v>47054</v>
      </c>
      <c r="I19475" t="s">
        <v>47111</v>
      </c>
      <c r="J19475" t="s">
        <v>47112</v>
      </c>
      <c r="K19475" t="s">
        <v>47113</v>
      </c>
      <c r="L19475">
        <v>39.83</v>
      </c>
      <c r="M19475">
        <v>92</v>
      </c>
      <c r="N19475">
        <v>0</v>
      </c>
      <c r="O19475">
        <v>92</v>
      </c>
      <c r="P19475">
        <v>0</v>
      </c>
    </row>
    <row r="19476" spans="1:16" x14ac:dyDescent="0.25">
      <c r="A19476" t="s">
        <v>42126</v>
      </c>
      <c r="B19476" t="s">
        <v>18604</v>
      </c>
      <c r="C19476" t="s">
        <v>11323</v>
      </c>
      <c r="D19476" t="s">
        <v>18605</v>
      </c>
      <c r="E19476" t="s">
        <v>18606</v>
      </c>
      <c r="F19476" t="s">
        <v>16601</v>
      </c>
      <c r="G19476" t="s">
        <v>47093</v>
      </c>
      <c r="I19476" t="s">
        <v>47111</v>
      </c>
      <c r="J19476" t="s">
        <v>47112</v>
      </c>
      <c r="K19476" t="s">
        <v>47113</v>
      </c>
      <c r="L19476">
        <v>64.05</v>
      </c>
      <c r="M19476">
        <v>92</v>
      </c>
      <c r="N19476">
        <v>0</v>
      </c>
      <c r="O19476">
        <v>92</v>
      </c>
      <c r="P19476">
        <v>0</v>
      </c>
    </row>
    <row r="19477" spans="1:16" x14ac:dyDescent="0.25">
      <c r="A19477" t="s">
        <v>42127</v>
      </c>
      <c r="B19477" t="s">
        <v>18607</v>
      </c>
      <c r="C19477" t="s">
        <v>18608</v>
      </c>
      <c r="D19477" t="s">
        <v>18490</v>
      </c>
      <c r="E19477" t="s">
        <v>18491</v>
      </c>
      <c r="F19477" t="s">
        <v>16601</v>
      </c>
      <c r="G19477" t="s">
        <v>47093</v>
      </c>
      <c r="I19477" t="s">
        <v>47111</v>
      </c>
      <c r="J19477" t="s">
        <v>47112</v>
      </c>
      <c r="K19477" t="s">
        <v>47113</v>
      </c>
      <c r="L19477">
        <v>46.31</v>
      </c>
      <c r="M19477">
        <v>103</v>
      </c>
      <c r="N19477">
        <v>0</v>
      </c>
      <c r="O19477">
        <v>103</v>
      </c>
      <c r="P19477">
        <v>0</v>
      </c>
    </row>
    <row r="19478" spans="1:16" x14ac:dyDescent="0.25">
      <c r="A19478" t="s">
        <v>42128</v>
      </c>
      <c r="B19478" t="s">
        <v>18609</v>
      </c>
      <c r="C19478" t="s">
        <v>18610</v>
      </c>
      <c r="D19478" t="str">
        <f>"1001"</f>
        <v>1001</v>
      </c>
      <c r="E19478" t="s">
        <v>42</v>
      </c>
      <c r="F19478" t="s">
        <v>15183</v>
      </c>
      <c r="G19478" t="s">
        <v>47094</v>
      </c>
      <c r="H19478" t="s">
        <v>47054</v>
      </c>
      <c r="I19478" t="s">
        <v>47111</v>
      </c>
      <c r="J19478" t="s">
        <v>47112</v>
      </c>
      <c r="K19478" t="s">
        <v>47113</v>
      </c>
      <c r="L19478">
        <v>28.65</v>
      </c>
      <c r="M19478">
        <v>74</v>
      </c>
      <c r="N19478">
        <v>0</v>
      </c>
      <c r="O19478">
        <v>74</v>
      </c>
      <c r="P19478">
        <v>0</v>
      </c>
    </row>
    <row r="19479" spans="1:16" x14ac:dyDescent="0.25">
      <c r="A19479" t="s">
        <v>42129</v>
      </c>
      <c r="B19479" t="s">
        <v>18611</v>
      </c>
      <c r="C19479" t="s">
        <v>9504</v>
      </c>
      <c r="D19479" t="s">
        <v>18612</v>
      </c>
      <c r="E19479" t="s">
        <v>18613</v>
      </c>
      <c r="F19479" t="s">
        <v>15183</v>
      </c>
      <c r="G19479" t="s">
        <v>47093</v>
      </c>
      <c r="I19479" t="s">
        <v>47111</v>
      </c>
      <c r="J19479" t="s">
        <v>47112</v>
      </c>
      <c r="K19479" t="s">
        <v>47113</v>
      </c>
      <c r="L19479">
        <v>39.92</v>
      </c>
      <c r="M19479">
        <v>70</v>
      </c>
      <c r="N19479">
        <v>0</v>
      </c>
      <c r="O19479">
        <v>70</v>
      </c>
      <c r="P19479">
        <v>0</v>
      </c>
    </row>
    <row r="19480" spans="1:16" x14ac:dyDescent="0.25">
      <c r="A19480" t="s">
        <v>42130</v>
      </c>
      <c r="B19480" t="s">
        <v>18614</v>
      </c>
      <c r="C19480" t="s">
        <v>9504</v>
      </c>
      <c r="D19480" t="s">
        <v>18469</v>
      </c>
      <c r="E19480" t="s">
        <v>18470</v>
      </c>
      <c r="F19480" t="s">
        <v>2068</v>
      </c>
      <c r="G19480" t="s">
        <v>47093</v>
      </c>
      <c r="H19480" t="s">
        <v>47054</v>
      </c>
      <c r="I19480" t="s">
        <v>47111</v>
      </c>
      <c r="J19480" t="s">
        <v>47112</v>
      </c>
      <c r="K19480" t="s">
        <v>47113</v>
      </c>
      <c r="L19480">
        <v>35.28</v>
      </c>
      <c r="M19480">
        <v>85</v>
      </c>
      <c r="N19480">
        <v>0</v>
      </c>
      <c r="O19480">
        <v>85</v>
      </c>
      <c r="P19480">
        <v>0</v>
      </c>
    </row>
    <row r="19481" spans="1:16" x14ac:dyDescent="0.25">
      <c r="A19481" t="s">
        <v>42131</v>
      </c>
      <c r="B19481" t="s">
        <v>21698</v>
      </c>
      <c r="C19481" t="s">
        <v>10601</v>
      </c>
      <c r="D19481" t="s">
        <v>21285</v>
      </c>
      <c r="E19481" t="s">
        <v>21286</v>
      </c>
      <c r="F19481" t="s">
        <v>19878</v>
      </c>
      <c r="G19481" t="s">
        <v>47093</v>
      </c>
      <c r="I19481" t="s">
        <v>47111</v>
      </c>
      <c r="J19481" t="s">
        <v>47112</v>
      </c>
      <c r="K19481" t="s">
        <v>47113</v>
      </c>
      <c r="L19481">
        <v>50.01</v>
      </c>
      <c r="M19481">
        <v>111</v>
      </c>
      <c r="N19481">
        <v>0</v>
      </c>
      <c r="O19481">
        <v>111</v>
      </c>
      <c r="P19481">
        <v>0</v>
      </c>
    </row>
    <row r="19482" spans="1:16" x14ac:dyDescent="0.25">
      <c r="A19482" t="s">
        <v>42132</v>
      </c>
      <c r="B19482" t="s">
        <v>21699</v>
      </c>
      <c r="C19482" t="s">
        <v>10601</v>
      </c>
      <c r="D19482" t="s">
        <v>21679</v>
      </c>
      <c r="E19482" t="s">
        <v>21680</v>
      </c>
      <c r="F19482" t="s">
        <v>19559</v>
      </c>
      <c r="G19482" t="s">
        <v>47093</v>
      </c>
      <c r="H19482" t="s">
        <v>47054</v>
      </c>
      <c r="I19482" t="s">
        <v>47111</v>
      </c>
      <c r="J19482" t="s">
        <v>47112</v>
      </c>
      <c r="K19482" t="s">
        <v>47113</v>
      </c>
      <c r="L19482">
        <v>29.35</v>
      </c>
      <c r="M19482">
        <v>66</v>
      </c>
      <c r="N19482">
        <v>0</v>
      </c>
      <c r="O19482">
        <v>66</v>
      </c>
      <c r="P19482">
        <v>0</v>
      </c>
    </row>
    <row r="19483" spans="1:16" x14ac:dyDescent="0.25">
      <c r="A19483" t="s">
        <v>42133</v>
      </c>
      <c r="B19483" t="s">
        <v>21700</v>
      </c>
      <c r="C19483" t="s">
        <v>10601</v>
      </c>
      <c r="D19483" t="s">
        <v>21647</v>
      </c>
      <c r="E19483" t="s">
        <v>21648</v>
      </c>
      <c r="F19483" t="s">
        <v>19878</v>
      </c>
      <c r="G19483" t="s">
        <v>47093</v>
      </c>
      <c r="I19483" t="s">
        <v>47544</v>
      </c>
      <c r="J19483" t="s">
        <v>47545</v>
      </c>
      <c r="K19483" t="s">
        <v>47113</v>
      </c>
      <c r="L19483">
        <v>26.63</v>
      </c>
      <c r="M19483">
        <v>66</v>
      </c>
      <c r="N19483">
        <v>0</v>
      </c>
      <c r="O19483">
        <v>66</v>
      </c>
      <c r="P19483">
        <v>0</v>
      </c>
    </row>
    <row r="19484" spans="1:16" x14ac:dyDescent="0.25">
      <c r="A19484" t="s">
        <v>42134</v>
      </c>
      <c r="B19484" t="s">
        <v>42135</v>
      </c>
      <c r="C19484" t="s">
        <v>10601</v>
      </c>
      <c r="D19484" t="s">
        <v>42136</v>
      </c>
      <c r="E19484" t="s">
        <v>42137</v>
      </c>
      <c r="F19484" t="s">
        <v>20496</v>
      </c>
      <c r="G19484" t="s">
        <v>47093</v>
      </c>
      <c r="H19484" t="s">
        <v>47054</v>
      </c>
      <c r="I19484" t="s">
        <v>47544</v>
      </c>
      <c r="J19484" t="s">
        <v>47545</v>
      </c>
      <c r="K19484" t="s">
        <v>47113</v>
      </c>
      <c r="L19484">
        <v>28.09</v>
      </c>
      <c r="M19484">
        <v>70</v>
      </c>
      <c r="N19484">
        <v>0</v>
      </c>
      <c r="O19484">
        <v>70</v>
      </c>
      <c r="P19484">
        <v>0</v>
      </c>
    </row>
    <row r="19485" spans="1:16" x14ac:dyDescent="0.25">
      <c r="A19485" t="s">
        <v>42138</v>
      </c>
      <c r="B19485" t="s">
        <v>18615</v>
      </c>
      <c r="C19485" t="s">
        <v>18616</v>
      </c>
      <c r="D19485" t="str">
        <f>"4918"</f>
        <v>4918</v>
      </c>
      <c r="E19485" t="s">
        <v>18617</v>
      </c>
      <c r="F19485" t="s">
        <v>15183</v>
      </c>
      <c r="G19485" t="s">
        <v>47094</v>
      </c>
      <c r="H19485" t="s">
        <v>47054</v>
      </c>
      <c r="I19485" t="s">
        <v>47111</v>
      </c>
      <c r="J19485" t="s">
        <v>47112</v>
      </c>
      <c r="K19485" t="s">
        <v>47113</v>
      </c>
      <c r="L19485">
        <v>54.54</v>
      </c>
      <c r="M19485">
        <v>74</v>
      </c>
      <c r="N19485">
        <v>0</v>
      </c>
      <c r="O19485">
        <v>74</v>
      </c>
      <c r="P19485">
        <v>0</v>
      </c>
    </row>
    <row r="19486" spans="1:16" x14ac:dyDescent="0.25">
      <c r="A19486" t="s">
        <v>42139</v>
      </c>
      <c r="B19486" t="s">
        <v>18618</v>
      </c>
      <c r="C19486" t="s">
        <v>18619</v>
      </c>
      <c r="D19486" t="str">
        <f>"1001"</f>
        <v>1001</v>
      </c>
      <c r="E19486" t="s">
        <v>42</v>
      </c>
      <c r="F19486" t="s">
        <v>15183</v>
      </c>
      <c r="G19486" t="s">
        <v>47097</v>
      </c>
      <c r="H19486" t="s">
        <v>47054</v>
      </c>
      <c r="I19486" t="s">
        <v>47111</v>
      </c>
      <c r="J19486" t="s">
        <v>47112</v>
      </c>
      <c r="K19486" t="s">
        <v>47113</v>
      </c>
      <c r="L19486">
        <v>17.32</v>
      </c>
      <c r="M19486">
        <v>129</v>
      </c>
      <c r="N19486">
        <v>0</v>
      </c>
      <c r="O19486">
        <v>129</v>
      </c>
      <c r="P19486">
        <v>0</v>
      </c>
    </row>
    <row r="19487" spans="1:16" x14ac:dyDescent="0.25">
      <c r="A19487" t="s">
        <v>42140</v>
      </c>
      <c r="B19487" t="s">
        <v>18618</v>
      </c>
      <c r="C19487" t="s">
        <v>18619</v>
      </c>
      <c r="D19487" t="str">
        <f>"1700"</f>
        <v>1700</v>
      </c>
      <c r="E19487" t="s">
        <v>60</v>
      </c>
      <c r="F19487" t="s">
        <v>15183</v>
      </c>
      <c r="G19487" t="s">
        <v>47097</v>
      </c>
      <c r="H19487" t="s">
        <v>47054</v>
      </c>
      <c r="I19487" t="s">
        <v>47111</v>
      </c>
      <c r="J19487" t="s">
        <v>47112</v>
      </c>
      <c r="K19487" t="s">
        <v>47113</v>
      </c>
      <c r="L19487">
        <v>17.32</v>
      </c>
      <c r="M19487">
        <v>129</v>
      </c>
      <c r="N19487">
        <v>0</v>
      </c>
      <c r="O19487">
        <v>129</v>
      </c>
      <c r="P19487">
        <v>0</v>
      </c>
    </row>
    <row r="19488" spans="1:16" x14ac:dyDescent="0.25">
      <c r="A19488" t="s">
        <v>42141</v>
      </c>
      <c r="B19488" t="s">
        <v>18620</v>
      </c>
      <c r="C19488" t="s">
        <v>18621</v>
      </c>
      <c r="D19488" t="str">
        <f>"1001"</f>
        <v>1001</v>
      </c>
      <c r="E19488" t="s">
        <v>42</v>
      </c>
      <c r="F19488" t="s">
        <v>15183</v>
      </c>
      <c r="G19488" t="s">
        <v>47097</v>
      </c>
      <c r="H19488" t="s">
        <v>47054</v>
      </c>
      <c r="I19488" t="s">
        <v>47111</v>
      </c>
      <c r="J19488" t="s">
        <v>47112</v>
      </c>
      <c r="K19488" t="s">
        <v>47113</v>
      </c>
      <c r="L19488">
        <v>19.760000000000002</v>
      </c>
      <c r="M19488">
        <v>51</v>
      </c>
      <c r="N19488">
        <v>0</v>
      </c>
      <c r="O19488">
        <v>51</v>
      </c>
      <c r="P19488">
        <v>0</v>
      </c>
    </row>
    <row r="19489" spans="1:16" x14ac:dyDescent="0.25">
      <c r="A19489" t="s">
        <v>42142</v>
      </c>
      <c r="B19489" t="s">
        <v>18620</v>
      </c>
      <c r="C19489" t="s">
        <v>18621</v>
      </c>
      <c r="D19489" t="str">
        <f>"1700"</f>
        <v>1700</v>
      </c>
      <c r="E19489" t="s">
        <v>60</v>
      </c>
      <c r="F19489" t="s">
        <v>15183</v>
      </c>
      <c r="G19489" t="s">
        <v>47097</v>
      </c>
      <c r="H19489" t="s">
        <v>47054</v>
      </c>
      <c r="I19489" t="s">
        <v>47111</v>
      </c>
      <c r="J19489" t="s">
        <v>47112</v>
      </c>
      <c r="K19489" t="s">
        <v>47113</v>
      </c>
      <c r="L19489">
        <v>19.760000000000002</v>
      </c>
      <c r="M19489">
        <v>51</v>
      </c>
      <c r="N19489">
        <v>0</v>
      </c>
      <c r="O19489">
        <v>51</v>
      </c>
      <c r="P19489">
        <v>0</v>
      </c>
    </row>
    <row r="19490" spans="1:16" x14ac:dyDescent="0.25">
      <c r="A19490" t="s">
        <v>42143</v>
      </c>
      <c r="B19490" t="s">
        <v>18622</v>
      </c>
      <c r="C19490" t="s">
        <v>18623</v>
      </c>
      <c r="D19490" t="str">
        <f>"1001"</f>
        <v>1001</v>
      </c>
      <c r="E19490" t="s">
        <v>42</v>
      </c>
      <c r="F19490" t="s">
        <v>15183</v>
      </c>
      <c r="G19490" t="s">
        <v>47097</v>
      </c>
      <c r="H19490" t="s">
        <v>47054</v>
      </c>
      <c r="I19490" t="s">
        <v>47111</v>
      </c>
      <c r="J19490" t="s">
        <v>47112</v>
      </c>
      <c r="K19490" t="s">
        <v>47113</v>
      </c>
      <c r="L19490">
        <v>102.32</v>
      </c>
      <c r="M19490">
        <v>204</v>
      </c>
      <c r="N19490">
        <v>0</v>
      </c>
      <c r="O19490">
        <v>204</v>
      </c>
      <c r="P19490">
        <v>0</v>
      </c>
    </row>
    <row r="19491" spans="1:16" x14ac:dyDescent="0.25">
      <c r="A19491" t="s">
        <v>42144</v>
      </c>
      <c r="B19491" t="s">
        <v>18624</v>
      </c>
      <c r="C19491" t="s">
        <v>18625</v>
      </c>
      <c r="D19491" t="s">
        <v>18599</v>
      </c>
      <c r="E19491" t="s">
        <v>18600</v>
      </c>
      <c r="F19491" t="s">
        <v>15183</v>
      </c>
      <c r="G19491" t="s">
        <v>47093</v>
      </c>
      <c r="H19491" t="s">
        <v>47054</v>
      </c>
      <c r="I19491" t="s">
        <v>47111</v>
      </c>
      <c r="J19491" t="s">
        <v>47112</v>
      </c>
      <c r="K19491" t="s">
        <v>47113</v>
      </c>
      <c r="L19491">
        <v>57.11</v>
      </c>
      <c r="M19491">
        <v>92</v>
      </c>
      <c r="N19491">
        <v>0</v>
      </c>
      <c r="O19491">
        <v>92</v>
      </c>
      <c r="P19491">
        <v>0</v>
      </c>
    </row>
    <row r="19492" spans="1:16" x14ac:dyDescent="0.25">
      <c r="A19492" t="s">
        <v>42145</v>
      </c>
      <c r="B19492" t="s">
        <v>18626</v>
      </c>
      <c r="C19492" t="s">
        <v>18627</v>
      </c>
      <c r="D19492" t="str">
        <f>"1035"</f>
        <v>1035</v>
      </c>
      <c r="E19492" t="s">
        <v>758</v>
      </c>
      <c r="F19492" t="s">
        <v>15183</v>
      </c>
      <c r="G19492" t="s">
        <v>47093</v>
      </c>
      <c r="H19492" t="s">
        <v>47054</v>
      </c>
      <c r="I19492" t="s">
        <v>47111</v>
      </c>
      <c r="J19492" t="s">
        <v>47112</v>
      </c>
      <c r="K19492" t="s">
        <v>47113</v>
      </c>
      <c r="L19492">
        <v>50.52</v>
      </c>
      <c r="M19492">
        <v>92</v>
      </c>
      <c r="N19492">
        <v>0</v>
      </c>
      <c r="O19492">
        <v>92</v>
      </c>
      <c r="P19492">
        <v>0</v>
      </c>
    </row>
    <row r="19493" spans="1:16" x14ac:dyDescent="0.25">
      <c r="A19493" t="s">
        <v>42146</v>
      </c>
      <c r="B19493" t="s">
        <v>18626</v>
      </c>
      <c r="C19493" t="s">
        <v>18627</v>
      </c>
      <c r="D19493" t="str">
        <f>"3151"</f>
        <v>3151</v>
      </c>
      <c r="E19493" t="s">
        <v>16344</v>
      </c>
      <c r="F19493" t="s">
        <v>15183</v>
      </c>
      <c r="G19493" t="s">
        <v>47093</v>
      </c>
      <c r="H19493" t="s">
        <v>47054</v>
      </c>
      <c r="I19493" t="s">
        <v>47111</v>
      </c>
      <c r="J19493" t="s">
        <v>47112</v>
      </c>
      <c r="K19493" t="s">
        <v>47113</v>
      </c>
      <c r="L19493">
        <v>50.52</v>
      </c>
      <c r="M19493">
        <v>92</v>
      </c>
      <c r="N19493">
        <v>0</v>
      </c>
      <c r="O19493">
        <v>92</v>
      </c>
      <c r="P19493">
        <v>0</v>
      </c>
    </row>
    <row r="19494" spans="1:16" x14ac:dyDescent="0.25">
      <c r="A19494" t="s">
        <v>42147</v>
      </c>
      <c r="B19494" t="s">
        <v>18628</v>
      </c>
      <c r="C19494" t="s">
        <v>18629</v>
      </c>
      <c r="D19494" t="str">
        <f>"1001"</f>
        <v>1001</v>
      </c>
      <c r="E19494" t="s">
        <v>42</v>
      </c>
      <c r="F19494" t="s">
        <v>15183</v>
      </c>
      <c r="G19494" t="s">
        <v>47093</v>
      </c>
      <c r="H19494" t="s">
        <v>47054</v>
      </c>
      <c r="I19494" t="s">
        <v>47111</v>
      </c>
      <c r="J19494" t="s">
        <v>47112</v>
      </c>
      <c r="K19494" t="s">
        <v>47113</v>
      </c>
      <c r="L19494">
        <v>54.05</v>
      </c>
      <c r="M19494">
        <v>92</v>
      </c>
      <c r="N19494">
        <v>0</v>
      </c>
      <c r="O19494">
        <v>92</v>
      </c>
      <c r="P19494">
        <v>0</v>
      </c>
    </row>
    <row r="19495" spans="1:16" x14ac:dyDescent="0.25">
      <c r="A19495" t="s">
        <v>42148</v>
      </c>
      <c r="B19495" t="s">
        <v>18630</v>
      </c>
      <c r="C19495" t="s">
        <v>18631</v>
      </c>
      <c r="D19495" t="s">
        <v>18632</v>
      </c>
      <c r="E19495" t="s">
        <v>18633</v>
      </c>
      <c r="F19495" t="s">
        <v>3750</v>
      </c>
      <c r="G19495" t="s">
        <v>47093</v>
      </c>
      <c r="H19495" t="s">
        <v>47054</v>
      </c>
      <c r="I19495" t="s">
        <v>47111</v>
      </c>
      <c r="J19495" t="s">
        <v>47112</v>
      </c>
      <c r="K19495" t="s">
        <v>47113</v>
      </c>
      <c r="L19495">
        <v>39.89</v>
      </c>
      <c r="M19495">
        <v>85</v>
      </c>
      <c r="N19495">
        <v>0</v>
      </c>
      <c r="O19495">
        <v>85</v>
      </c>
      <c r="P19495">
        <v>0</v>
      </c>
    </row>
    <row r="19496" spans="1:16" x14ac:dyDescent="0.25">
      <c r="A19496" t="s">
        <v>42149</v>
      </c>
      <c r="B19496" t="s">
        <v>18634</v>
      </c>
      <c r="C19496" t="s">
        <v>18631</v>
      </c>
      <c r="D19496" t="s">
        <v>18596</v>
      </c>
      <c r="E19496" t="s">
        <v>18597</v>
      </c>
      <c r="F19496" t="s">
        <v>15183</v>
      </c>
      <c r="G19496" t="s">
        <v>47093</v>
      </c>
      <c r="H19496" t="s">
        <v>47054</v>
      </c>
      <c r="I19496" t="s">
        <v>47111</v>
      </c>
      <c r="J19496" t="s">
        <v>47112</v>
      </c>
      <c r="K19496" t="s">
        <v>47113</v>
      </c>
      <c r="L19496">
        <v>50.98</v>
      </c>
      <c r="M19496">
        <v>85</v>
      </c>
      <c r="N19496">
        <v>0</v>
      </c>
      <c r="O19496">
        <v>85</v>
      </c>
      <c r="P19496">
        <v>0</v>
      </c>
    </row>
    <row r="19497" spans="1:16" x14ac:dyDescent="0.25">
      <c r="A19497" t="s">
        <v>42150</v>
      </c>
      <c r="B19497" t="s">
        <v>18635</v>
      </c>
      <c r="C19497" t="s">
        <v>18636</v>
      </c>
      <c r="D19497" t="str">
        <f>"1001"</f>
        <v>1001</v>
      </c>
      <c r="E19497" t="s">
        <v>42</v>
      </c>
      <c r="F19497" t="s">
        <v>15183</v>
      </c>
      <c r="G19497" t="s">
        <v>47097</v>
      </c>
      <c r="H19497" t="s">
        <v>47054</v>
      </c>
      <c r="I19497" t="s">
        <v>47111</v>
      </c>
      <c r="J19497" t="s">
        <v>47112</v>
      </c>
      <c r="K19497" t="s">
        <v>47113</v>
      </c>
      <c r="L19497">
        <v>48.41</v>
      </c>
      <c r="M19497">
        <v>111</v>
      </c>
      <c r="N19497">
        <v>0</v>
      </c>
      <c r="O19497">
        <v>111</v>
      </c>
      <c r="P19497">
        <v>0</v>
      </c>
    </row>
    <row r="19498" spans="1:16" x14ac:dyDescent="0.25">
      <c r="A19498" t="s">
        <v>42151</v>
      </c>
      <c r="B19498" t="s">
        <v>18637</v>
      </c>
      <c r="C19498" t="s">
        <v>18638</v>
      </c>
      <c r="D19498" t="s">
        <v>18599</v>
      </c>
      <c r="E19498" t="s">
        <v>18600</v>
      </c>
      <c r="F19498" t="s">
        <v>15183</v>
      </c>
      <c r="G19498" t="s">
        <v>49030</v>
      </c>
      <c r="H19498" t="s">
        <v>47054</v>
      </c>
      <c r="I19498" t="s">
        <v>47111</v>
      </c>
      <c r="J19498" t="s">
        <v>47112</v>
      </c>
      <c r="K19498" t="s">
        <v>47113</v>
      </c>
      <c r="L19498">
        <v>55.95</v>
      </c>
      <c r="M19498">
        <v>92</v>
      </c>
      <c r="N19498">
        <v>0</v>
      </c>
      <c r="O19498">
        <v>92</v>
      </c>
      <c r="P19498">
        <v>0</v>
      </c>
    </row>
    <row r="19499" spans="1:16" x14ac:dyDescent="0.25">
      <c r="A19499" t="s">
        <v>42152</v>
      </c>
      <c r="B19499" t="s">
        <v>18639</v>
      </c>
      <c r="C19499" t="s">
        <v>18640</v>
      </c>
      <c r="D19499" t="s">
        <v>17365</v>
      </c>
      <c r="E19499" t="s">
        <v>17366</v>
      </c>
      <c r="F19499" t="s">
        <v>16623</v>
      </c>
      <c r="G19499" t="s">
        <v>47098</v>
      </c>
      <c r="H19499" t="s">
        <v>47054</v>
      </c>
      <c r="I19499" t="s">
        <v>47116</v>
      </c>
      <c r="J19499" t="s">
        <v>47117</v>
      </c>
      <c r="K19499" t="s">
        <v>47113</v>
      </c>
      <c r="L19499">
        <v>51.68</v>
      </c>
      <c r="M19499">
        <v>129</v>
      </c>
      <c r="N19499">
        <v>0</v>
      </c>
      <c r="O19499">
        <v>129</v>
      </c>
      <c r="P19499">
        <v>0</v>
      </c>
    </row>
    <row r="19500" spans="1:16" x14ac:dyDescent="0.25">
      <c r="A19500" t="s">
        <v>42153</v>
      </c>
      <c r="B19500" t="s">
        <v>21701</v>
      </c>
      <c r="C19500" t="s">
        <v>21702</v>
      </c>
      <c r="D19500" t="str">
        <f>"1700"</f>
        <v>1700</v>
      </c>
      <c r="E19500" t="s">
        <v>21703</v>
      </c>
      <c r="F19500" t="s">
        <v>17351</v>
      </c>
      <c r="G19500" t="s">
        <v>47098</v>
      </c>
      <c r="H19500" t="s">
        <v>47054</v>
      </c>
      <c r="I19500" t="s">
        <v>47116</v>
      </c>
      <c r="J19500" t="s">
        <v>47117</v>
      </c>
      <c r="K19500" t="s">
        <v>47113</v>
      </c>
      <c r="L19500">
        <v>37.64</v>
      </c>
      <c r="M19500">
        <v>74</v>
      </c>
      <c r="N19500">
        <v>0</v>
      </c>
      <c r="O19500">
        <v>74</v>
      </c>
      <c r="P19500">
        <v>0</v>
      </c>
    </row>
    <row r="19501" spans="1:16" x14ac:dyDescent="0.25">
      <c r="A19501" t="s">
        <v>42154</v>
      </c>
      <c r="B19501" t="s">
        <v>18641</v>
      </c>
      <c r="C19501" t="s">
        <v>18642</v>
      </c>
      <c r="D19501" t="s">
        <v>18643</v>
      </c>
      <c r="E19501" t="s">
        <v>18644</v>
      </c>
      <c r="F19501" t="s">
        <v>16839</v>
      </c>
      <c r="G19501" t="s">
        <v>47093</v>
      </c>
      <c r="H19501" t="s">
        <v>47054</v>
      </c>
      <c r="I19501" t="s">
        <v>47111</v>
      </c>
      <c r="J19501" t="s">
        <v>47112</v>
      </c>
      <c r="K19501" t="s">
        <v>47113</v>
      </c>
      <c r="L19501">
        <v>64.430000000000007</v>
      </c>
      <c r="M19501">
        <v>129</v>
      </c>
      <c r="N19501">
        <v>0</v>
      </c>
      <c r="O19501">
        <v>129</v>
      </c>
      <c r="P19501">
        <v>0</v>
      </c>
    </row>
    <row r="19502" spans="1:16" x14ac:dyDescent="0.25">
      <c r="A19502" t="s">
        <v>42155</v>
      </c>
      <c r="B19502" t="s">
        <v>18645</v>
      </c>
      <c r="C19502" t="s">
        <v>18646</v>
      </c>
      <c r="D19502" t="s">
        <v>18643</v>
      </c>
      <c r="E19502" t="s">
        <v>18644</v>
      </c>
      <c r="F19502" t="s">
        <v>16839</v>
      </c>
      <c r="G19502" t="s">
        <v>47093</v>
      </c>
      <c r="H19502" t="s">
        <v>47054</v>
      </c>
      <c r="I19502" t="s">
        <v>47111</v>
      </c>
      <c r="J19502" t="s">
        <v>47112</v>
      </c>
      <c r="K19502" t="s">
        <v>47113</v>
      </c>
      <c r="L19502">
        <v>69.61</v>
      </c>
      <c r="M19502">
        <v>140</v>
      </c>
      <c r="N19502">
        <v>0</v>
      </c>
      <c r="O19502">
        <v>140</v>
      </c>
      <c r="P19502">
        <v>0</v>
      </c>
    </row>
    <row r="19503" spans="1:16" x14ac:dyDescent="0.25">
      <c r="A19503" t="s">
        <v>42156</v>
      </c>
      <c r="B19503" t="s">
        <v>42157</v>
      </c>
      <c r="C19503" t="s">
        <v>42158</v>
      </c>
      <c r="D19503" t="str">
        <f>"4143"</f>
        <v>4143</v>
      </c>
      <c r="E19503" t="s">
        <v>261</v>
      </c>
      <c r="F19503" t="s">
        <v>24622</v>
      </c>
      <c r="G19503" t="s">
        <v>47101</v>
      </c>
      <c r="H19503" t="s">
        <v>47054</v>
      </c>
      <c r="I19503" t="s">
        <v>47120</v>
      </c>
      <c r="J19503" t="s">
        <v>47121</v>
      </c>
      <c r="K19503" t="s">
        <v>47113</v>
      </c>
      <c r="L19503">
        <v>23.45</v>
      </c>
      <c r="M19503">
        <v>63</v>
      </c>
      <c r="N19503">
        <v>169</v>
      </c>
      <c r="O19503">
        <v>63</v>
      </c>
      <c r="P19503">
        <v>169</v>
      </c>
    </row>
    <row r="19504" spans="1:16" x14ac:dyDescent="0.25">
      <c r="A19504" t="s">
        <v>42159</v>
      </c>
      <c r="B19504" t="s">
        <v>21704</v>
      </c>
      <c r="C19504" t="s">
        <v>21705</v>
      </c>
      <c r="D19504" t="str">
        <f>"1501"</f>
        <v>1501</v>
      </c>
      <c r="E19504" t="s">
        <v>46</v>
      </c>
      <c r="F19504" t="s">
        <v>17351</v>
      </c>
      <c r="G19504" t="s">
        <v>47097</v>
      </c>
      <c r="H19504" t="s">
        <v>47054</v>
      </c>
      <c r="I19504" t="s">
        <v>47111</v>
      </c>
      <c r="J19504" t="s">
        <v>47112</v>
      </c>
      <c r="K19504" t="s">
        <v>47113</v>
      </c>
      <c r="L19504">
        <v>19.55</v>
      </c>
      <c r="M19504">
        <v>55</v>
      </c>
      <c r="N19504">
        <v>0</v>
      </c>
      <c r="O19504">
        <v>55</v>
      </c>
      <c r="P19504">
        <v>0</v>
      </c>
    </row>
    <row r="19505" spans="1:16" x14ac:dyDescent="0.25">
      <c r="A19505" t="s">
        <v>677</v>
      </c>
      <c r="B19505" t="s">
        <v>678</v>
      </c>
      <c r="C19505" t="s">
        <v>679</v>
      </c>
      <c r="D19505" t="s">
        <v>680</v>
      </c>
      <c r="E19505" t="s">
        <v>681</v>
      </c>
      <c r="F19505" t="s">
        <v>7</v>
      </c>
      <c r="G19505" t="s">
        <v>47093</v>
      </c>
      <c r="H19505" t="s">
        <v>47054</v>
      </c>
      <c r="I19505" t="s">
        <v>47111</v>
      </c>
      <c r="J19505" t="s">
        <v>47112</v>
      </c>
      <c r="K19505" t="s">
        <v>47113</v>
      </c>
      <c r="L19505">
        <v>46.8</v>
      </c>
      <c r="M19505">
        <v>106</v>
      </c>
      <c r="N19505">
        <v>0</v>
      </c>
      <c r="O19505">
        <v>106</v>
      </c>
      <c r="P19505">
        <v>0</v>
      </c>
    </row>
    <row r="19506" spans="1:16" x14ac:dyDescent="0.25">
      <c r="A19506" t="s">
        <v>682</v>
      </c>
      <c r="B19506" t="s">
        <v>683</v>
      </c>
      <c r="C19506" t="s">
        <v>684</v>
      </c>
      <c r="D19506" t="s">
        <v>685</v>
      </c>
      <c r="E19506" t="s">
        <v>686</v>
      </c>
      <c r="F19506" t="s">
        <v>687</v>
      </c>
      <c r="G19506" t="s">
        <v>47098</v>
      </c>
      <c r="H19506" t="s">
        <v>47054</v>
      </c>
      <c r="I19506" t="s">
        <v>47116</v>
      </c>
      <c r="J19506" t="s">
        <v>47117</v>
      </c>
      <c r="K19506" t="s">
        <v>47113</v>
      </c>
      <c r="L19506">
        <v>30.61</v>
      </c>
      <c r="M19506">
        <v>79</v>
      </c>
      <c r="N19506">
        <v>0</v>
      </c>
      <c r="O19506">
        <v>79</v>
      </c>
      <c r="P19506">
        <v>0</v>
      </c>
    </row>
    <row r="19507" spans="1:16" x14ac:dyDescent="0.25">
      <c r="A19507" t="s">
        <v>42160</v>
      </c>
      <c r="B19507" t="s">
        <v>12259</v>
      </c>
      <c r="C19507" t="s">
        <v>12260</v>
      </c>
      <c r="D19507" t="s">
        <v>12261</v>
      </c>
      <c r="E19507" t="s">
        <v>12262</v>
      </c>
      <c r="F19507" t="s">
        <v>5</v>
      </c>
      <c r="G19507" t="s">
        <v>47093</v>
      </c>
      <c r="H19507" t="s">
        <v>47054</v>
      </c>
      <c r="I19507" t="s">
        <v>47111</v>
      </c>
      <c r="J19507" t="s">
        <v>47112</v>
      </c>
      <c r="K19507" t="s">
        <v>47113</v>
      </c>
      <c r="L19507">
        <v>41.88</v>
      </c>
      <c r="M19507">
        <v>100</v>
      </c>
      <c r="N19507">
        <v>0</v>
      </c>
      <c r="O19507">
        <v>100</v>
      </c>
      <c r="P19507">
        <v>0</v>
      </c>
    </row>
    <row r="19508" spans="1:16" x14ac:dyDescent="0.25">
      <c r="A19508" t="s">
        <v>42161</v>
      </c>
      <c r="B19508" t="s">
        <v>12263</v>
      </c>
      <c r="C19508" t="s">
        <v>12260</v>
      </c>
      <c r="D19508" t="s">
        <v>12261</v>
      </c>
      <c r="E19508" t="s">
        <v>12262</v>
      </c>
      <c r="F19508" t="s">
        <v>5</v>
      </c>
      <c r="G19508" t="s">
        <v>47093</v>
      </c>
      <c r="H19508" t="s">
        <v>47054</v>
      </c>
      <c r="I19508" t="s">
        <v>47111</v>
      </c>
      <c r="J19508" t="s">
        <v>47112</v>
      </c>
      <c r="K19508" t="s">
        <v>47113</v>
      </c>
      <c r="L19508">
        <v>40.49</v>
      </c>
      <c r="M19508">
        <v>105</v>
      </c>
      <c r="N19508">
        <v>0</v>
      </c>
      <c r="O19508">
        <v>105</v>
      </c>
      <c r="P19508">
        <v>0</v>
      </c>
    </row>
    <row r="19509" spans="1:16" x14ac:dyDescent="0.25">
      <c r="A19509" t="s">
        <v>42162</v>
      </c>
      <c r="B19509" t="s">
        <v>12264</v>
      </c>
      <c r="C19509" t="s">
        <v>12265</v>
      </c>
      <c r="D19509" t="str">
        <f>"11"</f>
        <v>11</v>
      </c>
      <c r="E19509" t="s">
        <v>288</v>
      </c>
      <c r="F19509" t="s">
        <v>8</v>
      </c>
      <c r="G19509" t="s">
        <v>47093</v>
      </c>
      <c r="H19509" t="s">
        <v>47054</v>
      </c>
      <c r="I19509" t="s">
        <v>47111</v>
      </c>
      <c r="J19509" t="s">
        <v>47112</v>
      </c>
      <c r="K19509" t="s">
        <v>47113</v>
      </c>
      <c r="L19509">
        <v>37.9</v>
      </c>
      <c r="M19509">
        <v>101</v>
      </c>
      <c r="N19509">
        <v>0</v>
      </c>
      <c r="O19509">
        <v>101</v>
      </c>
      <c r="P19509">
        <v>0</v>
      </c>
    </row>
    <row r="19510" spans="1:16" x14ac:dyDescent="0.25">
      <c r="A19510" t="s">
        <v>42163</v>
      </c>
      <c r="B19510" t="s">
        <v>12266</v>
      </c>
      <c r="C19510" t="s">
        <v>12267</v>
      </c>
      <c r="D19510" t="s">
        <v>721</v>
      </c>
      <c r="E19510" t="s">
        <v>722</v>
      </c>
      <c r="F19510" t="s">
        <v>8</v>
      </c>
      <c r="G19510" t="s">
        <v>47093</v>
      </c>
      <c r="H19510" t="s">
        <v>47054</v>
      </c>
      <c r="I19510" t="s">
        <v>47111</v>
      </c>
      <c r="J19510" t="s">
        <v>47112</v>
      </c>
      <c r="K19510" t="s">
        <v>47113</v>
      </c>
      <c r="L19510">
        <v>32.119999999999997</v>
      </c>
      <c r="M19510">
        <v>89</v>
      </c>
      <c r="N19510">
        <v>0</v>
      </c>
      <c r="O19510">
        <v>89</v>
      </c>
      <c r="P19510">
        <v>0</v>
      </c>
    </row>
    <row r="19511" spans="1:16" x14ac:dyDescent="0.25">
      <c r="A19511" t="s">
        <v>42164</v>
      </c>
      <c r="B19511" t="s">
        <v>12268</v>
      </c>
      <c r="C19511" t="s">
        <v>12269</v>
      </c>
      <c r="D19511" t="s">
        <v>12261</v>
      </c>
      <c r="E19511" t="s">
        <v>12262</v>
      </c>
      <c r="F19511" t="s">
        <v>5</v>
      </c>
      <c r="G19511" t="s">
        <v>47093</v>
      </c>
      <c r="H19511" t="s">
        <v>47054</v>
      </c>
      <c r="I19511" t="s">
        <v>47111</v>
      </c>
      <c r="J19511" t="s">
        <v>47112</v>
      </c>
      <c r="K19511" t="s">
        <v>47113</v>
      </c>
      <c r="L19511">
        <v>41.88</v>
      </c>
      <c r="M19511">
        <v>100</v>
      </c>
      <c r="N19511">
        <v>0</v>
      </c>
      <c r="O19511">
        <v>100</v>
      </c>
      <c r="P19511">
        <v>0</v>
      </c>
    </row>
    <row r="19512" spans="1:16" x14ac:dyDescent="0.25">
      <c r="A19512" t="s">
        <v>42165</v>
      </c>
      <c r="B19512" t="s">
        <v>12270</v>
      </c>
      <c r="C19512" t="s">
        <v>12269</v>
      </c>
      <c r="D19512" t="s">
        <v>12261</v>
      </c>
      <c r="E19512" t="s">
        <v>12262</v>
      </c>
      <c r="F19512" t="s">
        <v>5</v>
      </c>
      <c r="G19512" t="s">
        <v>47093</v>
      </c>
      <c r="H19512" t="s">
        <v>47054</v>
      </c>
      <c r="I19512" t="s">
        <v>47111</v>
      </c>
      <c r="J19512" t="s">
        <v>47112</v>
      </c>
      <c r="K19512" t="s">
        <v>47113</v>
      </c>
      <c r="L19512">
        <v>31.38</v>
      </c>
      <c r="M19512">
        <v>99</v>
      </c>
      <c r="N19512">
        <v>0</v>
      </c>
      <c r="O19512">
        <v>99</v>
      </c>
      <c r="P19512">
        <v>0</v>
      </c>
    </row>
    <row r="19513" spans="1:16" x14ac:dyDescent="0.25">
      <c r="A19513" t="s">
        <v>42166</v>
      </c>
      <c r="B19513" t="s">
        <v>12271</v>
      </c>
      <c r="C19513" t="s">
        <v>12272</v>
      </c>
      <c r="D19513" t="str">
        <f>"1431"</f>
        <v>1431</v>
      </c>
      <c r="E19513" t="s">
        <v>12273</v>
      </c>
      <c r="F19513" t="s">
        <v>1</v>
      </c>
      <c r="G19513" t="s">
        <v>47093</v>
      </c>
      <c r="H19513" t="s">
        <v>47054</v>
      </c>
      <c r="I19513" t="s">
        <v>47111</v>
      </c>
      <c r="J19513" t="s">
        <v>47112</v>
      </c>
      <c r="K19513" t="s">
        <v>47113</v>
      </c>
      <c r="L19513">
        <v>28.83</v>
      </c>
      <c r="M19513">
        <v>86</v>
      </c>
      <c r="N19513">
        <v>0</v>
      </c>
      <c r="O19513">
        <v>86</v>
      </c>
      <c r="P19513">
        <v>0</v>
      </c>
    </row>
    <row r="19514" spans="1:16" x14ac:dyDescent="0.25">
      <c r="A19514" t="s">
        <v>42167</v>
      </c>
      <c r="B19514" t="s">
        <v>12271</v>
      </c>
      <c r="C19514" t="s">
        <v>12272</v>
      </c>
      <c r="D19514" t="str">
        <f>"2361"</f>
        <v>2361</v>
      </c>
      <c r="E19514" t="s">
        <v>12274</v>
      </c>
      <c r="F19514" t="s">
        <v>1</v>
      </c>
      <c r="G19514" t="s">
        <v>47093</v>
      </c>
      <c r="H19514" t="s">
        <v>47054</v>
      </c>
      <c r="I19514" t="s">
        <v>47111</v>
      </c>
      <c r="J19514" t="s">
        <v>47112</v>
      </c>
      <c r="K19514" t="s">
        <v>47113</v>
      </c>
      <c r="L19514">
        <v>28.83</v>
      </c>
      <c r="M19514">
        <v>86</v>
      </c>
      <c r="N19514">
        <v>0</v>
      </c>
      <c r="O19514">
        <v>86</v>
      </c>
      <c r="P19514">
        <v>0</v>
      </c>
    </row>
    <row r="19515" spans="1:16" x14ac:dyDescent="0.25">
      <c r="A19515" t="s">
        <v>42168</v>
      </c>
      <c r="B19515" t="s">
        <v>12271</v>
      </c>
      <c r="C19515" t="s">
        <v>12272</v>
      </c>
      <c r="D19515" t="str">
        <f>"3496"</f>
        <v>3496</v>
      </c>
      <c r="E19515" t="s">
        <v>12275</v>
      </c>
      <c r="F19515" t="s">
        <v>1</v>
      </c>
      <c r="G19515" t="s">
        <v>47093</v>
      </c>
      <c r="H19515" t="s">
        <v>47054</v>
      </c>
      <c r="I19515" t="s">
        <v>47111</v>
      </c>
      <c r="J19515" t="s">
        <v>47112</v>
      </c>
      <c r="K19515" t="s">
        <v>47113</v>
      </c>
      <c r="L19515">
        <v>28.83</v>
      </c>
      <c r="M19515">
        <v>86</v>
      </c>
      <c r="N19515">
        <v>0</v>
      </c>
      <c r="O19515">
        <v>86</v>
      </c>
      <c r="P19515">
        <v>0</v>
      </c>
    </row>
    <row r="19516" spans="1:16" x14ac:dyDescent="0.25">
      <c r="A19516" t="s">
        <v>42169</v>
      </c>
      <c r="B19516" t="s">
        <v>12271</v>
      </c>
      <c r="C19516" t="s">
        <v>12272</v>
      </c>
      <c r="D19516" t="str">
        <f>"8401"</f>
        <v>8401</v>
      </c>
      <c r="E19516" t="s">
        <v>12276</v>
      </c>
      <c r="F19516" t="s">
        <v>1</v>
      </c>
      <c r="G19516" t="s">
        <v>47093</v>
      </c>
      <c r="H19516" t="s">
        <v>47054</v>
      </c>
      <c r="I19516" t="s">
        <v>47111</v>
      </c>
      <c r="J19516" t="s">
        <v>47112</v>
      </c>
      <c r="K19516" t="s">
        <v>47113</v>
      </c>
      <c r="L19516">
        <v>28.83</v>
      </c>
      <c r="M19516">
        <v>86</v>
      </c>
      <c r="N19516">
        <v>0</v>
      </c>
      <c r="O19516">
        <v>86</v>
      </c>
      <c r="P19516">
        <v>0</v>
      </c>
    </row>
    <row r="19517" spans="1:16" x14ac:dyDescent="0.25">
      <c r="A19517" t="s">
        <v>42170</v>
      </c>
      <c r="B19517" t="s">
        <v>12277</v>
      </c>
      <c r="C19517" t="s">
        <v>12278</v>
      </c>
      <c r="D19517" t="str">
        <f>"6607"</f>
        <v>6607</v>
      </c>
      <c r="E19517" t="s">
        <v>7123</v>
      </c>
      <c r="F19517" t="s">
        <v>58</v>
      </c>
      <c r="G19517" t="s">
        <v>49029</v>
      </c>
      <c r="H19517" t="s">
        <v>47054</v>
      </c>
      <c r="I19517" t="s">
        <v>47111</v>
      </c>
      <c r="J19517" t="s">
        <v>47112</v>
      </c>
      <c r="K19517" t="s">
        <v>47113</v>
      </c>
      <c r="L19517">
        <v>28.18</v>
      </c>
      <c r="M19517">
        <v>72</v>
      </c>
      <c r="N19517">
        <v>0</v>
      </c>
      <c r="O19517">
        <v>72</v>
      </c>
      <c r="P19517">
        <v>0</v>
      </c>
    </row>
    <row r="19518" spans="1:16" x14ac:dyDescent="0.25">
      <c r="A19518" t="s">
        <v>42171</v>
      </c>
      <c r="B19518" t="s">
        <v>12279</v>
      </c>
      <c r="C19518" t="s">
        <v>12280</v>
      </c>
      <c r="D19518" t="str">
        <f>"11"</f>
        <v>11</v>
      </c>
      <c r="E19518" t="s">
        <v>288</v>
      </c>
      <c r="F19518" t="s">
        <v>8</v>
      </c>
      <c r="G19518" t="s">
        <v>47093</v>
      </c>
      <c r="H19518" t="s">
        <v>47054</v>
      </c>
      <c r="I19518" t="s">
        <v>47111</v>
      </c>
      <c r="J19518" t="s">
        <v>47112</v>
      </c>
      <c r="K19518" t="s">
        <v>47113</v>
      </c>
      <c r="L19518">
        <v>39.96</v>
      </c>
      <c r="M19518">
        <v>98</v>
      </c>
      <c r="N19518">
        <v>0</v>
      </c>
      <c r="O19518">
        <v>98</v>
      </c>
      <c r="P19518">
        <v>0</v>
      </c>
    </row>
    <row r="19519" spans="1:16" x14ac:dyDescent="0.25">
      <c r="A19519" t="s">
        <v>42172</v>
      </c>
      <c r="B19519" t="s">
        <v>12279</v>
      </c>
      <c r="C19519" t="s">
        <v>12280</v>
      </c>
      <c r="D19519" t="s">
        <v>721</v>
      </c>
      <c r="E19519" t="s">
        <v>722</v>
      </c>
      <c r="F19519" t="s">
        <v>8</v>
      </c>
      <c r="G19519" t="s">
        <v>47093</v>
      </c>
      <c r="H19519" t="s">
        <v>47054</v>
      </c>
      <c r="I19519" t="s">
        <v>47111</v>
      </c>
      <c r="J19519" t="s">
        <v>47112</v>
      </c>
      <c r="K19519" t="s">
        <v>47113</v>
      </c>
      <c r="L19519">
        <v>36.97</v>
      </c>
      <c r="M19519">
        <v>91</v>
      </c>
      <c r="N19519">
        <v>0</v>
      </c>
      <c r="O19519">
        <v>91</v>
      </c>
      <c r="P19519">
        <v>0</v>
      </c>
    </row>
    <row r="19520" spans="1:16" x14ac:dyDescent="0.25">
      <c r="A19520" t="s">
        <v>42173</v>
      </c>
      <c r="B19520" t="s">
        <v>12279</v>
      </c>
      <c r="C19520" t="s">
        <v>12280</v>
      </c>
      <c r="D19520" t="str">
        <f>"40"</f>
        <v>40</v>
      </c>
      <c r="E19520" t="s">
        <v>31</v>
      </c>
      <c r="F19520" t="s">
        <v>8</v>
      </c>
      <c r="G19520" t="s">
        <v>47093</v>
      </c>
      <c r="H19520" t="s">
        <v>47054</v>
      </c>
      <c r="I19520" t="s">
        <v>47111</v>
      </c>
      <c r="J19520" t="s">
        <v>47112</v>
      </c>
      <c r="K19520" t="s">
        <v>47113</v>
      </c>
      <c r="L19520">
        <v>43.9</v>
      </c>
      <c r="M19520">
        <v>108</v>
      </c>
      <c r="N19520">
        <v>0</v>
      </c>
      <c r="O19520">
        <v>108</v>
      </c>
      <c r="P19520">
        <v>0</v>
      </c>
    </row>
    <row r="19521" spans="1:16" x14ac:dyDescent="0.25">
      <c r="A19521" t="s">
        <v>42174</v>
      </c>
      <c r="B19521" t="s">
        <v>12279</v>
      </c>
      <c r="C19521" t="s">
        <v>12280</v>
      </c>
      <c r="D19521" t="s">
        <v>629</v>
      </c>
      <c r="E19521" t="s">
        <v>630</v>
      </c>
      <c r="F19521" t="s">
        <v>8</v>
      </c>
      <c r="G19521" t="s">
        <v>47093</v>
      </c>
      <c r="H19521" t="s">
        <v>47054</v>
      </c>
      <c r="I19521" t="s">
        <v>47111</v>
      </c>
      <c r="J19521" t="s">
        <v>47112</v>
      </c>
      <c r="K19521" t="s">
        <v>47113</v>
      </c>
      <c r="L19521">
        <v>43.9</v>
      </c>
      <c r="M19521">
        <v>108</v>
      </c>
      <c r="N19521">
        <v>0</v>
      </c>
      <c r="O19521">
        <v>108</v>
      </c>
      <c r="P19521">
        <v>0</v>
      </c>
    </row>
    <row r="19522" spans="1:16" x14ac:dyDescent="0.25">
      <c r="A19522" t="s">
        <v>42175</v>
      </c>
      <c r="B19522" t="s">
        <v>12281</v>
      </c>
      <c r="C19522" t="s">
        <v>12282</v>
      </c>
      <c r="D19522" t="str">
        <f>"11"</f>
        <v>11</v>
      </c>
      <c r="E19522" t="s">
        <v>288</v>
      </c>
      <c r="F19522" t="s">
        <v>8</v>
      </c>
      <c r="G19522" t="s">
        <v>47093</v>
      </c>
      <c r="H19522" t="s">
        <v>47054</v>
      </c>
      <c r="I19522" t="s">
        <v>47111</v>
      </c>
      <c r="J19522" t="s">
        <v>47112</v>
      </c>
      <c r="K19522" t="s">
        <v>47113</v>
      </c>
      <c r="L19522">
        <v>37.65</v>
      </c>
      <c r="M19522">
        <v>95</v>
      </c>
      <c r="N19522">
        <v>0</v>
      </c>
      <c r="O19522">
        <v>95</v>
      </c>
      <c r="P19522">
        <v>0</v>
      </c>
    </row>
    <row r="19523" spans="1:16" x14ac:dyDescent="0.25">
      <c r="A19523" t="s">
        <v>42176</v>
      </c>
      <c r="B19523" t="s">
        <v>12283</v>
      </c>
      <c r="C19523" t="s">
        <v>12284</v>
      </c>
      <c r="D19523" t="str">
        <f>"11"</f>
        <v>11</v>
      </c>
      <c r="E19523" t="s">
        <v>288</v>
      </c>
      <c r="F19523" t="s">
        <v>8</v>
      </c>
      <c r="G19523" t="s">
        <v>47093</v>
      </c>
      <c r="H19523" t="s">
        <v>47054</v>
      </c>
      <c r="I19523" t="s">
        <v>47111</v>
      </c>
      <c r="J19523" t="s">
        <v>47112</v>
      </c>
      <c r="K19523" t="s">
        <v>47113</v>
      </c>
      <c r="L19523">
        <v>39.96</v>
      </c>
      <c r="M19523">
        <v>98</v>
      </c>
      <c r="N19523">
        <v>0</v>
      </c>
      <c r="O19523">
        <v>98</v>
      </c>
      <c r="P19523">
        <v>0</v>
      </c>
    </row>
    <row r="19524" spans="1:16" x14ac:dyDescent="0.25">
      <c r="A19524" t="s">
        <v>42177</v>
      </c>
      <c r="B19524" t="s">
        <v>12283</v>
      </c>
      <c r="C19524" t="s">
        <v>12284</v>
      </c>
      <c r="D19524" t="s">
        <v>721</v>
      </c>
      <c r="E19524" t="s">
        <v>722</v>
      </c>
      <c r="F19524" t="s">
        <v>8</v>
      </c>
      <c r="G19524" t="s">
        <v>47093</v>
      </c>
      <c r="H19524" t="s">
        <v>47054</v>
      </c>
      <c r="I19524" t="s">
        <v>47111</v>
      </c>
      <c r="J19524" t="s">
        <v>47112</v>
      </c>
      <c r="K19524" t="s">
        <v>47113</v>
      </c>
      <c r="L19524">
        <v>36.97</v>
      </c>
      <c r="M19524">
        <v>91</v>
      </c>
      <c r="N19524">
        <v>0</v>
      </c>
      <c r="O19524">
        <v>91</v>
      </c>
      <c r="P19524">
        <v>0</v>
      </c>
    </row>
    <row r="19525" spans="1:16" x14ac:dyDescent="0.25">
      <c r="A19525" t="s">
        <v>42178</v>
      </c>
      <c r="B19525" t="s">
        <v>12283</v>
      </c>
      <c r="C19525" t="s">
        <v>12284</v>
      </c>
      <c r="D19525" t="str">
        <f>"40"</f>
        <v>40</v>
      </c>
      <c r="E19525" t="s">
        <v>31</v>
      </c>
      <c r="F19525" t="s">
        <v>8</v>
      </c>
      <c r="G19525" t="s">
        <v>47093</v>
      </c>
      <c r="H19525" t="s">
        <v>47054</v>
      </c>
      <c r="I19525" t="s">
        <v>47111</v>
      </c>
      <c r="J19525" t="s">
        <v>47112</v>
      </c>
      <c r="K19525" t="s">
        <v>47113</v>
      </c>
      <c r="L19525">
        <v>43.9</v>
      </c>
      <c r="M19525">
        <v>108</v>
      </c>
      <c r="N19525">
        <v>0</v>
      </c>
      <c r="O19525">
        <v>108</v>
      </c>
      <c r="P19525">
        <v>0</v>
      </c>
    </row>
    <row r="19526" spans="1:16" x14ac:dyDescent="0.25">
      <c r="A19526" t="s">
        <v>42179</v>
      </c>
      <c r="B19526" t="s">
        <v>12283</v>
      </c>
      <c r="C19526" t="s">
        <v>12284</v>
      </c>
      <c r="D19526" t="s">
        <v>629</v>
      </c>
      <c r="E19526" t="s">
        <v>630</v>
      </c>
      <c r="F19526" t="s">
        <v>8</v>
      </c>
      <c r="G19526" t="s">
        <v>47093</v>
      </c>
      <c r="H19526" t="s">
        <v>47054</v>
      </c>
      <c r="I19526" t="s">
        <v>47111</v>
      </c>
      <c r="J19526" t="s">
        <v>47112</v>
      </c>
      <c r="K19526" t="s">
        <v>47113</v>
      </c>
      <c r="L19526">
        <v>43.9</v>
      </c>
      <c r="M19526">
        <v>108</v>
      </c>
      <c r="N19526">
        <v>0</v>
      </c>
      <c r="O19526">
        <v>108</v>
      </c>
      <c r="P19526">
        <v>0</v>
      </c>
    </row>
    <row r="19527" spans="1:16" x14ac:dyDescent="0.25">
      <c r="A19527" t="s">
        <v>42180</v>
      </c>
      <c r="B19527" t="s">
        <v>12285</v>
      </c>
      <c r="C19527" t="s">
        <v>12286</v>
      </c>
      <c r="D19527" t="str">
        <f>"11"</f>
        <v>11</v>
      </c>
      <c r="E19527" t="s">
        <v>288</v>
      </c>
      <c r="F19527" t="s">
        <v>8</v>
      </c>
      <c r="G19527" t="s">
        <v>47093</v>
      </c>
      <c r="H19527" t="s">
        <v>47054</v>
      </c>
      <c r="I19527" t="s">
        <v>47111</v>
      </c>
      <c r="J19527" t="s">
        <v>47112</v>
      </c>
      <c r="K19527" t="s">
        <v>47113</v>
      </c>
      <c r="L19527">
        <v>37.33</v>
      </c>
      <c r="M19527">
        <v>95</v>
      </c>
      <c r="N19527">
        <v>0</v>
      </c>
      <c r="O19527">
        <v>95</v>
      </c>
      <c r="P19527">
        <v>0</v>
      </c>
    </row>
    <row r="19528" spans="1:16" x14ac:dyDescent="0.25">
      <c r="A19528" t="s">
        <v>42181</v>
      </c>
      <c r="B19528" t="s">
        <v>12285</v>
      </c>
      <c r="C19528" t="s">
        <v>12286</v>
      </c>
      <c r="D19528" t="str">
        <f>"40"</f>
        <v>40</v>
      </c>
      <c r="E19528" t="s">
        <v>31</v>
      </c>
      <c r="F19528" t="s">
        <v>8</v>
      </c>
      <c r="G19528" t="s">
        <v>47093</v>
      </c>
      <c r="H19528" t="s">
        <v>47054</v>
      </c>
      <c r="I19528" t="s">
        <v>47111</v>
      </c>
      <c r="J19528" t="s">
        <v>47112</v>
      </c>
      <c r="K19528" t="s">
        <v>47113</v>
      </c>
      <c r="L19528">
        <v>41.36</v>
      </c>
      <c r="M19528">
        <v>106</v>
      </c>
      <c r="N19528">
        <v>0</v>
      </c>
      <c r="O19528">
        <v>106</v>
      </c>
      <c r="P19528">
        <v>0</v>
      </c>
    </row>
    <row r="19529" spans="1:16" x14ac:dyDescent="0.25">
      <c r="A19529" t="s">
        <v>42182</v>
      </c>
      <c r="B19529" t="s">
        <v>12287</v>
      </c>
      <c r="C19529" t="s">
        <v>12288</v>
      </c>
      <c r="D19529" t="str">
        <f>"11"</f>
        <v>11</v>
      </c>
      <c r="E19529" t="s">
        <v>288</v>
      </c>
      <c r="F19529" t="s">
        <v>8</v>
      </c>
      <c r="G19529" t="s">
        <v>47093</v>
      </c>
      <c r="H19529" t="s">
        <v>47054</v>
      </c>
      <c r="I19529" t="s">
        <v>47111</v>
      </c>
      <c r="J19529" t="s">
        <v>47112</v>
      </c>
      <c r="K19529" t="s">
        <v>47113</v>
      </c>
      <c r="L19529">
        <v>37.729999999999997</v>
      </c>
      <c r="M19529">
        <v>98</v>
      </c>
      <c r="N19529">
        <v>0</v>
      </c>
      <c r="O19529">
        <v>98</v>
      </c>
      <c r="P19529">
        <v>0</v>
      </c>
    </row>
    <row r="19530" spans="1:16" x14ac:dyDescent="0.25">
      <c r="A19530" t="s">
        <v>42183</v>
      </c>
      <c r="B19530" t="s">
        <v>12287</v>
      </c>
      <c r="C19530" t="s">
        <v>12288</v>
      </c>
      <c r="D19530" t="s">
        <v>721</v>
      </c>
      <c r="E19530" t="s">
        <v>722</v>
      </c>
      <c r="F19530" t="s">
        <v>8</v>
      </c>
      <c r="G19530" t="s">
        <v>47093</v>
      </c>
      <c r="H19530" t="s">
        <v>47054</v>
      </c>
      <c r="I19530" t="s">
        <v>47111</v>
      </c>
      <c r="J19530" t="s">
        <v>47112</v>
      </c>
      <c r="K19530" t="s">
        <v>47113</v>
      </c>
      <c r="L19530">
        <v>36.97</v>
      </c>
      <c r="M19530">
        <v>91</v>
      </c>
      <c r="N19530">
        <v>0</v>
      </c>
      <c r="O19530">
        <v>91</v>
      </c>
      <c r="P19530">
        <v>0</v>
      </c>
    </row>
    <row r="19531" spans="1:16" x14ac:dyDescent="0.25">
      <c r="A19531" t="s">
        <v>42184</v>
      </c>
      <c r="B19531" t="s">
        <v>12287</v>
      </c>
      <c r="C19531" t="s">
        <v>12288</v>
      </c>
      <c r="D19531" t="str">
        <f>"40"</f>
        <v>40</v>
      </c>
      <c r="E19531" t="s">
        <v>31</v>
      </c>
      <c r="F19531" t="s">
        <v>8</v>
      </c>
      <c r="G19531" t="s">
        <v>47093</v>
      </c>
      <c r="H19531" t="s">
        <v>47054</v>
      </c>
      <c r="I19531" t="s">
        <v>47111</v>
      </c>
      <c r="J19531" t="s">
        <v>47112</v>
      </c>
      <c r="K19531" t="s">
        <v>47113</v>
      </c>
      <c r="L19531">
        <v>41.64</v>
      </c>
      <c r="M19531">
        <v>108</v>
      </c>
      <c r="N19531">
        <v>0</v>
      </c>
      <c r="O19531">
        <v>108</v>
      </c>
      <c r="P19531">
        <v>0</v>
      </c>
    </row>
    <row r="19532" spans="1:16" x14ac:dyDescent="0.25">
      <c r="A19532" t="s">
        <v>42185</v>
      </c>
      <c r="B19532" t="s">
        <v>12287</v>
      </c>
      <c r="C19532" t="s">
        <v>12288</v>
      </c>
      <c r="D19532" t="s">
        <v>629</v>
      </c>
      <c r="E19532" t="s">
        <v>630</v>
      </c>
      <c r="F19532" t="s">
        <v>8</v>
      </c>
      <c r="G19532" t="s">
        <v>47093</v>
      </c>
      <c r="H19532" t="s">
        <v>47054</v>
      </c>
      <c r="I19532" t="s">
        <v>47111</v>
      </c>
      <c r="J19532" t="s">
        <v>47112</v>
      </c>
      <c r="K19532" t="s">
        <v>47113</v>
      </c>
      <c r="L19532">
        <v>43.9</v>
      </c>
      <c r="M19532">
        <v>108</v>
      </c>
      <c r="N19532">
        <v>0</v>
      </c>
      <c r="O19532">
        <v>108</v>
      </c>
      <c r="P19532">
        <v>0</v>
      </c>
    </row>
    <row r="19533" spans="1:16" x14ac:dyDescent="0.25">
      <c r="A19533" t="s">
        <v>42186</v>
      </c>
      <c r="B19533" t="s">
        <v>12289</v>
      </c>
      <c r="C19533" t="s">
        <v>12290</v>
      </c>
      <c r="D19533" t="s">
        <v>629</v>
      </c>
      <c r="E19533" t="s">
        <v>630</v>
      </c>
      <c r="F19533" t="s">
        <v>8</v>
      </c>
      <c r="G19533" t="s">
        <v>47093</v>
      </c>
      <c r="H19533" t="s">
        <v>47054</v>
      </c>
      <c r="I19533" t="s">
        <v>47111</v>
      </c>
      <c r="J19533" t="s">
        <v>47112</v>
      </c>
      <c r="K19533" t="s">
        <v>47113</v>
      </c>
      <c r="L19533">
        <v>41.15</v>
      </c>
      <c r="M19533">
        <v>106</v>
      </c>
      <c r="N19533">
        <v>0</v>
      </c>
      <c r="O19533">
        <v>106</v>
      </c>
      <c r="P19533">
        <v>0</v>
      </c>
    </row>
    <row r="19534" spans="1:16" x14ac:dyDescent="0.25">
      <c r="A19534" t="s">
        <v>42187</v>
      </c>
      <c r="B19534" t="s">
        <v>12291</v>
      </c>
      <c r="C19534" t="s">
        <v>12292</v>
      </c>
      <c r="D19534" t="str">
        <f>"11"</f>
        <v>11</v>
      </c>
      <c r="E19534" t="s">
        <v>288</v>
      </c>
      <c r="F19534" t="s">
        <v>8</v>
      </c>
      <c r="G19534" t="s">
        <v>47093</v>
      </c>
      <c r="H19534" t="s">
        <v>47054</v>
      </c>
      <c r="I19534" t="s">
        <v>47111</v>
      </c>
      <c r="J19534" t="s">
        <v>47112</v>
      </c>
      <c r="K19534" t="s">
        <v>47113</v>
      </c>
      <c r="L19534">
        <v>37.729999999999997</v>
      </c>
      <c r="M19534">
        <v>98</v>
      </c>
      <c r="N19534">
        <v>0</v>
      </c>
      <c r="O19534">
        <v>98</v>
      </c>
      <c r="P19534">
        <v>0</v>
      </c>
    </row>
    <row r="19535" spans="1:16" x14ac:dyDescent="0.25">
      <c r="A19535" t="s">
        <v>42188</v>
      </c>
      <c r="B19535" t="s">
        <v>12291</v>
      </c>
      <c r="C19535" t="s">
        <v>12292</v>
      </c>
      <c r="D19535" t="s">
        <v>721</v>
      </c>
      <c r="E19535" t="s">
        <v>722</v>
      </c>
      <c r="F19535" t="s">
        <v>8</v>
      </c>
      <c r="G19535" t="s">
        <v>47093</v>
      </c>
      <c r="H19535" t="s">
        <v>47054</v>
      </c>
      <c r="I19535" t="s">
        <v>47111</v>
      </c>
      <c r="J19535" t="s">
        <v>47112</v>
      </c>
      <c r="K19535" t="s">
        <v>47113</v>
      </c>
      <c r="L19535">
        <v>34.71</v>
      </c>
      <c r="M19535">
        <v>91</v>
      </c>
      <c r="N19535">
        <v>0</v>
      </c>
      <c r="O19535">
        <v>91</v>
      </c>
      <c r="P19535">
        <v>0</v>
      </c>
    </row>
    <row r="19536" spans="1:16" x14ac:dyDescent="0.25">
      <c r="A19536" t="s">
        <v>42189</v>
      </c>
      <c r="B19536" t="s">
        <v>12291</v>
      </c>
      <c r="C19536" t="s">
        <v>12292</v>
      </c>
      <c r="D19536" t="str">
        <f>"40"</f>
        <v>40</v>
      </c>
      <c r="E19536" t="s">
        <v>31</v>
      </c>
      <c r="F19536" t="s">
        <v>8</v>
      </c>
      <c r="G19536" t="s">
        <v>47093</v>
      </c>
      <c r="H19536" t="s">
        <v>47054</v>
      </c>
      <c r="I19536" t="s">
        <v>47111</v>
      </c>
      <c r="J19536" t="s">
        <v>47112</v>
      </c>
      <c r="K19536" t="s">
        <v>47113</v>
      </c>
      <c r="L19536">
        <v>38.94</v>
      </c>
      <c r="M19536">
        <v>108</v>
      </c>
      <c r="N19536">
        <v>0</v>
      </c>
      <c r="O19536">
        <v>108</v>
      </c>
      <c r="P19536">
        <v>0</v>
      </c>
    </row>
    <row r="19537" spans="1:16" x14ac:dyDescent="0.25">
      <c r="A19537" t="s">
        <v>42190</v>
      </c>
      <c r="B19537" t="s">
        <v>12291</v>
      </c>
      <c r="C19537" t="s">
        <v>12292</v>
      </c>
      <c r="D19537" t="s">
        <v>629</v>
      </c>
      <c r="E19537" t="s">
        <v>630</v>
      </c>
      <c r="F19537" t="s">
        <v>8</v>
      </c>
      <c r="G19537" t="s">
        <v>47093</v>
      </c>
      <c r="H19537" t="s">
        <v>47054</v>
      </c>
      <c r="I19537" t="s">
        <v>47111</v>
      </c>
      <c r="J19537" t="s">
        <v>47112</v>
      </c>
      <c r="K19537" t="s">
        <v>47113</v>
      </c>
      <c r="L19537">
        <v>43.9</v>
      </c>
      <c r="M19537">
        <v>108</v>
      </c>
      <c r="N19537">
        <v>0</v>
      </c>
      <c r="O19537">
        <v>108</v>
      </c>
      <c r="P19537">
        <v>0</v>
      </c>
    </row>
    <row r="19538" spans="1:16" x14ac:dyDescent="0.25">
      <c r="A19538" t="s">
        <v>42191</v>
      </c>
      <c r="B19538" t="s">
        <v>12293</v>
      </c>
      <c r="C19538" t="s">
        <v>12227</v>
      </c>
      <c r="D19538" t="str">
        <f>"1335"</f>
        <v>1335</v>
      </c>
      <c r="E19538" t="s">
        <v>12294</v>
      </c>
      <c r="F19538" t="s">
        <v>7</v>
      </c>
      <c r="G19538" t="s">
        <v>47093</v>
      </c>
      <c r="H19538" t="s">
        <v>47054</v>
      </c>
      <c r="I19538" t="s">
        <v>47111</v>
      </c>
      <c r="J19538" t="s">
        <v>47112</v>
      </c>
      <c r="K19538" t="s">
        <v>47113</v>
      </c>
      <c r="L19538">
        <v>43.47</v>
      </c>
      <c r="M19538">
        <v>111</v>
      </c>
      <c r="N19538">
        <v>0</v>
      </c>
      <c r="O19538">
        <v>111</v>
      </c>
      <c r="P19538">
        <v>0</v>
      </c>
    </row>
    <row r="19539" spans="1:16" x14ac:dyDescent="0.25">
      <c r="A19539" t="s">
        <v>42192</v>
      </c>
      <c r="B19539" t="s">
        <v>688</v>
      </c>
      <c r="C19539" t="s">
        <v>689</v>
      </c>
      <c r="D19539" t="s">
        <v>690</v>
      </c>
      <c r="E19539" t="s">
        <v>691</v>
      </c>
      <c r="F19539" t="s">
        <v>5</v>
      </c>
      <c r="G19539" t="s">
        <v>47093</v>
      </c>
      <c r="H19539" t="s">
        <v>47054</v>
      </c>
      <c r="I19539" t="s">
        <v>47111</v>
      </c>
      <c r="J19539" t="s">
        <v>47112</v>
      </c>
      <c r="K19539" t="s">
        <v>47113</v>
      </c>
      <c r="L19539">
        <v>41.42</v>
      </c>
      <c r="M19539">
        <v>96</v>
      </c>
      <c r="N19539">
        <v>0</v>
      </c>
      <c r="O19539">
        <v>96</v>
      </c>
      <c r="P19539">
        <v>0</v>
      </c>
    </row>
    <row r="19540" spans="1:16" x14ac:dyDescent="0.25">
      <c r="A19540" t="s">
        <v>42193</v>
      </c>
      <c r="B19540" t="s">
        <v>12295</v>
      </c>
      <c r="C19540" t="s">
        <v>12296</v>
      </c>
      <c r="D19540" t="s">
        <v>690</v>
      </c>
      <c r="E19540" t="s">
        <v>691</v>
      </c>
      <c r="F19540" t="s">
        <v>5</v>
      </c>
      <c r="G19540" t="s">
        <v>47093</v>
      </c>
      <c r="H19540" t="s">
        <v>47054</v>
      </c>
      <c r="I19540" t="s">
        <v>47111</v>
      </c>
      <c r="J19540" t="s">
        <v>47112</v>
      </c>
      <c r="K19540" t="s">
        <v>47113</v>
      </c>
      <c r="L19540">
        <v>41.41</v>
      </c>
      <c r="M19540">
        <v>96</v>
      </c>
      <c r="N19540">
        <v>0</v>
      </c>
      <c r="O19540">
        <v>96</v>
      </c>
      <c r="P19540">
        <v>0</v>
      </c>
    </row>
    <row r="19541" spans="1:16" x14ac:dyDescent="0.25">
      <c r="A19541" t="s">
        <v>42194</v>
      </c>
      <c r="B19541" t="s">
        <v>12297</v>
      </c>
      <c r="C19541" t="s">
        <v>12298</v>
      </c>
      <c r="D19541" t="s">
        <v>690</v>
      </c>
      <c r="E19541" t="s">
        <v>691</v>
      </c>
      <c r="F19541" t="s">
        <v>5</v>
      </c>
      <c r="G19541" t="s">
        <v>48515</v>
      </c>
      <c r="H19541" t="s">
        <v>47054</v>
      </c>
      <c r="I19541" t="s">
        <v>47111</v>
      </c>
      <c r="J19541" t="s">
        <v>47112</v>
      </c>
      <c r="K19541" t="s">
        <v>47113</v>
      </c>
      <c r="L19541">
        <v>22.14</v>
      </c>
      <c r="M19541">
        <v>53</v>
      </c>
      <c r="N19541">
        <v>0</v>
      </c>
      <c r="O19541">
        <v>53</v>
      </c>
      <c r="P19541">
        <v>0</v>
      </c>
    </row>
    <row r="19542" spans="1:16" x14ac:dyDescent="0.25">
      <c r="A19542" t="s">
        <v>42195</v>
      </c>
      <c r="B19542" t="s">
        <v>692</v>
      </c>
      <c r="C19542" t="s">
        <v>693</v>
      </c>
      <c r="D19542" t="str">
        <f>"11"</f>
        <v>11</v>
      </c>
      <c r="E19542" t="s">
        <v>288</v>
      </c>
      <c r="F19542" t="s">
        <v>5</v>
      </c>
      <c r="G19542" t="s">
        <v>47093</v>
      </c>
      <c r="H19542" t="s">
        <v>47153</v>
      </c>
      <c r="I19542" t="s">
        <v>47132</v>
      </c>
      <c r="J19542" t="s">
        <v>47133</v>
      </c>
      <c r="K19542" t="s">
        <v>47113</v>
      </c>
      <c r="L19542">
        <v>41.28</v>
      </c>
      <c r="M19542">
        <v>84</v>
      </c>
      <c r="N19542">
        <v>0</v>
      </c>
      <c r="O19542">
        <v>84</v>
      </c>
      <c r="P19542">
        <v>0</v>
      </c>
    </row>
    <row r="19543" spans="1:16" x14ac:dyDescent="0.25">
      <c r="A19543" t="s">
        <v>42196</v>
      </c>
      <c r="B19543" t="s">
        <v>692</v>
      </c>
      <c r="C19543" t="s">
        <v>693</v>
      </c>
      <c r="D19543" t="s">
        <v>694</v>
      </c>
      <c r="E19543" t="s">
        <v>695</v>
      </c>
      <c r="F19543" t="s">
        <v>5</v>
      </c>
      <c r="G19543" t="s">
        <v>47093</v>
      </c>
      <c r="H19543" t="s">
        <v>47153</v>
      </c>
      <c r="I19543" t="s">
        <v>47132</v>
      </c>
      <c r="J19543" t="s">
        <v>47133</v>
      </c>
      <c r="K19543" t="s">
        <v>47113</v>
      </c>
      <c r="L19543">
        <v>40.130000000000003</v>
      </c>
      <c r="M19543">
        <v>77</v>
      </c>
      <c r="N19543">
        <v>0</v>
      </c>
      <c r="O19543">
        <v>77</v>
      </c>
      <c r="P19543">
        <v>0</v>
      </c>
    </row>
    <row r="19544" spans="1:16" x14ac:dyDescent="0.25">
      <c r="A19544" t="s">
        <v>42197</v>
      </c>
      <c r="B19544" t="s">
        <v>692</v>
      </c>
      <c r="C19544" t="s">
        <v>693</v>
      </c>
      <c r="D19544" t="str">
        <f>"40"</f>
        <v>40</v>
      </c>
      <c r="E19544" t="s">
        <v>31</v>
      </c>
      <c r="F19544" t="s">
        <v>5</v>
      </c>
      <c r="G19544" t="s">
        <v>47093</v>
      </c>
      <c r="H19544" t="s">
        <v>47153</v>
      </c>
      <c r="I19544" t="s">
        <v>47132</v>
      </c>
      <c r="J19544" t="s">
        <v>47133</v>
      </c>
      <c r="K19544" t="s">
        <v>47113</v>
      </c>
      <c r="L19544">
        <v>41.92</v>
      </c>
      <c r="M19544">
        <v>80</v>
      </c>
      <c r="N19544">
        <v>0</v>
      </c>
      <c r="O19544">
        <v>80</v>
      </c>
      <c r="P19544">
        <v>0</v>
      </c>
    </row>
    <row r="19545" spans="1:16" x14ac:dyDescent="0.25">
      <c r="A19545" t="s">
        <v>42198</v>
      </c>
      <c r="B19545" t="s">
        <v>692</v>
      </c>
      <c r="C19545" t="s">
        <v>693</v>
      </c>
      <c r="D19545" t="s">
        <v>700</v>
      </c>
      <c r="E19545" t="s">
        <v>701</v>
      </c>
      <c r="F19545" t="s">
        <v>4</v>
      </c>
      <c r="G19545" t="s">
        <v>47093</v>
      </c>
      <c r="H19545" t="s">
        <v>47153</v>
      </c>
      <c r="I19545" t="s">
        <v>47132</v>
      </c>
      <c r="J19545" t="s">
        <v>47133</v>
      </c>
      <c r="K19545" t="s">
        <v>47113</v>
      </c>
      <c r="L19545">
        <v>48.84</v>
      </c>
      <c r="M19545">
        <v>92</v>
      </c>
      <c r="N19545">
        <v>0</v>
      </c>
      <c r="O19545">
        <v>92</v>
      </c>
      <c r="P19545">
        <v>0</v>
      </c>
    </row>
    <row r="19546" spans="1:16" x14ac:dyDescent="0.25">
      <c r="A19546" t="s">
        <v>42199</v>
      </c>
      <c r="B19546" t="s">
        <v>692</v>
      </c>
      <c r="C19546" t="s">
        <v>693</v>
      </c>
      <c r="D19546" t="s">
        <v>696</v>
      </c>
      <c r="E19546" t="s">
        <v>697</v>
      </c>
      <c r="F19546" t="s">
        <v>4</v>
      </c>
      <c r="G19546" t="s">
        <v>47093</v>
      </c>
      <c r="H19546" t="s">
        <v>47153</v>
      </c>
      <c r="I19546" t="s">
        <v>47132</v>
      </c>
      <c r="J19546" t="s">
        <v>47133</v>
      </c>
      <c r="K19546" t="s">
        <v>47113</v>
      </c>
      <c r="L19546">
        <v>45.67</v>
      </c>
      <c r="M19546">
        <v>88</v>
      </c>
      <c r="N19546">
        <v>0</v>
      </c>
      <c r="O19546">
        <v>88</v>
      </c>
      <c r="P19546">
        <v>0</v>
      </c>
    </row>
    <row r="19547" spans="1:16" x14ac:dyDescent="0.25">
      <c r="A19547" t="s">
        <v>42200</v>
      </c>
      <c r="B19547" t="s">
        <v>698</v>
      </c>
      <c r="C19547" t="s">
        <v>699</v>
      </c>
      <c r="D19547" t="str">
        <f>"11"</f>
        <v>11</v>
      </c>
      <c r="E19547" t="s">
        <v>288</v>
      </c>
      <c r="F19547" t="s">
        <v>5</v>
      </c>
      <c r="G19547" t="s">
        <v>47093</v>
      </c>
      <c r="H19547" t="s">
        <v>47153</v>
      </c>
      <c r="I19547" t="s">
        <v>47132</v>
      </c>
      <c r="J19547" t="s">
        <v>47133</v>
      </c>
      <c r="K19547" t="s">
        <v>47113</v>
      </c>
      <c r="L19547">
        <v>40.93</v>
      </c>
      <c r="M19547">
        <v>84</v>
      </c>
      <c r="N19547">
        <v>0</v>
      </c>
      <c r="O19547">
        <v>84</v>
      </c>
      <c r="P19547">
        <v>0</v>
      </c>
    </row>
    <row r="19548" spans="1:16" x14ac:dyDescent="0.25">
      <c r="A19548" t="s">
        <v>42201</v>
      </c>
      <c r="B19548" t="s">
        <v>698</v>
      </c>
      <c r="C19548" t="s">
        <v>699</v>
      </c>
      <c r="D19548" t="s">
        <v>694</v>
      </c>
      <c r="E19548" t="s">
        <v>695</v>
      </c>
      <c r="F19548" t="s">
        <v>5</v>
      </c>
      <c r="G19548" t="s">
        <v>47093</v>
      </c>
      <c r="H19548" t="s">
        <v>47153</v>
      </c>
      <c r="I19548" t="s">
        <v>47132</v>
      </c>
      <c r="J19548" t="s">
        <v>47133</v>
      </c>
      <c r="K19548" t="s">
        <v>47113</v>
      </c>
      <c r="L19548">
        <v>37.71</v>
      </c>
      <c r="M19548">
        <v>77</v>
      </c>
      <c r="N19548">
        <v>0</v>
      </c>
      <c r="O19548">
        <v>77</v>
      </c>
      <c r="P19548">
        <v>0</v>
      </c>
    </row>
    <row r="19549" spans="1:16" x14ac:dyDescent="0.25">
      <c r="A19549" t="s">
        <v>42202</v>
      </c>
      <c r="B19549" t="s">
        <v>698</v>
      </c>
      <c r="C19549" t="s">
        <v>699</v>
      </c>
      <c r="D19549" t="str">
        <f>"40"</f>
        <v>40</v>
      </c>
      <c r="E19549" t="s">
        <v>31</v>
      </c>
      <c r="F19549" t="s">
        <v>5</v>
      </c>
      <c r="G19549" t="s">
        <v>47093</v>
      </c>
      <c r="H19549" t="s">
        <v>47153</v>
      </c>
      <c r="I19549" t="s">
        <v>47132</v>
      </c>
      <c r="J19549" t="s">
        <v>47133</v>
      </c>
      <c r="K19549" t="s">
        <v>47113</v>
      </c>
      <c r="L19549">
        <v>39.549999999999997</v>
      </c>
      <c r="M19549">
        <v>80</v>
      </c>
      <c r="N19549">
        <v>0</v>
      </c>
      <c r="O19549">
        <v>80</v>
      </c>
      <c r="P19549">
        <v>0</v>
      </c>
    </row>
    <row r="19550" spans="1:16" x14ac:dyDescent="0.25">
      <c r="A19550" t="s">
        <v>42203</v>
      </c>
      <c r="B19550" t="s">
        <v>698</v>
      </c>
      <c r="C19550" t="s">
        <v>699</v>
      </c>
      <c r="D19550" t="s">
        <v>700</v>
      </c>
      <c r="E19550" t="s">
        <v>701</v>
      </c>
      <c r="F19550" t="s">
        <v>4</v>
      </c>
      <c r="G19550" t="s">
        <v>47093</v>
      </c>
      <c r="H19550" t="s">
        <v>47153</v>
      </c>
      <c r="I19550" t="s">
        <v>47132</v>
      </c>
      <c r="J19550" t="s">
        <v>47133</v>
      </c>
      <c r="K19550" t="s">
        <v>47113</v>
      </c>
      <c r="L19550">
        <v>45.67</v>
      </c>
      <c r="M19550">
        <v>92</v>
      </c>
      <c r="N19550">
        <v>0</v>
      </c>
      <c r="O19550">
        <v>92</v>
      </c>
      <c r="P19550">
        <v>0</v>
      </c>
    </row>
    <row r="19551" spans="1:16" x14ac:dyDescent="0.25">
      <c r="A19551" t="s">
        <v>42204</v>
      </c>
      <c r="B19551" t="s">
        <v>698</v>
      </c>
      <c r="C19551" t="s">
        <v>699</v>
      </c>
      <c r="D19551" t="s">
        <v>696</v>
      </c>
      <c r="E19551" t="s">
        <v>697</v>
      </c>
      <c r="F19551" t="s">
        <v>4</v>
      </c>
      <c r="G19551" t="s">
        <v>47093</v>
      </c>
      <c r="H19551" t="s">
        <v>47153</v>
      </c>
      <c r="I19551" t="s">
        <v>47132</v>
      </c>
      <c r="J19551" t="s">
        <v>47133</v>
      </c>
      <c r="K19551" t="s">
        <v>47113</v>
      </c>
      <c r="L19551">
        <v>49.19</v>
      </c>
      <c r="M19551">
        <v>88</v>
      </c>
      <c r="N19551">
        <v>0</v>
      </c>
      <c r="O19551">
        <v>88</v>
      </c>
      <c r="P19551">
        <v>0</v>
      </c>
    </row>
    <row r="19552" spans="1:16" x14ac:dyDescent="0.25">
      <c r="A19552" t="s">
        <v>42205</v>
      </c>
      <c r="B19552" t="s">
        <v>702</v>
      </c>
      <c r="C19552" t="s">
        <v>703</v>
      </c>
      <c r="D19552" t="str">
        <f>"11"</f>
        <v>11</v>
      </c>
      <c r="E19552" t="s">
        <v>288</v>
      </c>
      <c r="F19552" t="s">
        <v>5</v>
      </c>
      <c r="G19552" t="s">
        <v>47093</v>
      </c>
      <c r="H19552" t="s">
        <v>47153</v>
      </c>
      <c r="I19552" t="s">
        <v>47132</v>
      </c>
      <c r="J19552" t="s">
        <v>47133</v>
      </c>
      <c r="K19552" t="s">
        <v>47113</v>
      </c>
      <c r="L19552">
        <v>42.76</v>
      </c>
      <c r="M19552">
        <v>84</v>
      </c>
      <c r="N19552">
        <v>0</v>
      </c>
      <c r="O19552">
        <v>84</v>
      </c>
      <c r="P19552">
        <v>0</v>
      </c>
    </row>
    <row r="19553" spans="1:16" x14ac:dyDescent="0.25">
      <c r="A19553" t="s">
        <v>42206</v>
      </c>
      <c r="B19553" t="s">
        <v>702</v>
      </c>
      <c r="C19553" t="s">
        <v>703</v>
      </c>
      <c r="D19553" t="s">
        <v>694</v>
      </c>
      <c r="E19553" t="s">
        <v>695</v>
      </c>
      <c r="F19553" t="s">
        <v>5</v>
      </c>
      <c r="G19553" t="s">
        <v>47093</v>
      </c>
      <c r="H19553" t="s">
        <v>47153</v>
      </c>
      <c r="I19553" t="s">
        <v>47132</v>
      </c>
      <c r="J19553" t="s">
        <v>47133</v>
      </c>
      <c r="K19553" t="s">
        <v>47113</v>
      </c>
      <c r="L19553">
        <v>39.49</v>
      </c>
      <c r="M19553">
        <v>77</v>
      </c>
      <c r="N19553">
        <v>0</v>
      </c>
      <c r="O19553">
        <v>77</v>
      </c>
      <c r="P19553">
        <v>0</v>
      </c>
    </row>
    <row r="19554" spans="1:16" x14ac:dyDescent="0.25">
      <c r="A19554" t="s">
        <v>42207</v>
      </c>
      <c r="B19554" t="s">
        <v>702</v>
      </c>
      <c r="C19554" t="s">
        <v>703</v>
      </c>
      <c r="D19554" t="str">
        <f>"40"</f>
        <v>40</v>
      </c>
      <c r="E19554" t="s">
        <v>31</v>
      </c>
      <c r="F19554" t="s">
        <v>5</v>
      </c>
      <c r="G19554" t="s">
        <v>47093</v>
      </c>
      <c r="H19554" t="s">
        <v>47153</v>
      </c>
      <c r="I19554" t="s">
        <v>47132</v>
      </c>
      <c r="J19554" t="s">
        <v>47133</v>
      </c>
      <c r="K19554" t="s">
        <v>47113</v>
      </c>
      <c r="L19554">
        <v>40.700000000000003</v>
      </c>
      <c r="M19554">
        <v>80</v>
      </c>
      <c r="N19554">
        <v>0</v>
      </c>
      <c r="O19554">
        <v>80</v>
      </c>
      <c r="P19554">
        <v>0</v>
      </c>
    </row>
    <row r="19555" spans="1:16" x14ac:dyDescent="0.25">
      <c r="A19555" t="s">
        <v>14703</v>
      </c>
      <c r="B19555" t="s">
        <v>704</v>
      </c>
      <c r="C19555" t="s">
        <v>705</v>
      </c>
      <c r="D19555" t="str">
        <f>"11"</f>
        <v>11</v>
      </c>
      <c r="E19555" t="s">
        <v>288</v>
      </c>
      <c r="F19555" t="s">
        <v>5</v>
      </c>
      <c r="G19555" t="s">
        <v>47098</v>
      </c>
      <c r="H19555" t="s">
        <v>47153</v>
      </c>
      <c r="I19555" t="s">
        <v>47132</v>
      </c>
      <c r="J19555" t="s">
        <v>47133</v>
      </c>
      <c r="K19555" t="s">
        <v>47113</v>
      </c>
      <c r="L19555">
        <v>53.93</v>
      </c>
      <c r="M19555">
        <v>107</v>
      </c>
      <c r="N19555">
        <v>0</v>
      </c>
      <c r="O19555">
        <v>107</v>
      </c>
      <c r="P19555">
        <v>0</v>
      </c>
    </row>
    <row r="19556" spans="1:16" x14ac:dyDescent="0.25">
      <c r="A19556" t="s">
        <v>42208</v>
      </c>
      <c r="B19556" t="s">
        <v>704</v>
      </c>
      <c r="C19556" t="s">
        <v>705</v>
      </c>
      <c r="D19556" t="s">
        <v>694</v>
      </c>
      <c r="E19556" t="s">
        <v>695</v>
      </c>
      <c r="F19556" t="s">
        <v>5</v>
      </c>
      <c r="G19556" t="s">
        <v>47098</v>
      </c>
      <c r="H19556" t="s">
        <v>47153</v>
      </c>
      <c r="I19556" t="s">
        <v>47132</v>
      </c>
      <c r="J19556" t="s">
        <v>47133</v>
      </c>
      <c r="K19556" t="s">
        <v>47113</v>
      </c>
      <c r="L19556">
        <v>54.96</v>
      </c>
      <c r="M19556">
        <v>103</v>
      </c>
      <c r="N19556">
        <v>0</v>
      </c>
      <c r="O19556">
        <v>103</v>
      </c>
      <c r="P19556">
        <v>0</v>
      </c>
    </row>
    <row r="19557" spans="1:16" x14ac:dyDescent="0.25">
      <c r="A19557" t="s">
        <v>42209</v>
      </c>
      <c r="B19557" t="s">
        <v>704</v>
      </c>
      <c r="C19557" t="s">
        <v>705</v>
      </c>
      <c r="D19557" t="str">
        <f>"40"</f>
        <v>40</v>
      </c>
      <c r="E19557" t="s">
        <v>31</v>
      </c>
      <c r="F19557" t="s">
        <v>5</v>
      </c>
      <c r="G19557" t="s">
        <v>47098</v>
      </c>
      <c r="H19557" t="s">
        <v>47153</v>
      </c>
      <c r="I19557" t="s">
        <v>47132</v>
      </c>
      <c r="J19557" t="s">
        <v>47133</v>
      </c>
      <c r="K19557" t="s">
        <v>47113</v>
      </c>
      <c r="L19557">
        <v>53.24</v>
      </c>
      <c r="M19557">
        <v>100</v>
      </c>
      <c r="N19557">
        <v>0</v>
      </c>
      <c r="O19557">
        <v>100</v>
      </c>
      <c r="P19557">
        <v>0</v>
      </c>
    </row>
    <row r="19558" spans="1:16" x14ac:dyDescent="0.25">
      <c r="A19558" t="s">
        <v>49364</v>
      </c>
      <c r="B19558" t="s">
        <v>49365</v>
      </c>
      <c r="C19558" t="s">
        <v>49366</v>
      </c>
      <c r="D19558" t="str">
        <f>"1700"</f>
        <v>1700</v>
      </c>
      <c r="E19558" t="s">
        <v>60</v>
      </c>
      <c r="F19558" t="s">
        <v>31484</v>
      </c>
      <c r="G19558" t="s">
        <v>47097</v>
      </c>
      <c r="H19558" t="s">
        <v>47054</v>
      </c>
      <c r="I19558" t="s">
        <v>47154</v>
      </c>
      <c r="J19558" t="s">
        <v>47155</v>
      </c>
      <c r="K19558" t="s">
        <v>47113</v>
      </c>
      <c r="L19558">
        <v>15.59</v>
      </c>
      <c r="M19558">
        <v>51</v>
      </c>
      <c r="N19558">
        <v>139</v>
      </c>
      <c r="O19558">
        <v>51</v>
      </c>
      <c r="P19558">
        <v>139</v>
      </c>
    </row>
    <row r="19559" spans="1:16" x14ac:dyDescent="0.25">
      <c r="A19559" t="s">
        <v>49367</v>
      </c>
      <c r="B19559" t="s">
        <v>49365</v>
      </c>
      <c r="C19559" t="s">
        <v>49366</v>
      </c>
      <c r="D19559" t="str">
        <f>"4100"</f>
        <v>4100</v>
      </c>
      <c r="E19559" t="s">
        <v>17644</v>
      </c>
      <c r="F19559" t="s">
        <v>31484</v>
      </c>
      <c r="G19559" t="s">
        <v>47097</v>
      </c>
      <c r="H19559" t="s">
        <v>47054</v>
      </c>
      <c r="I19559" t="s">
        <v>47154</v>
      </c>
      <c r="J19559" t="s">
        <v>47155</v>
      </c>
      <c r="K19559" t="s">
        <v>47113</v>
      </c>
      <c r="L19559">
        <v>15.59</v>
      </c>
      <c r="M19559">
        <v>51</v>
      </c>
      <c r="N19559">
        <v>139</v>
      </c>
      <c r="O19559">
        <v>51</v>
      </c>
      <c r="P19559">
        <v>139</v>
      </c>
    </row>
    <row r="19560" spans="1:16" x14ac:dyDescent="0.25">
      <c r="A19560" t="s">
        <v>49368</v>
      </c>
      <c r="B19560" t="s">
        <v>49369</v>
      </c>
      <c r="C19560" t="s">
        <v>49370</v>
      </c>
      <c r="D19560" t="str">
        <f>"1700"</f>
        <v>1700</v>
      </c>
      <c r="E19560" t="s">
        <v>60</v>
      </c>
      <c r="F19560" t="s">
        <v>46687</v>
      </c>
      <c r="G19560" t="s">
        <v>47094</v>
      </c>
      <c r="H19560" t="s">
        <v>47054</v>
      </c>
      <c r="I19560" t="s">
        <v>47118</v>
      </c>
      <c r="J19560" t="s">
        <v>47119</v>
      </c>
      <c r="K19560" t="s">
        <v>47113</v>
      </c>
      <c r="L19560">
        <v>15.57</v>
      </c>
      <c r="M19560">
        <v>51</v>
      </c>
      <c r="N19560">
        <v>139</v>
      </c>
      <c r="O19560">
        <v>51</v>
      </c>
      <c r="P19560">
        <v>139</v>
      </c>
    </row>
    <row r="19561" spans="1:16" x14ac:dyDescent="0.25">
      <c r="A19561" t="s">
        <v>49371</v>
      </c>
      <c r="B19561" t="s">
        <v>49372</v>
      </c>
      <c r="C19561" t="s">
        <v>49373</v>
      </c>
      <c r="D19561" t="str">
        <f>"1700"</f>
        <v>1700</v>
      </c>
      <c r="E19561" t="s">
        <v>60</v>
      </c>
      <c r="F19561" t="s">
        <v>46687</v>
      </c>
      <c r="G19561" t="s">
        <v>47095</v>
      </c>
      <c r="H19561" t="s">
        <v>47054</v>
      </c>
      <c r="I19561" t="s">
        <v>47118</v>
      </c>
      <c r="J19561" t="s">
        <v>47119</v>
      </c>
      <c r="K19561" t="s">
        <v>47113</v>
      </c>
      <c r="L19561">
        <v>10.91</v>
      </c>
      <c r="M19561">
        <v>40</v>
      </c>
      <c r="N19561">
        <v>109</v>
      </c>
      <c r="O19561">
        <v>40</v>
      </c>
      <c r="P19561">
        <v>109</v>
      </c>
    </row>
    <row r="19562" spans="1:16" x14ac:dyDescent="0.25">
      <c r="A19562" t="s">
        <v>49374</v>
      </c>
      <c r="B19562" t="s">
        <v>49375</v>
      </c>
      <c r="C19562" t="s">
        <v>49376</v>
      </c>
      <c r="D19562" t="str">
        <f>"1700"</f>
        <v>1700</v>
      </c>
      <c r="E19562" t="s">
        <v>1999</v>
      </c>
      <c r="F19562" t="s">
        <v>31484</v>
      </c>
      <c r="G19562" t="s">
        <v>47093</v>
      </c>
      <c r="H19562" t="s">
        <v>47054</v>
      </c>
      <c r="I19562" t="s">
        <v>47544</v>
      </c>
      <c r="J19562" t="s">
        <v>47545</v>
      </c>
      <c r="K19562" t="s">
        <v>47113</v>
      </c>
      <c r="L19562">
        <v>22.22</v>
      </c>
      <c r="M19562">
        <v>96</v>
      </c>
      <c r="N19562">
        <v>259</v>
      </c>
      <c r="O19562">
        <v>96</v>
      </c>
      <c r="P19562">
        <v>259</v>
      </c>
    </row>
    <row r="19563" spans="1:16" x14ac:dyDescent="0.25">
      <c r="A19563" t="s">
        <v>49377</v>
      </c>
      <c r="B19563" t="s">
        <v>49378</v>
      </c>
      <c r="C19563" t="s">
        <v>22957</v>
      </c>
      <c r="D19563" t="s">
        <v>22337</v>
      </c>
      <c r="E19563" t="s">
        <v>1999</v>
      </c>
      <c r="F19563" t="s">
        <v>24622</v>
      </c>
      <c r="G19563" t="s">
        <v>47093</v>
      </c>
      <c r="H19563" t="s">
        <v>47054</v>
      </c>
      <c r="I19563" t="s">
        <v>47544</v>
      </c>
      <c r="J19563" t="s">
        <v>47545</v>
      </c>
      <c r="K19563" t="s">
        <v>47113</v>
      </c>
      <c r="L19563">
        <v>21.79</v>
      </c>
      <c r="M19563">
        <v>85</v>
      </c>
      <c r="N19563">
        <v>229</v>
      </c>
      <c r="O19563">
        <v>85</v>
      </c>
      <c r="P19563">
        <v>229</v>
      </c>
    </row>
    <row r="19564" spans="1:16" x14ac:dyDescent="0.25">
      <c r="A19564" t="s">
        <v>49379</v>
      </c>
      <c r="B19564" t="s">
        <v>49380</v>
      </c>
      <c r="C19564" t="s">
        <v>49381</v>
      </c>
      <c r="D19564" t="str">
        <f>"1700"</f>
        <v>1700</v>
      </c>
      <c r="E19564" t="s">
        <v>1999</v>
      </c>
      <c r="F19564" t="s">
        <v>47185</v>
      </c>
      <c r="G19564" t="s">
        <v>47093</v>
      </c>
      <c r="H19564" t="s">
        <v>47054</v>
      </c>
      <c r="I19564" t="s">
        <v>47544</v>
      </c>
      <c r="J19564" t="s">
        <v>47545</v>
      </c>
      <c r="K19564" t="s">
        <v>47113</v>
      </c>
      <c r="L19564">
        <v>31.56</v>
      </c>
      <c r="M19564">
        <v>114</v>
      </c>
      <c r="N19564">
        <v>309</v>
      </c>
      <c r="O19564">
        <v>114</v>
      </c>
      <c r="P19564">
        <v>309</v>
      </c>
    </row>
    <row r="19565" spans="1:16" x14ac:dyDescent="0.25">
      <c r="A19565" t="s">
        <v>49382</v>
      </c>
      <c r="B19565" t="s">
        <v>49383</v>
      </c>
      <c r="C19565" t="s">
        <v>49384</v>
      </c>
      <c r="D19565" t="str">
        <f>"1700"</f>
        <v>1700</v>
      </c>
      <c r="E19565" t="s">
        <v>1999</v>
      </c>
      <c r="F19565" t="s">
        <v>31484</v>
      </c>
      <c r="G19565" t="s">
        <v>47093</v>
      </c>
      <c r="H19565" t="s">
        <v>47054</v>
      </c>
      <c r="I19565" t="s">
        <v>47544</v>
      </c>
      <c r="J19565" t="s">
        <v>47545</v>
      </c>
      <c r="K19565" t="s">
        <v>47113</v>
      </c>
      <c r="L19565">
        <v>22.68</v>
      </c>
      <c r="M19565">
        <v>114</v>
      </c>
      <c r="N19565">
        <v>309</v>
      </c>
      <c r="O19565">
        <v>114</v>
      </c>
      <c r="P19565">
        <v>309</v>
      </c>
    </row>
    <row r="19566" spans="1:16" x14ac:dyDescent="0.25">
      <c r="A19566" t="s">
        <v>49385</v>
      </c>
      <c r="B19566" t="s">
        <v>49386</v>
      </c>
      <c r="C19566" t="s">
        <v>49387</v>
      </c>
      <c r="D19566" t="str">
        <f>"1700"</f>
        <v>1700</v>
      </c>
      <c r="E19566" t="s">
        <v>1999</v>
      </c>
      <c r="F19566" t="s">
        <v>31484</v>
      </c>
      <c r="G19566" t="s">
        <v>49029</v>
      </c>
      <c r="H19566" t="s">
        <v>47054</v>
      </c>
      <c r="I19566" t="s">
        <v>47544</v>
      </c>
      <c r="J19566" t="s">
        <v>47545</v>
      </c>
      <c r="K19566" t="s">
        <v>47113</v>
      </c>
      <c r="L19566">
        <v>21.99</v>
      </c>
      <c r="M19566">
        <v>96</v>
      </c>
      <c r="N19566">
        <v>259</v>
      </c>
      <c r="O19566">
        <v>96</v>
      </c>
      <c r="P19566">
        <v>259</v>
      </c>
    </row>
    <row r="19567" spans="1:16" x14ac:dyDescent="0.25">
      <c r="A19567" t="s">
        <v>42210</v>
      </c>
      <c r="B19567" t="s">
        <v>42211</v>
      </c>
      <c r="C19567" t="s">
        <v>42212</v>
      </c>
      <c r="D19567" t="str">
        <f>"2500"</f>
        <v>2500</v>
      </c>
      <c r="E19567" t="s">
        <v>1747</v>
      </c>
      <c r="F19567" t="s">
        <v>24622</v>
      </c>
      <c r="G19567" t="s">
        <v>47099</v>
      </c>
      <c r="H19567" t="s">
        <v>47054</v>
      </c>
      <c r="I19567" t="s">
        <v>47544</v>
      </c>
      <c r="J19567" t="s">
        <v>47545</v>
      </c>
      <c r="K19567" t="s">
        <v>47113</v>
      </c>
      <c r="L19567">
        <v>16.21</v>
      </c>
      <c r="M19567">
        <v>70</v>
      </c>
      <c r="N19567">
        <v>189</v>
      </c>
      <c r="O19567">
        <v>70</v>
      </c>
      <c r="P19567">
        <v>189</v>
      </c>
    </row>
    <row r="19568" spans="1:16" x14ac:dyDescent="0.25">
      <c r="A19568" t="s">
        <v>42213</v>
      </c>
      <c r="B19568" t="s">
        <v>12299</v>
      </c>
      <c r="C19568" t="s">
        <v>12300</v>
      </c>
      <c r="D19568" t="str">
        <f>"1001"</f>
        <v>1001</v>
      </c>
      <c r="E19568" t="s">
        <v>42</v>
      </c>
      <c r="F19568" t="s">
        <v>4</v>
      </c>
      <c r="G19568" t="s">
        <v>47097</v>
      </c>
      <c r="H19568" t="s">
        <v>47054</v>
      </c>
      <c r="I19568" t="s">
        <v>47569</v>
      </c>
      <c r="J19568" t="s">
        <v>47570</v>
      </c>
      <c r="K19568" t="s">
        <v>47113</v>
      </c>
      <c r="L19568">
        <v>9.26</v>
      </c>
      <c r="M19568">
        <v>23</v>
      </c>
      <c r="N19568">
        <v>0</v>
      </c>
      <c r="O19568">
        <v>23</v>
      </c>
      <c r="P19568">
        <v>0</v>
      </c>
    </row>
    <row r="19569" spans="1:16" x14ac:dyDescent="0.25">
      <c r="A19569" t="s">
        <v>42214</v>
      </c>
      <c r="B19569" t="s">
        <v>12299</v>
      </c>
      <c r="C19569" t="s">
        <v>12300</v>
      </c>
      <c r="D19569" t="str">
        <f>"1847"</f>
        <v>1847</v>
      </c>
      <c r="E19569" t="s">
        <v>12301</v>
      </c>
      <c r="F19569" t="s">
        <v>4</v>
      </c>
      <c r="G19569" t="s">
        <v>47097</v>
      </c>
      <c r="H19569" t="s">
        <v>47054</v>
      </c>
      <c r="I19569" t="s">
        <v>47569</v>
      </c>
      <c r="J19569" t="s">
        <v>47570</v>
      </c>
      <c r="K19569" t="s">
        <v>47113</v>
      </c>
      <c r="L19569">
        <v>9.26</v>
      </c>
      <c r="M19569">
        <v>23</v>
      </c>
      <c r="N19569">
        <v>0</v>
      </c>
      <c r="O19569">
        <v>23</v>
      </c>
      <c r="P19569">
        <v>0</v>
      </c>
    </row>
    <row r="19570" spans="1:16" x14ac:dyDescent="0.25">
      <c r="A19570" t="s">
        <v>42215</v>
      </c>
      <c r="B19570" t="s">
        <v>15978</v>
      </c>
      <c r="C19570" t="s">
        <v>15979</v>
      </c>
      <c r="D19570" t="s">
        <v>15572</v>
      </c>
      <c r="E19570" t="s">
        <v>15573</v>
      </c>
      <c r="F19570" t="s">
        <v>3750</v>
      </c>
      <c r="G19570" t="s">
        <v>47093</v>
      </c>
      <c r="H19570" t="s">
        <v>47054</v>
      </c>
      <c r="I19570" t="s">
        <v>47116</v>
      </c>
      <c r="J19570" t="s">
        <v>47117</v>
      </c>
      <c r="K19570" t="s">
        <v>47113</v>
      </c>
      <c r="L19570">
        <v>22.6</v>
      </c>
      <c r="M19570">
        <v>88</v>
      </c>
      <c r="N19570">
        <v>0</v>
      </c>
      <c r="O19570">
        <v>88</v>
      </c>
      <c r="P19570">
        <v>0</v>
      </c>
    </row>
    <row r="19571" spans="1:16" x14ac:dyDescent="0.25">
      <c r="A19571" t="s">
        <v>42216</v>
      </c>
      <c r="B19571" t="s">
        <v>15980</v>
      </c>
      <c r="C19571" t="s">
        <v>15981</v>
      </c>
      <c r="D19571" t="s">
        <v>7843</v>
      </c>
      <c r="E19571" t="s">
        <v>7844</v>
      </c>
      <c r="F19571" t="s">
        <v>3750</v>
      </c>
      <c r="G19571" t="s">
        <v>47093</v>
      </c>
      <c r="H19571" t="s">
        <v>47054</v>
      </c>
      <c r="I19571" t="s">
        <v>47116</v>
      </c>
      <c r="J19571" t="s">
        <v>47117</v>
      </c>
      <c r="K19571" t="s">
        <v>47113</v>
      </c>
      <c r="L19571">
        <v>26.48</v>
      </c>
      <c r="M19571">
        <v>103</v>
      </c>
      <c r="N19571">
        <v>0</v>
      </c>
      <c r="O19571">
        <v>103</v>
      </c>
      <c r="P19571">
        <v>0</v>
      </c>
    </row>
    <row r="19572" spans="1:16" x14ac:dyDescent="0.25">
      <c r="A19572" t="s">
        <v>42217</v>
      </c>
      <c r="B19572" t="s">
        <v>15982</v>
      </c>
      <c r="C19572" t="s">
        <v>15983</v>
      </c>
      <c r="D19572" t="s">
        <v>15589</v>
      </c>
      <c r="E19572" t="s">
        <v>15590</v>
      </c>
      <c r="F19572" t="s">
        <v>3750</v>
      </c>
      <c r="G19572" t="s">
        <v>47093</v>
      </c>
      <c r="H19572" t="s">
        <v>47054</v>
      </c>
      <c r="I19572" t="s">
        <v>47116</v>
      </c>
      <c r="J19572" t="s">
        <v>47117</v>
      </c>
      <c r="K19572" t="s">
        <v>47113</v>
      </c>
      <c r="L19572">
        <v>21.13</v>
      </c>
      <c r="M19572">
        <v>93</v>
      </c>
      <c r="N19572">
        <v>0</v>
      </c>
      <c r="O19572">
        <v>93</v>
      </c>
      <c r="P19572">
        <v>0</v>
      </c>
    </row>
    <row r="19573" spans="1:16" x14ac:dyDescent="0.25">
      <c r="A19573" t="s">
        <v>42218</v>
      </c>
      <c r="B19573" t="s">
        <v>18647</v>
      </c>
      <c r="C19573" t="s">
        <v>18648</v>
      </c>
      <c r="D19573" t="s">
        <v>18649</v>
      </c>
      <c r="E19573" t="s">
        <v>18650</v>
      </c>
      <c r="F19573" t="s">
        <v>3750</v>
      </c>
      <c r="G19573" t="s">
        <v>47093</v>
      </c>
      <c r="H19573" t="s">
        <v>47054</v>
      </c>
      <c r="I19573" t="s">
        <v>47116</v>
      </c>
      <c r="J19573" t="s">
        <v>47117</v>
      </c>
      <c r="K19573" t="s">
        <v>47113</v>
      </c>
      <c r="L19573">
        <v>22.92</v>
      </c>
      <c r="M19573">
        <v>64</v>
      </c>
      <c r="N19573">
        <v>0</v>
      </c>
      <c r="O19573">
        <v>64</v>
      </c>
      <c r="P19573">
        <v>0</v>
      </c>
    </row>
    <row r="19574" spans="1:16" x14ac:dyDescent="0.25">
      <c r="A19574" t="s">
        <v>42219</v>
      </c>
      <c r="B19574" t="s">
        <v>15984</v>
      </c>
      <c r="C19574" t="s">
        <v>15985</v>
      </c>
      <c r="D19574" t="s">
        <v>15610</v>
      </c>
      <c r="E19574" t="s">
        <v>15611</v>
      </c>
      <c r="F19574" t="s">
        <v>3750</v>
      </c>
      <c r="G19574" t="s">
        <v>47093</v>
      </c>
      <c r="H19574" t="s">
        <v>47054</v>
      </c>
      <c r="I19574" t="s">
        <v>47964</v>
      </c>
      <c r="J19574" t="s">
        <v>47965</v>
      </c>
      <c r="K19574" t="s">
        <v>47113</v>
      </c>
      <c r="L19574">
        <v>17.91</v>
      </c>
      <c r="M19574">
        <v>69</v>
      </c>
      <c r="N19574">
        <v>0</v>
      </c>
      <c r="O19574">
        <v>69</v>
      </c>
      <c r="P19574">
        <v>0</v>
      </c>
    </row>
    <row r="19575" spans="1:16" x14ac:dyDescent="0.25">
      <c r="A19575" t="s">
        <v>42220</v>
      </c>
      <c r="B19575" t="s">
        <v>18651</v>
      </c>
      <c r="C19575" t="s">
        <v>18652</v>
      </c>
      <c r="D19575" t="s">
        <v>17829</v>
      </c>
      <c r="E19575" t="s">
        <v>17830</v>
      </c>
      <c r="F19575" t="s">
        <v>3750</v>
      </c>
      <c r="G19575" t="s">
        <v>47093</v>
      </c>
      <c r="H19575" t="s">
        <v>47054</v>
      </c>
      <c r="I19575" t="s">
        <v>47116</v>
      </c>
      <c r="J19575" t="s">
        <v>47117</v>
      </c>
      <c r="K19575" t="s">
        <v>47113</v>
      </c>
      <c r="L19575">
        <v>19.46</v>
      </c>
      <c r="M19575">
        <v>57</v>
      </c>
      <c r="N19575">
        <v>0</v>
      </c>
      <c r="O19575">
        <v>57</v>
      </c>
      <c r="P19575">
        <v>0</v>
      </c>
    </row>
    <row r="19576" spans="1:16" x14ac:dyDescent="0.25">
      <c r="A19576" t="s">
        <v>42221</v>
      </c>
      <c r="B19576" t="s">
        <v>14344</v>
      </c>
      <c r="C19576" t="s">
        <v>14345</v>
      </c>
      <c r="D19576" t="s">
        <v>14346</v>
      </c>
      <c r="E19576" t="s">
        <v>14347</v>
      </c>
      <c r="F19576" t="s">
        <v>3750</v>
      </c>
      <c r="G19576" t="s">
        <v>47093</v>
      </c>
      <c r="H19576" t="s">
        <v>47054</v>
      </c>
      <c r="I19576" t="s">
        <v>47116</v>
      </c>
      <c r="J19576" t="s">
        <v>47117</v>
      </c>
      <c r="K19576" t="s">
        <v>47113</v>
      </c>
      <c r="L19576">
        <v>26.99</v>
      </c>
      <c r="M19576">
        <v>120</v>
      </c>
      <c r="N19576">
        <v>0</v>
      </c>
      <c r="O19576">
        <v>120</v>
      </c>
      <c r="P19576">
        <v>0</v>
      </c>
    </row>
    <row r="19577" spans="1:16" x14ac:dyDescent="0.25">
      <c r="A19577" t="s">
        <v>42222</v>
      </c>
      <c r="B19577" t="s">
        <v>15986</v>
      </c>
      <c r="C19577" t="s">
        <v>15987</v>
      </c>
      <c r="D19577" t="s">
        <v>15606</v>
      </c>
      <c r="E19577" t="s">
        <v>15607</v>
      </c>
      <c r="F19577" t="s">
        <v>3750</v>
      </c>
      <c r="G19577" t="s">
        <v>47093</v>
      </c>
      <c r="H19577" t="s">
        <v>47054</v>
      </c>
      <c r="I19577" t="s">
        <v>47116</v>
      </c>
      <c r="J19577" t="s">
        <v>47117</v>
      </c>
      <c r="K19577" t="s">
        <v>47113</v>
      </c>
      <c r="L19577">
        <v>19.41</v>
      </c>
      <c r="M19577">
        <v>78</v>
      </c>
      <c r="N19577">
        <v>0</v>
      </c>
      <c r="O19577">
        <v>78</v>
      </c>
      <c r="P19577">
        <v>0</v>
      </c>
    </row>
    <row r="19578" spans="1:16" x14ac:dyDescent="0.25">
      <c r="A19578" t="s">
        <v>42223</v>
      </c>
      <c r="B19578" t="s">
        <v>15988</v>
      </c>
      <c r="C19578" t="s">
        <v>15989</v>
      </c>
      <c r="D19578" t="s">
        <v>15572</v>
      </c>
      <c r="E19578" t="s">
        <v>15573</v>
      </c>
      <c r="F19578" t="s">
        <v>3750</v>
      </c>
      <c r="G19578" t="s">
        <v>47093</v>
      </c>
      <c r="H19578" t="s">
        <v>47054</v>
      </c>
      <c r="I19578" t="s">
        <v>47116</v>
      </c>
      <c r="J19578" t="s">
        <v>47117</v>
      </c>
      <c r="K19578" t="s">
        <v>47113</v>
      </c>
      <c r="L19578">
        <v>31.39</v>
      </c>
      <c r="M19578">
        <v>122</v>
      </c>
      <c r="N19578">
        <v>0</v>
      </c>
      <c r="O19578">
        <v>122</v>
      </c>
      <c r="P19578">
        <v>0</v>
      </c>
    </row>
    <row r="19579" spans="1:16" x14ac:dyDescent="0.25">
      <c r="A19579" t="s">
        <v>42224</v>
      </c>
      <c r="B19579" t="s">
        <v>15990</v>
      </c>
      <c r="C19579" t="s">
        <v>15991</v>
      </c>
      <c r="D19579" t="s">
        <v>15589</v>
      </c>
      <c r="E19579" t="s">
        <v>15590</v>
      </c>
      <c r="F19579" t="s">
        <v>3750</v>
      </c>
      <c r="G19579" t="s">
        <v>47093</v>
      </c>
      <c r="H19579" t="s">
        <v>47054</v>
      </c>
      <c r="I19579" t="s">
        <v>47116</v>
      </c>
      <c r="J19579" t="s">
        <v>47117</v>
      </c>
      <c r="K19579" t="s">
        <v>47113</v>
      </c>
      <c r="L19579">
        <v>18.57</v>
      </c>
      <c r="M19579">
        <v>81</v>
      </c>
      <c r="N19579">
        <v>0</v>
      </c>
      <c r="O19579">
        <v>81</v>
      </c>
      <c r="P19579">
        <v>0</v>
      </c>
    </row>
    <row r="19580" spans="1:16" x14ac:dyDescent="0.25">
      <c r="A19580" t="s">
        <v>42225</v>
      </c>
      <c r="B19580" t="s">
        <v>18653</v>
      </c>
      <c r="C19580" t="s">
        <v>18654</v>
      </c>
      <c r="D19580" t="s">
        <v>15589</v>
      </c>
      <c r="E19580" t="s">
        <v>15590</v>
      </c>
      <c r="F19580" t="s">
        <v>3750</v>
      </c>
      <c r="G19580" t="s">
        <v>47093</v>
      </c>
      <c r="H19580" t="s">
        <v>47054</v>
      </c>
      <c r="I19580" t="s">
        <v>47116</v>
      </c>
      <c r="J19580" t="s">
        <v>47117</v>
      </c>
      <c r="K19580" t="s">
        <v>47113</v>
      </c>
      <c r="L19580">
        <v>20.97</v>
      </c>
      <c r="M19580">
        <v>62</v>
      </c>
      <c r="N19580">
        <v>0</v>
      </c>
      <c r="O19580">
        <v>62</v>
      </c>
      <c r="P19580">
        <v>0</v>
      </c>
    </row>
    <row r="19581" spans="1:16" x14ac:dyDescent="0.25">
      <c r="A19581" t="s">
        <v>42226</v>
      </c>
      <c r="B19581" t="s">
        <v>18653</v>
      </c>
      <c r="C19581" t="s">
        <v>18654</v>
      </c>
      <c r="D19581" t="s">
        <v>17790</v>
      </c>
      <c r="E19581" t="s">
        <v>17791</v>
      </c>
      <c r="F19581" t="s">
        <v>3750</v>
      </c>
      <c r="G19581" t="s">
        <v>47093</v>
      </c>
      <c r="H19581" t="s">
        <v>47054</v>
      </c>
      <c r="I19581" t="s">
        <v>47116</v>
      </c>
      <c r="J19581" t="s">
        <v>47117</v>
      </c>
      <c r="K19581" t="s">
        <v>47113</v>
      </c>
      <c r="L19581">
        <v>23.13</v>
      </c>
      <c r="M19581">
        <v>68</v>
      </c>
      <c r="N19581">
        <v>0</v>
      </c>
      <c r="O19581">
        <v>68</v>
      </c>
      <c r="P19581">
        <v>0</v>
      </c>
    </row>
    <row r="19582" spans="1:16" x14ac:dyDescent="0.25">
      <c r="A19582" t="s">
        <v>42227</v>
      </c>
      <c r="B19582" t="s">
        <v>18655</v>
      </c>
      <c r="C19582" t="s">
        <v>18656</v>
      </c>
      <c r="D19582" t="s">
        <v>18657</v>
      </c>
      <c r="E19582" t="s">
        <v>18658</v>
      </c>
      <c r="F19582" t="s">
        <v>3750</v>
      </c>
      <c r="G19582" t="s">
        <v>47093</v>
      </c>
      <c r="H19582" t="s">
        <v>47054</v>
      </c>
      <c r="I19582" t="s">
        <v>47116</v>
      </c>
      <c r="J19582" t="s">
        <v>47117</v>
      </c>
      <c r="K19582" t="s">
        <v>47113</v>
      </c>
      <c r="L19582">
        <v>28.98</v>
      </c>
      <c r="M19582">
        <v>85</v>
      </c>
      <c r="N19582">
        <v>0</v>
      </c>
      <c r="O19582">
        <v>85</v>
      </c>
      <c r="P19582">
        <v>0</v>
      </c>
    </row>
    <row r="19583" spans="1:16" x14ac:dyDescent="0.25">
      <c r="A19583" t="s">
        <v>42228</v>
      </c>
      <c r="B19583" t="s">
        <v>18659</v>
      </c>
      <c r="C19583" t="s">
        <v>18660</v>
      </c>
      <c r="D19583" t="s">
        <v>17790</v>
      </c>
      <c r="E19583" t="s">
        <v>17791</v>
      </c>
      <c r="F19583" t="s">
        <v>3750</v>
      </c>
      <c r="G19583" t="s">
        <v>47093</v>
      </c>
      <c r="H19583" t="s">
        <v>47054</v>
      </c>
      <c r="I19583" t="s">
        <v>47116</v>
      </c>
      <c r="J19583" t="s">
        <v>47117</v>
      </c>
      <c r="K19583" t="s">
        <v>47113</v>
      </c>
      <c r="L19583">
        <v>20.48</v>
      </c>
      <c r="M19583">
        <v>60</v>
      </c>
      <c r="N19583">
        <v>0</v>
      </c>
      <c r="O19583">
        <v>60</v>
      </c>
      <c r="P19583">
        <v>0</v>
      </c>
    </row>
    <row r="19584" spans="1:16" x14ac:dyDescent="0.25">
      <c r="A19584" t="s">
        <v>42229</v>
      </c>
      <c r="B19584" t="s">
        <v>18661</v>
      </c>
      <c r="C19584" t="s">
        <v>18662</v>
      </c>
      <c r="D19584" t="s">
        <v>15589</v>
      </c>
      <c r="E19584" t="s">
        <v>15590</v>
      </c>
      <c r="F19584" t="s">
        <v>3750</v>
      </c>
      <c r="G19584" t="s">
        <v>47093</v>
      </c>
      <c r="H19584" t="s">
        <v>47054</v>
      </c>
      <c r="I19584" t="s">
        <v>47116</v>
      </c>
      <c r="J19584" t="s">
        <v>47117</v>
      </c>
      <c r="K19584" t="s">
        <v>47113</v>
      </c>
      <c r="L19584">
        <v>21.83</v>
      </c>
      <c r="M19584">
        <v>64</v>
      </c>
      <c r="N19584">
        <v>0</v>
      </c>
      <c r="O19584">
        <v>64</v>
      </c>
      <c r="P19584">
        <v>0</v>
      </c>
    </row>
    <row r="19585" spans="1:16" x14ac:dyDescent="0.25">
      <c r="A19585" t="s">
        <v>42230</v>
      </c>
      <c r="B19585" t="s">
        <v>18661</v>
      </c>
      <c r="C19585" t="s">
        <v>18662</v>
      </c>
      <c r="D19585" t="s">
        <v>17790</v>
      </c>
      <c r="E19585" t="s">
        <v>17791</v>
      </c>
      <c r="F19585" t="s">
        <v>3750</v>
      </c>
      <c r="G19585" t="s">
        <v>47093</v>
      </c>
      <c r="H19585" t="s">
        <v>47054</v>
      </c>
      <c r="I19585" t="s">
        <v>47116</v>
      </c>
      <c r="J19585" t="s">
        <v>47117</v>
      </c>
      <c r="K19585" t="s">
        <v>47113</v>
      </c>
      <c r="L19585">
        <v>22.47</v>
      </c>
      <c r="M19585">
        <v>66</v>
      </c>
      <c r="N19585">
        <v>0</v>
      </c>
      <c r="O19585">
        <v>66</v>
      </c>
      <c r="P19585">
        <v>0</v>
      </c>
    </row>
    <row r="19586" spans="1:16" x14ac:dyDescent="0.25">
      <c r="A19586" t="s">
        <v>42231</v>
      </c>
      <c r="B19586" t="s">
        <v>12302</v>
      </c>
      <c r="C19586" t="s">
        <v>12303</v>
      </c>
      <c r="D19586" t="s">
        <v>7867</v>
      </c>
      <c r="E19586" t="s">
        <v>7868</v>
      </c>
      <c r="F19586" t="s">
        <v>3750</v>
      </c>
      <c r="G19586" t="s">
        <v>47093</v>
      </c>
      <c r="H19586" t="s">
        <v>47054</v>
      </c>
      <c r="I19586" t="s">
        <v>47116</v>
      </c>
      <c r="J19586" t="s">
        <v>47117</v>
      </c>
      <c r="K19586" t="s">
        <v>47113</v>
      </c>
      <c r="L19586">
        <v>31.47</v>
      </c>
      <c r="M19586">
        <v>120</v>
      </c>
      <c r="N19586">
        <v>0</v>
      </c>
      <c r="O19586">
        <v>120</v>
      </c>
      <c r="P19586">
        <v>0</v>
      </c>
    </row>
    <row r="19587" spans="1:16" x14ac:dyDescent="0.25">
      <c r="A19587" t="s">
        <v>42232</v>
      </c>
      <c r="B19587" t="s">
        <v>12304</v>
      </c>
      <c r="C19587" t="s">
        <v>12305</v>
      </c>
      <c r="D19587" t="s">
        <v>7847</v>
      </c>
      <c r="E19587" t="s">
        <v>7848</v>
      </c>
      <c r="F19587" t="s">
        <v>3750</v>
      </c>
      <c r="G19587" t="s">
        <v>47093</v>
      </c>
      <c r="H19587" t="s">
        <v>47054</v>
      </c>
      <c r="I19587" t="s">
        <v>47116</v>
      </c>
      <c r="J19587" t="s">
        <v>47117</v>
      </c>
      <c r="K19587" t="s">
        <v>47113</v>
      </c>
      <c r="L19587">
        <v>28.37</v>
      </c>
      <c r="M19587">
        <v>111</v>
      </c>
      <c r="N19587">
        <v>0</v>
      </c>
      <c r="O19587">
        <v>111</v>
      </c>
      <c r="P19587">
        <v>0</v>
      </c>
    </row>
    <row r="19588" spans="1:16" x14ac:dyDescent="0.25">
      <c r="A19588" t="s">
        <v>42233</v>
      </c>
      <c r="B19588" t="s">
        <v>18663</v>
      </c>
      <c r="C19588" t="s">
        <v>18664</v>
      </c>
      <c r="D19588" t="s">
        <v>18657</v>
      </c>
      <c r="E19588" t="s">
        <v>18658</v>
      </c>
      <c r="F19588" t="s">
        <v>3750</v>
      </c>
      <c r="G19588" t="s">
        <v>47093</v>
      </c>
      <c r="H19588" t="s">
        <v>47054</v>
      </c>
      <c r="I19588" t="s">
        <v>47116</v>
      </c>
      <c r="J19588" t="s">
        <v>47117</v>
      </c>
      <c r="K19588" t="s">
        <v>47113</v>
      </c>
      <c r="L19588">
        <v>17.36</v>
      </c>
      <c r="M19588">
        <v>51</v>
      </c>
      <c r="N19588">
        <v>0</v>
      </c>
      <c r="O19588">
        <v>51</v>
      </c>
      <c r="P19588">
        <v>0</v>
      </c>
    </row>
    <row r="19589" spans="1:16" x14ac:dyDescent="0.25">
      <c r="A19589" t="s">
        <v>42234</v>
      </c>
      <c r="B19589" t="s">
        <v>18665</v>
      </c>
      <c r="C19589" t="s">
        <v>18666</v>
      </c>
      <c r="D19589" t="s">
        <v>18657</v>
      </c>
      <c r="E19589" t="s">
        <v>18658</v>
      </c>
      <c r="F19589" t="s">
        <v>3750</v>
      </c>
      <c r="G19589" t="s">
        <v>47093</v>
      </c>
      <c r="H19589" t="s">
        <v>47054</v>
      </c>
      <c r="I19589" t="s">
        <v>47116</v>
      </c>
      <c r="J19589" t="s">
        <v>47117</v>
      </c>
      <c r="K19589" t="s">
        <v>47113</v>
      </c>
      <c r="L19589">
        <v>20.5</v>
      </c>
      <c r="M19589">
        <v>60</v>
      </c>
      <c r="N19589">
        <v>0</v>
      </c>
      <c r="O19589">
        <v>60</v>
      </c>
      <c r="P19589">
        <v>0</v>
      </c>
    </row>
    <row r="19590" spans="1:16" x14ac:dyDescent="0.25">
      <c r="A19590" t="s">
        <v>42235</v>
      </c>
      <c r="B19590" t="s">
        <v>18667</v>
      </c>
      <c r="C19590" t="s">
        <v>18668</v>
      </c>
      <c r="D19590" t="s">
        <v>18669</v>
      </c>
      <c r="E19590" t="s">
        <v>18670</v>
      </c>
      <c r="F19590" t="s">
        <v>3750</v>
      </c>
      <c r="G19590" t="s">
        <v>47093</v>
      </c>
      <c r="H19590" t="s">
        <v>47054</v>
      </c>
      <c r="I19590" t="s">
        <v>47116</v>
      </c>
      <c r="J19590" t="s">
        <v>47117</v>
      </c>
      <c r="K19590" t="s">
        <v>47113</v>
      </c>
      <c r="L19590">
        <v>27.66</v>
      </c>
      <c r="M19590">
        <v>78</v>
      </c>
      <c r="N19590">
        <v>0</v>
      </c>
      <c r="O19590">
        <v>78</v>
      </c>
      <c r="P19590">
        <v>0</v>
      </c>
    </row>
    <row r="19591" spans="1:16" x14ac:dyDescent="0.25">
      <c r="A19591" t="s">
        <v>42236</v>
      </c>
      <c r="B19591" t="s">
        <v>18671</v>
      </c>
      <c r="C19591" t="s">
        <v>15858</v>
      </c>
      <c r="D19591" t="s">
        <v>5476</v>
      </c>
      <c r="E19591" t="s">
        <v>5477</v>
      </c>
      <c r="F19591" t="s">
        <v>3750</v>
      </c>
      <c r="G19591" t="s">
        <v>47098</v>
      </c>
      <c r="H19591" t="s">
        <v>47054</v>
      </c>
      <c r="I19591" t="s">
        <v>47116</v>
      </c>
      <c r="J19591" t="s">
        <v>47117</v>
      </c>
      <c r="K19591" t="s">
        <v>47113</v>
      </c>
      <c r="L19591">
        <v>24.6</v>
      </c>
      <c r="M19591">
        <v>70</v>
      </c>
      <c r="N19591">
        <v>0</v>
      </c>
      <c r="O19591">
        <v>70</v>
      </c>
      <c r="P19591">
        <v>0</v>
      </c>
    </row>
    <row r="19592" spans="1:16" x14ac:dyDescent="0.25">
      <c r="A19592" t="s">
        <v>42237</v>
      </c>
      <c r="B19592" t="s">
        <v>18672</v>
      </c>
      <c r="C19592" t="s">
        <v>18673</v>
      </c>
      <c r="D19592" t="s">
        <v>15589</v>
      </c>
      <c r="E19592" t="s">
        <v>15590</v>
      </c>
      <c r="F19592" t="s">
        <v>3750</v>
      </c>
      <c r="G19592" t="s">
        <v>49029</v>
      </c>
      <c r="H19592" t="s">
        <v>47054</v>
      </c>
      <c r="I19592" t="s">
        <v>47116</v>
      </c>
      <c r="J19592" t="s">
        <v>47117</v>
      </c>
      <c r="K19592" t="s">
        <v>47113</v>
      </c>
      <c r="L19592">
        <v>21.42</v>
      </c>
      <c r="M19592">
        <v>63</v>
      </c>
      <c r="N19592">
        <v>0</v>
      </c>
      <c r="O19592">
        <v>63</v>
      </c>
      <c r="P19592">
        <v>0</v>
      </c>
    </row>
    <row r="19593" spans="1:16" x14ac:dyDescent="0.25">
      <c r="A19593" t="s">
        <v>49388</v>
      </c>
      <c r="B19593" t="s">
        <v>49389</v>
      </c>
      <c r="C19593" t="s">
        <v>49390</v>
      </c>
      <c r="D19593" t="s">
        <v>657</v>
      </c>
      <c r="E19593" t="s">
        <v>658</v>
      </c>
      <c r="F19593" t="s">
        <v>47488</v>
      </c>
      <c r="G19593" t="s">
        <v>47093</v>
      </c>
      <c r="H19593" t="s">
        <v>47054</v>
      </c>
      <c r="I19593" t="s">
        <v>47116</v>
      </c>
      <c r="J19593" t="s">
        <v>47117</v>
      </c>
      <c r="K19593" t="s">
        <v>47113</v>
      </c>
      <c r="L19593">
        <v>17.96</v>
      </c>
      <c r="M19593">
        <v>85</v>
      </c>
      <c r="N19593">
        <v>229</v>
      </c>
      <c r="O19593">
        <v>85</v>
      </c>
      <c r="P19593">
        <v>229</v>
      </c>
    </row>
    <row r="19594" spans="1:16" x14ac:dyDescent="0.25">
      <c r="A19594" t="s">
        <v>49391</v>
      </c>
      <c r="B19594" t="s">
        <v>49392</v>
      </c>
      <c r="C19594" t="s">
        <v>49393</v>
      </c>
      <c r="D19594" t="s">
        <v>46300</v>
      </c>
      <c r="E19594" t="s">
        <v>46301</v>
      </c>
      <c r="F19594" t="s">
        <v>47488</v>
      </c>
      <c r="G19594" t="s">
        <v>47093</v>
      </c>
      <c r="H19594" t="s">
        <v>47054</v>
      </c>
      <c r="I19594" t="s">
        <v>47116</v>
      </c>
      <c r="J19594" t="s">
        <v>47117</v>
      </c>
      <c r="K19594" t="s">
        <v>47113</v>
      </c>
      <c r="L19594">
        <v>22.82</v>
      </c>
      <c r="M19594">
        <v>96</v>
      </c>
      <c r="N19594">
        <v>259</v>
      </c>
      <c r="O19594">
        <v>96</v>
      </c>
      <c r="P19594">
        <v>259</v>
      </c>
    </row>
    <row r="19595" spans="1:16" x14ac:dyDescent="0.25">
      <c r="A19595" t="s">
        <v>49394</v>
      </c>
      <c r="B19595" t="s">
        <v>49395</v>
      </c>
      <c r="C19595" t="s">
        <v>49396</v>
      </c>
      <c r="D19595" t="s">
        <v>49397</v>
      </c>
      <c r="E19595" t="s">
        <v>49398</v>
      </c>
      <c r="F19595" t="s">
        <v>47488</v>
      </c>
      <c r="G19595" t="s">
        <v>47093</v>
      </c>
      <c r="H19595" t="s">
        <v>47054</v>
      </c>
      <c r="I19595" t="s">
        <v>47116</v>
      </c>
      <c r="J19595" t="s">
        <v>47117</v>
      </c>
      <c r="K19595" t="s">
        <v>47113</v>
      </c>
      <c r="L19595">
        <v>27.92</v>
      </c>
      <c r="M19595">
        <v>114</v>
      </c>
      <c r="N19595">
        <v>309</v>
      </c>
      <c r="O19595">
        <v>114</v>
      </c>
      <c r="P19595">
        <v>309</v>
      </c>
    </row>
    <row r="19596" spans="1:16" x14ac:dyDescent="0.25">
      <c r="A19596" t="s">
        <v>49399</v>
      </c>
      <c r="B19596" t="s">
        <v>49400</v>
      </c>
      <c r="C19596" t="s">
        <v>49401</v>
      </c>
      <c r="D19596" t="str">
        <f>"3000"</f>
        <v>3000</v>
      </c>
      <c r="E19596" t="s">
        <v>24691</v>
      </c>
      <c r="F19596" t="s">
        <v>47171</v>
      </c>
      <c r="G19596" t="s">
        <v>47093</v>
      </c>
      <c r="H19596" t="s">
        <v>47054</v>
      </c>
      <c r="I19596" t="s">
        <v>47544</v>
      </c>
      <c r="J19596" t="s">
        <v>47545</v>
      </c>
      <c r="K19596" t="s">
        <v>47113</v>
      </c>
      <c r="L19596">
        <v>24.74</v>
      </c>
      <c r="M19596">
        <v>85</v>
      </c>
      <c r="N19596">
        <v>229</v>
      </c>
      <c r="O19596">
        <v>85</v>
      </c>
      <c r="P19596">
        <v>229</v>
      </c>
    </row>
    <row r="19597" spans="1:16" x14ac:dyDescent="0.25">
      <c r="A19597" t="s">
        <v>42238</v>
      </c>
      <c r="B19597" t="s">
        <v>12306</v>
      </c>
      <c r="C19597" t="s">
        <v>12307</v>
      </c>
      <c r="D19597" t="s">
        <v>12308</v>
      </c>
      <c r="E19597" t="s">
        <v>12309</v>
      </c>
      <c r="F19597" t="s">
        <v>3546</v>
      </c>
      <c r="G19597" t="s">
        <v>47093</v>
      </c>
      <c r="H19597" t="s">
        <v>47054</v>
      </c>
      <c r="I19597" t="s">
        <v>47111</v>
      </c>
      <c r="J19597" t="s">
        <v>47112</v>
      </c>
      <c r="K19597" t="s">
        <v>47113</v>
      </c>
      <c r="L19597">
        <v>41.01</v>
      </c>
      <c r="M19597">
        <v>101</v>
      </c>
      <c r="N19597">
        <v>0</v>
      </c>
      <c r="O19597">
        <v>101</v>
      </c>
      <c r="P19597">
        <v>0</v>
      </c>
    </row>
    <row r="19598" spans="1:16" x14ac:dyDescent="0.25">
      <c r="A19598" t="s">
        <v>42239</v>
      </c>
      <c r="B19598" t="s">
        <v>21706</v>
      </c>
      <c r="C19598" t="s">
        <v>10606</v>
      </c>
      <c r="D19598" t="s">
        <v>14412</v>
      </c>
      <c r="E19598" t="s">
        <v>14411</v>
      </c>
      <c r="F19598" t="s">
        <v>19559</v>
      </c>
      <c r="G19598" t="s">
        <v>47093</v>
      </c>
      <c r="H19598" t="s">
        <v>47054</v>
      </c>
      <c r="I19598" t="s">
        <v>47116</v>
      </c>
      <c r="J19598" t="s">
        <v>47117</v>
      </c>
      <c r="K19598" t="s">
        <v>47113</v>
      </c>
      <c r="L19598">
        <v>29.69</v>
      </c>
      <c r="M19598">
        <v>66</v>
      </c>
      <c r="N19598">
        <v>0</v>
      </c>
      <c r="O19598">
        <v>66</v>
      </c>
      <c r="P19598">
        <v>0</v>
      </c>
    </row>
    <row r="19599" spans="1:16" x14ac:dyDescent="0.25">
      <c r="A19599" t="s">
        <v>42240</v>
      </c>
      <c r="B19599" t="s">
        <v>21707</v>
      </c>
      <c r="C19599" t="s">
        <v>21708</v>
      </c>
      <c r="D19599" t="str">
        <f>"1700"</f>
        <v>1700</v>
      </c>
      <c r="E19599" t="s">
        <v>18480</v>
      </c>
      <c r="F19599" t="s">
        <v>19908</v>
      </c>
      <c r="G19599" t="s">
        <v>47093</v>
      </c>
      <c r="H19599" t="s">
        <v>47054</v>
      </c>
      <c r="I19599" t="s">
        <v>47116</v>
      </c>
      <c r="J19599" t="s">
        <v>47117</v>
      </c>
      <c r="K19599" t="s">
        <v>47113</v>
      </c>
      <c r="L19599">
        <v>54.43</v>
      </c>
      <c r="M19599">
        <v>122</v>
      </c>
      <c r="N19599">
        <v>0</v>
      </c>
      <c r="O19599">
        <v>122</v>
      </c>
      <c r="P19599">
        <v>0</v>
      </c>
    </row>
    <row r="19600" spans="1:16" x14ac:dyDescent="0.25">
      <c r="A19600" t="s">
        <v>42241</v>
      </c>
      <c r="B19600" t="s">
        <v>21709</v>
      </c>
      <c r="C19600" t="s">
        <v>21710</v>
      </c>
      <c r="D19600" t="s">
        <v>18553</v>
      </c>
      <c r="E19600" t="s">
        <v>18554</v>
      </c>
      <c r="F19600" t="s">
        <v>16933</v>
      </c>
      <c r="G19600" t="s">
        <v>47093</v>
      </c>
      <c r="H19600" t="s">
        <v>47054</v>
      </c>
      <c r="I19600" t="s">
        <v>47111</v>
      </c>
      <c r="J19600" t="s">
        <v>47112</v>
      </c>
      <c r="K19600" t="s">
        <v>47113</v>
      </c>
      <c r="L19600">
        <v>66.75</v>
      </c>
      <c r="M19600">
        <v>122</v>
      </c>
      <c r="N19600">
        <v>329</v>
      </c>
      <c r="O19600">
        <v>122</v>
      </c>
      <c r="P19600">
        <v>329</v>
      </c>
    </row>
    <row r="19601" spans="1:16" x14ac:dyDescent="0.25">
      <c r="A19601" t="s">
        <v>42242</v>
      </c>
      <c r="B19601" t="s">
        <v>21711</v>
      </c>
      <c r="C19601" t="s">
        <v>21710</v>
      </c>
      <c r="D19601" t="s">
        <v>21441</v>
      </c>
      <c r="E19601" t="s">
        <v>21442</v>
      </c>
      <c r="F19601" t="s">
        <v>16933</v>
      </c>
      <c r="G19601" t="s">
        <v>47093</v>
      </c>
      <c r="H19601" t="s">
        <v>47054</v>
      </c>
      <c r="I19601" t="s">
        <v>47111</v>
      </c>
      <c r="J19601" t="s">
        <v>47112</v>
      </c>
      <c r="K19601" t="s">
        <v>47113</v>
      </c>
      <c r="L19601">
        <v>72.180000000000007</v>
      </c>
      <c r="M19601">
        <v>122</v>
      </c>
      <c r="N19601">
        <v>329</v>
      </c>
      <c r="O19601">
        <v>122</v>
      </c>
      <c r="P19601">
        <v>329</v>
      </c>
    </row>
    <row r="19602" spans="1:16" x14ac:dyDescent="0.25">
      <c r="A19602" t="s">
        <v>42243</v>
      </c>
      <c r="B19602" t="s">
        <v>21712</v>
      </c>
      <c r="C19602" t="s">
        <v>21708</v>
      </c>
      <c r="D19602" t="s">
        <v>11656</v>
      </c>
      <c r="E19602" t="s">
        <v>11657</v>
      </c>
      <c r="F19602" t="s">
        <v>19908</v>
      </c>
      <c r="G19602" t="s">
        <v>47093</v>
      </c>
      <c r="H19602" t="s">
        <v>47054</v>
      </c>
      <c r="I19602" t="s">
        <v>47116</v>
      </c>
      <c r="J19602" t="s">
        <v>47117</v>
      </c>
      <c r="K19602" t="s">
        <v>47113</v>
      </c>
      <c r="L19602">
        <v>54.43</v>
      </c>
      <c r="M19602">
        <v>122</v>
      </c>
      <c r="N19602">
        <v>0</v>
      </c>
      <c r="O19602">
        <v>122</v>
      </c>
      <c r="P19602">
        <v>0</v>
      </c>
    </row>
    <row r="19603" spans="1:16" x14ac:dyDescent="0.25">
      <c r="A19603" t="s">
        <v>42244</v>
      </c>
      <c r="B19603" t="s">
        <v>21713</v>
      </c>
      <c r="C19603" t="s">
        <v>10606</v>
      </c>
      <c r="D19603" t="s">
        <v>21714</v>
      </c>
      <c r="E19603" t="s">
        <v>21715</v>
      </c>
      <c r="F19603" t="s">
        <v>19559</v>
      </c>
      <c r="G19603" t="s">
        <v>47093</v>
      </c>
      <c r="H19603" t="s">
        <v>47054</v>
      </c>
      <c r="I19603" t="s">
        <v>47120</v>
      </c>
      <c r="J19603" t="s">
        <v>47121</v>
      </c>
      <c r="K19603" t="s">
        <v>47113</v>
      </c>
      <c r="L19603">
        <v>34.369999999999997</v>
      </c>
      <c r="M19603">
        <v>74</v>
      </c>
      <c r="N19603">
        <v>0</v>
      </c>
      <c r="O19603">
        <v>74</v>
      </c>
      <c r="P19603">
        <v>0</v>
      </c>
    </row>
    <row r="19604" spans="1:16" x14ac:dyDescent="0.25">
      <c r="A19604" t="s">
        <v>22900</v>
      </c>
      <c r="B19604" t="s">
        <v>22901</v>
      </c>
      <c r="C19604" t="s">
        <v>16404</v>
      </c>
      <c r="D19604" t="s">
        <v>22902</v>
      </c>
      <c r="E19604" t="s">
        <v>22903</v>
      </c>
      <c r="F19604" t="s">
        <v>21629</v>
      </c>
      <c r="G19604" t="s">
        <v>47093</v>
      </c>
      <c r="H19604" t="s">
        <v>47054</v>
      </c>
      <c r="I19604" t="s">
        <v>47111</v>
      </c>
      <c r="J19604" t="s">
        <v>47112</v>
      </c>
      <c r="K19604" t="s">
        <v>47113</v>
      </c>
      <c r="L19604">
        <v>70.22</v>
      </c>
      <c r="M19604">
        <v>148</v>
      </c>
      <c r="N19604">
        <v>0</v>
      </c>
      <c r="O19604">
        <v>148</v>
      </c>
      <c r="P19604">
        <v>0</v>
      </c>
    </row>
    <row r="19605" spans="1:16" x14ac:dyDescent="0.25">
      <c r="A19605" t="s">
        <v>42245</v>
      </c>
      <c r="B19605" t="s">
        <v>42246</v>
      </c>
      <c r="C19605" t="s">
        <v>10606</v>
      </c>
      <c r="D19605" t="s">
        <v>42247</v>
      </c>
      <c r="E19605" t="s">
        <v>42248</v>
      </c>
      <c r="F19605" t="s">
        <v>24617</v>
      </c>
      <c r="G19605" t="s">
        <v>47093</v>
      </c>
      <c r="H19605" t="s">
        <v>47054</v>
      </c>
      <c r="I19605" t="s">
        <v>47544</v>
      </c>
      <c r="J19605" t="s">
        <v>47545</v>
      </c>
      <c r="K19605" t="s">
        <v>47113</v>
      </c>
      <c r="L19605">
        <v>26.94</v>
      </c>
      <c r="M19605">
        <v>74</v>
      </c>
      <c r="N19605">
        <v>199</v>
      </c>
      <c r="O19605">
        <v>74</v>
      </c>
      <c r="P19605">
        <v>199</v>
      </c>
    </row>
    <row r="19606" spans="1:16" x14ac:dyDescent="0.25">
      <c r="A19606" t="s">
        <v>42249</v>
      </c>
      <c r="B19606" t="s">
        <v>42250</v>
      </c>
      <c r="C19606" t="s">
        <v>10606</v>
      </c>
      <c r="D19606" t="s">
        <v>42251</v>
      </c>
      <c r="E19606" t="s">
        <v>42252</v>
      </c>
      <c r="F19606" t="s">
        <v>24617</v>
      </c>
      <c r="G19606" t="s">
        <v>47093</v>
      </c>
      <c r="H19606" t="s">
        <v>47054</v>
      </c>
      <c r="I19606" t="s">
        <v>47544</v>
      </c>
      <c r="J19606" t="s">
        <v>47545</v>
      </c>
      <c r="K19606" t="s">
        <v>47113</v>
      </c>
      <c r="L19606">
        <v>24.59</v>
      </c>
      <c r="M19606">
        <v>70</v>
      </c>
      <c r="N19606">
        <v>189</v>
      </c>
      <c r="O19606">
        <v>70</v>
      </c>
      <c r="P19606">
        <v>189</v>
      </c>
    </row>
    <row r="19607" spans="1:16" x14ac:dyDescent="0.25">
      <c r="A19607" t="s">
        <v>42253</v>
      </c>
      <c r="B19607" t="s">
        <v>42254</v>
      </c>
      <c r="C19607" t="s">
        <v>10606</v>
      </c>
      <c r="D19607" t="s">
        <v>42255</v>
      </c>
      <c r="E19607" t="s">
        <v>42256</v>
      </c>
      <c r="F19607" t="s">
        <v>24627</v>
      </c>
      <c r="G19607" t="s">
        <v>47093</v>
      </c>
      <c r="H19607" t="s">
        <v>47054</v>
      </c>
      <c r="I19607" t="s">
        <v>47120</v>
      </c>
      <c r="J19607" t="s">
        <v>47121</v>
      </c>
      <c r="K19607" t="s">
        <v>47113</v>
      </c>
      <c r="L19607">
        <v>24.2</v>
      </c>
      <c r="M19607">
        <v>70</v>
      </c>
      <c r="N19607">
        <v>189</v>
      </c>
      <c r="O19607">
        <v>70</v>
      </c>
      <c r="P19607">
        <v>189</v>
      </c>
    </row>
    <row r="19608" spans="1:16" x14ac:dyDescent="0.25">
      <c r="A19608" t="s">
        <v>42257</v>
      </c>
      <c r="B19608" t="s">
        <v>15992</v>
      </c>
      <c r="C19608" t="s">
        <v>15993</v>
      </c>
      <c r="D19608" t="s">
        <v>15994</v>
      </c>
      <c r="E19608" t="s">
        <v>15995</v>
      </c>
      <c r="F19608" t="s">
        <v>15183</v>
      </c>
      <c r="G19608" t="s">
        <v>47093</v>
      </c>
      <c r="H19608" t="s">
        <v>47054</v>
      </c>
      <c r="I19608" t="s">
        <v>47111</v>
      </c>
      <c r="J19608" t="s">
        <v>47112</v>
      </c>
      <c r="K19608" t="s">
        <v>47113</v>
      </c>
      <c r="L19608">
        <v>49.87</v>
      </c>
      <c r="M19608">
        <v>92</v>
      </c>
      <c r="N19608">
        <v>0</v>
      </c>
      <c r="O19608">
        <v>92</v>
      </c>
      <c r="P19608">
        <v>0</v>
      </c>
    </row>
    <row r="19609" spans="1:16" x14ac:dyDescent="0.25">
      <c r="A19609" t="s">
        <v>42258</v>
      </c>
      <c r="B19609" t="s">
        <v>21716</v>
      </c>
      <c r="C19609" t="s">
        <v>10606</v>
      </c>
      <c r="D19609" t="s">
        <v>21717</v>
      </c>
      <c r="E19609" t="s">
        <v>21718</v>
      </c>
      <c r="F19609" t="s">
        <v>16601</v>
      </c>
      <c r="G19609" t="s">
        <v>47093</v>
      </c>
      <c r="H19609" t="s">
        <v>47054</v>
      </c>
      <c r="I19609" t="s">
        <v>47111</v>
      </c>
      <c r="J19609" t="s">
        <v>47112</v>
      </c>
      <c r="K19609" t="s">
        <v>47113</v>
      </c>
      <c r="L19609">
        <v>37.840000000000003</v>
      </c>
      <c r="M19609">
        <v>81</v>
      </c>
      <c r="N19609">
        <v>0</v>
      </c>
      <c r="O19609">
        <v>81</v>
      </c>
      <c r="P19609">
        <v>0</v>
      </c>
    </row>
    <row r="19610" spans="1:16" x14ac:dyDescent="0.25">
      <c r="A19610" t="s">
        <v>42259</v>
      </c>
      <c r="B19610" t="s">
        <v>15996</v>
      </c>
      <c r="C19610" t="s">
        <v>11696</v>
      </c>
      <c r="D19610" t="s">
        <v>15884</v>
      </c>
      <c r="E19610" t="s">
        <v>15885</v>
      </c>
      <c r="F19610" t="s">
        <v>15183</v>
      </c>
      <c r="G19610" t="s">
        <v>47093</v>
      </c>
      <c r="H19610" t="s">
        <v>47054</v>
      </c>
      <c r="I19610" t="s">
        <v>47111</v>
      </c>
      <c r="J19610" t="s">
        <v>47112</v>
      </c>
      <c r="K19610" t="s">
        <v>47113</v>
      </c>
      <c r="L19610">
        <v>40.159999999999997</v>
      </c>
      <c r="M19610">
        <v>74</v>
      </c>
      <c r="N19610">
        <v>0</v>
      </c>
      <c r="O19610">
        <v>74</v>
      </c>
      <c r="P19610">
        <v>0</v>
      </c>
    </row>
    <row r="19611" spans="1:16" x14ac:dyDescent="0.25">
      <c r="A19611" t="s">
        <v>42260</v>
      </c>
      <c r="B19611" t="s">
        <v>15997</v>
      </c>
      <c r="C19611" t="s">
        <v>14416</v>
      </c>
      <c r="D19611" t="s">
        <v>15913</v>
      </c>
      <c r="E19611" t="s">
        <v>15914</v>
      </c>
      <c r="F19611" t="s">
        <v>15183</v>
      </c>
      <c r="G19611" t="s">
        <v>47093</v>
      </c>
      <c r="H19611" t="s">
        <v>47054</v>
      </c>
      <c r="I19611" t="s">
        <v>47111</v>
      </c>
      <c r="J19611" t="s">
        <v>47112</v>
      </c>
      <c r="K19611" t="s">
        <v>47113</v>
      </c>
      <c r="L19611">
        <v>48.77</v>
      </c>
      <c r="M19611">
        <v>118</v>
      </c>
      <c r="N19611">
        <v>0</v>
      </c>
      <c r="O19611">
        <v>118</v>
      </c>
      <c r="P19611">
        <v>0</v>
      </c>
    </row>
    <row r="19612" spans="1:16" x14ac:dyDescent="0.25">
      <c r="A19612" t="s">
        <v>42261</v>
      </c>
      <c r="B19612" t="s">
        <v>15998</v>
      </c>
      <c r="C19612" t="s">
        <v>11696</v>
      </c>
      <c r="D19612" t="s">
        <v>15919</v>
      </c>
      <c r="E19612" t="s">
        <v>15920</v>
      </c>
      <c r="F19612" t="s">
        <v>15183</v>
      </c>
      <c r="G19612" t="s">
        <v>47093</v>
      </c>
      <c r="H19612" t="s">
        <v>47054</v>
      </c>
      <c r="I19612" t="s">
        <v>47111</v>
      </c>
      <c r="J19612" t="s">
        <v>47112</v>
      </c>
      <c r="K19612" t="s">
        <v>47113</v>
      </c>
      <c r="L19612">
        <v>44.5</v>
      </c>
      <c r="M19612">
        <v>92</v>
      </c>
      <c r="N19612">
        <v>0</v>
      </c>
      <c r="O19612">
        <v>92</v>
      </c>
      <c r="P19612">
        <v>0</v>
      </c>
    </row>
    <row r="19613" spans="1:16" x14ac:dyDescent="0.25">
      <c r="A19613" t="s">
        <v>42262</v>
      </c>
      <c r="B19613" t="s">
        <v>15999</v>
      </c>
      <c r="C19613" t="s">
        <v>11696</v>
      </c>
      <c r="D19613" t="s">
        <v>15894</v>
      </c>
      <c r="E19613" t="s">
        <v>15895</v>
      </c>
      <c r="F19613" t="s">
        <v>15183</v>
      </c>
      <c r="G19613" t="s">
        <v>47093</v>
      </c>
      <c r="H19613" t="s">
        <v>47054</v>
      </c>
      <c r="I19613" t="s">
        <v>47111</v>
      </c>
      <c r="J19613" t="s">
        <v>47112</v>
      </c>
      <c r="K19613" t="s">
        <v>47113</v>
      </c>
      <c r="L19613">
        <v>38.81</v>
      </c>
      <c r="M19613">
        <v>74</v>
      </c>
      <c r="N19613">
        <v>0</v>
      </c>
      <c r="O19613">
        <v>74</v>
      </c>
      <c r="P19613">
        <v>0</v>
      </c>
    </row>
    <row r="19614" spans="1:16" x14ac:dyDescent="0.25">
      <c r="A19614" t="s">
        <v>42263</v>
      </c>
      <c r="B19614" t="s">
        <v>18674</v>
      </c>
      <c r="C19614" t="s">
        <v>10606</v>
      </c>
      <c r="D19614" t="s">
        <v>18517</v>
      </c>
      <c r="E19614" t="s">
        <v>18518</v>
      </c>
      <c r="F19614" t="s">
        <v>16601</v>
      </c>
      <c r="G19614" t="s">
        <v>47093</v>
      </c>
      <c r="H19614" t="s">
        <v>47054</v>
      </c>
      <c r="I19614" t="s">
        <v>47111</v>
      </c>
      <c r="J19614" t="s">
        <v>47112</v>
      </c>
      <c r="K19614" t="s">
        <v>47113</v>
      </c>
      <c r="L19614">
        <v>52.99</v>
      </c>
      <c r="M19614">
        <v>92</v>
      </c>
      <c r="N19614">
        <v>0</v>
      </c>
      <c r="O19614">
        <v>92</v>
      </c>
      <c r="P19614">
        <v>0</v>
      </c>
    </row>
    <row r="19615" spans="1:16" x14ac:dyDescent="0.25">
      <c r="A19615" t="s">
        <v>42264</v>
      </c>
      <c r="B19615" t="s">
        <v>18675</v>
      </c>
      <c r="C19615" t="s">
        <v>10606</v>
      </c>
      <c r="D19615" t="s">
        <v>18538</v>
      </c>
      <c r="E19615" t="s">
        <v>18539</v>
      </c>
      <c r="F19615" t="s">
        <v>16601</v>
      </c>
      <c r="G19615" t="s">
        <v>47093</v>
      </c>
      <c r="I19615" t="s">
        <v>47111</v>
      </c>
      <c r="J19615" t="s">
        <v>47112</v>
      </c>
      <c r="K19615" t="s">
        <v>47113</v>
      </c>
      <c r="L19615">
        <v>39.659999999999997</v>
      </c>
      <c r="M19615">
        <v>74</v>
      </c>
      <c r="N19615">
        <v>0</v>
      </c>
      <c r="O19615">
        <v>74</v>
      </c>
      <c r="P19615">
        <v>0</v>
      </c>
    </row>
    <row r="19616" spans="1:16" x14ac:dyDescent="0.25">
      <c r="A19616" t="s">
        <v>42265</v>
      </c>
      <c r="B19616" t="s">
        <v>18676</v>
      </c>
      <c r="C19616" t="s">
        <v>18677</v>
      </c>
      <c r="D19616" t="s">
        <v>18477</v>
      </c>
      <c r="E19616" t="s">
        <v>18478</v>
      </c>
      <c r="F19616" t="s">
        <v>16771</v>
      </c>
      <c r="G19616" t="s">
        <v>47093</v>
      </c>
      <c r="H19616" t="s">
        <v>47054</v>
      </c>
      <c r="I19616" t="s">
        <v>47111</v>
      </c>
      <c r="J19616" t="s">
        <v>47112</v>
      </c>
      <c r="K19616" t="s">
        <v>47113</v>
      </c>
      <c r="L19616">
        <v>55.39</v>
      </c>
      <c r="M19616">
        <v>100</v>
      </c>
      <c r="N19616">
        <v>0</v>
      </c>
      <c r="O19616">
        <v>100</v>
      </c>
      <c r="P19616">
        <v>0</v>
      </c>
    </row>
    <row r="19617" spans="1:16" x14ac:dyDescent="0.25">
      <c r="A19617" t="s">
        <v>42266</v>
      </c>
      <c r="B19617" t="s">
        <v>18678</v>
      </c>
      <c r="C19617" t="s">
        <v>16404</v>
      </c>
      <c r="D19617" t="s">
        <v>18679</v>
      </c>
      <c r="E19617" t="s">
        <v>18680</v>
      </c>
      <c r="F19617" t="s">
        <v>16601</v>
      </c>
      <c r="G19617" t="s">
        <v>47093</v>
      </c>
      <c r="H19617" t="s">
        <v>47054</v>
      </c>
      <c r="I19617" t="s">
        <v>47111</v>
      </c>
      <c r="J19617" t="s">
        <v>47112</v>
      </c>
      <c r="K19617" t="s">
        <v>47113</v>
      </c>
      <c r="L19617">
        <v>65.5</v>
      </c>
      <c r="M19617">
        <v>133</v>
      </c>
      <c r="N19617">
        <v>0</v>
      </c>
      <c r="O19617">
        <v>133</v>
      </c>
      <c r="P19617">
        <v>0</v>
      </c>
    </row>
    <row r="19618" spans="1:16" x14ac:dyDescent="0.25">
      <c r="A19618" t="s">
        <v>42267</v>
      </c>
      <c r="B19618" t="s">
        <v>18681</v>
      </c>
      <c r="C19618" t="s">
        <v>10606</v>
      </c>
      <c r="D19618" t="str">
        <f>"1700"</f>
        <v>1700</v>
      </c>
      <c r="E19618" t="s">
        <v>18480</v>
      </c>
      <c r="F19618" t="s">
        <v>16601</v>
      </c>
      <c r="G19618" t="s">
        <v>47093</v>
      </c>
      <c r="I19618" t="s">
        <v>47111</v>
      </c>
      <c r="J19618" t="s">
        <v>47112</v>
      </c>
      <c r="K19618" t="s">
        <v>47113</v>
      </c>
      <c r="L19618">
        <v>46.21</v>
      </c>
      <c r="M19618">
        <v>66</v>
      </c>
      <c r="N19618">
        <v>0</v>
      </c>
      <c r="O19618">
        <v>66</v>
      </c>
      <c r="P19618">
        <v>0</v>
      </c>
    </row>
    <row r="19619" spans="1:16" x14ac:dyDescent="0.25">
      <c r="A19619" t="s">
        <v>42268</v>
      </c>
      <c r="B19619" t="s">
        <v>18682</v>
      </c>
      <c r="C19619" t="s">
        <v>10606</v>
      </c>
      <c r="D19619" t="s">
        <v>18579</v>
      </c>
      <c r="E19619" t="s">
        <v>18580</v>
      </c>
      <c r="F19619" t="s">
        <v>16810</v>
      </c>
      <c r="G19619" t="s">
        <v>47093</v>
      </c>
      <c r="H19619" t="s">
        <v>47054</v>
      </c>
      <c r="I19619" t="s">
        <v>47111</v>
      </c>
      <c r="J19619" t="s">
        <v>47112</v>
      </c>
      <c r="K19619" t="s">
        <v>47113</v>
      </c>
      <c r="L19619">
        <v>42.16</v>
      </c>
      <c r="M19619">
        <v>85</v>
      </c>
      <c r="N19619">
        <v>0</v>
      </c>
      <c r="O19619">
        <v>85</v>
      </c>
      <c r="P19619">
        <v>0</v>
      </c>
    </row>
    <row r="19620" spans="1:16" x14ac:dyDescent="0.25">
      <c r="A19620" t="s">
        <v>42269</v>
      </c>
      <c r="B19620" t="s">
        <v>18683</v>
      </c>
      <c r="C19620" t="s">
        <v>10606</v>
      </c>
      <c r="D19620" t="s">
        <v>18583</v>
      </c>
      <c r="E19620" t="s">
        <v>18584</v>
      </c>
      <c r="F19620" t="s">
        <v>16810</v>
      </c>
      <c r="G19620" t="s">
        <v>47093</v>
      </c>
      <c r="H19620" t="s">
        <v>47054</v>
      </c>
      <c r="I19620" t="s">
        <v>47111</v>
      </c>
      <c r="J19620" t="s">
        <v>47112</v>
      </c>
      <c r="K19620" t="s">
        <v>47113</v>
      </c>
      <c r="L19620">
        <v>45.74</v>
      </c>
      <c r="M19620">
        <v>92</v>
      </c>
      <c r="N19620">
        <v>0</v>
      </c>
      <c r="O19620">
        <v>92</v>
      </c>
      <c r="P19620">
        <v>0</v>
      </c>
    </row>
    <row r="19621" spans="1:16" x14ac:dyDescent="0.25">
      <c r="A19621" t="s">
        <v>42270</v>
      </c>
      <c r="B19621" t="s">
        <v>21719</v>
      </c>
      <c r="C19621" t="s">
        <v>10606</v>
      </c>
      <c r="D19621" t="s">
        <v>21633</v>
      </c>
      <c r="E19621" t="s">
        <v>21634</v>
      </c>
      <c r="F19621" t="s">
        <v>17351</v>
      </c>
      <c r="G19621" t="s">
        <v>47093</v>
      </c>
      <c r="H19621" t="s">
        <v>47054</v>
      </c>
      <c r="I19621" t="s">
        <v>47111</v>
      </c>
      <c r="J19621" t="s">
        <v>47112</v>
      </c>
      <c r="K19621" t="s">
        <v>47113</v>
      </c>
      <c r="L19621">
        <v>45.28</v>
      </c>
      <c r="M19621">
        <v>103</v>
      </c>
      <c r="N19621">
        <v>0</v>
      </c>
      <c r="O19621">
        <v>103</v>
      </c>
      <c r="P19621">
        <v>0</v>
      </c>
    </row>
    <row r="19622" spans="1:16" x14ac:dyDescent="0.25">
      <c r="A19622" t="s">
        <v>42271</v>
      </c>
      <c r="B19622" t="s">
        <v>21720</v>
      </c>
      <c r="C19622" t="s">
        <v>21710</v>
      </c>
      <c r="D19622" t="s">
        <v>21721</v>
      </c>
      <c r="E19622" t="s">
        <v>21722</v>
      </c>
      <c r="F19622" t="s">
        <v>17351</v>
      </c>
      <c r="G19622" t="s">
        <v>47093</v>
      </c>
      <c r="H19622" t="s">
        <v>47054</v>
      </c>
      <c r="I19622" t="s">
        <v>47111</v>
      </c>
      <c r="J19622" t="s">
        <v>47112</v>
      </c>
      <c r="K19622" t="s">
        <v>47113</v>
      </c>
      <c r="L19622">
        <v>79.37</v>
      </c>
      <c r="M19622">
        <v>148</v>
      </c>
      <c r="N19622">
        <v>0</v>
      </c>
      <c r="O19622">
        <v>148</v>
      </c>
      <c r="P19622">
        <v>0</v>
      </c>
    </row>
    <row r="19623" spans="1:16" x14ac:dyDescent="0.25">
      <c r="A19623" t="s">
        <v>42272</v>
      </c>
      <c r="B19623" t="s">
        <v>21723</v>
      </c>
      <c r="C19623" t="s">
        <v>21710</v>
      </c>
      <c r="D19623" t="s">
        <v>21652</v>
      </c>
      <c r="E19623" t="s">
        <v>21653</v>
      </c>
      <c r="F19623" t="s">
        <v>16933</v>
      </c>
      <c r="G19623" t="s">
        <v>47093</v>
      </c>
      <c r="H19623" t="s">
        <v>47054</v>
      </c>
      <c r="I19623" t="s">
        <v>47111</v>
      </c>
      <c r="J19623" t="s">
        <v>47112</v>
      </c>
      <c r="K19623" t="s">
        <v>47113</v>
      </c>
      <c r="L19623">
        <v>71.459999999999994</v>
      </c>
      <c r="M19623">
        <v>122</v>
      </c>
      <c r="N19623">
        <v>0</v>
      </c>
      <c r="O19623">
        <v>122</v>
      </c>
      <c r="P19623">
        <v>0</v>
      </c>
    </row>
    <row r="19624" spans="1:16" x14ac:dyDescent="0.25">
      <c r="A19624" t="s">
        <v>42273</v>
      </c>
      <c r="B19624" t="s">
        <v>21723</v>
      </c>
      <c r="C19624" t="s">
        <v>21710</v>
      </c>
      <c r="D19624" t="s">
        <v>21724</v>
      </c>
      <c r="E19624" t="s">
        <v>21725</v>
      </c>
      <c r="F19624" t="s">
        <v>16933</v>
      </c>
      <c r="G19624" t="s">
        <v>47093</v>
      </c>
      <c r="H19624" t="s">
        <v>47054</v>
      </c>
      <c r="I19624" t="s">
        <v>47111</v>
      </c>
      <c r="J19624" t="s">
        <v>47112</v>
      </c>
      <c r="K19624" t="s">
        <v>47113</v>
      </c>
      <c r="L19624">
        <v>77.33</v>
      </c>
      <c r="M19624">
        <v>148</v>
      </c>
      <c r="N19624">
        <v>0</v>
      </c>
      <c r="O19624">
        <v>148</v>
      </c>
      <c r="P19624">
        <v>0</v>
      </c>
    </row>
    <row r="19625" spans="1:16" x14ac:dyDescent="0.25">
      <c r="A19625" t="s">
        <v>42274</v>
      </c>
      <c r="B19625" t="s">
        <v>21726</v>
      </c>
      <c r="C19625" t="s">
        <v>10606</v>
      </c>
      <c r="D19625" t="s">
        <v>21640</v>
      </c>
      <c r="E19625" t="s">
        <v>21641</v>
      </c>
      <c r="F19625" t="s">
        <v>19552</v>
      </c>
      <c r="G19625" t="s">
        <v>47093</v>
      </c>
      <c r="H19625" t="s">
        <v>47054</v>
      </c>
      <c r="I19625" t="s">
        <v>47116</v>
      </c>
      <c r="J19625" t="s">
        <v>47117</v>
      </c>
      <c r="K19625" t="s">
        <v>47113</v>
      </c>
      <c r="L19625">
        <v>43.86</v>
      </c>
      <c r="M19625">
        <v>92</v>
      </c>
      <c r="N19625">
        <v>0</v>
      </c>
      <c r="O19625">
        <v>92</v>
      </c>
      <c r="P19625">
        <v>0</v>
      </c>
    </row>
    <row r="19626" spans="1:16" x14ac:dyDescent="0.25">
      <c r="A19626" t="s">
        <v>42275</v>
      </c>
      <c r="B19626" t="s">
        <v>21727</v>
      </c>
      <c r="C19626" t="s">
        <v>10606</v>
      </c>
      <c r="D19626" t="s">
        <v>21293</v>
      </c>
      <c r="E19626" t="s">
        <v>21294</v>
      </c>
      <c r="F19626" t="s">
        <v>19552</v>
      </c>
      <c r="G19626" t="s">
        <v>47093</v>
      </c>
      <c r="H19626" t="s">
        <v>47054</v>
      </c>
      <c r="I19626" t="s">
        <v>47111</v>
      </c>
      <c r="J19626" t="s">
        <v>47112</v>
      </c>
      <c r="K19626" t="s">
        <v>47113</v>
      </c>
      <c r="L19626">
        <v>52.91</v>
      </c>
      <c r="M19626">
        <v>111</v>
      </c>
      <c r="N19626">
        <v>0</v>
      </c>
      <c r="O19626">
        <v>111</v>
      </c>
      <c r="P19626">
        <v>0</v>
      </c>
    </row>
    <row r="19627" spans="1:16" x14ac:dyDescent="0.25">
      <c r="A19627" t="s">
        <v>42276</v>
      </c>
      <c r="B19627" t="s">
        <v>21728</v>
      </c>
      <c r="C19627" t="s">
        <v>16404</v>
      </c>
      <c r="D19627" t="s">
        <v>21729</v>
      </c>
      <c r="E19627" t="s">
        <v>21730</v>
      </c>
      <c r="F19627" t="s">
        <v>19878</v>
      </c>
      <c r="G19627" t="s">
        <v>47093</v>
      </c>
      <c r="H19627" t="s">
        <v>47054</v>
      </c>
      <c r="I19627" t="s">
        <v>47111</v>
      </c>
      <c r="J19627" t="s">
        <v>47112</v>
      </c>
      <c r="K19627" t="s">
        <v>47113</v>
      </c>
      <c r="L19627">
        <v>72.349999999999994</v>
      </c>
      <c r="M19627">
        <v>148</v>
      </c>
      <c r="N19627">
        <v>0</v>
      </c>
      <c r="O19627">
        <v>148</v>
      </c>
      <c r="P19627">
        <v>0</v>
      </c>
    </row>
    <row r="19628" spans="1:16" x14ac:dyDescent="0.25">
      <c r="A19628" t="s">
        <v>42277</v>
      </c>
      <c r="B19628" t="s">
        <v>21731</v>
      </c>
      <c r="C19628" t="s">
        <v>10606</v>
      </c>
      <c r="D19628" t="s">
        <v>21647</v>
      </c>
      <c r="E19628" t="s">
        <v>21648</v>
      </c>
      <c r="F19628" t="s">
        <v>19559</v>
      </c>
      <c r="G19628" t="s">
        <v>47093</v>
      </c>
      <c r="H19628" t="s">
        <v>47054</v>
      </c>
      <c r="I19628" t="s">
        <v>47544</v>
      </c>
      <c r="J19628" t="s">
        <v>47545</v>
      </c>
      <c r="K19628" t="s">
        <v>47113</v>
      </c>
      <c r="L19628">
        <v>26.52</v>
      </c>
      <c r="M19628">
        <v>66</v>
      </c>
      <c r="N19628">
        <v>0</v>
      </c>
      <c r="O19628">
        <v>66</v>
      </c>
      <c r="P19628">
        <v>0</v>
      </c>
    </row>
    <row r="19629" spans="1:16" x14ac:dyDescent="0.25">
      <c r="A19629" t="s">
        <v>42278</v>
      </c>
      <c r="B19629" t="s">
        <v>21732</v>
      </c>
      <c r="C19629" t="s">
        <v>10606</v>
      </c>
      <c r="D19629" t="s">
        <v>15967</v>
      </c>
      <c r="E19629" t="s">
        <v>15968</v>
      </c>
      <c r="F19629" t="s">
        <v>19559</v>
      </c>
      <c r="G19629" t="s">
        <v>47093</v>
      </c>
      <c r="H19629" t="s">
        <v>47054</v>
      </c>
      <c r="I19629" t="s">
        <v>47120</v>
      </c>
      <c r="J19629" t="s">
        <v>47121</v>
      </c>
      <c r="K19629" t="s">
        <v>47113</v>
      </c>
      <c r="L19629">
        <v>26.38</v>
      </c>
      <c r="M19629">
        <v>66</v>
      </c>
      <c r="N19629">
        <v>0</v>
      </c>
      <c r="O19629">
        <v>66</v>
      </c>
      <c r="P19629">
        <v>0</v>
      </c>
    </row>
    <row r="19630" spans="1:16" x14ac:dyDescent="0.25">
      <c r="A19630" t="s">
        <v>42279</v>
      </c>
      <c r="B19630" t="s">
        <v>42280</v>
      </c>
      <c r="C19630" t="s">
        <v>10606</v>
      </c>
      <c r="D19630" t="s">
        <v>41941</v>
      </c>
      <c r="E19630" t="s">
        <v>41942</v>
      </c>
      <c r="F19630" t="s">
        <v>20496</v>
      </c>
      <c r="G19630" t="s">
        <v>47093</v>
      </c>
      <c r="H19630" t="s">
        <v>47054</v>
      </c>
      <c r="I19630" t="s">
        <v>47544</v>
      </c>
      <c r="J19630" t="s">
        <v>47545</v>
      </c>
      <c r="K19630" t="s">
        <v>47113</v>
      </c>
      <c r="L19630">
        <v>25.37</v>
      </c>
      <c r="M19630">
        <v>70</v>
      </c>
      <c r="N19630">
        <v>0</v>
      </c>
      <c r="O19630">
        <v>70</v>
      </c>
      <c r="P19630">
        <v>0</v>
      </c>
    </row>
    <row r="19631" spans="1:16" x14ac:dyDescent="0.25">
      <c r="A19631" t="s">
        <v>42281</v>
      </c>
      <c r="B19631" t="s">
        <v>42282</v>
      </c>
      <c r="C19631" t="s">
        <v>10606</v>
      </c>
      <c r="D19631" t="s">
        <v>40626</v>
      </c>
      <c r="E19631" t="s">
        <v>40627</v>
      </c>
      <c r="F19631" t="s">
        <v>21629</v>
      </c>
      <c r="G19631" t="s">
        <v>47093</v>
      </c>
      <c r="H19631" t="s">
        <v>47054</v>
      </c>
      <c r="I19631" t="s">
        <v>47116</v>
      </c>
      <c r="J19631" t="s">
        <v>47117</v>
      </c>
      <c r="K19631" t="s">
        <v>47113</v>
      </c>
      <c r="L19631">
        <v>46.8</v>
      </c>
      <c r="M19631">
        <v>111</v>
      </c>
      <c r="N19631">
        <v>0</v>
      </c>
      <c r="O19631">
        <v>111</v>
      </c>
      <c r="P19631">
        <v>0</v>
      </c>
    </row>
    <row r="19632" spans="1:16" x14ac:dyDescent="0.25">
      <c r="A19632" t="s">
        <v>42283</v>
      </c>
      <c r="B19632" t="s">
        <v>16000</v>
      </c>
      <c r="C19632" t="s">
        <v>16001</v>
      </c>
      <c r="D19632" t="s">
        <v>15897</v>
      </c>
      <c r="E19632" t="s">
        <v>15898</v>
      </c>
      <c r="F19632" t="s">
        <v>15183</v>
      </c>
      <c r="G19632" t="s">
        <v>47093</v>
      </c>
      <c r="H19632" t="s">
        <v>47054</v>
      </c>
      <c r="I19632" t="s">
        <v>47111</v>
      </c>
      <c r="J19632" t="s">
        <v>47112</v>
      </c>
      <c r="K19632" t="s">
        <v>47113</v>
      </c>
      <c r="L19632">
        <v>48.33</v>
      </c>
      <c r="M19632">
        <v>74</v>
      </c>
      <c r="N19632">
        <v>0</v>
      </c>
      <c r="O19632">
        <v>74</v>
      </c>
      <c r="P19632">
        <v>0</v>
      </c>
    </row>
    <row r="19633" spans="1:16" x14ac:dyDescent="0.25">
      <c r="A19633" t="s">
        <v>42284</v>
      </c>
      <c r="B19633" t="s">
        <v>16002</v>
      </c>
      <c r="C19633" t="s">
        <v>16001</v>
      </c>
      <c r="D19633" t="s">
        <v>16003</v>
      </c>
      <c r="E19633" t="s">
        <v>16004</v>
      </c>
      <c r="F19633" t="s">
        <v>15183</v>
      </c>
      <c r="G19633" t="s">
        <v>47093</v>
      </c>
      <c r="H19633" t="s">
        <v>47054</v>
      </c>
      <c r="I19633" t="s">
        <v>47111</v>
      </c>
      <c r="J19633" t="s">
        <v>47112</v>
      </c>
      <c r="K19633" t="s">
        <v>47113</v>
      </c>
      <c r="L19633">
        <v>37.229999999999997</v>
      </c>
      <c r="M19633">
        <v>70</v>
      </c>
      <c r="N19633">
        <v>0</v>
      </c>
      <c r="O19633">
        <v>70</v>
      </c>
      <c r="P19633">
        <v>0</v>
      </c>
    </row>
    <row r="19634" spans="1:16" x14ac:dyDescent="0.25">
      <c r="A19634" t="s">
        <v>42285</v>
      </c>
      <c r="B19634" t="s">
        <v>16005</v>
      </c>
      <c r="C19634" t="s">
        <v>16001</v>
      </c>
      <c r="D19634" t="s">
        <v>15913</v>
      </c>
      <c r="E19634" t="s">
        <v>15914</v>
      </c>
      <c r="F19634" t="s">
        <v>15183</v>
      </c>
      <c r="G19634" t="s">
        <v>47093</v>
      </c>
      <c r="H19634" t="s">
        <v>47054</v>
      </c>
      <c r="I19634" t="s">
        <v>47111</v>
      </c>
      <c r="J19634" t="s">
        <v>47112</v>
      </c>
      <c r="K19634" t="s">
        <v>47113</v>
      </c>
      <c r="L19634">
        <v>32.17</v>
      </c>
      <c r="M19634">
        <v>74</v>
      </c>
      <c r="N19634">
        <v>0</v>
      </c>
      <c r="O19634">
        <v>74</v>
      </c>
      <c r="P19634">
        <v>0</v>
      </c>
    </row>
    <row r="19635" spans="1:16" x14ac:dyDescent="0.25">
      <c r="A19635" t="s">
        <v>42286</v>
      </c>
      <c r="B19635" t="s">
        <v>16006</v>
      </c>
      <c r="C19635" t="s">
        <v>10589</v>
      </c>
      <c r="D19635" t="s">
        <v>15924</v>
      </c>
      <c r="E19635" t="s">
        <v>15925</v>
      </c>
      <c r="F19635" t="s">
        <v>15183</v>
      </c>
      <c r="G19635" t="s">
        <v>47093</v>
      </c>
      <c r="H19635" t="s">
        <v>47054</v>
      </c>
      <c r="I19635" t="s">
        <v>47111</v>
      </c>
      <c r="J19635" t="s">
        <v>47112</v>
      </c>
      <c r="K19635" t="s">
        <v>47113</v>
      </c>
      <c r="L19635">
        <v>42.41</v>
      </c>
      <c r="M19635">
        <v>92</v>
      </c>
      <c r="N19635">
        <v>0</v>
      </c>
      <c r="O19635">
        <v>92</v>
      </c>
      <c r="P19635">
        <v>0</v>
      </c>
    </row>
    <row r="19636" spans="1:16" x14ac:dyDescent="0.25">
      <c r="A19636" t="s">
        <v>42287</v>
      </c>
      <c r="B19636" t="s">
        <v>18684</v>
      </c>
      <c r="C19636" t="s">
        <v>10589</v>
      </c>
      <c r="D19636" t="s">
        <v>18569</v>
      </c>
      <c r="E19636" t="s">
        <v>18570</v>
      </c>
      <c r="F19636" t="s">
        <v>16730</v>
      </c>
      <c r="G19636" t="s">
        <v>47093</v>
      </c>
      <c r="I19636" t="s">
        <v>47111</v>
      </c>
      <c r="J19636" t="s">
        <v>47112</v>
      </c>
      <c r="K19636" t="s">
        <v>47113</v>
      </c>
      <c r="L19636">
        <v>52.23</v>
      </c>
      <c r="M19636">
        <v>92</v>
      </c>
      <c r="N19636">
        <v>0</v>
      </c>
      <c r="O19636">
        <v>92</v>
      </c>
      <c r="P19636">
        <v>0</v>
      </c>
    </row>
    <row r="19637" spans="1:16" x14ac:dyDescent="0.25">
      <c r="A19637" t="s">
        <v>42288</v>
      </c>
      <c r="B19637" t="s">
        <v>18685</v>
      </c>
      <c r="C19637" t="s">
        <v>16443</v>
      </c>
      <c r="D19637" t="s">
        <v>17365</v>
      </c>
      <c r="E19637" t="s">
        <v>17366</v>
      </c>
      <c r="F19637" t="s">
        <v>16730</v>
      </c>
      <c r="G19637" t="s">
        <v>47093</v>
      </c>
      <c r="H19637" t="s">
        <v>47054</v>
      </c>
      <c r="I19637" t="s">
        <v>47111</v>
      </c>
      <c r="J19637" t="s">
        <v>47112</v>
      </c>
      <c r="K19637" t="s">
        <v>47113</v>
      </c>
      <c r="L19637">
        <v>73.31</v>
      </c>
      <c r="M19637">
        <v>129</v>
      </c>
      <c r="N19637">
        <v>0</v>
      </c>
      <c r="O19637">
        <v>129</v>
      </c>
      <c r="P19637">
        <v>0</v>
      </c>
    </row>
    <row r="19638" spans="1:16" x14ac:dyDescent="0.25">
      <c r="A19638" t="s">
        <v>42289</v>
      </c>
      <c r="B19638" t="s">
        <v>18686</v>
      </c>
      <c r="C19638" t="s">
        <v>16443</v>
      </c>
      <c r="D19638" t="s">
        <v>18505</v>
      </c>
      <c r="E19638" t="s">
        <v>18506</v>
      </c>
      <c r="F19638" t="s">
        <v>16771</v>
      </c>
      <c r="G19638" t="s">
        <v>47093</v>
      </c>
      <c r="H19638" t="s">
        <v>47054</v>
      </c>
      <c r="I19638" t="s">
        <v>47111</v>
      </c>
      <c r="J19638" t="s">
        <v>47112</v>
      </c>
      <c r="K19638" t="s">
        <v>47113</v>
      </c>
      <c r="L19638">
        <v>71.260000000000005</v>
      </c>
      <c r="M19638">
        <v>122</v>
      </c>
      <c r="N19638">
        <v>0</v>
      </c>
      <c r="O19638">
        <v>122</v>
      </c>
      <c r="P19638">
        <v>0</v>
      </c>
    </row>
    <row r="19639" spans="1:16" x14ac:dyDescent="0.25">
      <c r="A19639" t="s">
        <v>42290</v>
      </c>
      <c r="B19639" t="s">
        <v>18687</v>
      </c>
      <c r="C19639" t="s">
        <v>16443</v>
      </c>
      <c r="D19639" t="s">
        <v>18523</v>
      </c>
      <c r="E19639" t="s">
        <v>18524</v>
      </c>
      <c r="F19639" t="s">
        <v>16601</v>
      </c>
      <c r="G19639" t="s">
        <v>47093</v>
      </c>
      <c r="H19639" t="s">
        <v>47054</v>
      </c>
      <c r="I19639" t="s">
        <v>47111</v>
      </c>
      <c r="J19639" t="s">
        <v>47112</v>
      </c>
      <c r="K19639" t="s">
        <v>47113</v>
      </c>
      <c r="L19639">
        <v>65.86</v>
      </c>
      <c r="M19639">
        <v>129</v>
      </c>
      <c r="N19639">
        <v>0</v>
      </c>
      <c r="O19639">
        <v>129</v>
      </c>
      <c r="P19639">
        <v>0</v>
      </c>
    </row>
    <row r="19640" spans="1:16" x14ac:dyDescent="0.25">
      <c r="A19640" t="s">
        <v>42291</v>
      </c>
      <c r="B19640" t="s">
        <v>18688</v>
      </c>
      <c r="C19640" t="s">
        <v>10589</v>
      </c>
      <c r="D19640" t="str">
        <f>"1700"</f>
        <v>1700</v>
      </c>
      <c r="E19640" t="s">
        <v>18480</v>
      </c>
      <c r="F19640" t="s">
        <v>16601</v>
      </c>
      <c r="G19640" t="s">
        <v>47093</v>
      </c>
      <c r="H19640" t="s">
        <v>47054</v>
      </c>
      <c r="I19640" t="s">
        <v>47116</v>
      </c>
      <c r="J19640" t="s">
        <v>47117</v>
      </c>
      <c r="K19640" t="s">
        <v>47113</v>
      </c>
      <c r="L19640">
        <v>46.21</v>
      </c>
      <c r="M19640">
        <v>66</v>
      </c>
      <c r="N19640">
        <v>0</v>
      </c>
      <c r="O19640">
        <v>66</v>
      </c>
      <c r="P19640">
        <v>0</v>
      </c>
    </row>
    <row r="19641" spans="1:16" x14ac:dyDescent="0.25">
      <c r="A19641" t="s">
        <v>42292</v>
      </c>
      <c r="B19641" t="s">
        <v>21733</v>
      </c>
      <c r="C19641" t="s">
        <v>10589</v>
      </c>
      <c r="D19641" t="s">
        <v>21652</v>
      </c>
      <c r="E19641" t="s">
        <v>21653</v>
      </c>
      <c r="F19641" t="s">
        <v>17351</v>
      </c>
      <c r="G19641" t="s">
        <v>47093</v>
      </c>
      <c r="H19641" t="s">
        <v>47054</v>
      </c>
      <c r="I19641" t="s">
        <v>47111</v>
      </c>
      <c r="J19641" t="s">
        <v>47112</v>
      </c>
      <c r="K19641" t="s">
        <v>47113</v>
      </c>
      <c r="L19641">
        <v>56.7</v>
      </c>
      <c r="M19641">
        <v>111</v>
      </c>
      <c r="N19641">
        <v>0</v>
      </c>
      <c r="O19641">
        <v>111</v>
      </c>
      <c r="P19641">
        <v>0</v>
      </c>
    </row>
    <row r="19642" spans="1:16" x14ac:dyDescent="0.25">
      <c r="A19642" t="s">
        <v>42293</v>
      </c>
      <c r="B19642" t="s">
        <v>21734</v>
      </c>
      <c r="C19642" t="s">
        <v>10589</v>
      </c>
      <c r="D19642" t="s">
        <v>21441</v>
      </c>
      <c r="E19642" t="s">
        <v>21442</v>
      </c>
      <c r="F19642" t="s">
        <v>19559</v>
      </c>
      <c r="G19642" t="s">
        <v>47093</v>
      </c>
      <c r="H19642" t="s">
        <v>47054</v>
      </c>
      <c r="I19642" t="s">
        <v>47116</v>
      </c>
      <c r="J19642" t="s">
        <v>47117</v>
      </c>
      <c r="K19642" t="s">
        <v>47113</v>
      </c>
      <c r="L19642">
        <v>44.44</v>
      </c>
      <c r="M19642">
        <v>111</v>
      </c>
      <c r="N19642">
        <v>0</v>
      </c>
      <c r="O19642">
        <v>111</v>
      </c>
      <c r="P19642">
        <v>0</v>
      </c>
    </row>
    <row r="19643" spans="1:16" x14ac:dyDescent="0.25">
      <c r="A19643" t="s">
        <v>42294</v>
      </c>
      <c r="B19643" t="s">
        <v>21735</v>
      </c>
      <c r="C19643" t="s">
        <v>16443</v>
      </c>
      <c r="D19643" t="s">
        <v>18587</v>
      </c>
      <c r="E19643" t="s">
        <v>18588</v>
      </c>
      <c r="F19643" t="s">
        <v>16933</v>
      </c>
      <c r="G19643" t="s">
        <v>47093</v>
      </c>
      <c r="H19643" t="s">
        <v>47054</v>
      </c>
      <c r="I19643" t="s">
        <v>47111</v>
      </c>
      <c r="J19643" t="s">
        <v>47112</v>
      </c>
      <c r="K19643" t="s">
        <v>47113</v>
      </c>
      <c r="L19643">
        <v>76.33</v>
      </c>
      <c r="M19643">
        <v>148</v>
      </c>
      <c r="N19643">
        <v>0</v>
      </c>
      <c r="O19643">
        <v>148</v>
      </c>
      <c r="P19643">
        <v>0</v>
      </c>
    </row>
    <row r="19644" spans="1:16" x14ac:dyDescent="0.25">
      <c r="A19644" t="s">
        <v>42295</v>
      </c>
      <c r="B19644" t="s">
        <v>16007</v>
      </c>
      <c r="C19644" t="s">
        <v>16008</v>
      </c>
      <c r="D19644" t="s">
        <v>16003</v>
      </c>
      <c r="E19644" t="s">
        <v>16004</v>
      </c>
      <c r="F19644" t="s">
        <v>15183</v>
      </c>
      <c r="G19644" t="s">
        <v>47093</v>
      </c>
      <c r="H19644" t="s">
        <v>47054</v>
      </c>
      <c r="I19644" t="s">
        <v>47111</v>
      </c>
      <c r="J19644" t="s">
        <v>47112</v>
      </c>
      <c r="K19644" t="s">
        <v>47113</v>
      </c>
      <c r="L19644">
        <v>38.39</v>
      </c>
      <c r="M19644">
        <v>70</v>
      </c>
      <c r="N19644">
        <v>0</v>
      </c>
      <c r="O19644">
        <v>70</v>
      </c>
      <c r="P19644">
        <v>0</v>
      </c>
    </row>
    <row r="19645" spans="1:16" x14ac:dyDescent="0.25">
      <c r="A19645" t="s">
        <v>42296</v>
      </c>
      <c r="B19645" t="s">
        <v>16009</v>
      </c>
      <c r="C19645" t="s">
        <v>11696</v>
      </c>
      <c r="D19645" t="s">
        <v>721</v>
      </c>
      <c r="E19645" t="s">
        <v>722</v>
      </c>
      <c r="F19645" t="s">
        <v>15183</v>
      </c>
      <c r="G19645" t="s">
        <v>47093</v>
      </c>
      <c r="H19645" t="s">
        <v>47054</v>
      </c>
      <c r="I19645" t="s">
        <v>47111</v>
      </c>
      <c r="J19645" t="s">
        <v>47112</v>
      </c>
      <c r="K19645" t="s">
        <v>47113</v>
      </c>
      <c r="L19645">
        <v>43.36</v>
      </c>
      <c r="M19645">
        <v>92</v>
      </c>
      <c r="N19645">
        <v>0</v>
      </c>
      <c r="O19645">
        <v>92</v>
      </c>
      <c r="P19645">
        <v>0</v>
      </c>
    </row>
    <row r="19646" spans="1:16" x14ac:dyDescent="0.25">
      <c r="A19646" t="s">
        <v>42297</v>
      </c>
      <c r="B19646" t="s">
        <v>16010</v>
      </c>
      <c r="C19646" t="s">
        <v>18689</v>
      </c>
      <c r="D19646" t="s">
        <v>15880</v>
      </c>
      <c r="E19646" t="s">
        <v>15951</v>
      </c>
      <c r="F19646" t="s">
        <v>15183</v>
      </c>
      <c r="G19646" t="s">
        <v>47093</v>
      </c>
      <c r="H19646" t="s">
        <v>47054</v>
      </c>
      <c r="I19646" t="s">
        <v>47111</v>
      </c>
      <c r="J19646" t="s">
        <v>47112</v>
      </c>
      <c r="K19646" t="s">
        <v>47113</v>
      </c>
      <c r="L19646">
        <v>54.42</v>
      </c>
      <c r="M19646">
        <v>119</v>
      </c>
      <c r="N19646">
        <v>0</v>
      </c>
      <c r="O19646">
        <v>119</v>
      </c>
      <c r="P19646">
        <v>0</v>
      </c>
    </row>
    <row r="19647" spans="1:16" x14ac:dyDescent="0.25">
      <c r="A19647" t="s">
        <v>42298</v>
      </c>
      <c r="B19647" t="s">
        <v>16011</v>
      </c>
      <c r="C19647" t="s">
        <v>18690</v>
      </c>
      <c r="D19647" t="str">
        <f>"1001"</f>
        <v>1001</v>
      </c>
      <c r="E19647" t="s">
        <v>7601</v>
      </c>
      <c r="F19647" t="s">
        <v>15183</v>
      </c>
      <c r="G19647" t="s">
        <v>47091</v>
      </c>
      <c r="H19647" t="s">
        <v>47054</v>
      </c>
      <c r="I19647" t="s">
        <v>47569</v>
      </c>
      <c r="J19647" t="s">
        <v>47570</v>
      </c>
      <c r="K19647" t="s">
        <v>47113</v>
      </c>
      <c r="L19647">
        <v>8.6300000000000008</v>
      </c>
      <c r="M19647">
        <v>26</v>
      </c>
      <c r="N19647">
        <v>0</v>
      </c>
      <c r="O19647">
        <v>26</v>
      </c>
      <c r="P19647">
        <v>0</v>
      </c>
    </row>
    <row r="19648" spans="1:16" x14ac:dyDescent="0.25">
      <c r="A19648" t="s">
        <v>42299</v>
      </c>
      <c r="B19648" t="s">
        <v>16011</v>
      </c>
      <c r="C19648" t="s">
        <v>18690</v>
      </c>
      <c r="D19648" t="str">
        <f>"1700"</f>
        <v>1700</v>
      </c>
      <c r="E19648" t="s">
        <v>16012</v>
      </c>
      <c r="F19648" t="s">
        <v>3750</v>
      </c>
      <c r="G19648" t="s">
        <v>47091</v>
      </c>
      <c r="H19648" t="s">
        <v>47054</v>
      </c>
      <c r="I19648" t="s">
        <v>47569</v>
      </c>
      <c r="J19648" t="s">
        <v>47570</v>
      </c>
      <c r="K19648" t="s">
        <v>47113</v>
      </c>
      <c r="L19648">
        <v>8.6300000000000008</v>
      </c>
      <c r="M19648">
        <v>26</v>
      </c>
      <c r="N19648">
        <v>0</v>
      </c>
      <c r="O19648">
        <v>26</v>
      </c>
      <c r="P19648">
        <v>0</v>
      </c>
    </row>
    <row r="19649" spans="1:16" x14ac:dyDescent="0.25">
      <c r="A19649" t="s">
        <v>42300</v>
      </c>
      <c r="B19649" t="s">
        <v>16013</v>
      </c>
      <c r="C19649" t="s">
        <v>16014</v>
      </c>
      <c r="D19649" t="str">
        <f>"4000"</f>
        <v>4000</v>
      </c>
      <c r="E19649" t="s">
        <v>15303</v>
      </c>
      <c r="F19649" t="s">
        <v>15183</v>
      </c>
      <c r="G19649" t="s">
        <v>47091</v>
      </c>
      <c r="H19649" t="s">
        <v>47054</v>
      </c>
      <c r="I19649" t="s">
        <v>47569</v>
      </c>
      <c r="J19649" t="s">
        <v>47570</v>
      </c>
      <c r="K19649" t="s">
        <v>47113</v>
      </c>
      <c r="L19649">
        <v>9.9600000000000009</v>
      </c>
      <c r="M19649">
        <v>26</v>
      </c>
      <c r="N19649">
        <v>0</v>
      </c>
      <c r="O19649">
        <v>26</v>
      </c>
      <c r="P19649">
        <v>0</v>
      </c>
    </row>
    <row r="19650" spans="1:16" x14ac:dyDescent="0.25">
      <c r="A19650" t="s">
        <v>42301</v>
      </c>
      <c r="B19650" t="s">
        <v>18691</v>
      </c>
      <c r="C19650" t="s">
        <v>18692</v>
      </c>
      <c r="D19650" t="str">
        <f>"4143"</f>
        <v>4143</v>
      </c>
      <c r="E19650" t="s">
        <v>261</v>
      </c>
      <c r="F19650" t="s">
        <v>16810</v>
      </c>
      <c r="G19650" t="s">
        <v>47094</v>
      </c>
      <c r="H19650" t="s">
        <v>47054</v>
      </c>
      <c r="I19650" t="s">
        <v>47120</v>
      </c>
      <c r="J19650" t="s">
        <v>47121</v>
      </c>
      <c r="K19650" t="s">
        <v>47113</v>
      </c>
      <c r="L19650">
        <v>45.74</v>
      </c>
      <c r="M19650">
        <v>92</v>
      </c>
      <c r="N19650">
        <v>0</v>
      </c>
      <c r="O19650">
        <v>92</v>
      </c>
      <c r="P19650">
        <v>0</v>
      </c>
    </row>
    <row r="19651" spans="1:16" x14ac:dyDescent="0.25">
      <c r="A19651" t="s">
        <v>42302</v>
      </c>
      <c r="B19651" t="s">
        <v>16015</v>
      </c>
      <c r="C19651" t="s">
        <v>16016</v>
      </c>
      <c r="D19651" t="s">
        <v>15954</v>
      </c>
      <c r="E19651" t="s">
        <v>15955</v>
      </c>
      <c r="F19651" t="s">
        <v>15183</v>
      </c>
      <c r="G19651" t="s">
        <v>47094</v>
      </c>
      <c r="H19651" t="s">
        <v>47054</v>
      </c>
      <c r="I19651" t="s">
        <v>47120</v>
      </c>
      <c r="J19651" t="s">
        <v>47121</v>
      </c>
      <c r="K19651" t="s">
        <v>47113</v>
      </c>
      <c r="L19651">
        <v>43.94</v>
      </c>
      <c r="M19651">
        <v>63</v>
      </c>
      <c r="N19651">
        <v>0</v>
      </c>
      <c r="O19651">
        <v>63</v>
      </c>
      <c r="P19651">
        <v>0</v>
      </c>
    </row>
    <row r="19652" spans="1:16" x14ac:dyDescent="0.25">
      <c r="A19652" t="s">
        <v>42303</v>
      </c>
      <c r="B19652" t="s">
        <v>16017</v>
      </c>
      <c r="C19652" t="s">
        <v>16018</v>
      </c>
      <c r="D19652" t="s">
        <v>15957</v>
      </c>
      <c r="E19652" t="s">
        <v>15958</v>
      </c>
      <c r="F19652" t="s">
        <v>15183</v>
      </c>
      <c r="G19652" t="s">
        <v>47094</v>
      </c>
      <c r="H19652" t="s">
        <v>47054</v>
      </c>
      <c r="I19652" t="s">
        <v>47120</v>
      </c>
      <c r="J19652" t="s">
        <v>47121</v>
      </c>
      <c r="K19652" t="s">
        <v>47113</v>
      </c>
      <c r="L19652">
        <v>49.02</v>
      </c>
      <c r="M19652">
        <v>63</v>
      </c>
      <c r="N19652">
        <v>0</v>
      </c>
      <c r="O19652">
        <v>63</v>
      </c>
      <c r="P19652">
        <v>0</v>
      </c>
    </row>
    <row r="19653" spans="1:16" x14ac:dyDescent="0.25">
      <c r="A19653" t="s">
        <v>42304</v>
      </c>
      <c r="B19653" t="s">
        <v>16019</v>
      </c>
      <c r="C19653" t="s">
        <v>16020</v>
      </c>
      <c r="D19653" t="s">
        <v>15960</v>
      </c>
      <c r="E19653" t="s">
        <v>15961</v>
      </c>
      <c r="F19653" t="s">
        <v>15183</v>
      </c>
      <c r="G19653" t="s">
        <v>47094</v>
      </c>
      <c r="H19653" t="s">
        <v>47054</v>
      </c>
      <c r="I19653" t="s">
        <v>47120</v>
      </c>
      <c r="J19653" t="s">
        <v>47121</v>
      </c>
      <c r="K19653" t="s">
        <v>47113</v>
      </c>
      <c r="L19653">
        <v>43.94</v>
      </c>
      <c r="M19653">
        <v>63</v>
      </c>
      <c r="N19653">
        <v>0</v>
      </c>
      <c r="O19653">
        <v>63</v>
      </c>
      <c r="P19653">
        <v>0</v>
      </c>
    </row>
    <row r="19654" spans="1:16" x14ac:dyDescent="0.25">
      <c r="A19654" t="s">
        <v>42305</v>
      </c>
      <c r="B19654" t="s">
        <v>18693</v>
      </c>
      <c r="C19654" t="s">
        <v>18694</v>
      </c>
      <c r="D19654" t="str">
        <f>"1001"</f>
        <v>1001</v>
      </c>
      <c r="E19654" t="s">
        <v>42</v>
      </c>
      <c r="F19654" t="s">
        <v>16730</v>
      </c>
      <c r="G19654" t="s">
        <v>47094</v>
      </c>
      <c r="H19654" t="s">
        <v>47054</v>
      </c>
      <c r="I19654" t="s">
        <v>47120</v>
      </c>
      <c r="J19654" t="s">
        <v>47121</v>
      </c>
      <c r="K19654" t="s">
        <v>47113</v>
      </c>
      <c r="L19654">
        <v>28.39</v>
      </c>
      <c r="M19654">
        <v>55</v>
      </c>
      <c r="N19654">
        <v>0</v>
      </c>
      <c r="O19654">
        <v>55</v>
      </c>
      <c r="P19654">
        <v>0</v>
      </c>
    </row>
    <row r="19655" spans="1:16" x14ac:dyDescent="0.25">
      <c r="A19655" t="s">
        <v>42306</v>
      </c>
      <c r="B19655" t="s">
        <v>18693</v>
      </c>
      <c r="C19655" t="s">
        <v>18694</v>
      </c>
      <c r="D19655" t="str">
        <f>"6602"</f>
        <v>6602</v>
      </c>
      <c r="E19655" t="s">
        <v>18465</v>
      </c>
      <c r="F19655" t="s">
        <v>16730</v>
      </c>
      <c r="G19655" t="s">
        <v>47094</v>
      </c>
      <c r="H19655" t="s">
        <v>47054</v>
      </c>
      <c r="I19655" t="s">
        <v>47120</v>
      </c>
      <c r="J19655" t="s">
        <v>47121</v>
      </c>
      <c r="K19655" t="s">
        <v>47113</v>
      </c>
      <c r="L19655">
        <v>28.39</v>
      </c>
      <c r="M19655">
        <v>55</v>
      </c>
      <c r="N19655">
        <v>0</v>
      </c>
      <c r="O19655">
        <v>55</v>
      </c>
      <c r="P19655">
        <v>0</v>
      </c>
    </row>
    <row r="19656" spans="1:16" x14ac:dyDescent="0.25">
      <c r="A19656" t="s">
        <v>42307</v>
      </c>
      <c r="B19656" t="s">
        <v>18695</v>
      </c>
      <c r="C19656" t="s">
        <v>18696</v>
      </c>
      <c r="D19656" t="str">
        <f>"1501"</f>
        <v>1501</v>
      </c>
      <c r="E19656" t="s">
        <v>46</v>
      </c>
      <c r="F19656" t="s">
        <v>16746</v>
      </c>
      <c r="G19656" t="s">
        <v>47094</v>
      </c>
      <c r="H19656" t="s">
        <v>47054</v>
      </c>
      <c r="I19656" t="s">
        <v>47118</v>
      </c>
      <c r="J19656" t="s">
        <v>47119</v>
      </c>
      <c r="K19656" t="s">
        <v>47113</v>
      </c>
      <c r="L19656">
        <v>33.380000000000003</v>
      </c>
      <c r="M19656">
        <v>74</v>
      </c>
      <c r="N19656">
        <v>0</v>
      </c>
      <c r="O19656">
        <v>74</v>
      </c>
      <c r="P19656">
        <v>0</v>
      </c>
    </row>
    <row r="19657" spans="1:16" x14ac:dyDescent="0.25">
      <c r="A19657" t="s">
        <v>42308</v>
      </c>
      <c r="B19657" t="s">
        <v>18695</v>
      </c>
      <c r="C19657" t="s">
        <v>18696</v>
      </c>
      <c r="D19657" t="str">
        <f>"6500"</f>
        <v>6500</v>
      </c>
      <c r="E19657" t="s">
        <v>18697</v>
      </c>
      <c r="F19657" t="s">
        <v>16746</v>
      </c>
      <c r="G19657" t="s">
        <v>47094</v>
      </c>
      <c r="H19657" t="s">
        <v>47054</v>
      </c>
      <c r="I19657" t="s">
        <v>47118</v>
      </c>
      <c r="J19657" t="s">
        <v>47119</v>
      </c>
      <c r="K19657" t="s">
        <v>47113</v>
      </c>
      <c r="L19657">
        <v>32.51</v>
      </c>
      <c r="M19657">
        <v>74</v>
      </c>
      <c r="N19657">
        <v>0</v>
      </c>
      <c r="O19657">
        <v>74</v>
      </c>
      <c r="P19657">
        <v>0</v>
      </c>
    </row>
    <row r="19658" spans="1:16" x14ac:dyDescent="0.25">
      <c r="A19658" t="s">
        <v>42309</v>
      </c>
      <c r="B19658" t="s">
        <v>18698</v>
      </c>
      <c r="C19658" t="s">
        <v>18699</v>
      </c>
      <c r="D19658" t="str">
        <f>"4002"</f>
        <v>4002</v>
      </c>
      <c r="E19658" t="s">
        <v>18700</v>
      </c>
      <c r="F19658" t="s">
        <v>16810</v>
      </c>
      <c r="G19658" t="s">
        <v>47094</v>
      </c>
      <c r="H19658" t="s">
        <v>47054</v>
      </c>
      <c r="I19658" t="s">
        <v>47120</v>
      </c>
      <c r="J19658" t="s">
        <v>47121</v>
      </c>
      <c r="K19658" t="s">
        <v>47113</v>
      </c>
      <c r="L19658">
        <v>45.86</v>
      </c>
      <c r="M19658">
        <v>92</v>
      </c>
      <c r="N19658">
        <v>0</v>
      </c>
      <c r="O19658">
        <v>92</v>
      </c>
      <c r="P19658">
        <v>0</v>
      </c>
    </row>
    <row r="19659" spans="1:16" x14ac:dyDescent="0.25">
      <c r="A19659" t="s">
        <v>42310</v>
      </c>
      <c r="B19659" t="s">
        <v>21736</v>
      </c>
      <c r="C19659" t="s">
        <v>21737</v>
      </c>
      <c r="D19659" t="str">
        <f>"4002"</f>
        <v>4002</v>
      </c>
      <c r="E19659" t="s">
        <v>21738</v>
      </c>
      <c r="F19659" t="s">
        <v>19847</v>
      </c>
      <c r="G19659" t="s">
        <v>47094</v>
      </c>
      <c r="H19659" t="s">
        <v>47054</v>
      </c>
      <c r="I19659" t="s">
        <v>47120</v>
      </c>
      <c r="J19659" t="s">
        <v>47121</v>
      </c>
      <c r="K19659" t="s">
        <v>47113</v>
      </c>
      <c r="L19659">
        <v>64.19</v>
      </c>
      <c r="M19659">
        <v>63</v>
      </c>
      <c r="N19659">
        <v>0</v>
      </c>
      <c r="O19659">
        <v>63</v>
      </c>
      <c r="P19659">
        <v>0</v>
      </c>
    </row>
    <row r="19660" spans="1:16" x14ac:dyDescent="0.25">
      <c r="A19660" t="s">
        <v>42311</v>
      </c>
      <c r="B19660" t="s">
        <v>16021</v>
      </c>
      <c r="C19660" t="s">
        <v>16022</v>
      </c>
      <c r="D19660" t="str">
        <f>"1001"</f>
        <v>1001</v>
      </c>
      <c r="E19660" t="s">
        <v>42</v>
      </c>
      <c r="F19660" t="s">
        <v>15183</v>
      </c>
      <c r="G19660" t="s">
        <v>47098</v>
      </c>
      <c r="H19660" t="s">
        <v>47054</v>
      </c>
      <c r="I19660" t="s">
        <v>47120</v>
      </c>
      <c r="J19660" t="s">
        <v>47121</v>
      </c>
      <c r="K19660" t="s">
        <v>47113</v>
      </c>
      <c r="L19660">
        <v>73.56</v>
      </c>
      <c r="M19660">
        <v>100</v>
      </c>
      <c r="N19660">
        <v>0</v>
      </c>
      <c r="O19660">
        <v>100</v>
      </c>
      <c r="P19660">
        <v>0</v>
      </c>
    </row>
    <row r="19661" spans="1:16" x14ac:dyDescent="0.25">
      <c r="A19661" t="s">
        <v>42312</v>
      </c>
      <c r="B19661" t="s">
        <v>21739</v>
      </c>
      <c r="C19661" t="s">
        <v>21740</v>
      </c>
      <c r="D19661" t="str">
        <f>"1700"</f>
        <v>1700</v>
      </c>
      <c r="E19661" t="s">
        <v>60</v>
      </c>
      <c r="F19661" t="s">
        <v>19552</v>
      </c>
      <c r="G19661" t="s">
        <v>47091</v>
      </c>
      <c r="H19661" t="s">
        <v>47054</v>
      </c>
      <c r="I19661" t="s">
        <v>47118</v>
      </c>
      <c r="J19661" t="s">
        <v>47119</v>
      </c>
      <c r="K19661" t="s">
        <v>47113</v>
      </c>
      <c r="L19661">
        <v>14.3</v>
      </c>
      <c r="M19661">
        <v>37</v>
      </c>
      <c r="N19661">
        <v>0</v>
      </c>
      <c r="O19661">
        <v>37</v>
      </c>
      <c r="P19661">
        <v>0</v>
      </c>
    </row>
    <row r="19662" spans="1:16" x14ac:dyDescent="0.25">
      <c r="A19662" t="s">
        <v>42313</v>
      </c>
      <c r="B19662" t="s">
        <v>42314</v>
      </c>
      <c r="C19662" t="s">
        <v>42315</v>
      </c>
      <c r="D19662" t="str">
        <f>"1700"</f>
        <v>1700</v>
      </c>
      <c r="E19662" t="s">
        <v>42316</v>
      </c>
      <c r="F19662" t="s">
        <v>21627</v>
      </c>
      <c r="G19662" t="s">
        <v>47091</v>
      </c>
      <c r="H19662" t="s">
        <v>47054</v>
      </c>
      <c r="I19662" t="s">
        <v>47569</v>
      </c>
      <c r="J19662" t="s">
        <v>47570</v>
      </c>
      <c r="K19662" t="s">
        <v>47113</v>
      </c>
      <c r="L19662">
        <v>13.85</v>
      </c>
      <c r="M19662">
        <v>37</v>
      </c>
      <c r="N19662">
        <v>0</v>
      </c>
      <c r="O19662">
        <v>37</v>
      </c>
      <c r="P19662">
        <v>0</v>
      </c>
    </row>
    <row r="19663" spans="1:16" x14ac:dyDescent="0.25">
      <c r="A19663" t="s">
        <v>42317</v>
      </c>
      <c r="B19663" t="s">
        <v>42318</v>
      </c>
      <c r="C19663" t="s">
        <v>42319</v>
      </c>
      <c r="D19663" t="str">
        <f>"1700"</f>
        <v>1700</v>
      </c>
      <c r="E19663" t="s">
        <v>18706</v>
      </c>
      <c r="F19663" t="s">
        <v>21627</v>
      </c>
      <c r="G19663" t="s">
        <v>47091</v>
      </c>
      <c r="H19663" t="s">
        <v>47054</v>
      </c>
      <c r="I19663" t="s">
        <v>47118</v>
      </c>
      <c r="J19663" t="s">
        <v>47119</v>
      </c>
      <c r="K19663" t="s">
        <v>47113</v>
      </c>
      <c r="L19663">
        <v>12.37</v>
      </c>
      <c r="M19663">
        <v>29</v>
      </c>
      <c r="N19663">
        <v>0</v>
      </c>
      <c r="O19663">
        <v>29</v>
      </c>
      <c r="P19663">
        <v>0</v>
      </c>
    </row>
    <row r="19664" spans="1:16" x14ac:dyDescent="0.25">
      <c r="A19664" t="s">
        <v>42320</v>
      </c>
      <c r="B19664" t="s">
        <v>42321</v>
      </c>
      <c r="C19664" t="s">
        <v>42322</v>
      </c>
      <c r="D19664" t="str">
        <f>"1001"</f>
        <v>1001</v>
      </c>
      <c r="E19664" t="s">
        <v>18706</v>
      </c>
      <c r="F19664" t="s">
        <v>24617</v>
      </c>
      <c r="G19664" t="s">
        <v>47091</v>
      </c>
      <c r="H19664" t="s">
        <v>47054</v>
      </c>
      <c r="I19664" t="s">
        <v>47118</v>
      </c>
      <c r="J19664" t="s">
        <v>47119</v>
      </c>
      <c r="K19664" t="s">
        <v>47113</v>
      </c>
      <c r="L19664">
        <v>15.24</v>
      </c>
      <c r="M19664">
        <v>37</v>
      </c>
      <c r="N19664">
        <v>99</v>
      </c>
      <c r="O19664">
        <v>37</v>
      </c>
      <c r="P19664">
        <v>99</v>
      </c>
    </row>
    <row r="19665" spans="1:16" x14ac:dyDescent="0.25">
      <c r="A19665" t="s">
        <v>42323</v>
      </c>
      <c r="B19665" t="s">
        <v>18701</v>
      </c>
      <c r="C19665" t="s">
        <v>18702</v>
      </c>
      <c r="D19665" t="str">
        <f>"1700"</f>
        <v>1700</v>
      </c>
      <c r="E19665" t="s">
        <v>18703</v>
      </c>
      <c r="F19665" t="s">
        <v>16839</v>
      </c>
      <c r="G19665" t="s">
        <v>47091</v>
      </c>
      <c r="H19665" t="s">
        <v>47054</v>
      </c>
      <c r="I19665" t="s">
        <v>47569</v>
      </c>
      <c r="J19665" t="s">
        <v>47570</v>
      </c>
      <c r="K19665" t="s">
        <v>47113</v>
      </c>
      <c r="L19665">
        <v>16.39</v>
      </c>
      <c r="M19665">
        <v>33</v>
      </c>
      <c r="N19665">
        <v>0</v>
      </c>
      <c r="O19665">
        <v>33</v>
      </c>
      <c r="P19665">
        <v>0</v>
      </c>
    </row>
    <row r="19666" spans="1:16" x14ac:dyDescent="0.25">
      <c r="A19666" t="s">
        <v>42324</v>
      </c>
      <c r="B19666" t="s">
        <v>18704</v>
      </c>
      <c r="C19666" t="s">
        <v>18705</v>
      </c>
      <c r="D19666" t="str">
        <f>"1700"</f>
        <v>1700</v>
      </c>
      <c r="E19666" t="s">
        <v>18706</v>
      </c>
      <c r="F19666" t="s">
        <v>16839</v>
      </c>
      <c r="G19666" t="s">
        <v>47091</v>
      </c>
      <c r="H19666" t="s">
        <v>47054</v>
      </c>
      <c r="I19666" t="s">
        <v>47111</v>
      </c>
      <c r="J19666" t="s">
        <v>47112</v>
      </c>
      <c r="K19666" t="s">
        <v>47113</v>
      </c>
      <c r="L19666">
        <v>16.39</v>
      </c>
      <c r="M19666">
        <v>33</v>
      </c>
      <c r="N19666">
        <v>0</v>
      </c>
      <c r="O19666">
        <v>33</v>
      </c>
      <c r="P19666">
        <v>0</v>
      </c>
    </row>
    <row r="19667" spans="1:16" x14ac:dyDescent="0.25">
      <c r="A19667" t="s">
        <v>42325</v>
      </c>
      <c r="B19667" t="s">
        <v>42326</v>
      </c>
      <c r="C19667" t="s">
        <v>42327</v>
      </c>
      <c r="D19667" t="str">
        <f>"1001"</f>
        <v>1001</v>
      </c>
      <c r="E19667" t="s">
        <v>54</v>
      </c>
      <c r="F19667" t="s">
        <v>20496</v>
      </c>
      <c r="G19667" t="s">
        <v>47094</v>
      </c>
      <c r="H19667" t="s">
        <v>47054</v>
      </c>
      <c r="I19667" t="s">
        <v>47118</v>
      </c>
      <c r="J19667" t="s">
        <v>47119</v>
      </c>
      <c r="K19667" t="s">
        <v>47113</v>
      </c>
      <c r="L19667">
        <v>8.44</v>
      </c>
      <c r="M19667">
        <v>74</v>
      </c>
      <c r="N19667">
        <v>0</v>
      </c>
      <c r="O19667">
        <v>74</v>
      </c>
      <c r="P19667">
        <v>0</v>
      </c>
    </row>
    <row r="19668" spans="1:16" x14ac:dyDescent="0.25">
      <c r="A19668" t="s">
        <v>42328</v>
      </c>
      <c r="B19668" t="s">
        <v>18707</v>
      </c>
      <c r="C19668" t="s">
        <v>18708</v>
      </c>
      <c r="D19668" t="str">
        <f>"1501"</f>
        <v>1501</v>
      </c>
      <c r="E19668" t="s">
        <v>46</v>
      </c>
      <c r="F19668" t="s">
        <v>16601</v>
      </c>
      <c r="G19668" t="s">
        <v>47094</v>
      </c>
      <c r="H19668" t="s">
        <v>47054</v>
      </c>
      <c r="I19668" t="s">
        <v>47111</v>
      </c>
      <c r="J19668" t="s">
        <v>47112</v>
      </c>
      <c r="K19668" t="s">
        <v>47113</v>
      </c>
      <c r="L19668">
        <v>40.18</v>
      </c>
      <c r="M19668">
        <v>74</v>
      </c>
      <c r="N19668">
        <v>0</v>
      </c>
      <c r="O19668">
        <v>74</v>
      </c>
      <c r="P19668">
        <v>0</v>
      </c>
    </row>
    <row r="19669" spans="1:16" x14ac:dyDescent="0.25">
      <c r="A19669" t="s">
        <v>42329</v>
      </c>
      <c r="B19669" t="s">
        <v>42330</v>
      </c>
      <c r="C19669" t="s">
        <v>42331</v>
      </c>
      <c r="D19669" t="str">
        <f>"1106"</f>
        <v>1106</v>
      </c>
      <c r="E19669" t="s">
        <v>16045</v>
      </c>
      <c r="F19669" t="s">
        <v>21629</v>
      </c>
      <c r="G19669" t="s">
        <v>47094</v>
      </c>
      <c r="H19669" t="s">
        <v>47054</v>
      </c>
      <c r="I19669" t="s">
        <v>47118</v>
      </c>
      <c r="J19669" t="s">
        <v>47119</v>
      </c>
      <c r="K19669" t="s">
        <v>47113</v>
      </c>
      <c r="L19669">
        <v>33.840000000000003</v>
      </c>
      <c r="M19669">
        <v>74</v>
      </c>
      <c r="N19669">
        <v>0</v>
      </c>
      <c r="O19669">
        <v>74</v>
      </c>
      <c r="P19669">
        <v>0</v>
      </c>
    </row>
    <row r="19670" spans="1:16" x14ac:dyDescent="0.25">
      <c r="A19670" t="s">
        <v>42332</v>
      </c>
      <c r="B19670" t="s">
        <v>42333</v>
      </c>
      <c r="C19670" t="s">
        <v>42334</v>
      </c>
      <c r="D19670" t="str">
        <f>"1001"</f>
        <v>1001</v>
      </c>
      <c r="E19670" t="s">
        <v>54</v>
      </c>
      <c r="F19670" t="s">
        <v>20496</v>
      </c>
      <c r="G19670" t="s">
        <v>47095</v>
      </c>
      <c r="H19670" t="s">
        <v>47054</v>
      </c>
      <c r="I19670" t="s">
        <v>47118</v>
      </c>
      <c r="J19670" t="s">
        <v>47119</v>
      </c>
      <c r="K19670" t="s">
        <v>47113</v>
      </c>
      <c r="L19670">
        <v>29.78</v>
      </c>
      <c r="M19670">
        <v>62</v>
      </c>
      <c r="N19670">
        <v>0</v>
      </c>
      <c r="O19670">
        <v>62</v>
      </c>
      <c r="P19670">
        <v>0</v>
      </c>
    </row>
    <row r="19671" spans="1:16" x14ac:dyDescent="0.25">
      <c r="A19671" t="s">
        <v>42335</v>
      </c>
      <c r="B19671" t="s">
        <v>42333</v>
      </c>
      <c r="C19671" t="s">
        <v>42334</v>
      </c>
      <c r="D19671" t="str">
        <f>"1106"</f>
        <v>1106</v>
      </c>
      <c r="E19671" t="s">
        <v>16045</v>
      </c>
      <c r="F19671" t="s">
        <v>20496</v>
      </c>
      <c r="G19671" t="s">
        <v>47095</v>
      </c>
      <c r="H19671" t="s">
        <v>47054</v>
      </c>
      <c r="I19671" t="s">
        <v>47118</v>
      </c>
      <c r="J19671" t="s">
        <v>47119</v>
      </c>
      <c r="K19671" t="s">
        <v>47113</v>
      </c>
      <c r="L19671">
        <v>30.08</v>
      </c>
      <c r="M19671">
        <v>62</v>
      </c>
      <c r="N19671">
        <v>0</v>
      </c>
      <c r="O19671">
        <v>62</v>
      </c>
      <c r="P19671">
        <v>0</v>
      </c>
    </row>
    <row r="19672" spans="1:16" x14ac:dyDescent="0.25">
      <c r="A19672" t="s">
        <v>42336</v>
      </c>
      <c r="B19672" t="s">
        <v>18709</v>
      </c>
      <c r="C19672" t="s">
        <v>18710</v>
      </c>
      <c r="D19672" t="str">
        <f>"1001"</f>
        <v>1001</v>
      </c>
      <c r="E19672" t="s">
        <v>42</v>
      </c>
      <c r="F19672" t="s">
        <v>16839</v>
      </c>
      <c r="G19672" t="s">
        <v>47095</v>
      </c>
      <c r="H19672" t="s">
        <v>47054</v>
      </c>
      <c r="I19672" t="s">
        <v>47569</v>
      </c>
      <c r="J19672" t="s">
        <v>47570</v>
      </c>
      <c r="K19672" t="s">
        <v>47113</v>
      </c>
      <c r="L19672">
        <v>22.46</v>
      </c>
      <c r="M19672">
        <v>59</v>
      </c>
      <c r="N19672">
        <v>0</v>
      </c>
      <c r="O19672">
        <v>59</v>
      </c>
      <c r="P19672">
        <v>0</v>
      </c>
    </row>
    <row r="19673" spans="1:16" x14ac:dyDescent="0.25">
      <c r="A19673" t="s">
        <v>42337</v>
      </c>
      <c r="B19673" t="s">
        <v>18709</v>
      </c>
      <c r="C19673" t="s">
        <v>18710</v>
      </c>
      <c r="D19673" t="str">
        <f>"1700"</f>
        <v>1700</v>
      </c>
      <c r="E19673" t="s">
        <v>60</v>
      </c>
      <c r="F19673" t="s">
        <v>16839</v>
      </c>
      <c r="G19673" t="s">
        <v>47095</v>
      </c>
      <c r="H19673" t="s">
        <v>47054</v>
      </c>
      <c r="I19673" t="s">
        <v>47569</v>
      </c>
      <c r="J19673" t="s">
        <v>47570</v>
      </c>
      <c r="K19673" t="s">
        <v>47113</v>
      </c>
      <c r="L19673">
        <v>22.46</v>
      </c>
      <c r="M19673">
        <v>59</v>
      </c>
      <c r="N19673">
        <v>0</v>
      </c>
      <c r="O19673">
        <v>59</v>
      </c>
      <c r="P19673">
        <v>0</v>
      </c>
    </row>
    <row r="19674" spans="1:16" x14ac:dyDescent="0.25">
      <c r="A19674" t="s">
        <v>42338</v>
      </c>
      <c r="B19674" t="s">
        <v>18709</v>
      </c>
      <c r="C19674" t="s">
        <v>18710</v>
      </c>
      <c r="D19674" t="str">
        <f>"3071"</f>
        <v>3071</v>
      </c>
      <c r="E19674" t="s">
        <v>18711</v>
      </c>
      <c r="F19674" t="s">
        <v>16839</v>
      </c>
      <c r="G19674" t="s">
        <v>47095</v>
      </c>
      <c r="H19674" t="s">
        <v>47054</v>
      </c>
      <c r="I19674" t="s">
        <v>47569</v>
      </c>
      <c r="J19674" t="s">
        <v>47570</v>
      </c>
      <c r="K19674" t="s">
        <v>47113</v>
      </c>
      <c r="L19674">
        <v>29.28</v>
      </c>
      <c r="M19674">
        <v>59</v>
      </c>
      <c r="N19674">
        <v>0</v>
      </c>
      <c r="O19674">
        <v>59</v>
      </c>
      <c r="P19674">
        <v>0</v>
      </c>
    </row>
    <row r="19675" spans="1:16" x14ac:dyDescent="0.25">
      <c r="A19675" t="s">
        <v>42339</v>
      </c>
      <c r="B19675" t="s">
        <v>18709</v>
      </c>
      <c r="C19675" t="s">
        <v>18710</v>
      </c>
      <c r="D19675" t="str">
        <f>"5146"</f>
        <v>5146</v>
      </c>
      <c r="E19675" t="s">
        <v>18712</v>
      </c>
      <c r="F19675" t="s">
        <v>16839</v>
      </c>
      <c r="G19675" t="s">
        <v>47095</v>
      </c>
      <c r="H19675" t="s">
        <v>47054</v>
      </c>
      <c r="I19675" t="s">
        <v>47569</v>
      </c>
      <c r="J19675" t="s">
        <v>47570</v>
      </c>
      <c r="K19675" t="s">
        <v>47113</v>
      </c>
      <c r="L19675">
        <v>29.28</v>
      </c>
      <c r="M19675">
        <v>59</v>
      </c>
      <c r="N19675">
        <v>0</v>
      </c>
      <c r="O19675">
        <v>59</v>
      </c>
      <c r="P19675">
        <v>0</v>
      </c>
    </row>
    <row r="19676" spans="1:16" x14ac:dyDescent="0.25">
      <c r="A19676" t="s">
        <v>42340</v>
      </c>
      <c r="B19676" t="s">
        <v>18713</v>
      </c>
      <c r="C19676" t="s">
        <v>18714</v>
      </c>
      <c r="D19676" t="str">
        <f>"1001"</f>
        <v>1001</v>
      </c>
      <c r="E19676" t="s">
        <v>42</v>
      </c>
      <c r="F19676" t="s">
        <v>16771</v>
      </c>
      <c r="G19676" t="s">
        <v>47095</v>
      </c>
      <c r="H19676" t="s">
        <v>47054</v>
      </c>
      <c r="I19676" t="s">
        <v>47569</v>
      </c>
      <c r="J19676" t="s">
        <v>47570</v>
      </c>
      <c r="K19676" t="s">
        <v>47113</v>
      </c>
      <c r="L19676">
        <v>24.49</v>
      </c>
      <c r="M19676">
        <v>48</v>
      </c>
      <c r="N19676">
        <v>0</v>
      </c>
      <c r="O19676">
        <v>48</v>
      </c>
      <c r="P19676">
        <v>0</v>
      </c>
    </row>
    <row r="19677" spans="1:16" x14ac:dyDescent="0.25">
      <c r="A19677" t="s">
        <v>42341</v>
      </c>
      <c r="B19677" t="s">
        <v>16023</v>
      </c>
      <c r="C19677" t="s">
        <v>16024</v>
      </c>
      <c r="D19677" t="str">
        <f>"1501"</f>
        <v>1501</v>
      </c>
      <c r="E19677" t="s">
        <v>46</v>
      </c>
      <c r="F19677" t="s">
        <v>15183</v>
      </c>
      <c r="G19677" t="s">
        <v>47095</v>
      </c>
      <c r="I19677" t="s">
        <v>47120</v>
      </c>
      <c r="J19677" t="s">
        <v>47121</v>
      </c>
      <c r="K19677" t="s">
        <v>47113</v>
      </c>
      <c r="L19677">
        <v>36.53</v>
      </c>
      <c r="M19677">
        <v>55</v>
      </c>
      <c r="N19677">
        <v>0</v>
      </c>
      <c r="O19677">
        <v>55</v>
      </c>
      <c r="P19677">
        <v>0</v>
      </c>
    </row>
    <row r="19678" spans="1:16" x14ac:dyDescent="0.25">
      <c r="A19678" t="s">
        <v>42342</v>
      </c>
      <c r="B19678" t="s">
        <v>18715</v>
      </c>
      <c r="C19678" t="s">
        <v>18716</v>
      </c>
      <c r="D19678" t="str">
        <f>"1501"</f>
        <v>1501</v>
      </c>
      <c r="E19678" t="s">
        <v>46</v>
      </c>
      <c r="F19678" t="s">
        <v>16601</v>
      </c>
      <c r="G19678" t="s">
        <v>47095</v>
      </c>
      <c r="H19678" t="s">
        <v>47054</v>
      </c>
      <c r="I19678" t="s">
        <v>47111</v>
      </c>
      <c r="J19678" t="s">
        <v>47112</v>
      </c>
      <c r="K19678" t="s">
        <v>47113</v>
      </c>
      <c r="L19678">
        <v>36.35</v>
      </c>
      <c r="M19678">
        <v>63</v>
      </c>
      <c r="N19678">
        <v>0</v>
      </c>
      <c r="O19678">
        <v>63</v>
      </c>
      <c r="P19678">
        <v>0</v>
      </c>
    </row>
    <row r="19679" spans="1:16" x14ac:dyDescent="0.25">
      <c r="A19679" t="s">
        <v>42343</v>
      </c>
      <c r="B19679" t="s">
        <v>18717</v>
      </c>
      <c r="C19679" t="s">
        <v>18718</v>
      </c>
      <c r="D19679" t="str">
        <f>"4143"</f>
        <v>4143</v>
      </c>
      <c r="E19679" t="s">
        <v>18719</v>
      </c>
      <c r="F19679" t="s">
        <v>16730</v>
      </c>
      <c r="G19679" t="s">
        <v>47095</v>
      </c>
      <c r="H19679" t="s">
        <v>47054</v>
      </c>
      <c r="I19679" t="s">
        <v>47120</v>
      </c>
      <c r="J19679" t="s">
        <v>47121</v>
      </c>
      <c r="K19679" t="s">
        <v>47113</v>
      </c>
      <c r="L19679">
        <v>25.95</v>
      </c>
      <c r="M19679">
        <v>55</v>
      </c>
      <c r="N19679">
        <v>0</v>
      </c>
      <c r="O19679">
        <v>55</v>
      </c>
      <c r="P19679">
        <v>0</v>
      </c>
    </row>
    <row r="19680" spans="1:16" x14ac:dyDescent="0.25">
      <c r="A19680" t="s">
        <v>42344</v>
      </c>
      <c r="B19680" t="s">
        <v>18720</v>
      </c>
      <c r="C19680" t="s">
        <v>18721</v>
      </c>
      <c r="D19680" t="str">
        <f>"4002"</f>
        <v>4002</v>
      </c>
      <c r="E19680" t="s">
        <v>18700</v>
      </c>
      <c r="F19680" t="s">
        <v>16810</v>
      </c>
      <c r="G19680" t="s">
        <v>47095</v>
      </c>
      <c r="H19680" t="s">
        <v>47054</v>
      </c>
      <c r="I19680" t="s">
        <v>47120</v>
      </c>
      <c r="J19680" t="s">
        <v>47121</v>
      </c>
      <c r="K19680" t="s">
        <v>47113</v>
      </c>
      <c r="L19680">
        <v>32.96</v>
      </c>
      <c r="M19680">
        <v>66</v>
      </c>
      <c r="N19680">
        <v>0</v>
      </c>
      <c r="O19680">
        <v>66</v>
      </c>
      <c r="P19680">
        <v>0</v>
      </c>
    </row>
    <row r="19681" spans="1:16" x14ac:dyDescent="0.25">
      <c r="A19681" t="s">
        <v>42345</v>
      </c>
      <c r="B19681" t="s">
        <v>42346</v>
      </c>
      <c r="C19681" t="s">
        <v>42347</v>
      </c>
      <c r="D19681" t="str">
        <f>"1106"</f>
        <v>1106</v>
      </c>
      <c r="E19681" t="s">
        <v>16045</v>
      </c>
      <c r="F19681" t="s">
        <v>21629</v>
      </c>
      <c r="G19681" t="s">
        <v>47095</v>
      </c>
      <c r="H19681" t="s">
        <v>47054</v>
      </c>
      <c r="I19681" t="s">
        <v>47118</v>
      </c>
      <c r="J19681" t="s">
        <v>47119</v>
      </c>
      <c r="K19681" t="s">
        <v>47113</v>
      </c>
      <c r="L19681">
        <v>26.29</v>
      </c>
      <c r="M19681">
        <v>62</v>
      </c>
      <c r="N19681">
        <v>0</v>
      </c>
      <c r="O19681">
        <v>62</v>
      </c>
      <c r="P19681">
        <v>0</v>
      </c>
    </row>
    <row r="19682" spans="1:16" x14ac:dyDescent="0.25">
      <c r="A19682" t="s">
        <v>42348</v>
      </c>
      <c r="B19682" t="s">
        <v>21741</v>
      </c>
      <c r="C19682" t="s">
        <v>21742</v>
      </c>
      <c r="D19682" t="str">
        <f>"6060"</f>
        <v>6060</v>
      </c>
      <c r="E19682" t="s">
        <v>21743</v>
      </c>
      <c r="F19682" t="s">
        <v>19878</v>
      </c>
      <c r="G19682" t="s">
        <v>47101</v>
      </c>
      <c r="H19682" t="s">
        <v>47054</v>
      </c>
      <c r="I19682" t="s">
        <v>47118</v>
      </c>
      <c r="J19682" t="s">
        <v>47119</v>
      </c>
      <c r="K19682" t="s">
        <v>47113</v>
      </c>
      <c r="L19682">
        <v>22.35</v>
      </c>
      <c r="M19682">
        <v>48</v>
      </c>
      <c r="N19682">
        <v>0</v>
      </c>
      <c r="O19682">
        <v>48</v>
      </c>
      <c r="P19682">
        <v>0</v>
      </c>
    </row>
    <row r="19683" spans="1:16" x14ac:dyDescent="0.25">
      <c r="A19683" t="s">
        <v>42349</v>
      </c>
      <c r="B19683" t="s">
        <v>42350</v>
      </c>
      <c r="C19683" t="s">
        <v>42351</v>
      </c>
      <c r="D19683" t="s">
        <v>42352</v>
      </c>
      <c r="E19683" t="s">
        <v>42353</v>
      </c>
      <c r="F19683" t="s">
        <v>21627</v>
      </c>
      <c r="G19683" t="s">
        <v>47101</v>
      </c>
      <c r="H19683" t="s">
        <v>47054</v>
      </c>
      <c r="I19683" t="s">
        <v>47120</v>
      </c>
      <c r="J19683" t="s">
        <v>47121</v>
      </c>
      <c r="K19683" t="s">
        <v>47113</v>
      </c>
      <c r="L19683">
        <v>27.88</v>
      </c>
      <c r="M19683">
        <v>70</v>
      </c>
      <c r="N19683">
        <v>0</v>
      </c>
      <c r="O19683">
        <v>70</v>
      </c>
      <c r="P19683">
        <v>0</v>
      </c>
    </row>
    <row r="19684" spans="1:16" x14ac:dyDescent="0.25">
      <c r="A19684" t="s">
        <v>42354</v>
      </c>
      <c r="B19684" t="s">
        <v>42355</v>
      </c>
      <c r="C19684" t="s">
        <v>42356</v>
      </c>
      <c r="D19684" t="str">
        <f>"1001"</f>
        <v>1001</v>
      </c>
      <c r="E19684" t="s">
        <v>42357</v>
      </c>
      <c r="F19684" t="s">
        <v>21629</v>
      </c>
      <c r="G19684" t="s">
        <v>47101</v>
      </c>
      <c r="H19684" t="s">
        <v>47054</v>
      </c>
      <c r="I19684" t="s">
        <v>47120</v>
      </c>
      <c r="J19684" t="s">
        <v>47121</v>
      </c>
      <c r="K19684" t="s">
        <v>47113</v>
      </c>
      <c r="L19684">
        <v>26.92</v>
      </c>
      <c r="M19684">
        <v>66</v>
      </c>
      <c r="N19684">
        <v>0</v>
      </c>
      <c r="O19684">
        <v>66</v>
      </c>
      <c r="P19684">
        <v>0</v>
      </c>
    </row>
    <row r="19685" spans="1:16" x14ac:dyDescent="0.25">
      <c r="A19685" t="s">
        <v>42358</v>
      </c>
      <c r="B19685" t="s">
        <v>42355</v>
      </c>
      <c r="C19685" t="s">
        <v>42356</v>
      </c>
      <c r="D19685" t="str">
        <f>"6000"</f>
        <v>6000</v>
      </c>
      <c r="E19685" t="s">
        <v>16116</v>
      </c>
      <c r="F19685" t="s">
        <v>21629</v>
      </c>
      <c r="G19685" t="s">
        <v>47101</v>
      </c>
      <c r="H19685" t="s">
        <v>47054</v>
      </c>
      <c r="I19685" t="s">
        <v>47120</v>
      </c>
      <c r="J19685" t="s">
        <v>47121</v>
      </c>
      <c r="K19685" t="s">
        <v>47113</v>
      </c>
      <c r="L19685">
        <v>26.92</v>
      </c>
      <c r="M19685">
        <v>66</v>
      </c>
      <c r="N19685">
        <v>0</v>
      </c>
      <c r="O19685">
        <v>66</v>
      </c>
      <c r="P19685">
        <v>0</v>
      </c>
    </row>
    <row r="19686" spans="1:16" x14ac:dyDescent="0.25">
      <c r="A19686" t="s">
        <v>42359</v>
      </c>
      <c r="B19686" t="s">
        <v>16025</v>
      </c>
      <c r="C19686" t="s">
        <v>16026</v>
      </c>
      <c r="D19686" t="str">
        <f>"1501"</f>
        <v>1501</v>
      </c>
      <c r="E19686" t="s">
        <v>46</v>
      </c>
      <c r="F19686" t="s">
        <v>15183</v>
      </c>
      <c r="G19686" t="s">
        <v>47094</v>
      </c>
      <c r="H19686" t="s">
        <v>47054</v>
      </c>
      <c r="I19686" t="s">
        <v>47120</v>
      </c>
      <c r="J19686" t="s">
        <v>47121</v>
      </c>
      <c r="K19686" t="s">
        <v>47113</v>
      </c>
      <c r="L19686">
        <v>35.39</v>
      </c>
      <c r="M19686">
        <v>63</v>
      </c>
      <c r="N19686">
        <v>0</v>
      </c>
      <c r="O19686">
        <v>63</v>
      </c>
      <c r="P19686">
        <v>0</v>
      </c>
    </row>
    <row r="19687" spans="1:16" x14ac:dyDescent="0.25">
      <c r="A19687" t="s">
        <v>42360</v>
      </c>
      <c r="B19687" t="s">
        <v>16027</v>
      </c>
      <c r="C19687" t="s">
        <v>18722</v>
      </c>
      <c r="D19687" t="str">
        <f>"1001"</f>
        <v>1001</v>
      </c>
      <c r="E19687" t="s">
        <v>42</v>
      </c>
      <c r="F19687" t="s">
        <v>15183</v>
      </c>
      <c r="G19687" t="s">
        <v>47097</v>
      </c>
      <c r="H19687" t="s">
        <v>47054</v>
      </c>
      <c r="I19687" t="s">
        <v>47120</v>
      </c>
      <c r="J19687" t="s">
        <v>47121</v>
      </c>
      <c r="K19687" t="s">
        <v>47113</v>
      </c>
      <c r="L19687">
        <v>24.51</v>
      </c>
      <c r="M19687">
        <v>55</v>
      </c>
      <c r="N19687">
        <v>0</v>
      </c>
      <c r="O19687">
        <v>55</v>
      </c>
      <c r="P19687">
        <v>0</v>
      </c>
    </row>
    <row r="19688" spans="1:16" x14ac:dyDescent="0.25">
      <c r="A19688" t="s">
        <v>42361</v>
      </c>
      <c r="B19688" t="s">
        <v>16027</v>
      </c>
      <c r="C19688" t="s">
        <v>18722</v>
      </c>
      <c r="D19688" t="str">
        <f>"1700"</f>
        <v>1700</v>
      </c>
      <c r="E19688" t="s">
        <v>60</v>
      </c>
      <c r="F19688" t="s">
        <v>15183</v>
      </c>
      <c r="G19688" t="s">
        <v>47097</v>
      </c>
      <c r="H19688" t="s">
        <v>47054</v>
      </c>
      <c r="I19688" t="s">
        <v>47120</v>
      </c>
      <c r="J19688" t="s">
        <v>47121</v>
      </c>
      <c r="K19688" t="s">
        <v>47113</v>
      </c>
      <c r="L19688">
        <v>24.51</v>
      </c>
      <c r="M19688">
        <v>55</v>
      </c>
      <c r="N19688">
        <v>0</v>
      </c>
      <c r="O19688">
        <v>55</v>
      </c>
      <c r="P19688">
        <v>0</v>
      </c>
    </row>
    <row r="19689" spans="1:16" x14ac:dyDescent="0.25">
      <c r="A19689" t="s">
        <v>42362</v>
      </c>
      <c r="B19689" t="s">
        <v>18723</v>
      </c>
      <c r="C19689" t="s">
        <v>18724</v>
      </c>
      <c r="D19689" t="str">
        <f>"1700"</f>
        <v>1700</v>
      </c>
      <c r="E19689" t="s">
        <v>60</v>
      </c>
      <c r="F19689" t="s">
        <v>18725</v>
      </c>
      <c r="G19689" t="s">
        <v>47091</v>
      </c>
      <c r="H19689" t="s">
        <v>47054</v>
      </c>
      <c r="I19689" t="s">
        <v>47111</v>
      </c>
      <c r="J19689" t="s">
        <v>47112</v>
      </c>
      <c r="K19689" t="s">
        <v>47113</v>
      </c>
      <c r="L19689">
        <v>9.3699999999999992</v>
      </c>
      <c r="M19689">
        <v>26</v>
      </c>
      <c r="N19689">
        <v>0</v>
      </c>
      <c r="O19689">
        <v>26</v>
      </c>
      <c r="P19689">
        <v>0</v>
      </c>
    </row>
    <row r="19690" spans="1:16" x14ac:dyDescent="0.25">
      <c r="A19690" t="s">
        <v>42363</v>
      </c>
      <c r="B19690" t="s">
        <v>18726</v>
      </c>
      <c r="C19690" t="s">
        <v>18727</v>
      </c>
      <c r="D19690" t="str">
        <f>"4143"</f>
        <v>4143</v>
      </c>
      <c r="E19690" t="s">
        <v>261</v>
      </c>
      <c r="F19690" t="s">
        <v>16810</v>
      </c>
      <c r="G19690" t="s">
        <v>47095</v>
      </c>
      <c r="H19690" t="s">
        <v>47054</v>
      </c>
      <c r="I19690" t="s">
        <v>47120</v>
      </c>
      <c r="J19690" t="s">
        <v>47121</v>
      </c>
      <c r="K19690" t="s">
        <v>47113</v>
      </c>
      <c r="L19690">
        <v>32.81</v>
      </c>
      <c r="M19690">
        <v>66</v>
      </c>
      <c r="N19690">
        <v>0</v>
      </c>
      <c r="O19690">
        <v>66</v>
      </c>
      <c r="P19690">
        <v>0</v>
      </c>
    </row>
    <row r="19691" spans="1:16" x14ac:dyDescent="0.25">
      <c r="A19691" t="s">
        <v>42364</v>
      </c>
      <c r="B19691" t="s">
        <v>16028</v>
      </c>
      <c r="C19691" t="s">
        <v>16029</v>
      </c>
      <c r="D19691" t="str">
        <f>"1001"</f>
        <v>1001</v>
      </c>
      <c r="E19691" t="s">
        <v>16030</v>
      </c>
      <c r="F19691" t="s">
        <v>15183</v>
      </c>
      <c r="G19691" t="s">
        <v>47095</v>
      </c>
      <c r="H19691" t="s">
        <v>47054</v>
      </c>
      <c r="I19691" t="s">
        <v>47569</v>
      </c>
      <c r="J19691" t="s">
        <v>47570</v>
      </c>
      <c r="K19691" t="s">
        <v>47113</v>
      </c>
      <c r="L19691">
        <v>18.32</v>
      </c>
      <c r="M19691">
        <v>28</v>
      </c>
      <c r="N19691">
        <v>0</v>
      </c>
      <c r="O19691">
        <v>28</v>
      </c>
      <c r="P19691">
        <v>0</v>
      </c>
    </row>
    <row r="19692" spans="1:16" x14ac:dyDescent="0.25">
      <c r="A19692" t="s">
        <v>42365</v>
      </c>
      <c r="B19692" t="s">
        <v>16028</v>
      </c>
      <c r="C19692" t="s">
        <v>16029</v>
      </c>
      <c r="D19692" t="str">
        <f>"4000"</f>
        <v>4000</v>
      </c>
      <c r="E19692" t="s">
        <v>18728</v>
      </c>
      <c r="F19692" t="s">
        <v>17473</v>
      </c>
      <c r="G19692" t="s">
        <v>47095</v>
      </c>
      <c r="H19692" t="s">
        <v>47054</v>
      </c>
      <c r="I19692" t="s">
        <v>47569</v>
      </c>
      <c r="J19692" t="s">
        <v>47570</v>
      </c>
      <c r="K19692" t="s">
        <v>47113</v>
      </c>
      <c r="L19692">
        <v>18.32</v>
      </c>
      <c r="M19692">
        <v>28</v>
      </c>
      <c r="N19692">
        <v>0</v>
      </c>
      <c r="O19692">
        <v>28</v>
      </c>
      <c r="P19692">
        <v>0</v>
      </c>
    </row>
    <row r="19693" spans="1:16" x14ac:dyDescent="0.25">
      <c r="A19693" t="s">
        <v>42366</v>
      </c>
      <c r="B19693" t="s">
        <v>16031</v>
      </c>
      <c r="C19693" t="s">
        <v>11644</v>
      </c>
      <c r="D19693" t="str">
        <f>"1001"</f>
        <v>1001</v>
      </c>
      <c r="E19693" t="s">
        <v>42</v>
      </c>
      <c r="F19693" t="s">
        <v>15183</v>
      </c>
      <c r="G19693" t="s">
        <v>47099</v>
      </c>
      <c r="H19693" t="s">
        <v>47054</v>
      </c>
      <c r="I19693" t="s">
        <v>47118</v>
      </c>
      <c r="J19693" t="s">
        <v>47119</v>
      </c>
      <c r="K19693" t="s">
        <v>47113</v>
      </c>
      <c r="L19693">
        <v>224.48</v>
      </c>
      <c r="M19693">
        <v>259</v>
      </c>
      <c r="N19693">
        <v>0</v>
      </c>
      <c r="O19693">
        <v>259</v>
      </c>
      <c r="P19693">
        <v>0</v>
      </c>
    </row>
    <row r="19694" spans="1:16" x14ac:dyDescent="0.25">
      <c r="A19694" t="s">
        <v>42367</v>
      </c>
      <c r="B19694" t="s">
        <v>16032</v>
      </c>
      <c r="C19694" t="s">
        <v>16033</v>
      </c>
      <c r="D19694" t="str">
        <f>"1001"</f>
        <v>1001</v>
      </c>
      <c r="E19694" t="s">
        <v>42</v>
      </c>
      <c r="F19694" t="s">
        <v>3750</v>
      </c>
      <c r="G19694" t="s">
        <v>47101</v>
      </c>
      <c r="H19694" t="s">
        <v>47054</v>
      </c>
      <c r="I19694" t="s">
        <v>47120</v>
      </c>
      <c r="J19694" t="s">
        <v>47121</v>
      </c>
      <c r="K19694" t="s">
        <v>47113</v>
      </c>
      <c r="L19694">
        <v>28.02</v>
      </c>
      <c r="M19694">
        <v>55</v>
      </c>
      <c r="N19694">
        <v>0</v>
      </c>
      <c r="O19694">
        <v>55</v>
      </c>
      <c r="P19694">
        <v>0</v>
      </c>
    </row>
    <row r="19695" spans="1:16" x14ac:dyDescent="0.25">
      <c r="A19695" t="s">
        <v>42368</v>
      </c>
      <c r="B19695" t="s">
        <v>16034</v>
      </c>
      <c r="C19695" t="s">
        <v>16035</v>
      </c>
      <c r="D19695" t="s">
        <v>15887</v>
      </c>
      <c r="E19695" t="s">
        <v>15888</v>
      </c>
      <c r="F19695" t="s">
        <v>15183</v>
      </c>
      <c r="G19695" t="s">
        <v>47093</v>
      </c>
      <c r="H19695" t="s">
        <v>47054</v>
      </c>
      <c r="I19695" t="s">
        <v>47111</v>
      </c>
      <c r="J19695" t="s">
        <v>47112</v>
      </c>
      <c r="K19695" t="s">
        <v>47113</v>
      </c>
      <c r="L19695">
        <v>61.96</v>
      </c>
      <c r="M19695">
        <v>103</v>
      </c>
      <c r="N19695">
        <v>0</v>
      </c>
      <c r="O19695">
        <v>103</v>
      </c>
      <c r="P19695">
        <v>0</v>
      </c>
    </row>
    <row r="19696" spans="1:16" x14ac:dyDescent="0.25">
      <c r="A19696" t="s">
        <v>42369</v>
      </c>
      <c r="B19696" t="s">
        <v>21744</v>
      </c>
      <c r="C19696" t="s">
        <v>21745</v>
      </c>
      <c r="D19696" t="str">
        <f>"4143"</f>
        <v>4143</v>
      </c>
      <c r="E19696" t="s">
        <v>21746</v>
      </c>
      <c r="F19696" t="s">
        <v>19847</v>
      </c>
      <c r="G19696" t="s">
        <v>47103</v>
      </c>
      <c r="H19696" t="s">
        <v>47054</v>
      </c>
      <c r="I19696" t="s">
        <v>47120</v>
      </c>
      <c r="J19696" t="s">
        <v>47121</v>
      </c>
      <c r="K19696" t="s">
        <v>47113</v>
      </c>
      <c r="L19696">
        <v>45.47</v>
      </c>
      <c r="M19696">
        <v>74</v>
      </c>
      <c r="N19696">
        <v>0</v>
      </c>
      <c r="O19696">
        <v>74</v>
      </c>
      <c r="P19696">
        <v>0</v>
      </c>
    </row>
    <row r="19697" spans="1:16" x14ac:dyDescent="0.25">
      <c r="A19697" t="s">
        <v>42370</v>
      </c>
      <c r="B19697" t="s">
        <v>16370</v>
      </c>
      <c r="C19697" t="s">
        <v>16371</v>
      </c>
      <c r="D19697" t="str">
        <f>"1001"</f>
        <v>1001</v>
      </c>
      <c r="E19697" t="s">
        <v>42</v>
      </c>
      <c r="F19697" t="s">
        <v>3750</v>
      </c>
      <c r="G19697" t="s">
        <v>47094</v>
      </c>
      <c r="H19697" t="s">
        <v>47054</v>
      </c>
      <c r="I19697" t="s">
        <v>47111</v>
      </c>
      <c r="J19697" t="s">
        <v>47112</v>
      </c>
      <c r="K19697" t="s">
        <v>47113</v>
      </c>
      <c r="L19697">
        <v>22.82</v>
      </c>
      <c r="M19697">
        <v>44</v>
      </c>
      <c r="N19697">
        <v>0</v>
      </c>
      <c r="O19697">
        <v>44</v>
      </c>
      <c r="P19697">
        <v>0</v>
      </c>
    </row>
    <row r="19698" spans="1:16" x14ac:dyDescent="0.25">
      <c r="A19698" t="s">
        <v>42371</v>
      </c>
      <c r="B19698" t="s">
        <v>16370</v>
      </c>
      <c r="C19698" t="s">
        <v>16371</v>
      </c>
      <c r="D19698" t="str">
        <f>"1700"</f>
        <v>1700</v>
      </c>
      <c r="E19698" t="s">
        <v>60</v>
      </c>
      <c r="F19698" t="s">
        <v>3750</v>
      </c>
      <c r="G19698" t="s">
        <v>47094</v>
      </c>
      <c r="H19698" t="s">
        <v>47054</v>
      </c>
      <c r="I19698" t="s">
        <v>47111</v>
      </c>
      <c r="J19698" t="s">
        <v>47112</v>
      </c>
      <c r="K19698" t="s">
        <v>47113</v>
      </c>
      <c r="L19698">
        <v>22.82</v>
      </c>
      <c r="M19698">
        <v>44</v>
      </c>
      <c r="N19698">
        <v>0</v>
      </c>
      <c r="O19698">
        <v>44</v>
      </c>
      <c r="P19698">
        <v>0</v>
      </c>
    </row>
    <row r="19699" spans="1:16" x14ac:dyDescent="0.25">
      <c r="A19699" t="s">
        <v>42372</v>
      </c>
      <c r="B19699" t="s">
        <v>42373</v>
      </c>
      <c r="C19699" t="s">
        <v>21958</v>
      </c>
      <c r="D19699" t="s">
        <v>40640</v>
      </c>
      <c r="E19699" t="s">
        <v>40641</v>
      </c>
      <c r="F19699" t="s">
        <v>20496</v>
      </c>
      <c r="G19699" t="s">
        <v>49029</v>
      </c>
      <c r="H19699" t="s">
        <v>47054</v>
      </c>
      <c r="I19699" t="s">
        <v>47116</v>
      </c>
      <c r="J19699" t="s">
        <v>47117</v>
      </c>
      <c r="K19699" t="s">
        <v>47113</v>
      </c>
      <c r="L19699">
        <v>25.4</v>
      </c>
      <c r="M19699">
        <v>66</v>
      </c>
      <c r="N19699">
        <v>0</v>
      </c>
      <c r="O19699">
        <v>66</v>
      </c>
      <c r="P19699">
        <v>0</v>
      </c>
    </row>
    <row r="19700" spans="1:16" x14ac:dyDescent="0.25">
      <c r="A19700" t="s">
        <v>42374</v>
      </c>
      <c r="B19700" t="s">
        <v>42375</v>
      </c>
      <c r="C19700" t="s">
        <v>21958</v>
      </c>
      <c r="D19700" t="s">
        <v>40634</v>
      </c>
      <c r="E19700" t="s">
        <v>40635</v>
      </c>
      <c r="F19700" t="s">
        <v>21627</v>
      </c>
      <c r="G19700" t="s">
        <v>49029</v>
      </c>
      <c r="H19700" t="s">
        <v>47054</v>
      </c>
      <c r="I19700" t="s">
        <v>47116</v>
      </c>
      <c r="J19700" t="s">
        <v>47117</v>
      </c>
      <c r="K19700" t="s">
        <v>47113</v>
      </c>
      <c r="L19700">
        <v>38.25</v>
      </c>
      <c r="M19700">
        <v>74</v>
      </c>
      <c r="N19700">
        <v>0</v>
      </c>
      <c r="O19700">
        <v>74</v>
      </c>
      <c r="P19700">
        <v>0</v>
      </c>
    </row>
    <row r="19701" spans="1:16" x14ac:dyDescent="0.25">
      <c r="A19701" t="s">
        <v>42376</v>
      </c>
      <c r="B19701" t="s">
        <v>16036</v>
      </c>
      <c r="C19701" t="s">
        <v>16037</v>
      </c>
      <c r="D19701" t="str">
        <f>"1700"</f>
        <v>1700</v>
      </c>
      <c r="E19701" t="s">
        <v>16038</v>
      </c>
      <c r="F19701" t="s">
        <v>15183</v>
      </c>
      <c r="G19701" t="s">
        <v>47098</v>
      </c>
      <c r="H19701" t="s">
        <v>47054</v>
      </c>
      <c r="I19701" t="s">
        <v>47120</v>
      </c>
      <c r="J19701" t="s">
        <v>47121</v>
      </c>
      <c r="K19701" t="s">
        <v>47113</v>
      </c>
      <c r="L19701">
        <v>41.16</v>
      </c>
      <c r="M19701">
        <v>92</v>
      </c>
      <c r="N19701">
        <v>0</v>
      </c>
      <c r="O19701">
        <v>92</v>
      </c>
      <c r="P19701">
        <v>0</v>
      </c>
    </row>
    <row r="19702" spans="1:16" x14ac:dyDescent="0.25">
      <c r="A19702" t="s">
        <v>42377</v>
      </c>
      <c r="B19702" t="s">
        <v>16039</v>
      </c>
      <c r="C19702" t="s">
        <v>18729</v>
      </c>
      <c r="D19702" t="str">
        <f>"6106"</f>
        <v>6106</v>
      </c>
      <c r="E19702" t="s">
        <v>16040</v>
      </c>
      <c r="F19702" t="s">
        <v>3750</v>
      </c>
      <c r="G19702" t="s">
        <v>47091</v>
      </c>
      <c r="H19702" t="s">
        <v>47054</v>
      </c>
      <c r="I19702" t="s">
        <v>47116</v>
      </c>
      <c r="J19702" t="s">
        <v>47117</v>
      </c>
      <c r="K19702" t="s">
        <v>47113</v>
      </c>
      <c r="L19702">
        <v>7.22</v>
      </c>
      <c r="M19702">
        <v>26</v>
      </c>
      <c r="N19702">
        <v>0</v>
      </c>
      <c r="O19702">
        <v>26</v>
      </c>
      <c r="P19702">
        <v>0</v>
      </c>
    </row>
    <row r="19703" spans="1:16" x14ac:dyDescent="0.25">
      <c r="A19703" t="s">
        <v>42378</v>
      </c>
      <c r="B19703" t="s">
        <v>16041</v>
      </c>
      <c r="C19703" t="s">
        <v>18730</v>
      </c>
      <c r="D19703" t="str">
        <f>"1001"</f>
        <v>1001</v>
      </c>
      <c r="E19703" t="s">
        <v>42</v>
      </c>
      <c r="F19703" t="s">
        <v>15183</v>
      </c>
      <c r="G19703" t="s">
        <v>47097</v>
      </c>
      <c r="H19703" t="s">
        <v>47054</v>
      </c>
      <c r="I19703" t="s">
        <v>47120</v>
      </c>
      <c r="J19703" t="s">
        <v>47121</v>
      </c>
      <c r="K19703" t="s">
        <v>47113</v>
      </c>
      <c r="L19703">
        <v>24.51</v>
      </c>
      <c r="M19703">
        <v>55</v>
      </c>
      <c r="N19703">
        <v>0</v>
      </c>
      <c r="O19703">
        <v>55</v>
      </c>
      <c r="P19703">
        <v>0</v>
      </c>
    </row>
    <row r="19704" spans="1:16" x14ac:dyDescent="0.25">
      <c r="A19704" t="s">
        <v>42379</v>
      </c>
      <c r="B19704" t="s">
        <v>16041</v>
      </c>
      <c r="C19704" t="s">
        <v>18730</v>
      </c>
      <c r="D19704" t="str">
        <f>"1700"</f>
        <v>1700</v>
      </c>
      <c r="E19704" t="s">
        <v>60</v>
      </c>
      <c r="F19704" t="s">
        <v>3750</v>
      </c>
      <c r="G19704" t="s">
        <v>47097</v>
      </c>
      <c r="H19704" t="s">
        <v>47054</v>
      </c>
      <c r="I19704" t="s">
        <v>47120</v>
      </c>
      <c r="J19704" t="s">
        <v>47121</v>
      </c>
      <c r="K19704" t="s">
        <v>47113</v>
      </c>
      <c r="L19704">
        <v>24.51</v>
      </c>
      <c r="M19704">
        <v>55</v>
      </c>
      <c r="N19704">
        <v>0</v>
      </c>
      <c r="O19704">
        <v>55</v>
      </c>
      <c r="P19704">
        <v>0</v>
      </c>
    </row>
    <row r="19705" spans="1:16" x14ac:dyDescent="0.25">
      <c r="A19705" t="s">
        <v>42380</v>
      </c>
      <c r="B19705" t="s">
        <v>16042</v>
      </c>
      <c r="C19705" t="s">
        <v>18731</v>
      </c>
      <c r="D19705" t="str">
        <f>"1001"</f>
        <v>1001</v>
      </c>
      <c r="E19705" t="s">
        <v>7601</v>
      </c>
      <c r="F19705" t="s">
        <v>3750</v>
      </c>
      <c r="G19705" t="s">
        <v>47091</v>
      </c>
      <c r="H19705" t="s">
        <v>47054</v>
      </c>
      <c r="I19705" t="s">
        <v>47116</v>
      </c>
      <c r="J19705" t="s">
        <v>47117</v>
      </c>
      <c r="K19705" t="s">
        <v>47113</v>
      </c>
      <c r="L19705">
        <v>7.58</v>
      </c>
      <c r="M19705">
        <v>29</v>
      </c>
      <c r="N19705">
        <v>0</v>
      </c>
      <c r="O19705">
        <v>29</v>
      </c>
      <c r="P19705">
        <v>0</v>
      </c>
    </row>
    <row r="19706" spans="1:16" x14ac:dyDescent="0.25">
      <c r="A19706" t="s">
        <v>42381</v>
      </c>
      <c r="B19706" t="s">
        <v>16043</v>
      </c>
      <c r="C19706" t="s">
        <v>16044</v>
      </c>
      <c r="D19706" t="str">
        <f>"1001"</f>
        <v>1001</v>
      </c>
      <c r="E19706" t="s">
        <v>16045</v>
      </c>
      <c r="F19706" t="s">
        <v>15183</v>
      </c>
      <c r="G19706" t="s">
        <v>47095</v>
      </c>
      <c r="H19706" t="s">
        <v>47054</v>
      </c>
      <c r="I19706" t="s">
        <v>47120</v>
      </c>
      <c r="J19706" t="s">
        <v>47121</v>
      </c>
      <c r="K19706" t="s">
        <v>47113</v>
      </c>
      <c r="L19706">
        <v>21.79</v>
      </c>
      <c r="M19706">
        <v>48</v>
      </c>
      <c r="N19706">
        <v>0</v>
      </c>
      <c r="O19706">
        <v>48</v>
      </c>
      <c r="P19706">
        <v>0</v>
      </c>
    </row>
    <row r="19707" spans="1:16" x14ac:dyDescent="0.25">
      <c r="A19707" t="s">
        <v>42382</v>
      </c>
      <c r="B19707" t="s">
        <v>16043</v>
      </c>
      <c r="C19707" t="s">
        <v>16044</v>
      </c>
      <c r="D19707" t="str">
        <f>"1501"</f>
        <v>1501</v>
      </c>
      <c r="E19707" t="s">
        <v>46</v>
      </c>
      <c r="F19707" t="s">
        <v>15183</v>
      </c>
      <c r="G19707" t="s">
        <v>47095</v>
      </c>
      <c r="H19707" t="s">
        <v>47054</v>
      </c>
      <c r="I19707" t="s">
        <v>47120</v>
      </c>
      <c r="J19707" t="s">
        <v>47121</v>
      </c>
      <c r="K19707" t="s">
        <v>47113</v>
      </c>
      <c r="L19707">
        <v>21.79</v>
      </c>
      <c r="M19707">
        <v>48</v>
      </c>
      <c r="N19707">
        <v>0</v>
      </c>
      <c r="O19707">
        <v>48</v>
      </c>
      <c r="P19707">
        <v>0</v>
      </c>
    </row>
    <row r="19708" spans="1:16" x14ac:dyDescent="0.25">
      <c r="A19708" t="s">
        <v>42383</v>
      </c>
      <c r="B19708" t="s">
        <v>16043</v>
      </c>
      <c r="C19708" t="s">
        <v>16044</v>
      </c>
      <c r="D19708" t="str">
        <f>"4826"</f>
        <v>4826</v>
      </c>
      <c r="E19708" t="s">
        <v>16046</v>
      </c>
      <c r="F19708" t="s">
        <v>15183</v>
      </c>
      <c r="G19708" t="s">
        <v>47095</v>
      </c>
      <c r="H19708" t="s">
        <v>47054</v>
      </c>
      <c r="I19708" t="s">
        <v>47120</v>
      </c>
      <c r="J19708" t="s">
        <v>47121</v>
      </c>
      <c r="K19708" t="s">
        <v>47113</v>
      </c>
      <c r="L19708">
        <v>21.4</v>
      </c>
      <c r="M19708">
        <v>48</v>
      </c>
      <c r="N19708">
        <v>0</v>
      </c>
      <c r="O19708">
        <v>48</v>
      </c>
      <c r="P19708">
        <v>0</v>
      </c>
    </row>
    <row r="19709" spans="1:16" x14ac:dyDescent="0.25">
      <c r="A19709" t="s">
        <v>42384</v>
      </c>
      <c r="B19709" t="s">
        <v>16043</v>
      </c>
      <c r="C19709" t="s">
        <v>16044</v>
      </c>
      <c r="D19709" t="str">
        <f>"6000"</f>
        <v>6000</v>
      </c>
      <c r="E19709" t="s">
        <v>15321</v>
      </c>
      <c r="F19709" t="s">
        <v>15183</v>
      </c>
      <c r="G19709" t="s">
        <v>47095</v>
      </c>
      <c r="H19709" t="s">
        <v>47054</v>
      </c>
      <c r="I19709" t="s">
        <v>47120</v>
      </c>
      <c r="J19709" t="s">
        <v>47121</v>
      </c>
      <c r="K19709" t="s">
        <v>47113</v>
      </c>
      <c r="L19709">
        <v>21.4</v>
      </c>
      <c r="M19709">
        <v>48</v>
      </c>
      <c r="N19709">
        <v>0</v>
      </c>
      <c r="O19709">
        <v>48</v>
      </c>
      <c r="P19709">
        <v>0</v>
      </c>
    </row>
    <row r="19710" spans="1:16" x14ac:dyDescent="0.25">
      <c r="A19710" t="s">
        <v>42385</v>
      </c>
      <c r="B19710" t="s">
        <v>18732</v>
      </c>
      <c r="C19710" t="s">
        <v>16044</v>
      </c>
      <c r="D19710" t="str">
        <f>"1001"</f>
        <v>1001</v>
      </c>
      <c r="E19710" t="s">
        <v>42</v>
      </c>
      <c r="F19710" t="s">
        <v>16771</v>
      </c>
      <c r="G19710" t="s">
        <v>47095</v>
      </c>
      <c r="I19710" t="s">
        <v>47120</v>
      </c>
      <c r="J19710" t="s">
        <v>47121</v>
      </c>
      <c r="K19710" t="s">
        <v>47113</v>
      </c>
      <c r="L19710">
        <v>18</v>
      </c>
      <c r="M19710">
        <v>48</v>
      </c>
      <c r="N19710">
        <v>0</v>
      </c>
      <c r="O19710">
        <v>48</v>
      </c>
      <c r="P19710">
        <v>0</v>
      </c>
    </row>
    <row r="19711" spans="1:16" x14ac:dyDescent="0.25">
      <c r="A19711" t="s">
        <v>42386</v>
      </c>
      <c r="B19711" t="s">
        <v>18732</v>
      </c>
      <c r="C19711" t="s">
        <v>16044</v>
      </c>
      <c r="D19711" t="str">
        <f>"1501"</f>
        <v>1501</v>
      </c>
      <c r="E19711" t="s">
        <v>46</v>
      </c>
      <c r="F19711" t="s">
        <v>16771</v>
      </c>
      <c r="G19711" t="s">
        <v>47095</v>
      </c>
      <c r="I19711" t="s">
        <v>47120</v>
      </c>
      <c r="J19711" t="s">
        <v>47121</v>
      </c>
      <c r="K19711" t="s">
        <v>47113</v>
      </c>
      <c r="L19711">
        <v>18</v>
      </c>
      <c r="M19711">
        <v>48</v>
      </c>
      <c r="N19711">
        <v>0</v>
      </c>
      <c r="O19711">
        <v>48</v>
      </c>
      <c r="P19711">
        <v>0</v>
      </c>
    </row>
    <row r="19712" spans="1:16" x14ac:dyDescent="0.25">
      <c r="A19712" t="s">
        <v>42387</v>
      </c>
      <c r="B19712" t="s">
        <v>18732</v>
      </c>
      <c r="C19712" t="s">
        <v>16044</v>
      </c>
      <c r="D19712" t="str">
        <f>"4000"</f>
        <v>4000</v>
      </c>
      <c r="E19712" t="s">
        <v>18733</v>
      </c>
      <c r="F19712" t="s">
        <v>16771</v>
      </c>
      <c r="G19712" t="s">
        <v>47095</v>
      </c>
      <c r="I19712" t="s">
        <v>47120</v>
      </c>
      <c r="J19712" t="s">
        <v>47121</v>
      </c>
      <c r="K19712" t="s">
        <v>47113</v>
      </c>
      <c r="L19712">
        <v>25.7</v>
      </c>
      <c r="M19712">
        <v>51</v>
      </c>
      <c r="N19712">
        <v>0</v>
      </c>
      <c r="O19712">
        <v>51</v>
      </c>
      <c r="P19712">
        <v>0</v>
      </c>
    </row>
    <row r="19713" spans="1:16" x14ac:dyDescent="0.25">
      <c r="A19713" t="s">
        <v>42388</v>
      </c>
      <c r="B19713" t="s">
        <v>18734</v>
      </c>
      <c r="C19713" t="s">
        <v>18735</v>
      </c>
      <c r="D19713" t="str">
        <f>"1001"</f>
        <v>1001</v>
      </c>
      <c r="E19713" t="s">
        <v>42</v>
      </c>
      <c r="F19713" t="s">
        <v>16730</v>
      </c>
      <c r="G19713" t="s">
        <v>47095</v>
      </c>
      <c r="H19713" t="s">
        <v>47054</v>
      </c>
      <c r="I19713" t="s">
        <v>47120</v>
      </c>
      <c r="J19713" t="s">
        <v>47121</v>
      </c>
      <c r="K19713" t="s">
        <v>47113</v>
      </c>
      <c r="L19713">
        <v>22.66</v>
      </c>
      <c r="M19713">
        <v>51</v>
      </c>
      <c r="N19713">
        <v>0</v>
      </c>
      <c r="O19713">
        <v>51</v>
      </c>
      <c r="P19713">
        <v>0</v>
      </c>
    </row>
    <row r="19714" spans="1:16" x14ac:dyDescent="0.25">
      <c r="A19714" t="s">
        <v>42389</v>
      </c>
      <c r="B19714" t="s">
        <v>18734</v>
      </c>
      <c r="C19714" t="s">
        <v>18735</v>
      </c>
      <c r="D19714" t="str">
        <f>"6602"</f>
        <v>6602</v>
      </c>
      <c r="E19714" t="s">
        <v>18465</v>
      </c>
      <c r="F19714" t="s">
        <v>16730</v>
      </c>
      <c r="G19714" t="s">
        <v>47095</v>
      </c>
      <c r="H19714" t="s">
        <v>47054</v>
      </c>
      <c r="I19714" t="s">
        <v>47120</v>
      </c>
      <c r="J19714" t="s">
        <v>47121</v>
      </c>
      <c r="K19714" t="s">
        <v>47113</v>
      </c>
      <c r="L19714">
        <v>22.66</v>
      </c>
      <c r="M19714">
        <v>51</v>
      </c>
      <c r="N19714">
        <v>0</v>
      </c>
      <c r="O19714">
        <v>51</v>
      </c>
      <c r="P19714">
        <v>0</v>
      </c>
    </row>
    <row r="19715" spans="1:16" x14ac:dyDescent="0.25">
      <c r="A19715" t="s">
        <v>42390</v>
      </c>
      <c r="B19715" t="s">
        <v>16372</v>
      </c>
      <c r="C19715" t="s">
        <v>18736</v>
      </c>
      <c r="D19715" t="str">
        <f>"4100"</f>
        <v>4100</v>
      </c>
      <c r="E19715" t="s">
        <v>16373</v>
      </c>
      <c r="F19715" t="s">
        <v>15183</v>
      </c>
      <c r="G19715" t="s">
        <v>47102</v>
      </c>
      <c r="H19715" t="s">
        <v>47054</v>
      </c>
      <c r="I19715" t="s">
        <v>47120</v>
      </c>
      <c r="J19715" t="s">
        <v>47121</v>
      </c>
      <c r="K19715" t="s">
        <v>47113</v>
      </c>
      <c r="L19715">
        <v>96.34</v>
      </c>
      <c r="M19715">
        <v>174</v>
      </c>
      <c r="N19715">
        <v>0</v>
      </c>
      <c r="O19715">
        <v>174</v>
      </c>
      <c r="P19715">
        <v>0</v>
      </c>
    </row>
    <row r="19716" spans="1:16" x14ac:dyDescent="0.25">
      <c r="A19716" t="s">
        <v>42391</v>
      </c>
      <c r="B19716" t="s">
        <v>16047</v>
      </c>
      <c r="C19716" t="s">
        <v>16048</v>
      </c>
      <c r="D19716" t="s">
        <v>15897</v>
      </c>
      <c r="E19716" t="s">
        <v>15898</v>
      </c>
      <c r="F19716" t="s">
        <v>15183</v>
      </c>
      <c r="G19716" t="s">
        <v>49030</v>
      </c>
      <c r="H19716" t="s">
        <v>47054</v>
      </c>
      <c r="I19716" t="s">
        <v>47111</v>
      </c>
      <c r="J19716" t="s">
        <v>47112</v>
      </c>
      <c r="K19716" t="s">
        <v>47113</v>
      </c>
      <c r="L19716">
        <v>42.66</v>
      </c>
      <c r="M19716">
        <v>63</v>
      </c>
      <c r="N19716">
        <v>0</v>
      </c>
      <c r="O19716">
        <v>63</v>
      </c>
      <c r="P19716">
        <v>0</v>
      </c>
    </row>
    <row r="19717" spans="1:16" x14ac:dyDescent="0.25">
      <c r="A19717" t="s">
        <v>42392</v>
      </c>
      <c r="B19717" t="s">
        <v>16049</v>
      </c>
      <c r="C19717" t="s">
        <v>16050</v>
      </c>
      <c r="D19717" t="str">
        <f>"1001"</f>
        <v>1001</v>
      </c>
      <c r="E19717" t="s">
        <v>16030</v>
      </c>
      <c r="F19717" t="s">
        <v>15183</v>
      </c>
      <c r="G19717" t="s">
        <v>47094</v>
      </c>
      <c r="H19717" t="s">
        <v>47054</v>
      </c>
      <c r="I19717" t="s">
        <v>47569</v>
      </c>
      <c r="J19717" t="s">
        <v>47570</v>
      </c>
      <c r="K19717" t="s">
        <v>47113</v>
      </c>
      <c r="L19717">
        <v>23.49</v>
      </c>
      <c r="M19717">
        <v>59</v>
      </c>
      <c r="N19717">
        <v>0</v>
      </c>
      <c r="O19717">
        <v>59</v>
      </c>
      <c r="P19717">
        <v>0</v>
      </c>
    </row>
    <row r="19718" spans="1:16" x14ac:dyDescent="0.25">
      <c r="A19718" t="s">
        <v>42393</v>
      </c>
      <c r="B19718" t="s">
        <v>16049</v>
      </c>
      <c r="C19718" t="s">
        <v>16050</v>
      </c>
      <c r="D19718" t="str">
        <f>"4000"</f>
        <v>4000</v>
      </c>
      <c r="E19718" t="s">
        <v>18728</v>
      </c>
      <c r="F19718" t="s">
        <v>17473</v>
      </c>
      <c r="G19718" t="s">
        <v>47094</v>
      </c>
      <c r="H19718" t="s">
        <v>47054</v>
      </c>
      <c r="I19718" t="s">
        <v>47569</v>
      </c>
      <c r="J19718" t="s">
        <v>47570</v>
      </c>
      <c r="K19718" t="s">
        <v>47113</v>
      </c>
      <c r="L19718">
        <v>23.49</v>
      </c>
      <c r="M19718">
        <v>59</v>
      </c>
      <c r="N19718">
        <v>0</v>
      </c>
      <c r="O19718">
        <v>59</v>
      </c>
      <c r="P19718">
        <v>0</v>
      </c>
    </row>
    <row r="19719" spans="1:16" x14ac:dyDescent="0.25">
      <c r="A19719" t="s">
        <v>42394</v>
      </c>
      <c r="B19719" t="s">
        <v>14348</v>
      </c>
      <c r="C19719" t="s">
        <v>16374</v>
      </c>
      <c r="D19719" t="s">
        <v>14350</v>
      </c>
      <c r="E19719" t="s">
        <v>14351</v>
      </c>
      <c r="F19719" t="s">
        <v>3558</v>
      </c>
      <c r="G19719" t="s">
        <v>47093</v>
      </c>
      <c r="H19719" t="s">
        <v>47054</v>
      </c>
      <c r="I19719" t="s">
        <v>47111</v>
      </c>
      <c r="J19719" t="s">
        <v>47112</v>
      </c>
      <c r="K19719" t="s">
        <v>47113</v>
      </c>
      <c r="L19719">
        <v>43.53</v>
      </c>
      <c r="M19719">
        <v>74</v>
      </c>
      <c r="N19719">
        <v>0</v>
      </c>
      <c r="O19719">
        <v>74</v>
      </c>
      <c r="P19719">
        <v>0</v>
      </c>
    </row>
    <row r="19720" spans="1:16" x14ac:dyDescent="0.25">
      <c r="A19720" t="s">
        <v>42395</v>
      </c>
      <c r="B19720" t="s">
        <v>16051</v>
      </c>
      <c r="C19720" t="s">
        <v>16052</v>
      </c>
      <c r="D19720" t="s">
        <v>15897</v>
      </c>
      <c r="E19720" t="s">
        <v>15898</v>
      </c>
      <c r="F19720" t="s">
        <v>15183</v>
      </c>
      <c r="G19720" t="s">
        <v>47093</v>
      </c>
      <c r="H19720" t="s">
        <v>47054</v>
      </c>
      <c r="I19720" t="s">
        <v>47111</v>
      </c>
      <c r="J19720" t="s">
        <v>47112</v>
      </c>
      <c r="K19720" t="s">
        <v>47113</v>
      </c>
      <c r="L19720">
        <v>48.87</v>
      </c>
      <c r="M19720">
        <v>74</v>
      </c>
      <c r="N19720">
        <v>0</v>
      </c>
      <c r="O19720">
        <v>74</v>
      </c>
      <c r="P19720">
        <v>0</v>
      </c>
    </row>
    <row r="19721" spans="1:16" x14ac:dyDescent="0.25">
      <c r="A19721" t="s">
        <v>42396</v>
      </c>
      <c r="B19721" t="s">
        <v>16053</v>
      </c>
      <c r="C19721" t="s">
        <v>14349</v>
      </c>
      <c r="D19721" t="s">
        <v>15880</v>
      </c>
      <c r="E19721" t="s">
        <v>15881</v>
      </c>
      <c r="F19721" t="s">
        <v>15183</v>
      </c>
      <c r="G19721" t="s">
        <v>47093</v>
      </c>
      <c r="H19721" t="s">
        <v>47054</v>
      </c>
      <c r="I19721" t="s">
        <v>47111</v>
      </c>
      <c r="J19721" t="s">
        <v>47112</v>
      </c>
      <c r="K19721" t="s">
        <v>47113</v>
      </c>
      <c r="L19721">
        <v>41.68</v>
      </c>
      <c r="M19721">
        <v>74</v>
      </c>
      <c r="N19721">
        <v>0</v>
      </c>
      <c r="O19721">
        <v>74</v>
      </c>
      <c r="P19721">
        <v>0</v>
      </c>
    </row>
    <row r="19722" spans="1:16" x14ac:dyDescent="0.25">
      <c r="A19722" t="s">
        <v>42397</v>
      </c>
      <c r="B19722" t="s">
        <v>16054</v>
      </c>
      <c r="C19722" t="s">
        <v>14349</v>
      </c>
      <c r="D19722" t="s">
        <v>15894</v>
      </c>
      <c r="E19722" t="s">
        <v>15895</v>
      </c>
      <c r="F19722" t="s">
        <v>15183</v>
      </c>
      <c r="G19722" t="s">
        <v>47093</v>
      </c>
      <c r="H19722" t="s">
        <v>47054</v>
      </c>
      <c r="I19722" t="s">
        <v>47111</v>
      </c>
      <c r="J19722" t="s">
        <v>47112</v>
      </c>
      <c r="K19722" t="s">
        <v>47113</v>
      </c>
      <c r="L19722">
        <v>38.81</v>
      </c>
      <c r="M19722">
        <v>74</v>
      </c>
      <c r="N19722">
        <v>0</v>
      </c>
      <c r="O19722">
        <v>74</v>
      </c>
      <c r="P19722">
        <v>0</v>
      </c>
    </row>
    <row r="19723" spans="1:16" x14ac:dyDescent="0.25">
      <c r="A19723" t="s">
        <v>42398</v>
      </c>
      <c r="B19723" t="s">
        <v>16055</v>
      </c>
      <c r="C19723" t="s">
        <v>16056</v>
      </c>
      <c r="D19723" t="str">
        <f>"1001"</f>
        <v>1001</v>
      </c>
      <c r="E19723" t="s">
        <v>42</v>
      </c>
      <c r="F19723" t="s">
        <v>15183</v>
      </c>
      <c r="G19723" t="s">
        <v>49029</v>
      </c>
      <c r="H19723" t="s">
        <v>47054</v>
      </c>
      <c r="I19723" t="s">
        <v>47120</v>
      </c>
      <c r="J19723" t="s">
        <v>47121</v>
      </c>
      <c r="K19723" t="s">
        <v>47113</v>
      </c>
      <c r="L19723">
        <v>108.91</v>
      </c>
      <c r="M19723">
        <v>148</v>
      </c>
      <c r="N19723">
        <v>0</v>
      </c>
      <c r="O19723">
        <v>148</v>
      </c>
      <c r="P19723">
        <v>0</v>
      </c>
    </row>
    <row r="19724" spans="1:16" x14ac:dyDescent="0.25">
      <c r="A19724" t="s">
        <v>42399</v>
      </c>
      <c r="B19724" t="s">
        <v>16057</v>
      </c>
      <c r="C19724" t="s">
        <v>16058</v>
      </c>
      <c r="D19724" t="s">
        <v>15897</v>
      </c>
      <c r="E19724" t="s">
        <v>15898</v>
      </c>
      <c r="F19724" t="s">
        <v>15183</v>
      </c>
      <c r="G19724" t="s">
        <v>47098</v>
      </c>
      <c r="H19724" t="s">
        <v>47054</v>
      </c>
      <c r="I19724" t="s">
        <v>47111</v>
      </c>
      <c r="J19724" t="s">
        <v>47112</v>
      </c>
      <c r="K19724" t="s">
        <v>47113</v>
      </c>
      <c r="L19724">
        <v>78.010000000000005</v>
      </c>
      <c r="M19724">
        <v>92</v>
      </c>
      <c r="N19724">
        <v>0</v>
      </c>
      <c r="O19724">
        <v>92</v>
      </c>
      <c r="P19724">
        <v>0</v>
      </c>
    </row>
    <row r="19725" spans="1:16" x14ac:dyDescent="0.25">
      <c r="A19725" t="s">
        <v>42400</v>
      </c>
      <c r="B19725" t="s">
        <v>16059</v>
      </c>
      <c r="C19725" t="s">
        <v>16058</v>
      </c>
      <c r="D19725" t="s">
        <v>15904</v>
      </c>
      <c r="E19725" t="s">
        <v>15905</v>
      </c>
      <c r="F19725" t="s">
        <v>15183</v>
      </c>
      <c r="G19725" t="s">
        <v>47098</v>
      </c>
      <c r="H19725" t="s">
        <v>47054</v>
      </c>
      <c r="I19725" t="s">
        <v>47111</v>
      </c>
      <c r="J19725" t="s">
        <v>47112</v>
      </c>
      <c r="K19725" t="s">
        <v>47113</v>
      </c>
      <c r="L19725">
        <v>65.2</v>
      </c>
      <c r="M19725">
        <v>100</v>
      </c>
      <c r="N19725">
        <v>0</v>
      </c>
      <c r="O19725">
        <v>100</v>
      </c>
      <c r="P19725">
        <v>0</v>
      </c>
    </row>
    <row r="19726" spans="1:16" x14ac:dyDescent="0.25">
      <c r="A19726" t="s">
        <v>42401</v>
      </c>
      <c r="B19726" t="s">
        <v>16060</v>
      </c>
      <c r="C19726" t="s">
        <v>16058</v>
      </c>
      <c r="D19726" t="s">
        <v>16061</v>
      </c>
      <c r="E19726" t="s">
        <v>16062</v>
      </c>
      <c r="F19726" t="s">
        <v>15183</v>
      </c>
      <c r="G19726" t="s">
        <v>47098</v>
      </c>
      <c r="H19726" t="s">
        <v>47054</v>
      </c>
      <c r="I19726" t="s">
        <v>47111</v>
      </c>
      <c r="J19726" t="s">
        <v>47112</v>
      </c>
      <c r="K19726" t="s">
        <v>47113</v>
      </c>
      <c r="L19726">
        <v>36.78</v>
      </c>
      <c r="M19726">
        <v>92</v>
      </c>
      <c r="N19726">
        <v>0</v>
      </c>
      <c r="O19726">
        <v>92</v>
      </c>
      <c r="P19726">
        <v>0</v>
      </c>
    </row>
    <row r="19727" spans="1:16" x14ac:dyDescent="0.25">
      <c r="A19727" t="s">
        <v>42402</v>
      </c>
      <c r="B19727" t="s">
        <v>18737</v>
      </c>
      <c r="C19727" t="s">
        <v>16058</v>
      </c>
      <c r="D19727" t="s">
        <v>18738</v>
      </c>
      <c r="E19727" t="s">
        <v>18739</v>
      </c>
      <c r="F19727" t="s">
        <v>16601</v>
      </c>
      <c r="G19727" t="s">
        <v>47098</v>
      </c>
      <c r="I19727" t="s">
        <v>47116</v>
      </c>
      <c r="J19727" t="s">
        <v>47117</v>
      </c>
      <c r="K19727" t="s">
        <v>47113</v>
      </c>
      <c r="L19727">
        <v>67.92</v>
      </c>
      <c r="M19727">
        <v>92</v>
      </c>
      <c r="N19727">
        <v>0</v>
      </c>
      <c r="O19727">
        <v>92</v>
      </c>
      <c r="P19727">
        <v>0</v>
      </c>
    </row>
    <row r="19728" spans="1:16" x14ac:dyDescent="0.25">
      <c r="A19728" t="s">
        <v>42403</v>
      </c>
      <c r="B19728" t="s">
        <v>21747</v>
      </c>
      <c r="C19728" t="s">
        <v>18762</v>
      </c>
      <c r="D19728" t="s">
        <v>721</v>
      </c>
      <c r="E19728" t="s">
        <v>722</v>
      </c>
      <c r="F19728" t="s">
        <v>16810</v>
      </c>
      <c r="G19728" t="s">
        <v>47099</v>
      </c>
      <c r="H19728" t="s">
        <v>47054</v>
      </c>
      <c r="I19728" t="s">
        <v>47116</v>
      </c>
      <c r="J19728" t="s">
        <v>47117</v>
      </c>
      <c r="K19728" t="s">
        <v>47113</v>
      </c>
      <c r="L19728">
        <v>17.66</v>
      </c>
      <c r="M19728">
        <v>92</v>
      </c>
      <c r="N19728">
        <v>0</v>
      </c>
      <c r="O19728">
        <v>92</v>
      </c>
      <c r="P19728">
        <v>0</v>
      </c>
    </row>
    <row r="19729" spans="1:16" x14ac:dyDescent="0.25">
      <c r="A19729" t="s">
        <v>42404</v>
      </c>
      <c r="B19729" t="s">
        <v>21748</v>
      </c>
      <c r="C19729" t="s">
        <v>18762</v>
      </c>
      <c r="D19729" t="s">
        <v>721</v>
      </c>
      <c r="E19729" t="s">
        <v>722</v>
      </c>
      <c r="F19729" t="s">
        <v>16810</v>
      </c>
      <c r="G19729" t="s">
        <v>47099</v>
      </c>
      <c r="H19729" t="s">
        <v>47054</v>
      </c>
      <c r="I19729" t="s">
        <v>47116</v>
      </c>
      <c r="J19729" t="s">
        <v>47117</v>
      </c>
      <c r="K19729" t="s">
        <v>47113</v>
      </c>
      <c r="L19729">
        <v>20.23</v>
      </c>
      <c r="M19729">
        <v>55</v>
      </c>
      <c r="N19729">
        <v>149</v>
      </c>
      <c r="O19729">
        <v>55</v>
      </c>
      <c r="P19729">
        <v>149</v>
      </c>
    </row>
    <row r="19730" spans="1:16" x14ac:dyDescent="0.25">
      <c r="A19730" t="s">
        <v>42405</v>
      </c>
      <c r="B19730" t="s">
        <v>21748</v>
      </c>
      <c r="C19730" t="s">
        <v>18762</v>
      </c>
      <c r="D19730" t="s">
        <v>14412</v>
      </c>
      <c r="E19730" t="s">
        <v>14411</v>
      </c>
      <c r="F19730" t="s">
        <v>16810</v>
      </c>
      <c r="G19730" t="s">
        <v>47099</v>
      </c>
      <c r="H19730" t="s">
        <v>47054</v>
      </c>
      <c r="I19730" t="s">
        <v>47116</v>
      </c>
      <c r="J19730" t="s">
        <v>47117</v>
      </c>
      <c r="K19730" t="s">
        <v>47113</v>
      </c>
      <c r="L19730">
        <v>24.69</v>
      </c>
      <c r="M19730">
        <v>66</v>
      </c>
      <c r="N19730">
        <v>0</v>
      </c>
      <c r="O19730">
        <v>66</v>
      </c>
      <c r="P19730">
        <v>0</v>
      </c>
    </row>
    <row r="19731" spans="1:16" x14ac:dyDescent="0.25">
      <c r="A19731" t="s">
        <v>42406</v>
      </c>
      <c r="B19731" t="s">
        <v>21749</v>
      </c>
      <c r="C19731" t="s">
        <v>18762</v>
      </c>
      <c r="D19731" t="s">
        <v>21714</v>
      </c>
      <c r="E19731" t="s">
        <v>21715</v>
      </c>
      <c r="F19731" t="s">
        <v>19559</v>
      </c>
      <c r="G19731" t="s">
        <v>47099</v>
      </c>
      <c r="H19731" t="s">
        <v>47054</v>
      </c>
      <c r="I19731" t="s">
        <v>47120</v>
      </c>
      <c r="J19731" t="s">
        <v>47121</v>
      </c>
      <c r="K19731" t="s">
        <v>47113</v>
      </c>
      <c r="L19731">
        <v>28.49</v>
      </c>
      <c r="M19731">
        <v>70</v>
      </c>
      <c r="N19731">
        <v>0</v>
      </c>
      <c r="O19731">
        <v>70</v>
      </c>
      <c r="P19731">
        <v>0</v>
      </c>
    </row>
    <row r="19732" spans="1:16" x14ac:dyDescent="0.25">
      <c r="A19732" t="s">
        <v>42407</v>
      </c>
      <c r="B19732" t="s">
        <v>42408</v>
      </c>
      <c r="C19732" t="s">
        <v>18762</v>
      </c>
      <c r="D19732" t="s">
        <v>21874</v>
      </c>
      <c r="E19732" t="s">
        <v>21875</v>
      </c>
      <c r="F19732" t="s">
        <v>24617</v>
      </c>
      <c r="G19732" t="s">
        <v>47099</v>
      </c>
      <c r="H19732" t="s">
        <v>47054</v>
      </c>
      <c r="I19732" t="s">
        <v>47116</v>
      </c>
      <c r="J19732" t="s">
        <v>47117</v>
      </c>
      <c r="K19732" t="s">
        <v>47113</v>
      </c>
      <c r="L19732">
        <v>26.87</v>
      </c>
      <c r="M19732">
        <v>70</v>
      </c>
      <c r="N19732">
        <v>189</v>
      </c>
      <c r="O19732">
        <v>70</v>
      </c>
      <c r="P19732">
        <v>189</v>
      </c>
    </row>
    <row r="19733" spans="1:16" x14ac:dyDescent="0.25">
      <c r="A19733" t="s">
        <v>42409</v>
      </c>
      <c r="B19733" t="s">
        <v>16063</v>
      </c>
      <c r="C19733" t="s">
        <v>18740</v>
      </c>
      <c r="D19733" t="s">
        <v>721</v>
      </c>
      <c r="E19733" t="s">
        <v>18741</v>
      </c>
      <c r="F19733" t="s">
        <v>15183</v>
      </c>
      <c r="G19733" t="s">
        <v>47099</v>
      </c>
      <c r="H19733" t="s">
        <v>47054</v>
      </c>
      <c r="I19733" t="s">
        <v>47120</v>
      </c>
      <c r="J19733" t="s">
        <v>47121</v>
      </c>
      <c r="K19733" t="s">
        <v>47113</v>
      </c>
      <c r="L19733">
        <v>29.18</v>
      </c>
      <c r="M19733">
        <v>59</v>
      </c>
      <c r="N19733">
        <v>0</v>
      </c>
      <c r="O19733">
        <v>59</v>
      </c>
      <c r="P19733">
        <v>0</v>
      </c>
    </row>
    <row r="19734" spans="1:16" x14ac:dyDescent="0.25">
      <c r="A19734" t="s">
        <v>47048</v>
      </c>
      <c r="B19734" t="s">
        <v>16375</v>
      </c>
      <c r="C19734" t="s">
        <v>14394</v>
      </c>
      <c r="D19734" t="s">
        <v>721</v>
      </c>
      <c r="E19734" t="s">
        <v>722</v>
      </c>
      <c r="F19734" t="s">
        <v>15183</v>
      </c>
      <c r="G19734" t="s">
        <v>47099</v>
      </c>
      <c r="H19734" t="s">
        <v>47054</v>
      </c>
      <c r="I19734" t="s">
        <v>47120</v>
      </c>
      <c r="J19734" t="s">
        <v>47121</v>
      </c>
      <c r="K19734" t="s">
        <v>47113</v>
      </c>
      <c r="L19734">
        <v>26.37</v>
      </c>
      <c r="M19734">
        <v>59</v>
      </c>
      <c r="N19734">
        <v>159</v>
      </c>
      <c r="O19734">
        <v>59</v>
      </c>
      <c r="P19734">
        <v>159</v>
      </c>
    </row>
    <row r="19735" spans="1:16" x14ac:dyDescent="0.25">
      <c r="A19735" t="s">
        <v>42410</v>
      </c>
      <c r="B19735" t="s">
        <v>16375</v>
      </c>
      <c r="C19735" t="s">
        <v>14394</v>
      </c>
      <c r="D19735" t="s">
        <v>16376</v>
      </c>
      <c r="E19735" t="s">
        <v>16377</v>
      </c>
      <c r="F19735" t="s">
        <v>15183</v>
      </c>
      <c r="G19735" t="s">
        <v>47099</v>
      </c>
      <c r="H19735" t="s">
        <v>47054</v>
      </c>
      <c r="I19735" t="s">
        <v>47120</v>
      </c>
      <c r="J19735" t="s">
        <v>47121</v>
      </c>
      <c r="K19735" t="s">
        <v>47113</v>
      </c>
      <c r="L19735">
        <v>24.58</v>
      </c>
      <c r="M19735">
        <v>59</v>
      </c>
      <c r="N19735">
        <v>0</v>
      </c>
      <c r="O19735">
        <v>59</v>
      </c>
      <c r="P19735">
        <v>0</v>
      </c>
    </row>
    <row r="19736" spans="1:16" x14ac:dyDescent="0.25">
      <c r="A19736" t="s">
        <v>42411</v>
      </c>
      <c r="B19736" t="s">
        <v>16375</v>
      </c>
      <c r="C19736" t="s">
        <v>14394</v>
      </c>
      <c r="D19736" t="s">
        <v>16378</v>
      </c>
      <c r="E19736" t="s">
        <v>16379</v>
      </c>
      <c r="F19736" t="s">
        <v>15183</v>
      </c>
      <c r="G19736" t="s">
        <v>47099</v>
      </c>
      <c r="H19736" t="s">
        <v>47054</v>
      </c>
      <c r="I19736" t="s">
        <v>47120</v>
      </c>
      <c r="J19736" t="s">
        <v>47121</v>
      </c>
      <c r="K19736" t="s">
        <v>47113</v>
      </c>
      <c r="L19736">
        <v>24.08</v>
      </c>
      <c r="M19736">
        <v>59</v>
      </c>
      <c r="N19736">
        <v>0</v>
      </c>
      <c r="O19736">
        <v>59</v>
      </c>
      <c r="P19736">
        <v>0</v>
      </c>
    </row>
    <row r="19737" spans="1:16" x14ac:dyDescent="0.25">
      <c r="A19737" t="s">
        <v>42412</v>
      </c>
      <c r="B19737" t="s">
        <v>16375</v>
      </c>
      <c r="C19737" t="s">
        <v>14394</v>
      </c>
      <c r="D19737" t="s">
        <v>16380</v>
      </c>
      <c r="E19737" t="s">
        <v>16381</v>
      </c>
      <c r="F19737" t="s">
        <v>15183</v>
      </c>
      <c r="G19737" t="s">
        <v>47099</v>
      </c>
      <c r="H19737" t="s">
        <v>47054</v>
      </c>
      <c r="I19737" t="s">
        <v>47120</v>
      </c>
      <c r="J19737" t="s">
        <v>47121</v>
      </c>
      <c r="K19737" t="s">
        <v>47113</v>
      </c>
      <c r="L19737">
        <v>24.08</v>
      </c>
      <c r="M19737">
        <v>59</v>
      </c>
      <c r="N19737">
        <v>0</v>
      </c>
      <c r="O19737">
        <v>59</v>
      </c>
      <c r="P19737">
        <v>0</v>
      </c>
    </row>
    <row r="19738" spans="1:16" x14ac:dyDescent="0.25">
      <c r="A19738" t="s">
        <v>42413</v>
      </c>
      <c r="B19738" t="s">
        <v>16382</v>
      </c>
      <c r="C19738" t="s">
        <v>14394</v>
      </c>
      <c r="D19738" t="s">
        <v>16383</v>
      </c>
      <c r="E19738" t="s">
        <v>16384</v>
      </c>
      <c r="F19738" t="s">
        <v>15183</v>
      </c>
      <c r="G19738" t="s">
        <v>47099</v>
      </c>
      <c r="H19738" t="s">
        <v>47054</v>
      </c>
      <c r="I19738" t="s">
        <v>47120</v>
      </c>
      <c r="J19738" t="s">
        <v>47121</v>
      </c>
      <c r="K19738" t="s">
        <v>47113</v>
      </c>
      <c r="L19738">
        <v>24.08</v>
      </c>
      <c r="M19738">
        <v>55</v>
      </c>
      <c r="N19738">
        <v>0</v>
      </c>
      <c r="O19738">
        <v>55</v>
      </c>
      <c r="P19738">
        <v>0</v>
      </c>
    </row>
    <row r="19739" spans="1:16" x14ac:dyDescent="0.25">
      <c r="A19739" t="s">
        <v>42414</v>
      </c>
      <c r="B19739" t="s">
        <v>16385</v>
      </c>
      <c r="C19739" t="s">
        <v>14394</v>
      </c>
      <c r="D19739" t="str">
        <f>"4067"</f>
        <v>4067</v>
      </c>
      <c r="E19739" t="s">
        <v>16386</v>
      </c>
      <c r="F19739" t="s">
        <v>15183</v>
      </c>
      <c r="G19739" t="s">
        <v>47099</v>
      </c>
      <c r="H19739" t="s">
        <v>47054</v>
      </c>
      <c r="I19739" t="s">
        <v>47111</v>
      </c>
      <c r="J19739" t="s">
        <v>47112</v>
      </c>
      <c r="K19739" t="s">
        <v>47113</v>
      </c>
      <c r="L19739">
        <v>28.46</v>
      </c>
      <c r="M19739">
        <v>55</v>
      </c>
      <c r="N19739">
        <v>0</v>
      </c>
      <c r="O19739">
        <v>55</v>
      </c>
      <c r="P19739">
        <v>0</v>
      </c>
    </row>
    <row r="19740" spans="1:16" x14ac:dyDescent="0.25">
      <c r="A19740" t="s">
        <v>42415</v>
      </c>
      <c r="B19740" t="s">
        <v>16385</v>
      </c>
      <c r="C19740" t="s">
        <v>14394</v>
      </c>
      <c r="D19740" t="str">
        <f>"5000"</f>
        <v>5000</v>
      </c>
      <c r="E19740" t="s">
        <v>16387</v>
      </c>
      <c r="F19740" t="s">
        <v>15183</v>
      </c>
      <c r="G19740" t="s">
        <v>47099</v>
      </c>
      <c r="H19740" t="s">
        <v>47054</v>
      </c>
      <c r="I19740" t="s">
        <v>47111</v>
      </c>
      <c r="J19740" t="s">
        <v>47112</v>
      </c>
      <c r="K19740" t="s">
        <v>47113</v>
      </c>
      <c r="L19740">
        <v>28.46</v>
      </c>
      <c r="M19740">
        <v>55</v>
      </c>
      <c r="N19740">
        <v>0</v>
      </c>
      <c r="O19740">
        <v>55</v>
      </c>
      <c r="P19740">
        <v>0</v>
      </c>
    </row>
    <row r="19741" spans="1:16" x14ac:dyDescent="0.25">
      <c r="A19741" t="s">
        <v>42416</v>
      </c>
      <c r="B19741" t="s">
        <v>16385</v>
      </c>
      <c r="C19741" t="s">
        <v>14394</v>
      </c>
      <c r="D19741" t="str">
        <f>"7000"</f>
        <v>7000</v>
      </c>
      <c r="E19741" t="s">
        <v>16388</v>
      </c>
      <c r="F19741" t="s">
        <v>15183</v>
      </c>
      <c r="G19741" t="s">
        <v>47099</v>
      </c>
      <c r="H19741" t="s">
        <v>47054</v>
      </c>
      <c r="I19741" t="s">
        <v>47111</v>
      </c>
      <c r="J19741" t="s">
        <v>47112</v>
      </c>
      <c r="K19741" t="s">
        <v>47113</v>
      </c>
      <c r="L19741">
        <v>28.46</v>
      </c>
      <c r="M19741">
        <v>55</v>
      </c>
      <c r="N19741">
        <v>0</v>
      </c>
      <c r="O19741">
        <v>55</v>
      </c>
      <c r="P19741">
        <v>0</v>
      </c>
    </row>
    <row r="19742" spans="1:16" x14ac:dyDescent="0.25">
      <c r="A19742" t="s">
        <v>42417</v>
      </c>
      <c r="B19742" t="s">
        <v>16064</v>
      </c>
      <c r="C19742" t="s">
        <v>14394</v>
      </c>
      <c r="D19742" t="s">
        <v>721</v>
      </c>
      <c r="E19742" t="s">
        <v>722</v>
      </c>
      <c r="F19742" t="s">
        <v>15183</v>
      </c>
      <c r="G19742" t="s">
        <v>47099</v>
      </c>
      <c r="H19742" t="s">
        <v>47054</v>
      </c>
      <c r="I19742" t="s">
        <v>47111</v>
      </c>
      <c r="J19742" t="s">
        <v>47112</v>
      </c>
      <c r="K19742" t="s">
        <v>47113</v>
      </c>
      <c r="L19742">
        <v>29.18</v>
      </c>
      <c r="M19742">
        <v>55</v>
      </c>
      <c r="N19742">
        <v>0</v>
      </c>
      <c r="O19742">
        <v>55</v>
      </c>
      <c r="P19742">
        <v>0</v>
      </c>
    </row>
    <row r="19743" spans="1:16" x14ac:dyDescent="0.25">
      <c r="A19743" t="s">
        <v>42418</v>
      </c>
      <c r="B19743" t="s">
        <v>16389</v>
      </c>
      <c r="C19743" t="s">
        <v>18742</v>
      </c>
      <c r="D19743" t="s">
        <v>721</v>
      </c>
      <c r="E19743" t="s">
        <v>18743</v>
      </c>
      <c r="F19743" t="s">
        <v>15183</v>
      </c>
      <c r="G19743" t="s">
        <v>47099</v>
      </c>
      <c r="H19743" t="s">
        <v>47054</v>
      </c>
      <c r="I19743" t="s">
        <v>47120</v>
      </c>
      <c r="J19743" t="s">
        <v>47121</v>
      </c>
      <c r="K19743" t="s">
        <v>47113</v>
      </c>
      <c r="L19743">
        <v>23.55</v>
      </c>
      <c r="M19743">
        <v>55</v>
      </c>
      <c r="N19743">
        <v>0</v>
      </c>
      <c r="O19743">
        <v>55</v>
      </c>
      <c r="P19743">
        <v>0</v>
      </c>
    </row>
    <row r="19744" spans="1:16" x14ac:dyDescent="0.25">
      <c r="A19744" t="s">
        <v>42419</v>
      </c>
      <c r="B19744" t="s">
        <v>16065</v>
      </c>
      <c r="C19744" t="s">
        <v>14394</v>
      </c>
      <c r="D19744" t="s">
        <v>16066</v>
      </c>
      <c r="E19744" t="s">
        <v>16067</v>
      </c>
      <c r="F19744" t="s">
        <v>15183</v>
      </c>
      <c r="G19744" t="s">
        <v>47099</v>
      </c>
      <c r="H19744" t="s">
        <v>47054</v>
      </c>
      <c r="I19744" t="s">
        <v>47120</v>
      </c>
      <c r="J19744" t="s">
        <v>47121</v>
      </c>
      <c r="K19744" t="s">
        <v>47113</v>
      </c>
      <c r="L19744">
        <v>69.16</v>
      </c>
      <c r="M19744">
        <v>92</v>
      </c>
      <c r="N19744">
        <v>0</v>
      </c>
      <c r="O19744">
        <v>92</v>
      </c>
      <c r="P19744">
        <v>0</v>
      </c>
    </row>
    <row r="19745" spans="1:16" x14ac:dyDescent="0.25">
      <c r="A19745" t="s">
        <v>42420</v>
      </c>
      <c r="B19745" t="s">
        <v>18744</v>
      </c>
      <c r="C19745" t="s">
        <v>14394</v>
      </c>
      <c r="D19745" t="s">
        <v>18745</v>
      </c>
      <c r="E19745" t="s">
        <v>18746</v>
      </c>
      <c r="F19745" t="s">
        <v>3750</v>
      </c>
      <c r="G19745" t="s">
        <v>47099</v>
      </c>
      <c r="H19745" t="s">
        <v>47054</v>
      </c>
      <c r="I19745" t="s">
        <v>47120</v>
      </c>
      <c r="J19745" t="s">
        <v>47121</v>
      </c>
      <c r="K19745" t="s">
        <v>47113</v>
      </c>
      <c r="L19745">
        <v>33.99</v>
      </c>
      <c r="M19745">
        <v>66</v>
      </c>
      <c r="N19745">
        <v>0</v>
      </c>
      <c r="O19745">
        <v>66</v>
      </c>
      <c r="P19745">
        <v>0</v>
      </c>
    </row>
    <row r="19746" spans="1:16" x14ac:dyDescent="0.25">
      <c r="A19746" t="s">
        <v>42421</v>
      </c>
      <c r="B19746" t="s">
        <v>18747</v>
      </c>
      <c r="C19746" t="s">
        <v>14394</v>
      </c>
      <c r="D19746" t="s">
        <v>18748</v>
      </c>
      <c r="E19746" t="s">
        <v>18749</v>
      </c>
      <c r="F19746" t="s">
        <v>3750</v>
      </c>
      <c r="G19746" t="s">
        <v>47099</v>
      </c>
      <c r="H19746" t="s">
        <v>47054</v>
      </c>
      <c r="I19746" t="s">
        <v>47120</v>
      </c>
      <c r="J19746" t="s">
        <v>47121</v>
      </c>
      <c r="K19746" t="s">
        <v>47113</v>
      </c>
      <c r="L19746">
        <v>33.99</v>
      </c>
      <c r="M19746">
        <v>66</v>
      </c>
      <c r="N19746">
        <v>0</v>
      </c>
      <c r="O19746">
        <v>66</v>
      </c>
      <c r="P19746">
        <v>0</v>
      </c>
    </row>
    <row r="19747" spans="1:16" x14ac:dyDescent="0.25">
      <c r="A19747" t="s">
        <v>42422</v>
      </c>
      <c r="B19747" t="s">
        <v>18750</v>
      </c>
      <c r="C19747" t="s">
        <v>14394</v>
      </c>
      <c r="D19747" t="s">
        <v>18751</v>
      </c>
      <c r="E19747" t="s">
        <v>18752</v>
      </c>
      <c r="F19747" t="s">
        <v>15183</v>
      </c>
      <c r="G19747" t="s">
        <v>47099</v>
      </c>
      <c r="H19747" t="s">
        <v>47054</v>
      </c>
      <c r="I19747" t="s">
        <v>47120</v>
      </c>
      <c r="J19747" t="s">
        <v>47121</v>
      </c>
      <c r="K19747" t="s">
        <v>47113</v>
      </c>
      <c r="L19747">
        <v>33.880000000000003</v>
      </c>
      <c r="M19747">
        <v>59</v>
      </c>
      <c r="N19747">
        <v>0</v>
      </c>
      <c r="O19747">
        <v>59</v>
      </c>
      <c r="P19747">
        <v>0</v>
      </c>
    </row>
    <row r="19748" spans="1:16" x14ac:dyDescent="0.25">
      <c r="A19748" t="s">
        <v>42423</v>
      </c>
      <c r="B19748" t="s">
        <v>18753</v>
      </c>
      <c r="C19748" t="s">
        <v>14394</v>
      </c>
      <c r="D19748" t="s">
        <v>18754</v>
      </c>
      <c r="E19748" t="s">
        <v>18755</v>
      </c>
      <c r="F19748" t="s">
        <v>16839</v>
      </c>
      <c r="G19748" t="s">
        <v>47099</v>
      </c>
      <c r="H19748" t="s">
        <v>47054</v>
      </c>
      <c r="I19748" t="s">
        <v>47120</v>
      </c>
      <c r="J19748" t="s">
        <v>47121</v>
      </c>
      <c r="K19748" t="s">
        <v>47113</v>
      </c>
      <c r="L19748">
        <v>34.799999999999997</v>
      </c>
      <c r="M19748">
        <v>70</v>
      </c>
      <c r="N19748">
        <v>0</v>
      </c>
      <c r="O19748">
        <v>70</v>
      </c>
      <c r="P19748">
        <v>0</v>
      </c>
    </row>
    <row r="19749" spans="1:16" x14ac:dyDescent="0.25">
      <c r="A19749" t="s">
        <v>42424</v>
      </c>
      <c r="B19749" t="s">
        <v>18756</v>
      </c>
      <c r="C19749" t="s">
        <v>14394</v>
      </c>
      <c r="D19749" t="s">
        <v>18757</v>
      </c>
      <c r="E19749" t="s">
        <v>18758</v>
      </c>
      <c r="F19749" t="s">
        <v>16601</v>
      </c>
      <c r="G19749" t="s">
        <v>47099</v>
      </c>
      <c r="H19749" t="s">
        <v>47054</v>
      </c>
      <c r="I19749" t="s">
        <v>47120</v>
      </c>
      <c r="J19749" t="s">
        <v>47121</v>
      </c>
      <c r="K19749" t="s">
        <v>47113</v>
      </c>
      <c r="L19749">
        <v>24.11</v>
      </c>
      <c r="M19749">
        <v>51</v>
      </c>
      <c r="N19749">
        <v>139</v>
      </c>
      <c r="O19749">
        <v>51</v>
      </c>
      <c r="P19749">
        <v>139</v>
      </c>
    </row>
    <row r="19750" spans="1:16" x14ac:dyDescent="0.25">
      <c r="A19750" t="s">
        <v>42425</v>
      </c>
      <c r="B19750" t="s">
        <v>18756</v>
      </c>
      <c r="C19750" t="s">
        <v>14394</v>
      </c>
      <c r="D19750" t="s">
        <v>18759</v>
      </c>
      <c r="E19750" t="s">
        <v>18760</v>
      </c>
      <c r="F19750" t="s">
        <v>16601</v>
      </c>
      <c r="G19750" t="s">
        <v>47099</v>
      </c>
      <c r="H19750" t="s">
        <v>47054</v>
      </c>
      <c r="I19750" t="s">
        <v>47120</v>
      </c>
      <c r="J19750" t="s">
        <v>47121</v>
      </c>
      <c r="K19750" t="s">
        <v>47113</v>
      </c>
      <c r="L19750">
        <v>24.01</v>
      </c>
      <c r="M19750">
        <v>51</v>
      </c>
      <c r="N19750">
        <v>139</v>
      </c>
      <c r="O19750">
        <v>51</v>
      </c>
      <c r="P19750">
        <v>139</v>
      </c>
    </row>
    <row r="19751" spans="1:16" x14ac:dyDescent="0.25">
      <c r="A19751" t="s">
        <v>42426</v>
      </c>
      <c r="B19751" t="s">
        <v>18761</v>
      </c>
      <c r="C19751" t="s">
        <v>18762</v>
      </c>
      <c r="D19751" t="s">
        <v>18763</v>
      </c>
      <c r="E19751" t="s">
        <v>18764</v>
      </c>
      <c r="F19751" t="s">
        <v>16601</v>
      </c>
      <c r="G19751" t="s">
        <v>47099</v>
      </c>
      <c r="H19751" t="s">
        <v>47054</v>
      </c>
      <c r="I19751" t="s">
        <v>47120</v>
      </c>
      <c r="J19751" t="s">
        <v>47121</v>
      </c>
      <c r="K19751" t="s">
        <v>47113</v>
      </c>
      <c r="L19751">
        <v>33.49</v>
      </c>
      <c r="M19751">
        <v>63</v>
      </c>
      <c r="N19751">
        <v>0</v>
      </c>
      <c r="O19751">
        <v>63</v>
      </c>
      <c r="P19751">
        <v>0</v>
      </c>
    </row>
    <row r="19752" spans="1:16" x14ac:dyDescent="0.25">
      <c r="A19752" t="s">
        <v>42427</v>
      </c>
      <c r="B19752" t="s">
        <v>18765</v>
      </c>
      <c r="C19752" t="s">
        <v>14394</v>
      </c>
      <c r="D19752" t="str">
        <f>"1001"</f>
        <v>1001</v>
      </c>
      <c r="E19752" t="s">
        <v>18766</v>
      </c>
      <c r="F19752" t="s">
        <v>16601</v>
      </c>
      <c r="G19752" t="s">
        <v>47099</v>
      </c>
      <c r="H19752" t="s">
        <v>47054</v>
      </c>
      <c r="I19752" t="s">
        <v>47120</v>
      </c>
      <c r="J19752" t="s">
        <v>47121</v>
      </c>
      <c r="K19752" t="s">
        <v>47113</v>
      </c>
      <c r="L19752">
        <v>28.85</v>
      </c>
      <c r="M19752">
        <v>66</v>
      </c>
      <c r="N19752">
        <v>0</v>
      </c>
      <c r="O19752">
        <v>66</v>
      </c>
      <c r="P19752">
        <v>0</v>
      </c>
    </row>
    <row r="19753" spans="1:16" x14ac:dyDescent="0.25">
      <c r="A19753" t="s">
        <v>42428</v>
      </c>
      <c r="B19753" t="s">
        <v>18767</v>
      </c>
      <c r="C19753" t="s">
        <v>14394</v>
      </c>
      <c r="D19753" t="s">
        <v>18768</v>
      </c>
      <c r="E19753" t="s">
        <v>18769</v>
      </c>
      <c r="F19753" t="s">
        <v>16601</v>
      </c>
      <c r="G19753" t="s">
        <v>47099</v>
      </c>
      <c r="H19753" t="s">
        <v>47054</v>
      </c>
      <c r="I19753" t="s">
        <v>47120</v>
      </c>
      <c r="J19753" t="s">
        <v>47121</v>
      </c>
      <c r="K19753" t="s">
        <v>47113</v>
      </c>
      <c r="L19753">
        <v>37.01</v>
      </c>
      <c r="M19753">
        <v>66</v>
      </c>
      <c r="N19753">
        <v>0</v>
      </c>
      <c r="O19753">
        <v>66</v>
      </c>
      <c r="P19753">
        <v>0</v>
      </c>
    </row>
    <row r="19754" spans="1:16" x14ac:dyDescent="0.25">
      <c r="A19754" t="s">
        <v>42429</v>
      </c>
      <c r="B19754" t="s">
        <v>18767</v>
      </c>
      <c r="C19754" t="s">
        <v>14394</v>
      </c>
      <c r="D19754" t="s">
        <v>18770</v>
      </c>
      <c r="E19754" t="s">
        <v>18771</v>
      </c>
      <c r="F19754" t="s">
        <v>16601</v>
      </c>
      <c r="G19754" t="s">
        <v>47099</v>
      </c>
      <c r="H19754" t="s">
        <v>47054</v>
      </c>
      <c r="I19754" t="s">
        <v>47120</v>
      </c>
      <c r="J19754" t="s">
        <v>47121</v>
      </c>
      <c r="K19754" t="s">
        <v>47113</v>
      </c>
      <c r="L19754">
        <v>38.33</v>
      </c>
      <c r="M19754">
        <v>66</v>
      </c>
      <c r="N19754">
        <v>0</v>
      </c>
      <c r="O19754">
        <v>66</v>
      </c>
      <c r="P19754">
        <v>0</v>
      </c>
    </row>
    <row r="19755" spans="1:16" x14ac:dyDescent="0.25">
      <c r="A19755" t="s">
        <v>42430</v>
      </c>
      <c r="B19755" t="s">
        <v>21750</v>
      </c>
      <c r="C19755" t="s">
        <v>14394</v>
      </c>
      <c r="D19755" t="s">
        <v>19202</v>
      </c>
      <c r="E19755" t="s">
        <v>19203</v>
      </c>
      <c r="F19755" t="s">
        <v>16839</v>
      </c>
      <c r="G19755" t="s">
        <v>47099</v>
      </c>
      <c r="H19755" t="s">
        <v>47054</v>
      </c>
      <c r="I19755" t="s">
        <v>47120</v>
      </c>
      <c r="J19755" t="s">
        <v>47121</v>
      </c>
      <c r="K19755" t="s">
        <v>47113</v>
      </c>
      <c r="L19755">
        <v>27.37</v>
      </c>
      <c r="M19755">
        <v>85</v>
      </c>
      <c r="N19755">
        <v>0</v>
      </c>
      <c r="O19755">
        <v>85</v>
      </c>
      <c r="P19755">
        <v>0</v>
      </c>
    </row>
    <row r="19756" spans="1:16" x14ac:dyDescent="0.25">
      <c r="A19756" t="s">
        <v>42431</v>
      </c>
      <c r="B19756" t="s">
        <v>21751</v>
      </c>
      <c r="C19756" t="s">
        <v>21752</v>
      </c>
      <c r="D19756" t="s">
        <v>21753</v>
      </c>
      <c r="E19756" t="s">
        <v>21754</v>
      </c>
      <c r="F19756" t="s">
        <v>15183</v>
      </c>
      <c r="G19756" t="s">
        <v>47093</v>
      </c>
      <c r="H19756" t="s">
        <v>47054</v>
      </c>
      <c r="I19756" t="s">
        <v>47111</v>
      </c>
      <c r="J19756" t="s">
        <v>47112</v>
      </c>
      <c r="K19756" t="s">
        <v>47113</v>
      </c>
      <c r="L19756">
        <v>80.28</v>
      </c>
      <c r="M19756">
        <v>229</v>
      </c>
      <c r="N19756">
        <v>0</v>
      </c>
      <c r="O19756">
        <v>229</v>
      </c>
      <c r="P19756">
        <v>0</v>
      </c>
    </row>
    <row r="19757" spans="1:16" x14ac:dyDescent="0.25">
      <c r="A19757" t="s">
        <v>42432</v>
      </c>
      <c r="B19757" t="s">
        <v>18772</v>
      </c>
      <c r="C19757" t="s">
        <v>14394</v>
      </c>
      <c r="D19757" t="s">
        <v>18773</v>
      </c>
      <c r="E19757" t="s">
        <v>18774</v>
      </c>
      <c r="F19757" t="s">
        <v>16839</v>
      </c>
      <c r="G19757" t="s">
        <v>47099</v>
      </c>
      <c r="H19757" t="s">
        <v>47054</v>
      </c>
      <c r="I19757" t="s">
        <v>47120</v>
      </c>
      <c r="J19757" t="s">
        <v>47121</v>
      </c>
      <c r="K19757" t="s">
        <v>47113</v>
      </c>
      <c r="L19757">
        <v>31.16</v>
      </c>
      <c r="M19757">
        <v>70</v>
      </c>
      <c r="N19757">
        <v>0</v>
      </c>
      <c r="O19757">
        <v>70</v>
      </c>
      <c r="P19757">
        <v>0</v>
      </c>
    </row>
    <row r="19758" spans="1:16" x14ac:dyDescent="0.25">
      <c r="A19758" t="s">
        <v>42433</v>
      </c>
      <c r="B19758" t="s">
        <v>18775</v>
      </c>
      <c r="C19758" t="s">
        <v>14394</v>
      </c>
      <c r="D19758" t="s">
        <v>18776</v>
      </c>
      <c r="E19758" t="s">
        <v>18777</v>
      </c>
      <c r="F19758" t="s">
        <v>16839</v>
      </c>
      <c r="G19758" t="s">
        <v>47099</v>
      </c>
      <c r="H19758" t="s">
        <v>47054</v>
      </c>
      <c r="I19758" t="s">
        <v>47120</v>
      </c>
      <c r="J19758" t="s">
        <v>47121</v>
      </c>
      <c r="K19758" t="s">
        <v>47113</v>
      </c>
      <c r="L19758">
        <v>34.799999999999997</v>
      </c>
      <c r="M19758">
        <v>70</v>
      </c>
      <c r="N19758">
        <v>0</v>
      </c>
      <c r="O19758">
        <v>70</v>
      </c>
      <c r="P19758">
        <v>0</v>
      </c>
    </row>
    <row r="19759" spans="1:16" x14ac:dyDescent="0.25">
      <c r="A19759" t="s">
        <v>42434</v>
      </c>
      <c r="B19759" t="s">
        <v>16068</v>
      </c>
      <c r="C19759" t="s">
        <v>16069</v>
      </c>
      <c r="D19759" t="str">
        <f>"1001"</f>
        <v>1001</v>
      </c>
      <c r="E19759" t="s">
        <v>16045</v>
      </c>
      <c r="F19759" t="s">
        <v>15183</v>
      </c>
      <c r="G19759" t="s">
        <v>47094</v>
      </c>
      <c r="H19759" t="s">
        <v>47054</v>
      </c>
      <c r="I19759" t="s">
        <v>47120</v>
      </c>
      <c r="J19759" t="s">
        <v>47121</v>
      </c>
      <c r="K19759" t="s">
        <v>47113</v>
      </c>
      <c r="L19759">
        <v>27.07</v>
      </c>
      <c r="M19759">
        <v>55</v>
      </c>
      <c r="N19759">
        <v>0</v>
      </c>
      <c r="O19759">
        <v>55</v>
      </c>
      <c r="P19759">
        <v>0</v>
      </c>
    </row>
    <row r="19760" spans="1:16" x14ac:dyDescent="0.25">
      <c r="A19760" t="s">
        <v>42435</v>
      </c>
      <c r="B19760" t="s">
        <v>16068</v>
      </c>
      <c r="C19760" t="s">
        <v>16069</v>
      </c>
      <c r="D19760" t="str">
        <f>"1501"</f>
        <v>1501</v>
      </c>
      <c r="E19760" t="s">
        <v>46</v>
      </c>
      <c r="F19760" t="s">
        <v>15183</v>
      </c>
      <c r="G19760" t="s">
        <v>47094</v>
      </c>
      <c r="H19760" t="s">
        <v>47054</v>
      </c>
      <c r="I19760" t="s">
        <v>47120</v>
      </c>
      <c r="J19760" t="s">
        <v>47121</v>
      </c>
      <c r="K19760" t="s">
        <v>47113</v>
      </c>
      <c r="L19760">
        <v>27.07</v>
      </c>
      <c r="M19760">
        <v>55</v>
      </c>
      <c r="N19760">
        <v>0</v>
      </c>
      <c r="O19760">
        <v>55</v>
      </c>
      <c r="P19760">
        <v>0</v>
      </c>
    </row>
    <row r="19761" spans="1:16" x14ac:dyDescent="0.25">
      <c r="A19761" t="s">
        <v>42436</v>
      </c>
      <c r="B19761" t="s">
        <v>16068</v>
      </c>
      <c r="C19761" t="s">
        <v>16069</v>
      </c>
      <c r="D19761" t="str">
        <f>"4826"</f>
        <v>4826</v>
      </c>
      <c r="E19761" t="s">
        <v>16046</v>
      </c>
      <c r="F19761" t="s">
        <v>15183</v>
      </c>
      <c r="G19761" t="s">
        <v>47094</v>
      </c>
      <c r="H19761" t="s">
        <v>47054</v>
      </c>
      <c r="I19761" t="s">
        <v>47120</v>
      </c>
      <c r="J19761" t="s">
        <v>47121</v>
      </c>
      <c r="K19761" t="s">
        <v>47113</v>
      </c>
      <c r="L19761">
        <v>25.66</v>
      </c>
      <c r="M19761">
        <v>55</v>
      </c>
      <c r="N19761">
        <v>0</v>
      </c>
      <c r="O19761">
        <v>55</v>
      </c>
      <c r="P19761">
        <v>0</v>
      </c>
    </row>
    <row r="19762" spans="1:16" x14ac:dyDescent="0.25">
      <c r="A19762" t="s">
        <v>42437</v>
      </c>
      <c r="B19762" t="s">
        <v>16068</v>
      </c>
      <c r="C19762" t="s">
        <v>16069</v>
      </c>
      <c r="D19762" t="str">
        <f>"6059"</f>
        <v>6059</v>
      </c>
      <c r="E19762" t="s">
        <v>16275</v>
      </c>
      <c r="F19762" t="s">
        <v>15183</v>
      </c>
      <c r="G19762" t="s">
        <v>47094</v>
      </c>
      <c r="H19762" t="s">
        <v>47054</v>
      </c>
      <c r="I19762" t="s">
        <v>47120</v>
      </c>
      <c r="J19762" t="s">
        <v>47121</v>
      </c>
      <c r="K19762" t="s">
        <v>47113</v>
      </c>
      <c r="L19762">
        <v>25.66</v>
      </c>
      <c r="M19762">
        <v>55</v>
      </c>
      <c r="N19762">
        <v>0</v>
      </c>
      <c r="O19762">
        <v>55</v>
      </c>
      <c r="P19762">
        <v>0</v>
      </c>
    </row>
    <row r="19763" spans="1:16" x14ac:dyDescent="0.25">
      <c r="A19763" t="s">
        <v>42438</v>
      </c>
      <c r="B19763" t="s">
        <v>18778</v>
      </c>
      <c r="C19763" t="s">
        <v>16069</v>
      </c>
      <c r="D19763" t="str">
        <f>"1001"</f>
        <v>1001</v>
      </c>
      <c r="E19763" t="s">
        <v>42</v>
      </c>
      <c r="F19763" t="s">
        <v>16771</v>
      </c>
      <c r="G19763" t="s">
        <v>47094</v>
      </c>
      <c r="I19763" t="s">
        <v>47120</v>
      </c>
      <c r="J19763" t="s">
        <v>47121</v>
      </c>
      <c r="K19763" t="s">
        <v>47113</v>
      </c>
      <c r="L19763">
        <v>21.52</v>
      </c>
      <c r="M19763">
        <v>55</v>
      </c>
      <c r="N19763">
        <v>0</v>
      </c>
      <c r="O19763">
        <v>55</v>
      </c>
      <c r="P19763">
        <v>0</v>
      </c>
    </row>
    <row r="19764" spans="1:16" x14ac:dyDescent="0.25">
      <c r="A19764" t="s">
        <v>42439</v>
      </c>
      <c r="B19764" t="s">
        <v>18778</v>
      </c>
      <c r="C19764" t="s">
        <v>16069</v>
      </c>
      <c r="D19764" t="str">
        <f>"1501"</f>
        <v>1501</v>
      </c>
      <c r="E19764" t="s">
        <v>46</v>
      </c>
      <c r="F19764" t="s">
        <v>16771</v>
      </c>
      <c r="G19764" t="s">
        <v>47094</v>
      </c>
      <c r="I19764" t="s">
        <v>47120</v>
      </c>
      <c r="J19764" t="s">
        <v>47121</v>
      </c>
      <c r="K19764" t="s">
        <v>47113</v>
      </c>
      <c r="L19764">
        <v>21.52</v>
      </c>
      <c r="M19764">
        <v>55</v>
      </c>
      <c r="N19764">
        <v>0</v>
      </c>
      <c r="O19764">
        <v>55</v>
      </c>
      <c r="P19764">
        <v>0</v>
      </c>
    </row>
    <row r="19765" spans="1:16" x14ac:dyDescent="0.25">
      <c r="A19765" t="s">
        <v>42440</v>
      </c>
      <c r="B19765" t="s">
        <v>18778</v>
      </c>
      <c r="C19765" t="s">
        <v>16069</v>
      </c>
      <c r="D19765" t="str">
        <f>"4000"</f>
        <v>4000</v>
      </c>
      <c r="E19765" t="s">
        <v>18733</v>
      </c>
      <c r="F19765" t="s">
        <v>16771</v>
      </c>
      <c r="G19765" t="s">
        <v>47094</v>
      </c>
      <c r="I19765" t="s">
        <v>47120</v>
      </c>
      <c r="J19765" t="s">
        <v>47121</v>
      </c>
      <c r="K19765" t="s">
        <v>47113</v>
      </c>
      <c r="L19765">
        <v>30.39</v>
      </c>
      <c r="M19765">
        <v>63</v>
      </c>
      <c r="N19765">
        <v>0</v>
      </c>
      <c r="O19765">
        <v>63</v>
      </c>
      <c r="P19765">
        <v>0</v>
      </c>
    </row>
    <row r="19766" spans="1:16" x14ac:dyDescent="0.25">
      <c r="A19766" t="s">
        <v>42441</v>
      </c>
      <c r="B19766" t="s">
        <v>18778</v>
      </c>
      <c r="C19766" t="s">
        <v>16069</v>
      </c>
      <c r="D19766" t="str">
        <f>"6000"</f>
        <v>6000</v>
      </c>
      <c r="E19766" t="s">
        <v>18779</v>
      </c>
      <c r="F19766" t="s">
        <v>16771</v>
      </c>
      <c r="G19766" t="s">
        <v>47094</v>
      </c>
      <c r="I19766" t="s">
        <v>47120</v>
      </c>
      <c r="J19766" t="s">
        <v>47121</v>
      </c>
      <c r="K19766" t="s">
        <v>47113</v>
      </c>
      <c r="L19766">
        <v>30.39</v>
      </c>
      <c r="M19766">
        <v>63</v>
      </c>
      <c r="N19766">
        <v>0</v>
      </c>
      <c r="O19766">
        <v>63</v>
      </c>
      <c r="P19766">
        <v>0</v>
      </c>
    </row>
    <row r="19767" spans="1:16" x14ac:dyDescent="0.25">
      <c r="A19767" t="s">
        <v>42442</v>
      </c>
      <c r="B19767" t="s">
        <v>16070</v>
      </c>
      <c r="C19767" t="s">
        <v>18780</v>
      </c>
      <c r="D19767" t="str">
        <f>"1700"</f>
        <v>1700</v>
      </c>
      <c r="E19767" t="s">
        <v>16038</v>
      </c>
      <c r="F19767" t="s">
        <v>15183</v>
      </c>
      <c r="G19767" t="s">
        <v>47101</v>
      </c>
      <c r="H19767" t="s">
        <v>47054</v>
      </c>
      <c r="I19767" t="s">
        <v>47120</v>
      </c>
      <c r="J19767" t="s">
        <v>47121</v>
      </c>
      <c r="K19767" t="s">
        <v>47113</v>
      </c>
      <c r="L19767">
        <v>27.15</v>
      </c>
      <c r="M19767">
        <v>51</v>
      </c>
      <c r="N19767">
        <v>0</v>
      </c>
      <c r="O19767">
        <v>51</v>
      </c>
      <c r="P19767">
        <v>0</v>
      </c>
    </row>
    <row r="19768" spans="1:16" x14ac:dyDescent="0.25">
      <c r="A19768" t="s">
        <v>42443</v>
      </c>
      <c r="B19768" t="s">
        <v>16071</v>
      </c>
      <c r="C19768" t="s">
        <v>16072</v>
      </c>
      <c r="D19768" t="str">
        <f>"1700"</f>
        <v>1700</v>
      </c>
      <c r="E19768" t="s">
        <v>16073</v>
      </c>
      <c r="F19768" t="s">
        <v>15183</v>
      </c>
      <c r="G19768" t="s">
        <v>47092</v>
      </c>
      <c r="I19768" t="s">
        <v>47569</v>
      </c>
      <c r="J19768" t="s">
        <v>47570</v>
      </c>
      <c r="K19768" t="s">
        <v>47113</v>
      </c>
      <c r="L19768">
        <v>11.47</v>
      </c>
      <c r="M19768">
        <v>29</v>
      </c>
      <c r="N19768">
        <v>0</v>
      </c>
      <c r="O19768">
        <v>29</v>
      </c>
      <c r="P19768">
        <v>0</v>
      </c>
    </row>
    <row r="19769" spans="1:16" x14ac:dyDescent="0.25">
      <c r="A19769" t="s">
        <v>42444</v>
      </c>
      <c r="B19769" t="s">
        <v>16074</v>
      </c>
      <c r="C19769" t="s">
        <v>13795</v>
      </c>
      <c r="D19769" t="s">
        <v>721</v>
      </c>
      <c r="E19769" t="s">
        <v>722</v>
      </c>
      <c r="F19769" t="s">
        <v>15183</v>
      </c>
      <c r="G19769" t="s">
        <v>47101</v>
      </c>
      <c r="H19769" t="s">
        <v>47054</v>
      </c>
      <c r="I19769" t="s">
        <v>47120</v>
      </c>
      <c r="J19769" t="s">
        <v>47121</v>
      </c>
      <c r="K19769" t="s">
        <v>47113</v>
      </c>
      <c r="L19769">
        <v>33.770000000000003</v>
      </c>
      <c r="M19769">
        <v>63</v>
      </c>
      <c r="N19769">
        <v>0</v>
      </c>
      <c r="O19769">
        <v>63</v>
      </c>
      <c r="P19769">
        <v>0</v>
      </c>
    </row>
    <row r="19770" spans="1:16" x14ac:dyDescent="0.25">
      <c r="A19770" t="s">
        <v>42445</v>
      </c>
      <c r="B19770" t="s">
        <v>16074</v>
      </c>
      <c r="C19770" t="s">
        <v>13795</v>
      </c>
      <c r="D19770" t="s">
        <v>16075</v>
      </c>
      <c r="E19770" t="s">
        <v>16076</v>
      </c>
      <c r="F19770" t="s">
        <v>15183</v>
      </c>
      <c r="G19770" t="s">
        <v>47101</v>
      </c>
      <c r="H19770" t="s">
        <v>47054</v>
      </c>
      <c r="I19770" t="s">
        <v>47120</v>
      </c>
      <c r="J19770" t="s">
        <v>47121</v>
      </c>
      <c r="K19770" t="s">
        <v>47113</v>
      </c>
      <c r="L19770">
        <v>33.770000000000003</v>
      </c>
      <c r="M19770">
        <v>63</v>
      </c>
      <c r="N19770">
        <v>0</v>
      </c>
      <c r="O19770">
        <v>63</v>
      </c>
      <c r="P19770">
        <v>0</v>
      </c>
    </row>
    <row r="19771" spans="1:16" x14ac:dyDescent="0.25">
      <c r="A19771" t="s">
        <v>42446</v>
      </c>
      <c r="B19771" t="s">
        <v>42447</v>
      </c>
      <c r="C19771" t="s">
        <v>22062</v>
      </c>
      <c r="D19771" t="str">
        <f>"1001"</f>
        <v>1001</v>
      </c>
      <c r="E19771" t="s">
        <v>21783</v>
      </c>
      <c r="F19771" t="s">
        <v>20496</v>
      </c>
      <c r="G19771" t="s">
        <v>47099</v>
      </c>
      <c r="H19771" t="s">
        <v>47054</v>
      </c>
      <c r="I19771" t="s">
        <v>47120</v>
      </c>
      <c r="J19771" t="s">
        <v>47121</v>
      </c>
      <c r="K19771" t="s">
        <v>47113</v>
      </c>
      <c r="L19771">
        <v>24.1</v>
      </c>
      <c r="M19771">
        <v>66</v>
      </c>
      <c r="N19771">
        <v>0</v>
      </c>
      <c r="O19771">
        <v>66</v>
      </c>
      <c r="P19771">
        <v>0</v>
      </c>
    </row>
    <row r="19772" spans="1:16" x14ac:dyDescent="0.25">
      <c r="A19772" t="s">
        <v>42448</v>
      </c>
      <c r="B19772" t="s">
        <v>42447</v>
      </c>
      <c r="C19772" t="s">
        <v>22062</v>
      </c>
      <c r="D19772" t="str">
        <f>"6000"</f>
        <v>6000</v>
      </c>
      <c r="E19772" t="s">
        <v>42449</v>
      </c>
      <c r="F19772" t="s">
        <v>20496</v>
      </c>
      <c r="G19772" t="s">
        <v>47099</v>
      </c>
      <c r="H19772" t="s">
        <v>47054</v>
      </c>
      <c r="I19772" t="s">
        <v>47120</v>
      </c>
      <c r="J19772" t="s">
        <v>47121</v>
      </c>
      <c r="K19772" t="s">
        <v>47113</v>
      </c>
      <c r="L19772">
        <v>24.1</v>
      </c>
      <c r="M19772">
        <v>66</v>
      </c>
      <c r="N19772">
        <v>0</v>
      </c>
      <c r="O19772">
        <v>66</v>
      </c>
      <c r="P19772">
        <v>0</v>
      </c>
    </row>
    <row r="19773" spans="1:16" x14ac:dyDescent="0.25">
      <c r="A19773" t="s">
        <v>42450</v>
      </c>
      <c r="B19773" t="s">
        <v>42451</v>
      </c>
      <c r="C19773" t="s">
        <v>11323</v>
      </c>
      <c r="D19773" t="str">
        <f>"1700"</f>
        <v>1700</v>
      </c>
      <c r="E19773" t="s">
        <v>42452</v>
      </c>
      <c r="F19773" t="s">
        <v>24622</v>
      </c>
      <c r="G19773" t="s">
        <v>47093</v>
      </c>
      <c r="H19773" t="s">
        <v>47054</v>
      </c>
      <c r="I19773" t="s">
        <v>47120</v>
      </c>
      <c r="J19773" t="s">
        <v>47121</v>
      </c>
      <c r="K19773" t="s">
        <v>47113</v>
      </c>
      <c r="L19773">
        <v>23.56</v>
      </c>
      <c r="M19773">
        <v>74</v>
      </c>
      <c r="N19773">
        <v>199</v>
      </c>
      <c r="O19773">
        <v>74</v>
      </c>
      <c r="P19773">
        <v>199</v>
      </c>
    </row>
    <row r="19774" spans="1:16" x14ac:dyDescent="0.25">
      <c r="A19774" t="s">
        <v>42453</v>
      </c>
      <c r="B19774" t="s">
        <v>16077</v>
      </c>
      <c r="C19774" t="s">
        <v>13854</v>
      </c>
      <c r="D19774" t="str">
        <f>"4000"</f>
        <v>4000</v>
      </c>
      <c r="E19774" t="s">
        <v>16078</v>
      </c>
      <c r="F19774" t="s">
        <v>15183</v>
      </c>
      <c r="G19774" t="s">
        <v>47099</v>
      </c>
      <c r="H19774" t="s">
        <v>47054</v>
      </c>
      <c r="I19774" t="s">
        <v>47120</v>
      </c>
      <c r="J19774" t="s">
        <v>47121</v>
      </c>
      <c r="K19774" t="s">
        <v>47113</v>
      </c>
      <c r="L19774">
        <v>23.42</v>
      </c>
      <c r="M19774">
        <v>66</v>
      </c>
      <c r="N19774">
        <v>0</v>
      </c>
      <c r="O19774">
        <v>66</v>
      </c>
      <c r="P19774">
        <v>0</v>
      </c>
    </row>
    <row r="19775" spans="1:16" x14ac:dyDescent="0.25">
      <c r="A19775" t="s">
        <v>42454</v>
      </c>
      <c r="B19775" t="s">
        <v>16077</v>
      </c>
      <c r="C19775" t="s">
        <v>13854</v>
      </c>
      <c r="D19775" t="str">
        <f>"4100"</f>
        <v>4100</v>
      </c>
      <c r="E19775" t="s">
        <v>16079</v>
      </c>
      <c r="F19775" t="s">
        <v>15183</v>
      </c>
      <c r="G19775" t="s">
        <v>47099</v>
      </c>
      <c r="H19775" t="s">
        <v>47054</v>
      </c>
      <c r="I19775" t="s">
        <v>47120</v>
      </c>
      <c r="J19775" t="s">
        <v>47121</v>
      </c>
      <c r="K19775" t="s">
        <v>47113</v>
      </c>
      <c r="L19775">
        <v>23.42</v>
      </c>
      <c r="M19775">
        <v>66</v>
      </c>
      <c r="N19775">
        <v>0</v>
      </c>
      <c r="O19775">
        <v>66</v>
      </c>
      <c r="P19775">
        <v>0</v>
      </c>
    </row>
    <row r="19776" spans="1:16" x14ac:dyDescent="0.25">
      <c r="A19776" t="s">
        <v>42455</v>
      </c>
      <c r="B19776" t="s">
        <v>16077</v>
      </c>
      <c r="C19776" t="s">
        <v>13854</v>
      </c>
      <c r="D19776" t="str">
        <f>"5000"</f>
        <v>5000</v>
      </c>
      <c r="E19776" t="s">
        <v>16080</v>
      </c>
      <c r="F19776" t="s">
        <v>15183</v>
      </c>
      <c r="G19776" t="s">
        <v>47099</v>
      </c>
      <c r="H19776" t="s">
        <v>47054</v>
      </c>
      <c r="I19776" t="s">
        <v>47120</v>
      </c>
      <c r="J19776" t="s">
        <v>47121</v>
      </c>
      <c r="K19776" t="s">
        <v>47113</v>
      </c>
      <c r="L19776">
        <v>23.42</v>
      </c>
      <c r="M19776">
        <v>66</v>
      </c>
      <c r="N19776">
        <v>0</v>
      </c>
      <c r="O19776">
        <v>66</v>
      </c>
      <c r="P19776">
        <v>0</v>
      </c>
    </row>
    <row r="19777" spans="1:16" x14ac:dyDescent="0.25">
      <c r="A19777" t="s">
        <v>22904</v>
      </c>
      <c r="B19777" t="s">
        <v>21755</v>
      </c>
      <c r="C19777" t="s">
        <v>21756</v>
      </c>
      <c r="D19777" t="str">
        <f>"1001"</f>
        <v>1001</v>
      </c>
      <c r="E19777" t="s">
        <v>21757</v>
      </c>
      <c r="F19777" t="s">
        <v>19878</v>
      </c>
      <c r="G19777" t="s">
        <v>47093</v>
      </c>
      <c r="H19777" t="s">
        <v>47054</v>
      </c>
      <c r="I19777" t="s">
        <v>47120</v>
      </c>
      <c r="J19777" t="s">
        <v>47121</v>
      </c>
      <c r="K19777" t="s">
        <v>47113</v>
      </c>
      <c r="L19777">
        <v>24.25</v>
      </c>
      <c r="M19777">
        <v>70</v>
      </c>
      <c r="N19777">
        <v>0</v>
      </c>
      <c r="O19777">
        <v>70</v>
      </c>
      <c r="P19777">
        <v>0</v>
      </c>
    </row>
    <row r="19778" spans="1:16" x14ac:dyDescent="0.25">
      <c r="A19778" t="s">
        <v>42456</v>
      </c>
      <c r="B19778" t="s">
        <v>16081</v>
      </c>
      <c r="C19778" t="s">
        <v>16082</v>
      </c>
      <c r="D19778" t="str">
        <f>"1001"</f>
        <v>1001</v>
      </c>
      <c r="E19778" t="s">
        <v>7601</v>
      </c>
      <c r="F19778" t="s">
        <v>15183</v>
      </c>
      <c r="G19778" t="s">
        <v>47094</v>
      </c>
      <c r="H19778" t="s">
        <v>47054</v>
      </c>
      <c r="I19778" t="s">
        <v>47569</v>
      </c>
      <c r="J19778" t="s">
        <v>47570</v>
      </c>
      <c r="K19778" t="s">
        <v>47113</v>
      </c>
      <c r="L19778">
        <v>12.92</v>
      </c>
      <c r="M19778">
        <v>44</v>
      </c>
      <c r="N19778">
        <v>0</v>
      </c>
      <c r="O19778">
        <v>44</v>
      </c>
      <c r="P19778">
        <v>0</v>
      </c>
    </row>
    <row r="19779" spans="1:16" x14ac:dyDescent="0.25">
      <c r="A19779" t="s">
        <v>42457</v>
      </c>
      <c r="B19779" t="s">
        <v>16083</v>
      </c>
      <c r="C19779" t="s">
        <v>16084</v>
      </c>
      <c r="D19779" t="str">
        <f>"1700"</f>
        <v>1700</v>
      </c>
      <c r="E19779" t="s">
        <v>16073</v>
      </c>
      <c r="F19779" t="s">
        <v>15183</v>
      </c>
      <c r="G19779" t="s">
        <v>47091</v>
      </c>
      <c r="H19779" t="s">
        <v>47054</v>
      </c>
      <c r="I19779" t="s">
        <v>47569</v>
      </c>
      <c r="J19779" t="s">
        <v>47570</v>
      </c>
      <c r="K19779" t="s">
        <v>47113</v>
      </c>
      <c r="L19779">
        <v>14.69</v>
      </c>
      <c r="M19779">
        <v>48</v>
      </c>
      <c r="N19779">
        <v>0</v>
      </c>
      <c r="O19779">
        <v>48</v>
      </c>
      <c r="P19779">
        <v>0</v>
      </c>
    </row>
    <row r="19780" spans="1:16" x14ac:dyDescent="0.25">
      <c r="A19780" t="s">
        <v>42458</v>
      </c>
      <c r="B19780" t="s">
        <v>16085</v>
      </c>
      <c r="C19780" t="s">
        <v>16086</v>
      </c>
      <c r="D19780" t="str">
        <f>"1001"</f>
        <v>1001</v>
      </c>
      <c r="E19780" t="s">
        <v>7601</v>
      </c>
      <c r="F19780" t="s">
        <v>15183</v>
      </c>
      <c r="G19780" t="s">
        <v>47101</v>
      </c>
      <c r="H19780" t="s">
        <v>47054</v>
      </c>
      <c r="I19780" t="s">
        <v>47120</v>
      </c>
      <c r="J19780" t="s">
        <v>47121</v>
      </c>
      <c r="K19780" t="s">
        <v>47113</v>
      </c>
      <c r="L19780">
        <v>34.590000000000003</v>
      </c>
      <c r="M19780">
        <v>63</v>
      </c>
      <c r="N19780">
        <v>0</v>
      </c>
      <c r="O19780">
        <v>63</v>
      </c>
      <c r="P19780">
        <v>0</v>
      </c>
    </row>
    <row r="19781" spans="1:16" x14ac:dyDescent="0.25">
      <c r="A19781" t="s">
        <v>42459</v>
      </c>
      <c r="B19781" t="s">
        <v>16085</v>
      </c>
      <c r="C19781" t="s">
        <v>16086</v>
      </c>
      <c r="D19781" t="str">
        <f>"1700"</f>
        <v>1700</v>
      </c>
      <c r="E19781" t="s">
        <v>16012</v>
      </c>
      <c r="F19781" t="s">
        <v>15183</v>
      </c>
      <c r="G19781" t="s">
        <v>47101</v>
      </c>
      <c r="H19781" t="s">
        <v>47054</v>
      </c>
      <c r="I19781" t="s">
        <v>47120</v>
      </c>
      <c r="J19781" t="s">
        <v>47121</v>
      </c>
      <c r="K19781" t="s">
        <v>47113</v>
      </c>
      <c r="L19781">
        <v>34.590000000000003</v>
      </c>
      <c r="M19781">
        <v>63</v>
      </c>
      <c r="N19781">
        <v>0</v>
      </c>
      <c r="O19781">
        <v>63</v>
      </c>
      <c r="P19781">
        <v>0</v>
      </c>
    </row>
    <row r="19782" spans="1:16" x14ac:dyDescent="0.25">
      <c r="A19782" t="s">
        <v>42460</v>
      </c>
      <c r="B19782" t="s">
        <v>16087</v>
      </c>
      <c r="C19782" t="s">
        <v>16088</v>
      </c>
      <c r="D19782" t="str">
        <f>"4000"</f>
        <v>4000</v>
      </c>
      <c r="E19782" t="s">
        <v>16089</v>
      </c>
      <c r="F19782" t="s">
        <v>15183</v>
      </c>
      <c r="G19782" t="s">
        <v>47101</v>
      </c>
      <c r="H19782" t="s">
        <v>47054</v>
      </c>
      <c r="I19782" t="s">
        <v>47120</v>
      </c>
      <c r="J19782" t="s">
        <v>47121</v>
      </c>
      <c r="K19782" t="s">
        <v>47113</v>
      </c>
      <c r="L19782">
        <v>22.9</v>
      </c>
      <c r="M19782">
        <v>51</v>
      </c>
      <c r="N19782">
        <v>0</v>
      </c>
      <c r="O19782">
        <v>51</v>
      </c>
      <c r="P19782">
        <v>0</v>
      </c>
    </row>
    <row r="19783" spans="1:16" x14ac:dyDescent="0.25">
      <c r="A19783" t="s">
        <v>42461</v>
      </c>
      <c r="B19783" t="s">
        <v>16090</v>
      </c>
      <c r="C19783" t="s">
        <v>16088</v>
      </c>
      <c r="D19783" t="str">
        <f>"4000"</f>
        <v>4000</v>
      </c>
      <c r="E19783" t="s">
        <v>16091</v>
      </c>
      <c r="F19783" t="s">
        <v>15183</v>
      </c>
      <c r="G19783" t="s">
        <v>47101</v>
      </c>
      <c r="H19783" t="s">
        <v>47054</v>
      </c>
      <c r="I19783" t="s">
        <v>47120</v>
      </c>
      <c r="J19783" t="s">
        <v>47121</v>
      </c>
      <c r="K19783" t="s">
        <v>47113</v>
      </c>
      <c r="L19783">
        <v>13.95</v>
      </c>
      <c r="M19783">
        <v>51</v>
      </c>
      <c r="N19783">
        <v>0</v>
      </c>
      <c r="O19783">
        <v>51</v>
      </c>
      <c r="P19783">
        <v>0</v>
      </c>
    </row>
    <row r="19784" spans="1:16" x14ac:dyDescent="0.25">
      <c r="A19784" t="s">
        <v>42462</v>
      </c>
      <c r="B19784" t="s">
        <v>18781</v>
      </c>
      <c r="C19784" t="s">
        <v>18782</v>
      </c>
      <c r="D19784" t="str">
        <f>"3000"</f>
        <v>3000</v>
      </c>
      <c r="E19784" t="s">
        <v>18463</v>
      </c>
      <c r="F19784" t="s">
        <v>16730</v>
      </c>
      <c r="G19784" t="s">
        <v>47101</v>
      </c>
      <c r="H19784" t="s">
        <v>47054</v>
      </c>
      <c r="I19784" t="s">
        <v>47120</v>
      </c>
      <c r="J19784" t="s">
        <v>47121</v>
      </c>
      <c r="K19784" t="s">
        <v>47113</v>
      </c>
      <c r="L19784">
        <v>50.91</v>
      </c>
      <c r="M19784">
        <v>63</v>
      </c>
      <c r="N19784">
        <v>0</v>
      </c>
      <c r="O19784">
        <v>63</v>
      </c>
      <c r="P19784">
        <v>0</v>
      </c>
    </row>
    <row r="19785" spans="1:16" x14ac:dyDescent="0.25">
      <c r="A19785" t="s">
        <v>42463</v>
      </c>
      <c r="B19785" t="s">
        <v>18781</v>
      </c>
      <c r="C19785" t="s">
        <v>18782</v>
      </c>
      <c r="D19785" t="str">
        <f>"6602"</f>
        <v>6602</v>
      </c>
      <c r="E19785" t="s">
        <v>18465</v>
      </c>
      <c r="F19785" t="s">
        <v>16730</v>
      </c>
      <c r="G19785" t="s">
        <v>47101</v>
      </c>
      <c r="H19785" t="s">
        <v>47054</v>
      </c>
      <c r="I19785" t="s">
        <v>47120</v>
      </c>
      <c r="J19785" t="s">
        <v>47121</v>
      </c>
      <c r="K19785" t="s">
        <v>47113</v>
      </c>
      <c r="L19785">
        <v>50.91</v>
      </c>
      <c r="M19785">
        <v>63</v>
      </c>
      <c r="N19785">
        <v>0</v>
      </c>
      <c r="O19785">
        <v>63</v>
      </c>
      <c r="P19785">
        <v>0</v>
      </c>
    </row>
    <row r="19786" spans="1:16" x14ac:dyDescent="0.25">
      <c r="A19786" t="s">
        <v>42464</v>
      </c>
      <c r="B19786" t="s">
        <v>42465</v>
      </c>
      <c r="C19786" t="s">
        <v>42466</v>
      </c>
      <c r="D19786" t="str">
        <f>"1106"</f>
        <v>1106</v>
      </c>
      <c r="E19786" t="s">
        <v>16045</v>
      </c>
      <c r="F19786" t="s">
        <v>20496</v>
      </c>
      <c r="G19786" t="s">
        <v>47094</v>
      </c>
      <c r="H19786" t="s">
        <v>47054</v>
      </c>
      <c r="I19786" t="s">
        <v>47118</v>
      </c>
      <c r="J19786" t="s">
        <v>47119</v>
      </c>
      <c r="K19786" t="s">
        <v>47113</v>
      </c>
      <c r="L19786">
        <v>27.09</v>
      </c>
      <c r="M19786">
        <v>74</v>
      </c>
      <c r="N19786">
        <v>0</v>
      </c>
      <c r="O19786">
        <v>74</v>
      </c>
      <c r="P19786">
        <v>0</v>
      </c>
    </row>
    <row r="19787" spans="1:16" x14ac:dyDescent="0.25">
      <c r="A19787" t="s">
        <v>42467</v>
      </c>
      <c r="B19787" t="s">
        <v>21758</v>
      </c>
      <c r="C19787" t="s">
        <v>21759</v>
      </c>
      <c r="D19787" t="str">
        <f>"4143"</f>
        <v>4143</v>
      </c>
      <c r="E19787" t="s">
        <v>21760</v>
      </c>
      <c r="F19787" t="s">
        <v>19559</v>
      </c>
      <c r="G19787" t="s">
        <v>47094</v>
      </c>
      <c r="H19787" t="s">
        <v>47054</v>
      </c>
      <c r="I19787" t="s">
        <v>47120</v>
      </c>
      <c r="J19787" t="s">
        <v>47121</v>
      </c>
      <c r="K19787" t="s">
        <v>47113</v>
      </c>
      <c r="L19787">
        <v>31.58</v>
      </c>
      <c r="M19787">
        <v>66</v>
      </c>
      <c r="N19787">
        <v>0</v>
      </c>
      <c r="O19787">
        <v>66</v>
      </c>
      <c r="P19787">
        <v>0</v>
      </c>
    </row>
    <row r="19788" spans="1:16" x14ac:dyDescent="0.25">
      <c r="A19788" t="s">
        <v>22905</v>
      </c>
      <c r="B19788" t="s">
        <v>21761</v>
      </c>
      <c r="C19788" t="s">
        <v>21759</v>
      </c>
      <c r="D19788" t="str">
        <f>"6149"</f>
        <v>6149</v>
      </c>
      <c r="E19788" t="s">
        <v>21630</v>
      </c>
      <c r="F19788" t="s">
        <v>19559</v>
      </c>
      <c r="G19788" t="s">
        <v>47094</v>
      </c>
      <c r="H19788" t="s">
        <v>47054</v>
      </c>
      <c r="I19788" t="s">
        <v>47118</v>
      </c>
      <c r="J19788" t="s">
        <v>47119</v>
      </c>
      <c r="K19788" t="s">
        <v>47113</v>
      </c>
      <c r="L19788">
        <v>24.48</v>
      </c>
      <c r="M19788">
        <v>48</v>
      </c>
      <c r="N19788">
        <v>0</v>
      </c>
      <c r="O19788">
        <v>48</v>
      </c>
      <c r="P19788">
        <v>0</v>
      </c>
    </row>
    <row r="19789" spans="1:16" x14ac:dyDescent="0.25">
      <c r="A19789" t="s">
        <v>42468</v>
      </c>
      <c r="B19789" t="s">
        <v>18783</v>
      </c>
      <c r="C19789" t="s">
        <v>18784</v>
      </c>
      <c r="D19789" t="str">
        <f>"1501"</f>
        <v>1501</v>
      </c>
      <c r="E19789" t="s">
        <v>46</v>
      </c>
      <c r="F19789" t="s">
        <v>16746</v>
      </c>
      <c r="G19789" t="s">
        <v>47094</v>
      </c>
      <c r="H19789" t="s">
        <v>47054</v>
      </c>
      <c r="I19789" t="s">
        <v>47118</v>
      </c>
      <c r="J19789" t="s">
        <v>47119</v>
      </c>
      <c r="K19789" t="s">
        <v>47113</v>
      </c>
      <c r="L19789">
        <v>32.96</v>
      </c>
      <c r="M19789">
        <v>66</v>
      </c>
      <c r="N19789">
        <v>0</v>
      </c>
      <c r="O19789">
        <v>66</v>
      </c>
      <c r="P19789">
        <v>0</v>
      </c>
    </row>
    <row r="19790" spans="1:16" x14ac:dyDescent="0.25">
      <c r="A19790" t="s">
        <v>42469</v>
      </c>
      <c r="B19790" t="s">
        <v>18785</v>
      </c>
      <c r="C19790" t="s">
        <v>18786</v>
      </c>
      <c r="D19790" t="str">
        <f>"4143"</f>
        <v>4143</v>
      </c>
      <c r="E19790" t="s">
        <v>261</v>
      </c>
      <c r="F19790" t="s">
        <v>16746</v>
      </c>
      <c r="G19790" t="s">
        <v>47094</v>
      </c>
      <c r="H19790" t="s">
        <v>47054</v>
      </c>
      <c r="I19790" t="s">
        <v>47120</v>
      </c>
      <c r="J19790" t="s">
        <v>47121</v>
      </c>
      <c r="K19790" t="s">
        <v>47113</v>
      </c>
      <c r="L19790">
        <v>36.64</v>
      </c>
      <c r="M19790">
        <v>74</v>
      </c>
      <c r="N19790">
        <v>0</v>
      </c>
      <c r="O19790">
        <v>74</v>
      </c>
      <c r="P19790">
        <v>0</v>
      </c>
    </row>
    <row r="19791" spans="1:16" x14ac:dyDescent="0.25">
      <c r="A19791" t="s">
        <v>42470</v>
      </c>
      <c r="B19791" t="s">
        <v>16092</v>
      </c>
      <c r="C19791" t="s">
        <v>16093</v>
      </c>
      <c r="D19791" t="str">
        <f>"1001"</f>
        <v>1001</v>
      </c>
      <c r="E19791" t="s">
        <v>16030</v>
      </c>
      <c r="F19791" t="s">
        <v>15183</v>
      </c>
      <c r="G19791" t="s">
        <v>47094</v>
      </c>
      <c r="H19791" t="s">
        <v>47054</v>
      </c>
      <c r="I19791" t="s">
        <v>47569</v>
      </c>
      <c r="J19791" t="s">
        <v>47570</v>
      </c>
      <c r="K19791" t="s">
        <v>47113</v>
      </c>
      <c r="L19791">
        <v>16.84</v>
      </c>
      <c r="M19791">
        <v>32</v>
      </c>
      <c r="N19791">
        <v>0</v>
      </c>
      <c r="O19791">
        <v>32</v>
      </c>
      <c r="P19791">
        <v>0</v>
      </c>
    </row>
    <row r="19792" spans="1:16" x14ac:dyDescent="0.25">
      <c r="A19792" t="s">
        <v>42471</v>
      </c>
      <c r="B19792" t="s">
        <v>16092</v>
      </c>
      <c r="C19792" t="s">
        <v>16093</v>
      </c>
      <c r="D19792" t="str">
        <f>"4000"</f>
        <v>4000</v>
      </c>
      <c r="E19792" t="s">
        <v>18728</v>
      </c>
      <c r="F19792" t="s">
        <v>17473</v>
      </c>
      <c r="G19792" t="s">
        <v>47094</v>
      </c>
      <c r="H19792" t="s">
        <v>47054</v>
      </c>
      <c r="I19792" t="s">
        <v>47569</v>
      </c>
      <c r="J19792" t="s">
        <v>47570</v>
      </c>
      <c r="K19792" t="s">
        <v>47113</v>
      </c>
      <c r="L19792">
        <v>16.84</v>
      </c>
      <c r="M19792">
        <v>32</v>
      </c>
      <c r="N19792">
        <v>0</v>
      </c>
      <c r="O19792">
        <v>32</v>
      </c>
      <c r="P19792">
        <v>0</v>
      </c>
    </row>
    <row r="19793" spans="1:16" x14ac:dyDescent="0.25">
      <c r="A19793" t="s">
        <v>42472</v>
      </c>
      <c r="B19793" t="s">
        <v>18787</v>
      </c>
      <c r="C19793" t="s">
        <v>18788</v>
      </c>
      <c r="D19793" t="str">
        <f>"1501"</f>
        <v>1501</v>
      </c>
      <c r="E19793" t="s">
        <v>46</v>
      </c>
      <c r="F19793" t="s">
        <v>16601</v>
      </c>
      <c r="G19793" t="s">
        <v>47094</v>
      </c>
      <c r="I19793" t="s">
        <v>47111</v>
      </c>
      <c r="J19793" t="s">
        <v>47112</v>
      </c>
      <c r="K19793" t="s">
        <v>47113</v>
      </c>
      <c r="L19793">
        <v>38.270000000000003</v>
      </c>
      <c r="M19793">
        <v>63</v>
      </c>
      <c r="N19793">
        <v>0</v>
      </c>
      <c r="O19793">
        <v>63</v>
      </c>
      <c r="P19793">
        <v>0</v>
      </c>
    </row>
    <row r="19794" spans="1:16" x14ac:dyDescent="0.25">
      <c r="A19794" t="s">
        <v>42473</v>
      </c>
      <c r="B19794" t="s">
        <v>42474</v>
      </c>
      <c r="C19794" t="s">
        <v>21763</v>
      </c>
      <c r="D19794" t="s">
        <v>21714</v>
      </c>
      <c r="E19794" t="s">
        <v>21715</v>
      </c>
      <c r="F19794" t="s">
        <v>20496</v>
      </c>
      <c r="G19794" t="s">
        <v>47099</v>
      </c>
      <c r="H19794" t="s">
        <v>47054</v>
      </c>
      <c r="I19794" t="s">
        <v>47120</v>
      </c>
      <c r="J19794" t="s">
        <v>47121</v>
      </c>
      <c r="K19794" t="s">
        <v>47113</v>
      </c>
      <c r="L19794">
        <v>35.619999999999997</v>
      </c>
      <c r="M19794">
        <v>66</v>
      </c>
      <c r="N19794">
        <v>0</v>
      </c>
      <c r="O19794">
        <v>66</v>
      </c>
      <c r="P19794">
        <v>0</v>
      </c>
    </row>
    <row r="19795" spans="1:16" x14ac:dyDescent="0.25">
      <c r="A19795" t="s">
        <v>42475</v>
      </c>
      <c r="B19795" t="s">
        <v>21762</v>
      </c>
      <c r="C19795" t="s">
        <v>21763</v>
      </c>
      <c r="D19795" t="s">
        <v>21764</v>
      </c>
      <c r="E19795" t="s">
        <v>21765</v>
      </c>
      <c r="F19795" t="s">
        <v>19878</v>
      </c>
      <c r="G19795" t="s">
        <v>47099</v>
      </c>
      <c r="H19795" t="s">
        <v>47054</v>
      </c>
      <c r="I19795" t="s">
        <v>47120</v>
      </c>
      <c r="J19795" t="s">
        <v>47121</v>
      </c>
      <c r="K19795" t="s">
        <v>47113</v>
      </c>
      <c r="L19795">
        <v>26.38</v>
      </c>
      <c r="M19795">
        <v>66</v>
      </c>
      <c r="N19795">
        <v>0</v>
      </c>
      <c r="O19795">
        <v>66</v>
      </c>
      <c r="P19795">
        <v>0</v>
      </c>
    </row>
    <row r="19796" spans="1:16" x14ac:dyDescent="0.25">
      <c r="A19796" t="s">
        <v>42476</v>
      </c>
      <c r="B19796" t="s">
        <v>21766</v>
      </c>
      <c r="C19796" t="s">
        <v>21763</v>
      </c>
      <c r="D19796" t="s">
        <v>21764</v>
      </c>
      <c r="E19796" t="s">
        <v>21765</v>
      </c>
      <c r="F19796" t="s">
        <v>19878</v>
      </c>
      <c r="G19796" t="s">
        <v>47099</v>
      </c>
      <c r="H19796" t="s">
        <v>47054</v>
      </c>
      <c r="I19796" t="s">
        <v>47120</v>
      </c>
      <c r="J19796" t="s">
        <v>47121</v>
      </c>
      <c r="K19796" t="s">
        <v>47113</v>
      </c>
      <c r="L19796">
        <v>37.42</v>
      </c>
      <c r="M19796">
        <v>74</v>
      </c>
      <c r="N19796">
        <v>0</v>
      </c>
      <c r="O19796">
        <v>74</v>
      </c>
      <c r="P19796">
        <v>0</v>
      </c>
    </row>
    <row r="19797" spans="1:16" x14ac:dyDescent="0.25">
      <c r="A19797" t="s">
        <v>42477</v>
      </c>
      <c r="B19797" t="s">
        <v>16094</v>
      </c>
      <c r="C19797" t="s">
        <v>16095</v>
      </c>
      <c r="D19797" t="str">
        <f>"1001"</f>
        <v>1001</v>
      </c>
      <c r="E19797" t="s">
        <v>7601</v>
      </c>
      <c r="F19797" t="s">
        <v>15183</v>
      </c>
      <c r="G19797" t="s">
        <v>47094</v>
      </c>
      <c r="H19797" t="s">
        <v>47054</v>
      </c>
      <c r="I19797" t="s">
        <v>47569</v>
      </c>
      <c r="J19797" t="s">
        <v>47570</v>
      </c>
      <c r="K19797" t="s">
        <v>47113</v>
      </c>
      <c r="L19797">
        <v>21.56</v>
      </c>
      <c r="M19797">
        <v>48</v>
      </c>
      <c r="N19797">
        <v>0</v>
      </c>
      <c r="O19797">
        <v>48</v>
      </c>
      <c r="P19797">
        <v>0</v>
      </c>
    </row>
    <row r="19798" spans="1:16" x14ac:dyDescent="0.25">
      <c r="A19798" t="s">
        <v>42478</v>
      </c>
      <c r="B19798" t="s">
        <v>16094</v>
      </c>
      <c r="C19798" t="s">
        <v>16095</v>
      </c>
      <c r="D19798" t="str">
        <f>"4000"</f>
        <v>4000</v>
      </c>
      <c r="E19798" t="s">
        <v>16046</v>
      </c>
      <c r="F19798" t="s">
        <v>15183</v>
      </c>
      <c r="G19798" t="s">
        <v>47094</v>
      </c>
      <c r="H19798" t="s">
        <v>47054</v>
      </c>
      <c r="I19798" t="s">
        <v>47569</v>
      </c>
      <c r="J19798" t="s">
        <v>47570</v>
      </c>
      <c r="K19798" t="s">
        <v>47113</v>
      </c>
      <c r="L19798">
        <v>21.56</v>
      </c>
      <c r="M19798">
        <v>48</v>
      </c>
      <c r="N19798">
        <v>0</v>
      </c>
      <c r="O19798">
        <v>48</v>
      </c>
      <c r="P19798">
        <v>0</v>
      </c>
    </row>
    <row r="19799" spans="1:16" x14ac:dyDescent="0.25">
      <c r="A19799" t="s">
        <v>42479</v>
      </c>
      <c r="B19799" t="s">
        <v>16094</v>
      </c>
      <c r="C19799" t="s">
        <v>16095</v>
      </c>
      <c r="D19799" t="str">
        <f>"6000"</f>
        <v>6000</v>
      </c>
      <c r="E19799" t="s">
        <v>15321</v>
      </c>
      <c r="F19799" t="s">
        <v>15183</v>
      </c>
      <c r="G19799" t="s">
        <v>47094</v>
      </c>
      <c r="H19799" t="s">
        <v>47054</v>
      </c>
      <c r="I19799" t="s">
        <v>47569</v>
      </c>
      <c r="J19799" t="s">
        <v>47570</v>
      </c>
      <c r="K19799" t="s">
        <v>47113</v>
      </c>
      <c r="L19799">
        <v>21.56</v>
      </c>
      <c r="M19799">
        <v>48</v>
      </c>
      <c r="N19799">
        <v>0</v>
      </c>
      <c r="O19799">
        <v>48</v>
      </c>
      <c r="P19799">
        <v>0</v>
      </c>
    </row>
    <row r="19800" spans="1:16" x14ac:dyDescent="0.25">
      <c r="A19800" t="s">
        <v>42480</v>
      </c>
      <c r="B19800" t="s">
        <v>16096</v>
      </c>
      <c r="C19800" t="s">
        <v>16097</v>
      </c>
      <c r="D19800" t="str">
        <f>"1001"</f>
        <v>1001</v>
      </c>
      <c r="E19800" t="s">
        <v>15938</v>
      </c>
      <c r="F19800" t="s">
        <v>15183</v>
      </c>
      <c r="G19800" t="s">
        <v>47094</v>
      </c>
      <c r="H19800" t="s">
        <v>47054</v>
      </c>
      <c r="I19800" t="s">
        <v>47118</v>
      </c>
      <c r="J19800" t="s">
        <v>47119</v>
      </c>
      <c r="K19800" t="s">
        <v>47113</v>
      </c>
      <c r="L19800">
        <v>32.090000000000003</v>
      </c>
      <c r="M19800">
        <v>48</v>
      </c>
      <c r="N19800">
        <v>0</v>
      </c>
      <c r="O19800">
        <v>48</v>
      </c>
      <c r="P19800">
        <v>0</v>
      </c>
    </row>
    <row r="19801" spans="1:16" x14ac:dyDescent="0.25">
      <c r="A19801" t="s">
        <v>42481</v>
      </c>
      <c r="B19801" t="s">
        <v>16098</v>
      </c>
      <c r="C19801" t="s">
        <v>16099</v>
      </c>
      <c r="D19801" t="s">
        <v>721</v>
      </c>
      <c r="E19801" t="s">
        <v>722</v>
      </c>
      <c r="F19801" t="s">
        <v>15183</v>
      </c>
      <c r="G19801" t="s">
        <v>47099</v>
      </c>
      <c r="H19801" t="s">
        <v>47054</v>
      </c>
      <c r="I19801" t="s">
        <v>47120</v>
      </c>
      <c r="J19801" t="s">
        <v>47121</v>
      </c>
      <c r="K19801" t="s">
        <v>47113</v>
      </c>
      <c r="L19801">
        <v>29.99</v>
      </c>
      <c r="M19801">
        <v>66</v>
      </c>
      <c r="N19801">
        <v>0</v>
      </c>
      <c r="O19801">
        <v>66</v>
      </c>
      <c r="P19801">
        <v>0</v>
      </c>
    </row>
    <row r="19802" spans="1:16" x14ac:dyDescent="0.25">
      <c r="A19802" t="s">
        <v>42482</v>
      </c>
      <c r="B19802" t="s">
        <v>16390</v>
      </c>
      <c r="C19802" t="s">
        <v>16391</v>
      </c>
      <c r="D19802" t="s">
        <v>16378</v>
      </c>
      <c r="E19802" t="s">
        <v>16379</v>
      </c>
      <c r="F19802" t="s">
        <v>15183</v>
      </c>
      <c r="G19802" t="s">
        <v>47099</v>
      </c>
      <c r="H19802" t="s">
        <v>47054</v>
      </c>
      <c r="I19802" t="s">
        <v>47120</v>
      </c>
      <c r="J19802" t="s">
        <v>47121</v>
      </c>
      <c r="K19802" t="s">
        <v>47113</v>
      </c>
      <c r="L19802">
        <v>23.87</v>
      </c>
      <c r="M19802">
        <v>74</v>
      </c>
      <c r="N19802">
        <v>0</v>
      </c>
      <c r="O19802">
        <v>74</v>
      </c>
      <c r="P19802">
        <v>0</v>
      </c>
    </row>
    <row r="19803" spans="1:16" x14ac:dyDescent="0.25">
      <c r="A19803" t="s">
        <v>42483</v>
      </c>
      <c r="B19803" t="s">
        <v>16392</v>
      </c>
      <c r="C19803" t="s">
        <v>16391</v>
      </c>
      <c r="D19803" t="s">
        <v>16383</v>
      </c>
      <c r="E19803" t="s">
        <v>16384</v>
      </c>
      <c r="F19803" t="s">
        <v>15183</v>
      </c>
      <c r="G19803" t="s">
        <v>47099</v>
      </c>
      <c r="H19803" t="s">
        <v>47054</v>
      </c>
      <c r="I19803" t="s">
        <v>47120</v>
      </c>
      <c r="J19803" t="s">
        <v>47121</v>
      </c>
      <c r="K19803" t="s">
        <v>47113</v>
      </c>
      <c r="L19803">
        <v>24.24</v>
      </c>
      <c r="M19803">
        <v>74</v>
      </c>
      <c r="N19803">
        <v>0</v>
      </c>
      <c r="O19803">
        <v>74</v>
      </c>
      <c r="P19803">
        <v>0</v>
      </c>
    </row>
    <row r="19804" spans="1:16" x14ac:dyDescent="0.25">
      <c r="A19804" t="s">
        <v>42484</v>
      </c>
      <c r="B19804" t="s">
        <v>16100</v>
      </c>
      <c r="C19804" t="s">
        <v>16101</v>
      </c>
      <c r="D19804" t="str">
        <f>"1001"</f>
        <v>1001</v>
      </c>
      <c r="E19804" t="s">
        <v>16102</v>
      </c>
      <c r="F19804" t="s">
        <v>15183</v>
      </c>
      <c r="G19804" t="s">
        <v>47092</v>
      </c>
      <c r="I19804" t="s">
        <v>47120</v>
      </c>
      <c r="J19804" t="s">
        <v>47121</v>
      </c>
      <c r="K19804" t="s">
        <v>47113</v>
      </c>
      <c r="L19804">
        <v>17.079999999999998</v>
      </c>
      <c r="M19804">
        <v>33</v>
      </c>
      <c r="N19804">
        <v>0</v>
      </c>
      <c r="O19804">
        <v>33</v>
      </c>
      <c r="P19804">
        <v>0</v>
      </c>
    </row>
    <row r="19805" spans="1:16" x14ac:dyDescent="0.25">
      <c r="A19805" t="s">
        <v>42485</v>
      </c>
      <c r="B19805" t="s">
        <v>16103</v>
      </c>
      <c r="C19805" t="s">
        <v>16104</v>
      </c>
      <c r="D19805" t="str">
        <f>"6106"</f>
        <v>6106</v>
      </c>
      <c r="E19805" t="s">
        <v>16040</v>
      </c>
      <c r="F19805" t="s">
        <v>3750</v>
      </c>
      <c r="G19805" t="s">
        <v>47092</v>
      </c>
      <c r="H19805" t="s">
        <v>47054</v>
      </c>
      <c r="I19805" t="s">
        <v>47116</v>
      </c>
      <c r="J19805" t="s">
        <v>47117</v>
      </c>
      <c r="K19805" t="s">
        <v>47113</v>
      </c>
      <c r="L19805">
        <v>8.75</v>
      </c>
      <c r="M19805">
        <v>26</v>
      </c>
      <c r="N19805">
        <v>0</v>
      </c>
      <c r="O19805">
        <v>26</v>
      </c>
      <c r="P19805">
        <v>0</v>
      </c>
    </row>
    <row r="19806" spans="1:16" x14ac:dyDescent="0.25">
      <c r="A19806" t="s">
        <v>42486</v>
      </c>
      <c r="B19806" t="s">
        <v>16105</v>
      </c>
      <c r="C19806" t="s">
        <v>16106</v>
      </c>
      <c r="D19806" t="str">
        <f>"4000"</f>
        <v>4000</v>
      </c>
      <c r="E19806" t="s">
        <v>15303</v>
      </c>
      <c r="F19806" t="s">
        <v>15183</v>
      </c>
      <c r="G19806" t="s">
        <v>47092</v>
      </c>
      <c r="H19806" t="s">
        <v>47054</v>
      </c>
      <c r="I19806" t="s">
        <v>47569</v>
      </c>
      <c r="J19806" t="s">
        <v>47570</v>
      </c>
      <c r="K19806" t="s">
        <v>47113</v>
      </c>
      <c r="L19806">
        <v>11.16</v>
      </c>
      <c r="M19806">
        <v>26</v>
      </c>
      <c r="N19806">
        <v>0</v>
      </c>
      <c r="O19806">
        <v>26</v>
      </c>
      <c r="P19806">
        <v>0</v>
      </c>
    </row>
    <row r="19807" spans="1:16" x14ac:dyDescent="0.25">
      <c r="A19807" t="s">
        <v>42487</v>
      </c>
      <c r="B19807" t="s">
        <v>16107</v>
      </c>
      <c r="C19807" t="s">
        <v>18789</v>
      </c>
      <c r="D19807" t="str">
        <f>"1200"</f>
        <v>1200</v>
      </c>
      <c r="E19807" t="s">
        <v>54</v>
      </c>
      <c r="F19807" t="s">
        <v>15183</v>
      </c>
      <c r="G19807" t="s">
        <v>47091</v>
      </c>
      <c r="H19807" t="s">
        <v>47054</v>
      </c>
      <c r="I19807" t="s">
        <v>47569</v>
      </c>
      <c r="J19807" t="s">
        <v>47570</v>
      </c>
      <c r="K19807" t="s">
        <v>47113</v>
      </c>
      <c r="L19807">
        <v>7.4</v>
      </c>
      <c r="M19807">
        <v>26</v>
      </c>
      <c r="N19807">
        <v>0</v>
      </c>
      <c r="O19807">
        <v>26</v>
      </c>
      <c r="P19807">
        <v>0</v>
      </c>
    </row>
    <row r="19808" spans="1:16" x14ac:dyDescent="0.25">
      <c r="A19808" t="s">
        <v>42488</v>
      </c>
      <c r="B19808" t="s">
        <v>16107</v>
      </c>
      <c r="C19808" t="s">
        <v>18789</v>
      </c>
      <c r="D19808" t="str">
        <f>"4002"</f>
        <v>4002</v>
      </c>
      <c r="E19808" t="s">
        <v>15303</v>
      </c>
      <c r="F19808" t="s">
        <v>15183</v>
      </c>
      <c r="G19808" t="s">
        <v>47091</v>
      </c>
      <c r="H19808" t="s">
        <v>47054</v>
      </c>
      <c r="I19808" t="s">
        <v>47569</v>
      </c>
      <c r="J19808" t="s">
        <v>47570</v>
      </c>
      <c r="K19808" t="s">
        <v>47113</v>
      </c>
      <c r="L19808">
        <v>7.4</v>
      </c>
      <c r="M19808">
        <v>26</v>
      </c>
      <c r="N19808">
        <v>0</v>
      </c>
      <c r="O19808">
        <v>26</v>
      </c>
      <c r="P19808">
        <v>0</v>
      </c>
    </row>
    <row r="19809" spans="1:16" x14ac:dyDescent="0.25">
      <c r="A19809" t="s">
        <v>42489</v>
      </c>
      <c r="B19809" t="s">
        <v>16107</v>
      </c>
      <c r="C19809" t="s">
        <v>18789</v>
      </c>
      <c r="D19809" t="str">
        <f>"5000"</f>
        <v>5000</v>
      </c>
      <c r="E19809" t="s">
        <v>15366</v>
      </c>
      <c r="F19809" t="s">
        <v>17473</v>
      </c>
      <c r="G19809" t="s">
        <v>47091</v>
      </c>
      <c r="H19809" t="s">
        <v>47054</v>
      </c>
      <c r="I19809" t="s">
        <v>47569</v>
      </c>
      <c r="J19809" t="s">
        <v>47570</v>
      </c>
      <c r="K19809" t="s">
        <v>47113</v>
      </c>
      <c r="L19809">
        <v>7.4</v>
      </c>
      <c r="M19809">
        <v>26</v>
      </c>
      <c r="N19809">
        <v>0</v>
      </c>
      <c r="O19809">
        <v>26</v>
      </c>
      <c r="P19809">
        <v>0</v>
      </c>
    </row>
    <row r="19810" spans="1:16" x14ac:dyDescent="0.25">
      <c r="A19810" t="s">
        <v>42490</v>
      </c>
      <c r="B19810" t="s">
        <v>16108</v>
      </c>
      <c r="C19810" t="s">
        <v>16109</v>
      </c>
      <c r="D19810" t="str">
        <f>"1700"</f>
        <v>1700</v>
      </c>
      <c r="E19810" t="s">
        <v>16012</v>
      </c>
      <c r="F19810" t="s">
        <v>15183</v>
      </c>
      <c r="G19810" t="s">
        <v>47091</v>
      </c>
      <c r="H19810" t="s">
        <v>47054</v>
      </c>
      <c r="I19810" t="s">
        <v>47111</v>
      </c>
      <c r="J19810" t="s">
        <v>47112</v>
      </c>
      <c r="K19810" t="s">
        <v>47113</v>
      </c>
      <c r="L19810">
        <v>6.91</v>
      </c>
      <c r="M19810">
        <v>26</v>
      </c>
      <c r="N19810">
        <v>0</v>
      </c>
      <c r="O19810">
        <v>26</v>
      </c>
      <c r="P19810">
        <v>0</v>
      </c>
    </row>
    <row r="19811" spans="1:16" x14ac:dyDescent="0.25">
      <c r="A19811" t="s">
        <v>42491</v>
      </c>
      <c r="B19811" t="s">
        <v>16110</v>
      </c>
      <c r="C19811" t="s">
        <v>16111</v>
      </c>
      <c r="D19811" t="str">
        <f>"6106"</f>
        <v>6106</v>
      </c>
      <c r="E19811" t="s">
        <v>4631</v>
      </c>
      <c r="F19811" t="s">
        <v>15183</v>
      </c>
      <c r="G19811" t="s">
        <v>47091</v>
      </c>
      <c r="H19811" t="s">
        <v>47054</v>
      </c>
      <c r="I19811" t="s">
        <v>47111</v>
      </c>
      <c r="J19811" t="s">
        <v>47112</v>
      </c>
      <c r="K19811" t="s">
        <v>47113</v>
      </c>
      <c r="L19811">
        <v>7.22</v>
      </c>
      <c r="M19811">
        <v>26</v>
      </c>
      <c r="N19811">
        <v>0</v>
      </c>
      <c r="O19811">
        <v>26</v>
      </c>
      <c r="P19811">
        <v>0</v>
      </c>
    </row>
    <row r="19812" spans="1:16" x14ac:dyDescent="0.25">
      <c r="A19812" t="s">
        <v>42492</v>
      </c>
      <c r="B19812" t="s">
        <v>16112</v>
      </c>
      <c r="C19812" t="s">
        <v>18790</v>
      </c>
      <c r="D19812" t="str">
        <f>"1700"</f>
        <v>1700</v>
      </c>
      <c r="E19812" t="s">
        <v>16012</v>
      </c>
      <c r="F19812" t="s">
        <v>15183</v>
      </c>
      <c r="G19812" t="s">
        <v>47091</v>
      </c>
      <c r="H19812" t="s">
        <v>47054</v>
      </c>
      <c r="I19812" t="s">
        <v>47569</v>
      </c>
      <c r="J19812" t="s">
        <v>47570</v>
      </c>
      <c r="K19812" t="s">
        <v>47113</v>
      </c>
      <c r="L19812">
        <v>9.9600000000000009</v>
      </c>
      <c r="M19812">
        <v>26</v>
      </c>
      <c r="N19812">
        <v>0</v>
      </c>
      <c r="O19812">
        <v>26</v>
      </c>
      <c r="P19812">
        <v>0</v>
      </c>
    </row>
    <row r="19813" spans="1:16" x14ac:dyDescent="0.25">
      <c r="A19813" t="s">
        <v>42493</v>
      </c>
      <c r="B19813" t="s">
        <v>16113</v>
      </c>
      <c r="C19813" t="s">
        <v>16114</v>
      </c>
      <c r="D19813" t="str">
        <f>"1700"</f>
        <v>1700</v>
      </c>
      <c r="E19813" t="s">
        <v>16012</v>
      </c>
      <c r="F19813" t="s">
        <v>3750</v>
      </c>
      <c r="G19813" t="s">
        <v>47091</v>
      </c>
      <c r="H19813" t="s">
        <v>47054</v>
      </c>
      <c r="I19813" t="s">
        <v>47120</v>
      </c>
      <c r="J19813" t="s">
        <v>47121</v>
      </c>
      <c r="K19813" t="s">
        <v>47113</v>
      </c>
      <c r="L19813">
        <v>27.89</v>
      </c>
      <c r="M19813">
        <v>29</v>
      </c>
      <c r="N19813">
        <v>0</v>
      </c>
      <c r="O19813">
        <v>29</v>
      </c>
      <c r="P19813">
        <v>0</v>
      </c>
    </row>
    <row r="19814" spans="1:16" x14ac:dyDescent="0.25">
      <c r="A19814" t="s">
        <v>42494</v>
      </c>
      <c r="B19814" t="s">
        <v>42495</v>
      </c>
      <c r="C19814" t="s">
        <v>18793</v>
      </c>
      <c r="D19814" t="str">
        <f>"6506"</f>
        <v>6506</v>
      </c>
      <c r="E19814" t="s">
        <v>42496</v>
      </c>
      <c r="F19814" t="s">
        <v>20496</v>
      </c>
      <c r="G19814" t="s">
        <v>47101</v>
      </c>
      <c r="H19814" t="s">
        <v>47054</v>
      </c>
      <c r="I19814" t="s">
        <v>47120</v>
      </c>
      <c r="J19814" t="s">
        <v>47121</v>
      </c>
      <c r="K19814" t="s">
        <v>47113</v>
      </c>
      <c r="L19814">
        <v>25.24</v>
      </c>
      <c r="M19814">
        <v>66</v>
      </c>
      <c r="N19814">
        <v>0</v>
      </c>
      <c r="O19814">
        <v>66</v>
      </c>
      <c r="P19814">
        <v>0</v>
      </c>
    </row>
    <row r="19815" spans="1:16" x14ac:dyDescent="0.25">
      <c r="A19815" t="s">
        <v>42497</v>
      </c>
      <c r="B19815" t="s">
        <v>16115</v>
      </c>
      <c r="C19815" t="s">
        <v>18791</v>
      </c>
      <c r="D19815" t="str">
        <f>"6059"</f>
        <v>6059</v>
      </c>
      <c r="E19815" t="s">
        <v>16116</v>
      </c>
      <c r="F19815" t="s">
        <v>15183</v>
      </c>
      <c r="G19815" t="s">
        <v>47101</v>
      </c>
      <c r="H19815" t="s">
        <v>47054</v>
      </c>
      <c r="I19815" t="s">
        <v>47120</v>
      </c>
      <c r="J19815" t="s">
        <v>47121</v>
      </c>
      <c r="K19815" t="s">
        <v>47113</v>
      </c>
      <c r="L19815">
        <v>23.44</v>
      </c>
      <c r="M19815">
        <v>51</v>
      </c>
      <c r="N19815">
        <v>0</v>
      </c>
      <c r="O19815">
        <v>51</v>
      </c>
      <c r="P19815">
        <v>0</v>
      </c>
    </row>
    <row r="19816" spans="1:16" x14ac:dyDescent="0.25">
      <c r="A19816" t="s">
        <v>42498</v>
      </c>
      <c r="B19816" t="s">
        <v>16117</v>
      </c>
      <c r="C19816" t="s">
        <v>18791</v>
      </c>
      <c r="D19816" t="str">
        <f>"1001"</f>
        <v>1001</v>
      </c>
      <c r="E19816" t="s">
        <v>16118</v>
      </c>
      <c r="F19816" t="s">
        <v>15183</v>
      </c>
      <c r="G19816" t="s">
        <v>47101</v>
      </c>
      <c r="H19816" t="s">
        <v>47054</v>
      </c>
      <c r="I19816" t="s">
        <v>47120</v>
      </c>
      <c r="J19816" t="s">
        <v>47121</v>
      </c>
      <c r="K19816" t="s">
        <v>47113</v>
      </c>
      <c r="L19816">
        <v>22.65</v>
      </c>
      <c r="M19816">
        <v>51</v>
      </c>
      <c r="N19816">
        <v>0</v>
      </c>
      <c r="O19816">
        <v>51</v>
      </c>
      <c r="P19816">
        <v>0</v>
      </c>
    </row>
    <row r="19817" spans="1:16" x14ac:dyDescent="0.25">
      <c r="A19817" t="s">
        <v>42499</v>
      </c>
      <c r="B19817" t="s">
        <v>18792</v>
      </c>
      <c r="C19817" t="s">
        <v>18793</v>
      </c>
      <c r="D19817" t="str">
        <f>"7000"</f>
        <v>7000</v>
      </c>
      <c r="E19817" t="s">
        <v>18794</v>
      </c>
      <c r="F19817" t="s">
        <v>16601</v>
      </c>
      <c r="G19817" t="s">
        <v>47101</v>
      </c>
      <c r="H19817" t="s">
        <v>47054</v>
      </c>
      <c r="I19817" t="s">
        <v>47120</v>
      </c>
      <c r="J19817" t="s">
        <v>47121</v>
      </c>
      <c r="K19817" t="s">
        <v>47113</v>
      </c>
      <c r="L19817">
        <v>18.96</v>
      </c>
      <c r="M19817">
        <v>51</v>
      </c>
      <c r="N19817">
        <v>0</v>
      </c>
      <c r="O19817">
        <v>51</v>
      </c>
      <c r="P19817">
        <v>0</v>
      </c>
    </row>
    <row r="19818" spans="1:16" x14ac:dyDescent="0.25">
      <c r="A19818" t="s">
        <v>42500</v>
      </c>
      <c r="B19818" t="s">
        <v>18795</v>
      </c>
      <c r="C19818" t="s">
        <v>18793</v>
      </c>
      <c r="D19818" t="str">
        <f>"6000"</f>
        <v>6000</v>
      </c>
      <c r="E19818" t="s">
        <v>17148</v>
      </c>
      <c r="F19818" t="s">
        <v>16771</v>
      </c>
      <c r="G19818" t="s">
        <v>47101</v>
      </c>
      <c r="I19818" t="s">
        <v>47120</v>
      </c>
      <c r="J19818" t="s">
        <v>47121</v>
      </c>
      <c r="K19818" t="s">
        <v>47113</v>
      </c>
      <c r="L19818">
        <v>28.05</v>
      </c>
      <c r="M19818">
        <v>51</v>
      </c>
      <c r="N19818">
        <v>0</v>
      </c>
      <c r="O19818">
        <v>51</v>
      </c>
      <c r="P19818">
        <v>0</v>
      </c>
    </row>
    <row r="19819" spans="1:16" x14ac:dyDescent="0.25">
      <c r="A19819" t="s">
        <v>42501</v>
      </c>
      <c r="B19819" t="s">
        <v>18796</v>
      </c>
      <c r="C19819" t="s">
        <v>18797</v>
      </c>
      <c r="D19819" t="str">
        <f>"1700"</f>
        <v>1700</v>
      </c>
      <c r="E19819" t="s">
        <v>60</v>
      </c>
      <c r="F19819" t="s">
        <v>16601</v>
      </c>
      <c r="G19819" t="s">
        <v>47101</v>
      </c>
      <c r="I19819" t="s">
        <v>47120</v>
      </c>
      <c r="J19819" t="s">
        <v>47121</v>
      </c>
      <c r="K19819" t="s">
        <v>47113</v>
      </c>
      <c r="L19819">
        <v>26.24</v>
      </c>
      <c r="M19819">
        <v>48</v>
      </c>
      <c r="N19819">
        <v>0</v>
      </c>
      <c r="O19819">
        <v>48</v>
      </c>
      <c r="P19819">
        <v>0</v>
      </c>
    </row>
    <row r="19820" spans="1:16" x14ac:dyDescent="0.25">
      <c r="A19820" t="s">
        <v>42502</v>
      </c>
      <c r="B19820" t="s">
        <v>18798</v>
      </c>
      <c r="C19820" t="s">
        <v>18799</v>
      </c>
      <c r="D19820" t="str">
        <f>"4143"</f>
        <v>4143</v>
      </c>
      <c r="E19820" t="s">
        <v>18800</v>
      </c>
      <c r="F19820" t="s">
        <v>16762</v>
      </c>
      <c r="G19820" t="s">
        <v>47101</v>
      </c>
      <c r="H19820" t="s">
        <v>47054</v>
      </c>
      <c r="I19820" t="s">
        <v>47120</v>
      </c>
      <c r="J19820" t="s">
        <v>47121</v>
      </c>
      <c r="K19820" t="s">
        <v>47113</v>
      </c>
      <c r="L19820">
        <v>32.76</v>
      </c>
      <c r="M19820">
        <v>59</v>
      </c>
      <c r="N19820">
        <v>0</v>
      </c>
      <c r="O19820">
        <v>59</v>
      </c>
      <c r="P19820">
        <v>0</v>
      </c>
    </row>
    <row r="19821" spans="1:16" x14ac:dyDescent="0.25">
      <c r="A19821" t="s">
        <v>42503</v>
      </c>
      <c r="B19821" t="s">
        <v>18801</v>
      </c>
      <c r="C19821" t="s">
        <v>18793</v>
      </c>
      <c r="D19821" t="str">
        <f>"1700"</f>
        <v>1700</v>
      </c>
      <c r="E19821" t="s">
        <v>18802</v>
      </c>
      <c r="F19821" t="s">
        <v>16839</v>
      </c>
      <c r="G19821" t="s">
        <v>47101</v>
      </c>
      <c r="H19821" t="s">
        <v>47054</v>
      </c>
      <c r="I19821" t="s">
        <v>47120</v>
      </c>
      <c r="J19821" t="s">
        <v>47121</v>
      </c>
      <c r="K19821" t="s">
        <v>47113</v>
      </c>
      <c r="L19821">
        <v>29.34</v>
      </c>
      <c r="M19821">
        <v>59</v>
      </c>
      <c r="N19821">
        <v>0</v>
      </c>
      <c r="O19821">
        <v>59</v>
      </c>
      <c r="P19821">
        <v>0</v>
      </c>
    </row>
    <row r="19822" spans="1:16" x14ac:dyDescent="0.25">
      <c r="A19822" t="s">
        <v>42504</v>
      </c>
      <c r="B19822" t="s">
        <v>18801</v>
      </c>
      <c r="C19822" t="s">
        <v>18793</v>
      </c>
      <c r="D19822" t="str">
        <f>"4002"</f>
        <v>4002</v>
      </c>
      <c r="E19822" t="s">
        <v>18803</v>
      </c>
      <c r="F19822" t="s">
        <v>16839</v>
      </c>
      <c r="G19822" t="s">
        <v>47101</v>
      </c>
      <c r="H19822" t="s">
        <v>47054</v>
      </c>
      <c r="I19822" t="s">
        <v>47120</v>
      </c>
      <c r="J19822" t="s">
        <v>47121</v>
      </c>
      <c r="K19822" t="s">
        <v>47113</v>
      </c>
      <c r="L19822">
        <v>29.34</v>
      </c>
      <c r="M19822">
        <v>59</v>
      </c>
      <c r="N19822">
        <v>0</v>
      </c>
      <c r="O19822">
        <v>59</v>
      </c>
      <c r="P19822">
        <v>0</v>
      </c>
    </row>
    <row r="19823" spans="1:16" x14ac:dyDescent="0.25">
      <c r="A19823" t="s">
        <v>42505</v>
      </c>
      <c r="B19823" t="s">
        <v>18804</v>
      </c>
      <c r="C19823" t="s">
        <v>18805</v>
      </c>
      <c r="D19823" t="str">
        <f>"4143"</f>
        <v>4143</v>
      </c>
      <c r="E19823" t="s">
        <v>261</v>
      </c>
      <c r="F19823" t="s">
        <v>16810</v>
      </c>
      <c r="G19823" t="s">
        <v>47101</v>
      </c>
      <c r="H19823" t="s">
        <v>47054</v>
      </c>
      <c r="I19823" t="s">
        <v>47120</v>
      </c>
      <c r="J19823" t="s">
        <v>47121</v>
      </c>
      <c r="K19823" t="s">
        <v>47113</v>
      </c>
      <c r="L19823">
        <v>32.96</v>
      </c>
      <c r="M19823">
        <v>66</v>
      </c>
      <c r="N19823">
        <v>0</v>
      </c>
      <c r="O19823">
        <v>66</v>
      </c>
      <c r="P19823">
        <v>0</v>
      </c>
    </row>
    <row r="19824" spans="1:16" x14ac:dyDescent="0.25">
      <c r="A19824" t="s">
        <v>22906</v>
      </c>
      <c r="B19824" t="s">
        <v>21767</v>
      </c>
      <c r="C19824" t="s">
        <v>18793</v>
      </c>
      <c r="D19824" t="str">
        <f>"4094"</f>
        <v>4094</v>
      </c>
      <c r="E19824" t="s">
        <v>21768</v>
      </c>
      <c r="F19824" t="s">
        <v>19552</v>
      </c>
      <c r="G19824" t="s">
        <v>47101</v>
      </c>
      <c r="H19824" t="s">
        <v>47054</v>
      </c>
      <c r="I19824" t="s">
        <v>47120</v>
      </c>
      <c r="J19824" t="s">
        <v>47121</v>
      </c>
      <c r="K19824" t="s">
        <v>47113</v>
      </c>
      <c r="L19824">
        <v>26.7</v>
      </c>
      <c r="M19824">
        <v>66</v>
      </c>
      <c r="N19824">
        <v>0</v>
      </c>
      <c r="O19824">
        <v>66</v>
      </c>
      <c r="P19824">
        <v>0</v>
      </c>
    </row>
    <row r="19825" spans="1:16" x14ac:dyDescent="0.25">
      <c r="A19825" t="s">
        <v>22907</v>
      </c>
      <c r="B19825" t="s">
        <v>21767</v>
      </c>
      <c r="C19825" t="s">
        <v>18793</v>
      </c>
      <c r="D19825" t="str">
        <f>"6006"</f>
        <v>6006</v>
      </c>
      <c r="E19825" t="s">
        <v>21769</v>
      </c>
      <c r="F19825" t="s">
        <v>19552</v>
      </c>
      <c r="G19825" t="s">
        <v>47101</v>
      </c>
      <c r="H19825" t="s">
        <v>47054</v>
      </c>
      <c r="I19825" t="s">
        <v>47120</v>
      </c>
      <c r="J19825" t="s">
        <v>47121</v>
      </c>
      <c r="K19825" t="s">
        <v>47113</v>
      </c>
      <c r="L19825">
        <v>26.7</v>
      </c>
      <c r="M19825">
        <v>66</v>
      </c>
      <c r="N19825">
        <v>0</v>
      </c>
      <c r="O19825">
        <v>66</v>
      </c>
      <c r="P19825">
        <v>0</v>
      </c>
    </row>
    <row r="19826" spans="1:16" x14ac:dyDescent="0.25">
      <c r="A19826" t="s">
        <v>42506</v>
      </c>
      <c r="B19826" t="s">
        <v>42507</v>
      </c>
      <c r="C19826" t="s">
        <v>18793</v>
      </c>
      <c r="D19826" t="str">
        <f>"4143"</f>
        <v>4143</v>
      </c>
      <c r="E19826" t="s">
        <v>42508</v>
      </c>
      <c r="F19826" t="s">
        <v>21627</v>
      </c>
      <c r="G19826" t="s">
        <v>47101</v>
      </c>
      <c r="H19826" t="s">
        <v>47054</v>
      </c>
      <c r="I19826" t="s">
        <v>47120</v>
      </c>
      <c r="J19826" t="s">
        <v>47121</v>
      </c>
      <c r="K19826" t="s">
        <v>47113</v>
      </c>
      <c r="L19826">
        <v>24.96</v>
      </c>
      <c r="M19826">
        <v>66</v>
      </c>
      <c r="N19826">
        <v>0</v>
      </c>
      <c r="O19826">
        <v>66</v>
      </c>
      <c r="P19826">
        <v>0</v>
      </c>
    </row>
    <row r="19827" spans="1:16" x14ac:dyDescent="0.25">
      <c r="A19827" t="s">
        <v>42509</v>
      </c>
      <c r="B19827" t="s">
        <v>42507</v>
      </c>
      <c r="C19827" t="s">
        <v>18793</v>
      </c>
      <c r="D19827" t="str">
        <f>"6404"</f>
        <v>6404</v>
      </c>
      <c r="E19827" t="s">
        <v>42510</v>
      </c>
      <c r="F19827" t="s">
        <v>21627</v>
      </c>
      <c r="G19827" t="s">
        <v>47101</v>
      </c>
      <c r="H19827" t="s">
        <v>47054</v>
      </c>
      <c r="I19827" t="s">
        <v>47120</v>
      </c>
      <c r="J19827" t="s">
        <v>47121</v>
      </c>
      <c r="K19827" t="s">
        <v>47113</v>
      </c>
      <c r="L19827">
        <v>24.96</v>
      </c>
      <c r="M19827">
        <v>66</v>
      </c>
      <c r="N19827">
        <v>0</v>
      </c>
      <c r="O19827">
        <v>66</v>
      </c>
      <c r="P19827">
        <v>0</v>
      </c>
    </row>
    <row r="19828" spans="1:16" x14ac:dyDescent="0.25">
      <c r="A19828" t="s">
        <v>42511</v>
      </c>
      <c r="B19828" t="s">
        <v>16119</v>
      </c>
      <c r="C19828" t="s">
        <v>16120</v>
      </c>
      <c r="D19828" t="str">
        <f>"1700"</f>
        <v>1700</v>
      </c>
      <c r="E19828" t="s">
        <v>16121</v>
      </c>
      <c r="F19828" t="s">
        <v>15183</v>
      </c>
      <c r="G19828" t="s">
        <v>47091</v>
      </c>
      <c r="H19828" t="s">
        <v>47054</v>
      </c>
      <c r="I19828" t="s">
        <v>47569</v>
      </c>
      <c r="J19828" t="s">
        <v>47570</v>
      </c>
      <c r="K19828" t="s">
        <v>47113</v>
      </c>
      <c r="L19828">
        <v>12.06</v>
      </c>
      <c r="M19828">
        <v>26</v>
      </c>
      <c r="N19828">
        <v>0</v>
      </c>
      <c r="O19828">
        <v>26</v>
      </c>
      <c r="P19828">
        <v>0</v>
      </c>
    </row>
    <row r="19829" spans="1:16" x14ac:dyDescent="0.25">
      <c r="A19829" t="s">
        <v>42512</v>
      </c>
      <c r="B19829" t="s">
        <v>16122</v>
      </c>
      <c r="C19829" t="s">
        <v>16123</v>
      </c>
      <c r="D19829" t="str">
        <f>"1001"</f>
        <v>1001</v>
      </c>
      <c r="E19829" t="s">
        <v>15938</v>
      </c>
      <c r="F19829" t="s">
        <v>15183</v>
      </c>
      <c r="G19829" t="s">
        <v>47091</v>
      </c>
      <c r="H19829" t="s">
        <v>47054</v>
      </c>
      <c r="I19829" t="s">
        <v>47569</v>
      </c>
      <c r="J19829" t="s">
        <v>47570</v>
      </c>
      <c r="K19829" t="s">
        <v>47113</v>
      </c>
      <c r="L19829">
        <v>11.6</v>
      </c>
      <c r="M19829">
        <v>29</v>
      </c>
      <c r="N19829">
        <v>0</v>
      </c>
      <c r="O19829">
        <v>29</v>
      </c>
      <c r="P19829">
        <v>0</v>
      </c>
    </row>
    <row r="19830" spans="1:16" x14ac:dyDescent="0.25">
      <c r="A19830" t="s">
        <v>42513</v>
      </c>
      <c r="B19830" t="s">
        <v>16122</v>
      </c>
      <c r="C19830" t="s">
        <v>16123</v>
      </c>
      <c r="D19830" t="str">
        <f>"1700"</f>
        <v>1700</v>
      </c>
      <c r="E19830" t="s">
        <v>16012</v>
      </c>
      <c r="F19830" t="s">
        <v>15183</v>
      </c>
      <c r="G19830" t="s">
        <v>47091</v>
      </c>
      <c r="H19830" t="s">
        <v>47054</v>
      </c>
      <c r="I19830" t="s">
        <v>47569</v>
      </c>
      <c r="J19830" t="s">
        <v>47570</v>
      </c>
      <c r="K19830" t="s">
        <v>47113</v>
      </c>
      <c r="L19830">
        <v>11.6</v>
      </c>
      <c r="M19830">
        <v>29</v>
      </c>
      <c r="N19830">
        <v>0</v>
      </c>
      <c r="O19830">
        <v>29</v>
      </c>
      <c r="P19830">
        <v>0</v>
      </c>
    </row>
    <row r="19831" spans="1:16" x14ac:dyDescent="0.25">
      <c r="A19831" t="s">
        <v>42514</v>
      </c>
      <c r="B19831" t="s">
        <v>16124</v>
      </c>
      <c r="C19831" t="s">
        <v>16125</v>
      </c>
      <c r="D19831" t="str">
        <f>"1001"</f>
        <v>1001</v>
      </c>
      <c r="E19831" t="s">
        <v>42</v>
      </c>
      <c r="F19831" t="s">
        <v>15183</v>
      </c>
      <c r="G19831" t="s">
        <v>47094</v>
      </c>
      <c r="H19831" t="s">
        <v>47054</v>
      </c>
      <c r="I19831" t="s">
        <v>47111</v>
      </c>
      <c r="J19831" t="s">
        <v>47112</v>
      </c>
      <c r="K19831" t="s">
        <v>47113</v>
      </c>
      <c r="L19831">
        <v>11.87</v>
      </c>
      <c r="M19831">
        <v>44</v>
      </c>
      <c r="N19831">
        <v>0</v>
      </c>
      <c r="O19831">
        <v>44</v>
      </c>
      <c r="P19831">
        <v>0</v>
      </c>
    </row>
    <row r="19832" spans="1:16" x14ac:dyDescent="0.25">
      <c r="A19832" t="s">
        <v>42515</v>
      </c>
      <c r="B19832" t="s">
        <v>16124</v>
      </c>
      <c r="C19832" t="s">
        <v>16125</v>
      </c>
      <c r="D19832" t="str">
        <f>"1501"</f>
        <v>1501</v>
      </c>
      <c r="E19832" t="s">
        <v>46</v>
      </c>
      <c r="F19832" t="s">
        <v>15183</v>
      </c>
      <c r="G19832" t="s">
        <v>47094</v>
      </c>
      <c r="H19832" t="s">
        <v>47054</v>
      </c>
      <c r="I19832" t="s">
        <v>47111</v>
      </c>
      <c r="J19832" t="s">
        <v>47112</v>
      </c>
      <c r="K19832" t="s">
        <v>47113</v>
      </c>
      <c r="L19832">
        <v>11.87</v>
      </c>
      <c r="M19832">
        <v>44</v>
      </c>
      <c r="N19832">
        <v>0</v>
      </c>
      <c r="O19832">
        <v>44</v>
      </c>
      <c r="P19832">
        <v>0</v>
      </c>
    </row>
    <row r="19833" spans="1:16" x14ac:dyDescent="0.25">
      <c r="A19833" t="s">
        <v>42516</v>
      </c>
      <c r="B19833" t="s">
        <v>16126</v>
      </c>
      <c r="C19833" t="s">
        <v>18806</v>
      </c>
      <c r="D19833" t="str">
        <f>"4143"</f>
        <v>4143</v>
      </c>
      <c r="E19833" t="s">
        <v>261</v>
      </c>
      <c r="F19833" t="s">
        <v>15183</v>
      </c>
      <c r="G19833" t="s">
        <v>47092</v>
      </c>
      <c r="H19833" t="s">
        <v>47054</v>
      </c>
      <c r="I19833" t="s">
        <v>47111</v>
      </c>
      <c r="J19833" t="s">
        <v>47112</v>
      </c>
      <c r="K19833" t="s">
        <v>47113</v>
      </c>
      <c r="L19833">
        <v>17.649999999999999</v>
      </c>
      <c r="M19833">
        <v>29</v>
      </c>
      <c r="N19833">
        <v>0</v>
      </c>
      <c r="O19833">
        <v>29</v>
      </c>
      <c r="P19833">
        <v>0</v>
      </c>
    </row>
    <row r="19834" spans="1:16" x14ac:dyDescent="0.25">
      <c r="A19834" t="s">
        <v>42517</v>
      </c>
      <c r="B19834" t="s">
        <v>21770</v>
      </c>
      <c r="C19834" t="s">
        <v>21771</v>
      </c>
      <c r="D19834" t="str">
        <f>"1001"</f>
        <v>1001</v>
      </c>
      <c r="E19834" t="s">
        <v>42</v>
      </c>
      <c r="F19834" t="s">
        <v>19908</v>
      </c>
      <c r="G19834" t="s">
        <v>47094</v>
      </c>
      <c r="H19834" t="s">
        <v>47054</v>
      </c>
      <c r="I19834" t="s">
        <v>47118</v>
      </c>
      <c r="J19834" t="s">
        <v>47119</v>
      </c>
      <c r="K19834" t="s">
        <v>47113</v>
      </c>
      <c r="L19834">
        <v>18.8</v>
      </c>
      <c r="M19834">
        <v>55</v>
      </c>
      <c r="N19834">
        <v>0</v>
      </c>
      <c r="O19834">
        <v>55</v>
      </c>
      <c r="P19834">
        <v>0</v>
      </c>
    </row>
    <row r="19835" spans="1:16" x14ac:dyDescent="0.25">
      <c r="A19835" t="s">
        <v>42518</v>
      </c>
      <c r="B19835" t="s">
        <v>18807</v>
      </c>
      <c r="C19835" t="s">
        <v>18808</v>
      </c>
      <c r="D19835" t="str">
        <f>"1001"</f>
        <v>1001</v>
      </c>
      <c r="E19835" t="s">
        <v>42</v>
      </c>
      <c r="F19835" t="s">
        <v>15183</v>
      </c>
      <c r="G19835" t="s">
        <v>47095</v>
      </c>
      <c r="H19835" t="s">
        <v>47054</v>
      </c>
      <c r="I19835" t="s">
        <v>47111</v>
      </c>
      <c r="J19835" t="s">
        <v>47112</v>
      </c>
      <c r="K19835" t="s">
        <v>47113</v>
      </c>
      <c r="L19835">
        <v>27.4</v>
      </c>
      <c r="M19835">
        <v>44</v>
      </c>
      <c r="N19835">
        <v>0</v>
      </c>
      <c r="O19835">
        <v>44</v>
      </c>
      <c r="P19835">
        <v>0</v>
      </c>
    </row>
    <row r="19836" spans="1:16" x14ac:dyDescent="0.25">
      <c r="A19836" t="s">
        <v>42519</v>
      </c>
      <c r="B19836" t="s">
        <v>18809</v>
      </c>
      <c r="C19836" t="s">
        <v>18810</v>
      </c>
      <c r="D19836" t="str">
        <f>"1001"</f>
        <v>1001</v>
      </c>
      <c r="E19836" t="s">
        <v>42</v>
      </c>
      <c r="F19836" t="s">
        <v>15183</v>
      </c>
      <c r="G19836" t="s">
        <v>47094</v>
      </c>
      <c r="H19836" t="s">
        <v>47054</v>
      </c>
      <c r="I19836" t="s">
        <v>47111</v>
      </c>
      <c r="J19836" t="s">
        <v>47112</v>
      </c>
      <c r="K19836" t="s">
        <v>47113</v>
      </c>
      <c r="L19836">
        <v>17.34</v>
      </c>
      <c r="M19836">
        <v>29</v>
      </c>
      <c r="N19836">
        <v>0</v>
      </c>
      <c r="O19836">
        <v>29</v>
      </c>
      <c r="P19836">
        <v>0</v>
      </c>
    </row>
    <row r="19837" spans="1:16" x14ac:dyDescent="0.25">
      <c r="A19837" t="s">
        <v>42520</v>
      </c>
      <c r="B19837" t="s">
        <v>18811</v>
      </c>
      <c r="C19837" t="s">
        <v>18812</v>
      </c>
      <c r="D19837" t="str">
        <f>"1001"</f>
        <v>1001</v>
      </c>
      <c r="E19837" t="s">
        <v>42</v>
      </c>
      <c r="F19837" t="s">
        <v>15183</v>
      </c>
      <c r="G19837" t="s">
        <v>47094</v>
      </c>
      <c r="H19837" t="s">
        <v>47054</v>
      </c>
      <c r="I19837" t="s">
        <v>47111</v>
      </c>
      <c r="J19837" t="s">
        <v>47112</v>
      </c>
      <c r="K19837" t="s">
        <v>47113</v>
      </c>
      <c r="L19837">
        <v>15.73</v>
      </c>
      <c r="M19837">
        <v>29</v>
      </c>
      <c r="N19837">
        <v>0</v>
      </c>
      <c r="O19837">
        <v>29</v>
      </c>
      <c r="P19837">
        <v>0</v>
      </c>
    </row>
    <row r="19838" spans="1:16" x14ac:dyDescent="0.25">
      <c r="A19838" t="s">
        <v>42521</v>
      </c>
      <c r="B19838" t="s">
        <v>16393</v>
      </c>
      <c r="C19838" t="s">
        <v>16394</v>
      </c>
      <c r="D19838" t="str">
        <f>"1700"</f>
        <v>1700</v>
      </c>
      <c r="E19838" t="s">
        <v>60</v>
      </c>
      <c r="F19838" t="s">
        <v>3750</v>
      </c>
      <c r="G19838" t="s">
        <v>47092</v>
      </c>
      <c r="H19838" t="s">
        <v>47054</v>
      </c>
      <c r="I19838" t="s">
        <v>47569</v>
      </c>
      <c r="J19838" t="s">
        <v>47570</v>
      </c>
      <c r="K19838" t="s">
        <v>47113</v>
      </c>
      <c r="L19838">
        <v>14.02</v>
      </c>
      <c r="M19838">
        <v>29</v>
      </c>
      <c r="N19838">
        <v>0</v>
      </c>
      <c r="O19838">
        <v>29</v>
      </c>
      <c r="P19838">
        <v>0</v>
      </c>
    </row>
    <row r="19839" spans="1:16" x14ac:dyDescent="0.25">
      <c r="A19839" t="s">
        <v>42522</v>
      </c>
      <c r="B19839" t="s">
        <v>16395</v>
      </c>
      <c r="C19839" t="s">
        <v>16396</v>
      </c>
      <c r="D19839" t="str">
        <f>"1700"</f>
        <v>1700</v>
      </c>
      <c r="E19839" t="s">
        <v>60</v>
      </c>
      <c r="F19839" t="s">
        <v>3558</v>
      </c>
      <c r="G19839" t="s">
        <v>47092</v>
      </c>
      <c r="H19839" t="s">
        <v>47054</v>
      </c>
      <c r="I19839" t="s">
        <v>47569</v>
      </c>
      <c r="J19839" t="s">
        <v>47570</v>
      </c>
      <c r="K19839" t="s">
        <v>47113</v>
      </c>
      <c r="L19839">
        <v>13.73</v>
      </c>
      <c r="M19839">
        <v>29</v>
      </c>
      <c r="N19839">
        <v>0</v>
      </c>
      <c r="O19839">
        <v>29</v>
      </c>
      <c r="P19839">
        <v>0</v>
      </c>
    </row>
    <row r="19840" spans="1:16" x14ac:dyDescent="0.25">
      <c r="A19840" t="s">
        <v>42523</v>
      </c>
      <c r="B19840" t="s">
        <v>16397</v>
      </c>
      <c r="C19840" t="s">
        <v>16398</v>
      </c>
      <c r="D19840" t="str">
        <f>"4000"</f>
        <v>4000</v>
      </c>
      <c r="E19840" t="s">
        <v>16399</v>
      </c>
      <c r="F19840" t="s">
        <v>3750</v>
      </c>
      <c r="G19840" t="s">
        <v>47092</v>
      </c>
      <c r="H19840" t="s">
        <v>47054</v>
      </c>
      <c r="I19840" t="s">
        <v>47569</v>
      </c>
      <c r="J19840" t="s">
        <v>47570</v>
      </c>
      <c r="K19840" t="s">
        <v>47113</v>
      </c>
      <c r="L19840">
        <v>12.46</v>
      </c>
      <c r="M19840">
        <v>26</v>
      </c>
      <c r="N19840">
        <v>0</v>
      </c>
      <c r="O19840">
        <v>26</v>
      </c>
      <c r="P19840">
        <v>0</v>
      </c>
    </row>
    <row r="19841" spans="1:16" x14ac:dyDescent="0.25">
      <c r="A19841" t="s">
        <v>42524</v>
      </c>
      <c r="B19841" t="s">
        <v>16397</v>
      </c>
      <c r="C19841" t="s">
        <v>16398</v>
      </c>
      <c r="D19841" t="str">
        <f>"6000"</f>
        <v>6000</v>
      </c>
      <c r="E19841" t="s">
        <v>9456</v>
      </c>
      <c r="F19841" t="s">
        <v>3750</v>
      </c>
      <c r="G19841" t="s">
        <v>47092</v>
      </c>
      <c r="H19841" t="s">
        <v>47054</v>
      </c>
      <c r="I19841" t="s">
        <v>47569</v>
      </c>
      <c r="J19841" t="s">
        <v>47570</v>
      </c>
      <c r="K19841" t="s">
        <v>47113</v>
      </c>
      <c r="L19841">
        <v>12.46</v>
      </c>
      <c r="M19841">
        <v>26</v>
      </c>
      <c r="N19841">
        <v>0</v>
      </c>
      <c r="O19841">
        <v>26</v>
      </c>
      <c r="P19841">
        <v>0</v>
      </c>
    </row>
    <row r="19842" spans="1:16" x14ac:dyDescent="0.25">
      <c r="A19842" t="s">
        <v>42525</v>
      </c>
      <c r="B19842" t="s">
        <v>16127</v>
      </c>
      <c r="C19842" t="s">
        <v>16128</v>
      </c>
      <c r="D19842" t="str">
        <f>"1700"</f>
        <v>1700</v>
      </c>
      <c r="E19842" t="s">
        <v>60</v>
      </c>
      <c r="F19842" t="s">
        <v>15183</v>
      </c>
      <c r="G19842" t="s">
        <v>47092</v>
      </c>
      <c r="H19842" t="s">
        <v>47054</v>
      </c>
      <c r="I19842" t="s">
        <v>47569</v>
      </c>
      <c r="J19842" t="s">
        <v>47570</v>
      </c>
      <c r="K19842" t="s">
        <v>47113</v>
      </c>
      <c r="L19842">
        <v>9.64</v>
      </c>
      <c r="M19842">
        <v>26</v>
      </c>
      <c r="N19842">
        <v>0</v>
      </c>
      <c r="O19842">
        <v>26</v>
      </c>
      <c r="P19842">
        <v>0</v>
      </c>
    </row>
    <row r="19843" spans="1:16" x14ac:dyDescent="0.25">
      <c r="A19843" t="s">
        <v>42526</v>
      </c>
      <c r="B19843" t="s">
        <v>16400</v>
      </c>
      <c r="C19843" t="s">
        <v>18813</v>
      </c>
      <c r="D19843" t="str">
        <f>"1001"</f>
        <v>1001</v>
      </c>
      <c r="E19843" t="s">
        <v>42</v>
      </c>
      <c r="F19843" t="s">
        <v>3558</v>
      </c>
      <c r="G19843" t="s">
        <v>47094</v>
      </c>
      <c r="H19843" t="s">
        <v>47054</v>
      </c>
      <c r="I19843" t="s">
        <v>47111</v>
      </c>
      <c r="J19843" t="s">
        <v>47112</v>
      </c>
      <c r="K19843" t="s">
        <v>47113</v>
      </c>
      <c r="L19843">
        <v>21.15</v>
      </c>
      <c r="M19843">
        <v>40</v>
      </c>
      <c r="N19843">
        <v>0</v>
      </c>
      <c r="O19843">
        <v>40</v>
      </c>
      <c r="P19843">
        <v>0</v>
      </c>
    </row>
    <row r="19844" spans="1:16" x14ac:dyDescent="0.25">
      <c r="A19844" t="s">
        <v>42527</v>
      </c>
      <c r="B19844" t="s">
        <v>16400</v>
      </c>
      <c r="C19844" t="s">
        <v>18813</v>
      </c>
      <c r="D19844" t="str">
        <f>"1700"</f>
        <v>1700</v>
      </c>
      <c r="E19844" t="s">
        <v>60</v>
      </c>
      <c r="F19844" t="s">
        <v>3750</v>
      </c>
      <c r="G19844" t="s">
        <v>47094</v>
      </c>
      <c r="H19844" t="s">
        <v>47054</v>
      </c>
      <c r="I19844" t="s">
        <v>47111</v>
      </c>
      <c r="J19844" t="s">
        <v>47112</v>
      </c>
      <c r="K19844" t="s">
        <v>47113</v>
      </c>
      <c r="L19844">
        <v>21.15</v>
      </c>
      <c r="M19844">
        <v>40</v>
      </c>
      <c r="N19844">
        <v>0</v>
      </c>
      <c r="O19844">
        <v>40</v>
      </c>
      <c r="P19844">
        <v>0</v>
      </c>
    </row>
    <row r="19845" spans="1:16" x14ac:dyDescent="0.25">
      <c r="A19845" t="s">
        <v>42528</v>
      </c>
      <c r="B19845" t="s">
        <v>16401</v>
      </c>
      <c r="C19845" t="s">
        <v>16402</v>
      </c>
      <c r="D19845" t="str">
        <f>"1001"</f>
        <v>1001</v>
      </c>
      <c r="E19845" t="s">
        <v>42</v>
      </c>
      <c r="F19845" t="s">
        <v>3750</v>
      </c>
      <c r="G19845" t="s">
        <v>47095</v>
      </c>
      <c r="H19845" t="s">
        <v>47054</v>
      </c>
      <c r="I19845" t="s">
        <v>47111</v>
      </c>
      <c r="J19845" t="s">
        <v>47112</v>
      </c>
      <c r="K19845" t="s">
        <v>47113</v>
      </c>
      <c r="L19845">
        <v>24.24</v>
      </c>
      <c r="M19845">
        <v>48</v>
      </c>
      <c r="N19845">
        <v>0</v>
      </c>
      <c r="O19845">
        <v>48</v>
      </c>
      <c r="P19845">
        <v>0</v>
      </c>
    </row>
    <row r="19846" spans="1:16" x14ac:dyDescent="0.25">
      <c r="A19846" t="s">
        <v>42529</v>
      </c>
      <c r="B19846" t="s">
        <v>16401</v>
      </c>
      <c r="C19846" t="s">
        <v>16402</v>
      </c>
      <c r="D19846" t="str">
        <f>"1700"</f>
        <v>1700</v>
      </c>
      <c r="E19846" t="s">
        <v>60</v>
      </c>
      <c r="F19846" t="s">
        <v>3750</v>
      </c>
      <c r="G19846" t="s">
        <v>47095</v>
      </c>
      <c r="H19846" t="s">
        <v>47054</v>
      </c>
      <c r="I19846" t="s">
        <v>47111</v>
      </c>
      <c r="J19846" t="s">
        <v>47112</v>
      </c>
      <c r="K19846" t="s">
        <v>47113</v>
      </c>
      <c r="L19846">
        <v>24.24</v>
      </c>
      <c r="M19846">
        <v>48</v>
      </c>
      <c r="N19846">
        <v>0</v>
      </c>
      <c r="O19846">
        <v>48</v>
      </c>
      <c r="P19846">
        <v>0</v>
      </c>
    </row>
    <row r="19847" spans="1:16" x14ac:dyDescent="0.25">
      <c r="A19847" t="s">
        <v>42530</v>
      </c>
      <c r="B19847" t="s">
        <v>16129</v>
      </c>
      <c r="C19847" t="s">
        <v>16130</v>
      </c>
      <c r="D19847" t="str">
        <f>"1200"</f>
        <v>1200</v>
      </c>
      <c r="E19847" t="s">
        <v>54</v>
      </c>
      <c r="F19847" t="s">
        <v>15183</v>
      </c>
      <c r="G19847" t="s">
        <v>47091</v>
      </c>
      <c r="H19847" t="s">
        <v>47054</v>
      </c>
      <c r="I19847" t="s">
        <v>47569</v>
      </c>
      <c r="J19847" t="s">
        <v>47570</v>
      </c>
      <c r="K19847" t="s">
        <v>47113</v>
      </c>
      <c r="L19847">
        <v>7.4</v>
      </c>
      <c r="M19847">
        <v>26</v>
      </c>
      <c r="N19847">
        <v>0</v>
      </c>
      <c r="O19847">
        <v>26</v>
      </c>
      <c r="P19847">
        <v>0</v>
      </c>
    </row>
    <row r="19848" spans="1:16" x14ac:dyDescent="0.25">
      <c r="A19848" t="s">
        <v>42531</v>
      </c>
      <c r="B19848" t="s">
        <v>16129</v>
      </c>
      <c r="C19848" t="s">
        <v>16130</v>
      </c>
      <c r="D19848" t="str">
        <f>"4000"</f>
        <v>4000</v>
      </c>
      <c r="E19848" t="s">
        <v>15303</v>
      </c>
      <c r="F19848" t="s">
        <v>15183</v>
      </c>
      <c r="G19848" t="s">
        <v>47091</v>
      </c>
      <c r="H19848" t="s">
        <v>47054</v>
      </c>
      <c r="I19848" t="s">
        <v>47569</v>
      </c>
      <c r="J19848" t="s">
        <v>47570</v>
      </c>
      <c r="K19848" t="s">
        <v>47113</v>
      </c>
      <c r="L19848">
        <v>7.4</v>
      </c>
      <c r="M19848">
        <v>26</v>
      </c>
      <c r="N19848">
        <v>0</v>
      </c>
      <c r="O19848">
        <v>26</v>
      </c>
      <c r="P19848">
        <v>0</v>
      </c>
    </row>
    <row r="19849" spans="1:16" x14ac:dyDescent="0.25">
      <c r="A19849" t="s">
        <v>42532</v>
      </c>
      <c r="B19849" t="s">
        <v>16129</v>
      </c>
      <c r="C19849" t="s">
        <v>16130</v>
      </c>
      <c r="D19849" t="str">
        <f>"4067"</f>
        <v>4067</v>
      </c>
      <c r="E19849" t="s">
        <v>16131</v>
      </c>
      <c r="F19849" t="s">
        <v>15183</v>
      </c>
      <c r="G19849" t="s">
        <v>47091</v>
      </c>
      <c r="H19849" t="s">
        <v>47054</v>
      </c>
      <c r="I19849" t="s">
        <v>47569</v>
      </c>
      <c r="J19849" t="s">
        <v>47570</v>
      </c>
      <c r="K19849" t="s">
        <v>47113</v>
      </c>
      <c r="L19849">
        <v>7.4</v>
      </c>
      <c r="M19849">
        <v>26</v>
      </c>
      <c r="N19849">
        <v>0</v>
      </c>
      <c r="O19849">
        <v>26</v>
      </c>
      <c r="P19849">
        <v>0</v>
      </c>
    </row>
    <row r="19850" spans="1:16" x14ac:dyDescent="0.25">
      <c r="A19850" t="s">
        <v>42533</v>
      </c>
      <c r="B19850" t="s">
        <v>16129</v>
      </c>
      <c r="C19850" t="s">
        <v>16130</v>
      </c>
      <c r="D19850" t="str">
        <f>"5000"</f>
        <v>5000</v>
      </c>
      <c r="E19850" t="s">
        <v>15366</v>
      </c>
      <c r="F19850" t="s">
        <v>15183</v>
      </c>
      <c r="G19850" t="s">
        <v>47091</v>
      </c>
      <c r="H19850" t="s">
        <v>47054</v>
      </c>
      <c r="I19850" t="s">
        <v>47569</v>
      </c>
      <c r="J19850" t="s">
        <v>47570</v>
      </c>
      <c r="K19850" t="s">
        <v>47113</v>
      </c>
      <c r="L19850">
        <v>7.4</v>
      </c>
      <c r="M19850">
        <v>26</v>
      </c>
      <c r="N19850">
        <v>0</v>
      </c>
      <c r="O19850">
        <v>26</v>
      </c>
      <c r="P19850">
        <v>0</v>
      </c>
    </row>
    <row r="19851" spans="1:16" x14ac:dyDescent="0.25">
      <c r="A19851" t="s">
        <v>42534</v>
      </c>
      <c r="B19851" t="s">
        <v>18814</v>
      </c>
      <c r="C19851" t="s">
        <v>18815</v>
      </c>
      <c r="D19851" t="str">
        <f>"1001"</f>
        <v>1001</v>
      </c>
      <c r="E19851" t="s">
        <v>42</v>
      </c>
      <c r="F19851" t="s">
        <v>16601</v>
      </c>
      <c r="G19851" t="s">
        <v>47097</v>
      </c>
      <c r="H19851" t="s">
        <v>47054</v>
      </c>
      <c r="I19851" t="s">
        <v>47569</v>
      </c>
      <c r="J19851" t="s">
        <v>47570</v>
      </c>
      <c r="K19851" t="s">
        <v>47113</v>
      </c>
      <c r="L19851">
        <v>8.08</v>
      </c>
      <c r="M19851">
        <v>22</v>
      </c>
      <c r="N19851">
        <v>0</v>
      </c>
      <c r="O19851">
        <v>22</v>
      </c>
      <c r="P19851">
        <v>0</v>
      </c>
    </row>
    <row r="19852" spans="1:16" x14ac:dyDescent="0.25">
      <c r="A19852" t="s">
        <v>42535</v>
      </c>
      <c r="B19852" t="s">
        <v>18814</v>
      </c>
      <c r="C19852" t="s">
        <v>18815</v>
      </c>
      <c r="D19852" t="str">
        <f>"1501"</f>
        <v>1501</v>
      </c>
      <c r="E19852" t="s">
        <v>46</v>
      </c>
      <c r="F19852" t="s">
        <v>16601</v>
      </c>
      <c r="G19852" t="s">
        <v>47097</v>
      </c>
      <c r="H19852" t="s">
        <v>47054</v>
      </c>
      <c r="I19852" t="s">
        <v>47569</v>
      </c>
      <c r="J19852" t="s">
        <v>47570</v>
      </c>
      <c r="K19852" t="s">
        <v>47113</v>
      </c>
      <c r="L19852">
        <v>8.08</v>
      </c>
      <c r="M19852">
        <v>22</v>
      </c>
      <c r="N19852">
        <v>0</v>
      </c>
      <c r="O19852">
        <v>22</v>
      </c>
      <c r="P19852">
        <v>0</v>
      </c>
    </row>
    <row r="19853" spans="1:16" x14ac:dyDescent="0.25">
      <c r="A19853" t="s">
        <v>42536</v>
      </c>
      <c r="B19853" t="s">
        <v>18814</v>
      </c>
      <c r="C19853" t="s">
        <v>18815</v>
      </c>
      <c r="D19853" t="str">
        <f>"1700"</f>
        <v>1700</v>
      </c>
      <c r="E19853" t="s">
        <v>60</v>
      </c>
      <c r="F19853" t="s">
        <v>16601</v>
      </c>
      <c r="G19853" t="s">
        <v>47097</v>
      </c>
      <c r="H19853" t="s">
        <v>47054</v>
      </c>
      <c r="I19853" t="s">
        <v>47569</v>
      </c>
      <c r="J19853" t="s">
        <v>47570</v>
      </c>
      <c r="K19853" t="s">
        <v>47113</v>
      </c>
      <c r="L19853">
        <v>8.08</v>
      </c>
      <c r="M19853">
        <v>22</v>
      </c>
      <c r="N19853">
        <v>0</v>
      </c>
      <c r="O19853">
        <v>22</v>
      </c>
      <c r="P19853">
        <v>0</v>
      </c>
    </row>
    <row r="19854" spans="1:16" x14ac:dyDescent="0.25">
      <c r="A19854" t="s">
        <v>42537</v>
      </c>
      <c r="B19854" t="s">
        <v>18814</v>
      </c>
      <c r="C19854" t="s">
        <v>18815</v>
      </c>
      <c r="D19854" t="str">
        <f>"6602"</f>
        <v>6602</v>
      </c>
      <c r="E19854" t="s">
        <v>18465</v>
      </c>
      <c r="F19854" t="s">
        <v>16601</v>
      </c>
      <c r="G19854" t="s">
        <v>47097</v>
      </c>
      <c r="H19854" t="s">
        <v>47054</v>
      </c>
      <c r="I19854" t="s">
        <v>47569</v>
      </c>
      <c r="J19854" t="s">
        <v>47570</v>
      </c>
      <c r="K19854" t="s">
        <v>47113</v>
      </c>
      <c r="L19854">
        <v>8.08</v>
      </c>
      <c r="M19854">
        <v>22</v>
      </c>
      <c r="N19854">
        <v>0</v>
      </c>
      <c r="O19854">
        <v>22</v>
      </c>
      <c r="P19854">
        <v>0</v>
      </c>
    </row>
    <row r="19855" spans="1:16" x14ac:dyDescent="0.25">
      <c r="A19855" t="s">
        <v>42538</v>
      </c>
      <c r="B19855" t="s">
        <v>18814</v>
      </c>
      <c r="C19855" t="s">
        <v>18815</v>
      </c>
      <c r="D19855" t="str">
        <f>"7000"</f>
        <v>7000</v>
      </c>
      <c r="E19855" t="s">
        <v>18466</v>
      </c>
      <c r="F19855" t="s">
        <v>16730</v>
      </c>
      <c r="G19855" t="s">
        <v>47097</v>
      </c>
      <c r="H19855" t="s">
        <v>47054</v>
      </c>
      <c r="I19855" t="s">
        <v>47569</v>
      </c>
      <c r="J19855" t="s">
        <v>47570</v>
      </c>
      <c r="K19855" t="s">
        <v>47113</v>
      </c>
      <c r="L19855">
        <v>8.08</v>
      </c>
      <c r="M19855">
        <v>22</v>
      </c>
      <c r="N19855">
        <v>0</v>
      </c>
      <c r="O19855">
        <v>22</v>
      </c>
      <c r="P19855">
        <v>0</v>
      </c>
    </row>
    <row r="19856" spans="1:16" x14ac:dyDescent="0.25">
      <c r="A19856" t="s">
        <v>42539</v>
      </c>
      <c r="B19856" t="s">
        <v>18816</v>
      </c>
      <c r="C19856" t="s">
        <v>18817</v>
      </c>
      <c r="D19856" t="str">
        <f>"1001"</f>
        <v>1001</v>
      </c>
      <c r="E19856" t="s">
        <v>42</v>
      </c>
      <c r="F19856" t="s">
        <v>16601</v>
      </c>
      <c r="G19856" t="s">
        <v>47102</v>
      </c>
      <c r="H19856" t="s">
        <v>47054</v>
      </c>
      <c r="I19856" t="s">
        <v>47118</v>
      </c>
      <c r="J19856" t="s">
        <v>47119</v>
      </c>
      <c r="K19856" t="s">
        <v>47113</v>
      </c>
      <c r="L19856">
        <v>117.85</v>
      </c>
      <c r="M19856">
        <v>185</v>
      </c>
      <c r="N19856">
        <v>0</v>
      </c>
      <c r="O19856">
        <v>185</v>
      </c>
      <c r="P19856">
        <v>0</v>
      </c>
    </row>
    <row r="19857" spans="1:16" x14ac:dyDescent="0.25">
      <c r="A19857" t="s">
        <v>42540</v>
      </c>
      <c r="B19857" t="s">
        <v>18818</v>
      </c>
      <c r="C19857" t="s">
        <v>240</v>
      </c>
      <c r="D19857" t="s">
        <v>18819</v>
      </c>
      <c r="E19857" t="s">
        <v>18820</v>
      </c>
      <c r="F19857" t="s">
        <v>16601</v>
      </c>
      <c r="G19857" t="s">
        <v>47098</v>
      </c>
      <c r="I19857" t="s">
        <v>47120</v>
      </c>
      <c r="J19857" t="s">
        <v>47121</v>
      </c>
      <c r="K19857" t="s">
        <v>47113</v>
      </c>
      <c r="L19857">
        <v>76.099999999999994</v>
      </c>
      <c r="M19857">
        <v>122</v>
      </c>
      <c r="N19857">
        <v>0</v>
      </c>
      <c r="O19857">
        <v>122</v>
      </c>
      <c r="P19857">
        <v>0</v>
      </c>
    </row>
    <row r="19858" spans="1:16" x14ac:dyDescent="0.25">
      <c r="A19858" t="s">
        <v>42541</v>
      </c>
      <c r="B19858" t="s">
        <v>18821</v>
      </c>
      <c r="C19858" t="s">
        <v>18822</v>
      </c>
      <c r="D19858" t="str">
        <f>"3002"</f>
        <v>3002</v>
      </c>
      <c r="E19858" t="s">
        <v>18463</v>
      </c>
      <c r="F19858" t="s">
        <v>16730</v>
      </c>
      <c r="G19858" t="s">
        <v>47094</v>
      </c>
      <c r="H19858" t="s">
        <v>47054</v>
      </c>
      <c r="I19858" t="s">
        <v>47120</v>
      </c>
      <c r="J19858" t="s">
        <v>47121</v>
      </c>
      <c r="K19858" t="s">
        <v>47113</v>
      </c>
      <c r="L19858">
        <v>33.39</v>
      </c>
      <c r="M19858">
        <v>59</v>
      </c>
      <c r="N19858">
        <v>0</v>
      </c>
      <c r="O19858">
        <v>59</v>
      </c>
      <c r="P19858">
        <v>0</v>
      </c>
    </row>
    <row r="19859" spans="1:16" x14ac:dyDescent="0.25">
      <c r="A19859" t="s">
        <v>42542</v>
      </c>
      <c r="B19859" t="s">
        <v>18821</v>
      </c>
      <c r="C19859" t="s">
        <v>18822</v>
      </c>
      <c r="D19859" t="str">
        <f>"5000"</f>
        <v>5000</v>
      </c>
      <c r="E19859" t="s">
        <v>18823</v>
      </c>
      <c r="F19859" t="s">
        <v>16730</v>
      </c>
      <c r="G19859" t="s">
        <v>47094</v>
      </c>
      <c r="H19859" t="s">
        <v>47054</v>
      </c>
      <c r="I19859" t="s">
        <v>47120</v>
      </c>
      <c r="J19859" t="s">
        <v>47121</v>
      </c>
      <c r="K19859" t="s">
        <v>47113</v>
      </c>
      <c r="L19859">
        <v>33.39</v>
      </c>
      <c r="M19859">
        <v>59</v>
      </c>
      <c r="N19859">
        <v>0</v>
      </c>
      <c r="O19859">
        <v>59</v>
      </c>
      <c r="P19859">
        <v>0</v>
      </c>
    </row>
    <row r="19860" spans="1:16" x14ac:dyDescent="0.25">
      <c r="A19860" t="s">
        <v>42543</v>
      </c>
      <c r="B19860" t="s">
        <v>18824</v>
      </c>
      <c r="C19860" t="s">
        <v>18825</v>
      </c>
      <c r="D19860" t="str">
        <f>"3002"</f>
        <v>3002</v>
      </c>
      <c r="E19860" t="s">
        <v>18463</v>
      </c>
      <c r="F19860" t="s">
        <v>16730</v>
      </c>
      <c r="G19860" t="s">
        <v>47095</v>
      </c>
      <c r="H19860" t="s">
        <v>47054</v>
      </c>
      <c r="I19860" t="s">
        <v>47120</v>
      </c>
      <c r="J19860" t="s">
        <v>47121</v>
      </c>
      <c r="K19860" t="s">
        <v>47113</v>
      </c>
      <c r="L19860">
        <v>31.45</v>
      </c>
      <c r="M19860">
        <v>59</v>
      </c>
      <c r="N19860">
        <v>0</v>
      </c>
      <c r="O19860">
        <v>59</v>
      </c>
      <c r="P19860">
        <v>0</v>
      </c>
    </row>
    <row r="19861" spans="1:16" x14ac:dyDescent="0.25">
      <c r="A19861" t="s">
        <v>42544</v>
      </c>
      <c r="B19861" t="s">
        <v>18824</v>
      </c>
      <c r="C19861" t="s">
        <v>18825</v>
      </c>
      <c r="D19861" t="str">
        <f>"5000"</f>
        <v>5000</v>
      </c>
      <c r="E19861" t="s">
        <v>18823</v>
      </c>
      <c r="F19861" t="s">
        <v>16730</v>
      </c>
      <c r="G19861" t="s">
        <v>47095</v>
      </c>
      <c r="H19861" t="s">
        <v>47054</v>
      </c>
      <c r="I19861" t="s">
        <v>47120</v>
      </c>
      <c r="J19861" t="s">
        <v>47121</v>
      </c>
      <c r="K19861" t="s">
        <v>47113</v>
      </c>
      <c r="L19861">
        <v>31.45</v>
      </c>
      <c r="M19861">
        <v>59</v>
      </c>
      <c r="N19861">
        <v>0</v>
      </c>
      <c r="O19861">
        <v>59</v>
      </c>
      <c r="P19861">
        <v>0</v>
      </c>
    </row>
    <row r="19862" spans="1:16" x14ac:dyDescent="0.25">
      <c r="A19862" t="s">
        <v>42545</v>
      </c>
      <c r="B19862" t="s">
        <v>18826</v>
      </c>
      <c r="C19862" t="s">
        <v>18827</v>
      </c>
      <c r="D19862" t="str">
        <f>"1001"</f>
        <v>1001</v>
      </c>
      <c r="E19862" t="s">
        <v>42</v>
      </c>
      <c r="F19862" t="s">
        <v>16601</v>
      </c>
      <c r="G19862" t="s">
        <v>47094</v>
      </c>
      <c r="H19862" t="s">
        <v>47054</v>
      </c>
      <c r="I19862" t="s">
        <v>47569</v>
      </c>
      <c r="J19862" t="s">
        <v>47570</v>
      </c>
      <c r="K19862" t="s">
        <v>47113</v>
      </c>
      <c r="L19862">
        <v>16.850000000000001</v>
      </c>
      <c r="M19862">
        <v>51</v>
      </c>
      <c r="N19862">
        <v>0</v>
      </c>
      <c r="O19862">
        <v>51</v>
      </c>
      <c r="P19862">
        <v>0</v>
      </c>
    </row>
    <row r="19863" spans="1:16" x14ac:dyDescent="0.25">
      <c r="A19863" t="s">
        <v>42546</v>
      </c>
      <c r="B19863" t="s">
        <v>18828</v>
      </c>
      <c r="C19863" t="s">
        <v>18829</v>
      </c>
      <c r="D19863" t="str">
        <f>"1001"</f>
        <v>1001</v>
      </c>
      <c r="E19863" t="s">
        <v>42</v>
      </c>
      <c r="F19863" t="s">
        <v>16771</v>
      </c>
      <c r="G19863" t="s">
        <v>47094</v>
      </c>
      <c r="H19863" t="s">
        <v>47054</v>
      </c>
      <c r="I19863" t="s">
        <v>47569</v>
      </c>
      <c r="J19863" t="s">
        <v>47570</v>
      </c>
      <c r="K19863" t="s">
        <v>47113</v>
      </c>
      <c r="L19863">
        <v>19.61</v>
      </c>
      <c r="M19863">
        <v>48</v>
      </c>
      <c r="N19863">
        <v>0</v>
      </c>
      <c r="O19863">
        <v>48</v>
      </c>
      <c r="P19863">
        <v>0</v>
      </c>
    </row>
    <row r="19864" spans="1:16" x14ac:dyDescent="0.25">
      <c r="A19864" t="s">
        <v>42547</v>
      </c>
      <c r="B19864" t="s">
        <v>18830</v>
      </c>
      <c r="C19864" t="s">
        <v>18831</v>
      </c>
      <c r="D19864" t="str">
        <f>"4143"</f>
        <v>4143</v>
      </c>
      <c r="E19864" t="s">
        <v>18719</v>
      </c>
      <c r="F19864" t="s">
        <v>16730</v>
      </c>
      <c r="G19864" t="s">
        <v>47094</v>
      </c>
      <c r="H19864" t="s">
        <v>47054</v>
      </c>
      <c r="I19864" t="s">
        <v>47120</v>
      </c>
      <c r="J19864" t="s">
        <v>47121</v>
      </c>
      <c r="K19864" t="s">
        <v>47113</v>
      </c>
      <c r="L19864">
        <v>25.07</v>
      </c>
      <c r="M19864">
        <v>55</v>
      </c>
      <c r="N19864">
        <v>0</v>
      </c>
      <c r="O19864">
        <v>55</v>
      </c>
      <c r="P19864">
        <v>0</v>
      </c>
    </row>
    <row r="19865" spans="1:16" x14ac:dyDescent="0.25">
      <c r="A19865" t="s">
        <v>42548</v>
      </c>
      <c r="B19865" t="s">
        <v>18832</v>
      </c>
      <c r="C19865" t="s">
        <v>18833</v>
      </c>
      <c r="D19865" t="str">
        <f>"1700"</f>
        <v>1700</v>
      </c>
      <c r="E19865" t="s">
        <v>60</v>
      </c>
      <c r="F19865" t="s">
        <v>16601</v>
      </c>
      <c r="G19865" t="s">
        <v>47094</v>
      </c>
      <c r="I19865" t="s">
        <v>47569</v>
      </c>
      <c r="J19865" t="s">
        <v>47570</v>
      </c>
      <c r="K19865" t="s">
        <v>47113</v>
      </c>
      <c r="L19865">
        <v>16.850000000000001</v>
      </c>
      <c r="M19865">
        <v>51</v>
      </c>
      <c r="N19865">
        <v>0</v>
      </c>
      <c r="O19865">
        <v>51</v>
      </c>
      <c r="P19865">
        <v>0</v>
      </c>
    </row>
    <row r="19866" spans="1:16" x14ac:dyDescent="0.25">
      <c r="A19866" t="s">
        <v>42549</v>
      </c>
      <c r="B19866" t="s">
        <v>18834</v>
      </c>
      <c r="C19866" t="s">
        <v>18835</v>
      </c>
      <c r="D19866" t="str">
        <f>"1001"</f>
        <v>1001</v>
      </c>
      <c r="E19866" t="s">
        <v>18836</v>
      </c>
      <c r="F19866" t="s">
        <v>16601</v>
      </c>
      <c r="G19866" t="s">
        <v>47094</v>
      </c>
      <c r="H19866" t="s">
        <v>47054</v>
      </c>
      <c r="I19866" t="s">
        <v>47569</v>
      </c>
      <c r="J19866" t="s">
        <v>47570</v>
      </c>
      <c r="K19866" t="s">
        <v>47113</v>
      </c>
      <c r="L19866">
        <v>13.65</v>
      </c>
      <c r="M19866">
        <v>51</v>
      </c>
      <c r="N19866">
        <v>0</v>
      </c>
      <c r="O19866">
        <v>51</v>
      </c>
      <c r="P19866">
        <v>0</v>
      </c>
    </row>
    <row r="19867" spans="1:16" x14ac:dyDescent="0.25">
      <c r="A19867" t="s">
        <v>42550</v>
      </c>
      <c r="B19867" t="s">
        <v>18837</v>
      </c>
      <c r="C19867" t="s">
        <v>18838</v>
      </c>
      <c r="D19867" t="str">
        <f>"1200"</f>
        <v>1200</v>
      </c>
      <c r="E19867" t="s">
        <v>18839</v>
      </c>
      <c r="F19867" t="s">
        <v>16730</v>
      </c>
      <c r="G19867" t="s">
        <v>47092</v>
      </c>
      <c r="H19867" t="s">
        <v>47054</v>
      </c>
      <c r="I19867" t="s">
        <v>47569</v>
      </c>
      <c r="J19867" t="s">
        <v>47570</v>
      </c>
      <c r="K19867" t="s">
        <v>47113</v>
      </c>
      <c r="L19867">
        <v>15.38</v>
      </c>
      <c r="M19867">
        <v>37</v>
      </c>
      <c r="N19867">
        <v>0</v>
      </c>
      <c r="O19867">
        <v>37</v>
      </c>
      <c r="P19867">
        <v>0</v>
      </c>
    </row>
    <row r="19868" spans="1:16" x14ac:dyDescent="0.25">
      <c r="A19868" t="s">
        <v>42551</v>
      </c>
      <c r="B19868" t="s">
        <v>18837</v>
      </c>
      <c r="C19868" t="s">
        <v>18838</v>
      </c>
      <c r="D19868" t="str">
        <f>"3002"</f>
        <v>3002</v>
      </c>
      <c r="E19868" t="s">
        <v>18463</v>
      </c>
      <c r="F19868" t="s">
        <v>16730</v>
      </c>
      <c r="G19868" t="s">
        <v>47092</v>
      </c>
      <c r="H19868" t="s">
        <v>47054</v>
      </c>
      <c r="I19868" t="s">
        <v>47569</v>
      </c>
      <c r="J19868" t="s">
        <v>47570</v>
      </c>
      <c r="K19868" t="s">
        <v>47113</v>
      </c>
      <c r="L19868">
        <v>15.38</v>
      </c>
      <c r="M19868">
        <v>37</v>
      </c>
      <c r="N19868">
        <v>0</v>
      </c>
      <c r="O19868">
        <v>37</v>
      </c>
      <c r="P19868">
        <v>0</v>
      </c>
    </row>
    <row r="19869" spans="1:16" x14ac:dyDescent="0.25">
      <c r="A19869" t="s">
        <v>42552</v>
      </c>
      <c r="B19869" t="s">
        <v>18840</v>
      </c>
      <c r="C19869" t="s">
        <v>18841</v>
      </c>
      <c r="D19869" t="str">
        <f>"4000"</f>
        <v>4000</v>
      </c>
      <c r="E19869" t="s">
        <v>15303</v>
      </c>
      <c r="F19869" t="s">
        <v>16771</v>
      </c>
      <c r="G19869" t="s">
        <v>47102</v>
      </c>
      <c r="I19869" t="s">
        <v>47120</v>
      </c>
      <c r="J19869" t="s">
        <v>47121</v>
      </c>
      <c r="K19869" t="s">
        <v>47113</v>
      </c>
      <c r="L19869">
        <v>49.63</v>
      </c>
      <c r="M19869">
        <v>129</v>
      </c>
      <c r="N19869">
        <v>0</v>
      </c>
      <c r="O19869">
        <v>129</v>
      </c>
      <c r="P19869">
        <v>0</v>
      </c>
    </row>
    <row r="19870" spans="1:16" x14ac:dyDescent="0.25">
      <c r="A19870" t="s">
        <v>42553</v>
      </c>
      <c r="B19870" t="s">
        <v>18842</v>
      </c>
      <c r="C19870" t="s">
        <v>18843</v>
      </c>
      <c r="D19870" t="str">
        <f>"1001"</f>
        <v>1001</v>
      </c>
      <c r="E19870" t="s">
        <v>42</v>
      </c>
      <c r="F19870" t="s">
        <v>16771</v>
      </c>
      <c r="G19870" t="s">
        <v>47095</v>
      </c>
      <c r="H19870" t="s">
        <v>47054</v>
      </c>
      <c r="I19870" t="s">
        <v>47120</v>
      </c>
      <c r="J19870" t="s">
        <v>47121</v>
      </c>
      <c r="K19870" t="s">
        <v>47113</v>
      </c>
      <c r="L19870">
        <v>18.88</v>
      </c>
      <c r="M19870">
        <v>48</v>
      </c>
      <c r="N19870">
        <v>0</v>
      </c>
      <c r="O19870">
        <v>48</v>
      </c>
      <c r="P19870">
        <v>0</v>
      </c>
    </row>
    <row r="19871" spans="1:16" x14ac:dyDescent="0.25">
      <c r="A19871" t="s">
        <v>42554</v>
      </c>
      <c r="B19871" t="s">
        <v>18842</v>
      </c>
      <c r="C19871" t="s">
        <v>18843</v>
      </c>
      <c r="D19871" t="str">
        <f>"1501"</f>
        <v>1501</v>
      </c>
      <c r="E19871" t="s">
        <v>46</v>
      </c>
      <c r="F19871" t="s">
        <v>3750</v>
      </c>
      <c r="G19871" t="s">
        <v>47095</v>
      </c>
      <c r="H19871" t="s">
        <v>47054</v>
      </c>
      <c r="I19871" t="s">
        <v>47120</v>
      </c>
      <c r="J19871" t="s">
        <v>47121</v>
      </c>
      <c r="K19871" t="s">
        <v>47113</v>
      </c>
      <c r="L19871">
        <v>18.88</v>
      </c>
      <c r="M19871">
        <v>48</v>
      </c>
      <c r="N19871">
        <v>0</v>
      </c>
      <c r="O19871">
        <v>48</v>
      </c>
      <c r="P19871">
        <v>0</v>
      </c>
    </row>
    <row r="19872" spans="1:16" x14ac:dyDescent="0.25">
      <c r="A19872" t="s">
        <v>42555</v>
      </c>
      <c r="B19872" t="s">
        <v>18844</v>
      </c>
      <c r="C19872" t="s">
        <v>18843</v>
      </c>
      <c r="D19872" t="str">
        <f>"1001"</f>
        <v>1001</v>
      </c>
      <c r="E19872" t="s">
        <v>42</v>
      </c>
      <c r="F19872" t="s">
        <v>16601</v>
      </c>
      <c r="G19872" t="s">
        <v>47095</v>
      </c>
      <c r="I19872" t="s">
        <v>47120</v>
      </c>
      <c r="J19872" t="s">
        <v>47121</v>
      </c>
      <c r="K19872" t="s">
        <v>47113</v>
      </c>
      <c r="L19872">
        <v>19.11</v>
      </c>
      <c r="M19872">
        <v>48</v>
      </c>
      <c r="N19872">
        <v>0</v>
      </c>
      <c r="O19872">
        <v>48</v>
      </c>
      <c r="P19872">
        <v>0</v>
      </c>
    </row>
    <row r="19873" spans="1:16" x14ac:dyDescent="0.25">
      <c r="A19873" t="s">
        <v>42556</v>
      </c>
      <c r="B19873" t="s">
        <v>18844</v>
      </c>
      <c r="C19873" t="s">
        <v>18843</v>
      </c>
      <c r="D19873" t="str">
        <f>"1501"</f>
        <v>1501</v>
      </c>
      <c r="E19873" t="s">
        <v>46</v>
      </c>
      <c r="F19873" t="s">
        <v>16601</v>
      </c>
      <c r="G19873" t="s">
        <v>47095</v>
      </c>
      <c r="I19873" t="s">
        <v>47120</v>
      </c>
      <c r="J19873" t="s">
        <v>47121</v>
      </c>
      <c r="K19873" t="s">
        <v>47113</v>
      </c>
      <c r="L19873">
        <v>19.11</v>
      </c>
      <c r="M19873">
        <v>48</v>
      </c>
      <c r="N19873">
        <v>0</v>
      </c>
      <c r="O19873">
        <v>48</v>
      </c>
      <c r="P19873">
        <v>0</v>
      </c>
    </row>
    <row r="19874" spans="1:16" x14ac:dyDescent="0.25">
      <c r="A19874" t="s">
        <v>42557</v>
      </c>
      <c r="B19874" t="s">
        <v>18844</v>
      </c>
      <c r="C19874" t="s">
        <v>18843</v>
      </c>
      <c r="D19874" t="str">
        <f>"6000"</f>
        <v>6000</v>
      </c>
      <c r="E19874" t="s">
        <v>18845</v>
      </c>
      <c r="F19874" t="s">
        <v>16601</v>
      </c>
      <c r="G19874" t="s">
        <v>47095</v>
      </c>
      <c r="I19874" t="s">
        <v>47120</v>
      </c>
      <c r="J19874" t="s">
        <v>47121</v>
      </c>
      <c r="K19874" t="s">
        <v>47113</v>
      </c>
      <c r="L19874">
        <v>22.4</v>
      </c>
      <c r="M19874">
        <v>51</v>
      </c>
      <c r="N19874">
        <v>0</v>
      </c>
      <c r="O19874">
        <v>51</v>
      </c>
      <c r="P19874">
        <v>0</v>
      </c>
    </row>
    <row r="19875" spans="1:16" x14ac:dyDescent="0.25">
      <c r="A19875" t="s">
        <v>42558</v>
      </c>
      <c r="B19875" t="s">
        <v>18846</v>
      </c>
      <c r="C19875" t="s">
        <v>18847</v>
      </c>
      <c r="D19875" t="str">
        <f>"4143"</f>
        <v>4143</v>
      </c>
      <c r="E19875" t="s">
        <v>18848</v>
      </c>
      <c r="F19875" t="s">
        <v>16771</v>
      </c>
      <c r="G19875" t="s">
        <v>47096</v>
      </c>
      <c r="I19875" t="s">
        <v>47120</v>
      </c>
      <c r="J19875" t="s">
        <v>47121</v>
      </c>
      <c r="K19875" t="s">
        <v>47113</v>
      </c>
      <c r="L19875">
        <v>63.92</v>
      </c>
      <c r="M19875">
        <v>74</v>
      </c>
      <c r="N19875">
        <v>0</v>
      </c>
      <c r="O19875">
        <v>74</v>
      </c>
      <c r="P19875">
        <v>0</v>
      </c>
    </row>
    <row r="19876" spans="1:16" x14ac:dyDescent="0.25">
      <c r="A19876" t="s">
        <v>42559</v>
      </c>
      <c r="B19876" t="s">
        <v>42560</v>
      </c>
      <c r="C19876" t="s">
        <v>42561</v>
      </c>
      <c r="D19876" t="str">
        <f>"1001"</f>
        <v>1001</v>
      </c>
      <c r="E19876" t="s">
        <v>42</v>
      </c>
      <c r="F19876" t="s">
        <v>21629</v>
      </c>
      <c r="G19876" t="s">
        <v>47096</v>
      </c>
      <c r="H19876" t="s">
        <v>47054</v>
      </c>
      <c r="I19876" t="s">
        <v>47120</v>
      </c>
      <c r="J19876" t="s">
        <v>47121</v>
      </c>
      <c r="K19876" t="s">
        <v>47113</v>
      </c>
      <c r="L19876">
        <v>43.15</v>
      </c>
      <c r="M19876">
        <v>103</v>
      </c>
      <c r="N19876">
        <v>0</v>
      </c>
      <c r="O19876">
        <v>103</v>
      </c>
      <c r="P19876">
        <v>0</v>
      </c>
    </row>
    <row r="19877" spans="1:16" x14ac:dyDescent="0.25">
      <c r="A19877" t="s">
        <v>42562</v>
      </c>
      <c r="B19877" t="s">
        <v>18849</v>
      </c>
      <c r="C19877" t="s">
        <v>18850</v>
      </c>
      <c r="D19877" t="str">
        <f>"1001"</f>
        <v>1001</v>
      </c>
      <c r="E19877" t="s">
        <v>42</v>
      </c>
      <c r="F19877" t="s">
        <v>16771</v>
      </c>
      <c r="G19877" t="s">
        <v>47094</v>
      </c>
      <c r="H19877" t="s">
        <v>47054</v>
      </c>
      <c r="I19877" t="s">
        <v>47569</v>
      </c>
      <c r="J19877" t="s">
        <v>47570</v>
      </c>
      <c r="K19877" t="s">
        <v>47113</v>
      </c>
      <c r="L19877">
        <v>30.62</v>
      </c>
      <c r="M19877">
        <v>55</v>
      </c>
      <c r="N19877">
        <v>0</v>
      </c>
      <c r="O19877">
        <v>55</v>
      </c>
      <c r="P19877">
        <v>0</v>
      </c>
    </row>
    <row r="19878" spans="1:16" x14ac:dyDescent="0.25">
      <c r="A19878" t="s">
        <v>42563</v>
      </c>
      <c r="B19878" t="s">
        <v>18851</v>
      </c>
      <c r="C19878" t="s">
        <v>18852</v>
      </c>
      <c r="D19878" t="str">
        <f>"4143"</f>
        <v>4143</v>
      </c>
      <c r="E19878" t="s">
        <v>18719</v>
      </c>
      <c r="F19878" t="s">
        <v>16601</v>
      </c>
      <c r="G19878" t="s">
        <v>47094</v>
      </c>
      <c r="H19878" t="s">
        <v>47054</v>
      </c>
      <c r="I19878" t="s">
        <v>47120</v>
      </c>
      <c r="J19878" t="s">
        <v>47121</v>
      </c>
      <c r="K19878" t="s">
        <v>47113</v>
      </c>
      <c r="L19878">
        <v>35.049999999999997</v>
      </c>
      <c r="M19878">
        <v>55</v>
      </c>
      <c r="N19878">
        <v>0</v>
      </c>
      <c r="O19878">
        <v>55</v>
      </c>
      <c r="P19878">
        <v>0</v>
      </c>
    </row>
    <row r="19879" spans="1:16" x14ac:dyDescent="0.25">
      <c r="A19879" t="s">
        <v>49402</v>
      </c>
      <c r="B19879" t="s">
        <v>49403</v>
      </c>
      <c r="C19879" t="s">
        <v>49404</v>
      </c>
      <c r="D19879" t="str">
        <f>"1001"</f>
        <v>1001</v>
      </c>
      <c r="E19879" t="s">
        <v>42</v>
      </c>
      <c r="F19879" t="s">
        <v>47479</v>
      </c>
      <c r="G19879" t="s">
        <v>47094</v>
      </c>
      <c r="H19879" t="s">
        <v>47054</v>
      </c>
      <c r="I19879" t="s">
        <v>47118</v>
      </c>
      <c r="J19879" t="s">
        <v>47119</v>
      </c>
      <c r="K19879" t="s">
        <v>47113</v>
      </c>
      <c r="L19879">
        <v>26.28</v>
      </c>
      <c r="M19879">
        <v>74</v>
      </c>
      <c r="N19879">
        <v>199</v>
      </c>
      <c r="O19879">
        <v>74</v>
      </c>
      <c r="P19879">
        <v>199</v>
      </c>
    </row>
    <row r="19880" spans="1:16" x14ac:dyDescent="0.25">
      <c r="A19880" t="s">
        <v>42564</v>
      </c>
      <c r="B19880" t="s">
        <v>18853</v>
      </c>
      <c r="C19880" t="s">
        <v>18854</v>
      </c>
      <c r="D19880" t="str">
        <f>"4100"</f>
        <v>4100</v>
      </c>
      <c r="E19880" t="s">
        <v>18855</v>
      </c>
      <c r="F19880" t="s">
        <v>16730</v>
      </c>
      <c r="G19880" t="s">
        <v>47102</v>
      </c>
      <c r="H19880" t="s">
        <v>47054</v>
      </c>
      <c r="I19880" t="s">
        <v>47120</v>
      </c>
      <c r="J19880" t="s">
        <v>47121</v>
      </c>
      <c r="K19880" t="s">
        <v>47113</v>
      </c>
      <c r="L19880">
        <v>60.01</v>
      </c>
      <c r="M19880">
        <v>148</v>
      </c>
      <c r="N19880">
        <v>0</v>
      </c>
      <c r="O19880">
        <v>148</v>
      </c>
      <c r="P19880">
        <v>0</v>
      </c>
    </row>
    <row r="19881" spans="1:16" x14ac:dyDescent="0.25">
      <c r="A19881" t="s">
        <v>42565</v>
      </c>
      <c r="B19881" t="s">
        <v>18856</v>
      </c>
      <c r="C19881" t="s">
        <v>18857</v>
      </c>
      <c r="D19881" t="str">
        <f>"1501"</f>
        <v>1501</v>
      </c>
      <c r="E19881" t="s">
        <v>46</v>
      </c>
      <c r="F19881" t="s">
        <v>16730</v>
      </c>
      <c r="G19881" t="s">
        <v>47097</v>
      </c>
      <c r="I19881" t="s">
        <v>47111</v>
      </c>
      <c r="J19881" t="s">
        <v>47112</v>
      </c>
      <c r="K19881" t="s">
        <v>47113</v>
      </c>
      <c r="L19881">
        <v>19.52</v>
      </c>
      <c r="M19881">
        <v>33</v>
      </c>
      <c r="N19881">
        <v>0</v>
      </c>
      <c r="O19881">
        <v>33</v>
      </c>
      <c r="P19881">
        <v>0</v>
      </c>
    </row>
    <row r="19882" spans="1:16" x14ac:dyDescent="0.25">
      <c r="A19882" t="s">
        <v>42566</v>
      </c>
      <c r="B19882" t="s">
        <v>18856</v>
      </c>
      <c r="C19882" t="s">
        <v>18857</v>
      </c>
      <c r="D19882" t="str">
        <f>"3000"</f>
        <v>3000</v>
      </c>
      <c r="E19882" t="s">
        <v>18858</v>
      </c>
      <c r="F19882" t="s">
        <v>16730</v>
      </c>
      <c r="G19882" t="s">
        <v>47097</v>
      </c>
      <c r="I19882" t="s">
        <v>47111</v>
      </c>
      <c r="J19882" t="s">
        <v>47112</v>
      </c>
      <c r="K19882" t="s">
        <v>47113</v>
      </c>
      <c r="L19882">
        <v>19.52</v>
      </c>
      <c r="M19882">
        <v>33</v>
      </c>
      <c r="N19882">
        <v>0</v>
      </c>
      <c r="O19882">
        <v>33</v>
      </c>
      <c r="P19882">
        <v>0</v>
      </c>
    </row>
    <row r="19883" spans="1:16" x14ac:dyDescent="0.25">
      <c r="A19883" t="s">
        <v>42567</v>
      </c>
      <c r="B19883" t="s">
        <v>18856</v>
      </c>
      <c r="C19883" t="s">
        <v>18857</v>
      </c>
      <c r="D19883" t="str">
        <f>"5000"</f>
        <v>5000</v>
      </c>
      <c r="E19883" t="s">
        <v>18823</v>
      </c>
      <c r="F19883" t="s">
        <v>16730</v>
      </c>
      <c r="G19883" t="s">
        <v>47097</v>
      </c>
      <c r="I19883" t="s">
        <v>47111</v>
      </c>
      <c r="J19883" t="s">
        <v>47112</v>
      </c>
      <c r="K19883" t="s">
        <v>47113</v>
      </c>
      <c r="L19883">
        <v>19.52</v>
      </c>
      <c r="M19883">
        <v>33</v>
      </c>
      <c r="N19883">
        <v>0</v>
      </c>
      <c r="O19883">
        <v>33</v>
      </c>
      <c r="P19883">
        <v>0</v>
      </c>
    </row>
    <row r="19884" spans="1:16" x14ac:dyDescent="0.25">
      <c r="A19884" t="s">
        <v>42568</v>
      </c>
      <c r="B19884" t="s">
        <v>18856</v>
      </c>
      <c r="C19884" t="s">
        <v>18857</v>
      </c>
      <c r="D19884" t="str">
        <f>"6000"</f>
        <v>6000</v>
      </c>
      <c r="E19884" t="s">
        <v>18464</v>
      </c>
      <c r="F19884" t="s">
        <v>16730</v>
      </c>
      <c r="G19884" t="s">
        <v>47097</v>
      </c>
      <c r="I19884" t="s">
        <v>47111</v>
      </c>
      <c r="J19884" t="s">
        <v>47112</v>
      </c>
      <c r="K19884" t="s">
        <v>47113</v>
      </c>
      <c r="L19884">
        <v>19.52</v>
      </c>
      <c r="M19884">
        <v>33</v>
      </c>
      <c r="N19884">
        <v>0</v>
      </c>
      <c r="O19884">
        <v>33</v>
      </c>
      <c r="P19884">
        <v>0</v>
      </c>
    </row>
    <row r="19885" spans="1:16" x14ac:dyDescent="0.25">
      <c r="A19885" t="s">
        <v>42569</v>
      </c>
      <c r="B19885" t="s">
        <v>18856</v>
      </c>
      <c r="C19885" t="s">
        <v>18857</v>
      </c>
      <c r="D19885" t="str">
        <f>"6602"</f>
        <v>6602</v>
      </c>
      <c r="E19885" t="s">
        <v>18465</v>
      </c>
      <c r="F19885" t="s">
        <v>16730</v>
      </c>
      <c r="G19885" t="s">
        <v>47097</v>
      </c>
      <c r="I19885" t="s">
        <v>47111</v>
      </c>
      <c r="J19885" t="s">
        <v>47112</v>
      </c>
      <c r="K19885" t="s">
        <v>47113</v>
      </c>
      <c r="L19885">
        <v>19.52</v>
      </c>
      <c r="M19885">
        <v>33</v>
      </c>
      <c r="N19885">
        <v>0</v>
      </c>
      <c r="O19885">
        <v>33</v>
      </c>
      <c r="P19885">
        <v>0</v>
      </c>
    </row>
    <row r="19886" spans="1:16" x14ac:dyDescent="0.25">
      <c r="A19886" t="s">
        <v>42570</v>
      </c>
      <c r="B19886" t="s">
        <v>18859</v>
      </c>
      <c r="C19886" t="s">
        <v>18860</v>
      </c>
      <c r="D19886" t="str">
        <f>"4015"</f>
        <v>4015</v>
      </c>
      <c r="E19886" t="s">
        <v>18861</v>
      </c>
      <c r="F19886" t="s">
        <v>16771</v>
      </c>
      <c r="G19886" t="s">
        <v>47101</v>
      </c>
      <c r="H19886" t="s">
        <v>47054</v>
      </c>
      <c r="I19886" t="s">
        <v>47120</v>
      </c>
      <c r="J19886" t="s">
        <v>47121</v>
      </c>
      <c r="K19886" t="s">
        <v>47113</v>
      </c>
      <c r="L19886">
        <v>37.22</v>
      </c>
      <c r="M19886">
        <v>70</v>
      </c>
      <c r="N19886">
        <v>0</v>
      </c>
      <c r="O19886">
        <v>70</v>
      </c>
      <c r="P19886">
        <v>0</v>
      </c>
    </row>
    <row r="19887" spans="1:16" x14ac:dyDescent="0.25">
      <c r="A19887" t="s">
        <v>42571</v>
      </c>
      <c r="B19887" t="s">
        <v>18859</v>
      </c>
      <c r="C19887" t="s">
        <v>18860</v>
      </c>
      <c r="D19887" t="str">
        <f>"4143"</f>
        <v>4143</v>
      </c>
      <c r="E19887" t="s">
        <v>261</v>
      </c>
      <c r="F19887" t="s">
        <v>16771</v>
      </c>
      <c r="G19887" t="s">
        <v>47101</v>
      </c>
      <c r="H19887" t="s">
        <v>47054</v>
      </c>
      <c r="I19887" t="s">
        <v>47120</v>
      </c>
      <c r="J19887" t="s">
        <v>47121</v>
      </c>
      <c r="K19887" t="s">
        <v>47113</v>
      </c>
      <c r="L19887">
        <v>37.22</v>
      </c>
      <c r="M19887">
        <v>70</v>
      </c>
      <c r="N19887">
        <v>0</v>
      </c>
      <c r="O19887">
        <v>70</v>
      </c>
      <c r="P19887">
        <v>0</v>
      </c>
    </row>
    <row r="19888" spans="1:16" x14ac:dyDescent="0.25">
      <c r="A19888" t="s">
        <v>42572</v>
      </c>
      <c r="B19888" t="s">
        <v>18862</v>
      </c>
      <c r="C19888" t="s">
        <v>18863</v>
      </c>
      <c r="D19888" t="str">
        <f>"1001"</f>
        <v>1001</v>
      </c>
      <c r="E19888" t="s">
        <v>42</v>
      </c>
      <c r="F19888" t="s">
        <v>16730</v>
      </c>
      <c r="G19888" t="s">
        <v>47101</v>
      </c>
      <c r="H19888" t="s">
        <v>47054</v>
      </c>
      <c r="I19888" t="s">
        <v>47120</v>
      </c>
      <c r="J19888" t="s">
        <v>47121</v>
      </c>
      <c r="K19888" t="s">
        <v>47113</v>
      </c>
      <c r="L19888">
        <v>32.49</v>
      </c>
      <c r="M19888">
        <v>48</v>
      </c>
      <c r="N19888">
        <v>0</v>
      </c>
      <c r="O19888">
        <v>48</v>
      </c>
      <c r="P19888">
        <v>0</v>
      </c>
    </row>
    <row r="19889" spans="1:16" x14ac:dyDescent="0.25">
      <c r="A19889" t="s">
        <v>42573</v>
      </c>
      <c r="B19889" t="s">
        <v>18862</v>
      </c>
      <c r="C19889" t="s">
        <v>18863</v>
      </c>
      <c r="D19889" t="str">
        <f>"6602"</f>
        <v>6602</v>
      </c>
      <c r="E19889" t="s">
        <v>18465</v>
      </c>
      <c r="F19889" t="s">
        <v>16730</v>
      </c>
      <c r="G19889" t="s">
        <v>47101</v>
      </c>
      <c r="H19889" t="s">
        <v>47054</v>
      </c>
      <c r="I19889" t="s">
        <v>47120</v>
      </c>
      <c r="J19889" t="s">
        <v>47121</v>
      </c>
      <c r="K19889" t="s">
        <v>47113</v>
      </c>
      <c r="L19889">
        <v>32.49</v>
      </c>
      <c r="M19889">
        <v>48</v>
      </c>
      <c r="N19889">
        <v>0</v>
      </c>
      <c r="O19889">
        <v>48</v>
      </c>
      <c r="P19889">
        <v>0</v>
      </c>
    </row>
    <row r="19890" spans="1:16" x14ac:dyDescent="0.25">
      <c r="A19890" t="s">
        <v>42574</v>
      </c>
      <c r="B19890" t="s">
        <v>18864</v>
      </c>
      <c r="C19890" t="s">
        <v>18865</v>
      </c>
      <c r="D19890" t="str">
        <f>"4000"</f>
        <v>4000</v>
      </c>
      <c r="E19890" t="s">
        <v>18866</v>
      </c>
      <c r="F19890" t="s">
        <v>16601</v>
      </c>
      <c r="G19890" t="s">
        <v>47098</v>
      </c>
      <c r="H19890" t="s">
        <v>47054</v>
      </c>
      <c r="I19890" t="s">
        <v>47120</v>
      </c>
      <c r="J19890" t="s">
        <v>47121</v>
      </c>
      <c r="K19890" t="s">
        <v>47113</v>
      </c>
      <c r="L19890">
        <v>37.43</v>
      </c>
      <c r="M19890">
        <v>92</v>
      </c>
      <c r="N19890">
        <v>0</v>
      </c>
      <c r="O19890">
        <v>92</v>
      </c>
      <c r="P19890">
        <v>0</v>
      </c>
    </row>
    <row r="19891" spans="1:16" x14ac:dyDescent="0.25">
      <c r="A19891" t="s">
        <v>42575</v>
      </c>
      <c r="B19891" t="s">
        <v>18867</v>
      </c>
      <c r="C19891" t="s">
        <v>18868</v>
      </c>
      <c r="D19891" t="str">
        <f>"1001"</f>
        <v>1001</v>
      </c>
      <c r="E19891" t="s">
        <v>42</v>
      </c>
      <c r="F19891" t="s">
        <v>16762</v>
      </c>
      <c r="G19891" t="s">
        <v>47094</v>
      </c>
      <c r="H19891" t="s">
        <v>47054</v>
      </c>
      <c r="I19891" t="s">
        <v>47111</v>
      </c>
      <c r="J19891" t="s">
        <v>47112</v>
      </c>
      <c r="K19891" t="s">
        <v>47113</v>
      </c>
      <c r="L19891">
        <v>36.14</v>
      </c>
      <c r="M19891">
        <v>59</v>
      </c>
      <c r="N19891">
        <v>0</v>
      </c>
      <c r="O19891">
        <v>59</v>
      </c>
      <c r="P19891">
        <v>0</v>
      </c>
    </row>
    <row r="19892" spans="1:16" x14ac:dyDescent="0.25">
      <c r="A19892" t="s">
        <v>42576</v>
      </c>
      <c r="B19892" t="s">
        <v>18867</v>
      </c>
      <c r="C19892" t="s">
        <v>18868</v>
      </c>
      <c r="D19892" t="str">
        <f>"1700"</f>
        <v>1700</v>
      </c>
      <c r="E19892" t="s">
        <v>60</v>
      </c>
      <c r="F19892" t="s">
        <v>16762</v>
      </c>
      <c r="G19892" t="s">
        <v>47094</v>
      </c>
      <c r="H19892" t="s">
        <v>47054</v>
      </c>
      <c r="I19892" t="s">
        <v>47111</v>
      </c>
      <c r="J19892" t="s">
        <v>47112</v>
      </c>
      <c r="K19892" t="s">
        <v>47113</v>
      </c>
      <c r="L19892">
        <v>36.14</v>
      </c>
      <c r="M19892">
        <v>59</v>
      </c>
      <c r="N19892">
        <v>0</v>
      </c>
      <c r="O19892">
        <v>59</v>
      </c>
      <c r="P19892">
        <v>0</v>
      </c>
    </row>
    <row r="19893" spans="1:16" x14ac:dyDescent="0.25">
      <c r="A19893" t="s">
        <v>42577</v>
      </c>
      <c r="B19893" t="s">
        <v>18869</v>
      </c>
      <c r="C19893" t="s">
        <v>18870</v>
      </c>
      <c r="D19893" t="str">
        <f>"1001"</f>
        <v>1001</v>
      </c>
      <c r="E19893" t="s">
        <v>42</v>
      </c>
      <c r="F19893" t="s">
        <v>16762</v>
      </c>
      <c r="G19893" t="s">
        <v>47095</v>
      </c>
      <c r="H19893" t="s">
        <v>47054</v>
      </c>
      <c r="I19893" t="s">
        <v>47111</v>
      </c>
      <c r="J19893" t="s">
        <v>47112</v>
      </c>
      <c r="K19893" t="s">
        <v>47113</v>
      </c>
      <c r="L19893">
        <v>32.549999999999997</v>
      </c>
      <c r="M19893">
        <v>51</v>
      </c>
      <c r="N19893">
        <v>0</v>
      </c>
      <c r="O19893">
        <v>51</v>
      </c>
      <c r="P19893">
        <v>0</v>
      </c>
    </row>
    <row r="19894" spans="1:16" x14ac:dyDescent="0.25">
      <c r="A19894" t="s">
        <v>42578</v>
      </c>
      <c r="B19894" t="s">
        <v>18869</v>
      </c>
      <c r="C19894" t="s">
        <v>18870</v>
      </c>
      <c r="D19894" t="str">
        <f>"1700"</f>
        <v>1700</v>
      </c>
      <c r="E19894" t="s">
        <v>60</v>
      </c>
      <c r="F19894" t="s">
        <v>16762</v>
      </c>
      <c r="G19894" t="s">
        <v>47095</v>
      </c>
      <c r="H19894" t="s">
        <v>47054</v>
      </c>
      <c r="I19894" t="s">
        <v>47111</v>
      </c>
      <c r="J19894" t="s">
        <v>47112</v>
      </c>
      <c r="K19894" t="s">
        <v>47113</v>
      </c>
      <c r="L19894">
        <v>32.549999999999997</v>
      </c>
      <c r="M19894">
        <v>51</v>
      </c>
      <c r="N19894">
        <v>0</v>
      </c>
      <c r="O19894">
        <v>51</v>
      </c>
      <c r="P19894">
        <v>0</v>
      </c>
    </row>
    <row r="19895" spans="1:16" x14ac:dyDescent="0.25">
      <c r="A19895" t="s">
        <v>42579</v>
      </c>
      <c r="B19895" t="s">
        <v>18871</v>
      </c>
      <c r="C19895" t="s">
        <v>18872</v>
      </c>
      <c r="D19895" t="str">
        <f>"4143"</f>
        <v>4143</v>
      </c>
      <c r="E19895" t="s">
        <v>261</v>
      </c>
      <c r="F19895" t="s">
        <v>16762</v>
      </c>
      <c r="G19895" t="s">
        <v>47101</v>
      </c>
      <c r="I19895" t="s">
        <v>47120</v>
      </c>
      <c r="J19895" t="s">
        <v>47121</v>
      </c>
      <c r="K19895" t="s">
        <v>47113</v>
      </c>
      <c r="L19895">
        <v>25.24</v>
      </c>
      <c r="M19895">
        <v>44</v>
      </c>
      <c r="N19895">
        <v>0</v>
      </c>
      <c r="O19895">
        <v>44</v>
      </c>
      <c r="P19895">
        <v>0</v>
      </c>
    </row>
    <row r="19896" spans="1:16" x14ac:dyDescent="0.25">
      <c r="A19896" t="s">
        <v>42580</v>
      </c>
      <c r="B19896" t="s">
        <v>18873</v>
      </c>
      <c r="C19896" t="s">
        <v>18874</v>
      </c>
      <c r="D19896" t="str">
        <f>"1001"</f>
        <v>1001</v>
      </c>
      <c r="E19896" t="s">
        <v>224</v>
      </c>
      <c r="F19896" t="s">
        <v>16601</v>
      </c>
      <c r="G19896" t="s">
        <v>47098</v>
      </c>
      <c r="H19896" t="s">
        <v>47054</v>
      </c>
      <c r="I19896" t="s">
        <v>47118</v>
      </c>
      <c r="J19896" t="s">
        <v>47119</v>
      </c>
      <c r="K19896" t="s">
        <v>47113</v>
      </c>
      <c r="L19896">
        <v>150.29</v>
      </c>
      <c r="M19896">
        <v>277</v>
      </c>
      <c r="N19896">
        <v>0</v>
      </c>
      <c r="O19896">
        <v>277</v>
      </c>
      <c r="P19896">
        <v>0</v>
      </c>
    </row>
    <row r="19897" spans="1:16" x14ac:dyDescent="0.25">
      <c r="A19897" t="s">
        <v>42581</v>
      </c>
      <c r="B19897" t="s">
        <v>18875</v>
      </c>
      <c r="C19897" t="s">
        <v>18876</v>
      </c>
      <c r="D19897" t="str">
        <f>"1001"</f>
        <v>1001</v>
      </c>
      <c r="E19897" t="s">
        <v>18877</v>
      </c>
      <c r="F19897" t="s">
        <v>16601</v>
      </c>
      <c r="G19897" t="s">
        <v>47097</v>
      </c>
      <c r="H19897" t="s">
        <v>47054</v>
      </c>
      <c r="I19897" t="s">
        <v>47569</v>
      </c>
      <c r="J19897" t="s">
        <v>47570</v>
      </c>
      <c r="K19897" t="s">
        <v>47113</v>
      </c>
      <c r="L19897">
        <v>15.32</v>
      </c>
      <c r="M19897">
        <v>37</v>
      </c>
      <c r="N19897">
        <v>0</v>
      </c>
      <c r="O19897">
        <v>37</v>
      </c>
      <c r="P19897">
        <v>0</v>
      </c>
    </row>
    <row r="19898" spans="1:16" x14ac:dyDescent="0.25">
      <c r="A19898" t="s">
        <v>42582</v>
      </c>
      <c r="B19898" t="s">
        <v>18878</v>
      </c>
      <c r="C19898" t="s">
        <v>18879</v>
      </c>
      <c r="D19898" t="str">
        <f>"1001"</f>
        <v>1001</v>
      </c>
      <c r="E19898" t="s">
        <v>18877</v>
      </c>
      <c r="F19898" t="s">
        <v>16601</v>
      </c>
      <c r="G19898" t="s">
        <v>47097</v>
      </c>
      <c r="H19898" t="s">
        <v>47054</v>
      </c>
      <c r="I19898" t="s">
        <v>47569</v>
      </c>
      <c r="J19898" t="s">
        <v>47570</v>
      </c>
      <c r="K19898" t="s">
        <v>47113</v>
      </c>
      <c r="L19898">
        <v>13.17</v>
      </c>
      <c r="M19898">
        <v>26</v>
      </c>
      <c r="N19898">
        <v>0</v>
      </c>
      <c r="O19898">
        <v>26</v>
      </c>
      <c r="P19898">
        <v>0</v>
      </c>
    </row>
    <row r="19899" spans="1:16" x14ac:dyDescent="0.25">
      <c r="A19899" t="s">
        <v>42583</v>
      </c>
      <c r="B19899" t="s">
        <v>18880</v>
      </c>
      <c r="C19899" t="s">
        <v>11323</v>
      </c>
      <c r="D19899" t="s">
        <v>18569</v>
      </c>
      <c r="E19899" t="s">
        <v>18570</v>
      </c>
      <c r="F19899" t="s">
        <v>16601</v>
      </c>
      <c r="G19899" t="s">
        <v>47093</v>
      </c>
      <c r="H19899" t="s">
        <v>47054</v>
      </c>
      <c r="I19899" t="s">
        <v>47111</v>
      </c>
      <c r="J19899" t="s">
        <v>47112</v>
      </c>
      <c r="K19899" t="s">
        <v>47113</v>
      </c>
      <c r="L19899">
        <v>66.37</v>
      </c>
      <c r="M19899">
        <v>103</v>
      </c>
      <c r="N19899">
        <v>0</v>
      </c>
      <c r="O19899">
        <v>103</v>
      </c>
      <c r="P19899">
        <v>0</v>
      </c>
    </row>
    <row r="19900" spans="1:16" x14ac:dyDescent="0.25">
      <c r="A19900" t="s">
        <v>42584</v>
      </c>
      <c r="B19900" t="s">
        <v>18881</v>
      </c>
      <c r="C19900" t="s">
        <v>11323</v>
      </c>
      <c r="D19900" t="s">
        <v>18819</v>
      </c>
      <c r="E19900" t="s">
        <v>18820</v>
      </c>
      <c r="F19900" t="s">
        <v>16601</v>
      </c>
      <c r="G19900" t="s">
        <v>47093</v>
      </c>
      <c r="I19900" t="s">
        <v>47120</v>
      </c>
      <c r="J19900" t="s">
        <v>47121</v>
      </c>
      <c r="K19900" t="s">
        <v>47113</v>
      </c>
      <c r="L19900">
        <v>64.23</v>
      </c>
      <c r="M19900">
        <v>107</v>
      </c>
      <c r="N19900">
        <v>0</v>
      </c>
      <c r="O19900">
        <v>107</v>
      </c>
      <c r="P19900">
        <v>0</v>
      </c>
    </row>
    <row r="19901" spans="1:16" x14ac:dyDescent="0.25">
      <c r="A19901" t="s">
        <v>42585</v>
      </c>
      <c r="B19901" t="s">
        <v>42586</v>
      </c>
      <c r="C19901" t="s">
        <v>42587</v>
      </c>
      <c r="D19901" t="s">
        <v>42588</v>
      </c>
      <c r="E19901" t="s">
        <v>42589</v>
      </c>
      <c r="F19901" t="s">
        <v>16839</v>
      </c>
      <c r="G19901" t="s">
        <v>47093</v>
      </c>
      <c r="H19901" t="s">
        <v>47054</v>
      </c>
      <c r="I19901" t="s">
        <v>47544</v>
      </c>
      <c r="J19901" t="s">
        <v>47545</v>
      </c>
      <c r="K19901" t="s">
        <v>47113</v>
      </c>
      <c r="L19901">
        <v>41.75</v>
      </c>
      <c r="M19901">
        <v>92</v>
      </c>
      <c r="N19901">
        <v>0</v>
      </c>
      <c r="O19901">
        <v>92</v>
      </c>
      <c r="P19901">
        <v>0</v>
      </c>
    </row>
    <row r="19902" spans="1:16" x14ac:dyDescent="0.25">
      <c r="A19902" t="s">
        <v>42590</v>
      </c>
      <c r="B19902" t="s">
        <v>18882</v>
      </c>
      <c r="C19902" t="s">
        <v>21447</v>
      </c>
      <c r="D19902" t="s">
        <v>18883</v>
      </c>
      <c r="E19902" t="s">
        <v>18884</v>
      </c>
      <c r="F19902" t="s">
        <v>16601</v>
      </c>
      <c r="G19902" t="s">
        <v>47093</v>
      </c>
      <c r="H19902" t="s">
        <v>47054</v>
      </c>
      <c r="I19902" t="s">
        <v>47111</v>
      </c>
      <c r="J19902" t="s">
        <v>47112</v>
      </c>
      <c r="K19902" t="s">
        <v>47113</v>
      </c>
      <c r="L19902">
        <v>62.58</v>
      </c>
      <c r="M19902">
        <v>96</v>
      </c>
      <c r="N19902">
        <v>0</v>
      </c>
      <c r="O19902">
        <v>96</v>
      </c>
      <c r="P19902">
        <v>0</v>
      </c>
    </row>
    <row r="19903" spans="1:16" x14ac:dyDescent="0.25">
      <c r="A19903" t="s">
        <v>42591</v>
      </c>
      <c r="B19903" t="s">
        <v>18885</v>
      </c>
      <c r="C19903" t="s">
        <v>11323</v>
      </c>
      <c r="D19903" t="s">
        <v>17365</v>
      </c>
      <c r="E19903" t="s">
        <v>17366</v>
      </c>
      <c r="F19903" t="s">
        <v>16601</v>
      </c>
      <c r="G19903" t="s">
        <v>47093</v>
      </c>
      <c r="H19903" t="s">
        <v>47054</v>
      </c>
      <c r="I19903" t="s">
        <v>47116</v>
      </c>
      <c r="J19903" t="s">
        <v>47117</v>
      </c>
      <c r="K19903" t="s">
        <v>47113</v>
      </c>
      <c r="L19903">
        <v>39.99</v>
      </c>
      <c r="M19903">
        <v>96</v>
      </c>
      <c r="N19903">
        <v>0</v>
      </c>
      <c r="O19903">
        <v>96</v>
      </c>
      <c r="P19903">
        <v>0</v>
      </c>
    </row>
    <row r="19904" spans="1:16" x14ac:dyDescent="0.25">
      <c r="A19904" t="s">
        <v>42592</v>
      </c>
      <c r="B19904" t="s">
        <v>18886</v>
      </c>
      <c r="C19904" t="s">
        <v>11323</v>
      </c>
      <c r="D19904" t="s">
        <v>18887</v>
      </c>
      <c r="E19904" t="s">
        <v>18888</v>
      </c>
      <c r="F19904" t="s">
        <v>16601</v>
      </c>
      <c r="G19904" t="s">
        <v>47093</v>
      </c>
      <c r="H19904" t="s">
        <v>47054</v>
      </c>
      <c r="I19904" t="s">
        <v>47111</v>
      </c>
      <c r="J19904" t="s">
        <v>47112</v>
      </c>
      <c r="K19904" t="s">
        <v>47113</v>
      </c>
      <c r="L19904">
        <v>46.15</v>
      </c>
      <c r="M19904">
        <v>92</v>
      </c>
      <c r="N19904">
        <v>0</v>
      </c>
      <c r="O19904">
        <v>92</v>
      </c>
      <c r="P19904">
        <v>0</v>
      </c>
    </row>
    <row r="19905" spans="1:16" x14ac:dyDescent="0.25">
      <c r="A19905" t="s">
        <v>42593</v>
      </c>
      <c r="B19905" t="s">
        <v>18889</v>
      </c>
      <c r="C19905" t="s">
        <v>11323</v>
      </c>
      <c r="D19905" t="s">
        <v>18484</v>
      </c>
      <c r="E19905" t="s">
        <v>18485</v>
      </c>
      <c r="F19905" t="s">
        <v>16601</v>
      </c>
      <c r="G19905" t="s">
        <v>47093</v>
      </c>
      <c r="H19905" t="s">
        <v>47054</v>
      </c>
      <c r="I19905" t="s">
        <v>47111</v>
      </c>
      <c r="J19905" t="s">
        <v>47112</v>
      </c>
      <c r="K19905" t="s">
        <v>47113</v>
      </c>
      <c r="L19905">
        <v>53.78</v>
      </c>
      <c r="M19905">
        <v>96</v>
      </c>
      <c r="N19905">
        <v>0</v>
      </c>
      <c r="O19905">
        <v>96</v>
      </c>
      <c r="P19905">
        <v>0</v>
      </c>
    </row>
    <row r="19906" spans="1:16" x14ac:dyDescent="0.25">
      <c r="A19906" t="s">
        <v>42594</v>
      </c>
      <c r="B19906" t="s">
        <v>18890</v>
      </c>
      <c r="C19906" t="s">
        <v>11323</v>
      </c>
      <c r="D19906" t="s">
        <v>18891</v>
      </c>
      <c r="E19906" t="s">
        <v>18892</v>
      </c>
      <c r="F19906" t="s">
        <v>16601</v>
      </c>
      <c r="G19906" t="s">
        <v>47093</v>
      </c>
      <c r="H19906" t="s">
        <v>47054</v>
      </c>
      <c r="I19906" t="s">
        <v>47111</v>
      </c>
      <c r="J19906" t="s">
        <v>47112</v>
      </c>
      <c r="K19906" t="s">
        <v>47113</v>
      </c>
      <c r="L19906">
        <v>51.16</v>
      </c>
      <c r="M19906">
        <v>92</v>
      </c>
      <c r="N19906">
        <v>0</v>
      </c>
      <c r="O19906">
        <v>92</v>
      </c>
      <c r="P19906">
        <v>0</v>
      </c>
    </row>
    <row r="19907" spans="1:16" x14ac:dyDescent="0.25">
      <c r="A19907" t="s">
        <v>42595</v>
      </c>
      <c r="B19907" t="s">
        <v>18893</v>
      </c>
      <c r="C19907" t="s">
        <v>18894</v>
      </c>
      <c r="D19907" t="str">
        <f>"1700"</f>
        <v>1700</v>
      </c>
      <c r="E19907" t="s">
        <v>18895</v>
      </c>
      <c r="F19907" t="s">
        <v>16601</v>
      </c>
      <c r="G19907" t="s">
        <v>47093</v>
      </c>
      <c r="H19907" t="s">
        <v>47054</v>
      </c>
      <c r="I19907" t="s">
        <v>47111</v>
      </c>
      <c r="J19907" t="s">
        <v>47112</v>
      </c>
      <c r="K19907" t="s">
        <v>47113</v>
      </c>
      <c r="L19907">
        <v>52.28</v>
      </c>
      <c r="M19907">
        <v>74</v>
      </c>
      <c r="N19907">
        <v>0</v>
      </c>
      <c r="O19907">
        <v>74</v>
      </c>
      <c r="P19907">
        <v>0</v>
      </c>
    </row>
    <row r="19908" spans="1:16" x14ac:dyDescent="0.25">
      <c r="A19908" t="s">
        <v>42596</v>
      </c>
      <c r="B19908" t="s">
        <v>18896</v>
      </c>
      <c r="C19908" t="s">
        <v>11323</v>
      </c>
      <c r="D19908" t="str">
        <f>"5000"</f>
        <v>5000</v>
      </c>
      <c r="E19908" t="s">
        <v>18897</v>
      </c>
      <c r="F19908" t="s">
        <v>16601</v>
      </c>
      <c r="G19908" t="s">
        <v>47093</v>
      </c>
      <c r="H19908" t="s">
        <v>47054</v>
      </c>
      <c r="I19908" t="s">
        <v>47111</v>
      </c>
      <c r="J19908" t="s">
        <v>47112</v>
      </c>
      <c r="K19908" t="s">
        <v>47113</v>
      </c>
      <c r="L19908">
        <v>42.22</v>
      </c>
      <c r="M19908">
        <v>74</v>
      </c>
      <c r="N19908">
        <v>0</v>
      </c>
      <c r="O19908">
        <v>74</v>
      </c>
      <c r="P19908">
        <v>0</v>
      </c>
    </row>
    <row r="19909" spans="1:16" x14ac:dyDescent="0.25">
      <c r="A19909" t="s">
        <v>42597</v>
      </c>
      <c r="B19909" t="s">
        <v>18898</v>
      </c>
      <c r="C19909" t="s">
        <v>11323</v>
      </c>
      <c r="D19909" t="s">
        <v>18469</v>
      </c>
      <c r="E19909" t="s">
        <v>18470</v>
      </c>
      <c r="F19909" t="s">
        <v>16601</v>
      </c>
      <c r="G19909" t="s">
        <v>47093</v>
      </c>
      <c r="H19909" t="s">
        <v>47054</v>
      </c>
      <c r="I19909" t="s">
        <v>47111</v>
      </c>
      <c r="J19909" t="s">
        <v>47112</v>
      </c>
      <c r="K19909" t="s">
        <v>47113</v>
      </c>
      <c r="L19909">
        <v>51.12</v>
      </c>
      <c r="M19909">
        <v>107</v>
      </c>
      <c r="N19909">
        <v>0</v>
      </c>
      <c r="O19909">
        <v>107</v>
      </c>
      <c r="P19909">
        <v>0</v>
      </c>
    </row>
    <row r="19910" spans="1:16" x14ac:dyDescent="0.25">
      <c r="A19910" t="s">
        <v>42598</v>
      </c>
      <c r="B19910" t="s">
        <v>18899</v>
      </c>
      <c r="C19910" t="s">
        <v>11323</v>
      </c>
      <c r="D19910" t="s">
        <v>18887</v>
      </c>
      <c r="E19910" t="s">
        <v>18888</v>
      </c>
      <c r="F19910" t="s">
        <v>16601</v>
      </c>
      <c r="G19910" t="s">
        <v>47093</v>
      </c>
      <c r="H19910" t="s">
        <v>47054</v>
      </c>
      <c r="I19910" t="s">
        <v>47111</v>
      </c>
      <c r="J19910" t="s">
        <v>47112</v>
      </c>
      <c r="K19910" t="s">
        <v>47113</v>
      </c>
      <c r="L19910">
        <v>55.56</v>
      </c>
      <c r="M19910">
        <v>107</v>
      </c>
      <c r="N19910">
        <v>0</v>
      </c>
      <c r="O19910">
        <v>107</v>
      </c>
      <c r="P19910">
        <v>0</v>
      </c>
    </row>
    <row r="19911" spans="1:16" x14ac:dyDescent="0.25">
      <c r="A19911" t="s">
        <v>42599</v>
      </c>
      <c r="B19911" t="s">
        <v>18900</v>
      </c>
      <c r="C19911" t="s">
        <v>16431</v>
      </c>
      <c r="D19911" t="str">
        <f>"1001"</f>
        <v>1001</v>
      </c>
      <c r="E19911" t="s">
        <v>18498</v>
      </c>
      <c r="F19911" t="s">
        <v>16730</v>
      </c>
      <c r="G19911" t="s">
        <v>49029</v>
      </c>
      <c r="H19911" t="s">
        <v>47054</v>
      </c>
      <c r="I19911" t="s">
        <v>47120</v>
      </c>
      <c r="J19911" t="s">
        <v>47121</v>
      </c>
      <c r="K19911" t="s">
        <v>47113</v>
      </c>
      <c r="L19911">
        <v>44.8</v>
      </c>
      <c r="M19911">
        <v>74</v>
      </c>
      <c r="N19911">
        <v>0</v>
      </c>
      <c r="O19911">
        <v>74</v>
      </c>
      <c r="P19911">
        <v>0</v>
      </c>
    </row>
    <row r="19912" spans="1:16" x14ac:dyDescent="0.25">
      <c r="A19912" t="s">
        <v>42600</v>
      </c>
      <c r="B19912" t="s">
        <v>18901</v>
      </c>
      <c r="C19912" t="s">
        <v>18902</v>
      </c>
      <c r="D19912" t="s">
        <v>18903</v>
      </c>
      <c r="E19912" t="s">
        <v>18904</v>
      </c>
      <c r="F19912" t="s">
        <v>16771</v>
      </c>
      <c r="G19912" t="s">
        <v>47101</v>
      </c>
      <c r="H19912" t="s">
        <v>47054</v>
      </c>
      <c r="I19912" t="s">
        <v>47120</v>
      </c>
      <c r="J19912" t="s">
        <v>47121</v>
      </c>
      <c r="K19912" t="s">
        <v>47113</v>
      </c>
      <c r="L19912">
        <v>38.32</v>
      </c>
      <c r="M19912">
        <v>63</v>
      </c>
      <c r="N19912">
        <v>0</v>
      </c>
      <c r="O19912">
        <v>63</v>
      </c>
      <c r="P19912">
        <v>0</v>
      </c>
    </row>
    <row r="19913" spans="1:16" x14ac:dyDescent="0.25">
      <c r="A19913" t="s">
        <v>42601</v>
      </c>
      <c r="B19913" t="s">
        <v>18905</v>
      </c>
      <c r="C19913" t="s">
        <v>16058</v>
      </c>
      <c r="D19913" t="s">
        <v>17365</v>
      </c>
      <c r="E19913" t="s">
        <v>17366</v>
      </c>
      <c r="F19913" t="s">
        <v>16771</v>
      </c>
      <c r="G19913" t="s">
        <v>47098</v>
      </c>
      <c r="I19913" t="s">
        <v>47111</v>
      </c>
      <c r="J19913" t="s">
        <v>47112</v>
      </c>
      <c r="K19913" t="s">
        <v>47113</v>
      </c>
      <c r="L19913">
        <v>54.5</v>
      </c>
      <c r="M19913">
        <v>100</v>
      </c>
      <c r="N19913">
        <v>0</v>
      </c>
      <c r="O19913">
        <v>100</v>
      </c>
      <c r="P19913">
        <v>0</v>
      </c>
    </row>
    <row r="19914" spans="1:16" x14ac:dyDescent="0.25">
      <c r="A19914" t="s">
        <v>42602</v>
      </c>
      <c r="B19914" t="s">
        <v>18905</v>
      </c>
      <c r="C19914" t="s">
        <v>16058</v>
      </c>
      <c r="D19914" t="s">
        <v>18505</v>
      </c>
      <c r="E19914" t="s">
        <v>18506</v>
      </c>
      <c r="F19914" t="s">
        <v>16601</v>
      </c>
      <c r="G19914" t="s">
        <v>47098</v>
      </c>
      <c r="I19914" t="s">
        <v>47111</v>
      </c>
      <c r="J19914" t="s">
        <v>47112</v>
      </c>
      <c r="K19914" t="s">
        <v>47113</v>
      </c>
      <c r="L19914">
        <v>65.13</v>
      </c>
      <c r="M19914">
        <v>100</v>
      </c>
      <c r="N19914">
        <v>0</v>
      </c>
      <c r="O19914">
        <v>100</v>
      </c>
      <c r="P19914">
        <v>0</v>
      </c>
    </row>
    <row r="19915" spans="1:16" x14ac:dyDescent="0.25">
      <c r="A19915" t="s">
        <v>42603</v>
      </c>
      <c r="B19915" t="s">
        <v>18906</v>
      </c>
      <c r="C19915" t="s">
        <v>9504</v>
      </c>
      <c r="D19915" t="s">
        <v>18469</v>
      </c>
      <c r="E19915" t="s">
        <v>18470</v>
      </c>
      <c r="F19915" t="s">
        <v>16601</v>
      </c>
      <c r="G19915" t="s">
        <v>47093</v>
      </c>
      <c r="H19915" t="s">
        <v>47054</v>
      </c>
      <c r="I19915" t="s">
        <v>47116</v>
      </c>
      <c r="J19915" t="s">
        <v>47117</v>
      </c>
      <c r="K19915" t="s">
        <v>47113</v>
      </c>
      <c r="L19915">
        <v>40.19</v>
      </c>
      <c r="M19915">
        <v>66</v>
      </c>
      <c r="N19915">
        <v>0</v>
      </c>
      <c r="O19915">
        <v>66</v>
      </c>
      <c r="P19915">
        <v>0</v>
      </c>
    </row>
    <row r="19916" spans="1:16" x14ac:dyDescent="0.25">
      <c r="A19916" t="s">
        <v>42604</v>
      </c>
      <c r="B19916" t="s">
        <v>18907</v>
      </c>
      <c r="C19916" t="s">
        <v>18908</v>
      </c>
      <c r="D19916" t="str">
        <f>"3000"</f>
        <v>3000</v>
      </c>
      <c r="E19916" t="s">
        <v>18858</v>
      </c>
      <c r="F19916" t="s">
        <v>16730</v>
      </c>
      <c r="G19916" t="s">
        <v>47101</v>
      </c>
      <c r="H19916" t="s">
        <v>47054</v>
      </c>
      <c r="I19916" t="s">
        <v>47120</v>
      </c>
      <c r="J19916" t="s">
        <v>47121</v>
      </c>
      <c r="K19916" t="s">
        <v>47113</v>
      </c>
      <c r="L19916">
        <v>35.4</v>
      </c>
      <c r="M19916">
        <v>63</v>
      </c>
      <c r="N19916">
        <v>0</v>
      </c>
      <c r="O19916">
        <v>63</v>
      </c>
      <c r="P19916">
        <v>0</v>
      </c>
    </row>
    <row r="19917" spans="1:16" x14ac:dyDescent="0.25">
      <c r="A19917" t="s">
        <v>42605</v>
      </c>
      <c r="B19917" t="s">
        <v>18907</v>
      </c>
      <c r="C19917" t="s">
        <v>18908</v>
      </c>
      <c r="D19917" t="str">
        <f>"5000"</f>
        <v>5000</v>
      </c>
      <c r="E19917" t="s">
        <v>18823</v>
      </c>
      <c r="F19917" t="s">
        <v>16730</v>
      </c>
      <c r="G19917" t="s">
        <v>47101</v>
      </c>
      <c r="H19917" t="s">
        <v>47054</v>
      </c>
      <c r="I19917" t="s">
        <v>47120</v>
      </c>
      <c r="J19917" t="s">
        <v>47121</v>
      </c>
      <c r="K19917" t="s">
        <v>47113</v>
      </c>
      <c r="L19917">
        <v>34.01</v>
      </c>
      <c r="M19917">
        <v>63</v>
      </c>
      <c r="N19917">
        <v>0</v>
      </c>
      <c r="O19917">
        <v>63</v>
      </c>
      <c r="P19917">
        <v>0</v>
      </c>
    </row>
    <row r="19918" spans="1:16" x14ac:dyDescent="0.25">
      <c r="A19918" t="s">
        <v>42606</v>
      </c>
      <c r="B19918" t="s">
        <v>16132</v>
      </c>
      <c r="C19918" t="s">
        <v>16133</v>
      </c>
      <c r="D19918" t="s">
        <v>15924</v>
      </c>
      <c r="E19918" t="s">
        <v>15925</v>
      </c>
      <c r="F19918" t="s">
        <v>15183</v>
      </c>
      <c r="G19918" t="s">
        <v>47093</v>
      </c>
      <c r="H19918" t="s">
        <v>47054</v>
      </c>
      <c r="I19918" t="s">
        <v>47111</v>
      </c>
      <c r="J19918" t="s">
        <v>47112</v>
      </c>
      <c r="K19918" t="s">
        <v>47113</v>
      </c>
      <c r="L19918">
        <v>44.06</v>
      </c>
      <c r="M19918">
        <v>92</v>
      </c>
      <c r="N19918">
        <v>0</v>
      </c>
      <c r="O19918">
        <v>92</v>
      </c>
      <c r="P19918">
        <v>0</v>
      </c>
    </row>
    <row r="19919" spans="1:16" x14ac:dyDescent="0.25">
      <c r="A19919" t="s">
        <v>42607</v>
      </c>
      <c r="B19919" t="s">
        <v>18909</v>
      </c>
      <c r="C19919" t="s">
        <v>18910</v>
      </c>
      <c r="D19919" t="s">
        <v>17365</v>
      </c>
      <c r="E19919" t="s">
        <v>17366</v>
      </c>
      <c r="F19919" t="s">
        <v>16601</v>
      </c>
      <c r="G19919" t="s">
        <v>47093</v>
      </c>
      <c r="H19919" t="s">
        <v>47054</v>
      </c>
      <c r="I19919" t="s">
        <v>47116</v>
      </c>
      <c r="J19919" t="s">
        <v>47117</v>
      </c>
      <c r="K19919" t="s">
        <v>47113</v>
      </c>
      <c r="L19919">
        <v>55.88</v>
      </c>
      <c r="M19919">
        <v>92</v>
      </c>
      <c r="N19919">
        <v>0</v>
      </c>
      <c r="O19919">
        <v>92</v>
      </c>
      <c r="P19919">
        <v>0</v>
      </c>
    </row>
    <row r="19920" spans="1:16" x14ac:dyDescent="0.25">
      <c r="A19920" t="s">
        <v>42608</v>
      </c>
      <c r="B19920" t="s">
        <v>18911</v>
      </c>
      <c r="C19920" t="s">
        <v>18912</v>
      </c>
      <c r="D19920" t="s">
        <v>18913</v>
      </c>
      <c r="E19920" t="s">
        <v>18914</v>
      </c>
      <c r="F19920" t="s">
        <v>16746</v>
      </c>
      <c r="G19920" t="s">
        <v>47093</v>
      </c>
      <c r="H19920" t="s">
        <v>47054</v>
      </c>
      <c r="I19920" t="s">
        <v>47111</v>
      </c>
      <c r="J19920" t="s">
        <v>47112</v>
      </c>
      <c r="K19920" t="s">
        <v>47113</v>
      </c>
      <c r="L19920">
        <v>51.21</v>
      </c>
      <c r="M19920">
        <v>103</v>
      </c>
      <c r="N19920">
        <v>0</v>
      </c>
      <c r="O19920">
        <v>103</v>
      </c>
      <c r="P19920">
        <v>0</v>
      </c>
    </row>
    <row r="19921" spans="1:16" x14ac:dyDescent="0.25">
      <c r="A19921" t="s">
        <v>42609</v>
      </c>
      <c r="B19921" t="s">
        <v>21772</v>
      </c>
      <c r="C19921" t="s">
        <v>21773</v>
      </c>
      <c r="D19921" t="s">
        <v>21444</v>
      </c>
      <c r="E19921" t="s">
        <v>21445</v>
      </c>
      <c r="F19921" t="s">
        <v>17351</v>
      </c>
      <c r="G19921" t="s">
        <v>47093</v>
      </c>
      <c r="H19921" t="s">
        <v>47054</v>
      </c>
      <c r="I19921" t="s">
        <v>47111</v>
      </c>
      <c r="J19921" t="s">
        <v>47112</v>
      </c>
      <c r="K19921" t="s">
        <v>47113</v>
      </c>
      <c r="L19921">
        <v>67.930000000000007</v>
      </c>
      <c r="M19921">
        <v>129</v>
      </c>
      <c r="N19921">
        <v>0</v>
      </c>
      <c r="O19921">
        <v>129</v>
      </c>
      <c r="P19921">
        <v>0</v>
      </c>
    </row>
    <row r="19922" spans="1:16" x14ac:dyDescent="0.25">
      <c r="A19922" t="s">
        <v>42610</v>
      </c>
      <c r="B19922" t="s">
        <v>21774</v>
      </c>
      <c r="C19922" t="s">
        <v>21775</v>
      </c>
      <c r="D19922" t="s">
        <v>21441</v>
      </c>
      <c r="E19922" t="s">
        <v>21442</v>
      </c>
      <c r="F19922" t="s">
        <v>16933</v>
      </c>
      <c r="G19922" t="s">
        <v>47093</v>
      </c>
      <c r="H19922" t="s">
        <v>47054</v>
      </c>
      <c r="I19922" t="s">
        <v>47111</v>
      </c>
      <c r="J19922" t="s">
        <v>47112</v>
      </c>
      <c r="K19922" t="s">
        <v>47113</v>
      </c>
      <c r="L19922">
        <v>80.849999999999994</v>
      </c>
      <c r="M19922">
        <v>148</v>
      </c>
      <c r="N19922">
        <v>0</v>
      </c>
      <c r="O19922">
        <v>148</v>
      </c>
      <c r="P19922">
        <v>0</v>
      </c>
    </row>
    <row r="19923" spans="1:16" x14ac:dyDescent="0.25">
      <c r="A19923" t="s">
        <v>42611</v>
      </c>
      <c r="B19923" t="s">
        <v>21776</v>
      </c>
      <c r="C19923" t="s">
        <v>21773</v>
      </c>
      <c r="D19923" t="s">
        <v>15897</v>
      </c>
      <c r="E19923" t="s">
        <v>21448</v>
      </c>
      <c r="F19923" t="s">
        <v>17351</v>
      </c>
      <c r="G19923" t="s">
        <v>47093</v>
      </c>
      <c r="H19923" t="s">
        <v>47054</v>
      </c>
      <c r="I19923" t="s">
        <v>47116</v>
      </c>
      <c r="J19923" t="s">
        <v>47117</v>
      </c>
      <c r="K19923" t="s">
        <v>47113</v>
      </c>
      <c r="L19923">
        <v>52.49</v>
      </c>
      <c r="M19923">
        <v>103</v>
      </c>
      <c r="N19923">
        <v>0</v>
      </c>
      <c r="O19923">
        <v>103</v>
      </c>
      <c r="P19923">
        <v>0</v>
      </c>
    </row>
    <row r="19924" spans="1:16" x14ac:dyDescent="0.25">
      <c r="A19924" t="s">
        <v>42612</v>
      </c>
      <c r="B19924" t="s">
        <v>21777</v>
      </c>
      <c r="C19924" t="s">
        <v>18912</v>
      </c>
      <c r="D19924" t="s">
        <v>21644</v>
      </c>
      <c r="E19924" t="s">
        <v>21645</v>
      </c>
      <c r="F19924" t="s">
        <v>19552</v>
      </c>
      <c r="G19924" t="s">
        <v>47093</v>
      </c>
      <c r="H19924" t="s">
        <v>47054</v>
      </c>
      <c r="I19924" t="s">
        <v>47116</v>
      </c>
      <c r="J19924" t="s">
        <v>47117</v>
      </c>
      <c r="K19924" t="s">
        <v>47113</v>
      </c>
      <c r="L19924">
        <v>41.17</v>
      </c>
      <c r="M19924">
        <v>66</v>
      </c>
      <c r="N19924">
        <v>0</v>
      </c>
      <c r="O19924">
        <v>66</v>
      </c>
      <c r="P19924">
        <v>0</v>
      </c>
    </row>
    <row r="19925" spans="1:16" x14ac:dyDescent="0.25">
      <c r="A19925" t="s">
        <v>42613</v>
      </c>
      <c r="B19925" t="s">
        <v>21778</v>
      </c>
      <c r="C19925" t="s">
        <v>18912</v>
      </c>
      <c r="D19925" t="s">
        <v>21647</v>
      </c>
      <c r="E19925" t="s">
        <v>21648</v>
      </c>
      <c r="F19925" t="s">
        <v>19559</v>
      </c>
      <c r="G19925" t="s">
        <v>47093</v>
      </c>
      <c r="H19925" t="s">
        <v>47054</v>
      </c>
      <c r="I19925" t="s">
        <v>47544</v>
      </c>
      <c r="J19925" t="s">
        <v>47545</v>
      </c>
      <c r="K19925" t="s">
        <v>47113</v>
      </c>
      <c r="L19925">
        <v>27.62</v>
      </c>
      <c r="M19925">
        <v>66</v>
      </c>
      <c r="N19925">
        <v>0</v>
      </c>
      <c r="O19925">
        <v>66</v>
      </c>
      <c r="P19925">
        <v>0</v>
      </c>
    </row>
    <row r="19926" spans="1:16" x14ac:dyDescent="0.25">
      <c r="A19926" t="s">
        <v>42614</v>
      </c>
      <c r="B19926" t="s">
        <v>18915</v>
      </c>
      <c r="C19926" t="s">
        <v>18916</v>
      </c>
      <c r="D19926" t="str">
        <f>"1001"</f>
        <v>1001</v>
      </c>
      <c r="E19926" t="s">
        <v>42</v>
      </c>
      <c r="F19926" t="s">
        <v>16601</v>
      </c>
      <c r="G19926" t="s">
        <v>47097</v>
      </c>
      <c r="H19926" t="s">
        <v>47054</v>
      </c>
      <c r="I19926" t="s">
        <v>47569</v>
      </c>
      <c r="J19926" t="s">
        <v>47570</v>
      </c>
      <c r="K19926" t="s">
        <v>47113</v>
      </c>
      <c r="L19926">
        <v>10.78</v>
      </c>
      <c r="M19926">
        <v>29</v>
      </c>
      <c r="N19926">
        <v>0</v>
      </c>
      <c r="O19926">
        <v>29</v>
      </c>
      <c r="P19926">
        <v>0</v>
      </c>
    </row>
    <row r="19927" spans="1:16" x14ac:dyDescent="0.25">
      <c r="A19927" t="s">
        <v>42615</v>
      </c>
      <c r="B19927" t="s">
        <v>18915</v>
      </c>
      <c r="C19927" t="s">
        <v>18916</v>
      </c>
      <c r="D19927" t="str">
        <f>"1501"</f>
        <v>1501</v>
      </c>
      <c r="E19927" t="s">
        <v>46</v>
      </c>
      <c r="F19927" t="s">
        <v>16601</v>
      </c>
      <c r="G19927" t="s">
        <v>47097</v>
      </c>
      <c r="H19927" t="s">
        <v>47054</v>
      </c>
      <c r="I19927" t="s">
        <v>47569</v>
      </c>
      <c r="J19927" t="s">
        <v>47570</v>
      </c>
      <c r="K19927" t="s">
        <v>47113</v>
      </c>
      <c r="L19927">
        <v>10.78</v>
      </c>
      <c r="M19927">
        <v>29</v>
      </c>
      <c r="N19927">
        <v>0</v>
      </c>
      <c r="O19927">
        <v>29</v>
      </c>
      <c r="P19927">
        <v>0</v>
      </c>
    </row>
    <row r="19928" spans="1:16" x14ac:dyDescent="0.25">
      <c r="A19928" t="s">
        <v>42616</v>
      </c>
      <c r="B19928" t="s">
        <v>18915</v>
      </c>
      <c r="C19928" t="s">
        <v>18916</v>
      </c>
      <c r="D19928" t="str">
        <f>"1700"</f>
        <v>1700</v>
      </c>
      <c r="E19928" t="s">
        <v>60</v>
      </c>
      <c r="F19928" t="s">
        <v>16601</v>
      </c>
      <c r="G19928" t="s">
        <v>47097</v>
      </c>
      <c r="H19928" t="s">
        <v>47054</v>
      </c>
      <c r="I19928" t="s">
        <v>47569</v>
      </c>
      <c r="J19928" t="s">
        <v>47570</v>
      </c>
      <c r="K19928" t="s">
        <v>47113</v>
      </c>
      <c r="L19928">
        <v>10.78</v>
      </c>
      <c r="M19928">
        <v>29</v>
      </c>
      <c r="N19928">
        <v>0</v>
      </c>
      <c r="O19928">
        <v>29</v>
      </c>
      <c r="P19928">
        <v>0</v>
      </c>
    </row>
    <row r="19929" spans="1:16" x14ac:dyDescent="0.25">
      <c r="A19929" t="s">
        <v>42617</v>
      </c>
      <c r="B19929" t="s">
        <v>21779</v>
      </c>
      <c r="C19929" t="s">
        <v>21780</v>
      </c>
      <c r="D19929" t="str">
        <f>"1001"</f>
        <v>1001</v>
      </c>
      <c r="E19929" t="s">
        <v>42</v>
      </c>
      <c r="F19929" t="s">
        <v>19878</v>
      </c>
      <c r="G19929" t="s">
        <v>47091</v>
      </c>
      <c r="H19929" t="s">
        <v>47054</v>
      </c>
      <c r="I19929" t="s">
        <v>47569</v>
      </c>
      <c r="J19929" t="s">
        <v>47570</v>
      </c>
      <c r="K19929" t="s">
        <v>47113</v>
      </c>
      <c r="L19929">
        <v>13.78</v>
      </c>
      <c r="M19929">
        <v>26</v>
      </c>
      <c r="N19929">
        <v>0</v>
      </c>
      <c r="O19929">
        <v>26</v>
      </c>
      <c r="P19929">
        <v>0</v>
      </c>
    </row>
    <row r="19930" spans="1:16" x14ac:dyDescent="0.25">
      <c r="A19930" t="s">
        <v>42618</v>
      </c>
      <c r="B19930" t="s">
        <v>42619</v>
      </c>
      <c r="C19930" t="s">
        <v>10606</v>
      </c>
      <c r="D19930" t="str">
        <f>"1700"</f>
        <v>1700</v>
      </c>
      <c r="E19930" t="s">
        <v>18480</v>
      </c>
      <c r="F19930" t="s">
        <v>24617</v>
      </c>
      <c r="G19930" t="s">
        <v>47093</v>
      </c>
      <c r="H19930" t="s">
        <v>47054</v>
      </c>
      <c r="I19930" t="s">
        <v>47116</v>
      </c>
      <c r="J19930" t="s">
        <v>47117</v>
      </c>
      <c r="K19930" t="s">
        <v>47113</v>
      </c>
      <c r="L19930">
        <v>38.880000000000003</v>
      </c>
      <c r="M19930">
        <v>92</v>
      </c>
      <c r="N19930">
        <v>249</v>
      </c>
      <c r="O19930">
        <v>92</v>
      </c>
      <c r="P19930">
        <v>249</v>
      </c>
    </row>
    <row r="19931" spans="1:16" x14ac:dyDescent="0.25">
      <c r="A19931" t="s">
        <v>42620</v>
      </c>
      <c r="B19931" t="s">
        <v>42621</v>
      </c>
      <c r="C19931" t="s">
        <v>42622</v>
      </c>
      <c r="D19931" t="s">
        <v>41945</v>
      </c>
      <c r="E19931" t="s">
        <v>41946</v>
      </c>
      <c r="F19931" t="s">
        <v>24617</v>
      </c>
      <c r="G19931" t="s">
        <v>47093</v>
      </c>
      <c r="H19931" t="s">
        <v>47054</v>
      </c>
      <c r="I19931" t="s">
        <v>47120</v>
      </c>
      <c r="J19931" t="s">
        <v>47121</v>
      </c>
      <c r="K19931" t="s">
        <v>47113</v>
      </c>
      <c r="L19931">
        <v>26.87</v>
      </c>
      <c r="M19931">
        <v>70</v>
      </c>
      <c r="N19931">
        <v>189</v>
      </c>
      <c r="O19931">
        <v>70</v>
      </c>
      <c r="P19931">
        <v>189</v>
      </c>
    </row>
    <row r="19932" spans="1:16" x14ac:dyDescent="0.25">
      <c r="A19932" t="s">
        <v>42623</v>
      </c>
      <c r="B19932" t="s">
        <v>42624</v>
      </c>
      <c r="C19932" t="s">
        <v>42625</v>
      </c>
      <c r="D19932" t="s">
        <v>42626</v>
      </c>
      <c r="E19932" t="s">
        <v>42627</v>
      </c>
      <c r="F19932" t="s">
        <v>24622</v>
      </c>
      <c r="G19932" t="s">
        <v>47093</v>
      </c>
      <c r="H19932" t="s">
        <v>47054</v>
      </c>
      <c r="I19932" t="s">
        <v>47116</v>
      </c>
      <c r="J19932" t="s">
        <v>47117</v>
      </c>
      <c r="K19932" t="s">
        <v>47113</v>
      </c>
      <c r="L19932">
        <v>41.64</v>
      </c>
      <c r="M19932">
        <v>103</v>
      </c>
      <c r="N19932">
        <v>279</v>
      </c>
      <c r="O19932">
        <v>103</v>
      </c>
      <c r="P19932">
        <v>279</v>
      </c>
    </row>
    <row r="19933" spans="1:16" x14ac:dyDescent="0.25">
      <c r="A19933" t="s">
        <v>42628</v>
      </c>
      <c r="B19933" t="s">
        <v>18917</v>
      </c>
      <c r="C19933" t="s">
        <v>16404</v>
      </c>
      <c r="D19933" t="s">
        <v>18469</v>
      </c>
      <c r="E19933" t="s">
        <v>18470</v>
      </c>
      <c r="F19933" t="s">
        <v>16601</v>
      </c>
      <c r="G19933" t="s">
        <v>47093</v>
      </c>
      <c r="H19933" t="s">
        <v>47054</v>
      </c>
      <c r="I19933" t="s">
        <v>47111</v>
      </c>
      <c r="J19933" t="s">
        <v>47112</v>
      </c>
      <c r="K19933" t="s">
        <v>47113</v>
      </c>
      <c r="L19933">
        <v>58.95</v>
      </c>
      <c r="M19933">
        <v>118</v>
      </c>
      <c r="N19933">
        <v>0</v>
      </c>
      <c r="O19933">
        <v>118</v>
      </c>
      <c r="P19933">
        <v>0</v>
      </c>
    </row>
    <row r="19934" spans="1:16" x14ac:dyDescent="0.25">
      <c r="A19934" t="s">
        <v>42629</v>
      </c>
      <c r="B19934" t="s">
        <v>18918</v>
      </c>
      <c r="C19934" t="s">
        <v>16404</v>
      </c>
      <c r="D19934" t="s">
        <v>18477</v>
      </c>
      <c r="E19934" t="s">
        <v>18478</v>
      </c>
      <c r="F19934" t="s">
        <v>16601</v>
      </c>
      <c r="G19934" t="s">
        <v>47093</v>
      </c>
      <c r="H19934" t="s">
        <v>47054</v>
      </c>
      <c r="I19934" t="s">
        <v>47111</v>
      </c>
      <c r="J19934" t="s">
        <v>47112</v>
      </c>
      <c r="K19934" t="s">
        <v>47113</v>
      </c>
      <c r="L19934">
        <v>62.55</v>
      </c>
      <c r="M19934">
        <v>129</v>
      </c>
      <c r="N19934">
        <v>0</v>
      </c>
      <c r="O19934">
        <v>129</v>
      </c>
      <c r="P19934">
        <v>0</v>
      </c>
    </row>
    <row r="19935" spans="1:16" x14ac:dyDescent="0.25">
      <c r="A19935" t="s">
        <v>42630</v>
      </c>
      <c r="B19935" t="s">
        <v>18919</v>
      </c>
      <c r="C19935" t="s">
        <v>18920</v>
      </c>
      <c r="D19935" t="str">
        <f>"1700"</f>
        <v>1700</v>
      </c>
      <c r="E19935" t="s">
        <v>18480</v>
      </c>
      <c r="F19935" t="s">
        <v>16601</v>
      </c>
      <c r="G19935" t="s">
        <v>47093</v>
      </c>
      <c r="H19935" t="s">
        <v>47054</v>
      </c>
      <c r="I19935" t="s">
        <v>47116</v>
      </c>
      <c r="J19935" t="s">
        <v>47117</v>
      </c>
      <c r="K19935" t="s">
        <v>47113</v>
      </c>
      <c r="L19935">
        <v>36.79</v>
      </c>
      <c r="M19935">
        <v>74</v>
      </c>
      <c r="N19935">
        <v>0</v>
      </c>
      <c r="O19935">
        <v>74</v>
      </c>
      <c r="P19935">
        <v>0</v>
      </c>
    </row>
    <row r="19936" spans="1:16" x14ac:dyDescent="0.25">
      <c r="A19936" t="s">
        <v>42631</v>
      </c>
      <c r="B19936" t="s">
        <v>18921</v>
      </c>
      <c r="C19936" t="s">
        <v>21708</v>
      </c>
      <c r="D19936" t="s">
        <v>18612</v>
      </c>
      <c r="E19936" t="s">
        <v>18613</v>
      </c>
      <c r="F19936" t="s">
        <v>16839</v>
      </c>
      <c r="G19936" t="s">
        <v>47093</v>
      </c>
      <c r="H19936" t="s">
        <v>47054</v>
      </c>
      <c r="I19936" t="s">
        <v>47111</v>
      </c>
      <c r="J19936" t="s">
        <v>47112</v>
      </c>
      <c r="K19936" t="s">
        <v>47113</v>
      </c>
      <c r="L19936">
        <v>36.79</v>
      </c>
      <c r="M19936">
        <v>74</v>
      </c>
      <c r="N19936">
        <v>0</v>
      </c>
      <c r="O19936">
        <v>74</v>
      </c>
      <c r="P19936">
        <v>0</v>
      </c>
    </row>
    <row r="19937" spans="1:16" x14ac:dyDescent="0.25">
      <c r="A19937" t="s">
        <v>42632</v>
      </c>
      <c r="B19937" t="s">
        <v>21781</v>
      </c>
      <c r="C19937" t="s">
        <v>21782</v>
      </c>
      <c r="D19937" t="str">
        <f>"1001"</f>
        <v>1001</v>
      </c>
      <c r="E19937" t="s">
        <v>21783</v>
      </c>
      <c r="F19937" t="s">
        <v>16771</v>
      </c>
      <c r="G19937" t="s">
        <v>47093</v>
      </c>
      <c r="H19937" t="s">
        <v>47054</v>
      </c>
      <c r="I19937" t="s">
        <v>47116</v>
      </c>
      <c r="J19937" t="s">
        <v>47117</v>
      </c>
      <c r="K19937" t="s">
        <v>47113</v>
      </c>
      <c r="L19937">
        <v>35.85</v>
      </c>
      <c r="M19937">
        <v>111</v>
      </c>
      <c r="N19937">
        <v>0</v>
      </c>
      <c r="O19937">
        <v>111</v>
      </c>
      <c r="P19937">
        <v>0</v>
      </c>
    </row>
    <row r="19938" spans="1:16" x14ac:dyDescent="0.25">
      <c r="A19938" t="s">
        <v>42633</v>
      </c>
      <c r="B19938" t="s">
        <v>21784</v>
      </c>
      <c r="C19938" t="s">
        <v>21782</v>
      </c>
      <c r="D19938" t="str">
        <f>"11"</f>
        <v>11</v>
      </c>
      <c r="E19938" t="s">
        <v>288</v>
      </c>
      <c r="F19938" t="s">
        <v>16771</v>
      </c>
      <c r="G19938" t="s">
        <v>47093</v>
      </c>
      <c r="H19938" t="s">
        <v>47054</v>
      </c>
      <c r="I19938" t="s">
        <v>47116</v>
      </c>
      <c r="J19938" t="s">
        <v>47117</v>
      </c>
      <c r="K19938" t="s">
        <v>47113</v>
      </c>
      <c r="L19938">
        <v>38.61</v>
      </c>
      <c r="M19938">
        <v>111</v>
      </c>
      <c r="N19938">
        <v>0</v>
      </c>
      <c r="O19938">
        <v>111</v>
      </c>
      <c r="P19938">
        <v>0</v>
      </c>
    </row>
    <row r="19939" spans="1:16" x14ac:dyDescent="0.25">
      <c r="A19939" t="s">
        <v>42634</v>
      </c>
      <c r="B19939" t="s">
        <v>42635</v>
      </c>
      <c r="C19939" t="s">
        <v>42636</v>
      </c>
      <c r="D19939" t="s">
        <v>21729</v>
      </c>
      <c r="E19939" t="s">
        <v>21730</v>
      </c>
      <c r="F19939" t="s">
        <v>19552</v>
      </c>
      <c r="G19939" t="s">
        <v>47093</v>
      </c>
      <c r="H19939" t="s">
        <v>47054</v>
      </c>
      <c r="I19939" t="s">
        <v>47111</v>
      </c>
      <c r="J19939" t="s">
        <v>47112</v>
      </c>
      <c r="K19939" t="s">
        <v>47113</v>
      </c>
      <c r="L19939">
        <v>73.06</v>
      </c>
      <c r="M19939">
        <v>174</v>
      </c>
      <c r="N19939">
        <v>0</v>
      </c>
      <c r="O19939">
        <v>174</v>
      </c>
      <c r="P19939">
        <v>0</v>
      </c>
    </row>
    <row r="19940" spans="1:16" x14ac:dyDescent="0.25">
      <c r="A19940" t="s">
        <v>42637</v>
      </c>
      <c r="B19940" t="s">
        <v>42638</v>
      </c>
      <c r="C19940" t="s">
        <v>42636</v>
      </c>
      <c r="D19940" t="str">
        <f>"11"</f>
        <v>11</v>
      </c>
      <c r="E19940" t="s">
        <v>288</v>
      </c>
      <c r="F19940" t="s">
        <v>20496</v>
      </c>
      <c r="G19940" t="s">
        <v>47093</v>
      </c>
      <c r="H19940" t="s">
        <v>47054</v>
      </c>
      <c r="I19940" t="s">
        <v>47116</v>
      </c>
      <c r="J19940" t="s">
        <v>47117</v>
      </c>
      <c r="K19940" t="s">
        <v>47113</v>
      </c>
      <c r="L19940">
        <v>31.93</v>
      </c>
      <c r="M19940">
        <v>148</v>
      </c>
      <c r="N19940">
        <v>0</v>
      </c>
      <c r="O19940">
        <v>148</v>
      </c>
      <c r="P19940">
        <v>0</v>
      </c>
    </row>
    <row r="19941" spans="1:16" x14ac:dyDescent="0.25">
      <c r="A19941" t="s">
        <v>42639</v>
      </c>
      <c r="B19941" t="s">
        <v>42640</v>
      </c>
      <c r="C19941" t="s">
        <v>16404</v>
      </c>
      <c r="D19941" t="s">
        <v>42070</v>
      </c>
      <c r="E19941" t="s">
        <v>42071</v>
      </c>
      <c r="F19941" t="s">
        <v>21627</v>
      </c>
      <c r="G19941" t="s">
        <v>47093</v>
      </c>
      <c r="H19941" t="s">
        <v>47054</v>
      </c>
      <c r="I19941" t="s">
        <v>47111</v>
      </c>
      <c r="J19941" t="s">
        <v>47112</v>
      </c>
      <c r="K19941" t="s">
        <v>47113</v>
      </c>
      <c r="L19941">
        <v>71.72</v>
      </c>
      <c r="M19941">
        <v>148</v>
      </c>
      <c r="N19941">
        <v>0</v>
      </c>
      <c r="O19941">
        <v>148</v>
      </c>
      <c r="P19941">
        <v>0</v>
      </c>
    </row>
    <row r="19942" spans="1:16" x14ac:dyDescent="0.25">
      <c r="A19942" t="s">
        <v>42641</v>
      </c>
      <c r="B19942" t="s">
        <v>21785</v>
      </c>
      <c r="C19942" t="s">
        <v>21786</v>
      </c>
      <c r="D19942" t="str">
        <f t="shared" ref="D19942:D19947" si="12">"1700"</f>
        <v>1700</v>
      </c>
      <c r="E19942" t="s">
        <v>60</v>
      </c>
      <c r="F19942" t="s">
        <v>19847</v>
      </c>
      <c r="G19942" t="s">
        <v>47091</v>
      </c>
      <c r="H19942" t="s">
        <v>47054</v>
      </c>
      <c r="I19942" t="s">
        <v>47111</v>
      </c>
      <c r="J19942" t="s">
        <v>47112</v>
      </c>
      <c r="K19942" t="s">
        <v>47113</v>
      </c>
      <c r="L19942">
        <v>18.41</v>
      </c>
      <c r="M19942">
        <v>29</v>
      </c>
      <c r="N19942">
        <v>0</v>
      </c>
      <c r="O19942">
        <v>29</v>
      </c>
      <c r="P19942">
        <v>0</v>
      </c>
    </row>
    <row r="19943" spans="1:16" x14ac:dyDescent="0.25">
      <c r="A19943" t="s">
        <v>42642</v>
      </c>
      <c r="B19943" t="s">
        <v>21787</v>
      </c>
      <c r="C19943" t="s">
        <v>21788</v>
      </c>
      <c r="D19943" t="str">
        <f t="shared" si="12"/>
        <v>1700</v>
      </c>
      <c r="E19943" t="s">
        <v>60</v>
      </c>
      <c r="F19943" t="s">
        <v>19908</v>
      </c>
      <c r="G19943" t="s">
        <v>47091</v>
      </c>
      <c r="H19943" t="s">
        <v>47054</v>
      </c>
      <c r="I19943" t="s">
        <v>47569</v>
      </c>
      <c r="J19943" t="s">
        <v>47570</v>
      </c>
      <c r="K19943" t="s">
        <v>47113</v>
      </c>
      <c r="L19943">
        <v>16.16</v>
      </c>
      <c r="M19943">
        <v>29</v>
      </c>
      <c r="N19943">
        <v>0</v>
      </c>
      <c r="O19943">
        <v>29</v>
      </c>
      <c r="P19943">
        <v>0</v>
      </c>
    </row>
    <row r="19944" spans="1:16" x14ac:dyDescent="0.25">
      <c r="A19944" t="s">
        <v>42643</v>
      </c>
      <c r="B19944" t="s">
        <v>21789</v>
      </c>
      <c r="C19944" t="s">
        <v>21790</v>
      </c>
      <c r="D19944" t="str">
        <f t="shared" si="12"/>
        <v>1700</v>
      </c>
      <c r="E19944" t="s">
        <v>21791</v>
      </c>
      <c r="F19944" t="s">
        <v>19552</v>
      </c>
      <c r="G19944" t="s">
        <v>47091</v>
      </c>
      <c r="H19944" t="s">
        <v>47054</v>
      </c>
      <c r="I19944" t="s">
        <v>47111</v>
      </c>
      <c r="J19944" t="s">
        <v>47112</v>
      </c>
      <c r="K19944" t="s">
        <v>47113</v>
      </c>
      <c r="L19944">
        <v>12.37</v>
      </c>
      <c r="M19944">
        <v>22</v>
      </c>
      <c r="N19944">
        <v>0</v>
      </c>
      <c r="O19944">
        <v>22</v>
      </c>
      <c r="P19944">
        <v>0</v>
      </c>
    </row>
    <row r="19945" spans="1:16" x14ac:dyDescent="0.25">
      <c r="A19945" t="s">
        <v>42644</v>
      </c>
      <c r="B19945" t="s">
        <v>21792</v>
      </c>
      <c r="C19945" t="s">
        <v>21793</v>
      </c>
      <c r="D19945" t="str">
        <f t="shared" si="12"/>
        <v>1700</v>
      </c>
      <c r="E19945" t="s">
        <v>60</v>
      </c>
      <c r="F19945" t="s">
        <v>19878</v>
      </c>
      <c r="G19945" t="s">
        <v>47091</v>
      </c>
      <c r="H19945" t="s">
        <v>47054</v>
      </c>
      <c r="I19945" t="s">
        <v>47118</v>
      </c>
      <c r="J19945" t="s">
        <v>47119</v>
      </c>
      <c r="K19945" t="s">
        <v>47113</v>
      </c>
      <c r="L19945">
        <v>14.18</v>
      </c>
      <c r="M19945">
        <v>37</v>
      </c>
      <c r="N19945">
        <v>0</v>
      </c>
      <c r="O19945">
        <v>37</v>
      </c>
      <c r="P19945">
        <v>0</v>
      </c>
    </row>
    <row r="19946" spans="1:16" x14ac:dyDescent="0.25">
      <c r="A19946" t="s">
        <v>42645</v>
      </c>
      <c r="B19946" t="s">
        <v>21794</v>
      </c>
      <c r="C19946" t="s">
        <v>21795</v>
      </c>
      <c r="D19946" t="str">
        <f t="shared" si="12"/>
        <v>1700</v>
      </c>
      <c r="E19946" t="s">
        <v>60</v>
      </c>
      <c r="F19946" t="s">
        <v>19552</v>
      </c>
      <c r="G19946" t="s">
        <v>47091</v>
      </c>
      <c r="H19946" t="s">
        <v>47054</v>
      </c>
      <c r="I19946" t="s">
        <v>47118</v>
      </c>
      <c r="J19946" t="s">
        <v>47119</v>
      </c>
      <c r="K19946" t="s">
        <v>47113</v>
      </c>
      <c r="L19946">
        <v>13.02</v>
      </c>
      <c r="M19946">
        <v>22</v>
      </c>
      <c r="N19946">
        <v>0</v>
      </c>
      <c r="O19946">
        <v>22</v>
      </c>
      <c r="P19946">
        <v>0</v>
      </c>
    </row>
    <row r="19947" spans="1:16" x14ac:dyDescent="0.25">
      <c r="A19947" t="s">
        <v>42646</v>
      </c>
      <c r="B19947" t="s">
        <v>18922</v>
      </c>
      <c r="C19947" t="s">
        <v>18923</v>
      </c>
      <c r="D19947" t="str">
        <f t="shared" si="12"/>
        <v>1700</v>
      </c>
      <c r="E19947" t="s">
        <v>60</v>
      </c>
      <c r="F19947" t="s">
        <v>16730</v>
      </c>
      <c r="G19947" t="s">
        <v>47091</v>
      </c>
      <c r="H19947" t="s">
        <v>47054</v>
      </c>
      <c r="I19947" t="s">
        <v>47111</v>
      </c>
      <c r="J19947" t="s">
        <v>47112</v>
      </c>
      <c r="K19947" t="s">
        <v>47113</v>
      </c>
      <c r="L19947">
        <v>10.62</v>
      </c>
      <c r="M19947">
        <v>26</v>
      </c>
      <c r="N19947">
        <v>0</v>
      </c>
      <c r="O19947">
        <v>26</v>
      </c>
      <c r="P19947">
        <v>0</v>
      </c>
    </row>
    <row r="19948" spans="1:16" x14ac:dyDescent="0.25">
      <c r="A19948" t="s">
        <v>42647</v>
      </c>
      <c r="B19948" t="s">
        <v>18924</v>
      </c>
      <c r="C19948" t="s">
        <v>18925</v>
      </c>
      <c r="D19948" t="str">
        <f>"1001"</f>
        <v>1001</v>
      </c>
      <c r="E19948" t="s">
        <v>42</v>
      </c>
      <c r="F19948" t="s">
        <v>16771</v>
      </c>
      <c r="G19948" t="s">
        <v>47091</v>
      </c>
      <c r="H19948" t="s">
        <v>47054</v>
      </c>
      <c r="I19948" t="s">
        <v>47569</v>
      </c>
      <c r="J19948" t="s">
        <v>47570</v>
      </c>
      <c r="K19948" t="s">
        <v>47113</v>
      </c>
      <c r="L19948">
        <v>8.4600000000000009</v>
      </c>
      <c r="M19948">
        <v>26</v>
      </c>
      <c r="N19948">
        <v>0</v>
      </c>
      <c r="O19948">
        <v>26</v>
      </c>
      <c r="P19948">
        <v>0</v>
      </c>
    </row>
    <row r="19949" spans="1:16" x14ac:dyDescent="0.25">
      <c r="A19949" t="s">
        <v>42648</v>
      </c>
      <c r="B19949" t="s">
        <v>18926</v>
      </c>
      <c r="C19949" t="s">
        <v>18927</v>
      </c>
      <c r="D19949" t="str">
        <f>"1700"</f>
        <v>1700</v>
      </c>
      <c r="E19949" t="s">
        <v>60</v>
      </c>
      <c r="F19949" t="s">
        <v>16771</v>
      </c>
      <c r="G19949" t="s">
        <v>47091</v>
      </c>
      <c r="H19949" t="s">
        <v>47054</v>
      </c>
      <c r="I19949" t="s">
        <v>47111</v>
      </c>
      <c r="J19949" t="s">
        <v>47112</v>
      </c>
      <c r="K19949" t="s">
        <v>47113</v>
      </c>
      <c r="L19949">
        <v>8.4600000000000009</v>
      </c>
      <c r="M19949">
        <v>26</v>
      </c>
      <c r="N19949">
        <v>0</v>
      </c>
      <c r="O19949">
        <v>26</v>
      </c>
      <c r="P19949">
        <v>0</v>
      </c>
    </row>
    <row r="19950" spans="1:16" x14ac:dyDescent="0.25">
      <c r="A19950" t="s">
        <v>42649</v>
      </c>
      <c r="B19950" t="s">
        <v>18928</v>
      </c>
      <c r="C19950" t="s">
        <v>18929</v>
      </c>
      <c r="D19950" t="str">
        <f>"1001"</f>
        <v>1001</v>
      </c>
      <c r="E19950" t="s">
        <v>42</v>
      </c>
      <c r="F19950" t="s">
        <v>16730</v>
      </c>
      <c r="G19950" t="s">
        <v>47091</v>
      </c>
      <c r="H19950" t="s">
        <v>47054</v>
      </c>
      <c r="I19950" t="s">
        <v>47116</v>
      </c>
      <c r="J19950" t="s">
        <v>47117</v>
      </c>
      <c r="K19950" t="s">
        <v>47113</v>
      </c>
      <c r="L19950">
        <v>7.89</v>
      </c>
      <c r="M19950">
        <v>26</v>
      </c>
      <c r="N19950">
        <v>0</v>
      </c>
      <c r="O19950">
        <v>26</v>
      </c>
      <c r="P19950">
        <v>0</v>
      </c>
    </row>
    <row r="19951" spans="1:16" x14ac:dyDescent="0.25">
      <c r="A19951" t="s">
        <v>42650</v>
      </c>
      <c r="B19951" t="s">
        <v>18930</v>
      </c>
      <c r="C19951" t="s">
        <v>18931</v>
      </c>
      <c r="D19951" t="str">
        <f>"1001"</f>
        <v>1001</v>
      </c>
      <c r="E19951" t="s">
        <v>42</v>
      </c>
      <c r="F19951" t="s">
        <v>16839</v>
      </c>
      <c r="G19951" t="s">
        <v>47091</v>
      </c>
      <c r="H19951" t="s">
        <v>47054</v>
      </c>
      <c r="I19951" t="s">
        <v>47569</v>
      </c>
      <c r="J19951" t="s">
        <v>47570</v>
      </c>
      <c r="K19951" t="s">
        <v>47113</v>
      </c>
      <c r="L19951">
        <v>16.39</v>
      </c>
      <c r="M19951">
        <v>33</v>
      </c>
      <c r="N19951">
        <v>0</v>
      </c>
      <c r="O19951">
        <v>33</v>
      </c>
      <c r="P19951">
        <v>0</v>
      </c>
    </row>
    <row r="19952" spans="1:16" x14ac:dyDescent="0.25">
      <c r="A19952" t="s">
        <v>42651</v>
      </c>
      <c r="B19952" t="s">
        <v>18930</v>
      </c>
      <c r="C19952" t="s">
        <v>18931</v>
      </c>
      <c r="D19952" t="str">
        <f>"1700"</f>
        <v>1700</v>
      </c>
      <c r="E19952" t="s">
        <v>60</v>
      </c>
      <c r="F19952" t="s">
        <v>16839</v>
      </c>
      <c r="G19952" t="s">
        <v>47091</v>
      </c>
      <c r="H19952" t="s">
        <v>47054</v>
      </c>
      <c r="I19952" t="s">
        <v>47569</v>
      </c>
      <c r="J19952" t="s">
        <v>47570</v>
      </c>
      <c r="K19952" t="s">
        <v>47113</v>
      </c>
      <c r="L19952">
        <v>16.39</v>
      </c>
      <c r="M19952">
        <v>33</v>
      </c>
      <c r="N19952">
        <v>0</v>
      </c>
      <c r="O19952">
        <v>33</v>
      </c>
      <c r="P19952">
        <v>0</v>
      </c>
    </row>
    <row r="19953" spans="1:16" x14ac:dyDescent="0.25">
      <c r="A19953" t="s">
        <v>42652</v>
      </c>
      <c r="B19953" t="s">
        <v>18932</v>
      </c>
      <c r="C19953" t="s">
        <v>18933</v>
      </c>
      <c r="D19953" t="str">
        <f>"1700"</f>
        <v>1700</v>
      </c>
      <c r="E19953" t="s">
        <v>60</v>
      </c>
      <c r="F19953" t="s">
        <v>16810</v>
      </c>
      <c r="G19953" t="s">
        <v>47091</v>
      </c>
      <c r="H19953" t="s">
        <v>47054</v>
      </c>
      <c r="I19953" t="s">
        <v>47569</v>
      </c>
      <c r="J19953" t="s">
        <v>47570</v>
      </c>
      <c r="K19953" t="s">
        <v>47113</v>
      </c>
      <c r="L19953">
        <v>12.93</v>
      </c>
      <c r="M19953">
        <v>26</v>
      </c>
      <c r="N19953">
        <v>0</v>
      </c>
      <c r="O19953">
        <v>26</v>
      </c>
      <c r="P19953">
        <v>0</v>
      </c>
    </row>
    <row r="19954" spans="1:16" x14ac:dyDescent="0.25">
      <c r="A19954" t="s">
        <v>42653</v>
      </c>
      <c r="B19954" t="s">
        <v>18934</v>
      </c>
      <c r="C19954" t="s">
        <v>18935</v>
      </c>
      <c r="D19954" t="str">
        <f>"1700"</f>
        <v>1700</v>
      </c>
      <c r="E19954" t="s">
        <v>60</v>
      </c>
      <c r="F19954" t="s">
        <v>16810</v>
      </c>
      <c r="G19954" t="s">
        <v>47091</v>
      </c>
      <c r="H19954" t="s">
        <v>47054</v>
      </c>
      <c r="I19954" t="s">
        <v>47111</v>
      </c>
      <c r="J19954" t="s">
        <v>47112</v>
      </c>
      <c r="K19954" t="s">
        <v>47113</v>
      </c>
      <c r="L19954">
        <v>14.55</v>
      </c>
      <c r="M19954">
        <v>29</v>
      </c>
      <c r="N19954">
        <v>0</v>
      </c>
      <c r="O19954">
        <v>29</v>
      </c>
      <c r="P19954">
        <v>0</v>
      </c>
    </row>
    <row r="19955" spans="1:16" x14ac:dyDescent="0.25">
      <c r="A19955" t="s">
        <v>42654</v>
      </c>
      <c r="B19955" t="s">
        <v>18936</v>
      </c>
      <c r="C19955" t="s">
        <v>18937</v>
      </c>
      <c r="D19955" t="str">
        <f>"1700"</f>
        <v>1700</v>
      </c>
      <c r="E19955" t="s">
        <v>60</v>
      </c>
      <c r="F19955" t="s">
        <v>16746</v>
      </c>
      <c r="G19955" t="s">
        <v>47091</v>
      </c>
      <c r="H19955" t="s">
        <v>47054</v>
      </c>
      <c r="I19955" t="s">
        <v>47569</v>
      </c>
      <c r="J19955" t="s">
        <v>47570</v>
      </c>
      <c r="K19955" t="s">
        <v>47113</v>
      </c>
      <c r="L19955">
        <v>12.93</v>
      </c>
      <c r="M19955">
        <v>26</v>
      </c>
      <c r="N19955">
        <v>0</v>
      </c>
      <c r="O19955">
        <v>26</v>
      </c>
      <c r="P19955">
        <v>0</v>
      </c>
    </row>
    <row r="19956" spans="1:16" x14ac:dyDescent="0.25">
      <c r="A19956" t="s">
        <v>42655</v>
      </c>
      <c r="B19956" t="s">
        <v>18938</v>
      </c>
      <c r="C19956" t="s">
        <v>18939</v>
      </c>
      <c r="D19956" t="str">
        <f>"1001"</f>
        <v>1001</v>
      </c>
      <c r="E19956" t="s">
        <v>18259</v>
      </c>
      <c r="F19956" t="s">
        <v>16762</v>
      </c>
      <c r="G19956" t="s">
        <v>47091</v>
      </c>
      <c r="H19956" t="s">
        <v>47054</v>
      </c>
      <c r="I19956" t="s">
        <v>47569</v>
      </c>
      <c r="J19956" t="s">
        <v>47570</v>
      </c>
      <c r="K19956" t="s">
        <v>47113</v>
      </c>
      <c r="L19956">
        <v>10.78</v>
      </c>
      <c r="M19956">
        <v>26</v>
      </c>
      <c r="N19956">
        <v>0</v>
      </c>
      <c r="O19956">
        <v>26</v>
      </c>
      <c r="P19956">
        <v>0</v>
      </c>
    </row>
    <row r="19957" spans="1:16" x14ac:dyDescent="0.25">
      <c r="A19957" t="s">
        <v>42656</v>
      </c>
      <c r="B19957" t="s">
        <v>21796</v>
      </c>
      <c r="C19957" t="s">
        <v>21797</v>
      </c>
      <c r="D19957" t="str">
        <f t="shared" ref="D19957:D19962" si="13">"1700"</f>
        <v>1700</v>
      </c>
      <c r="E19957" t="s">
        <v>60</v>
      </c>
      <c r="F19957" t="s">
        <v>19847</v>
      </c>
      <c r="G19957" t="s">
        <v>47091</v>
      </c>
      <c r="H19957" t="s">
        <v>47054</v>
      </c>
      <c r="I19957" t="s">
        <v>47118</v>
      </c>
      <c r="J19957" t="s">
        <v>47119</v>
      </c>
      <c r="K19957" t="s">
        <v>47113</v>
      </c>
      <c r="L19957">
        <v>14.25</v>
      </c>
      <c r="M19957">
        <v>33</v>
      </c>
      <c r="N19957">
        <v>0</v>
      </c>
      <c r="O19957">
        <v>33</v>
      </c>
      <c r="P19957">
        <v>0</v>
      </c>
    </row>
    <row r="19958" spans="1:16" x14ac:dyDescent="0.25">
      <c r="A19958" t="s">
        <v>42657</v>
      </c>
      <c r="B19958" t="s">
        <v>21798</v>
      </c>
      <c r="C19958" t="s">
        <v>21799</v>
      </c>
      <c r="D19958" t="str">
        <f t="shared" si="13"/>
        <v>1700</v>
      </c>
      <c r="E19958" t="s">
        <v>60</v>
      </c>
      <c r="F19958" t="s">
        <v>19908</v>
      </c>
      <c r="G19958" t="s">
        <v>47091</v>
      </c>
      <c r="H19958" t="s">
        <v>47054</v>
      </c>
      <c r="I19958" t="s">
        <v>47111</v>
      </c>
      <c r="J19958" t="s">
        <v>47112</v>
      </c>
      <c r="K19958" t="s">
        <v>47113</v>
      </c>
      <c r="L19958">
        <v>14.8</v>
      </c>
      <c r="M19958">
        <v>33</v>
      </c>
      <c r="N19958">
        <v>0</v>
      </c>
      <c r="O19958">
        <v>33</v>
      </c>
      <c r="P19958">
        <v>0</v>
      </c>
    </row>
    <row r="19959" spans="1:16" x14ac:dyDescent="0.25">
      <c r="A19959" t="s">
        <v>42658</v>
      </c>
      <c r="B19959" t="s">
        <v>21800</v>
      </c>
      <c r="C19959" t="s">
        <v>21801</v>
      </c>
      <c r="D19959" t="str">
        <f t="shared" si="13"/>
        <v>1700</v>
      </c>
      <c r="E19959" t="s">
        <v>21802</v>
      </c>
      <c r="F19959" t="s">
        <v>19552</v>
      </c>
      <c r="G19959" t="s">
        <v>47091</v>
      </c>
      <c r="H19959" t="s">
        <v>47054</v>
      </c>
      <c r="I19959" t="s">
        <v>47111</v>
      </c>
      <c r="J19959" t="s">
        <v>47112</v>
      </c>
      <c r="K19959" t="s">
        <v>47113</v>
      </c>
      <c r="L19959">
        <v>14.85</v>
      </c>
      <c r="M19959">
        <v>37</v>
      </c>
      <c r="N19959">
        <v>0</v>
      </c>
      <c r="O19959">
        <v>37</v>
      </c>
      <c r="P19959">
        <v>0</v>
      </c>
    </row>
    <row r="19960" spans="1:16" x14ac:dyDescent="0.25">
      <c r="A19960" t="s">
        <v>22908</v>
      </c>
      <c r="B19960" t="s">
        <v>21803</v>
      </c>
      <c r="C19960" t="s">
        <v>21804</v>
      </c>
      <c r="D19960" t="str">
        <f t="shared" si="13"/>
        <v>1700</v>
      </c>
      <c r="E19960" t="s">
        <v>60</v>
      </c>
      <c r="F19960" t="s">
        <v>19559</v>
      </c>
      <c r="G19960" t="s">
        <v>47091</v>
      </c>
      <c r="H19960" t="s">
        <v>47054</v>
      </c>
      <c r="I19960" t="s">
        <v>47569</v>
      </c>
      <c r="J19960" t="s">
        <v>47570</v>
      </c>
      <c r="K19960" t="s">
        <v>47113</v>
      </c>
      <c r="L19960">
        <v>9.6199999999999992</v>
      </c>
      <c r="M19960">
        <v>22</v>
      </c>
      <c r="N19960">
        <v>0</v>
      </c>
      <c r="O19960">
        <v>22</v>
      </c>
      <c r="P19960">
        <v>0</v>
      </c>
    </row>
    <row r="19961" spans="1:16" x14ac:dyDescent="0.25">
      <c r="A19961" t="s">
        <v>22909</v>
      </c>
      <c r="B19961" t="s">
        <v>22910</v>
      </c>
      <c r="C19961" t="s">
        <v>22911</v>
      </c>
      <c r="D19961" t="str">
        <f t="shared" si="13"/>
        <v>1700</v>
      </c>
      <c r="E19961" t="s">
        <v>60</v>
      </c>
      <c r="F19961" t="s">
        <v>20496</v>
      </c>
      <c r="G19961" t="s">
        <v>47091</v>
      </c>
      <c r="H19961" t="s">
        <v>47054</v>
      </c>
      <c r="I19961" t="s">
        <v>47118</v>
      </c>
      <c r="J19961" t="s">
        <v>47119</v>
      </c>
      <c r="K19961" t="s">
        <v>47113</v>
      </c>
      <c r="L19961">
        <v>12.03</v>
      </c>
      <c r="M19961">
        <v>26</v>
      </c>
      <c r="N19961">
        <v>0</v>
      </c>
      <c r="O19961">
        <v>26</v>
      </c>
      <c r="P19961">
        <v>0</v>
      </c>
    </row>
    <row r="19962" spans="1:16" x14ac:dyDescent="0.25">
      <c r="A19962" t="s">
        <v>42659</v>
      </c>
      <c r="B19962" t="s">
        <v>42660</v>
      </c>
      <c r="C19962" t="s">
        <v>42661</v>
      </c>
      <c r="D19962" t="str">
        <f t="shared" si="13"/>
        <v>1700</v>
      </c>
      <c r="E19962" t="s">
        <v>60</v>
      </c>
      <c r="F19962" t="s">
        <v>20496</v>
      </c>
      <c r="G19962" t="s">
        <v>47091</v>
      </c>
      <c r="H19962" t="s">
        <v>47054</v>
      </c>
      <c r="I19962" t="s">
        <v>47118</v>
      </c>
      <c r="J19962" t="s">
        <v>47119</v>
      </c>
      <c r="K19962" t="s">
        <v>47113</v>
      </c>
      <c r="L19962">
        <v>10.62</v>
      </c>
      <c r="M19962">
        <v>26</v>
      </c>
      <c r="N19962">
        <v>0</v>
      </c>
      <c r="O19962">
        <v>26</v>
      </c>
      <c r="P19962">
        <v>0</v>
      </c>
    </row>
    <row r="19963" spans="1:16" x14ac:dyDescent="0.25">
      <c r="A19963" t="s">
        <v>42662</v>
      </c>
      <c r="B19963" t="s">
        <v>18940</v>
      </c>
      <c r="C19963" t="s">
        <v>18941</v>
      </c>
      <c r="D19963" t="str">
        <f>"1001"</f>
        <v>1001</v>
      </c>
      <c r="E19963" t="s">
        <v>42</v>
      </c>
      <c r="F19963" t="s">
        <v>16730</v>
      </c>
      <c r="G19963" t="s">
        <v>47091</v>
      </c>
      <c r="H19963" t="s">
        <v>47054</v>
      </c>
      <c r="I19963" t="s">
        <v>47111</v>
      </c>
      <c r="J19963" t="s">
        <v>47112</v>
      </c>
      <c r="K19963" t="s">
        <v>47113</v>
      </c>
      <c r="L19963">
        <v>8.51</v>
      </c>
      <c r="M19963">
        <v>26</v>
      </c>
      <c r="N19963">
        <v>0</v>
      </c>
      <c r="O19963">
        <v>26</v>
      </c>
      <c r="P19963">
        <v>0</v>
      </c>
    </row>
    <row r="19964" spans="1:16" x14ac:dyDescent="0.25">
      <c r="A19964" t="s">
        <v>42663</v>
      </c>
      <c r="B19964" t="s">
        <v>18942</v>
      </c>
      <c r="C19964" t="s">
        <v>18943</v>
      </c>
      <c r="D19964" t="str">
        <f>"1700"</f>
        <v>1700</v>
      </c>
      <c r="E19964" t="s">
        <v>60</v>
      </c>
      <c r="F19964" t="s">
        <v>16730</v>
      </c>
      <c r="G19964" t="s">
        <v>47091</v>
      </c>
      <c r="H19964" t="s">
        <v>47054</v>
      </c>
      <c r="I19964" t="s">
        <v>47111</v>
      </c>
      <c r="J19964" t="s">
        <v>47112</v>
      </c>
      <c r="K19964" t="s">
        <v>47113</v>
      </c>
      <c r="L19964">
        <v>10.29</v>
      </c>
      <c r="M19964">
        <v>26</v>
      </c>
      <c r="N19964">
        <v>0</v>
      </c>
      <c r="O19964">
        <v>26</v>
      </c>
      <c r="P19964">
        <v>0</v>
      </c>
    </row>
    <row r="19965" spans="1:16" x14ac:dyDescent="0.25">
      <c r="A19965" t="s">
        <v>42664</v>
      </c>
      <c r="B19965" t="s">
        <v>18944</v>
      </c>
      <c r="C19965" t="s">
        <v>18945</v>
      </c>
      <c r="D19965" t="str">
        <f>"1700"</f>
        <v>1700</v>
      </c>
      <c r="E19965" t="s">
        <v>60</v>
      </c>
      <c r="F19965" t="s">
        <v>16762</v>
      </c>
      <c r="G19965" t="s">
        <v>47091</v>
      </c>
      <c r="H19965" t="s">
        <v>47054</v>
      </c>
      <c r="I19965" t="s">
        <v>47111</v>
      </c>
      <c r="J19965" t="s">
        <v>47112</v>
      </c>
      <c r="K19965" t="s">
        <v>47113</v>
      </c>
      <c r="L19965">
        <v>8.32</v>
      </c>
      <c r="M19965">
        <v>26</v>
      </c>
      <c r="N19965">
        <v>0</v>
      </c>
      <c r="O19965">
        <v>26</v>
      </c>
      <c r="P19965">
        <v>0</v>
      </c>
    </row>
    <row r="19966" spans="1:16" x14ac:dyDescent="0.25">
      <c r="A19966" t="s">
        <v>42665</v>
      </c>
      <c r="B19966" t="s">
        <v>18944</v>
      </c>
      <c r="C19966" t="s">
        <v>18945</v>
      </c>
      <c r="D19966" t="str">
        <f>"7000"</f>
        <v>7000</v>
      </c>
      <c r="E19966" t="s">
        <v>18466</v>
      </c>
      <c r="F19966" t="s">
        <v>16762</v>
      </c>
      <c r="G19966" t="s">
        <v>47091</v>
      </c>
      <c r="H19966" t="s">
        <v>47054</v>
      </c>
      <c r="I19966" t="s">
        <v>47111</v>
      </c>
      <c r="J19966" t="s">
        <v>47112</v>
      </c>
      <c r="K19966" t="s">
        <v>47113</v>
      </c>
      <c r="L19966">
        <v>11.48</v>
      </c>
      <c r="M19966">
        <v>26</v>
      </c>
      <c r="N19966">
        <v>0</v>
      </c>
      <c r="O19966">
        <v>26</v>
      </c>
      <c r="P19966">
        <v>0</v>
      </c>
    </row>
    <row r="19967" spans="1:16" x14ac:dyDescent="0.25">
      <c r="A19967" t="s">
        <v>42666</v>
      </c>
      <c r="B19967" t="s">
        <v>18946</v>
      </c>
      <c r="C19967" t="s">
        <v>18947</v>
      </c>
      <c r="D19967" t="str">
        <f>"1001"</f>
        <v>1001</v>
      </c>
      <c r="E19967" t="s">
        <v>18948</v>
      </c>
      <c r="F19967" t="s">
        <v>16762</v>
      </c>
      <c r="G19967" t="s">
        <v>47091</v>
      </c>
      <c r="H19967" t="s">
        <v>47054</v>
      </c>
      <c r="I19967" t="s">
        <v>47116</v>
      </c>
      <c r="J19967" t="s">
        <v>47117</v>
      </c>
      <c r="K19967" t="s">
        <v>47113</v>
      </c>
      <c r="L19967">
        <v>15.3</v>
      </c>
      <c r="M19967">
        <v>29</v>
      </c>
      <c r="N19967">
        <v>0</v>
      </c>
      <c r="O19967">
        <v>29</v>
      </c>
      <c r="P19967">
        <v>0</v>
      </c>
    </row>
    <row r="19968" spans="1:16" x14ac:dyDescent="0.25">
      <c r="A19968" t="s">
        <v>42667</v>
      </c>
      <c r="B19968" t="s">
        <v>18949</v>
      </c>
      <c r="C19968" t="s">
        <v>18950</v>
      </c>
      <c r="D19968" t="str">
        <f>"1700"</f>
        <v>1700</v>
      </c>
      <c r="E19968" t="s">
        <v>60</v>
      </c>
      <c r="F19968" t="s">
        <v>16771</v>
      </c>
      <c r="G19968" t="s">
        <v>47091</v>
      </c>
      <c r="H19968" t="s">
        <v>47054</v>
      </c>
      <c r="I19968" t="s">
        <v>47116</v>
      </c>
      <c r="J19968" t="s">
        <v>47117</v>
      </c>
      <c r="K19968" t="s">
        <v>47113</v>
      </c>
      <c r="L19968">
        <v>7.99</v>
      </c>
      <c r="M19968">
        <v>26</v>
      </c>
      <c r="N19968">
        <v>0</v>
      </c>
      <c r="O19968">
        <v>26</v>
      </c>
      <c r="P19968">
        <v>0</v>
      </c>
    </row>
    <row r="19969" spans="1:16" x14ac:dyDescent="0.25">
      <c r="A19969" t="s">
        <v>42668</v>
      </c>
      <c r="B19969" t="s">
        <v>18951</v>
      </c>
      <c r="C19969" t="s">
        <v>18952</v>
      </c>
      <c r="D19969" t="str">
        <f>"1700"</f>
        <v>1700</v>
      </c>
      <c r="E19969" t="s">
        <v>60</v>
      </c>
      <c r="F19969" t="s">
        <v>16771</v>
      </c>
      <c r="G19969" t="s">
        <v>47091</v>
      </c>
      <c r="H19969" t="s">
        <v>47054</v>
      </c>
      <c r="I19969" t="s">
        <v>47111</v>
      </c>
      <c r="J19969" t="s">
        <v>47112</v>
      </c>
      <c r="K19969" t="s">
        <v>47113</v>
      </c>
      <c r="L19969">
        <v>10.52</v>
      </c>
      <c r="M19969">
        <v>26</v>
      </c>
      <c r="N19969">
        <v>0</v>
      </c>
      <c r="O19969">
        <v>26</v>
      </c>
      <c r="P19969">
        <v>0</v>
      </c>
    </row>
    <row r="19970" spans="1:16" x14ac:dyDescent="0.25">
      <c r="A19970" t="s">
        <v>42669</v>
      </c>
      <c r="B19970" t="s">
        <v>18953</v>
      </c>
      <c r="C19970" t="s">
        <v>18954</v>
      </c>
      <c r="D19970" t="str">
        <f>"1700"</f>
        <v>1700</v>
      </c>
      <c r="E19970" t="s">
        <v>60</v>
      </c>
      <c r="F19970" t="s">
        <v>16771</v>
      </c>
      <c r="G19970" t="s">
        <v>47091</v>
      </c>
      <c r="H19970" t="s">
        <v>47054</v>
      </c>
      <c r="I19970" t="s">
        <v>47111</v>
      </c>
      <c r="J19970" t="s">
        <v>47112</v>
      </c>
      <c r="K19970" t="s">
        <v>47113</v>
      </c>
      <c r="L19970">
        <v>8.94</v>
      </c>
      <c r="M19970">
        <v>26</v>
      </c>
      <c r="N19970">
        <v>0</v>
      </c>
      <c r="O19970">
        <v>26</v>
      </c>
      <c r="P19970">
        <v>0</v>
      </c>
    </row>
    <row r="19971" spans="1:16" x14ac:dyDescent="0.25">
      <c r="A19971" t="s">
        <v>42670</v>
      </c>
      <c r="B19971" t="s">
        <v>18955</v>
      </c>
      <c r="C19971" t="s">
        <v>18956</v>
      </c>
      <c r="D19971" t="str">
        <f>"1700"</f>
        <v>1700</v>
      </c>
      <c r="E19971" t="s">
        <v>60</v>
      </c>
      <c r="F19971" t="s">
        <v>16839</v>
      </c>
      <c r="G19971" t="s">
        <v>47091</v>
      </c>
      <c r="H19971" t="s">
        <v>47054</v>
      </c>
      <c r="I19971" t="s">
        <v>47569</v>
      </c>
      <c r="J19971" t="s">
        <v>47570</v>
      </c>
      <c r="K19971" t="s">
        <v>47113</v>
      </c>
      <c r="L19971">
        <v>16.39</v>
      </c>
      <c r="M19971">
        <v>33</v>
      </c>
      <c r="N19971">
        <v>0</v>
      </c>
      <c r="O19971">
        <v>33</v>
      </c>
      <c r="P19971">
        <v>0</v>
      </c>
    </row>
    <row r="19972" spans="1:16" x14ac:dyDescent="0.25">
      <c r="A19972" t="s">
        <v>42671</v>
      </c>
      <c r="B19972" t="s">
        <v>18957</v>
      </c>
      <c r="C19972" t="s">
        <v>18958</v>
      </c>
      <c r="D19972" t="str">
        <f>"1001"</f>
        <v>1001</v>
      </c>
      <c r="E19972" t="s">
        <v>42</v>
      </c>
      <c r="F19972" t="s">
        <v>16839</v>
      </c>
      <c r="G19972" t="s">
        <v>47091</v>
      </c>
      <c r="H19972" t="s">
        <v>47054</v>
      </c>
      <c r="I19972" t="s">
        <v>47111</v>
      </c>
      <c r="J19972" t="s">
        <v>47112</v>
      </c>
      <c r="K19972" t="s">
        <v>47113</v>
      </c>
      <c r="L19972">
        <v>12.93</v>
      </c>
      <c r="M19972">
        <v>26</v>
      </c>
      <c r="N19972">
        <v>0</v>
      </c>
      <c r="O19972">
        <v>26</v>
      </c>
      <c r="P19972">
        <v>0</v>
      </c>
    </row>
    <row r="19973" spans="1:16" x14ac:dyDescent="0.25">
      <c r="A19973" t="s">
        <v>42672</v>
      </c>
      <c r="B19973" t="s">
        <v>18959</v>
      </c>
      <c r="C19973" t="s">
        <v>18960</v>
      </c>
      <c r="D19973" t="str">
        <f>"1700"</f>
        <v>1700</v>
      </c>
      <c r="E19973" t="s">
        <v>60</v>
      </c>
      <c r="F19973" t="s">
        <v>16746</v>
      </c>
      <c r="G19973" t="s">
        <v>47091</v>
      </c>
      <c r="H19973" t="s">
        <v>47054</v>
      </c>
      <c r="I19973" t="s">
        <v>47569</v>
      </c>
      <c r="J19973" t="s">
        <v>47570</v>
      </c>
      <c r="K19973" t="s">
        <v>47113</v>
      </c>
      <c r="L19973">
        <v>16.39</v>
      </c>
      <c r="M19973">
        <v>33</v>
      </c>
      <c r="N19973">
        <v>0</v>
      </c>
      <c r="O19973">
        <v>33</v>
      </c>
      <c r="P19973">
        <v>0</v>
      </c>
    </row>
    <row r="19974" spans="1:16" x14ac:dyDescent="0.25">
      <c r="A19974" t="s">
        <v>42673</v>
      </c>
      <c r="B19974" t="s">
        <v>21805</v>
      </c>
      <c r="C19974" t="s">
        <v>21806</v>
      </c>
      <c r="D19974" t="str">
        <f>"1700"</f>
        <v>1700</v>
      </c>
      <c r="E19974" t="s">
        <v>60</v>
      </c>
      <c r="F19974" t="s">
        <v>19847</v>
      </c>
      <c r="G19974" t="s">
        <v>47091</v>
      </c>
      <c r="H19974" t="s">
        <v>47054</v>
      </c>
      <c r="I19974" t="s">
        <v>47118</v>
      </c>
      <c r="J19974" t="s">
        <v>47119</v>
      </c>
      <c r="K19974" t="s">
        <v>47113</v>
      </c>
      <c r="L19974">
        <v>14.25</v>
      </c>
      <c r="M19974">
        <v>33</v>
      </c>
      <c r="N19974">
        <v>0</v>
      </c>
      <c r="O19974">
        <v>33</v>
      </c>
      <c r="P19974">
        <v>0</v>
      </c>
    </row>
    <row r="19975" spans="1:16" x14ac:dyDescent="0.25">
      <c r="A19975" t="s">
        <v>42674</v>
      </c>
      <c r="B19975" t="s">
        <v>18961</v>
      </c>
      <c r="C19975" t="s">
        <v>18962</v>
      </c>
      <c r="D19975" t="str">
        <f>"3000"</f>
        <v>3000</v>
      </c>
      <c r="E19975" t="s">
        <v>18858</v>
      </c>
      <c r="F19975" t="s">
        <v>16730</v>
      </c>
      <c r="G19975" t="s">
        <v>47097</v>
      </c>
      <c r="I19975" t="s">
        <v>47111</v>
      </c>
      <c r="J19975" t="s">
        <v>47112</v>
      </c>
      <c r="K19975" t="s">
        <v>47113</v>
      </c>
      <c r="L19975">
        <v>10.19</v>
      </c>
      <c r="M19975">
        <v>22</v>
      </c>
      <c r="N19975">
        <v>0</v>
      </c>
      <c r="O19975">
        <v>22</v>
      </c>
      <c r="P19975">
        <v>0</v>
      </c>
    </row>
    <row r="19976" spans="1:16" x14ac:dyDescent="0.25">
      <c r="A19976" t="s">
        <v>42675</v>
      </c>
      <c r="B19976" t="s">
        <v>18961</v>
      </c>
      <c r="C19976" t="s">
        <v>18962</v>
      </c>
      <c r="D19976" t="str">
        <f>"5000"</f>
        <v>5000</v>
      </c>
      <c r="E19976" t="s">
        <v>18823</v>
      </c>
      <c r="F19976" t="s">
        <v>16730</v>
      </c>
      <c r="G19976" t="s">
        <v>47097</v>
      </c>
      <c r="I19976" t="s">
        <v>47111</v>
      </c>
      <c r="J19976" t="s">
        <v>47112</v>
      </c>
      <c r="K19976" t="s">
        <v>47113</v>
      </c>
      <c r="L19976">
        <v>10.19</v>
      </c>
      <c r="M19976">
        <v>22</v>
      </c>
      <c r="N19976">
        <v>0</v>
      </c>
      <c r="O19976">
        <v>22</v>
      </c>
      <c r="P19976">
        <v>0</v>
      </c>
    </row>
    <row r="19977" spans="1:16" x14ac:dyDescent="0.25">
      <c r="A19977" t="s">
        <v>42676</v>
      </c>
      <c r="B19977" t="s">
        <v>18961</v>
      </c>
      <c r="C19977" t="s">
        <v>18962</v>
      </c>
      <c r="D19977" t="str">
        <f>"6000"</f>
        <v>6000</v>
      </c>
      <c r="E19977" t="s">
        <v>18464</v>
      </c>
      <c r="F19977" t="s">
        <v>16730</v>
      </c>
      <c r="G19977" t="s">
        <v>47097</v>
      </c>
      <c r="I19977" t="s">
        <v>47111</v>
      </c>
      <c r="J19977" t="s">
        <v>47112</v>
      </c>
      <c r="K19977" t="s">
        <v>47113</v>
      </c>
      <c r="L19977">
        <v>10.19</v>
      </c>
      <c r="M19977">
        <v>22</v>
      </c>
      <c r="N19977">
        <v>0</v>
      </c>
      <c r="O19977">
        <v>22</v>
      </c>
      <c r="P19977">
        <v>0</v>
      </c>
    </row>
    <row r="19978" spans="1:16" x14ac:dyDescent="0.25">
      <c r="A19978" t="s">
        <v>22912</v>
      </c>
      <c r="B19978" t="s">
        <v>21807</v>
      </c>
      <c r="C19978" t="s">
        <v>21808</v>
      </c>
      <c r="D19978" t="s">
        <v>21640</v>
      </c>
      <c r="E19978" t="s">
        <v>21641</v>
      </c>
      <c r="F19978" t="s">
        <v>19552</v>
      </c>
      <c r="G19978" t="s">
        <v>47093</v>
      </c>
      <c r="H19978" t="s">
        <v>47054</v>
      </c>
      <c r="I19978" t="s">
        <v>47111</v>
      </c>
      <c r="J19978" t="s">
        <v>47112</v>
      </c>
      <c r="K19978" t="s">
        <v>47113</v>
      </c>
      <c r="L19978">
        <v>60.94</v>
      </c>
      <c r="M19978">
        <v>148</v>
      </c>
      <c r="N19978">
        <v>0</v>
      </c>
      <c r="O19978">
        <v>148</v>
      </c>
      <c r="P19978">
        <v>0</v>
      </c>
    </row>
    <row r="19979" spans="1:16" x14ac:dyDescent="0.25">
      <c r="A19979" t="s">
        <v>42677</v>
      </c>
      <c r="B19979" t="s">
        <v>18963</v>
      </c>
      <c r="C19979" t="s">
        <v>21447</v>
      </c>
      <c r="D19979" t="s">
        <v>18514</v>
      </c>
      <c r="E19979" t="s">
        <v>18515</v>
      </c>
      <c r="F19979" t="s">
        <v>16601</v>
      </c>
      <c r="G19979" t="s">
        <v>47093</v>
      </c>
      <c r="H19979" t="s">
        <v>47054</v>
      </c>
      <c r="I19979" t="s">
        <v>47116</v>
      </c>
      <c r="J19979" t="s">
        <v>47117</v>
      </c>
      <c r="K19979" t="s">
        <v>47113</v>
      </c>
      <c r="L19979">
        <v>39.880000000000003</v>
      </c>
      <c r="M19979">
        <v>92</v>
      </c>
      <c r="N19979">
        <v>0</v>
      </c>
      <c r="O19979">
        <v>92</v>
      </c>
      <c r="P19979">
        <v>0</v>
      </c>
    </row>
    <row r="19980" spans="1:16" x14ac:dyDescent="0.25">
      <c r="A19980" t="s">
        <v>42678</v>
      </c>
      <c r="B19980" t="s">
        <v>18964</v>
      </c>
      <c r="C19980" t="s">
        <v>21447</v>
      </c>
      <c r="D19980" t="s">
        <v>18477</v>
      </c>
      <c r="E19980" t="s">
        <v>18478</v>
      </c>
      <c r="F19980" t="s">
        <v>16601</v>
      </c>
      <c r="G19980" t="s">
        <v>47093</v>
      </c>
      <c r="H19980" t="s">
        <v>47054</v>
      </c>
      <c r="I19980" t="s">
        <v>47111</v>
      </c>
      <c r="J19980" t="s">
        <v>47112</v>
      </c>
      <c r="K19980" t="s">
        <v>47113</v>
      </c>
      <c r="L19980">
        <v>55.22</v>
      </c>
      <c r="M19980">
        <v>92</v>
      </c>
      <c r="N19980">
        <v>0</v>
      </c>
      <c r="O19980">
        <v>92</v>
      </c>
      <c r="P19980">
        <v>0</v>
      </c>
    </row>
    <row r="19981" spans="1:16" x14ac:dyDescent="0.25">
      <c r="A19981" t="s">
        <v>42679</v>
      </c>
      <c r="B19981" t="s">
        <v>18965</v>
      </c>
      <c r="C19981" t="s">
        <v>21447</v>
      </c>
      <c r="D19981" t="str">
        <f>"1700"</f>
        <v>1700</v>
      </c>
      <c r="E19981" t="s">
        <v>18895</v>
      </c>
      <c r="F19981" t="s">
        <v>16601</v>
      </c>
      <c r="G19981" t="s">
        <v>47093</v>
      </c>
      <c r="H19981" t="s">
        <v>47054</v>
      </c>
      <c r="I19981" t="s">
        <v>47111</v>
      </c>
      <c r="J19981" t="s">
        <v>47112</v>
      </c>
      <c r="K19981" t="s">
        <v>47113</v>
      </c>
      <c r="L19981">
        <v>50.31</v>
      </c>
      <c r="M19981">
        <v>92</v>
      </c>
      <c r="N19981">
        <v>0</v>
      </c>
      <c r="O19981">
        <v>92</v>
      </c>
      <c r="P19981">
        <v>0</v>
      </c>
    </row>
    <row r="19982" spans="1:16" x14ac:dyDescent="0.25">
      <c r="A19982" t="s">
        <v>42680</v>
      </c>
      <c r="B19982" t="s">
        <v>18966</v>
      </c>
      <c r="C19982" t="s">
        <v>21447</v>
      </c>
      <c r="D19982" t="s">
        <v>18553</v>
      </c>
      <c r="E19982" t="s">
        <v>18554</v>
      </c>
      <c r="F19982" t="s">
        <v>16839</v>
      </c>
      <c r="G19982" t="s">
        <v>47093</v>
      </c>
      <c r="H19982" t="s">
        <v>47054</v>
      </c>
      <c r="I19982" t="s">
        <v>47111</v>
      </c>
      <c r="J19982" t="s">
        <v>47112</v>
      </c>
      <c r="K19982" t="s">
        <v>47113</v>
      </c>
      <c r="L19982">
        <v>31.57</v>
      </c>
      <c r="M19982">
        <v>70</v>
      </c>
      <c r="N19982">
        <v>0</v>
      </c>
      <c r="O19982">
        <v>70</v>
      </c>
      <c r="P19982">
        <v>0</v>
      </c>
    </row>
    <row r="19983" spans="1:16" x14ac:dyDescent="0.25">
      <c r="A19983" t="s">
        <v>42681</v>
      </c>
      <c r="B19983" t="s">
        <v>18968</v>
      </c>
      <c r="C19983" t="s">
        <v>21447</v>
      </c>
      <c r="D19983" t="s">
        <v>18969</v>
      </c>
      <c r="E19983" t="s">
        <v>18970</v>
      </c>
      <c r="F19983" t="s">
        <v>16810</v>
      </c>
      <c r="G19983" t="s">
        <v>47093</v>
      </c>
      <c r="H19983" t="s">
        <v>47054</v>
      </c>
      <c r="I19983" t="s">
        <v>47111</v>
      </c>
      <c r="J19983" t="s">
        <v>47112</v>
      </c>
      <c r="K19983" t="s">
        <v>47113</v>
      </c>
      <c r="L19983">
        <v>71.63</v>
      </c>
      <c r="M19983">
        <v>144</v>
      </c>
      <c r="N19983">
        <v>0</v>
      </c>
      <c r="O19983">
        <v>144</v>
      </c>
      <c r="P19983">
        <v>0</v>
      </c>
    </row>
    <row r="19984" spans="1:16" x14ac:dyDescent="0.25">
      <c r="A19984" t="s">
        <v>42682</v>
      </c>
      <c r="B19984" t="s">
        <v>21809</v>
      </c>
      <c r="C19984" t="s">
        <v>21447</v>
      </c>
      <c r="D19984" t="s">
        <v>18590</v>
      </c>
      <c r="E19984" t="s">
        <v>18591</v>
      </c>
      <c r="F19984" t="s">
        <v>16810</v>
      </c>
      <c r="G19984" t="s">
        <v>47093</v>
      </c>
      <c r="H19984" t="s">
        <v>47054</v>
      </c>
      <c r="I19984" t="s">
        <v>47116</v>
      </c>
      <c r="J19984" t="s">
        <v>47117</v>
      </c>
      <c r="K19984" t="s">
        <v>47113</v>
      </c>
      <c r="L19984">
        <v>60.71</v>
      </c>
      <c r="M19984">
        <v>111</v>
      </c>
      <c r="N19984">
        <v>0</v>
      </c>
      <c r="O19984">
        <v>111</v>
      </c>
      <c r="P19984">
        <v>0</v>
      </c>
    </row>
    <row r="19985" spans="1:16" x14ac:dyDescent="0.25">
      <c r="A19985" t="s">
        <v>42683</v>
      </c>
      <c r="B19985" t="s">
        <v>18971</v>
      </c>
      <c r="C19985" t="s">
        <v>21447</v>
      </c>
      <c r="D19985" t="s">
        <v>18972</v>
      </c>
      <c r="E19985" t="s">
        <v>18973</v>
      </c>
      <c r="F19985" t="s">
        <v>16746</v>
      </c>
      <c r="G19985" t="s">
        <v>47093</v>
      </c>
      <c r="H19985" t="s">
        <v>47054</v>
      </c>
      <c r="I19985" t="s">
        <v>47111</v>
      </c>
      <c r="J19985" t="s">
        <v>47112</v>
      </c>
      <c r="K19985" t="s">
        <v>47113</v>
      </c>
      <c r="L19985">
        <v>55.06</v>
      </c>
      <c r="M19985">
        <v>111</v>
      </c>
      <c r="N19985">
        <v>0</v>
      </c>
      <c r="O19985">
        <v>111</v>
      </c>
      <c r="P19985">
        <v>0</v>
      </c>
    </row>
    <row r="19986" spans="1:16" x14ac:dyDescent="0.25">
      <c r="A19986" t="s">
        <v>42684</v>
      </c>
      <c r="B19986" t="s">
        <v>18974</v>
      </c>
      <c r="C19986" t="s">
        <v>21447</v>
      </c>
      <c r="D19986" t="s">
        <v>18975</v>
      </c>
      <c r="E19986" t="s">
        <v>18976</v>
      </c>
      <c r="F19986" t="s">
        <v>16746</v>
      </c>
      <c r="G19986" t="s">
        <v>47093</v>
      </c>
      <c r="H19986" t="s">
        <v>47054</v>
      </c>
      <c r="I19986" t="s">
        <v>47111</v>
      </c>
      <c r="J19986" t="s">
        <v>47112</v>
      </c>
      <c r="K19986" t="s">
        <v>47113</v>
      </c>
      <c r="L19986">
        <v>55.06</v>
      </c>
      <c r="M19986">
        <v>111</v>
      </c>
      <c r="N19986">
        <v>0</v>
      </c>
      <c r="O19986">
        <v>111</v>
      </c>
      <c r="P19986">
        <v>0</v>
      </c>
    </row>
    <row r="19987" spans="1:16" x14ac:dyDescent="0.25">
      <c r="A19987" t="s">
        <v>42685</v>
      </c>
      <c r="B19987" t="s">
        <v>21810</v>
      </c>
      <c r="C19987" t="s">
        <v>21811</v>
      </c>
      <c r="D19987" t="s">
        <v>18587</v>
      </c>
      <c r="E19987" t="s">
        <v>18588</v>
      </c>
      <c r="F19987" t="s">
        <v>17351</v>
      </c>
      <c r="G19987" t="s">
        <v>47093</v>
      </c>
      <c r="H19987" t="s">
        <v>47054</v>
      </c>
      <c r="I19987" t="s">
        <v>47111</v>
      </c>
      <c r="J19987" t="s">
        <v>47112</v>
      </c>
      <c r="K19987" t="s">
        <v>47113</v>
      </c>
      <c r="L19987">
        <v>78.150000000000006</v>
      </c>
      <c r="M19987">
        <v>148</v>
      </c>
      <c r="N19987">
        <v>0</v>
      </c>
      <c r="O19987">
        <v>148</v>
      </c>
      <c r="P19987">
        <v>0</v>
      </c>
    </row>
    <row r="19988" spans="1:16" x14ac:dyDescent="0.25">
      <c r="A19988" t="s">
        <v>42686</v>
      </c>
      <c r="B19988" t="s">
        <v>21812</v>
      </c>
      <c r="C19988" t="s">
        <v>18967</v>
      </c>
      <c r="D19988" t="s">
        <v>21659</v>
      </c>
      <c r="E19988" t="s">
        <v>21660</v>
      </c>
      <c r="F19988" t="s">
        <v>19847</v>
      </c>
      <c r="G19988" t="s">
        <v>47093</v>
      </c>
      <c r="H19988" t="s">
        <v>47054</v>
      </c>
      <c r="I19988" t="s">
        <v>47111</v>
      </c>
      <c r="J19988" t="s">
        <v>47112</v>
      </c>
      <c r="K19988" t="s">
        <v>47113</v>
      </c>
      <c r="L19988">
        <v>59.24</v>
      </c>
      <c r="M19988">
        <v>122</v>
      </c>
      <c r="N19988">
        <v>0</v>
      </c>
      <c r="O19988">
        <v>122</v>
      </c>
      <c r="P19988">
        <v>0</v>
      </c>
    </row>
    <row r="19989" spans="1:16" x14ac:dyDescent="0.25">
      <c r="A19989" t="s">
        <v>42687</v>
      </c>
      <c r="B19989" t="s">
        <v>21813</v>
      </c>
      <c r="C19989" t="s">
        <v>21447</v>
      </c>
      <c r="D19989" t="s">
        <v>21814</v>
      </c>
      <c r="E19989" t="s">
        <v>21815</v>
      </c>
      <c r="F19989" t="s">
        <v>17351</v>
      </c>
      <c r="G19989" t="s">
        <v>47093</v>
      </c>
      <c r="H19989" t="s">
        <v>47054</v>
      </c>
      <c r="I19989" t="s">
        <v>47116</v>
      </c>
      <c r="J19989" t="s">
        <v>47117</v>
      </c>
      <c r="K19989" t="s">
        <v>47113</v>
      </c>
      <c r="L19989">
        <v>133.04</v>
      </c>
      <c r="M19989">
        <v>177</v>
      </c>
      <c r="N19989">
        <v>0</v>
      </c>
      <c r="O19989">
        <v>177</v>
      </c>
      <c r="P19989">
        <v>0</v>
      </c>
    </row>
    <row r="19990" spans="1:16" x14ac:dyDescent="0.25">
      <c r="A19990" t="s">
        <v>42688</v>
      </c>
      <c r="B19990" t="s">
        <v>21816</v>
      </c>
      <c r="C19990" t="s">
        <v>42689</v>
      </c>
      <c r="D19990" t="s">
        <v>21444</v>
      </c>
      <c r="E19990" t="s">
        <v>21445</v>
      </c>
      <c r="F19990" t="s">
        <v>17351</v>
      </c>
      <c r="G19990" t="s">
        <v>47093</v>
      </c>
      <c r="H19990" t="s">
        <v>47054</v>
      </c>
      <c r="I19990" t="s">
        <v>47116</v>
      </c>
      <c r="J19990" t="s">
        <v>47117</v>
      </c>
      <c r="K19990" t="s">
        <v>47113</v>
      </c>
      <c r="L19990">
        <v>111.28</v>
      </c>
      <c r="M19990">
        <v>177</v>
      </c>
      <c r="N19990">
        <v>0</v>
      </c>
      <c r="O19990">
        <v>177</v>
      </c>
      <c r="P19990">
        <v>0</v>
      </c>
    </row>
    <row r="19991" spans="1:16" x14ac:dyDescent="0.25">
      <c r="A19991" t="s">
        <v>42690</v>
      </c>
      <c r="B19991" t="s">
        <v>21817</v>
      </c>
      <c r="C19991" t="s">
        <v>21447</v>
      </c>
      <c r="D19991" t="s">
        <v>15897</v>
      </c>
      <c r="E19991" t="s">
        <v>21448</v>
      </c>
      <c r="F19991" t="s">
        <v>17351</v>
      </c>
      <c r="G19991" t="s">
        <v>47093</v>
      </c>
      <c r="H19991" t="s">
        <v>47054</v>
      </c>
      <c r="I19991" t="s">
        <v>47116</v>
      </c>
      <c r="J19991" t="s">
        <v>47117</v>
      </c>
      <c r="K19991" t="s">
        <v>47113</v>
      </c>
      <c r="L19991">
        <v>46.76</v>
      </c>
      <c r="M19991">
        <v>99</v>
      </c>
      <c r="N19991">
        <v>0</v>
      </c>
      <c r="O19991">
        <v>99</v>
      </c>
      <c r="P19991">
        <v>0</v>
      </c>
    </row>
    <row r="19992" spans="1:16" x14ac:dyDescent="0.25">
      <c r="A19992" t="s">
        <v>42691</v>
      </c>
      <c r="B19992" t="s">
        <v>21818</v>
      </c>
      <c r="C19992" t="s">
        <v>21447</v>
      </c>
      <c r="D19992" t="s">
        <v>21285</v>
      </c>
      <c r="E19992" t="s">
        <v>21286</v>
      </c>
      <c r="F19992" t="s">
        <v>19878</v>
      </c>
      <c r="G19992" t="s">
        <v>47093</v>
      </c>
      <c r="H19992" t="s">
        <v>47054</v>
      </c>
      <c r="I19992" t="s">
        <v>47111</v>
      </c>
      <c r="J19992" t="s">
        <v>47112</v>
      </c>
      <c r="K19992" t="s">
        <v>47113</v>
      </c>
      <c r="L19992">
        <v>51.94</v>
      </c>
      <c r="M19992">
        <v>111</v>
      </c>
      <c r="N19992">
        <v>0</v>
      </c>
      <c r="O19992">
        <v>111</v>
      </c>
      <c r="P19992">
        <v>0</v>
      </c>
    </row>
    <row r="19993" spans="1:16" x14ac:dyDescent="0.25">
      <c r="A19993" t="s">
        <v>22913</v>
      </c>
      <c r="B19993" t="s">
        <v>21819</v>
      </c>
      <c r="C19993" t="s">
        <v>21447</v>
      </c>
      <c r="D19993" t="s">
        <v>21682</v>
      </c>
      <c r="E19993" t="s">
        <v>21683</v>
      </c>
      <c r="F19993" t="s">
        <v>19559</v>
      </c>
      <c r="G19993" t="s">
        <v>47093</v>
      </c>
      <c r="H19993" t="s">
        <v>47054</v>
      </c>
      <c r="I19993" t="s">
        <v>47111</v>
      </c>
      <c r="J19993" t="s">
        <v>47112</v>
      </c>
      <c r="K19993" t="s">
        <v>47113</v>
      </c>
      <c r="L19993">
        <v>58.09</v>
      </c>
      <c r="M19993">
        <v>129</v>
      </c>
      <c r="N19993">
        <v>0</v>
      </c>
      <c r="O19993">
        <v>129</v>
      </c>
      <c r="P19993">
        <v>0</v>
      </c>
    </row>
    <row r="19994" spans="1:16" x14ac:dyDescent="0.25">
      <c r="A19994" t="s">
        <v>42692</v>
      </c>
      <c r="B19994" t="s">
        <v>42693</v>
      </c>
      <c r="C19994" t="s">
        <v>21447</v>
      </c>
      <c r="D19994" t="s">
        <v>40626</v>
      </c>
      <c r="E19994" t="s">
        <v>40627</v>
      </c>
      <c r="F19994" t="s">
        <v>20496</v>
      </c>
      <c r="G19994" t="s">
        <v>47093</v>
      </c>
      <c r="H19994" t="s">
        <v>47054</v>
      </c>
      <c r="I19994" t="s">
        <v>47116</v>
      </c>
      <c r="J19994" t="s">
        <v>47117</v>
      </c>
      <c r="K19994" t="s">
        <v>47113</v>
      </c>
      <c r="L19994">
        <v>48.71</v>
      </c>
      <c r="M19994">
        <v>111</v>
      </c>
      <c r="N19994">
        <v>0</v>
      </c>
      <c r="O19994">
        <v>111</v>
      </c>
      <c r="P19994">
        <v>0</v>
      </c>
    </row>
    <row r="19995" spans="1:16" x14ac:dyDescent="0.25">
      <c r="A19995" t="s">
        <v>42694</v>
      </c>
      <c r="B19995" t="s">
        <v>16134</v>
      </c>
      <c r="C19995" t="s">
        <v>18977</v>
      </c>
      <c r="D19995" t="str">
        <f>"1700"</f>
        <v>1700</v>
      </c>
      <c r="E19995" t="s">
        <v>16012</v>
      </c>
      <c r="F19995" t="s">
        <v>15183</v>
      </c>
      <c r="G19995" t="s">
        <v>47091</v>
      </c>
      <c r="H19995" t="s">
        <v>47054</v>
      </c>
      <c r="I19995" t="s">
        <v>47569</v>
      </c>
      <c r="J19995" t="s">
        <v>47570</v>
      </c>
      <c r="K19995" t="s">
        <v>47113</v>
      </c>
      <c r="L19995">
        <v>12.06</v>
      </c>
      <c r="M19995">
        <v>26</v>
      </c>
      <c r="N19995">
        <v>0</v>
      </c>
      <c r="O19995">
        <v>26</v>
      </c>
      <c r="P19995">
        <v>0</v>
      </c>
    </row>
    <row r="19996" spans="1:16" x14ac:dyDescent="0.25">
      <c r="A19996" t="s">
        <v>42695</v>
      </c>
      <c r="B19996" t="s">
        <v>16135</v>
      </c>
      <c r="C19996" t="s">
        <v>11644</v>
      </c>
      <c r="D19996" t="s">
        <v>15919</v>
      </c>
      <c r="E19996" t="s">
        <v>15920</v>
      </c>
      <c r="F19996" t="s">
        <v>15183</v>
      </c>
      <c r="G19996" t="s">
        <v>47093</v>
      </c>
      <c r="H19996" t="s">
        <v>47054</v>
      </c>
      <c r="I19996" t="s">
        <v>47111</v>
      </c>
      <c r="J19996" t="s">
        <v>47112</v>
      </c>
      <c r="K19996" t="s">
        <v>47113</v>
      </c>
      <c r="L19996">
        <v>44.5</v>
      </c>
      <c r="M19996">
        <v>92</v>
      </c>
      <c r="N19996">
        <v>0</v>
      </c>
      <c r="O19996">
        <v>92</v>
      </c>
      <c r="P19996">
        <v>0</v>
      </c>
    </row>
    <row r="19997" spans="1:16" x14ac:dyDescent="0.25">
      <c r="A19997" t="s">
        <v>42696</v>
      </c>
      <c r="B19997" t="s">
        <v>42697</v>
      </c>
      <c r="C19997" t="s">
        <v>18980</v>
      </c>
      <c r="D19997" t="str">
        <f>"1700"</f>
        <v>1700</v>
      </c>
      <c r="E19997" t="s">
        <v>18480</v>
      </c>
      <c r="F19997" t="s">
        <v>24617</v>
      </c>
      <c r="G19997" t="s">
        <v>49029</v>
      </c>
      <c r="H19997" t="s">
        <v>47054</v>
      </c>
      <c r="I19997" t="s">
        <v>47116</v>
      </c>
      <c r="J19997" t="s">
        <v>47117</v>
      </c>
      <c r="K19997" t="s">
        <v>47113</v>
      </c>
      <c r="L19997">
        <v>30.47</v>
      </c>
      <c r="M19997">
        <v>74</v>
      </c>
      <c r="N19997">
        <v>199</v>
      </c>
      <c r="O19997">
        <v>74</v>
      </c>
      <c r="P19997">
        <v>199</v>
      </c>
    </row>
    <row r="19998" spans="1:16" x14ac:dyDescent="0.25">
      <c r="A19998" t="s">
        <v>42698</v>
      </c>
      <c r="B19998" t="s">
        <v>42699</v>
      </c>
      <c r="C19998" t="s">
        <v>18980</v>
      </c>
      <c r="D19998" t="s">
        <v>41945</v>
      </c>
      <c r="E19998" t="s">
        <v>41946</v>
      </c>
      <c r="F19998" t="s">
        <v>24617</v>
      </c>
      <c r="G19998" t="s">
        <v>49029</v>
      </c>
      <c r="H19998" t="s">
        <v>47054</v>
      </c>
      <c r="I19998" t="s">
        <v>47120</v>
      </c>
      <c r="J19998" t="s">
        <v>47121</v>
      </c>
      <c r="K19998" t="s">
        <v>47113</v>
      </c>
      <c r="L19998">
        <v>23.19</v>
      </c>
      <c r="M19998">
        <v>55</v>
      </c>
      <c r="N19998">
        <v>149</v>
      </c>
      <c r="O19998">
        <v>55</v>
      </c>
      <c r="P19998">
        <v>149</v>
      </c>
    </row>
    <row r="19999" spans="1:16" x14ac:dyDescent="0.25">
      <c r="A19999" t="s">
        <v>42700</v>
      </c>
      <c r="B19999" t="s">
        <v>18978</v>
      </c>
      <c r="C19999" t="s">
        <v>13006</v>
      </c>
      <c r="D19999" t="s">
        <v>17365</v>
      </c>
      <c r="E19999" t="s">
        <v>17366</v>
      </c>
      <c r="F19999" t="s">
        <v>16601</v>
      </c>
      <c r="G19999" t="s">
        <v>47093</v>
      </c>
      <c r="I19999" t="s">
        <v>47111</v>
      </c>
      <c r="J19999" t="s">
        <v>47112</v>
      </c>
      <c r="K19999" t="s">
        <v>47113</v>
      </c>
      <c r="L19999">
        <v>40.54</v>
      </c>
      <c r="M19999">
        <v>66</v>
      </c>
      <c r="N19999">
        <v>0</v>
      </c>
      <c r="O19999">
        <v>66</v>
      </c>
      <c r="P19999">
        <v>0</v>
      </c>
    </row>
    <row r="20000" spans="1:16" x14ac:dyDescent="0.25">
      <c r="A20000" t="s">
        <v>42701</v>
      </c>
      <c r="B20000" t="s">
        <v>18979</v>
      </c>
      <c r="C20000" t="s">
        <v>18980</v>
      </c>
      <c r="D20000" t="s">
        <v>18514</v>
      </c>
      <c r="E20000" t="s">
        <v>18515</v>
      </c>
      <c r="F20000" t="s">
        <v>16839</v>
      </c>
      <c r="G20000" t="s">
        <v>49029</v>
      </c>
      <c r="H20000" t="s">
        <v>47054</v>
      </c>
      <c r="I20000" t="s">
        <v>47116</v>
      </c>
      <c r="J20000" t="s">
        <v>47117</v>
      </c>
      <c r="K20000" t="s">
        <v>47113</v>
      </c>
      <c r="L20000">
        <v>55.05</v>
      </c>
      <c r="M20000">
        <v>103</v>
      </c>
      <c r="N20000">
        <v>0</v>
      </c>
      <c r="O20000">
        <v>103</v>
      </c>
      <c r="P20000">
        <v>0</v>
      </c>
    </row>
    <row r="20001" spans="1:16" x14ac:dyDescent="0.25">
      <c r="A20001" t="s">
        <v>42702</v>
      </c>
      <c r="B20001" t="s">
        <v>18981</v>
      </c>
      <c r="C20001" t="s">
        <v>18980</v>
      </c>
      <c r="D20001" t="s">
        <v>18553</v>
      </c>
      <c r="E20001" t="s">
        <v>18554</v>
      </c>
      <c r="F20001" t="s">
        <v>16839</v>
      </c>
      <c r="G20001" t="s">
        <v>49029</v>
      </c>
      <c r="H20001" t="s">
        <v>47054</v>
      </c>
      <c r="I20001" t="s">
        <v>47116</v>
      </c>
      <c r="J20001" t="s">
        <v>47117</v>
      </c>
      <c r="K20001" t="s">
        <v>47113</v>
      </c>
      <c r="L20001">
        <v>31.12</v>
      </c>
      <c r="M20001">
        <v>63</v>
      </c>
      <c r="N20001">
        <v>0</v>
      </c>
      <c r="O20001">
        <v>63</v>
      </c>
      <c r="P20001">
        <v>0</v>
      </c>
    </row>
    <row r="20002" spans="1:16" x14ac:dyDescent="0.25">
      <c r="A20002" t="s">
        <v>42703</v>
      </c>
      <c r="B20002" t="s">
        <v>18982</v>
      </c>
      <c r="C20002" t="s">
        <v>18980</v>
      </c>
      <c r="D20002" t="str">
        <f>"1200"</f>
        <v>1200</v>
      </c>
      <c r="E20002" t="s">
        <v>18556</v>
      </c>
      <c r="F20002" t="s">
        <v>16839</v>
      </c>
      <c r="G20002" t="s">
        <v>49029</v>
      </c>
      <c r="H20002" t="s">
        <v>47054</v>
      </c>
      <c r="I20002" t="s">
        <v>47120</v>
      </c>
      <c r="J20002" t="s">
        <v>47121</v>
      </c>
      <c r="K20002" t="s">
        <v>47113</v>
      </c>
      <c r="L20002">
        <v>29.28</v>
      </c>
      <c r="M20002">
        <v>59</v>
      </c>
      <c r="N20002">
        <v>0</v>
      </c>
      <c r="O20002">
        <v>59</v>
      </c>
      <c r="P20002">
        <v>0</v>
      </c>
    </row>
    <row r="20003" spans="1:16" x14ac:dyDescent="0.25">
      <c r="A20003" t="s">
        <v>42704</v>
      </c>
      <c r="B20003" t="s">
        <v>18983</v>
      </c>
      <c r="C20003" t="s">
        <v>18980</v>
      </c>
      <c r="D20003" t="s">
        <v>18969</v>
      </c>
      <c r="E20003" t="s">
        <v>18970</v>
      </c>
      <c r="F20003" t="s">
        <v>16810</v>
      </c>
      <c r="G20003" t="s">
        <v>49029</v>
      </c>
      <c r="H20003" t="s">
        <v>47054</v>
      </c>
      <c r="I20003" t="s">
        <v>47116</v>
      </c>
      <c r="J20003" t="s">
        <v>47117</v>
      </c>
      <c r="K20003" t="s">
        <v>47113</v>
      </c>
      <c r="L20003">
        <v>34.799999999999997</v>
      </c>
      <c r="M20003">
        <v>70</v>
      </c>
      <c r="N20003">
        <v>0</v>
      </c>
      <c r="O20003">
        <v>70</v>
      </c>
      <c r="P20003">
        <v>0</v>
      </c>
    </row>
    <row r="20004" spans="1:16" x14ac:dyDescent="0.25">
      <c r="A20004" t="s">
        <v>42705</v>
      </c>
      <c r="B20004" t="s">
        <v>18984</v>
      </c>
      <c r="C20004" t="s">
        <v>18980</v>
      </c>
      <c r="D20004" t="str">
        <f>"4000"</f>
        <v>4000</v>
      </c>
      <c r="E20004" t="s">
        <v>18985</v>
      </c>
      <c r="F20004" t="s">
        <v>16746</v>
      </c>
      <c r="G20004" t="s">
        <v>49029</v>
      </c>
      <c r="H20004" t="s">
        <v>47054</v>
      </c>
      <c r="I20004" t="s">
        <v>47111</v>
      </c>
      <c r="J20004" t="s">
        <v>47112</v>
      </c>
      <c r="K20004" t="s">
        <v>47113</v>
      </c>
      <c r="L20004">
        <v>49.42</v>
      </c>
      <c r="M20004">
        <v>92</v>
      </c>
      <c r="N20004">
        <v>0</v>
      </c>
      <c r="O20004">
        <v>92</v>
      </c>
      <c r="P20004">
        <v>0</v>
      </c>
    </row>
    <row r="20005" spans="1:16" x14ac:dyDescent="0.25">
      <c r="A20005" t="s">
        <v>42706</v>
      </c>
      <c r="B20005" t="s">
        <v>18984</v>
      </c>
      <c r="C20005" t="s">
        <v>18980</v>
      </c>
      <c r="D20005" t="str">
        <f>"6500"</f>
        <v>6500</v>
      </c>
      <c r="E20005" t="s">
        <v>18986</v>
      </c>
      <c r="F20005" t="s">
        <v>16746</v>
      </c>
      <c r="G20005" t="s">
        <v>49029</v>
      </c>
      <c r="H20005" t="s">
        <v>47054</v>
      </c>
      <c r="I20005" t="s">
        <v>47111</v>
      </c>
      <c r="J20005" t="s">
        <v>47112</v>
      </c>
      <c r="K20005" t="s">
        <v>47113</v>
      </c>
      <c r="L20005">
        <v>49.42</v>
      </c>
      <c r="M20005">
        <v>92</v>
      </c>
      <c r="N20005">
        <v>0</v>
      </c>
      <c r="O20005">
        <v>92</v>
      </c>
      <c r="P20005">
        <v>0</v>
      </c>
    </row>
    <row r="20006" spans="1:16" x14ac:dyDescent="0.25">
      <c r="A20006" t="s">
        <v>42707</v>
      </c>
      <c r="B20006" t="s">
        <v>21820</v>
      </c>
      <c r="C20006" t="s">
        <v>21821</v>
      </c>
      <c r="D20006" t="s">
        <v>21721</v>
      </c>
      <c r="E20006" t="s">
        <v>21722</v>
      </c>
      <c r="F20006" t="s">
        <v>17351</v>
      </c>
      <c r="G20006" t="s">
        <v>49029</v>
      </c>
      <c r="H20006" t="s">
        <v>47054</v>
      </c>
      <c r="I20006" t="s">
        <v>47116</v>
      </c>
      <c r="J20006" t="s">
        <v>47117</v>
      </c>
      <c r="K20006" t="s">
        <v>47113</v>
      </c>
      <c r="L20006">
        <v>31.31</v>
      </c>
      <c r="M20006">
        <v>66</v>
      </c>
      <c r="N20006">
        <v>0</v>
      </c>
      <c r="O20006">
        <v>66</v>
      </c>
      <c r="P20006">
        <v>0</v>
      </c>
    </row>
    <row r="20007" spans="1:16" x14ac:dyDescent="0.25">
      <c r="A20007" t="s">
        <v>42708</v>
      </c>
      <c r="B20007" t="s">
        <v>21822</v>
      </c>
      <c r="C20007" t="s">
        <v>21821</v>
      </c>
      <c r="D20007" t="s">
        <v>21662</v>
      </c>
      <c r="E20007" t="s">
        <v>21663</v>
      </c>
      <c r="F20007" t="s">
        <v>17351</v>
      </c>
      <c r="G20007" t="s">
        <v>49029</v>
      </c>
      <c r="H20007" t="s">
        <v>47054</v>
      </c>
      <c r="I20007" t="s">
        <v>47111</v>
      </c>
      <c r="J20007" t="s">
        <v>47112</v>
      </c>
      <c r="K20007" t="s">
        <v>47113</v>
      </c>
      <c r="L20007">
        <v>50.39</v>
      </c>
      <c r="M20007">
        <v>103</v>
      </c>
      <c r="N20007">
        <v>0</v>
      </c>
      <c r="O20007">
        <v>103</v>
      </c>
      <c r="P20007">
        <v>0</v>
      </c>
    </row>
    <row r="20008" spans="1:16" x14ac:dyDescent="0.25">
      <c r="A20008" t="s">
        <v>42709</v>
      </c>
      <c r="B20008" t="s">
        <v>21823</v>
      </c>
      <c r="C20008" t="s">
        <v>18980</v>
      </c>
      <c r="D20008" t="s">
        <v>21824</v>
      </c>
      <c r="E20008" t="s">
        <v>21825</v>
      </c>
      <c r="F20008" t="s">
        <v>17351</v>
      </c>
      <c r="G20008" t="s">
        <v>49029</v>
      </c>
      <c r="H20008" t="s">
        <v>47054</v>
      </c>
      <c r="I20008" t="s">
        <v>47116</v>
      </c>
      <c r="J20008" t="s">
        <v>47117</v>
      </c>
      <c r="K20008" t="s">
        <v>47113</v>
      </c>
      <c r="L20008">
        <v>28.48</v>
      </c>
      <c r="M20008">
        <v>66</v>
      </c>
      <c r="N20008">
        <v>0</v>
      </c>
      <c r="O20008">
        <v>66</v>
      </c>
      <c r="P20008">
        <v>0</v>
      </c>
    </row>
    <row r="20009" spans="1:16" x14ac:dyDescent="0.25">
      <c r="A20009" t="s">
        <v>42710</v>
      </c>
      <c r="B20009" t="s">
        <v>21826</v>
      </c>
      <c r="C20009" t="s">
        <v>21821</v>
      </c>
      <c r="D20009" t="s">
        <v>21827</v>
      </c>
      <c r="E20009" t="s">
        <v>21828</v>
      </c>
      <c r="F20009" t="s">
        <v>17351</v>
      </c>
      <c r="G20009" t="s">
        <v>49029</v>
      </c>
      <c r="H20009" t="s">
        <v>47054</v>
      </c>
      <c r="I20009" t="s">
        <v>47111</v>
      </c>
      <c r="J20009" t="s">
        <v>47112</v>
      </c>
      <c r="K20009" t="s">
        <v>47113</v>
      </c>
      <c r="L20009">
        <v>55.17</v>
      </c>
      <c r="M20009">
        <v>103</v>
      </c>
      <c r="N20009">
        <v>0</v>
      </c>
      <c r="O20009">
        <v>103</v>
      </c>
      <c r="P20009">
        <v>0</v>
      </c>
    </row>
    <row r="20010" spans="1:16" x14ac:dyDescent="0.25">
      <c r="A20010" t="s">
        <v>42711</v>
      </c>
      <c r="B20010" t="s">
        <v>18987</v>
      </c>
      <c r="C20010" t="s">
        <v>18988</v>
      </c>
      <c r="D20010" t="s">
        <v>18819</v>
      </c>
      <c r="E20010" t="s">
        <v>18989</v>
      </c>
      <c r="F20010" t="s">
        <v>16601</v>
      </c>
      <c r="G20010" t="s">
        <v>47093</v>
      </c>
      <c r="I20010" t="s">
        <v>47111</v>
      </c>
      <c r="J20010" t="s">
        <v>47112</v>
      </c>
      <c r="K20010" t="s">
        <v>47113</v>
      </c>
      <c r="L20010">
        <v>44.78</v>
      </c>
      <c r="M20010">
        <v>100</v>
      </c>
      <c r="N20010">
        <v>0</v>
      </c>
      <c r="O20010">
        <v>100</v>
      </c>
      <c r="P20010">
        <v>0</v>
      </c>
    </row>
    <row r="20011" spans="1:16" x14ac:dyDescent="0.25">
      <c r="A20011" t="s">
        <v>42712</v>
      </c>
      <c r="B20011" t="s">
        <v>18990</v>
      </c>
      <c r="C20011" t="s">
        <v>18988</v>
      </c>
      <c r="D20011" t="str">
        <f>"1001"</f>
        <v>1001</v>
      </c>
      <c r="E20011" t="s">
        <v>18529</v>
      </c>
      <c r="F20011" t="s">
        <v>16601</v>
      </c>
      <c r="G20011" t="s">
        <v>47093</v>
      </c>
      <c r="I20011" t="s">
        <v>47111</v>
      </c>
      <c r="J20011" t="s">
        <v>47112</v>
      </c>
      <c r="K20011" t="s">
        <v>47113</v>
      </c>
      <c r="L20011">
        <v>51.66</v>
      </c>
      <c r="M20011">
        <v>96</v>
      </c>
      <c r="N20011">
        <v>0</v>
      </c>
      <c r="O20011">
        <v>96</v>
      </c>
      <c r="P20011">
        <v>0</v>
      </c>
    </row>
    <row r="20012" spans="1:16" x14ac:dyDescent="0.25">
      <c r="A20012" t="s">
        <v>42713</v>
      </c>
      <c r="B20012" t="s">
        <v>18991</v>
      </c>
      <c r="C20012" t="s">
        <v>18988</v>
      </c>
      <c r="D20012" t="str">
        <f>"1700"</f>
        <v>1700</v>
      </c>
      <c r="E20012" t="s">
        <v>18565</v>
      </c>
      <c r="F20012" t="s">
        <v>16746</v>
      </c>
      <c r="G20012" t="s">
        <v>47093</v>
      </c>
      <c r="H20012" t="s">
        <v>47054</v>
      </c>
      <c r="I20012" t="s">
        <v>47111</v>
      </c>
      <c r="J20012" t="s">
        <v>47112</v>
      </c>
      <c r="K20012" t="s">
        <v>47113</v>
      </c>
      <c r="L20012">
        <v>51.21</v>
      </c>
      <c r="M20012">
        <v>103</v>
      </c>
      <c r="N20012">
        <v>0</v>
      </c>
      <c r="O20012">
        <v>103</v>
      </c>
      <c r="P20012">
        <v>0</v>
      </c>
    </row>
    <row r="20013" spans="1:16" x14ac:dyDescent="0.25">
      <c r="A20013" t="s">
        <v>42714</v>
      </c>
      <c r="B20013" t="s">
        <v>21829</v>
      </c>
      <c r="C20013" t="s">
        <v>21830</v>
      </c>
      <c r="D20013" t="s">
        <v>21441</v>
      </c>
      <c r="E20013" t="s">
        <v>21442</v>
      </c>
      <c r="F20013" t="s">
        <v>17351</v>
      </c>
      <c r="G20013" t="s">
        <v>47093</v>
      </c>
      <c r="H20013" t="s">
        <v>47054</v>
      </c>
      <c r="I20013" t="s">
        <v>47111</v>
      </c>
      <c r="J20013" t="s">
        <v>47112</v>
      </c>
      <c r="K20013" t="s">
        <v>47113</v>
      </c>
      <c r="L20013">
        <v>79.67</v>
      </c>
      <c r="M20013">
        <v>148</v>
      </c>
      <c r="N20013">
        <v>0</v>
      </c>
      <c r="O20013">
        <v>148</v>
      </c>
      <c r="P20013">
        <v>0</v>
      </c>
    </row>
    <row r="20014" spans="1:16" x14ac:dyDescent="0.25">
      <c r="A20014" t="s">
        <v>42715</v>
      </c>
      <c r="B20014" t="s">
        <v>21831</v>
      </c>
      <c r="C20014" t="s">
        <v>21832</v>
      </c>
      <c r="D20014" t="s">
        <v>21640</v>
      </c>
      <c r="E20014" t="s">
        <v>21641</v>
      </c>
      <c r="F20014" t="s">
        <v>19552</v>
      </c>
      <c r="G20014" t="s">
        <v>47093</v>
      </c>
      <c r="H20014" t="s">
        <v>47054</v>
      </c>
      <c r="I20014" t="s">
        <v>47111</v>
      </c>
      <c r="J20014" t="s">
        <v>47112</v>
      </c>
      <c r="K20014" t="s">
        <v>47113</v>
      </c>
      <c r="L20014">
        <v>68.84</v>
      </c>
      <c r="M20014">
        <v>137</v>
      </c>
      <c r="N20014">
        <v>0</v>
      </c>
      <c r="O20014">
        <v>137</v>
      </c>
      <c r="P20014">
        <v>0</v>
      </c>
    </row>
    <row r="20015" spans="1:16" x14ac:dyDescent="0.25">
      <c r="A20015" t="s">
        <v>42716</v>
      </c>
      <c r="B20015" t="s">
        <v>42717</v>
      </c>
      <c r="C20015" t="s">
        <v>18988</v>
      </c>
      <c r="D20015" t="str">
        <f>"11"</f>
        <v>11</v>
      </c>
      <c r="E20015" t="s">
        <v>288</v>
      </c>
      <c r="F20015" t="s">
        <v>21629</v>
      </c>
      <c r="G20015" t="s">
        <v>47093</v>
      </c>
      <c r="H20015" t="s">
        <v>47054</v>
      </c>
      <c r="I20015" t="s">
        <v>47544</v>
      </c>
      <c r="J20015" t="s">
        <v>47545</v>
      </c>
      <c r="K20015" t="s">
        <v>47113</v>
      </c>
      <c r="L20015">
        <v>28.8</v>
      </c>
      <c r="M20015">
        <v>70</v>
      </c>
      <c r="N20015">
        <v>0</v>
      </c>
      <c r="O20015">
        <v>70</v>
      </c>
      <c r="P20015">
        <v>0</v>
      </c>
    </row>
    <row r="20016" spans="1:16" x14ac:dyDescent="0.25">
      <c r="A20016" t="s">
        <v>42718</v>
      </c>
      <c r="B20016" t="s">
        <v>18992</v>
      </c>
      <c r="C20016" t="s">
        <v>18993</v>
      </c>
      <c r="D20016" t="str">
        <f>"1001"</f>
        <v>1001</v>
      </c>
      <c r="E20016" t="s">
        <v>42</v>
      </c>
      <c r="F20016" t="s">
        <v>16730</v>
      </c>
      <c r="G20016" t="s">
        <v>47094</v>
      </c>
      <c r="H20016" t="s">
        <v>47054</v>
      </c>
      <c r="I20016" t="s">
        <v>47120</v>
      </c>
      <c r="J20016" t="s">
        <v>47121</v>
      </c>
      <c r="K20016" t="s">
        <v>47113</v>
      </c>
      <c r="L20016">
        <v>47.27</v>
      </c>
      <c r="M20016">
        <v>74</v>
      </c>
      <c r="N20016">
        <v>0</v>
      </c>
      <c r="O20016">
        <v>74</v>
      </c>
      <c r="P20016">
        <v>0</v>
      </c>
    </row>
    <row r="20017" spans="1:16" x14ac:dyDescent="0.25">
      <c r="A20017" t="s">
        <v>42719</v>
      </c>
      <c r="B20017" t="s">
        <v>18992</v>
      </c>
      <c r="C20017" t="s">
        <v>18993</v>
      </c>
      <c r="D20017" t="str">
        <f>"6602"</f>
        <v>6602</v>
      </c>
      <c r="E20017" t="s">
        <v>18465</v>
      </c>
      <c r="F20017" t="s">
        <v>16730</v>
      </c>
      <c r="G20017" t="s">
        <v>47094</v>
      </c>
      <c r="H20017" t="s">
        <v>47054</v>
      </c>
      <c r="I20017" t="s">
        <v>47120</v>
      </c>
      <c r="J20017" t="s">
        <v>47121</v>
      </c>
      <c r="K20017" t="s">
        <v>47113</v>
      </c>
      <c r="L20017">
        <v>47.27</v>
      </c>
      <c r="M20017">
        <v>74</v>
      </c>
      <c r="N20017">
        <v>0</v>
      </c>
      <c r="O20017">
        <v>74</v>
      </c>
      <c r="P20017">
        <v>0</v>
      </c>
    </row>
    <row r="20018" spans="1:16" x14ac:dyDescent="0.25">
      <c r="A20018" t="s">
        <v>42720</v>
      </c>
      <c r="B20018" t="s">
        <v>18994</v>
      </c>
      <c r="C20018" t="s">
        <v>10589</v>
      </c>
      <c r="D20018" t="s">
        <v>18505</v>
      </c>
      <c r="E20018" t="s">
        <v>18506</v>
      </c>
      <c r="F20018" t="s">
        <v>16601</v>
      </c>
      <c r="G20018" t="s">
        <v>47093</v>
      </c>
      <c r="I20018" t="s">
        <v>47111</v>
      </c>
      <c r="J20018" t="s">
        <v>47112</v>
      </c>
      <c r="K20018" t="s">
        <v>47113</v>
      </c>
      <c r="L20018">
        <v>52.99</v>
      </c>
      <c r="M20018">
        <v>74</v>
      </c>
      <c r="N20018">
        <v>0</v>
      </c>
      <c r="O20018">
        <v>74</v>
      </c>
      <c r="P20018">
        <v>0</v>
      </c>
    </row>
    <row r="20019" spans="1:16" x14ac:dyDescent="0.25">
      <c r="A20019" t="s">
        <v>42721</v>
      </c>
      <c r="B20019" t="s">
        <v>18995</v>
      </c>
      <c r="C20019" t="s">
        <v>18996</v>
      </c>
      <c r="D20019" t="s">
        <v>18550</v>
      </c>
      <c r="E20019" t="s">
        <v>18551</v>
      </c>
      <c r="F20019" t="s">
        <v>16839</v>
      </c>
      <c r="G20019" t="s">
        <v>47093</v>
      </c>
      <c r="H20019" t="s">
        <v>47054</v>
      </c>
      <c r="I20019" t="s">
        <v>47111</v>
      </c>
      <c r="J20019" t="s">
        <v>47112</v>
      </c>
      <c r="K20019" t="s">
        <v>47113</v>
      </c>
      <c r="L20019">
        <v>75.760000000000005</v>
      </c>
      <c r="M20019">
        <v>166</v>
      </c>
      <c r="N20019">
        <v>0</v>
      </c>
      <c r="O20019">
        <v>166</v>
      </c>
      <c r="P20019">
        <v>0</v>
      </c>
    </row>
    <row r="20020" spans="1:16" x14ac:dyDescent="0.25">
      <c r="A20020" t="s">
        <v>42722</v>
      </c>
      <c r="B20020" t="s">
        <v>18997</v>
      </c>
      <c r="C20020" t="s">
        <v>18472</v>
      </c>
      <c r="D20020" t="s">
        <v>18477</v>
      </c>
      <c r="E20020" t="s">
        <v>18478</v>
      </c>
      <c r="F20020" t="s">
        <v>16601</v>
      </c>
      <c r="G20020" t="s">
        <v>47093</v>
      </c>
      <c r="H20020" t="s">
        <v>47054</v>
      </c>
      <c r="I20020" t="s">
        <v>47111</v>
      </c>
      <c r="J20020" t="s">
        <v>47112</v>
      </c>
      <c r="K20020" t="s">
        <v>47113</v>
      </c>
      <c r="L20020">
        <v>56.52</v>
      </c>
      <c r="M20020">
        <v>92</v>
      </c>
      <c r="N20020">
        <v>0</v>
      </c>
      <c r="O20020">
        <v>92</v>
      </c>
      <c r="P20020">
        <v>0</v>
      </c>
    </row>
    <row r="20021" spans="1:16" x14ac:dyDescent="0.25">
      <c r="A20021" t="s">
        <v>42723</v>
      </c>
      <c r="B20021" t="s">
        <v>18998</v>
      </c>
      <c r="C20021" t="s">
        <v>18440</v>
      </c>
      <c r="D20021" t="s">
        <v>18550</v>
      </c>
      <c r="E20021" t="s">
        <v>18551</v>
      </c>
      <c r="F20021" t="s">
        <v>16839</v>
      </c>
      <c r="G20021" t="s">
        <v>47093</v>
      </c>
      <c r="I20021" t="s">
        <v>47111</v>
      </c>
      <c r="J20021" t="s">
        <v>47112</v>
      </c>
      <c r="K20021" t="s">
        <v>47113</v>
      </c>
      <c r="L20021">
        <v>60.76</v>
      </c>
      <c r="M20021">
        <v>122</v>
      </c>
      <c r="N20021">
        <v>0</v>
      </c>
      <c r="O20021">
        <v>122</v>
      </c>
      <c r="P20021">
        <v>0</v>
      </c>
    </row>
    <row r="20022" spans="1:16" x14ac:dyDescent="0.25">
      <c r="A20022" t="s">
        <v>42724</v>
      </c>
      <c r="B20022" t="s">
        <v>18999</v>
      </c>
      <c r="C20022" t="s">
        <v>19000</v>
      </c>
      <c r="D20022" t="str">
        <f>"1700"</f>
        <v>1700</v>
      </c>
      <c r="E20022" t="s">
        <v>60</v>
      </c>
      <c r="F20022" t="s">
        <v>16730</v>
      </c>
      <c r="G20022" t="s">
        <v>47097</v>
      </c>
      <c r="H20022" t="s">
        <v>47054</v>
      </c>
      <c r="I20022" t="s">
        <v>47111</v>
      </c>
      <c r="J20022" t="s">
        <v>47112</v>
      </c>
      <c r="K20022" t="s">
        <v>47113</v>
      </c>
      <c r="L20022">
        <v>8.56</v>
      </c>
      <c r="M20022">
        <v>26</v>
      </c>
      <c r="N20022">
        <v>0</v>
      </c>
      <c r="O20022">
        <v>26</v>
      </c>
      <c r="P20022">
        <v>0</v>
      </c>
    </row>
    <row r="20023" spans="1:16" x14ac:dyDescent="0.25">
      <c r="A20023" t="s">
        <v>42725</v>
      </c>
      <c r="B20023" t="s">
        <v>19001</v>
      </c>
      <c r="C20023" t="s">
        <v>19002</v>
      </c>
      <c r="D20023" t="s">
        <v>19003</v>
      </c>
      <c r="E20023" t="s">
        <v>19004</v>
      </c>
      <c r="F20023" t="s">
        <v>16601</v>
      </c>
      <c r="G20023" t="s">
        <v>47099</v>
      </c>
      <c r="H20023" t="s">
        <v>47054</v>
      </c>
      <c r="I20023" t="s">
        <v>47120</v>
      </c>
      <c r="J20023" t="s">
        <v>47121</v>
      </c>
      <c r="K20023" t="s">
        <v>47113</v>
      </c>
      <c r="L20023">
        <v>38.22</v>
      </c>
      <c r="M20023">
        <v>74</v>
      </c>
      <c r="N20023">
        <v>0</v>
      </c>
      <c r="O20023">
        <v>74</v>
      </c>
      <c r="P20023">
        <v>0</v>
      </c>
    </row>
    <row r="20024" spans="1:16" x14ac:dyDescent="0.25">
      <c r="A20024" t="s">
        <v>42726</v>
      </c>
      <c r="B20024" t="s">
        <v>19005</v>
      </c>
      <c r="C20024" t="s">
        <v>19002</v>
      </c>
      <c r="D20024" t="s">
        <v>18763</v>
      </c>
      <c r="E20024" t="s">
        <v>18764</v>
      </c>
      <c r="F20024" t="s">
        <v>16730</v>
      </c>
      <c r="G20024" t="s">
        <v>47099</v>
      </c>
      <c r="H20024" t="s">
        <v>47054</v>
      </c>
      <c r="I20024" t="s">
        <v>47120</v>
      </c>
      <c r="J20024" t="s">
        <v>47121</v>
      </c>
      <c r="K20024" t="s">
        <v>47113</v>
      </c>
      <c r="L20024">
        <v>36.51</v>
      </c>
      <c r="M20024">
        <v>63</v>
      </c>
      <c r="N20024">
        <v>0</v>
      </c>
      <c r="O20024">
        <v>63</v>
      </c>
      <c r="P20024">
        <v>0</v>
      </c>
    </row>
    <row r="20025" spans="1:16" x14ac:dyDescent="0.25">
      <c r="A20025" t="s">
        <v>42727</v>
      </c>
      <c r="B20025" t="s">
        <v>19006</v>
      </c>
      <c r="C20025" t="s">
        <v>19002</v>
      </c>
      <c r="D20025" t="str">
        <f>"1001"</f>
        <v>1001</v>
      </c>
      <c r="E20025" t="s">
        <v>42</v>
      </c>
      <c r="F20025" t="s">
        <v>16601</v>
      </c>
      <c r="G20025" t="s">
        <v>47099</v>
      </c>
      <c r="H20025" t="s">
        <v>47054</v>
      </c>
      <c r="I20025" t="s">
        <v>47120</v>
      </c>
      <c r="J20025" t="s">
        <v>47121</v>
      </c>
      <c r="K20025" t="s">
        <v>47113</v>
      </c>
      <c r="L20025">
        <v>23.82</v>
      </c>
      <c r="M20025">
        <v>66</v>
      </c>
      <c r="N20025">
        <v>0</v>
      </c>
      <c r="O20025">
        <v>66</v>
      </c>
      <c r="P20025">
        <v>0</v>
      </c>
    </row>
    <row r="20026" spans="1:16" x14ac:dyDescent="0.25">
      <c r="A20026" t="s">
        <v>49405</v>
      </c>
      <c r="B20026" t="s">
        <v>49406</v>
      </c>
      <c r="C20026" t="s">
        <v>49407</v>
      </c>
      <c r="D20026" t="str">
        <f>"1700"</f>
        <v>1700</v>
      </c>
      <c r="E20026" t="s">
        <v>60</v>
      </c>
      <c r="F20026" t="s">
        <v>31484</v>
      </c>
      <c r="G20026" t="s">
        <v>47091</v>
      </c>
      <c r="H20026" t="s">
        <v>47054</v>
      </c>
      <c r="I20026" t="s">
        <v>47118</v>
      </c>
      <c r="J20026" t="s">
        <v>47119</v>
      </c>
      <c r="K20026" t="s">
        <v>47113</v>
      </c>
      <c r="L20026">
        <v>7.69</v>
      </c>
      <c r="M20026">
        <v>26</v>
      </c>
      <c r="N20026">
        <v>69</v>
      </c>
      <c r="O20026">
        <v>26</v>
      </c>
      <c r="P20026">
        <v>69</v>
      </c>
    </row>
    <row r="20027" spans="1:16" x14ac:dyDescent="0.25">
      <c r="A20027" t="s">
        <v>49408</v>
      </c>
      <c r="B20027" t="s">
        <v>49406</v>
      </c>
      <c r="C20027" t="s">
        <v>49407</v>
      </c>
      <c r="D20027" t="str">
        <f>"3301"</f>
        <v>3301</v>
      </c>
      <c r="E20027" t="s">
        <v>49409</v>
      </c>
      <c r="F20027" t="s">
        <v>31484</v>
      </c>
      <c r="G20027" t="s">
        <v>47091</v>
      </c>
      <c r="H20027" t="s">
        <v>47054</v>
      </c>
      <c r="I20027" t="s">
        <v>47118</v>
      </c>
      <c r="J20027" t="s">
        <v>47119</v>
      </c>
      <c r="K20027" t="s">
        <v>47113</v>
      </c>
      <c r="L20027">
        <v>8.27</v>
      </c>
      <c r="M20027">
        <v>26</v>
      </c>
      <c r="N20027">
        <v>69</v>
      </c>
      <c r="O20027">
        <v>26</v>
      </c>
      <c r="P20027">
        <v>69</v>
      </c>
    </row>
    <row r="20028" spans="1:16" x14ac:dyDescent="0.25">
      <c r="A20028" t="s">
        <v>42728</v>
      </c>
      <c r="B20028" t="s">
        <v>42729</v>
      </c>
      <c r="C20028" t="s">
        <v>42730</v>
      </c>
      <c r="D20028" t="str">
        <f>"1001"</f>
        <v>1001</v>
      </c>
      <c r="E20028" t="s">
        <v>42</v>
      </c>
      <c r="F20028" t="s">
        <v>24617</v>
      </c>
      <c r="G20028" t="s">
        <v>47091</v>
      </c>
      <c r="H20028" t="s">
        <v>47054</v>
      </c>
      <c r="I20028" t="s">
        <v>47120</v>
      </c>
      <c r="J20028" t="s">
        <v>47121</v>
      </c>
      <c r="K20028" t="s">
        <v>47113</v>
      </c>
      <c r="L20028">
        <v>13.25</v>
      </c>
      <c r="M20028">
        <v>26</v>
      </c>
      <c r="N20028">
        <v>69</v>
      </c>
      <c r="O20028">
        <v>26</v>
      </c>
      <c r="P20028">
        <v>69</v>
      </c>
    </row>
    <row r="20029" spans="1:16" x14ac:dyDescent="0.25">
      <c r="A20029" t="s">
        <v>42731</v>
      </c>
      <c r="B20029" t="s">
        <v>42729</v>
      </c>
      <c r="C20029" t="s">
        <v>42730</v>
      </c>
      <c r="D20029" t="str">
        <f>"1700"</f>
        <v>1700</v>
      </c>
      <c r="E20029" t="s">
        <v>60</v>
      </c>
      <c r="F20029" t="s">
        <v>24617</v>
      </c>
      <c r="G20029" t="s">
        <v>47091</v>
      </c>
      <c r="H20029" t="s">
        <v>47054</v>
      </c>
      <c r="I20029" t="s">
        <v>47120</v>
      </c>
      <c r="J20029" t="s">
        <v>47121</v>
      </c>
      <c r="K20029" t="s">
        <v>47113</v>
      </c>
      <c r="L20029">
        <v>13.25</v>
      </c>
      <c r="M20029">
        <v>26</v>
      </c>
      <c r="N20029">
        <v>69</v>
      </c>
      <c r="O20029">
        <v>26</v>
      </c>
      <c r="P20029">
        <v>69</v>
      </c>
    </row>
    <row r="20030" spans="1:16" x14ac:dyDescent="0.25">
      <c r="A20030" t="s">
        <v>42732</v>
      </c>
      <c r="B20030" t="s">
        <v>42729</v>
      </c>
      <c r="C20030" t="s">
        <v>42730</v>
      </c>
      <c r="D20030" t="str">
        <f>"4000"</f>
        <v>4000</v>
      </c>
      <c r="E20030" t="s">
        <v>24724</v>
      </c>
      <c r="F20030" t="s">
        <v>24617</v>
      </c>
      <c r="G20030" t="s">
        <v>47091</v>
      </c>
      <c r="H20030" t="s">
        <v>47054</v>
      </c>
      <c r="I20030" t="s">
        <v>47120</v>
      </c>
      <c r="J20030" t="s">
        <v>47121</v>
      </c>
      <c r="K20030" t="s">
        <v>47113</v>
      </c>
      <c r="L20030">
        <v>13.25</v>
      </c>
      <c r="M20030">
        <v>26</v>
      </c>
      <c r="N20030">
        <v>69</v>
      </c>
      <c r="O20030">
        <v>26</v>
      </c>
      <c r="P20030">
        <v>69</v>
      </c>
    </row>
    <row r="20031" spans="1:16" x14ac:dyDescent="0.25">
      <c r="A20031" t="s">
        <v>42733</v>
      </c>
      <c r="B20031" t="s">
        <v>42729</v>
      </c>
      <c r="C20031" t="s">
        <v>42730</v>
      </c>
      <c r="D20031" t="str">
        <f>"6000"</f>
        <v>6000</v>
      </c>
      <c r="E20031" t="s">
        <v>6279</v>
      </c>
      <c r="F20031" t="s">
        <v>24617</v>
      </c>
      <c r="G20031" t="s">
        <v>47091</v>
      </c>
      <c r="H20031" t="s">
        <v>47054</v>
      </c>
      <c r="I20031" t="s">
        <v>47120</v>
      </c>
      <c r="J20031" t="s">
        <v>47121</v>
      </c>
      <c r="K20031" t="s">
        <v>47113</v>
      </c>
      <c r="L20031">
        <v>13.25</v>
      </c>
      <c r="M20031">
        <v>26</v>
      </c>
      <c r="N20031">
        <v>69</v>
      </c>
      <c r="O20031">
        <v>26</v>
      </c>
      <c r="P20031">
        <v>69</v>
      </c>
    </row>
    <row r="20032" spans="1:16" x14ac:dyDescent="0.25">
      <c r="A20032" t="s">
        <v>42734</v>
      </c>
      <c r="B20032" t="s">
        <v>42729</v>
      </c>
      <c r="C20032" t="s">
        <v>42730</v>
      </c>
      <c r="D20032" t="str">
        <f>"6500"</f>
        <v>6500</v>
      </c>
      <c r="E20032" t="s">
        <v>42735</v>
      </c>
      <c r="F20032" t="s">
        <v>24617</v>
      </c>
      <c r="G20032" t="s">
        <v>47091</v>
      </c>
      <c r="H20032" t="s">
        <v>47054</v>
      </c>
      <c r="I20032" t="s">
        <v>47120</v>
      </c>
      <c r="J20032" t="s">
        <v>47121</v>
      </c>
      <c r="K20032" t="s">
        <v>47113</v>
      </c>
      <c r="L20032">
        <v>13.25</v>
      </c>
      <c r="M20032">
        <v>26</v>
      </c>
      <c r="N20032">
        <v>69</v>
      </c>
      <c r="O20032">
        <v>26</v>
      </c>
      <c r="P20032">
        <v>69</v>
      </c>
    </row>
    <row r="20033" spans="1:16" x14ac:dyDescent="0.25">
      <c r="A20033" t="s">
        <v>42736</v>
      </c>
      <c r="B20033" t="s">
        <v>42729</v>
      </c>
      <c r="C20033" t="s">
        <v>42730</v>
      </c>
      <c r="D20033" t="str">
        <f>"7000"</f>
        <v>7000</v>
      </c>
      <c r="E20033" t="s">
        <v>42737</v>
      </c>
      <c r="F20033" t="s">
        <v>24617</v>
      </c>
      <c r="G20033" t="s">
        <v>47091</v>
      </c>
      <c r="H20033" t="s">
        <v>47054</v>
      </c>
      <c r="I20033" t="s">
        <v>47120</v>
      </c>
      <c r="J20033" t="s">
        <v>47121</v>
      </c>
      <c r="K20033" t="s">
        <v>47113</v>
      </c>
      <c r="L20033">
        <v>13.25</v>
      </c>
      <c r="M20033">
        <v>26</v>
      </c>
      <c r="N20033">
        <v>69</v>
      </c>
      <c r="O20033">
        <v>26</v>
      </c>
      <c r="P20033">
        <v>69</v>
      </c>
    </row>
    <row r="20034" spans="1:16" x14ac:dyDescent="0.25">
      <c r="A20034" t="s">
        <v>42738</v>
      </c>
      <c r="B20034" t="s">
        <v>21833</v>
      </c>
      <c r="C20034" t="s">
        <v>21834</v>
      </c>
      <c r="D20034" t="str">
        <f>"1700"</f>
        <v>1700</v>
      </c>
      <c r="E20034" t="s">
        <v>60</v>
      </c>
      <c r="F20034" t="s">
        <v>19847</v>
      </c>
      <c r="G20034" t="s">
        <v>47091</v>
      </c>
      <c r="H20034" t="s">
        <v>47054</v>
      </c>
      <c r="I20034" t="s">
        <v>47118</v>
      </c>
      <c r="J20034" t="s">
        <v>47119</v>
      </c>
      <c r="K20034" t="s">
        <v>47113</v>
      </c>
      <c r="L20034">
        <v>14.24</v>
      </c>
      <c r="M20034">
        <v>33</v>
      </c>
      <c r="N20034">
        <v>0</v>
      </c>
      <c r="O20034">
        <v>33</v>
      </c>
      <c r="P20034">
        <v>0</v>
      </c>
    </row>
    <row r="20035" spans="1:16" x14ac:dyDescent="0.25">
      <c r="A20035" t="s">
        <v>42739</v>
      </c>
      <c r="B20035" t="s">
        <v>21835</v>
      </c>
      <c r="C20035" t="s">
        <v>21836</v>
      </c>
      <c r="D20035" t="str">
        <f>"1700"</f>
        <v>1700</v>
      </c>
      <c r="E20035" t="s">
        <v>60</v>
      </c>
      <c r="F20035" t="s">
        <v>19847</v>
      </c>
      <c r="G20035" t="s">
        <v>47091</v>
      </c>
      <c r="H20035" t="s">
        <v>47054</v>
      </c>
      <c r="I20035" t="s">
        <v>47118</v>
      </c>
      <c r="J20035" t="s">
        <v>47119</v>
      </c>
      <c r="K20035" t="s">
        <v>47113</v>
      </c>
      <c r="L20035">
        <v>14.24</v>
      </c>
      <c r="M20035">
        <v>33</v>
      </c>
      <c r="N20035">
        <v>0</v>
      </c>
      <c r="O20035">
        <v>33</v>
      </c>
      <c r="P20035">
        <v>0</v>
      </c>
    </row>
    <row r="20036" spans="1:16" x14ac:dyDescent="0.25">
      <c r="A20036" t="s">
        <v>42740</v>
      </c>
      <c r="B20036" t="s">
        <v>21837</v>
      </c>
      <c r="C20036" t="s">
        <v>21838</v>
      </c>
      <c r="D20036" t="str">
        <f>"1001"</f>
        <v>1001</v>
      </c>
      <c r="E20036" t="s">
        <v>42</v>
      </c>
      <c r="F20036" t="s">
        <v>19559</v>
      </c>
      <c r="G20036" t="s">
        <v>47091</v>
      </c>
      <c r="H20036" t="s">
        <v>47054</v>
      </c>
      <c r="I20036" t="s">
        <v>47111</v>
      </c>
      <c r="J20036" t="s">
        <v>47112</v>
      </c>
      <c r="K20036" t="s">
        <v>47113</v>
      </c>
      <c r="L20036">
        <v>16.329999999999998</v>
      </c>
      <c r="M20036">
        <v>37</v>
      </c>
      <c r="N20036">
        <v>0</v>
      </c>
      <c r="O20036">
        <v>37</v>
      </c>
      <c r="P20036">
        <v>0</v>
      </c>
    </row>
    <row r="20037" spans="1:16" x14ac:dyDescent="0.25">
      <c r="A20037" t="s">
        <v>42741</v>
      </c>
      <c r="B20037" t="s">
        <v>21839</v>
      </c>
      <c r="C20037" t="s">
        <v>21840</v>
      </c>
      <c r="D20037" t="str">
        <f>"1700"</f>
        <v>1700</v>
      </c>
      <c r="E20037" t="s">
        <v>21841</v>
      </c>
      <c r="F20037" t="s">
        <v>19552</v>
      </c>
      <c r="G20037" t="s">
        <v>47091</v>
      </c>
      <c r="H20037" t="s">
        <v>47054</v>
      </c>
      <c r="I20037" t="s">
        <v>47118</v>
      </c>
      <c r="J20037" t="s">
        <v>47119</v>
      </c>
      <c r="K20037" t="s">
        <v>47113</v>
      </c>
      <c r="L20037">
        <v>14.22</v>
      </c>
      <c r="M20037">
        <v>33</v>
      </c>
      <c r="N20037">
        <v>0</v>
      </c>
      <c r="O20037">
        <v>33</v>
      </c>
      <c r="P20037">
        <v>0</v>
      </c>
    </row>
    <row r="20038" spans="1:16" x14ac:dyDescent="0.25">
      <c r="A20038" t="s">
        <v>42742</v>
      </c>
      <c r="B20038" t="s">
        <v>42743</v>
      </c>
      <c r="C20038" t="s">
        <v>42744</v>
      </c>
      <c r="D20038" t="str">
        <f>"1106"</f>
        <v>1106</v>
      </c>
      <c r="E20038" t="s">
        <v>460</v>
      </c>
      <c r="F20038" t="s">
        <v>20496</v>
      </c>
      <c r="G20038" t="s">
        <v>47091</v>
      </c>
      <c r="H20038" t="s">
        <v>47054</v>
      </c>
      <c r="I20038" t="s">
        <v>47118</v>
      </c>
      <c r="J20038" t="s">
        <v>47119</v>
      </c>
      <c r="K20038" t="s">
        <v>47113</v>
      </c>
      <c r="L20038">
        <v>10.79</v>
      </c>
      <c r="M20038">
        <v>26</v>
      </c>
      <c r="N20038">
        <v>0</v>
      </c>
      <c r="O20038">
        <v>26</v>
      </c>
      <c r="P20038">
        <v>0</v>
      </c>
    </row>
    <row r="20039" spans="1:16" x14ac:dyDescent="0.25">
      <c r="A20039" t="s">
        <v>42745</v>
      </c>
      <c r="B20039" t="s">
        <v>42746</v>
      </c>
      <c r="C20039" t="s">
        <v>42747</v>
      </c>
      <c r="D20039" t="str">
        <f>"1700"</f>
        <v>1700</v>
      </c>
      <c r="E20039" t="s">
        <v>60</v>
      </c>
      <c r="F20039" t="s">
        <v>21629</v>
      </c>
      <c r="G20039" t="s">
        <v>47091</v>
      </c>
      <c r="H20039" t="s">
        <v>47054</v>
      </c>
      <c r="I20039" t="s">
        <v>47118</v>
      </c>
      <c r="J20039" t="s">
        <v>47119</v>
      </c>
      <c r="K20039" t="s">
        <v>47113</v>
      </c>
      <c r="L20039">
        <v>11.87</v>
      </c>
      <c r="M20039">
        <v>26</v>
      </c>
      <c r="N20039">
        <v>0</v>
      </c>
      <c r="O20039">
        <v>26</v>
      </c>
      <c r="P20039">
        <v>0</v>
      </c>
    </row>
    <row r="20040" spans="1:16" x14ac:dyDescent="0.25">
      <c r="A20040" t="s">
        <v>42748</v>
      </c>
      <c r="B20040" t="s">
        <v>42746</v>
      </c>
      <c r="C20040" t="s">
        <v>42747</v>
      </c>
      <c r="D20040" t="str">
        <f>"6012"</f>
        <v>6012</v>
      </c>
      <c r="E20040" t="s">
        <v>21628</v>
      </c>
      <c r="F20040" t="s">
        <v>21629</v>
      </c>
      <c r="G20040" t="s">
        <v>47091</v>
      </c>
      <c r="H20040" t="s">
        <v>47054</v>
      </c>
      <c r="I20040" t="s">
        <v>47118</v>
      </c>
      <c r="J20040" t="s">
        <v>47119</v>
      </c>
      <c r="K20040" t="s">
        <v>47113</v>
      </c>
      <c r="L20040">
        <v>11.87</v>
      </c>
      <c r="M20040">
        <v>26</v>
      </c>
      <c r="N20040">
        <v>0</v>
      </c>
      <c r="O20040">
        <v>26</v>
      </c>
      <c r="P20040">
        <v>0</v>
      </c>
    </row>
    <row r="20041" spans="1:16" x14ac:dyDescent="0.25">
      <c r="A20041" t="s">
        <v>42749</v>
      </c>
      <c r="B20041" t="s">
        <v>42750</v>
      </c>
      <c r="C20041" t="s">
        <v>42751</v>
      </c>
      <c r="D20041" t="str">
        <f>"1106"</f>
        <v>1106</v>
      </c>
      <c r="E20041" t="s">
        <v>460</v>
      </c>
      <c r="F20041" t="s">
        <v>20496</v>
      </c>
      <c r="G20041" t="s">
        <v>47091</v>
      </c>
      <c r="H20041" t="s">
        <v>47054</v>
      </c>
      <c r="I20041" t="s">
        <v>47118</v>
      </c>
      <c r="J20041" t="s">
        <v>47119</v>
      </c>
      <c r="K20041" t="s">
        <v>47113</v>
      </c>
      <c r="L20041">
        <v>11.21</v>
      </c>
      <c r="M20041">
        <v>26</v>
      </c>
      <c r="N20041">
        <v>0</v>
      </c>
      <c r="O20041">
        <v>26</v>
      </c>
      <c r="P20041">
        <v>0</v>
      </c>
    </row>
    <row r="20042" spans="1:16" x14ac:dyDescent="0.25">
      <c r="A20042" t="s">
        <v>42752</v>
      </c>
      <c r="B20042" t="s">
        <v>42753</v>
      </c>
      <c r="C20042" t="s">
        <v>42754</v>
      </c>
      <c r="D20042" t="str">
        <f>"1700"</f>
        <v>1700</v>
      </c>
      <c r="E20042" t="s">
        <v>60</v>
      </c>
      <c r="F20042" t="s">
        <v>24627</v>
      </c>
      <c r="G20042" t="s">
        <v>47091</v>
      </c>
      <c r="H20042" t="s">
        <v>47054</v>
      </c>
      <c r="I20042" t="s">
        <v>47118</v>
      </c>
      <c r="J20042" t="s">
        <v>47119</v>
      </c>
      <c r="K20042" t="s">
        <v>47113</v>
      </c>
      <c r="L20042">
        <v>12.6</v>
      </c>
      <c r="M20042">
        <v>26</v>
      </c>
      <c r="N20042">
        <v>69</v>
      </c>
      <c r="O20042">
        <v>26</v>
      </c>
      <c r="P20042">
        <v>69</v>
      </c>
    </row>
    <row r="20043" spans="1:16" x14ac:dyDescent="0.25">
      <c r="A20043" t="s">
        <v>42755</v>
      </c>
      <c r="B20043" t="s">
        <v>42756</v>
      </c>
      <c r="C20043" t="s">
        <v>42757</v>
      </c>
      <c r="D20043" t="str">
        <f>"1700"</f>
        <v>1700</v>
      </c>
      <c r="E20043" t="s">
        <v>60</v>
      </c>
      <c r="F20043" t="s">
        <v>21627</v>
      </c>
      <c r="G20043" t="s">
        <v>47091</v>
      </c>
      <c r="H20043" t="s">
        <v>47054</v>
      </c>
      <c r="I20043" t="s">
        <v>47118</v>
      </c>
      <c r="J20043" t="s">
        <v>47119</v>
      </c>
      <c r="K20043" t="s">
        <v>47113</v>
      </c>
      <c r="L20043">
        <v>12.62</v>
      </c>
      <c r="M20043">
        <v>26</v>
      </c>
      <c r="N20043">
        <v>0</v>
      </c>
      <c r="O20043">
        <v>26</v>
      </c>
      <c r="P20043">
        <v>0</v>
      </c>
    </row>
    <row r="20044" spans="1:16" x14ac:dyDescent="0.25">
      <c r="A20044" t="s">
        <v>42758</v>
      </c>
      <c r="B20044" t="s">
        <v>19007</v>
      </c>
      <c r="C20044" t="s">
        <v>19008</v>
      </c>
      <c r="D20044" t="str">
        <f>"1001"</f>
        <v>1001</v>
      </c>
      <c r="E20044" t="s">
        <v>42</v>
      </c>
      <c r="F20044" t="s">
        <v>16762</v>
      </c>
      <c r="G20044" t="s">
        <v>47091</v>
      </c>
      <c r="H20044" t="s">
        <v>47054</v>
      </c>
      <c r="I20044" t="s">
        <v>47111</v>
      </c>
      <c r="J20044" t="s">
        <v>47112</v>
      </c>
      <c r="K20044" t="s">
        <v>47113</v>
      </c>
      <c r="L20044">
        <v>8.42</v>
      </c>
      <c r="M20044">
        <v>26</v>
      </c>
      <c r="N20044">
        <v>0</v>
      </c>
      <c r="O20044">
        <v>26</v>
      </c>
      <c r="P20044">
        <v>0</v>
      </c>
    </row>
    <row r="20045" spans="1:16" x14ac:dyDescent="0.25">
      <c r="A20045" t="s">
        <v>42759</v>
      </c>
      <c r="B20045" t="s">
        <v>19009</v>
      </c>
      <c r="C20045" t="s">
        <v>19010</v>
      </c>
      <c r="D20045" t="str">
        <f>"1700"</f>
        <v>1700</v>
      </c>
      <c r="E20045" t="s">
        <v>60</v>
      </c>
      <c r="F20045" t="s">
        <v>16730</v>
      </c>
      <c r="G20045" t="s">
        <v>47091</v>
      </c>
      <c r="H20045" t="s">
        <v>47054</v>
      </c>
      <c r="I20045" t="s">
        <v>47111</v>
      </c>
      <c r="J20045" t="s">
        <v>47112</v>
      </c>
      <c r="K20045" t="s">
        <v>47113</v>
      </c>
      <c r="L20045">
        <v>9</v>
      </c>
      <c r="M20045">
        <v>26</v>
      </c>
      <c r="N20045">
        <v>0</v>
      </c>
      <c r="O20045">
        <v>26</v>
      </c>
      <c r="P20045">
        <v>0</v>
      </c>
    </row>
    <row r="20046" spans="1:16" x14ac:dyDescent="0.25">
      <c r="A20046" t="s">
        <v>42760</v>
      </c>
      <c r="B20046" t="s">
        <v>19011</v>
      </c>
      <c r="C20046" t="s">
        <v>19012</v>
      </c>
      <c r="D20046" t="str">
        <f>"5146"</f>
        <v>5146</v>
      </c>
      <c r="E20046" t="s">
        <v>18712</v>
      </c>
      <c r="F20046" t="s">
        <v>16839</v>
      </c>
      <c r="G20046" t="s">
        <v>47091</v>
      </c>
      <c r="H20046" t="s">
        <v>47054</v>
      </c>
      <c r="I20046" t="s">
        <v>47569</v>
      </c>
      <c r="J20046" t="s">
        <v>47570</v>
      </c>
      <c r="K20046" t="s">
        <v>47113</v>
      </c>
      <c r="L20046">
        <v>12.93</v>
      </c>
      <c r="M20046">
        <v>26</v>
      </c>
      <c r="N20046">
        <v>0</v>
      </c>
      <c r="O20046">
        <v>26</v>
      </c>
      <c r="P20046">
        <v>0</v>
      </c>
    </row>
    <row r="20047" spans="1:16" x14ac:dyDescent="0.25">
      <c r="A20047" t="s">
        <v>42761</v>
      </c>
      <c r="B20047" t="s">
        <v>19013</v>
      </c>
      <c r="C20047" t="s">
        <v>19014</v>
      </c>
      <c r="D20047" t="str">
        <f>"1700"</f>
        <v>1700</v>
      </c>
      <c r="E20047" t="s">
        <v>60</v>
      </c>
      <c r="F20047" t="s">
        <v>16839</v>
      </c>
      <c r="G20047" t="s">
        <v>47091</v>
      </c>
      <c r="H20047" t="s">
        <v>47054</v>
      </c>
      <c r="I20047" t="s">
        <v>47569</v>
      </c>
      <c r="J20047" t="s">
        <v>47570</v>
      </c>
      <c r="K20047" t="s">
        <v>47113</v>
      </c>
      <c r="L20047">
        <v>12.93</v>
      </c>
      <c r="M20047">
        <v>26</v>
      </c>
      <c r="N20047">
        <v>0</v>
      </c>
      <c r="O20047">
        <v>26</v>
      </c>
      <c r="P20047">
        <v>0</v>
      </c>
    </row>
    <row r="20048" spans="1:16" x14ac:dyDescent="0.25">
      <c r="A20048" t="s">
        <v>42762</v>
      </c>
      <c r="B20048" t="s">
        <v>19013</v>
      </c>
      <c r="C20048" t="s">
        <v>19014</v>
      </c>
      <c r="D20048" t="str">
        <f>"3071"</f>
        <v>3071</v>
      </c>
      <c r="E20048" t="s">
        <v>18711</v>
      </c>
      <c r="F20048" t="s">
        <v>16839</v>
      </c>
      <c r="G20048" t="s">
        <v>47091</v>
      </c>
      <c r="H20048" t="s">
        <v>47054</v>
      </c>
      <c r="I20048" t="s">
        <v>47569</v>
      </c>
      <c r="J20048" t="s">
        <v>47570</v>
      </c>
      <c r="K20048" t="s">
        <v>47113</v>
      </c>
      <c r="L20048">
        <v>12.93</v>
      </c>
      <c r="M20048">
        <v>26</v>
      </c>
      <c r="N20048">
        <v>0</v>
      </c>
      <c r="O20048">
        <v>26</v>
      </c>
      <c r="P20048">
        <v>0</v>
      </c>
    </row>
    <row r="20049" spans="1:16" x14ac:dyDescent="0.25">
      <c r="A20049" t="s">
        <v>42763</v>
      </c>
      <c r="B20049" t="s">
        <v>19015</v>
      </c>
      <c r="C20049" t="s">
        <v>19016</v>
      </c>
      <c r="D20049" t="str">
        <f>"1700"</f>
        <v>1700</v>
      </c>
      <c r="E20049" t="s">
        <v>60</v>
      </c>
      <c r="F20049" t="s">
        <v>16771</v>
      </c>
      <c r="G20049" t="s">
        <v>47091</v>
      </c>
      <c r="H20049" t="s">
        <v>47054</v>
      </c>
      <c r="I20049" t="s">
        <v>47116</v>
      </c>
      <c r="J20049" t="s">
        <v>47117</v>
      </c>
      <c r="K20049" t="s">
        <v>47113</v>
      </c>
      <c r="L20049">
        <v>9.23</v>
      </c>
      <c r="M20049">
        <v>26</v>
      </c>
      <c r="N20049">
        <v>0</v>
      </c>
      <c r="O20049">
        <v>26</v>
      </c>
      <c r="P20049">
        <v>0</v>
      </c>
    </row>
    <row r="20050" spans="1:16" x14ac:dyDescent="0.25">
      <c r="A20050" t="s">
        <v>42764</v>
      </c>
      <c r="B20050" t="s">
        <v>19015</v>
      </c>
      <c r="C20050" t="s">
        <v>19016</v>
      </c>
      <c r="D20050" t="str">
        <f>"6000"</f>
        <v>6000</v>
      </c>
      <c r="E20050" t="s">
        <v>16882</v>
      </c>
      <c r="F20050" t="s">
        <v>16771</v>
      </c>
      <c r="G20050" t="s">
        <v>47091</v>
      </c>
      <c r="H20050" t="s">
        <v>47054</v>
      </c>
      <c r="I20050" t="s">
        <v>47116</v>
      </c>
      <c r="J20050" t="s">
        <v>47117</v>
      </c>
      <c r="K20050" t="s">
        <v>47113</v>
      </c>
      <c r="L20050">
        <v>9.23</v>
      </c>
      <c r="M20050">
        <v>26</v>
      </c>
      <c r="N20050">
        <v>0</v>
      </c>
      <c r="O20050">
        <v>26</v>
      </c>
      <c r="P20050">
        <v>0</v>
      </c>
    </row>
    <row r="20051" spans="1:16" x14ac:dyDescent="0.25">
      <c r="A20051" t="s">
        <v>42765</v>
      </c>
      <c r="B20051" t="s">
        <v>21842</v>
      </c>
      <c r="C20051" t="s">
        <v>21843</v>
      </c>
      <c r="D20051" t="str">
        <f>"1001"</f>
        <v>1001</v>
      </c>
      <c r="E20051" t="s">
        <v>42</v>
      </c>
      <c r="F20051" t="s">
        <v>19559</v>
      </c>
      <c r="G20051" t="s">
        <v>47091</v>
      </c>
      <c r="H20051" t="s">
        <v>47054</v>
      </c>
      <c r="I20051" t="s">
        <v>47569</v>
      </c>
      <c r="J20051" t="s">
        <v>47570</v>
      </c>
      <c r="K20051" t="s">
        <v>47113</v>
      </c>
      <c r="L20051">
        <v>11.33</v>
      </c>
      <c r="M20051">
        <v>26</v>
      </c>
      <c r="N20051">
        <v>0</v>
      </c>
      <c r="O20051">
        <v>26</v>
      </c>
      <c r="P20051">
        <v>0</v>
      </c>
    </row>
    <row r="20052" spans="1:16" x14ac:dyDescent="0.25">
      <c r="A20052" t="s">
        <v>42766</v>
      </c>
      <c r="B20052" t="s">
        <v>21842</v>
      </c>
      <c r="C20052" t="s">
        <v>21843</v>
      </c>
      <c r="D20052" t="str">
        <f>"1501"</f>
        <v>1501</v>
      </c>
      <c r="E20052" t="s">
        <v>46</v>
      </c>
      <c r="F20052" t="s">
        <v>19559</v>
      </c>
      <c r="G20052" t="s">
        <v>47091</v>
      </c>
      <c r="H20052" t="s">
        <v>47054</v>
      </c>
      <c r="I20052" t="s">
        <v>47569</v>
      </c>
      <c r="J20052" t="s">
        <v>47570</v>
      </c>
      <c r="K20052" t="s">
        <v>47113</v>
      </c>
      <c r="L20052">
        <v>11.33</v>
      </c>
      <c r="M20052">
        <v>26</v>
      </c>
      <c r="N20052">
        <v>0</v>
      </c>
      <c r="O20052">
        <v>26</v>
      </c>
      <c r="P20052">
        <v>0</v>
      </c>
    </row>
    <row r="20053" spans="1:16" x14ac:dyDescent="0.25">
      <c r="A20053" t="s">
        <v>42767</v>
      </c>
      <c r="B20053" t="s">
        <v>21842</v>
      </c>
      <c r="C20053" t="s">
        <v>21843</v>
      </c>
      <c r="D20053" t="str">
        <f>"1700"</f>
        <v>1700</v>
      </c>
      <c r="E20053" t="s">
        <v>60</v>
      </c>
      <c r="F20053" t="s">
        <v>19559</v>
      </c>
      <c r="G20053" t="s">
        <v>47091</v>
      </c>
      <c r="H20053" t="s">
        <v>47054</v>
      </c>
      <c r="I20053" t="s">
        <v>47569</v>
      </c>
      <c r="J20053" t="s">
        <v>47570</v>
      </c>
      <c r="K20053" t="s">
        <v>47113</v>
      </c>
      <c r="L20053">
        <v>11.33</v>
      </c>
      <c r="M20053">
        <v>26</v>
      </c>
      <c r="N20053">
        <v>0</v>
      </c>
      <c r="O20053">
        <v>26</v>
      </c>
      <c r="P20053">
        <v>0</v>
      </c>
    </row>
    <row r="20054" spans="1:16" x14ac:dyDescent="0.25">
      <c r="A20054" t="s">
        <v>42768</v>
      </c>
      <c r="B20054" t="s">
        <v>21842</v>
      </c>
      <c r="C20054" t="s">
        <v>21843</v>
      </c>
      <c r="D20054" t="str">
        <f>"5306"</f>
        <v>5306</v>
      </c>
      <c r="E20054" t="s">
        <v>1991</v>
      </c>
      <c r="F20054" t="s">
        <v>19559</v>
      </c>
      <c r="G20054" t="s">
        <v>47091</v>
      </c>
      <c r="H20054" t="s">
        <v>47054</v>
      </c>
      <c r="I20054" t="s">
        <v>47569</v>
      </c>
      <c r="J20054" t="s">
        <v>47570</v>
      </c>
      <c r="K20054" t="s">
        <v>47113</v>
      </c>
      <c r="L20054">
        <v>11.33</v>
      </c>
      <c r="M20054">
        <v>26</v>
      </c>
      <c r="N20054">
        <v>0</v>
      </c>
      <c r="O20054">
        <v>26</v>
      </c>
      <c r="P20054">
        <v>0</v>
      </c>
    </row>
    <row r="20055" spans="1:16" x14ac:dyDescent="0.25">
      <c r="A20055" t="s">
        <v>42769</v>
      </c>
      <c r="B20055" t="s">
        <v>12310</v>
      </c>
      <c r="C20055" t="s">
        <v>12311</v>
      </c>
      <c r="D20055" t="str">
        <f>"1505"</f>
        <v>1505</v>
      </c>
      <c r="E20055" t="s">
        <v>1667</v>
      </c>
      <c r="F20055" t="s">
        <v>7</v>
      </c>
      <c r="G20055" t="s">
        <v>47091</v>
      </c>
      <c r="H20055" t="s">
        <v>47054</v>
      </c>
      <c r="I20055" t="s">
        <v>47120</v>
      </c>
      <c r="J20055" t="s">
        <v>47121</v>
      </c>
      <c r="K20055" t="s">
        <v>47113</v>
      </c>
      <c r="L20055">
        <v>7.67</v>
      </c>
      <c r="M20055">
        <v>21</v>
      </c>
      <c r="N20055">
        <v>0</v>
      </c>
      <c r="O20055">
        <v>21</v>
      </c>
      <c r="P20055">
        <v>0</v>
      </c>
    </row>
    <row r="20056" spans="1:16" x14ac:dyDescent="0.25">
      <c r="A20056" t="s">
        <v>42770</v>
      </c>
      <c r="B20056" t="s">
        <v>12310</v>
      </c>
      <c r="C20056" t="s">
        <v>12311</v>
      </c>
      <c r="D20056" t="str">
        <f>"1746"</f>
        <v>1746</v>
      </c>
      <c r="E20056" t="s">
        <v>807</v>
      </c>
      <c r="F20056" t="s">
        <v>7</v>
      </c>
      <c r="G20056" t="s">
        <v>47091</v>
      </c>
      <c r="H20056" t="s">
        <v>47054</v>
      </c>
      <c r="I20056" t="s">
        <v>47111</v>
      </c>
      <c r="J20056" t="s">
        <v>47112</v>
      </c>
      <c r="K20056" t="s">
        <v>47113</v>
      </c>
      <c r="L20056">
        <v>7.67</v>
      </c>
      <c r="M20056">
        <v>21</v>
      </c>
      <c r="N20056">
        <v>0</v>
      </c>
      <c r="O20056">
        <v>21</v>
      </c>
      <c r="P20056">
        <v>0</v>
      </c>
    </row>
    <row r="20057" spans="1:16" x14ac:dyDescent="0.25">
      <c r="A20057" t="s">
        <v>42771</v>
      </c>
      <c r="B20057" t="s">
        <v>19017</v>
      </c>
      <c r="C20057" t="s">
        <v>19018</v>
      </c>
      <c r="D20057" t="str">
        <f>"3071"</f>
        <v>3071</v>
      </c>
      <c r="E20057" t="s">
        <v>19019</v>
      </c>
      <c r="F20057" t="s">
        <v>16839</v>
      </c>
      <c r="G20057" t="s">
        <v>47094</v>
      </c>
      <c r="H20057" t="s">
        <v>47054</v>
      </c>
      <c r="I20057" t="s">
        <v>47120</v>
      </c>
      <c r="J20057" t="s">
        <v>47121</v>
      </c>
      <c r="K20057" t="s">
        <v>47113</v>
      </c>
      <c r="L20057">
        <v>36.64</v>
      </c>
      <c r="M20057">
        <v>74</v>
      </c>
      <c r="N20057">
        <v>0</v>
      </c>
      <c r="O20057">
        <v>74</v>
      </c>
      <c r="P20057">
        <v>0</v>
      </c>
    </row>
    <row r="20058" spans="1:16" x14ac:dyDescent="0.25">
      <c r="A20058" t="s">
        <v>42772</v>
      </c>
      <c r="B20058" t="s">
        <v>19020</v>
      </c>
      <c r="C20058" t="s">
        <v>19021</v>
      </c>
      <c r="D20058" t="str">
        <f>"3071"</f>
        <v>3071</v>
      </c>
      <c r="E20058" t="s">
        <v>19019</v>
      </c>
      <c r="F20058" t="s">
        <v>16839</v>
      </c>
      <c r="G20058" t="s">
        <v>47095</v>
      </c>
      <c r="H20058" t="s">
        <v>47054</v>
      </c>
      <c r="I20058" t="s">
        <v>47120</v>
      </c>
      <c r="J20058" t="s">
        <v>47121</v>
      </c>
      <c r="K20058" t="s">
        <v>47113</v>
      </c>
      <c r="L20058">
        <v>36.64</v>
      </c>
      <c r="M20058">
        <v>74</v>
      </c>
      <c r="N20058">
        <v>0</v>
      </c>
      <c r="O20058">
        <v>74</v>
      </c>
      <c r="P20058">
        <v>0</v>
      </c>
    </row>
    <row r="20059" spans="1:16" x14ac:dyDescent="0.25">
      <c r="A20059" t="s">
        <v>42773</v>
      </c>
      <c r="B20059" t="s">
        <v>19022</v>
      </c>
      <c r="C20059" t="s">
        <v>19023</v>
      </c>
      <c r="D20059" t="str">
        <f>"1001"</f>
        <v>1001</v>
      </c>
      <c r="E20059" t="s">
        <v>42</v>
      </c>
      <c r="F20059" t="s">
        <v>16839</v>
      </c>
      <c r="G20059" t="s">
        <v>47094</v>
      </c>
      <c r="H20059" t="s">
        <v>47054</v>
      </c>
      <c r="I20059" t="s">
        <v>47569</v>
      </c>
      <c r="J20059" t="s">
        <v>47570</v>
      </c>
      <c r="K20059" t="s">
        <v>47113</v>
      </c>
      <c r="L20059">
        <v>17.98</v>
      </c>
      <c r="M20059">
        <v>66</v>
      </c>
      <c r="N20059">
        <v>0</v>
      </c>
      <c r="O20059">
        <v>66</v>
      </c>
      <c r="P20059">
        <v>0</v>
      </c>
    </row>
    <row r="20060" spans="1:16" x14ac:dyDescent="0.25">
      <c r="A20060" t="s">
        <v>42774</v>
      </c>
      <c r="B20060" t="s">
        <v>19022</v>
      </c>
      <c r="C20060" t="s">
        <v>19023</v>
      </c>
      <c r="D20060" t="str">
        <f>"1700"</f>
        <v>1700</v>
      </c>
      <c r="E20060" t="s">
        <v>60</v>
      </c>
      <c r="F20060" t="s">
        <v>16839</v>
      </c>
      <c r="G20060" t="s">
        <v>47094</v>
      </c>
      <c r="H20060" t="s">
        <v>47054</v>
      </c>
      <c r="I20060" t="s">
        <v>47569</v>
      </c>
      <c r="J20060" t="s">
        <v>47570</v>
      </c>
      <c r="K20060" t="s">
        <v>47113</v>
      </c>
      <c r="L20060">
        <v>17.98</v>
      </c>
      <c r="M20060">
        <v>66</v>
      </c>
      <c r="N20060">
        <v>0</v>
      </c>
      <c r="O20060">
        <v>66</v>
      </c>
      <c r="P20060">
        <v>0</v>
      </c>
    </row>
    <row r="20061" spans="1:16" x14ac:dyDescent="0.25">
      <c r="A20061" t="s">
        <v>42775</v>
      </c>
      <c r="B20061" t="s">
        <v>19022</v>
      </c>
      <c r="C20061" t="s">
        <v>19023</v>
      </c>
      <c r="D20061" t="str">
        <f>"3071"</f>
        <v>3071</v>
      </c>
      <c r="E20061" t="s">
        <v>18711</v>
      </c>
      <c r="F20061" t="s">
        <v>16839</v>
      </c>
      <c r="G20061" t="s">
        <v>47094</v>
      </c>
      <c r="H20061" t="s">
        <v>47054</v>
      </c>
      <c r="I20061" t="s">
        <v>47569</v>
      </c>
      <c r="J20061" t="s">
        <v>47570</v>
      </c>
      <c r="K20061" t="s">
        <v>47113</v>
      </c>
      <c r="L20061">
        <v>32.96</v>
      </c>
      <c r="M20061">
        <v>66</v>
      </c>
      <c r="N20061">
        <v>0</v>
      </c>
      <c r="O20061">
        <v>66</v>
      </c>
      <c r="P20061">
        <v>0</v>
      </c>
    </row>
    <row r="20062" spans="1:16" x14ac:dyDescent="0.25">
      <c r="A20062" t="s">
        <v>42776</v>
      </c>
      <c r="B20062" t="s">
        <v>19022</v>
      </c>
      <c r="C20062" t="s">
        <v>19023</v>
      </c>
      <c r="D20062" t="str">
        <f>"5146"</f>
        <v>5146</v>
      </c>
      <c r="E20062" t="s">
        <v>18712</v>
      </c>
      <c r="F20062" t="s">
        <v>16839</v>
      </c>
      <c r="G20062" t="s">
        <v>47094</v>
      </c>
      <c r="H20062" t="s">
        <v>47054</v>
      </c>
      <c r="I20062" t="s">
        <v>47569</v>
      </c>
      <c r="J20062" t="s">
        <v>47570</v>
      </c>
      <c r="K20062" t="s">
        <v>47113</v>
      </c>
      <c r="L20062">
        <v>32.96</v>
      </c>
      <c r="M20062">
        <v>66</v>
      </c>
      <c r="N20062">
        <v>0</v>
      </c>
      <c r="O20062">
        <v>66</v>
      </c>
      <c r="P20062">
        <v>0</v>
      </c>
    </row>
    <row r="20063" spans="1:16" x14ac:dyDescent="0.25">
      <c r="A20063" t="s">
        <v>42777</v>
      </c>
      <c r="B20063" t="s">
        <v>19024</v>
      </c>
      <c r="C20063" t="s">
        <v>19025</v>
      </c>
      <c r="D20063" t="str">
        <f>"1001"</f>
        <v>1001</v>
      </c>
      <c r="E20063" t="s">
        <v>19026</v>
      </c>
      <c r="F20063" t="s">
        <v>16839</v>
      </c>
      <c r="G20063" t="s">
        <v>47094</v>
      </c>
      <c r="H20063" t="s">
        <v>47054</v>
      </c>
      <c r="I20063" t="s">
        <v>47120</v>
      </c>
      <c r="J20063" t="s">
        <v>47121</v>
      </c>
      <c r="K20063" t="s">
        <v>47113</v>
      </c>
      <c r="L20063">
        <v>29.28</v>
      </c>
      <c r="M20063">
        <v>59</v>
      </c>
      <c r="N20063">
        <v>0</v>
      </c>
      <c r="O20063">
        <v>59</v>
      </c>
      <c r="P20063">
        <v>0</v>
      </c>
    </row>
    <row r="20064" spans="1:16" x14ac:dyDescent="0.25">
      <c r="A20064" t="s">
        <v>42778</v>
      </c>
      <c r="B20064" t="s">
        <v>19027</v>
      </c>
      <c r="C20064" t="s">
        <v>19028</v>
      </c>
      <c r="D20064" t="str">
        <f>"4143"</f>
        <v>4143</v>
      </c>
      <c r="E20064" t="s">
        <v>261</v>
      </c>
      <c r="F20064" t="s">
        <v>16839</v>
      </c>
      <c r="G20064" t="s">
        <v>47101</v>
      </c>
      <c r="H20064" t="s">
        <v>47054</v>
      </c>
      <c r="I20064" t="s">
        <v>47120</v>
      </c>
      <c r="J20064" t="s">
        <v>47121</v>
      </c>
      <c r="K20064" t="s">
        <v>47113</v>
      </c>
      <c r="L20064">
        <v>45.86</v>
      </c>
      <c r="M20064">
        <v>92</v>
      </c>
      <c r="N20064">
        <v>0</v>
      </c>
      <c r="O20064">
        <v>92</v>
      </c>
      <c r="P20064">
        <v>0</v>
      </c>
    </row>
    <row r="20065" spans="1:16" x14ac:dyDescent="0.25">
      <c r="A20065" t="s">
        <v>42779</v>
      </c>
      <c r="B20065" t="s">
        <v>19029</v>
      </c>
      <c r="C20065" t="s">
        <v>19030</v>
      </c>
      <c r="D20065" t="str">
        <f>"1700"</f>
        <v>1700</v>
      </c>
      <c r="E20065" t="s">
        <v>60</v>
      </c>
      <c r="F20065" t="s">
        <v>16839</v>
      </c>
      <c r="G20065" t="s">
        <v>47101</v>
      </c>
      <c r="H20065" t="s">
        <v>47054</v>
      </c>
      <c r="I20065" t="s">
        <v>47120</v>
      </c>
      <c r="J20065" t="s">
        <v>47121</v>
      </c>
      <c r="K20065" t="s">
        <v>47113</v>
      </c>
      <c r="L20065">
        <v>29.34</v>
      </c>
      <c r="M20065">
        <v>59</v>
      </c>
      <c r="N20065">
        <v>0</v>
      </c>
      <c r="O20065">
        <v>59</v>
      </c>
      <c r="P20065">
        <v>0</v>
      </c>
    </row>
    <row r="20066" spans="1:16" x14ac:dyDescent="0.25">
      <c r="A20066" t="s">
        <v>42780</v>
      </c>
      <c r="B20066" t="s">
        <v>21844</v>
      </c>
      <c r="C20066" t="s">
        <v>21845</v>
      </c>
      <c r="D20066" t="s">
        <v>21846</v>
      </c>
      <c r="E20066" t="s">
        <v>21847</v>
      </c>
      <c r="F20066" t="s">
        <v>17351</v>
      </c>
      <c r="G20066" t="s">
        <v>47101</v>
      </c>
      <c r="H20066" t="s">
        <v>47054</v>
      </c>
      <c r="I20066" t="s">
        <v>47120</v>
      </c>
      <c r="J20066" t="s">
        <v>47121</v>
      </c>
      <c r="K20066" t="s">
        <v>47113</v>
      </c>
      <c r="L20066">
        <v>59.66</v>
      </c>
      <c r="M20066">
        <v>111</v>
      </c>
      <c r="N20066">
        <v>0</v>
      </c>
      <c r="O20066">
        <v>111</v>
      </c>
      <c r="P20066">
        <v>0</v>
      </c>
    </row>
    <row r="20067" spans="1:16" x14ac:dyDescent="0.25">
      <c r="A20067" t="s">
        <v>42781</v>
      </c>
      <c r="B20067" t="s">
        <v>21848</v>
      </c>
      <c r="C20067" t="s">
        <v>21849</v>
      </c>
      <c r="D20067" t="str">
        <f>"1991"</f>
        <v>1991</v>
      </c>
      <c r="E20067" t="s">
        <v>21850</v>
      </c>
      <c r="F20067" t="s">
        <v>19552</v>
      </c>
      <c r="G20067" t="s">
        <v>47101</v>
      </c>
      <c r="H20067" t="s">
        <v>47054</v>
      </c>
      <c r="I20067" t="s">
        <v>47120</v>
      </c>
      <c r="J20067" t="s">
        <v>47121</v>
      </c>
      <c r="K20067" t="s">
        <v>47113</v>
      </c>
      <c r="L20067">
        <v>40.65</v>
      </c>
      <c r="M20067">
        <v>74</v>
      </c>
      <c r="N20067">
        <v>0</v>
      </c>
      <c r="O20067">
        <v>74</v>
      </c>
      <c r="P20067">
        <v>0</v>
      </c>
    </row>
    <row r="20068" spans="1:16" x14ac:dyDescent="0.25">
      <c r="A20068" t="s">
        <v>42782</v>
      </c>
      <c r="B20068" t="s">
        <v>21848</v>
      </c>
      <c r="C20068" t="s">
        <v>21849</v>
      </c>
      <c r="D20068" t="str">
        <f>"3071"</f>
        <v>3071</v>
      </c>
      <c r="E20068" t="s">
        <v>18711</v>
      </c>
      <c r="F20068" t="s">
        <v>19552</v>
      </c>
      <c r="G20068" t="s">
        <v>47101</v>
      </c>
      <c r="H20068" t="s">
        <v>47054</v>
      </c>
      <c r="I20068" t="s">
        <v>47120</v>
      </c>
      <c r="J20068" t="s">
        <v>47121</v>
      </c>
      <c r="K20068" t="s">
        <v>47113</v>
      </c>
      <c r="L20068">
        <v>40.65</v>
      </c>
      <c r="M20068">
        <v>74</v>
      </c>
      <c r="N20068">
        <v>0</v>
      </c>
      <c r="O20068">
        <v>74</v>
      </c>
      <c r="P20068">
        <v>0</v>
      </c>
    </row>
    <row r="20069" spans="1:16" x14ac:dyDescent="0.25">
      <c r="A20069" t="s">
        <v>42783</v>
      </c>
      <c r="B20069" t="s">
        <v>19031</v>
      </c>
      <c r="C20069" t="s">
        <v>19032</v>
      </c>
      <c r="D20069" t="str">
        <f>"1001"</f>
        <v>1001</v>
      </c>
      <c r="E20069" t="s">
        <v>42</v>
      </c>
      <c r="F20069" t="s">
        <v>16839</v>
      </c>
      <c r="G20069" t="s">
        <v>47097</v>
      </c>
      <c r="H20069" t="s">
        <v>47054</v>
      </c>
      <c r="I20069" t="s">
        <v>47569</v>
      </c>
      <c r="J20069" t="s">
        <v>47570</v>
      </c>
      <c r="K20069" t="s">
        <v>47113</v>
      </c>
      <c r="L20069">
        <v>16.39</v>
      </c>
      <c r="M20069">
        <v>33</v>
      </c>
      <c r="N20069">
        <v>0</v>
      </c>
      <c r="O20069">
        <v>33</v>
      </c>
      <c r="P20069">
        <v>0</v>
      </c>
    </row>
    <row r="20070" spans="1:16" x14ac:dyDescent="0.25">
      <c r="A20070" t="s">
        <v>42784</v>
      </c>
      <c r="B20070" t="s">
        <v>19031</v>
      </c>
      <c r="C20070" t="s">
        <v>19032</v>
      </c>
      <c r="D20070" t="str">
        <f>"1700"</f>
        <v>1700</v>
      </c>
      <c r="E20070" t="s">
        <v>60</v>
      </c>
      <c r="F20070" t="s">
        <v>16839</v>
      </c>
      <c r="G20070" t="s">
        <v>47097</v>
      </c>
      <c r="H20070" t="s">
        <v>47054</v>
      </c>
      <c r="I20070" t="s">
        <v>47569</v>
      </c>
      <c r="J20070" t="s">
        <v>47570</v>
      </c>
      <c r="K20070" t="s">
        <v>47113</v>
      </c>
      <c r="L20070">
        <v>16.39</v>
      </c>
      <c r="M20070">
        <v>33</v>
      </c>
      <c r="N20070">
        <v>0</v>
      </c>
      <c r="O20070">
        <v>33</v>
      </c>
      <c r="P20070">
        <v>0</v>
      </c>
    </row>
    <row r="20071" spans="1:16" x14ac:dyDescent="0.25">
      <c r="A20071" t="s">
        <v>42785</v>
      </c>
      <c r="B20071" t="s">
        <v>19031</v>
      </c>
      <c r="C20071" t="s">
        <v>19032</v>
      </c>
      <c r="D20071" t="str">
        <f>"3071"</f>
        <v>3071</v>
      </c>
      <c r="E20071" t="s">
        <v>18711</v>
      </c>
      <c r="F20071" t="s">
        <v>16839</v>
      </c>
      <c r="G20071" t="s">
        <v>47097</v>
      </c>
      <c r="H20071" t="s">
        <v>47054</v>
      </c>
      <c r="I20071" t="s">
        <v>47569</v>
      </c>
      <c r="J20071" t="s">
        <v>47570</v>
      </c>
      <c r="K20071" t="s">
        <v>47113</v>
      </c>
      <c r="L20071">
        <v>18.399999999999999</v>
      </c>
      <c r="M20071">
        <v>37</v>
      </c>
      <c r="N20071">
        <v>0</v>
      </c>
      <c r="O20071">
        <v>37</v>
      </c>
      <c r="P20071">
        <v>0</v>
      </c>
    </row>
    <row r="20072" spans="1:16" x14ac:dyDescent="0.25">
      <c r="A20072" t="s">
        <v>42786</v>
      </c>
      <c r="B20072" t="s">
        <v>19033</v>
      </c>
      <c r="C20072" t="s">
        <v>19034</v>
      </c>
      <c r="D20072" t="str">
        <f>"8418"</f>
        <v>8418</v>
      </c>
      <c r="E20072" t="s">
        <v>19035</v>
      </c>
      <c r="F20072" t="s">
        <v>16810</v>
      </c>
      <c r="G20072" t="s">
        <v>47097</v>
      </c>
      <c r="H20072" t="s">
        <v>47054</v>
      </c>
      <c r="I20072" t="s">
        <v>47120</v>
      </c>
      <c r="J20072" t="s">
        <v>47121</v>
      </c>
      <c r="K20072" t="s">
        <v>47113</v>
      </c>
      <c r="L20072">
        <v>14.55</v>
      </c>
      <c r="M20072">
        <v>29</v>
      </c>
      <c r="N20072">
        <v>0</v>
      </c>
      <c r="O20072">
        <v>29</v>
      </c>
      <c r="P20072">
        <v>0</v>
      </c>
    </row>
    <row r="20073" spans="1:16" x14ac:dyDescent="0.25">
      <c r="A20073" t="s">
        <v>42787</v>
      </c>
      <c r="B20073" t="s">
        <v>19036</v>
      </c>
      <c r="C20073" t="s">
        <v>19037</v>
      </c>
      <c r="D20073" t="str">
        <f>"1001"</f>
        <v>1001</v>
      </c>
      <c r="E20073" t="s">
        <v>42</v>
      </c>
      <c r="F20073" t="s">
        <v>16839</v>
      </c>
      <c r="G20073" t="s">
        <v>47097</v>
      </c>
      <c r="H20073" t="s">
        <v>47054</v>
      </c>
      <c r="I20073" t="s">
        <v>47569</v>
      </c>
      <c r="J20073" t="s">
        <v>47570</v>
      </c>
      <c r="K20073" t="s">
        <v>47113</v>
      </c>
      <c r="L20073">
        <v>14.42</v>
      </c>
      <c r="M20073">
        <v>29</v>
      </c>
      <c r="N20073">
        <v>0</v>
      </c>
      <c r="O20073">
        <v>29</v>
      </c>
      <c r="P20073">
        <v>0</v>
      </c>
    </row>
    <row r="20074" spans="1:16" x14ac:dyDescent="0.25">
      <c r="A20074" t="s">
        <v>42788</v>
      </c>
      <c r="B20074" t="s">
        <v>19036</v>
      </c>
      <c r="C20074" t="s">
        <v>19037</v>
      </c>
      <c r="D20074" t="str">
        <f>"1700"</f>
        <v>1700</v>
      </c>
      <c r="E20074" t="s">
        <v>60</v>
      </c>
      <c r="F20074" t="s">
        <v>16839</v>
      </c>
      <c r="G20074" t="s">
        <v>47097</v>
      </c>
      <c r="H20074" t="s">
        <v>47054</v>
      </c>
      <c r="I20074" t="s">
        <v>47569</v>
      </c>
      <c r="J20074" t="s">
        <v>47570</v>
      </c>
      <c r="K20074" t="s">
        <v>47113</v>
      </c>
      <c r="L20074">
        <v>14.42</v>
      </c>
      <c r="M20074">
        <v>29</v>
      </c>
      <c r="N20074">
        <v>0</v>
      </c>
      <c r="O20074">
        <v>29</v>
      </c>
      <c r="P20074">
        <v>0</v>
      </c>
    </row>
    <row r="20075" spans="1:16" x14ac:dyDescent="0.25">
      <c r="A20075" t="s">
        <v>42789</v>
      </c>
      <c r="B20075" t="s">
        <v>19036</v>
      </c>
      <c r="C20075" t="s">
        <v>19037</v>
      </c>
      <c r="D20075" t="str">
        <f>"8418"</f>
        <v>8418</v>
      </c>
      <c r="E20075" t="s">
        <v>19038</v>
      </c>
      <c r="F20075" t="s">
        <v>16839</v>
      </c>
      <c r="G20075" t="s">
        <v>47097</v>
      </c>
      <c r="H20075" t="s">
        <v>47054</v>
      </c>
      <c r="I20075" t="s">
        <v>47569</v>
      </c>
      <c r="J20075" t="s">
        <v>47570</v>
      </c>
      <c r="K20075" t="s">
        <v>47113</v>
      </c>
      <c r="L20075">
        <v>14.42</v>
      </c>
      <c r="M20075">
        <v>29</v>
      </c>
      <c r="N20075">
        <v>0</v>
      </c>
      <c r="O20075">
        <v>29</v>
      </c>
      <c r="P20075">
        <v>0</v>
      </c>
    </row>
    <row r="20076" spans="1:16" x14ac:dyDescent="0.25">
      <c r="A20076" t="s">
        <v>42790</v>
      </c>
      <c r="B20076" t="s">
        <v>19039</v>
      </c>
      <c r="C20076" t="s">
        <v>17302</v>
      </c>
      <c r="D20076" t="str">
        <f>"3071"</f>
        <v>3071</v>
      </c>
      <c r="E20076" t="s">
        <v>18711</v>
      </c>
      <c r="F20076" t="s">
        <v>16839</v>
      </c>
      <c r="G20076" t="s">
        <v>47098</v>
      </c>
      <c r="H20076" t="s">
        <v>47054</v>
      </c>
      <c r="I20076" t="s">
        <v>47120</v>
      </c>
      <c r="J20076" t="s">
        <v>47121</v>
      </c>
      <c r="K20076" t="s">
        <v>47113</v>
      </c>
      <c r="L20076">
        <v>101.09</v>
      </c>
      <c r="M20076">
        <v>203</v>
      </c>
      <c r="N20076">
        <v>0</v>
      </c>
      <c r="O20076">
        <v>203</v>
      </c>
      <c r="P20076">
        <v>0</v>
      </c>
    </row>
    <row r="20077" spans="1:16" x14ac:dyDescent="0.25">
      <c r="A20077" t="s">
        <v>42791</v>
      </c>
      <c r="B20077" t="s">
        <v>19040</v>
      </c>
      <c r="C20077" t="s">
        <v>17258</v>
      </c>
      <c r="D20077" t="str">
        <f>"4143"</f>
        <v>4143</v>
      </c>
      <c r="E20077" t="s">
        <v>19041</v>
      </c>
      <c r="F20077" t="s">
        <v>16839</v>
      </c>
      <c r="G20077" t="s">
        <v>47098</v>
      </c>
      <c r="H20077" t="s">
        <v>47054</v>
      </c>
      <c r="I20077" t="s">
        <v>47120</v>
      </c>
      <c r="J20077" t="s">
        <v>47121</v>
      </c>
      <c r="K20077" t="s">
        <v>47113</v>
      </c>
      <c r="L20077">
        <v>73.59</v>
      </c>
      <c r="M20077">
        <v>148</v>
      </c>
      <c r="N20077">
        <v>0</v>
      </c>
      <c r="O20077">
        <v>148</v>
      </c>
      <c r="P20077">
        <v>0</v>
      </c>
    </row>
    <row r="20078" spans="1:16" x14ac:dyDescent="0.25">
      <c r="A20078" t="s">
        <v>42792</v>
      </c>
      <c r="B20078" t="s">
        <v>19042</v>
      </c>
      <c r="C20078" t="s">
        <v>19043</v>
      </c>
      <c r="D20078" t="str">
        <f>"1501"</f>
        <v>1501</v>
      </c>
      <c r="E20078" t="s">
        <v>19044</v>
      </c>
      <c r="F20078" t="s">
        <v>16810</v>
      </c>
      <c r="G20078" t="s">
        <v>47091</v>
      </c>
      <c r="H20078" t="s">
        <v>47054</v>
      </c>
      <c r="I20078" t="s">
        <v>47569</v>
      </c>
      <c r="J20078" t="s">
        <v>47570</v>
      </c>
      <c r="K20078" t="s">
        <v>47113</v>
      </c>
      <c r="L20078">
        <v>14.55</v>
      </c>
      <c r="M20078">
        <v>29</v>
      </c>
      <c r="N20078">
        <v>0</v>
      </c>
      <c r="O20078">
        <v>29</v>
      </c>
      <c r="P20078">
        <v>0</v>
      </c>
    </row>
    <row r="20079" spans="1:16" x14ac:dyDescent="0.25">
      <c r="A20079" t="s">
        <v>42793</v>
      </c>
      <c r="B20079" t="s">
        <v>19045</v>
      </c>
      <c r="C20079" t="s">
        <v>19046</v>
      </c>
      <c r="D20079" t="str">
        <f>"1001"</f>
        <v>1001</v>
      </c>
      <c r="E20079" t="s">
        <v>19047</v>
      </c>
      <c r="F20079" t="s">
        <v>16839</v>
      </c>
      <c r="G20079" t="s">
        <v>47097</v>
      </c>
      <c r="I20079" t="s">
        <v>47120</v>
      </c>
      <c r="J20079" t="s">
        <v>47121</v>
      </c>
      <c r="K20079" t="s">
        <v>47113</v>
      </c>
      <c r="L20079">
        <v>14.37</v>
      </c>
      <c r="M20079">
        <v>33</v>
      </c>
      <c r="N20079">
        <v>0</v>
      </c>
      <c r="O20079">
        <v>33</v>
      </c>
      <c r="P20079">
        <v>0</v>
      </c>
    </row>
    <row r="20080" spans="1:16" x14ac:dyDescent="0.25">
      <c r="A20080" t="s">
        <v>42794</v>
      </c>
      <c r="B20080" t="s">
        <v>19048</v>
      </c>
      <c r="C20080" t="s">
        <v>19049</v>
      </c>
      <c r="D20080" t="str">
        <f>"1001"</f>
        <v>1001</v>
      </c>
      <c r="E20080" t="s">
        <v>19047</v>
      </c>
      <c r="F20080" t="s">
        <v>16839</v>
      </c>
      <c r="G20080" t="s">
        <v>47097</v>
      </c>
      <c r="H20080" t="s">
        <v>47054</v>
      </c>
      <c r="I20080" t="s">
        <v>47120</v>
      </c>
      <c r="J20080" t="s">
        <v>47121</v>
      </c>
      <c r="K20080" t="s">
        <v>47113</v>
      </c>
      <c r="L20080">
        <v>18.399999999999999</v>
      </c>
      <c r="M20080">
        <v>37</v>
      </c>
      <c r="N20080">
        <v>0</v>
      </c>
      <c r="O20080">
        <v>37</v>
      </c>
      <c r="P20080">
        <v>0</v>
      </c>
    </row>
    <row r="20081" spans="1:16" x14ac:dyDescent="0.25">
      <c r="A20081" t="s">
        <v>42795</v>
      </c>
      <c r="B20081" t="s">
        <v>19050</v>
      </c>
      <c r="C20081" t="s">
        <v>19051</v>
      </c>
      <c r="D20081" t="str">
        <f>"8418"</f>
        <v>8418</v>
      </c>
      <c r="E20081" t="s">
        <v>19038</v>
      </c>
      <c r="F20081" t="s">
        <v>16810</v>
      </c>
      <c r="G20081" t="s">
        <v>47094</v>
      </c>
      <c r="H20081" t="s">
        <v>47054</v>
      </c>
      <c r="I20081" t="s">
        <v>47120</v>
      </c>
      <c r="J20081" t="s">
        <v>47121</v>
      </c>
      <c r="K20081" t="s">
        <v>47113</v>
      </c>
      <c r="L20081">
        <v>32.81</v>
      </c>
      <c r="M20081">
        <v>66</v>
      </c>
      <c r="N20081">
        <v>0</v>
      </c>
      <c r="O20081">
        <v>66</v>
      </c>
      <c r="P20081">
        <v>0</v>
      </c>
    </row>
    <row r="20082" spans="1:16" x14ac:dyDescent="0.25">
      <c r="A20082" t="s">
        <v>42796</v>
      </c>
      <c r="B20082" t="s">
        <v>19052</v>
      </c>
      <c r="C20082" t="s">
        <v>19053</v>
      </c>
      <c r="D20082" t="str">
        <f>"8418"</f>
        <v>8418</v>
      </c>
      <c r="E20082" t="s">
        <v>19038</v>
      </c>
      <c r="F20082" t="s">
        <v>16810</v>
      </c>
      <c r="G20082" t="s">
        <v>47095</v>
      </c>
      <c r="H20082" t="s">
        <v>47054</v>
      </c>
      <c r="I20082" t="s">
        <v>47120</v>
      </c>
      <c r="J20082" t="s">
        <v>47121</v>
      </c>
      <c r="K20082" t="s">
        <v>47113</v>
      </c>
      <c r="L20082">
        <v>29.28</v>
      </c>
      <c r="M20082">
        <v>59</v>
      </c>
      <c r="N20082">
        <v>0</v>
      </c>
      <c r="O20082">
        <v>59</v>
      </c>
      <c r="P20082">
        <v>0</v>
      </c>
    </row>
    <row r="20083" spans="1:16" x14ac:dyDescent="0.25">
      <c r="A20083" t="s">
        <v>42797</v>
      </c>
      <c r="B20083" t="s">
        <v>19054</v>
      </c>
      <c r="C20083" t="s">
        <v>19055</v>
      </c>
      <c r="D20083" t="str">
        <f>"1001"</f>
        <v>1001</v>
      </c>
      <c r="E20083" t="s">
        <v>19047</v>
      </c>
      <c r="F20083" t="s">
        <v>16839</v>
      </c>
      <c r="G20083" t="s">
        <v>47095</v>
      </c>
      <c r="H20083" t="s">
        <v>47054</v>
      </c>
      <c r="I20083" t="s">
        <v>47120</v>
      </c>
      <c r="J20083" t="s">
        <v>47121</v>
      </c>
      <c r="K20083" t="s">
        <v>47113</v>
      </c>
      <c r="L20083">
        <v>25.6</v>
      </c>
      <c r="M20083">
        <v>51</v>
      </c>
      <c r="N20083">
        <v>0</v>
      </c>
      <c r="O20083">
        <v>51</v>
      </c>
      <c r="P20083">
        <v>0</v>
      </c>
    </row>
    <row r="20084" spans="1:16" x14ac:dyDescent="0.25">
      <c r="A20084" t="s">
        <v>42798</v>
      </c>
      <c r="B20084" t="s">
        <v>19056</v>
      </c>
      <c r="C20084" t="s">
        <v>19057</v>
      </c>
      <c r="D20084" t="str">
        <f>"1501"</f>
        <v>1501</v>
      </c>
      <c r="E20084" t="s">
        <v>46</v>
      </c>
      <c r="F20084" t="s">
        <v>16810</v>
      </c>
      <c r="G20084" t="s">
        <v>47091</v>
      </c>
      <c r="H20084" t="s">
        <v>47054</v>
      </c>
      <c r="I20084" t="s">
        <v>47569</v>
      </c>
      <c r="J20084" t="s">
        <v>47570</v>
      </c>
      <c r="K20084" t="s">
        <v>47113</v>
      </c>
      <c r="L20084">
        <v>14.55</v>
      </c>
      <c r="M20084">
        <v>29</v>
      </c>
      <c r="N20084">
        <v>0</v>
      </c>
      <c r="O20084">
        <v>29</v>
      </c>
      <c r="P20084">
        <v>0</v>
      </c>
    </row>
    <row r="20085" spans="1:16" x14ac:dyDescent="0.25">
      <c r="A20085" t="s">
        <v>42799</v>
      </c>
      <c r="B20085" t="s">
        <v>19056</v>
      </c>
      <c r="C20085" t="s">
        <v>19057</v>
      </c>
      <c r="D20085" t="str">
        <f>"8418"</f>
        <v>8418</v>
      </c>
      <c r="E20085" t="s">
        <v>19038</v>
      </c>
      <c r="F20085" t="s">
        <v>16810</v>
      </c>
      <c r="G20085" t="s">
        <v>47091</v>
      </c>
      <c r="H20085" t="s">
        <v>47054</v>
      </c>
      <c r="I20085" t="s">
        <v>47569</v>
      </c>
      <c r="J20085" t="s">
        <v>47570</v>
      </c>
      <c r="K20085" t="s">
        <v>47113</v>
      </c>
      <c r="L20085">
        <v>14.55</v>
      </c>
      <c r="M20085">
        <v>29</v>
      </c>
      <c r="N20085">
        <v>0</v>
      </c>
      <c r="O20085">
        <v>29</v>
      </c>
      <c r="P20085">
        <v>0</v>
      </c>
    </row>
    <row r="20086" spans="1:16" x14ac:dyDescent="0.25">
      <c r="A20086" t="s">
        <v>42800</v>
      </c>
      <c r="B20086" t="s">
        <v>19058</v>
      </c>
      <c r="C20086" t="s">
        <v>19059</v>
      </c>
      <c r="D20086" t="str">
        <f>"8418"</f>
        <v>8418</v>
      </c>
      <c r="E20086" t="s">
        <v>19035</v>
      </c>
      <c r="F20086" t="s">
        <v>16810</v>
      </c>
      <c r="G20086" t="s">
        <v>47097</v>
      </c>
      <c r="H20086" t="s">
        <v>47054</v>
      </c>
      <c r="I20086" t="s">
        <v>47120</v>
      </c>
      <c r="J20086" t="s">
        <v>47121</v>
      </c>
      <c r="K20086" t="s">
        <v>47113</v>
      </c>
      <c r="L20086">
        <v>14.55</v>
      </c>
      <c r="M20086">
        <v>29</v>
      </c>
      <c r="N20086">
        <v>0</v>
      </c>
      <c r="O20086">
        <v>29</v>
      </c>
      <c r="P20086">
        <v>0</v>
      </c>
    </row>
    <row r="20087" spans="1:16" x14ac:dyDescent="0.25">
      <c r="A20087" t="s">
        <v>42801</v>
      </c>
      <c r="B20087" t="s">
        <v>19060</v>
      </c>
      <c r="C20087" t="s">
        <v>19061</v>
      </c>
      <c r="D20087" t="str">
        <f>"4143"</f>
        <v>4143</v>
      </c>
      <c r="E20087" t="s">
        <v>261</v>
      </c>
      <c r="F20087" t="s">
        <v>16810</v>
      </c>
      <c r="G20087" t="s">
        <v>47101</v>
      </c>
      <c r="H20087" t="s">
        <v>47054</v>
      </c>
      <c r="I20087" t="s">
        <v>47120</v>
      </c>
      <c r="J20087" t="s">
        <v>47121</v>
      </c>
      <c r="K20087" t="s">
        <v>47113</v>
      </c>
      <c r="L20087">
        <v>42.16</v>
      </c>
      <c r="M20087">
        <v>85</v>
      </c>
      <c r="N20087">
        <v>0</v>
      </c>
      <c r="O20087">
        <v>85</v>
      </c>
      <c r="P20087">
        <v>0</v>
      </c>
    </row>
    <row r="20088" spans="1:16" x14ac:dyDescent="0.25">
      <c r="A20088" t="s">
        <v>42802</v>
      </c>
      <c r="B20088" t="s">
        <v>19062</v>
      </c>
      <c r="C20088" t="s">
        <v>19063</v>
      </c>
      <c r="D20088" t="str">
        <f>"1700"</f>
        <v>1700</v>
      </c>
      <c r="E20088" t="s">
        <v>19064</v>
      </c>
      <c r="F20088" t="s">
        <v>16810</v>
      </c>
      <c r="G20088" t="s">
        <v>47101</v>
      </c>
      <c r="H20088" t="s">
        <v>47054</v>
      </c>
      <c r="I20088" t="s">
        <v>47120</v>
      </c>
      <c r="J20088" t="s">
        <v>47121</v>
      </c>
      <c r="K20088" t="s">
        <v>47113</v>
      </c>
      <c r="L20088">
        <v>23.86</v>
      </c>
      <c r="M20088">
        <v>48</v>
      </c>
      <c r="N20088">
        <v>0</v>
      </c>
      <c r="O20088">
        <v>48</v>
      </c>
      <c r="P20088">
        <v>0</v>
      </c>
    </row>
    <row r="20089" spans="1:16" x14ac:dyDescent="0.25">
      <c r="A20089" t="s">
        <v>42803</v>
      </c>
      <c r="B20089" t="s">
        <v>19065</v>
      </c>
      <c r="C20089" t="s">
        <v>19066</v>
      </c>
      <c r="D20089" t="str">
        <f>"4143"</f>
        <v>4143</v>
      </c>
      <c r="E20089" t="s">
        <v>19067</v>
      </c>
      <c r="F20089" t="s">
        <v>16746</v>
      </c>
      <c r="G20089" t="s">
        <v>47103</v>
      </c>
      <c r="H20089" t="s">
        <v>47054</v>
      </c>
      <c r="I20089" t="s">
        <v>47120</v>
      </c>
      <c r="J20089" t="s">
        <v>47121</v>
      </c>
      <c r="K20089" t="s">
        <v>47113</v>
      </c>
      <c r="L20089">
        <v>73.47</v>
      </c>
      <c r="M20089">
        <v>148</v>
      </c>
      <c r="N20089">
        <v>0</v>
      </c>
      <c r="O20089">
        <v>148</v>
      </c>
      <c r="P20089">
        <v>0</v>
      </c>
    </row>
    <row r="20090" spans="1:16" x14ac:dyDescent="0.25">
      <c r="A20090" t="s">
        <v>42804</v>
      </c>
      <c r="B20090" t="s">
        <v>19068</v>
      </c>
      <c r="C20090" t="s">
        <v>19069</v>
      </c>
      <c r="D20090" t="str">
        <f>"4143"</f>
        <v>4143</v>
      </c>
      <c r="E20090" t="s">
        <v>261</v>
      </c>
      <c r="F20090" t="s">
        <v>16810</v>
      </c>
      <c r="G20090" t="s">
        <v>47101</v>
      </c>
      <c r="H20090" t="s">
        <v>47054</v>
      </c>
      <c r="I20090" t="s">
        <v>47120</v>
      </c>
      <c r="J20090" t="s">
        <v>47121</v>
      </c>
      <c r="K20090" t="s">
        <v>47113</v>
      </c>
      <c r="L20090">
        <v>32.81</v>
      </c>
      <c r="M20090">
        <v>66</v>
      </c>
      <c r="N20090">
        <v>0</v>
      </c>
      <c r="O20090">
        <v>66</v>
      </c>
      <c r="P20090">
        <v>0</v>
      </c>
    </row>
    <row r="20091" spans="1:16" x14ac:dyDescent="0.25">
      <c r="A20091" t="s">
        <v>42805</v>
      </c>
      <c r="B20091" t="s">
        <v>19070</v>
      </c>
      <c r="C20091" t="s">
        <v>19071</v>
      </c>
      <c r="D20091" t="str">
        <f>"4143"</f>
        <v>4143</v>
      </c>
      <c r="E20091" t="s">
        <v>261</v>
      </c>
      <c r="F20091" t="s">
        <v>16746</v>
      </c>
      <c r="G20091" t="s">
        <v>47094</v>
      </c>
      <c r="H20091" t="s">
        <v>47054</v>
      </c>
      <c r="I20091" t="s">
        <v>47120</v>
      </c>
      <c r="J20091" t="s">
        <v>47121</v>
      </c>
      <c r="K20091" t="s">
        <v>47113</v>
      </c>
      <c r="L20091">
        <v>64.260000000000005</v>
      </c>
      <c r="M20091">
        <v>129</v>
      </c>
      <c r="N20091">
        <v>0</v>
      </c>
      <c r="O20091">
        <v>129</v>
      </c>
      <c r="P20091">
        <v>0</v>
      </c>
    </row>
    <row r="20092" spans="1:16" x14ac:dyDescent="0.25">
      <c r="A20092" t="s">
        <v>42806</v>
      </c>
      <c r="B20092" t="s">
        <v>19072</v>
      </c>
      <c r="C20092" t="s">
        <v>19073</v>
      </c>
      <c r="D20092" t="str">
        <f>"4143"</f>
        <v>4143</v>
      </c>
      <c r="E20092" t="s">
        <v>261</v>
      </c>
      <c r="F20092" t="s">
        <v>16746</v>
      </c>
      <c r="G20092" t="s">
        <v>47095</v>
      </c>
      <c r="H20092" t="s">
        <v>47054</v>
      </c>
      <c r="I20092" t="s">
        <v>47120</v>
      </c>
      <c r="J20092" t="s">
        <v>47121</v>
      </c>
      <c r="K20092" t="s">
        <v>47113</v>
      </c>
      <c r="L20092">
        <v>42.16</v>
      </c>
      <c r="M20092">
        <v>85</v>
      </c>
      <c r="N20092">
        <v>0</v>
      </c>
      <c r="O20092">
        <v>85</v>
      </c>
      <c r="P20092">
        <v>0</v>
      </c>
    </row>
    <row r="20093" spans="1:16" x14ac:dyDescent="0.25">
      <c r="A20093" t="s">
        <v>42807</v>
      </c>
      <c r="B20093" t="s">
        <v>19074</v>
      </c>
      <c r="C20093" t="s">
        <v>19075</v>
      </c>
      <c r="D20093" t="s">
        <v>19076</v>
      </c>
      <c r="E20093" t="s">
        <v>19077</v>
      </c>
      <c r="F20093" t="s">
        <v>16623</v>
      </c>
      <c r="G20093" t="s">
        <v>47099</v>
      </c>
      <c r="H20093" t="s">
        <v>47054</v>
      </c>
      <c r="I20093" t="s">
        <v>47120</v>
      </c>
      <c r="J20093" t="s">
        <v>47121</v>
      </c>
      <c r="K20093" t="s">
        <v>47113</v>
      </c>
      <c r="L20093">
        <v>32.96</v>
      </c>
      <c r="M20093">
        <v>66</v>
      </c>
      <c r="N20093">
        <v>0</v>
      </c>
      <c r="O20093">
        <v>66</v>
      </c>
      <c r="P20093">
        <v>0</v>
      </c>
    </row>
    <row r="20094" spans="1:16" x14ac:dyDescent="0.25">
      <c r="A20094" t="s">
        <v>42808</v>
      </c>
      <c r="B20094" t="s">
        <v>19078</v>
      </c>
      <c r="C20094" t="s">
        <v>19075</v>
      </c>
      <c r="D20094" t="s">
        <v>19079</v>
      </c>
      <c r="E20094" t="s">
        <v>19080</v>
      </c>
      <c r="F20094" t="s">
        <v>16839</v>
      </c>
      <c r="G20094" t="s">
        <v>47099</v>
      </c>
      <c r="H20094" t="s">
        <v>47054</v>
      </c>
      <c r="I20094" t="s">
        <v>47120</v>
      </c>
      <c r="J20094" t="s">
        <v>47121</v>
      </c>
      <c r="K20094" t="s">
        <v>47113</v>
      </c>
      <c r="L20094">
        <v>36.64</v>
      </c>
      <c r="M20094">
        <v>74</v>
      </c>
      <c r="N20094">
        <v>0</v>
      </c>
      <c r="O20094">
        <v>74</v>
      </c>
      <c r="P20094">
        <v>0</v>
      </c>
    </row>
    <row r="20095" spans="1:16" x14ac:dyDescent="0.25">
      <c r="A20095" t="s">
        <v>42809</v>
      </c>
      <c r="B20095" t="s">
        <v>19081</v>
      </c>
      <c r="C20095" t="s">
        <v>19082</v>
      </c>
      <c r="D20095" t="s">
        <v>19083</v>
      </c>
      <c r="E20095" t="s">
        <v>19084</v>
      </c>
      <c r="F20095" t="s">
        <v>15183</v>
      </c>
      <c r="G20095" t="s">
        <v>47099</v>
      </c>
      <c r="H20095" t="s">
        <v>47054</v>
      </c>
      <c r="I20095" t="s">
        <v>47111</v>
      </c>
      <c r="J20095" t="s">
        <v>47112</v>
      </c>
      <c r="K20095" t="s">
        <v>47113</v>
      </c>
      <c r="L20095">
        <v>53.79</v>
      </c>
      <c r="M20095">
        <v>70</v>
      </c>
      <c r="N20095">
        <v>0</v>
      </c>
      <c r="O20095">
        <v>70</v>
      </c>
      <c r="P20095">
        <v>0</v>
      </c>
    </row>
    <row r="20096" spans="1:16" x14ac:dyDescent="0.25">
      <c r="A20096" t="s">
        <v>42810</v>
      </c>
      <c r="B20096" t="s">
        <v>19085</v>
      </c>
      <c r="C20096" t="s">
        <v>19082</v>
      </c>
      <c r="D20096" t="s">
        <v>19086</v>
      </c>
      <c r="E20096" t="s">
        <v>19087</v>
      </c>
      <c r="F20096" t="s">
        <v>15183</v>
      </c>
      <c r="G20096" t="s">
        <v>47099</v>
      </c>
      <c r="H20096" t="s">
        <v>47054</v>
      </c>
      <c r="I20096" t="s">
        <v>47111</v>
      </c>
      <c r="J20096" t="s">
        <v>47112</v>
      </c>
      <c r="K20096" t="s">
        <v>47113</v>
      </c>
      <c r="L20096">
        <v>38.22</v>
      </c>
      <c r="M20096">
        <v>74</v>
      </c>
      <c r="N20096">
        <v>0</v>
      </c>
      <c r="O20096">
        <v>74</v>
      </c>
      <c r="P20096">
        <v>0</v>
      </c>
    </row>
    <row r="20097" spans="1:16" x14ac:dyDescent="0.25">
      <c r="A20097" t="s">
        <v>42811</v>
      </c>
      <c r="B20097" t="s">
        <v>19088</v>
      </c>
      <c r="C20097" t="s">
        <v>19089</v>
      </c>
      <c r="D20097" t="str">
        <f>"4143"</f>
        <v>4143</v>
      </c>
      <c r="E20097" t="s">
        <v>19067</v>
      </c>
      <c r="F20097" t="s">
        <v>16746</v>
      </c>
      <c r="G20097" t="s">
        <v>47101</v>
      </c>
      <c r="I20097" t="s">
        <v>47120</v>
      </c>
      <c r="J20097" t="s">
        <v>47121</v>
      </c>
      <c r="K20097" t="s">
        <v>47113</v>
      </c>
      <c r="L20097">
        <v>45.74</v>
      </c>
      <c r="M20097">
        <v>92</v>
      </c>
      <c r="N20097">
        <v>0</v>
      </c>
      <c r="O20097">
        <v>92</v>
      </c>
      <c r="P20097">
        <v>0</v>
      </c>
    </row>
    <row r="20098" spans="1:16" x14ac:dyDescent="0.25">
      <c r="A20098" t="s">
        <v>42812</v>
      </c>
      <c r="B20098" t="s">
        <v>21851</v>
      </c>
      <c r="C20098" t="s">
        <v>21852</v>
      </c>
      <c r="D20098" t="s">
        <v>21853</v>
      </c>
      <c r="E20098" t="s">
        <v>21854</v>
      </c>
      <c r="F20098" t="s">
        <v>17351</v>
      </c>
      <c r="G20098" t="s">
        <v>47099</v>
      </c>
      <c r="H20098" t="s">
        <v>47054</v>
      </c>
      <c r="I20098" t="s">
        <v>47120</v>
      </c>
      <c r="J20098" t="s">
        <v>47121</v>
      </c>
      <c r="K20098" t="s">
        <v>47113</v>
      </c>
      <c r="L20098">
        <v>47.93</v>
      </c>
      <c r="M20098">
        <v>92</v>
      </c>
      <c r="N20098">
        <v>0</v>
      </c>
      <c r="O20098">
        <v>92</v>
      </c>
      <c r="P20098">
        <v>0</v>
      </c>
    </row>
    <row r="20099" spans="1:16" x14ac:dyDescent="0.25">
      <c r="A20099" t="s">
        <v>42813</v>
      </c>
      <c r="B20099" t="s">
        <v>19090</v>
      </c>
      <c r="C20099" t="s">
        <v>19091</v>
      </c>
      <c r="D20099" t="str">
        <f>"1001"</f>
        <v>1001</v>
      </c>
      <c r="E20099" t="s">
        <v>42</v>
      </c>
      <c r="F20099" t="s">
        <v>16810</v>
      </c>
      <c r="G20099" t="s">
        <v>47101</v>
      </c>
      <c r="H20099" t="s">
        <v>47054</v>
      </c>
      <c r="I20099" t="s">
        <v>47120</v>
      </c>
      <c r="J20099" t="s">
        <v>47121</v>
      </c>
      <c r="K20099" t="s">
        <v>47113</v>
      </c>
      <c r="L20099">
        <v>21.38</v>
      </c>
      <c r="M20099">
        <v>43</v>
      </c>
      <c r="N20099">
        <v>0</v>
      </c>
      <c r="O20099">
        <v>43</v>
      </c>
      <c r="P20099">
        <v>0</v>
      </c>
    </row>
    <row r="20100" spans="1:16" x14ac:dyDescent="0.25">
      <c r="A20100" t="s">
        <v>42814</v>
      </c>
      <c r="B20100" t="s">
        <v>19090</v>
      </c>
      <c r="C20100" t="s">
        <v>19091</v>
      </c>
      <c r="D20100" t="str">
        <f>"1700"</f>
        <v>1700</v>
      </c>
      <c r="E20100" t="s">
        <v>60</v>
      </c>
      <c r="F20100" t="s">
        <v>16810</v>
      </c>
      <c r="G20100" t="s">
        <v>47101</v>
      </c>
      <c r="H20100" t="s">
        <v>47054</v>
      </c>
      <c r="I20100" t="s">
        <v>47120</v>
      </c>
      <c r="J20100" t="s">
        <v>47121</v>
      </c>
      <c r="K20100" t="s">
        <v>47113</v>
      </c>
      <c r="L20100">
        <v>21.38</v>
      </c>
      <c r="M20100">
        <v>43</v>
      </c>
      <c r="N20100">
        <v>0</v>
      </c>
      <c r="O20100">
        <v>43</v>
      </c>
      <c r="P20100">
        <v>0</v>
      </c>
    </row>
    <row r="20101" spans="1:16" x14ac:dyDescent="0.25">
      <c r="A20101" t="s">
        <v>42815</v>
      </c>
      <c r="B20101" t="s">
        <v>19090</v>
      </c>
      <c r="C20101" t="s">
        <v>19091</v>
      </c>
      <c r="D20101" t="str">
        <f>"8418"</f>
        <v>8418</v>
      </c>
      <c r="E20101" t="s">
        <v>19038</v>
      </c>
      <c r="F20101" t="s">
        <v>16810</v>
      </c>
      <c r="G20101" t="s">
        <v>47101</v>
      </c>
      <c r="H20101" t="s">
        <v>47054</v>
      </c>
      <c r="I20101" t="s">
        <v>47120</v>
      </c>
      <c r="J20101" t="s">
        <v>47121</v>
      </c>
      <c r="K20101" t="s">
        <v>47113</v>
      </c>
      <c r="L20101">
        <v>21.38</v>
      </c>
      <c r="M20101">
        <v>43</v>
      </c>
      <c r="N20101">
        <v>0</v>
      </c>
      <c r="O20101">
        <v>43</v>
      </c>
      <c r="P20101">
        <v>0</v>
      </c>
    </row>
    <row r="20102" spans="1:16" x14ac:dyDescent="0.25">
      <c r="A20102" t="s">
        <v>42816</v>
      </c>
      <c r="B20102" t="s">
        <v>19092</v>
      </c>
      <c r="C20102" t="s">
        <v>19093</v>
      </c>
      <c r="D20102" t="str">
        <f>"1700"</f>
        <v>1700</v>
      </c>
      <c r="E20102" t="s">
        <v>60</v>
      </c>
      <c r="F20102" t="s">
        <v>16746</v>
      </c>
      <c r="G20102" t="s">
        <v>47097</v>
      </c>
      <c r="H20102" t="s">
        <v>47054</v>
      </c>
      <c r="I20102" t="s">
        <v>47569</v>
      </c>
      <c r="J20102" t="s">
        <v>47570</v>
      </c>
      <c r="K20102" t="s">
        <v>47113</v>
      </c>
      <c r="L20102">
        <v>12.93</v>
      </c>
      <c r="M20102">
        <v>26</v>
      </c>
      <c r="N20102">
        <v>0</v>
      </c>
      <c r="O20102">
        <v>26</v>
      </c>
      <c r="P20102">
        <v>0</v>
      </c>
    </row>
    <row r="20103" spans="1:16" x14ac:dyDescent="0.25">
      <c r="A20103" t="s">
        <v>42817</v>
      </c>
      <c r="B20103" t="s">
        <v>19092</v>
      </c>
      <c r="C20103" t="s">
        <v>19093</v>
      </c>
      <c r="D20103" t="str">
        <f>"4067"</f>
        <v>4067</v>
      </c>
      <c r="E20103" t="s">
        <v>19094</v>
      </c>
      <c r="F20103" t="s">
        <v>16746</v>
      </c>
      <c r="G20103" t="s">
        <v>47097</v>
      </c>
      <c r="H20103" t="s">
        <v>47054</v>
      </c>
      <c r="I20103" t="s">
        <v>47569</v>
      </c>
      <c r="J20103" t="s">
        <v>47570</v>
      </c>
      <c r="K20103" t="s">
        <v>47113</v>
      </c>
      <c r="L20103">
        <v>12.93</v>
      </c>
      <c r="M20103">
        <v>26</v>
      </c>
      <c r="N20103">
        <v>0</v>
      </c>
      <c r="O20103">
        <v>26</v>
      </c>
      <c r="P20103">
        <v>0</v>
      </c>
    </row>
    <row r="20104" spans="1:16" x14ac:dyDescent="0.25">
      <c r="A20104" t="s">
        <v>42818</v>
      </c>
      <c r="B20104" t="s">
        <v>19095</v>
      </c>
      <c r="C20104" t="s">
        <v>19096</v>
      </c>
      <c r="D20104" t="str">
        <f>"1700"</f>
        <v>1700</v>
      </c>
      <c r="E20104" t="s">
        <v>60</v>
      </c>
      <c r="F20104" t="s">
        <v>16746</v>
      </c>
      <c r="G20104" t="s">
        <v>47091</v>
      </c>
      <c r="H20104" t="s">
        <v>47054</v>
      </c>
      <c r="I20104" t="s">
        <v>47569</v>
      </c>
      <c r="J20104" t="s">
        <v>47570</v>
      </c>
      <c r="K20104" t="s">
        <v>47113</v>
      </c>
      <c r="L20104">
        <v>10.94</v>
      </c>
      <c r="M20104">
        <v>22</v>
      </c>
      <c r="N20104">
        <v>0</v>
      </c>
      <c r="O20104">
        <v>22</v>
      </c>
      <c r="P20104">
        <v>0</v>
      </c>
    </row>
    <row r="20105" spans="1:16" x14ac:dyDescent="0.25">
      <c r="A20105" t="s">
        <v>42819</v>
      </c>
      <c r="B20105" t="s">
        <v>19097</v>
      </c>
      <c r="C20105" t="s">
        <v>19098</v>
      </c>
      <c r="D20105" t="str">
        <f>"4067"</f>
        <v>4067</v>
      </c>
      <c r="E20105" t="s">
        <v>19094</v>
      </c>
      <c r="F20105" t="s">
        <v>16746</v>
      </c>
      <c r="G20105" t="s">
        <v>47091</v>
      </c>
      <c r="H20105" t="s">
        <v>47054</v>
      </c>
      <c r="I20105" t="s">
        <v>47569</v>
      </c>
      <c r="J20105" t="s">
        <v>47570</v>
      </c>
      <c r="K20105" t="s">
        <v>47113</v>
      </c>
      <c r="L20105">
        <v>10.94</v>
      </c>
      <c r="M20105">
        <v>22</v>
      </c>
      <c r="N20105">
        <v>0</v>
      </c>
      <c r="O20105">
        <v>22</v>
      </c>
      <c r="P20105">
        <v>0</v>
      </c>
    </row>
    <row r="20106" spans="1:16" x14ac:dyDescent="0.25">
      <c r="A20106" t="s">
        <v>42820</v>
      </c>
      <c r="B20106" t="s">
        <v>19099</v>
      </c>
      <c r="C20106" t="s">
        <v>10614</v>
      </c>
      <c r="D20106" t="s">
        <v>17365</v>
      </c>
      <c r="E20106" t="s">
        <v>17366</v>
      </c>
      <c r="F20106" t="s">
        <v>16839</v>
      </c>
      <c r="G20106" t="s">
        <v>47093</v>
      </c>
      <c r="H20106" t="s">
        <v>47054</v>
      </c>
      <c r="I20106" t="s">
        <v>47116</v>
      </c>
      <c r="J20106" t="s">
        <v>47117</v>
      </c>
      <c r="K20106" t="s">
        <v>47113</v>
      </c>
      <c r="L20106">
        <v>45.86</v>
      </c>
      <c r="M20106">
        <v>92</v>
      </c>
      <c r="N20106">
        <v>0</v>
      </c>
      <c r="O20106">
        <v>92</v>
      </c>
      <c r="P20106">
        <v>0</v>
      </c>
    </row>
    <row r="20107" spans="1:16" x14ac:dyDescent="0.25">
      <c r="A20107" t="s">
        <v>42821</v>
      </c>
      <c r="B20107" t="s">
        <v>19100</v>
      </c>
      <c r="C20107" t="s">
        <v>10614</v>
      </c>
      <c r="D20107" t="s">
        <v>18514</v>
      </c>
      <c r="E20107" t="s">
        <v>18515</v>
      </c>
      <c r="F20107" t="s">
        <v>16839</v>
      </c>
      <c r="G20107" t="s">
        <v>47093</v>
      </c>
      <c r="H20107" t="s">
        <v>47054</v>
      </c>
      <c r="I20107" t="s">
        <v>47116</v>
      </c>
      <c r="J20107" t="s">
        <v>47117</v>
      </c>
      <c r="K20107" t="s">
        <v>47113</v>
      </c>
      <c r="L20107">
        <v>51.38</v>
      </c>
      <c r="M20107">
        <v>103</v>
      </c>
      <c r="N20107">
        <v>0</v>
      </c>
      <c r="O20107">
        <v>103</v>
      </c>
      <c r="P20107">
        <v>0</v>
      </c>
    </row>
    <row r="20108" spans="1:16" x14ac:dyDescent="0.25">
      <c r="A20108" t="s">
        <v>42822</v>
      </c>
      <c r="B20108" t="s">
        <v>21855</v>
      </c>
      <c r="C20108" t="s">
        <v>10614</v>
      </c>
      <c r="D20108" t="s">
        <v>21441</v>
      </c>
      <c r="E20108" t="s">
        <v>21442</v>
      </c>
      <c r="F20108" t="s">
        <v>17351</v>
      </c>
      <c r="G20108" t="s">
        <v>47093</v>
      </c>
      <c r="H20108" t="s">
        <v>47054</v>
      </c>
      <c r="I20108" t="s">
        <v>47116</v>
      </c>
      <c r="J20108" t="s">
        <v>47117</v>
      </c>
      <c r="K20108" t="s">
        <v>47113</v>
      </c>
      <c r="L20108">
        <v>46.18</v>
      </c>
      <c r="M20108">
        <v>103</v>
      </c>
      <c r="N20108">
        <v>0</v>
      </c>
      <c r="O20108">
        <v>103</v>
      </c>
      <c r="P20108">
        <v>0</v>
      </c>
    </row>
    <row r="20109" spans="1:16" x14ac:dyDescent="0.25">
      <c r="A20109" t="s">
        <v>42823</v>
      </c>
      <c r="B20109" t="s">
        <v>21856</v>
      </c>
      <c r="C20109" t="s">
        <v>10614</v>
      </c>
      <c r="D20109" t="str">
        <f>"1700"</f>
        <v>1700</v>
      </c>
      <c r="E20109" t="s">
        <v>21703</v>
      </c>
      <c r="F20109" t="s">
        <v>17351</v>
      </c>
      <c r="G20109" t="s">
        <v>47093</v>
      </c>
      <c r="H20109" t="s">
        <v>47054</v>
      </c>
      <c r="I20109" t="s">
        <v>47111</v>
      </c>
      <c r="J20109" t="s">
        <v>47112</v>
      </c>
      <c r="K20109" t="s">
        <v>47113</v>
      </c>
      <c r="L20109">
        <v>42.26</v>
      </c>
      <c r="M20109">
        <v>92</v>
      </c>
      <c r="N20109">
        <v>0</v>
      </c>
      <c r="O20109">
        <v>92</v>
      </c>
      <c r="P20109">
        <v>0</v>
      </c>
    </row>
    <row r="20110" spans="1:16" x14ac:dyDescent="0.25">
      <c r="A20110" t="s">
        <v>42824</v>
      </c>
      <c r="B20110" t="s">
        <v>19101</v>
      </c>
      <c r="C20110" t="s">
        <v>19102</v>
      </c>
      <c r="D20110" t="str">
        <f>"3071"</f>
        <v>3071</v>
      </c>
      <c r="E20110" t="s">
        <v>19103</v>
      </c>
      <c r="F20110" t="s">
        <v>16839</v>
      </c>
      <c r="G20110" t="s">
        <v>47099</v>
      </c>
      <c r="H20110" t="s">
        <v>47054</v>
      </c>
      <c r="I20110" t="s">
        <v>47120</v>
      </c>
      <c r="J20110" t="s">
        <v>47121</v>
      </c>
      <c r="K20110" t="s">
        <v>47113</v>
      </c>
      <c r="L20110">
        <v>36.64</v>
      </c>
      <c r="M20110">
        <v>74</v>
      </c>
      <c r="N20110">
        <v>0</v>
      </c>
      <c r="O20110">
        <v>74</v>
      </c>
      <c r="P20110">
        <v>0</v>
      </c>
    </row>
    <row r="20111" spans="1:16" x14ac:dyDescent="0.25">
      <c r="A20111" t="s">
        <v>42825</v>
      </c>
      <c r="B20111" t="s">
        <v>19104</v>
      </c>
      <c r="C20111" t="s">
        <v>19105</v>
      </c>
      <c r="D20111" t="str">
        <f>"3000"</f>
        <v>3000</v>
      </c>
      <c r="E20111" t="s">
        <v>19106</v>
      </c>
      <c r="F20111" t="s">
        <v>16839</v>
      </c>
      <c r="G20111" t="s">
        <v>47099</v>
      </c>
      <c r="I20111" t="s">
        <v>47120</v>
      </c>
      <c r="J20111" t="s">
        <v>47121</v>
      </c>
      <c r="K20111" t="s">
        <v>47113</v>
      </c>
      <c r="L20111">
        <v>34.57</v>
      </c>
      <c r="M20111">
        <v>85</v>
      </c>
      <c r="N20111">
        <v>0</v>
      </c>
      <c r="O20111">
        <v>85</v>
      </c>
      <c r="P20111">
        <v>0</v>
      </c>
    </row>
    <row r="20112" spans="1:16" x14ac:dyDescent="0.25">
      <c r="A20112" t="s">
        <v>42826</v>
      </c>
      <c r="B20112" t="s">
        <v>19107</v>
      </c>
      <c r="C20112" t="s">
        <v>19108</v>
      </c>
      <c r="D20112" t="s">
        <v>18587</v>
      </c>
      <c r="E20112" t="s">
        <v>18588</v>
      </c>
      <c r="F20112" t="s">
        <v>16810</v>
      </c>
      <c r="G20112" t="s">
        <v>49029</v>
      </c>
      <c r="H20112" t="s">
        <v>47054</v>
      </c>
      <c r="I20112" t="s">
        <v>47111</v>
      </c>
      <c r="J20112" t="s">
        <v>47112</v>
      </c>
      <c r="K20112" t="s">
        <v>47113</v>
      </c>
      <c r="L20112">
        <v>45.86</v>
      </c>
      <c r="M20112">
        <v>92</v>
      </c>
      <c r="N20112">
        <v>0</v>
      </c>
      <c r="O20112">
        <v>92</v>
      </c>
      <c r="P20112">
        <v>0</v>
      </c>
    </row>
    <row r="20113" spans="1:16" x14ac:dyDescent="0.25">
      <c r="A20113" t="s">
        <v>42827</v>
      </c>
      <c r="B20113" t="s">
        <v>19109</v>
      </c>
      <c r="C20113" t="s">
        <v>19108</v>
      </c>
      <c r="D20113" t="s">
        <v>19110</v>
      </c>
      <c r="E20113" t="s">
        <v>19111</v>
      </c>
      <c r="F20113" t="s">
        <v>16746</v>
      </c>
      <c r="G20113" t="s">
        <v>49029</v>
      </c>
      <c r="H20113" t="s">
        <v>47054</v>
      </c>
      <c r="I20113" t="s">
        <v>47111</v>
      </c>
      <c r="J20113" t="s">
        <v>47112</v>
      </c>
      <c r="K20113" t="s">
        <v>47113</v>
      </c>
      <c r="L20113">
        <v>45.86</v>
      </c>
      <c r="M20113">
        <v>92</v>
      </c>
      <c r="N20113">
        <v>0</v>
      </c>
      <c r="O20113">
        <v>92</v>
      </c>
      <c r="P20113">
        <v>0</v>
      </c>
    </row>
    <row r="20114" spans="1:16" x14ac:dyDescent="0.25">
      <c r="A20114" t="s">
        <v>42828</v>
      </c>
      <c r="B20114" t="s">
        <v>19112</v>
      </c>
      <c r="C20114" t="s">
        <v>19108</v>
      </c>
      <c r="D20114" t="s">
        <v>18975</v>
      </c>
      <c r="E20114" t="s">
        <v>18976</v>
      </c>
      <c r="F20114" t="s">
        <v>16746</v>
      </c>
      <c r="G20114" t="s">
        <v>49029</v>
      </c>
      <c r="H20114" t="s">
        <v>47054</v>
      </c>
      <c r="I20114" t="s">
        <v>47111</v>
      </c>
      <c r="J20114" t="s">
        <v>47112</v>
      </c>
      <c r="K20114" t="s">
        <v>47113</v>
      </c>
      <c r="L20114">
        <v>55.41</v>
      </c>
      <c r="M20114">
        <v>103</v>
      </c>
      <c r="N20114">
        <v>0</v>
      </c>
      <c r="O20114">
        <v>103</v>
      </c>
      <c r="P20114">
        <v>0</v>
      </c>
    </row>
    <row r="20115" spans="1:16" x14ac:dyDescent="0.25">
      <c r="A20115" t="s">
        <v>42829</v>
      </c>
      <c r="B20115" t="s">
        <v>19113</v>
      </c>
      <c r="C20115" t="s">
        <v>19114</v>
      </c>
      <c r="D20115" t="s">
        <v>17365</v>
      </c>
      <c r="E20115" t="s">
        <v>17366</v>
      </c>
      <c r="F20115" t="s">
        <v>16839</v>
      </c>
      <c r="G20115" t="s">
        <v>47093</v>
      </c>
      <c r="H20115" t="s">
        <v>47054</v>
      </c>
      <c r="I20115" t="s">
        <v>47116</v>
      </c>
      <c r="J20115" t="s">
        <v>47117</v>
      </c>
      <c r="K20115" t="s">
        <v>47113</v>
      </c>
      <c r="L20115">
        <v>45.86</v>
      </c>
      <c r="M20115">
        <v>92</v>
      </c>
      <c r="N20115">
        <v>0</v>
      </c>
      <c r="O20115">
        <v>92</v>
      </c>
      <c r="P20115">
        <v>0</v>
      </c>
    </row>
    <row r="20116" spans="1:16" x14ac:dyDescent="0.25">
      <c r="A20116" t="s">
        <v>42830</v>
      </c>
      <c r="B20116" t="s">
        <v>19115</v>
      </c>
      <c r="C20116" t="s">
        <v>19114</v>
      </c>
      <c r="D20116" t="s">
        <v>18553</v>
      </c>
      <c r="E20116" t="s">
        <v>18554</v>
      </c>
      <c r="F20116" t="s">
        <v>16839</v>
      </c>
      <c r="G20116" t="s">
        <v>47093</v>
      </c>
      <c r="H20116" t="s">
        <v>47054</v>
      </c>
      <c r="I20116" t="s">
        <v>47111</v>
      </c>
      <c r="J20116" t="s">
        <v>47112</v>
      </c>
      <c r="K20116" t="s">
        <v>47113</v>
      </c>
      <c r="L20116">
        <v>33.25</v>
      </c>
      <c r="M20116">
        <v>74</v>
      </c>
      <c r="N20116">
        <v>0</v>
      </c>
      <c r="O20116">
        <v>74</v>
      </c>
      <c r="P20116">
        <v>0</v>
      </c>
    </row>
    <row r="20117" spans="1:16" x14ac:dyDescent="0.25">
      <c r="A20117" t="s">
        <v>42831</v>
      </c>
      <c r="B20117" t="s">
        <v>19116</v>
      </c>
      <c r="C20117" t="s">
        <v>19117</v>
      </c>
      <c r="D20117" t="s">
        <v>18553</v>
      </c>
      <c r="E20117" t="s">
        <v>18554</v>
      </c>
      <c r="F20117" t="s">
        <v>16839</v>
      </c>
      <c r="G20117" t="s">
        <v>47093</v>
      </c>
      <c r="H20117" t="s">
        <v>47054</v>
      </c>
      <c r="I20117" t="s">
        <v>47111</v>
      </c>
      <c r="J20117" t="s">
        <v>47112</v>
      </c>
      <c r="K20117" t="s">
        <v>47113</v>
      </c>
      <c r="L20117">
        <v>45.74</v>
      </c>
      <c r="M20117">
        <v>92</v>
      </c>
      <c r="N20117">
        <v>0</v>
      </c>
      <c r="O20117">
        <v>92</v>
      </c>
      <c r="P20117">
        <v>0</v>
      </c>
    </row>
    <row r="20118" spans="1:16" x14ac:dyDescent="0.25">
      <c r="A20118" t="s">
        <v>42832</v>
      </c>
      <c r="B20118" t="s">
        <v>19118</v>
      </c>
      <c r="C20118" t="s">
        <v>19114</v>
      </c>
      <c r="D20118" t="s">
        <v>18969</v>
      </c>
      <c r="E20118" t="s">
        <v>18970</v>
      </c>
      <c r="F20118" t="s">
        <v>16810</v>
      </c>
      <c r="G20118" t="s">
        <v>47093</v>
      </c>
      <c r="H20118" t="s">
        <v>47054</v>
      </c>
      <c r="I20118" t="s">
        <v>47116</v>
      </c>
      <c r="J20118" t="s">
        <v>47117</v>
      </c>
      <c r="K20118" t="s">
        <v>47113</v>
      </c>
      <c r="L20118">
        <v>49.54</v>
      </c>
      <c r="M20118">
        <v>100</v>
      </c>
      <c r="N20118">
        <v>0</v>
      </c>
      <c r="O20118">
        <v>100</v>
      </c>
      <c r="P20118">
        <v>0</v>
      </c>
    </row>
    <row r="20119" spans="1:16" x14ac:dyDescent="0.25">
      <c r="A20119" t="s">
        <v>42833</v>
      </c>
      <c r="B20119" t="s">
        <v>19119</v>
      </c>
      <c r="C20119" t="s">
        <v>19114</v>
      </c>
      <c r="D20119" t="s">
        <v>18972</v>
      </c>
      <c r="E20119" t="s">
        <v>18973</v>
      </c>
      <c r="F20119" t="s">
        <v>16746</v>
      </c>
      <c r="G20119" t="s">
        <v>47093</v>
      </c>
      <c r="H20119" t="s">
        <v>47054</v>
      </c>
      <c r="I20119" t="s">
        <v>47111</v>
      </c>
      <c r="J20119" t="s">
        <v>47112</v>
      </c>
      <c r="K20119" t="s">
        <v>47113</v>
      </c>
      <c r="L20119">
        <v>55.19</v>
      </c>
      <c r="M20119">
        <v>111</v>
      </c>
      <c r="N20119">
        <v>0</v>
      </c>
      <c r="O20119">
        <v>111</v>
      </c>
      <c r="P20119">
        <v>0</v>
      </c>
    </row>
    <row r="20120" spans="1:16" x14ac:dyDescent="0.25">
      <c r="A20120" t="s">
        <v>42834</v>
      </c>
      <c r="B20120" t="s">
        <v>21857</v>
      </c>
      <c r="C20120" t="s">
        <v>19114</v>
      </c>
      <c r="D20120" t="s">
        <v>21441</v>
      </c>
      <c r="E20120" t="s">
        <v>21442</v>
      </c>
      <c r="F20120" t="s">
        <v>17351</v>
      </c>
      <c r="G20120" t="s">
        <v>47093</v>
      </c>
      <c r="H20120" t="s">
        <v>47054</v>
      </c>
      <c r="I20120" t="s">
        <v>47116</v>
      </c>
      <c r="J20120" t="s">
        <v>47117</v>
      </c>
      <c r="K20120" t="s">
        <v>47113</v>
      </c>
      <c r="L20120">
        <v>51.34</v>
      </c>
      <c r="M20120">
        <v>111</v>
      </c>
      <c r="N20120">
        <v>0</v>
      </c>
      <c r="O20120">
        <v>111</v>
      </c>
      <c r="P20120">
        <v>0</v>
      </c>
    </row>
    <row r="20121" spans="1:16" x14ac:dyDescent="0.25">
      <c r="A20121" t="s">
        <v>42835</v>
      </c>
      <c r="B20121" t="s">
        <v>21858</v>
      </c>
      <c r="C20121" t="s">
        <v>19114</v>
      </c>
      <c r="D20121" t="str">
        <f>"1700"</f>
        <v>1700</v>
      </c>
      <c r="E20121" t="s">
        <v>21859</v>
      </c>
      <c r="F20121" t="s">
        <v>16933</v>
      </c>
      <c r="G20121" t="s">
        <v>47093</v>
      </c>
      <c r="H20121" t="s">
        <v>47054</v>
      </c>
      <c r="I20121" t="s">
        <v>47111</v>
      </c>
      <c r="J20121" t="s">
        <v>47112</v>
      </c>
      <c r="K20121" t="s">
        <v>47113</v>
      </c>
      <c r="L20121">
        <v>46.18</v>
      </c>
      <c r="M20121">
        <v>103</v>
      </c>
      <c r="N20121">
        <v>0</v>
      </c>
      <c r="O20121">
        <v>103</v>
      </c>
      <c r="P20121">
        <v>0</v>
      </c>
    </row>
    <row r="20122" spans="1:16" x14ac:dyDescent="0.25">
      <c r="A20122" t="s">
        <v>42836</v>
      </c>
      <c r="B20122" t="s">
        <v>21860</v>
      </c>
      <c r="C20122" t="s">
        <v>19114</v>
      </c>
      <c r="D20122" t="s">
        <v>21824</v>
      </c>
      <c r="E20122" t="s">
        <v>21825</v>
      </c>
      <c r="F20122" t="s">
        <v>17351</v>
      </c>
      <c r="G20122" t="s">
        <v>47093</v>
      </c>
      <c r="H20122" t="s">
        <v>47054</v>
      </c>
      <c r="I20122" t="s">
        <v>47116</v>
      </c>
      <c r="J20122" t="s">
        <v>47117</v>
      </c>
      <c r="K20122" t="s">
        <v>47113</v>
      </c>
      <c r="L20122">
        <v>38.159999999999997</v>
      </c>
      <c r="M20122">
        <v>74</v>
      </c>
      <c r="N20122">
        <v>0</v>
      </c>
      <c r="O20122">
        <v>74</v>
      </c>
      <c r="P20122">
        <v>0</v>
      </c>
    </row>
    <row r="20123" spans="1:16" x14ac:dyDescent="0.25">
      <c r="A20123" t="s">
        <v>42837</v>
      </c>
      <c r="B20123" t="s">
        <v>21861</v>
      </c>
      <c r="C20123" t="s">
        <v>21862</v>
      </c>
      <c r="D20123" t="s">
        <v>21444</v>
      </c>
      <c r="E20123" t="s">
        <v>21445</v>
      </c>
      <c r="F20123" t="s">
        <v>17351</v>
      </c>
      <c r="G20123" t="s">
        <v>47093</v>
      </c>
      <c r="H20123" t="s">
        <v>47054</v>
      </c>
      <c r="I20123" t="s">
        <v>47111</v>
      </c>
      <c r="J20123" t="s">
        <v>47112</v>
      </c>
      <c r="K20123" t="s">
        <v>47113</v>
      </c>
      <c r="L20123">
        <v>70.239999999999995</v>
      </c>
      <c r="M20123">
        <v>148</v>
      </c>
      <c r="N20123">
        <v>0</v>
      </c>
      <c r="O20123">
        <v>148</v>
      </c>
      <c r="P20123">
        <v>0</v>
      </c>
    </row>
    <row r="20124" spans="1:16" x14ac:dyDescent="0.25">
      <c r="A20124" t="s">
        <v>42838</v>
      </c>
      <c r="B20124" t="s">
        <v>21863</v>
      </c>
      <c r="C20124" t="s">
        <v>19114</v>
      </c>
      <c r="D20124" t="s">
        <v>15967</v>
      </c>
      <c r="E20124" t="s">
        <v>15968</v>
      </c>
      <c r="F20124" t="s">
        <v>19559</v>
      </c>
      <c r="G20124" t="s">
        <v>47093</v>
      </c>
      <c r="H20124" t="s">
        <v>47054</v>
      </c>
      <c r="I20124" t="s">
        <v>47120</v>
      </c>
      <c r="J20124" t="s">
        <v>47121</v>
      </c>
      <c r="K20124" t="s">
        <v>47113</v>
      </c>
      <c r="L20124">
        <v>34.01</v>
      </c>
      <c r="M20124">
        <v>92</v>
      </c>
      <c r="N20124">
        <v>0</v>
      </c>
      <c r="O20124">
        <v>92</v>
      </c>
      <c r="P20124">
        <v>0</v>
      </c>
    </row>
    <row r="20125" spans="1:16" x14ac:dyDescent="0.25">
      <c r="A20125" t="s">
        <v>22914</v>
      </c>
      <c r="B20125" t="s">
        <v>21864</v>
      </c>
      <c r="C20125" t="s">
        <v>21865</v>
      </c>
      <c r="D20125" t="s">
        <v>15967</v>
      </c>
      <c r="E20125" t="s">
        <v>21866</v>
      </c>
      <c r="F20125" t="s">
        <v>19878</v>
      </c>
      <c r="G20125" t="s">
        <v>47093</v>
      </c>
      <c r="H20125" t="s">
        <v>47054</v>
      </c>
      <c r="I20125" t="s">
        <v>47120</v>
      </c>
      <c r="J20125" t="s">
        <v>47121</v>
      </c>
      <c r="K20125" t="s">
        <v>47113</v>
      </c>
      <c r="L20125">
        <v>29.37</v>
      </c>
      <c r="M20125">
        <v>66</v>
      </c>
      <c r="N20125">
        <v>0</v>
      </c>
      <c r="O20125">
        <v>66</v>
      </c>
      <c r="P20125">
        <v>0</v>
      </c>
    </row>
    <row r="20126" spans="1:16" x14ac:dyDescent="0.25">
      <c r="A20126" t="s">
        <v>42839</v>
      </c>
      <c r="B20126" t="s">
        <v>42840</v>
      </c>
      <c r="C20126" t="s">
        <v>42841</v>
      </c>
      <c r="D20126" t="s">
        <v>42842</v>
      </c>
      <c r="E20126" t="s">
        <v>42843</v>
      </c>
      <c r="F20126" t="s">
        <v>21627</v>
      </c>
      <c r="G20126" t="s">
        <v>47093</v>
      </c>
      <c r="H20126" t="s">
        <v>47054</v>
      </c>
      <c r="I20126" t="s">
        <v>47544</v>
      </c>
      <c r="J20126" t="s">
        <v>47545</v>
      </c>
      <c r="K20126" t="s">
        <v>47113</v>
      </c>
      <c r="L20126">
        <v>27.95</v>
      </c>
      <c r="M20126">
        <v>74</v>
      </c>
      <c r="N20126">
        <v>0</v>
      </c>
      <c r="O20126">
        <v>74</v>
      </c>
      <c r="P20126">
        <v>0</v>
      </c>
    </row>
    <row r="20127" spans="1:16" x14ac:dyDescent="0.25">
      <c r="A20127" t="s">
        <v>42844</v>
      </c>
      <c r="B20127" t="s">
        <v>19120</v>
      </c>
      <c r="C20127" t="s">
        <v>19121</v>
      </c>
      <c r="D20127" t="s">
        <v>19122</v>
      </c>
      <c r="E20127" t="s">
        <v>19123</v>
      </c>
      <c r="F20127" t="s">
        <v>16810</v>
      </c>
      <c r="G20127" t="s">
        <v>47093</v>
      </c>
      <c r="H20127" t="s">
        <v>47054</v>
      </c>
      <c r="I20127" t="s">
        <v>47111</v>
      </c>
      <c r="J20127" t="s">
        <v>47112</v>
      </c>
      <c r="K20127" t="s">
        <v>47113</v>
      </c>
      <c r="L20127">
        <v>73.59</v>
      </c>
      <c r="M20127">
        <v>148</v>
      </c>
      <c r="N20127">
        <v>0</v>
      </c>
      <c r="O20127">
        <v>148</v>
      </c>
      <c r="P20127">
        <v>0</v>
      </c>
    </row>
    <row r="20128" spans="1:16" x14ac:dyDescent="0.25">
      <c r="A20128" t="s">
        <v>42845</v>
      </c>
      <c r="B20128" t="s">
        <v>19124</v>
      </c>
      <c r="C20128" t="s">
        <v>19125</v>
      </c>
      <c r="D20128" t="s">
        <v>19122</v>
      </c>
      <c r="E20128" t="s">
        <v>19123</v>
      </c>
      <c r="F20128" t="s">
        <v>16623</v>
      </c>
      <c r="G20128" t="s">
        <v>47098</v>
      </c>
      <c r="H20128" t="s">
        <v>47054</v>
      </c>
      <c r="I20128" t="s">
        <v>47116</v>
      </c>
      <c r="J20128" t="s">
        <v>47117</v>
      </c>
      <c r="K20128" t="s">
        <v>47113</v>
      </c>
      <c r="L20128">
        <v>91.89</v>
      </c>
      <c r="M20128">
        <v>185</v>
      </c>
      <c r="N20128">
        <v>0</v>
      </c>
      <c r="O20128">
        <v>185</v>
      </c>
      <c r="P20128">
        <v>0</v>
      </c>
    </row>
    <row r="20129" spans="1:16" x14ac:dyDescent="0.25">
      <c r="A20129" t="s">
        <v>42846</v>
      </c>
      <c r="B20129" t="s">
        <v>19126</v>
      </c>
      <c r="C20129" t="s">
        <v>19127</v>
      </c>
      <c r="D20129" t="s">
        <v>18562</v>
      </c>
      <c r="E20129" t="s">
        <v>18563</v>
      </c>
      <c r="F20129" t="s">
        <v>16810</v>
      </c>
      <c r="G20129" t="s">
        <v>47093</v>
      </c>
      <c r="H20129" t="s">
        <v>47054</v>
      </c>
      <c r="I20129" t="s">
        <v>47111</v>
      </c>
      <c r="J20129" t="s">
        <v>47112</v>
      </c>
      <c r="K20129" t="s">
        <v>47113</v>
      </c>
      <c r="L20129">
        <v>55.19</v>
      </c>
      <c r="M20129">
        <v>111</v>
      </c>
      <c r="N20129">
        <v>0</v>
      </c>
      <c r="O20129">
        <v>111</v>
      </c>
      <c r="P20129">
        <v>0</v>
      </c>
    </row>
    <row r="20130" spans="1:16" x14ac:dyDescent="0.25">
      <c r="A20130" t="s">
        <v>42847</v>
      </c>
      <c r="B20130" t="s">
        <v>19128</v>
      </c>
      <c r="C20130" t="s">
        <v>19129</v>
      </c>
      <c r="D20130" t="s">
        <v>18562</v>
      </c>
      <c r="E20130" t="s">
        <v>18563</v>
      </c>
      <c r="F20130" t="s">
        <v>16810</v>
      </c>
      <c r="G20130" t="s">
        <v>49029</v>
      </c>
      <c r="H20130" t="s">
        <v>47054</v>
      </c>
      <c r="I20130" t="s">
        <v>47111</v>
      </c>
      <c r="J20130" t="s">
        <v>47112</v>
      </c>
      <c r="K20130" t="s">
        <v>47113</v>
      </c>
      <c r="L20130">
        <v>51.21</v>
      </c>
      <c r="M20130">
        <v>103</v>
      </c>
      <c r="N20130">
        <v>0</v>
      </c>
      <c r="O20130">
        <v>103</v>
      </c>
      <c r="P20130">
        <v>0</v>
      </c>
    </row>
    <row r="20131" spans="1:16" x14ac:dyDescent="0.25">
      <c r="A20131" t="s">
        <v>42848</v>
      </c>
      <c r="B20131" t="s">
        <v>19130</v>
      </c>
      <c r="C20131" t="s">
        <v>19131</v>
      </c>
      <c r="D20131" t="s">
        <v>18913</v>
      </c>
      <c r="E20131" t="s">
        <v>18914</v>
      </c>
      <c r="F20131" t="s">
        <v>16746</v>
      </c>
      <c r="G20131" t="s">
        <v>47093</v>
      </c>
      <c r="H20131" t="s">
        <v>47054</v>
      </c>
      <c r="I20131" t="s">
        <v>47116</v>
      </c>
      <c r="J20131" t="s">
        <v>47117</v>
      </c>
      <c r="K20131" t="s">
        <v>47113</v>
      </c>
      <c r="L20131">
        <v>42.16</v>
      </c>
      <c r="M20131">
        <v>85</v>
      </c>
      <c r="N20131">
        <v>0</v>
      </c>
      <c r="O20131">
        <v>85</v>
      </c>
      <c r="P20131">
        <v>0</v>
      </c>
    </row>
    <row r="20132" spans="1:16" x14ac:dyDescent="0.25">
      <c r="A20132" t="s">
        <v>42849</v>
      </c>
      <c r="B20132" t="s">
        <v>19132</v>
      </c>
      <c r="C20132" t="s">
        <v>19131</v>
      </c>
      <c r="D20132" t="s">
        <v>19133</v>
      </c>
      <c r="E20132" t="s">
        <v>19134</v>
      </c>
      <c r="F20132" t="s">
        <v>16746</v>
      </c>
      <c r="G20132" t="s">
        <v>47093</v>
      </c>
      <c r="H20132" t="s">
        <v>47054</v>
      </c>
      <c r="I20132" t="s">
        <v>47111</v>
      </c>
      <c r="J20132" t="s">
        <v>47112</v>
      </c>
      <c r="K20132" t="s">
        <v>47113</v>
      </c>
      <c r="L20132">
        <v>50.14</v>
      </c>
      <c r="M20132">
        <v>103</v>
      </c>
      <c r="N20132">
        <v>0</v>
      </c>
      <c r="O20132">
        <v>103</v>
      </c>
      <c r="P20132">
        <v>0</v>
      </c>
    </row>
    <row r="20133" spans="1:16" x14ac:dyDescent="0.25">
      <c r="A20133" t="s">
        <v>42850</v>
      </c>
      <c r="B20133" t="s">
        <v>19135</v>
      </c>
      <c r="C20133" t="s">
        <v>19131</v>
      </c>
      <c r="D20133" t="str">
        <f>"4000"</f>
        <v>4000</v>
      </c>
      <c r="E20133" t="s">
        <v>18985</v>
      </c>
      <c r="F20133" t="s">
        <v>16746</v>
      </c>
      <c r="G20133" t="s">
        <v>47093</v>
      </c>
      <c r="H20133" t="s">
        <v>47054</v>
      </c>
      <c r="I20133" t="s">
        <v>47111</v>
      </c>
      <c r="J20133" t="s">
        <v>47112</v>
      </c>
      <c r="K20133" t="s">
        <v>47113</v>
      </c>
      <c r="L20133">
        <v>49.54</v>
      </c>
      <c r="M20133">
        <v>100</v>
      </c>
      <c r="N20133">
        <v>0</v>
      </c>
      <c r="O20133">
        <v>100</v>
      </c>
      <c r="P20133">
        <v>0</v>
      </c>
    </row>
    <row r="20134" spans="1:16" x14ac:dyDescent="0.25">
      <c r="A20134" t="s">
        <v>42851</v>
      </c>
      <c r="B20134" t="s">
        <v>19135</v>
      </c>
      <c r="C20134" t="s">
        <v>19131</v>
      </c>
      <c r="D20134" t="str">
        <f>"6500"</f>
        <v>6500</v>
      </c>
      <c r="E20134" t="s">
        <v>18986</v>
      </c>
      <c r="F20134" t="s">
        <v>16746</v>
      </c>
      <c r="G20134" t="s">
        <v>47093</v>
      </c>
      <c r="H20134" t="s">
        <v>47054</v>
      </c>
      <c r="I20134" t="s">
        <v>47111</v>
      </c>
      <c r="J20134" t="s">
        <v>47112</v>
      </c>
      <c r="K20134" t="s">
        <v>47113</v>
      </c>
      <c r="L20134">
        <v>49.54</v>
      </c>
      <c r="M20134">
        <v>100</v>
      </c>
      <c r="N20134">
        <v>0</v>
      </c>
      <c r="O20134">
        <v>100</v>
      </c>
      <c r="P20134">
        <v>0</v>
      </c>
    </row>
    <row r="20135" spans="1:16" x14ac:dyDescent="0.25">
      <c r="A20135" t="s">
        <v>42852</v>
      </c>
      <c r="B20135" t="s">
        <v>42853</v>
      </c>
      <c r="C20135" t="s">
        <v>19137</v>
      </c>
      <c r="D20135" t="str">
        <f>"3071"</f>
        <v>3071</v>
      </c>
      <c r="E20135" t="s">
        <v>42854</v>
      </c>
      <c r="F20135" t="s">
        <v>24617</v>
      </c>
      <c r="G20135" t="s">
        <v>47098</v>
      </c>
      <c r="H20135" t="s">
        <v>47054</v>
      </c>
      <c r="I20135" t="s">
        <v>47120</v>
      </c>
      <c r="J20135" t="s">
        <v>47121</v>
      </c>
      <c r="K20135" t="s">
        <v>47113</v>
      </c>
      <c r="L20135">
        <v>32.83</v>
      </c>
      <c r="M20135">
        <v>85</v>
      </c>
      <c r="N20135">
        <v>229</v>
      </c>
      <c r="O20135">
        <v>85</v>
      </c>
      <c r="P20135">
        <v>229</v>
      </c>
    </row>
    <row r="20136" spans="1:16" x14ac:dyDescent="0.25">
      <c r="A20136" t="s">
        <v>42855</v>
      </c>
      <c r="B20136" t="s">
        <v>19136</v>
      </c>
      <c r="C20136" t="s">
        <v>19137</v>
      </c>
      <c r="D20136" t="s">
        <v>19138</v>
      </c>
      <c r="E20136" t="s">
        <v>19139</v>
      </c>
      <c r="F20136" t="s">
        <v>16623</v>
      </c>
      <c r="G20136" t="s">
        <v>47098</v>
      </c>
      <c r="H20136" t="s">
        <v>47054</v>
      </c>
      <c r="I20136" t="s">
        <v>47116</v>
      </c>
      <c r="J20136" t="s">
        <v>47117</v>
      </c>
      <c r="K20136" t="s">
        <v>47113</v>
      </c>
      <c r="L20136">
        <v>64.260000000000005</v>
      </c>
      <c r="M20136">
        <v>129</v>
      </c>
      <c r="N20136">
        <v>0</v>
      </c>
      <c r="O20136">
        <v>129</v>
      </c>
      <c r="P20136">
        <v>0</v>
      </c>
    </row>
    <row r="20137" spans="1:16" x14ac:dyDescent="0.25">
      <c r="A20137" t="s">
        <v>42856</v>
      </c>
      <c r="B20137" t="s">
        <v>19140</v>
      </c>
      <c r="C20137" t="s">
        <v>19137</v>
      </c>
      <c r="D20137" t="str">
        <f>"2709"</f>
        <v>2709</v>
      </c>
      <c r="E20137" t="s">
        <v>19141</v>
      </c>
      <c r="F20137" t="s">
        <v>16623</v>
      </c>
      <c r="G20137" t="s">
        <v>47098</v>
      </c>
      <c r="H20137" t="s">
        <v>47054</v>
      </c>
      <c r="I20137" t="s">
        <v>47120</v>
      </c>
      <c r="J20137" t="s">
        <v>47121</v>
      </c>
      <c r="K20137" t="s">
        <v>47113</v>
      </c>
      <c r="L20137">
        <v>32.81</v>
      </c>
      <c r="M20137">
        <v>66</v>
      </c>
      <c r="N20137">
        <v>0</v>
      </c>
      <c r="O20137">
        <v>66</v>
      </c>
      <c r="P20137">
        <v>0</v>
      </c>
    </row>
    <row r="20138" spans="1:16" x14ac:dyDescent="0.25">
      <c r="A20138" t="s">
        <v>42857</v>
      </c>
      <c r="B20138" t="s">
        <v>19140</v>
      </c>
      <c r="C20138" t="s">
        <v>19137</v>
      </c>
      <c r="D20138" t="str">
        <f>"8000"</f>
        <v>8000</v>
      </c>
      <c r="E20138" t="s">
        <v>19142</v>
      </c>
      <c r="F20138" t="s">
        <v>16623</v>
      </c>
      <c r="G20138" t="s">
        <v>47098</v>
      </c>
      <c r="H20138" t="s">
        <v>47054</v>
      </c>
      <c r="I20138" t="s">
        <v>47120</v>
      </c>
      <c r="J20138" t="s">
        <v>47121</v>
      </c>
      <c r="K20138" t="s">
        <v>47113</v>
      </c>
      <c r="L20138">
        <v>32.81</v>
      </c>
      <c r="M20138">
        <v>66</v>
      </c>
      <c r="N20138">
        <v>0</v>
      </c>
      <c r="O20138">
        <v>66</v>
      </c>
      <c r="P20138">
        <v>0</v>
      </c>
    </row>
    <row r="20139" spans="1:16" x14ac:dyDescent="0.25">
      <c r="A20139" t="s">
        <v>22915</v>
      </c>
      <c r="B20139" t="s">
        <v>21867</v>
      </c>
      <c r="C20139" t="s">
        <v>19137</v>
      </c>
      <c r="D20139" t="str">
        <f>"3071"</f>
        <v>3071</v>
      </c>
      <c r="E20139" t="s">
        <v>19150</v>
      </c>
      <c r="F20139" t="s">
        <v>19552</v>
      </c>
      <c r="G20139" t="s">
        <v>47098</v>
      </c>
      <c r="H20139" t="s">
        <v>47054</v>
      </c>
      <c r="I20139" t="s">
        <v>47120</v>
      </c>
      <c r="J20139" t="s">
        <v>47121</v>
      </c>
      <c r="K20139" t="s">
        <v>47113</v>
      </c>
      <c r="L20139">
        <v>45.3</v>
      </c>
      <c r="M20139">
        <v>92</v>
      </c>
      <c r="N20139">
        <v>0</v>
      </c>
      <c r="O20139">
        <v>92</v>
      </c>
      <c r="P20139">
        <v>0</v>
      </c>
    </row>
    <row r="20140" spans="1:16" x14ac:dyDescent="0.25">
      <c r="A20140" t="s">
        <v>42858</v>
      </c>
      <c r="B20140" t="s">
        <v>19143</v>
      </c>
      <c r="C20140" t="s">
        <v>19144</v>
      </c>
      <c r="D20140" t="str">
        <f>"3071"</f>
        <v>3071</v>
      </c>
      <c r="E20140" t="s">
        <v>19103</v>
      </c>
      <c r="F20140" t="s">
        <v>16839</v>
      </c>
      <c r="G20140" t="s">
        <v>47099</v>
      </c>
      <c r="H20140" t="s">
        <v>47054</v>
      </c>
      <c r="I20140" t="s">
        <v>47120</v>
      </c>
      <c r="J20140" t="s">
        <v>47121</v>
      </c>
      <c r="K20140" t="s">
        <v>47113</v>
      </c>
      <c r="L20140">
        <v>32.81</v>
      </c>
      <c r="M20140">
        <v>66</v>
      </c>
      <c r="N20140">
        <v>0</v>
      </c>
      <c r="O20140">
        <v>66</v>
      </c>
      <c r="P20140">
        <v>0</v>
      </c>
    </row>
    <row r="20141" spans="1:16" x14ac:dyDescent="0.25">
      <c r="A20141" t="s">
        <v>42859</v>
      </c>
      <c r="B20141" t="s">
        <v>19143</v>
      </c>
      <c r="C20141" t="s">
        <v>19144</v>
      </c>
      <c r="D20141" t="str">
        <f>"8000"</f>
        <v>8000</v>
      </c>
      <c r="E20141" t="s">
        <v>19145</v>
      </c>
      <c r="F20141" t="s">
        <v>16839</v>
      </c>
      <c r="G20141" t="s">
        <v>47099</v>
      </c>
      <c r="H20141" t="s">
        <v>47054</v>
      </c>
      <c r="I20141" t="s">
        <v>47120</v>
      </c>
      <c r="J20141" t="s">
        <v>47121</v>
      </c>
      <c r="K20141" t="s">
        <v>47113</v>
      </c>
      <c r="L20141">
        <v>32.81</v>
      </c>
      <c r="M20141">
        <v>66</v>
      </c>
      <c r="N20141">
        <v>0</v>
      </c>
      <c r="O20141">
        <v>66</v>
      </c>
      <c r="P20141">
        <v>0</v>
      </c>
    </row>
    <row r="20142" spans="1:16" x14ac:dyDescent="0.25">
      <c r="A20142" t="s">
        <v>42860</v>
      </c>
      <c r="B20142" t="s">
        <v>19146</v>
      </c>
      <c r="C20142" t="s">
        <v>19144</v>
      </c>
      <c r="D20142" t="s">
        <v>19133</v>
      </c>
      <c r="E20142" t="s">
        <v>19134</v>
      </c>
      <c r="F20142" t="s">
        <v>16839</v>
      </c>
      <c r="G20142" t="s">
        <v>47093</v>
      </c>
      <c r="H20142" t="s">
        <v>47054</v>
      </c>
      <c r="I20142" t="s">
        <v>47111</v>
      </c>
      <c r="J20142" t="s">
        <v>47112</v>
      </c>
      <c r="K20142" t="s">
        <v>47113</v>
      </c>
      <c r="L20142">
        <v>64.260000000000005</v>
      </c>
      <c r="M20142">
        <v>129</v>
      </c>
      <c r="N20142">
        <v>0</v>
      </c>
      <c r="O20142">
        <v>129</v>
      </c>
      <c r="P20142">
        <v>0</v>
      </c>
    </row>
    <row r="20143" spans="1:16" x14ac:dyDescent="0.25">
      <c r="A20143" t="s">
        <v>42861</v>
      </c>
      <c r="B20143" t="s">
        <v>19147</v>
      </c>
      <c r="C20143" t="s">
        <v>19148</v>
      </c>
      <c r="D20143" t="s">
        <v>19133</v>
      </c>
      <c r="E20143" t="s">
        <v>19134</v>
      </c>
      <c r="F20143" t="s">
        <v>16746</v>
      </c>
      <c r="G20143" t="s">
        <v>49029</v>
      </c>
      <c r="H20143" t="s">
        <v>47054</v>
      </c>
      <c r="I20143" t="s">
        <v>47111</v>
      </c>
      <c r="J20143" t="s">
        <v>47112</v>
      </c>
      <c r="K20143" t="s">
        <v>47113</v>
      </c>
      <c r="L20143">
        <v>51.21</v>
      </c>
      <c r="M20143">
        <v>103</v>
      </c>
      <c r="N20143">
        <v>0</v>
      </c>
      <c r="O20143">
        <v>103</v>
      </c>
      <c r="P20143">
        <v>0</v>
      </c>
    </row>
    <row r="20144" spans="1:16" x14ac:dyDescent="0.25">
      <c r="A20144" t="s">
        <v>42862</v>
      </c>
      <c r="B20144" t="s">
        <v>19149</v>
      </c>
      <c r="C20144" t="s">
        <v>19148</v>
      </c>
      <c r="D20144" t="str">
        <f>"3000"</f>
        <v>3000</v>
      </c>
      <c r="E20144" t="s">
        <v>19150</v>
      </c>
      <c r="F20144" t="s">
        <v>16839</v>
      </c>
      <c r="G20144" t="s">
        <v>49029</v>
      </c>
      <c r="H20144" t="s">
        <v>47054</v>
      </c>
      <c r="I20144" t="s">
        <v>47120</v>
      </c>
      <c r="J20144" t="s">
        <v>47121</v>
      </c>
      <c r="K20144" t="s">
        <v>47113</v>
      </c>
      <c r="L20144">
        <v>34.799999999999997</v>
      </c>
      <c r="M20144">
        <v>70</v>
      </c>
      <c r="N20144">
        <v>0</v>
      </c>
      <c r="O20144">
        <v>70</v>
      </c>
      <c r="P20144">
        <v>0</v>
      </c>
    </row>
    <row r="20145" spans="1:16" x14ac:dyDescent="0.25">
      <c r="A20145" t="s">
        <v>42863</v>
      </c>
      <c r="B20145" t="s">
        <v>19149</v>
      </c>
      <c r="C20145" t="s">
        <v>19148</v>
      </c>
      <c r="D20145" t="str">
        <f>"6500"</f>
        <v>6500</v>
      </c>
      <c r="E20145" t="s">
        <v>19151</v>
      </c>
      <c r="F20145" t="s">
        <v>16746</v>
      </c>
      <c r="G20145" t="s">
        <v>49029</v>
      </c>
      <c r="H20145" t="s">
        <v>47054</v>
      </c>
      <c r="I20145" t="s">
        <v>47120</v>
      </c>
      <c r="J20145" t="s">
        <v>47121</v>
      </c>
      <c r="K20145" t="s">
        <v>47113</v>
      </c>
      <c r="L20145">
        <v>34.799999999999997</v>
      </c>
      <c r="M20145">
        <v>70</v>
      </c>
      <c r="N20145">
        <v>0</v>
      </c>
      <c r="O20145">
        <v>70</v>
      </c>
      <c r="P20145">
        <v>0</v>
      </c>
    </row>
    <row r="20146" spans="1:16" x14ac:dyDescent="0.25">
      <c r="A20146" t="s">
        <v>42864</v>
      </c>
      <c r="B20146" t="s">
        <v>19152</v>
      </c>
      <c r="C20146" t="s">
        <v>19153</v>
      </c>
      <c r="D20146" t="s">
        <v>19110</v>
      </c>
      <c r="E20146" t="s">
        <v>19111</v>
      </c>
      <c r="F20146" t="s">
        <v>16746</v>
      </c>
      <c r="G20146" t="s">
        <v>49030</v>
      </c>
      <c r="H20146" t="s">
        <v>47054</v>
      </c>
      <c r="I20146" t="s">
        <v>47111</v>
      </c>
      <c r="J20146" t="s">
        <v>47112</v>
      </c>
      <c r="K20146" t="s">
        <v>47113</v>
      </c>
      <c r="L20146">
        <v>60.58</v>
      </c>
      <c r="M20146">
        <v>122</v>
      </c>
      <c r="N20146">
        <v>0</v>
      </c>
      <c r="O20146">
        <v>122</v>
      </c>
      <c r="P20146">
        <v>0</v>
      </c>
    </row>
    <row r="20147" spans="1:16" x14ac:dyDescent="0.25">
      <c r="A20147" t="s">
        <v>42865</v>
      </c>
      <c r="B20147" t="s">
        <v>19154</v>
      </c>
      <c r="C20147" t="s">
        <v>19131</v>
      </c>
      <c r="D20147" t="s">
        <v>19155</v>
      </c>
      <c r="E20147" t="s">
        <v>19156</v>
      </c>
      <c r="F20147" t="s">
        <v>16746</v>
      </c>
      <c r="G20147" t="s">
        <v>47093</v>
      </c>
      <c r="H20147" t="s">
        <v>47054</v>
      </c>
      <c r="I20147" t="s">
        <v>47111</v>
      </c>
      <c r="J20147" t="s">
        <v>47112</v>
      </c>
      <c r="K20147" t="s">
        <v>47113</v>
      </c>
      <c r="L20147">
        <v>64.14</v>
      </c>
      <c r="M20147">
        <v>129</v>
      </c>
      <c r="N20147">
        <v>0</v>
      </c>
      <c r="O20147">
        <v>129</v>
      </c>
      <c r="P20147">
        <v>0</v>
      </c>
    </row>
    <row r="20148" spans="1:16" x14ac:dyDescent="0.25">
      <c r="A20148" t="s">
        <v>42866</v>
      </c>
      <c r="B20148" t="s">
        <v>19157</v>
      </c>
      <c r="C20148" t="s">
        <v>19158</v>
      </c>
      <c r="D20148" t="s">
        <v>18972</v>
      </c>
      <c r="E20148" t="s">
        <v>18973</v>
      </c>
      <c r="F20148" t="s">
        <v>16746</v>
      </c>
      <c r="G20148" t="s">
        <v>48515</v>
      </c>
      <c r="H20148" t="s">
        <v>47054</v>
      </c>
      <c r="I20148" t="s">
        <v>47116</v>
      </c>
      <c r="J20148" t="s">
        <v>47117</v>
      </c>
      <c r="K20148" t="s">
        <v>47113</v>
      </c>
      <c r="L20148">
        <v>64.260000000000005</v>
      </c>
      <c r="M20148">
        <v>129</v>
      </c>
      <c r="N20148">
        <v>0</v>
      </c>
      <c r="O20148">
        <v>129</v>
      </c>
      <c r="P20148">
        <v>0</v>
      </c>
    </row>
    <row r="20149" spans="1:16" x14ac:dyDescent="0.25">
      <c r="A20149" t="s">
        <v>42867</v>
      </c>
      <c r="B20149" t="s">
        <v>19159</v>
      </c>
      <c r="C20149" t="s">
        <v>19160</v>
      </c>
      <c r="D20149" t="s">
        <v>18558</v>
      </c>
      <c r="E20149" t="s">
        <v>18559</v>
      </c>
      <c r="F20149" t="s">
        <v>16810</v>
      </c>
      <c r="G20149" t="s">
        <v>47093</v>
      </c>
      <c r="H20149" t="s">
        <v>47054</v>
      </c>
      <c r="I20149" t="s">
        <v>47111</v>
      </c>
      <c r="J20149" t="s">
        <v>47112</v>
      </c>
      <c r="K20149" t="s">
        <v>47113</v>
      </c>
      <c r="L20149">
        <v>71.63</v>
      </c>
      <c r="M20149">
        <v>144</v>
      </c>
      <c r="N20149">
        <v>0</v>
      </c>
      <c r="O20149">
        <v>144</v>
      </c>
      <c r="P20149">
        <v>0</v>
      </c>
    </row>
    <row r="20150" spans="1:16" x14ac:dyDescent="0.25">
      <c r="A20150" t="s">
        <v>42868</v>
      </c>
      <c r="B20150" t="s">
        <v>19161</v>
      </c>
      <c r="C20150" t="s">
        <v>16443</v>
      </c>
      <c r="D20150" t="s">
        <v>18975</v>
      </c>
      <c r="E20150" t="s">
        <v>18976</v>
      </c>
      <c r="F20150" t="s">
        <v>16746</v>
      </c>
      <c r="G20150" t="s">
        <v>47093</v>
      </c>
      <c r="H20150" t="s">
        <v>47054</v>
      </c>
      <c r="I20150" t="s">
        <v>47111</v>
      </c>
      <c r="J20150" t="s">
        <v>47112</v>
      </c>
      <c r="K20150" t="s">
        <v>47113</v>
      </c>
      <c r="L20150">
        <v>69.61</v>
      </c>
      <c r="M20150">
        <v>140</v>
      </c>
      <c r="N20150">
        <v>0</v>
      </c>
      <c r="O20150">
        <v>140</v>
      </c>
      <c r="P20150">
        <v>0</v>
      </c>
    </row>
    <row r="20151" spans="1:16" x14ac:dyDescent="0.25">
      <c r="A20151" t="s">
        <v>42869</v>
      </c>
      <c r="B20151" t="s">
        <v>19162</v>
      </c>
      <c r="C20151" t="s">
        <v>19163</v>
      </c>
      <c r="D20151" t="s">
        <v>19164</v>
      </c>
      <c r="E20151" t="s">
        <v>19165</v>
      </c>
      <c r="F20151" t="s">
        <v>16746</v>
      </c>
      <c r="G20151" t="s">
        <v>49029</v>
      </c>
      <c r="H20151" t="s">
        <v>47054</v>
      </c>
      <c r="I20151" t="s">
        <v>47120</v>
      </c>
      <c r="J20151" t="s">
        <v>47121</v>
      </c>
      <c r="K20151" t="s">
        <v>47113</v>
      </c>
      <c r="L20151">
        <v>23.86</v>
      </c>
      <c r="M20151">
        <v>48</v>
      </c>
      <c r="N20151">
        <v>0</v>
      </c>
      <c r="O20151">
        <v>48</v>
      </c>
      <c r="P20151">
        <v>0</v>
      </c>
    </row>
    <row r="20152" spans="1:16" x14ac:dyDescent="0.25">
      <c r="A20152" t="s">
        <v>42870</v>
      </c>
      <c r="B20152" t="s">
        <v>19162</v>
      </c>
      <c r="C20152" t="s">
        <v>19163</v>
      </c>
      <c r="D20152" t="s">
        <v>19166</v>
      </c>
      <c r="E20152" t="s">
        <v>19167</v>
      </c>
      <c r="F20152" t="s">
        <v>16746</v>
      </c>
      <c r="G20152" t="s">
        <v>49029</v>
      </c>
      <c r="H20152" t="s">
        <v>47054</v>
      </c>
      <c r="I20152" t="s">
        <v>47120</v>
      </c>
      <c r="J20152" t="s">
        <v>47121</v>
      </c>
      <c r="K20152" t="s">
        <v>47113</v>
      </c>
      <c r="L20152">
        <v>27.44</v>
      </c>
      <c r="M20152">
        <v>55</v>
      </c>
      <c r="N20152">
        <v>0</v>
      </c>
      <c r="O20152">
        <v>55</v>
      </c>
      <c r="P20152">
        <v>0</v>
      </c>
    </row>
    <row r="20153" spans="1:16" x14ac:dyDescent="0.25">
      <c r="A20153" t="s">
        <v>42871</v>
      </c>
      <c r="B20153" t="s">
        <v>19168</v>
      </c>
      <c r="C20153" t="s">
        <v>19163</v>
      </c>
      <c r="D20153" t="s">
        <v>19169</v>
      </c>
      <c r="E20153" t="s">
        <v>19170</v>
      </c>
      <c r="F20153" t="s">
        <v>16746</v>
      </c>
      <c r="G20153" t="s">
        <v>49029</v>
      </c>
      <c r="H20153" t="s">
        <v>47054</v>
      </c>
      <c r="I20153" t="s">
        <v>47120</v>
      </c>
      <c r="J20153" t="s">
        <v>47121</v>
      </c>
      <c r="K20153" t="s">
        <v>47113</v>
      </c>
      <c r="L20153">
        <v>27.44</v>
      </c>
      <c r="M20153">
        <v>55</v>
      </c>
      <c r="N20153">
        <v>0</v>
      </c>
      <c r="O20153">
        <v>55</v>
      </c>
      <c r="P20153">
        <v>0</v>
      </c>
    </row>
    <row r="20154" spans="1:16" x14ac:dyDescent="0.25">
      <c r="A20154" t="s">
        <v>42872</v>
      </c>
      <c r="B20154" t="s">
        <v>19171</v>
      </c>
      <c r="C20154" t="s">
        <v>19163</v>
      </c>
      <c r="D20154" t="s">
        <v>721</v>
      </c>
      <c r="E20154" t="s">
        <v>722</v>
      </c>
      <c r="F20154" t="s">
        <v>16746</v>
      </c>
      <c r="G20154" t="s">
        <v>49029</v>
      </c>
      <c r="H20154" t="s">
        <v>47054</v>
      </c>
      <c r="I20154" t="s">
        <v>47120</v>
      </c>
      <c r="J20154" t="s">
        <v>47121</v>
      </c>
      <c r="K20154" t="s">
        <v>47113</v>
      </c>
      <c r="L20154">
        <v>23.86</v>
      </c>
      <c r="M20154">
        <v>48</v>
      </c>
      <c r="N20154">
        <v>0</v>
      </c>
      <c r="O20154">
        <v>48</v>
      </c>
      <c r="P20154">
        <v>0</v>
      </c>
    </row>
    <row r="20155" spans="1:16" x14ac:dyDescent="0.25">
      <c r="A20155" t="s">
        <v>42873</v>
      </c>
      <c r="B20155" t="s">
        <v>19172</v>
      </c>
      <c r="C20155" t="s">
        <v>19131</v>
      </c>
      <c r="D20155" t="s">
        <v>19173</v>
      </c>
      <c r="E20155" t="s">
        <v>19174</v>
      </c>
      <c r="F20155" t="s">
        <v>16746</v>
      </c>
      <c r="G20155" t="s">
        <v>47093</v>
      </c>
      <c r="H20155" t="s">
        <v>47054</v>
      </c>
      <c r="I20155" t="s">
        <v>47111</v>
      </c>
      <c r="J20155" t="s">
        <v>47112</v>
      </c>
      <c r="K20155" t="s">
        <v>47113</v>
      </c>
      <c r="L20155">
        <v>67.95</v>
      </c>
      <c r="M20155">
        <v>137</v>
      </c>
      <c r="N20155">
        <v>0</v>
      </c>
      <c r="O20155">
        <v>137</v>
      </c>
      <c r="P20155">
        <v>0</v>
      </c>
    </row>
    <row r="20156" spans="1:16" x14ac:dyDescent="0.25">
      <c r="A20156" t="s">
        <v>42874</v>
      </c>
      <c r="B20156" t="s">
        <v>19175</v>
      </c>
      <c r="C20156" t="s">
        <v>19176</v>
      </c>
      <c r="D20156" t="s">
        <v>18643</v>
      </c>
      <c r="E20156" t="s">
        <v>18644</v>
      </c>
      <c r="F20156" t="s">
        <v>16839</v>
      </c>
      <c r="G20156" t="s">
        <v>47093</v>
      </c>
      <c r="H20156" t="s">
        <v>47054</v>
      </c>
      <c r="I20156" t="s">
        <v>47111</v>
      </c>
      <c r="J20156" t="s">
        <v>47112</v>
      </c>
      <c r="K20156" t="s">
        <v>47113</v>
      </c>
      <c r="L20156">
        <v>60.58</v>
      </c>
      <c r="M20156">
        <v>122</v>
      </c>
      <c r="N20156">
        <v>0</v>
      </c>
      <c r="O20156">
        <v>122</v>
      </c>
      <c r="P20156">
        <v>0</v>
      </c>
    </row>
    <row r="20157" spans="1:16" x14ac:dyDescent="0.25">
      <c r="A20157" t="s">
        <v>42875</v>
      </c>
      <c r="B20157" t="s">
        <v>19177</v>
      </c>
      <c r="C20157" t="s">
        <v>19178</v>
      </c>
      <c r="D20157" t="str">
        <f>"1001"</f>
        <v>1001</v>
      </c>
      <c r="E20157" t="s">
        <v>42</v>
      </c>
      <c r="F20157" t="s">
        <v>16839</v>
      </c>
      <c r="G20157" t="s">
        <v>47097</v>
      </c>
      <c r="H20157" t="s">
        <v>47054</v>
      </c>
      <c r="I20157" t="s">
        <v>47118</v>
      </c>
      <c r="J20157" t="s">
        <v>47119</v>
      </c>
      <c r="K20157" t="s">
        <v>47113</v>
      </c>
      <c r="L20157">
        <v>17.899999999999999</v>
      </c>
      <c r="M20157">
        <v>36</v>
      </c>
      <c r="N20157">
        <v>0</v>
      </c>
      <c r="O20157">
        <v>36</v>
      </c>
      <c r="P20157">
        <v>0</v>
      </c>
    </row>
    <row r="20158" spans="1:16" x14ac:dyDescent="0.25">
      <c r="A20158" t="s">
        <v>42876</v>
      </c>
      <c r="B20158" t="s">
        <v>19177</v>
      </c>
      <c r="C20158" t="s">
        <v>19178</v>
      </c>
      <c r="D20158" t="str">
        <f>"3071"</f>
        <v>3071</v>
      </c>
      <c r="E20158" t="s">
        <v>18711</v>
      </c>
      <c r="F20158" t="s">
        <v>16839</v>
      </c>
      <c r="G20158" t="s">
        <v>47097</v>
      </c>
      <c r="H20158" t="s">
        <v>47054</v>
      </c>
      <c r="I20158" t="s">
        <v>47118</v>
      </c>
      <c r="J20158" t="s">
        <v>47119</v>
      </c>
      <c r="K20158" t="s">
        <v>47113</v>
      </c>
      <c r="L20158">
        <v>17.899999999999999</v>
      </c>
      <c r="M20158">
        <v>36</v>
      </c>
      <c r="N20158">
        <v>0</v>
      </c>
      <c r="O20158">
        <v>36</v>
      </c>
      <c r="P20158">
        <v>0</v>
      </c>
    </row>
    <row r="20159" spans="1:16" x14ac:dyDescent="0.25">
      <c r="A20159" t="s">
        <v>42877</v>
      </c>
      <c r="B20159" t="s">
        <v>19179</v>
      </c>
      <c r="C20159" t="s">
        <v>19180</v>
      </c>
      <c r="D20159" t="str">
        <f>"1001"</f>
        <v>1001</v>
      </c>
      <c r="E20159" t="s">
        <v>42</v>
      </c>
      <c r="F20159" t="s">
        <v>16810</v>
      </c>
      <c r="G20159" t="s">
        <v>47101</v>
      </c>
      <c r="H20159" t="s">
        <v>47054</v>
      </c>
      <c r="I20159" t="s">
        <v>47120</v>
      </c>
      <c r="J20159" t="s">
        <v>47121</v>
      </c>
      <c r="K20159" t="s">
        <v>47113</v>
      </c>
      <c r="L20159">
        <v>29.34</v>
      </c>
      <c r="M20159">
        <v>59</v>
      </c>
      <c r="N20159">
        <v>0</v>
      </c>
      <c r="O20159">
        <v>59</v>
      </c>
      <c r="P20159">
        <v>0</v>
      </c>
    </row>
    <row r="20160" spans="1:16" x14ac:dyDescent="0.25">
      <c r="A20160" t="s">
        <v>42878</v>
      </c>
      <c r="B20160" t="s">
        <v>19179</v>
      </c>
      <c r="C20160" t="s">
        <v>19180</v>
      </c>
      <c r="D20160" t="str">
        <f>"1847"</f>
        <v>1847</v>
      </c>
      <c r="E20160" t="s">
        <v>12301</v>
      </c>
      <c r="F20160" t="s">
        <v>16810</v>
      </c>
      <c r="G20160" t="s">
        <v>47101</v>
      </c>
      <c r="H20160" t="s">
        <v>47054</v>
      </c>
      <c r="I20160" t="s">
        <v>47120</v>
      </c>
      <c r="J20160" t="s">
        <v>47121</v>
      </c>
      <c r="K20160" t="s">
        <v>47113</v>
      </c>
      <c r="L20160">
        <v>29.28</v>
      </c>
      <c r="M20160">
        <v>59</v>
      </c>
      <c r="N20160">
        <v>0</v>
      </c>
      <c r="O20160">
        <v>59</v>
      </c>
      <c r="P20160">
        <v>0</v>
      </c>
    </row>
    <row r="20161" spans="1:16" x14ac:dyDescent="0.25">
      <c r="A20161" t="s">
        <v>42879</v>
      </c>
      <c r="B20161" t="s">
        <v>19181</v>
      </c>
      <c r="C20161" t="s">
        <v>19182</v>
      </c>
      <c r="D20161" t="str">
        <f>"1501"</f>
        <v>1501</v>
      </c>
      <c r="E20161" t="s">
        <v>46</v>
      </c>
      <c r="F20161" t="s">
        <v>16746</v>
      </c>
      <c r="G20161" t="s">
        <v>47095</v>
      </c>
      <c r="H20161" t="s">
        <v>47054</v>
      </c>
      <c r="I20161" t="s">
        <v>47118</v>
      </c>
      <c r="J20161" t="s">
        <v>47119</v>
      </c>
      <c r="K20161" t="s">
        <v>47113</v>
      </c>
      <c r="L20161">
        <v>29.28</v>
      </c>
      <c r="M20161">
        <v>59</v>
      </c>
      <c r="N20161">
        <v>0</v>
      </c>
      <c r="O20161">
        <v>59</v>
      </c>
      <c r="P20161">
        <v>0</v>
      </c>
    </row>
    <row r="20162" spans="1:16" x14ac:dyDescent="0.25">
      <c r="A20162" t="s">
        <v>42880</v>
      </c>
      <c r="B20162" t="s">
        <v>19181</v>
      </c>
      <c r="C20162" t="s">
        <v>19182</v>
      </c>
      <c r="D20162" t="str">
        <f>"6500"</f>
        <v>6500</v>
      </c>
      <c r="E20162" t="s">
        <v>18697</v>
      </c>
      <c r="F20162" t="s">
        <v>16746</v>
      </c>
      <c r="G20162" t="s">
        <v>47095</v>
      </c>
      <c r="H20162" t="s">
        <v>47054</v>
      </c>
      <c r="I20162" t="s">
        <v>47118</v>
      </c>
      <c r="J20162" t="s">
        <v>47119</v>
      </c>
      <c r="K20162" t="s">
        <v>47113</v>
      </c>
      <c r="L20162">
        <v>29.28</v>
      </c>
      <c r="M20162">
        <v>59</v>
      </c>
      <c r="N20162">
        <v>0</v>
      </c>
      <c r="O20162">
        <v>59</v>
      </c>
      <c r="P20162">
        <v>0</v>
      </c>
    </row>
    <row r="20163" spans="1:16" x14ac:dyDescent="0.25">
      <c r="A20163" t="s">
        <v>42881</v>
      </c>
      <c r="B20163" t="s">
        <v>19183</v>
      </c>
      <c r="C20163" t="s">
        <v>19184</v>
      </c>
      <c r="D20163" t="str">
        <f>"1001"</f>
        <v>1001</v>
      </c>
      <c r="E20163" t="s">
        <v>42</v>
      </c>
      <c r="F20163" t="s">
        <v>16746</v>
      </c>
      <c r="G20163" t="s">
        <v>47097</v>
      </c>
      <c r="H20163" t="s">
        <v>47054</v>
      </c>
      <c r="I20163" t="s">
        <v>47120</v>
      </c>
      <c r="J20163" t="s">
        <v>47121</v>
      </c>
      <c r="K20163" t="s">
        <v>47113</v>
      </c>
      <c r="L20163">
        <v>14.55</v>
      </c>
      <c r="M20163">
        <v>29</v>
      </c>
      <c r="N20163">
        <v>0</v>
      </c>
      <c r="O20163">
        <v>29</v>
      </c>
      <c r="P20163">
        <v>0</v>
      </c>
    </row>
    <row r="20164" spans="1:16" x14ac:dyDescent="0.25">
      <c r="A20164" t="s">
        <v>42882</v>
      </c>
      <c r="B20164" t="s">
        <v>19183</v>
      </c>
      <c r="C20164" t="s">
        <v>19184</v>
      </c>
      <c r="D20164" t="str">
        <f>"1700"</f>
        <v>1700</v>
      </c>
      <c r="E20164" t="s">
        <v>60</v>
      </c>
      <c r="F20164" t="s">
        <v>16746</v>
      </c>
      <c r="G20164" t="s">
        <v>47097</v>
      </c>
      <c r="H20164" t="s">
        <v>47054</v>
      </c>
      <c r="I20164" t="s">
        <v>47120</v>
      </c>
      <c r="J20164" t="s">
        <v>47121</v>
      </c>
      <c r="K20164" t="s">
        <v>47113</v>
      </c>
      <c r="L20164">
        <v>14.55</v>
      </c>
      <c r="M20164">
        <v>29</v>
      </c>
      <c r="N20164">
        <v>0</v>
      </c>
      <c r="O20164">
        <v>29</v>
      </c>
      <c r="P20164">
        <v>0</v>
      </c>
    </row>
    <row r="20165" spans="1:16" x14ac:dyDescent="0.25">
      <c r="A20165" t="s">
        <v>42883</v>
      </c>
      <c r="B20165" t="s">
        <v>19183</v>
      </c>
      <c r="C20165" t="s">
        <v>19184</v>
      </c>
      <c r="D20165" t="str">
        <f>"6500"</f>
        <v>6500</v>
      </c>
      <c r="E20165" t="s">
        <v>18697</v>
      </c>
      <c r="F20165" t="s">
        <v>16746</v>
      </c>
      <c r="G20165" t="s">
        <v>47097</v>
      </c>
      <c r="H20165" t="s">
        <v>47054</v>
      </c>
      <c r="I20165" t="s">
        <v>47120</v>
      </c>
      <c r="J20165" t="s">
        <v>47121</v>
      </c>
      <c r="K20165" t="s">
        <v>47113</v>
      </c>
      <c r="L20165">
        <v>14.55</v>
      </c>
      <c r="M20165">
        <v>29</v>
      </c>
      <c r="N20165">
        <v>0</v>
      </c>
      <c r="O20165">
        <v>29</v>
      </c>
      <c r="P20165">
        <v>0</v>
      </c>
    </row>
    <row r="20166" spans="1:16" x14ac:dyDescent="0.25">
      <c r="A20166" t="s">
        <v>42884</v>
      </c>
      <c r="B20166" t="s">
        <v>19185</v>
      </c>
      <c r="C20166" t="s">
        <v>19186</v>
      </c>
      <c r="D20166" t="s">
        <v>18553</v>
      </c>
      <c r="E20166" t="s">
        <v>18554</v>
      </c>
      <c r="F20166" t="s">
        <v>16839</v>
      </c>
      <c r="G20166" t="s">
        <v>47093</v>
      </c>
      <c r="H20166" t="s">
        <v>47054</v>
      </c>
      <c r="I20166" t="s">
        <v>47116</v>
      </c>
      <c r="J20166" t="s">
        <v>47117</v>
      </c>
      <c r="K20166" t="s">
        <v>47113</v>
      </c>
      <c r="L20166">
        <v>34.799999999999997</v>
      </c>
      <c r="M20166">
        <v>70</v>
      </c>
      <c r="N20166">
        <v>0</v>
      </c>
      <c r="O20166">
        <v>70</v>
      </c>
      <c r="P20166">
        <v>0</v>
      </c>
    </row>
    <row r="20167" spans="1:16" x14ac:dyDescent="0.25">
      <c r="A20167" t="s">
        <v>42885</v>
      </c>
      <c r="B20167" t="s">
        <v>42886</v>
      </c>
      <c r="C20167" t="s">
        <v>42887</v>
      </c>
      <c r="D20167" t="s">
        <v>41945</v>
      </c>
      <c r="E20167" t="s">
        <v>41946</v>
      </c>
      <c r="F20167" t="s">
        <v>24617</v>
      </c>
      <c r="G20167" t="s">
        <v>47093</v>
      </c>
      <c r="H20167" t="s">
        <v>47054</v>
      </c>
      <c r="I20167" t="s">
        <v>47120</v>
      </c>
      <c r="J20167" t="s">
        <v>47121</v>
      </c>
      <c r="K20167" t="s">
        <v>47113</v>
      </c>
      <c r="L20167">
        <v>30.23</v>
      </c>
      <c r="M20167">
        <v>85</v>
      </c>
      <c r="N20167">
        <v>229</v>
      </c>
      <c r="O20167">
        <v>85</v>
      </c>
      <c r="P20167">
        <v>229</v>
      </c>
    </row>
    <row r="20168" spans="1:16" x14ac:dyDescent="0.25">
      <c r="A20168" t="s">
        <v>42888</v>
      </c>
      <c r="B20168" t="s">
        <v>19187</v>
      </c>
      <c r="C20168" t="s">
        <v>19188</v>
      </c>
      <c r="D20168" t="s">
        <v>17365</v>
      </c>
      <c r="E20168" t="s">
        <v>17366</v>
      </c>
      <c r="F20168" t="s">
        <v>16601</v>
      </c>
      <c r="G20168" t="s">
        <v>47093</v>
      </c>
      <c r="H20168" t="s">
        <v>47054</v>
      </c>
      <c r="I20168" t="s">
        <v>47111</v>
      </c>
      <c r="J20168" t="s">
        <v>47112</v>
      </c>
      <c r="K20168" t="s">
        <v>47113</v>
      </c>
      <c r="L20168">
        <v>73.09</v>
      </c>
      <c r="M20168">
        <v>129</v>
      </c>
      <c r="N20168">
        <v>0</v>
      </c>
      <c r="O20168">
        <v>129</v>
      </c>
      <c r="P20168">
        <v>0</v>
      </c>
    </row>
    <row r="20169" spans="1:16" x14ac:dyDescent="0.25">
      <c r="A20169" t="s">
        <v>42889</v>
      </c>
      <c r="B20169" t="s">
        <v>19189</v>
      </c>
      <c r="C20169" t="s">
        <v>16434</v>
      </c>
      <c r="D20169" t="s">
        <v>18553</v>
      </c>
      <c r="E20169" t="s">
        <v>18554</v>
      </c>
      <c r="F20169" t="s">
        <v>16839</v>
      </c>
      <c r="G20169" t="s">
        <v>47093</v>
      </c>
      <c r="H20169" t="s">
        <v>47054</v>
      </c>
      <c r="I20169" t="s">
        <v>47111</v>
      </c>
      <c r="J20169" t="s">
        <v>47112</v>
      </c>
      <c r="K20169" t="s">
        <v>47113</v>
      </c>
      <c r="L20169">
        <v>69.38</v>
      </c>
      <c r="M20169">
        <v>144</v>
      </c>
      <c r="N20169">
        <v>0</v>
      </c>
      <c r="O20169">
        <v>144</v>
      </c>
      <c r="P20169">
        <v>0</v>
      </c>
    </row>
    <row r="20170" spans="1:16" x14ac:dyDescent="0.25">
      <c r="A20170" t="s">
        <v>22916</v>
      </c>
      <c r="B20170" t="s">
        <v>22917</v>
      </c>
      <c r="C20170" t="s">
        <v>22918</v>
      </c>
      <c r="D20170" t="s">
        <v>22902</v>
      </c>
      <c r="E20170" t="s">
        <v>22903</v>
      </c>
      <c r="F20170" t="s">
        <v>21627</v>
      </c>
      <c r="G20170" t="s">
        <v>47093</v>
      </c>
      <c r="H20170" t="s">
        <v>47054</v>
      </c>
      <c r="I20170" t="s">
        <v>47111</v>
      </c>
      <c r="J20170" t="s">
        <v>47112</v>
      </c>
      <c r="K20170" t="s">
        <v>47113</v>
      </c>
      <c r="L20170">
        <v>74.83</v>
      </c>
      <c r="M20170">
        <v>148</v>
      </c>
      <c r="N20170">
        <v>0</v>
      </c>
      <c r="O20170">
        <v>148</v>
      </c>
      <c r="P20170">
        <v>0</v>
      </c>
    </row>
    <row r="20171" spans="1:16" x14ac:dyDescent="0.25">
      <c r="A20171" t="s">
        <v>42890</v>
      </c>
      <c r="B20171" t="s">
        <v>19190</v>
      </c>
      <c r="C20171" t="s">
        <v>15858</v>
      </c>
      <c r="D20171" t="str">
        <f>"3000"</f>
        <v>3000</v>
      </c>
      <c r="E20171" t="s">
        <v>19106</v>
      </c>
      <c r="F20171" t="s">
        <v>16839</v>
      </c>
      <c r="G20171" t="s">
        <v>47098</v>
      </c>
      <c r="H20171" t="s">
        <v>47054</v>
      </c>
      <c r="I20171" t="s">
        <v>47120</v>
      </c>
      <c r="J20171" t="s">
        <v>47121</v>
      </c>
      <c r="K20171" t="s">
        <v>47113</v>
      </c>
      <c r="L20171">
        <v>55.06</v>
      </c>
      <c r="M20171">
        <v>111</v>
      </c>
      <c r="N20171">
        <v>0</v>
      </c>
      <c r="O20171">
        <v>111</v>
      </c>
      <c r="P20171">
        <v>0</v>
      </c>
    </row>
    <row r="20172" spans="1:16" x14ac:dyDescent="0.25">
      <c r="A20172" t="s">
        <v>42891</v>
      </c>
      <c r="B20172" t="s">
        <v>19191</v>
      </c>
      <c r="C20172" t="s">
        <v>13461</v>
      </c>
      <c r="D20172" t="s">
        <v>18587</v>
      </c>
      <c r="E20172" t="s">
        <v>18588</v>
      </c>
      <c r="F20172" t="s">
        <v>16810</v>
      </c>
      <c r="G20172" t="s">
        <v>47093</v>
      </c>
      <c r="H20172" t="s">
        <v>47054</v>
      </c>
      <c r="I20172" t="s">
        <v>47111</v>
      </c>
      <c r="J20172" t="s">
        <v>47112</v>
      </c>
      <c r="K20172" t="s">
        <v>47113</v>
      </c>
      <c r="L20172">
        <v>71.63</v>
      </c>
      <c r="M20172">
        <v>144</v>
      </c>
      <c r="N20172">
        <v>0</v>
      </c>
      <c r="O20172">
        <v>144</v>
      </c>
      <c r="P20172">
        <v>0</v>
      </c>
    </row>
    <row r="20173" spans="1:16" x14ac:dyDescent="0.25">
      <c r="A20173" t="s">
        <v>42892</v>
      </c>
      <c r="B20173" t="s">
        <v>19192</v>
      </c>
      <c r="C20173" t="s">
        <v>18912</v>
      </c>
      <c r="D20173" t="s">
        <v>18575</v>
      </c>
      <c r="E20173" t="s">
        <v>18576</v>
      </c>
      <c r="F20173" t="s">
        <v>16810</v>
      </c>
      <c r="G20173" t="s">
        <v>47093</v>
      </c>
      <c r="H20173" t="s">
        <v>47054</v>
      </c>
      <c r="I20173" t="s">
        <v>47111</v>
      </c>
      <c r="J20173" t="s">
        <v>47112</v>
      </c>
      <c r="K20173" t="s">
        <v>47113</v>
      </c>
      <c r="L20173">
        <v>64.14</v>
      </c>
      <c r="M20173">
        <v>129</v>
      </c>
      <c r="N20173">
        <v>0</v>
      </c>
      <c r="O20173">
        <v>129</v>
      </c>
      <c r="P20173">
        <v>0</v>
      </c>
    </row>
    <row r="20174" spans="1:16" x14ac:dyDescent="0.25">
      <c r="A20174" t="s">
        <v>42893</v>
      </c>
      <c r="B20174" t="s">
        <v>19193</v>
      </c>
      <c r="C20174" t="s">
        <v>19194</v>
      </c>
      <c r="D20174" t="s">
        <v>18587</v>
      </c>
      <c r="E20174" t="s">
        <v>18588</v>
      </c>
      <c r="F20174" t="s">
        <v>16810</v>
      </c>
      <c r="G20174" t="s">
        <v>47093</v>
      </c>
      <c r="H20174" t="s">
        <v>47054</v>
      </c>
      <c r="I20174" t="s">
        <v>47111</v>
      </c>
      <c r="J20174" t="s">
        <v>47112</v>
      </c>
      <c r="K20174" t="s">
        <v>47113</v>
      </c>
      <c r="L20174">
        <v>73.47</v>
      </c>
      <c r="M20174">
        <v>148</v>
      </c>
      <c r="N20174">
        <v>0</v>
      </c>
      <c r="O20174">
        <v>148</v>
      </c>
      <c r="P20174">
        <v>0</v>
      </c>
    </row>
    <row r="20175" spans="1:16" x14ac:dyDescent="0.25">
      <c r="A20175" t="s">
        <v>42894</v>
      </c>
      <c r="B20175" t="s">
        <v>19193</v>
      </c>
      <c r="C20175" t="s">
        <v>19194</v>
      </c>
      <c r="D20175" t="s">
        <v>18575</v>
      </c>
      <c r="E20175" t="s">
        <v>18576</v>
      </c>
      <c r="F20175" t="s">
        <v>16623</v>
      </c>
      <c r="G20175" t="s">
        <v>47093</v>
      </c>
      <c r="H20175" t="s">
        <v>47054</v>
      </c>
      <c r="I20175" t="s">
        <v>47111</v>
      </c>
      <c r="J20175" t="s">
        <v>47112</v>
      </c>
      <c r="K20175" t="s">
        <v>47113</v>
      </c>
      <c r="L20175">
        <v>73.59</v>
      </c>
      <c r="M20175">
        <v>148</v>
      </c>
      <c r="N20175">
        <v>0</v>
      </c>
      <c r="O20175">
        <v>148</v>
      </c>
      <c r="P20175">
        <v>0</v>
      </c>
    </row>
    <row r="20176" spans="1:16" x14ac:dyDescent="0.25">
      <c r="A20176" t="s">
        <v>42895</v>
      </c>
      <c r="B20176" t="s">
        <v>21868</v>
      </c>
      <c r="C20176" t="s">
        <v>19194</v>
      </c>
      <c r="D20176" t="s">
        <v>18575</v>
      </c>
      <c r="E20176" t="s">
        <v>18576</v>
      </c>
      <c r="F20176" t="s">
        <v>16810</v>
      </c>
      <c r="G20176" t="s">
        <v>47093</v>
      </c>
      <c r="H20176" t="s">
        <v>47054</v>
      </c>
      <c r="I20176" t="s">
        <v>47111</v>
      </c>
      <c r="J20176" t="s">
        <v>47112</v>
      </c>
      <c r="K20176" t="s">
        <v>47113</v>
      </c>
      <c r="L20176">
        <v>74.53</v>
      </c>
      <c r="M20176">
        <v>148</v>
      </c>
      <c r="N20176">
        <v>0</v>
      </c>
      <c r="O20176">
        <v>148</v>
      </c>
      <c r="P20176">
        <v>0</v>
      </c>
    </row>
    <row r="20177" spans="1:16" x14ac:dyDescent="0.25">
      <c r="A20177" t="s">
        <v>42896</v>
      </c>
      <c r="B20177" t="s">
        <v>42897</v>
      </c>
      <c r="C20177" t="s">
        <v>19194</v>
      </c>
      <c r="D20177" t="str">
        <f>"1001"</f>
        <v>1001</v>
      </c>
      <c r="E20177" t="s">
        <v>42898</v>
      </c>
      <c r="F20177" t="s">
        <v>20496</v>
      </c>
      <c r="G20177" t="s">
        <v>47093</v>
      </c>
      <c r="H20177" t="s">
        <v>47054</v>
      </c>
      <c r="I20177" t="s">
        <v>47120</v>
      </c>
      <c r="J20177" t="s">
        <v>47121</v>
      </c>
      <c r="K20177" t="s">
        <v>47113</v>
      </c>
      <c r="L20177">
        <v>49.56</v>
      </c>
      <c r="M20177">
        <v>111</v>
      </c>
      <c r="N20177">
        <v>0</v>
      </c>
      <c r="O20177">
        <v>111</v>
      </c>
      <c r="P20177">
        <v>0</v>
      </c>
    </row>
    <row r="20178" spans="1:16" x14ac:dyDescent="0.25">
      <c r="A20178" t="s">
        <v>42899</v>
      </c>
      <c r="B20178" t="s">
        <v>19195</v>
      </c>
      <c r="C20178" t="s">
        <v>19196</v>
      </c>
      <c r="D20178" t="s">
        <v>18575</v>
      </c>
      <c r="E20178" t="s">
        <v>18576</v>
      </c>
      <c r="F20178" t="s">
        <v>16810</v>
      </c>
      <c r="G20178" t="s">
        <v>49030</v>
      </c>
      <c r="H20178" t="s">
        <v>47054</v>
      </c>
      <c r="I20178" t="s">
        <v>47111</v>
      </c>
      <c r="J20178" t="s">
        <v>47112</v>
      </c>
      <c r="K20178" t="s">
        <v>47113</v>
      </c>
      <c r="L20178">
        <v>53.22</v>
      </c>
      <c r="M20178">
        <v>107</v>
      </c>
      <c r="N20178">
        <v>0</v>
      </c>
      <c r="O20178">
        <v>107</v>
      </c>
      <c r="P20178">
        <v>0</v>
      </c>
    </row>
    <row r="20179" spans="1:16" x14ac:dyDescent="0.25">
      <c r="A20179" t="s">
        <v>42900</v>
      </c>
      <c r="B20179" t="s">
        <v>19197</v>
      </c>
      <c r="C20179" t="s">
        <v>10614</v>
      </c>
      <c r="D20179" t="s">
        <v>18575</v>
      </c>
      <c r="E20179" t="s">
        <v>18576</v>
      </c>
      <c r="F20179" t="s">
        <v>16810</v>
      </c>
      <c r="G20179" t="s">
        <v>47093</v>
      </c>
      <c r="H20179" t="s">
        <v>47054</v>
      </c>
      <c r="I20179" t="s">
        <v>47111</v>
      </c>
      <c r="J20179" t="s">
        <v>47112</v>
      </c>
      <c r="K20179" t="s">
        <v>47113</v>
      </c>
      <c r="L20179">
        <v>60.58</v>
      </c>
      <c r="M20179">
        <v>122</v>
      </c>
      <c r="N20179">
        <v>0</v>
      </c>
      <c r="O20179">
        <v>122</v>
      </c>
      <c r="P20179">
        <v>0</v>
      </c>
    </row>
    <row r="20180" spans="1:16" x14ac:dyDescent="0.25">
      <c r="A20180" t="s">
        <v>42901</v>
      </c>
      <c r="B20180" t="s">
        <v>19198</v>
      </c>
      <c r="C20180" t="s">
        <v>19131</v>
      </c>
      <c r="D20180" t="str">
        <f>"1700"</f>
        <v>1700</v>
      </c>
      <c r="E20180" t="s">
        <v>19199</v>
      </c>
      <c r="F20180" t="s">
        <v>16746</v>
      </c>
      <c r="G20180" t="s">
        <v>47093</v>
      </c>
      <c r="H20180" t="s">
        <v>47054</v>
      </c>
      <c r="I20180" t="s">
        <v>47111</v>
      </c>
      <c r="J20180" t="s">
        <v>47112</v>
      </c>
      <c r="K20180" t="s">
        <v>47113</v>
      </c>
      <c r="L20180">
        <v>60.65</v>
      </c>
      <c r="M20180">
        <v>122</v>
      </c>
      <c r="N20180">
        <v>0</v>
      </c>
      <c r="O20180">
        <v>122</v>
      </c>
      <c r="P20180">
        <v>0</v>
      </c>
    </row>
    <row r="20181" spans="1:16" x14ac:dyDescent="0.25">
      <c r="A20181" t="s">
        <v>42902</v>
      </c>
      <c r="B20181" t="s">
        <v>19200</v>
      </c>
      <c r="C20181" t="s">
        <v>19201</v>
      </c>
      <c r="D20181" t="s">
        <v>19202</v>
      </c>
      <c r="E20181" t="s">
        <v>19203</v>
      </c>
      <c r="F20181" t="s">
        <v>15183</v>
      </c>
      <c r="G20181" t="s">
        <v>47099</v>
      </c>
      <c r="H20181" t="s">
        <v>47054</v>
      </c>
      <c r="I20181" t="s">
        <v>47111</v>
      </c>
      <c r="J20181" t="s">
        <v>47112</v>
      </c>
      <c r="K20181" t="s">
        <v>47113</v>
      </c>
      <c r="L20181">
        <v>55.03</v>
      </c>
      <c r="M20181">
        <v>74</v>
      </c>
      <c r="N20181">
        <v>0</v>
      </c>
      <c r="O20181">
        <v>74</v>
      </c>
      <c r="P20181">
        <v>0</v>
      </c>
    </row>
    <row r="20182" spans="1:16" x14ac:dyDescent="0.25">
      <c r="A20182" t="s">
        <v>42903</v>
      </c>
      <c r="B20182" t="s">
        <v>42904</v>
      </c>
      <c r="C20182" t="s">
        <v>42905</v>
      </c>
      <c r="D20182" t="s">
        <v>42626</v>
      </c>
      <c r="E20182" t="s">
        <v>42627</v>
      </c>
      <c r="F20182" t="s">
        <v>24622</v>
      </c>
      <c r="G20182" t="s">
        <v>47093</v>
      </c>
      <c r="H20182" t="s">
        <v>47054</v>
      </c>
      <c r="I20182" t="s">
        <v>47116</v>
      </c>
      <c r="J20182" t="s">
        <v>47117</v>
      </c>
      <c r="K20182" t="s">
        <v>47113</v>
      </c>
      <c r="L20182">
        <v>39.29</v>
      </c>
      <c r="M20182">
        <v>103</v>
      </c>
      <c r="N20182">
        <v>279</v>
      </c>
      <c r="O20182">
        <v>103</v>
      </c>
      <c r="P20182">
        <v>279</v>
      </c>
    </row>
    <row r="20183" spans="1:16" x14ac:dyDescent="0.25">
      <c r="A20183" t="s">
        <v>42906</v>
      </c>
      <c r="B20183" t="s">
        <v>21869</v>
      </c>
      <c r="C20183" t="s">
        <v>21870</v>
      </c>
      <c r="D20183" t="s">
        <v>21871</v>
      </c>
      <c r="E20183" t="s">
        <v>21872</v>
      </c>
      <c r="F20183" t="s">
        <v>16839</v>
      </c>
      <c r="G20183" t="s">
        <v>47093</v>
      </c>
      <c r="H20183" t="s">
        <v>47054</v>
      </c>
      <c r="I20183" t="s">
        <v>47111</v>
      </c>
      <c r="J20183" t="s">
        <v>47112</v>
      </c>
      <c r="K20183" t="s">
        <v>47113</v>
      </c>
      <c r="L20183">
        <v>53.14</v>
      </c>
      <c r="M20183">
        <v>111</v>
      </c>
      <c r="N20183">
        <v>0</v>
      </c>
      <c r="O20183">
        <v>111</v>
      </c>
      <c r="P20183">
        <v>0</v>
      </c>
    </row>
    <row r="20184" spans="1:16" x14ac:dyDescent="0.25">
      <c r="A20184" t="s">
        <v>49410</v>
      </c>
      <c r="B20184" t="s">
        <v>49411</v>
      </c>
      <c r="C20184" t="s">
        <v>21870</v>
      </c>
      <c r="D20184" t="s">
        <v>21871</v>
      </c>
      <c r="E20184" t="s">
        <v>21872</v>
      </c>
      <c r="F20184" t="s">
        <v>16839</v>
      </c>
      <c r="G20184" t="s">
        <v>47093</v>
      </c>
      <c r="H20184" t="s">
        <v>47054</v>
      </c>
      <c r="I20184" t="s">
        <v>47544</v>
      </c>
      <c r="J20184" t="s">
        <v>47545</v>
      </c>
      <c r="K20184" t="s">
        <v>47113</v>
      </c>
      <c r="L20184">
        <v>25.84</v>
      </c>
      <c r="M20184">
        <v>81</v>
      </c>
      <c r="N20184">
        <v>219</v>
      </c>
      <c r="O20184">
        <v>81</v>
      </c>
      <c r="P20184">
        <v>219</v>
      </c>
    </row>
    <row r="20185" spans="1:16" x14ac:dyDescent="0.25">
      <c r="A20185" t="s">
        <v>42907</v>
      </c>
      <c r="B20185" t="s">
        <v>21873</v>
      </c>
      <c r="C20185" t="s">
        <v>21870</v>
      </c>
      <c r="D20185" t="s">
        <v>21874</v>
      </c>
      <c r="E20185" t="s">
        <v>21875</v>
      </c>
      <c r="F20185" t="s">
        <v>16839</v>
      </c>
      <c r="G20185" t="s">
        <v>47093</v>
      </c>
      <c r="H20185" t="s">
        <v>47054</v>
      </c>
      <c r="I20185" t="s">
        <v>47120</v>
      </c>
      <c r="J20185" t="s">
        <v>47121</v>
      </c>
      <c r="K20185" t="s">
        <v>47113</v>
      </c>
      <c r="L20185">
        <v>26.41</v>
      </c>
      <c r="M20185">
        <v>92</v>
      </c>
      <c r="N20185">
        <v>0</v>
      </c>
      <c r="O20185">
        <v>92</v>
      </c>
      <c r="P20185">
        <v>0</v>
      </c>
    </row>
    <row r="20186" spans="1:16" x14ac:dyDescent="0.25">
      <c r="A20186" t="s">
        <v>42908</v>
      </c>
      <c r="B20186" t="s">
        <v>21876</v>
      </c>
      <c r="C20186" t="s">
        <v>21877</v>
      </c>
      <c r="D20186" t="s">
        <v>21656</v>
      </c>
      <c r="E20186" t="s">
        <v>21657</v>
      </c>
      <c r="F20186" t="s">
        <v>17351</v>
      </c>
      <c r="G20186" t="s">
        <v>49029</v>
      </c>
      <c r="H20186" t="s">
        <v>47054</v>
      </c>
      <c r="I20186" t="s">
        <v>47111</v>
      </c>
      <c r="J20186" t="s">
        <v>47112</v>
      </c>
      <c r="K20186" t="s">
        <v>47113</v>
      </c>
      <c r="L20186">
        <v>56.03</v>
      </c>
      <c r="M20186">
        <v>129</v>
      </c>
      <c r="N20186">
        <v>0</v>
      </c>
      <c r="O20186">
        <v>129</v>
      </c>
      <c r="P20186">
        <v>0</v>
      </c>
    </row>
    <row r="20187" spans="1:16" x14ac:dyDescent="0.25">
      <c r="A20187" t="s">
        <v>42909</v>
      </c>
      <c r="B20187" t="s">
        <v>21878</v>
      </c>
      <c r="C20187" t="s">
        <v>21877</v>
      </c>
      <c r="D20187" t="s">
        <v>18553</v>
      </c>
      <c r="E20187" t="s">
        <v>18554</v>
      </c>
      <c r="F20187" t="s">
        <v>17351</v>
      </c>
      <c r="G20187" t="s">
        <v>49029</v>
      </c>
      <c r="H20187" t="s">
        <v>47054</v>
      </c>
      <c r="I20187" t="s">
        <v>47116</v>
      </c>
      <c r="J20187" t="s">
        <v>47117</v>
      </c>
      <c r="K20187" t="s">
        <v>47113</v>
      </c>
      <c r="L20187">
        <v>27.06</v>
      </c>
      <c r="M20187">
        <v>55</v>
      </c>
      <c r="N20187">
        <v>0</v>
      </c>
      <c r="O20187">
        <v>55</v>
      </c>
      <c r="P20187">
        <v>0</v>
      </c>
    </row>
    <row r="20188" spans="1:16" x14ac:dyDescent="0.25">
      <c r="A20188" t="s">
        <v>42910</v>
      </c>
      <c r="B20188" t="s">
        <v>21879</v>
      </c>
      <c r="C20188" t="s">
        <v>21877</v>
      </c>
      <c r="D20188" t="s">
        <v>21633</v>
      </c>
      <c r="E20188" t="s">
        <v>21634</v>
      </c>
      <c r="F20188" t="s">
        <v>17351</v>
      </c>
      <c r="G20188" t="s">
        <v>49029</v>
      </c>
      <c r="H20188" t="s">
        <v>47054</v>
      </c>
      <c r="I20188" t="s">
        <v>47111</v>
      </c>
      <c r="J20188" t="s">
        <v>47112</v>
      </c>
      <c r="K20188" t="s">
        <v>47113</v>
      </c>
      <c r="L20188">
        <v>37.85</v>
      </c>
      <c r="M20188">
        <v>74</v>
      </c>
      <c r="N20188">
        <v>0</v>
      </c>
      <c r="O20188">
        <v>74</v>
      </c>
      <c r="P20188">
        <v>0</v>
      </c>
    </row>
    <row r="20189" spans="1:16" x14ac:dyDescent="0.25">
      <c r="A20189" t="s">
        <v>706</v>
      </c>
      <c r="B20189" t="s">
        <v>707</v>
      </c>
      <c r="C20189" t="s">
        <v>708</v>
      </c>
      <c r="D20189" t="str">
        <f>"1501"</f>
        <v>1501</v>
      </c>
      <c r="E20189" t="s">
        <v>46</v>
      </c>
      <c r="F20189" t="s">
        <v>4</v>
      </c>
      <c r="G20189" t="s">
        <v>47098</v>
      </c>
      <c r="H20189" t="s">
        <v>47054</v>
      </c>
      <c r="I20189" t="s">
        <v>47120</v>
      </c>
      <c r="J20189" t="s">
        <v>47121</v>
      </c>
      <c r="K20189" t="s">
        <v>47113</v>
      </c>
      <c r="L20189">
        <v>112.63</v>
      </c>
      <c r="M20189">
        <v>275</v>
      </c>
      <c r="N20189">
        <v>0</v>
      </c>
      <c r="O20189">
        <v>275</v>
      </c>
      <c r="P20189">
        <v>0</v>
      </c>
    </row>
    <row r="20190" spans="1:16" x14ac:dyDescent="0.25">
      <c r="A20190" t="s">
        <v>709</v>
      </c>
      <c r="B20190" t="s">
        <v>707</v>
      </c>
      <c r="C20190" t="s">
        <v>708</v>
      </c>
      <c r="D20190" t="str">
        <f>"4048"</f>
        <v>4048</v>
      </c>
      <c r="E20190" t="s">
        <v>710</v>
      </c>
      <c r="F20190" t="s">
        <v>4</v>
      </c>
      <c r="G20190" t="s">
        <v>47098</v>
      </c>
      <c r="H20190" t="s">
        <v>47054</v>
      </c>
      <c r="I20190" t="s">
        <v>47120</v>
      </c>
      <c r="J20190" t="s">
        <v>47121</v>
      </c>
      <c r="K20190" t="s">
        <v>47113</v>
      </c>
      <c r="L20190">
        <v>112.63</v>
      </c>
      <c r="M20190">
        <v>275</v>
      </c>
      <c r="N20190">
        <v>0</v>
      </c>
      <c r="O20190">
        <v>275</v>
      </c>
      <c r="P20190">
        <v>0</v>
      </c>
    </row>
    <row r="20191" spans="1:16" x14ac:dyDescent="0.25">
      <c r="A20191" t="s">
        <v>42911</v>
      </c>
      <c r="B20191" t="s">
        <v>12312</v>
      </c>
      <c r="C20191" t="s">
        <v>708</v>
      </c>
      <c r="D20191" t="str">
        <f>"1001"</f>
        <v>1001</v>
      </c>
      <c r="E20191" t="s">
        <v>42</v>
      </c>
      <c r="F20191" t="s">
        <v>7</v>
      </c>
      <c r="G20191" t="s">
        <v>47098</v>
      </c>
      <c r="H20191" t="s">
        <v>47054</v>
      </c>
      <c r="I20191" t="s">
        <v>47120</v>
      </c>
      <c r="J20191" t="s">
        <v>47121</v>
      </c>
      <c r="K20191" t="s">
        <v>47113</v>
      </c>
      <c r="L20191">
        <v>136.9</v>
      </c>
      <c r="M20191">
        <v>288</v>
      </c>
      <c r="N20191">
        <v>0</v>
      </c>
      <c r="O20191">
        <v>288</v>
      </c>
      <c r="P20191">
        <v>0</v>
      </c>
    </row>
    <row r="20192" spans="1:16" x14ac:dyDescent="0.25">
      <c r="A20192" t="s">
        <v>42912</v>
      </c>
      <c r="B20192" t="s">
        <v>12312</v>
      </c>
      <c r="C20192" t="s">
        <v>708</v>
      </c>
      <c r="D20192" t="str">
        <f>"4067"</f>
        <v>4067</v>
      </c>
      <c r="E20192" t="s">
        <v>1865</v>
      </c>
      <c r="F20192" t="s">
        <v>5</v>
      </c>
      <c r="G20192" t="s">
        <v>47098</v>
      </c>
      <c r="H20192" t="s">
        <v>47054</v>
      </c>
      <c r="I20192" t="s">
        <v>47120</v>
      </c>
      <c r="J20192" t="s">
        <v>47121</v>
      </c>
      <c r="K20192" t="s">
        <v>47113</v>
      </c>
      <c r="L20192">
        <v>136.65</v>
      </c>
      <c r="M20192">
        <v>288</v>
      </c>
      <c r="N20192">
        <v>0</v>
      </c>
      <c r="O20192">
        <v>288</v>
      </c>
      <c r="P20192">
        <v>0</v>
      </c>
    </row>
    <row r="20193" spans="1:16" x14ac:dyDescent="0.25">
      <c r="A20193" t="s">
        <v>42913</v>
      </c>
      <c r="B20193" t="s">
        <v>12312</v>
      </c>
      <c r="C20193" t="s">
        <v>708</v>
      </c>
      <c r="D20193" t="str">
        <f>"5060"</f>
        <v>5060</v>
      </c>
      <c r="E20193" t="s">
        <v>12313</v>
      </c>
      <c r="F20193" t="s">
        <v>5</v>
      </c>
      <c r="G20193" t="s">
        <v>47098</v>
      </c>
      <c r="H20193" t="s">
        <v>47054</v>
      </c>
      <c r="I20193" t="s">
        <v>47120</v>
      </c>
      <c r="J20193" t="s">
        <v>47121</v>
      </c>
      <c r="K20193" t="s">
        <v>47113</v>
      </c>
      <c r="L20193">
        <v>136.77000000000001</v>
      </c>
      <c r="M20193">
        <v>288</v>
      </c>
      <c r="N20193">
        <v>0</v>
      </c>
      <c r="O20193">
        <v>288</v>
      </c>
      <c r="P20193">
        <v>0</v>
      </c>
    </row>
    <row r="20194" spans="1:16" x14ac:dyDescent="0.25">
      <c r="A20194" t="s">
        <v>42914</v>
      </c>
      <c r="B20194" t="s">
        <v>12312</v>
      </c>
      <c r="C20194" t="s">
        <v>708</v>
      </c>
      <c r="D20194" t="str">
        <f>"6005"</f>
        <v>6005</v>
      </c>
      <c r="E20194" t="s">
        <v>1749</v>
      </c>
      <c r="F20194" t="s">
        <v>5</v>
      </c>
      <c r="G20194" t="s">
        <v>47098</v>
      </c>
      <c r="H20194" t="s">
        <v>47054</v>
      </c>
      <c r="I20194" t="s">
        <v>47120</v>
      </c>
      <c r="J20194" t="s">
        <v>47121</v>
      </c>
      <c r="K20194" t="s">
        <v>47113</v>
      </c>
      <c r="L20194">
        <v>136.65</v>
      </c>
      <c r="M20194">
        <v>288</v>
      </c>
      <c r="N20194">
        <v>0</v>
      </c>
      <c r="O20194">
        <v>288</v>
      </c>
      <c r="P20194">
        <v>0</v>
      </c>
    </row>
    <row r="20195" spans="1:16" x14ac:dyDescent="0.25">
      <c r="A20195" t="s">
        <v>42915</v>
      </c>
      <c r="B20195" t="s">
        <v>12312</v>
      </c>
      <c r="C20195" t="s">
        <v>708</v>
      </c>
      <c r="D20195" t="str">
        <f>"6047"</f>
        <v>6047</v>
      </c>
      <c r="E20195" t="s">
        <v>9105</v>
      </c>
      <c r="F20195" t="s">
        <v>7</v>
      </c>
      <c r="G20195" t="s">
        <v>47098</v>
      </c>
      <c r="H20195" t="s">
        <v>47054</v>
      </c>
      <c r="I20195" t="s">
        <v>47120</v>
      </c>
      <c r="J20195" t="s">
        <v>47121</v>
      </c>
      <c r="K20195" t="s">
        <v>47113</v>
      </c>
      <c r="L20195">
        <v>143.30000000000001</v>
      </c>
      <c r="M20195">
        <v>325</v>
      </c>
      <c r="N20195">
        <v>0</v>
      </c>
      <c r="O20195">
        <v>325</v>
      </c>
      <c r="P20195">
        <v>0</v>
      </c>
    </row>
    <row r="20196" spans="1:16" x14ac:dyDescent="0.25">
      <c r="A20196" t="s">
        <v>49412</v>
      </c>
      <c r="B20196" t="s">
        <v>49413</v>
      </c>
      <c r="C20196" t="s">
        <v>49414</v>
      </c>
      <c r="D20196" t="str">
        <f>"1001"</f>
        <v>1001</v>
      </c>
      <c r="E20196" t="s">
        <v>42</v>
      </c>
      <c r="F20196" t="s">
        <v>47185</v>
      </c>
      <c r="G20196" t="s">
        <v>47091</v>
      </c>
      <c r="H20196" t="s">
        <v>47054</v>
      </c>
      <c r="I20196" t="s">
        <v>47118</v>
      </c>
      <c r="J20196" t="s">
        <v>47119</v>
      </c>
      <c r="K20196" t="s">
        <v>47113</v>
      </c>
      <c r="L20196">
        <v>15.5</v>
      </c>
      <c r="M20196">
        <v>33</v>
      </c>
      <c r="N20196">
        <v>89</v>
      </c>
      <c r="O20196">
        <v>33</v>
      </c>
      <c r="P20196">
        <v>89</v>
      </c>
    </row>
    <row r="20197" spans="1:16" x14ac:dyDescent="0.25">
      <c r="A20197" t="s">
        <v>49415</v>
      </c>
      <c r="B20197" t="s">
        <v>49413</v>
      </c>
      <c r="C20197" t="s">
        <v>49414</v>
      </c>
      <c r="D20197" t="str">
        <f>"1700"</f>
        <v>1700</v>
      </c>
      <c r="E20197" t="s">
        <v>60</v>
      </c>
      <c r="F20197" t="s">
        <v>47185</v>
      </c>
      <c r="G20197" t="s">
        <v>47091</v>
      </c>
      <c r="H20197" t="s">
        <v>47054</v>
      </c>
      <c r="I20197" t="s">
        <v>47118</v>
      </c>
      <c r="J20197" t="s">
        <v>47119</v>
      </c>
      <c r="K20197" t="s">
        <v>47113</v>
      </c>
      <c r="L20197">
        <v>15.5</v>
      </c>
      <c r="M20197">
        <v>33</v>
      </c>
      <c r="N20197">
        <v>89</v>
      </c>
      <c r="O20197">
        <v>33</v>
      </c>
      <c r="P20197">
        <v>89</v>
      </c>
    </row>
    <row r="20198" spans="1:16" x14ac:dyDescent="0.25">
      <c r="A20198" t="s">
        <v>49416</v>
      </c>
      <c r="B20198" t="s">
        <v>49413</v>
      </c>
      <c r="C20198" t="s">
        <v>49414</v>
      </c>
      <c r="D20198" t="str">
        <f>"8365"</f>
        <v>8365</v>
      </c>
      <c r="E20198" t="s">
        <v>8245</v>
      </c>
      <c r="F20198" t="s">
        <v>47185</v>
      </c>
      <c r="G20198" t="s">
        <v>47091</v>
      </c>
      <c r="H20198" t="s">
        <v>47054</v>
      </c>
      <c r="I20198" t="s">
        <v>47118</v>
      </c>
      <c r="J20198" t="s">
        <v>47119</v>
      </c>
      <c r="K20198" t="s">
        <v>47113</v>
      </c>
      <c r="L20198">
        <v>15.5</v>
      </c>
      <c r="M20198">
        <v>33</v>
      </c>
      <c r="N20198">
        <v>89</v>
      </c>
      <c r="O20198">
        <v>33</v>
      </c>
      <c r="P20198">
        <v>89</v>
      </c>
    </row>
    <row r="20199" spans="1:16" x14ac:dyDescent="0.25">
      <c r="A20199" t="s">
        <v>42916</v>
      </c>
      <c r="B20199" t="s">
        <v>21880</v>
      </c>
      <c r="C20199" t="s">
        <v>21881</v>
      </c>
      <c r="D20199" t="str">
        <f>"1001"</f>
        <v>1001</v>
      </c>
      <c r="E20199" t="s">
        <v>42</v>
      </c>
      <c r="F20199" t="s">
        <v>16839</v>
      </c>
      <c r="G20199" t="s">
        <v>47091</v>
      </c>
      <c r="H20199" t="s">
        <v>47054</v>
      </c>
      <c r="I20199" t="s">
        <v>47569</v>
      </c>
      <c r="J20199" t="s">
        <v>47570</v>
      </c>
      <c r="K20199" t="s">
        <v>47113</v>
      </c>
      <c r="L20199">
        <v>10.6</v>
      </c>
      <c r="M20199">
        <v>22</v>
      </c>
      <c r="N20199">
        <v>0</v>
      </c>
      <c r="O20199">
        <v>22</v>
      </c>
      <c r="P20199">
        <v>0</v>
      </c>
    </row>
    <row r="20200" spans="1:16" x14ac:dyDescent="0.25">
      <c r="A20200" t="s">
        <v>42917</v>
      </c>
      <c r="B20200" t="s">
        <v>21880</v>
      </c>
      <c r="C20200" t="s">
        <v>21881</v>
      </c>
      <c r="D20200" t="str">
        <f>"1700"</f>
        <v>1700</v>
      </c>
      <c r="E20200" t="s">
        <v>60</v>
      </c>
      <c r="F20200" t="s">
        <v>16839</v>
      </c>
      <c r="G20200" t="s">
        <v>47091</v>
      </c>
      <c r="H20200" t="s">
        <v>47054</v>
      </c>
      <c r="I20200" t="s">
        <v>47569</v>
      </c>
      <c r="J20200" t="s">
        <v>47570</v>
      </c>
      <c r="K20200" t="s">
        <v>47113</v>
      </c>
      <c r="L20200">
        <v>10.6</v>
      </c>
      <c r="M20200">
        <v>22</v>
      </c>
      <c r="N20200">
        <v>0</v>
      </c>
      <c r="O20200">
        <v>22</v>
      </c>
      <c r="P20200">
        <v>0</v>
      </c>
    </row>
    <row r="20201" spans="1:16" x14ac:dyDescent="0.25">
      <c r="A20201" t="s">
        <v>42918</v>
      </c>
      <c r="B20201" t="s">
        <v>42919</v>
      </c>
      <c r="C20201" t="s">
        <v>42920</v>
      </c>
      <c r="D20201" t="str">
        <f>"1001"</f>
        <v>1001</v>
      </c>
      <c r="E20201" t="s">
        <v>42</v>
      </c>
      <c r="F20201" t="s">
        <v>21629</v>
      </c>
      <c r="G20201" t="s">
        <v>47091</v>
      </c>
      <c r="H20201" t="s">
        <v>47054</v>
      </c>
      <c r="I20201" t="s">
        <v>47118</v>
      </c>
      <c r="J20201" t="s">
        <v>47119</v>
      </c>
      <c r="K20201" t="s">
        <v>47113</v>
      </c>
      <c r="L20201">
        <v>16.399999999999999</v>
      </c>
      <c r="M20201">
        <v>40</v>
      </c>
      <c r="N20201">
        <v>0</v>
      </c>
      <c r="O20201">
        <v>40</v>
      </c>
      <c r="P20201">
        <v>0</v>
      </c>
    </row>
    <row r="20202" spans="1:16" x14ac:dyDescent="0.25">
      <c r="A20202" t="s">
        <v>42921</v>
      </c>
      <c r="B20202" t="s">
        <v>42922</v>
      </c>
      <c r="C20202" t="s">
        <v>42923</v>
      </c>
      <c r="D20202" t="str">
        <f>"1700"</f>
        <v>1700</v>
      </c>
      <c r="E20202" t="s">
        <v>60</v>
      </c>
      <c r="F20202" t="s">
        <v>21629</v>
      </c>
      <c r="G20202" t="s">
        <v>47091</v>
      </c>
      <c r="H20202" t="s">
        <v>47054</v>
      </c>
      <c r="I20202" t="s">
        <v>47569</v>
      </c>
      <c r="J20202" t="s">
        <v>47570</v>
      </c>
      <c r="K20202" t="s">
        <v>47113</v>
      </c>
      <c r="L20202">
        <v>10.27</v>
      </c>
      <c r="M20202">
        <v>26</v>
      </c>
      <c r="N20202">
        <v>0</v>
      </c>
      <c r="O20202">
        <v>26</v>
      </c>
      <c r="P20202">
        <v>0</v>
      </c>
    </row>
    <row r="20203" spans="1:16" x14ac:dyDescent="0.25">
      <c r="A20203" t="s">
        <v>42924</v>
      </c>
      <c r="B20203" t="s">
        <v>21882</v>
      </c>
      <c r="C20203" t="s">
        <v>21883</v>
      </c>
      <c r="D20203" t="str">
        <f>"1001"</f>
        <v>1001</v>
      </c>
      <c r="E20203" t="s">
        <v>42</v>
      </c>
      <c r="F20203" t="s">
        <v>19552</v>
      </c>
      <c r="G20203" t="s">
        <v>47091</v>
      </c>
      <c r="H20203" t="s">
        <v>47054</v>
      </c>
      <c r="I20203" t="s">
        <v>47111</v>
      </c>
      <c r="J20203" t="s">
        <v>47112</v>
      </c>
      <c r="K20203" t="s">
        <v>47113</v>
      </c>
      <c r="L20203">
        <v>12.99</v>
      </c>
      <c r="M20203">
        <v>29</v>
      </c>
      <c r="N20203">
        <v>0</v>
      </c>
      <c r="O20203">
        <v>29</v>
      </c>
      <c r="P20203">
        <v>0</v>
      </c>
    </row>
    <row r="20204" spans="1:16" x14ac:dyDescent="0.25">
      <c r="A20204" t="s">
        <v>42925</v>
      </c>
      <c r="B20204" t="s">
        <v>21882</v>
      </c>
      <c r="C20204" t="s">
        <v>21883</v>
      </c>
      <c r="D20204" t="str">
        <f>"1700"</f>
        <v>1700</v>
      </c>
      <c r="E20204" t="s">
        <v>60</v>
      </c>
      <c r="F20204" t="s">
        <v>19552</v>
      </c>
      <c r="G20204" t="s">
        <v>47091</v>
      </c>
      <c r="H20204" t="s">
        <v>47054</v>
      </c>
      <c r="I20204" t="s">
        <v>47111</v>
      </c>
      <c r="J20204" t="s">
        <v>47112</v>
      </c>
      <c r="K20204" t="s">
        <v>47113</v>
      </c>
      <c r="L20204">
        <v>12.99</v>
      </c>
      <c r="M20204">
        <v>29</v>
      </c>
      <c r="N20204">
        <v>0</v>
      </c>
      <c r="O20204">
        <v>29</v>
      </c>
      <c r="P20204">
        <v>0</v>
      </c>
    </row>
    <row r="20205" spans="1:16" x14ac:dyDescent="0.25">
      <c r="A20205" t="s">
        <v>22919</v>
      </c>
      <c r="B20205" t="s">
        <v>21884</v>
      </c>
      <c r="C20205" t="s">
        <v>21885</v>
      </c>
      <c r="D20205" t="str">
        <f>"1001"</f>
        <v>1001</v>
      </c>
      <c r="E20205" t="s">
        <v>42</v>
      </c>
      <c r="F20205" t="s">
        <v>19559</v>
      </c>
      <c r="G20205" t="s">
        <v>47091</v>
      </c>
      <c r="H20205" t="s">
        <v>47054</v>
      </c>
      <c r="I20205" t="s">
        <v>47111</v>
      </c>
      <c r="J20205" t="s">
        <v>47112</v>
      </c>
      <c r="K20205" t="s">
        <v>47113</v>
      </c>
      <c r="L20205">
        <v>13.36</v>
      </c>
      <c r="M20205">
        <v>29</v>
      </c>
      <c r="N20205">
        <v>0</v>
      </c>
      <c r="O20205">
        <v>29</v>
      </c>
      <c r="P20205">
        <v>0</v>
      </c>
    </row>
    <row r="20206" spans="1:16" x14ac:dyDescent="0.25">
      <c r="A20206" t="s">
        <v>22920</v>
      </c>
      <c r="B20206" t="s">
        <v>21884</v>
      </c>
      <c r="C20206" t="s">
        <v>21885</v>
      </c>
      <c r="D20206" t="str">
        <f>"1700"</f>
        <v>1700</v>
      </c>
      <c r="E20206" t="s">
        <v>60</v>
      </c>
      <c r="F20206" t="s">
        <v>19559</v>
      </c>
      <c r="G20206" t="s">
        <v>47091</v>
      </c>
      <c r="H20206" t="s">
        <v>47054</v>
      </c>
      <c r="I20206" t="s">
        <v>47111</v>
      </c>
      <c r="J20206" t="s">
        <v>47112</v>
      </c>
      <c r="K20206" t="s">
        <v>47113</v>
      </c>
      <c r="L20206">
        <v>13.36</v>
      </c>
      <c r="M20206">
        <v>29</v>
      </c>
      <c r="N20206">
        <v>0</v>
      </c>
      <c r="O20206">
        <v>29</v>
      </c>
      <c r="P20206">
        <v>0</v>
      </c>
    </row>
    <row r="20207" spans="1:16" x14ac:dyDescent="0.25">
      <c r="A20207" t="s">
        <v>42926</v>
      </c>
      <c r="B20207" t="s">
        <v>42927</v>
      </c>
      <c r="C20207" t="s">
        <v>42928</v>
      </c>
      <c r="D20207" t="str">
        <f>"1001"</f>
        <v>1001</v>
      </c>
      <c r="E20207" t="s">
        <v>42</v>
      </c>
      <c r="F20207" t="s">
        <v>24627</v>
      </c>
      <c r="G20207" t="s">
        <v>47091</v>
      </c>
      <c r="H20207" t="s">
        <v>47054</v>
      </c>
      <c r="I20207" t="s">
        <v>47120</v>
      </c>
      <c r="J20207" t="s">
        <v>47121</v>
      </c>
      <c r="K20207" t="s">
        <v>47113</v>
      </c>
      <c r="L20207">
        <v>12.63</v>
      </c>
      <c r="M20207">
        <v>26</v>
      </c>
      <c r="N20207">
        <v>69</v>
      </c>
      <c r="O20207">
        <v>26</v>
      </c>
      <c r="P20207">
        <v>69</v>
      </c>
    </row>
    <row r="20208" spans="1:16" x14ac:dyDescent="0.25">
      <c r="A20208" t="s">
        <v>42929</v>
      </c>
      <c r="B20208" t="s">
        <v>42930</v>
      </c>
      <c r="C20208" t="s">
        <v>42931</v>
      </c>
      <c r="D20208" t="str">
        <f>"1001"</f>
        <v>1001</v>
      </c>
      <c r="E20208" t="s">
        <v>54</v>
      </c>
      <c r="F20208" t="s">
        <v>20496</v>
      </c>
      <c r="G20208" t="s">
        <v>47091</v>
      </c>
      <c r="H20208" t="s">
        <v>47054</v>
      </c>
      <c r="I20208" t="s">
        <v>47118</v>
      </c>
      <c r="J20208" t="s">
        <v>47119</v>
      </c>
      <c r="K20208" t="s">
        <v>47113</v>
      </c>
      <c r="L20208">
        <v>16.170000000000002</v>
      </c>
      <c r="M20208">
        <v>26</v>
      </c>
      <c r="N20208">
        <v>0</v>
      </c>
      <c r="O20208">
        <v>26</v>
      </c>
      <c r="P20208">
        <v>0</v>
      </c>
    </row>
    <row r="20209" spans="1:16" x14ac:dyDescent="0.25">
      <c r="A20209" t="s">
        <v>42932</v>
      </c>
      <c r="B20209" t="s">
        <v>42930</v>
      </c>
      <c r="C20209" t="s">
        <v>42931</v>
      </c>
      <c r="D20209" t="str">
        <f>"6387"</f>
        <v>6387</v>
      </c>
      <c r="E20209" t="s">
        <v>6010</v>
      </c>
      <c r="F20209" t="s">
        <v>20496</v>
      </c>
      <c r="G20209" t="s">
        <v>47091</v>
      </c>
      <c r="H20209" t="s">
        <v>47054</v>
      </c>
      <c r="I20209" t="s">
        <v>47118</v>
      </c>
      <c r="J20209" t="s">
        <v>47119</v>
      </c>
      <c r="K20209" t="s">
        <v>47113</v>
      </c>
      <c r="L20209">
        <v>16.170000000000002</v>
      </c>
      <c r="M20209">
        <v>26</v>
      </c>
      <c r="N20209">
        <v>0</v>
      </c>
      <c r="O20209">
        <v>26</v>
      </c>
      <c r="P20209">
        <v>0</v>
      </c>
    </row>
    <row r="20210" spans="1:16" x14ac:dyDescent="0.25">
      <c r="A20210" t="s">
        <v>42933</v>
      </c>
      <c r="B20210" t="s">
        <v>42934</v>
      </c>
      <c r="C20210" t="s">
        <v>42935</v>
      </c>
      <c r="D20210" t="str">
        <f>"1001"</f>
        <v>1001</v>
      </c>
      <c r="E20210" t="s">
        <v>42</v>
      </c>
      <c r="F20210" t="s">
        <v>24627</v>
      </c>
      <c r="G20210" t="s">
        <v>47091</v>
      </c>
      <c r="H20210" t="s">
        <v>47054</v>
      </c>
      <c r="I20210" t="s">
        <v>47118</v>
      </c>
      <c r="J20210" t="s">
        <v>47119</v>
      </c>
      <c r="K20210" t="s">
        <v>47113</v>
      </c>
      <c r="L20210">
        <v>12.6</v>
      </c>
      <c r="M20210">
        <v>26</v>
      </c>
      <c r="N20210">
        <v>69</v>
      </c>
      <c r="O20210">
        <v>26</v>
      </c>
      <c r="P20210">
        <v>69</v>
      </c>
    </row>
    <row r="20211" spans="1:16" x14ac:dyDescent="0.25">
      <c r="A20211" t="s">
        <v>42936</v>
      </c>
      <c r="B20211" t="s">
        <v>42937</v>
      </c>
      <c r="C20211" t="s">
        <v>42938</v>
      </c>
      <c r="D20211" t="str">
        <f>"1700"</f>
        <v>1700</v>
      </c>
      <c r="E20211" t="s">
        <v>60</v>
      </c>
      <c r="F20211" t="s">
        <v>21627</v>
      </c>
      <c r="G20211" t="s">
        <v>47091</v>
      </c>
      <c r="H20211" t="s">
        <v>47054</v>
      </c>
      <c r="I20211" t="s">
        <v>47120</v>
      </c>
      <c r="J20211" t="s">
        <v>47121</v>
      </c>
      <c r="K20211" t="s">
        <v>47113</v>
      </c>
      <c r="L20211">
        <v>11.59</v>
      </c>
      <c r="M20211">
        <v>26</v>
      </c>
      <c r="N20211">
        <v>0</v>
      </c>
      <c r="O20211">
        <v>26</v>
      </c>
      <c r="P20211">
        <v>0</v>
      </c>
    </row>
    <row r="20212" spans="1:16" x14ac:dyDescent="0.25">
      <c r="A20212" t="s">
        <v>42939</v>
      </c>
      <c r="B20212" t="s">
        <v>42940</v>
      </c>
      <c r="C20212" t="s">
        <v>42941</v>
      </c>
      <c r="D20212" t="str">
        <f>"1700"</f>
        <v>1700</v>
      </c>
      <c r="E20212" t="s">
        <v>42942</v>
      </c>
      <c r="F20212" t="s">
        <v>24622</v>
      </c>
      <c r="G20212" t="s">
        <v>47091</v>
      </c>
      <c r="H20212" t="s">
        <v>47054</v>
      </c>
      <c r="I20212" t="s">
        <v>47118</v>
      </c>
      <c r="J20212" t="s">
        <v>47119</v>
      </c>
      <c r="K20212" t="s">
        <v>47113</v>
      </c>
      <c r="L20212">
        <v>15.66</v>
      </c>
      <c r="M20212">
        <v>33</v>
      </c>
      <c r="N20212">
        <v>89</v>
      </c>
      <c r="O20212">
        <v>33</v>
      </c>
      <c r="P20212">
        <v>89</v>
      </c>
    </row>
    <row r="20213" spans="1:16" x14ac:dyDescent="0.25">
      <c r="A20213" t="s">
        <v>42943</v>
      </c>
      <c r="B20213" t="s">
        <v>42944</v>
      </c>
      <c r="C20213" t="s">
        <v>42945</v>
      </c>
      <c r="D20213" t="str">
        <f>"4143"</f>
        <v>4143</v>
      </c>
      <c r="E20213" t="s">
        <v>261</v>
      </c>
      <c r="F20213" t="s">
        <v>24622</v>
      </c>
      <c r="G20213" t="s">
        <v>47091</v>
      </c>
      <c r="H20213" t="s">
        <v>47054</v>
      </c>
      <c r="I20213" t="s">
        <v>47118</v>
      </c>
      <c r="J20213" t="s">
        <v>47119</v>
      </c>
      <c r="K20213" t="s">
        <v>47113</v>
      </c>
      <c r="L20213">
        <v>16.600000000000001</v>
      </c>
      <c r="M20213">
        <v>26</v>
      </c>
      <c r="N20213">
        <v>69</v>
      </c>
      <c r="O20213">
        <v>26</v>
      </c>
      <c r="P20213">
        <v>69</v>
      </c>
    </row>
    <row r="20214" spans="1:16" x14ac:dyDescent="0.25">
      <c r="A20214" t="s">
        <v>42946</v>
      </c>
      <c r="B20214" t="s">
        <v>42947</v>
      </c>
      <c r="C20214" t="s">
        <v>42948</v>
      </c>
      <c r="D20214" t="str">
        <f>"1001"</f>
        <v>1001</v>
      </c>
      <c r="E20214" t="s">
        <v>16045</v>
      </c>
      <c r="F20214" t="s">
        <v>24617</v>
      </c>
      <c r="G20214" t="s">
        <v>47091</v>
      </c>
      <c r="H20214" t="s">
        <v>47054</v>
      </c>
      <c r="I20214" t="s">
        <v>47118</v>
      </c>
      <c r="J20214" t="s">
        <v>47119</v>
      </c>
      <c r="K20214" t="s">
        <v>47113</v>
      </c>
      <c r="L20214">
        <v>14.27</v>
      </c>
      <c r="M20214">
        <v>33</v>
      </c>
      <c r="N20214">
        <v>89</v>
      </c>
      <c r="O20214">
        <v>33</v>
      </c>
      <c r="P20214">
        <v>89</v>
      </c>
    </row>
    <row r="20215" spans="1:16" x14ac:dyDescent="0.25">
      <c r="A20215" t="s">
        <v>42949</v>
      </c>
      <c r="B20215" t="s">
        <v>42950</v>
      </c>
      <c r="C20215" t="s">
        <v>42951</v>
      </c>
      <c r="D20215" t="str">
        <f>"1700"</f>
        <v>1700</v>
      </c>
      <c r="E20215" t="s">
        <v>60</v>
      </c>
      <c r="F20215" t="s">
        <v>24617</v>
      </c>
      <c r="G20215" t="s">
        <v>47091</v>
      </c>
      <c r="H20215" t="s">
        <v>47054</v>
      </c>
      <c r="I20215" t="s">
        <v>47118</v>
      </c>
      <c r="J20215" t="s">
        <v>47119</v>
      </c>
      <c r="K20215" t="s">
        <v>47113</v>
      </c>
      <c r="L20215">
        <v>11.52</v>
      </c>
      <c r="M20215">
        <v>26</v>
      </c>
      <c r="N20215">
        <v>69</v>
      </c>
      <c r="O20215">
        <v>26</v>
      </c>
      <c r="P20215">
        <v>69</v>
      </c>
    </row>
    <row r="20216" spans="1:16" x14ac:dyDescent="0.25">
      <c r="A20216" t="s">
        <v>42952</v>
      </c>
      <c r="B20216" t="s">
        <v>42953</v>
      </c>
      <c r="C20216" t="s">
        <v>42954</v>
      </c>
      <c r="D20216" t="str">
        <f>"1700"</f>
        <v>1700</v>
      </c>
      <c r="E20216" t="s">
        <v>42955</v>
      </c>
      <c r="F20216" t="s">
        <v>24627</v>
      </c>
      <c r="G20216" t="s">
        <v>47091</v>
      </c>
      <c r="H20216" t="s">
        <v>47054</v>
      </c>
      <c r="I20216" t="s">
        <v>47118</v>
      </c>
      <c r="J20216" t="s">
        <v>47119</v>
      </c>
      <c r="K20216" t="s">
        <v>47113</v>
      </c>
      <c r="L20216">
        <v>15</v>
      </c>
      <c r="M20216">
        <v>33</v>
      </c>
      <c r="N20216">
        <v>89</v>
      </c>
      <c r="O20216">
        <v>33</v>
      </c>
      <c r="P20216">
        <v>89</v>
      </c>
    </row>
    <row r="20217" spans="1:16" x14ac:dyDescent="0.25">
      <c r="A20217" t="s">
        <v>42956</v>
      </c>
      <c r="B20217" t="s">
        <v>42957</v>
      </c>
      <c r="C20217" t="s">
        <v>42958</v>
      </c>
      <c r="D20217" t="str">
        <f>"1001"</f>
        <v>1001</v>
      </c>
      <c r="E20217" t="s">
        <v>42</v>
      </c>
      <c r="F20217" t="s">
        <v>24627</v>
      </c>
      <c r="G20217" t="s">
        <v>47091</v>
      </c>
      <c r="H20217" t="s">
        <v>47054</v>
      </c>
      <c r="I20217" t="s">
        <v>47118</v>
      </c>
      <c r="J20217" t="s">
        <v>47119</v>
      </c>
      <c r="K20217" t="s">
        <v>47113</v>
      </c>
      <c r="L20217">
        <v>12.6</v>
      </c>
      <c r="M20217">
        <v>33</v>
      </c>
      <c r="N20217">
        <v>89</v>
      </c>
      <c r="O20217">
        <v>33</v>
      </c>
      <c r="P20217">
        <v>89</v>
      </c>
    </row>
    <row r="20218" spans="1:16" x14ac:dyDescent="0.25">
      <c r="A20218" t="s">
        <v>42959</v>
      </c>
      <c r="B20218" t="s">
        <v>42960</v>
      </c>
      <c r="C20218" t="s">
        <v>42961</v>
      </c>
      <c r="D20218" t="str">
        <f>"1001"</f>
        <v>1001</v>
      </c>
      <c r="E20218" t="s">
        <v>42</v>
      </c>
      <c r="F20218" t="s">
        <v>21627</v>
      </c>
      <c r="G20218" t="s">
        <v>47091</v>
      </c>
      <c r="H20218" t="s">
        <v>47054</v>
      </c>
      <c r="I20218" t="s">
        <v>47118</v>
      </c>
      <c r="J20218" t="s">
        <v>47119</v>
      </c>
      <c r="K20218" t="s">
        <v>47113</v>
      </c>
      <c r="L20218">
        <v>14.45</v>
      </c>
      <c r="M20218">
        <v>40</v>
      </c>
      <c r="N20218">
        <v>0</v>
      </c>
      <c r="O20218">
        <v>40</v>
      </c>
      <c r="P20218">
        <v>0</v>
      </c>
    </row>
    <row r="20219" spans="1:16" x14ac:dyDescent="0.25">
      <c r="A20219" t="s">
        <v>42962</v>
      </c>
      <c r="B20219" t="s">
        <v>21886</v>
      </c>
      <c r="C20219" t="s">
        <v>21887</v>
      </c>
      <c r="D20219" t="str">
        <f>"1700"</f>
        <v>1700</v>
      </c>
      <c r="E20219" t="s">
        <v>60</v>
      </c>
      <c r="F20219" t="s">
        <v>19847</v>
      </c>
      <c r="G20219" t="s">
        <v>47091</v>
      </c>
      <c r="H20219" t="s">
        <v>47054</v>
      </c>
      <c r="I20219" t="s">
        <v>47569</v>
      </c>
      <c r="J20219" t="s">
        <v>47570</v>
      </c>
      <c r="K20219" t="s">
        <v>47113</v>
      </c>
      <c r="L20219">
        <v>15.79</v>
      </c>
      <c r="M20219">
        <v>26</v>
      </c>
      <c r="N20219">
        <v>0</v>
      </c>
      <c r="O20219">
        <v>26</v>
      </c>
      <c r="P20219">
        <v>0</v>
      </c>
    </row>
    <row r="20220" spans="1:16" x14ac:dyDescent="0.25">
      <c r="A20220" t="s">
        <v>42963</v>
      </c>
      <c r="B20220" t="s">
        <v>21888</v>
      </c>
      <c r="C20220" t="s">
        <v>21889</v>
      </c>
      <c r="D20220" t="str">
        <f>"1700"</f>
        <v>1700</v>
      </c>
      <c r="E20220" t="s">
        <v>60</v>
      </c>
      <c r="F20220" t="s">
        <v>19908</v>
      </c>
      <c r="G20220" t="s">
        <v>47091</v>
      </c>
      <c r="H20220" t="s">
        <v>47054</v>
      </c>
      <c r="I20220" t="s">
        <v>47569</v>
      </c>
      <c r="J20220" t="s">
        <v>47570</v>
      </c>
      <c r="K20220" t="s">
        <v>47113</v>
      </c>
      <c r="L20220">
        <v>14.85</v>
      </c>
      <c r="M20220">
        <v>33</v>
      </c>
      <c r="N20220">
        <v>0</v>
      </c>
      <c r="O20220">
        <v>33</v>
      </c>
      <c r="P20220">
        <v>0</v>
      </c>
    </row>
    <row r="20221" spans="1:16" x14ac:dyDescent="0.25">
      <c r="A20221" t="s">
        <v>42964</v>
      </c>
      <c r="B20221" t="s">
        <v>42965</v>
      </c>
      <c r="C20221" t="s">
        <v>42966</v>
      </c>
      <c r="D20221" t="str">
        <f>"1001"</f>
        <v>1001</v>
      </c>
      <c r="E20221" t="s">
        <v>16045</v>
      </c>
      <c r="F20221" t="s">
        <v>24617</v>
      </c>
      <c r="G20221" t="s">
        <v>47091</v>
      </c>
      <c r="H20221" t="s">
        <v>47054</v>
      </c>
      <c r="I20221" t="s">
        <v>47118</v>
      </c>
      <c r="J20221" t="s">
        <v>47119</v>
      </c>
      <c r="K20221" t="s">
        <v>47113</v>
      </c>
      <c r="L20221">
        <v>14.27</v>
      </c>
      <c r="M20221">
        <v>33</v>
      </c>
      <c r="N20221">
        <v>89</v>
      </c>
      <c r="O20221">
        <v>33</v>
      </c>
      <c r="P20221">
        <v>89</v>
      </c>
    </row>
    <row r="20222" spans="1:16" x14ac:dyDescent="0.25">
      <c r="A20222" t="s">
        <v>42967</v>
      </c>
      <c r="B20222" t="s">
        <v>21890</v>
      </c>
      <c r="C20222" t="s">
        <v>21891</v>
      </c>
      <c r="D20222" t="str">
        <f>"1700"</f>
        <v>1700</v>
      </c>
      <c r="E20222" t="s">
        <v>60</v>
      </c>
      <c r="F20222" t="s">
        <v>19847</v>
      </c>
      <c r="G20222" t="s">
        <v>47092</v>
      </c>
      <c r="H20222" t="s">
        <v>47054</v>
      </c>
      <c r="I20222" t="s">
        <v>47569</v>
      </c>
      <c r="J20222" t="s">
        <v>47570</v>
      </c>
      <c r="K20222" t="s">
        <v>47113</v>
      </c>
      <c r="L20222">
        <v>13.61</v>
      </c>
      <c r="M20222">
        <v>55</v>
      </c>
      <c r="N20222">
        <v>0</v>
      </c>
      <c r="O20222">
        <v>55</v>
      </c>
      <c r="P20222">
        <v>0</v>
      </c>
    </row>
    <row r="20223" spans="1:16" x14ac:dyDescent="0.25">
      <c r="A20223" t="s">
        <v>42968</v>
      </c>
      <c r="B20223" t="s">
        <v>21892</v>
      </c>
      <c r="C20223" t="s">
        <v>21893</v>
      </c>
      <c r="D20223" t="str">
        <f>"4002"</f>
        <v>4002</v>
      </c>
      <c r="E20223" t="s">
        <v>21738</v>
      </c>
      <c r="F20223" t="s">
        <v>19847</v>
      </c>
      <c r="G20223" t="s">
        <v>47092</v>
      </c>
      <c r="H20223" t="s">
        <v>47054</v>
      </c>
      <c r="I20223" t="s">
        <v>47120</v>
      </c>
      <c r="J20223" t="s">
        <v>47121</v>
      </c>
      <c r="K20223" t="s">
        <v>47113</v>
      </c>
      <c r="L20223">
        <v>28.8</v>
      </c>
      <c r="M20223">
        <v>66</v>
      </c>
      <c r="N20223">
        <v>0</v>
      </c>
      <c r="O20223">
        <v>66</v>
      </c>
      <c r="P20223">
        <v>0</v>
      </c>
    </row>
    <row r="20224" spans="1:16" x14ac:dyDescent="0.25">
      <c r="A20224" t="s">
        <v>42969</v>
      </c>
      <c r="B20224" t="s">
        <v>21894</v>
      </c>
      <c r="C20224" t="s">
        <v>21895</v>
      </c>
      <c r="D20224" t="str">
        <f>"1700"</f>
        <v>1700</v>
      </c>
      <c r="E20224" t="s">
        <v>18706</v>
      </c>
      <c r="F20224" t="s">
        <v>19878</v>
      </c>
      <c r="G20224" t="s">
        <v>47091</v>
      </c>
      <c r="H20224" t="s">
        <v>47054</v>
      </c>
      <c r="I20224" t="s">
        <v>47569</v>
      </c>
      <c r="J20224" t="s">
        <v>47570</v>
      </c>
      <c r="K20224" t="s">
        <v>47113</v>
      </c>
      <c r="L20224">
        <v>12.59</v>
      </c>
      <c r="M20224">
        <v>22</v>
      </c>
      <c r="N20224">
        <v>0</v>
      </c>
      <c r="O20224">
        <v>22</v>
      </c>
      <c r="P20224">
        <v>0</v>
      </c>
    </row>
    <row r="20225" spans="1:16" x14ac:dyDescent="0.25">
      <c r="A20225" t="s">
        <v>42970</v>
      </c>
      <c r="B20225" t="s">
        <v>21896</v>
      </c>
      <c r="C20225" t="s">
        <v>7105</v>
      </c>
      <c r="D20225" t="str">
        <f>"1501"</f>
        <v>1501</v>
      </c>
      <c r="E20225" t="s">
        <v>21897</v>
      </c>
      <c r="F20225" t="s">
        <v>19847</v>
      </c>
      <c r="G20225" t="s">
        <v>47095</v>
      </c>
      <c r="H20225" t="s">
        <v>47054</v>
      </c>
      <c r="I20225" t="s">
        <v>47118</v>
      </c>
      <c r="J20225" t="s">
        <v>47119</v>
      </c>
      <c r="K20225" t="s">
        <v>47113</v>
      </c>
      <c r="L20225">
        <v>19.68</v>
      </c>
      <c r="M20225">
        <v>48</v>
      </c>
      <c r="N20225">
        <v>0</v>
      </c>
      <c r="O20225">
        <v>48</v>
      </c>
      <c r="P20225">
        <v>0</v>
      </c>
    </row>
    <row r="20226" spans="1:16" x14ac:dyDescent="0.25">
      <c r="A20226" t="s">
        <v>42971</v>
      </c>
      <c r="B20226" t="s">
        <v>21898</v>
      </c>
      <c r="C20226" t="s">
        <v>7105</v>
      </c>
      <c r="D20226" t="str">
        <f>"4002"</f>
        <v>4002</v>
      </c>
      <c r="E20226" t="s">
        <v>21738</v>
      </c>
      <c r="F20226" t="s">
        <v>19847</v>
      </c>
      <c r="G20226" t="s">
        <v>47095</v>
      </c>
      <c r="H20226" t="s">
        <v>47054</v>
      </c>
      <c r="I20226" t="s">
        <v>47120</v>
      </c>
      <c r="J20226" t="s">
        <v>47121</v>
      </c>
      <c r="K20226" t="s">
        <v>47113</v>
      </c>
      <c r="L20226">
        <v>23.62</v>
      </c>
      <c r="M20226">
        <v>66</v>
      </c>
      <c r="N20226">
        <v>0</v>
      </c>
      <c r="O20226">
        <v>66</v>
      </c>
      <c r="P20226">
        <v>0</v>
      </c>
    </row>
    <row r="20227" spans="1:16" x14ac:dyDescent="0.25">
      <c r="A20227" t="s">
        <v>42972</v>
      </c>
      <c r="B20227" t="s">
        <v>21899</v>
      </c>
      <c r="C20227" t="s">
        <v>21900</v>
      </c>
      <c r="D20227" t="str">
        <f>"1001"</f>
        <v>1001</v>
      </c>
      <c r="E20227" t="s">
        <v>42</v>
      </c>
      <c r="F20227" t="s">
        <v>19847</v>
      </c>
      <c r="G20227" t="s">
        <v>47101</v>
      </c>
      <c r="H20227" t="s">
        <v>47054</v>
      </c>
      <c r="I20227" t="s">
        <v>47118</v>
      </c>
      <c r="J20227" t="s">
        <v>47119</v>
      </c>
      <c r="K20227" t="s">
        <v>47113</v>
      </c>
      <c r="L20227">
        <v>36.950000000000003</v>
      </c>
      <c r="M20227">
        <v>74</v>
      </c>
      <c r="N20227">
        <v>0</v>
      </c>
      <c r="O20227">
        <v>74</v>
      </c>
      <c r="P20227">
        <v>0</v>
      </c>
    </row>
    <row r="20228" spans="1:16" x14ac:dyDescent="0.25">
      <c r="A20228" t="s">
        <v>42973</v>
      </c>
      <c r="B20228" t="s">
        <v>21901</v>
      </c>
      <c r="C20228" t="s">
        <v>21902</v>
      </c>
      <c r="D20228" t="str">
        <f>"1700"</f>
        <v>1700</v>
      </c>
      <c r="E20228" t="s">
        <v>60</v>
      </c>
      <c r="F20228" t="s">
        <v>19847</v>
      </c>
      <c r="G20228" t="s">
        <v>47091</v>
      </c>
      <c r="H20228" t="s">
        <v>47054</v>
      </c>
      <c r="I20228" t="s">
        <v>47569</v>
      </c>
      <c r="J20228" t="s">
        <v>47570</v>
      </c>
      <c r="K20228" t="s">
        <v>47113</v>
      </c>
      <c r="L20228">
        <v>13.56</v>
      </c>
      <c r="M20228">
        <v>26</v>
      </c>
      <c r="N20228">
        <v>0</v>
      </c>
      <c r="O20228">
        <v>26</v>
      </c>
      <c r="P20228">
        <v>0</v>
      </c>
    </row>
    <row r="20229" spans="1:16" x14ac:dyDescent="0.25">
      <c r="A20229" t="s">
        <v>47049</v>
      </c>
      <c r="B20229" t="s">
        <v>46927</v>
      </c>
      <c r="C20229" t="s">
        <v>46928</v>
      </c>
      <c r="D20229" t="str">
        <f>"1700"</f>
        <v>1700</v>
      </c>
      <c r="E20229" t="s">
        <v>60</v>
      </c>
      <c r="F20229" t="s">
        <v>16933</v>
      </c>
      <c r="G20229" t="s">
        <v>47092</v>
      </c>
      <c r="H20229" t="s">
        <v>47054</v>
      </c>
      <c r="I20229" t="s">
        <v>47120</v>
      </c>
      <c r="J20229" t="s">
        <v>47121</v>
      </c>
      <c r="K20229" t="s">
        <v>47113</v>
      </c>
      <c r="L20229">
        <v>12.72</v>
      </c>
      <c r="M20229">
        <v>37</v>
      </c>
      <c r="N20229">
        <v>99</v>
      </c>
      <c r="O20229">
        <v>37</v>
      </c>
      <c r="P20229">
        <v>99</v>
      </c>
    </row>
    <row r="20230" spans="1:16" x14ac:dyDescent="0.25">
      <c r="A20230" t="s">
        <v>42974</v>
      </c>
      <c r="B20230" t="s">
        <v>21903</v>
      </c>
      <c r="C20230" t="s">
        <v>21904</v>
      </c>
      <c r="D20230" t="str">
        <f>"1501"</f>
        <v>1501</v>
      </c>
      <c r="E20230" t="s">
        <v>21905</v>
      </c>
      <c r="F20230" t="s">
        <v>19847</v>
      </c>
      <c r="G20230" t="s">
        <v>47094</v>
      </c>
      <c r="H20230" t="s">
        <v>47054</v>
      </c>
      <c r="I20230" t="s">
        <v>47118</v>
      </c>
      <c r="J20230" t="s">
        <v>47119</v>
      </c>
      <c r="K20230" t="s">
        <v>47113</v>
      </c>
      <c r="L20230">
        <v>28.84</v>
      </c>
      <c r="M20230">
        <v>57</v>
      </c>
      <c r="N20230">
        <v>0</v>
      </c>
      <c r="O20230">
        <v>57</v>
      </c>
      <c r="P20230">
        <v>0</v>
      </c>
    </row>
    <row r="20231" spans="1:16" x14ac:dyDescent="0.25">
      <c r="A20231" t="s">
        <v>42975</v>
      </c>
      <c r="B20231" t="s">
        <v>21906</v>
      </c>
      <c r="C20231" t="s">
        <v>21907</v>
      </c>
      <c r="D20231" t="s">
        <v>21441</v>
      </c>
      <c r="E20231" t="s">
        <v>21442</v>
      </c>
      <c r="F20231" t="s">
        <v>17351</v>
      </c>
      <c r="G20231" t="s">
        <v>47093</v>
      </c>
      <c r="H20231" t="s">
        <v>47054</v>
      </c>
      <c r="I20231" t="s">
        <v>47116</v>
      </c>
      <c r="J20231" t="s">
        <v>47117</v>
      </c>
      <c r="K20231" t="s">
        <v>47113</v>
      </c>
      <c r="L20231">
        <v>45.09</v>
      </c>
      <c r="M20231">
        <v>92</v>
      </c>
      <c r="N20231">
        <v>0</v>
      </c>
      <c r="O20231">
        <v>92</v>
      </c>
      <c r="P20231">
        <v>0</v>
      </c>
    </row>
    <row r="20232" spans="1:16" x14ac:dyDescent="0.25">
      <c r="A20232" t="s">
        <v>42976</v>
      </c>
      <c r="B20232" t="s">
        <v>21908</v>
      </c>
      <c r="C20232" t="s">
        <v>21909</v>
      </c>
      <c r="D20232" t="s">
        <v>18553</v>
      </c>
      <c r="E20232" t="s">
        <v>18554</v>
      </c>
      <c r="F20232" t="s">
        <v>17351</v>
      </c>
      <c r="G20232" t="s">
        <v>47093</v>
      </c>
      <c r="H20232" t="s">
        <v>47054</v>
      </c>
      <c r="I20232" t="s">
        <v>47116</v>
      </c>
      <c r="J20232" t="s">
        <v>47117</v>
      </c>
      <c r="K20232" t="s">
        <v>47113</v>
      </c>
      <c r="L20232">
        <v>33.69</v>
      </c>
      <c r="M20232">
        <v>70</v>
      </c>
      <c r="N20232">
        <v>0</v>
      </c>
      <c r="O20232">
        <v>70</v>
      </c>
      <c r="P20232">
        <v>0</v>
      </c>
    </row>
    <row r="20233" spans="1:16" x14ac:dyDescent="0.25">
      <c r="A20233" t="s">
        <v>42977</v>
      </c>
      <c r="B20233" t="s">
        <v>42978</v>
      </c>
      <c r="C20233" t="s">
        <v>21909</v>
      </c>
      <c r="D20233" t="str">
        <f>"11"</f>
        <v>11</v>
      </c>
      <c r="E20233" t="s">
        <v>288</v>
      </c>
      <c r="F20233" t="s">
        <v>21629</v>
      </c>
      <c r="G20233" t="s">
        <v>47093</v>
      </c>
      <c r="H20233" t="s">
        <v>47054</v>
      </c>
      <c r="I20233" t="s">
        <v>47544</v>
      </c>
      <c r="J20233" t="s">
        <v>47545</v>
      </c>
      <c r="K20233" t="s">
        <v>47113</v>
      </c>
      <c r="L20233">
        <v>28.97</v>
      </c>
      <c r="M20233">
        <v>70</v>
      </c>
      <c r="N20233">
        <v>0</v>
      </c>
      <c r="O20233">
        <v>70</v>
      </c>
      <c r="P20233">
        <v>0</v>
      </c>
    </row>
    <row r="20234" spans="1:16" x14ac:dyDescent="0.25">
      <c r="A20234" t="s">
        <v>42979</v>
      </c>
      <c r="B20234" t="s">
        <v>42980</v>
      </c>
      <c r="C20234" t="s">
        <v>21909</v>
      </c>
      <c r="D20234" t="s">
        <v>40634</v>
      </c>
      <c r="E20234" t="s">
        <v>40635</v>
      </c>
      <c r="F20234" t="s">
        <v>21627</v>
      </c>
      <c r="G20234" t="s">
        <v>47093</v>
      </c>
      <c r="H20234" t="s">
        <v>47054</v>
      </c>
      <c r="I20234" t="s">
        <v>47116</v>
      </c>
      <c r="J20234" t="s">
        <v>47117</v>
      </c>
      <c r="K20234" t="s">
        <v>47113</v>
      </c>
      <c r="L20234">
        <v>46.04</v>
      </c>
      <c r="M20234">
        <v>111</v>
      </c>
      <c r="N20234">
        <v>0</v>
      </c>
      <c r="O20234">
        <v>111</v>
      </c>
      <c r="P20234">
        <v>0</v>
      </c>
    </row>
    <row r="20235" spans="1:16" x14ac:dyDescent="0.25">
      <c r="A20235" t="s">
        <v>42981</v>
      </c>
      <c r="B20235" t="s">
        <v>21910</v>
      </c>
      <c r="C20235" t="s">
        <v>19108</v>
      </c>
      <c r="D20235" t="str">
        <f>"1700"</f>
        <v>1700</v>
      </c>
      <c r="E20235" t="s">
        <v>21703</v>
      </c>
      <c r="F20235" t="s">
        <v>16933</v>
      </c>
      <c r="G20235" t="s">
        <v>49029</v>
      </c>
      <c r="I20235" t="s">
        <v>47111</v>
      </c>
      <c r="J20235" t="s">
        <v>47112</v>
      </c>
      <c r="K20235" t="s">
        <v>47113</v>
      </c>
      <c r="L20235">
        <v>36.33</v>
      </c>
      <c r="M20235">
        <v>74</v>
      </c>
      <c r="N20235">
        <v>0</v>
      </c>
      <c r="O20235">
        <v>74</v>
      </c>
      <c r="P20235">
        <v>0</v>
      </c>
    </row>
    <row r="20236" spans="1:16" x14ac:dyDescent="0.25">
      <c r="A20236" t="s">
        <v>42982</v>
      </c>
      <c r="B20236" t="s">
        <v>21911</v>
      </c>
      <c r="C20236" t="s">
        <v>21912</v>
      </c>
      <c r="D20236" t="s">
        <v>18587</v>
      </c>
      <c r="E20236" t="s">
        <v>18588</v>
      </c>
      <c r="F20236" t="s">
        <v>17351</v>
      </c>
      <c r="G20236" t="s">
        <v>47093</v>
      </c>
      <c r="H20236" t="s">
        <v>47054</v>
      </c>
      <c r="I20236" t="s">
        <v>47116</v>
      </c>
      <c r="J20236" t="s">
        <v>47117</v>
      </c>
      <c r="K20236" t="s">
        <v>47113</v>
      </c>
      <c r="L20236">
        <v>38.25</v>
      </c>
      <c r="M20236">
        <v>92</v>
      </c>
      <c r="N20236">
        <v>0</v>
      </c>
      <c r="O20236">
        <v>92</v>
      </c>
      <c r="P20236">
        <v>0</v>
      </c>
    </row>
    <row r="20237" spans="1:16" x14ac:dyDescent="0.25">
      <c r="A20237" t="s">
        <v>42983</v>
      </c>
      <c r="B20237" t="s">
        <v>21913</v>
      </c>
      <c r="C20237" t="s">
        <v>21912</v>
      </c>
      <c r="D20237" t="s">
        <v>18972</v>
      </c>
      <c r="E20237" t="s">
        <v>18973</v>
      </c>
      <c r="F20237" t="s">
        <v>17351</v>
      </c>
      <c r="G20237" t="s">
        <v>47093</v>
      </c>
      <c r="H20237" t="s">
        <v>47054</v>
      </c>
      <c r="I20237" t="s">
        <v>47111</v>
      </c>
      <c r="J20237" t="s">
        <v>47112</v>
      </c>
      <c r="K20237" t="s">
        <v>47113</v>
      </c>
      <c r="L20237">
        <v>62.52</v>
      </c>
      <c r="M20237">
        <v>122</v>
      </c>
      <c r="N20237">
        <v>0</v>
      </c>
      <c r="O20237">
        <v>122</v>
      </c>
      <c r="P20237">
        <v>0</v>
      </c>
    </row>
    <row r="20238" spans="1:16" x14ac:dyDescent="0.25">
      <c r="A20238" t="s">
        <v>22921</v>
      </c>
      <c r="B20238" t="s">
        <v>21914</v>
      </c>
      <c r="C20238" t="s">
        <v>21912</v>
      </c>
      <c r="D20238" t="s">
        <v>21289</v>
      </c>
      <c r="E20238" t="s">
        <v>21290</v>
      </c>
      <c r="F20238" t="s">
        <v>19559</v>
      </c>
      <c r="G20238" t="s">
        <v>47093</v>
      </c>
      <c r="H20238" t="s">
        <v>47054</v>
      </c>
      <c r="I20238" t="s">
        <v>47116</v>
      </c>
      <c r="J20238" t="s">
        <v>47117</v>
      </c>
      <c r="K20238" t="s">
        <v>47113</v>
      </c>
      <c r="L20238">
        <v>53.35</v>
      </c>
      <c r="M20238">
        <v>111</v>
      </c>
      <c r="N20238">
        <v>0</v>
      </c>
      <c r="O20238">
        <v>111</v>
      </c>
      <c r="P20238">
        <v>0</v>
      </c>
    </row>
    <row r="20239" spans="1:16" x14ac:dyDescent="0.25">
      <c r="A20239" t="s">
        <v>42984</v>
      </c>
      <c r="B20239" t="s">
        <v>21915</v>
      </c>
      <c r="C20239" t="s">
        <v>21916</v>
      </c>
      <c r="D20239" t="s">
        <v>21441</v>
      </c>
      <c r="E20239" t="s">
        <v>21442</v>
      </c>
      <c r="F20239" t="s">
        <v>17351</v>
      </c>
      <c r="G20239" t="s">
        <v>49029</v>
      </c>
      <c r="H20239" t="s">
        <v>47054</v>
      </c>
      <c r="I20239" t="s">
        <v>47116</v>
      </c>
      <c r="J20239" t="s">
        <v>47117</v>
      </c>
      <c r="K20239" t="s">
        <v>47113</v>
      </c>
      <c r="L20239">
        <v>36.94</v>
      </c>
      <c r="M20239">
        <v>92</v>
      </c>
      <c r="N20239">
        <v>0</v>
      </c>
      <c r="O20239">
        <v>92</v>
      </c>
      <c r="P20239">
        <v>0</v>
      </c>
    </row>
    <row r="20240" spans="1:16" x14ac:dyDescent="0.25">
      <c r="A20240" t="s">
        <v>42985</v>
      </c>
      <c r="B20240" t="s">
        <v>21917</v>
      </c>
      <c r="C20240" t="s">
        <v>21916</v>
      </c>
      <c r="D20240" t="s">
        <v>21659</v>
      </c>
      <c r="E20240" t="s">
        <v>21660</v>
      </c>
      <c r="F20240" t="s">
        <v>17351</v>
      </c>
      <c r="G20240" t="s">
        <v>49029</v>
      </c>
      <c r="H20240" t="s">
        <v>47054</v>
      </c>
      <c r="I20240" t="s">
        <v>47111</v>
      </c>
      <c r="J20240" t="s">
        <v>47112</v>
      </c>
      <c r="K20240" t="s">
        <v>47113</v>
      </c>
      <c r="L20240">
        <v>51.17</v>
      </c>
      <c r="M20240">
        <v>99</v>
      </c>
      <c r="N20240">
        <v>0</v>
      </c>
      <c r="O20240">
        <v>99</v>
      </c>
      <c r="P20240">
        <v>0</v>
      </c>
    </row>
    <row r="20241" spans="1:16" x14ac:dyDescent="0.25">
      <c r="A20241" t="s">
        <v>42986</v>
      </c>
      <c r="B20241" t="s">
        <v>21918</v>
      </c>
      <c r="C20241" t="s">
        <v>21919</v>
      </c>
      <c r="D20241" t="s">
        <v>21724</v>
      </c>
      <c r="E20241" t="s">
        <v>21725</v>
      </c>
      <c r="F20241" t="s">
        <v>17351</v>
      </c>
      <c r="G20241" t="s">
        <v>49030</v>
      </c>
      <c r="H20241" t="s">
        <v>47054</v>
      </c>
      <c r="I20241" t="s">
        <v>47111</v>
      </c>
      <c r="J20241" t="s">
        <v>47112</v>
      </c>
      <c r="K20241" t="s">
        <v>47113</v>
      </c>
      <c r="L20241">
        <v>108.08</v>
      </c>
      <c r="M20241">
        <v>222</v>
      </c>
      <c r="N20241">
        <v>0</v>
      </c>
      <c r="O20241">
        <v>222</v>
      </c>
      <c r="P20241">
        <v>0</v>
      </c>
    </row>
    <row r="20242" spans="1:16" x14ac:dyDescent="0.25">
      <c r="A20242" t="s">
        <v>42987</v>
      </c>
      <c r="B20242" t="s">
        <v>21920</v>
      </c>
      <c r="C20242" t="s">
        <v>21921</v>
      </c>
      <c r="D20242" t="str">
        <f>"3000"</f>
        <v>3000</v>
      </c>
      <c r="E20242" t="s">
        <v>21922</v>
      </c>
      <c r="F20242" t="s">
        <v>19847</v>
      </c>
      <c r="G20242" t="s">
        <v>49029</v>
      </c>
      <c r="H20242" t="s">
        <v>47054</v>
      </c>
      <c r="I20242" t="s">
        <v>47120</v>
      </c>
      <c r="J20242" t="s">
        <v>47121</v>
      </c>
      <c r="K20242" t="s">
        <v>47113</v>
      </c>
      <c r="L20242">
        <v>37.659999999999997</v>
      </c>
      <c r="M20242">
        <v>74</v>
      </c>
      <c r="N20242">
        <v>0</v>
      </c>
      <c r="O20242">
        <v>74</v>
      </c>
      <c r="P20242">
        <v>0</v>
      </c>
    </row>
    <row r="20243" spans="1:16" x14ac:dyDescent="0.25">
      <c r="A20243" t="s">
        <v>42988</v>
      </c>
      <c r="B20243" t="s">
        <v>21920</v>
      </c>
      <c r="C20243" t="s">
        <v>21921</v>
      </c>
      <c r="D20243" t="str">
        <f>"6000"</f>
        <v>6000</v>
      </c>
      <c r="E20243" t="s">
        <v>21923</v>
      </c>
      <c r="F20243" t="s">
        <v>19847</v>
      </c>
      <c r="G20243" t="s">
        <v>49029</v>
      </c>
      <c r="H20243" t="s">
        <v>47054</v>
      </c>
      <c r="I20243" t="s">
        <v>47120</v>
      </c>
      <c r="J20243" t="s">
        <v>47121</v>
      </c>
      <c r="K20243" t="s">
        <v>47113</v>
      </c>
      <c r="L20243">
        <v>37.659999999999997</v>
      </c>
      <c r="M20243">
        <v>74</v>
      </c>
      <c r="N20243">
        <v>0</v>
      </c>
      <c r="O20243">
        <v>74</v>
      </c>
      <c r="P20243">
        <v>0</v>
      </c>
    </row>
    <row r="20244" spans="1:16" x14ac:dyDescent="0.25">
      <c r="A20244" t="s">
        <v>42989</v>
      </c>
      <c r="B20244" t="s">
        <v>21924</v>
      </c>
      <c r="C20244" t="s">
        <v>21925</v>
      </c>
      <c r="D20244" t="s">
        <v>21926</v>
      </c>
      <c r="E20244" t="s">
        <v>21927</v>
      </c>
      <c r="F20244" t="s">
        <v>17351</v>
      </c>
      <c r="G20244" t="s">
        <v>49029</v>
      </c>
      <c r="H20244" t="s">
        <v>47054</v>
      </c>
      <c r="I20244" t="s">
        <v>47111</v>
      </c>
      <c r="J20244" t="s">
        <v>47112</v>
      </c>
      <c r="K20244" t="s">
        <v>47113</v>
      </c>
      <c r="L20244">
        <v>80.040000000000006</v>
      </c>
      <c r="M20244">
        <v>148</v>
      </c>
      <c r="N20244">
        <v>0</v>
      </c>
      <c r="O20244">
        <v>148</v>
      </c>
      <c r="P20244">
        <v>0</v>
      </c>
    </row>
    <row r="20245" spans="1:16" x14ac:dyDescent="0.25">
      <c r="A20245" t="s">
        <v>42990</v>
      </c>
      <c r="B20245" t="s">
        <v>42991</v>
      </c>
      <c r="C20245" t="s">
        <v>21929</v>
      </c>
      <c r="D20245" t="str">
        <f>"1001"</f>
        <v>1001</v>
      </c>
      <c r="E20245" t="s">
        <v>42992</v>
      </c>
      <c r="F20245" t="s">
        <v>24622</v>
      </c>
      <c r="G20245" t="s">
        <v>47099</v>
      </c>
      <c r="H20245" t="s">
        <v>47054</v>
      </c>
      <c r="I20245" t="s">
        <v>47120</v>
      </c>
      <c r="J20245" t="s">
        <v>47121</v>
      </c>
      <c r="K20245" t="s">
        <v>47113</v>
      </c>
      <c r="L20245">
        <v>25.93</v>
      </c>
      <c r="M20245">
        <v>70</v>
      </c>
      <c r="N20245">
        <v>189</v>
      </c>
      <c r="O20245">
        <v>70</v>
      </c>
      <c r="P20245">
        <v>189</v>
      </c>
    </row>
    <row r="20246" spans="1:16" x14ac:dyDescent="0.25">
      <c r="A20246" t="s">
        <v>42993</v>
      </c>
      <c r="B20246" t="s">
        <v>42991</v>
      </c>
      <c r="C20246" t="s">
        <v>21929</v>
      </c>
      <c r="D20246" t="str">
        <f>"6000"</f>
        <v>6000</v>
      </c>
      <c r="E20246" t="s">
        <v>42994</v>
      </c>
      <c r="F20246" t="s">
        <v>24622</v>
      </c>
      <c r="G20246" t="s">
        <v>47099</v>
      </c>
      <c r="H20246" t="s">
        <v>47054</v>
      </c>
      <c r="I20246" t="s">
        <v>47120</v>
      </c>
      <c r="J20246" t="s">
        <v>47121</v>
      </c>
      <c r="K20246" t="s">
        <v>47113</v>
      </c>
      <c r="L20246">
        <v>25.93</v>
      </c>
      <c r="M20246">
        <v>70</v>
      </c>
      <c r="N20246">
        <v>189</v>
      </c>
      <c r="O20246">
        <v>70</v>
      </c>
      <c r="P20246">
        <v>189</v>
      </c>
    </row>
    <row r="20247" spans="1:16" x14ac:dyDescent="0.25">
      <c r="A20247" t="s">
        <v>42995</v>
      </c>
      <c r="B20247" t="s">
        <v>42996</v>
      </c>
      <c r="C20247" t="s">
        <v>21929</v>
      </c>
      <c r="D20247" t="s">
        <v>42997</v>
      </c>
      <c r="E20247" t="s">
        <v>42998</v>
      </c>
      <c r="F20247" t="s">
        <v>24627</v>
      </c>
      <c r="G20247" t="s">
        <v>47099</v>
      </c>
      <c r="H20247" t="s">
        <v>47054</v>
      </c>
      <c r="I20247" t="s">
        <v>47120</v>
      </c>
      <c r="J20247" t="s">
        <v>47121</v>
      </c>
      <c r="K20247" t="s">
        <v>47113</v>
      </c>
      <c r="L20247">
        <v>29.36</v>
      </c>
      <c r="M20247">
        <v>70</v>
      </c>
      <c r="N20247">
        <v>189</v>
      </c>
      <c r="O20247">
        <v>70</v>
      </c>
      <c r="P20247">
        <v>189</v>
      </c>
    </row>
    <row r="20248" spans="1:16" x14ac:dyDescent="0.25">
      <c r="A20248" t="s">
        <v>42999</v>
      </c>
      <c r="B20248" t="s">
        <v>21928</v>
      </c>
      <c r="C20248" t="s">
        <v>21929</v>
      </c>
      <c r="D20248" t="s">
        <v>21930</v>
      </c>
      <c r="E20248" t="s">
        <v>21931</v>
      </c>
      <c r="F20248" t="s">
        <v>17351</v>
      </c>
      <c r="G20248" t="s">
        <v>47099</v>
      </c>
      <c r="I20248" t="s">
        <v>47120</v>
      </c>
      <c r="J20248" t="s">
        <v>47121</v>
      </c>
      <c r="K20248" t="s">
        <v>47113</v>
      </c>
      <c r="L20248">
        <v>48.28</v>
      </c>
      <c r="M20248">
        <v>100</v>
      </c>
      <c r="N20248">
        <v>0</v>
      </c>
      <c r="O20248">
        <v>100</v>
      </c>
      <c r="P20248">
        <v>0</v>
      </c>
    </row>
    <row r="20249" spans="1:16" x14ac:dyDescent="0.25">
      <c r="A20249" t="s">
        <v>43000</v>
      </c>
      <c r="B20249" t="s">
        <v>21932</v>
      </c>
      <c r="C20249" t="s">
        <v>18762</v>
      </c>
      <c r="D20249" t="s">
        <v>21933</v>
      </c>
      <c r="E20249" t="s">
        <v>21934</v>
      </c>
      <c r="F20249" t="s">
        <v>17351</v>
      </c>
      <c r="G20249" t="s">
        <v>47093</v>
      </c>
      <c r="I20249" t="s">
        <v>47120</v>
      </c>
      <c r="J20249" t="s">
        <v>47121</v>
      </c>
      <c r="K20249" t="s">
        <v>47113</v>
      </c>
      <c r="L20249">
        <v>49.49</v>
      </c>
      <c r="M20249">
        <v>92</v>
      </c>
      <c r="N20249">
        <v>0</v>
      </c>
      <c r="O20249">
        <v>92</v>
      </c>
      <c r="P20249">
        <v>0</v>
      </c>
    </row>
    <row r="20250" spans="1:16" x14ac:dyDescent="0.25">
      <c r="A20250" t="s">
        <v>43001</v>
      </c>
      <c r="B20250" t="s">
        <v>21935</v>
      </c>
      <c r="C20250" t="s">
        <v>18762</v>
      </c>
      <c r="D20250" t="s">
        <v>21933</v>
      </c>
      <c r="E20250" t="s">
        <v>21934</v>
      </c>
      <c r="F20250" t="s">
        <v>17351</v>
      </c>
      <c r="G20250" t="s">
        <v>47099</v>
      </c>
      <c r="I20250" t="s">
        <v>47120</v>
      </c>
      <c r="J20250" t="s">
        <v>47121</v>
      </c>
      <c r="K20250" t="s">
        <v>47113</v>
      </c>
      <c r="L20250">
        <v>32.49</v>
      </c>
      <c r="M20250">
        <v>97</v>
      </c>
      <c r="N20250">
        <v>0</v>
      </c>
      <c r="O20250">
        <v>97</v>
      </c>
      <c r="P20250">
        <v>0</v>
      </c>
    </row>
    <row r="20251" spans="1:16" x14ac:dyDescent="0.25">
      <c r="A20251" t="s">
        <v>43002</v>
      </c>
      <c r="B20251" t="s">
        <v>21936</v>
      </c>
      <c r="C20251" t="s">
        <v>21929</v>
      </c>
      <c r="D20251" t="s">
        <v>21853</v>
      </c>
      <c r="E20251" t="s">
        <v>21854</v>
      </c>
      <c r="F20251" t="s">
        <v>16933</v>
      </c>
      <c r="G20251" t="s">
        <v>47099</v>
      </c>
      <c r="H20251" t="s">
        <v>47054</v>
      </c>
      <c r="I20251" t="s">
        <v>47120</v>
      </c>
      <c r="J20251" t="s">
        <v>47121</v>
      </c>
      <c r="K20251" t="s">
        <v>47113</v>
      </c>
      <c r="L20251">
        <v>45.4</v>
      </c>
      <c r="M20251">
        <v>92</v>
      </c>
      <c r="N20251">
        <v>0</v>
      </c>
      <c r="O20251">
        <v>92</v>
      </c>
      <c r="P20251">
        <v>0</v>
      </c>
    </row>
    <row r="20252" spans="1:16" x14ac:dyDescent="0.25">
      <c r="A20252" t="s">
        <v>43003</v>
      </c>
      <c r="B20252" t="s">
        <v>21937</v>
      </c>
      <c r="C20252" t="s">
        <v>21929</v>
      </c>
      <c r="D20252" t="s">
        <v>21853</v>
      </c>
      <c r="E20252" t="s">
        <v>21854</v>
      </c>
      <c r="F20252" t="s">
        <v>16933</v>
      </c>
      <c r="G20252" t="s">
        <v>47099</v>
      </c>
      <c r="H20252" t="s">
        <v>47054</v>
      </c>
      <c r="I20252" t="s">
        <v>47120</v>
      </c>
      <c r="J20252" t="s">
        <v>47121</v>
      </c>
      <c r="K20252" t="s">
        <v>47113</v>
      </c>
      <c r="L20252">
        <v>30.73</v>
      </c>
      <c r="M20252">
        <v>97</v>
      </c>
      <c r="N20252">
        <v>0</v>
      </c>
      <c r="O20252">
        <v>97</v>
      </c>
      <c r="P20252">
        <v>0</v>
      </c>
    </row>
    <row r="20253" spans="1:16" x14ac:dyDescent="0.25">
      <c r="A20253" t="s">
        <v>43004</v>
      </c>
      <c r="B20253" t="s">
        <v>21938</v>
      </c>
      <c r="C20253" t="s">
        <v>21929</v>
      </c>
      <c r="D20253" t="s">
        <v>21939</v>
      </c>
      <c r="E20253" t="s">
        <v>21940</v>
      </c>
      <c r="F20253" t="s">
        <v>17351</v>
      </c>
      <c r="G20253" t="s">
        <v>47099</v>
      </c>
      <c r="H20253" t="s">
        <v>47054</v>
      </c>
      <c r="I20253" t="s">
        <v>47120</v>
      </c>
      <c r="J20253" t="s">
        <v>47121</v>
      </c>
      <c r="K20253" t="s">
        <v>47113</v>
      </c>
      <c r="L20253">
        <v>46.19</v>
      </c>
      <c r="M20253">
        <v>85</v>
      </c>
      <c r="N20253">
        <v>0</v>
      </c>
      <c r="O20253">
        <v>85</v>
      </c>
      <c r="P20253">
        <v>0</v>
      </c>
    </row>
    <row r="20254" spans="1:16" x14ac:dyDescent="0.25">
      <c r="A20254" t="s">
        <v>43005</v>
      </c>
      <c r="B20254" t="s">
        <v>21941</v>
      </c>
      <c r="C20254" t="s">
        <v>21929</v>
      </c>
      <c r="D20254" t="s">
        <v>21939</v>
      </c>
      <c r="E20254" t="s">
        <v>21940</v>
      </c>
      <c r="F20254" t="s">
        <v>17351</v>
      </c>
      <c r="G20254" t="s">
        <v>47099</v>
      </c>
      <c r="H20254" t="s">
        <v>47054</v>
      </c>
      <c r="I20254" t="s">
        <v>47120</v>
      </c>
      <c r="J20254" t="s">
        <v>47121</v>
      </c>
      <c r="K20254" t="s">
        <v>47113</v>
      </c>
      <c r="L20254">
        <v>46.19</v>
      </c>
      <c r="M20254">
        <v>85</v>
      </c>
      <c r="N20254">
        <v>0</v>
      </c>
      <c r="O20254">
        <v>85</v>
      </c>
      <c r="P20254">
        <v>0</v>
      </c>
    </row>
    <row r="20255" spans="1:16" x14ac:dyDescent="0.25">
      <c r="A20255" t="s">
        <v>43006</v>
      </c>
      <c r="B20255" t="s">
        <v>21942</v>
      </c>
      <c r="C20255" t="s">
        <v>21943</v>
      </c>
      <c r="D20255" t="s">
        <v>21444</v>
      </c>
      <c r="E20255" t="s">
        <v>21445</v>
      </c>
      <c r="F20255" t="s">
        <v>17351</v>
      </c>
      <c r="G20255" t="s">
        <v>49030</v>
      </c>
      <c r="H20255" t="s">
        <v>47054</v>
      </c>
      <c r="I20255" t="s">
        <v>47111</v>
      </c>
      <c r="J20255" t="s">
        <v>47112</v>
      </c>
      <c r="K20255" t="s">
        <v>47113</v>
      </c>
      <c r="L20255">
        <v>67.900000000000006</v>
      </c>
      <c r="M20255">
        <v>122</v>
      </c>
      <c r="N20255">
        <v>0</v>
      </c>
      <c r="O20255">
        <v>122</v>
      </c>
      <c r="P20255">
        <v>0</v>
      </c>
    </row>
    <row r="20256" spans="1:16" x14ac:dyDescent="0.25">
      <c r="A20256" t="s">
        <v>43007</v>
      </c>
      <c r="B20256" t="s">
        <v>21944</v>
      </c>
      <c r="C20256" t="s">
        <v>21945</v>
      </c>
      <c r="D20256" t="str">
        <f>"1001"</f>
        <v>1001</v>
      </c>
      <c r="E20256" t="s">
        <v>21946</v>
      </c>
      <c r="F20256" t="s">
        <v>19847</v>
      </c>
      <c r="G20256" t="s">
        <v>47093</v>
      </c>
      <c r="H20256" t="s">
        <v>47054</v>
      </c>
      <c r="I20256" t="s">
        <v>47120</v>
      </c>
      <c r="J20256" t="s">
        <v>47121</v>
      </c>
      <c r="K20256" t="s">
        <v>47113</v>
      </c>
      <c r="L20256">
        <v>42.97</v>
      </c>
      <c r="M20256">
        <v>92</v>
      </c>
      <c r="N20256">
        <v>0</v>
      </c>
      <c r="O20256">
        <v>92</v>
      </c>
      <c r="P20256">
        <v>0</v>
      </c>
    </row>
    <row r="20257" spans="1:16" x14ac:dyDescent="0.25">
      <c r="A20257" t="s">
        <v>43008</v>
      </c>
      <c r="B20257" t="s">
        <v>21944</v>
      </c>
      <c r="C20257" t="s">
        <v>21945</v>
      </c>
      <c r="D20257" t="str">
        <f>"1700"</f>
        <v>1700</v>
      </c>
      <c r="E20257" t="s">
        <v>21947</v>
      </c>
      <c r="F20257" t="s">
        <v>16933</v>
      </c>
      <c r="G20257" t="s">
        <v>47093</v>
      </c>
      <c r="H20257" t="s">
        <v>47054</v>
      </c>
      <c r="I20257" t="s">
        <v>47120</v>
      </c>
      <c r="J20257" t="s">
        <v>47121</v>
      </c>
      <c r="K20257" t="s">
        <v>47113</v>
      </c>
      <c r="L20257">
        <v>36.08</v>
      </c>
      <c r="M20257">
        <v>122</v>
      </c>
      <c r="N20257">
        <v>0</v>
      </c>
      <c r="O20257">
        <v>122</v>
      </c>
      <c r="P20257">
        <v>0</v>
      </c>
    </row>
    <row r="20258" spans="1:16" x14ac:dyDescent="0.25">
      <c r="A20258" t="s">
        <v>43009</v>
      </c>
      <c r="B20258" t="s">
        <v>21944</v>
      </c>
      <c r="C20258" t="s">
        <v>21945</v>
      </c>
      <c r="D20258" t="str">
        <f>"3000"</f>
        <v>3000</v>
      </c>
      <c r="E20258" t="s">
        <v>21922</v>
      </c>
      <c r="F20258" t="s">
        <v>17351</v>
      </c>
      <c r="G20258" t="s">
        <v>47093</v>
      </c>
      <c r="H20258" t="s">
        <v>47054</v>
      </c>
      <c r="I20258" t="s">
        <v>47120</v>
      </c>
      <c r="J20258" t="s">
        <v>47121</v>
      </c>
      <c r="K20258" t="s">
        <v>47113</v>
      </c>
      <c r="L20258">
        <v>42.97</v>
      </c>
      <c r="M20258">
        <v>92</v>
      </c>
      <c r="N20258">
        <v>0</v>
      </c>
      <c r="O20258">
        <v>92</v>
      </c>
      <c r="P20258">
        <v>0</v>
      </c>
    </row>
    <row r="20259" spans="1:16" x14ac:dyDescent="0.25">
      <c r="A20259" t="s">
        <v>43010</v>
      </c>
      <c r="B20259" t="s">
        <v>21944</v>
      </c>
      <c r="C20259" t="s">
        <v>21945</v>
      </c>
      <c r="D20259" t="str">
        <f>"6000"</f>
        <v>6000</v>
      </c>
      <c r="E20259" t="s">
        <v>21923</v>
      </c>
      <c r="F20259" t="s">
        <v>16933</v>
      </c>
      <c r="G20259" t="s">
        <v>47093</v>
      </c>
      <c r="H20259" t="s">
        <v>47054</v>
      </c>
      <c r="I20259" t="s">
        <v>47120</v>
      </c>
      <c r="J20259" t="s">
        <v>47121</v>
      </c>
      <c r="K20259" t="s">
        <v>47113</v>
      </c>
      <c r="L20259">
        <v>42.97</v>
      </c>
      <c r="M20259">
        <v>92</v>
      </c>
      <c r="N20259">
        <v>0</v>
      </c>
      <c r="O20259">
        <v>92</v>
      </c>
      <c r="P20259">
        <v>0</v>
      </c>
    </row>
    <row r="20260" spans="1:16" x14ac:dyDescent="0.25">
      <c r="A20260" t="s">
        <v>43011</v>
      </c>
      <c r="B20260" t="s">
        <v>43012</v>
      </c>
      <c r="C20260" t="s">
        <v>18440</v>
      </c>
      <c r="D20260" t="s">
        <v>41945</v>
      </c>
      <c r="E20260" t="s">
        <v>41946</v>
      </c>
      <c r="F20260" t="s">
        <v>24617</v>
      </c>
      <c r="G20260" t="s">
        <v>47093</v>
      </c>
      <c r="H20260" t="s">
        <v>47054</v>
      </c>
      <c r="I20260" t="s">
        <v>47120</v>
      </c>
      <c r="J20260" t="s">
        <v>47121</v>
      </c>
      <c r="K20260" t="s">
        <v>47113</v>
      </c>
      <c r="L20260">
        <v>32.69</v>
      </c>
      <c r="M20260">
        <v>85</v>
      </c>
      <c r="N20260">
        <v>229</v>
      </c>
      <c r="O20260">
        <v>85</v>
      </c>
      <c r="P20260">
        <v>229</v>
      </c>
    </row>
    <row r="20261" spans="1:16" x14ac:dyDescent="0.25">
      <c r="A20261" t="s">
        <v>43013</v>
      </c>
      <c r="B20261" t="s">
        <v>19204</v>
      </c>
      <c r="C20261" t="s">
        <v>18440</v>
      </c>
      <c r="D20261" t="s">
        <v>18553</v>
      </c>
      <c r="E20261" t="s">
        <v>18554</v>
      </c>
      <c r="F20261" t="s">
        <v>16839</v>
      </c>
      <c r="G20261" t="s">
        <v>47093</v>
      </c>
      <c r="H20261" t="s">
        <v>47054</v>
      </c>
      <c r="I20261" t="s">
        <v>47116</v>
      </c>
      <c r="J20261" t="s">
        <v>47117</v>
      </c>
      <c r="K20261" t="s">
        <v>47113</v>
      </c>
      <c r="L20261">
        <v>32.81</v>
      </c>
      <c r="M20261">
        <v>66</v>
      </c>
      <c r="N20261">
        <v>0</v>
      </c>
      <c r="O20261">
        <v>66</v>
      </c>
      <c r="P20261">
        <v>0</v>
      </c>
    </row>
    <row r="20262" spans="1:16" x14ac:dyDescent="0.25">
      <c r="A20262" t="s">
        <v>43014</v>
      </c>
      <c r="B20262" t="s">
        <v>21948</v>
      </c>
      <c r="C20262" t="s">
        <v>21949</v>
      </c>
      <c r="D20262" t="s">
        <v>21633</v>
      </c>
      <c r="E20262" t="s">
        <v>21634</v>
      </c>
      <c r="F20262" t="s">
        <v>17351</v>
      </c>
      <c r="G20262" t="s">
        <v>47093</v>
      </c>
      <c r="H20262" t="s">
        <v>47054</v>
      </c>
      <c r="I20262" t="s">
        <v>47111</v>
      </c>
      <c r="J20262" t="s">
        <v>47112</v>
      </c>
      <c r="K20262" t="s">
        <v>47113</v>
      </c>
      <c r="L20262">
        <v>66.819999999999993</v>
      </c>
      <c r="M20262">
        <v>148</v>
      </c>
      <c r="N20262">
        <v>0</v>
      </c>
      <c r="O20262">
        <v>148</v>
      </c>
      <c r="P20262">
        <v>0</v>
      </c>
    </row>
    <row r="20263" spans="1:16" x14ac:dyDescent="0.25">
      <c r="A20263" t="s">
        <v>43015</v>
      </c>
      <c r="B20263" t="s">
        <v>21950</v>
      </c>
      <c r="C20263" t="s">
        <v>21949</v>
      </c>
      <c r="D20263" t="s">
        <v>21647</v>
      </c>
      <c r="E20263" t="s">
        <v>21648</v>
      </c>
      <c r="F20263" t="s">
        <v>19559</v>
      </c>
      <c r="G20263" t="s">
        <v>47093</v>
      </c>
      <c r="H20263" t="s">
        <v>47054</v>
      </c>
      <c r="I20263" t="s">
        <v>47111</v>
      </c>
      <c r="J20263" t="s">
        <v>47112</v>
      </c>
      <c r="K20263" t="s">
        <v>47113</v>
      </c>
      <c r="L20263">
        <v>74.11</v>
      </c>
      <c r="M20263">
        <v>174</v>
      </c>
      <c r="N20263">
        <v>0</v>
      </c>
      <c r="O20263">
        <v>174</v>
      </c>
      <c r="P20263">
        <v>0</v>
      </c>
    </row>
    <row r="20264" spans="1:16" x14ac:dyDescent="0.25">
      <c r="A20264" t="s">
        <v>43016</v>
      </c>
      <c r="B20264" t="s">
        <v>21951</v>
      </c>
      <c r="C20264" t="s">
        <v>18440</v>
      </c>
      <c r="D20264" t="s">
        <v>21640</v>
      </c>
      <c r="E20264" t="s">
        <v>21641</v>
      </c>
      <c r="F20264" t="s">
        <v>19552</v>
      </c>
      <c r="G20264" t="s">
        <v>47093</v>
      </c>
      <c r="H20264" t="s">
        <v>47054</v>
      </c>
      <c r="I20264" t="s">
        <v>47116</v>
      </c>
      <c r="J20264" t="s">
        <v>47117</v>
      </c>
      <c r="K20264" t="s">
        <v>47113</v>
      </c>
      <c r="L20264">
        <v>46.74</v>
      </c>
      <c r="M20264">
        <v>111</v>
      </c>
      <c r="N20264">
        <v>0</v>
      </c>
      <c r="O20264">
        <v>111</v>
      </c>
      <c r="P20264">
        <v>0</v>
      </c>
    </row>
    <row r="20265" spans="1:16" x14ac:dyDescent="0.25">
      <c r="A20265" t="s">
        <v>43017</v>
      </c>
      <c r="B20265" t="s">
        <v>43018</v>
      </c>
      <c r="C20265" t="s">
        <v>43019</v>
      </c>
      <c r="D20265" t="str">
        <f>"11"</f>
        <v>11</v>
      </c>
      <c r="E20265" t="s">
        <v>288</v>
      </c>
      <c r="F20265" t="s">
        <v>20496</v>
      </c>
      <c r="G20265" t="s">
        <v>47093</v>
      </c>
      <c r="H20265" t="s">
        <v>47054</v>
      </c>
      <c r="I20265" t="s">
        <v>47111</v>
      </c>
      <c r="J20265" t="s">
        <v>47112</v>
      </c>
      <c r="K20265" t="s">
        <v>47113</v>
      </c>
      <c r="L20265">
        <v>62.59</v>
      </c>
      <c r="M20265">
        <v>166</v>
      </c>
      <c r="N20265">
        <v>0</v>
      </c>
      <c r="O20265">
        <v>166</v>
      </c>
      <c r="P20265">
        <v>0</v>
      </c>
    </row>
    <row r="20266" spans="1:16" x14ac:dyDescent="0.25">
      <c r="A20266" t="s">
        <v>43020</v>
      </c>
      <c r="B20266" t="s">
        <v>43021</v>
      </c>
      <c r="C20266" t="s">
        <v>18440</v>
      </c>
      <c r="D20266" t="s">
        <v>40630</v>
      </c>
      <c r="E20266" t="s">
        <v>40631</v>
      </c>
      <c r="F20266" t="s">
        <v>21629</v>
      </c>
      <c r="G20266" t="s">
        <v>47093</v>
      </c>
      <c r="H20266" t="s">
        <v>47054</v>
      </c>
      <c r="I20266" t="s">
        <v>47116</v>
      </c>
      <c r="J20266" t="s">
        <v>47117</v>
      </c>
      <c r="K20266" t="s">
        <v>47113</v>
      </c>
      <c r="L20266">
        <v>49.27</v>
      </c>
      <c r="M20266">
        <v>122</v>
      </c>
      <c r="N20266">
        <v>0</v>
      </c>
      <c r="O20266">
        <v>122</v>
      </c>
      <c r="P20266">
        <v>0</v>
      </c>
    </row>
    <row r="20267" spans="1:16" x14ac:dyDescent="0.25">
      <c r="A20267" t="s">
        <v>43022</v>
      </c>
      <c r="B20267" t="s">
        <v>21952</v>
      </c>
      <c r="C20267" t="s">
        <v>21953</v>
      </c>
      <c r="D20267" t="s">
        <v>21926</v>
      </c>
      <c r="E20267" t="s">
        <v>21927</v>
      </c>
      <c r="F20267" t="s">
        <v>17351</v>
      </c>
      <c r="G20267" t="s">
        <v>47093</v>
      </c>
      <c r="H20267" t="s">
        <v>47054</v>
      </c>
      <c r="I20267" t="s">
        <v>47111</v>
      </c>
      <c r="J20267" t="s">
        <v>47112</v>
      </c>
      <c r="K20267" t="s">
        <v>47113</v>
      </c>
      <c r="L20267">
        <v>64.59</v>
      </c>
      <c r="M20267">
        <v>148</v>
      </c>
      <c r="N20267">
        <v>0</v>
      </c>
      <c r="O20267">
        <v>148</v>
      </c>
      <c r="P20267">
        <v>0</v>
      </c>
    </row>
    <row r="20268" spans="1:16" x14ac:dyDescent="0.25">
      <c r="A20268" t="s">
        <v>43023</v>
      </c>
      <c r="B20268" t="s">
        <v>21954</v>
      </c>
      <c r="C20268" t="s">
        <v>21955</v>
      </c>
      <c r="D20268" t="s">
        <v>21444</v>
      </c>
      <c r="E20268" t="s">
        <v>21445</v>
      </c>
      <c r="F20268" t="s">
        <v>19908</v>
      </c>
      <c r="G20268" t="s">
        <v>47093</v>
      </c>
      <c r="H20268" t="s">
        <v>47054</v>
      </c>
      <c r="I20268" t="s">
        <v>47111</v>
      </c>
      <c r="J20268" t="s">
        <v>47112</v>
      </c>
      <c r="K20268" t="s">
        <v>47113</v>
      </c>
      <c r="L20268">
        <v>75.45</v>
      </c>
      <c r="M20268">
        <v>148</v>
      </c>
      <c r="N20268">
        <v>0</v>
      </c>
      <c r="O20268">
        <v>148</v>
      </c>
      <c r="P20268">
        <v>0</v>
      </c>
    </row>
    <row r="20269" spans="1:16" x14ac:dyDescent="0.25">
      <c r="A20269" t="s">
        <v>43024</v>
      </c>
      <c r="B20269" t="s">
        <v>21956</v>
      </c>
      <c r="C20269" t="s">
        <v>10606</v>
      </c>
      <c r="D20269" t="s">
        <v>21652</v>
      </c>
      <c r="E20269" t="s">
        <v>21653</v>
      </c>
      <c r="F20269" t="s">
        <v>17351</v>
      </c>
      <c r="G20269" t="s">
        <v>47093</v>
      </c>
      <c r="H20269" t="s">
        <v>47054</v>
      </c>
      <c r="I20269" t="s">
        <v>47111</v>
      </c>
      <c r="J20269" t="s">
        <v>47112</v>
      </c>
      <c r="K20269" t="s">
        <v>47113</v>
      </c>
      <c r="L20269">
        <v>68.540000000000006</v>
      </c>
      <c r="M20269">
        <v>129</v>
      </c>
      <c r="N20269">
        <v>0</v>
      </c>
      <c r="O20269">
        <v>129</v>
      </c>
      <c r="P20269">
        <v>0</v>
      </c>
    </row>
    <row r="20270" spans="1:16" x14ac:dyDescent="0.25">
      <c r="A20270" t="s">
        <v>43025</v>
      </c>
      <c r="B20270" t="s">
        <v>21957</v>
      </c>
      <c r="C20270" t="s">
        <v>21958</v>
      </c>
      <c r="D20270" t="s">
        <v>21652</v>
      </c>
      <c r="E20270" t="s">
        <v>21653</v>
      </c>
      <c r="F20270" t="s">
        <v>17351</v>
      </c>
      <c r="G20270" t="s">
        <v>49029</v>
      </c>
      <c r="H20270" t="s">
        <v>47054</v>
      </c>
      <c r="I20270" t="s">
        <v>47111</v>
      </c>
      <c r="J20270" t="s">
        <v>47112</v>
      </c>
      <c r="K20270" t="s">
        <v>47113</v>
      </c>
      <c r="L20270">
        <v>50.96</v>
      </c>
      <c r="M20270">
        <v>103</v>
      </c>
      <c r="N20270">
        <v>0</v>
      </c>
      <c r="O20270">
        <v>103</v>
      </c>
      <c r="P20270">
        <v>0</v>
      </c>
    </row>
    <row r="20271" spans="1:16" x14ac:dyDescent="0.25">
      <c r="A20271" t="s">
        <v>43026</v>
      </c>
      <c r="B20271" t="s">
        <v>21959</v>
      </c>
      <c r="C20271" t="s">
        <v>19125</v>
      </c>
      <c r="D20271" t="s">
        <v>21662</v>
      </c>
      <c r="E20271" t="s">
        <v>21663</v>
      </c>
      <c r="F20271" t="s">
        <v>17351</v>
      </c>
      <c r="G20271" t="s">
        <v>47098</v>
      </c>
      <c r="H20271" t="s">
        <v>47054</v>
      </c>
      <c r="I20271" t="s">
        <v>47116</v>
      </c>
      <c r="J20271" t="s">
        <v>47117</v>
      </c>
      <c r="K20271" t="s">
        <v>47113</v>
      </c>
      <c r="L20271">
        <v>79.45</v>
      </c>
      <c r="M20271">
        <v>148</v>
      </c>
      <c r="N20271">
        <v>0</v>
      </c>
      <c r="O20271">
        <v>148</v>
      </c>
      <c r="P20271">
        <v>0</v>
      </c>
    </row>
    <row r="20272" spans="1:16" x14ac:dyDescent="0.25">
      <c r="A20272" t="s">
        <v>43027</v>
      </c>
      <c r="B20272" t="s">
        <v>21960</v>
      </c>
      <c r="C20272" t="s">
        <v>21961</v>
      </c>
      <c r="D20272" t="str">
        <f>"4143"</f>
        <v>4143</v>
      </c>
      <c r="E20272" t="s">
        <v>21962</v>
      </c>
      <c r="F20272" t="s">
        <v>16933</v>
      </c>
      <c r="G20272" t="s">
        <v>47103</v>
      </c>
      <c r="H20272" t="s">
        <v>47054</v>
      </c>
      <c r="I20272" t="s">
        <v>47120</v>
      </c>
      <c r="J20272" t="s">
        <v>47121</v>
      </c>
      <c r="K20272" t="s">
        <v>47113</v>
      </c>
      <c r="L20272">
        <v>35.619999999999997</v>
      </c>
      <c r="M20272">
        <v>148</v>
      </c>
      <c r="N20272">
        <v>0</v>
      </c>
      <c r="O20272">
        <v>148</v>
      </c>
      <c r="P20272">
        <v>0</v>
      </c>
    </row>
    <row r="20273" spans="1:16" x14ac:dyDescent="0.25">
      <c r="A20273" t="s">
        <v>43028</v>
      </c>
      <c r="B20273" t="s">
        <v>21963</v>
      </c>
      <c r="C20273" t="s">
        <v>16368</v>
      </c>
      <c r="D20273" t="s">
        <v>21721</v>
      </c>
      <c r="E20273" t="s">
        <v>21722</v>
      </c>
      <c r="F20273" t="s">
        <v>17351</v>
      </c>
      <c r="G20273" t="s">
        <v>47093</v>
      </c>
      <c r="H20273" t="s">
        <v>47054</v>
      </c>
      <c r="I20273" t="s">
        <v>47116</v>
      </c>
      <c r="J20273" t="s">
        <v>47117</v>
      </c>
      <c r="K20273" t="s">
        <v>47113</v>
      </c>
      <c r="L20273">
        <v>37.67</v>
      </c>
      <c r="M20273">
        <v>74</v>
      </c>
      <c r="N20273">
        <v>0</v>
      </c>
      <c r="O20273">
        <v>74</v>
      </c>
      <c r="P20273">
        <v>0</v>
      </c>
    </row>
    <row r="20274" spans="1:16" x14ac:dyDescent="0.25">
      <c r="A20274" t="s">
        <v>43029</v>
      </c>
      <c r="B20274" t="s">
        <v>21964</v>
      </c>
      <c r="C20274" t="s">
        <v>21965</v>
      </c>
      <c r="D20274" t="s">
        <v>21441</v>
      </c>
      <c r="E20274" t="s">
        <v>21442</v>
      </c>
      <c r="F20274" t="s">
        <v>17351</v>
      </c>
      <c r="G20274" t="s">
        <v>49029</v>
      </c>
      <c r="H20274" t="s">
        <v>47054</v>
      </c>
      <c r="I20274" t="s">
        <v>47116</v>
      </c>
      <c r="J20274" t="s">
        <v>47117</v>
      </c>
      <c r="K20274" t="s">
        <v>47113</v>
      </c>
      <c r="L20274">
        <v>38.450000000000003</v>
      </c>
      <c r="M20274">
        <v>74</v>
      </c>
      <c r="N20274">
        <v>0</v>
      </c>
      <c r="O20274">
        <v>74</v>
      </c>
      <c r="P20274">
        <v>0</v>
      </c>
    </row>
    <row r="20275" spans="1:16" x14ac:dyDescent="0.25">
      <c r="A20275" t="s">
        <v>43030</v>
      </c>
      <c r="B20275" t="s">
        <v>21966</v>
      </c>
      <c r="C20275" t="s">
        <v>21965</v>
      </c>
      <c r="D20275" t="s">
        <v>18587</v>
      </c>
      <c r="E20275" t="s">
        <v>18588</v>
      </c>
      <c r="F20275" t="s">
        <v>17351</v>
      </c>
      <c r="G20275" t="s">
        <v>49029</v>
      </c>
      <c r="H20275" t="s">
        <v>47054</v>
      </c>
      <c r="I20275" t="s">
        <v>47116</v>
      </c>
      <c r="J20275" t="s">
        <v>47117</v>
      </c>
      <c r="K20275" t="s">
        <v>47113</v>
      </c>
      <c r="L20275">
        <v>32.49</v>
      </c>
      <c r="M20275">
        <v>66</v>
      </c>
      <c r="N20275">
        <v>0</v>
      </c>
      <c r="O20275">
        <v>66</v>
      </c>
      <c r="P20275">
        <v>0</v>
      </c>
    </row>
    <row r="20276" spans="1:16" x14ac:dyDescent="0.25">
      <c r="A20276" t="s">
        <v>43031</v>
      </c>
      <c r="B20276" t="s">
        <v>21967</v>
      </c>
      <c r="C20276" t="s">
        <v>21968</v>
      </c>
      <c r="D20276" t="s">
        <v>21871</v>
      </c>
      <c r="E20276" t="s">
        <v>21872</v>
      </c>
      <c r="F20276" t="s">
        <v>17351</v>
      </c>
      <c r="G20276" t="s">
        <v>47093</v>
      </c>
      <c r="H20276" t="s">
        <v>47054</v>
      </c>
      <c r="I20276" t="s">
        <v>47111</v>
      </c>
      <c r="J20276" t="s">
        <v>47112</v>
      </c>
      <c r="K20276" t="s">
        <v>47113</v>
      </c>
      <c r="L20276">
        <v>54.73</v>
      </c>
      <c r="M20276">
        <v>122</v>
      </c>
      <c r="N20276">
        <v>0</v>
      </c>
      <c r="O20276">
        <v>122</v>
      </c>
      <c r="P20276">
        <v>0</v>
      </c>
    </row>
    <row r="20277" spans="1:16" x14ac:dyDescent="0.25">
      <c r="A20277" t="s">
        <v>43032</v>
      </c>
      <c r="B20277" t="s">
        <v>21969</v>
      </c>
      <c r="C20277" t="s">
        <v>21968</v>
      </c>
      <c r="D20277" t="s">
        <v>21874</v>
      </c>
      <c r="E20277" t="s">
        <v>21875</v>
      </c>
      <c r="F20277" t="s">
        <v>17351</v>
      </c>
      <c r="G20277" t="s">
        <v>47093</v>
      </c>
      <c r="H20277" t="s">
        <v>47054</v>
      </c>
      <c r="I20277" t="s">
        <v>47120</v>
      </c>
      <c r="J20277" t="s">
        <v>47121</v>
      </c>
      <c r="K20277" t="s">
        <v>47113</v>
      </c>
      <c r="L20277">
        <v>38.89</v>
      </c>
      <c r="M20277">
        <v>122</v>
      </c>
      <c r="N20277">
        <v>0</v>
      </c>
      <c r="O20277">
        <v>122</v>
      </c>
      <c r="P20277">
        <v>0</v>
      </c>
    </row>
    <row r="20278" spans="1:16" x14ac:dyDescent="0.25">
      <c r="A20278" t="s">
        <v>43033</v>
      </c>
      <c r="B20278" t="s">
        <v>21970</v>
      </c>
      <c r="C20278" t="s">
        <v>21971</v>
      </c>
      <c r="D20278" t="str">
        <f>"1700"</f>
        <v>1700</v>
      </c>
      <c r="E20278" t="s">
        <v>21703</v>
      </c>
      <c r="F20278" t="s">
        <v>16933</v>
      </c>
      <c r="G20278" t="s">
        <v>49029</v>
      </c>
      <c r="H20278" t="s">
        <v>47054</v>
      </c>
      <c r="I20278" t="s">
        <v>47111</v>
      </c>
      <c r="J20278" t="s">
        <v>47112</v>
      </c>
      <c r="K20278" t="s">
        <v>47113</v>
      </c>
      <c r="L20278">
        <v>74.45</v>
      </c>
      <c r="M20278">
        <v>137</v>
      </c>
      <c r="N20278">
        <v>0</v>
      </c>
      <c r="O20278">
        <v>137</v>
      </c>
      <c r="P20278">
        <v>0</v>
      </c>
    </row>
    <row r="20279" spans="1:16" x14ac:dyDescent="0.25">
      <c r="A20279" t="s">
        <v>43034</v>
      </c>
      <c r="B20279" t="s">
        <v>21972</v>
      </c>
      <c r="C20279" t="s">
        <v>21971</v>
      </c>
      <c r="D20279" t="s">
        <v>21824</v>
      </c>
      <c r="E20279" t="s">
        <v>21825</v>
      </c>
      <c r="F20279" t="s">
        <v>17351</v>
      </c>
      <c r="G20279" t="s">
        <v>49029</v>
      </c>
      <c r="H20279" t="s">
        <v>47054</v>
      </c>
      <c r="I20279" t="s">
        <v>47116</v>
      </c>
      <c r="J20279" t="s">
        <v>47117</v>
      </c>
      <c r="K20279" t="s">
        <v>47113</v>
      </c>
      <c r="L20279">
        <v>78.47</v>
      </c>
      <c r="M20279">
        <v>148</v>
      </c>
      <c r="N20279">
        <v>0</v>
      </c>
      <c r="O20279">
        <v>148</v>
      </c>
      <c r="P20279">
        <v>0</v>
      </c>
    </row>
    <row r="20280" spans="1:16" x14ac:dyDescent="0.25">
      <c r="A20280" t="s">
        <v>43035</v>
      </c>
      <c r="B20280" t="s">
        <v>19205</v>
      </c>
      <c r="C20280" t="s">
        <v>18440</v>
      </c>
      <c r="D20280" t="s">
        <v>18612</v>
      </c>
      <c r="E20280" t="s">
        <v>18613</v>
      </c>
      <c r="F20280" t="s">
        <v>16839</v>
      </c>
      <c r="G20280" t="s">
        <v>47093</v>
      </c>
      <c r="H20280" t="s">
        <v>47054</v>
      </c>
      <c r="I20280" t="s">
        <v>47111</v>
      </c>
      <c r="J20280" t="s">
        <v>47112</v>
      </c>
      <c r="K20280" t="s">
        <v>47113</v>
      </c>
      <c r="L20280">
        <v>43.56</v>
      </c>
      <c r="M20280">
        <v>103</v>
      </c>
      <c r="N20280">
        <v>0</v>
      </c>
      <c r="O20280">
        <v>103</v>
      </c>
      <c r="P20280">
        <v>0</v>
      </c>
    </row>
    <row r="20281" spans="1:16" x14ac:dyDescent="0.25">
      <c r="A20281" t="s">
        <v>43036</v>
      </c>
      <c r="B20281" t="s">
        <v>21973</v>
      </c>
      <c r="C20281" t="s">
        <v>16432</v>
      </c>
      <c r="D20281" t="s">
        <v>21441</v>
      </c>
      <c r="E20281" t="s">
        <v>21442</v>
      </c>
      <c r="F20281" t="s">
        <v>17351</v>
      </c>
      <c r="G20281" t="s">
        <v>47093</v>
      </c>
      <c r="H20281" t="s">
        <v>47054</v>
      </c>
      <c r="I20281" t="s">
        <v>47116</v>
      </c>
      <c r="J20281" t="s">
        <v>47117</v>
      </c>
      <c r="K20281" t="s">
        <v>47113</v>
      </c>
      <c r="L20281">
        <v>70.650000000000006</v>
      </c>
      <c r="M20281">
        <v>148</v>
      </c>
      <c r="N20281">
        <v>0</v>
      </c>
      <c r="O20281">
        <v>148</v>
      </c>
      <c r="P20281">
        <v>0</v>
      </c>
    </row>
    <row r="20282" spans="1:16" x14ac:dyDescent="0.25">
      <c r="A20282" t="s">
        <v>43037</v>
      </c>
      <c r="B20282" t="s">
        <v>21974</v>
      </c>
      <c r="C20282" t="s">
        <v>10599</v>
      </c>
      <c r="D20282" t="str">
        <f>"1001"</f>
        <v>1001</v>
      </c>
      <c r="E20282" t="s">
        <v>18567</v>
      </c>
      <c r="F20282" t="s">
        <v>20496</v>
      </c>
      <c r="G20282" t="s">
        <v>47093</v>
      </c>
      <c r="H20282" t="s">
        <v>47054</v>
      </c>
      <c r="I20282" t="s">
        <v>47116</v>
      </c>
      <c r="J20282" t="s">
        <v>47117</v>
      </c>
      <c r="K20282" t="s">
        <v>47113</v>
      </c>
      <c r="L20282">
        <v>47.58</v>
      </c>
      <c r="M20282">
        <v>103</v>
      </c>
      <c r="N20282">
        <v>0</v>
      </c>
      <c r="O20282">
        <v>103</v>
      </c>
      <c r="P20282">
        <v>0</v>
      </c>
    </row>
    <row r="20283" spans="1:16" x14ac:dyDescent="0.25">
      <c r="A20283" t="s">
        <v>43038</v>
      </c>
      <c r="B20283" t="s">
        <v>21975</v>
      </c>
      <c r="C20283" t="s">
        <v>21976</v>
      </c>
      <c r="D20283" t="s">
        <v>21647</v>
      </c>
      <c r="E20283" t="s">
        <v>21648</v>
      </c>
      <c r="F20283" t="s">
        <v>19559</v>
      </c>
      <c r="G20283" t="s">
        <v>47093</v>
      </c>
      <c r="H20283" t="s">
        <v>47054</v>
      </c>
      <c r="I20283" t="s">
        <v>47111</v>
      </c>
      <c r="J20283" t="s">
        <v>47112</v>
      </c>
      <c r="K20283" t="s">
        <v>47113</v>
      </c>
      <c r="L20283">
        <v>71.599999999999994</v>
      </c>
      <c r="M20283">
        <v>148</v>
      </c>
      <c r="N20283">
        <v>0</v>
      </c>
      <c r="O20283">
        <v>148</v>
      </c>
      <c r="P20283">
        <v>0</v>
      </c>
    </row>
    <row r="20284" spans="1:16" x14ac:dyDescent="0.25">
      <c r="A20284" t="s">
        <v>43039</v>
      </c>
      <c r="B20284" t="s">
        <v>21977</v>
      </c>
      <c r="C20284" t="s">
        <v>10599</v>
      </c>
      <c r="D20284" t="s">
        <v>21679</v>
      </c>
      <c r="E20284" t="s">
        <v>21680</v>
      </c>
      <c r="F20284" t="s">
        <v>19878</v>
      </c>
      <c r="G20284" t="s">
        <v>47093</v>
      </c>
      <c r="H20284" t="s">
        <v>47054</v>
      </c>
      <c r="I20284" t="s">
        <v>47544</v>
      </c>
      <c r="J20284" t="s">
        <v>47545</v>
      </c>
      <c r="K20284" t="s">
        <v>47113</v>
      </c>
      <c r="L20284">
        <v>30.72</v>
      </c>
      <c r="M20284">
        <v>66</v>
      </c>
      <c r="N20284">
        <v>0</v>
      </c>
      <c r="O20284">
        <v>66</v>
      </c>
      <c r="P20284">
        <v>0</v>
      </c>
    </row>
    <row r="20285" spans="1:16" x14ac:dyDescent="0.25">
      <c r="A20285" t="s">
        <v>22922</v>
      </c>
      <c r="B20285" t="s">
        <v>21978</v>
      </c>
      <c r="C20285" t="s">
        <v>10599</v>
      </c>
      <c r="D20285" t="s">
        <v>21682</v>
      </c>
      <c r="E20285" t="s">
        <v>21683</v>
      </c>
      <c r="F20285" t="s">
        <v>19559</v>
      </c>
      <c r="G20285" t="s">
        <v>47093</v>
      </c>
      <c r="H20285" t="s">
        <v>47054</v>
      </c>
      <c r="I20285" t="s">
        <v>47111</v>
      </c>
      <c r="J20285" t="s">
        <v>47112</v>
      </c>
      <c r="K20285" t="s">
        <v>47113</v>
      </c>
      <c r="L20285">
        <v>61.18</v>
      </c>
      <c r="M20285">
        <v>129</v>
      </c>
      <c r="N20285">
        <v>0</v>
      </c>
      <c r="O20285">
        <v>129</v>
      </c>
      <c r="P20285">
        <v>0</v>
      </c>
    </row>
    <row r="20286" spans="1:16" x14ac:dyDescent="0.25">
      <c r="A20286" t="s">
        <v>43040</v>
      </c>
      <c r="B20286" t="s">
        <v>43041</v>
      </c>
      <c r="C20286" t="s">
        <v>10599</v>
      </c>
      <c r="D20286" t="s">
        <v>42136</v>
      </c>
      <c r="E20286" t="s">
        <v>42137</v>
      </c>
      <c r="F20286" t="s">
        <v>20496</v>
      </c>
      <c r="G20286" t="s">
        <v>47093</v>
      </c>
      <c r="H20286" t="s">
        <v>47054</v>
      </c>
      <c r="I20286" t="s">
        <v>47544</v>
      </c>
      <c r="J20286" t="s">
        <v>47545</v>
      </c>
      <c r="K20286" t="s">
        <v>47113</v>
      </c>
      <c r="L20286">
        <v>31.71</v>
      </c>
      <c r="M20286">
        <v>70</v>
      </c>
      <c r="N20286">
        <v>0</v>
      </c>
      <c r="O20286">
        <v>70</v>
      </c>
      <c r="P20286">
        <v>0</v>
      </c>
    </row>
    <row r="20287" spans="1:16" x14ac:dyDescent="0.25">
      <c r="A20287" t="s">
        <v>43042</v>
      </c>
      <c r="B20287" t="s">
        <v>43043</v>
      </c>
      <c r="C20287" t="s">
        <v>10599</v>
      </c>
      <c r="D20287" t="s">
        <v>40634</v>
      </c>
      <c r="E20287" t="s">
        <v>40635</v>
      </c>
      <c r="F20287" t="s">
        <v>24617</v>
      </c>
      <c r="G20287" t="s">
        <v>47093</v>
      </c>
      <c r="H20287" t="s">
        <v>47054</v>
      </c>
      <c r="I20287" t="s">
        <v>47544</v>
      </c>
      <c r="J20287" t="s">
        <v>47545</v>
      </c>
      <c r="K20287" t="s">
        <v>47113</v>
      </c>
      <c r="L20287">
        <v>27.81</v>
      </c>
      <c r="M20287">
        <v>92</v>
      </c>
      <c r="N20287">
        <v>249</v>
      </c>
      <c r="O20287">
        <v>92</v>
      </c>
      <c r="P20287">
        <v>249</v>
      </c>
    </row>
    <row r="20288" spans="1:16" x14ac:dyDescent="0.25">
      <c r="A20288" t="s">
        <v>43044</v>
      </c>
      <c r="B20288" t="s">
        <v>43045</v>
      </c>
      <c r="C20288" t="s">
        <v>10599</v>
      </c>
      <c r="D20288" t="s">
        <v>43046</v>
      </c>
      <c r="E20288" t="s">
        <v>43047</v>
      </c>
      <c r="F20288" t="s">
        <v>21627</v>
      </c>
      <c r="G20288" t="s">
        <v>47093</v>
      </c>
      <c r="H20288" t="s">
        <v>47054</v>
      </c>
      <c r="I20288" t="s">
        <v>47544</v>
      </c>
      <c r="J20288" t="s">
        <v>47545</v>
      </c>
      <c r="K20288" t="s">
        <v>47113</v>
      </c>
      <c r="L20288">
        <v>31.96</v>
      </c>
      <c r="M20288">
        <v>74</v>
      </c>
      <c r="N20288">
        <v>0</v>
      </c>
      <c r="O20288">
        <v>74</v>
      </c>
      <c r="P20288">
        <v>0</v>
      </c>
    </row>
    <row r="20289" spans="1:16" x14ac:dyDescent="0.25">
      <c r="A20289" t="s">
        <v>43048</v>
      </c>
      <c r="B20289" t="s">
        <v>21979</v>
      </c>
      <c r="C20289" t="s">
        <v>18468</v>
      </c>
      <c r="D20289" t="s">
        <v>21724</v>
      </c>
      <c r="E20289" t="s">
        <v>21725</v>
      </c>
      <c r="F20289" t="s">
        <v>17351</v>
      </c>
      <c r="G20289" t="s">
        <v>47093</v>
      </c>
      <c r="I20289" t="s">
        <v>47111</v>
      </c>
      <c r="J20289" t="s">
        <v>47112</v>
      </c>
      <c r="K20289" t="s">
        <v>47113</v>
      </c>
      <c r="L20289">
        <v>80.62</v>
      </c>
      <c r="M20289">
        <v>148</v>
      </c>
      <c r="N20289">
        <v>0</v>
      </c>
      <c r="O20289">
        <v>148</v>
      </c>
      <c r="P20289">
        <v>0</v>
      </c>
    </row>
    <row r="20290" spans="1:16" x14ac:dyDescent="0.25">
      <c r="A20290" t="s">
        <v>43049</v>
      </c>
      <c r="B20290" t="s">
        <v>21980</v>
      </c>
      <c r="C20290" t="s">
        <v>21981</v>
      </c>
      <c r="D20290" t="str">
        <f>"4143"</f>
        <v>4143</v>
      </c>
      <c r="E20290" t="s">
        <v>21982</v>
      </c>
      <c r="F20290" t="s">
        <v>16933</v>
      </c>
      <c r="G20290" t="s">
        <v>47101</v>
      </c>
      <c r="H20290" t="s">
        <v>47054</v>
      </c>
      <c r="I20290" t="s">
        <v>47120</v>
      </c>
      <c r="J20290" t="s">
        <v>47121</v>
      </c>
      <c r="K20290" t="s">
        <v>47113</v>
      </c>
      <c r="L20290">
        <v>25.83</v>
      </c>
      <c r="M20290">
        <v>66</v>
      </c>
      <c r="N20290">
        <v>0</v>
      </c>
      <c r="O20290">
        <v>66</v>
      </c>
      <c r="P20290">
        <v>0</v>
      </c>
    </row>
    <row r="20291" spans="1:16" x14ac:dyDescent="0.25">
      <c r="A20291" t="s">
        <v>43050</v>
      </c>
      <c r="B20291" t="s">
        <v>21983</v>
      </c>
      <c r="C20291" t="s">
        <v>21984</v>
      </c>
      <c r="D20291" t="str">
        <f>"1700"</f>
        <v>1700</v>
      </c>
      <c r="E20291" t="s">
        <v>60</v>
      </c>
      <c r="F20291" t="s">
        <v>16933</v>
      </c>
      <c r="G20291" t="s">
        <v>47101</v>
      </c>
      <c r="H20291" t="s">
        <v>47054</v>
      </c>
      <c r="I20291" t="s">
        <v>47120</v>
      </c>
      <c r="J20291" t="s">
        <v>47121</v>
      </c>
      <c r="K20291" t="s">
        <v>47113</v>
      </c>
      <c r="L20291">
        <v>22.75</v>
      </c>
      <c r="M20291">
        <v>85</v>
      </c>
      <c r="N20291">
        <v>0</v>
      </c>
      <c r="O20291">
        <v>85</v>
      </c>
      <c r="P20291">
        <v>0</v>
      </c>
    </row>
    <row r="20292" spans="1:16" x14ac:dyDescent="0.25">
      <c r="A20292" t="s">
        <v>43051</v>
      </c>
      <c r="B20292" t="s">
        <v>21985</v>
      </c>
      <c r="C20292" t="s">
        <v>21986</v>
      </c>
      <c r="D20292" t="str">
        <f>"6000"</f>
        <v>6000</v>
      </c>
      <c r="E20292" t="s">
        <v>21987</v>
      </c>
      <c r="F20292" t="s">
        <v>16933</v>
      </c>
      <c r="G20292" t="s">
        <v>47093</v>
      </c>
      <c r="H20292" t="s">
        <v>47054</v>
      </c>
      <c r="I20292" t="s">
        <v>47111</v>
      </c>
      <c r="J20292" t="s">
        <v>47112</v>
      </c>
      <c r="K20292" t="s">
        <v>47113</v>
      </c>
      <c r="L20292">
        <v>66.989999999999995</v>
      </c>
      <c r="M20292">
        <v>92</v>
      </c>
      <c r="N20292">
        <v>0</v>
      </c>
      <c r="O20292">
        <v>92</v>
      </c>
      <c r="P20292">
        <v>0</v>
      </c>
    </row>
    <row r="20293" spans="1:16" x14ac:dyDescent="0.25">
      <c r="A20293" t="s">
        <v>43052</v>
      </c>
      <c r="B20293" t="s">
        <v>21988</v>
      </c>
      <c r="C20293" t="s">
        <v>16432</v>
      </c>
      <c r="D20293" t="s">
        <v>21824</v>
      </c>
      <c r="E20293" t="s">
        <v>21825</v>
      </c>
      <c r="F20293" t="s">
        <v>17351</v>
      </c>
      <c r="G20293" t="s">
        <v>47093</v>
      </c>
      <c r="H20293" t="s">
        <v>47054</v>
      </c>
      <c r="I20293" t="s">
        <v>47116</v>
      </c>
      <c r="J20293" t="s">
        <v>47117</v>
      </c>
      <c r="K20293" t="s">
        <v>47113</v>
      </c>
      <c r="L20293">
        <v>33.299999999999997</v>
      </c>
      <c r="M20293">
        <v>66</v>
      </c>
      <c r="N20293">
        <v>0</v>
      </c>
      <c r="O20293">
        <v>66</v>
      </c>
      <c r="P20293">
        <v>0</v>
      </c>
    </row>
    <row r="20294" spans="1:16" x14ac:dyDescent="0.25">
      <c r="A20294" t="s">
        <v>43053</v>
      </c>
      <c r="B20294" t="s">
        <v>21989</v>
      </c>
      <c r="C20294" t="s">
        <v>21990</v>
      </c>
      <c r="D20294" t="s">
        <v>21827</v>
      </c>
      <c r="E20294" t="s">
        <v>21828</v>
      </c>
      <c r="F20294" t="s">
        <v>17351</v>
      </c>
      <c r="G20294" t="s">
        <v>47093</v>
      </c>
      <c r="H20294" t="s">
        <v>47054</v>
      </c>
      <c r="I20294" t="s">
        <v>47111</v>
      </c>
      <c r="J20294" t="s">
        <v>47112</v>
      </c>
      <c r="K20294" t="s">
        <v>47113</v>
      </c>
      <c r="L20294">
        <v>69.11</v>
      </c>
      <c r="M20294">
        <v>140</v>
      </c>
      <c r="N20294">
        <v>0</v>
      </c>
      <c r="O20294">
        <v>140</v>
      </c>
      <c r="P20294">
        <v>0</v>
      </c>
    </row>
    <row r="20295" spans="1:16" x14ac:dyDescent="0.25">
      <c r="A20295" t="s">
        <v>43054</v>
      </c>
      <c r="B20295" t="s">
        <v>21991</v>
      </c>
      <c r="C20295" t="s">
        <v>21986</v>
      </c>
      <c r="D20295" t="s">
        <v>21662</v>
      </c>
      <c r="E20295" t="s">
        <v>21663</v>
      </c>
      <c r="F20295" t="s">
        <v>17351</v>
      </c>
      <c r="G20295" t="s">
        <v>47093</v>
      </c>
      <c r="H20295" t="s">
        <v>47054</v>
      </c>
      <c r="I20295" t="s">
        <v>47111</v>
      </c>
      <c r="J20295" t="s">
        <v>47112</v>
      </c>
      <c r="K20295" t="s">
        <v>47113</v>
      </c>
      <c r="L20295">
        <v>78.19</v>
      </c>
      <c r="M20295">
        <v>148</v>
      </c>
      <c r="N20295">
        <v>0</v>
      </c>
      <c r="O20295">
        <v>148</v>
      </c>
      <c r="P20295">
        <v>0</v>
      </c>
    </row>
    <row r="20296" spans="1:16" x14ac:dyDescent="0.25">
      <c r="A20296" t="s">
        <v>43055</v>
      </c>
      <c r="B20296" t="s">
        <v>21992</v>
      </c>
      <c r="C20296" t="s">
        <v>19125</v>
      </c>
      <c r="D20296" t="s">
        <v>18587</v>
      </c>
      <c r="E20296" t="s">
        <v>18588</v>
      </c>
      <c r="F20296" t="s">
        <v>19847</v>
      </c>
      <c r="G20296" t="s">
        <v>47098</v>
      </c>
      <c r="H20296" t="s">
        <v>47054</v>
      </c>
      <c r="I20296" t="s">
        <v>47120</v>
      </c>
      <c r="J20296" t="s">
        <v>47121</v>
      </c>
      <c r="K20296" t="s">
        <v>47113</v>
      </c>
      <c r="L20296">
        <v>42.74</v>
      </c>
      <c r="M20296">
        <v>92</v>
      </c>
      <c r="N20296">
        <v>0</v>
      </c>
      <c r="O20296">
        <v>92</v>
      </c>
      <c r="P20296">
        <v>0</v>
      </c>
    </row>
    <row r="20297" spans="1:16" x14ac:dyDescent="0.25">
      <c r="A20297" t="s">
        <v>43056</v>
      </c>
      <c r="B20297" t="s">
        <v>21993</v>
      </c>
      <c r="C20297" t="s">
        <v>19125</v>
      </c>
      <c r="D20297" t="s">
        <v>21444</v>
      </c>
      <c r="E20297" t="s">
        <v>21445</v>
      </c>
      <c r="F20297" t="s">
        <v>17351</v>
      </c>
      <c r="G20297" t="s">
        <v>47098</v>
      </c>
      <c r="H20297" t="s">
        <v>47054</v>
      </c>
      <c r="I20297" t="s">
        <v>47116</v>
      </c>
      <c r="J20297" t="s">
        <v>47117</v>
      </c>
      <c r="K20297" t="s">
        <v>47113</v>
      </c>
      <c r="L20297">
        <v>89.17</v>
      </c>
      <c r="M20297">
        <v>177</v>
      </c>
      <c r="N20297">
        <v>0</v>
      </c>
      <c r="O20297">
        <v>177</v>
      </c>
      <c r="P20297">
        <v>0</v>
      </c>
    </row>
    <row r="20298" spans="1:16" x14ac:dyDescent="0.25">
      <c r="A20298" t="s">
        <v>22923</v>
      </c>
      <c r="B20298" t="s">
        <v>21994</v>
      </c>
      <c r="C20298" t="s">
        <v>15858</v>
      </c>
      <c r="D20298" t="s">
        <v>21675</v>
      </c>
      <c r="E20298" t="s">
        <v>21676</v>
      </c>
      <c r="F20298" t="s">
        <v>19552</v>
      </c>
      <c r="G20298" t="s">
        <v>47098</v>
      </c>
      <c r="H20298" t="s">
        <v>47054</v>
      </c>
      <c r="I20298" t="s">
        <v>47116</v>
      </c>
      <c r="J20298" t="s">
        <v>47117</v>
      </c>
      <c r="K20298" t="s">
        <v>47113</v>
      </c>
      <c r="L20298">
        <v>62.62</v>
      </c>
      <c r="M20298">
        <v>148</v>
      </c>
      <c r="N20298">
        <v>0</v>
      </c>
      <c r="O20298">
        <v>148</v>
      </c>
      <c r="P20298">
        <v>0</v>
      </c>
    </row>
    <row r="20299" spans="1:16" x14ac:dyDescent="0.25">
      <c r="A20299" t="s">
        <v>22924</v>
      </c>
      <c r="B20299" t="s">
        <v>21995</v>
      </c>
      <c r="C20299" t="s">
        <v>19125</v>
      </c>
      <c r="D20299" t="s">
        <v>21282</v>
      </c>
      <c r="E20299" t="s">
        <v>21283</v>
      </c>
      <c r="F20299" t="s">
        <v>19552</v>
      </c>
      <c r="G20299" t="s">
        <v>47098</v>
      </c>
      <c r="H20299" t="s">
        <v>47054</v>
      </c>
      <c r="I20299" t="s">
        <v>47116</v>
      </c>
      <c r="J20299" t="s">
        <v>47117</v>
      </c>
      <c r="K20299" t="s">
        <v>47113</v>
      </c>
      <c r="L20299">
        <v>44.62</v>
      </c>
      <c r="M20299">
        <v>103</v>
      </c>
      <c r="N20299">
        <v>0</v>
      </c>
      <c r="O20299">
        <v>103</v>
      </c>
      <c r="P20299">
        <v>0</v>
      </c>
    </row>
    <row r="20300" spans="1:16" x14ac:dyDescent="0.25">
      <c r="A20300" t="s">
        <v>43057</v>
      </c>
      <c r="B20300" t="s">
        <v>21996</v>
      </c>
      <c r="C20300" t="s">
        <v>21997</v>
      </c>
      <c r="D20300" t="s">
        <v>18587</v>
      </c>
      <c r="E20300" t="s">
        <v>18588</v>
      </c>
      <c r="F20300" t="s">
        <v>17351</v>
      </c>
      <c r="G20300" t="s">
        <v>49030</v>
      </c>
      <c r="H20300" t="s">
        <v>47054</v>
      </c>
      <c r="I20300" t="s">
        <v>47116</v>
      </c>
      <c r="J20300" t="s">
        <v>47117</v>
      </c>
      <c r="K20300" t="s">
        <v>47113</v>
      </c>
      <c r="L20300">
        <v>36.42</v>
      </c>
      <c r="M20300">
        <v>92</v>
      </c>
      <c r="N20300">
        <v>0</v>
      </c>
      <c r="O20300">
        <v>92</v>
      </c>
      <c r="P20300">
        <v>0</v>
      </c>
    </row>
    <row r="20301" spans="1:16" x14ac:dyDescent="0.25">
      <c r="A20301" t="s">
        <v>43058</v>
      </c>
      <c r="B20301" t="s">
        <v>21998</v>
      </c>
      <c r="C20301" t="s">
        <v>16405</v>
      </c>
      <c r="D20301" t="s">
        <v>21441</v>
      </c>
      <c r="E20301" t="s">
        <v>21442</v>
      </c>
      <c r="F20301" t="s">
        <v>17351</v>
      </c>
      <c r="G20301" t="s">
        <v>49029</v>
      </c>
      <c r="H20301" t="s">
        <v>47054</v>
      </c>
      <c r="I20301" t="s">
        <v>47116</v>
      </c>
      <c r="J20301" t="s">
        <v>47117</v>
      </c>
      <c r="K20301" t="s">
        <v>47113</v>
      </c>
      <c r="L20301">
        <v>62.83</v>
      </c>
      <c r="M20301">
        <v>122</v>
      </c>
      <c r="N20301">
        <v>0</v>
      </c>
      <c r="O20301">
        <v>122</v>
      </c>
      <c r="P20301">
        <v>0</v>
      </c>
    </row>
    <row r="20302" spans="1:16" x14ac:dyDescent="0.25">
      <c r="A20302" t="s">
        <v>43059</v>
      </c>
      <c r="B20302" t="s">
        <v>21999</v>
      </c>
      <c r="C20302" t="s">
        <v>22000</v>
      </c>
      <c r="D20302" t="s">
        <v>22001</v>
      </c>
      <c r="E20302" t="s">
        <v>22002</v>
      </c>
      <c r="F20302" t="s">
        <v>19559</v>
      </c>
      <c r="G20302" t="s">
        <v>47093</v>
      </c>
      <c r="H20302" t="s">
        <v>47054</v>
      </c>
      <c r="I20302" t="s">
        <v>47544</v>
      </c>
      <c r="J20302" t="s">
        <v>47545</v>
      </c>
      <c r="K20302" t="s">
        <v>47113</v>
      </c>
      <c r="L20302">
        <v>30.87</v>
      </c>
      <c r="M20302">
        <v>66</v>
      </c>
      <c r="N20302">
        <v>0</v>
      </c>
      <c r="O20302">
        <v>66</v>
      </c>
      <c r="P20302">
        <v>0</v>
      </c>
    </row>
    <row r="20303" spans="1:16" x14ac:dyDescent="0.25">
      <c r="A20303" t="s">
        <v>43060</v>
      </c>
      <c r="B20303" t="s">
        <v>22003</v>
      </c>
      <c r="C20303" t="s">
        <v>22000</v>
      </c>
      <c r="D20303" t="s">
        <v>21647</v>
      </c>
      <c r="E20303" t="s">
        <v>22004</v>
      </c>
      <c r="F20303" t="s">
        <v>19559</v>
      </c>
      <c r="G20303" t="s">
        <v>47093</v>
      </c>
      <c r="H20303" t="s">
        <v>47054</v>
      </c>
      <c r="I20303" t="s">
        <v>47544</v>
      </c>
      <c r="J20303" t="s">
        <v>47545</v>
      </c>
      <c r="K20303" t="s">
        <v>47113</v>
      </c>
      <c r="L20303">
        <v>30.42</v>
      </c>
      <c r="M20303">
        <v>66</v>
      </c>
      <c r="N20303">
        <v>0</v>
      </c>
      <c r="O20303">
        <v>66</v>
      </c>
      <c r="P20303">
        <v>0</v>
      </c>
    </row>
    <row r="20304" spans="1:16" x14ac:dyDescent="0.25">
      <c r="A20304" t="s">
        <v>43061</v>
      </c>
      <c r="B20304" t="s">
        <v>43062</v>
      </c>
      <c r="C20304" t="s">
        <v>43063</v>
      </c>
      <c r="D20304" t="s">
        <v>41941</v>
      </c>
      <c r="E20304" t="s">
        <v>41942</v>
      </c>
      <c r="F20304" t="s">
        <v>21629</v>
      </c>
      <c r="G20304" t="s">
        <v>47093</v>
      </c>
      <c r="H20304" t="s">
        <v>47054</v>
      </c>
      <c r="I20304" t="s">
        <v>47544</v>
      </c>
      <c r="J20304" t="s">
        <v>47545</v>
      </c>
      <c r="K20304" t="s">
        <v>47113</v>
      </c>
      <c r="L20304">
        <v>30.65</v>
      </c>
      <c r="M20304">
        <v>85</v>
      </c>
      <c r="N20304">
        <v>0</v>
      </c>
      <c r="O20304">
        <v>85</v>
      </c>
      <c r="P20304">
        <v>0</v>
      </c>
    </row>
    <row r="20305" spans="1:16" x14ac:dyDescent="0.25">
      <c r="A20305" t="s">
        <v>43064</v>
      </c>
      <c r="B20305" t="s">
        <v>22005</v>
      </c>
      <c r="C20305" t="s">
        <v>22006</v>
      </c>
      <c r="D20305" t="s">
        <v>22001</v>
      </c>
      <c r="E20305" t="s">
        <v>22002</v>
      </c>
      <c r="F20305" t="s">
        <v>19559</v>
      </c>
      <c r="G20305" t="s">
        <v>47093</v>
      </c>
      <c r="H20305" t="s">
        <v>47054</v>
      </c>
      <c r="I20305" t="s">
        <v>47544</v>
      </c>
      <c r="J20305" t="s">
        <v>47545</v>
      </c>
      <c r="K20305" t="s">
        <v>47113</v>
      </c>
      <c r="L20305">
        <v>36.520000000000003</v>
      </c>
      <c r="M20305">
        <v>92</v>
      </c>
      <c r="N20305">
        <v>0</v>
      </c>
      <c r="O20305">
        <v>92</v>
      </c>
      <c r="P20305">
        <v>0</v>
      </c>
    </row>
    <row r="20306" spans="1:16" x14ac:dyDescent="0.25">
      <c r="A20306" t="s">
        <v>43065</v>
      </c>
      <c r="B20306" t="s">
        <v>22007</v>
      </c>
      <c r="C20306" t="s">
        <v>22008</v>
      </c>
      <c r="D20306" t="s">
        <v>22001</v>
      </c>
      <c r="E20306" t="s">
        <v>22002</v>
      </c>
      <c r="F20306" t="s">
        <v>19559</v>
      </c>
      <c r="G20306" t="s">
        <v>49029</v>
      </c>
      <c r="H20306" t="s">
        <v>47054</v>
      </c>
      <c r="I20306" t="s">
        <v>47544</v>
      </c>
      <c r="J20306" t="s">
        <v>47545</v>
      </c>
      <c r="K20306" t="s">
        <v>47113</v>
      </c>
      <c r="L20306">
        <v>36.450000000000003</v>
      </c>
      <c r="M20306">
        <v>74</v>
      </c>
      <c r="N20306">
        <v>0</v>
      </c>
      <c r="O20306">
        <v>74</v>
      </c>
      <c r="P20306">
        <v>0</v>
      </c>
    </row>
    <row r="20307" spans="1:16" x14ac:dyDescent="0.25">
      <c r="A20307" t="s">
        <v>43066</v>
      </c>
      <c r="B20307" t="s">
        <v>22009</v>
      </c>
      <c r="C20307" t="s">
        <v>22010</v>
      </c>
      <c r="D20307" t="s">
        <v>15967</v>
      </c>
      <c r="E20307" t="s">
        <v>15968</v>
      </c>
      <c r="F20307" t="s">
        <v>19559</v>
      </c>
      <c r="G20307" t="s">
        <v>47099</v>
      </c>
      <c r="H20307" t="s">
        <v>47054</v>
      </c>
      <c r="I20307" t="s">
        <v>47120</v>
      </c>
      <c r="J20307" t="s">
        <v>47121</v>
      </c>
      <c r="K20307" t="s">
        <v>47113</v>
      </c>
      <c r="L20307">
        <v>26.95</v>
      </c>
      <c r="M20307">
        <v>66</v>
      </c>
      <c r="N20307">
        <v>0</v>
      </c>
      <c r="O20307">
        <v>66</v>
      </c>
      <c r="P20307">
        <v>0</v>
      </c>
    </row>
    <row r="20308" spans="1:16" x14ac:dyDescent="0.25">
      <c r="A20308" t="s">
        <v>43067</v>
      </c>
      <c r="B20308" t="s">
        <v>22011</v>
      </c>
      <c r="C20308" t="s">
        <v>22010</v>
      </c>
      <c r="D20308" t="s">
        <v>15967</v>
      </c>
      <c r="E20308" t="s">
        <v>15968</v>
      </c>
      <c r="F20308" t="s">
        <v>19559</v>
      </c>
      <c r="G20308" t="s">
        <v>47099</v>
      </c>
      <c r="H20308" t="s">
        <v>47054</v>
      </c>
      <c r="I20308" t="s">
        <v>47120</v>
      </c>
      <c r="J20308" t="s">
        <v>47121</v>
      </c>
      <c r="K20308" t="s">
        <v>47113</v>
      </c>
      <c r="L20308">
        <v>26.95</v>
      </c>
      <c r="M20308">
        <v>66</v>
      </c>
      <c r="N20308">
        <v>0</v>
      </c>
      <c r="O20308">
        <v>66</v>
      </c>
      <c r="P20308">
        <v>0</v>
      </c>
    </row>
    <row r="20309" spans="1:16" x14ac:dyDescent="0.25">
      <c r="A20309" t="s">
        <v>43068</v>
      </c>
      <c r="B20309" t="s">
        <v>22012</v>
      </c>
      <c r="C20309" t="s">
        <v>22010</v>
      </c>
      <c r="D20309" t="str">
        <f>"1001"</f>
        <v>1001</v>
      </c>
      <c r="E20309" t="s">
        <v>22013</v>
      </c>
      <c r="F20309" t="s">
        <v>19559</v>
      </c>
      <c r="G20309" t="s">
        <v>47099</v>
      </c>
      <c r="H20309" t="s">
        <v>47054</v>
      </c>
      <c r="I20309" t="s">
        <v>47120</v>
      </c>
      <c r="J20309" t="s">
        <v>47121</v>
      </c>
      <c r="K20309" t="s">
        <v>47113</v>
      </c>
      <c r="L20309">
        <v>29.27</v>
      </c>
      <c r="M20309">
        <v>66</v>
      </c>
      <c r="N20309">
        <v>0</v>
      </c>
      <c r="O20309">
        <v>66</v>
      </c>
      <c r="P20309">
        <v>0</v>
      </c>
    </row>
    <row r="20310" spans="1:16" x14ac:dyDescent="0.25">
      <c r="A20310" t="s">
        <v>43069</v>
      </c>
      <c r="B20310" t="s">
        <v>22014</v>
      </c>
      <c r="C20310" t="s">
        <v>19131</v>
      </c>
      <c r="D20310" t="s">
        <v>21282</v>
      </c>
      <c r="E20310" t="s">
        <v>21283</v>
      </c>
      <c r="F20310" t="s">
        <v>19559</v>
      </c>
      <c r="G20310" t="s">
        <v>47093</v>
      </c>
      <c r="H20310" t="s">
        <v>47054</v>
      </c>
      <c r="I20310" t="s">
        <v>47116</v>
      </c>
      <c r="J20310" t="s">
        <v>47117</v>
      </c>
      <c r="K20310" t="s">
        <v>47113</v>
      </c>
      <c r="L20310">
        <v>46.87</v>
      </c>
      <c r="M20310">
        <v>111</v>
      </c>
      <c r="N20310">
        <v>0</v>
      </c>
      <c r="O20310">
        <v>111</v>
      </c>
      <c r="P20310">
        <v>0</v>
      </c>
    </row>
    <row r="20311" spans="1:16" x14ac:dyDescent="0.25">
      <c r="A20311" t="s">
        <v>43070</v>
      </c>
      <c r="B20311" t="s">
        <v>43071</v>
      </c>
      <c r="C20311" t="s">
        <v>18762</v>
      </c>
      <c r="D20311" t="s">
        <v>21874</v>
      </c>
      <c r="E20311" t="s">
        <v>21875</v>
      </c>
      <c r="F20311" t="s">
        <v>24617</v>
      </c>
      <c r="G20311" t="s">
        <v>47099</v>
      </c>
      <c r="H20311" t="s">
        <v>47054</v>
      </c>
      <c r="I20311" t="s">
        <v>47120</v>
      </c>
      <c r="J20311" t="s">
        <v>47121</v>
      </c>
      <c r="K20311" t="s">
        <v>47113</v>
      </c>
      <c r="L20311">
        <v>29.17</v>
      </c>
      <c r="M20311">
        <v>70</v>
      </c>
      <c r="N20311">
        <v>189</v>
      </c>
      <c r="O20311">
        <v>70</v>
      </c>
      <c r="P20311">
        <v>189</v>
      </c>
    </row>
    <row r="20312" spans="1:16" x14ac:dyDescent="0.25">
      <c r="A20312" t="s">
        <v>43072</v>
      </c>
      <c r="B20312" t="s">
        <v>22015</v>
      </c>
      <c r="C20312" t="s">
        <v>22016</v>
      </c>
      <c r="D20312" t="s">
        <v>18469</v>
      </c>
      <c r="E20312" t="s">
        <v>18470</v>
      </c>
      <c r="F20312" t="s">
        <v>19878</v>
      </c>
      <c r="G20312" t="s">
        <v>47099</v>
      </c>
      <c r="H20312" t="s">
        <v>47054</v>
      </c>
      <c r="I20312" t="s">
        <v>47120</v>
      </c>
      <c r="J20312" t="s">
        <v>47121</v>
      </c>
      <c r="K20312" t="s">
        <v>47113</v>
      </c>
      <c r="L20312">
        <v>26.72</v>
      </c>
      <c r="M20312">
        <v>66</v>
      </c>
      <c r="N20312">
        <v>0</v>
      </c>
      <c r="O20312">
        <v>66</v>
      </c>
      <c r="P20312">
        <v>0</v>
      </c>
    </row>
    <row r="20313" spans="1:16" x14ac:dyDescent="0.25">
      <c r="A20313" t="s">
        <v>43073</v>
      </c>
      <c r="B20313" t="s">
        <v>22017</v>
      </c>
      <c r="C20313" t="s">
        <v>22016</v>
      </c>
      <c r="D20313" t="s">
        <v>18469</v>
      </c>
      <c r="E20313" t="s">
        <v>18470</v>
      </c>
      <c r="F20313" t="s">
        <v>19878</v>
      </c>
      <c r="G20313" t="s">
        <v>47099</v>
      </c>
      <c r="H20313" t="s">
        <v>47054</v>
      </c>
      <c r="I20313" t="s">
        <v>47120</v>
      </c>
      <c r="J20313" t="s">
        <v>47121</v>
      </c>
      <c r="K20313" t="s">
        <v>47113</v>
      </c>
      <c r="L20313">
        <v>26.72</v>
      </c>
      <c r="M20313">
        <v>66</v>
      </c>
      <c r="N20313">
        <v>0</v>
      </c>
      <c r="O20313">
        <v>66</v>
      </c>
      <c r="P20313">
        <v>0</v>
      </c>
    </row>
    <row r="20314" spans="1:16" x14ac:dyDescent="0.25">
      <c r="A20314" t="s">
        <v>43074</v>
      </c>
      <c r="B20314" t="s">
        <v>22018</v>
      </c>
      <c r="C20314" t="s">
        <v>22016</v>
      </c>
      <c r="D20314" t="s">
        <v>22019</v>
      </c>
      <c r="E20314" t="s">
        <v>22020</v>
      </c>
      <c r="F20314" t="s">
        <v>19878</v>
      </c>
      <c r="G20314" t="s">
        <v>47099</v>
      </c>
      <c r="H20314" t="s">
        <v>47054</v>
      </c>
      <c r="I20314" t="s">
        <v>47120</v>
      </c>
      <c r="J20314" t="s">
        <v>47121</v>
      </c>
      <c r="K20314" t="s">
        <v>47113</v>
      </c>
      <c r="L20314">
        <v>29.03</v>
      </c>
      <c r="M20314">
        <v>66</v>
      </c>
      <c r="N20314">
        <v>0</v>
      </c>
      <c r="O20314">
        <v>66</v>
      </c>
      <c r="P20314">
        <v>0</v>
      </c>
    </row>
    <row r="20315" spans="1:16" x14ac:dyDescent="0.25">
      <c r="A20315" t="s">
        <v>43075</v>
      </c>
      <c r="B20315" t="s">
        <v>22021</v>
      </c>
      <c r="C20315" t="s">
        <v>22016</v>
      </c>
      <c r="D20315" t="s">
        <v>22019</v>
      </c>
      <c r="E20315" t="s">
        <v>22020</v>
      </c>
      <c r="F20315" t="s">
        <v>19878</v>
      </c>
      <c r="G20315" t="s">
        <v>47099</v>
      </c>
      <c r="H20315" t="s">
        <v>47054</v>
      </c>
      <c r="I20315" t="s">
        <v>47120</v>
      </c>
      <c r="J20315" t="s">
        <v>47121</v>
      </c>
      <c r="K20315" t="s">
        <v>47113</v>
      </c>
      <c r="L20315">
        <v>37.15</v>
      </c>
      <c r="M20315">
        <v>74</v>
      </c>
      <c r="N20315">
        <v>0</v>
      </c>
      <c r="O20315">
        <v>74</v>
      </c>
      <c r="P20315">
        <v>0</v>
      </c>
    </row>
    <row r="20316" spans="1:16" x14ac:dyDescent="0.25">
      <c r="A20316" t="s">
        <v>43076</v>
      </c>
      <c r="B20316" t="s">
        <v>43077</v>
      </c>
      <c r="C20316" t="s">
        <v>18762</v>
      </c>
      <c r="D20316" t="s">
        <v>43078</v>
      </c>
      <c r="E20316" t="s">
        <v>43079</v>
      </c>
      <c r="F20316" t="s">
        <v>21629</v>
      </c>
      <c r="G20316" t="s">
        <v>47099</v>
      </c>
      <c r="H20316" t="s">
        <v>47054</v>
      </c>
      <c r="I20316" t="s">
        <v>47120</v>
      </c>
      <c r="J20316" t="s">
        <v>47121</v>
      </c>
      <c r="K20316" t="s">
        <v>47113</v>
      </c>
      <c r="L20316">
        <v>32.299999999999997</v>
      </c>
      <c r="M20316">
        <v>81</v>
      </c>
      <c r="N20316">
        <v>0</v>
      </c>
      <c r="O20316">
        <v>81</v>
      </c>
      <c r="P20316">
        <v>0</v>
      </c>
    </row>
    <row r="20317" spans="1:16" x14ac:dyDescent="0.25">
      <c r="A20317" t="s">
        <v>43080</v>
      </c>
      <c r="B20317" t="s">
        <v>22022</v>
      </c>
      <c r="C20317" t="s">
        <v>10614</v>
      </c>
      <c r="D20317" t="s">
        <v>22023</v>
      </c>
      <c r="E20317" t="s">
        <v>22024</v>
      </c>
      <c r="F20317" t="s">
        <v>19552</v>
      </c>
      <c r="G20317" t="s">
        <v>47093</v>
      </c>
      <c r="H20317" t="s">
        <v>47054</v>
      </c>
      <c r="I20317" t="s">
        <v>47111</v>
      </c>
      <c r="J20317" t="s">
        <v>47112</v>
      </c>
      <c r="K20317" t="s">
        <v>47113</v>
      </c>
      <c r="L20317">
        <v>72.739999999999995</v>
      </c>
      <c r="M20317">
        <v>137</v>
      </c>
      <c r="N20317">
        <v>0</v>
      </c>
      <c r="O20317">
        <v>137</v>
      </c>
      <c r="P20317">
        <v>0</v>
      </c>
    </row>
    <row r="20318" spans="1:16" x14ac:dyDescent="0.25">
      <c r="A20318" t="s">
        <v>43081</v>
      </c>
      <c r="B20318" t="s">
        <v>43082</v>
      </c>
      <c r="C20318" t="s">
        <v>11319</v>
      </c>
      <c r="D20318" t="s">
        <v>43083</v>
      </c>
      <c r="E20318" t="s">
        <v>43084</v>
      </c>
      <c r="F20318" t="s">
        <v>21629</v>
      </c>
      <c r="G20318" t="s">
        <v>47099</v>
      </c>
      <c r="H20318" t="s">
        <v>47054</v>
      </c>
      <c r="I20318" t="s">
        <v>47120</v>
      </c>
      <c r="J20318" t="s">
        <v>47121</v>
      </c>
      <c r="K20318" t="s">
        <v>47113</v>
      </c>
      <c r="L20318">
        <v>28.52</v>
      </c>
      <c r="M20318">
        <v>70</v>
      </c>
      <c r="N20318">
        <v>0</v>
      </c>
      <c r="O20318">
        <v>70</v>
      </c>
      <c r="P20318">
        <v>0</v>
      </c>
    </row>
    <row r="20319" spans="1:16" x14ac:dyDescent="0.25">
      <c r="A20319" t="s">
        <v>22925</v>
      </c>
      <c r="B20319" t="s">
        <v>22025</v>
      </c>
      <c r="C20319" t="s">
        <v>22026</v>
      </c>
      <c r="D20319" t="s">
        <v>21679</v>
      </c>
      <c r="E20319" t="s">
        <v>21680</v>
      </c>
      <c r="F20319" t="s">
        <v>19878</v>
      </c>
      <c r="G20319" t="s">
        <v>47093</v>
      </c>
      <c r="H20319" t="s">
        <v>47054</v>
      </c>
      <c r="I20319" t="s">
        <v>47544</v>
      </c>
      <c r="J20319" t="s">
        <v>47545</v>
      </c>
      <c r="K20319" t="s">
        <v>47113</v>
      </c>
      <c r="L20319">
        <v>32.92</v>
      </c>
      <c r="M20319">
        <v>92</v>
      </c>
      <c r="N20319">
        <v>0</v>
      </c>
      <c r="O20319">
        <v>92</v>
      </c>
      <c r="P20319">
        <v>0</v>
      </c>
    </row>
    <row r="20320" spans="1:16" x14ac:dyDescent="0.25">
      <c r="A20320" t="s">
        <v>22926</v>
      </c>
      <c r="B20320" t="s">
        <v>22027</v>
      </c>
      <c r="C20320" t="s">
        <v>22026</v>
      </c>
      <c r="D20320" t="s">
        <v>21682</v>
      </c>
      <c r="E20320" t="s">
        <v>21683</v>
      </c>
      <c r="F20320" t="s">
        <v>19878</v>
      </c>
      <c r="G20320" t="s">
        <v>47093</v>
      </c>
      <c r="H20320" t="s">
        <v>47054</v>
      </c>
      <c r="I20320" t="s">
        <v>47111</v>
      </c>
      <c r="J20320" t="s">
        <v>47112</v>
      </c>
      <c r="K20320" t="s">
        <v>47113</v>
      </c>
      <c r="L20320">
        <v>85.44</v>
      </c>
      <c r="M20320">
        <v>183</v>
      </c>
      <c r="N20320">
        <v>0</v>
      </c>
      <c r="O20320">
        <v>183</v>
      </c>
      <c r="P20320">
        <v>0</v>
      </c>
    </row>
    <row r="20321" spans="1:16" x14ac:dyDescent="0.25">
      <c r="A20321" t="s">
        <v>43085</v>
      </c>
      <c r="B20321" t="s">
        <v>22028</v>
      </c>
      <c r="C20321" t="s">
        <v>22029</v>
      </c>
      <c r="D20321" t="s">
        <v>21285</v>
      </c>
      <c r="E20321" t="s">
        <v>21286</v>
      </c>
      <c r="F20321" t="s">
        <v>19878</v>
      </c>
      <c r="G20321" t="s">
        <v>47093</v>
      </c>
      <c r="H20321" t="s">
        <v>47054</v>
      </c>
      <c r="I20321" t="s">
        <v>47111</v>
      </c>
      <c r="J20321" t="s">
        <v>47112</v>
      </c>
      <c r="K20321" t="s">
        <v>47113</v>
      </c>
      <c r="L20321">
        <v>63.36</v>
      </c>
      <c r="M20321">
        <v>137</v>
      </c>
      <c r="N20321">
        <v>0</v>
      </c>
      <c r="O20321">
        <v>137</v>
      </c>
      <c r="P20321">
        <v>0</v>
      </c>
    </row>
    <row r="20322" spans="1:16" x14ac:dyDescent="0.25">
      <c r="A20322" t="s">
        <v>43086</v>
      </c>
      <c r="B20322" t="s">
        <v>22030</v>
      </c>
      <c r="C20322" t="s">
        <v>22029</v>
      </c>
      <c r="D20322" t="s">
        <v>21729</v>
      </c>
      <c r="E20322" t="s">
        <v>21730</v>
      </c>
      <c r="F20322" t="s">
        <v>19878</v>
      </c>
      <c r="G20322" t="s">
        <v>47093</v>
      </c>
      <c r="H20322" t="s">
        <v>47054</v>
      </c>
      <c r="I20322" t="s">
        <v>47116</v>
      </c>
      <c r="J20322" t="s">
        <v>47117</v>
      </c>
      <c r="K20322" t="s">
        <v>47113</v>
      </c>
      <c r="L20322">
        <v>68.78</v>
      </c>
      <c r="M20322">
        <v>137</v>
      </c>
      <c r="N20322">
        <v>0</v>
      </c>
      <c r="O20322">
        <v>137</v>
      </c>
      <c r="P20322">
        <v>0</v>
      </c>
    </row>
    <row r="20323" spans="1:16" x14ac:dyDescent="0.25">
      <c r="A20323" t="s">
        <v>43087</v>
      </c>
      <c r="B20323" t="s">
        <v>22031</v>
      </c>
      <c r="C20323" t="s">
        <v>22032</v>
      </c>
      <c r="D20323" t="s">
        <v>21282</v>
      </c>
      <c r="E20323" t="s">
        <v>21283</v>
      </c>
      <c r="F20323" t="s">
        <v>19559</v>
      </c>
      <c r="G20323" t="s">
        <v>49029</v>
      </c>
      <c r="H20323" t="s">
        <v>47054</v>
      </c>
      <c r="I20323" t="s">
        <v>47116</v>
      </c>
      <c r="J20323" t="s">
        <v>47117</v>
      </c>
      <c r="K20323" t="s">
        <v>47113</v>
      </c>
      <c r="L20323">
        <v>39.69</v>
      </c>
      <c r="M20323">
        <v>74</v>
      </c>
      <c r="N20323">
        <v>0</v>
      </c>
      <c r="O20323">
        <v>74</v>
      </c>
      <c r="P20323">
        <v>0</v>
      </c>
    </row>
    <row r="20324" spans="1:16" x14ac:dyDescent="0.25">
      <c r="A20324" t="s">
        <v>43088</v>
      </c>
      <c r="B20324" t="s">
        <v>22033</v>
      </c>
      <c r="C20324" t="s">
        <v>22034</v>
      </c>
      <c r="D20324" t="str">
        <f>"1001"</f>
        <v>1001</v>
      </c>
      <c r="E20324" t="s">
        <v>42</v>
      </c>
      <c r="F20324" t="s">
        <v>19552</v>
      </c>
      <c r="G20324" t="s">
        <v>47099</v>
      </c>
      <c r="H20324" t="s">
        <v>47054</v>
      </c>
      <c r="I20324" t="s">
        <v>47118</v>
      </c>
      <c r="J20324" t="s">
        <v>47119</v>
      </c>
      <c r="K20324" t="s">
        <v>47113</v>
      </c>
      <c r="L20324">
        <v>178.46</v>
      </c>
      <c r="M20324">
        <v>296</v>
      </c>
      <c r="N20324">
        <v>0</v>
      </c>
      <c r="O20324">
        <v>296</v>
      </c>
      <c r="P20324">
        <v>0</v>
      </c>
    </row>
    <row r="20325" spans="1:16" x14ac:dyDescent="0.25">
      <c r="A20325" t="s">
        <v>43089</v>
      </c>
      <c r="B20325" t="s">
        <v>22035</v>
      </c>
      <c r="C20325" t="s">
        <v>22036</v>
      </c>
      <c r="D20325" t="str">
        <f>"1001"</f>
        <v>1001</v>
      </c>
      <c r="E20325" t="s">
        <v>42</v>
      </c>
      <c r="F20325" t="s">
        <v>19552</v>
      </c>
      <c r="G20325" t="s">
        <v>47099</v>
      </c>
      <c r="H20325" t="s">
        <v>47054</v>
      </c>
      <c r="I20325" t="s">
        <v>47111</v>
      </c>
      <c r="J20325" t="s">
        <v>47112</v>
      </c>
      <c r="K20325" t="s">
        <v>47113</v>
      </c>
      <c r="L20325">
        <v>202.9</v>
      </c>
      <c r="M20325">
        <v>383</v>
      </c>
      <c r="N20325">
        <v>0</v>
      </c>
      <c r="O20325">
        <v>383</v>
      </c>
      <c r="P20325">
        <v>0</v>
      </c>
    </row>
    <row r="20326" spans="1:16" x14ac:dyDescent="0.25">
      <c r="A20326" t="s">
        <v>49417</v>
      </c>
      <c r="B20326" t="s">
        <v>49418</v>
      </c>
      <c r="C20326" t="s">
        <v>49419</v>
      </c>
      <c r="D20326" t="str">
        <f>"1001"</f>
        <v>1001</v>
      </c>
      <c r="E20326" t="s">
        <v>16045</v>
      </c>
      <c r="F20326" t="s">
        <v>47185</v>
      </c>
      <c r="G20326" t="s">
        <v>47091</v>
      </c>
      <c r="H20326" t="s">
        <v>47054</v>
      </c>
      <c r="I20326" t="s">
        <v>47118</v>
      </c>
      <c r="J20326" t="s">
        <v>47119</v>
      </c>
      <c r="K20326" t="s">
        <v>47113</v>
      </c>
      <c r="L20326">
        <v>13.41</v>
      </c>
      <c r="M20326">
        <v>33</v>
      </c>
      <c r="N20326">
        <v>89</v>
      </c>
      <c r="O20326">
        <v>33</v>
      </c>
      <c r="P20326">
        <v>89</v>
      </c>
    </row>
    <row r="20327" spans="1:16" x14ac:dyDescent="0.25">
      <c r="A20327" t="s">
        <v>49420</v>
      </c>
      <c r="B20327" t="s">
        <v>49421</v>
      </c>
      <c r="C20327" t="s">
        <v>49422</v>
      </c>
      <c r="D20327" t="str">
        <f>"1001"</f>
        <v>1001</v>
      </c>
      <c r="E20327" t="s">
        <v>42</v>
      </c>
      <c r="F20327" t="s">
        <v>47479</v>
      </c>
      <c r="G20327" t="s">
        <v>47091</v>
      </c>
      <c r="H20327" t="s">
        <v>47054</v>
      </c>
      <c r="I20327" t="s">
        <v>47569</v>
      </c>
      <c r="J20327" t="s">
        <v>47570</v>
      </c>
      <c r="K20327" t="s">
        <v>47113</v>
      </c>
      <c r="L20327">
        <v>14.82</v>
      </c>
      <c r="M20327">
        <v>37</v>
      </c>
      <c r="N20327">
        <v>99</v>
      </c>
      <c r="O20327">
        <v>37</v>
      </c>
      <c r="P20327">
        <v>99</v>
      </c>
    </row>
    <row r="20328" spans="1:16" x14ac:dyDescent="0.25">
      <c r="A20328" t="s">
        <v>49423</v>
      </c>
      <c r="B20328" t="s">
        <v>49424</v>
      </c>
      <c r="C20328" t="s">
        <v>49425</v>
      </c>
      <c r="D20328" t="str">
        <f>"1001"</f>
        <v>1001</v>
      </c>
      <c r="E20328" t="s">
        <v>42</v>
      </c>
      <c r="F20328" t="s">
        <v>47488</v>
      </c>
      <c r="G20328" t="s">
        <v>47091</v>
      </c>
      <c r="H20328" t="s">
        <v>47054</v>
      </c>
      <c r="I20328" t="s">
        <v>47569</v>
      </c>
      <c r="J20328" t="s">
        <v>47570</v>
      </c>
      <c r="K20328" t="s">
        <v>47113</v>
      </c>
      <c r="L20328">
        <v>13.96</v>
      </c>
      <c r="M20328">
        <v>37</v>
      </c>
      <c r="N20328">
        <v>99</v>
      </c>
      <c r="O20328">
        <v>37</v>
      </c>
      <c r="P20328">
        <v>99</v>
      </c>
    </row>
    <row r="20329" spans="1:16" x14ac:dyDescent="0.25">
      <c r="A20329" t="s">
        <v>49426</v>
      </c>
      <c r="B20329" t="s">
        <v>49427</v>
      </c>
      <c r="C20329" t="s">
        <v>49425</v>
      </c>
      <c r="D20329" t="str">
        <f>"1704"</f>
        <v>1704</v>
      </c>
      <c r="E20329" t="s">
        <v>7181</v>
      </c>
      <c r="F20329" t="s">
        <v>47488</v>
      </c>
      <c r="G20329" t="s">
        <v>47091</v>
      </c>
      <c r="H20329" t="s">
        <v>47054</v>
      </c>
      <c r="I20329" t="s">
        <v>47569</v>
      </c>
      <c r="J20329" t="s">
        <v>47570</v>
      </c>
      <c r="K20329" t="s">
        <v>47113</v>
      </c>
      <c r="L20329">
        <v>15.53</v>
      </c>
      <c r="M20329">
        <v>33</v>
      </c>
      <c r="N20329">
        <v>89</v>
      </c>
      <c r="O20329">
        <v>33</v>
      </c>
      <c r="P20329">
        <v>89</v>
      </c>
    </row>
    <row r="20330" spans="1:16" x14ac:dyDescent="0.25">
      <c r="A20330" t="s">
        <v>22927</v>
      </c>
      <c r="B20330" t="s">
        <v>22037</v>
      </c>
      <c r="C20330" t="s">
        <v>22038</v>
      </c>
      <c r="D20330" t="str">
        <f>"1001"</f>
        <v>1001</v>
      </c>
      <c r="E20330" t="s">
        <v>42</v>
      </c>
      <c r="F20330" t="s">
        <v>19559</v>
      </c>
      <c r="G20330" t="s">
        <v>47091</v>
      </c>
      <c r="H20330" t="s">
        <v>47054</v>
      </c>
      <c r="I20330" t="s">
        <v>47569</v>
      </c>
      <c r="J20330" t="s">
        <v>47570</v>
      </c>
      <c r="K20330" t="s">
        <v>47113</v>
      </c>
      <c r="L20330">
        <v>11.04</v>
      </c>
      <c r="M20330">
        <v>22</v>
      </c>
      <c r="N20330">
        <v>0</v>
      </c>
      <c r="O20330">
        <v>22</v>
      </c>
      <c r="P20330">
        <v>0</v>
      </c>
    </row>
    <row r="20331" spans="1:16" x14ac:dyDescent="0.25">
      <c r="A20331" t="s">
        <v>22928</v>
      </c>
      <c r="B20331" t="s">
        <v>22037</v>
      </c>
      <c r="C20331" t="s">
        <v>22038</v>
      </c>
      <c r="D20331" t="str">
        <f>"1991"</f>
        <v>1991</v>
      </c>
      <c r="E20331" t="s">
        <v>21850</v>
      </c>
      <c r="F20331" t="s">
        <v>19559</v>
      </c>
      <c r="G20331" t="s">
        <v>47091</v>
      </c>
      <c r="H20331" t="s">
        <v>47054</v>
      </c>
      <c r="I20331" t="s">
        <v>47569</v>
      </c>
      <c r="J20331" t="s">
        <v>47570</v>
      </c>
      <c r="K20331" t="s">
        <v>47113</v>
      </c>
      <c r="L20331">
        <v>12.73</v>
      </c>
      <c r="M20331">
        <v>22</v>
      </c>
      <c r="N20331">
        <v>0</v>
      </c>
      <c r="O20331">
        <v>22</v>
      </c>
      <c r="P20331">
        <v>0</v>
      </c>
    </row>
    <row r="20332" spans="1:16" x14ac:dyDescent="0.25">
      <c r="A20332" t="s">
        <v>43090</v>
      </c>
      <c r="B20332" t="s">
        <v>22037</v>
      </c>
      <c r="C20332" t="s">
        <v>22038</v>
      </c>
      <c r="D20332" t="str">
        <f>"7003"</f>
        <v>7003</v>
      </c>
      <c r="E20332" t="s">
        <v>22039</v>
      </c>
      <c r="F20332" t="s">
        <v>19559</v>
      </c>
      <c r="G20332" t="s">
        <v>47091</v>
      </c>
      <c r="H20332" t="s">
        <v>47054</v>
      </c>
      <c r="I20332" t="s">
        <v>47569</v>
      </c>
      <c r="J20332" t="s">
        <v>47570</v>
      </c>
      <c r="K20332" t="s">
        <v>47113</v>
      </c>
      <c r="L20332">
        <v>12.73</v>
      </c>
      <c r="M20332">
        <v>22</v>
      </c>
      <c r="N20332">
        <v>0</v>
      </c>
      <c r="O20332">
        <v>22</v>
      </c>
      <c r="P20332">
        <v>0</v>
      </c>
    </row>
    <row r="20333" spans="1:16" x14ac:dyDescent="0.25">
      <c r="A20333" t="s">
        <v>43091</v>
      </c>
      <c r="B20333" t="s">
        <v>22040</v>
      </c>
      <c r="C20333" t="s">
        <v>22041</v>
      </c>
      <c r="D20333" t="str">
        <f>"1001"</f>
        <v>1001</v>
      </c>
      <c r="E20333" t="s">
        <v>42</v>
      </c>
      <c r="F20333" t="s">
        <v>19559</v>
      </c>
      <c r="G20333" t="s">
        <v>47094</v>
      </c>
      <c r="H20333" t="s">
        <v>47054</v>
      </c>
      <c r="I20333" t="s">
        <v>47118</v>
      </c>
      <c r="J20333" t="s">
        <v>47119</v>
      </c>
      <c r="K20333" t="s">
        <v>47113</v>
      </c>
      <c r="L20333">
        <v>26.28</v>
      </c>
      <c r="M20333">
        <v>48</v>
      </c>
      <c r="N20333">
        <v>0</v>
      </c>
      <c r="O20333">
        <v>48</v>
      </c>
      <c r="P20333">
        <v>0</v>
      </c>
    </row>
    <row r="20334" spans="1:16" x14ac:dyDescent="0.25">
      <c r="A20334" t="s">
        <v>43092</v>
      </c>
      <c r="B20334" t="s">
        <v>22040</v>
      </c>
      <c r="C20334" t="s">
        <v>22041</v>
      </c>
      <c r="D20334" t="str">
        <f>"1991"</f>
        <v>1991</v>
      </c>
      <c r="E20334" t="s">
        <v>21850</v>
      </c>
      <c r="F20334" t="s">
        <v>19559</v>
      </c>
      <c r="G20334" t="s">
        <v>47094</v>
      </c>
      <c r="H20334" t="s">
        <v>47054</v>
      </c>
      <c r="I20334" t="s">
        <v>47118</v>
      </c>
      <c r="J20334" t="s">
        <v>47119</v>
      </c>
      <c r="K20334" t="s">
        <v>47113</v>
      </c>
      <c r="L20334">
        <v>26.28</v>
      </c>
      <c r="M20334">
        <v>48</v>
      </c>
      <c r="N20334">
        <v>0</v>
      </c>
      <c r="O20334">
        <v>48</v>
      </c>
      <c r="P20334">
        <v>0</v>
      </c>
    </row>
    <row r="20335" spans="1:16" x14ac:dyDescent="0.25">
      <c r="A20335" t="s">
        <v>22929</v>
      </c>
      <c r="B20335" t="s">
        <v>22042</v>
      </c>
      <c r="C20335" t="s">
        <v>22043</v>
      </c>
      <c r="D20335" t="str">
        <f>"1847"</f>
        <v>1847</v>
      </c>
      <c r="E20335" t="s">
        <v>12301</v>
      </c>
      <c r="F20335" t="s">
        <v>19559</v>
      </c>
      <c r="G20335" t="s">
        <v>47101</v>
      </c>
      <c r="H20335" t="s">
        <v>47054</v>
      </c>
      <c r="I20335" t="s">
        <v>47120</v>
      </c>
      <c r="J20335" t="s">
        <v>47121</v>
      </c>
      <c r="K20335" t="s">
        <v>47113</v>
      </c>
      <c r="L20335">
        <v>27.16</v>
      </c>
      <c r="M20335">
        <v>66</v>
      </c>
      <c r="N20335">
        <v>0</v>
      </c>
      <c r="O20335">
        <v>66</v>
      </c>
      <c r="P20335">
        <v>0</v>
      </c>
    </row>
    <row r="20336" spans="1:16" x14ac:dyDescent="0.25">
      <c r="A20336" t="s">
        <v>43093</v>
      </c>
      <c r="B20336" t="s">
        <v>22042</v>
      </c>
      <c r="C20336" t="s">
        <v>22043</v>
      </c>
      <c r="D20336" t="str">
        <f>"5306"</f>
        <v>5306</v>
      </c>
      <c r="E20336" t="s">
        <v>1991</v>
      </c>
      <c r="F20336" t="s">
        <v>19559</v>
      </c>
      <c r="G20336" t="s">
        <v>47101</v>
      </c>
      <c r="H20336" t="s">
        <v>47054</v>
      </c>
      <c r="I20336" t="s">
        <v>47120</v>
      </c>
      <c r="J20336" t="s">
        <v>47121</v>
      </c>
      <c r="K20336" t="s">
        <v>47113</v>
      </c>
      <c r="L20336">
        <v>27.16</v>
      </c>
      <c r="M20336">
        <v>66</v>
      </c>
      <c r="N20336">
        <v>0</v>
      </c>
      <c r="O20336">
        <v>66</v>
      </c>
      <c r="P20336">
        <v>0</v>
      </c>
    </row>
    <row r="20337" spans="1:16" x14ac:dyDescent="0.25">
      <c r="A20337" t="s">
        <v>43094</v>
      </c>
      <c r="B20337" t="s">
        <v>22044</v>
      </c>
      <c r="C20337" t="s">
        <v>240</v>
      </c>
      <c r="D20337" t="s">
        <v>22045</v>
      </c>
      <c r="E20337" t="s">
        <v>22046</v>
      </c>
      <c r="F20337" t="s">
        <v>19559</v>
      </c>
      <c r="G20337" t="s">
        <v>47102</v>
      </c>
      <c r="H20337" t="s">
        <v>47054</v>
      </c>
      <c r="I20337" t="s">
        <v>47120</v>
      </c>
      <c r="J20337" t="s">
        <v>47121</v>
      </c>
      <c r="K20337" t="s">
        <v>47113</v>
      </c>
      <c r="L20337">
        <v>63.35</v>
      </c>
      <c r="M20337">
        <v>148</v>
      </c>
      <c r="N20337">
        <v>0</v>
      </c>
      <c r="O20337">
        <v>148</v>
      </c>
      <c r="P20337">
        <v>0</v>
      </c>
    </row>
    <row r="20338" spans="1:16" x14ac:dyDescent="0.25">
      <c r="A20338" t="s">
        <v>22930</v>
      </c>
      <c r="B20338" t="s">
        <v>22931</v>
      </c>
      <c r="C20338" t="s">
        <v>22932</v>
      </c>
      <c r="D20338" t="str">
        <f>"1001"</f>
        <v>1001</v>
      </c>
      <c r="E20338" t="s">
        <v>42</v>
      </c>
      <c r="F20338" t="s">
        <v>20496</v>
      </c>
      <c r="G20338" t="s">
        <v>47102</v>
      </c>
      <c r="H20338" t="s">
        <v>47054</v>
      </c>
      <c r="I20338" t="s">
        <v>47118</v>
      </c>
      <c r="J20338" t="s">
        <v>47119</v>
      </c>
      <c r="K20338" t="s">
        <v>47113</v>
      </c>
      <c r="L20338">
        <v>132.61000000000001</v>
      </c>
      <c r="M20338">
        <v>296</v>
      </c>
      <c r="N20338">
        <v>0</v>
      </c>
      <c r="O20338">
        <v>296</v>
      </c>
      <c r="P20338">
        <v>0</v>
      </c>
    </row>
    <row r="20339" spans="1:16" x14ac:dyDescent="0.25">
      <c r="A20339" t="s">
        <v>43095</v>
      </c>
      <c r="B20339" t="s">
        <v>22047</v>
      </c>
      <c r="C20339" t="s">
        <v>22048</v>
      </c>
      <c r="D20339" t="str">
        <f>"1001"</f>
        <v>1001</v>
      </c>
      <c r="E20339" t="s">
        <v>42</v>
      </c>
      <c r="F20339" t="s">
        <v>19878</v>
      </c>
      <c r="G20339" t="s">
        <v>47101</v>
      </c>
      <c r="H20339" t="s">
        <v>47054</v>
      </c>
      <c r="I20339" t="s">
        <v>47118</v>
      </c>
      <c r="J20339" t="s">
        <v>47119</v>
      </c>
      <c r="K20339" t="s">
        <v>47113</v>
      </c>
      <c r="L20339">
        <v>38.64</v>
      </c>
      <c r="M20339">
        <v>74</v>
      </c>
      <c r="N20339">
        <v>0</v>
      </c>
      <c r="O20339">
        <v>74</v>
      </c>
      <c r="P20339">
        <v>0</v>
      </c>
    </row>
    <row r="20340" spans="1:16" x14ac:dyDescent="0.25">
      <c r="A20340" t="s">
        <v>43096</v>
      </c>
      <c r="B20340" t="s">
        <v>22049</v>
      </c>
      <c r="C20340" t="s">
        <v>22050</v>
      </c>
      <c r="D20340" t="str">
        <f>"1001"</f>
        <v>1001</v>
      </c>
      <c r="E20340" t="s">
        <v>42</v>
      </c>
      <c r="F20340" t="s">
        <v>19878</v>
      </c>
      <c r="G20340" t="s">
        <v>47101</v>
      </c>
      <c r="H20340" t="s">
        <v>47054</v>
      </c>
      <c r="I20340" t="s">
        <v>47118</v>
      </c>
      <c r="J20340" t="s">
        <v>47119</v>
      </c>
      <c r="K20340" t="s">
        <v>47113</v>
      </c>
      <c r="L20340">
        <v>57.52</v>
      </c>
      <c r="M20340">
        <v>111</v>
      </c>
      <c r="N20340">
        <v>0</v>
      </c>
      <c r="O20340">
        <v>111</v>
      </c>
      <c r="P20340">
        <v>0</v>
      </c>
    </row>
    <row r="20341" spans="1:16" x14ac:dyDescent="0.25">
      <c r="A20341" t="s">
        <v>43097</v>
      </c>
      <c r="B20341" t="s">
        <v>711</v>
      </c>
      <c r="C20341" t="s">
        <v>712</v>
      </c>
      <c r="D20341" t="str">
        <f>"1309"</f>
        <v>1309</v>
      </c>
      <c r="E20341" t="s">
        <v>12314</v>
      </c>
      <c r="F20341" t="s">
        <v>8</v>
      </c>
      <c r="G20341" t="s">
        <v>47099</v>
      </c>
      <c r="H20341" t="s">
        <v>47054</v>
      </c>
      <c r="I20341" t="s">
        <v>47120</v>
      </c>
      <c r="J20341" t="s">
        <v>47121</v>
      </c>
      <c r="K20341" t="s">
        <v>47113</v>
      </c>
      <c r="L20341">
        <v>23.29</v>
      </c>
      <c r="M20341">
        <v>83</v>
      </c>
      <c r="N20341">
        <v>0</v>
      </c>
      <c r="O20341">
        <v>83</v>
      </c>
      <c r="P20341">
        <v>0</v>
      </c>
    </row>
    <row r="20342" spans="1:16" x14ac:dyDescent="0.25">
      <c r="A20342" t="s">
        <v>43098</v>
      </c>
      <c r="B20342" t="s">
        <v>711</v>
      </c>
      <c r="C20342" t="s">
        <v>712</v>
      </c>
      <c r="D20342" t="str">
        <f>"3124"</f>
        <v>3124</v>
      </c>
      <c r="E20342" t="s">
        <v>713</v>
      </c>
      <c r="F20342" t="s">
        <v>8</v>
      </c>
      <c r="G20342" t="s">
        <v>47099</v>
      </c>
      <c r="H20342" t="s">
        <v>47054</v>
      </c>
      <c r="I20342" t="s">
        <v>47120</v>
      </c>
      <c r="J20342" t="s">
        <v>47121</v>
      </c>
      <c r="K20342" t="s">
        <v>47113</v>
      </c>
      <c r="L20342">
        <v>24.42</v>
      </c>
      <c r="M20342">
        <v>83</v>
      </c>
      <c r="N20342">
        <v>0</v>
      </c>
      <c r="O20342">
        <v>83</v>
      </c>
      <c r="P20342">
        <v>0</v>
      </c>
    </row>
    <row r="20343" spans="1:16" x14ac:dyDescent="0.25">
      <c r="A20343" t="s">
        <v>714</v>
      </c>
      <c r="B20343" t="s">
        <v>715</v>
      </c>
      <c r="C20343" t="s">
        <v>716</v>
      </c>
      <c r="D20343" t="str">
        <f>"1024"</f>
        <v>1024</v>
      </c>
      <c r="E20343" t="s">
        <v>717</v>
      </c>
      <c r="F20343" t="s">
        <v>8</v>
      </c>
      <c r="G20343" t="s">
        <v>47099</v>
      </c>
      <c r="H20343" t="s">
        <v>47054</v>
      </c>
      <c r="I20343" t="s">
        <v>47120</v>
      </c>
      <c r="J20343" t="s">
        <v>47121</v>
      </c>
      <c r="K20343" t="s">
        <v>47113</v>
      </c>
      <c r="L20343">
        <v>22.26</v>
      </c>
      <c r="M20343">
        <v>83</v>
      </c>
      <c r="N20343">
        <v>0</v>
      </c>
      <c r="O20343">
        <v>83</v>
      </c>
      <c r="P20343">
        <v>0</v>
      </c>
    </row>
    <row r="20344" spans="1:16" x14ac:dyDescent="0.25">
      <c r="A20344" t="s">
        <v>43099</v>
      </c>
      <c r="B20344" t="s">
        <v>715</v>
      </c>
      <c r="C20344" t="s">
        <v>716</v>
      </c>
      <c r="D20344" t="str">
        <f>"2520"</f>
        <v>2520</v>
      </c>
      <c r="E20344" t="s">
        <v>12315</v>
      </c>
      <c r="F20344" t="s">
        <v>8</v>
      </c>
      <c r="G20344" t="s">
        <v>47099</v>
      </c>
      <c r="H20344" t="s">
        <v>47054</v>
      </c>
      <c r="I20344" t="s">
        <v>47120</v>
      </c>
      <c r="J20344" t="s">
        <v>47121</v>
      </c>
      <c r="K20344" t="s">
        <v>47113</v>
      </c>
      <c r="L20344">
        <v>22.82</v>
      </c>
      <c r="M20344">
        <v>83</v>
      </c>
      <c r="N20344">
        <v>0</v>
      </c>
      <c r="O20344">
        <v>83</v>
      </c>
      <c r="P20344">
        <v>0</v>
      </c>
    </row>
    <row r="20345" spans="1:16" x14ac:dyDescent="0.25">
      <c r="A20345" t="s">
        <v>43100</v>
      </c>
      <c r="B20345" t="s">
        <v>715</v>
      </c>
      <c r="C20345" t="s">
        <v>716</v>
      </c>
      <c r="D20345" t="str">
        <f>"3125"</f>
        <v>3125</v>
      </c>
      <c r="E20345" t="s">
        <v>12316</v>
      </c>
      <c r="F20345" t="s">
        <v>8</v>
      </c>
      <c r="G20345" t="s">
        <v>47099</v>
      </c>
      <c r="H20345" t="s">
        <v>47054</v>
      </c>
      <c r="I20345" t="s">
        <v>47120</v>
      </c>
      <c r="J20345" t="s">
        <v>47121</v>
      </c>
      <c r="K20345" t="s">
        <v>47113</v>
      </c>
      <c r="L20345">
        <v>22.82</v>
      </c>
      <c r="M20345">
        <v>83</v>
      </c>
      <c r="N20345">
        <v>0</v>
      </c>
      <c r="O20345">
        <v>83</v>
      </c>
      <c r="P20345">
        <v>0</v>
      </c>
    </row>
    <row r="20346" spans="1:16" x14ac:dyDescent="0.25">
      <c r="A20346" t="s">
        <v>43101</v>
      </c>
      <c r="B20346" t="s">
        <v>12317</v>
      </c>
      <c r="C20346" t="s">
        <v>12318</v>
      </c>
      <c r="D20346" t="str">
        <f>"1024"</f>
        <v>1024</v>
      </c>
      <c r="E20346" t="s">
        <v>717</v>
      </c>
      <c r="F20346" t="s">
        <v>8</v>
      </c>
      <c r="G20346" t="s">
        <v>47099</v>
      </c>
      <c r="H20346" t="s">
        <v>47054</v>
      </c>
      <c r="I20346" t="s">
        <v>47120</v>
      </c>
      <c r="J20346" t="s">
        <v>47121</v>
      </c>
      <c r="K20346" t="s">
        <v>47113</v>
      </c>
      <c r="L20346">
        <v>25.09</v>
      </c>
      <c r="M20346">
        <v>62</v>
      </c>
      <c r="N20346">
        <v>0</v>
      </c>
      <c r="O20346">
        <v>62</v>
      </c>
      <c r="P20346">
        <v>0</v>
      </c>
    </row>
    <row r="20347" spans="1:16" x14ac:dyDescent="0.25">
      <c r="A20347" t="s">
        <v>43102</v>
      </c>
      <c r="B20347" t="s">
        <v>12319</v>
      </c>
      <c r="C20347" t="s">
        <v>12320</v>
      </c>
      <c r="D20347" t="str">
        <f>"1024"</f>
        <v>1024</v>
      </c>
      <c r="E20347" t="s">
        <v>717</v>
      </c>
      <c r="F20347" t="s">
        <v>8</v>
      </c>
      <c r="G20347" t="s">
        <v>47098</v>
      </c>
      <c r="H20347" t="s">
        <v>47054</v>
      </c>
      <c r="I20347" t="s">
        <v>47120</v>
      </c>
      <c r="J20347" t="s">
        <v>47121</v>
      </c>
      <c r="K20347" t="s">
        <v>47113</v>
      </c>
      <c r="L20347">
        <v>38.29</v>
      </c>
      <c r="M20347">
        <v>83</v>
      </c>
      <c r="N20347">
        <v>0</v>
      </c>
      <c r="O20347">
        <v>83</v>
      </c>
      <c r="P20347">
        <v>0</v>
      </c>
    </row>
    <row r="20348" spans="1:16" x14ac:dyDescent="0.25">
      <c r="A20348" t="s">
        <v>43103</v>
      </c>
      <c r="B20348" t="s">
        <v>12319</v>
      </c>
      <c r="C20348" t="s">
        <v>12320</v>
      </c>
      <c r="D20348" t="str">
        <f>"3125"</f>
        <v>3125</v>
      </c>
      <c r="E20348" t="s">
        <v>12316</v>
      </c>
      <c r="F20348" t="s">
        <v>8</v>
      </c>
      <c r="G20348" t="s">
        <v>47098</v>
      </c>
      <c r="H20348" t="s">
        <v>47054</v>
      </c>
      <c r="I20348" t="s">
        <v>47120</v>
      </c>
      <c r="J20348" t="s">
        <v>47121</v>
      </c>
      <c r="K20348" t="s">
        <v>47113</v>
      </c>
      <c r="L20348">
        <v>38.29</v>
      </c>
      <c r="M20348">
        <v>83</v>
      </c>
      <c r="N20348">
        <v>0</v>
      </c>
      <c r="O20348">
        <v>83</v>
      </c>
      <c r="P20348">
        <v>0</v>
      </c>
    </row>
    <row r="20349" spans="1:16" x14ac:dyDescent="0.25">
      <c r="A20349" t="s">
        <v>43104</v>
      </c>
      <c r="B20349" t="s">
        <v>12321</v>
      </c>
      <c r="C20349" t="s">
        <v>12322</v>
      </c>
      <c r="D20349" t="str">
        <f>"1024"</f>
        <v>1024</v>
      </c>
      <c r="E20349" t="s">
        <v>717</v>
      </c>
      <c r="F20349" t="s">
        <v>8</v>
      </c>
      <c r="G20349" t="s">
        <v>47099</v>
      </c>
      <c r="H20349" t="s">
        <v>47054</v>
      </c>
      <c r="I20349" t="s">
        <v>47120</v>
      </c>
      <c r="J20349" t="s">
        <v>47121</v>
      </c>
      <c r="K20349" t="s">
        <v>47113</v>
      </c>
      <c r="L20349">
        <v>24.05</v>
      </c>
      <c r="M20349">
        <v>83</v>
      </c>
      <c r="N20349">
        <v>0</v>
      </c>
      <c r="O20349">
        <v>83</v>
      </c>
      <c r="P20349">
        <v>0</v>
      </c>
    </row>
    <row r="20350" spans="1:16" x14ac:dyDescent="0.25">
      <c r="A20350" t="s">
        <v>43105</v>
      </c>
      <c r="B20350" t="s">
        <v>12321</v>
      </c>
      <c r="C20350" t="s">
        <v>12322</v>
      </c>
      <c r="D20350" t="str">
        <f>"1309"</f>
        <v>1309</v>
      </c>
      <c r="E20350" t="s">
        <v>12314</v>
      </c>
      <c r="F20350" t="s">
        <v>8</v>
      </c>
      <c r="G20350" t="s">
        <v>47099</v>
      </c>
      <c r="H20350" t="s">
        <v>47054</v>
      </c>
      <c r="I20350" t="s">
        <v>47120</v>
      </c>
      <c r="J20350" t="s">
        <v>47121</v>
      </c>
      <c r="K20350" t="s">
        <v>47113</v>
      </c>
      <c r="L20350">
        <v>24.05</v>
      </c>
      <c r="M20350">
        <v>83</v>
      </c>
      <c r="N20350">
        <v>0</v>
      </c>
      <c r="O20350">
        <v>83</v>
      </c>
      <c r="P20350">
        <v>0</v>
      </c>
    </row>
    <row r="20351" spans="1:16" x14ac:dyDescent="0.25">
      <c r="A20351" t="s">
        <v>43106</v>
      </c>
      <c r="B20351" t="s">
        <v>12321</v>
      </c>
      <c r="C20351" t="s">
        <v>12322</v>
      </c>
      <c r="D20351" t="str">
        <f>"2520"</f>
        <v>2520</v>
      </c>
      <c r="E20351" t="s">
        <v>12315</v>
      </c>
      <c r="F20351" t="s">
        <v>8</v>
      </c>
      <c r="G20351" t="s">
        <v>47099</v>
      </c>
      <c r="H20351" t="s">
        <v>47054</v>
      </c>
      <c r="I20351" t="s">
        <v>47120</v>
      </c>
      <c r="J20351" t="s">
        <v>47121</v>
      </c>
      <c r="K20351" t="s">
        <v>47113</v>
      </c>
      <c r="L20351">
        <v>24.05</v>
      </c>
      <c r="M20351">
        <v>83</v>
      </c>
      <c r="N20351">
        <v>0</v>
      </c>
      <c r="O20351">
        <v>83</v>
      </c>
      <c r="P20351">
        <v>0</v>
      </c>
    </row>
    <row r="20352" spans="1:16" x14ac:dyDescent="0.25">
      <c r="A20352" t="s">
        <v>43107</v>
      </c>
      <c r="B20352" t="s">
        <v>12321</v>
      </c>
      <c r="C20352" t="s">
        <v>12322</v>
      </c>
      <c r="D20352" t="str">
        <f>"3125"</f>
        <v>3125</v>
      </c>
      <c r="E20352" t="s">
        <v>12316</v>
      </c>
      <c r="F20352" t="s">
        <v>8</v>
      </c>
      <c r="G20352" t="s">
        <v>47099</v>
      </c>
      <c r="H20352" t="s">
        <v>47054</v>
      </c>
      <c r="I20352" t="s">
        <v>47120</v>
      </c>
      <c r="J20352" t="s">
        <v>47121</v>
      </c>
      <c r="K20352" t="s">
        <v>47113</v>
      </c>
      <c r="L20352">
        <v>24.05</v>
      </c>
      <c r="M20352">
        <v>83</v>
      </c>
      <c r="N20352">
        <v>0</v>
      </c>
      <c r="O20352">
        <v>83</v>
      </c>
      <c r="P20352">
        <v>0</v>
      </c>
    </row>
    <row r="20353" spans="1:16" x14ac:dyDescent="0.25">
      <c r="A20353" t="s">
        <v>43108</v>
      </c>
      <c r="B20353" t="s">
        <v>12323</v>
      </c>
      <c r="C20353" t="s">
        <v>12324</v>
      </c>
      <c r="D20353" t="str">
        <f>"1024"</f>
        <v>1024</v>
      </c>
      <c r="E20353" t="s">
        <v>717</v>
      </c>
      <c r="F20353" t="s">
        <v>8</v>
      </c>
      <c r="G20353" t="s">
        <v>47099</v>
      </c>
      <c r="H20353" t="s">
        <v>47054</v>
      </c>
      <c r="I20353" t="s">
        <v>47120</v>
      </c>
      <c r="J20353" t="s">
        <v>47121</v>
      </c>
      <c r="K20353" t="s">
        <v>47113</v>
      </c>
      <c r="L20353">
        <v>25.09</v>
      </c>
      <c r="M20353">
        <v>83</v>
      </c>
      <c r="N20353">
        <v>0</v>
      </c>
      <c r="O20353">
        <v>83</v>
      </c>
      <c r="P20353">
        <v>0</v>
      </c>
    </row>
    <row r="20354" spans="1:16" x14ac:dyDescent="0.25">
      <c r="A20354" t="s">
        <v>43109</v>
      </c>
      <c r="B20354" t="s">
        <v>12323</v>
      </c>
      <c r="C20354" t="s">
        <v>12324</v>
      </c>
      <c r="D20354" t="str">
        <f>"1309"</f>
        <v>1309</v>
      </c>
      <c r="E20354" t="s">
        <v>12314</v>
      </c>
      <c r="F20354" t="s">
        <v>8</v>
      </c>
      <c r="G20354" t="s">
        <v>47099</v>
      </c>
      <c r="H20354" t="s">
        <v>47054</v>
      </c>
      <c r="I20354" t="s">
        <v>47120</v>
      </c>
      <c r="J20354" t="s">
        <v>47121</v>
      </c>
      <c r="K20354" t="s">
        <v>47113</v>
      </c>
      <c r="L20354">
        <v>25.09</v>
      </c>
      <c r="M20354">
        <v>83</v>
      </c>
      <c r="N20354">
        <v>0</v>
      </c>
      <c r="O20354">
        <v>83</v>
      </c>
      <c r="P20354">
        <v>0</v>
      </c>
    </row>
    <row r="20355" spans="1:16" x14ac:dyDescent="0.25">
      <c r="A20355" t="s">
        <v>43110</v>
      </c>
      <c r="B20355" t="s">
        <v>12323</v>
      </c>
      <c r="C20355" t="s">
        <v>12324</v>
      </c>
      <c r="D20355" t="str">
        <f>"2520"</f>
        <v>2520</v>
      </c>
      <c r="E20355" t="s">
        <v>12315</v>
      </c>
      <c r="F20355" t="s">
        <v>8</v>
      </c>
      <c r="G20355" t="s">
        <v>47099</v>
      </c>
      <c r="H20355" t="s">
        <v>47054</v>
      </c>
      <c r="I20355" t="s">
        <v>47120</v>
      </c>
      <c r="J20355" t="s">
        <v>47121</v>
      </c>
      <c r="K20355" t="s">
        <v>47113</v>
      </c>
      <c r="L20355">
        <v>25.09</v>
      </c>
      <c r="M20355">
        <v>83</v>
      </c>
      <c r="N20355">
        <v>0</v>
      </c>
      <c r="O20355">
        <v>83</v>
      </c>
      <c r="P20355">
        <v>0</v>
      </c>
    </row>
    <row r="20356" spans="1:16" x14ac:dyDescent="0.25">
      <c r="A20356" t="s">
        <v>43111</v>
      </c>
      <c r="B20356" t="s">
        <v>12323</v>
      </c>
      <c r="C20356" t="s">
        <v>12324</v>
      </c>
      <c r="D20356" t="str">
        <f>"3125"</f>
        <v>3125</v>
      </c>
      <c r="E20356" t="s">
        <v>12316</v>
      </c>
      <c r="F20356" t="s">
        <v>8</v>
      </c>
      <c r="G20356" t="s">
        <v>47099</v>
      </c>
      <c r="H20356" t="s">
        <v>47054</v>
      </c>
      <c r="I20356" t="s">
        <v>47120</v>
      </c>
      <c r="J20356" t="s">
        <v>47121</v>
      </c>
      <c r="K20356" t="s">
        <v>47113</v>
      </c>
      <c r="L20356">
        <v>25.09</v>
      </c>
      <c r="M20356">
        <v>83</v>
      </c>
      <c r="N20356">
        <v>0</v>
      </c>
      <c r="O20356">
        <v>83</v>
      </c>
      <c r="P20356">
        <v>0</v>
      </c>
    </row>
    <row r="20357" spans="1:16" x14ac:dyDescent="0.25">
      <c r="A20357" t="s">
        <v>43112</v>
      </c>
      <c r="B20357" t="s">
        <v>12325</v>
      </c>
      <c r="C20357" t="s">
        <v>12326</v>
      </c>
      <c r="D20357" t="str">
        <f>"3125"</f>
        <v>3125</v>
      </c>
      <c r="E20357" t="s">
        <v>12316</v>
      </c>
      <c r="F20357" t="s">
        <v>8</v>
      </c>
      <c r="G20357" t="s">
        <v>47099</v>
      </c>
      <c r="H20357" t="s">
        <v>47054</v>
      </c>
      <c r="I20357" t="s">
        <v>47120</v>
      </c>
      <c r="J20357" t="s">
        <v>47121</v>
      </c>
      <c r="K20357" t="s">
        <v>47113</v>
      </c>
      <c r="L20357">
        <v>25.56</v>
      </c>
      <c r="M20357">
        <v>83</v>
      </c>
      <c r="N20357">
        <v>0</v>
      </c>
      <c r="O20357">
        <v>83</v>
      </c>
      <c r="P20357">
        <v>0</v>
      </c>
    </row>
    <row r="20358" spans="1:16" x14ac:dyDescent="0.25">
      <c r="A20358" t="s">
        <v>43113</v>
      </c>
      <c r="B20358" t="s">
        <v>12327</v>
      </c>
      <c r="C20358" t="s">
        <v>12328</v>
      </c>
      <c r="D20358" t="str">
        <f>"1828"</f>
        <v>1828</v>
      </c>
      <c r="E20358" t="s">
        <v>12329</v>
      </c>
      <c r="F20358" t="s">
        <v>56</v>
      </c>
      <c r="G20358" t="s">
        <v>47099</v>
      </c>
      <c r="H20358" t="s">
        <v>47054</v>
      </c>
      <c r="I20358" t="s">
        <v>47120</v>
      </c>
      <c r="J20358" t="s">
        <v>47121</v>
      </c>
      <c r="K20358" t="s">
        <v>47113</v>
      </c>
      <c r="L20358">
        <v>24.57</v>
      </c>
      <c r="M20358">
        <v>63</v>
      </c>
      <c r="N20358">
        <v>0</v>
      </c>
      <c r="O20358">
        <v>63</v>
      </c>
      <c r="P20358">
        <v>0</v>
      </c>
    </row>
    <row r="20359" spans="1:16" x14ac:dyDescent="0.25">
      <c r="A20359" t="s">
        <v>43114</v>
      </c>
      <c r="B20359" t="s">
        <v>12327</v>
      </c>
      <c r="C20359" t="s">
        <v>12328</v>
      </c>
      <c r="D20359" t="str">
        <f>"3207"</f>
        <v>3207</v>
      </c>
      <c r="E20359" t="s">
        <v>12330</v>
      </c>
      <c r="F20359" t="s">
        <v>56</v>
      </c>
      <c r="G20359" t="s">
        <v>47099</v>
      </c>
      <c r="H20359" t="s">
        <v>47054</v>
      </c>
      <c r="I20359" t="s">
        <v>47120</v>
      </c>
      <c r="J20359" t="s">
        <v>47121</v>
      </c>
      <c r="K20359" t="s">
        <v>47113</v>
      </c>
      <c r="L20359">
        <v>24.99</v>
      </c>
      <c r="M20359">
        <v>63</v>
      </c>
      <c r="N20359">
        <v>0</v>
      </c>
      <c r="O20359">
        <v>63</v>
      </c>
      <c r="P20359">
        <v>0</v>
      </c>
    </row>
    <row r="20360" spans="1:16" x14ac:dyDescent="0.25">
      <c r="A20360" t="s">
        <v>43115</v>
      </c>
      <c r="B20360" t="s">
        <v>12327</v>
      </c>
      <c r="C20360" t="s">
        <v>12328</v>
      </c>
      <c r="D20360" t="str">
        <f>"6218"</f>
        <v>6218</v>
      </c>
      <c r="E20360" t="s">
        <v>12331</v>
      </c>
      <c r="F20360" t="s">
        <v>56</v>
      </c>
      <c r="G20360" t="s">
        <v>47099</v>
      </c>
      <c r="H20360" t="s">
        <v>47054</v>
      </c>
      <c r="I20360" t="s">
        <v>47120</v>
      </c>
      <c r="J20360" t="s">
        <v>47121</v>
      </c>
      <c r="K20360" t="s">
        <v>47113</v>
      </c>
      <c r="L20360">
        <v>24.99</v>
      </c>
      <c r="M20360">
        <v>63</v>
      </c>
      <c r="N20360">
        <v>0</v>
      </c>
      <c r="O20360">
        <v>63</v>
      </c>
      <c r="P20360">
        <v>0</v>
      </c>
    </row>
    <row r="20361" spans="1:16" x14ac:dyDescent="0.25">
      <c r="A20361" t="s">
        <v>43116</v>
      </c>
      <c r="B20361" t="s">
        <v>12327</v>
      </c>
      <c r="C20361" t="s">
        <v>12328</v>
      </c>
      <c r="D20361" t="str">
        <f>"7318"</f>
        <v>7318</v>
      </c>
      <c r="E20361" t="s">
        <v>12332</v>
      </c>
      <c r="F20361" t="s">
        <v>56</v>
      </c>
      <c r="G20361" t="s">
        <v>47099</v>
      </c>
      <c r="H20361" t="s">
        <v>47054</v>
      </c>
      <c r="I20361" t="s">
        <v>47120</v>
      </c>
      <c r="J20361" t="s">
        <v>47121</v>
      </c>
      <c r="K20361" t="s">
        <v>47113</v>
      </c>
      <c r="L20361">
        <v>24.99</v>
      </c>
      <c r="M20361">
        <v>63</v>
      </c>
      <c r="N20361">
        <v>0</v>
      </c>
      <c r="O20361">
        <v>63</v>
      </c>
      <c r="P20361">
        <v>0</v>
      </c>
    </row>
    <row r="20362" spans="1:16" x14ac:dyDescent="0.25">
      <c r="A20362" t="s">
        <v>43117</v>
      </c>
      <c r="B20362" t="s">
        <v>12333</v>
      </c>
      <c r="C20362" t="s">
        <v>12334</v>
      </c>
      <c r="D20362" t="str">
        <f>"1024"</f>
        <v>1024</v>
      </c>
      <c r="E20362" t="s">
        <v>717</v>
      </c>
      <c r="F20362" t="s">
        <v>7</v>
      </c>
      <c r="G20362" t="s">
        <v>47099</v>
      </c>
      <c r="H20362" t="s">
        <v>47054</v>
      </c>
      <c r="I20362" t="s">
        <v>47120</v>
      </c>
      <c r="J20362" t="s">
        <v>47121</v>
      </c>
      <c r="K20362" t="s">
        <v>47113</v>
      </c>
      <c r="L20362">
        <v>27.92</v>
      </c>
      <c r="M20362">
        <v>67</v>
      </c>
      <c r="N20362">
        <v>0</v>
      </c>
      <c r="O20362">
        <v>67</v>
      </c>
      <c r="P20362">
        <v>0</v>
      </c>
    </row>
    <row r="20363" spans="1:16" x14ac:dyDescent="0.25">
      <c r="A20363" t="s">
        <v>43118</v>
      </c>
      <c r="B20363" t="s">
        <v>12333</v>
      </c>
      <c r="C20363" t="s">
        <v>12334</v>
      </c>
      <c r="D20363" t="str">
        <f>"1509"</f>
        <v>1509</v>
      </c>
      <c r="E20363" t="s">
        <v>1270</v>
      </c>
      <c r="F20363" t="s">
        <v>7</v>
      </c>
      <c r="G20363" t="s">
        <v>47099</v>
      </c>
      <c r="H20363" t="s">
        <v>47054</v>
      </c>
      <c r="I20363" t="s">
        <v>47120</v>
      </c>
      <c r="J20363" t="s">
        <v>47121</v>
      </c>
      <c r="K20363" t="s">
        <v>47113</v>
      </c>
      <c r="L20363">
        <v>27.92</v>
      </c>
      <c r="M20363">
        <v>71</v>
      </c>
      <c r="N20363">
        <v>0</v>
      </c>
      <c r="O20363">
        <v>71</v>
      </c>
      <c r="P20363">
        <v>0</v>
      </c>
    </row>
    <row r="20364" spans="1:16" x14ac:dyDescent="0.25">
      <c r="A20364" t="s">
        <v>43119</v>
      </c>
      <c r="B20364" t="s">
        <v>12335</v>
      </c>
      <c r="C20364" t="s">
        <v>12336</v>
      </c>
      <c r="D20364" t="str">
        <f>"1116"</f>
        <v>1116</v>
      </c>
      <c r="E20364" t="s">
        <v>6530</v>
      </c>
      <c r="F20364" t="s">
        <v>7</v>
      </c>
      <c r="G20364" t="s">
        <v>47098</v>
      </c>
      <c r="H20364" t="s">
        <v>47054</v>
      </c>
      <c r="I20364" t="s">
        <v>47120</v>
      </c>
      <c r="J20364" t="s">
        <v>47121</v>
      </c>
      <c r="K20364" t="s">
        <v>47113</v>
      </c>
      <c r="L20364">
        <v>43.86</v>
      </c>
      <c r="M20364">
        <v>112</v>
      </c>
      <c r="N20364">
        <v>0</v>
      </c>
      <c r="O20364">
        <v>112</v>
      </c>
      <c r="P20364">
        <v>0</v>
      </c>
    </row>
    <row r="20365" spans="1:16" x14ac:dyDescent="0.25">
      <c r="A20365" t="s">
        <v>43120</v>
      </c>
      <c r="B20365" t="s">
        <v>12337</v>
      </c>
      <c r="C20365" t="s">
        <v>12338</v>
      </c>
      <c r="D20365" t="str">
        <f>"2520"</f>
        <v>2520</v>
      </c>
      <c r="E20365" t="s">
        <v>12315</v>
      </c>
      <c r="F20365" t="s">
        <v>8</v>
      </c>
      <c r="G20365" t="s">
        <v>47101</v>
      </c>
      <c r="H20365" t="s">
        <v>47054</v>
      </c>
      <c r="I20365" t="s">
        <v>47120</v>
      </c>
      <c r="J20365" t="s">
        <v>47121</v>
      </c>
      <c r="K20365" t="s">
        <v>47113</v>
      </c>
      <c r="L20365">
        <v>25.75</v>
      </c>
      <c r="M20365">
        <v>61</v>
      </c>
      <c r="N20365">
        <v>0</v>
      </c>
      <c r="O20365">
        <v>61</v>
      </c>
      <c r="P20365">
        <v>0</v>
      </c>
    </row>
    <row r="20366" spans="1:16" x14ac:dyDescent="0.25">
      <c r="A20366" t="s">
        <v>43121</v>
      </c>
      <c r="B20366" t="s">
        <v>12339</v>
      </c>
      <c r="C20366" t="s">
        <v>12340</v>
      </c>
      <c r="D20366" t="str">
        <f>"4158"</f>
        <v>4158</v>
      </c>
      <c r="E20366" t="s">
        <v>6588</v>
      </c>
      <c r="F20366" t="s">
        <v>7</v>
      </c>
      <c r="G20366" t="s">
        <v>47101</v>
      </c>
      <c r="H20366" t="s">
        <v>47054</v>
      </c>
      <c r="I20366" t="s">
        <v>47120</v>
      </c>
      <c r="J20366" t="s">
        <v>47121</v>
      </c>
      <c r="K20366" t="s">
        <v>47113</v>
      </c>
      <c r="L20366">
        <v>28.77</v>
      </c>
      <c r="M20366">
        <v>68</v>
      </c>
      <c r="N20366">
        <v>0</v>
      </c>
      <c r="O20366">
        <v>68</v>
      </c>
      <c r="P20366">
        <v>0</v>
      </c>
    </row>
    <row r="20367" spans="1:16" x14ac:dyDescent="0.25">
      <c r="A20367" t="s">
        <v>43122</v>
      </c>
      <c r="B20367" t="s">
        <v>16136</v>
      </c>
      <c r="C20367" t="s">
        <v>16137</v>
      </c>
      <c r="D20367" t="s">
        <v>721</v>
      </c>
      <c r="E20367" t="s">
        <v>722</v>
      </c>
      <c r="F20367" t="s">
        <v>3750</v>
      </c>
      <c r="G20367" t="s">
        <v>47093</v>
      </c>
      <c r="H20367" t="s">
        <v>47054</v>
      </c>
      <c r="I20367" t="s">
        <v>47964</v>
      </c>
      <c r="J20367" t="s">
        <v>47965</v>
      </c>
      <c r="K20367" t="s">
        <v>47113</v>
      </c>
      <c r="L20367">
        <v>17.91</v>
      </c>
      <c r="M20367">
        <v>69</v>
      </c>
      <c r="N20367">
        <v>0</v>
      </c>
      <c r="O20367">
        <v>69</v>
      </c>
      <c r="P20367">
        <v>0</v>
      </c>
    </row>
    <row r="20368" spans="1:16" x14ac:dyDescent="0.25">
      <c r="A20368" t="s">
        <v>43123</v>
      </c>
      <c r="B20368" t="s">
        <v>12341</v>
      </c>
      <c r="C20368" t="s">
        <v>12342</v>
      </c>
      <c r="D20368" t="s">
        <v>6840</v>
      </c>
      <c r="E20368" t="s">
        <v>6841</v>
      </c>
      <c r="F20368" t="s">
        <v>2068</v>
      </c>
      <c r="G20368" t="s">
        <v>47093</v>
      </c>
      <c r="H20368" t="s">
        <v>47054</v>
      </c>
      <c r="I20368" t="s">
        <v>47111</v>
      </c>
      <c r="J20368" t="s">
        <v>47112</v>
      </c>
      <c r="K20368" t="s">
        <v>47113</v>
      </c>
      <c r="L20368">
        <v>45.27</v>
      </c>
      <c r="M20368">
        <v>112</v>
      </c>
      <c r="N20368">
        <v>0</v>
      </c>
      <c r="O20368">
        <v>112</v>
      </c>
      <c r="P20368">
        <v>0</v>
      </c>
    </row>
    <row r="20369" spans="1:16" x14ac:dyDescent="0.25">
      <c r="A20369" t="s">
        <v>43124</v>
      </c>
      <c r="B20369" t="s">
        <v>12343</v>
      </c>
      <c r="C20369" t="s">
        <v>12344</v>
      </c>
      <c r="D20369" t="str">
        <f>"11"</f>
        <v>11</v>
      </c>
      <c r="E20369" t="s">
        <v>288</v>
      </c>
      <c r="F20369" t="s">
        <v>8</v>
      </c>
      <c r="G20369" t="s">
        <v>47093</v>
      </c>
      <c r="H20369" t="s">
        <v>47054</v>
      </c>
      <c r="I20369" t="s">
        <v>47111</v>
      </c>
      <c r="J20369" t="s">
        <v>47112</v>
      </c>
      <c r="K20369" t="s">
        <v>47113</v>
      </c>
      <c r="L20369">
        <v>41.26</v>
      </c>
      <c r="M20369">
        <v>101</v>
      </c>
      <c r="N20369">
        <v>0</v>
      </c>
      <c r="O20369">
        <v>101</v>
      </c>
      <c r="P20369">
        <v>0</v>
      </c>
    </row>
    <row r="20370" spans="1:16" x14ac:dyDescent="0.25">
      <c r="A20370" t="s">
        <v>43125</v>
      </c>
      <c r="B20370" t="s">
        <v>12343</v>
      </c>
      <c r="C20370" t="s">
        <v>12344</v>
      </c>
      <c r="D20370" t="s">
        <v>721</v>
      </c>
      <c r="E20370" t="s">
        <v>722</v>
      </c>
      <c r="F20370" t="s">
        <v>8</v>
      </c>
      <c r="G20370" t="s">
        <v>47093</v>
      </c>
      <c r="H20370" t="s">
        <v>47054</v>
      </c>
      <c r="I20370" t="s">
        <v>47111</v>
      </c>
      <c r="J20370" t="s">
        <v>47112</v>
      </c>
      <c r="K20370" t="s">
        <v>47113</v>
      </c>
      <c r="L20370">
        <v>38.270000000000003</v>
      </c>
      <c r="M20370">
        <v>94</v>
      </c>
      <c r="N20370">
        <v>0</v>
      </c>
      <c r="O20370">
        <v>94</v>
      </c>
      <c r="P20370">
        <v>0</v>
      </c>
    </row>
    <row r="20371" spans="1:16" x14ac:dyDescent="0.25">
      <c r="A20371" t="s">
        <v>43126</v>
      </c>
      <c r="B20371" t="s">
        <v>12343</v>
      </c>
      <c r="C20371" t="s">
        <v>12344</v>
      </c>
      <c r="D20371" t="s">
        <v>1341</v>
      </c>
      <c r="E20371" t="s">
        <v>1342</v>
      </c>
      <c r="F20371" t="s">
        <v>8</v>
      </c>
      <c r="G20371" t="s">
        <v>47093</v>
      </c>
      <c r="H20371" t="s">
        <v>47054</v>
      </c>
      <c r="I20371" t="s">
        <v>47111</v>
      </c>
      <c r="J20371" t="s">
        <v>47112</v>
      </c>
      <c r="K20371" t="s">
        <v>47113</v>
      </c>
      <c r="L20371">
        <v>45.88</v>
      </c>
      <c r="M20371">
        <v>113</v>
      </c>
      <c r="N20371">
        <v>0</v>
      </c>
      <c r="O20371">
        <v>113</v>
      </c>
      <c r="P20371">
        <v>0</v>
      </c>
    </row>
    <row r="20372" spans="1:16" x14ac:dyDescent="0.25">
      <c r="A20372" t="s">
        <v>43127</v>
      </c>
      <c r="B20372" t="s">
        <v>719</v>
      </c>
      <c r="C20372" t="s">
        <v>720</v>
      </c>
      <c r="D20372" t="str">
        <f>"11"</f>
        <v>11</v>
      </c>
      <c r="E20372" t="s">
        <v>288</v>
      </c>
      <c r="F20372" t="s">
        <v>3</v>
      </c>
      <c r="G20372" t="s">
        <v>47093</v>
      </c>
      <c r="H20372" t="s">
        <v>47054</v>
      </c>
      <c r="I20372" t="s">
        <v>47111</v>
      </c>
      <c r="J20372" t="s">
        <v>47112</v>
      </c>
      <c r="K20372" t="s">
        <v>47113</v>
      </c>
      <c r="L20372">
        <v>34.28</v>
      </c>
      <c r="M20372">
        <v>70</v>
      </c>
      <c r="N20372">
        <v>0</v>
      </c>
      <c r="O20372">
        <v>70</v>
      </c>
      <c r="P20372">
        <v>0</v>
      </c>
    </row>
    <row r="20373" spans="1:16" x14ac:dyDescent="0.25">
      <c r="A20373" t="s">
        <v>718</v>
      </c>
      <c r="B20373" t="s">
        <v>719</v>
      </c>
      <c r="C20373" t="s">
        <v>720</v>
      </c>
      <c r="D20373" t="s">
        <v>721</v>
      </c>
      <c r="E20373" t="s">
        <v>722</v>
      </c>
      <c r="F20373" t="s">
        <v>3</v>
      </c>
      <c r="G20373" t="s">
        <v>47093</v>
      </c>
      <c r="H20373" t="s">
        <v>47054</v>
      </c>
      <c r="I20373" t="s">
        <v>47111</v>
      </c>
      <c r="J20373" t="s">
        <v>47112</v>
      </c>
      <c r="K20373" t="s">
        <v>47113</v>
      </c>
      <c r="L20373">
        <v>31.3</v>
      </c>
      <c r="M20373">
        <v>68</v>
      </c>
      <c r="N20373">
        <v>0</v>
      </c>
      <c r="O20373">
        <v>68</v>
      </c>
      <c r="P20373">
        <v>0</v>
      </c>
    </row>
    <row r="20374" spans="1:16" x14ac:dyDescent="0.25">
      <c r="A20374" t="s">
        <v>43128</v>
      </c>
      <c r="B20374" t="s">
        <v>719</v>
      </c>
      <c r="C20374" t="s">
        <v>720</v>
      </c>
      <c r="D20374" t="s">
        <v>730</v>
      </c>
      <c r="E20374" t="s">
        <v>731</v>
      </c>
      <c r="F20374" t="s">
        <v>3</v>
      </c>
      <c r="G20374" t="s">
        <v>47093</v>
      </c>
      <c r="H20374" t="s">
        <v>47054</v>
      </c>
      <c r="I20374" t="s">
        <v>47111</v>
      </c>
      <c r="J20374" t="s">
        <v>47112</v>
      </c>
      <c r="K20374" t="s">
        <v>47113</v>
      </c>
      <c r="L20374">
        <v>38.54</v>
      </c>
      <c r="M20374">
        <v>70</v>
      </c>
      <c r="N20374">
        <v>0</v>
      </c>
      <c r="O20374">
        <v>70</v>
      </c>
      <c r="P20374">
        <v>0</v>
      </c>
    </row>
    <row r="20375" spans="1:16" x14ac:dyDescent="0.25">
      <c r="A20375" t="s">
        <v>43129</v>
      </c>
      <c r="B20375" t="s">
        <v>12345</v>
      </c>
      <c r="C20375" t="s">
        <v>12346</v>
      </c>
      <c r="D20375" t="s">
        <v>748</v>
      </c>
      <c r="E20375" t="s">
        <v>749</v>
      </c>
      <c r="F20375" t="s">
        <v>5</v>
      </c>
      <c r="G20375" t="s">
        <v>47093</v>
      </c>
      <c r="H20375" t="s">
        <v>47054</v>
      </c>
      <c r="I20375" t="s">
        <v>47111</v>
      </c>
      <c r="J20375" t="s">
        <v>47112</v>
      </c>
      <c r="K20375" t="s">
        <v>47113</v>
      </c>
      <c r="L20375">
        <v>34.99</v>
      </c>
      <c r="M20375">
        <v>80</v>
      </c>
      <c r="N20375">
        <v>0</v>
      </c>
      <c r="O20375">
        <v>80</v>
      </c>
      <c r="P20375">
        <v>0</v>
      </c>
    </row>
    <row r="20376" spans="1:16" x14ac:dyDescent="0.25">
      <c r="A20376" t="s">
        <v>43130</v>
      </c>
      <c r="B20376" t="s">
        <v>12345</v>
      </c>
      <c r="C20376" t="s">
        <v>12346</v>
      </c>
      <c r="D20376" t="s">
        <v>12149</v>
      </c>
      <c r="E20376" t="s">
        <v>12150</v>
      </c>
      <c r="F20376" t="s">
        <v>5</v>
      </c>
      <c r="G20376" t="s">
        <v>47093</v>
      </c>
      <c r="H20376" t="s">
        <v>47054</v>
      </c>
      <c r="I20376" t="s">
        <v>47111</v>
      </c>
      <c r="J20376" t="s">
        <v>47112</v>
      </c>
      <c r="K20376" t="s">
        <v>47113</v>
      </c>
      <c r="L20376">
        <v>32.83</v>
      </c>
      <c r="M20376">
        <v>77</v>
      </c>
      <c r="N20376">
        <v>0</v>
      </c>
      <c r="O20376">
        <v>77</v>
      </c>
      <c r="P20376">
        <v>0</v>
      </c>
    </row>
    <row r="20377" spans="1:16" x14ac:dyDescent="0.25">
      <c r="A20377" t="s">
        <v>43131</v>
      </c>
      <c r="B20377" t="s">
        <v>12345</v>
      </c>
      <c r="C20377" t="s">
        <v>12346</v>
      </c>
      <c r="D20377" t="s">
        <v>12347</v>
      </c>
      <c r="E20377" t="s">
        <v>12348</v>
      </c>
      <c r="F20377" t="s">
        <v>5</v>
      </c>
      <c r="G20377" t="s">
        <v>47093</v>
      </c>
      <c r="H20377" t="s">
        <v>47054</v>
      </c>
      <c r="I20377" t="s">
        <v>47111</v>
      </c>
      <c r="J20377" t="s">
        <v>47112</v>
      </c>
      <c r="K20377" t="s">
        <v>47113</v>
      </c>
      <c r="L20377">
        <v>42.51</v>
      </c>
      <c r="M20377">
        <v>100</v>
      </c>
      <c r="N20377">
        <v>0</v>
      </c>
      <c r="O20377">
        <v>100</v>
      </c>
      <c r="P20377">
        <v>0</v>
      </c>
    </row>
    <row r="20378" spans="1:16" x14ac:dyDescent="0.25">
      <c r="A20378" t="s">
        <v>43132</v>
      </c>
      <c r="B20378" t="s">
        <v>12349</v>
      </c>
      <c r="C20378" t="s">
        <v>12346</v>
      </c>
      <c r="D20378" t="s">
        <v>748</v>
      </c>
      <c r="E20378" t="s">
        <v>749</v>
      </c>
      <c r="F20378" t="s">
        <v>5</v>
      </c>
      <c r="G20378" t="s">
        <v>47093</v>
      </c>
      <c r="H20378" t="s">
        <v>47054</v>
      </c>
      <c r="I20378" t="s">
        <v>47111</v>
      </c>
      <c r="J20378" t="s">
        <v>47112</v>
      </c>
      <c r="K20378" t="s">
        <v>47113</v>
      </c>
      <c r="L20378">
        <v>34.99</v>
      </c>
      <c r="M20378">
        <v>80</v>
      </c>
      <c r="N20378">
        <v>0</v>
      </c>
      <c r="O20378">
        <v>80</v>
      </c>
      <c r="P20378">
        <v>0</v>
      </c>
    </row>
    <row r="20379" spans="1:16" x14ac:dyDescent="0.25">
      <c r="A20379" t="s">
        <v>43133</v>
      </c>
      <c r="B20379" t="s">
        <v>12349</v>
      </c>
      <c r="C20379" t="s">
        <v>12346</v>
      </c>
      <c r="D20379" t="s">
        <v>12149</v>
      </c>
      <c r="E20379" t="s">
        <v>12150</v>
      </c>
      <c r="F20379" t="s">
        <v>5</v>
      </c>
      <c r="G20379" t="s">
        <v>47093</v>
      </c>
      <c r="H20379" t="s">
        <v>47054</v>
      </c>
      <c r="I20379" t="s">
        <v>47111</v>
      </c>
      <c r="J20379" t="s">
        <v>47112</v>
      </c>
      <c r="K20379" t="s">
        <v>47113</v>
      </c>
      <c r="L20379">
        <v>32.83</v>
      </c>
      <c r="M20379">
        <v>77</v>
      </c>
      <c r="N20379">
        <v>0</v>
      </c>
      <c r="O20379">
        <v>77</v>
      </c>
      <c r="P20379">
        <v>0</v>
      </c>
    </row>
    <row r="20380" spans="1:16" x14ac:dyDescent="0.25">
      <c r="A20380" t="s">
        <v>43134</v>
      </c>
      <c r="B20380" t="s">
        <v>12349</v>
      </c>
      <c r="C20380" t="s">
        <v>12346</v>
      </c>
      <c r="D20380" t="s">
        <v>12347</v>
      </c>
      <c r="E20380" t="s">
        <v>12348</v>
      </c>
      <c r="F20380" t="s">
        <v>5</v>
      </c>
      <c r="G20380" t="s">
        <v>47093</v>
      </c>
      <c r="H20380" t="s">
        <v>47054</v>
      </c>
      <c r="I20380" t="s">
        <v>47111</v>
      </c>
      <c r="J20380" t="s">
        <v>47112</v>
      </c>
      <c r="K20380" t="s">
        <v>47113</v>
      </c>
      <c r="L20380">
        <v>42.51</v>
      </c>
      <c r="M20380">
        <v>100</v>
      </c>
      <c r="N20380">
        <v>0</v>
      </c>
      <c r="O20380">
        <v>100</v>
      </c>
      <c r="P20380">
        <v>0</v>
      </c>
    </row>
    <row r="20381" spans="1:16" x14ac:dyDescent="0.25">
      <c r="A20381" t="s">
        <v>43135</v>
      </c>
      <c r="B20381" t="s">
        <v>12350</v>
      </c>
      <c r="C20381" t="s">
        <v>12351</v>
      </c>
      <c r="D20381" t="s">
        <v>748</v>
      </c>
      <c r="E20381" t="s">
        <v>749</v>
      </c>
      <c r="F20381" t="s">
        <v>5</v>
      </c>
      <c r="G20381" t="s">
        <v>47093</v>
      </c>
      <c r="H20381" t="s">
        <v>47054</v>
      </c>
      <c r="I20381" t="s">
        <v>47111</v>
      </c>
      <c r="J20381" t="s">
        <v>47112</v>
      </c>
      <c r="K20381" t="s">
        <v>47113</v>
      </c>
      <c r="L20381">
        <v>34.99</v>
      </c>
      <c r="M20381">
        <v>80</v>
      </c>
      <c r="N20381">
        <v>0</v>
      </c>
      <c r="O20381">
        <v>80</v>
      </c>
      <c r="P20381">
        <v>0</v>
      </c>
    </row>
    <row r="20382" spans="1:16" x14ac:dyDescent="0.25">
      <c r="A20382" t="s">
        <v>43136</v>
      </c>
      <c r="B20382" t="s">
        <v>12350</v>
      </c>
      <c r="C20382" t="s">
        <v>12351</v>
      </c>
      <c r="D20382" t="s">
        <v>12149</v>
      </c>
      <c r="E20382" t="s">
        <v>12150</v>
      </c>
      <c r="F20382" t="s">
        <v>5</v>
      </c>
      <c r="G20382" t="s">
        <v>47093</v>
      </c>
      <c r="H20382" t="s">
        <v>47054</v>
      </c>
      <c r="I20382" t="s">
        <v>47111</v>
      </c>
      <c r="J20382" t="s">
        <v>47112</v>
      </c>
      <c r="K20382" t="s">
        <v>47113</v>
      </c>
      <c r="L20382">
        <v>32.83</v>
      </c>
      <c r="M20382">
        <v>77</v>
      </c>
      <c r="N20382">
        <v>0</v>
      </c>
      <c r="O20382">
        <v>77</v>
      </c>
      <c r="P20382">
        <v>0</v>
      </c>
    </row>
    <row r="20383" spans="1:16" x14ac:dyDescent="0.25">
      <c r="A20383" t="s">
        <v>43137</v>
      </c>
      <c r="B20383" t="s">
        <v>12350</v>
      </c>
      <c r="C20383" t="s">
        <v>12351</v>
      </c>
      <c r="D20383" t="s">
        <v>12347</v>
      </c>
      <c r="E20383" t="s">
        <v>12348</v>
      </c>
      <c r="F20383" t="s">
        <v>5</v>
      </c>
      <c r="G20383" t="s">
        <v>47093</v>
      </c>
      <c r="H20383" t="s">
        <v>47054</v>
      </c>
      <c r="I20383" t="s">
        <v>47111</v>
      </c>
      <c r="J20383" t="s">
        <v>47112</v>
      </c>
      <c r="K20383" t="s">
        <v>47113</v>
      </c>
      <c r="L20383">
        <v>42.51</v>
      </c>
      <c r="M20383">
        <v>100</v>
      </c>
      <c r="N20383">
        <v>0</v>
      </c>
      <c r="O20383">
        <v>100</v>
      </c>
      <c r="P20383">
        <v>0</v>
      </c>
    </row>
    <row r="20384" spans="1:16" x14ac:dyDescent="0.25">
      <c r="A20384" t="s">
        <v>43138</v>
      </c>
      <c r="B20384" t="s">
        <v>12352</v>
      </c>
      <c r="C20384" t="s">
        <v>12351</v>
      </c>
      <c r="D20384" t="s">
        <v>748</v>
      </c>
      <c r="E20384" t="s">
        <v>749</v>
      </c>
      <c r="F20384" t="s">
        <v>5</v>
      </c>
      <c r="G20384" t="s">
        <v>47093</v>
      </c>
      <c r="I20384" t="s">
        <v>47111</v>
      </c>
      <c r="J20384" t="s">
        <v>47112</v>
      </c>
      <c r="K20384" t="s">
        <v>47113</v>
      </c>
      <c r="L20384">
        <v>34.99</v>
      </c>
      <c r="M20384">
        <v>80</v>
      </c>
      <c r="N20384">
        <v>0</v>
      </c>
      <c r="O20384">
        <v>80</v>
      </c>
      <c r="P20384">
        <v>0</v>
      </c>
    </row>
    <row r="20385" spans="1:16" x14ac:dyDescent="0.25">
      <c r="A20385" t="s">
        <v>43139</v>
      </c>
      <c r="B20385" t="s">
        <v>12352</v>
      </c>
      <c r="C20385" t="s">
        <v>12351</v>
      </c>
      <c r="D20385" t="s">
        <v>12149</v>
      </c>
      <c r="E20385" t="s">
        <v>12150</v>
      </c>
      <c r="F20385" t="s">
        <v>5</v>
      </c>
      <c r="G20385" t="s">
        <v>47093</v>
      </c>
      <c r="I20385" t="s">
        <v>47111</v>
      </c>
      <c r="J20385" t="s">
        <v>47112</v>
      </c>
      <c r="K20385" t="s">
        <v>47113</v>
      </c>
      <c r="L20385">
        <v>32.83</v>
      </c>
      <c r="M20385">
        <v>77</v>
      </c>
      <c r="N20385">
        <v>0</v>
      </c>
      <c r="O20385">
        <v>77</v>
      </c>
      <c r="P20385">
        <v>0</v>
      </c>
    </row>
    <row r="20386" spans="1:16" x14ac:dyDescent="0.25">
      <c r="A20386" t="s">
        <v>43140</v>
      </c>
      <c r="B20386" t="s">
        <v>12352</v>
      </c>
      <c r="C20386" t="s">
        <v>12351</v>
      </c>
      <c r="D20386" t="s">
        <v>12347</v>
      </c>
      <c r="E20386" t="s">
        <v>12348</v>
      </c>
      <c r="F20386" t="s">
        <v>5</v>
      </c>
      <c r="G20386" t="s">
        <v>47093</v>
      </c>
      <c r="I20386" t="s">
        <v>47111</v>
      </c>
      <c r="J20386" t="s">
        <v>47112</v>
      </c>
      <c r="K20386" t="s">
        <v>47113</v>
      </c>
      <c r="L20386">
        <v>42.51</v>
      </c>
      <c r="M20386">
        <v>100</v>
      </c>
      <c r="N20386">
        <v>0</v>
      </c>
      <c r="O20386">
        <v>100</v>
      </c>
      <c r="P20386">
        <v>0</v>
      </c>
    </row>
    <row r="20387" spans="1:16" x14ac:dyDescent="0.25">
      <c r="A20387" t="s">
        <v>43141</v>
      </c>
      <c r="B20387" t="s">
        <v>12353</v>
      </c>
      <c r="C20387" t="s">
        <v>12354</v>
      </c>
      <c r="D20387" t="s">
        <v>721</v>
      </c>
      <c r="E20387" t="s">
        <v>722</v>
      </c>
      <c r="F20387" t="s">
        <v>8</v>
      </c>
      <c r="G20387" t="s">
        <v>47093</v>
      </c>
      <c r="H20387" t="s">
        <v>47054</v>
      </c>
      <c r="I20387" t="s">
        <v>47111</v>
      </c>
      <c r="J20387" t="s">
        <v>47112</v>
      </c>
      <c r="K20387" t="s">
        <v>47113</v>
      </c>
      <c r="L20387">
        <v>37.33</v>
      </c>
      <c r="M20387">
        <v>90</v>
      </c>
      <c r="N20387">
        <v>0</v>
      </c>
      <c r="O20387">
        <v>90</v>
      </c>
      <c r="P20387">
        <v>0</v>
      </c>
    </row>
    <row r="20388" spans="1:16" x14ac:dyDescent="0.25">
      <c r="A20388" t="s">
        <v>43142</v>
      </c>
      <c r="B20388" t="s">
        <v>12353</v>
      </c>
      <c r="C20388" t="s">
        <v>12354</v>
      </c>
      <c r="D20388" t="s">
        <v>743</v>
      </c>
      <c r="E20388" t="s">
        <v>744</v>
      </c>
      <c r="F20388" t="s">
        <v>8</v>
      </c>
      <c r="G20388" t="s">
        <v>47093</v>
      </c>
      <c r="H20388" t="s">
        <v>47054</v>
      </c>
      <c r="I20388" t="s">
        <v>47111</v>
      </c>
      <c r="J20388" t="s">
        <v>47112</v>
      </c>
      <c r="K20388" t="s">
        <v>47113</v>
      </c>
      <c r="L20388">
        <v>44.14</v>
      </c>
      <c r="M20388">
        <v>98</v>
      </c>
      <c r="N20388">
        <v>0</v>
      </c>
      <c r="O20388">
        <v>98</v>
      </c>
      <c r="P20388">
        <v>0</v>
      </c>
    </row>
    <row r="20389" spans="1:16" x14ac:dyDescent="0.25">
      <c r="A20389" t="s">
        <v>43143</v>
      </c>
      <c r="B20389" t="s">
        <v>12353</v>
      </c>
      <c r="C20389" t="s">
        <v>12354</v>
      </c>
      <c r="D20389" t="s">
        <v>739</v>
      </c>
      <c r="E20389" t="s">
        <v>740</v>
      </c>
      <c r="F20389" t="s">
        <v>52</v>
      </c>
      <c r="G20389" t="s">
        <v>47093</v>
      </c>
      <c r="H20389" t="s">
        <v>47054</v>
      </c>
      <c r="I20389" t="s">
        <v>47111</v>
      </c>
      <c r="J20389" t="s">
        <v>47112</v>
      </c>
      <c r="K20389" t="s">
        <v>47113</v>
      </c>
      <c r="L20389">
        <v>40.75</v>
      </c>
      <c r="M20389">
        <v>100</v>
      </c>
      <c r="N20389">
        <v>0</v>
      </c>
      <c r="O20389">
        <v>100</v>
      </c>
      <c r="P20389">
        <v>0</v>
      </c>
    </row>
    <row r="20390" spans="1:16" x14ac:dyDescent="0.25">
      <c r="A20390" t="s">
        <v>43144</v>
      </c>
      <c r="B20390" t="s">
        <v>12353</v>
      </c>
      <c r="C20390" t="s">
        <v>12354</v>
      </c>
      <c r="D20390" t="s">
        <v>983</v>
      </c>
      <c r="E20390" t="s">
        <v>984</v>
      </c>
      <c r="F20390" t="s">
        <v>7</v>
      </c>
      <c r="G20390" t="s">
        <v>47093</v>
      </c>
      <c r="H20390" t="s">
        <v>47054</v>
      </c>
      <c r="I20390" t="s">
        <v>47111</v>
      </c>
      <c r="J20390" t="s">
        <v>47112</v>
      </c>
      <c r="K20390" t="s">
        <v>47113</v>
      </c>
      <c r="L20390">
        <v>48.13</v>
      </c>
      <c r="M20390">
        <v>118</v>
      </c>
      <c r="N20390">
        <v>0</v>
      </c>
      <c r="O20390">
        <v>118</v>
      </c>
      <c r="P20390">
        <v>0</v>
      </c>
    </row>
    <row r="20391" spans="1:16" x14ac:dyDescent="0.25">
      <c r="A20391" t="s">
        <v>43145</v>
      </c>
      <c r="B20391" t="s">
        <v>12355</v>
      </c>
      <c r="C20391" t="s">
        <v>12356</v>
      </c>
      <c r="D20391" t="s">
        <v>721</v>
      </c>
      <c r="E20391" t="s">
        <v>722</v>
      </c>
      <c r="F20391" t="s">
        <v>52</v>
      </c>
      <c r="G20391" t="s">
        <v>47093</v>
      </c>
      <c r="H20391" t="s">
        <v>47054</v>
      </c>
      <c r="I20391" t="s">
        <v>47111</v>
      </c>
      <c r="J20391" t="s">
        <v>47112</v>
      </c>
      <c r="K20391" t="s">
        <v>47113</v>
      </c>
      <c r="L20391">
        <v>35.700000000000003</v>
      </c>
      <c r="M20391">
        <v>85</v>
      </c>
      <c r="N20391">
        <v>0</v>
      </c>
      <c r="O20391">
        <v>85</v>
      </c>
      <c r="P20391">
        <v>0</v>
      </c>
    </row>
    <row r="20392" spans="1:16" x14ac:dyDescent="0.25">
      <c r="A20392" t="s">
        <v>43146</v>
      </c>
      <c r="B20392" t="s">
        <v>12355</v>
      </c>
      <c r="C20392" t="s">
        <v>12356</v>
      </c>
      <c r="D20392" t="s">
        <v>743</v>
      </c>
      <c r="E20392" t="s">
        <v>744</v>
      </c>
      <c r="F20392" t="s">
        <v>52</v>
      </c>
      <c r="G20392" t="s">
        <v>47093</v>
      </c>
      <c r="H20392" t="s">
        <v>47054</v>
      </c>
      <c r="I20392" t="s">
        <v>47111</v>
      </c>
      <c r="J20392" t="s">
        <v>47112</v>
      </c>
      <c r="K20392" t="s">
        <v>47113</v>
      </c>
      <c r="L20392">
        <v>43.9</v>
      </c>
      <c r="M20392">
        <v>106</v>
      </c>
      <c r="N20392">
        <v>0</v>
      </c>
      <c r="O20392">
        <v>106</v>
      </c>
      <c r="P20392">
        <v>0</v>
      </c>
    </row>
    <row r="20393" spans="1:16" x14ac:dyDescent="0.25">
      <c r="A20393" t="s">
        <v>43147</v>
      </c>
      <c r="B20393" t="s">
        <v>12355</v>
      </c>
      <c r="C20393" t="s">
        <v>12356</v>
      </c>
      <c r="D20393" t="s">
        <v>739</v>
      </c>
      <c r="E20393" t="s">
        <v>740</v>
      </c>
      <c r="F20393" t="s">
        <v>52</v>
      </c>
      <c r="G20393" t="s">
        <v>47093</v>
      </c>
      <c r="H20393" t="s">
        <v>47054</v>
      </c>
      <c r="I20393" t="s">
        <v>47111</v>
      </c>
      <c r="J20393" t="s">
        <v>47112</v>
      </c>
      <c r="K20393" t="s">
        <v>47113</v>
      </c>
      <c r="L20393">
        <v>39.81</v>
      </c>
      <c r="M20393">
        <v>98</v>
      </c>
      <c r="N20393">
        <v>0</v>
      </c>
      <c r="O20393">
        <v>98</v>
      </c>
      <c r="P20393">
        <v>0</v>
      </c>
    </row>
    <row r="20394" spans="1:16" x14ac:dyDescent="0.25">
      <c r="A20394" t="s">
        <v>43148</v>
      </c>
      <c r="B20394" t="s">
        <v>12355</v>
      </c>
      <c r="C20394" t="s">
        <v>12356</v>
      </c>
      <c r="D20394" t="s">
        <v>983</v>
      </c>
      <c r="E20394" t="s">
        <v>984</v>
      </c>
      <c r="F20394" t="s">
        <v>7</v>
      </c>
      <c r="G20394" t="s">
        <v>47093</v>
      </c>
      <c r="H20394" t="s">
        <v>47054</v>
      </c>
      <c r="I20394" t="s">
        <v>47111</v>
      </c>
      <c r="J20394" t="s">
        <v>47112</v>
      </c>
      <c r="K20394" t="s">
        <v>47113</v>
      </c>
      <c r="L20394">
        <v>47.38</v>
      </c>
      <c r="M20394">
        <v>117</v>
      </c>
      <c r="N20394">
        <v>0</v>
      </c>
      <c r="O20394">
        <v>117</v>
      </c>
      <c r="P20394">
        <v>0</v>
      </c>
    </row>
    <row r="20395" spans="1:16" x14ac:dyDescent="0.25">
      <c r="A20395" t="s">
        <v>43149</v>
      </c>
      <c r="B20395" t="s">
        <v>12357</v>
      </c>
      <c r="C20395" t="s">
        <v>12354</v>
      </c>
      <c r="D20395" t="s">
        <v>739</v>
      </c>
      <c r="E20395" t="s">
        <v>740</v>
      </c>
      <c r="F20395" t="s">
        <v>56</v>
      </c>
      <c r="G20395" t="s">
        <v>47093</v>
      </c>
      <c r="H20395" t="s">
        <v>47054</v>
      </c>
      <c r="I20395" t="s">
        <v>47111</v>
      </c>
      <c r="J20395" t="s">
        <v>47112</v>
      </c>
      <c r="K20395" t="s">
        <v>47113</v>
      </c>
      <c r="L20395">
        <v>39.07</v>
      </c>
      <c r="M20395">
        <v>90</v>
      </c>
      <c r="N20395">
        <v>0</v>
      </c>
      <c r="O20395">
        <v>90</v>
      </c>
      <c r="P20395">
        <v>0</v>
      </c>
    </row>
    <row r="20396" spans="1:16" x14ac:dyDescent="0.25">
      <c r="A20396" t="s">
        <v>43150</v>
      </c>
      <c r="B20396" t="s">
        <v>12358</v>
      </c>
      <c r="C20396" t="s">
        <v>12359</v>
      </c>
      <c r="D20396" t="s">
        <v>721</v>
      </c>
      <c r="E20396" t="s">
        <v>722</v>
      </c>
      <c r="F20396" t="s">
        <v>8</v>
      </c>
      <c r="G20396" t="s">
        <v>47093</v>
      </c>
      <c r="H20396" t="s">
        <v>47054</v>
      </c>
      <c r="I20396" t="s">
        <v>47111</v>
      </c>
      <c r="J20396" t="s">
        <v>47112</v>
      </c>
      <c r="K20396" t="s">
        <v>47113</v>
      </c>
      <c r="L20396">
        <v>38.270000000000003</v>
      </c>
      <c r="M20396">
        <v>94</v>
      </c>
      <c r="N20396">
        <v>0</v>
      </c>
      <c r="O20396">
        <v>94</v>
      </c>
      <c r="P20396">
        <v>0</v>
      </c>
    </row>
    <row r="20397" spans="1:16" x14ac:dyDescent="0.25">
      <c r="A20397" t="s">
        <v>43151</v>
      </c>
      <c r="B20397" t="s">
        <v>12360</v>
      </c>
      <c r="C20397" t="s">
        <v>12204</v>
      </c>
      <c r="D20397" t="str">
        <f>"11"</f>
        <v>11</v>
      </c>
      <c r="E20397" t="s">
        <v>288</v>
      </c>
      <c r="F20397" t="s">
        <v>8</v>
      </c>
      <c r="G20397" t="s">
        <v>47093</v>
      </c>
      <c r="H20397" t="s">
        <v>47054</v>
      </c>
      <c r="I20397" t="s">
        <v>47111</v>
      </c>
      <c r="J20397" t="s">
        <v>47112</v>
      </c>
      <c r="K20397" t="s">
        <v>47113</v>
      </c>
      <c r="L20397">
        <v>45.19</v>
      </c>
      <c r="M20397">
        <v>111</v>
      </c>
      <c r="N20397">
        <v>0</v>
      </c>
      <c r="O20397">
        <v>111</v>
      </c>
      <c r="P20397">
        <v>0</v>
      </c>
    </row>
    <row r="20398" spans="1:16" x14ac:dyDescent="0.25">
      <c r="A20398" t="s">
        <v>43152</v>
      </c>
      <c r="B20398" t="s">
        <v>12360</v>
      </c>
      <c r="C20398" t="s">
        <v>12204</v>
      </c>
      <c r="D20398" t="s">
        <v>721</v>
      </c>
      <c r="E20398" t="s">
        <v>722</v>
      </c>
      <c r="F20398" t="s">
        <v>8</v>
      </c>
      <c r="G20398" t="s">
        <v>47093</v>
      </c>
      <c r="H20398" t="s">
        <v>47054</v>
      </c>
      <c r="I20398" t="s">
        <v>47111</v>
      </c>
      <c r="J20398" t="s">
        <v>47112</v>
      </c>
      <c r="K20398" t="s">
        <v>47113</v>
      </c>
      <c r="L20398">
        <v>42.21</v>
      </c>
      <c r="M20398">
        <v>104</v>
      </c>
      <c r="N20398">
        <v>0</v>
      </c>
      <c r="O20398">
        <v>104</v>
      </c>
      <c r="P20398">
        <v>0</v>
      </c>
    </row>
    <row r="20399" spans="1:16" x14ac:dyDescent="0.25">
      <c r="A20399" t="s">
        <v>43153</v>
      </c>
      <c r="B20399" t="s">
        <v>12360</v>
      </c>
      <c r="C20399" t="s">
        <v>12204</v>
      </c>
      <c r="D20399" t="s">
        <v>1341</v>
      </c>
      <c r="E20399" t="s">
        <v>1342</v>
      </c>
      <c r="F20399" t="s">
        <v>8</v>
      </c>
      <c r="G20399" t="s">
        <v>47093</v>
      </c>
      <c r="H20399" t="s">
        <v>47054</v>
      </c>
      <c r="I20399" t="s">
        <v>47111</v>
      </c>
      <c r="J20399" t="s">
        <v>47112</v>
      </c>
      <c r="K20399" t="s">
        <v>47113</v>
      </c>
      <c r="L20399">
        <v>50.45</v>
      </c>
      <c r="M20399">
        <v>122</v>
      </c>
      <c r="N20399">
        <v>0</v>
      </c>
      <c r="O20399">
        <v>122</v>
      </c>
      <c r="P20399">
        <v>0</v>
      </c>
    </row>
    <row r="20400" spans="1:16" x14ac:dyDescent="0.25">
      <c r="A20400" t="s">
        <v>723</v>
      </c>
      <c r="B20400" t="s">
        <v>724</v>
      </c>
      <c r="C20400" t="s">
        <v>725</v>
      </c>
      <c r="D20400" t="str">
        <f>"11"</f>
        <v>11</v>
      </c>
      <c r="E20400" t="s">
        <v>288</v>
      </c>
      <c r="F20400" t="s">
        <v>8</v>
      </c>
      <c r="G20400" t="s">
        <v>47093</v>
      </c>
      <c r="H20400" t="s">
        <v>47054</v>
      </c>
      <c r="I20400" t="s">
        <v>47111</v>
      </c>
      <c r="J20400" t="s">
        <v>47112</v>
      </c>
      <c r="K20400" t="s">
        <v>47113</v>
      </c>
      <c r="L20400">
        <v>36.42</v>
      </c>
      <c r="M20400">
        <v>101</v>
      </c>
      <c r="N20400">
        <v>0</v>
      </c>
      <c r="O20400">
        <v>101</v>
      </c>
      <c r="P20400">
        <v>0</v>
      </c>
    </row>
    <row r="20401" spans="1:16" x14ac:dyDescent="0.25">
      <c r="A20401" t="s">
        <v>43154</v>
      </c>
      <c r="B20401" t="s">
        <v>724</v>
      </c>
      <c r="C20401" t="s">
        <v>725</v>
      </c>
      <c r="D20401" t="s">
        <v>721</v>
      </c>
      <c r="E20401" t="s">
        <v>722</v>
      </c>
      <c r="F20401" t="s">
        <v>8</v>
      </c>
      <c r="G20401" t="s">
        <v>47093</v>
      </c>
      <c r="H20401" t="s">
        <v>47054</v>
      </c>
      <c r="I20401" t="s">
        <v>47111</v>
      </c>
      <c r="J20401" t="s">
        <v>47112</v>
      </c>
      <c r="K20401" t="s">
        <v>47113</v>
      </c>
      <c r="L20401">
        <v>37.97</v>
      </c>
      <c r="M20401">
        <v>93</v>
      </c>
      <c r="N20401">
        <v>0</v>
      </c>
      <c r="O20401">
        <v>93</v>
      </c>
      <c r="P20401">
        <v>0</v>
      </c>
    </row>
    <row r="20402" spans="1:16" x14ac:dyDescent="0.25">
      <c r="A20402" t="s">
        <v>43155</v>
      </c>
      <c r="B20402" t="s">
        <v>724</v>
      </c>
      <c r="C20402" t="s">
        <v>725</v>
      </c>
      <c r="D20402" t="s">
        <v>743</v>
      </c>
      <c r="E20402" t="s">
        <v>744</v>
      </c>
      <c r="F20402" t="s">
        <v>8</v>
      </c>
      <c r="G20402" t="s">
        <v>47093</v>
      </c>
      <c r="H20402" t="s">
        <v>47054</v>
      </c>
      <c r="I20402" t="s">
        <v>47111</v>
      </c>
      <c r="J20402" t="s">
        <v>47112</v>
      </c>
      <c r="K20402" t="s">
        <v>47113</v>
      </c>
      <c r="L20402">
        <v>45.46</v>
      </c>
      <c r="M20402">
        <v>112</v>
      </c>
      <c r="N20402">
        <v>0</v>
      </c>
      <c r="O20402">
        <v>112</v>
      </c>
      <c r="P20402">
        <v>0</v>
      </c>
    </row>
    <row r="20403" spans="1:16" x14ac:dyDescent="0.25">
      <c r="A20403" t="s">
        <v>43156</v>
      </c>
      <c r="B20403" t="s">
        <v>724</v>
      </c>
      <c r="C20403" t="s">
        <v>725</v>
      </c>
      <c r="D20403" t="s">
        <v>739</v>
      </c>
      <c r="E20403" t="s">
        <v>740</v>
      </c>
      <c r="F20403" t="s">
        <v>52</v>
      </c>
      <c r="G20403" t="s">
        <v>47093</v>
      </c>
      <c r="H20403" t="s">
        <v>47054</v>
      </c>
      <c r="I20403" t="s">
        <v>47111</v>
      </c>
      <c r="J20403" t="s">
        <v>47112</v>
      </c>
      <c r="K20403" t="s">
        <v>47113</v>
      </c>
      <c r="L20403">
        <v>42.08</v>
      </c>
      <c r="M20403">
        <v>103</v>
      </c>
      <c r="N20403">
        <v>0</v>
      </c>
      <c r="O20403">
        <v>103</v>
      </c>
      <c r="P20403">
        <v>0</v>
      </c>
    </row>
    <row r="20404" spans="1:16" x14ac:dyDescent="0.25">
      <c r="A20404" t="s">
        <v>43157</v>
      </c>
      <c r="B20404" t="s">
        <v>12361</v>
      </c>
      <c r="C20404" t="s">
        <v>12362</v>
      </c>
      <c r="D20404" t="s">
        <v>721</v>
      </c>
      <c r="E20404" t="s">
        <v>722</v>
      </c>
      <c r="F20404" t="s">
        <v>52</v>
      </c>
      <c r="G20404" t="s">
        <v>47093</v>
      </c>
      <c r="H20404" t="s">
        <v>47054</v>
      </c>
      <c r="I20404" t="s">
        <v>47114</v>
      </c>
      <c r="J20404" t="s">
        <v>47115</v>
      </c>
      <c r="K20404" t="s">
        <v>47113</v>
      </c>
      <c r="L20404">
        <v>37.39</v>
      </c>
      <c r="M20404">
        <v>92</v>
      </c>
      <c r="N20404">
        <v>0</v>
      </c>
      <c r="O20404">
        <v>92</v>
      </c>
      <c r="P20404">
        <v>0</v>
      </c>
    </row>
    <row r="20405" spans="1:16" x14ac:dyDescent="0.25">
      <c r="A20405" t="s">
        <v>43158</v>
      </c>
      <c r="B20405" t="s">
        <v>12361</v>
      </c>
      <c r="C20405" t="s">
        <v>12362</v>
      </c>
      <c r="D20405" t="s">
        <v>743</v>
      </c>
      <c r="E20405" t="s">
        <v>744</v>
      </c>
      <c r="F20405" t="s">
        <v>52</v>
      </c>
      <c r="G20405" t="s">
        <v>47093</v>
      </c>
      <c r="H20405" t="s">
        <v>47054</v>
      </c>
      <c r="I20405" t="s">
        <v>47114</v>
      </c>
      <c r="J20405" t="s">
        <v>47115</v>
      </c>
      <c r="K20405" t="s">
        <v>47113</v>
      </c>
      <c r="L20405">
        <v>44.89</v>
      </c>
      <c r="M20405">
        <v>110</v>
      </c>
      <c r="N20405">
        <v>0</v>
      </c>
      <c r="O20405">
        <v>110</v>
      </c>
      <c r="P20405">
        <v>0</v>
      </c>
    </row>
    <row r="20406" spans="1:16" x14ac:dyDescent="0.25">
      <c r="A20406" t="s">
        <v>43159</v>
      </c>
      <c r="B20406" t="s">
        <v>12361</v>
      </c>
      <c r="C20406" t="s">
        <v>12362</v>
      </c>
      <c r="D20406" t="s">
        <v>739</v>
      </c>
      <c r="E20406" t="s">
        <v>740</v>
      </c>
      <c r="F20406" t="s">
        <v>52</v>
      </c>
      <c r="G20406" t="s">
        <v>47093</v>
      </c>
      <c r="H20406" t="s">
        <v>47054</v>
      </c>
      <c r="I20406" t="s">
        <v>47114</v>
      </c>
      <c r="J20406" t="s">
        <v>47115</v>
      </c>
      <c r="K20406" t="s">
        <v>47113</v>
      </c>
      <c r="L20406">
        <v>41.51</v>
      </c>
      <c r="M20406">
        <v>102</v>
      </c>
      <c r="N20406">
        <v>0</v>
      </c>
      <c r="O20406">
        <v>102</v>
      </c>
      <c r="P20406">
        <v>0</v>
      </c>
    </row>
    <row r="20407" spans="1:16" x14ac:dyDescent="0.25">
      <c r="A20407" t="s">
        <v>43160</v>
      </c>
      <c r="B20407" t="s">
        <v>12363</v>
      </c>
      <c r="C20407" t="s">
        <v>725</v>
      </c>
      <c r="D20407" t="str">
        <f>"11"</f>
        <v>11</v>
      </c>
      <c r="E20407" t="s">
        <v>288</v>
      </c>
      <c r="F20407" t="s">
        <v>8</v>
      </c>
      <c r="G20407" t="s">
        <v>47093</v>
      </c>
      <c r="H20407" t="s">
        <v>47054</v>
      </c>
      <c r="I20407" t="s">
        <v>47111</v>
      </c>
      <c r="J20407" t="s">
        <v>47112</v>
      </c>
      <c r="K20407" t="s">
        <v>47113</v>
      </c>
      <c r="L20407">
        <v>39.54</v>
      </c>
      <c r="M20407">
        <v>101</v>
      </c>
      <c r="N20407">
        <v>0</v>
      </c>
      <c r="O20407">
        <v>101</v>
      </c>
      <c r="P20407">
        <v>0</v>
      </c>
    </row>
    <row r="20408" spans="1:16" x14ac:dyDescent="0.25">
      <c r="A20408" t="s">
        <v>43161</v>
      </c>
      <c r="B20408" t="s">
        <v>12363</v>
      </c>
      <c r="C20408" t="s">
        <v>725</v>
      </c>
      <c r="D20408" t="s">
        <v>721</v>
      </c>
      <c r="E20408" t="s">
        <v>722</v>
      </c>
      <c r="F20408" t="s">
        <v>8</v>
      </c>
      <c r="G20408" t="s">
        <v>47093</v>
      </c>
      <c r="H20408" t="s">
        <v>47054</v>
      </c>
      <c r="I20408" t="s">
        <v>47111</v>
      </c>
      <c r="J20408" t="s">
        <v>47112</v>
      </c>
      <c r="K20408" t="s">
        <v>47113</v>
      </c>
      <c r="L20408">
        <v>37.25</v>
      </c>
      <c r="M20408">
        <v>83</v>
      </c>
      <c r="N20408">
        <v>0</v>
      </c>
      <c r="O20408">
        <v>83</v>
      </c>
      <c r="P20408">
        <v>0</v>
      </c>
    </row>
    <row r="20409" spans="1:16" x14ac:dyDescent="0.25">
      <c r="A20409" t="s">
        <v>43162</v>
      </c>
      <c r="B20409" t="s">
        <v>12363</v>
      </c>
      <c r="C20409" t="s">
        <v>725</v>
      </c>
      <c r="D20409" t="s">
        <v>743</v>
      </c>
      <c r="E20409" t="s">
        <v>744</v>
      </c>
      <c r="F20409" t="s">
        <v>8</v>
      </c>
      <c r="G20409" t="s">
        <v>47093</v>
      </c>
      <c r="H20409" t="s">
        <v>47054</v>
      </c>
      <c r="I20409" t="s">
        <v>47111</v>
      </c>
      <c r="J20409" t="s">
        <v>47112</v>
      </c>
      <c r="K20409" t="s">
        <v>47113</v>
      </c>
      <c r="L20409">
        <v>44.8</v>
      </c>
      <c r="M20409">
        <v>114</v>
      </c>
      <c r="N20409">
        <v>0</v>
      </c>
      <c r="O20409">
        <v>114</v>
      </c>
      <c r="P20409">
        <v>0</v>
      </c>
    </row>
    <row r="20410" spans="1:16" x14ac:dyDescent="0.25">
      <c r="A20410" t="s">
        <v>43163</v>
      </c>
      <c r="B20410" t="s">
        <v>12363</v>
      </c>
      <c r="C20410" t="s">
        <v>725</v>
      </c>
      <c r="D20410" t="s">
        <v>1777</v>
      </c>
      <c r="E20410" t="s">
        <v>1778</v>
      </c>
      <c r="F20410" t="s">
        <v>8</v>
      </c>
      <c r="G20410" t="s">
        <v>47093</v>
      </c>
      <c r="H20410" t="s">
        <v>47054</v>
      </c>
      <c r="I20410" t="s">
        <v>47111</v>
      </c>
      <c r="J20410" t="s">
        <v>47112</v>
      </c>
      <c r="K20410" t="s">
        <v>47113</v>
      </c>
      <c r="L20410">
        <v>41.79</v>
      </c>
      <c r="M20410">
        <v>108</v>
      </c>
      <c r="N20410">
        <v>0</v>
      </c>
      <c r="O20410">
        <v>108</v>
      </c>
      <c r="P20410">
        <v>0</v>
      </c>
    </row>
    <row r="20411" spans="1:16" x14ac:dyDescent="0.25">
      <c r="A20411" t="s">
        <v>43164</v>
      </c>
      <c r="B20411" t="s">
        <v>12363</v>
      </c>
      <c r="C20411" t="s">
        <v>725</v>
      </c>
      <c r="D20411" t="s">
        <v>739</v>
      </c>
      <c r="E20411" t="s">
        <v>740</v>
      </c>
      <c r="F20411" t="s">
        <v>56</v>
      </c>
      <c r="G20411" t="s">
        <v>47093</v>
      </c>
      <c r="H20411" t="s">
        <v>47054</v>
      </c>
      <c r="I20411" t="s">
        <v>47111</v>
      </c>
      <c r="J20411" t="s">
        <v>47112</v>
      </c>
      <c r="K20411" t="s">
        <v>47113</v>
      </c>
      <c r="L20411">
        <v>39.07</v>
      </c>
      <c r="M20411">
        <v>90</v>
      </c>
      <c r="N20411">
        <v>0</v>
      </c>
      <c r="O20411">
        <v>90</v>
      </c>
      <c r="P20411">
        <v>0</v>
      </c>
    </row>
    <row r="20412" spans="1:16" x14ac:dyDescent="0.25">
      <c r="A20412" t="s">
        <v>43165</v>
      </c>
      <c r="B20412" t="s">
        <v>12364</v>
      </c>
      <c r="C20412" t="s">
        <v>12365</v>
      </c>
      <c r="D20412" t="str">
        <f>"11"</f>
        <v>11</v>
      </c>
      <c r="E20412" t="s">
        <v>288</v>
      </c>
      <c r="F20412" t="s">
        <v>8</v>
      </c>
      <c r="G20412" t="s">
        <v>47093</v>
      </c>
      <c r="H20412" t="s">
        <v>47054</v>
      </c>
      <c r="I20412" t="s">
        <v>47111</v>
      </c>
      <c r="J20412" t="s">
        <v>47112</v>
      </c>
      <c r="K20412" t="s">
        <v>47113</v>
      </c>
      <c r="L20412">
        <v>40.22</v>
      </c>
      <c r="M20412">
        <v>101</v>
      </c>
      <c r="N20412">
        <v>0</v>
      </c>
      <c r="O20412">
        <v>101</v>
      </c>
      <c r="P20412">
        <v>0</v>
      </c>
    </row>
    <row r="20413" spans="1:16" x14ac:dyDescent="0.25">
      <c r="A20413" t="s">
        <v>43166</v>
      </c>
      <c r="B20413" t="s">
        <v>12364</v>
      </c>
      <c r="C20413" t="s">
        <v>12365</v>
      </c>
      <c r="D20413" t="s">
        <v>721</v>
      </c>
      <c r="E20413" t="s">
        <v>722</v>
      </c>
      <c r="F20413" t="s">
        <v>8</v>
      </c>
      <c r="G20413" t="s">
        <v>47093</v>
      </c>
      <c r="H20413" t="s">
        <v>47054</v>
      </c>
      <c r="I20413" t="s">
        <v>47111</v>
      </c>
      <c r="J20413" t="s">
        <v>47112</v>
      </c>
      <c r="K20413" t="s">
        <v>47113</v>
      </c>
      <c r="L20413">
        <v>37.25</v>
      </c>
      <c r="M20413">
        <v>94</v>
      </c>
      <c r="N20413">
        <v>0</v>
      </c>
      <c r="O20413">
        <v>94</v>
      </c>
      <c r="P20413">
        <v>0</v>
      </c>
    </row>
    <row r="20414" spans="1:16" x14ac:dyDescent="0.25">
      <c r="A20414" t="s">
        <v>43167</v>
      </c>
      <c r="B20414" t="s">
        <v>12364</v>
      </c>
      <c r="C20414" t="s">
        <v>12365</v>
      </c>
      <c r="D20414" t="s">
        <v>1341</v>
      </c>
      <c r="E20414" t="s">
        <v>1342</v>
      </c>
      <c r="F20414" t="s">
        <v>8</v>
      </c>
      <c r="G20414" t="s">
        <v>47093</v>
      </c>
      <c r="H20414" t="s">
        <v>47054</v>
      </c>
      <c r="I20414" t="s">
        <v>47111</v>
      </c>
      <c r="J20414" t="s">
        <v>47112</v>
      </c>
      <c r="K20414" t="s">
        <v>47113</v>
      </c>
      <c r="L20414">
        <v>44.85</v>
      </c>
      <c r="M20414">
        <v>113</v>
      </c>
      <c r="N20414">
        <v>0</v>
      </c>
      <c r="O20414">
        <v>113</v>
      </c>
      <c r="P20414">
        <v>0</v>
      </c>
    </row>
    <row r="20415" spans="1:16" x14ac:dyDescent="0.25">
      <c r="A20415" t="s">
        <v>15129</v>
      </c>
      <c r="B20415" t="s">
        <v>727</v>
      </c>
      <c r="C20415" t="s">
        <v>728</v>
      </c>
      <c r="D20415" t="str">
        <f>"11"</f>
        <v>11</v>
      </c>
      <c r="E20415" t="s">
        <v>288</v>
      </c>
      <c r="F20415" t="s">
        <v>8</v>
      </c>
      <c r="G20415" t="s">
        <v>47093</v>
      </c>
      <c r="H20415" t="s">
        <v>47054</v>
      </c>
      <c r="I20415" t="s">
        <v>47111</v>
      </c>
      <c r="J20415" t="s">
        <v>47112</v>
      </c>
      <c r="K20415" t="s">
        <v>47113</v>
      </c>
      <c r="L20415">
        <v>36.119999999999997</v>
      </c>
      <c r="M20415">
        <v>81</v>
      </c>
      <c r="N20415">
        <v>0</v>
      </c>
      <c r="O20415">
        <v>81</v>
      </c>
      <c r="P20415">
        <v>0</v>
      </c>
    </row>
    <row r="20416" spans="1:16" x14ac:dyDescent="0.25">
      <c r="A20416" t="s">
        <v>726</v>
      </c>
      <c r="B20416" t="s">
        <v>727</v>
      </c>
      <c r="C20416" t="s">
        <v>728</v>
      </c>
      <c r="D20416" t="s">
        <v>721</v>
      </c>
      <c r="E20416" t="s">
        <v>722</v>
      </c>
      <c r="F20416" t="s">
        <v>8</v>
      </c>
      <c r="G20416" t="s">
        <v>47093</v>
      </c>
      <c r="H20416" t="s">
        <v>47054</v>
      </c>
      <c r="I20416" t="s">
        <v>47111</v>
      </c>
      <c r="J20416" t="s">
        <v>47112</v>
      </c>
      <c r="K20416" t="s">
        <v>47113</v>
      </c>
      <c r="L20416">
        <v>32.42</v>
      </c>
      <c r="M20416">
        <v>68</v>
      </c>
      <c r="N20416">
        <v>0</v>
      </c>
      <c r="O20416">
        <v>68</v>
      </c>
      <c r="P20416">
        <v>0</v>
      </c>
    </row>
    <row r="20417" spans="1:16" x14ac:dyDescent="0.25">
      <c r="A20417" t="s">
        <v>43168</v>
      </c>
      <c r="B20417" t="s">
        <v>727</v>
      </c>
      <c r="C20417" t="s">
        <v>728</v>
      </c>
      <c r="D20417" t="s">
        <v>743</v>
      </c>
      <c r="E20417" t="s">
        <v>744</v>
      </c>
      <c r="F20417" t="s">
        <v>8</v>
      </c>
      <c r="G20417" t="s">
        <v>47093</v>
      </c>
      <c r="H20417" t="s">
        <v>47054</v>
      </c>
      <c r="I20417" t="s">
        <v>47111</v>
      </c>
      <c r="J20417" t="s">
        <v>47112</v>
      </c>
      <c r="K20417" t="s">
        <v>47113</v>
      </c>
      <c r="L20417">
        <v>40.78</v>
      </c>
      <c r="M20417">
        <v>100</v>
      </c>
      <c r="N20417">
        <v>0</v>
      </c>
      <c r="O20417">
        <v>100</v>
      </c>
      <c r="P20417">
        <v>0</v>
      </c>
    </row>
    <row r="20418" spans="1:16" x14ac:dyDescent="0.25">
      <c r="A20418" t="s">
        <v>43169</v>
      </c>
      <c r="B20418" t="s">
        <v>727</v>
      </c>
      <c r="C20418" t="s">
        <v>728</v>
      </c>
      <c r="D20418" t="s">
        <v>739</v>
      </c>
      <c r="E20418" t="s">
        <v>740</v>
      </c>
      <c r="F20418" t="s">
        <v>52</v>
      </c>
      <c r="G20418" t="s">
        <v>47093</v>
      </c>
      <c r="H20418" t="s">
        <v>47054</v>
      </c>
      <c r="I20418" t="s">
        <v>47111</v>
      </c>
      <c r="J20418" t="s">
        <v>47112</v>
      </c>
      <c r="K20418" t="s">
        <v>47113</v>
      </c>
      <c r="L20418">
        <v>37.39</v>
      </c>
      <c r="M20418">
        <v>92</v>
      </c>
      <c r="N20418">
        <v>0</v>
      </c>
      <c r="O20418">
        <v>92</v>
      </c>
      <c r="P20418">
        <v>0</v>
      </c>
    </row>
    <row r="20419" spans="1:16" x14ac:dyDescent="0.25">
      <c r="A20419" t="s">
        <v>43170</v>
      </c>
      <c r="B20419" t="s">
        <v>727</v>
      </c>
      <c r="C20419" t="s">
        <v>728</v>
      </c>
      <c r="D20419" t="s">
        <v>983</v>
      </c>
      <c r="E20419" t="s">
        <v>984</v>
      </c>
      <c r="F20419" t="s">
        <v>7</v>
      </c>
      <c r="G20419" t="s">
        <v>47093</v>
      </c>
      <c r="H20419" t="s">
        <v>47054</v>
      </c>
      <c r="I20419" t="s">
        <v>47111</v>
      </c>
      <c r="J20419" t="s">
        <v>47112</v>
      </c>
      <c r="K20419" t="s">
        <v>47113</v>
      </c>
      <c r="L20419">
        <v>47.84</v>
      </c>
      <c r="M20419">
        <v>110</v>
      </c>
      <c r="N20419">
        <v>0</v>
      </c>
      <c r="O20419">
        <v>110</v>
      </c>
      <c r="P20419">
        <v>0</v>
      </c>
    </row>
    <row r="20420" spans="1:16" x14ac:dyDescent="0.25">
      <c r="A20420" t="s">
        <v>729</v>
      </c>
      <c r="B20420" t="s">
        <v>727</v>
      </c>
      <c r="C20420" t="s">
        <v>728</v>
      </c>
      <c r="D20420" t="s">
        <v>730</v>
      </c>
      <c r="E20420" t="s">
        <v>731</v>
      </c>
      <c r="F20420" t="s">
        <v>7</v>
      </c>
      <c r="G20420" t="s">
        <v>47093</v>
      </c>
      <c r="H20420" t="s">
        <v>47054</v>
      </c>
      <c r="I20420" t="s">
        <v>47111</v>
      </c>
      <c r="J20420" t="s">
        <v>47112</v>
      </c>
      <c r="K20420" t="s">
        <v>47113</v>
      </c>
      <c r="L20420">
        <v>40.99</v>
      </c>
      <c r="M20420">
        <v>70</v>
      </c>
      <c r="N20420">
        <v>0</v>
      </c>
      <c r="O20420">
        <v>70</v>
      </c>
      <c r="P20420">
        <v>0</v>
      </c>
    </row>
    <row r="20421" spans="1:16" x14ac:dyDescent="0.25">
      <c r="A20421" t="s">
        <v>43171</v>
      </c>
      <c r="B20421" t="s">
        <v>12366</v>
      </c>
      <c r="C20421" t="s">
        <v>12208</v>
      </c>
      <c r="D20421" t="s">
        <v>748</v>
      </c>
      <c r="E20421" t="s">
        <v>749</v>
      </c>
      <c r="F20421" t="s">
        <v>5</v>
      </c>
      <c r="G20421" t="s">
        <v>47093</v>
      </c>
      <c r="H20421" t="s">
        <v>47054</v>
      </c>
      <c r="I20421" t="s">
        <v>47111</v>
      </c>
      <c r="J20421" t="s">
        <v>47112</v>
      </c>
      <c r="K20421" t="s">
        <v>47113</v>
      </c>
      <c r="L20421">
        <v>34.99</v>
      </c>
      <c r="M20421">
        <v>80</v>
      </c>
      <c r="N20421">
        <v>0</v>
      </c>
      <c r="O20421">
        <v>80</v>
      </c>
      <c r="P20421">
        <v>0</v>
      </c>
    </row>
    <row r="20422" spans="1:16" x14ac:dyDescent="0.25">
      <c r="A20422" t="s">
        <v>43172</v>
      </c>
      <c r="B20422" t="s">
        <v>12366</v>
      </c>
      <c r="C20422" t="s">
        <v>12208</v>
      </c>
      <c r="D20422" t="s">
        <v>12149</v>
      </c>
      <c r="E20422" t="s">
        <v>12150</v>
      </c>
      <c r="F20422" t="s">
        <v>5</v>
      </c>
      <c r="G20422" t="s">
        <v>47093</v>
      </c>
      <c r="H20422" t="s">
        <v>47054</v>
      </c>
      <c r="I20422" t="s">
        <v>47111</v>
      </c>
      <c r="J20422" t="s">
        <v>47112</v>
      </c>
      <c r="K20422" t="s">
        <v>47113</v>
      </c>
      <c r="L20422">
        <v>32.83</v>
      </c>
      <c r="M20422">
        <v>77</v>
      </c>
      <c r="N20422">
        <v>0</v>
      </c>
      <c r="O20422">
        <v>77</v>
      </c>
      <c r="P20422">
        <v>0</v>
      </c>
    </row>
    <row r="20423" spans="1:16" x14ac:dyDescent="0.25">
      <c r="A20423" t="s">
        <v>43173</v>
      </c>
      <c r="B20423" t="s">
        <v>12366</v>
      </c>
      <c r="C20423" t="s">
        <v>12208</v>
      </c>
      <c r="D20423" t="s">
        <v>12347</v>
      </c>
      <c r="E20423" t="s">
        <v>12348</v>
      </c>
      <c r="F20423" t="s">
        <v>5</v>
      </c>
      <c r="G20423" t="s">
        <v>47093</v>
      </c>
      <c r="H20423" t="s">
        <v>47054</v>
      </c>
      <c r="I20423" t="s">
        <v>47111</v>
      </c>
      <c r="J20423" t="s">
        <v>47112</v>
      </c>
      <c r="K20423" t="s">
        <v>47113</v>
      </c>
      <c r="L20423">
        <v>42.51</v>
      </c>
      <c r="M20423">
        <v>100</v>
      </c>
      <c r="N20423">
        <v>0</v>
      </c>
      <c r="O20423">
        <v>100</v>
      </c>
      <c r="P20423">
        <v>0</v>
      </c>
    </row>
    <row r="20424" spans="1:16" x14ac:dyDescent="0.25">
      <c r="A20424" t="s">
        <v>43174</v>
      </c>
      <c r="B20424" t="s">
        <v>12367</v>
      </c>
      <c r="C20424" t="s">
        <v>12208</v>
      </c>
      <c r="D20424" t="s">
        <v>748</v>
      </c>
      <c r="E20424" t="s">
        <v>749</v>
      </c>
      <c r="F20424" t="s">
        <v>0</v>
      </c>
      <c r="G20424" t="s">
        <v>47093</v>
      </c>
      <c r="H20424" t="s">
        <v>47054</v>
      </c>
      <c r="I20424" t="s">
        <v>47111</v>
      </c>
      <c r="J20424" t="s">
        <v>47112</v>
      </c>
      <c r="K20424" t="s">
        <v>47113</v>
      </c>
      <c r="L20424">
        <v>34.99</v>
      </c>
      <c r="M20424">
        <v>80</v>
      </c>
      <c r="N20424">
        <v>0</v>
      </c>
      <c r="O20424">
        <v>80</v>
      </c>
      <c r="P20424">
        <v>0</v>
      </c>
    </row>
    <row r="20425" spans="1:16" x14ac:dyDescent="0.25">
      <c r="A20425" t="s">
        <v>43175</v>
      </c>
      <c r="B20425" t="s">
        <v>12367</v>
      </c>
      <c r="C20425" t="s">
        <v>12208</v>
      </c>
      <c r="D20425" t="s">
        <v>12149</v>
      </c>
      <c r="E20425" t="s">
        <v>12150</v>
      </c>
      <c r="F20425" t="s">
        <v>5</v>
      </c>
      <c r="G20425" t="s">
        <v>47093</v>
      </c>
      <c r="H20425" t="s">
        <v>47054</v>
      </c>
      <c r="I20425" t="s">
        <v>47111</v>
      </c>
      <c r="J20425" t="s">
        <v>47112</v>
      </c>
      <c r="K20425" t="s">
        <v>47113</v>
      </c>
      <c r="L20425">
        <v>32.83</v>
      </c>
      <c r="M20425">
        <v>77</v>
      </c>
      <c r="N20425">
        <v>0</v>
      </c>
      <c r="O20425">
        <v>77</v>
      </c>
      <c r="P20425">
        <v>0</v>
      </c>
    </row>
    <row r="20426" spans="1:16" x14ac:dyDescent="0.25">
      <c r="A20426" t="s">
        <v>43176</v>
      </c>
      <c r="B20426" t="s">
        <v>12367</v>
      </c>
      <c r="C20426" t="s">
        <v>12208</v>
      </c>
      <c r="D20426" t="s">
        <v>12347</v>
      </c>
      <c r="E20426" t="s">
        <v>12348</v>
      </c>
      <c r="F20426" t="s">
        <v>5</v>
      </c>
      <c r="G20426" t="s">
        <v>47093</v>
      </c>
      <c r="H20426" t="s">
        <v>47054</v>
      </c>
      <c r="I20426" t="s">
        <v>47111</v>
      </c>
      <c r="J20426" t="s">
        <v>47112</v>
      </c>
      <c r="K20426" t="s">
        <v>47113</v>
      </c>
      <c r="L20426">
        <v>42.51</v>
      </c>
      <c r="M20426">
        <v>100</v>
      </c>
      <c r="N20426">
        <v>0</v>
      </c>
      <c r="O20426">
        <v>100</v>
      </c>
      <c r="P20426">
        <v>0</v>
      </c>
    </row>
    <row r="20427" spans="1:16" x14ac:dyDescent="0.25">
      <c r="A20427" t="s">
        <v>732</v>
      </c>
      <c r="B20427" t="s">
        <v>733</v>
      </c>
      <c r="C20427" t="s">
        <v>734</v>
      </c>
      <c r="D20427" t="s">
        <v>721</v>
      </c>
      <c r="E20427" t="s">
        <v>722</v>
      </c>
      <c r="F20427" t="s">
        <v>296</v>
      </c>
      <c r="G20427" t="s">
        <v>47093</v>
      </c>
      <c r="H20427" t="s">
        <v>47054</v>
      </c>
      <c r="I20427" t="s">
        <v>47111</v>
      </c>
      <c r="J20427" t="s">
        <v>47112</v>
      </c>
      <c r="K20427" t="s">
        <v>47113</v>
      </c>
      <c r="L20427">
        <v>35.61</v>
      </c>
      <c r="M20427">
        <v>91</v>
      </c>
      <c r="N20427">
        <v>0</v>
      </c>
      <c r="O20427">
        <v>91</v>
      </c>
      <c r="P20427">
        <v>0</v>
      </c>
    </row>
    <row r="20428" spans="1:16" x14ac:dyDescent="0.25">
      <c r="A20428" t="s">
        <v>735</v>
      </c>
      <c r="B20428" t="s">
        <v>733</v>
      </c>
      <c r="C20428" t="s">
        <v>734</v>
      </c>
      <c r="D20428" t="s">
        <v>27</v>
      </c>
      <c r="E20428" t="s">
        <v>28</v>
      </c>
      <c r="F20428" t="s">
        <v>6</v>
      </c>
      <c r="G20428" t="s">
        <v>47093</v>
      </c>
      <c r="H20428" t="s">
        <v>47054</v>
      </c>
      <c r="I20428" t="s">
        <v>47111</v>
      </c>
      <c r="J20428" t="s">
        <v>47112</v>
      </c>
      <c r="K20428" t="s">
        <v>47113</v>
      </c>
      <c r="L20428">
        <v>43.65</v>
      </c>
      <c r="M20428">
        <v>110</v>
      </c>
      <c r="N20428">
        <v>0</v>
      </c>
      <c r="O20428">
        <v>110</v>
      </c>
      <c r="P20428">
        <v>0</v>
      </c>
    </row>
    <row r="20429" spans="1:16" x14ac:dyDescent="0.25">
      <c r="A20429" t="s">
        <v>43177</v>
      </c>
      <c r="B20429" t="s">
        <v>737</v>
      </c>
      <c r="C20429" t="s">
        <v>738</v>
      </c>
      <c r="D20429" t="s">
        <v>721</v>
      </c>
      <c r="E20429" t="s">
        <v>722</v>
      </c>
      <c r="F20429" t="s">
        <v>52</v>
      </c>
      <c r="G20429" t="s">
        <v>47093</v>
      </c>
      <c r="H20429" t="s">
        <v>47054</v>
      </c>
      <c r="I20429" t="s">
        <v>47111</v>
      </c>
      <c r="J20429" t="s">
        <v>47112</v>
      </c>
      <c r="K20429" t="s">
        <v>47113</v>
      </c>
      <c r="L20429">
        <v>34.25</v>
      </c>
      <c r="M20429">
        <v>80</v>
      </c>
      <c r="N20429">
        <v>0</v>
      </c>
      <c r="O20429">
        <v>80</v>
      </c>
      <c r="P20429">
        <v>0</v>
      </c>
    </row>
    <row r="20430" spans="1:16" x14ac:dyDescent="0.25">
      <c r="A20430" t="s">
        <v>43178</v>
      </c>
      <c r="B20430" t="s">
        <v>737</v>
      </c>
      <c r="C20430" t="s">
        <v>738</v>
      </c>
      <c r="D20430" t="s">
        <v>743</v>
      </c>
      <c r="E20430" t="s">
        <v>744</v>
      </c>
      <c r="F20430" t="s">
        <v>52</v>
      </c>
      <c r="G20430" t="s">
        <v>47093</v>
      </c>
      <c r="H20430" t="s">
        <v>47054</v>
      </c>
      <c r="I20430" t="s">
        <v>47111</v>
      </c>
      <c r="J20430" t="s">
        <v>47112</v>
      </c>
      <c r="K20430" t="s">
        <v>47113</v>
      </c>
      <c r="L20430">
        <v>41.75</v>
      </c>
      <c r="M20430">
        <v>98</v>
      </c>
      <c r="N20430">
        <v>0</v>
      </c>
      <c r="O20430">
        <v>98</v>
      </c>
      <c r="P20430">
        <v>0</v>
      </c>
    </row>
    <row r="20431" spans="1:16" x14ac:dyDescent="0.25">
      <c r="A20431" t="s">
        <v>736</v>
      </c>
      <c r="B20431" t="s">
        <v>737</v>
      </c>
      <c r="C20431" t="s">
        <v>738</v>
      </c>
      <c r="D20431" t="s">
        <v>739</v>
      </c>
      <c r="E20431" t="s">
        <v>740</v>
      </c>
      <c r="F20431" t="s">
        <v>52</v>
      </c>
      <c r="G20431" t="s">
        <v>47093</v>
      </c>
      <c r="H20431" t="s">
        <v>47054</v>
      </c>
      <c r="I20431" t="s">
        <v>47111</v>
      </c>
      <c r="J20431" t="s">
        <v>47112</v>
      </c>
      <c r="K20431" t="s">
        <v>47113</v>
      </c>
      <c r="L20431">
        <v>36.549999999999997</v>
      </c>
      <c r="M20431">
        <v>90</v>
      </c>
      <c r="N20431">
        <v>0</v>
      </c>
      <c r="O20431">
        <v>90</v>
      </c>
      <c r="P20431">
        <v>0</v>
      </c>
    </row>
    <row r="20432" spans="1:16" x14ac:dyDescent="0.25">
      <c r="A20432" t="s">
        <v>741</v>
      </c>
      <c r="B20432" t="s">
        <v>742</v>
      </c>
      <c r="C20432" t="s">
        <v>728</v>
      </c>
      <c r="D20432" t="s">
        <v>743</v>
      </c>
      <c r="E20432" t="s">
        <v>744</v>
      </c>
      <c r="F20432" t="s">
        <v>8</v>
      </c>
      <c r="G20432" t="s">
        <v>47093</v>
      </c>
      <c r="H20432" t="s">
        <v>47054</v>
      </c>
      <c r="I20432" t="s">
        <v>47111</v>
      </c>
      <c r="J20432" t="s">
        <v>47112</v>
      </c>
      <c r="K20432" t="s">
        <v>47113</v>
      </c>
      <c r="L20432">
        <v>40.92</v>
      </c>
      <c r="M20432">
        <v>84</v>
      </c>
      <c r="N20432">
        <v>0</v>
      </c>
      <c r="O20432">
        <v>84</v>
      </c>
      <c r="P20432">
        <v>0</v>
      </c>
    </row>
    <row r="20433" spans="1:16" x14ac:dyDescent="0.25">
      <c r="A20433" t="s">
        <v>43179</v>
      </c>
      <c r="B20433" t="s">
        <v>742</v>
      </c>
      <c r="C20433" t="s">
        <v>728</v>
      </c>
      <c r="D20433" t="s">
        <v>739</v>
      </c>
      <c r="E20433" t="s">
        <v>740</v>
      </c>
      <c r="F20433" t="s">
        <v>56</v>
      </c>
      <c r="G20433" t="s">
        <v>47093</v>
      </c>
      <c r="H20433" t="s">
        <v>47054</v>
      </c>
      <c r="I20433" t="s">
        <v>47111</v>
      </c>
      <c r="J20433" t="s">
        <v>47112</v>
      </c>
      <c r="K20433" t="s">
        <v>47113</v>
      </c>
      <c r="L20433">
        <v>39.07</v>
      </c>
      <c r="M20433">
        <v>90</v>
      </c>
      <c r="N20433">
        <v>0</v>
      </c>
      <c r="O20433">
        <v>90</v>
      </c>
      <c r="P20433">
        <v>0</v>
      </c>
    </row>
    <row r="20434" spans="1:16" x14ac:dyDescent="0.25">
      <c r="A20434" t="s">
        <v>43180</v>
      </c>
      <c r="B20434" t="s">
        <v>12368</v>
      </c>
      <c r="C20434" t="s">
        <v>12369</v>
      </c>
      <c r="D20434" t="str">
        <f>"11"</f>
        <v>11</v>
      </c>
      <c r="E20434" t="s">
        <v>288</v>
      </c>
      <c r="F20434" t="s">
        <v>8</v>
      </c>
      <c r="G20434" t="s">
        <v>47093</v>
      </c>
      <c r="H20434" t="s">
        <v>47054</v>
      </c>
      <c r="I20434" t="s">
        <v>47111</v>
      </c>
      <c r="J20434" t="s">
        <v>47112</v>
      </c>
      <c r="K20434" t="s">
        <v>47113</v>
      </c>
      <c r="L20434">
        <v>38.369999999999997</v>
      </c>
      <c r="M20434">
        <v>96</v>
      </c>
      <c r="N20434">
        <v>0</v>
      </c>
      <c r="O20434">
        <v>96</v>
      </c>
      <c r="P20434">
        <v>0</v>
      </c>
    </row>
    <row r="20435" spans="1:16" x14ac:dyDescent="0.25">
      <c r="A20435" t="s">
        <v>43181</v>
      </c>
      <c r="B20435" t="s">
        <v>12368</v>
      </c>
      <c r="C20435" t="s">
        <v>12369</v>
      </c>
      <c r="D20435" t="s">
        <v>721</v>
      </c>
      <c r="E20435" t="s">
        <v>722</v>
      </c>
      <c r="F20435" t="s">
        <v>8</v>
      </c>
      <c r="G20435" t="s">
        <v>47093</v>
      </c>
      <c r="H20435" t="s">
        <v>47054</v>
      </c>
      <c r="I20435" t="s">
        <v>47111</v>
      </c>
      <c r="J20435" t="s">
        <v>47112</v>
      </c>
      <c r="K20435" t="s">
        <v>47113</v>
      </c>
      <c r="L20435">
        <v>35.65</v>
      </c>
      <c r="M20435">
        <v>85</v>
      </c>
      <c r="N20435">
        <v>0</v>
      </c>
      <c r="O20435">
        <v>85</v>
      </c>
      <c r="P20435">
        <v>0</v>
      </c>
    </row>
    <row r="20436" spans="1:16" x14ac:dyDescent="0.25">
      <c r="A20436" t="s">
        <v>43182</v>
      </c>
      <c r="B20436" t="s">
        <v>12368</v>
      </c>
      <c r="C20436" t="s">
        <v>12369</v>
      </c>
      <c r="D20436" t="s">
        <v>743</v>
      </c>
      <c r="E20436" t="s">
        <v>744</v>
      </c>
      <c r="F20436" t="s">
        <v>8</v>
      </c>
      <c r="G20436" t="s">
        <v>47093</v>
      </c>
      <c r="H20436" t="s">
        <v>47054</v>
      </c>
      <c r="I20436" t="s">
        <v>47111</v>
      </c>
      <c r="J20436" t="s">
        <v>47112</v>
      </c>
      <c r="K20436" t="s">
        <v>47113</v>
      </c>
      <c r="L20436">
        <v>43.12</v>
      </c>
      <c r="M20436">
        <v>94</v>
      </c>
      <c r="N20436">
        <v>0</v>
      </c>
      <c r="O20436">
        <v>94</v>
      </c>
      <c r="P20436">
        <v>0</v>
      </c>
    </row>
    <row r="20437" spans="1:16" x14ac:dyDescent="0.25">
      <c r="A20437" t="s">
        <v>43183</v>
      </c>
      <c r="B20437" t="s">
        <v>12368</v>
      </c>
      <c r="C20437" t="s">
        <v>12369</v>
      </c>
      <c r="D20437" t="s">
        <v>739</v>
      </c>
      <c r="E20437" t="s">
        <v>740</v>
      </c>
      <c r="F20437" t="s">
        <v>52</v>
      </c>
      <c r="G20437" t="s">
        <v>47093</v>
      </c>
      <c r="H20437" t="s">
        <v>47054</v>
      </c>
      <c r="I20437" t="s">
        <v>47111</v>
      </c>
      <c r="J20437" t="s">
        <v>47112</v>
      </c>
      <c r="K20437" t="s">
        <v>47113</v>
      </c>
      <c r="L20437">
        <v>39.11</v>
      </c>
      <c r="M20437">
        <v>91</v>
      </c>
      <c r="N20437">
        <v>0</v>
      </c>
      <c r="O20437">
        <v>91</v>
      </c>
      <c r="P20437">
        <v>0</v>
      </c>
    </row>
    <row r="20438" spans="1:16" x14ac:dyDescent="0.25">
      <c r="A20438" t="s">
        <v>43184</v>
      </c>
      <c r="B20438" t="s">
        <v>12368</v>
      </c>
      <c r="C20438" t="s">
        <v>12369</v>
      </c>
      <c r="D20438" t="s">
        <v>983</v>
      </c>
      <c r="E20438" t="s">
        <v>984</v>
      </c>
      <c r="F20438" t="s">
        <v>7</v>
      </c>
      <c r="G20438" t="s">
        <v>47093</v>
      </c>
      <c r="H20438" t="s">
        <v>47054</v>
      </c>
      <c r="I20438" t="s">
        <v>47111</v>
      </c>
      <c r="J20438" t="s">
        <v>47112</v>
      </c>
      <c r="K20438" t="s">
        <v>47113</v>
      </c>
      <c r="L20438">
        <v>48.13</v>
      </c>
      <c r="M20438">
        <v>118</v>
      </c>
      <c r="N20438">
        <v>0</v>
      </c>
      <c r="O20438">
        <v>118</v>
      </c>
      <c r="P20438">
        <v>0</v>
      </c>
    </row>
    <row r="20439" spans="1:16" x14ac:dyDescent="0.25">
      <c r="A20439" t="s">
        <v>43185</v>
      </c>
      <c r="B20439" t="s">
        <v>12368</v>
      </c>
      <c r="C20439" t="s">
        <v>12369</v>
      </c>
      <c r="D20439" t="s">
        <v>730</v>
      </c>
      <c r="E20439" t="s">
        <v>731</v>
      </c>
      <c r="F20439" t="s">
        <v>7</v>
      </c>
      <c r="G20439" t="s">
        <v>47093</v>
      </c>
      <c r="H20439" t="s">
        <v>47054</v>
      </c>
      <c r="I20439" t="s">
        <v>47111</v>
      </c>
      <c r="J20439" t="s">
        <v>47112</v>
      </c>
      <c r="K20439" t="s">
        <v>47113</v>
      </c>
      <c r="L20439">
        <v>34.01</v>
      </c>
      <c r="M20439">
        <v>103</v>
      </c>
      <c r="N20439">
        <v>0</v>
      </c>
      <c r="O20439">
        <v>103</v>
      </c>
      <c r="P20439">
        <v>0</v>
      </c>
    </row>
    <row r="20440" spans="1:16" x14ac:dyDescent="0.25">
      <c r="A20440" t="s">
        <v>745</v>
      </c>
      <c r="B20440" t="s">
        <v>746</v>
      </c>
      <c r="C20440" t="s">
        <v>747</v>
      </c>
      <c r="D20440" t="s">
        <v>748</v>
      </c>
      <c r="E20440" t="s">
        <v>749</v>
      </c>
      <c r="F20440" t="s">
        <v>5</v>
      </c>
      <c r="G20440" t="s">
        <v>47093</v>
      </c>
      <c r="H20440" t="s">
        <v>47054</v>
      </c>
      <c r="I20440" t="s">
        <v>47111</v>
      </c>
      <c r="J20440" t="s">
        <v>47112</v>
      </c>
      <c r="K20440" t="s">
        <v>47113</v>
      </c>
      <c r="L20440">
        <v>34.99</v>
      </c>
      <c r="M20440">
        <v>80</v>
      </c>
      <c r="N20440">
        <v>0</v>
      </c>
      <c r="O20440">
        <v>80</v>
      </c>
      <c r="P20440">
        <v>0</v>
      </c>
    </row>
    <row r="20441" spans="1:16" x14ac:dyDescent="0.25">
      <c r="A20441" t="s">
        <v>43186</v>
      </c>
      <c r="B20441" t="s">
        <v>746</v>
      </c>
      <c r="C20441" t="s">
        <v>747</v>
      </c>
      <c r="D20441" t="s">
        <v>12149</v>
      </c>
      <c r="E20441" t="s">
        <v>12150</v>
      </c>
      <c r="F20441" t="s">
        <v>5</v>
      </c>
      <c r="G20441" t="s">
        <v>47093</v>
      </c>
      <c r="H20441" t="s">
        <v>47054</v>
      </c>
      <c r="I20441" t="s">
        <v>47111</v>
      </c>
      <c r="J20441" t="s">
        <v>47112</v>
      </c>
      <c r="K20441" t="s">
        <v>47113</v>
      </c>
      <c r="L20441">
        <v>32.83</v>
      </c>
      <c r="M20441">
        <v>77</v>
      </c>
      <c r="N20441">
        <v>0</v>
      </c>
      <c r="O20441">
        <v>77</v>
      </c>
      <c r="P20441">
        <v>0</v>
      </c>
    </row>
    <row r="20442" spans="1:16" x14ac:dyDescent="0.25">
      <c r="A20442" t="s">
        <v>43187</v>
      </c>
      <c r="B20442" t="s">
        <v>746</v>
      </c>
      <c r="C20442" t="s">
        <v>747</v>
      </c>
      <c r="D20442" t="s">
        <v>12347</v>
      </c>
      <c r="E20442" t="s">
        <v>12348</v>
      </c>
      <c r="F20442" t="s">
        <v>5</v>
      </c>
      <c r="G20442" t="s">
        <v>47093</v>
      </c>
      <c r="H20442" t="s">
        <v>47054</v>
      </c>
      <c r="I20442" t="s">
        <v>47111</v>
      </c>
      <c r="J20442" t="s">
        <v>47112</v>
      </c>
      <c r="K20442" t="s">
        <v>47113</v>
      </c>
      <c r="L20442">
        <v>42.51</v>
      </c>
      <c r="M20442">
        <v>100</v>
      </c>
      <c r="N20442">
        <v>0</v>
      </c>
      <c r="O20442">
        <v>100</v>
      </c>
      <c r="P20442">
        <v>0</v>
      </c>
    </row>
    <row r="20443" spans="1:16" x14ac:dyDescent="0.25">
      <c r="A20443" t="s">
        <v>43188</v>
      </c>
      <c r="B20443" t="s">
        <v>12370</v>
      </c>
      <c r="C20443" t="s">
        <v>747</v>
      </c>
      <c r="D20443" t="s">
        <v>748</v>
      </c>
      <c r="E20443" t="s">
        <v>749</v>
      </c>
      <c r="F20443" t="s">
        <v>5</v>
      </c>
      <c r="G20443" t="s">
        <v>47093</v>
      </c>
      <c r="H20443" t="s">
        <v>47054</v>
      </c>
      <c r="I20443" t="s">
        <v>47111</v>
      </c>
      <c r="J20443" t="s">
        <v>47112</v>
      </c>
      <c r="K20443" t="s">
        <v>47113</v>
      </c>
      <c r="L20443">
        <v>34.99</v>
      </c>
      <c r="M20443">
        <v>80</v>
      </c>
      <c r="N20443">
        <v>0</v>
      </c>
      <c r="O20443">
        <v>80</v>
      </c>
      <c r="P20443">
        <v>0</v>
      </c>
    </row>
    <row r="20444" spans="1:16" x14ac:dyDescent="0.25">
      <c r="A20444" t="s">
        <v>43189</v>
      </c>
      <c r="B20444" t="s">
        <v>12370</v>
      </c>
      <c r="C20444" t="s">
        <v>747</v>
      </c>
      <c r="D20444" t="s">
        <v>12149</v>
      </c>
      <c r="E20444" t="s">
        <v>12150</v>
      </c>
      <c r="F20444" t="s">
        <v>5</v>
      </c>
      <c r="G20444" t="s">
        <v>47093</v>
      </c>
      <c r="H20444" t="s">
        <v>47054</v>
      </c>
      <c r="I20444" t="s">
        <v>47111</v>
      </c>
      <c r="J20444" t="s">
        <v>47112</v>
      </c>
      <c r="K20444" t="s">
        <v>47113</v>
      </c>
      <c r="L20444">
        <v>32.83</v>
      </c>
      <c r="M20444">
        <v>77</v>
      </c>
      <c r="N20444">
        <v>0</v>
      </c>
      <c r="O20444">
        <v>77</v>
      </c>
      <c r="P20444">
        <v>0</v>
      </c>
    </row>
    <row r="20445" spans="1:16" x14ac:dyDescent="0.25">
      <c r="A20445" t="s">
        <v>43190</v>
      </c>
      <c r="B20445" t="s">
        <v>12370</v>
      </c>
      <c r="C20445" t="s">
        <v>747</v>
      </c>
      <c r="D20445" t="s">
        <v>12347</v>
      </c>
      <c r="E20445" t="s">
        <v>12348</v>
      </c>
      <c r="F20445" t="s">
        <v>5</v>
      </c>
      <c r="G20445" t="s">
        <v>47093</v>
      </c>
      <c r="H20445" t="s">
        <v>47054</v>
      </c>
      <c r="I20445" t="s">
        <v>47111</v>
      </c>
      <c r="J20445" t="s">
        <v>47112</v>
      </c>
      <c r="K20445" t="s">
        <v>47113</v>
      </c>
      <c r="L20445">
        <v>42.51</v>
      </c>
      <c r="M20445">
        <v>100</v>
      </c>
      <c r="N20445">
        <v>0</v>
      </c>
      <c r="O20445">
        <v>100</v>
      </c>
      <c r="P20445">
        <v>0</v>
      </c>
    </row>
    <row r="20446" spans="1:16" x14ac:dyDescent="0.25">
      <c r="A20446" t="s">
        <v>43191</v>
      </c>
      <c r="B20446" t="s">
        <v>12371</v>
      </c>
      <c r="C20446" t="s">
        <v>12372</v>
      </c>
      <c r="D20446" t="s">
        <v>721</v>
      </c>
      <c r="E20446" t="s">
        <v>722</v>
      </c>
      <c r="F20446" t="s">
        <v>52</v>
      </c>
      <c r="G20446" t="s">
        <v>47093</v>
      </c>
      <c r="H20446" t="s">
        <v>47054</v>
      </c>
      <c r="I20446" t="s">
        <v>47111</v>
      </c>
      <c r="J20446" t="s">
        <v>47112</v>
      </c>
      <c r="K20446" t="s">
        <v>47113</v>
      </c>
      <c r="L20446">
        <v>37.39</v>
      </c>
      <c r="M20446">
        <v>84</v>
      </c>
      <c r="N20446">
        <v>0</v>
      </c>
      <c r="O20446">
        <v>84</v>
      </c>
      <c r="P20446">
        <v>0</v>
      </c>
    </row>
    <row r="20447" spans="1:16" x14ac:dyDescent="0.25">
      <c r="A20447" t="s">
        <v>43192</v>
      </c>
      <c r="B20447" t="s">
        <v>12371</v>
      </c>
      <c r="C20447" t="s">
        <v>12372</v>
      </c>
      <c r="D20447" t="s">
        <v>743</v>
      </c>
      <c r="E20447" t="s">
        <v>744</v>
      </c>
      <c r="F20447" t="s">
        <v>52</v>
      </c>
      <c r="G20447" t="s">
        <v>47093</v>
      </c>
      <c r="H20447" t="s">
        <v>47054</v>
      </c>
      <c r="I20447" t="s">
        <v>47111</v>
      </c>
      <c r="J20447" t="s">
        <v>47112</v>
      </c>
      <c r="K20447" t="s">
        <v>47113</v>
      </c>
      <c r="L20447">
        <v>42.91</v>
      </c>
      <c r="M20447">
        <v>102</v>
      </c>
      <c r="N20447">
        <v>0</v>
      </c>
      <c r="O20447">
        <v>102</v>
      </c>
      <c r="P20447">
        <v>0</v>
      </c>
    </row>
    <row r="20448" spans="1:16" x14ac:dyDescent="0.25">
      <c r="A20448" t="s">
        <v>43193</v>
      </c>
      <c r="B20448" t="s">
        <v>12371</v>
      </c>
      <c r="C20448" t="s">
        <v>12372</v>
      </c>
      <c r="D20448" t="s">
        <v>739</v>
      </c>
      <c r="E20448" t="s">
        <v>740</v>
      </c>
      <c r="F20448" t="s">
        <v>52</v>
      </c>
      <c r="G20448" t="s">
        <v>47093</v>
      </c>
      <c r="H20448" t="s">
        <v>47054</v>
      </c>
      <c r="I20448" t="s">
        <v>47111</v>
      </c>
      <c r="J20448" t="s">
        <v>47112</v>
      </c>
      <c r="K20448" t="s">
        <v>47113</v>
      </c>
      <c r="L20448">
        <v>41.51</v>
      </c>
      <c r="M20448">
        <v>94</v>
      </c>
      <c r="N20448">
        <v>0</v>
      </c>
      <c r="O20448">
        <v>94</v>
      </c>
      <c r="P20448">
        <v>0</v>
      </c>
    </row>
    <row r="20449" spans="1:16" x14ac:dyDescent="0.25">
      <c r="A20449" t="s">
        <v>43194</v>
      </c>
      <c r="B20449" t="s">
        <v>12371</v>
      </c>
      <c r="C20449" t="s">
        <v>12372</v>
      </c>
      <c r="D20449" t="s">
        <v>730</v>
      </c>
      <c r="E20449" t="s">
        <v>731</v>
      </c>
      <c r="F20449" t="s">
        <v>7</v>
      </c>
      <c r="G20449" t="s">
        <v>47093</v>
      </c>
      <c r="H20449" t="s">
        <v>47054</v>
      </c>
      <c r="I20449" t="s">
        <v>47111</v>
      </c>
      <c r="J20449" t="s">
        <v>47112</v>
      </c>
      <c r="K20449" t="s">
        <v>47113</v>
      </c>
      <c r="L20449">
        <v>41.78</v>
      </c>
      <c r="M20449">
        <v>100</v>
      </c>
      <c r="N20449">
        <v>0</v>
      </c>
      <c r="O20449">
        <v>100</v>
      </c>
      <c r="P20449">
        <v>0</v>
      </c>
    </row>
    <row r="20450" spans="1:16" x14ac:dyDescent="0.25">
      <c r="A20450" t="s">
        <v>43195</v>
      </c>
      <c r="B20450" t="s">
        <v>12373</v>
      </c>
      <c r="C20450" t="s">
        <v>12374</v>
      </c>
      <c r="D20450" t="s">
        <v>739</v>
      </c>
      <c r="E20450" t="s">
        <v>740</v>
      </c>
      <c r="F20450" t="s">
        <v>56</v>
      </c>
      <c r="G20450" t="s">
        <v>47093</v>
      </c>
      <c r="H20450" t="s">
        <v>47054</v>
      </c>
      <c r="I20450" t="s">
        <v>47111</v>
      </c>
      <c r="J20450" t="s">
        <v>47112</v>
      </c>
      <c r="K20450" t="s">
        <v>47113</v>
      </c>
      <c r="L20450">
        <v>39.07</v>
      </c>
      <c r="M20450">
        <v>90</v>
      </c>
      <c r="N20450">
        <v>0</v>
      </c>
      <c r="O20450">
        <v>90</v>
      </c>
      <c r="P20450">
        <v>0</v>
      </c>
    </row>
    <row r="20451" spans="1:16" x14ac:dyDescent="0.25">
      <c r="A20451" t="s">
        <v>43196</v>
      </c>
      <c r="B20451" t="s">
        <v>16138</v>
      </c>
      <c r="C20451" t="s">
        <v>16139</v>
      </c>
      <c r="D20451" t="s">
        <v>5572</v>
      </c>
      <c r="E20451" t="s">
        <v>5573</v>
      </c>
      <c r="F20451" t="s">
        <v>3750</v>
      </c>
      <c r="G20451" t="s">
        <v>47093</v>
      </c>
      <c r="H20451" t="s">
        <v>47054</v>
      </c>
      <c r="I20451" t="s">
        <v>47964</v>
      </c>
      <c r="J20451" t="s">
        <v>47965</v>
      </c>
      <c r="K20451" t="s">
        <v>47113</v>
      </c>
      <c r="L20451">
        <v>20.55</v>
      </c>
      <c r="M20451">
        <v>97</v>
      </c>
      <c r="N20451">
        <v>0</v>
      </c>
      <c r="O20451">
        <v>97</v>
      </c>
      <c r="P20451">
        <v>0</v>
      </c>
    </row>
    <row r="20452" spans="1:16" x14ac:dyDescent="0.25">
      <c r="A20452" t="s">
        <v>750</v>
      </c>
      <c r="B20452" t="s">
        <v>751</v>
      </c>
      <c r="C20452" t="s">
        <v>752</v>
      </c>
      <c r="D20452" t="s">
        <v>753</v>
      </c>
      <c r="E20452" t="s">
        <v>754</v>
      </c>
      <c r="F20452" t="s">
        <v>8</v>
      </c>
      <c r="G20452" t="s">
        <v>47101</v>
      </c>
      <c r="H20452" t="s">
        <v>47054</v>
      </c>
      <c r="I20452" t="s">
        <v>47118</v>
      </c>
      <c r="J20452" t="s">
        <v>47119</v>
      </c>
      <c r="K20452" t="s">
        <v>47113</v>
      </c>
      <c r="L20452">
        <v>45.3</v>
      </c>
      <c r="M20452">
        <v>110</v>
      </c>
      <c r="N20452">
        <v>0</v>
      </c>
      <c r="O20452">
        <v>110</v>
      </c>
      <c r="P20452">
        <v>0</v>
      </c>
    </row>
    <row r="20453" spans="1:16" x14ac:dyDescent="0.25">
      <c r="A20453" t="s">
        <v>43197</v>
      </c>
      <c r="B20453" t="s">
        <v>12375</v>
      </c>
      <c r="C20453" t="s">
        <v>12376</v>
      </c>
      <c r="D20453" t="s">
        <v>657</v>
      </c>
      <c r="E20453" t="s">
        <v>658</v>
      </c>
      <c r="F20453" t="s">
        <v>8</v>
      </c>
      <c r="G20453" t="s">
        <v>47101</v>
      </c>
      <c r="H20453" t="s">
        <v>47054</v>
      </c>
      <c r="I20453" t="s">
        <v>47114</v>
      </c>
      <c r="J20453" t="s">
        <v>47115</v>
      </c>
      <c r="K20453" t="s">
        <v>47113</v>
      </c>
      <c r="L20453">
        <v>31.12</v>
      </c>
      <c r="M20453">
        <v>76</v>
      </c>
      <c r="N20453">
        <v>0</v>
      </c>
      <c r="O20453">
        <v>76</v>
      </c>
      <c r="P20453">
        <v>0</v>
      </c>
    </row>
    <row r="20454" spans="1:16" x14ac:dyDescent="0.25">
      <c r="A20454" t="s">
        <v>43198</v>
      </c>
      <c r="B20454" t="s">
        <v>12377</v>
      </c>
      <c r="C20454" t="s">
        <v>12378</v>
      </c>
      <c r="D20454" t="s">
        <v>3096</v>
      </c>
      <c r="E20454" t="s">
        <v>3097</v>
      </c>
      <c r="F20454" t="s">
        <v>56</v>
      </c>
      <c r="G20454" t="s">
        <v>47101</v>
      </c>
      <c r="H20454" t="s">
        <v>47054</v>
      </c>
      <c r="I20454" t="s">
        <v>47118</v>
      </c>
      <c r="J20454" t="s">
        <v>47119</v>
      </c>
      <c r="K20454" t="s">
        <v>47113</v>
      </c>
      <c r="L20454">
        <v>31.93</v>
      </c>
      <c r="M20454">
        <v>83</v>
      </c>
      <c r="N20454">
        <v>0</v>
      </c>
      <c r="O20454">
        <v>83</v>
      </c>
      <c r="P20454">
        <v>0</v>
      </c>
    </row>
    <row r="20455" spans="1:16" x14ac:dyDescent="0.25">
      <c r="A20455" t="s">
        <v>43199</v>
      </c>
      <c r="B20455" t="s">
        <v>12379</v>
      </c>
      <c r="C20455" t="s">
        <v>12380</v>
      </c>
      <c r="D20455" t="s">
        <v>721</v>
      </c>
      <c r="E20455" t="s">
        <v>722</v>
      </c>
      <c r="F20455" t="s">
        <v>3750</v>
      </c>
      <c r="G20455" t="s">
        <v>47093</v>
      </c>
      <c r="H20455" t="s">
        <v>47054</v>
      </c>
      <c r="I20455" t="s">
        <v>47111</v>
      </c>
      <c r="J20455" t="s">
        <v>47112</v>
      </c>
      <c r="K20455" t="s">
        <v>47113</v>
      </c>
      <c r="L20455">
        <v>20.46</v>
      </c>
      <c r="M20455">
        <v>78</v>
      </c>
      <c r="N20455">
        <v>0</v>
      </c>
      <c r="O20455">
        <v>78</v>
      </c>
      <c r="P20455">
        <v>0</v>
      </c>
    </row>
    <row r="20456" spans="1:16" x14ac:dyDescent="0.25">
      <c r="A20456" t="s">
        <v>43200</v>
      </c>
      <c r="B20456" t="s">
        <v>12381</v>
      </c>
      <c r="C20456" t="s">
        <v>12382</v>
      </c>
      <c r="D20456" t="s">
        <v>6630</v>
      </c>
      <c r="E20456" t="s">
        <v>6631</v>
      </c>
      <c r="F20456" t="s">
        <v>8</v>
      </c>
      <c r="G20456" t="s">
        <v>47093</v>
      </c>
      <c r="H20456" t="s">
        <v>47054</v>
      </c>
      <c r="I20456" t="s">
        <v>47111</v>
      </c>
      <c r="J20456" t="s">
        <v>47112</v>
      </c>
      <c r="K20456" t="s">
        <v>47113</v>
      </c>
      <c r="L20456">
        <v>72.88</v>
      </c>
      <c r="M20456">
        <v>191</v>
      </c>
      <c r="N20456">
        <v>0</v>
      </c>
      <c r="O20456">
        <v>191</v>
      </c>
      <c r="P20456">
        <v>0</v>
      </c>
    </row>
    <row r="20457" spans="1:16" x14ac:dyDescent="0.25">
      <c r="A20457" t="s">
        <v>43201</v>
      </c>
      <c r="B20457" t="s">
        <v>12383</v>
      </c>
      <c r="C20457" t="s">
        <v>12382</v>
      </c>
      <c r="D20457" t="s">
        <v>721</v>
      </c>
      <c r="E20457" t="s">
        <v>722</v>
      </c>
      <c r="F20457" t="s">
        <v>8</v>
      </c>
      <c r="G20457" t="s">
        <v>47093</v>
      </c>
      <c r="H20457" t="s">
        <v>47054</v>
      </c>
      <c r="I20457" t="s">
        <v>47111</v>
      </c>
      <c r="J20457" t="s">
        <v>47112</v>
      </c>
      <c r="K20457" t="s">
        <v>47113</v>
      </c>
      <c r="L20457">
        <v>52.9</v>
      </c>
      <c r="M20457">
        <v>130</v>
      </c>
      <c r="N20457">
        <v>0</v>
      </c>
      <c r="O20457">
        <v>130</v>
      </c>
      <c r="P20457">
        <v>0</v>
      </c>
    </row>
    <row r="20458" spans="1:16" x14ac:dyDescent="0.25">
      <c r="A20458" t="s">
        <v>43202</v>
      </c>
      <c r="B20458" t="s">
        <v>12383</v>
      </c>
      <c r="C20458" t="s">
        <v>12382</v>
      </c>
      <c r="D20458" t="s">
        <v>1718</v>
      </c>
      <c r="E20458" t="s">
        <v>1719</v>
      </c>
      <c r="F20458" t="s">
        <v>8</v>
      </c>
      <c r="G20458" t="s">
        <v>47093</v>
      </c>
      <c r="H20458" t="s">
        <v>47054</v>
      </c>
      <c r="I20458" t="s">
        <v>47111</v>
      </c>
      <c r="J20458" t="s">
        <v>47112</v>
      </c>
      <c r="K20458" t="s">
        <v>47113</v>
      </c>
      <c r="L20458">
        <v>57.58</v>
      </c>
      <c r="M20458">
        <v>141</v>
      </c>
      <c r="N20458">
        <v>0</v>
      </c>
      <c r="O20458">
        <v>141</v>
      </c>
      <c r="P20458">
        <v>0</v>
      </c>
    </row>
    <row r="20459" spans="1:16" x14ac:dyDescent="0.25">
      <c r="A20459" t="s">
        <v>43203</v>
      </c>
      <c r="B20459" t="s">
        <v>12383</v>
      </c>
      <c r="C20459" t="s">
        <v>12382</v>
      </c>
      <c r="D20459" t="s">
        <v>6630</v>
      </c>
      <c r="E20459" t="s">
        <v>6631</v>
      </c>
      <c r="F20459" t="s">
        <v>8</v>
      </c>
      <c r="G20459" t="s">
        <v>47093</v>
      </c>
      <c r="H20459" t="s">
        <v>47054</v>
      </c>
      <c r="I20459" t="s">
        <v>47111</v>
      </c>
      <c r="J20459" t="s">
        <v>47112</v>
      </c>
      <c r="K20459" t="s">
        <v>47113</v>
      </c>
      <c r="L20459">
        <v>71.67</v>
      </c>
      <c r="M20459">
        <v>176</v>
      </c>
      <c r="N20459">
        <v>0</v>
      </c>
      <c r="O20459">
        <v>176</v>
      </c>
      <c r="P20459">
        <v>0</v>
      </c>
    </row>
    <row r="20460" spans="1:16" x14ac:dyDescent="0.25">
      <c r="A20460" t="s">
        <v>43204</v>
      </c>
      <c r="B20460" t="s">
        <v>12384</v>
      </c>
      <c r="C20460" t="s">
        <v>12382</v>
      </c>
      <c r="D20460" t="s">
        <v>721</v>
      </c>
      <c r="E20460" t="s">
        <v>722</v>
      </c>
      <c r="F20460" t="s">
        <v>8</v>
      </c>
      <c r="G20460" t="s">
        <v>47093</v>
      </c>
      <c r="H20460" t="s">
        <v>47054</v>
      </c>
      <c r="I20460" t="s">
        <v>47111</v>
      </c>
      <c r="J20460" t="s">
        <v>47112</v>
      </c>
      <c r="K20460" t="s">
        <v>47113</v>
      </c>
      <c r="L20460">
        <v>53.62</v>
      </c>
      <c r="M20460">
        <v>130</v>
      </c>
      <c r="N20460">
        <v>0</v>
      </c>
      <c r="O20460">
        <v>130</v>
      </c>
      <c r="P20460">
        <v>0</v>
      </c>
    </row>
    <row r="20461" spans="1:16" x14ac:dyDescent="0.25">
      <c r="A20461" t="s">
        <v>43205</v>
      </c>
      <c r="B20461" t="s">
        <v>12384</v>
      </c>
      <c r="C20461" t="s">
        <v>12382</v>
      </c>
      <c r="D20461" t="s">
        <v>1718</v>
      </c>
      <c r="E20461" t="s">
        <v>1719</v>
      </c>
      <c r="F20461" t="s">
        <v>8</v>
      </c>
      <c r="G20461" t="s">
        <v>47093</v>
      </c>
      <c r="H20461" t="s">
        <v>47054</v>
      </c>
      <c r="I20461" t="s">
        <v>47111</v>
      </c>
      <c r="J20461" t="s">
        <v>47112</v>
      </c>
      <c r="K20461" t="s">
        <v>47113</v>
      </c>
      <c r="L20461">
        <v>57.58</v>
      </c>
      <c r="M20461">
        <v>141</v>
      </c>
      <c r="N20461">
        <v>0</v>
      </c>
      <c r="O20461">
        <v>141</v>
      </c>
      <c r="P20461">
        <v>0</v>
      </c>
    </row>
    <row r="20462" spans="1:16" x14ac:dyDescent="0.25">
      <c r="A20462" t="s">
        <v>43206</v>
      </c>
      <c r="B20462" t="s">
        <v>12384</v>
      </c>
      <c r="C20462" t="s">
        <v>12382</v>
      </c>
      <c r="D20462" t="s">
        <v>6630</v>
      </c>
      <c r="E20462" t="s">
        <v>6631</v>
      </c>
      <c r="F20462" t="s">
        <v>8</v>
      </c>
      <c r="G20462" t="s">
        <v>47093</v>
      </c>
      <c r="H20462" t="s">
        <v>47054</v>
      </c>
      <c r="I20462" t="s">
        <v>47111</v>
      </c>
      <c r="J20462" t="s">
        <v>47112</v>
      </c>
      <c r="K20462" t="s">
        <v>47113</v>
      </c>
      <c r="L20462">
        <v>68.41</v>
      </c>
      <c r="M20462">
        <v>191</v>
      </c>
      <c r="N20462">
        <v>0</v>
      </c>
      <c r="O20462">
        <v>191</v>
      </c>
      <c r="P20462">
        <v>0</v>
      </c>
    </row>
    <row r="20463" spans="1:16" x14ac:dyDescent="0.25">
      <c r="A20463" t="s">
        <v>43207</v>
      </c>
      <c r="B20463" t="s">
        <v>12384</v>
      </c>
      <c r="C20463" t="s">
        <v>12382</v>
      </c>
      <c r="D20463" t="s">
        <v>6636</v>
      </c>
      <c r="E20463" t="s">
        <v>6637</v>
      </c>
      <c r="F20463" t="s">
        <v>56</v>
      </c>
      <c r="G20463" t="s">
        <v>47093</v>
      </c>
      <c r="H20463" t="s">
        <v>47054</v>
      </c>
      <c r="I20463" t="s">
        <v>47111</v>
      </c>
      <c r="J20463" t="s">
        <v>47112</v>
      </c>
      <c r="K20463" t="s">
        <v>47113</v>
      </c>
      <c r="L20463">
        <v>61.8</v>
      </c>
      <c r="M20463">
        <v>137</v>
      </c>
      <c r="N20463">
        <v>0</v>
      </c>
      <c r="O20463">
        <v>137</v>
      </c>
      <c r="P20463">
        <v>0</v>
      </c>
    </row>
    <row r="20464" spans="1:16" x14ac:dyDescent="0.25">
      <c r="A20464" t="s">
        <v>43208</v>
      </c>
      <c r="B20464" t="s">
        <v>12384</v>
      </c>
      <c r="C20464" t="s">
        <v>12382</v>
      </c>
      <c r="D20464" t="s">
        <v>6632</v>
      </c>
      <c r="E20464" t="s">
        <v>6633</v>
      </c>
      <c r="F20464" t="s">
        <v>56</v>
      </c>
      <c r="G20464" t="s">
        <v>47093</v>
      </c>
      <c r="H20464" t="s">
        <v>47054</v>
      </c>
      <c r="I20464" t="s">
        <v>47111</v>
      </c>
      <c r="J20464" t="s">
        <v>47112</v>
      </c>
      <c r="K20464" t="s">
        <v>47113</v>
      </c>
      <c r="L20464">
        <v>72.63</v>
      </c>
      <c r="M20464">
        <v>163</v>
      </c>
      <c r="N20464">
        <v>0</v>
      </c>
      <c r="O20464">
        <v>163</v>
      </c>
      <c r="P20464">
        <v>0</v>
      </c>
    </row>
    <row r="20465" spans="1:16" x14ac:dyDescent="0.25">
      <c r="A20465" t="s">
        <v>43209</v>
      </c>
      <c r="B20465" t="s">
        <v>12385</v>
      </c>
      <c r="C20465" t="s">
        <v>12386</v>
      </c>
      <c r="D20465" t="s">
        <v>1718</v>
      </c>
      <c r="E20465" t="s">
        <v>1719</v>
      </c>
      <c r="F20465" t="s">
        <v>8</v>
      </c>
      <c r="G20465" t="s">
        <v>47093</v>
      </c>
      <c r="H20465" t="s">
        <v>47054</v>
      </c>
      <c r="I20465" t="s">
        <v>47114</v>
      </c>
      <c r="J20465" t="s">
        <v>47115</v>
      </c>
      <c r="K20465" t="s">
        <v>47113</v>
      </c>
      <c r="L20465">
        <v>58.79</v>
      </c>
      <c r="M20465">
        <v>146</v>
      </c>
      <c r="N20465">
        <v>0</v>
      </c>
      <c r="O20465">
        <v>146</v>
      </c>
      <c r="P20465">
        <v>0</v>
      </c>
    </row>
    <row r="20466" spans="1:16" x14ac:dyDescent="0.25">
      <c r="A20466" t="s">
        <v>43210</v>
      </c>
      <c r="B20466" t="s">
        <v>12387</v>
      </c>
      <c r="C20466" t="s">
        <v>12386</v>
      </c>
      <c r="D20466" t="s">
        <v>721</v>
      </c>
      <c r="E20466" t="s">
        <v>722</v>
      </c>
      <c r="F20466" t="s">
        <v>8</v>
      </c>
      <c r="G20466" t="s">
        <v>47093</v>
      </c>
      <c r="H20466" t="s">
        <v>47054</v>
      </c>
      <c r="I20466" t="s">
        <v>47111</v>
      </c>
      <c r="J20466" t="s">
        <v>47112</v>
      </c>
      <c r="K20466" t="s">
        <v>47113</v>
      </c>
      <c r="L20466">
        <v>53.62</v>
      </c>
      <c r="M20466">
        <v>130</v>
      </c>
      <c r="N20466">
        <v>0</v>
      </c>
      <c r="O20466">
        <v>130</v>
      </c>
      <c r="P20466">
        <v>0</v>
      </c>
    </row>
    <row r="20467" spans="1:16" x14ac:dyDescent="0.25">
      <c r="A20467" t="s">
        <v>43211</v>
      </c>
      <c r="B20467" t="s">
        <v>12387</v>
      </c>
      <c r="C20467" t="s">
        <v>12386</v>
      </c>
      <c r="D20467" t="s">
        <v>1718</v>
      </c>
      <c r="E20467" t="s">
        <v>1719</v>
      </c>
      <c r="F20467" t="s">
        <v>8</v>
      </c>
      <c r="G20467" t="s">
        <v>47093</v>
      </c>
      <c r="H20467" t="s">
        <v>47054</v>
      </c>
      <c r="I20467" t="s">
        <v>47111</v>
      </c>
      <c r="J20467" t="s">
        <v>47112</v>
      </c>
      <c r="K20467" t="s">
        <v>47113</v>
      </c>
      <c r="L20467">
        <v>58.33</v>
      </c>
      <c r="M20467">
        <v>141</v>
      </c>
      <c r="N20467">
        <v>0</v>
      </c>
      <c r="O20467">
        <v>141</v>
      </c>
      <c r="P20467">
        <v>0</v>
      </c>
    </row>
    <row r="20468" spans="1:16" x14ac:dyDescent="0.25">
      <c r="A20468" t="s">
        <v>43212</v>
      </c>
      <c r="B20468" t="s">
        <v>12387</v>
      </c>
      <c r="C20468" t="s">
        <v>12386</v>
      </c>
      <c r="D20468" t="s">
        <v>6630</v>
      </c>
      <c r="E20468" t="s">
        <v>6631</v>
      </c>
      <c r="F20468" t="s">
        <v>8</v>
      </c>
      <c r="G20468" t="s">
        <v>47093</v>
      </c>
      <c r="H20468" t="s">
        <v>47054</v>
      </c>
      <c r="I20468" t="s">
        <v>47111</v>
      </c>
      <c r="J20468" t="s">
        <v>47112</v>
      </c>
      <c r="K20468" t="s">
        <v>47113</v>
      </c>
      <c r="L20468">
        <v>71.67</v>
      </c>
      <c r="M20468">
        <v>176</v>
      </c>
      <c r="N20468">
        <v>0</v>
      </c>
      <c r="O20468">
        <v>176</v>
      </c>
      <c r="P20468">
        <v>0</v>
      </c>
    </row>
    <row r="20469" spans="1:16" x14ac:dyDescent="0.25">
      <c r="A20469" t="s">
        <v>43213</v>
      </c>
      <c r="B20469" t="s">
        <v>12388</v>
      </c>
      <c r="C20469" t="s">
        <v>12386</v>
      </c>
      <c r="D20469" t="s">
        <v>721</v>
      </c>
      <c r="E20469" t="s">
        <v>722</v>
      </c>
      <c r="F20469" t="s">
        <v>8</v>
      </c>
      <c r="G20469" t="s">
        <v>47093</v>
      </c>
      <c r="H20469" t="s">
        <v>47054</v>
      </c>
      <c r="I20469" t="s">
        <v>47111</v>
      </c>
      <c r="J20469" t="s">
        <v>47112</v>
      </c>
      <c r="K20469" t="s">
        <v>47113</v>
      </c>
      <c r="L20469">
        <v>53.62</v>
      </c>
      <c r="M20469">
        <v>130</v>
      </c>
      <c r="N20469">
        <v>0</v>
      </c>
      <c r="O20469">
        <v>130</v>
      </c>
      <c r="P20469">
        <v>0</v>
      </c>
    </row>
    <row r="20470" spans="1:16" x14ac:dyDescent="0.25">
      <c r="A20470" t="s">
        <v>43214</v>
      </c>
      <c r="B20470" t="s">
        <v>12388</v>
      </c>
      <c r="C20470" t="s">
        <v>12386</v>
      </c>
      <c r="D20470" t="s">
        <v>1718</v>
      </c>
      <c r="E20470" t="s">
        <v>1719</v>
      </c>
      <c r="F20470" t="s">
        <v>8</v>
      </c>
      <c r="G20470" t="s">
        <v>47093</v>
      </c>
      <c r="H20470" t="s">
        <v>47054</v>
      </c>
      <c r="I20470" t="s">
        <v>47111</v>
      </c>
      <c r="J20470" t="s">
        <v>47112</v>
      </c>
      <c r="K20470" t="s">
        <v>47113</v>
      </c>
      <c r="L20470">
        <v>58.28</v>
      </c>
      <c r="M20470">
        <v>141</v>
      </c>
      <c r="N20470">
        <v>0</v>
      </c>
      <c r="O20470">
        <v>141</v>
      </c>
      <c r="P20470">
        <v>0</v>
      </c>
    </row>
    <row r="20471" spans="1:16" x14ac:dyDescent="0.25">
      <c r="A20471" t="s">
        <v>43215</v>
      </c>
      <c r="B20471" t="s">
        <v>12388</v>
      </c>
      <c r="C20471" t="s">
        <v>12386</v>
      </c>
      <c r="D20471" t="s">
        <v>6630</v>
      </c>
      <c r="E20471" t="s">
        <v>6631</v>
      </c>
      <c r="F20471" t="s">
        <v>8</v>
      </c>
      <c r="G20471" t="s">
        <v>47093</v>
      </c>
      <c r="H20471" t="s">
        <v>47054</v>
      </c>
      <c r="I20471" t="s">
        <v>47111</v>
      </c>
      <c r="J20471" t="s">
        <v>47112</v>
      </c>
      <c r="K20471" t="s">
        <v>47113</v>
      </c>
      <c r="L20471">
        <v>72.33</v>
      </c>
      <c r="M20471">
        <v>176</v>
      </c>
      <c r="N20471">
        <v>0</v>
      </c>
      <c r="O20471">
        <v>176</v>
      </c>
      <c r="P20471">
        <v>0</v>
      </c>
    </row>
    <row r="20472" spans="1:16" x14ac:dyDescent="0.25">
      <c r="A20472" t="s">
        <v>43216</v>
      </c>
      <c r="B20472" t="s">
        <v>12388</v>
      </c>
      <c r="C20472" t="s">
        <v>12386</v>
      </c>
      <c r="D20472" t="s">
        <v>6636</v>
      </c>
      <c r="E20472" t="s">
        <v>6637</v>
      </c>
      <c r="F20472" t="s">
        <v>56</v>
      </c>
      <c r="G20472" t="s">
        <v>47093</v>
      </c>
      <c r="H20472" t="s">
        <v>47054</v>
      </c>
      <c r="I20472" t="s">
        <v>47111</v>
      </c>
      <c r="J20472" t="s">
        <v>47112</v>
      </c>
      <c r="K20472" t="s">
        <v>47113</v>
      </c>
      <c r="L20472">
        <v>61.8</v>
      </c>
      <c r="M20472">
        <v>137</v>
      </c>
      <c r="N20472">
        <v>0</v>
      </c>
      <c r="O20472">
        <v>137</v>
      </c>
      <c r="P20472">
        <v>0</v>
      </c>
    </row>
    <row r="20473" spans="1:16" x14ac:dyDescent="0.25">
      <c r="A20473" t="s">
        <v>43217</v>
      </c>
      <c r="B20473" t="s">
        <v>12389</v>
      </c>
      <c r="C20473" t="s">
        <v>12390</v>
      </c>
      <c r="D20473" t="s">
        <v>721</v>
      </c>
      <c r="E20473" t="s">
        <v>722</v>
      </c>
      <c r="F20473" t="s">
        <v>8</v>
      </c>
      <c r="G20473" t="s">
        <v>47093</v>
      </c>
      <c r="H20473" t="s">
        <v>47054</v>
      </c>
      <c r="I20473" t="s">
        <v>47114</v>
      </c>
      <c r="J20473" t="s">
        <v>47115</v>
      </c>
      <c r="K20473" t="s">
        <v>47113</v>
      </c>
      <c r="L20473">
        <v>54.11</v>
      </c>
      <c r="M20473">
        <v>142</v>
      </c>
      <c r="N20473">
        <v>0</v>
      </c>
      <c r="O20473">
        <v>142</v>
      </c>
      <c r="P20473">
        <v>0</v>
      </c>
    </row>
    <row r="20474" spans="1:16" x14ac:dyDescent="0.25">
      <c r="A20474" t="s">
        <v>43218</v>
      </c>
      <c r="B20474" t="s">
        <v>12391</v>
      </c>
      <c r="C20474" t="s">
        <v>12392</v>
      </c>
      <c r="D20474" t="s">
        <v>721</v>
      </c>
      <c r="E20474" t="s">
        <v>722</v>
      </c>
      <c r="F20474" t="s">
        <v>8</v>
      </c>
      <c r="G20474" t="s">
        <v>47093</v>
      </c>
      <c r="H20474" t="s">
        <v>47054</v>
      </c>
      <c r="I20474" t="s">
        <v>47111</v>
      </c>
      <c r="J20474" t="s">
        <v>47112</v>
      </c>
      <c r="K20474" t="s">
        <v>47113</v>
      </c>
      <c r="L20474">
        <v>53.62</v>
      </c>
      <c r="M20474">
        <v>130</v>
      </c>
      <c r="N20474">
        <v>0</v>
      </c>
      <c r="O20474">
        <v>130</v>
      </c>
      <c r="P20474">
        <v>0</v>
      </c>
    </row>
    <row r="20475" spans="1:16" x14ac:dyDescent="0.25">
      <c r="A20475" t="s">
        <v>43219</v>
      </c>
      <c r="B20475" t="s">
        <v>12391</v>
      </c>
      <c r="C20475" t="s">
        <v>12392</v>
      </c>
      <c r="D20475" t="s">
        <v>1718</v>
      </c>
      <c r="E20475" t="s">
        <v>1719</v>
      </c>
      <c r="F20475" t="s">
        <v>8</v>
      </c>
      <c r="G20475" t="s">
        <v>47093</v>
      </c>
      <c r="H20475" t="s">
        <v>47054</v>
      </c>
      <c r="I20475" t="s">
        <v>47111</v>
      </c>
      <c r="J20475" t="s">
        <v>47112</v>
      </c>
      <c r="K20475" t="s">
        <v>47113</v>
      </c>
      <c r="L20475">
        <v>57.58</v>
      </c>
      <c r="M20475">
        <v>141</v>
      </c>
      <c r="N20475">
        <v>0</v>
      </c>
      <c r="O20475">
        <v>141</v>
      </c>
      <c r="P20475">
        <v>0</v>
      </c>
    </row>
    <row r="20476" spans="1:16" x14ac:dyDescent="0.25">
      <c r="A20476" t="s">
        <v>43220</v>
      </c>
      <c r="B20476" t="s">
        <v>12391</v>
      </c>
      <c r="C20476" t="s">
        <v>12392</v>
      </c>
      <c r="D20476" t="s">
        <v>6630</v>
      </c>
      <c r="E20476" t="s">
        <v>6631</v>
      </c>
      <c r="F20476" t="s">
        <v>8</v>
      </c>
      <c r="G20476" t="s">
        <v>47093</v>
      </c>
      <c r="H20476" t="s">
        <v>47054</v>
      </c>
      <c r="I20476" t="s">
        <v>47111</v>
      </c>
      <c r="J20476" t="s">
        <v>47112</v>
      </c>
      <c r="K20476" t="s">
        <v>47113</v>
      </c>
      <c r="L20476">
        <v>72.33</v>
      </c>
      <c r="M20476">
        <v>176</v>
      </c>
      <c r="N20476">
        <v>0</v>
      </c>
      <c r="O20476">
        <v>176</v>
      </c>
      <c r="P20476">
        <v>0</v>
      </c>
    </row>
    <row r="20477" spans="1:16" x14ac:dyDescent="0.25">
      <c r="A20477" t="s">
        <v>43221</v>
      </c>
      <c r="B20477" t="s">
        <v>12393</v>
      </c>
      <c r="C20477" t="s">
        <v>12392</v>
      </c>
      <c r="D20477" t="s">
        <v>721</v>
      </c>
      <c r="E20477" t="s">
        <v>722</v>
      </c>
      <c r="F20477" t="s">
        <v>8</v>
      </c>
      <c r="G20477" t="s">
        <v>47093</v>
      </c>
      <c r="H20477" t="s">
        <v>47054</v>
      </c>
      <c r="I20477" t="s">
        <v>47111</v>
      </c>
      <c r="J20477" t="s">
        <v>47112</v>
      </c>
      <c r="K20477" t="s">
        <v>47113</v>
      </c>
      <c r="L20477">
        <v>52.9</v>
      </c>
      <c r="M20477">
        <v>130</v>
      </c>
      <c r="N20477">
        <v>0</v>
      </c>
      <c r="O20477">
        <v>130</v>
      </c>
      <c r="P20477">
        <v>0</v>
      </c>
    </row>
    <row r="20478" spans="1:16" x14ac:dyDescent="0.25">
      <c r="A20478" t="s">
        <v>43222</v>
      </c>
      <c r="B20478" t="s">
        <v>12393</v>
      </c>
      <c r="C20478" t="s">
        <v>12392</v>
      </c>
      <c r="D20478" t="s">
        <v>6630</v>
      </c>
      <c r="E20478" t="s">
        <v>6631</v>
      </c>
      <c r="F20478" t="s">
        <v>8</v>
      </c>
      <c r="G20478" t="s">
        <v>47093</v>
      </c>
      <c r="H20478" t="s">
        <v>47054</v>
      </c>
      <c r="I20478" t="s">
        <v>47111</v>
      </c>
      <c r="J20478" t="s">
        <v>47112</v>
      </c>
      <c r="K20478" t="s">
        <v>47113</v>
      </c>
      <c r="L20478">
        <v>72.33</v>
      </c>
      <c r="M20478">
        <v>176</v>
      </c>
      <c r="N20478">
        <v>0</v>
      </c>
      <c r="O20478">
        <v>176</v>
      </c>
      <c r="P20478">
        <v>0</v>
      </c>
    </row>
    <row r="20479" spans="1:16" x14ac:dyDescent="0.25">
      <c r="A20479" t="s">
        <v>43223</v>
      </c>
      <c r="B20479" t="s">
        <v>12393</v>
      </c>
      <c r="C20479" t="s">
        <v>12392</v>
      </c>
      <c r="D20479" t="s">
        <v>6636</v>
      </c>
      <c r="E20479" t="s">
        <v>6637</v>
      </c>
      <c r="F20479" t="s">
        <v>56</v>
      </c>
      <c r="G20479" t="s">
        <v>47093</v>
      </c>
      <c r="H20479" t="s">
        <v>47054</v>
      </c>
      <c r="I20479" t="s">
        <v>47111</v>
      </c>
      <c r="J20479" t="s">
        <v>47112</v>
      </c>
      <c r="K20479" t="s">
        <v>47113</v>
      </c>
      <c r="L20479">
        <v>62.64</v>
      </c>
      <c r="M20479">
        <v>137</v>
      </c>
      <c r="N20479">
        <v>0</v>
      </c>
      <c r="O20479">
        <v>137</v>
      </c>
      <c r="P20479">
        <v>0</v>
      </c>
    </row>
    <row r="20480" spans="1:16" x14ac:dyDescent="0.25">
      <c r="A20480" t="s">
        <v>43224</v>
      </c>
      <c r="B20480" t="s">
        <v>12394</v>
      </c>
      <c r="C20480" t="s">
        <v>12395</v>
      </c>
      <c r="D20480" t="s">
        <v>6636</v>
      </c>
      <c r="E20480" t="s">
        <v>6637</v>
      </c>
      <c r="F20480" t="s">
        <v>56</v>
      </c>
      <c r="G20480" t="s">
        <v>47093</v>
      </c>
      <c r="H20480" t="s">
        <v>47054</v>
      </c>
      <c r="I20480" t="s">
        <v>47114</v>
      </c>
      <c r="J20480" t="s">
        <v>47115</v>
      </c>
      <c r="K20480" t="s">
        <v>47113</v>
      </c>
      <c r="L20480">
        <v>62.65</v>
      </c>
      <c r="M20480">
        <v>137</v>
      </c>
      <c r="N20480">
        <v>0</v>
      </c>
      <c r="O20480">
        <v>137</v>
      </c>
      <c r="P20480">
        <v>0</v>
      </c>
    </row>
    <row r="20481" spans="1:16" x14ac:dyDescent="0.25">
      <c r="A20481" t="s">
        <v>43225</v>
      </c>
      <c r="B20481" t="s">
        <v>12396</v>
      </c>
      <c r="C20481" t="s">
        <v>12397</v>
      </c>
      <c r="D20481" t="s">
        <v>12398</v>
      </c>
      <c r="E20481" t="s">
        <v>12399</v>
      </c>
      <c r="F20481" t="s">
        <v>3670</v>
      </c>
      <c r="G20481" t="s">
        <v>47093</v>
      </c>
      <c r="H20481" t="s">
        <v>47054</v>
      </c>
      <c r="I20481" t="s">
        <v>47111</v>
      </c>
      <c r="J20481" t="s">
        <v>47112</v>
      </c>
      <c r="K20481" t="s">
        <v>47113</v>
      </c>
      <c r="L20481">
        <v>38.479999999999997</v>
      </c>
      <c r="M20481">
        <v>74</v>
      </c>
      <c r="N20481">
        <v>0</v>
      </c>
      <c r="O20481">
        <v>74</v>
      </c>
      <c r="P20481">
        <v>0</v>
      </c>
    </row>
    <row r="20482" spans="1:16" x14ac:dyDescent="0.25">
      <c r="A20482" t="s">
        <v>43226</v>
      </c>
      <c r="B20482" t="s">
        <v>12400</v>
      </c>
      <c r="C20482" t="s">
        <v>12401</v>
      </c>
      <c r="D20482" t="s">
        <v>12398</v>
      </c>
      <c r="E20482" t="s">
        <v>12399</v>
      </c>
      <c r="F20482" t="s">
        <v>3670</v>
      </c>
      <c r="G20482" t="s">
        <v>47093</v>
      </c>
      <c r="H20482" t="s">
        <v>47054</v>
      </c>
      <c r="I20482" t="s">
        <v>47111</v>
      </c>
      <c r="J20482" t="s">
        <v>47112</v>
      </c>
      <c r="K20482" t="s">
        <v>47113</v>
      </c>
      <c r="L20482">
        <v>38.67</v>
      </c>
      <c r="M20482">
        <v>74</v>
      </c>
      <c r="N20482">
        <v>0</v>
      </c>
      <c r="O20482">
        <v>74</v>
      </c>
      <c r="P20482">
        <v>0</v>
      </c>
    </row>
    <row r="20483" spans="1:16" x14ac:dyDescent="0.25">
      <c r="A20483" t="s">
        <v>43227</v>
      </c>
      <c r="B20483" t="s">
        <v>12402</v>
      </c>
      <c r="C20483" t="s">
        <v>12403</v>
      </c>
      <c r="D20483" t="s">
        <v>12398</v>
      </c>
      <c r="E20483" t="s">
        <v>12399</v>
      </c>
      <c r="F20483" t="s">
        <v>3670</v>
      </c>
      <c r="G20483" t="s">
        <v>47093</v>
      </c>
      <c r="I20483" t="s">
        <v>47111</v>
      </c>
      <c r="J20483" t="s">
        <v>47112</v>
      </c>
      <c r="K20483" t="s">
        <v>47113</v>
      </c>
      <c r="L20483">
        <v>38.67</v>
      </c>
      <c r="M20483">
        <v>74</v>
      </c>
      <c r="N20483">
        <v>0</v>
      </c>
      <c r="O20483">
        <v>74</v>
      </c>
      <c r="P20483">
        <v>0</v>
      </c>
    </row>
    <row r="20484" spans="1:16" x14ac:dyDescent="0.25">
      <c r="A20484" t="s">
        <v>43228</v>
      </c>
      <c r="B20484" t="s">
        <v>12404</v>
      </c>
      <c r="C20484" t="s">
        <v>12405</v>
      </c>
      <c r="D20484" t="s">
        <v>12398</v>
      </c>
      <c r="E20484" t="s">
        <v>12399</v>
      </c>
      <c r="F20484" t="s">
        <v>3670</v>
      </c>
      <c r="G20484" t="s">
        <v>49029</v>
      </c>
      <c r="H20484" t="s">
        <v>47054</v>
      </c>
      <c r="I20484" t="s">
        <v>47111</v>
      </c>
      <c r="J20484" t="s">
        <v>47112</v>
      </c>
      <c r="K20484" t="s">
        <v>47113</v>
      </c>
      <c r="L20484">
        <v>36.33</v>
      </c>
      <c r="M20484">
        <v>63</v>
      </c>
      <c r="N20484">
        <v>0</v>
      </c>
      <c r="O20484">
        <v>63</v>
      </c>
      <c r="P20484">
        <v>0</v>
      </c>
    </row>
    <row r="20485" spans="1:16" x14ac:dyDescent="0.25">
      <c r="A20485" t="s">
        <v>43229</v>
      </c>
      <c r="B20485" t="s">
        <v>12406</v>
      </c>
      <c r="C20485" t="s">
        <v>12407</v>
      </c>
      <c r="D20485" t="s">
        <v>12408</v>
      </c>
      <c r="E20485" t="s">
        <v>12409</v>
      </c>
      <c r="F20485" t="s">
        <v>3670</v>
      </c>
      <c r="G20485" t="s">
        <v>47093</v>
      </c>
      <c r="I20485" t="s">
        <v>47111</v>
      </c>
      <c r="J20485" t="s">
        <v>47112</v>
      </c>
      <c r="K20485" t="s">
        <v>47113</v>
      </c>
      <c r="L20485">
        <v>62.42</v>
      </c>
      <c r="M20485">
        <v>122</v>
      </c>
      <c r="N20485">
        <v>0</v>
      </c>
      <c r="O20485">
        <v>122</v>
      </c>
      <c r="P20485">
        <v>0</v>
      </c>
    </row>
    <row r="20486" spans="1:16" x14ac:dyDescent="0.25">
      <c r="A20486" t="s">
        <v>43230</v>
      </c>
      <c r="B20486" t="s">
        <v>12410</v>
      </c>
      <c r="C20486" t="s">
        <v>12411</v>
      </c>
      <c r="D20486" t="s">
        <v>12408</v>
      </c>
      <c r="E20486" t="s">
        <v>12409</v>
      </c>
      <c r="F20486" t="s">
        <v>3670</v>
      </c>
      <c r="G20486" t="s">
        <v>47093</v>
      </c>
      <c r="H20486" t="s">
        <v>47054</v>
      </c>
      <c r="I20486" t="s">
        <v>47116</v>
      </c>
      <c r="J20486" t="s">
        <v>47117</v>
      </c>
      <c r="K20486" t="s">
        <v>47113</v>
      </c>
      <c r="L20486">
        <v>63.27</v>
      </c>
      <c r="M20486">
        <v>122</v>
      </c>
      <c r="N20486">
        <v>0</v>
      </c>
      <c r="O20486">
        <v>122</v>
      </c>
      <c r="P20486">
        <v>0</v>
      </c>
    </row>
    <row r="20487" spans="1:16" x14ac:dyDescent="0.25">
      <c r="A20487" t="s">
        <v>43231</v>
      </c>
      <c r="B20487" t="s">
        <v>12412</v>
      </c>
      <c r="C20487" t="s">
        <v>12405</v>
      </c>
      <c r="D20487" t="s">
        <v>12398</v>
      </c>
      <c r="E20487" t="s">
        <v>12399</v>
      </c>
      <c r="F20487" t="s">
        <v>3670</v>
      </c>
      <c r="G20487" t="s">
        <v>49029</v>
      </c>
      <c r="I20487" t="s">
        <v>47111</v>
      </c>
      <c r="J20487" t="s">
        <v>47112</v>
      </c>
      <c r="K20487" t="s">
        <v>47113</v>
      </c>
      <c r="L20487">
        <v>36.33</v>
      </c>
      <c r="M20487">
        <v>63</v>
      </c>
      <c r="N20487">
        <v>0</v>
      </c>
      <c r="O20487">
        <v>63</v>
      </c>
      <c r="P20487">
        <v>0</v>
      </c>
    </row>
    <row r="20488" spans="1:16" x14ac:dyDescent="0.25">
      <c r="A20488" t="s">
        <v>49428</v>
      </c>
      <c r="B20488" t="s">
        <v>49429</v>
      </c>
      <c r="C20488" t="s">
        <v>48442</v>
      </c>
      <c r="D20488" t="str">
        <f>"3268"</f>
        <v>3268</v>
      </c>
      <c r="E20488" t="s">
        <v>20770</v>
      </c>
      <c r="F20488" t="s">
        <v>47185</v>
      </c>
      <c r="G20488" t="s">
        <v>47098</v>
      </c>
      <c r="H20488" t="s">
        <v>47054</v>
      </c>
      <c r="I20488" t="s">
        <v>47120</v>
      </c>
      <c r="J20488" t="s">
        <v>47121</v>
      </c>
      <c r="K20488" t="s">
        <v>47113</v>
      </c>
      <c r="L20488">
        <v>41.15</v>
      </c>
      <c r="M20488">
        <v>129</v>
      </c>
      <c r="N20488">
        <v>349</v>
      </c>
      <c r="O20488">
        <v>129</v>
      </c>
      <c r="P20488">
        <v>349</v>
      </c>
    </row>
    <row r="20489" spans="1:16" x14ac:dyDescent="0.25">
      <c r="A20489" t="s">
        <v>43232</v>
      </c>
      <c r="B20489" t="s">
        <v>22051</v>
      </c>
      <c r="C20489" t="s">
        <v>22052</v>
      </c>
      <c r="D20489" t="str">
        <f>"1001"</f>
        <v>1001</v>
      </c>
      <c r="E20489" t="s">
        <v>22053</v>
      </c>
      <c r="F20489" t="s">
        <v>19552</v>
      </c>
      <c r="G20489" t="s">
        <v>47102</v>
      </c>
      <c r="H20489" t="s">
        <v>47054</v>
      </c>
      <c r="I20489" t="s">
        <v>47120</v>
      </c>
      <c r="J20489" t="s">
        <v>47121</v>
      </c>
      <c r="K20489" t="s">
        <v>47113</v>
      </c>
      <c r="L20489">
        <v>49.54</v>
      </c>
      <c r="M20489">
        <v>92</v>
      </c>
      <c r="N20489">
        <v>0</v>
      </c>
      <c r="O20489">
        <v>92</v>
      </c>
      <c r="P20489">
        <v>0</v>
      </c>
    </row>
    <row r="20490" spans="1:16" x14ac:dyDescent="0.25">
      <c r="A20490" t="s">
        <v>43233</v>
      </c>
      <c r="B20490" t="s">
        <v>43234</v>
      </c>
      <c r="C20490" t="s">
        <v>43235</v>
      </c>
      <c r="D20490" t="str">
        <f>"1001"</f>
        <v>1001</v>
      </c>
      <c r="E20490" t="s">
        <v>42</v>
      </c>
      <c r="F20490" t="s">
        <v>21629</v>
      </c>
      <c r="G20490" t="s">
        <v>47094</v>
      </c>
      <c r="H20490" t="s">
        <v>47054</v>
      </c>
      <c r="I20490" t="s">
        <v>47120</v>
      </c>
      <c r="J20490" t="s">
        <v>47121</v>
      </c>
      <c r="K20490" t="s">
        <v>47113</v>
      </c>
      <c r="L20490">
        <v>24.05</v>
      </c>
      <c r="M20490">
        <v>55</v>
      </c>
      <c r="N20490">
        <v>0</v>
      </c>
      <c r="O20490">
        <v>55</v>
      </c>
      <c r="P20490">
        <v>0</v>
      </c>
    </row>
    <row r="20491" spans="1:16" x14ac:dyDescent="0.25">
      <c r="A20491" t="s">
        <v>43236</v>
      </c>
      <c r="B20491" t="s">
        <v>22054</v>
      </c>
      <c r="C20491" t="s">
        <v>22055</v>
      </c>
      <c r="D20491" t="s">
        <v>22056</v>
      </c>
      <c r="E20491" t="s">
        <v>22057</v>
      </c>
      <c r="F20491" t="s">
        <v>19559</v>
      </c>
      <c r="G20491" t="s">
        <v>47093</v>
      </c>
      <c r="H20491" t="s">
        <v>47054</v>
      </c>
      <c r="I20491" t="s">
        <v>47111</v>
      </c>
      <c r="J20491" t="s">
        <v>47112</v>
      </c>
      <c r="K20491" t="s">
        <v>47113</v>
      </c>
      <c r="L20491">
        <v>84.99</v>
      </c>
      <c r="M20491">
        <v>183</v>
      </c>
      <c r="N20491">
        <v>0</v>
      </c>
      <c r="O20491">
        <v>183</v>
      </c>
      <c r="P20491">
        <v>0</v>
      </c>
    </row>
    <row r="20492" spans="1:16" x14ac:dyDescent="0.25">
      <c r="A20492" t="s">
        <v>43237</v>
      </c>
      <c r="B20492" t="s">
        <v>43238</v>
      </c>
      <c r="C20492" t="s">
        <v>43239</v>
      </c>
      <c r="D20492" t="str">
        <f>"1001"</f>
        <v>1001</v>
      </c>
      <c r="E20492" t="s">
        <v>42</v>
      </c>
      <c r="F20492" t="s">
        <v>16839</v>
      </c>
      <c r="G20492" t="s">
        <v>47091</v>
      </c>
      <c r="H20492" t="s">
        <v>47054</v>
      </c>
      <c r="I20492" t="s">
        <v>47154</v>
      </c>
      <c r="J20492" t="s">
        <v>47155</v>
      </c>
      <c r="K20492" t="s">
        <v>47113</v>
      </c>
      <c r="L20492">
        <v>8.5299999999999994</v>
      </c>
      <c r="M20492">
        <v>22</v>
      </c>
      <c r="N20492">
        <v>59</v>
      </c>
      <c r="O20492">
        <v>22</v>
      </c>
      <c r="P20492">
        <v>59</v>
      </c>
    </row>
    <row r="20493" spans="1:16" x14ac:dyDescent="0.25">
      <c r="A20493" t="s">
        <v>43240</v>
      </c>
      <c r="B20493" t="s">
        <v>43238</v>
      </c>
      <c r="C20493" t="s">
        <v>43239</v>
      </c>
      <c r="D20493" t="str">
        <f>"1700"</f>
        <v>1700</v>
      </c>
      <c r="E20493" t="s">
        <v>60</v>
      </c>
      <c r="F20493" t="s">
        <v>16839</v>
      </c>
      <c r="G20493" t="s">
        <v>47091</v>
      </c>
      <c r="H20493" t="s">
        <v>47054</v>
      </c>
      <c r="I20493" t="s">
        <v>47154</v>
      </c>
      <c r="J20493" t="s">
        <v>47155</v>
      </c>
      <c r="K20493" t="s">
        <v>47113</v>
      </c>
      <c r="L20493">
        <v>7.75</v>
      </c>
      <c r="M20493">
        <v>22</v>
      </c>
      <c r="N20493">
        <v>59</v>
      </c>
      <c r="O20493">
        <v>22</v>
      </c>
      <c r="P20493">
        <v>59</v>
      </c>
    </row>
    <row r="20494" spans="1:16" x14ac:dyDescent="0.25">
      <c r="A20494" t="s">
        <v>43241</v>
      </c>
      <c r="B20494" t="s">
        <v>22058</v>
      </c>
      <c r="C20494" t="s">
        <v>22059</v>
      </c>
      <c r="D20494" t="s">
        <v>18759</v>
      </c>
      <c r="E20494" t="s">
        <v>18760</v>
      </c>
      <c r="F20494" t="s">
        <v>19878</v>
      </c>
      <c r="G20494" t="s">
        <v>47099</v>
      </c>
      <c r="H20494" t="s">
        <v>47054</v>
      </c>
      <c r="I20494" t="s">
        <v>47120</v>
      </c>
      <c r="J20494" t="s">
        <v>47121</v>
      </c>
      <c r="K20494" t="s">
        <v>47113</v>
      </c>
      <c r="L20494">
        <v>33.65</v>
      </c>
      <c r="M20494">
        <v>92</v>
      </c>
      <c r="N20494">
        <v>0</v>
      </c>
      <c r="O20494">
        <v>92</v>
      </c>
      <c r="P20494">
        <v>0</v>
      </c>
    </row>
    <row r="20495" spans="1:16" x14ac:dyDescent="0.25">
      <c r="A20495" t="s">
        <v>43242</v>
      </c>
      <c r="B20495" t="s">
        <v>22060</v>
      </c>
      <c r="C20495" t="s">
        <v>22059</v>
      </c>
      <c r="D20495" t="s">
        <v>18759</v>
      </c>
      <c r="E20495" t="s">
        <v>18760</v>
      </c>
      <c r="F20495" t="s">
        <v>19878</v>
      </c>
      <c r="G20495" t="s">
        <v>47099</v>
      </c>
      <c r="H20495" t="s">
        <v>47054</v>
      </c>
      <c r="I20495" t="s">
        <v>47120</v>
      </c>
      <c r="J20495" t="s">
        <v>47121</v>
      </c>
      <c r="K20495" t="s">
        <v>47113</v>
      </c>
      <c r="L20495">
        <v>33.65</v>
      </c>
      <c r="M20495">
        <v>66</v>
      </c>
      <c r="N20495">
        <v>0</v>
      </c>
      <c r="O20495">
        <v>66</v>
      </c>
      <c r="P20495">
        <v>0</v>
      </c>
    </row>
    <row r="20496" spans="1:16" x14ac:dyDescent="0.25">
      <c r="A20496" t="s">
        <v>43243</v>
      </c>
      <c r="B20496" t="s">
        <v>22061</v>
      </c>
      <c r="C20496" t="s">
        <v>22062</v>
      </c>
      <c r="D20496" t="str">
        <f>"1001"</f>
        <v>1001</v>
      </c>
      <c r="E20496" t="s">
        <v>21946</v>
      </c>
      <c r="F20496" t="s">
        <v>19559</v>
      </c>
      <c r="G20496" t="s">
        <v>47099</v>
      </c>
      <c r="H20496" t="s">
        <v>47054</v>
      </c>
      <c r="I20496" t="s">
        <v>47120</v>
      </c>
      <c r="J20496" t="s">
        <v>47121</v>
      </c>
      <c r="K20496" t="s">
        <v>47113</v>
      </c>
      <c r="L20496">
        <v>30.94</v>
      </c>
      <c r="M20496">
        <v>66</v>
      </c>
      <c r="N20496">
        <v>0</v>
      </c>
      <c r="O20496">
        <v>66</v>
      </c>
      <c r="P20496">
        <v>0</v>
      </c>
    </row>
    <row r="20497" spans="1:16" x14ac:dyDescent="0.25">
      <c r="A20497" t="s">
        <v>43244</v>
      </c>
      <c r="B20497" t="s">
        <v>22061</v>
      </c>
      <c r="C20497" t="s">
        <v>22062</v>
      </c>
      <c r="D20497" t="str">
        <f>"3071"</f>
        <v>3071</v>
      </c>
      <c r="E20497" t="s">
        <v>19150</v>
      </c>
      <c r="F20497" t="s">
        <v>19559</v>
      </c>
      <c r="G20497" t="s">
        <v>47099</v>
      </c>
      <c r="H20497" t="s">
        <v>47054</v>
      </c>
      <c r="I20497" t="s">
        <v>47120</v>
      </c>
      <c r="J20497" t="s">
        <v>47121</v>
      </c>
      <c r="K20497" t="s">
        <v>47113</v>
      </c>
      <c r="L20497">
        <v>30.94</v>
      </c>
      <c r="M20497">
        <v>66</v>
      </c>
      <c r="N20497">
        <v>0</v>
      </c>
      <c r="O20497">
        <v>66</v>
      </c>
      <c r="P20497">
        <v>0</v>
      </c>
    </row>
    <row r="20498" spans="1:16" x14ac:dyDescent="0.25">
      <c r="A20498" t="s">
        <v>43245</v>
      </c>
      <c r="B20498" t="s">
        <v>22061</v>
      </c>
      <c r="C20498" t="s">
        <v>22062</v>
      </c>
      <c r="D20498" t="str">
        <f>"6149"</f>
        <v>6149</v>
      </c>
      <c r="E20498" t="s">
        <v>22063</v>
      </c>
      <c r="F20498" t="s">
        <v>19559</v>
      </c>
      <c r="G20498" t="s">
        <v>47099</v>
      </c>
      <c r="H20498" t="s">
        <v>47054</v>
      </c>
      <c r="I20498" t="s">
        <v>47120</v>
      </c>
      <c r="J20498" t="s">
        <v>47121</v>
      </c>
      <c r="K20498" t="s">
        <v>47113</v>
      </c>
      <c r="L20498">
        <v>30.94</v>
      </c>
      <c r="M20498">
        <v>66</v>
      </c>
      <c r="N20498">
        <v>0</v>
      </c>
      <c r="O20498">
        <v>66</v>
      </c>
      <c r="P20498">
        <v>0</v>
      </c>
    </row>
    <row r="20499" spans="1:16" x14ac:dyDescent="0.25">
      <c r="A20499" t="s">
        <v>43246</v>
      </c>
      <c r="B20499" t="s">
        <v>43247</v>
      </c>
      <c r="C20499" t="s">
        <v>22062</v>
      </c>
      <c r="D20499" t="str">
        <f>"1700"</f>
        <v>1700</v>
      </c>
      <c r="E20499" t="s">
        <v>18480</v>
      </c>
      <c r="F20499" t="s">
        <v>21627</v>
      </c>
      <c r="G20499" t="s">
        <v>47099</v>
      </c>
      <c r="H20499" t="s">
        <v>47054</v>
      </c>
      <c r="I20499" t="s">
        <v>47120</v>
      </c>
      <c r="J20499" t="s">
        <v>47121</v>
      </c>
      <c r="K20499" t="s">
        <v>47113</v>
      </c>
      <c r="L20499">
        <v>33.32</v>
      </c>
      <c r="M20499">
        <v>66</v>
      </c>
      <c r="N20499">
        <v>0</v>
      </c>
      <c r="O20499">
        <v>66</v>
      </c>
      <c r="P20499">
        <v>0</v>
      </c>
    </row>
    <row r="20500" spans="1:16" x14ac:dyDescent="0.25">
      <c r="A20500" t="s">
        <v>43248</v>
      </c>
      <c r="B20500" t="s">
        <v>22064</v>
      </c>
      <c r="C20500" t="s">
        <v>22065</v>
      </c>
      <c r="D20500" t="str">
        <f>"6149"</f>
        <v>6149</v>
      </c>
      <c r="E20500" t="s">
        <v>21630</v>
      </c>
      <c r="F20500" t="s">
        <v>19559</v>
      </c>
      <c r="G20500" t="s">
        <v>47102</v>
      </c>
      <c r="H20500" t="s">
        <v>47054</v>
      </c>
      <c r="I20500" t="s">
        <v>47118</v>
      </c>
      <c r="J20500" t="s">
        <v>47119</v>
      </c>
      <c r="K20500" t="s">
        <v>47113</v>
      </c>
      <c r="L20500">
        <v>140.82</v>
      </c>
      <c r="M20500">
        <v>346</v>
      </c>
      <c r="N20500">
        <v>0</v>
      </c>
      <c r="O20500">
        <v>346</v>
      </c>
      <c r="P20500">
        <v>0</v>
      </c>
    </row>
    <row r="20501" spans="1:16" x14ac:dyDescent="0.25">
      <c r="A20501" t="s">
        <v>43249</v>
      </c>
      <c r="B20501" t="s">
        <v>22066</v>
      </c>
      <c r="C20501" t="s">
        <v>22067</v>
      </c>
      <c r="D20501" t="str">
        <f>"1001"</f>
        <v>1001</v>
      </c>
      <c r="E20501" t="s">
        <v>42</v>
      </c>
      <c r="F20501" t="s">
        <v>19878</v>
      </c>
      <c r="G20501" t="s">
        <v>47102</v>
      </c>
      <c r="H20501" t="s">
        <v>47054</v>
      </c>
      <c r="I20501" t="s">
        <v>47118</v>
      </c>
      <c r="J20501" t="s">
        <v>47119</v>
      </c>
      <c r="K20501" t="s">
        <v>47113</v>
      </c>
      <c r="L20501">
        <v>136.12</v>
      </c>
      <c r="M20501">
        <v>277</v>
      </c>
      <c r="N20501">
        <v>0</v>
      </c>
      <c r="O20501">
        <v>277</v>
      </c>
      <c r="P20501">
        <v>0</v>
      </c>
    </row>
    <row r="20502" spans="1:16" x14ac:dyDescent="0.25">
      <c r="A20502" t="s">
        <v>43250</v>
      </c>
      <c r="B20502" t="s">
        <v>22068</v>
      </c>
      <c r="C20502" t="s">
        <v>22069</v>
      </c>
      <c r="D20502" t="str">
        <f>"7003"</f>
        <v>7003</v>
      </c>
      <c r="E20502" t="s">
        <v>22039</v>
      </c>
      <c r="F20502" t="s">
        <v>19552</v>
      </c>
      <c r="G20502" t="s">
        <v>47101</v>
      </c>
      <c r="H20502" t="s">
        <v>47054</v>
      </c>
      <c r="I20502" t="s">
        <v>47118</v>
      </c>
      <c r="J20502" t="s">
        <v>47119</v>
      </c>
      <c r="K20502" t="s">
        <v>47113</v>
      </c>
      <c r="L20502">
        <v>28.02</v>
      </c>
      <c r="M20502">
        <v>66</v>
      </c>
      <c r="N20502">
        <v>0</v>
      </c>
      <c r="O20502">
        <v>66</v>
      </c>
      <c r="P20502">
        <v>0</v>
      </c>
    </row>
    <row r="20503" spans="1:16" x14ac:dyDescent="0.25">
      <c r="A20503" t="s">
        <v>43251</v>
      </c>
      <c r="B20503" t="s">
        <v>22070</v>
      </c>
      <c r="C20503" t="s">
        <v>21447</v>
      </c>
      <c r="D20503" t="s">
        <v>22071</v>
      </c>
      <c r="E20503" t="s">
        <v>22072</v>
      </c>
      <c r="F20503" t="s">
        <v>16623</v>
      </c>
      <c r="G20503" t="s">
        <v>47093</v>
      </c>
      <c r="H20503" t="s">
        <v>47054</v>
      </c>
      <c r="I20503" t="s">
        <v>47111</v>
      </c>
      <c r="J20503" t="s">
        <v>47112</v>
      </c>
      <c r="K20503" t="s">
        <v>47113</v>
      </c>
      <c r="L20503">
        <v>53.83</v>
      </c>
      <c r="M20503">
        <v>122</v>
      </c>
      <c r="N20503">
        <v>0</v>
      </c>
      <c r="O20503">
        <v>122</v>
      </c>
      <c r="P20503">
        <v>0</v>
      </c>
    </row>
    <row r="20504" spans="1:16" x14ac:dyDescent="0.25">
      <c r="A20504" t="s">
        <v>43252</v>
      </c>
      <c r="B20504" t="s">
        <v>22073</v>
      </c>
      <c r="C20504" t="s">
        <v>22074</v>
      </c>
      <c r="D20504" t="s">
        <v>21289</v>
      </c>
      <c r="E20504" t="s">
        <v>21290</v>
      </c>
      <c r="F20504" t="s">
        <v>19559</v>
      </c>
      <c r="G20504" t="s">
        <v>47093</v>
      </c>
      <c r="H20504" t="s">
        <v>47054</v>
      </c>
      <c r="I20504" t="s">
        <v>47116</v>
      </c>
      <c r="J20504" t="s">
        <v>47117</v>
      </c>
      <c r="K20504" t="s">
        <v>47113</v>
      </c>
      <c r="L20504">
        <v>44.83</v>
      </c>
      <c r="M20504">
        <v>92</v>
      </c>
      <c r="N20504">
        <v>0</v>
      </c>
      <c r="O20504">
        <v>92</v>
      </c>
      <c r="P20504">
        <v>0</v>
      </c>
    </row>
    <row r="20505" spans="1:16" x14ac:dyDescent="0.25">
      <c r="A20505" t="s">
        <v>43253</v>
      </c>
      <c r="B20505" t="s">
        <v>43254</v>
      </c>
      <c r="C20505" t="s">
        <v>16432</v>
      </c>
      <c r="D20505" t="str">
        <f>"5000"</f>
        <v>5000</v>
      </c>
      <c r="E20505" t="s">
        <v>43255</v>
      </c>
      <c r="F20505" t="s">
        <v>20496</v>
      </c>
      <c r="G20505" t="s">
        <v>47099</v>
      </c>
      <c r="H20505" t="s">
        <v>47054</v>
      </c>
      <c r="I20505" t="s">
        <v>47120</v>
      </c>
      <c r="J20505" t="s">
        <v>47121</v>
      </c>
      <c r="K20505" t="s">
        <v>47113</v>
      </c>
      <c r="L20505">
        <v>36.15</v>
      </c>
      <c r="M20505">
        <v>70</v>
      </c>
      <c r="N20505">
        <v>0</v>
      </c>
      <c r="O20505">
        <v>70</v>
      </c>
      <c r="P20505">
        <v>0</v>
      </c>
    </row>
    <row r="20506" spans="1:16" x14ac:dyDescent="0.25">
      <c r="A20506" t="s">
        <v>43256</v>
      </c>
      <c r="B20506" t="s">
        <v>43254</v>
      </c>
      <c r="C20506" t="s">
        <v>16432</v>
      </c>
      <c r="D20506" t="str">
        <f>"6387"</f>
        <v>6387</v>
      </c>
      <c r="E20506" t="s">
        <v>43257</v>
      </c>
      <c r="F20506" t="s">
        <v>20496</v>
      </c>
      <c r="G20506" t="s">
        <v>47099</v>
      </c>
      <c r="H20506" t="s">
        <v>47054</v>
      </c>
      <c r="I20506" t="s">
        <v>47120</v>
      </c>
      <c r="J20506" t="s">
        <v>47121</v>
      </c>
      <c r="K20506" t="s">
        <v>47113</v>
      </c>
      <c r="L20506">
        <v>36.15</v>
      </c>
      <c r="M20506">
        <v>89</v>
      </c>
      <c r="N20506">
        <v>0</v>
      </c>
      <c r="O20506">
        <v>89</v>
      </c>
      <c r="P20506">
        <v>0</v>
      </c>
    </row>
    <row r="20507" spans="1:16" x14ac:dyDescent="0.25">
      <c r="A20507" t="s">
        <v>43258</v>
      </c>
      <c r="B20507" t="s">
        <v>43254</v>
      </c>
      <c r="C20507" t="s">
        <v>16432</v>
      </c>
      <c r="D20507" t="str">
        <f>"6404"</f>
        <v>6404</v>
      </c>
      <c r="E20507" t="s">
        <v>43259</v>
      </c>
      <c r="F20507" t="s">
        <v>20496</v>
      </c>
      <c r="G20507" t="s">
        <v>47099</v>
      </c>
      <c r="H20507" t="s">
        <v>47054</v>
      </c>
      <c r="I20507" t="s">
        <v>47120</v>
      </c>
      <c r="J20507" t="s">
        <v>47121</v>
      </c>
      <c r="K20507" t="s">
        <v>47113</v>
      </c>
      <c r="L20507">
        <v>36.15</v>
      </c>
      <c r="M20507">
        <v>70</v>
      </c>
      <c r="N20507">
        <v>0</v>
      </c>
      <c r="O20507">
        <v>70</v>
      </c>
      <c r="P20507">
        <v>0</v>
      </c>
    </row>
    <row r="20508" spans="1:16" x14ac:dyDescent="0.25">
      <c r="A20508" t="s">
        <v>43260</v>
      </c>
      <c r="B20508" t="s">
        <v>43261</v>
      </c>
      <c r="C20508" t="s">
        <v>43262</v>
      </c>
      <c r="D20508" t="s">
        <v>42251</v>
      </c>
      <c r="E20508" t="s">
        <v>42252</v>
      </c>
      <c r="F20508" t="s">
        <v>24617</v>
      </c>
      <c r="G20508" t="s">
        <v>47098</v>
      </c>
      <c r="H20508" t="s">
        <v>47054</v>
      </c>
      <c r="I20508" t="s">
        <v>47120</v>
      </c>
      <c r="J20508" t="s">
        <v>47121</v>
      </c>
      <c r="K20508" t="s">
        <v>47113</v>
      </c>
      <c r="L20508">
        <v>35.549999999999997</v>
      </c>
      <c r="M20508">
        <v>92</v>
      </c>
      <c r="N20508">
        <v>249</v>
      </c>
      <c r="O20508">
        <v>92</v>
      </c>
      <c r="P20508">
        <v>249</v>
      </c>
    </row>
    <row r="20509" spans="1:16" x14ac:dyDescent="0.25">
      <c r="A20509" t="s">
        <v>43263</v>
      </c>
      <c r="B20509" t="s">
        <v>43264</v>
      </c>
      <c r="C20509" t="s">
        <v>43262</v>
      </c>
      <c r="D20509" t="s">
        <v>42048</v>
      </c>
      <c r="E20509" t="s">
        <v>42049</v>
      </c>
      <c r="F20509" t="s">
        <v>21629</v>
      </c>
      <c r="G20509" t="s">
        <v>47098</v>
      </c>
      <c r="H20509" t="s">
        <v>47054</v>
      </c>
      <c r="I20509" t="s">
        <v>47544</v>
      </c>
      <c r="J20509" t="s">
        <v>47545</v>
      </c>
      <c r="K20509" t="s">
        <v>47113</v>
      </c>
      <c r="L20509">
        <v>50.5</v>
      </c>
      <c r="M20509">
        <v>111</v>
      </c>
      <c r="N20509">
        <v>0</v>
      </c>
      <c r="O20509">
        <v>111</v>
      </c>
      <c r="P20509">
        <v>0</v>
      </c>
    </row>
    <row r="20510" spans="1:16" x14ac:dyDescent="0.25">
      <c r="A20510" t="s">
        <v>43265</v>
      </c>
      <c r="B20510" t="s">
        <v>43266</v>
      </c>
      <c r="C20510" t="s">
        <v>43267</v>
      </c>
      <c r="D20510" t="str">
        <f>"11"</f>
        <v>11</v>
      </c>
      <c r="E20510" t="s">
        <v>288</v>
      </c>
      <c r="F20510" t="s">
        <v>21629</v>
      </c>
      <c r="G20510" t="s">
        <v>47098</v>
      </c>
      <c r="H20510" t="s">
        <v>47054</v>
      </c>
      <c r="I20510" t="s">
        <v>47544</v>
      </c>
      <c r="J20510" t="s">
        <v>47545</v>
      </c>
      <c r="K20510" t="s">
        <v>47113</v>
      </c>
      <c r="L20510">
        <v>34.119999999999997</v>
      </c>
      <c r="M20510">
        <v>85</v>
      </c>
      <c r="N20510">
        <v>229</v>
      </c>
      <c r="O20510">
        <v>85</v>
      </c>
      <c r="P20510">
        <v>229</v>
      </c>
    </row>
    <row r="20511" spans="1:16" x14ac:dyDescent="0.25">
      <c r="A20511" t="s">
        <v>43268</v>
      </c>
      <c r="B20511" t="s">
        <v>43269</v>
      </c>
      <c r="C20511" t="s">
        <v>43270</v>
      </c>
      <c r="D20511" t="str">
        <f>"1106"</f>
        <v>1106</v>
      </c>
      <c r="E20511" t="s">
        <v>42</v>
      </c>
      <c r="F20511" t="s">
        <v>20496</v>
      </c>
      <c r="G20511" t="s">
        <v>47098</v>
      </c>
      <c r="H20511" t="s">
        <v>47054</v>
      </c>
      <c r="I20511" t="s">
        <v>47120</v>
      </c>
      <c r="J20511" t="s">
        <v>47121</v>
      </c>
      <c r="K20511" t="s">
        <v>47113</v>
      </c>
      <c r="L20511">
        <v>97.38</v>
      </c>
      <c r="M20511">
        <v>240</v>
      </c>
      <c r="N20511">
        <v>0</v>
      </c>
      <c r="O20511">
        <v>240</v>
      </c>
      <c r="P20511">
        <v>0</v>
      </c>
    </row>
    <row r="20512" spans="1:16" x14ac:dyDescent="0.25">
      <c r="A20512" t="s">
        <v>22933</v>
      </c>
      <c r="B20512" t="s">
        <v>22075</v>
      </c>
      <c r="C20512" t="s">
        <v>22076</v>
      </c>
      <c r="D20512" t="str">
        <f>"1106"</f>
        <v>1106</v>
      </c>
      <c r="E20512" t="s">
        <v>460</v>
      </c>
      <c r="F20512" t="s">
        <v>19878</v>
      </c>
      <c r="G20512" t="s">
        <v>47102</v>
      </c>
      <c r="H20512" t="s">
        <v>47054</v>
      </c>
      <c r="I20512" t="s">
        <v>47120</v>
      </c>
      <c r="J20512" t="s">
        <v>47121</v>
      </c>
      <c r="K20512" t="s">
        <v>47113</v>
      </c>
      <c r="L20512">
        <v>63.98</v>
      </c>
      <c r="M20512">
        <v>129</v>
      </c>
      <c r="N20512">
        <v>0</v>
      </c>
      <c r="O20512">
        <v>129</v>
      </c>
      <c r="P20512">
        <v>0</v>
      </c>
    </row>
    <row r="20513" spans="1:16" x14ac:dyDescent="0.25">
      <c r="A20513" t="s">
        <v>43271</v>
      </c>
      <c r="B20513" t="s">
        <v>43272</v>
      </c>
      <c r="C20513" t="s">
        <v>43273</v>
      </c>
      <c r="D20513" t="str">
        <f>"1106"</f>
        <v>1106</v>
      </c>
      <c r="E20513" t="s">
        <v>460</v>
      </c>
      <c r="F20513" t="s">
        <v>20496</v>
      </c>
      <c r="G20513" t="s">
        <v>47101</v>
      </c>
      <c r="H20513" t="s">
        <v>47054</v>
      </c>
      <c r="I20513" t="s">
        <v>47118</v>
      </c>
      <c r="J20513" t="s">
        <v>47119</v>
      </c>
      <c r="K20513" t="s">
        <v>47113</v>
      </c>
      <c r="L20513">
        <v>20.95</v>
      </c>
      <c r="M20513">
        <v>66</v>
      </c>
      <c r="N20513">
        <v>0</v>
      </c>
      <c r="O20513">
        <v>66</v>
      </c>
      <c r="P20513">
        <v>0</v>
      </c>
    </row>
    <row r="20514" spans="1:16" x14ac:dyDescent="0.25">
      <c r="A20514" t="s">
        <v>43274</v>
      </c>
      <c r="B20514" t="s">
        <v>43272</v>
      </c>
      <c r="C20514" t="s">
        <v>43273</v>
      </c>
      <c r="D20514" t="str">
        <f>"6387"</f>
        <v>6387</v>
      </c>
      <c r="E20514" t="s">
        <v>6010</v>
      </c>
      <c r="F20514" t="s">
        <v>20496</v>
      </c>
      <c r="G20514" t="s">
        <v>47101</v>
      </c>
      <c r="H20514" t="s">
        <v>47054</v>
      </c>
      <c r="I20514" t="s">
        <v>47118</v>
      </c>
      <c r="J20514" t="s">
        <v>47119</v>
      </c>
      <c r="K20514" t="s">
        <v>47113</v>
      </c>
      <c r="L20514">
        <v>20.95</v>
      </c>
      <c r="M20514">
        <v>66</v>
      </c>
      <c r="N20514">
        <v>0</v>
      </c>
      <c r="O20514">
        <v>66</v>
      </c>
      <c r="P20514">
        <v>0</v>
      </c>
    </row>
    <row r="20515" spans="1:16" x14ac:dyDescent="0.25">
      <c r="A20515" t="s">
        <v>43275</v>
      </c>
      <c r="B20515" t="s">
        <v>43276</v>
      </c>
      <c r="C20515" t="s">
        <v>43277</v>
      </c>
      <c r="D20515" t="str">
        <f>"1106"</f>
        <v>1106</v>
      </c>
      <c r="E20515" t="s">
        <v>460</v>
      </c>
      <c r="F20515" t="s">
        <v>21629</v>
      </c>
      <c r="G20515" t="s">
        <v>47101</v>
      </c>
      <c r="H20515" t="s">
        <v>47054</v>
      </c>
      <c r="I20515" t="s">
        <v>47118</v>
      </c>
      <c r="J20515" t="s">
        <v>47119</v>
      </c>
      <c r="K20515" t="s">
        <v>47113</v>
      </c>
      <c r="L20515">
        <v>44.72</v>
      </c>
      <c r="M20515">
        <v>111</v>
      </c>
      <c r="N20515">
        <v>0</v>
      </c>
      <c r="O20515">
        <v>111</v>
      </c>
      <c r="P20515">
        <v>0</v>
      </c>
    </row>
    <row r="20516" spans="1:16" x14ac:dyDescent="0.25">
      <c r="A20516" t="s">
        <v>43278</v>
      </c>
      <c r="B20516" t="s">
        <v>43279</v>
      </c>
      <c r="C20516" t="s">
        <v>42841</v>
      </c>
      <c r="D20516" t="str">
        <f>"1700"</f>
        <v>1700</v>
      </c>
      <c r="E20516" t="s">
        <v>18480</v>
      </c>
      <c r="F20516" t="s">
        <v>21627</v>
      </c>
      <c r="G20516" t="s">
        <v>47099</v>
      </c>
      <c r="H20516" t="s">
        <v>47054</v>
      </c>
      <c r="I20516" t="s">
        <v>47120</v>
      </c>
      <c r="J20516" t="s">
        <v>47121</v>
      </c>
      <c r="K20516" t="s">
        <v>47113</v>
      </c>
      <c r="L20516">
        <v>34.46</v>
      </c>
      <c r="M20516">
        <v>74</v>
      </c>
      <c r="N20516">
        <v>0</v>
      </c>
      <c r="O20516">
        <v>74</v>
      </c>
      <c r="P20516">
        <v>0</v>
      </c>
    </row>
    <row r="20517" spans="1:16" x14ac:dyDescent="0.25">
      <c r="A20517" t="s">
        <v>43280</v>
      </c>
      <c r="B20517" t="s">
        <v>43281</v>
      </c>
      <c r="C20517" t="s">
        <v>43262</v>
      </c>
      <c r="D20517" t="s">
        <v>43282</v>
      </c>
      <c r="E20517" t="s">
        <v>43283</v>
      </c>
      <c r="F20517" t="s">
        <v>20496</v>
      </c>
      <c r="G20517" t="s">
        <v>47098</v>
      </c>
      <c r="H20517" t="s">
        <v>47054</v>
      </c>
      <c r="I20517" t="s">
        <v>47120</v>
      </c>
      <c r="J20517" t="s">
        <v>47121</v>
      </c>
      <c r="K20517" t="s">
        <v>47113</v>
      </c>
      <c r="L20517">
        <v>41.92</v>
      </c>
      <c r="M20517">
        <v>92</v>
      </c>
      <c r="N20517">
        <v>0</v>
      </c>
      <c r="O20517">
        <v>92</v>
      </c>
      <c r="P20517">
        <v>0</v>
      </c>
    </row>
    <row r="20518" spans="1:16" x14ac:dyDescent="0.25">
      <c r="A20518" t="s">
        <v>43284</v>
      </c>
      <c r="B20518" t="s">
        <v>43285</v>
      </c>
      <c r="C20518" t="s">
        <v>43286</v>
      </c>
      <c r="D20518" t="s">
        <v>43287</v>
      </c>
      <c r="E20518" t="s">
        <v>43288</v>
      </c>
      <c r="F20518" t="s">
        <v>20496</v>
      </c>
      <c r="G20518" t="s">
        <v>47103</v>
      </c>
      <c r="H20518" t="s">
        <v>47054</v>
      </c>
      <c r="I20518" t="s">
        <v>47120</v>
      </c>
      <c r="J20518" t="s">
        <v>47121</v>
      </c>
      <c r="K20518" t="s">
        <v>47113</v>
      </c>
      <c r="L20518">
        <v>29.31</v>
      </c>
      <c r="M20518">
        <v>66</v>
      </c>
      <c r="N20518">
        <v>0</v>
      </c>
      <c r="O20518">
        <v>66</v>
      </c>
      <c r="P20518">
        <v>0</v>
      </c>
    </row>
    <row r="20519" spans="1:16" x14ac:dyDescent="0.25">
      <c r="A20519" t="s">
        <v>49430</v>
      </c>
      <c r="B20519" t="s">
        <v>49431</v>
      </c>
      <c r="C20519" t="s">
        <v>10606</v>
      </c>
      <c r="D20519" t="str">
        <f>"1700"</f>
        <v>1700</v>
      </c>
      <c r="E20519" t="s">
        <v>49432</v>
      </c>
      <c r="F20519" t="s">
        <v>47163</v>
      </c>
      <c r="G20519" t="s">
        <v>47093</v>
      </c>
      <c r="H20519" t="s">
        <v>47054</v>
      </c>
      <c r="I20519" t="s">
        <v>47544</v>
      </c>
      <c r="J20519" t="s">
        <v>47545</v>
      </c>
      <c r="K20519" t="s">
        <v>47113</v>
      </c>
      <c r="L20519">
        <v>33.03</v>
      </c>
      <c r="M20519">
        <v>92</v>
      </c>
      <c r="N20519">
        <v>249</v>
      </c>
      <c r="O20519">
        <v>92</v>
      </c>
      <c r="P20519">
        <v>249</v>
      </c>
    </row>
    <row r="20520" spans="1:16" x14ac:dyDescent="0.25">
      <c r="A20520" t="s">
        <v>49433</v>
      </c>
      <c r="B20520" t="s">
        <v>49434</v>
      </c>
      <c r="C20520" t="s">
        <v>49435</v>
      </c>
      <c r="D20520" t="s">
        <v>49436</v>
      </c>
      <c r="E20520" t="s">
        <v>49437</v>
      </c>
      <c r="F20520" t="s">
        <v>47163</v>
      </c>
      <c r="G20520" t="s">
        <v>47093</v>
      </c>
      <c r="H20520" t="s">
        <v>47054</v>
      </c>
      <c r="I20520" t="s">
        <v>47544</v>
      </c>
      <c r="J20520" t="s">
        <v>47545</v>
      </c>
      <c r="K20520" t="s">
        <v>47113</v>
      </c>
      <c r="L20520">
        <v>31.89</v>
      </c>
      <c r="M20520">
        <v>92</v>
      </c>
      <c r="N20520">
        <v>249</v>
      </c>
      <c r="O20520">
        <v>92</v>
      </c>
      <c r="P20520">
        <v>249</v>
      </c>
    </row>
    <row r="20521" spans="1:16" x14ac:dyDescent="0.25">
      <c r="A20521" t="s">
        <v>49438</v>
      </c>
      <c r="B20521" t="s">
        <v>49439</v>
      </c>
      <c r="C20521" t="s">
        <v>49440</v>
      </c>
      <c r="D20521" t="s">
        <v>47860</v>
      </c>
      <c r="E20521" t="s">
        <v>47861</v>
      </c>
      <c r="F20521" t="s">
        <v>47488</v>
      </c>
      <c r="G20521" t="s">
        <v>47093</v>
      </c>
      <c r="H20521" t="s">
        <v>47054</v>
      </c>
      <c r="I20521" t="s">
        <v>47120</v>
      </c>
      <c r="J20521" t="s">
        <v>47121</v>
      </c>
      <c r="K20521" t="s">
        <v>47113</v>
      </c>
      <c r="L20521">
        <v>44.69</v>
      </c>
      <c r="M20521">
        <v>111</v>
      </c>
      <c r="N20521">
        <v>299</v>
      </c>
      <c r="O20521">
        <v>111</v>
      </c>
      <c r="P20521">
        <v>299</v>
      </c>
    </row>
    <row r="20522" spans="1:16" x14ac:dyDescent="0.25">
      <c r="A20522" t="s">
        <v>49441</v>
      </c>
      <c r="B20522" t="s">
        <v>49442</v>
      </c>
      <c r="C20522" t="s">
        <v>49443</v>
      </c>
      <c r="D20522" t="s">
        <v>49444</v>
      </c>
      <c r="E20522" t="s">
        <v>49445</v>
      </c>
      <c r="F20522" t="s">
        <v>47488</v>
      </c>
      <c r="G20522" t="s">
        <v>47093</v>
      </c>
      <c r="H20522" t="s">
        <v>47054</v>
      </c>
      <c r="I20522" t="s">
        <v>47116</v>
      </c>
      <c r="J20522" t="s">
        <v>47117</v>
      </c>
      <c r="K20522" t="s">
        <v>47113</v>
      </c>
      <c r="L20522">
        <v>65.81</v>
      </c>
      <c r="M20522">
        <v>166</v>
      </c>
      <c r="N20522">
        <v>449</v>
      </c>
      <c r="O20522">
        <v>166</v>
      </c>
      <c r="P20522">
        <v>449</v>
      </c>
    </row>
    <row r="20523" spans="1:16" x14ac:dyDescent="0.25">
      <c r="A20523" t="s">
        <v>43289</v>
      </c>
      <c r="B20523" t="s">
        <v>43290</v>
      </c>
      <c r="C20523" t="s">
        <v>10614</v>
      </c>
      <c r="D20523" t="str">
        <f>"1001"</f>
        <v>1001</v>
      </c>
      <c r="E20523" t="s">
        <v>18567</v>
      </c>
      <c r="F20523" t="s">
        <v>21629</v>
      </c>
      <c r="G20523" t="s">
        <v>47093</v>
      </c>
      <c r="H20523" t="s">
        <v>47054</v>
      </c>
      <c r="I20523" t="s">
        <v>47111</v>
      </c>
      <c r="J20523" t="s">
        <v>47112</v>
      </c>
      <c r="K20523" t="s">
        <v>47113</v>
      </c>
      <c r="L20523">
        <v>43.76</v>
      </c>
      <c r="M20523">
        <v>103</v>
      </c>
      <c r="N20523">
        <v>279</v>
      </c>
      <c r="O20523">
        <v>103</v>
      </c>
      <c r="P20523">
        <v>279</v>
      </c>
    </row>
    <row r="20524" spans="1:16" x14ac:dyDescent="0.25">
      <c r="A20524" t="s">
        <v>43291</v>
      </c>
      <c r="B20524" t="s">
        <v>43292</v>
      </c>
      <c r="C20524" t="s">
        <v>16434</v>
      </c>
      <c r="D20524" t="s">
        <v>41945</v>
      </c>
      <c r="E20524" t="s">
        <v>41946</v>
      </c>
      <c r="F20524" t="s">
        <v>24622</v>
      </c>
      <c r="G20524" t="s">
        <v>47093</v>
      </c>
      <c r="H20524" t="s">
        <v>47054</v>
      </c>
      <c r="I20524" t="s">
        <v>47120</v>
      </c>
      <c r="J20524" t="s">
        <v>47121</v>
      </c>
      <c r="K20524" t="s">
        <v>47113</v>
      </c>
      <c r="L20524">
        <v>29.92</v>
      </c>
      <c r="M20524">
        <v>111</v>
      </c>
      <c r="N20524">
        <v>299</v>
      </c>
      <c r="O20524">
        <v>111</v>
      </c>
      <c r="P20524">
        <v>299</v>
      </c>
    </row>
    <row r="20525" spans="1:16" x14ac:dyDescent="0.25">
      <c r="A20525" t="s">
        <v>49446</v>
      </c>
      <c r="B20525" t="s">
        <v>49447</v>
      </c>
      <c r="C20525" t="s">
        <v>10614</v>
      </c>
      <c r="D20525" t="s">
        <v>49448</v>
      </c>
      <c r="E20525" t="s">
        <v>49449</v>
      </c>
      <c r="F20525" t="s">
        <v>47479</v>
      </c>
      <c r="G20525" t="s">
        <v>47093</v>
      </c>
      <c r="H20525" t="s">
        <v>47054</v>
      </c>
      <c r="I20525" t="s">
        <v>47544</v>
      </c>
      <c r="J20525" t="s">
        <v>47545</v>
      </c>
      <c r="K20525" t="s">
        <v>47113</v>
      </c>
      <c r="L20525">
        <v>40.92</v>
      </c>
      <c r="M20525">
        <v>111</v>
      </c>
      <c r="N20525">
        <v>299</v>
      </c>
      <c r="O20525">
        <v>111</v>
      </c>
      <c r="P20525">
        <v>299</v>
      </c>
    </row>
    <row r="20526" spans="1:16" x14ac:dyDescent="0.25">
      <c r="A20526" t="s">
        <v>49450</v>
      </c>
      <c r="B20526" t="s">
        <v>49451</v>
      </c>
      <c r="C20526" t="s">
        <v>10614</v>
      </c>
      <c r="D20526" t="s">
        <v>49452</v>
      </c>
      <c r="E20526" t="s">
        <v>49453</v>
      </c>
      <c r="F20526" t="s">
        <v>31484</v>
      </c>
      <c r="G20526" t="s">
        <v>47093</v>
      </c>
      <c r="H20526" t="s">
        <v>47054</v>
      </c>
      <c r="I20526" t="s">
        <v>47120</v>
      </c>
      <c r="J20526" t="s">
        <v>47121</v>
      </c>
      <c r="K20526" t="s">
        <v>47113</v>
      </c>
      <c r="L20526">
        <v>35.1</v>
      </c>
      <c r="M20526">
        <v>74</v>
      </c>
      <c r="N20526">
        <v>199</v>
      </c>
      <c r="O20526">
        <v>74</v>
      </c>
      <c r="P20526">
        <v>199</v>
      </c>
    </row>
    <row r="20527" spans="1:16" x14ac:dyDescent="0.25">
      <c r="A20527" t="s">
        <v>43293</v>
      </c>
      <c r="B20527" t="s">
        <v>43294</v>
      </c>
      <c r="C20527" t="s">
        <v>43295</v>
      </c>
      <c r="D20527" t="s">
        <v>31526</v>
      </c>
      <c r="E20527" t="s">
        <v>31527</v>
      </c>
      <c r="F20527" t="s">
        <v>19559</v>
      </c>
      <c r="G20527" t="s">
        <v>47093</v>
      </c>
      <c r="H20527" t="s">
        <v>47054</v>
      </c>
      <c r="I20527" t="s">
        <v>47111</v>
      </c>
      <c r="J20527" t="s">
        <v>47112</v>
      </c>
      <c r="K20527" t="s">
        <v>47113</v>
      </c>
      <c r="L20527">
        <v>129.63</v>
      </c>
      <c r="M20527">
        <v>222</v>
      </c>
      <c r="N20527">
        <v>599</v>
      </c>
      <c r="O20527">
        <v>222</v>
      </c>
      <c r="P20527">
        <v>599</v>
      </c>
    </row>
    <row r="20528" spans="1:16" x14ac:dyDescent="0.25">
      <c r="A20528" t="s">
        <v>43296</v>
      </c>
      <c r="B20528" t="s">
        <v>43297</v>
      </c>
      <c r="C20528" t="s">
        <v>43298</v>
      </c>
      <c r="D20528" t="s">
        <v>43299</v>
      </c>
      <c r="E20528" t="s">
        <v>43300</v>
      </c>
      <c r="F20528" t="s">
        <v>20496</v>
      </c>
      <c r="G20528" t="s">
        <v>47093</v>
      </c>
      <c r="H20528" t="s">
        <v>47054</v>
      </c>
      <c r="I20528" t="s">
        <v>47544</v>
      </c>
      <c r="J20528" t="s">
        <v>47545</v>
      </c>
      <c r="K20528" t="s">
        <v>47113</v>
      </c>
      <c r="L20528">
        <v>18.829999999999998</v>
      </c>
      <c r="M20528">
        <v>70</v>
      </c>
      <c r="N20528">
        <v>189</v>
      </c>
      <c r="O20528">
        <v>70</v>
      </c>
      <c r="P20528">
        <v>189</v>
      </c>
    </row>
    <row r="20529" spans="1:16" x14ac:dyDescent="0.25">
      <c r="A20529" t="s">
        <v>49454</v>
      </c>
      <c r="B20529" t="s">
        <v>49455</v>
      </c>
      <c r="C20529" t="s">
        <v>43671</v>
      </c>
      <c r="D20529" t="s">
        <v>49456</v>
      </c>
      <c r="E20529" t="s">
        <v>49457</v>
      </c>
      <c r="F20529" t="s">
        <v>47171</v>
      </c>
      <c r="G20529" t="s">
        <v>47093</v>
      </c>
      <c r="H20529" t="s">
        <v>47054</v>
      </c>
      <c r="I20529" t="s">
        <v>47116</v>
      </c>
      <c r="J20529" t="s">
        <v>47117</v>
      </c>
      <c r="K20529" t="s">
        <v>47113</v>
      </c>
      <c r="L20529">
        <v>62.78</v>
      </c>
      <c r="M20529">
        <v>148</v>
      </c>
      <c r="N20529">
        <v>399</v>
      </c>
      <c r="O20529">
        <v>148</v>
      </c>
      <c r="P20529">
        <v>399</v>
      </c>
    </row>
    <row r="20530" spans="1:16" x14ac:dyDescent="0.25">
      <c r="A20530" t="s">
        <v>49458</v>
      </c>
      <c r="B20530" t="s">
        <v>49459</v>
      </c>
      <c r="C20530" t="s">
        <v>49460</v>
      </c>
      <c r="D20530" t="s">
        <v>49461</v>
      </c>
      <c r="E20530" t="s">
        <v>49462</v>
      </c>
      <c r="F20530" t="s">
        <v>46687</v>
      </c>
      <c r="G20530" t="s">
        <v>47093</v>
      </c>
      <c r="H20530" t="s">
        <v>47054</v>
      </c>
      <c r="I20530" t="s">
        <v>47544</v>
      </c>
      <c r="J20530" t="s">
        <v>47545</v>
      </c>
      <c r="K20530" t="s">
        <v>47113</v>
      </c>
      <c r="L20530">
        <v>28.28</v>
      </c>
      <c r="M20530">
        <v>92</v>
      </c>
      <c r="N20530">
        <v>249</v>
      </c>
      <c r="O20530">
        <v>92</v>
      </c>
      <c r="P20530">
        <v>249</v>
      </c>
    </row>
    <row r="20531" spans="1:16" x14ac:dyDescent="0.25">
      <c r="A20531" t="s">
        <v>49463</v>
      </c>
      <c r="B20531" t="s">
        <v>49464</v>
      </c>
      <c r="C20531" t="s">
        <v>21870</v>
      </c>
      <c r="D20531" t="s">
        <v>49465</v>
      </c>
      <c r="E20531" t="s">
        <v>49466</v>
      </c>
      <c r="F20531" t="s">
        <v>47171</v>
      </c>
      <c r="G20531" t="s">
        <v>47093</v>
      </c>
      <c r="H20531" t="s">
        <v>47054</v>
      </c>
      <c r="I20531" t="s">
        <v>47116</v>
      </c>
      <c r="J20531" t="s">
        <v>47117</v>
      </c>
      <c r="K20531" t="s">
        <v>47113</v>
      </c>
      <c r="L20531">
        <v>43.19</v>
      </c>
      <c r="M20531">
        <v>111</v>
      </c>
      <c r="N20531">
        <v>299</v>
      </c>
      <c r="O20531">
        <v>111</v>
      </c>
      <c r="P20531">
        <v>299</v>
      </c>
    </row>
    <row r="20532" spans="1:16" x14ac:dyDescent="0.25">
      <c r="A20532" t="s">
        <v>49467</v>
      </c>
      <c r="B20532" t="s">
        <v>49468</v>
      </c>
      <c r="C20532" t="s">
        <v>10599</v>
      </c>
      <c r="D20532" t="s">
        <v>49469</v>
      </c>
      <c r="E20532" t="s">
        <v>49470</v>
      </c>
      <c r="F20532" t="s">
        <v>47185</v>
      </c>
      <c r="G20532" t="s">
        <v>47093</v>
      </c>
      <c r="H20532" t="s">
        <v>47054</v>
      </c>
      <c r="I20532" t="s">
        <v>47120</v>
      </c>
      <c r="J20532" t="s">
        <v>47121</v>
      </c>
      <c r="K20532" t="s">
        <v>47113</v>
      </c>
      <c r="L20532">
        <v>31.92</v>
      </c>
      <c r="M20532">
        <v>81</v>
      </c>
      <c r="N20532">
        <v>219</v>
      </c>
      <c r="O20532">
        <v>81</v>
      </c>
      <c r="P20532">
        <v>219</v>
      </c>
    </row>
    <row r="20533" spans="1:16" x14ac:dyDescent="0.25">
      <c r="A20533" t="s">
        <v>43301</v>
      </c>
      <c r="B20533" t="s">
        <v>43302</v>
      </c>
      <c r="C20533" t="s">
        <v>42102</v>
      </c>
      <c r="D20533" t="s">
        <v>31491</v>
      </c>
      <c r="E20533" t="s">
        <v>31492</v>
      </c>
      <c r="F20533" t="s">
        <v>19559</v>
      </c>
      <c r="G20533" t="s">
        <v>47093</v>
      </c>
      <c r="H20533" t="s">
        <v>47054</v>
      </c>
      <c r="I20533" t="s">
        <v>47111</v>
      </c>
      <c r="J20533" t="s">
        <v>47112</v>
      </c>
      <c r="K20533" t="s">
        <v>47113</v>
      </c>
      <c r="L20533">
        <v>129.63</v>
      </c>
      <c r="M20533">
        <v>222</v>
      </c>
      <c r="N20533">
        <v>599</v>
      </c>
      <c r="O20533">
        <v>222</v>
      </c>
      <c r="P20533">
        <v>599</v>
      </c>
    </row>
    <row r="20534" spans="1:16" x14ac:dyDescent="0.25">
      <c r="A20534" t="s">
        <v>43303</v>
      </c>
      <c r="B20534" t="s">
        <v>43304</v>
      </c>
      <c r="C20534" t="s">
        <v>42102</v>
      </c>
      <c r="D20534" t="s">
        <v>31491</v>
      </c>
      <c r="E20534" t="s">
        <v>31492</v>
      </c>
      <c r="F20534" t="s">
        <v>19559</v>
      </c>
      <c r="G20534" t="s">
        <v>47093</v>
      </c>
      <c r="H20534" t="s">
        <v>47054</v>
      </c>
      <c r="I20534" t="s">
        <v>47116</v>
      </c>
      <c r="J20534" t="s">
        <v>47117</v>
      </c>
      <c r="K20534" t="s">
        <v>47113</v>
      </c>
      <c r="L20534">
        <v>64.47</v>
      </c>
      <c r="M20534">
        <v>111</v>
      </c>
      <c r="N20534">
        <v>299</v>
      </c>
      <c r="O20534">
        <v>111</v>
      </c>
      <c r="P20534">
        <v>299</v>
      </c>
    </row>
    <row r="20535" spans="1:16" x14ac:dyDescent="0.25">
      <c r="A20535" t="s">
        <v>43305</v>
      </c>
      <c r="B20535" t="s">
        <v>43306</v>
      </c>
      <c r="C20535" t="s">
        <v>42102</v>
      </c>
      <c r="D20535" t="s">
        <v>31526</v>
      </c>
      <c r="E20535" t="s">
        <v>31527</v>
      </c>
      <c r="F20535" t="s">
        <v>19559</v>
      </c>
      <c r="G20535" t="s">
        <v>47093</v>
      </c>
      <c r="H20535" t="s">
        <v>47054</v>
      </c>
      <c r="I20535" t="s">
        <v>47111</v>
      </c>
      <c r="J20535" t="s">
        <v>47112</v>
      </c>
      <c r="K20535" t="s">
        <v>47113</v>
      </c>
      <c r="L20535">
        <v>129.63</v>
      </c>
      <c r="M20535">
        <v>222</v>
      </c>
      <c r="N20535">
        <v>599</v>
      </c>
      <c r="O20535">
        <v>222</v>
      </c>
      <c r="P20535">
        <v>599</v>
      </c>
    </row>
    <row r="20536" spans="1:16" x14ac:dyDescent="0.25">
      <c r="A20536" t="s">
        <v>43307</v>
      </c>
      <c r="B20536" t="s">
        <v>43308</v>
      </c>
      <c r="C20536" t="s">
        <v>42102</v>
      </c>
      <c r="D20536" t="s">
        <v>31526</v>
      </c>
      <c r="E20536" t="s">
        <v>31527</v>
      </c>
      <c r="F20536" t="s">
        <v>19559</v>
      </c>
      <c r="G20536" t="s">
        <v>47093</v>
      </c>
      <c r="H20536" t="s">
        <v>47054</v>
      </c>
      <c r="I20536" t="s">
        <v>47116</v>
      </c>
      <c r="J20536" t="s">
        <v>47117</v>
      </c>
      <c r="K20536" t="s">
        <v>47113</v>
      </c>
      <c r="L20536">
        <v>64.47</v>
      </c>
      <c r="M20536">
        <v>111</v>
      </c>
      <c r="N20536">
        <v>299</v>
      </c>
      <c r="O20536">
        <v>111</v>
      </c>
      <c r="P20536">
        <v>299</v>
      </c>
    </row>
    <row r="20537" spans="1:16" x14ac:dyDescent="0.25">
      <c r="A20537" t="s">
        <v>49471</v>
      </c>
      <c r="B20537" t="s">
        <v>49472</v>
      </c>
      <c r="C20537" t="s">
        <v>49473</v>
      </c>
      <c r="D20537" t="s">
        <v>49474</v>
      </c>
      <c r="E20537" t="s">
        <v>49475</v>
      </c>
      <c r="F20537" t="s">
        <v>47488</v>
      </c>
      <c r="G20537" t="s">
        <v>47093</v>
      </c>
      <c r="H20537" t="s">
        <v>47054</v>
      </c>
      <c r="I20537" t="s">
        <v>47120</v>
      </c>
      <c r="J20537" t="s">
        <v>47121</v>
      </c>
      <c r="K20537" t="s">
        <v>47113</v>
      </c>
      <c r="L20537">
        <v>24.77</v>
      </c>
      <c r="M20537">
        <v>70</v>
      </c>
      <c r="N20537">
        <v>189</v>
      </c>
      <c r="O20537">
        <v>70</v>
      </c>
      <c r="P20537">
        <v>189</v>
      </c>
    </row>
    <row r="20538" spans="1:16" x14ac:dyDescent="0.25">
      <c r="A20538" t="s">
        <v>43309</v>
      </c>
      <c r="B20538" t="s">
        <v>43310</v>
      </c>
      <c r="C20538" t="s">
        <v>43311</v>
      </c>
      <c r="D20538" t="s">
        <v>31487</v>
      </c>
      <c r="E20538" t="s">
        <v>31488</v>
      </c>
      <c r="F20538" t="s">
        <v>19559</v>
      </c>
      <c r="G20538" t="s">
        <v>47093</v>
      </c>
      <c r="H20538" t="s">
        <v>47054</v>
      </c>
      <c r="I20538" t="s">
        <v>47111</v>
      </c>
      <c r="J20538" t="s">
        <v>47112</v>
      </c>
      <c r="K20538" t="s">
        <v>47113</v>
      </c>
      <c r="L20538">
        <v>129.63</v>
      </c>
      <c r="M20538">
        <v>222</v>
      </c>
      <c r="N20538">
        <v>599</v>
      </c>
      <c r="O20538">
        <v>222</v>
      </c>
      <c r="P20538">
        <v>599</v>
      </c>
    </row>
    <row r="20539" spans="1:16" x14ac:dyDescent="0.25">
      <c r="A20539" t="s">
        <v>43312</v>
      </c>
      <c r="B20539" t="s">
        <v>43313</v>
      </c>
      <c r="C20539" t="s">
        <v>43311</v>
      </c>
      <c r="D20539" t="s">
        <v>31487</v>
      </c>
      <c r="E20539" t="s">
        <v>31488</v>
      </c>
      <c r="F20539" t="s">
        <v>19559</v>
      </c>
      <c r="G20539" t="s">
        <v>47093</v>
      </c>
      <c r="H20539" t="s">
        <v>47054</v>
      </c>
      <c r="I20539" t="s">
        <v>47116</v>
      </c>
      <c r="J20539" t="s">
        <v>47117</v>
      </c>
      <c r="K20539" t="s">
        <v>47113</v>
      </c>
      <c r="L20539">
        <v>64.47</v>
      </c>
      <c r="M20539">
        <v>111</v>
      </c>
      <c r="N20539">
        <v>299</v>
      </c>
      <c r="O20539">
        <v>111</v>
      </c>
      <c r="P20539">
        <v>299</v>
      </c>
    </row>
    <row r="20540" spans="1:16" x14ac:dyDescent="0.25">
      <c r="A20540" t="s">
        <v>47050</v>
      </c>
      <c r="B20540" t="s">
        <v>46929</v>
      </c>
      <c r="C20540" t="s">
        <v>43586</v>
      </c>
      <c r="D20540" t="s">
        <v>46930</v>
      </c>
      <c r="E20540" t="s">
        <v>46931</v>
      </c>
      <c r="F20540" t="s">
        <v>20496</v>
      </c>
      <c r="G20540" t="s">
        <v>47093</v>
      </c>
      <c r="H20540" t="s">
        <v>47054</v>
      </c>
      <c r="I20540" t="s">
        <v>47544</v>
      </c>
      <c r="J20540" t="s">
        <v>47545</v>
      </c>
      <c r="K20540" t="s">
        <v>47113</v>
      </c>
      <c r="L20540">
        <v>18.829999999999998</v>
      </c>
      <c r="M20540">
        <v>74</v>
      </c>
      <c r="N20540">
        <v>199</v>
      </c>
      <c r="O20540">
        <v>74</v>
      </c>
      <c r="P20540">
        <v>199</v>
      </c>
    </row>
    <row r="20541" spans="1:16" x14ac:dyDescent="0.25">
      <c r="A20541" t="s">
        <v>49476</v>
      </c>
      <c r="B20541" t="s">
        <v>49477</v>
      </c>
      <c r="C20541" t="s">
        <v>49478</v>
      </c>
      <c r="D20541" t="s">
        <v>49479</v>
      </c>
      <c r="E20541" t="s">
        <v>49480</v>
      </c>
      <c r="F20541" t="s">
        <v>47171</v>
      </c>
      <c r="G20541" t="s">
        <v>47093</v>
      </c>
      <c r="H20541" t="s">
        <v>47054</v>
      </c>
      <c r="I20541" t="s">
        <v>47116</v>
      </c>
      <c r="J20541" t="s">
        <v>47117</v>
      </c>
      <c r="K20541" t="s">
        <v>47113</v>
      </c>
      <c r="L20541">
        <v>66.930000000000007</v>
      </c>
      <c r="M20541">
        <v>166</v>
      </c>
      <c r="N20541">
        <v>449</v>
      </c>
      <c r="O20541">
        <v>166</v>
      </c>
      <c r="P20541">
        <v>449</v>
      </c>
    </row>
    <row r="20542" spans="1:16" x14ac:dyDescent="0.25">
      <c r="A20542" t="s">
        <v>49481</v>
      </c>
      <c r="B20542" t="s">
        <v>49482</v>
      </c>
      <c r="C20542" t="s">
        <v>49473</v>
      </c>
      <c r="D20542" t="s">
        <v>49483</v>
      </c>
      <c r="E20542" t="s">
        <v>49484</v>
      </c>
      <c r="F20542" t="s">
        <v>47488</v>
      </c>
      <c r="G20542" t="s">
        <v>47093</v>
      </c>
      <c r="H20542" t="s">
        <v>47054</v>
      </c>
      <c r="I20542" t="s">
        <v>47120</v>
      </c>
      <c r="J20542" t="s">
        <v>47121</v>
      </c>
      <c r="K20542" t="s">
        <v>47113</v>
      </c>
      <c r="L20542">
        <v>26.08</v>
      </c>
      <c r="M20542">
        <v>70</v>
      </c>
      <c r="N20542">
        <v>189</v>
      </c>
      <c r="O20542">
        <v>70</v>
      </c>
      <c r="P20542">
        <v>189</v>
      </c>
    </row>
    <row r="20543" spans="1:16" x14ac:dyDescent="0.25">
      <c r="A20543" t="s">
        <v>43314</v>
      </c>
      <c r="B20543" t="s">
        <v>43315</v>
      </c>
      <c r="C20543" t="s">
        <v>43316</v>
      </c>
      <c r="D20543" t="str">
        <f>"1001"</f>
        <v>1001</v>
      </c>
      <c r="E20543" t="s">
        <v>18567</v>
      </c>
      <c r="F20543" t="s">
        <v>24617</v>
      </c>
      <c r="G20543" t="s">
        <v>47093</v>
      </c>
      <c r="H20543" t="s">
        <v>47054</v>
      </c>
      <c r="I20543" t="s">
        <v>47544</v>
      </c>
      <c r="J20543" t="s">
        <v>47545</v>
      </c>
      <c r="K20543" t="s">
        <v>47113</v>
      </c>
      <c r="L20543">
        <v>25.63</v>
      </c>
      <c r="M20543">
        <v>70</v>
      </c>
      <c r="N20543">
        <v>189</v>
      </c>
      <c r="O20543">
        <v>70</v>
      </c>
      <c r="P20543">
        <v>189</v>
      </c>
    </row>
    <row r="20544" spans="1:16" x14ac:dyDescent="0.25">
      <c r="A20544" t="s">
        <v>43317</v>
      </c>
      <c r="B20544" t="s">
        <v>43318</v>
      </c>
      <c r="C20544" t="s">
        <v>43319</v>
      </c>
      <c r="D20544" t="s">
        <v>43320</v>
      </c>
      <c r="E20544" t="s">
        <v>43321</v>
      </c>
      <c r="F20544" t="s">
        <v>24622</v>
      </c>
      <c r="G20544" t="s">
        <v>49029</v>
      </c>
      <c r="H20544" t="s">
        <v>47054</v>
      </c>
      <c r="I20544" t="s">
        <v>47544</v>
      </c>
      <c r="J20544" t="s">
        <v>47545</v>
      </c>
      <c r="K20544" t="s">
        <v>47113</v>
      </c>
      <c r="L20544">
        <v>23.88</v>
      </c>
      <c r="M20544">
        <v>55</v>
      </c>
      <c r="N20544">
        <v>149</v>
      </c>
      <c r="O20544">
        <v>55</v>
      </c>
      <c r="P20544">
        <v>149</v>
      </c>
    </row>
    <row r="20545" spans="1:16" x14ac:dyDescent="0.25">
      <c r="A20545" t="s">
        <v>43322</v>
      </c>
      <c r="B20545" t="s">
        <v>43323</v>
      </c>
      <c r="C20545" t="s">
        <v>21808</v>
      </c>
      <c r="D20545" t="s">
        <v>31626</v>
      </c>
      <c r="E20545" t="s">
        <v>31627</v>
      </c>
      <c r="F20545" t="s">
        <v>20496</v>
      </c>
      <c r="G20545" t="s">
        <v>47099</v>
      </c>
      <c r="H20545" t="s">
        <v>47054</v>
      </c>
      <c r="I20545" t="s">
        <v>47544</v>
      </c>
      <c r="J20545" t="s">
        <v>47545</v>
      </c>
      <c r="K20545" t="s">
        <v>47113</v>
      </c>
      <c r="L20545">
        <v>26.42</v>
      </c>
      <c r="M20545">
        <v>111</v>
      </c>
      <c r="N20545">
        <v>299</v>
      </c>
      <c r="O20545">
        <v>111</v>
      </c>
      <c r="P20545">
        <v>299</v>
      </c>
    </row>
    <row r="20546" spans="1:16" x14ac:dyDescent="0.25">
      <c r="A20546" t="s">
        <v>43324</v>
      </c>
      <c r="B20546" t="s">
        <v>43325</v>
      </c>
      <c r="C20546" t="s">
        <v>43326</v>
      </c>
      <c r="D20546" t="s">
        <v>43327</v>
      </c>
      <c r="E20546" t="s">
        <v>43328</v>
      </c>
      <c r="F20546" t="s">
        <v>24627</v>
      </c>
      <c r="G20546" t="s">
        <v>47093</v>
      </c>
      <c r="H20546" t="s">
        <v>47054</v>
      </c>
      <c r="I20546" t="s">
        <v>47544</v>
      </c>
      <c r="J20546" t="s">
        <v>47545</v>
      </c>
      <c r="K20546" t="s">
        <v>47113</v>
      </c>
      <c r="L20546">
        <v>28.57</v>
      </c>
      <c r="M20546">
        <v>85</v>
      </c>
      <c r="N20546">
        <v>229</v>
      </c>
      <c r="O20546">
        <v>85</v>
      </c>
      <c r="P20546">
        <v>229</v>
      </c>
    </row>
    <row r="20547" spans="1:16" x14ac:dyDescent="0.25">
      <c r="A20547" t="s">
        <v>43329</v>
      </c>
      <c r="B20547" t="s">
        <v>43330</v>
      </c>
      <c r="C20547" t="s">
        <v>42636</v>
      </c>
      <c r="D20547" t="s">
        <v>43331</v>
      </c>
      <c r="E20547" t="s">
        <v>43332</v>
      </c>
      <c r="F20547" t="s">
        <v>24622</v>
      </c>
      <c r="G20547" t="s">
        <v>47093</v>
      </c>
      <c r="H20547" t="s">
        <v>47054</v>
      </c>
      <c r="I20547" t="s">
        <v>47120</v>
      </c>
      <c r="J20547" t="s">
        <v>47121</v>
      </c>
      <c r="K20547" t="s">
        <v>47113</v>
      </c>
      <c r="L20547">
        <v>31.76</v>
      </c>
      <c r="M20547">
        <v>111</v>
      </c>
      <c r="N20547">
        <v>299</v>
      </c>
      <c r="O20547">
        <v>111</v>
      </c>
      <c r="P20547">
        <v>299</v>
      </c>
    </row>
    <row r="20548" spans="1:16" x14ac:dyDescent="0.25">
      <c r="A20548" t="s">
        <v>43333</v>
      </c>
      <c r="B20548" t="s">
        <v>43334</v>
      </c>
      <c r="C20548" t="s">
        <v>42636</v>
      </c>
      <c r="D20548" t="s">
        <v>41945</v>
      </c>
      <c r="E20548" t="s">
        <v>41946</v>
      </c>
      <c r="F20548" t="s">
        <v>24617</v>
      </c>
      <c r="G20548" t="s">
        <v>47093</v>
      </c>
      <c r="H20548" t="s">
        <v>47054</v>
      </c>
      <c r="I20548" t="s">
        <v>47120</v>
      </c>
      <c r="J20548" t="s">
        <v>47121</v>
      </c>
      <c r="K20548" t="s">
        <v>47113</v>
      </c>
      <c r="L20548">
        <v>35.29</v>
      </c>
      <c r="M20548">
        <v>111</v>
      </c>
      <c r="N20548">
        <v>299</v>
      </c>
      <c r="O20548">
        <v>111</v>
      </c>
      <c r="P20548">
        <v>299</v>
      </c>
    </row>
    <row r="20549" spans="1:16" x14ac:dyDescent="0.25">
      <c r="A20549" t="s">
        <v>43335</v>
      </c>
      <c r="B20549" t="s">
        <v>43334</v>
      </c>
      <c r="C20549" t="s">
        <v>42636</v>
      </c>
      <c r="D20549" t="s">
        <v>43331</v>
      </c>
      <c r="E20549" t="s">
        <v>43332</v>
      </c>
      <c r="F20549" t="s">
        <v>24617</v>
      </c>
      <c r="G20549" t="s">
        <v>47093</v>
      </c>
      <c r="H20549" t="s">
        <v>47054</v>
      </c>
      <c r="I20549" t="s">
        <v>47120</v>
      </c>
      <c r="J20549" t="s">
        <v>47121</v>
      </c>
      <c r="K20549" t="s">
        <v>47113</v>
      </c>
      <c r="L20549">
        <v>36.76</v>
      </c>
      <c r="M20549">
        <v>111</v>
      </c>
      <c r="N20549">
        <v>299</v>
      </c>
      <c r="O20549">
        <v>111</v>
      </c>
      <c r="P20549">
        <v>299</v>
      </c>
    </row>
    <row r="20550" spans="1:16" x14ac:dyDescent="0.25">
      <c r="A20550" t="s">
        <v>43336</v>
      </c>
      <c r="B20550" t="s">
        <v>43337</v>
      </c>
      <c r="C20550" t="s">
        <v>43311</v>
      </c>
      <c r="D20550" t="str">
        <f>"1700"</f>
        <v>1700</v>
      </c>
      <c r="E20550" t="s">
        <v>42452</v>
      </c>
      <c r="F20550" t="s">
        <v>24622</v>
      </c>
      <c r="G20550" t="s">
        <v>47093</v>
      </c>
      <c r="H20550" t="s">
        <v>47054</v>
      </c>
      <c r="I20550" t="s">
        <v>47120</v>
      </c>
      <c r="J20550" t="s">
        <v>47121</v>
      </c>
      <c r="K20550" t="s">
        <v>47113</v>
      </c>
      <c r="L20550">
        <v>35.549999999999997</v>
      </c>
      <c r="M20550">
        <v>111</v>
      </c>
      <c r="N20550">
        <v>299</v>
      </c>
      <c r="O20550">
        <v>111</v>
      </c>
      <c r="P20550">
        <v>299</v>
      </c>
    </row>
    <row r="20551" spans="1:16" x14ac:dyDescent="0.25">
      <c r="A20551" t="s">
        <v>43338</v>
      </c>
      <c r="B20551" t="s">
        <v>43339</v>
      </c>
      <c r="C20551" t="s">
        <v>16405</v>
      </c>
      <c r="D20551" t="str">
        <f>"3071"</f>
        <v>3071</v>
      </c>
      <c r="E20551" t="s">
        <v>42854</v>
      </c>
      <c r="F20551" t="s">
        <v>24617</v>
      </c>
      <c r="G20551" t="s">
        <v>49029</v>
      </c>
      <c r="H20551" t="s">
        <v>47054</v>
      </c>
      <c r="I20551" t="s">
        <v>47544</v>
      </c>
      <c r="J20551" t="s">
        <v>47545</v>
      </c>
      <c r="K20551" t="s">
        <v>47113</v>
      </c>
      <c r="L20551">
        <v>15.29</v>
      </c>
      <c r="M20551">
        <v>55</v>
      </c>
      <c r="N20551">
        <v>149</v>
      </c>
      <c r="O20551">
        <v>55</v>
      </c>
      <c r="P20551">
        <v>149</v>
      </c>
    </row>
    <row r="20552" spans="1:16" x14ac:dyDescent="0.25">
      <c r="A20552" t="s">
        <v>43340</v>
      </c>
      <c r="B20552" t="s">
        <v>43341</v>
      </c>
      <c r="C20552" t="s">
        <v>43342</v>
      </c>
      <c r="D20552" t="s">
        <v>21441</v>
      </c>
      <c r="E20552" t="s">
        <v>21442</v>
      </c>
      <c r="F20552" t="s">
        <v>24617</v>
      </c>
      <c r="G20552" t="s">
        <v>49029</v>
      </c>
      <c r="H20552" t="s">
        <v>47054</v>
      </c>
      <c r="I20552" t="s">
        <v>47544</v>
      </c>
      <c r="J20552" t="s">
        <v>47545</v>
      </c>
      <c r="K20552" t="s">
        <v>47113</v>
      </c>
      <c r="L20552">
        <v>31.67</v>
      </c>
      <c r="M20552">
        <v>85</v>
      </c>
      <c r="N20552">
        <v>229</v>
      </c>
      <c r="O20552">
        <v>85</v>
      </c>
      <c r="P20552">
        <v>229</v>
      </c>
    </row>
    <row r="20553" spans="1:16" x14ac:dyDescent="0.25">
      <c r="A20553" t="s">
        <v>43343</v>
      </c>
      <c r="B20553" t="s">
        <v>43344</v>
      </c>
      <c r="C20553" t="s">
        <v>18578</v>
      </c>
      <c r="D20553" t="s">
        <v>41965</v>
      </c>
      <c r="E20553" t="s">
        <v>41966</v>
      </c>
      <c r="F20553" t="s">
        <v>24622</v>
      </c>
      <c r="G20553" t="s">
        <v>49029</v>
      </c>
      <c r="H20553" t="s">
        <v>47054</v>
      </c>
      <c r="I20553" t="s">
        <v>47120</v>
      </c>
      <c r="J20553" t="s">
        <v>47121</v>
      </c>
      <c r="K20553" t="s">
        <v>47113</v>
      </c>
      <c r="L20553">
        <v>44.11</v>
      </c>
      <c r="M20553">
        <v>70</v>
      </c>
      <c r="N20553">
        <v>189</v>
      </c>
      <c r="O20553">
        <v>70</v>
      </c>
      <c r="P20553">
        <v>189</v>
      </c>
    </row>
    <row r="20554" spans="1:16" x14ac:dyDescent="0.25">
      <c r="A20554" t="s">
        <v>43345</v>
      </c>
      <c r="B20554" t="s">
        <v>43346</v>
      </c>
      <c r="C20554" t="s">
        <v>19131</v>
      </c>
      <c r="D20554" t="s">
        <v>43347</v>
      </c>
      <c r="E20554" t="s">
        <v>43348</v>
      </c>
      <c r="F20554" t="s">
        <v>24627</v>
      </c>
      <c r="G20554" t="s">
        <v>47093</v>
      </c>
      <c r="H20554" t="s">
        <v>47054</v>
      </c>
      <c r="I20554" t="s">
        <v>47120</v>
      </c>
      <c r="J20554" t="s">
        <v>47121</v>
      </c>
      <c r="K20554" t="s">
        <v>47113</v>
      </c>
      <c r="L20554">
        <v>27.12</v>
      </c>
      <c r="M20554">
        <v>74</v>
      </c>
      <c r="N20554">
        <v>199</v>
      </c>
      <c r="O20554">
        <v>74</v>
      </c>
      <c r="P20554">
        <v>199</v>
      </c>
    </row>
    <row r="20555" spans="1:16" x14ac:dyDescent="0.25">
      <c r="A20555" t="s">
        <v>49485</v>
      </c>
      <c r="B20555" t="s">
        <v>49486</v>
      </c>
      <c r="C20555" t="s">
        <v>49487</v>
      </c>
      <c r="D20555" t="s">
        <v>49488</v>
      </c>
      <c r="E20555" t="s">
        <v>49489</v>
      </c>
      <c r="F20555" t="s">
        <v>47185</v>
      </c>
      <c r="G20555" t="s">
        <v>47093</v>
      </c>
      <c r="H20555" t="s">
        <v>47054</v>
      </c>
      <c r="I20555" t="s">
        <v>47544</v>
      </c>
      <c r="J20555" t="s">
        <v>47545</v>
      </c>
      <c r="K20555" t="s">
        <v>47113</v>
      </c>
      <c r="L20555">
        <v>38.14</v>
      </c>
      <c r="M20555">
        <v>103</v>
      </c>
      <c r="N20555">
        <v>279</v>
      </c>
      <c r="O20555">
        <v>103</v>
      </c>
      <c r="P20555">
        <v>279</v>
      </c>
    </row>
    <row r="20556" spans="1:16" x14ac:dyDescent="0.25">
      <c r="A20556" t="s">
        <v>43349</v>
      </c>
      <c r="B20556" t="s">
        <v>43350</v>
      </c>
      <c r="C20556" t="s">
        <v>43351</v>
      </c>
      <c r="D20556" t="str">
        <f>"1700"</f>
        <v>1700</v>
      </c>
      <c r="E20556" t="s">
        <v>42452</v>
      </c>
      <c r="F20556" t="s">
        <v>24622</v>
      </c>
      <c r="G20556" t="s">
        <v>47093</v>
      </c>
      <c r="H20556" t="s">
        <v>47054</v>
      </c>
      <c r="I20556" t="s">
        <v>47120</v>
      </c>
      <c r="J20556" t="s">
        <v>47121</v>
      </c>
      <c r="K20556" t="s">
        <v>47113</v>
      </c>
      <c r="L20556">
        <v>35.1</v>
      </c>
      <c r="M20556">
        <v>111</v>
      </c>
      <c r="N20556">
        <v>299</v>
      </c>
      <c r="O20556">
        <v>111</v>
      </c>
      <c r="P20556">
        <v>299</v>
      </c>
    </row>
    <row r="20557" spans="1:16" x14ac:dyDescent="0.25">
      <c r="A20557" t="s">
        <v>49490</v>
      </c>
      <c r="B20557" t="s">
        <v>49491</v>
      </c>
      <c r="C20557" t="s">
        <v>10614</v>
      </c>
      <c r="D20557" t="s">
        <v>47628</v>
      </c>
      <c r="E20557" t="s">
        <v>47629</v>
      </c>
      <c r="F20557" t="s">
        <v>46687</v>
      </c>
      <c r="G20557" t="s">
        <v>47093</v>
      </c>
      <c r="H20557" t="s">
        <v>47054</v>
      </c>
      <c r="I20557" t="s">
        <v>47544</v>
      </c>
      <c r="J20557" t="s">
        <v>47545</v>
      </c>
      <c r="K20557" t="s">
        <v>47113</v>
      </c>
      <c r="L20557">
        <v>38.47</v>
      </c>
      <c r="M20557">
        <v>92</v>
      </c>
      <c r="N20557">
        <v>249</v>
      </c>
      <c r="O20557">
        <v>92</v>
      </c>
      <c r="P20557">
        <v>249</v>
      </c>
    </row>
    <row r="20558" spans="1:16" x14ac:dyDescent="0.25">
      <c r="A20558" t="s">
        <v>49492</v>
      </c>
      <c r="B20558" t="s">
        <v>49493</v>
      </c>
      <c r="C20558" t="s">
        <v>10614</v>
      </c>
      <c r="D20558" t="s">
        <v>49494</v>
      </c>
      <c r="E20558" t="s">
        <v>49495</v>
      </c>
      <c r="F20558" t="s">
        <v>46687</v>
      </c>
      <c r="G20558" t="s">
        <v>47093</v>
      </c>
      <c r="H20558" t="s">
        <v>47054</v>
      </c>
      <c r="I20558" t="s">
        <v>47544</v>
      </c>
      <c r="J20558" t="s">
        <v>47545</v>
      </c>
      <c r="K20558" t="s">
        <v>47113</v>
      </c>
      <c r="L20558">
        <v>26.96</v>
      </c>
      <c r="M20558">
        <v>92</v>
      </c>
      <c r="N20558">
        <v>249</v>
      </c>
      <c r="O20558">
        <v>92</v>
      </c>
      <c r="P20558">
        <v>249</v>
      </c>
    </row>
    <row r="20559" spans="1:16" x14ac:dyDescent="0.25">
      <c r="A20559" t="s">
        <v>49496</v>
      </c>
      <c r="B20559" t="s">
        <v>49497</v>
      </c>
      <c r="C20559" t="s">
        <v>49498</v>
      </c>
      <c r="D20559" t="s">
        <v>49461</v>
      </c>
      <c r="E20559" t="s">
        <v>49462</v>
      </c>
      <c r="F20559" t="s">
        <v>31484</v>
      </c>
      <c r="G20559" t="s">
        <v>47093</v>
      </c>
      <c r="H20559" t="s">
        <v>47054</v>
      </c>
      <c r="I20559" t="s">
        <v>47544</v>
      </c>
      <c r="J20559" t="s">
        <v>47545</v>
      </c>
      <c r="K20559" t="s">
        <v>47113</v>
      </c>
      <c r="L20559">
        <v>34.590000000000003</v>
      </c>
      <c r="M20559">
        <v>92</v>
      </c>
      <c r="N20559">
        <v>249</v>
      </c>
      <c r="O20559">
        <v>92</v>
      </c>
      <c r="P20559">
        <v>249</v>
      </c>
    </row>
    <row r="20560" spans="1:16" x14ac:dyDescent="0.25">
      <c r="A20560" t="s">
        <v>49499</v>
      </c>
      <c r="B20560" t="s">
        <v>49500</v>
      </c>
      <c r="C20560" t="s">
        <v>49460</v>
      </c>
      <c r="D20560" t="str">
        <f>"1700"</f>
        <v>1700</v>
      </c>
      <c r="E20560" t="s">
        <v>18480</v>
      </c>
      <c r="F20560" t="s">
        <v>47163</v>
      </c>
      <c r="G20560" t="s">
        <v>47093</v>
      </c>
      <c r="H20560" t="s">
        <v>47054</v>
      </c>
      <c r="I20560" t="s">
        <v>47120</v>
      </c>
      <c r="J20560" t="s">
        <v>47121</v>
      </c>
      <c r="K20560" t="s">
        <v>47113</v>
      </c>
      <c r="L20560">
        <v>23.04</v>
      </c>
      <c r="M20560">
        <v>70</v>
      </c>
      <c r="N20560">
        <v>189</v>
      </c>
      <c r="O20560">
        <v>70</v>
      </c>
      <c r="P20560">
        <v>189</v>
      </c>
    </row>
    <row r="20561" spans="1:16" x14ac:dyDescent="0.25">
      <c r="A20561" t="s">
        <v>49501</v>
      </c>
      <c r="B20561" t="s">
        <v>49502</v>
      </c>
      <c r="C20561" t="s">
        <v>49503</v>
      </c>
      <c r="D20561" t="s">
        <v>49504</v>
      </c>
      <c r="E20561" t="s">
        <v>49505</v>
      </c>
      <c r="F20561" t="s">
        <v>47163</v>
      </c>
      <c r="G20561" t="s">
        <v>47093</v>
      </c>
      <c r="H20561" t="s">
        <v>47054</v>
      </c>
      <c r="I20561" t="s">
        <v>47544</v>
      </c>
      <c r="J20561" t="s">
        <v>47545</v>
      </c>
      <c r="K20561" t="s">
        <v>47113</v>
      </c>
      <c r="L20561">
        <v>29.05</v>
      </c>
      <c r="M20561">
        <v>74</v>
      </c>
      <c r="N20561">
        <v>199</v>
      </c>
      <c r="O20561">
        <v>74</v>
      </c>
      <c r="P20561">
        <v>199</v>
      </c>
    </row>
    <row r="20562" spans="1:16" x14ac:dyDescent="0.25">
      <c r="A20562" t="s">
        <v>49506</v>
      </c>
      <c r="B20562" t="s">
        <v>49507</v>
      </c>
      <c r="C20562" t="s">
        <v>21912</v>
      </c>
      <c r="D20562" t="s">
        <v>18587</v>
      </c>
      <c r="E20562" t="s">
        <v>18588</v>
      </c>
      <c r="F20562" t="s">
        <v>47163</v>
      </c>
      <c r="G20562" t="s">
        <v>47093</v>
      </c>
      <c r="H20562" t="s">
        <v>47054</v>
      </c>
      <c r="I20562" t="s">
        <v>47116</v>
      </c>
      <c r="J20562" t="s">
        <v>47117</v>
      </c>
      <c r="K20562" t="s">
        <v>47113</v>
      </c>
      <c r="L20562">
        <v>35.130000000000003</v>
      </c>
      <c r="M20562">
        <v>92</v>
      </c>
      <c r="N20562">
        <v>249</v>
      </c>
      <c r="O20562">
        <v>92</v>
      </c>
      <c r="P20562">
        <v>249</v>
      </c>
    </row>
    <row r="20563" spans="1:16" x14ac:dyDescent="0.25">
      <c r="A20563" t="s">
        <v>49508</v>
      </c>
      <c r="B20563" t="s">
        <v>49509</v>
      </c>
      <c r="C20563" t="s">
        <v>10614</v>
      </c>
      <c r="D20563" t="s">
        <v>49510</v>
      </c>
      <c r="E20563" t="s">
        <v>49511</v>
      </c>
      <c r="F20563" t="s">
        <v>47488</v>
      </c>
      <c r="G20563" t="s">
        <v>47093</v>
      </c>
      <c r="H20563" t="s">
        <v>47054</v>
      </c>
      <c r="I20563" t="s">
        <v>47120</v>
      </c>
      <c r="J20563" t="s">
        <v>47121</v>
      </c>
      <c r="K20563" t="s">
        <v>47113</v>
      </c>
      <c r="L20563">
        <v>26.66</v>
      </c>
      <c r="M20563">
        <v>70</v>
      </c>
      <c r="N20563">
        <v>189</v>
      </c>
      <c r="O20563">
        <v>70</v>
      </c>
      <c r="P20563">
        <v>189</v>
      </c>
    </row>
    <row r="20564" spans="1:16" x14ac:dyDescent="0.25">
      <c r="A20564" t="s">
        <v>49512</v>
      </c>
      <c r="B20564" t="s">
        <v>49513</v>
      </c>
      <c r="C20564" t="s">
        <v>49514</v>
      </c>
      <c r="D20564" t="s">
        <v>49515</v>
      </c>
      <c r="E20564" t="s">
        <v>49516</v>
      </c>
      <c r="F20564" t="s">
        <v>31484</v>
      </c>
      <c r="G20564" t="s">
        <v>47093</v>
      </c>
      <c r="H20564" t="s">
        <v>47054</v>
      </c>
      <c r="I20564" t="s">
        <v>47120</v>
      </c>
      <c r="J20564" t="s">
        <v>47121</v>
      </c>
      <c r="K20564" t="s">
        <v>47113</v>
      </c>
      <c r="L20564">
        <v>30.72</v>
      </c>
      <c r="M20564">
        <v>111</v>
      </c>
      <c r="N20564">
        <v>299</v>
      </c>
      <c r="O20564">
        <v>111</v>
      </c>
      <c r="P20564">
        <v>299</v>
      </c>
    </row>
    <row r="20565" spans="1:16" x14ac:dyDescent="0.25">
      <c r="A20565" t="s">
        <v>49517</v>
      </c>
      <c r="B20565" t="s">
        <v>49513</v>
      </c>
      <c r="C20565" t="s">
        <v>49514</v>
      </c>
      <c r="D20565" t="s">
        <v>49518</v>
      </c>
      <c r="E20565" t="s">
        <v>49519</v>
      </c>
      <c r="F20565" t="s">
        <v>31484</v>
      </c>
      <c r="G20565" t="s">
        <v>47093</v>
      </c>
      <c r="H20565" t="s">
        <v>47054</v>
      </c>
      <c r="I20565" t="s">
        <v>47120</v>
      </c>
      <c r="J20565" t="s">
        <v>47121</v>
      </c>
      <c r="K20565" t="s">
        <v>47113</v>
      </c>
      <c r="L20565">
        <v>30.72</v>
      </c>
      <c r="M20565">
        <v>111</v>
      </c>
      <c r="N20565">
        <v>299</v>
      </c>
      <c r="O20565">
        <v>111</v>
      </c>
      <c r="P20565">
        <v>299</v>
      </c>
    </row>
    <row r="20566" spans="1:16" x14ac:dyDescent="0.25">
      <c r="A20566" t="s">
        <v>49520</v>
      </c>
      <c r="B20566" t="s">
        <v>49521</v>
      </c>
      <c r="C20566" t="s">
        <v>10614</v>
      </c>
      <c r="D20566" t="s">
        <v>49522</v>
      </c>
      <c r="E20566" t="s">
        <v>49523</v>
      </c>
      <c r="F20566" t="s">
        <v>47488</v>
      </c>
      <c r="G20566" t="s">
        <v>47093</v>
      </c>
      <c r="H20566" t="s">
        <v>47054</v>
      </c>
      <c r="I20566" t="s">
        <v>47120</v>
      </c>
      <c r="J20566" t="s">
        <v>47121</v>
      </c>
      <c r="K20566" t="s">
        <v>47113</v>
      </c>
      <c r="L20566">
        <v>25.24</v>
      </c>
      <c r="M20566">
        <v>70</v>
      </c>
      <c r="N20566">
        <v>189</v>
      </c>
      <c r="O20566">
        <v>70</v>
      </c>
      <c r="P20566">
        <v>189</v>
      </c>
    </row>
    <row r="20567" spans="1:16" x14ac:dyDescent="0.25">
      <c r="A20567" t="s">
        <v>49524</v>
      </c>
      <c r="B20567" t="s">
        <v>49525</v>
      </c>
      <c r="C20567" t="s">
        <v>49514</v>
      </c>
      <c r="D20567" t="s">
        <v>49526</v>
      </c>
      <c r="E20567" t="s">
        <v>49527</v>
      </c>
      <c r="F20567" t="s">
        <v>47185</v>
      </c>
      <c r="G20567" t="s">
        <v>47093</v>
      </c>
      <c r="H20567" t="s">
        <v>47054</v>
      </c>
      <c r="I20567" t="s">
        <v>47116</v>
      </c>
      <c r="J20567" t="s">
        <v>47117</v>
      </c>
      <c r="K20567" t="s">
        <v>47113</v>
      </c>
      <c r="L20567">
        <v>42.7</v>
      </c>
      <c r="M20567">
        <v>111</v>
      </c>
      <c r="N20567">
        <v>299</v>
      </c>
      <c r="O20567">
        <v>111</v>
      </c>
      <c r="P20567">
        <v>299</v>
      </c>
    </row>
    <row r="20568" spans="1:16" x14ac:dyDescent="0.25">
      <c r="A20568" t="s">
        <v>49528</v>
      </c>
      <c r="B20568" t="s">
        <v>49529</v>
      </c>
      <c r="C20568" t="s">
        <v>49514</v>
      </c>
      <c r="D20568" t="s">
        <v>49530</v>
      </c>
      <c r="E20568" t="s">
        <v>49531</v>
      </c>
      <c r="F20568" t="s">
        <v>47185</v>
      </c>
      <c r="G20568" t="s">
        <v>47093</v>
      </c>
      <c r="H20568" t="s">
        <v>47054</v>
      </c>
      <c r="I20568" t="s">
        <v>47544</v>
      </c>
      <c r="J20568" t="s">
        <v>47545</v>
      </c>
      <c r="K20568" t="s">
        <v>47113</v>
      </c>
      <c r="L20568">
        <v>36.619999999999997</v>
      </c>
      <c r="M20568">
        <v>111</v>
      </c>
      <c r="N20568">
        <v>299</v>
      </c>
      <c r="O20568">
        <v>111</v>
      </c>
      <c r="P20568">
        <v>299</v>
      </c>
    </row>
    <row r="20569" spans="1:16" x14ac:dyDescent="0.25">
      <c r="A20569" t="s">
        <v>49532</v>
      </c>
      <c r="B20569" t="s">
        <v>49533</v>
      </c>
      <c r="C20569" t="s">
        <v>49534</v>
      </c>
      <c r="D20569" t="s">
        <v>49535</v>
      </c>
      <c r="E20569" t="s">
        <v>49536</v>
      </c>
      <c r="F20569" t="s">
        <v>47171</v>
      </c>
      <c r="G20569" t="s">
        <v>47093</v>
      </c>
      <c r="H20569" t="s">
        <v>47054</v>
      </c>
      <c r="I20569" t="s">
        <v>47116</v>
      </c>
      <c r="J20569" t="s">
        <v>47117</v>
      </c>
      <c r="K20569" t="s">
        <v>47113</v>
      </c>
      <c r="L20569">
        <v>53.06</v>
      </c>
      <c r="M20569">
        <v>129</v>
      </c>
      <c r="N20569">
        <v>349</v>
      </c>
      <c r="O20569">
        <v>129</v>
      </c>
      <c r="P20569">
        <v>349</v>
      </c>
    </row>
    <row r="20570" spans="1:16" x14ac:dyDescent="0.25">
      <c r="A20570" t="s">
        <v>49537</v>
      </c>
      <c r="B20570" t="s">
        <v>49538</v>
      </c>
      <c r="C20570" t="s">
        <v>43662</v>
      </c>
      <c r="D20570" t="s">
        <v>49530</v>
      </c>
      <c r="E20570" t="s">
        <v>49531</v>
      </c>
      <c r="F20570" t="s">
        <v>47185</v>
      </c>
      <c r="G20570" t="s">
        <v>47093</v>
      </c>
      <c r="H20570" t="s">
        <v>47054</v>
      </c>
      <c r="I20570" t="s">
        <v>47544</v>
      </c>
      <c r="J20570" t="s">
        <v>47545</v>
      </c>
      <c r="K20570" t="s">
        <v>47113</v>
      </c>
      <c r="L20570">
        <v>35.869999999999997</v>
      </c>
      <c r="M20570">
        <v>81</v>
      </c>
      <c r="N20570">
        <v>219</v>
      </c>
      <c r="O20570">
        <v>81</v>
      </c>
      <c r="P20570">
        <v>219</v>
      </c>
    </row>
    <row r="20571" spans="1:16" x14ac:dyDescent="0.25">
      <c r="A20571" t="s">
        <v>49539</v>
      </c>
      <c r="B20571" t="s">
        <v>49540</v>
      </c>
      <c r="C20571" t="s">
        <v>11319</v>
      </c>
      <c r="D20571" t="s">
        <v>49541</v>
      </c>
      <c r="E20571" t="s">
        <v>49542</v>
      </c>
      <c r="F20571" t="s">
        <v>47185</v>
      </c>
      <c r="G20571" t="s">
        <v>47093</v>
      </c>
      <c r="H20571" t="s">
        <v>47054</v>
      </c>
      <c r="I20571" t="s">
        <v>47544</v>
      </c>
      <c r="J20571" t="s">
        <v>47545</v>
      </c>
      <c r="K20571" t="s">
        <v>47113</v>
      </c>
      <c r="L20571">
        <v>47.25</v>
      </c>
      <c r="M20571">
        <v>111</v>
      </c>
      <c r="N20571">
        <v>299</v>
      </c>
      <c r="O20571">
        <v>111</v>
      </c>
      <c r="P20571">
        <v>299</v>
      </c>
    </row>
    <row r="20572" spans="1:16" x14ac:dyDescent="0.25">
      <c r="A20572" t="s">
        <v>49543</v>
      </c>
      <c r="B20572" t="s">
        <v>49544</v>
      </c>
      <c r="C20572" t="s">
        <v>49545</v>
      </c>
      <c r="D20572" t="s">
        <v>49469</v>
      </c>
      <c r="E20572" t="s">
        <v>49470</v>
      </c>
      <c r="F20572" t="s">
        <v>47163</v>
      </c>
      <c r="G20572" t="s">
        <v>47093</v>
      </c>
      <c r="H20572" t="s">
        <v>47054</v>
      </c>
      <c r="I20572" t="s">
        <v>47120</v>
      </c>
      <c r="J20572" t="s">
        <v>47121</v>
      </c>
      <c r="K20572" t="s">
        <v>47113</v>
      </c>
      <c r="L20572">
        <v>34.840000000000003</v>
      </c>
      <c r="M20572">
        <v>111</v>
      </c>
      <c r="N20572">
        <v>299</v>
      </c>
      <c r="O20572">
        <v>111</v>
      </c>
      <c r="P20572">
        <v>299</v>
      </c>
    </row>
    <row r="20573" spans="1:16" x14ac:dyDescent="0.25">
      <c r="A20573" t="s">
        <v>49546</v>
      </c>
      <c r="B20573" t="s">
        <v>49547</v>
      </c>
      <c r="C20573" t="s">
        <v>49545</v>
      </c>
      <c r="D20573" t="s">
        <v>49469</v>
      </c>
      <c r="E20573" t="s">
        <v>49470</v>
      </c>
      <c r="F20573" t="s">
        <v>47163</v>
      </c>
      <c r="G20573" t="s">
        <v>47093</v>
      </c>
      <c r="H20573" t="s">
        <v>47054</v>
      </c>
      <c r="I20573" t="s">
        <v>47120</v>
      </c>
      <c r="J20573" t="s">
        <v>47121</v>
      </c>
      <c r="K20573" t="s">
        <v>47113</v>
      </c>
      <c r="L20573">
        <v>40.770000000000003</v>
      </c>
      <c r="M20573">
        <v>111</v>
      </c>
      <c r="N20573">
        <v>299</v>
      </c>
      <c r="O20573">
        <v>111</v>
      </c>
      <c r="P20573">
        <v>299</v>
      </c>
    </row>
    <row r="20574" spans="1:16" x14ac:dyDescent="0.25">
      <c r="A20574" t="s">
        <v>49548</v>
      </c>
      <c r="B20574" t="s">
        <v>49549</v>
      </c>
      <c r="C20574" t="s">
        <v>49550</v>
      </c>
      <c r="D20574" t="s">
        <v>49551</v>
      </c>
      <c r="E20574" t="s">
        <v>49552</v>
      </c>
      <c r="F20574" t="s">
        <v>24622</v>
      </c>
      <c r="G20574" t="s">
        <v>47093</v>
      </c>
      <c r="H20574" t="s">
        <v>47054</v>
      </c>
      <c r="I20574" t="s">
        <v>47120</v>
      </c>
      <c r="J20574" t="s">
        <v>47121</v>
      </c>
      <c r="K20574" t="s">
        <v>47113</v>
      </c>
      <c r="L20574">
        <v>47.68</v>
      </c>
      <c r="M20574">
        <v>129</v>
      </c>
      <c r="N20574">
        <v>349</v>
      </c>
      <c r="O20574">
        <v>129</v>
      </c>
      <c r="P20574">
        <v>349</v>
      </c>
    </row>
    <row r="20575" spans="1:16" x14ac:dyDescent="0.25">
      <c r="A20575" t="s">
        <v>43352</v>
      </c>
      <c r="B20575" t="s">
        <v>43353</v>
      </c>
      <c r="C20575" t="s">
        <v>43354</v>
      </c>
      <c r="D20575" t="s">
        <v>43327</v>
      </c>
      <c r="E20575" t="s">
        <v>43328</v>
      </c>
      <c r="F20575" t="s">
        <v>31484</v>
      </c>
      <c r="G20575" t="s">
        <v>49029</v>
      </c>
      <c r="H20575" t="s">
        <v>47054</v>
      </c>
      <c r="I20575" t="s">
        <v>47111</v>
      </c>
      <c r="J20575" t="s">
        <v>47112</v>
      </c>
      <c r="K20575" t="s">
        <v>47113</v>
      </c>
      <c r="L20575">
        <v>27.27</v>
      </c>
      <c r="M20575">
        <v>70</v>
      </c>
      <c r="N20575">
        <v>189</v>
      </c>
      <c r="O20575">
        <v>70</v>
      </c>
      <c r="P20575">
        <v>189</v>
      </c>
    </row>
    <row r="20576" spans="1:16" x14ac:dyDescent="0.25">
      <c r="A20576" t="s">
        <v>49553</v>
      </c>
      <c r="B20576" t="s">
        <v>49554</v>
      </c>
      <c r="C20576" t="s">
        <v>49555</v>
      </c>
      <c r="D20576" t="s">
        <v>49556</v>
      </c>
      <c r="E20576" t="s">
        <v>49557</v>
      </c>
      <c r="F20576" t="s">
        <v>27965</v>
      </c>
      <c r="G20576" t="s">
        <v>47093</v>
      </c>
      <c r="H20576" t="s">
        <v>47054</v>
      </c>
      <c r="I20576" t="s">
        <v>47111</v>
      </c>
      <c r="J20576" t="s">
        <v>47112</v>
      </c>
      <c r="K20576" t="s">
        <v>47113</v>
      </c>
      <c r="L20576">
        <v>60.51</v>
      </c>
      <c r="M20576">
        <v>148</v>
      </c>
      <c r="N20576">
        <v>399</v>
      </c>
      <c r="O20576">
        <v>148</v>
      </c>
      <c r="P20576">
        <v>399</v>
      </c>
    </row>
    <row r="20577" spans="1:16" x14ac:dyDescent="0.25">
      <c r="A20577" t="s">
        <v>49558</v>
      </c>
      <c r="B20577" t="s">
        <v>49559</v>
      </c>
      <c r="C20577" t="s">
        <v>49560</v>
      </c>
      <c r="D20577" t="s">
        <v>49561</v>
      </c>
      <c r="E20577" t="s">
        <v>49562</v>
      </c>
      <c r="F20577" t="s">
        <v>31484</v>
      </c>
      <c r="G20577" t="s">
        <v>47093</v>
      </c>
      <c r="H20577" t="s">
        <v>47054</v>
      </c>
      <c r="I20577" t="s">
        <v>47111</v>
      </c>
      <c r="J20577" t="s">
        <v>47112</v>
      </c>
      <c r="K20577" t="s">
        <v>47113</v>
      </c>
      <c r="L20577">
        <v>56.3</v>
      </c>
      <c r="M20577">
        <v>148</v>
      </c>
      <c r="N20577">
        <v>399</v>
      </c>
      <c r="O20577">
        <v>148</v>
      </c>
      <c r="P20577">
        <v>399</v>
      </c>
    </row>
    <row r="20578" spans="1:16" x14ac:dyDescent="0.25">
      <c r="A20578" t="s">
        <v>49563</v>
      </c>
      <c r="B20578" t="s">
        <v>49559</v>
      </c>
      <c r="C20578" t="s">
        <v>49560</v>
      </c>
      <c r="D20578" t="s">
        <v>49564</v>
      </c>
      <c r="E20578" t="s">
        <v>49565</v>
      </c>
      <c r="F20578" t="s">
        <v>31484</v>
      </c>
      <c r="G20578" t="s">
        <v>47093</v>
      </c>
      <c r="H20578" t="s">
        <v>47054</v>
      </c>
      <c r="I20578" t="s">
        <v>47111</v>
      </c>
      <c r="J20578" t="s">
        <v>47112</v>
      </c>
      <c r="K20578" t="s">
        <v>47113</v>
      </c>
      <c r="L20578">
        <v>58.91</v>
      </c>
      <c r="M20578">
        <v>129</v>
      </c>
      <c r="N20578">
        <v>349</v>
      </c>
      <c r="O20578">
        <v>129</v>
      </c>
      <c r="P20578">
        <v>349</v>
      </c>
    </row>
    <row r="20579" spans="1:16" x14ac:dyDescent="0.25">
      <c r="A20579" t="s">
        <v>49566</v>
      </c>
      <c r="B20579" t="s">
        <v>49567</v>
      </c>
      <c r="C20579" t="s">
        <v>49568</v>
      </c>
      <c r="D20579" t="s">
        <v>49541</v>
      </c>
      <c r="E20579" t="s">
        <v>49542</v>
      </c>
      <c r="F20579" t="s">
        <v>47185</v>
      </c>
      <c r="G20579" t="s">
        <v>47093</v>
      </c>
      <c r="H20579" t="s">
        <v>47054</v>
      </c>
      <c r="I20579" t="s">
        <v>47544</v>
      </c>
      <c r="J20579" t="s">
        <v>47545</v>
      </c>
      <c r="K20579" t="s">
        <v>47113</v>
      </c>
      <c r="L20579">
        <v>30.79</v>
      </c>
      <c r="M20579">
        <v>81</v>
      </c>
      <c r="N20579">
        <v>219</v>
      </c>
      <c r="O20579">
        <v>81</v>
      </c>
      <c r="P20579">
        <v>219</v>
      </c>
    </row>
    <row r="20580" spans="1:16" x14ac:dyDescent="0.25">
      <c r="A20580" t="s">
        <v>49569</v>
      </c>
      <c r="B20580" t="s">
        <v>49570</v>
      </c>
      <c r="C20580" t="s">
        <v>49571</v>
      </c>
      <c r="D20580" t="s">
        <v>49572</v>
      </c>
      <c r="E20580" t="s">
        <v>49573</v>
      </c>
      <c r="F20580" t="s">
        <v>47488</v>
      </c>
      <c r="G20580" t="s">
        <v>47093</v>
      </c>
      <c r="H20580" t="s">
        <v>47054</v>
      </c>
      <c r="I20580" t="s">
        <v>47120</v>
      </c>
      <c r="J20580" t="s">
        <v>47121</v>
      </c>
      <c r="K20580" t="s">
        <v>47113</v>
      </c>
      <c r="L20580">
        <v>33.32</v>
      </c>
      <c r="M20580">
        <v>74</v>
      </c>
      <c r="N20580">
        <v>199</v>
      </c>
      <c r="O20580">
        <v>74</v>
      </c>
      <c r="P20580">
        <v>199</v>
      </c>
    </row>
    <row r="20581" spans="1:16" x14ac:dyDescent="0.25">
      <c r="A20581" t="s">
        <v>49574</v>
      </c>
      <c r="B20581" t="s">
        <v>49575</v>
      </c>
      <c r="C20581" t="s">
        <v>49571</v>
      </c>
      <c r="D20581" t="s">
        <v>49515</v>
      </c>
      <c r="E20581" t="s">
        <v>49516</v>
      </c>
      <c r="F20581" t="s">
        <v>31484</v>
      </c>
      <c r="G20581" t="s">
        <v>47093</v>
      </c>
      <c r="H20581" t="s">
        <v>47054</v>
      </c>
      <c r="I20581" t="s">
        <v>47120</v>
      </c>
      <c r="J20581" t="s">
        <v>47121</v>
      </c>
      <c r="K20581" t="s">
        <v>47113</v>
      </c>
      <c r="L20581">
        <v>31.43</v>
      </c>
      <c r="M20581">
        <v>92</v>
      </c>
      <c r="N20581">
        <v>249</v>
      </c>
      <c r="O20581">
        <v>92</v>
      </c>
      <c r="P20581">
        <v>249</v>
      </c>
    </row>
    <row r="20582" spans="1:16" x14ac:dyDescent="0.25">
      <c r="A20582" t="s">
        <v>49576</v>
      </c>
      <c r="B20582" t="s">
        <v>49577</v>
      </c>
      <c r="C20582" t="s">
        <v>49571</v>
      </c>
      <c r="D20582" t="s">
        <v>49578</v>
      </c>
      <c r="E20582" t="s">
        <v>49579</v>
      </c>
      <c r="F20582" t="s">
        <v>47488</v>
      </c>
      <c r="G20582" t="s">
        <v>47093</v>
      </c>
      <c r="H20582" t="s">
        <v>47054</v>
      </c>
      <c r="I20582" t="s">
        <v>47116</v>
      </c>
      <c r="J20582" t="s">
        <v>47117</v>
      </c>
      <c r="K20582" t="s">
        <v>47113</v>
      </c>
      <c r="L20582">
        <v>41.03</v>
      </c>
      <c r="M20582">
        <v>111</v>
      </c>
      <c r="N20582">
        <v>299</v>
      </c>
      <c r="O20582">
        <v>111</v>
      </c>
      <c r="P20582">
        <v>299</v>
      </c>
    </row>
    <row r="20583" spans="1:16" x14ac:dyDescent="0.25">
      <c r="A20583" t="s">
        <v>49580</v>
      </c>
      <c r="B20583" t="s">
        <v>49581</v>
      </c>
      <c r="C20583" t="s">
        <v>49582</v>
      </c>
      <c r="D20583" t="s">
        <v>49583</v>
      </c>
      <c r="E20583" t="s">
        <v>49584</v>
      </c>
      <c r="F20583" t="s">
        <v>47479</v>
      </c>
      <c r="G20583" t="s">
        <v>47093</v>
      </c>
      <c r="H20583" t="s">
        <v>47054</v>
      </c>
      <c r="I20583" t="s">
        <v>47120</v>
      </c>
      <c r="J20583" t="s">
        <v>47121</v>
      </c>
      <c r="K20583" t="s">
        <v>47113</v>
      </c>
      <c r="L20583">
        <v>42.45</v>
      </c>
      <c r="M20583">
        <v>111</v>
      </c>
      <c r="N20583">
        <v>299</v>
      </c>
      <c r="O20583">
        <v>111</v>
      </c>
      <c r="P20583">
        <v>299</v>
      </c>
    </row>
    <row r="20584" spans="1:16" x14ac:dyDescent="0.25">
      <c r="A20584" t="s">
        <v>49585</v>
      </c>
      <c r="B20584" t="s">
        <v>49586</v>
      </c>
      <c r="C20584" t="s">
        <v>49571</v>
      </c>
      <c r="D20584" t="s">
        <v>49587</v>
      </c>
      <c r="E20584" t="s">
        <v>49588</v>
      </c>
      <c r="F20584" t="s">
        <v>47479</v>
      </c>
      <c r="G20584" t="s">
        <v>47093</v>
      </c>
      <c r="H20584" t="s">
        <v>47054</v>
      </c>
      <c r="I20584" t="s">
        <v>47120</v>
      </c>
      <c r="J20584" t="s">
        <v>47121</v>
      </c>
      <c r="K20584" t="s">
        <v>47113</v>
      </c>
      <c r="L20584">
        <v>44.22</v>
      </c>
      <c r="M20584">
        <v>111</v>
      </c>
      <c r="N20584">
        <v>299</v>
      </c>
      <c r="O20584">
        <v>111</v>
      </c>
      <c r="P20584">
        <v>299</v>
      </c>
    </row>
    <row r="20585" spans="1:16" x14ac:dyDescent="0.25">
      <c r="A20585" t="s">
        <v>49589</v>
      </c>
      <c r="B20585" t="s">
        <v>49590</v>
      </c>
      <c r="C20585" t="s">
        <v>49560</v>
      </c>
      <c r="D20585" t="s">
        <v>49591</v>
      </c>
      <c r="E20585" t="s">
        <v>49592</v>
      </c>
      <c r="F20585" t="s">
        <v>31484</v>
      </c>
      <c r="G20585" t="s">
        <v>47093</v>
      </c>
      <c r="H20585" t="s">
        <v>47054</v>
      </c>
      <c r="I20585" t="s">
        <v>47111</v>
      </c>
      <c r="J20585" t="s">
        <v>47112</v>
      </c>
      <c r="K20585" t="s">
        <v>47113</v>
      </c>
      <c r="L20585">
        <v>52.72</v>
      </c>
      <c r="M20585">
        <v>129</v>
      </c>
      <c r="N20585">
        <v>349</v>
      </c>
      <c r="O20585">
        <v>129</v>
      </c>
      <c r="P20585">
        <v>349</v>
      </c>
    </row>
    <row r="20586" spans="1:16" x14ac:dyDescent="0.25">
      <c r="A20586" t="s">
        <v>49593</v>
      </c>
      <c r="B20586" t="s">
        <v>49594</v>
      </c>
      <c r="C20586" t="s">
        <v>49595</v>
      </c>
      <c r="D20586" t="s">
        <v>49596</v>
      </c>
      <c r="E20586" t="s">
        <v>49597</v>
      </c>
      <c r="F20586" t="s">
        <v>27965</v>
      </c>
      <c r="G20586" t="s">
        <v>47093</v>
      </c>
      <c r="H20586" t="s">
        <v>47054</v>
      </c>
      <c r="I20586" t="s">
        <v>47111</v>
      </c>
      <c r="J20586" t="s">
        <v>47112</v>
      </c>
      <c r="K20586" t="s">
        <v>47113</v>
      </c>
      <c r="L20586">
        <v>48.82</v>
      </c>
      <c r="M20586">
        <v>129</v>
      </c>
      <c r="N20586">
        <v>349</v>
      </c>
      <c r="O20586">
        <v>129</v>
      </c>
      <c r="P20586">
        <v>349</v>
      </c>
    </row>
    <row r="20587" spans="1:16" x14ac:dyDescent="0.25">
      <c r="A20587" t="s">
        <v>49598</v>
      </c>
      <c r="B20587" t="s">
        <v>49599</v>
      </c>
      <c r="C20587" t="s">
        <v>49595</v>
      </c>
      <c r="D20587" t="s">
        <v>21682</v>
      </c>
      <c r="E20587" t="s">
        <v>21683</v>
      </c>
      <c r="F20587" t="s">
        <v>27965</v>
      </c>
      <c r="G20587" t="s">
        <v>47093</v>
      </c>
      <c r="H20587" t="s">
        <v>47054</v>
      </c>
      <c r="I20587" t="s">
        <v>47111</v>
      </c>
      <c r="J20587" t="s">
        <v>47112</v>
      </c>
      <c r="K20587" t="s">
        <v>47113</v>
      </c>
      <c r="L20587">
        <v>58.63</v>
      </c>
      <c r="M20587">
        <v>129</v>
      </c>
      <c r="N20587">
        <v>349</v>
      </c>
      <c r="O20587">
        <v>129</v>
      </c>
      <c r="P20587">
        <v>349</v>
      </c>
    </row>
    <row r="20588" spans="1:16" x14ac:dyDescent="0.25">
      <c r="A20588" t="s">
        <v>49600</v>
      </c>
      <c r="B20588" t="s">
        <v>49601</v>
      </c>
      <c r="C20588" t="s">
        <v>49602</v>
      </c>
      <c r="D20588" t="s">
        <v>49603</v>
      </c>
      <c r="E20588" t="s">
        <v>49604</v>
      </c>
      <c r="F20588" t="s">
        <v>46687</v>
      </c>
      <c r="G20588" t="s">
        <v>47093</v>
      </c>
      <c r="H20588" t="s">
        <v>47054</v>
      </c>
      <c r="I20588" t="s">
        <v>47116</v>
      </c>
      <c r="J20588" t="s">
        <v>47117</v>
      </c>
      <c r="K20588" t="s">
        <v>47113</v>
      </c>
      <c r="L20588">
        <v>44.86</v>
      </c>
      <c r="M20588">
        <v>129</v>
      </c>
      <c r="N20588">
        <v>349</v>
      </c>
      <c r="O20588">
        <v>129</v>
      </c>
      <c r="P20588">
        <v>349</v>
      </c>
    </row>
    <row r="20589" spans="1:16" x14ac:dyDescent="0.25">
      <c r="A20589" t="s">
        <v>49605</v>
      </c>
      <c r="B20589" t="s">
        <v>49606</v>
      </c>
      <c r="C20589" t="s">
        <v>49607</v>
      </c>
      <c r="D20589" t="s">
        <v>49608</v>
      </c>
      <c r="E20589" t="s">
        <v>49609</v>
      </c>
      <c r="F20589" t="s">
        <v>46687</v>
      </c>
      <c r="G20589" t="s">
        <v>47093</v>
      </c>
      <c r="H20589" t="s">
        <v>47054</v>
      </c>
      <c r="I20589" t="s">
        <v>47111</v>
      </c>
      <c r="J20589" t="s">
        <v>47112</v>
      </c>
      <c r="K20589" t="s">
        <v>47113</v>
      </c>
      <c r="L20589">
        <v>53.07</v>
      </c>
      <c r="M20589">
        <v>74</v>
      </c>
      <c r="N20589">
        <v>199</v>
      </c>
      <c r="O20589">
        <v>74</v>
      </c>
      <c r="P20589">
        <v>199</v>
      </c>
    </row>
    <row r="20590" spans="1:16" x14ac:dyDescent="0.25">
      <c r="A20590" t="s">
        <v>49610</v>
      </c>
      <c r="B20590" t="s">
        <v>49606</v>
      </c>
      <c r="C20590" t="s">
        <v>49607</v>
      </c>
      <c r="D20590" t="s">
        <v>49611</v>
      </c>
      <c r="E20590" t="s">
        <v>49612</v>
      </c>
      <c r="F20590" t="s">
        <v>46687</v>
      </c>
      <c r="G20590" t="s">
        <v>47093</v>
      </c>
      <c r="H20590" t="s">
        <v>47054</v>
      </c>
      <c r="I20590" t="s">
        <v>47111</v>
      </c>
      <c r="J20590" t="s">
        <v>47112</v>
      </c>
      <c r="K20590" t="s">
        <v>47113</v>
      </c>
      <c r="L20590">
        <v>53.07</v>
      </c>
      <c r="M20590">
        <v>74</v>
      </c>
      <c r="N20590">
        <v>199</v>
      </c>
      <c r="O20590">
        <v>74</v>
      </c>
      <c r="P20590">
        <v>199</v>
      </c>
    </row>
    <row r="20591" spans="1:16" x14ac:dyDescent="0.25">
      <c r="A20591" t="s">
        <v>49613</v>
      </c>
      <c r="B20591" t="s">
        <v>49614</v>
      </c>
      <c r="C20591" t="s">
        <v>49615</v>
      </c>
      <c r="D20591" t="str">
        <f>"1001"</f>
        <v>1001</v>
      </c>
      <c r="E20591" t="s">
        <v>49616</v>
      </c>
      <c r="F20591" t="s">
        <v>47163</v>
      </c>
      <c r="G20591" t="s">
        <v>47099</v>
      </c>
      <c r="H20591" t="s">
        <v>47054</v>
      </c>
      <c r="I20591" t="s">
        <v>47120</v>
      </c>
      <c r="J20591" t="s">
        <v>47121</v>
      </c>
      <c r="K20591" t="s">
        <v>47113</v>
      </c>
      <c r="L20591">
        <v>36.57</v>
      </c>
      <c r="M20591">
        <v>85</v>
      </c>
      <c r="N20591">
        <v>229</v>
      </c>
      <c r="O20591">
        <v>85</v>
      </c>
      <c r="P20591">
        <v>229</v>
      </c>
    </row>
    <row r="20592" spans="1:16" x14ac:dyDescent="0.25">
      <c r="A20592" t="s">
        <v>49617</v>
      </c>
      <c r="B20592" t="s">
        <v>49614</v>
      </c>
      <c r="C20592" t="s">
        <v>49615</v>
      </c>
      <c r="D20592" t="str">
        <f>"3071"</f>
        <v>3071</v>
      </c>
      <c r="E20592" t="s">
        <v>49618</v>
      </c>
      <c r="F20592" t="s">
        <v>47163</v>
      </c>
      <c r="G20592" t="s">
        <v>47099</v>
      </c>
      <c r="H20592" t="s">
        <v>47054</v>
      </c>
      <c r="I20592" t="s">
        <v>47120</v>
      </c>
      <c r="J20592" t="s">
        <v>47121</v>
      </c>
      <c r="K20592" t="s">
        <v>47113</v>
      </c>
      <c r="L20592">
        <v>36.57</v>
      </c>
      <c r="M20592">
        <v>85</v>
      </c>
      <c r="N20592">
        <v>229</v>
      </c>
      <c r="O20592">
        <v>85</v>
      </c>
      <c r="P20592">
        <v>229</v>
      </c>
    </row>
    <row r="20593" spans="1:16" x14ac:dyDescent="0.25">
      <c r="A20593" t="s">
        <v>49619</v>
      </c>
      <c r="B20593" t="s">
        <v>49620</v>
      </c>
      <c r="C20593" t="s">
        <v>49621</v>
      </c>
      <c r="D20593" t="s">
        <v>43594</v>
      </c>
      <c r="E20593" t="s">
        <v>43595</v>
      </c>
      <c r="F20593" t="s">
        <v>46687</v>
      </c>
      <c r="G20593" t="s">
        <v>47093</v>
      </c>
      <c r="H20593" t="s">
        <v>47054</v>
      </c>
      <c r="I20593" t="s">
        <v>47116</v>
      </c>
      <c r="J20593" t="s">
        <v>47117</v>
      </c>
      <c r="K20593" t="s">
        <v>47113</v>
      </c>
      <c r="L20593">
        <v>45.2</v>
      </c>
      <c r="M20593">
        <v>129</v>
      </c>
      <c r="N20593">
        <v>349</v>
      </c>
      <c r="O20593">
        <v>129</v>
      </c>
      <c r="P20593">
        <v>349</v>
      </c>
    </row>
    <row r="20594" spans="1:16" x14ac:dyDescent="0.25">
      <c r="A20594" t="s">
        <v>49622</v>
      </c>
      <c r="B20594" t="s">
        <v>49623</v>
      </c>
      <c r="C20594" t="s">
        <v>49624</v>
      </c>
      <c r="D20594" t="s">
        <v>49625</v>
      </c>
      <c r="E20594" t="s">
        <v>49626</v>
      </c>
      <c r="F20594" t="s">
        <v>47171</v>
      </c>
      <c r="G20594" t="s">
        <v>47093</v>
      </c>
      <c r="H20594" t="s">
        <v>47054</v>
      </c>
      <c r="I20594" t="s">
        <v>47116</v>
      </c>
      <c r="J20594" t="s">
        <v>47117</v>
      </c>
      <c r="K20594" t="s">
        <v>47113</v>
      </c>
      <c r="L20594">
        <v>75.17</v>
      </c>
      <c r="M20594">
        <v>166</v>
      </c>
      <c r="N20594">
        <v>449</v>
      </c>
      <c r="O20594">
        <v>166</v>
      </c>
      <c r="P20594">
        <v>449</v>
      </c>
    </row>
    <row r="20595" spans="1:16" x14ac:dyDescent="0.25">
      <c r="A20595" t="s">
        <v>49627</v>
      </c>
      <c r="B20595" t="s">
        <v>49628</v>
      </c>
      <c r="C20595" t="s">
        <v>49629</v>
      </c>
      <c r="D20595" t="s">
        <v>49630</v>
      </c>
      <c r="E20595" t="s">
        <v>49631</v>
      </c>
      <c r="F20595" t="s">
        <v>47488</v>
      </c>
      <c r="G20595" t="s">
        <v>47093</v>
      </c>
      <c r="H20595" t="s">
        <v>47054</v>
      </c>
      <c r="I20595" t="s">
        <v>47544</v>
      </c>
      <c r="J20595" t="s">
        <v>47545</v>
      </c>
      <c r="K20595" t="s">
        <v>47113</v>
      </c>
      <c r="L20595">
        <v>39.619999999999997</v>
      </c>
      <c r="M20595">
        <v>111</v>
      </c>
      <c r="N20595">
        <v>299</v>
      </c>
      <c r="O20595">
        <v>111</v>
      </c>
      <c r="P20595">
        <v>299</v>
      </c>
    </row>
    <row r="20596" spans="1:16" x14ac:dyDescent="0.25">
      <c r="A20596" t="s">
        <v>49632</v>
      </c>
      <c r="B20596" t="s">
        <v>49633</v>
      </c>
      <c r="C20596" t="s">
        <v>49634</v>
      </c>
      <c r="D20596" t="s">
        <v>49635</v>
      </c>
      <c r="E20596" t="s">
        <v>49636</v>
      </c>
      <c r="F20596" t="s">
        <v>47479</v>
      </c>
      <c r="G20596" t="s">
        <v>47093</v>
      </c>
      <c r="H20596" t="s">
        <v>47054</v>
      </c>
      <c r="I20596" t="s">
        <v>47544</v>
      </c>
      <c r="J20596" t="s">
        <v>47545</v>
      </c>
      <c r="K20596" t="s">
        <v>47113</v>
      </c>
      <c r="L20596">
        <v>32.93</v>
      </c>
      <c r="M20596">
        <v>92</v>
      </c>
      <c r="N20596">
        <v>249</v>
      </c>
      <c r="O20596">
        <v>92</v>
      </c>
      <c r="P20596">
        <v>249</v>
      </c>
    </row>
    <row r="20597" spans="1:16" x14ac:dyDescent="0.25">
      <c r="A20597" t="s">
        <v>49637</v>
      </c>
      <c r="B20597" t="s">
        <v>49638</v>
      </c>
      <c r="C20597" t="s">
        <v>49634</v>
      </c>
      <c r="D20597" t="s">
        <v>49639</v>
      </c>
      <c r="E20597" t="s">
        <v>49640</v>
      </c>
      <c r="F20597" t="s">
        <v>47479</v>
      </c>
      <c r="G20597" t="s">
        <v>47093</v>
      </c>
      <c r="H20597" t="s">
        <v>47054</v>
      </c>
      <c r="I20597" t="s">
        <v>47544</v>
      </c>
      <c r="J20597" t="s">
        <v>47545</v>
      </c>
      <c r="K20597" t="s">
        <v>47113</v>
      </c>
      <c r="L20597">
        <v>35.770000000000003</v>
      </c>
      <c r="M20597">
        <v>92</v>
      </c>
      <c r="N20597">
        <v>249</v>
      </c>
      <c r="O20597">
        <v>92</v>
      </c>
      <c r="P20597">
        <v>249</v>
      </c>
    </row>
    <row r="20598" spans="1:16" x14ac:dyDescent="0.25">
      <c r="A20598" t="s">
        <v>49641</v>
      </c>
      <c r="B20598" t="s">
        <v>49642</v>
      </c>
      <c r="C20598" t="s">
        <v>49643</v>
      </c>
      <c r="D20598" t="s">
        <v>49644</v>
      </c>
      <c r="E20598" t="s">
        <v>49645</v>
      </c>
      <c r="F20598" t="s">
        <v>47488</v>
      </c>
      <c r="G20598" t="s">
        <v>47093</v>
      </c>
      <c r="H20598" t="s">
        <v>47054</v>
      </c>
      <c r="I20598" t="s">
        <v>47116</v>
      </c>
      <c r="J20598" t="s">
        <v>47117</v>
      </c>
      <c r="K20598" t="s">
        <v>47113</v>
      </c>
      <c r="L20598">
        <v>39.590000000000003</v>
      </c>
      <c r="M20598">
        <v>92</v>
      </c>
      <c r="N20598">
        <v>249</v>
      </c>
      <c r="O20598">
        <v>92</v>
      </c>
      <c r="P20598">
        <v>249</v>
      </c>
    </row>
    <row r="20599" spans="1:16" x14ac:dyDescent="0.25">
      <c r="A20599" t="s">
        <v>49646</v>
      </c>
      <c r="B20599" t="s">
        <v>49647</v>
      </c>
      <c r="C20599" t="s">
        <v>49643</v>
      </c>
      <c r="D20599" t="s">
        <v>49648</v>
      </c>
      <c r="E20599" t="s">
        <v>49649</v>
      </c>
      <c r="F20599" t="s">
        <v>47488</v>
      </c>
      <c r="G20599" t="s">
        <v>47093</v>
      </c>
      <c r="H20599" t="s">
        <v>47054</v>
      </c>
      <c r="I20599" t="s">
        <v>47116</v>
      </c>
      <c r="J20599" t="s">
        <v>47117</v>
      </c>
      <c r="K20599" t="s">
        <v>47113</v>
      </c>
      <c r="L20599">
        <v>41.54</v>
      </c>
      <c r="M20599">
        <v>92</v>
      </c>
      <c r="N20599">
        <v>249</v>
      </c>
      <c r="O20599">
        <v>92</v>
      </c>
      <c r="P20599">
        <v>249</v>
      </c>
    </row>
    <row r="20600" spans="1:16" x14ac:dyDescent="0.25">
      <c r="A20600" t="s">
        <v>49650</v>
      </c>
      <c r="B20600" t="s">
        <v>49651</v>
      </c>
      <c r="C20600" t="s">
        <v>21870</v>
      </c>
      <c r="D20600" t="s">
        <v>49510</v>
      </c>
      <c r="E20600" t="s">
        <v>49511</v>
      </c>
      <c r="F20600" t="s">
        <v>47488</v>
      </c>
      <c r="G20600" t="s">
        <v>47093</v>
      </c>
      <c r="H20600" t="s">
        <v>47054</v>
      </c>
      <c r="I20600" t="s">
        <v>47120</v>
      </c>
      <c r="J20600" t="s">
        <v>47121</v>
      </c>
      <c r="K20600" t="s">
        <v>47113</v>
      </c>
      <c r="L20600">
        <v>26.9</v>
      </c>
      <c r="M20600">
        <v>74</v>
      </c>
      <c r="N20600">
        <v>199</v>
      </c>
      <c r="O20600">
        <v>74</v>
      </c>
      <c r="P20600">
        <v>199</v>
      </c>
    </row>
    <row r="20601" spans="1:16" x14ac:dyDescent="0.25">
      <c r="A20601" t="s">
        <v>49652</v>
      </c>
      <c r="B20601" t="s">
        <v>49653</v>
      </c>
      <c r="C20601" t="s">
        <v>21870</v>
      </c>
      <c r="D20601" t="s">
        <v>49522</v>
      </c>
      <c r="E20601" t="s">
        <v>49523</v>
      </c>
      <c r="F20601" t="s">
        <v>47488</v>
      </c>
      <c r="G20601" t="s">
        <v>47093</v>
      </c>
      <c r="H20601" t="s">
        <v>47054</v>
      </c>
      <c r="I20601" t="s">
        <v>47120</v>
      </c>
      <c r="J20601" t="s">
        <v>47121</v>
      </c>
      <c r="K20601" t="s">
        <v>47113</v>
      </c>
      <c r="L20601">
        <v>25.24</v>
      </c>
      <c r="M20601">
        <v>74</v>
      </c>
      <c r="N20601">
        <v>199</v>
      </c>
      <c r="O20601">
        <v>74</v>
      </c>
      <c r="P20601">
        <v>199</v>
      </c>
    </row>
    <row r="20602" spans="1:16" x14ac:dyDescent="0.25">
      <c r="A20602" t="s">
        <v>49654</v>
      </c>
      <c r="B20602" t="s">
        <v>49655</v>
      </c>
      <c r="C20602" t="s">
        <v>49656</v>
      </c>
      <c r="D20602" t="s">
        <v>49657</v>
      </c>
      <c r="E20602" t="s">
        <v>49658</v>
      </c>
      <c r="F20602" t="s">
        <v>47488</v>
      </c>
      <c r="G20602" t="s">
        <v>47093</v>
      </c>
      <c r="H20602" t="s">
        <v>47054</v>
      </c>
      <c r="I20602" t="s">
        <v>47120</v>
      </c>
      <c r="J20602" t="s">
        <v>47121</v>
      </c>
      <c r="K20602" t="s">
        <v>47113</v>
      </c>
      <c r="L20602">
        <v>26.9</v>
      </c>
      <c r="M20602">
        <v>70</v>
      </c>
      <c r="N20602">
        <v>189</v>
      </c>
      <c r="O20602">
        <v>70</v>
      </c>
      <c r="P20602">
        <v>189</v>
      </c>
    </row>
    <row r="20603" spans="1:16" x14ac:dyDescent="0.25">
      <c r="A20603" t="s">
        <v>49659</v>
      </c>
      <c r="B20603" t="s">
        <v>49660</v>
      </c>
      <c r="C20603" t="s">
        <v>49656</v>
      </c>
      <c r="D20603" t="s">
        <v>49661</v>
      </c>
      <c r="E20603" t="s">
        <v>49662</v>
      </c>
      <c r="F20603" t="s">
        <v>47488</v>
      </c>
      <c r="G20603" t="s">
        <v>47093</v>
      </c>
      <c r="H20603" t="s">
        <v>47054</v>
      </c>
      <c r="I20603" t="s">
        <v>47120</v>
      </c>
      <c r="J20603" t="s">
        <v>47121</v>
      </c>
      <c r="K20603" t="s">
        <v>47113</v>
      </c>
      <c r="L20603">
        <v>29.03</v>
      </c>
      <c r="M20603">
        <v>70</v>
      </c>
      <c r="N20603">
        <v>189</v>
      </c>
      <c r="O20603">
        <v>70</v>
      </c>
      <c r="P20603">
        <v>189</v>
      </c>
    </row>
    <row r="20604" spans="1:16" x14ac:dyDescent="0.25">
      <c r="A20604" t="s">
        <v>49663</v>
      </c>
      <c r="B20604" t="s">
        <v>49664</v>
      </c>
      <c r="C20604" t="s">
        <v>49665</v>
      </c>
      <c r="D20604" t="s">
        <v>49666</v>
      </c>
      <c r="E20604" t="s">
        <v>49667</v>
      </c>
      <c r="F20604" t="s">
        <v>47163</v>
      </c>
      <c r="G20604" t="s">
        <v>47093</v>
      </c>
      <c r="H20604" t="s">
        <v>47054</v>
      </c>
      <c r="I20604" t="s">
        <v>47111</v>
      </c>
      <c r="J20604" t="s">
        <v>47112</v>
      </c>
      <c r="K20604" t="s">
        <v>47113</v>
      </c>
      <c r="L20604">
        <v>55.84</v>
      </c>
      <c r="M20604">
        <v>92</v>
      </c>
      <c r="N20604">
        <v>249</v>
      </c>
      <c r="O20604">
        <v>92</v>
      </c>
      <c r="P20604">
        <v>249</v>
      </c>
    </row>
    <row r="20605" spans="1:16" x14ac:dyDescent="0.25">
      <c r="A20605" t="s">
        <v>49668</v>
      </c>
      <c r="B20605" t="s">
        <v>49669</v>
      </c>
      <c r="C20605" t="s">
        <v>10614</v>
      </c>
      <c r="D20605" t="s">
        <v>49670</v>
      </c>
      <c r="E20605" t="s">
        <v>49671</v>
      </c>
      <c r="F20605" t="s">
        <v>47479</v>
      </c>
      <c r="G20605" t="s">
        <v>47093</v>
      </c>
      <c r="H20605" t="s">
        <v>47054</v>
      </c>
      <c r="I20605" t="s">
        <v>47120</v>
      </c>
      <c r="J20605" t="s">
        <v>47121</v>
      </c>
      <c r="K20605" t="s">
        <v>47113</v>
      </c>
      <c r="L20605">
        <v>44.06</v>
      </c>
      <c r="M20605">
        <v>100</v>
      </c>
      <c r="N20605">
        <v>269</v>
      </c>
      <c r="O20605">
        <v>100</v>
      </c>
      <c r="P20605">
        <v>269</v>
      </c>
    </row>
    <row r="20606" spans="1:16" x14ac:dyDescent="0.25">
      <c r="A20606" t="s">
        <v>49672</v>
      </c>
      <c r="B20606" t="s">
        <v>49673</v>
      </c>
      <c r="C20606" t="s">
        <v>49674</v>
      </c>
      <c r="D20606" t="s">
        <v>47726</v>
      </c>
      <c r="E20606" t="s">
        <v>47727</v>
      </c>
      <c r="F20606" t="s">
        <v>47479</v>
      </c>
      <c r="G20606" t="s">
        <v>47093</v>
      </c>
      <c r="H20606" t="s">
        <v>47054</v>
      </c>
      <c r="I20606" t="s">
        <v>47111</v>
      </c>
      <c r="J20606" t="s">
        <v>47112</v>
      </c>
      <c r="K20606" t="s">
        <v>47113</v>
      </c>
      <c r="L20606">
        <v>84.97</v>
      </c>
      <c r="M20606">
        <v>129</v>
      </c>
      <c r="N20606">
        <v>349</v>
      </c>
      <c r="O20606">
        <v>129</v>
      </c>
      <c r="P20606">
        <v>349</v>
      </c>
    </row>
    <row r="20607" spans="1:16" x14ac:dyDescent="0.25">
      <c r="A20607" t="s">
        <v>49675</v>
      </c>
      <c r="B20607" t="s">
        <v>49676</v>
      </c>
      <c r="C20607" t="s">
        <v>10614</v>
      </c>
      <c r="D20607" t="s">
        <v>49677</v>
      </c>
      <c r="E20607" t="s">
        <v>49678</v>
      </c>
      <c r="F20607" t="s">
        <v>24627</v>
      </c>
      <c r="G20607" t="s">
        <v>47093</v>
      </c>
      <c r="H20607" t="s">
        <v>47054</v>
      </c>
      <c r="I20607" t="s">
        <v>47111</v>
      </c>
      <c r="J20607" t="s">
        <v>47112</v>
      </c>
      <c r="K20607" t="s">
        <v>47113</v>
      </c>
      <c r="L20607">
        <v>52.72</v>
      </c>
      <c r="M20607">
        <v>129</v>
      </c>
      <c r="N20607">
        <v>349</v>
      </c>
      <c r="O20607">
        <v>129</v>
      </c>
      <c r="P20607">
        <v>349</v>
      </c>
    </row>
    <row r="20608" spans="1:16" x14ac:dyDescent="0.25">
      <c r="A20608" t="s">
        <v>49679</v>
      </c>
      <c r="B20608" t="s">
        <v>49680</v>
      </c>
      <c r="C20608" t="s">
        <v>21870</v>
      </c>
      <c r="D20608" t="str">
        <f>"7233"</f>
        <v>7233</v>
      </c>
      <c r="E20608" t="s">
        <v>48458</v>
      </c>
      <c r="F20608" t="s">
        <v>47488</v>
      </c>
      <c r="G20608" t="s">
        <v>47099</v>
      </c>
      <c r="H20608" t="s">
        <v>47054</v>
      </c>
      <c r="I20608" t="s">
        <v>47120</v>
      </c>
      <c r="J20608" t="s">
        <v>47121</v>
      </c>
      <c r="K20608" t="s">
        <v>47113</v>
      </c>
      <c r="L20608">
        <v>30.56</v>
      </c>
      <c r="M20608">
        <v>74</v>
      </c>
      <c r="N20608">
        <v>199</v>
      </c>
      <c r="O20608">
        <v>74</v>
      </c>
      <c r="P20608">
        <v>199</v>
      </c>
    </row>
    <row r="20609" spans="1:16" x14ac:dyDescent="0.25">
      <c r="A20609" t="s">
        <v>49681</v>
      </c>
      <c r="B20609" t="s">
        <v>49680</v>
      </c>
      <c r="C20609" t="s">
        <v>21870</v>
      </c>
      <c r="D20609" t="str">
        <f>"9614"</f>
        <v>9614</v>
      </c>
      <c r="E20609" t="s">
        <v>49682</v>
      </c>
      <c r="F20609" t="s">
        <v>47171</v>
      </c>
      <c r="G20609" t="s">
        <v>47099</v>
      </c>
      <c r="H20609" t="s">
        <v>47054</v>
      </c>
      <c r="I20609" t="s">
        <v>47120</v>
      </c>
      <c r="J20609" t="s">
        <v>47121</v>
      </c>
      <c r="K20609" t="s">
        <v>47113</v>
      </c>
      <c r="L20609">
        <v>30.56</v>
      </c>
      <c r="M20609">
        <v>74</v>
      </c>
      <c r="N20609">
        <v>199</v>
      </c>
      <c r="O20609">
        <v>74</v>
      </c>
      <c r="P20609">
        <v>199</v>
      </c>
    </row>
    <row r="20610" spans="1:16" x14ac:dyDescent="0.25">
      <c r="A20610" t="s">
        <v>43355</v>
      </c>
      <c r="B20610" t="s">
        <v>16403</v>
      </c>
      <c r="C20610" t="s">
        <v>10614</v>
      </c>
      <c r="D20610" t="s">
        <v>11656</v>
      </c>
      <c r="E20610" t="s">
        <v>11657</v>
      </c>
      <c r="F20610" t="s">
        <v>3558</v>
      </c>
      <c r="G20610" t="s">
        <v>47093</v>
      </c>
      <c r="H20610" t="s">
        <v>47054</v>
      </c>
      <c r="I20610" t="s">
        <v>47111</v>
      </c>
      <c r="J20610" t="s">
        <v>47112</v>
      </c>
      <c r="K20610" t="s">
        <v>47113</v>
      </c>
      <c r="L20610">
        <v>45.32</v>
      </c>
      <c r="M20610">
        <v>74</v>
      </c>
      <c r="N20610">
        <v>0</v>
      </c>
      <c r="O20610">
        <v>74</v>
      </c>
      <c r="P20610">
        <v>0</v>
      </c>
    </row>
    <row r="20611" spans="1:16" x14ac:dyDescent="0.25">
      <c r="A20611" t="s">
        <v>43356</v>
      </c>
      <c r="B20611" t="s">
        <v>16140</v>
      </c>
      <c r="C20611" t="s">
        <v>13702</v>
      </c>
      <c r="D20611" t="s">
        <v>11656</v>
      </c>
      <c r="E20611" t="s">
        <v>11657</v>
      </c>
      <c r="F20611" t="s">
        <v>3670</v>
      </c>
      <c r="G20611" t="s">
        <v>47093</v>
      </c>
      <c r="H20611" t="s">
        <v>47054</v>
      </c>
      <c r="I20611" t="s">
        <v>47111</v>
      </c>
      <c r="J20611" t="s">
        <v>47112</v>
      </c>
      <c r="K20611" t="s">
        <v>47113</v>
      </c>
      <c r="L20611">
        <v>40.08</v>
      </c>
      <c r="M20611">
        <v>74</v>
      </c>
      <c r="N20611">
        <v>0</v>
      </c>
      <c r="O20611">
        <v>74</v>
      </c>
      <c r="P20611">
        <v>0</v>
      </c>
    </row>
    <row r="20612" spans="1:16" x14ac:dyDescent="0.25">
      <c r="A20612" t="s">
        <v>43357</v>
      </c>
      <c r="B20612" t="s">
        <v>12413</v>
      </c>
      <c r="C20612" t="s">
        <v>14441</v>
      </c>
      <c r="D20612" t="s">
        <v>11656</v>
      </c>
      <c r="E20612" t="s">
        <v>11657</v>
      </c>
      <c r="F20612" t="s">
        <v>3670</v>
      </c>
      <c r="G20612" t="s">
        <v>47093</v>
      </c>
      <c r="H20612" t="s">
        <v>47054</v>
      </c>
      <c r="I20612" t="s">
        <v>47111</v>
      </c>
      <c r="J20612" t="s">
        <v>47112</v>
      </c>
      <c r="K20612" t="s">
        <v>47113</v>
      </c>
      <c r="L20612">
        <v>49.21</v>
      </c>
      <c r="M20612">
        <v>74</v>
      </c>
      <c r="N20612">
        <v>0</v>
      </c>
      <c r="O20612">
        <v>74</v>
      </c>
      <c r="P20612">
        <v>0</v>
      </c>
    </row>
    <row r="20613" spans="1:16" x14ac:dyDescent="0.25">
      <c r="A20613" t="s">
        <v>43358</v>
      </c>
      <c r="B20613" t="s">
        <v>12414</v>
      </c>
      <c r="C20613" t="s">
        <v>14419</v>
      </c>
      <c r="D20613" t="s">
        <v>11656</v>
      </c>
      <c r="E20613" t="s">
        <v>11657</v>
      </c>
      <c r="F20613" t="s">
        <v>3670</v>
      </c>
      <c r="G20613" t="s">
        <v>49029</v>
      </c>
      <c r="H20613" t="s">
        <v>47054</v>
      </c>
      <c r="I20613" t="s">
        <v>47111</v>
      </c>
      <c r="J20613" t="s">
        <v>47112</v>
      </c>
      <c r="K20613" t="s">
        <v>47113</v>
      </c>
      <c r="L20613">
        <v>37.049999999999997</v>
      </c>
      <c r="M20613">
        <v>63</v>
      </c>
      <c r="N20613">
        <v>0</v>
      </c>
      <c r="O20613">
        <v>63</v>
      </c>
      <c r="P20613">
        <v>0</v>
      </c>
    </row>
    <row r="20614" spans="1:16" x14ac:dyDescent="0.25">
      <c r="A20614" t="s">
        <v>43359</v>
      </c>
      <c r="B20614" t="s">
        <v>12414</v>
      </c>
      <c r="C20614" t="s">
        <v>14419</v>
      </c>
      <c r="D20614" t="s">
        <v>12415</v>
      </c>
      <c r="E20614" t="s">
        <v>12416</v>
      </c>
      <c r="F20614" t="s">
        <v>3670</v>
      </c>
      <c r="G20614" t="s">
        <v>49029</v>
      </c>
      <c r="H20614" t="s">
        <v>47054</v>
      </c>
      <c r="I20614" t="s">
        <v>47111</v>
      </c>
      <c r="J20614" t="s">
        <v>47112</v>
      </c>
      <c r="K20614" t="s">
        <v>47113</v>
      </c>
      <c r="L20614">
        <v>40.119999999999997</v>
      </c>
      <c r="M20614">
        <v>66</v>
      </c>
      <c r="N20614">
        <v>0</v>
      </c>
      <c r="O20614">
        <v>66</v>
      </c>
      <c r="P20614">
        <v>0</v>
      </c>
    </row>
    <row r="20615" spans="1:16" x14ac:dyDescent="0.25">
      <c r="A20615" t="s">
        <v>43360</v>
      </c>
      <c r="B20615" t="s">
        <v>12417</v>
      </c>
      <c r="C20615" t="s">
        <v>11659</v>
      </c>
      <c r="D20615" t="s">
        <v>11656</v>
      </c>
      <c r="E20615" t="s">
        <v>11657</v>
      </c>
      <c r="F20615" t="s">
        <v>3670</v>
      </c>
      <c r="G20615" t="s">
        <v>47093</v>
      </c>
      <c r="H20615" t="s">
        <v>47054</v>
      </c>
      <c r="I20615" t="s">
        <v>47111</v>
      </c>
      <c r="J20615" t="s">
        <v>47112</v>
      </c>
      <c r="K20615" t="s">
        <v>47113</v>
      </c>
      <c r="L20615">
        <v>39.450000000000003</v>
      </c>
      <c r="M20615">
        <v>74</v>
      </c>
      <c r="N20615">
        <v>0</v>
      </c>
      <c r="O20615">
        <v>74</v>
      </c>
      <c r="P20615">
        <v>0</v>
      </c>
    </row>
    <row r="20616" spans="1:16" x14ac:dyDescent="0.25">
      <c r="A20616" t="s">
        <v>43361</v>
      </c>
      <c r="B20616" t="s">
        <v>12418</v>
      </c>
      <c r="C20616" t="s">
        <v>12419</v>
      </c>
      <c r="D20616" t="s">
        <v>12415</v>
      </c>
      <c r="E20616" t="s">
        <v>12416</v>
      </c>
      <c r="F20616" t="s">
        <v>3670</v>
      </c>
      <c r="G20616" t="s">
        <v>47093</v>
      </c>
      <c r="H20616" t="s">
        <v>47054</v>
      </c>
      <c r="I20616" t="s">
        <v>47111</v>
      </c>
      <c r="J20616" t="s">
        <v>47112</v>
      </c>
      <c r="K20616" t="s">
        <v>47113</v>
      </c>
      <c r="L20616">
        <v>43.16</v>
      </c>
      <c r="M20616">
        <v>74</v>
      </c>
      <c r="N20616">
        <v>0</v>
      </c>
      <c r="O20616">
        <v>74</v>
      </c>
      <c r="P20616">
        <v>0</v>
      </c>
    </row>
    <row r="20617" spans="1:16" x14ac:dyDescent="0.25">
      <c r="A20617" t="s">
        <v>43362</v>
      </c>
      <c r="B20617" t="s">
        <v>12420</v>
      </c>
      <c r="C20617" t="s">
        <v>22077</v>
      </c>
      <c r="D20617" t="s">
        <v>12415</v>
      </c>
      <c r="E20617" t="s">
        <v>12416</v>
      </c>
      <c r="F20617" t="s">
        <v>3670</v>
      </c>
      <c r="G20617" t="s">
        <v>49029</v>
      </c>
      <c r="H20617" t="s">
        <v>47054</v>
      </c>
      <c r="I20617" t="s">
        <v>47111</v>
      </c>
      <c r="J20617" t="s">
        <v>47112</v>
      </c>
      <c r="K20617" t="s">
        <v>47113</v>
      </c>
      <c r="L20617">
        <v>37.049999999999997</v>
      </c>
      <c r="M20617">
        <v>66</v>
      </c>
      <c r="N20617">
        <v>0</v>
      </c>
      <c r="O20617">
        <v>66</v>
      </c>
      <c r="P20617">
        <v>0</v>
      </c>
    </row>
    <row r="20618" spans="1:16" x14ac:dyDescent="0.25">
      <c r="A20618" t="s">
        <v>49683</v>
      </c>
      <c r="B20618" t="s">
        <v>49684</v>
      </c>
      <c r="C20618" t="s">
        <v>49685</v>
      </c>
      <c r="D20618" t="str">
        <f>"1001"</f>
        <v>1001</v>
      </c>
      <c r="E20618" t="s">
        <v>49616</v>
      </c>
      <c r="F20618" t="s">
        <v>47185</v>
      </c>
      <c r="G20618" t="s">
        <v>47099</v>
      </c>
      <c r="H20618" t="s">
        <v>47054</v>
      </c>
      <c r="I20618" t="s">
        <v>47120</v>
      </c>
      <c r="J20618" t="s">
        <v>47121</v>
      </c>
      <c r="K20618" t="s">
        <v>47113</v>
      </c>
      <c r="L20618">
        <v>33.49</v>
      </c>
      <c r="M20618">
        <v>70</v>
      </c>
      <c r="N20618">
        <v>189</v>
      </c>
      <c r="O20618">
        <v>70</v>
      </c>
      <c r="P20618">
        <v>189</v>
      </c>
    </row>
    <row r="20619" spans="1:16" x14ac:dyDescent="0.25">
      <c r="A20619" t="s">
        <v>43363</v>
      </c>
      <c r="B20619" t="s">
        <v>12421</v>
      </c>
      <c r="C20619" t="s">
        <v>10606</v>
      </c>
      <c r="D20619" t="s">
        <v>12415</v>
      </c>
      <c r="E20619" t="s">
        <v>12416</v>
      </c>
      <c r="F20619" t="s">
        <v>3670</v>
      </c>
      <c r="G20619" t="s">
        <v>47093</v>
      </c>
      <c r="H20619" t="s">
        <v>47054</v>
      </c>
      <c r="I20619" t="s">
        <v>47111</v>
      </c>
      <c r="J20619" t="s">
        <v>47112</v>
      </c>
      <c r="K20619" t="s">
        <v>47113</v>
      </c>
      <c r="L20619">
        <v>41.38</v>
      </c>
      <c r="M20619">
        <v>74</v>
      </c>
      <c r="N20619">
        <v>0</v>
      </c>
      <c r="O20619">
        <v>74</v>
      </c>
      <c r="P20619">
        <v>0</v>
      </c>
    </row>
    <row r="20620" spans="1:16" x14ac:dyDescent="0.25">
      <c r="A20620" t="s">
        <v>43364</v>
      </c>
      <c r="B20620" t="s">
        <v>12422</v>
      </c>
      <c r="C20620" t="s">
        <v>16404</v>
      </c>
      <c r="D20620" t="s">
        <v>11656</v>
      </c>
      <c r="E20620" t="s">
        <v>11657</v>
      </c>
      <c r="F20620" t="s">
        <v>3558</v>
      </c>
      <c r="G20620" t="s">
        <v>47093</v>
      </c>
      <c r="H20620" t="s">
        <v>47054</v>
      </c>
      <c r="I20620" t="s">
        <v>47111</v>
      </c>
      <c r="J20620" t="s">
        <v>47112</v>
      </c>
      <c r="K20620" t="s">
        <v>47113</v>
      </c>
      <c r="L20620">
        <v>61.74</v>
      </c>
      <c r="M20620">
        <v>122</v>
      </c>
      <c r="N20620">
        <v>0</v>
      </c>
      <c r="O20620">
        <v>122</v>
      </c>
      <c r="P20620">
        <v>0</v>
      </c>
    </row>
    <row r="20621" spans="1:16" x14ac:dyDescent="0.25">
      <c r="A20621" t="s">
        <v>43365</v>
      </c>
      <c r="B20621" t="s">
        <v>12423</v>
      </c>
      <c r="C20621" t="s">
        <v>10589</v>
      </c>
      <c r="D20621" t="s">
        <v>12415</v>
      </c>
      <c r="E20621" t="s">
        <v>12416</v>
      </c>
      <c r="F20621" t="s">
        <v>3558</v>
      </c>
      <c r="G20621" t="s">
        <v>47093</v>
      </c>
      <c r="H20621" t="s">
        <v>47054</v>
      </c>
      <c r="I20621" t="s">
        <v>47111</v>
      </c>
      <c r="J20621" t="s">
        <v>47112</v>
      </c>
      <c r="K20621" t="s">
        <v>47113</v>
      </c>
      <c r="L20621">
        <v>35.07</v>
      </c>
      <c r="M20621">
        <v>74</v>
      </c>
      <c r="N20621">
        <v>0</v>
      </c>
      <c r="O20621">
        <v>74</v>
      </c>
      <c r="P20621">
        <v>0</v>
      </c>
    </row>
    <row r="20622" spans="1:16" x14ac:dyDescent="0.25">
      <c r="A20622" t="s">
        <v>43366</v>
      </c>
      <c r="B20622" t="s">
        <v>12424</v>
      </c>
      <c r="C20622" t="s">
        <v>13006</v>
      </c>
      <c r="D20622" t="s">
        <v>12415</v>
      </c>
      <c r="E20622" t="s">
        <v>12416</v>
      </c>
      <c r="F20622" t="s">
        <v>3558</v>
      </c>
      <c r="G20622" t="s">
        <v>49029</v>
      </c>
      <c r="H20622" t="s">
        <v>47054</v>
      </c>
      <c r="I20622" t="s">
        <v>47111</v>
      </c>
      <c r="J20622" t="s">
        <v>47112</v>
      </c>
      <c r="K20622" t="s">
        <v>47113</v>
      </c>
      <c r="L20622">
        <v>31.57</v>
      </c>
      <c r="M20622">
        <v>66</v>
      </c>
      <c r="N20622">
        <v>0</v>
      </c>
      <c r="O20622">
        <v>66</v>
      </c>
      <c r="P20622">
        <v>0</v>
      </c>
    </row>
    <row r="20623" spans="1:16" x14ac:dyDescent="0.25">
      <c r="A20623" t="s">
        <v>43367</v>
      </c>
      <c r="B20623" t="s">
        <v>12426</v>
      </c>
      <c r="C20623" t="s">
        <v>16405</v>
      </c>
      <c r="D20623" t="s">
        <v>11656</v>
      </c>
      <c r="E20623" t="s">
        <v>11657</v>
      </c>
      <c r="F20623" t="s">
        <v>3558</v>
      </c>
      <c r="G20623" t="s">
        <v>49029</v>
      </c>
      <c r="H20623" t="s">
        <v>47054</v>
      </c>
      <c r="I20623" t="s">
        <v>47111</v>
      </c>
      <c r="J20623" t="s">
        <v>47112</v>
      </c>
      <c r="K20623" t="s">
        <v>47113</v>
      </c>
      <c r="L20623">
        <v>29.62</v>
      </c>
      <c r="M20623">
        <v>63</v>
      </c>
      <c r="N20623">
        <v>0</v>
      </c>
      <c r="O20623">
        <v>63</v>
      </c>
      <c r="P20623">
        <v>0</v>
      </c>
    </row>
    <row r="20624" spans="1:16" x14ac:dyDescent="0.25">
      <c r="A20624" t="s">
        <v>43368</v>
      </c>
      <c r="B20624" t="s">
        <v>12427</v>
      </c>
      <c r="C20624" t="s">
        <v>12425</v>
      </c>
      <c r="D20624" t="s">
        <v>11656</v>
      </c>
      <c r="E20624" t="s">
        <v>11657</v>
      </c>
      <c r="F20624" t="s">
        <v>3670</v>
      </c>
      <c r="G20624" t="s">
        <v>49029</v>
      </c>
      <c r="H20624" t="s">
        <v>47054</v>
      </c>
      <c r="I20624" t="s">
        <v>47111</v>
      </c>
      <c r="J20624" t="s">
        <v>47112</v>
      </c>
      <c r="K20624" t="s">
        <v>47113</v>
      </c>
      <c r="L20624">
        <v>29.62</v>
      </c>
      <c r="M20624">
        <v>63</v>
      </c>
      <c r="N20624">
        <v>0</v>
      </c>
      <c r="O20624">
        <v>63</v>
      </c>
      <c r="P20624">
        <v>0</v>
      </c>
    </row>
    <row r="20625" spans="1:16" x14ac:dyDescent="0.25">
      <c r="A20625" t="s">
        <v>49686</v>
      </c>
      <c r="B20625" t="s">
        <v>49687</v>
      </c>
      <c r="C20625" t="s">
        <v>49688</v>
      </c>
      <c r="D20625" t="s">
        <v>49689</v>
      </c>
      <c r="E20625" t="s">
        <v>49690</v>
      </c>
      <c r="F20625" t="s">
        <v>47479</v>
      </c>
      <c r="G20625" t="s">
        <v>47093</v>
      </c>
      <c r="H20625" t="s">
        <v>47054</v>
      </c>
      <c r="I20625" t="s">
        <v>47120</v>
      </c>
      <c r="J20625" t="s">
        <v>47121</v>
      </c>
      <c r="K20625" t="s">
        <v>47113</v>
      </c>
      <c r="L20625">
        <v>36.46</v>
      </c>
      <c r="M20625">
        <v>92</v>
      </c>
      <c r="N20625">
        <v>249</v>
      </c>
      <c r="O20625">
        <v>92</v>
      </c>
      <c r="P20625">
        <v>249</v>
      </c>
    </row>
    <row r="20626" spans="1:16" x14ac:dyDescent="0.25">
      <c r="A20626" t="s">
        <v>49691</v>
      </c>
      <c r="B20626" t="s">
        <v>49692</v>
      </c>
      <c r="C20626" t="s">
        <v>49688</v>
      </c>
      <c r="D20626" t="s">
        <v>47875</v>
      </c>
      <c r="E20626" t="s">
        <v>47876</v>
      </c>
      <c r="F20626" t="s">
        <v>47479</v>
      </c>
      <c r="G20626" t="s">
        <v>47093</v>
      </c>
      <c r="H20626" t="s">
        <v>47054</v>
      </c>
      <c r="I20626" t="s">
        <v>47120</v>
      </c>
      <c r="J20626" t="s">
        <v>47121</v>
      </c>
      <c r="K20626" t="s">
        <v>47113</v>
      </c>
      <c r="L20626">
        <v>37.270000000000003</v>
      </c>
      <c r="M20626">
        <v>92</v>
      </c>
      <c r="N20626">
        <v>249</v>
      </c>
      <c r="O20626">
        <v>92</v>
      </c>
      <c r="P20626">
        <v>249</v>
      </c>
    </row>
    <row r="20627" spans="1:16" x14ac:dyDescent="0.25">
      <c r="A20627" t="s">
        <v>43369</v>
      </c>
      <c r="B20627" t="s">
        <v>12428</v>
      </c>
      <c r="C20627" t="s">
        <v>11717</v>
      </c>
      <c r="D20627" t="s">
        <v>11656</v>
      </c>
      <c r="E20627" t="s">
        <v>11657</v>
      </c>
      <c r="F20627" t="s">
        <v>3670</v>
      </c>
      <c r="G20627" t="s">
        <v>47098</v>
      </c>
      <c r="I20627" t="s">
        <v>47111</v>
      </c>
      <c r="J20627" t="s">
        <v>47112</v>
      </c>
      <c r="K20627" t="s">
        <v>47113</v>
      </c>
      <c r="L20627">
        <v>46.64</v>
      </c>
      <c r="M20627">
        <v>92</v>
      </c>
      <c r="N20627">
        <v>0</v>
      </c>
      <c r="O20627">
        <v>92</v>
      </c>
      <c r="P20627">
        <v>0</v>
      </c>
    </row>
    <row r="20628" spans="1:16" x14ac:dyDescent="0.25">
      <c r="A20628" t="s">
        <v>49693</v>
      </c>
      <c r="B20628" t="s">
        <v>49694</v>
      </c>
      <c r="C20628" t="s">
        <v>49695</v>
      </c>
      <c r="D20628" t="s">
        <v>49504</v>
      </c>
      <c r="E20628" t="s">
        <v>49505</v>
      </c>
      <c r="F20628" t="s">
        <v>47163</v>
      </c>
      <c r="G20628" t="s">
        <v>49029</v>
      </c>
      <c r="H20628" t="s">
        <v>47054</v>
      </c>
      <c r="I20628" t="s">
        <v>47544</v>
      </c>
      <c r="J20628" t="s">
        <v>47545</v>
      </c>
      <c r="K20628" t="s">
        <v>47113</v>
      </c>
      <c r="L20628">
        <v>23.92</v>
      </c>
      <c r="M20628">
        <v>70</v>
      </c>
      <c r="N20628">
        <v>189</v>
      </c>
      <c r="O20628">
        <v>70</v>
      </c>
      <c r="P20628">
        <v>189</v>
      </c>
    </row>
    <row r="20629" spans="1:16" x14ac:dyDescent="0.25">
      <c r="A20629" t="s">
        <v>49696</v>
      </c>
      <c r="B20629" t="s">
        <v>49697</v>
      </c>
      <c r="C20629" t="s">
        <v>49698</v>
      </c>
      <c r="D20629" t="s">
        <v>49699</v>
      </c>
      <c r="E20629" t="s">
        <v>49700</v>
      </c>
      <c r="F20629" t="s">
        <v>46687</v>
      </c>
      <c r="G20629" t="s">
        <v>49029</v>
      </c>
      <c r="H20629" t="s">
        <v>47054</v>
      </c>
      <c r="I20629" t="s">
        <v>47120</v>
      </c>
      <c r="J20629" t="s">
        <v>47121</v>
      </c>
      <c r="K20629" t="s">
        <v>47113</v>
      </c>
      <c r="L20629">
        <v>29.08</v>
      </c>
      <c r="M20629">
        <v>70</v>
      </c>
      <c r="N20629">
        <v>189</v>
      </c>
      <c r="O20629">
        <v>70</v>
      </c>
      <c r="P20629">
        <v>189</v>
      </c>
    </row>
    <row r="20630" spans="1:16" x14ac:dyDescent="0.25">
      <c r="A20630" t="s">
        <v>49701</v>
      </c>
      <c r="B20630" t="s">
        <v>49702</v>
      </c>
      <c r="C20630" t="s">
        <v>21958</v>
      </c>
      <c r="D20630" t="s">
        <v>43656</v>
      </c>
      <c r="E20630" t="s">
        <v>43657</v>
      </c>
      <c r="F20630" t="s">
        <v>46687</v>
      </c>
      <c r="G20630" t="s">
        <v>49029</v>
      </c>
      <c r="H20630" t="s">
        <v>47054</v>
      </c>
      <c r="I20630" t="s">
        <v>47544</v>
      </c>
      <c r="J20630" t="s">
        <v>47545</v>
      </c>
      <c r="K20630" t="s">
        <v>47113</v>
      </c>
      <c r="L20630">
        <v>28.23</v>
      </c>
      <c r="M20630">
        <v>74</v>
      </c>
      <c r="N20630">
        <v>199</v>
      </c>
      <c r="O20630">
        <v>74</v>
      </c>
      <c r="P20630">
        <v>199</v>
      </c>
    </row>
    <row r="20631" spans="1:16" x14ac:dyDescent="0.25">
      <c r="A20631" t="s">
        <v>49703</v>
      </c>
      <c r="B20631" t="s">
        <v>49704</v>
      </c>
      <c r="C20631" t="s">
        <v>49705</v>
      </c>
      <c r="D20631" t="s">
        <v>49541</v>
      </c>
      <c r="E20631" t="s">
        <v>49542</v>
      </c>
      <c r="F20631" t="s">
        <v>46687</v>
      </c>
      <c r="G20631" t="s">
        <v>49029</v>
      </c>
      <c r="H20631" t="s">
        <v>47054</v>
      </c>
      <c r="I20631" t="s">
        <v>47544</v>
      </c>
      <c r="J20631" t="s">
        <v>47545</v>
      </c>
      <c r="K20631" t="s">
        <v>47113</v>
      </c>
      <c r="L20631">
        <v>28.23</v>
      </c>
      <c r="M20631">
        <v>63</v>
      </c>
      <c r="N20631">
        <v>169</v>
      </c>
      <c r="O20631">
        <v>63</v>
      </c>
      <c r="P20631">
        <v>169</v>
      </c>
    </row>
    <row r="20632" spans="1:16" x14ac:dyDescent="0.25">
      <c r="A20632" t="s">
        <v>49706</v>
      </c>
      <c r="B20632" t="s">
        <v>49707</v>
      </c>
      <c r="C20632" t="s">
        <v>49708</v>
      </c>
      <c r="D20632" t="str">
        <f>"6500"</f>
        <v>6500</v>
      </c>
      <c r="E20632" t="s">
        <v>49709</v>
      </c>
      <c r="F20632" t="s">
        <v>31484</v>
      </c>
      <c r="G20632" t="s">
        <v>49029</v>
      </c>
      <c r="H20632" t="s">
        <v>47054</v>
      </c>
      <c r="I20632" t="s">
        <v>47120</v>
      </c>
      <c r="J20632" t="s">
        <v>47121</v>
      </c>
      <c r="K20632" t="s">
        <v>47113</v>
      </c>
      <c r="L20632">
        <v>23.69</v>
      </c>
      <c r="M20632">
        <v>70</v>
      </c>
      <c r="N20632">
        <v>189</v>
      </c>
      <c r="O20632">
        <v>70</v>
      </c>
      <c r="P20632">
        <v>189</v>
      </c>
    </row>
    <row r="20633" spans="1:16" x14ac:dyDescent="0.25">
      <c r="A20633" t="s">
        <v>43370</v>
      </c>
      <c r="B20633" t="s">
        <v>12429</v>
      </c>
      <c r="C20633" t="s">
        <v>16406</v>
      </c>
      <c r="D20633" t="s">
        <v>12430</v>
      </c>
      <c r="E20633" t="s">
        <v>12431</v>
      </c>
      <c r="F20633" t="s">
        <v>3558</v>
      </c>
      <c r="G20633" t="s">
        <v>47093</v>
      </c>
      <c r="H20633" t="s">
        <v>47054</v>
      </c>
      <c r="I20633" t="s">
        <v>47111</v>
      </c>
      <c r="J20633" t="s">
        <v>47112</v>
      </c>
      <c r="K20633" t="s">
        <v>47113</v>
      </c>
      <c r="L20633">
        <v>53.32</v>
      </c>
      <c r="M20633">
        <v>92</v>
      </c>
      <c r="N20633">
        <v>0</v>
      </c>
      <c r="O20633">
        <v>92</v>
      </c>
      <c r="P20633">
        <v>0</v>
      </c>
    </row>
    <row r="20634" spans="1:16" x14ac:dyDescent="0.25">
      <c r="A20634" t="s">
        <v>43371</v>
      </c>
      <c r="B20634" t="s">
        <v>12432</v>
      </c>
      <c r="C20634" t="s">
        <v>12433</v>
      </c>
      <c r="D20634" t="s">
        <v>12434</v>
      </c>
      <c r="E20634" t="s">
        <v>12435</v>
      </c>
      <c r="F20634" t="s">
        <v>3670</v>
      </c>
      <c r="G20634" t="s">
        <v>47093</v>
      </c>
      <c r="H20634" t="s">
        <v>47054</v>
      </c>
      <c r="I20634" t="s">
        <v>47111</v>
      </c>
      <c r="J20634" t="s">
        <v>47112</v>
      </c>
      <c r="K20634" t="s">
        <v>47113</v>
      </c>
      <c r="L20634">
        <v>60.35</v>
      </c>
      <c r="M20634">
        <v>103</v>
      </c>
      <c r="N20634">
        <v>0</v>
      </c>
      <c r="O20634">
        <v>103</v>
      </c>
      <c r="P20634">
        <v>0</v>
      </c>
    </row>
    <row r="20635" spans="1:16" x14ac:dyDescent="0.25">
      <c r="A20635" t="s">
        <v>43372</v>
      </c>
      <c r="B20635" t="s">
        <v>12436</v>
      </c>
      <c r="C20635" t="s">
        <v>14440</v>
      </c>
      <c r="D20635" t="s">
        <v>12437</v>
      </c>
      <c r="E20635" t="s">
        <v>12438</v>
      </c>
      <c r="F20635" t="s">
        <v>3670</v>
      </c>
      <c r="G20635" t="s">
        <v>47093</v>
      </c>
      <c r="I20635" t="s">
        <v>47111</v>
      </c>
      <c r="J20635" t="s">
        <v>47112</v>
      </c>
      <c r="K20635" t="s">
        <v>47113</v>
      </c>
      <c r="L20635">
        <v>51.55</v>
      </c>
      <c r="M20635">
        <v>92</v>
      </c>
      <c r="N20635">
        <v>0</v>
      </c>
      <c r="O20635">
        <v>92</v>
      </c>
      <c r="P20635">
        <v>0</v>
      </c>
    </row>
    <row r="20636" spans="1:16" x14ac:dyDescent="0.25">
      <c r="A20636" t="s">
        <v>43373</v>
      </c>
      <c r="B20636" t="s">
        <v>12439</v>
      </c>
      <c r="C20636" t="s">
        <v>12440</v>
      </c>
      <c r="D20636" t="s">
        <v>12441</v>
      </c>
      <c r="E20636" t="s">
        <v>12442</v>
      </c>
      <c r="F20636" t="s">
        <v>3546</v>
      </c>
      <c r="G20636" t="s">
        <v>47093</v>
      </c>
      <c r="H20636" t="s">
        <v>47054</v>
      </c>
      <c r="I20636" t="s">
        <v>47111</v>
      </c>
      <c r="J20636" t="s">
        <v>47112</v>
      </c>
      <c r="K20636" t="s">
        <v>47113</v>
      </c>
      <c r="L20636">
        <v>79.08</v>
      </c>
      <c r="M20636">
        <v>111</v>
      </c>
      <c r="N20636">
        <v>0</v>
      </c>
      <c r="O20636">
        <v>111</v>
      </c>
      <c r="P20636">
        <v>0</v>
      </c>
    </row>
    <row r="20637" spans="1:16" x14ac:dyDescent="0.25">
      <c r="A20637" t="s">
        <v>43374</v>
      </c>
      <c r="B20637" t="s">
        <v>12443</v>
      </c>
      <c r="C20637" t="s">
        <v>16407</v>
      </c>
      <c r="D20637" t="s">
        <v>12430</v>
      </c>
      <c r="E20637" t="s">
        <v>12431</v>
      </c>
      <c r="F20637" t="s">
        <v>3558</v>
      </c>
      <c r="G20637" t="s">
        <v>47098</v>
      </c>
      <c r="H20637" t="s">
        <v>47054</v>
      </c>
      <c r="I20637" t="s">
        <v>47116</v>
      </c>
      <c r="J20637" t="s">
        <v>47117</v>
      </c>
      <c r="K20637" t="s">
        <v>47113</v>
      </c>
      <c r="L20637">
        <v>85.24</v>
      </c>
      <c r="M20637">
        <v>137</v>
      </c>
      <c r="N20637">
        <v>0</v>
      </c>
      <c r="O20637">
        <v>137</v>
      </c>
      <c r="P20637">
        <v>0</v>
      </c>
    </row>
    <row r="20638" spans="1:16" x14ac:dyDescent="0.25">
      <c r="A20638" t="s">
        <v>43375</v>
      </c>
      <c r="B20638" t="s">
        <v>12444</v>
      </c>
      <c r="C20638" t="s">
        <v>12445</v>
      </c>
      <c r="D20638" t="s">
        <v>12446</v>
      </c>
      <c r="E20638" t="s">
        <v>12447</v>
      </c>
      <c r="F20638" t="s">
        <v>3670</v>
      </c>
      <c r="G20638" t="s">
        <v>49029</v>
      </c>
      <c r="H20638" t="s">
        <v>47054</v>
      </c>
      <c r="I20638" t="s">
        <v>47111</v>
      </c>
      <c r="J20638" t="s">
        <v>47112</v>
      </c>
      <c r="K20638" t="s">
        <v>47113</v>
      </c>
      <c r="L20638">
        <v>35.840000000000003</v>
      </c>
      <c r="M20638">
        <v>66</v>
      </c>
      <c r="N20638">
        <v>0</v>
      </c>
      <c r="O20638">
        <v>66</v>
      </c>
      <c r="P20638">
        <v>0</v>
      </c>
    </row>
    <row r="20639" spans="1:16" x14ac:dyDescent="0.25">
      <c r="A20639" t="s">
        <v>43376</v>
      </c>
      <c r="B20639" t="s">
        <v>12448</v>
      </c>
      <c r="C20639" t="s">
        <v>12449</v>
      </c>
      <c r="D20639" t="s">
        <v>12446</v>
      </c>
      <c r="E20639" t="s">
        <v>12447</v>
      </c>
      <c r="F20639" t="s">
        <v>3670</v>
      </c>
      <c r="G20639" t="s">
        <v>49029</v>
      </c>
      <c r="I20639" t="s">
        <v>47111</v>
      </c>
      <c r="J20639" t="s">
        <v>47112</v>
      </c>
      <c r="K20639" t="s">
        <v>47113</v>
      </c>
      <c r="L20639">
        <v>35.840000000000003</v>
      </c>
      <c r="M20639">
        <v>66</v>
      </c>
      <c r="N20639">
        <v>0</v>
      </c>
      <c r="O20639">
        <v>66</v>
      </c>
      <c r="P20639">
        <v>0</v>
      </c>
    </row>
    <row r="20640" spans="1:16" x14ac:dyDescent="0.25">
      <c r="A20640" t="s">
        <v>43377</v>
      </c>
      <c r="B20640" t="s">
        <v>12450</v>
      </c>
      <c r="C20640" t="s">
        <v>13006</v>
      </c>
      <c r="D20640" t="s">
        <v>12430</v>
      </c>
      <c r="E20640" t="s">
        <v>12431</v>
      </c>
      <c r="F20640" t="s">
        <v>3558</v>
      </c>
      <c r="G20640" t="s">
        <v>49029</v>
      </c>
      <c r="H20640" t="s">
        <v>47054</v>
      </c>
      <c r="I20640" t="s">
        <v>47111</v>
      </c>
      <c r="J20640" t="s">
        <v>47112</v>
      </c>
      <c r="K20640" t="s">
        <v>47113</v>
      </c>
      <c r="L20640">
        <v>82.79</v>
      </c>
      <c r="M20640">
        <v>100</v>
      </c>
      <c r="N20640">
        <v>0</v>
      </c>
      <c r="O20640">
        <v>100</v>
      </c>
      <c r="P20640">
        <v>0</v>
      </c>
    </row>
    <row r="20641" spans="1:16" x14ac:dyDescent="0.25">
      <c r="A20641" t="s">
        <v>43378</v>
      </c>
      <c r="B20641" t="s">
        <v>12451</v>
      </c>
      <c r="C20641" t="s">
        <v>12452</v>
      </c>
      <c r="D20641" t="s">
        <v>12446</v>
      </c>
      <c r="E20641" t="s">
        <v>12447</v>
      </c>
      <c r="F20641" t="s">
        <v>3670</v>
      </c>
      <c r="G20641" t="s">
        <v>49030</v>
      </c>
      <c r="I20641" t="s">
        <v>47111</v>
      </c>
      <c r="J20641" t="s">
        <v>47112</v>
      </c>
      <c r="K20641" t="s">
        <v>47113</v>
      </c>
      <c r="L20641">
        <v>46.15</v>
      </c>
      <c r="M20641">
        <v>74</v>
      </c>
      <c r="N20641">
        <v>0</v>
      </c>
      <c r="O20641">
        <v>74</v>
      </c>
      <c r="P20641">
        <v>0</v>
      </c>
    </row>
    <row r="20642" spans="1:16" x14ac:dyDescent="0.25">
      <c r="A20642" t="s">
        <v>43379</v>
      </c>
      <c r="B20642" t="s">
        <v>12453</v>
      </c>
      <c r="C20642" t="s">
        <v>19206</v>
      </c>
      <c r="D20642" t="s">
        <v>12446</v>
      </c>
      <c r="E20642" t="s">
        <v>12447</v>
      </c>
      <c r="F20642" t="s">
        <v>3670</v>
      </c>
      <c r="G20642" t="s">
        <v>47093</v>
      </c>
      <c r="I20642" t="s">
        <v>47111</v>
      </c>
      <c r="J20642" t="s">
        <v>47112</v>
      </c>
      <c r="K20642" t="s">
        <v>47113</v>
      </c>
      <c r="L20642">
        <v>43.8</v>
      </c>
      <c r="M20642">
        <v>92</v>
      </c>
      <c r="N20642">
        <v>0</v>
      </c>
      <c r="O20642">
        <v>92</v>
      </c>
      <c r="P20642">
        <v>0</v>
      </c>
    </row>
    <row r="20643" spans="1:16" x14ac:dyDescent="0.25">
      <c r="A20643" t="s">
        <v>43380</v>
      </c>
      <c r="B20643" t="s">
        <v>12454</v>
      </c>
      <c r="C20643" t="s">
        <v>10606</v>
      </c>
      <c r="D20643" t="s">
        <v>12455</v>
      </c>
      <c r="E20643" t="s">
        <v>12456</v>
      </c>
      <c r="F20643" t="s">
        <v>3558</v>
      </c>
      <c r="G20643" t="s">
        <v>47093</v>
      </c>
      <c r="H20643" t="s">
        <v>47054</v>
      </c>
      <c r="I20643" t="s">
        <v>47111</v>
      </c>
      <c r="J20643" t="s">
        <v>47112</v>
      </c>
      <c r="K20643" t="s">
        <v>47113</v>
      </c>
      <c r="L20643">
        <v>56.14</v>
      </c>
      <c r="M20643">
        <v>92</v>
      </c>
      <c r="N20643">
        <v>0</v>
      </c>
      <c r="O20643">
        <v>92</v>
      </c>
      <c r="P20643">
        <v>0</v>
      </c>
    </row>
    <row r="20644" spans="1:16" x14ac:dyDescent="0.25">
      <c r="A20644" t="s">
        <v>43381</v>
      </c>
      <c r="B20644" t="s">
        <v>12457</v>
      </c>
      <c r="C20644" t="s">
        <v>12458</v>
      </c>
      <c r="D20644" t="s">
        <v>12459</v>
      </c>
      <c r="E20644" t="s">
        <v>12460</v>
      </c>
      <c r="F20644" t="s">
        <v>3670</v>
      </c>
      <c r="G20644" t="s">
        <v>49029</v>
      </c>
      <c r="H20644" t="s">
        <v>47054</v>
      </c>
      <c r="I20644" t="s">
        <v>47111</v>
      </c>
      <c r="J20644" t="s">
        <v>47112</v>
      </c>
      <c r="K20644" t="s">
        <v>47113</v>
      </c>
      <c r="L20644">
        <v>38.97</v>
      </c>
      <c r="M20644">
        <v>63</v>
      </c>
      <c r="N20644">
        <v>0</v>
      </c>
      <c r="O20644">
        <v>63</v>
      </c>
      <c r="P20644">
        <v>0</v>
      </c>
    </row>
    <row r="20645" spans="1:16" x14ac:dyDescent="0.25">
      <c r="A20645" t="s">
        <v>43382</v>
      </c>
      <c r="B20645" t="s">
        <v>14352</v>
      </c>
      <c r="C20645" t="s">
        <v>10606</v>
      </c>
      <c r="D20645" t="s">
        <v>12455</v>
      </c>
      <c r="E20645" t="s">
        <v>12456</v>
      </c>
      <c r="F20645" t="s">
        <v>3558</v>
      </c>
      <c r="G20645" t="s">
        <v>47093</v>
      </c>
      <c r="H20645" t="s">
        <v>47054</v>
      </c>
      <c r="I20645" t="s">
        <v>47111</v>
      </c>
      <c r="J20645" t="s">
        <v>47112</v>
      </c>
      <c r="K20645" t="s">
        <v>47113</v>
      </c>
      <c r="L20645">
        <v>85.03</v>
      </c>
      <c r="M20645">
        <v>107</v>
      </c>
      <c r="N20645">
        <v>0</v>
      </c>
      <c r="O20645">
        <v>107</v>
      </c>
      <c r="P20645">
        <v>0</v>
      </c>
    </row>
    <row r="20646" spans="1:16" x14ac:dyDescent="0.25">
      <c r="A20646" t="s">
        <v>49710</v>
      </c>
      <c r="B20646" t="s">
        <v>49711</v>
      </c>
      <c r="C20646" t="s">
        <v>49712</v>
      </c>
      <c r="D20646" t="s">
        <v>49504</v>
      </c>
      <c r="E20646" t="s">
        <v>49505</v>
      </c>
      <c r="F20646" t="s">
        <v>47163</v>
      </c>
      <c r="G20646" t="s">
        <v>49030</v>
      </c>
      <c r="H20646" t="s">
        <v>47054</v>
      </c>
      <c r="I20646" t="s">
        <v>47544</v>
      </c>
      <c r="J20646" t="s">
        <v>47545</v>
      </c>
      <c r="K20646" t="s">
        <v>47113</v>
      </c>
      <c r="L20646">
        <v>30.19</v>
      </c>
      <c r="M20646">
        <v>74</v>
      </c>
      <c r="N20646">
        <v>199</v>
      </c>
      <c r="O20646">
        <v>74</v>
      </c>
      <c r="P20646">
        <v>199</v>
      </c>
    </row>
    <row r="20647" spans="1:16" x14ac:dyDescent="0.25">
      <c r="A20647" t="s">
        <v>49713</v>
      </c>
      <c r="B20647" t="s">
        <v>49714</v>
      </c>
      <c r="C20647" t="s">
        <v>49715</v>
      </c>
      <c r="D20647" t="s">
        <v>49716</v>
      </c>
      <c r="E20647" t="s">
        <v>49717</v>
      </c>
      <c r="F20647" t="s">
        <v>47171</v>
      </c>
      <c r="G20647" t="s">
        <v>49030</v>
      </c>
      <c r="H20647" t="s">
        <v>47054</v>
      </c>
      <c r="I20647" t="s">
        <v>47544</v>
      </c>
      <c r="J20647" t="s">
        <v>47545</v>
      </c>
      <c r="K20647" t="s">
        <v>47113</v>
      </c>
      <c r="L20647">
        <v>29.38</v>
      </c>
      <c r="M20647">
        <v>66</v>
      </c>
      <c r="N20647">
        <v>179</v>
      </c>
      <c r="O20647">
        <v>66</v>
      </c>
      <c r="P20647">
        <v>179</v>
      </c>
    </row>
    <row r="20648" spans="1:16" x14ac:dyDescent="0.25">
      <c r="A20648" t="s">
        <v>49718</v>
      </c>
      <c r="B20648" t="s">
        <v>49719</v>
      </c>
      <c r="C20648" t="s">
        <v>21997</v>
      </c>
      <c r="D20648" t="s">
        <v>49561</v>
      </c>
      <c r="E20648" t="s">
        <v>49562</v>
      </c>
      <c r="F20648" t="s">
        <v>27965</v>
      </c>
      <c r="G20648" t="s">
        <v>49030</v>
      </c>
      <c r="H20648" t="s">
        <v>47054</v>
      </c>
      <c r="I20648" t="s">
        <v>47111</v>
      </c>
      <c r="J20648" t="s">
        <v>47112</v>
      </c>
      <c r="K20648" t="s">
        <v>47113</v>
      </c>
      <c r="L20648">
        <v>46.23</v>
      </c>
      <c r="M20648">
        <v>107</v>
      </c>
      <c r="N20648">
        <v>289</v>
      </c>
      <c r="O20648">
        <v>107</v>
      </c>
      <c r="P20648">
        <v>289</v>
      </c>
    </row>
    <row r="20649" spans="1:16" x14ac:dyDescent="0.25">
      <c r="A20649" t="s">
        <v>49720</v>
      </c>
      <c r="B20649" t="s">
        <v>49721</v>
      </c>
      <c r="C20649" t="s">
        <v>21971</v>
      </c>
      <c r="D20649" t="s">
        <v>49699</v>
      </c>
      <c r="E20649" t="s">
        <v>49700</v>
      </c>
      <c r="F20649" t="s">
        <v>46687</v>
      </c>
      <c r="G20649" t="s">
        <v>47093</v>
      </c>
      <c r="H20649" t="s">
        <v>47054</v>
      </c>
      <c r="I20649" t="s">
        <v>47120</v>
      </c>
      <c r="J20649" t="s">
        <v>47121</v>
      </c>
      <c r="K20649" t="s">
        <v>47113</v>
      </c>
      <c r="L20649">
        <v>38.25</v>
      </c>
      <c r="M20649">
        <v>92</v>
      </c>
      <c r="N20649">
        <v>249</v>
      </c>
      <c r="O20649">
        <v>92</v>
      </c>
      <c r="P20649">
        <v>249</v>
      </c>
    </row>
    <row r="20650" spans="1:16" x14ac:dyDescent="0.25">
      <c r="A20650" t="s">
        <v>49722</v>
      </c>
      <c r="B20650" t="s">
        <v>49723</v>
      </c>
      <c r="C20650" t="s">
        <v>43627</v>
      </c>
      <c r="D20650" t="s">
        <v>49724</v>
      </c>
      <c r="E20650" t="s">
        <v>49725</v>
      </c>
      <c r="F20650" t="s">
        <v>46687</v>
      </c>
      <c r="G20650" t="s">
        <v>47093</v>
      </c>
      <c r="H20650" t="s">
        <v>47054</v>
      </c>
      <c r="I20650" t="s">
        <v>47116</v>
      </c>
      <c r="J20650" t="s">
        <v>47117</v>
      </c>
      <c r="K20650" t="s">
        <v>47113</v>
      </c>
      <c r="L20650">
        <v>48.7</v>
      </c>
      <c r="M20650">
        <v>129</v>
      </c>
      <c r="N20650">
        <v>349</v>
      </c>
      <c r="O20650">
        <v>129</v>
      </c>
      <c r="P20650">
        <v>349</v>
      </c>
    </row>
    <row r="20651" spans="1:16" x14ac:dyDescent="0.25">
      <c r="A20651" t="s">
        <v>49726</v>
      </c>
      <c r="B20651" t="s">
        <v>49727</v>
      </c>
      <c r="C20651" t="s">
        <v>49487</v>
      </c>
      <c r="D20651" t="s">
        <v>49488</v>
      </c>
      <c r="E20651" t="s">
        <v>49489</v>
      </c>
      <c r="F20651" t="s">
        <v>47185</v>
      </c>
      <c r="G20651" t="s">
        <v>47093</v>
      </c>
      <c r="H20651" t="s">
        <v>47054</v>
      </c>
      <c r="I20651" t="s">
        <v>47544</v>
      </c>
      <c r="J20651" t="s">
        <v>47545</v>
      </c>
      <c r="K20651" t="s">
        <v>47113</v>
      </c>
      <c r="L20651">
        <v>38.57</v>
      </c>
      <c r="M20651">
        <v>103</v>
      </c>
      <c r="N20651">
        <v>279</v>
      </c>
      <c r="O20651">
        <v>103</v>
      </c>
      <c r="P20651">
        <v>279</v>
      </c>
    </row>
    <row r="20652" spans="1:16" x14ac:dyDescent="0.25">
      <c r="A20652" t="s">
        <v>43383</v>
      </c>
      <c r="B20652" t="s">
        <v>12461</v>
      </c>
      <c r="C20652" t="s">
        <v>11644</v>
      </c>
      <c r="D20652" t="str">
        <f>"1821"</f>
        <v>1821</v>
      </c>
      <c r="E20652" t="s">
        <v>590</v>
      </c>
      <c r="F20652" t="s">
        <v>3670</v>
      </c>
      <c r="G20652" t="s">
        <v>47093</v>
      </c>
      <c r="H20652" t="s">
        <v>47054</v>
      </c>
      <c r="I20652" t="s">
        <v>47111</v>
      </c>
      <c r="J20652" t="s">
        <v>47112</v>
      </c>
      <c r="K20652" t="s">
        <v>47113</v>
      </c>
      <c r="L20652">
        <v>36.07</v>
      </c>
      <c r="M20652">
        <v>92</v>
      </c>
      <c r="N20652">
        <v>0</v>
      </c>
      <c r="O20652">
        <v>92</v>
      </c>
      <c r="P20652">
        <v>0</v>
      </c>
    </row>
    <row r="20653" spans="1:16" x14ac:dyDescent="0.25">
      <c r="A20653" t="s">
        <v>43384</v>
      </c>
      <c r="B20653" t="s">
        <v>12461</v>
      </c>
      <c r="C20653" t="s">
        <v>11644</v>
      </c>
      <c r="D20653" t="str">
        <f>"2418"</f>
        <v>2418</v>
      </c>
      <c r="E20653" t="s">
        <v>12462</v>
      </c>
      <c r="F20653" t="s">
        <v>3670</v>
      </c>
      <c r="G20653" t="s">
        <v>47093</v>
      </c>
      <c r="H20653" t="s">
        <v>47054</v>
      </c>
      <c r="I20653" t="s">
        <v>47111</v>
      </c>
      <c r="J20653" t="s">
        <v>47112</v>
      </c>
      <c r="K20653" t="s">
        <v>47113</v>
      </c>
      <c r="L20653">
        <v>47.91</v>
      </c>
      <c r="M20653">
        <v>92</v>
      </c>
      <c r="N20653">
        <v>0</v>
      </c>
      <c r="O20653">
        <v>92</v>
      </c>
      <c r="P20653">
        <v>0</v>
      </c>
    </row>
    <row r="20654" spans="1:16" x14ac:dyDescent="0.25">
      <c r="A20654" t="s">
        <v>43385</v>
      </c>
      <c r="B20654" t="s">
        <v>12463</v>
      </c>
      <c r="C20654" t="s">
        <v>12464</v>
      </c>
      <c r="D20654" t="str">
        <f>"1821"</f>
        <v>1821</v>
      </c>
      <c r="E20654" t="s">
        <v>590</v>
      </c>
      <c r="F20654" t="s">
        <v>3670</v>
      </c>
      <c r="G20654" t="s">
        <v>47098</v>
      </c>
      <c r="H20654" t="s">
        <v>47054</v>
      </c>
      <c r="I20654" t="s">
        <v>47111</v>
      </c>
      <c r="J20654" t="s">
        <v>47112</v>
      </c>
      <c r="K20654" t="s">
        <v>47113</v>
      </c>
      <c r="L20654">
        <v>38.67</v>
      </c>
      <c r="M20654">
        <v>103</v>
      </c>
      <c r="N20654">
        <v>0</v>
      </c>
      <c r="O20654">
        <v>103</v>
      </c>
      <c r="P20654">
        <v>0</v>
      </c>
    </row>
    <row r="20655" spans="1:16" x14ac:dyDescent="0.25">
      <c r="A20655" t="s">
        <v>43386</v>
      </c>
      <c r="B20655" t="s">
        <v>12465</v>
      </c>
      <c r="C20655" t="s">
        <v>10599</v>
      </c>
      <c r="D20655" t="str">
        <f>"1821"</f>
        <v>1821</v>
      </c>
      <c r="E20655" t="s">
        <v>590</v>
      </c>
      <c r="F20655" t="s">
        <v>3670</v>
      </c>
      <c r="G20655" t="s">
        <v>47093</v>
      </c>
      <c r="H20655" t="s">
        <v>47054</v>
      </c>
      <c r="I20655" t="s">
        <v>47111</v>
      </c>
      <c r="J20655" t="s">
        <v>47112</v>
      </c>
      <c r="K20655" t="s">
        <v>47113</v>
      </c>
      <c r="L20655">
        <v>36.630000000000003</v>
      </c>
      <c r="M20655">
        <v>66</v>
      </c>
      <c r="N20655">
        <v>0</v>
      </c>
      <c r="O20655">
        <v>66</v>
      </c>
      <c r="P20655">
        <v>0</v>
      </c>
    </row>
    <row r="20656" spans="1:16" x14ac:dyDescent="0.25">
      <c r="A20656" t="s">
        <v>43387</v>
      </c>
      <c r="B20656" t="s">
        <v>12466</v>
      </c>
      <c r="C20656" t="s">
        <v>14341</v>
      </c>
      <c r="D20656" t="str">
        <f>"1821"</f>
        <v>1821</v>
      </c>
      <c r="E20656" t="s">
        <v>590</v>
      </c>
      <c r="F20656" t="s">
        <v>3670</v>
      </c>
      <c r="G20656" t="s">
        <v>47093</v>
      </c>
      <c r="H20656" t="s">
        <v>47054</v>
      </c>
      <c r="I20656" t="s">
        <v>47111</v>
      </c>
      <c r="J20656" t="s">
        <v>47112</v>
      </c>
      <c r="K20656" t="s">
        <v>47113</v>
      </c>
      <c r="L20656">
        <v>35.479999999999997</v>
      </c>
      <c r="M20656">
        <v>66</v>
      </c>
      <c r="N20656">
        <v>0</v>
      </c>
      <c r="O20656">
        <v>66</v>
      </c>
      <c r="P20656">
        <v>0</v>
      </c>
    </row>
    <row r="20657" spans="1:16" x14ac:dyDescent="0.25">
      <c r="A20657" t="s">
        <v>43388</v>
      </c>
      <c r="B20657" t="s">
        <v>12467</v>
      </c>
      <c r="C20657" t="s">
        <v>12468</v>
      </c>
      <c r="D20657" t="str">
        <f>"1821"</f>
        <v>1821</v>
      </c>
      <c r="E20657" t="s">
        <v>590</v>
      </c>
      <c r="F20657" t="s">
        <v>3670</v>
      </c>
      <c r="G20657" t="s">
        <v>47093</v>
      </c>
      <c r="H20657" t="s">
        <v>47054</v>
      </c>
      <c r="I20657" t="s">
        <v>47111</v>
      </c>
      <c r="J20657" t="s">
        <v>47112</v>
      </c>
      <c r="K20657" t="s">
        <v>47113</v>
      </c>
      <c r="L20657">
        <v>38.97</v>
      </c>
      <c r="M20657">
        <v>66</v>
      </c>
      <c r="N20657">
        <v>0</v>
      </c>
      <c r="O20657">
        <v>66</v>
      </c>
      <c r="P20657">
        <v>0</v>
      </c>
    </row>
    <row r="20658" spans="1:16" x14ac:dyDescent="0.25">
      <c r="A20658" t="s">
        <v>43389</v>
      </c>
      <c r="B20658" t="s">
        <v>12469</v>
      </c>
      <c r="C20658" t="s">
        <v>11852</v>
      </c>
      <c r="D20658" t="str">
        <f>"1760"</f>
        <v>1760</v>
      </c>
      <c r="E20658" t="s">
        <v>11853</v>
      </c>
      <c r="F20658" t="s">
        <v>3546</v>
      </c>
      <c r="G20658" t="s">
        <v>47093</v>
      </c>
      <c r="H20658" t="s">
        <v>47054</v>
      </c>
      <c r="I20658" t="s">
        <v>47111</v>
      </c>
      <c r="J20658" t="s">
        <v>47112</v>
      </c>
      <c r="K20658" t="s">
        <v>47113</v>
      </c>
      <c r="L20658">
        <v>34.71</v>
      </c>
      <c r="M20658">
        <v>86</v>
      </c>
      <c r="N20658">
        <v>0</v>
      </c>
      <c r="O20658">
        <v>86</v>
      </c>
      <c r="P20658">
        <v>0</v>
      </c>
    </row>
    <row r="20659" spans="1:16" x14ac:dyDescent="0.25">
      <c r="A20659" t="s">
        <v>43390</v>
      </c>
      <c r="B20659" t="s">
        <v>12470</v>
      </c>
      <c r="C20659" t="s">
        <v>19207</v>
      </c>
      <c r="D20659" t="str">
        <f>"1821"</f>
        <v>1821</v>
      </c>
      <c r="E20659" t="s">
        <v>590</v>
      </c>
      <c r="F20659" t="s">
        <v>3546</v>
      </c>
      <c r="G20659" t="s">
        <v>47093</v>
      </c>
      <c r="H20659" t="s">
        <v>47054</v>
      </c>
      <c r="I20659" t="s">
        <v>47111</v>
      </c>
      <c r="J20659" t="s">
        <v>47112</v>
      </c>
      <c r="K20659" t="s">
        <v>47113</v>
      </c>
      <c r="L20659">
        <v>39.590000000000003</v>
      </c>
      <c r="M20659">
        <v>63</v>
      </c>
      <c r="N20659">
        <v>0</v>
      </c>
      <c r="O20659">
        <v>63</v>
      </c>
      <c r="P20659">
        <v>0</v>
      </c>
    </row>
    <row r="20660" spans="1:16" x14ac:dyDescent="0.25">
      <c r="A20660" t="s">
        <v>43391</v>
      </c>
      <c r="B20660" t="s">
        <v>12471</v>
      </c>
      <c r="C20660" t="s">
        <v>11265</v>
      </c>
      <c r="D20660" t="str">
        <f>"1821"</f>
        <v>1821</v>
      </c>
      <c r="E20660" t="s">
        <v>590</v>
      </c>
      <c r="F20660" t="s">
        <v>3670</v>
      </c>
      <c r="G20660" t="s">
        <v>47093</v>
      </c>
      <c r="H20660" t="s">
        <v>47054</v>
      </c>
      <c r="I20660" t="s">
        <v>47111</v>
      </c>
      <c r="J20660" t="s">
        <v>47112</v>
      </c>
      <c r="K20660" t="s">
        <v>47113</v>
      </c>
      <c r="L20660">
        <v>36.630000000000003</v>
      </c>
      <c r="M20660">
        <v>63</v>
      </c>
      <c r="N20660">
        <v>0</v>
      </c>
      <c r="O20660">
        <v>63</v>
      </c>
      <c r="P20660">
        <v>0</v>
      </c>
    </row>
    <row r="20661" spans="1:16" x14ac:dyDescent="0.25">
      <c r="A20661" t="s">
        <v>43392</v>
      </c>
      <c r="B20661" t="s">
        <v>12472</v>
      </c>
      <c r="C20661" t="s">
        <v>19208</v>
      </c>
      <c r="D20661" t="str">
        <f>"1821"</f>
        <v>1821</v>
      </c>
      <c r="E20661" t="s">
        <v>590</v>
      </c>
      <c r="F20661" t="s">
        <v>3670</v>
      </c>
      <c r="G20661" t="s">
        <v>47093</v>
      </c>
      <c r="H20661" t="s">
        <v>47054</v>
      </c>
      <c r="I20661" t="s">
        <v>47111</v>
      </c>
      <c r="J20661" t="s">
        <v>47112</v>
      </c>
      <c r="K20661" t="s">
        <v>47113</v>
      </c>
      <c r="L20661">
        <v>68.8</v>
      </c>
      <c r="M20661">
        <v>107</v>
      </c>
      <c r="N20661">
        <v>0</v>
      </c>
      <c r="O20661">
        <v>107</v>
      </c>
      <c r="P20661">
        <v>0</v>
      </c>
    </row>
    <row r="20662" spans="1:16" x14ac:dyDescent="0.25">
      <c r="A20662" t="s">
        <v>43393</v>
      </c>
      <c r="B20662" t="s">
        <v>12474</v>
      </c>
      <c r="C20662" t="s">
        <v>12473</v>
      </c>
      <c r="D20662" t="str">
        <f>"4004"</f>
        <v>4004</v>
      </c>
      <c r="E20662" t="s">
        <v>12475</v>
      </c>
      <c r="F20662" t="s">
        <v>3670</v>
      </c>
      <c r="G20662" t="s">
        <v>47093</v>
      </c>
      <c r="H20662" t="s">
        <v>47054</v>
      </c>
      <c r="I20662" t="s">
        <v>47111</v>
      </c>
      <c r="J20662" t="s">
        <v>47112</v>
      </c>
      <c r="K20662" t="s">
        <v>47113</v>
      </c>
      <c r="L20662">
        <v>77.44</v>
      </c>
      <c r="M20662">
        <v>107</v>
      </c>
      <c r="N20662">
        <v>0</v>
      </c>
      <c r="O20662">
        <v>107</v>
      </c>
      <c r="P20662">
        <v>0</v>
      </c>
    </row>
    <row r="20663" spans="1:16" x14ac:dyDescent="0.25">
      <c r="A20663" t="s">
        <v>43394</v>
      </c>
      <c r="B20663" t="s">
        <v>12476</v>
      </c>
      <c r="C20663" t="s">
        <v>10614</v>
      </c>
      <c r="D20663" t="str">
        <f>"4154"</f>
        <v>4154</v>
      </c>
      <c r="E20663" t="s">
        <v>12478</v>
      </c>
      <c r="F20663" t="s">
        <v>3558</v>
      </c>
      <c r="G20663" t="s">
        <v>47093</v>
      </c>
      <c r="H20663" t="s">
        <v>47054</v>
      </c>
      <c r="I20663" t="s">
        <v>47111</v>
      </c>
      <c r="J20663" t="s">
        <v>47112</v>
      </c>
      <c r="K20663" t="s">
        <v>47113</v>
      </c>
      <c r="L20663">
        <v>45.87</v>
      </c>
      <c r="M20663">
        <v>74</v>
      </c>
      <c r="N20663">
        <v>0</v>
      </c>
      <c r="O20663">
        <v>74</v>
      </c>
      <c r="P20663">
        <v>0</v>
      </c>
    </row>
    <row r="20664" spans="1:16" x14ac:dyDescent="0.25">
      <c r="A20664" t="s">
        <v>43395</v>
      </c>
      <c r="B20664" t="s">
        <v>14353</v>
      </c>
      <c r="C20664" t="s">
        <v>11644</v>
      </c>
      <c r="D20664" t="str">
        <f>"1800"</f>
        <v>1800</v>
      </c>
      <c r="E20664" t="s">
        <v>14354</v>
      </c>
      <c r="F20664" t="s">
        <v>3558</v>
      </c>
      <c r="G20664" t="s">
        <v>47093</v>
      </c>
      <c r="H20664" t="s">
        <v>47054</v>
      </c>
      <c r="I20664" t="s">
        <v>47111</v>
      </c>
      <c r="J20664" t="s">
        <v>47112</v>
      </c>
      <c r="K20664" t="s">
        <v>47113</v>
      </c>
      <c r="L20664">
        <v>38.58</v>
      </c>
      <c r="M20664">
        <v>92</v>
      </c>
      <c r="N20664">
        <v>0</v>
      </c>
      <c r="O20664">
        <v>92</v>
      </c>
      <c r="P20664">
        <v>0</v>
      </c>
    </row>
    <row r="20665" spans="1:16" x14ac:dyDescent="0.25">
      <c r="A20665" t="s">
        <v>43396</v>
      </c>
      <c r="B20665" t="s">
        <v>12479</v>
      </c>
      <c r="C20665" t="s">
        <v>12480</v>
      </c>
      <c r="D20665" t="str">
        <f>"1821"</f>
        <v>1821</v>
      </c>
      <c r="E20665" t="s">
        <v>590</v>
      </c>
      <c r="F20665" t="s">
        <v>3670</v>
      </c>
      <c r="G20665" t="s">
        <v>47093</v>
      </c>
      <c r="I20665" t="s">
        <v>47111</v>
      </c>
      <c r="J20665" t="s">
        <v>47112</v>
      </c>
      <c r="K20665" t="s">
        <v>47113</v>
      </c>
      <c r="L20665">
        <v>48.12</v>
      </c>
      <c r="M20665">
        <v>92</v>
      </c>
      <c r="N20665">
        <v>0</v>
      </c>
      <c r="O20665">
        <v>92</v>
      </c>
      <c r="P20665">
        <v>0</v>
      </c>
    </row>
    <row r="20666" spans="1:16" x14ac:dyDescent="0.25">
      <c r="A20666" t="s">
        <v>43397</v>
      </c>
      <c r="B20666" t="s">
        <v>12481</v>
      </c>
      <c r="C20666" t="s">
        <v>19209</v>
      </c>
      <c r="D20666" t="str">
        <f>"1255"</f>
        <v>1255</v>
      </c>
      <c r="E20666" t="s">
        <v>12482</v>
      </c>
      <c r="F20666" t="s">
        <v>3670</v>
      </c>
      <c r="G20666" t="s">
        <v>47093</v>
      </c>
      <c r="H20666" t="s">
        <v>47054</v>
      </c>
      <c r="I20666" t="s">
        <v>47111</v>
      </c>
      <c r="J20666" t="s">
        <v>47112</v>
      </c>
      <c r="K20666" t="s">
        <v>47113</v>
      </c>
      <c r="L20666">
        <v>44.74</v>
      </c>
      <c r="M20666">
        <v>74</v>
      </c>
      <c r="N20666">
        <v>0</v>
      </c>
      <c r="O20666">
        <v>74</v>
      </c>
      <c r="P20666">
        <v>0</v>
      </c>
    </row>
    <row r="20667" spans="1:16" x14ac:dyDescent="0.25">
      <c r="A20667" t="s">
        <v>43398</v>
      </c>
      <c r="B20667" t="s">
        <v>12481</v>
      </c>
      <c r="C20667" t="s">
        <v>19209</v>
      </c>
      <c r="D20667" t="str">
        <f>"6303"</f>
        <v>6303</v>
      </c>
      <c r="E20667" t="s">
        <v>12483</v>
      </c>
      <c r="F20667" t="s">
        <v>3670</v>
      </c>
      <c r="G20667" t="s">
        <v>47093</v>
      </c>
      <c r="H20667" t="s">
        <v>47054</v>
      </c>
      <c r="I20667" t="s">
        <v>47111</v>
      </c>
      <c r="J20667" t="s">
        <v>47112</v>
      </c>
      <c r="K20667" t="s">
        <v>47113</v>
      </c>
      <c r="L20667">
        <v>44.74</v>
      </c>
      <c r="M20667">
        <v>74</v>
      </c>
      <c r="N20667">
        <v>0</v>
      </c>
      <c r="O20667">
        <v>74</v>
      </c>
      <c r="P20667">
        <v>0</v>
      </c>
    </row>
    <row r="20668" spans="1:16" x14ac:dyDescent="0.25">
      <c r="A20668" t="s">
        <v>43399</v>
      </c>
      <c r="B20668" t="s">
        <v>12484</v>
      </c>
      <c r="C20668" t="s">
        <v>14355</v>
      </c>
      <c r="D20668" t="str">
        <f>"1256"</f>
        <v>1256</v>
      </c>
      <c r="E20668" t="s">
        <v>12485</v>
      </c>
      <c r="F20668" t="s">
        <v>3670</v>
      </c>
      <c r="G20668" t="s">
        <v>47093</v>
      </c>
      <c r="I20668" t="s">
        <v>47111</v>
      </c>
      <c r="J20668" t="s">
        <v>47112</v>
      </c>
      <c r="K20668" t="s">
        <v>47113</v>
      </c>
      <c r="L20668">
        <v>42.81</v>
      </c>
      <c r="M20668">
        <v>92</v>
      </c>
      <c r="N20668">
        <v>0</v>
      </c>
      <c r="O20668">
        <v>92</v>
      </c>
      <c r="P20668">
        <v>0</v>
      </c>
    </row>
    <row r="20669" spans="1:16" x14ac:dyDescent="0.25">
      <c r="A20669" t="s">
        <v>43400</v>
      </c>
      <c r="B20669" t="s">
        <v>12484</v>
      </c>
      <c r="C20669" t="s">
        <v>14355</v>
      </c>
      <c r="D20669" t="str">
        <f>"3554"</f>
        <v>3554</v>
      </c>
      <c r="E20669" t="s">
        <v>12486</v>
      </c>
      <c r="F20669" t="s">
        <v>3670</v>
      </c>
      <c r="G20669" t="s">
        <v>47093</v>
      </c>
      <c r="I20669" t="s">
        <v>47111</v>
      </c>
      <c r="J20669" t="s">
        <v>47112</v>
      </c>
      <c r="K20669" t="s">
        <v>47113</v>
      </c>
      <c r="L20669">
        <v>47.77</v>
      </c>
      <c r="M20669">
        <v>100</v>
      </c>
      <c r="N20669">
        <v>0</v>
      </c>
      <c r="O20669">
        <v>100</v>
      </c>
      <c r="P20669">
        <v>0</v>
      </c>
    </row>
    <row r="20670" spans="1:16" x14ac:dyDescent="0.25">
      <c r="A20670" t="s">
        <v>43401</v>
      </c>
      <c r="B20670" t="s">
        <v>12487</v>
      </c>
      <c r="C20670" t="s">
        <v>14356</v>
      </c>
      <c r="D20670" t="s">
        <v>12488</v>
      </c>
      <c r="E20670" t="s">
        <v>12489</v>
      </c>
      <c r="F20670" t="s">
        <v>3670</v>
      </c>
      <c r="G20670" t="s">
        <v>47093</v>
      </c>
      <c r="I20670" t="s">
        <v>47111</v>
      </c>
      <c r="J20670" t="s">
        <v>47112</v>
      </c>
      <c r="K20670" t="s">
        <v>47113</v>
      </c>
      <c r="L20670">
        <v>57.16</v>
      </c>
      <c r="M20670">
        <v>100</v>
      </c>
      <c r="N20670">
        <v>0</v>
      </c>
      <c r="O20670">
        <v>100</v>
      </c>
      <c r="P20670">
        <v>0</v>
      </c>
    </row>
    <row r="20671" spans="1:16" x14ac:dyDescent="0.25">
      <c r="A20671" t="s">
        <v>43402</v>
      </c>
      <c r="B20671" t="s">
        <v>12490</v>
      </c>
      <c r="C20671" t="s">
        <v>12440</v>
      </c>
      <c r="D20671" t="str">
        <f>"1805"</f>
        <v>1805</v>
      </c>
      <c r="E20671" t="s">
        <v>12491</v>
      </c>
      <c r="F20671" t="s">
        <v>3670</v>
      </c>
      <c r="G20671" t="s">
        <v>47093</v>
      </c>
      <c r="H20671" t="s">
        <v>47054</v>
      </c>
      <c r="I20671" t="s">
        <v>47111</v>
      </c>
      <c r="J20671" t="s">
        <v>47112</v>
      </c>
      <c r="K20671" t="s">
        <v>47113</v>
      </c>
      <c r="L20671">
        <v>68.45</v>
      </c>
      <c r="M20671">
        <v>111</v>
      </c>
      <c r="N20671">
        <v>0</v>
      </c>
      <c r="O20671">
        <v>111</v>
      </c>
      <c r="P20671">
        <v>0</v>
      </c>
    </row>
    <row r="20672" spans="1:16" x14ac:dyDescent="0.25">
      <c r="A20672" t="s">
        <v>43403</v>
      </c>
      <c r="B20672" t="s">
        <v>12490</v>
      </c>
      <c r="C20672" t="s">
        <v>12440</v>
      </c>
      <c r="D20672" t="str">
        <f>"6121"</f>
        <v>6121</v>
      </c>
      <c r="E20672" t="s">
        <v>12492</v>
      </c>
      <c r="F20672" t="s">
        <v>3670</v>
      </c>
      <c r="G20672" t="s">
        <v>47093</v>
      </c>
      <c r="H20672" t="s">
        <v>47054</v>
      </c>
      <c r="I20672" t="s">
        <v>47111</v>
      </c>
      <c r="J20672" t="s">
        <v>47112</v>
      </c>
      <c r="K20672" t="s">
        <v>47113</v>
      </c>
      <c r="L20672">
        <v>75.739999999999995</v>
      </c>
      <c r="M20672">
        <v>111</v>
      </c>
      <c r="N20672">
        <v>0</v>
      </c>
      <c r="O20672">
        <v>111</v>
      </c>
      <c r="P20672">
        <v>0</v>
      </c>
    </row>
    <row r="20673" spans="1:16" x14ac:dyDescent="0.25">
      <c r="A20673" t="s">
        <v>43404</v>
      </c>
      <c r="B20673" t="s">
        <v>12493</v>
      </c>
      <c r="C20673" t="s">
        <v>12494</v>
      </c>
      <c r="D20673" t="str">
        <f>"1255"</f>
        <v>1255</v>
      </c>
      <c r="E20673" t="s">
        <v>12482</v>
      </c>
      <c r="F20673" t="s">
        <v>3670</v>
      </c>
      <c r="G20673" t="s">
        <v>49029</v>
      </c>
      <c r="I20673" t="s">
        <v>47111</v>
      </c>
      <c r="J20673" t="s">
        <v>47112</v>
      </c>
      <c r="K20673" t="s">
        <v>47113</v>
      </c>
      <c r="L20673">
        <v>39.200000000000003</v>
      </c>
      <c r="M20673">
        <v>66</v>
      </c>
      <c r="N20673">
        <v>0</v>
      </c>
      <c r="O20673">
        <v>66</v>
      </c>
      <c r="P20673">
        <v>0</v>
      </c>
    </row>
    <row r="20674" spans="1:16" x14ac:dyDescent="0.25">
      <c r="A20674" t="s">
        <v>43405</v>
      </c>
      <c r="B20674" t="s">
        <v>12493</v>
      </c>
      <c r="C20674" t="s">
        <v>12494</v>
      </c>
      <c r="D20674" t="str">
        <f>"6303"</f>
        <v>6303</v>
      </c>
      <c r="E20674" t="s">
        <v>12483</v>
      </c>
      <c r="F20674" t="s">
        <v>3670</v>
      </c>
      <c r="G20674" t="s">
        <v>49029</v>
      </c>
      <c r="I20674" t="s">
        <v>47111</v>
      </c>
      <c r="J20674" t="s">
        <v>47112</v>
      </c>
      <c r="K20674" t="s">
        <v>47113</v>
      </c>
      <c r="L20674">
        <v>39.200000000000003</v>
      </c>
      <c r="M20674">
        <v>66</v>
      </c>
      <c r="N20674">
        <v>0</v>
      </c>
      <c r="O20674">
        <v>66</v>
      </c>
      <c r="P20674">
        <v>0</v>
      </c>
    </row>
    <row r="20675" spans="1:16" x14ac:dyDescent="0.25">
      <c r="A20675" t="s">
        <v>43406</v>
      </c>
      <c r="B20675" t="s">
        <v>12495</v>
      </c>
      <c r="C20675" t="s">
        <v>12496</v>
      </c>
      <c r="D20675" t="str">
        <f>"1821"</f>
        <v>1821</v>
      </c>
      <c r="E20675" t="s">
        <v>590</v>
      </c>
      <c r="F20675" t="s">
        <v>3670</v>
      </c>
      <c r="G20675" t="s">
        <v>49029</v>
      </c>
      <c r="H20675" t="s">
        <v>47054</v>
      </c>
      <c r="I20675" t="s">
        <v>47111</v>
      </c>
      <c r="J20675" t="s">
        <v>47112</v>
      </c>
      <c r="K20675" t="s">
        <v>47113</v>
      </c>
      <c r="L20675">
        <v>32.43</v>
      </c>
      <c r="M20675">
        <v>59</v>
      </c>
      <c r="N20675">
        <v>0</v>
      </c>
      <c r="O20675">
        <v>59</v>
      </c>
      <c r="P20675">
        <v>0</v>
      </c>
    </row>
    <row r="20676" spans="1:16" x14ac:dyDescent="0.25">
      <c r="A20676" t="s">
        <v>43407</v>
      </c>
      <c r="B20676" t="s">
        <v>12497</v>
      </c>
      <c r="C20676" t="s">
        <v>12498</v>
      </c>
      <c r="D20676" t="str">
        <f>"1725"</f>
        <v>1725</v>
      </c>
      <c r="E20676" t="s">
        <v>12499</v>
      </c>
      <c r="F20676" t="s">
        <v>3558</v>
      </c>
      <c r="G20676" t="s">
        <v>47093</v>
      </c>
      <c r="H20676" t="s">
        <v>47054</v>
      </c>
      <c r="I20676" t="s">
        <v>47111</v>
      </c>
      <c r="J20676" t="s">
        <v>47112</v>
      </c>
      <c r="K20676" t="s">
        <v>47113</v>
      </c>
      <c r="L20676">
        <v>67.83</v>
      </c>
      <c r="M20676">
        <v>96</v>
      </c>
      <c r="N20676">
        <v>0</v>
      </c>
      <c r="O20676">
        <v>96</v>
      </c>
      <c r="P20676">
        <v>0</v>
      </c>
    </row>
    <row r="20677" spans="1:16" x14ac:dyDescent="0.25">
      <c r="A20677" t="s">
        <v>43408</v>
      </c>
      <c r="B20677" t="s">
        <v>12500</v>
      </c>
      <c r="C20677" t="s">
        <v>16408</v>
      </c>
      <c r="D20677" t="str">
        <f>"1725"</f>
        <v>1725</v>
      </c>
      <c r="E20677" t="s">
        <v>12499</v>
      </c>
      <c r="F20677" t="s">
        <v>3558</v>
      </c>
      <c r="G20677" t="s">
        <v>47093</v>
      </c>
      <c r="H20677" t="s">
        <v>47054</v>
      </c>
      <c r="I20677" t="s">
        <v>47111</v>
      </c>
      <c r="J20677" t="s">
        <v>47112</v>
      </c>
      <c r="K20677" t="s">
        <v>47113</v>
      </c>
      <c r="L20677">
        <v>67.03</v>
      </c>
      <c r="M20677">
        <v>96</v>
      </c>
      <c r="N20677">
        <v>0</v>
      </c>
      <c r="O20677">
        <v>96</v>
      </c>
      <c r="P20677">
        <v>0</v>
      </c>
    </row>
    <row r="20678" spans="1:16" x14ac:dyDescent="0.25">
      <c r="A20678" t="s">
        <v>43409</v>
      </c>
      <c r="B20678" t="s">
        <v>12501</v>
      </c>
      <c r="C20678" t="s">
        <v>19210</v>
      </c>
      <c r="D20678" t="str">
        <f>"1821"</f>
        <v>1821</v>
      </c>
      <c r="E20678" t="s">
        <v>590</v>
      </c>
      <c r="F20678" t="s">
        <v>3558</v>
      </c>
      <c r="G20678" t="s">
        <v>47093</v>
      </c>
      <c r="H20678" t="s">
        <v>47054</v>
      </c>
      <c r="I20678" t="s">
        <v>47111</v>
      </c>
      <c r="J20678" t="s">
        <v>47112</v>
      </c>
      <c r="K20678" t="s">
        <v>47113</v>
      </c>
      <c r="L20678">
        <v>56.24</v>
      </c>
      <c r="M20678">
        <v>111</v>
      </c>
      <c r="N20678">
        <v>0</v>
      </c>
      <c r="O20678">
        <v>111</v>
      </c>
      <c r="P20678">
        <v>0</v>
      </c>
    </row>
    <row r="20679" spans="1:16" x14ac:dyDescent="0.25">
      <c r="A20679" t="s">
        <v>43410</v>
      </c>
      <c r="B20679" t="s">
        <v>12501</v>
      </c>
      <c r="C20679" t="s">
        <v>19210</v>
      </c>
      <c r="D20679" t="str">
        <f>"4157"</f>
        <v>4157</v>
      </c>
      <c r="E20679" t="s">
        <v>12502</v>
      </c>
      <c r="F20679" t="s">
        <v>3558</v>
      </c>
      <c r="G20679" t="s">
        <v>47093</v>
      </c>
      <c r="H20679" t="s">
        <v>47054</v>
      </c>
      <c r="I20679" t="s">
        <v>47111</v>
      </c>
      <c r="J20679" t="s">
        <v>47112</v>
      </c>
      <c r="K20679" t="s">
        <v>47113</v>
      </c>
      <c r="L20679">
        <v>56.24</v>
      </c>
      <c r="M20679">
        <v>111</v>
      </c>
      <c r="N20679">
        <v>0</v>
      </c>
      <c r="O20679">
        <v>111</v>
      </c>
      <c r="P20679">
        <v>0</v>
      </c>
    </row>
    <row r="20680" spans="1:16" x14ac:dyDescent="0.25">
      <c r="A20680" t="s">
        <v>43411</v>
      </c>
      <c r="B20680" t="s">
        <v>12501</v>
      </c>
      <c r="C20680" t="s">
        <v>19210</v>
      </c>
      <c r="D20680" t="str">
        <f>"6035"</f>
        <v>6035</v>
      </c>
      <c r="E20680" t="s">
        <v>2598</v>
      </c>
      <c r="F20680" t="s">
        <v>3558</v>
      </c>
      <c r="G20680" t="s">
        <v>47093</v>
      </c>
      <c r="H20680" t="s">
        <v>47054</v>
      </c>
      <c r="I20680" t="s">
        <v>47111</v>
      </c>
      <c r="J20680" t="s">
        <v>47112</v>
      </c>
      <c r="K20680" t="s">
        <v>47113</v>
      </c>
      <c r="L20680">
        <v>56.24</v>
      </c>
      <c r="M20680">
        <v>111</v>
      </c>
      <c r="N20680">
        <v>0</v>
      </c>
      <c r="O20680">
        <v>111</v>
      </c>
      <c r="P20680">
        <v>0</v>
      </c>
    </row>
    <row r="20681" spans="1:16" x14ac:dyDescent="0.25">
      <c r="A20681" t="s">
        <v>43412</v>
      </c>
      <c r="B20681" t="s">
        <v>12503</v>
      </c>
      <c r="C20681" t="s">
        <v>12494</v>
      </c>
      <c r="D20681" t="str">
        <f>"1255"</f>
        <v>1255</v>
      </c>
      <c r="E20681" t="s">
        <v>12482</v>
      </c>
      <c r="F20681" t="s">
        <v>3670</v>
      </c>
      <c r="G20681" t="s">
        <v>49029</v>
      </c>
      <c r="H20681" t="s">
        <v>47054</v>
      </c>
      <c r="I20681" t="s">
        <v>47111</v>
      </c>
      <c r="J20681" t="s">
        <v>47112</v>
      </c>
      <c r="K20681" t="s">
        <v>47113</v>
      </c>
      <c r="L20681">
        <v>39.200000000000003</v>
      </c>
      <c r="M20681">
        <v>66</v>
      </c>
      <c r="N20681">
        <v>0</v>
      </c>
      <c r="O20681">
        <v>66</v>
      </c>
      <c r="P20681">
        <v>0</v>
      </c>
    </row>
    <row r="20682" spans="1:16" x14ac:dyDescent="0.25">
      <c r="A20682" t="s">
        <v>43413</v>
      </c>
      <c r="B20682" t="s">
        <v>12504</v>
      </c>
      <c r="C20682" t="s">
        <v>19211</v>
      </c>
      <c r="D20682" t="str">
        <f>"1255"</f>
        <v>1255</v>
      </c>
      <c r="E20682" t="s">
        <v>12482</v>
      </c>
      <c r="F20682" t="s">
        <v>3670</v>
      </c>
      <c r="G20682" t="s">
        <v>47093</v>
      </c>
      <c r="I20682" t="s">
        <v>47111</v>
      </c>
      <c r="J20682" t="s">
        <v>47112</v>
      </c>
      <c r="K20682" t="s">
        <v>47113</v>
      </c>
      <c r="L20682">
        <v>51.36</v>
      </c>
      <c r="M20682">
        <v>92</v>
      </c>
      <c r="N20682">
        <v>0</v>
      </c>
      <c r="O20682">
        <v>92</v>
      </c>
      <c r="P20682">
        <v>0</v>
      </c>
    </row>
    <row r="20683" spans="1:16" x14ac:dyDescent="0.25">
      <c r="A20683" t="s">
        <v>43414</v>
      </c>
      <c r="B20683" t="s">
        <v>12504</v>
      </c>
      <c r="C20683" t="s">
        <v>19211</v>
      </c>
      <c r="D20683" t="str">
        <f>"6303"</f>
        <v>6303</v>
      </c>
      <c r="E20683" t="s">
        <v>12483</v>
      </c>
      <c r="F20683" t="s">
        <v>3670</v>
      </c>
      <c r="G20683" t="s">
        <v>47093</v>
      </c>
      <c r="I20683" t="s">
        <v>47111</v>
      </c>
      <c r="J20683" t="s">
        <v>47112</v>
      </c>
      <c r="K20683" t="s">
        <v>47113</v>
      </c>
      <c r="L20683">
        <v>51.36</v>
      </c>
      <c r="M20683">
        <v>92</v>
      </c>
      <c r="N20683">
        <v>0</v>
      </c>
      <c r="O20683">
        <v>92</v>
      </c>
      <c r="P20683">
        <v>0</v>
      </c>
    </row>
    <row r="20684" spans="1:16" x14ac:dyDescent="0.25">
      <c r="A20684" t="s">
        <v>43415</v>
      </c>
      <c r="B20684" t="s">
        <v>12505</v>
      </c>
      <c r="C20684" t="s">
        <v>16409</v>
      </c>
      <c r="D20684" t="str">
        <f>"1326"</f>
        <v>1326</v>
      </c>
      <c r="E20684" t="s">
        <v>12506</v>
      </c>
      <c r="F20684" t="s">
        <v>3558</v>
      </c>
      <c r="G20684" t="s">
        <v>49029</v>
      </c>
      <c r="H20684" t="s">
        <v>47054</v>
      </c>
      <c r="I20684" t="s">
        <v>47111</v>
      </c>
      <c r="J20684" t="s">
        <v>47112</v>
      </c>
      <c r="K20684" t="s">
        <v>47113</v>
      </c>
      <c r="L20684">
        <v>40.549999999999997</v>
      </c>
      <c r="M20684">
        <v>70</v>
      </c>
      <c r="N20684">
        <v>0</v>
      </c>
      <c r="O20684">
        <v>70</v>
      </c>
      <c r="P20684">
        <v>0</v>
      </c>
    </row>
    <row r="20685" spans="1:16" x14ac:dyDescent="0.25">
      <c r="A20685" t="s">
        <v>43416</v>
      </c>
      <c r="B20685" t="s">
        <v>12507</v>
      </c>
      <c r="C20685" t="s">
        <v>12508</v>
      </c>
      <c r="D20685" t="str">
        <f>"1001"</f>
        <v>1001</v>
      </c>
      <c r="E20685" t="s">
        <v>12509</v>
      </c>
      <c r="F20685" t="s">
        <v>3670</v>
      </c>
      <c r="G20685" t="s">
        <v>47093</v>
      </c>
      <c r="I20685" t="s">
        <v>47111</v>
      </c>
      <c r="J20685" t="s">
        <v>47112</v>
      </c>
      <c r="K20685" t="s">
        <v>47113</v>
      </c>
      <c r="L20685">
        <v>65.400000000000006</v>
      </c>
      <c r="M20685">
        <v>107</v>
      </c>
      <c r="N20685">
        <v>0</v>
      </c>
      <c r="O20685">
        <v>107</v>
      </c>
      <c r="P20685">
        <v>0</v>
      </c>
    </row>
    <row r="20686" spans="1:16" x14ac:dyDescent="0.25">
      <c r="A20686" t="s">
        <v>43417</v>
      </c>
      <c r="B20686" t="s">
        <v>12510</v>
      </c>
      <c r="C20686" t="s">
        <v>11709</v>
      </c>
      <c r="D20686" t="str">
        <f>"1821"</f>
        <v>1821</v>
      </c>
      <c r="E20686" t="s">
        <v>590</v>
      </c>
      <c r="F20686" t="s">
        <v>3670</v>
      </c>
      <c r="G20686" t="s">
        <v>47093</v>
      </c>
      <c r="I20686" t="s">
        <v>47111</v>
      </c>
      <c r="J20686" t="s">
        <v>47112</v>
      </c>
      <c r="K20686" t="s">
        <v>47113</v>
      </c>
      <c r="L20686">
        <v>42.59</v>
      </c>
      <c r="M20686">
        <v>100</v>
      </c>
      <c r="N20686">
        <v>0</v>
      </c>
      <c r="O20686">
        <v>100</v>
      </c>
      <c r="P20686">
        <v>0</v>
      </c>
    </row>
    <row r="20687" spans="1:16" x14ac:dyDescent="0.25">
      <c r="A20687" t="s">
        <v>43418</v>
      </c>
      <c r="B20687" t="s">
        <v>12511</v>
      </c>
      <c r="C20687" t="s">
        <v>19212</v>
      </c>
      <c r="D20687" t="str">
        <f>"6123"</f>
        <v>6123</v>
      </c>
      <c r="E20687" t="s">
        <v>12512</v>
      </c>
      <c r="F20687" t="s">
        <v>3670</v>
      </c>
      <c r="G20687" t="s">
        <v>49029</v>
      </c>
      <c r="H20687" t="s">
        <v>47054</v>
      </c>
      <c r="I20687" t="s">
        <v>47111</v>
      </c>
      <c r="J20687" t="s">
        <v>47112</v>
      </c>
      <c r="K20687" t="s">
        <v>47113</v>
      </c>
      <c r="L20687">
        <v>38.18</v>
      </c>
      <c r="M20687">
        <v>74</v>
      </c>
      <c r="N20687">
        <v>0</v>
      </c>
      <c r="O20687">
        <v>74</v>
      </c>
      <c r="P20687">
        <v>0</v>
      </c>
    </row>
    <row r="20688" spans="1:16" x14ac:dyDescent="0.25">
      <c r="A20688" t="s">
        <v>43419</v>
      </c>
      <c r="B20688" t="s">
        <v>14357</v>
      </c>
      <c r="C20688" t="s">
        <v>13006</v>
      </c>
      <c r="D20688" t="str">
        <f>"1821"</f>
        <v>1821</v>
      </c>
      <c r="E20688" t="s">
        <v>590</v>
      </c>
      <c r="F20688" t="s">
        <v>3558</v>
      </c>
      <c r="G20688" t="s">
        <v>49029</v>
      </c>
      <c r="H20688" t="s">
        <v>47054</v>
      </c>
      <c r="I20688" t="s">
        <v>47111</v>
      </c>
      <c r="J20688" t="s">
        <v>47112</v>
      </c>
      <c r="K20688" t="s">
        <v>47113</v>
      </c>
      <c r="L20688">
        <v>33.380000000000003</v>
      </c>
      <c r="M20688">
        <v>59</v>
      </c>
      <c r="N20688">
        <v>0</v>
      </c>
      <c r="O20688">
        <v>59</v>
      </c>
      <c r="P20688">
        <v>0</v>
      </c>
    </row>
    <row r="20689" spans="1:16" x14ac:dyDescent="0.25">
      <c r="A20689" t="s">
        <v>43420</v>
      </c>
      <c r="B20689" t="s">
        <v>14357</v>
      </c>
      <c r="C20689" t="s">
        <v>13006</v>
      </c>
      <c r="D20689" t="str">
        <f>"4108"</f>
        <v>4108</v>
      </c>
      <c r="E20689" t="s">
        <v>14358</v>
      </c>
      <c r="F20689" t="s">
        <v>3558</v>
      </c>
      <c r="G20689" t="s">
        <v>49029</v>
      </c>
      <c r="H20689" t="s">
        <v>47054</v>
      </c>
      <c r="I20689" t="s">
        <v>47111</v>
      </c>
      <c r="J20689" t="s">
        <v>47112</v>
      </c>
      <c r="K20689" t="s">
        <v>47113</v>
      </c>
      <c r="L20689">
        <v>33.380000000000003</v>
      </c>
      <c r="M20689">
        <v>59</v>
      </c>
      <c r="N20689">
        <v>0</v>
      </c>
      <c r="O20689">
        <v>59</v>
      </c>
      <c r="P20689">
        <v>0</v>
      </c>
    </row>
    <row r="20690" spans="1:16" x14ac:dyDescent="0.25">
      <c r="A20690" t="s">
        <v>43421</v>
      </c>
      <c r="B20690" t="s">
        <v>14357</v>
      </c>
      <c r="C20690" t="s">
        <v>13006</v>
      </c>
      <c r="D20690" t="str">
        <f>"5320"</f>
        <v>5320</v>
      </c>
      <c r="E20690" t="s">
        <v>14359</v>
      </c>
      <c r="F20690" t="s">
        <v>3558</v>
      </c>
      <c r="G20690" t="s">
        <v>49029</v>
      </c>
      <c r="H20690" t="s">
        <v>47054</v>
      </c>
      <c r="I20690" t="s">
        <v>47111</v>
      </c>
      <c r="J20690" t="s">
        <v>47112</v>
      </c>
      <c r="K20690" t="s">
        <v>47113</v>
      </c>
      <c r="L20690">
        <v>33.380000000000003</v>
      </c>
      <c r="M20690">
        <v>59</v>
      </c>
      <c r="N20690">
        <v>0</v>
      </c>
      <c r="O20690">
        <v>59</v>
      </c>
      <c r="P20690">
        <v>0</v>
      </c>
    </row>
    <row r="20691" spans="1:16" x14ac:dyDescent="0.25">
      <c r="A20691" t="s">
        <v>43422</v>
      </c>
      <c r="B20691" t="s">
        <v>14357</v>
      </c>
      <c r="C20691" t="s">
        <v>13006</v>
      </c>
      <c r="D20691" t="str">
        <f>"7000"</f>
        <v>7000</v>
      </c>
      <c r="E20691" t="s">
        <v>14360</v>
      </c>
      <c r="F20691" t="s">
        <v>3558</v>
      </c>
      <c r="G20691" t="s">
        <v>49029</v>
      </c>
      <c r="H20691" t="s">
        <v>47054</v>
      </c>
      <c r="I20691" t="s">
        <v>47111</v>
      </c>
      <c r="J20691" t="s">
        <v>47112</v>
      </c>
      <c r="K20691" t="s">
        <v>47113</v>
      </c>
      <c r="L20691">
        <v>33.380000000000003</v>
      </c>
      <c r="M20691">
        <v>59</v>
      </c>
      <c r="N20691">
        <v>0</v>
      </c>
      <c r="O20691">
        <v>59</v>
      </c>
      <c r="P20691">
        <v>0</v>
      </c>
    </row>
    <row r="20692" spans="1:16" x14ac:dyDescent="0.25">
      <c r="A20692" t="s">
        <v>43423</v>
      </c>
      <c r="B20692" t="s">
        <v>14357</v>
      </c>
      <c r="C20692" t="s">
        <v>13006</v>
      </c>
      <c r="D20692" t="str">
        <f>"8422"</f>
        <v>8422</v>
      </c>
      <c r="E20692" t="s">
        <v>14361</v>
      </c>
      <c r="F20692" t="s">
        <v>3558</v>
      </c>
      <c r="G20692" t="s">
        <v>49029</v>
      </c>
      <c r="H20692" t="s">
        <v>47054</v>
      </c>
      <c r="I20692" t="s">
        <v>47111</v>
      </c>
      <c r="J20692" t="s">
        <v>47112</v>
      </c>
      <c r="K20692" t="s">
        <v>47113</v>
      </c>
      <c r="L20692">
        <v>33.380000000000003</v>
      </c>
      <c r="M20692">
        <v>59</v>
      </c>
      <c r="N20692">
        <v>0</v>
      </c>
      <c r="O20692">
        <v>59</v>
      </c>
      <c r="P20692">
        <v>0</v>
      </c>
    </row>
    <row r="20693" spans="1:16" x14ac:dyDescent="0.25">
      <c r="A20693" t="s">
        <v>43424</v>
      </c>
      <c r="B20693" t="s">
        <v>14362</v>
      </c>
      <c r="C20693" t="s">
        <v>16408</v>
      </c>
      <c r="D20693" t="str">
        <f>"1821"</f>
        <v>1821</v>
      </c>
      <c r="E20693" t="s">
        <v>590</v>
      </c>
      <c r="F20693" t="s">
        <v>3558</v>
      </c>
      <c r="G20693" t="s">
        <v>47093</v>
      </c>
      <c r="H20693" t="s">
        <v>47054</v>
      </c>
      <c r="I20693" t="s">
        <v>47111</v>
      </c>
      <c r="J20693" t="s">
        <v>47112</v>
      </c>
      <c r="K20693" t="s">
        <v>47113</v>
      </c>
      <c r="L20693">
        <v>43.53</v>
      </c>
      <c r="M20693">
        <v>59</v>
      </c>
      <c r="N20693">
        <v>0</v>
      </c>
      <c r="O20693">
        <v>59</v>
      </c>
      <c r="P20693">
        <v>0</v>
      </c>
    </row>
    <row r="20694" spans="1:16" x14ac:dyDescent="0.25">
      <c r="A20694" t="s">
        <v>43425</v>
      </c>
      <c r="B20694" t="s">
        <v>14362</v>
      </c>
      <c r="C20694" t="s">
        <v>16408</v>
      </c>
      <c r="D20694" t="str">
        <f>"4108"</f>
        <v>4108</v>
      </c>
      <c r="E20694" t="s">
        <v>14358</v>
      </c>
      <c r="F20694" t="s">
        <v>3558</v>
      </c>
      <c r="G20694" t="s">
        <v>47093</v>
      </c>
      <c r="H20694" t="s">
        <v>47054</v>
      </c>
      <c r="I20694" t="s">
        <v>47111</v>
      </c>
      <c r="J20694" t="s">
        <v>47112</v>
      </c>
      <c r="K20694" t="s">
        <v>47113</v>
      </c>
      <c r="L20694">
        <v>43.53</v>
      </c>
      <c r="M20694">
        <v>59</v>
      </c>
      <c r="N20694">
        <v>0</v>
      </c>
      <c r="O20694">
        <v>59</v>
      </c>
      <c r="P20694">
        <v>0</v>
      </c>
    </row>
    <row r="20695" spans="1:16" x14ac:dyDescent="0.25">
      <c r="A20695" t="s">
        <v>43426</v>
      </c>
      <c r="B20695" t="s">
        <v>14362</v>
      </c>
      <c r="C20695" t="s">
        <v>16408</v>
      </c>
      <c r="D20695" t="str">
        <f>"5320"</f>
        <v>5320</v>
      </c>
      <c r="E20695" t="s">
        <v>14359</v>
      </c>
      <c r="F20695" t="s">
        <v>3558</v>
      </c>
      <c r="G20695" t="s">
        <v>47093</v>
      </c>
      <c r="H20695" t="s">
        <v>47054</v>
      </c>
      <c r="I20695" t="s">
        <v>47111</v>
      </c>
      <c r="J20695" t="s">
        <v>47112</v>
      </c>
      <c r="K20695" t="s">
        <v>47113</v>
      </c>
      <c r="L20695">
        <v>43.53</v>
      </c>
      <c r="M20695">
        <v>59</v>
      </c>
      <c r="N20695">
        <v>0</v>
      </c>
      <c r="O20695">
        <v>59</v>
      </c>
      <c r="P20695">
        <v>0</v>
      </c>
    </row>
    <row r="20696" spans="1:16" x14ac:dyDescent="0.25">
      <c r="A20696" t="s">
        <v>43427</v>
      </c>
      <c r="B20696" t="s">
        <v>14362</v>
      </c>
      <c r="C20696" t="s">
        <v>16408</v>
      </c>
      <c r="D20696" t="str">
        <f>"7000"</f>
        <v>7000</v>
      </c>
      <c r="E20696" t="s">
        <v>14360</v>
      </c>
      <c r="F20696" t="s">
        <v>3558</v>
      </c>
      <c r="G20696" t="s">
        <v>47093</v>
      </c>
      <c r="H20696" t="s">
        <v>47054</v>
      </c>
      <c r="I20696" t="s">
        <v>47111</v>
      </c>
      <c r="J20696" t="s">
        <v>47112</v>
      </c>
      <c r="K20696" t="s">
        <v>47113</v>
      </c>
      <c r="L20696">
        <v>43.53</v>
      </c>
      <c r="M20696">
        <v>59</v>
      </c>
      <c r="N20696">
        <v>0</v>
      </c>
      <c r="O20696">
        <v>59</v>
      </c>
      <c r="P20696">
        <v>0</v>
      </c>
    </row>
    <row r="20697" spans="1:16" x14ac:dyDescent="0.25">
      <c r="A20697" t="s">
        <v>43428</v>
      </c>
      <c r="B20697" t="s">
        <v>14362</v>
      </c>
      <c r="C20697" t="s">
        <v>16408</v>
      </c>
      <c r="D20697" t="str">
        <f>"8422"</f>
        <v>8422</v>
      </c>
      <c r="E20697" t="s">
        <v>14361</v>
      </c>
      <c r="F20697" t="s">
        <v>3558</v>
      </c>
      <c r="G20697" t="s">
        <v>47093</v>
      </c>
      <c r="H20697" t="s">
        <v>47054</v>
      </c>
      <c r="I20697" t="s">
        <v>47111</v>
      </c>
      <c r="J20697" t="s">
        <v>47112</v>
      </c>
      <c r="K20697" t="s">
        <v>47113</v>
      </c>
      <c r="L20697">
        <v>43.53</v>
      </c>
      <c r="M20697">
        <v>59</v>
      </c>
      <c r="N20697">
        <v>0</v>
      </c>
      <c r="O20697">
        <v>59</v>
      </c>
      <c r="P20697">
        <v>0</v>
      </c>
    </row>
    <row r="20698" spans="1:16" x14ac:dyDescent="0.25">
      <c r="A20698" t="s">
        <v>43429</v>
      </c>
      <c r="B20698" t="s">
        <v>43430</v>
      </c>
      <c r="C20698" t="s">
        <v>43431</v>
      </c>
      <c r="D20698" t="str">
        <f>"1800"</f>
        <v>1800</v>
      </c>
      <c r="E20698" t="s">
        <v>1999</v>
      </c>
      <c r="F20698" t="s">
        <v>3750</v>
      </c>
      <c r="G20698" t="s">
        <v>47093</v>
      </c>
      <c r="H20698" t="s">
        <v>47054</v>
      </c>
      <c r="I20698" t="s">
        <v>47116</v>
      </c>
      <c r="J20698" t="s">
        <v>47117</v>
      </c>
      <c r="K20698" t="s">
        <v>47113</v>
      </c>
      <c r="L20698">
        <v>30.57</v>
      </c>
      <c r="M20698">
        <v>111</v>
      </c>
      <c r="N20698">
        <v>299</v>
      </c>
      <c r="O20698">
        <v>111</v>
      </c>
      <c r="P20698">
        <v>299</v>
      </c>
    </row>
    <row r="20699" spans="1:16" x14ac:dyDescent="0.25">
      <c r="A20699" t="s">
        <v>43432</v>
      </c>
      <c r="B20699" t="s">
        <v>43433</v>
      </c>
      <c r="C20699" t="s">
        <v>43434</v>
      </c>
      <c r="D20699" t="str">
        <f>"1800"</f>
        <v>1800</v>
      </c>
      <c r="E20699" t="s">
        <v>1999</v>
      </c>
      <c r="F20699" t="s">
        <v>3750</v>
      </c>
      <c r="G20699" t="s">
        <v>47093</v>
      </c>
      <c r="H20699" t="s">
        <v>47054</v>
      </c>
      <c r="I20699" t="s">
        <v>47544</v>
      </c>
      <c r="J20699" t="s">
        <v>47545</v>
      </c>
      <c r="K20699" t="s">
        <v>47113</v>
      </c>
      <c r="L20699">
        <v>30.8</v>
      </c>
      <c r="M20699">
        <v>111</v>
      </c>
      <c r="N20699">
        <v>299</v>
      </c>
      <c r="O20699">
        <v>111</v>
      </c>
      <c r="P20699">
        <v>299</v>
      </c>
    </row>
    <row r="20700" spans="1:16" x14ac:dyDescent="0.25">
      <c r="A20700" t="s">
        <v>43435</v>
      </c>
      <c r="B20700" t="s">
        <v>22078</v>
      </c>
      <c r="C20700" t="s">
        <v>43436</v>
      </c>
      <c r="D20700" t="str">
        <f>"1800"</f>
        <v>1800</v>
      </c>
      <c r="E20700" t="s">
        <v>22080</v>
      </c>
      <c r="F20700" t="s">
        <v>3750</v>
      </c>
      <c r="G20700" t="s">
        <v>47093</v>
      </c>
      <c r="H20700" t="s">
        <v>47054</v>
      </c>
      <c r="I20700" t="s">
        <v>47116</v>
      </c>
      <c r="J20700" t="s">
        <v>47117</v>
      </c>
      <c r="K20700" t="s">
        <v>47113</v>
      </c>
      <c r="L20700">
        <v>25.78</v>
      </c>
      <c r="M20700">
        <v>80</v>
      </c>
      <c r="N20700">
        <v>0</v>
      </c>
      <c r="O20700">
        <v>80</v>
      </c>
      <c r="P20700">
        <v>0</v>
      </c>
    </row>
    <row r="20701" spans="1:16" x14ac:dyDescent="0.25">
      <c r="A20701" t="s">
        <v>43437</v>
      </c>
      <c r="B20701" t="s">
        <v>22081</v>
      </c>
      <c r="C20701" t="s">
        <v>22082</v>
      </c>
      <c r="D20701" t="str">
        <f>"1800"</f>
        <v>1800</v>
      </c>
      <c r="E20701" t="s">
        <v>1999</v>
      </c>
      <c r="F20701" t="s">
        <v>3750</v>
      </c>
      <c r="G20701" t="s">
        <v>47093</v>
      </c>
      <c r="H20701" t="s">
        <v>47054</v>
      </c>
      <c r="I20701" t="s">
        <v>47116</v>
      </c>
      <c r="J20701" t="s">
        <v>47117</v>
      </c>
      <c r="K20701" t="s">
        <v>47113</v>
      </c>
      <c r="L20701">
        <v>25.42</v>
      </c>
      <c r="M20701">
        <v>80</v>
      </c>
      <c r="N20701">
        <v>0</v>
      </c>
      <c r="O20701">
        <v>80</v>
      </c>
      <c r="P20701">
        <v>0</v>
      </c>
    </row>
    <row r="20702" spans="1:16" x14ac:dyDescent="0.25">
      <c r="A20702" t="s">
        <v>43438</v>
      </c>
      <c r="B20702" t="s">
        <v>12513</v>
      </c>
      <c r="C20702" t="s">
        <v>11717</v>
      </c>
      <c r="D20702" t="str">
        <f>"1256"</f>
        <v>1256</v>
      </c>
      <c r="E20702" t="s">
        <v>12485</v>
      </c>
      <c r="F20702" t="s">
        <v>3670</v>
      </c>
      <c r="G20702" t="s">
        <v>47098</v>
      </c>
      <c r="I20702" t="s">
        <v>47111</v>
      </c>
      <c r="J20702" t="s">
        <v>47112</v>
      </c>
      <c r="K20702" t="s">
        <v>47113</v>
      </c>
      <c r="L20702">
        <v>50.49</v>
      </c>
      <c r="M20702">
        <v>103</v>
      </c>
      <c r="N20702">
        <v>0</v>
      </c>
      <c r="O20702">
        <v>103</v>
      </c>
      <c r="P20702">
        <v>0</v>
      </c>
    </row>
    <row r="20703" spans="1:16" x14ac:dyDescent="0.25">
      <c r="A20703" t="s">
        <v>43439</v>
      </c>
      <c r="B20703" t="s">
        <v>12514</v>
      </c>
      <c r="C20703" t="s">
        <v>12515</v>
      </c>
      <c r="D20703" t="str">
        <f>"1821"</f>
        <v>1821</v>
      </c>
      <c r="E20703" t="s">
        <v>590</v>
      </c>
      <c r="F20703" t="s">
        <v>3670</v>
      </c>
      <c r="G20703" t="s">
        <v>47098</v>
      </c>
      <c r="H20703" t="s">
        <v>47054</v>
      </c>
      <c r="I20703" t="s">
        <v>47116</v>
      </c>
      <c r="J20703" t="s">
        <v>47117</v>
      </c>
      <c r="K20703" t="s">
        <v>47113</v>
      </c>
      <c r="L20703">
        <v>43.34</v>
      </c>
      <c r="M20703">
        <v>74</v>
      </c>
      <c r="N20703">
        <v>0</v>
      </c>
      <c r="O20703">
        <v>74</v>
      </c>
      <c r="P20703">
        <v>0</v>
      </c>
    </row>
    <row r="20704" spans="1:16" x14ac:dyDescent="0.25">
      <c r="A20704" t="s">
        <v>49728</v>
      </c>
      <c r="B20704" t="s">
        <v>49729</v>
      </c>
      <c r="C20704" t="s">
        <v>49730</v>
      </c>
      <c r="D20704" t="s">
        <v>49731</v>
      </c>
      <c r="E20704" t="s">
        <v>49732</v>
      </c>
      <c r="F20704" t="s">
        <v>47185</v>
      </c>
      <c r="G20704" t="s">
        <v>47098</v>
      </c>
      <c r="H20704" t="s">
        <v>47054</v>
      </c>
      <c r="I20704" t="s">
        <v>47116</v>
      </c>
      <c r="J20704" t="s">
        <v>47117</v>
      </c>
      <c r="K20704" t="s">
        <v>47113</v>
      </c>
      <c r="L20704">
        <v>72.78</v>
      </c>
      <c r="M20704">
        <v>111</v>
      </c>
      <c r="N20704">
        <v>299</v>
      </c>
      <c r="O20704">
        <v>111</v>
      </c>
      <c r="P20704">
        <v>299</v>
      </c>
    </row>
    <row r="20705" spans="1:16" x14ac:dyDescent="0.25">
      <c r="A20705" t="s">
        <v>49733</v>
      </c>
      <c r="B20705" t="s">
        <v>49734</v>
      </c>
      <c r="C20705" t="s">
        <v>49735</v>
      </c>
      <c r="D20705" t="s">
        <v>49736</v>
      </c>
      <c r="E20705" t="s">
        <v>49737</v>
      </c>
      <c r="F20705" t="s">
        <v>47488</v>
      </c>
      <c r="G20705" t="s">
        <v>47098</v>
      </c>
      <c r="H20705" t="s">
        <v>47054</v>
      </c>
      <c r="I20705" t="s">
        <v>47120</v>
      </c>
      <c r="J20705" t="s">
        <v>47121</v>
      </c>
      <c r="K20705" t="s">
        <v>47113</v>
      </c>
      <c r="L20705">
        <v>44.73</v>
      </c>
      <c r="M20705">
        <v>92</v>
      </c>
      <c r="N20705">
        <v>249</v>
      </c>
      <c r="O20705">
        <v>92</v>
      </c>
      <c r="P20705">
        <v>249</v>
      </c>
    </row>
    <row r="20706" spans="1:16" x14ac:dyDescent="0.25">
      <c r="A20706" t="s">
        <v>49738</v>
      </c>
      <c r="B20706" t="s">
        <v>49739</v>
      </c>
      <c r="C20706" t="s">
        <v>49740</v>
      </c>
      <c r="D20706" t="s">
        <v>49716</v>
      </c>
      <c r="E20706" t="s">
        <v>49717</v>
      </c>
      <c r="F20706" t="s">
        <v>47171</v>
      </c>
      <c r="G20706" t="s">
        <v>47098</v>
      </c>
      <c r="H20706" t="s">
        <v>47054</v>
      </c>
      <c r="I20706" t="s">
        <v>47544</v>
      </c>
      <c r="J20706" t="s">
        <v>47545</v>
      </c>
      <c r="K20706" t="s">
        <v>47113</v>
      </c>
      <c r="L20706">
        <v>47.73</v>
      </c>
      <c r="M20706">
        <v>111</v>
      </c>
      <c r="N20706">
        <v>299</v>
      </c>
      <c r="O20706">
        <v>111</v>
      </c>
      <c r="P20706">
        <v>299</v>
      </c>
    </row>
    <row r="20707" spans="1:16" x14ac:dyDescent="0.25">
      <c r="A20707" t="s">
        <v>49741</v>
      </c>
      <c r="B20707" t="s">
        <v>49742</v>
      </c>
      <c r="C20707" t="s">
        <v>49743</v>
      </c>
      <c r="D20707" t="s">
        <v>49515</v>
      </c>
      <c r="E20707" t="s">
        <v>49516</v>
      </c>
      <c r="F20707" t="s">
        <v>31484</v>
      </c>
      <c r="G20707" t="s">
        <v>47098</v>
      </c>
      <c r="H20707" t="s">
        <v>47054</v>
      </c>
      <c r="I20707" t="s">
        <v>47120</v>
      </c>
      <c r="J20707" t="s">
        <v>47121</v>
      </c>
      <c r="K20707" t="s">
        <v>47113</v>
      </c>
      <c r="L20707">
        <v>38.14</v>
      </c>
      <c r="M20707">
        <v>111</v>
      </c>
      <c r="N20707">
        <v>299</v>
      </c>
      <c r="O20707">
        <v>111</v>
      </c>
      <c r="P20707">
        <v>299</v>
      </c>
    </row>
    <row r="20708" spans="1:16" x14ac:dyDescent="0.25">
      <c r="A20708" t="s">
        <v>49744</v>
      </c>
      <c r="B20708" t="s">
        <v>49745</v>
      </c>
      <c r="C20708" t="s">
        <v>15858</v>
      </c>
      <c r="D20708" t="s">
        <v>49551</v>
      </c>
      <c r="E20708" t="s">
        <v>49552</v>
      </c>
      <c r="F20708" t="s">
        <v>24622</v>
      </c>
      <c r="G20708" t="s">
        <v>47098</v>
      </c>
      <c r="H20708" t="s">
        <v>47054</v>
      </c>
      <c r="I20708" t="s">
        <v>47120</v>
      </c>
      <c r="J20708" t="s">
        <v>47121</v>
      </c>
      <c r="K20708" t="s">
        <v>47113</v>
      </c>
      <c r="L20708">
        <v>52.6</v>
      </c>
      <c r="M20708">
        <v>129</v>
      </c>
      <c r="N20708">
        <v>349</v>
      </c>
      <c r="O20708">
        <v>129</v>
      </c>
      <c r="P20708">
        <v>349</v>
      </c>
    </row>
    <row r="20709" spans="1:16" x14ac:dyDescent="0.25">
      <c r="A20709" t="s">
        <v>43440</v>
      </c>
      <c r="B20709" t="s">
        <v>12516</v>
      </c>
      <c r="C20709" t="s">
        <v>12517</v>
      </c>
      <c r="D20709" t="str">
        <f>"1024"</f>
        <v>1024</v>
      </c>
      <c r="E20709" t="s">
        <v>717</v>
      </c>
      <c r="F20709" t="s">
        <v>52</v>
      </c>
      <c r="G20709" t="s">
        <v>47099</v>
      </c>
      <c r="H20709" t="s">
        <v>47054</v>
      </c>
      <c r="I20709" t="s">
        <v>47120</v>
      </c>
      <c r="J20709" t="s">
        <v>47121</v>
      </c>
      <c r="K20709" t="s">
        <v>47113</v>
      </c>
      <c r="L20709">
        <v>20.09</v>
      </c>
      <c r="M20709">
        <v>49</v>
      </c>
      <c r="N20709">
        <v>0</v>
      </c>
      <c r="O20709">
        <v>49</v>
      </c>
      <c r="P20709">
        <v>0</v>
      </c>
    </row>
    <row r="20710" spans="1:16" x14ac:dyDescent="0.25">
      <c r="A20710" t="s">
        <v>43441</v>
      </c>
      <c r="B20710" t="s">
        <v>12516</v>
      </c>
      <c r="C20710" t="s">
        <v>12517</v>
      </c>
      <c r="D20710" t="str">
        <f>"1108"</f>
        <v>1108</v>
      </c>
      <c r="E20710" t="s">
        <v>6582</v>
      </c>
      <c r="F20710" t="s">
        <v>52</v>
      </c>
      <c r="G20710" t="s">
        <v>47099</v>
      </c>
      <c r="H20710" t="s">
        <v>47054</v>
      </c>
      <c r="I20710" t="s">
        <v>47120</v>
      </c>
      <c r="J20710" t="s">
        <v>47121</v>
      </c>
      <c r="K20710" t="s">
        <v>47113</v>
      </c>
      <c r="L20710">
        <v>20.09</v>
      </c>
      <c r="M20710">
        <v>46</v>
      </c>
      <c r="N20710">
        <v>0</v>
      </c>
      <c r="O20710">
        <v>46</v>
      </c>
      <c r="P20710">
        <v>0</v>
      </c>
    </row>
    <row r="20711" spans="1:16" x14ac:dyDescent="0.25">
      <c r="A20711" t="s">
        <v>43442</v>
      </c>
      <c r="B20711" t="s">
        <v>12516</v>
      </c>
      <c r="C20711" t="s">
        <v>12517</v>
      </c>
      <c r="D20711" t="str">
        <f>"2118"</f>
        <v>2118</v>
      </c>
      <c r="E20711" t="s">
        <v>6584</v>
      </c>
      <c r="F20711" t="s">
        <v>52</v>
      </c>
      <c r="G20711" t="s">
        <v>47099</v>
      </c>
      <c r="H20711" t="s">
        <v>47054</v>
      </c>
      <c r="I20711" t="s">
        <v>47120</v>
      </c>
      <c r="J20711" t="s">
        <v>47121</v>
      </c>
      <c r="K20711" t="s">
        <v>47113</v>
      </c>
      <c r="L20711">
        <v>20.09</v>
      </c>
      <c r="M20711">
        <v>46</v>
      </c>
      <c r="N20711">
        <v>0</v>
      </c>
      <c r="O20711">
        <v>46</v>
      </c>
      <c r="P20711">
        <v>0</v>
      </c>
    </row>
    <row r="20712" spans="1:16" x14ac:dyDescent="0.25">
      <c r="A20712" t="s">
        <v>43443</v>
      </c>
      <c r="B20712" t="s">
        <v>12518</v>
      </c>
      <c r="C20712" t="s">
        <v>12519</v>
      </c>
      <c r="D20712" t="str">
        <f>"1024"</f>
        <v>1024</v>
      </c>
      <c r="E20712" t="s">
        <v>717</v>
      </c>
      <c r="F20712" t="s">
        <v>52</v>
      </c>
      <c r="G20712" t="s">
        <v>47099</v>
      </c>
      <c r="H20712" t="s">
        <v>47054</v>
      </c>
      <c r="I20712" t="s">
        <v>47120</v>
      </c>
      <c r="J20712" t="s">
        <v>47121</v>
      </c>
      <c r="K20712" t="s">
        <v>47113</v>
      </c>
      <c r="L20712">
        <v>21.69</v>
      </c>
      <c r="M20712">
        <v>50</v>
      </c>
      <c r="N20712">
        <v>0</v>
      </c>
      <c r="O20712">
        <v>50</v>
      </c>
      <c r="P20712">
        <v>0</v>
      </c>
    </row>
    <row r="20713" spans="1:16" x14ac:dyDescent="0.25">
      <c r="A20713" t="s">
        <v>43444</v>
      </c>
      <c r="B20713" t="s">
        <v>12518</v>
      </c>
      <c r="C20713" t="s">
        <v>12519</v>
      </c>
      <c r="D20713" t="str">
        <f>"1108"</f>
        <v>1108</v>
      </c>
      <c r="E20713" t="s">
        <v>6582</v>
      </c>
      <c r="F20713" t="s">
        <v>52</v>
      </c>
      <c r="G20713" t="s">
        <v>47099</v>
      </c>
      <c r="H20713" t="s">
        <v>47054</v>
      </c>
      <c r="I20713" t="s">
        <v>47120</v>
      </c>
      <c r="J20713" t="s">
        <v>47121</v>
      </c>
      <c r="K20713" t="s">
        <v>47113</v>
      </c>
      <c r="L20713">
        <v>21.69</v>
      </c>
      <c r="M20713">
        <v>50</v>
      </c>
      <c r="N20713">
        <v>0</v>
      </c>
      <c r="O20713">
        <v>50</v>
      </c>
      <c r="P20713">
        <v>0</v>
      </c>
    </row>
    <row r="20714" spans="1:16" x14ac:dyDescent="0.25">
      <c r="A20714" t="s">
        <v>43445</v>
      </c>
      <c r="B20714" t="s">
        <v>12518</v>
      </c>
      <c r="C20714" t="s">
        <v>12519</v>
      </c>
      <c r="D20714" t="str">
        <f>"2118"</f>
        <v>2118</v>
      </c>
      <c r="E20714" t="s">
        <v>6584</v>
      </c>
      <c r="F20714" t="s">
        <v>52</v>
      </c>
      <c r="G20714" t="s">
        <v>47099</v>
      </c>
      <c r="H20714" t="s">
        <v>47054</v>
      </c>
      <c r="I20714" t="s">
        <v>47120</v>
      </c>
      <c r="J20714" t="s">
        <v>47121</v>
      </c>
      <c r="K20714" t="s">
        <v>47113</v>
      </c>
      <c r="L20714">
        <v>21.69</v>
      </c>
      <c r="M20714">
        <v>50</v>
      </c>
      <c r="N20714">
        <v>0</v>
      </c>
      <c r="O20714">
        <v>50</v>
      </c>
      <c r="P20714">
        <v>0</v>
      </c>
    </row>
    <row r="20715" spans="1:16" x14ac:dyDescent="0.25">
      <c r="A20715" t="s">
        <v>43446</v>
      </c>
      <c r="B20715" t="s">
        <v>12520</v>
      </c>
      <c r="C20715" t="s">
        <v>12521</v>
      </c>
      <c r="D20715" t="str">
        <f>"1001"</f>
        <v>1001</v>
      </c>
      <c r="E20715" t="s">
        <v>42</v>
      </c>
      <c r="F20715" t="s">
        <v>1401</v>
      </c>
      <c r="G20715" t="s">
        <v>47098</v>
      </c>
      <c r="H20715" t="s">
        <v>47054</v>
      </c>
      <c r="I20715" t="s">
        <v>47120</v>
      </c>
      <c r="J20715" t="s">
        <v>47121</v>
      </c>
      <c r="K20715" t="s">
        <v>47113</v>
      </c>
      <c r="L20715">
        <v>121.36</v>
      </c>
      <c r="M20715">
        <v>261</v>
      </c>
      <c r="N20715">
        <v>0</v>
      </c>
      <c r="O20715">
        <v>261</v>
      </c>
      <c r="P20715">
        <v>0</v>
      </c>
    </row>
    <row r="20716" spans="1:16" x14ac:dyDescent="0.25">
      <c r="A20716" t="s">
        <v>43447</v>
      </c>
      <c r="B20716" t="s">
        <v>12522</v>
      </c>
      <c r="C20716" t="s">
        <v>12523</v>
      </c>
      <c r="D20716" t="s">
        <v>27</v>
      </c>
      <c r="E20716" t="s">
        <v>28</v>
      </c>
      <c r="F20716" t="s">
        <v>3750</v>
      </c>
      <c r="G20716" t="s">
        <v>47093</v>
      </c>
      <c r="H20716" t="s">
        <v>47054</v>
      </c>
      <c r="I20716" t="s">
        <v>47111</v>
      </c>
      <c r="J20716" t="s">
        <v>47112</v>
      </c>
      <c r="K20716" t="s">
        <v>47113</v>
      </c>
      <c r="L20716">
        <v>29.04</v>
      </c>
      <c r="M20716">
        <v>71</v>
      </c>
      <c r="N20716">
        <v>0</v>
      </c>
      <c r="O20716">
        <v>71</v>
      </c>
      <c r="P20716">
        <v>0</v>
      </c>
    </row>
    <row r="20717" spans="1:16" x14ac:dyDescent="0.25">
      <c r="A20717" t="s">
        <v>43448</v>
      </c>
      <c r="B20717" t="s">
        <v>12522</v>
      </c>
      <c r="C20717" t="s">
        <v>12523</v>
      </c>
      <c r="D20717" t="s">
        <v>12524</v>
      </c>
      <c r="E20717" t="s">
        <v>12525</v>
      </c>
      <c r="F20717" t="s">
        <v>3750</v>
      </c>
      <c r="G20717" t="s">
        <v>47093</v>
      </c>
      <c r="H20717" t="s">
        <v>47054</v>
      </c>
      <c r="I20717" t="s">
        <v>47111</v>
      </c>
      <c r="J20717" t="s">
        <v>47112</v>
      </c>
      <c r="K20717" t="s">
        <v>47113</v>
      </c>
      <c r="L20717">
        <v>28.5</v>
      </c>
      <c r="M20717">
        <v>70</v>
      </c>
      <c r="N20717">
        <v>0</v>
      </c>
      <c r="O20717">
        <v>70</v>
      </c>
      <c r="P20717">
        <v>0</v>
      </c>
    </row>
    <row r="20718" spans="1:16" x14ac:dyDescent="0.25">
      <c r="A20718" t="s">
        <v>43449</v>
      </c>
      <c r="B20718" t="s">
        <v>12526</v>
      </c>
      <c r="C20718" t="s">
        <v>12527</v>
      </c>
      <c r="D20718" t="s">
        <v>12524</v>
      </c>
      <c r="E20718" t="s">
        <v>12525</v>
      </c>
      <c r="F20718" t="s">
        <v>3750</v>
      </c>
      <c r="G20718" t="s">
        <v>47093</v>
      </c>
      <c r="H20718" t="s">
        <v>47054</v>
      </c>
      <c r="I20718" t="s">
        <v>47111</v>
      </c>
      <c r="J20718" t="s">
        <v>47112</v>
      </c>
      <c r="K20718" t="s">
        <v>47113</v>
      </c>
      <c r="L20718">
        <v>28.15</v>
      </c>
      <c r="M20718">
        <v>69</v>
      </c>
      <c r="N20718">
        <v>0</v>
      </c>
      <c r="O20718">
        <v>69</v>
      </c>
      <c r="P20718">
        <v>0</v>
      </c>
    </row>
    <row r="20719" spans="1:16" x14ac:dyDescent="0.25">
      <c r="A20719" t="s">
        <v>43450</v>
      </c>
      <c r="B20719" t="s">
        <v>43451</v>
      </c>
      <c r="C20719" t="s">
        <v>43452</v>
      </c>
      <c r="D20719" t="s">
        <v>721</v>
      </c>
      <c r="E20719" t="s">
        <v>43453</v>
      </c>
      <c r="F20719" t="s">
        <v>3750</v>
      </c>
      <c r="G20719" t="s">
        <v>47093</v>
      </c>
      <c r="H20719" t="s">
        <v>47054</v>
      </c>
      <c r="I20719" t="s">
        <v>47120</v>
      </c>
      <c r="J20719" t="s">
        <v>47121</v>
      </c>
      <c r="K20719" t="s">
        <v>47113</v>
      </c>
      <c r="L20719">
        <v>15.19</v>
      </c>
      <c r="M20719">
        <v>111</v>
      </c>
      <c r="N20719">
        <v>299</v>
      </c>
      <c r="O20719">
        <v>111</v>
      </c>
      <c r="P20719">
        <v>299</v>
      </c>
    </row>
    <row r="20720" spans="1:16" x14ac:dyDescent="0.25">
      <c r="A20720" t="s">
        <v>43454</v>
      </c>
      <c r="B20720" t="s">
        <v>12528</v>
      </c>
      <c r="C20720" t="s">
        <v>12529</v>
      </c>
      <c r="D20720" t="str">
        <f>"1746"</f>
        <v>1746</v>
      </c>
      <c r="E20720" t="s">
        <v>807</v>
      </c>
      <c r="F20720" t="s">
        <v>7</v>
      </c>
      <c r="G20720" t="s">
        <v>47096</v>
      </c>
      <c r="H20720" t="s">
        <v>47054</v>
      </c>
      <c r="I20720" t="s">
        <v>47111</v>
      </c>
      <c r="J20720" t="s">
        <v>47112</v>
      </c>
      <c r="K20720" t="s">
        <v>47113</v>
      </c>
      <c r="L20720">
        <v>34.200000000000003</v>
      </c>
      <c r="M20720">
        <v>50</v>
      </c>
      <c r="N20720">
        <v>0</v>
      </c>
      <c r="O20720">
        <v>50</v>
      </c>
      <c r="P20720">
        <v>0</v>
      </c>
    </row>
    <row r="20721" spans="1:16" x14ac:dyDescent="0.25">
      <c r="A20721" t="s">
        <v>43455</v>
      </c>
      <c r="B20721" t="s">
        <v>12528</v>
      </c>
      <c r="C20721" t="s">
        <v>12529</v>
      </c>
      <c r="D20721" t="str">
        <f>"4148"</f>
        <v>4148</v>
      </c>
      <c r="E20721" t="s">
        <v>12530</v>
      </c>
      <c r="F20721" t="s">
        <v>7</v>
      </c>
      <c r="G20721" t="s">
        <v>47096</v>
      </c>
      <c r="H20721" t="s">
        <v>47054</v>
      </c>
      <c r="I20721" t="s">
        <v>47111</v>
      </c>
      <c r="J20721" t="s">
        <v>47112</v>
      </c>
      <c r="K20721" t="s">
        <v>47113</v>
      </c>
      <c r="L20721">
        <v>34.200000000000003</v>
      </c>
      <c r="M20721">
        <v>50</v>
      </c>
      <c r="N20721">
        <v>0</v>
      </c>
      <c r="O20721">
        <v>50</v>
      </c>
      <c r="P20721">
        <v>0</v>
      </c>
    </row>
    <row r="20722" spans="1:16" x14ac:dyDescent="0.25">
      <c r="A20722" t="s">
        <v>755</v>
      </c>
      <c r="B20722" t="s">
        <v>756</v>
      </c>
      <c r="C20722" t="s">
        <v>757</v>
      </c>
      <c r="D20722" t="str">
        <f>"1035"</f>
        <v>1035</v>
      </c>
      <c r="E20722" t="s">
        <v>758</v>
      </c>
      <c r="F20722" t="s">
        <v>7</v>
      </c>
      <c r="G20722" t="s">
        <v>47096</v>
      </c>
      <c r="H20722" t="s">
        <v>47054</v>
      </c>
      <c r="I20722" t="s">
        <v>47111</v>
      </c>
      <c r="J20722" t="s">
        <v>47112</v>
      </c>
      <c r="K20722" t="s">
        <v>47113</v>
      </c>
      <c r="L20722">
        <v>34.200000000000003</v>
      </c>
      <c r="M20722">
        <v>51</v>
      </c>
      <c r="N20722">
        <v>0</v>
      </c>
      <c r="O20722">
        <v>51</v>
      </c>
      <c r="P20722">
        <v>0</v>
      </c>
    </row>
    <row r="20723" spans="1:16" x14ac:dyDescent="0.25">
      <c r="A20723" t="s">
        <v>43456</v>
      </c>
      <c r="B20723" t="s">
        <v>756</v>
      </c>
      <c r="C20723" t="s">
        <v>757</v>
      </c>
      <c r="D20723" t="str">
        <f>"6616"</f>
        <v>6616</v>
      </c>
      <c r="E20723" t="s">
        <v>3242</v>
      </c>
      <c r="F20723" t="s">
        <v>7</v>
      </c>
      <c r="G20723" t="s">
        <v>47096</v>
      </c>
      <c r="H20723" t="s">
        <v>47054</v>
      </c>
      <c r="I20723" t="s">
        <v>47111</v>
      </c>
      <c r="J20723" t="s">
        <v>47112</v>
      </c>
      <c r="K20723" t="s">
        <v>47113</v>
      </c>
      <c r="L20723">
        <v>34.200000000000003</v>
      </c>
      <c r="M20723">
        <v>51</v>
      </c>
      <c r="N20723">
        <v>0</v>
      </c>
      <c r="O20723">
        <v>51</v>
      </c>
      <c r="P20723">
        <v>0</v>
      </c>
    </row>
    <row r="20724" spans="1:16" x14ac:dyDescent="0.25">
      <c r="A20724" t="s">
        <v>43457</v>
      </c>
      <c r="B20724" t="s">
        <v>12531</v>
      </c>
      <c r="C20724" t="s">
        <v>12532</v>
      </c>
      <c r="D20724" t="str">
        <f>"4525"</f>
        <v>4525</v>
      </c>
      <c r="E20724" t="s">
        <v>1144</v>
      </c>
      <c r="F20724" t="s">
        <v>2</v>
      </c>
      <c r="G20724" t="s">
        <v>47097</v>
      </c>
      <c r="H20724" t="s">
        <v>47054</v>
      </c>
      <c r="I20724" t="s">
        <v>47111</v>
      </c>
      <c r="J20724" t="s">
        <v>47112</v>
      </c>
      <c r="K20724" t="s">
        <v>47113</v>
      </c>
      <c r="L20724">
        <v>15.54</v>
      </c>
      <c r="M20724">
        <v>41</v>
      </c>
      <c r="N20724">
        <v>0</v>
      </c>
      <c r="O20724">
        <v>41</v>
      </c>
      <c r="P20724">
        <v>0</v>
      </c>
    </row>
    <row r="20725" spans="1:16" x14ac:dyDescent="0.25">
      <c r="A20725" t="s">
        <v>43458</v>
      </c>
      <c r="B20725" t="s">
        <v>12531</v>
      </c>
      <c r="C20725" t="s">
        <v>12532</v>
      </c>
      <c r="D20725" t="str">
        <f>"8030"</f>
        <v>8030</v>
      </c>
      <c r="E20725" t="s">
        <v>1150</v>
      </c>
      <c r="F20725" t="s">
        <v>2</v>
      </c>
      <c r="G20725" t="s">
        <v>47097</v>
      </c>
      <c r="H20725" t="s">
        <v>47054</v>
      </c>
      <c r="I20725" t="s">
        <v>47111</v>
      </c>
      <c r="J20725" t="s">
        <v>47112</v>
      </c>
      <c r="K20725" t="s">
        <v>47113</v>
      </c>
      <c r="L20725">
        <v>15.54</v>
      </c>
      <c r="M20725">
        <v>41</v>
      </c>
      <c r="N20725">
        <v>0</v>
      </c>
      <c r="O20725">
        <v>41</v>
      </c>
      <c r="P20725">
        <v>0</v>
      </c>
    </row>
    <row r="20726" spans="1:16" x14ac:dyDescent="0.25">
      <c r="A20726" t="s">
        <v>43459</v>
      </c>
      <c r="B20726" t="s">
        <v>12533</v>
      </c>
      <c r="C20726" t="s">
        <v>12534</v>
      </c>
      <c r="D20726" t="str">
        <f>"1739"</f>
        <v>1739</v>
      </c>
      <c r="E20726" t="s">
        <v>2698</v>
      </c>
      <c r="F20726" t="s">
        <v>2</v>
      </c>
      <c r="G20726" t="s">
        <v>47097</v>
      </c>
      <c r="H20726" t="s">
        <v>47054</v>
      </c>
      <c r="I20726" t="s">
        <v>47111</v>
      </c>
      <c r="J20726" t="s">
        <v>47112</v>
      </c>
      <c r="K20726" t="s">
        <v>47113</v>
      </c>
      <c r="L20726">
        <v>14.47</v>
      </c>
      <c r="M20726">
        <v>38</v>
      </c>
      <c r="N20726">
        <v>0</v>
      </c>
      <c r="O20726">
        <v>38</v>
      </c>
      <c r="P20726">
        <v>0</v>
      </c>
    </row>
    <row r="20727" spans="1:16" x14ac:dyDescent="0.25">
      <c r="A20727" t="s">
        <v>43460</v>
      </c>
      <c r="B20727" t="s">
        <v>12533</v>
      </c>
      <c r="C20727" t="s">
        <v>12534</v>
      </c>
      <c r="D20727" t="str">
        <f>"4435"</f>
        <v>4435</v>
      </c>
      <c r="E20727" t="s">
        <v>6462</v>
      </c>
      <c r="F20727" t="s">
        <v>2</v>
      </c>
      <c r="G20727" t="s">
        <v>47097</v>
      </c>
      <c r="H20727" t="s">
        <v>47054</v>
      </c>
      <c r="I20727" t="s">
        <v>47111</v>
      </c>
      <c r="J20727" t="s">
        <v>47112</v>
      </c>
      <c r="K20727" t="s">
        <v>47113</v>
      </c>
      <c r="L20727">
        <v>14.47</v>
      </c>
      <c r="M20727">
        <v>38</v>
      </c>
      <c r="N20727">
        <v>0</v>
      </c>
      <c r="O20727">
        <v>38</v>
      </c>
      <c r="P20727">
        <v>0</v>
      </c>
    </row>
    <row r="20728" spans="1:16" x14ac:dyDescent="0.25">
      <c r="A20728" t="s">
        <v>43461</v>
      </c>
      <c r="B20728" t="s">
        <v>12535</v>
      </c>
      <c r="C20728" t="s">
        <v>12536</v>
      </c>
      <c r="D20728" t="str">
        <f>"1124"</f>
        <v>1124</v>
      </c>
      <c r="E20728" t="s">
        <v>12537</v>
      </c>
      <c r="F20728" t="s">
        <v>7</v>
      </c>
      <c r="G20728" t="s">
        <v>47099</v>
      </c>
      <c r="H20728" t="s">
        <v>47054</v>
      </c>
      <c r="I20728" t="s">
        <v>47111</v>
      </c>
      <c r="J20728" t="s">
        <v>47112</v>
      </c>
      <c r="K20728" t="s">
        <v>47113</v>
      </c>
      <c r="L20728">
        <v>24.24</v>
      </c>
      <c r="M20728">
        <v>59</v>
      </c>
      <c r="N20728">
        <v>0</v>
      </c>
      <c r="O20728">
        <v>59</v>
      </c>
      <c r="P20728">
        <v>0</v>
      </c>
    </row>
    <row r="20729" spans="1:16" x14ac:dyDescent="0.25">
      <c r="A20729" t="s">
        <v>43462</v>
      </c>
      <c r="B20729" t="s">
        <v>12535</v>
      </c>
      <c r="C20729" t="s">
        <v>12536</v>
      </c>
      <c r="D20729" t="str">
        <f>"1514"</f>
        <v>1514</v>
      </c>
      <c r="E20729" t="s">
        <v>6969</v>
      </c>
      <c r="F20729" t="s">
        <v>7</v>
      </c>
      <c r="G20729" t="s">
        <v>47099</v>
      </c>
      <c r="H20729" t="s">
        <v>47054</v>
      </c>
      <c r="I20729" t="s">
        <v>47111</v>
      </c>
      <c r="J20729" t="s">
        <v>47112</v>
      </c>
      <c r="K20729" t="s">
        <v>47113</v>
      </c>
      <c r="L20729">
        <v>24.24</v>
      </c>
      <c r="M20729">
        <v>59</v>
      </c>
      <c r="N20729">
        <v>0</v>
      </c>
      <c r="O20729">
        <v>59</v>
      </c>
      <c r="P20729">
        <v>0</v>
      </c>
    </row>
    <row r="20730" spans="1:16" x14ac:dyDescent="0.25">
      <c r="A20730" t="s">
        <v>43463</v>
      </c>
      <c r="B20730" t="s">
        <v>12535</v>
      </c>
      <c r="C20730" t="s">
        <v>12536</v>
      </c>
      <c r="D20730" t="str">
        <f>"3031"</f>
        <v>3031</v>
      </c>
      <c r="E20730" t="s">
        <v>12538</v>
      </c>
      <c r="F20730" t="s">
        <v>7</v>
      </c>
      <c r="G20730" t="s">
        <v>47099</v>
      </c>
      <c r="H20730" t="s">
        <v>47054</v>
      </c>
      <c r="I20730" t="s">
        <v>47111</v>
      </c>
      <c r="J20730" t="s">
        <v>47112</v>
      </c>
      <c r="K20730" t="s">
        <v>47113</v>
      </c>
      <c r="L20730">
        <v>24.24</v>
      </c>
      <c r="M20730">
        <v>59</v>
      </c>
      <c r="N20730">
        <v>0</v>
      </c>
      <c r="O20730">
        <v>59</v>
      </c>
      <c r="P20730">
        <v>0</v>
      </c>
    </row>
    <row r="20731" spans="1:16" x14ac:dyDescent="0.25">
      <c r="A20731" t="s">
        <v>43464</v>
      </c>
      <c r="B20731" t="s">
        <v>12535</v>
      </c>
      <c r="C20731" t="s">
        <v>12536</v>
      </c>
      <c r="D20731" t="str">
        <f>"4166"</f>
        <v>4166</v>
      </c>
      <c r="E20731" t="s">
        <v>6973</v>
      </c>
      <c r="F20731" t="s">
        <v>7</v>
      </c>
      <c r="G20731" t="s">
        <v>47099</v>
      </c>
      <c r="H20731" t="s">
        <v>47054</v>
      </c>
      <c r="I20731" t="s">
        <v>47111</v>
      </c>
      <c r="J20731" t="s">
        <v>47112</v>
      </c>
      <c r="K20731" t="s">
        <v>47113</v>
      </c>
      <c r="L20731">
        <v>24.24</v>
      </c>
      <c r="M20731">
        <v>59</v>
      </c>
      <c r="N20731">
        <v>0</v>
      </c>
      <c r="O20731">
        <v>59</v>
      </c>
      <c r="P20731">
        <v>0</v>
      </c>
    </row>
    <row r="20732" spans="1:16" x14ac:dyDescent="0.25">
      <c r="A20732" t="s">
        <v>43465</v>
      </c>
      <c r="B20732" t="s">
        <v>12535</v>
      </c>
      <c r="C20732" t="s">
        <v>12536</v>
      </c>
      <c r="D20732" t="str">
        <f>"7232"</f>
        <v>7232</v>
      </c>
      <c r="E20732" t="s">
        <v>6952</v>
      </c>
      <c r="F20732" t="s">
        <v>7</v>
      </c>
      <c r="G20732" t="s">
        <v>47099</v>
      </c>
      <c r="H20732" t="s">
        <v>47054</v>
      </c>
      <c r="I20732" t="s">
        <v>47111</v>
      </c>
      <c r="J20732" t="s">
        <v>47112</v>
      </c>
      <c r="K20732" t="s">
        <v>47113</v>
      </c>
      <c r="L20732">
        <v>24.24</v>
      </c>
      <c r="M20732">
        <v>59</v>
      </c>
      <c r="N20732">
        <v>0</v>
      </c>
      <c r="O20732">
        <v>59</v>
      </c>
      <c r="P20732">
        <v>0</v>
      </c>
    </row>
    <row r="20733" spans="1:16" x14ac:dyDescent="0.25">
      <c r="A20733" t="s">
        <v>43466</v>
      </c>
      <c r="B20733" t="s">
        <v>12539</v>
      </c>
      <c r="C20733" t="s">
        <v>12540</v>
      </c>
      <c r="D20733" t="str">
        <f>"1746"</f>
        <v>1746</v>
      </c>
      <c r="E20733" t="s">
        <v>807</v>
      </c>
      <c r="F20733" t="s">
        <v>1</v>
      </c>
      <c r="G20733" t="s">
        <v>47091</v>
      </c>
      <c r="H20733" t="s">
        <v>47054</v>
      </c>
      <c r="I20733" t="s">
        <v>47111</v>
      </c>
      <c r="J20733" t="s">
        <v>47112</v>
      </c>
      <c r="K20733" t="s">
        <v>47113</v>
      </c>
      <c r="L20733">
        <v>6.84</v>
      </c>
      <c r="M20733">
        <v>17</v>
      </c>
      <c r="N20733">
        <v>0</v>
      </c>
      <c r="O20733">
        <v>17</v>
      </c>
      <c r="P20733">
        <v>0</v>
      </c>
    </row>
    <row r="20734" spans="1:16" x14ac:dyDescent="0.25">
      <c r="A20734" t="s">
        <v>43467</v>
      </c>
      <c r="B20734" t="s">
        <v>12541</v>
      </c>
      <c r="C20734" t="s">
        <v>12542</v>
      </c>
      <c r="D20734" t="s">
        <v>5271</v>
      </c>
      <c r="E20734" t="s">
        <v>5272</v>
      </c>
      <c r="F20734" t="s">
        <v>56</v>
      </c>
      <c r="G20734" t="s">
        <v>47098</v>
      </c>
      <c r="H20734" t="s">
        <v>47054</v>
      </c>
      <c r="I20734" t="s">
        <v>47116</v>
      </c>
      <c r="J20734" t="s">
        <v>47117</v>
      </c>
      <c r="K20734" t="s">
        <v>47113</v>
      </c>
      <c r="L20734">
        <v>42.71</v>
      </c>
      <c r="M20734">
        <v>105</v>
      </c>
      <c r="N20734">
        <v>0</v>
      </c>
      <c r="O20734">
        <v>105</v>
      </c>
      <c r="P20734">
        <v>0</v>
      </c>
    </row>
    <row r="20735" spans="1:16" x14ac:dyDescent="0.25">
      <c r="A20735" t="s">
        <v>43468</v>
      </c>
      <c r="B20735" t="s">
        <v>12543</v>
      </c>
      <c r="C20735" t="s">
        <v>12544</v>
      </c>
      <c r="D20735" t="s">
        <v>721</v>
      </c>
      <c r="E20735" t="s">
        <v>722</v>
      </c>
      <c r="F20735" t="s">
        <v>56</v>
      </c>
      <c r="G20735" t="s">
        <v>47093</v>
      </c>
      <c r="H20735" t="s">
        <v>47054</v>
      </c>
      <c r="I20735" t="s">
        <v>47111</v>
      </c>
      <c r="J20735" t="s">
        <v>47112</v>
      </c>
      <c r="K20735" t="s">
        <v>47113</v>
      </c>
      <c r="L20735">
        <v>34.82</v>
      </c>
      <c r="M20735">
        <v>69</v>
      </c>
      <c r="N20735">
        <v>0</v>
      </c>
      <c r="O20735">
        <v>69</v>
      </c>
      <c r="P20735">
        <v>0</v>
      </c>
    </row>
    <row r="20736" spans="1:16" x14ac:dyDescent="0.25">
      <c r="A20736" t="s">
        <v>43469</v>
      </c>
      <c r="B20736" t="s">
        <v>12543</v>
      </c>
      <c r="C20736" t="s">
        <v>12544</v>
      </c>
      <c r="D20736" t="s">
        <v>27</v>
      </c>
      <c r="E20736" t="s">
        <v>622</v>
      </c>
      <c r="F20736" t="s">
        <v>56</v>
      </c>
      <c r="G20736" t="s">
        <v>47093</v>
      </c>
      <c r="H20736" t="s">
        <v>47054</v>
      </c>
      <c r="I20736" t="s">
        <v>47111</v>
      </c>
      <c r="J20736" t="s">
        <v>47112</v>
      </c>
      <c r="K20736" t="s">
        <v>47113</v>
      </c>
      <c r="L20736">
        <v>41.13</v>
      </c>
      <c r="M20736">
        <v>96</v>
      </c>
      <c r="N20736">
        <v>0</v>
      </c>
      <c r="O20736">
        <v>96</v>
      </c>
      <c r="P20736">
        <v>0</v>
      </c>
    </row>
    <row r="20737" spans="1:16" x14ac:dyDescent="0.25">
      <c r="A20737" t="s">
        <v>43470</v>
      </c>
      <c r="B20737" t="s">
        <v>12543</v>
      </c>
      <c r="C20737" t="s">
        <v>12544</v>
      </c>
      <c r="D20737" t="s">
        <v>5271</v>
      </c>
      <c r="E20737" t="s">
        <v>5272</v>
      </c>
      <c r="F20737" t="s">
        <v>56</v>
      </c>
      <c r="G20737" t="s">
        <v>47093</v>
      </c>
      <c r="H20737" t="s">
        <v>47054</v>
      </c>
      <c r="I20737" t="s">
        <v>47111</v>
      </c>
      <c r="J20737" t="s">
        <v>47112</v>
      </c>
      <c r="K20737" t="s">
        <v>47113</v>
      </c>
      <c r="L20737">
        <v>48.94</v>
      </c>
      <c r="M20737">
        <v>112</v>
      </c>
      <c r="N20737">
        <v>0</v>
      </c>
      <c r="O20737">
        <v>112</v>
      </c>
      <c r="P20737">
        <v>0</v>
      </c>
    </row>
    <row r="20738" spans="1:16" x14ac:dyDescent="0.25">
      <c r="A20738" t="s">
        <v>43471</v>
      </c>
      <c r="B20738" t="s">
        <v>12545</v>
      </c>
      <c r="C20738" t="s">
        <v>12546</v>
      </c>
      <c r="D20738" t="s">
        <v>5271</v>
      </c>
      <c r="E20738" t="s">
        <v>5272</v>
      </c>
      <c r="F20738" t="s">
        <v>56</v>
      </c>
      <c r="G20738" t="s">
        <v>47093</v>
      </c>
      <c r="H20738" t="s">
        <v>47054</v>
      </c>
      <c r="I20738" t="s">
        <v>47111</v>
      </c>
      <c r="J20738" t="s">
        <v>47112</v>
      </c>
      <c r="K20738" t="s">
        <v>47113</v>
      </c>
      <c r="L20738">
        <v>51.11</v>
      </c>
      <c r="M20738">
        <v>120</v>
      </c>
      <c r="N20738">
        <v>0</v>
      </c>
      <c r="O20738">
        <v>120</v>
      </c>
      <c r="P20738">
        <v>0</v>
      </c>
    </row>
    <row r="20739" spans="1:16" x14ac:dyDescent="0.25">
      <c r="A20739" t="s">
        <v>43472</v>
      </c>
      <c r="B20739" t="s">
        <v>12547</v>
      </c>
      <c r="C20739" t="s">
        <v>11985</v>
      </c>
      <c r="D20739" t="s">
        <v>721</v>
      </c>
      <c r="E20739" t="s">
        <v>722</v>
      </c>
      <c r="F20739" t="s">
        <v>56</v>
      </c>
      <c r="G20739" t="s">
        <v>47093</v>
      </c>
      <c r="H20739" t="s">
        <v>47054</v>
      </c>
      <c r="I20739" t="s">
        <v>47111</v>
      </c>
      <c r="J20739" t="s">
        <v>47112</v>
      </c>
      <c r="K20739" t="s">
        <v>47113</v>
      </c>
      <c r="L20739">
        <v>34.71</v>
      </c>
      <c r="M20739">
        <v>67</v>
      </c>
      <c r="N20739">
        <v>0</v>
      </c>
      <c r="O20739">
        <v>67</v>
      </c>
      <c r="P20739">
        <v>0</v>
      </c>
    </row>
    <row r="20740" spans="1:16" x14ac:dyDescent="0.25">
      <c r="A20740" t="s">
        <v>43473</v>
      </c>
      <c r="B20740" t="s">
        <v>12547</v>
      </c>
      <c r="C20740" t="s">
        <v>11985</v>
      </c>
      <c r="D20740" t="s">
        <v>5271</v>
      </c>
      <c r="E20740" t="s">
        <v>5272</v>
      </c>
      <c r="F20740" t="s">
        <v>56</v>
      </c>
      <c r="G20740" t="s">
        <v>47093</v>
      </c>
      <c r="H20740" t="s">
        <v>47054</v>
      </c>
      <c r="I20740" t="s">
        <v>47111</v>
      </c>
      <c r="J20740" t="s">
        <v>47112</v>
      </c>
      <c r="K20740" t="s">
        <v>47113</v>
      </c>
      <c r="L20740">
        <v>48.42</v>
      </c>
      <c r="M20740">
        <v>112</v>
      </c>
      <c r="N20740">
        <v>0</v>
      </c>
      <c r="O20740">
        <v>112</v>
      </c>
      <c r="P20740">
        <v>0</v>
      </c>
    </row>
    <row r="20741" spans="1:16" x14ac:dyDescent="0.25">
      <c r="A20741" t="s">
        <v>43474</v>
      </c>
      <c r="B20741" t="s">
        <v>12548</v>
      </c>
      <c r="C20741" t="s">
        <v>12549</v>
      </c>
      <c r="D20741" t="s">
        <v>721</v>
      </c>
      <c r="E20741" t="s">
        <v>722</v>
      </c>
      <c r="F20741" t="s">
        <v>56</v>
      </c>
      <c r="G20741" t="s">
        <v>49029</v>
      </c>
      <c r="H20741" t="s">
        <v>47054</v>
      </c>
      <c r="I20741" t="s">
        <v>47111</v>
      </c>
      <c r="J20741" t="s">
        <v>47112</v>
      </c>
      <c r="K20741" t="s">
        <v>47113</v>
      </c>
      <c r="L20741">
        <v>28.77</v>
      </c>
      <c r="M20741">
        <v>56</v>
      </c>
      <c r="N20741">
        <v>0</v>
      </c>
      <c r="O20741">
        <v>56</v>
      </c>
      <c r="P20741">
        <v>0</v>
      </c>
    </row>
    <row r="20742" spans="1:16" x14ac:dyDescent="0.25">
      <c r="A20742" t="s">
        <v>43475</v>
      </c>
      <c r="B20742" t="s">
        <v>12548</v>
      </c>
      <c r="C20742" t="s">
        <v>12549</v>
      </c>
      <c r="D20742" t="s">
        <v>5271</v>
      </c>
      <c r="E20742" t="s">
        <v>5272</v>
      </c>
      <c r="F20742" t="s">
        <v>56</v>
      </c>
      <c r="G20742" t="s">
        <v>49029</v>
      </c>
      <c r="H20742" t="s">
        <v>47054</v>
      </c>
      <c r="I20742" t="s">
        <v>47111</v>
      </c>
      <c r="J20742" t="s">
        <v>47112</v>
      </c>
      <c r="K20742" t="s">
        <v>47113</v>
      </c>
      <c r="L20742">
        <v>38.83</v>
      </c>
      <c r="M20742">
        <v>89</v>
      </c>
      <c r="N20742">
        <v>0</v>
      </c>
      <c r="O20742">
        <v>89</v>
      </c>
      <c r="P20742">
        <v>0</v>
      </c>
    </row>
    <row r="20743" spans="1:16" x14ac:dyDescent="0.25">
      <c r="A20743" t="s">
        <v>43476</v>
      </c>
      <c r="B20743" t="s">
        <v>12550</v>
      </c>
      <c r="C20743" t="s">
        <v>12551</v>
      </c>
      <c r="D20743" t="s">
        <v>5271</v>
      </c>
      <c r="E20743" t="s">
        <v>5272</v>
      </c>
      <c r="F20743" t="s">
        <v>56</v>
      </c>
      <c r="G20743" t="s">
        <v>47093</v>
      </c>
      <c r="H20743" t="s">
        <v>47054</v>
      </c>
      <c r="I20743" t="s">
        <v>47111</v>
      </c>
      <c r="J20743" t="s">
        <v>47112</v>
      </c>
      <c r="K20743" t="s">
        <v>47113</v>
      </c>
      <c r="L20743">
        <v>47.38</v>
      </c>
      <c r="M20743">
        <v>120</v>
      </c>
      <c r="N20743">
        <v>0</v>
      </c>
      <c r="O20743">
        <v>120</v>
      </c>
      <c r="P20743">
        <v>0</v>
      </c>
    </row>
    <row r="20744" spans="1:16" x14ac:dyDescent="0.25">
      <c r="A20744" t="s">
        <v>43477</v>
      </c>
      <c r="B20744" t="s">
        <v>759</v>
      </c>
      <c r="C20744" t="s">
        <v>760</v>
      </c>
      <c r="D20744" t="s">
        <v>721</v>
      </c>
      <c r="E20744" t="s">
        <v>722</v>
      </c>
      <c r="F20744" t="s">
        <v>56</v>
      </c>
      <c r="G20744" t="s">
        <v>47093</v>
      </c>
      <c r="H20744" t="s">
        <v>47054</v>
      </c>
      <c r="I20744" t="s">
        <v>47111</v>
      </c>
      <c r="J20744" t="s">
        <v>47112</v>
      </c>
      <c r="K20744" t="s">
        <v>47113</v>
      </c>
      <c r="L20744">
        <v>34.04</v>
      </c>
      <c r="M20744">
        <v>80</v>
      </c>
      <c r="N20744">
        <v>0</v>
      </c>
      <c r="O20744">
        <v>80</v>
      </c>
      <c r="P20744">
        <v>0</v>
      </c>
    </row>
    <row r="20745" spans="1:16" x14ac:dyDescent="0.25">
      <c r="A20745" t="s">
        <v>43478</v>
      </c>
      <c r="B20745" t="s">
        <v>761</v>
      </c>
      <c r="C20745" t="s">
        <v>762</v>
      </c>
      <c r="D20745" t="s">
        <v>763</v>
      </c>
      <c r="E20745" t="s">
        <v>764</v>
      </c>
      <c r="F20745" t="s">
        <v>296</v>
      </c>
      <c r="G20745" t="s">
        <v>47101</v>
      </c>
      <c r="H20745" t="s">
        <v>47054</v>
      </c>
      <c r="I20745" t="s">
        <v>47118</v>
      </c>
      <c r="J20745" t="s">
        <v>47119</v>
      </c>
      <c r="K20745" t="s">
        <v>47113</v>
      </c>
      <c r="L20745">
        <v>25.93</v>
      </c>
      <c r="M20745">
        <v>60</v>
      </c>
      <c r="N20745">
        <v>0</v>
      </c>
      <c r="O20745">
        <v>60</v>
      </c>
      <c r="P20745">
        <v>0</v>
      </c>
    </row>
    <row r="20746" spans="1:16" x14ac:dyDescent="0.25">
      <c r="A20746" t="s">
        <v>43479</v>
      </c>
      <c r="B20746" t="s">
        <v>22083</v>
      </c>
      <c r="C20746" t="s">
        <v>22084</v>
      </c>
      <c r="D20746" t="s">
        <v>22085</v>
      </c>
      <c r="E20746" t="s">
        <v>22086</v>
      </c>
      <c r="F20746" t="s">
        <v>3750</v>
      </c>
      <c r="G20746" t="s">
        <v>47101</v>
      </c>
      <c r="H20746" t="s">
        <v>47054</v>
      </c>
      <c r="I20746" t="s">
        <v>47116</v>
      </c>
      <c r="J20746" t="s">
        <v>47117</v>
      </c>
      <c r="K20746" t="s">
        <v>47113</v>
      </c>
      <c r="L20746">
        <v>30.74</v>
      </c>
      <c r="M20746">
        <v>61</v>
      </c>
      <c r="N20746">
        <v>0</v>
      </c>
      <c r="O20746">
        <v>61</v>
      </c>
      <c r="P20746">
        <v>0</v>
      </c>
    </row>
    <row r="20747" spans="1:16" x14ac:dyDescent="0.25">
      <c r="A20747" t="s">
        <v>43480</v>
      </c>
      <c r="B20747" t="s">
        <v>12552</v>
      </c>
      <c r="C20747" t="s">
        <v>12553</v>
      </c>
      <c r="D20747" t="s">
        <v>2981</v>
      </c>
      <c r="E20747" t="s">
        <v>2982</v>
      </c>
      <c r="F20747" t="s">
        <v>7</v>
      </c>
      <c r="G20747" t="s">
        <v>47098</v>
      </c>
      <c r="H20747" t="s">
        <v>47054</v>
      </c>
      <c r="I20747" t="s">
        <v>47116</v>
      </c>
      <c r="J20747" t="s">
        <v>47117</v>
      </c>
      <c r="K20747" t="s">
        <v>47113</v>
      </c>
      <c r="L20747">
        <v>36.590000000000003</v>
      </c>
      <c r="M20747">
        <v>89</v>
      </c>
      <c r="N20747">
        <v>0</v>
      </c>
      <c r="O20747">
        <v>89</v>
      </c>
      <c r="P20747">
        <v>0</v>
      </c>
    </row>
    <row r="20748" spans="1:16" x14ac:dyDescent="0.25">
      <c r="A20748" t="s">
        <v>43481</v>
      </c>
      <c r="B20748" t="s">
        <v>766</v>
      </c>
      <c r="C20748" t="s">
        <v>767</v>
      </c>
      <c r="D20748" t="str">
        <f>"1301"</f>
        <v>1301</v>
      </c>
      <c r="E20748" t="s">
        <v>1832</v>
      </c>
      <c r="F20748" t="s">
        <v>56</v>
      </c>
      <c r="G20748" t="s">
        <v>47091</v>
      </c>
      <c r="H20748" t="s">
        <v>47054</v>
      </c>
      <c r="I20748" t="s">
        <v>47111</v>
      </c>
      <c r="J20748" t="s">
        <v>47112</v>
      </c>
      <c r="K20748" t="s">
        <v>47113</v>
      </c>
      <c r="L20748">
        <v>12.1</v>
      </c>
      <c r="M20748">
        <v>31</v>
      </c>
      <c r="N20748">
        <v>0</v>
      </c>
      <c r="O20748">
        <v>31</v>
      </c>
      <c r="P20748">
        <v>0</v>
      </c>
    </row>
    <row r="20749" spans="1:16" x14ac:dyDescent="0.25">
      <c r="A20749" t="s">
        <v>765</v>
      </c>
      <c r="B20749" t="s">
        <v>766</v>
      </c>
      <c r="C20749" t="s">
        <v>767</v>
      </c>
      <c r="D20749" t="str">
        <f>"1700"</f>
        <v>1700</v>
      </c>
      <c r="E20749" t="s">
        <v>60</v>
      </c>
      <c r="F20749" t="s">
        <v>56</v>
      </c>
      <c r="G20749" t="s">
        <v>47091</v>
      </c>
      <c r="H20749" t="s">
        <v>47054</v>
      </c>
      <c r="I20749" t="s">
        <v>47111</v>
      </c>
      <c r="J20749" t="s">
        <v>47112</v>
      </c>
      <c r="K20749" t="s">
        <v>47113</v>
      </c>
      <c r="L20749">
        <v>12.1</v>
      </c>
      <c r="M20749">
        <v>31</v>
      </c>
      <c r="N20749">
        <v>0</v>
      </c>
      <c r="O20749">
        <v>31</v>
      </c>
      <c r="P20749">
        <v>0</v>
      </c>
    </row>
    <row r="20750" spans="1:16" x14ac:dyDescent="0.25">
      <c r="A20750" t="s">
        <v>768</v>
      </c>
      <c r="B20750" t="s">
        <v>766</v>
      </c>
      <c r="C20750" t="s">
        <v>767</v>
      </c>
      <c r="D20750" t="str">
        <f>"5109"</f>
        <v>5109</v>
      </c>
      <c r="E20750" t="s">
        <v>769</v>
      </c>
      <c r="F20750" t="s">
        <v>56</v>
      </c>
      <c r="G20750" t="s">
        <v>47091</v>
      </c>
      <c r="H20750" t="s">
        <v>47054</v>
      </c>
      <c r="I20750" t="s">
        <v>47111</v>
      </c>
      <c r="J20750" t="s">
        <v>47112</v>
      </c>
      <c r="K20750" t="s">
        <v>47113</v>
      </c>
      <c r="L20750">
        <v>12.1</v>
      </c>
      <c r="M20750">
        <v>31</v>
      </c>
      <c r="N20750">
        <v>0</v>
      </c>
      <c r="O20750">
        <v>31</v>
      </c>
      <c r="P20750">
        <v>0</v>
      </c>
    </row>
    <row r="20751" spans="1:16" x14ac:dyDescent="0.25">
      <c r="A20751" t="s">
        <v>770</v>
      </c>
      <c r="B20751" t="s">
        <v>771</v>
      </c>
      <c r="C20751" t="s">
        <v>772</v>
      </c>
      <c r="D20751" t="str">
        <f>"1003"</f>
        <v>1003</v>
      </c>
      <c r="E20751" t="s">
        <v>773</v>
      </c>
      <c r="F20751" t="s">
        <v>56</v>
      </c>
      <c r="G20751" t="s">
        <v>47092</v>
      </c>
      <c r="H20751" t="s">
        <v>47054</v>
      </c>
      <c r="I20751" t="s">
        <v>47116</v>
      </c>
      <c r="J20751" t="s">
        <v>47117</v>
      </c>
      <c r="K20751" t="s">
        <v>47113</v>
      </c>
      <c r="L20751">
        <v>11.73</v>
      </c>
      <c r="M20751">
        <v>30</v>
      </c>
      <c r="N20751">
        <v>0</v>
      </c>
      <c r="O20751">
        <v>30</v>
      </c>
      <c r="P20751">
        <v>0</v>
      </c>
    </row>
    <row r="20752" spans="1:16" x14ac:dyDescent="0.25">
      <c r="A20752" t="s">
        <v>774</v>
      </c>
      <c r="B20752" t="s">
        <v>771</v>
      </c>
      <c r="C20752" t="s">
        <v>772</v>
      </c>
      <c r="D20752" t="str">
        <f>"1701"</f>
        <v>1701</v>
      </c>
      <c r="E20752" t="s">
        <v>55</v>
      </c>
      <c r="F20752" t="s">
        <v>56</v>
      </c>
      <c r="G20752" t="s">
        <v>47092</v>
      </c>
      <c r="H20752" t="s">
        <v>47054</v>
      </c>
      <c r="I20752" t="s">
        <v>47116</v>
      </c>
      <c r="J20752" t="s">
        <v>47117</v>
      </c>
      <c r="K20752" t="s">
        <v>47113</v>
      </c>
      <c r="L20752">
        <v>11.87</v>
      </c>
      <c r="M20752">
        <v>30</v>
      </c>
      <c r="N20752">
        <v>0</v>
      </c>
      <c r="O20752">
        <v>30</v>
      </c>
      <c r="P20752">
        <v>0</v>
      </c>
    </row>
    <row r="20753" spans="1:16" x14ac:dyDescent="0.25">
      <c r="A20753" t="s">
        <v>43482</v>
      </c>
      <c r="B20753" t="s">
        <v>771</v>
      </c>
      <c r="C20753" t="s">
        <v>772</v>
      </c>
      <c r="D20753" t="str">
        <f>"3304"</f>
        <v>3304</v>
      </c>
      <c r="E20753" t="s">
        <v>1879</v>
      </c>
      <c r="F20753" t="s">
        <v>56</v>
      </c>
      <c r="G20753" t="s">
        <v>47092</v>
      </c>
      <c r="H20753" t="s">
        <v>47054</v>
      </c>
      <c r="I20753" t="s">
        <v>47116</v>
      </c>
      <c r="J20753" t="s">
        <v>47117</v>
      </c>
      <c r="K20753" t="s">
        <v>47113</v>
      </c>
      <c r="L20753">
        <v>11.87</v>
      </c>
      <c r="M20753">
        <v>30</v>
      </c>
      <c r="N20753">
        <v>0</v>
      </c>
      <c r="O20753">
        <v>30</v>
      </c>
      <c r="P20753">
        <v>0</v>
      </c>
    </row>
    <row r="20754" spans="1:16" x14ac:dyDescent="0.25">
      <c r="A20754" t="s">
        <v>43483</v>
      </c>
      <c r="B20754" t="s">
        <v>22087</v>
      </c>
      <c r="C20754" t="s">
        <v>22088</v>
      </c>
      <c r="D20754" t="s">
        <v>18587</v>
      </c>
      <c r="E20754" t="s">
        <v>18588</v>
      </c>
      <c r="F20754" t="s">
        <v>16933</v>
      </c>
      <c r="G20754" t="s">
        <v>47093</v>
      </c>
      <c r="H20754" t="s">
        <v>47054</v>
      </c>
      <c r="I20754" t="s">
        <v>47111</v>
      </c>
      <c r="J20754" t="s">
        <v>47112</v>
      </c>
      <c r="K20754" t="s">
        <v>47113</v>
      </c>
      <c r="L20754">
        <v>78.95</v>
      </c>
      <c r="M20754">
        <v>229</v>
      </c>
      <c r="N20754">
        <v>0</v>
      </c>
      <c r="O20754">
        <v>229</v>
      </c>
      <c r="P20754">
        <v>0</v>
      </c>
    </row>
    <row r="20755" spans="1:16" x14ac:dyDescent="0.25">
      <c r="A20755" t="s">
        <v>49746</v>
      </c>
      <c r="B20755" t="s">
        <v>49747</v>
      </c>
      <c r="C20755" t="s">
        <v>49748</v>
      </c>
      <c r="D20755" t="str">
        <f>"1700"</f>
        <v>1700</v>
      </c>
      <c r="E20755" t="s">
        <v>60</v>
      </c>
      <c r="F20755" t="s">
        <v>46687</v>
      </c>
      <c r="G20755" t="s">
        <v>47091</v>
      </c>
      <c r="H20755" t="s">
        <v>47054</v>
      </c>
      <c r="I20755" t="s">
        <v>47118</v>
      </c>
      <c r="J20755" t="s">
        <v>47119</v>
      </c>
      <c r="K20755" t="s">
        <v>47113</v>
      </c>
      <c r="L20755">
        <v>16.850000000000001</v>
      </c>
      <c r="M20755">
        <v>26</v>
      </c>
      <c r="N20755">
        <v>69</v>
      </c>
      <c r="O20755">
        <v>26</v>
      </c>
      <c r="P20755">
        <v>69</v>
      </c>
    </row>
    <row r="20756" spans="1:16" x14ac:dyDescent="0.25">
      <c r="A20756" t="s">
        <v>43484</v>
      </c>
      <c r="B20756" t="s">
        <v>43485</v>
      </c>
      <c r="C20756" t="s">
        <v>49749</v>
      </c>
      <c r="D20756" t="s">
        <v>43486</v>
      </c>
      <c r="E20756" t="s">
        <v>43487</v>
      </c>
      <c r="F20756" t="s">
        <v>24622</v>
      </c>
      <c r="G20756" t="s">
        <v>49029</v>
      </c>
      <c r="H20756" t="s">
        <v>47054</v>
      </c>
      <c r="I20756" t="s">
        <v>47120</v>
      </c>
      <c r="J20756" t="s">
        <v>47121</v>
      </c>
      <c r="K20756" t="s">
        <v>47113</v>
      </c>
      <c r="L20756">
        <v>26.75</v>
      </c>
      <c r="M20756">
        <v>70</v>
      </c>
      <c r="N20756">
        <v>189</v>
      </c>
      <c r="O20756">
        <v>70</v>
      </c>
      <c r="P20756">
        <v>189</v>
      </c>
    </row>
    <row r="20757" spans="1:16" x14ac:dyDescent="0.25">
      <c r="A20757" t="s">
        <v>43488</v>
      </c>
      <c r="B20757" t="s">
        <v>43489</v>
      </c>
      <c r="C20757" t="s">
        <v>43490</v>
      </c>
      <c r="D20757" t="s">
        <v>42842</v>
      </c>
      <c r="E20757" t="s">
        <v>42843</v>
      </c>
      <c r="F20757" t="s">
        <v>21627</v>
      </c>
      <c r="G20757" t="s">
        <v>49029</v>
      </c>
      <c r="H20757" t="s">
        <v>47054</v>
      </c>
      <c r="I20757" t="s">
        <v>47544</v>
      </c>
      <c r="J20757" t="s">
        <v>47545</v>
      </c>
      <c r="K20757" t="s">
        <v>47113</v>
      </c>
      <c r="L20757">
        <v>23.24</v>
      </c>
      <c r="M20757">
        <v>55</v>
      </c>
      <c r="N20757">
        <v>0</v>
      </c>
      <c r="O20757">
        <v>55</v>
      </c>
      <c r="P20757">
        <v>0</v>
      </c>
    </row>
    <row r="20758" spans="1:16" x14ac:dyDescent="0.25">
      <c r="A20758" t="s">
        <v>43491</v>
      </c>
      <c r="B20758" t="s">
        <v>43492</v>
      </c>
      <c r="C20758" t="s">
        <v>43490</v>
      </c>
      <c r="D20758" t="str">
        <f>"1700"</f>
        <v>1700</v>
      </c>
      <c r="E20758" t="s">
        <v>18480</v>
      </c>
      <c r="F20758" t="s">
        <v>24617</v>
      </c>
      <c r="G20758" t="s">
        <v>49029</v>
      </c>
      <c r="H20758" t="s">
        <v>47054</v>
      </c>
      <c r="I20758" t="s">
        <v>47120</v>
      </c>
      <c r="J20758" t="s">
        <v>47121</v>
      </c>
      <c r="K20758" t="s">
        <v>47113</v>
      </c>
      <c r="L20758">
        <v>27.51</v>
      </c>
      <c r="M20758">
        <v>70</v>
      </c>
      <c r="N20758">
        <v>189</v>
      </c>
      <c r="O20758">
        <v>70</v>
      </c>
      <c r="P20758">
        <v>189</v>
      </c>
    </row>
    <row r="20759" spans="1:16" x14ac:dyDescent="0.25">
      <c r="A20759" t="s">
        <v>43493</v>
      </c>
      <c r="B20759" t="s">
        <v>22089</v>
      </c>
      <c r="C20759" t="s">
        <v>22090</v>
      </c>
      <c r="D20759" t="str">
        <f>"1001"</f>
        <v>1001</v>
      </c>
      <c r="E20759" t="s">
        <v>42</v>
      </c>
      <c r="F20759" t="s">
        <v>19559</v>
      </c>
      <c r="G20759" t="s">
        <v>47094</v>
      </c>
      <c r="H20759" t="s">
        <v>47054</v>
      </c>
      <c r="I20759" t="s">
        <v>47118</v>
      </c>
      <c r="J20759" t="s">
        <v>47119</v>
      </c>
      <c r="K20759" t="s">
        <v>47113</v>
      </c>
      <c r="L20759">
        <v>17.41</v>
      </c>
      <c r="M20759">
        <v>55</v>
      </c>
      <c r="N20759">
        <v>0</v>
      </c>
      <c r="O20759">
        <v>55</v>
      </c>
      <c r="P20759">
        <v>0</v>
      </c>
    </row>
    <row r="20760" spans="1:16" x14ac:dyDescent="0.25">
      <c r="A20760" t="s">
        <v>43494</v>
      </c>
      <c r="B20760" t="s">
        <v>22089</v>
      </c>
      <c r="C20760" t="s">
        <v>22090</v>
      </c>
      <c r="D20760" t="str">
        <f>"1501"</f>
        <v>1501</v>
      </c>
      <c r="E20760" t="s">
        <v>46</v>
      </c>
      <c r="F20760" t="s">
        <v>19559</v>
      </c>
      <c r="G20760" t="s">
        <v>47094</v>
      </c>
      <c r="H20760" t="s">
        <v>47054</v>
      </c>
      <c r="I20760" t="s">
        <v>47118</v>
      </c>
      <c r="J20760" t="s">
        <v>47119</v>
      </c>
      <c r="K20760" t="s">
        <v>47113</v>
      </c>
      <c r="L20760">
        <v>25.92</v>
      </c>
      <c r="M20760">
        <v>55</v>
      </c>
      <c r="N20760">
        <v>0</v>
      </c>
      <c r="O20760">
        <v>55</v>
      </c>
      <c r="P20760">
        <v>0</v>
      </c>
    </row>
    <row r="20761" spans="1:16" x14ac:dyDescent="0.25">
      <c r="A20761" t="s">
        <v>43495</v>
      </c>
      <c r="B20761" t="s">
        <v>22089</v>
      </c>
      <c r="C20761" t="s">
        <v>22090</v>
      </c>
      <c r="D20761" t="str">
        <f>"1700"</f>
        <v>1700</v>
      </c>
      <c r="E20761" t="s">
        <v>60</v>
      </c>
      <c r="F20761" t="s">
        <v>24617</v>
      </c>
      <c r="G20761" t="s">
        <v>47094</v>
      </c>
      <c r="H20761" t="s">
        <v>47054</v>
      </c>
      <c r="I20761" t="s">
        <v>47118</v>
      </c>
      <c r="J20761" t="s">
        <v>47119</v>
      </c>
      <c r="K20761" t="s">
        <v>47113</v>
      </c>
      <c r="L20761">
        <v>23.65</v>
      </c>
      <c r="M20761">
        <v>63</v>
      </c>
      <c r="N20761">
        <v>169</v>
      </c>
      <c r="O20761">
        <v>63</v>
      </c>
      <c r="P20761">
        <v>169</v>
      </c>
    </row>
    <row r="20762" spans="1:16" x14ac:dyDescent="0.25">
      <c r="A20762" t="s">
        <v>43496</v>
      </c>
      <c r="B20762" t="s">
        <v>22089</v>
      </c>
      <c r="C20762" t="s">
        <v>22090</v>
      </c>
      <c r="D20762" t="str">
        <f>"6000"</f>
        <v>6000</v>
      </c>
      <c r="E20762" t="s">
        <v>43497</v>
      </c>
      <c r="F20762" t="s">
        <v>24617</v>
      </c>
      <c r="G20762" t="s">
        <v>47094</v>
      </c>
      <c r="H20762" t="s">
        <v>47054</v>
      </c>
      <c r="I20762" t="s">
        <v>47118</v>
      </c>
      <c r="J20762" t="s">
        <v>47119</v>
      </c>
      <c r="K20762" t="s">
        <v>47113</v>
      </c>
      <c r="L20762">
        <v>26.82</v>
      </c>
      <c r="M20762">
        <v>63</v>
      </c>
      <c r="N20762">
        <v>169</v>
      </c>
      <c r="O20762">
        <v>63</v>
      </c>
      <c r="P20762">
        <v>169</v>
      </c>
    </row>
    <row r="20763" spans="1:16" x14ac:dyDescent="0.25">
      <c r="A20763" t="s">
        <v>43498</v>
      </c>
      <c r="B20763" t="s">
        <v>22089</v>
      </c>
      <c r="C20763" t="s">
        <v>22090</v>
      </c>
      <c r="D20763" t="str">
        <f>"6387"</f>
        <v>6387</v>
      </c>
      <c r="E20763" t="s">
        <v>6010</v>
      </c>
      <c r="F20763" t="s">
        <v>20496</v>
      </c>
      <c r="G20763" t="s">
        <v>47094</v>
      </c>
      <c r="H20763" t="s">
        <v>47054</v>
      </c>
      <c r="I20763" t="s">
        <v>47118</v>
      </c>
      <c r="J20763" t="s">
        <v>47119</v>
      </c>
      <c r="K20763" t="s">
        <v>47113</v>
      </c>
      <c r="L20763">
        <v>27.09</v>
      </c>
      <c r="M20763">
        <v>55</v>
      </c>
      <c r="N20763">
        <v>0</v>
      </c>
      <c r="O20763">
        <v>55</v>
      </c>
      <c r="P20763">
        <v>0</v>
      </c>
    </row>
    <row r="20764" spans="1:16" x14ac:dyDescent="0.25">
      <c r="A20764" t="s">
        <v>43499</v>
      </c>
      <c r="B20764" t="s">
        <v>43500</v>
      </c>
      <c r="C20764" t="s">
        <v>43501</v>
      </c>
      <c r="D20764" t="str">
        <f>"1001"</f>
        <v>1001</v>
      </c>
      <c r="E20764" t="s">
        <v>42</v>
      </c>
      <c r="F20764" t="s">
        <v>24622</v>
      </c>
      <c r="G20764" t="s">
        <v>47094</v>
      </c>
      <c r="H20764" t="s">
        <v>47054</v>
      </c>
      <c r="I20764" t="s">
        <v>47118</v>
      </c>
      <c r="J20764" t="s">
        <v>47119</v>
      </c>
      <c r="K20764" t="s">
        <v>47113</v>
      </c>
      <c r="L20764">
        <v>26.7</v>
      </c>
      <c r="M20764">
        <v>63</v>
      </c>
      <c r="N20764">
        <v>169</v>
      </c>
      <c r="O20764">
        <v>63</v>
      </c>
      <c r="P20764">
        <v>169</v>
      </c>
    </row>
    <row r="20765" spans="1:16" x14ac:dyDescent="0.25">
      <c r="A20765" t="s">
        <v>43502</v>
      </c>
      <c r="B20765" t="s">
        <v>43500</v>
      </c>
      <c r="C20765" t="s">
        <v>43501</v>
      </c>
      <c r="D20765" t="str">
        <f>"6500"</f>
        <v>6500</v>
      </c>
      <c r="E20765" t="s">
        <v>42735</v>
      </c>
      <c r="F20765" t="s">
        <v>24622</v>
      </c>
      <c r="G20765" t="s">
        <v>47094</v>
      </c>
      <c r="H20765" t="s">
        <v>47054</v>
      </c>
      <c r="I20765" t="s">
        <v>47118</v>
      </c>
      <c r="J20765" t="s">
        <v>47119</v>
      </c>
      <c r="K20765" t="s">
        <v>47113</v>
      </c>
      <c r="L20765">
        <v>26.7</v>
      </c>
      <c r="M20765">
        <v>63</v>
      </c>
      <c r="N20765">
        <v>169</v>
      </c>
      <c r="O20765">
        <v>63</v>
      </c>
      <c r="P20765">
        <v>169</v>
      </c>
    </row>
    <row r="20766" spans="1:16" x14ac:dyDescent="0.25">
      <c r="A20766" t="s">
        <v>43503</v>
      </c>
      <c r="B20766" t="s">
        <v>22091</v>
      </c>
      <c r="C20766" t="s">
        <v>22090</v>
      </c>
      <c r="D20766" t="str">
        <f>"1001"</f>
        <v>1001</v>
      </c>
      <c r="E20766" t="s">
        <v>22092</v>
      </c>
      <c r="F20766" t="s">
        <v>19559</v>
      </c>
      <c r="G20766" t="s">
        <v>47094</v>
      </c>
      <c r="H20766" t="s">
        <v>47054</v>
      </c>
      <c r="I20766" t="s">
        <v>47118</v>
      </c>
      <c r="J20766" t="s">
        <v>47119</v>
      </c>
      <c r="K20766" t="s">
        <v>47113</v>
      </c>
      <c r="L20766">
        <v>28.47</v>
      </c>
      <c r="M20766">
        <v>66</v>
      </c>
      <c r="N20766">
        <v>0</v>
      </c>
      <c r="O20766">
        <v>66</v>
      </c>
      <c r="P20766">
        <v>0</v>
      </c>
    </row>
    <row r="20767" spans="1:16" x14ac:dyDescent="0.25">
      <c r="A20767" t="s">
        <v>43504</v>
      </c>
      <c r="B20767" t="s">
        <v>22091</v>
      </c>
      <c r="C20767" t="s">
        <v>22090</v>
      </c>
      <c r="D20767" t="str">
        <f>"1501"</f>
        <v>1501</v>
      </c>
      <c r="E20767" t="s">
        <v>46</v>
      </c>
      <c r="F20767" t="s">
        <v>19559</v>
      </c>
      <c r="G20767" t="s">
        <v>47094</v>
      </c>
      <c r="H20767" t="s">
        <v>47054</v>
      </c>
      <c r="I20767" t="s">
        <v>47118</v>
      </c>
      <c r="J20767" t="s">
        <v>47119</v>
      </c>
      <c r="K20767" t="s">
        <v>47113</v>
      </c>
      <c r="L20767">
        <v>25.92</v>
      </c>
      <c r="M20767">
        <v>66</v>
      </c>
      <c r="N20767">
        <v>0</v>
      </c>
      <c r="O20767">
        <v>66</v>
      </c>
      <c r="P20767">
        <v>0</v>
      </c>
    </row>
    <row r="20768" spans="1:16" x14ac:dyDescent="0.25">
      <c r="A20768" t="s">
        <v>43505</v>
      </c>
      <c r="B20768" t="s">
        <v>22091</v>
      </c>
      <c r="C20768" t="s">
        <v>22090</v>
      </c>
      <c r="D20768" t="str">
        <f>"6149"</f>
        <v>6149</v>
      </c>
      <c r="E20768" t="s">
        <v>22093</v>
      </c>
      <c r="F20768" t="s">
        <v>19559</v>
      </c>
      <c r="G20768" t="s">
        <v>47094</v>
      </c>
      <c r="H20768" t="s">
        <v>47054</v>
      </c>
      <c r="I20768" t="s">
        <v>47118</v>
      </c>
      <c r="J20768" t="s">
        <v>47119</v>
      </c>
      <c r="K20768" t="s">
        <v>47113</v>
      </c>
      <c r="L20768">
        <v>28.47</v>
      </c>
      <c r="M20768">
        <v>66</v>
      </c>
      <c r="N20768">
        <v>0</v>
      </c>
      <c r="O20768">
        <v>66</v>
      </c>
      <c r="P20768">
        <v>0</v>
      </c>
    </row>
    <row r="20769" spans="1:16" x14ac:dyDescent="0.25">
      <c r="A20769" t="s">
        <v>43506</v>
      </c>
      <c r="B20769" t="s">
        <v>22094</v>
      </c>
      <c r="C20769" t="s">
        <v>22095</v>
      </c>
      <c r="D20769" t="str">
        <f>"1001"</f>
        <v>1001</v>
      </c>
      <c r="E20769" t="s">
        <v>42</v>
      </c>
      <c r="F20769" t="s">
        <v>19559</v>
      </c>
      <c r="G20769" t="s">
        <v>47095</v>
      </c>
      <c r="H20769" t="s">
        <v>47054</v>
      </c>
      <c r="I20769" t="s">
        <v>47118</v>
      </c>
      <c r="J20769" t="s">
        <v>47119</v>
      </c>
      <c r="K20769" t="s">
        <v>47113</v>
      </c>
      <c r="L20769">
        <v>14.19</v>
      </c>
      <c r="M20769">
        <v>52</v>
      </c>
      <c r="N20769">
        <v>129</v>
      </c>
      <c r="O20769">
        <v>52</v>
      </c>
      <c r="P20769">
        <v>129</v>
      </c>
    </row>
    <row r="20770" spans="1:16" x14ac:dyDescent="0.25">
      <c r="A20770" t="s">
        <v>43507</v>
      </c>
      <c r="B20770" t="s">
        <v>22094</v>
      </c>
      <c r="C20770" t="s">
        <v>22095</v>
      </c>
      <c r="D20770" t="str">
        <f>"1501"</f>
        <v>1501</v>
      </c>
      <c r="E20770" t="s">
        <v>46</v>
      </c>
      <c r="F20770" t="s">
        <v>19559</v>
      </c>
      <c r="G20770" t="s">
        <v>47095</v>
      </c>
      <c r="H20770" t="s">
        <v>47054</v>
      </c>
      <c r="I20770" t="s">
        <v>47118</v>
      </c>
      <c r="J20770" t="s">
        <v>47119</v>
      </c>
      <c r="K20770" t="s">
        <v>47113</v>
      </c>
      <c r="L20770">
        <v>20.75</v>
      </c>
      <c r="M20770">
        <v>55</v>
      </c>
      <c r="N20770">
        <v>129</v>
      </c>
      <c r="O20770">
        <v>55</v>
      </c>
      <c r="P20770">
        <v>129</v>
      </c>
    </row>
    <row r="20771" spans="1:16" x14ac:dyDescent="0.25">
      <c r="A20771" t="s">
        <v>43508</v>
      </c>
      <c r="B20771" t="s">
        <v>22094</v>
      </c>
      <c r="C20771" t="s">
        <v>22095</v>
      </c>
      <c r="D20771" t="str">
        <f>"1700"</f>
        <v>1700</v>
      </c>
      <c r="E20771" t="s">
        <v>60</v>
      </c>
      <c r="F20771" t="s">
        <v>24617</v>
      </c>
      <c r="G20771" t="s">
        <v>47095</v>
      </c>
      <c r="H20771" t="s">
        <v>47054</v>
      </c>
      <c r="I20771" t="s">
        <v>47118</v>
      </c>
      <c r="J20771" t="s">
        <v>47119</v>
      </c>
      <c r="K20771" t="s">
        <v>47113</v>
      </c>
      <c r="L20771">
        <v>18.61</v>
      </c>
      <c r="M20771">
        <v>48</v>
      </c>
      <c r="N20771">
        <v>129</v>
      </c>
      <c r="O20771">
        <v>48</v>
      </c>
      <c r="P20771">
        <v>129</v>
      </c>
    </row>
    <row r="20772" spans="1:16" x14ac:dyDescent="0.25">
      <c r="A20772" t="s">
        <v>43509</v>
      </c>
      <c r="B20772" t="s">
        <v>22094</v>
      </c>
      <c r="C20772" t="s">
        <v>22095</v>
      </c>
      <c r="D20772" t="str">
        <f>"6000"</f>
        <v>6000</v>
      </c>
      <c r="E20772" t="s">
        <v>43510</v>
      </c>
      <c r="F20772" t="s">
        <v>24617</v>
      </c>
      <c r="G20772" t="s">
        <v>47095</v>
      </c>
      <c r="H20772" t="s">
        <v>47054</v>
      </c>
      <c r="I20772" t="s">
        <v>47118</v>
      </c>
      <c r="J20772" t="s">
        <v>47119</v>
      </c>
      <c r="K20772" t="s">
        <v>47113</v>
      </c>
      <c r="L20772">
        <v>21.75</v>
      </c>
      <c r="M20772">
        <v>48</v>
      </c>
      <c r="N20772">
        <v>129</v>
      </c>
      <c r="O20772">
        <v>48</v>
      </c>
      <c r="P20772">
        <v>129</v>
      </c>
    </row>
    <row r="20773" spans="1:16" x14ac:dyDescent="0.25">
      <c r="A20773" t="s">
        <v>43511</v>
      </c>
      <c r="B20773" t="s">
        <v>22094</v>
      </c>
      <c r="C20773" t="s">
        <v>22095</v>
      </c>
      <c r="D20773" t="str">
        <f>"6387"</f>
        <v>6387</v>
      </c>
      <c r="E20773" t="s">
        <v>6010</v>
      </c>
      <c r="F20773" t="s">
        <v>20496</v>
      </c>
      <c r="G20773" t="s">
        <v>47095</v>
      </c>
      <c r="H20773" t="s">
        <v>47054</v>
      </c>
      <c r="I20773" t="s">
        <v>47118</v>
      </c>
      <c r="J20773" t="s">
        <v>47119</v>
      </c>
      <c r="K20773" t="s">
        <v>47113</v>
      </c>
      <c r="L20773">
        <v>20.99</v>
      </c>
      <c r="M20773">
        <v>52</v>
      </c>
      <c r="N20773">
        <v>129</v>
      </c>
      <c r="O20773">
        <v>52</v>
      </c>
      <c r="P20773">
        <v>129</v>
      </c>
    </row>
    <row r="20774" spans="1:16" x14ac:dyDescent="0.25">
      <c r="A20774" t="s">
        <v>49750</v>
      </c>
      <c r="B20774" t="s">
        <v>49751</v>
      </c>
      <c r="C20774" t="s">
        <v>18716</v>
      </c>
      <c r="D20774" t="str">
        <f>"1001"</f>
        <v>1001</v>
      </c>
      <c r="E20774" t="s">
        <v>42</v>
      </c>
      <c r="F20774" t="s">
        <v>47479</v>
      </c>
      <c r="G20774" t="s">
        <v>47095</v>
      </c>
      <c r="H20774" t="s">
        <v>47054</v>
      </c>
      <c r="I20774" t="s">
        <v>47118</v>
      </c>
      <c r="J20774" t="s">
        <v>47119</v>
      </c>
      <c r="K20774" t="s">
        <v>47113</v>
      </c>
      <c r="L20774">
        <v>22.23</v>
      </c>
      <c r="M20774">
        <v>63</v>
      </c>
      <c r="N20774">
        <v>169</v>
      </c>
      <c r="O20774">
        <v>63</v>
      </c>
      <c r="P20774">
        <v>169</v>
      </c>
    </row>
    <row r="20775" spans="1:16" x14ac:dyDescent="0.25">
      <c r="A20775" t="s">
        <v>43512</v>
      </c>
      <c r="B20775" t="s">
        <v>22096</v>
      </c>
      <c r="C20775" t="s">
        <v>22095</v>
      </c>
      <c r="D20775" t="str">
        <f>"1001"</f>
        <v>1001</v>
      </c>
      <c r="E20775" t="s">
        <v>22092</v>
      </c>
      <c r="F20775" t="s">
        <v>19559</v>
      </c>
      <c r="G20775" t="s">
        <v>47095</v>
      </c>
      <c r="H20775" t="s">
        <v>47054</v>
      </c>
      <c r="I20775" t="s">
        <v>47118</v>
      </c>
      <c r="J20775" t="s">
        <v>47119</v>
      </c>
      <c r="K20775" t="s">
        <v>47113</v>
      </c>
      <c r="L20775">
        <v>23.14</v>
      </c>
      <c r="M20775">
        <v>55</v>
      </c>
      <c r="N20775">
        <v>0</v>
      </c>
      <c r="O20775">
        <v>55</v>
      </c>
      <c r="P20775">
        <v>0</v>
      </c>
    </row>
    <row r="20776" spans="1:16" x14ac:dyDescent="0.25">
      <c r="A20776" t="s">
        <v>43513</v>
      </c>
      <c r="B20776" t="s">
        <v>22096</v>
      </c>
      <c r="C20776" t="s">
        <v>22095</v>
      </c>
      <c r="D20776" t="str">
        <f>"1501"</f>
        <v>1501</v>
      </c>
      <c r="E20776" t="s">
        <v>46</v>
      </c>
      <c r="F20776" t="s">
        <v>19559</v>
      </c>
      <c r="G20776" t="s">
        <v>47095</v>
      </c>
      <c r="H20776" t="s">
        <v>47054</v>
      </c>
      <c r="I20776" t="s">
        <v>47118</v>
      </c>
      <c r="J20776" t="s">
        <v>47119</v>
      </c>
      <c r="K20776" t="s">
        <v>47113</v>
      </c>
      <c r="L20776">
        <v>20.75</v>
      </c>
      <c r="M20776">
        <v>55</v>
      </c>
      <c r="N20776">
        <v>0</v>
      </c>
      <c r="O20776">
        <v>55</v>
      </c>
      <c r="P20776">
        <v>0</v>
      </c>
    </row>
    <row r="20777" spans="1:16" x14ac:dyDescent="0.25">
      <c r="A20777" t="s">
        <v>43514</v>
      </c>
      <c r="B20777" t="s">
        <v>22096</v>
      </c>
      <c r="C20777" t="s">
        <v>22095</v>
      </c>
      <c r="D20777" t="str">
        <f>"6149"</f>
        <v>6149</v>
      </c>
      <c r="E20777" t="s">
        <v>22093</v>
      </c>
      <c r="F20777" t="s">
        <v>19559</v>
      </c>
      <c r="G20777" t="s">
        <v>47095</v>
      </c>
      <c r="H20777" t="s">
        <v>47054</v>
      </c>
      <c r="I20777" t="s">
        <v>47118</v>
      </c>
      <c r="J20777" t="s">
        <v>47119</v>
      </c>
      <c r="K20777" t="s">
        <v>47113</v>
      </c>
      <c r="L20777">
        <v>23.14</v>
      </c>
      <c r="M20777">
        <v>55</v>
      </c>
      <c r="N20777">
        <v>0</v>
      </c>
      <c r="O20777">
        <v>55</v>
      </c>
      <c r="P20777">
        <v>0</v>
      </c>
    </row>
    <row r="20778" spans="1:16" x14ac:dyDescent="0.25">
      <c r="A20778" t="s">
        <v>43515</v>
      </c>
      <c r="B20778" t="s">
        <v>22097</v>
      </c>
      <c r="C20778" t="s">
        <v>18815</v>
      </c>
      <c r="D20778" t="str">
        <f>"1001"</f>
        <v>1001</v>
      </c>
      <c r="E20778" t="s">
        <v>42</v>
      </c>
      <c r="F20778" t="s">
        <v>19559</v>
      </c>
      <c r="G20778" t="s">
        <v>47091</v>
      </c>
      <c r="H20778" t="s">
        <v>47054</v>
      </c>
      <c r="I20778" t="s">
        <v>47569</v>
      </c>
      <c r="J20778" t="s">
        <v>47570</v>
      </c>
      <c r="K20778" t="s">
        <v>47113</v>
      </c>
      <c r="L20778">
        <v>10.57</v>
      </c>
      <c r="M20778">
        <v>22</v>
      </c>
      <c r="N20778">
        <v>0</v>
      </c>
      <c r="O20778">
        <v>22</v>
      </c>
      <c r="P20778">
        <v>0</v>
      </c>
    </row>
    <row r="20779" spans="1:16" x14ac:dyDescent="0.25">
      <c r="A20779" t="s">
        <v>43516</v>
      </c>
      <c r="B20779" t="s">
        <v>22097</v>
      </c>
      <c r="C20779" t="s">
        <v>18815</v>
      </c>
      <c r="D20779" t="str">
        <f>"1501"</f>
        <v>1501</v>
      </c>
      <c r="E20779" t="s">
        <v>46</v>
      </c>
      <c r="F20779" t="s">
        <v>19559</v>
      </c>
      <c r="G20779" t="s">
        <v>47091</v>
      </c>
      <c r="H20779" t="s">
        <v>47054</v>
      </c>
      <c r="I20779" t="s">
        <v>47569</v>
      </c>
      <c r="J20779" t="s">
        <v>47570</v>
      </c>
      <c r="K20779" t="s">
        <v>47113</v>
      </c>
      <c r="L20779">
        <v>10.57</v>
      </c>
      <c r="M20779">
        <v>22</v>
      </c>
      <c r="N20779">
        <v>0</v>
      </c>
      <c r="O20779">
        <v>22</v>
      </c>
      <c r="P20779">
        <v>0</v>
      </c>
    </row>
    <row r="20780" spans="1:16" x14ac:dyDescent="0.25">
      <c r="A20780" t="s">
        <v>43517</v>
      </c>
      <c r="B20780" t="s">
        <v>22097</v>
      </c>
      <c r="C20780" t="s">
        <v>18815</v>
      </c>
      <c r="D20780" t="str">
        <f>"1700"</f>
        <v>1700</v>
      </c>
      <c r="E20780" t="s">
        <v>60</v>
      </c>
      <c r="F20780" t="s">
        <v>19559</v>
      </c>
      <c r="G20780" t="s">
        <v>47091</v>
      </c>
      <c r="H20780" t="s">
        <v>47054</v>
      </c>
      <c r="I20780" t="s">
        <v>47569</v>
      </c>
      <c r="J20780" t="s">
        <v>47570</v>
      </c>
      <c r="K20780" t="s">
        <v>47113</v>
      </c>
      <c r="L20780">
        <v>10.57</v>
      </c>
      <c r="M20780">
        <v>22</v>
      </c>
      <c r="N20780">
        <v>0</v>
      </c>
      <c r="O20780">
        <v>22</v>
      </c>
      <c r="P20780">
        <v>0</v>
      </c>
    </row>
    <row r="20781" spans="1:16" x14ac:dyDescent="0.25">
      <c r="A20781" t="s">
        <v>43518</v>
      </c>
      <c r="B20781" t="s">
        <v>22097</v>
      </c>
      <c r="C20781" t="s">
        <v>18815</v>
      </c>
      <c r="D20781" t="str">
        <f>"6807"</f>
        <v>6807</v>
      </c>
      <c r="E20781" t="s">
        <v>21298</v>
      </c>
      <c r="F20781" t="s">
        <v>19559</v>
      </c>
      <c r="G20781" t="s">
        <v>47091</v>
      </c>
      <c r="H20781" t="s">
        <v>47054</v>
      </c>
      <c r="I20781" t="s">
        <v>47569</v>
      </c>
      <c r="J20781" t="s">
        <v>47570</v>
      </c>
      <c r="K20781" t="s">
        <v>47113</v>
      </c>
      <c r="L20781">
        <v>10.57</v>
      </c>
      <c r="M20781">
        <v>22</v>
      </c>
      <c r="N20781">
        <v>0</v>
      </c>
      <c r="O20781">
        <v>22</v>
      </c>
      <c r="P20781">
        <v>0</v>
      </c>
    </row>
    <row r="20782" spans="1:16" x14ac:dyDescent="0.25">
      <c r="A20782" t="s">
        <v>43519</v>
      </c>
      <c r="B20782" t="s">
        <v>43520</v>
      </c>
      <c r="C20782" t="s">
        <v>43521</v>
      </c>
      <c r="D20782" t="str">
        <f>"1001"</f>
        <v>1001</v>
      </c>
      <c r="E20782" t="s">
        <v>43522</v>
      </c>
      <c r="F20782" t="s">
        <v>21629</v>
      </c>
      <c r="G20782" t="s">
        <v>47102</v>
      </c>
      <c r="H20782" t="s">
        <v>47054</v>
      </c>
      <c r="I20782" t="s">
        <v>47120</v>
      </c>
      <c r="J20782" t="s">
        <v>47121</v>
      </c>
      <c r="K20782" t="s">
        <v>47113</v>
      </c>
      <c r="L20782">
        <v>120.99</v>
      </c>
      <c r="M20782">
        <v>259</v>
      </c>
      <c r="N20782">
        <v>699</v>
      </c>
      <c r="O20782">
        <v>259</v>
      </c>
      <c r="P20782">
        <v>699</v>
      </c>
    </row>
    <row r="20783" spans="1:16" x14ac:dyDescent="0.25">
      <c r="A20783" t="s">
        <v>43523</v>
      </c>
      <c r="B20783" t="s">
        <v>43524</v>
      </c>
      <c r="C20783" t="s">
        <v>21643</v>
      </c>
      <c r="D20783" t="s">
        <v>21289</v>
      </c>
      <c r="E20783" t="s">
        <v>21290</v>
      </c>
      <c r="F20783" t="s">
        <v>20496</v>
      </c>
      <c r="G20783" t="s">
        <v>47093</v>
      </c>
      <c r="H20783" t="s">
        <v>47054</v>
      </c>
      <c r="I20783" t="s">
        <v>47116</v>
      </c>
      <c r="J20783" t="s">
        <v>47117</v>
      </c>
      <c r="K20783" t="s">
        <v>47113</v>
      </c>
      <c r="L20783">
        <v>71.38</v>
      </c>
      <c r="M20783">
        <v>148</v>
      </c>
      <c r="N20783">
        <v>0</v>
      </c>
      <c r="O20783">
        <v>148</v>
      </c>
      <c r="P20783">
        <v>0</v>
      </c>
    </row>
    <row r="20784" spans="1:16" x14ac:dyDescent="0.25">
      <c r="A20784" t="s">
        <v>43525</v>
      </c>
      <c r="B20784" t="s">
        <v>43526</v>
      </c>
      <c r="C20784" t="s">
        <v>21447</v>
      </c>
      <c r="D20784" t="s">
        <v>40640</v>
      </c>
      <c r="E20784" t="s">
        <v>40641</v>
      </c>
      <c r="F20784" t="s">
        <v>21627</v>
      </c>
      <c r="G20784" t="s">
        <v>47093</v>
      </c>
      <c r="H20784" t="s">
        <v>47054</v>
      </c>
      <c r="I20784" t="s">
        <v>47116</v>
      </c>
      <c r="J20784" t="s">
        <v>47117</v>
      </c>
      <c r="K20784" t="s">
        <v>47113</v>
      </c>
      <c r="L20784">
        <v>32.15</v>
      </c>
      <c r="M20784">
        <v>74</v>
      </c>
      <c r="N20784">
        <v>0</v>
      </c>
      <c r="O20784">
        <v>74</v>
      </c>
      <c r="P20784">
        <v>0</v>
      </c>
    </row>
    <row r="20785" spans="1:16" x14ac:dyDescent="0.25">
      <c r="A20785" t="s">
        <v>43527</v>
      </c>
      <c r="B20785" t="s">
        <v>43528</v>
      </c>
      <c r="C20785" t="s">
        <v>21447</v>
      </c>
      <c r="D20785" t="str">
        <f>"1700"</f>
        <v>1700</v>
      </c>
      <c r="E20785" t="s">
        <v>43529</v>
      </c>
      <c r="F20785" t="s">
        <v>21627</v>
      </c>
      <c r="G20785" t="s">
        <v>47093</v>
      </c>
      <c r="H20785" t="s">
        <v>47054</v>
      </c>
      <c r="I20785" t="s">
        <v>47120</v>
      </c>
      <c r="J20785" t="s">
        <v>47121</v>
      </c>
      <c r="K20785" t="s">
        <v>47113</v>
      </c>
      <c r="L20785">
        <v>31.58</v>
      </c>
      <c r="M20785">
        <v>74</v>
      </c>
      <c r="N20785">
        <v>0</v>
      </c>
      <c r="O20785">
        <v>74</v>
      </c>
      <c r="P20785">
        <v>0</v>
      </c>
    </row>
    <row r="20786" spans="1:16" x14ac:dyDescent="0.25">
      <c r="A20786" t="s">
        <v>43530</v>
      </c>
      <c r="B20786" t="s">
        <v>43531</v>
      </c>
      <c r="C20786" t="s">
        <v>17262</v>
      </c>
      <c r="D20786" t="str">
        <f>"1501"</f>
        <v>1501</v>
      </c>
      <c r="E20786" t="s">
        <v>46</v>
      </c>
      <c r="F20786" t="s">
        <v>24622</v>
      </c>
      <c r="G20786" t="s">
        <v>47094</v>
      </c>
      <c r="H20786" t="s">
        <v>47054</v>
      </c>
      <c r="I20786" t="s">
        <v>47118</v>
      </c>
      <c r="J20786" t="s">
        <v>47119</v>
      </c>
      <c r="K20786" t="s">
        <v>47113</v>
      </c>
      <c r="L20786">
        <v>27.06</v>
      </c>
      <c r="M20786">
        <v>74</v>
      </c>
      <c r="N20786">
        <v>199</v>
      </c>
      <c r="O20786">
        <v>74</v>
      </c>
      <c r="P20786">
        <v>199</v>
      </c>
    </row>
    <row r="20787" spans="1:16" x14ac:dyDescent="0.25">
      <c r="A20787" t="s">
        <v>43532</v>
      </c>
      <c r="B20787" t="s">
        <v>43533</v>
      </c>
      <c r="C20787" t="s">
        <v>17262</v>
      </c>
      <c r="D20787" t="str">
        <f>"1501"</f>
        <v>1501</v>
      </c>
      <c r="E20787" t="s">
        <v>46</v>
      </c>
      <c r="F20787" t="s">
        <v>21629</v>
      </c>
      <c r="G20787" t="s">
        <v>47094</v>
      </c>
      <c r="H20787" t="s">
        <v>47054</v>
      </c>
      <c r="I20787" t="s">
        <v>47118</v>
      </c>
      <c r="J20787" t="s">
        <v>47119</v>
      </c>
      <c r="K20787" t="s">
        <v>47113</v>
      </c>
      <c r="L20787">
        <v>22.86</v>
      </c>
      <c r="M20787">
        <v>55</v>
      </c>
      <c r="N20787">
        <v>0</v>
      </c>
      <c r="O20787">
        <v>55</v>
      </c>
      <c r="P20787">
        <v>0</v>
      </c>
    </row>
    <row r="20788" spans="1:16" x14ac:dyDescent="0.25">
      <c r="A20788" t="s">
        <v>43534</v>
      </c>
      <c r="B20788" t="s">
        <v>43535</v>
      </c>
      <c r="C20788" t="s">
        <v>43536</v>
      </c>
      <c r="D20788" t="str">
        <f>"3000"</f>
        <v>3000</v>
      </c>
      <c r="E20788" t="s">
        <v>21650</v>
      </c>
      <c r="F20788" t="s">
        <v>21627</v>
      </c>
      <c r="G20788" t="s">
        <v>47099</v>
      </c>
      <c r="H20788" t="s">
        <v>47054</v>
      </c>
      <c r="I20788" t="s">
        <v>47120</v>
      </c>
      <c r="J20788" t="s">
        <v>47121</v>
      </c>
      <c r="K20788" t="s">
        <v>47113</v>
      </c>
      <c r="L20788">
        <v>24.86</v>
      </c>
      <c r="M20788">
        <v>66</v>
      </c>
      <c r="N20788">
        <v>0</v>
      </c>
      <c r="O20788">
        <v>66</v>
      </c>
      <c r="P20788">
        <v>0</v>
      </c>
    </row>
    <row r="20789" spans="1:16" x14ac:dyDescent="0.25">
      <c r="A20789" t="s">
        <v>43537</v>
      </c>
      <c r="B20789" t="s">
        <v>22098</v>
      </c>
      <c r="C20789" t="s">
        <v>21870</v>
      </c>
      <c r="D20789" t="str">
        <f>"1001"</f>
        <v>1001</v>
      </c>
      <c r="E20789" t="s">
        <v>18567</v>
      </c>
      <c r="F20789" t="s">
        <v>20496</v>
      </c>
      <c r="G20789" t="s">
        <v>47093</v>
      </c>
      <c r="H20789" t="s">
        <v>47054</v>
      </c>
      <c r="I20789" t="s">
        <v>47116</v>
      </c>
      <c r="J20789" t="s">
        <v>47117</v>
      </c>
      <c r="K20789" t="s">
        <v>47113</v>
      </c>
      <c r="L20789">
        <v>47.02</v>
      </c>
      <c r="M20789">
        <v>89</v>
      </c>
      <c r="N20789">
        <v>0</v>
      </c>
      <c r="O20789">
        <v>89</v>
      </c>
      <c r="P20789">
        <v>0</v>
      </c>
    </row>
    <row r="20790" spans="1:16" x14ac:dyDescent="0.25">
      <c r="A20790" t="s">
        <v>43538</v>
      </c>
      <c r="B20790" t="s">
        <v>22099</v>
      </c>
      <c r="C20790" t="s">
        <v>21968</v>
      </c>
      <c r="D20790" t="str">
        <f>"1001"</f>
        <v>1001</v>
      </c>
      <c r="E20790" t="s">
        <v>18567</v>
      </c>
      <c r="F20790" t="s">
        <v>19559</v>
      </c>
      <c r="G20790" t="s">
        <v>47093</v>
      </c>
      <c r="H20790" t="s">
        <v>47054</v>
      </c>
      <c r="I20790" t="s">
        <v>47116</v>
      </c>
      <c r="J20790" t="s">
        <v>47117</v>
      </c>
      <c r="K20790" t="s">
        <v>47113</v>
      </c>
      <c r="L20790">
        <v>54.44</v>
      </c>
      <c r="M20790">
        <v>89</v>
      </c>
      <c r="N20790">
        <v>0</v>
      </c>
      <c r="O20790">
        <v>89</v>
      </c>
      <c r="P20790">
        <v>0</v>
      </c>
    </row>
    <row r="20791" spans="1:16" x14ac:dyDescent="0.25">
      <c r="A20791" t="s">
        <v>43539</v>
      </c>
      <c r="B20791" t="s">
        <v>43540</v>
      </c>
      <c r="C20791" t="s">
        <v>22026</v>
      </c>
      <c r="D20791" t="s">
        <v>42048</v>
      </c>
      <c r="E20791" t="s">
        <v>42049</v>
      </c>
      <c r="F20791" t="s">
        <v>19552</v>
      </c>
      <c r="G20791" t="s">
        <v>47093</v>
      </c>
      <c r="H20791" t="s">
        <v>47054</v>
      </c>
      <c r="I20791" t="s">
        <v>47120</v>
      </c>
      <c r="J20791" t="s">
        <v>47121</v>
      </c>
      <c r="K20791" t="s">
        <v>47113</v>
      </c>
      <c r="L20791">
        <v>41.25</v>
      </c>
      <c r="M20791">
        <v>92</v>
      </c>
      <c r="N20791">
        <v>0</v>
      </c>
      <c r="O20791">
        <v>92</v>
      </c>
      <c r="P20791">
        <v>0</v>
      </c>
    </row>
    <row r="20792" spans="1:16" x14ac:dyDescent="0.25">
      <c r="A20792" t="s">
        <v>43541</v>
      </c>
      <c r="B20792" t="s">
        <v>43542</v>
      </c>
      <c r="C20792" t="s">
        <v>43543</v>
      </c>
      <c r="D20792" t="str">
        <f>"4143"</f>
        <v>4143</v>
      </c>
      <c r="E20792" t="s">
        <v>261</v>
      </c>
      <c r="F20792" t="s">
        <v>24617</v>
      </c>
      <c r="G20792" t="s">
        <v>47101</v>
      </c>
      <c r="H20792" t="s">
        <v>47054</v>
      </c>
      <c r="I20792" t="s">
        <v>47118</v>
      </c>
      <c r="J20792" t="s">
        <v>47119</v>
      </c>
      <c r="K20792" t="s">
        <v>47113</v>
      </c>
      <c r="L20792">
        <v>29.38</v>
      </c>
      <c r="M20792">
        <v>63</v>
      </c>
      <c r="N20792">
        <v>169</v>
      </c>
      <c r="O20792">
        <v>63</v>
      </c>
      <c r="P20792">
        <v>169</v>
      </c>
    </row>
    <row r="20793" spans="1:16" x14ac:dyDescent="0.25">
      <c r="A20793" t="s">
        <v>43544</v>
      </c>
      <c r="B20793" t="s">
        <v>43545</v>
      </c>
      <c r="C20793" t="s">
        <v>43546</v>
      </c>
      <c r="D20793" t="str">
        <f>"4920"</f>
        <v>4920</v>
      </c>
      <c r="E20793" t="s">
        <v>43547</v>
      </c>
      <c r="F20793" t="s">
        <v>24617</v>
      </c>
      <c r="G20793" t="s">
        <v>47101</v>
      </c>
      <c r="H20793" t="s">
        <v>47054</v>
      </c>
      <c r="I20793" t="s">
        <v>47120</v>
      </c>
      <c r="J20793" t="s">
        <v>47121</v>
      </c>
      <c r="K20793" t="s">
        <v>47113</v>
      </c>
      <c r="L20793">
        <v>27.41</v>
      </c>
      <c r="M20793">
        <v>63</v>
      </c>
      <c r="N20793">
        <v>169</v>
      </c>
      <c r="O20793">
        <v>63</v>
      </c>
      <c r="P20793">
        <v>169</v>
      </c>
    </row>
    <row r="20794" spans="1:16" x14ac:dyDescent="0.25">
      <c r="A20794" t="s">
        <v>43548</v>
      </c>
      <c r="B20794" t="s">
        <v>43545</v>
      </c>
      <c r="C20794" t="s">
        <v>43546</v>
      </c>
      <c r="D20794" t="str">
        <f>"7009"</f>
        <v>7009</v>
      </c>
      <c r="E20794" t="s">
        <v>43549</v>
      </c>
      <c r="F20794" t="s">
        <v>24622</v>
      </c>
      <c r="G20794" t="s">
        <v>47101</v>
      </c>
      <c r="H20794" t="s">
        <v>47054</v>
      </c>
      <c r="I20794" t="s">
        <v>47120</v>
      </c>
      <c r="J20794" t="s">
        <v>47121</v>
      </c>
      <c r="K20794" t="s">
        <v>47113</v>
      </c>
      <c r="L20794">
        <v>27.45</v>
      </c>
      <c r="M20794">
        <v>63</v>
      </c>
      <c r="N20794">
        <v>169</v>
      </c>
      <c r="O20794">
        <v>63</v>
      </c>
      <c r="P20794">
        <v>169</v>
      </c>
    </row>
    <row r="20795" spans="1:16" x14ac:dyDescent="0.25">
      <c r="A20795" t="s">
        <v>43550</v>
      </c>
      <c r="B20795" t="s">
        <v>43551</v>
      </c>
      <c r="C20795" t="s">
        <v>43552</v>
      </c>
      <c r="D20795" t="str">
        <f>"3071"</f>
        <v>3071</v>
      </c>
      <c r="E20795" t="s">
        <v>43553</v>
      </c>
      <c r="F20795" t="s">
        <v>24617</v>
      </c>
      <c r="G20795" t="s">
        <v>47099</v>
      </c>
      <c r="H20795" t="s">
        <v>47054</v>
      </c>
      <c r="I20795" t="s">
        <v>47120</v>
      </c>
      <c r="J20795" t="s">
        <v>47121</v>
      </c>
      <c r="K20795" t="s">
        <v>47113</v>
      </c>
      <c r="L20795">
        <v>23.23</v>
      </c>
      <c r="M20795">
        <v>74</v>
      </c>
      <c r="N20795">
        <v>199</v>
      </c>
      <c r="O20795">
        <v>74</v>
      </c>
      <c r="P20795">
        <v>199</v>
      </c>
    </row>
    <row r="20796" spans="1:16" x14ac:dyDescent="0.25">
      <c r="A20796" t="s">
        <v>43554</v>
      </c>
      <c r="B20796" t="s">
        <v>43551</v>
      </c>
      <c r="C20796" t="s">
        <v>43552</v>
      </c>
      <c r="D20796" t="str">
        <f>"6500"</f>
        <v>6500</v>
      </c>
      <c r="E20796" t="s">
        <v>43555</v>
      </c>
      <c r="F20796" t="s">
        <v>24617</v>
      </c>
      <c r="G20796" t="s">
        <v>47099</v>
      </c>
      <c r="H20796" t="s">
        <v>47054</v>
      </c>
      <c r="I20796" t="s">
        <v>47120</v>
      </c>
      <c r="J20796" t="s">
        <v>47121</v>
      </c>
      <c r="K20796" t="s">
        <v>47113</v>
      </c>
      <c r="L20796">
        <v>23.23</v>
      </c>
      <c r="M20796">
        <v>74</v>
      </c>
      <c r="N20796">
        <v>199</v>
      </c>
      <c r="O20796">
        <v>74</v>
      </c>
      <c r="P20796">
        <v>199</v>
      </c>
    </row>
    <row r="20797" spans="1:16" x14ac:dyDescent="0.25">
      <c r="A20797" t="s">
        <v>43556</v>
      </c>
      <c r="B20797" t="s">
        <v>43557</v>
      </c>
      <c r="C20797" t="s">
        <v>43552</v>
      </c>
      <c r="D20797" t="str">
        <f>"3071"</f>
        <v>3071</v>
      </c>
      <c r="E20797" t="s">
        <v>42854</v>
      </c>
      <c r="F20797" t="s">
        <v>24617</v>
      </c>
      <c r="G20797" t="s">
        <v>47099</v>
      </c>
      <c r="H20797" t="s">
        <v>47054</v>
      </c>
      <c r="I20797" t="s">
        <v>47120</v>
      </c>
      <c r="J20797" t="s">
        <v>47121</v>
      </c>
      <c r="K20797" t="s">
        <v>47113</v>
      </c>
      <c r="L20797">
        <v>22.44</v>
      </c>
      <c r="M20797">
        <v>85</v>
      </c>
      <c r="N20797">
        <v>229</v>
      </c>
      <c r="O20797">
        <v>85</v>
      </c>
      <c r="P20797">
        <v>229</v>
      </c>
    </row>
    <row r="20798" spans="1:16" x14ac:dyDescent="0.25">
      <c r="A20798" t="s">
        <v>43558</v>
      </c>
      <c r="B20798" t="s">
        <v>43559</v>
      </c>
      <c r="C20798" t="s">
        <v>43560</v>
      </c>
      <c r="D20798" t="str">
        <f>"1001"</f>
        <v>1001</v>
      </c>
      <c r="E20798" t="s">
        <v>42</v>
      </c>
      <c r="F20798" t="s">
        <v>24617</v>
      </c>
      <c r="G20798" t="s">
        <v>47094</v>
      </c>
      <c r="H20798" t="s">
        <v>47054</v>
      </c>
      <c r="I20798" t="s">
        <v>47120</v>
      </c>
      <c r="J20798" t="s">
        <v>47121</v>
      </c>
      <c r="K20798" t="s">
        <v>47113</v>
      </c>
      <c r="L20798">
        <v>14.9</v>
      </c>
      <c r="M20798">
        <v>37</v>
      </c>
      <c r="N20798">
        <v>99</v>
      </c>
      <c r="O20798">
        <v>37</v>
      </c>
      <c r="P20798">
        <v>99</v>
      </c>
    </row>
    <row r="20799" spans="1:16" x14ac:dyDescent="0.25">
      <c r="A20799" t="s">
        <v>43561</v>
      </c>
      <c r="B20799" t="s">
        <v>43559</v>
      </c>
      <c r="C20799" t="s">
        <v>43560</v>
      </c>
      <c r="D20799" t="str">
        <f>"6000"</f>
        <v>6000</v>
      </c>
      <c r="E20799" t="s">
        <v>6279</v>
      </c>
      <c r="F20799" t="s">
        <v>24617</v>
      </c>
      <c r="G20799" t="s">
        <v>47094</v>
      </c>
      <c r="H20799" t="s">
        <v>47054</v>
      </c>
      <c r="I20799" t="s">
        <v>47120</v>
      </c>
      <c r="J20799" t="s">
        <v>47121</v>
      </c>
      <c r="K20799" t="s">
        <v>47113</v>
      </c>
      <c r="L20799">
        <v>14.9</v>
      </c>
      <c r="M20799">
        <v>37</v>
      </c>
      <c r="N20799">
        <v>99</v>
      </c>
      <c r="O20799">
        <v>37</v>
      </c>
      <c r="P20799">
        <v>99</v>
      </c>
    </row>
    <row r="20800" spans="1:16" x14ac:dyDescent="0.25">
      <c r="A20800" t="s">
        <v>43562</v>
      </c>
      <c r="B20800" t="s">
        <v>43563</v>
      </c>
      <c r="C20800" t="s">
        <v>43564</v>
      </c>
      <c r="D20800" t="str">
        <f>"3071"</f>
        <v>3071</v>
      </c>
      <c r="E20800" t="s">
        <v>43565</v>
      </c>
      <c r="F20800" t="s">
        <v>24617</v>
      </c>
      <c r="G20800" t="s">
        <v>47098</v>
      </c>
      <c r="H20800" t="s">
        <v>47054</v>
      </c>
      <c r="I20800" t="s">
        <v>47120</v>
      </c>
      <c r="J20800" t="s">
        <v>47121</v>
      </c>
      <c r="K20800" t="s">
        <v>47113</v>
      </c>
      <c r="L20800">
        <v>61.08</v>
      </c>
      <c r="M20800">
        <v>129</v>
      </c>
      <c r="N20800">
        <v>349</v>
      </c>
      <c r="O20800">
        <v>129</v>
      </c>
      <c r="P20800">
        <v>349</v>
      </c>
    </row>
    <row r="20801" spans="1:16" x14ac:dyDescent="0.25">
      <c r="A20801" t="s">
        <v>43566</v>
      </c>
      <c r="B20801" t="s">
        <v>43567</v>
      </c>
      <c r="C20801" t="s">
        <v>43568</v>
      </c>
      <c r="D20801" t="str">
        <f>"1700"</f>
        <v>1700</v>
      </c>
      <c r="E20801" t="s">
        <v>60</v>
      </c>
      <c r="F20801" t="s">
        <v>24622</v>
      </c>
      <c r="G20801" t="s">
        <v>47091</v>
      </c>
      <c r="H20801" t="s">
        <v>47054</v>
      </c>
      <c r="I20801" t="s">
        <v>47118</v>
      </c>
      <c r="J20801" t="s">
        <v>47119</v>
      </c>
      <c r="K20801" t="s">
        <v>47113</v>
      </c>
      <c r="L20801">
        <v>11.64</v>
      </c>
      <c r="M20801">
        <v>29</v>
      </c>
      <c r="N20801">
        <v>79</v>
      </c>
      <c r="O20801">
        <v>29</v>
      </c>
      <c r="P20801">
        <v>79</v>
      </c>
    </row>
    <row r="20802" spans="1:16" x14ac:dyDescent="0.25">
      <c r="A20802" t="s">
        <v>43569</v>
      </c>
      <c r="B20802" t="s">
        <v>43570</v>
      </c>
      <c r="C20802" t="s">
        <v>43571</v>
      </c>
      <c r="D20802" t="str">
        <f>"1700"</f>
        <v>1700</v>
      </c>
      <c r="E20802" t="s">
        <v>60</v>
      </c>
      <c r="F20802" t="s">
        <v>24617</v>
      </c>
      <c r="G20802" t="s">
        <v>47091</v>
      </c>
      <c r="H20802" t="s">
        <v>47054</v>
      </c>
      <c r="I20802" t="s">
        <v>47118</v>
      </c>
      <c r="J20802" t="s">
        <v>47119</v>
      </c>
      <c r="K20802" t="s">
        <v>47113</v>
      </c>
      <c r="L20802">
        <v>11.28</v>
      </c>
      <c r="M20802">
        <v>26</v>
      </c>
      <c r="N20802">
        <v>69</v>
      </c>
      <c r="O20802">
        <v>26</v>
      </c>
      <c r="P20802">
        <v>69</v>
      </c>
    </row>
    <row r="20803" spans="1:16" x14ac:dyDescent="0.25">
      <c r="A20803" t="s">
        <v>43572</v>
      </c>
      <c r="B20803" t="s">
        <v>43573</v>
      </c>
      <c r="C20803" t="s">
        <v>43574</v>
      </c>
      <c r="D20803" t="str">
        <f>"1700"</f>
        <v>1700</v>
      </c>
      <c r="E20803" t="s">
        <v>60</v>
      </c>
      <c r="F20803" t="s">
        <v>24622</v>
      </c>
      <c r="G20803" t="s">
        <v>47101</v>
      </c>
      <c r="H20803" t="s">
        <v>47054</v>
      </c>
      <c r="I20803" t="s">
        <v>47118</v>
      </c>
      <c r="J20803" t="s">
        <v>47119</v>
      </c>
      <c r="K20803" t="s">
        <v>47113</v>
      </c>
      <c r="L20803">
        <v>32.909999999999997</v>
      </c>
      <c r="M20803">
        <v>85</v>
      </c>
      <c r="N20803">
        <v>229</v>
      </c>
      <c r="O20803">
        <v>85</v>
      </c>
      <c r="P20803">
        <v>229</v>
      </c>
    </row>
    <row r="20804" spans="1:16" x14ac:dyDescent="0.25">
      <c r="A20804" t="s">
        <v>43575</v>
      </c>
      <c r="B20804" t="s">
        <v>43576</v>
      </c>
      <c r="C20804" t="s">
        <v>43577</v>
      </c>
      <c r="D20804" t="str">
        <f>"4143"</f>
        <v>4143</v>
      </c>
      <c r="E20804" t="s">
        <v>261</v>
      </c>
      <c r="F20804" t="s">
        <v>24622</v>
      </c>
      <c r="G20804" t="s">
        <v>47103</v>
      </c>
      <c r="H20804" t="s">
        <v>47054</v>
      </c>
      <c r="I20804" t="s">
        <v>47118</v>
      </c>
      <c r="J20804" t="s">
        <v>47119</v>
      </c>
      <c r="K20804" t="s">
        <v>47113</v>
      </c>
      <c r="L20804">
        <v>29.93</v>
      </c>
      <c r="M20804">
        <v>70</v>
      </c>
      <c r="N20804">
        <v>189</v>
      </c>
      <c r="O20804">
        <v>70</v>
      </c>
      <c r="P20804">
        <v>189</v>
      </c>
    </row>
    <row r="20805" spans="1:16" x14ac:dyDescent="0.25">
      <c r="A20805" t="s">
        <v>43578</v>
      </c>
      <c r="B20805" t="s">
        <v>43579</v>
      </c>
      <c r="C20805" t="s">
        <v>18912</v>
      </c>
      <c r="D20805" t="s">
        <v>43347</v>
      </c>
      <c r="E20805" t="s">
        <v>43348</v>
      </c>
      <c r="F20805" t="s">
        <v>24627</v>
      </c>
      <c r="G20805" t="s">
        <v>47093</v>
      </c>
      <c r="H20805" t="s">
        <v>47054</v>
      </c>
      <c r="I20805" t="s">
        <v>47120</v>
      </c>
      <c r="J20805" t="s">
        <v>47121</v>
      </c>
      <c r="K20805" t="s">
        <v>47113</v>
      </c>
      <c r="L20805">
        <v>32.15</v>
      </c>
      <c r="M20805">
        <v>85</v>
      </c>
      <c r="N20805">
        <v>229</v>
      </c>
      <c r="O20805">
        <v>85</v>
      </c>
      <c r="P20805">
        <v>229</v>
      </c>
    </row>
    <row r="20806" spans="1:16" x14ac:dyDescent="0.25">
      <c r="A20806" t="s">
        <v>43580</v>
      </c>
      <c r="B20806" t="s">
        <v>43581</v>
      </c>
      <c r="C20806" t="s">
        <v>21775</v>
      </c>
      <c r="D20806" t="s">
        <v>41961</v>
      </c>
      <c r="E20806" t="s">
        <v>41962</v>
      </c>
      <c r="F20806" t="s">
        <v>24617</v>
      </c>
      <c r="G20806" t="s">
        <v>47093</v>
      </c>
      <c r="H20806" t="s">
        <v>47054</v>
      </c>
      <c r="I20806" t="s">
        <v>47120</v>
      </c>
      <c r="J20806" t="s">
        <v>47121</v>
      </c>
      <c r="K20806" t="s">
        <v>47113</v>
      </c>
      <c r="L20806">
        <v>36.56</v>
      </c>
      <c r="M20806">
        <v>111</v>
      </c>
      <c r="N20806">
        <v>299</v>
      </c>
      <c r="O20806">
        <v>111</v>
      </c>
      <c r="P20806">
        <v>299</v>
      </c>
    </row>
    <row r="20807" spans="1:16" x14ac:dyDescent="0.25">
      <c r="A20807" t="s">
        <v>43582</v>
      </c>
      <c r="B20807" t="s">
        <v>43583</v>
      </c>
      <c r="C20807" t="s">
        <v>18912</v>
      </c>
      <c r="D20807" t="s">
        <v>43320</v>
      </c>
      <c r="E20807" t="s">
        <v>43321</v>
      </c>
      <c r="F20807" t="s">
        <v>24622</v>
      </c>
      <c r="G20807" t="s">
        <v>47093</v>
      </c>
      <c r="H20807" t="s">
        <v>47054</v>
      </c>
      <c r="I20807" t="s">
        <v>47544</v>
      </c>
      <c r="J20807" t="s">
        <v>47545</v>
      </c>
      <c r="K20807" t="s">
        <v>47113</v>
      </c>
      <c r="L20807">
        <v>32.01</v>
      </c>
      <c r="M20807">
        <v>85</v>
      </c>
      <c r="N20807">
        <v>229</v>
      </c>
      <c r="O20807">
        <v>85</v>
      </c>
      <c r="P20807">
        <v>229</v>
      </c>
    </row>
    <row r="20808" spans="1:16" x14ac:dyDescent="0.25">
      <c r="A20808" t="s">
        <v>43584</v>
      </c>
      <c r="B20808" t="s">
        <v>43585</v>
      </c>
      <c r="C20808" t="s">
        <v>43586</v>
      </c>
      <c r="D20808" t="s">
        <v>42247</v>
      </c>
      <c r="E20808" t="s">
        <v>42248</v>
      </c>
      <c r="F20808" t="s">
        <v>24617</v>
      </c>
      <c r="G20808" t="s">
        <v>47093</v>
      </c>
      <c r="H20808" t="s">
        <v>47054</v>
      </c>
      <c r="I20808" t="s">
        <v>47544</v>
      </c>
      <c r="J20808" t="s">
        <v>47545</v>
      </c>
      <c r="K20808" t="s">
        <v>47113</v>
      </c>
      <c r="L20808">
        <v>35.61</v>
      </c>
      <c r="M20808">
        <v>85</v>
      </c>
      <c r="N20808">
        <v>229</v>
      </c>
      <c r="O20808">
        <v>85</v>
      </c>
      <c r="P20808">
        <v>229</v>
      </c>
    </row>
    <row r="20809" spans="1:16" x14ac:dyDescent="0.25">
      <c r="A20809" t="s">
        <v>43587</v>
      </c>
      <c r="B20809" t="s">
        <v>43588</v>
      </c>
      <c r="C20809" t="s">
        <v>43589</v>
      </c>
      <c r="D20809" t="s">
        <v>43590</v>
      </c>
      <c r="E20809" t="s">
        <v>43591</v>
      </c>
      <c r="F20809" t="s">
        <v>24617</v>
      </c>
      <c r="G20809" t="s">
        <v>47093</v>
      </c>
      <c r="H20809" t="s">
        <v>47054</v>
      </c>
      <c r="I20809" t="s">
        <v>47544</v>
      </c>
      <c r="J20809" t="s">
        <v>47545</v>
      </c>
      <c r="K20809" t="s">
        <v>47113</v>
      </c>
      <c r="L20809">
        <v>28.57</v>
      </c>
      <c r="M20809">
        <v>85</v>
      </c>
      <c r="N20809">
        <v>229</v>
      </c>
      <c r="O20809">
        <v>85</v>
      </c>
      <c r="P20809">
        <v>229</v>
      </c>
    </row>
    <row r="20810" spans="1:16" x14ac:dyDescent="0.25">
      <c r="A20810" t="s">
        <v>43592</v>
      </c>
      <c r="B20810" t="s">
        <v>43593</v>
      </c>
      <c r="C20810" t="s">
        <v>43589</v>
      </c>
      <c r="D20810" t="s">
        <v>43594</v>
      </c>
      <c r="E20810" t="s">
        <v>43595</v>
      </c>
      <c r="F20810" t="s">
        <v>24617</v>
      </c>
      <c r="G20810" t="s">
        <v>47093</v>
      </c>
      <c r="H20810" t="s">
        <v>47054</v>
      </c>
      <c r="I20810" t="s">
        <v>47544</v>
      </c>
      <c r="J20810" t="s">
        <v>47545</v>
      </c>
      <c r="K20810" t="s">
        <v>47113</v>
      </c>
      <c r="L20810">
        <v>37.75</v>
      </c>
      <c r="M20810">
        <v>85</v>
      </c>
      <c r="N20810">
        <v>229</v>
      </c>
      <c r="O20810">
        <v>85</v>
      </c>
      <c r="P20810">
        <v>229</v>
      </c>
    </row>
    <row r="20811" spans="1:16" x14ac:dyDescent="0.25">
      <c r="A20811" t="s">
        <v>43596</v>
      </c>
      <c r="B20811" t="s">
        <v>43597</v>
      </c>
      <c r="C20811" t="s">
        <v>43598</v>
      </c>
      <c r="D20811" t="s">
        <v>43594</v>
      </c>
      <c r="E20811" t="s">
        <v>43595</v>
      </c>
      <c r="F20811" t="s">
        <v>24617</v>
      </c>
      <c r="G20811" t="s">
        <v>49029</v>
      </c>
      <c r="H20811" t="s">
        <v>47054</v>
      </c>
      <c r="I20811" t="s">
        <v>47544</v>
      </c>
      <c r="J20811" t="s">
        <v>47545</v>
      </c>
      <c r="K20811" t="s">
        <v>47113</v>
      </c>
      <c r="L20811">
        <v>32.33</v>
      </c>
      <c r="M20811">
        <v>70</v>
      </c>
      <c r="N20811">
        <v>189</v>
      </c>
      <c r="O20811">
        <v>70</v>
      </c>
      <c r="P20811">
        <v>189</v>
      </c>
    </row>
    <row r="20812" spans="1:16" x14ac:dyDescent="0.25">
      <c r="A20812" t="s">
        <v>43599</v>
      </c>
      <c r="B20812" t="s">
        <v>43600</v>
      </c>
      <c r="C20812" t="s">
        <v>43601</v>
      </c>
      <c r="D20812" t="str">
        <f>"4143"</f>
        <v>4143</v>
      </c>
      <c r="E20812" t="s">
        <v>261</v>
      </c>
      <c r="F20812" t="s">
        <v>24627</v>
      </c>
      <c r="G20812" t="s">
        <v>47103</v>
      </c>
      <c r="H20812" t="s">
        <v>47054</v>
      </c>
      <c r="I20812" t="s">
        <v>47120</v>
      </c>
      <c r="J20812" t="s">
        <v>47121</v>
      </c>
      <c r="K20812" t="s">
        <v>47113</v>
      </c>
      <c r="L20812">
        <v>29.4</v>
      </c>
      <c r="M20812">
        <v>92</v>
      </c>
      <c r="N20812">
        <v>249</v>
      </c>
      <c r="O20812">
        <v>92</v>
      </c>
      <c r="P20812">
        <v>249</v>
      </c>
    </row>
    <row r="20813" spans="1:16" x14ac:dyDescent="0.25">
      <c r="A20813" t="s">
        <v>43602</v>
      </c>
      <c r="B20813" t="s">
        <v>43603</v>
      </c>
      <c r="C20813" t="s">
        <v>43604</v>
      </c>
      <c r="D20813" t="str">
        <f>"1703"</f>
        <v>1703</v>
      </c>
      <c r="E20813" t="s">
        <v>13895</v>
      </c>
      <c r="F20813" t="s">
        <v>24627</v>
      </c>
      <c r="G20813" t="s">
        <v>47101</v>
      </c>
      <c r="H20813" t="s">
        <v>47054</v>
      </c>
      <c r="I20813" t="s">
        <v>47118</v>
      </c>
      <c r="J20813" t="s">
        <v>47119</v>
      </c>
      <c r="K20813" t="s">
        <v>47113</v>
      </c>
      <c r="L20813">
        <v>19.940000000000001</v>
      </c>
      <c r="M20813">
        <v>48</v>
      </c>
      <c r="N20813">
        <v>129</v>
      </c>
      <c r="O20813">
        <v>48</v>
      </c>
      <c r="P20813">
        <v>129</v>
      </c>
    </row>
    <row r="20814" spans="1:16" x14ac:dyDescent="0.25">
      <c r="A20814" t="s">
        <v>43605</v>
      </c>
      <c r="B20814" t="s">
        <v>43606</v>
      </c>
      <c r="C20814" t="s">
        <v>43607</v>
      </c>
      <c r="D20814" t="str">
        <f>"4143"</f>
        <v>4143</v>
      </c>
      <c r="E20814" t="s">
        <v>261</v>
      </c>
      <c r="F20814" t="s">
        <v>24627</v>
      </c>
      <c r="G20814" t="s">
        <v>47094</v>
      </c>
      <c r="H20814" t="s">
        <v>47054</v>
      </c>
      <c r="I20814" t="s">
        <v>47120</v>
      </c>
      <c r="J20814" t="s">
        <v>47121</v>
      </c>
      <c r="K20814" t="s">
        <v>47113</v>
      </c>
      <c r="L20814">
        <v>27.2</v>
      </c>
      <c r="M20814">
        <v>70</v>
      </c>
      <c r="N20814">
        <v>189</v>
      </c>
      <c r="O20814">
        <v>70</v>
      </c>
      <c r="P20814">
        <v>189</v>
      </c>
    </row>
    <row r="20815" spans="1:16" x14ac:dyDescent="0.25">
      <c r="A20815" t="s">
        <v>49752</v>
      </c>
      <c r="B20815" t="s">
        <v>49753</v>
      </c>
      <c r="C20815" t="s">
        <v>49754</v>
      </c>
      <c r="D20815" t="str">
        <f>"1001"</f>
        <v>1001</v>
      </c>
      <c r="E20815" t="s">
        <v>42</v>
      </c>
      <c r="F20815" t="s">
        <v>47488</v>
      </c>
      <c r="G20815" t="s">
        <v>47094</v>
      </c>
      <c r="H20815" t="s">
        <v>47054</v>
      </c>
      <c r="I20815" t="s">
        <v>47118</v>
      </c>
      <c r="J20815" t="s">
        <v>47119</v>
      </c>
      <c r="K20815" t="s">
        <v>47113</v>
      </c>
      <c r="L20815">
        <v>31.35</v>
      </c>
      <c r="M20815">
        <v>70</v>
      </c>
      <c r="N20815">
        <v>189</v>
      </c>
      <c r="O20815">
        <v>70</v>
      </c>
      <c r="P20815">
        <v>189</v>
      </c>
    </row>
    <row r="20816" spans="1:16" x14ac:dyDescent="0.25">
      <c r="A20816" t="s">
        <v>49755</v>
      </c>
      <c r="B20816" t="s">
        <v>49753</v>
      </c>
      <c r="C20816" t="s">
        <v>49754</v>
      </c>
      <c r="D20816" t="str">
        <f>"9614"</f>
        <v>9614</v>
      </c>
      <c r="E20816" t="s">
        <v>2314</v>
      </c>
      <c r="F20816" t="s">
        <v>47488</v>
      </c>
      <c r="G20816" t="s">
        <v>47094</v>
      </c>
      <c r="H20816" t="s">
        <v>47054</v>
      </c>
      <c r="I20816" t="s">
        <v>47118</v>
      </c>
      <c r="J20816" t="s">
        <v>47119</v>
      </c>
      <c r="K20816" t="s">
        <v>47113</v>
      </c>
      <c r="L20816">
        <v>31.35</v>
      </c>
      <c r="M20816">
        <v>74</v>
      </c>
      <c r="N20816">
        <v>199</v>
      </c>
      <c r="O20816">
        <v>74</v>
      </c>
      <c r="P20816">
        <v>199</v>
      </c>
    </row>
    <row r="20817" spans="1:16" x14ac:dyDescent="0.25">
      <c r="A20817" t="s">
        <v>43608</v>
      </c>
      <c r="B20817" t="s">
        <v>43609</v>
      </c>
      <c r="C20817" t="s">
        <v>43610</v>
      </c>
      <c r="D20817" t="str">
        <f>"4143"</f>
        <v>4143</v>
      </c>
      <c r="E20817" t="s">
        <v>261</v>
      </c>
      <c r="F20817" t="s">
        <v>24627</v>
      </c>
      <c r="G20817" t="s">
        <v>47095</v>
      </c>
      <c r="H20817" t="s">
        <v>47054</v>
      </c>
      <c r="I20817" t="s">
        <v>47120</v>
      </c>
      <c r="J20817" t="s">
        <v>47121</v>
      </c>
      <c r="K20817" t="s">
        <v>47113</v>
      </c>
      <c r="L20817">
        <v>28.03</v>
      </c>
      <c r="M20817">
        <v>63</v>
      </c>
      <c r="N20817">
        <v>169</v>
      </c>
      <c r="O20817">
        <v>63</v>
      </c>
      <c r="P20817">
        <v>169</v>
      </c>
    </row>
    <row r="20818" spans="1:16" x14ac:dyDescent="0.25">
      <c r="A20818" t="s">
        <v>43611</v>
      </c>
      <c r="B20818" t="s">
        <v>43612</v>
      </c>
      <c r="C20818" t="s">
        <v>43613</v>
      </c>
      <c r="D20818" t="str">
        <f>"4143"</f>
        <v>4143</v>
      </c>
      <c r="E20818" t="s">
        <v>261</v>
      </c>
      <c r="F20818" t="s">
        <v>24627</v>
      </c>
      <c r="G20818" t="s">
        <v>47094</v>
      </c>
      <c r="H20818" t="s">
        <v>47054</v>
      </c>
      <c r="I20818" t="s">
        <v>47120</v>
      </c>
      <c r="J20818" t="s">
        <v>47121</v>
      </c>
      <c r="K20818" t="s">
        <v>47113</v>
      </c>
      <c r="L20818">
        <v>24.29</v>
      </c>
      <c r="M20818">
        <v>48</v>
      </c>
      <c r="N20818">
        <v>129</v>
      </c>
      <c r="O20818">
        <v>48</v>
      </c>
      <c r="P20818">
        <v>129</v>
      </c>
    </row>
    <row r="20819" spans="1:16" x14ac:dyDescent="0.25">
      <c r="A20819" t="s">
        <v>43614</v>
      </c>
      <c r="B20819" t="s">
        <v>43615</v>
      </c>
      <c r="C20819" t="s">
        <v>43616</v>
      </c>
      <c r="D20819" t="s">
        <v>43590</v>
      </c>
      <c r="E20819" t="s">
        <v>43591</v>
      </c>
      <c r="F20819" t="s">
        <v>24617</v>
      </c>
      <c r="G20819" t="s">
        <v>47093</v>
      </c>
      <c r="H20819" t="s">
        <v>47054</v>
      </c>
      <c r="I20819" t="s">
        <v>47544</v>
      </c>
      <c r="J20819" t="s">
        <v>47545</v>
      </c>
      <c r="K20819" t="s">
        <v>47113</v>
      </c>
      <c r="L20819">
        <v>37.75</v>
      </c>
      <c r="M20819">
        <v>92</v>
      </c>
      <c r="N20819">
        <v>249</v>
      </c>
      <c r="O20819">
        <v>92</v>
      </c>
      <c r="P20819">
        <v>249</v>
      </c>
    </row>
    <row r="20820" spans="1:16" x14ac:dyDescent="0.25">
      <c r="A20820" t="s">
        <v>43617</v>
      </c>
      <c r="B20820" t="s">
        <v>43618</v>
      </c>
      <c r="C20820" t="s">
        <v>11319</v>
      </c>
      <c r="D20820" t="s">
        <v>43619</v>
      </c>
      <c r="E20820" t="s">
        <v>43620</v>
      </c>
      <c r="F20820" t="s">
        <v>24617</v>
      </c>
      <c r="G20820" t="s">
        <v>47093</v>
      </c>
      <c r="H20820" t="s">
        <v>47054</v>
      </c>
      <c r="I20820" t="s">
        <v>47544</v>
      </c>
      <c r="J20820" t="s">
        <v>47545</v>
      </c>
      <c r="K20820" t="s">
        <v>47113</v>
      </c>
      <c r="L20820">
        <v>40.03</v>
      </c>
      <c r="M20820">
        <v>103</v>
      </c>
      <c r="N20820">
        <v>279</v>
      </c>
      <c r="O20820">
        <v>103</v>
      </c>
      <c r="P20820">
        <v>279</v>
      </c>
    </row>
    <row r="20821" spans="1:16" x14ac:dyDescent="0.25">
      <c r="A20821" t="s">
        <v>43621</v>
      </c>
      <c r="B20821" t="s">
        <v>43622</v>
      </c>
      <c r="C20821" t="s">
        <v>11319</v>
      </c>
      <c r="D20821" t="s">
        <v>43623</v>
      </c>
      <c r="E20821" t="s">
        <v>43624</v>
      </c>
      <c r="F20821" t="s">
        <v>24617</v>
      </c>
      <c r="G20821" t="s">
        <v>47093</v>
      </c>
      <c r="H20821" t="s">
        <v>47054</v>
      </c>
      <c r="I20821" t="s">
        <v>47544</v>
      </c>
      <c r="J20821" t="s">
        <v>47545</v>
      </c>
      <c r="K20821" t="s">
        <v>47113</v>
      </c>
      <c r="L20821">
        <v>47.49</v>
      </c>
      <c r="M20821">
        <v>103</v>
      </c>
      <c r="N20821">
        <v>279</v>
      </c>
      <c r="O20821">
        <v>103</v>
      </c>
      <c r="P20821">
        <v>279</v>
      </c>
    </row>
    <row r="20822" spans="1:16" x14ac:dyDescent="0.25">
      <c r="A20822" t="s">
        <v>43625</v>
      </c>
      <c r="B20822" t="s">
        <v>43626</v>
      </c>
      <c r="C20822" t="s">
        <v>43627</v>
      </c>
      <c r="D20822" t="s">
        <v>40634</v>
      </c>
      <c r="E20822" t="s">
        <v>40635</v>
      </c>
      <c r="F20822" t="s">
        <v>24622</v>
      </c>
      <c r="G20822" t="s">
        <v>47093</v>
      </c>
      <c r="H20822" t="s">
        <v>47054</v>
      </c>
      <c r="I20822" t="s">
        <v>47544</v>
      </c>
      <c r="J20822" t="s">
        <v>47545</v>
      </c>
      <c r="K20822" t="s">
        <v>47113</v>
      </c>
      <c r="L20822">
        <v>39.32</v>
      </c>
      <c r="M20822">
        <v>111</v>
      </c>
      <c r="N20822">
        <v>299</v>
      </c>
      <c r="O20822">
        <v>111</v>
      </c>
      <c r="P20822">
        <v>299</v>
      </c>
    </row>
    <row r="20823" spans="1:16" x14ac:dyDescent="0.25">
      <c r="A20823" t="s">
        <v>43628</v>
      </c>
      <c r="B20823" t="s">
        <v>43629</v>
      </c>
      <c r="C20823" t="s">
        <v>43630</v>
      </c>
      <c r="D20823" t="s">
        <v>43327</v>
      </c>
      <c r="E20823" t="s">
        <v>43328</v>
      </c>
      <c r="F20823" t="s">
        <v>24627</v>
      </c>
      <c r="G20823" t="s">
        <v>49029</v>
      </c>
      <c r="H20823" t="s">
        <v>47054</v>
      </c>
      <c r="I20823" t="s">
        <v>47544</v>
      </c>
      <c r="J20823" t="s">
        <v>47545</v>
      </c>
      <c r="K20823" t="s">
        <v>47113</v>
      </c>
      <c r="L20823">
        <v>26.27</v>
      </c>
      <c r="M20823">
        <v>70</v>
      </c>
      <c r="N20823">
        <v>189</v>
      </c>
      <c r="O20823">
        <v>70</v>
      </c>
      <c r="P20823">
        <v>189</v>
      </c>
    </row>
    <row r="20824" spans="1:16" x14ac:dyDescent="0.25">
      <c r="A20824" t="s">
        <v>43631</v>
      </c>
      <c r="B20824" t="s">
        <v>43632</v>
      </c>
      <c r="C20824" t="s">
        <v>10614</v>
      </c>
      <c r="D20824" t="s">
        <v>43320</v>
      </c>
      <c r="E20824" t="s">
        <v>43321</v>
      </c>
      <c r="F20824" t="s">
        <v>24622</v>
      </c>
      <c r="G20824" t="s">
        <v>47093</v>
      </c>
      <c r="H20824" t="s">
        <v>47054</v>
      </c>
      <c r="I20824" t="s">
        <v>47544</v>
      </c>
      <c r="J20824" t="s">
        <v>47545</v>
      </c>
      <c r="K20824" t="s">
        <v>47113</v>
      </c>
      <c r="L20824">
        <v>28.57</v>
      </c>
      <c r="M20824">
        <v>74</v>
      </c>
      <c r="N20824">
        <v>199</v>
      </c>
      <c r="O20824">
        <v>74</v>
      </c>
      <c r="P20824">
        <v>199</v>
      </c>
    </row>
    <row r="20825" spans="1:16" x14ac:dyDescent="0.25">
      <c r="A20825" t="s">
        <v>43633</v>
      </c>
      <c r="B20825" t="s">
        <v>43634</v>
      </c>
      <c r="C20825" t="s">
        <v>43635</v>
      </c>
      <c r="D20825" t="s">
        <v>43331</v>
      </c>
      <c r="E20825" t="s">
        <v>43332</v>
      </c>
      <c r="F20825" t="s">
        <v>24622</v>
      </c>
      <c r="G20825" t="s">
        <v>47093</v>
      </c>
      <c r="H20825" t="s">
        <v>47054</v>
      </c>
      <c r="I20825" t="s">
        <v>47120</v>
      </c>
      <c r="J20825" t="s">
        <v>47121</v>
      </c>
      <c r="K20825" t="s">
        <v>47113</v>
      </c>
      <c r="L20825">
        <v>31.18</v>
      </c>
      <c r="M20825">
        <v>111</v>
      </c>
      <c r="N20825">
        <v>299</v>
      </c>
      <c r="O20825">
        <v>111</v>
      </c>
      <c r="P20825">
        <v>299</v>
      </c>
    </row>
    <row r="20826" spans="1:16" x14ac:dyDescent="0.25">
      <c r="A20826" t="s">
        <v>43636</v>
      </c>
      <c r="B20826" t="s">
        <v>43637</v>
      </c>
      <c r="C20826" t="s">
        <v>43635</v>
      </c>
      <c r="D20826" t="s">
        <v>41945</v>
      </c>
      <c r="E20826" t="s">
        <v>41946</v>
      </c>
      <c r="F20826" t="s">
        <v>24617</v>
      </c>
      <c r="G20826" t="s">
        <v>47093</v>
      </c>
      <c r="H20826" t="s">
        <v>47054</v>
      </c>
      <c r="I20826" t="s">
        <v>47120</v>
      </c>
      <c r="J20826" t="s">
        <v>47121</v>
      </c>
      <c r="K20826" t="s">
        <v>47113</v>
      </c>
      <c r="L20826">
        <v>33.81</v>
      </c>
      <c r="M20826">
        <v>111</v>
      </c>
      <c r="N20826">
        <v>299</v>
      </c>
      <c r="O20826">
        <v>111</v>
      </c>
      <c r="P20826">
        <v>299</v>
      </c>
    </row>
    <row r="20827" spans="1:16" x14ac:dyDescent="0.25">
      <c r="A20827" t="s">
        <v>43638</v>
      </c>
      <c r="B20827" t="s">
        <v>43637</v>
      </c>
      <c r="C20827" t="s">
        <v>43635</v>
      </c>
      <c r="D20827" t="s">
        <v>43331</v>
      </c>
      <c r="E20827" t="s">
        <v>43332</v>
      </c>
      <c r="F20827" t="s">
        <v>24617</v>
      </c>
      <c r="G20827" t="s">
        <v>47093</v>
      </c>
      <c r="H20827" t="s">
        <v>47054</v>
      </c>
      <c r="I20827" t="s">
        <v>47120</v>
      </c>
      <c r="J20827" t="s">
        <v>47121</v>
      </c>
      <c r="K20827" t="s">
        <v>47113</v>
      </c>
      <c r="L20827">
        <v>36.11</v>
      </c>
      <c r="M20827">
        <v>111</v>
      </c>
      <c r="N20827">
        <v>299</v>
      </c>
      <c r="O20827">
        <v>111</v>
      </c>
      <c r="P20827">
        <v>299</v>
      </c>
    </row>
    <row r="20828" spans="1:16" x14ac:dyDescent="0.25">
      <c r="A20828" t="s">
        <v>43639</v>
      </c>
      <c r="B20828" t="s">
        <v>43640</v>
      </c>
      <c r="C20828" t="s">
        <v>21692</v>
      </c>
      <c r="D20828" t="s">
        <v>43320</v>
      </c>
      <c r="E20828" t="s">
        <v>43321</v>
      </c>
      <c r="F20828" t="s">
        <v>24622</v>
      </c>
      <c r="G20828" t="s">
        <v>47093</v>
      </c>
      <c r="H20828" t="s">
        <v>47054</v>
      </c>
      <c r="I20828" t="s">
        <v>47544</v>
      </c>
      <c r="J20828" t="s">
        <v>47545</v>
      </c>
      <c r="K20828" t="s">
        <v>47113</v>
      </c>
      <c r="L20828">
        <v>30.58</v>
      </c>
      <c r="M20828">
        <v>74</v>
      </c>
      <c r="N20828">
        <v>199</v>
      </c>
      <c r="O20828">
        <v>74</v>
      </c>
      <c r="P20828">
        <v>199</v>
      </c>
    </row>
    <row r="20829" spans="1:16" x14ac:dyDescent="0.25">
      <c r="A20829" t="s">
        <v>43641</v>
      </c>
      <c r="B20829" t="s">
        <v>43642</v>
      </c>
      <c r="C20829" t="s">
        <v>42102</v>
      </c>
      <c r="D20829" t="s">
        <v>43486</v>
      </c>
      <c r="E20829" t="s">
        <v>43487</v>
      </c>
      <c r="F20829" t="s">
        <v>24622</v>
      </c>
      <c r="G20829" t="s">
        <v>47093</v>
      </c>
      <c r="H20829" t="s">
        <v>47054</v>
      </c>
      <c r="I20829" t="s">
        <v>47120</v>
      </c>
      <c r="J20829" t="s">
        <v>47121</v>
      </c>
      <c r="K20829" t="s">
        <v>47113</v>
      </c>
      <c r="L20829">
        <v>29.75</v>
      </c>
      <c r="M20829">
        <v>111</v>
      </c>
      <c r="N20829">
        <v>299</v>
      </c>
      <c r="O20829">
        <v>111</v>
      </c>
      <c r="P20829">
        <v>299</v>
      </c>
    </row>
    <row r="20830" spans="1:16" x14ac:dyDescent="0.25">
      <c r="A20830" t="s">
        <v>43643</v>
      </c>
      <c r="B20830" t="s">
        <v>43644</v>
      </c>
      <c r="C20830" t="s">
        <v>18980</v>
      </c>
      <c r="D20830" t="s">
        <v>43347</v>
      </c>
      <c r="E20830" t="s">
        <v>43348</v>
      </c>
      <c r="F20830" t="s">
        <v>24627</v>
      </c>
      <c r="G20830" t="s">
        <v>49029</v>
      </c>
      <c r="H20830" t="s">
        <v>47054</v>
      </c>
      <c r="I20830" t="s">
        <v>47120</v>
      </c>
      <c r="J20830" t="s">
        <v>47121</v>
      </c>
      <c r="K20830" t="s">
        <v>47113</v>
      </c>
      <c r="L20830">
        <v>28.69</v>
      </c>
      <c r="M20830">
        <v>70</v>
      </c>
      <c r="N20830">
        <v>189</v>
      </c>
      <c r="O20830">
        <v>70</v>
      </c>
      <c r="P20830">
        <v>189</v>
      </c>
    </row>
    <row r="20831" spans="1:16" x14ac:dyDescent="0.25">
      <c r="A20831" t="s">
        <v>43645</v>
      </c>
      <c r="B20831" t="s">
        <v>43646</v>
      </c>
      <c r="C20831" t="s">
        <v>19153</v>
      </c>
      <c r="D20831" t="s">
        <v>43647</v>
      </c>
      <c r="E20831" t="s">
        <v>43648</v>
      </c>
      <c r="F20831" t="s">
        <v>24627</v>
      </c>
      <c r="G20831" t="s">
        <v>49030</v>
      </c>
      <c r="H20831" t="s">
        <v>47054</v>
      </c>
      <c r="I20831" t="s">
        <v>47544</v>
      </c>
      <c r="J20831" t="s">
        <v>47545</v>
      </c>
      <c r="K20831" t="s">
        <v>47113</v>
      </c>
      <c r="L20831">
        <v>27.87</v>
      </c>
      <c r="M20831">
        <v>70</v>
      </c>
      <c r="N20831">
        <v>189</v>
      </c>
      <c r="O20831">
        <v>70</v>
      </c>
      <c r="P20831">
        <v>189</v>
      </c>
    </row>
    <row r="20832" spans="1:16" x14ac:dyDescent="0.25">
      <c r="A20832" t="s">
        <v>43649</v>
      </c>
      <c r="B20832" t="s">
        <v>43650</v>
      </c>
      <c r="C20832" t="s">
        <v>22062</v>
      </c>
      <c r="D20832" t="str">
        <f>"6500"</f>
        <v>6500</v>
      </c>
      <c r="E20832" t="s">
        <v>43651</v>
      </c>
      <c r="F20832" t="s">
        <v>24627</v>
      </c>
      <c r="G20832" t="s">
        <v>47099</v>
      </c>
      <c r="H20832" t="s">
        <v>47054</v>
      </c>
      <c r="I20832" t="s">
        <v>47120</v>
      </c>
      <c r="J20832" t="s">
        <v>47121</v>
      </c>
      <c r="K20832" t="s">
        <v>47113</v>
      </c>
      <c r="L20832">
        <v>33.630000000000003</v>
      </c>
      <c r="M20832">
        <v>74</v>
      </c>
      <c r="N20832">
        <v>199</v>
      </c>
      <c r="O20832">
        <v>74</v>
      </c>
      <c r="P20832">
        <v>199</v>
      </c>
    </row>
    <row r="20833" spans="1:16" x14ac:dyDescent="0.25">
      <c r="A20833" t="s">
        <v>43652</v>
      </c>
      <c r="B20833" t="s">
        <v>43650</v>
      </c>
      <c r="C20833" t="s">
        <v>22062</v>
      </c>
      <c r="D20833" t="str">
        <f>"7000"</f>
        <v>7000</v>
      </c>
      <c r="E20833" t="s">
        <v>43653</v>
      </c>
      <c r="F20833" t="s">
        <v>24627</v>
      </c>
      <c r="G20833" t="s">
        <v>47099</v>
      </c>
      <c r="H20833" t="s">
        <v>47054</v>
      </c>
      <c r="I20833" t="s">
        <v>47120</v>
      </c>
      <c r="J20833" t="s">
        <v>47121</v>
      </c>
      <c r="K20833" t="s">
        <v>47113</v>
      </c>
      <c r="L20833">
        <v>34.75</v>
      </c>
      <c r="M20833">
        <v>74</v>
      </c>
      <c r="N20833">
        <v>199</v>
      </c>
      <c r="O20833">
        <v>74</v>
      </c>
      <c r="P20833">
        <v>199</v>
      </c>
    </row>
    <row r="20834" spans="1:16" x14ac:dyDescent="0.25">
      <c r="A20834" t="s">
        <v>43654</v>
      </c>
      <c r="B20834" t="s">
        <v>43655</v>
      </c>
      <c r="C20834" t="s">
        <v>43326</v>
      </c>
      <c r="D20834" t="s">
        <v>43656</v>
      </c>
      <c r="E20834" t="s">
        <v>43657</v>
      </c>
      <c r="F20834" t="s">
        <v>24617</v>
      </c>
      <c r="G20834" t="s">
        <v>47093</v>
      </c>
      <c r="H20834" t="s">
        <v>47054</v>
      </c>
      <c r="I20834" t="s">
        <v>47544</v>
      </c>
      <c r="J20834" t="s">
        <v>47545</v>
      </c>
      <c r="K20834" t="s">
        <v>47113</v>
      </c>
      <c r="L20834">
        <v>26.85</v>
      </c>
      <c r="M20834">
        <v>74</v>
      </c>
      <c r="N20834">
        <v>199</v>
      </c>
      <c r="O20834">
        <v>74</v>
      </c>
      <c r="P20834">
        <v>199</v>
      </c>
    </row>
    <row r="20835" spans="1:16" x14ac:dyDescent="0.25">
      <c r="A20835" t="s">
        <v>43658</v>
      </c>
      <c r="B20835" t="s">
        <v>43659</v>
      </c>
      <c r="C20835" t="s">
        <v>43319</v>
      </c>
      <c r="D20835" t="s">
        <v>43656</v>
      </c>
      <c r="E20835" t="s">
        <v>43657</v>
      </c>
      <c r="F20835" t="s">
        <v>24617</v>
      </c>
      <c r="G20835" t="s">
        <v>47093</v>
      </c>
      <c r="H20835" t="s">
        <v>47054</v>
      </c>
      <c r="I20835" t="s">
        <v>47544</v>
      </c>
      <c r="J20835" t="s">
        <v>47545</v>
      </c>
      <c r="K20835" t="s">
        <v>47113</v>
      </c>
      <c r="L20835">
        <v>24.56</v>
      </c>
      <c r="M20835">
        <v>55</v>
      </c>
      <c r="N20835">
        <v>149</v>
      </c>
      <c r="O20835">
        <v>55</v>
      </c>
      <c r="P20835">
        <v>149</v>
      </c>
    </row>
    <row r="20836" spans="1:16" x14ac:dyDescent="0.25">
      <c r="A20836" t="s">
        <v>43660</v>
      </c>
      <c r="B20836" t="s">
        <v>43661</v>
      </c>
      <c r="C20836" t="s">
        <v>43662</v>
      </c>
      <c r="D20836" t="s">
        <v>42251</v>
      </c>
      <c r="E20836" t="s">
        <v>42252</v>
      </c>
      <c r="F20836" t="s">
        <v>24617</v>
      </c>
      <c r="G20836" t="s">
        <v>47093</v>
      </c>
      <c r="H20836" t="s">
        <v>47054</v>
      </c>
      <c r="I20836" t="s">
        <v>47120</v>
      </c>
      <c r="J20836" t="s">
        <v>47121</v>
      </c>
      <c r="K20836" t="s">
        <v>47113</v>
      </c>
      <c r="L20836">
        <v>28.35</v>
      </c>
      <c r="M20836">
        <v>74</v>
      </c>
      <c r="N20836">
        <v>199</v>
      </c>
      <c r="O20836">
        <v>74</v>
      </c>
      <c r="P20836">
        <v>199</v>
      </c>
    </row>
    <row r="20837" spans="1:16" x14ac:dyDescent="0.25">
      <c r="A20837" t="s">
        <v>43663</v>
      </c>
      <c r="B20837" t="s">
        <v>43664</v>
      </c>
      <c r="C20837" t="s">
        <v>43662</v>
      </c>
      <c r="D20837" t="s">
        <v>42255</v>
      </c>
      <c r="E20837" t="s">
        <v>42256</v>
      </c>
      <c r="F20837" t="s">
        <v>24627</v>
      </c>
      <c r="G20837" t="s">
        <v>47093</v>
      </c>
      <c r="H20837" t="s">
        <v>47054</v>
      </c>
      <c r="I20837" t="s">
        <v>47120</v>
      </c>
      <c r="J20837" t="s">
        <v>47121</v>
      </c>
      <c r="K20837" t="s">
        <v>47113</v>
      </c>
      <c r="L20837">
        <v>29.11</v>
      </c>
      <c r="M20837">
        <v>70</v>
      </c>
      <c r="N20837">
        <v>189</v>
      </c>
      <c r="O20837">
        <v>70</v>
      </c>
      <c r="P20837">
        <v>189</v>
      </c>
    </row>
    <row r="20838" spans="1:16" x14ac:dyDescent="0.25">
      <c r="A20838" t="s">
        <v>43665</v>
      </c>
      <c r="B20838" t="s">
        <v>43666</v>
      </c>
      <c r="C20838" t="s">
        <v>43662</v>
      </c>
      <c r="D20838" t="s">
        <v>43667</v>
      </c>
      <c r="E20838" t="s">
        <v>43668</v>
      </c>
      <c r="F20838" t="s">
        <v>24622</v>
      </c>
      <c r="G20838" t="s">
        <v>47093</v>
      </c>
      <c r="H20838" t="s">
        <v>47054</v>
      </c>
      <c r="I20838" t="s">
        <v>47120</v>
      </c>
      <c r="J20838" t="s">
        <v>47121</v>
      </c>
      <c r="K20838" t="s">
        <v>47113</v>
      </c>
      <c r="L20838">
        <v>31.37</v>
      </c>
      <c r="M20838">
        <v>85</v>
      </c>
      <c r="N20838">
        <v>229</v>
      </c>
      <c r="O20838">
        <v>85</v>
      </c>
      <c r="P20838">
        <v>229</v>
      </c>
    </row>
    <row r="20839" spans="1:16" x14ac:dyDescent="0.25">
      <c r="A20839" t="s">
        <v>43669</v>
      </c>
      <c r="B20839" t="s">
        <v>43670</v>
      </c>
      <c r="C20839" t="s">
        <v>43671</v>
      </c>
      <c r="D20839" t="s">
        <v>43647</v>
      </c>
      <c r="E20839" t="s">
        <v>43648</v>
      </c>
      <c r="F20839" t="s">
        <v>24627</v>
      </c>
      <c r="G20839" t="s">
        <v>47093</v>
      </c>
      <c r="H20839" t="s">
        <v>47054</v>
      </c>
      <c r="I20839" t="s">
        <v>47544</v>
      </c>
      <c r="J20839" t="s">
        <v>47545</v>
      </c>
      <c r="K20839" t="s">
        <v>47113</v>
      </c>
      <c r="L20839">
        <v>36.19</v>
      </c>
      <c r="M20839">
        <v>111</v>
      </c>
      <c r="N20839">
        <v>299</v>
      </c>
      <c r="O20839">
        <v>111</v>
      </c>
      <c r="P20839">
        <v>299</v>
      </c>
    </row>
    <row r="20840" spans="1:16" x14ac:dyDescent="0.25">
      <c r="A20840" t="s">
        <v>43672</v>
      </c>
      <c r="B20840" t="s">
        <v>43673</v>
      </c>
      <c r="C20840" t="s">
        <v>43674</v>
      </c>
      <c r="D20840" t="s">
        <v>41945</v>
      </c>
      <c r="E20840" t="s">
        <v>41946</v>
      </c>
      <c r="F20840" t="s">
        <v>24617</v>
      </c>
      <c r="G20840" t="s">
        <v>47093</v>
      </c>
      <c r="H20840" t="s">
        <v>47054</v>
      </c>
      <c r="I20840" t="s">
        <v>47120</v>
      </c>
      <c r="J20840" t="s">
        <v>47121</v>
      </c>
      <c r="K20840" t="s">
        <v>47113</v>
      </c>
      <c r="L20840">
        <v>26.37</v>
      </c>
      <c r="M20840">
        <v>70</v>
      </c>
      <c r="N20840">
        <v>189</v>
      </c>
      <c r="O20840">
        <v>70</v>
      </c>
      <c r="P20840">
        <v>189</v>
      </c>
    </row>
    <row r="20841" spans="1:16" x14ac:dyDescent="0.25">
      <c r="A20841" t="s">
        <v>43675</v>
      </c>
      <c r="B20841" t="s">
        <v>43676</v>
      </c>
      <c r="C20841" t="s">
        <v>10599</v>
      </c>
      <c r="D20841" t="s">
        <v>42626</v>
      </c>
      <c r="E20841" t="s">
        <v>42627</v>
      </c>
      <c r="F20841" t="s">
        <v>24622</v>
      </c>
      <c r="G20841" t="s">
        <v>47093</v>
      </c>
      <c r="H20841" t="s">
        <v>47054</v>
      </c>
      <c r="I20841" t="s">
        <v>47116</v>
      </c>
      <c r="J20841" t="s">
        <v>47117</v>
      </c>
      <c r="K20841" t="s">
        <v>47113</v>
      </c>
      <c r="L20841">
        <v>41.77</v>
      </c>
      <c r="M20841">
        <v>103</v>
      </c>
      <c r="N20841">
        <v>279</v>
      </c>
      <c r="O20841">
        <v>103</v>
      </c>
      <c r="P20841">
        <v>279</v>
      </c>
    </row>
    <row r="20842" spans="1:16" x14ac:dyDescent="0.25">
      <c r="A20842" t="s">
        <v>43677</v>
      </c>
      <c r="B20842" t="s">
        <v>43678</v>
      </c>
      <c r="C20842" t="s">
        <v>10599</v>
      </c>
      <c r="D20842" t="s">
        <v>42626</v>
      </c>
      <c r="E20842" t="s">
        <v>42627</v>
      </c>
      <c r="F20842" t="s">
        <v>24622</v>
      </c>
      <c r="G20842" t="s">
        <v>47093</v>
      </c>
      <c r="H20842" t="s">
        <v>47054</v>
      </c>
      <c r="I20842" t="s">
        <v>47116</v>
      </c>
      <c r="J20842" t="s">
        <v>47117</v>
      </c>
      <c r="K20842" t="s">
        <v>47113</v>
      </c>
      <c r="L20842">
        <v>41.77</v>
      </c>
      <c r="M20842">
        <v>103</v>
      </c>
      <c r="N20842">
        <v>279</v>
      </c>
      <c r="O20842">
        <v>103</v>
      </c>
      <c r="P20842">
        <v>279</v>
      </c>
    </row>
    <row r="20843" spans="1:16" x14ac:dyDescent="0.25">
      <c r="A20843" t="s">
        <v>43679</v>
      </c>
      <c r="B20843" t="s">
        <v>43680</v>
      </c>
      <c r="C20843" t="s">
        <v>43681</v>
      </c>
      <c r="D20843" t="s">
        <v>43682</v>
      </c>
      <c r="E20843" t="s">
        <v>43683</v>
      </c>
      <c r="F20843" t="s">
        <v>24622</v>
      </c>
      <c r="G20843" t="s">
        <v>47093</v>
      </c>
      <c r="H20843" t="s">
        <v>47054</v>
      </c>
      <c r="I20843" t="s">
        <v>47120</v>
      </c>
      <c r="J20843" t="s">
        <v>47121</v>
      </c>
      <c r="K20843" t="s">
        <v>47113</v>
      </c>
      <c r="L20843">
        <v>34.33</v>
      </c>
      <c r="M20843">
        <v>85</v>
      </c>
      <c r="N20843">
        <v>229</v>
      </c>
      <c r="O20843">
        <v>85</v>
      </c>
      <c r="P20843">
        <v>229</v>
      </c>
    </row>
    <row r="20844" spans="1:16" x14ac:dyDescent="0.25">
      <c r="A20844" t="s">
        <v>43684</v>
      </c>
      <c r="B20844" t="s">
        <v>43685</v>
      </c>
      <c r="C20844" t="s">
        <v>21643</v>
      </c>
      <c r="D20844" t="s">
        <v>43647</v>
      </c>
      <c r="E20844" t="s">
        <v>43648</v>
      </c>
      <c r="F20844" t="s">
        <v>24627</v>
      </c>
      <c r="G20844" t="s">
        <v>47093</v>
      </c>
      <c r="H20844" t="s">
        <v>47054</v>
      </c>
      <c r="I20844" t="s">
        <v>47544</v>
      </c>
      <c r="J20844" t="s">
        <v>47545</v>
      </c>
      <c r="K20844" t="s">
        <v>47113</v>
      </c>
      <c r="L20844">
        <v>27.72</v>
      </c>
      <c r="M20844">
        <v>85</v>
      </c>
      <c r="N20844">
        <v>229</v>
      </c>
      <c r="O20844">
        <v>85</v>
      </c>
      <c r="P20844">
        <v>229</v>
      </c>
    </row>
    <row r="20845" spans="1:16" x14ac:dyDescent="0.25">
      <c r="A20845" t="s">
        <v>43686</v>
      </c>
      <c r="B20845" t="s">
        <v>43687</v>
      </c>
      <c r="C20845" t="s">
        <v>16405</v>
      </c>
      <c r="D20845" t="str">
        <f>"3000"</f>
        <v>3000</v>
      </c>
      <c r="E20845" t="s">
        <v>43688</v>
      </c>
      <c r="F20845" t="s">
        <v>24627</v>
      </c>
      <c r="G20845" t="s">
        <v>49029</v>
      </c>
      <c r="H20845" t="s">
        <v>47054</v>
      </c>
      <c r="I20845" t="s">
        <v>47120</v>
      </c>
      <c r="J20845" t="s">
        <v>47121</v>
      </c>
      <c r="K20845" t="s">
        <v>47113</v>
      </c>
      <c r="L20845">
        <v>26.22</v>
      </c>
      <c r="M20845">
        <v>70</v>
      </c>
      <c r="N20845">
        <v>189</v>
      </c>
      <c r="O20845">
        <v>70</v>
      </c>
      <c r="P20845">
        <v>189</v>
      </c>
    </row>
    <row r="20846" spans="1:16" x14ac:dyDescent="0.25">
      <c r="A20846" t="s">
        <v>43689</v>
      </c>
      <c r="B20846" t="s">
        <v>43687</v>
      </c>
      <c r="C20846" t="s">
        <v>16405</v>
      </c>
      <c r="D20846" t="str">
        <f>"6500"</f>
        <v>6500</v>
      </c>
      <c r="E20846" t="s">
        <v>43651</v>
      </c>
      <c r="F20846" t="s">
        <v>24627</v>
      </c>
      <c r="G20846" t="s">
        <v>49029</v>
      </c>
      <c r="H20846" t="s">
        <v>47054</v>
      </c>
      <c r="I20846" t="s">
        <v>47120</v>
      </c>
      <c r="J20846" t="s">
        <v>47121</v>
      </c>
      <c r="K20846" t="s">
        <v>47113</v>
      </c>
      <c r="L20846">
        <v>26.22</v>
      </c>
      <c r="M20846">
        <v>70</v>
      </c>
      <c r="N20846">
        <v>189</v>
      </c>
      <c r="O20846">
        <v>70</v>
      </c>
      <c r="P20846">
        <v>189</v>
      </c>
    </row>
    <row r="20847" spans="1:16" x14ac:dyDescent="0.25">
      <c r="A20847" t="s">
        <v>43690</v>
      </c>
      <c r="B20847" t="s">
        <v>43687</v>
      </c>
      <c r="C20847" t="s">
        <v>16405</v>
      </c>
      <c r="D20847" t="str">
        <f>"7000"</f>
        <v>7000</v>
      </c>
      <c r="E20847" t="s">
        <v>43691</v>
      </c>
      <c r="F20847" t="s">
        <v>24627</v>
      </c>
      <c r="G20847" t="s">
        <v>49029</v>
      </c>
      <c r="H20847" t="s">
        <v>47054</v>
      </c>
      <c r="I20847" t="s">
        <v>47120</v>
      </c>
      <c r="J20847" t="s">
        <v>47121</v>
      </c>
      <c r="K20847" t="s">
        <v>47113</v>
      </c>
      <c r="L20847">
        <v>26.22</v>
      </c>
      <c r="M20847">
        <v>70</v>
      </c>
      <c r="N20847">
        <v>189</v>
      </c>
      <c r="O20847">
        <v>70</v>
      </c>
      <c r="P20847">
        <v>189</v>
      </c>
    </row>
    <row r="20848" spans="1:16" x14ac:dyDescent="0.25">
      <c r="A20848" t="s">
        <v>43692</v>
      </c>
      <c r="B20848" t="s">
        <v>12554</v>
      </c>
      <c r="C20848" t="s">
        <v>12555</v>
      </c>
      <c r="D20848" t="str">
        <f>"1001"</f>
        <v>1001</v>
      </c>
      <c r="E20848" t="s">
        <v>42</v>
      </c>
      <c r="F20848" t="s">
        <v>1401</v>
      </c>
      <c r="G20848" t="s">
        <v>47099</v>
      </c>
      <c r="H20848" t="s">
        <v>47054</v>
      </c>
      <c r="I20848" t="s">
        <v>47116</v>
      </c>
      <c r="J20848" t="s">
        <v>47117</v>
      </c>
      <c r="K20848" t="s">
        <v>47113</v>
      </c>
      <c r="L20848">
        <v>25.77</v>
      </c>
      <c r="M20848">
        <v>57</v>
      </c>
      <c r="N20848">
        <v>0</v>
      </c>
      <c r="O20848">
        <v>57</v>
      </c>
      <c r="P20848">
        <v>0</v>
      </c>
    </row>
    <row r="20849" spans="1:16" x14ac:dyDescent="0.25">
      <c r="A20849" t="s">
        <v>43693</v>
      </c>
      <c r="B20849" t="s">
        <v>12554</v>
      </c>
      <c r="C20849" t="s">
        <v>12555</v>
      </c>
      <c r="D20849" t="str">
        <f>"1258"</f>
        <v>1258</v>
      </c>
      <c r="E20849" t="s">
        <v>2152</v>
      </c>
      <c r="F20849" t="s">
        <v>1401</v>
      </c>
      <c r="G20849" t="s">
        <v>47099</v>
      </c>
      <c r="H20849" t="s">
        <v>47054</v>
      </c>
      <c r="I20849" t="s">
        <v>47116</v>
      </c>
      <c r="J20849" t="s">
        <v>47117</v>
      </c>
      <c r="K20849" t="s">
        <v>47113</v>
      </c>
      <c r="L20849">
        <v>22.88</v>
      </c>
      <c r="M20849">
        <v>53</v>
      </c>
      <c r="N20849">
        <v>0</v>
      </c>
      <c r="O20849">
        <v>53</v>
      </c>
      <c r="P20849">
        <v>0</v>
      </c>
    </row>
    <row r="20850" spans="1:16" x14ac:dyDescent="0.25">
      <c r="A20850" t="s">
        <v>43694</v>
      </c>
      <c r="B20850" t="s">
        <v>12554</v>
      </c>
      <c r="C20850" t="s">
        <v>12555</v>
      </c>
      <c r="D20850" t="str">
        <f>"2000"</f>
        <v>2000</v>
      </c>
      <c r="E20850" t="s">
        <v>248</v>
      </c>
      <c r="F20850" t="s">
        <v>1401</v>
      </c>
      <c r="G20850" t="s">
        <v>47099</v>
      </c>
      <c r="H20850" t="s">
        <v>47054</v>
      </c>
      <c r="I20850" t="s">
        <v>47116</v>
      </c>
      <c r="J20850" t="s">
        <v>47117</v>
      </c>
      <c r="K20850" t="s">
        <v>47113</v>
      </c>
      <c r="L20850">
        <v>23</v>
      </c>
      <c r="M20850">
        <v>53</v>
      </c>
      <c r="N20850">
        <v>0</v>
      </c>
      <c r="O20850">
        <v>53</v>
      </c>
      <c r="P20850">
        <v>0</v>
      </c>
    </row>
    <row r="20851" spans="1:16" x14ac:dyDescent="0.25">
      <c r="A20851" t="s">
        <v>43695</v>
      </c>
      <c r="B20851" t="s">
        <v>12554</v>
      </c>
      <c r="C20851" t="s">
        <v>12555</v>
      </c>
      <c r="D20851" t="str">
        <f>"2502"</f>
        <v>2502</v>
      </c>
      <c r="E20851" t="s">
        <v>260</v>
      </c>
      <c r="F20851" t="s">
        <v>1401</v>
      </c>
      <c r="G20851" t="s">
        <v>47099</v>
      </c>
      <c r="H20851" t="s">
        <v>47054</v>
      </c>
      <c r="I20851" t="s">
        <v>47116</v>
      </c>
      <c r="J20851" t="s">
        <v>47117</v>
      </c>
      <c r="K20851" t="s">
        <v>47113</v>
      </c>
      <c r="L20851">
        <v>22.59</v>
      </c>
      <c r="M20851">
        <v>52</v>
      </c>
      <c r="N20851">
        <v>0</v>
      </c>
      <c r="O20851">
        <v>52</v>
      </c>
      <c r="P20851">
        <v>0</v>
      </c>
    </row>
    <row r="20852" spans="1:16" x14ac:dyDescent="0.25">
      <c r="A20852" t="s">
        <v>43696</v>
      </c>
      <c r="B20852" t="s">
        <v>12556</v>
      </c>
      <c r="C20852" t="s">
        <v>12557</v>
      </c>
      <c r="D20852" t="str">
        <f t="shared" ref="D20852:D20857" si="14">"1001"</f>
        <v>1001</v>
      </c>
      <c r="E20852" t="s">
        <v>42</v>
      </c>
      <c r="F20852" t="s">
        <v>1401</v>
      </c>
      <c r="G20852" t="s">
        <v>47099</v>
      </c>
      <c r="H20852" t="s">
        <v>47054</v>
      </c>
      <c r="I20852" t="s">
        <v>47114</v>
      </c>
      <c r="J20852" t="s">
        <v>47115</v>
      </c>
      <c r="K20852" t="s">
        <v>47113</v>
      </c>
      <c r="L20852">
        <v>25.76</v>
      </c>
      <c r="M20852">
        <v>59</v>
      </c>
      <c r="N20852">
        <v>0</v>
      </c>
      <c r="O20852">
        <v>59</v>
      </c>
      <c r="P20852">
        <v>0</v>
      </c>
    </row>
    <row r="20853" spans="1:16" x14ac:dyDescent="0.25">
      <c r="A20853" t="s">
        <v>775</v>
      </c>
      <c r="B20853" t="s">
        <v>776</v>
      </c>
      <c r="C20853" t="s">
        <v>777</v>
      </c>
      <c r="D20853" t="str">
        <f t="shared" si="14"/>
        <v>1001</v>
      </c>
      <c r="E20853" t="s">
        <v>42</v>
      </c>
      <c r="F20853" t="s">
        <v>52</v>
      </c>
      <c r="G20853" t="s">
        <v>47099</v>
      </c>
      <c r="H20853" t="s">
        <v>47054</v>
      </c>
      <c r="I20853" t="s">
        <v>47116</v>
      </c>
      <c r="J20853" t="s">
        <v>47117</v>
      </c>
      <c r="K20853" t="s">
        <v>47113</v>
      </c>
      <c r="L20853">
        <v>45.72</v>
      </c>
      <c r="M20853">
        <v>115</v>
      </c>
      <c r="N20853">
        <v>0</v>
      </c>
      <c r="O20853">
        <v>115</v>
      </c>
      <c r="P20853">
        <v>0</v>
      </c>
    </row>
    <row r="20854" spans="1:16" x14ac:dyDescent="0.25">
      <c r="A20854" t="s">
        <v>43697</v>
      </c>
      <c r="B20854" t="s">
        <v>12558</v>
      </c>
      <c r="C20854" t="s">
        <v>12559</v>
      </c>
      <c r="D20854" t="str">
        <f t="shared" si="14"/>
        <v>1001</v>
      </c>
      <c r="E20854" t="s">
        <v>42</v>
      </c>
      <c r="F20854" t="s">
        <v>1717</v>
      </c>
      <c r="G20854" t="s">
        <v>47099</v>
      </c>
      <c r="H20854" t="s">
        <v>47054</v>
      </c>
      <c r="I20854" t="s">
        <v>47116</v>
      </c>
      <c r="J20854" t="s">
        <v>47117</v>
      </c>
      <c r="K20854" t="s">
        <v>47113</v>
      </c>
      <c r="L20854">
        <v>37.229999999999997</v>
      </c>
      <c r="M20854">
        <v>89</v>
      </c>
      <c r="N20854">
        <v>0</v>
      </c>
      <c r="O20854">
        <v>89</v>
      </c>
      <c r="P20854">
        <v>0</v>
      </c>
    </row>
    <row r="20855" spans="1:16" x14ac:dyDescent="0.25">
      <c r="A20855" t="s">
        <v>778</v>
      </c>
      <c r="B20855" t="s">
        <v>779</v>
      </c>
      <c r="C20855" t="s">
        <v>780</v>
      </c>
      <c r="D20855" t="str">
        <f t="shared" si="14"/>
        <v>1001</v>
      </c>
      <c r="E20855" t="s">
        <v>42</v>
      </c>
      <c r="F20855" t="s">
        <v>6</v>
      </c>
      <c r="G20855" t="s">
        <v>47099</v>
      </c>
      <c r="H20855" t="s">
        <v>47054</v>
      </c>
      <c r="I20855" t="s">
        <v>47116</v>
      </c>
      <c r="J20855" t="s">
        <v>47117</v>
      </c>
      <c r="K20855" t="s">
        <v>47113</v>
      </c>
      <c r="L20855">
        <v>26.15</v>
      </c>
      <c r="M20855">
        <v>67</v>
      </c>
      <c r="N20855">
        <v>0</v>
      </c>
      <c r="O20855">
        <v>67</v>
      </c>
      <c r="P20855">
        <v>0</v>
      </c>
    </row>
    <row r="20856" spans="1:16" x14ac:dyDescent="0.25">
      <c r="A20856" t="s">
        <v>781</v>
      </c>
      <c r="B20856" t="s">
        <v>782</v>
      </c>
      <c r="C20856" t="s">
        <v>783</v>
      </c>
      <c r="D20856" t="str">
        <f t="shared" si="14"/>
        <v>1001</v>
      </c>
      <c r="E20856" t="s">
        <v>42</v>
      </c>
      <c r="F20856" t="s">
        <v>8</v>
      </c>
      <c r="G20856" t="s">
        <v>47099</v>
      </c>
      <c r="H20856" t="s">
        <v>47054</v>
      </c>
      <c r="I20856" t="s">
        <v>47116</v>
      </c>
      <c r="J20856" t="s">
        <v>47117</v>
      </c>
      <c r="K20856" t="s">
        <v>47113</v>
      </c>
      <c r="L20856">
        <v>27.9</v>
      </c>
      <c r="M20856">
        <v>76</v>
      </c>
      <c r="N20856">
        <v>0</v>
      </c>
      <c r="O20856">
        <v>76</v>
      </c>
      <c r="P20856">
        <v>0</v>
      </c>
    </row>
    <row r="20857" spans="1:16" x14ac:dyDescent="0.25">
      <c r="A20857" t="s">
        <v>43698</v>
      </c>
      <c r="B20857" t="s">
        <v>12560</v>
      </c>
      <c r="C20857" t="s">
        <v>12561</v>
      </c>
      <c r="D20857" t="str">
        <f t="shared" si="14"/>
        <v>1001</v>
      </c>
      <c r="E20857" t="s">
        <v>42</v>
      </c>
      <c r="F20857" t="s">
        <v>8</v>
      </c>
      <c r="G20857" t="s">
        <v>47099</v>
      </c>
      <c r="H20857" t="s">
        <v>47054</v>
      </c>
      <c r="I20857" t="s">
        <v>47114</v>
      </c>
      <c r="J20857" t="s">
        <v>47115</v>
      </c>
      <c r="K20857" t="s">
        <v>47113</v>
      </c>
      <c r="L20857">
        <v>25.95</v>
      </c>
      <c r="M20857">
        <v>55</v>
      </c>
      <c r="N20857">
        <v>0</v>
      </c>
      <c r="O20857">
        <v>55</v>
      </c>
      <c r="P20857">
        <v>0</v>
      </c>
    </row>
    <row r="20858" spans="1:16" x14ac:dyDescent="0.25">
      <c r="A20858" t="s">
        <v>43699</v>
      </c>
      <c r="B20858" t="s">
        <v>12562</v>
      </c>
      <c r="C20858" t="s">
        <v>12563</v>
      </c>
      <c r="D20858" t="str">
        <f>"4100"</f>
        <v>4100</v>
      </c>
      <c r="E20858" t="s">
        <v>2383</v>
      </c>
      <c r="F20858" t="s">
        <v>3546</v>
      </c>
      <c r="G20858" t="s">
        <v>47099</v>
      </c>
      <c r="H20858" t="s">
        <v>47054</v>
      </c>
      <c r="I20858" t="s">
        <v>47111</v>
      </c>
      <c r="J20858" t="s">
        <v>47112</v>
      </c>
      <c r="K20858" t="s">
        <v>47113</v>
      </c>
      <c r="L20858">
        <v>28.3</v>
      </c>
      <c r="M20858">
        <v>64</v>
      </c>
      <c r="N20858">
        <v>0</v>
      </c>
      <c r="O20858">
        <v>64</v>
      </c>
      <c r="P20858">
        <v>0</v>
      </c>
    </row>
    <row r="20859" spans="1:16" x14ac:dyDescent="0.25">
      <c r="A20859" t="s">
        <v>43700</v>
      </c>
      <c r="B20859" t="s">
        <v>12564</v>
      </c>
      <c r="C20859" t="s">
        <v>12565</v>
      </c>
      <c r="D20859" t="str">
        <f>"1001"</f>
        <v>1001</v>
      </c>
      <c r="E20859" t="s">
        <v>42</v>
      </c>
      <c r="F20859" t="s">
        <v>3</v>
      </c>
      <c r="G20859" t="s">
        <v>47099</v>
      </c>
      <c r="H20859" t="s">
        <v>47054</v>
      </c>
      <c r="I20859" t="s">
        <v>47116</v>
      </c>
      <c r="J20859" t="s">
        <v>47117</v>
      </c>
      <c r="K20859" t="s">
        <v>47113</v>
      </c>
      <c r="L20859">
        <v>39.17</v>
      </c>
      <c r="M20859">
        <v>96</v>
      </c>
      <c r="N20859">
        <v>0</v>
      </c>
      <c r="O20859">
        <v>96</v>
      </c>
      <c r="P20859">
        <v>0</v>
      </c>
    </row>
    <row r="20860" spans="1:16" x14ac:dyDescent="0.25">
      <c r="A20860" t="s">
        <v>15130</v>
      </c>
      <c r="B20860" t="s">
        <v>12566</v>
      </c>
      <c r="C20860" t="s">
        <v>12567</v>
      </c>
      <c r="D20860" t="str">
        <f>"1001"</f>
        <v>1001</v>
      </c>
      <c r="E20860" t="s">
        <v>42</v>
      </c>
      <c r="F20860" t="s">
        <v>52</v>
      </c>
      <c r="G20860" t="s">
        <v>47099</v>
      </c>
      <c r="H20860" t="s">
        <v>47054</v>
      </c>
      <c r="I20860" t="s">
        <v>47116</v>
      </c>
      <c r="J20860" t="s">
        <v>47117</v>
      </c>
      <c r="K20860" t="s">
        <v>47113</v>
      </c>
      <c r="L20860">
        <v>25.88</v>
      </c>
      <c r="M20860">
        <v>63</v>
      </c>
      <c r="N20860">
        <v>0</v>
      </c>
      <c r="O20860">
        <v>63</v>
      </c>
      <c r="P20860">
        <v>0</v>
      </c>
    </row>
    <row r="20861" spans="1:16" x14ac:dyDescent="0.25">
      <c r="A20861" t="s">
        <v>784</v>
      </c>
      <c r="B20861" t="s">
        <v>785</v>
      </c>
      <c r="C20861" t="s">
        <v>786</v>
      </c>
      <c r="D20861" t="str">
        <f>"1001"</f>
        <v>1001</v>
      </c>
      <c r="E20861" t="s">
        <v>42</v>
      </c>
      <c r="F20861" t="s">
        <v>6</v>
      </c>
      <c r="G20861" t="s">
        <v>47099</v>
      </c>
      <c r="H20861" t="s">
        <v>47054</v>
      </c>
      <c r="I20861" t="s">
        <v>47116</v>
      </c>
      <c r="J20861" t="s">
        <v>47117</v>
      </c>
      <c r="K20861" t="s">
        <v>47113</v>
      </c>
      <c r="L20861">
        <v>48.13</v>
      </c>
      <c r="M20861">
        <v>119</v>
      </c>
      <c r="N20861">
        <v>0</v>
      </c>
      <c r="O20861">
        <v>119</v>
      </c>
      <c r="P20861">
        <v>0</v>
      </c>
    </row>
    <row r="20862" spans="1:16" x14ac:dyDescent="0.25">
      <c r="A20862" t="s">
        <v>43701</v>
      </c>
      <c r="B20862" t="s">
        <v>43702</v>
      </c>
      <c r="C20862" t="s">
        <v>43703</v>
      </c>
      <c r="D20862" t="s">
        <v>43704</v>
      </c>
      <c r="E20862" t="s">
        <v>43705</v>
      </c>
      <c r="F20862" t="s">
        <v>3750</v>
      </c>
      <c r="G20862" t="s">
        <v>47093</v>
      </c>
      <c r="H20862" t="s">
        <v>47054</v>
      </c>
      <c r="I20862" t="s">
        <v>47120</v>
      </c>
      <c r="J20862" t="s">
        <v>47121</v>
      </c>
      <c r="K20862" t="s">
        <v>47113</v>
      </c>
      <c r="L20862">
        <v>15.74</v>
      </c>
      <c r="M20862">
        <v>111</v>
      </c>
      <c r="N20862">
        <v>299</v>
      </c>
      <c r="O20862">
        <v>111</v>
      </c>
      <c r="P20862">
        <v>299</v>
      </c>
    </row>
    <row r="20863" spans="1:16" x14ac:dyDescent="0.25">
      <c r="A20863" t="s">
        <v>43706</v>
      </c>
      <c r="B20863" t="s">
        <v>43707</v>
      </c>
      <c r="C20863" t="s">
        <v>43703</v>
      </c>
      <c r="D20863" t="s">
        <v>721</v>
      </c>
      <c r="E20863" t="s">
        <v>722</v>
      </c>
      <c r="F20863" t="s">
        <v>3750</v>
      </c>
      <c r="G20863" t="s">
        <v>47093</v>
      </c>
      <c r="H20863" t="s">
        <v>47054</v>
      </c>
      <c r="I20863" t="s">
        <v>47120</v>
      </c>
      <c r="J20863" t="s">
        <v>47121</v>
      </c>
      <c r="K20863" t="s">
        <v>47113</v>
      </c>
      <c r="L20863">
        <v>16.100000000000001</v>
      </c>
      <c r="M20863">
        <v>111</v>
      </c>
      <c r="N20863">
        <v>299</v>
      </c>
      <c r="O20863">
        <v>111</v>
      </c>
      <c r="P20863">
        <v>299</v>
      </c>
    </row>
    <row r="20864" spans="1:16" x14ac:dyDescent="0.25">
      <c r="A20864" t="s">
        <v>43708</v>
      </c>
      <c r="B20864" t="s">
        <v>12568</v>
      </c>
      <c r="C20864" t="s">
        <v>19213</v>
      </c>
      <c r="D20864" t="str">
        <f>"1118"</f>
        <v>1118</v>
      </c>
      <c r="E20864" t="s">
        <v>12569</v>
      </c>
      <c r="F20864" t="s">
        <v>3670</v>
      </c>
      <c r="G20864" t="s">
        <v>47091</v>
      </c>
      <c r="I20864" t="s">
        <v>47111</v>
      </c>
      <c r="J20864" t="s">
        <v>47112</v>
      </c>
      <c r="K20864" t="s">
        <v>47113</v>
      </c>
      <c r="L20864">
        <v>12.87</v>
      </c>
      <c r="M20864">
        <v>26</v>
      </c>
      <c r="N20864">
        <v>0</v>
      </c>
      <c r="O20864">
        <v>26</v>
      </c>
      <c r="P20864">
        <v>0</v>
      </c>
    </row>
    <row r="20865" spans="1:16" x14ac:dyDescent="0.25">
      <c r="A20865" t="s">
        <v>43709</v>
      </c>
      <c r="B20865" t="s">
        <v>12568</v>
      </c>
      <c r="C20865" t="s">
        <v>19213</v>
      </c>
      <c r="D20865" t="str">
        <f>"4071"</f>
        <v>4071</v>
      </c>
      <c r="E20865" t="s">
        <v>12570</v>
      </c>
      <c r="F20865" t="s">
        <v>3670</v>
      </c>
      <c r="G20865" t="s">
        <v>47091</v>
      </c>
      <c r="I20865" t="s">
        <v>47111</v>
      </c>
      <c r="J20865" t="s">
        <v>47112</v>
      </c>
      <c r="K20865" t="s">
        <v>47113</v>
      </c>
      <c r="L20865">
        <v>12.87</v>
      </c>
      <c r="M20865">
        <v>26</v>
      </c>
      <c r="N20865">
        <v>0</v>
      </c>
      <c r="O20865">
        <v>26</v>
      </c>
      <c r="P20865">
        <v>0</v>
      </c>
    </row>
    <row r="20866" spans="1:16" x14ac:dyDescent="0.25">
      <c r="A20866" t="s">
        <v>43710</v>
      </c>
      <c r="B20866" t="s">
        <v>12571</v>
      </c>
      <c r="C20866" t="s">
        <v>19214</v>
      </c>
      <c r="D20866" t="str">
        <f>"1118"</f>
        <v>1118</v>
      </c>
      <c r="E20866" t="s">
        <v>12572</v>
      </c>
      <c r="F20866" t="s">
        <v>3670</v>
      </c>
      <c r="G20866" t="s">
        <v>47091</v>
      </c>
      <c r="I20866" t="s">
        <v>47111</v>
      </c>
      <c r="J20866" t="s">
        <v>47112</v>
      </c>
      <c r="K20866" t="s">
        <v>47113</v>
      </c>
      <c r="L20866">
        <v>11.71</v>
      </c>
      <c r="M20866">
        <v>22</v>
      </c>
      <c r="N20866">
        <v>0</v>
      </c>
      <c r="O20866">
        <v>22</v>
      </c>
      <c r="P20866">
        <v>0</v>
      </c>
    </row>
    <row r="20867" spans="1:16" x14ac:dyDescent="0.25">
      <c r="A20867" t="s">
        <v>43711</v>
      </c>
      <c r="B20867" t="s">
        <v>12571</v>
      </c>
      <c r="C20867" t="s">
        <v>19214</v>
      </c>
      <c r="D20867" t="str">
        <f>"1814"</f>
        <v>1814</v>
      </c>
      <c r="E20867" t="s">
        <v>12573</v>
      </c>
      <c r="F20867" t="s">
        <v>3670</v>
      </c>
      <c r="G20867" t="s">
        <v>47091</v>
      </c>
      <c r="I20867" t="s">
        <v>47111</v>
      </c>
      <c r="J20867" t="s">
        <v>47112</v>
      </c>
      <c r="K20867" t="s">
        <v>47113</v>
      </c>
      <c r="L20867">
        <v>11.71</v>
      </c>
      <c r="M20867">
        <v>22</v>
      </c>
      <c r="N20867">
        <v>0</v>
      </c>
      <c r="O20867">
        <v>22</v>
      </c>
      <c r="P20867">
        <v>0</v>
      </c>
    </row>
    <row r="20868" spans="1:16" x14ac:dyDescent="0.25">
      <c r="A20868" t="s">
        <v>43712</v>
      </c>
      <c r="B20868" t="s">
        <v>12574</v>
      </c>
      <c r="C20868" t="s">
        <v>12575</v>
      </c>
      <c r="D20868" t="str">
        <f>"1118"</f>
        <v>1118</v>
      </c>
      <c r="E20868" t="s">
        <v>12572</v>
      </c>
      <c r="F20868" t="s">
        <v>3670</v>
      </c>
      <c r="G20868" t="s">
        <v>47091</v>
      </c>
      <c r="H20868" t="s">
        <v>47054</v>
      </c>
      <c r="I20868" t="s">
        <v>47111</v>
      </c>
      <c r="J20868" t="s">
        <v>47112</v>
      </c>
      <c r="K20868" t="s">
        <v>47113</v>
      </c>
      <c r="L20868">
        <v>15.04</v>
      </c>
      <c r="M20868">
        <v>26</v>
      </c>
      <c r="N20868">
        <v>0</v>
      </c>
      <c r="O20868">
        <v>26</v>
      </c>
      <c r="P20868">
        <v>0</v>
      </c>
    </row>
    <row r="20869" spans="1:16" x14ac:dyDescent="0.25">
      <c r="A20869" t="s">
        <v>43713</v>
      </c>
      <c r="B20869" t="s">
        <v>12574</v>
      </c>
      <c r="C20869" t="s">
        <v>12575</v>
      </c>
      <c r="D20869" t="str">
        <f>"1814"</f>
        <v>1814</v>
      </c>
      <c r="E20869" t="s">
        <v>12573</v>
      </c>
      <c r="F20869" t="s">
        <v>3670</v>
      </c>
      <c r="G20869" t="s">
        <v>47091</v>
      </c>
      <c r="H20869" t="s">
        <v>47054</v>
      </c>
      <c r="I20869" t="s">
        <v>47111</v>
      </c>
      <c r="J20869" t="s">
        <v>47112</v>
      </c>
      <c r="K20869" t="s">
        <v>47113</v>
      </c>
      <c r="L20869">
        <v>14.41</v>
      </c>
      <c r="M20869">
        <v>26</v>
      </c>
      <c r="N20869">
        <v>0</v>
      </c>
      <c r="O20869">
        <v>26</v>
      </c>
      <c r="P20869">
        <v>0</v>
      </c>
    </row>
    <row r="20870" spans="1:16" x14ac:dyDescent="0.25">
      <c r="A20870" t="s">
        <v>43714</v>
      </c>
      <c r="B20870" t="s">
        <v>12576</v>
      </c>
      <c r="C20870" t="s">
        <v>12577</v>
      </c>
      <c r="D20870" t="str">
        <f>"1818"</f>
        <v>1818</v>
      </c>
      <c r="E20870" t="s">
        <v>12578</v>
      </c>
      <c r="F20870" t="s">
        <v>3546</v>
      </c>
      <c r="G20870" t="s">
        <v>47091</v>
      </c>
      <c r="H20870" t="s">
        <v>47054</v>
      </c>
      <c r="I20870" t="s">
        <v>47120</v>
      </c>
      <c r="J20870" t="s">
        <v>47121</v>
      </c>
      <c r="K20870" t="s">
        <v>47113</v>
      </c>
      <c r="L20870">
        <v>19.72</v>
      </c>
      <c r="M20870">
        <v>33</v>
      </c>
      <c r="N20870">
        <v>0</v>
      </c>
      <c r="O20870">
        <v>33</v>
      </c>
      <c r="P20870">
        <v>0</v>
      </c>
    </row>
    <row r="20871" spans="1:16" x14ac:dyDescent="0.25">
      <c r="A20871" t="s">
        <v>43715</v>
      </c>
      <c r="B20871" t="s">
        <v>12579</v>
      </c>
      <c r="C20871" t="s">
        <v>12580</v>
      </c>
      <c r="D20871" t="str">
        <f>"1302"</f>
        <v>1302</v>
      </c>
      <c r="E20871" t="s">
        <v>12581</v>
      </c>
      <c r="F20871" t="s">
        <v>3670</v>
      </c>
      <c r="G20871" t="s">
        <v>47091</v>
      </c>
      <c r="H20871" t="s">
        <v>47054</v>
      </c>
      <c r="I20871" t="s">
        <v>47569</v>
      </c>
      <c r="J20871" t="s">
        <v>47570</v>
      </c>
      <c r="K20871" t="s">
        <v>47113</v>
      </c>
      <c r="L20871">
        <v>14.41</v>
      </c>
      <c r="M20871">
        <v>26</v>
      </c>
      <c r="N20871">
        <v>0</v>
      </c>
      <c r="O20871">
        <v>26</v>
      </c>
      <c r="P20871">
        <v>0</v>
      </c>
    </row>
    <row r="20872" spans="1:16" x14ac:dyDescent="0.25">
      <c r="A20872" t="s">
        <v>43716</v>
      </c>
      <c r="B20872" t="s">
        <v>12579</v>
      </c>
      <c r="C20872" t="s">
        <v>12580</v>
      </c>
      <c r="D20872" t="str">
        <f>"6229"</f>
        <v>6229</v>
      </c>
      <c r="E20872" t="s">
        <v>12582</v>
      </c>
      <c r="F20872" t="s">
        <v>3670</v>
      </c>
      <c r="G20872" t="s">
        <v>47091</v>
      </c>
      <c r="H20872" t="s">
        <v>47054</v>
      </c>
      <c r="I20872" t="s">
        <v>47569</v>
      </c>
      <c r="J20872" t="s">
        <v>47570</v>
      </c>
      <c r="K20872" t="s">
        <v>47113</v>
      </c>
      <c r="L20872">
        <v>14.41</v>
      </c>
      <c r="M20872">
        <v>26</v>
      </c>
      <c r="N20872">
        <v>0</v>
      </c>
      <c r="O20872">
        <v>26</v>
      </c>
      <c r="P20872">
        <v>0</v>
      </c>
    </row>
    <row r="20873" spans="1:16" x14ac:dyDescent="0.25">
      <c r="A20873" t="s">
        <v>43717</v>
      </c>
      <c r="B20873" t="s">
        <v>12583</v>
      </c>
      <c r="C20873" t="s">
        <v>12584</v>
      </c>
      <c r="D20873" t="str">
        <f>"1118"</f>
        <v>1118</v>
      </c>
      <c r="E20873" t="s">
        <v>12585</v>
      </c>
      <c r="F20873" t="s">
        <v>3670</v>
      </c>
      <c r="G20873" t="s">
        <v>47091</v>
      </c>
      <c r="H20873" t="s">
        <v>47054</v>
      </c>
      <c r="I20873" t="s">
        <v>47111</v>
      </c>
      <c r="J20873" t="s">
        <v>47112</v>
      </c>
      <c r="K20873" t="s">
        <v>47113</v>
      </c>
      <c r="L20873">
        <v>18.239999999999998</v>
      </c>
      <c r="M20873">
        <v>26</v>
      </c>
      <c r="N20873">
        <v>0</v>
      </c>
      <c r="O20873">
        <v>26</v>
      </c>
      <c r="P20873">
        <v>0</v>
      </c>
    </row>
    <row r="20874" spans="1:16" x14ac:dyDescent="0.25">
      <c r="A20874" t="s">
        <v>43718</v>
      </c>
      <c r="B20874" t="s">
        <v>12586</v>
      </c>
      <c r="C20874" t="s">
        <v>19215</v>
      </c>
      <c r="D20874" t="str">
        <f>"1700"</f>
        <v>1700</v>
      </c>
      <c r="E20874" t="s">
        <v>60</v>
      </c>
      <c r="F20874" t="s">
        <v>3558</v>
      </c>
      <c r="G20874" t="s">
        <v>47091</v>
      </c>
      <c r="H20874" t="s">
        <v>47054</v>
      </c>
      <c r="I20874" t="s">
        <v>47111</v>
      </c>
      <c r="J20874" t="s">
        <v>47112</v>
      </c>
      <c r="K20874" t="s">
        <v>47113</v>
      </c>
      <c r="L20874">
        <v>6.65</v>
      </c>
      <c r="M20874">
        <v>26</v>
      </c>
      <c r="N20874">
        <v>0</v>
      </c>
      <c r="O20874">
        <v>26</v>
      </c>
      <c r="P20874">
        <v>0</v>
      </c>
    </row>
    <row r="20875" spans="1:16" x14ac:dyDescent="0.25">
      <c r="A20875" t="s">
        <v>43719</v>
      </c>
      <c r="B20875" t="s">
        <v>12587</v>
      </c>
      <c r="C20875" t="s">
        <v>12588</v>
      </c>
      <c r="D20875" t="str">
        <f>"1814"</f>
        <v>1814</v>
      </c>
      <c r="E20875" t="s">
        <v>12589</v>
      </c>
      <c r="F20875" t="s">
        <v>3670</v>
      </c>
      <c r="G20875" t="s">
        <v>47091</v>
      </c>
      <c r="I20875" t="s">
        <v>47111</v>
      </c>
      <c r="J20875" t="s">
        <v>47112</v>
      </c>
      <c r="K20875" t="s">
        <v>47113</v>
      </c>
      <c r="L20875">
        <v>14.41</v>
      </c>
      <c r="M20875">
        <v>26</v>
      </c>
      <c r="N20875">
        <v>0</v>
      </c>
      <c r="O20875">
        <v>26</v>
      </c>
      <c r="P20875">
        <v>0</v>
      </c>
    </row>
    <row r="20876" spans="1:16" x14ac:dyDescent="0.25">
      <c r="A20876" t="s">
        <v>43720</v>
      </c>
      <c r="B20876" t="s">
        <v>12587</v>
      </c>
      <c r="C20876" t="s">
        <v>12588</v>
      </c>
      <c r="D20876" t="str">
        <f>"1824"</f>
        <v>1824</v>
      </c>
      <c r="E20876" t="s">
        <v>12590</v>
      </c>
      <c r="F20876" t="s">
        <v>3670</v>
      </c>
      <c r="G20876" t="s">
        <v>47091</v>
      </c>
      <c r="I20876" t="s">
        <v>47111</v>
      </c>
      <c r="J20876" t="s">
        <v>47112</v>
      </c>
      <c r="K20876" t="s">
        <v>47113</v>
      </c>
      <c r="L20876">
        <v>14.41</v>
      </c>
      <c r="M20876">
        <v>26</v>
      </c>
      <c r="N20876">
        <v>0</v>
      </c>
      <c r="O20876">
        <v>26</v>
      </c>
      <c r="P20876">
        <v>0</v>
      </c>
    </row>
    <row r="20877" spans="1:16" x14ac:dyDescent="0.25">
      <c r="A20877" t="s">
        <v>43721</v>
      </c>
      <c r="B20877" t="s">
        <v>12591</v>
      </c>
      <c r="C20877" t="s">
        <v>14363</v>
      </c>
      <c r="D20877" t="str">
        <f>"1118"</f>
        <v>1118</v>
      </c>
      <c r="E20877" t="s">
        <v>12572</v>
      </c>
      <c r="F20877" t="s">
        <v>3670</v>
      </c>
      <c r="G20877" t="s">
        <v>47091</v>
      </c>
      <c r="H20877" t="s">
        <v>47054</v>
      </c>
      <c r="I20877" t="s">
        <v>47111</v>
      </c>
      <c r="J20877" t="s">
        <v>47112</v>
      </c>
      <c r="K20877" t="s">
        <v>47113</v>
      </c>
      <c r="L20877">
        <v>11.71</v>
      </c>
      <c r="M20877">
        <v>22</v>
      </c>
      <c r="N20877">
        <v>0</v>
      </c>
      <c r="O20877">
        <v>22</v>
      </c>
      <c r="P20877">
        <v>0</v>
      </c>
    </row>
    <row r="20878" spans="1:16" x14ac:dyDescent="0.25">
      <c r="A20878" t="s">
        <v>43722</v>
      </c>
      <c r="B20878" t="s">
        <v>12591</v>
      </c>
      <c r="C20878" t="s">
        <v>14363</v>
      </c>
      <c r="D20878" t="str">
        <f>"1814"</f>
        <v>1814</v>
      </c>
      <c r="E20878" t="s">
        <v>12573</v>
      </c>
      <c r="F20878" t="s">
        <v>3670</v>
      </c>
      <c r="G20878" t="s">
        <v>47091</v>
      </c>
      <c r="H20878" t="s">
        <v>47054</v>
      </c>
      <c r="I20878" t="s">
        <v>47111</v>
      </c>
      <c r="J20878" t="s">
        <v>47112</v>
      </c>
      <c r="K20878" t="s">
        <v>47113</v>
      </c>
      <c r="L20878">
        <v>11.71</v>
      </c>
      <c r="M20878">
        <v>22</v>
      </c>
      <c r="N20878">
        <v>0</v>
      </c>
      <c r="O20878">
        <v>22</v>
      </c>
      <c r="P20878">
        <v>0</v>
      </c>
    </row>
    <row r="20879" spans="1:16" x14ac:dyDescent="0.25">
      <c r="A20879" t="s">
        <v>43723</v>
      </c>
      <c r="B20879" t="s">
        <v>12592</v>
      </c>
      <c r="C20879" t="s">
        <v>19216</v>
      </c>
      <c r="D20879" t="str">
        <f>"1814"</f>
        <v>1814</v>
      </c>
      <c r="E20879" t="s">
        <v>12573</v>
      </c>
      <c r="F20879" t="s">
        <v>3670</v>
      </c>
      <c r="G20879" t="s">
        <v>47091</v>
      </c>
      <c r="H20879" t="s">
        <v>47054</v>
      </c>
      <c r="I20879" t="s">
        <v>47111</v>
      </c>
      <c r="J20879" t="s">
        <v>47112</v>
      </c>
      <c r="K20879" t="s">
        <v>47113</v>
      </c>
      <c r="L20879">
        <v>13.51</v>
      </c>
      <c r="M20879">
        <v>26</v>
      </c>
      <c r="N20879">
        <v>0</v>
      </c>
      <c r="O20879">
        <v>26</v>
      </c>
      <c r="P20879">
        <v>0</v>
      </c>
    </row>
    <row r="20880" spans="1:16" x14ac:dyDescent="0.25">
      <c r="A20880" t="s">
        <v>43724</v>
      </c>
      <c r="B20880" t="s">
        <v>12592</v>
      </c>
      <c r="C20880" t="s">
        <v>19216</v>
      </c>
      <c r="D20880" t="str">
        <f>"6309"</f>
        <v>6309</v>
      </c>
      <c r="E20880" t="s">
        <v>12593</v>
      </c>
      <c r="F20880" t="s">
        <v>3670</v>
      </c>
      <c r="G20880" t="s">
        <v>47091</v>
      </c>
      <c r="H20880" t="s">
        <v>47054</v>
      </c>
      <c r="I20880" t="s">
        <v>47111</v>
      </c>
      <c r="J20880" t="s">
        <v>47112</v>
      </c>
      <c r="K20880" t="s">
        <v>47113</v>
      </c>
      <c r="L20880">
        <v>15.31</v>
      </c>
      <c r="M20880">
        <v>26</v>
      </c>
      <c r="N20880">
        <v>0</v>
      </c>
      <c r="O20880">
        <v>26</v>
      </c>
      <c r="P20880">
        <v>0</v>
      </c>
    </row>
    <row r="20881" spans="1:16" x14ac:dyDescent="0.25">
      <c r="A20881" t="s">
        <v>43725</v>
      </c>
      <c r="B20881" t="s">
        <v>12594</v>
      </c>
      <c r="C20881" t="s">
        <v>12595</v>
      </c>
      <c r="D20881" t="str">
        <f>"1700"</f>
        <v>1700</v>
      </c>
      <c r="E20881" t="s">
        <v>60</v>
      </c>
      <c r="F20881" t="s">
        <v>3558</v>
      </c>
      <c r="G20881" t="s">
        <v>47097</v>
      </c>
      <c r="H20881" t="s">
        <v>47054</v>
      </c>
      <c r="I20881" t="s">
        <v>47111</v>
      </c>
      <c r="J20881" t="s">
        <v>47112</v>
      </c>
      <c r="K20881" t="s">
        <v>47113</v>
      </c>
      <c r="L20881">
        <v>19.25</v>
      </c>
      <c r="M20881">
        <v>22</v>
      </c>
      <c r="N20881">
        <v>0</v>
      </c>
      <c r="O20881">
        <v>22</v>
      </c>
      <c r="P20881">
        <v>0</v>
      </c>
    </row>
    <row r="20882" spans="1:16" x14ac:dyDescent="0.25">
      <c r="A20882" t="s">
        <v>43726</v>
      </c>
      <c r="B20882" t="s">
        <v>12596</v>
      </c>
      <c r="C20882" t="s">
        <v>12597</v>
      </c>
      <c r="D20882" t="str">
        <f>"1001"</f>
        <v>1001</v>
      </c>
      <c r="E20882" t="s">
        <v>7601</v>
      </c>
      <c r="F20882" t="s">
        <v>3558</v>
      </c>
      <c r="G20882" t="s">
        <v>47092</v>
      </c>
      <c r="H20882" t="s">
        <v>47054</v>
      </c>
      <c r="I20882" t="s">
        <v>47569</v>
      </c>
      <c r="J20882" t="s">
        <v>47570</v>
      </c>
      <c r="K20882" t="s">
        <v>47113</v>
      </c>
      <c r="L20882">
        <v>15.92</v>
      </c>
      <c r="M20882">
        <v>22</v>
      </c>
      <c r="N20882">
        <v>0</v>
      </c>
      <c r="O20882">
        <v>22</v>
      </c>
      <c r="P20882">
        <v>0</v>
      </c>
    </row>
    <row r="20883" spans="1:16" x14ac:dyDescent="0.25">
      <c r="A20883" t="s">
        <v>43727</v>
      </c>
      <c r="B20883" t="s">
        <v>12596</v>
      </c>
      <c r="C20883" t="s">
        <v>12597</v>
      </c>
      <c r="D20883" t="str">
        <f>"1700"</f>
        <v>1700</v>
      </c>
      <c r="E20883" t="s">
        <v>60</v>
      </c>
      <c r="F20883" t="s">
        <v>3558</v>
      </c>
      <c r="G20883" t="s">
        <v>47092</v>
      </c>
      <c r="H20883" t="s">
        <v>47054</v>
      </c>
      <c r="I20883" t="s">
        <v>47569</v>
      </c>
      <c r="J20883" t="s">
        <v>47570</v>
      </c>
      <c r="K20883" t="s">
        <v>47113</v>
      </c>
      <c r="L20883">
        <v>15.92</v>
      </c>
      <c r="M20883">
        <v>22</v>
      </c>
      <c r="N20883">
        <v>0</v>
      </c>
      <c r="O20883">
        <v>22</v>
      </c>
      <c r="P20883">
        <v>0</v>
      </c>
    </row>
    <row r="20884" spans="1:16" x14ac:dyDescent="0.25">
      <c r="A20884" t="s">
        <v>43728</v>
      </c>
      <c r="B20884" t="s">
        <v>12598</v>
      </c>
      <c r="C20884" t="s">
        <v>12599</v>
      </c>
      <c r="D20884" t="str">
        <f>"1505"</f>
        <v>1505</v>
      </c>
      <c r="E20884" t="s">
        <v>1667</v>
      </c>
      <c r="F20884" t="s">
        <v>3670</v>
      </c>
      <c r="G20884" t="s">
        <v>47094</v>
      </c>
      <c r="H20884" t="s">
        <v>47054</v>
      </c>
      <c r="I20884" t="s">
        <v>47118</v>
      </c>
      <c r="J20884" t="s">
        <v>47119</v>
      </c>
      <c r="K20884" t="s">
        <v>47113</v>
      </c>
      <c r="L20884">
        <v>27.21</v>
      </c>
      <c r="M20884">
        <v>55</v>
      </c>
      <c r="N20884">
        <v>0</v>
      </c>
      <c r="O20884">
        <v>55</v>
      </c>
      <c r="P20884">
        <v>0</v>
      </c>
    </row>
    <row r="20885" spans="1:16" x14ac:dyDescent="0.25">
      <c r="A20885" t="s">
        <v>43729</v>
      </c>
      <c r="B20885" t="s">
        <v>22100</v>
      </c>
      <c r="C20885" t="s">
        <v>12599</v>
      </c>
      <c r="D20885" t="str">
        <f>"1001"</f>
        <v>1001</v>
      </c>
      <c r="E20885" t="s">
        <v>42</v>
      </c>
      <c r="F20885" t="s">
        <v>15183</v>
      </c>
      <c r="G20885" t="s">
        <v>47096</v>
      </c>
      <c r="H20885" t="s">
        <v>47054</v>
      </c>
      <c r="I20885" t="s">
        <v>47118</v>
      </c>
      <c r="J20885" t="s">
        <v>47119</v>
      </c>
      <c r="K20885" t="s">
        <v>47113</v>
      </c>
      <c r="L20885">
        <v>30.37</v>
      </c>
      <c r="M20885">
        <v>85</v>
      </c>
      <c r="N20885">
        <v>0</v>
      </c>
      <c r="O20885">
        <v>85</v>
      </c>
      <c r="P20885">
        <v>0</v>
      </c>
    </row>
    <row r="20886" spans="1:16" x14ac:dyDescent="0.25">
      <c r="A20886" t="s">
        <v>43730</v>
      </c>
      <c r="B20886" t="s">
        <v>12600</v>
      </c>
      <c r="C20886" t="s">
        <v>19217</v>
      </c>
      <c r="D20886" t="str">
        <f>"1024"</f>
        <v>1024</v>
      </c>
      <c r="E20886" t="s">
        <v>717</v>
      </c>
      <c r="F20886" t="s">
        <v>3670</v>
      </c>
      <c r="G20886" t="s">
        <v>47094</v>
      </c>
      <c r="I20886" t="s">
        <v>47111</v>
      </c>
      <c r="J20886" t="s">
        <v>47112</v>
      </c>
      <c r="K20886" t="s">
        <v>47113</v>
      </c>
      <c r="L20886">
        <v>20.7</v>
      </c>
      <c r="M20886">
        <v>48</v>
      </c>
      <c r="N20886">
        <v>0</v>
      </c>
      <c r="O20886">
        <v>48</v>
      </c>
      <c r="P20886">
        <v>0</v>
      </c>
    </row>
    <row r="20887" spans="1:16" x14ac:dyDescent="0.25">
      <c r="A20887" t="s">
        <v>43731</v>
      </c>
      <c r="B20887" t="s">
        <v>12601</v>
      </c>
      <c r="C20887" t="s">
        <v>19218</v>
      </c>
      <c r="D20887" t="str">
        <f>"4048"</f>
        <v>4048</v>
      </c>
      <c r="E20887" t="s">
        <v>710</v>
      </c>
      <c r="F20887" t="s">
        <v>3558</v>
      </c>
      <c r="G20887" t="s">
        <v>47094</v>
      </c>
      <c r="H20887" t="s">
        <v>47054</v>
      </c>
      <c r="I20887" t="s">
        <v>47120</v>
      </c>
      <c r="J20887" t="s">
        <v>47121</v>
      </c>
      <c r="K20887" t="s">
        <v>47113</v>
      </c>
      <c r="L20887">
        <v>29.94</v>
      </c>
      <c r="M20887">
        <v>63</v>
      </c>
      <c r="N20887">
        <v>0</v>
      </c>
      <c r="O20887">
        <v>63</v>
      </c>
      <c r="P20887">
        <v>0</v>
      </c>
    </row>
    <row r="20888" spans="1:16" x14ac:dyDescent="0.25">
      <c r="A20888" t="s">
        <v>43732</v>
      </c>
      <c r="B20888" t="s">
        <v>12601</v>
      </c>
      <c r="C20888" t="s">
        <v>19218</v>
      </c>
      <c r="D20888" t="str">
        <f>"4110"</f>
        <v>4110</v>
      </c>
      <c r="E20888" t="s">
        <v>10055</v>
      </c>
      <c r="F20888" t="s">
        <v>3558</v>
      </c>
      <c r="G20888" t="s">
        <v>47094</v>
      </c>
      <c r="H20888" t="s">
        <v>47054</v>
      </c>
      <c r="I20888" t="s">
        <v>47120</v>
      </c>
      <c r="J20888" t="s">
        <v>47121</v>
      </c>
      <c r="K20888" t="s">
        <v>47113</v>
      </c>
      <c r="L20888">
        <v>29.94</v>
      </c>
      <c r="M20888">
        <v>63</v>
      </c>
      <c r="N20888">
        <v>0</v>
      </c>
      <c r="O20888">
        <v>63</v>
      </c>
      <c r="P20888">
        <v>0</v>
      </c>
    </row>
    <row r="20889" spans="1:16" x14ac:dyDescent="0.25">
      <c r="A20889" t="s">
        <v>43733</v>
      </c>
      <c r="B20889" t="s">
        <v>12602</v>
      </c>
      <c r="C20889" t="s">
        <v>12603</v>
      </c>
      <c r="D20889" t="str">
        <f>"1700"</f>
        <v>1700</v>
      </c>
      <c r="E20889" t="s">
        <v>60</v>
      </c>
      <c r="F20889" t="s">
        <v>3558</v>
      </c>
      <c r="G20889" t="s">
        <v>47095</v>
      </c>
      <c r="H20889" t="s">
        <v>47054</v>
      </c>
      <c r="I20889" t="s">
        <v>47120</v>
      </c>
      <c r="J20889" t="s">
        <v>47121</v>
      </c>
      <c r="K20889" t="s">
        <v>47113</v>
      </c>
      <c r="L20889">
        <v>22.24</v>
      </c>
      <c r="M20889">
        <v>55</v>
      </c>
      <c r="N20889">
        <v>0</v>
      </c>
      <c r="O20889">
        <v>55</v>
      </c>
      <c r="P20889">
        <v>0</v>
      </c>
    </row>
    <row r="20890" spans="1:16" x14ac:dyDescent="0.25">
      <c r="A20890" t="s">
        <v>43734</v>
      </c>
      <c r="B20890" t="s">
        <v>12604</v>
      </c>
      <c r="C20890" t="s">
        <v>12605</v>
      </c>
      <c r="D20890" t="str">
        <f>"1505"</f>
        <v>1505</v>
      </c>
      <c r="E20890" t="s">
        <v>1667</v>
      </c>
      <c r="F20890" t="s">
        <v>3670</v>
      </c>
      <c r="G20890" t="s">
        <v>47095</v>
      </c>
      <c r="H20890" t="s">
        <v>47054</v>
      </c>
      <c r="I20890" t="s">
        <v>47118</v>
      </c>
      <c r="J20890" t="s">
        <v>47119</v>
      </c>
      <c r="K20890" t="s">
        <v>47113</v>
      </c>
      <c r="L20890">
        <v>24.52</v>
      </c>
      <c r="M20890">
        <v>48</v>
      </c>
      <c r="N20890">
        <v>0</v>
      </c>
      <c r="O20890">
        <v>48</v>
      </c>
      <c r="P20890">
        <v>0</v>
      </c>
    </row>
    <row r="20891" spans="1:16" x14ac:dyDescent="0.25">
      <c r="A20891" t="s">
        <v>43735</v>
      </c>
      <c r="B20891" t="s">
        <v>12606</v>
      </c>
      <c r="C20891" t="s">
        <v>14364</v>
      </c>
      <c r="D20891" t="str">
        <f>"1505"</f>
        <v>1505</v>
      </c>
      <c r="E20891" t="s">
        <v>1667</v>
      </c>
      <c r="F20891" t="s">
        <v>3670</v>
      </c>
      <c r="G20891" t="s">
        <v>47095</v>
      </c>
      <c r="I20891" t="s">
        <v>47136</v>
      </c>
      <c r="J20891" t="s">
        <v>47137</v>
      </c>
      <c r="K20891" t="s">
        <v>47113</v>
      </c>
      <c r="L20891">
        <v>24.52</v>
      </c>
      <c r="M20891">
        <v>48</v>
      </c>
      <c r="N20891">
        <v>0</v>
      </c>
      <c r="O20891">
        <v>48</v>
      </c>
      <c r="P20891">
        <v>0</v>
      </c>
    </row>
    <row r="20892" spans="1:16" x14ac:dyDescent="0.25">
      <c r="A20892" t="s">
        <v>43736</v>
      </c>
      <c r="B20892" t="s">
        <v>22101</v>
      </c>
      <c r="C20892" t="s">
        <v>22102</v>
      </c>
      <c r="D20892" t="str">
        <f>"1001"</f>
        <v>1001</v>
      </c>
      <c r="E20892" t="s">
        <v>42</v>
      </c>
      <c r="F20892" t="s">
        <v>15183</v>
      </c>
      <c r="G20892" t="s">
        <v>47095</v>
      </c>
      <c r="H20892" t="s">
        <v>47054</v>
      </c>
      <c r="I20892" t="s">
        <v>47118</v>
      </c>
      <c r="J20892" t="s">
        <v>47119</v>
      </c>
      <c r="K20892" t="s">
        <v>47113</v>
      </c>
      <c r="L20892">
        <v>27.15</v>
      </c>
      <c r="M20892">
        <v>76</v>
      </c>
      <c r="N20892">
        <v>0</v>
      </c>
      <c r="O20892">
        <v>76</v>
      </c>
      <c r="P20892">
        <v>0</v>
      </c>
    </row>
    <row r="20893" spans="1:16" x14ac:dyDescent="0.25">
      <c r="A20893" t="s">
        <v>43737</v>
      </c>
      <c r="B20893" t="s">
        <v>12607</v>
      </c>
      <c r="C20893" t="s">
        <v>22103</v>
      </c>
      <c r="D20893" t="str">
        <f>"1746"</f>
        <v>1746</v>
      </c>
      <c r="E20893" t="s">
        <v>807</v>
      </c>
      <c r="F20893" t="s">
        <v>3670</v>
      </c>
      <c r="G20893" t="s">
        <v>47094</v>
      </c>
      <c r="H20893" t="s">
        <v>47054</v>
      </c>
      <c r="I20893" t="s">
        <v>47111</v>
      </c>
      <c r="J20893" t="s">
        <v>47112</v>
      </c>
      <c r="K20893" t="s">
        <v>47113</v>
      </c>
      <c r="L20893">
        <v>24.7</v>
      </c>
      <c r="M20893">
        <v>55</v>
      </c>
      <c r="N20893">
        <v>0</v>
      </c>
      <c r="O20893">
        <v>55</v>
      </c>
      <c r="P20893">
        <v>0</v>
      </c>
    </row>
    <row r="20894" spans="1:16" x14ac:dyDescent="0.25">
      <c r="A20894" t="s">
        <v>43738</v>
      </c>
      <c r="B20894" t="s">
        <v>12608</v>
      </c>
      <c r="C20894" t="s">
        <v>19219</v>
      </c>
      <c r="D20894" t="str">
        <f>"4048"</f>
        <v>4048</v>
      </c>
      <c r="E20894" t="s">
        <v>710</v>
      </c>
      <c r="F20894" t="s">
        <v>3558</v>
      </c>
      <c r="G20894" t="s">
        <v>47097</v>
      </c>
      <c r="H20894" t="s">
        <v>47054</v>
      </c>
      <c r="I20894" t="s">
        <v>47111</v>
      </c>
      <c r="J20894" t="s">
        <v>47112</v>
      </c>
      <c r="K20894" t="s">
        <v>47113</v>
      </c>
      <c r="L20894">
        <v>21.47</v>
      </c>
      <c r="M20894">
        <v>55</v>
      </c>
      <c r="N20894">
        <v>0</v>
      </c>
      <c r="O20894">
        <v>55</v>
      </c>
      <c r="P20894">
        <v>0</v>
      </c>
    </row>
    <row r="20895" spans="1:16" x14ac:dyDescent="0.25">
      <c r="A20895" t="s">
        <v>43739</v>
      </c>
      <c r="B20895" t="s">
        <v>12608</v>
      </c>
      <c r="C20895" t="s">
        <v>19219</v>
      </c>
      <c r="D20895" t="str">
        <f>"4110"</f>
        <v>4110</v>
      </c>
      <c r="E20895" t="s">
        <v>10055</v>
      </c>
      <c r="F20895" t="s">
        <v>3558</v>
      </c>
      <c r="G20895" t="s">
        <v>47097</v>
      </c>
      <c r="H20895" t="s">
        <v>47054</v>
      </c>
      <c r="I20895" t="s">
        <v>47111</v>
      </c>
      <c r="J20895" t="s">
        <v>47112</v>
      </c>
      <c r="K20895" t="s">
        <v>47113</v>
      </c>
      <c r="L20895">
        <v>21.47</v>
      </c>
      <c r="M20895">
        <v>55</v>
      </c>
      <c r="N20895">
        <v>0</v>
      </c>
      <c r="O20895">
        <v>55</v>
      </c>
      <c r="P20895">
        <v>0</v>
      </c>
    </row>
    <row r="20896" spans="1:16" x14ac:dyDescent="0.25">
      <c r="A20896" t="s">
        <v>43740</v>
      </c>
      <c r="B20896" t="s">
        <v>12609</v>
      </c>
      <c r="C20896" t="s">
        <v>12610</v>
      </c>
      <c r="D20896" t="str">
        <f>"4048"</f>
        <v>4048</v>
      </c>
      <c r="E20896" t="s">
        <v>710</v>
      </c>
      <c r="F20896" t="s">
        <v>3558</v>
      </c>
      <c r="G20896" t="s">
        <v>47095</v>
      </c>
      <c r="H20896" t="s">
        <v>47054</v>
      </c>
      <c r="I20896" t="s">
        <v>47120</v>
      </c>
      <c r="J20896" t="s">
        <v>47121</v>
      </c>
      <c r="K20896" t="s">
        <v>47113</v>
      </c>
      <c r="L20896">
        <v>24.02</v>
      </c>
      <c r="M20896">
        <v>55</v>
      </c>
      <c r="N20896">
        <v>0</v>
      </c>
      <c r="O20896">
        <v>55</v>
      </c>
      <c r="P20896">
        <v>0</v>
      </c>
    </row>
    <row r="20897" spans="1:16" x14ac:dyDescent="0.25">
      <c r="A20897" t="s">
        <v>43741</v>
      </c>
      <c r="B20897" t="s">
        <v>12609</v>
      </c>
      <c r="C20897" t="s">
        <v>12610</v>
      </c>
      <c r="D20897" t="str">
        <f>"4110"</f>
        <v>4110</v>
      </c>
      <c r="E20897" t="s">
        <v>10055</v>
      </c>
      <c r="F20897" t="s">
        <v>3558</v>
      </c>
      <c r="G20897" t="s">
        <v>47095</v>
      </c>
      <c r="H20897" t="s">
        <v>47054</v>
      </c>
      <c r="I20897" t="s">
        <v>47120</v>
      </c>
      <c r="J20897" t="s">
        <v>47121</v>
      </c>
      <c r="K20897" t="s">
        <v>47113</v>
      </c>
      <c r="L20897">
        <v>24.02</v>
      </c>
      <c r="M20897">
        <v>55</v>
      </c>
      <c r="N20897">
        <v>0</v>
      </c>
      <c r="O20897">
        <v>55</v>
      </c>
      <c r="P20897">
        <v>0</v>
      </c>
    </row>
    <row r="20898" spans="1:16" x14ac:dyDescent="0.25">
      <c r="A20898" t="s">
        <v>43742</v>
      </c>
      <c r="B20898" t="s">
        <v>16410</v>
      </c>
      <c r="C20898" t="s">
        <v>10054</v>
      </c>
      <c r="D20898" t="str">
        <f>"4048"</f>
        <v>4048</v>
      </c>
      <c r="E20898" t="s">
        <v>710</v>
      </c>
      <c r="F20898" t="s">
        <v>3558</v>
      </c>
      <c r="G20898" t="s">
        <v>47095</v>
      </c>
      <c r="H20898" t="s">
        <v>47054</v>
      </c>
      <c r="I20898" t="s">
        <v>47120</v>
      </c>
      <c r="J20898" t="s">
        <v>47121</v>
      </c>
      <c r="K20898" t="s">
        <v>47113</v>
      </c>
      <c r="L20898">
        <v>20.74</v>
      </c>
      <c r="M20898">
        <v>51</v>
      </c>
      <c r="N20898">
        <v>0</v>
      </c>
      <c r="O20898">
        <v>51</v>
      </c>
      <c r="P20898">
        <v>0</v>
      </c>
    </row>
    <row r="20899" spans="1:16" x14ac:dyDescent="0.25">
      <c r="A20899" t="s">
        <v>43743</v>
      </c>
      <c r="B20899" t="s">
        <v>16410</v>
      </c>
      <c r="C20899" t="s">
        <v>10054</v>
      </c>
      <c r="D20899" t="str">
        <f>"4110"</f>
        <v>4110</v>
      </c>
      <c r="E20899" t="s">
        <v>10055</v>
      </c>
      <c r="F20899" t="s">
        <v>3558</v>
      </c>
      <c r="G20899" t="s">
        <v>47095</v>
      </c>
      <c r="H20899" t="s">
        <v>47054</v>
      </c>
      <c r="I20899" t="s">
        <v>47120</v>
      </c>
      <c r="J20899" t="s">
        <v>47121</v>
      </c>
      <c r="K20899" t="s">
        <v>47113</v>
      </c>
      <c r="L20899">
        <v>20.74</v>
      </c>
      <c r="M20899">
        <v>51</v>
      </c>
      <c r="N20899">
        <v>0</v>
      </c>
      <c r="O20899">
        <v>51</v>
      </c>
      <c r="P20899">
        <v>0</v>
      </c>
    </row>
    <row r="20900" spans="1:16" x14ac:dyDescent="0.25">
      <c r="A20900" t="s">
        <v>43744</v>
      </c>
      <c r="B20900" t="s">
        <v>12611</v>
      </c>
      <c r="C20900" t="s">
        <v>19220</v>
      </c>
      <c r="D20900" t="str">
        <f>"1700"</f>
        <v>1700</v>
      </c>
      <c r="E20900" t="s">
        <v>60</v>
      </c>
      <c r="F20900" t="s">
        <v>3558</v>
      </c>
      <c r="G20900" t="s">
        <v>47094</v>
      </c>
      <c r="H20900" t="s">
        <v>47054</v>
      </c>
      <c r="I20900" t="s">
        <v>47120</v>
      </c>
      <c r="J20900" t="s">
        <v>47121</v>
      </c>
      <c r="K20900" t="s">
        <v>47113</v>
      </c>
      <c r="L20900">
        <v>26.69</v>
      </c>
      <c r="M20900">
        <v>63</v>
      </c>
      <c r="N20900">
        <v>0</v>
      </c>
      <c r="O20900">
        <v>63</v>
      </c>
      <c r="P20900">
        <v>0</v>
      </c>
    </row>
    <row r="20901" spans="1:16" x14ac:dyDescent="0.25">
      <c r="A20901" t="s">
        <v>43745</v>
      </c>
      <c r="B20901" t="s">
        <v>12612</v>
      </c>
      <c r="C20901" t="s">
        <v>12613</v>
      </c>
      <c r="D20901" t="str">
        <f>"1490"</f>
        <v>1490</v>
      </c>
      <c r="E20901" t="s">
        <v>12614</v>
      </c>
      <c r="F20901" t="s">
        <v>3670</v>
      </c>
      <c r="G20901" t="s">
        <v>47095</v>
      </c>
      <c r="H20901" t="s">
        <v>47054</v>
      </c>
      <c r="I20901" t="s">
        <v>47111</v>
      </c>
      <c r="J20901" t="s">
        <v>47112</v>
      </c>
      <c r="K20901" t="s">
        <v>47113</v>
      </c>
      <c r="L20901">
        <v>21.43</v>
      </c>
      <c r="M20901">
        <v>48</v>
      </c>
      <c r="N20901">
        <v>0</v>
      </c>
      <c r="O20901">
        <v>48</v>
      </c>
      <c r="P20901">
        <v>0</v>
      </c>
    </row>
    <row r="20902" spans="1:16" x14ac:dyDescent="0.25">
      <c r="A20902" t="s">
        <v>43746</v>
      </c>
      <c r="B20902" t="s">
        <v>12615</v>
      </c>
      <c r="C20902" t="s">
        <v>12616</v>
      </c>
      <c r="D20902" t="str">
        <f>"1490"</f>
        <v>1490</v>
      </c>
      <c r="E20902" t="s">
        <v>12614</v>
      </c>
      <c r="F20902" t="s">
        <v>3670</v>
      </c>
      <c r="G20902" t="s">
        <v>47094</v>
      </c>
      <c r="H20902" t="s">
        <v>47054</v>
      </c>
      <c r="I20902" t="s">
        <v>47111</v>
      </c>
      <c r="J20902" t="s">
        <v>47112</v>
      </c>
      <c r="K20902" t="s">
        <v>47113</v>
      </c>
      <c r="L20902">
        <v>23.88</v>
      </c>
      <c r="M20902">
        <v>55</v>
      </c>
      <c r="N20902">
        <v>0</v>
      </c>
      <c r="O20902">
        <v>55</v>
      </c>
      <c r="P20902">
        <v>0</v>
      </c>
    </row>
    <row r="20903" spans="1:16" x14ac:dyDescent="0.25">
      <c r="A20903" t="s">
        <v>43747</v>
      </c>
      <c r="B20903" t="s">
        <v>12617</v>
      </c>
      <c r="C20903" t="s">
        <v>12618</v>
      </c>
      <c r="D20903" t="s">
        <v>12619</v>
      </c>
      <c r="E20903" t="s">
        <v>12620</v>
      </c>
      <c r="F20903" t="s">
        <v>3670</v>
      </c>
      <c r="G20903" t="s">
        <v>47101</v>
      </c>
      <c r="H20903" t="s">
        <v>47054</v>
      </c>
      <c r="I20903" t="s">
        <v>47111</v>
      </c>
      <c r="J20903" t="s">
        <v>47112</v>
      </c>
      <c r="K20903" t="s">
        <v>47113</v>
      </c>
      <c r="L20903">
        <v>29.38</v>
      </c>
      <c r="M20903">
        <v>55</v>
      </c>
      <c r="N20903">
        <v>0</v>
      </c>
      <c r="O20903">
        <v>55</v>
      </c>
      <c r="P20903">
        <v>0</v>
      </c>
    </row>
    <row r="20904" spans="1:16" x14ac:dyDescent="0.25">
      <c r="A20904" t="s">
        <v>43748</v>
      </c>
      <c r="B20904" t="s">
        <v>12621</v>
      </c>
      <c r="C20904" t="s">
        <v>12622</v>
      </c>
      <c r="D20904" t="s">
        <v>11645</v>
      </c>
      <c r="E20904" t="s">
        <v>11646</v>
      </c>
      <c r="F20904" t="s">
        <v>3670</v>
      </c>
      <c r="G20904" t="s">
        <v>47101</v>
      </c>
      <c r="H20904" t="s">
        <v>47054</v>
      </c>
      <c r="I20904" t="s">
        <v>47136</v>
      </c>
      <c r="J20904" t="s">
        <v>47137</v>
      </c>
      <c r="K20904" t="s">
        <v>47113</v>
      </c>
      <c r="L20904">
        <v>34.19</v>
      </c>
      <c r="M20904">
        <v>63</v>
      </c>
      <c r="N20904">
        <v>0</v>
      </c>
      <c r="O20904">
        <v>63</v>
      </c>
      <c r="P20904">
        <v>0</v>
      </c>
    </row>
    <row r="20905" spans="1:16" x14ac:dyDescent="0.25">
      <c r="A20905" t="s">
        <v>43749</v>
      </c>
      <c r="B20905" t="s">
        <v>12623</v>
      </c>
      <c r="C20905" t="s">
        <v>12624</v>
      </c>
      <c r="D20905" t="str">
        <f>"3561"</f>
        <v>3561</v>
      </c>
      <c r="E20905" t="s">
        <v>12625</v>
      </c>
      <c r="F20905" t="s">
        <v>3670</v>
      </c>
      <c r="G20905" t="s">
        <v>47101</v>
      </c>
      <c r="H20905" t="s">
        <v>47054</v>
      </c>
      <c r="I20905" t="s">
        <v>47111</v>
      </c>
      <c r="J20905" t="s">
        <v>47112</v>
      </c>
      <c r="K20905" t="s">
        <v>47113</v>
      </c>
      <c r="L20905">
        <v>19.46</v>
      </c>
      <c r="M20905">
        <v>40</v>
      </c>
      <c r="N20905">
        <v>0</v>
      </c>
      <c r="O20905">
        <v>40</v>
      </c>
      <c r="P20905">
        <v>0</v>
      </c>
    </row>
    <row r="20906" spans="1:16" x14ac:dyDescent="0.25">
      <c r="A20906" t="s">
        <v>43750</v>
      </c>
      <c r="B20906" t="s">
        <v>12626</v>
      </c>
      <c r="C20906" t="s">
        <v>12627</v>
      </c>
      <c r="D20906" t="str">
        <f>"4128"</f>
        <v>4128</v>
      </c>
      <c r="E20906" t="s">
        <v>1284</v>
      </c>
      <c r="F20906" t="s">
        <v>3670</v>
      </c>
      <c r="G20906" t="s">
        <v>47101</v>
      </c>
      <c r="I20906" t="s">
        <v>47111</v>
      </c>
      <c r="J20906" t="s">
        <v>47112</v>
      </c>
      <c r="K20906" t="s">
        <v>47113</v>
      </c>
      <c r="L20906">
        <v>34.07</v>
      </c>
      <c r="M20906">
        <v>55</v>
      </c>
      <c r="N20906">
        <v>0</v>
      </c>
      <c r="O20906">
        <v>55</v>
      </c>
      <c r="P20906">
        <v>0</v>
      </c>
    </row>
    <row r="20907" spans="1:16" x14ac:dyDescent="0.25">
      <c r="A20907" t="s">
        <v>43751</v>
      </c>
      <c r="B20907" t="s">
        <v>12628</v>
      </c>
      <c r="C20907" t="s">
        <v>12629</v>
      </c>
      <c r="D20907" t="s">
        <v>12619</v>
      </c>
      <c r="E20907" t="s">
        <v>12620</v>
      </c>
      <c r="F20907" t="s">
        <v>3670</v>
      </c>
      <c r="G20907" t="s">
        <v>47103</v>
      </c>
      <c r="H20907" t="s">
        <v>47054</v>
      </c>
      <c r="I20907" t="s">
        <v>47120</v>
      </c>
      <c r="J20907" t="s">
        <v>47121</v>
      </c>
      <c r="K20907" t="s">
        <v>47113</v>
      </c>
      <c r="L20907">
        <v>32.04</v>
      </c>
      <c r="M20907">
        <v>63</v>
      </c>
      <c r="N20907">
        <v>0</v>
      </c>
      <c r="O20907">
        <v>63</v>
      </c>
      <c r="P20907">
        <v>0</v>
      </c>
    </row>
    <row r="20908" spans="1:16" x14ac:dyDescent="0.25">
      <c r="A20908" t="s">
        <v>43752</v>
      </c>
      <c r="B20908" t="s">
        <v>12630</v>
      </c>
      <c r="C20908" t="s">
        <v>12631</v>
      </c>
      <c r="D20908" t="s">
        <v>12619</v>
      </c>
      <c r="E20908" t="s">
        <v>12620</v>
      </c>
      <c r="F20908" t="s">
        <v>3670</v>
      </c>
      <c r="G20908" t="s">
        <v>47103</v>
      </c>
      <c r="H20908" t="s">
        <v>47054</v>
      </c>
      <c r="I20908" t="s">
        <v>47120</v>
      </c>
      <c r="J20908" t="s">
        <v>47121</v>
      </c>
      <c r="K20908" t="s">
        <v>47113</v>
      </c>
      <c r="L20908">
        <v>19.68</v>
      </c>
      <c r="M20908">
        <v>55</v>
      </c>
      <c r="N20908">
        <v>0</v>
      </c>
      <c r="O20908">
        <v>55</v>
      </c>
      <c r="P20908">
        <v>0</v>
      </c>
    </row>
    <row r="20909" spans="1:16" x14ac:dyDescent="0.25">
      <c r="A20909" t="s">
        <v>43753</v>
      </c>
      <c r="B20909" t="s">
        <v>12632</v>
      </c>
      <c r="C20909" t="s">
        <v>12633</v>
      </c>
      <c r="D20909" t="str">
        <f>"4072"</f>
        <v>4072</v>
      </c>
      <c r="E20909" t="s">
        <v>12634</v>
      </c>
      <c r="F20909" t="s">
        <v>3670</v>
      </c>
      <c r="G20909" t="s">
        <v>47091</v>
      </c>
      <c r="I20909" t="s">
        <v>47111</v>
      </c>
      <c r="J20909" t="s">
        <v>47112</v>
      </c>
      <c r="K20909" t="s">
        <v>47113</v>
      </c>
      <c r="L20909">
        <v>20.36</v>
      </c>
      <c r="M20909">
        <v>37</v>
      </c>
      <c r="N20909">
        <v>0</v>
      </c>
      <c r="O20909">
        <v>37</v>
      </c>
      <c r="P20909">
        <v>0</v>
      </c>
    </row>
    <row r="20910" spans="1:16" x14ac:dyDescent="0.25">
      <c r="A20910" t="s">
        <v>43754</v>
      </c>
      <c r="B20910" t="s">
        <v>12632</v>
      </c>
      <c r="C20910" t="s">
        <v>12633</v>
      </c>
      <c r="D20910" t="str">
        <f>"7468"</f>
        <v>7468</v>
      </c>
      <c r="E20910" t="s">
        <v>12635</v>
      </c>
      <c r="F20910" t="s">
        <v>3670</v>
      </c>
      <c r="G20910" t="s">
        <v>47091</v>
      </c>
      <c r="I20910" t="s">
        <v>47111</v>
      </c>
      <c r="J20910" t="s">
        <v>47112</v>
      </c>
      <c r="K20910" t="s">
        <v>47113</v>
      </c>
      <c r="L20910">
        <v>20.36</v>
      </c>
      <c r="M20910">
        <v>37</v>
      </c>
      <c r="N20910">
        <v>0</v>
      </c>
      <c r="O20910">
        <v>37</v>
      </c>
      <c r="P20910">
        <v>0</v>
      </c>
    </row>
    <row r="20911" spans="1:16" x14ac:dyDescent="0.25">
      <c r="A20911" t="s">
        <v>43755</v>
      </c>
      <c r="B20911" t="s">
        <v>12636</v>
      </c>
      <c r="C20911" t="s">
        <v>19221</v>
      </c>
      <c r="D20911" t="str">
        <f>"4128"</f>
        <v>4128</v>
      </c>
      <c r="E20911" t="s">
        <v>1284</v>
      </c>
      <c r="F20911" t="s">
        <v>3670</v>
      </c>
      <c r="G20911" t="s">
        <v>47101</v>
      </c>
      <c r="I20911" t="s">
        <v>47111</v>
      </c>
      <c r="J20911" t="s">
        <v>47112</v>
      </c>
      <c r="K20911" t="s">
        <v>47113</v>
      </c>
      <c r="L20911">
        <v>32.64</v>
      </c>
      <c r="M20911">
        <v>55</v>
      </c>
      <c r="N20911">
        <v>0</v>
      </c>
      <c r="O20911">
        <v>55</v>
      </c>
      <c r="P20911">
        <v>0</v>
      </c>
    </row>
    <row r="20912" spans="1:16" x14ac:dyDescent="0.25">
      <c r="A20912" t="s">
        <v>43756</v>
      </c>
      <c r="B20912" t="s">
        <v>12637</v>
      </c>
      <c r="C20912" t="s">
        <v>12638</v>
      </c>
      <c r="D20912" t="s">
        <v>11591</v>
      </c>
      <c r="E20912" t="s">
        <v>11592</v>
      </c>
      <c r="F20912" t="s">
        <v>3670</v>
      </c>
      <c r="G20912" t="s">
        <v>47098</v>
      </c>
      <c r="I20912" t="s">
        <v>47111</v>
      </c>
      <c r="J20912" t="s">
        <v>47112</v>
      </c>
      <c r="K20912" t="s">
        <v>47113</v>
      </c>
      <c r="L20912">
        <v>81.459999999999994</v>
      </c>
      <c r="M20912">
        <v>107</v>
      </c>
      <c r="N20912">
        <v>0</v>
      </c>
      <c r="O20912">
        <v>107</v>
      </c>
      <c r="P20912">
        <v>0</v>
      </c>
    </row>
    <row r="20913" spans="1:16" x14ac:dyDescent="0.25">
      <c r="A20913" t="s">
        <v>43757</v>
      </c>
      <c r="B20913" t="s">
        <v>12637</v>
      </c>
      <c r="C20913" t="s">
        <v>12638</v>
      </c>
      <c r="D20913" t="s">
        <v>12639</v>
      </c>
      <c r="E20913" t="s">
        <v>12640</v>
      </c>
      <c r="F20913" t="s">
        <v>3670</v>
      </c>
      <c r="G20913" t="s">
        <v>47098</v>
      </c>
      <c r="I20913" t="s">
        <v>47111</v>
      </c>
      <c r="J20913" t="s">
        <v>47112</v>
      </c>
      <c r="K20913" t="s">
        <v>47113</v>
      </c>
      <c r="L20913">
        <v>77.86</v>
      </c>
      <c r="M20913">
        <v>107</v>
      </c>
      <c r="N20913">
        <v>0</v>
      </c>
      <c r="O20913">
        <v>107</v>
      </c>
      <c r="P20913">
        <v>0</v>
      </c>
    </row>
    <row r="20914" spans="1:16" x14ac:dyDescent="0.25">
      <c r="A20914" t="s">
        <v>43758</v>
      </c>
      <c r="B20914" t="s">
        <v>12641</v>
      </c>
      <c r="C20914" t="s">
        <v>12642</v>
      </c>
      <c r="D20914" t="s">
        <v>12639</v>
      </c>
      <c r="E20914" t="s">
        <v>12640</v>
      </c>
      <c r="F20914" t="s">
        <v>3670</v>
      </c>
      <c r="G20914" t="s">
        <v>47099</v>
      </c>
      <c r="I20914" t="s">
        <v>47111</v>
      </c>
      <c r="J20914" t="s">
        <v>47112</v>
      </c>
      <c r="K20914" t="s">
        <v>47113</v>
      </c>
      <c r="L20914">
        <v>47.64</v>
      </c>
      <c r="M20914">
        <v>92</v>
      </c>
      <c r="N20914">
        <v>0</v>
      </c>
      <c r="O20914">
        <v>92</v>
      </c>
      <c r="P20914">
        <v>0</v>
      </c>
    </row>
    <row r="20915" spans="1:16" x14ac:dyDescent="0.25">
      <c r="A20915" t="s">
        <v>43759</v>
      </c>
      <c r="B20915" t="s">
        <v>12643</v>
      </c>
      <c r="C20915" t="s">
        <v>12644</v>
      </c>
      <c r="D20915" t="str">
        <f>"1745"</f>
        <v>1745</v>
      </c>
      <c r="E20915" t="s">
        <v>1659</v>
      </c>
      <c r="F20915" t="s">
        <v>3</v>
      </c>
      <c r="G20915" t="s">
        <v>47091</v>
      </c>
      <c r="H20915" t="s">
        <v>47054</v>
      </c>
      <c r="I20915" t="s">
        <v>47124</v>
      </c>
      <c r="J20915" t="s">
        <v>47125</v>
      </c>
      <c r="K20915" t="s">
        <v>47113</v>
      </c>
      <c r="L20915">
        <v>14.62</v>
      </c>
      <c r="M20915">
        <v>39</v>
      </c>
      <c r="N20915">
        <v>0</v>
      </c>
      <c r="O20915">
        <v>39</v>
      </c>
      <c r="P20915">
        <v>0</v>
      </c>
    </row>
    <row r="20916" spans="1:16" x14ac:dyDescent="0.25">
      <c r="A20916" t="s">
        <v>43760</v>
      </c>
      <c r="B20916" t="s">
        <v>12643</v>
      </c>
      <c r="C20916" t="s">
        <v>12644</v>
      </c>
      <c r="D20916" t="str">
        <f>"3415"</f>
        <v>3415</v>
      </c>
      <c r="E20916" t="s">
        <v>9104</v>
      </c>
      <c r="F20916" t="s">
        <v>3</v>
      </c>
      <c r="G20916" t="s">
        <v>47091</v>
      </c>
      <c r="H20916" t="s">
        <v>47054</v>
      </c>
      <c r="I20916" t="s">
        <v>47124</v>
      </c>
      <c r="J20916" t="s">
        <v>47125</v>
      </c>
      <c r="K20916" t="s">
        <v>47113</v>
      </c>
      <c r="L20916">
        <v>14.62</v>
      </c>
      <c r="M20916">
        <v>39</v>
      </c>
      <c r="N20916">
        <v>0</v>
      </c>
      <c r="O20916">
        <v>39</v>
      </c>
      <c r="P20916">
        <v>0</v>
      </c>
    </row>
    <row r="20917" spans="1:16" x14ac:dyDescent="0.25">
      <c r="A20917" t="s">
        <v>43761</v>
      </c>
      <c r="B20917" t="s">
        <v>12643</v>
      </c>
      <c r="C20917" t="s">
        <v>12644</v>
      </c>
      <c r="D20917" t="str">
        <f>"4587"</f>
        <v>4587</v>
      </c>
      <c r="E20917" t="s">
        <v>12645</v>
      </c>
      <c r="F20917" t="s">
        <v>3</v>
      </c>
      <c r="G20917" t="s">
        <v>47091</v>
      </c>
      <c r="H20917" t="s">
        <v>47054</v>
      </c>
      <c r="I20917" t="s">
        <v>47124</v>
      </c>
      <c r="J20917" t="s">
        <v>47125</v>
      </c>
      <c r="K20917" t="s">
        <v>47113</v>
      </c>
      <c r="L20917">
        <v>14.62</v>
      </c>
      <c r="M20917">
        <v>39</v>
      </c>
      <c r="N20917">
        <v>0</v>
      </c>
      <c r="O20917">
        <v>39</v>
      </c>
      <c r="P20917">
        <v>0</v>
      </c>
    </row>
    <row r="20918" spans="1:16" x14ac:dyDescent="0.25">
      <c r="A20918" t="s">
        <v>43762</v>
      </c>
      <c r="B20918" t="s">
        <v>12646</v>
      </c>
      <c r="C20918" t="s">
        <v>12647</v>
      </c>
      <c r="D20918" t="str">
        <f>"1738"</f>
        <v>1738</v>
      </c>
      <c r="E20918" t="s">
        <v>12648</v>
      </c>
      <c r="F20918" t="s">
        <v>296</v>
      </c>
      <c r="G20918" t="s">
        <v>47091</v>
      </c>
      <c r="H20918" t="s">
        <v>47054</v>
      </c>
      <c r="I20918" t="s">
        <v>47114</v>
      </c>
      <c r="J20918" t="s">
        <v>47115</v>
      </c>
      <c r="K20918" t="s">
        <v>47113</v>
      </c>
      <c r="L20918">
        <v>13.63</v>
      </c>
      <c r="M20918">
        <v>35</v>
      </c>
      <c r="N20918">
        <v>0</v>
      </c>
      <c r="O20918">
        <v>35</v>
      </c>
      <c r="P20918">
        <v>0</v>
      </c>
    </row>
    <row r="20919" spans="1:16" x14ac:dyDescent="0.25">
      <c r="A20919" t="s">
        <v>43763</v>
      </c>
      <c r="B20919" t="s">
        <v>12649</v>
      </c>
      <c r="C20919" t="s">
        <v>12650</v>
      </c>
      <c r="D20919" t="str">
        <f>"6305"</f>
        <v>6305</v>
      </c>
      <c r="E20919" t="s">
        <v>12651</v>
      </c>
      <c r="F20919" t="s">
        <v>296</v>
      </c>
      <c r="G20919" t="s">
        <v>47091</v>
      </c>
      <c r="H20919" t="s">
        <v>47054</v>
      </c>
      <c r="I20919" t="s">
        <v>47124</v>
      </c>
      <c r="J20919" t="s">
        <v>47125</v>
      </c>
      <c r="K20919" t="s">
        <v>47113</v>
      </c>
      <c r="L20919">
        <v>14.02</v>
      </c>
      <c r="M20919">
        <v>35</v>
      </c>
      <c r="N20919">
        <v>0</v>
      </c>
      <c r="O20919">
        <v>35</v>
      </c>
      <c r="P20919">
        <v>0</v>
      </c>
    </row>
    <row r="20920" spans="1:16" x14ac:dyDescent="0.25">
      <c r="A20920" t="s">
        <v>43764</v>
      </c>
      <c r="B20920" t="s">
        <v>12652</v>
      </c>
      <c r="C20920" t="s">
        <v>12653</v>
      </c>
      <c r="D20920" t="str">
        <f>"7469"</f>
        <v>7469</v>
      </c>
      <c r="E20920" t="s">
        <v>12654</v>
      </c>
      <c r="F20920" t="s">
        <v>3546</v>
      </c>
      <c r="G20920" t="s">
        <v>47094</v>
      </c>
      <c r="H20920" t="s">
        <v>47054</v>
      </c>
      <c r="I20920" t="s">
        <v>47111</v>
      </c>
      <c r="J20920" t="s">
        <v>47112</v>
      </c>
      <c r="K20920" t="s">
        <v>47113</v>
      </c>
      <c r="L20920">
        <v>31.93</v>
      </c>
      <c r="M20920">
        <v>70</v>
      </c>
      <c r="N20920">
        <v>0</v>
      </c>
      <c r="O20920">
        <v>70</v>
      </c>
      <c r="P20920">
        <v>0</v>
      </c>
    </row>
    <row r="20921" spans="1:16" x14ac:dyDescent="0.25">
      <c r="A20921" t="s">
        <v>43765</v>
      </c>
      <c r="B20921" t="s">
        <v>12655</v>
      </c>
      <c r="C20921" t="s">
        <v>12656</v>
      </c>
      <c r="D20921" t="str">
        <f>"7469"</f>
        <v>7469</v>
      </c>
      <c r="E20921" t="s">
        <v>12654</v>
      </c>
      <c r="F20921" t="s">
        <v>3546</v>
      </c>
      <c r="G20921" t="s">
        <v>47095</v>
      </c>
      <c r="H20921" t="s">
        <v>47054</v>
      </c>
      <c r="I20921" t="s">
        <v>47111</v>
      </c>
      <c r="J20921" t="s">
        <v>47112</v>
      </c>
      <c r="K20921" t="s">
        <v>47113</v>
      </c>
      <c r="L20921">
        <v>28.63</v>
      </c>
      <c r="M20921">
        <v>55</v>
      </c>
      <c r="N20921">
        <v>0</v>
      </c>
      <c r="O20921">
        <v>55</v>
      </c>
      <c r="P20921">
        <v>0</v>
      </c>
    </row>
    <row r="20922" spans="1:16" x14ac:dyDescent="0.25">
      <c r="A20922" t="s">
        <v>43766</v>
      </c>
      <c r="B20922" t="s">
        <v>12657</v>
      </c>
      <c r="C20922" t="s">
        <v>12658</v>
      </c>
      <c r="D20922" t="s">
        <v>721</v>
      </c>
      <c r="E20922" t="s">
        <v>722</v>
      </c>
      <c r="F20922" t="s">
        <v>1401</v>
      </c>
      <c r="G20922" t="s">
        <v>47093</v>
      </c>
      <c r="H20922" t="s">
        <v>47054</v>
      </c>
      <c r="I20922" t="s">
        <v>47111</v>
      </c>
      <c r="J20922" t="s">
        <v>47112</v>
      </c>
      <c r="K20922" t="s">
        <v>47113</v>
      </c>
      <c r="L20922">
        <v>42.12</v>
      </c>
      <c r="M20922">
        <v>94</v>
      </c>
      <c r="N20922">
        <v>0</v>
      </c>
      <c r="O20922">
        <v>94</v>
      </c>
      <c r="P20922">
        <v>0</v>
      </c>
    </row>
    <row r="20923" spans="1:16" x14ac:dyDescent="0.25">
      <c r="A20923" t="s">
        <v>787</v>
      </c>
      <c r="B20923" t="s">
        <v>788</v>
      </c>
      <c r="C20923" t="s">
        <v>789</v>
      </c>
      <c r="D20923" t="s">
        <v>790</v>
      </c>
      <c r="E20923" t="s">
        <v>791</v>
      </c>
      <c r="F20923" t="s">
        <v>36</v>
      </c>
      <c r="G20923" t="s">
        <v>47093</v>
      </c>
      <c r="H20923" t="s">
        <v>47054</v>
      </c>
      <c r="I20923" t="s">
        <v>47111</v>
      </c>
      <c r="J20923" t="s">
        <v>47112</v>
      </c>
      <c r="K20923" t="s">
        <v>47113</v>
      </c>
      <c r="L20923">
        <v>59.7</v>
      </c>
      <c r="M20923">
        <v>71</v>
      </c>
      <c r="N20923">
        <v>0</v>
      </c>
      <c r="O20923">
        <v>71</v>
      </c>
      <c r="P20923">
        <v>0</v>
      </c>
    </row>
    <row r="20924" spans="1:16" x14ac:dyDescent="0.25">
      <c r="A20924" t="s">
        <v>43767</v>
      </c>
      <c r="B20924" t="s">
        <v>12659</v>
      </c>
      <c r="C20924" t="s">
        <v>12660</v>
      </c>
      <c r="D20924" t="s">
        <v>721</v>
      </c>
      <c r="E20924" t="s">
        <v>722</v>
      </c>
      <c r="F20924" t="s">
        <v>687</v>
      </c>
      <c r="G20924" t="s">
        <v>47093</v>
      </c>
      <c r="H20924" t="s">
        <v>47054</v>
      </c>
      <c r="I20924" t="s">
        <v>47111</v>
      </c>
      <c r="J20924" t="s">
        <v>47112</v>
      </c>
      <c r="K20924" t="s">
        <v>47113</v>
      </c>
      <c r="L20924">
        <v>30.08</v>
      </c>
      <c r="M20924">
        <v>68</v>
      </c>
      <c r="N20924">
        <v>0</v>
      </c>
      <c r="O20924">
        <v>68</v>
      </c>
      <c r="P20924">
        <v>0</v>
      </c>
    </row>
    <row r="20925" spans="1:16" x14ac:dyDescent="0.25">
      <c r="A20925" t="s">
        <v>43768</v>
      </c>
      <c r="B20925" t="s">
        <v>12661</v>
      </c>
      <c r="C20925" t="s">
        <v>12662</v>
      </c>
      <c r="D20925" t="str">
        <f>"7100"</f>
        <v>7100</v>
      </c>
      <c r="E20925" t="s">
        <v>225</v>
      </c>
      <c r="F20925" t="s">
        <v>3546</v>
      </c>
      <c r="G20925" t="s">
        <v>47098</v>
      </c>
      <c r="H20925" t="s">
        <v>47054</v>
      </c>
      <c r="I20925" t="s">
        <v>47120</v>
      </c>
      <c r="J20925" t="s">
        <v>47121</v>
      </c>
      <c r="K20925" t="s">
        <v>47113</v>
      </c>
      <c r="L20925">
        <v>63.92</v>
      </c>
      <c r="M20925">
        <v>148</v>
      </c>
      <c r="N20925">
        <v>0</v>
      </c>
      <c r="O20925">
        <v>148</v>
      </c>
      <c r="P20925">
        <v>0</v>
      </c>
    </row>
    <row r="20926" spans="1:16" x14ac:dyDescent="0.25">
      <c r="A20926" t="s">
        <v>43769</v>
      </c>
      <c r="B20926" t="s">
        <v>12663</v>
      </c>
      <c r="C20926" t="s">
        <v>12664</v>
      </c>
      <c r="D20926" t="str">
        <f>"1033"</f>
        <v>1033</v>
      </c>
      <c r="E20926" t="s">
        <v>1195</v>
      </c>
      <c r="F20926" t="s">
        <v>5</v>
      </c>
      <c r="G20926" t="s">
        <v>47091</v>
      </c>
      <c r="H20926" t="s">
        <v>47054</v>
      </c>
      <c r="I20926" t="s">
        <v>47111</v>
      </c>
      <c r="J20926" t="s">
        <v>47112</v>
      </c>
      <c r="K20926" t="s">
        <v>47113</v>
      </c>
      <c r="L20926">
        <v>11.02</v>
      </c>
      <c r="M20926">
        <v>27</v>
      </c>
      <c r="N20926">
        <v>0</v>
      </c>
      <c r="O20926">
        <v>27</v>
      </c>
      <c r="P20926">
        <v>0</v>
      </c>
    </row>
    <row r="20927" spans="1:16" x14ac:dyDescent="0.25">
      <c r="A20927" t="s">
        <v>43770</v>
      </c>
      <c r="B20927" t="s">
        <v>12663</v>
      </c>
      <c r="C20927" t="s">
        <v>12664</v>
      </c>
      <c r="D20927" t="str">
        <f>"1737"</f>
        <v>1737</v>
      </c>
      <c r="E20927" t="s">
        <v>8642</v>
      </c>
      <c r="F20927" t="s">
        <v>5</v>
      </c>
      <c r="G20927" t="s">
        <v>47091</v>
      </c>
      <c r="H20927" t="s">
        <v>47054</v>
      </c>
      <c r="I20927" t="s">
        <v>47111</v>
      </c>
      <c r="J20927" t="s">
        <v>47112</v>
      </c>
      <c r="K20927" t="s">
        <v>47113</v>
      </c>
      <c r="L20927">
        <v>11.02</v>
      </c>
      <c r="M20927">
        <v>27</v>
      </c>
      <c r="N20927">
        <v>0</v>
      </c>
      <c r="O20927">
        <v>27</v>
      </c>
      <c r="P20927">
        <v>0</v>
      </c>
    </row>
    <row r="20928" spans="1:16" x14ac:dyDescent="0.25">
      <c r="A20928" t="s">
        <v>43771</v>
      </c>
      <c r="B20928" t="s">
        <v>12663</v>
      </c>
      <c r="C20928" t="s">
        <v>12664</v>
      </c>
      <c r="D20928" t="str">
        <f>"1746"</f>
        <v>1746</v>
      </c>
      <c r="E20928" t="s">
        <v>807</v>
      </c>
      <c r="F20928" t="s">
        <v>5</v>
      </c>
      <c r="G20928" t="s">
        <v>47091</v>
      </c>
      <c r="H20928" t="s">
        <v>47054</v>
      </c>
      <c r="I20928" t="s">
        <v>47111</v>
      </c>
      <c r="J20928" t="s">
        <v>47112</v>
      </c>
      <c r="K20928" t="s">
        <v>47113</v>
      </c>
      <c r="L20928">
        <v>10.48</v>
      </c>
      <c r="M20928">
        <v>27</v>
      </c>
      <c r="N20928">
        <v>0</v>
      </c>
      <c r="O20928">
        <v>27</v>
      </c>
      <c r="P20928">
        <v>0</v>
      </c>
    </row>
    <row r="20929" spans="1:16" x14ac:dyDescent="0.25">
      <c r="A20929" t="s">
        <v>43772</v>
      </c>
      <c r="B20929" t="s">
        <v>12663</v>
      </c>
      <c r="C20929" t="s">
        <v>12664</v>
      </c>
      <c r="D20929" t="str">
        <f>"4134"</f>
        <v>4134</v>
      </c>
      <c r="E20929" t="s">
        <v>6455</v>
      </c>
      <c r="F20929" t="s">
        <v>5</v>
      </c>
      <c r="G20929" t="s">
        <v>47091</v>
      </c>
      <c r="H20929" t="s">
        <v>47054</v>
      </c>
      <c r="I20929" t="s">
        <v>47111</v>
      </c>
      <c r="J20929" t="s">
        <v>47112</v>
      </c>
      <c r="K20929" t="s">
        <v>47113</v>
      </c>
      <c r="L20929">
        <v>11.02</v>
      </c>
      <c r="M20929">
        <v>27</v>
      </c>
      <c r="N20929">
        <v>0</v>
      </c>
      <c r="O20929">
        <v>27</v>
      </c>
      <c r="P20929">
        <v>0</v>
      </c>
    </row>
    <row r="20930" spans="1:16" x14ac:dyDescent="0.25">
      <c r="A20930" t="s">
        <v>43773</v>
      </c>
      <c r="B20930" t="s">
        <v>12663</v>
      </c>
      <c r="C20930" t="s">
        <v>12664</v>
      </c>
      <c r="D20930" t="str">
        <f>"4434"</f>
        <v>4434</v>
      </c>
      <c r="E20930" t="s">
        <v>6450</v>
      </c>
      <c r="F20930" t="s">
        <v>5</v>
      </c>
      <c r="G20930" t="s">
        <v>47091</v>
      </c>
      <c r="H20930" t="s">
        <v>47054</v>
      </c>
      <c r="I20930" t="s">
        <v>47111</v>
      </c>
      <c r="J20930" t="s">
        <v>47112</v>
      </c>
      <c r="K20930" t="s">
        <v>47113</v>
      </c>
      <c r="L20930">
        <v>11.02</v>
      </c>
      <c r="M20930">
        <v>27</v>
      </c>
      <c r="N20930">
        <v>0</v>
      </c>
      <c r="O20930">
        <v>27</v>
      </c>
      <c r="P20930">
        <v>0</v>
      </c>
    </row>
    <row r="20931" spans="1:16" x14ac:dyDescent="0.25">
      <c r="A20931" t="s">
        <v>43774</v>
      </c>
      <c r="B20931" t="s">
        <v>12663</v>
      </c>
      <c r="C20931" t="s">
        <v>12664</v>
      </c>
      <c r="D20931" t="str">
        <f>"6050"</f>
        <v>6050</v>
      </c>
      <c r="E20931" t="s">
        <v>6890</v>
      </c>
      <c r="F20931" t="s">
        <v>5</v>
      </c>
      <c r="G20931" t="s">
        <v>47091</v>
      </c>
      <c r="H20931" t="s">
        <v>47054</v>
      </c>
      <c r="I20931" t="s">
        <v>47111</v>
      </c>
      <c r="J20931" t="s">
        <v>47112</v>
      </c>
      <c r="K20931" t="s">
        <v>47113</v>
      </c>
      <c r="L20931">
        <v>11.02</v>
      </c>
      <c r="M20931">
        <v>27</v>
      </c>
      <c r="N20931">
        <v>0</v>
      </c>
      <c r="O20931">
        <v>27</v>
      </c>
      <c r="P20931">
        <v>0</v>
      </c>
    </row>
    <row r="20932" spans="1:16" x14ac:dyDescent="0.25">
      <c r="A20932" t="s">
        <v>43775</v>
      </c>
      <c r="B20932" t="s">
        <v>12663</v>
      </c>
      <c r="C20932" t="s">
        <v>12664</v>
      </c>
      <c r="D20932" t="str">
        <f>"7323"</f>
        <v>7323</v>
      </c>
      <c r="E20932" t="s">
        <v>6494</v>
      </c>
      <c r="F20932" t="s">
        <v>5</v>
      </c>
      <c r="G20932" t="s">
        <v>47091</v>
      </c>
      <c r="H20932" t="s">
        <v>47054</v>
      </c>
      <c r="I20932" t="s">
        <v>47111</v>
      </c>
      <c r="J20932" t="s">
        <v>47112</v>
      </c>
      <c r="K20932" t="s">
        <v>47113</v>
      </c>
      <c r="L20932">
        <v>11.02</v>
      </c>
      <c r="M20932">
        <v>27</v>
      </c>
      <c r="N20932">
        <v>0</v>
      </c>
      <c r="O20932">
        <v>27</v>
      </c>
      <c r="P20932">
        <v>0</v>
      </c>
    </row>
    <row r="20933" spans="1:16" x14ac:dyDescent="0.25">
      <c r="A20933" t="s">
        <v>43776</v>
      </c>
      <c r="B20933" t="s">
        <v>12663</v>
      </c>
      <c r="C20933" t="s">
        <v>12664</v>
      </c>
      <c r="D20933" t="str">
        <f>"8315"</f>
        <v>8315</v>
      </c>
      <c r="E20933" t="s">
        <v>2750</v>
      </c>
      <c r="F20933" t="s">
        <v>5</v>
      </c>
      <c r="G20933" t="s">
        <v>47091</v>
      </c>
      <c r="H20933" t="s">
        <v>47054</v>
      </c>
      <c r="I20933" t="s">
        <v>47111</v>
      </c>
      <c r="J20933" t="s">
        <v>47112</v>
      </c>
      <c r="K20933" t="s">
        <v>47113</v>
      </c>
      <c r="L20933">
        <v>11.02</v>
      </c>
      <c r="M20933">
        <v>27</v>
      </c>
      <c r="N20933">
        <v>0</v>
      </c>
      <c r="O20933">
        <v>27</v>
      </c>
      <c r="P20933">
        <v>0</v>
      </c>
    </row>
    <row r="20934" spans="1:16" x14ac:dyDescent="0.25">
      <c r="A20934" t="s">
        <v>43777</v>
      </c>
      <c r="B20934" t="s">
        <v>12665</v>
      </c>
      <c r="C20934" t="s">
        <v>12666</v>
      </c>
      <c r="D20934" t="str">
        <f>"1746"</f>
        <v>1746</v>
      </c>
      <c r="E20934" t="s">
        <v>807</v>
      </c>
      <c r="F20934" t="s">
        <v>4</v>
      </c>
      <c r="G20934" t="s">
        <v>47097</v>
      </c>
      <c r="H20934" t="s">
        <v>47054</v>
      </c>
      <c r="I20934" t="s">
        <v>47111</v>
      </c>
      <c r="J20934" t="s">
        <v>47112</v>
      </c>
      <c r="K20934" t="s">
        <v>47113</v>
      </c>
      <c r="L20934">
        <v>13.29</v>
      </c>
      <c r="M20934">
        <v>32</v>
      </c>
      <c r="N20934">
        <v>0</v>
      </c>
      <c r="O20934">
        <v>32</v>
      </c>
      <c r="P20934">
        <v>0</v>
      </c>
    </row>
    <row r="20935" spans="1:16" x14ac:dyDescent="0.25">
      <c r="A20935" t="s">
        <v>43778</v>
      </c>
      <c r="B20935" t="s">
        <v>12665</v>
      </c>
      <c r="C20935" t="s">
        <v>12666</v>
      </c>
      <c r="D20935" t="str">
        <f>"3459"</f>
        <v>3459</v>
      </c>
      <c r="E20935" t="s">
        <v>3152</v>
      </c>
      <c r="F20935" t="s">
        <v>4</v>
      </c>
      <c r="G20935" t="s">
        <v>47097</v>
      </c>
      <c r="H20935" t="s">
        <v>47054</v>
      </c>
      <c r="I20935" t="s">
        <v>47111</v>
      </c>
      <c r="J20935" t="s">
        <v>47112</v>
      </c>
      <c r="K20935" t="s">
        <v>47113</v>
      </c>
      <c r="L20935">
        <v>13.29</v>
      </c>
      <c r="M20935">
        <v>32</v>
      </c>
      <c r="N20935">
        <v>0</v>
      </c>
      <c r="O20935">
        <v>32</v>
      </c>
      <c r="P20935">
        <v>0</v>
      </c>
    </row>
    <row r="20936" spans="1:16" x14ac:dyDescent="0.25">
      <c r="A20936" t="s">
        <v>43779</v>
      </c>
      <c r="B20936" t="s">
        <v>793</v>
      </c>
      <c r="C20936" t="s">
        <v>794</v>
      </c>
      <c r="D20936" t="str">
        <f>"1903"</f>
        <v>1903</v>
      </c>
      <c r="E20936" t="s">
        <v>12667</v>
      </c>
      <c r="F20936" t="s">
        <v>2</v>
      </c>
      <c r="G20936" t="s">
        <v>47091</v>
      </c>
      <c r="H20936" t="s">
        <v>47054</v>
      </c>
      <c r="I20936" t="s">
        <v>47111</v>
      </c>
      <c r="J20936" t="s">
        <v>47112</v>
      </c>
      <c r="K20936" t="s">
        <v>47113</v>
      </c>
      <c r="L20936">
        <v>12.44</v>
      </c>
      <c r="M20936">
        <v>29</v>
      </c>
      <c r="N20936">
        <v>0</v>
      </c>
      <c r="O20936">
        <v>29</v>
      </c>
      <c r="P20936">
        <v>0</v>
      </c>
    </row>
    <row r="20937" spans="1:16" x14ac:dyDescent="0.25">
      <c r="A20937" t="s">
        <v>792</v>
      </c>
      <c r="B20937" t="s">
        <v>793</v>
      </c>
      <c r="C20937" t="s">
        <v>794</v>
      </c>
      <c r="D20937" t="str">
        <f>"3343"</f>
        <v>3343</v>
      </c>
      <c r="E20937" t="s">
        <v>795</v>
      </c>
      <c r="F20937" t="s">
        <v>2</v>
      </c>
      <c r="G20937" t="s">
        <v>47091</v>
      </c>
      <c r="H20937" t="s">
        <v>47054</v>
      </c>
      <c r="I20937" t="s">
        <v>47111</v>
      </c>
      <c r="J20937" t="s">
        <v>47112</v>
      </c>
      <c r="K20937" t="s">
        <v>47113</v>
      </c>
      <c r="L20937">
        <v>32.909999999999997</v>
      </c>
      <c r="M20937">
        <v>29</v>
      </c>
      <c r="N20937">
        <v>0</v>
      </c>
      <c r="O20937">
        <v>29</v>
      </c>
      <c r="P20937">
        <v>0</v>
      </c>
    </row>
    <row r="20938" spans="1:16" x14ac:dyDescent="0.25">
      <c r="A20938" t="s">
        <v>796</v>
      </c>
      <c r="B20938" t="s">
        <v>793</v>
      </c>
      <c r="C20938" t="s">
        <v>794</v>
      </c>
      <c r="D20938" t="str">
        <f>"4491"</f>
        <v>4491</v>
      </c>
      <c r="E20938" t="s">
        <v>797</v>
      </c>
      <c r="F20938" t="s">
        <v>2</v>
      </c>
      <c r="G20938" t="s">
        <v>47091</v>
      </c>
      <c r="H20938" t="s">
        <v>47054</v>
      </c>
      <c r="I20938" t="s">
        <v>47111</v>
      </c>
      <c r="J20938" t="s">
        <v>47112</v>
      </c>
      <c r="K20938" t="s">
        <v>47113</v>
      </c>
      <c r="L20938">
        <v>13.3</v>
      </c>
      <c r="M20938">
        <v>29</v>
      </c>
      <c r="N20938">
        <v>0</v>
      </c>
      <c r="O20938">
        <v>29</v>
      </c>
      <c r="P20938">
        <v>0</v>
      </c>
    </row>
    <row r="20939" spans="1:16" x14ac:dyDescent="0.25">
      <c r="A20939" t="s">
        <v>798</v>
      </c>
      <c r="B20939" t="s">
        <v>793</v>
      </c>
      <c r="C20939" t="s">
        <v>794</v>
      </c>
      <c r="D20939" t="str">
        <f>"4552"</f>
        <v>4552</v>
      </c>
      <c r="E20939" t="s">
        <v>799</v>
      </c>
      <c r="F20939" t="s">
        <v>2</v>
      </c>
      <c r="G20939" t="s">
        <v>47091</v>
      </c>
      <c r="H20939" t="s">
        <v>47054</v>
      </c>
      <c r="I20939" t="s">
        <v>47111</v>
      </c>
      <c r="J20939" t="s">
        <v>47112</v>
      </c>
      <c r="K20939" t="s">
        <v>47113</v>
      </c>
      <c r="L20939">
        <v>32.909999999999997</v>
      </c>
      <c r="M20939">
        <v>29</v>
      </c>
      <c r="N20939">
        <v>0</v>
      </c>
      <c r="O20939">
        <v>29</v>
      </c>
      <c r="P20939">
        <v>0</v>
      </c>
    </row>
    <row r="20940" spans="1:16" x14ac:dyDescent="0.25">
      <c r="A20940" t="s">
        <v>800</v>
      </c>
      <c r="B20940" t="s">
        <v>793</v>
      </c>
      <c r="C20940" t="s">
        <v>794</v>
      </c>
      <c r="D20940" t="str">
        <f>"5088"</f>
        <v>5088</v>
      </c>
      <c r="E20940" t="s">
        <v>801</v>
      </c>
      <c r="F20940" t="s">
        <v>2</v>
      </c>
      <c r="G20940" t="s">
        <v>47091</v>
      </c>
      <c r="H20940" t="s">
        <v>47054</v>
      </c>
      <c r="I20940" t="s">
        <v>47111</v>
      </c>
      <c r="J20940" t="s">
        <v>47112</v>
      </c>
      <c r="K20940" t="s">
        <v>47113</v>
      </c>
      <c r="L20940">
        <v>14.45</v>
      </c>
      <c r="M20940">
        <v>29</v>
      </c>
      <c r="N20940">
        <v>0</v>
      </c>
      <c r="O20940">
        <v>29</v>
      </c>
      <c r="P20940">
        <v>0</v>
      </c>
    </row>
    <row r="20941" spans="1:16" x14ac:dyDescent="0.25">
      <c r="A20941" t="s">
        <v>802</v>
      </c>
      <c r="B20941" t="s">
        <v>793</v>
      </c>
      <c r="C20941" t="s">
        <v>794</v>
      </c>
      <c r="D20941" t="str">
        <f>"6267"</f>
        <v>6267</v>
      </c>
      <c r="E20941" t="s">
        <v>803</v>
      </c>
      <c r="F20941" t="s">
        <v>2</v>
      </c>
      <c r="G20941" t="s">
        <v>47091</v>
      </c>
      <c r="H20941" t="s">
        <v>47054</v>
      </c>
      <c r="I20941" t="s">
        <v>47111</v>
      </c>
      <c r="J20941" t="s">
        <v>47112</v>
      </c>
      <c r="K20941" t="s">
        <v>47113</v>
      </c>
      <c r="L20941">
        <v>13.42</v>
      </c>
      <c r="M20941">
        <v>29</v>
      </c>
      <c r="N20941">
        <v>0</v>
      </c>
      <c r="O20941">
        <v>29</v>
      </c>
      <c r="P20941">
        <v>0</v>
      </c>
    </row>
    <row r="20942" spans="1:16" x14ac:dyDescent="0.25">
      <c r="A20942" t="s">
        <v>43780</v>
      </c>
      <c r="B20942" t="s">
        <v>793</v>
      </c>
      <c r="C20942" t="s">
        <v>794</v>
      </c>
      <c r="D20942" t="str">
        <f>"7436"</f>
        <v>7436</v>
      </c>
      <c r="E20942" t="s">
        <v>12668</v>
      </c>
      <c r="F20942" t="s">
        <v>2</v>
      </c>
      <c r="G20942" t="s">
        <v>47091</v>
      </c>
      <c r="H20942" t="s">
        <v>47054</v>
      </c>
      <c r="I20942" t="s">
        <v>47111</v>
      </c>
      <c r="J20942" t="s">
        <v>47112</v>
      </c>
      <c r="K20942" t="s">
        <v>47113</v>
      </c>
      <c r="L20942">
        <v>12.44</v>
      </c>
      <c r="M20942">
        <v>29</v>
      </c>
      <c r="N20942">
        <v>0</v>
      </c>
      <c r="O20942">
        <v>29</v>
      </c>
      <c r="P20942">
        <v>0</v>
      </c>
    </row>
    <row r="20943" spans="1:16" x14ac:dyDescent="0.25">
      <c r="A20943" t="s">
        <v>43781</v>
      </c>
      <c r="B20943" t="s">
        <v>805</v>
      </c>
      <c r="C20943" t="s">
        <v>806</v>
      </c>
      <c r="D20943" t="str">
        <f>"1035"</f>
        <v>1035</v>
      </c>
      <c r="E20943" t="s">
        <v>758</v>
      </c>
      <c r="F20943" t="s">
        <v>4</v>
      </c>
      <c r="G20943" t="s">
        <v>47091</v>
      </c>
      <c r="H20943" t="s">
        <v>47054</v>
      </c>
      <c r="I20943" t="s">
        <v>47111</v>
      </c>
      <c r="J20943" t="s">
        <v>47112</v>
      </c>
      <c r="K20943" t="s">
        <v>47113</v>
      </c>
      <c r="L20943">
        <v>11.63</v>
      </c>
      <c r="M20943">
        <v>28</v>
      </c>
      <c r="N20943">
        <v>0</v>
      </c>
      <c r="O20943">
        <v>28</v>
      </c>
      <c r="P20943">
        <v>0</v>
      </c>
    </row>
    <row r="20944" spans="1:16" x14ac:dyDescent="0.25">
      <c r="A20944" t="s">
        <v>804</v>
      </c>
      <c r="B20944" t="s">
        <v>805</v>
      </c>
      <c r="C20944" t="s">
        <v>806</v>
      </c>
      <c r="D20944" t="str">
        <f>"1746"</f>
        <v>1746</v>
      </c>
      <c r="E20944" t="s">
        <v>807</v>
      </c>
      <c r="F20944" t="s">
        <v>4</v>
      </c>
      <c r="G20944" t="s">
        <v>47091</v>
      </c>
      <c r="H20944" t="s">
        <v>47054</v>
      </c>
      <c r="I20944" t="s">
        <v>47111</v>
      </c>
      <c r="J20944" t="s">
        <v>47112</v>
      </c>
      <c r="K20944" t="s">
        <v>47113</v>
      </c>
      <c r="L20944">
        <v>11.63</v>
      </c>
      <c r="M20944">
        <v>28</v>
      </c>
      <c r="N20944">
        <v>0</v>
      </c>
      <c r="O20944">
        <v>28</v>
      </c>
      <c r="P20944">
        <v>0</v>
      </c>
    </row>
    <row r="20945" spans="1:16" x14ac:dyDescent="0.25">
      <c r="A20945" t="s">
        <v>43782</v>
      </c>
      <c r="B20945" t="s">
        <v>805</v>
      </c>
      <c r="C20945" t="s">
        <v>806</v>
      </c>
      <c r="D20945" t="str">
        <f>"2171"</f>
        <v>2171</v>
      </c>
      <c r="E20945" t="s">
        <v>12669</v>
      </c>
      <c r="F20945" t="s">
        <v>4</v>
      </c>
      <c r="G20945" t="s">
        <v>47091</v>
      </c>
      <c r="H20945" t="s">
        <v>47054</v>
      </c>
      <c r="I20945" t="s">
        <v>47111</v>
      </c>
      <c r="J20945" t="s">
        <v>47112</v>
      </c>
      <c r="K20945" t="s">
        <v>47113</v>
      </c>
      <c r="L20945">
        <v>11.63</v>
      </c>
      <c r="M20945">
        <v>28</v>
      </c>
      <c r="N20945">
        <v>0</v>
      </c>
      <c r="O20945">
        <v>28</v>
      </c>
      <c r="P20945">
        <v>0</v>
      </c>
    </row>
    <row r="20946" spans="1:16" x14ac:dyDescent="0.25">
      <c r="A20946" t="s">
        <v>43783</v>
      </c>
      <c r="B20946" t="s">
        <v>12670</v>
      </c>
      <c r="C20946" t="s">
        <v>12671</v>
      </c>
      <c r="D20946" t="str">
        <f>"1035"</f>
        <v>1035</v>
      </c>
      <c r="E20946" t="s">
        <v>758</v>
      </c>
      <c r="F20946" t="s">
        <v>4</v>
      </c>
      <c r="G20946" t="s">
        <v>47091</v>
      </c>
      <c r="H20946" t="s">
        <v>47054</v>
      </c>
      <c r="I20946" t="s">
        <v>47111</v>
      </c>
      <c r="J20946" t="s">
        <v>47112</v>
      </c>
      <c r="K20946" t="s">
        <v>47113</v>
      </c>
      <c r="L20946">
        <v>10.77</v>
      </c>
      <c r="M20946">
        <v>26</v>
      </c>
      <c r="N20946">
        <v>0</v>
      </c>
      <c r="O20946">
        <v>26</v>
      </c>
      <c r="P20946">
        <v>0</v>
      </c>
    </row>
    <row r="20947" spans="1:16" x14ac:dyDescent="0.25">
      <c r="A20947" t="s">
        <v>43784</v>
      </c>
      <c r="B20947" t="s">
        <v>12670</v>
      </c>
      <c r="C20947" t="s">
        <v>12671</v>
      </c>
      <c r="D20947" t="str">
        <f>"1746"</f>
        <v>1746</v>
      </c>
      <c r="E20947" t="s">
        <v>807</v>
      </c>
      <c r="F20947" t="s">
        <v>4</v>
      </c>
      <c r="G20947" t="s">
        <v>47091</v>
      </c>
      <c r="H20947" t="s">
        <v>47054</v>
      </c>
      <c r="I20947" t="s">
        <v>47111</v>
      </c>
      <c r="J20947" t="s">
        <v>47112</v>
      </c>
      <c r="K20947" t="s">
        <v>47113</v>
      </c>
      <c r="L20947">
        <v>10.77</v>
      </c>
      <c r="M20947">
        <v>26</v>
      </c>
      <c r="N20947">
        <v>0</v>
      </c>
      <c r="O20947">
        <v>26</v>
      </c>
      <c r="P20947">
        <v>0</v>
      </c>
    </row>
    <row r="20948" spans="1:16" x14ac:dyDescent="0.25">
      <c r="A20948" t="s">
        <v>43785</v>
      </c>
      <c r="B20948" t="s">
        <v>12670</v>
      </c>
      <c r="C20948" t="s">
        <v>12671</v>
      </c>
      <c r="D20948" t="str">
        <f>"3459"</f>
        <v>3459</v>
      </c>
      <c r="E20948" t="s">
        <v>3152</v>
      </c>
      <c r="F20948" t="s">
        <v>4</v>
      </c>
      <c r="G20948" t="s">
        <v>47091</v>
      </c>
      <c r="H20948" t="s">
        <v>47054</v>
      </c>
      <c r="I20948" t="s">
        <v>47111</v>
      </c>
      <c r="J20948" t="s">
        <v>47112</v>
      </c>
      <c r="K20948" t="s">
        <v>47113</v>
      </c>
      <c r="L20948">
        <v>10.77</v>
      </c>
      <c r="M20948">
        <v>27</v>
      </c>
      <c r="N20948">
        <v>0</v>
      </c>
      <c r="O20948">
        <v>27</v>
      </c>
      <c r="P20948">
        <v>0</v>
      </c>
    </row>
    <row r="20949" spans="1:16" x14ac:dyDescent="0.25">
      <c r="A20949" t="s">
        <v>43786</v>
      </c>
      <c r="B20949" t="s">
        <v>12670</v>
      </c>
      <c r="C20949" t="s">
        <v>12671</v>
      </c>
      <c r="D20949" t="str">
        <f>"6635"</f>
        <v>6635</v>
      </c>
      <c r="E20949" t="s">
        <v>3147</v>
      </c>
      <c r="F20949" t="s">
        <v>4</v>
      </c>
      <c r="G20949" t="s">
        <v>47091</v>
      </c>
      <c r="H20949" t="s">
        <v>47054</v>
      </c>
      <c r="I20949" t="s">
        <v>47111</v>
      </c>
      <c r="J20949" t="s">
        <v>47112</v>
      </c>
      <c r="K20949" t="s">
        <v>47113</v>
      </c>
      <c r="L20949">
        <v>10.77</v>
      </c>
      <c r="M20949">
        <v>27</v>
      </c>
      <c r="N20949">
        <v>0</v>
      </c>
      <c r="O20949">
        <v>27</v>
      </c>
      <c r="P20949">
        <v>0</v>
      </c>
    </row>
    <row r="20950" spans="1:16" x14ac:dyDescent="0.25">
      <c r="A20950" t="s">
        <v>43787</v>
      </c>
      <c r="B20950" t="s">
        <v>12672</v>
      </c>
      <c r="C20950" t="s">
        <v>12673</v>
      </c>
      <c r="D20950" t="str">
        <f>"1035"</f>
        <v>1035</v>
      </c>
      <c r="E20950" t="s">
        <v>758</v>
      </c>
      <c r="F20950" t="s">
        <v>4</v>
      </c>
      <c r="G20950" t="s">
        <v>47091</v>
      </c>
      <c r="H20950" t="s">
        <v>47054</v>
      </c>
      <c r="I20950" t="s">
        <v>47111</v>
      </c>
      <c r="J20950" t="s">
        <v>47112</v>
      </c>
      <c r="K20950" t="s">
        <v>47113</v>
      </c>
      <c r="L20950">
        <v>10.83</v>
      </c>
      <c r="M20950">
        <v>26</v>
      </c>
      <c r="N20950">
        <v>0</v>
      </c>
      <c r="O20950">
        <v>26</v>
      </c>
      <c r="P20950">
        <v>0</v>
      </c>
    </row>
    <row r="20951" spans="1:16" x14ac:dyDescent="0.25">
      <c r="A20951" t="s">
        <v>43788</v>
      </c>
      <c r="B20951" t="s">
        <v>12672</v>
      </c>
      <c r="C20951" t="s">
        <v>12673</v>
      </c>
      <c r="D20951" t="str">
        <f>"1746"</f>
        <v>1746</v>
      </c>
      <c r="E20951" t="s">
        <v>807</v>
      </c>
      <c r="F20951" t="s">
        <v>4</v>
      </c>
      <c r="G20951" t="s">
        <v>47091</v>
      </c>
      <c r="H20951" t="s">
        <v>47054</v>
      </c>
      <c r="I20951" t="s">
        <v>47111</v>
      </c>
      <c r="J20951" t="s">
        <v>47112</v>
      </c>
      <c r="K20951" t="s">
        <v>47113</v>
      </c>
      <c r="L20951">
        <v>10.83</v>
      </c>
      <c r="M20951">
        <v>26</v>
      </c>
      <c r="N20951">
        <v>0</v>
      </c>
      <c r="O20951">
        <v>26</v>
      </c>
      <c r="P20951">
        <v>0</v>
      </c>
    </row>
    <row r="20952" spans="1:16" x14ac:dyDescent="0.25">
      <c r="A20952" t="s">
        <v>43789</v>
      </c>
      <c r="B20952" t="s">
        <v>12674</v>
      </c>
      <c r="C20952" t="s">
        <v>12675</v>
      </c>
      <c r="D20952" t="str">
        <f>"1746"</f>
        <v>1746</v>
      </c>
      <c r="E20952" t="s">
        <v>807</v>
      </c>
      <c r="F20952" t="s">
        <v>4</v>
      </c>
      <c r="G20952" t="s">
        <v>47091</v>
      </c>
      <c r="H20952" t="s">
        <v>47054</v>
      </c>
      <c r="I20952" t="s">
        <v>47111</v>
      </c>
      <c r="J20952" t="s">
        <v>47112</v>
      </c>
      <c r="K20952" t="s">
        <v>47113</v>
      </c>
      <c r="L20952">
        <v>14.41</v>
      </c>
      <c r="M20952">
        <v>35</v>
      </c>
      <c r="N20952">
        <v>0</v>
      </c>
      <c r="O20952">
        <v>35</v>
      </c>
      <c r="P20952">
        <v>0</v>
      </c>
    </row>
    <row r="20953" spans="1:16" x14ac:dyDescent="0.25">
      <c r="A20953" t="s">
        <v>43790</v>
      </c>
      <c r="B20953" t="s">
        <v>12676</v>
      </c>
      <c r="C20953" t="s">
        <v>6116</v>
      </c>
      <c r="D20953" t="str">
        <f>"7100"</f>
        <v>7100</v>
      </c>
      <c r="E20953" t="s">
        <v>225</v>
      </c>
      <c r="F20953" t="s">
        <v>3670</v>
      </c>
      <c r="G20953" t="s">
        <v>47098</v>
      </c>
      <c r="I20953" t="s">
        <v>47111</v>
      </c>
      <c r="J20953" t="s">
        <v>47112</v>
      </c>
      <c r="K20953" t="s">
        <v>47113</v>
      </c>
      <c r="L20953">
        <v>35.46</v>
      </c>
      <c r="M20953">
        <v>92</v>
      </c>
      <c r="N20953">
        <v>0</v>
      </c>
      <c r="O20953">
        <v>92</v>
      </c>
      <c r="P20953">
        <v>0</v>
      </c>
    </row>
    <row r="20954" spans="1:16" x14ac:dyDescent="0.25">
      <c r="A20954" t="s">
        <v>43791</v>
      </c>
      <c r="B20954" t="s">
        <v>12677</v>
      </c>
      <c r="C20954" t="s">
        <v>12678</v>
      </c>
      <c r="D20954" t="s">
        <v>12679</v>
      </c>
      <c r="E20954" t="s">
        <v>12680</v>
      </c>
      <c r="F20954" t="s">
        <v>3670</v>
      </c>
      <c r="G20954" t="s">
        <v>47101</v>
      </c>
      <c r="H20954" t="s">
        <v>47054</v>
      </c>
      <c r="I20954" t="s">
        <v>47136</v>
      </c>
      <c r="J20954" t="s">
        <v>47137</v>
      </c>
      <c r="K20954" t="s">
        <v>47113</v>
      </c>
      <c r="L20954">
        <v>45.8</v>
      </c>
      <c r="M20954">
        <v>66</v>
      </c>
      <c r="N20954">
        <v>0</v>
      </c>
      <c r="O20954">
        <v>66</v>
      </c>
      <c r="P20954">
        <v>0</v>
      </c>
    </row>
    <row r="20955" spans="1:16" x14ac:dyDescent="0.25">
      <c r="A20955" t="s">
        <v>43792</v>
      </c>
      <c r="B20955" t="s">
        <v>12681</v>
      </c>
      <c r="C20955" t="s">
        <v>12682</v>
      </c>
      <c r="D20955" t="str">
        <f>"1746"</f>
        <v>1746</v>
      </c>
      <c r="E20955" t="s">
        <v>807</v>
      </c>
      <c r="F20955" t="s">
        <v>7</v>
      </c>
      <c r="G20955" t="s">
        <v>47091</v>
      </c>
      <c r="H20955" t="s">
        <v>47054</v>
      </c>
      <c r="I20955" t="s">
        <v>47114</v>
      </c>
      <c r="J20955" t="s">
        <v>47115</v>
      </c>
      <c r="K20955" t="s">
        <v>47113</v>
      </c>
      <c r="L20955">
        <v>9.94</v>
      </c>
      <c r="M20955">
        <v>23</v>
      </c>
      <c r="N20955">
        <v>0</v>
      </c>
      <c r="O20955">
        <v>23</v>
      </c>
      <c r="P20955">
        <v>0</v>
      </c>
    </row>
    <row r="20956" spans="1:16" x14ac:dyDescent="0.25">
      <c r="A20956" t="s">
        <v>43793</v>
      </c>
      <c r="B20956" t="s">
        <v>12681</v>
      </c>
      <c r="C20956" t="s">
        <v>12682</v>
      </c>
      <c r="D20956" t="str">
        <f>"3021"</f>
        <v>3021</v>
      </c>
      <c r="E20956" t="s">
        <v>2690</v>
      </c>
      <c r="F20956" t="s">
        <v>7</v>
      </c>
      <c r="G20956" t="s">
        <v>47091</v>
      </c>
      <c r="H20956" t="s">
        <v>47054</v>
      </c>
      <c r="I20956" t="s">
        <v>47114</v>
      </c>
      <c r="J20956" t="s">
        <v>47115</v>
      </c>
      <c r="K20956" t="s">
        <v>47113</v>
      </c>
      <c r="L20956">
        <v>10.19</v>
      </c>
      <c r="M20956">
        <v>28</v>
      </c>
      <c r="N20956">
        <v>0</v>
      </c>
      <c r="O20956">
        <v>28</v>
      </c>
      <c r="P20956">
        <v>0</v>
      </c>
    </row>
    <row r="20957" spans="1:16" x14ac:dyDescent="0.25">
      <c r="A20957" t="s">
        <v>43794</v>
      </c>
      <c r="B20957" t="s">
        <v>808</v>
      </c>
      <c r="C20957" t="s">
        <v>809</v>
      </c>
      <c r="D20957" t="str">
        <f>"4129"</f>
        <v>4129</v>
      </c>
      <c r="E20957" t="s">
        <v>7486</v>
      </c>
      <c r="F20957" t="s">
        <v>296</v>
      </c>
      <c r="G20957" t="s">
        <v>47103</v>
      </c>
      <c r="H20957" t="s">
        <v>47054</v>
      </c>
      <c r="I20957" t="s">
        <v>47111</v>
      </c>
      <c r="J20957" t="s">
        <v>47112</v>
      </c>
      <c r="K20957" t="s">
        <v>47113</v>
      </c>
      <c r="L20957">
        <v>15.38</v>
      </c>
      <c r="M20957">
        <v>30</v>
      </c>
      <c r="N20957">
        <v>0</v>
      </c>
      <c r="O20957">
        <v>30</v>
      </c>
      <c r="P20957">
        <v>0</v>
      </c>
    </row>
    <row r="20958" spans="1:16" x14ac:dyDescent="0.25">
      <c r="A20958" t="s">
        <v>43795</v>
      </c>
      <c r="B20958" t="s">
        <v>808</v>
      </c>
      <c r="C20958" t="s">
        <v>809</v>
      </c>
      <c r="D20958" t="str">
        <f>"5011"</f>
        <v>5011</v>
      </c>
      <c r="E20958" t="s">
        <v>810</v>
      </c>
      <c r="F20958" t="s">
        <v>296</v>
      </c>
      <c r="G20958" t="s">
        <v>47103</v>
      </c>
      <c r="H20958" t="s">
        <v>47054</v>
      </c>
      <c r="I20958" t="s">
        <v>47111</v>
      </c>
      <c r="J20958" t="s">
        <v>47112</v>
      </c>
      <c r="K20958" t="s">
        <v>47113</v>
      </c>
      <c r="L20958">
        <v>12.87</v>
      </c>
      <c r="M20958">
        <v>30</v>
      </c>
      <c r="N20958">
        <v>0</v>
      </c>
      <c r="O20958">
        <v>30</v>
      </c>
      <c r="P20958">
        <v>0</v>
      </c>
    </row>
    <row r="20959" spans="1:16" x14ac:dyDescent="0.25">
      <c r="A20959" t="s">
        <v>43796</v>
      </c>
      <c r="B20959" t="s">
        <v>808</v>
      </c>
      <c r="C20959" t="s">
        <v>809</v>
      </c>
      <c r="D20959" t="str">
        <f>"6107"</f>
        <v>6107</v>
      </c>
      <c r="E20959" t="s">
        <v>811</v>
      </c>
      <c r="F20959" t="s">
        <v>296</v>
      </c>
      <c r="G20959" t="s">
        <v>47103</v>
      </c>
      <c r="H20959" t="s">
        <v>47054</v>
      </c>
      <c r="I20959" t="s">
        <v>47111</v>
      </c>
      <c r="J20959" t="s">
        <v>47112</v>
      </c>
      <c r="K20959" t="s">
        <v>47113</v>
      </c>
      <c r="L20959">
        <v>12.87</v>
      </c>
      <c r="M20959">
        <v>30</v>
      </c>
      <c r="N20959">
        <v>0</v>
      </c>
      <c r="O20959">
        <v>30</v>
      </c>
      <c r="P20959">
        <v>0</v>
      </c>
    </row>
    <row r="20960" spans="1:16" x14ac:dyDescent="0.25">
      <c r="A20960" t="s">
        <v>43797</v>
      </c>
      <c r="B20960" t="s">
        <v>12683</v>
      </c>
      <c r="C20960" t="s">
        <v>11771</v>
      </c>
      <c r="D20960" t="str">
        <f>"1118"</f>
        <v>1118</v>
      </c>
      <c r="E20960" t="s">
        <v>12684</v>
      </c>
      <c r="F20960" t="s">
        <v>3670</v>
      </c>
      <c r="G20960" t="s">
        <v>47098</v>
      </c>
      <c r="H20960" t="s">
        <v>47054</v>
      </c>
      <c r="I20960" t="s">
        <v>47111</v>
      </c>
      <c r="J20960" t="s">
        <v>47112</v>
      </c>
      <c r="K20960" t="s">
        <v>47113</v>
      </c>
      <c r="L20960">
        <v>147.30000000000001</v>
      </c>
      <c r="M20960">
        <v>222</v>
      </c>
      <c r="N20960">
        <v>0</v>
      </c>
      <c r="O20960">
        <v>222</v>
      </c>
      <c r="P20960">
        <v>0</v>
      </c>
    </row>
    <row r="20961" spans="1:16" x14ac:dyDescent="0.25">
      <c r="A20961" t="s">
        <v>43798</v>
      </c>
      <c r="B20961" t="s">
        <v>12685</v>
      </c>
      <c r="C20961" t="s">
        <v>12686</v>
      </c>
      <c r="D20961" t="str">
        <f>"1118"</f>
        <v>1118</v>
      </c>
      <c r="E20961" t="s">
        <v>12684</v>
      </c>
      <c r="F20961" t="s">
        <v>3670</v>
      </c>
      <c r="G20961" t="s">
        <v>49029</v>
      </c>
      <c r="H20961" t="s">
        <v>47054</v>
      </c>
      <c r="I20961" t="s">
        <v>47120</v>
      </c>
      <c r="J20961" t="s">
        <v>47121</v>
      </c>
      <c r="K20961" t="s">
        <v>47113</v>
      </c>
      <c r="L20961">
        <v>67.099999999999994</v>
      </c>
      <c r="M20961">
        <v>129</v>
      </c>
      <c r="N20961">
        <v>0</v>
      </c>
      <c r="O20961">
        <v>129</v>
      </c>
      <c r="P20961">
        <v>0</v>
      </c>
    </row>
    <row r="20962" spans="1:16" x14ac:dyDescent="0.25">
      <c r="A20962" t="s">
        <v>43799</v>
      </c>
      <c r="B20962" t="s">
        <v>12687</v>
      </c>
      <c r="C20962" t="s">
        <v>12688</v>
      </c>
      <c r="D20962" t="str">
        <f>"1272"</f>
        <v>1272</v>
      </c>
      <c r="E20962" t="s">
        <v>12689</v>
      </c>
      <c r="F20962" t="s">
        <v>3670</v>
      </c>
      <c r="G20962" t="s">
        <v>47091</v>
      </c>
      <c r="I20962" t="s">
        <v>47111</v>
      </c>
      <c r="J20962" t="s">
        <v>47112</v>
      </c>
      <c r="K20962" t="s">
        <v>47113</v>
      </c>
      <c r="L20962">
        <v>18.010000000000002</v>
      </c>
      <c r="M20962">
        <v>33</v>
      </c>
      <c r="N20962">
        <v>0</v>
      </c>
      <c r="O20962">
        <v>33</v>
      </c>
      <c r="P20962">
        <v>0</v>
      </c>
    </row>
    <row r="20963" spans="1:16" x14ac:dyDescent="0.25">
      <c r="A20963" t="s">
        <v>43800</v>
      </c>
      <c r="B20963" t="s">
        <v>12687</v>
      </c>
      <c r="C20963" t="s">
        <v>12688</v>
      </c>
      <c r="D20963" t="str">
        <f>"6300"</f>
        <v>6300</v>
      </c>
      <c r="E20963" t="s">
        <v>12690</v>
      </c>
      <c r="F20963" t="s">
        <v>3670</v>
      </c>
      <c r="G20963" t="s">
        <v>47091</v>
      </c>
      <c r="I20963" t="s">
        <v>47111</v>
      </c>
      <c r="J20963" t="s">
        <v>47112</v>
      </c>
      <c r="K20963" t="s">
        <v>47113</v>
      </c>
      <c r="L20963">
        <v>18.010000000000002</v>
      </c>
      <c r="M20963">
        <v>33</v>
      </c>
      <c r="N20963">
        <v>0</v>
      </c>
      <c r="O20963">
        <v>33</v>
      </c>
      <c r="P20963">
        <v>0</v>
      </c>
    </row>
    <row r="20964" spans="1:16" x14ac:dyDescent="0.25">
      <c r="A20964" t="s">
        <v>43801</v>
      </c>
      <c r="B20964" t="s">
        <v>12691</v>
      </c>
      <c r="C20964" t="s">
        <v>12692</v>
      </c>
      <c r="D20964" t="str">
        <f>"1700"</f>
        <v>1700</v>
      </c>
      <c r="E20964" t="s">
        <v>60</v>
      </c>
      <c r="F20964" t="s">
        <v>3558</v>
      </c>
      <c r="G20964" t="s">
        <v>47091</v>
      </c>
      <c r="H20964" t="s">
        <v>47054</v>
      </c>
      <c r="I20964" t="s">
        <v>47111</v>
      </c>
      <c r="J20964" t="s">
        <v>47112</v>
      </c>
      <c r="K20964" t="s">
        <v>47113</v>
      </c>
      <c r="L20964">
        <v>19.489999999999998</v>
      </c>
      <c r="M20964">
        <v>33</v>
      </c>
      <c r="N20964">
        <v>0</v>
      </c>
      <c r="O20964">
        <v>33</v>
      </c>
      <c r="P20964">
        <v>0</v>
      </c>
    </row>
    <row r="20965" spans="1:16" x14ac:dyDescent="0.25">
      <c r="A20965" t="s">
        <v>43802</v>
      </c>
      <c r="B20965" t="s">
        <v>12693</v>
      </c>
      <c r="C20965" t="s">
        <v>12694</v>
      </c>
      <c r="D20965" t="str">
        <f>"1001"</f>
        <v>1001</v>
      </c>
      <c r="E20965" t="s">
        <v>7601</v>
      </c>
      <c r="F20965" t="s">
        <v>3558</v>
      </c>
      <c r="G20965" t="s">
        <v>47094</v>
      </c>
      <c r="H20965" t="s">
        <v>47054</v>
      </c>
      <c r="I20965" t="s">
        <v>47111</v>
      </c>
      <c r="J20965" t="s">
        <v>47112</v>
      </c>
      <c r="K20965" t="s">
        <v>47113</v>
      </c>
      <c r="L20965">
        <v>17.77</v>
      </c>
      <c r="M20965">
        <v>29</v>
      </c>
      <c r="N20965">
        <v>0</v>
      </c>
      <c r="O20965">
        <v>29</v>
      </c>
      <c r="P20965">
        <v>0</v>
      </c>
    </row>
    <row r="20966" spans="1:16" x14ac:dyDescent="0.25">
      <c r="A20966" t="s">
        <v>43803</v>
      </c>
      <c r="B20966" t="s">
        <v>12693</v>
      </c>
      <c r="C20966" t="s">
        <v>12694</v>
      </c>
      <c r="D20966" t="str">
        <f>"1700"</f>
        <v>1700</v>
      </c>
      <c r="E20966" t="s">
        <v>60</v>
      </c>
      <c r="F20966" t="s">
        <v>3558</v>
      </c>
      <c r="G20966" t="s">
        <v>47094</v>
      </c>
      <c r="H20966" t="s">
        <v>47054</v>
      </c>
      <c r="I20966" t="s">
        <v>47111</v>
      </c>
      <c r="J20966" t="s">
        <v>47112</v>
      </c>
      <c r="K20966" t="s">
        <v>47113</v>
      </c>
      <c r="L20966">
        <v>17.77</v>
      </c>
      <c r="M20966">
        <v>29</v>
      </c>
      <c r="N20966">
        <v>0</v>
      </c>
      <c r="O20966">
        <v>29</v>
      </c>
      <c r="P20966">
        <v>0</v>
      </c>
    </row>
    <row r="20967" spans="1:16" x14ac:dyDescent="0.25">
      <c r="A20967" t="s">
        <v>43804</v>
      </c>
      <c r="B20967" t="s">
        <v>12693</v>
      </c>
      <c r="C20967" t="s">
        <v>12694</v>
      </c>
      <c r="D20967" t="str">
        <f>"4108"</f>
        <v>4108</v>
      </c>
      <c r="E20967" t="s">
        <v>6277</v>
      </c>
      <c r="F20967" t="s">
        <v>3558</v>
      </c>
      <c r="G20967" t="s">
        <v>47094</v>
      </c>
      <c r="H20967" t="s">
        <v>47054</v>
      </c>
      <c r="I20967" t="s">
        <v>47111</v>
      </c>
      <c r="J20967" t="s">
        <v>47112</v>
      </c>
      <c r="K20967" t="s">
        <v>47113</v>
      </c>
      <c r="L20967">
        <v>17.77</v>
      </c>
      <c r="M20967">
        <v>29</v>
      </c>
      <c r="N20967">
        <v>0</v>
      </c>
      <c r="O20967">
        <v>29</v>
      </c>
      <c r="P20967">
        <v>0</v>
      </c>
    </row>
    <row r="20968" spans="1:16" x14ac:dyDescent="0.25">
      <c r="A20968" t="s">
        <v>43805</v>
      </c>
      <c r="B20968" t="s">
        <v>12693</v>
      </c>
      <c r="C20968" t="s">
        <v>12694</v>
      </c>
      <c r="D20968" t="str">
        <f>"6304"</f>
        <v>6304</v>
      </c>
      <c r="E20968" t="s">
        <v>65</v>
      </c>
      <c r="F20968" t="s">
        <v>3558</v>
      </c>
      <c r="G20968" t="s">
        <v>47094</v>
      </c>
      <c r="H20968" t="s">
        <v>47054</v>
      </c>
      <c r="I20968" t="s">
        <v>47111</v>
      </c>
      <c r="J20968" t="s">
        <v>47112</v>
      </c>
      <c r="K20968" t="s">
        <v>47113</v>
      </c>
      <c r="L20968">
        <v>17.77</v>
      </c>
      <c r="M20968">
        <v>29</v>
      </c>
      <c r="N20968">
        <v>0</v>
      </c>
      <c r="O20968">
        <v>29</v>
      </c>
      <c r="P20968">
        <v>0</v>
      </c>
    </row>
    <row r="20969" spans="1:16" x14ac:dyDescent="0.25">
      <c r="A20969" t="s">
        <v>43806</v>
      </c>
      <c r="B20969" t="s">
        <v>12695</v>
      </c>
      <c r="C20969" t="s">
        <v>12696</v>
      </c>
      <c r="D20969" t="str">
        <f>"1001"</f>
        <v>1001</v>
      </c>
      <c r="E20969" t="s">
        <v>7601</v>
      </c>
      <c r="F20969" t="s">
        <v>3558</v>
      </c>
      <c r="G20969" t="s">
        <v>47094</v>
      </c>
      <c r="H20969" t="s">
        <v>47054</v>
      </c>
      <c r="I20969" t="s">
        <v>47111</v>
      </c>
      <c r="J20969" t="s">
        <v>47112</v>
      </c>
      <c r="K20969" t="s">
        <v>47113</v>
      </c>
      <c r="L20969">
        <v>16.16</v>
      </c>
      <c r="M20969">
        <v>26</v>
      </c>
      <c r="N20969">
        <v>0</v>
      </c>
      <c r="O20969">
        <v>26</v>
      </c>
      <c r="P20969">
        <v>0</v>
      </c>
    </row>
    <row r="20970" spans="1:16" x14ac:dyDescent="0.25">
      <c r="A20970" t="s">
        <v>43807</v>
      </c>
      <c r="B20970" t="s">
        <v>12695</v>
      </c>
      <c r="C20970" t="s">
        <v>12696</v>
      </c>
      <c r="D20970" t="str">
        <f>"1700"</f>
        <v>1700</v>
      </c>
      <c r="E20970" t="s">
        <v>60</v>
      </c>
      <c r="F20970" t="s">
        <v>3558</v>
      </c>
      <c r="G20970" t="s">
        <v>47094</v>
      </c>
      <c r="H20970" t="s">
        <v>47054</v>
      </c>
      <c r="I20970" t="s">
        <v>47111</v>
      </c>
      <c r="J20970" t="s">
        <v>47112</v>
      </c>
      <c r="K20970" t="s">
        <v>47113</v>
      </c>
      <c r="L20970">
        <v>16.16</v>
      </c>
      <c r="M20970">
        <v>26</v>
      </c>
      <c r="N20970">
        <v>0</v>
      </c>
      <c r="O20970">
        <v>26</v>
      </c>
      <c r="P20970">
        <v>0</v>
      </c>
    </row>
    <row r="20971" spans="1:16" x14ac:dyDescent="0.25">
      <c r="A20971" t="s">
        <v>43808</v>
      </c>
      <c r="B20971" t="s">
        <v>12695</v>
      </c>
      <c r="C20971" t="s">
        <v>12696</v>
      </c>
      <c r="D20971" t="str">
        <f>"4108"</f>
        <v>4108</v>
      </c>
      <c r="E20971" t="s">
        <v>6277</v>
      </c>
      <c r="F20971" t="s">
        <v>3558</v>
      </c>
      <c r="G20971" t="s">
        <v>47094</v>
      </c>
      <c r="H20971" t="s">
        <v>47054</v>
      </c>
      <c r="I20971" t="s">
        <v>47111</v>
      </c>
      <c r="J20971" t="s">
        <v>47112</v>
      </c>
      <c r="K20971" t="s">
        <v>47113</v>
      </c>
      <c r="L20971">
        <v>16.16</v>
      </c>
      <c r="M20971">
        <v>26</v>
      </c>
      <c r="N20971">
        <v>0</v>
      </c>
      <c r="O20971">
        <v>26</v>
      </c>
      <c r="P20971">
        <v>0</v>
      </c>
    </row>
    <row r="20972" spans="1:16" x14ac:dyDescent="0.25">
      <c r="A20972" t="s">
        <v>43809</v>
      </c>
      <c r="B20972" t="s">
        <v>12695</v>
      </c>
      <c r="C20972" t="s">
        <v>12696</v>
      </c>
      <c r="D20972" t="str">
        <f>"6304"</f>
        <v>6304</v>
      </c>
      <c r="E20972" t="s">
        <v>65</v>
      </c>
      <c r="F20972" t="s">
        <v>3558</v>
      </c>
      <c r="G20972" t="s">
        <v>47094</v>
      </c>
      <c r="H20972" t="s">
        <v>47054</v>
      </c>
      <c r="I20972" t="s">
        <v>47111</v>
      </c>
      <c r="J20972" t="s">
        <v>47112</v>
      </c>
      <c r="K20972" t="s">
        <v>47113</v>
      </c>
      <c r="L20972">
        <v>16.16</v>
      </c>
      <c r="M20972">
        <v>26</v>
      </c>
      <c r="N20972">
        <v>0</v>
      </c>
      <c r="O20972">
        <v>26</v>
      </c>
      <c r="P20972">
        <v>0</v>
      </c>
    </row>
    <row r="20973" spans="1:16" x14ac:dyDescent="0.25">
      <c r="A20973" t="s">
        <v>43810</v>
      </c>
      <c r="B20973" t="s">
        <v>12697</v>
      </c>
      <c r="C20973" t="s">
        <v>12698</v>
      </c>
      <c r="D20973" t="str">
        <f>"7410"</f>
        <v>7410</v>
      </c>
      <c r="E20973" t="s">
        <v>12699</v>
      </c>
      <c r="F20973" t="s">
        <v>296</v>
      </c>
      <c r="G20973" t="s">
        <v>47101</v>
      </c>
      <c r="H20973" t="s">
        <v>47054</v>
      </c>
      <c r="I20973" t="s">
        <v>47114</v>
      </c>
      <c r="J20973" t="s">
        <v>47115</v>
      </c>
      <c r="K20973" t="s">
        <v>47113</v>
      </c>
      <c r="L20973">
        <v>28.51</v>
      </c>
      <c r="M20973">
        <v>61</v>
      </c>
      <c r="N20973">
        <v>0</v>
      </c>
      <c r="O20973">
        <v>61</v>
      </c>
      <c r="P20973">
        <v>0</v>
      </c>
    </row>
    <row r="20974" spans="1:16" x14ac:dyDescent="0.25">
      <c r="A20974" t="s">
        <v>43811</v>
      </c>
      <c r="B20974" t="s">
        <v>12700</v>
      </c>
      <c r="C20974" t="s">
        <v>12701</v>
      </c>
      <c r="D20974" t="str">
        <f>"1024"</f>
        <v>1024</v>
      </c>
      <c r="E20974" t="s">
        <v>717</v>
      </c>
      <c r="F20974" t="s">
        <v>3670</v>
      </c>
      <c r="G20974" t="s">
        <v>47095</v>
      </c>
      <c r="H20974" t="s">
        <v>47054</v>
      </c>
      <c r="I20974" t="s">
        <v>47111</v>
      </c>
      <c r="J20974" t="s">
        <v>47112</v>
      </c>
      <c r="K20974" t="s">
        <v>47113</v>
      </c>
      <c r="L20974">
        <v>22.22</v>
      </c>
      <c r="M20974">
        <v>48</v>
      </c>
      <c r="N20974">
        <v>0</v>
      </c>
      <c r="O20974">
        <v>48</v>
      </c>
      <c r="P20974">
        <v>0</v>
      </c>
    </row>
    <row r="20975" spans="1:16" x14ac:dyDescent="0.25">
      <c r="A20975" t="s">
        <v>43812</v>
      </c>
      <c r="B20975" t="s">
        <v>12700</v>
      </c>
      <c r="C20975" t="s">
        <v>12701</v>
      </c>
      <c r="D20975" t="str">
        <f>"6301"</f>
        <v>6301</v>
      </c>
      <c r="E20975" t="s">
        <v>12702</v>
      </c>
      <c r="F20975" t="s">
        <v>3670</v>
      </c>
      <c r="G20975" t="s">
        <v>47095</v>
      </c>
      <c r="H20975" t="s">
        <v>47054</v>
      </c>
      <c r="I20975" t="s">
        <v>47111</v>
      </c>
      <c r="J20975" t="s">
        <v>47112</v>
      </c>
      <c r="K20975" t="s">
        <v>47113</v>
      </c>
      <c r="L20975">
        <v>22.22</v>
      </c>
      <c r="M20975">
        <v>48</v>
      </c>
      <c r="N20975">
        <v>0</v>
      </c>
      <c r="O20975">
        <v>48</v>
      </c>
      <c r="P20975">
        <v>0</v>
      </c>
    </row>
    <row r="20976" spans="1:16" x14ac:dyDescent="0.25">
      <c r="A20976" t="s">
        <v>43813</v>
      </c>
      <c r="B20976" t="s">
        <v>12703</v>
      </c>
      <c r="C20976" t="s">
        <v>22104</v>
      </c>
      <c r="D20976" t="str">
        <f>"1024"</f>
        <v>1024</v>
      </c>
      <c r="E20976" t="s">
        <v>717</v>
      </c>
      <c r="F20976" t="s">
        <v>3670</v>
      </c>
      <c r="G20976" t="s">
        <v>47094</v>
      </c>
      <c r="H20976" t="s">
        <v>47054</v>
      </c>
      <c r="I20976" t="s">
        <v>47111</v>
      </c>
      <c r="J20976" t="s">
        <v>47112</v>
      </c>
      <c r="K20976" t="s">
        <v>47113</v>
      </c>
      <c r="L20976">
        <v>21.4</v>
      </c>
      <c r="M20976">
        <v>55</v>
      </c>
      <c r="N20976">
        <v>0</v>
      </c>
      <c r="O20976">
        <v>55</v>
      </c>
      <c r="P20976">
        <v>0</v>
      </c>
    </row>
    <row r="20977" spans="1:16" x14ac:dyDescent="0.25">
      <c r="A20977" t="s">
        <v>43814</v>
      </c>
      <c r="B20977" t="s">
        <v>12703</v>
      </c>
      <c r="C20977" t="s">
        <v>22104</v>
      </c>
      <c r="D20977" t="str">
        <f>"6301"</f>
        <v>6301</v>
      </c>
      <c r="E20977" t="s">
        <v>12702</v>
      </c>
      <c r="F20977" t="s">
        <v>3670</v>
      </c>
      <c r="G20977" t="s">
        <v>47094</v>
      </c>
      <c r="H20977" t="s">
        <v>47054</v>
      </c>
      <c r="I20977" t="s">
        <v>47111</v>
      </c>
      <c r="J20977" t="s">
        <v>47112</v>
      </c>
      <c r="K20977" t="s">
        <v>47113</v>
      </c>
      <c r="L20977">
        <v>21.4</v>
      </c>
      <c r="M20977">
        <v>48</v>
      </c>
      <c r="N20977">
        <v>0</v>
      </c>
      <c r="O20977">
        <v>48</v>
      </c>
      <c r="P20977">
        <v>0</v>
      </c>
    </row>
    <row r="20978" spans="1:16" x14ac:dyDescent="0.25">
      <c r="A20978" t="s">
        <v>43815</v>
      </c>
      <c r="B20978" t="s">
        <v>12704</v>
      </c>
      <c r="C20978" t="s">
        <v>12705</v>
      </c>
      <c r="D20978" t="str">
        <f>"1024"</f>
        <v>1024</v>
      </c>
      <c r="E20978" t="s">
        <v>717</v>
      </c>
      <c r="F20978" t="s">
        <v>3670</v>
      </c>
      <c r="G20978" t="s">
        <v>47094</v>
      </c>
      <c r="H20978" t="s">
        <v>47054</v>
      </c>
      <c r="I20978" t="s">
        <v>47111</v>
      </c>
      <c r="J20978" t="s">
        <v>47112</v>
      </c>
      <c r="K20978" t="s">
        <v>47113</v>
      </c>
      <c r="L20978">
        <v>30.93</v>
      </c>
      <c r="M20978">
        <v>59</v>
      </c>
      <c r="N20978">
        <v>0</v>
      </c>
      <c r="O20978">
        <v>59</v>
      </c>
      <c r="P20978">
        <v>0</v>
      </c>
    </row>
    <row r="20979" spans="1:16" x14ac:dyDescent="0.25">
      <c r="A20979" t="s">
        <v>43816</v>
      </c>
      <c r="B20979" t="s">
        <v>12706</v>
      </c>
      <c r="C20979" t="s">
        <v>12707</v>
      </c>
      <c r="D20979" t="str">
        <f>"1024"</f>
        <v>1024</v>
      </c>
      <c r="E20979" t="s">
        <v>717</v>
      </c>
      <c r="F20979" t="s">
        <v>3670</v>
      </c>
      <c r="G20979" t="s">
        <v>47095</v>
      </c>
      <c r="I20979" t="s">
        <v>47111</v>
      </c>
      <c r="J20979" t="s">
        <v>47112</v>
      </c>
      <c r="K20979" t="s">
        <v>47113</v>
      </c>
      <c r="L20979">
        <v>28.64</v>
      </c>
      <c r="M20979">
        <v>51</v>
      </c>
      <c r="N20979">
        <v>0</v>
      </c>
      <c r="O20979">
        <v>51</v>
      </c>
      <c r="P20979">
        <v>0</v>
      </c>
    </row>
    <row r="20980" spans="1:16" x14ac:dyDescent="0.25">
      <c r="A20980" t="s">
        <v>43817</v>
      </c>
      <c r="B20980" t="s">
        <v>12708</v>
      </c>
      <c r="C20980" t="s">
        <v>19222</v>
      </c>
      <c r="D20980" t="str">
        <f>"1024"</f>
        <v>1024</v>
      </c>
      <c r="E20980" t="s">
        <v>717</v>
      </c>
      <c r="F20980" t="s">
        <v>3670</v>
      </c>
      <c r="G20980" t="s">
        <v>47101</v>
      </c>
      <c r="H20980" t="s">
        <v>47054</v>
      </c>
      <c r="I20980" t="s">
        <v>47111</v>
      </c>
      <c r="J20980" t="s">
        <v>47112</v>
      </c>
      <c r="K20980" t="s">
        <v>47113</v>
      </c>
      <c r="L20980">
        <v>40.659999999999997</v>
      </c>
      <c r="M20980">
        <v>66</v>
      </c>
      <c r="N20980">
        <v>0</v>
      </c>
      <c r="O20980">
        <v>66</v>
      </c>
      <c r="P20980">
        <v>0</v>
      </c>
    </row>
    <row r="20981" spans="1:16" x14ac:dyDescent="0.25">
      <c r="A20981" t="s">
        <v>43818</v>
      </c>
      <c r="B20981" t="s">
        <v>12708</v>
      </c>
      <c r="C20981" t="s">
        <v>19222</v>
      </c>
      <c r="D20981" t="str">
        <f>"1745"</f>
        <v>1745</v>
      </c>
      <c r="E20981" t="s">
        <v>1659</v>
      </c>
      <c r="F20981" t="s">
        <v>3670</v>
      </c>
      <c r="G20981" t="s">
        <v>47101</v>
      </c>
      <c r="H20981" t="s">
        <v>47054</v>
      </c>
      <c r="I20981" t="s">
        <v>47111</v>
      </c>
      <c r="J20981" t="s">
        <v>47112</v>
      </c>
      <c r="K20981" t="s">
        <v>47113</v>
      </c>
      <c r="L20981">
        <v>41.43</v>
      </c>
      <c r="M20981">
        <v>66</v>
      </c>
      <c r="N20981">
        <v>0</v>
      </c>
      <c r="O20981">
        <v>66</v>
      </c>
      <c r="P20981">
        <v>0</v>
      </c>
    </row>
    <row r="20982" spans="1:16" x14ac:dyDescent="0.25">
      <c r="A20982" t="s">
        <v>43819</v>
      </c>
      <c r="B20982" t="s">
        <v>12708</v>
      </c>
      <c r="C20982" t="s">
        <v>19222</v>
      </c>
      <c r="D20982" t="str">
        <f>"4076"</f>
        <v>4076</v>
      </c>
      <c r="E20982" t="s">
        <v>12709</v>
      </c>
      <c r="F20982" t="s">
        <v>3670</v>
      </c>
      <c r="G20982" t="s">
        <v>47101</v>
      </c>
      <c r="H20982" t="s">
        <v>47054</v>
      </c>
      <c r="I20982" t="s">
        <v>47111</v>
      </c>
      <c r="J20982" t="s">
        <v>47112</v>
      </c>
      <c r="K20982" t="s">
        <v>47113</v>
      </c>
      <c r="L20982">
        <v>40.659999999999997</v>
      </c>
      <c r="M20982">
        <v>66</v>
      </c>
      <c r="N20982">
        <v>0</v>
      </c>
      <c r="O20982">
        <v>66</v>
      </c>
      <c r="P20982">
        <v>0</v>
      </c>
    </row>
    <row r="20983" spans="1:16" x14ac:dyDescent="0.25">
      <c r="A20983" t="s">
        <v>43820</v>
      </c>
      <c r="B20983" t="s">
        <v>12708</v>
      </c>
      <c r="C20983" t="s">
        <v>19222</v>
      </c>
      <c r="D20983" t="str">
        <f>"6238"</f>
        <v>6238</v>
      </c>
      <c r="E20983" t="s">
        <v>12710</v>
      </c>
      <c r="F20983" t="s">
        <v>3670</v>
      </c>
      <c r="G20983" t="s">
        <v>47101</v>
      </c>
      <c r="H20983" t="s">
        <v>47054</v>
      </c>
      <c r="I20983" t="s">
        <v>47111</v>
      </c>
      <c r="J20983" t="s">
        <v>47112</v>
      </c>
      <c r="K20983" t="s">
        <v>47113</v>
      </c>
      <c r="L20983">
        <v>41.43</v>
      </c>
      <c r="M20983">
        <v>66</v>
      </c>
      <c r="N20983">
        <v>0</v>
      </c>
      <c r="O20983">
        <v>66</v>
      </c>
      <c r="P20983">
        <v>0</v>
      </c>
    </row>
    <row r="20984" spans="1:16" x14ac:dyDescent="0.25">
      <c r="A20984" t="s">
        <v>43821</v>
      </c>
      <c r="B20984" t="s">
        <v>12711</v>
      </c>
      <c r="C20984" t="s">
        <v>12712</v>
      </c>
      <c r="D20984" t="str">
        <f>"1024"</f>
        <v>1024</v>
      </c>
      <c r="E20984" t="s">
        <v>717</v>
      </c>
      <c r="F20984" t="s">
        <v>3670</v>
      </c>
      <c r="G20984" t="s">
        <v>47101</v>
      </c>
      <c r="H20984" t="s">
        <v>47054</v>
      </c>
      <c r="I20984" t="s">
        <v>47111</v>
      </c>
      <c r="J20984" t="s">
        <v>47112</v>
      </c>
      <c r="K20984" t="s">
        <v>47113</v>
      </c>
      <c r="L20984">
        <v>23.41</v>
      </c>
      <c r="M20984">
        <v>44</v>
      </c>
      <c r="N20984">
        <v>0</v>
      </c>
      <c r="O20984">
        <v>44</v>
      </c>
      <c r="P20984">
        <v>0</v>
      </c>
    </row>
    <row r="20985" spans="1:16" x14ac:dyDescent="0.25">
      <c r="A20985" t="s">
        <v>43822</v>
      </c>
      <c r="B20985" t="s">
        <v>12711</v>
      </c>
      <c r="C20985" t="s">
        <v>12712</v>
      </c>
      <c r="D20985" t="str">
        <f>"1745"</f>
        <v>1745</v>
      </c>
      <c r="E20985" t="s">
        <v>1659</v>
      </c>
      <c r="F20985" t="s">
        <v>3670</v>
      </c>
      <c r="G20985" t="s">
        <v>47101</v>
      </c>
      <c r="H20985" t="s">
        <v>47054</v>
      </c>
      <c r="I20985" t="s">
        <v>47111</v>
      </c>
      <c r="J20985" t="s">
        <v>47112</v>
      </c>
      <c r="K20985" t="s">
        <v>47113</v>
      </c>
      <c r="L20985">
        <v>23.41</v>
      </c>
      <c r="M20985">
        <v>44</v>
      </c>
      <c r="N20985">
        <v>0</v>
      </c>
      <c r="O20985">
        <v>44</v>
      </c>
      <c r="P20985">
        <v>0</v>
      </c>
    </row>
    <row r="20986" spans="1:16" x14ac:dyDescent="0.25">
      <c r="A20986" t="s">
        <v>43823</v>
      </c>
      <c r="B20986" t="s">
        <v>12711</v>
      </c>
      <c r="C20986" t="s">
        <v>12712</v>
      </c>
      <c r="D20986" t="str">
        <f>"4076"</f>
        <v>4076</v>
      </c>
      <c r="E20986" t="s">
        <v>12709</v>
      </c>
      <c r="F20986" t="s">
        <v>3670</v>
      </c>
      <c r="G20986" t="s">
        <v>47101</v>
      </c>
      <c r="H20986" t="s">
        <v>47054</v>
      </c>
      <c r="I20986" t="s">
        <v>47111</v>
      </c>
      <c r="J20986" t="s">
        <v>47112</v>
      </c>
      <c r="K20986" t="s">
        <v>47113</v>
      </c>
      <c r="L20986">
        <v>23.41</v>
      </c>
      <c r="M20986">
        <v>44</v>
      </c>
      <c r="N20986">
        <v>0</v>
      </c>
      <c r="O20986">
        <v>44</v>
      </c>
      <c r="P20986">
        <v>0</v>
      </c>
    </row>
    <row r="20987" spans="1:16" x14ac:dyDescent="0.25">
      <c r="A20987" t="s">
        <v>43824</v>
      </c>
      <c r="B20987" t="s">
        <v>12711</v>
      </c>
      <c r="C20987" t="s">
        <v>12712</v>
      </c>
      <c r="D20987" t="str">
        <f>"6238"</f>
        <v>6238</v>
      </c>
      <c r="E20987" t="s">
        <v>12710</v>
      </c>
      <c r="F20987" t="s">
        <v>3670</v>
      </c>
      <c r="G20987" t="s">
        <v>47101</v>
      </c>
      <c r="H20987" t="s">
        <v>47054</v>
      </c>
      <c r="I20987" t="s">
        <v>47111</v>
      </c>
      <c r="J20987" t="s">
        <v>47112</v>
      </c>
      <c r="K20987" t="s">
        <v>47113</v>
      </c>
      <c r="L20987">
        <v>23.41</v>
      </c>
      <c r="M20987">
        <v>44</v>
      </c>
      <c r="N20987">
        <v>0</v>
      </c>
      <c r="O20987">
        <v>44</v>
      </c>
      <c r="P20987">
        <v>0</v>
      </c>
    </row>
    <row r="20988" spans="1:16" x14ac:dyDescent="0.25">
      <c r="A20988" t="s">
        <v>43825</v>
      </c>
      <c r="B20988" t="s">
        <v>12713</v>
      </c>
      <c r="C20988" t="s">
        <v>7131</v>
      </c>
      <c r="D20988" t="str">
        <f>"1001"</f>
        <v>1001</v>
      </c>
      <c r="E20988" t="s">
        <v>42</v>
      </c>
      <c r="F20988" t="s">
        <v>3546</v>
      </c>
      <c r="G20988" t="s">
        <v>47091</v>
      </c>
      <c r="H20988" t="s">
        <v>47054</v>
      </c>
      <c r="I20988" t="s">
        <v>47176</v>
      </c>
      <c r="J20988" t="s">
        <v>47177</v>
      </c>
      <c r="K20988" t="s">
        <v>47113</v>
      </c>
      <c r="L20988">
        <v>3.14</v>
      </c>
      <c r="M20988">
        <v>21</v>
      </c>
      <c r="N20988">
        <v>0</v>
      </c>
      <c r="O20988">
        <v>21</v>
      </c>
      <c r="P20988">
        <v>0</v>
      </c>
    </row>
    <row r="20989" spans="1:16" x14ac:dyDescent="0.25">
      <c r="A20989" t="s">
        <v>43826</v>
      </c>
      <c r="B20989" t="s">
        <v>12714</v>
      </c>
      <c r="C20989" t="s">
        <v>12715</v>
      </c>
      <c r="D20989" t="str">
        <f>"1001"</f>
        <v>1001</v>
      </c>
      <c r="E20989" t="s">
        <v>42</v>
      </c>
      <c r="F20989" t="s">
        <v>4</v>
      </c>
      <c r="G20989" t="s">
        <v>47093</v>
      </c>
      <c r="H20989" t="s">
        <v>47153</v>
      </c>
      <c r="I20989" t="s">
        <v>47132</v>
      </c>
      <c r="J20989" t="s">
        <v>47133</v>
      </c>
      <c r="K20989" t="s">
        <v>47113</v>
      </c>
      <c r="L20989">
        <v>48.14</v>
      </c>
      <c r="M20989">
        <v>98</v>
      </c>
      <c r="N20989">
        <v>0</v>
      </c>
      <c r="O20989">
        <v>98</v>
      </c>
      <c r="P20989">
        <v>0</v>
      </c>
    </row>
    <row r="20990" spans="1:16" x14ac:dyDescent="0.25">
      <c r="A20990" t="s">
        <v>14704</v>
      </c>
      <c r="B20990" t="s">
        <v>812</v>
      </c>
      <c r="C20990" t="s">
        <v>813</v>
      </c>
      <c r="D20990" t="str">
        <f>"1001"</f>
        <v>1001</v>
      </c>
      <c r="E20990" t="s">
        <v>42</v>
      </c>
      <c r="F20990" t="s">
        <v>4</v>
      </c>
      <c r="G20990" t="s">
        <v>47099</v>
      </c>
      <c r="H20990" t="s">
        <v>47153</v>
      </c>
      <c r="I20990" t="s">
        <v>47132</v>
      </c>
      <c r="J20990" t="s">
        <v>47133</v>
      </c>
      <c r="K20990" t="s">
        <v>47113</v>
      </c>
      <c r="L20990">
        <v>36.630000000000003</v>
      </c>
      <c r="M20990">
        <v>70</v>
      </c>
      <c r="N20990">
        <v>0</v>
      </c>
      <c r="O20990">
        <v>70</v>
      </c>
      <c r="P20990">
        <v>0</v>
      </c>
    </row>
    <row r="20991" spans="1:16" x14ac:dyDescent="0.25">
      <c r="A20991" t="s">
        <v>43827</v>
      </c>
      <c r="B20991" t="s">
        <v>812</v>
      </c>
      <c r="C20991" t="s">
        <v>813</v>
      </c>
      <c r="D20991" t="str">
        <f>"6000"</f>
        <v>6000</v>
      </c>
      <c r="E20991" t="s">
        <v>238</v>
      </c>
      <c r="F20991" t="s">
        <v>4</v>
      </c>
      <c r="G20991" t="s">
        <v>47099</v>
      </c>
      <c r="H20991" t="s">
        <v>47153</v>
      </c>
      <c r="I20991" t="s">
        <v>47132</v>
      </c>
      <c r="J20991" t="s">
        <v>47133</v>
      </c>
      <c r="K20991" t="s">
        <v>47113</v>
      </c>
      <c r="L20991">
        <v>36.630000000000003</v>
      </c>
      <c r="M20991">
        <v>70</v>
      </c>
      <c r="N20991">
        <v>0</v>
      </c>
      <c r="O20991">
        <v>70</v>
      </c>
      <c r="P20991">
        <v>0</v>
      </c>
    </row>
    <row r="20992" spans="1:16" x14ac:dyDescent="0.25">
      <c r="A20992" t="s">
        <v>14705</v>
      </c>
      <c r="B20992" t="s">
        <v>812</v>
      </c>
      <c r="C20992" t="s">
        <v>813</v>
      </c>
      <c r="D20992" t="str">
        <f>"6202"</f>
        <v>6202</v>
      </c>
      <c r="E20992" t="s">
        <v>814</v>
      </c>
      <c r="F20992" t="s">
        <v>4</v>
      </c>
      <c r="G20992" t="s">
        <v>47099</v>
      </c>
      <c r="H20992" t="s">
        <v>47153</v>
      </c>
      <c r="I20992" t="s">
        <v>47132</v>
      </c>
      <c r="J20992" t="s">
        <v>47133</v>
      </c>
      <c r="K20992" t="s">
        <v>47113</v>
      </c>
      <c r="L20992">
        <v>36.630000000000003</v>
      </c>
      <c r="M20992">
        <v>70</v>
      </c>
      <c r="N20992">
        <v>0</v>
      </c>
      <c r="O20992">
        <v>70</v>
      </c>
      <c r="P20992">
        <v>0</v>
      </c>
    </row>
    <row r="20993" spans="1:16" x14ac:dyDescent="0.25">
      <c r="A20993" t="s">
        <v>43828</v>
      </c>
      <c r="B20993" t="s">
        <v>12716</v>
      </c>
      <c r="C20993" t="s">
        <v>12717</v>
      </c>
      <c r="D20993" t="s">
        <v>818</v>
      </c>
      <c r="E20993" t="s">
        <v>819</v>
      </c>
      <c r="F20993" t="s">
        <v>296</v>
      </c>
      <c r="G20993" t="s">
        <v>49029</v>
      </c>
      <c r="H20993" t="s">
        <v>47054</v>
      </c>
      <c r="I20993" t="s">
        <v>47111</v>
      </c>
      <c r="J20993" t="s">
        <v>47112</v>
      </c>
      <c r="K20993" t="s">
        <v>47113</v>
      </c>
      <c r="L20993">
        <v>25.95</v>
      </c>
      <c r="M20993">
        <v>60</v>
      </c>
      <c r="N20993">
        <v>0</v>
      </c>
      <c r="O20993">
        <v>60</v>
      </c>
      <c r="P20993">
        <v>0</v>
      </c>
    </row>
    <row r="20994" spans="1:16" x14ac:dyDescent="0.25">
      <c r="A20994" t="s">
        <v>815</v>
      </c>
      <c r="B20994" t="s">
        <v>816</v>
      </c>
      <c r="C20994" t="s">
        <v>817</v>
      </c>
      <c r="D20994" t="s">
        <v>818</v>
      </c>
      <c r="E20994" t="s">
        <v>819</v>
      </c>
      <c r="F20994" t="s">
        <v>296</v>
      </c>
      <c r="G20994" t="s">
        <v>47093</v>
      </c>
      <c r="H20994" t="s">
        <v>47054</v>
      </c>
      <c r="I20994" t="s">
        <v>47111</v>
      </c>
      <c r="J20994" t="s">
        <v>47112</v>
      </c>
      <c r="K20994" t="s">
        <v>47113</v>
      </c>
      <c r="L20994">
        <v>32.07</v>
      </c>
      <c r="M20994">
        <v>73</v>
      </c>
      <c r="N20994">
        <v>0</v>
      </c>
      <c r="O20994">
        <v>73</v>
      </c>
      <c r="P20994">
        <v>0</v>
      </c>
    </row>
    <row r="20995" spans="1:16" x14ac:dyDescent="0.25">
      <c r="A20995" t="s">
        <v>820</v>
      </c>
      <c r="B20995" t="s">
        <v>821</v>
      </c>
      <c r="C20995" t="s">
        <v>822</v>
      </c>
      <c r="D20995" t="s">
        <v>311</v>
      </c>
      <c r="E20995" t="s">
        <v>312</v>
      </c>
      <c r="F20995" t="s">
        <v>7</v>
      </c>
      <c r="G20995" t="s">
        <v>47093</v>
      </c>
      <c r="H20995" t="s">
        <v>47054</v>
      </c>
      <c r="I20995" t="s">
        <v>47111</v>
      </c>
      <c r="J20995" t="s">
        <v>47112</v>
      </c>
      <c r="K20995" t="s">
        <v>47113</v>
      </c>
      <c r="L20995">
        <v>38.17</v>
      </c>
      <c r="M20995">
        <v>80</v>
      </c>
      <c r="N20995">
        <v>0</v>
      </c>
      <c r="O20995">
        <v>80</v>
      </c>
      <c r="P20995">
        <v>0</v>
      </c>
    </row>
    <row r="20996" spans="1:16" x14ac:dyDescent="0.25">
      <c r="A20996" t="s">
        <v>43829</v>
      </c>
      <c r="B20996" t="s">
        <v>821</v>
      </c>
      <c r="C20996" t="s">
        <v>822</v>
      </c>
      <c r="D20996" t="s">
        <v>22</v>
      </c>
      <c r="E20996" t="s">
        <v>23</v>
      </c>
      <c r="F20996" t="s">
        <v>7</v>
      </c>
      <c r="G20996" t="s">
        <v>47093</v>
      </c>
      <c r="H20996" t="s">
        <v>47054</v>
      </c>
      <c r="I20996" t="s">
        <v>47111</v>
      </c>
      <c r="J20996" t="s">
        <v>47112</v>
      </c>
      <c r="K20996" t="s">
        <v>47113</v>
      </c>
      <c r="L20996">
        <v>37.799999999999997</v>
      </c>
      <c r="M20996">
        <v>87</v>
      </c>
      <c r="N20996">
        <v>0</v>
      </c>
      <c r="O20996">
        <v>87</v>
      </c>
      <c r="P20996">
        <v>0</v>
      </c>
    </row>
    <row r="20997" spans="1:16" x14ac:dyDescent="0.25">
      <c r="A20997" t="s">
        <v>43830</v>
      </c>
      <c r="B20997" t="s">
        <v>12718</v>
      </c>
      <c r="C20997" t="s">
        <v>12719</v>
      </c>
      <c r="D20997" t="s">
        <v>311</v>
      </c>
      <c r="E20997" t="s">
        <v>312</v>
      </c>
      <c r="F20997" t="s">
        <v>7</v>
      </c>
      <c r="G20997" t="s">
        <v>49030</v>
      </c>
      <c r="H20997" t="s">
        <v>47054</v>
      </c>
      <c r="I20997" t="s">
        <v>47111</v>
      </c>
      <c r="J20997" t="s">
        <v>47112</v>
      </c>
      <c r="K20997" t="s">
        <v>47113</v>
      </c>
      <c r="L20997">
        <v>35</v>
      </c>
      <c r="M20997">
        <v>87</v>
      </c>
      <c r="N20997">
        <v>0</v>
      </c>
      <c r="O20997">
        <v>87</v>
      </c>
      <c r="P20997">
        <v>0</v>
      </c>
    </row>
    <row r="20998" spans="1:16" x14ac:dyDescent="0.25">
      <c r="A20998" t="s">
        <v>43831</v>
      </c>
      <c r="B20998" t="s">
        <v>12718</v>
      </c>
      <c r="C20998" t="s">
        <v>12719</v>
      </c>
      <c r="D20998" t="s">
        <v>22</v>
      </c>
      <c r="E20998" t="s">
        <v>23</v>
      </c>
      <c r="F20998" t="s">
        <v>7</v>
      </c>
      <c r="G20998" t="s">
        <v>49030</v>
      </c>
      <c r="H20998" t="s">
        <v>47054</v>
      </c>
      <c r="I20998" t="s">
        <v>47111</v>
      </c>
      <c r="J20998" t="s">
        <v>47112</v>
      </c>
      <c r="K20998" t="s">
        <v>47113</v>
      </c>
      <c r="L20998">
        <v>35.83</v>
      </c>
      <c r="M20998">
        <v>87</v>
      </c>
      <c r="N20998">
        <v>0</v>
      </c>
      <c r="O20998">
        <v>87</v>
      </c>
      <c r="P20998">
        <v>0</v>
      </c>
    </row>
    <row r="20999" spans="1:16" x14ac:dyDescent="0.25">
      <c r="A20999" t="s">
        <v>43832</v>
      </c>
      <c r="B20999" t="s">
        <v>12720</v>
      </c>
      <c r="C20999" t="s">
        <v>12721</v>
      </c>
      <c r="D20999" t="s">
        <v>311</v>
      </c>
      <c r="E20999" t="s">
        <v>312</v>
      </c>
      <c r="F20999" t="s">
        <v>7</v>
      </c>
      <c r="G20999" t="s">
        <v>47103</v>
      </c>
      <c r="H20999" t="s">
        <v>47054</v>
      </c>
      <c r="I20999" t="s">
        <v>47116</v>
      </c>
      <c r="J20999" t="s">
        <v>47117</v>
      </c>
      <c r="K20999" t="s">
        <v>47113</v>
      </c>
      <c r="L20999">
        <v>42.86</v>
      </c>
      <c r="M20999">
        <v>87</v>
      </c>
      <c r="N20999">
        <v>0</v>
      </c>
      <c r="O20999">
        <v>87</v>
      </c>
      <c r="P20999">
        <v>0</v>
      </c>
    </row>
    <row r="21000" spans="1:16" x14ac:dyDescent="0.25">
      <c r="A21000" t="s">
        <v>43833</v>
      </c>
      <c r="B21000" t="s">
        <v>12720</v>
      </c>
      <c r="C21000" t="s">
        <v>12721</v>
      </c>
      <c r="D21000" t="s">
        <v>22</v>
      </c>
      <c r="E21000" t="s">
        <v>23</v>
      </c>
      <c r="F21000" t="s">
        <v>7</v>
      </c>
      <c r="G21000" t="s">
        <v>47103</v>
      </c>
      <c r="H21000" t="s">
        <v>47054</v>
      </c>
      <c r="I21000" t="s">
        <v>47111</v>
      </c>
      <c r="J21000" t="s">
        <v>47112</v>
      </c>
      <c r="K21000" t="s">
        <v>47113</v>
      </c>
      <c r="L21000">
        <v>41.12</v>
      </c>
      <c r="M21000">
        <v>87</v>
      </c>
      <c r="N21000">
        <v>0</v>
      </c>
      <c r="O21000">
        <v>87</v>
      </c>
      <c r="P21000">
        <v>0</v>
      </c>
    </row>
    <row r="21001" spans="1:16" x14ac:dyDescent="0.25">
      <c r="A21001" t="s">
        <v>43834</v>
      </c>
      <c r="B21001" t="s">
        <v>12722</v>
      </c>
      <c r="C21001" t="s">
        <v>12723</v>
      </c>
      <c r="D21001" t="str">
        <f>"1001"</f>
        <v>1001</v>
      </c>
      <c r="E21001" t="s">
        <v>42</v>
      </c>
      <c r="F21001" t="s">
        <v>3546</v>
      </c>
      <c r="G21001" t="s">
        <v>48515</v>
      </c>
      <c r="H21001" t="s">
        <v>47054</v>
      </c>
      <c r="I21001" t="s">
        <v>47120</v>
      </c>
      <c r="J21001" t="s">
        <v>47121</v>
      </c>
      <c r="K21001" t="s">
        <v>47113</v>
      </c>
      <c r="L21001">
        <v>25.22</v>
      </c>
      <c r="M21001">
        <v>108</v>
      </c>
      <c r="N21001">
        <v>0</v>
      </c>
      <c r="O21001">
        <v>108</v>
      </c>
      <c r="P21001">
        <v>0</v>
      </c>
    </row>
    <row r="21002" spans="1:16" x14ac:dyDescent="0.25">
      <c r="A21002" t="s">
        <v>43835</v>
      </c>
      <c r="B21002" t="s">
        <v>12722</v>
      </c>
      <c r="C21002" t="s">
        <v>12723</v>
      </c>
      <c r="D21002" t="str">
        <f>"2388"</f>
        <v>2388</v>
      </c>
      <c r="E21002" t="s">
        <v>12724</v>
      </c>
      <c r="F21002" t="s">
        <v>3750</v>
      </c>
      <c r="G21002" t="s">
        <v>48515</v>
      </c>
      <c r="H21002" t="s">
        <v>47054</v>
      </c>
      <c r="I21002" t="s">
        <v>47120</v>
      </c>
      <c r="J21002" t="s">
        <v>47121</v>
      </c>
      <c r="K21002" t="s">
        <v>47113</v>
      </c>
      <c r="L21002">
        <v>25.22</v>
      </c>
      <c r="M21002">
        <v>108</v>
      </c>
      <c r="N21002">
        <v>0</v>
      </c>
      <c r="O21002">
        <v>108</v>
      </c>
      <c r="P21002">
        <v>0</v>
      </c>
    </row>
    <row r="21003" spans="1:16" x14ac:dyDescent="0.25">
      <c r="A21003" t="s">
        <v>43836</v>
      </c>
      <c r="B21003" t="s">
        <v>12725</v>
      </c>
      <c r="C21003" t="s">
        <v>12726</v>
      </c>
      <c r="D21003" t="s">
        <v>7173</v>
      </c>
      <c r="E21003" t="s">
        <v>7174</v>
      </c>
      <c r="F21003" t="s">
        <v>7</v>
      </c>
      <c r="G21003" t="s">
        <v>47097</v>
      </c>
      <c r="H21003" t="s">
        <v>47054</v>
      </c>
      <c r="I21003" t="s">
        <v>47120</v>
      </c>
      <c r="J21003" t="s">
        <v>47121</v>
      </c>
      <c r="K21003" t="s">
        <v>47113</v>
      </c>
      <c r="L21003">
        <v>27.16</v>
      </c>
      <c r="M21003">
        <v>65</v>
      </c>
      <c r="N21003">
        <v>0</v>
      </c>
      <c r="O21003">
        <v>65</v>
      </c>
      <c r="P21003">
        <v>0</v>
      </c>
    </row>
    <row r="21004" spans="1:16" x14ac:dyDescent="0.25">
      <c r="A21004" t="s">
        <v>43837</v>
      </c>
      <c r="B21004" t="s">
        <v>14365</v>
      </c>
      <c r="C21004" t="s">
        <v>14366</v>
      </c>
      <c r="D21004" t="str">
        <f>"1001"</f>
        <v>1001</v>
      </c>
      <c r="E21004" t="s">
        <v>42</v>
      </c>
      <c r="F21004" t="s">
        <v>3750</v>
      </c>
      <c r="G21004" t="s">
        <v>47098</v>
      </c>
      <c r="H21004" t="s">
        <v>47054</v>
      </c>
      <c r="I21004" t="s">
        <v>47120</v>
      </c>
      <c r="J21004" t="s">
        <v>47121</v>
      </c>
      <c r="K21004" t="s">
        <v>47113</v>
      </c>
      <c r="L21004">
        <v>25.18</v>
      </c>
      <c r="M21004">
        <v>98</v>
      </c>
      <c r="N21004">
        <v>0</v>
      </c>
      <c r="O21004">
        <v>98</v>
      </c>
      <c r="P21004">
        <v>0</v>
      </c>
    </row>
    <row r="21005" spans="1:16" x14ac:dyDescent="0.25">
      <c r="A21005" t="s">
        <v>823</v>
      </c>
      <c r="B21005" t="s">
        <v>824</v>
      </c>
      <c r="C21005" t="s">
        <v>825</v>
      </c>
      <c r="D21005" t="str">
        <f>"2314"</f>
        <v>2314</v>
      </c>
      <c r="E21005" t="s">
        <v>826</v>
      </c>
      <c r="F21005" t="s">
        <v>7</v>
      </c>
      <c r="G21005" t="s">
        <v>47101</v>
      </c>
      <c r="H21005" t="s">
        <v>47054</v>
      </c>
      <c r="I21005" t="s">
        <v>47118</v>
      </c>
      <c r="J21005" t="s">
        <v>47119</v>
      </c>
      <c r="K21005" t="s">
        <v>47113</v>
      </c>
      <c r="L21005">
        <v>47.51</v>
      </c>
      <c r="M21005">
        <v>54</v>
      </c>
      <c r="N21005">
        <v>0</v>
      </c>
      <c r="O21005">
        <v>54</v>
      </c>
      <c r="P21005">
        <v>0</v>
      </c>
    </row>
    <row r="21006" spans="1:16" x14ac:dyDescent="0.25">
      <c r="A21006" t="s">
        <v>827</v>
      </c>
      <c r="B21006" t="s">
        <v>824</v>
      </c>
      <c r="C21006" t="s">
        <v>825</v>
      </c>
      <c r="D21006" t="str">
        <f>"4234"</f>
        <v>4234</v>
      </c>
      <c r="E21006" t="s">
        <v>828</v>
      </c>
      <c r="F21006" t="s">
        <v>7</v>
      </c>
      <c r="G21006" t="s">
        <v>47101</v>
      </c>
      <c r="H21006" t="s">
        <v>47054</v>
      </c>
      <c r="I21006" t="s">
        <v>47118</v>
      </c>
      <c r="J21006" t="s">
        <v>47119</v>
      </c>
      <c r="K21006" t="s">
        <v>47113</v>
      </c>
      <c r="L21006">
        <v>47.51</v>
      </c>
      <c r="M21006">
        <v>54</v>
      </c>
      <c r="N21006">
        <v>0</v>
      </c>
      <c r="O21006">
        <v>54</v>
      </c>
      <c r="P21006">
        <v>0</v>
      </c>
    </row>
    <row r="21007" spans="1:16" x14ac:dyDescent="0.25">
      <c r="A21007" t="s">
        <v>829</v>
      </c>
      <c r="B21007" t="s">
        <v>824</v>
      </c>
      <c r="C21007" t="s">
        <v>825</v>
      </c>
      <c r="D21007" t="str">
        <f>"4235"</f>
        <v>4235</v>
      </c>
      <c r="E21007" t="s">
        <v>830</v>
      </c>
      <c r="F21007" t="s">
        <v>7</v>
      </c>
      <c r="G21007" t="s">
        <v>47101</v>
      </c>
      <c r="H21007" t="s">
        <v>47054</v>
      </c>
      <c r="I21007" t="s">
        <v>47118</v>
      </c>
      <c r="J21007" t="s">
        <v>47119</v>
      </c>
      <c r="K21007" t="s">
        <v>47113</v>
      </c>
      <c r="L21007">
        <v>47.51</v>
      </c>
      <c r="M21007">
        <v>54</v>
      </c>
      <c r="N21007">
        <v>0</v>
      </c>
      <c r="O21007">
        <v>54</v>
      </c>
      <c r="P21007">
        <v>0</v>
      </c>
    </row>
    <row r="21008" spans="1:16" x14ac:dyDescent="0.25">
      <c r="A21008" t="s">
        <v>831</v>
      </c>
      <c r="B21008" t="s">
        <v>824</v>
      </c>
      <c r="C21008" t="s">
        <v>825</v>
      </c>
      <c r="D21008" t="str">
        <f>"5116"</f>
        <v>5116</v>
      </c>
      <c r="E21008" t="s">
        <v>832</v>
      </c>
      <c r="F21008" t="s">
        <v>7</v>
      </c>
      <c r="G21008" t="s">
        <v>47101</v>
      </c>
      <c r="H21008" t="s">
        <v>47054</v>
      </c>
      <c r="I21008" t="s">
        <v>47118</v>
      </c>
      <c r="J21008" t="s">
        <v>47119</v>
      </c>
      <c r="K21008" t="s">
        <v>47113</v>
      </c>
      <c r="L21008">
        <v>47.51</v>
      </c>
      <c r="M21008">
        <v>54</v>
      </c>
      <c r="N21008">
        <v>0</v>
      </c>
      <c r="O21008">
        <v>54</v>
      </c>
      <c r="P21008">
        <v>0</v>
      </c>
    </row>
    <row r="21009" spans="1:16" x14ac:dyDescent="0.25">
      <c r="A21009" t="s">
        <v>833</v>
      </c>
      <c r="B21009" t="s">
        <v>824</v>
      </c>
      <c r="C21009" t="s">
        <v>825</v>
      </c>
      <c r="D21009" t="str">
        <f>"8129"</f>
        <v>8129</v>
      </c>
      <c r="E21009" t="s">
        <v>834</v>
      </c>
      <c r="F21009" t="s">
        <v>7</v>
      </c>
      <c r="G21009" t="s">
        <v>47101</v>
      </c>
      <c r="H21009" t="s">
        <v>47054</v>
      </c>
      <c r="I21009" t="s">
        <v>47118</v>
      </c>
      <c r="J21009" t="s">
        <v>47119</v>
      </c>
      <c r="K21009" t="s">
        <v>47113</v>
      </c>
      <c r="L21009">
        <v>47.51</v>
      </c>
      <c r="M21009">
        <v>54</v>
      </c>
      <c r="N21009">
        <v>0</v>
      </c>
      <c r="O21009">
        <v>54</v>
      </c>
      <c r="P21009">
        <v>0</v>
      </c>
    </row>
    <row r="21010" spans="1:16" x14ac:dyDescent="0.25">
      <c r="A21010" t="s">
        <v>43838</v>
      </c>
      <c r="B21010" t="s">
        <v>12727</v>
      </c>
      <c r="C21010" t="s">
        <v>12728</v>
      </c>
      <c r="D21010" t="str">
        <f>"1001"</f>
        <v>1001</v>
      </c>
      <c r="E21010" t="s">
        <v>42</v>
      </c>
      <c r="F21010" t="s">
        <v>3750</v>
      </c>
      <c r="G21010" t="s">
        <v>47094</v>
      </c>
      <c r="H21010" t="s">
        <v>47054</v>
      </c>
      <c r="I21010" t="s">
        <v>47116</v>
      </c>
      <c r="J21010" t="s">
        <v>47117</v>
      </c>
      <c r="K21010" t="s">
        <v>47113</v>
      </c>
      <c r="L21010">
        <v>21.62</v>
      </c>
      <c r="M21010">
        <v>59</v>
      </c>
      <c r="N21010">
        <v>0</v>
      </c>
      <c r="O21010">
        <v>59</v>
      </c>
      <c r="P21010">
        <v>0</v>
      </c>
    </row>
    <row r="21011" spans="1:16" x14ac:dyDescent="0.25">
      <c r="A21011" t="s">
        <v>43839</v>
      </c>
      <c r="B21011" t="s">
        <v>12727</v>
      </c>
      <c r="C21011" t="s">
        <v>12728</v>
      </c>
      <c r="D21011" t="str">
        <f>"6433"</f>
        <v>6433</v>
      </c>
      <c r="E21011" t="s">
        <v>7168</v>
      </c>
      <c r="F21011" t="s">
        <v>3750</v>
      </c>
      <c r="G21011" t="s">
        <v>47094</v>
      </c>
      <c r="H21011" t="s">
        <v>47054</v>
      </c>
      <c r="I21011" t="s">
        <v>47116</v>
      </c>
      <c r="J21011" t="s">
        <v>47117</v>
      </c>
      <c r="K21011" t="s">
        <v>47113</v>
      </c>
      <c r="L21011">
        <v>21.62</v>
      </c>
      <c r="M21011">
        <v>59</v>
      </c>
      <c r="N21011">
        <v>0</v>
      </c>
      <c r="O21011">
        <v>59</v>
      </c>
      <c r="P21011">
        <v>0</v>
      </c>
    </row>
    <row r="21012" spans="1:16" x14ac:dyDescent="0.25">
      <c r="A21012" t="s">
        <v>43840</v>
      </c>
      <c r="B21012" t="s">
        <v>14367</v>
      </c>
      <c r="C21012" t="s">
        <v>14368</v>
      </c>
      <c r="D21012" t="str">
        <f>"2707"</f>
        <v>2707</v>
      </c>
      <c r="E21012" t="s">
        <v>3019</v>
      </c>
      <c r="F21012" t="s">
        <v>3750</v>
      </c>
      <c r="G21012" t="s">
        <v>47094</v>
      </c>
      <c r="H21012" t="s">
        <v>47054</v>
      </c>
      <c r="I21012" t="s">
        <v>47116</v>
      </c>
      <c r="J21012" t="s">
        <v>47117</v>
      </c>
      <c r="K21012" t="s">
        <v>47113</v>
      </c>
      <c r="L21012">
        <v>21.64</v>
      </c>
      <c r="M21012">
        <v>60</v>
      </c>
      <c r="N21012">
        <v>0</v>
      </c>
      <c r="O21012">
        <v>60</v>
      </c>
      <c r="P21012">
        <v>0</v>
      </c>
    </row>
    <row r="21013" spans="1:16" x14ac:dyDescent="0.25">
      <c r="A21013" t="s">
        <v>43841</v>
      </c>
      <c r="B21013" t="s">
        <v>14367</v>
      </c>
      <c r="C21013" t="s">
        <v>14368</v>
      </c>
      <c r="D21013" t="str">
        <f>"4915"</f>
        <v>4915</v>
      </c>
      <c r="E21013" t="s">
        <v>12734</v>
      </c>
      <c r="F21013" t="s">
        <v>3750</v>
      </c>
      <c r="G21013" t="s">
        <v>47094</v>
      </c>
      <c r="H21013" t="s">
        <v>47054</v>
      </c>
      <c r="I21013" t="s">
        <v>47116</v>
      </c>
      <c r="J21013" t="s">
        <v>47117</v>
      </c>
      <c r="K21013" t="s">
        <v>47113</v>
      </c>
      <c r="L21013">
        <v>21.64</v>
      </c>
      <c r="M21013">
        <v>60</v>
      </c>
      <c r="N21013">
        <v>0</v>
      </c>
      <c r="O21013">
        <v>60</v>
      </c>
      <c r="P21013">
        <v>0</v>
      </c>
    </row>
    <row r="21014" spans="1:16" x14ac:dyDescent="0.25">
      <c r="A21014" t="s">
        <v>43842</v>
      </c>
      <c r="B21014" t="s">
        <v>19223</v>
      </c>
      <c r="C21014" t="s">
        <v>19224</v>
      </c>
      <c r="D21014" t="str">
        <f>"1001"</f>
        <v>1001</v>
      </c>
      <c r="E21014" t="s">
        <v>42</v>
      </c>
      <c r="F21014" t="s">
        <v>16730</v>
      </c>
      <c r="G21014" t="s">
        <v>47094</v>
      </c>
      <c r="H21014" t="s">
        <v>47054</v>
      </c>
      <c r="I21014" t="s">
        <v>47116</v>
      </c>
      <c r="J21014" t="s">
        <v>47117</v>
      </c>
      <c r="K21014" t="s">
        <v>47113</v>
      </c>
      <c r="L21014">
        <v>16.84</v>
      </c>
      <c r="M21014">
        <v>48</v>
      </c>
      <c r="N21014">
        <v>0</v>
      </c>
      <c r="O21014">
        <v>48</v>
      </c>
      <c r="P21014">
        <v>0</v>
      </c>
    </row>
    <row r="21015" spans="1:16" x14ac:dyDescent="0.25">
      <c r="A21015" t="s">
        <v>43843</v>
      </c>
      <c r="B21015" t="s">
        <v>19223</v>
      </c>
      <c r="C21015" t="s">
        <v>19224</v>
      </c>
      <c r="D21015" t="str">
        <f>"1501"</f>
        <v>1501</v>
      </c>
      <c r="E21015" t="s">
        <v>46</v>
      </c>
      <c r="F21015" t="s">
        <v>3750</v>
      </c>
      <c r="G21015" t="s">
        <v>47094</v>
      </c>
      <c r="H21015" t="s">
        <v>47054</v>
      </c>
      <c r="I21015" t="s">
        <v>47116</v>
      </c>
      <c r="J21015" t="s">
        <v>47117</v>
      </c>
      <c r="K21015" t="s">
        <v>47113</v>
      </c>
      <c r="L21015">
        <v>16.84</v>
      </c>
      <c r="M21015">
        <v>48</v>
      </c>
      <c r="N21015">
        <v>0</v>
      </c>
      <c r="O21015">
        <v>48</v>
      </c>
      <c r="P21015">
        <v>0</v>
      </c>
    </row>
    <row r="21016" spans="1:16" x14ac:dyDescent="0.25">
      <c r="A21016" t="s">
        <v>43844</v>
      </c>
      <c r="B21016" t="s">
        <v>43845</v>
      </c>
      <c r="C21016" t="s">
        <v>43846</v>
      </c>
      <c r="D21016" t="str">
        <f>"1449"</f>
        <v>1449</v>
      </c>
      <c r="E21016" t="s">
        <v>16239</v>
      </c>
      <c r="F21016" t="s">
        <v>3750</v>
      </c>
      <c r="G21016" t="s">
        <v>47095</v>
      </c>
      <c r="H21016" t="s">
        <v>47054</v>
      </c>
      <c r="I21016" t="s">
        <v>47116</v>
      </c>
      <c r="J21016" t="s">
        <v>47117</v>
      </c>
      <c r="K21016" t="s">
        <v>47113</v>
      </c>
      <c r="L21016">
        <v>17.64</v>
      </c>
      <c r="M21016">
        <v>59</v>
      </c>
      <c r="N21016">
        <v>159</v>
      </c>
      <c r="O21016">
        <v>59</v>
      </c>
      <c r="P21016">
        <v>159</v>
      </c>
    </row>
    <row r="21017" spans="1:16" x14ac:dyDescent="0.25">
      <c r="A21017" t="s">
        <v>43847</v>
      </c>
      <c r="B21017" t="s">
        <v>12729</v>
      </c>
      <c r="C21017" t="s">
        <v>12730</v>
      </c>
      <c r="D21017" t="str">
        <f>"1001"</f>
        <v>1001</v>
      </c>
      <c r="E21017" t="s">
        <v>42</v>
      </c>
      <c r="F21017" t="s">
        <v>3750</v>
      </c>
      <c r="G21017" t="s">
        <v>47095</v>
      </c>
      <c r="H21017" t="s">
        <v>47054</v>
      </c>
      <c r="I21017" t="s">
        <v>47116</v>
      </c>
      <c r="J21017" t="s">
        <v>47117</v>
      </c>
      <c r="K21017" t="s">
        <v>47113</v>
      </c>
      <c r="L21017">
        <v>16.21</v>
      </c>
      <c r="M21017">
        <v>44</v>
      </c>
      <c r="N21017">
        <v>0</v>
      </c>
      <c r="O21017">
        <v>44</v>
      </c>
      <c r="P21017">
        <v>0</v>
      </c>
    </row>
    <row r="21018" spans="1:16" x14ac:dyDescent="0.25">
      <c r="A21018" t="s">
        <v>43848</v>
      </c>
      <c r="B21018" t="s">
        <v>12729</v>
      </c>
      <c r="C21018" t="s">
        <v>12730</v>
      </c>
      <c r="D21018" t="str">
        <f>"6433"</f>
        <v>6433</v>
      </c>
      <c r="E21018" t="s">
        <v>7168</v>
      </c>
      <c r="F21018" t="s">
        <v>3750</v>
      </c>
      <c r="G21018" t="s">
        <v>47095</v>
      </c>
      <c r="H21018" t="s">
        <v>47054</v>
      </c>
      <c r="I21018" t="s">
        <v>47116</v>
      </c>
      <c r="J21018" t="s">
        <v>47117</v>
      </c>
      <c r="K21018" t="s">
        <v>47113</v>
      </c>
      <c r="L21018">
        <v>16.21</v>
      </c>
      <c r="M21018">
        <v>44</v>
      </c>
      <c r="N21018">
        <v>0</v>
      </c>
      <c r="O21018">
        <v>44</v>
      </c>
      <c r="P21018">
        <v>0</v>
      </c>
    </row>
    <row r="21019" spans="1:16" x14ac:dyDescent="0.25">
      <c r="A21019" t="s">
        <v>43849</v>
      </c>
      <c r="B21019" t="s">
        <v>14369</v>
      </c>
      <c r="C21019" t="s">
        <v>14370</v>
      </c>
      <c r="D21019" t="str">
        <f>"2707"</f>
        <v>2707</v>
      </c>
      <c r="E21019" t="s">
        <v>3019</v>
      </c>
      <c r="F21019" t="s">
        <v>3750</v>
      </c>
      <c r="G21019" t="s">
        <v>47095</v>
      </c>
      <c r="H21019" t="s">
        <v>47054</v>
      </c>
      <c r="I21019" t="s">
        <v>47116</v>
      </c>
      <c r="J21019" t="s">
        <v>47117</v>
      </c>
      <c r="K21019" t="s">
        <v>47113</v>
      </c>
      <c r="L21019">
        <v>16.23</v>
      </c>
      <c r="M21019">
        <v>44</v>
      </c>
      <c r="N21019">
        <v>0</v>
      </c>
      <c r="O21019">
        <v>44</v>
      </c>
      <c r="P21019">
        <v>0</v>
      </c>
    </row>
    <row r="21020" spans="1:16" x14ac:dyDescent="0.25">
      <c r="A21020" t="s">
        <v>43850</v>
      </c>
      <c r="B21020" t="s">
        <v>14369</v>
      </c>
      <c r="C21020" t="s">
        <v>14370</v>
      </c>
      <c r="D21020" t="str">
        <f>"4915"</f>
        <v>4915</v>
      </c>
      <c r="E21020" t="s">
        <v>12734</v>
      </c>
      <c r="F21020" t="s">
        <v>3750</v>
      </c>
      <c r="G21020" t="s">
        <v>47095</v>
      </c>
      <c r="H21020" t="s">
        <v>47054</v>
      </c>
      <c r="I21020" t="s">
        <v>47116</v>
      </c>
      <c r="J21020" t="s">
        <v>47117</v>
      </c>
      <c r="K21020" t="s">
        <v>47113</v>
      </c>
      <c r="L21020">
        <v>16.23</v>
      </c>
      <c r="M21020">
        <v>44</v>
      </c>
      <c r="N21020">
        <v>0</v>
      </c>
      <c r="O21020">
        <v>44</v>
      </c>
      <c r="P21020">
        <v>0</v>
      </c>
    </row>
    <row r="21021" spans="1:16" x14ac:dyDescent="0.25">
      <c r="A21021" t="s">
        <v>43851</v>
      </c>
      <c r="B21021" t="s">
        <v>19225</v>
      </c>
      <c r="C21021" t="s">
        <v>19226</v>
      </c>
      <c r="D21021" t="str">
        <f>"1001"</f>
        <v>1001</v>
      </c>
      <c r="E21021" t="s">
        <v>42</v>
      </c>
      <c r="F21021" t="s">
        <v>16730</v>
      </c>
      <c r="G21021" t="s">
        <v>47095</v>
      </c>
      <c r="H21021" t="s">
        <v>47054</v>
      </c>
      <c r="I21021" t="s">
        <v>47116</v>
      </c>
      <c r="J21021" t="s">
        <v>47117</v>
      </c>
      <c r="K21021" t="s">
        <v>47113</v>
      </c>
      <c r="L21021">
        <v>12.91</v>
      </c>
      <c r="M21021">
        <v>37</v>
      </c>
      <c r="N21021">
        <v>0</v>
      </c>
      <c r="O21021">
        <v>37</v>
      </c>
      <c r="P21021">
        <v>0</v>
      </c>
    </row>
    <row r="21022" spans="1:16" x14ac:dyDescent="0.25">
      <c r="A21022" t="s">
        <v>43852</v>
      </c>
      <c r="B21022" t="s">
        <v>19225</v>
      </c>
      <c r="C21022" t="s">
        <v>19226</v>
      </c>
      <c r="D21022" t="str">
        <f>"1501"</f>
        <v>1501</v>
      </c>
      <c r="E21022" t="s">
        <v>46</v>
      </c>
      <c r="F21022" t="s">
        <v>3750</v>
      </c>
      <c r="G21022" t="s">
        <v>47095</v>
      </c>
      <c r="H21022" t="s">
        <v>47054</v>
      </c>
      <c r="I21022" t="s">
        <v>47116</v>
      </c>
      <c r="J21022" t="s">
        <v>47117</v>
      </c>
      <c r="K21022" t="s">
        <v>47113</v>
      </c>
      <c r="L21022">
        <v>12.91</v>
      </c>
      <c r="M21022">
        <v>37</v>
      </c>
      <c r="N21022">
        <v>0</v>
      </c>
      <c r="O21022">
        <v>37</v>
      </c>
      <c r="P21022">
        <v>0</v>
      </c>
    </row>
    <row r="21023" spans="1:16" x14ac:dyDescent="0.25">
      <c r="A21023" t="s">
        <v>22934</v>
      </c>
      <c r="B21023" t="s">
        <v>22935</v>
      </c>
      <c r="C21023" t="s">
        <v>22936</v>
      </c>
      <c r="D21023" t="str">
        <f>"1001"</f>
        <v>1001</v>
      </c>
      <c r="E21023" t="s">
        <v>42</v>
      </c>
      <c r="F21023" t="s">
        <v>3750</v>
      </c>
      <c r="G21023" t="s">
        <v>47095</v>
      </c>
      <c r="H21023" t="s">
        <v>47054</v>
      </c>
      <c r="I21023" t="s">
        <v>47118</v>
      </c>
      <c r="J21023" t="s">
        <v>47119</v>
      </c>
      <c r="K21023" t="s">
        <v>47113</v>
      </c>
      <c r="L21023">
        <v>13.19</v>
      </c>
      <c r="M21023">
        <v>47</v>
      </c>
      <c r="N21023">
        <v>0</v>
      </c>
      <c r="O21023">
        <v>47</v>
      </c>
      <c r="P21023">
        <v>0</v>
      </c>
    </row>
    <row r="21024" spans="1:16" x14ac:dyDescent="0.25">
      <c r="A21024" t="s">
        <v>22937</v>
      </c>
      <c r="B21024" t="s">
        <v>22935</v>
      </c>
      <c r="C21024" t="s">
        <v>22936</v>
      </c>
      <c r="D21024" t="str">
        <f>"6202"</f>
        <v>6202</v>
      </c>
      <c r="E21024" t="s">
        <v>22938</v>
      </c>
      <c r="F21024" t="s">
        <v>3750</v>
      </c>
      <c r="G21024" t="s">
        <v>47095</v>
      </c>
      <c r="H21024" t="s">
        <v>47054</v>
      </c>
      <c r="I21024" t="s">
        <v>47118</v>
      </c>
      <c r="J21024" t="s">
        <v>47119</v>
      </c>
      <c r="K21024" t="s">
        <v>47113</v>
      </c>
      <c r="L21024">
        <v>13.19</v>
      </c>
      <c r="M21024">
        <v>47</v>
      </c>
      <c r="N21024">
        <v>0</v>
      </c>
      <c r="O21024">
        <v>47</v>
      </c>
      <c r="P21024">
        <v>0</v>
      </c>
    </row>
    <row r="21025" spans="1:16" x14ac:dyDescent="0.25">
      <c r="A21025" t="s">
        <v>43853</v>
      </c>
      <c r="B21025" t="s">
        <v>22105</v>
      </c>
      <c r="C21025" t="s">
        <v>22106</v>
      </c>
      <c r="D21025" t="str">
        <f>"1475"</f>
        <v>1475</v>
      </c>
      <c r="E21025" t="s">
        <v>22107</v>
      </c>
      <c r="F21025" t="s">
        <v>3750</v>
      </c>
      <c r="G21025" t="s">
        <v>47094</v>
      </c>
      <c r="H21025" t="s">
        <v>47054</v>
      </c>
      <c r="I21025" t="s">
        <v>47118</v>
      </c>
      <c r="J21025" t="s">
        <v>47119</v>
      </c>
      <c r="K21025" t="s">
        <v>47113</v>
      </c>
      <c r="L21025">
        <v>19.18</v>
      </c>
      <c r="M21025">
        <v>54</v>
      </c>
      <c r="N21025">
        <v>0</v>
      </c>
      <c r="O21025">
        <v>54</v>
      </c>
      <c r="P21025">
        <v>0</v>
      </c>
    </row>
    <row r="21026" spans="1:16" x14ac:dyDescent="0.25">
      <c r="A21026" t="s">
        <v>43854</v>
      </c>
      <c r="B21026" t="s">
        <v>22105</v>
      </c>
      <c r="C21026" t="s">
        <v>22106</v>
      </c>
      <c r="D21026" t="str">
        <f>"6058"</f>
        <v>6058</v>
      </c>
      <c r="E21026" t="s">
        <v>22108</v>
      </c>
      <c r="F21026" t="s">
        <v>3750</v>
      </c>
      <c r="G21026" t="s">
        <v>47094</v>
      </c>
      <c r="H21026" t="s">
        <v>47054</v>
      </c>
      <c r="I21026" t="s">
        <v>47118</v>
      </c>
      <c r="J21026" t="s">
        <v>47119</v>
      </c>
      <c r="K21026" t="s">
        <v>47113</v>
      </c>
      <c r="L21026">
        <v>19.18</v>
      </c>
      <c r="M21026">
        <v>54</v>
      </c>
      <c r="N21026">
        <v>0</v>
      </c>
      <c r="O21026">
        <v>54</v>
      </c>
      <c r="P21026">
        <v>0</v>
      </c>
    </row>
    <row r="21027" spans="1:16" x14ac:dyDescent="0.25">
      <c r="A21027" t="s">
        <v>43855</v>
      </c>
      <c r="B21027" t="s">
        <v>22109</v>
      </c>
      <c r="C21027" t="s">
        <v>22110</v>
      </c>
      <c r="D21027" t="str">
        <f>"1475"</f>
        <v>1475</v>
      </c>
      <c r="E21027" t="s">
        <v>22111</v>
      </c>
      <c r="F21027" t="s">
        <v>3750</v>
      </c>
      <c r="G21027" t="s">
        <v>47095</v>
      </c>
      <c r="H21027" t="s">
        <v>47054</v>
      </c>
      <c r="I21027" t="s">
        <v>47118</v>
      </c>
      <c r="J21027" t="s">
        <v>47119</v>
      </c>
      <c r="K21027" t="s">
        <v>47113</v>
      </c>
      <c r="L21027">
        <v>14.35</v>
      </c>
      <c r="M21027">
        <v>47</v>
      </c>
      <c r="N21027">
        <v>0</v>
      </c>
      <c r="O21027">
        <v>47</v>
      </c>
      <c r="P21027">
        <v>0</v>
      </c>
    </row>
    <row r="21028" spans="1:16" x14ac:dyDescent="0.25">
      <c r="A21028" t="s">
        <v>43856</v>
      </c>
      <c r="B21028" t="s">
        <v>22109</v>
      </c>
      <c r="C21028" t="s">
        <v>22110</v>
      </c>
      <c r="D21028" t="str">
        <f>"6058"</f>
        <v>6058</v>
      </c>
      <c r="E21028" t="s">
        <v>22108</v>
      </c>
      <c r="F21028" t="s">
        <v>3750</v>
      </c>
      <c r="G21028" t="s">
        <v>47095</v>
      </c>
      <c r="H21028" t="s">
        <v>47054</v>
      </c>
      <c r="I21028" t="s">
        <v>47118</v>
      </c>
      <c r="J21028" t="s">
        <v>47119</v>
      </c>
      <c r="K21028" t="s">
        <v>47113</v>
      </c>
      <c r="L21028">
        <v>14.35</v>
      </c>
      <c r="M21028">
        <v>47</v>
      </c>
      <c r="N21028">
        <v>0</v>
      </c>
      <c r="O21028">
        <v>47</v>
      </c>
      <c r="P21028">
        <v>0</v>
      </c>
    </row>
    <row r="21029" spans="1:16" x14ac:dyDescent="0.25">
      <c r="A21029" t="s">
        <v>43857</v>
      </c>
      <c r="B21029" t="s">
        <v>43858</v>
      </c>
      <c r="C21029" t="s">
        <v>43859</v>
      </c>
      <c r="D21029" t="str">
        <f>"2707"</f>
        <v>2707</v>
      </c>
      <c r="E21029" t="s">
        <v>43860</v>
      </c>
      <c r="F21029" t="s">
        <v>3750</v>
      </c>
      <c r="G21029" t="s">
        <v>47095</v>
      </c>
      <c r="H21029" t="s">
        <v>47054</v>
      </c>
      <c r="I21029" t="s">
        <v>47118</v>
      </c>
      <c r="J21029" t="s">
        <v>47119</v>
      </c>
      <c r="K21029" t="s">
        <v>47113</v>
      </c>
      <c r="L21029">
        <v>15.05</v>
      </c>
      <c r="M21029">
        <v>47</v>
      </c>
      <c r="N21029">
        <v>0</v>
      </c>
      <c r="O21029">
        <v>47</v>
      </c>
      <c r="P21029">
        <v>0</v>
      </c>
    </row>
    <row r="21030" spans="1:16" x14ac:dyDescent="0.25">
      <c r="A21030" t="s">
        <v>43861</v>
      </c>
      <c r="B21030" t="s">
        <v>43858</v>
      </c>
      <c r="C21030" t="s">
        <v>43859</v>
      </c>
      <c r="D21030" t="str">
        <f>"4100"</f>
        <v>4100</v>
      </c>
      <c r="E21030" t="s">
        <v>17644</v>
      </c>
      <c r="F21030" t="s">
        <v>3750</v>
      </c>
      <c r="G21030" t="s">
        <v>47095</v>
      </c>
      <c r="H21030" t="s">
        <v>47054</v>
      </c>
      <c r="I21030" t="s">
        <v>47118</v>
      </c>
      <c r="J21030" t="s">
        <v>47119</v>
      </c>
      <c r="K21030" t="s">
        <v>47113</v>
      </c>
      <c r="L21030">
        <v>15.05</v>
      </c>
      <c r="M21030">
        <v>47</v>
      </c>
      <c r="N21030">
        <v>0</v>
      </c>
      <c r="O21030">
        <v>47</v>
      </c>
      <c r="P21030">
        <v>0</v>
      </c>
    </row>
    <row r="21031" spans="1:16" x14ac:dyDescent="0.25">
      <c r="A21031" t="s">
        <v>43862</v>
      </c>
      <c r="B21031" t="s">
        <v>22112</v>
      </c>
      <c r="C21031" t="s">
        <v>22113</v>
      </c>
      <c r="D21031" t="str">
        <f>"1001"</f>
        <v>1001</v>
      </c>
      <c r="E21031" t="s">
        <v>42</v>
      </c>
      <c r="F21031" t="s">
        <v>3750</v>
      </c>
      <c r="G21031" t="s">
        <v>47095</v>
      </c>
      <c r="H21031" t="s">
        <v>47054</v>
      </c>
      <c r="I21031" t="s">
        <v>47118</v>
      </c>
      <c r="J21031" t="s">
        <v>47119</v>
      </c>
      <c r="K21031" t="s">
        <v>47113</v>
      </c>
      <c r="L21031">
        <v>14.88</v>
      </c>
      <c r="M21031">
        <v>48</v>
      </c>
      <c r="N21031">
        <v>129</v>
      </c>
      <c r="O21031">
        <v>48</v>
      </c>
      <c r="P21031">
        <v>129</v>
      </c>
    </row>
    <row r="21032" spans="1:16" x14ac:dyDescent="0.25">
      <c r="A21032" t="s">
        <v>43863</v>
      </c>
      <c r="B21032" t="s">
        <v>22112</v>
      </c>
      <c r="C21032" t="s">
        <v>22113</v>
      </c>
      <c r="D21032" t="str">
        <f>"1473"</f>
        <v>1473</v>
      </c>
      <c r="E21032" t="s">
        <v>9579</v>
      </c>
      <c r="F21032" t="s">
        <v>3750</v>
      </c>
      <c r="G21032" t="s">
        <v>47095</v>
      </c>
      <c r="H21032" t="s">
        <v>47054</v>
      </c>
      <c r="I21032" t="s">
        <v>47118</v>
      </c>
      <c r="J21032" t="s">
        <v>47119</v>
      </c>
      <c r="K21032" t="s">
        <v>47113</v>
      </c>
      <c r="L21032">
        <v>13.53</v>
      </c>
      <c r="M21032">
        <v>52</v>
      </c>
      <c r="N21032">
        <v>0</v>
      </c>
      <c r="O21032">
        <v>52</v>
      </c>
      <c r="P21032">
        <v>0</v>
      </c>
    </row>
    <row r="21033" spans="1:16" x14ac:dyDescent="0.25">
      <c r="A21033" t="s">
        <v>43864</v>
      </c>
      <c r="B21033" t="s">
        <v>22112</v>
      </c>
      <c r="C21033" t="s">
        <v>22113</v>
      </c>
      <c r="D21033" t="str">
        <f>"1501"</f>
        <v>1501</v>
      </c>
      <c r="E21033" t="s">
        <v>46</v>
      </c>
      <c r="F21033" t="s">
        <v>3750</v>
      </c>
      <c r="G21033" t="s">
        <v>47095</v>
      </c>
      <c r="H21033" t="s">
        <v>47054</v>
      </c>
      <c r="I21033" t="s">
        <v>47118</v>
      </c>
      <c r="J21033" t="s">
        <v>47119</v>
      </c>
      <c r="K21033" t="s">
        <v>47113</v>
      </c>
      <c r="L21033">
        <v>13.77</v>
      </c>
      <c r="M21033">
        <v>48</v>
      </c>
      <c r="N21033">
        <v>129</v>
      </c>
      <c r="O21033">
        <v>48</v>
      </c>
      <c r="P21033">
        <v>129</v>
      </c>
    </row>
    <row r="21034" spans="1:16" x14ac:dyDescent="0.25">
      <c r="A21034" t="s">
        <v>43865</v>
      </c>
      <c r="B21034" t="s">
        <v>22112</v>
      </c>
      <c r="C21034" t="s">
        <v>22113</v>
      </c>
      <c r="D21034" t="str">
        <f>"4500"</f>
        <v>4500</v>
      </c>
      <c r="E21034" t="s">
        <v>22114</v>
      </c>
      <c r="F21034" t="s">
        <v>3750</v>
      </c>
      <c r="G21034" t="s">
        <v>47095</v>
      </c>
      <c r="H21034" t="s">
        <v>47054</v>
      </c>
      <c r="I21034" t="s">
        <v>47118</v>
      </c>
      <c r="J21034" t="s">
        <v>47119</v>
      </c>
      <c r="K21034" t="s">
        <v>47113</v>
      </c>
      <c r="L21034">
        <v>13.53</v>
      </c>
      <c r="M21034">
        <v>52</v>
      </c>
      <c r="N21034">
        <v>0</v>
      </c>
      <c r="O21034">
        <v>52</v>
      </c>
      <c r="P21034">
        <v>0</v>
      </c>
    </row>
    <row r="21035" spans="1:16" x14ac:dyDescent="0.25">
      <c r="A21035" t="s">
        <v>43866</v>
      </c>
      <c r="B21035" t="s">
        <v>43867</v>
      </c>
      <c r="C21035" t="s">
        <v>43868</v>
      </c>
      <c r="D21035" t="str">
        <f>"2707"</f>
        <v>2707</v>
      </c>
      <c r="E21035" t="s">
        <v>43860</v>
      </c>
      <c r="F21035" t="s">
        <v>3750</v>
      </c>
      <c r="G21035" t="s">
        <v>47094</v>
      </c>
      <c r="H21035" t="s">
        <v>47054</v>
      </c>
      <c r="I21035" t="s">
        <v>47118</v>
      </c>
      <c r="J21035" t="s">
        <v>47119</v>
      </c>
      <c r="K21035" t="s">
        <v>47113</v>
      </c>
      <c r="L21035">
        <v>18.27</v>
      </c>
      <c r="M21035">
        <v>53</v>
      </c>
      <c r="N21035">
        <v>0</v>
      </c>
      <c r="O21035">
        <v>53</v>
      </c>
      <c r="P21035">
        <v>0</v>
      </c>
    </row>
    <row r="21036" spans="1:16" x14ac:dyDescent="0.25">
      <c r="A21036" t="s">
        <v>43869</v>
      </c>
      <c r="B21036" t="s">
        <v>43867</v>
      </c>
      <c r="C21036" t="s">
        <v>43868</v>
      </c>
      <c r="D21036" t="str">
        <f>"4100"</f>
        <v>4100</v>
      </c>
      <c r="E21036" t="s">
        <v>17644</v>
      </c>
      <c r="F21036" t="s">
        <v>3750</v>
      </c>
      <c r="G21036" t="s">
        <v>47094</v>
      </c>
      <c r="H21036" t="s">
        <v>47054</v>
      </c>
      <c r="I21036" t="s">
        <v>47118</v>
      </c>
      <c r="J21036" t="s">
        <v>47119</v>
      </c>
      <c r="K21036" t="s">
        <v>47113</v>
      </c>
      <c r="L21036">
        <v>18.27</v>
      </c>
      <c r="M21036">
        <v>53</v>
      </c>
      <c r="N21036">
        <v>0</v>
      </c>
      <c r="O21036">
        <v>53</v>
      </c>
      <c r="P21036">
        <v>0</v>
      </c>
    </row>
    <row r="21037" spans="1:16" x14ac:dyDescent="0.25">
      <c r="A21037" t="s">
        <v>43870</v>
      </c>
      <c r="B21037" t="s">
        <v>22115</v>
      </c>
      <c r="C21037" t="s">
        <v>22116</v>
      </c>
      <c r="D21037" t="str">
        <f>"1001"</f>
        <v>1001</v>
      </c>
      <c r="E21037" t="s">
        <v>42</v>
      </c>
      <c r="F21037" t="s">
        <v>3750</v>
      </c>
      <c r="G21037" t="s">
        <v>47094</v>
      </c>
      <c r="H21037" t="s">
        <v>47054</v>
      </c>
      <c r="I21037" t="s">
        <v>47118</v>
      </c>
      <c r="J21037" t="s">
        <v>47119</v>
      </c>
      <c r="K21037" t="s">
        <v>47113</v>
      </c>
      <c r="L21037">
        <v>17.62</v>
      </c>
      <c r="M21037">
        <v>63</v>
      </c>
      <c r="N21037">
        <v>169</v>
      </c>
      <c r="O21037">
        <v>63</v>
      </c>
      <c r="P21037">
        <v>169</v>
      </c>
    </row>
    <row r="21038" spans="1:16" x14ac:dyDescent="0.25">
      <c r="A21038" t="s">
        <v>43871</v>
      </c>
      <c r="B21038" t="s">
        <v>22115</v>
      </c>
      <c r="C21038" t="s">
        <v>22116</v>
      </c>
      <c r="D21038" t="str">
        <f>"1473"</f>
        <v>1473</v>
      </c>
      <c r="E21038" t="s">
        <v>9579</v>
      </c>
      <c r="F21038" t="s">
        <v>3750</v>
      </c>
      <c r="G21038" t="s">
        <v>47094</v>
      </c>
      <c r="H21038" t="s">
        <v>47054</v>
      </c>
      <c r="I21038" t="s">
        <v>47118</v>
      </c>
      <c r="J21038" t="s">
        <v>47119</v>
      </c>
      <c r="K21038" t="s">
        <v>47113</v>
      </c>
      <c r="L21038">
        <v>18.18</v>
      </c>
      <c r="M21038">
        <v>59</v>
      </c>
      <c r="N21038">
        <v>0</v>
      </c>
      <c r="O21038">
        <v>59</v>
      </c>
      <c r="P21038">
        <v>0</v>
      </c>
    </row>
    <row r="21039" spans="1:16" x14ac:dyDescent="0.25">
      <c r="A21039" t="s">
        <v>43872</v>
      </c>
      <c r="B21039" t="s">
        <v>22115</v>
      </c>
      <c r="C21039" t="s">
        <v>22116</v>
      </c>
      <c r="D21039" t="str">
        <f>"1501"</f>
        <v>1501</v>
      </c>
      <c r="E21039" t="s">
        <v>46</v>
      </c>
      <c r="F21039" t="s">
        <v>3750</v>
      </c>
      <c r="G21039" t="s">
        <v>47094</v>
      </c>
      <c r="H21039" t="s">
        <v>47054</v>
      </c>
      <c r="I21039" t="s">
        <v>47118</v>
      </c>
      <c r="J21039" t="s">
        <v>47119</v>
      </c>
      <c r="K21039" t="s">
        <v>47113</v>
      </c>
      <c r="L21039">
        <v>17.62</v>
      </c>
      <c r="M21039">
        <v>63</v>
      </c>
      <c r="N21039">
        <v>169</v>
      </c>
      <c r="O21039">
        <v>63</v>
      </c>
      <c r="P21039">
        <v>169</v>
      </c>
    </row>
    <row r="21040" spans="1:16" x14ac:dyDescent="0.25">
      <c r="A21040" t="s">
        <v>43873</v>
      </c>
      <c r="B21040" t="s">
        <v>22115</v>
      </c>
      <c r="C21040" t="s">
        <v>22116</v>
      </c>
      <c r="D21040" t="str">
        <f>"4500"</f>
        <v>4500</v>
      </c>
      <c r="E21040" t="s">
        <v>22114</v>
      </c>
      <c r="F21040" t="s">
        <v>3750</v>
      </c>
      <c r="G21040" t="s">
        <v>47094</v>
      </c>
      <c r="H21040" t="s">
        <v>47054</v>
      </c>
      <c r="I21040" t="s">
        <v>47118</v>
      </c>
      <c r="J21040" t="s">
        <v>47119</v>
      </c>
      <c r="K21040" t="s">
        <v>47113</v>
      </c>
      <c r="L21040">
        <v>18.18</v>
      </c>
      <c r="M21040">
        <v>59</v>
      </c>
      <c r="N21040">
        <v>0</v>
      </c>
      <c r="O21040">
        <v>59</v>
      </c>
      <c r="P21040">
        <v>0</v>
      </c>
    </row>
    <row r="21041" spans="1:16" x14ac:dyDescent="0.25">
      <c r="A21041" t="s">
        <v>43874</v>
      </c>
      <c r="B21041" t="s">
        <v>836</v>
      </c>
      <c r="C21041" t="s">
        <v>837</v>
      </c>
      <c r="D21041" t="str">
        <f>"3158"</f>
        <v>3158</v>
      </c>
      <c r="E21041" t="s">
        <v>12731</v>
      </c>
      <c r="F21041" t="s">
        <v>7</v>
      </c>
      <c r="G21041" t="s">
        <v>47101</v>
      </c>
      <c r="H21041" t="s">
        <v>47054</v>
      </c>
      <c r="I21041" t="s">
        <v>47118</v>
      </c>
      <c r="J21041" t="s">
        <v>47119</v>
      </c>
      <c r="K21041" t="s">
        <v>47113</v>
      </c>
      <c r="L21041">
        <v>20.75</v>
      </c>
      <c r="M21041">
        <v>53</v>
      </c>
      <c r="N21041">
        <v>0</v>
      </c>
      <c r="O21041">
        <v>53</v>
      </c>
      <c r="P21041">
        <v>0</v>
      </c>
    </row>
    <row r="21042" spans="1:16" x14ac:dyDescent="0.25">
      <c r="A21042" t="s">
        <v>835</v>
      </c>
      <c r="B21042" t="s">
        <v>836</v>
      </c>
      <c r="C21042" t="s">
        <v>837</v>
      </c>
      <c r="D21042" t="str">
        <f>"4431"</f>
        <v>4431</v>
      </c>
      <c r="E21042" t="s">
        <v>838</v>
      </c>
      <c r="F21042" t="s">
        <v>7</v>
      </c>
      <c r="G21042" t="s">
        <v>47101</v>
      </c>
      <c r="H21042" t="s">
        <v>47054</v>
      </c>
      <c r="I21042" t="s">
        <v>47118</v>
      </c>
      <c r="J21042" t="s">
        <v>47119</v>
      </c>
      <c r="K21042" t="s">
        <v>47113</v>
      </c>
      <c r="L21042">
        <v>47.51</v>
      </c>
      <c r="M21042">
        <v>53</v>
      </c>
      <c r="N21042">
        <v>0</v>
      </c>
      <c r="O21042">
        <v>53</v>
      </c>
      <c r="P21042">
        <v>0</v>
      </c>
    </row>
    <row r="21043" spans="1:16" x14ac:dyDescent="0.25">
      <c r="A21043" t="s">
        <v>839</v>
      </c>
      <c r="B21043" t="s">
        <v>836</v>
      </c>
      <c r="C21043" t="s">
        <v>837</v>
      </c>
      <c r="D21043" t="str">
        <f>"6045"</f>
        <v>6045</v>
      </c>
      <c r="E21043" t="s">
        <v>840</v>
      </c>
      <c r="F21043" t="s">
        <v>7</v>
      </c>
      <c r="G21043" t="s">
        <v>47101</v>
      </c>
      <c r="H21043" t="s">
        <v>47054</v>
      </c>
      <c r="I21043" t="s">
        <v>47118</v>
      </c>
      <c r="J21043" t="s">
        <v>47119</v>
      </c>
      <c r="K21043" t="s">
        <v>47113</v>
      </c>
      <c r="L21043">
        <v>47.51</v>
      </c>
      <c r="M21043">
        <v>53</v>
      </c>
      <c r="N21043">
        <v>0</v>
      </c>
      <c r="O21043">
        <v>53</v>
      </c>
      <c r="P21043">
        <v>0</v>
      </c>
    </row>
    <row r="21044" spans="1:16" x14ac:dyDescent="0.25">
      <c r="A21044" t="s">
        <v>22939</v>
      </c>
      <c r="B21044" t="s">
        <v>22940</v>
      </c>
      <c r="C21044" t="s">
        <v>22941</v>
      </c>
      <c r="D21044" t="str">
        <f>"1001"</f>
        <v>1001</v>
      </c>
      <c r="E21044" t="s">
        <v>42</v>
      </c>
      <c r="F21044" t="s">
        <v>3750</v>
      </c>
      <c r="G21044" t="s">
        <v>47094</v>
      </c>
      <c r="H21044" t="s">
        <v>47054</v>
      </c>
      <c r="I21044" t="s">
        <v>47118</v>
      </c>
      <c r="J21044" t="s">
        <v>47119</v>
      </c>
      <c r="K21044" t="s">
        <v>47113</v>
      </c>
      <c r="L21044">
        <v>15.23</v>
      </c>
      <c r="M21044">
        <v>60</v>
      </c>
      <c r="N21044">
        <v>0</v>
      </c>
      <c r="O21044">
        <v>60</v>
      </c>
      <c r="P21044">
        <v>0</v>
      </c>
    </row>
    <row r="21045" spans="1:16" x14ac:dyDescent="0.25">
      <c r="A21045" t="s">
        <v>43875</v>
      </c>
      <c r="B21045" t="s">
        <v>22940</v>
      </c>
      <c r="C21045" t="s">
        <v>22941</v>
      </c>
      <c r="D21045" t="str">
        <f>"6202"</f>
        <v>6202</v>
      </c>
      <c r="E21045" t="s">
        <v>22938</v>
      </c>
      <c r="F21045" t="s">
        <v>3750</v>
      </c>
      <c r="G21045" t="s">
        <v>47094</v>
      </c>
      <c r="H21045" t="s">
        <v>47054</v>
      </c>
      <c r="I21045" t="s">
        <v>47118</v>
      </c>
      <c r="J21045" t="s">
        <v>47119</v>
      </c>
      <c r="K21045" t="s">
        <v>47113</v>
      </c>
      <c r="L21045">
        <v>15.23</v>
      </c>
      <c r="M21045">
        <v>60</v>
      </c>
      <c r="N21045">
        <v>0</v>
      </c>
      <c r="O21045">
        <v>60</v>
      </c>
      <c r="P21045">
        <v>0</v>
      </c>
    </row>
    <row r="21046" spans="1:16" x14ac:dyDescent="0.25">
      <c r="A21046" t="s">
        <v>43876</v>
      </c>
      <c r="B21046" t="s">
        <v>43877</v>
      </c>
      <c r="C21046" t="s">
        <v>43878</v>
      </c>
      <c r="D21046" t="str">
        <f>"1001"</f>
        <v>1001</v>
      </c>
      <c r="E21046" t="s">
        <v>42</v>
      </c>
      <c r="F21046" t="s">
        <v>3750</v>
      </c>
      <c r="G21046" t="s">
        <v>47103</v>
      </c>
      <c r="H21046" t="s">
        <v>47054</v>
      </c>
      <c r="I21046" t="s">
        <v>47118</v>
      </c>
      <c r="J21046" t="s">
        <v>47119</v>
      </c>
      <c r="K21046" t="s">
        <v>47113</v>
      </c>
      <c r="L21046">
        <v>18.59</v>
      </c>
      <c r="M21046">
        <v>70</v>
      </c>
      <c r="N21046">
        <v>189</v>
      </c>
      <c r="O21046">
        <v>70</v>
      </c>
      <c r="P21046">
        <v>189</v>
      </c>
    </row>
    <row r="21047" spans="1:16" x14ac:dyDescent="0.25">
      <c r="A21047" t="s">
        <v>43879</v>
      </c>
      <c r="B21047" t="s">
        <v>43877</v>
      </c>
      <c r="C21047" t="s">
        <v>43878</v>
      </c>
      <c r="D21047" t="str">
        <f>"2707"</f>
        <v>2707</v>
      </c>
      <c r="E21047" t="s">
        <v>3019</v>
      </c>
      <c r="F21047" t="s">
        <v>3750</v>
      </c>
      <c r="G21047" t="s">
        <v>47103</v>
      </c>
      <c r="H21047" t="s">
        <v>47054</v>
      </c>
      <c r="I21047" t="s">
        <v>47118</v>
      </c>
      <c r="J21047" t="s">
        <v>47119</v>
      </c>
      <c r="K21047" t="s">
        <v>47113</v>
      </c>
      <c r="L21047">
        <v>18.59</v>
      </c>
      <c r="M21047">
        <v>70</v>
      </c>
      <c r="N21047">
        <v>189</v>
      </c>
      <c r="O21047">
        <v>70</v>
      </c>
      <c r="P21047">
        <v>189</v>
      </c>
    </row>
    <row r="21048" spans="1:16" x14ac:dyDescent="0.25">
      <c r="A21048" t="s">
        <v>43880</v>
      </c>
      <c r="B21048" t="s">
        <v>19227</v>
      </c>
      <c r="C21048" t="s">
        <v>19228</v>
      </c>
      <c r="D21048" t="str">
        <f>"1700"</f>
        <v>1700</v>
      </c>
      <c r="E21048" t="s">
        <v>60</v>
      </c>
      <c r="F21048" t="s">
        <v>3750</v>
      </c>
      <c r="G21048" t="s">
        <v>47092</v>
      </c>
      <c r="H21048" t="s">
        <v>47054</v>
      </c>
      <c r="I21048" t="s">
        <v>47116</v>
      </c>
      <c r="J21048" t="s">
        <v>47117</v>
      </c>
      <c r="K21048" t="s">
        <v>47113</v>
      </c>
      <c r="L21048">
        <v>7.18</v>
      </c>
      <c r="M21048">
        <v>20</v>
      </c>
      <c r="N21048">
        <v>0</v>
      </c>
      <c r="O21048">
        <v>20</v>
      </c>
      <c r="P21048">
        <v>0</v>
      </c>
    </row>
    <row r="21049" spans="1:16" x14ac:dyDescent="0.25">
      <c r="A21049" t="s">
        <v>43881</v>
      </c>
      <c r="B21049" t="s">
        <v>12732</v>
      </c>
      <c r="C21049" t="s">
        <v>12733</v>
      </c>
      <c r="D21049" t="str">
        <f>"1702"</f>
        <v>1702</v>
      </c>
      <c r="E21049" t="s">
        <v>1956</v>
      </c>
      <c r="F21049" t="s">
        <v>3750</v>
      </c>
      <c r="G21049" t="s">
        <v>47091</v>
      </c>
      <c r="H21049" t="s">
        <v>47054</v>
      </c>
      <c r="I21049" t="s">
        <v>47116</v>
      </c>
      <c r="J21049" t="s">
        <v>47117</v>
      </c>
      <c r="K21049" t="s">
        <v>47113</v>
      </c>
      <c r="L21049">
        <v>8.33</v>
      </c>
      <c r="M21049">
        <v>35</v>
      </c>
      <c r="N21049">
        <v>0</v>
      </c>
      <c r="O21049">
        <v>35</v>
      </c>
      <c r="P21049">
        <v>0</v>
      </c>
    </row>
    <row r="21050" spans="1:16" x14ac:dyDescent="0.25">
      <c r="A21050" t="s">
        <v>43882</v>
      </c>
      <c r="B21050" t="s">
        <v>12732</v>
      </c>
      <c r="C21050" t="s">
        <v>12733</v>
      </c>
      <c r="D21050" t="str">
        <f>"4915"</f>
        <v>4915</v>
      </c>
      <c r="E21050" t="s">
        <v>12734</v>
      </c>
      <c r="F21050" t="s">
        <v>3750</v>
      </c>
      <c r="G21050" t="s">
        <v>47091</v>
      </c>
      <c r="H21050" t="s">
        <v>47054</v>
      </c>
      <c r="I21050" t="s">
        <v>47116</v>
      </c>
      <c r="J21050" t="s">
        <v>47117</v>
      </c>
      <c r="K21050" t="s">
        <v>47113</v>
      </c>
      <c r="L21050">
        <v>8.33</v>
      </c>
      <c r="M21050">
        <v>35</v>
      </c>
      <c r="N21050">
        <v>0</v>
      </c>
      <c r="O21050">
        <v>35</v>
      </c>
      <c r="P21050">
        <v>0</v>
      </c>
    </row>
    <row r="21051" spans="1:16" x14ac:dyDescent="0.25">
      <c r="A21051" t="s">
        <v>43883</v>
      </c>
      <c r="B21051" t="s">
        <v>12735</v>
      </c>
      <c r="C21051" t="s">
        <v>12736</v>
      </c>
      <c r="D21051" t="str">
        <f>"1001"</f>
        <v>1001</v>
      </c>
      <c r="E21051" t="s">
        <v>42</v>
      </c>
      <c r="F21051" t="s">
        <v>3750</v>
      </c>
      <c r="G21051" t="s">
        <v>47091</v>
      </c>
      <c r="H21051" t="s">
        <v>47054</v>
      </c>
      <c r="I21051" t="s">
        <v>47116</v>
      </c>
      <c r="J21051" t="s">
        <v>47117</v>
      </c>
      <c r="K21051" t="s">
        <v>47113</v>
      </c>
      <c r="L21051">
        <v>7.65</v>
      </c>
      <c r="M21051">
        <v>27</v>
      </c>
      <c r="N21051">
        <v>0</v>
      </c>
      <c r="O21051">
        <v>27</v>
      </c>
      <c r="P21051">
        <v>0</v>
      </c>
    </row>
    <row r="21052" spans="1:16" x14ac:dyDescent="0.25">
      <c r="A21052" t="s">
        <v>43884</v>
      </c>
      <c r="B21052" t="s">
        <v>12735</v>
      </c>
      <c r="C21052" t="s">
        <v>12736</v>
      </c>
      <c r="D21052" t="str">
        <f>"6000"</f>
        <v>6000</v>
      </c>
      <c r="E21052" t="s">
        <v>238</v>
      </c>
      <c r="F21052" t="s">
        <v>3750</v>
      </c>
      <c r="G21052" t="s">
        <v>47091</v>
      </c>
      <c r="H21052" t="s">
        <v>47054</v>
      </c>
      <c r="I21052" t="s">
        <v>47116</v>
      </c>
      <c r="J21052" t="s">
        <v>47117</v>
      </c>
      <c r="K21052" t="s">
        <v>47113</v>
      </c>
      <c r="L21052">
        <v>7.65</v>
      </c>
      <c r="M21052">
        <v>27</v>
      </c>
      <c r="N21052">
        <v>0</v>
      </c>
      <c r="O21052">
        <v>27</v>
      </c>
      <c r="P21052">
        <v>0</v>
      </c>
    </row>
    <row r="21053" spans="1:16" x14ac:dyDescent="0.25">
      <c r="A21053" t="s">
        <v>43885</v>
      </c>
      <c r="B21053" t="s">
        <v>19229</v>
      </c>
      <c r="C21053" t="s">
        <v>19230</v>
      </c>
      <c r="D21053" t="str">
        <f>"1700"</f>
        <v>1700</v>
      </c>
      <c r="E21053" t="s">
        <v>60</v>
      </c>
      <c r="F21053" t="s">
        <v>3750</v>
      </c>
      <c r="G21053" t="s">
        <v>47092</v>
      </c>
      <c r="H21053" t="s">
        <v>47054</v>
      </c>
      <c r="I21053" t="s">
        <v>47116</v>
      </c>
      <c r="J21053" t="s">
        <v>47117</v>
      </c>
      <c r="K21053" t="s">
        <v>47113</v>
      </c>
      <c r="L21053">
        <v>6.57</v>
      </c>
      <c r="M21053">
        <v>19</v>
      </c>
      <c r="N21053">
        <v>0</v>
      </c>
      <c r="O21053">
        <v>19</v>
      </c>
      <c r="P21053">
        <v>0</v>
      </c>
    </row>
    <row r="21054" spans="1:16" x14ac:dyDescent="0.25">
      <c r="A21054" t="s">
        <v>43886</v>
      </c>
      <c r="B21054" t="s">
        <v>19229</v>
      </c>
      <c r="C21054" t="s">
        <v>19230</v>
      </c>
      <c r="D21054" t="str">
        <f>"6304"</f>
        <v>6304</v>
      </c>
      <c r="E21054" t="s">
        <v>65</v>
      </c>
      <c r="F21054" t="s">
        <v>3750</v>
      </c>
      <c r="G21054" t="s">
        <v>47092</v>
      </c>
      <c r="H21054" t="s">
        <v>47054</v>
      </c>
      <c r="I21054" t="s">
        <v>47116</v>
      </c>
      <c r="J21054" t="s">
        <v>47117</v>
      </c>
      <c r="K21054" t="s">
        <v>47113</v>
      </c>
      <c r="L21054">
        <v>7.18</v>
      </c>
      <c r="M21054">
        <v>20</v>
      </c>
      <c r="N21054">
        <v>0</v>
      </c>
      <c r="O21054">
        <v>20</v>
      </c>
      <c r="P21054">
        <v>0</v>
      </c>
    </row>
    <row r="21055" spans="1:16" x14ac:dyDescent="0.25">
      <c r="A21055" t="s">
        <v>43887</v>
      </c>
      <c r="B21055" t="s">
        <v>19231</v>
      </c>
      <c r="C21055" t="s">
        <v>19232</v>
      </c>
      <c r="D21055" t="str">
        <f>"1001"</f>
        <v>1001</v>
      </c>
      <c r="E21055" t="s">
        <v>42</v>
      </c>
      <c r="F21055" t="s">
        <v>3750</v>
      </c>
      <c r="G21055" t="s">
        <v>47092</v>
      </c>
      <c r="H21055" t="s">
        <v>47054</v>
      </c>
      <c r="I21055" t="s">
        <v>47116</v>
      </c>
      <c r="J21055" t="s">
        <v>47117</v>
      </c>
      <c r="K21055" t="s">
        <v>47113</v>
      </c>
      <c r="L21055">
        <v>8.08</v>
      </c>
      <c r="M21055">
        <v>33</v>
      </c>
      <c r="N21055">
        <v>0</v>
      </c>
      <c r="O21055">
        <v>33</v>
      </c>
      <c r="P21055">
        <v>0</v>
      </c>
    </row>
    <row r="21056" spans="1:16" x14ac:dyDescent="0.25">
      <c r="A21056" t="s">
        <v>43888</v>
      </c>
      <c r="B21056" t="s">
        <v>19231</v>
      </c>
      <c r="C21056" t="s">
        <v>19232</v>
      </c>
      <c r="D21056" t="str">
        <f>"1700"</f>
        <v>1700</v>
      </c>
      <c r="E21056" t="s">
        <v>60</v>
      </c>
      <c r="F21056" t="s">
        <v>3750</v>
      </c>
      <c r="G21056" t="s">
        <v>47092</v>
      </c>
      <c r="H21056" t="s">
        <v>47054</v>
      </c>
      <c r="I21056" t="s">
        <v>47116</v>
      </c>
      <c r="J21056" t="s">
        <v>47117</v>
      </c>
      <c r="K21056" t="s">
        <v>47113</v>
      </c>
      <c r="L21056">
        <v>8.08</v>
      </c>
      <c r="M21056">
        <v>33</v>
      </c>
      <c r="N21056">
        <v>0</v>
      </c>
      <c r="O21056">
        <v>33</v>
      </c>
      <c r="P21056">
        <v>0</v>
      </c>
    </row>
    <row r="21057" spans="1:16" x14ac:dyDescent="0.25">
      <c r="A21057" t="s">
        <v>43889</v>
      </c>
      <c r="B21057" t="s">
        <v>12737</v>
      </c>
      <c r="C21057" t="s">
        <v>12738</v>
      </c>
      <c r="D21057" t="s">
        <v>739</v>
      </c>
      <c r="E21057" t="s">
        <v>740</v>
      </c>
      <c r="F21057" t="s">
        <v>7</v>
      </c>
      <c r="G21057" t="s">
        <v>47093</v>
      </c>
      <c r="H21057" t="s">
        <v>47054</v>
      </c>
      <c r="I21057" t="s">
        <v>47111</v>
      </c>
      <c r="J21057" t="s">
        <v>47112</v>
      </c>
      <c r="K21057" t="s">
        <v>47113</v>
      </c>
      <c r="L21057">
        <v>34.869999999999997</v>
      </c>
      <c r="M21057">
        <v>85</v>
      </c>
      <c r="N21057">
        <v>0</v>
      </c>
      <c r="O21057">
        <v>85</v>
      </c>
      <c r="P21057">
        <v>0</v>
      </c>
    </row>
    <row r="21058" spans="1:16" x14ac:dyDescent="0.25">
      <c r="A21058" t="s">
        <v>43890</v>
      </c>
      <c r="B21058" t="s">
        <v>12737</v>
      </c>
      <c r="C21058" t="s">
        <v>12738</v>
      </c>
      <c r="D21058" t="s">
        <v>983</v>
      </c>
      <c r="E21058" t="s">
        <v>984</v>
      </c>
      <c r="F21058" t="s">
        <v>7</v>
      </c>
      <c r="G21058" t="s">
        <v>47093</v>
      </c>
      <c r="H21058" t="s">
        <v>47054</v>
      </c>
      <c r="I21058" t="s">
        <v>47111</v>
      </c>
      <c r="J21058" t="s">
        <v>47112</v>
      </c>
      <c r="K21058" t="s">
        <v>47113</v>
      </c>
      <c r="L21058">
        <v>43.89</v>
      </c>
      <c r="M21058">
        <v>98</v>
      </c>
      <c r="N21058">
        <v>0</v>
      </c>
      <c r="O21058">
        <v>98</v>
      </c>
      <c r="P21058">
        <v>0</v>
      </c>
    </row>
    <row r="21059" spans="1:16" x14ac:dyDescent="0.25">
      <c r="A21059" t="s">
        <v>43891</v>
      </c>
      <c r="B21059" t="s">
        <v>12739</v>
      </c>
      <c r="C21059" t="s">
        <v>12740</v>
      </c>
      <c r="D21059" t="s">
        <v>739</v>
      </c>
      <c r="E21059" t="s">
        <v>740</v>
      </c>
      <c r="F21059" t="s">
        <v>7</v>
      </c>
      <c r="G21059" t="s">
        <v>47093</v>
      </c>
      <c r="H21059" t="s">
        <v>47054</v>
      </c>
      <c r="I21059" t="s">
        <v>47111</v>
      </c>
      <c r="J21059" t="s">
        <v>47112</v>
      </c>
      <c r="K21059" t="s">
        <v>47113</v>
      </c>
      <c r="L21059">
        <v>34.869999999999997</v>
      </c>
      <c r="M21059">
        <v>85</v>
      </c>
      <c r="N21059">
        <v>0</v>
      </c>
      <c r="O21059">
        <v>85</v>
      </c>
      <c r="P21059">
        <v>0</v>
      </c>
    </row>
    <row r="21060" spans="1:16" x14ac:dyDescent="0.25">
      <c r="A21060" t="s">
        <v>43892</v>
      </c>
      <c r="B21060" t="s">
        <v>12739</v>
      </c>
      <c r="C21060" t="s">
        <v>12740</v>
      </c>
      <c r="D21060" t="s">
        <v>983</v>
      </c>
      <c r="E21060" t="s">
        <v>984</v>
      </c>
      <c r="F21060" t="s">
        <v>7</v>
      </c>
      <c r="G21060" t="s">
        <v>47093</v>
      </c>
      <c r="H21060" t="s">
        <v>47054</v>
      </c>
      <c r="I21060" t="s">
        <v>47111</v>
      </c>
      <c r="J21060" t="s">
        <v>47112</v>
      </c>
      <c r="K21060" t="s">
        <v>47113</v>
      </c>
      <c r="L21060">
        <v>43.89</v>
      </c>
      <c r="M21060">
        <v>100</v>
      </c>
      <c r="N21060">
        <v>0</v>
      </c>
      <c r="O21060">
        <v>100</v>
      </c>
      <c r="P21060">
        <v>0</v>
      </c>
    </row>
    <row r="21061" spans="1:16" x14ac:dyDescent="0.25">
      <c r="A21061" t="s">
        <v>43893</v>
      </c>
      <c r="B21061" t="s">
        <v>12741</v>
      </c>
      <c r="C21061" t="s">
        <v>12742</v>
      </c>
      <c r="D21061" t="s">
        <v>311</v>
      </c>
      <c r="E21061" t="s">
        <v>312</v>
      </c>
      <c r="F21061" t="s">
        <v>6</v>
      </c>
      <c r="G21061" t="s">
        <v>47093</v>
      </c>
      <c r="H21061" t="s">
        <v>47054</v>
      </c>
      <c r="I21061" t="s">
        <v>47111</v>
      </c>
      <c r="J21061" t="s">
        <v>47112</v>
      </c>
      <c r="K21061" t="s">
        <v>47113</v>
      </c>
      <c r="L21061">
        <v>46.6</v>
      </c>
      <c r="M21061">
        <v>111</v>
      </c>
      <c r="N21061">
        <v>0</v>
      </c>
      <c r="O21061">
        <v>111</v>
      </c>
      <c r="P21061">
        <v>0</v>
      </c>
    </row>
    <row r="21062" spans="1:16" x14ac:dyDescent="0.25">
      <c r="A21062" t="s">
        <v>43894</v>
      </c>
      <c r="B21062" t="s">
        <v>12743</v>
      </c>
      <c r="C21062" t="s">
        <v>12744</v>
      </c>
      <c r="D21062" t="s">
        <v>12745</v>
      </c>
      <c r="E21062" t="s">
        <v>12746</v>
      </c>
      <c r="F21062" t="s">
        <v>6</v>
      </c>
      <c r="G21062" t="s">
        <v>47093</v>
      </c>
      <c r="H21062" t="s">
        <v>47054</v>
      </c>
      <c r="I21062" t="s">
        <v>47114</v>
      </c>
      <c r="J21062" t="s">
        <v>47115</v>
      </c>
      <c r="K21062" t="s">
        <v>47113</v>
      </c>
      <c r="L21062">
        <v>44.85</v>
      </c>
      <c r="M21062">
        <v>111</v>
      </c>
      <c r="N21062">
        <v>0</v>
      </c>
      <c r="O21062">
        <v>111</v>
      </c>
      <c r="P21062">
        <v>0</v>
      </c>
    </row>
    <row r="21063" spans="1:16" x14ac:dyDescent="0.25">
      <c r="A21063" t="s">
        <v>43895</v>
      </c>
      <c r="B21063" t="s">
        <v>12747</v>
      </c>
      <c r="C21063" t="s">
        <v>12748</v>
      </c>
      <c r="D21063" t="s">
        <v>12749</v>
      </c>
      <c r="E21063" t="s">
        <v>12750</v>
      </c>
      <c r="F21063" t="s">
        <v>6</v>
      </c>
      <c r="G21063" t="s">
        <v>47093</v>
      </c>
      <c r="H21063" t="s">
        <v>47054</v>
      </c>
      <c r="I21063" t="s">
        <v>47114</v>
      </c>
      <c r="J21063" t="s">
        <v>47115</v>
      </c>
      <c r="K21063" t="s">
        <v>47113</v>
      </c>
      <c r="L21063">
        <v>42.31</v>
      </c>
      <c r="M21063">
        <v>101</v>
      </c>
      <c r="N21063">
        <v>0</v>
      </c>
      <c r="O21063">
        <v>101</v>
      </c>
      <c r="P21063">
        <v>0</v>
      </c>
    </row>
    <row r="21064" spans="1:16" x14ac:dyDescent="0.25">
      <c r="A21064" t="s">
        <v>43896</v>
      </c>
      <c r="B21064" t="s">
        <v>22117</v>
      </c>
      <c r="C21064" t="s">
        <v>22118</v>
      </c>
      <c r="D21064" t="s">
        <v>721</v>
      </c>
      <c r="E21064" t="s">
        <v>722</v>
      </c>
      <c r="F21064" t="s">
        <v>3750</v>
      </c>
      <c r="G21064" t="s">
        <v>47093</v>
      </c>
      <c r="H21064" t="s">
        <v>47054</v>
      </c>
      <c r="I21064" t="s">
        <v>47116</v>
      </c>
      <c r="J21064" t="s">
        <v>47117</v>
      </c>
      <c r="K21064" t="s">
        <v>47113</v>
      </c>
      <c r="L21064">
        <v>20.11</v>
      </c>
      <c r="M21064">
        <v>108</v>
      </c>
      <c r="N21064">
        <v>0</v>
      </c>
      <c r="O21064">
        <v>108</v>
      </c>
      <c r="P21064">
        <v>0</v>
      </c>
    </row>
    <row r="21065" spans="1:16" x14ac:dyDescent="0.25">
      <c r="A21065" t="s">
        <v>43897</v>
      </c>
      <c r="B21065" t="s">
        <v>22119</v>
      </c>
      <c r="C21065" t="s">
        <v>15605</v>
      </c>
      <c r="D21065" t="s">
        <v>22120</v>
      </c>
      <c r="E21065" t="s">
        <v>22121</v>
      </c>
      <c r="F21065" t="s">
        <v>3750</v>
      </c>
      <c r="G21065" t="s">
        <v>47093</v>
      </c>
      <c r="H21065" t="s">
        <v>47054</v>
      </c>
      <c r="I21065" t="s">
        <v>47116</v>
      </c>
      <c r="J21065" t="s">
        <v>47117</v>
      </c>
      <c r="K21065" t="s">
        <v>47113</v>
      </c>
      <c r="L21065">
        <v>28.06</v>
      </c>
      <c r="M21065">
        <v>40</v>
      </c>
      <c r="N21065">
        <v>0</v>
      </c>
      <c r="O21065">
        <v>40</v>
      </c>
      <c r="P21065">
        <v>0</v>
      </c>
    </row>
    <row r="21066" spans="1:16" x14ac:dyDescent="0.25">
      <c r="A21066" t="s">
        <v>43898</v>
      </c>
      <c r="B21066" t="s">
        <v>22122</v>
      </c>
      <c r="C21066" t="s">
        <v>22123</v>
      </c>
      <c r="D21066" t="s">
        <v>721</v>
      </c>
      <c r="E21066" t="s">
        <v>722</v>
      </c>
      <c r="F21066" t="s">
        <v>3750</v>
      </c>
      <c r="G21066" t="s">
        <v>47093</v>
      </c>
      <c r="H21066" t="s">
        <v>47054</v>
      </c>
      <c r="I21066" t="s">
        <v>47116</v>
      </c>
      <c r="J21066" t="s">
        <v>47117</v>
      </c>
      <c r="K21066" t="s">
        <v>47113</v>
      </c>
      <c r="L21066">
        <v>19.82</v>
      </c>
      <c r="M21066">
        <v>108</v>
      </c>
      <c r="N21066">
        <v>0</v>
      </c>
      <c r="O21066">
        <v>108</v>
      </c>
      <c r="P21066">
        <v>0</v>
      </c>
    </row>
    <row r="21067" spans="1:16" x14ac:dyDescent="0.25">
      <c r="A21067" t="s">
        <v>43899</v>
      </c>
      <c r="B21067" t="s">
        <v>12751</v>
      </c>
      <c r="C21067" t="s">
        <v>843</v>
      </c>
      <c r="D21067" t="str">
        <f>"11"</f>
        <v>11</v>
      </c>
      <c r="E21067" t="s">
        <v>288</v>
      </c>
      <c r="F21067" t="s">
        <v>2</v>
      </c>
      <c r="G21067" t="s">
        <v>47093</v>
      </c>
      <c r="H21067" t="s">
        <v>47054</v>
      </c>
      <c r="I21067" t="s">
        <v>47111</v>
      </c>
      <c r="J21067" t="s">
        <v>47112</v>
      </c>
      <c r="K21067" t="s">
        <v>47113</v>
      </c>
      <c r="L21067">
        <v>23.25</v>
      </c>
      <c r="M21067">
        <v>72</v>
      </c>
      <c r="N21067">
        <v>0</v>
      </c>
      <c r="O21067">
        <v>72</v>
      </c>
      <c r="P21067">
        <v>0</v>
      </c>
    </row>
    <row r="21068" spans="1:16" x14ac:dyDescent="0.25">
      <c r="A21068" t="s">
        <v>43900</v>
      </c>
      <c r="B21068" t="s">
        <v>12751</v>
      </c>
      <c r="C21068" t="s">
        <v>843</v>
      </c>
      <c r="D21068" t="s">
        <v>721</v>
      </c>
      <c r="E21068" t="s">
        <v>722</v>
      </c>
      <c r="F21068" t="s">
        <v>2</v>
      </c>
      <c r="G21068" t="s">
        <v>47093</v>
      </c>
      <c r="H21068" t="s">
        <v>47054</v>
      </c>
      <c r="I21068" t="s">
        <v>47111</v>
      </c>
      <c r="J21068" t="s">
        <v>47112</v>
      </c>
      <c r="K21068" t="s">
        <v>47113</v>
      </c>
      <c r="L21068">
        <v>20.260000000000002</v>
      </c>
      <c r="M21068">
        <v>57</v>
      </c>
      <c r="N21068">
        <v>0</v>
      </c>
      <c r="O21068">
        <v>57</v>
      </c>
      <c r="P21068">
        <v>0</v>
      </c>
    </row>
    <row r="21069" spans="1:16" x14ac:dyDescent="0.25">
      <c r="A21069" t="s">
        <v>43901</v>
      </c>
      <c r="B21069" t="s">
        <v>12751</v>
      </c>
      <c r="C21069" t="s">
        <v>843</v>
      </c>
      <c r="D21069" t="s">
        <v>22</v>
      </c>
      <c r="E21069" t="s">
        <v>23</v>
      </c>
      <c r="F21069" t="s">
        <v>2</v>
      </c>
      <c r="G21069" t="s">
        <v>47093</v>
      </c>
      <c r="H21069" t="s">
        <v>47054</v>
      </c>
      <c r="I21069" t="s">
        <v>47111</v>
      </c>
      <c r="J21069" t="s">
        <v>47112</v>
      </c>
      <c r="K21069" t="s">
        <v>47113</v>
      </c>
      <c r="L21069">
        <v>23.82</v>
      </c>
      <c r="M21069">
        <v>65</v>
      </c>
      <c r="N21069">
        <v>0</v>
      </c>
      <c r="O21069">
        <v>65</v>
      </c>
      <c r="P21069">
        <v>0</v>
      </c>
    </row>
    <row r="21070" spans="1:16" x14ac:dyDescent="0.25">
      <c r="A21070" t="s">
        <v>43902</v>
      </c>
      <c r="B21070" t="s">
        <v>12751</v>
      </c>
      <c r="C21070" t="s">
        <v>843</v>
      </c>
      <c r="D21070" t="s">
        <v>844</v>
      </c>
      <c r="E21070" t="s">
        <v>845</v>
      </c>
      <c r="F21070" t="s">
        <v>2</v>
      </c>
      <c r="G21070" t="s">
        <v>47093</v>
      </c>
      <c r="H21070" t="s">
        <v>47054</v>
      </c>
      <c r="I21070" t="s">
        <v>47111</v>
      </c>
      <c r="J21070" t="s">
        <v>47112</v>
      </c>
      <c r="K21070" t="s">
        <v>47113</v>
      </c>
      <c r="L21070">
        <v>26.83</v>
      </c>
      <c r="M21070">
        <v>72</v>
      </c>
      <c r="N21070">
        <v>0</v>
      </c>
      <c r="O21070">
        <v>72</v>
      </c>
      <c r="P21070">
        <v>0</v>
      </c>
    </row>
    <row r="21071" spans="1:16" x14ac:dyDescent="0.25">
      <c r="A21071" t="s">
        <v>43903</v>
      </c>
      <c r="B21071" t="s">
        <v>12751</v>
      </c>
      <c r="C21071" t="s">
        <v>843</v>
      </c>
      <c r="D21071" t="s">
        <v>854</v>
      </c>
      <c r="E21071" t="s">
        <v>855</v>
      </c>
      <c r="F21071" t="s">
        <v>2</v>
      </c>
      <c r="G21071" t="s">
        <v>47093</v>
      </c>
      <c r="H21071" t="s">
        <v>47054</v>
      </c>
      <c r="I21071" t="s">
        <v>47111</v>
      </c>
      <c r="J21071" t="s">
        <v>47112</v>
      </c>
      <c r="K21071" t="s">
        <v>47113</v>
      </c>
      <c r="L21071">
        <v>26.83</v>
      </c>
      <c r="M21071">
        <v>72</v>
      </c>
      <c r="N21071">
        <v>0</v>
      </c>
      <c r="O21071">
        <v>72</v>
      </c>
      <c r="P21071">
        <v>0</v>
      </c>
    </row>
    <row r="21072" spans="1:16" x14ac:dyDescent="0.25">
      <c r="A21072" t="s">
        <v>43904</v>
      </c>
      <c r="B21072" t="s">
        <v>12752</v>
      </c>
      <c r="C21072" t="s">
        <v>843</v>
      </c>
      <c r="D21072" t="str">
        <f>"11"</f>
        <v>11</v>
      </c>
      <c r="E21072" t="s">
        <v>288</v>
      </c>
      <c r="F21072" t="s">
        <v>2</v>
      </c>
      <c r="G21072" t="s">
        <v>47093</v>
      </c>
      <c r="I21072" t="s">
        <v>47111</v>
      </c>
      <c r="J21072" t="s">
        <v>47112</v>
      </c>
      <c r="K21072" t="s">
        <v>47113</v>
      </c>
      <c r="L21072">
        <v>25.7</v>
      </c>
      <c r="M21072">
        <v>72</v>
      </c>
      <c r="N21072">
        <v>0</v>
      </c>
      <c r="O21072">
        <v>72</v>
      </c>
      <c r="P21072">
        <v>0</v>
      </c>
    </row>
    <row r="21073" spans="1:16" x14ac:dyDescent="0.25">
      <c r="A21073" t="s">
        <v>43905</v>
      </c>
      <c r="B21073" t="s">
        <v>12752</v>
      </c>
      <c r="C21073" t="s">
        <v>843</v>
      </c>
      <c r="D21073" t="s">
        <v>721</v>
      </c>
      <c r="E21073" t="s">
        <v>722</v>
      </c>
      <c r="F21073" t="s">
        <v>2</v>
      </c>
      <c r="G21073" t="s">
        <v>47093</v>
      </c>
      <c r="I21073" t="s">
        <v>47111</v>
      </c>
      <c r="J21073" t="s">
        <v>47112</v>
      </c>
      <c r="K21073" t="s">
        <v>47113</v>
      </c>
      <c r="L21073">
        <v>22.72</v>
      </c>
      <c r="M21073">
        <v>57</v>
      </c>
      <c r="N21073">
        <v>0</v>
      </c>
      <c r="O21073">
        <v>57</v>
      </c>
      <c r="P21073">
        <v>0</v>
      </c>
    </row>
    <row r="21074" spans="1:16" x14ac:dyDescent="0.25">
      <c r="A21074" t="s">
        <v>43906</v>
      </c>
      <c r="B21074" t="s">
        <v>12752</v>
      </c>
      <c r="C21074" t="s">
        <v>843</v>
      </c>
      <c r="D21074" t="s">
        <v>22</v>
      </c>
      <c r="E21074" t="s">
        <v>23</v>
      </c>
      <c r="F21074" t="s">
        <v>2</v>
      </c>
      <c r="G21074" t="s">
        <v>47093</v>
      </c>
      <c r="I21074" t="s">
        <v>47111</v>
      </c>
      <c r="J21074" t="s">
        <v>47112</v>
      </c>
      <c r="K21074" t="s">
        <v>47113</v>
      </c>
      <c r="L21074">
        <v>26.27</v>
      </c>
      <c r="M21074">
        <v>65</v>
      </c>
      <c r="N21074">
        <v>0</v>
      </c>
      <c r="O21074">
        <v>65</v>
      </c>
      <c r="P21074">
        <v>0</v>
      </c>
    </row>
    <row r="21075" spans="1:16" x14ac:dyDescent="0.25">
      <c r="A21075" t="s">
        <v>43907</v>
      </c>
      <c r="B21075" t="s">
        <v>12752</v>
      </c>
      <c r="C21075" t="s">
        <v>843</v>
      </c>
      <c r="D21075" t="s">
        <v>844</v>
      </c>
      <c r="E21075" t="s">
        <v>845</v>
      </c>
      <c r="F21075" t="s">
        <v>2</v>
      </c>
      <c r="G21075" t="s">
        <v>47093</v>
      </c>
      <c r="I21075" t="s">
        <v>47111</v>
      </c>
      <c r="J21075" t="s">
        <v>47112</v>
      </c>
      <c r="K21075" t="s">
        <v>47113</v>
      </c>
      <c r="L21075">
        <v>29.37</v>
      </c>
      <c r="M21075">
        <v>72</v>
      </c>
      <c r="N21075">
        <v>0</v>
      </c>
      <c r="O21075">
        <v>72</v>
      </c>
      <c r="P21075">
        <v>0</v>
      </c>
    </row>
    <row r="21076" spans="1:16" x14ac:dyDescent="0.25">
      <c r="A21076" t="s">
        <v>43908</v>
      </c>
      <c r="B21076" t="s">
        <v>12752</v>
      </c>
      <c r="C21076" t="s">
        <v>843</v>
      </c>
      <c r="D21076" t="s">
        <v>854</v>
      </c>
      <c r="E21076" t="s">
        <v>855</v>
      </c>
      <c r="F21076" t="s">
        <v>2</v>
      </c>
      <c r="G21076" t="s">
        <v>47093</v>
      </c>
      <c r="I21076" t="s">
        <v>47111</v>
      </c>
      <c r="J21076" t="s">
        <v>47112</v>
      </c>
      <c r="K21076" t="s">
        <v>47113</v>
      </c>
      <c r="L21076">
        <v>29.34</v>
      </c>
      <c r="M21076">
        <v>72</v>
      </c>
      <c r="N21076">
        <v>0</v>
      </c>
      <c r="O21076">
        <v>72</v>
      </c>
      <c r="P21076">
        <v>0</v>
      </c>
    </row>
    <row r="21077" spans="1:16" x14ac:dyDescent="0.25">
      <c r="A21077" t="s">
        <v>43909</v>
      </c>
      <c r="B21077" t="s">
        <v>842</v>
      </c>
      <c r="C21077" t="s">
        <v>843</v>
      </c>
      <c r="D21077" t="str">
        <f>"11"</f>
        <v>11</v>
      </c>
      <c r="E21077" t="s">
        <v>288</v>
      </c>
      <c r="F21077" t="s">
        <v>2</v>
      </c>
      <c r="G21077" t="s">
        <v>47093</v>
      </c>
      <c r="H21077" t="s">
        <v>47054</v>
      </c>
      <c r="I21077" t="s">
        <v>47111</v>
      </c>
      <c r="J21077" t="s">
        <v>47112</v>
      </c>
      <c r="K21077" t="s">
        <v>47113</v>
      </c>
      <c r="L21077">
        <v>25.7</v>
      </c>
      <c r="M21077">
        <v>72</v>
      </c>
      <c r="N21077">
        <v>0</v>
      </c>
      <c r="O21077">
        <v>72</v>
      </c>
      <c r="P21077">
        <v>0</v>
      </c>
    </row>
    <row r="21078" spans="1:16" x14ac:dyDescent="0.25">
      <c r="A21078" t="s">
        <v>43910</v>
      </c>
      <c r="B21078" t="s">
        <v>842</v>
      </c>
      <c r="C21078" t="s">
        <v>843</v>
      </c>
      <c r="D21078" t="s">
        <v>721</v>
      </c>
      <c r="E21078" t="s">
        <v>722</v>
      </c>
      <c r="F21078" t="s">
        <v>2</v>
      </c>
      <c r="G21078" t="s">
        <v>47093</v>
      </c>
      <c r="H21078" t="s">
        <v>47054</v>
      </c>
      <c r="I21078" t="s">
        <v>47111</v>
      </c>
      <c r="J21078" t="s">
        <v>47112</v>
      </c>
      <c r="K21078" t="s">
        <v>47113</v>
      </c>
      <c r="L21078">
        <v>22.72</v>
      </c>
      <c r="M21078">
        <v>57</v>
      </c>
      <c r="N21078">
        <v>0</v>
      </c>
      <c r="O21078">
        <v>57</v>
      </c>
      <c r="P21078">
        <v>0</v>
      </c>
    </row>
    <row r="21079" spans="1:16" x14ac:dyDescent="0.25">
      <c r="A21079" t="s">
        <v>43911</v>
      </c>
      <c r="B21079" t="s">
        <v>842</v>
      </c>
      <c r="C21079" t="s">
        <v>843</v>
      </c>
      <c r="D21079" t="s">
        <v>22</v>
      </c>
      <c r="E21079" t="s">
        <v>23</v>
      </c>
      <c r="F21079" t="s">
        <v>2</v>
      </c>
      <c r="G21079" t="s">
        <v>47093</v>
      </c>
      <c r="H21079" t="s">
        <v>47054</v>
      </c>
      <c r="I21079" t="s">
        <v>47111</v>
      </c>
      <c r="J21079" t="s">
        <v>47112</v>
      </c>
      <c r="K21079" t="s">
        <v>47113</v>
      </c>
      <c r="L21079">
        <v>26.27</v>
      </c>
      <c r="M21079">
        <v>65</v>
      </c>
      <c r="N21079">
        <v>0</v>
      </c>
      <c r="O21079">
        <v>65</v>
      </c>
      <c r="P21079">
        <v>0</v>
      </c>
    </row>
    <row r="21080" spans="1:16" x14ac:dyDescent="0.25">
      <c r="A21080" t="s">
        <v>841</v>
      </c>
      <c r="B21080" t="s">
        <v>842</v>
      </c>
      <c r="C21080" t="s">
        <v>843</v>
      </c>
      <c r="D21080" t="s">
        <v>844</v>
      </c>
      <c r="E21080" t="s">
        <v>845</v>
      </c>
      <c r="F21080" t="s">
        <v>2</v>
      </c>
      <c r="G21080" t="s">
        <v>47093</v>
      </c>
      <c r="H21080" t="s">
        <v>47054</v>
      </c>
      <c r="I21080" t="s">
        <v>47111</v>
      </c>
      <c r="J21080" t="s">
        <v>47112</v>
      </c>
      <c r="K21080" t="s">
        <v>47113</v>
      </c>
      <c r="L21080">
        <v>27.4</v>
      </c>
      <c r="M21080">
        <v>72</v>
      </c>
      <c r="N21080">
        <v>0</v>
      </c>
      <c r="O21080">
        <v>72</v>
      </c>
      <c r="P21080">
        <v>0</v>
      </c>
    </row>
    <row r="21081" spans="1:16" x14ac:dyDescent="0.25">
      <c r="A21081" t="s">
        <v>43912</v>
      </c>
      <c r="B21081" t="s">
        <v>842</v>
      </c>
      <c r="C21081" t="s">
        <v>843</v>
      </c>
      <c r="D21081" t="s">
        <v>854</v>
      </c>
      <c r="E21081" t="s">
        <v>855</v>
      </c>
      <c r="F21081" t="s">
        <v>2</v>
      </c>
      <c r="G21081" t="s">
        <v>47093</v>
      </c>
      <c r="H21081" t="s">
        <v>47054</v>
      </c>
      <c r="I21081" t="s">
        <v>47111</v>
      </c>
      <c r="J21081" t="s">
        <v>47112</v>
      </c>
      <c r="K21081" t="s">
        <v>47113</v>
      </c>
      <c r="L21081">
        <v>29.34</v>
      </c>
      <c r="M21081">
        <v>72</v>
      </c>
      <c r="N21081">
        <v>0</v>
      </c>
      <c r="O21081">
        <v>72</v>
      </c>
      <c r="P21081">
        <v>0</v>
      </c>
    </row>
    <row r="21082" spans="1:16" x14ac:dyDescent="0.25">
      <c r="A21082" t="s">
        <v>43913</v>
      </c>
      <c r="B21082" t="s">
        <v>847</v>
      </c>
      <c r="C21082" t="s">
        <v>848</v>
      </c>
      <c r="D21082" t="str">
        <f>"11"</f>
        <v>11</v>
      </c>
      <c r="E21082" t="s">
        <v>288</v>
      </c>
      <c r="F21082" t="s">
        <v>2</v>
      </c>
      <c r="G21082" t="s">
        <v>47093</v>
      </c>
      <c r="H21082" t="s">
        <v>47054</v>
      </c>
      <c r="I21082" t="s">
        <v>47111</v>
      </c>
      <c r="J21082" t="s">
        <v>47112</v>
      </c>
      <c r="K21082" t="s">
        <v>47113</v>
      </c>
      <c r="L21082">
        <v>25.83</v>
      </c>
      <c r="M21082">
        <v>72</v>
      </c>
      <c r="N21082">
        <v>0</v>
      </c>
      <c r="O21082">
        <v>72</v>
      </c>
      <c r="P21082">
        <v>0</v>
      </c>
    </row>
    <row r="21083" spans="1:16" x14ac:dyDescent="0.25">
      <c r="A21083" t="s">
        <v>43914</v>
      </c>
      <c r="B21083" t="s">
        <v>847</v>
      </c>
      <c r="C21083" t="s">
        <v>848</v>
      </c>
      <c r="D21083" t="s">
        <v>721</v>
      </c>
      <c r="E21083" t="s">
        <v>722</v>
      </c>
      <c r="F21083" t="s">
        <v>2</v>
      </c>
      <c r="G21083" t="s">
        <v>47093</v>
      </c>
      <c r="H21083" t="s">
        <v>47054</v>
      </c>
      <c r="I21083" t="s">
        <v>47111</v>
      </c>
      <c r="J21083" t="s">
        <v>47112</v>
      </c>
      <c r="K21083" t="s">
        <v>47113</v>
      </c>
      <c r="L21083">
        <v>22.83</v>
      </c>
      <c r="M21083">
        <v>57</v>
      </c>
      <c r="N21083">
        <v>0</v>
      </c>
      <c r="O21083">
        <v>57</v>
      </c>
      <c r="P21083">
        <v>0</v>
      </c>
    </row>
    <row r="21084" spans="1:16" x14ac:dyDescent="0.25">
      <c r="A21084" t="s">
        <v>846</v>
      </c>
      <c r="B21084" t="s">
        <v>847</v>
      </c>
      <c r="C21084" t="s">
        <v>848</v>
      </c>
      <c r="D21084" t="s">
        <v>22</v>
      </c>
      <c r="E21084" t="s">
        <v>23</v>
      </c>
      <c r="F21084" t="s">
        <v>2</v>
      </c>
      <c r="G21084" t="s">
        <v>47093</v>
      </c>
      <c r="H21084" t="s">
        <v>47054</v>
      </c>
      <c r="I21084" t="s">
        <v>47111</v>
      </c>
      <c r="J21084" t="s">
        <v>47112</v>
      </c>
      <c r="K21084" t="s">
        <v>47113</v>
      </c>
      <c r="L21084">
        <v>26.39</v>
      </c>
      <c r="M21084">
        <v>65</v>
      </c>
      <c r="N21084">
        <v>0</v>
      </c>
      <c r="O21084">
        <v>65</v>
      </c>
      <c r="P21084">
        <v>0</v>
      </c>
    </row>
    <row r="21085" spans="1:16" x14ac:dyDescent="0.25">
      <c r="A21085" t="s">
        <v>43915</v>
      </c>
      <c r="B21085" t="s">
        <v>847</v>
      </c>
      <c r="C21085" t="s">
        <v>848</v>
      </c>
      <c r="D21085" t="s">
        <v>844</v>
      </c>
      <c r="E21085" t="s">
        <v>845</v>
      </c>
      <c r="F21085" t="s">
        <v>2</v>
      </c>
      <c r="G21085" t="s">
        <v>47093</v>
      </c>
      <c r="H21085" t="s">
        <v>47054</v>
      </c>
      <c r="I21085" t="s">
        <v>47111</v>
      </c>
      <c r="J21085" t="s">
        <v>47112</v>
      </c>
      <c r="K21085" t="s">
        <v>47113</v>
      </c>
      <c r="L21085">
        <v>29.37</v>
      </c>
      <c r="M21085">
        <v>72</v>
      </c>
      <c r="N21085">
        <v>0</v>
      </c>
      <c r="O21085">
        <v>72</v>
      </c>
      <c r="P21085">
        <v>0</v>
      </c>
    </row>
    <row r="21086" spans="1:16" x14ac:dyDescent="0.25">
      <c r="A21086" t="s">
        <v>43916</v>
      </c>
      <c r="B21086" t="s">
        <v>847</v>
      </c>
      <c r="C21086" t="s">
        <v>848</v>
      </c>
      <c r="D21086" t="s">
        <v>854</v>
      </c>
      <c r="E21086" t="s">
        <v>855</v>
      </c>
      <c r="F21086" t="s">
        <v>2</v>
      </c>
      <c r="G21086" t="s">
        <v>47093</v>
      </c>
      <c r="H21086" t="s">
        <v>47054</v>
      </c>
      <c r="I21086" t="s">
        <v>47111</v>
      </c>
      <c r="J21086" t="s">
        <v>47112</v>
      </c>
      <c r="K21086" t="s">
        <v>47113</v>
      </c>
      <c r="L21086">
        <v>29.34</v>
      </c>
      <c r="M21086">
        <v>72</v>
      </c>
      <c r="N21086">
        <v>0</v>
      </c>
      <c r="O21086">
        <v>72</v>
      </c>
      <c r="P21086">
        <v>0</v>
      </c>
    </row>
    <row r="21087" spans="1:16" x14ac:dyDescent="0.25">
      <c r="A21087" t="s">
        <v>43917</v>
      </c>
      <c r="B21087" t="s">
        <v>12753</v>
      </c>
      <c r="C21087" t="s">
        <v>848</v>
      </c>
      <c r="D21087" t="str">
        <f>"11"</f>
        <v>11</v>
      </c>
      <c r="E21087" t="s">
        <v>288</v>
      </c>
      <c r="F21087" t="s">
        <v>2</v>
      </c>
      <c r="G21087" t="s">
        <v>47093</v>
      </c>
      <c r="I21087" t="s">
        <v>47111</v>
      </c>
      <c r="J21087" t="s">
        <v>47112</v>
      </c>
      <c r="K21087" t="s">
        <v>47113</v>
      </c>
      <c r="L21087">
        <v>25.7</v>
      </c>
      <c r="M21087">
        <v>72</v>
      </c>
      <c r="N21087">
        <v>0</v>
      </c>
      <c r="O21087">
        <v>72</v>
      </c>
      <c r="P21087">
        <v>0</v>
      </c>
    </row>
    <row r="21088" spans="1:16" x14ac:dyDescent="0.25">
      <c r="A21088" t="s">
        <v>43918</v>
      </c>
      <c r="B21088" t="s">
        <v>12753</v>
      </c>
      <c r="C21088" t="s">
        <v>848</v>
      </c>
      <c r="D21088" t="s">
        <v>721</v>
      </c>
      <c r="E21088" t="s">
        <v>722</v>
      </c>
      <c r="F21088" t="s">
        <v>2</v>
      </c>
      <c r="G21088" t="s">
        <v>47093</v>
      </c>
      <c r="I21088" t="s">
        <v>47111</v>
      </c>
      <c r="J21088" t="s">
        <v>47112</v>
      </c>
      <c r="K21088" t="s">
        <v>47113</v>
      </c>
      <c r="L21088">
        <v>22.72</v>
      </c>
      <c r="M21088">
        <v>57</v>
      </c>
      <c r="N21088">
        <v>0</v>
      </c>
      <c r="O21088">
        <v>57</v>
      </c>
      <c r="P21088">
        <v>0</v>
      </c>
    </row>
    <row r="21089" spans="1:16" x14ac:dyDescent="0.25">
      <c r="A21089" t="s">
        <v>43919</v>
      </c>
      <c r="B21089" t="s">
        <v>12753</v>
      </c>
      <c r="C21089" t="s">
        <v>848</v>
      </c>
      <c r="D21089" t="s">
        <v>22</v>
      </c>
      <c r="E21089" t="s">
        <v>23</v>
      </c>
      <c r="F21089" t="s">
        <v>2</v>
      </c>
      <c r="G21089" t="s">
        <v>47093</v>
      </c>
      <c r="I21089" t="s">
        <v>47111</v>
      </c>
      <c r="J21089" t="s">
        <v>47112</v>
      </c>
      <c r="K21089" t="s">
        <v>47113</v>
      </c>
      <c r="L21089">
        <v>26.27</v>
      </c>
      <c r="M21089">
        <v>65</v>
      </c>
      <c r="N21089">
        <v>0</v>
      </c>
      <c r="O21089">
        <v>65</v>
      </c>
      <c r="P21089">
        <v>0</v>
      </c>
    </row>
    <row r="21090" spans="1:16" x14ac:dyDescent="0.25">
      <c r="A21090" t="s">
        <v>43920</v>
      </c>
      <c r="B21090" t="s">
        <v>12753</v>
      </c>
      <c r="C21090" t="s">
        <v>848</v>
      </c>
      <c r="D21090" t="s">
        <v>844</v>
      </c>
      <c r="E21090" t="s">
        <v>845</v>
      </c>
      <c r="F21090" t="s">
        <v>2</v>
      </c>
      <c r="G21090" t="s">
        <v>47093</v>
      </c>
      <c r="I21090" t="s">
        <v>47111</v>
      </c>
      <c r="J21090" t="s">
        <v>47112</v>
      </c>
      <c r="K21090" t="s">
        <v>47113</v>
      </c>
      <c r="L21090">
        <v>29.37</v>
      </c>
      <c r="M21090">
        <v>72</v>
      </c>
      <c r="N21090">
        <v>0</v>
      </c>
      <c r="O21090">
        <v>72</v>
      </c>
      <c r="P21090">
        <v>0</v>
      </c>
    </row>
    <row r="21091" spans="1:16" x14ac:dyDescent="0.25">
      <c r="A21091" t="s">
        <v>43921</v>
      </c>
      <c r="B21091" t="s">
        <v>12753</v>
      </c>
      <c r="C21091" t="s">
        <v>848</v>
      </c>
      <c r="D21091" t="s">
        <v>854</v>
      </c>
      <c r="E21091" t="s">
        <v>855</v>
      </c>
      <c r="F21091" t="s">
        <v>2</v>
      </c>
      <c r="G21091" t="s">
        <v>47093</v>
      </c>
      <c r="I21091" t="s">
        <v>47111</v>
      </c>
      <c r="J21091" t="s">
        <v>47112</v>
      </c>
      <c r="K21091" t="s">
        <v>47113</v>
      </c>
      <c r="L21091">
        <v>29.34</v>
      </c>
      <c r="M21091">
        <v>72</v>
      </c>
      <c r="N21091">
        <v>0</v>
      </c>
      <c r="O21091">
        <v>72</v>
      </c>
      <c r="P21091">
        <v>0</v>
      </c>
    </row>
    <row r="21092" spans="1:16" x14ac:dyDescent="0.25">
      <c r="A21092" t="s">
        <v>43922</v>
      </c>
      <c r="B21092" t="s">
        <v>850</v>
      </c>
      <c r="C21092" t="s">
        <v>848</v>
      </c>
      <c r="D21092" t="str">
        <f>"11"</f>
        <v>11</v>
      </c>
      <c r="E21092" t="s">
        <v>288</v>
      </c>
      <c r="F21092" t="s">
        <v>2</v>
      </c>
      <c r="G21092" t="s">
        <v>47093</v>
      </c>
      <c r="H21092" t="s">
        <v>47054</v>
      </c>
      <c r="I21092" t="s">
        <v>47111</v>
      </c>
      <c r="J21092" t="s">
        <v>47112</v>
      </c>
      <c r="K21092" t="s">
        <v>47113</v>
      </c>
      <c r="L21092">
        <v>25.7</v>
      </c>
      <c r="M21092">
        <v>72</v>
      </c>
      <c r="N21092">
        <v>0</v>
      </c>
      <c r="O21092">
        <v>72</v>
      </c>
      <c r="P21092">
        <v>0</v>
      </c>
    </row>
    <row r="21093" spans="1:16" x14ac:dyDescent="0.25">
      <c r="A21093" t="s">
        <v>849</v>
      </c>
      <c r="B21093" t="s">
        <v>850</v>
      </c>
      <c r="C21093" t="s">
        <v>848</v>
      </c>
      <c r="D21093" t="s">
        <v>721</v>
      </c>
      <c r="E21093" t="s">
        <v>722</v>
      </c>
      <c r="F21093" t="s">
        <v>2</v>
      </c>
      <c r="G21093" t="s">
        <v>47093</v>
      </c>
      <c r="H21093" t="s">
        <v>47054</v>
      </c>
      <c r="I21093" t="s">
        <v>47111</v>
      </c>
      <c r="J21093" t="s">
        <v>47112</v>
      </c>
      <c r="K21093" t="s">
        <v>47113</v>
      </c>
      <c r="L21093">
        <v>22.83</v>
      </c>
      <c r="M21093">
        <v>57</v>
      </c>
      <c r="N21093">
        <v>0</v>
      </c>
      <c r="O21093">
        <v>57</v>
      </c>
      <c r="P21093">
        <v>0</v>
      </c>
    </row>
    <row r="21094" spans="1:16" x14ac:dyDescent="0.25">
      <c r="A21094" t="s">
        <v>851</v>
      </c>
      <c r="B21094" t="s">
        <v>850</v>
      </c>
      <c r="C21094" t="s">
        <v>848</v>
      </c>
      <c r="D21094" t="s">
        <v>22</v>
      </c>
      <c r="E21094" t="s">
        <v>23</v>
      </c>
      <c r="F21094" t="s">
        <v>2</v>
      </c>
      <c r="G21094" t="s">
        <v>47093</v>
      </c>
      <c r="H21094" t="s">
        <v>47054</v>
      </c>
      <c r="I21094" t="s">
        <v>47111</v>
      </c>
      <c r="J21094" t="s">
        <v>47112</v>
      </c>
      <c r="K21094" t="s">
        <v>47113</v>
      </c>
      <c r="L21094">
        <v>25.85</v>
      </c>
      <c r="M21094">
        <v>65</v>
      </c>
      <c r="N21094">
        <v>0</v>
      </c>
      <c r="O21094">
        <v>65</v>
      </c>
      <c r="P21094">
        <v>0</v>
      </c>
    </row>
    <row r="21095" spans="1:16" x14ac:dyDescent="0.25">
      <c r="A21095" t="s">
        <v>43923</v>
      </c>
      <c r="B21095" t="s">
        <v>850</v>
      </c>
      <c r="C21095" t="s">
        <v>848</v>
      </c>
      <c r="D21095" t="s">
        <v>844</v>
      </c>
      <c r="E21095" t="s">
        <v>845</v>
      </c>
      <c r="F21095" t="s">
        <v>2</v>
      </c>
      <c r="G21095" t="s">
        <v>47093</v>
      </c>
      <c r="H21095" t="s">
        <v>47054</v>
      </c>
      <c r="I21095" t="s">
        <v>47111</v>
      </c>
      <c r="J21095" t="s">
        <v>47112</v>
      </c>
      <c r="K21095" t="s">
        <v>47113</v>
      </c>
      <c r="L21095">
        <v>29.37</v>
      </c>
      <c r="M21095">
        <v>72</v>
      </c>
      <c r="N21095">
        <v>0</v>
      </c>
      <c r="O21095">
        <v>72</v>
      </c>
      <c r="P21095">
        <v>0</v>
      </c>
    </row>
    <row r="21096" spans="1:16" x14ac:dyDescent="0.25">
      <c r="A21096" t="s">
        <v>43924</v>
      </c>
      <c r="B21096" t="s">
        <v>850</v>
      </c>
      <c r="C21096" t="s">
        <v>848</v>
      </c>
      <c r="D21096" t="s">
        <v>854</v>
      </c>
      <c r="E21096" t="s">
        <v>855</v>
      </c>
      <c r="F21096" t="s">
        <v>2</v>
      </c>
      <c r="G21096" t="s">
        <v>47093</v>
      </c>
      <c r="H21096" t="s">
        <v>47054</v>
      </c>
      <c r="I21096" t="s">
        <v>47111</v>
      </c>
      <c r="J21096" t="s">
        <v>47112</v>
      </c>
      <c r="K21096" t="s">
        <v>47113</v>
      </c>
      <c r="L21096">
        <v>29.34</v>
      </c>
      <c r="M21096">
        <v>72</v>
      </c>
      <c r="N21096">
        <v>0</v>
      </c>
      <c r="O21096">
        <v>72</v>
      </c>
      <c r="P21096">
        <v>0</v>
      </c>
    </row>
    <row r="21097" spans="1:16" x14ac:dyDescent="0.25">
      <c r="A21097" t="s">
        <v>43925</v>
      </c>
      <c r="B21097" t="s">
        <v>852</v>
      </c>
      <c r="C21097" t="s">
        <v>853</v>
      </c>
      <c r="D21097" t="str">
        <f>"11"</f>
        <v>11</v>
      </c>
      <c r="E21097" t="s">
        <v>288</v>
      </c>
      <c r="F21097" t="s">
        <v>2</v>
      </c>
      <c r="G21097" t="s">
        <v>47093</v>
      </c>
      <c r="H21097" t="s">
        <v>47054</v>
      </c>
      <c r="I21097" t="s">
        <v>47111</v>
      </c>
      <c r="J21097" t="s">
        <v>47112</v>
      </c>
      <c r="K21097" t="s">
        <v>47113</v>
      </c>
      <c r="L21097">
        <v>22.82</v>
      </c>
      <c r="M21097">
        <v>72</v>
      </c>
      <c r="N21097">
        <v>0</v>
      </c>
      <c r="O21097">
        <v>72</v>
      </c>
      <c r="P21097">
        <v>0</v>
      </c>
    </row>
    <row r="21098" spans="1:16" x14ac:dyDescent="0.25">
      <c r="A21098" t="s">
        <v>43926</v>
      </c>
      <c r="B21098" t="s">
        <v>852</v>
      </c>
      <c r="C21098" t="s">
        <v>853</v>
      </c>
      <c r="D21098" t="s">
        <v>721</v>
      </c>
      <c r="E21098" t="s">
        <v>722</v>
      </c>
      <c r="F21098" t="s">
        <v>2</v>
      </c>
      <c r="G21098" t="s">
        <v>47093</v>
      </c>
      <c r="H21098" t="s">
        <v>47054</v>
      </c>
      <c r="I21098" t="s">
        <v>47111</v>
      </c>
      <c r="J21098" t="s">
        <v>47112</v>
      </c>
      <c r="K21098" t="s">
        <v>47113</v>
      </c>
      <c r="L21098">
        <v>19.86</v>
      </c>
      <c r="M21098">
        <v>57</v>
      </c>
      <c r="N21098">
        <v>0</v>
      </c>
      <c r="O21098">
        <v>57</v>
      </c>
      <c r="P21098">
        <v>0</v>
      </c>
    </row>
    <row r="21099" spans="1:16" x14ac:dyDescent="0.25">
      <c r="A21099" t="s">
        <v>43927</v>
      </c>
      <c r="B21099" t="s">
        <v>852</v>
      </c>
      <c r="C21099" t="s">
        <v>853</v>
      </c>
      <c r="D21099" t="s">
        <v>22</v>
      </c>
      <c r="E21099" t="s">
        <v>23</v>
      </c>
      <c r="F21099" t="s">
        <v>2</v>
      </c>
      <c r="G21099" t="s">
        <v>47093</v>
      </c>
      <c r="H21099" t="s">
        <v>47054</v>
      </c>
      <c r="I21099" t="s">
        <v>47111</v>
      </c>
      <c r="J21099" t="s">
        <v>47112</v>
      </c>
      <c r="K21099" t="s">
        <v>47113</v>
      </c>
      <c r="L21099">
        <v>24.04</v>
      </c>
      <c r="M21099">
        <v>65</v>
      </c>
      <c r="N21099">
        <v>0</v>
      </c>
      <c r="O21099">
        <v>65</v>
      </c>
      <c r="P21099">
        <v>0</v>
      </c>
    </row>
    <row r="21100" spans="1:16" x14ac:dyDescent="0.25">
      <c r="A21100" t="s">
        <v>43928</v>
      </c>
      <c r="B21100" t="s">
        <v>852</v>
      </c>
      <c r="C21100" t="s">
        <v>853</v>
      </c>
      <c r="D21100" t="s">
        <v>844</v>
      </c>
      <c r="E21100" t="s">
        <v>845</v>
      </c>
      <c r="F21100" t="s">
        <v>2</v>
      </c>
      <c r="G21100" t="s">
        <v>47093</v>
      </c>
      <c r="H21100" t="s">
        <v>47054</v>
      </c>
      <c r="I21100" t="s">
        <v>47111</v>
      </c>
      <c r="J21100" t="s">
        <v>47112</v>
      </c>
      <c r="K21100" t="s">
        <v>47113</v>
      </c>
      <c r="L21100">
        <v>26.8</v>
      </c>
      <c r="M21100">
        <v>72</v>
      </c>
      <c r="N21100">
        <v>0</v>
      </c>
      <c r="O21100">
        <v>72</v>
      </c>
      <c r="P21100">
        <v>0</v>
      </c>
    </row>
    <row r="21101" spans="1:16" x14ac:dyDescent="0.25">
      <c r="A21101" t="s">
        <v>43929</v>
      </c>
      <c r="B21101" t="s">
        <v>852</v>
      </c>
      <c r="C21101" t="s">
        <v>853</v>
      </c>
      <c r="D21101" t="s">
        <v>854</v>
      </c>
      <c r="E21101" t="s">
        <v>855</v>
      </c>
      <c r="F21101" t="s">
        <v>2</v>
      </c>
      <c r="G21101" t="s">
        <v>47093</v>
      </c>
      <c r="H21101" t="s">
        <v>47054</v>
      </c>
      <c r="I21101" t="s">
        <v>47111</v>
      </c>
      <c r="J21101" t="s">
        <v>47112</v>
      </c>
      <c r="K21101" t="s">
        <v>47113</v>
      </c>
      <c r="L21101">
        <v>26.88</v>
      </c>
      <c r="M21101">
        <v>72</v>
      </c>
      <c r="N21101">
        <v>0</v>
      </c>
      <c r="O21101">
        <v>72</v>
      </c>
      <c r="P21101">
        <v>0</v>
      </c>
    </row>
    <row r="21102" spans="1:16" x14ac:dyDescent="0.25">
      <c r="A21102" t="s">
        <v>43930</v>
      </c>
      <c r="B21102" t="s">
        <v>12754</v>
      </c>
      <c r="C21102" t="s">
        <v>12755</v>
      </c>
      <c r="D21102" t="s">
        <v>12756</v>
      </c>
      <c r="E21102" t="s">
        <v>12757</v>
      </c>
      <c r="F21102" t="s">
        <v>3750</v>
      </c>
      <c r="G21102" t="s">
        <v>47093</v>
      </c>
      <c r="H21102" t="s">
        <v>47054</v>
      </c>
      <c r="I21102" t="s">
        <v>47111</v>
      </c>
      <c r="J21102" t="s">
        <v>47112</v>
      </c>
      <c r="K21102" t="s">
        <v>47113</v>
      </c>
      <c r="L21102">
        <v>24.25</v>
      </c>
      <c r="M21102">
        <v>81</v>
      </c>
      <c r="N21102">
        <v>0</v>
      </c>
      <c r="O21102">
        <v>81</v>
      </c>
      <c r="P21102">
        <v>0</v>
      </c>
    </row>
    <row r="21103" spans="1:16" x14ac:dyDescent="0.25">
      <c r="A21103" t="s">
        <v>43931</v>
      </c>
      <c r="B21103" t="s">
        <v>16412</v>
      </c>
      <c r="C21103" t="s">
        <v>16413</v>
      </c>
      <c r="D21103" t="s">
        <v>721</v>
      </c>
      <c r="E21103" t="s">
        <v>722</v>
      </c>
      <c r="F21103" t="s">
        <v>3750</v>
      </c>
      <c r="G21103" t="s">
        <v>47093</v>
      </c>
      <c r="H21103" t="s">
        <v>47054</v>
      </c>
      <c r="I21103" t="s">
        <v>47116</v>
      </c>
      <c r="J21103" t="s">
        <v>47117</v>
      </c>
      <c r="K21103" t="s">
        <v>47113</v>
      </c>
      <c r="L21103">
        <v>24.22</v>
      </c>
      <c r="M21103">
        <v>71</v>
      </c>
      <c r="N21103">
        <v>0</v>
      </c>
      <c r="O21103">
        <v>71</v>
      </c>
      <c r="P21103">
        <v>0</v>
      </c>
    </row>
    <row r="21104" spans="1:16" x14ac:dyDescent="0.25">
      <c r="A21104" t="s">
        <v>43932</v>
      </c>
      <c r="B21104" t="s">
        <v>16412</v>
      </c>
      <c r="C21104" t="s">
        <v>16413</v>
      </c>
      <c r="D21104" t="s">
        <v>5488</v>
      </c>
      <c r="E21104" t="s">
        <v>5489</v>
      </c>
      <c r="F21104" t="s">
        <v>3750</v>
      </c>
      <c r="G21104" t="s">
        <v>47093</v>
      </c>
      <c r="H21104" t="s">
        <v>47054</v>
      </c>
      <c r="I21104" t="s">
        <v>47116</v>
      </c>
      <c r="J21104" t="s">
        <v>47117</v>
      </c>
      <c r="K21104" t="s">
        <v>47113</v>
      </c>
      <c r="L21104">
        <v>27.14</v>
      </c>
      <c r="M21104">
        <v>77</v>
      </c>
      <c r="N21104">
        <v>0</v>
      </c>
      <c r="O21104">
        <v>77</v>
      </c>
      <c r="P21104">
        <v>0</v>
      </c>
    </row>
    <row r="21105" spans="1:16" x14ac:dyDescent="0.25">
      <c r="A21105" t="s">
        <v>43933</v>
      </c>
      <c r="B21105" t="s">
        <v>19233</v>
      </c>
      <c r="C21105" t="s">
        <v>19234</v>
      </c>
      <c r="D21105" t="s">
        <v>16424</v>
      </c>
      <c r="E21105" t="s">
        <v>16425</v>
      </c>
      <c r="F21105" t="s">
        <v>3750</v>
      </c>
      <c r="G21105" t="s">
        <v>47093</v>
      </c>
      <c r="H21105" t="s">
        <v>47054</v>
      </c>
      <c r="I21105" t="s">
        <v>47116</v>
      </c>
      <c r="J21105" t="s">
        <v>47117</v>
      </c>
      <c r="K21105" t="s">
        <v>47113</v>
      </c>
      <c r="L21105">
        <v>26.79</v>
      </c>
      <c r="M21105">
        <v>76</v>
      </c>
      <c r="N21105">
        <v>0</v>
      </c>
      <c r="O21105">
        <v>76</v>
      </c>
      <c r="P21105">
        <v>0</v>
      </c>
    </row>
    <row r="21106" spans="1:16" x14ac:dyDescent="0.25">
      <c r="A21106" t="s">
        <v>43934</v>
      </c>
      <c r="B21106" t="s">
        <v>12758</v>
      </c>
      <c r="C21106" t="s">
        <v>12759</v>
      </c>
      <c r="D21106" t="s">
        <v>6626</v>
      </c>
      <c r="E21106" t="s">
        <v>6627</v>
      </c>
      <c r="F21106" t="s">
        <v>3750</v>
      </c>
      <c r="G21106" t="s">
        <v>47093</v>
      </c>
      <c r="H21106" t="s">
        <v>47054</v>
      </c>
      <c r="I21106" t="s">
        <v>47116</v>
      </c>
      <c r="J21106" t="s">
        <v>47117</v>
      </c>
      <c r="K21106" t="s">
        <v>47113</v>
      </c>
      <c r="L21106">
        <v>20.75</v>
      </c>
      <c r="M21106">
        <v>83</v>
      </c>
      <c r="N21106">
        <v>0</v>
      </c>
      <c r="O21106">
        <v>83</v>
      </c>
      <c r="P21106">
        <v>0</v>
      </c>
    </row>
    <row r="21107" spans="1:16" x14ac:dyDescent="0.25">
      <c r="A21107" t="s">
        <v>43935</v>
      </c>
      <c r="B21107" t="s">
        <v>16414</v>
      </c>
      <c r="C21107" t="s">
        <v>16415</v>
      </c>
      <c r="D21107" t="s">
        <v>721</v>
      </c>
      <c r="E21107" t="s">
        <v>722</v>
      </c>
      <c r="F21107" t="s">
        <v>3750</v>
      </c>
      <c r="G21107" t="s">
        <v>47093</v>
      </c>
      <c r="H21107" t="s">
        <v>47054</v>
      </c>
      <c r="I21107" t="s">
        <v>47116</v>
      </c>
      <c r="J21107" t="s">
        <v>47117</v>
      </c>
      <c r="K21107" t="s">
        <v>47113</v>
      </c>
      <c r="L21107">
        <v>19.82</v>
      </c>
      <c r="M21107">
        <v>108</v>
      </c>
      <c r="N21107">
        <v>0</v>
      </c>
      <c r="O21107">
        <v>108</v>
      </c>
      <c r="P21107">
        <v>0</v>
      </c>
    </row>
    <row r="21108" spans="1:16" x14ac:dyDescent="0.25">
      <c r="A21108" t="s">
        <v>43936</v>
      </c>
      <c r="B21108" t="s">
        <v>857</v>
      </c>
      <c r="C21108" t="s">
        <v>858</v>
      </c>
      <c r="D21108" t="str">
        <f>"11"</f>
        <v>11</v>
      </c>
      <c r="E21108" t="s">
        <v>288</v>
      </c>
      <c r="F21108" t="s">
        <v>7</v>
      </c>
      <c r="G21108" t="s">
        <v>47093</v>
      </c>
      <c r="H21108" t="s">
        <v>47054</v>
      </c>
      <c r="I21108" t="s">
        <v>47111</v>
      </c>
      <c r="J21108" t="s">
        <v>47112</v>
      </c>
      <c r="K21108" t="s">
        <v>47113</v>
      </c>
      <c r="L21108">
        <v>25.76</v>
      </c>
      <c r="M21108">
        <v>72</v>
      </c>
      <c r="N21108">
        <v>0</v>
      </c>
      <c r="O21108">
        <v>72</v>
      </c>
      <c r="P21108">
        <v>0</v>
      </c>
    </row>
    <row r="21109" spans="1:16" x14ac:dyDescent="0.25">
      <c r="A21109" t="s">
        <v>856</v>
      </c>
      <c r="B21109" t="s">
        <v>857</v>
      </c>
      <c r="C21109" t="s">
        <v>858</v>
      </c>
      <c r="D21109" t="s">
        <v>721</v>
      </c>
      <c r="E21109" t="s">
        <v>722</v>
      </c>
      <c r="F21109" t="s">
        <v>7</v>
      </c>
      <c r="G21109" t="s">
        <v>47093</v>
      </c>
      <c r="H21109" t="s">
        <v>47054</v>
      </c>
      <c r="I21109" t="s">
        <v>47111</v>
      </c>
      <c r="J21109" t="s">
        <v>47112</v>
      </c>
      <c r="K21109" t="s">
        <v>47113</v>
      </c>
      <c r="L21109">
        <v>23.46</v>
      </c>
      <c r="M21109">
        <v>59</v>
      </c>
      <c r="N21109">
        <v>0</v>
      </c>
      <c r="O21109">
        <v>59</v>
      </c>
      <c r="P21109">
        <v>0</v>
      </c>
    </row>
    <row r="21110" spans="1:16" x14ac:dyDescent="0.25">
      <c r="A21110" t="s">
        <v>859</v>
      </c>
      <c r="B21110" t="s">
        <v>857</v>
      </c>
      <c r="C21110" t="s">
        <v>858</v>
      </c>
      <c r="D21110" t="s">
        <v>860</v>
      </c>
      <c r="E21110" t="s">
        <v>861</v>
      </c>
      <c r="F21110" t="s">
        <v>7</v>
      </c>
      <c r="G21110" t="s">
        <v>47093</v>
      </c>
      <c r="H21110" t="s">
        <v>47054</v>
      </c>
      <c r="I21110" t="s">
        <v>47111</v>
      </c>
      <c r="J21110" t="s">
        <v>47112</v>
      </c>
      <c r="K21110" t="s">
        <v>47113</v>
      </c>
      <c r="L21110">
        <v>30.71</v>
      </c>
      <c r="M21110">
        <v>76</v>
      </c>
      <c r="N21110">
        <v>0</v>
      </c>
      <c r="O21110">
        <v>76</v>
      </c>
      <c r="P21110">
        <v>0</v>
      </c>
    </row>
    <row r="21111" spans="1:16" x14ac:dyDescent="0.25">
      <c r="A21111" t="s">
        <v>862</v>
      </c>
      <c r="B21111" t="s">
        <v>857</v>
      </c>
      <c r="C21111" t="s">
        <v>858</v>
      </c>
      <c r="D21111" t="s">
        <v>22</v>
      </c>
      <c r="E21111" t="s">
        <v>23</v>
      </c>
      <c r="F21111" t="s">
        <v>7</v>
      </c>
      <c r="G21111" t="s">
        <v>47093</v>
      </c>
      <c r="H21111" t="s">
        <v>47054</v>
      </c>
      <c r="I21111" t="s">
        <v>47111</v>
      </c>
      <c r="J21111" t="s">
        <v>47112</v>
      </c>
      <c r="K21111" t="s">
        <v>47113</v>
      </c>
      <c r="L21111">
        <v>27.08</v>
      </c>
      <c r="M21111">
        <v>68</v>
      </c>
      <c r="N21111">
        <v>0</v>
      </c>
      <c r="O21111">
        <v>68</v>
      </c>
      <c r="P21111">
        <v>0</v>
      </c>
    </row>
    <row r="21112" spans="1:16" x14ac:dyDescent="0.25">
      <c r="A21112" t="s">
        <v>43937</v>
      </c>
      <c r="B21112" t="s">
        <v>857</v>
      </c>
      <c r="C21112" t="s">
        <v>858</v>
      </c>
      <c r="D21112" t="s">
        <v>844</v>
      </c>
      <c r="E21112" t="s">
        <v>845</v>
      </c>
      <c r="F21112" t="s">
        <v>2</v>
      </c>
      <c r="G21112" t="s">
        <v>47093</v>
      </c>
      <c r="H21112" t="s">
        <v>47054</v>
      </c>
      <c r="I21112" t="s">
        <v>47111</v>
      </c>
      <c r="J21112" t="s">
        <v>47112</v>
      </c>
      <c r="K21112" t="s">
        <v>47113</v>
      </c>
      <c r="L21112">
        <v>29.37</v>
      </c>
      <c r="M21112">
        <v>72</v>
      </c>
      <c r="N21112">
        <v>0</v>
      </c>
      <c r="O21112">
        <v>72</v>
      </c>
      <c r="P21112">
        <v>0</v>
      </c>
    </row>
    <row r="21113" spans="1:16" x14ac:dyDescent="0.25">
      <c r="A21113" t="s">
        <v>43938</v>
      </c>
      <c r="B21113" t="s">
        <v>857</v>
      </c>
      <c r="C21113" t="s">
        <v>858</v>
      </c>
      <c r="D21113" t="s">
        <v>854</v>
      </c>
      <c r="E21113" t="s">
        <v>855</v>
      </c>
      <c r="F21113" t="s">
        <v>2</v>
      </c>
      <c r="G21113" t="s">
        <v>47093</v>
      </c>
      <c r="H21113" t="s">
        <v>47054</v>
      </c>
      <c r="I21113" t="s">
        <v>47111</v>
      </c>
      <c r="J21113" t="s">
        <v>47112</v>
      </c>
      <c r="K21113" t="s">
        <v>47113</v>
      </c>
      <c r="L21113">
        <v>29.34</v>
      </c>
      <c r="M21113">
        <v>72</v>
      </c>
      <c r="N21113">
        <v>0</v>
      </c>
      <c r="O21113">
        <v>72</v>
      </c>
      <c r="P21113">
        <v>0</v>
      </c>
    </row>
    <row r="21114" spans="1:16" x14ac:dyDescent="0.25">
      <c r="A21114" t="s">
        <v>43939</v>
      </c>
      <c r="B21114" t="s">
        <v>12760</v>
      </c>
      <c r="C21114" t="s">
        <v>858</v>
      </c>
      <c r="D21114" t="str">
        <f>"11"</f>
        <v>11</v>
      </c>
      <c r="E21114" t="s">
        <v>288</v>
      </c>
      <c r="F21114" t="s">
        <v>7</v>
      </c>
      <c r="G21114" t="s">
        <v>47093</v>
      </c>
      <c r="H21114" t="s">
        <v>47054</v>
      </c>
      <c r="I21114" t="s">
        <v>47111</v>
      </c>
      <c r="J21114" t="s">
        <v>47112</v>
      </c>
      <c r="K21114" t="s">
        <v>47113</v>
      </c>
      <c r="L21114">
        <v>24.45</v>
      </c>
      <c r="M21114">
        <v>67</v>
      </c>
      <c r="N21114">
        <v>0</v>
      </c>
      <c r="O21114">
        <v>67</v>
      </c>
      <c r="P21114">
        <v>0</v>
      </c>
    </row>
    <row r="21115" spans="1:16" x14ac:dyDescent="0.25">
      <c r="A21115" t="s">
        <v>43940</v>
      </c>
      <c r="B21115" t="s">
        <v>863</v>
      </c>
      <c r="C21115" t="s">
        <v>853</v>
      </c>
      <c r="D21115" t="str">
        <f>"11"</f>
        <v>11</v>
      </c>
      <c r="E21115" t="s">
        <v>288</v>
      </c>
      <c r="F21115" t="s">
        <v>2</v>
      </c>
      <c r="G21115" t="s">
        <v>47093</v>
      </c>
      <c r="H21115" t="s">
        <v>47054</v>
      </c>
      <c r="I21115" t="s">
        <v>47116</v>
      </c>
      <c r="J21115" t="s">
        <v>47117</v>
      </c>
      <c r="K21115" t="s">
        <v>47113</v>
      </c>
      <c r="L21115">
        <v>25.7</v>
      </c>
      <c r="M21115">
        <v>72</v>
      </c>
      <c r="N21115">
        <v>0</v>
      </c>
      <c r="O21115">
        <v>72</v>
      </c>
      <c r="P21115">
        <v>0</v>
      </c>
    </row>
    <row r="21116" spans="1:16" x14ac:dyDescent="0.25">
      <c r="A21116" t="s">
        <v>43941</v>
      </c>
      <c r="B21116" t="s">
        <v>863</v>
      </c>
      <c r="C21116" t="s">
        <v>853</v>
      </c>
      <c r="D21116" t="s">
        <v>721</v>
      </c>
      <c r="E21116" t="s">
        <v>722</v>
      </c>
      <c r="F21116" t="s">
        <v>2</v>
      </c>
      <c r="G21116" t="s">
        <v>47093</v>
      </c>
      <c r="H21116" t="s">
        <v>47054</v>
      </c>
      <c r="I21116" t="s">
        <v>47116</v>
      </c>
      <c r="J21116" t="s">
        <v>47117</v>
      </c>
      <c r="K21116" t="s">
        <v>47113</v>
      </c>
      <c r="L21116">
        <v>24.11</v>
      </c>
      <c r="M21116">
        <v>71</v>
      </c>
      <c r="N21116">
        <v>0</v>
      </c>
      <c r="O21116">
        <v>71</v>
      </c>
      <c r="P21116">
        <v>0</v>
      </c>
    </row>
    <row r="21117" spans="1:16" x14ac:dyDescent="0.25">
      <c r="A21117" t="s">
        <v>43942</v>
      </c>
      <c r="B21117" t="s">
        <v>863</v>
      </c>
      <c r="C21117" t="s">
        <v>853</v>
      </c>
      <c r="D21117" t="s">
        <v>19235</v>
      </c>
      <c r="E21117" t="s">
        <v>19236</v>
      </c>
      <c r="F21117" t="s">
        <v>3750</v>
      </c>
      <c r="G21117" t="s">
        <v>47093</v>
      </c>
      <c r="H21117" t="s">
        <v>47054</v>
      </c>
      <c r="I21117" t="s">
        <v>47116</v>
      </c>
      <c r="J21117" t="s">
        <v>47117</v>
      </c>
      <c r="K21117" t="s">
        <v>47113</v>
      </c>
      <c r="L21117">
        <v>21.59</v>
      </c>
      <c r="M21117">
        <v>83</v>
      </c>
      <c r="N21117">
        <v>0</v>
      </c>
      <c r="O21117">
        <v>83</v>
      </c>
      <c r="P21117">
        <v>0</v>
      </c>
    </row>
    <row r="21118" spans="1:16" x14ac:dyDescent="0.25">
      <c r="A21118" t="s">
        <v>43943</v>
      </c>
      <c r="B21118" t="s">
        <v>863</v>
      </c>
      <c r="C21118" t="s">
        <v>853</v>
      </c>
      <c r="D21118" t="s">
        <v>22</v>
      </c>
      <c r="E21118" t="s">
        <v>23</v>
      </c>
      <c r="F21118" t="s">
        <v>2</v>
      </c>
      <c r="G21118" t="s">
        <v>47093</v>
      </c>
      <c r="H21118" t="s">
        <v>47054</v>
      </c>
      <c r="I21118" t="s">
        <v>47116</v>
      </c>
      <c r="J21118" t="s">
        <v>47117</v>
      </c>
      <c r="K21118" t="s">
        <v>47113</v>
      </c>
      <c r="L21118">
        <v>24.47</v>
      </c>
      <c r="M21118">
        <v>61</v>
      </c>
      <c r="N21118">
        <v>0</v>
      </c>
      <c r="O21118">
        <v>61</v>
      </c>
      <c r="P21118">
        <v>0</v>
      </c>
    </row>
    <row r="21119" spans="1:16" x14ac:dyDescent="0.25">
      <c r="A21119" t="s">
        <v>43944</v>
      </c>
      <c r="B21119" t="s">
        <v>863</v>
      </c>
      <c r="C21119" t="s">
        <v>853</v>
      </c>
      <c r="D21119" t="s">
        <v>844</v>
      </c>
      <c r="E21119" t="s">
        <v>845</v>
      </c>
      <c r="F21119" t="s">
        <v>2</v>
      </c>
      <c r="G21119" t="s">
        <v>47093</v>
      </c>
      <c r="H21119" t="s">
        <v>47054</v>
      </c>
      <c r="I21119" t="s">
        <v>47116</v>
      </c>
      <c r="J21119" t="s">
        <v>47117</v>
      </c>
      <c r="K21119" t="s">
        <v>47113</v>
      </c>
      <c r="L21119">
        <v>29.37</v>
      </c>
      <c r="M21119">
        <v>72</v>
      </c>
      <c r="N21119">
        <v>0</v>
      </c>
      <c r="O21119">
        <v>72</v>
      </c>
      <c r="P21119">
        <v>0</v>
      </c>
    </row>
    <row r="21120" spans="1:16" x14ac:dyDescent="0.25">
      <c r="A21120" t="s">
        <v>43945</v>
      </c>
      <c r="B21120" t="s">
        <v>863</v>
      </c>
      <c r="C21120" t="s">
        <v>853</v>
      </c>
      <c r="D21120" t="s">
        <v>854</v>
      </c>
      <c r="E21120" t="s">
        <v>855</v>
      </c>
      <c r="F21120" t="s">
        <v>2</v>
      </c>
      <c r="G21120" t="s">
        <v>47093</v>
      </c>
      <c r="H21120" t="s">
        <v>47054</v>
      </c>
      <c r="I21120" t="s">
        <v>47116</v>
      </c>
      <c r="J21120" t="s">
        <v>47117</v>
      </c>
      <c r="K21120" t="s">
        <v>47113</v>
      </c>
      <c r="L21120">
        <v>29.34</v>
      </c>
      <c r="M21120">
        <v>72</v>
      </c>
      <c r="N21120">
        <v>0</v>
      </c>
      <c r="O21120">
        <v>72</v>
      </c>
      <c r="P21120">
        <v>0</v>
      </c>
    </row>
    <row r="21121" spans="1:16" x14ac:dyDescent="0.25">
      <c r="A21121" t="s">
        <v>43946</v>
      </c>
      <c r="B21121" t="s">
        <v>16141</v>
      </c>
      <c r="C21121" t="s">
        <v>16142</v>
      </c>
      <c r="D21121" t="s">
        <v>12756</v>
      </c>
      <c r="E21121" t="s">
        <v>12757</v>
      </c>
      <c r="F21121" t="s">
        <v>3750</v>
      </c>
      <c r="G21121" t="s">
        <v>47093</v>
      </c>
      <c r="H21121" t="s">
        <v>47054</v>
      </c>
      <c r="I21121" t="s">
        <v>47116</v>
      </c>
      <c r="J21121" t="s">
        <v>47117</v>
      </c>
      <c r="K21121" t="s">
        <v>47113</v>
      </c>
      <c r="L21121">
        <v>17.48</v>
      </c>
      <c r="M21121">
        <v>52</v>
      </c>
      <c r="N21121">
        <v>0</v>
      </c>
      <c r="O21121">
        <v>52</v>
      </c>
      <c r="P21121">
        <v>0</v>
      </c>
    </row>
    <row r="21122" spans="1:16" x14ac:dyDescent="0.25">
      <c r="A21122" t="s">
        <v>43947</v>
      </c>
      <c r="B21122" t="s">
        <v>19237</v>
      </c>
      <c r="C21122" t="s">
        <v>16416</v>
      </c>
      <c r="D21122" t="s">
        <v>6626</v>
      </c>
      <c r="E21122" t="s">
        <v>6627</v>
      </c>
      <c r="F21122" t="s">
        <v>3750</v>
      </c>
      <c r="G21122" t="s">
        <v>47093</v>
      </c>
      <c r="H21122" t="s">
        <v>47054</v>
      </c>
      <c r="I21122" t="s">
        <v>47116</v>
      </c>
      <c r="J21122" t="s">
        <v>47117</v>
      </c>
      <c r="K21122" t="s">
        <v>47113</v>
      </c>
      <c r="L21122">
        <v>18.559999999999999</v>
      </c>
      <c r="M21122">
        <v>53</v>
      </c>
      <c r="N21122">
        <v>0</v>
      </c>
      <c r="O21122">
        <v>53</v>
      </c>
      <c r="P21122">
        <v>0</v>
      </c>
    </row>
    <row r="21123" spans="1:16" x14ac:dyDescent="0.25">
      <c r="A21123" t="s">
        <v>864</v>
      </c>
      <c r="B21123" t="s">
        <v>865</v>
      </c>
      <c r="C21123" t="s">
        <v>866</v>
      </c>
      <c r="D21123" t="str">
        <f>"11"</f>
        <v>11</v>
      </c>
      <c r="E21123" t="s">
        <v>288</v>
      </c>
      <c r="F21123" t="s">
        <v>2</v>
      </c>
      <c r="G21123" t="s">
        <v>47093</v>
      </c>
      <c r="H21123" t="s">
        <v>47054</v>
      </c>
      <c r="I21123" t="s">
        <v>47111</v>
      </c>
      <c r="J21123" t="s">
        <v>47112</v>
      </c>
      <c r="K21123" t="s">
        <v>47113</v>
      </c>
      <c r="L21123">
        <v>25.53</v>
      </c>
      <c r="M21123">
        <v>72</v>
      </c>
      <c r="N21123">
        <v>0</v>
      </c>
      <c r="O21123">
        <v>72</v>
      </c>
      <c r="P21123">
        <v>0</v>
      </c>
    </row>
    <row r="21124" spans="1:16" x14ac:dyDescent="0.25">
      <c r="A21124" t="s">
        <v>867</v>
      </c>
      <c r="B21124" t="s">
        <v>865</v>
      </c>
      <c r="C21124" t="s">
        <v>866</v>
      </c>
      <c r="D21124" t="s">
        <v>721</v>
      </c>
      <c r="E21124" t="s">
        <v>722</v>
      </c>
      <c r="F21124" t="s">
        <v>2</v>
      </c>
      <c r="G21124" t="s">
        <v>47093</v>
      </c>
      <c r="H21124" t="s">
        <v>47054</v>
      </c>
      <c r="I21124" t="s">
        <v>47111</v>
      </c>
      <c r="J21124" t="s">
        <v>47112</v>
      </c>
      <c r="K21124" t="s">
        <v>47113</v>
      </c>
      <c r="L21124">
        <v>22.58</v>
      </c>
      <c r="M21124">
        <v>57</v>
      </c>
      <c r="N21124">
        <v>0</v>
      </c>
      <c r="O21124">
        <v>57</v>
      </c>
      <c r="P21124">
        <v>0</v>
      </c>
    </row>
    <row r="21125" spans="1:16" x14ac:dyDescent="0.25">
      <c r="A21125" t="s">
        <v>43948</v>
      </c>
      <c r="B21125" t="s">
        <v>865</v>
      </c>
      <c r="C21125" t="s">
        <v>866</v>
      </c>
      <c r="D21125" t="s">
        <v>22</v>
      </c>
      <c r="E21125" t="s">
        <v>23</v>
      </c>
      <c r="F21125" t="s">
        <v>2</v>
      </c>
      <c r="G21125" t="s">
        <v>47093</v>
      </c>
      <c r="H21125" t="s">
        <v>47054</v>
      </c>
      <c r="I21125" t="s">
        <v>47111</v>
      </c>
      <c r="J21125" t="s">
        <v>47112</v>
      </c>
      <c r="K21125" t="s">
        <v>47113</v>
      </c>
      <c r="L21125">
        <v>26.27</v>
      </c>
      <c r="M21125">
        <v>65</v>
      </c>
      <c r="N21125">
        <v>0</v>
      </c>
      <c r="O21125">
        <v>65</v>
      </c>
      <c r="P21125">
        <v>0</v>
      </c>
    </row>
    <row r="21126" spans="1:16" x14ac:dyDescent="0.25">
      <c r="A21126" t="s">
        <v>43949</v>
      </c>
      <c r="B21126" t="s">
        <v>865</v>
      </c>
      <c r="C21126" t="s">
        <v>866</v>
      </c>
      <c r="D21126" t="s">
        <v>844</v>
      </c>
      <c r="E21126" t="s">
        <v>845</v>
      </c>
      <c r="F21126" t="s">
        <v>2</v>
      </c>
      <c r="G21126" t="s">
        <v>47093</v>
      </c>
      <c r="H21126" t="s">
        <v>47054</v>
      </c>
      <c r="I21126" t="s">
        <v>47111</v>
      </c>
      <c r="J21126" t="s">
        <v>47112</v>
      </c>
      <c r="K21126" t="s">
        <v>47113</v>
      </c>
      <c r="L21126">
        <v>29.37</v>
      </c>
      <c r="M21126">
        <v>72</v>
      </c>
      <c r="N21126">
        <v>0</v>
      </c>
      <c r="O21126">
        <v>72</v>
      </c>
      <c r="P21126">
        <v>0</v>
      </c>
    </row>
    <row r="21127" spans="1:16" x14ac:dyDescent="0.25">
      <c r="A21127" t="s">
        <v>43950</v>
      </c>
      <c r="B21127" t="s">
        <v>865</v>
      </c>
      <c r="C21127" t="s">
        <v>866</v>
      </c>
      <c r="D21127" t="s">
        <v>854</v>
      </c>
      <c r="E21127" t="s">
        <v>855</v>
      </c>
      <c r="F21127" t="s">
        <v>2</v>
      </c>
      <c r="G21127" t="s">
        <v>47093</v>
      </c>
      <c r="H21127" t="s">
        <v>47054</v>
      </c>
      <c r="I21127" t="s">
        <v>47111</v>
      </c>
      <c r="J21127" t="s">
        <v>47112</v>
      </c>
      <c r="K21127" t="s">
        <v>47113</v>
      </c>
      <c r="L21127">
        <v>29.34</v>
      </c>
      <c r="M21127">
        <v>72</v>
      </c>
      <c r="N21127">
        <v>0</v>
      </c>
      <c r="O21127">
        <v>72</v>
      </c>
      <c r="P21127">
        <v>0</v>
      </c>
    </row>
    <row r="21128" spans="1:16" x14ac:dyDescent="0.25">
      <c r="A21128" t="s">
        <v>43951</v>
      </c>
      <c r="B21128" t="s">
        <v>12761</v>
      </c>
      <c r="C21128" t="s">
        <v>12762</v>
      </c>
      <c r="D21128" t="str">
        <f>"11"</f>
        <v>11</v>
      </c>
      <c r="E21128" t="s">
        <v>288</v>
      </c>
      <c r="F21128" t="s">
        <v>3750</v>
      </c>
      <c r="G21128" t="s">
        <v>47093</v>
      </c>
      <c r="H21128" t="s">
        <v>47054</v>
      </c>
      <c r="I21128" t="s">
        <v>47111</v>
      </c>
      <c r="J21128" t="s">
        <v>47112</v>
      </c>
      <c r="K21128" t="s">
        <v>47113</v>
      </c>
      <c r="L21128">
        <v>22.5</v>
      </c>
      <c r="M21128">
        <v>71</v>
      </c>
      <c r="N21128">
        <v>0</v>
      </c>
      <c r="O21128">
        <v>71</v>
      </c>
      <c r="P21128">
        <v>0</v>
      </c>
    </row>
    <row r="21129" spans="1:16" x14ac:dyDescent="0.25">
      <c r="A21129" t="s">
        <v>43952</v>
      </c>
      <c r="B21129" t="s">
        <v>12763</v>
      </c>
      <c r="C21129" t="s">
        <v>12764</v>
      </c>
      <c r="D21129" t="s">
        <v>721</v>
      </c>
      <c r="E21129" t="s">
        <v>722</v>
      </c>
      <c r="F21129" t="s">
        <v>3750</v>
      </c>
      <c r="G21129" t="s">
        <v>47093</v>
      </c>
      <c r="H21129" t="s">
        <v>47054</v>
      </c>
      <c r="I21129" t="s">
        <v>47116</v>
      </c>
      <c r="J21129" t="s">
        <v>47117</v>
      </c>
      <c r="K21129" t="s">
        <v>47113</v>
      </c>
      <c r="L21129">
        <v>19.89</v>
      </c>
      <c r="M21129">
        <v>104</v>
      </c>
      <c r="N21129">
        <v>0</v>
      </c>
      <c r="O21129">
        <v>104</v>
      </c>
      <c r="P21129">
        <v>0</v>
      </c>
    </row>
    <row r="21130" spans="1:16" x14ac:dyDescent="0.25">
      <c r="A21130" t="s">
        <v>43953</v>
      </c>
      <c r="B21130" t="s">
        <v>16417</v>
      </c>
      <c r="C21130" t="s">
        <v>16418</v>
      </c>
      <c r="D21130" t="s">
        <v>19238</v>
      </c>
      <c r="E21130" t="s">
        <v>19239</v>
      </c>
      <c r="F21130" t="s">
        <v>3750</v>
      </c>
      <c r="G21130" t="s">
        <v>47093</v>
      </c>
      <c r="H21130" t="s">
        <v>47054</v>
      </c>
      <c r="I21130" t="s">
        <v>47116</v>
      </c>
      <c r="J21130" t="s">
        <v>47117</v>
      </c>
      <c r="K21130" t="s">
        <v>47113</v>
      </c>
      <c r="L21130">
        <v>25.52</v>
      </c>
      <c r="M21130">
        <v>83</v>
      </c>
      <c r="N21130">
        <v>0</v>
      </c>
      <c r="O21130">
        <v>83</v>
      </c>
      <c r="P21130">
        <v>0</v>
      </c>
    </row>
    <row r="21131" spans="1:16" x14ac:dyDescent="0.25">
      <c r="A21131" t="s">
        <v>43954</v>
      </c>
      <c r="B21131" t="s">
        <v>869</v>
      </c>
      <c r="C21131" t="s">
        <v>870</v>
      </c>
      <c r="D21131" t="str">
        <f>"11"</f>
        <v>11</v>
      </c>
      <c r="E21131" t="s">
        <v>288</v>
      </c>
      <c r="F21131" t="s">
        <v>7</v>
      </c>
      <c r="G21131" t="s">
        <v>47093</v>
      </c>
      <c r="H21131" t="s">
        <v>47054</v>
      </c>
      <c r="I21131" t="s">
        <v>47111</v>
      </c>
      <c r="J21131" t="s">
        <v>47112</v>
      </c>
      <c r="K21131" t="s">
        <v>47113</v>
      </c>
      <c r="L21131">
        <v>25.76</v>
      </c>
      <c r="M21131">
        <v>72</v>
      </c>
      <c r="N21131">
        <v>0</v>
      </c>
      <c r="O21131">
        <v>72</v>
      </c>
      <c r="P21131">
        <v>0</v>
      </c>
    </row>
    <row r="21132" spans="1:16" x14ac:dyDescent="0.25">
      <c r="A21132" t="s">
        <v>43955</v>
      </c>
      <c r="B21132" t="s">
        <v>869</v>
      </c>
      <c r="C21132" t="s">
        <v>870</v>
      </c>
      <c r="D21132" t="s">
        <v>721</v>
      </c>
      <c r="E21132" t="s">
        <v>722</v>
      </c>
      <c r="F21132" t="s">
        <v>7</v>
      </c>
      <c r="G21132" t="s">
        <v>47093</v>
      </c>
      <c r="H21132" t="s">
        <v>47054</v>
      </c>
      <c r="I21132" t="s">
        <v>47111</v>
      </c>
      <c r="J21132" t="s">
        <v>47112</v>
      </c>
      <c r="K21132" t="s">
        <v>47113</v>
      </c>
      <c r="L21132">
        <v>22.79</v>
      </c>
      <c r="M21132">
        <v>57</v>
      </c>
      <c r="N21132">
        <v>0</v>
      </c>
      <c r="O21132">
        <v>57</v>
      </c>
      <c r="P21132">
        <v>0</v>
      </c>
    </row>
    <row r="21133" spans="1:16" x14ac:dyDescent="0.25">
      <c r="A21133" t="s">
        <v>43956</v>
      </c>
      <c r="B21133" t="s">
        <v>869</v>
      </c>
      <c r="C21133" t="s">
        <v>870</v>
      </c>
      <c r="D21133" t="s">
        <v>860</v>
      </c>
      <c r="E21133" t="s">
        <v>861</v>
      </c>
      <c r="F21133" t="s">
        <v>7</v>
      </c>
      <c r="G21133" t="s">
        <v>47093</v>
      </c>
      <c r="H21133" t="s">
        <v>47054</v>
      </c>
      <c r="I21133" t="s">
        <v>47111</v>
      </c>
      <c r="J21133" t="s">
        <v>47112</v>
      </c>
      <c r="K21133" t="s">
        <v>47113</v>
      </c>
      <c r="L21133">
        <v>30.45</v>
      </c>
      <c r="M21133">
        <v>76</v>
      </c>
      <c r="N21133">
        <v>0</v>
      </c>
      <c r="O21133">
        <v>76</v>
      </c>
      <c r="P21133">
        <v>0</v>
      </c>
    </row>
    <row r="21134" spans="1:16" x14ac:dyDescent="0.25">
      <c r="A21134" t="s">
        <v>868</v>
      </c>
      <c r="B21134" t="s">
        <v>869</v>
      </c>
      <c r="C21134" t="s">
        <v>870</v>
      </c>
      <c r="D21134" t="s">
        <v>22</v>
      </c>
      <c r="E21134" t="s">
        <v>23</v>
      </c>
      <c r="F21134" t="s">
        <v>7</v>
      </c>
      <c r="G21134" t="s">
        <v>47093</v>
      </c>
      <c r="H21134" t="s">
        <v>47054</v>
      </c>
      <c r="I21134" t="s">
        <v>47111</v>
      </c>
      <c r="J21134" t="s">
        <v>47112</v>
      </c>
      <c r="K21134" t="s">
        <v>47113</v>
      </c>
      <c r="L21134">
        <v>27.39</v>
      </c>
      <c r="M21134">
        <v>65</v>
      </c>
      <c r="N21134">
        <v>0</v>
      </c>
      <c r="O21134">
        <v>65</v>
      </c>
      <c r="P21134">
        <v>0</v>
      </c>
    </row>
    <row r="21135" spans="1:16" x14ac:dyDescent="0.25">
      <c r="A21135" t="s">
        <v>43957</v>
      </c>
      <c r="B21135" t="s">
        <v>869</v>
      </c>
      <c r="C21135" t="s">
        <v>870</v>
      </c>
      <c r="D21135" t="s">
        <v>844</v>
      </c>
      <c r="E21135" t="s">
        <v>845</v>
      </c>
      <c r="F21135" t="s">
        <v>2</v>
      </c>
      <c r="G21135" t="s">
        <v>47093</v>
      </c>
      <c r="H21135" t="s">
        <v>47054</v>
      </c>
      <c r="I21135" t="s">
        <v>47111</v>
      </c>
      <c r="J21135" t="s">
        <v>47112</v>
      </c>
      <c r="K21135" t="s">
        <v>47113</v>
      </c>
      <c r="L21135">
        <v>29.37</v>
      </c>
      <c r="M21135">
        <v>72</v>
      </c>
      <c r="N21135">
        <v>0</v>
      </c>
      <c r="O21135">
        <v>72</v>
      </c>
      <c r="P21135">
        <v>0</v>
      </c>
    </row>
    <row r="21136" spans="1:16" x14ac:dyDescent="0.25">
      <c r="A21136" t="s">
        <v>43958</v>
      </c>
      <c r="B21136" t="s">
        <v>869</v>
      </c>
      <c r="C21136" t="s">
        <v>870</v>
      </c>
      <c r="D21136" t="s">
        <v>854</v>
      </c>
      <c r="E21136" t="s">
        <v>855</v>
      </c>
      <c r="F21136" t="s">
        <v>2</v>
      </c>
      <c r="G21136" t="s">
        <v>47093</v>
      </c>
      <c r="H21136" t="s">
        <v>47054</v>
      </c>
      <c r="I21136" t="s">
        <v>47111</v>
      </c>
      <c r="J21136" t="s">
        <v>47112</v>
      </c>
      <c r="K21136" t="s">
        <v>47113</v>
      </c>
      <c r="L21136">
        <v>29.34</v>
      </c>
      <c r="M21136">
        <v>72</v>
      </c>
      <c r="N21136">
        <v>0</v>
      </c>
      <c r="O21136">
        <v>72</v>
      </c>
      <c r="P21136">
        <v>0</v>
      </c>
    </row>
    <row r="21137" spans="1:16" x14ac:dyDescent="0.25">
      <c r="A21137" t="s">
        <v>43959</v>
      </c>
      <c r="B21137" t="s">
        <v>12765</v>
      </c>
      <c r="C21137" t="s">
        <v>870</v>
      </c>
      <c r="D21137" t="str">
        <f>"11"</f>
        <v>11</v>
      </c>
      <c r="E21137" t="s">
        <v>288</v>
      </c>
      <c r="F21137" t="s">
        <v>7</v>
      </c>
      <c r="G21137" t="s">
        <v>47093</v>
      </c>
      <c r="H21137" t="s">
        <v>47054</v>
      </c>
      <c r="I21137" t="s">
        <v>47111</v>
      </c>
      <c r="J21137" t="s">
        <v>47112</v>
      </c>
      <c r="K21137" t="s">
        <v>47113</v>
      </c>
      <c r="L21137">
        <v>26.51</v>
      </c>
      <c r="M21137">
        <v>67</v>
      </c>
      <c r="N21137">
        <v>0</v>
      </c>
      <c r="O21137">
        <v>67</v>
      </c>
      <c r="P21137">
        <v>0</v>
      </c>
    </row>
    <row r="21138" spans="1:16" x14ac:dyDescent="0.25">
      <c r="A21138" t="s">
        <v>43960</v>
      </c>
      <c r="B21138" t="s">
        <v>12765</v>
      </c>
      <c r="C21138" t="s">
        <v>870</v>
      </c>
      <c r="D21138" t="s">
        <v>721</v>
      </c>
      <c r="E21138" t="s">
        <v>722</v>
      </c>
      <c r="F21138" t="s">
        <v>7</v>
      </c>
      <c r="G21138" t="s">
        <v>47093</v>
      </c>
      <c r="H21138" t="s">
        <v>47054</v>
      </c>
      <c r="I21138" t="s">
        <v>47111</v>
      </c>
      <c r="J21138" t="s">
        <v>47112</v>
      </c>
      <c r="K21138" t="s">
        <v>47113</v>
      </c>
      <c r="L21138">
        <v>23.5</v>
      </c>
      <c r="M21138">
        <v>60</v>
      </c>
      <c r="N21138">
        <v>0</v>
      </c>
      <c r="O21138">
        <v>60</v>
      </c>
      <c r="P21138">
        <v>0</v>
      </c>
    </row>
    <row r="21139" spans="1:16" x14ac:dyDescent="0.25">
      <c r="A21139" t="s">
        <v>43961</v>
      </c>
      <c r="B21139" t="s">
        <v>12765</v>
      </c>
      <c r="C21139" t="s">
        <v>870</v>
      </c>
      <c r="D21139" t="s">
        <v>860</v>
      </c>
      <c r="E21139" t="s">
        <v>861</v>
      </c>
      <c r="F21139" t="s">
        <v>7</v>
      </c>
      <c r="G21139" t="s">
        <v>47093</v>
      </c>
      <c r="H21139" t="s">
        <v>47054</v>
      </c>
      <c r="I21139" t="s">
        <v>47111</v>
      </c>
      <c r="J21139" t="s">
        <v>47112</v>
      </c>
      <c r="K21139" t="s">
        <v>47113</v>
      </c>
      <c r="L21139">
        <v>30.55</v>
      </c>
      <c r="M21139">
        <v>77</v>
      </c>
      <c r="N21139">
        <v>0</v>
      </c>
      <c r="O21139">
        <v>77</v>
      </c>
      <c r="P21139">
        <v>0</v>
      </c>
    </row>
    <row r="21140" spans="1:16" x14ac:dyDescent="0.25">
      <c r="A21140" t="s">
        <v>43962</v>
      </c>
      <c r="B21140" t="s">
        <v>12765</v>
      </c>
      <c r="C21140" t="s">
        <v>870</v>
      </c>
      <c r="D21140" t="s">
        <v>22</v>
      </c>
      <c r="E21140" t="s">
        <v>23</v>
      </c>
      <c r="F21140" t="s">
        <v>7</v>
      </c>
      <c r="G21140" t="s">
        <v>47093</v>
      </c>
      <c r="H21140" t="s">
        <v>47054</v>
      </c>
      <c r="I21140" t="s">
        <v>47111</v>
      </c>
      <c r="J21140" t="s">
        <v>47112</v>
      </c>
      <c r="K21140" t="s">
        <v>47113</v>
      </c>
      <c r="L21140">
        <v>27.09</v>
      </c>
      <c r="M21140">
        <v>68</v>
      </c>
      <c r="N21140">
        <v>0</v>
      </c>
      <c r="O21140">
        <v>68</v>
      </c>
      <c r="P21140">
        <v>0</v>
      </c>
    </row>
    <row r="21141" spans="1:16" x14ac:dyDescent="0.25">
      <c r="A21141" t="s">
        <v>43963</v>
      </c>
      <c r="B21141" t="s">
        <v>16419</v>
      </c>
      <c r="C21141" t="s">
        <v>19240</v>
      </c>
      <c r="D21141" t="s">
        <v>16420</v>
      </c>
      <c r="E21141" t="s">
        <v>16421</v>
      </c>
      <c r="F21141" t="s">
        <v>3750</v>
      </c>
      <c r="G21141" t="s">
        <v>47093</v>
      </c>
      <c r="H21141" t="s">
        <v>47054</v>
      </c>
      <c r="I21141" t="s">
        <v>47116</v>
      </c>
      <c r="J21141" t="s">
        <v>47117</v>
      </c>
      <c r="K21141" t="s">
        <v>47113</v>
      </c>
      <c r="L21141">
        <v>25.46</v>
      </c>
      <c r="M21141">
        <v>40</v>
      </c>
      <c r="N21141">
        <v>0</v>
      </c>
      <c r="O21141">
        <v>40</v>
      </c>
      <c r="P21141">
        <v>0</v>
      </c>
    </row>
    <row r="21142" spans="1:16" x14ac:dyDescent="0.25">
      <c r="A21142" t="s">
        <v>43964</v>
      </c>
      <c r="B21142" t="s">
        <v>16422</v>
      </c>
      <c r="C21142" t="s">
        <v>16423</v>
      </c>
      <c r="D21142" t="s">
        <v>5572</v>
      </c>
      <c r="E21142" t="s">
        <v>5573</v>
      </c>
      <c r="F21142" t="s">
        <v>3750</v>
      </c>
      <c r="G21142" t="s">
        <v>47093</v>
      </c>
      <c r="H21142" t="s">
        <v>47054</v>
      </c>
      <c r="I21142" t="s">
        <v>47116</v>
      </c>
      <c r="J21142" t="s">
        <v>47117</v>
      </c>
      <c r="K21142" t="s">
        <v>47113</v>
      </c>
      <c r="L21142">
        <v>19.46</v>
      </c>
      <c r="M21142">
        <v>57</v>
      </c>
      <c r="N21142">
        <v>0</v>
      </c>
      <c r="O21142">
        <v>57</v>
      </c>
      <c r="P21142">
        <v>0</v>
      </c>
    </row>
    <row r="21143" spans="1:16" x14ac:dyDescent="0.25">
      <c r="A21143" t="s">
        <v>43965</v>
      </c>
      <c r="B21143" t="s">
        <v>12766</v>
      </c>
      <c r="C21143" t="s">
        <v>12767</v>
      </c>
      <c r="D21143" t="str">
        <f>"1182"</f>
        <v>1182</v>
      </c>
      <c r="E21143" t="s">
        <v>12768</v>
      </c>
      <c r="F21143" t="s">
        <v>3750</v>
      </c>
      <c r="G21143" t="s">
        <v>47091</v>
      </c>
      <c r="H21143" t="s">
        <v>47054</v>
      </c>
      <c r="I21143" t="s">
        <v>47116</v>
      </c>
      <c r="J21143" t="s">
        <v>47117</v>
      </c>
      <c r="K21143" t="s">
        <v>47113</v>
      </c>
      <c r="L21143">
        <v>8.64</v>
      </c>
      <c r="M21143">
        <v>36</v>
      </c>
      <c r="N21143">
        <v>0</v>
      </c>
      <c r="O21143">
        <v>36</v>
      </c>
      <c r="P21143">
        <v>0</v>
      </c>
    </row>
    <row r="21144" spans="1:16" x14ac:dyDescent="0.25">
      <c r="A21144" t="s">
        <v>43966</v>
      </c>
      <c r="B21144" t="s">
        <v>12766</v>
      </c>
      <c r="C21144" t="s">
        <v>12767</v>
      </c>
      <c r="D21144" t="str">
        <f>"1796"</f>
        <v>1796</v>
      </c>
      <c r="E21144" t="s">
        <v>12769</v>
      </c>
      <c r="F21144" t="s">
        <v>3750</v>
      </c>
      <c r="G21144" t="s">
        <v>47091</v>
      </c>
      <c r="H21144" t="s">
        <v>47054</v>
      </c>
      <c r="I21144" t="s">
        <v>47116</v>
      </c>
      <c r="J21144" t="s">
        <v>47117</v>
      </c>
      <c r="K21144" t="s">
        <v>47113</v>
      </c>
      <c r="L21144">
        <v>8.64</v>
      </c>
      <c r="M21144">
        <v>36</v>
      </c>
      <c r="N21144">
        <v>0</v>
      </c>
      <c r="O21144">
        <v>36</v>
      </c>
      <c r="P21144">
        <v>0</v>
      </c>
    </row>
    <row r="21145" spans="1:16" x14ac:dyDescent="0.25">
      <c r="A21145" t="s">
        <v>43967</v>
      </c>
      <c r="B21145" t="s">
        <v>22124</v>
      </c>
      <c r="C21145" t="s">
        <v>22125</v>
      </c>
      <c r="D21145" t="str">
        <f>"1078"</f>
        <v>1078</v>
      </c>
      <c r="E21145" t="s">
        <v>22126</v>
      </c>
      <c r="F21145" t="s">
        <v>16771</v>
      </c>
      <c r="G21145" t="s">
        <v>47091</v>
      </c>
      <c r="H21145" t="s">
        <v>47054</v>
      </c>
      <c r="I21145" t="s">
        <v>47116</v>
      </c>
      <c r="J21145" t="s">
        <v>47117</v>
      </c>
      <c r="K21145" t="s">
        <v>47113</v>
      </c>
      <c r="L21145">
        <v>8.5500000000000007</v>
      </c>
      <c r="M21145">
        <v>15</v>
      </c>
      <c r="N21145">
        <v>0</v>
      </c>
      <c r="O21145">
        <v>15</v>
      </c>
      <c r="P21145">
        <v>0</v>
      </c>
    </row>
    <row r="21146" spans="1:16" x14ac:dyDescent="0.25">
      <c r="A21146" t="s">
        <v>43968</v>
      </c>
      <c r="B21146" t="s">
        <v>22124</v>
      </c>
      <c r="C21146" t="s">
        <v>22125</v>
      </c>
      <c r="D21146" t="str">
        <f>"1730"</f>
        <v>1730</v>
      </c>
      <c r="E21146" t="s">
        <v>22127</v>
      </c>
      <c r="F21146" t="s">
        <v>3750</v>
      </c>
      <c r="G21146" t="s">
        <v>47091</v>
      </c>
      <c r="H21146" t="s">
        <v>47054</v>
      </c>
      <c r="I21146" t="s">
        <v>47116</v>
      </c>
      <c r="J21146" t="s">
        <v>47117</v>
      </c>
      <c r="K21146" t="s">
        <v>47113</v>
      </c>
      <c r="L21146">
        <v>8.5500000000000007</v>
      </c>
      <c r="M21146">
        <v>15</v>
      </c>
      <c r="N21146">
        <v>0</v>
      </c>
      <c r="O21146">
        <v>15</v>
      </c>
      <c r="P21146">
        <v>0</v>
      </c>
    </row>
    <row r="21147" spans="1:16" x14ac:dyDescent="0.25">
      <c r="A21147" t="s">
        <v>43969</v>
      </c>
      <c r="B21147" t="s">
        <v>12770</v>
      </c>
      <c r="C21147" t="s">
        <v>12771</v>
      </c>
      <c r="D21147" t="str">
        <f>"1106"</f>
        <v>1106</v>
      </c>
      <c r="E21147" t="s">
        <v>460</v>
      </c>
      <c r="F21147" t="s">
        <v>3750</v>
      </c>
      <c r="G21147" t="s">
        <v>47091</v>
      </c>
      <c r="H21147" t="s">
        <v>47054</v>
      </c>
      <c r="I21147" t="s">
        <v>47116</v>
      </c>
      <c r="J21147" t="s">
        <v>47117</v>
      </c>
      <c r="K21147" t="s">
        <v>47113</v>
      </c>
      <c r="L21147">
        <v>7.65</v>
      </c>
      <c r="M21147">
        <v>27</v>
      </c>
      <c r="N21147">
        <v>0</v>
      </c>
      <c r="O21147">
        <v>27</v>
      </c>
      <c r="P21147">
        <v>0</v>
      </c>
    </row>
    <row r="21148" spans="1:16" x14ac:dyDescent="0.25">
      <c r="A21148" t="s">
        <v>43970</v>
      </c>
      <c r="B21148" t="s">
        <v>12770</v>
      </c>
      <c r="C21148" t="s">
        <v>12771</v>
      </c>
      <c r="D21148" t="str">
        <f>"6000"</f>
        <v>6000</v>
      </c>
      <c r="E21148" t="s">
        <v>238</v>
      </c>
      <c r="F21148" t="s">
        <v>3750</v>
      </c>
      <c r="G21148" t="s">
        <v>47091</v>
      </c>
      <c r="H21148" t="s">
        <v>47054</v>
      </c>
      <c r="I21148" t="s">
        <v>47116</v>
      </c>
      <c r="J21148" t="s">
        <v>47117</v>
      </c>
      <c r="K21148" t="s">
        <v>47113</v>
      </c>
      <c r="L21148">
        <v>7.65</v>
      </c>
      <c r="M21148">
        <v>27</v>
      </c>
      <c r="N21148">
        <v>0</v>
      </c>
      <c r="O21148">
        <v>27</v>
      </c>
      <c r="P21148">
        <v>0</v>
      </c>
    </row>
    <row r="21149" spans="1:16" x14ac:dyDescent="0.25">
      <c r="A21149" t="s">
        <v>43971</v>
      </c>
      <c r="B21149" t="s">
        <v>14439</v>
      </c>
      <c r="C21149" t="s">
        <v>14438</v>
      </c>
      <c r="D21149" t="str">
        <f>"1001"</f>
        <v>1001</v>
      </c>
      <c r="E21149" t="s">
        <v>42</v>
      </c>
      <c r="F21149" t="s">
        <v>3750</v>
      </c>
      <c r="G21149" t="s">
        <v>47101</v>
      </c>
      <c r="H21149" t="s">
        <v>47054</v>
      </c>
      <c r="I21149" t="s">
        <v>47118</v>
      </c>
      <c r="J21149" t="s">
        <v>47119</v>
      </c>
      <c r="K21149" t="s">
        <v>47113</v>
      </c>
      <c r="L21149">
        <v>11.77</v>
      </c>
      <c r="M21149">
        <v>48</v>
      </c>
      <c r="N21149">
        <v>0</v>
      </c>
      <c r="O21149">
        <v>48</v>
      </c>
      <c r="P21149">
        <v>0</v>
      </c>
    </row>
    <row r="21150" spans="1:16" x14ac:dyDescent="0.25">
      <c r="A21150" t="s">
        <v>43972</v>
      </c>
      <c r="B21150" t="s">
        <v>14439</v>
      </c>
      <c r="C21150" t="s">
        <v>14438</v>
      </c>
      <c r="D21150" t="str">
        <f>"1700"</f>
        <v>1700</v>
      </c>
      <c r="E21150" t="s">
        <v>60</v>
      </c>
      <c r="F21150" t="s">
        <v>3750</v>
      </c>
      <c r="G21150" t="s">
        <v>47101</v>
      </c>
      <c r="H21150" t="s">
        <v>47054</v>
      </c>
      <c r="I21150" t="s">
        <v>47118</v>
      </c>
      <c r="J21150" t="s">
        <v>47119</v>
      </c>
      <c r="K21150" t="s">
        <v>47113</v>
      </c>
      <c r="L21150">
        <v>11.77</v>
      </c>
      <c r="M21150">
        <v>48</v>
      </c>
      <c r="N21150">
        <v>0</v>
      </c>
      <c r="O21150">
        <v>48</v>
      </c>
      <c r="P21150">
        <v>0</v>
      </c>
    </row>
    <row r="21151" spans="1:16" x14ac:dyDescent="0.25">
      <c r="A21151" t="s">
        <v>43973</v>
      </c>
      <c r="B21151" t="s">
        <v>14439</v>
      </c>
      <c r="C21151" t="s">
        <v>14438</v>
      </c>
      <c r="D21151" t="str">
        <f>"4646"</f>
        <v>4646</v>
      </c>
      <c r="E21151" t="s">
        <v>9741</v>
      </c>
      <c r="F21151" t="s">
        <v>3750</v>
      </c>
      <c r="G21151" t="s">
        <v>47101</v>
      </c>
      <c r="H21151" t="s">
        <v>47054</v>
      </c>
      <c r="I21151" t="s">
        <v>47118</v>
      </c>
      <c r="J21151" t="s">
        <v>47119</v>
      </c>
      <c r="K21151" t="s">
        <v>47113</v>
      </c>
      <c r="L21151">
        <v>14.11</v>
      </c>
      <c r="M21151">
        <v>48</v>
      </c>
      <c r="N21151">
        <v>0</v>
      </c>
      <c r="O21151">
        <v>48</v>
      </c>
      <c r="P21151">
        <v>0</v>
      </c>
    </row>
    <row r="21152" spans="1:16" x14ac:dyDescent="0.25">
      <c r="A21152" t="s">
        <v>43974</v>
      </c>
      <c r="B21152" t="s">
        <v>14439</v>
      </c>
      <c r="C21152" t="s">
        <v>14438</v>
      </c>
      <c r="D21152" t="str">
        <f>"6433"</f>
        <v>6433</v>
      </c>
      <c r="E21152" t="s">
        <v>7168</v>
      </c>
      <c r="F21152" t="s">
        <v>3750</v>
      </c>
      <c r="G21152" t="s">
        <v>47101</v>
      </c>
      <c r="H21152" t="s">
        <v>47054</v>
      </c>
      <c r="I21152" t="s">
        <v>47118</v>
      </c>
      <c r="J21152" t="s">
        <v>47119</v>
      </c>
      <c r="K21152" t="s">
        <v>47113</v>
      </c>
      <c r="L21152">
        <v>14.11</v>
      </c>
      <c r="M21152">
        <v>48</v>
      </c>
      <c r="N21152">
        <v>0</v>
      </c>
      <c r="O21152">
        <v>48</v>
      </c>
      <c r="P21152">
        <v>0</v>
      </c>
    </row>
    <row r="21153" spans="1:16" x14ac:dyDescent="0.25">
      <c r="A21153" t="s">
        <v>43975</v>
      </c>
      <c r="B21153" t="s">
        <v>12772</v>
      </c>
      <c r="C21153" t="s">
        <v>14371</v>
      </c>
      <c r="D21153" t="str">
        <f>"4005"</f>
        <v>4005</v>
      </c>
      <c r="E21153" t="s">
        <v>12773</v>
      </c>
      <c r="F21153" t="s">
        <v>3670</v>
      </c>
      <c r="G21153" t="s">
        <v>49029</v>
      </c>
      <c r="H21153" t="s">
        <v>47054</v>
      </c>
      <c r="I21153" t="s">
        <v>47111</v>
      </c>
      <c r="J21153" t="s">
        <v>47112</v>
      </c>
      <c r="K21153" t="s">
        <v>47113</v>
      </c>
      <c r="L21153">
        <v>44.92</v>
      </c>
      <c r="M21153">
        <v>74</v>
      </c>
      <c r="N21153">
        <v>0</v>
      </c>
      <c r="O21153">
        <v>74</v>
      </c>
      <c r="P21153">
        <v>0</v>
      </c>
    </row>
    <row r="21154" spans="1:16" x14ac:dyDescent="0.25">
      <c r="A21154" t="s">
        <v>43976</v>
      </c>
      <c r="B21154" t="s">
        <v>12774</v>
      </c>
      <c r="C21154" t="s">
        <v>12775</v>
      </c>
      <c r="D21154" t="str">
        <f>"4005"</f>
        <v>4005</v>
      </c>
      <c r="E21154" t="s">
        <v>12773</v>
      </c>
      <c r="F21154" t="s">
        <v>3670</v>
      </c>
      <c r="G21154" t="s">
        <v>47093</v>
      </c>
      <c r="H21154" t="s">
        <v>47054</v>
      </c>
      <c r="I21154" t="s">
        <v>47111</v>
      </c>
      <c r="J21154" t="s">
        <v>47112</v>
      </c>
      <c r="K21154" t="s">
        <v>47113</v>
      </c>
      <c r="L21154">
        <v>50.04</v>
      </c>
      <c r="M21154">
        <v>92</v>
      </c>
      <c r="N21154">
        <v>0</v>
      </c>
      <c r="O21154">
        <v>92</v>
      </c>
      <c r="P21154">
        <v>0</v>
      </c>
    </row>
    <row r="21155" spans="1:16" x14ac:dyDescent="0.25">
      <c r="A21155" t="s">
        <v>43977</v>
      </c>
      <c r="B21155" t="s">
        <v>12776</v>
      </c>
      <c r="C21155" t="s">
        <v>12777</v>
      </c>
      <c r="D21155" t="str">
        <f>"4163"</f>
        <v>4163</v>
      </c>
      <c r="E21155" t="s">
        <v>12778</v>
      </c>
      <c r="F21155" t="s">
        <v>7</v>
      </c>
      <c r="G21155" t="s">
        <v>47101</v>
      </c>
      <c r="H21155" t="s">
        <v>47054</v>
      </c>
      <c r="I21155" t="s">
        <v>47120</v>
      </c>
      <c r="J21155" t="s">
        <v>47121</v>
      </c>
      <c r="K21155" t="s">
        <v>47113</v>
      </c>
      <c r="L21155">
        <v>29.06</v>
      </c>
      <c r="M21155">
        <v>74</v>
      </c>
      <c r="N21155">
        <v>0</v>
      </c>
      <c r="O21155">
        <v>74</v>
      </c>
      <c r="P21155">
        <v>0</v>
      </c>
    </row>
    <row r="21156" spans="1:16" x14ac:dyDescent="0.25">
      <c r="A21156" t="s">
        <v>43978</v>
      </c>
      <c r="B21156" t="s">
        <v>872</v>
      </c>
      <c r="C21156" t="s">
        <v>873</v>
      </c>
      <c r="D21156" t="str">
        <f>"7231"</f>
        <v>7231</v>
      </c>
      <c r="E21156" t="s">
        <v>12779</v>
      </c>
      <c r="F21156" t="s">
        <v>7</v>
      </c>
      <c r="G21156" t="s">
        <v>47101</v>
      </c>
      <c r="H21156" t="s">
        <v>47054</v>
      </c>
      <c r="I21156" t="s">
        <v>47120</v>
      </c>
      <c r="J21156" t="s">
        <v>47121</v>
      </c>
      <c r="K21156" t="s">
        <v>47113</v>
      </c>
      <c r="L21156">
        <v>24.45</v>
      </c>
      <c r="M21156">
        <v>65</v>
      </c>
      <c r="N21156">
        <v>0</v>
      </c>
      <c r="O21156">
        <v>65</v>
      </c>
      <c r="P21156">
        <v>0</v>
      </c>
    </row>
    <row r="21157" spans="1:16" x14ac:dyDescent="0.25">
      <c r="A21157" t="s">
        <v>871</v>
      </c>
      <c r="B21157" t="s">
        <v>872</v>
      </c>
      <c r="C21157" t="s">
        <v>873</v>
      </c>
      <c r="D21157" t="str">
        <f>"8013"</f>
        <v>8013</v>
      </c>
      <c r="E21157" t="s">
        <v>874</v>
      </c>
      <c r="F21157" t="s">
        <v>7</v>
      </c>
      <c r="G21157" t="s">
        <v>47101</v>
      </c>
      <c r="H21157" t="s">
        <v>47054</v>
      </c>
      <c r="I21157" t="s">
        <v>47120</v>
      </c>
      <c r="J21157" t="s">
        <v>47121</v>
      </c>
      <c r="K21157" t="s">
        <v>47113</v>
      </c>
      <c r="L21157">
        <v>47.51</v>
      </c>
      <c r="M21157">
        <v>70</v>
      </c>
      <c r="N21157">
        <v>0</v>
      </c>
      <c r="O21157">
        <v>70</v>
      </c>
      <c r="P21157">
        <v>0</v>
      </c>
    </row>
    <row r="21158" spans="1:16" x14ac:dyDescent="0.25">
      <c r="A21158" t="s">
        <v>22942</v>
      </c>
      <c r="B21158" t="s">
        <v>22128</v>
      </c>
      <c r="C21158" t="s">
        <v>22129</v>
      </c>
      <c r="D21158" t="str">
        <f>"3071"</f>
        <v>3071</v>
      </c>
      <c r="E21158" t="s">
        <v>4767</v>
      </c>
      <c r="F21158" t="s">
        <v>3750</v>
      </c>
      <c r="G21158" t="s">
        <v>47092</v>
      </c>
      <c r="H21158" t="s">
        <v>47054</v>
      </c>
      <c r="I21158" t="s">
        <v>47154</v>
      </c>
      <c r="J21158" t="s">
        <v>47155</v>
      </c>
      <c r="K21158" t="s">
        <v>47113</v>
      </c>
      <c r="L21158">
        <v>6.62</v>
      </c>
      <c r="M21158">
        <v>20</v>
      </c>
      <c r="N21158">
        <v>0</v>
      </c>
      <c r="O21158">
        <v>20</v>
      </c>
      <c r="P21158">
        <v>0</v>
      </c>
    </row>
    <row r="21159" spans="1:16" x14ac:dyDescent="0.25">
      <c r="A21159" t="s">
        <v>43979</v>
      </c>
      <c r="B21159" t="s">
        <v>22128</v>
      </c>
      <c r="C21159" t="s">
        <v>22129</v>
      </c>
      <c r="D21159" t="str">
        <f>"3308"</f>
        <v>3308</v>
      </c>
      <c r="E21159" t="s">
        <v>22130</v>
      </c>
      <c r="F21159" t="s">
        <v>3750</v>
      </c>
      <c r="G21159" t="s">
        <v>47092</v>
      </c>
      <c r="H21159" t="s">
        <v>47054</v>
      </c>
      <c r="I21159" t="s">
        <v>47154</v>
      </c>
      <c r="J21159" t="s">
        <v>47155</v>
      </c>
      <c r="K21159" t="s">
        <v>47113</v>
      </c>
      <c r="L21159">
        <v>6.71</v>
      </c>
      <c r="M21159">
        <v>28</v>
      </c>
      <c r="N21159">
        <v>0</v>
      </c>
      <c r="O21159">
        <v>28</v>
      </c>
      <c r="P21159">
        <v>0</v>
      </c>
    </row>
    <row r="21160" spans="1:16" x14ac:dyDescent="0.25">
      <c r="A21160" t="s">
        <v>43980</v>
      </c>
      <c r="B21160" t="s">
        <v>22128</v>
      </c>
      <c r="C21160" t="s">
        <v>22129</v>
      </c>
      <c r="D21160" t="str">
        <f>"6200"</f>
        <v>6200</v>
      </c>
      <c r="E21160" t="s">
        <v>22131</v>
      </c>
      <c r="F21160" t="s">
        <v>3750</v>
      </c>
      <c r="G21160" t="s">
        <v>47092</v>
      </c>
      <c r="H21160" t="s">
        <v>47054</v>
      </c>
      <c r="I21160" t="s">
        <v>47154</v>
      </c>
      <c r="J21160" t="s">
        <v>47155</v>
      </c>
      <c r="K21160" t="s">
        <v>47113</v>
      </c>
      <c r="L21160">
        <v>6.71</v>
      </c>
      <c r="M21160">
        <v>28</v>
      </c>
      <c r="N21160">
        <v>0</v>
      </c>
      <c r="O21160">
        <v>28</v>
      </c>
      <c r="P21160">
        <v>0</v>
      </c>
    </row>
    <row r="21161" spans="1:16" x14ac:dyDescent="0.25">
      <c r="A21161" t="s">
        <v>43981</v>
      </c>
      <c r="B21161" t="s">
        <v>22132</v>
      </c>
      <c r="C21161" t="s">
        <v>22133</v>
      </c>
      <c r="D21161" t="str">
        <f>"5105"</f>
        <v>5105</v>
      </c>
      <c r="E21161" t="s">
        <v>9912</v>
      </c>
      <c r="F21161" t="s">
        <v>3750</v>
      </c>
      <c r="G21161" t="s">
        <v>47092</v>
      </c>
      <c r="H21161" t="s">
        <v>47054</v>
      </c>
      <c r="I21161" t="s">
        <v>47118</v>
      </c>
      <c r="J21161" t="s">
        <v>47119</v>
      </c>
      <c r="K21161" t="s">
        <v>47113</v>
      </c>
      <c r="L21161">
        <v>8.52</v>
      </c>
      <c r="M21161">
        <v>26</v>
      </c>
      <c r="N21161">
        <v>0</v>
      </c>
      <c r="O21161">
        <v>26</v>
      </c>
      <c r="P21161">
        <v>0</v>
      </c>
    </row>
    <row r="21162" spans="1:16" x14ac:dyDescent="0.25">
      <c r="A21162" t="s">
        <v>43982</v>
      </c>
      <c r="B21162" t="s">
        <v>22132</v>
      </c>
      <c r="C21162" t="s">
        <v>22133</v>
      </c>
      <c r="D21162" t="str">
        <f>"7000"</f>
        <v>7000</v>
      </c>
      <c r="E21162" t="s">
        <v>22134</v>
      </c>
      <c r="F21162" t="s">
        <v>3750</v>
      </c>
      <c r="G21162" t="s">
        <v>47092</v>
      </c>
      <c r="H21162" t="s">
        <v>47054</v>
      </c>
      <c r="I21162" t="s">
        <v>47118</v>
      </c>
      <c r="J21162" t="s">
        <v>47119</v>
      </c>
      <c r="K21162" t="s">
        <v>47113</v>
      </c>
      <c r="L21162">
        <v>8.52</v>
      </c>
      <c r="M21162">
        <v>26</v>
      </c>
      <c r="N21162">
        <v>0</v>
      </c>
      <c r="O21162">
        <v>26</v>
      </c>
      <c r="P21162">
        <v>0</v>
      </c>
    </row>
    <row r="21163" spans="1:16" x14ac:dyDescent="0.25">
      <c r="A21163" t="s">
        <v>43983</v>
      </c>
      <c r="B21163" t="s">
        <v>22135</v>
      </c>
      <c r="C21163" t="s">
        <v>22136</v>
      </c>
      <c r="D21163" t="str">
        <f>"1700"</f>
        <v>1700</v>
      </c>
      <c r="E21163" t="s">
        <v>60</v>
      </c>
      <c r="F21163" t="s">
        <v>3750</v>
      </c>
      <c r="G21163" t="s">
        <v>47092</v>
      </c>
      <c r="H21163" t="s">
        <v>47054</v>
      </c>
      <c r="I21163" t="s">
        <v>47154</v>
      </c>
      <c r="J21163" t="s">
        <v>47155</v>
      </c>
      <c r="K21163" t="s">
        <v>47113</v>
      </c>
      <c r="L21163">
        <v>8.4600000000000009</v>
      </c>
      <c r="M21163">
        <v>34</v>
      </c>
      <c r="N21163">
        <v>0</v>
      </c>
      <c r="O21163">
        <v>34</v>
      </c>
      <c r="P21163">
        <v>0</v>
      </c>
    </row>
    <row r="21164" spans="1:16" x14ac:dyDescent="0.25">
      <c r="A21164" t="s">
        <v>43984</v>
      </c>
      <c r="B21164" t="s">
        <v>22135</v>
      </c>
      <c r="C21164" t="s">
        <v>22136</v>
      </c>
      <c r="D21164" t="str">
        <f>"4609"</f>
        <v>4609</v>
      </c>
      <c r="E21164" t="s">
        <v>22137</v>
      </c>
      <c r="F21164" t="s">
        <v>3750</v>
      </c>
      <c r="G21164" t="s">
        <v>47092</v>
      </c>
      <c r="H21164" t="s">
        <v>47054</v>
      </c>
      <c r="I21164" t="s">
        <v>47154</v>
      </c>
      <c r="J21164" t="s">
        <v>47155</v>
      </c>
      <c r="K21164" t="s">
        <v>47113</v>
      </c>
      <c r="L21164">
        <v>8.75</v>
      </c>
      <c r="M21164">
        <v>34</v>
      </c>
      <c r="N21164">
        <v>0</v>
      </c>
      <c r="O21164">
        <v>34</v>
      </c>
      <c r="P21164">
        <v>0</v>
      </c>
    </row>
    <row r="21165" spans="1:16" x14ac:dyDescent="0.25">
      <c r="A21165" t="s">
        <v>43985</v>
      </c>
      <c r="B21165" t="s">
        <v>22138</v>
      </c>
      <c r="C21165" t="s">
        <v>22139</v>
      </c>
      <c r="D21165" t="str">
        <f>"1001"</f>
        <v>1001</v>
      </c>
      <c r="E21165" t="s">
        <v>42</v>
      </c>
      <c r="F21165" t="s">
        <v>3750</v>
      </c>
      <c r="G21165" t="s">
        <v>47092</v>
      </c>
      <c r="H21165" t="s">
        <v>47054</v>
      </c>
      <c r="I21165" t="s">
        <v>47154</v>
      </c>
      <c r="J21165" t="s">
        <v>47155</v>
      </c>
      <c r="K21165" t="s">
        <v>47113</v>
      </c>
      <c r="L21165">
        <v>7.42</v>
      </c>
      <c r="M21165">
        <v>26</v>
      </c>
      <c r="N21165">
        <v>0</v>
      </c>
      <c r="O21165">
        <v>26</v>
      </c>
      <c r="P21165">
        <v>0</v>
      </c>
    </row>
    <row r="21166" spans="1:16" x14ac:dyDescent="0.25">
      <c r="A21166" t="s">
        <v>43986</v>
      </c>
      <c r="B21166" t="s">
        <v>22138</v>
      </c>
      <c r="C21166" t="s">
        <v>22139</v>
      </c>
      <c r="D21166" t="str">
        <f>"1700"</f>
        <v>1700</v>
      </c>
      <c r="E21166" t="s">
        <v>60</v>
      </c>
      <c r="F21166" t="s">
        <v>3750</v>
      </c>
      <c r="G21166" t="s">
        <v>47092</v>
      </c>
      <c r="H21166" t="s">
        <v>47054</v>
      </c>
      <c r="I21166" t="s">
        <v>47154</v>
      </c>
      <c r="J21166" t="s">
        <v>47155</v>
      </c>
      <c r="K21166" t="s">
        <v>47113</v>
      </c>
      <c r="L21166">
        <v>7.42</v>
      </c>
      <c r="M21166">
        <v>26</v>
      </c>
      <c r="N21166">
        <v>0</v>
      </c>
      <c r="O21166">
        <v>26</v>
      </c>
      <c r="P21166">
        <v>0</v>
      </c>
    </row>
    <row r="21167" spans="1:16" x14ac:dyDescent="0.25">
      <c r="A21167" t="s">
        <v>43987</v>
      </c>
      <c r="B21167" t="s">
        <v>22140</v>
      </c>
      <c r="C21167" t="s">
        <v>22141</v>
      </c>
      <c r="D21167" t="str">
        <f>"1700"</f>
        <v>1700</v>
      </c>
      <c r="E21167" t="s">
        <v>60</v>
      </c>
      <c r="F21167" t="s">
        <v>3750</v>
      </c>
      <c r="G21167" t="s">
        <v>47092</v>
      </c>
      <c r="H21167" t="s">
        <v>47054</v>
      </c>
      <c r="I21167" t="s">
        <v>47154</v>
      </c>
      <c r="J21167" t="s">
        <v>47155</v>
      </c>
      <c r="K21167" t="s">
        <v>47113</v>
      </c>
      <c r="L21167">
        <v>7.75</v>
      </c>
      <c r="M21167">
        <v>28</v>
      </c>
      <c r="N21167">
        <v>0</v>
      </c>
      <c r="O21167">
        <v>28</v>
      </c>
      <c r="P21167">
        <v>0</v>
      </c>
    </row>
    <row r="21168" spans="1:16" x14ac:dyDescent="0.25">
      <c r="A21168" t="s">
        <v>43988</v>
      </c>
      <c r="B21168" t="s">
        <v>22140</v>
      </c>
      <c r="C21168" t="s">
        <v>22141</v>
      </c>
      <c r="D21168" t="str">
        <f>"4100"</f>
        <v>4100</v>
      </c>
      <c r="E21168" t="s">
        <v>17644</v>
      </c>
      <c r="F21168" t="s">
        <v>3750</v>
      </c>
      <c r="G21168" t="s">
        <v>47092</v>
      </c>
      <c r="H21168" t="s">
        <v>47054</v>
      </c>
      <c r="I21168" t="s">
        <v>47154</v>
      </c>
      <c r="J21168" t="s">
        <v>47155</v>
      </c>
      <c r="K21168" t="s">
        <v>47113</v>
      </c>
      <c r="L21168">
        <v>7.75</v>
      </c>
      <c r="M21168">
        <v>28</v>
      </c>
      <c r="N21168">
        <v>0</v>
      </c>
      <c r="O21168">
        <v>28</v>
      </c>
      <c r="P21168">
        <v>0</v>
      </c>
    </row>
    <row r="21169" spans="1:16" x14ac:dyDescent="0.25">
      <c r="A21169" t="s">
        <v>43989</v>
      </c>
      <c r="B21169" t="s">
        <v>12780</v>
      </c>
      <c r="C21169" t="s">
        <v>12781</v>
      </c>
      <c r="D21169" t="str">
        <f>"15"</f>
        <v>15</v>
      </c>
      <c r="E21169" t="s">
        <v>878</v>
      </c>
      <c r="F21169" t="s">
        <v>2</v>
      </c>
      <c r="G21169" t="s">
        <v>47093</v>
      </c>
      <c r="H21169" t="s">
        <v>47054</v>
      </c>
      <c r="I21169" t="s">
        <v>47111</v>
      </c>
      <c r="J21169" t="s">
        <v>47112</v>
      </c>
      <c r="K21169" t="s">
        <v>47113</v>
      </c>
      <c r="L21169">
        <v>36.76</v>
      </c>
      <c r="M21169">
        <v>85</v>
      </c>
      <c r="N21169">
        <v>0</v>
      </c>
      <c r="O21169">
        <v>85</v>
      </c>
      <c r="P21169">
        <v>0</v>
      </c>
    </row>
    <row r="21170" spans="1:16" x14ac:dyDescent="0.25">
      <c r="A21170" t="s">
        <v>43990</v>
      </c>
      <c r="B21170" t="s">
        <v>12780</v>
      </c>
      <c r="C21170" t="s">
        <v>12781</v>
      </c>
      <c r="D21170" t="s">
        <v>27</v>
      </c>
      <c r="E21170" t="s">
        <v>622</v>
      </c>
      <c r="F21170" t="s">
        <v>6</v>
      </c>
      <c r="G21170" t="s">
        <v>47093</v>
      </c>
      <c r="H21170" t="s">
        <v>47054</v>
      </c>
      <c r="I21170" t="s">
        <v>47111</v>
      </c>
      <c r="J21170" t="s">
        <v>47112</v>
      </c>
      <c r="K21170" t="s">
        <v>47113</v>
      </c>
      <c r="L21170">
        <v>35.85</v>
      </c>
      <c r="M21170">
        <v>85</v>
      </c>
      <c r="N21170">
        <v>0</v>
      </c>
      <c r="O21170">
        <v>85</v>
      </c>
      <c r="P21170">
        <v>0</v>
      </c>
    </row>
    <row r="21171" spans="1:16" x14ac:dyDescent="0.25">
      <c r="A21171" t="s">
        <v>43991</v>
      </c>
      <c r="B21171" t="s">
        <v>12780</v>
      </c>
      <c r="C21171" t="s">
        <v>12781</v>
      </c>
      <c r="D21171" t="s">
        <v>890</v>
      </c>
      <c r="E21171" t="s">
        <v>891</v>
      </c>
      <c r="F21171" t="s">
        <v>2</v>
      </c>
      <c r="G21171" t="s">
        <v>47093</v>
      </c>
      <c r="H21171" t="s">
        <v>47054</v>
      </c>
      <c r="I21171" t="s">
        <v>47111</v>
      </c>
      <c r="J21171" t="s">
        <v>47112</v>
      </c>
      <c r="K21171" t="s">
        <v>47113</v>
      </c>
      <c r="L21171">
        <v>41.56</v>
      </c>
      <c r="M21171">
        <v>85</v>
      </c>
      <c r="N21171">
        <v>0</v>
      </c>
      <c r="O21171">
        <v>85</v>
      </c>
      <c r="P21171">
        <v>0</v>
      </c>
    </row>
    <row r="21172" spans="1:16" x14ac:dyDescent="0.25">
      <c r="A21172" t="s">
        <v>43992</v>
      </c>
      <c r="B21172" t="s">
        <v>12780</v>
      </c>
      <c r="C21172" t="s">
        <v>12781</v>
      </c>
      <c r="D21172" t="s">
        <v>294</v>
      </c>
      <c r="E21172" t="s">
        <v>295</v>
      </c>
      <c r="F21172" t="s">
        <v>6</v>
      </c>
      <c r="G21172" t="s">
        <v>47093</v>
      </c>
      <c r="H21172" t="s">
        <v>47054</v>
      </c>
      <c r="I21172" t="s">
        <v>47111</v>
      </c>
      <c r="J21172" t="s">
        <v>47112</v>
      </c>
      <c r="K21172" t="s">
        <v>47113</v>
      </c>
      <c r="L21172">
        <v>40.4</v>
      </c>
      <c r="M21172">
        <v>85</v>
      </c>
      <c r="N21172">
        <v>0</v>
      </c>
      <c r="O21172">
        <v>85</v>
      </c>
      <c r="P21172">
        <v>0</v>
      </c>
    </row>
    <row r="21173" spans="1:16" x14ac:dyDescent="0.25">
      <c r="A21173" t="s">
        <v>43993</v>
      </c>
      <c r="B21173" t="s">
        <v>12780</v>
      </c>
      <c r="C21173" t="s">
        <v>12781</v>
      </c>
      <c r="D21173" t="s">
        <v>1743</v>
      </c>
      <c r="E21173" t="s">
        <v>1744</v>
      </c>
      <c r="F21173" t="s">
        <v>6</v>
      </c>
      <c r="G21173" t="s">
        <v>47093</v>
      </c>
      <c r="H21173" t="s">
        <v>47054</v>
      </c>
      <c r="I21173" t="s">
        <v>47111</v>
      </c>
      <c r="J21173" t="s">
        <v>47112</v>
      </c>
      <c r="K21173" t="s">
        <v>47113</v>
      </c>
      <c r="L21173">
        <v>37.99</v>
      </c>
      <c r="M21173">
        <v>85</v>
      </c>
      <c r="N21173">
        <v>0</v>
      </c>
      <c r="O21173">
        <v>85</v>
      </c>
      <c r="P21173">
        <v>0</v>
      </c>
    </row>
    <row r="21174" spans="1:16" x14ac:dyDescent="0.25">
      <c r="A21174" t="s">
        <v>43994</v>
      </c>
      <c r="B21174" t="s">
        <v>12780</v>
      </c>
      <c r="C21174" t="s">
        <v>12781</v>
      </c>
      <c r="D21174" t="s">
        <v>892</v>
      </c>
      <c r="E21174" t="s">
        <v>893</v>
      </c>
      <c r="F21174" t="s">
        <v>2</v>
      </c>
      <c r="G21174" t="s">
        <v>47093</v>
      </c>
      <c r="H21174" t="s">
        <v>47054</v>
      </c>
      <c r="I21174" t="s">
        <v>47111</v>
      </c>
      <c r="J21174" t="s">
        <v>47112</v>
      </c>
      <c r="K21174" t="s">
        <v>47113</v>
      </c>
      <c r="L21174">
        <v>36.76</v>
      </c>
      <c r="M21174">
        <v>85</v>
      </c>
      <c r="N21174">
        <v>0</v>
      </c>
      <c r="O21174">
        <v>85</v>
      </c>
      <c r="P21174">
        <v>0</v>
      </c>
    </row>
    <row r="21175" spans="1:16" x14ac:dyDescent="0.25">
      <c r="A21175" t="s">
        <v>43995</v>
      </c>
      <c r="B21175" t="s">
        <v>12780</v>
      </c>
      <c r="C21175" t="s">
        <v>12781</v>
      </c>
      <c r="D21175" t="s">
        <v>4877</v>
      </c>
      <c r="E21175" t="s">
        <v>4878</v>
      </c>
      <c r="F21175" t="s">
        <v>6</v>
      </c>
      <c r="G21175" t="s">
        <v>47093</v>
      </c>
      <c r="H21175" t="s">
        <v>47054</v>
      </c>
      <c r="I21175" t="s">
        <v>47111</v>
      </c>
      <c r="J21175" t="s">
        <v>47112</v>
      </c>
      <c r="K21175" t="s">
        <v>47113</v>
      </c>
      <c r="L21175">
        <v>42.8</v>
      </c>
      <c r="M21175">
        <v>85</v>
      </c>
      <c r="N21175">
        <v>0</v>
      </c>
      <c r="O21175">
        <v>85</v>
      </c>
      <c r="P21175">
        <v>0</v>
      </c>
    </row>
    <row r="21176" spans="1:16" x14ac:dyDescent="0.25">
      <c r="A21176" t="s">
        <v>43996</v>
      </c>
      <c r="B21176" t="s">
        <v>12782</v>
      </c>
      <c r="C21176" t="s">
        <v>919</v>
      </c>
      <c r="D21176" t="str">
        <f>"08"</f>
        <v>08</v>
      </c>
      <c r="E21176" t="s">
        <v>882</v>
      </c>
      <c r="F21176" t="s">
        <v>2</v>
      </c>
      <c r="G21176" t="s">
        <v>47093</v>
      </c>
      <c r="H21176" t="s">
        <v>47054</v>
      </c>
      <c r="I21176" t="s">
        <v>47111</v>
      </c>
      <c r="J21176" t="s">
        <v>47112</v>
      </c>
      <c r="K21176" t="s">
        <v>47113</v>
      </c>
      <c r="L21176">
        <v>28.59</v>
      </c>
      <c r="M21176">
        <v>85</v>
      </c>
      <c r="N21176">
        <v>0</v>
      </c>
      <c r="O21176">
        <v>85</v>
      </c>
      <c r="P21176">
        <v>0</v>
      </c>
    </row>
    <row r="21177" spans="1:16" x14ac:dyDescent="0.25">
      <c r="A21177" t="s">
        <v>43997</v>
      </c>
      <c r="B21177" t="s">
        <v>12782</v>
      </c>
      <c r="C21177" t="s">
        <v>919</v>
      </c>
      <c r="D21177" t="str">
        <f>"15"</f>
        <v>15</v>
      </c>
      <c r="E21177" t="s">
        <v>878</v>
      </c>
      <c r="F21177" t="s">
        <v>2</v>
      </c>
      <c r="G21177" t="s">
        <v>47093</v>
      </c>
      <c r="H21177" t="s">
        <v>47054</v>
      </c>
      <c r="I21177" t="s">
        <v>47111</v>
      </c>
      <c r="J21177" t="s">
        <v>47112</v>
      </c>
      <c r="K21177" t="s">
        <v>47113</v>
      </c>
      <c r="L21177">
        <v>36.76</v>
      </c>
      <c r="M21177">
        <v>85</v>
      </c>
      <c r="N21177">
        <v>0</v>
      </c>
      <c r="O21177">
        <v>85</v>
      </c>
      <c r="P21177">
        <v>0</v>
      </c>
    </row>
    <row r="21178" spans="1:16" x14ac:dyDescent="0.25">
      <c r="A21178" t="s">
        <v>43998</v>
      </c>
      <c r="B21178" t="s">
        <v>12782</v>
      </c>
      <c r="C21178" t="s">
        <v>919</v>
      </c>
      <c r="D21178" t="s">
        <v>27</v>
      </c>
      <c r="E21178" t="s">
        <v>622</v>
      </c>
      <c r="F21178" t="s">
        <v>6</v>
      </c>
      <c r="G21178" t="s">
        <v>47093</v>
      </c>
      <c r="H21178" t="s">
        <v>47054</v>
      </c>
      <c r="I21178" t="s">
        <v>47111</v>
      </c>
      <c r="J21178" t="s">
        <v>47112</v>
      </c>
      <c r="K21178" t="s">
        <v>47113</v>
      </c>
      <c r="L21178">
        <v>35.85</v>
      </c>
      <c r="M21178">
        <v>85</v>
      </c>
      <c r="N21178">
        <v>0</v>
      </c>
      <c r="O21178">
        <v>85</v>
      </c>
      <c r="P21178">
        <v>0</v>
      </c>
    </row>
    <row r="21179" spans="1:16" x14ac:dyDescent="0.25">
      <c r="A21179" t="s">
        <v>43999</v>
      </c>
      <c r="B21179" t="s">
        <v>12782</v>
      </c>
      <c r="C21179" t="s">
        <v>919</v>
      </c>
      <c r="D21179" t="s">
        <v>890</v>
      </c>
      <c r="E21179" t="s">
        <v>891</v>
      </c>
      <c r="F21179" t="s">
        <v>2</v>
      </c>
      <c r="G21179" t="s">
        <v>47093</v>
      </c>
      <c r="H21179" t="s">
        <v>47054</v>
      </c>
      <c r="I21179" t="s">
        <v>47111</v>
      </c>
      <c r="J21179" t="s">
        <v>47112</v>
      </c>
      <c r="K21179" t="s">
        <v>47113</v>
      </c>
      <c r="L21179">
        <v>41.56</v>
      </c>
      <c r="M21179">
        <v>85</v>
      </c>
      <c r="N21179">
        <v>0</v>
      </c>
      <c r="O21179">
        <v>85</v>
      </c>
      <c r="P21179">
        <v>0</v>
      </c>
    </row>
    <row r="21180" spans="1:16" x14ac:dyDescent="0.25">
      <c r="A21180" t="s">
        <v>44000</v>
      </c>
      <c r="B21180" t="s">
        <v>12782</v>
      </c>
      <c r="C21180" t="s">
        <v>919</v>
      </c>
      <c r="D21180" t="s">
        <v>294</v>
      </c>
      <c r="E21180" t="s">
        <v>295</v>
      </c>
      <c r="F21180" t="s">
        <v>6</v>
      </c>
      <c r="G21180" t="s">
        <v>47093</v>
      </c>
      <c r="H21180" t="s">
        <v>47054</v>
      </c>
      <c r="I21180" t="s">
        <v>47111</v>
      </c>
      <c r="J21180" t="s">
        <v>47112</v>
      </c>
      <c r="K21180" t="s">
        <v>47113</v>
      </c>
      <c r="L21180">
        <v>40.4</v>
      </c>
      <c r="M21180">
        <v>85</v>
      </c>
      <c r="N21180">
        <v>0</v>
      </c>
      <c r="O21180">
        <v>85</v>
      </c>
      <c r="P21180">
        <v>0</v>
      </c>
    </row>
    <row r="21181" spans="1:16" x14ac:dyDescent="0.25">
      <c r="A21181" t="s">
        <v>44001</v>
      </c>
      <c r="B21181" t="s">
        <v>12782</v>
      </c>
      <c r="C21181" t="s">
        <v>919</v>
      </c>
      <c r="D21181" t="s">
        <v>1743</v>
      </c>
      <c r="E21181" t="s">
        <v>1744</v>
      </c>
      <c r="F21181" t="s">
        <v>6</v>
      </c>
      <c r="G21181" t="s">
        <v>47093</v>
      </c>
      <c r="H21181" t="s">
        <v>47054</v>
      </c>
      <c r="I21181" t="s">
        <v>47111</v>
      </c>
      <c r="J21181" t="s">
        <v>47112</v>
      </c>
      <c r="K21181" t="s">
        <v>47113</v>
      </c>
      <c r="L21181">
        <v>37.99</v>
      </c>
      <c r="M21181">
        <v>85</v>
      </c>
      <c r="N21181">
        <v>0</v>
      </c>
      <c r="O21181">
        <v>85</v>
      </c>
      <c r="P21181">
        <v>0</v>
      </c>
    </row>
    <row r="21182" spans="1:16" x14ac:dyDescent="0.25">
      <c r="A21182" t="s">
        <v>44002</v>
      </c>
      <c r="B21182" t="s">
        <v>12782</v>
      </c>
      <c r="C21182" t="s">
        <v>919</v>
      </c>
      <c r="D21182" t="s">
        <v>892</v>
      </c>
      <c r="E21182" t="s">
        <v>893</v>
      </c>
      <c r="F21182" t="s">
        <v>2</v>
      </c>
      <c r="G21182" t="s">
        <v>47093</v>
      </c>
      <c r="H21182" t="s">
        <v>47054</v>
      </c>
      <c r="I21182" t="s">
        <v>47111</v>
      </c>
      <c r="J21182" t="s">
        <v>47112</v>
      </c>
      <c r="K21182" t="s">
        <v>47113</v>
      </c>
      <c r="L21182">
        <v>36.76</v>
      </c>
      <c r="M21182">
        <v>80</v>
      </c>
      <c r="N21182">
        <v>0</v>
      </c>
      <c r="O21182">
        <v>80</v>
      </c>
      <c r="P21182">
        <v>0</v>
      </c>
    </row>
    <row r="21183" spans="1:16" x14ac:dyDescent="0.25">
      <c r="A21183" t="s">
        <v>44003</v>
      </c>
      <c r="B21183" t="s">
        <v>12782</v>
      </c>
      <c r="C21183" t="s">
        <v>919</v>
      </c>
      <c r="D21183" t="s">
        <v>4877</v>
      </c>
      <c r="E21183" t="s">
        <v>4878</v>
      </c>
      <c r="F21183" t="s">
        <v>6</v>
      </c>
      <c r="G21183" t="s">
        <v>47093</v>
      </c>
      <c r="H21183" t="s">
        <v>47054</v>
      </c>
      <c r="I21183" t="s">
        <v>47111</v>
      </c>
      <c r="J21183" t="s">
        <v>47112</v>
      </c>
      <c r="K21183" t="s">
        <v>47113</v>
      </c>
      <c r="L21183">
        <v>42.8</v>
      </c>
      <c r="M21183">
        <v>85</v>
      </c>
      <c r="N21183">
        <v>0</v>
      </c>
      <c r="O21183">
        <v>85</v>
      </c>
      <c r="P21183">
        <v>0</v>
      </c>
    </row>
    <row r="21184" spans="1:16" x14ac:dyDescent="0.25">
      <c r="A21184" t="s">
        <v>44004</v>
      </c>
      <c r="B21184" t="s">
        <v>876</v>
      </c>
      <c r="C21184" t="s">
        <v>877</v>
      </c>
      <c r="D21184" t="str">
        <f>"08"</f>
        <v>08</v>
      </c>
      <c r="E21184" t="s">
        <v>882</v>
      </c>
      <c r="F21184" t="s">
        <v>2</v>
      </c>
      <c r="G21184" t="s">
        <v>47093</v>
      </c>
      <c r="H21184" t="s">
        <v>47054</v>
      </c>
      <c r="I21184" t="s">
        <v>47111</v>
      </c>
      <c r="J21184" t="s">
        <v>47112</v>
      </c>
      <c r="K21184" t="s">
        <v>47113</v>
      </c>
      <c r="L21184">
        <v>29.86</v>
      </c>
      <c r="M21184">
        <v>85</v>
      </c>
      <c r="N21184">
        <v>0</v>
      </c>
      <c r="O21184">
        <v>85</v>
      </c>
      <c r="P21184">
        <v>0</v>
      </c>
    </row>
    <row r="21185" spans="1:16" x14ac:dyDescent="0.25">
      <c r="A21185" t="s">
        <v>875</v>
      </c>
      <c r="B21185" t="s">
        <v>876</v>
      </c>
      <c r="C21185" t="s">
        <v>877</v>
      </c>
      <c r="D21185" t="str">
        <f>"15"</f>
        <v>15</v>
      </c>
      <c r="E21185" t="s">
        <v>878</v>
      </c>
      <c r="F21185" t="s">
        <v>2</v>
      </c>
      <c r="G21185" t="s">
        <v>47093</v>
      </c>
      <c r="H21185" t="s">
        <v>47054</v>
      </c>
      <c r="I21185" t="s">
        <v>47111</v>
      </c>
      <c r="J21185" t="s">
        <v>47112</v>
      </c>
      <c r="K21185" t="s">
        <v>47113</v>
      </c>
      <c r="L21185">
        <v>37.049999999999997</v>
      </c>
      <c r="M21185">
        <v>84</v>
      </c>
      <c r="N21185">
        <v>0</v>
      </c>
      <c r="O21185">
        <v>84</v>
      </c>
      <c r="P21185">
        <v>0</v>
      </c>
    </row>
    <row r="21186" spans="1:16" x14ac:dyDescent="0.25">
      <c r="A21186" t="s">
        <v>44005</v>
      </c>
      <c r="B21186" t="s">
        <v>876</v>
      </c>
      <c r="C21186" t="s">
        <v>877</v>
      </c>
      <c r="D21186" t="s">
        <v>27</v>
      </c>
      <c r="E21186" t="s">
        <v>622</v>
      </c>
      <c r="F21186" t="s">
        <v>6</v>
      </c>
      <c r="G21186" t="s">
        <v>47093</v>
      </c>
      <c r="H21186" t="s">
        <v>47054</v>
      </c>
      <c r="I21186" t="s">
        <v>47111</v>
      </c>
      <c r="J21186" t="s">
        <v>47112</v>
      </c>
      <c r="K21186" t="s">
        <v>47113</v>
      </c>
      <c r="L21186">
        <v>36.29</v>
      </c>
      <c r="M21186">
        <v>85</v>
      </c>
      <c r="N21186">
        <v>0</v>
      </c>
      <c r="O21186">
        <v>85</v>
      </c>
      <c r="P21186">
        <v>0</v>
      </c>
    </row>
    <row r="21187" spans="1:16" x14ac:dyDescent="0.25">
      <c r="A21187" t="s">
        <v>44006</v>
      </c>
      <c r="B21187" t="s">
        <v>876</v>
      </c>
      <c r="C21187" t="s">
        <v>877</v>
      </c>
      <c r="D21187" t="s">
        <v>890</v>
      </c>
      <c r="E21187" t="s">
        <v>891</v>
      </c>
      <c r="F21187" t="s">
        <v>2</v>
      </c>
      <c r="G21187" t="s">
        <v>47093</v>
      </c>
      <c r="H21187" t="s">
        <v>47054</v>
      </c>
      <c r="I21187" t="s">
        <v>47111</v>
      </c>
      <c r="J21187" t="s">
        <v>47112</v>
      </c>
      <c r="K21187" t="s">
        <v>47113</v>
      </c>
      <c r="L21187">
        <v>41.56</v>
      </c>
      <c r="M21187">
        <v>85</v>
      </c>
      <c r="N21187">
        <v>0</v>
      </c>
      <c r="O21187">
        <v>85</v>
      </c>
      <c r="P21187">
        <v>0</v>
      </c>
    </row>
    <row r="21188" spans="1:16" x14ac:dyDescent="0.25">
      <c r="A21188" t="s">
        <v>44007</v>
      </c>
      <c r="B21188" t="s">
        <v>876</v>
      </c>
      <c r="C21188" t="s">
        <v>877</v>
      </c>
      <c r="D21188" t="s">
        <v>294</v>
      </c>
      <c r="E21188" t="s">
        <v>295</v>
      </c>
      <c r="F21188" t="s">
        <v>6</v>
      </c>
      <c r="G21188" t="s">
        <v>47093</v>
      </c>
      <c r="H21188" t="s">
        <v>47054</v>
      </c>
      <c r="I21188" t="s">
        <v>47111</v>
      </c>
      <c r="J21188" t="s">
        <v>47112</v>
      </c>
      <c r="K21188" t="s">
        <v>47113</v>
      </c>
      <c r="L21188">
        <v>40.81</v>
      </c>
      <c r="M21188">
        <v>85</v>
      </c>
      <c r="N21188">
        <v>0</v>
      </c>
      <c r="O21188">
        <v>85</v>
      </c>
      <c r="P21188">
        <v>0</v>
      </c>
    </row>
    <row r="21189" spans="1:16" x14ac:dyDescent="0.25">
      <c r="A21189" t="s">
        <v>44008</v>
      </c>
      <c r="B21189" t="s">
        <v>876</v>
      </c>
      <c r="C21189" t="s">
        <v>877</v>
      </c>
      <c r="D21189" t="s">
        <v>1743</v>
      </c>
      <c r="E21189" t="s">
        <v>1744</v>
      </c>
      <c r="F21189" t="s">
        <v>6</v>
      </c>
      <c r="G21189" t="s">
        <v>47093</v>
      </c>
      <c r="H21189" t="s">
        <v>47054</v>
      </c>
      <c r="I21189" t="s">
        <v>47111</v>
      </c>
      <c r="J21189" t="s">
        <v>47112</v>
      </c>
      <c r="K21189" t="s">
        <v>47113</v>
      </c>
      <c r="L21189">
        <v>38.42</v>
      </c>
      <c r="M21189">
        <v>85</v>
      </c>
      <c r="N21189">
        <v>0</v>
      </c>
      <c r="O21189">
        <v>85</v>
      </c>
      <c r="P21189">
        <v>0</v>
      </c>
    </row>
    <row r="21190" spans="1:16" x14ac:dyDescent="0.25">
      <c r="A21190" t="s">
        <v>44009</v>
      </c>
      <c r="B21190" t="s">
        <v>876</v>
      </c>
      <c r="C21190" t="s">
        <v>877</v>
      </c>
      <c r="D21190" t="s">
        <v>892</v>
      </c>
      <c r="E21190" t="s">
        <v>893</v>
      </c>
      <c r="F21190" t="s">
        <v>2</v>
      </c>
      <c r="G21190" t="s">
        <v>47093</v>
      </c>
      <c r="H21190" t="s">
        <v>47054</v>
      </c>
      <c r="I21190" t="s">
        <v>47111</v>
      </c>
      <c r="J21190" t="s">
        <v>47112</v>
      </c>
      <c r="K21190" t="s">
        <v>47113</v>
      </c>
      <c r="L21190">
        <v>36.76</v>
      </c>
      <c r="M21190">
        <v>85</v>
      </c>
      <c r="N21190">
        <v>0</v>
      </c>
      <c r="O21190">
        <v>85</v>
      </c>
      <c r="P21190">
        <v>0</v>
      </c>
    </row>
    <row r="21191" spans="1:16" x14ac:dyDescent="0.25">
      <c r="A21191" t="s">
        <v>44010</v>
      </c>
      <c r="B21191" t="s">
        <v>876</v>
      </c>
      <c r="C21191" t="s">
        <v>877</v>
      </c>
      <c r="D21191" t="s">
        <v>4877</v>
      </c>
      <c r="E21191" t="s">
        <v>4878</v>
      </c>
      <c r="F21191" t="s">
        <v>6</v>
      </c>
      <c r="G21191" t="s">
        <v>47093</v>
      </c>
      <c r="H21191" t="s">
        <v>47054</v>
      </c>
      <c r="I21191" t="s">
        <v>47111</v>
      </c>
      <c r="J21191" t="s">
        <v>47112</v>
      </c>
      <c r="K21191" t="s">
        <v>47113</v>
      </c>
      <c r="L21191">
        <v>43.19</v>
      </c>
      <c r="M21191">
        <v>85</v>
      </c>
      <c r="N21191">
        <v>0</v>
      </c>
      <c r="O21191">
        <v>85</v>
      </c>
      <c r="P21191">
        <v>0</v>
      </c>
    </row>
    <row r="21192" spans="1:16" x14ac:dyDescent="0.25">
      <c r="A21192" t="s">
        <v>44011</v>
      </c>
      <c r="B21192" t="s">
        <v>12783</v>
      </c>
      <c r="C21192" t="s">
        <v>12784</v>
      </c>
      <c r="D21192" t="str">
        <f>"08"</f>
        <v>08</v>
      </c>
      <c r="E21192" t="s">
        <v>882</v>
      </c>
      <c r="F21192" t="s">
        <v>2</v>
      </c>
      <c r="G21192" t="s">
        <v>47093</v>
      </c>
      <c r="H21192" t="s">
        <v>47054</v>
      </c>
      <c r="I21192" t="s">
        <v>47111</v>
      </c>
      <c r="J21192" t="s">
        <v>47112</v>
      </c>
      <c r="K21192" t="s">
        <v>47113</v>
      </c>
      <c r="L21192">
        <v>29.86</v>
      </c>
      <c r="M21192">
        <v>85</v>
      </c>
      <c r="N21192">
        <v>0</v>
      </c>
      <c r="O21192">
        <v>85</v>
      </c>
      <c r="P21192">
        <v>0</v>
      </c>
    </row>
    <row r="21193" spans="1:16" x14ac:dyDescent="0.25">
      <c r="A21193" t="s">
        <v>44012</v>
      </c>
      <c r="B21193" t="s">
        <v>12783</v>
      </c>
      <c r="C21193" t="s">
        <v>12784</v>
      </c>
      <c r="D21193" t="str">
        <f>"15"</f>
        <v>15</v>
      </c>
      <c r="E21193" t="s">
        <v>878</v>
      </c>
      <c r="F21193" t="s">
        <v>2</v>
      </c>
      <c r="G21193" t="s">
        <v>47093</v>
      </c>
      <c r="H21193" t="s">
        <v>47054</v>
      </c>
      <c r="I21193" t="s">
        <v>47111</v>
      </c>
      <c r="J21193" t="s">
        <v>47112</v>
      </c>
      <c r="K21193" t="s">
        <v>47113</v>
      </c>
      <c r="L21193">
        <v>36.47</v>
      </c>
      <c r="M21193">
        <v>85</v>
      </c>
      <c r="N21193">
        <v>0</v>
      </c>
      <c r="O21193">
        <v>85</v>
      </c>
      <c r="P21193">
        <v>0</v>
      </c>
    </row>
    <row r="21194" spans="1:16" x14ac:dyDescent="0.25">
      <c r="A21194" t="s">
        <v>44013</v>
      </c>
      <c r="B21194" t="s">
        <v>12783</v>
      </c>
      <c r="C21194" t="s">
        <v>12784</v>
      </c>
      <c r="D21194" t="s">
        <v>27</v>
      </c>
      <c r="E21194" t="s">
        <v>622</v>
      </c>
      <c r="F21194" t="s">
        <v>6</v>
      </c>
      <c r="G21194" t="s">
        <v>47093</v>
      </c>
      <c r="H21194" t="s">
        <v>47054</v>
      </c>
      <c r="I21194" t="s">
        <v>47111</v>
      </c>
      <c r="J21194" t="s">
        <v>47112</v>
      </c>
      <c r="K21194" t="s">
        <v>47113</v>
      </c>
      <c r="L21194">
        <v>36.46</v>
      </c>
      <c r="M21194">
        <v>85</v>
      </c>
      <c r="N21194">
        <v>0</v>
      </c>
      <c r="O21194">
        <v>85</v>
      </c>
      <c r="P21194">
        <v>0</v>
      </c>
    </row>
    <row r="21195" spans="1:16" x14ac:dyDescent="0.25">
      <c r="A21195" t="s">
        <v>44014</v>
      </c>
      <c r="B21195" t="s">
        <v>12783</v>
      </c>
      <c r="C21195" t="s">
        <v>12784</v>
      </c>
      <c r="D21195" t="s">
        <v>890</v>
      </c>
      <c r="E21195" t="s">
        <v>891</v>
      </c>
      <c r="F21195" t="s">
        <v>2</v>
      </c>
      <c r="G21195" t="s">
        <v>47093</v>
      </c>
      <c r="H21195" t="s">
        <v>47054</v>
      </c>
      <c r="I21195" t="s">
        <v>47111</v>
      </c>
      <c r="J21195" t="s">
        <v>47112</v>
      </c>
      <c r="K21195" t="s">
        <v>47113</v>
      </c>
      <c r="L21195">
        <v>41.56</v>
      </c>
      <c r="M21195">
        <v>85</v>
      </c>
      <c r="N21195">
        <v>0</v>
      </c>
      <c r="O21195">
        <v>85</v>
      </c>
      <c r="P21195">
        <v>0</v>
      </c>
    </row>
    <row r="21196" spans="1:16" x14ac:dyDescent="0.25">
      <c r="A21196" t="s">
        <v>44015</v>
      </c>
      <c r="B21196" t="s">
        <v>12783</v>
      </c>
      <c r="C21196" t="s">
        <v>12784</v>
      </c>
      <c r="D21196" t="s">
        <v>294</v>
      </c>
      <c r="E21196" t="s">
        <v>295</v>
      </c>
      <c r="F21196" t="s">
        <v>6</v>
      </c>
      <c r="G21196" t="s">
        <v>47093</v>
      </c>
      <c r="H21196" t="s">
        <v>47054</v>
      </c>
      <c r="I21196" t="s">
        <v>47111</v>
      </c>
      <c r="J21196" t="s">
        <v>47112</v>
      </c>
      <c r="K21196" t="s">
        <v>47113</v>
      </c>
      <c r="L21196">
        <v>40.98</v>
      </c>
      <c r="M21196">
        <v>85</v>
      </c>
      <c r="N21196">
        <v>0</v>
      </c>
      <c r="O21196">
        <v>85</v>
      </c>
      <c r="P21196">
        <v>0</v>
      </c>
    </row>
    <row r="21197" spans="1:16" x14ac:dyDescent="0.25">
      <c r="A21197" t="s">
        <v>44016</v>
      </c>
      <c r="B21197" t="s">
        <v>12783</v>
      </c>
      <c r="C21197" t="s">
        <v>12784</v>
      </c>
      <c r="D21197" t="s">
        <v>1743</v>
      </c>
      <c r="E21197" t="s">
        <v>1744</v>
      </c>
      <c r="F21197" t="s">
        <v>6</v>
      </c>
      <c r="G21197" t="s">
        <v>47093</v>
      </c>
      <c r="H21197" t="s">
        <v>47054</v>
      </c>
      <c r="I21197" t="s">
        <v>47111</v>
      </c>
      <c r="J21197" t="s">
        <v>47112</v>
      </c>
      <c r="K21197" t="s">
        <v>47113</v>
      </c>
      <c r="L21197">
        <v>38.58</v>
      </c>
      <c r="M21197">
        <v>85</v>
      </c>
      <c r="N21197">
        <v>0</v>
      </c>
      <c r="O21197">
        <v>85</v>
      </c>
      <c r="P21197">
        <v>0</v>
      </c>
    </row>
    <row r="21198" spans="1:16" x14ac:dyDescent="0.25">
      <c r="A21198" t="s">
        <v>44017</v>
      </c>
      <c r="B21198" t="s">
        <v>12783</v>
      </c>
      <c r="C21198" t="s">
        <v>12784</v>
      </c>
      <c r="D21198" t="s">
        <v>892</v>
      </c>
      <c r="E21198" t="s">
        <v>893</v>
      </c>
      <c r="F21198" t="s">
        <v>2</v>
      </c>
      <c r="G21198" t="s">
        <v>47093</v>
      </c>
      <c r="H21198" t="s">
        <v>47054</v>
      </c>
      <c r="I21198" t="s">
        <v>47111</v>
      </c>
      <c r="J21198" t="s">
        <v>47112</v>
      </c>
      <c r="K21198" t="s">
        <v>47113</v>
      </c>
      <c r="L21198">
        <v>36.76</v>
      </c>
      <c r="M21198">
        <v>85</v>
      </c>
      <c r="N21198">
        <v>0</v>
      </c>
      <c r="O21198">
        <v>85</v>
      </c>
      <c r="P21198">
        <v>0</v>
      </c>
    </row>
    <row r="21199" spans="1:16" x14ac:dyDescent="0.25">
      <c r="A21199" t="s">
        <v>44018</v>
      </c>
      <c r="B21199" t="s">
        <v>12783</v>
      </c>
      <c r="C21199" t="s">
        <v>12784</v>
      </c>
      <c r="D21199" t="s">
        <v>4877</v>
      </c>
      <c r="E21199" t="s">
        <v>4878</v>
      </c>
      <c r="F21199" t="s">
        <v>6</v>
      </c>
      <c r="G21199" t="s">
        <v>47093</v>
      </c>
      <c r="H21199" t="s">
        <v>47054</v>
      </c>
      <c r="I21199" t="s">
        <v>47111</v>
      </c>
      <c r="J21199" t="s">
        <v>47112</v>
      </c>
      <c r="K21199" t="s">
        <v>47113</v>
      </c>
      <c r="L21199">
        <v>43.37</v>
      </c>
      <c r="M21199">
        <v>85</v>
      </c>
      <c r="N21199">
        <v>0</v>
      </c>
      <c r="O21199">
        <v>85</v>
      </c>
      <c r="P21199">
        <v>0</v>
      </c>
    </row>
    <row r="21200" spans="1:16" x14ac:dyDescent="0.25">
      <c r="A21200" t="s">
        <v>44019</v>
      </c>
      <c r="B21200" t="s">
        <v>12785</v>
      </c>
      <c r="C21200" t="s">
        <v>12786</v>
      </c>
      <c r="D21200" t="s">
        <v>12787</v>
      </c>
      <c r="E21200" t="s">
        <v>12788</v>
      </c>
      <c r="F21200" t="s">
        <v>0</v>
      </c>
      <c r="G21200" t="s">
        <v>49029</v>
      </c>
      <c r="H21200" t="s">
        <v>47054</v>
      </c>
      <c r="I21200" t="s">
        <v>47111</v>
      </c>
      <c r="J21200" t="s">
        <v>47112</v>
      </c>
      <c r="K21200" t="s">
        <v>47113</v>
      </c>
      <c r="L21200">
        <v>30.33</v>
      </c>
      <c r="M21200">
        <v>65</v>
      </c>
      <c r="N21200">
        <v>0</v>
      </c>
      <c r="O21200">
        <v>65</v>
      </c>
      <c r="P21200">
        <v>0</v>
      </c>
    </row>
    <row r="21201" spans="1:16" x14ac:dyDescent="0.25">
      <c r="A21201" t="s">
        <v>44020</v>
      </c>
      <c r="B21201" t="s">
        <v>12789</v>
      </c>
      <c r="C21201" t="s">
        <v>12790</v>
      </c>
      <c r="D21201" t="s">
        <v>12787</v>
      </c>
      <c r="E21201" t="s">
        <v>12788</v>
      </c>
      <c r="F21201" t="s">
        <v>0</v>
      </c>
      <c r="G21201" t="s">
        <v>47098</v>
      </c>
      <c r="H21201" t="s">
        <v>47054</v>
      </c>
      <c r="I21201" t="s">
        <v>47116</v>
      </c>
      <c r="J21201" t="s">
        <v>47117</v>
      </c>
      <c r="K21201" t="s">
        <v>47113</v>
      </c>
      <c r="L21201">
        <v>42.91</v>
      </c>
      <c r="M21201">
        <v>95</v>
      </c>
      <c r="N21201">
        <v>0</v>
      </c>
      <c r="O21201">
        <v>95</v>
      </c>
      <c r="P21201">
        <v>0</v>
      </c>
    </row>
    <row r="21202" spans="1:16" x14ac:dyDescent="0.25">
      <c r="A21202" t="s">
        <v>879</v>
      </c>
      <c r="B21202" t="s">
        <v>880</v>
      </c>
      <c r="C21202" t="s">
        <v>881</v>
      </c>
      <c r="D21202" t="str">
        <f>"08"</f>
        <v>08</v>
      </c>
      <c r="E21202" t="s">
        <v>882</v>
      </c>
      <c r="F21202" t="s">
        <v>2</v>
      </c>
      <c r="G21202" t="s">
        <v>49029</v>
      </c>
      <c r="H21202" t="s">
        <v>47054</v>
      </c>
      <c r="I21202" t="s">
        <v>47111</v>
      </c>
      <c r="J21202" t="s">
        <v>47112</v>
      </c>
      <c r="K21202" t="s">
        <v>47113</v>
      </c>
      <c r="L21202">
        <v>24.92</v>
      </c>
      <c r="M21202">
        <v>85</v>
      </c>
      <c r="N21202">
        <v>0</v>
      </c>
      <c r="O21202">
        <v>85</v>
      </c>
      <c r="P21202">
        <v>0</v>
      </c>
    </row>
    <row r="21203" spans="1:16" x14ac:dyDescent="0.25">
      <c r="A21203" t="s">
        <v>44021</v>
      </c>
      <c r="B21203" t="s">
        <v>880</v>
      </c>
      <c r="C21203" t="s">
        <v>881</v>
      </c>
      <c r="D21203" t="str">
        <f>"15"</f>
        <v>15</v>
      </c>
      <c r="E21203" t="s">
        <v>878</v>
      </c>
      <c r="F21203" t="s">
        <v>2</v>
      </c>
      <c r="G21203" t="s">
        <v>49029</v>
      </c>
      <c r="H21203" t="s">
        <v>47054</v>
      </c>
      <c r="I21203" t="s">
        <v>47111</v>
      </c>
      <c r="J21203" t="s">
        <v>47112</v>
      </c>
      <c r="K21203" t="s">
        <v>47113</v>
      </c>
      <c r="L21203">
        <v>31.02</v>
      </c>
      <c r="M21203">
        <v>73</v>
      </c>
      <c r="N21203">
        <v>0</v>
      </c>
      <c r="O21203">
        <v>73</v>
      </c>
      <c r="P21203">
        <v>0</v>
      </c>
    </row>
    <row r="21204" spans="1:16" x14ac:dyDescent="0.25">
      <c r="A21204" t="s">
        <v>44022</v>
      </c>
      <c r="B21204" t="s">
        <v>880</v>
      </c>
      <c r="C21204" t="s">
        <v>881</v>
      </c>
      <c r="D21204" t="s">
        <v>27</v>
      </c>
      <c r="E21204" t="s">
        <v>622</v>
      </c>
      <c r="F21204" t="s">
        <v>2</v>
      </c>
      <c r="G21204" t="s">
        <v>49029</v>
      </c>
      <c r="H21204" t="s">
        <v>47054</v>
      </c>
      <c r="I21204" t="s">
        <v>47111</v>
      </c>
      <c r="J21204" t="s">
        <v>47112</v>
      </c>
      <c r="K21204" t="s">
        <v>47113</v>
      </c>
      <c r="L21204">
        <v>29.08</v>
      </c>
      <c r="M21204">
        <v>75</v>
      </c>
      <c r="N21204">
        <v>0</v>
      </c>
      <c r="O21204">
        <v>75</v>
      </c>
      <c r="P21204">
        <v>0</v>
      </c>
    </row>
    <row r="21205" spans="1:16" x14ac:dyDescent="0.25">
      <c r="A21205" t="s">
        <v>44023</v>
      </c>
      <c r="B21205" t="s">
        <v>880</v>
      </c>
      <c r="C21205" t="s">
        <v>881</v>
      </c>
      <c r="D21205" t="s">
        <v>890</v>
      </c>
      <c r="E21205" t="s">
        <v>891</v>
      </c>
      <c r="F21205" t="s">
        <v>2</v>
      </c>
      <c r="G21205" t="s">
        <v>49029</v>
      </c>
      <c r="H21205" t="s">
        <v>47054</v>
      </c>
      <c r="I21205" t="s">
        <v>47111</v>
      </c>
      <c r="J21205" t="s">
        <v>47112</v>
      </c>
      <c r="K21205" t="s">
        <v>47113</v>
      </c>
      <c r="L21205">
        <v>30.5</v>
      </c>
      <c r="M21205">
        <v>85</v>
      </c>
      <c r="N21205">
        <v>0</v>
      </c>
      <c r="O21205">
        <v>85</v>
      </c>
      <c r="P21205">
        <v>0</v>
      </c>
    </row>
    <row r="21206" spans="1:16" x14ac:dyDescent="0.25">
      <c r="A21206" t="s">
        <v>44024</v>
      </c>
      <c r="B21206" t="s">
        <v>880</v>
      </c>
      <c r="C21206" t="s">
        <v>881</v>
      </c>
      <c r="D21206" t="s">
        <v>294</v>
      </c>
      <c r="E21206" t="s">
        <v>295</v>
      </c>
      <c r="F21206" t="s">
        <v>2</v>
      </c>
      <c r="G21206" t="s">
        <v>49029</v>
      </c>
      <c r="H21206" t="s">
        <v>47054</v>
      </c>
      <c r="I21206" t="s">
        <v>47111</v>
      </c>
      <c r="J21206" t="s">
        <v>47112</v>
      </c>
      <c r="K21206" t="s">
        <v>47113</v>
      </c>
      <c r="L21206">
        <v>34.21</v>
      </c>
      <c r="M21206">
        <v>85</v>
      </c>
      <c r="N21206">
        <v>0</v>
      </c>
      <c r="O21206">
        <v>85</v>
      </c>
      <c r="P21206">
        <v>0</v>
      </c>
    </row>
    <row r="21207" spans="1:16" x14ac:dyDescent="0.25">
      <c r="A21207" t="s">
        <v>44025</v>
      </c>
      <c r="B21207" t="s">
        <v>880</v>
      </c>
      <c r="C21207" t="s">
        <v>881</v>
      </c>
      <c r="D21207" t="s">
        <v>1743</v>
      </c>
      <c r="E21207" t="s">
        <v>1744</v>
      </c>
      <c r="F21207" t="s">
        <v>2</v>
      </c>
      <c r="G21207" t="s">
        <v>49029</v>
      </c>
      <c r="H21207" t="s">
        <v>47054</v>
      </c>
      <c r="I21207" t="s">
        <v>47111</v>
      </c>
      <c r="J21207" t="s">
        <v>47112</v>
      </c>
      <c r="K21207" t="s">
        <v>47113</v>
      </c>
      <c r="L21207">
        <v>31.02</v>
      </c>
      <c r="M21207">
        <v>85</v>
      </c>
      <c r="N21207">
        <v>0</v>
      </c>
      <c r="O21207">
        <v>85</v>
      </c>
      <c r="P21207">
        <v>0</v>
      </c>
    </row>
    <row r="21208" spans="1:16" x14ac:dyDescent="0.25">
      <c r="A21208" t="s">
        <v>44026</v>
      </c>
      <c r="B21208" t="s">
        <v>880</v>
      </c>
      <c r="C21208" t="s">
        <v>881</v>
      </c>
      <c r="D21208" t="s">
        <v>892</v>
      </c>
      <c r="E21208" t="s">
        <v>893</v>
      </c>
      <c r="F21208" t="s">
        <v>2</v>
      </c>
      <c r="G21208" t="s">
        <v>49029</v>
      </c>
      <c r="H21208" t="s">
        <v>47054</v>
      </c>
      <c r="I21208" t="s">
        <v>47111</v>
      </c>
      <c r="J21208" t="s">
        <v>47112</v>
      </c>
      <c r="K21208" t="s">
        <v>47113</v>
      </c>
      <c r="L21208">
        <v>30.75</v>
      </c>
      <c r="M21208">
        <v>85</v>
      </c>
      <c r="N21208">
        <v>0</v>
      </c>
      <c r="O21208">
        <v>85</v>
      </c>
      <c r="P21208">
        <v>0</v>
      </c>
    </row>
    <row r="21209" spans="1:16" x14ac:dyDescent="0.25">
      <c r="A21209" t="s">
        <v>44027</v>
      </c>
      <c r="B21209" t="s">
        <v>880</v>
      </c>
      <c r="C21209" t="s">
        <v>881</v>
      </c>
      <c r="D21209" t="s">
        <v>4877</v>
      </c>
      <c r="E21209" t="s">
        <v>4878</v>
      </c>
      <c r="F21209" t="s">
        <v>2</v>
      </c>
      <c r="G21209" t="s">
        <v>49029</v>
      </c>
      <c r="H21209" t="s">
        <v>47054</v>
      </c>
      <c r="I21209" t="s">
        <v>47111</v>
      </c>
      <c r="J21209" t="s">
        <v>47112</v>
      </c>
      <c r="K21209" t="s">
        <v>47113</v>
      </c>
      <c r="L21209">
        <v>34.75</v>
      </c>
      <c r="M21209">
        <v>85</v>
      </c>
      <c r="N21209">
        <v>0</v>
      </c>
      <c r="O21209">
        <v>85</v>
      </c>
      <c r="P21209">
        <v>0</v>
      </c>
    </row>
    <row r="21210" spans="1:16" x14ac:dyDescent="0.25">
      <c r="A21210" t="s">
        <v>883</v>
      </c>
      <c r="B21210" t="s">
        <v>880</v>
      </c>
      <c r="C21210" t="s">
        <v>881</v>
      </c>
      <c r="D21210" t="s">
        <v>884</v>
      </c>
      <c r="E21210" t="s">
        <v>885</v>
      </c>
      <c r="F21210" t="s">
        <v>2</v>
      </c>
      <c r="G21210" t="s">
        <v>49029</v>
      </c>
      <c r="H21210" t="s">
        <v>47054</v>
      </c>
      <c r="I21210" t="s">
        <v>47111</v>
      </c>
      <c r="J21210" t="s">
        <v>47112</v>
      </c>
      <c r="K21210" t="s">
        <v>47113</v>
      </c>
      <c r="L21210">
        <v>32.950000000000003</v>
      </c>
      <c r="M21210">
        <v>54</v>
      </c>
      <c r="N21210">
        <v>0</v>
      </c>
      <c r="O21210">
        <v>54</v>
      </c>
      <c r="P21210">
        <v>0</v>
      </c>
    </row>
    <row r="21211" spans="1:16" x14ac:dyDescent="0.25">
      <c r="A21211" t="s">
        <v>44028</v>
      </c>
      <c r="B21211" t="s">
        <v>12791</v>
      </c>
      <c r="C21211" t="s">
        <v>12792</v>
      </c>
      <c r="D21211" t="str">
        <f>"08"</f>
        <v>08</v>
      </c>
      <c r="E21211" t="s">
        <v>882</v>
      </c>
      <c r="F21211" t="s">
        <v>2</v>
      </c>
      <c r="G21211" t="s">
        <v>47093</v>
      </c>
      <c r="H21211" t="s">
        <v>47054</v>
      </c>
      <c r="I21211" t="s">
        <v>47111</v>
      </c>
      <c r="J21211" t="s">
        <v>47112</v>
      </c>
      <c r="K21211" t="s">
        <v>47113</v>
      </c>
      <c r="L21211">
        <v>30.22</v>
      </c>
      <c r="M21211">
        <v>85</v>
      </c>
      <c r="N21211">
        <v>0</v>
      </c>
      <c r="O21211">
        <v>85</v>
      </c>
      <c r="P21211">
        <v>0</v>
      </c>
    </row>
    <row r="21212" spans="1:16" x14ac:dyDescent="0.25">
      <c r="A21212" t="s">
        <v>44029</v>
      </c>
      <c r="B21212" t="s">
        <v>12791</v>
      </c>
      <c r="C21212" t="s">
        <v>12792</v>
      </c>
      <c r="D21212" t="str">
        <f>"15"</f>
        <v>15</v>
      </c>
      <c r="E21212" t="s">
        <v>878</v>
      </c>
      <c r="F21212" t="s">
        <v>2</v>
      </c>
      <c r="G21212" t="s">
        <v>47093</v>
      </c>
      <c r="H21212" t="s">
        <v>47054</v>
      </c>
      <c r="I21212" t="s">
        <v>47111</v>
      </c>
      <c r="J21212" t="s">
        <v>47112</v>
      </c>
      <c r="K21212" t="s">
        <v>47113</v>
      </c>
      <c r="L21212">
        <v>36.76</v>
      </c>
      <c r="M21212">
        <v>84</v>
      </c>
      <c r="N21212">
        <v>0</v>
      </c>
      <c r="O21212">
        <v>84</v>
      </c>
      <c r="P21212">
        <v>0</v>
      </c>
    </row>
    <row r="21213" spans="1:16" x14ac:dyDescent="0.25">
      <c r="A21213" t="s">
        <v>44030</v>
      </c>
      <c r="B21213" t="s">
        <v>12791</v>
      </c>
      <c r="C21213" t="s">
        <v>12792</v>
      </c>
      <c r="D21213" t="s">
        <v>27</v>
      </c>
      <c r="E21213" t="s">
        <v>622</v>
      </c>
      <c r="F21213" t="s">
        <v>6</v>
      </c>
      <c r="G21213" t="s">
        <v>47093</v>
      </c>
      <c r="H21213" t="s">
        <v>47054</v>
      </c>
      <c r="I21213" t="s">
        <v>47111</v>
      </c>
      <c r="J21213" t="s">
        <v>47112</v>
      </c>
      <c r="K21213" t="s">
        <v>47113</v>
      </c>
      <c r="L21213">
        <v>35.85</v>
      </c>
      <c r="M21213">
        <v>85</v>
      </c>
      <c r="N21213">
        <v>0</v>
      </c>
      <c r="O21213">
        <v>85</v>
      </c>
      <c r="P21213">
        <v>0</v>
      </c>
    </row>
    <row r="21214" spans="1:16" x14ac:dyDescent="0.25">
      <c r="A21214" t="s">
        <v>44031</v>
      </c>
      <c r="B21214" t="s">
        <v>12791</v>
      </c>
      <c r="C21214" t="s">
        <v>12792</v>
      </c>
      <c r="D21214" t="s">
        <v>890</v>
      </c>
      <c r="E21214" t="s">
        <v>891</v>
      </c>
      <c r="F21214" t="s">
        <v>2</v>
      </c>
      <c r="G21214" t="s">
        <v>47093</v>
      </c>
      <c r="H21214" t="s">
        <v>47054</v>
      </c>
      <c r="I21214" t="s">
        <v>47111</v>
      </c>
      <c r="J21214" t="s">
        <v>47112</v>
      </c>
      <c r="K21214" t="s">
        <v>47113</v>
      </c>
      <c r="L21214">
        <v>41.56</v>
      </c>
      <c r="M21214">
        <v>85</v>
      </c>
      <c r="N21214">
        <v>0</v>
      </c>
      <c r="O21214">
        <v>85</v>
      </c>
      <c r="P21214">
        <v>0</v>
      </c>
    </row>
    <row r="21215" spans="1:16" x14ac:dyDescent="0.25">
      <c r="A21215" t="s">
        <v>44032</v>
      </c>
      <c r="B21215" t="s">
        <v>12791</v>
      </c>
      <c r="C21215" t="s">
        <v>12792</v>
      </c>
      <c r="D21215" t="s">
        <v>294</v>
      </c>
      <c r="E21215" t="s">
        <v>295</v>
      </c>
      <c r="F21215" t="s">
        <v>6</v>
      </c>
      <c r="G21215" t="s">
        <v>47093</v>
      </c>
      <c r="H21215" t="s">
        <v>47054</v>
      </c>
      <c r="I21215" t="s">
        <v>47111</v>
      </c>
      <c r="J21215" t="s">
        <v>47112</v>
      </c>
      <c r="K21215" t="s">
        <v>47113</v>
      </c>
      <c r="L21215">
        <v>40.4</v>
      </c>
      <c r="M21215">
        <v>85</v>
      </c>
      <c r="N21215">
        <v>0</v>
      </c>
      <c r="O21215">
        <v>85</v>
      </c>
      <c r="P21215">
        <v>0</v>
      </c>
    </row>
    <row r="21216" spans="1:16" x14ac:dyDescent="0.25">
      <c r="A21216" t="s">
        <v>44033</v>
      </c>
      <c r="B21216" t="s">
        <v>12791</v>
      </c>
      <c r="C21216" t="s">
        <v>12792</v>
      </c>
      <c r="D21216" t="s">
        <v>1743</v>
      </c>
      <c r="E21216" t="s">
        <v>1744</v>
      </c>
      <c r="F21216" t="s">
        <v>6</v>
      </c>
      <c r="G21216" t="s">
        <v>47093</v>
      </c>
      <c r="H21216" t="s">
        <v>47054</v>
      </c>
      <c r="I21216" t="s">
        <v>47111</v>
      </c>
      <c r="J21216" t="s">
        <v>47112</v>
      </c>
      <c r="K21216" t="s">
        <v>47113</v>
      </c>
      <c r="L21216">
        <v>37.85</v>
      </c>
      <c r="M21216">
        <v>85</v>
      </c>
      <c r="N21216">
        <v>0</v>
      </c>
      <c r="O21216">
        <v>85</v>
      </c>
      <c r="P21216">
        <v>0</v>
      </c>
    </row>
    <row r="21217" spans="1:16" x14ac:dyDescent="0.25">
      <c r="A21217" t="s">
        <v>44034</v>
      </c>
      <c r="B21217" t="s">
        <v>12791</v>
      </c>
      <c r="C21217" t="s">
        <v>12792</v>
      </c>
      <c r="D21217" t="s">
        <v>892</v>
      </c>
      <c r="E21217" t="s">
        <v>893</v>
      </c>
      <c r="F21217" t="s">
        <v>2</v>
      </c>
      <c r="G21217" t="s">
        <v>47093</v>
      </c>
      <c r="H21217" t="s">
        <v>47054</v>
      </c>
      <c r="I21217" t="s">
        <v>47111</v>
      </c>
      <c r="J21217" t="s">
        <v>47112</v>
      </c>
      <c r="K21217" t="s">
        <v>47113</v>
      </c>
      <c r="L21217">
        <v>36.76</v>
      </c>
      <c r="M21217">
        <v>85</v>
      </c>
      <c r="N21217">
        <v>0</v>
      </c>
      <c r="O21217">
        <v>85</v>
      </c>
      <c r="P21217">
        <v>0</v>
      </c>
    </row>
    <row r="21218" spans="1:16" x14ac:dyDescent="0.25">
      <c r="A21218" t="s">
        <v>44035</v>
      </c>
      <c r="B21218" t="s">
        <v>12791</v>
      </c>
      <c r="C21218" t="s">
        <v>12792</v>
      </c>
      <c r="D21218" t="s">
        <v>4877</v>
      </c>
      <c r="E21218" t="s">
        <v>4878</v>
      </c>
      <c r="F21218" t="s">
        <v>6</v>
      </c>
      <c r="G21218" t="s">
        <v>47093</v>
      </c>
      <c r="H21218" t="s">
        <v>47054</v>
      </c>
      <c r="I21218" t="s">
        <v>47111</v>
      </c>
      <c r="J21218" t="s">
        <v>47112</v>
      </c>
      <c r="K21218" t="s">
        <v>47113</v>
      </c>
      <c r="L21218">
        <v>42.8</v>
      </c>
      <c r="M21218">
        <v>85</v>
      </c>
      <c r="N21218">
        <v>0</v>
      </c>
      <c r="O21218">
        <v>85</v>
      </c>
      <c r="P21218">
        <v>0</v>
      </c>
    </row>
    <row r="21219" spans="1:16" x14ac:dyDescent="0.25">
      <c r="A21219" t="s">
        <v>44036</v>
      </c>
      <c r="B21219" t="s">
        <v>887</v>
      </c>
      <c r="C21219" t="s">
        <v>888</v>
      </c>
      <c r="D21219" t="str">
        <f>"08"</f>
        <v>08</v>
      </c>
      <c r="E21219" t="s">
        <v>882</v>
      </c>
      <c r="F21219" t="s">
        <v>2</v>
      </c>
      <c r="G21219" t="s">
        <v>47093</v>
      </c>
      <c r="H21219" t="s">
        <v>47054</v>
      </c>
      <c r="I21219" t="s">
        <v>47111</v>
      </c>
      <c r="J21219" t="s">
        <v>47112</v>
      </c>
      <c r="K21219" t="s">
        <v>47113</v>
      </c>
      <c r="L21219">
        <v>29.86</v>
      </c>
      <c r="M21219">
        <v>85</v>
      </c>
      <c r="N21219">
        <v>0</v>
      </c>
      <c r="O21219">
        <v>85</v>
      </c>
      <c r="P21219">
        <v>0</v>
      </c>
    </row>
    <row r="21220" spans="1:16" x14ac:dyDescent="0.25">
      <c r="A21220" t="s">
        <v>886</v>
      </c>
      <c r="B21220" t="s">
        <v>887</v>
      </c>
      <c r="C21220" t="s">
        <v>888</v>
      </c>
      <c r="D21220" t="str">
        <f>"15"</f>
        <v>15</v>
      </c>
      <c r="E21220" t="s">
        <v>878</v>
      </c>
      <c r="F21220" t="s">
        <v>2</v>
      </c>
      <c r="G21220" t="s">
        <v>47093</v>
      </c>
      <c r="H21220" t="s">
        <v>47054</v>
      </c>
      <c r="I21220" t="s">
        <v>47111</v>
      </c>
      <c r="J21220" t="s">
        <v>47112</v>
      </c>
      <c r="K21220" t="s">
        <v>47113</v>
      </c>
      <c r="L21220">
        <v>37.33</v>
      </c>
      <c r="M21220">
        <v>84</v>
      </c>
      <c r="N21220">
        <v>0</v>
      </c>
      <c r="O21220">
        <v>84</v>
      </c>
      <c r="P21220">
        <v>0</v>
      </c>
    </row>
    <row r="21221" spans="1:16" x14ac:dyDescent="0.25">
      <c r="A21221" t="s">
        <v>44037</v>
      </c>
      <c r="B21221" t="s">
        <v>887</v>
      </c>
      <c r="C21221" t="s">
        <v>888</v>
      </c>
      <c r="D21221" t="s">
        <v>27</v>
      </c>
      <c r="E21221" t="s">
        <v>622</v>
      </c>
      <c r="F21221" t="s">
        <v>2</v>
      </c>
      <c r="G21221" t="s">
        <v>47093</v>
      </c>
      <c r="H21221" t="s">
        <v>47054</v>
      </c>
      <c r="I21221" t="s">
        <v>47111</v>
      </c>
      <c r="J21221" t="s">
        <v>47112</v>
      </c>
      <c r="K21221" t="s">
        <v>47113</v>
      </c>
      <c r="L21221">
        <v>35.18</v>
      </c>
      <c r="M21221">
        <v>85</v>
      </c>
      <c r="N21221">
        <v>0</v>
      </c>
      <c r="O21221">
        <v>85</v>
      </c>
      <c r="P21221">
        <v>0</v>
      </c>
    </row>
    <row r="21222" spans="1:16" x14ac:dyDescent="0.25">
      <c r="A21222" t="s">
        <v>889</v>
      </c>
      <c r="B21222" t="s">
        <v>887</v>
      </c>
      <c r="C21222" t="s">
        <v>888</v>
      </c>
      <c r="D21222" t="s">
        <v>890</v>
      </c>
      <c r="E21222" t="s">
        <v>891</v>
      </c>
      <c r="F21222" t="s">
        <v>2</v>
      </c>
      <c r="G21222" t="s">
        <v>47093</v>
      </c>
      <c r="H21222" t="s">
        <v>47054</v>
      </c>
      <c r="I21222" t="s">
        <v>47111</v>
      </c>
      <c r="J21222" t="s">
        <v>47112</v>
      </c>
      <c r="K21222" t="s">
        <v>47113</v>
      </c>
      <c r="L21222">
        <v>42.11</v>
      </c>
      <c r="M21222">
        <v>85</v>
      </c>
      <c r="N21222">
        <v>0</v>
      </c>
      <c r="O21222">
        <v>85</v>
      </c>
      <c r="P21222">
        <v>0</v>
      </c>
    </row>
    <row r="21223" spans="1:16" x14ac:dyDescent="0.25">
      <c r="A21223" t="s">
        <v>44038</v>
      </c>
      <c r="B21223" t="s">
        <v>887</v>
      </c>
      <c r="C21223" t="s">
        <v>888</v>
      </c>
      <c r="D21223" t="s">
        <v>294</v>
      </c>
      <c r="E21223" t="s">
        <v>295</v>
      </c>
      <c r="F21223" t="s">
        <v>6</v>
      </c>
      <c r="G21223" t="s">
        <v>47093</v>
      </c>
      <c r="H21223" t="s">
        <v>47054</v>
      </c>
      <c r="I21223" t="s">
        <v>47111</v>
      </c>
      <c r="J21223" t="s">
        <v>47112</v>
      </c>
      <c r="K21223" t="s">
        <v>47113</v>
      </c>
      <c r="L21223">
        <v>40.81</v>
      </c>
      <c r="M21223">
        <v>85</v>
      </c>
      <c r="N21223">
        <v>0</v>
      </c>
      <c r="O21223">
        <v>85</v>
      </c>
      <c r="P21223">
        <v>0</v>
      </c>
    </row>
    <row r="21224" spans="1:16" x14ac:dyDescent="0.25">
      <c r="A21224" t="s">
        <v>44039</v>
      </c>
      <c r="B21224" t="s">
        <v>887</v>
      </c>
      <c r="C21224" t="s">
        <v>888</v>
      </c>
      <c r="D21224" t="s">
        <v>1743</v>
      </c>
      <c r="E21224" t="s">
        <v>1744</v>
      </c>
      <c r="F21224" t="s">
        <v>6</v>
      </c>
      <c r="G21224" t="s">
        <v>47093</v>
      </c>
      <c r="H21224" t="s">
        <v>47054</v>
      </c>
      <c r="I21224" t="s">
        <v>47111</v>
      </c>
      <c r="J21224" t="s">
        <v>47112</v>
      </c>
      <c r="K21224" t="s">
        <v>47113</v>
      </c>
      <c r="L21224">
        <v>38.42</v>
      </c>
      <c r="M21224">
        <v>85</v>
      </c>
      <c r="N21224">
        <v>0</v>
      </c>
      <c r="O21224">
        <v>85</v>
      </c>
      <c r="P21224">
        <v>0</v>
      </c>
    </row>
    <row r="21225" spans="1:16" x14ac:dyDescent="0.25">
      <c r="A21225" t="s">
        <v>44040</v>
      </c>
      <c r="B21225" t="s">
        <v>887</v>
      </c>
      <c r="C21225" t="s">
        <v>888</v>
      </c>
      <c r="D21225" t="s">
        <v>892</v>
      </c>
      <c r="E21225" t="s">
        <v>893</v>
      </c>
      <c r="F21225" t="s">
        <v>2</v>
      </c>
      <c r="G21225" t="s">
        <v>47093</v>
      </c>
      <c r="H21225" t="s">
        <v>47054</v>
      </c>
      <c r="I21225" t="s">
        <v>47111</v>
      </c>
      <c r="J21225" t="s">
        <v>47112</v>
      </c>
      <c r="K21225" t="s">
        <v>47113</v>
      </c>
      <c r="L21225">
        <v>39.75</v>
      </c>
      <c r="M21225">
        <v>100</v>
      </c>
      <c r="N21225">
        <v>0</v>
      </c>
      <c r="O21225">
        <v>100</v>
      </c>
      <c r="P21225">
        <v>0</v>
      </c>
    </row>
    <row r="21226" spans="1:16" x14ac:dyDescent="0.25">
      <c r="A21226" t="s">
        <v>44041</v>
      </c>
      <c r="B21226" t="s">
        <v>887</v>
      </c>
      <c r="C21226" t="s">
        <v>888</v>
      </c>
      <c r="D21226" t="s">
        <v>4877</v>
      </c>
      <c r="E21226" t="s">
        <v>4878</v>
      </c>
      <c r="F21226" t="s">
        <v>2</v>
      </c>
      <c r="G21226" t="s">
        <v>47093</v>
      </c>
      <c r="H21226" t="s">
        <v>47054</v>
      </c>
      <c r="I21226" t="s">
        <v>47111</v>
      </c>
      <c r="J21226" t="s">
        <v>47112</v>
      </c>
      <c r="K21226" t="s">
        <v>47113</v>
      </c>
      <c r="L21226">
        <v>42.09</v>
      </c>
      <c r="M21226">
        <v>85</v>
      </c>
      <c r="N21226">
        <v>0</v>
      </c>
      <c r="O21226">
        <v>85</v>
      </c>
      <c r="P21226">
        <v>0</v>
      </c>
    </row>
    <row r="21227" spans="1:16" x14ac:dyDescent="0.25">
      <c r="A21227" t="s">
        <v>44042</v>
      </c>
      <c r="B21227" t="s">
        <v>895</v>
      </c>
      <c r="C21227" t="s">
        <v>896</v>
      </c>
      <c r="D21227" t="str">
        <f>"08"</f>
        <v>08</v>
      </c>
      <c r="E21227" t="s">
        <v>882</v>
      </c>
      <c r="F21227" t="s">
        <v>2</v>
      </c>
      <c r="G21227" t="s">
        <v>49029</v>
      </c>
      <c r="H21227" t="s">
        <v>47054</v>
      </c>
      <c r="I21227" t="s">
        <v>47111</v>
      </c>
      <c r="J21227" t="s">
        <v>47112</v>
      </c>
      <c r="K21227" t="s">
        <v>47113</v>
      </c>
      <c r="L21227">
        <v>25.7</v>
      </c>
      <c r="M21227">
        <v>85</v>
      </c>
      <c r="N21227">
        <v>0</v>
      </c>
      <c r="O21227">
        <v>85</v>
      </c>
      <c r="P21227">
        <v>0</v>
      </c>
    </row>
    <row r="21228" spans="1:16" x14ac:dyDescent="0.25">
      <c r="A21228" t="s">
        <v>44043</v>
      </c>
      <c r="B21228" t="s">
        <v>895</v>
      </c>
      <c r="C21228" t="s">
        <v>896</v>
      </c>
      <c r="D21228" t="str">
        <f>"15"</f>
        <v>15</v>
      </c>
      <c r="E21228" t="s">
        <v>878</v>
      </c>
      <c r="F21228" t="s">
        <v>2</v>
      </c>
      <c r="G21228" t="s">
        <v>49029</v>
      </c>
      <c r="H21228" t="s">
        <v>47054</v>
      </c>
      <c r="I21228" t="s">
        <v>47111</v>
      </c>
      <c r="J21228" t="s">
        <v>47112</v>
      </c>
      <c r="K21228" t="s">
        <v>47113</v>
      </c>
      <c r="L21228">
        <v>31.02</v>
      </c>
      <c r="M21228">
        <v>85</v>
      </c>
      <c r="N21228">
        <v>0</v>
      </c>
      <c r="O21228">
        <v>85</v>
      </c>
      <c r="P21228">
        <v>0</v>
      </c>
    </row>
    <row r="21229" spans="1:16" x14ac:dyDescent="0.25">
      <c r="A21229" t="s">
        <v>894</v>
      </c>
      <c r="B21229" t="s">
        <v>895</v>
      </c>
      <c r="C21229" t="s">
        <v>896</v>
      </c>
      <c r="D21229" t="s">
        <v>27</v>
      </c>
      <c r="E21229" t="s">
        <v>28</v>
      </c>
      <c r="F21229" t="s">
        <v>2</v>
      </c>
      <c r="G21229" t="s">
        <v>49029</v>
      </c>
      <c r="H21229" t="s">
        <v>47054</v>
      </c>
      <c r="I21229" t="s">
        <v>47111</v>
      </c>
      <c r="J21229" t="s">
        <v>47112</v>
      </c>
      <c r="K21229" t="s">
        <v>47113</v>
      </c>
      <c r="L21229">
        <v>29.95</v>
      </c>
      <c r="M21229">
        <v>85</v>
      </c>
      <c r="N21229">
        <v>0</v>
      </c>
      <c r="O21229">
        <v>85</v>
      </c>
      <c r="P21229">
        <v>0</v>
      </c>
    </row>
    <row r="21230" spans="1:16" x14ac:dyDescent="0.25">
      <c r="A21230" t="s">
        <v>44044</v>
      </c>
      <c r="B21230" t="s">
        <v>895</v>
      </c>
      <c r="C21230" t="s">
        <v>896</v>
      </c>
      <c r="D21230" t="s">
        <v>890</v>
      </c>
      <c r="E21230" t="s">
        <v>891</v>
      </c>
      <c r="F21230" t="s">
        <v>2</v>
      </c>
      <c r="G21230" t="s">
        <v>49029</v>
      </c>
      <c r="H21230" t="s">
        <v>47054</v>
      </c>
      <c r="I21230" t="s">
        <v>47111</v>
      </c>
      <c r="J21230" t="s">
        <v>47112</v>
      </c>
      <c r="K21230" t="s">
        <v>47113</v>
      </c>
      <c r="L21230">
        <v>30.5</v>
      </c>
      <c r="M21230">
        <v>85</v>
      </c>
      <c r="N21230">
        <v>0</v>
      </c>
      <c r="O21230">
        <v>85</v>
      </c>
      <c r="P21230">
        <v>0</v>
      </c>
    </row>
    <row r="21231" spans="1:16" x14ac:dyDescent="0.25">
      <c r="A21231" t="s">
        <v>44045</v>
      </c>
      <c r="B21231" t="s">
        <v>895</v>
      </c>
      <c r="C21231" t="s">
        <v>896</v>
      </c>
      <c r="D21231" t="s">
        <v>294</v>
      </c>
      <c r="E21231" t="s">
        <v>295</v>
      </c>
      <c r="F21231" t="s">
        <v>2</v>
      </c>
      <c r="G21231" t="s">
        <v>49029</v>
      </c>
      <c r="H21231" t="s">
        <v>47054</v>
      </c>
      <c r="I21231" t="s">
        <v>47111</v>
      </c>
      <c r="J21231" t="s">
        <v>47112</v>
      </c>
      <c r="K21231" t="s">
        <v>47113</v>
      </c>
      <c r="L21231">
        <v>34.21</v>
      </c>
      <c r="M21231">
        <v>85</v>
      </c>
      <c r="N21231">
        <v>0</v>
      </c>
      <c r="O21231">
        <v>85</v>
      </c>
      <c r="P21231">
        <v>0</v>
      </c>
    </row>
    <row r="21232" spans="1:16" x14ac:dyDescent="0.25">
      <c r="A21232" t="s">
        <v>44046</v>
      </c>
      <c r="B21232" t="s">
        <v>895</v>
      </c>
      <c r="C21232" t="s">
        <v>896</v>
      </c>
      <c r="D21232" t="s">
        <v>1743</v>
      </c>
      <c r="E21232" t="s">
        <v>1744</v>
      </c>
      <c r="F21232" t="s">
        <v>2</v>
      </c>
      <c r="G21232" t="s">
        <v>49029</v>
      </c>
      <c r="H21232" t="s">
        <v>47054</v>
      </c>
      <c r="I21232" t="s">
        <v>47111</v>
      </c>
      <c r="J21232" t="s">
        <v>47112</v>
      </c>
      <c r="K21232" t="s">
        <v>47113</v>
      </c>
      <c r="L21232">
        <v>31.02</v>
      </c>
      <c r="M21232">
        <v>85</v>
      </c>
      <c r="N21232">
        <v>0</v>
      </c>
      <c r="O21232">
        <v>85</v>
      </c>
      <c r="P21232">
        <v>0</v>
      </c>
    </row>
    <row r="21233" spans="1:16" x14ac:dyDescent="0.25">
      <c r="A21233" t="s">
        <v>44047</v>
      </c>
      <c r="B21233" t="s">
        <v>895</v>
      </c>
      <c r="C21233" t="s">
        <v>896</v>
      </c>
      <c r="D21233" t="s">
        <v>892</v>
      </c>
      <c r="E21233" t="s">
        <v>893</v>
      </c>
      <c r="F21233" t="s">
        <v>2</v>
      </c>
      <c r="G21233" t="s">
        <v>49029</v>
      </c>
      <c r="H21233" t="s">
        <v>47054</v>
      </c>
      <c r="I21233" t="s">
        <v>47111</v>
      </c>
      <c r="J21233" t="s">
        <v>47112</v>
      </c>
      <c r="K21233" t="s">
        <v>47113</v>
      </c>
      <c r="L21233">
        <v>31.58</v>
      </c>
      <c r="M21233">
        <v>73</v>
      </c>
      <c r="N21233">
        <v>0</v>
      </c>
      <c r="O21233">
        <v>73</v>
      </c>
      <c r="P21233">
        <v>0</v>
      </c>
    </row>
    <row r="21234" spans="1:16" x14ac:dyDescent="0.25">
      <c r="A21234" t="s">
        <v>44048</v>
      </c>
      <c r="B21234" t="s">
        <v>895</v>
      </c>
      <c r="C21234" t="s">
        <v>896</v>
      </c>
      <c r="D21234" t="s">
        <v>4877</v>
      </c>
      <c r="E21234" t="s">
        <v>4878</v>
      </c>
      <c r="F21234" t="s">
        <v>2</v>
      </c>
      <c r="G21234" t="s">
        <v>49029</v>
      </c>
      <c r="H21234" t="s">
        <v>47054</v>
      </c>
      <c r="I21234" t="s">
        <v>47111</v>
      </c>
      <c r="J21234" t="s">
        <v>47112</v>
      </c>
      <c r="K21234" t="s">
        <v>47113</v>
      </c>
      <c r="L21234">
        <v>34.75</v>
      </c>
      <c r="M21234">
        <v>85</v>
      </c>
      <c r="N21234">
        <v>0</v>
      </c>
      <c r="O21234">
        <v>85</v>
      </c>
      <c r="P21234">
        <v>0</v>
      </c>
    </row>
    <row r="21235" spans="1:16" x14ac:dyDescent="0.25">
      <c r="A21235" t="s">
        <v>44049</v>
      </c>
      <c r="B21235" t="s">
        <v>12793</v>
      </c>
      <c r="C21235" t="s">
        <v>12794</v>
      </c>
      <c r="D21235" t="s">
        <v>905</v>
      </c>
      <c r="E21235" t="s">
        <v>906</v>
      </c>
      <c r="F21235" t="s">
        <v>296</v>
      </c>
      <c r="G21235" t="s">
        <v>49030</v>
      </c>
      <c r="H21235" t="s">
        <v>47054</v>
      </c>
      <c r="I21235" t="s">
        <v>47111</v>
      </c>
      <c r="J21235" t="s">
        <v>47112</v>
      </c>
      <c r="K21235" t="s">
        <v>47113</v>
      </c>
      <c r="L21235">
        <v>39.99</v>
      </c>
      <c r="M21235">
        <v>86</v>
      </c>
      <c r="N21235">
        <v>0</v>
      </c>
      <c r="O21235">
        <v>86</v>
      </c>
      <c r="P21235">
        <v>0</v>
      </c>
    </row>
    <row r="21236" spans="1:16" x14ac:dyDescent="0.25">
      <c r="A21236" t="s">
        <v>44050</v>
      </c>
      <c r="B21236" t="s">
        <v>12795</v>
      </c>
      <c r="C21236" t="s">
        <v>12796</v>
      </c>
      <c r="D21236" t="s">
        <v>905</v>
      </c>
      <c r="E21236" t="s">
        <v>906</v>
      </c>
      <c r="F21236" t="s">
        <v>296</v>
      </c>
      <c r="G21236" t="s">
        <v>47098</v>
      </c>
      <c r="H21236" t="s">
        <v>47054</v>
      </c>
      <c r="I21236" t="s">
        <v>47116</v>
      </c>
      <c r="J21236" t="s">
        <v>47117</v>
      </c>
      <c r="K21236" t="s">
        <v>47113</v>
      </c>
      <c r="L21236">
        <v>51.04</v>
      </c>
      <c r="M21236">
        <v>131</v>
      </c>
      <c r="N21236">
        <v>0</v>
      </c>
      <c r="O21236">
        <v>131</v>
      </c>
      <c r="P21236">
        <v>0</v>
      </c>
    </row>
    <row r="21237" spans="1:16" x14ac:dyDescent="0.25">
      <c r="A21237" t="s">
        <v>44051</v>
      </c>
      <c r="B21237" t="s">
        <v>12795</v>
      </c>
      <c r="C21237" t="s">
        <v>12796</v>
      </c>
      <c r="D21237" t="s">
        <v>12797</v>
      </c>
      <c r="E21237" t="s">
        <v>12798</v>
      </c>
      <c r="F21237" t="s">
        <v>7</v>
      </c>
      <c r="G21237" t="s">
        <v>47098</v>
      </c>
      <c r="H21237" t="s">
        <v>47054</v>
      </c>
      <c r="I21237" t="s">
        <v>47116</v>
      </c>
      <c r="J21237" t="s">
        <v>47117</v>
      </c>
      <c r="K21237" t="s">
        <v>47113</v>
      </c>
      <c r="L21237">
        <v>52.04</v>
      </c>
      <c r="M21237">
        <v>135</v>
      </c>
      <c r="N21237">
        <v>0</v>
      </c>
      <c r="O21237">
        <v>135</v>
      </c>
      <c r="P21237">
        <v>0</v>
      </c>
    </row>
    <row r="21238" spans="1:16" x14ac:dyDescent="0.25">
      <c r="A21238" t="s">
        <v>897</v>
      </c>
      <c r="B21238" t="s">
        <v>898</v>
      </c>
      <c r="C21238" t="s">
        <v>899</v>
      </c>
      <c r="D21238" t="s">
        <v>900</v>
      </c>
      <c r="E21238" t="s">
        <v>901</v>
      </c>
      <c r="F21238" t="s">
        <v>296</v>
      </c>
      <c r="G21238" t="s">
        <v>47093</v>
      </c>
      <c r="H21238" t="s">
        <v>47054</v>
      </c>
      <c r="I21238" t="s">
        <v>47111</v>
      </c>
      <c r="J21238" t="s">
        <v>47112</v>
      </c>
      <c r="K21238" t="s">
        <v>47113</v>
      </c>
      <c r="L21238">
        <v>53.78</v>
      </c>
      <c r="M21238">
        <v>143</v>
      </c>
      <c r="N21238">
        <v>0</v>
      </c>
      <c r="O21238">
        <v>143</v>
      </c>
      <c r="P21238">
        <v>0</v>
      </c>
    </row>
    <row r="21239" spans="1:16" x14ac:dyDescent="0.25">
      <c r="A21239" t="s">
        <v>44052</v>
      </c>
      <c r="B21239" t="s">
        <v>898</v>
      </c>
      <c r="C21239" t="s">
        <v>899</v>
      </c>
      <c r="D21239" t="s">
        <v>12797</v>
      </c>
      <c r="E21239" t="s">
        <v>12798</v>
      </c>
      <c r="F21239" t="s">
        <v>7</v>
      </c>
      <c r="G21239" t="s">
        <v>47093</v>
      </c>
      <c r="H21239" t="s">
        <v>47054</v>
      </c>
      <c r="I21239" t="s">
        <v>47111</v>
      </c>
      <c r="J21239" t="s">
        <v>47112</v>
      </c>
      <c r="K21239" t="s">
        <v>47113</v>
      </c>
      <c r="L21239">
        <v>54.93</v>
      </c>
      <c r="M21239">
        <v>143</v>
      </c>
      <c r="N21239">
        <v>0</v>
      </c>
      <c r="O21239">
        <v>143</v>
      </c>
      <c r="P21239">
        <v>0</v>
      </c>
    </row>
    <row r="21240" spans="1:16" x14ac:dyDescent="0.25">
      <c r="A21240" t="s">
        <v>902</v>
      </c>
      <c r="B21240" t="s">
        <v>903</v>
      </c>
      <c r="C21240" t="s">
        <v>904</v>
      </c>
      <c r="D21240" t="s">
        <v>905</v>
      </c>
      <c r="E21240" t="s">
        <v>906</v>
      </c>
      <c r="F21240" t="s">
        <v>296</v>
      </c>
      <c r="G21240" t="s">
        <v>49029</v>
      </c>
      <c r="H21240" t="s">
        <v>47054</v>
      </c>
      <c r="I21240" t="s">
        <v>47111</v>
      </c>
      <c r="J21240" t="s">
        <v>47112</v>
      </c>
      <c r="K21240" t="s">
        <v>47113</v>
      </c>
      <c r="L21240">
        <v>37.85</v>
      </c>
      <c r="M21240">
        <v>86</v>
      </c>
      <c r="N21240">
        <v>0</v>
      </c>
      <c r="O21240">
        <v>86</v>
      </c>
      <c r="P21240">
        <v>0</v>
      </c>
    </row>
    <row r="21241" spans="1:16" x14ac:dyDescent="0.25">
      <c r="A21241" t="s">
        <v>44053</v>
      </c>
      <c r="B21241" t="s">
        <v>12799</v>
      </c>
      <c r="C21241" t="s">
        <v>12800</v>
      </c>
      <c r="D21241" t="s">
        <v>12801</v>
      </c>
      <c r="E21241" t="s">
        <v>12802</v>
      </c>
      <c r="F21241" t="s">
        <v>4</v>
      </c>
      <c r="G21241" t="s">
        <v>47093</v>
      </c>
      <c r="I21241" t="s">
        <v>47111</v>
      </c>
      <c r="J21241" t="s">
        <v>47112</v>
      </c>
      <c r="K21241" t="s">
        <v>47113</v>
      </c>
      <c r="L21241">
        <v>39.15</v>
      </c>
      <c r="M21241">
        <v>116</v>
      </c>
      <c r="N21241">
        <v>0</v>
      </c>
      <c r="O21241">
        <v>116</v>
      </c>
      <c r="P21241">
        <v>0</v>
      </c>
    </row>
    <row r="21242" spans="1:16" x14ac:dyDescent="0.25">
      <c r="A21242" t="s">
        <v>44054</v>
      </c>
      <c r="B21242" t="s">
        <v>12803</v>
      </c>
      <c r="C21242" t="s">
        <v>12804</v>
      </c>
      <c r="D21242" t="s">
        <v>5378</v>
      </c>
      <c r="E21242" t="s">
        <v>5379</v>
      </c>
      <c r="F21242" t="s">
        <v>2</v>
      </c>
      <c r="G21242" t="s">
        <v>47093</v>
      </c>
      <c r="H21242" t="s">
        <v>47054</v>
      </c>
      <c r="I21242" t="s">
        <v>47111</v>
      </c>
      <c r="J21242" t="s">
        <v>47112</v>
      </c>
      <c r="K21242" t="s">
        <v>47113</v>
      </c>
      <c r="L21242">
        <v>36.33</v>
      </c>
      <c r="M21242">
        <v>93</v>
      </c>
      <c r="N21242">
        <v>0</v>
      </c>
      <c r="O21242">
        <v>93</v>
      </c>
      <c r="P21242">
        <v>0</v>
      </c>
    </row>
    <row r="21243" spans="1:16" x14ac:dyDescent="0.25">
      <c r="A21243" t="s">
        <v>44055</v>
      </c>
      <c r="B21243" t="s">
        <v>12805</v>
      </c>
      <c r="C21243" t="s">
        <v>12806</v>
      </c>
      <c r="D21243" t="s">
        <v>12797</v>
      </c>
      <c r="E21243" t="s">
        <v>12798</v>
      </c>
      <c r="F21243" t="s">
        <v>7</v>
      </c>
      <c r="G21243" t="s">
        <v>49030</v>
      </c>
      <c r="H21243" t="s">
        <v>47054</v>
      </c>
      <c r="I21243" t="s">
        <v>47111</v>
      </c>
      <c r="J21243" t="s">
        <v>47112</v>
      </c>
      <c r="K21243" t="s">
        <v>47113</v>
      </c>
      <c r="L21243">
        <v>59.16</v>
      </c>
      <c r="M21243">
        <v>153</v>
      </c>
      <c r="N21243">
        <v>0</v>
      </c>
      <c r="O21243">
        <v>153</v>
      </c>
      <c r="P21243">
        <v>0</v>
      </c>
    </row>
    <row r="21244" spans="1:16" x14ac:dyDescent="0.25">
      <c r="A21244" t="s">
        <v>44056</v>
      </c>
      <c r="B21244" t="s">
        <v>12807</v>
      </c>
      <c r="C21244" t="s">
        <v>12808</v>
      </c>
      <c r="D21244" t="s">
        <v>12809</v>
      </c>
      <c r="E21244" t="s">
        <v>12810</v>
      </c>
      <c r="F21244" t="s">
        <v>5</v>
      </c>
      <c r="G21244" t="s">
        <v>47093</v>
      </c>
      <c r="H21244" t="s">
        <v>47054</v>
      </c>
      <c r="I21244" t="s">
        <v>47111</v>
      </c>
      <c r="J21244" t="s">
        <v>47112</v>
      </c>
      <c r="K21244" t="s">
        <v>47113</v>
      </c>
      <c r="L21244">
        <v>45.7</v>
      </c>
      <c r="M21244">
        <v>107</v>
      </c>
      <c r="N21244">
        <v>0</v>
      </c>
      <c r="O21244">
        <v>107</v>
      </c>
      <c r="P21244">
        <v>0</v>
      </c>
    </row>
    <row r="21245" spans="1:16" x14ac:dyDescent="0.25">
      <c r="A21245" t="s">
        <v>14150</v>
      </c>
      <c r="B21245" t="s">
        <v>12807</v>
      </c>
      <c r="C21245" t="s">
        <v>12808</v>
      </c>
      <c r="D21245" t="s">
        <v>12811</v>
      </c>
      <c r="E21245" t="s">
        <v>12812</v>
      </c>
      <c r="F21245" t="s">
        <v>5</v>
      </c>
      <c r="G21245" t="s">
        <v>47093</v>
      </c>
      <c r="H21245" t="s">
        <v>47054</v>
      </c>
      <c r="I21245" t="s">
        <v>47111</v>
      </c>
      <c r="J21245" t="s">
        <v>47112</v>
      </c>
      <c r="K21245" t="s">
        <v>47113</v>
      </c>
      <c r="L21245">
        <v>48.79</v>
      </c>
      <c r="M21245">
        <v>115</v>
      </c>
      <c r="N21245">
        <v>0</v>
      </c>
      <c r="O21245">
        <v>115</v>
      </c>
      <c r="P21245">
        <v>0</v>
      </c>
    </row>
    <row r="21246" spans="1:16" x14ac:dyDescent="0.25">
      <c r="A21246" t="s">
        <v>44057</v>
      </c>
      <c r="B21246" t="s">
        <v>12807</v>
      </c>
      <c r="C21246" t="s">
        <v>12808</v>
      </c>
      <c r="D21246" t="s">
        <v>964</v>
      </c>
      <c r="E21246" t="s">
        <v>965</v>
      </c>
      <c r="F21246" t="s">
        <v>5</v>
      </c>
      <c r="G21246" t="s">
        <v>47093</v>
      </c>
      <c r="H21246" t="s">
        <v>47054</v>
      </c>
      <c r="I21246" t="s">
        <v>47111</v>
      </c>
      <c r="J21246" t="s">
        <v>47112</v>
      </c>
      <c r="K21246" t="s">
        <v>47113</v>
      </c>
      <c r="L21246">
        <v>49.07</v>
      </c>
      <c r="M21246">
        <v>115</v>
      </c>
      <c r="N21246">
        <v>0</v>
      </c>
      <c r="O21246">
        <v>115</v>
      </c>
      <c r="P21246">
        <v>0</v>
      </c>
    </row>
    <row r="21247" spans="1:16" x14ac:dyDescent="0.25">
      <c r="A21247" t="s">
        <v>44058</v>
      </c>
      <c r="B21247" t="s">
        <v>12813</v>
      </c>
      <c r="C21247" t="s">
        <v>12814</v>
      </c>
      <c r="D21247" t="s">
        <v>12809</v>
      </c>
      <c r="E21247" t="s">
        <v>12810</v>
      </c>
      <c r="F21247" t="s">
        <v>5</v>
      </c>
      <c r="G21247" t="s">
        <v>47093</v>
      </c>
      <c r="H21247" t="s">
        <v>47054</v>
      </c>
      <c r="I21247" t="s">
        <v>47111</v>
      </c>
      <c r="J21247" t="s">
        <v>47112</v>
      </c>
      <c r="K21247" t="s">
        <v>47113</v>
      </c>
      <c r="L21247">
        <v>32.380000000000003</v>
      </c>
      <c r="M21247">
        <v>77</v>
      </c>
      <c r="N21247">
        <v>0</v>
      </c>
      <c r="O21247">
        <v>77</v>
      </c>
      <c r="P21247">
        <v>0</v>
      </c>
    </row>
    <row r="21248" spans="1:16" x14ac:dyDescent="0.25">
      <c r="A21248" t="s">
        <v>44059</v>
      </c>
      <c r="B21248" t="s">
        <v>12813</v>
      </c>
      <c r="C21248" t="s">
        <v>12814</v>
      </c>
      <c r="D21248" t="s">
        <v>12811</v>
      </c>
      <c r="E21248" t="s">
        <v>12812</v>
      </c>
      <c r="F21248" t="s">
        <v>5</v>
      </c>
      <c r="G21248" t="s">
        <v>47093</v>
      </c>
      <c r="H21248" t="s">
        <v>47054</v>
      </c>
      <c r="I21248" t="s">
        <v>47111</v>
      </c>
      <c r="J21248" t="s">
        <v>47112</v>
      </c>
      <c r="K21248" t="s">
        <v>47113</v>
      </c>
      <c r="L21248">
        <v>35.479999999999997</v>
      </c>
      <c r="M21248">
        <v>84</v>
      </c>
      <c r="N21248">
        <v>0</v>
      </c>
      <c r="O21248">
        <v>84</v>
      </c>
      <c r="P21248">
        <v>0</v>
      </c>
    </row>
    <row r="21249" spans="1:16" x14ac:dyDescent="0.25">
      <c r="A21249" t="s">
        <v>44060</v>
      </c>
      <c r="B21249" t="s">
        <v>12813</v>
      </c>
      <c r="C21249" t="s">
        <v>12814</v>
      </c>
      <c r="D21249" t="s">
        <v>964</v>
      </c>
      <c r="E21249" t="s">
        <v>965</v>
      </c>
      <c r="F21249" t="s">
        <v>5</v>
      </c>
      <c r="G21249" t="s">
        <v>47093</v>
      </c>
      <c r="H21249" t="s">
        <v>47054</v>
      </c>
      <c r="I21249" t="s">
        <v>47111</v>
      </c>
      <c r="J21249" t="s">
        <v>47112</v>
      </c>
      <c r="K21249" t="s">
        <v>47113</v>
      </c>
      <c r="L21249">
        <v>35.76</v>
      </c>
      <c r="M21249">
        <v>84</v>
      </c>
      <c r="N21249">
        <v>0</v>
      </c>
      <c r="O21249">
        <v>84</v>
      </c>
      <c r="P21249">
        <v>0</v>
      </c>
    </row>
    <row r="21250" spans="1:16" x14ac:dyDescent="0.25">
      <c r="A21250" t="s">
        <v>44061</v>
      </c>
      <c r="B21250" t="s">
        <v>12815</v>
      </c>
      <c r="C21250" t="s">
        <v>12816</v>
      </c>
      <c r="D21250" t="s">
        <v>12809</v>
      </c>
      <c r="E21250" t="s">
        <v>12810</v>
      </c>
      <c r="F21250" t="s">
        <v>5</v>
      </c>
      <c r="G21250" t="s">
        <v>49029</v>
      </c>
      <c r="H21250" t="s">
        <v>47054</v>
      </c>
      <c r="I21250" t="s">
        <v>47111</v>
      </c>
      <c r="J21250" t="s">
        <v>47112</v>
      </c>
      <c r="K21250" t="s">
        <v>47113</v>
      </c>
      <c r="L21250">
        <v>41.67</v>
      </c>
      <c r="M21250">
        <v>96</v>
      </c>
      <c r="N21250">
        <v>0</v>
      </c>
      <c r="O21250">
        <v>96</v>
      </c>
      <c r="P21250">
        <v>0</v>
      </c>
    </row>
    <row r="21251" spans="1:16" x14ac:dyDescent="0.25">
      <c r="A21251" t="s">
        <v>44062</v>
      </c>
      <c r="B21251" t="s">
        <v>12815</v>
      </c>
      <c r="C21251" t="s">
        <v>12816</v>
      </c>
      <c r="D21251" t="s">
        <v>12811</v>
      </c>
      <c r="E21251" t="s">
        <v>12812</v>
      </c>
      <c r="F21251" t="s">
        <v>5</v>
      </c>
      <c r="G21251" t="s">
        <v>49029</v>
      </c>
      <c r="H21251" t="s">
        <v>47054</v>
      </c>
      <c r="I21251" t="s">
        <v>47111</v>
      </c>
      <c r="J21251" t="s">
        <v>47112</v>
      </c>
      <c r="K21251" t="s">
        <v>47113</v>
      </c>
      <c r="L21251">
        <v>45.59</v>
      </c>
      <c r="M21251">
        <v>95</v>
      </c>
      <c r="N21251">
        <v>0</v>
      </c>
      <c r="O21251">
        <v>95</v>
      </c>
      <c r="P21251">
        <v>0</v>
      </c>
    </row>
    <row r="21252" spans="1:16" x14ac:dyDescent="0.25">
      <c r="A21252" t="s">
        <v>44063</v>
      </c>
      <c r="B21252" t="s">
        <v>12815</v>
      </c>
      <c r="C21252" t="s">
        <v>12816</v>
      </c>
      <c r="D21252" t="s">
        <v>964</v>
      </c>
      <c r="E21252" t="s">
        <v>965</v>
      </c>
      <c r="F21252" t="s">
        <v>5</v>
      </c>
      <c r="G21252" t="s">
        <v>49029</v>
      </c>
      <c r="H21252" t="s">
        <v>47054</v>
      </c>
      <c r="I21252" t="s">
        <v>47111</v>
      </c>
      <c r="J21252" t="s">
        <v>47112</v>
      </c>
      <c r="K21252" t="s">
        <v>47113</v>
      </c>
      <c r="L21252">
        <v>43.92</v>
      </c>
      <c r="M21252">
        <v>103</v>
      </c>
      <c r="N21252">
        <v>0</v>
      </c>
      <c r="O21252">
        <v>103</v>
      </c>
      <c r="P21252">
        <v>0</v>
      </c>
    </row>
    <row r="21253" spans="1:16" x14ac:dyDescent="0.25">
      <c r="A21253" t="s">
        <v>44064</v>
      </c>
      <c r="B21253" t="s">
        <v>12817</v>
      </c>
      <c r="C21253" t="s">
        <v>12818</v>
      </c>
      <c r="D21253" t="s">
        <v>12819</v>
      </c>
      <c r="E21253" t="s">
        <v>12820</v>
      </c>
      <c r="F21253" t="s">
        <v>3546</v>
      </c>
      <c r="G21253" t="s">
        <v>47093</v>
      </c>
      <c r="H21253" t="s">
        <v>47054</v>
      </c>
      <c r="I21253" t="s">
        <v>47111</v>
      </c>
      <c r="J21253" t="s">
        <v>47112</v>
      </c>
      <c r="K21253" t="s">
        <v>47113</v>
      </c>
      <c r="L21253">
        <v>37.450000000000003</v>
      </c>
      <c r="M21253">
        <v>92</v>
      </c>
      <c r="N21253">
        <v>0</v>
      </c>
      <c r="O21253">
        <v>92</v>
      </c>
      <c r="P21253">
        <v>0</v>
      </c>
    </row>
    <row r="21254" spans="1:16" x14ac:dyDescent="0.25">
      <c r="A21254" t="s">
        <v>44065</v>
      </c>
      <c r="B21254" t="s">
        <v>12821</v>
      </c>
      <c r="C21254" t="s">
        <v>12822</v>
      </c>
      <c r="D21254" t="s">
        <v>12819</v>
      </c>
      <c r="E21254" t="s">
        <v>12820</v>
      </c>
      <c r="F21254" t="s">
        <v>3546</v>
      </c>
      <c r="G21254" t="s">
        <v>47098</v>
      </c>
      <c r="H21254" t="s">
        <v>47054</v>
      </c>
      <c r="I21254" t="s">
        <v>47116</v>
      </c>
      <c r="J21254" t="s">
        <v>47117</v>
      </c>
      <c r="K21254" t="s">
        <v>47113</v>
      </c>
      <c r="L21254">
        <v>41.76</v>
      </c>
      <c r="M21254">
        <v>103</v>
      </c>
      <c r="N21254">
        <v>0</v>
      </c>
      <c r="O21254">
        <v>103</v>
      </c>
      <c r="P21254">
        <v>0</v>
      </c>
    </row>
    <row r="21255" spans="1:16" x14ac:dyDescent="0.25">
      <c r="A21255" t="s">
        <v>44066</v>
      </c>
      <c r="B21255" t="s">
        <v>12823</v>
      </c>
      <c r="C21255" t="s">
        <v>12824</v>
      </c>
      <c r="D21255" t="s">
        <v>739</v>
      </c>
      <c r="E21255" t="s">
        <v>740</v>
      </c>
      <c r="F21255" t="s">
        <v>7</v>
      </c>
      <c r="G21255" t="s">
        <v>47093</v>
      </c>
      <c r="H21255" t="s">
        <v>47054</v>
      </c>
      <c r="I21255" t="s">
        <v>47111</v>
      </c>
      <c r="J21255" t="s">
        <v>47112</v>
      </c>
      <c r="K21255" t="s">
        <v>47113</v>
      </c>
      <c r="L21255">
        <v>35.880000000000003</v>
      </c>
      <c r="M21255">
        <v>85</v>
      </c>
      <c r="N21255">
        <v>0</v>
      </c>
      <c r="O21255">
        <v>85</v>
      </c>
      <c r="P21255">
        <v>0</v>
      </c>
    </row>
    <row r="21256" spans="1:16" x14ac:dyDescent="0.25">
      <c r="A21256" t="s">
        <v>44067</v>
      </c>
      <c r="B21256" t="s">
        <v>12823</v>
      </c>
      <c r="C21256" t="s">
        <v>12824</v>
      </c>
      <c r="D21256" t="s">
        <v>983</v>
      </c>
      <c r="E21256" t="s">
        <v>984</v>
      </c>
      <c r="F21256" t="s">
        <v>7</v>
      </c>
      <c r="G21256" t="s">
        <v>47093</v>
      </c>
      <c r="H21256" t="s">
        <v>47054</v>
      </c>
      <c r="I21256" t="s">
        <v>47111</v>
      </c>
      <c r="J21256" t="s">
        <v>47112</v>
      </c>
      <c r="K21256" t="s">
        <v>47113</v>
      </c>
      <c r="L21256">
        <v>46.41</v>
      </c>
      <c r="M21256">
        <v>98</v>
      </c>
      <c r="N21256">
        <v>0</v>
      </c>
      <c r="O21256">
        <v>98</v>
      </c>
      <c r="P21256">
        <v>0</v>
      </c>
    </row>
    <row r="21257" spans="1:16" x14ac:dyDescent="0.25">
      <c r="A21257" t="s">
        <v>44068</v>
      </c>
      <c r="B21257" t="s">
        <v>12825</v>
      </c>
      <c r="C21257" t="s">
        <v>12217</v>
      </c>
      <c r="D21257" t="str">
        <f>"11"</f>
        <v>11</v>
      </c>
      <c r="E21257" t="s">
        <v>288</v>
      </c>
      <c r="F21257" t="s">
        <v>7</v>
      </c>
      <c r="G21257" t="s">
        <v>47093</v>
      </c>
      <c r="H21257" t="s">
        <v>47054</v>
      </c>
      <c r="I21257" t="s">
        <v>47111</v>
      </c>
      <c r="J21257" t="s">
        <v>47112</v>
      </c>
      <c r="K21257" t="s">
        <v>47113</v>
      </c>
      <c r="L21257">
        <v>34.33</v>
      </c>
      <c r="M21257">
        <v>91</v>
      </c>
      <c r="N21257">
        <v>0</v>
      </c>
      <c r="O21257">
        <v>91</v>
      </c>
      <c r="P21257">
        <v>0</v>
      </c>
    </row>
    <row r="21258" spans="1:16" x14ac:dyDescent="0.25">
      <c r="A21258" t="s">
        <v>44069</v>
      </c>
      <c r="B21258" t="s">
        <v>12825</v>
      </c>
      <c r="C21258" t="s">
        <v>12217</v>
      </c>
      <c r="D21258" t="s">
        <v>311</v>
      </c>
      <c r="E21258" t="s">
        <v>312</v>
      </c>
      <c r="F21258" t="s">
        <v>7</v>
      </c>
      <c r="G21258" t="s">
        <v>47093</v>
      </c>
      <c r="H21258" t="s">
        <v>47054</v>
      </c>
      <c r="I21258" t="s">
        <v>47111</v>
      </c>
      <c r="J21258" t="s">
        <v>47112</v>
      </c>
      <c r="K21258" t="s">
        <v>47113</v>
      </c>
      <c r="L21258">
        <v>33.81</v>
      </c>
      <c r="M21258">
        <v>91</v>
      </c>
      <c r="N21258">
        <v>0</v>
      </c>
      <c r="O21258">
        <v>91</v>
      </c>
      <c r="P21258">
        <v>0</v>
      </c>
    </row>
    <row r="21259" spans="1:16" x14ac:dyDescent="0.25">
      <c r="A21259" t="s">
        <v>44070</v>
      </c>
      <c r="B21259" t="s">
        <v>908</v>
      </c>
      <c r="C21259" t="s">
        <v>909</v>
      </c>
      <c r="D21259" t="str">
        <f>"11"</f>
        <v>11</v>
      </c>
      <c r="E21259" t="s">
        <v>288</v>
      </c>
      <c r="F21259" t="s">
        <v>7</v>
      </c>
      <c r="G21259" t="s">
        <v>47093</v>
      </c>
      <c r="H21259" t="s">
        <v>47054</v>
      </c>
      <c r="I21259" t="s">
        <v>47111</v>
      </c>
      <c r="J21259" t="s">
        <v>47112</v>
      </c>
      <c r="K21259" t="s">
        <v>47113</v>
      </c>
      <c r="L21259">
        <v>34.4</v>
      </c>
      <c r="M21259">
        <v>80</v>
      </c>
      <c r="N21259">
        <v>0</v>
      </c>
      <c r="O21259">
        <v>80</v>
      </c>
      <c r="P21259">
        <v>0</v>
      </c>
    </row>
    <row r="21260" spans="1:16" x14ac:dyDescent="0.25">
      <c r="A21260" t="s">
        <v>907</v>
      </c>
      <c r="B21260" t="s">
        <v>908</v>
      </c>
      <c r="C21260" t="s">
        <v>909</v>
      </c>
      <c r="D21260" t="s">
        <v>311</v>
      </c>
      <c r="E21260" t="s">
        <v>312</v>
      </c>
      <c r="F21260" t="s">
        <v>7</v>
      </c>
      <c r="G21260" t="s">
        <v>47093</v>
      </c>
      <c r="H21260" t="s">
        <v>47054</v>
      </c>
      <c r="I21260" t="s">
        <v>47111</v>
      </c>
      <c r="J21260" t="s">
        <v>47112</v>
      </c>
      <c r="K21260" t="s">
        <v>47113</v>
      </c>
      <c r="L21260">
        <v>35.619999999999997</v>
      </c>
      <c r="M21260">
        <v>80</v>
      </c>
      <c r="N21260">
        <v>0</v>
      </c>
      <c r="O21260">
        <v>80</v>
      </c>
      <c r="P21260">
        <v>0</v>
      </c>
    </row>
    <row r="21261" spans="1:16" x14ac:dyDescent="0.25">
      <c r="A21261" t="s">
        <v>44071</v>
      </c>
      <c r="B21261" t="s">
        <v>910</v>
      </c>
      <c r="C21261" t="s">
        <v>822</v>
      </c>
      <c r="D21261" t="s">
        <v>311</v>
      </c>
      <c r="E21261" t="s">
        <v>312</v>
      </c>
      <c r="F21261" t="s">
        <v>7</v>
      </c>
      <c r="G21261" t="s">
        <v>47093</v>
      </c>
      <c r="H21261" t="s">
        <v>47054</v>
      </c>
      <c r="I21261" t="s">
        <v>47111</v>
      </c>
      <c r="J21261" t="s">
        <v>47112</v>
      </c>
      <c r="K21261" t="s">
        <v>47113</v>
      </c>
      <c r="L21261">
        <v>35.04</v>
      </c>
      <c r="M21261">
        <v>80</v>
      </c>
      <c r="N21261">
        <v>0</v>
      </c>
      <c r="O21261">
        <v>80</v>
      </c>
      <c r="P21261">
        <v>0</v>
      </c>
    </row>
    <row r="21262" spans="1:16" x14ac:dyDescent="0.25">
      <c r="A21262" t="s">
        <v>44072</v>
      </c>
      <c r="B21262" t="s">
        <v>12826</v>
      </c>
      <c r="C21262" t="s">
        <v>12225</v>
      </c>
      <c r="D21262" t="s">
        <v>311</v>
      </c>
      <c r="E21262" t="s">
        <v>312</v>
      </c>
      <c r="F21262" t="s">
        <v>7</v>
      </c>
      <c r="G21262" t="s">
        <v>47093</v>
      </c>
      <c r="H21262" t="s">
        <v>47054</v>
      </c>
      <c r="I21262" t="s">
        <v>47111</v>
      </c>
      <c r="J21262" t="s">
        <v>47112</v>
      </c>
      <c r="K21262" t="s">
        <v>47113</v>
      </c>
      <c r="L21262">
        <v>40.409999999999997</v>
      </c>
      <c r="M21262">
        <v>101</v>
      </c>
      <c r="N21262">
        <v>0</v>
      </c>
      <c r="O21262">
        <v>101</v>
      </c>
      <c r="P21262">
        <v>0</v>
      </c>
    </row>
    <row r="21263" spans="1:16" x14ac:dyDescent="0.25">
      <c r="A21263" t="s">
        <v>911</v>
      </c>
      <c r="B21263" t="s">
        <v>912</v>
      </c>
      <c r="C21263" t="s">
        <v>913</v>
      </c>
      <c r="D21263" t="str">
        <f>"11"</f>
        <v>11</v>
      </c>
      <c r="E21263" t="s">
        <v>288</v>
      </c>
      <c r="F21263" t="s">
        <v>7</v>
      </c>
      <c r="G21263" t="s">
        <v>47093</v>
      </c>
      <c r="H21263" t="s">
        <v>47054</v>
      </c>
      <c r="I21263" t="s">
        <v>47111</v>
      </c>
      <c r="J21263" t="s">
        <v>47112</v>
      </c>
      <c r="K21263" t="s">
        <v>47113</v>
      </c>
      <c r="L21263">
        <v>36.01</v>
      </c>
      <c r="M21263">
        <v>80</v>
      </c>
      <c r="N21263">
        <v>0</v>
      </c>
      <c r="O21263">
        <v>80</v>
      </c>
      <c r="P21263">
        <v>0</v>
      </c>
    </row>
    <row r="21264" spans="1:16" x14ac:dyDescent="0.25">
      <c r="A21264" t="s">
        <v>44073</v>
      </c>
      <c r="B21264" t="s">
        <v>912</v>
      </c>
      <c r="C21264" t="s">
        <v>913</v>
      </c>
      <c r="D21264" t="s">
        <v>311</v>
      </c>
      <c r="E21264" t="s">
        <v>312</v>
      </c>
      <c r="F21264" t="s">
        <v>7</v>
      </c>
      <c r="G21264" t="s">
        <v>47093</v>
      </c>
      <c r="H21264" t="s">
        <v>47054</v>
      </c>
      <c r="I21264" t="s">
        <v>47111</v>
      </c>
      <c r="J21264" t="s">
        <v>47112</v>
      </c>
      <c r="K21264" t="s">
        <v>47113</v>
      </c>
      <c r="L21264">
        <v>33.81</v>
      </c>
      <c r="M21264">
        <v>80</v>
      </c>
      <c r="N21264">
        <v>0</v>
      </c>
      <c r="O21264">
        <v>80</v>
      </c>
      <c r="P21264">
        <v>0</v>
      </c>
    </row>
    <row r="21265" spans="1:16" x14ac:dyDescent="0.25">
      <c r="A21265" t="s">
        <v>44074</v>
      </c>
      <c r="B21265" t="s">
        <v>912</v>
      </c>
      <c r="C21265" t="s">
        <v>913</v>
      </c>
      <c r="D21265" t="s">
        <v>10154</v>
      </c>
      <c r="E21265" t="s">
        <v>10155</v>
      </c>
      <c r="F21265" t="s">
        <v>7</v>
      </c>
      <c r="G21265" t="s">
        <v>47093</v>
      </c>
      <c r="H21265" t="s">
        <v>47054</v>
      </c>
      <c r="I21265" t="s">
        <v>47111</v>
      </c>
      <c r="J21265" t="s">
        <v>47112</v>
      </c>
      <c r="K21265" t="s">
        <v>47113</v>
      </c>
      <c r="L21265">
        <v>39.47</v>
      </c>
      <c r="M21265">
        <v>95</v>
      </c>
      <c r="N21265">
        <v>0</v>
      </c>
      <c r="O21265">
        <v>95</v>
      </c>
      <c r="P21265">
        <v>0</v>
      </c>
    </row>
    <row r="21266" spans="1:16" x14ac:dyDescent="0.25">
      <c r="A21266" t="s">
        <v>44075</v>
      </c>
      <c r="B21266" t="s">
        <v>12827</v>
      </c>
      <c r="C21266" t="s">
        <v>12828</v>
      </c>
      <c r="D21266" t="s">
        <v>1104</v>
      </c>
      <c r="E21266" t="s">
        <v>1105</v>
      </c>
      <c r="F21266" t="s">
        <v>6</v>
      </c>
      <c r="G21266" t="s">
        <v>47093</v>
      </c>
      <c r="H21266" t="s">
        <v>47054</v>
      </c>
      <c r="I21266" t="s">
        <v>47114</v>
      </c>
      <c r="J21266" t="s">
        <v>47115</v>
      </c>
      <c r="K21266" t="s">
        <v>47113</v>
      </c>
      <c r="L21266">
        <v>36.39</v>
      </c>
      <c r="M21266">
        <v>91</v>
      </c>
      <c r="N21266">
        <v>0</v>
      </c>
      <c r="O21266">
        <v>91</v>
      </c>
      <c r="P21266">
        <v>0</v>
      </c>
    </row>
    <row r="21267" spans="1:16" x14ac:dyDescent="0.25">
      <c r="A21267" t="s">
        <v>44076</v>
      </c>
      <c r="B21267" t="s">
        <v>12829</v>
      </c>
      <c r="C21267" t="s">
        <v>12830</v>
      </c>
      <c r="D21267" t="s">
        <v>12831</v>
      </c>
      <c r="E21267" t="s">
        <v>12832</v>
      </c>
      <c r="F21267" t="s">
        <v>6</v>
      </c>
      <c r="G21267" t="s">
        <v>47093</v>
      </c>
      <c r="H21267" t="s">
        <v>47054</v>
      </c>
      <c r="I21267" t="s">
        <v>47111</v>
      </c>
      <c r="J21267" t="s">
        <v>47112</v>
      </c>
      <c r="K21267" t="s">
        <v>47113</v>
      </c>
      <c r="L21267">
        <v>36.619999999999997</v>
      </c>
      <c r="M21267">
        <v>91</v>
      </c>
      <c r="N21267">
        <v>0</v>
      </c>
      <c r="O21267">
        <v>91</v>
      </c>
      <c r="P21267">
        <v>0</v>
      </c>
    </row>
    <row r="21268" spans="1:16" x14ac:dyDescent="0.25">
      <c r="A21268" t="s">
        <v>44077</v>
      </c>
      <c r="B21268" t="s">
        <v>12829</v>
      </c>
      <c r="C21268" t="s">
        <v>12830</v>
      </c>
      <c r="D21268" t="s">
        <v>1104</v>
      </c>
      <c r="E21268" t="s">
        <v>1105</v>
      </c>
      <c r="F21268" t="s">
        <v>6</v>
      </c>
      <c r="G21268" t="s">
        <v>47093</v>
      </c>
      <c r="H21268" t="s">
        <v>47054</v>
      </c>
      <c r="I21268" t="s">
        <v>47114</v>
      </c>
      <c r="J21268" t="s">
        <v>47115</v>
      </c>
      <c r="K21268" t="s">
        <v>47113</v>
      </c>
      <c r="L21268">
        <v>35.26</v>
      </c>
      <c r="M21268">
        <v>91</v>
      </c>
      <c r="N21268">
        <v>0</v>
      </c>
      <c r="O21268">
        <v>91</v>
      </c>
      <c r="P21268">
        <v>0</v>
      </c>
    </row>
    <row r="21269" spans="1:16" x14ac:dyDescent="0.25">
      <c r="A21269" t="s">
        <v>44078</v>
      </c>
      <c r="B21269" t="s">
        <v>12833</v>
      </c>
      <c r="C21269" t="s">
        <v>12834</v>
      </c>
      <c r="D21269" t="s">
        <v>1104</v>
      </c>
      <c r="E21269" t="s">
        <v>1105</v>
      </c>
      <c r="F21269" t="s">
        <v>6</v>
      </c>
      <c r="G21269" t="s">
        <v>47093</v>
      </c>
      <c r="H21269" t="s">
        <v>47054</v>
      </c>
      <c r="I21269" t="s">
        <v>47114</v>
      </c>
      <c r="J21269" t="s">
        <v>47115</v>
      </c>
      <c r="K21269" t="s">
        <v>47113</v>
      </c>
      <c r="L21269">
        <v>38.69</v>
      </c>
      <c r="M21269">
        <v>95</v>
      </c>
      <c r="N21269">
        <v>0</v>
      </c>
      <c r="O21269">
        <v>95</v>
      </c>
      <c r="P21269">
        <v>0</v>
      </c>
    </row>
    <row r="21270" spans="1:16" x14ac:dyDescent="0.25">
      <c r="A21270" t="s">
        <v>44079</v>
      </c>
      <c r="B21270" t="s">
        <v>12835</v>
      </c>
      <c r="C21270" t="s">
        <v>12836</v>
      </c>
      <c r="D21270" t="s">
        <v>283</v>
      </c>
      <c r="E21270" t="s">
        <v>284</v>
      </c>
      <c r="F21270" t="s">
        <v>6</v>
      </c>
      <c r="G21270" t="s">
        <v>47098</v>
      </c>
      <c r="H21270" t="s">
        <v>47054</v>
      </c>
      <c r="I21270" t="s">
        <v>47116</v>
      </c>
      <c r="J21270" t="s">
        <v>47117</v>
      </c>
      <c r="K21270" t="s">
        <v>47113</v>
      </c>
      <c r="L21270">
        <v>77.48</v>
      </c>
      <c r="M21270">
        <v>181</v>
      </c>
      <c r="N21270">
        <v>0</v>
      </c>
      <c r="O21270">
        <v>181</v>
      </c>
      <c r="P21270">
        <v>0</v>
      </c>
    </row>
    <row r="21271" spans="1:16" x14ac:dyDescent="0.25">
      <c r="A21271" t="s">
        <v>44080</v>
      </c>
      <c r="B21271" t="s">
        <v>12837</v>
      </c>
      <c r="C21271" t="s">
        <v>12836</v>
      </c>
      <c r="D21271" t="s">
        <v>916</v>
      </c>
      <c r="E21271" t="s">
        <v>917</v>
      </c>
      <c r="F21271" t="s">
        <v>6</v>
      </c>
      <c r="G21271" t="s">
        <v>47098</v>
      </c>
      <c r="H21271" t="s">
        <v>47054</v>
      </c>
      <c r="I21271" t="s">
        <v>47116</v>
      </c>
      <c r="J21271" t="s">
        <v>47117</v>
      </c>
      <c r="K21271" t="s">
        <v>47113</v>
      </c>
      <c r="L21271">
        <v>77.48</v>
      </c>
      <c r="M21271">
        <v>181</v>
      </c>
      <c r="N21271">
        <v>0</v>
      </c>
      <c r="O21271">
        <v>181</v>
      </c>
      <c r="P21271">
        <v>0</v>
      </c>
    </row>
    <row r="21272" spans="1:16" x14ac:dyDescent="0.25">
      <c r="A21272" t="s">
        <v>44081</v>
      </c>
      <c r="B21272" t="s">
        <v>12838</v>
      </c>
      <c r="C21272" t="s">
        <v>12839</v>
      </c>
      <c r="D21272" t="s">
        <v>283</v>
      </c>
      <c r="E21272" t="s">
        <v>284</v>
      </c>
      <c r="F21272" t="s">
        <v>6</v>
      </c>
      <c r="G21272" t="s">
        <v>47093</v>
      </c>
      <c r="H21272" t="s">
        <v>47054</v>
      </c>
      <c r="I21272" t="s">
        <v>47111</v>
      </c>
      <c r="J21272" t="s">
        <v>47112</v>
      </c>
      <c r="K21272" t="s">
        <v>47113</v>
      </c>
      <c r="L21272">
        <v>50.59</v>
      </c>
      <c r="M21272">
        <v>124</v>
      </c>
      <c r="N21272">
        <v>0</v>
      </c>
      <c r="O21272">
        <v>124</v>
      </c>
      <c r="P21272">
        <v>0</v>
      </c>
    </row>
    <row r="21273" spans="1:16" x14ac:dyDescent="0.25">
      <c r="A21273" t="s">
        <v>44082</v>
      </c>
      <c r="B21273" t="s">
        <v>12840</v>
      </c>
      <c r="C21273" t="s">
        <v>12839</v>
      </c>
      <c r="D21273" t="s">
        <v>916</v>
      </c>
      <c r="E21273" t="s">
        <v>917</v>
      </c>
      <c r="F21273" t="s">
        <v>6</v>
      </c>
      <c r="G21273" t="s">
        <v>47093</v>
      </c>
      <c r="H21273" t="s">
        <v>47054</v>
      </c>
      <c r="I21273" t="s">
        <v>47114</v>
      </c>
      <c r="J21273" t="s">
        <v>47115</v>
      </c>
      <c r="K21273" t="s">
        <v>47113</v>
      </c>
      <c r="L21273">
        <v>50.59</v>
      </c>
      <c r="M21273">
        <v>124</v>
      </c>
      <c r="N21273">
        <v>0</v>
      </c>
      <c r="O21273">
        <v>124</v>
      </c>
      <c r="P21273">
        <v>0</v>
      </c>
    </row>
    <row r="21274" spans="1:16" x14ac:dyDescent="0.25">
      <c r="A21274" t="s">
        <v>44083</v>
      </c>
      <c r="B21274" t="s">
        <v>914</v>
      </c>
      <c r="C21274" t="s">
        <v>915</v>
      </c>
      <c r="D21274" t="s">
        <v>916</v>
      </c>
      <c r="E21274" t="s">
        <v>917</v>
      </c>
      <c r="F21274" t="s">
        <v>6</v>
      </c>
      <c r="G21274" t="s">
        <v>47093</v>
      </c>
      <c r="H21274" t="s">
        <v>47054</v>
      </c>
      <c r="I21274" t="s">
        <v>47111</v>
      </c>
      <c r="J21274" t="s">
        <v>47112</v>
      </c>
      <c r="K21274" t="s">
        <v>47113</v>
      </c>
      <c r="L21274">
        <v>49.26</v>
      </c>
      <c r="M21274">
        <v>121</v>
      </c>
      <c r="N21274">
        <v>0</v>
      </c>
      <c r="O21274">
        <v>121</v>
      </c>
      <c r="P21274">
        <v>0</v>
      </c>
    </row>
    <row r="21275" spans="1:16" x14ac:dyDescent="0.25">
      <c r="A21275" t="s">
        <v>44084</v>
      </c>
      <c r="B21275" t="s">
        <v>12841</v>
      </c>
      <c r="C21275" t="s">
        <v>12842</v>
      </c>
      <c r="D21275" t="s">
        <v>3291</v>
      </c>
      <c r="E21275" t="s">
        <v>3292</v>
      </c>
      <c r="F21275" t="s">
        <v>5</v>
      </c>
      <c r="G21275" t="s">
        <v>47093</v>
      </c>
      <c r="H21275" t="s">
        <v>47054</v>
      </c>
      <c r="I21275" t="s">
        <v>47111</v>
      </c>
      <c r="J21275" t="s">
        <v>47112</v>
      </c>
      <c r="K21275" t="s">
        <v>47113</v>
      </c>
      <c r="L21275">
        <v>41.09</v>
      </c>
      <c r="M21275">
        <v>96</v>
      </c>
      <c r="N21275">
        <v>0</v>
      </c>
      <c r="O21275">
        <v>96</v>
      </c>
      <c r="P21275">
        <v>0</v>
      </c>
    </row>
    <row r="21276" spans="1:16" x14ac:dyDescent="0.25">
      <c r="A21276" t="s">
        <v>44085</v>
      </c>
      <c r="B21276" t="s">
        <v>12841</v>
      </c>
      <c r="C21276" t="s">
        <v>12842</v>
      </c>
      <c r="D21276" t="s">
        <v>12843</v>
      </c>
      <c r="E21276" t="s">
        <v>12844</v>
      </c>
      <c r="F21276" t="s">
        <v>5</v>
      </c>
      <c r="G21276" t="s">
        <v>47093</v>
      </c>
      <c r="H21276" t="s">
        <v>47054</v>
      </c>
      <c r="I21276" t="s">
        <v>47111</v>
      </c>
      <c r="J21276" t="s">
        <v>47112</v>
      </c>
      <c r="K21276" t="s">
        <v>47113</v>
      </c>
      <c r="L21276">
        <v>41.09</v>
      </c>
      <c r="M21276">
        <v>96</v>
      </c>
      <c r="N21276">
        <v>0</v>
      </c>
      <c r="O21276">
        <v>96</v>
      </c>
      <c r="P21276">
        <v>0</v>
      </c>
    </row>
    <row r="21277" spans="1:16" x14ac:dyDescent="0.25">
      <c r="A21277" t="s">
        <v>44086</v>
      </c>
      <c r="B21277" t="s">
        <v>12845</v>
      </c>
      <c r="C21277" t="s">
        <v>12846</v>
      </c>
      <c r="D21277" t="s">
        <v>3291</v>
      </c>
      <c r="E21277" t="s">
        <v>3292</v>
      </c>
      <c r="F21277" t="s">
        <v>5</v>
      </c>
      <c r="G21277" t="s">
        <v>47093</v>
      </c>
      <c r="H21277" t="s">
        <v>47054</v>
      </c>
      <c r="I21277" t="s">
        <v>47111</v>
      </c>
      <c r="J21277" t="s">
        <v>47112</v>
      </c>
      <c r="K21277" t="s">
        <v>47113</v>
      </c>
      <c r="L21277">
        <v>41.09</v>
      </c>
      <c r="M21277">
        <v>96</v>
      </c>
      <c r="N21277">
        <v>0</v>
      </c>
      <c r="O21277">
        <v>96</v>
      </c>
      <c r="P21277">
        <v>0</v>
      </c>
    </row>
    <row r="21278" spans="1:16" x14ac:dyDescent="0.25">
      <c r="A21278" t="s">
        <v>44087</v>
      </c>
      <c r="B21278" t="s">
        <v>12845</v>
      </c>
      <c r="C21278" t="s">
        <v>12846</v>
      </c>
      <c r="D21278" t="s">
        <v>12843</v>
      </c>
      <c r="E21278" t="s">
        <v>12844</v>
      </c>
      <c r="F21278" t="s">
        <v>5</v>
      </c>
      <c r="G21278" t="s">
        <v>47093</v>
      </c>
      <c r="H21278" t="s">
        <v>47054</v>
      </c>
      <c r="I21278" t="s">
        <v>47111</v>
      </c>
      <c r="J21278" t="s">
        <v>47112</v>
      </c>
      <c r="K21278" t="s">
        <v>47113</v>
      </c>
      <c r="L21278">
        <v>41.09</v>
      </c>
      <c r="M21278">
        <v>96</v>
      </c>
      <c r="N21278">
        <v>0</v>
      </c>
      <c r="O21278">
        <v>96</v>
      </c>
      <c r="P21278">
        <v>0</v>
      </c>
    </row>
    <row r="21279" spans="1:16" x14ac:dyDescent="0.25">
      <c r="A21279" t="s">
        <v>44088</v>
      </c>
      <c r="B21279" t="s">
        <v>12847</v>
      </c>
      <c r="C21279" t="s">
        <v>12848</v>
      </c>
      <c r="D21279" t="s">
        <v>2908</v>
      </c>
      <c r="E21279" t="s">
        <v>2909</v>
      </c>
      <c r="F21279" t="s">
        <v>5</v>
      </c>
      <c r="G21279" t="s">
        <v>47093</v>
      </c>
      <c r="H21279" t="s">
        <v>47054</v>
      </c>
      <c r="I21279" t="s">
        <v>47111</v>
      </c>
      <c r="J21279" t="s">
        <v>47112</v>
      </c>
      <c r="K21279" t="s">
        <v>47113</v>
      </c>
      <c r="L21279">
        <v>61.85</v>
      </c>
      <c r="M21279">
        <v>146</v>
      </c>
      <c r="N21279">
        <v>0</v>
      </c>
      <c r="O21279">
        <v>146</v>
      </c>
      <c r="P21279">
        <v>0</v>
      </c>
    </row>
    <row r="21280" spans="1:16" x14ac:dyDescent="0.25">
      <c r="A21280" t="s">
        <v>44089</v>
      </c>
      <c r="B21280" t="s">
        <v>12849</v>
      </c>
      <c r="C21280" t="s">
        <v>705</v>
      </c>
      <c r="D21280" t="s">
        <v>3291</v>
      </c>
      <c r="E21280" t="s">
        <v>3292</v>
      </c>
      <c r="F21280" t="s">
        <v>5</v>
      </c>
      <c r="G21280" t="s">
        <v>47098</v>
      </c>
      <c r="H21280" t="s">
        <v>47054</v>
      </c>
      <c r="I21280" t="s">
        <v>47116</v>
      </c>
      <c r="J21280" t="s">
        <v>47117</v>
      </c>
      <c r="K21280" t="s">
        <v>47113</v>
      </c>
      <c r="L21280">
        <v>45.08</v>
      </c>
      <c r="M21280">
        <v>103</v>
      </c>
      <c r="N21280">
        <v>0</v>
      </c>
      <c r="O21280">
        <v>103</v>
      </c>
      <c r="P21280">
        <v>0</v>
      </c>
    </row>
    <row r="21281" spans="1:16" x14ac:dyDescent="0.25">
      <c r="A21281" t="s">
        <v>44090</v>
      </c>
      <c r="B21281" t="s">
        <v>12850</v>
      </c>
      <c r="C21281" t="s">
        <v>12781</v>
      </c>
      <c r="D21281" t="str">
        <f>"07"</f>
        <v>07</v>
      </c>
      <c r="E21281" t="s">
        <v>12851</v>
      </c>
      <c r="F21281" t="s">
        <v>2</v>
      </c>
      <c r="G21281" t="s">
        <v>47093</v>
      </c>
      <c r="H21281" t="s">
        <v>47054</v>
      </c>
      <c r="I21281" t="s">
        <v>47111</v>
      </c>
      <c r="J21281" t="s">
        <v>47112</v>
      </c>
      <c r="K21281" t="s">
        <v>47113</v>
      </c>
      <c r="L21281">
        <v>33.270000000000003</v>
      </c>
      <c r="M21281">
        <v>85</v>
      </c>
      <c r="N21281">
        <v>0</v>
      </c>
      <c r="O21281">
        <v>85</v>
      </c>
      <c r="P21281">
        <v>0</v>
      </c>
    </row>
    <row r="21282" spans="1:16" x14ac:dyDescent="0.25">
      <c r="A21282" t="s">
        <v>44091</v>
      </c>
      <c r="B21282" t="s">
        <v>12850</v>
      </c>
      <c r="C21282" t="s">
        <v>12781</v>
      </c>
      <c r="D21282" t="str">
        <f>"11"</f>
        <v>11</v>
      </c>
      <c r="E21282" t="s">
        <v>288</v>
      </c>
      <c r="F21282" t="s">
        <v>2</v>
      </c>
      <c r="G21282" t="s">
        <v>47093</v>
      </c>
      <c r="H21282" t="s">
        <v>47054</v>
      </c>
      <c r="I21282" t="s">
        <v>47111</v>
      </c>
      <c r="J21282" t="s">
        <v>47112</v>
      </c>
      <c r="K21282" t="s">
        <v>47113</v>
      </c>
      <c r="L21282">
        <v>29.28</v>
      </c>
      <c r="M21282">
        <v>70</v>
      </c>
      <c r="N21282">
        <v>0</v>
      </c>
      <c r="O21282">
        <v>70</v>
      </c>
      <c r="P21282">
        <v>0</v>
      </c>
    </row>
    <row r="21283" spans="1:16" x14ac:dyDescent="0.25">
      <c r="A21283" t="s">
        <v>44092</v>
      </c>
      <c r="B21283" t="s">
        <v>12850</v>
      </c>
      <c r="C21283" t="s">
        <v>12781</v>
      </c>
      <c r="D21283" t="s">
        <v>721</v>
      </c>
      <c r="E21283" t="s">
        <v>722</v>
      </c>
      <c r="F21283" t="s">
        <v>2</v>
      </c>
      <c r="G21283" t="s">
        <v>47093</v>
      </c>
      <c r="H21283" t="s">
        <v>47054</v>
      </c>
      <c r="I21283" t="s">
        <v>47111</v>
      </c>
      <c r="J21283" t="s">
        <v>47112</v>
      </c>
      <c r="K21283" t="s">
        <v>47113</v>
      </c>
      <c r="L21283">
        <v>40.82</v>
      </c>
      <c r="M21283">
        <v>85</v>
      </c>
      <c r="N21283">
        <v>0</v>
      </c>
      <c r="O21283">
        <v>85</v>
      </c>
      <c r="P21283">
        <v>0</v>
      </c>
    </row>
    <row r="21284" spans="1:16" x14ac:dyDescent="0.25">
      <c r="A21284" t="s">
        <v>44093</v>
      </c>
      <c r="B21284" t="s">
        <v>12850</v>
      </c>
      <c r="C21284" t="s">
        <v>12781</v>
      </c>
      <c r="D21284" t="str">
        <f>"63"</f>
        <v>63</v>
      </c>
      <c r="E21284" t="s">
        <v>40</v>
      </c>
      <c r="F21284" t="s">
        <v>2</v>
      </c>
      <c r="G21284" t="s">
        <v>47093</v>
      </c>
      <c r="H21284" t="s">
        <v>47054</v>
      </c>
      <c r="I21284" t="s">
        <v>47111</v>
      </c>
      <c r="J21284" t="s">
        <v>47112</v>
      </c>
      <c r="K21284" t="s">
        <v>47113</v>
      </c>
      <c r="L21284">
        <v>32.08</v>
      </c>
      <c r="M21284">
        <v>73</v>
      </c>
      <c r="N21284">
        <v>0</v>
      </c>
      <c r="O21284">
        <v>73</v>
      </c>
      <c r="P21284">
        <v>0</v>
      </c>
    </row>
    <row r="21285" spans="1:16" x14ac:dyDescent="0.25">
      <c r="A21285" t="s">
        <v>44094</v>
      </c>
      <c r="B21285" t="s">
        <v>12850</v>
      </c>
      <c r="C21285" t="s">
        <v>12781</v>
      </c>
      <c r="D21285" t="str">
        <f>"78"</f>
        <v>78</v>
      </c>
      <c r="E21285" t="s">
        <v>5106</v>
      </c>
      <c r="F21285" t="s">
        <v>2</v>
      </c>
      <c r="G21285" t="s">
        <v>47093</v>
      </c>
      <c r="H21285" t="s">
        <v>47054</v>
      </c>
      <c r="I21285" t="s">
        <v>47111</v>
      </c>
      <c r="J21285" t="s">
        <v>47112</v>
      </c>
      <c r="K21285" t="s">
        <v>47113</v>
      </c>
      <c r="L21285">
        <v>30.08</v>
      </c>
      <c r="M21285">
        <v>93</v>
      </c>
      <c r="N21285">
        <v>0</v>
      </c>
      <c r="O21285">
        <v>93</v>
      </c>
      <c r="P21285">
        <v>0</v>
      </c>
    </row>
    <row r="21286" spans="1:16" x14ac:dyDescent="0.25">
      <c r="A21286" t="s">
        <v>44095</v>
      </c>
      <c r="B21286" t="s">
        <v>12850</v>
      </c>
      <c r="C21286" t="s">
        <v>12781</v>
      </c>
      <c r="D21286" t="s">
        <v>1790</v>
      </c>
      <c r="E21286" t="s">
        <v>1791</v>
      </c>
      <c r="F21286" t="s">
        <v>2</v>
      </c>
      <c r="G21286" t="s">
        <v>47093</v>
      </c>
      <c r="H21286" t="s">
        <v>47054</v>
      </c>
      <c r="I21286" t="s">
        <v>47111</v>
      </c>
      <c r="J21286" t="s">
        <v>47112</v>
      </c>
      <c r="K21286" t="s">
        <v>47113</v>
      </c>
      <c r="L21286">
        <v>34.92</v>
      </c>
      <c r="M21286">
        <v>85</v>
      </c>
      <c r="N21286">
        <v>0</v>
      </c>
      <c r="O21286">
        <v>85</v>
      </c>
      <c r="P21286">
        <v>0</v>
      </c>
    </row>
    <row r="21287" spans="1:16" x14ac:dyDescent="0.25">
      <c r="A21287" t="s">
        <v>44096</v>
      </c>
      <c r="B21287" t="s">
        <v>12850</v>
      </c>
      <c r="C21287" t="s">
        <v>12781</v>
      </c>
      <c r="D21287" t="s">
        <v>970</v>
      </c>
      <c r="E21287" t="s">
        <v>971</v>
      </c>
      <c r="F21287" t="s">
        <v>2</v>
      </c>
      <c r="G21287" t="s">
        <v>47093</v>
      </c>
      <c r="H21287" t="s">
        <v>47054</v>
      </c>
      <c r="I21287" t="s">
        <v>47111</v>
      </c>
      <c r="J21287" t="s">
        <v>47112</v>
      </c>
      <c r="K21287" t="s">
        <v>47113</v>
      </c>
      <c r="L21287">
        <v>40.82</v>
      </c>
      <c r="M21287">
        <v>85</v>
      </c>
      <c r="N21287">
        <v>0</v>
      </c>
      <c r="O21287">
        <v>85</v>
      </c>
      <c r="P21287">
        <v>0</v>
      </c>
    </row>
    <row r="21288" spans="1:16" x14ac:dyDescent="0.25">
      <c r="A21288" t="s">
        <v>44097</v>
      </c>
      <c r="B21288" t="s">
        <v>12850</v>
      </c>
      <c r="C21288" t="s">
        <v>12781</v>
      </c>
      <c r="D21288" t="s">
        <v>12852</v>
      </c>
      <c r="E21288" t="s">
        <v>12853</v>
      </c>
      <c r="F21288" t="s">
        <v>3</v>
      </c>
      <c r="G21288" t="s">
        <v>47093</v>
      </c>
      <c r="H21288" t="s">
        <v>47054</v>
      </c>
      <c r="I21288" t="s">
        <v>47111</v>
      </c>
      <c r="J21288" t="s">
        <v>47112</v>
      </c>
      <c r="K21288" t="s">
        <v>47113</v>
      </c>
      <c r="L21288">
        <v>46.41</v>
      </c>
      <c r="M21288">
        <v>110</v>
      </c>
      <c r="N21288">
        <v>0</v>
      </c>
      <c r="O21288">
        <v>110</v>
      </c>
      <c r="P21288">
        <v>0</v>
      </c>
    </row>
    <row r="21289" spans="1:16" x14ac:dyDescent="0.25">
      <c r="A21289" t="s">
        <v>44098</v>
      </c>
      <c r="B21289" t="s">
        <v>12850</v>
      </c>
      <c r="C21289" t="s">
        <v>12781</v>
      </c>
      <c r="D21289" t="s">
        <v>22</v>
      </c>
      <c r="E21289" t="s">
        <v>23</v>
      </c>
      <c r="F21289" t="s">
        <v>2</v>
      </c>
      <c r="G21289" t="s">
        <v>47093</v>
      </c>
      <c r="H21289" t="s">
        <v>47054</v>
      </c>
      <c r="I21289" t="s">
        <v>47111</v>
      </c>
      <c r="J21289" t="s">
        <v>47112</v>
      </c>
      <c r="K21289" t="s">
        <v>47113</v>
      </c>
      <c r="L21289">
        <v>31.15</v>
      </c>
      <c r="M21289">
        <v>85</v>
      </c>
      <c r="N21289">
        <v>0</v>
      </c>
      <c r="O21289">
        <v>85</v>
      </c>
      <c r="P21289">
        <v>0</v>
      </c>
    </row>
    <row r="21290" spans="1:16" x14ac:dyDescent="0.25">
      <c r="A21290" t="s">
        <v>44099</v>
      </c>
      <c r="B21290" t="s">
        <v>12850</v>
      </c>
      <c r="C21290" t="s">
        <v>12781</v>
      </c>
      <c r="D21290" t="s">
        <v>12749</v>
      </c>
      <c r="E21290" t="s">
        <v>12750</v>
      </c>
      <c r="F21290" t="s">
        <v>6</v>
      </c>
      <c r="G21290" t="s">
        <v>47093</v>
      </c>
      <c r="H21290" t="s">
        <v>47054</v>
      </c>
      <c r="I21290" t="s">
        <v>47111</v>
      </c>
      <c r="J21290" t="s">
        <v>47112</v>
      </c>
      <c r="K21290" t="s">
        <v>47113</v>
      </c>
      <c r="L21290">
        <v>35.01</v>
      </c>
      <c r="M21290">
        <v>89</v>
      </c>
      <c r="N21290">
        <v>0</v>
      </c>
      <c r="O21290">
        <v>89</v>
      </c>
      <c r="P21290">
        <v>0</v>
      </c>
    </row>
    <row r="21291" spans="1:16" x14ac:dyDescent="0.25">
      <c r="A21291" t="s">
        <v>44100</v>
      </c>
      <c r="B21291" t="s">
        <v>12850</v>
      </c>
      <c r="C21291" t="s">
        <v>12781</v>
      </c>
      <c r="D21291" t="s">
        <v>973</v>
      </c>
      <c r="E21291" t="s">
        <v>974</v>
      </c>
      <c r="F21291" t="s">
        <v>2</v>
      </c>
      <c r="G21291" t="s">
        <v>47093</v>
      </c>
      <c r="H21291" t="s">
        <v>47054</v>
      </c>
      <c r="I21291" t="s">
        <v>47111</v>
      </c>
      <c r="J21291" t="s">
        <v>47112</v>
      </c>
      <c r="K21291" t="s">
        <v>47113</v>
      </c>
      <c r="L21291">
        <v>35.4</v>
      </c>
      <c r="M21291">
        <v>85</v>
      </c>
      <c r="N21291">
        <v>0</v>
      </c>
      <c r="O21291">
        <v>85</v>
      </c>
      <c r="P21291">
        <v>0</v>
      </c>
    </row>
    <row r="21292" spans="1:16" x14ac:dyDescent="0.25">
      <c r="A21292" t="s">
        <v>44101</v>
      </c>
      <c r="B21292" t="s">
        <v>12850</v>
      </c>
      <c r="C21292" t="s">
        <v>12781</v>
      </c>
      <c r="D21292" t="s">
        <v>6814</v>
      </c>
      <c r="E21292" t="s">
        <v>6815</v>
      </c>
      <c r="F21292" t="s">
        <v>2</v>
      </c>
      <c r="G21292" t="s">
        <v>47093</v>
      </c>
      <c r="H21292" t="s">
        <v>47054</v>
      </c>
      <c r="I21292" t="s">
        <v>47111</v>
      </c>
      <c r="J21292" t="s">
        <v>47112</v>
      </c>
      <c r="K21292" t="s">
        <v>47113</v>
      </c>
      <c r="L21292">
        <v>34.700000000000003</v>
      </c>
      <c r="M21292">
        <v>80</v>
      </c>
      <c r="N21292">
        <v>0</v>
      </c>
      <c r="O21292">
        <v>80</v>
      </c>
      <c r="P21292">
        <v>0</v>
      </c>
    </row>
    <row r="21293" spans="1:16" x14ac:dyDescent="0.25">
      <c r="A21293" t="s">
        <v>44102</v>
      </c>
      <c r="B21293" t="s">
        <v>12850</v>
      </c>
      <c r="C21293" t="s">
        <v>12781</v>
      </c>
      <c r="D21293" t="s">
        <v>6816</v>
      </c>
      <c r="E21293" t="s">
        <v>6817</v>
      </c>
      <c r="F21293" t="s">
        <v>2</v>
      </c>
      <c r="G21293" t="s">
        <v>47093</v>
      </c>
      <c r="H21293" t="s">
        <v>47054</v>
      </c>
      <c r="I21293" t="s">
        <v>47111</v>
      </c>
      <c r="J21293" t="s">
        <v>47112</v>
      </c>
      <c r="K21293" t="s">
        <v>47113</v>
      </c>
      <c r="L21293">
        <v>33.270000000000003</v>
      </c>
      <c r="M21293">
        <v>77</v>
      </c>
      <c r="N21293">
        <v>0</v>
      </c>
      <c r="O21293">
        <v>77</v>
      </c>
      <c r="P21293">
        <v>0</v>
      </c>
    </row>
    <row r="21294" spans="1:16" x14ac:dyDescent="0.25">
      <c r="A21294" t="s">
        <v>44103</v>
      </c>
      <c r="B21294" t="s">
        <v>12850</v>
      </c>
      <c r="C21294" t="s">
        <v>12781</v>
      </c>
      <c r="D21294" t="s">
        <v>976</v>
      </c>
      <c r="E21294" t="s">
        <v>977</v>
      </c>
      <c r="F21294" t="s">
        <v>6</v>
      </c>
      <c r="G21294" t="s">
        <v>47093</v>
      </c>
      <c r="H21294" t="s">
        <v>47054</v>
      </c>
      <c r="I21294" t="s">
        <v>47111</v>
      </c>
      <c r="J21294" t="s">
        <v>47112</v>
      </c>
      <c r="K21294" t="s">
        <v>47113</v>
      </c>
      <c r="L21294">
        <v>33.69</v>
      </c>
      <c r="M21294">
        <v>77</v>
      </c>
      <c r="N21294">
        <v>0</v>
      </c>
      <c r="O21294">
        <v>77</v>
      </c>
      <c r="P21294">
        <v>0</v>
      </c>
    </row>
    <row r="21295" spans="1:16" x14ac:dyDescent="0.25">
      <c r="A21295" t="s">
        <v>44104</v>
      </c>
      <c r="B21295" t="s">
        <v>12850</v>
      </c>
      <c r="C21295" t="s">
        <v>12781</v>
      </c>
      <c r="D21295" t="s">
        <v>6818</v>
      </c>
      <c r="E21295" t="s">
        <v>6819</v>
      </c>
      <c r="F21295" t="s">
        <v>2</v>
      </c>
      <c r="G21295" t="s">
        <v>47093</v>
      </c>
      <c r="H21295" t="s">
        <v>47054</v>
      </c>
      <c r="I21295" t="s">
        <v>47111</v>
      </c>
      <c r="J21295" t="s">
        <v>47112</v>
      </c>
      <c r="K21295" t="s">
        <v>47113</v>
      </c>
      <c r="L21295">
        <v>33.270000000000003</v>
      </c>
      <c r="M21295">
        <v>77</v>
      </c>
      <c r="N21295">
        <v>0</v>
      </c>
      <c r="O21295">
        <v>77</v>
      </c>
      <c r="P21295">
        <v>0</v>
      </c>
    </row>
    <row r="21296" spans="1:16" x14ac:dyDescent="0.25">
      <c r="A21296" t="s">
        <v>44105</v>
      </c>
      <c r="B21296" t="s">
        <v>12850</v>
      </c>
      <c r="C21296" t="s">
        <v>12781</v>
      </c>
      <c r="D21296" t="s">
        <v>921</v>
      </c>
      <c r="E21296" t="s">
        <v>922</v>
      </c>
      <c r="F21296" t="s">
        <v>2</v>
      </c>
      <c r="G21296" t="s">
        <v>47093</v>
      </c>
      <c r="H21296" t="s">
        <v>47054</v>
      </c>
      <c r="I21296" t="s">
        <v>47111</v>
      </c>
      <c r="J21296" t="s">
        <v>47112</v>
      </c>
      <c r="K21296" t="s">
        <v>47113</v>
      </c>
      <c r="L21296">
        <v>34.700000000000003</v>
      </c>
      <c r="M21296">
        <v>80</v>
      </c>
      <c r="N21296">
        <v>0</v>
      </c>
      <c r="O21296">
        <v>80</v>
      </c>
      <c r="P21296">
        <v>0</v>
      </c>
    </row>
    <row r="21297" spans="1:16" x14ac:dyDescent="0.25">
      <c r="A21297" t="s">
        <v>44106</v>
      </c>
      <c r="B21297" t="s">
        <v>918</v>
      </c>
      <c r="C21297" t="s">
        <v>919</v>
      </c>
      <c r="D21297" t="str">
        <f>"07"</f>
        <v>07</v>
      </c>
      <c r="E21297" t="s">
        <v>12851</v>
      </c>
      <c r="F21297" t="s">
        <v>2</v>
      </c>
      <c r="G21297" t="s">
        <v>47093</v>
      </c>
      <c r="H21297" t="s">
        <v>47054</v>
      </c>
      <c r="I21297" t="s">
        <v>47111</v>
      </c>
      <c r="J21297" t="s">
        <v>47112</v>
      </c>
      <c r="K21297" t="s">
        <v>47113</v>
      </c>
      <c r="L21297">
        <v>33.270000000000003</v>
      </c>
      <c r="M21297">
        <v>85</v>
      </c>
      <c r="N21297">
        <v>0</v>
      </c>
      <c r="O21297">
        <v>85</v>
      </c>
      <c r="P21297">
        <v>0</v>
      </c>
    </row>
    <row r="21298" spans="1:16" x14ac:dyDescent="0.25">
      <c r="A21298" t="s">
        <v>44107</v>
      </c>
      <c r="B21298" t="s">
        <v>918</v>
      </c>
      <c r="C21298" t="s">
        <v>919</v>
      </c>
      <c r="D21298" t="str">
        <f>"11"</f>
        <v>11</v>
      </c>
      <c r="E21298" t="s">
        <v>288</v>
      </c>
      <c r="F21298" t="s">
        <v>2</v>
      </c>
      <c r="G21298" t="s">
        <v>47093</v>
      </c>
      <c r="H21298" t="s">
        <v>47054</v>
      </c>
      <c r="I21298" t="s">
        <v>47111</v>
      </c>
      <c r="J21298" t="s">
        <v>47112</v>
      </c>
      <c r="K21298" t="s">
        <v>47113</v>
      </c>
      <c r="L21298">
        <v>30.3</v>
      </c>
      <c r="M21298">
        <v>70</v>
      </c>
      <c r="N21298">
        <v>0</v>
      </c>
      <c r="O21298">
        <v>70</v>
      </c>
      <c r="P21298">
        <v>0</v>
      </c>
    </row>
    <row r="21299" spans="1:16" x14ac:dyDescent="0.25">
      <c r="A21299" t="s">
        <v>44108</v>
      </c>
      <c r="B21299" t="s">
        <v>918</v>
      </c>
      <c r="C21299" t="s">
        <v>919</v>
      </c>
      <c r="D21299" t="s">
        <v>721</v>
      </c>
      <c r="E21299" t="s">
        <v>722</v>
      </c>
      <c r="F21299" t="s">
        <v>2</v>
      </c>
      <c r="G21299" t="s">
        <v>47093</v>
      </c>
      <c r="H21299" t="s">
        <v>47054</v>
      </c>
      <c r="I21299" t="s">
        <v>47111</v>
      </c>
      <c r="J21299" t="s">
        <v>47112</v>
      </c>
      <c r="K21299" t="s">
        <v>47113</v>
      </c>
      <c r="L21299">
        <v>27.8</v>
      </c>
      <c r="M21299">
        <v>85</v>
      </c>
      <c r="N21299">
        <v>0</v>
      </c>
      <c r="O21299">
        <v>85</v>
      </c>
      <c r="P21299">
        <v>0</v>
      </c>
    </row>
    <row r="21300" spans="1:16" x14ac:dyDescent="0.25">
      <c r="A21300" t="s">
        <v>44109</v>
      </c>
      <c r="B21300" t="s">
        <v>918</v>
      </c>
      <c r="C21300" t="s">
        <v>919</v>
      </c>
      <c r="D21300" t="str">
        <f>"63"</f>
        <v>63</v>
      </c>
      <c r="E21300" t="s">
        <v>40</v>
      </c>
      <c r="F21300" t="s">
        <v>2</v>
      </c>
      <c r="G21300" t="s">
        <v>47093</v>
      </c>
      <c r="H21300" t="s">
        <v>47054</v>
      </c>
      <c r="I21300" t="s">
        <v>47111</v>
      </c>
      <c r="J21300" t="s">
        <v>47112</v>
      </c>
      <c r="K21300" t="s">
        <v>47113</v>
      </c>
      <c r="L21300">
        <v>32.08</v>
      </c>
      <c r="M21300">
        <v>73</v>
      </c>
      <c r="N21300">
        <v>0</v>
      </c>
      <c r="O21300">
        <v>73</v>
      </c>
      <c r="P21300">
        <v>0</v>
      </c>
    </row>
    <row r="21301" spans="1:16" x14ac:dyDescent="0.25">
      <c r="A21301" t="s">
        <v>44110</v>
      </c>
      <c r="B21301" t="s">
        <v>918</v>
      </c>
      <c r="C21301" t="s">
        <v>919</v>
      </c>
      <c r="D21301" t="str">
        <f>"78"</f>
        <v>78</v>
      </c>
      <c r="E21301" t="s">
        <v>5106</v>
      </c>
      <c r="F21301" t="s">
        <v>2</v>
      </c>
      <c r="G21301" t="s">
        <v>47093</v>
      </c>
      <c r="H21301" t="s">
        <v>47054</v>
      </c>
      <c r="I21301" t="s">
        <v>47111</v>
      </c>
      <c r="J21301" t="s">
        <v>47112</v>
      </c>
      <c r="K21301" t="s">
        <v>47113</v>
      </c>
      <c r="L21301">
        <v>31.45</v>
      </c>
      <c r="M21301">
        <v>93</v>
      </c>
      <c r="N21301">
        <v>0</v>
      </c>
      <c r="O21301">
        <v>93</v>
      </c>
      <c r="P21301">
        <v>0</v>
      </c>
    </row>
    <row r="21302" spans="1:16" x14ac:dyDescent="0.25">
      <c r="A21302" t="s">
        <v>44111</v>
      </c>
      <c r="B21302" t="s">
        <v>918</v>
      </c>
      <c r="C21302" t="s">
        <v>919</v>
      </c>
      <c r="D21302" t="s">
        <v>1790</v>
      </c>
      <c r="E21302" t="s">
        <v>1791</v>
      </c>
      <c r="F21302" t="s">
        <v>2</v>
      </c>
      <c r="G21302" t="s">
        <v>47093</v>
      </c>
      <c r="H21302" t="s">
        <v>47054</v>
      </c>
      <c r="I21302" t="s">
        <v>47111</v>
      </c>
      <c r="J21302" t="s">
        <v>47112</v>
      </c>
      <c r="K21302" t="s">
        <v>47113</v>
      </c>
      <c r="L21302">
        <v>34.92</v>
      </c>
      <c r="M21302">
        <v>85</v>
      </c>
      <c r="N21302">
        <v>0</v>
      </c>
      <c r="O21302">
        <v>85</v>
      </c>
      <c r="P21302">
        <v>0</v>
      </c>
    </row>
    <row r="21303" spans="1:16" x14ac:dyDescent="0.25">
      <c r="A21303" t="s">
        <v>44112</v>
      </c>
      <c r="B21303" t="s">
        <v>918</v>
      </c>
      <c r="C21303" t="s">
        <v>919</v>
      </c>
      <c r="D21303" t="s">
        <v>970</v>
      </c>
      <c r="E21303" t="s">
        <v>971</v>
      </c>
      <c r="F21303" t="s">
        <v>2</v>
      </c>
      <c r="G21303" t="s">
        <v>47093</v>
      </c>
      <c r="H21303" t="s">
        <v>47054</v>
      </c>
      <c r="I21303" t="s">
        <v>47111</v>
      </c>
      <c r="J21303" t="s">
        <v>47112</v>
      </c>
      <c r="K21303" t="s">
        <v>47113</v>
      </c>
      <c r="L21303">
        <v>40.82</v>
      </c>
      <c r="M21303">
        <v>85</v>
      </c>
      <c r="N21303">
        <v>0</v>
      </c>
      <c r="O21303">
        <v>85</v>
      </c>
      <c r="P21303">
        <v>0</v>
      </c>
    </row>
    <row r="21304" spans="1:16" x14ac:dyDescent="0.25">
      <c r="A21304" t="s">
        <v>44113</v>
      </c>
      <c r="B21304" t="s">
        <v>918</v>
      </c>
      <c r="C21304" t="s">
        <v>919</v>
      </c>
      <c r="D21304" t="s">
        <v>12852</v>
      </c>
      <c r="E21304" t="s">
        <v>12853</v>
      </c>
      <c r="F21304" t="s">
        <v>3</v>
      </c>
      <c r="G21304" t="s">
        <v>47093</v>
      </c>
      <c r="H21304" t="s">
        <v>47054</v>
      </c>
      <c r="I21304" t="s">
        <v>47111</v>
      </c>
      <c r="J21304" t="s">
        <v>47112</v>
      </c>
      <c r="K21304" t="s">
        <v>47113</v>
      </c>
      <c r="L21304">
        <v>46.41</v>
      </c>
      <c r="M21304">
        <v>110</v>
      </c>
      <c r="N21304">
        <v>0</v>
      </c>
      <c r="O21304">
        <v>110</v>
      </c>
      <c r="P21304">
        <v>0</v>
      </c>
    </row>
    <row r="21305" spans="1:16" x14ac:dyDescent="0.25">
      <c r="A21305" t="s">
        <v>44114</v>
      </c>
      <c r="B21305" t="s">
        <v>918</v>
      </c>
      <c r="C21305" t="s">
        <v>919</v>
      </c>
      <c r="D21305" t="s">
        <v>22</v>
      </c>
      <c r="E21305" t="s">
        <v>23</v>
      </c>
      <c r="F21305" t="s">
        <v>2</v>
      </c>
      <c r="G21305" t="s">
        <v>47093</v>
      </c>
      <c r="H21305" t="s">
        <v>47054</v>
      </c>
      <c r="I21305" t="s">
        <v>47111</v>
      </c>
      <c r="J21305" t="s">
        <v>47112</v>
      </c>
      <c r="K21305" t="s">
        <v>47113</v>
      </c>
      <c r="L21305">
        <v>30.36</v>
      </c>
      <c r="M21305">
        <v>85</v>
      </c>
      <c r="N21305">
        <v>0</v>
      </c>
      <c r="O21305">
        <v>85</v>
      </c>
      <c r="P21305">
        <v>0</v>
      </c>
    </row>
    <row r="21306" spans="1:16" x14ac:dyDescent="0.25">
      <c r="A21306" t="s">
        <v>44115</v>
      </c>
      <c r="B21306" t="s">
        <v>918</v>
      </c>
      <c r="C21306" t="s">
        <v>919</v>
      </c>
      <c r="D21306" t="s">
        <v>973</v>
      </c>
      <c r="E21306" t="s">
        <v>974</v>
      </c>
      <c r="F21306" t="s">
        <v>2</v>
      </c>
      <c r="G21306" t="s">
        <v>47093</v>
      </c>
      <c r="H21306" t="s">
        <v>47054</v>
      </c>
      <c r="I21306" t="s">
        <v>47111</v>
      </c>
      <c r="J21306" t="s">
        <v>47112</v>
      </c>
      <c r="K21306" t="s">
        <v>47113</v>
      </c>
      <c r="L21306">
        <v>35.4</v>
      </c>
      <c r="M21306">
        <v>85</v>
      </c>
      <c r="N21306">
        <v>0</v>
      </c>
      <c r="O21306">
        <v>85</v>
      </c>
      <c r="P21306">
        <v>0</v>
      </c>
    </row>
    <row r="21307" spans="1:16" x14ac:dyDescent="0.25">
      <c r="A21307" t="s">
        <v>44116</v>
      </c>
      <c r="B21307" t="s">
        <v>918</v>
      </c>
      <c r="C21307" t="s">
        <v>919</v>
      </c>
      <c r="D21307" t="s">
        <v>6814</v>
      </c>
      <c r="E21307" t="s">
        <v>6815</v>
      </c>
      <c r="F21307" t="s">
        <v>2</v>
      </c>
      <c r="G21307" t="s">
        <v>47093</v>
      </c>
      <c r="H21307" t="s">
        <v>47054</v>
      </c>
      <c r="I21307" t="s">
        <v>47111</v>
      </c>
      <c r="J21307" t="s">
        <v>47112</v>
      </c>
      <c r="K21307" t="s">
        <v>47113</v>
      </c>
      <c r="L21307">
        <v>34.700000000000003</v>
      </c>
      <c r="M21307">
        <v>80</v>
      </c>
      <c r="N21307">
        <v>0</v>
      </c>
      <c r="O21307">
        <v>80</v>
      </c>
      <c r="P21307">
        <v>0</v>
      </c>
    </row>
    <row r="21308" spans="1:16" x14ac:dyDescent="0.25">
      <c r="A21308" t="s">
        <v>44117</v>
      </c>
      <c r="B21308" t="s">
        <v>918</v>
      </c>
      <c r="C21308" t="s">
        <v>919</v>
      </c>
      <c r="D21308" t="s">
        <v>6816</v>
      </c>
      <c r="E21308" t="s">
        <v>6817</v>
      </c>
      <c r="F21308" t="s">
        <v>2</v>
      </c>
      <c r="G21308" t="s">
        <v>47093</v>
      </c>
      <c r="H21308" t="s">
        <v>47054</v>
      </c>
      <c r="I21308" t="s">
        <v>47111</v>
      </c>
      <c r="J21308" t="s">
        <v>47112</v>
      </c>
      <c r="K21308" t="s">
        <v>47113</v>
      </c>
      <c r="L21308">
        <v>33.340000000000003</v>
      </c>
      <c r="M21308">
        <v>77</v>
      </c>
      <c r="N21308">
        <v>0</v>
      </c>
      <c r="O21308">
        <v>77</v>
      </c>
      <c r="P21308">
        <v>0</v>
      </c>
    </row>
    <row r="21309" spans="1:16" x14ac:dyDescent="0.25">
      <c r="A21309" t="s">
        <v>44118</v>
      </c>
      <c r="B21309" t="s">
        <v>918</v>
      </c>
      <c r="C21309" t="s">
        <v>919</v>
      </c>
      <c r="D21309" t="s">
        <v>976</v>
      </c>
      <c r="E21309" t="s">
        <v>977</v>
      </c>
      <c r="F21309" t="s">
        <v>6</v>
      </c>
      <c r="G21309" t="s">
        <v>47093</v>
      </c>
      <c r="H21309" t="s">
        <v>47054</v>
      </c>
      <c r="I21309" t="s">
        <v>47111</v>
      </c>
      <c r="J21309" t="s">
        <v>47112</v>
      </c>
      <c r="K21309" t="s">
        <v>47113</v>
      </c>
      <c r="L21309">
        <v>35.22</v>
      </c>
      <c r="M21309">
        <v>77</v>
      </c>
      <c r="N21309">
        <v>0</v>
      </c>
      <c r="O21309">
        <v>77</v>
      </c>
      <c r="P21309">
        <v>0</v>
      </c>
    </row>
    <row r="21310" spans="1:16" x14ac:dyDescent="0.25">
      <c r="A21310" t="s">
        <v>44119</v>
      </c>
      <c r="B21310" t="s">
        <v>918</v>
      </c>
      <c r="C21310" t="s">
        <v>919</v>
      </c>
      <c r="D21310" t="s">
        <v>6818</v>
      </c>
      <c r="E21310" t="s">
        <v>6819</v>
      </c>
      <c r="F21310" t="s">
        <v>2</v>
      </c>
      <c r="G21310" t="s">
        <v>47093</v>
      </c>
      <c r="H21310" t="s">
        <v>47054</v>
      </c>
      <c r="I21310" t="s">
        <v>47111</v>
      </c>
      <c r="J21310" t="s">
        <v>47112</v>
      </c>
      <c r="K21310" t="s">
        <v>47113</v>
      </c>
      <c r="L21310">
        <v>34.28</v>
      </c>
      <c r="M21310">
        <v>77</v>
      </c>
      <c r="N21310">
        <v>0</v>
      </c>
      <c r="O21310">
        <v>77</v>
      </c>
      <c r="P21310">
        <v>0</v>
      </c>
    </row>
    <row r="21311" spans="1:16" x14ac:dyDescent="0.25">
      <c r="A21311" t="s">
        <v>920</v>
      </c>
      <c r="B21311" t="s">
        <v>918</v>
      </c>
      <c r="C21311" t="s">
        <v>919</v>
      </c>
      <c r="D21311" t="s">
        <v>921</v>
      </c>
      <c r="E21311" t="s">
        <v>922</v>
      </c>
      <c r="F21311" t="s">
        <v>2</v>
      </c>
      <c r="G21311" t="s">
        <v>47093</v>
      </c>
      <c r="H21311" t="s">
        <v>47054</v>
      </c>
      <c r="I21311" t="s">
        <v>47111</v>
      </c>
      <c r="J21311" t="s">
        <v>47112</v>
      </c>
      <c r="K21311" t="s">
        <v>47113</v>
      </c>
      <c r="L21311">
        <v>35</v>
      </c>
      <c r="M21311">
        <v>80</v>
      </c>
      <c r="N21311">
        <v>0</v>
      </c>
      <c r="O21311">
        <v>80</v>
      </c>
      <c r="P21311">
        <v>0</v>
      </c>
    </row>
    <row r="21312" spans="1:16" x14ac:dyDescent="0.25">
      <c r="A21312" t="s">
        <v>44120</v>
      </c>
      <c r="B21312" t="s">
        <v>12854</v>
      </c>
      <c r="C21312" t="s">
        <v>12855</v>
      </c>
      <c r="D21312" t="s">
        <v>2933</v>
      </c>
      <c r="E21312" t="s">
        <v>2934</v>
      </c>
      <c r="F21312" t="s">
        <v>5</v>
      </c>
      <c r="G21312" t="s">
        <v>47093</v>
      </c>
      <c r="H21312" t="s">
        <v>47054</v>
      </c>
      <c r="I21312" t="s">
        <v>47111</v>
      </c>
      <c r="J21312" t="s">
        <v>47112</v>
      </c>
      <c r="K21312" t="s">
        <v>47113</v>
      </c>
      <c r="L21312">
        <v>53.44</v>
      </c>
      <c r="M21312">
        <v>123</v>
      </c>
      <c r="N21312">
        <v>0</v>
      </c>
      <c r="O21312">
        <v>123</v>
      </c>
      <c r="P21312">
        <v>0</v>
      </c>
    </row>
    <row r="21313" spans="1:16" x14ac:dyDescent="0.25">
      <c r="A21313" t="s">
        <v>44121</v>
      </c>
      <c r="B21313" t="s">
        <v>12856</v>
      </c>
      <c r="C21313" t="s">
        <v>12857</v>
      </c>
      <c r="D21313" t="s">
        <v>954</v>
      </c>
      <c r="E21313" t="s">
        <v>955</v>
      </c>
      <c r="F21313" t="s">
        <v>5</v>
      </c>
      <c r="G21313" t="s">
        <v>47093</v>
      </c>
      <c r="H21313" t="s">
        <v>47054</v>
      </c>
      <c r="I21313" t="s">
        <v>47111</v>
      </c>
      <c r="J21313" t="s">
        <v>47112</v>
      </c>
      <c r="K21313" t="s">
        <v>47113</v>
      </c>
      <c r="L21313">
        <v>55.32</v>
      </c>
      <c r="M21313">
        <v>130</v>
      </c>
      <c r="N21313">
        <v>0</v>
      </c>
      <c r="O21313">
        <v>130</v>
      </c>
      <c r="P21313">
        <v>0</v>
      </c>
    </row>
    <row r="21314" spans="1:16" x14ac:dyDescent="0.25">
      <c r="A21314" t="s">
        <v>44122</v>
      </c>
      <c r="B21314" t="s">
        <v>12858</v>
      </c>
      <c r="C21314" t="s">
        <v>12859</v>
      </c>
      <c r="D21314" t="s">
        <v>959</v>
      </c>
      <c r="E21314" t="s">
        <v>960</v>
      </c>
      <c r="F21314" t="s">
        <v>5</v>
      </c>
      <c r="G21314" t="s">
        <v>47093</v>
      </c>
      <c r="H21314" t="s">
        <v>47054</v>
      </c>
      <c r="I21314" t="s">
        <v>47111</v>
      </c>
      <c r="J21314" t="s">
        <v>47112</v>
      </c>
      <c r="K21314" t="s">
        <v>47113</v>
      </c>
      <c r="L21314">
        <v>52.8</v>
      </c>
      <c r="M21314">
        <v>123</v>
      </c>
      <c r="N21314">
        <v>0</v>
      </c>
      <c r="O21314">
        <v>123</v>
      </c>
      <c r="P21314">
        <v>0</v>
      </c>
    </row>
    <row r="21315" spans="1:16" x14ac:dyDescent="0.25">
      <c r="A21315" t="s">
        <v>44123</v>
      </c>
      <c r="B21315" t="s">
        <v>12860</v>
      </c>
      <c r="C21315" t="s">
        <v>12861</v>
      </c>
      <c r="D21315" t="s">
        <v>926</v>
      </c>
      <c r="E21315" t="s">
        <v>927</v>
      </c>
      <c r="F21315" t="s">
        <v>4</v>
      </c>
      <c r="G21315" t="s">
        <v>47093</v>
      </c>
      <c r="H21315" t="s">
        <v>47054</v>
      </c>
      <c r="I21315" t="s">
        <v>47111</v>
      </c>
      <c r="J21315" t="s">
        <v>47112</v>
      </c>
      <c r="K21315" t="s">
        <v>47113</v>
      </c>
      <c r="L21315">
        <v>60.79</v>
      </c>
      <c r="M21315">
        <v>148</v>
      </c>
      <c r="N21315">
        <v>0</v>
      </c>
      <c r="O21315">
        <v>148</v>
      </c>
      <c r="P21315">
        <v>0</v>
      </c>
    </row>
    <row r="21316" spans="1:16" x14ac:dyDescent="0.25">
      <c r="A21316" t="s">
        <v>44124</v>
      </c>
      <c r="B21316" t="s">
        <v>12862</v>
      </c>
      <c r="C21316" t="s">
        <v>12863</v>
      </c>
      <c r="D21316" t="s">
        <v>12811</v>
      </c>
      <c r="E21316" t="s">
        <v>12812</v>
      </c>
      <c r="F21316" t="s">
        <v>5</v>
      </c>
      <c r="G21316" t="s">
        <v>47093</v>
      </c>
      <c r="H21316" t="s">
        <v>47054</v>
      </c>
      <c r="I21316" t="s">
        <v>47111</v>
      </c>
      <c r="J21316" t="s">
        <v>47112</v>
      </c>
      <c r="K21316" t="s">
        <v>47113</v>
      </c>
      <c r="L21316">
        <v>55.76</v>
      </c>
      <c r="M21316">
        <v>129</v>
      </c>
      <c r="N21316">
        <v>0</v>
      </c>
      <c r="O21316">
        <v>129</v>
      </c>
      <c r="P21316">
        <v>0</v>
      </c>
    </row>
    <row r="21317" spans="1:16" x14ac:dyDescent="0.25">
      <c r="A21317" t="s">
        <v>44125</v>
      </c>
      <c r="B21317" t="s">
        <v>12862</v>
      </c>
      <c r="C21317" t="s">
        <v>12863</v>
      </c>
      <c r="D21317" t="s">
        <v>964</v>
      </c>
      <c r="E21317" t="s">
        <v>965</v>
      </c>
      <c r="F21317" t="s">
        <v>5</v>
      </c>
      <c r="G21317" t="s">
        <v>47093</v>
      </c>
      <c r="H21317" t="s">
        <v>47054</v>
      </c>
      <c r="I21317" t="s">
        <v>47111</v>
      </c>
      <c r="J21317" t="s">
        <v>47112</v>
      </c>
      <c r="K21317" t="s">
        <v>47113</v>
      </c>
      <c r="L21317">
        <v>55.76</v>
      </c>
      <c r="M21317">
        <v>134</v>
      </c>
      <c r="N21317">
        <v>0</v>
      </c>
      <c r="O21317">
        <v>134</v>
      </c>
      <c r="P21317">
        <v>0</v>
      </c>
    </row>
    <row r="21318" spans="1:16" x14ac:dyDescent="0.25">
      <c r="A21318" t="s">
        <v>44126</v>
      </c>
      <c r="B21318" t="s">
        <v>12862</v>
      </c>
      <c r="C21318" t="s">
        <v>12863</v>
      </c>
      <c r="D21318" t="s">
        <v>12864</v>
      </c>
      <c r="E21318" t="s">
        <v>12865</v>
      </c>
      <c r="F21318" t="s">
        <v>5</v>
      </c>
      <c r="G21318" t="s">
        <v>47093</v>
      </c>
      <c r="H21318" t="s">
        <v>47054</v>
      </c>
      <c r="I21318" t="s">
        <v>47111</v>
      </c>
      <c r="J21318" t="s">
        <v>47112</v>
      </c>
      <c r="K21318" t="s">
        <v>47113</v>
      </c>
      <c r="L21318">
        <v>57.41</v>
      </c>
      <c r="M21318">
        <v>129</v>
      </c>
      <c r="N21318">
        <v>0</v>
      </c>
      <c r="O21318">
        <v>129</v>
      </c>
      <c r="P21318">
        <v>0</v>
      </c>
    </row>
    <row r="21319" spans="1:16" x14ac:dyDescent="0.25">
      <c r="A21319" t="s">
        <v>44127</v>
      </c>
      <c r="B21319" t="s">
        <v>12866</v>
      </c>
      <c r="C21319" t="s">
        <v>877</v>
      </c>
      <c r="D21319" t="str">
        <f>"07"</f>
        <v>07</v>
      </c>
      <c r="E21319" t="s">
        <v>12851</v>
      </c>
      <c r="F21319" t="s">
        <v>2</v>
      </c>
      <c r="G21319" t="s">
        <v>47093</v>
      </c>
      <c r="H21319" t="s">
        <v>47054</v>
      </c>
      <c r="I21319" t="s">
        <v>47111</v>
      </c>
      <c r="J21319" t="s">
        <v>47112</v>
      </c>
      <c r="K21319" t="s">
        <v>47113</v>
      </c>
      <c r="L21319">
        <v>34.6</v>
      </c>
      <c r="M21319">
        <v>85</v>
      </c>
      <c r="N21319">
        <v>0</v>
      </c>
      <c r="O21319">
        <v>85</v>
      </c>
      <c r="P21319">
        <v>0</v>
      </c>
    </row>
    <row r="21320" spans="1:16" x14ac:dyDescent="0.25">
      <c r="A21320" t="s">
        <v>44128</v>
      </c>
      <c r="B21320" t="s">
        <v>12866</v>
      </c>
      <c r="C21320" t="s">
        <v>877</v>
      </c>
      <c r="D21320" t="str">
        <f>"11"</f>
        <v>11</v>
      </c>
      <c r="E21320" t="s">
        <v>288</v>
      </c>
      <c r="F21320" t="s">
        <v>2</v>
      </c>
      <c r="G21320" t="s">
        <v>47093</v>
      </c>
      <c r="H21320" t="s">
        <v>47054</v>
      </c>
      <c r="I21320" t="s">
        <v>47111</v>
      </c>
      <c r="J21320" t="s">
        <v>47112</v>
      </c>
      <c r="K21320" t="s">
        <v>47113</v>
      </c>
      <c r="L21320">
        <v>38.54</v>
      </c>
      <c r="M21320">
        <v>77</v>
      </c>
      <c r="N21320">
        <v>0</v>
      </c>
      <c r="O21320">
        <v>77</v>
      </c>
      <c r="P21320">
        <v>0</v>
      </c>
    </row>
    <row r="21321" spans="1:16" x14ac:dyDescent="0.25">
      <c r="A21321" t="s">
        <v>44129</v>
      </c>
      <c r="B21321" t="s">
        <v>12866</v>
      </c>
      <c r="C21321" t="s">
        <v>877</v>
      </c>
      <c r="D21321" t="s">
        <v>721</v>
      </c>
      <c r="E21321" t="s">
        <v>722</v>
      </c>
      <c r="F21321" t="s">
        <v>2</v>
      </c>
      <c r="G21321" t="s">
        <v>47093</v>
      </c>
      <c r="H21321" t="s">
        <v>47054</v>
      </c>
      <c r="I21321" t="s">
        <v>47111</v>
      </c>
      <c r="J21321" t="s">
        <v>47112</v>
      </c>
      <c r="K21321" t="s">
        <v>47113</v>
      </c>
      <c r="L21321">
        <v>27.8</v>
      </c>
      <c r="M21321">
        <v>85</v>
      </c>
      <c r="N21321">
        <v>0</v>
      </c>
      <c r="O21321">
        <v>85</v>
      </c>
      <c r="P21321">
        <v>0</v>
      </c>
    </row>
    <row r="21322" spans="1:16" x14ac:dyDescent="0.25">
      <c r="A21322" t="s">
        <v>44130</v>
      </c>
      <c r="B21322" t="s">
        <v>12866</v>
      </c>
      <c r="C21322" t="s">
        <v>877</v>
      </c>
      <c r="D21322" t="str">
        <f>"63"</f>
        <v>63</v>
      </c>
      <c r="E21322" t="s">
        <v>40</v>
      </c>
      <c r="F21322" t="s">
        <v>2</v>
      </c>
      <c r="G21322" t="s">
        <v>47093</v>
      </c>
      <c r="H21322" t="s">
        <v>47054</v>
      </c>
      <c r="I21322" t="s">
        <v>47111</v>
      </c>
      <c r="J21322" t="s">
        <v>47112</v>
      </c>
      <c r="K21322" t="s">
        <v>47113</v>
      </c>
      <c r="L21322">
        <v>32.74</v>
      </c>
      <c r="M21322">
        <v>73</v>
      </c>
      <c r="N21322">
        <v>0</v>
      </c>
      <c r="O21322">
        <v>73</v>
      </c>
      <c r="P21322">
        <v>0</v>
      </c>
    </row>
    <row r="21323" spans="1:16" x14ac:dyDescent="0.25">
      <c r="A21323" t="s">
        <v>44131</v>
      </c>
      <c r="B21323" t="s">
        <v>12866</v>
      </c>
      <c r="C21323" t="s">
        <v>877</v>
      </c>
      <c r="D21323" t="str">
        <f>"78"</f>
        <v>78</v>
      </c>
      <c r="E21323" t="s">
        <v>5106</v>
      </c>
      <c r="F21323" t="s">
        <v>2</v>
      </c>
      <c r="G21323" t="s">
        <v>47093</v>
      </c>
      <c r="H21323" t="s">
        <v>47054</v>
      </c>
      <c r="I21323" t="s">
        <v>47111</v>
      </c>
      <c r="J21323" t="s">
        <v>47112</v>
      </c>
      <c r="K21323" t="s">
        <v>47113</v>
      </c>
      <c r="L21323">
        <v>31.45</v>
      </c>
      <c r="M21323">
        <v>94</v>
      </c>
      <c r="N21323">
        <v>0</v>
      </c>
      <c r="O21323">
        <v>94</v>
      </c>
      <c r="P21323">
        <v>0</v>
      </c>
    </row>
    <row r="21324" spans="1:16" x14ac:dyDescent="0.25">
      <c r="A21324" t="s">
        <v>44132</v>
      </c>
      <c r="B21324" t="s">
        <v>12866</v>
      </c>
      <c r="C21324" t="s">
        <v>877</v>
      </c>
      <c r="D21324" t="s">
        <v>1790</v>
      </c>
      <c r="E21324" t="s">
        <v>1791</v>
      </c>
      <c r="F21324" t="s">
        <v>2</v>
      </c>
      <c r="G21324" t="s">
        <v>47093</v>
      </c>
      <c r="H21324" t="s">
        <v>47054</v>
      </c>
      <c r="I21324" t="s">
        <v>47111</v>
      </c>
      <c r="J21324" t="s">
        <v>47112</v>
      </c>
      <c r="K21324" t="s">
        <v>47113</v>
      </c>
      <c r="L21324">
        <v>34.92</v>
      </c>
      <c r="M21324">
        <v>85</v>
      </c>
      <c r="N21324">
        <v>0</v>
      </c>
      <c r="O21324">
        <v>85</v>
      </c>
      <c r="P21324">
        <v>0</v>
      </c>
    </row>
    <row r="21325" spans="1:16" x14ac:dyDescent="0.25">
      <c r="A21325" t="s">
        <v>44133</v>
      </c>
      <c r="B21325" t="s">
        <v>12866</v>
      </c>
      <c r="C21325" t="s">
        <v>877</v>
      </c>
      <c r="D21325" t="s">
        <v>970</v>
      </c>
      <c r="E21325" t="s">
        <v>971</v>
      </c>
      <c r="F21325" t="s">
        <v>2</v>
      </c>
      <c r="G21325" t="s">
        <v>47093</v>
      </c>
      <c r="H21325" t="s">
        <v>47054</v>
      </c>
      <c r="I21325" t="s">
        <v>47111</v>
      </c>
      <c r="J21325" t="s">
        <v>47112</v>
      </c>
      <c r="K21325" t="s">
        <v>47113</v>
      </c>
      <c r="L21325">
        <v>40.82</v>
      </c>
      <c r="M21325">
        <v>85</v>
      </c>
      <c r="N21325">
        <v>0</v>
      </c>
      <c r="O21325">
        <v>85</v>
      </c>
      <c r="P21325">
        <v>0</v>
      </c>
    </row>
    <row r="21326" spans="1:16" x14ac:dyDescent="0.25">
      <c r="A21326" t="s">
        <v>44134</v>
      </c>
      <c r="B21326" t="s">
        <v>12866</v>
      </c>
      <c r="C21326" t="s">
        <v>877</v>
      </c>
      <c r="D21326" t="s">
        <v>12852</v>
      </c>
      <c r="E21326" t="s">
        <v>12853</v>
      </c>
      <c r="F21326" t="s">
        <v>3</v>
      </c>
      <c r="G21326" t="s">
        <v>47093</v>
      </c>
      <c r="H21326" t="s">
        <v>47054</v>
      </c>
      <c r="I21326" t="s">
        <v>47111</v>
      </c>
      <c r="J21326" t="s">
        <v>47112</v>
      </c>
      <c r="K21326" t="s">
        <v>47113</v>
      </c>
      <c r="L21326">
        <v>41.3</v>
      </c>
      <c r="M21326">
        <v>113</v>
      </c>
      <c r="N21326">
        <v>0</v>
      </c>
      <c r="O21326">
        <v>113</v>
      </c>
      <c r="P21326">
        <v>0</v>
      </c>
    </row>
    <row r="21327" spans="1:16" x14ac:dyDescent="0.25">
      <c r="A21327" t="s">
        <v>44135</v>
      </c>
      <c r="B21327" t="s">
        <v>12866</v>
      </c>
      <c r="C21327" t="s">
        <v>877</v>
      </c>
      <c r="D21327" t="s">
        <v>22</v>
      </c>
      <c r="E21327" t="s">
        <v>23</v>
      </c>
      <c r="F21327" t="s">
        <v>2</v>
      </c>
      <c r="G21327" t="s">
        <v>47093</v>
      </c>
      <c r="H21327" t="s">
        <v>47054</v>
      </c>
      <c r="I21327" t="s">
        <v>47111</v>
      </c>
      <c r="J21327" t="s">
        <v>47112</v>
      </c>
      <c r="K21327" t="s">
        <v>47113</v>
      </c>
      <c r="L21327">
        <v>31.15</v>
      </c>
      <c r="M21327">
        <v>85</v>
      </c>
      <c r="N21327">
        <v>0</v>
      </c>
      <c r="O21327">
        <v>85</v>
      </c>
      <c r="P21327">
        <v>0</v>
      </c>
    </row>
    <row r="21328" spans="1:16" x14ac:dyDescent="0.25">
      <c r="A21328" t="s">
        <v>44136</v>
      </c>
      <c r="B21328" t="s">
        <v>12866</v>
      </c>
      <c r="C21328" t="s">
        <v>877</v>
      </c>
      <c r="D21328" t="s">
        <v>973</v>
      </c>
      <c r="E21328" t="s">
        <v>974</v>
      </c>
      <c r="F21328" t="s">
        <v>2</v>
      </c>
      <c r="G21328" t="s">
        <v>47093</v>
      </c>
      <c r="H21328" t="s">
        <v>47054</v>
      </c>
      <c r="I21328" t="s">
        <v>47111</v>
      </c>
      <c r="J21328" t="s">
        <v>47112</v>
      </c>
      <c r="K21328" t="s">
        <v>47113</v>
      </c>
      <c r="L21328">
        <v>35.4</v>
      </c>
      <c r="M21328">
        <v>85</v>
      </c>
      <c r="N21328">
        <v>0</v>
      </c>
      <c r="O21328">
        <v>85</v>
      </c>
      <c r="P21328">
        <v>0</v>
      </c>
    </row>
    <row r="21329" spans="1:16" x14ac:dyDescent="0.25">
      <c r="A21329" t="s">
        <v>44137</v>
      </c>
      <c r="B21329" t="s">
        <v>12866</v>
      </c>
      <c r="C21329" t="s">
        <v>877</v>
      </c>
      <c r="D21329" t="s">
        <v>6814</v>
      </c>
      <c r="E21329" t="s">
        <v>6815</v>
      </c>
      <c r="F21329" t="s">
        <v>6</v>
      </c>
      <c r="G21329" t="s">
        <v>47093</v>
      </c>
      <c r="H21329" t="s">
        <v>47054</v>
      </c>
      <c r="I21329" t="s">
        <v>47111</v>
      </c>
      <c r="J21329" t="s">
        <v>47112</v>
      </c>
      <c r="K21329" t="s">
        <v>47113</v>
      </c>
      <c r="L21329">
        <v>35.700000000000003</v>
      </c>
      <c r="M21329">
        <v>80</v>
      </c>
      <c r="N21329">
        <v>0</v>
      </c>
      <c r="O21329">
        <v>80</v>
      </c>
      <c r="P21329">
        <v>0</v>
      </c>
    </row>
    <row r="21330" spans="1:16" x14ac:dyDescent="0.25">
      <c r="A21330" t="s">
        <v>44138</v>
      </c>
      <c r="B21330" t="s">
        <v>12866</v>
      </c>
      <c r="C21330" t="s">
        <v>877</v>
      </c>
      <c r="D21330" t="s">
        <v>6816</v>
      </c>
      <c r="E21330" t="s">
        <v>6817</v>
      </c>
      <c r="F21330" t="s">
        <v>2</v>
      </c>
      <c r="G21330" t="s">
        <v>47093</v>
      </c>
      <c r="H21330" t="s">
        <v>47054</v>
      </c>
      <c r="I21330" t="s">
        <v>47111</v>
      </c>
      <c r="J21330" t="s">
        <v>47112</v>
      </c>
      <c r="K21330" t="s">
        <v>47113</v>
      </c>
      <c r="L21330">
        <v>34.6</v>
      </c>
      <c r="M21330">
        <v>77</v>
      </c>
      <c r="N21330">
        <v>0</v>
      </c>
      <c r="O21330">
        <v>77</v>
      </c>
      <c r="P21330">
        <v>0</v>
      </c>
    </row>
    <row r="21331" spans="1:16" x14ac:dyDescent="0.25">
      <c r="A21331" t="s">
        <v>44139</v>
      </c>
      <c r="B21331" t="s">
        <v>12866</v>
      </c>
      <c r="C21331" t="s">
        <v>877</v>
      </c>
      <c r="D21331" t="s">
        <v>976</v>
      </c>
      <c r="E21331" t="s">
        <v>977</v>
      </c>
      <c r="F21331" t="s">
        <v>6</v>
      </c>
      <c r="G21331" t="s">
        <v>47093</v>
      </c>
      <c r="H21331" t="s">
        <v>47054</v>
      </c>
      <c r="I21331" t="s">
        <v>47111</v>
      </c>
      <c r="J21331" t="s">
        <v>47112</v>
      </c>
      <c r="K21331" t="s">
        <v>47113</v>
      </c>
      <c r="L21331">
        <v>35.01</v>
      </c>
      <c r="M21331">
        <v>77</v>
      </c>
      <c r="N21331">
        <v>0</v>
      </c>
      <c r="O21331">
        <v>77</v>
      </c>
      <c r="P21331">
        <v>0</v>
      </c>
    </row>
    <row r="21332" spans="1:16" x14ac:dyDescent="0.25">
      <c r="A21332" t="s">
        <v>44140</v>
      </c>
      <c r="B21332" t="s">
        <v>12866</v>
      </c>
      <c r="C21332" t="s">
        <v>877</v>
      </c>
      <c r="D21332" t="s">
        <v>6818</v>
      </c>
      <c r="E21332" t="s">
        <v>6819</v>
      </c>
      <c r="F21332" t="s">
        <v>2</v>
      </c>
      <c r="G21332" t="s">
        <v>47093</v>
      </c>
      <c r="H21332" t="s">
        <v>47054</v>
      </c>
      <c r="I21332" t="s">
        <v>47111</v>
      </c>
      <c r="J21332" t="s">
        <v>47112</v>
      </c>
      <c r="K21332" t="s">
        <v>47113</v>
      </c>
      <c r="L21332">
        <v>34.81</v>
      </c>
      <c r="M21332">
        <v>77</v>
      </c>
      <c r="N21332">
        <v>0</v>
      </c>
      <c r="O21332">
        <v>77</v>
      </c>
      <c r="P21332">
        <v>0</v>
      </c>
    </row>
    <row r="21333" spans="1:16" x14ac:dyDescent="0.25">
      <c r="A21333" t="s">
        <v>44141</v>
      </c>
      <c r="B21333" t="s">
        <v>12866</v>
      </c>
      <c r="C21333" t="s">
        <v>877</v>
      </c>
      <c r="D21333" t="s">
        <v>921</v>
      </c>
      <c r="E21333" t="s">
        <v>922</v>
      </c>
      <c r="F21333" t="s">
        <v>2</v>
      </c>
      <c r="G21333" t="s">
        <v>47093</v>
      </c>
      <c r="H21333" t="s">
        <v>47054</v>
      </c>
      <c r="I21333" t="s">
        <v>47111</v>
      </c>
      <c r="J21333" t="s">
        <v>47112</v>
      </c>
      <c r="K21333" t="s">
        <v>47113</v>
      </c>
      <c r="L21333">
        <v>36.04</v>
      </c>
      <c r="M21333">
        <v>80</v>
      </c>
      <c r="N21333">
        <v>0</v>
      </c>
      <c r="O21333">
        <v>80</v>
      </c>
      <c r="P21333">
        <v>0</v>
      </c>
    </row>
    <row r="21334" spans="1:16" x14ac:dyDescent="0.25">
      <c r="A21334" t="s">
        <v>44142</v>
      </c>
      <c r="B21334" t="s">
        <v>12867</v>
      </c>
      <c r="C21334" t="s">
        <v>12868</v>
      </c>
      <c r="D21334" t="str">
        <f>"40"</f>
        <v>40</v>
      </c>
      <c r="E21334" t="s">
        <v>31</v>
      </c>
      <c r="F21334" t="s">
        <v>5</v>
      </c>
      <c r="G21334" t="s">
        <v>47093</v>
      </c>
      <c r="H21334" t="s">
        <v>47054</v>
      </c>
      <c r="I21334" t="s">
        <v>47111</v>
      </c>
      <c r="J21334" t="s">
        <v>47112</v>
      </c>
      <c r="K21334" t="s">
        <v>47113</v>
      </c>
      <c r="L21334">
        <v>36.15</v>
      </c>
      <c r="M21334">
        <v>86</v>
      </c>
      <c r="N21334">
        <v>0</v>
      </c>
      <c r="O21334">
        <v>86</v>
      </c>
      <c r="P21334">
        <v>0</v>
      </c>
    </row>
    <row r="21335" spans="1:16" x14ac:dyDescent="0.25">
      <c r="A21335" t="s">
        <v>44143</v>
      </c>
      <c r="B21335" t="s">
        <v>12867</v>
      </c>
      <c r="C21335" t="s">
        <v>12868</v>
      </c>
      <c r="D21335" t="s">
        <v>10071</v>
      </c>
      <c r="E21335" t="s">
        <v>10072</v>
      </c>
      <c r="F21335" t="s">
        <v>5</v>
      </c>
      <c r="G21335" t="s">
        <v>47093</v>
      </c>
      <c r="H21335" t="s">
        <v>47054</v>
      </c>
      <c r="I21335" t="s">
        <v>47111</v>
      </c>
      <c r="J21335" t="s">
        <v>47112</v>
      </c>
      <c r="K21335" t="s">
        <v>47113</v>
      </c>
      <c r="L21335">
        <v>35.19</v>
      </c>
      <c r="M21335">
        <v>84</v>
      </c>
      <c r="N21335">
        <v>0</v>
      </c>
      <c r="O21335">
        <v>84</v>
      </c>
      <c r="P21335">
        <v>0</v>
      </c>
    </row>
    <row r="21336" spans="1:16" x14ac:dyDescent="0.25">
      <c r="A21336" t="s">
        <v>44144</v>
      </c>
      <c r="B21336" t="s">
        <v>12869</v>
      </c>
      <c r="C21336" t="s">
        <v>12870</v>
      </c>
      <c r="D21336" t="str">
        <f>"06"</f>
        <v>06</v>
      </c>
      <c r="E21336" t="s">
        <v>12871</v>
      </c>
      <c r="F21336" t="s">
        <v>2</v>
      </c>
      <c r="G21336" t="s">
        <v>47093</v>
      </c>
      <c r="I21336" t="s">
        <v>47111</v>
      </c>
      <c r="J21336" t="s">
        <v>47112</v>
      </c>
      <c r="K21336" t="s">
        <v>47113</v>
      </c>
      <c r="L21336">
        <v>53.62</v>
      </c>
      <c r="M21336">
        <v>100</v>
      </c>
      <c r="N21336">
        <v>0</v>
      </c>
      <c r="O21336">
        <v>100</v>
      </c>
      <c r="P21336">
        <v>0</v>
      </c>
    </row>
    <row r="21337" spans="1:16" x14ac:dyDescent="0.25">
      <c r="A21337" t="s">
        <v>44145</v>
      </c>
      <c r="B21337" t="s">
        <v>12869</v>
      </c>
      <c r="C21337" t="s">
        <v>12870</v>
      </c>
      <c r="D21337" t="str">
        <f>"11"</f>
        <v>11</v>
      </c>
      <c r="E21337" t="s">
        <v>288</v>
      </c>
      <c r="F21337" t="s">
        <v>2</v>
      </c>
      <c r="G21337" t="s">
        <v>47093</v>
      </c>
      <c r="I21337" t="s">
        <v>47111</v>
      </c>
      <c r="J21337" t="s">
        <v>47112</v>
      </c>
      <c r="K21337" t="s">
        <v>47113</v>
      </c>
      <c r="L21337">
        <v>48.39</v>
      </c>
      <c r="M21337">
        <v>100</v>
      </c>
      <c r="N21337">
        <v>0</v>
      </c>
      <c r="O21337">
        <v>100</v>
      </c>
      <c r="P21337">
        <v>0</v>
      </c>
    </row>
    <row r="21338" spans="1:16" x14ac:dyDescent="0.25">
      <c r="A21338" t="s">
        <v>44146</v>
      </c>
      <c r="B21338" t="s">
        <v>12869</v>
      </c>
      <c r="C21338" t="s">
        <v>12870</v>
      </c>
      <c r="D21338" t="s">
        <v>27</v>
      </c>
      <c r="E21338" t="s">
        <v>622</v>
      </c>
      <c r="F21338" t="s">
        <v>2</v>
      </c>
      <c r="G21338" t="s">
        <v>47093</v>
      </c>
      <c r="I21338" t="s">
        <v>47111</v>
      </c>
      <c r="J21338" t="s">
        <v>47112</v>
      </c>
      <c r="K21338" t="s">
        <v>47113</v>
      </c>
      <c r="L21338">
        <v>53.23</v>
      </c>
      <c r="M21338">
        <v>100</v>
      </c>
      <c r="N21338">
        <v>0</v>
      </c>
      <c r="O21338">
        <v>100</v>
      </c>
      <c r="P21338">
        <v>0</v>
      </c>
    </row>
    <row r="21339" spans="1:16" x14ac:dyDescent="0.25">
      <c r="A21339" t="s">
        <v>44147</v>
      </c>
      <c r="B21339" t="s">
        <v>12869</v>
      </c>
      <c r="C21339" t="s">
        <v>12870</v>
      </c>
      <c r="D21339" t="s">
        <v>22</v>
      </c>
      <c r="E21339" t="s">
        <v>23</v>
      </c>
      <c r="F21339" t="s">
        <v>2</v>
      </c>
      <c r="G21339" t="s">
        <v>47093</v>
      </c>
      <c r="I21339" t="s">
        <v>47111</v>
      </c>
      <c r="J21339" t="s">
        <v>47112</v>
      </c>
      <c r="K21339" t="s">
        <v>47113</v>
      </c>
      <c r="L21339">
        <v>48.92</v>
      </c>
      <c r="M21339">
        <v>100</v>
      </c>
      <c r="N21339">
        <v>0</v>
      </c>
      <c r="O21339">
        <v>100</v>
      </c>
      <c r="P21339">
        <v>0</v>
      </c>
    </row>
    <row r="21340" spans="1:16" x14ac:dyDescent="0.25">
      <c r="A21340" t="s">
        <v>44148</v>
      </c>
      <c r="B21340" t="s">
        <v>12872</v>
      </c>
      <c r="C21340" t="s">
        <v>12870</v>
      </c>
      <c r="D21340" t="str">
        <f>"06"</f>
        <v>06</v>
      </c>
      <c r="E21340" t="s">
        <v>12871</v>
      </c>
      <c r="F21340" t="s">
        <v>2</v>
      </c>
      <c r="G21340" t="s">
        <v>47093</v>
      </c>
      <c r="I21340" t="s">
        <v>47111</v>
      </c>
      <c r="J21340" t="s">
        <v>47112</v>
      </c>
      <c r="K21340" t="s">
        <v>47113</v>
      </c>
      <c r="L21340">
        <v>53.62</v>
      </c>
      <c r="M21340">
        <v>100</v>
      </c>
      <c r="N21340">
        <v>0</v>
      </c>
      <c r="O21340">
        <v>100</v>
      </c>
      <c r="P21340">
        <v>0</v>
      </c>
    </row>
    <row r="21341" spans="1:16" x14ac:dyDescent="0.25">
      <c r="A21341" t="s">
        <v>44149</v>
      </c>
      <c r="B21341" t="s">
        <v>12872</v>
      </c>
      <c r="C21341" t="s">
        <v>12870</v>
      </c>
      <c r="D21341" t="str">
        <f>"11"</f>
        <v>11</v>
      </c>
      <c r="E21341" t="s">
        <v>288</v>
      </c>
      <c r="F21341" t="s">
        <v>2</v>
      </c>
      <c r="G21341" t="s">
        <v>47093</v>
      </c>
      <c r="I21341" t="s">
        <v>47111</v>
      </c>
      <c r="J21341" t="s">
        <v>47112</v>
      </c>
      <c r="K21341" t="s">
        <v>47113</v>
      </c>
      <c r="L21341">
        <v>48.39</v>
      </c>
      <c r="M21341">
        <v>100</v>
      </c>
      <c r="N21341">
        <v>0</v>
      </c>
      <c r="O21341">
        <v>100</v>
      </c>
      <c r="P21341">
        <v>0</v>
      </c>
    </row>
    <row r="21342" spans="1:16" x14ac:dyDescent="0.25">
      <c r="A21342" t="s">
        <v>44150</v>
      </c>
      <c r="B21342" t="s">
        <v>12872</v>
      </c>
      <c r="C21342" t="s">
        <v>12870</v>
      </c>
      <c r="D21342" t="s">
        <v>27</v>
      </c>
      <c r="E21342" t="s">
        <v>622</v>
      </c>
      <c r="F21342" t="s">
        <v>2</v>
      </c>
      <c r="G21342" t="s">
        <v>47093</v>
      </c>
      <c r="I21342" t="s">
        <v>47111</v>
      </c>
      <c r="J21342" t="s">
        <v>47112</v>
      </c>
      <c r="K21342" t="s">
        <v>47113</v>
      </c>
      <c r="L21342">
        <v>53.23</v>
      </c>
      <c r="M21342">
        <v>100</v>
      </c>
      <c r="N21342">
        <v>0</v>
      </c>
      <c r="O21342">
        <v>100</v>
      </c>
      <c r="P21342">
        <v>0</v>
      </c>
    </row>
    <row r="21343" spans="1:16" x14ac:dyDescent="0.25">
      <c r="A21343" t="s">
        <v>44151</v>
      </c>
      <c r="B21343" t="s">
        <v>12872</v>
      </c>
      <c r="C21343" t="s">
        <v>12870</v>
      </c>
      <c r="D21343" t="s">
        <v>22</v>
      </c>
      <c r="E21343" t="s">
        <v>23</v>
      </c>
      <c r="F21343" t="s">
        <v>2</v>
      </c>
      <c r="G21343" t="s">
        <v>47093</v>
      </c>
      <c r="I21343" t="s">
        <v>47111</v>
      </c>
      <c r="J21343" t="s">
        <v>47112</v>
      </c>
      <c r="K21343" t="s">
        <v>47113</v>
      </c>
      <c r="L21343">
        <v>48.92</v>
      </c>
      <c r="M21343">
        <v>100</v>
      </c>
      <c r="N21343">
        <v>0</v>
      </c>
      <c r="O21343">
        <v>100</v>
      </c>
      <c r="P21343">
        <v>0</v>
      </c>
    </row>
    <row r="21344" spans="1:16" x14ac:dyDescent="0.25">
      <c r="A21344" t="s">
        <v>44152</v>
      </c>
      <c r="B21344" t="s">
        <v>12873</v>
      </c>
      <c r="C21344" t="s">
        <v>12870</v>
      </c>
      <c r="D21344" t="str">
        <f>"06"</f>
        <v>06</v>
      </c>
      <c r="E21344" t="s">
        <v>12871</v>
      </c>
      <c r="F21344" t="s">
        <v>2</v>
      </c>
      <c r="G21344" t="s">
        <v>47093</v>
      </c>
      <c r="I21344" t="s">
        <v>47111</v>
      </c>
      <c r="J21344" t="s">
        <v>47112</v>
      </c>
      <c r="K21344" t="s">
        <v>47113</v>
      </c>
      <c r="L21344">
        <v>53.62</v>
      </c>
      <c r="M21344">
        <v>100</v>
      </c>
      <c r="N21344">
        <v>0</v>
      </c>
      <c r="O21344">
        <v>100</v>
      </c>
      <c r="P21344">
        <v>0</v>
      </c>
    </row>
    <row r="21345" spans="1:16" x14ac:dyDescent="0.25">
      <c r="A21345" t="s">
        <v>44153</v>
      </c>
      <c r="B21345" t="s">
        <v>12873</v>
      </c>
      <c r="C21345" t="s">
        <v>12870</v>
      </c>
      <c r="D21345" t="str">
        <f>"11"</f>
        <v>11</v>
      </c>
      <c r="E21345" t="s">
        <v>288</v>
      </c>
      <c r="F21345" t="s">
        <v>2</v>
      </c>
      <c r="G21345" t="s">
        <v>47093</v>
      </c>
      <c r="I21345" t="s">
        <v>47111</v>
      </c>
      <c r="J21345" t="s">
        <v>47112</v>
      </c>
      <c r="K21345" t="s">
        <v>47113</v>
      </c>
      <c r="L21345">
        <v>48.39</v>
      </c>
      <c r="M21345">
        <v>100</v>
      </c>
      <c r="N21345">
        <v>0</v>
      </c>
      <c r="O21345">
        <v>100</v>
      </c>
      <c r="P21345">
        <v>0</v>
      </c>
    </row>
    <row r="21346" spans="1:16" x14ac:dyDescent="0.25">
      <c r="A21346" t="s">
        <v>44154</v>
      </c>
      <c r="B21346" t="s">
        <v>12873</v>
      </c>
      <c r="C21346" t="s">
        <v>12870</v>
      </c>
      <c r="D21346" t="s">
        <v>27</v>
      </c>
      <c r="E21346" t="s">
        <v>622</v>
      </c>
      <c r="F21346" t="s">
        <v>2</v>
      </c>
      <c r="G21346" t="s">
        <v>47093</v>
      </c>
      <c r="I21346" t="s">
        <v>47111</v>
      </c>
      <c r="J21346" t="s">
        <v>47112</v>
      </c>
      <c r="K21346" t="s">
        <v>47113</v>
      </c>
      <c r="L21346">
        <v>53.23</v>
      </c>
      <c r="M21346">
        <v>100</v>
      </c>
      <c r="N21346">
        <v>0</v>
      </c>
      <c r="O21346">
        <v>100</v>
      </c>
      <c r="P21346">
        <v>0</v>
      </c>
    </row>
    <row r="21347" spans="1:16" x14ac:dyDescent="0.25">
      <c r="A21347" t="s">
        <v>44155</v>
      </c>
      <c r="B21347" t="s">
        <v>12873</v>
      </c>
      <c r="C21347" t="s">
        <v>12870</v>
      </c>
      <c r="D21347" t="s">
        <v>22</v>
      </c>
      <c r="E21347" t="s">
        <v>23</v>
      </c>
      <c r="F21347" t="s">
        <v>2</v>
      </c>
      <c r="G21347" t="s">
        <v>47093</v>
      </c>
      <c r="I21347" t="s">
        <v>47111</v>
      </c>
      <c r="J21347" t="s">
        <v>47112</v>
      </c>
      <c r="K21347" t="s">
        <v>47113</v>
      </c>
      <c r="L21347">
        <v>48.92</v>
      </c>
      <c r="M21347">
        <v>100</v>
      </c>
      <c r="N21347">
        <v>0</v>
      </c>
      <c r="O21347">
        <v>100</v>
      </c>
      <c r="P21347">
        <v>0</v>
      </c>
    </row>
    <row r="21348" spans="1:16" x14ac:dyDescent="0.25">
      <c r="A21348" t="s">
        <v>44156</v>
      </c>
      <c r="B21348" t="s">
        <v>12874</v>
      </c>
      <c r="C21348" t="s">
        <v>12870</v>
      </c>
      <c r="D21348" t="str">
        <f>"06"</f>
        <v>06</v>
      </c>
      <c r="E21348" t="s">
        <v>12871</v>
      </c>
      <c r="F21348" t="s">
        <v>2</v>
      </c>
      <c r="G21348" t="s">
        <v>47093</v>
      </c>
      <c r="H21348" t="s">
        <v>47054</v>
      </c>
      <c r="I21348" t="s">
        <v>47111</v>
      </c>
      <c r="J21348" t="s">
        <v>47112</v>
      </c>
      <c r="K21348" t="s">
        <v>47113</v>
      </c>
      <c r="L21348">
        <v>53.62</v>
      </c>
      <c r="M21348">
        <v>100</v>
      </c>
      <c r="N21348">
        <v>0</v>
      </c>
      <c r="O21348">
        <v>100</v>
      </c>
      <c r="P21348">
        <v>0</v>
      </c>
    </row>
    <row r="21349" spans="1:16" x14ac:dyDescent="0.25">
      <c r="A21349" t="s">
        <v>44157</v>
      </c>
      <c r="B21349" t="s">
        <v>12874</v>
      </c>
      <c r="C21349" t="s">
        <v>12870</v>
      </c>
      <c r="D21349" t="str">
        <f>"11"</f>
        <v>11</v>
      </c>
      <c r="E21349" t="s">
        <v>288</v>
      </c>
      <c r="F21349" t="s">
        <v>2</v>
      </c>
      <c r="G21349" t="s">
        <v>47093</v>
      </c>
      <c r="H21349" t="s">
        <v>47054</v>
      </c>
      <c r="I21349" t="s">
        <v>47111</v>
      </c>
      <c r="J21349" t="s">
        <v>47112</v>
      </c>
      <c r="K21349" t="s">
        <v>47113</v>
      </c>
      <c r="L21349">
        <v>48.39</v>
      </c>
      <c r="M21349">
        <v>100</v>
      </c>
      <c r="N21349">
        <v>0</v>
      </c>
      <c r="O21349">
        <v>100</v>
      </c>
      <c r="P21349">
        <v>0</v>
      </c>
    </row>
    <row r="21350" spans="1:16" x14ac:dyDescent="0.25">
      <c r="A21350" t="s">
        <v>44158</v>
      </c>
      <c r="B21350" t="s">
        <v>12874</v>
      </c>
      <c r="C21350" t="s">
        <v>12870</v>
      </c>
      <c r="D21350" t="s">
        <v>27</v>
      </c>
      <c r="E21350" t="s">
        <v>622</v>
      </c>
      <c r="F21350" t="s">
        <v>2</v>
      </c>
      <c r="G21350" t="s">
        <v>47093</v>
      </c>
      <c r="H21350" t="s">
        <v>47054</v>
      </c>
      <c r="I21350" t="s">
        <v>47111</v>
      </c>
      <c r="J21350" t="s">
        <v>47112</v>
      </c>
      <c r="K21350" t="s">
        <v>47113</v>
      </c>
      <c r="L21350">
        <v>53.23</v>
      </c>
      <c r="M21350">
        <v>100</v>
      </c>
      <c r="N21350">
        <v>0</v>
      </c>
      <c r="O21350">
        <v>100</v>
      </c>
      <c r="P21350">
        <v>0</v>
      </c>
    </row>
    <row r="21351" spans="1:16" x14ac:dyDescent="0.25">
      <c r="A21351" t="s">
        <v>44159</v>
      </c>
      <c r="B21351" t="s">
        <v>12874</v>
      </c>
      <c r="C21351" t="s">
        <v>12870</v>
      </c>
      <c r="D21351" t="s">
        <v>22</v>
      </c>
      <c r="E21351" t="s">
        <v>23</v>
      </c>
      <c r="F21351" t="s">
        <v>2</v>
      </c>
      <c r="G21351" t="s">
        <v>47093</v>
      </c>
      <c r="H21351" t="s">
        <v>47054</v>
      </c>
      <c r="I21351" t="s">
        <v>47111</v>
      </c>
      <c r="J21351" t="s">
        <v>47112</v>
      </c>
      <c r="K21351" t="s">
        <v>47113</v>
      </c>
      <c r="L21351">
        <v>48.92</v>
      </c>
      <c r="M21351">
        <v>100</v>
      </c>
      <c r="N21351">
        <v>0</v>
      </c>
      <c r="O21351">
        <v>100</v>
      </c>
      <c r="P21351">
        <v>0</v>
      </c>
    </row>
    <row r="21352" spans="1:16" x14ac:dyDescent="0.25">
      <c r="A21352" t="s">
        <v>44160</v>
      </c>
      <c r="B21352" t="s">
        <v>12875</v>
      </c>
      <c r="C21352" t="s">
        <v>12870</v>
      </c>
      <c r="D21352" t="str">
        <f>"06"</f>
        <v>06</v>
      </c>
      <c r="E21352" t="s">
        <v>12871</v>
      </c>
      <c r="F21352" t="s">
        <v>2</v>
      </c>
      <c r="G21352" t="s">
        <v>47093</v>
      </c>
      <c r="I21352" t="s">
        <v>47111</v>
      </c>
      <c r="J21352" t="s">
        <v>47112</v>
      </c>
      <c r="K21352" t="s">
        <v>47113</v>
      </c>
      <c r="L21352">
        <v>53.62</v>
      </c>
      <c r="M21352">
        <v>100</v>
      </c>
      <c r="N21352">
        <v>0</v>
      </c>
      <c r="O21352">
        <v>100</v>
      </c>
      <c r="P21352">
        <v>0</v>
      </c>
    </row>
    <row r="21353" spans="1:16" x14ac:dyDescent="0.25">
      <c r="A21353" t="s">
        <v>44161</v>
      </c>
      <c r="B21353" t="s">
        <v>12875</v>
      </c>
      <c r="C21353" t="s">
        <v>12870</v>
      </c>
      <c r="D21353" t="str">
        <f>"11"</f>
        <v>11</v>
      </c>
      <c r="E21353" t="s">
        <v>288</v>
      </c>
      <c r="F21353" t="s">
        <v>2</v>
      </c>
      <c r="G21353" t="s">
        <v>47093</v>
      </c>
      <c r="I21353" t="s">
        <v>47111</v>
      </c>
      <c r="J21353" t="s">
        <v>47112</v>
      </c>
      <c r="K21353" t="s">
        <v>47113</v>
      </c>
      <c r="L21353">
        <v>48.39</v>
      </c>
      <c r="M21353">
        <v>100</v>
      </c>
      <c r="N21353">
        <v>0</v>
      </c>
      <c r="O21353">
        <v>100</v>
      </c>
      <c r="P21353">
        <v>0</v>
      </c>
    </row>
    <row r="21354" spans="1:16" x14ac:dyDescent="0.25">
      <c r="A21354" t="s">
        <v>44162</v>
      </c>
      <c r="B21354" t="s">
        <v>12875</v>
      </c>
      <c r="C21354" t="s">
        <v>12870</v>
      </c>
      <c r="D21354" t="s">
        <v>27</v>
      </c>
      <c r="E21354" t="s">
        <v>622</v>
      </c>
      <c r="F21354" t="s">
        <v>2</v>
      </c>
      <c r="G21354" t="s">
        <v>47093</v>
      </c>
      <c r="I21354" t="s">
        <v>47111</v>
      </c>
      <c r="J21354" t="s">
        <v>47112</v>
      </c>
      <c r="K21354" t="s">
        <v>47113</v>
      </c>
      <c r="L21354">
        <v>53.23</v>
      </c>
      <c r="M21354">
        <v>100</v>
      </c>
      <c r="N21354">
        <v>0</v>
      </c>
      <c r="O21354">
        <v>100</v>
      </c>
      <c r="P21354">
        <v>0</v>
      </c>
    </row>
    <row r="21355" spans="1:16" x14ac:dyDescent="0.25">
      <c r="A21355" t="s">
        <v>44163</v>
      </c>
      <c r="B21355" t="s">
        <v>12875</v>
      </c>
      <c r="C21355" t="s">
        <v>12870</v>
      </c>
      <c r="D21355" t="s">
        <v>22</v>
      </c>
      <c r="E21355" t="s">
        <v>23</v>
      </c>
      <c r="F21355" t="s">
        <v>2</v>
      </c>
      <c r="G21355" t="s">
        <v>47093</v>
      </c>
      <c r="I21355" t="s">
        <v>47111</v>
      </c>
      <c r="J21355" t="s">
        <v>47112</v>
      </c>
      <c r="K21355" t="s">
        <v>47113</v>
      </c>
      <c r="L21355">
        <v>48.92</v>
      </c>
      <c r="M21355">
        <v>100</v>
      </c>
      <c r="N21355">
        <v>0</v>
      </c>
      <c r="O21355">
        <v>100</v>
      </c>
      <c r="P21355">
        <v>0</v>
      </c>
    </row>
    <row r="21356" spans="1:16" x14ac:dyDescent="0.25">
      <c r="A21356" t="s">
        <v>44164</v>
      </c>
      <c r="B21356" t="s">
        <v>12876</v>
      </c>
      <c r="C21356" t="s">
        <v>12877</v>
      </c>
      <c r="D21356" t="str">
        <f>"06"</f>
        <v>06</v>
      </c>
      <c r="E21356" t="s">
        <v>12871</v>
      </c>
      <c r="F21356" t="s">
        <v>2</v>
      </c>
      <c r="G21356" t="s">
        <v>47093</v>
      </c>
      <c r="I21356" t="s">
        <v>47111</v>
      </c>
      <c r="J21356" t="s">
        <v>47112</v>
      </c>
      <c r="K21356" t="s">
        <v>47113</v>
      </c>
      <c r="L21356">
        <v>53.62</v>
      </c>
      <c r="M21356">
        <v>100</v>
      </c>
      <c r="N21356">
        <v>0</v>
      </c>
      <c r="O21356">
        <v>100</v>
      </c>
      <c r="P21356">
        <v>0</v>
      </c>
    </row>
    <row r="21357" spans="1:16" x14ac:dyDescent="0.25">
      <c r="A21357" t="s">
        <v>44165</v>
      </c>
      <c r="B21357" t="s">
        <v>12876</v>
      </c>
      <c r="C21357" t="s">
        <v>12877</v>
      </c>
      <c r="D21357" t="str">
        <f>"11"</f>
        <v>11</v>
      </c>
      <c r="E21357" t="s">
        <v>288</v>
      </c>
      <c r="F21357" t="s">
        <v>2</v>
      </c>
      <c r="G21357" t="s">
        <v>47093</v>
      </c>
      <c r="I21357" t="s">
        <v>47111</v>
      </c>
      <c r="J21357" t="s">
        <v>47112</v>
      </c>
      <c r="K21357" t="s">
        <v>47113</v>
      </c>
      <c r="L21357">
        <v>48.39</v>
      </c>
      <c r="M21357">
        <v>100</v>
      </c>
      <c r="N21357">
        <v>0</v>
      </c>
      <c r="O21357">
        <v>100</v>
      </c>
      <c r="P21357">
        <v>0</v>
      </c>
    </row>
    <row r="21358" spans="1:16" x14ac:dyDescent="0.25">
      <c r="A21358" t="s">
        <v>44166</v>
      </c>
      <c r="B21358" t="s">
        <v>12876</v>
      </c>
      <c r="C21358" t="s">
        <v>12877</v>
      </c>
      <c r="D21358" t="s">
        <v>27</v>
      </c>
      <c r="E21358" t="s">
        <v>622</v>
      </c>
      <c r="F21358" t="s">
        <v>2</v>
      </c>
      <c r="G21358" t="s">
        <v>47093</v>
      </c>
      <c r="I21358" t="s">
        <v>47111</v>
      </c>
      <c r="J21358" t="s">
        <v>47112</v>
      </c>
      <c r="K21358" t="s">
        <v>47113</v>
      </c>
      <c r="L21358">
        <v>53.23</v>
      </c>
      <c r="M21358">
        <v>100</v>
      </c>
      <c r="N21358">
        <v>0</v>
      </c>
      <c r="O21358">
        <v>100</v>
      </c>
      <c r="P21358">
        <v>0</v>
      </c>
    </row>
    <row r="21359" spans="1:16" x14ac:dyDescent="0.25">
      <c r="A21359" t="s">
        <v>44167</v>
      </c>
      <c r="B21359" t="s">
        <v>12876</v>
      </c>
      <c r="C21359" t="s">
        <v>12877</v>
      </c>
      <c r="D21359" t="s">
        <v>22</v>
      </c>
      <c r="E21359" t="s">
        <v>23</v>
      </c>
      <c r="F21359" t="s">
        <v>2</v>
      </c>
      <c r="G21359" t="s">
        <v>47093</v>
      </c>
      <c r="I21359" t="s">
        <v>47111</v>
      </c>
      <c r="J21359" t="s">
        <v>47112</v>
      </c>
      <c r="K21359" t="s">
        <v>47113</v>
      </c>
      <c r="L21359">
        <v>48.92</v>
      </c>
      <c r="M21359">
        <v>100</v>
      </c>
      <c r="N21359">
        <v>0</v>
      </c>
      <c r="O21359">
        <v>100</v>
      </c>
      <c r="P21359">
        <v>0</v>
      </c>
    </row>
    <row r="21360" spans="1:16" x14ac:dyDescent="0.25">
      <c r="A21360" t="s">
        <v>44168</v>
      </c>
      <c r="B21360" t="s">
        <v>12878</v>
      </c>
      <c r="C21360" t="s">
        <v>12877</v>
      </c>
      <c r="D21360" t="str">
        <f>"06"</f>
        <v>06</v>
      </c>
      <c r="E21360" t="s">
        <v>12871</v>
      </c>
      <c r="F21360" t="s">
        <v>2</v>
      </c>
      <c r="G21360" t="s">
        <v>47093</v>
      </c>
      <c r="I21360" t="s">
        <v>47111</v>
      </c>
      <c r="J21360" t="s">
        <v>47112</v>
      </c>
      <c r="K21360" t="s">
        <v>47113</v>
      </c>
      <c r="L21360">
        <v>53.62</v>
      </c>
      <c r="M21360">
        <v>100</v>
      </c>
      <c r="N21360">
        <v>0</v>
      </c>
      <c r="O21360">
        <v>100</v>
      </c>
      <c r="P21360">
        <v>0</v>
      </c>
    </row>
    <row r="21361" spans="1:16" x14ac:dyDescent="0.25">
      <c r="A21361" t="s">
        <v>44169</v>
      </c>
      <c r="B21361" t="s">
        <v>12878</v>
      </c>
      <c r="C21361" t="s">
        <v>12877</v>
      </c>
      <c r="D21361" t="str">
        <f>"11"</f>
        <v>11</v>
      </c>
      <c r="E21361" t="s">
        <v>288</v>
      </c>
      <c r="F21361" t="s">
        <v>2</v>
      </c>
      <c r="G21361" t="s">
        <v>47093</v>
      </c>
      <c r="I21361" t="s">
        <v>47111</v>
      </c>
      <c r="J21361" t="s">
        <v>47112</v>
      </c>
      <c r="K21361" t="s">
        <v>47113</v>
      </c>
      <c r="L21361">
        <v>48.39</v>
      </c>
      <c r="M21361">
        <v>100</v>
      </c>
      <c r="N21361">
        <v>0</v>
      </c>
      <c r="O21361">
        <v>100</v>
      </c>
      <c r="P21361">
        <v>0</v>
      </c>
    </row>
    <row r="21362" spans="1:16" x14ac:dyDescent="0.25">
      <c r="A21362" t="s">
        <v>44170</v>
      </c>
      <c r="B21362" t="s">
        <v>12878</v>
      </c>
      <c r="C21362" t="s">
        <v>12877</v>
      </c>
      <c r="D21362" t="s">
        <v>27</v>
      </c>
      <c r="E21362" t="s">
        <v>622</v>
      </c>
      <c r="F21362" t="s">
        <v>2</v>
      </c>
      <c r="G21362" t="s">
        <v>47093</v>
      </c>
      <c r="I21362" t="s">
        <v>47111</v>
      </c>
      <c r="J21362" t="s">
        <v>47112</v>
      </c>
      <c r="K21362" t="s">
        <v>47113</v>
      </c>
      <c r="L21362">
        <v>53.23</v>
      </c>
      <c r="M21362">
        <v>100</v>
      </c>
      <c r="N21362">
        <v>0</v>
      </c>
      <c r="O21362">
        <v>100</v>
      </c>
      <c r="P21362">
        <v>0</v>
      </c>
    </row>
    <row r="21363" spans="1:16" x14ac:dyDescent="0.25">
      <c r="A21363" t="s">
        <v>44171</v>
      </c>
      <c r="B21363" t="s">
        <v>12878</v>
      </c>
      <c r="C21363" t="s">
        <v>12877</v>
      </c>
      <c r="D21363" t="s">
        <v>22</v>
      </c>
      <c r="E21363" t="s">
        <v>23</v>
      </c>
      <c r="F21363" t="s">
        <v>2</v>
      </c>
      <c r="G21363" t="s">
        <v>47093</v>
      </c>
      <c r="I21363" t="s">
        <v>47111</v>
      </c>
      <c r="J21363" t="s">
        <v>47112</v>
      </c>
      <c r="K21363" t="s">
        <v>47113</v>
      </c>
      <c r="L21363">
        <v>48.92</v>
      </c>
      <c r="M21363">
        <v>100</v>
      </c>
      <c r="N21363">
        <v>0</v>
      </c>
      <c r="O21363">
        <v>100</v>
      </c>
      <c r="P21363">
        <v>0</v>
      </c>
    </row>
    <row r="21364" spans="1:16" x14ac:dyDescent="0.25">
      <c r="A21364" t="s">
        <v>44172</v>
      </c>
      <c r="B21364" t="s">
        <v>12879</v>
      </c>
      <c r="C21364" t="s">
        <v>12877</v>
      </c>
      <c r="D21364" t="str">
        <f>"06"</f>
        <v>06</v>
      </c>
      <c r="E21364" t="s">
        <v>12871</v>
      </c>
      <c r="F21364" t="s">
        <v>2</v>
      </c>
      <c r="G21364" t="s">
        <v>47093</v>
      </c>
      <c r="I21364" t="s">
        <v>47111</v>
      </c>
      <c r="J21364" t="s">
        <v>47112</v>
      </c>
      <c r="K21364" t="s">
        <v>47113</v>
      </c>
      <c r="L21364">
        <v>53.62</v>
      </c>
      <c r="M21364">
        <v>100</v>
      </c>
      <c r="N21364">
        <v>0</v>
      </c>
      <c r="O21364">
        <v>100</v>
      </c>
      <c r="P21364">
        <v>0</v>
      </c>
    </row>
    <row r="21365" spans="1:16" x14ac:dyDescent="0.25">
      <c r="A21365" t="s">
        <v>44173</v>
      </c>
      <c r="B21365" t="s">
        <v>12879</v>
      </c>
      <c r="C21365" t="s">
        <v>12877</v>
      </c>
      <c r="D21365" t="str">
        <f>"11"</f>
        <v>11</v>
      </c>
      <c r="E21365" t="s">
        <v>288</v>
      </c>
      <c r="F21365" t="s">
        <v>2</v>
      </c>
      <c r="G21365" t="s">
        <v>47093</v>
      </c>
      <c r="I21365" t="s">
        <v>47111</v>
      </c>
      <c r="J21365" t="s">
        <v>47112</v>
      </c>
      <c r="K21365" t="s">
        <v>47113</v>
      </c>
      <c r="L21365">
        <v>48.39</v>
      </c>
      <c r="M21365">
        <v>100</v>
      </c>
      <c r="N21365">
        <v>0</v>
      </c>
      <c r="O21365">
        <v>100</v>
      </c>
      <c r="P21365">
        <v>0</v>
      </c>
    </row>
    <row r="21366" spans="1:16" x14ac:dyDescent="0.25">
      <c r="A21366" t="s">
        <v>44174</v>
      </c>
      <c r="B21366" t="s">
        <v>12879</v>
      </c>
      <c r="C21366" t="s">
        <v>12877</v>
      </c>
      <c r="D21366" t="s">
        <v>27</v>
      </c>
      <c r="E21366" t="s">
        <v>622</v>
      </c>
      <c r="F21366" t="s">
        <v>2</v>
      </c>
      <c r="G21366" t="s">
        <v>47093</v>
      </c>
      <c r="I21366" t="s">
        <v>47111</v>
      </c>
      <c r="J21366" t="s">
        <v>47112</v>
      </c>
      <c r="K21366" t="s">
        <v>47113</v>
      </c>
      <c r="L21366">
        <v>53.23</v>
      </c>
      <c r="M21366">
        <v>100</v>
      </c>
      <c r="N21366">
        <v>0</v>
      </c>
      <c r="O21366">
        <v>100</v>
      </c>
      <c r="P21366">
        <v>0</v>
      </c>
    </row>
    <row r="21367" spans="1:16" x14ac:dyDescent="0.25">
      <c r="A21367" t="s">
        <v>44175</v>
      </c>
      <c r="B21367" t="s">
        <v>12879</v>
      </c>
      <c r="C21367" t="s">
        <v>12877</v>
      </c>
      <c r="D21367" t="s">
        <v>22</v>
      </c>
      <c r="E21367" t="s">
        <v>23</v>
      </c>
      <c r="F21367" t="s">
        <v>2</v>
      </c>
      <c r="G21367" t="s">
        <v>47093</v>
      </c>
      <c r="I21367" t="s">
        <v>47111</v>
      </c>
      <c r="J21367" t="s">
        <v>47112</v>
      </c>
      <c r="K21367" t="s">
        <v>47113</v>
      </c>
      <c r="L21367">
        <v>48.92</v>
      </c>
      <c r="M21367">
        <v>100</v>
      </c>
      <c r="N21367">
        <v>0</v>
      </c>
      <c r="O21367">
        <v>100</v>
      </c>
      <c r="P21367">
        <v>0</v>
      </c>
    </row>
    <row r="21368" spans="1:16" x14ac:dyDescent="0.25">
      <c r="A21368" t="s">
        <v>44176</v>
      </c>
      <c r="B21368" t="s">
        <v>12880</v>
      </c>
      <c r="C21368" t="s">
        <v>12877</v>
      </c>
      <c r="D21368" t="str">
        <f>"06"</f>
        <v>06</v>
      </c>
      <c r="E21368" t="s">
        <v>12871</v>
      </c>
      <c r="F21368" t="s">
        <v>2</v>
      </c>
      <c r="G21368" t="s">
        <v>47093</v>
      </c>
      <c r="I21368" t="s">
        <v>47111</v>
      </c>
      <c r="J21368" t="s">
        <v>47112</v>
      </c>
      <c r="K21368" t="s">
        <v>47113</v>
      </c>
      <c r="L21368">
        <v>53.62</v>
      </c>
      <c r="M21368">
        <v>100</v>
      </c>
      <c r="N21368">
        <v>0</v>
      </c>
      <c r="O21368">
        <v>100</v>
      </c>
      <c r="P21368">
        <v>0</v>
      </c>
    </row>
    <row r="21369" spans="1:16" x14ac:dyDescent="0.25">
      <c r="A21369" t="s">
        <v>44177</v>
      </c>
      <c r="B21369" t="s">
        <v>12880</v>
      </c>
      <c r="C21369" t="s">
        <v>12877</v>
      </c>
      <c r="D21369" t="str">
        <f>"11"</f>
        <v>11</v>
      </c>
      <c r="E21369" t="s">
        <v>288</v>
      </c>
      <c r="F21369" t="s">
        <v>2</v>
      </c>
      <c r="G21369" t="s">
        <v>47093</v>
      </c>
      <c r="I21369" t="s">
        <v>47111</v>
      </c>
      <c r="J21369" t="s">
        <v>47112</v>
      </c>
      <c r="K21369" t="s">
        <v>47113</v>
      </c>
      <c r="L21369">
        <v>48.39</v>
      </c>
      <c r="M21369">
        <v>100</v>
      </c>
      <c r="N21369">
        <v>0</v>
      </c>
      <c r="O21369">
        <v>100</v>
      </c>
      <c r="P21369">
        <v>0</v>
      </c>
    </row>
    <row r="21370" spans="1:16" x14ac:dyDescent="0.25">
      <c r="A21370" t="s">
        <v>44178</v>
      </c>
      <c r="B21370" t="s">
        <v>12880</v>
      </c>
      <c r="C21370" t="s">
        <v>12877</v>
      </c>
      <c r="D21370" t="s">
        <v>27</v>
      </c>
      <c r="E21370" t="s">
        <v>622</v>
      </c>
      <c r="F21370" t="s">
        <v>2</v>
      </c>
      <c r="G21370" t="s">
        <v>47093</v>
      </c>
      <c r="I21370" t="s">
        <v>47111</v>
      </c>
      <c r="J21370" t="s">
        <v>47112</v>
      </c>
      <c r="K21370" t="s">
        <v>47113</v>
      </c>
      <c r="L21370">
        <v>53.23</v>
      </c>
      <c r="M21370">
        <v>100</v>
      </c>
      <c r="N21370">
        <v>0</v>
      </c>
      <c r="O21370">
        <v>100</v>
      </c>
      <c r="P21370">
        <v>0</v>
      </c>
    </row>
    <row r="21371" spans="1:16" x14ac:dyDescent="0.25">
      <c r="A21371" t="s">
        <v>44179</v>
      </c>
      <c r="B21371" t="s">
        <v>12880</v>
      </c>
      <c r="C21371" t="s">
        <v>12877</v>
      </c>
      <c r="D21371" t="s">
        <v>22</v>
      </c>
      <c r="E21371" t="s">
        <v>23</v>
      </c>
      <c r="F21371" t="s">
        <v>2</v>
      </c>
      <c r="G21371" t="s">
        <v>47093</v>
      </c>
      <c r="I21371" t="s">
        <v>47111</v>
      </c>
      <c r="J21371" t="s">
        <v>47112</v>
      </c>
      <c r="K21371" t="s">
        <v>47113</v>
      </c>
      <c r="L21371">
        <v>48.92</v>
      </c>
      <c r="M21371">
        <v>100</v>
      </c>
      <c r="N21371">
        <v>0</v>
      </c>
      <c r="O21371">
        <v>100</v>
      </c>
      <c r="P21371">
        <v>0</v>
      </c>
    </row>
    <row r="21372" spans="1:16" x14ac:dyDescent="0.25">
      <c r="A21372" t="s">
        <v>44180</v>
      </c>
      <c r="B21372" t="s">
        <v>12881</v>
      </c>
      <c r="C21372" t="s">
        <v>12877</v>
      </c>
      <c r="D21372" t="str">
        <f>"06"</f>
        <v>06</v>
      </c>
      <c r="E21372" t="s">
        <v>12871</v>
      </c>
      <c r="F21372" t="s">
        <v>2</v>
      </c>
      <c r="G21372" t="s">
        <v>47093</v>
      </c>
      <c r="I21372" t="s">
        <v>47111</v>
      </c>
      <c r="J21372" t="s">
        <v>47112</v>
      </c>
      <c r="K21372" t="s">
        <v>47113</v>
      </c>
      <c r="L21372">
        <v>53.62</v>
      </c>
      <c r="M21372">
        <v>100</v>
      </c>
      <c r="N21372">
        <v>0</v>
      </c>
      <c r="O21372">
        <v>100</v>
      </c>
      <c r="P21372">
        <v>0</v>
      </c>
    </row>
    <row r="21373" spans="1:16" x14ac:dyDescent="0.25">
      <c r="A21373" t="s">
        <v>44181</v>
      </c>
      <c r="B21373" t="s">
        <v>12881</v>
      </c>
      <c r="C21373" t="s">
        <v>12877</v>
      </c>
      <c r="D21373" t="str">
        <f>"11"</f>
        <v>11</v>
      </c>
      <c r="E21373" t="s">
        <v>288</v>
      </c>
      <c r="F21373" t="s">
        <v>2</v>
      </c>
      <c r="G21373" t="s">
        <v>47093</v>
      </c>
      <c r="I21373" t="s">
        <v>47111</v>
      </c>
      <c r="J21373" t="s">
        <v>47112</v>
      </c>
      <c r="K21373" t="s">
        <v>47113</v>
      </c>
      <c r="L21373">
        <v>48.39</v>
      </c>
      <c r="M21373">
        <v>100</v>
      </c>
      <c r="N21373">
        <v>0</v>
      </c>
      <c r="O21373">
        <v>100</v>
      </c>
      <c r="P21373">
        <v>0</v>
      </c>
    </row>
    <row r="21374" spans="1:16" x14ac:dyDescent="0.25">
      <c r="A21374" t="s">
        <v>44182</v>
      </c>
      <c r="B21374" t="s">
        <v>12881</v>
      </c>
      <c r="C21374" t="s">
        <v>12877</v>
      </c>
      <c r="D21374" t="s">
        <v>27</v>
      </c>
      <c r="E21374" t="s">
        <v>622</v>
      </c>
      <c r="F21374" t="s">
        <v>2</v>
      </c>
      <c r="G21374" t="s">
        <v>47093</v>
      </c>
      <c r="I21374" t="s">
        <v>47111</v>
      </c>
      <c r="J21374" t="s">
        <v>47112</v>
      </c>
      <c r="K21374" t="s">
        <v>47113</v>
      </c>
      <c r="L21374">
        <v>53.23</v>
      </c>
      <c r="M21374">
        <v>100</v>
      </c>
      <c r="N21374">
        <v>0</v>
      </c>
      <c r="O21374">
        <v>100</v>
      </c>
      <c r="P21374">
        <v>0</v>
      </c>
    </row>
    <row r="21375" spans="1:16" x14ac:dyDescent="0.25">
      <c r="A21375" t="s">
        <v>44183</v>
      </c>
      <c r="B21375" t="s">
        <v>12881</v>
      </c>
      <c r="C21375" t="s">
        <v>12877</v>
      </c>
      <c r="D21375" t="s">
        <v>22</v>
      </c>
      <c r="E21375" t="s">
        <v>23</v>
      </c>
      <c r="F21375" t="s">
        <v>2</v>
      </c>
      <c r="G21375" t="s">
        <v>47093</v>
      </c>
      <c r="I21375" t="s">
        <v>47111</v>
      </c>
      <c r="J21375" t="s">
        <v>47112</v>
      </c>
      <c r="K21375" t="s">
        <v>47113</v>
      </c>
      <c r="L21375">
        <v>48.92</v>
      </c>
      <c r="M21375">
        <v>100</v>
      </c>
      <c r="N21375">
        <v>0</v>
      </c>
      <c r="O21375">
        <v>100</v>
      </c>
      <c r="P21375">
        <v>0</v>
      </c>
    </row>
    <row r="21376" spans="1:16" x14ac:dyDescent="0.25">
      <c r="A21376" t="s">
        <v>44184</v>
      </c>
      <c r="B21376" t="s">
        <v>12882</v>
      </c>
      <c r="C21376" t="s">
        <v>12877</v>
      </c>
      <c r="D21376" t="str">
        <f>"06"</f>
        <v>06</v>
      </c>
      <c r="E21376" t="s">
        <v>12871</v>
      </c>
      <c r="F21376" t="s">
        <v>2</v>
      </c>
      <c r="G21376" t="s">
        <v>47093</v>
      </c>
      <c r="H21376" t="s">
        <v>47054</v>
      </c>
      <c r="I21376" t="s">
        <v>47111</v>
      </c>
      <c r="J21376" t="s">
        <v>47112</v>
      </c>
      <c r="K21376" t="s">
        <v>47113</v>
      </c>
      <c r="L21376">
        <v>53.62</v>
      </c>
      <c r="M21376">
        <v>100</v>
      </c>
      <c r="N21376">
        <v>0</v>
      </c>
      <c r="O21376">
        <v>100</v>
      </c>
      <c r="P21376">
        <v>0</v>
      </c>
    </row>
    <row r="21377" spans="1:16" x14ac:dyDescent="0.25">
      <c r="A21377" t="s">
        <v>44185</v>
      </c>
      <c r="B21377" t="s">
        <v>12882</v>
      </c>
      <c r="C21377" t="s">
        <v>12877</v>
      </c>
      <c r="D21377" t="str">
        <f>"11"</f>
        <v>11</v>
      </c>
      <c r="E21377" t="s">
        <v>288</v>
      </c>
      <c r="F21377" t="s">
        <v>2</v>
      </c>
      <c r="G21377" t="s">
        <v>47093</v>
      </c>
      <c r="H21377" t="s">
        <v>47054</v>
      </c>
      <c r="I21377" t="s">
        <v>47111</v>
      </c>
      <c r="J21377" t="s">
        <v>47112</v>
      </c>
      <c r="K21377" t="s">
        <v>47113</v>
      </c>
      <c r="L21377">
        <v>48.39</v>
      </c>
      <c r="M21377">
        <v>100</v>
      </c>
      <c r="N21377">
        <v>0</v>
      </c>
      <c r="O21377">
        <v>100</v>
      </c>
      <c r="P21377">
        <v>0</v>
      </c>
    </row>
    <row r="21378" spans="1:16" x14ac:dyDescent="0.25">
      <c r="A21378" t="s">
        <v>44186</v>
      </c>
      <c r="B21378" t="s">
        <v>12882</v>
      </c>
      <c r="C21378" t="s">
        <v>12877</v>
      </c>
      <c r="D21378" t="s">
        <v>27</v>
      </c>
      <c r="E21378" t="s">
        <v>622</v>
      </c>
      <c r="F21378" t="s">
        <v>2</v>
      </c>
      <c r="G21378" t="s">
        <v>47093</v>
      </c>
      <c r="H21378" t="s">
        <v>47054</v>
      </c>
      <c r="I21378" t="s">
        <v>47111</v>
      </c>
      <c r="J21378" t="s">
        <v>47112</v>
      </c>
      <c r="K21378" t="s">
        <v>47113</v>
      </c>
      <c r="L21378">
        <v>53.23</v>
      </c>
      <c r="M21378">
        <v>100</v>
      </c>
      <c r="N21378">
        <v>0</v>
      </c>
      <c r="O21378">
        <v>100</v>
      </c>
      <c r="P21378">
        <v>0</v>
      </c>
    </row>
    <row r="21379" spans="1:16" x14ac:dyDescent="0.25">
      <c r="A21379" t="s">
        <v>44187</v>
      </c>
      <c r="B21379" t="s">
        <v>12882</v>
      </c>
      <c r="C21379" t="s">
        <v>12877</v>
      </c>
      <c r="D21379" t="s">
        <v>22</v>
      </c>
      <c r="E21379" t="s">
        <v>23</v>
      </c>
      <c r="F21379" t="s">
        <v>2</v>
      </c>
      <c r="G21379" t="s">
        <v>47093</v>
      </c>
      <c r="H21379" t="s">
        <v>47054</v>
      </c>
      <c r="I21379" t="s">
        <v>47111</v>
      </c>
      <c r="J21379" t="s">
        <v>47112</v>
      </c>
      <c r="K21379" t="s">
        <v>47113</v>
      </c>
      <c r="L21379">
        <v>48.92</v>
      </c>
      <c r="M21379">
        <v>100</v>
      </c>
      <c r="N21379">
        <v>0</v>
      </c>
      <c r="O21379">
        <v>100</v>
      </c>
      <c r="P21379">
        <v>0</v>
      </c>
    </row>
    <row r="21380" spans="1:16" x14ac:dyDescent="0.25">
      <c r="A21380" t="s">
        <v>44188</v>
      </c>
      <c r="B21380" t="s">
        <v>12883</v>
      </c>
      <c r="C21380" t="s">
        <v>12877</v>
      </c>
      <c r="D21380" t="str">
        <f>"06"</f>
        <v>06</v>
      </c>
      <c r="E21380" t="s">
        <v>12871</v>
      </c>
      <c r="F21380" t="s">
        <v>2</v>
      </c>
      <c r="G21380" t="s">
        <v>47093</v>
      </c>
      <c r="I21380" t="s">
        <v>47111</v>
      </c>
      <c r="J21380" t="s">
        <v>47112</v>
      </c>
      <c r="K21380" t="s">
        <v>47113</v>
      </c>
      <c r="L21380">
        <v>53.62</v>
      </c>
      <c r="M21380">
        <v>100</v>
      </c>
      <c r="N21380">
        <v>0</v>
      </c>
      <c r="O21380">
        <v>100</v>
      </c>
      <c r="P21380">
        <v>0</v>
      </c>
    </row>
    <row r="21381" spans="1:16" x14ac:dyDescent="0.25">
      <c r="A21381" t="s">
        <v>44189</v>
      </c>
      <c r="B21381" t="s">
        <v>12883</v>
      </c>
      <c r="C21381" t="s">
        <v>12877</v>
      </c>
      <c r="D21381" t="str">
        <f>"11"</f>
        <v>11</v>
      </c>
      <c r="E21381" t="s">
        <v>288</v>
      </c>
      <c r="F21381" t="s">
        <v>2</v>
      </c>
      <c r="G21381" t="s">
        <v>47093</v>
      </c>
      <c r="I21381" t="s">
        <v>47111</v>
      </c>
      <c r="J21381" t="s">
        <v>47112</v>
      </c>
      <c r="K21381" t="s">
        <v>47113</v>
      </c>
      <c r="L21381">
        <v>48.39</v>
      </c>
      <c r="M21381">
        <v>100</v>
      </c>
      <c r="N21381">
        <v>0</v>
      </c>
      <c r="O21381">
        <v>100</v>
      </c>
      <c r="P21381">
        <v>0</v>
      </c>
    </row>
    <row r="21382" spans="1:16" x14ac:dyDescent="0.25">
      <c r="A21382" t="s">
        <v>44190</v>
      </c>
      <c r="B21382" t="s">
        <v>12883</v>
      </c>
      <c r="C21382" t="s">
        <v>12877</v>
      </c>
      <c r="D21382" t="s">
        <v>27</v>
      </c>
      <c r="E21382" t="s">
        <v>622</v>
      </c>
      <c r="F21382" t="s">
        <v>2</v>
      </c>
      <c r="G21382" t="s">
        <v>47093</v>
      </c>
      <c r="I21382" t="s">
        <v>47111</v>
      </c>
      <c r="J21382" t="s">
        <v>47112</v>
      </c>
      <c r="K21382" t="s">
        <v>47113</v>
      </c>
      <c r="L21382">
        <v>53.23</v>
      </c>
      <c r="M21382">
        <v>100</v>
      </c>
      <c r="N21382">
        <v>0</v>
      </c>
      <c r="O21382">
        <v>100</v>
      </c>
      <c r="P21382">
        <v>0</v>
      </c>
    </row>
    <row r="21383" spans="1:16" x14ac:dyDescent="0.25">
      <c r="A21383" t="s">
        <v>44191</v>
      </c>
      <c r="B21383" t="s">
        <v>12883</v>
      </c>
      <c r="C21383" t="s">
        <v>12877</v>
      </c>
      <c r="D21383" t="s">
        <v>22</v>
      </c>
      <c r="E21383" t="s">
        <v>23</v>
      </c>
      <c r="F21383" t="s">
        <v>2</v>
      </c>
      <c r="G21383" t="s">
        <v>47093</v>
      </c>
      <c r="I21383" t="s">
        <v>47111</v>
      </c>
      <c r="J21383" t="s">
        <v>47112</v>
      </c>
      <c r="K21383" t="s">
        <v>47113</v>
      </c>
      <c r="L21383">
        <v>48.92</v>
      </c>
      <c r="M21383">
        <v>100</v>
      </c>
      <c r="N21383">
        <v>0</v>
      </c>
      <c r="O21383">
        <v>100</v>
      </c>
      <c r="P21383">
        <v>0</v>
      </c>
    </row>
    <row r="21384" spans="1:16" x14ac:dyDescent="0.25">
      <c r="A21384" t="s">
        <v>44192</v>
      </c>
      <c r="B21384" t="s">
        <v>12884</v>
      </c>
      <c r="C21384" t="s">
        <v>12877</v>
      </c>
      <c r="D21384" t="str">
        <f>"06"</f>
        <v>06</v>
      </c>
      <c r="E21384" t="s">
        <v>12871</v>
      </c>
      <c r="F21384" t="s">
        <v>2</v>
      </c>
      <c r="G21384" t="s">
        <v>47093</v>
      </c>
      <c r="I21384" t="s">
        <v>47111</v>
      </c>
      <c r="J21384" t="s">
        <v>47112</v>
      </c>
      <c r="K21384" t="s">
        <v>47113</v>
      </c>
      <c r="L21384">
        <v>53.62</v>
      </c>
      <c r="M21384">
        <v>100</v>
      </c>
      <c r="N21384">
        <v>0</v>
      </c>
      <c r="O21384">
        <v>100</v>
      </c>
      <c r="P21384">
        <v>0</v>
      </c>
    </row>
    <row r="21385" spans="1:16" x14ac:dyDescent="0.25">
      <c r="A21385" t="s">
        <v>44193</v>
      </c>
      <c r="B21385" t="s">
        <v>12884</v>
      </c>
      <c r="C21385" t="s">
        <v>12877</v>
      </c>
      <c r="D21385" t="str">
        <f>"11"</f>
        <v>11</v>
      </c>
      <c r="E21385" t="s">
        <v>288</v>
      </c>
      <c r="F21385" t="s">
        <v>2</v>
      </c>
      <c r="G21385" t="s">
        <v>47093</v>
      </c>
      <c r="I21385" t="s">
        <v>47111</v>
      </c>
      <c r="J21385" t="s">
        <v>47112</v>
      </c>
      <c r="K21385" t="s">
        <v>47113</v>
      </c>
      <c r="L21385">
        <v>48.39</v>
      </c>
      <c r="M21385">
        <v>100</v>
      </c>
      <c r="N21385">
        <v>0</v>
      </c>
      <c r="O21385">
        <v>100</v>
      </c>
      <c r="P21385">
        <v>0</v>
      </c>
    </row>
    <row r="21386" spans="1:16" x14ac:dyDescent="0.25">
      <c r="A21386" t="s">
        <v>44194</v>
      </c>
      <c r="B21386" t="s">
        <v>12884</v>
      </c>
      <c r="C21386" t="s">
        <v>12877</v>
      </c>
      <c r="D21386" t="s">
        <v>27</v>
      </c>
      <c r="E21386" t="s">
        <v>622</v>
      </c>
      <c r="F21386" t="s">
        <v>2</v>
      </c>
      <c r="G21386" t="s">
        <v>47093</v>
      </c>
      <c r="I21386" t="s">
        <v>47111</v>
      </c>
      <c r="J21386" t="s">
        <v>47112</v>
      </c>
      <c r="K21386" t="s">
        <v>47113</v>
      </c>
      <c r="L21386">
        <v>53.23</v>
      </c>
      <c r="M21386">
        <v>100</v>
      </c>
      <c r="N21386">
        <v>0</v>
      </c>
      <c r="O21386">
        <v>100</v>
      </c>
      <c r="P21386">
        <v>0</v>
      </c>
    </row>
    <row r="21387" spans="1:16" x14ac:dyDescent="0.25">
      <c r="A21387" t="s">
        <v>44195</v>
      </c>
      <c r="B21387" t="s">
        <v>12884</v>
      </c>
      <c r="C21387" t="s">
        <v>12877</v>
      </c>
      <c r="D21387" t="s">
        <v>22</v>
      </c>
      <c r="E21387" t="s">
        <v>23</v>
      </c>
      <c r="F21387" t="s">
        <v>2</v>
      </c>
      <c r="G21387" t="s">
        <v>47093</v>
      </c>
      <c r="I21387" t="s">
        <v>47111</v>
      </c>
      <c r="J21387" t="s">
        <v>47112</v>
      </c>
      <c r="K21387" t="s">
        <v>47113</v>
      </c>
      <c r="L21387">
        <v>48.92</v>
      </c>
      <c r="M21387">
        <v>100</v>
      </c>
      <c r="N21387">
        <v>0</v>
      </c>
      <c r="O21387">
        <v>100</v>
      </c>
      <c r="P21387">
        <v>0</v>
      </c>
    </row>
    <row r="21388" spans="1:16" x14ac:dyDescent="0.25">
      <c r="A21388" t="s">
        <v>44196</v>
      </c>
      <c r="B21388" t="s">
        <v>12885</v>
      </c>
      <c r="C21388" t="s">
        <v>12886</v>
      </c>
      <c r="D21388" t="str">
        <f>"06"</f>
        <v>06</v>
      </c>
      <c r="E21388" t="s">
        <v>12871</v>
      </c>
      <c r="F21388" t="s">
        <v>2</v>
      </c>
      <c r="G21388" t="s">
        <v>47093</v>
      </c>
      <c r="I21388" t="s">
        <v>47111</v>
      </c>
      <c r="J21388" t="s">
        <v>47112</v>
      </c>
      <c r="K21388" t="s">
        <v>47113</v>
      </c>
      <c r="L21388">
        <v>53.62</v>
      </c>
      <c r="M21388">
        <v>100</v>
      </c>
      <c r="N21388">
        <v>0</v>
      </c>
      <c r="O21388">
        <v>100</v>
      </c>
      <c r="P21388">
        <v>0</v>
      </c>
    </row>
    <row r="21389" spans="1:16" x14ac:dyDescent="0.25">
      <c r="A21389" t="s">
        <v>44197</v>
      </c>
      <c r="B21389" t="s">
        <v>12885</v>
      </c>
      <c r="C21389" t="s">
        <v>12886</v>
      </c>
      <c r="D21389" t="str">
        <f>"11"</f>
        <v>11</v>
      </c>
      <c r="E21389" t="s">
        <v>288</v>
      </c>
      <c r="F21389" t="s">
        <v>2</v>
      </c>
      <c r="G21389" t="s">
        <v>47093</v>
      </c>
      <c r="I21389" t="s">
        <v>47111</v>
      </c>
      <c r="J21389" t="s">
        <v>47112</v>
      </c>
      <c r="K21389" t="s">
        <v>47113</v>
      </c>
      <c r="L21389">
        <v>48.39</v>
      </c>
      <c r="M21389">
        <v>100</v>
      </c>
      <c r="N21389">
        <v>0</v>
      </c>
      <c r="O21389">
        <v>100</v>
      </c>
      <c r="P21389">
        <v>0</v>
      </c>
    </row>
    <row r="21390" spans="1:16" x14ac:dyDescent="0.25">
      <c r="A21390" t="s">
        <v>44198</v>
      </c>
      <c r="B21390" t="s">
        <v>12885</v>
      </c>
      <c r="C21390" t="s">
        <v>12886</v>
      </c>
      <c r="D21390" t="s">
        <v>27</v>
      </c>
      <c r="E21390" t="s">
        <v>622</v>
      </c>
      <c r="F21390" t="s">
        <v>2</v>
      </c>
      <c r="G21390" t="s">
        <v>47093</v>
      </c>
      <c r="I21390" t="s">
        <v>47111</v>
      </c>
      <c r="J21390" t="s">
        <v>47112</v>
      </c>
      <c r="K21390" t="s">
        <v>47113</v>
      </c>
      <c r="L21390">
        <v>53.23</v>
      </c>
      <c r="M21390">
        <v>100</v>
      </c>
      <c r="N21390">
        <v>0</v>
      </c>
      <c r="O21390">
        <v>100</v>
      </c>
      <c r="P21390">
        <v>0</v>
      </c>
    </row>
    <row r="21391" spans="1:16" x14ac:dyDescent="0.25">
      <c r="A21391" t="s">
        <v>44199</v>
      </c>
      <c r="B21391" t="s">
        <v>12885</v>
      </c>
      <c r="C21391" t="s">
        <v>12886</v>
      </c>
      <c r="D21391" t="s">
        <v>22</v>
      </c>
      <c r="E21391" t="s">
        <v>23</v>
      </c>
      <c r="F21391" t="s">
        <v>2</v>
      </c>
      <c r="G21391" t="s">
        <v>47093</v>
      </c>
      <c r="I21391" t="s">
        <v>47111</v>
      </c>
      <c r="J21391" t="s">
        <v>47112</v>
      </c>
      <c r="K21391" t="s">
        <v>47113</v>
      </c>
      <c r="L21391">
        <v>48.92</v>
      </c>
      <c r="M21391">
        <v>100</v>
      </c>
      <c r="N21391">
        <v>0</v>
      </c>
      <c r="O21391">
        <v>100</v>
      </c>
      <c r="P21391">
        <v>0</v>
      </c>
    </row>
    <row r="21392" spans="1:16" x14ac:dyDescent="0.25">
      <c r="A21392" t="s">
        <v>44200</v>
      </c>
      <c r="B21392" t="s">
        <v>12887</v>
      </c>
      <c r="C21392" t="s">
        <v>12886</v>
      </c>
      <c r="D21392" t="str">
        <f>"06"</f>
        <v>06</v>
      </c>
      <c r="E21392" t="s">
        <v>12871</v>
      </c>
      <c r="F21392" t="s">
        <v>2</v>
      </c>
      <c r="G21392" t="s">
        <v>47093</v>
      </c>
      <c r="I21392" t="s">
        <v>47111</v>
      </c>
      <c r="J21392" t="s">
        <v>47112</v>
      </c>
      <c r="K21392" t="s">
        <v>47113</v>
      </c>
      <c r="L21392">
        <v>53.62</v>
      </c>
      <c r="M21392">
        <v>100</v>
      </c>
      <c r="N21392">
        <v>0</v>
      </c>
      <c r="O21392">
        <v>100</v>
      </c>
      <c r="P21392">
        <v>0</v>
      </c>
    </row>
    <row r="21393" spans="1:16" x14ac:dyDescent="0.25">
      <c r="A21393" t="s">
        <v>44201</v>
      </c>
      <c r="B21393" t="s">
        <v>12887</v>
      </c>
      <c r="C21393" t="s">
        <v>12886</v>
      </c>
      <c r="D21393" t="str">
        <f>"11"</f>
        <v>11</v>
      </c>
      <c r="E21393" t="s">
        <v>288</v>
      </c>
      <c r="F21393" t="s">
        <v>2</v>
      </c>
      <c r="G21393" t="s">
        <v>47093</v>
      </c>
      <c r="I21393" t="s">
        <v>47111</v>
      </c>
      <c r="J21393" t="s">
        <v>47112</v>
      </c>
      <c r="K21393" t="s">
        <v>47113</v>
      </c>
      <c r="L21393">
        <v>48.39</v>
      </c>
      <c r="M21393">
        <v>100</v>
      </c>
      <c r="N21393">
        <v>0</v>
      </c>
      <c r="O21393">
        <v>100</v>
      </c>
      <c r="P21393">
        <v>0</v>
      </c>
    </row>
    <row r="21394" spans="1:16" x14ac:dyDescent="0.25">
      <c r="A21394" t="s">
        <v>44202</v>
      </c>
      <c r="B21394" t="s">
        <v>12887</v>
      </c>
      <c r="C21394" t="s">
        <v>12886</v>
      </c>
      <c r="D21394" t="s">
        <v>27</v>
      </c>
      <c r="E21394" t="s">
        <v>622</v>
      </c>
      <c r="F21394" t="s">
        <v>2</v>
      </c>
      <c r="G21394" t="s">
        <v>47093</v>
      </c>
      <c r="I21394" t="s">
        <v>47111</v>
      </c>
      <c r="J21394" t="s">
        <v>47112</v>
      </c>
      <c r="K21394" t="s">
        <v>47113</v>
      </c>
      <c r="L21394">
        <v>53.23</v>
      </c>
      <c r="M21394">
        <v>100</v>
      </c>
      <c r="N21394">
        <v>0</v>
      </c>
      <c r="O21394">
        <v>100</v>
      </c>
      <c r="P21394">
        <v>0</v>
      </c>
    </row>
    <row r="21395" spans="1:16" x14ac:dyDescent="0.25">
      <c r="A21395" t="s">
        <v>44203</v>
      </c>
      <c r="B21395" t="s">
        <v>12887</v>
      </c>
      <c r="C21395" t="s">
        <v>12886</v>
      </c>
      <c r="D21395" t="s">
        <v>22</v>
      </c>
      <c r="E21395" t="s">
        <v>23</v>
      </c>
      <c r="F21395" t="s">
        <v>2</v>
      </c>
      <c r="G21395" t="s">
        <v>47093</v>
      </c>
      <c r="I21395" t="s">
        <v>47111</v>
      </c>
      <c r="J21395" t="s">
        <v>47112</v>
      </c>
      <c r="K21395" t="s">
        <v>47113</v>
      </c>
      <c r="L21395">
        <v>48.92</v>
      </c>
      <c r="M21395">
        <v>100</v>
      </c>
      <c r="N21395">
        <v>0</v>
      </c>
      <c r="O21395">
        <v>100</v>
      </c>
      <c r="P21395">
        <v>0</v>
      </c>
    </row>
    <row r="21396" spans="1:16" x14ac:dyDescent="0.25">
      <c r="A21396" t="s">
        <v>44204</v>
      </c>
      <c r="B21396" t="s">
        <v>12888</v>
      </c>
      <c r="C21396" t="s">
        <v>12886</v>
      </c>
      <c r="D21396" t="str">
        <f>"06"</f>
        <v>06</v>
      </c>
      <c r="E21396" t="s">
        <v>12871</v>
      </c>
      <c r="F21396" t="s">
        <v>2</v>
      </c>
      <c r="G21396" t="s">
        <v>47093</v>
      </c>
      <c r="I21396" t="s">
        <v>47111</v>
      </c>
      <c r="J21396" t="s">
        <v>47112</v>
      </c>
      <c r="K21396" t="s">
        <v>47113</v>
      </c>
      <c r="L21396">
        <v>53.62</v>
      </c>
      <c r="M21396">
        <v>100</v>
      </c>
      <c r="N21396">
        <v>0</v>
      </c>
      <c r="O21396">
        <v>100</v>
      </c>
      <c r="P21396">
        <v>0</v>
      </c>
    </row>
    <row r="21397" spans="1:16" x14ac:dyDescent="0.25">
      <c r="A21397" t="s">
        <v>44205</v>
      </c>
      <c r="B21397" t="s">
        <v>12888</v>
      </c>
      <c r="C21397" t="s">
        <v>12886</v>
      </c>
      <c r="D21397" t="str">
        <f>"11"</f>
        <v>11</v>
      </c>
      <c r="E21397" t="s">
        <v>288</v>
      </c>
      <c r="F21397" t="s">
        <v>2</v>
      </c>
      <c r="G21397" t="s">
        <v>47093</v>
      </c>
      <c r="I21397" t="s">
        <v>47111</v>
      </c>
      <c r="J21397" t="s">
        <v>47112</v>
      </c>
      <c r="K21397" t="s">
        <v>47113</v>
      </c>
      <c r="L21397">
        <v>48.39</v>
      </c>
      <c r="M21397">
        <v>100</v>
      </c>
      <c r="N21397">
        <v>0</v>
      </c>
      <c r="O21397">
        <v>100</v>
      </c>
      <c r="P21397">
        <v>0</v>
      </c>
    </row>
    <row r="21398" spans="1:16" x14ac:dyDescent="0.25">
      <c r="A21398" t="s">
        <v>44206</v>
      </c>
      <c r="B21398" t="s">
        <v>12888</v>
      </c>
      <c r="C21398" t="s">
        <v>12886</v>
      </c>
      <c r="D21398" t="s">
        <v>27</v>
      </c>
      <c r="E21398" t="s">
        <v>622</v>
      </c>
      <c r="F21398" t="s">
        <v>2</v>
      </c>
      <c r="G21398" t="s">
        <v>47093</v>
      </c>
      <c r="I21398" t="s">
        <v>47111</v>
      </c>
      <c r="J21398" t="s">
        <v>47112</v>
      </c>
      <c r="K21398" t="s">
        <v>47113</v>
      </c>
      <c r="L21398">
        <v>53.23</v>
      </c>
      <c r="M21398">
        <v>100</v>
      </c>
      <c r="N21398">
        <v>0</v>
      </c>
      <c r="O21398">
        <v>100</v>
      </c>
      <c r="P21398">
        <v>0</v>
      </c>
    </row>
    <row r="21399" spans="1:16" x14ac:dyDescent="0.25">
      <c r="A21399" t="s">
        <v>44207</v>
      </c>
      <c r="B21399" t="s">
        <v>12888</v>
      </c>
      <c r="C21399" t="s">
        <v>12886</v>
      </c>
      <c r="D21399" t="s">
        <v>22</v>
      </c>
      <c r="E21399" t="s">
        <v>23</v>
      </c>
      <c r="F21399" t="s">
        <v>2</v>
      </c>
      <c r="G21399" t="s">
        <v>47093</v>
      </c>
      <c r="I21399" t="s">
        <v>47111</v>
      </c>
      <c r="J21399" t="s">
        <v>47112</v>
      </c>
      <c r="K21399" t="s">
        <v>47113</v>
      </c>
      <c r="L21399">
        <v>48.92</v>
      </c>
      <c r="M21399">
        <v>100</v>
      </c>
      <c r="N21399">
        <v>0</v>
      </c>
      <c r="O21399">
        <v>100</v>
      </c>
      <c r="P21399">
        <v>0</v>
      </c>
    </row>
    <row r="21400" spans="1:16" x14ac:dyDescent="0.25">
      <c r="A21400" t="s">
        <v>44208</v>
      </c>
      <c r="B21400" t="s">
        <v>12889</v>
      </c>
      <c r="C21400" t="s">
        <v>12886</v>
      </c>
      <c r="D21400" t="str">
        <f>"06"</f>
        <v>06</v>
      </c>
      <c r="E21400" t="s">
        <v>12871</v>
      </c>
      <c r="F21400" t="s">
        <v>2</v>
      </c>
      <c r="G21400" t="s">
        <v>47093</v>
      </c>
      <c r="I21400" t="s">
        <v>47111</v>
      </c>
      <c r="J21400" t="s">
        <v>47112</v>
      </c>
      <c r="K21400" t="s">
        <v>47113</v>
      </c>
      <c r="L21400">
        <v>53.62</v>
      </c>
      <c r="M21400">
        <v>100</v>
      </c>
      <c r="N21400">
        <v>0</v>
      </c>
      <c r="O21400">
        <v>100</v>
      </c>
      <c r="P21400">
        <v>0</v>
      </c>
    </row>
    <row r="21401" spans="1:16" x14ac:dyDescent="0.25">
      <c r="A21401" t="s">
        <v>44209</v>
      </c>
      <c r="B21401" t="s">
        <v>12889</v>
      </c>
      <c r="C21401" t="s">
        <v>12886</v>
      </c>
      <c r="D21401" t="str">
        <f>"11"</f>
        <v>11</v>
      </c>
      <c r="E21401" t="s">
        <v>288</v>
      </c>
      <c r="F21401" t="s">
        <v>2</v>
      </c>
      <c r="G21401" t="s">
        <v>47093</v>
      </c>
      <c r="I21401" t="s">
        <v>47111</v>
      </c>
      <c r="J21401" t="s">
        <v>47112</v>
      </c>
      <c r="K21401" t="s">
        <v>47113</v>
      </c>
      <c r="L21401">
        <v>48.39</v>
      </c>
      <c r="M21401">
        <v>100</v>
      </c>
      <c r="N21401">
        <v>0</v>
      </c>
      <c r="O21401">
        <v>100</v>
      </c>
      <c r="P21401">
        <v>0</v>
      </c>
    </row>
    <row r="21402" spans="1:16" x14ac:dyDescent="0.25">
      <c r="A21402" t="s">
        <v>44210</v>
      </c>
      <c r="B21402" t="s">
        <v>12889</v>
      </c>
      <c r="C21402" t="s">
        <v>12886</v>
      </c>
      <c r="D21402" t="s">
        <v>27</v>
      </c>
      <c r="E21402" t="s">
        <v>622</v>
      </c>
      <c r="F21402" t="s">
        <v>2</v>
      </c>
      <c r="G21402" t="s">
        <v>47093</v>
      </c>
      <c r="I21402" t="s">
        <v>47111</v>
      </c>
      <c r="J21402" t="s">
        <v>47112</v>
      </c>
      <c r="K21402" t="s">
        <v>47113</v>
      </c>
      <c r="L21402">
        <v>53.23</v>
      </c>
      <c r="M21402">
        <v>100</v>
      </c>
      <c r="N21402">
        <v>0</v>
      </c>
      <c r="O21402">
        <v>100</v>
      </c>
      <c r="P21402">
        <v>0</v>
      </c>
    </row>
    <row r="21403" spans="1:16" x14ac:dyDescent="0.25">
      <c r="A21403" t="s">
        <v>44211</v>
      </c>
      <c r="B21403" t="s">
        <v>12889</v>
      </c>
      <c r="C21403" t="s">
        <v>12886</v>
      </c>
      <c r="D21403" t="s">
        <v>22</v>
      </c>
      <c r="E21403" t="s">
        <v>23</v>
      </c>
      <c r="F21403" t="s">
        <v>2</v>
      </c>
      <c r="G21403" t="s">
        <v>47093</v>
      </c>
      <c r="I21403" t="s">
        <v>47111</v>
      </c>
      <c r="J21403" t="s">
        <v>47112</v>
      </c>
      <c r="K21403" t="s">
        <v>47113</v>
      </c>
      <c r="L21403">
        <v>48.92</v>
      </c>
      <c r="M21403">
        <v>100</v>
      </c>
      <c r="N21403">
        <v>0</v>
      </c>
      <c r="O21403">
        <v>100</v>
      </c>
      <c r="P21403">
        <v>0</v>
      </c>
    </row>
    <row r="21404" spans="1:16" x14ac:dyDescent="0.25">
      <c r="A21404" t="s">
        <v>44212</v>
      </c>
      <c r="B21404" t="s">
        <v>12890</v>
      </c>
      <c r="C21404" t="s">
        <v>12891</v>
      </c>
      <c r="D21404" t="s">
        <v>2933</v>
      </c>
      <c r="E21404" t="s">
        <v>2934</v>
      </c>
      <c r="F21404" t="s">
        <v>5</v>
      </c>
      <c r="G21404" t="s">
        <v>47093</v>
      </c>
      <c r="H21404" t="s">
        <v>47054</v>
      </c>
      <c r="I21404" t="s">
        <v>47111</v>
      </c>
      <c r="J21404" t="s">
        <v>47112</v>
      </c>
      <c r="K21404" t="s">
        <v>47113</v>
      </c>
      <c r="L21404">
        <v>53.44</v>
      </c>
      <c r="M21404">
        <v>123</v>
      </c>
      <c r="N21404">
        <v>0</v>
      </c>
      <c r="O21404">
        <v>123</v>
      </c>
      <c r="P21404">
        <v>0</v>
      </c>
    </row>
    <row r="21405" spans="1:16" x14ac:dyDescent="0.25">
      <c r="A21405" t="s">
        <v>44213</v>
      </c>
      <c r="B21405" t="s">
        <v>12892</v>
      </c>
      <c r="C21405" t="s">
        <v>12893</v>
      </c>
      <c r="D21405" t="s">
        <v>954</v>
      </c>
      <c r="E21405" t="s">
        <v>955</v>
      </c>
      <c r="F21405" t="s">
        <v>5</v>
      </c>
      <c r="G21405" t="s">
        <v>47093</v>
      </c>
      <c r="H21405" t="s">
        <v>47054</v>
      </c>
      <c r="I21405" t="s">
        <v>47111</v>
      </c>
      <c r="J21405" t="s">
        <v>47112</v>
      </c>
      <c r="K21405" t="s">
        <v>47113</v>
      </c>
      <c r="L21405">
        <v>55.32</v>
      </c>
      <c r="M21405">
        <v>130</v>
      </c>
      <c r="N21405">
        <v>0</v>
      </c>
      <c r="O21405">
        <v>130</v>
      </c>
      <c r="P21405">
        <v>0</v>
      </c>
    </row>
    <row r="21406" spans="1:16" x14ac:dyDescent="0.25">
      <c r="A21406" t="s">
        <v>44214</v>
      </c>
      <c r="B21406" t="s">
        <v>12894</v>
      </c>
      <c r="C21406" t="s">
        <v>12895</v>
      </c>
      <c r="D21406" t="s">
        <v>959</v>
      </c>
      <c r="E21406" t="s">
        <v>960</v>
      </c>
      <c r="F21406" t="s">
        <v>5</v>
      </c>
      <c r="G21406" t="s">
        <v>47093</v>
      </c>
      <c r="H21406" t="s">
        <v>47054</v>
      </c>
      <c r="I21406" t="s">
        <v>47111</v>
      </c>
      <c r="J21406" t="s">
        <v>47112</v>
      </c>
      <c r="K21406" t="s">
        <v>47113</v>
      </c>
      <c r="L21406">
        <v>52.8</v>
      </c>
      <c r="M21406">
        <v>123</v>
      </c>
      <c r="N21406">
        <v>0</v>
      </c>
      <c r="O21406">
        <v>123</v>
      </c>
      <c r="P21406">
        <v>0</v>
      </c>
    </row>
    <row r="21407" spans="1:16" x14ac:dyDescent="0.25">
      <c r="A21407" t="s">
        <v>923</v>
      </c>
      <c r="B21407" t="s">
        <v>924</v>
      </c>
      <c r="C21407" t="s">
        <v>925</v>
      </c>
      <c r="D21407" t="s">
        <v>926</v>
      </c>
      <c r="E21407" t="s">
        <v>927</v>
      </c>
      <c r="F21407" t="s">
        <v>4</v>
      </c>
      <c r="G21407" t="s">
        <v>47093</v>
      </c>
      <c r="H21407" t="s">
        <v>47054</v>
      </c>
      <c r="I21407" t="s">
        <v>47111</v>
      </c>
      <c r="J21407" t="s">
        <v>47112</v>
      </c>
      <c r="K21407" t="s">
        <v>47113</v>
      </c>
      <c r="L21407">
        <v>60.79</v>
      </c>
      <c r="M21407">
        <v>138</v>
      </c>
      <c r="N21407">
        <v>0</v>
      </c>
      <c r="O21407">
        <v>138</v>
      </c>
      <c r="P21407">
        <v>0</v>
      </c>
    </row>
    <row r="21408" spans="1:16" x14ac:dyDescent="0.25">
      <c r="A21408" t="s">
        <v>44215</v>
      </c>
      <c r="B21408" t="s">
        <v>929</v>
      </c>
      <c r="C21408" t="s">
        <v>930</v>
      </c>
      <c r="D21408" t="str">
        <f>"06"</f>
        <v>06</v>
      </c>
      <c r="E21408" t="s">
        <v>12871</v>
      </c>
      <c r="F21408" t="s">
        <v>2</v>
      </c>
      <c r="G21408" t="s">
        <v>47093</v>
      </c>
      <c r="H21408" t="s">
        <v>47054</v>
      </c>
      <c r="I21408" t="s">
        <v>47111</v>
      </c>
      <c r="J21408" t="s">
        <v>47112</v>
      </c>
      <c r="K21408" t="s">
        <v>47113</v>
      </c>
      <c r="L21408">
        <v>52.74</v>
      </c>
      <c r="M21408">
        <v>100</v>
      </c>
      <c r="N21408">
        <v>0</v>
      </c>
      <c r="O21408">
        <v>100</v>
      </c>
      <c r="P21408">
        <v>0</v>
      </c>
    </row>
    <row r="21409" spans="1:16" x14ac:dyDescent="0.25">
      <c r="A21409" t="s">
        <v>44216</v>
      </c>
      <c r="B21409" t="s">
        <v>929</v>
      </c>
      <c r="C21409" t="s">
        <v>930</v>
      </c>
      <c r="D21409" t="str">
        <f>"11"</f>
        <v>11</v>
      </c>
      <c r="E21409" t="s">
        <v>288</v>
      </c>
      <c r="F21409" t="s">
        <v>2</v>
      </c>
      <c r="G21409" t="s">
        <v>47093</v>
      </c>
      <c r="H21409" t="s">
        <v>47054</v>
      </c>
      <c r="I21409" t="s">
        <v>47111</v>
      </c>
      <c r="J21409" t="s">
        <v>47112</v>
      </c>
      <c r="K21409" t="s">
        <v>47113</v>
      </c>
      <c r="L21409">
        <v>49.16</v>
      </c>
      <c r="M21409">
        <v>100</v>
      </c>
      <c r="N21409">
        <v>0</v>
      </c>
      <c r="O21409">
        <v>100</v>
      </c>
      <c r="P21409">
        <v>0</v>
      </c>
    </row>
    <row r="21410" spans="1:16" x14ac:dyDescent="0.25">
      <c r="A21410" t="s">
        <v>44217</v>
      </c>
      <c r="B21410" t="s">
        <v>929</v>
      </c>
      <c r="C21410" t="s">
        <v>930</v>
      </c>
      <c r="D21410" t="s">
        <v>27</v>
      </c>
      <c r="E21410" t="s">
        <v>622</v>
      </c>
      <c r="F21410" t="s">
        <v>2</v>
      </c>
      <c r="G21410" t="s">
        <v>47093</v>
      </c>
      <c r="H21410" t="s">
        <v>47054</v>
      </c>
      <c r="I21410" t="s">
        <v>47111</v>
      </c>
      <c r="J21410" t="s">
        <v>47112</v>
      </c>
      <c r="K21410" t="s">
        <v>47113</v>
      </c>
      <c r="L21410">
        <v>54.11</v>
      </c>
      <c r="M21410">
        <v>100</v>
      </c>
      <c r="N21410">
        <v>0</v>
      </c>
      <c r="O21410">
        <v>100</v>
      </c>
      <c r="P21410">
        <v>0</v>
      </c>
    </row>
    <row r="21411" spans="1:16" x14ac:dyDescent="0.25">
      <c r="A21411" t="s">
        <v>44218</v>
      </c>
      <c r="B21411" t="s">
        <v>929</v>
      </c>
      <c r="C21411" t="s">
        <v>930</v>
      </c>
      <c r="D21411" t="s">
        <v>12811</v>
      </c>
      <c r="E21411" t="s">
        <v>12812</v>
      </c>
      <c r="F21411" t="s">
        <v>5</v>
      </c>
      <c r="G21411" t="s">
        <v>47093</v>
      </c>
      <c r="H21411" t="s">
        <v>47054</v>
      </c>
      <c r="I21411" t="s">
        <v>47111</v>
      </c>
      <c r="J21411" t="s">
        <v>47112</v>
      </c>
      <c r="K21411" t="s">
        <v>47113</v>
      </c>
      <c r="L21411">
        <v>57.41</v>
      </c>
      <c r="M21411">
        <v>129</v>
      </c>
      <c r="N21411">
        <v>0</v>
      </c>
      <c r="O21411">
        <v>129</v>
      </c>
      <c r="P21411">
        <v>0</v>
      </c>
    </row>
    <row r="21412" spans="1:16" x14ac:dyDescent="0.25">
      <c r="A21412" t="s">
        <v>44219</v>
      </c>
      <c r="B21412" t="s">
        <v>929</v>
      </c>
      <c r="C21412" t="s">
        <v>930</v>
      </c>
      <c r="D21412" t="s">
        <v>964</v>
      </c>
      <c r="E21412" t="s">
        <v>965</v>
      </c>
      <c r="F21412" t="s">
        <v>5</v>
      </c>
      <c r="G21412" t="s">
        <v>47093</v>
      </c>
      <c r="H21412" t="s">
        <v>47054</v>
      </c>
      <c r="I21412" t="s">
        <v>47111</v>
      </c>
      <c r="J21412" t="s">
        <v>47112</v>
      </c>
      <c r="K21412" t="s">
        <v>47113</v>
      </c>
      <c r="L21412">
        <v>55.76</v>
      </c>
      <c r="M21412">
        <v>130</v>
      </c>
      <c r="N21412">
        <v>0</v>
      </c>
      <c r="O21412">
        <v>130</v>
      </c>
      <c r="P21412">
        <v>0</v>
      </c>
    </row>
    <row r="21413" spans="1:16" x14ac:dyDescent="0.25">
      <c r="A21413" t="s">
        <v>44220</v>
      </c>
      <c r="B21413" t="s">
        <v>929</v>
      </c>
      <c r="C21413" t="s">
        <v>930</v>
      </c>
      <c r="D21413" t="s">
        <v>12864</v>
      </c>
      <c r="E21413" t="s">
        <v>12865</v>
      </c>
      <c r="F21413" t="s">
        <v>5</v>
      </c>
      <c r="G21413" t="s">
        <v>47093</v>
      </c>
      <c r="H21413" t="s">
        <v>47054</v>
      </c>
      <c r="I21413" t="s">
        <v>47111</v>
      </c>
      <c r="J21413" t="s">
        <v>47112</v>
      </c>
      <c r="K21413" t="s">
        <v>47113</v>
      </c>
      <c r="L21413">
        <v>57.41</v>
      </c>
      <c r="M21413">
        <v>129</v>
      </c>
      <c r="N21413">
        <v>0</v>
      </c>
      <c r="O21413">
        <v>129</v>
      </c>
      <c r="P21413">
        <v>0</v>
      </c>
    </row>
    <row r="21414" spans="1:16" x14ac:dyDescent="0.25">
      <c r="A21414" t="s">
        <v>44221</v>
      </c>
      <c r="B21414" t="s">
        <v>929</v>
      </c>
      <c r="C21414" t="s">
        <v>930</v>
      </c>
      <c r="D21414" t="s">
        <v>22</v>
      </c>
      <c r="E21414" t="s">
        <v>23</v>
      </c>
      <c r="F21414" t="s">
        <v>2</v>
      </c>
      <c r="G21414" t="s">
        <v>47093</v>
      </c>
      <c r="H21414" t="s">
        <v>47054</v>
      </c>
      <c r="I21414" t="s">
        <v>47111</v>
      </c>
      <c r="J21414" t="s">
        <v>47112</v>
      </c>
      <c r="K21414" t="s">
        <v>47113</v>
      </c>
      <c r="L21414">
        <v>49.72</v>
      </c>
      <c r="M21414">
        <v>100</v>
      </c>
      <c r="N21414">
        <v>0</v>
      </c>
      <c r="O21414">
        <v>100</v>
      </c>
      <c r="P21414">
        <v>0</v>
      </c>
    </row>
    <row r="21415" spans="1:16" x14ac:dyDescent="0.25">
      <c r="A21415" t="s">
        <v>928</v>
      </c>
      <c r="B21415" t="s">
        <v>929</v>
      </c>
      <c r="C21415" t="s">
        <v>930</v>
      </c>
      <c r="D21415" t="s">
        <v>931</v>
      </c>
      <c r="E21415" t="s">
        <v>932</v>
      </c>
      <c r="F21415" t="s">
        <v>3</v>
      </c>
      <c r="G21415" t="s">
        <v>47093</v>
      </c>
      <c r="H21415" t="s">
        <v>47054</v>
      </c>
      <c r="I21415" t="s">
        <v>47111</v>
      </c>
      <c r="J21415" t="s">
        <v>47112</v>
      </c>
      <c r="K21415" t="s">
        <v>47113</v>
      </c>
      <c r="L21415">
        <v>58.12</v>
      </c>
      <c r="M21415">
        <v>147</v>
      </c>
      <c r="N21415">
        <v>0</v>
      </c>
      <c r="O21415">
        <v>147</v>
      </c>
      <c r="P21415">
        <v>0</v>
      </c>
    </row>
    <row r="21416" spans="1:16" x14ac:dyDescent="0.25">
      <c r="A21416" t="s">
        <v>44222</v>
      </c>
      <c r="B21416" t="s">
        <v>12896</v>
      </c>
      <c r="C21416" t="s">
        <v>12897</v>
      </c>
      <c r="D21416" t="str">
        <f>"07"</f>
        <v>07</v>
      </c>
      <c r="E21416" t="s">
        <v>12851</v>
      </c>
      <c r="F21416" t="s">
        <v>2</v>
      </c>
      <c r="G21416" t="s">
        <v>47093</v>
      </c>
      <c r="H21416" t="s">
        <v>47054</v>
      </c>
      <c r="I21416" t="s">
        <v>47111</v>
      </c>
      <c r="J21416" t="s">
        <v>47112</v>
      </c>
      <c r="K21416" t="s">
        <v>47113</v>
      </c>
      <c r="L21416">
        <v>34.6</v>
      </c>
      <c r="M21416">
        <v>85</v>
      </c>
      <c r="N21416">
        <v>0</v>
      </c>
      <c r="O21416">
        <v>85</v>
      </c>
      <c r="P21416">
        <v>0</v>
      </c>
    </row>
    <row r="21417" spans="1:16" x14ac:dyDescent="0.25">
      <c r="A21417" t="s">
        <v>44223</v>
      </c>
      <c r="B21417" t="s">
        <v>12896</v>
      </c>
      <c r="C21417" t="s">
        <v>12897</v>
      </c>
      <c r="D21417" t="str">
        <f>"11"</f>
        <v>11</v>
      </c>
      <c r="E21417" t="s">
        <v>288</v>
      </c>
      <c r="F21417" t="s">
        <v>2</v>
      </c>
      <c r="G21417" t="s">
        <v>47093</v>
      </c>
      <c r="H21417" t="s">
        <v>47054</v>
      </c>
      <c r="I21417" t="s">
        <v>47111</v>
      </c>
      <c r="J21417" t="s">
        <v>47112</v>
      </c>
      <c r="K21417" t="s">
        <v>47113</v>
      </c>
      <c r="L21417">
        <v>39.64</v>
      </c>
      <c r="M21417">
        <v>77</v>
      </c>
      <c r="N21417">
        <v>0</v>
      </c>
      <c r="O21417">
        <v>77</v>
      </c>
      <c r="P21417">
        <v>0</v>
      </c>
    </row>
    <row r="21418" spans="1:16" x14ac:dyDescent="0.25">
      <c r="A21418" t="s">
        <v>44224</v>
      </c>
      <c r="B21418" t="s">
        <v>12896</v>
      </c>
      <c r="C21418" t="s">
        <v>12897</v>
      </c>
      <c r="D21418" t="s">
        <v>721</v>
      </c>
      <c r="E21418" t="s">
        <v>722</v>
      </c>
      <c r="F21418" t="s">
        <v>3750</v>
      </c>
      <c r="G21418" t="s">
        <v>47093</v>
      </c>
      <c r="H21418" t="s">
        <v>47054</v>
      </c>
      <c r="I21418" t="s">
        <v>47111</v>
      </c>
      <c r="J21418" t="s">
        <v>47112</v>
      </c>
      <c r="K21418" t="s">
        <v>47113</v>
      </c>
      <c r="L21418">
        <v>16.09</v>
      </c>
      <c r="M21418">
        <v>47</v>
      </c>
      <c r="N21418">
        <v>0</v>
      </c>
      <c r="O21418">
        <v>47</v>
      </c>
      <c r="P21418">
        <v>0</v>
      </c>
    </row>
    <row r="21419" spans="1:16" x14ac:dyDescent="0.25">
      <c r="A21419" t="s">
        <v>44225</v>
      </c>
      <c r="B21419" t="s">
        <v>12896</v>
      </c>
      <c r="C21419" t="s">
        <v>12897</v>
      </c>
      <c r="D21419" t="str">
        <f>"63"</f>
        <v>63</v>
      </c>
      <c r="E21419" t="s">
        <v>40</v>
      </c>
      <c r="F21419" t="s">
        <v>2</v>
      </c>
      <c r="G21419" t="s">
        <v>47093</v>
      </c>
      <c r="H21419" t="s">
        <v>47054</v>
      </c>
      <c r="I21419" t="s">
        <v>47111</v>
      </c>
      <c r="J21419" t="s">
        <v>47112</v>
      </c>
      <c r="K21419" t="s">
        <v>47113</v>
      </c>
      <c r="L21419">
        <v>32.74</v>
      </c>
      <c r="M21419">
        <v>73</v>
      </c>
      <c r="N21419">
        <v>0</v>
      </c>
      <c r="O21419">
        <v>73</v>
      </c>
      <c r="P21419">
        <v>0</v>
      </c>
    </row>
    <row r="21420" spans="1:16" x14ac:dyDescent="0.25">
      <c r="A21420" t="s">
        <v>44226</v>
      </c>
      <c r="B21420" t="s">
        <v>12896</v>
      </c>
      <c r="C21420" t="s">
        <v>12897</v>
      </c>
      <c r="D21420" t="str">
        <f>"78"</f>
        <v>78</v>
      </c>
      <c r="E21420" t="s">
        <v>5106</v>
      </c>
      <c r="F21420" t="s">
        <v>2</v>
      </c>
      <c r="G21420" t="s">
        <v>47093</v>
      </c>
      <c r="H21420" t="s">
        <v>47054</v>
      </c>
      <c r="I21420" t="s">
        <v>47111</v>
      </c>
      <c r="J21420" t="s">
        <v>47112</v>
      </c>
      <c r="K21420" t="s">
        <v>47113</v>
      </c>
      <c r="L21420">
        <v>30.08</v>
      </c>
      <c r="M21420">
        <v>97</v>
      </c>
      <c r="N21420">
        <v>0</v>
      </c>
      <c r="O21420">
        <v>97</v>
      </c>
      <c r="P21420">
        <v>0</v>
      </c>
    </row>
    <row r="21421" spans="1:16" x14ac:dyDescent="0.25">
      <c r="A21421" t="s">
        <v>44227</v>
      </c>
      <c r="B21421" t="s">
        <v>12896</v>
      </c>
      <c r="C21421" t="s">
        <v>12897</v>
      </c>
      <c r="D21421" t="s">
        <v>1790</v>
      </c>
      <c r="E21421" t="s">
        <v>1791</v>
      </c>
      <c r="F21421" t="s">
        <v>2</v>
      </c>
      <c r="G21421" t="s">
        <v>47093</v>
      </c>
      <c r="H21421" t="s">
        <v>47054</v>
      </c>
      <c r="I21421" t="s">
        <v>47111</v>
      </c>
      <c r="J21421" t="s">
        <v>47112</v>
      </c>
      <c r="K21421" t="s">
        <v>47113</v>
      </c>
      <c r="L21421">
        <v>34.92</v>
      </c>
      <c r="M21421">
        <v>85</v>
      </c>
      <c r="N21421">
        <v>0</v>
      </c>
      <c r="O21421">
        <v>85</v>
      </c>
      <c r="P21421">
        <v>0</v>
      </c>
    </row>
    <row r="21422" spans="1:16" x14ac:dyDescent="0.25">
      <c r="A21422" t="s">
        <v>44228</v>
      </c>
      <c r="B21422" t="s">
        <v>12896</v>
      </c>
      <c r="C21422" t="s">
        <v>12897</v>
      </c>
      <c r="D21422" t="s">
        <v>970</v>
      </c>
      <c r="E21422" t="s">
        <v>971</v>
      </c>
      <c r="F21422" t="s">
        <v>2</v>
      </c>
      <c r="G21422" t="s">
        <v>47093</v>
      </c>
      <c r="H21422" t="s">
        <v>47054</v>
      </c>
      <c r="I21422" t="s">
        <v>47111</v>
      </c>
      <c r="J21422" t="s">
        <v>47112</v>
      </c>
      <c r="K21422" t="s">
        <v>47113</v>
      </c>
      <c r="L21422">
        <v>40.82</v>
      </c>
      <c r="M21422">
        <v>85</v>
      </c>
      <c r="N21422">
        <v>0</v>
      </c>
      <c r="O21422">
        <v>85</v>
      </c>
      <c r="P21422">
        <v>0</v>
      </c>
    </row>
    <row r="21423" spans="1:16" x14ac:dyDescent="0.25">
      <c r="A21423" t="s">
        <v>44229</v>
      </c>
      <c r="B21423" t="s">
        <v>12896</v>
      </c>
      <c r="C21423" t="s">
        <v>12897</v>
      </c>
      <c r="D21423" t="s">
        <v>12852</v>
      </c>
      <c r="E21423" t="s">
        <v>12853</v>
      </c>
      <c r="F21423" t="s">
        <v>3</v>
      </c>
      <c r="G21423" t="s">
        <v>47093</v>
      </c>
      <c r="H21423" t="s">
        <v>47054</v>
      </c>
      <c r="I21423" t="s">
        <v>47111</v>
      </c>
      <c r="J21423" t="s">
        <v>47112</v>
      </c>
      <c r="K21423" t="s">
        <v>47113</v>
      </c>
      <c r="L21423">
        <v>33.82</v>
      </c>
      <c r="M21423">
        <v>113</v>
      </c>
      <c r="N21423">
        <v>0</v>
      </c>
      <c r="O21423">
        <v>113</v>
      </c>
      <c r="P21423">
        <v>0</v>
      </c>
    </row>
    <row r="21424" spans="1:16" x14ac:dyDescent="0.25">
      <c r="A21424" t="s">
        <v>44230</v>
      </c>
      <c r="B21424" t="s">
        <v>12896</v>
      </c>
      <c r="C21424" t="s">
        <v>12897</v>
      </c>
      <c r="D21424" t="s">
        <v>22</v>
      </c>
      <c r="E21424" t="s">
        <v>23</v>
      </c>
      <c r="F21424" t="s">
        <v>2</v>
      </c>
      <c r="G21424" t="s">
        <v>47093</v>
      </c>
      <c r="H21424" t="s">
        <v>47054</v>
      </c>
      <c r="I21424" t="s">
        <v>47111</v>
      </c>
      <c r="J21424" t="s">
        <v>47112</v>
      </c>
      <c r="K21424" t="s">
        <v>47113</v>
      </c>
      <c r="L21424">
        <v>30.93</v>
      </c>
      <c r="M21424">
        <v>85</v>
      </c>
      <c r="N21424">
        <v>0</v>
      </c>
      <c r="O21424">
        <v>85</v>
      </c>
      <c r="P21424">
        <v>0</v>
      </c>
    </row>
    <row r="21425" spans="1:16" x14ac:dyDescent="0.25">
      <c r="A21425" t="s">
        <v>44231</v>
      </c>
      <c r="B21425" t="s">
        <v>12896</v>
      </c>
      <c r="C21425" t="s">
        <v>12897</v>
      </c>
      <c r="D21425" t="s">
        <v>973</v>
      </c>
      <c r="E21425" t="s">
        <v>974</v>
      </c>
      <c r="F21425" t="s">
        <v>2</v>
      </c>
      <c r="G21425" t="s">
        <v>47093</v>
      </c>
      <c r="H21425" t="s">
        <v>47054</v>
      </c>
      <c r="I21425" t="s">
        <v>47111</v>
      </c>
      <c r="J21425" t="s">
        <v>47112</v>
      </c>
      <c r="K21425" t="s">
        <v>47113</v>
      </c>
      <c r="L21425">
        <v>35.4</v>
      </c>
      <c r="M21425">
        <v>85</v>
      </c>
      <c r="N21425">
        <v>0</v>
      </c>
      <c r="O21425">
        <v>85</v>
      </c>
      <c r="P21425">
        <v>0</v>
      </c>
    </row>
    <row r="21426" spans="1:16" x14ac:dyDescent="0.25">
      <c r="A21426" t="s">
        <v>44232</v>
      </c>
      <c r="B21426" t="s">
        <v>12896</v>
      </c>
      <c r="C21426" t="s">
        <v>12897</v>
      </c>
      <c r="D21426" t="s">
        <v>6814</v>
      </c>
      <c r="E21426" t="s">
        <v>6815</v>
      </c>
      <c r="F21426" t="s">
        <v>2</v>
      </c>
      <c r="G21426" t="s">
        <v>47093</v>
      </c>
      <c r="H21426" t="s">
        <v>47054</v>
      </c>
      <c r="I21426" t="s">
        <v>47111</v>
      </c>
      <c r="J21426" t="s">
        <v>47112</v>
      </c>
      <c r="K21426" t="s">
        <v>47113</v>
      </c>
      <c r="L21426">
        <v>36.04</v>
      </c>
      <c r="M21426">
        <v>80</v>
      </c>
      <c r="N21426">
        <v>0</v>
      </c>
      <c r="O21426">
        <v>80</v>
      </c>
      <c r="P21426">
        <v>0</v>
      </c>
    </row>
    <row r="21427" spans="1:16" x14ac:dyDescent="0.25">
      <c r="A21427" t="s">
        <v>44233</v>
      </c>
      <c r="B21427" t="s">
        <v>12896</v>
      </c>
      <c r="C21427" t="s">
        <v>12897</v>
      </c>
      <c r="D21427" t="s">
        <v>6816</v>
      </c>
      <c r="E21427" t="s">
        <v>6817</v>
      </c>
      <c r="F21427" t="s">
        <v>2</v>
      </c>
      <c r="G21427" t="s">
        <v>47093</v>
      </c>
      <c r="H21427" t="s">
        <v>47054</v>
      </c>
      <c r="I21427" t="s">
        <v>47111</v>
      </c>
      <c r="J21427" t="s">
        <v>47112</v>
      </c>
      <c r="K21427" t="s">
        <v>47113</v>
      </c>
      <c r="L21427">
        <v>34.6</v>
      </c>
      <c r="M21427">
        <v>77</v>
      </c>
      <c r="N21427">
        <v>0</v>
      </c>
      <c r="O21427">
        <v>77</v>
      </c>
      <c r="P21427">
        <v>0</v>
      </c>
    </row>
    <row r="21428" spans="1:16" x14ac:dyDescent="0.25">
      <c r="A21428" t="s">
        <v>44234</v>
      </c>
      <c r="B21428" t="s">
        <v>12896</v>
      </c>
      <c r="C21428" t="s">
        <v>12897</v>
      </c>
      <c r="D21428" t="s">
        <v>976</v>
      </c>
      <c r="E21428" t="s">
        <v>977</v>
      </c>
      <c r="F21428" t="s">
        <v>6</v>
      </c>
      <c r="G21428" t="s">
        <v>47093</v>
      </c>
      <c r="H21428" t="s">
        <v>47054</v>
      </c>
      <c r="I21428" t="s">
        <v>47111</v>
      </c>
      <c r="J21428" t="s">
        <v>47112</v>
      </c>
      <c r="K21428" t="s">
        <v>47113</v>
      </c>
      <c r="L21428">
        <v>35.36</v>
      </c>
      <c r="M21428">
        <v>77</v>
      </c>
      <c r="N21428">
        <v>0</v>
      </c>
      <c r="O21428">
        <v>77</v>
      </c>
      <c r="P21428">
        <v>0</v>
      </c>
    </row>
    <row r="21429" spans="1:16" x14ac:dyDescent="0.25">
      <c r="A21429" t="s">
        <v>44235</v>
      </c>
      <c r="B21429" t="s">
        <v>12896</v>
      </c>
      <c r="C21429" t="s">
        <v>12897</v>
      </c>
      <c r="D21429" t="s">
        <v>6818</v>
      </c>
      <c r="E21429" t="s">
        <v>6819</v>
      </c>
      <c r="F21429" t="s">
        <v>2</v>
      </c>
      <c r="G21429" t="s">
        <v>47093</v>
      </c>
      <c r="H21429" t="s">
        <v>47054</v>
      </c>
      <c r="I21429" t="s">
        <v>47111</v>
      </c>
      <c r="J21429" t="s">
        <v>47112</v>
      </c>
      <c r="K21429" t="s">
        <v>47113</v>
      </c>
      <c r="L21429">
        <v>34.6</v>
      </c>
      <c r="M21429">
        <v>77</v>
      </c>
      <c r="N21429">
        <v>0</v>
      </c>
      <c r="O21429">
        <v>77</v>
      </c>
      <c r="P21429">
        <v>0</v>
      </c>
    </row>
    <row r="21430" spans="1:16" x14ac:dyDescent="0.25">
      <c r="A21430" t="s">
        <v>44236</v>
      </c>
      <c r="B21430" t="s">
        <v>12896</v>
      </c>
      <c r="C21430" t="s">
        <v>12897</v>
      </c>
      <c r="D21430" t="s">
        <v>921</v>
      </c>
      <c r="E21430" t="s">
        <v>922</v>
      </c>
      <c r="F21430" t="s">
        <v>2</v>
      </c>
      <c r="G21430" t="s">
        <v>47093</v>
      </c>
      <c r="H21430" t="s">
        <v>47054</v>
      </c>
      <c r="I21430" t="s">
        <v>47111</v>
      </c>
      <c r="J21430" t="s">
        <v>47112</v>
      </c>
      <c r="K21430" t="s">
        <v>47113</v>
      </c>
      <c r="L21430">
        <v>36.24</v>
      </c>
      <c r="M21430">
        <v>80</v>
      </c>
      <c r="N21430">
        <v>0</v>
      </c>
      <c r="O21430">
        <v>80</v>
      </c>
      <c r="P21430">
        <v>0</v>
      </c>
    </row>
    <row r="21431" spans="1:16" x14ac:dyDescent="0.25">
      <c r="A21431" t="s">
        <v>44237</v>
      </c>
      <c r="B21431" t="s">
        <v>12898</v>
      </c>
      <c r="C21431" t="s">
        <v>12899</v>
      </c>
      <c r="D21431" t="str">
        <f>"40"</f>
        <v>40</v>
      </c>
      <c r="E21431" t="s">
        <v>31</v>
      </c>
      <c r="F21431" t="s">
        <v>5</v>
      </c>
      <c r="G21431" t="s">
        <v>47093</v>
      </c>
      <c r="H21431" t="s">
        <v>47054</v>
      </c>
      <c r="I21431" t="s">
        <v>47111</v>
      </c>
      <c r="J21431" t="s">
        <v>47112</v>
      </c>
      <c r="K21431" t="s">
        <v>47113</v>
      </c>
      <c r="L21431">
        <v>29.3</v>
      </c>
      <c r="M21431">
        <v>86</v>
      </c>
      <c r="N21431">
        <v>0</v>
      </c>
      <c r="O21431">
        <v>86</v>
      </c>
      <c r="P21431">
        <v>0</v>
      </c>
    </row>
    <row r="21432" spans="1:16" x14ac:dyDescent="0.25">
      <c r="A21432" t="s">
        <v>44238</v>
      </c>
      <c r="B21432" t="s">
        <v>12898</v>
      </c>
      <c r="C21432" t="s">
        <v>12899</v>
      </c>
      <c r="D21432" t="s">
        <v>10071</v>
      </c>
      <c r="E21432" t="s">
        <v>10072</v>
      </c>
      <c r="F21432" t="s">
        <v>5</v>
      </c>
      <c r="G21432" t="s">
        <v>47093</v>
      </c>
      <c r="H21432" t="s">
        <v>47054</v>
      </c>
      <c r="I21432" t="s">
        <v>47111</v>
      </c>
      <c r="J21432" t="s">
        <v>47112</v>
      </c>
      <c r="K21432" t="s">
        <v>47113</v>
      </c>
      <c r="L21432">
        <v>37.11</v>
      </c>
      <c r="M21432">
        <v>88</v>
      </c>
      <c r="N21432">
        <v>0</v>
      </c>
      <c r="O21432">
        <v>88</v>
      </c>
      <c r="P21432">
        <v>0</v>
      </c>
    </row>
    <row r="21433" spans="1:16" x14ac:dyDescent="0.25">
      <c r="A21433" t="s">
        <v>44239</v>
      </c>
      <c r="B21433" t="s">
        <v>19241</v>
      </c>
      <c r="C21433" t="s">
        <v>19242</v>
      </c>
      <c r="D21433" t="s">
        <v>6626</v>
      </c>
      <c r="E21433" t="s">
        <v>6627</v>
      </c>
      <c r="F21433" t="s">
        <v>3750</v>
      </c>
      <c r="G21433" t="s">
        <v>47093</v>
      </c>
      <c r="H21433" t="s">
        <v>47054</v>
      </c>
      <c r="I21433" t="s">
        <v>47964</v>
      </c>
      <c r="J21433" t="s">
        <v>47965</v>
      </c>
      <c r="K21433" t="s">
        <v>47113</v>
      </c>
      <c r="L21433">
        <v>20.07</v>
      </c>
      <c r="M21433">
        <v>59</v>
      </c>
      <c r="N21433">
        <v>0</v>
      </c>
      <c r="O21433">
        <v>59</v>
      </c>
      <c r="P21433">
        <v>0</v>
      </c>
    </row>
    <row r="21434" spans="1:16" x14ac:dyDescent="0.25">
      <c r="A21434" t="s">
        <v>44240</v>
      </c>
      <c r="B21434" t="s">
        <v>19243</v>
      </c>
      <c r="C21434" t="s">
        <v>19244</v>
      </c>
      <c r="D21434" t="s">
        <v>7855</v>
      </c>
      <c r="E21434" t="s">
        <v>7856</v>
      </c>
      <c r="F21434" t="s">
        <v>3750</v>
      </c>
      <c r="G21434" t="s">
        <v>47093</v>
      </c>
      <c r="H21434" t="s">
        <v>47054</v>
      </c>
      <c r="I21434" t="s">
        <v>47116</v>
      </c>
      <c r="J21434" t="s">
        <v>47117</v>
      </c>
      <c r="K21434" t="s">
        <v>47113</v>
      </c>
      <c r="L21434">
        <v>22.2</v>
      </c>
      <c r="M21434">
        <v>62</v>
      </c>
      <c r="N21434">
        <v>0</v>
      </c>
      <c r="O21434">
        <v>62</v>
      </c>
      <c r="P21434">
        <v>0</v>
      </c>
    </row>
    <row r="21435" spans="1:16" x14ac:dyDescent="0.25">
      <c r="A21435" t="s">
        <v>44241</v>
      </c>
      <c r="B21435" t="s">
        <v>12900</v>
      </c>
      <c r="C21435" t="s">
        <v>12901</v>
      </c>
      <c r="D21435" t="s">
        <v>27</v>
      </c>
      <c r="E21435" t="s">
        <v>622</v>
      </c>
      <c r="F21435" t="s">
        <v>2</v>
      </c>
      <c r="G21435" t="s">
        <v>47093</v>
      </c>
      <c r="H21435" t="s">
        <v>47054</v>
      </c>
      <c r="I21435" t="s">
        <v>47111</v>
      </c>
      <c r="J21435" t="s">
        <v>47112</v>
      </c>
      <c r="K21435" t="s">
        <v>47113</v>
      </c>
      <c r="L21435">
        <v>46.98</v>
      </c>
      <c r="M21435">
        <v>100</v>
      </c>
      <c r="N21435">
        <v>0</v>
      </c>
      <c r="O21435">
        <v>100</v>
      </c>
      <c r="P21435">
        <v>0</v>
      </c>
    </row>
    <row r="21436" spans="1:16" x14ac:dyDescent="0.25">
      <c r="A21436" t="s">
        <v>44242</v>
      </c>
      <c r="B21436" t="s">
        <v>12900</v>
      </c>
      <c r="C21436" t="s">
        <v>12901</v>
      </c>
      <c r="D21436" t="s">
        <v>294</v>
      </c>
      <c r="E21436" t="s">
        <v>295</v>
      </c>
      <c r="F21436" t="s">
        <v>2</v>
      </c>
      <c r="G21436" t="s">
        <v>47093</v>
      </c>
      <c r="H21436" t="s">
        <v>47054</v>
      </c>
      <c r="I21436" t="s">
        <v>47111</v>
      </c>
      <c r="J21436" t="s">
        <v>47112</v>
      </c>
      <c r="K21436" t="s">
        <v>47113</v>
      </c>
      <c r="L21436">
        <v>51.76</v>
      </c>
      <c r="M21436">
        <v>96</v>
      </c>
      <c r="N21436">
        <v>0</v>
      </c>
      <c r="O21436">
        <v>96</v>
      </c>
      <c r="P21436">
        <v>0</v>
      </c>
    </row>
    <row r="21437" spans="1:16" x14ac:dyDescent="0.25">
      <c r="A21437" t="s">
        <v>44243</v>
      </c>
      <c r="B21437" t="s">
        <v>12900</v>
      </c>
      <c r="C21437" t="s">
        <v>12901</v>
      </c>
      <c r="D21437" t="s">
        <v>22</v>
      </c>
      <c r="E21437" t="s">
        <v>23</v>
      </c>
      <c r="F21437" t="s">
        <v>2</v>
      </c>
      <c r="G21437" t="s">
        <v>47093</v>
      </c>
      <c r="H21437" t="s">
        <v>47054</v>
      </c>
      <c r="I21437" t="s">
        <v>47111</v>
      </c>
      <c r="J21437" t="s">
        <v>47112</v>
      </c>
      <c r="K21437" t="s">
        <v>47113</v>
      </c>
      <c r="L21437">
        <v>42.47</v>
      </c>
      <c r="M21437">
        <v>96</v>
      </c>
      <c r="N21437">
        <v>0</v>
      </c>
      <c r="O21437">
        <v>96</v>
      </c>
      <c r="P21437">
        <v>0</v>
      </c>
    </row>
    <row r="21438" spans="1:16" x14ac:dyDescent="0.25">
      <c r="A21438" t="s">
        <v>44244</v>
      </c>
      <c r="B21438" t="s">
        <v>12902</v>
      </c>
      <c r="C21438" t="s">
        <v>1780</v>
      </c>
      <c r="D21438" t="s">
        <v>12903</v>
      </c>
      <c r="E21438" t="s">
        <v>12904</v>
      </c>
      <c r="F21438" t="s">
        <v>6</v>
      </c>
      <c r="G21438" t="s">
        <v>47093</v>
      </c>
      <c r="H21438" t="s">
        <v>47054</v>
      </c>
      <c r="I21438" t="s">
        <v>47111</v>
      </c>
      <c r="J21438" t="s">
        <v>47112</v>
      </c>
      <c r="K21438" t="s">
        <v>47113</v>
      </c>
      <c r="L21438">
        <v>56.75</v>
      </c>
      <c r="M21438">
        <v>141</v>
      </c>
      <c r="N21438">
        <v>0</v>
      </c>
      <c r="O21438">
        <v>141</v>
      </c>
      <c r="P21438">
        <v>0</v>
      </c>
    </row>
    <row r="21439" spans="1:16" x14ac:dyDescent="0.25">
      <c r="A21439" t="s">
        <v>44245</v>
      </c>
      <c r="B21439" t="s">
        <v>12905</v>
      </c>
      <c r="C21439" t="s">
        <v>935</v>
      </c>
      <c r="D21439" t="str">
        <f>"06"</f>
        <v>06</v>
      </c>
      <c r="E21439" t="s">
        <v>12871</v>
      </c>
      <c r="F21439" t="s">
        <v>2</v>
      </c>
      <c r="G21439" t="s">
        <v>47093</v>
      </c>
      <c r="H21439" t="s">
        <v>47054</v>
      </c>
      <c r="I21439" t="s">
        <v>47111</v>
      </c>
      <c r="J21439" t="s">
        <v>47112</v>
      </c>
      <c r="K21439" t="s">
        <v>47113</v>
      </c>
      <c r="L21439">
        <v>53.71</v>
      </c>
      <c r="M21439">
        <v>85</v>
      </c>
      <c r="N21439">
        <v>0</v>
      </c>
      <c r="O21439">
        <v>85</v>
      </c>
      <c r="P21439">
        <v>0</v>
      </c>
    </row>
    <row r="21440" spans="1:16" x14ac:dyDescent="0.25">
      <c r="A21440" t="s">
        <v>44246</v>
      </c>
      <c r="B21440" t="s">
        <v>12905</v>
      </c>
      <c r="C21440" t="s">
        <v>935</v>
      </c>
      <c r="D21440" t="str">
        <f>"11"</f>
        <v>11</v>
      </c>
      <c r="E21440" t="s">
        <v>288</v>
      </c>
      <c r="F21440" t="s">
        <v>2</v>
      </c>
      <c r="G21440" t="s">
        <v>47093</v>
      </c>
      <c r="H21440" t="s">
        <v>47054</v>
      </c>
      <c r="I21440" t="s">
        <v>47111</v>
      </c>
      <c r="J21440" t="s">
        <v>47112</v>
      </c>
      <c r="K21440" t="s">
        <v>47113</v>
      </c>
      <c r="L21440">
        <v>48.39</v>
      </c>
      <c r="M21440">
        <v>100</v>
      </c>
      <c r="N21440">
        <v>0</v>
      </c>
      <c r="O21440">
        <v>100</v>
      </c>
      <c r="P21440">
        <v>0</v>
      </c>
    </row>
    <row r="21441" spans="1:16" x14ac:dyDescent="0.25">
      <c r="A21441" t="s">
        <v>44247</v>
      </c>
      <c r="B21441" t="s">
        <v>12905</v>
      </c>
      <c r="C21441" t="s">
        <v>935</v>
      </c>
      <c r="D21441" t="s">
        <v>27</v>
      </c>
      <c r="E21441" t="s">
        <v>622</v>
      </c>
      <c r="F21441" t="s">
        <v>2</v>
      </c>
      <c r="G21441" t="s">
        <v>47093</v>
      </c>
      <c r="H21441" t="s">
        <v>47054</v>
      </c>
      <c r="I21441" t="s">
        <v>47111</v>
      </c>
      <c r="J21441" t="s">
        <v>47112</v>
      </c>
      <c r="K21441" t="s">
        <v>47113</v>
      </c>
      <c r="L21441">
        <v>54</v>
      </c>
      <c r="M21441">
        <v>85</v>
      </c>
      <c r="N21441">
        <v>0</v>
      </c>
      <c r="O21441">
        <v>85</v>
      </c>
      <c r="P21441">
        <v>0</v>
      </c>
    </row>
    <row r="21442" spans="1:16" x14ac:dyDescent="0.25">
      <c r="A21442" t="s">
        <v>44248</v>
      </c>
      <c r="B21442" t="s">
        <v>12905</v>
      </c>
      <c r="C21442" t="s">
        <v>935</v>
      </c>
      <c r="D21442" t="s">
        <v>22</v>
      </c>
      <c r="E21442" t="s">
        <v>23</v>
      </c>
      <c r="F21442" t="s">
        <v>2</v>
      </c>
      <c r="G21442" t="s">
        <v>47093</v>
      </c>
      <c r="H21442" t="s">
        <v>47054</v>
      </c>
      <c r="I21442" t="s">
        <v>47111</v>
      </c>
      <c r="J21442" t="s">
        <v>47112</v>
      </c>
      <c r="K21442" t="s">
        <v>47113</v>
      </c>
      <c r="L21442">
        <v>48.92</v>
      </c>
      <c r="M21442">
        <v>100</v>
      </c>
      <c r="N21442">
        <v>0</v>
      </c>
      <c r="O21442">
        <v>100</v>
      </c>
      <c r="P21442">
        <v>0</v>
      </c>
    </row>
    <row r="21443" spans="1:16" x14ac:dyDescent="0.25">
      <c r="A21443" t="s">
        <v>44249</v>
      </c>
      <c r="B21443" t="s">
        <v>934</v>
      </c>
      <c r="C21443" t="s">
        <v>935</v>
      </c>
      <c r="D21443" t="str">
        <f>"06"</f>
        <v>06</v>
      </c>
      <c r="E21443" t="s">
        <v>12871</v>
      </c>
      <c r="F21443" t="s">
        <v>2</v>
      </c>
      <c r="G21443" t="s">
        <v>47093</v>
      </c>
      <c r="H21443" t="s">
        <v>47054</v>
      </c>
      <c r="I21443" t="s">
        <v>47111</v>
      </c>
      <c r="J21443" t="s">
        <v>47112</v>
      </c>
      <c r="K21443" t="s">
        <v>47113</v>
      </c>
      <c r="L21443">
        <v>53.62</v>
      </c>
      <c r="M21443">
        <v>100</v>
      </c>
      <c r="N21443">
        <v>0</v>
      </c>
      <c r="O21443">
        <v>100</v>
      </c>
      <c r="P21443">
        <v>0</v>
      </c>
    </row>
    <row r="21444" spans="1:16" x14ac:dyDescent="0.25">
      <c r="A21444" t="s">
        <v>44250</v>
      </c>
      <c r="B21444" t="s">
        <v>934</v>
      </c>
      <c r="C21444" t="s">
        <v>935</v>
      </c>
      <c r="D21444" t="str">
        <f>"11"</f>
        <v>11</v>
      </c>
      <c r="E21444" t="s">
        <v>288</v>
      </c>
      <c r="F21444" t="s">
        <v>2</v>
      </c>
      <c r="G21444" t="s">
        <v>47093</v>
      </c>
      <c r="H21444" t="s">
        <v>47054</v>
      </c>
      <c r="I21444" t="s">
        <v>47111</v>
      </c>
      <c r="J21444" t="s">
        <v>47112</v>
      </c>
      <c r="K21444" t="s">
        <v>47113</v>
      </c>
      <c r="L21444">
        <v>48.39</v>
      </c>
      <c r="M21444">
        <v>100</v>
      </c>
      <c r="N21444">
        <v>0</v>
      </c>
      <c r="O21444">
        <v>100</v>
      </c>
      <c r="P21444">
        <v>0</v>
      </c>
    </row>
    <row r="21445" spans="1:16" x14ac:dyDescent="0.25">
      <c r="A21445" t="s">
        <v>933</v>
      </c>
      <c r="B21445" t="s">
        <v>934</v>
      </c>
      <c r="C21445" t="s">
        <v>935</v>
      </c>
      <c r="D21445" t="s">
        <v>27</v>
      </c>
      <c r="E21445" t="s">
        <v>28</v>
      </c>
      <c r="F21445" t="s">
        <v>2</v>
      </c>
      <c r="G21445" t="s">
        <v>47093</v>
      </c>
      <c r="H21445" t="s">
        <v>47054</v>
      </c>
      <c r="I21445" t="s">
        <v>47111</v>
      </c>
      <c r="J21445" t="s">
        <v>47112</v>
      </c>
      <c r="K21445" t="s">
        <v>47113</v>
      </c>
      <c r="L21445">
        <v>54.23</v>
      </c>
      <c r="M21445">
        <v>100</v>
      </c>
      <c r="N21445">
        <v>0</v>
      </c>
      <c r="O21445">
        <v>100</v>
      </c>
      <c r="P21445">
        <v>0</v>
      </c>
    </row>
    <row r="21446" spans="1:16" x14ac:dyDescent="0.25">
      <c r="A21446" t="s">
        <v>44251</v>
      </c>
      <c r="B21446" t="s">
        <v>934</v>
      </c>
      <c r="C21446" t="s">
        <v>935</v>
      </c>
      <c r="D21446" t="s">
        <v>22</v>
      </c>
      <c r="E21446" t="s">
        <v>23</v>
      </c>
      <c r="F21446" t="s">
        <v>2</v>
      </c>
      <c r="G21446" t="s">
        <v>47093</v>
      </c>
      <c r="H21446" t="s">
        <v>47054</v>
      </c>
      <c r="I21446" t="s">
        <v>47111</v>
      </c>
      <c r="J21446" t="s">
        <v>47112</v>
      </c>
      <c r="K21446" t="s">
        <v>47113</v>
      </c>
      <c r="L21446">
        <v>48.92</v>
      </c>
      <c r="M21446">
        <v>100</v>
      </c>
      <c r="N21446">
        <v>0</v>
      </c>
      <c r="O21446">
        <v>100</v>
      </c>
      <c r="P21446">
        <v>0</v>
      </c>
    </row>
    <row r="21447" spans="1:16" x14ac:dyDescent="0.25">
      <c r="A21447" t="s">
        <v>44252</v>
      </c>
      <c r="B21447" t="s">
        <v>12906</v>
      </c>
      <c r="C21447" t="s">
        <v>935</v>
      </c>
      <c r="D21447" t="str">
        <f>"06"</f>
        <v>06</v>
      </c>
      <c r="E21447" t="s">
        <v>12871</v>
      </c>
      <c r="F21447" t="s">
        <v>2</v>
      </c>
      <c r="G21447" t="s">
        <v>47093</v>
      </c>
      <c r="I21447" t="s">
        <v>47111</v>
      </c>
      <c r="J21447" t="s">
        <v>47112</v>
      </c>
      <c r="K21447" t="s">
        <v>47113</v>
      </c>
      <c r="L21447">
        <v>53.62</v>
      </c>
      <c r="M21447">
        <v>100</v>
      </c>
      <c r="N21447">
        <v>0</v>
      </c>
      <c r="O21447">
        <v>100</v>
      </c>
      <c r="P21447">
        <v>0</v>
      </c>
    </row>
    <row r="21448" spans="1:16" x14ac:dyDescent="0.25">
      <c r="A21448" t="s">
        <v>44253</v>
      </c>
      <c r="B21448" t="s">
        <v>12906</v>
      </c>
      <c r="C21448" t="s">
        <v>935</v>
      </c>
      <c r="D21448" t="str">
        <f>"11"</f>
        <v>11</v>
      </c>
      <c r="E21448" t="s">
        <v>288</v>
      </c>
      <c r="F21448" t="s">
        <v>2</v>
      </c>
      <c r="G21448" t="s">
        <v>47093</v>
      </c>
      <c r="I21448" t="s">
        <v>47111</v>
      </c>
      <c r="J21448" t="s">
        <v>47112</v>
      </c>
      <c r="K21448" t="s">
        <v>47113</v>
      </c>
      <c r="L21448">
        <v>48.39</v>
      </c>
      <c r="M21448">
        <v>100</v>
      </c>
      <c r="N21448">
        <v>0</v>
      </c>
      <c r="O21448">
        <v>100</v>
      </c>
      <c r="P21448">
        <v>0</v>
      </c>
    </row>
    <row r="21449" spans="1:16" x14ac:dyDescent="0.25">
      <c r="A21449" t="s">
        <v>44254</v>
      </c>
      <c r="B21449" t="s">
        <v>12906</v>
      </c>
      <c r="C21449" t="s">
        <v>935</v>
      </c>
      <c r="D21449" t="s">
        <v>27</v>
      </c>
      <c r="E21449" t="s">
        <v>622</v>
      </c>
      <c r="F21449" t="s">
        <v>2</v>
      </c>
      <c r="G21449" t="s">
        <v>47093</v>
      </c>
      <c r="I21449" t="s">
        <v>47111</v>
      </c>
      <c r="J21449" t="s">
        <v>47112</v>
      </c>
      <c r="K21449" t="s">
        <v>47113</v>
      </c>
      <c r="L21449">
        <v>53.23</v>
      </c>
      <c r="M21449">
        <v>100</v>
      </c>
      <c r="N21449">
        <v>0</v>
      </c>
      <c r="O21449">
        <v>100</v>
      </c>
      <c r="P21449">
        <v>0</v>
      </c>
    </row>
    <row r="21450" spans="1:16" x14ac:dyDescent="0.25">
      <c r="A21450" t="s">
        <v>44255</v>
      </c>
      <c r="B21450" t="s">
        <v>12906</v>
      </c>
      <c r="C21450" t="s">
        <v>935</v>
      </c>
      <c r="D21450" t="s">
        <v>22</v>
      </c>
      <c r="E21450" t="s">
        <v>23</v>
      </c>
      <c r="F21450" t="s">
        <v>2</v>
      </c>
      <c r="G21450" t="s">
        <v>47093</v>
      </c>
      <c r="I21450" t="s">
        <v>47111</v>
      </c>
      <c r="J21450" t="s">
        <v>47112</v>
      </c>
      <c r="K21450" t="s">
        <v>47113</v>
      </c>
      <c r="L21450">
        <v>48.92</v>
      </c>
      <c r="M21450">
        <v>100</v>
      </c>
      <c r="N21450">
        <v>0</v>
      </c>
      <c r="O21450">
        <v>100</v>
      </c>
      <c r="P21450">
        <v>0</v>
      </c>
    </row>
    <row r="21451" spans="1:16" x14ac:dyDescent="0.25">
      <c r="A21451" t="s">
        <v>44256</v>
      </c>
      <c r="B21451" t="s">
        <v>12907</v>
      </c>
      <c r="C21451" t="s">
        <v>935</v>
      </c>
      <c r="D21451" t="str">
        <f>"06"</f>
        <v>06</v>
      </c>
      <c r="E21451" t="s">
        <v>12871</v>
      </c>
      <c r="F21451" t="s">
        <v>2</v>
      </c>
      <c r="G21451" t="s">
        <v>47093</v>
      </c>
      <c r="I21451" t="s">
        <v>47111</v>
      </c>
      <c r="J21451" t="s">
        <v>47112</v>
      </c>
      <c r="K21451" t="s">
        <v>47113</v>
      </c>
      <c r="L21451">
        <v>53.62</v>
      </c>
      <c r="M21451">
        <v>100</v>
      </c>
      <c r="N21451">
        <v>0</v>
      </c>
      <c r="O21451">
        <v>100</v>
      </c>
      <c r="P21451">
        <v>0</v>
      </c>
    </row>
    <row r="21452" spans="1:16" x14ac:dyDescent="0.25">
      <c r="A21452" t="s">
        <v>44257</v>
      </c>
      <c r="B21452" t="s">
        <v>12907</v>
      </c>
      <c r="C21452" t="s">
        <v>935</v>
      </c>
      <c r="D21452" t="str">
        <f>"11"</f>
        <v>11</v>
      </c>
      <c r="E21452" t="s">
        <v>288</v>
      </c>
      <c r="F21452" t="s">
        <v>2</v>
      </c>
      <c r="G21452" t="s">
        <v>47093</v>
      </c>
      <c r="I21452" t="s">
        <v>47111</v>
      </c>
      <c r="J21452" t="s">
        <v>47112</v>
      </c>
      <c r="K21452" t="s">
        <v>47113</v>
      </c>
      <c r="L21452">
        <v>48.39</v>
      </c>
      <c r="M21452">
        <v>100</v>
      </c>
      <c r="N21452">
        <v>0</v>
      </c>
      <c r="O21452">
        <v>100</v>
      </c>
      <c r="P21452">
        <v>0</v>
      </c>
    </row>
    <row r="21453" spans="1:16" x14ac:dyDescent="0.25">
      <c r="A21453" t="s">
        <v>44258</v>
      </c>
      <c r="B21453" t="s">
        <v>12907</v>
      </c>
      <c r="C21453" t="s">
        <v>935</v>
      </c>
      <c r="D21453" t="s">
        <v>27</v>
      </c>
      <c r="E21453" t="s">
        <v>622</v>
      </c>
      <c r="F21453" t="s">
        <v>2</v>
      </c>
      <c r="G21453" t="s">
        <v>47093</v>
      </c>
      <c r="I21453" t="s">
        <v>47111</v>
      </c>
      <c r="J21453" t="s">
        <v>47112</v>
      </c>
      <c r="K21453" t="s">
        <v>47113</v>
      </c>
      <c r="L21453">
        <v>53.23</v>
      </c>
      <c r="M21453">
        <v>100</v>
      </c>
      <c r="N21453">
        <v>0</v>
      </c>
      <c r="O21453">
        <v>100</v>
      </c>
      <c r="P21453">
        <v>0</v>
      </c>
    </row>
    <row r="21454" spans="1:16" x14ac:dyDescent="0.25">
      <c r="A21454" t="s">
        <v>44259</v>
      </c>
      <c r="B21454" t="s">
        <v>12907</v>
      </c>
      <c r="C21454" t="s">
        <v>935</v>
      </c>
      <c r="D21454" t="s">
        <v>22</v>
      </c>
      <c r="E21454" t="s">
        <v>23</v>
      </c>
      <c r="F21454" t="s">
        <v>2</v>
      </c>
      <c r="G21454" t="s">
        <v>47093</v>
      </c>
      <c r="I21454" t="s">
        <v>47111</v>
      </c>
      <c r="J21454" t="s">
        <v>47112</v>
      </c>
      <c r="K21454" t="s">
        <v>47113</v>
      </c>
      <c r="L21454">
        <v>48.92</v>
      </c>
      <c r="M21454">
        <v>100</v>
      </c>
      <c r="N21454">
        <v>0</v>
      </c>
      <c r="O21454">
        <v>100</v>
      </c>
      <c r="P21454">
        <v>0</v>
      </c>
    </row>
    <row r="21455" spans="1:16" x14ac:dyDescent="0.25">
      <c r="A21455" t="s">
        <v>44260</v>
      </c>
      <c r="B21455" t="s">
        <v>12908</v>
      </c>
      <c r="C21455" t="s">
        <v>935</v>
      </c>
      <c r="D21455" t="str">
        <f>"06"</f>
        <v>06</v>
      </c>
      <c r="E21455" t="s">
        <v>12871</v>
      </c>
      <c r="F21455" t="s">
        <v>2</v>
      </c>
      <c r="G21455" t="s">
        <v>47093</v>
      </c>
      <c r="I21455" t="s">
        <v>47111</v>
      </c>
      <c r="J21455" t="s">
        <v>47112</v>
      </c>
      <c r="K21455" t="s">
        <v>47113</v>
      </c>
      <c r="L21455">
        <v>53.62</v>
      </c>
      <c r="M21455">
        <v>100</v>
      </c>
      <c r="N21455">
        <v>0</v>
      </c>
      <c r="O21455">
        <v>100</v>
      </c>
      <c r="P21455">
        <v>0</v>
      </c>
    </row>
    <row r="21456" spans="1:16" x14ac:dyDescent="0.25">
      <c r="A21456" t="s">
        <v>44261</v>
      </c>
      <c r="B21456" t="s">
        <v>12908</v>
      </c>
      <c r="C21456" t="s">
        <v>935</v>
      </c>
      <c r="D21456" t="str">
        <f>"11"</f>
        <v>11</v>
      </c>
      <c r="E21456" t="s">
        <v>288</v>
      </c>
      <c r="F21456" t="s">
        <v>2</v>
      </c>
      <c r="G21456" t="s">
        <v>47093</v>
      </c>
      <c r="I21456" t="s">
        <v>47111</v>
      </c>
      <c r="J21456" t="s">
        <v>47112</v>
      </c>
      <c r="K21456" t="s">
        <v>47113</v>
      </c>
      <c r="L21456">
        <v>48.39</v>
      </c>
      <c r="M21456">
        <v>100</v>
      </c>
      <c r="N21456">
        <v>0</v>
      </c>
      <c r="O21456">
        <v>100</v>
      </c>
      <c r="P21456">
        <v>0</v>
      </c>
    </row>
    <row r="21457" spans="1:16" x14ac:dyDescent="0.25">
      <c r="A21457" t="s">
        <v>44262</v>
      </c>
      <c r="B21457" t="s">
        <v>12908</v>
      </c>
      <c r="C21457" t="s">
        <v>935</v>
      </c>
      <c r="D21457" t="s">
        <v>27</v>
      </c>
      <c r="E21457" t="s">
        <v>622</v>
      </c>
      <c r="F21457" t="s">
        <v>2</v>
      </c>
      <c r="G21457" t="s">
        <v>47093</v>
      </c>
      <c r="I21457" t="s">
        <v>47111</v>
      </c>
      <c r="J21457" t="s">
        <v>47112</v>
      </c>
      <c r="K21457" t="s">
        <v>47113</v>
      </c>
      <c r="L21457">
        <v>53.23</v>
      </c>
      <c r="M21457">
        <v>100</v>
      </c>
      <c r="N21457">
        <v>0</v>
      </c>
      <c r="O21457">
        <v>100</v>
      </c>
      <c r="P21457">
        <v>0</v>
      </c>
    </row>
    <row r="21458" spans="1:16" x14ac:dyDescent="0.25">
      <c r="A21458" t="s">
        <v>44263</v>
      </c>
      <c r="B21458" t="s">
        <v>12908</v>
      </c>
      <c r="C21458" t="s">
        <v>935</v>
      </c>
      <c r="D21458" t="s">
        <v>22</v>
      </c>
      <c r="E21458" t="s">
        <v>23</v>
      </c>
      <c r="F21458" t="s">
        <v>2</v>
      </c>
      <c r="G21458" t="s">
        <v>47093</v>
      </c>
      <c r="I21458" t="s">
        <v>47111</v>
      </c>
      <c r="J21458" t="s">
        <v>47112</v>
      </c>
      <c r="K21458" t="s">
        <v>47113</v>
      </c>
      <c r="L21458">
        <v>48.92</v>
      </c>
      <c r="M21458">
        <v>100</v>
      </c>
      <c r="N21458">
        <v>0</v>
      </c>
      <c r="O21458">
        <v>100</v>
      </c>
      <c r="P21458">
        <v>0</v>
      </c>
    </row>
    <row r="21459" spans="1:16" x14ac:dyDescent="0.25">
      <c r="A21459" t="s">
        <v>44264</v>
      </c>
      <c r="B21459" t="s">
        <v>12909</v>
      </c>
      <c r="C21459" t="s">
        <v>937</v>
      </c>
      <c r="D21459" t="str">
        <f>"06"</f>
        <v>06</v>
      </c>
      <c r="E21459" t="s">
        <v>12871</v>
      </c>
      <c r="F21459" t="s">
        <v>2</v>
      </c>
      <c r="G21459" t="s">
        <v>47093</v>
      </c>
      <c r="I21459" t="s">
        <v>47111</v>
      </c>
      <c r="J21459" t="s">
        <v>47112</v>
      </c>
      <c r="K21459" t="s">
        <v>47113</v>
      </c>
      <c r="L21459">
        <v>53.62</v>
      </c>
      <c r="M21459">
        <v>100</v>
      </c>
      <c r="N21459">
        <v>0</v>
      </c>
      <c r="O21459">
        <v>100</v>
      </c>
      <c r="P21459">
        <v>0</v>
      </c>
    </row>
    <row r="21460" spans="1:16" x14ac:dyDescent="0.25">
      <c r="A21460" t="s">
        <v>44265</v>
      </c>
      <c r="B21460" t="s">
        <v>12909</v>
      </c>
      <c r="C21460" t="s">
        <v>937</v>
      </c>
      <c r="D21460" t="str">
        <f>"11"</f>
        <v>11</v>
      </c>
      <c r="E21460" t="s">
        <v>288</v>
      </c>
      <c r="F21460" t="s">
        <v>2</v>
      </c>
      <c r="G21460" t="s">
        <v>47093</v>
      </c>
      <c r="I21460" t="s">
        <v>47111</v>
      </c>
      <c r="J21460" t="s">
        <v>47112</v>
      </c>
      <c r="K21460" t="s">
        <v>47113</v>
      </c>
      <c r="L21460">
        <v>48.39</v>
      </c>
      <c r="M21460">
        <v>100</v>
      </c>
      <c r="N21460">
        <v>0</v>
      </c>
      <c r="O21460">
        <v>100</v>
      </c>
      <c r="P21460">
        <v>0</v>
      </c>
    </row>
    <row r="21461" spans="1:16" x14ac:dyDescent="0.25">
      <c r="A21461" t="s">
        <v>44266</v>
      </c>
      <c r="B21461" t="s">
        <v>12909</v>
      </c>
      <c r="C21461" t="s">
        <v>937</v>
      </c>
      <c r="D21461" t="s">
        <v>27</v>
      </c>
      <c r="E21461" t="s">
        <v>622</v>
      </c>
      <c r="F21461" t="s">
        <v>2</v>
      </c>
      <c r="G21461" t="s">
        <v>47093</v>
      </c>
      <c r="I21461" t="s">
        <v>47111</v>
      </c>
      <c r="J21461" t="s">
        <v>47112</v>
      </c>
      <c r="K21461" t="s">
        <v>47113</v>
      </c>
      <c r="L21461">
        <v>53.23</v>
      </c>
      <c r="M21461">
        <v>100</v>
      </c>
      <c r="N21461">
        <v>0</v>
      </c>
      <c r="O21461">
        <v>100</v>
      </c>
      <c r="P21461">
        <v>0</v>
      </c>
    </row>
    <row r="21462" spans="1:16" x14ac:dyDescent="0.25">
      <c r="A21462" t="s">
        <v>44267</v>
      </c>
      <c r="B21462" t="s">
        <v>12909</v>
      </c>
      <c r="C21462" t="s">
        <v>937</v>
      </c>
      <c r="D21462" t="s">
        <v>22</v>
      </c>
      <c r="E21462" t="s">
        <v>23</v>
      </c>
      <c r="F21462" t="s">
        <v>2</v>
      </c>
      <c r="G21462" t="s">
        <v>47093</v>
      </c>
      <c r="I21462" t="s">
        <v>47111</v>
      </c>
      <c r="J21462" t="s">
        <v>47112</v>
      </c>
      <c r="K21462" t="s">
        <v>47113</v>
      </c>
      <c r="L21462">
        <v>48.92</v>
      </c>
      <c r="M21462">
        <v>100</v>
      </c>
      <c r="N21462">
        <v>0</v>
      </c>
      <c r="O21462">
        <v>100</v>
      </c>
      <c r="P21462">
        <v>0</v>
      </c>
    </row>
    <row r="21463" spans="1:16" x14ac:dyDescent="0.25">
      <c r="A21463" t="s">
        <v>44268</v>
      </c>
      <c r="B21463" t="s">
        <v>12910</v>
      </c>
      <c r="C21463" t="s">
        <v>937</v>
      </c>
      <c r="D21463" t="str">
        <f>"06"</f>
        <v>06</v>
      </c>
      <c r="E21463" t="s">
        <v>12871</v>
      </c>
      <c r="F21463" t="s">
        <v>2</v>
      </c>
      <c r="G21463" t="s">
        <v>47093</v>
      </c>
      <c r="I21463" t="s">
        <v>47111</v>
      </c>
      <c r="J21463" t="s">
        <v>47112</v>
      </c>
      <c r="K21463" t="s">
        <v>47113</v>
      </c>
      <c r="L21463">
        <v>48.1</v>
      </c>
      <c r="M21463">
        <v>100</v>
      </c>
      <c r="N21463">
        <v>0</v>
      </c>
      <c r="O21463">
        <v>100</v>
      </c>
      <c r="P21463">
        <v>0</v>
      </c>
    </row>
    <row r="21464" spans="1:16" x14ac:dyDescent="0.25">
      <c r="A21464" t="s">
        <v>44269</v>
      </c>
      <c r="B21464" t="s">
        <v>12910</v>
      </c>
      <c r="C21464" t="s">
        <v>937</v>
      </c>
      <c r="D21464" t="str">
        <f>"11"</f>
        <v>11</v>
      </c>
      <c r="E21464" t="s">
        <v>288</v>
      </c>
      <c r="F21464" t="s">
        <v>2</v>
      </c>
      <c r="G21464" t="s">
        <v>47093</v>
      </c>
      <c r="I21464" t="s">
        <v>47111</v>
      </c>
      <c r="J21464" t="s">
        <v>47112</v>
      </c>
      <c r="K21464" t="s">
        <v>47113</v>
      </c>
      <c r="L21464">
        <v>48.39</v>
      </c>
      <c r="M21464">
        <v>100</v>
      </c>
      <c r="N21464">
        <v>0</v>
      </c>
      <c r="O21464">
        <v>100</v>
      </c>
      <c r="P21464">
        <v>0</v>
      </c>
    </row>
    <row r="21465" spans="1:16" x14ac:dyDescent="0.25">
      <c r="A21465" t="s">
        <v>44270</v>
      </c>
      <c r="B21465" t="s">
        <v>12910</v>
      </c>
      <c r="C21465" t="s">
        <v>937</v>
      </c>
      <c r="D21465" t="s">
        <v>27</v>
      </c>
      <c r="E21465" t="s">
        <v>622</v>
      </c>
      <c r="F21465" t="s">
        <v>2</v>
      </c>
      <c r="G21465" t="s">
        <v>47093</v>
      </c>
      <c r="I21465" t="s">
        <v>47111</v>
      </c>
      <c r="J21465" t="s">
        <v>47112</v>
      </c>
      <c r="K21465" t="s">
        <v>47113</v>
      </c>
      <c r="L21465">
        <v>53.23</v>
      </c>
      <c r="M21465">
        <v>100</v>
      </c>
      <c r="N21465">
        <v>0</v>
      </c>
      <c r="O21465">
        <v>100</v>
      </c>
      <c r="P21465">
        <v>0</v>
      </c>
    </row>
    <row r="21466" spans="1:16" x14ac:dyDescent="0.25">
      <c r="A21466" t="s">
        <v>44271</v>
      </c>
      <c r="B21466" t="s">
        <v>12910</v>
      </c>
      <c r="C21466" t="s">
        <v>937</v>
      </c>
      <c r="D21466" t="s">
        <v>22</v>
      </c>
      <c r="E21466" t="s">
        <v>23</v>
      </c>
      <c r="F21466" t="s">
        <v>2</v>
      </c>
      <c r="G21466" t="s">
        <v>47093</v>
      </c>
      <c r="I21466" t="s">
        <v>47111</v>
      </c>
      <c r="J21466" t="s">
        <v>47112</v>
      </c>
      <c r="K21466" t="s">
        <v>47113</v>
      </c>
      <c r="L21466">
        <v>48.92</v>
      </c>
      <c r="M21466">
        <v>100</v>
      </c>
      <c r="N21466">
        <v>0</v>
      </c>
      <c r="O21466">
        <v>100</v>
      </c>
      <c r="P21466">
        <v>0</v>
      </c>
    </row>
    <row r="21467" spans="1:16" x14ac:dyDescent="0.25">
      <c r="A21467" t="s">
        <v>44272</v>
      </c>
      <c r="B21467" t="s">
        <v>12911</v>
      </c>
      <c r="C21467" t="s">
        <v>937</v>
      </c>
      <c r="D21467" t="str">
        <f>"06"</f>
        <v>06</v>
      </c>
      <c r="E21467" t="s">
        <v>12871</v>
      </c>
      <c r="F21467" t="s">
        <v>2</v>
      </c>
      <c r="G21467" t="s">
        <v>47093</v>
      </c>
      <c r="I21467" t="s">
        <v>47111</v>
      </c>
      <c r="J21467" t="s">
        <v>47112</v>
      </c>
      <c r="K21467" t="s">
        <v>47113</v>
      </c>
      <c r="L21467">
        <v>53.62</v>
      </c>
      <c r="M21467">
        <v>100</v>
      </c>
      <c r="N21467">
        <v>0</v>
      </c>
      <c r="O21467">
        <v>100</v>
      </c>
      <c r="P21467">
        <v>0</v>
      </c>
    </row>
    <row r="21468" spans="1:16" x14ac:dyDescent="0.25">
      <c r="A21468" t="s">
        <v>44273</v>
      </c>
      <c r="B21468" t="s">
        <v>12911</v>
      </c>
      <c r="C21468" t="s">
        <v>937</v>
      </c>
      <c r="D21468" t="str">
        <f>"11"</f>
        <v>11</v>
      </c>
      <c r="E21468" t="s">
        <v>288</v>
      </c>
      <c r="F21468" t="s">
        <v>2</v>
      </c>
      <c r="G21468" t="s">
        <v>47093</v>
      </c>
      <c r="I21468" t="s">
        <v>47111</v>
      </c>
      <c r="J21468" t="s">
        <v>47112</v>
      </c>
      <c r="K21468" t="s">
        <v>47113</v>
      </c>
      <c r="L21468">
        <v>48.39</v>
      </c>
      <c r="M21468">
        <v>100</v>
      </c>
      <c r="N21468">
        <v>0</v>
      </c>
      <c r="O21468">
        <v>100</v>
      </c>
      <c r="P21468">
        <v>0</v>
      </c>
    </row>
    <row r="21469" spans="1:16" x14ac:dyDescent="0.25">
      <c r="A21469" t="s">
        <v>44274</v>
      </c>
      <c r="B21469" t="s">
        <v>12911</v>
      </c>
      <c r="C21469" t="s">
        <v>937</v>
      </c>
      <c r="D21469" t="s">
        <v>27</v>
      </c>
      <c r="E21469" t="s">
        <v>622</v>
      </c>
      <c r="F21469" t="s">
        <v>2</v>
      </c>
      <c r="G21469" t="s">
        <v>47093</v>
      </c>
      <c r="I21469" t="s">
        <v>47111</v>
      </c>
      <c r="J21469" t="s">
        <v>47112</v>
      </c>
      <c r="K21469" t="s">
        <v>47113</v>
      </c>
      <c r="L21469">
        <v>53.23</v>
      </c>
      <c r="M21469">
        <v>100</v>
      </c>
      <c r="N21469">
        <v>0</v>
      </c>
      <c r="O21469">
        <v>100</v>
      </c>
      <c r="P21469">
        <v>0</v>
      </c>
    </row>
    <row r="21470" spans="1:16" x14ac:dyDescent="0.25">
      <c r="A21470" t="s">
        <v>44275</v>
      </c>
      <c r="B21470" t="s">
        <v>12911</v>
      </c>
      <c r="C21470" t="s">
        <v>937</v>
      </c>
      <c r="D21470" t="s">
        <v>22</v>
      </c>
      <c r="E21470" t="s">
        <v>23</v>
      </c>
      <c r="F21470" t="s">
        <v>2</v>
      </c>
      <c r="G21470" t="s">
        <v>47093</v>
      </c>
      <c r="I21470" t="s">
        <v>47111</v>
      </c>
      <c r="J21470" t="s">
        <v>47112</v>
      </c>
      <c r="K21470" t="s">
        <v>47113</v>
      </c>
      <c r="L21470">
        <v>48.92</v>
      </c>
      <c r="M21470">
        <v>100</v>
      </c>
      <c r="N21470">
        <v>0</v>
      </c>
      <c r="O21470">
        <v>100</v>
      </c>
      <c r="P21470">
        <v>0</v>
      </c>
    </row>
    <row r="21471" spans="1:16" x14ac:dyDescent="0.25">
      <c r="A21471" t="s">
        <v>44276</v>
      </c>
      <c r="B21471" t="s">
        <v>12912</v>
      </c>
      <c r="C21471" t="s">
        <v>937</v>
      </c>
      <c r="D21471" t="str">
        <f>"06"</f>
        <v>06</v>
      </c>
      <c r="E21471" t="s">
        <v>12871</v>
      </c>
      <c r="F21471" t="s">
        <v>2</v>
      </c>
      <c r="G21471" t="s">
        <v>47093</v>
      </c>
      <c r="I21471" t="s">
        <v>47111</v>
      </c>
      <c r="J21471" t="s">
        <v>47112</v>
      </c>
      <c r="K21471" t="s">
        <v>47113</v>
      </c>
      <c r="L21471">
        <v>53.62</v>
      </c>
      <c r="M21471">
        <v>100</v>
      </c>
      <c r="N21471">
        <v>0</v>
      </c>
      <c r="O21471">
        <v>100</v>
      </c>
      <c r="P21471">
        <v>0</v>
      </c>
    </row>
    <row r="21472" spans="1:16" x14ac:dyDescent="0.25">
      <c r="A21472" t="s">
        <v>44277</v>
      </c>
      <c r="B21472" t="s">
        <v>12912</v>
      </c>
      <c r="C21472" t="s">
        <v>937</v>
      </c>
      <c r="D21472" t="str">
        <f>"11"</f>
        <v>11</v>
      </c>
      <c r="E21472" t="s">
        <v>288</v>
      </c>
      <c r="F21472" t="s">
        <v>2</v>
      </c>
      <c r="G21472" t="s">
        <v>47093</v>
      </c>
      <c r="I21472" t="s">
        <v>47111</v>
      </c>
      <c r="J21472" t="s">
        <v>47112</v>
      </c>
      <c r="K21472" t="s">
        <v>47113</v>
      </c>
      <c r="L21472">
        <v>48.39</v>
      </c>
      <c r="M21472">
        <v>100</v>
      </c>
      <c r="N21472">
        <v>0</v>
      </c>
      <c r="O21472">
        <v>100</v>
      </c>
      <c r="P21472">
        <v>0</v>
      </c>
    </row>
    <row r="21473" spans="1:16" x14ac:dyDescent="0.25">
      <c r="A21473" t="s">
        <v>44278</v>
      </c>
      <c r="B21473" t="s">
        <v>12912</v>
      </c>
      <c r="C21473" t="s">
        <v>937</v>
      </c>
      <c r="D21473" t="s">
        <v>27</v>
      </c>
      <c r="E21473" t="s">
        <v>622</v>
      </c>
      <c r="F21473" t="s">
        <v>2</v>
      </c>
      <c r="G21473" t="s">
        <v>47093</v>
      </c>
      <c r="I21473" t="s">
        <v>47111</v>
      </c>
      <c r="J21473" t="s">
        <v>47112</v>
      </c>
      <c r="K21473" t="s">
        <v>47113</v>
      </c>
      <c r="L21473">
        <v>53.23</v>
      </c>
      <c r="M21473">
        <v>100</v>
      </c>
      <c r="N21473">
        <v>0</v>
      </c>
      <c r="O21473">
        <v>100</v>
      </c>
      <c r="P21473">
        <v>0</v>
      </c>
    </row>
    <row r="21474" spans="1:16" x14ac:dyDescent="0.25">
      <c r="A21474" t="s">
        <v>44279</v>
      </c>
      <c r="B21474" t="s">
        <v>12912</v>
      </c>
      <c r="C21474" t="s">
        <v>937</v>
      </c>
      <c r="D21474" t="s">
        <v>22</v>
      </c>
      <c r="E21474" t="s">
        <v>23</v>
      </c>
      <c r="F21474" t="s">
        <v>2</v>
      </c>
      <c r="G21474" t="s">
        <v>47093</v>
      </c>
      <c r="I21474" t="s">
        <v>47111</v>
      </c>
      <c r="J21474" t="s">
        <v>47112</v>
      </c>
      <c r="K21474" t="s">
        <v>47113</v>
      </c>
      <c r="L21474">
        <v>48.92</v>
      </c>
      <c r="M21474">
        <v>100</v>
      </c>
      <c r="N21474">
        <v>0</v>
      </c>
      <c r="O21474">
        <v>100</v>
      </c>
      <c r="P21474">
        <v>0</v>
      </c>
    </row>
    <row r="21475" spans="1:16" x14ac:dyDescent="0.25">
      <c r="A21475" t="s">
        <v>44280</v>
      </c>
      <c r="B21475" t="s">
        <v>12913</v>
      </c>
      <c r="C21475" t="s">
        <v>937</v>
      </c>
      <c r="D21475" t="str">
        <f>"06"</f>
        <v>06</v>
      </c>
      <c r="E21475" t="s">
        <v>12871</v>
      </c>
      <c r="F21475" t="s">
        <v>2</v>
      </c>
      <c r="G21475" t="s">
        <v>47093</v>
      </c>
      <c r="I21475" t="s">
        <v>47111</v>
      </c>
      <c r="J21475" t="s">
        <v>47112</v>
      </c>
      <c r="K21475" t="s">
        <v>47113</v>
      </c>
      <c r="L21475">
        <v>53.62</v>
      </c>
      <c r="M21475">
        <v>100</v>
      </c>
      <c r="N21475">
        <v>0</v>
      </c>
      <c r="O21475">
        <v>100</v>
      </c>
      <c r="P21475">
        <v>0</v>
      </c>
    </row>
    <row r="21476" spans="1:16" x14ac:dyDescent="0.25">
      <c r="A21476" t="s">
        <v>44281</v>
      </c>
      <c r="B21476" t="s">
        <v>12913</v>
      </c>
      <c r="C21476" t="s">
        <v>937</v>
      </c>
      <c r="D21476" t="str">
        <f>"11"</f>
        <v>11</v>
      </c>
      <c r="E21476" t="s">
        <v>288</v>
      </c>
      <c r="F21476" t="s">
        <v>2</v>
      </c>
      <c r="G21476" t="s">
        <v>47093</v>
      </c>
      <c r="I21476" t="s">
        <v>47111</v>
      </c>
      <c r="J21476" t="s">
        <v>47112</v>
      </c>
      <c r="K21476" t="s">
        <v>47113</v>
      </c>
      <c r="L21476">
        <v>48.39</v>
      </c>
      <c r="M21476">
        <v>100</v>
      </c>
      <c r="N21476">
        <v>0</v>
      </c>
      <c r="O21476">
        <v>100</v>
      </c>
      <c r="P21476">
        <v>0</v>
      </c>
    </row>
    <row r="21477" spans="1:16" x14ac:dyDescent="0.25">
      <c r="A21477" t="s">
        <v>44282</v>
      </c>
      <c r="B21477" t="s">
        <v>12913</v>
      </c>
      <c r="C21477" t="s">
        <v>937</v>
      </c>
      <c r="D21477" t="s">
        <v>27</v>
      </c>
      <c r="E21477" t="s">
        <v>622</v>
      </c>
      <c r="F21477" t="s">
        <v>2</v>
      </c>
      <c r="G21477" t="s">
        <v>47093</v>
      </c>
      <c r="I21477" t="s">
        <v>47111</v>
      </c>
      <c r="J21477" t="s">
        <v>47112</v>
      </c>
      <c r="K21477" t="s">
        <v>47113</v>
      </c>
      <c r="L21477">
        <v>53.23</v>
      </c>
      <c r="M21477">
        <v>100</v>
      </c>
      <c r="N21477">
        <v>0</v>
      </c>
      <c r="O21477">
        <v>100</v>
      </c>
      <c r="P21477">
        <v>0</v>
      </c>
    </row>
    <row r="21478" spans="1:16" x14ac:dyDescent="0.25">
      <c r="A21478" t="s">
        <v>44283</v>
      </c>
      <c r="B21478" t="s">
        <v>12913</v>
      </c>
      <c r="C21478" t="s">
        <v>937</v>
      </c>
      <c r="D21478" t="s">
        <v>22</v>
      </c>
      <c r="E21478" t="s">
        <v>23</v>
      </c>
      <c r="F21478" t="s">
        <v>2</v>
      </c>
      <c r="G21478" t="s">
        <v>47093</v>
      </c>
      <c r="I21478" t="s">
        <v>47111</v>
      </c>
      <c r="J21478" t="s">
        <v>47112</v>
      </c>
      <c r="K21478" t="s">
        <v>47113</v>
      </c>
      <c r="L21478">
        <v>48.92</v>
      </c>
      <c r="M21478">
        <v>100</v>
      </c>
      <c r="N21478">
        <v>0</v>
      </c>
      <c r="O21478">
        <v>100</v>
      </c>
      <c r="P21478">
        <v>0</v>
      </c>
    </row>
    <row r="21479" spans="1:16" x14ac:dyDescent="0.25">
      <c r="A21479" t="s">
        <v>44284</v>
      </c>
      <c r="B21479" t="s">
        <v>12914</v>
      </c>
      <c r="C21479" t="s">
        <v>937</v>
      </c>
      <c r="D21479" t="str">
        <f>"06"</f>
        <v>06</v>
      </c>
      <c r="E21479" t="s">
        <v>12871</v>
      </c>
      <c r="F21479" t="s">
        <v>2</v>
      </c>
      <c r="G21479" t="s">
        <v>47093</v>
      </c>
      <c r="H21479" t="s">
        <v>47054</v>
      </c>
      <c r="I21479" t="s">
        <v>47111</v>
      </c>
      <c r="J21479" t="s">
        <v>47112</v>
      </c>
      <c r="K21479" t="s">
        <v>47113</v>
      </c>
      <c r="L21479">
        <v>52.41</v>
      </c>
      <c r="M21479">
        <v>100</v>
      </c>
      <c r="N21479">
        <v>0</v>
      </c>
      <c r="O21479">
        <v>100</v>
      </c>
      <c r="P21479">
        <v>0</v>
      </c>
    </row>
    <row r="21480" spans="1:16" x14ac:dyDescent="0.25">
      <c r="A21480" t="s">
        <v>44285</v>
      </c>
      <c r="B21480" t="s">
        <v>12914</v>
      </c>
      <c r="C21480" t="s">
        <v>937</v>
      </c>
      <c r="D21480" t="str">
        <f>"11"</f>
        <v>11</v>
      </c>
      <c r="E21480" t="s">
        <v>288</v>
      </c>
      <c r="F21480" t="s">
        <v>2</v>
      </c>
      <c r="G21480" t="s">
        <v>47093</v>
      </c>
      <c r="H21480" t="s">
        <v>47054</v>
      </c>
      <c r="I21480" t="s">
        <v>47111</v>
      </c>
      <c r="J21480" t="s">
        <v>47112</v>
      </c>
      <c r="K21480" t="s">
        <v>47113</v>
      </c>
      <c r="L21480">
        <v>47.99</v>
      </c>
      <c r="M21480">
        <v>100</v>
      </c>
      <c r="N21480">
        <v>0</v>
      </c>
      <c r="O21480">
        <v>100</v>
      </c>
      <c r="P21480">
        <v>0</v>
      </c>
    </row>
    <row r="21481" spans="1:16" x14ac:dyDescent="0.25">
      <c r="A21481" t="s">
        <v>44286</v>
      </c>
      <c r="B21481" t="s">
        <v>12914</v>
      </c>
      <c r="C21481" t="s">
        <v>937</v>
      </c>
      <c r="D21481" t="s">
        <v>27</v>
      </c>
      <c r="E21481" t="s">
        <v>622</v>
      </c>
      <c r="F21481" t="s">
        <v>2</v>
      </c>
      <c r="G21481" t="s">
        <v>47093</v>
      </c>
      <c r="H21481" t="s">
        <v>47054</v>
      </c>
      <c r="I21481" t="s">
        <v>47111</v>
      </c>
      <c r="J21481" t="s">
        <v>47112</v>
      </c>
      <c r="K21481" t="s">
        <v>47113</v>
      </c>
      <c r="L21481">
        <v>53.23</v>
      </c>
      <c r="M21481">
        <v>100</v>
      </c>
      <c r="N21481">
        <v>0</v>
      </c>
      <c r="O21481">
        <v>100</v>
      </c>
      <c r="P21481">
        <v>0</v>
      </c>
    </row>
    <row r="21482" spans="1:16" x14ac:dyDescent="0.25">
      <c r="A21482" t="s">
        <v>44287</v>
      </c>
      <c r="B21482" t="s">
        <v>12914</v>
      </c>
      <c r="C21482" t="s">
        <v>937</v>
      </c>
      <c r="D21482" t="s">
        <v>22</v>
      </c>
      <c r="E21482" t="s">
        <v>23</v>
      </c>
      <c r="F21482" t="s">
        <v>2</v>
      </c>
      <c r="G21482" t="s">
        <v>47093</v>
      </c>
      <c r="H21482" t="s">
        <v>47054</v>
      </c>
      <c r="I21482" t="s">
        <v>47111</v>
      </c>
      <c r="J21482" t="s">
        <v>47112</v>
      </c>
      <c r="K21482" t="s">
        <v>47113</v>
      </c>
      <c r="L21482">
        <v>48.92</v>
      </c>
      <c r="M21482">
        <v>100</v>
      </c>
      <c r="N21482">
        <v>0</v>
      </c>
      <c r="O21482">
        <v>100</v>
      </c>
      <c r="P21482">
        <v>0</v>
      </c>
    </row>
    <row r="21483" spans="1:16" x14ac:dyDescent="0.25">
      <c r="A21483" t="s">
        <v>44288</v>
      </c>
      <c r="B21483" t="s">
        <v>12915</v>
      </c>
      <c r="C21483" t="s">
        <v>937</v>
      </c>
      <c r="D21483" t="str">
        <f>"06"</f>
        <v>06</v>
      </c>
      <c r="E21483" t="s">
        <v>12871</v>
      </c>
      <c r="F21483" t="s">
        <v>2</v>
      </c>
      <c r="G21483" t="s">
        <v>47093</v>
      </c>
      <c r="I21483" t="s">
        <v>47111</v>
      </c>
      <c r="J21483" t="s">
        <v>47112</v>
      </c>
      <c r="K21483" t="s">
        <v>47113</v>
      </c>
      <c r="L21483">
        <v>53.62</v>
      </c>
      <c r="M21483">
        <v>100</v>
      </c>
      <c r="N21483">
        <v>0</v>
      </c>
      <c r="O21483">
        <v>100</v>
      </c>
      <c r="P21483">
        <v>0</v>
      </c>
    </row>
    <row r="21484" spans="1:16" x14ac:dyDescent="0.25">
      <c r="A21484" t="s">
        <v>44289</v>
      </c>
      <c r="B21484" t="s">
        <v>12915</v>
      </c>
      <c r="C21484" t="s">
        <v>937</v>
      </c>
      <c r="D21484" t="str">
        <f>"11"</f>
        <v>11</v>
      </c>
      <c r="E21484" t="s">
        <v>288</v>
      </c>
      <c r="F21484" t="s">
        <v>2</v>
      </c>
      <c r="G21484" t="s">
        <v>47093</v>
      </c>
      <c r="I21484" t="s">
        <v>47111</v>
      </c>
      <c r="J21484" t="s">
        <v>47112</v>
      </c>
      <c r="K21484" t="s">
        <v>47113</v>
      </c>
      <c r="L21484">
        <v>48.39</v>
      </c>
      <c r="M21484">
        <v>100</v>
      </c>
      <c r="N21484">
        <v>0</v>
      </c>
      <c r="O21484">
        <v>100</v>
      </c>
      <c r="P21484">
        <v>0</v>
      </c>
    </row>
    <row r="21485" spans="1:16" x14ac:dyDescent="0.25">
      <c r="A21485" t="s">
        <v>44290</v>
      </c>
      <c r="B21485" t="s">
        <v>12915</v>
      </c>
      <c r="C21485" t="s">
        <v>937</v>
      </c>
      <c r="D21485" t="s">
        <v>27</v>
      </c>
      <c r="E21485" t="s">
        <v>622</v>
      </c>
      <c r="F21485" t="s">
        <v>2</v>
      </c>
      <c r="G21485" t="s">
        <v>47093</v>
      </c>
      <c r="I21485" t="s">
        <v>47111</v>
      </c>
      <c r="J21485" t="s">
        <v>47112</v>
      </c>
      <c r="K21485" t="s">
        <v>47113</v>
      </c>
      <c r="L21485">
        <v>53.23</v>
      </c>
      <c r="M21485">
        <v>100</v>
      </c>
      <c r="N21485">
        <v>0</v>
      </c>
      <c r="O21485">
        <v>100</v>
      </c>
      <c r="P21485">
        <v>0</v>
      </c>
    </row>
    <row r="21486" spans="1:16" x14ac:dyDescent="0.25">
      <c r="A21486" t="s">
        <v>44291</v>
      </c>
      <c r="B21486" t="s">
        <v>12915</v>
      </c>
      <c r="C21486" t="s">
        <v>937</v>
      </c>
      <c r="D21486" t="s">
        <v>22</v>
      </c>
      <c r="E21486" t="s">
        <v>23</v>
      </c>
      <c r="F21486" t="s">
        <v>2</v>
      </c>
      <c r="G21486" t="s">
        <v>47093</v>
      </c>
      <c r="I21486" t="s">
        <v>47111</v>
      </c>
      <c r="J21486" t="s">
        <v>47112</v>
      </c>
      <c r="K21486" t="s">
        <v>47113</v>
      </c>
      <c r="L21486">
        <v>48.92</v>
      </c>
      <c r="M21486">
        <v>100</v>
      </c>
      <c r="N21486">
        <v>0</v>
      </c>
      <c r="O21486">
        <v>100</v>
      </c>
      <c r="P21486">
        <v>0</v>
      </c>
    </row>
    <row r="21487" spans="1:16" x14ac:dyDescent="0.25">
      <c r="A21487" t="s">
        <v>44292</v>
      </c>
      <c r="B21487" t="s">
        <v>936</v>
      </c>
      <c r="C21487" t="s">
        <v>937</v>
      </c>
      <c r="D21487" t="str">
        <f>"06"</f>
        <v>06</v>
      </c>
      <c r="E21487" t="s">
        <v>12871</v>
      </c>
      <c r="F21487" t="s">
        <v>2</v>
      </c>
      <c r="G21487" t="s">
        <v>47093</v>
      </c>
      <c r="H21487" t="s">
        <v>47054</v>
      </c>
      <c r="I21487" t="s">
        <v>47111</v>
      </c>
      <c r="J21487" t="s">
        <v>47112</v>
      </c>
      <c r="K21487" t="s">
        <v>47113</v>
      </c>
      <c r="L21487">
        <v>53.62</v>
      </c>
      <c r="M21487">
        <v>100</v>
      </c>
      <c r="N21487">
        <v>0</v>
      </c>
      <c r="O21487">
        <v>100</v>
      </c>
      <c r="P21487">
        <v>0</v>
      </c>
    </row>
    <row r="21488" spans="1:16" x14ac:dyDescent="0.25">
      <c r="A21488" t="s">
        <v>44293</v>
      </c>
      <c r="B21488" t="s">
        <v>936</v>
      </c>
      <c r="C21488" t="s">
        <v>937</v>
      </c>
      <c r="D21488" t="str">
        <f>"11"</f>
        <v>11</v>
      </c>
      <c r="E21488" t="s">
        <v>288</v>
      </c>
      <c r="F21488" t="s">
        <v>2</v>
      </c>
      <c r="G21488" t="s">
        <v>47093</v>
      </c>
      <c r="H21488" t="s">
        <v>47054</v>
      </c>
      <c r="I21488" t="s">
        <v>47111</v>
      </c>
      <c r="J21488" t="s">
        <v>47112</v>
      </c>
      <c r="K21488" t="s">
        <v>47113</v>
      </c>
      <c r="L21488">
        <v>48.39</v>
      </c>
      <c r="M21488">
        <v>100</v>
      </c>
      <c r="N21488">
        <v>0</v>
      </c>
      <c r="O21488">
        <v>100</v>
      </c>
      <c r="P21488">
        <v>0</v>
      </c>
    </row>
    <row r="21489" spans="1:16" x14ac:dyDescent="0.25">
      <c r="A21489" t="s">
        <v>44294</v>
      </c>
      <c r="B21489" t="s">
        <v>936</v>
      </c>
      <c r="C21489" t="s">
        <v>937</v>
      </c>
      <c r="D21489" t="s">
        <v>27</v>
      </c>
      <c r="E21489" t="s">
        <v>28</v>
      </c>
      <c r="F21489" t="s">
        <v>2</v>
      </c>
      <c r="G21489" t="s">
        <v>47093</v>
      </c>
      <c r="H21489" t="s">
        <v>47054</v>
      </c>
      <c r="I21489" t="s">
        <v>47111</v>
      </c>
      <c r="J21489" t="s">
        <v>47112</v>
      </c>
      <c r="K21489" t="s">
        <v>47113</v>
      </c>
      <c r="L21489">
        <v>54.23</v>
      </c>
      <c r="M21489">
        <v>100</v>
      </c>
      <c r="N21489">
        <v>0</v>
      </c>
      <c r="O21489">
        <v>100</v>
      </c>
      <c r="P21489">
        <v>0</v>
      </c>
    </row>
    <row r="21490" spans="1:16" x14ac:dyDescent="0.25">
      <c r="A21490" t="s">
        <v>44295</v>
      </c>
      <c r="B21490" t="s">
        <v>936</v>
      </c>
      <c r="C21490" t="s">
        <v>937</v>
      </c>
      <c r="D21490" t="s">
        <v>22</v>
      </c>
      <c r="E21490" t="s">
        <v>23</v>
      </c>
      <c r="F21490" t="s">
        <v>2</v>
      </c>
      <c r="G21490" t="s">
        <v>47093</v>
      </c>
      <c r="H21490" t="s">
        <v>47054</v>
      </c>
      <c r="I21490" t="s">
        <v>47111</v>
      </c>
      <c r="J21490" t="s">
        <v>47112</v>
      </c>
      <c r="K21490" t="s">
        <v>47113</v>
      </c>
      <c r="L21490">
        <v>48.92</v>
      </c>
      <c r="M21490">
        <v>100</v>
      </c>
      <c r="N21490">
        <v>0</v>
      </c>
      <c r="O21490">
        <v>100</v>
      </c>
      <c r="P21490">
        <v>0</v>
      </c>
    </row>
    <row r="21491" spans="1:16" x14ac:dyDescent="0.25">
      <c r="A21491" t="s">
        <v>44296</v>
      </c>
      <c r="B21491" t="s">
        <v>12916</v>
      </c>
      <c r="C21491" t="s">
        <v>937</v>
      </c>
      <c r="D21491" t="str">
        <f>"06"</f>
        <v>06</v>
      </c>
      <c r="E21491" t="s">
        <v>12871</v>
      </c>
      <c r="F21491" t="s">
        <v>2</v>
      </c>
      <c r="G21491" t="s">
        <v>47093</v>
      </c>
      <c r="I21491" t="s">
        <v>47111</v>
      </c>
      <c r="J21491" t="s">
        <v>47112</v>
      </c>
      <c r="K21491" t="s">
        <v>47113</v>
      </c>
      <c r="L21491">
        <v>53.62</v>
      </c>
      <c r="M21491">
        <v>100</v>
      </c>
      <c r="N21491">
        <v>0</v>
      </c>
      <c r="O21491">
        <v>100</v>
      </c>
      <c r="P21491">
        <v>0</v>
      </c>
    </row>
    <row r="21492" spans="1:16" x14ac:dyDescent="0.25">
      <c r="A21492" t="s">
        <v>44297</v>
      </c>
      <c r="B21492" t="s">
        <v>12916</v>
      </c>
      <c r="C21492" t="s">
        <v>937</v>
      </c>
      <c r="D21492" t="str">
        <f>"11"</f>
        <v>11</v>
      </c>
      <c r="E21492" t="s">
        <v>288</v>
      </c>
      <c r="F21492" t="s">
        <v>2</v>
      </c>
      <c r="G21492" t="s">
        <v>47093</v>
      </c>
      <c r="I21492" t="s">
        <v>47111</v>
      </c>
      <c r="J21492" t="s">
        <v>47112</v>
      </c>
      <c r="K21492" t="s">
        <v>47113</v>
      </c>
      <c r="L21492">
        <v>48.39</v>
      </c>
      <c r="M21492">
        <v>100</v>
      </c>
      <c r="N21492">
        <v>0</v>
      </c>
      <c r="O21492">
        <v>100</v>
      </c>
      <c r="P21492">
        <v>0</v>
      </c>
    </row>
    <row r="21493" spans="1:16" x14ac:dyDescent="0.25">
      <c r="A21493" t="s">
        <v>44298</v>
      </c>
      <c r="B21493" t="s">
        <v>12916</v>
      </c>
      <c r="C21493" t="s">
        <v>937</v>
      </c>
      <c r="D21493" t="s">
        <v>27</v>
      </c>
      <c r="E21493" t="s">
        <v>622</v>
      </c>
      <c r="F21493" t="s">
        <v>2</v>
      </c>
      <c r="G21493" t="s">
        <v>47093</v>
      </c>
      <c r="I21493" t="s">
        <v>47111</v>
      </c>
      <c r="J21493" t="s">
        <v>47112</v>
      </c>
      <c r="K21493" t="s">
        <v>47113</v>
      </c>
      <c r="L21493">
        <v>53.23</v>
      </c>
      <c r="M21493">
        <v>100</v>
      </c>
      <c r="N21493">
        <v>0</v>
      </c>
      <c r="O21493">
        <v>100</v>
      </c>
      <c r="P21493">
        <v>0</v>
      </c>
    </row>
    <row r="21494" spans="1:16" x14ac:dyDescent="0.25">
      <c r="A21494" t="s">
        <v>44299</v>
      </c>
      <c r="B21494" t="s">
        <v>12916</v>
      </c>
      <c r="C21494" t="s">
        <v>937</v>
      </c>
      <c r="D21494" t="s">
        <v>22</v>
      </c>
      <c r="E21494" t="s">
        <v>23</v>
      </c>
      <c r="F21494" t="s">
        <v>2</v>
      </c>
      <c r="G21494" t="s">
        <v>47093</v>
      </c>
      <c r="I21494" t="s">
        <v>47111</v>
      </c>
      <c r="J21494" t="s">
        <v>47112</v>
      </c>
      <c r="K21494" t="s">
        <v>47113</v>
      </c>
      <c r="L21494">
        <v>48.92</v>
      </c>
      <c r="M21494">
        <v>100</v>
      </c>
      <c r="N21494">
        <v>0</v>
      </c>
      <c r="O21494">
        <v>100</v>
      </c>
      <c r="P21494">
        <v>0</v>
      </c>
    </row>
    <row r="21495" spans="1:16" x14ac:dyDescent="0.25">
      <c r="A21495" t="s">
        <v>44300</v>
      </c>
      <c r="B21495" t="s">
        <v>12917</v>
      </c>
      <c r="C21495" t="s">
        <v>12918</v>
      </c>
      <c r="D21495" t="str">
        <f>"06"</f>
        <v>06</v>
      </c>
      <c r="E21495" t="s">
        <v>12871</v>
      </c>
      <c r="F21495" t="s">
        <v>2</v>
      </c>
      <c r="G21495" t="s">
        <v>47093</v>
      </c>
      <c r="I21495" t="s">
        <v>47111</v>
      </c>
      <c r="J21495" t="s">
        <v>47112</v>
      </c>
      <c r="K21495" t="s">
        <v>47113</v>
      </c>
      <c r="L21495">
        <v>53.62</v>
      </c>
      <c r="M21495">
        <v>100</v>
      </c>
      <c r="N21495">
        <v>0</v>
      </c>
      <c r="O21495">
        <v>100</v>
      </c>
      <c r="P21495">
        <v>0</v>
      </c>
    </row>
    <row r="21496" spans="1:16" x14ac:dyDescent="0.25">
      <c r="A21496" t="s">
        <v>44301</v>
      </c>
      <c r="B21496" t="s">
        <v>12917</v>
      </c>
      <c r="C21496" t="s">
        <v>12918</v>
      </c>
      <c r="D21496" t="str">
        <f>"11"</f>
        <v>11</v>
      </c>
      <c r="E21496" t="s">
        <v>288</v>
      </c>
      <c r="F21496" t="s">
        <v>2</v>
      </c>
      <c r="G21496" t="s">
        <v>47093</v>
      </c>
      <c r="I21496" t="s">
        <v>47111</v>
      </c>
      <c r="J21496" t="s">
        <v>47112</v>
      </c>
      <c r="K21496" t="s">
        <v>47113</v>
      </c>
      <c r="L21496">
        <v>48.39</v>
      </c>
      <c r="M21496">
        <v>100</v>
      </c>
      <c r="N21496">
        <v>0</v>
      </c>
      <c r="O21496">
        <v>100</v>
      </c>
      <c r="P21496">
        <v>0</v>
      </c>
    </row>
    <row r="21497" spans="1:16" x14ac:dyDescent="0.25">
      <c r="A21497" t="s">
        <v>44302</v>
      </c>
      <c r="B21497" t="s">
        <v>12917</v>
      </c>
      <c r="C21497" t="s">
        <v>12918</v>
      </c>
      <c r="D21497" t="s">
        <v>27</v>
      </c>
      <c r="E21497" t="s">
        <v>622</v>
      </c>
      <c r="F21497" t="s">
        <v>2</v>
      </c>
      <c r="G21497" t="s">
        <v>47093</v>
      </c>
      <c r="I21497" t="s">
        <v>47111</v>
      </c>
      <c r="J21497" t="s">
        <v>47112</v>
      </c>
      <c r="K21497" t="s">
        <v>47113</v>
      </c>
      <c r="L21497">
        <v>53.23</v>
      </c>
      <c r="M21497">
        <v>100</v>
      </c>
      <c r="N21497">
        <v>0</v>
      </c>
      <c r="O21497">
        <v>100</v>
      </c>
      <c r="P21497">
        <v>0</v>
      </c>
    </row>
    <row r="21498" spans="1:16" x14ac:dyDescent="0.25">
      <c r="A21498" t="s">
        <v>44303</v>
      </c>
      <c r="B21498" t="s">
        <v>12917</v>
      </c>
      <c r="C21498" t="s">
        <v>12918</v>
      </c>
      <c r="D21498" t="s">
        <v>22</v>
      </c>
      <c r="E21498" t="s">
        <v>23</v>
      </c>
      <c r="F21498" t="s">
        <v>2</v>
      </c>
      <c r="G21498" t="s">
        <v>47093</v>
      </c>
      <c r="I21498" t="s">
        <v>47111</v>
      </c>
      <c r="J21498" t="s">
        <v>47112</v>
      </c>
      <c r="K21498" t="s">
        <v>47113</v>
      </c>
      <c r="L21498">
        <v>48.92</v>
      </c>
      <c r="M21498">
        <v>100</v>
      </c>
      <c r="N21498">
        <v>0</v>
      </c>
      <c r="O21498">
        <v>100</v>
      </c>
      <c r="P21498">
        <v>0</v>
      </c>
    </row>
    <row r="21499" spans="1:16" x14ac:dyDescent="0.25">
      <c r="A21499" t="s">
        <v>44304</v>
      </c>
      <c r="B21499" t="s">
        <v>12919</v>
      </c>
      <c r="C21499" t="s">
        <v>12918</v>
      </c>
      <c r="D21499" t="str">
        <f>"06"</f>
        <v>06</v>
      </c>
      <c r="E21499" t="s">
        <v>12871</v>
      </c>
      <c r="F21499" t="s">
        <v>2</v>
      </c>
      <c r="G21499" t="s">
        <v>47093</v>
      </c>
      <c r="I21499" t="s">
        <v>47111</v>
      </c>
      <c r="J21499" t="s">
        <v>47112</v>
      </c>
      <c r="K21499" t="s">
        <v>47113</v>
      </c>
      <c r="L21499">
        <v>53.62</v>
      </c>
      <c r="M21499">
        <v>100</v>
      </c>
      <c r="N21499">
        <v>0</v>
      </c>
      <c r="O21499">
        <v>100</v>
      </c>
      <c r="P21499">
        <v>0</v>
      </c>
    </row>
    <row r="21500" spans="1:16" x14ac:dyDescent="0.25">
      <c r="A21500" t="s">
        <v>44305</v>
      </c>
      <c r="B21500" t="s">
        <v>12919</v>
      </c>
      <c r="C21500" t="s">
        <v>12918</v>
      </c>
      <c r="D21500" t="str">
        <f>"11"</f>
        <v>11</v>
      </c>
      <c r="E21500" t="s">
        <v>288</v>
      </c>
      <c r="F21500" t="s">
        <v>2</v>
      </c>
      <c r="G21500" t="s">
        <v>47093</v>
      </c>
      <c r="I21500" t="s">
        <v>47111</v>
      </c>
      <c r="J21500" t="s">
        <v>47112</v>
      </c>
      <c r="K21500" t="s">
        <v>47113</v>
      </c>
      <c r="L21500">
        <v>48.39</v>
      </c>
      <c r="M21500">
        <v>100</v>
      </c>
      <c r="N21500">
        <v>0</v>
      </c>
      <c r="O21500">
        <v>100</v>
      </c>
      <c r="P21500">
        <v>0</v>
      </c>
    </row>
    <row r="21501" spans="1:16" x14ac:dyDescent="0.25">
      <c r="A21501" t="s">
        <v>44306</v>
      </c>
      <c r="B21501" t="s">
        <v>12919</v>
      </c>
      <c r="C21501" t="s">
        <v>12918</v>
      </c>
      <c r="D21501" t="s">
        <v>27</v>
      </c>
      <c r="E21501" t="s">
        <v>622</v>
      </c>
      <c r="F21501" t="s">
        <v>2</v>
      </c>
      <c r="G21501" t="s">
        <v>47093</v>
      </c>
      <c r="I21501" t="s">
        <v>47111</v>
      </c>
      <c r="J21501" t="s">
        <v>47112</v>
      </c>
      <c r="K21501" t="s">
        <v>47113</v>
      </c>
      <c r="L21501">
        <v>53.23</v>
      </c>
      <c r="M21501">
        <v>100</v>
      </c>
      <c r="N21501">
        <v>0</v>
      </c>
      <c r="O21501">
        <v>100</v>
      </c>
      <c r="P21501">
        <v>0</v>
      </c>
    </row>
    <row r="21502" spans="1:16" x14ac:dyDescent="0.25">
      <c r="A21502" t="s">
        <v>44307</v>
      </c>
      <c r="B21502" t="s">
        <v>12919</v>
      </c>
      <c r="C21502" t="s">
        <v>12918</v>
      </c>
      <c r="D21502" t="s">
        <v>22</v>
      </c>
      <c r="E21502" t="s">
        <v>23</v>
      </c>
      <c r="F21502" t="s">
        <v>2</v>
      </c>
      <c r="G21502" t="s">
        <v>47093</v>
      </c>
      <c r="I21502" t="s">
        <v>47111</v>
      </c>
      <c r="J21502" t="s">
        <v>47112</v>
      </c>
      <c r="K21502" t="s">
        <v>47113</v>
      </c>
      <c r="L21502">
        <v>48.92</v>
      </c>
      <c r="M21502">
        <v>100</v>
      </c>
      <c r="N21502">
        <v>0</v>
      </c>
      <c r="O21502">
        <v>100</v>
      </c>
      <c r="P21502">
        <v>0</v>
      </c>
    </row>
    <row r="21503" spans="1:16" x14ac:dyDescent="0.25">
      <c r="A21503" t="s">
        <v>44308</v>
      </c>
      <c r="B21503" t="s">
        <v>12920</v>
      </c>
      <c r="C21503" t="s">
        <v>12918</v>
      </c>
      <c r="D21503" t="str">
        <f>"06"</f>
        <v>06</v>
      </c>
      <c r="E21503" t="s">
        <v>12871</v>
      </c>
      <c r="F21503" t="s">
        <v>2</v>
      </c>
      <c r="G21503" t="s">
        <v>47093</v>
      </c>
      <c r="I21503" t="s">
        <v>47111</v>
      </c>
      <c r="J21503" t="s">
        <v>47112</v>
      </c>
      <c r="K21503" t="s">
        <v>47113</v>
      </c>
      <c r="L21503">
        <v>53.62</v>
      </c>
      <c r="M21503">
        <v>100</v>
      </c>
      <c r="N21503">
        <v>0</v>
      </c>
      <c r="O21503">
        <v>100</v>
      </c>
      <c r="P21503">
        <v>0</v>
      </c>
    </row>
    <row r="21504" spans="1:16" x14ac:dyDescent="0.25">
      <c r="A21504" t="s">
        <v>44309</v>
      </c>
      <c r="B21504" t="s">
        <v>12920</v>
      </c>
      <c r="C21504" t="s">
        <v>12918</v>
      </c>
      <c r="D21504" t="str">
        <f>"11"</f>
        <v>11</v>
      </c>
      <c r="E21504" t="s">
        <v>288</v>
      </c>
      <c r="F21504" t="s">
        <v>2</v>
      </c>
      <c r="G21504" t="s">
        <v>47093</v>
      </c>
      <c r="I21504" t="s">
        <v>47111</v>
      </c>
      <c r="J21504" t="s">
        <v>47112</v>
      </c>
      <c r="K21504" t="s">
        <v>47113</v>
      </c>
      <c r="L21504">
        <v>48.39</v>
      </c>
      <c r="M21504">
        <v>100</v>
      </c>
      <c r="N21504">
        <v>0</v>
      </c>
      <c r="O21504">
        <v>100</v>
      </c>
      <c r="P21504">
        <v>0</v>
      </c>
    </row>
    <row r="21505" spans="1:16" x14ac:dyDescent="0.25">
      <c r="A21505" t="s">
        <v>44310</v>
      </c>
      <c r="B21505" t="s">
        <v>12920</v>
      </c>
      <c r="C21505" t="s">
        <v>12918</v>
      </c>
      <c r="D21505" t="s">
        <v>27</v>
      </c>
      <c r="E21505" t="s">
        <v>622</v>
      </c>
      <c r="F21505" t="s">
        <v>2</v>
      </c>
      <c r="G21505" t="s">
        <v>47093</v>
      </c>
      <c r="I21505" t="s">
        <v>47111</v>
      </c>
      <c r="J21505" t="s">
        <v>47112</v>
      </c>
      <c r="K21505" t="s">
        <v>47113</v>
      </c>
      <c r="L21505">
        <v>53.23</v>
      </c>
      <c r="M21505">
        <v>100</v>
      </c>
      <c r="N21505">
        <v>0</v>
      </c>
      <c r="O21505">
        <v>100</v>
      </c>
      <c r="P21505">
        <v>0</v>
      </c>
    </row>
    <row r="21506" spans="1:16" x14ac:dyDescent="0.25">
      <c r="A21506" t="s">
        <v>44311</v>
      </c>
      <c r="B21506" t="s">
        <v>12920</v>
      </c>
      <c r="C21506" t="s">
        <v>12918</v>
      </c>
      <c r="D21506" t="s">
        <v>22</v>
      </c>
      <c r="E21506" t="s">
        <v>23</v>
      </c>
      <c r="F21506" t="s">
        <v>2</v>
      </c>
      <c r="G21506" t="s">
        <v>47093</v>
      </c>
      <c r="I21506" t="s">
        <v>47111</v>
      </c>
      <c r="J21506" t="s">
        <v>47112</v>
      </c>
      <c r="K21506" t="s">
        <v>47113</v>
      </c>
      <c r="L21506">
        <v>48.92</v>
      </c>
      <c r="M21506">
        <v>100</v>
      </c>
      <c r="N21506">
        <v>0</v>
      </c>
      <c r="O21506">
        <v>100</v>
      </c>
      <c r="P21506">
        <v>0</v>
      </c>
    </row>
    <row r="21507" spans="1:16" x14ac:dyDescent="0.25">
      <c r="A21507" t="s">
        <v>938</v>
      </c>
      <c r="B21507" t="s">
        <v>939</v>
      </c>
      <c r="C21507" t="s">
        <v>940</v>
      </c>
      <c r="D21507" t="s">
        <v>931</v>
      </c>
      <c r="E21507" t="s">
        <v>932</v>
      </c>
      <c r="F21507" t="s">
        <v>3</v>
      </c>
      <c r="G21507" t="s">
        <v>47093</v>
      </c>
      <c r="H21507" t="s">
        <v>47054</v>
      </c>
      <c r="I21507" t="s">
        <v>47111</v>
      </c>
      <c r="J21507" t="s">
        <v>47112</v>
      </c>
      <c r="K21507" t="s">
        <v>47113</v>
      </c>
      <c r="L21507">
        <v>58.88</v>
      </c>
      <c r="M21507">
        <v>127</v>
      </c>
      <c r="N21507">
        <v>0</v>
      </c>
      <c r="O21507">
        <v>127</v>
      </c>
      <c r="P21507">
        <v>0</v>
      </c>
    </row>
    <row r="21508" spans="1:16" x14ac:dyDescent="0.25">
      <c r="A21508" t="s">
        <v>44312</v>
      </c>
      <c r="B21508" t="s">
        <v>12921</v>
      </c>
      <c r="C21508" t="s">
        <v>12922</v>
      </c>
      <c r="D21508" t="s">
        <v>2933</v>
      </c>
      <c r="E21508" t="s">
        <v>2934</v>
      </c>
      <c r="F21508" t="s">
        <v>5</v>
      </c>
      <c r="G21508" t="s">
        <v>47093</v>
      </c>
      <c r="H21508" t="s">
        <v>47054</v>
      </c>
      <c r="I21508" t="s">
        <v>47111</v>
      </c>
      <c r="J21508" t="s">
        <v>47112</v>
      </c>
      <c r="K21508" t="s">
        <v>47113</v>
      </c>
      <c r="L21508">
        <v>53.44</v>
      </c>
      <c r="M21508">
        <v>123</v>
      </c>
      <c r="N21508">
        <v>0</v>
      </c>
      <c r="O21508">
        <v>123</v>
      </c>
      <c r="P21508">
        <v>0</v>
      </c>
    </row>
    <row r="21509" spans="1:16" x14ac:dyDescent="0.25">
      <c r="A21509" t="s">
        <v>14151</v>
      </c>
      <c r="B21509" t="s">
        <v>12923</v>
      </c>
      <c r="C21509" t="s">
        <v>12924</v>
      </c>
      <c r="D21509" t="s">
        <v>954</v>
      </c>
      <c r="E21509" t="s">
        <v>955</v>
      </c>
      <c r="F21509" t="s">
        <v>5</v>
      </c>
      <c r="G21509" t="s">
        <v>47093</v>
      </c>
      <c r="H21509" t="s">
        <v>47054</v>
      </c>
      <c r="I21509" t="s">
        <v>47111</v>
      </c>
      <c r="J21509" t="s">
        <v>47112</v>
      </c>
      <c r="K21509" t="s">
        <v>47113</v>
      </c>
      <c r="L21509">
        <v>55.1</v>
      </c>
      <c r="M21509">
        <v>130</v>
      </c>
      <c r="N21509">
        <v>0</v>
      </c>
      <c r="O21509">
        <v>130</v>
      </c>
      <c r="P21509">
        <v>0</v>
      </c>
    </row>
    <row r="21510" spans="1:16" x14ac:dyDescent="0.25">
      <c r="A21510" t="s">
        <v>44313</v>
      </c>
      <c r="B21510" t="s">
        <v>12925</v>
      </c>
      <c r="C21510" t="s">
        <v>12926</v>
      </c>
      <c r="D21510" t="s">
        <v>959</v>
      </c>
      <c r="E21510" t="s">
        <v>960</v>
      </c>
      <c r="F21510" t="s">
        <v>5</v>
      </c>
      <c r="G21510" t="s">
        <v>47093</v>
      </c>
      <c r="H21510" t="s">
        <v>47054</v>
      </c>
      <c r="I21510" t="s">
        <v>47111</v>
      </c>
      <c r="J21510" t="s">
        <v>47112</v>
      </c>
      <c r="K21510" t="s">
        <v>47113</v>
      </c>
      <c r="L21510">
        <v>52.88</v>
      </c>
      <c r="M21510">
        <v>123</v>
      </c>
      <c r="N21510">
        <v>0</v>
      </c>
      <c r="O21510">
        <v>123</v>
      </c>
      <c r="P21510">
        <v>0</v>
      </c>
    </row>
    <row r="21511" spans="1:16" x14ac:dyDescent="0.25">
      <c r="A21511" t="s">
        <v>44314</v>
      </c>
      <c r="B21511" t="s">
        <v>12927</v>
      </c>
      <c r="C21511" t="s">
        <v>12928</v>
      </c>
      <c r="D21511" t="str">
        <f>"06"</f>
        <v>06</v>
      </c>
      <c r="E21511" t="s">
        <v>12871</v>
      </c>
      <c r="F21511" t="s">
        <v>2</v>
      </c>
      <c r="G21511" t="s">
        <v>47093</v>
      </c>
      <c r="H21511" t="s">
        <v>47054</v>
      </c>
      <c r="I21511" t="s">
        <v>47111</v>
      </c>
      <c r="J21511" t="s">
        <v>47112</v>
      </c>
      <c r="K21511" t="s">
        <v>47113</v>
      </c>
      <c r="L21511">
        <v>52.74</v>
      </c>
      <c r="M21511">
        <v>100</v>
      </c>
      <c r="N21511">
        <v>0</v>
      </c>
      <c r="O21511">
        <v>100</v>
      </c>
      <c r="P21511">
        <v>0</v>
      </c>
    </row>
    <row r="21512" spans="1:16" x14ac:dyDescent="0.25">
      <c r="A21512" t="s">
        <v>44315</v>
      </c>
      <c r="B21512" t="s">
        <v>12927</v>
      </c>
      <c r="C21512" t="s">
        <v>12928</v>
      </c>
      <c r="D21512" t="str">
        <f>"11"</f>
        <v>11</v>
      </c>
      <c r="E21512" t="s">
        <v>288</v>
      </c>
      <c r="F21512" t="s">
        <v>2</v>
      </c>
      <c r="G21512" t="s">
        <v>47093</v>
      </c>
      <c r="H21512" t="s">
        <v>47054</v>
      </c>
      <c r="I21512" t="s">
        <v>47111</v>
      </c>
      <c r="J21512" t="s">
        <v>47112</v>
      </c>
      <c r="K21512" t="s">
        <v>47113</v>
      </c>
      <c r="L21512">
        <v>49.16</v>
      </c>
      <c r="M21512">
        <v>100</v>
      </c>
      <c r="N21512">
        <v>0</v>
      </c>
      <c r="O21512">
        <v>100</v>
      </c>
      <c r="P21512">
        <v>0</v>
      </c>
    </row>
    <row r="21513" spans="1:16" x14ac:dyDescent="0.25">
      <c r="A21513" t="s">
        <v>44316</v>
      </c>
      <c r="B21513" t="s">
        <v>12927</v>
      </c>
      <c r="C21513" t="s">
        <v>12928</v>
      </c>
      <c r="D21513" t="s">
        <v>27</v>
      </c>
      <c r="E21513" t="s">
        <v>622</v>
      </c>
      <c r="F21513" t="s">
        <v>2</v>
      </c>
      <c r="G21513" t="s">
        <v>47093</v>
      </c>
      <c r="H21513" t="s">
        <v>47054</v>
      </c>
      <c r="I21513" t="s">
        <v>47111</v>
      </c>
      <c r="J21513" t="s">
        <v>47112</v>
      </c>
      <c r="K21513" t="s">
        <v>47113</v>
      </c>
      <c r="L21513">
        <v>54.11</v>
      </c>
      <c r="M21513">
        <v>100</v>
      </c>
      <c r="N21513">
        <v>0</v>
      </c>
      <c r="O21513">
        <v>100</v>
      </c>
      <c r="P21513">
        <v>0</v>
      </c>
    </row>
    <row r="21514" spans="1:16" x14ac:dyDescent="0.25">
      <c r="A21514" t="s">
        <v>44317</v>
      </c>
      <c r="B21514" t="s">
        <v>12927</v>
      </c>
      <c r="C21514" t="s">
        <v>12928</v>
      </c>
      <c r="D21514" t="s">
        <v>12811</v>
      </c>
      <c r="E21514" t="s">
        <v>12812</v>
      </c>
      <c r="F21514" t="s">
        <v>5</v>
      </c>
      <c r="G21514" t="s">
        <v>47093</v>
      </c>
      <c r="H21514" t="s">
        <v>47054</v>
      </c>
      <c r="I21514" t="s">
        <v>47111</v>
      </c>
      <c r="J21514" t="s">
        <v>47112</v>
      </c>
      <c r="K21514" t="s">
        <v>47113</v>
      </c>
      <c r="L21514">
        <v>57.49</v>
      </c>
      <c r="M21514">
        <v>129</v>
      </c>
      <c r="N21514">
        <v>0</v>
      </c>
      <c r="O21514">
        <v>129</v>
      </c>
      <c r="P21514">
        <v>0</v>
      </c>
    </row>
    <row r="21515" spans="1:16" x14ac:dyDescent="0.25">
      <c r="A21515" t="s">
        <v>44318</v>
      </c>
      <c r="B21515" t="s">
        <v>12927</v>
      </c>
      <c r="C21515" t="s">
        <v>12928</v>
      </c>
      <c r="D21515" t="s">
        <v>964</v>
      </c>
      <c r="E21515" t="s">
        <v>965</v>
      </c>
      <c r="F21515" t="s">
        <v>5</v>
      </c>
      <c r="G21515" t="s">
        <v>47093</v>
      </c>
      <c r="H21515" t="s">
        <v>47054</v>
      </c>
      <c r="I21515" t="s">
        <v>47111</v>
      </c>
      <c r="J21515" t="s">
        <v>47112</v>
      </c>
      <c r="K21515" t="s">
        <v>47113</v>
      </c>
      <c r="L21515">
        <v>55.76</v>
      </c>
      <c r="M21515">
        <v>130</v>
      </c>
      <c r="N21515">
        <v>0</v>
      </c>
      <c r="O21515">
        <v>130</v>
      </c>
      <c r="P21515">
        <v>0</v>
      </c>
    </row>
    <row r="21516" spans="1:16" x14ac:dyDescent="0.25">
      <c r="A21516" t="s">
        <v>44319</v>
      </c>
      <c r="B21516" t="s">
        <v>12927</v>
      </c>
      <c r="C21516" t="s">
        <v>12928</v>
      </c>
      <c r="D21516" t="s">
        <v>12864</v>
      </c>
      <c r="E21516" t="s">
        <v>12865</v>
      </c>
      <c r="F21516" t="s">
        <v>5</v>
      </c>
      <c r="G21516" t="s">
        <v>47093</v>
      </c>
      <c r="H21516" t="s">
        <v>47054</v>
      </c>
      <c r="I21516" t="s">
        <v>47111</v>
      </c>
      <c r="J21516" t="s">
        <v>47112</v>
      </c>
      <c r="K21516" t="s">
        <v>47113</v>
      </c>
      <c r="L21516">
        <v>57.49</v>
      </c>
      <c r="M21516">
        <v>129</v>
      </c>
      <c r="N21516">
        <v>0</v>
      </c>
      <c r="O21516">
        <v>129</v>
      </c>
      <c r="P21516">
        <v>0</v>
      </c>
    </row>
    <row r="21517" spans="1:16" x14ac:dyDescent="0.25">
      <c r="A21517" t="s">
        <v>44320</v>
      </c>
      <c r="B21517" t="s">
        <v>12927</v>
      </c>
      <c r="C21517" t="s">
        <v>12928</v>
      </c>
      <c r="D21517" t="s">
        <v>22</v>
      </c>
      <c r="E21517" t="s">
        <v>23</v>
      </c>
      <c r="F21517" t="s">
        <v>2</v>
      </c>
      <c r="G21517" t="s">
        <v>47093</v>
      </c>
      <c r="H21517" t="s">
        <v>47054</v>
      </c>
      <c r="I21517" t="s">
        <v>47111</v>
      </c>
      <c r="J21517" t="s">
        <v>47112</v>
      </c>
      <c r="K21517" t="s">
        <v>47113</v>
      </c>
      <c r="L21517">
        <v>49.72</v>
      </c>
      <c r="M21517">
        <v>100</v>
      </c>
      <c r="N21517">
        <v>0</v>
      </c>
      <c r="O21517">
        <v>100</v>
      </c>
      <c r="P21517">
        <v>0</v>
      </c>
    </row>
    <row r="21518" spans="1:16" x14ac:dyDescent="0.25">
      <c r="A21518" t="s">
        <v>44321</v>
      </c>
      <c r="B21518" t="s">
        <v>12927</v>
      </c>
      <c r="C21518" t="s">
        <v>12928</v>
      </c>
      <c r="D21518" t="s">
        <v>268</v>
      </c>
      <c r="E21518" t="s">
        <v>269</v>
      </c>
      <c r="F21518" t="s">
        <v>3</v>
      </c>
      <c r="G21518" t="s">
        <v>47093</v>
      </c>
      <c r="H21518" t="s">
        <v>47054</v>
      </c>
      <c r="I21518" t="s">
        <v>47111</v>
      </c>
      <c r="J21518" t="s">
        <v>47112</v>
      </c>
      <c r="K21518" t="s">
        <v>47113</v>
      </c>
      <c r="L21518">
        <v>50.33</v>
      </c>
      <c r="M21518">
        <v>121</v>
      </c>
      <c r="N21518">
        <v>0</v>
      </c>
      <c r="O21518">
        <v>121</v>
      </c>
      <c r="P21518">
        <v>0</v>
      </c>
    </row>
    <row r="21519" spans="1:16" x14ac:dyDescent="0.25">
      <c r="A21519" t="s">
        <v>44322</v>
      </c>
      <c r="B21519" t="s">
        <v>12929</v>
      </c>
      <c r="C21519" t="s">
        <v>12784</v>
      </c>
      <c r="D21519" t="str">
        <f>"07"</f>
        <v>07</v>
      </c>
      <c r="E21519" t="s">
        <v>12851</v>
      </c>
      <c r="F21519" t="s">
        <v>2</v>
      </c>
      <c r="G21519" t="s">
        <v>47093</v>
      </c>
      <c r="H21519" t="s">
        <v>47054</v>
      </c>
      <c r="I21519" t="s">
        <v>47111</v>
      </c>
      <c r="J21519" t="s">
        <v>47112</v>
      </c>
      <c r="K21519" t="s">
        <v>47113</v>
      </c>
      <c r="L21519">
        <v>34.6</v>
      </c>
      <c r="M21519">
        <v>85</v>
      </c>
      <c r="N21519">
        <v>0</v>
      </c>
      <c r="O21519">
        <v>85</v>
      </c>
      <c r="P21519">
        <v>0</v>
      </c>
    </row>
    <row r="21520" spans="1:16" x14ac:dyDescent="0.25">
      <c r="A21520" t="s">
        <v>44323</v>
      </c>
      <c r="B21520" t="s">
        <v>12929</v>
      </c>
      <c r="C21520" t="s">
        <v>12784</v>
      </c>
      <c r="D21520" t="str">
        <f>"11"</f>
        <v>11</v>
      </c>
      <c r="E21520" t="s">
        <v>288</v>
      </c>
      <c r="F21520" t="s">
        <v>2</v>
      </c>
      <c r="G21520" t="s">
        <v>47093</v>
      </c>
      <c r="H21520" t="s">
        <v>47054</v>
      </c>
      <c r="I21520" t="s">
        <v>47111</v>
      </c>
      <c r="J21520" t="s">
        <v>47112</v>
      </c>
      <c r="K21520" t="s">
        <v>47113</v>
      </c>
      <c r="L21520">
        <v>30.62</v>
      </c>
      <c r="M21520">
        <v>70</v>
      </c>
      <c r="N21520">
        <v>0</v>
      </c>
      <c r="O21520">
        <v>70</v>
      </c>
      <c r="P21520">
        <v>0</v>
      </c>
    </row>
    <row r="21521" spans="1:16" x14ac:dyDescent="0.25">
      <c r="A21521" t="s">
        <v>44324</v>
      </c>
      <c r="B21521" t="s">
        <v>12929</v>
      </c>
      <c r="C21521" t="s">
        <v>12784</v>
      </c>
      <c r="D21521" t="s">
        <v>721</v>
      </c>
      <c r="E21521" t="s">
        <v>722</v>
      </c>
      <c r="F21521" t="s">
        <v>2</v>
      </c>
      <c r="G21521" t="s">
        <v>47093</v>
      </c>
      <c r="H21521" t="s">
        <v>47054</v>
      </c>
      <c r="I21521" t="s">
        <v>47111</v>
      </c>
      <c r="J21521" t="s">
        <v>47112</v>
      </c>
      <c r="K21521" t="s">
        <v>47113</v>
      </c>
      <c r="L21521">
        <v>27.8</v>
      </c>
      <c r="M21521">
        <v>85</v>
      </c>
      <c r="N21521">
        <v>0</v>
      </c>
      <c r="O21521">
        <v>85</v>
      </c>
      <c r="P21521">
        <v>0</v>
      </c>
    </row>
    <row r="21522" spans="1:16" x14ac:dyDescent="0.25">
      <c r="A21522" t="s">
        <v>44325</v>
      </c>
      <c r="B21522" t="s">
        <v>12929</v>
      </c>
      <c r="C21522" t="s">
        <v>12784</v>
      </c>
      <c r="D21522" t="str">
        <f>"63"</f>
        <v>63</v>
      </c>
      <c r="E21522" t="s">
        <v>40</v>
      </c>
      <c r="F21522" t="s">
        <v>2</v>
      </c>
      <c r="G21522" t="s">
        <v>47093</v>
      </c>
      <c r="H21522" t="s">
        <v>47054</v>
      </c>
      <c r="I21522" t="s">
        <v>47111</v>
      </c>
      <c r="J21522" t="s">
        <v>47112</v>
      </c>
      <c r="K21522" t="s">
        <v>47113</v>
      </c>
      <c r="L21522">
        <v>32.979999999999997</v>
      </c>
      <c r="M21522">
        <v>73</v>
      </c>
      <c r="N21522">
        <v>0</v>
      </c>
      <c r="O21522">
        <v>73</v>
      </c>
      <c r="P21522">
        <v>0</v>
      </c>
    </row>
    <row r="21523" spans="1:16" x14ac:dyDescent="0.25">
      <c r="A21523" t="s">
        <v>44326</v>
      </c>
      <c r="B21523" t="s">
        <v>12929</v>
      </c>
      <c r="C21523" t="s">
        <v>12784</v>
      </c>
      <c r="D21523" t="str">
        <f>"78"</f>
        <v>78</v>
      </c>
      <c r="E21523" t="s">
        <v>5106</v>
      </c>
      <c r="F21523" t="s">
        <v>2</v>
      </c>
      <c r="G21523" t="s">
        <v>47093</v>
      </c>
      <c r="H21523" t="s">
        <v>47054</v>
      </c>
      <c r="I21523" t="s">
        <v>47111</v>
      </c>
      <c r="J21523" t="s">
        <v>47112</v>
      </c>
      <c r="K21523" t="s">
        <v>47113</v>
      </c>
      <c r="L21523">
        <v>31.45</v>
      </c>
      <c r="M21523">
        <v>97</v>
      </c>
      <c r="N21523">
        <v>0</v>
      </c>
      <c r="O21523">
        <v>97</v>
      </c>
      <c r="P21523">
        <v>0</v>
      </c>
    </row>
    <row r="21524" spans="1:16" x14ac:dyDescent="0.25">
      <c r="A21524" t="s">
        <v>44327</v>
      </c>
      <c r="B21524" t="s">
        <v>12929</v>
      </c>
      <c r="C21524" t="s">
        <v>12784</v>
      </c>
      <c r="D21524" t="s">
        <v>1790</v>
      </c>
      <c r="E21524" t="s">
        <v>1791</v>
      </c>
      <c r="F21524" t="s">
        <v>2</v>
      </c>
      <c r="G21524" t="s">
        <v>47093</v>
      </c>
      <c r="H21524" t="s">
        <v>47054</v>
      </c>
      <c r="I21524" t="s">
        <v>47111</v>
      </c>
      <c r="J21524" t="s">
        <v>47112</v>
      </c>
      <c r="K21524" t="s">
        <v>47113</v>
      </c>
      <c r="L21524">
        <v>34.92</v>
      </c>
      <c r="M21524">
        <v>85</v>
      </c>
      <c r="N21524">
        <v>0</v>
      </c>
      <c r="O21524">
        <v>85</v>
      </c>
      <c r="P21524">
        <v>0</v>
      </c>
    </row>
    <row r="21525" spans="1:16" x14ac:dyDescent="0.25">
      <c r="A21525" t="s">
        <v>44328</v>
      </c>
      <c r="B21525" t="s">
        <v>12929</v>
      </c>
      <c r="C21525" t="s">
        <v>12784</v>
      </c>
      <c r="D21525" t="s">
        <v>970</v>
      </c>
      <c r="E21525" t="s">
        <v>971</v>
      </c>
      <c r="F21525" t="s">
        <v>2</v>
      </c>
      <c r="G21525" t="s">
        <v>47093</v>
      </c>
      <c r="H21525" t="s">
        <v>47054</v>
      </c>
      <c r="I21525" t="s">
        <v>47111</v>
      </c>
      <c r="J21525" t="s">
        <v>47112</v>
      </c>
      <c r="K21525" t="s">
        <v>47113</v>
      </c>
      <c r="L21525">
        <v>41.47</v>
      </c>
      <c r="M21525">
        <v>85</v>
      </c>
      <c r="N21525">
        <v>0</v>
      </c>
      <c r="O21525">
        <v>85</v>
      </c>
      <c r="P21525">
        <v>0</v>
      </c>
    </row>
    <row r="21526" spans="1:16" x14ac:dyDescent="0.25">
      <c r="A21526" t="s">
        <v>44329</v>
      </c>
      <c r="B21526" t="s">
        <v>12929</v>
      </c>
      <c r="C21526" t="s">
        <v>12784</v>
      </c>
      <c r="D21526" t="s">
        <v>12852</v>
      </c>
      <c r="E21526" t="s">
        <v>12853</v>
      </c>
      <c r="F21526" t="s">
        <v>3</v>
      </c>
      <c r="G21526" t="s">
        <v>47093</v>
      </c>
      <c r="H21526" t="s">
        <v>47054</v>
      </c>
      <c r="I21526" t="s">
        <v>47111</v>
      </c>
      <c r="J21526" t="s">
        <v>47112</v>
      </c>
      <c r="K21526" t="s">
        <v>47113</v>
      </c>
      <c r="L21526">
        <v>29.78</v>
      </c>
      <c r="M21526">
        <v>113</v>
      </c>
      <c r="N21526">
        <v>0</v>
      </c>
      <c r="O21526">
        <v>113</v>
      </c>
      <c r="P21526">
        <v>0</v>
      </c>
    </row>
    <row r="21527" spans="1:16" x14ac:dyDescent="0.25">
      <c r="A21527" t="s">
        <v>44330</v>
      </c>
      <c r="B21527" t="s">
        <v>12929</v>
      </c>
      <c r="C21527" t="s">
        <v>12784</v>
      </c>
      <c r="D21527" t="s">
        <v>22</v>
      </c>
      <c r="E21527" t="s">
        <v>23</v>
      </c>
      <c r="F21527" t="s">
        <v>2</v>
      </c>
      <c r="G21527" t="s">
        <v>47093</v>
      </c>
      <c r="H21527" t="s">
        <v>47054</v>
      </c>
      <c r="I21527" t="s">
        <v>47111</v>
      </c>
      <c r="J21527" t="s">
        <v>47112</v>
      </c>
      <c r="K21527" t="s">
        <v>47113</v>
      </c>
      <c r="L21527">
        <v>31.15</v>
      </c>
      <c r="M21527">
        <v>85</v>
      </c>
      <c r="N21527">
        <v>0</v>
      </c>
      <c r="O21527">
        <v>85</v>
      </c>
      <c r="P21527">
        <v>0</v>
      </c>
    </row>
    <row r="21528" spans="1:16" x14ac:dyDescent="0.25">
      <c r="A21528" t="s">
        <v>44331</v>
      </c>
      <c r="B21528" t="s">
        <v>12929</v>
      </c>
      <c r="C21528" t="s">
        <v>12784</v>
      </c>
      <c r="D21528" t="s">
        <v>973</v>
      </c>
      <c r="E21528" t="s">
        <v>974</v>
      </c>
      <c r="F21528" t="s">
        <v>2</v>
      </c>
      <c r="G21528" t="s">
        <v>47093</v>
      </c>
      <c r="H21528" t="s">
        <v>47054</v>
      </c>
      <c r="I21528" t="s">
        <v>47111</v>
      </c>
      <c r="J21528" t="s">
        <v>47112</v>
      </c>
      <c r="K21528" t="s">
        <v>47113</v>
      </c>
      <c r="L21528">
        <v>35.85</v>
      </c>
      <c r="M21528">
        <v>85</v>
      </c>
      <c r="N21528">
        <v>0</v>
      </c>
      <c r="O21528">
        <v>85</v>
      </c>
      <c r="P21528">
        <v>0</v>
      </c>
    </row>
    <row r="21529" spans="1:16" x14ac:dyDescent="0.25">
      <c r="A21529" t="s">
        <v>44332</v>
      </c>
      <c r="B21529" t="s">
        <v>12929</v>
      </c>
      <c r="C21529" t="s">
        <v>12784</v>
      </c>
      <c r="D21529" t="s">
        <v>6814</v>
      </c>
      <c r="E21529" t="s">
        <v>6815</v>
      </c>
      <c r="F21529" t="s">
        <v>2</v>
      </c>
      <c r="G21529" t="s">
        <v>47093</v>
      </c>
      <c r="H21529" t="s">
        <v>47054</v>
      </c>
      <c r="I21529" t="s">
        <v>47111</v>
      </c>
      <c r="J21529" t="s">
        <v>47112</v>
      </c>
      <c r="K21529" t="s">
        <v>47113</v>
      </c>
      <c r="L21529">
        <v>36.04</v>
      </c>
      <c r="M21529">
        <v>80</v>
      </c>
      <c r="N21529">
        <v>0</v>
      </c>
      <c r="O21529">
        <v>80</v>
      </c>
      <c r="P21529">
        <v>0</v>
      </c>
    </row>
    <row r="21530" spans="1:16" x14ac:dyDescent="0.25">
      <c r="A21530" t="s">
        <v>44333</v>
      </c>
      <c r="B21530" t="s">
        <v>12929</v>
      </c>
      <c r="C21530" t="s">
        <v>12784</v>
      </c>
      <c r="D21530" t="s">
        <v>6816</v>
      </c>
      <c r="E21530" t="s">
        <v>6817</v>
      </c>
      <c r="F21530" t="s">
        <v>6</v>
      </c>
      <c r="G21530" t="s">
        <v>47093</v>
      </c>
      <c r="H21530" t="s">
        <v>47054</v>
      </c>
      <c r="I21530" t="s">
        <v>47111</v>
      </c>
      <c r="J21530" t="s">
        <v>47112</v>
      </c>
      <c r="K21530" t="s">
        <v>47113</v>
      </c>
      <c r="L21530">
        <v>34.58</v>
      </c>
      <c r="M21530">
        <v>77</v>
      </c>
      <c r="N21530">
        <v>0</v>
      </c>
      <c r="O21530">
        <v>77</v>
      </c>
      <c r="P21530">
        <v>0</v>
      </c>
    </row>
    <row r="21531" spans="1:16" x14ac:dyDescent="0.25">
      <c r="A21531" t="s">
        <v>44334</v>
      </c>
      <c r="B21531" t="s">
        <v>12929</v>
      </c>
      <c r="C21531" t="s">
        <v>12784</v>
      </c>
      <c r="D21531" t="s">
        <v>976</v>
      </c>
      <c r="E21531" t="s">
        <v>977</v>
      </c>
      <c r="F21531" t="s">
        <v>6</v>
      </c>
      <c r="G21531" t="s">
        <v>47093</v>
      </c>
      <c r="H21531" t="s">
        <v>47054</v>
      </c>
      <c r="I21531" t="s">
        <v>47111</v>
      </c>
      <c r="J21531" t="s">
        <v>47112</v>
      </c>
      <c r="K21531" t="s">
        <v>47113</v>
      </c>
      <c r="L21531">
        <v>37.07</v>
      </c>
      <c r="M21531">
        <v>77</v>
      </c>
      <c r="N21531">
        <v>0</v>
      </c>
      <c r="O21531">
        <v>77</v>
      </c>
      <c r="P21531">
        <v>0</v>
      </c>
    </row>
    <row r="21532" spans="1:16" x14ac:dyDescent="0.25">
      <c r="A21532" t="s">
        <v>44335</v>
      </c>
      <c r="B21532" t="s">
        <v>12929</v>
      </c>
      <c r="C21532" t="s">
        <v>12784</v>
      </c>
      <c r="D21532" t="s">
        <v>6818</v>
      </c>
      <c r="E21532" t="s">
        <v>6819</v>
      </c>
      <c r="F21532" t="s">
        <v>2</v>
      </c>
      <c r="G21532" t="s">
        <v>47093</v>
      </c>
      <c r="H21532" t="s">
        <v>47054</v>
      </c>
      <c r="I21532" t="s">
        <v>47111</v>
      </c>
      <c r="J21532" t="s">
        <v>47112</v>
      </c>
      <c r="K21532" t="s">
        <v>47113</v>
      </c>
      <c r="L21532">
        <v>34.6</v>
      </c>
      <c r="M21532">
        <v>77</v>
      </c>
      <c r="N21532">
        <v>0</v>
      </c>
      <c r="O21532">
        <v>77</v>
      </c>
      <c r="P21532">
        <v>0</v>
      </c>
    </row>
    <row r="21533" spans="1:16" x14ac:dyDescent="0.25">
      <c r="A21533" t="s">
        <v>44336</v>
      </c>
      <c r="B21533" t="s">
        <v>12929</v>
      </c>
      <c r="C21533" t="s">
        <v>12784</v>
      </c>
      <c r="D21533" t="s">
        <v>921</v>
      </c>
      <c r="E21533" t="s">
        <v>922</v>
      </c>
      <c r="F21533" t="s">
        <v>2</v>
      </c>
      <c r="G21533" t="s">
        <v>47093</v>
      </c>
      <c r="H21533" t="s">
        <v>47054</v>
      </c>
      <c r="I21533" t="s">
        <v>47111</v>
      </c>
      <c r="J21533" t="s">
        <v>47112</v>
      </c>
      <c r="K21533" t="s">
        <v>47113</v>
      </c>
      <c r="L21533">
        <v>36.24</v>
      </c>
      <c r="M21533">
        <v>80</v>
      </c>
      <c r="N21533">
        <v>0</v>
      </c>
      <c r="O21533">
        <v>80</v>
      </c>
      <c r="P21533">
        <v>0</v>
      </c>
    </row>
    <row r="21534" spans="1:16" x14ac:dyDescent="0.25">
      <c r="A21534" t="s">
        <v>44337</v>
      </c>
      <c r="B21534" t="s">
        <v>12930</v>
      </c>
      <c r="C21534" t="s">
        <v>12931</v>
      </c>
      <c r="D21534" t="str">
        <f>"40"</f>
        <v>40</v>
      </c>
      <c r="E21534" t="s">
        <v>31</v>
      </c>
      <c r="F21534" t="s">
        <v>5</v>
      </c>
      <c r="G21534" t="s">
        <v>47093</v>
      </c>
      <c r="H21534" t="s">
        <v>47054</v>
      </c>
      <c r="I21534" t="s">
        <v>47111</v>
      </c>
      <c r="J21534" t="s">
        <v>47112</v>
      </c>
      <c r="K21534" t="s">
        <v>47113</v>
      </c>
      <c r="L21534">
        <v>36.15</v>
      </c>
      <c r="M21534">
        <v>86</v>
      </c>
      <c r="N21534">
        <v>0</v>
      </c>
      <c r="O21534">
        <v>86</v>
      </c>
      <c r="P21534">
        <v>0</v>
      </c>
    </row>
    <row r="21535" spans="1:16" x14ac:dyDescent="0.25">
      <c r="A21535" t="s">
        <v>44338</v>
      </c>
      <c r="B21535" t="s">
        <v>12930</v>
      </c>
      <c r="C21535" t="s">
        <v>12931</v>
      </c>
      <c r="D21535" t="s">
        <v>10071</v>
      </c>
      <c r="E21535" t="s">
        <v>10072</v>
      </c>
      <c r="F21535" t="s">
        <v>5</v>
      </c>
      <c r="G21535" t="s">
        <v>47093</v>
      </c>
      <c r="H21535" t="s">
        <v>47054</v>
      </c>
      <c r="I21535" t="s">
        <v>47111</v>
      </c>
      <c r="J21535" t="s">
        <v>47112</v>
      </c>
      <c r="K21535" t="s">
        <v>47113</v>
      </c>
      <c r="L21535">
        <v>31.5</v>
      </c>
      <c r="M21535">
        <v>88</v>
      </c>
      <c r="N21535">
        <v>0</v>
      </c>
      <c r="O21535">
        <v>88</v>
      </c>
      <c r="P21535">
        <v>0</v>
      </c>
    </row>
    <row r="21536" spans="1:16" x14ac:dyDescent="0.25">
      <c r="A21536" t="s">
        <v>44339</v>
      </c>
      <c r="B21536" t="s">
        <v>12932</v>
      </c>
      <c r="C21536" t="s">
        <v>12933</v>
      </c>
      <c r="D21536" t="s">
        <v>27</v>
      </c>
      <c r="E21536" t="s">
        <v>622</v>
      </c>
      <c r="F21536" t="s">
        <v>2</v>
      </c>
      <c r="G21536" t="s">
        <v>47093</v>
      </c>
      <c r="H21536" t="s">
        <v>47054</v>
      </c>
      <c r="I21536" t="s">
        <v>47111</v>
      </c>
      <c r="J21536" t="s">
        <v>47112</v>
      </c>
      <c r="K21536" t="s">
        <v>47113</v>
      </c>
      <c r="L21536">
        <v>46.98</v>
      </c>
      <c r="M21536">
        <v>100</v>
      </c>
      <c r="N21536">
        <v>0</v>
      </c>
      <c r="O21536">
        <v>100</v>
      </c>
      <c r="P21536">
        <v>0</v>
      </c>
    </row>
    <row r="21537" spans="1:16" x14ac:dyDescent="0.25">
      <c r="A21537" t="s">
        <v>44340</v>
      </c>
      <c r="B21537" t="s">
        <v>12932</v>
      </c>
      <c r="C21537" t="s">
        <v>12933</v>
      </c>
      <c r="D21537" t="s">
        <v>294</v>
      </c>
      <c r="E21537" t="s">
        <v>295</v>
      </c>
      <c r="F21537" t="s">
        <v>2</v>
      </c>
      <c r="G21537" t="s">
        <v>47093</v>
      </c>
      <c r="H21537" t="s">
        <v>47054</v>
      </c>
      <c r="I21537" t="s">
        <v>47111</v>
      </c>
      <c r="J21537" t="s">
        <v>47112</v>
      </c>
      <c r="K21537" t="s">
        <v>47113</v>
      </c>
      <c r="L21537">
        <v>51.76</v>
      </c>
      <c r="M21537">
        <v>96</v>
      </c>
      <c r="N21537">
        <v>0</v>
      </c>
      <c r="O21537">
        <v>96</v>
      </c>
      <c r="P21537">
        <v>0</v>
      </c>
    </row>
    <row r="21538" spans="1:16" x14ac:dyDescent="0.25">
      <c r="A21538" t="s">
        <v>44341</v>
      </c>
      <c r="B21538" t="s">
        <v>12932</v>
      </c>
      <c r="C21538" t="s">
        <v>12933</v>
      </c>
      <c r="D21538" t="s">
        <v>22</v>
      </c>
      <c r="E21538" t="s">
        <v>23</v>
      </c>
      <c r="F21538" t="s">
        <v>2</v>
      </c>
      <c r="G21538" t="s">
        <v>47093</v>
      </c>
      <c r="H21538" t="s">
        <v>47054</v>
      </c>
      <c r="I21538" t="s">
        <v>47111</v>
      </c>
      <c r="J21538" t="s">
        <v>47112</v>
      </c>
      <c r="K21538" t="s">
        <v>47113</v>
      </c>
      <c r="L21538">
        <v>42.1</v>
      </c>
      <c r="M21538">
        <v>96</v>
      </c>
      <c r="N21538">
        <v>0</v>
      </c>
      <c r="O21538">
        <v>96</v>
      </c>
      <c r="P21538">
        <v>0</v>
      </c>
    </row>
    <row r="21539" spans="1:16" x14ac:dyDescent="0.25">
      <c r="A21539" t="s">
        <v>44342</v>
      </c>
      <c r="B21539" t="s">
        <v>12934</v>
      </c>
      <c r="C21539" t="s">
        <v>1348</v>
      </c>
      <c r="D21539" t="s">
        <v>12935</v>
      </c>
      <c r="E21539" t="s">
        <v>12936</v>
      </c>
      <c r="F21539" t="s">
        <v>6</v>
      </c>
      <c r="G21539" t="s">
        <v>47093</v>
      </c>
      <c r="H21539" t="s">
        <v>47054</v>
      </c>
      <c r="I21539" t="s">
        <v>47111</v>
      </c>
      <c r="J21539" t="s">
        <v>47112</v>
      </c>
      <c r="K21539" t="s">
        <v>47113</v>
      </c>
      <c r="L21539">
        <v>57.66</v>
      </c>
      <c r="M21539">
        <v>136</v>
      </c>
      <c r="N21539">
        <v>0</v>
      </c>
      <c r="O21539">
        <v>136</v>
      </c>
      <c r="P21539">
        <v>0</v>
      </c>
    </row>
    <row r="21540" spans="1:16" x14ac:dyDescent="0.25">
      <c r="A21540" t="s">
        <v>44343</v>
      </c>
      <c r="B21540" t="s">
        <v>12937</v>
      </c>
      <c r="C21540" t="s">
        <v>1348</v>
      </c>
      <c r="D21540" t="s">
        <v>10075</v>
      </c>
      <c r="E21540" t="s">
        <v>10076</v>
      </c>
      <c r="F21540" t="s">
        <v>6</v>
      </c>
      <c r="G21540" t="s">
        <v>47093</v>
      </c>
      <c r="H21540" t="s">
        <v>47054</v>
      </c>
      <c r="I21540" t="s">
        <v>47111</v>
      </c>
      <c r="J21540" t="s">
        <v>47112</v>
      </c>
      <c r="K21540" t="s">
        <v>47113</v>
      </c>
      <c r="L21540">
        <v>59.64</v>
      </c>
      <c r="M21540">
        <v>149</v>
      </c>
      <c r="N21540">
        <v>0</v>
      </c>
      <c r="O21540">
        <v>149</v>
      </c>
      <c r="P21540">
        <v>0</v>
      </c>
    </row>
    <row r="21541" spans="1:16" x14ac:dyDescent="0.25">
      <c r="A21541" t="s">
        <v>44344</v>
      </c>
      <c r="B21541" t="s">
        <v>12937</v>
      </c>
      <c r="C21541" t="s">
        <v>1348</v>
      </c>
      <c r="D21541" t="s">
        <v>12903</v>
      </c>
      <c r="E21541" t="s">
        <v>12904</v>
      </c>
      <c r="F21541" t="s">
        <v>6</v>
      </c>
      <c r="G21541" t="s">
        <v>47093</v>
      </c>
      <c r="H21541" t="s">
        <v>47054</v>
      </c>
      <c r="I21541" t="s">
        <v>47111</v>
      </c>
      <c r="J21541" t="s">
        <v>47112</v>
      </c>
      <c r="K21541" t="s">
        <v>47113</v>
      </c>
      <c r="L21541">
        <v>54.47</v>
      </c>
      <c r="M21541">
        <v>139</v>
      </c>
      <c r="N21541">
        <v>0</v>
      </c>
      <c r="O21541">
        <v>139</v>
      </c>
      <c r="P21541">
        <v>0</v>
      </c>
    </row>
    <row r="21542" spans="1:16" x14ac:dyDescent="0.25">
      <c r="A21542" t="s">
        <v>44345</v>
      </c>
      <c r="B21542" t="s">
        <v>12938</v>
      </c>
      <c r="C21542" t="s">
        <v>12939</v>
      </c>
      <c r="D21542" t="str">
        <f>"06"</f>
        <v>06</v>
      </c>
      <c r="E21542" t="s">
        <v>12871</v>
      </c>
      <c r="F21542" t="s">
        <v>2</v>
      </c>
      <c r="G21542" t="s">
        <v>47093</v>
      </c>
      <c r="H21542" t="s">
        <v>47054</v>
      </c>
      <c r="I21542" t="s">
        <v>47111</v>
      </c>
      <c r="J21542" t="s">
        <v>47112</v>
      </c>
      <c r="K21542" t="s">
        <v>47113</v>
      </c>
      <c r="L21542">
        <v>51.69</v>
      </c>
      <c r="M21542">
        <v>107</v>
      </c>
      <c r="N21542">
        <v>0</v>
      </c>
      <c r="O21542">
        <v>107</v>
      </c>
      <c r="P21542">
        <v>0</v>
      </c>
    </row>
    <row r="21543" spans="1:16" x14ac:dyDescent="0.25">
      <c r="A21543" t="s">
        <v>44346</v>
      </c>
      <c r="B21543" t="s">
        <v>12938</v>
      </c>
      <c r="C21543" t="s">
        <v>12939</v>
      </c>
      <c r="D21543" t="str">
        <f>"11"</f>
        <v>11</v>
      </c>
      <c r="E21543" t="s">
        <v>288</v>
      </c>
      <c r="F21543" t="s">
        <v>2</v>
      </c>
      <c r="G21543" t="s">
        <v>47093</v>
      </c>
      <c r="H21543" t="s">
        <v>47054</v>
      </c>
      <c r="I21543" t="s">
        <v>47111</v>
      </c>
      <c r="J21543" t="s">
        <v>47112</v>
      </c>
      <c r="K21543" t="s">
        <v>47113</v>
      </c>
      <c r="L21543">
        <v>48.39</v>
      </c>
      <c r="M21543">
        <v>100</v>
      </c>
      <c r="N21543">
        <v>0</v>
      </c>
      <c r="O21543">
        <v>100</v>
      </c>
      <c r="P21543">
        <v>0</v>
      </c>
    </row>
    <row r="21544" spans="1:16" x14ac:dyDescent="0.25">
      <c r="A21544" t="s">
        <v>44347</v>
      </c>
      <c r="B21544" t="s">
        <v>12938</v>
      </c>
      <c r="C21544" t="s">
        <v>12939</v>
      </c>
      <c r="D21544" t="s">
        <v>27</v>
      </c>
      <c r="E21544" t="s">
        <v>622</v>
      </c>
      <c r="F21544" t="s">
        <v>2</v>
      </c>
      <c r="G21544" t="s">
        <v>47093</v>
      </c>
      <c r="H21544" t="s">
        <v>47054</v>
      </c>
      <c r="I21544" t="s">
        <v>47111</v>
      </c>
      <c r="J21544" t="s">
        <v>47112</v>
      </c>
      <c r="K21544" t="s">
        <v>47113</v>
      </c>
      <c r="L21544">
        <v>53.23</v>
      </c>
      <c r="M21544">
        <v>111</v>
      </c>
      <c r="N21544">
        <v>0</v>
      </c>
      <c r="O21544">
        <v>111</v>
      </c>
      <c r="P21544">
        <v>0</v>
      </c>
    </row>
    <row r="21545" spans="1:16" x14ac:dyDescent="0.25">
      <c r="A21545" t="s">
        <v>44348</v>
      </c>
      <c r="B21545" t="s">
        <v>12938</v>
      </c>
      <c r="C21545" t="s">
        <v>12939</v>
      </c>
      <c r="D21545" t="s">
        <v>22</v>
      </c>
      <c r="E21545" t="s">
        <v>23</v>
      </c>
      <c r="F21545" t="s">
        <v>2</v>
      </c>
      <c r="G21545" t="s">
        <v>47093</v>
      </c>
      <c r="H21545" t="s">
        <v>47054</v>
      </c>
      <c r="I21545" t="s">
        <v>47111</v>
      </c>
      <c r="J21545" t="s">
        <v>47112</v>
      </c>
      <c r="K21545" t="s">
        <v>47113</v>
      </c>
      <c r="L21545">
        <v>48.92</v>
      </c>
      <c r="M21545">
        <v>100</v>
      </c>
      <c r="N21545">
        <v>0</v>
      </c>
      <c r="O21545">
        <v>100</v>
      </c>
      <c r="P21545">
        <v>0</v>
      </c>
    </row>
    <row r="21546" spans="1:16" x14ac:dyDescent="0.25">
      <c r="A21546" t="s">
        <v>44349</v>
      </c>
      <c r="B21546" t="s">
        <v>12940</v>
      </c>
      <c r="C21546" t="s">
        <v>12939</v>
      </c>
      <c r="D21546" t="str">
        <f>"06"</f>
        <v>06</v>
      </c>
      <c r="E21546" t="s">
        <v>12871</v>
      </c>
      <c r="F21546" t="s">
        <v>2</v>
      </c>
      <c r="G21546" t="s">
        <v>47093</v>
      </c>
      <c r="I21546" t="s">
        <v>47111</v>
      </c>
      <c r="J21546" t="s">
        <v>47112</v>
      </c>
      <c r="K21546" t="s">
        <v>47113</v>
      </c>
      <c r="L21546">
        <v>51.69</v>
      </c>
      <c r="M21546">
        <v>100</v>
      </c>
      <c r="N21546">
        <v>0</v>
      </c>
      <c r="O21546">
        <v>100</v>
      </c>
      <c r="P21546">
        <v>0</v>
      </c>
    </row>
    <row r="21547" spans="1:16" x14ac:dyDescent="0.25">
      <c r="A21547" t="s">
        <v>44350</v>
      </c>
      <c r="B21547" t="s">
        <v>12940</v>
      </c>
      <c r="C21547" t="s">
        <v>12939</v>
      </c>
      <c r="D21547" t="str">
        <f>"11"</f>
        <v>11</v>
      </c>
      <c r="E21547" t="s">
        <v>288</v>
      </c>
      <c r="F21547" t="s">
        <v>2</v>
      </c>
      <c r="G21547" t="s">
        <v>47093</v>
      </c>
      <c r="I21547" t="s">
        <v>47111</v>
      </c>
      <c r="J21547" t="s">
        <v>47112</v>
      </c>
      <c r="K21547" t="s">
        <v>47113</v>
      </c>
      <c r="L21547">
        <v>48.39</v>
      </c>
      <c r="M21547">
        <v>100</v>
      </c>
      <c r="N21547">
        <v>0</v>
      </c>
      <c r="O21547">
        <v>100</v>
      </c>
      <c r="P21547">
        <v>0</v>
      </c>
    </row>
    <row r="21548" spans="1:16" x14ac:dyDescent="0.25">
      <c r="A21548" t="s">
        <v>44351</v>
      </c>
      <c r="B21548" t="s">
        <v>12940</v>
      </c>
      <c r="C21548" t="s">
        <v>12939</v>
      </c>
      <c r="D21548" t="s">
        <v>27</v>
      </c>
      <c r="E21548" t="s">
        <v>622</v>
      </c>
      <c r="F21548" t="s">
        <v>2</v>
      </c>
      <c r="G21548" t="s">
        <v>47093</v>
      </c>
      <c r="I21548" t="s">
        <v>47111</v>
      </c>
      <c r="J21548" t="s">
        <v>47112</v>
      </c>
      <c r="K21548" t="s">
        <v>47113</v>
      </c>
      <c r="L21548">
        <v>53.23</v>
      </c>
      <c r="M21548">
        <v>100</v>
      </c>
      <c r="N21548">
        <v>0</v>
      </c>
      <c r="O21548">
        <v>100</v>
      </c>
      <c r="P21548">
        <v>0</v>
      </c>
    </row>
    <row r="21549" spans="1:16" x14ac:dyDescent="0.25">
      <c r="A21549" t="s">
        <v>44352</v>
      </c>
      <c r="B21549" t="s">
        <v>12940</v>
      </c>
      <c r="C21549" t="s">
        <v>12939</v>
      </c>
      <c r="D21549" t="s">
        <v>22</v>
      </c>
      <c r="E21549" t="s">
        <v>23</v>
      </c>
      <c r="F21549" t="s">
        <v>2</v>
      </c>
      <c r="G21549" t="s">
        <v>47093</v>
      </c>
      <c r="I21549" t="s">
        <v>47111</v>
      </c>
      <c r="J21549" t="s">
        <v>47112</v>
      </c>
      <c r="K21549" t="s">
        <v>47113</v>
      </c>
      <c r="L21549">
        <v>48.92</v>
      </c>
      <c r="M21549">
        <v>100</v>
      </c>
      <c r="N21549">
        <v>0</v>
      </c>
      <c r="O21549">
        <v>100</v>
      </c>
      <c r="P21549">
        <v>0</v>
      </c>
    </row>
    <row r="21550" spans="1:16" x14ac:dyDescent="0.25">
      <c r="A21550" t="s">
        <v>44353</v>
      </c>
      <c r="B21550" t="s">
        <v>12941</v>
      </c>
      <c r="C21550" t="s">
        <v>12939</v>
      </c>
      <c r="D21550" t="str">
        <f>"06"</f>
        <v>06</v>
      </c>
      <c r="E21550" t="s">
        <v>12871</v>
      </c>
      <c r="F21550" t="s">
        <v>2</v>
      </c>
      <c r="G21550" t="s">
        <v>47093</v>
      </c>
      <c r="H21550" t="s">
        <v>47054</v>
      </c>
      <c r="I21550" t="s">
        <v>47111</v>
      </c>
      <c r="J21550" t="s">
        <v>47112</v>
      </c>
      <c r="K21550" t="s">
        <v>47113</v>
      </c>
      <c r="L21550">
        <v>51.69</v>
      </c>
      <c r="M21550">
        <v>100</v>
      </c>
      <c r="N21550">
        <v>0</v>
      </c>
      <c r="O21550">
        <v>100</v>
      </c>
      <c r="P21550">
        <v>0</v>
      </c>
    </row>
    <row r="21551" spans="1:16" x14ac:dyDescent="0.25">
      <c r="A21551" t="s">
        <v>44354</v>
      </c>
      <c r="B21551" t="s">
        <v>12941</v>
      </c>
      <c r="C21551" t="s">
        <v>12939</v>
      </c>
      <c r="D21551" t="str">
        <f>"11"</f>
        <v>11</v>
      </c>
      <c r="E21551" t="s">
        <v>288</v>
      </c>
      <c r="F21551" t="s">
        <v>2</v>
      </c>
      <c r="G21551" t="s">
        <v>47093</v>
      </c>
      <c r="H21551" t="s">
        <v>47054</v>
      </c>
      <c r="I21551" t="s">
        <v>47111</v>
      </c>
      <c r="J21551" t="s">
        <v>47112</v>
      </c>
      <c r="K21551" t="s">
        <v>47113</v>
      </c>
      <c r="L21551">
        <v>48.39</v>
      </c>
      <c r="M21551">
        <v>100</v>
      </c>
      <c r="N21551">
        <v>0</v>
      </c>
      <c r="O21551">
        <v>100</v>
      </c>
      <c r="P21551">
        <v>0</v>
      </c>
    </row>
    <row r="21552" spans="1:16" x14ac:dyDescent="0.25">
      <c r="A21552" t="s">
        <v>44355</v>
      </c>
      <c r="B21552" t="s">
        <v>12941</v>
      </c>
      <c r="C21552" t="s">
        <v>12939</v>
      </c>
      <c r="D21552" t="s">
        <v>27</v>
      </c>
      <c r="E21552" t="s">
        <v>622</v>
      </c>
      <c r="F21552" t="s">
        <v>2</v>
      </c>
      <c r="G21552" t="s">
        <v>47093</v>
      </c>
      <c r="H21552" t="s">
        <v>47054</v>
      </c>
      <c r="I21552" t="s">
        <v>47111</v>
      </c>
      <c r="J21552" t="s">
        <v>47112</v>
      </c>
      <c r="K21552" t="s">
        <v>47113</v>
      </c>
      <c r="L21552">
        <v>53.23</v>
      </c>
      <c r="M21552">
        <v>100</v>
      </c>
      <c r="N21552">
        <v>0</v>
      </c>
      <c r="O21552">
        <v>100</v>
      </c>
      <c r="P21552">
        <v>0</v>
      </c>
    </row>
    <row r="21553" spans="1:16" x14ac:dyDescent="0.25">
      <c r="A21553" t="s">
        <v>44356</v>
      </c>
      <c r="B21553" t="s">
        <v>12941</v>
      </c>
      <c r="C21553" t="s">
        <v>12939</v>
      </c>
      <c r="D21553" t="s">
        <v>22</v>
      </c>
      <c r="E21553" t="s">
        <v>23</v>
      </c>
      <c r="F21553" t="s">
        <v>2</v>
      </c>
      <c r="G21553" t="s">
        <v>47093</v>
      </c>
      <c r="H21553" t="s">
        <v>47054</v>
      </c>
      <c r="I21553" t="s">
        <v>47111</v>
      </c>
      <c r="J21553" t="s">
        <v>47112</v>
      </c>
      <c r="K21553" t="s">
        <v>47113</v>
      </c>
      <c r="L21553">
        <v>48.92</v>
      </c>
      <c r="M21553">
        <v>100</v>
      </c>
      <c r="N21553">
        <v>0</v>
      </c>
      <c r="O21553">
        <v>100</v>
      </c>
      <c r="P21553">
        <v>0</v>
      </c>
    </row>
    <row r="21554" spans="1:16" x14ac:dyDescent="0.25">
      <c r="A21554" t="s">
        <v>44357</v>
      </c>
      <c r="B21554" t="s">
        <v>12942</v>
      </c>
      <c r="C21554" t="s">
        <v>12939</v>
      </c>
      <c r="D21554" t="str">
        <f>"06"</f>
        <v>06</v>
      </c>
      <c r="E21554" t="s">
        <v>12871</v>
      </c>
      <c r="F21554" t="s">
        <v>2</v>
      </c>
      <c r="G21554" t="s">
        <v>47093</v>
      </c>
      <c r="H21554" t="s">
        <v>47054</v>
      </c>
      <c r="I21554" t="s">
        <v>47111</v>
      </c>
      <c r="J21554" t="s">
        <v>47112</v>
      </c>
      <c r="K21554" t="s">
        <v>47113</v>
      </c>
      <c r="L21554">
        <v>51.69</v>
      </c>
      <c r="M21554">
        <v>100</v>
      </c>
      <c r="N21554">
        <v>0</v>
      </c>
      <c r="O21554">
        <v>100</v>
      </c>
      <c r="P21554">
        <v>0</v>
      </c>
    </row>
    <row r="21555" spans="1:16" x14ac:dyDescent="0.25">
      <c r="A21555" t="s">
        <v>44358</v>
      </c>
      <c r="B21555" t="s">
        <v>12942</v>
      </c>
      <c r="C21555" t="s">
        <v>12939</v>
      </c>
      <c r="D21555" t="str">
        <f>"11"</f>
        <v>11</v>
      </c>
      <c r="E21555" t="s">
        <v>288</v>
      </c>
      <c r="F21555" t="s">
        <v>2</v>
      </c>
      <c r="G21555" t="s">
        <v>47093</v>
      </c>
      <c r="H21555" t="s">
        <v>47054</v>
      </c>
      <c r="I21555" t="s">
        <v>47111</v>
      </c>
      <c r="J21555" t="s">
        <v>47112</v>
      </c>
      <c r="K21555" t="s">
        <v>47113</v>
      </c>
      <c r="L21555">
        <v>48.39</v>
      </c>
      <c r="M21555">
        <v>100</v>
      </c>
      <c r="N21555">
        <v>0</v>
      </c>
      <c r="O21555">
        <v>100</v>
      </c>
      <c r="P21555">
        <v>0</v>
      </c>
    </row>
    <row r="21556" spans="1:16" x14ac:dyDescent="0.25">
      <c r="A21556" t="s">
        <v>44359</v>
      </c>
      <c r="B21556" t="s">
        <v>12942</v>
      </c>
      <c r="C21556" t="s">
        <v>12939</v>
      </c>
      <c r="D21556" t="s">
        <v>27</v>
      </c>
      <c r="E21556" t="s">
        <v>28</v>
      </c>
      <c r="F21556" t="s">
        <v>2</v>
      </c>
      <c r="G21556" t="s">
        <v>47093</v>
      </c>
      <c r="H21556" t="s">
        <v>47054</v>
      </c>
      <c r="I21556" t="s">
        <v>47111</v>
      </c>
      <c r="J21556" t="s">
        <v>47112</v>
      </c>
      <c r="K21556" t="s">
        <v>47113</v>
      </c>
      <c r="L21556">
        <v>52.3</v>
      </c>
      <c r="M21556">
        <v>100</v>
      </c>
      <c r="N21556">
        <v>0</v>
      </c>
      <c r="O21556">
        <v>100</v>
      </c>
      <c r="P21556">
        <v>0</v>
      </c>
    </row>
    <row r="21557" spans="1:16" x14ac:dyDescent="0.25">
      <c r="A21557" t="s">
        <v>44360</v>
      </c>
      <c r="B21557" t="s">
        <v>12942</v>
      </c>
      <c r="C21557" t="s">
        <v>12939</v>
      </c>
      <c r="D21557" t="s">
        <v>22</v>
      </c>
      <c r="E21557" t="s">
        <v>23</v>
      </c>
      <c r="F21557" t="s">
        <v>2</v>
      </c>
      <c r="G21557" t="s">
        <v>47093</v>
      </c>
      <c r="H21557" t="s">
        <v>47054</v>
      </c>
      <c r="I21557" t="s">
        <v>47111</v>
      </c>
      <c r="J21557" t="s">
        <v>47112</v>
      </c>
      <c r="K21557" t="s">
        <v>47113</v>
      </c>
      <c r="L21557">
        <v>48.83</v>
      </c>
      <c r="M21557">
        <v>100</v>
      </c>
      <c r="N21557">
        <v>0</v>
      </c>
      <c r="O21557">
        <v>100</v>
      </c>
      <c r="P21557">
        <v>0</v>
      </c>
    </row>
    <row r="21558" spans="1:16" x14ac:dyDescent="0.25">
      <c r="A21558" t="s">
        <v>44361</v>
      </c>
      <c r="B21558" t="s">
        <v>12943</v>
      </c>
      <c r="C21558" t="s">
        <v>12939</v>
      </c>
      <c r="D21558" t="str">
        <f>"06"</f>
        <v>06</v>
      </c>
      <c r="E21558" t="s">
        <v>12871</v>
      </c>
      <c r="F21558" t="s">
        <v>2</v>
      </c>
      <c r="G21558" t="s">
        <v>47093</v>
      </c>
      <c r="I21558" t="s">
        <v>47111</v>
      </c>
      <c r="J21558" t="s">
        <v>47112</v>
      </c>
      <c r="K21558" t="s">
        <v>47113</v>
      </c>
      <c r="L21558">
        <v>51.69</v>
      </c>
      <c r="M21558">
        <v>100</v>
      </c>
      <c r="N21558">
        <v>0</v>
      </c>
      <c r="O21558">
        <v>100</v>
      </c>
      <c r="P21558">
        <v>0</v>
      </c>
    </row>
    <row r="21559" spans="1:16" x14ac:dyDescent="0.25">
      <c r="A21559" t="s">
        <v>44362</v>
      </c>
      <c r="B21559" t="s">
        <v>12943</v>
      </c>
      <c r="C21559" t="s">
        <v>12939</v>
      </c>
      <c r="D21559" t="str">
        <f>"11"</f>
        <v>11</v>
      </c>
      <c r="E21559" t="s">
        <v>288</v>
      </c>
      <c r="F21559" t="s">
        <v>2</v>
      </c>
      <c r="G21559" t="s">
        <v>47093</v>
      </c>
      <c r="I21559" t="s">
        <v>47111</v>
      </c>
      <c r="J21559" t="s">
        <v>47112</v>
      </c>
      <c r="K21559" t="s">
        <v>47113</v>
      </c>
      <c r="L21559">
        <v>48.39</v>
      </c>
      <c r="M21559">
        <v>100</v>
      </c>
      <c r="N21559">
        <v>0</v>
      </c>
      <c r="O21559">
        <v>100</v>
      </c>
      <c r="P21559">
        <v>0</v>
      </c>
    </row>
    <row r="21560" spans="1:16" x14ac:dyDescent="0.25">
      <c r="A21560" t="s">
        <v>44363</v>
      </c>
      <c r="B21560" t="s">
        <v>12943</v>
      </c>
      <c r="C21560" t="s">
        <v>12939</v>
      </c>
      <c r="D21560" t="s">
        <v>27</v>
      </c>
      <c r="E21560" t="s">
        <v>622</v>
      </c>
      <c r="F21560" t="s">
        <v>2</v>
      </c>
      <c r="G21560" t="s">
        <v>47093</v>
      </c>
      <c r="I21560" t="s">
        <v>47111</v>
      </c>
      <c r="J21560" t="s">
        <v>47112</v>
      </c>
      <c r="K21560" t="s">
        <v>47113</v>
      </c>
      <c r="L21560">
        <v>53.23</v>
      </c>
      <c r="M21560">
        <v>100</v>
      </c>
      <c r="N21560">
        <v>0</v>
      </c>
      <c r="O21560">
        <v>100</v>
      </c>
      <c r="P21560">
        <v>0</v>
      </c>
    </row>
    <row r="21561" spans="1:16" x14ac:dyDescent="0.25">
      <c r="A21561" t="s">
        <v>44364</v>
      </c>
      <c r="B21561" t="s">
        <v>12943</v>
      </c>
      <c r="C21561" t="s">
        <v>12939</v>
      </c>
      <c r="D21561" t="s">
        <v>22</v>
      </c>
      <c r="E21561" t="s">
        <v>23</v>
      </c>
      <c r="F21561" t="s">
        <v>2</v>
      </c>
      <c r="G21561" t="s">
        <v>47093</v>
      </c>
      <c r="I21561" t="s">
        <v>47111</v>
      </c>
      <c r="J21561" t="s">
        <v>47112</v>
      </c>
      <c r="K21561" t="s">
        <v>47113</v>
      </c>
      <c r="L21561">
        <v>48.92</v>
      </c>
      <c r="M21561">
        <v>100</v>
      </c>
      <c r="N21561">
        <v>0</v>
      </c>
      <c r="O21561">
        <v>100</v>
      </c>
      <c r="P21561">
        <v>0</v>
      </c>
    </row>
    <row r="21562" spans="1:16" x14ac:dyDescent="0.25">
      <c r="A21562" t="s">
        <v>44365</v>
      </c>
      <c r="B21562" t="s">
        <v>12944</v>
      </c>
      <c r="C21562" t="s">
        <v>943</v>
      </c>
      <c r="D21562" t="str">
        <f>"06"</f>
        <v>06</v>
      </c>
      <c r="E21562" t="s">
        <v>12871</v>
      </c>
      <c r="F21562" t="s">
        <v>2</v>
      </c>
      <c r="G21562" t="s">
        <v>47093</v>
      </c>
      <c r="I21562" t="s">
        <v>47111</v>
      </c>
      <c r="J21562" t="s">
        <v>47112</v>
      </c>
      <c r="K21562" t="s">
        <v>47113</v>
      </c>
      <c r="L21562">
        <v>51.69</v>
      </c>
      <c r="M21562">
        <v>100</v>
      </c>
      <c r="N21562">
        <v>0</v>
      </c>
      <c r="O21562">
        <v>100</v>
      </c>
      <c r="P21562">
        <v>0</v>
      </c>
    </row>
    <row r="21563" spans="1:16" x14ac:dyDescent="0.25">
      <c r="A21563" t="s">
        <v>44366</v>
      </c>
      <c r="B21563" t="s">
        <v>12944</v>
      </c>
      <c r="C21563" t="s">
        <v>943</v>
      </c>
      <c r="D21563" t="str">
        <f>"11"</f>
        <v>11</v>
      </c>
      <c r="E21563" t="s">
        <v>288</v>
      </c>
      <c r="F21563" t="s">
        <v>2</v>
      </c>
      <c r="G21563" t="s">
        <v>47093</v>
      </c>
      <c r="I21563" t="s">
        <v>47111</v>
      </c>
      <c r="J21563" t="s">
        <v>47112</v>
      </c>
      <c r="K21563" t="s">
        <v>47113</v>
      </c>
      <c r="L21563">
        <v>48.39</v>
      </c>
      <c r="M21563">
        <v>100</v>
      </c>
      <c r="N21563">
        <v>0</v>
      </c>
      <c r="O21563">
        <v>100</v>
      </c>
      <c r="P21563">
        <v>0</v>
      </c>
    </row>
    <row r="21564" spans="1:16" x14ac:dyDescent="0.25">
      <c r="A21564" t="s">
        <v>44367</v>
      </c>
      <c r="B21564" t="s">
        <v>12944</v>
      </c>
      <c r="C21564" t="s">
        <v>943</v>
      </c>
      <c r="D21564" t="s">
        <v>27</v>
      </c>
      <c r="E21564" t="s">
        <v>622</v>
      </c>
      <c r="F21564" t="s">
        <v>2</v>
      </c>
      <c r="G21564" t="s">
        <v>47093</v>
      </c>
      <c r="I21564" t="s">
        <v>47111</v>
      </c>
      <c r="J21564" t="s">
        <v>47112</v>
      </c>
      <c r="K21564" t="s">
        <v>47113</v>
      </c>
      <c r="L21564">
        <v>53.23</v>
      </c>
      <c r="M21564">
        <v>100</v>
      </c>
      <c r="N21564">
        <v>0</v>
      </c>
      <c r="O21564">
        <v>100</v>
      </c>
      <c r="P21564">
        <v>0</v>
      </c>
    </row>
    <row r="21565" spans="1:16" x14ac:dyDescent="0.25">
      <c r="A21565" t="s">
        <v>44368</v>
      </c>
      <c r="B21565" t="s">
        <v>12944</v>
      </c>
      <c r="C21565" t="s">
        <v>943</v>
      </c>
      <c r="D21565" t="s">
        <v>22</v>
      </c>
      <c r="E21565" t="s">
        <v>23</v>
      </c>
      <c r="F21565" t="s">
        <v>2</v>
      </c>
      <c r="G21565" t="s">
        <v>47093</v>
      </c>
      <c r="I21565" t="s">
        <v>47111</v>
      </c>
      <c r="J21565" t="s">
        <v>47112</v>
      </c>
      <c r="K21565" t="s">
        <v>47113</v>
      </c>
      <c r="L21565">
        <v>48.92</v>
      </c>
      <c r="M21565">
        <v>100</v>
      </c>
      <c r="N21565">
        <v>0</v>
      </c>
      <c r="O21565">
        <v>100</v>
      </c>
      <c r="P21565">
        <v>0</v>
      </c>
    </row>
    <row r="21566" spans="1:16" x14ac:dyDescent="0.25">
      <c r="A21566" t="s">
        <v>44369</v>
      </c>
      <c r="B21566" t="s">
        <v>942</v>
      </c>
      <c r="C21566" t="s">
        <v>943</v>
      </c>
      <c r="D21566" t="str">
        <f>"06"</f>
        <v>06</v>
      </c>
      <c r="E21566" t="s">
        <v>12871</v>
      </c>
      <c r="F21566" t="s">
        <v>2</v>
      </c>
      <c r="G21566" t="s">
        <v>47093</v>
      </c>
      <c r="H21566" t="s">
        <v>47054</v>
      </c>
      <c r="I21566" t="s">
        <v>47111</v>
      </c>
      <c r="J21566" t="s">
        <v>47112</v>
      </c>
      <c r="K21566" t="s">
        <v>47113</v>
      </c>
      <c r="L21566">
        <v>51.69</v>
      </c>
      <c r="M21566">
        <v>100</v>
      </c>
      <c r="N21566">
        <v>0</v>
      </c>
      <c r="O21566">
        <v>100</v>
      </c>
      <c r="P21566">
        <v>0</v>
      </c>
    </row>
    <row r="21567" spans="1:16" x14ac:dyDescent="0.25">
      <c r="A21567" t="s">
        <v>44370</v>
      </c>
      <c r="B21567" t="s">
        <v>942</v>
      </c>
      <c r="C21567" t="s">
        <v>943</v>
      </c>
      <c r="D21567" t="str">
        <f>"11"</f>
        <v>11</v>
      </c>
      <c r="E21567" t="s">
        <v>288</v>
      </c>
      <c r="F21567" t="s">
        <v>2</v>
      </c>
      <c r="G21567" t="s">
        <v>47093</v>
      </c>
      <c r="H21567" t="s">
        <v>47054</v>
      </c>
      <c r="I21567" t="s">
        <v>47111</v>
      </c>
      <c r="J21567" t="s">
        <v>47112</v>
      </c>
      <c r="K21567" t="s">
        <v>47113</v>
      </c>
      <c r="L21567">
        <v>48.39</v>
      </c>
      <c r="M21567">
        <v>100</v>
      </c>
      <c r="N21567">
        <v>0</v>
      </c>
      <c r="O21567">
        <v>100</v>
      </c>
      <c r="P21567">
        <v>0</v>
      </c>
    </row>
    <row r="21568" spans="1:16" x14ac:dyDescent="0.25">
      <c r="A21568" t="s">
        <v>44371</v>
      </c>
      <c r="B21568" t="s">
        <v>942</v>
      </c>
      <c r="C21568" t="s">
        <v>943</v>
      </c>
      <c r="D21568" t="s">
        <v>27</v>
      </c>
      <c r="E21568" t="s">
        <v>622</v>
      </c>
      <c r="F21568" t="s">
        <v>2</v>
      </c>
      <c r="G21568" t="s">
        <v>47093</v>
      </c>
      <c r="H21568" t="s">
        <v>47054</v>
      </c>
      <c r="I21568" t="s">
        <v>47111</v>
      </c>
      <c r="J21568" t="s">
        <v>47112</v>
      </c>
      <c r="K21568" t="s">
        <v>47113</v>
      </c>
      <c r="L21568">
        <v>53.23</v>
      </c>
      <c r="M21568">
        <v>100</v>
      </c>
      <c r="N21568">
        <v>0</v>
      </c>
      <c r="O21568">
        <v>100</v>
      </c>
      <c r="P21568">
        <v>0</v>
      </c>
    </row>
    <row r="21569" spans="1:16" x14ac:dyDescent="0.25">
      <c r="A21569" t="s">
        <v>941</v>
      </c>
      <c r="B21569" t="s">
        <v>942</v>
      </c>
      <c r="C21569" t="s">
        <v>943</v>
      </c>
      <c r="D21569" t="s">
        <v>22</v>
      </c>
      <c r="E21569" t="s">
        <v>23</v>
      </c>
      <c r="F21569" t="s">
        <v>2</v>
      </c>
      <c r="G21569" t="s">
        <v>47093</v>
      </c>
      <c r="H21569" t="s">
        <v>47054</v>
      </c>
      <c r="I21569" t="s">
        <v>47111</v>
      </c>
      <c r="J21569" t="s">
        <v>47112</v>
      </c>
      <c r="K21569" t="s">
        <v>47113</v>
      </c>
      <c r="L21569">
        <v>47.92</v>
      </c>
      <c r="M21569">
        <v>100</v>
      </c>
      <c r="N21569">
        <v>0</v>
      </c>
      <c r="O21569">
        <v>100</v>
      </c>
      <c r="P21569">
        <v>0</v>
      </c>
    </row>
    <row r="21570" spans="1:16" x14ac:dyDescent="0.25">
      <c r="A21570" t="s">
        <v>44372</v>
      </c>
      <c r="B21570" t="s">
        <v>12945</v>
      </c>
      <c r="C21570" t="s">
        <v>943</v>
      </c>
      <c r="D21570" t="str">
        <f>"06"</f>
        <v>06</v>
      </c>
      <c r="E21570" t="s">
        <v>12871</v>
      </c>
      <c r="F21570" t="s">
        <v>2</v>
      </c>
      <c r="G21570" t="s">
        <v>47093</v>
      </c>
      <c r="I21570" t="s">
        <v>47111</v>
      </c>
      <c r="J21570" t="s">
        <v>47112</v>
      </c>
      <c r="K21570" t="s">
        <v>47113</v>
      </c>
      <c r="L21570">
        <v>51.69</v>
      </c>
      <c r="M21570">
        <v>100</v>
      </c>
      <c r="N21570">
        <v>0</v>
      </c>
      <c r="O21570">
        <v>100</v>
      </c>
      <c r="P21570">
        <v>0</v>
      </c>
    </row>
    <row r="21571" spans="1:16" x14ac:dyDescent="0.25">
      <c r="A21571" t="s">
        <v>44373</v>
      </c>
      <c r="B21571" t="s">
        <v>12945</v>
      </c>
      <c r="C21571" t="s">
        <v>943</v>
      </c>
      <c r="D21571" t="str">
        <f>"11"</f>
        <v>11</v>
      </c>
      <c r="E21571" t="s">
        <v>288</v>
      </c>
      <c r="F21571" t="s">
        <v>2</v>
      </c>
      <c r="G21571" t="s">
        <v>47093</v>
      </c>
      <c r="I21571" t="s">
        <v>47111</v>
      </c>
      <c r="J21571" t="s">
        <v>47112</v>
      </c>
      <c r="K21571" t="s">
        <v>47113</v>
      </c>
      <c r="L21571">
        <v>48.39</v>
      </c>
      <c r="M21571">
        <v>100</v>
      </c>
      <c r="N21571">
        <v>0</v>
      </c>
      <c r="O21571">
        <v>100</v>
      </c>
      <c r="P21571">
        <v>0</v>
      </c>
    </row>
    <row r="21572" spans="1:16" x14ac:dyDescent="0.25">
      <c r="A21572" t="s">
        <v>44374</v>
      </c>
      <c r="B21572" t="s">
        <v>12945</v>
      </c>
      <c r="C21572" t="s">
        <v>943</v>
      </c>
      <c r="D21572" t="s">
        <v>27</v>
      </c>
      <c r="E21572" t="s">
        <v>622</v>
      </c>
      <c r="F21572" t="s">
        <v>2</v>
      </c>
      <c r="G21572" t="s">
        <v>47093</v>
      </c>
      <c r="I21572" t="s">
        <v>47111</v>
      </c>
      <c r="J21572" t="s">
        <v>47112</v>
      </c>
      <c r="K21572" t="s">
        <v>47113</v>
      </c>
      <c r="L21572">
        <v>53.23</v>
      </c>
      <c r="M21572">
        <v>100</v>
      </c>
      <c r="N21572">
        <v>0</v>
      </c>
      <c r="O21572">
        <v>100</v>
      </c>
      <c r="P21572">
        <v>0</v>
      </c>
    </row>
    <row r="21573" spans="1:16" x14ac:dyDescent="0.25">
      <c r="A21573" t="s">
        <v>44375</v>
      </c>
      <c r="B21573" t="s">
        <v>12945</v>
      </c>
      <c r="C21573" t="s">
        <v>943</v>
      </c>
      <c r="D21573" t="s">
        <v>22</v>
      </c>
      <c r="E21573" t="s">
        <v>23</v>
      </c>
      <c r="F21573" t="s">
        <v>2</v>
      </c>
      <c r="G21573" t="s">
        <v>47093</v>
      </c>
      <c r="I21573" t="s">
        <v>47111</v>
      </c>
      <c r="J21573" t="s">
        <v>47112</v>
      </c>
      <c r="K21573" t="s">
        <v>47113</v>
      </c>
      <c r="L21573">
        <v>48.92</v>
      </c>
      <c r="M21573">
        <v>100</v>
      </c>
      <c r="N21573">
        <v>0</v>
      </c>
      <c r="O21573">
        <v>100</v>
      </c>
      <c r="P21573">
        <v>0</v>
      </c>
    </row>
    <row r="21574" spans="1:16" x14ac:dyDescent="0.25">
      <c r="A21574" t="s">
        <v>44376</v>
      </c>
      <c r="B21574" t="s">
        <v>12946</v>
      </c>
      <c r="C21574" t="s">
        <v>943</v>
      </c>
      <c r="D21574" t="str">
        <f>"06"</f>
        <v>06</v>
      </c>
      <c r="E21574" t="s">
        <v>12871</v>
      </c>
      <c r="F21574" t="s">
        <v>2</v>
      </c>
      <c r="G21574" t="s">
        <v>47093</v>
      </c>
      <c r="I21574" t="s">
        <v>47111</v>
      </c>
      <c r="J21574" t="s">
        <v>47112</v>
      </c>
      <c r="K21574" t="s">
        <v>47113</v>
      </c>
      <c r="L21574">
        <v>51.69</v>
      </c>
      <c r="M21574">
        <v>100</v>
      </c>
      <c r="N21574">
        <v>0</v>
      </c>
      <c r="O21574">
        <v>100</v>
      </c>
      <c r="P21574">
        <v>0</v>
      </c>
    </row>
    <row r="21575" spans="1:16" x14ac:dyDescent="0.25">
      <c r="A21575" t="s">
        <v>44377</v>
      </c>
      <c r="B21575" t="s">
        <v>12946</v>
      </c>
      <c r="C21575" t="s">
        <v>943</v>
      </c>
      <c r="D21575" t="str">
        <f>"11"</f>
        <v>11</v>
      </c>
      <c r="E21575" t="s">
        <v>288</v>
      </c>
      <c r="F21575" t="s">
        <v>2</v>
      </c>
      <c r="G21575" t="s">
        <v>47093</v>
      </c>
      <c r="I21575" t="s">
        <v>47111</v>
      </c>
      <c r="J21575" t="s">
        <v>47112</v>
      </c>
      <c r="K21575" t="s">
        <v>47113</v>
      </c>
      <c r="L21575">
        <v>48.39</v>
      </c>
      <c r="M21575">
        <v>100</v>
      </c>
      <c r="N21575">
        <v>0</v>
      </c>
      <c r="O21575">
        <v>100</v>
      </c>
      <c r="P21575">
        <v>0</v>
      </c>
    </row>
    <row r="21576" spans="1:16" x14ac:dyDescent="0.25">
      <c r="A21576" t="s">
        <v>44378</v>
      </c>
      <c r="B21576" t="s">
        <v>12946</v>
      </c>
      <c r="C21576" t="s">
        <v>943</v>
      </c>
      <c r="D21576" t="s">
        <v>27</v>
      </c>
      <c r="E21576" t="s">
        <v>622</v>
      </c>
      <c r="F21576" t="s">
        <v>2</v>
      </c>
      <c r="G21576" t="s">
        <v>47093</v>
      </c>
      <c r="I21576" t="s">
        <v>47111</v>
      </c>
      <c r="J21576" t="s">
        <v>47112</v>
      </c>
      <c r="K21576" t="s">
        <v>47113</v>
      </c>
      <c r="L21576">
        <v>53.23</v>
      </c>
      <c r="M21576">
        <v>100</v>
      </c>
      <c r="N21576">
        <v>0</v>
      </c>
      <c r="O21576">
        <v>100</v>
      </c>
      <c r="P21576">
        <v>0</v>
      </c>
    </row>
    <row r="21577" spans="1:16" x14ac:dyDescent="0.25">
      <c r="A21577" t="s">
        <v>44379</v>
      </c>
      <c r="B21577" t="s">
        <v>12946</v>
      </c>
      <c r="C21577" t="s">
        <v>943</v>
      </c>
      <c r="D21577" t="s">
        <v>22</v>
      </c>
      <c r="E21577" t="s">
        <v>23</v>
      </c>
      <c r="F21577" t="s">
        <v>2</v>
      </c>
      <c r="G21577" t="s">
        <v>47093</v>
      </c>
      <c r="I21577" t="s">
        <v>47111</v>
      </c>
      <c r="J21577" t="s">
        <v>47112</v>
      </c>
      <c r="K21577" t="s">
        <v>47113</v>
      </c>
      <c r="L21577">
        <v>48.92</v>
      </c>
      <c r="M21577">
        <v>100</v>
      </c>
      <c r="N21577">
        <v>0</v>
      </c>
      <c r="O21577">
        <v>100</v>
      </c>
      <c r="P21577">
        <v>0</v>
      </c>
    </row>
    <row r="21578" spans="1:16" x14ac:dyDescent="0.25">
      <c r="A21578" t="s">
        <v>44380</v>
      </c>
      <c r="B21578" t="s">
        <v>945</v>
      </c>
      <c r="C21578" t="s">
        <v>943</v>
      </c>
      <c r="D21578" t="str">
        <f>"06"</f>
        <v>06</v>
      </c>
      <c r="E21578" t="s">
        <v>12871</v>
      </c>
      <c r="F21578" t="s">
        <v>2</v>
      </c>
      <c r="G21578" t="s">
        <v>47093</v>
      </c>
      <c r="H21578" t="s">
        <v>47054</v>
      </c>
      <c r="I21578" t="s">
        <v>47111</v>
      </c>
      <c r="J21578" t="s">
        <v>47112</v>
      </c>
      <c r="K21578" t="s">
        <v>47113</v>
      </c>
      <c r="L21578">
        <v>52.41</v>
      </c>
      <c r="M21578">
        <v>100</v>
      </c>
      <c r="N21578">
        <v>0</v>
      </c>
      <c r="O21578">
        <v>100</v>
      </c>
      <c r="P21578">
        <v>0</v>
      </c>
    </row>
    <row r="21579" spans="1:16" x14ac:dyDescent="0.25">
      <c r="A21579" t="s">
        <v>44381</v>
      </c>
      <c r="B21579" t="s">
        <v>945</v>
      </c>
      <c r="C21579" t="s">
        <v>943</v>
      </c>
      <c r="D21579" t="str">
        <f>"11"</f>
        <v>11</v>
      </c>
      <c r="E21579" t="s">
        <v>288</v>
      </c>
      <c r="F21579" t="s">
        <v>2</v>
      </c>
      <c r="G21579" t="s">
        <v>47093</v>
      </c>
      <c r="H21579" t="s">
        <v>47054</v>
      </c>
      <c r="I21579" t="s">
        <v>47111</v>
      </c>
      <c r="J21579" t="s">
        <v>47112</v>
      </c>
      <c r="K21579" t="s">
        <v>47113</v>
      </c>
      <c r="L21579">
        <v>48.39</v>
      </c>
      <c r="M21579">
        <v>100</v>
      </c>
      <c r="N21579">
        <v>0</v>
      </c>
      <c r="O21579">
        <v>100</v>
      </c>
      <c r="P21579">
        <v>0</v>
      </c>
    </row>
    <row r="21580" spans="1:16" x14ac:dyDescent="0.25">
      <c r="A21580" t="s">
        <v>44382</v>
      </c>
      <c r="B21580" t="s">
        <v>945</v>
      </c>
      <c r="C21580" t="s">
        <v>943</v>
      </c>
      <c r="D21580" t="s">
        <v>27</v>
      </c>
      <c r="E21580" t="s">
        <v>622</v>
      </c>
      <c r="F21580" t="s">
        <v>2</v>
      </c>
      <c r="G21580" t="s">
        <v>47093</v>
      </c>
      <c r="H21580" t="s">
        <v>47054</v>
      </c>
      <c r="I21580" t="s">
        <v>47111</v>
      </c>
      <c r="J21580" t="s">
        <v>47112</v>
      </c>
      <c r="K21580" t="s">
        <v>47113</v>
      </c>
      <c r="L21580">
        <v>53.23</v>
      </c>
      <c r="M21580">
        <v>100</v>
      </c>
      <c r="N21580">
        <v>0</v>
      </c>
      <c r="O21580">
        <v>100</v>
      </c>
      <c r="P21580">
        <v>0</v>
      </c>
    </row>
    <row r="21581" spans="1:16" x14ac:dyDescent="0.25">
      <c r="A21581" t="s">
        <v>944</v>
      </c>
      <c r="B21581" t="s">
        <v>945</v>
      </c>
      <c r="C21581" t="s">
        <v>943</v>
      </c>
      <c r="D21581" t="s">
        <v>22</v>
      </c>
      <c r="E21581" t="s">
        <v>23</v>
      </c>
      <c r="F21581" t="s">
        <v>2</v>
      </c>
      <c r="G21581" t="s">
        <v>47093</v>
      </c>
      <c r="H21581" t="s">
        <v>47054</v>
      </c>
      <c r="I21581" t="s">
        <v>47111</v>
      </c>
      <c r="J21581" t="s">
        <v>47112</v>
      </c>
      <c r="K21581" t="s">
        <v>47113</v>
      </c>
      <c r="L21581">
        <v>47.92</v>
      </c>
      <c r="M21581">
        <v>100</v>
      </c>
      <c r="N21581">
        <v>0</v>
      </c>
      <c r="O21581">
        <v>100</v>
      </c>
      <c r="P21581">
        <v>0</v>
      </c>
    </row>
    <row r="21582" spans="1:16" x14ac:dyDescent="0.25">
      <c r="A21582" t="s">
        <v>44383</v>
      </c>
      <c r="B21582" t="s">
        <v>12947</v>
      </c>
      <c r="C21582" t="s">
        <v>943</v>
      </c>
      <c r="D21582" t="str">
        <f>"06"</f>
        <v>06</v>
      </c>
      <c r="E21582" t="s">
        <v>12871</v>
      </c>
      <c r="F21582" t="s">
        <v>2</v>
      </c>
      <c r="G21582" t="s">
        <v>47093</v>
      </c>
      <c r="I21582" t="s">
        <v>47111</v>
      </c>
      <c r="J21582" t="s">
        <v>47112</v>
      </c>
      <c r="K21582" t="s">
        <v>47113</v>
      </c>
      <c r="L21582">
        <v>51.69</v>
      </c>
      <c r="M21582">
        <v>100</v>
      </c>
      <c r="N21582">
        <v>0</v>
      </c>
      <c r="O21582">
        <v>100</v>
      </c>
      <c r="P21582">
        <v>0</v>
      </c>
    </row>
    <row r="21583" spans="1:16" x14ac:dyDescent="0.25">
      <c r="A21583" t="s">
        <v>44384</v>
      </c>
      <c r="B21583" t="s">
        <v>12947</v>
      </c>
      <c r="C21583" t="s">
        <v>943</v>
      </c>
      <c r="D21583" t="str">
        <f>"11"</f>
        <v>11</v>
      </c>
      <c r="E21583" t="s">
        <v>288</v>
      </c>
      <c r="F21583" t="s">
        <v>2</v>
      </c>
      <c r="G21583" t="s">
        <v>47093</v>
      </c>
      <c r="I21583" t="s">
        <v>47111</v>
      </c>
      <c r="J21583" t="s">
        <v>47112</v>
      </c>
      <c r="K21583" t="s">
        <v>47113</v>
      </c>
      <c r="L21583">
        <v>48.39</v>
      </c>
      <c r="M21583">
        <v>100</v>
      </c>
      <c r="N21583">
        <v>0</v>
      </c>
      <c r="O21583">
        <v>100</v>
      </c>
      <c r="P21583">
        <v>0</v>
      </c>
    </row>
    <row r="21584" spans="1:16" x14ac:dyDescent="0.25">
      <c r="A21584" t="s">
        <v>44385</v>
      </c>
      <c r="B21584" t="s">
        <v>12947</v>
      </c>
      <c r="C21584" t="s">
        <v>943</v>
      </c>
      <c r="D21584" t="s">
        <v>27</v>
      </c>
      <c r="E21584" t="s">
        <v>622</v>
      </c>
      <c r="F21584" t="s">
        <v>2</v>
      </c>
      <c r="G21584" t="s">
        <v>47093</v>
      </c>
      <c r="I21584" t="s">
        <v>47111</v>
      </c>
      <c r="J21584" t="s">
        <v>47112</v>
      </c>
      <c r="K21584" t="s">
        <v>47113</v>
      </c>
      <c r="L21584">
        <v>53.23</v>
      </c>
      <c r="M21584">
        <v>100</v>
      </c>
      <c r="N21584">
        <v>0</v>
      </c>
      <c r="O21584">
        <v>100</v>
      </c>
      <c r="P21584">
        <v>0</v>
      </c>
    </row>
    <row r="21585" spans="1:16" x14ac:dyDescent="0.25">
      <c r="A21585" t="s">
        <v>44386</v>
      </c>
      <c r="B21585" t="s">
        <v>12947</v>
      </c>
      <c r="C21585" t="s">
        <v>943</v>
      </c>
      <c r="D21585" t="s">
        <v>22</v>
      </c>
      <c r="E21585" t="s">
        <v>23</v>
      </c>
      <c r="F21585" t="s">
        <v>2</v>
      </c>
      <c r="G21585" t="s">
        <v>47093</v>
      </c>
      <c r="I21585" t="s">
        <v>47111</v>
      </c>
      <c r="J21585" t="s">
        <v>47112</v>
      </c>
      <c r="K21585" t="s">
        <v>47113</v>
      </c>
      <c r="L21585">
        <v>48.92</v>
      </c>
      <c r="M21585">
        <v>100</v>
      </c>
      <c r="N21585">
        <v>0</v>
      </c>
      <c r="O21585">
        <v>100</v>
      </c>
      <c r="P21585">
        <v>0</v>
      </c>
    </row>
    <row r="21586" spans="1:16" x14ac:dyDescent="0.25">
      <c r="A21586" t="s">
        <v>44387</v>
      </c>
      <c r="B21586" t="s">
        <v>947</v>
      </c>
      <c r="C21586" t="s">
        <v>943</v>
      </c>
      <c r="D21586" t="str">
        <f>"06"</f>
        <v>06</v>
      </c>
      <c r="E21586" t="s">
        <v>12871</v>
      </c>
      <c r="F21586" t="s">
        <v>2</v>
      </c>
      <c r="G21586" t="s">
        <v>47093</v>
      </c>
      <c r="H21586" t="s">
        <v>47054</v>
      </c>
      <c r="I21586" t="s">
        <v>47111</v>
      </c>
      <c r="J21586" t="s">
        <v>47112</v>
      </c>
      <c r="K21586" t="s">
        <v>47113</v>
      </c>
      <c r="L21586">
        <v>51.69</v>
      </c>
      <c r="M21586">
        <v>100</v>
      </c>
      <c r="N21586">
        <v>0</v>
      </c>
      <c r="O21586">
        <v>100</v>
      </c>
      <c r="P21586">
        <v>0</v>
      </c>
    </row>
    <row r="21587" spans="1:16" x14ac:dyDescent="0.25">
      <c r="A21587" t="s">
        <v>44388</v>
      </c>
      <c r="B21587" t="s">
        <v>947</v>
      </c>
      <c r="C21587" t="s">
        <v>943</v>
      </c>
      <c r="D21587" t="str">
        <f>"11"</f>
        <v>11</v>
      </c>
      <c r="E21587" t="s">
        <v>288</v>
      </c>
      <c r="F21587" t="s">
        <v>2</v>
      </c>
      <c r="G21587" t="s">
        <v>47093</v>
      </c>
      <c r="H21587" t="s">
        <v>47054</v>
      </c>
      <c r="I21587" t="s">
        <v>47111</v>
      </c>
      <c r="J21587" t="s">
        <v>47112</v>
      </c>
      <c r="K21587" t="s">
        <v>47113</v>
      </c>
      <c r="L21587">
        <v>48.39</v>
      </c>
      <c r="M21587">
        <v>100</v>
      </c>
      <c r="N21587">
        <v>0</v>
      </c>
      <c r="O21587">
        <v>100</v>
      </c>
      <c r="P21587">
        <v>0</v>
      </c>
    </row>
    <row r="21588" spans="1:16" x14ac:dyDescent="0.25">
      <c r="A21588" t="s">
        <v>44389</v>
      </c>
      <c r="B21588" t="s">
        <v>947</v>
      </c>
      <c r="C21588" t="s">
        <v>943</v>
      </c>
      <c r="D21588" t="s">
        <v>27</v>
      </c>
      <c r="E21588" t="s">
        <v>622</v>
      </c>
      <c r="F21588" t="s">
        <v>2</v>
      </c>
      <c r="G21588" t="s">
        <v>47093</v>
      </c>
      <c r="H21588" t="s">
        <v>47054</v>
      </c>
      <c r="I21588" t="s">
        <v>47111</v>
      </c>
      <c r="J21588" t="s">
        <v>47112</v>
      </c>
      <c r="K21588" t="s">
        <v>47113</v>
      </c>
      <c r="L21588">
        <v>53.23</v>
      </c>
      <c r="M21588">
        <v>100</v>
      </c>
      <c r="N21588">
        <v>0</v>
      </c>
      <c r="O21588">
        <v>100</v>
      </c>
      <c r="P21588">
        <v>0</v>
      </c>
    </row>
    <row r="21589" spans="1:16" x14ac:dyDescent="0.25">
      <c r="A21589" t="s">
        <v>946</v>
      </c>
      <c r="B21589" t="s">
        <v>947</v>
      </c>
      <c r="C21589" t="s">
        <v>943</v>
      </c>
      <c r="D21589" t="s">
        <v>22</v>
      </c>
      <c r="E21589" t="s">
        <v>23</v>
      </c>
      <c r="F21589" t="s">
        <v>2</v>
      </c>
      <c r="G21589" t="s">
        <v>47093</v>
      </c>
      <c r="H21589" t="s">
        <v>47054</v>
      </c>
      <c r="I21589" t="s">
        <v>47111</v>
      </c>
      <c r="J21589" t="s">
        <v>47112</v>
      </c>
      <c r="K21589" t="s">
        <v>47113</v>
      </c>
      <c r="L21589">
        <v>48.1</v>
      </c>
      <c r="M21589">
        <v>100</v>
      </c>
      <c r="N21589">
        <v>0</v>
      </c>
      <c r="O21589">
        <v>100</v>
      </c>
      <c r="P21589">
        <v>0</v>
      </c>
    </row>
    <row r="21590" spans="1:16" x14ac:dyDescent="0.25">
      <c r="A21590" t="s">
        <v>44390</v>
      </c>
      <c r="B21590" t="s">
        <v>12948</v>
      </c>
      <c r="C21590" t="s">
        <v>943</v>
      </c>
      <c r="D21590" t="str">
        <f>"06"</f>
        <v>06</v>
      </c>
      <c r="E21590" t="s">
        <v>12871</v>
      </c>
      <c r="F21590" t="s">
        <v>2</v>
      </c>
      <c r="G21590" t="s">
        <v>47093</v>
      </c>
      <c r="I21590" t="s">
        <v>47111</v>
      </c>
      <c r="J21590" t="s">
        <v>47112</v>
      </c>
      <c r="K21590" t="s">
        <v>47113</v>
      </c>
      <c r="L21590">
        <v>51.69</v>
      </c>
      <c r="M21590">
        <v>100</v>
      </c>
      <c r="N21590">
        <v>0</v>
      </c>
      <c r="O21590">
        <v>100</v>
      </c>
      <c r="P21590">
        <v>0</v>
      </c>
    </row>
    <row r="21591" spans="1:16" x14ac:dyDescent="0.25">
      <c r="A21591" t="s">
        <v>44391</v>
      </c>
      <c r="B21591" t="s">
        <v>12948</v>
      </c>
      <c r="C21591" t="s">
        <v>943</v>
      </c>
      <c r="D21591" t="str">
        <f>"11"</f>
        <v>11</v>
      </c>
      <c r="E21591" t="s">
        <v>288</v>
      </c>
      <c r="F21591" t="s">
        <v>2</v>
      </c>
      <c r="G21591" t="s">
        <v>47093</v>
      </c>
      <c r="I21591" t="s">
        <v>47111</v>
      </c>
      <c r="J21591" t="s">
        <v>47112</v>
      </c>
      <c r="K21591" t="s">
        <v>47113</v>
      </c>
      <c r="L21591">
        <v>48.39</v>
      </c>
      <c r="M21591">
        <v>100</v>
      </c>
      <c r="N21591">
        <v>0</v>
      </c>
      <c r="O21591">
        <v>100</v>
      </c>
      <c r="P21591">
        <v>0</v>
      </c>
    </row>
    <row r="21592" spans="1:16" x14ac:dyDescent="0.25">
      <c r="A21592" t="s">
        <v>44392</v>
      </c>
      <c r="B21592" t="s">
        <v>12948</v>
      </c>
      <c r="C21592" t="s">
        <v>943</v>
      </c>
      <c r="D21592" t="s">
        <v>27</v>
      </c>
      <c r="E21592" t="s">
        <v>622</v>
      </c>
      <c r="F21592" t="s">
        <v>2</v>
      </c>
      <c r="G21592" t="s">
        <v>47093</v>
      </c>
      <c r="I21592" t="s">
        <v>47111</v>
      </c>
      <c r="J21592" t="s">
        <v>47112</v>
      </c>
      <c r="K21592" t="s">
        <v>47113</v>
      </c>
      <c r="L21592">
        <v>53.23</v>
      </c>
      <c r="M21592">
        <v>100</v>
      </c>
      <c r="N21592">
        <v>0</v>
      </c>
      <c r="O21592">
        <v>100</v>
      </c>
      <c r="P21592">
        <v>0</v>
      </c>
    </row>
    <row r="21593" spans="1:16" x14ac:dyDescent="0.25">
      <c r="A21593" t="s">
        <v>44393</v>
      </c>
      <c r="B21593" t="s">
        <v>12948</v>
      </c>
      <c r="C21593" t="s">
        <v>943</v>
      </c>
      <c r="D21593" t="s">
        <v>22</v>
      </c>
      <c r="E21593" t="s">
        <v>23</v>
      </c>
      <c r="F21593" t="s">
        <v>2</v>
      </c>
      <c r="G21593" t="s">
        <v>47093</v>
      </c>
      <c r="I21593" t="s">
        <v>47111</v>
      </c>
      <c r="J21593" t="s">
        <v>47112</v>
      </c>
      <c r="K21593" t="s">
        <v>47113</v>
      </c>
      <c r="L21593">
        <v>48.92</v>
      </c>
      <c r="M21593">
        <v>100</v>
      </c>
      <c r="N21593">
        <v>0</v>
      </c>
      <c r="O21593">
        <v>100</v>
      </c>
      <c r="P21593">
        <v>0</v>
      </c>
    </row>
    <row r="21594" spans="1:16" x14ac:dyDescent="0.25">
      <c r="A21594" t="s">
        <v>44394</v>
      </c>
      <c r="B21594" t="s">
        <v>12949</v>
      </c>
      <c r="C21594" t="s">
        <v>12950</v>
      </c>
      <c r="D21594" t="str">
        <f>"06"</f>
        <v>06</v>
      </c>
      <c r="E21594" t="s">
        <v>12871</v>
      </c>
      <c r="F21594" t="s">
        <v>2</v>
      </c>
      <c r="G21594" t="s">
        <v>47093</v>
      </c>
      <c r="I21594" t="s">
        <v>47111</v>
      </c>
      <c r="J21594" t="s">
        <v>47112</v>
      </c>
      <c r="K21594" t="s">
        <v>47113</v>
      </c>
      <c r="L21594">
        <v>51.69</v>
      </c>
      <c r="M21594">
        <v>100</v>
      </c>
      <c r="N21594">
        <v>0</v>
      </c>
      <c r="O21594">
        <v>100</v>
      </c>
      <c r="P21594">
        <v>0</v>
      </c>
    </row>
    <row r="21595" spans="1:16" x14ac:dyDescent="0.25">
      <c r="A21595" t="s">
        <v>44395</v>
      </c>
      <c r="B21595" t="s">
        <v>12949</v>
      </c>
      <c r="C21595" t="s">
        <v>12950</v>
      </c>
      <c r="D21595" t="str">
        <f>"11"</f>
        <v>11</v>
      </c>
      <c r="E21595" t="s">
        <v>288</v>
      </c>
      <c r="F21595" t="s">
        <v>2</v>
      </c>
      <c r="G21595" t="s">
        <v>47093</v>
      </c>
      <c r="I21595" t="s">
        <v>47111</v>
      </c>
      <c r="J21595" t="s">
        <v>47112</v>
      </c>
      <c r="K21595" t="s">
        <v>47113</v>
      </c>
      <c r="L21595">
        <v>48.39</v>
      </c>
      <c r="M21595">
        <v>100</v>
      </c>
      <c r="N21595">
        <v>0</v>
      </c>
      <c r="O21595">
        <v>100</v>
      </c>
      <c r="P21595">
        <v>0</v>
      </c>
    </row>
    <row r="21596" spans="1:16" x14ac:dyDescent="0.25">
      <c r="A21596" t="s">
        <v>44396</v>
      </c>
      <c r="B21596" t="s">
        <v>12949</v>
      </c>
      <c r="C21596" t="s">
        <v>12950</v>
      </c>
      <c r="D21596" t="s">
        <v>27</v>
      </c>
      <c r="E21596" t="s">
        <v>622</v>
      </c>
      <c r="F21596" t="s">
        <v>2</v>
      </c>
      <c r="G21596" t="s">
        <v>47093</v>
      </c>
      <c r="I21596" t="s">
        <v>47111</v>
      </c>
      <c r="J21596" t="s">
        <v>47112</v>
      </c>
      <c r="K21596" t="s">
        <v>47113</v>
      </c>
      <c r="L21596">
        <v>53.23</v>
      </c>
      <c r="M21596">
        <v>100</v>
      </c>
      <c r="N21596">
        <v>0</v>
      </c>
      <c r="O21596">
        <v>100</v>
      </c>
      <c r="P21596">
        <v>0</v>
      </c>
    </row>
    <row r="21597" spans="1:16" x14ac:dyDescent="0.25">
      <c r="A21597" t="s">
        <v>44397</v>
      </c>
      <c r="B21597" t="s">
        <v>12949</v>
      </c>
      <c r="C21597" t="s">
        <v>12950</v>
      </c>
      <c r="D21597" t="s">
        <v>22</v>
      </c>
      <c r="E21597" t="s">
        <v>23</v>
      </c>
      <c r="F21597" t="s">
        <v>2</v>
      </c>
      <c r="G21597" t="s">
        <v>47093</v>
      </c>
      <c r="I21597" t="s">
        <v>47111</v>
      </c>
      <c r="J21597" t="s">
        <v>47112</v>
      </c>
      <c r="K21597" t="s">
        <v>47113</v>
      </c>
      <c r="L21597">
        <v>48.92</v>
      </c>
      <c r="M21597">
        <v>100</v>
      </c>
      <c r="N21597">
        <v>0</v>
      </c>
      <c r="O21597">
        <v>100</v>
      </c>
      <c r="P21597">
        <v>0</v>
      </c>
    </row>
    <row r="21598" spans="1:16" x14ac:dyDescent="0.25">
      <c r="A21598" t="s">
        <v>44398</v>
      </c>
      <c r="B21598" t="s">
        <v>12951</v>
      </c>
      <c r="C21598" t="s">
        <v>12950</v>
      </c>
      <c r="D21598" t="str">
        <f>"06"</f>
        <v>06</v>
      </c>
      <c r="E21598" t="s">
        <v>12871</v>
      </c>
      <c r="F21598" t="s">
        <v>2</v>
      </c>
      <c r="G21598" t="s">
        <v>47093</v>
      </c>
      <c r="I21598" t="s">
        <v>47111</v>
      </c>
      <c r="J21598" t="s">
        <v>47112</v>
      </c>
      <c r="K21598" t="s">
        <v>47113</v>
      </c>
      <c r="L21598">
        <v>51.69</v>
      </c>
      <c r="M21598">
        <v>100</v>
      </c>
      <c r="N21598">
        <v>0</v>
      </c>
      <c r="O21598">
        <v>100</v>
      </c>
      <c r="P21598">
        <v>0</v>
      </c>
    </row>
    <row r="21599" spans="1:16" x14ac:dyDescent="0.25">
      <c r="A21599" t="s">
        <v>44399</v>
      </c>
      <c r="B21599" t="s">
        <v>12951</v>
      </c>
      <c r="C21599" t="s">
        <v>12950</v>
      </c>
      <c r="D21599" t="str">
        <f>"11"</f>
        <v>11</v>
      </c>
      <c r="E21599" t="s">
        <v>288</v>
      </c>
      <c r="F21599" t="s">
        <v>2</v>
      </c>
      <c r="G21599" t="s">
        <v>47093</v>
      </c>
      <c r="I21599" t="s">
        <v>47111</v>
      </c>
      <c r="J21599" t="s">
        <v>47112</v>
      </c>
      <c r="K21599" t="s">
        <v>47113</v>
      </c>
      <c r="L21599">
        <v>48.39</v>
      </c>
      <c r="M21599">
        <v>100</v>
      </c>
      <c r="N21599">
        <v>0</v>
      </c>
      <c r="O21599">
        <v>100</v>
      </c>
      <c r="P21599">
        <v>0</v>
      </c>
    </row>
    <row r="21600" spans="1:16" x14ac:dyDescent="0.25">
      <c r="A21600" t="s">
        <v>44400</v>
      </c>
      <c r="B21600" t="s">
        <v>12951</v>
      </c>
      <c r="C21600" t="s">
        <v>12950</v>
      </c>
      <c r="D21600" t="s">
        <v>27</v>
      </c>
      <c r="E21600" t="s">
        <v>622</v>
      </c>
      <c r="F21600" t="s">
        <v>2</v>
      </c>
      <c r="G21600" t="s">
        <v>47093</v>
      </c>
      <c r="I21600" t="s">
        <v>47111</v>
      </c>
      <c r="J21600" t="s">
        <v>47112</v>
      </c>
      <c r="K21600" t="s">
        <v>47113</v>
      </c>
      <c r="L21600">
        <v>53.23</v>
      </c>
      <c r="M21600">
        <v>100</v>
      </c>
      <c r="N21600">
        <v>0</v>
      </c>
      <c r="O21600">
        <v>100</v>
      </c>
      <c r="P21600">
        <v>0</v>
      </c>
    </row>
    <row r="21601" spans="1:16" x14ac:dyDescent="0.25">
      <c r="A21601" t="s">
        <v>44401</v>
      </c>
      <c r="B21601" t="s">
        <v>12951</v>
      </c>
      <c r="C21601" t="s">
        <v>12950</v>
      </c>
      <c r="D21601" t="s">
        <v>22</v>
      </c>
      <c r="E21601" t="s">
        <v>23</v>
      </c>
      <c r="F21601" t="s">
        <v>2</v>
      </c>
      <c r="G21601" t="s">
        <v>47093</v>
      </c>
      <c r="I21601" t="s">
        <v>47111</v>
      </c>
      <c r="J21601" t="s">
        <v>47112</v>
      </c>
      <c r="K21601" t="s">
        <v>47113</v>
      </c>
      <c r="L21601">
        <v>48.92</v>
      </c>
      <c r="M21601">
        <v>100</v>
      </c>
      <c r="N21601">
        <v>0</v>
      </c>
      <c r="O21601">
        <v>100</v>
      </c>
      <c r="P21601">
        <v>0</v>
      </c>
    </row>
    <row r="21602" spans="1:16" x14ac:dyDescent="0.25">
      <c r="A21602" t="s">
        <v>44402</v>
      </c>
      <c r="B21602" t="s">
        <v>12952</v>
      </c>
      <c r="C21602" t="s">
        <v>12950</v>
      </c>
      <c r="D21602" t="str">
        <f>"06"</f>
        <v>06</v>
      </c>
      <c r="E21602" t="s">
        <v>12871</v>
      </c>
      <c r="F21602" t="s">
        <v>2</v>
      </c>
      <c r="G21602" t="s">
        <v>47093</v>
      </c>
      <c r="I21602" t="s">
        <v>47111</v>
      </c>
      <c r="J21602" t="s">
        <v>47112</v>
      </c>
      <c r="K21602" t="s">
        <v>47113</v>
      </c>
      <c r="L21602">
        <v>51.69</v>
      </c>
      <c r="M21602">
        <v>100</v>
      </c>
      <c r="N21602">
        <v>0</v>
      </c>
      <c r="O21602">
        <v>100</v>
      </c>
      <c r="P21602">
        <v>0</v>
      </c>
    </row>
    <row r="21603" spans="1:16" x14ac:dyDescent="0.25">
      <c r="A21603" t="s">
        <v>44403</v>
      </c>
      <c r="B21603" t="s">
        <v>12952</v>
      </c>
      <c r="C21603" t="s">
        <v>12950</v>
      </c>
      <c r="D21603" t="str">
        <f>"11"</f>
        <v>11</v>
      </c>
      <c r="E21603" t="s">
        <v>288</v>
      </c>
      <c r="F21603" t="s">
        <v>2</v>
      </c>
      <c r="G21603" t="s">
        <v>47093</v>
      </c>
      <c r="I21603" t="s">
        <v>47111</v>
      </c>
      <c r="J21603" t="s">
        <v>47112</v>
      </c>
      <c r="K21603" t="s">
        <v>47113</v>
      </c>
      <c r="L21603">
        <v>48.39</v>
      </c>
      <c r="M21603">
        <v>100</v>
      </c>
      <c r="N21603">
        <v>0</v>
      </c>
      <c r="O21603">
        <v>100</v>
      </c>
      <c r="P21603">
        <v>0</v>
      </c>
    </row>
    <row r="21604" spans="1:16" x14ac:dyDescent="0.25">
      <c r="A21604" t="s">
        <v>44404</v>
      </c>
      <c r="B21604" t="s">
        <v>12952</v>
      </c>
      <c r="C21604" t="s">
        <v>12950</v>
      </c>
      <c r="D21604" t="s">
        <v>27</v>
      </c>
      <c r="E21604" t="s">
        <v>622</v>
      </c>
      <c r="F21604" t="s">
        <v>2</v>
      </c>
      <c r="G21604" t="s">
        <v>47093</v>
      </c>
      <c r="I21604" t="s">
        <v>47111</v>
      </c>
      <c r="J21604" t="s">
        <v>47112</v>
      </c>
      <c r="K21604" t="s">
        <v>47113</v>
      </c>
      <c r="L21604">
        <v>53.23</v>
      </c>
      <c r="M21604">
        <v>100</v>
      </c>
      <c r="N21604">
        <v>0</v>
      </c>
      <c r="O21604">
        <v>100</v>
      </c>
      <c r="P21604">
        <v>0</v>
      </c>
    </row>
    <row r="21605" spans="1:16" x14ac:dyDescent="0.25">
      <c r="A21605" t="s">
        <v>44405</v>
      </c>
      <c r="B21605" t="s">
        <v>12952</v>
      </c>
      <c r="C21605" t="s">
        <v>12950</v>
      </c>
      <c r="D21605" t="s">
        <v>22</v>
      </c>
      <c r="E21605" t="s">
        <v>23</v>
      </c>
      <c r="F21605" t="s">
        <v>2</v>
      </c>
      <c r="G21605" t="s">
        <v>47093</v>
      </c>
      <c r="I21605" t="s">
        <v>47111</v>
      </c>
      <c r="J21605" t="s">
        <v>47112</v>
      </c>
      <c r="K21605" t="s">
        <v>47113</v>
      </c>
      <c r="L21605">
        <v>48.92</v>
      </c>
      <c r="M21605">
        <v>100</v>
      </c>
      <c r="N21605">
        <v>0</v>
      </c>
      <c r="O21605">
        <v>100</v>
      </c>
      <c r="P21605">
        <v>0</v>
      </c>
    </row>
    <row r="21606" spans="1:16" x14ac:dyDescent="0.25">
      <c r="A21606" t="s">
        <v>44406</v>
      </c>
      <c r="B21606" t="s">
        <v>12953</v>
      </c>
      <c r="C21606" t="s">
        <v>12950</v>
      </c>
      <c r="D21606" t="str">
        <f>"06"</f>
        <v>06</v>
      </c>
      <c r="E21606" t="s">
        <v>12871</v>
      </c>
      <c r="F21606" t="s">
        <v>2</v>
      </c>
      <c r="G21606" t="s">
        <v>47093</v>
      </c>
      <c r="I21606" t="s">
        <v>47111</v>
      </c>
      <c r="J21606" t="s">
        <v>47112</v>
      </c>
      <c r="K21606" t="s">
        <v>47113</v>
      </c>
      <c r="L21606">
        <v>51.69</v>
      </c>
      <c r="M21606">
        <v>100</v>
      </c>
      <c r="N21606">
        <v>0</v>
      </c>
      <c r="O21606">
        <v>100</v>
      </c>
      <c r="P21606">
        <v>0</v>
      </c>
    </row>
    <row r="21607" spans="1:16" x14ac:dyDescent="0.25">
      <c r="A21607" t="s">
        <v>44407</v>
      </c>
      <c r="B21607" t="s">
        <v>12953</v>
      </c>
      <c r="C21607" t="s">
        <v>12950</v>
      </c>
      <c r="D21607" t="str">
        <f>"11"</f>
        <v>11</v>
      </c>
      <c r="E21607" t="s">
        <v>288</v>
      </c>
      <c r="F21607" t="s">
        <v>2</v>
      </c>
      <c r="G21607" t="s">
        <v>47093</v>
      </c>
      <c r="I21607" t="s">
        <v>47111</v>
      </c>
      <c r="J21607" t="s">
        <v>47112</v>
      </c>
      <c r="K21607" t="s">
        <v>47113</v>
      </c>
      <c r="L21607">
        <v>48.39</v>
      </c>
      <c r="M21607">
        <v>100</v>
      </c>
      <c r="N21607">
        <v>0</v>
      </c>
      <c r="O21607">
        <v>100</v>
      </c>
      <c r="P21607">
        <v>0</v>
      </c>
    </row>
    <row r="21608" spans="1:16" x14ac:dyDescent="0.25">
      <c r="A21608" t="s">
        <v>44408</v>
      </c>
      <c r="B21608" t="s">
        <v>12953</v>
      </c>
      <c r="C21608" t="s">
        <v>12950</v>
      </c>
      <c r="D21608" t="s">
        <v>27</v>
      </c>
      <c r="E21608" t="s">
        <v>622</v>
      </c>
      <c r="F21608" t="s">
        <v>2</v>
      </c>
      <c r="G21608" t="s">
        <v>47093</v>
      </c>
      <c r="I21608" t="s">
        <v>47111</v>
      </c>
      <c r="J21608" t="s">
        <v>47112</v>
      </c>
      <c r="K21608" t="s">
        <v>47113</v>
      </c>
      <c r="L21608">
        <v>53.23</v>
      </c>
      <c r="M21608">
        <v>100</v>
      </c>
      <c r="N21608">
        <v>0</v>
      </c>
      <c r="O21608">
        <v>100</v>
      </c>
      <c r="P21608">
        <v>0</v>
      </c>
    </row>
    <row r="21609" spans="1:16" x14ac:dyDescent="0.25">
      <c r="A21609" t="s">
        <v>44409</v>
      </c>
      <c r="B21609" t="s">
        <v>12953</v>
      </c>
      <c r="C21609" t="s">
        <v>12950</v>
      </c>
      <c r="D21609" t="s">
        <v>22</v>
      </c>
      <c r="E21609" t="s">
        <v>23</v>
      </c>
      <c r="F21609" t="s">
        <v>2</v>
      </c>
      <c r="G21609" t="s">
        <v>47093</v>
      </c>
      <c r="I21609" t="s">
        <v>47111</v>
      </c>
      <c r="J21609" t="s">
        <v>47112</v>
      </c>
      <c r="K21609" t="s">
        <v>47113</v>
      </c>
      <c r="L21609">
        <v>48.92</v>
      </c>
      <c r="M21609">
        <v>100</v>
      </c>
      <c r="N21609">
        <v>0</v>
      </c>
      <c r="O21609">
        <v>100</v>
      </c>
      <c r="P21609">
        <v>0</v>
      </c>
    </row>
    <row r="21610" spans="1:16" x14ac:dyDescent="0.25">
      <c r="A21610" t="s">
        <v>44410</v>
      </c>
      <c r="B21610" t="s">
        <v>12954</v>
      </c>
      <c r="C21610" t="s">
        <v>12955</v>
      </c>
      <c r="D21610" t="s">
        <v>22</v>
      </c>
      <c r="E21610" t="s">
        <v>23</v>
      </c>
      <c r="F21610" t="s">
        <v>3</v>
      </c>
      <c r="G21610" t="s">
        <v>47093</v>
      </c>
      <c r="H21610" t="s">
        <v>47054</v>
      </c>
      <c r="I21610" t="s">
        <v>47111</v>
      </c>
      <c r="J21610" t="s">
        <v>47112</v>
      </c>
      <c r="K21610" t="s">
        <v>47113</v>
      </c>
      <c r="L21610">
        <v>49.55</v>
      </c>
      <c r="M21610">
        <v>111</v>
      </c>
      <c r="N21610">
        <v>0</v>
      </c>
      <c r="O21610">
        <v>111</v>
      </c>
      <c r="P21610">
        <v>0</v>
      </c>
    </row>
    <row r="21611" spans="1:16" x14ac:dyDescent="0.25">
      <c r="A21611" t="s">
        <v>44411</v>
      </c>
      <c r="B21611" t="s">
        <v>12956</v>
      </c>
      <c r="C21611" t="s">
        <v>12957</v>
      </c>
      <c r="D21611" t="s">
        <v>12958</v>
      </c>
      <c r="E21611" t="s">
        <v>12959</v>
      </c>
      <c r="F21611" t="s">
        <v>3</v>
      </c>
      <c r="G21611" t="s">
        <v>47093</v>
      </c>
      <c r="H21611" t="s">
        <v>47054</v>
      </c>
      <c r="I21611" t="s">
        <v>47111</v>
      </c>
      <c r="J21611" t="s">
        <v>47112</v>
      </c>
      <c r="K21611" t="s">
        <v>47113</v>
      </c>
      <c r="L21611">
        <v>56.66</v>
      </c>
      <c r="M21611">
        <v>117</v>
      </c>
      <c r="N21611">
        <v>0</v>
      </c>
      <c r="O21611">
        <v>117</v>
      </c>
      <c r="P21611">
        <v>0</v>
      </c>
    </row>
    <row r="21612" spans="1:16" x14ac:dyDescent="0.25">
      <c r="A21612" t="s">
        <v>44412</v>
      </c>
      <c r="B21612" t="s">
        <v>12956</v>
      </c>
      <c r="C21612" t="s">
        <v>12957</v>
      </c>
      <c r="D21612" t="s">
        <v>931</v>
      </c>
      <c r="E21612" t="s">
        <v>932</v>
      </c>
      <c r="F21612" t="s">
        <v>3</v>
      </c>
      <c r="G21612" t="s">
        <v>47093</v>
      </c>
      <c r="H21612" t="s">
        <v>47054</v>
      </c>
      <c r="I21612" t="s">
        <v>47111</v>
      </c>
      <c r="J21612" t="s">
        <v>47112</v>
      </c>
      <c r="K21612" t="s">
        <v>47113</v>
      </c>
      <c r="L21612">
        <v>59.43</v>
      </c>
      <c r="M21612">
        <v>122</v>
      </c>
      <c r="N21612">
        <v>0</v>
      </c>
      <c r="O21612">
        <v>122</v>
      </c>
      <c r="P21612">
        <v>0</v>
      </c>
    </row>
    <row r="21613" spans="1:16" x14ac:dyDescent="0.25">
      <c r="A21613" t="s">
        <v>948</v>
      </c>
      <c r="B21613" t="s">
        <v>949</v>
      </c>
      <c r="C21613" t="s">
        <v>950</v>
      </c>
      <c r="D21613" t="s">
        <v>22</v>
      </c>
      <c r="E21613" t="s">
        <v>23</v>
      </c>
      <c r="F21613" t="s">
        <v>3</v>
      </c>
      <c r="G21613" t="s">
        <v>47093</v>
      </c>
      <c r="H21613" t="s">
        <v>47054</v>
      </c>
      <c r="I21613" t="s">
        <v>47111</v>
      </c>
      <c r="J21613" t="s">
        <v>47112</v>
      </c>
      <c r="K21613" t="s">
        <v>47113</v>
      </c>
      <c r="L21613">
        <v>49.69</v>
      </c>
      <c r="M21613">
        <v>111</v>
      </c>
      <c r="N21613">
        <v>0</v>
      </c>
      <c r="O21613">
        <v>111</v>
      </c>
      <c r="P21613">
        <v>0</v>
      </c>
    </row>
    <row r="21614" spans="1:16" x14ac:dyDescent="0.25">
      <c r="A21614" t="s">
        <v>44413</v>
      </c>
      <c r="B21614" t="s">
        <v>949</v>
      </c>
      <c r="C21614" t="s">
        <v>950</v>
      </c>
      <c r="D21614" t="s">
        <v>931</v>
      </c>
      <c r="E21614" t="s">
        <v>932</v>
      </c>
      <c r="F21614" t="s">
        <v>3</v>
      </c>
      <c r="G21614" t="s">
        <v>47093</v>
      </c>
      <c r="H21614" t="s">
        <v>47054</v>
      </c>
      <c r="I21614" t="s">
        <v>47111</v>
      </c>
      <c r="J21614" t="s">
        <v>47112</v>
      </c>
      <c r="K21614" t="s">
        <v>47113</v>
      </c>
      <c r="L21614">
        <v>65.87</v>
      </c>
      <c r="M21614">
        <v>127</v>
      </c>
      <c r="N21614">
        <v>0</v>
      </c>
      <c r="O21614">
        <v>127</v>
      </c>
      <c r="P21614">
        <v>0</v>
      </c>
    </row>
    <row r="21615" spans="1:16" x14ac:dyDescent="0.25">
      <c r="A21615" t="s">
        <v>44414</v>
      </c>
      <c r="B21615" t="s">
        <v>12960</v>
      </c>
      <c r="C21615" t="s">
        <v>12961</v>
      </c>
      <c r="D21615" t="s">
        <v>2933</v>
      </c>
      <c r="E21615" t="s">
        <v>2934</v>
      </c>
      <c r="F21615" t="s">
        <v>5</v>
      </c>
      <c r="G21615" t="s">
        <v>47093</v>
      </c>
      <c r="H21615" t="s">
        <v>47054</v>
      </c>
      <c r="I21615" t="s">
        <v>47111</v>
      </c>
      <c r="J21615" t="s">
        <v>47112</v>
      </c>
      <c r="K21615" t="s">
        <v>47113</v>
      </c>
      <c r="L21615">
        <v>53.44</v>
      </c>
      <c r="M21615">
        <v>123</v>
      </c>
      <c r="N21615">
        <v>0</v>
      </c>
      <c r="O21615">
        <v>123</v>
      </c>
      <c r="P21615">
        <v>0</v>
      </c>
    </row>
    <row r="21616" spans="1:16" x14ac:dyDescent="0.25">
      <c r="A21616" t="s">
        <v>951</v>
      </c>
      <c r="B21616" t="s">
        <v>952</v>
      </c>
      <c r="C21616" t="s">
        <v>953</v>
      </c>
      <c r="D21616" t="s">
        <v>954</v>
      </c>
      <c r="E21616" t="s">
        <v>955</v>
      </c>
      <c r="F21616" t="s">
        <v>5</v>
      </c>
      <c r="G21616" t="s">
        <v>47093</v>
      </c>
      <c r="H21616" t="s">
        <v>47054</v>
      </c>
      <c r="I21616" t="s">
        <v>47111</v>
      </c>
      <c r="J21616" t="s">
        <v>47112</v>
      </c>
      <c r="K21616" t="s">
        <v>47113</v>
      </c>
      <c r="L21616">
        <v>53.16</v>
      </c>
      <c r="M21616">
        <v>130</v>
      </c>
      <c r="N21616">
        <v>0</v>
      </c>
      <c r="O21616">
        <v>130</v>
      </c>
      <c r="P21616">
        <v>0</v>
      </c>
    </row>
    <row r="21617" spans="1:16" x14ac:dyDescent="0.25">
      <c r="A21617" t="s">
        <v>956</v>
      </c>
      <c r="B21617" t="s">
        <v>957</v>
      </c>
      <c r="C21617" t="s">
        <v>958</v>
      </c>
      <c r="D21617" t="s">
        <v>959</v>
      </c>
      <c r="E21617" t="s">
        <v>960</v>
      </c>
      <c r="F21617" t="s">
        <v>5</v>
      </c>
      <c r="G21617" t="s">
        <v>47093</v>
      </c>
      <c r="H21617" t="s">
        <v>47054</v>
      </c>
      <c r="I21617" t="s">
        <v>47111</v>
      </c>
      <c r="J21617" t="s">
        <v>47112</v>
      </c>
      <c r="K21617" t="s">
        <v>47113</v>
      </c>
      <c r="L21617">
        <v>50.96</v>
      </c>
      <c r="M21617">
        <v>122</v>
      </c>
      <c r="N21617">
        <v>0</v>
      </c>
      <c r="O21617">
        <v>122</v>
      </c>
      <c r="P21617">
        <v>0</v>
      </c>
    </row>
    <row r="21618" spans="1:16" x14ac:dyDescent="0.25">
      <c r="A21618" t="s">
        <v>44415</v>
      </c>
      <c r="B21618" t="s">
        <v>962</v>
      </c>
      <c r="C21618" t="s">
        <v>963</v>
      </c>
      <c r="D21618" t="str">
        <f>"06"</f>
        <v>06</v>
      </c>
      <c r="E21618" t="s">
        <v>12871</v>
      </c>
      <c r="F21618" t="s">
        <v>2</v>
      </c>
      <c r="G21618" t="s">
        <v>47093</v>
      </c>
      <c r="H21618" t="s">
        <v>47054</v>
      </c>
      <c r="I21618" t="s">
        <v>47111</v>
      </c>
      <c r="J21618" t="s">
        <v>47112</v>
      </c>
      <c r="K21618" t="s">
        <v>47113</v>
      </c>
      <c r="L21618">
        <v>50.82</v>
      </c>
      <c r="M21618">
        <v>100</v>
      </c>
      <c r="N21618">
        <v>0</v>
      </c>
      <c r="O21618">
        <v>100</v>
      </c>
      <c r="P21618">
        <v>0</v>
      </c>
    </row>
    <row r="21619" spans="1:16" x14ac:dyDescent="0.25">
      <c r="A21619" t="s">
        <v>44416</v>
      </c>
      <c r="B21619" t="s">
        <v>962</v>
      </c>
      <c r="C21619" t="s">
        <v>963</v>
      </c>
      <c r="D21619" t="str">
        <f>"11"</f>
        <v>11</v>
      </c>
      <c r="E21619" t="s">
        <v>288</v>
      </c>
      <c r="F21619" t="s">
        <v>2</v>
      </c>
      <c r="G21619" t="s">
        <v>47093</v>
      </c>
      <c r="H21619" t="s">
        <v>47054</v>
      </c>
      <c r="I21619" t="s">
        <v>47111</v>
      </c>
      <c r="J21619" t="s">
        <v>47112</v>
      </c>
      <c r="K21619" t="s">
        <v>47113</v>
      </c>
      <c r="L21619">
        <v>49.16</v>
      </c>
      <c r="M21619">
        <v>100</v>
      </c>
      <c r="N21619">
        <v>0</v>
      </c>
      <c r="O21619">
        <v>100</v>
      </c>
      <c r="P21619">
        <v>0</v>
      </c>
    </row>
    <row r="21620" spans="1:16" x14ac:dyDescent="0.25">
      <c r="A21620" t="s">
        <v>44417</v>
      </c>
      <c r="B21620" t="s">
        <v>962</v>
      </c>
      <c r="C21620" t="s">
        <v>963</v>
      </c>
      <c r="D21620" t="s">
        <v>27</v>
      </c>
      <c r="E21620" t="s">
        <v>622</v>
      </c>
      <c r="F21620" t="s">
        <v>2</v>
      </c>
      <c r="G21620" t="s">
        <v>47093</v>
      </c>
      <c r="H21620" t="s">
        <v>47054</v>
      </c>
      <c r="I21620" t="s">
        <v>47111</v>
      </c>
      <c r="J21620" t="s">
        <v>47112</v>
      </c>
      <c r="K21620" t="s">
        <v>47113</v>
      </c>
      <c r="L21620">
        <v>54.11</v>
      </c>
      <c r="M21620">
        <v>100</v>
      </c>
      <c r="N21620">
        <v>0</v>
      </c>
      <c r="O21620">
        <v>100</v>
      </c>
      <c r="P21620">
        <v>0</v>
      </c>
    </row>
    <row r="21621" spans="1:16" x14ac:dyDescent="0.25">
      <c r="A21621" t="s">
        <v>44418</v>
      </c>
      <c r="B21621" t="s">
        <v>962</v>
      </c>
      <c r="C21621" t="s">
        <v>963</v>
      </c>
      <c r="D21621" t="s">
        <v>12811</v>
      </c>
      <c r="E21621" t="s">
        <v>12812</v>
      </c>
      <c r="F21621" t="s">
        <v>5</v>
      </c>
      <c r="G21621" t="s">
        <v>47093</v>
      </c>
      <c r="H21621" t="s">
        <v>47054</v>
      </c>
      <c r="I21621" t="s">
        <v>47111</v>
      </c>
      <c r="J21621" t="s">
        <v>47112</v>
      </c>
      <c r="K21621" t="s">
        <v>47113</v>
      </c>
      <c r="L21621">
        <v>55.55</v>
      </c>
      <c r="M21621">
        <v>129</v>
      </c>
      <c r="N21621">
        <v>0</v>
      </c>
      <c r="O21621">
        <v>129</v>
      </c>
      <c r="P21621">
        <v>0</v>
      </c>
    </row>
    <row r="21622" spans="1:16" x14ac:dyDescent="0.25">
      <c r="A21622" t="s">
        <v>961</v>
      </c>
      <c r="B21622" t="s">
        <v>962</v>
      </c>
      <c r="C21622" t="s">
        <v>963</v>
      </c>
      <c r="D21622" t="s">
        <v>964</v>
      </c>
      <c r="E21622" t="s">
        <v>965</v>
      </c>
      <c r="F21622" t="s">
        <v>5</v>
      </c>
      <c r="G21622" t="s">
        <v>47093</v>
      </c>
      <c r="H21622" t="s">
        <v>47054</v>
      </c>
      <c r="I21622" t="s">
        <v>47111</v>
      </c>
      <c r="J21622" t="s">
        <v>47112</v>
      </c>
      <c r="K21622" t="s">
        <v>47113</v>
      </c>
      <c r="L21622">
        <v>53.84</v>
      </c>
      <c r="M21622">
        <v>130</v>
      </c>
      <c r="N21622">
        <v>0</v>
      </c>
      <c r="O21622">
        <v>130</v>
      </c>
      <c r="P21622">
        <v>0</v>
      </c>
    </row>
    <row r="21623" spans="1:16" x14ac:dyDescent="0.25">
      <c r="A21623" t="s">
        <v>44419</v>
      </c>
      <c r="B21623" t="s">
        <v>962</v>
      </c>
      <c r="C21623" t="s">
        <v>963</v>
      </c>
      <c r="D21623" t="s">
        <v>12864</v>
      </c>
      <c r="E21623" t="s">
        <v>12865</v>
      </c>
      <c r="F21623" t="s">
        <v>5</v>
      </c>
      <c r="G21623" t="s">
        <v>47093</v>
      </c>
      <c r="H21623" t="s">
        <v>47054</v>
      </c>
      <c r="I21623" t="s">
        <v>47111</v>
      </c>
      <c r="J21623" t="s">
        <v>47112</v>
      </c>
      <c r="K21623" t="s">
        <v>47113</v>
      </c>
      <c r="L21623">
        <v>55.55</v>
      </c>
      <c r="M21623">
        <v>129</v>
      </c>
      <c r="N21623">
        <v>0</v>
      </c>
      <c r="O21623">
        <v>129</v>
      </c>
      <c r="P21623">
        <v>0</v>
      </c>
    </row>
    <row r="21624" spans="1:16" x14ac:dyDescent="0.25">
      <c r="A21624" t="s">
        <v>44420</v>
      </c>
      <c r="B21624" t="s">
        <v>962</v>
      </c>
      <c r="C21624" t="s">
        <v>963</v>
      </c>
      <c r="D21624" t="s">
        <v>22</v>
      </c>
      <c r="E21624" t="s">
        <v>23</v>
      </c>
      <c r="F21624" t="s">
        <v>2</v>
      </c>
      <c r="G21624" t="s">
        <v>47093</v>
      </c>
      <c r="H21624" t="s">
        <v>47054</v>
      </c>
      <c r="I21624" t="s">
        <v>47111</v>
      </c>
      <c r="J21624" t="s">
        <v>47112</v>
      </c>
      <c r="K21624" t="s">
        <v>47113</v>
      </c>
      <c r="L21624">
        <v>49.72</v>
      </c>
      <c r="M21624">
        <v>100</v>
      </c>
      <c r="N21624">
        <v>0</v>
      </c>
      <c r="O21624">
        <v>100</v>
      </c>
      <c r="P21624">
        <v>0</v>
      </c>
    </row>
    <row r="21625" spans="1:16" x14ac:dyDescent="0.25">
      <c r="A21625" t="s">
        <v>966</v>
      </c>
      <c r="B21625" t="s">
        <v>962</v>
      </c>
      <c r="C21625" t="s">
        <v>963</v>
      </c>
      <c r="D21625" t="s">
        <v>268</v>
      </c>
      <c r="E21625" t="s">
        <v>269</v>
      </c>
      <c r="F21625" t="s">
        <v>3</v>
      </c>
      <c r="G21625" t="s">
        <v>47093</v>
      </c>
      <c r="H21625" t="s">
        <v>47054</v>
      </c>
      <c r="I21625" t="s">
        <v>47111</v>
      </c>
      <c r="J21625" t="s">
        <v>47112</v>
      </c>
      <c r="K21625" t="s">
        <v>47113</v>
      </c>
      <c r="L21625">
        <v>49.87</v>
      </c>
      <c r="M21625">
        <v>121</v>
      </c>
      <c r="N21625">
        <v>0</v>
      </c>
      <c r="O21625">
        <v>121</v>
      </c>
      <c r="P21625">
        <v>0</v>
      </c>
    </row>
    <row r="21626" spans="1:16" x14ac:dyDescent="0.25">
      <c r="A21626" t="s">
        <v>44421</v>
      </c>
      <c r="B21626" t="s">
        <v>968</v>
      </c>
      <c r="C21626" t="s">
        <v>969</v>
      </c>
      <c r="D21626" t="str">
        <f>"07"</f>
        <v>07</v>
      </c>
      <c r="E21626" t="s">
        <v>12851</v>
      </c>
      <c r="F21626" t="s">
        <v>2</v>
      </c>
      <c r="G21626" t="s">
        <v>47093</v>
      </c>
      <c r="H21626" t="s">
        <v>47054</v>
      </c>
      <c r="I21626" t="s">
        <v>47111</v>
      </c>
      <c r="J21626" t="s">
        <v>47112</v>
      </c>
      <c r="K21626" t="s">
        <v>47113</v>
      </c>
      <c r="L21626">
        <v>33.49</v>
      </c>
      <c r="M21626">
        <v>85</v>
      </c>
      <c r="N21626">
        <v>0</v>
      </c>
      <c r="O21626">
        <v>85</v>
      </c>
      <c r="P21626">
        <v>0</v>
      </c>
    </row>
    <row r="21627" spans="1:16" x14ac:dyDescent="0.25">
      <c r="A21627" t="s">
        <v>44422</v>
      </c>
      <c r="B21627" t="s">
        <v>968</v>
      </c>
      <c r="C21627" t="s">
        <v>969</v>
      </c>
      <c r="D21627" t="str">
        <f>"11"</f>
        <v>11</v>
      </c>
      <c r="E21627" t="s">
        <v>288</v>
      </c>
      <c r="F21627" t="s">
        <v>2</v>
      </c>
      <c r="G21627" t="s">
        <v>47093</v>
      </c>
      <c r="H21627" t="s">
        <v>47054</v>
      </c>
      <c r="I21627" t="s">
        <v>47111</v>
      </c>
      <c r="J21627" t="s">
        <v>47112</v>
      </c>
      <c r="K21627" t="s">
        <v>47113</v>
      </c>
      <c r="L21627">
        <v>29.28</v>
      </c>
      <c r="M21627">
        <v>70</v>
      </c>
      <c r="N21627">
        <v>0</v>
      </c>
      <c r="O21627">
        <v>70</v>
      </c>
      <c r="P21627">
        <v>0</v>
      </c>
    </row>
    <row r="21628" spans="1:16" x14ac:dyDescent="0.25">
      <c r="A21628" t="s">
        <v>44423</v>
      </c>
      <c r="B21628" t="s">
        <v>968</v>
      </c>
      <c r="C21628" t="s">
        <v>969</v>
      </c>
      <c r="D21628" t="s">
        <v>721</v>
      </c>
      <c r="E21628" t="s">
        <v>722</v>
      </c>
      <c r="F21628" t="s">
        <v>2</v>
      </c>
      <c r="G21628" t="s">
        <v>47093</v>
      </c>
      <c r="H21628" t="s">
        <v>47054</v>
      </c>
      <c r="I21628" t="s">
        <v>47111</v>
      </c>
      <c r="J21628" t="s">
        <v>47112</v>
      </c>
      <c r="K21628" t="s">
        <v>47113</v>
      </c>
      <c r="L21628">
        <v>27.8</v>
      </c>
      <c r="M21628">
        <v>80</v>
      </c>
      <c r="N21628">
        <v>0</v>
      </c>
      <c r="O21628">
        <v>80</v>
      </c>
      <c r="P21628">
        <v>0</v>
      </c>
    </row>
    <row r="21629" spans="1:16" x14ac:dyDescent="0.25">
      <c r="A21629" t="s">
        <v>44424</v>
      </c>
      <c r="B21629" t="s">
        <v>968</v>
      </c>
      <c r="C21629" t="s">
        <v>969</v>
      </c>
      <c r="D21629" t="str">
        <f>"63"</f>
        <v>63</v>
      </c>
      <c r="E21629" t="s">
        <v>40</v>
      </c>
      <c r="F21629" t="s">
        <v>2</v>
      </c>
      <c r="G21629" t="s">
        <v>47093</v>
      </c>
      <c r="H21629" t="s">
        <v>47054</v>
      </c>
      <c r="I21629" t="s">
        <v>47111</v>
      </c>
      <c r="J21629" t="s">
        <v>47112</v>
      </c>
      <c r="K21629" t="s">
        <v>47113</v>
      </c>
      <c r="L21629">
        <v>32.17</v>
      </c>
      <c r="M21629">
        <v>73</v>
      </c>
      <c r="N21629">
        <v>0</v>
      </c>
      <c r="O21629">
        <v>73</v>
      </c>
      <c r="P21629">
        <v>0</v>
      </c>
    </row>
    <row r="21630" spans="1:16" x14ac:dyDescent="0.25">
      <c r="A21630" t="s">
        <v>44425</v>
      </c>
      <c r="B21630" t="s">
        <v>968</v>
      </c>
      <c r="C21630" t="s">
        <v>969</v>
      </c>
      <c r="D21630" t="str">
        <f>"78"</f>
        <v>78</v>
      </c>
      <c r="E21630" t="s">
        <v>5106</v>
      </c>
      <c r="F21630" t="s">
        <v>2</v>
      </c>
      <c r="G21630" t="s">
        <v>47093</v>
      </c>
      <c r="H21630" t="s">
        <v>47054</v>
      </c>
      <c r="I21630" t="s">
        <v>47111</v>
      </c>
      <c r="J21630" t="s">
        <v>47112</v>
      </c>
      <c r="K21630" t="s">
        <v>47113</v>
      </c>
      <c r="L21630">
        <v>31.45</v>
      </c>
      <c r="M21630">
        <v>93</v>
      </c>
      <c r="N21630">
        <v>0</v>
      </c>
      <c r="O21630">
        <v>93</v>
      </c>
      <c r="P21630">
        <v>0</v>
      </c>
    </row>
    <row r="21631" spans="1:16" x14ac:dyDescent="0.25">
      <c r="A21631" t="s">
        <v>44426</v>
      </c>
      <c r="B21631" t="s">
        <v>968</v>
      </c>
      <c r="C21631" t="s">
        <v>969</v>
      </c>
      <c r="D21631" t="s">
        <v>1790</v>
      </c>
      <c r="E21631" t="s">
        <v>1791</v>
      </c>
      <c r="F21631" t="s">
        <v>2</v>
      </c>
      <c r="G21631" t="s">
        <v>47093</v>
      </c>
      <c r="H21631" t="s">
        <v>47054</v>
      </c>
      <c r="I21631" t="s">
        <v>47111</v>
      </c>
      <c r="J21631" t="s">
        <v>47112</v>
      </c>
      <c r="K21631" t="s">
        <v>47113</v>
      </c>
      <c r="L21631">
        <v>34.92</v>
      </c>
      <c r="M21631">
        <v>85</v>
      </c>
      <c r="N21631">
        <v>0</v>
      </c>
      <c r="O21631">
        <v>85</v>
      </c>
      <c r="P21631">
        <v>0</v>
      </c>
    </row>
    <row r="21632" spans="1:16" x14ac:dyDescent="0.25">
      <c r="A21632" t="s">
        <v>44427</v>
      </c>
      <c r="B21632" t="s">
        <v>968</v>
      </c>
      <c r="C21632" t="s">
        <v>969</v>
      </c>
      <c r="D21632" t="s">
        <v>294</v>
      </c>
      <c r="E21632" t="s">
        <v>295</v>
      </c>
      <c r="F21632" t="s">
        <v>6</v>
      </c>
      <c r="G21632" t="s">
        <v>47093</v>
      </c>
      <c r="H21632" t="s">
        <v>47054</v>
      </c>
      <c r="I21632" t="s">
        <v>47111</v>
      </c>
      <c r="J21632" t="s">
        <v>47112</v>
      </c>
      <c r="K21632" t="s">
        <v>47113</v>
      </c>
      <c r="L21632">
        <v>41.12</v>
      </c>
      <c r="M21632">
        <v>102</v>
      </c>
      <c r="N21632">
        <v>0</v>
      </c>
      <c r="O21632">
        <v>102</v>
      </c>
      <c r="P21632">
        <v>0</v>
      </c>
    </row>
    <row r="21633" spans="1:16" x14ac:dyDescent="0.25">
      <c r="A21633" t="s">
        <v>967</v>
      </c>
      <c r="B21633" t="s">
        <v>968</v>
      </c>
      <c r="C21633" t="s">
        <v>969</v>
      </c>
      <c r="D21633" t="s">
        <v>970</v>
      </c>
      <c r="E21633" t="s">
        <v>971</v>
      </c>
      <c r="F21633" t="s">
        <v>2</v>
      </c>
      <c r="G21633" t="s">
        <v>47093</v>
      </c>
      <c r="H21633" t="s">
        <v>47054</v>
      </c>
      <c r="I21633" t="s">
        <v>47111</v>
      </c>
      <c r="J21633" t="s">
        <v>47112</v>
      </c>
      <c r="K21633" t="s">
        <v>47113</v>
      </c>
      <c r="L21633">
        <v>40.07</v>
      </c>
      <c r="M21633">
        <v>85</v>
      </c>
      <c r="N21633">
        <v>0</v>
      </c>
      <c r="O21633">
        <v>85</v>
      </c>
      <c r="P21633">
        <v>0</v>
      </c>
    </row>
    <row r="21634" spans="1:16" x14ac:dyDescent="0.25">
      <c r="A21634" t="s">
        <v>44428</v>
      </c>
      <c r="B21634" t="s">
        <v>968</v>
      </c>
      <c r="C21634" t="s">
        <v>969</v>
      </c>
      <c r="D21634" t="s">
        <v>12852</v>
      </c>
      <c r="E21634" t="s">
        <v>12853</v>
      </c>
      <c r="F21634" t="s">
        <v>2</v>
      </c>
      <c r="G21634" t="s">
        <v>47093</v>
      </c>
      <c r="H21634" t="s">
        <v>47054</v>
      </c>
      <c r="I21634" t="s">
        <v>47111</v>
      </c>
      <c r="J21634" t="s">
        <v>47112</v>
      </c>
      <c r="K21634" t="s">
        <v>47113</v>
      </c>
      <c r="L21634">
        <v>43.31</v>
      </c>
      <c r="M21634">
        <v>96</v>
      </c>
      <c r="N21634">
        <v>0</v>
      </c>
      <c r="O21634">
        <v>96</v>
      </c>
      <c r="P21634">
        <v>0</v>
      </c>
    </row>
    <row r="21635" spans="1:16" x14ac:dyDescent="0.25">
      <c r="A21635" t="s">
        <v>44429</v>
      </c>
      <c r="B21635" t="s">
        <v>968</v>
      </c>
      <c r="C21635" t="s">
        <v>969</v>
      </c>
      <c r="D21635" t="s">
        <v>22</v>
      </c>
      <c r="E21635" t="s">
        <v>23</v>
      </c>
      <c r="F21635" t="s">
        <v>2</v>
      </c>
      <c r="G21635" t="s">
        <v>47093</v>
      </c>
      <c r="H21635" t="s">
        <v>47054</v>
      </c>
      <c r="I21635" t="s">
        <v>47111</v>
      </c>
      <c r="J21635" t="s">
        <v>47112</v>
      </c>
      <c r="K21635" t="s">
        <v>47113</v>
      </c>
      <c r="L21635">
        <v>31.15</v>
      </c>
      <c r="M21635">
        <v>85</v>
      </c>
      <c r="N21635">
        <v>0</v>
      </c>
      <c r="O21635">
        <v>85</v>
      </c>
      <c r="P21635">
        <v>0</v>
      </c>
    </row>
    <row r="21636" spans="1:16" x14ac:dyDescent="0.25">
      <c r="A21636" t="s">
        <v>972</v>
      </c>
      <c r="B21636" t="s">
        <v>968</v>
      </c>
      <c r="C21636" t="s">
        <v>969</v>
      </c>
      <c r="D21636" t="s">
        <v>973</v>
      </c>
      <c r="E21636" t="s">
        <v>974</v>
      </c>
      <c r="F21636" t="s">
        <v>2</v>
      </c>
      <c r="G21636" t="s">
        <v>47093</v>
      </c>
      <c r="H21636" t="s">
        <v>47054</v>
      </c>
      <c r="I21636" t="s">
        <v>47111</v>
      </c>
      <c r="J21636" t="s">
        <v>47112</v>
      </c>
      <c r="K21636" t="s">
        <v>47113</v>
      </c>
      <c r="L21636">
        <v>34.64</v>
      </c>
      <c r="M21636">
        <v>85</v>
      </c>
      <c r="N21636">
        <v>0</v>
      </c>
      <c r="O21636">
        <v>85</v>
      </c>
      <c r="P21636">
        <v>0</v>
      </c>
    </row>
    <row r="21637" spans="1:16" x14ac:dyDescent="0.25">
      <c r="A21637" t="s">
        <v>44430</v>
      </c>
      <c r="B21637" t="s">
        <v>968</v>
      </c>
      <c r="C21637" t="s">
        <v>969</v>
      </c>
      <c r="D21637" t="s">
        <v>6814</v>
      </c>
      <c r="E21637" t="s">
        <v>6815</v>
      </c>
      <c r="F21637" t="s">
        <v>2</v>
      </c>
      <c r="G21637" t="s">
        <v>47093</v>
      </c>
      <c r="H21637" t="s">
        <v>47054</v>
      </c>
      <c r="I21637" t="s">
        <v>47111</v>
      </c>
      <c r="J21637" t="s">
        <v>47112</v>
      </c>
      <c r="K21637" t="s">
        <v>47113</v>
      </c>
      <c r="L21637">
        <v>34.9</v>
      </c>
      <c r="M21637">
        <v>80</v>
      </c>
      <c r="N21637">
        <v>0</v>
      </c>
      <c r="O21637">
        <v>80</v>
      </c>
      <c r="P21637">
        <v>0</v>
      </c>
    </row>
    <row r="21638" spans="1:16" x14ac:dyDescent="0.25">
      <c r="A21638" t="s">
        <v>44431</v>
      </c>
      <c r="B21638" t="s">
        <v>968</v>
      </c>
      <c r="C21638" t="s">
        <v>969</v>
      </c>
      <c r="D21638" t="s">
        <v>6816</v>
      </c>
      <c r="E21638" t="s">
        <v>6817</v>
      </c>
      <c r="F21638" t="s">
        <v>2</v>
      </c>
      <c r="G21638" t="s">
        <v>47093</v>
      </c>
      <c r="H21638" t="s">
        <v>47054</v>
      </c>
      <c r="I21638" t="s">
        <v>47111</v>
      </c>
      <c r="J21638" t="s">
        <v>47112</v>
      </c>
      <c r="K21638" t="s">
        <v>47113</v>
      </c>
      <c r="L21638">
        <v>33.49</v>
      </c>
      <c r="M21638">
        <v>77</v>
      </c>
      <c r="N21638">
        <v>0</v>
      </c>
      <c r="O21638">
        <v>77</v>
      </c>
      <c r="P21638">
        <v>0</v>
      </c>
    </row>
    <row r="21639" spans="1:16" x14ac:dyDescent="0.25">
      <c r="A21639" t="s">
        <v>975</v>
      </c>
      <c r="B21639" t="s">
        <v>968</v>
      </c>
      <c r="C21639" t="s">
        <v>969</v>
      </c>
      <c r="D21639" t="s">
        <v>976</v>
      </c>
      <c r="E21639" t="s">
        <v>977</v>
      </c>
      <c r="F21639" t="s">
        <v>6</v>
      </c>
      <c r="G21639" t="s">
        <v>47093</v>
      </c>
      <c r="H21639" t="s">
        <v>47054</v>
      </c>
      <c r="I21639" t="s">
        <v>47111</v>
      </c>
      <c r="J21639" t="s">
        <v>47112</v>
      </c>
      <c r="K21639" t="s">
        <v>47113</v>
      </c>
      <c r="L21639">
        <v>34.29</v>
      </c>
      <c r="M21639">
        <v>77</v>
      </c>
      <c r="N21639">
        <v>0</v>
      </c>
      <c r="O21639">
        <v>77</v>
      </c>
      <c r="P21639">
        <v>0</v>
      </c>
    </row>
    <row r="21640" spans="1:16" x14ac:dyDescent="0.25">
      <c r="A21640" t="s">
        <v>44432</v>
      </c>
      <c r="B21640" t="s">
        <v>968</v>
      </c>
      <c r="C21640" t="s">
        <v>969</v>
      </c>
      <c r="D21640" t="s">
        <v>6818</v>
      </c>
      <c r="E21640" t="s">
        <v>6819</v>
      </c>
      <c r="F21640" t="s">
        <v>2</v>
      </c>
      <c r="G21640" t="s">
        <v>47093</v>
      </c>
      <c r="H21640" t="s">
        <v>47054</v>
      </c>
      <c r="I21640" t="s">
        <v>47111</v>
      </c>
      <c r="J21640" t="s">
        <v>47112</v>
      </c>
      <c r="K21640" t="s">
        <v>47113</v>
      </c>
      <c r="L21640">
        <v>33.49</v>
      </c>
      <c r="M21640">
        <v>77</v>
      </c>
      <c r="N21640">
        <v>0</v>
      </c>
      <c r="O21640">
        <v>77</v>
      </c>
      <c r="P21640">
        <v>0</v>
      </c>
    </row>
    <row r="21641" spans="1:16" x14ac:dyDescent="0.25">
      <c r="A21641" t="s">
        <v>44433</v>
      </c>
      <c r="B21641" t="s">
        <v>968</v>
      </c>
      <c r="C21641" t="s">
        <v>969</v>
      </c>
      <c r="D21641" t="s">
        <v>921</v>
      </c>
      <c r="E21641" t="s">
        <v>922</v>
      </c>
      <c r="F21641" t="s">
        <v>2</v>
      </c>
      <c r="G21641" t="s">
        <v>47093</v>
      </c>
      <c r="H21641" t="s">
        <v>47054</v>
      </c>
      <c r="I21641" t="s">
        <v>47111</v>
      </c>
      <c r="J21641" t="s">
        <v>47112</v>
      </c>
      <c r="K21641" t="s">
        <v>47113</v>
      </c>
      <c r="L21641">
        <v>34.9</v>
      </c>
      <c r="M21641">
        <v>80</v>
      </c>
      <c r="N21641">
        <v>0</v>
      </c>
      <c r="O21641">
        <v>80</v>
      </c>
      <c r="P21641">
        <v>0</v>
      </c>
    </row>
    <row r="21642" spans="1:16" x14ac:dyDescent="0.25">
      <c r="A21642" t="s">
        <v>44434</v>
      </c>
      <c r="B21642" t="s">
        <v>978</v>
      </c>
      <c r="C21642" t="s">
        <v>979</v>
      </c>
      <c r="D21642" t="s">
        <v>926</v>
      </c>
      <c r="E21642" t="s">
        <v>927</v>
      </c>
      <c r="F21642" t="s">
        <v>4</v>
      </c>
      <c r="G21642" t="s">
        <v>47093</v>
      </c>
      <c r="H21642" t="s">
        <v>47054</v>
      </c>
      <c r="I21642" t="s">
        <v>47111</v>
      </c>
      <c r="J21642" t="s">
        <v>47112</v>
      </c>
      <c r="K21642" t="s">
        <v>47113</v>
      </c>
      <c r="L21642">
        <v>58.21</v>
      </c>
      <c r="M21642">
        <v>138</v>
      </c>
      <c r="N21642">
        <v>0</v>
      </c>
      <c r="O21642">
        <v>138</v>
      </c>
      <c r="P21642">
        <v>0</v>
      </c>
    </row>
    <row r="21643" spans="1:16" x14ac:dyDescent="0.25">
      <c r="A21643" t="s">
        <v>44435</v>
      </c>
      <c r="B21643" t="s">
        <v>16143</v>
      </c>
      <c r="C21643" t="s">
        <v>16144</v>
      </c>
      <c r="D21643" t="s">
        <v>15578</v>
      </c>
      <c r="E21643" t="s">
        <v>15579</v>
      </c>
      <c r="F21643" t="s">
        <v>3750</v>
      </c>
      <c r="G21643" t="s">
        <v>47093</v>
      </c>
      <c r="H21643" t="s">
        <v>47054</v>
      </c>
      <c r="I21643" t="s">
        <v>47116</v>
      </c>
      <c r="J21643" t="s">
        <v>47117</v>
      </c>
      <c r="K21643" t="s">
        <v>47113</v>
      </c>
      <c r="L21643">
        <v>28.48</v>
      </c>
      <c r="M21643">
        <v>113</v>
      </c>
      <c r="N21643">
        <v>0</v>
      </c>
      <c r="O21643">
        <v>113</v>
      </c>
      <c r="P21643">
        <v>0</v>
      </c>
    </row>
    <row r="21644" spans="1:16" x14ac:dyDescent="0.25">
      <c r="A21644" t="s">
        <v>44436</v>
      </c>
      <c r="B21644" t="s">
        <v>12962</v>
      </c>
      <c r="C21644" t="s">
        <v>12963</v>
      </c>
      <c r="D21644" t="str">
        <f>"40"</f>
        <v>40</v>
      </c>
      <c r="E21644" t="s">
        <v>31</v>
      </c>
      <c r="F21644" t="s">
        <v>5</v>
      </c>
      <c r="G21644" t="s">
        <v>47093</v>
      </c>
      <c r="H21644" t="s">
        <v>47054</v>
      </c>
      <c r="I21644" t="s">
        <v>47111</v>
      </c>
      <c r="J21644" t="s">
        <v>47112</v>
      </c>
      <c r="K21644" t="s">
        <v>47113</v>
      </c>
      <c r="L21644">
        <v>36.15</v>
      </c>
      <c r="M21644">
        <v>85</v>
      </c>
      <c r="N21644">
        <v>0</v>
      </c>
      <c r="O21644">
        <v>85</v>
      </c>
      <c r="P21644">
        <v>0</v>
      </c>
    </row>
    <row r="21645" spans="1:16" x14ac:dyDescent="0.25">
      <c r="A21645" t="s">
        <v>44437</v>
      </c>
      <c r="B21645" t="s">
        <v>12962</v>
      </c>
      <c r="C21645" t="s">
        <v>12963</v>
      </c>
      <c r="D21645" t="s">
        <v>10071</v>
      </c>
      <c r="E21645" t="s">
        <v>10072</v>
      </c>
      <c r="F21645" t="s">
        <v>5</v>
      </c>
      <c r="G21645" t="s">
        <v>47093</v>
      </c>
      <c r="H21645" t="s">
        <v>47054</v>
      </c>
      <c r="I21645" t="s">
        <v>47111</v>
      </c>
      <c r="J21645" t="s">
        <v>47112</v>
      </c>
      <c r="K21645" t="s">
        <v>47113</v>
      </c>
      <c r="L21645">
        <v>35.19</v>
      </c>
      <c r="M21645">
        <v>84</v>
      </c>
      <c r="N21645">
        <v>0</v>
      </c>
      <c r="O21645">
        <v>84</v>
      </c>
      <c r="P21645">
        <v>0</v>
      </c>
    </row>
    <row r="21646" spans="1:16" x14ac:dyDescent="0.25">
      <c r="A21646" t="s">
        <v>44438</v>
      </c>
      <c r="B21646" t="s">
        <v>16145</v>
      </c>
      <c r="C21646" t="s">
        <v>2356</v>
      </c>
      <c r="D21646" t="s">
        <v>5476</v>
      </c>
      <c r="E21646" t="s">
        <v>5477</v>
      </c>
      <c r="F21646" t="s">
        <v>3750</v>
      </c>
      <c r="G21646" t="s">
        <v>47093</v>
      </c>
      <c r="H21646" t="s">
        <v>47054</v>
      </c>
      <c r="I21646" t="s">
        <v>47116</v>
      </c>
      <c r="J21646" t="s">
        <v>47117</v>
      </c>
      <c r="K21646" t="s">
        <v>47113</v>
      </c>
      <c r="L21646">
        <v>22.4</v>
      </c>
      <c r="M21646">
        <v>66</v>
      </c>
      <c r="N21646">
        <v>0</v>
      </c>
      <c r="O21646">
        <v>66</v>
      </c>
      <c r="P21646">
        <v>0</v>
      </c>
    </row>
    <row r="21647" spans="1:16" x14ac:dyDescent="0.25">
      <c r="A21647" t="s">
        <v>44439</v>
      </c>
      <c r="B21647" t="s">
        <v>16145</v>
      </c>
      <c r="C21647" t="s">
        <v>2356</v>
      </c>
      <c r="D21647" t="s">
        <v>15594</v>
      </c>
      <c r="E21647" t="s">
        <v>15595</v>
      </c>
      <c r="F21647" t="s">
        <v>3750</v>
      </c>
      <c r="G21647" t="s">
        <v>47093</v>
      </c>
      <c r="H21647" t="s">
        <v>47054</v>
      </c>
      <c r="I21647" t="s">
        <v>47116</v>
      </c>
      <c r="J21647" t="s">
        <v>47117</v>
      </c>
      <c r="K21647" t="s">
        <v>47113</v>
      </c>
      <c r="L21647">
        <v>27.97</v>
      </c>
      <c r="M21647">
        <v>106</v>
      </c>
      <c r="N21647">
        <v>0</v>
      </c>
      <c r="O21647">
        <v>106</v>
      </c>
      <c r="P21647">
        <v>0</v>
      </c>
    </row>
    <row r="21648" spans="1:16" x14ac:dyDescent="0.25">
      <c r="A21648" t="s">
        <v>44440</v>
      </c>
      <c r="B21648" t="s">
        <v>12964</v>
      </c>
      <c r="C21648" t="s">
        <v>982</v>
      </c>
      <c r="D21648" t="s">
        <v>12935</v>
      </c>
      <c r="E21648" t="s">
        <v>12936</v>
      </c>
      <c r="F21648" t="s">
        <v>6</v>
      </c>
      <c r="G21648" t="s">
        <v>47093</v>
      </c>
      <c r="H21648" t="s">
        <v>47054</v>
      </c>
      <c r="I21648" t="s">
        <v>47111</v>
      </c>
      <c r="J21648" t="s">
        <v>47112</v>
      </c>
      <c r="K21648" t="s">
        <v>47113</v>
      </c>
      <c r="L21648">
        <v>54.03</v>
      </c>
      <c r="M21648">
        <v>136</v>
      </c>
      <c r="N21648">
        <v>0</v>
      </c>
      <c r="O21648">
        <v>136</v>
      </c>
      <c r="P21648">
        <v>0</v>
      </c>
    </row>
    <row r="21649" spans="1:16" x14ac:dyDescent="0.25">
      <c r="A21649" t="s">
        <v>44441</v>
      </c>
      <c r="B21649" t="s">
        <v>12965</v>
      </c>
      <c r="C21649" t="s">
        <v>982</v>
      </c>
      <c r="D21649" t="s">
        <v>10075</v>
      </c>
      <c r="E21649" t="s">
        <v>10076</v>
      </c>
      <c r="F21649" t="s">
        <v>6</v>
      </c>
      <c r="G21649" t="s">
        <v>47093</v>
      </c>
      <c r="H21649" t="s">
        <v>47054</v>
      </c>
      <c r="I21649" t="s">
        <v>47111</v>
      </c>
      <c r="J21649" t="s">
        <v>47112</v>
      </c>
      <c r="K21649" t="s">
        <v>47113</v>
      </c>
      <c r="L21649">
        <v>58.95</v>
      </c>
      <c r="M21649">
        <v>144</v>
      </c>
      <c r="N21649">
        <v>0</v>
      </c>
      <c r="O21649">
        <v>144</v>
      </c>
      <c r="P21649">
        <v>0</v>
      </c>
    </row>
    <row r="21650" spans="1:16" x14ac:dyDescent="0.25">
      <c r="A21650" t="s">
        <v>44442</v>
      </c>
      <c r="B21650" t="s">
        <v>12965</v>
      </c>
      <c r="C21650" t="s">
        <v>982</v>
      </c>
      <c r="D21650" t="s">
        <v>12903</v>
      </c>
      <c r="E21650" t="s">
        <v>12904</v>
      </c>
      <c r="F21650" t="s">
        <v>6</v>
      </c>
      <c r="G21650" t="s">
        <v>47093</v>
      </c>
      <c r="H21650" t="s">
        <v>47054</v>
      </c>
      <c r="I21650" t="s">
        <v>47111</v>
      </c>
      <c r="J21650" t="s">
        <v>47112</v>
      </c>
      <c r="K21650" t="s">
        <v>47113</v>
      </c>
      <c r="L21650">
        <v>53.81</v>
      </c>
      <c r="M21650">
        <v>122</v>
      </c>
      <c r="N21650">
        <v>0</v>
      </c>
      <c r="O21650">
        <v>122</v>
      </c>
      <c r="P21650">
        <v>0</v>
      </c>
    </row>
    <row r="21651" spans="1:16" x14ac:dyDescent="0.25">
      <c r="A21651" t="s">
        <v>980</v>
      </c>
      <c r="B21651" t="s">
        <v>981</v>
      </c>
      <c r="C21651" t="s">
        <v>982</v>
      </c>
      <c r="D21651" t="s">
        <v>983</v>
      </c>
      <c r="E21651" t="s">
        <v>984</v>
      </c>
      <c r="F21651" t="s">
        <v>6</v>
      </c>
      <c r="G21651" t="s">
        <v>47093</v>
      </c>
      <c r="H21651" t="s">
        <v>47054</v>
      </c>
      <c r="I21651" t="s">
        <v>47111</v>
      </c>
      <c r="J21651" t="s">
        <v>47112</v>
      </c>
      <c r="K21651" t="s">
        <v>47113</v>
      </c>
      <c r="L21651">
        <v>60.23</v>
      </c>
      <c r="M21651">
        <v>148</v>
      </c>
      <c r="N21651">
        <v>0</v>
      </c>
      <c r="O21651">
        <v>148</v>
      </c>
      <c r="P21651">
        <v>0</v>
      </c>
    </row>
    <row r="21652" spans="1:16" x14ac:dyDescent="0.25">
      <c r="A21652" t="s">
        <v>44443</v>
      </c>
      <c r="B21652" t="s">
        <v>12966</v>
      </c>
      <c r="C21652" t="s">
        <v>12967</v>
      </c>
      <c r="D21652" t="str">
        <f>"06"</f>
        <v>06</v>
      </c>
      <c r="E21652" t="s">
        <v>12871</v>
      </c>
      <c r="F21652" t="s">
        <v>2</v>
      </c>
      <c r="G21652" t="s">
        <v>47093</v>
      </c>
      <c r="H21652" t="s">
        <v>47054</v>
      </c>
      <c r="I21652" t="s">
        <v>47111</v>
      </c>
      <c r="J21652" t="s">
        <v>47112</v>
      </c>
      <c r="K21652" t="s">
        <v>47113</v>
      </c>
      <c r="L21652">
        <v>53.62</v>
      </c>
      <c r="M21652">
        <v>85</v>
      </c>
      <c r="N21652">
        <v>0</v>
      </c>
      <c r="O21652">
        <v>85</v>
      </c>
      <c r="P21652">
        <v>0</v>
      </c>
    </row>
    <row r="21653" spans="1:16" x14ac:dyDescent="0.25">
      <c r="A21653" t="s">
        <v>44444</v>
      </c>
      <c r="B21653" t="s">
        <v>12966</v>
      </c>
      <c r="C21653" t="s">
        <v>12967</v>
      </c>
      <c r="D21653" t="str">
        <f>"11"</f>
        <v>11</v>
      </c>
      <c r="E21653" t="s">
        <v>288</v>
      </c>
      <c r="F21653" t="s">
        <v>2</v>
      </c>
      <c r="G21653" t="s">
        <v>47093</v>
      </c>
      <c r="H21653" t="s">
        <v>47054</v>
      </c>
      <c r="I21653" t="s">
        <v>47111</v>
      </c>
      <c r="J21653" t="s">
        <v>47112</v>
      </c>
      <c r="K21653" t="s">
        <v>47113</v>
      </c>
      <c r="L21653">
        <v>48.39</v>
      </c>
      <c r="M21653">
        <v>100</v>
      </c>
      <c r="N21653">
        <v>0</v>
      </c>
      <c r="O21653">
        <v>100</v>
      </c>
      <c r="P21653">
        <v>0</v>
      </c>
    </row>
    <row r="21654" spans="1:16" x14ac:dyDescent="0.25">
      <c r="A21654" t="s">
        <v>44445</v>
      </c>
      <c r="B21654" t="s">
        <v>12966</v>
      </c>
      <c r="C21654" t="s">
        <v>12967</v>
      </c>
      <c r="D21654" t="s">
        <v>27</v>
      </c>
      <c r="E21654" t="s">
        <v>622</v>
      </c>
      <c r="F21654" t="s">
        <v>2</v>
      </c>
      <c r="G21654" t="s">
        <v>47093</v>
      </c>
      <c r="H21654" t="s">
        <v>47054</v>
      </c>
      <c r="I21654" t="s">
        <v>47111</v>
      </c>
      <c r="J21654" t="s">
        <v>47112</v>
      </c>
      <c r="K21654" t="s">
        <v>47113</v>
      </c>
      <c r="L21654">
        <v>53.23</v>
      </c>
      <c r="M21654">
        <v>85</v>
      </c>
      <c r="N21654">
        <v>0</v>
      </c>
      <c r="O21654">
        <v>85</v>
      </c>
      <c r="P21654">
        <v>0</v>
      </c>
    </row>
    <row r="21655" spans="1:16" x14ac:dyDescent="0.25">
      <c r="A21655" t="s">
        <v>44446</v>
      </c>
      <c r="B21655" t="s">
        <v>12966</v>
      </c>
      <c r="C21655" t="s">
        <v>12967</v>
      </c>
      <c r="D21655" t="s">
        <v>22</v>
      </c>
      <c r="E21655" t="s">
        <v>23</v>
      </c>
      <c r="F21655" t="s">
        <v>2</v>
      </c>
      <c r="G21655" t="s">
        <v>47093</v>
      </c>
      <c r="H21655" t="s">
        <v>47054</v>
      </c>
      <c r="I21655" t="s">
        <v>47111</v>
      </c>
      <c r="J21655" t="s">
        <v>47112</v>
      </c>
      <c r="K21655" t="s">
        <v>47113</v>
      </c>
      <c r="L21655">
        <v>48.92</v>
      </c>
      <c r="M21655">
        <v>100</v>
      </c>
      <c r="N21655">
        <v>0</v>
      </c>
      <c r="O21655">
        <v>100</v>
      </c>
      <c r="P21655">
        <v>0</v>
      </c>
    </row>
    <row r="21656" spans="1:16" x14ac:dyDescent="0.25">
      <c r="A21656" t="s">
        <v>44447</v>
      </c>
      <c r="B21656" t="s">
        <v>12968</v>
      </c>
      <c r="C21656" t="s">
        <v>12967</v>
      </c>
      <c r="D21656" t="str">
        <f>"06"</f>
        <v>06</v>
      </c>
      <c r="E21656" t="s">
        <v>12871</v>
      </c>
      <c r="F21656" t="s">
        <v>2</v>
      </c>
      <c r="G21656" t="s">
        <v>47093</v>
      </c>
      <c r="I21656" t="s">
        <v>47111</v>
      </c>
      <c r="J21656" t="s">
        <v>47112</v>
      </c>
      <c r="K21656" t="s">
        <v>47113</v>
      </c>
      <c r="L21656">
        <v>53.62</v>
      </c>
      <c r="M21656">
        <v>100</v>
      </c>
      <c r="N21656">
        <v>0</v>
      </c>
      <c r="O21656">
        <v>100</v>
      </c>
      <c r="P21656">
        <v>0</v>
      </c>
    </row>
    <row r="21657" spans="1:16" x14ac:dyDescent="0.25">
      <c r="A21657" t="s">
        <v>44448</v>
      </c>
      <c r="B21657" t="s">
        <v>12968</v>
      </c>
      <c r="C21657" t="s">
        <v>12967</v>
      </c>
      <c r="D21657" t="str">
        <f>"11"</f>
        <v>11</v>
      </c>
      <c r="E21657" t="s">
        <v>288</v>
      </c>
      <c r="F21657" t="s">
        <v>2</v>
      </c>
      <c r="G21657" t="s">
        <v>47093</v>
      </c>
      <c r="I21657" t="s">
        <v>47111</v>
      </c>
      <c r="J21657" t="s">
        <v>47112</v>
      </c>
      <c r="K21657" t="s">
        <v>47113</v>
      </c>
      <c r="L21657">
        <v>48.39</v>
      </c>
      <c r="M21657">
        <v>100</v>
      </c>
      <c r="N21657">
        <v>0</v>
      </c>
      <c r="O21657">
        <v>100</v>
      </c>
      <c r="P21657">
        <v>0</v>
      </c>
    </row>
    <row r="21658" spans="1:16" x14ac:dyDescent="0.25">
      <c r="A21658" t="s">
        <v>44449</v>
      </c>
      <c r="B21658" t="s">
        <v>12968</v>
      </c>
      <c r="C21658" t="s">
        <v>12967</v>
      </c>
      <c r="D21658" t="s">
        <v>27</v>
      </c>
      <c r="E21658" t="s">
        <v>622</v>
      </c>
      <c r="F21658" t="s">
        <v>2</v>
      </c>
      <c r="G21658" t="s">
        <v>47093</v>
      </c>
      <c r="I21658" t="s">
        <v>47111</v>
      </c>
      <c r="J21658" t="s">
        <v>47112</v>
      </c>
      <c r="K21658" t="s">
        <v>47113</v>
      </c>
      <c r="L21658">
        <v>53.23</v>
      </c>
      <c r="M21658">
        <v>100</v>
      </c>
      <c r="N21658">
        <v>0</v>
      </c>
      <c r="O21658">
        <v>100</v>
      </c>
      <c r="P21658">
        <v>0</v>
      </c>
    </row>
    <row r="21659" spans="1:16" x14ac:dyDescent="0.25">
      <c r="A21659" t="s">
        <v>44450</v>
      </c>
      <c r="B21659" t="s">
        <v>12968</v>
      </c>
      <c r="C21659" t="s">
        <v>12967</v>
      </c>
      <c r="D21659" t="s">
        <v>22</v>
      </c>
      <c r="E21659" t="s">
        <v>23</v>
      </c>
      <c r="F21659" t="s">
        <v>2</v>
      </c>
      <c r="G21659" t="s">
        <v>47093</v>
      </c>
      <c r="I21659" t="s">
        <v>47111</v>
      </c>
      <c r="J21659" t="s">
        <v>47112</v>
      </c>
      <c r="K21659" t="s">
        <v>47113</v>
      </c>
      <c r="L21659">
        <v>48.92</v>
      </c>
      <c r="M21659">
        <v>100</v>
      </c>
      <c r="N21659">
        <v>0</v>
      </c>
      <c r="O21659">
        <v>100</v>
      </c>
      <c r="P21659">
        <v>0</v>
      </c>
    </row>
    <row r="21660" spans="1:16" x14ac:dyDescent="0.25">
      <c r="A21660" t="s">
        <v>44451</v>
      </c>
      <c r="B21660" t="s">
        <v>12969</v>
      </c>
      <c r="C21660" t="s">
        <v>12967</v>
      </c>
      <c r="D21660" t="str">
        <f>"06"</f>
        <v>06</v>
      </c>
      <c r="E21660" t="s">
        <v>12871</v>
      </c>
      <c r="F21660" t="s">
        <v>2</v>
      </c>
      <c r="G21660" t="s">
        <v>47093</v>
      </c>
      <c r="I21660" t="s">
        <v>47111</v>
      </c>
      <c r="J21660" t="s">
        <v>47112</v>
      </c>
      <c r="K21660" t="s">
        <v>47113</v>
      </c>
      <c r="L21660">
        <v>53.62</v>
      </c>
      <c r="M21660">
        <v>100</v>
      </c>
      <c r="N21660">
        <v>0</v>
      </c>
      <c r="O21660">
        <v>100</v>
      </c>
      <c r="P21660">
        <v>0</v>
      </c>
    </row>
    <row r="21661" spans="1:16" x14ac:dyDescent="0.25">
      <c r="A21661" t="s">
        <v>44452</v>
      </c>
      <c r="B21661" t="s">
        <v>12969</v>
      </c>
      <c r="C21661" t="s">
        <v>12967</v>
      </c>
      <c r="D21661" t="str">
        <f>"11"</f>
        <v>11</v>
      </c>
      <c r="E21661" t="s">
        <v>288</v>
      </c>
      <c r="F21661" t="s">
        <v>2</v>
      </c>
      <c r="G21661" t="s">
        <v>47093</v>
      </c>
      <c r="I21661" t="s">
        <v>47111</v>
      </c>
      <c r="J21661" t="s">
        <v>47112</v>
      </c>
      <c r="K21661" t="s">
        <v>47113</v>
      </c>
      <c r="L21661">
        <v>48.39</v>
      </c>
      <c r="M21661">
        <v>100</v>
      </c>
      <c r="N21661">
        <v>0</v>
      </c>
      <c r="O21661">
        <v>100</v>
      </c>
      <c r="P21661">
        <v>0</v>
      </c>
    </row>
    <row r="21662" spans="1:16" x14ac:dyDescent="0.25">
      <c r="A21662" t="s">
        <v>44453</v>
      </c>
      <c r="B21662" t="s">
        <v>12969</v>
      </c>
      <c r="C21662" t="s">
        <v>12967</v>
      </c>
      <c r="D21662" t="s">
        <v>27</v>
      </c>
      <c r="E21662" t="s">
        <v>622</v>
      </c>
      <c r="F21662" t="s">
        <v>2</v>
      </c>
      <c r="G21662" t="s">
        <v>47093</v>
      </c>
      <c r="I21662" t="s">
        <v>47111</v>
      </c>
      <c r="J21662" t="s">
        <v>47112</v>
      </c>
      <c r="K21662" t="s">
        <v>47113</v>
      </c>
      <c r="L21662">
        <v>53.23</v>
      </c>
      <c r="M21662">
        <v>100</v>
      </c>
      <c r="N21662">
        <v>0</v>
      </c>
      <c r="O21662">
        <v>100</v>
      </c>
      <c r="P21662">
        <v>0</v>
      </c>
    </row>
    <row r="21663" spans="1:16" x14ac:dyDescent="0.25">
      <c r="A21663" t="s">
        <v>44454</v>
      </c>
      <c r="B21663" t="s">
        <v>12969</v>
      </c>
      <c r="C21663" t="s">
        <v>12967</v>
      </c>
      <c r="D21663" t="s">
        <v>22</v>
      </c>
      <c r="E21663" t="s">
        <v>23</v>
      </c>
      <c r="F21663" t="s">
        <v>2</v>
      </c>
      <c r="G21663" t="s">
        <v>47093</v>
      </c>
      <c r="I21663" t="s">
        <v>47111</v>
      </c>
      <c r="J21663" t="s">
        <v>47112</v>
      </c>
      <c r="K21663" t="s">
        <v>47113</v>
      </c>
      <c r="L21663">
        <v>48.92</v>
      </c>
      <c r="M21663">
        <v>100</v>
      </c>
      <c r="N21663">
        <v>0</v>
      </c>
      <c r="O21663">
        <v>100</v>
      </c>
      <c r="P21663">
        <v>0</v>
      </c>
    </row>
    <row r="21664" spans="1:16" x14ac:dyDescent="0.25">
      <c r="A21664" t="s">
        <v>44455</v>
      </c>
      <c r="B21664" t="s">
        <v>12970</v>
      </c>
      <c r="C21664" t="s">
        <v>12967</v>
      </c>
      <c r="D21664" t="str">
        <f>"06"</f>
        <v>06</v>
      </c>
      <c r="E21664" t="s">
        <v>12871</v>
      </c>
      <c r="F21664" t="s">
        <v>2</v>
      </c>
      <c r="G21664" t="s">
        <v>47093</v>
      </c>
      <c r="I21664" t="s">
        <v>47111</v>
      </c>
      <c r="J21664" t="s">
        <v>47112</v>
      </c>
      <c r="K21664" t="s">
        <v>47113</v>
      </c>
      <c r="L21664">
        <v>53.62</v>
      </c>
      <c r="M21664">
        <v>100</v>
      </c>
      <c r="N21664">
        <v>0</v>
      </c>
      <c r="O21664">
        <v>100</v>
      </c>
      <c r="P21664">
        <v>0</v>
      </c>
    </row>
    <row r="21665" spans="1:16" x14ac:dyDescent="0.25">
      <c r="A21665" t="s">
        <v>44456</v>
      </c>
      <c r="B21665" t="s">
        <v>12970</v>
      </c>
      <c r="C21665" t="s">
        <v>12967</v>
      </c>
      <c r="D21665" t="str">
        <f>"11"</f>
        <v>11</v>
      </c>
      <c r="E21665" t="s">
        <v>288</v>
      </c>
      <c r="F21665" t="s">
        <v>2</v>
      </c>
      <c r="G21665" t="s">
        <v>47093</v>
      </c>
      <c r="I21665" t="s">
        <v>47111</v>
      </c>
      <c r="J21665" t="s">
        <v>47112</v>
      </c>
      <c r="K21665" t="s">
        <v>47113</v>
      </c>
      <c r="L21665">
        <v>48.39</v>
      </c>
      <c r="M21665">
        <v>100</v>
      </c>
      <c r="N21665">
        <v>0</v>
      </c>
      <c r="O21665">
        <v>100</v>
      </c>
      <c r="P21665">
        <v>0</v>
      </c>
    </row>
    <row r="21666" spans="1:16" x14ac:dyDescent="0.25">
      <c r="A21666" t="s">
        <v>44457</v>
      </c>
      <c r="B21666" t="s">
        <v>12970</v>
      </c>
      <c r="C21666" t="s">
        <v>12967</v>
      </c>
      <c r="D21666" t="s">
        <v>27</v>
      </c>
      <c r="E21666" t="s">
        <v>622</v>
      </c>
      <c r="F21666" t="s">
        <v>2</v>
      </c>
      <c r="G21666" t="s">
        <v>47093</v>
      </c>
      <c r="I21666" t="s">
        <v>47111</v>
      </c>
      <c r="J21666" t="s">
        <v>47112</v>
      </c>
      <c r="K21666" t="s">
        <v>47113</v>
      </c>
      <c r="L21666">
        <v>53.23</v>
      </c>
      <c r="M21666">
        <v>100</v>
      </c>
      <c r="N21666">
        <v>0</v>
      </c>
      <c r="O21666">
        <v>100</v>
      </c>
      <c r="P21666">
        <v>0</v>
      </c>
    </row>
    <row r="21667" spans="1:16" x14ac:dyDescent="0.25">
      <c r="A21667" t="s">
        <v>44458</v>
      </c>
      <c r="B21667" t="s">
        <v>12970</v>
      </c>
      <c r="C21667" t="s">
        <v>12967</v>
      </c>
      <c r="D21667" t="s">
        <v>22</v>
      </c>
      <c r="E21667" t="s">
        <v>23</v>
      </c>
      <c r="F21667" t="s">
        <v>2</v>
      </c>
      <c r="G21667" t="s">
        <v>47093</v>
      </c>
      <c r="I21667" t="s">
        <v>47111</v>
      </c>
      <c r="J21667" t="s">
        <v>47112</v>
      </c>
      <c r="K21667" t="s">
        <v>47113</v>
      </c>
      <c r="L21667">
        <v>48.92</v>
      </c>
      <c r="M21667">
        <v>100</v>
      </c>
      <c r="N21667">
        <v>0</v>
      </c>
      <c r="O21667">
        <v>100</v>
      </c>
      <c r="P21667">
        <v>0</v>
      </c>
    </row>
    <row r="21668" spans="1:16" x14ac:dyDescent="0.25">
      <c r="A21668" t="s">
        <v>44459</v>
      </c>
      <c r="B21668" t="s">
        <v>12971</v>
      </c>
      <c r="C21668" t="s">
        <v>12967</v>
      </c>
      <c r="D21668" t="str">
        <f>"06"</f>
        <v>06</v>
      </c>
      <c r="E21668" t="s">
        <v>12871</v>
      </c>
      <c r="F21668" t="s">
        <v>2</v>
      </c>
      <c r="G21668" t="s">
        <v>47093</v>
      </c>
      <c r="I21668" t="s">
        <v>47111</v>
      </c>
      <c r="J21668" t="s">
        <v>47112</v>
      </c>
      <c r="K21668" t="s">
        <v>47113</v>
      </c>
      <c r="L21668">
        <v>53.62</v>
      </c>
      <c r="M21668">
        <v>100</v>
      </c>
      <c r="N21668">
        <v>0</v>
      </c>
      <c r="O21668">
        <v>100</v>
      </c>
      <c r="P21668">
        <v>0</v>
      </c>
    </row>
    <row r="21669" spans="1:16" x14ac:dyDescent="0.25">
      <c r="A21669" t="s">
        <v>44460</v>
      </c>
      <c r="B21669" t="s">
        <v>12971</v>
      </c>
      <c r="C21669" t="s">
        <v>12967</v>
      </c>
      <c r="D21669" t="str">
        <f>"11"</f>
        <v>11</v>
      </c>
      <c r="E21669" t="s">
        <v>288</v>
      </c>
      <c r="F21669" t="s">
        <v>2</v>
      </c>
      <c r="G21669" t="s">
        <v>47093</v>
      </c>
      <c r="I21669" t="s">
        <v>47111</v>
      </c>
      <c r="J21669" t="s">
        <v>47112</v>
      </c>
      <c r="K21669" t="s">
        <v>47113</v>
      </c>
      <c r="L21669">
        <v>48.39</v>
      </c>
      <c r="M21669">
        <v>100</v>
      </c>
      <c r="N21669">
        <v>0</v>
      </c>
      <c r="O21669">
        <v>100</v>
      </c>
      <c r="P21669">
        <v>0</v>
      </c>
    </row>
    <row r="21670" spans="1:16" x14ac:dyDescent="0.25">
      <c r="A21670" t="s">
        <v>44461</v>
      </c>
      <c r="B21670" t="s">
        <v>12971</v>
      </c>
      <c r="C21670" t="s">
        <v>12967</v>
      </c>
      <c r="D21670" t="s">
        <v>27</v>
      </c>
      <c r="E21670" t="s">
        <v>622</v>
      </c>
      <c r="F21670" t="s">
        <v>2</v>
      </c>
      <c r="G21670" t="s">
        <v>47093</v>
      </c>
      <c r="I21670" t="s">
        <v>47111</v>
      </c>
      <c r="J21670" t="s">
        <v>47112</v>
      </c>
      <c r="K21670" t="s">
        <v>47113</v>
      </c>
      <c r="L21670">
        <v>53.23</v>
      </c>
      <c r="M21670">
        <v>100</v>
      </c>
      <c r="N21670">
        <v>0</v>
      </c>
      <c r="O21670">
        <v>100</v>
      </c>
      <c r="P21670">
        <v>0</v>
      </c>
    </row>
    <row r="21671" spans="1:16" x14ac:dyDescent="0.25">
      <c r="A21671" t="s">
        <v>44462</v>
      </c>
      <c r="B21671" t="s">
        <v>12971</v>
      </c>
      <c r="C21671" t="s">
        <v>12967</v>
      </c>
      <c r="D21671" t="s">
        <v>22</v>
      </c>
      <c r="E21671" t="s">
        <v>23</v>
      </c>
      <c r="F21671" t="s">
        <v>2</v>
      </c>
      <c r="G21671" t="s">
        <v>47093</v>
      </c>
      <c r="I21671" t="s">
        <v>47111</v>
      </c>
      <c r="J21671" t="s">
        <v>47112</v>
      </c>
      <c r="K21671" t="s">
        <v>47113</v>
      </c>
      <c r="L21671">
        <v>48.92</v>
      </c>
      <c r="M21671">
        <v>100</v>
      </c>
      <c r="N21671">
        <v>0</v>
      </c>
      <c r="O21671">
        <v>100</v>
      </c>
      <c r="P21671">
        <v>0</v>
      </c>
    </row>
    <row r="21672" spans="1:16" x14ac:dyDescent="0.25">
      <c r="A21672" t="s">
        <v>44463</v>
      </c>
      <c r="B21672" t="s">
        <v>12972</v>
      </c>
      <c r="C21672" t="s">
        <v>987</v>
      </c>
      <c r="D21672" t="str">
        <f>"06"</f>
        <v>06</v>
      </c>
      <c r="E21672" t="s">
        <v>12871</v>
      </c>
      <c r="F21672" t="s">
        <v>2</v>
      </c>
      <c r="G21672" t="s">
        <v>47093</v>
      </c>
      <c r="H21672" t="s">
        <v>47054</v>
      </c>
      <c r="I21672" t="s">
        <v>47111</v>
      </c>
      <c r="J21672" t="s">
        <v>47112</v>
      </c>
      <c r="K21672" t="s">
        <v>47113</v>
      </c>
      <c r="L21672">
        <v>53.62</v>
      </c>
      <c r="M21672">
        <v>100</v>
      </c>
      <c r="N21672">
        <v>0</v>
      </c>
      <c r="O21672">
        <v>100</v>
      </c>
      <c r="P21672">
        <v>0</v>
      </c>
    </row>
    <row r="21673" spans="1:16" x14ac:dyDescent="0.25">
      <c r="A21673" t="s">
        <v>44464</v>
      </c>
      <c r="B21673" t="s">
        <v>12972</v>
      </c>
      <c r="C21673" t="s">
        <v>987</v>
      </c>
      <c r="D21673" t="str">
        <f>"11"</f>
        <v>11</v>
      </c>
      <c r="E21673" t="s">
        <v>288</v>
      </c>
      <c r="F21673" t="s">
        <v>2</v>
      </c>
      <c r="G21673" t="s">
        <v>47093</v>
      </c>
      <c r="H21673" t="s">
        <v>47054</v>
      </c>
      <c r="I21673" t="s">
        <v>47111</v>
      </c>
      <c r="J21673" t="s">
        <v>47112</v>
      </c>
      <c r="K21673" t="s">
        <v>47113</v>
      </c>
      <c r="L21673">
        <v>48.39</v>
      </c>
      <c r="M21673">
        <v>100</v>
      </c>
      <c r="N21673">
        <v>0</v>
      </c>
      <c r="O21673">
        <v>100</v>
      </c>
      <c r="P21673">
        <v>0</v>
      </c>
    </row>
    <row r="21674" spans="1:16" x14ac:dyDescent="0.25">
      <c r="A21674" t="s">
        <v>44465</v>
      </c>
      <c r="B21674" t="s">
        <v>12972</v>
      </c>
      <c r="C21674" t="s">
        <v>987</v>
      </c>
      <c r="D21674" t="s">
        <v>27</v>
      </c>
      <c r="E21674" t="s">
        <v>622</v>
      </c>
      <c r="F21674" t="s">
        <v>2</v>
      </c>
      <c r="G21674" t="s">
        <v>47093</v>
      </c>
      <c r="H21674" t="s">
        <v>47054</v>
      </c>
      <c r="I21674" t="s">
        <v>47111</v>
      </c>
      <c r="J21674" t="s">
        <v>47112</v>
      </c>
      <c r="K21674" t="s">
        <v>47113</v>
      </c>
      <c r="L21674">
        <v>53.23</v>
      </c>
      <c r="M21674">
        <v>100</v>
      </c>
      <c r="N21674">
        <v>0</v>
      </c>
      <c r="O21674">
        <v>100</v>
      </c>
      <c r="P21674">
        <v>0</v>
      </c>
    </row>
    <row r="21675" spans="1:16" x14ac:dyDescent="0.25">
      <c r="A21675" t="s">
        <v>44466</v>
      </c>
      <c r="B21675" t="s">
        <v>12972</v>
      </c>
      <c r="C21675" t="s">
        <v>987</v>
      </c>
      <c r="D21675" t="s">
        <v>22</v>
      </c>
      <c r="E21675" t="s">
        <v>23</v>
      </c>
      <c r="F21675" t="s">
        <v>2</v>
      </c>
      <c r="G21675" t="s">
        <v>47093</v>
      </c>
      <c r="H21675" t="s">
        <v>47054</v>
      </c>
      <c r="I21675" t="s">
        <v>47111</v>
      </c>
      <c r="J21675" t="s">
        <v>47112</v>
      </c>
      <c r="K21675" t="s">
        <v>47113</v>
      </c>
      <c r="L21675">
        <v>48.92</v>
      </c>
      <c r="M21675">
        <v>100</v>
      </c>
      <c r="N21675">
        <v>0</v>
      </c>
      <c r="O21675">
        <v>100</v>
      </c>
      <c r="P21675">
        <v>0</v>
      </c>
    </row>
    <row r="21676" spans="1:16" x14ac:dyDescent="0.25">
      <c r="A21676" t="s">
        <v>44467</v>
      </c>
      <c r="B21676" t="s">
        <v>986</v>
      </c>
      <c r="C21676" t="s">
        <v>987</v>
      </c>
      <c r="D21676" t="str">
        <f>"06"</f>
        <v>06</v>
      </c>
      <c r="E21676" t="s">
        <v>12871</v>
      </c>
      <c r="F21676" t="s">
        <v>2</v>
      </c>
      <c r="G21676" t="s">
        <v>47093</v>
      </c>
      <c r="H21676" t="s">
        <v>47054</v>
      </c>
      <c r="I21676" t="s">
        <v>47111</v>
      </c>
      <c r="J21676" t="s">
        <v>47112</v>
      </c>
      <c r="K21676" t="s">
        <v>47113</v>
      </c>
      <c r="L21676">
        <v>53.62</v>
      </c>
      <c r="M21676">
        <v>100</v>
      </c>
      <c r="N21676">
        <v>0</v>
      </c>
      <c r="O21676">
        <v>100</v>
      </c>
      <c r="P21676">
        <v>0</v>
      </c>
    </row>
    <row r="21677" spans="1:16" x14ac:dyDescent="0.25">
      <c r="A21677" t="s">
        <v>44468</v>
      </c>
      <c r="B21677" t="s">
        <v>986</v>
      </c>
      <c r="C21677" t="s">
        <v>987</v>
      </c>
      <c r="D21677" t="str">
        <f>"11"</f>
        <v>11</v>
      </c>
      <c r="E21677" t="s">
        <v>288</v>
      </c>
      <c r="F21677" t="s">
        <v>2</v>
      </c>
      <c r="G21677" t="s">
        <v>47093</v>
      </c>
      <c r="H21677" t="s">
        <v>47054</v>
      </c>
      <c r="I21677" t="s">
        <v>47111</v>
      </c>
      <c r="J21677" t="s">
        <v>47112</v>
      </c>
      <c r="K21677" t="s">
        <v>47113</v>
      </c>
      <c r="L21677">
        <v>48.39</v>
      </c>
      <c r="M21677">
        <v>122</v>
      </c>
      <c r="N21677">
        <v>0</v>
      </c>
      <c r="O21677">
        <v>122</v>
      </c>
      <c r="P21677">
        <v>0</v>
      </c>
    </row>
    <row r="21678" spans="1:16" x14ac:dyDescent="0.25">
      <c r="A21678" t="s">
        <v>44469</v>
      </c>
      <c r="B21678" t="s">
        <v>986</v>
      </c>
      <c r="C21678" t="s">
        <v>987</v>
      </c>
      <c r="D21678" t="s">
        <v>27</v>
      </c>
      <c r="E21678" t="s">
        <v>622</v>
      </c>
      <c r="F21678" t="s">
        <v>2</v>
      </c>
      <c r="G21678" t="s">
        <v>47093</v>
      </c>
      <c r="H21678" t="s">
        <v>47054</v>
      </c>
      <c r="I21678" t="s">
        <v>47111</v>
      </c>
      <c r="J21678" t="s">
        <v>47112</v>
      </c>
      <c r="K21678" t="s">
        <v>47113</v>
      </c>
      <c r="L21678">
        <v>53.23</v>
      </c>
      <c r="M21678">
        <v>100</v>
      </c>
      <c r="N21678">
        <v>0</v>
      </c>
      <c r="O21678">
        <v>100</v>
      </c>
      <c r="P21678">
        <v>0</v>
      </c>
    </row>
    <row r="21679" spans="1:16" x14ac:dyDescent="0.25">
      <c r="A21679" t="s">
        <v>985</v>
      </c>
      <c r="B21679" t="s">
        <v>986</v>
      </c>
      <c r="C21679" t="s">
        <v>987</v>
      </c>
      <c r="D21679" t="s">
        <v>22</v>
      </c>
      <c r="E21679" t="s">
        <v>23</v>
      </c>
      <c r="F21679" t="s">
        <v>2</v>
      </c>
      <c r="G21679" t="s">
        <v>47093</v>
      </c>
      <c r="H21679" t="s">
        <v>47054</v>
      </c>
      <c r="I21679" t="s">
        <v>47111</v>
      </c>
      <c r="J21679" t="s">
        <v>47112</v>
      </c>
      <c r="K21679" t="s">
        <v>47113</v>
      </c>
      <c r="L21679">
        <v>49.84</v>
      </c>
      <c r="M21679">
        <v>100</v>
      </c>
      <c r="N21679">
        <v>0</v>
      </c>
      <c r="O21679">
        <v>100</v>
      </c>
      <c r="P21679">
        <v>0</v>
      </c>
    </row>
    <row r="21680" spans="1:16" x14ac:dyDescent="0.25">
      <c r="A21680" t="s">
        <v>44470</v>
      </c>
      <c r="B21680" t="s">
        <v>12973</v>
      </c>
      <c r="C21680" t="s">
        <v>987</v>
      </c>
      <c r="D21680" t="str">
        <f>"06"</f>
        <v>06</v>
      </c>
      <c r="E21680" t="s">
        <v>12871</v>
      </c>
      <c r="F21680" t="s">
        <v>2</v>
      </c>
      <c r="G21680" t="s">
        <v>47093</v>
      </c>
      <c r="I21680" t="s">
        <v>47111</v>
      </c>
      <c r="J21680" t="s">
        <v>47112</v>
      </c>
      <c r="K21680" t="s">
        <v>47113</v>
      </c>
      <c r="L21680">
        <v>53.62</v>
      </c>
      <c r="M21680">
        <v>100</v>
      </c>
      <c r="N21680">
        <v>0</v>
      </c>
      <c r="O21680">
        <v>100</v>
      </c>
      <c r="P21680">
        <v>0</v>
      </c>
    </row>
    <row r="21681" spans="1:16" x14ac:dyDescent="0.25">
      <c r="A21681" t="s">
        <v>44471</v>
      </c>
      <c r="B21681" t="s">
        <v>12973</v>
      </c>
      <c r="C21681" t="s">
        <v>987</v>
      </c>
      <c r="D21681" t="str">
        <f>"11"</f>
        <v>11</v>
      </c>
      <c r="E21681" t="s">
        <v>288</v>
      </c>
      <c r="F21681" t="s">
        <v>2</v>
      </c>
      <c r="G21681" t="s">
        <v>47093</v>
      </c>
      <c r="I21681" t="s">
        <v>47111</v>
      </c>
      <c r="J21681" t="s">
        <v>47112</v>
      </c>
      <c r="K21681" t="s">
        <v>47113</v>
      </c>
      <c r="L21681">
        <v>48.39</v>
      </c>
      <c r="M21681">
        <v>100</v>
      </c>
      <c r="N21681">
        <v>0</v>
      </c>
      <c r="O21681">
        <v>100</v>
      </c>
      <c r="P21681">
        <v>0</v>
      </c>
    </row>
    <row r="21682" spans="1:16" x14ac:dyDescent="0.25">
      <c r="A21682" t="s">
        <v>44472</v>
      </c>
      <c r="B21682" t="s">
        <v>12973</v>
      </c>
      <c r="C21682" t="s">
        <v>987</v>
      </c>
      <c r="D21682" t="s">
        <v>27</v>
      </c>
      <c r="E21682" t="s">
        <v>622</v>
      </c>
      <c r="F21682" t="s">
        <v>2</v>
      </c>
      <c r="G21682" t="s">
        <v>47093</v>
      </c>
      <c r="I21682" t="s">
        <v>47111</v>
      </c>
      <c r="J21682" t="s">
        <v>47112</v>
      </c>
      <c r="K21682" t="s">
        <v>47113</v>
      </c>
      <c r="L21682">
        <v>53.23</v>
      </c>
      <c r="M21682">
        <v>100</v>
      </c>
      <c r="N21682">
        <v>0</v>
      </c>
      <c r="O21682">
        <v>100</v>
      </c>
      <c r="P21682">
        <v>0</v>
      </c>
    </row>
    <row r="21683" spans="1:16" x14ac:dyDescent="0.25">
      <c r="A21683" t="s">
        <v>44473</v>
      </c>
      <c r="B21683" t="s">
        <v>12973</v>
      </c>
      <c r="C21683" t="s">
        <v>987</v>
      </c>
      <c r="D21683" t="s">
        <v>22</v>
      </c>
      <c r="E21683" t="s">
        <v>23</v>
      </c>
      <c r="F21683" t="s">
        <v>2</v>
      </c>
      <c r="G21683" t="s">
        <v>47093</v>
      </c>
      <c r="I21683" t="s">
        <v>47111</v>
      </c>
      <c r="J21683" t="s">
        <v>47112</v>
      </c>
      <c r="K21683" t="s">
        <v>47113</v>
      </c>
      <c r="L21683">
        <v>48.92</v>
      </c>
      <c r="M21683">
        <v>100</v>
      </c>
      <c r="N21683">
        <v>0</v>
      </c>
      <c r="O21683">
        <v>100</v>
      </c>
      <c r="P21683">
        <v>0</v>
      </c>
    </row>
    <row r="21684" spans="1:16" x14ac:dyDescent="0.25">
      <c r="A21684" t="s">
        <v>44474</v>
      </c>
      <c r="B21684" t="s">
        <v>12974</v>
      </c>
      <c r="C21684" t="s">
        <v>987</v>
      </c>
      <c r="D21684" t="str">
        <f>"06"</f>
        <v>06</v>
      </c>
      <c r="E21684" t="s">
        <v>12871</v>
      </c>
      <c r="F21684" t="s">
        <v>2</v>
      </c>
      <c r="G21684" t="s">
        <v>47093</v>
      </c>
      <c r="H21684" t="s">
        <v>47054</v>
      </c>
      <c r="I21684" t="s">
        <v>47111</v>
      </c>
      <c r="J21684" t="s">
        <v>47112</v>
      </c>
      <c r="K21684" t="s">
        <v>47113</v>
      </c>
      <c r="L21684">
        <v>53.62</v>
      </c>
      <c r="M21684">
        <v>100</v>
      </c>
      <c r="N21684">
        <v>0</v>
      </c>
      <c r="O21684">
        <v>100</v>
      </c>
      <c r="P21684">
        <v>0</v>
      </c>
    </row>
    <row r="21685" spans="1:16" x14ac:dyDescent="0.25">
      <c r="A21685" t="s">
        <v>44475</v>
      </c>
      <c r="B21685" t="s">
        <v>12974</v>
      </c>
      <c r="C21685" t="s">
        <v>987</v>
      </c>
      <c r="D21685" t="str">
        <f>"11"</f>
        <v>11</v>
      </c>
      <c r="E21685" t="s">
        <v>288</v>
      </c>
      <c r="F21685" t="s">
        <v>2</v>
      </c>
      <c r="G21685" t="s">
        <v>47093</v>
      </c>
      <c r="H21685" t="s">
        <v>47054</v>
      </c>
      <c r="I21685" t="s">
        <v>47111</v>
      </c>
      <c r="J21685" t="s">
        <v>47112</v>
      </c>
      <c r="K21685" t="s">
        <v>47113</v>
      </c>
      <c r="L21685">
        <v>48.39</v>
      </c>
      <c r="M21685">
        <v>100</v>
      </c>
      <c r="N21685">
        <v>0</v>
      </c>
      <c r="O21685">
        <v>100</v>
      </c>
      <c r="P21685">
        <v>0</v>
      </c>
    </row>
    <row r="21686" spans="1:16" x14ac:dyDescent="0.25">
      <c r="A21686" t="s">
        <v>44476</v>
      </c>
      <c r="B21686" t="s">
        <v>12974</v>
      </c>
      <c r="C21686" t="s">
        <v>987</v>
      </c>
      <c r="D21686" t="s">
        <v>27</v>
      </c>
      <c r="E21686" t="s">
        <v>622</v>
      </c>
      <c r="F21686" t="s">
        <v>2</v>
      </c>
      <c r="G21686" t="s">
        <v>47093</v>
      </c>
      <c r="H21686" t="s">
        <v>47054</v>
      </c>
      <c r="I21686" t="s">
        <v>47111</v>
      </c>
      <c r="J21686" t="s">
        <v>47112</v>
      </c>
      <c r="K21686" t="s">
        <v>47113</v>
      </c>
      <c r="L21686">
        <v>53.23</v>
      </c>
      <c r="M21686">
        <v>100</v>
      </c>
      <c r="N21686">
        <v>0</v>
      </c>
      <c r="O21686">
        <v>100</v>
      </c>
      <c r="P21686">
        <v>0</v>
      </c>
    </row>
    <row r="21687" spans="1:16" x14ac:dyDescent="0.25">
      <c r="A21687" t="s">
        <v>44477</v>
      </c>
      <c r="B21687" t="s">
        <v>12974</v>
      </c>
      <c r="C21687" t="s">
        <v>987</v>
      </c>
      <c r="D21687" t="s">
        <v>22</v>
      </c>
      <c r="E21687" t="s">
        <v>23</v>
      </c>
      <c r="F21687" t="s">
        <v>2</v>
      </c>
      <c r="G21687" t="s">
        <v>47093</v>
      </c>
      <c r="H21687" t="s">
        <v>47054</v>
      </c>
      <c r="I21687" t="s">
        <v>47111</v>
      </c>
      <c r="J21687" t="s">
        <v>47112</v>
      </c>
      <c r="K21687" t="s">
        <v>47113</v>
      </c>
      <c r="L21687">
        <v>48.92</v>
      </c>
      <c r="M21687">
        <v>100</v>
      </c>
      <c r="N21687">
        <v>0</v>
      </c>
      <c r="O21687">
        <v>100</v>
      </c>
      <c r="P21687">
        <v>0</v>
      </c>
    </row>
    <row r="21688" spans="1:16" x14ac:dyDescent="0.25">
      <c r="A21688" t="s">
        <v>44478</v>
      </c>
      <c r="B21688" t="s">
        <v>12975</v>
      </c>
      <c r="C21688" t="s">
        <v>987</v>
      </c>
      <c r="D21688" t="str">
        <f>"06"</f>
        <v>06</v>
      </c>
      <c r="E21688" t="s">
        <v>12871</v>
      </c>
      <c r="F21688" t="s">
        <v>2</v>
      </c>
      <c r="G21688" t="s">
        <v>47093</v>
      </c>
      <c r="I21688" t="s">
        <v>47111</v>
      </c>
      <c r="J21688" t="s">
        <v>47112</v>
      </c>
      <c r="K21688" t="s">
        <v>47113</v>
      </c>
      <c r="L21688">
        <v>53.62</v>
      </c>
      <c r="M21688">
        <v>100</v>
      </c>
      <c r="N21688">
        <v>0</v>
      </c>
      <c r="O21688">
        <v>100</v>
      </c>
      <c r="P21688">
        <v>0</v>
      </c>
    </row>
    <row r="21689" spans="1:16" x14ac:dyDescent="0.25">
      <c r="A21689" t="s">
        <v>44479</v>
      </c>
      <c r="B21689" t="s">
        <v>12975</v>
      </c>
      <c r="C21689" t="s">
        <v>987</v>
      </c>
      <c r="D21689" t="str">
        <f>"11"</f>
        <v>11</v>
      </c>
      <c r="E21689" t="s">
        <v>288</v>
      </c>
      <c r="F21689" t="s">
        <v>2</v>
      </c>
      <c r="G21689" t="s">
        <v>47093</v>
      </c>
      <c r="I21689" t="s">
        <v>47111</v>
      </c>
      <c r="J21689" t="s">
        <v>47112</v>
      </c>
      <c r="K21689" t="s">
        <v>47113</v>
      </c>
      <c r="L21689">
        <v>48.39</v>
      </c>
      <c r="M21689">
        <v>100</v>
      </c>
      <c r="N21689">
        <v>0</v>
      </c>
      <c r="O21689">
        <v>100</v>
      </c>
      <c r="P21689">
        <v>0</v>
      </c>
    </row>
    <row r="21690" spans="1:16" x14ac:dyDescent="0.25">
      <c r="A21690" t="s">
        <v>44480</v>
      </c>
      <c r="B21690" t="s">
        <v>12975</v>
      </c>
      <c r="C21690" t="s">
        <v>987</v>
      </c>
      <c r="D21690" t="s">
        <v>27</v>
      </c>
      <c r="E21690" t="s">
        <v>622</v>
      </c>
      <c r="F21690" t="s">
        <v>2</v>
      </c>
      <c r="G21690" t="s">
        <v>47093</v>
      </c>
      <c r="I21690" t="s">
        <v>47111</v>
      </c>
      <c r="J21690" t="s">
        <v>47112</v>
      </c>
      <c r="K21690" t="s">
        <v>47113</v>
      </c>
      <c r="L21690">
        <v>53.23</v>
      </c>
      <c r="M21690">
        <v>100</v>
      </c>
      <c r="N21690">
        <v>0</v>
      </c>
      <c r="O21690">
        <v>100</v>
      </c>
      <c r="P21690">
        <v>0</v>
      </c>
    </row>
    <row r="21691" spans="1:16" x14ac:dyDescent="0.25">
      <c r="A21691" t="s">
        <v>44481</v>
      </c>
      <c r="B21691" t="s">
        <v>12975</v>
      </c>
      <c r="C21691" t="s">
        <v>987</v>
      </c>
      <c r="D21691" t="s">
        <v>22</v>
      </c>
      <c r="E21691" t="s">
        <v>23</v>
      </c>
      <c r="F21691" t="s">
        <v>2</v>
      </c>
      <c r="G21691" t="s">
        <v>47093</v>
      </c>
      <c r="I21691" t="s">
        <v>47111</v>
      </c>
      <c r="J21691" t="s">
        <v>47112</v>
      </c>
      <c r="K21691" t="s">
        <v>47113</v>
      </c>
      <c r="L21691">
        <v>48.92</v>
      </c>
      <c r="M21691">
        <v>100</v>
      </c>
      <c r="N21691">
        <v>0</v>
      </c>
      <c r="O21691">
        <v>100</v>
      </c>
      <c r="P21691">
        <v>0</v>
      </c>
    </row>
    <row r="21692" spans="1:16" x14ac:dyDescent="0.25">
      <c r="A21692" t="s">
        <v>44482</v>
      </c>
      <c r="B21692" t="s">
        <v>12976</v>
      </c>
      <c r="C21692" t="s">
        <v>987</v>
      </c>
      <c r="D21692" t="str">
        <f>"06"</f>
        <v>06</v>
      </c>
      <c r="E21692" t="s">
        <v>12871</v>
      </c>
      <c r="F21692" t="s">
        <v>2</v>
      </c>
      <c r="G21692" t="s">
        <v>47093</v>
      </c>
      <c r="H21692" t="s">
        <v>47054</v>
      </c>
      <c r="I21692" t="s">
        <v>47111</v>
      </c>
      <c r="J21692" t="s">
        <v>47112</v>
      </c>
      <c r="K21692" t="s">
        <v>47113</v>
      </c>
      <c r="L21692">
        <v>53.71</v>
      </c>
      <c r="M21692">
        <v>100</v>
      </c>
      <c r="N21692">
        <v>0</v>
      </c>
      <c r="O21692">
        <v>100</v>
      </c>
      <c r="P21692">
        <v>0</v>
      </c>
    </row>
    <row r="21693" spans="1:16" x14ac:dyDescent="0.25">
      <c r="A21693" t="s">
        <v>44483</v>
      </c>
      <c r="B21693" t="s">
        <v>12976</v>
      </c>
      <c r="C21693" t="s">
        <v>987</v>
      </c>
      <c r="D21693" t="str">
        <f>"11"</f>
        <v>11</v>
      </c>
      <c r="E21693" t="s">
        <v>288</v>
      </c>
      <c r="F21693" t="s">
        <v>2</v>
      </c>
      <c r="G21693" t="s">
        <v>47093</v>
      </c>
      <c r="H21693" t="s">
        <v>47054</v>
      </c>
      <c r="I21693" t="s">
        <v>47111</v>
      </c>
      <c r="J21693" t="s">
        <v>47112</v>
      </c>
      <c r="K21693" t="s">
        <v>47113</v>
      </c>
      <c r="L21693">
        <v>48.39</v>
      </c>
      <c r="M21693">
        <v>100</v>
      </c>
      <c r="N21693">
        <v>0</v>
      </c>
      <c r="O21693">
        <v>100</v>
      </c>
      <c r="P21693">
        <v>0</v>
      </c>
    </row>
    <row r="21694" spans="1:16" x14ac:dyDescent="0.25">
      <c r="A21694" t="s">
        <v>44484</v>
      </c>
      <c r="B21694" t="s">
        <v>12976</v>
      </c>
      <c r="C21694" t="s">
        <v>987</v>
      </c>
      <c r="D21694" t="s">
        <v>27</v>
      </c>
      <c r="E21694" t="s">
        <v>622</v>
      </c>
      <c r="F21694" t="s">
        <v>2</v>
      </c>
      <c r="G21694" t="s">
        <v>47093</v>
      </c>
      <c r="H21694" t="s">
        <v>47054</v>
      </c>
      <c r="I21694" t="s">
        <v>47111</v>
      </c>
      <c r="J21694" t="s">
        <v>47112</v>
      </c>
      <c r="K21694" t="s">
        <v>47113</v>
      </c>
      <c r="L21694">
        <v>53.23</v>
      </c>
      <c r="M21694">
        <v>100</v>
      </c>
      <c r="N21694">
        <v>0</v>
      </c>
      <c r="O21694">
        <v>100</v>
      </c>
      <c r="P21694">
        <v>0</v>
      </c>
    </row>
    <row r="21695" spans="1:16" x14ac:dyDescent="0.25">
      <c r="A21695" t="s">
        <v>44485</v>
      </c>
      <c r="B21695" t="s">
        <v>12976</v>
      </c>
      <c r="C21695" t="s">
        <v>987</v>
      </c>
      <c r="D21695" t="s">
        <v>22</v>
      </c>
      <c r="E21695" t="s">
        <v>23</v>
      </c>
      <c r="F21695" t="s">
        <v>2</v>
      </c>
      <c r="G21695" t="s">
        <v>47093</v>
      </c>
      <c r="H21695" t="s">
        <v>47054</v>
      </c>
      <c r="I21695" t="s">
        <v>47111</v>
      </c>
      <c r="J21695" t="s">
        <v>47112</v>
      </c>
      <c r="K21695" t="s">
        <v>47113</v>
      </c>
      <c r="L21695">
        <v>48.92</v>
      </c>
      <c r="M21695">
        <v>100</v>
      </c>
      <c r="N21695">
        <v>0</v>
      </c>
      <c r="O21695">
        <v>100</v>
      </c>
      <c r="P21695">
        <v>0</v>
      </c>
    </row>
    <row r="21696" spans="1:16" x14ac:dyDescent="0.25">
      <c r="A21696" t="s">
        <v>44486</v>
      </c>
      <c r="B21696" t="s">
        <v>12977</v>
      </c>
      <c r="C21696" t="s">
        <v>987</v>
      </c>
      <c r="D21696" t="str">
        <f>"06"</f>
        <v>06</v>
      </c>
      <c r="E21696" t="s">
        <v>12871</v>
      </c>
      <c r="F21696" t="s">
        <v>2</v>
      </c>
      <c r="G21696" t="s">
        <v>47093</v>
      </c>
      <c r="I21696" t="s">
        <v>47111</v>
      </c>
      <c r="J21696" t="s">
        <v>47112</v>
      </c>
      <c r="K21696" t="s">
        <v>47113</v>
      </c>
      <c r="L21696">
        <v>53.62</v>
      </c>
      <c r="M21696">
        <v>100</v>
      </c>
      <c r="N21696">
        <v>0</v>
      </c>
      <c r="O21696">
        <v>100</v>
      </c>
      <c r="P21696">
        <v>0</v>
      </c>
    </row>
    <row r="21697" spans="1:16" x14ac:dyDescent="0.25">
      <c r="A21697" t="s">
        <v>44487</v>
      </c>
      <c r="B21697" t="s">
        <v>12977</v>
      </c>
      <c r="C21697" t="s">
        <v>987</v>
      </c>
      <c r="D21697" t="str">
        <f>"11"</f>
        <v>11</v>
      </c>
      <c r="E21697" t="s">
        <v>288</v>
      </c>
      <c r="F21697" t="s">
        <v>2</v>
      </c>
      <c r="G21697" t="s">
        <v>47093</v>
      </c>
      <c r="I21697" t="s">
        <v>47111</v>
      </c>
      <c r="J21697" t="s">
        <v>47112</v>
      </c>
      <c r="K21697" t="s">
        <v>47113</v>
      </c>
      <c r="L21697">
        <v>48.39</v>
      </c>
      <c r="M21697">
        <v>100</v>
      </c>
      <c r="N21697">
        <v>0</v>
      </c>
      <c r="O21697">
        <v>100</v>
      </c>
      <c r="P21697">
        <v>0</v>
      </c>
    </row>
    <row r="21698" spans="1:16" x14ac:dyDescent="0.25">
      <c r="A21698" t="s">
        <v>44488</v>
      </c>
      <c r="B21698" t="s">
        <v>12977</v>
      </c>
      <c r="C21698" t="s">
        <v>987</v>
      </c>
      <c r="D21698" t="s">
        <v>27</v>
      </c>
      <c r="E21698" t="s">
        <v>622</v>
      </c>
      <c r="F21698" t="s">
        <v>2</v>
      </c>
      <c r="G21698" t="s">
        <v>47093</v>
      </c>
      <c r="I21698" t="s">
        <v>47111</v>
      </c>
      <c r="J21698" t="s">
        <v>47112</v>
      </c>
      <c r="K21698" t="s">
        <v>47113</v>
      </c>
      <c r="L21698">
        <v>53.23</v>
      </c>
      <c r="M21698">
        <v>100</v>
      </c>
      <c r="N21698">
        <v>0</v>
      </c>
      <c r="O21698">
        <v>100</v>
      </c>
      <c r="P21698">
        <v>0</v>
      </c>
    </row>
    <row r="21699" spans="1:16" x14ac:dyDescent="0.25">
      <c r="A21699" t="s">
        <v>44489</v>
      </c>
      <c r="B21699" t="s">
        <v>12977</v>
      </c>
      <c r="C21699" t="s">
        <v>987</v>
      </c>
      <c r="D21699" t="s">
        <v>22</v>
      </c>
      <c r="E21699" t="s">
        <v>23</v>
      </c>
      <c r="F21699" t="s">
        <v>2</v>
      </c>
      <c r="G21699" t="s">
        <v>47093</v>
      </c>
      <c r="I21699" t="s">
        <v>47111</v>
      </c>
      <c r="J21699" t="s">
        <v>47112</v>
      </c>
      <c r="K21699" t="s">
        <v>47113</v>
      </c>
      <c r="L21699">
        <v>48.92</v>
      </c>
      <c r="M21699">
        <v>100</v>
      </c>
      <c r="N21699">
        <v>0</v>
      </c>
      <c r="O21699">
        <v>100</v>
      </c>
      <c r="P21699">
        <v>0</v>
      </c>
    </row>
    <row r="21700" spans="1:16" x14ac:dyDescent="0.25">
      <c r="A21700" t="s">
        <v>44490</v>
      </c>
      <c r="B21700" t="s">
        <v>12978</v>
      </c>
      <c r="C21700" t="s">
        <v>987</v>
      </c>
      <c r="D21700" t="str">
        <f>"06"</f>
        <v>06</v>
      </c>
      <c r="E21700" t="s">
        <v>12871</v>
      </c>
      <c r="F21700" t="s">
        <v>2</v>
      </c>
      <c r="G21700" t="s">
        <v>47093</v>
      </c>
      <c r="H21700" t="s">
        <v>47054</v>
      </c>
      <c r="I21700" t="s">
        <v>47111</v>
      </c>
      <c r="J21700" t="s">
        <v>47112</v>
      </c>
      <c r="K21700" t="s">
        <v>47113</v>
      </c>
      <c r="L21700">
        <v>53.62</v>
      </c>
      <c r="M21700">
        <v>100</v>
      </c>
      <c r="N21700">
        <v>0</v>
      </c>
      <c r="O21700">
        <v>100</v>
      </c>
      <c r="P21700">
        <v>0</v>
      </c>
    </row>
    <row r="21701" spans="1:16" x14ac:dyDescent="0.25">
      <c r="A21701" t="s">
        <v>44491</v>
      </c>
      <c r="B21701" t="s">
        <v>12978</v>
      </c>
      <c r="C21701" t="s">
        <v>987</v>
      </c>
      <c r="D21701" t="str">
        <f>"11"</f>
        <v>11</v>
      </c>
      <c r="E21701" t="s">
        <v>288</v>
      </c>
      <c r="F21701" t="s">
        <v>2</v>
      </c>
      <c r="G21701" t="s">
        <v>47093</v>
      </c>
      <c r="H21701" t="s">
        <v>47054</v>
      </c>
      <c r="I21701" t="s">
        <v>47111</v>
      </c>
      <c r="J21701" t="s">
        <v>47112</v>
      </c>
      <c r="K21701" t="s">
        <v>47113</v>
      </c>
      <c r="L21701">
        <v>48.39</v>
      </c>
      <c r="M21701">
        <v>100</v>
      </c>
      <c r="N21701">
        <v>0</v>
      </c>
      <c r="O21701">
        <v>100</v>
      </c>
      <c r="P21701">
        <v>0</v>
      </c>
    </row>
    <row r="21702" spans="1:16" x14ac:dyDescent="0.25">
      <c r="A21702" t="s">
        <v>44492</v>
      </c>
      <c r="B21702" t="s">
        <v>12978</v>
      </c>
      <c r="C21702" t="s">
        <v>987</v>
      </c>
      <c r="D21702" t="s">
        <v>27</v>
      </c>
      <c r="E21702" t="s">
        <v>622</v>
      </c>
      <c r="F21702" t="s">
        <v>2</v>
      </c>
      <c r="G21702" t="s">
        <v>47093</v>
      </c>
      <c r="H21702" t="s">
        <v>47054</v>
      </c>
      <c r="I21702" t="s">
        <v>47111</v>
      </c>
      <c r="J21702" t="s">
        <v>47112</v>
      </c>
      <c r="K21702" t="s">
        <v>47113</v>
      </c>
      <c r="L21702">
        <v>53.23</v>
      </c>
      <c r="M21702">
        <v>100</v>
      </c>
      <c r="N21702">
        <v>0</v>
      </c>
      <c r="O21702">
        <v>100</v>
      </c>
      <c r="P21702">
        <v>0</v>
      </c>
    </row>
    <row r="21703" spans="1:16" x14ac:dyDescent="0.25">
      <c r="A21703" t="s">
        <v>44493</v>
      </c>
      <c r="B21703" t="s">
        <v>12978</v>
      </c>
      <c r="C21703" t="s">
        <v>987</v>
      </c>
      <c r="D21703" t="s">
        <v>22</v>
      </c>
      <c r="E21703" t="s">
        <v>23</v>
      </c>
      <c r="F21703" t="s">
        <v>2</v>
      </c>
      <c r="G21703" t="s">
        <v>47093</v>
      </c>
      <c r="H21703" t="s">
        <v>47054</v>
      </c>
      <c r="I21703" t="s">
        <v>47111</v>
      </c>
      <c r="J21703" t="s">
        <v>47112</v>
      </c>
      <c r="K21703" t="s">
        <v>47113</v>
      </c>
      <c r="L21703">
        <v>48.92</v>
      </c>
      <c r="M21703">
        <v>100</v>
      </c>
      <c r="N21703">
        <v>0</v>
      </c>
      <c r="O21703">
        <v>100</v>
      </c>
      <c r="P21703">
        <v>0</v>
      </c>
    </row>
    <row r="21704" spans="1:16" x14ac:dyDescent="0.25">
      <c r="A21704" t="s">
        <v>44494</v>
      </c>
      <c r="B21704" t="s">
        <v>12979</v>
      </c>
      <c r="C21704" t="s">
        <v>12980</v>
      </c>
      <c r="D21704" t="str">
        <f>"06"</f>
        <v>06</v>
      </c>
      <c r="E21704" t="s">
        <v>12871</v>
      </c>
      <c r="F21704" t="s">
        <v>2</v>
      </c>
      <c r="G21704" t="s">
        <v>47093</v>
      </c>
      <c r="I21704" t="s">
        <v>47111</v>
      </c>
      <c r="J21704" t="s">
        <v>47112</v>
      </c>
      <c r="K21704" t="s">
        <v>47113</v>
      </c>
      <c r="L21704">
        <v>53.62</v>
      </c>
      <c r="M21704">
        <v>100</v>
      </c>
      <c r="N21704">
        <v>0</v>
      </c>
      <c r="O21704">
        <v>100</v>
      </c>
      <c r="P21704">
        <v>0</v>
      </c>
    </row>
    <row r="21705" spans="1:16" x14ac:dyDescent="0.25">
      <c r="A21705" t="s">
        <v>44495</v>
      </c>
      <c r="B21705" t="s">
        <v>12979</v>
      </c>
      <c r="C21705" t="s">
        <v>12980</v>
      </c>
      <c r="D21705" t="str">
        <f>"11"</f>
        <v>11</v>
      </c>
      <c r="E21705" t="s">
        <v>288</v>
      </c>
      <c r="F21705" t="s">
        <v>2</v>
      </c>
      <c r="G21705" t="s">
        <v>47093</v>
      </c>
      <c r="I21705" t="s">
        <v>47111</v>
      </c>
      <c r="J21705" t="s">
        <v>47112</v>
      </c>
      <c r="K21705" t="s">
        <v>47113</v>
      </c>
      <c r="L21705">
        <v>48.39</v>
      </c>
      <c r="M21705">
        <v>100</v>
      </c>
      <c r="N21705">
        <v>0</v>
      </c>
      <c r="O21705">
        <v>100</v>
      </c>
      <c r="P21705">
        <v>0</v>
      </c>
    </row>
    <row r="21706" spans="1:16" x14ac:dyDescent="0.25">
      <c r="A21706" t="s">
        <v>44496</v>
      </c>
      <c r="B21706" t="s">
        <v>12979</v>
      </c>
      <c r="C21706" t="s">
        <v>12980</v>
      </c>
      <c r="D21706" t="s">
        <v>27</v>
      </c>
      <c r="E21706" t="s">
        <v>622</v>
      </c>
      <c r="F21706" t="s">
        <v>2</v>
      </c>
      <c r="G21706" t="s">
        <v>47093</v>
      </c>
      <c r="I21706" t="s">
        <v>47111</v>
      </c>
      <c r="J21706" t="s">
        <v>47112</v>
      </c>
      <c r="K21706" t="s">
        <v>47113</v>
      </c>
      <c r="L21706">
        <v>53.23</v>
      </c>
      <c r="M21706">
        <v>100</v>
      </c>
      <c r="N21706">
        <v>0</v>
      </c>
      <c r="O21706">
        <v>100</v>
      </c>
      <c r="P21706">
        <v>0</v>
      </c>
    </row>
    <row r="21707" spans="1:16" x14ac:dyDescent="0.25">
      <c r="A21707" t="s">
        <v>44497</v>
      </c>
      <c r="B21707" t="s">
        <v>12979</v>
      </c>
      <c r="C21707" t="s">
        <v>12980</v>
      </c>
      <c r="D21707" t="s">
        <v>22</v>
      </c>
      <c r="E21707" t="s">
        <v>23</v>
      </c>
      <c r="F21707" t="s">
        <v>2</v>
      </c>
      <c r="G21707" t="s">
        <v>47093</v>
      </c>
      <c r="I21707" t="s">
        <v>47111</v>
      </c>
      <c r="J21707" t="s">
        <v>47112</v>
      </c>
      <c r="K21707" t="s">
        <v>47113</v>
      </c>
      <c r="L21707">
        <v>48.92</v>
      </c>
      <c r="M21707">
        <v>100</v>
      </c>
      <c r="N21707">
        <v>0</v>
      </c>
      <c r="O21707">
        <v>100</v>
      </c>
      <c r="P21707">
        <v>0</v>
      </c>
    </row>
    <row r="21708" spans="1:16" x14ac:dyDescent="0.25">
      <c r="A21708" t="s">
        <v>44498</v>
      </c>
      <c r="B21708" t="s">
        <v>12981</v>
      </c>
      <c r="C21708" t="s">
        <v>12980</v>
      </c>
      <c r="D21708" t="str">
        <f>"06"</f>
        <v>06</v>
      </c>
      <c r="E21708" t="s">
        <v>12871</v>
      </c>
      <c r="F21708" t="s">
        <v>2</v>
      </c>
      <c r="G21708" t="s">
        <v>47093</v>
      </c>
      <c r="I21708" t="s">
        <v>47111</v>
      </c>
      <c r="J21708" t="s">
        <v>47112</v>
      </c>
      <c r="K21708" t="s">
        <v>47113</v>
      </c>
      <c r="L21708">
        <v>53.62</v>
      </c>
      <c r="M21708">
        <v>100</v>
      </c>
      <c r="N21708">
        <v>0</v>
      </c>
      <c r="O21708">
        <v>100</v>
      </c>
      <c r="P21708">
        <v>0</v>
      </c>
    </row>
    <row r="21709" spans="1:16" x14ac:dyDescent="0.25">
      <c r="A21709" t="s">
        <v>44499</v>
      </c>
      <c r="B21709" t="s">
        <v>12981</v>
      </c>
      <c r="C21709" t="s">
        <v>12980</v>
      </c>
      <c r="D21709" t="str">
        <f>"11"</f>
        <v>11</v>
      </c>
      <c r="E21709" t="s">
        <v>288</v>
      </c>
      <c r="F21709" t="s">
        <v>2</v>
      </c>
      <c r="G21709" t="s">
        <v>47093</v>
      </c>
      <c r="I21709" t="s">
        <v>47111</v>
      </c>
      <c r="J21709" t="s">
        <v>47112</v>
      </c>
      <c r="K21709" t="s">
        <v>47113</v>
      </c>
      <c r="L21709">
        <v>48.39</v>
      </c>
      <c r="M21709">
        <v>100</v>
      </c>
      <c r="N21709">
        <v>0</v>
      </c>
      <c r="O21709">
        <v>100</v>
      </c>
      <c r="P21709">
        <v>0</v>
      </c>
    </row>
    <row r="21710" spans="1:16" x14ac:dyDescent="0.25">
      <c r="A21710" t="s">
        <v>44500</v>
      </c>
      <c r="B21710" t="s">
        <v>12981</v>
      </c>
      <c r="C21710" t="s">
        <v>12980</v>
      </c>
      <c r="D21710" t="s">
        <v>27</v>
      </c>
      <c r="E21710" t="s">
        <v>622</v>
      </c>
      <c r="F21710" t="s">
        <v>2</v>
      </c>
      <c r="G21710" t="s">
        <v>47093</v>
      </c>
      <c r="I21710" t="s">
        <v>47111</v>
      </c>
      <c r="J21710" t="s">
        <v>47112</v>
      </c>
      <c r="K21710" t="s">
        <v>47113</v>
      </c>
      <c r="L21710">
        <v>53.23</v>
      </c>
      <c r="M21710">
        <v>100</v>
      </c>
      <c r="N21710">
        <v>0</v>
      </c>
      <c r="O21710">
        <v>100</v>
      </c>
      <c r="P21710">
        <v>0</v>
      </c>
    </row>
    <row r="21711" spans="1:16" x14ac:dyDescent="0.25">
      <c r="A21711" t="s">
        <v>44501</v>
      </c>
      <c r="B21711" t="s">
        <v>12981</v>
      </c>
      <c r="C21711" t="s">
        <v>12980</v>
      </c>
      <c r="D21711" t="s">
        <v>22</v>
      </c>
      <c r="E21711" t="s">
        <v>23</v>
      </c>
      <c r="F21711" t="s">
        <v>2</v>
      </c>
      <c r="G21711" t="s">
        <v>47093</v>
      </c>
      <c r="I21711" t="s">
        <v>47111</v>
      </c>
      <c r="J21711" t="s">
        <v>47112</v>
      </c>
      <c r="K21711" t="s">
        <v>47113</v>
      </c>
      <c r="L21711">
        <v>48.92</v>
      </c>
      <c r="M21711">
        <v>100</v>
      </c>
      <c r="N21711">
        <v>0</v>
      </c>
      <c r="O21711">
        <v>100</v>
      </c>
      <c r="P21711">
        <v>0</v>
      </c>
    </row>
    <row r="21712" spans="1:16" x14ac:dyDescent="0.25">
      <c r="A21712" t="s">
        <v>44502</v>
      </c>
      <c r="B21712" t="s">
        <v>12982</v>
      </c>
      <c r="C21712" t="s">
        <v>12980</v>
      </c>
      <c r="D21712" t="str">
        <f>"06"</f>
        <v>06</v>
      </c>
      <c r="E21712" t="s">
        <v>12871</v>
      </c>
      <c r="F21712" t="s">
        <v>2</v>
      </c>
      <c r="G21712" t="s">
        <v>47093</v>
      </c>
      <c r="I21712" t="s">
        <v>47111</v>
      </c>
      <c r="J21712" t="s">
        <v>47112</v>
      </c>
      <c r="K21712" t="s">
        <v>47113</v>
      </c>
      <c r="L21712">
        <v>53.62</v>
      </c>
      <c r="M21712">
        <v>100</v>
      </c>
      <c r="N21712">
        <v>0</v>
      </c>
      <c r="O21712">
        <v>100</v>
      </c>
      <c r="P21712">
        <v>0</v>
      </c>
    </row>
    <row r="21713" spans="1:16" x14ac:dyDescent="0.25">
      <c r="A21713" t="s">
        <v>44503</v>
      </c>
      <c r="B21713" t="s">
        <v>12982</v>
      </c>
      <c r="C21713" t="s">
        <v>12980</v>
      </c>
      <c r="D21713" t="str">
        <f>"11"</f>
        <v>11</v>
      </c>
      <c r="E21713" t="s">
        <v>288</v>
      </c>
      <c r="F21713" t="s">
        <v>2</v>
      </c>
      <c r="G21713" t="s">
        <v>47093</v>
      </c>
      <c r="I21713" t="s">
        <v>47111</v>
      </c>
      <c r="J21713" t="s">
        <v>47112</v>
      </c>
      <c r="K21713" t="s">
        <v>47113</v>
      </c>
      <c r="L21713">
        <v>48.39</v>
      </c>
      <c r="M21713">
        <v>100</v>
      </c>
      <c r="N21713">
        <v>0</v>
      </c>
      <c r="O21713">
        <v>100</v>
      </c>
      <c r="P21713">
        <v>0</v>
      </c>
    </row>
    <row r="21714" spans="1:16" x14ac:dyDescent="0.25">
      <c r="A21714" t="s">
        <v>44504</v>
      </c>
      <c r="B21714" t="s">
        <v>12982</v>
      </c>
      <c r="C21714" t="s">
        <v>12980</v>
      </c>
      <c r="D21714" t="s">
        <v>27</v>
      </c>
      <c r="E21714" t="s">
        <v>622</v>
      </c>
      <c r="F21714" t="s">
        <v>2</v>
      </c>
      <c r="G21714" t="s">
        <v>47093</v>
      </c>
      <c r="I21714" t="s">
        <v>47111</v>
      </c>
      <c r="J21714" t="s">
        <v>47112</v>
      </c>
      <c r="K21714" t="s">
        <v>47113</v>
      </c>
      <c r="L21714">
        <v>53.23</v>
      </c>
      <c r="M21714">
        <v>100</v>
      </c>
      <c r="N21714">
        <v>0</v>
      </c>
      <c r="O21714">
        <v>100</v>
      </c>
      <c r="P21714">
        <v>0</v>
      </c>
    </row>
    <row r="21715" spans="1:16" x14ac:dyDescent="0.25">
      <c r="A21715" t="s">
        <v>44505</v>
      </c>
      <c r="B21715" t="s">
        <v>12982</v>
      </c>
      <c r="C21715" t="s">
        <v>12980</v>
      </c>
      <c r="D21715" t="s">
        <v>22</v>
      </c>
      <c r="E21715" t="s">
        <v>23</v>
      </c>
      <c r="F21715" t="s">
        <v>2</v>
      </c>
      <c r="G21715" t="s">
        <v>47093</v>
      </c>
      <c r="I21715" t="s">
        <v>47111</v>
      </c>
      <c r="J21715" t="s">
        <v>47112</v>
      </c>
      <c r="K21715" t="s">
        <v>47113</v>
      </c>
      <c r="L21715">
        <v>48.92</v>
      </c>
      <c r="M21715">
        <v>100</v>
      </c>
      <c r="N21715">
        <v>0</v>
      </c>
      <c r="O21715">
        <v>100</v>
      </c>
      <c r="P21715">
        <v>0</v>
      </c>
    </row>
    <row r="21716" spans="1:16" x14ac:dyDescent="0.25">
      <c r="A21716" t="s">
        <v>44506</v>
      </c>
      <c r="B21716" t="s">
        <v>12983</v>
      </c>
      <c r="C21716" t="s">
        <v>12980</v>
      </c>
      <c r="D21716" t="str">
        <f>"06"</f>
        <v>06</v>
      </c>
      <c r="E21716" t="s">
        <v>12871</v>
      </c>
      <c r="F21716" t="s">
        <v>2</v>
      </c>
      <c r="G21716" t="s">
        <v>47093</v>
      </c>
      <c r="I21716" t="s">
        <v>47111</v>
      </c>
      <c r="J21716" t="s">
        <v>47112</v>
      </c>
      <c r="K21716" t="s">
        <v>47113</v>
      </c>
      <c r="L21716">
        <v>53.62</v>
      </c>
      <c r="M21716">
        <v>100</v>
      </c>
      <c r="N21716">
        <v>0</v>
      </c>
      <c r="O21716">
        <v>100</v>
      </c>
      <c r="P21716">
        <v>0</v>
      </c>
    </row>
    <row r="21717" spans="1:16" x14ac:dyDescent="0.25">
      <c r="A21717" t="s">
        <v>44507</v>
      </c>
      <c r="B21717" t="s">
        <v>12983</v>
      </c>
      <c r="C21717" t="s">
        <v>12980</v>
      </c>
      <c r="D21717" t="str">
        <f>"11"</f>
        <v>11</v>
      </c>
      <c r="E21717" t="s">
        <v>288</v>
      </c>
      <c r="F21717" t="s">
        <v>2</v>
      </c>
      <c r="G21717" t="s">
        <v>47093</v>
      </c>
      <c r="I21717" t="s">
        <v>47111</v>
      </c>
      <c r="J21717" t="s">
        <v>47112</v>
      </c>
      <c r="K21717" t="s">
        <v>47113</v>
      </c>
      <c r="L21717">
        <v>48.39</v>
      </c>
      <c r="M21717">
        <v>100</v>
      </c>
      <c r="N21717">
        <v>0</v>
      </c>
      <c r="O21717">
        <v>100</v>
      </c>
      <c r="P21717">
        <v>0</v>
      </c>
    </row>
    <row r="21718" spans="1:16" x14ac:dyDescent="0.25">
      <c r="A21718" t="s">
        <v>44508</v>
      </c>
      <c r="B21718" t="s">
        <v>12983</v>
      </c>
      <c r="C21718" t="s">
        <v>12980</v>
      </c>
      <c r="D21718" t="s">
        <v>27</v>
      </c>
      <c r="E21718" t="s">
        <v>622</v>
      </c>
      <c r="F21718" t="s">
        <v>2</v>
      </c>
      <c r="G21718" t="s">
        <v>47093</v>
      </c>
      <c r="I21718" t="s">
        <v>47111</v>
      </c>
      <c r="J21718" t="s">
        <v>47112</v>
      </c>
      <c r="K21718" t="s">
        <v>47113</v>
      </c>
      <c r="L21718">
        <v>53.23</v>
      </c>
      <c r="M21718">
        <v>100</v>
      </c>
      <c r="N21718">
        <v>0</v>
      </c>
      <c r="O21718">
        <v>100</v>
      </c>
      <c r="P21718">
        <v>0</v>
      </c>
    </row>
    <row r="21719" spans="1:16" x14ac:dyDescent="0.25">
      <c r="A21719" t="s">
        <v>44509</v>
      </c>
      <c r="B21719" t="s">
        <v>12983</v>
      </c>
      <c r="C21719" t="s">
        <v>12980</v>
      </c>
      <c r="D21719" t="s">
        <v>22</v>
      </c>
      <c r="E21719" t="s">
        <v>23</v>
      </c>
      <c r="F21719" t="s">
        <v>2</v>
      </c>
      <c r="G21719" t="s">
        <v>47093</v>
      </c>
      <c r="I21719" t="s">
        <v>47111</v>
      </c>
      <c r="J21719" t="s">
        <v>47112</v>
      </c>
      <c r="K21719" t="s">
        <v>47113</v>
      </c>
      <c r="L21719">
        <v>48.92</v>
      </c>
      <c r="M21719">
        <v>100</v>
      </c>
      <c r="N21719">
        <v>0</v>
      </c>
      <c r="O21719">
        <v>100</v>
      </c>
      <c r="P21719">
        <v>0</v>
      </c>
    </row>
    <row r="21720" spans="1:16" x14ac:dyDescent="0.25">
      <c r="A21720" t="s">
        <v>44510</v>
      </c>
      <c r="B21720" t="s">
        <v>12984</v>
      </c>
      <c r="C21720" t="s">
        <v>12985</v>
      </c>
      <c r="D21720" t="s">
        <v>2933</v>
      </c>
      <c r="E21720" t="s">
        <v>2934</v>
      </c>
      <c r="F21720" t="s">
        <v>5</v>
      </c>
      <c r="G21720" t="s">
        <v>47093</v>
      </c>
      <c r="H21720" t="s">
        <v>47054</v>
      </c>
      <c r="I21720" t="s">
        <v>47111</v>
      </c>
      <c r="J21720" t="s">
        <v>47112</v>
      </c>
      <c r="K21720" t="s">
        <v>47113</v>
      </c>
      <c r="L21720">
        <v>53.44</v>
      </c>
      <c r="M21720">
        <v>123</v>
      </c>
      <c r="N21720">
        <v>0</v>
      </c>
      <c r="O21720">
        <v>123</v>
      </c>
      <c r="P21720">
        <v>0</v>
      </c>
    </row>
    <row r="21721" spans="1:16" x14ac:dyDescent="0.25">
      <c r="A21721" t="s">
        <v>44511</v>
      </c>
      <c r="B21721" t="s">
        <v>12986</v>
      </c>
      <c r="C21721" t="s">
        <v>12987</v>
      </c>
      <c r="D21721" t="str">
        <f>"06"</f>
        <v>06</v>
      </c>
      <c r="E21721" t="s">
        <v>12871</v>
      </c>
      <c r="F21721" t="s">
        <v>2</v>
      </c>
      <c r="G21721" t="s">
        <v>47093</v>
      </c>
      <c r="H21721" t="s">
        <v>47054</v>
      </c>
      <c r="I21721" t="s">
        <v>47111</v>
      </c>
      <c r="J21721" t="s">
        <v>47112</v>
      </c>
      <c r="K21721" t="s">
        <v>47113</v>
      </c>
      <c r="L21721">
        <v>53.35</v>
      </c>
      <c r="M21721">
        <v>100</v>
      </c>
      <c r="N21721">
        <v>0</v>
      </c>
      <c r="O21721">
        <v>100</v>
      </c>
      <c r="P21721">
        <v>0</v>
      </c>
    </row>
    <row r="21722" spans="1:16" x14ac:dyDescent="0.25">
      <c r="A21722" t="s">
        <v>44512</v>
      </c>
      <c r="B21722" t="s">
        <v>12986</v>
      </c>
      <c r="C21722" t="s">
        <v>12987</v>
      </c>
      <c r="D21722" t="str">
        <f>"11"</f>
        <v>11</v>
      </c>
      <c r="E21722" t="s">
        <v>288</v>
      </c>
      <c r="F21722" t="s">
        <v>2</v>
      </c>
      <c r="G21722" t="s">
        <v>47093</v>
      </c>
      <c r="H21722" t="s">
        <v>47054</v>
      </c>
      <c r="I21722" t="s">
        <v>47111</v>
      </c>
      <c r="J21722" t="s">
        <v>47112</v>
      </c>
      <c r="K21722" t="s">
        <v>47113</v>
      </c>
      <c r="L21722">
        <v>49.16</v>
      </c>
      <c r="M21722">
        <v>100</v>
      </c>
      <c r="N21722">
        <v>0</v>
      </c>
      <c r="O21722">
        <v>100</v>
      </c>
      <c r="P21722">
        <v>0</v>
      </c>
    </row>
    <row r="21723" spans="1:16" x14ac:dyDescent="0.25">
      <c r="A21723" t="s">
        <v>44513</v>
      </c>
      <c r="B21723" t="s">
        <v>12986</v>
      </c>
      <c r="C21723" t="s">
        <v>12987</v>
      </c>
      <c r="D21723" t="s">
        <v>27</v>
      </c>
      <c r="E21723" t="s">
        <v>622</v>
      </c>
      <c r="F21723" t="s">
        <v>2</v>
      </c>
      <c r="G21723" t="s">
        <v>47093</v>
      </c>
      <c r="H21723" t="s">
        <v>47054</v>
      </c>
      <c r="I21723" t="s">
        <v>47111</v>
      </c>
      <c r="J21723" t="s">
        <v>47112</v>
      </c>
      <c r="K21723" t="s">
        <v>47113</v>
      </c>
      <c r="L21723">
        <v>54.11</v>
      </c>
      <c r="M21723">
        <v>100</v>
      </c>
      <c r="N21723">
        <v>0</v>
      </c>
      <c r="O21723">
        <v>100</v>
      </c>
      <c r="P21723">
        <v>0</v>
      </c>
    </row>
    <row r="21724" spans="1:16" x14ac:dyDescent="0.25">
      <c r="A21724" t="s">
        <v>44514</v>
      </c>
      <c r="B21724" t="s">
        <v>12986</v>
      </c>
      <c r="C21724" t="s">
        <v>12987</v>
      </c>
      <c r="D21724" t="s">
        <v>12811</v>
      </c>
      <c r="E21724" t="s">
        <v>12812</v>
      </c>
      <c r="F21724" t="s">
        <v>5</v>
      </c>
      <c r="G21724" t="s">
        <v>47093</v>
      </c>
      <c r="H21724" t="s">
        <v>47054</v>
      </c>
      <c r="I21724" t="s">
        <v>47111</v>
      </c>
      <c r="J21724" t="s">
        <v>47112</v>
      </c>
      <c r="K21724" t="s">
        <v>47113</v>
      </c>
      <c r="L21724">
        <v>57.41</v>
      </c>
      <c r="M21724">
        <v>129</v>
      </c>
      <c r="N21724">
        <v>0</v>
      </c>
      <c r="O21724">
        <v>129</v>
      </c>
      <c r="P21724">
        <v>0</v>
      </c>
    </row>
    <row r="21725" spans="1:16" x14ac:dyDescent="0.25">
      <c r="A21725" t="s">
        <v>44515</v>
      </c>
      <c r="B21725" t="s">
        <v>12986</v>
      </c>
      <c r="C21725" t="s">
        <v>12987</v>
      </c>
      <c r="D21725" t="s">
        <v>964</v>
      </c>
      <c r="E21725" t="s">
        <v>965</v>
      </c>
      <c r="F21725" t="s">
        <v>5</v>
      </c>
      <c r="G21725" t="s">
        <v>47093</v>
      </c>
      <c r="H21725" t="s">
        <v>47054</v>
      </c>
      <c r="I21725" t="s">
        <v>47111</v>
      </c>
      <c r="J21725" t="s">
        <v>47112</v>
      </c>
      <c r="K21725" t="s">
        <v>47113</v>
      </c>
      <c r="L21725">
        <v>55.76</v>
      </c>
      <c r="M21725">
        <v>130</v>
      </c>
      <c r="N21725">
        <v>0</v>
      </c>
      <c r="O21725">
        <v>130</v>
      </c>
      <c r="P21725">
        <v>0</v>
      </c>
    </row>
    <row r="21726" spans="1:16" x14ac:dyDescent="0.25">
      <c r="A21726" t="s">
        <v>44516</v>
      </c>
      <c r="B21726" t="s">
        <v>12986</v>
      </c>
      <c r="C21726" t="s">
        <v>12987</v>
      </c>
      <c r="D21726" t="s">
        <v>12864</v>
      </c>
      <c r="E21726" t="s">
        <v>12865</v>
      </c>
      <c r="F21726" t="s">
        <v>5</v>
      </c>
      <c r="G21726" t="s">
        <v>47093</v>
      </c>
      <c r="H21726" t="s">
        <v>47054</v>
      </c>
      <c r="I21726" t="s">
        <v>47111</v>
      </c>
      <c r="J21726" t="s">
        <v>47112</v>
      </c>
      <c r="K21726" t="s">
        <v>47113</v>
      </c>
      <c r="L21726">
        <v>57.41</v>
      </c>
      <c r="M21726">
        <v>129</v>
      </c>
      <c r="N21726">
        <v>0</v>
      </c>
      <c r="O21726">
        <v>129</v>
      </c>
      <c r="P21726">
        <v>0</v>
      </c>
    </row>
    <row r="21727" spans="1:16" x14ac:dyDescent="0.25">
      <c r="A21727" t="s">
        <v>44517</v>
      </c>
      <c r="B21727" t="s">
        <v>12986</v>
      </c>
      <c r="C21727" t="s">
        <v>12987</v>
      </c>
      <c r="D21727" t="s">
        <v>22</v>
      </c>
      <c r="E21727" t="s">
        <v>23</v>
      </c>
      <c r="F21727" t="s">
        <v>2</v>
      </c>
      <c r="G21727" t="s">
        <v>47093</v>
      </c>
      <c r="H21727" t="s">
        <v>47054</v>
      </c>
      <c r="I21727" t="s">
        <v>47111</v>
      </c>
      <c r="J21727" t="s">
        <v>47112</v>
      </c>
      <c r="K21727" t="s">
        <v>47113</v>
      </c>
      <c r="L21727">
        <v>49.72</v>
      </c>
      <c r="M21727">
        <v>100</v>
      </c>
      <c r="N21727">
        <v>0</v>
      </c>
      <c r="O21727">
        <v>100</v>
      </c>
      <c r="P21727">
        <v>0</v>
      </c>
    </row>
    <row r="21728" spans="1:16" x14ac:dyDescent="0.25">
      <c r="A21728" t="s">
        <v>44518</v>
      </c>
      <c r="B21728" t="s">
        <v>12988</v>
      </c>
      <c r="C21728" t="s">
        <v>12989</v>
      </c>
      <c r="D21728" t="str">
        <f>"11"</f>
        <v>11</v>
      </c>
      <c r="E21728" t="s">
        <v>288</v>
      </c>
      <c r="F21728" t="s">
        <v>2</v>
      </c>
      <c r="G21728" t="s">
        <v>47093</v>
      </c>
      <c r="H21728" t="s">
        <v>47054</v>
      </c>
      <c r="I21728" t="s">
        <v>47111</v>
      </c>
      <c r="J21728" t="s">
        <v>47112</v>
      </c>
      <c r="K21728" t="s">
        <v>47113</v>
      </c>
      <c r="L21728">
        <v>30.62</v>
      </c>
      <c r="M21728">
        <v>78</v>
      </c>
      <c r="N21728">
        <v>0</v>
      </c>
      <c r="O21728">
        <v>78</v>
      </c>
      <c r="P21728">
        <v>0</v>
      </c>
    </row>
    <row r="21729" spans="1:16" x14ac:dyDescent="0.25">
      <c r="A21729" t="s">
        <v>44519</v>
      </c>
      <c r="B21729" t="s">
        <v>12988</v>
      </c>
      <c r="C21729" t="s">
        <v>12989</v>
      </c>
      <c r="D21729" t="str">
        <f>"63"</f>
        <v>63</v>
      </c>
      <c r="E21729" t="s">
        <v>40</v>
      </c>
      <c r="F21729" t="s">
        <v>2</v>
      </c>
      <c r="G21729" t="s">
        <v>47093</v>
      </c>
      <c r="H21729" t="s">
        <v>47054</v>
      </c>
      <c r="I21729" t="s">
        <v>47111</v>
      </c>
      <c r="J21729" t="s">
        <v>47112</v>
      </c>
      <c r="K21729" t="s">
        <v>47113</v>
      </c>
      <c r="L21729">
        <v>32.83</v>
      </c>
      <c r="M21729">
        <v>73</v>
      </c>
      <c r="N21729">
        <v>0</v>
      </c>
      <c r="O21729">
        <v>73</v>
      </c>
      <c r="P21729">
        <v>0</v>
      </c>
    </row>
    <row r="21730" spans="1:16" x14ac:dyDescent="0.25">
      <c r="A21730" t="s">
        <v>44520</v>
      </c>
      <c r="B21730" t="s">
        <v>12988</v>
      </c>
      <c r="C21730" t="s">
        <v>12989</v>
      </c>
      <c r="D21730" t="str">
        <f>"78"</f>
        <v>78</v>
      </c>
      <c r="E21730" t="s">
        <v>5106</v>
      </c>
      <c r="F21730" t="s">
        <v>2</v>
      </c>
      <c r="G21730" t="s">
        <v>47093</v>
      </c>
      <c r="H21730" t="s">
        <v>47054</v>
      </c>
      <c r="I21730" t="s">
        <v>47111</v>
      </c>
      <c r="J21730" t="s">
        <v>47112</v>
      </c>
      <c r="K21730" t="s">
        <v>47113</v>
      </c>
      <c r="L21730">
        <v>38.590000000000003</v>
      </c>
      <c r="M21730">
        <v>97</v>
      </c>
      <c r="N21730">
        <v>0</v>
      </c>
      <c r="O21730">
        <v>97</v>
      </c>
      <c r="P21730">
        <v>0</v>
      </c>
    </row>
    <row r="21731" spans="1:16" x14ac:dyDescent="0.25">
      <c r="A21731" t="s">
        <v>44521</v>
      </c>
      <c r="B21731" t="s">
        <v>12988</v>
      </c>
      <c r="C21731" t="s">
        <v>12989</v>
      </c>
      <c r="D21731" t="s">
        <v>6814</v>
      </c>
      <c r="E21731" t="s">
        <v>6815</v>
      </c>
      <c r="F21731" t="s">
        <v>2</v>
      </c>
      <c r="G21731" t="s">
        <v>47093</v>
      </c>
      <c r="H21731" t="s">
        <v>47054</v>
      </c>
      <c r="I21731" t="s">
        <v>47111</v>
      </c>
      <c r="J21731" t="s">
        <v>47112</v>
      </c>
      <c r="K21731" t="s">
        <v>47113</v>
      </c>
      <c r="L21731">
        <v>36.04</v>
      </c>
      <c r="M21731">
        <v>80</v>
      </c>
      <c r="N21731">
        <v>0</v>
      </c>
      <c r="O21731">
        <v>80</v>
      </c>
      <c r="P21731">
        <v>0</v>
      </c>
    </row>
    <row r="21732" spans="1:16" x14ac:dyDescent="0.25">
      <c r="A21732" t="s">
        <v>44522</v>
      </c>
      <c r="B21732" t="s">
        <v>12988</v>
      </c>
      <c r="C21732" t="s">
        <v>12989</v>
      </c>
      <c r="D21732" t="s">
        <v>6816</v>
      </c>
      <c r="E21732" t="s">
        <v>6817</v>
      </c>
      <c r="F21732" t="s">
        <v>2</v>
      </c>
      <c r="G21732" t="s">
        <v>47093</v>
      </c>
      <c r="H21732" t="s">
        <v>47054</v>
      </c>
      <c r="I21732" t="s">
        <v>47111</v>
      </c>
      <c r="J21732" t="s">
        <v>47112</v>
      </c>
      <c r="K21732" t="s">
        <v>47113</v>
      </c>
      <c r="L21732">
        <v>34.71</v>
      </c>
      <c r="M21732">
        <v>77</v>
      </c>
      <c r="N21732">
        <v>0</v>
      </c>
      <c r="O21732">
        <v>77</v>
      </c>
      <c r="P21732">
        <v>0</v>
      </c>
    </row>
    <row r="21733" spans="1:16" x14ac:dyDescent="0.25">
      <c r="A21733" t="s">
        <v>44523</v>
      </c>
      <c r="B21733" t="s">
        <v>12988</v>
      </c>
      <c r="C21733" t="s">
        <v>12989</v>
      </c>
      <c r="D21733" t="s">
        <v>976</v>
      </c>
      <c r="E21733" t="s">
        <v>977</v>
      </c>
      <c r="F21733" t="s">
        <v>2</v>
      </c>
      <c r="G21733" t="s">
        <v>47093</v>
      </c>
      <c r="H21733" t="s">
        <v>47054</v>
      </c>
      <c r="I21733" t="s">
        <v>47111</v>
      </c>
      <c r="J21733" t="s">
        <v>47112</v>
      </c>
      <c r="K21733" t="s">
        <v>47113</v>
      </c>
      <c r="L21733">
        <v>35.4</v>
      </c>
      <c r="M21733">
        <v>77</v>
      </c>
      <c r="N21733">
        <v>0</v>
      </c>
      <c r="O21733">
        <v>77</v>
      </c>
      <c r="P21733">
        <v>0</v>
      </c>
    </row>
    <row r="21734" spans="1:16" x14ac:dyDescent="0.25">
      <c r="A21734" t="s">
        <v>44524</v>
      </c>
      <c r="B21734" t="s">
        <v>12988</v>
      </c>
      <c r="C21734" t="s">
        <v>12989</v>
      </c>
      <c r="D21734" t="s">
        <v>6818</v>
      </c>
      <c r="E21734" t="s">
        <v>6819</v>
      </c>
      <c r="F21734" t="s">
        <v>2</v>
      </c>
      <c r="G21734" t="s">
        <v>47093</v>
      </c>
      <c r="H21734" t="s">
        <v>47054</v>
      </c>
      <c r="I21734" t="s">
        <v>47111</v>
      </c>
      <c r="J21734" t="s">
        <v>47112</v>
      </c>
      <c r="K21734" t="s">
        <v>47113</v>
      </c>
      <c r="L21734">
        <v>34.6</v>
      </c>
      <c r="M21734">
        <v>77</v>
      </c>
      <c r="N21734">
        <v>0</v>
      </c>
      <c r="O21734">
        <v>77</v>
      </c>
      <c r="P21734">
        <v>0</v>
      </c>
    </row>
    <row r="21735" spans="1:16" x14ac:dyDescent="0.25">
      <c r="A21735" t="s">
        <v>44525</v>
      </c>
      <c r="B21735" t="s">
        <v>12988</v>
      </c>
      <c r="C21735" t="s">
        <v>12989</v>
      </c>
      <c r="D21735" t="s">
        <v>921</v>
      </c>
      <c r="E21735" t="s">
        <v>922</v>
      </c>
      <c r="F21735" t="s">
        <v>2</v>
      </c>
      <c r="G21735" t="s">
        <v>47093</v>
      </c>
      <c r="H21735" t="s">
        <v>47054</v>
      </c>
      <c r="I21735" t="s">
        <v>47111</v>
      </c>
      <c r="J21735" t="s">
        <v>47112</v>
      </c>
      <c r="K21735" t="s">
        <v>47113</v>
      </c>
      <c r="L21735">
        <v>35.72</v>
      </c>
      <c r="M21735">
        <v>80</v>
      </c>
      <c r="N21735">
        <v>0</v>
      </c>
      <c r="O21735">
        <v>80</v>
      </c>
      <c r="P21735">
        <v>0</v>
      </c>
    </row>
    <row r="21736" spans="1:16" x14ac:dyDescent="0.25">
      <c r="A21736" t="s">
        <v>44526</v>
      </c>
      <c r="B21736" t="s">
        <v>16146</v>
      </c>
      <c r="C21736" t="s">
        <v>16147</v>
      </c>
      <c r="D21736" t="s">
        <v>15581</v>
      </c>
      <c r="E21736" t="s">
        <v>15582</v>
      </c>
      <c r="F21736" t="s">
        <v>3750</v>
      </c>
      <c r="G21736" t="s">
        <v>47093</v>
      </c>
      <c r="H21736" t="s">
        <v>47054</v>
      </c>
      <c r="I21736" t="s">
        <v>47116</v>
      </c>
      <c r="J21736" t="s">
        <v>47117</v>
      </c>
      <c r="K21736" t="s">
        <v>47113</v>
      </c>
      <c r="L21736">
        <v>28.74</v>
      </c>
      <c r="M21736">
        <v>113</v>
      </c>
      <c r="N21736">
        <v>0</v>
      </c>
      <c r="O21736">
        <v>113</v>
      </c>
      <c r="P21736">
        <v>0</v>
      </c>
    </row>
    <row r="21737" spans="1:16" x14ac:dyDescent="0.25">
      <c r="A21737" t="s">
        <v>44527</v>
      </c>
      <c r="B21737" t="s">
        <v>19245</v>
      </c>
      <c r="C21737" t="s">
        <v>19246</v>
      </c>
      <c r="D21737" t="s">
        <v>19247</v>
      </c>
      <c r="E21737" t="s">
        <v>19248</v>
      </c>
      <c r="F21737" t="s">
        <v>3750</v>
      </c>
      <c r="G21737" t="s">
        <v>47093</v>
      </c>
      <c r="H21737" t="s">
        <v>47054</v>
      </c>
      <c r="I21737" t="s">
        <v>47116</v>
      </c>
      <c r="J21737" t="s">
        <v>47117</v>
      </c>
      <c r="K21737" t="s">
        <v>47113</v>
      </c>
      <c r="L21737">
        <v>26.4</v>
      </c>
      <c r="M21737">
        <v>83</v>
      </c>
      <c r="N21737">
        <v>0</v>
      </c>
      <c r="O21737">
        <v>83</v>
      </c>
      <c r="P21737">
        <v>0</v>
      </c>
    </row>
    <row r="21738" spans="1:16" x14ac:dyDescent="0.25">
      <c r="A21738" t="s">
        <v>44528</v>
      </c>
      <c r="B21738" t="s">
        <v>19249</v>
      </c>
      <c r="C21738" t="s">
        <v>19250</v>
      </c>
      <c r="D21738" t="s">
        <v>12903</v>
      </c>
      <c r="E21738" t="s">
        <v>19251</v>
      </c>
      <c r="F21738" t="s">
        <v>3750</v>
      </c>
      <c r="G21738" t="s">
        <v>47093</v>
      </c>
      <c r="H21738" t="s">
        <v>47054</v>
      </c>
      <c r="I21738" t="s">
        <v>47116</v>
      </c>
      <c r="J21738" t="s">
        <v>47117</v>
      </c>
      <c r="K21738" t="s">
        <v>47113</v>
      </c>
      <c r="L21738">
        <v>28.87</v>
      </c>
      <c r="M21738">
        <v>81</v>
      </c>
      <c r="N21738">
        <v>0</v>
      </c>
      <c r="O21738">
        <v>81</v>
      </c>
      <c r="P21738">
        <v>0</v>
      </c>
    </row>
    <row r="21739" spans="1:16" x14ac:dyDescent="0.25">
      <c r="A21739" t="s">
        <v>44529</v>
      </c>
      <c r="B21739" t="s">
        <v>19252</v>
      </c>
      <c r="C21739" t="s">
        <v>18282</v>
      </c>
      <c r="D21739" t="s">
        <v>12903</v>
      </c>
      <c r="E21739" t="s">
        <v>19251</v>
      </c>
      <c r="F21739" t="s">
        <v>16822</v>
      </c>
      <c r="G21739" t="s">
        <v>47093</v>
      </c>
      <c r="H21739" t="s">
        <v>47054</v>
      </c>
      <c r="I21739" t="s">
        <v>47116</v>
      </c>
      <c r="J21739" t="s">
        <v>47117</v>
      </c>
      <c r="K21739" t="s">
        <v>47113</v>
      </c>
      <c r="L21739">
        <v>26.43</v>
      </c>
      <c r="M21739">
        <v>78</v>
      </c>
      <c r="N21739">
        <v>0</v>
      </c>
      <c r="O21739">
        <v>78</v>
      </c>
      <c r="P21739">
        <v>0</v>
      </c>
    </row>
    <row r="21740" spans="1:16" x14ac:dyDescent="0.25">
      <c r="A21740" t="s">
        <v>44530</v>
      </c>
      <c r="B21740" t="s">
        <v>12990</v>
      </c>
      <c r="C21740" t="s">
        <v>12991</v>
      </c>
      <c r="D21740" t="s">
        <v>27</v>
      </c>
      <c r="E21740" t="s">
        <v>12992</v>
      </c>
      <c r="F21740" t="s">
        <v>2</v>
      </c>
      <c r="G21740" t="s">
        <v>47093</v>
      </c>
      <c r="H21740" t="s">
        <v>47054</v>
      </c>
      <c r="I21740" t="s">
        <v>47111</v>
      </c>
      <c r="J21740" t="s">
        <v>47112</v>
      </c>
      <c r="K21740" t="s">
        <v>47113</v>
      </c>
      <c r="L21740">
        <v>46.01</v>
      </c>
      <c r="M21740">
        <v>111</v>
      </c>
      <c r="N21740">
        <v>0</v>
      </c>
      <c r="O21740">
        <v>111</v>
      </c>
      <c r="P21740">
        <v>0</v>
      </c>
    </row>
    <row r="21741" spans="1:16" x14ac:dyDescent="0.25">
      <c r="A21741" t="s">
        <v>44531</v>
      </c>
      <c r="B21741" t="s">
        <v>12990</v>
      </c>
      <c r="C21741" t="s">
        <v>12991</v>
      </c>
      <c r="D21741" t="s">
        <v>294</v>
      </c>
      <c r="E21741" t="s">
        <v>295</v>
      </c>
      <c r="F21741" t="s">
        <v>2</v>
      </c>
      <c r="G21741" t="s">
        <v>47093</v>
      </c>
      <c r="H21741" t="s">
        <v>47054</v>
      </c>
      <c r="I21741" t="s">
        <v>47111</v>
      </c>
      <c r="J21741" t="s">
        <v>47112</v>
      </c>
      <c r="K21741" t="s">
        <v>47113</v>
      </c>
      <c r="L21741">
        <v>51.76</v>
      </c>
      <c r="M21741">
        <v>96</v>
      </c>
      <c r="N21741">
        <v>0</v>
      </c>
      <c r="O21741">
        <v>96</v>
      </c>
      <c r="P21741">
        <v>0</v>
      </c>
    </row>
    <row r="21742" spans="1:16" x14ac:dyDescent="0.25">
      <c r="A21742" t="s">
        <v>44532</v>
      </c>
      <c r="B21742" t="s">
        <v>12990</v>
      </c>
      <c r="C21742" t="s">
        <v>12991</v>
      </c>
      <c r="D21742" t="s">
        <v>22</v>
      </c>
      <c r="E21742" t="s">
        <v>23</v>
      </c>
      <c r="F21742" t="s">
        <v>2</v>
      </c>
      <c r="G21742" t="s">
        <v>47093</v>
      </c>
      <c r="H21742" t="s">
        <v>47054</v>
      </c>
      <c r="I21742" t="s">
        <v>47111</v>
      </c>
      <c r="J21742" t="s">
        <v>47112</v>
      </c>
      <c r="K21742" t="s">
        <v>47113</v>
      </c>
      <c r="L21742">
        <v>41.62</v>
      </c>
      <c r="M21742">
        <v>87</v>
      </c>
      <c r="N21742">
        <v>0</v>
      </c>
      <c r="O21742">
        <v>87</v>
      </c>
      <c r="P21742">
        <v>0</v>
      </c>
    </row>
    <row r="21743" spans="1:16" x14ac:dyDescent="0.25">
      <c r="A21743" t="s">
        <v>44533</v>
      </c>
      <c r="B21743" t="s">
        <v>12990</v>
      </c>
      <c r="C21743" t="s">
        <v>12991</v>
      </c>
      <c r="D21743" t="s">
        <v>12993</v>
      </c>
      <c r="E21743" t="s">
        <v>12994</v>
      </c>
      <c r="F21743" t="s">
        <v>6</v>
      </c>
      <c r="G21743" t="s">
        <v>47093</v>
      </c>
      <c r="H21743" t="s">
        <v>47054</v>
      </c>
      <c r="I21743" t="s">
        <v>47111</v>
      </c>
      <c r="J21743" t="s">
        <v>47112</v>
      </c>
      <c r="K21743" t="s">
        <v>47113</v>
      </c>
      <c r="L21743">
        <v>48.96</v>
      </c>
      <c r="M21743">
        <v>118</v>
      </c>
      <c r="N21743">
        <v>0</v>
      </c>
      <c r="O21743">
        <v>118</v>
      </c>
      <c r="P21743">
        <v>0</v>
      </c>
    </row>
    <row r="21744" spans="1:16" x14ac:dyDescent="0.25">
      <c r="A21744" t="s">
        <v>44534</v>
      </c>
      <c r="B21744" t="s">
        <v>12990</v>
      </c>
      <c r="C21744" t="s">
        <v>12991</v>
      </c>
      <c r="D21744" t="s">
        <v>5378</v>
      </c>
      <c r="E21744" t="s">
        <v>5379</v>
      </c>
      <c r="F21744" t="s">
        <v>3</v>
      </c>
      <c r="G21744" t="s">
        <v>47093</v>
      </c>
      <c r="H21744" t="s">
        <v>47054</v>
      </c>
      <c r="I21744" t="s">
        <v>47111</v>
      </c>
      <c r="J21744" t="s">
        <v>47112</v>
      </c>
      <c r="K21744" t="s">
        <v>47113</v>
      </c>
      <c r="L21744">
        <v>48.86</v>
      </c>
      <c r="M21744">
        <v>123</v>
      </c>
      <c r="N21744">
        <v>0</v>
      </c>
      <c r="O21744">
        <v>123</v>
      </c>
      <c r="P21744">
        <v>0</v>
      </c>
    </row>
    <row r="21745" spans="1:16" x14ac:dyDescent="0.25">
      <c r="A21745" t="s">
        <v>44535</v>
      </c>
      <c r="B21745" t="s">
        <v>12995</v>
      </c>
      <c r="C21745" t="s">
        <v>12996</v>
      </c>
      <c r="D21745" t="s">
        <v>12935</v>
      </c>
      <c r="E21745" t="s">
        <v>12936</v>
      </c>
      <c r="F21745" t="s">
        <v>6</v>
      </c>
      <c r="G21745" t="s">
        <v>47093</v>
      </c>
      <c r="H21745" t="s">
        <v>47054</v>
      </c>
      <c r="I21745" t="s">
        <v>47111</v>
      </c>
      <c r="J21745" t="s">
        <v>47112</v>
      </c>
      <c r="K21745" t="s">
        <v>47113</v>
      </c>
      <c r="L21745">
        <v>57.1</v>
      </c>
      <c r="M21745">
        <v>141</v>
      </c>
      <c r="N21745">
        <v>0</v>
      </c>
      <c r="O21745">
        <v>141</v>
      </c>
      <c r="P21745">
        <v>0</v>
      </c>
    </row>
    <row r="21746" spans="1:16" x14ac:dyDescent="0.25">
      <c r="A21746" t="s">
        <v>988</v>
      </c>
      <c r="B21746" t="s">
        <v>989</v>
      </c>
      <c r="C21746" t="s">
        <v>990</v>
      </c>
      <c r="D21746" t="s">
        <v>991</v>
      </c>
      <c r="E21746" t="s">
        <v>992</v>
      </c>
      <c r="F21746" t="s">
        <v>4</v>
      </c>
      <c r="G21746" t="s">
        <v>48515</v>
      </c>
      <c r="H21746" t="s">
        <v>47054</v>
      </c>
      <c r="I21746" t="s">
        <v>47111</v>
      </c>
      <c r="J21746" t="s">
        <v>47112</v>
      </c>
      <c r="K21746" t="s">
        <v>47113</v>
      </c>
      <c r="L21746">
        <v>55.44</v>
      </c>
      <c r="M21746">
        <v>115</v>
      </c>
      <c r="N21746">
        <v>0</v>
      </c>
      <c r="O21746">
        <v>115</v>
      </c>
      <c r="P21746">
        <v>0</v>
      </c>
    </row>
    <row r="21747" spans="1:16" x14ac:dyDescent="0.25">
      <c r="A21747" t="s">
        <v>44536</v>
      </c>
      <c r="B21747" t="s">
        <v>12997</v>
      </c>
      <c r="C21747" t="s">
        <v>12998</v>
      </c>
      <c r="D21747" t="str">
        <f>"1001"</f>
        <v>1001</v>
      </c>
      <c r="E21747" t="s">
        <v>12999</v>
      </c>
      <c r="F21747" t="s">
        <v>4</v>
      </c>
      <c r="G21747" t="s">
        <v>47093</v>
      </c>
      <c r="H21747" t="s">
        <v>47054</v>
      </c>
      <c r="I21747" t="s">
        <v>47111</v>
      </c>
      <c r="J21747" t="s">
        <v>47112</v>
      </c>
      <c r="K21747" t="s">
        <v>47113</v>
      </c>
      <c r="L21747">
        <v>52.34</v>
      </c>
      <c r="M21747">
        <v>128</v>
      </c>
      <c r="N21747">
        <v>0</v>
      </c>
      <c r="O21747">
        <v>128</v>
      </c>
      <c r="P21747">
        <v>0</v>
      </c>
    </row>
    <row r="21748" spans="1:16" x14ac:dyDescent="0.25">
      <c r="A21748" t="s">
        <v>993</v>
      </c>
      <c r="B21748" t="s">
        <v>994</v>
      </c>
      <c r="C21748" t="s">
        <v>995</v>
      </c>
      <c r="D21748" t="s">
        <v>996</v>
      </c>
      <c r="E21748" t="s">
        <v>997</v>
      </c>
      <c r="F21748" t="s">
        <v>0</v>
      </c>
      <c r="G21748" t="s">
        <v>47093</v>
      </c>
      <c r="H21748" t="s">
        <v>47054</v>
      </c>
      <c r="I21748" t="s">
        <v>47111</v>
      </c>
      <c r="J21748" t="s">
        <v>47112</v>
      </c>
      <c r="K21748" t="s">
        <v>47113</v>
      </c>
      <c r="L21748">
        <v>52.57</v>
      </c>
      <c r="M21748">
        <v>115</v>
      </c>
      <c r="N21748">
        <v>0</v>
      </c>
      <c r="O21748">
        <v>115</v>
      </c>
      <c r="P21748">
        <v>0</v>
      </c>
    </row>
    <row r="21749" spans="1:16" x14ac:dyDescent="0.25">
      <c r="A21749" t="s">
        <v>998</v>
      </c>
      <c r="B21749" t="s">
        <v>994</v>
      </c>
      <c r="C21749" t="s">
        <v>995</v>
      </c>
      <c r="D21749" t="s">
        <v>999</v>
      </c>
      <c r="E21749" t="s">
        <v>1000</v>
      </c>
      <c r="F21749" t="s">
        <v>0</v>
      </c>
      <c r="G21749" t="s">
        <v>47093</v>
      </c>
      <c r="H21749" t="s">
        <v>47054</v>
      </c>
      <c r="I21749" t="s">
        <v>47111</v>
      </c>
      <c r="J21749" t="s">
        <v>47112</v>
      </c>
      <c r="K21749" t="s">
        <v>47113</v>
      </c>
      <c r="L21749">
        <v>56.8</v>
      </c>
      <c r="M21749">
        <v>122</v>
      </c>
      <c r="N21749">
        <v>0</v>
      </c>
      <c r="O21749">
        <v>122</v>
      </c>
      <c r="P21749">
        <v>0</v>
      </c>
    </row>
    <row r="21750" spans="1:16" x14ac:dyDescent="0.25">
      <c r="A21750" t="s">
        <v>1001</v>
      </c>
      <c r="B21750" t="s">
        <v>1002</v>
      </c>
      <c r="C21750" t="s">
        <v>1003</v>
      </c>
      <c r="D21750" t="s">
        <v>996</v>
      </c>
      <c r="E21750" t="s">
        <v>997</v>
      </c>
      <c r="F21750" t="s">
        <v>0</v>
      </c>
      <c r="G21750" t="s">
        <v>47093</v>
      </c>
      <c r="H21750" t="s">
        <v>47054</v>
      </c>
      <c r="I21750" t="s">
        <v>47111</v>
      </c>
      <c r="J21750" t="s">
        <v>47112</v>
      </c>
      <c r="K21750" t="s">
        <v>47113</v>
      </c>
      <c r="L21750">
        <v>52.57</v>
      </c>
      <c r="M21750">
        <v>115</v>
      </c>
      <c r="N21750">
        <v>0</v>
      </c>
      <c r="O21750">
        <v>115</v>
      </c>
      <c r="P21750">
        <v>0</v>
      </c>
    </row>
    <row r="21751" spans="1:16" x14ac:dyDescent="0.25">
      <c r="A21751" t="s">
        <v>1004</v>
      </c>
      <c r="B21751" t="s">
        <v>1002</v>
      </c>
      <c r="C21751" t="s">
        <v>1003</v>
      </c>
      <c r="D21751" t="s">
        <v>999</v>
      </c>
      <c r="E21751" t="s">
        <v>1000</v>
      </c>
      <c r="F21751" t="s">
        <v>0</v>
      </c>
      <c r="G21751" t="s">
        <v>47093</v>
      </c>
      <c r="H21751" t="s">
        <v>47054</v>
      </c>
      <c r="I21751" t="s">
        <v>47111</v>
      </c>
      <c r="J21751" t="s">
        <v>47112</v>
      </c>
      <c r="K21751" t="s">
        <v>47113</v>
      </c>
      <c r="L21751">
        <v>56.8</v>
      </c>
      <c r="M21751">
        <v>122</v>
      </c>
      <c r="N21751">
        <v>0</v>
      </c>
      <c r="O21751">
        <v>122</v>
      </c>
      <c r="P21751">
        <v>0</v>
      </c>
    </row>
    <row r="21752" spans="1:16" x14ac:dyDescent="0.25">
      <c r="A21752" t="s">
        <v>1005</v>
      </c>
      <c r="B21752" t="s">
        <v>1006</v>
      </c>
      <c r="C21752" t="s">
        <v>1007</v>
      </c>
      <c r="D21752" t="s">
        <v>996</v>
      </c>
      <c r="E21752" t="s">
        <v>997</v>
      </c>
      <c r="F21752" t="s">
        <v>0</v>
      </c>
      <c r="G21752" t="s">
        <v>47093</v>
      </c>
      <c r="H21752" t="s">
        <v>47054</v>
      </c>
      <c r="I21752" t="s">
        <v>47111</v>
      </c>
      <c r="J21752" t="s">
        <v>47112</v>
      </c>
      <c r="K21752" t="s">
        <v>47113</v>
      </c>
      <c r="L21752">
        <v>44.81</v>
      </c>
      <c r="M21752">
        <v>111</v>
      </c>
      <c r="N21752">
        <v>0</v>
      </c>
      <c r="O21752">
        <v>111</v>
      </c>
      <c r="P21752">
        <v>0</v>
      </c>
    </row>
    <row r="21753" spans="1:16" x14ac:dyDescent="0.25">
      <c r="A21753" t="s">
        <v>1008</v>
      </c>
      <c r="B21753" t="s">
        <v>1006</v>
      </c>
      <c r="C21753" t="s">
        <v>1007</v>
      </c>
      <c r="D21753" t="s">
        <v>999</v>
      </c>
      <c r="E21753" t="s">
        <v>1000</v>
      </c>
      <c r="F21753" t="s">
        <v>0</v>
      </c>
      <c r="G21753" t="s">
        <v>47093</v>
      </c>
      <c r="H21753" t="s">
        <v>47054</v>
      </c>
      <c r="I21753" t="s">
        <v>47111</v>
      </c>
      <c r="J21753" t="s">
        <v>47112</v>
      </c>
      <c r="K21753" t="s">
        <v>47113</v>
      </c>
      <c r="L21753">
        <v>49.02</v>
      </c>
      <c r="M21753">
        <v>111</v>
      </c>
      <c r="N21753">
        <v>0</v>
      </c>
      <c r="O21753">
        <v>111</v>
      </c>
      <c r="P21753">
        <v>0</v>
      </c>
    </row>
    <row r="21754" spans="1:16" x14ac:dyDescent="0.25">
      <c r="A21754" t="s">
        <v>1009</v>
      </c>
      <c r="B21754" t="s">
        <v>1010</v>
      </c>
      <c r="C21754" t="s">
        <v>1011</v>
      </c>
      <c r="D21754" t="s">
        <v>996</v>
      </c>
      <c r="E21754" t="s">
        <v>997</v>
      </c>
      <c r="F21754" t="s">
        <v>0</v>
      </c>
      <c r="G21754" t="s">
        <v>47093</v>
      </c>
      <c r="H21754" t="s">
        <v>47054</v>
      </c>
      <c r="I21754" t="s">
        <v>47111</v>
      </c>
      <c r="J21754" t="s">
        <v>47112</v>
      </c>
      <c r="K21754" t="s">
        <v>47113</v>
      </c>
      <c r="L21754">
        <v>44.81</v>
      </c>
      <c r="M21754">
        <v>111</v>
      </c>
      <c r="N21754">
        <v>0</v>
      </c>
      <c r="O21754">
        <v>111</v>
      </c>
      <c r="P21754">
        <v>0</v>
      </c>
    </row>
    <row r="21755" spans="1:16" x14ac:dyDescent="0.25">
      <c r="A21755" t="s">
        <v>1012</v>
      </c>
      <c r="B21755" t="s">
        <v>1010</v>
      </c>
      <c r="C21755" t="s">
        <v>1011</v>
      </c>
      <c r="D21755" t="s">
        <v>999</v>
      </c>
      <c r="E21755" t="s">
        <v>1000</v>
      </c>
      <c r="F21755" t="s">
        <v>0</v>
      </c>
      <c r="G21755" t="s">
        <v>47093</v>
      </c>
      <c r="H21755" t="s">
        <v>47054</v>
      </c>
      <c r="I21755" t="s">
        <v>47111</v>
      </c>
      <c r="J21755" t="s">
        <v>47112</v>
      </c>
      <c r="K21755" t="s">
        <v>47113</v>
      </c>
      <c r="L21755">
        <v>49.02</v>
      </c>
      <c r="M21755">
        <v>111</v>
      </c>
      <c r="N21755">
        <v>0</v>
      </c>
      <c r="O21755">
        <v>111</v>
      </c>
      <c r="P21755">
        <v>0</v>
      </c>
    </row>
    <row r="21756" spans="1:16" x14ac:dyDescent="0.25">
      <c r="A21756" t="s">
        <v>1013</v>
      </c>
      <c r="B21756" t="s">
        <v>1014</v>
      </c>
      <c r="C21756" t="s">
        <v>1015</v>
      </c>
      <c r="D21756" t="s">
        <v>1016</v>
      </c>
      <c r="E21756" t="s">
        <v>1017</v>
      </c>
      <c r="F21756" t="s">
        <v>1</v>
      </c>
      <c r="G21756" t="s">
        <v>47093</v>
      </c>
      <c r="H21756" t="s">
        <v>47054</v>
      </c>
      <c r="I21756" t="s">
        <v>47111</v>
      </c>
      <c r="J21756" t="s">
        <v>47112</v>
      </c>
      <c r="K21756" t="s">
        <v>47113</v>
      </c>
      <c r="L21756">
        <v>52.57</v>
      </c>
      <c r="M21756">
        <v>156</v>
      </c>
      <c r="N21756">
        <v>0</v>
      </c>
      <c r="O21756">
        <v>156</v>
      </c>
      <c r="P21756">
        <v>0</v>
      </c>
    </row>
    <row r="21757" spans="1:16" x14ac:dyDescent="0.25">
      <c r="A21757" t="s">
        <v>1018</v>
      </c>
      <c r="B21757" t="s">
        <v>1014</v>
      </c>
      <c r="C21757" t="s">
        <v>1015</v>
      </c>
      <c r="D21757" t="s">
        <v>1019</v>
      </c>
      <c r="E21757" t="s">
        <v>1020</v>
      </c>
      <c r="F21757" t="s">
        <v>1</v>
      </c>
      <c r="G21757" t="s">
        <v>47093</v>
      </c>
      <c r="H21757" t="s">
        <v>47054</v>
      </c>
      <c r="I21757" t="s">
        <v>47111</v>
      </c>
      <c r="J21757" t="s">
        <v>47112</v>
      </c>
      <c r="K21757" t="s">
        <v>47113</v>
      </c>
      <c r="L21757">
        <v>53.66</v>
      </c>
      <c r="M21757">
        <v>160</v>
      </c>
      <c r="N21757">
        <v>0</v>
      </c>
      <c r="O21757">
        <v>160</v>
      </c>
      <c r="P21757">
        <v>0</v>
      </c>
    </row>
    <row r="21758" spans="1:16" x14ac:dyDescent="0.25">
      <c r="A21758" t="s">
        <v>44537</v>
      </c>
      <c r="B21758" t="s">
        <v>13000</v>
      </c>
      <c r="C21758" t="s">
        <v>13001</v>
      </c>
      <c r="D21758" t="s">
        <v>13002</v>
      </c>
      <c r="E21758" t="s">
        <v>13003</v>
      </c>
      <c r="F21758" t="s">
        <v>1</v>
      </c>
      <c r="G21758" t="s">
        <v>47098</v>
      </c>
      <c r="H21758" t="s">
        <v>47054</v>
      </c>
      <c r="I21758" t="s">
        <v>47111</v>
      </c>
      <c r="J21758" t="s">
        <v>47112</v>
      </c>
      <c r="K21758" t="s">
        <v>47113</v>
      </c>
      <c r="L21758">
        <v>90.72</v>
      </c>
      <c r="M21758">
        <v>223</v>
      </c>
      <c r="N21758">
        <v>0</v>
      </c>
      <c r="O21758">
        <v>223</v>
      </c>
      <c r="P21758">
        <v>0</v>
      </c>
    </row>
    <row r="21759" spans="1:16" x14ac:dyDescent="0.25">
      <c r="A21759" t="s">
        <v>44538</v>
      </c>
      <c r="B21759" t="s">
        <v>16148</v>
      </c>
      <c r="C21759" t="s">
        <v>16149</v>
      </c>
      <c r="D21759" t="s">
        <v>15581</v>
      </c>
      <c r="E21759" t="s">
        <v>15582</v>
      </c>
      <c r="F21759" t="s">
        <v>3750</v>
      </c>
      <c r="G21759" t="s">
        <v>47093</v>
      </c>
      <c r="H21759" t="s">
        <v>47054</v>
      </c>
      <c r="I21759" t="s">
        <v>47116</v>
      </c>
      <c r="J21759" t="s">
        <v>47117</v>
      </c>
      <c r="K21759" t="s">
        <v>47113</v>
      </c>
      <c r="L21759">
        <v>26.15</v>
      </c>
      <c r="M21759">
        <v>100</v>
      </c>
      <c r="N21759">
        <v>0</v>
      </c>
      <c r="O21759">
        <v>100</v>
      </c>
      <c r="P21759">
        <v>0</v>
      </c>
    </row>
    <row r="21760" spans="1:16" x14ac:dyDescent="0.25">
      <c r="A21760" t="s">
        <v>15131</v>
      </c>
      <c r="B21760" t="s">
        <v>13004</v>
      </c>
      <c r="C21760" t="s">
        <v>12342</v>
      </c>
      <c r="D21760" t="s">
        <v>6840</v>
      </c>
      <c r="E21760" t="s">
        <v>6841</v>
      </c>
      <c r="F21760" t="s">
        <v>2068</v>
      </c>
      <c r="G21760" t="s">
        <v>47093</v>
      </c>
      <c r="H21760" t="s">
        <v>47054</v>
      </c>
      <c r="I21760" t="s">
        <v>47111</v>
      </c>
      <c r="J21760" t="s">
        <v>47112</v>
      </c>
      <c r="K21760" t="s">
        <v>47113</v>
      </c>
      <c r="L21760">
        <v>45.27</v>
      </c>
      <c r="M21760">
        <v>112</v>
      </c>
      <c r="N21760">
        <v>0</v>
      </c>
      <c r="O21760">
        <v>112</v>
      </c>
      <c r="P21760">
        <v>0</v>
      </c>
    </row>
    <row r="21761" spans="1:16" x14ac:dyDescent="0.25">
      <c r="A21761" t="s">
        <v>44539</v>
      </c>
      <c r="B21761" t="s">
        <v>19253</v>
      </c>
      <c r="C21761" t="s">
        <v>19254</v>
      </c>
      <c r="D21761" t="str">
        <f>"11"</f>
        <v>11</v>
      </c>
      <c r="E21761" t="s">
        <v>288</v>
      </c>
      <c r="F21761" t="s">
        <v>3750</v>
      </c>
      <c r="G21761" t="s">
        <v>47093</v>
      </c>
      <c r="H21761" t="s">
        <v>47054</v>
      </c>
      <c r="I21761" t="s">
        <v>47116</v>
      </c>
      <c r="J21761" t="s">
        <v>47117</v>
      </c>
      <c r="K21761" t="s">
        <v>47113</v>
      </c>
      <c r="L21761">
        <v>23.81</v>
      </c>
      <c r="M21761">
        <v>70</v>
      </c>
      <c r="N21761">
        <v>0</v>
      </c>
      <c r="O21761">
        <v>70</v>
      </c>
      <c r="P21761">
        <v>0</v>
      </c>
    </row>
    <row r="21762" spans="1:16" x14ac:dyDescent="0.25">
      <c r="A21762" t="s">
        <v>44540</v>
      </c>
      <c r="B21762" t="s">
        <v>19255</v>
      </c>
      <c r="C21762" t="s">
        <v>19256</v>
      </c>
      <c r="D21762" t="s">
        <v>19257</v>
      </c>
      <c r="E21762" t="s">
        <v>19258</v>
      </c>
      <c r="F21762" t="s">
        <v>3750</v>
      </c>
      <c r="G21762" t="s">
        <v>47093</v>
      </c>
      <c r="H21762" t="s">
        <v>47054</v>
      </c>
      <c r="I21762" t="s">
        <v>47116</v>
      </c>
      <c r="J21762" t="s">
        <v>47117</v>
      </c>
      <c r="K21762" t="s">
        <v>47113</v>
      </c>
      <c r="L21762">
        <v>24.73</v>
      </c>
      <c r="M21762">
        <v>70</v>
      </c>
      <c r="N21762">
        <v>0</v>
      </c>
      <c r="O21762">
        <v>70</v>
      </c>
      <c r="P21762">
        <v>0</v>
      </c>
    </row>
    <row r="21763" spans="1:16" x14ac:dyDescent="0.25">
      <c r="A21763" t="s">
        <v>44541</v>
      </c>
      <c r="B21763" t="s">
        <v>19259</v>
      </c>
      <c r="C21763" t="s">
        <v>19260</v>
      </c>
      <c r="D21763" t="s">
        <v>19261</v>
      </c>
      <c r="E21763" t="s">
        <v>19262</v>
      </c>
      <c r="F21763" t="s">
        <v>3750</v>
      </c>
      <c r="G21763" t="s">
        <v>47093</v>
      </c>
      <c r="H21763" t="s">
        <v>47054</v>
      </c>
      <c r="I21763" t="s">
        <v>47116</v>
      </c>
      <c r="J21763" t="s">
        <v>47117</v>
      </c>
      <c r="K21763" t="s">
        <v>47113</v>
      </c>
      <c r="L21763">
        <v>25.15</v>
      </c>
      <c r="M21763">
        <v>71</v>
      </c>
      <c r="N21763">
        <v>0</v>
      </c>
      <c r="O21763">
        <v>71</v>
      </c>
      <c r="P21763">
        <v>0</v>
      </c>
    </row>
    <row r="21764" spans="1:16" x14ac:dyDescent="0.25">
      <c r="A21764" t="s">
        <v>44542</v>
      </c>
      <c r="B21764" t="s">
        <v>19263</v>
      </c>
      <c r="C21764" t="s">
        <v>19264</v>
      </c>
      <c r="D21764" t="s">
        <v>10075</v>
      </c>
      <c r="E21764" t="s">
        <v>10076</v>
      </c>
      <c r="F21764" t="s">
        <v>3750</v>
      </c>
      <c r="G21764" t="s">
        <v>47093</v>
      </c>
      <c r="H21764" t="s">
        <v>47054</v>
      </c>
      <c r="I21764" t="s">
        <v>47116</v>
      </c>
      <c r="J21764" t="s">
        <v>47117</v>
      </c>
      <c r="K21764" t="s">
        <v>47113</v>
      </c>
      <c r="L21764">
        <v>29.7</v>
      </c>
      <c r="M21764">
        <v>83</v>
      </c>
      <c r="N21764">
        <v>0</v>
      </c>
      <c r="O21764">
        <v>83</v>
      </c>
      <c r="P21764">
        <v>0</v>
      </c>
    </row>
    <row r="21765" spans="1:16" x14ac:dyDescent="0.25">
      <c r="A21765" t="s">
        <v>44543</v>
      </c>
      <c r="B21765" t="s">
        <v>19265</v>
      </c>
      <c r="C21765" t="s">
        <v>19266</v>
      </c>
      <c r="D21765" t="s">
        <v>10075</v>
      </c>
      <c r="E21765" t="s">
        <v>10076</v>
      </c>
      <c r="F21765" t="s">
        <v>16822</v>
      </c>
      <c r="G21765" t="s">
        <v>47093</v>
      </c>
      <c r="I21765" t="s">
        <v>47116</v>
      </c>
      <c r="J21765" t="s">
        <v>47117</v>
      </c>
      <c r="K21765" t="s">
        <v>47113</v>
      </c>
      <c r="L21765">
        <v>27.19</v>
      </c>
      <c r="M21765">
        <v>80</v>
      </c>
      <c r="N21765">
        <v>0</v>
      </c>
      <c r="O21765">
        <v>80</v>
      </c>
      <c r="P21765">
        <v>0</v>
      </c>
    </row>
    <row r="21766" spans="1:16" x14ac:dyDescent="0.25">
      <c r="A21766" t="s">
        <v>44544</v>
      </c>
      <c r="B21766" t="s">
        <v>13005</v>
      </c>
      <c r="C21766" t="s">
        <v>13006</v>
      </c>
      <c r="D21766" t="s">
        <v>12958</v>
      </c>
      <c r="E21766" t="s">
        <v>12959</v>
      </c>
      <c r="F21766" t="s">
        <v>3</v>
      </c>
      <c r="G21766" t="s">
        <v>49029</v>
      </c>
      <c r="H21766" t="s">
        <v>47054</v>
      </c>
      <c r="I21766" t="s">
        <v>47111</v>
      </c>
      <c r="J21766" t="s">
        <v>47112</v>
      </c>
      <c r="K21766" t="s">
        <v>47113</v>
      </c>
      <c r="L21766">
        <v>48.08</v>
      </c>
      <c r="M21766">
        <v>90</v>
      </c>
      <c r="N21766">
        <v>0</v>
      </c>
      <c r="O21766">
        <v>90</v>
      </c>
      <c r="P21766">
        <v>0</v>
      </c>
    </row>
    <row r="21767" spans="1:16" x14ac:dyDescent="0.25">
      <c r="A21767" t="s">
        <v>44545</v>
      </c>
      <c r="B21767" t="s">
        <v>13007</v>
      </c>
      <c r="C21767" t="s">
        <v>13008</v>
      </c>
      <c r="D21767" t="str">
        <f>"07"</f>
        <v>07</v>
      </c>
      <c r="E21767" t="s">
        <v>12851</v>
      </c>
      <c r="F21767" t="s">
        <v>2</v>
      </c>
      <c r="G21767" t="s">
        <v>47093</v>
      </c>
      <c r="H21767" t="s">
        <v>47054</v>
      </c>
      <c r="I21767" t="s">
        <v>47111</v>
      </c>
      <c r="J21767" t="s">
        <v>47112</v>
      </c>
      <c r="K21767" t="s">
        <v>47113</v>
      </c>
      <c r="L21767">
        <v>33.08</v>
      </c>
      <c r="M21767">
        <v>85</v>
      </c>
      <c r="N21767">
        <v>0</v>
      </c>
      <c r="O21767">
        <v>85</v>
      </c>
      <c r="P21767">
        <v>0</v>
      </c>
    </row>
    <row r="21768" spans="1:16" x14ac:dyDescent="0.25">
      <c r="A21768" t="s">
        <v>44546</v>
      </c>
      <c r="B21768" t="s">
        <v>13007</v>
      </c>
      <c r="C21768" t="s">
        <v>13008</v>
      </c>
      <c r="D21768" t="s">
        <v>721</v>
      </c>
      <c r="E21768" t="s">
        <v>722</v>
      </c>
      <c r="F21768" t="s">
        <v>2</v>
      </c>
      <c r="G21768" t="s">
        <v>47093</v>
      </c>
      <c r="H21768" t="s">
        <v>47054</v>
      </c>
      <c r="I21768" t="s">
        <v>47111</v>
      </c>
      <c r="J21768" t="s">
        <v>47112</v>
      </c>
      <c r="K21768" t="s">
        <v>47113</v>
      </c>
      <c r="L21768">
        <v>27.8</v>
      </c>
      <c r="M21768">
        <v>80</v>
      </c>
      <c r="N21768">
        <v>0</v>
      </c>
      <c r="O21768">
        <v>80</v>
      </c>
      <c r="P21768">
        <v>0</v>
      </c>
    </row>
    <row r="21769" spans="1:16" x14ac:dyDescent="0.25">
      <c r="A21769" t="s">
        <v>44547</v>
      </c>
      <c r="B21769" t="s">
        <v>13007</v>
      </c>
      <c r="C21769" t="s">
        <v>13008</v>
      </c>
      <c r="D21769" t="str">
        <f>"63"</f>
        <v>63</v>
      </c>
      <c r="E21769" t="s">
        <v>40</v>
      </c>
      <c r="F21769" t="s">
        <v>2</v>
      </c>
      <c r="G21769" t="s">
        <v>47093</v>
      </c>
      <c r="H21769" t="s">
        <v>47054</v>
      </c>
      <c r="I21769" t="s">
        <v>47111</v>
      </c>
      <c r="J21769" t="s">
        <v>47112</v>
      </c>
      <c r="K21769" t="s">
        <v>47113</v>
      </c>
      <c r="L21769">
        <v>31.42</v>
      </c>
      <c r="M21769">
        <v>85</v>
      </c>
      <c r="N21769">
        <v>0</v>
      </c>
      <c r="O21769">
        <v>85</v>
      </c>
      <c r="P21769">
        <v>0</v>
      </c>
    </row>
    <row r="21770" spans="1:16" x14ac:dyDescent="0.25">
      <c r="A21770" t="s">
        <v>44548</v>
      </c>
      <c r="B21770" t="s">
        <v>13007</v>
      </c>
      <c r="C21770" t="s">
        <v>13008</v>
      </c>
      <c r="D21770" t="s">
        <v>1790</v>
      </c>
      <c r="E21770" t="s">
        <v>1791</v>
      </c>
      <c r="F21770" t="s">
        <v>2</v>
      </c>
      <c r="G21770" t="s">
        <v>47093</v>
      </c>
      <c r="H21770" t="s">
        <v>47054</v>
      </c>
      <c r="I21770" t="s">
        <v>47111</v>
      </c>
      <c r="J21770" t="s">
        <v>47112</v>
      </c>
      <c r="K21770" t="s">
        <v>47113</v>
      </c>
      <c r="L21770">
        <v>34.92</v>
      </c>
      <c r="M21770">
        <v>85</v>
      </c>
      <c r="N21770">
        <v>0</v>
      </c>
      <c r="O21770">
        <v>85</v>
      </c>
      <c r="P21770">
        <v>0</v>
      </c>
    </row>
    <row r="21771" spans="1:16" x14ac:dyDescent="0.25">
      <c r="A21771" t="s">
        <v>44549</v>
      </c>
      <c r="B21771" t="s">
        <v>13007</v>
      </c>
      <c r="C21771" t="s">
        <v>13008</v>
      </c>
      <c r="D21771" t="s">
        <v>970</v>
      </c>
      <c r="E21771" t="s">
        <v>971</v>
      </c>
      <c r="F21771" t="s">
        <v>2</v>
      </c>
      <c r="G21771" t="s">
        <v>47093</v>
      </c>
      <c r="H21771" t="s">
        <v>47054</v>
      </c>
      <c r="I21771" t="s">
        <v>47111</v>
      </c>
      <c r="J21771" t="s">
        <v>47112</v>
      </c>
      <c r="K21771" t="s">
        <v>47113</v>
      </c>
      <c r="L21771">
        <v>40.82</v>
      </c>
      <c r="M21771">
        <v>85</v>
      </c>
      <c r="N21771">
        <v>0</v>
      </c>
      <c r="O21771">
        <v>85</v>
      </c>
      <c r="P21771">
        <v>0</v>
      </c>
    </row>
    <row r="21772" spans="1:16" x14ac:dyDescent="0.25">
      <c r="A21772" t="s">
        <v>44550</v>
      </c>
      <c r="B21772" t="s">
        <v>13007</v>
      </c>
      <c r="C21772" t="s">
        <v>13008</v>
      </c>
      <c r="D21772" t="s">
        <v>22</v>
      </c>
      <c r="E21772" t="s">
        <v>23</v>
      </c>
      <c r="F21772" t="s">
        <v>2</v>
      </c>
      <c r="G21772" t="s">
        <v>47093</v>
      </c>
      <c r="H21772" t="s">
        <v>47054</v>
      </c>
      <c r="I21772" t="s">
        <v>47111</v>
      </c>
      <c r="J21772" t="s">
        <v>47112</v>
      </c>
      <c r="K21772" t="s">
        <v>47113</v>
      </c>
      <c r="L21772">
        <v>30.17</v>
      </c>
      <c r="M21772">
        <v>85</v>
      </c>
      <c r="N21772">
        <v>0</v>
      </c>
      <c r="O21772">
        <v>85</v>
      </c>
      <c r="P21772">
        <v>0</v>
      </c>
    </row>
    <row r="21773" spans="1:16" x14ac:dyDescent="0.25">
      <c r="A21773" t="s">
        <v>44551</v>
      </c>
      <c r="B21773" t="s">
        <v>13007</v>
      </c>
      <c r="C21773" t="s">
        <v>13008</v>
      </c>
      <c r="D21773" t="s">
        <v>973</v>
      </c>
      <c r="E21773" t="s">
        <v>974</v>
      </c>
      <c r="F21773" t="s">
        <v>2</v>
      </c>
      <c r="G21773" t="s">
        <v>47093</v>
      </c>
      <c r="H21773" t="s">
        <v>47054</v>
      </c>
      <c r="I21773" t="s">
        <v>47111</v>
      </c>
      <c r="J21773" t="s">
        <v>47112</v>
      </c>
      <c r="K21773" t="s">
        <v>47113</v>
      </c>
      <c r="L21773">
        <v>35.4</v>
      </c>
      <c r="M21773">
        <v>85</v>
      </c>
      <c r="N21773">
        <v>0</v>
      </c>
      <c r="O21773">
        <v>85</v>
      </c>
      <c r="P21773">
        <v>0</v>
      </c>
    </row>
    <row r="21774" spans="1:16" x14ac:dyDescent="0.25">
      <c r="A21774" t="s">
        <v>44552</v>
      </c>
      <c r="B21774" t="s">
        <v>13009</v>
      </c>
      <c r="C21774" t="s">
        <v>13010</v>
      </c>
      <c r="D21774" t="s">
        <v>12864</v>
      </c>
      <c r="E21774" t="s">
        <v>12865</v>
      </c>
      <c r="F21774" t="s">
        <v>5</v>
      </c>
      <c r="G21774" t="s">
        <v>47098</v>
      </c>
      <c r="H21774" t="s">
        <v>47054</v>
      </c>
      <c r="I21774" t="s">
        <v>47116</v>
      </c>
      <c r="J21774" t="s">
        <v>47117</v>
      </c>
      <c r="K21774" t="s">
        <v>47113</v>
      </c>
      <c r="L21774">
        <v>45.89</v>
      </c>
      <c r="M21774">
        <v>107</v>
      </c>
      <c r="N21774">
        <v>0</v>
      </c>
      <c r="O21774">
        <v>107</v>
      </c>
      <c r="P21774">
        <v>0</v>
      </c>
    </row>
    <row r="21775" spans="1:16" x14ac:dyDescent="0.25">
      <c r="A21775" t="s">
        <v>44553</v>
      </c>
      <c r="B21775" t="s">
        <v>1022</v>
      </c>
      <c r="C21775" t="s">
        <v>1023</v>
      </c>
      <c r="D21775" t="str">
        <f>"07"</f>
        <v>07</v>
      </c>
      <c r="E21775" t="s">
        <v>12851</v>
      </c>
      <c r="F21775" t="s">
        <v>2</v>
      </c>
      <c r="G21775" t="s">
        <v>47098</v>
      </c>
      <c r="H21775" t="s">
        <v>47054</v>
      </c>
      <c r="I21775" t="s">
        <v>47116</v>
      </c>
      <c r="J21775" t="s">
        <v>47117</v>
      </c>
      <c r="K21775" t="s">
        <v>47113</v>
      </c>
      <c r="L21775">
        <v>36.270000000000003</v>
      </c>
      <c r="M21775">
        <v>85</v>
      </c>
      <c r="N21775">
        <v>0</v>
      </c>
      <c r="O21775">
        <v>85</v>
      </c>
      <c r="P21775">
        <v>0</v>
      </c>
    </row>
    <row r="21776" spans="1:16" x14ac:dyDescent="0.25">
      <c r="A21776" t="s">
        <v>44554</v>
      </c>
      <c r="B21776" t="s">
        <v>1022</v>
      </c>
      <c r="C21776" t="s">
        <v>1023</v>
      </c>
      <c r="D21776" t="s">
        <v>721</v>
      </c>
      <c r="E21776" t="s">
        <v>722</v>
      </c>
      <c r="F21776" t="s">
        <v>2</v>
      </c>
      <c r="G21776" t="s">
        <v>47098</v>
      </c>
      <c r="H21776" t="s">
        <v>47054</v>
      </c>
      <c r="I21776" t="s">
        <v>47116</v>
      </c>
      <c r="J21776" t="s">
        <v>47117</v>
      </c>
      <c r="K21776" t="s">
        <v>47113</v>
      </c>
      <c r="L21776">
        <v>28.33</v>
      </c>
      <c r="M21776">
        <v>80</v>
      </c>
      <c r="N21776">
        <v>0</v>
      </c>
      <c r="O21776">
        <v>80</v>
      </c>
      <c r="P21776">
        <v>0</v>
      </c>
    </row>
    <row r="21777" spans="1:16" x14ac:dyDescent="0.25">
      <c r="A21777" t="s">
        <v>44555</v>
      </c>
      <c r="B21777" t="s">
        <v>1022</v>
      </c>
      <c r="C21777" t="s">
        <v>1023</v>
      </c>
      <c r="D21777" t="str">
        <f>"63"</f>
        <v>63</v>
      </c>
      <c r="E21777" t="s">
        <v>40</v>
      </c>
      <c r="F21777" t="s">
        <v>2</v>
      </c>
      <c r="G21777" t="s">
        <v>47098</v>
      </c>
      <c r="H21777" t="s">
        <v>47054</v>
      </c>
      <c r="I21777" t="s">
        <v>47116</v>
      </c>
      <c r="J21777" t="s">
        <v>47117</v>
      </c>
      <c r="K21777" t="s">
        <v>47113</v>
      </c>
      <c r="L21777">
        <v>36.159999999999997</v>
      </c>
      <c r="M21777">
        <v>85</v>
      </c>
      <c r="N21777">
        <v>0</v>
      </c>
      <c r="O21777">
        <v>85</v>
      </c>
      <c r="P21777">
        <v>0</v>
      </c>
    </row>
    <row r="21778" spans="1:16" x14ac:dyDescent="0.25">
      <c r="A21778" t="s">
        <v>44556</v>
      </c>
      <c r="B21778" t="s">
        <v>1022</v>
      </c>
      <c r="C21778" t="s">
        <v>1023</v>
      </c>
      <c r="D21778" t="s">
        <v>10064</v>
      </c>
      <c r="E21778" t="s">
        <v>10065</v>
      </c>
      <c r="F21778" t="s">
        <v>5</v>
      </c>
      <c r="G21778" t="s">
        <v>47098</v>
      </c>
      <c r="H21778" t="s">
        <v>47054</v>
      </c>
      <c r="I21778" t="s">
        <v>47116</v>
      </c>
      <c r="J21778" t="s">
        <v>47117</v>
      </c>
      <c r="K21778" t="s">
        <v>47113</v>
      </c>
      <c r="L21778">
        <v>44.03</v>
      </c>
      <c r="M21778">
        <v>103</v>
      </c>
      <c r="N21778">
        <v>0</v>
      </c>
      <c r="O21778">
        <v>103</v>
      </c>
      <c r="P21778">
        <v>0</v>
      </c>
    </row>
    <row r="21779" spans="1:16" x14ac:dyDescent="0.25">
      <c r="A21779" t="s">
        <v>44557</v>
      </c>
      <c r="B21779" t="s">
        <v>1022</v>
      </c>
      <c r="C21779" t="s">
        <v>1023</v>
      </c>
      <c r="D21779" t="s">
        <v>1790</v>
      </c>
      <c r="E21779" t="s">
        <v>1791</v>
      </c>
      <c r="F21779" t="s">
        <v>2</v>
      </c>
      <c r="G21779" t="s">
        <v>47098</v>
      </c>
      <c r="H21779" t="s">
        <v>47054</v>
      </c>
      <c r="I21779" t="s">
        <v>47116</v>
      </c>
      <c r="J21779" t="s">
        <v>47117</v>
      </c>
      <c r="K21779" t="s">
        <v>47113</v>
      </c>
      <c r="L21779">
        <v>36.72</v>
      </c>
      <c r="M21779">
        <v>85</v>
      </c>
      <c r="N21779">
        <v>0</v>
      </c>
      <c r="O21779">
        <v>85</v>
      </c>
      <c r="P21779">
        <v>0</v>
      </c>
    </row>
    <row r="21780" spans="1:16" x14ac:dyDescent="0.25">
      <c r="A21780" t="s">
        <v>44558</v>
      </c>
      <c r="B21780" t="s">
        <v>1022</v>
      </c>
      <c r="C21780" t="s">
        <v>1023</v>
      </c>
      <c r="D21780" t="s">
        <v>970</v>
      </c>
      <c r="E21780" t="s">
        <v>971</v>
      </c>
      <c r="F21780" t="s">
        <v>2</v>
      </c>
      <c r="G21780" t="s">
        <v>47098</v>
      </c>
      <c r="H21780" t="s">
        <v>47054</v>
      </c>
      <c r="I21780" t="s">
        <v>47116</v>
      </c>
      <c r="J21780" t="s">
        <v>47117</v>
      </c>
      <c r="K21780" t="s">
        <v>47113</v>
      </c>
      <c r="L21780">
        <v>40.64</v>
      </c>
      <c r="M21780">
        <v>85</v>
      </c>
      <c r="N21780">
        <v>0</v>
      </c>
      <c r="O21780">
        <v>85</v>
      </c>
      <c r="P21780">
        <v>0</v>
      </c>
    </row>
    <row r="21781" spans="1:16" x14ac:dyDescent="0.25">
      <c r="A21781" t="s">
        <v>44559</v>
      </c>
      <c r="B21781" t="s">
        <v>1022</v>
      </c>
      <c r="C21781" t="s">
        <v>1023</v>
      </c>
      <c r="D21781" t="s">
        <v>22</v>
      </c>
      <c r="E21781" t="s">
        <v>23</v>
      </c>
      <c r="F21781" t="s">
        <v>2</v>
      </c>
      <c r="G21781" t="s">
        <v>47098</v>
      </c>
      <c r="H21781" t="s">
        <v>47054</v>
      </c>
      <c r="I21781" t="s">
        <v>47116</v>
      </c>
      <c r="J21781" t="s">
        <v>47117</v>
      </c>
      <c r="K21781" t="s">
        <v>47113</v>
      </c>
      <c r="L21781">
        <v>35.6</v>
      </c>
      <c r="M21781">
        <v>85</v>
      </c>
      <c r="N21781">
        <v>0</v>
      </c>
      <c r="O21781">
        <v>85</v>
      </c>
      <c r="P21781">
        <v>0</v>
      </c>
    </row>
    <row r="21782" spans="1:16" x14ac:dyDescent="0.25">
      <c r="A21782" t="s">
        <v>1021</v>
      </c>
      <c r="B21782" t="s">
        <v>1022</v>
      </c>
      <c r="C21782" t="s">
        <v>1023</v>
      </c>
      <c r="D21782" t="s">
        <v>973</v>
      </c>
      <c r="E21782" t="s">
        <v>974</v>
      </c>
      <c r="F21782" t="s">
        <v>2</v>
      </c>
      <c r="G21782" t="s">
        <v>47098</v>
      </c>
      <c r="H21782" t="s">
        <v>47054</v>
      </c>
      <c r="I21782" t="s">
        <v>47116</v>
      </c>
      <c r="J21782" t="s">
        <v>47117</v>
      </c>
      <c r="K21782" t="s">
        <v>47113</v>
      </c>
      <c r="L21782">
        <v>36.270000000000003</v>
      </c>
      <c r="M21782">
        <v>82</v>
      </c>
      <c r="N21782">
        <v>0</v>
      </c>
      <c r="O21782">
        <v>82</v>
      </c>
      <c r="P21782">
        <v>0</v>
      </c>
    </row>
    <row r="21783" spans="1:16" x14ac:dyDescent="0.25">
      <c r="A21783" t="s">
        <v>44560</v>
      </c>
      <c r="B21783" t="s">
        <v>13011</v>
      </c>
      <c r="C21783" t="s">
        <v>13012</v>
      </c>
      <c r="D21783" t="s">
        <v>10064</v>
      </c>
      <c r="E21783" t="s">
        <v>10065</v>
      </c>
      <c r="F21783" t="s">
        <v>5</v>
      </c>
      <c r="G21783" t="s">
        <v>47098</v>
      </c>
      <c r="H21783" t="s">
        <v>47054</v>
      </c>
      <c r="I21783" t="s">
        <v>47116</v>
      </c>
      <c r="J21783" t="s">
        <v>47117</v>
      </c>
      <c r="K21783" t="s">
        <v>47113</v>
      </c>
      <c r="L21783">
        <v>30.67</v>
      </c>
      <c r="M21783">
        <v>103</v>
      </c>
      <c r="N21783">
        <v>0</v>
      </c>
      <c r="O21783">
        <v>103</v>
      </c>
      <c r="P21783">
        <v>0</v>
      </c>
    </row>
    <row r="21784" spans="1:16" x14ac:dyDescent="0.25">
      <c r="A21784" t="s">
        <v>44561</v>
      </c>
      <c r="B21784" t="s">
        <v>1025</v>
      </c>
      <c r="C21784" t="s">
        <v>1026</v>
      </c>
      <c r="D21784" t="str">
        <f>"07"</f>
        <v>07</v>
      </c>
      <c r="E21784" t="s">
        <v>12851</v>
      </c>
      <c r="F21784" t="s">
        <v>2</v>
      </c>
      <c r="G21784" t="s">
        <v>47093</v>
      </c>
      <c r="H21784" t="s">
        <v>47054</v>
      </c>
      <c r="I21784" t="s">
        <v>47111</v>
      </c>
      <c r="J21784" t="s">
        <v>47112</v>
      </c>
      <c r="K21784" t="s">
        <v>47113</v>
      </c>
      <c r="L21784">
        <v>31.93</v>
      </c>
      <c r="M21784">
        <v>85</v>
      </c>
      <c r="N21784">
        <v>0</v>
      </c>
      <c r="O21784">
        <v>85</v>
      </c>
      <c r="P21784">
        <v>0</v>
      </c>
    </row>
    <row r="21785" spans="1:16" x14ac:dyDescent="0.25">
      <c r="A21785" t="s">
        <v>44562</v>
      </c>
      <c r="B21785" t="s">
        <v>1025</v>
      </c>
      <c r="C21785" t="s">
        <v>1026</v>
      </c>
      <c r="D21785" t="s">
        <v>721</v>
      </c>
      <c r="E21785" t="s">
        <v>722</v>
      </c>
      <c r="F21785" t="s">
        <v>2</v>
      </c>
      <c r="G21785" t="s">
        <v>47093</v>
      </c>
      <c r="H21785" t="s">
        <v>47054</v>
      </c>
      <c r="I21785" t="s">
        <v>47111</v>
      </c>
      <c r="J21785" t="s">
        <v>47112</v>
      </c>
      <c r="K21785" t="s">
        <v>47113</v>
      </c>
      <c r="L21785">
        <v>27.8</v>
      </c>
      <c r="M21785">
        <v>80</v>
      </c>
      <c r="N21785">
        <v>0</v>
      </c>
      <c r="O21785">
        <v>80</v>
      </c>
      <c r="P21785">
        <v>0</v>
      </c>
    </row>
    <row r="21786" spans="1:16" x14ac:dyDescent="0.25">
      <c r="A21786" t="s">
        <v>44563</v>
      </c>
      <c r="B21786" t="s">
        <v>1025</v>
      </c>
      <c r="C21786" t="s">
        <v>1026</v>
      </c>
      <c r="D21786" t="str">
        <f>"63"</f>
        <v>63</v>
      </c>
      <c r="E21786" t="s">
        <v>40</v>
      </c>
      <c r="F21786" t="s">
        <v>2</v>
      </c>
      <c r="G21786" t="s">
        <v>47093</v>
      </c>
      <c r="H21786" t="s">
        <v>47054</v>
      </c>
      <c r="I21786" t="s">
        <v>47111</v>
      </c>
      <c r="J21786" t="s">
        <v>47112</v>
      </c>
      <c r="K21786" t="s">
        <v>47113</v>
      </c>
      <c r="L21786">
        <v>32.74</v>
      </c>
      <c r="M21786">
        <v>85</v>
      </c>
      <c r="N21786">
        <v>0</v>
      </c>
      <c r="O21786">
        <v>85</v>
      </c>
      <c r="P21786">
        <v>0</v>
      </c>
    </row>
    <row r="21787" spans="1:16" x14ac:dyDescent="0.25">
      <c r="A21787" t="s">
        <v>44564</v>
      </c>
      <c r="B21787" t="s">
        <v>1025</v>
      </c>
      <c r="C21787" t="s">
        <v>1026</v>
      </c>
      <c r="D21787" t="s">
        <v>1790</v>
      </c>
      <c r="E21787" t="s">
        <v>1791</v>
      </c>
      <c r="F21787" t="s">
        <v>2</v>
      </c>
      <c r="G21787" t="s">
        <v>47093</v>
      </c>
      <c r="H21787" t="s">
        <v>47054</v>
      </c>
      <c r="I21787" t="s">
        <v>47111</v>
      </c>
      <c r="J21787" t="s">
        <v>47112</v>
      </c>
      <c r="K21787" t="s">
        <v>47113</v>
      </c>
      <c r="L21787">
        <v>34.92</v>
      </c>
      <c r="M21787">
        <v>85</v>
      </c>
      <c r="N21787">
        <v>0</v>
      </c>
      <c r="O21787">
        <v>85</v>
      </c>
      <c r="P21787">
        <v>0</v>
      </c>
    </row>
    <row r="21788" spans="1:16" x14ac:dyDescent="0.25">
      <c r="A21788" t="s">
        <v>44565</v>
      </c>
      <c r="B21788" t="s">
        <v>1025</v>
      </c>
      <c r="C21788" t="s">
        <v>1026</v>
      </c>
      <c r="D21788" t="s">
        <v>970</v>
      </c>
      <c r="E21788" t="s">
        <v>971</v>
      </c>
      <c r="F21788" t="s">
        <v>2</v>
      </c>
      <c r="G21788" t="s">
        <v>47093</v>
      </c>
      <c r="H21788" t="s">
        <v>47054</v>
      </c>
      <c r="I21788" t="s">
        <v>47111</v>
      </c>
      <c r="J21788" t="s">
        <v>47112</v>
      </c>
      <c r="K21788" t="s">
        <v>47113</v>
      </c>
      <c r="L21788">
        <v>40.82</v>
      </c>
      <c r="M21788">
        <v>85</v>
      </c>
      <c r="N21788">
        <v>0</v>
      </c>
      <c r="O21788">
        <v>85</v>
      </c>
      <c r="P21788">
        <v>0</v>
      </c>
    </row>
    <row r="21789" spans="1:16" x14ac:dyDescent="0.25">
      <c r="A21789" t="s">
        <v>1024</v>
      </c>
      <c r="B21789" t="s">
        <v>1025</v>
      </c>
      <c r="C21789" t="s">
        <v>1026</v>
      </c>
      <c r="D21789" t="s">
        <v>22</v>
      </c>
      <c r="E21789" t="s">
        <v>23</v>
      </c>
      <c r="F21789" t="s">
        <v>2</v>
      </c>
      <c r="G21789" t="s">
        <v>47093</v>
      </c>
      <c r="H21789" t="s">
        <v>47054</v>
      </c>
      <c r="I21789" t="s">
        <v>47111</v>
      </c>
      <c r="J21789" t="s">
        <v>47112</v>
      </c>
      <c r="K21789" t="s">
        <v>47113</v>
      </c>
      <c r="L21789">
        <v>28.37</v>
      </c>
      <c r="M21789">
        <v>65</v>
      </c>
      <c r="N21789">
        <v>0</v>
      </c>
      <c r="O21789">
        <v>65</v>
      </c>
      <c r="P21789">
        <v>0</v>
      </c>
    </row>
    <row r="21790" spans="1:16" x14ac:dyDescent="0.25">
      <c r="A21790" t="s">
        <v>44566</v>
      </c>
      <c r="B21790" t="s">
        <v>1025</v>
      </c>
      <c r="C21790" t="s">
        <v>1026</v>
      </c>
      <c r="D21790" t="s">
        <v>973</v>
      </c>
      <c r="E21790" t="s">
        <v>974</v>
      </c>
      <c r="F21790" t="s">
        <v>2</v>
      </c>
      <c r="G21790" t="s">
        <v>47093</v>
      </c>
      <c r="H21790" t="s">
        <v>47054</v>
      </c>
      <c r="I21790" t="s">
        <v>47111</v>
      </c>
      <c r="J21790" t="s">
        <v>47112</v>
      </c>
      <c r="K21790" t="s">
        <v>47113</v>
      </c>
      <c r="L21790">
        <v>35.4</v>
      </c>
      <c r="M21790">
        <v>85</v>
      </c>
      <c r="N21790">
        <v>0</v>
      </c>
      <c r="O21790">
        <v>85</v>
      </c>
      <c r="P21790">
        <v>0</v>
      </c>
    </row>
    <row r="21791" spans="1:16" x14ac:dyDescent="0.25">
      <c r="A21791" t="s">
        <v>44567</v>
      </c>
      <c r="B21791" t="s">
        <v>13013</v>
      </c>
      <c r="C21791" t="s">
        <v>13014</v>
      </c>
      <c r="D21791" t="str">
        <f>"40"</f>
        <v>40</v>
      </c>
      <c r="E21791" t="s">
        <v>31</v>
      </c>
      <c r="F21791" t="s">
        <v>5</v>
      </c>
      <c r="G21791" t="s">
        <v>47093</v>
      </c>
      <c r="H21791" t="s">
        <v>47054</v>
      </c>
      <c r="I21791" t="s">
        <v>47111</v>
      </c>
      <c r="J21791" t="s">
        <v>47112</v>
      </c>
      <c r="K21791" t="s">
        <v>47113</v>
      </c>
      <c r="L21791">
        <v>36.15</v>
      </c>
      <c r="M21791">
        <v>88</v>
      </c>
      <c r="N21791">
        <v>0</v>
      </c>
      <c r="O21791">
        <v>88</v>
      </c>
      <c r="P21791">
        <v>0</v>
      </c>
    </row>
    <row r="21792" spans="1:16" x14ac:dyDescent="0.25">
      <c r="A21792" t="s">
        <v>44568</v>
      </c>
      <c r="B21792" t="s">
        <v>13013</v>
      </c>
      <c r="C21792" t="s">
        <v>13014</v>
      </c>
      <c r="D21792" t="s">
        <v>10071</v>
      </c>
      <c r="E21792" t="s">
        <v>10072</v>
      </c>
      <c r="F21792" t="s">
        <v>5</v>
      </c>
      <c r="G21792" t="s">
        <v>47093</v>
      </c>
      <c r="H21792" t="s">
        <v>47054</v>
      </c>
      <c r="I21792" t="s">
        <v>47111</v>
      </c>
      <c r="J21792" t="s">
        <v>47112</v>
      </c>
      <c r="K21792" t="s">
        <v>47113</v>
      </c>
      <c r="L21792">
        <v>37.299999999999997</v>
      </c>
      <c r="M21792">
        <v>84</v>
      </c>
      <c r="N21792">
        <v>0</v>
      </c>
      <c r="O21792">
        <v>84</v>
      </c>
      <c r="P21792">
        <v>0</v>
      </c>
    </row>
    <row r="21793" spans="1:16" x14ac:dyDescent="0.25">
      <c r="A21793" t="s">
        <v>44569</v>
      </c>
      <c r="B21793" t="s">
        <v>13015</v>
      </c>
      <c r="C21793" t="s">
        <v>13016</v>
      </c>
      <c r="D21793" t="s">
        <v>12852</v>
      </c>
      <c r="E21793" t="s">
        <v>12853</v>
      </c>
      <c r="F21793" t="s">
        <v>7</v>
      </c>
      <c r="G21793" t="s">
        <v>47093</v>
      </c>
      <c r="H21793" t="s">
        <v>47054</v>
      </c>
      <c r="I21793" t="s">
        <v>47111</v>
      </c>
      <c r="J21793" t="s">
        <v>47112</v>
      </c>
      <c r="K21793" t="s">
        <v>47113</v>
      </c>
      <c r="L21793">
        <v>51.79</v>
      </c>
      <c r="M21793">
        <v>115</v>
      </c>
      <c r="N21793">
        <v>0</v>
      </c>
      <c r="O21793">
        <v>115</v>
      </c>
      <c r="P21793">
        <v>0</v>
      </c>
    </row>
    <row r="21794" spans="1:16" x14ac:dyDescent="0.25">
      <c r="A21794" t="s">
        <v>44570</v>
      </c>
      <c r="B21794" t="s">
        <v>13017</v>
      </c>
      <c r="C21794" t="s">
        <v>13018</v>
      </c>
      <c r="D21794" t="str">
        <f>"11"</f>
        <v>11</v>
      </c>
      <c r="E21794" t="s">
        <v>288</v>
      </c>
      <c r="F21794" t="s">
        <v>3</v>
      </c>
      <c r="G21794" t="s">
        <v>47093</v>
      </c>
      <c r="H21794" t="s">
        <v>47054</v>
      </c>
      <c r="I21794" t="s">
        <v>47111</v>
      </c>
      <c r="J21794" t="s">
        <v>47112</v>
      </c>
      <c r="K21794" t="s">
        <v>47113</v>
      </c>
      <c r="L21794">
        <v>30.62</v>
      </c>
      <c r="M21794">
        <v>70</v>
      </c>
      <c r="N21794">
        <v>0</v>
      </c>
      <c r="O21794">
        <v>70</v>
      </c>
      <c r="P21794">
        <v>0</v>
      </c>
    </row>
    <row r="21795" spans="1:16" x14ac:dyDescent="0.25">
      <c r="A21795" t="s">
        <v>44571</v>
      </c>
      <c r="B21795" t="s">
        <v>13017</v>
      </c>
      <c r="C21795" t="s">
        <v>13018</v>
      </c>
      <c r="D21795" t="s">
        <v>721</v>
      </c>
      <c r="E21795" t="s">
        <v>722</v>
      </c>
      <c r="F21795" t="s">
        <v>3</v>
      </c>
      <c r="G21795" t="s">
        <v>47093</v>
      </c>
      <c r="H21795" t="s">
        <v>47054</v>
      </c>
      <c r="I21795" t="s">
        <v>47111</v>
      </c>
      <c r="J21795" t="s">
        <v>47112</v>
      </c>
      <c r="K21795" t="s">
        <v>47113</v>
      </c>
      <c r="L21795">
        <v>27.8</v>
      </c>
      <c r="M21795">
        <v>68</v>
      </c>
      <c r="N21795">
        <v>0</v>
      </c>
      <c r="O21795">
        <v>68</v>
      </c>
      <c r="P21795">
        <v>0</v>
      </c>
    </row>
    <row r="21796" spans="1:16" x14ac:dyDescent="0.25">
      <c r="A21796" t="s">
        <v>44572</v>
      </c>
      <c r="B21796" t="s">
        <v>13017</v>
      </c>
      <c r="C21796" t="s">
        <v>13018</v>
      </c>
      <c r="D21796" t="str">
        <f>"63"</f>
        <v>63</v>
      </c>
      <c r="E21796" t="s">
        <v>13019</v>
      </c>
      <c r="F21796" t="s">
        <v>3</v>
      </c>
      <c r="G21796" t="s">
        <v>47093</v>
      </c>
      <c r="H21796" t="s">
        <v>47054</v>
      </c>
      <c r="I21796" t="s">
        <v>47111</v>
      </c>
      <c r="J21796" t="s">
        <v>47112</v>
      </c>
      <c r="K21796" t="s">
        <v>47113</v>
      </c>
      <c r="L21796">
        <v>32.74</v>
      </c>
      <c r="M21796">
        <v>83</v>
      </c>
      <c r="N21796">
        <v>0</v>
      </c>
      <c r="O21796">
        <v>83</v>
      </c>
      <c r="P21796">
        <v>0</v>
      </c>
    </row>
    <row r="21797" spans="1:16" x14ac:dyDescent="0.25">
      <c r="A21797" t="s">
        <v>44573</v>
      </c>
      <c r="B21797" t="s">
        <v>13017</v>
      </c>
      <c r="C21797" t="s">
        <v>13018</v>
      </c>
      <c r="D21797" t="str">
        <f>"78"</f>
        <v>78</v>
      </c>
      <c r="E21797" t="s">
        <v>13020</v>
      </c>
      <c r="F21797" t="s">
        <v>3</v>
      </c>
      <c r="G21797" t="s">
        <v>47093</v>
      </c>
      <c r="H21797" t="s">
        <v>47054</v>
      </c>
      <c r="I21797" t="s">
        <v>47111</v>
      </c>
      <c r="J21797" t="s">
        <v>47112</v>
      </c>
      <c r="K21797" t="s">
        <v>47113</v>
      </c>
      <c r="L21797">
        <v>38.590000000000003</v>
      </c>
      <c r="M21797">
        <v>97</v>
      </c>
      <c r="N21797">
        <v>0</v>
      </c>
      <c r="O21797">
        <v>97</v>
      </c>
      <c r="P21797">
        <v>0</v>
      </c>
    </row>
    <row r="21798" spans="1:16" x14ac:dyDescent="0.25">
      <c r="A21798" t="s">
        <v>44574</v>
      </c>
      <c r="B21798" t="s">
        <v>13017</v>
      </c>
      <c r="C21798" t="s">
        <v>13018</v>
      </c>
      <c r="D21798" t="s">
        <v>12852</v>
      </c>
      <c r="E21798" t="s">
        <v>12853</v>
      </c>
      <c r="F21798" t="s">
        <v>3</v>
      </c>
      <c r="G21798" t="s">
        <v>47093</v>
      </c>
      <c r="H21798" t="s">
        <v>47054</v>
      </c>
      <c r="I21798" t="s">
        <v>47111</v>
      </c>
      <c r="J21798" t="s">
        <v>47112</v>
      </c>
      <c r="K21798" t="s">
        <v>47113</v>
      </c>
      <c r="L21798">
        <v>44.44</v>
      </c>
      <c r="M21798">
        <v>112</v>
      </c>
      <c r="N21798">
        <v>0</v>
      </c>
      <c r="O21798">
        <v>112</v>
      </c>
      <c r="P21798">
        <v>0</v>
      </c>
    </row>
    <row r="21799" spans="1:16" x14ac:dyDescent="0.25">
      <c r="A21799" t="s">
        <v>44575</v>
      </c>
      <c r="B21799" t="s">
        <v>13017</v>
      </c>
      <c r="C21799" t="s">
        <v>13018</v>
      </c>
      <c r="D21799" t="s">
        <v>6814</v>
      </c>
      <c r="E21799" t="s">
        <v>6815</v>
      </c>
      <c r="F21799" t="s">
        <v>3</v>
      </c>
      <c r="G21799" t="s">
        <v>47093</v>
      </c>
      <c r="H21799" t="s">
        <v>47054</v>
      </c>
      <c r="I21799" t="s">
        <v>47111</v>
      </c>
      <c r="J21799" t="s">
        <v>47112</v>
      </c>
      <c r="K21799" t="s">
        <v>47113</v>
      </c>
      <c r="L21799">
        <v>35.4</v>
      </c>
      <c r="M21799">
        <v>90</v>
      </c>
      <c r="N21799">
        <v>0</v>
      </c>
      <c r="O21799">
        <v>90</v>
      </c>
      <c r="P21799">
        <v>0</v>
      </c>
    </row>
    <row r="21800" spans="1:16" x14ac:dyDescent="0.25">
      <c r="A21800" t="s">
        <v>44576</v>
      </c>
      <c r="B21800" t="s">
        <v>13017</v>
      </c>
      <c r="C21800" t="s">
        <v>13018</v>
      </c>
      <c r="D21800" t="s">
        <v>6816</v>
      </c>
      <c r="E21800" t="s">
        <v>6817</v>
      </c>
      <c r="F21800" t="s">
        <v>3</v>
      </c>
      <c r="G21800" t="s">
        <v>47093</v>
      </c>
      <c r="H21800" t="s">
        <v>47054</v>
      </c>
      <c r="I21800" t="s">
        <v>47111</v>
      </c>
      <c r="J21800" t="s">
        <v>47112</v>
      </c>
      <c r="K21800" t="s">
        <v>47113</v>
      </c>
      <c r="L21800">
        <v>34.6</v>
      </c>
      <c r="M21800">
        <v>88</v>
      </c>
      <c r="N21800">
        <v>0</v>
      </c>
      <c r="O21800">
        <v>88</v>
      </c>
      <c r="P21800">
        <v>0</v>
      </c>
    </row>
    <row r="21801" spans="1:16" x14ac:dyDescent="0.25">
      <c r="A21801" t="s">
        <v>44577</v>
      </c>
      <c r="B21801" t="s">
        <v>13017</v>
      </c>
      <c r="C21801" t="s">
        <v>13018</v>
      </c>
      <c r="D21801" t="s">
        <v>976</v>
      </c>
      <c r="E21801" t="s">
        <v>1057</v>
      </c>
      <c r="F21801" t="s">
        <v>3</v>
      </c>
      <c r="G21801" t="s">
        <v>47093</v>
      </c>
      <c r="H21801" t="s">
        <v>47054</v>
      </c>
      <c r="I21801" t="s">
        <v>47111</v>
      </c>
      <c r="J21801" t="s">
        <v>47112</v>
      </c>
      <c r="K21801" t="s">
        <v>47113</v>
      </c>
      <c r="L21801">
        <v>35.4</v>
      </c>
      <c r="M21801">
        <v>77</v>
      </c>
      <c r="N21801">
        <v>0</v>
      </c>
      <c r="O21801">
        <v>77</v>
      </c>
      <c r="P21801">
        <v>0</v>
      </c>
    </row>
    <row r="21802" spans="1:16" x14ac:dyDescent="0.25">
      <c r="A21802" t="s">
        <v>44578</v>
      </c>
      <c r="B21802" t="s">
        <v>13017</v>
      </c>
      <c r="C21802" t="s">
        <v>13018</v>
      </c>
      <c r="D21802" t="s">
        <v>6818</v>
      </c>
      <c r="E21802" t="s">
        <v>6819</v>
      </c>
      <c r="F21802" t="s">
        <v>3</v>
      </c>
      <c r="G21802" t="s">
        <v>47093</v>
      </c>
      <c r="H21802" t="s">
        <v>47054</v>
      </c>
      <c r="I21802" t="s">
        <v>47111</v>
      </c>
      <c r="J21802" t="s">
        <v>47112</v>
      </c>
      <c r="K21802" t="s">
        <v>47113</v>
      </c>
      <c r="L21802">
        <v>34.6</v>
      </c>
      <c r="M21802">
        <v>74</v>
      </c>
      <c r="N21802">
        <v>0</v>
      </c>
      <c r="O21802">
        <v>74</v>
      </c>
      <c r="P21802">
        <v>0</v>
      </c>
    </row>
    <row r="21803" spans="1:16" x14ac:dyDescent="0.25">
      <c r="A21803" t="s">
        <v>44579</v>
      </c>
      <c r="B21803" t="s">
        <v>13017</v>
      </c>
      <c r="C21803" t="s">
        <v>13018</v>
      </c>
      <c r="D21803" t="s">
        <v>921</v>
      </c>
      <c r="E21803" t="s">
        <v>922</v>
      </c>
      <c r="F21803" t="s">
        <v>3</v>
      </c>
      <c r="G21803" t="s">
        <v>47093</v>
      </c>
      <c r="H21803" t="s">
        <v>47054</v>
      </c>
      <c r="I21803" t="s">
        <v>47111</v>
      </c>
      <c r="J21803" t="s">
        <v>47112</v>
      </c>
      <c r="K21803" t="s">
        <v>47113</v>
      </c>
      <c r="L21803">
        <v>35.72</v>
      </c>
      <c r="M21803">
        <v>80</v>
      </c>
      <c r="N21803">
        <v>0</v>
      </c>
      <c r="O21803">
        <v>80</v>
      </c>
      <c r="P21803">
        <v>0</v>
      </c>
    </row>
    <row r="21804" spans="1:16" x14ac:dyDescent="0.25">
      <c r="A21804" t="s">
        <v>44580</v>
      </c>
      <c r="B21804" t="s">
        <v>13021</v>
      </c>
      <c r="C21804" t="s">
        <v>13022</v>
      </c>
      <c r="D21804" t="str">
        <f>"40"</f>
        <v>40</v>
      </c>
      <c r="E21804" t="s">
        <v>31</v>
      </c>
      <c r="F21804" t="s">
        <v>5</v>
      </c>
      <c r="G21804" t="s">
        <v>47093</v>
      </c>
      <c r="H21804" t="s">
        <v>47054</v>
      </c>
      <c r="I21804" t="s">
        <v>47111</v>
      </c>
      <c r="J21804" t="s">
        <v>47112</v>
      </c>
      <c r="K21804" t="s">
        <v>47113</v>
      </c>
      <c r="L21804">
        <v>36.15</v>
      </c>
      <c r="M21804">
        <v>86</v>
      </c>
      <c r="N21804">
        <v>0</v>
      </c>
      <c r="O21804">
        <v>86</v>
      </c>
      <c r="P21804">
        <v>0</v>
      </c>
    </row>
    <row r="21805" spans="1:16" x14ac:dyDescent="0.25">
      <c r="A21805" t="s">
        <v>44581</v>
      </c>
      <c r="B21805" t="s">
        <v>13021</v>
      </c>
      <c r="C21805" t="s">
        <v>13022</v>
      </c>
      <c r="D21805" t="s">
        <v>10071</v>
      </c>
      <c r="E21805" t="s">
        <v>10072</v>
      </c>
      <c r="F21805" t="s">
        <v>5</v>
      </c>
      <c r="G21805" t="s">
        <v>47093</v>
      </c>
      <c r="H21805" t="s">
        <v>47054</v>
      </c>
      <c r="I21805" t="s">
        <v>47111</v>
      </c>
      <c r="J21805" t="s">
        <v>47112</v>
      </c>
      <c r="K21805" t="s">
        <v>47113</v>
      </c>
      <c r="L21805">
        <v>35.19</v>
      </c>
      <c r="M21805">
        <v>84</v>
      </c>
      <c r="N21805">
        <v>0</v>
      </c>
      <c r="O21805">
        <v>84</v>
      </c>
      <c r="P21805">
        <v>0</v>
      </c>
    </row>
    <row r="21806" spans="1:16" x14ac:dyDescent="0.25">
      <c r="A21806" t="s">
        <v>44582</v>
      </c>
      <c r="B21806" t="s">
        <v>13023</v>
      </c>
      <c r="C21806" t="s">
        <v>13024</v>
      </c>
      <c r="D21806" t="s">
        <v>12852</v>
      </c>
      <c r="E21806" t="s">
        <v>12853</v>
      </c>
      <c r="F21806" t="s">
        <v>7</v>
      </c>
      <c r="G21806" t="s">
        <v>47093</v>
      </c>
      <c r="H21806" t="s">
        <v>47054</v>
      </c>
      <c r="I21806" t="s">
        <v>47111</v>
      </c>
      <c r="J21806" t="s">
        <v>47112</v>
      </c>
      <c r="K21806" t="s">
        <v>47113</v>
      </c>
      <c r="L21806">
        <v>55.59</v>
      </c>
      <c r="M21806">
        <v>115</v>
      </c>
      <c r="N21806">
        <v>0</v>
      </c>
      <c r="O21806">
        <v>115</v>
      </c>
      <c r="P21806">
        <v>0</v>
      </c>
    </row>
    <row r="21807" spans="1:16" x14ac:dyDescent="0.25">
      <c r="A21807" t="s">
        <v>44583</v>
      </c>
      <c r="B21807" t="s">
        <v>13025</v>
      </c>
      <c r="C21807" t="s">
        <v>13026</v>
      </c>
      <c r="D21807" t="s">
        <v>1790</v>
      </c>
      <c r="E21807" t="s">
        <v>1791</v>
      </c>
      <c r="F21807" t="s">
        <v>2</v>
      </c>
      <c r="G21807" t="s">
        <v>47093</v>
      </c>
      <c r="H21807" t="s">
        <v>47054</v>
      </c>
      <c r="I21807" t="s">
        <v>47111</v>
      </c>
      <c r="J21807" t="s">
        <v>47112</v>
      </c>
      <c r="K21807" t="s">
        <v>47113</v>
      </c>
      <c r="L21807">
        <v>36.94</v>
      </c>
      <c r="M21807">
        <v>87</v>
      </c>
      <c r="N21807">
        <v>0</v>
      </c>
      <c r="O21807">
        <v>87</v>
      </c>
      <c r="P21807">
        <v>0</v>
      </c>
    </row>
    <row r="21808" spans="1:16" x14ac:dyDescent="0.25">
      <c r="A21808" t="s">
        <v>44584</v>
      </c>
      <c r="B21808" t="s">
        <v>13025</v>
      </c>
      <c r="C21808" t="s">
        <v>13026</v>
      </c>
      <c r="D21808" t="s">
        <v>921</v>
      </c>
      <c r="E21808" t="s">
        <v>922</v>
      </c>
      <c r="F21808" t="s">
        <v>2</v>
      </c>
      <c r="G21808" t="s">
        <v>47093</v>
      </c>
      <c r="H21808" t="s">
        <v>47054</v>
      </c>
      <c r="I21808" t="s">
        <v>47111</v>
      </c>
      <c r="J21808" t="s">
        <v>47112</v>
      </c>
      <c r="K21808" t="s">
        <v>47113</v>
      </c>
      <c r="L21808">
        <v>29.37</v>
      </c>
      <c r="M21808">
        <v>90</v>
      </c>
      <c r="N21808">
        <v>0</v>
      </c>
      <c r="O21808">
        <v>90</v>
      </c>
      <c r="P21808">
        <v>0</v>
      </c>
    </row>
    <row r="21809" spans="1:16" x14ac:dyDescent="0.25">
      <c r="A21809" t="s">
        <v>44585</v>
      </c>
      <c r="B21809" t="s">
        <v>13027</v>
      </c>
      <c r="C21809" t="s">
        <v>13028</v>
      </c>
      <c r="D21809" t="s">
        <v>730</v>
      </c>
      <c r="E21809" t="s">
        <v>731</v>
      </c>
      <c r="F21809" t="s">
        <v>7</v>
      </c>
      <c r="G21809" t="s">
        <v>47093</v>
      </c>
      <c r="H21809" t="s">
        <v>47054</v>
      </c>
      <c r="I21809" t="s">
        <v>47111</v>
      </c>
      <c r="J21809" t="s">
        <v>47112</v>
      </c>
      <c r="K21809" t="s">
        <v>47113</v>
      </c>
      <c r="L21809">
        <v>32.92</v>
      </c>
      <c r="M21809">
        <v>90</v>
      </c>
      <c r="N21809">
        <v>0</v>
      </c>
      <c r="O21809">
        <v>90</v>
      </c>
      <c r="P21809">
        <v>0</v>
      </c>
    </row>
    <row r="21810" spans="1:16" x14ac:dyDescent="0.25">
      <c r="A21810" t="s">
        <v>44586</v>
      </c>
      <c r="B21810" t="s">
        <v>13029</v>
      </c>
      <c r="C21810" t="s">
        <v>13030</v>
      </c>
      <c r="D21810" t="str">
        <f>"40"</f>
        <v>40</v>
      </c>
      <c r="E21810" t="s">
        <v>31</v>
      </c>
      <c r="F21810" t="s">
        <v>5</v>
      </c>
      <c r="G21810" t="s">
        <v>47093</v>
      </c>
      <c r="H21810" t="s">
        <v>47054</v>
      </c>
      <c r="I21810" t="s">
        <v>47111</v>
      </c>
      <c r="J21810" t="s">
        <v>47112</v>
      </c>
      <c r="K21810" t="s">
        <v>47113</v>
      </c>
      <c r="L21810">
        <v>37.130000000000003</v>
      </c>
      <c r="M21810">
        <v>86</v>
      </c>
      <c r="N21810">
        <v>0</v>
      </c>
      <c r="O21810">
        <v>86</v>
      </c>
      <c r="P21810">
        <v>0</v>
      </c>
    </row>
    <row r="21811" spans="1:16" x14ac:dyDescent="0.25">
      <c r="A21811" t="s">
        <v>44587</v>
      </c>
      <c r="B21811" t="s">
        <v>13029</v>
      </c>
      <c r="C21811" t="s">
        <v>13030</v>
      </c>
      <c r="D21811" t="s">
        <v>10071</v>
      </c>
      <c r="E21811" t="s">
        <v>10072</v>
      </c>
      <c r="F21811" t="s">
        <v>5</v>
      </c>
      <c r="G21811" t="s">
        <v>47093</v>
      </c>
      <c r="H21811" t="s">
        <v>47054</v>
      </c>
      <c r="I21811" t="s">
        <v>47111</v>
      </c>
      <c r="J21811" t="s">
        <v>47112</v>
      </c>
      <c r="K21811" t="s">
        <v>47113</v>
      </c>
      <c r="L21811">
        <v>35.28</v>
      </c>
      <c r="M21811">
        <v>88</v>
      </c>
      <c r="N21811">
        <v>0</v>
      </c>
      <c r="O21811">
        <v>88</v>
      </c>
      <c r="P21811">
        <v>0</v>
      </c>
    </row>
    <row r="21812" spans="1:16" x14ac:dyDescent="0.25">
      <c r="A21812" t="s">
        <v>44588</v>
      </c>
      <c r="B21812" t="s">
        <v>13031</v>
      </c>
      <c r="C21812" t="s">
        <v>13032</v>
      </c>
      <c r="D21812" t="s">
        <v>6193</v>
      </c>
      <c r="E21812" t="s">
        <v>6194</v>
      </c>
      <c r="F21812" t="s">
        <v>7</v>
      </c>
      <c r="G21812" t="s">
        <v>47093</v>
      </c>
      <c r="H21812" t="s">
        <v>47054</v>
      </c>
      <c r="I21812" t="s">
        <v>47111</v>
      </c>
      <c r="J21812" t="s">
        <v>47112</v>
      </c>
      <c r="K21812" t="s">
        <v>47113</v>
      </c>
      <c r="L21812">
        <v>40.74</v>
      </c>
      <c r="M21812">
        <v>110</v>
      </c>
      <c r="N21812">
        <v>0</v>
      </c>
      <c r="O21812">
        <v>110</v>
      </c>
      <c r="P21812">
        <v>0</v>
      </c>
    </row>
    <row r="21813" spans="1:16" x14ac:dyDescent="0.25">
      <c r="A21813" t="s">
        <v>44589</v>
      </c>
      <c r="B21813" t="s">
        <v>13031</v>
      </c>
      <c r="C21813" t="s">
        <v>13032</v>
      </c>
      <c r="D21813" t="s">
        <v>12852</v>
      </c>
      <c r="E21813" t="s">
        <v>12853</v>
      </c>
      <c r="F21813" t="s">
        <v>7</v>
      </c>
      <c r="G21813" t="s">
        <v>47093</v>
      </c>
      <c r="H21813" t="s">
        <v>47054</v>
      </c>
      <c r="I21813" t="s">
        <v>47111</v>
      </c>
      <c r="J21813" t="s">
        <v>47112</v>
      </c>
      <c r="K21813" t="s">
        <v>47113</v>
      </c>
      <c r="L21813">
        <v>50.69</v>
      </c>
      <c r="M21813">
        <v>115</v>
      </c>
      <c r="N21813">
        <v>0</v>
      </c>
      <c r="O21813">
        <v>115</v>
      </c>
      <c r="P21813">
        <v>0</v>
      </c>
    </row>
    <row r="21814" spans="1:16" x14ac:dyDescent="0.25">
      <c r="A21814" t="s">
        <v>44590</v>
      </c>
      <c r="B21814" t="s">
        <v>1028</v>
      </c>
      <c r="C21814" t="s">
        <v>1029</v>
      </c>
      <c r="D21814" t="str">
        <f>"11"</f>
        <v>11</v>
      </c>
      <c r="E21814" t="s">
        <v>288</v>
      </c>
      <c r="F21814" t="s">
        <v>2</v>
      </c>
      <c r="G21814" t="s">
        <v>47093</v>
      </c>
      <c r="H21814" t="s">
        <v>47054</v>
      </c>
      <c r="I21814" t="s">
        <v>47111</v>
      </c>
      <c r="J21814" t="s">
        <v>47112</v>
      </c>
      <c r="K21814" t="s">
        <v>47113</v>
      </c>
      <c r="L21814">
        <v>38.590000000000003</v>
      </c>
      <c r="M21814">
        <v>85</v>
      </c>
      <c r="N21814">
        <v>0</v>
      </c>
      <c r="O21814">
        <v>85</v>
      </c>
      <c r="P21814">
        <v>0</v>
      </c>
    </row>
    <row r="21815" spans="1:16" x14ac:dyDescent="0.25">
      <c r="A21815" t="s">
        <v>1027</v>
      </c>
      <c r="B21815" t="s">
        <v>1028</v>
      </c>
      <c r="C21815" t="s">
        <v>1029</v>
      </c>
      <c r="D21815" t="s">
        <v>1030</v>
      </c>
      <c r="E21815" t="s">
        <v>1031</v>
      </c>
      <c r="F21815" t="s">
        <v>2</v>
      </c>
      <c r="G21815" t="s">
        <v>47093</v>
      </c>
      <c r="H21815" t="s">
        <v>47054</v>
      </c>
      <c r="I21815" t="s">
        <v>47111</v>
      </c>
      <c r="J21815" t="s">
        <v>47112</v>
      </c>
      <c r="K21815" t="s">
        <v>47113</v>
      </c>
      <c r="L21815">
        <v>32.909999999999997</v>
      </c>
      <c r="M21815">
        <v>100</v>
      </c>
      <c r="N21815">
        <v>0</v>
      </c>
      <c r="O21815">
        <v>100</v>
      </c>
      <c r="P21815">
        <v>0</v>
      </c>
    </row>
    <row r="21816" spans="1:16" x14ac:dyDescent="0.25">
      <c r="A21816" t="s">
        <v>44591</v>
      </c>
      <c r="B21816" t="s">
        <v>1033</v>
      </c>
      <c r="C21816" t="s">
        <v>1034</v>
      </c>
      <c r="D21816" t="str">
        <f>"11"</f>
        <v>11</v>
      </c>
      <c r="E21816" t="s">
        <v>288</v>
      </c>
      <c r="F21816" t="s">
        <v>2</v>
      </c>
      <c r="G21816" t="s">
        <v>47093</v>
      </c>
      <c r="H21816" t="s">
        <v>47054</v>
      </c>
      <c r="I21816" t="s">
        <v>47111</v>
      </c>
      <c r="J21816" t="s">
        <v>47112</v>
      </c>
      <c r="K21816" t="s">
        <v>47113</v>
      </c>
      <c r="L21816">
        <v>34.81</v>
      </c>
      <c r="M21816">
        <v>85</v>
      </c>
      <c r="N21816">
        <v>0</v>
      </c>
      <c r="O21816">
        <v>85</v>
      </c>
      <c r="P21816">
        <v>0</v>
      </c>
    </row>
    <row r="21817" spans="1:16" x14ac:dyDescent="0.25">
      <c r="A21817" t="s">
        <v>1032</v>
      </c>
      <c r="B21817" t="s">
        <v>1033</v>
      </c>
      <c r="C21817" t="s">
        <v>1034</v>
      </c>
      <c r="D21817" t="s">
        <v>1035</v>
      </c>
      <c r="E21817" t="s">
        <v>1036</v>
      </c>
      <c r="F21817" t="s">
        <v>2</v>
      </c>
      <c r="G21817" t="s">
        <v>47093</v>
      </c>
      <c r="H21817" t="s">
        <v>47054</v>
      </c>
      <c r="I21817" t="s">
        <v>47111</v>
      </c>
      <c r="J21817" t="s">
        <v>47112</v>
      </c>
      <c r="K21817" t="s">
        <v>47113</v>
      </c>
      <c r="L21817">
        <v>40</v>
      </c>
      <c r="M21817">
        <v>92</v>
      </c>
      <c r="N21817">
        <v>0</v>
      </c>
      <c r="O21817">
        <v>92</v>
      </c>
      <c r="P21817">
        <v>0</v>
      </c>
    </row>
    <row r="21818" spans="1:16" x14ac:dyDescent="0.25">
      <c r="A21818" t="s">
        <v>44592</v>
      </c>
      <c r="B21818" t="s">
        <v>13033</v>
      </c>
      <c r="C21818" t="s">
        <v>13034</v>
      </c>
      <c r="D21818" t="str">
        <f>"11"</f>
        <v>11</v>
      </c>
      <c r="E21818" t="s">
        <v>288</v>
      </c>
      <c r="F21818" t="s">
        <v>2</v>
      </c>
      <c r="G21818" t="s">
        <v>47093</v>
      </c>
      <c r="H21818" t="s">
        <v>47054</v>
      </c>
      <c r="I21818" t="s">
        <v>47111</v>
      </c>
      <c r="J21818" t="s">
        <v>47112</v>
      </c>
      <c r="K21818" t="s">
        <v>47113</v>
      </c>
      <c r="L21818">
        <v>36.75</v>
      </c>
      <c r="M21818">
        <v>100</v>
      </c>
      <c r="N21818">
        <v>0</v>
      </c>
      <c r="O21818">
        <v>100</v>
      </c>
      <c r="P21818">
        <v>0</v>
      </c>
    </row>
    <row r="21819" spans="1:16" x14ac:dyDescent="0.25">
      <c r="A21819" t="s">
        <v>44593</v>
      </c>
      <c r="B21819" t="s">
        <v>13033</v>
      </c>
      <c r="C21819" t="s">
        <v>13034</v>
      </c>
      <c r="D21819" t="s">
        <v>13035</v>
      </c>
      <c r="E21819" t="s">
        <v>13036</v>
      </c>
      <c r="F21819" t="s">
        <v>2</v>
      </c>
      <c r="G21819" t="s">
        <v>47093</v>
      </c>
      <c r="H21819" t="s">
        <v>47054</v>
      </c>
      <c r="I21819" t="s">
        <v>47111</v>
      </c>
      <c r="J21819" t="s">
        <v>47112</v>
      </c>
      <c r="K21819" t="s">
        <v>47113</v>
      </c>
      <c r="L21819">
        <v>42.96</v>
      </c>
      <c r="M21819">
        <v>85</v>
      </c>
      <c r="N21819">
        <v>0</v>
      </c>
      <c r="O21819">
        <v>85</v>
      </c>
      <c r="P21819">
        <v>0</v>
      </c>
    </row>
    <row r="21820" spans="1:16" x14ac:dyDescent="0.25">
      <c r="A21820" t="s">
        <v>44594</v>
      </c>
      <c r="B21820" t="s">
        <v>13037</v>
      </c>
      <c r="C21820" t="s">
        <v>13038</v>
      </c>
      <c r="D21820" t="s">
        <v>13035</v>
      </c>
      <c r="E21820" t="s">
        <v>13036</v>
      </c>
      <c r="F21820" t="s">
        <v>2</v>
      </c>
      <c r="G21820" t="s">
        <v>47098</v>
      </c>
      <c r="H21820" t="s">
        <v>47054</v>
      </c>
      <c r="I21820" t="s">
        <v>47116</v>
      </c>
      <c r="J21820" t="s">
        <v>47117</v>
      </c>
      <c r="K21820" t="s">
        <v>47113</v>
      </c>
      <c r="L21820">
        <v>35.28</v>
      </c>
      <c r="M21820">
        <v>85</v>
      </c>
      <c r="N21820">
        <v>0</v>
      </c>
      <c r="O21820">
        <v>85</v>
      </c>
      <c r="P21820">
        <v>0</v>
      </c>
    </row>
    <row r="21821" spans="1:16" x14ac:dyDescent="0.25">
      <c r="A21821" t="s">
        <v>1037</v>
      </c>
      <c r="B21821" t="s">
        <v>1038</v>
      </c>
      <c r="C21821" t="s">
        <v>1039</v>
      </c>
      <c r="D21821" t="str">
        <f>"11"</f>
        <v>11</v>
      </c>
      <c r="E21821" t="s">
        <v>288</v>
      </c>
      <c r="F21821" t="s">
        <v>2</v>
      </c>
      <c r="G21821" t="s">
        <v>47093</v>
      </c>
      <c r="H21821" t="s">
        <v>47054</v>
      </c>
      <c r="I21821" t="s">
        <v>47111</v>
      </c>
      <c r="J21821" t="s">
        <v>47112</v>
      </c>
      <c r="K21821" t="s">
        <v>47113</v>
      </c>
      <c r="L21821">
        <v>31.68</v>
      </c>
      <c r="M21821">
        <v>90</v>
      </c>
      <c r="N21821">
        <v>0</v>
      </c>
      <c r="O21821">
        <v>90</v>
      </c>
      <c r="P21821">
        <v>0</v>
      </c>
    </row>
    <row r="21822" spans="1:16" x14ac:dyDescent="0.25">
      <c r="A21822" t="s">
        <v>44595</v>
      </c>
      <c r="B21822" t="s">
        <v>1038</v>
      </c>
      <c r="C21822" t="s">
        <v>1039</v>
      </c>
      <c r="D21822" t="s">
        <v>13035</v>
      </c>
      <c r="E21822" t="s">
        <v>13036</v>
      </c>
      <c r="F21822" t="s">
        <v>2</v>
      </c>
      <c r="G21822" t="s">
        <v>47093</v>
      </c>
      <c r="H21822" t="s">
        <v>47054</v>
      </c>
      <c r="I21822" t="s">
        <v>47111</v>
      </c>
      <c r="J21822" t="s">
        <v>47112</v>
      </c>
      <c r="K21822" t="s">
        <v>47113</v>
      </c>
      <c r="L21822">
        <v>38.58</v>
      </c>
      <c r="M21822">
        <v>85</v>
      </c>
      <c r="N21822">
        <v>0</v>
      </c>
      <c r="O21822">
        <v>85</v>
      </c>
      <c r="P21822">
        <v>0</v>
      </c>
    </row>
    <row r="21823" spans="1:16" x14ac:dyDescent="0.25">
      <c r="A21823" t="s">
        <v>1040</v>
      </c>
      <c r="B21823" t="s">
        <v>1041</v>
      </c>
      <c r="C21823" t="s">
        <v>1042</v>
      </c>
      <c r="D21823" t="s">
        <v>27</v>
      </c>
      <c r="E21823" t="s">
        <v>1043</v>
      </c>
      <c r="F21823" t="s">
        <v>2</v>
      </c>
      <c r="G21823" t="s">
        <v>47093</v>
      </c>
      <c r="H21823" t="s">
        <v>47054</v>
      </c>
      <c r="I21823" t="s">
        <v>47111</v>
      </c>
      <c r="J21823" t="s">
        <v>47112</v>
      </c>
      <c r="K21823" t="s">
        <v>47113</v>
      </c>
      <c r="L21823">
        <v>37.11</v>
      </c>
      <c r="M21823">
        <v>88</v>
      </c>
      <c r="N21823">
        <v>0</v>
      </c>
      <c r="O21823">
        <v>88</v>
      </c>
      <c r="P21823">
        <v>0</v>
      </c>
    </row>
    <row r="21824" spans="1:16" x14ac:dyDescent="0.25">
      <c r="A21824" t="s">
        <v>1044</v>
      </c>
      <c r="B21824" t="s">
        <v>1041</v>
      </c>
      <c r="C21824" t="s">
        <v>1042</v>
      </c>
      <c r="D21824" t="s">
        <v>311</v>
      </c>
      <c r="E21824" t="s">
        <v>312</v>
      </c>
      <c r="F21824" t="s">
        <v>2</v>
      </c>
      <c r="G21824" t="s">
        <v>47093</v>
      </c>
      <c r="H21824" t="s">
        <v>47054</v>
      </c>
      <c r="I21824" t="s">
        <v>47111</v>
      </c>
      <c r="J21824" t="s">
        <v>47112</v>
      </c>
      <c r="K21824" t="s">
        <v>47113</v>
      </c>
      <c r="L21824">
        <v>31.36</v>
      </c>
      <c r="M21824">
        <v>80</v>
      </c>
      <c r="N21824">
        <v>0</v>
      </c>
      <c r="O21824">
        <v>80</v>
      </c>
      <c r="P21824">
        <v>0</v>
      </c>
    </row>
    <row r="21825" spans="1:16" x14ac:dyDescent="0.25">
      <c r="A21825" t="s">
        <v>1045</v>
      </c>
      <c r="B21825" t="s">
        <v>1041</v>
      </c>
      <c r="C21825" t="s">
        <v>1042</v>
      </c>
      <c r="D21825" t="s">
        <v>1046</v>
      </c>
      <c r="E21825" t="s">
        <v>1047</v>
      </c>
      <c r="F21825" t="s">
        <v>2</v>
      </c>
      <c r="G21825" t="s">
        <v>47093</v>
      </c>
      <c r="H21825" t="s">
        <v>47054</v>
      </c>
      <c r="I21825" t="s">
        <v>47111</v>
      </c>
      <c r="J21825" t="s">
        <v>47112</v>
      </c>
      <c r="K21825" t="s">
        <v>47113</v>
      </c>
      <c r="L21825">
        <v>44.65</v>
      </c>
      <c r="M21825">
        <v>88</v>
      </c>
      <c r="N21825">
        <v>0</v>
      </c>
      <c r="O21825">
        <v>88</v>
      </c>
      <c r="P21825">
        <v>0</v>
      </c>
    </row>
    <row r="21826" spans="1:16" x14ac:dyDescent="0.25">
      <c r="A21826" t="s">
        <v>1048</v>
      </c>
      <c r="B21826" t="s">
        <v>1049</v>
      </c>
      <c r="C21826" t="s">
        <v>1050</v>
      </c>
      <c r="D21826" t="s">
        <v>1046</v>
      </c>
      <c r="E21826" t="s">
        <v>1047</v>
      </c>
      <c r="F21826" t="s">
        <v>2</v>
      </c>
      <c r="G21826" t="s">
        <v>47098</v>
      </c>
      <c r="H21826" t="s">
        <v>47054</v>
      </c>
      <c r="I21826" t="s">
        <v>47116</v>
      </c>
      <c r="J21826" t="s">
        <v>47117</v>
      </c>
      <c r="K21826" t="s">
        <v>47113</v>
      </c>
      <c r="L21826">
        <v>49.12</v>
      </c>
      <c r="M21826">
        <v>100</v>
      </c>
      <c r="N21826">
        <v>0</v>
      </c>
      <c r="O21826">
        <v>100</v>
      </c>
      <c r="P21826">
        <v>0</v>
      </c>
    </row>
    <row r="21827" spans="1:16" x14ac:dyDescent="0.25">
      <c r="A21827" t="s">
        <v>1051</v>
      </c>
      <c r="B21827" t="s">
        <v>1052</v>
      </c>
      <c r="C21827" t="s">
        <v>1053</v>
      </c>
      <c r="D21827" t="s">
        <v>27</v>
      </c>
      <c r="E21827" t="s">
        <v>1043</v>
      </c>
      <c r="F21827" t="s">
        <v>2</v>
      </c>
      <c r="G21827" t="s">
        <v>47093</v>
      </c>
      <c r="H21827" t="s">
        <v>47054</v>
      </c>
      <c r="I21827" t="s">
        <v>47111</v>
      </c>
      <c r="J21827" t="s">
        <v>47112</v>
      </c>
      <c r="K21827" t="s">
        <v>47113</v>
      </c>
      <c r="L21827">
        <v>32.869999999999997</v>
      </c>
      <c r="M21827">
        <v>88</v>
      </c>
      <c r="N21827">
        <v>0</v>
      </c>
      <c r="O21827">
        <v>88</v>
      </c>
      <c r="P21827">
        <v>0</v>
      </c>
    </row>
    <row r="21828" spans="1:16" x14ac:dyDescent="0.25">
      <c r="A21828" t="s">
        <v>44596</v>
      </c>
      <c r="B21828" t="s">
        <v>1052</v>
      </c>
      <c r="C21828" t="s">
        <v>1053</v>
      </c>
      <c r="D21828" t="s">
        <v>311</v>
      </c>
      <c r="E21828" t="s">
        <v>312</v>
      </c>
      <c r="F21828" t="s">
        <v>2</v>
      </c>
      <c r="G21828" t="s">
        <v>47093</v>
      </c>
      <c r="H21828" t="s">
        <v>47054</v>
      </c>
      <c r="I21828" t="s">
        <v>47111</v>
      </c>
      <c r="J21828" t="s">
        <v>47112</v>
      </c>
      <c r="K21828" t="s">
        <v>47113</v>
      </c>
      <c r="L21828">
        <v>31.37</v>
      </c>
      <c r="M21828">
        <v>80</v>
      </c>
      <c r="N21828">
        <v>0</v>
      </c>
      <c r="O21828">
        <v>80</v>
      </c>
      <c r="P21828">
        <v>0</v>
      </c>
    </row>
    <row r="21829" spans="1:16" x14ac:dyDescent="0.25">
      <c r="A21829" t="s">
        <v>44597</v>
      </c>
      <c r="B21829" t="s">
        <v>1052</v>
      </c>
      <c r="C21829" t="s">
        <v>1053</v>
      </c>
      <c r="D21829" t="s">
        <v>1046</v>
      </c>
      <c r="E21829" t="s">
        <v>1047</v>
      </c>
      <c r="F21829" t="s">
        <v>2</v>
      </c>
      <c r="G21829" t="s">
        <v>47093</v>
      </c>
      <c r="H21829" t="s">
        <v>47054</v>
      </c>
      <c r="I21829" t="s">
        <v>47111</v>
      </c>
      <c r="J21829" t="s">
        <v>47112</v>
      </c>
      <c r="K21829" t="s">
        <v>47113</v>
      </c>
      <c r="L21829">
        <v>41.5</v>
      </c>
      <c r="M21829">
        <v>85</v>
      </c>
      <c r="N21829">
        <v>0</v>
      </c>
      <c r="O21829">
        <v>85</v>
      </c>
      <c r="P21829">
        <v>0</v>
      </c>
    </row>
    <row r="21830" spans="1:16" x14ac:dyDescent="0.25">
      <c r="A21830" t="s">
        <v>44598</v>
      </c>
      <c r="B21830" t="s">
        <v>13039</v>
      </c>
      <c r="C21830" t="s">
        <v>13040</v>
      </c>
      <c r="D21830" t="str">
        <f>"11"</f>
        <v>11</v>
      </c>
      <c r="E21830" t="s">
        <v>288</v>
      </c>
      <c r="F21830" t="s">
        <v>2</v>
      </c>
      <c r="G21830" t="s">
        <v>47093</v>
      </c>
      <c r="H21830" t="s">
        <v>47054</v>
      </c>
      <c r="I21830" t="s">
        <v>47111</v>
      </c>
      <c r="J21830" t="s">
        <v>47112</v>
      </c>
      <c r="K21830" t="s">
        <v>47113</v>
      </c>
      <c r="L21830">
        <v>36.97</v>
      </c>
      <c r="M21830">
        <v>85</v>
      </c>
      <c r="N21830">
        <v>0</v>
      </c>
      <c r="O21830">
        <v>85</v>
      </c>
      <c r="P21830">
        <v>0</v>
      </c>
    </row>
    <row r="21831" spans="1:16" x14ac:dyDescent="0.25">
      <c r="A21831" t="s">
        <v>44599</v>
      </c>
      <c r="B21831" t="s">
        <v>13039</v>
      </c>
      <c r="C21831" t="s">
        <v>13040</v>
      </c>
      <c r="D21831" t="s">
        <v>13035</v>
      </c>
      <c r="E21831" t="s">
        <v>13036</v>
      </c>
      <c r="F21831" t="s">
        <v>2</v>
      </c>
      <c r="G21831" t="s">
        <v>47093</v>
      </c>
      <c r="H21831" t="s">
        <v>47054</v>
      </c>
      <c r="I21831" t="s">
        <v>47111</v>
      </c>
      <c r="J21831" t="s">
        <v>47112</v>
      </c>
      <c r="K21831" t="s">
        <v>47113</v>
      </c>
      <c r="L21831">
        <v>43.04</v>
      </c>
      <c r="M21831">
        <v>85</v>
      </c>
      <c r="N21831">
        <v>0</v>
      </c>
      <c r="O21831">
        <v>85</v>
      </c>
      <c r="P21831">
        <v>0</v>
      </c>
    </row>
    <row r="21832" spans="1:16" x14ac:dyDescent="0.25">
      <c r="A21832" t="s">
        <v>44600</v>
      </c>
      <c r="B21832" t="s">
        <v>13041</v>
      </c>
      <c r="C21832" t="s">
        <v>13042</v>
      </c>
      <c r="D21832" t="str">
        <f>"11"</f>
        <v>11</v>
      </c>
      <c r="E21832" t="s">
        <v>288</v>
      </c>
      <c r="F21832" t="s">
        <v>2</v>
      </c>
      <c r="G21832" t="s">
        <v>47093</v>
      </c>
      <c r="H21832" t="s">
        <v>47054</v>
      </c>
      <c r="I21832" t="s">
        <v>47111</v>
      </c>
      <c r="J21832" t="s">
        <v>47112</v>
      </c>
      <c r="K21832" t="s">
        <v>47113</v>
      </c>
      <c r="L21832">
        <v>33.11</v>
      </c>
      <c r="M21832">
        <v>80</v>
      </c>
      <c r="N21832">
        <v>0</v>
      </c>
      <c r="O21832">
        <v>80</v>
      </c>
      <c r="P21832">
        <v>0</v>
      </c>
    </row>
    <row r="21833" spans="1:16" x14ac:dyDescent="0.25">
      <c r="A21833" t="s">
        <v>44601</v>
      </c>
      <c r="B21833" t="s">
        <v>13041</v>
      </c>
      <c r="C21833" t="s">
        <v>13042</v>
      </c>
      <c r="D21833" t="s">
        <v>1030</v>
      </c>
      <c r="E21833" t="s">
        <v>1031</v>
      </c>
      <c r="F21833" t="s">
        <v>2</v>
      </c>
      <c r="G21833" t="s">
        <v>47093</v>
      </c>
      <c r="H21833" t="s">
        <v>47054</v>
      </c>
      <c r="I21833" t="s">
        <v>47111</v>
      </c>
      <c r="J21833" t="s">
        <v>47112</v>
      </c>
      <c r="K21833" t="s">
        <v>47113</v>
      </c>
      <c r="L21833">
        <v>46.61</v>
      </c>
      <c r="M21833">
        <v>95</v>
      </c>
      <c r="N21833">
        <v>0</v>
      </c>
      <c r="O21833">
        <v>95</v>
      </c>
      <c r="P21833">
        <v>0</v>
      </c>
    </row>
    <row r="21834" spans="1:16" x14ac:dyDescent="0.25">
      <c r="A21834" t="s">
        <v>44602</v>
      </c>
      <c r="B21834" t="s">
        <v>13043</v>
      </c>
      <c r="C21834" t="s">
        <v>13044</v>
      </c>
      <c r="D21834" t="s">
        <v>311</v>
      </c>
      <c r="E21834" t="s">
        <v>312</v>
      </c>
      <c r="F21834" t="s">
        <v>2</v>
      </c>
      <c r="G21834" t="s">
        <v>47093</v>
      </c>
      <c r="H21834" t="s">
        <v>47054</v>
      </c>
      <c r="I21834" t="s">
        <v>47111</v>
      </c>
      <c r="J21834" t="s">
        <v>47112</v>
      </c>
      <c r="K21834" t="s">
        <v>47113</v>
      </c>
      <c r="L21834">
        <v>31.37</v>
      </c>
      <c r="M21834">
        <v>80</v>
      </c>
      <c r="N21834">
        <v>0</v>
      </c>
      <c r="O21834">
        <v>80</v>
      </c>
      <c r="P21834">
        <v>0</v>
      </c>
    </row>
    <row r="21835" spans="1:16" x14ac:dyDescent="0.25">
      <c r="A21835" t="s">
        <v>44603</v>
      </c>
      <c r="B21835" t="s">
        <v>1054</v>
      </c>
      <c r="C21835" t="s">
        <v>1055</v>
      </c>
      <c r="D21835" t="str">
        <f>"11"</f>
        <v>11</v>
      </c>
      <c r="E21835" t="s">
        <v>288</v>
      </c>
      <c r="F21835" t="s">
        <v>2</v>
      </c>
      <c r="G21835" t="s">
        <v>47093</v>
      </c>
      <c r="H21835" t="s">
        <v>47054</v>
      </c>
      <c r="I21835" t="s">
        <v>47111</v>
      </c>
      <c r="J21835" t="s">
        <v>47112</v>
      </c>
      <c r="K21835" t="s">
        <v>47113</v>
      </c>
      <c r="L21835">
        <v>29.26</v>
      </c>
      <c r="M21835">
        <v>70</v>
      </c>
      <c r="N21835">
        <v>0</v>
      </c>
      <c r="O21835">
        <v>70</v>
      </c>
      <c r="P21835">
        <v>0</v>
      </c>
    </row>
    <row r="21836" spans="1:16" x14ac:dyDescent="0.25">
      <c r="A21836" t="s">
        <v>44604</v>
      </c>
      <c r="B21836" t="s">
        <v>1054</v>
      </c>
      <c r="C21836" t="s">
        <v>1055</v>
      </c>
      <c r="D21836" t="str">
        <f>"63"</f>
        <v>63</v>
      </c>
      <c r="E21836" t="s">
        <v>13019</v>
      </c>
      <c r="F21836" t="s">
        <v>3</v>
      </c>
      <c r="G21836" t="s">
        <v>47093</v>
      </c>
      <c r="H21836" t="s">
        <v>47054</v>
      </c>
      <c r="I21836" t="s">
        <v>47111</v>
      </c>
      <c r="J21836" t="s">
        <v>47112</v>
      </c>
      <c r="K21836" t="s">
        <v>47113</v>
      </c>
      <c r="L21836">
        <v>31.4</v>
      </c>
      <c r="M21836">
        <v>73</v>
      </c>
      <c r="N21836">
        <v>0</v>
      </c>
      <c r="O21836">
        <v>73</v>
      </c>
      <c r="P21836">
        <v>0</v>
      </c>
    </row>
    <row r="21837" spans="1:16" x14ac:dyDescent="0.25">
      <c r="A21837" t="s">
        <v>44605</v>
      </c>
      <c r="B21837" t="s">
        <v>1054</v>
      </c>
      <c r="C21837" t="s">
        <v>1055</v>
      </c>
      <c r="D21837" t="str">
        <f>"78"</f>
        <v>78</v>
      </c>
      <c r="E21837" t="s">
        <v>5106</v>
      </c>
      <c r="F21837" t="s">
        <v>2</v>
      </c>
      <c r="G21837" t="s">
        <v>47093</v>
      </c>
      <c r="H21837" t="s">
        <v>47054</v>
      </c>
      <c r="I21837" t="s">
        <v>47111</v>
      </c>
      <c r="J21837" t="s">
        <v>47112</v>
      </c>
      <c r="K21837" t="s">
        <v>47113</v>
      </c>
      <c r="L21837">
        <v>45.02</v>
      </c>
      <c r="M21837">
        <v>93</v>
      </c>
      <c r="N21837">
        <v>0</v>
      </c>
      <c r="O21837">
        <v>93</v>
      </c>
      <c r="P21837">
        <v>0</v>
      </c>
    </row>
    <row r="21838" spans="1:16" x14ac:dyDescent="0.25">
      <c r="A21838" t="s">
        <v>44606</v>
      </c>
      <c r="B21838" t="s">
        <v>1054</v>
      </c>
      <c r="C21838" t="s">
        <v>1055</v>
      </c>
      <c r="D21838" t="s">
        <v>12852</v>
      </c>
      <c r="E21838" t="s">
        <v>12853</v>
      </c>
      <c r="F21838" t="s">
        <v>3</v>
      </c>
      <c r="G21838" t="s">
        <v>47093</v>
      </c>
      <c r="H21838" t="s">
        <v>47054</v>
      </c>
      <c r="I21838" t="s">
        <v>47111</v>
      </c>
      <c r="J21838" t="s">
        <v>47112</v>
      </c>
      <c r="K21838" t="s">
        <v>47113</v>
      </c>
      <c r="L21838">
        <v>32.229999999999997</v>
      </c>
      <c r="M21838">
        <v>110</v>
      </c>
      <c r="N21838">
        <v>0</v>
      </c>
      <c r="O21838">
        <v>110</v>
      </c>
      <c r="P21838">
        <v>0</v>
      </c>
    </row>
    <row r="21839" spans="1:16" x14ac:dyDescent="0.25">
      <c r="A21839" t="s">
        <v>44607</v>
      </c>
      <c r="B21839" t="s">
        <v>1054</v>
      </c>
      <c r="C21839" t="s">
        <v>1055</v>
      </c>
      <c r="D21839" t="s">
        <v>6814</v>
      </c>
      <c r="E21839" t="s">
        <v>6815</v>
      </c>
      <c r="F21839" t="s">
        <v>3</v>
      </c>
      <c r="G21839" t="s">
        <v>47093</v>
      </c>
      <c r="H21839" t="s">
        <v>47054</v>
      </c>
      <c r="I21839" t="s">
        <v>47111</v>
      </c>
      <c r="J21839" t="s">
        <v>47112</v>
      </c>
      <c r="K21839" t="s">
        <v>47113</v>
      </c>
      <c r="L21839">
        <v>34.69</v>
      </c>
      <c r="M21839">
        <v>80</v>
      </c>
      <c r="N21839">
        <v>0</v>
      </c>
      <c r="O21839">
        <v>80</v>
      </c>
      <c r="P21839">
        <v>0</v>
      </c>
    </row>
    <row r="21840" spans="1:16" x14ac:dyDescent="0.25">
      <c r="A21840" t="s">
        <v>44608</v>
      </c>
      <c r="B21840" t="s">
        <v>1054</v>
      </c>
      <c r="C21840" t="s">
        <v>1055</v>
      </c>
      <c r="D21840" t="s">
        <v>6816</v>
      </c>
      <c r="E21840" t="s">
        <v>6817</v>
      </c>
      <c r="F21840" t="s">
        <v>3</v>
      </c>
      <c r="G21840" t="s">
        <v>47093</v>
      </c>
      <c r="H21840" t="s">
        <v>47054</v>
      </c>
      <c r="I21840" t="s">
        <v>47111</v>
      </c>
      <c r="J21840" t="s">
        <v>47112</v>
      </c>
      <c r="K21840" t="s">
        <v>47113</v>
      </c>
      <c r="L21840">
        <v>33.200000000000003</v>
      </c>
      <c r="M21840">
        <v>77</v>
      </c>
      <c r="N21840">
        <v>0</v>
      </c>
      <c r="O21840">
        <v>77</v>
      </c>
      <c r="P21840">
        <v>0</v>
      </c>
    </row>
    <row r="21841" spans="1:16" x14ac:dyDescent="0.25">
      <c r="A21841" t="s">
        <v>1056</v>
      </c>
      <c r="B21841" t="s">
        <v>1054</v>
      </c>
      <c r="C21841" t="s">
        <v>1055</v>
      </c>
      <c r="D21841" t="s">
        <v>976</v>
      </c>
      <c r="E21841" t="s">
        <v>1057</v>
      </c>
      <c r="F21841" t="s">
        <v>3</v>
      </c>
      <c r="G21841" t="s">
        <v>47093</v>
      </c>
      <c r="H21841" t="s">
        <v>47054</v>
      </c>
      <c r="I21841" t="s">
        <v>47111</v>
      </c>
      <c r="J21841" t="s">
        <v>47112</v>
      </c>
      <c r="K21841" t="s">
        <v>47113</v>
      </c>
      <c r="L21841">
        <v>34.03</v>
      </c>
      <c r="M21841">
        <v>77</v>
      </c>
      <c r="N21841">
        <v>0</v>
      </c>
      <c r="O21841">
        <v>77</v>
      </c>
      <c r="P21841">
        <v>0</v>
      </c>
    </row>
    <row r="21842" spans="1:16" x14ac:dyDescent="0.25">
      <c r="A21842" t="s">
        <v>44609</v>
      </c>
      <c r="B21842" t="s">
        <v>1054</v>
      </c>
      <c r="C21842" t="s">
        <v>1055</v>
      </c>
      <c r="D21842" t="s">
        <v>6818</v>
      </c>
      <c r="E21842" t="s">
        <v>6819</v>
      </c>
      <c r="F21842" t="s">
        <v>3</v>
      </c>
      <c r="G21842" t="s">
        <v>47093</v>
      </c>
      <c r="H21842" t="s">
        <v>47054</v>
      </c>
      <c r="I21842" t="s">
        <v>47111</v>
      </c>
      <c r="J21842" t="s">
        <v>47112</v>
      </c>
      <c r="K21842" t="s">
        <v>47113</v>
      </c>
      <c r="L21842">
        <v>33.26</v>
      </c>
      <c r="M21842">
        <v>77</v>
      </c>
      <c r="N21842">
        <v>0</v>
      </c>
      <c r="O21842">
        <v>77</v>
      </c>
      <c r="P21842">
        <v>0</v>
      </c>
    </row>
    <row r="21843" spans="1:16" x14ac:dyDescent="0.25">
      <c r="A21843" t="s">
        <v>14152</v>
      </c>
      <c r="B21843" t="s">
        <v>1054</v>
      </c>
      <c r="C21843" t="s">
        <v>1055</v>
      </c>
      <c r="D21843" t="s">
        <v>921</v>
      </c>
      <c r="E21843" t="s">
        <v>922</v>
      </c>
      <c r="F21843" t="s">
        <v>3</v>
      </c>
      <c r="G21843" t="s">
        <v>47093</v>
      </c>
      <c r="H21843" t="s">
        <v>47054</v>
      </c>
      <c r="I21843" t="s">
        <v>47111</v>
      </c>
      <c r="J21843" t="s">
        <v>47112</v>
      </c>
      <c r="K21843" t="s">
        <v>47113</v>
      </c>
      <c r="L21843">
        <v>35.32</v>
      </c>
      <c r="M21843">
        <v>80</v>
      </c>
      <c r="N21843">
        <v>0</v>
      </c>
      <c r="O21843">
        <v>80</v>
      </c>
      <c r="P21843">
        <v>0</v>
      </c>
    </row>
    <row r="21844" spans="1:16" x14ac:dyDescent="0.25">
      <c r="A21844" t="s">
        <v>44610</v>
      </c>
      <c r="B21844" t="s">
        <v>13045</v>
      </c>
      <c r="C21844" t="s">
        <v>13046</v>
      </c>
      <c r="D21844" t="str">
        <f>"11"</f>
        <v>11</v>
      </c>
      <c r="E21844" t="s">
        <v>288</v>
      </c>
      <c r="F21844" t="s">
        <v>2</v>
      </c>
      <c r="G21844" t="s">
        <v>47093</v>
      </c>
      <c r="H21844" t="s">
        <v>47054</v>
      </c>
      <c r="I21844" t="s">
        <v>47111</v>
      </c>
      <c r="J21844" t="s">
        <v>47112</v>
      </c>
      <c r="K21844" t="s">
        <v>47113</v>
      </c>
      <c r="L21844">
        <v>29.28</v>
      </c>
      <c r="M21844">
        <v>70</v>
      </c>
      <c r="N21844">
        <v>0</v>
      </c>
      <c r="O21844">
        <v>70</v>
      </c>
      <c r="P21844">
        <v>0</v>
      </c>
    </row>
    <row r="21845" spans="1:16" x14ac:dyDescent="0.25">
      <c r="A21845" t="s">
        <v>44611</v>
      </c>
      <c r="B21845" t="s">
        <v>13045</v>
      </c>
      <c r="C21845" t="s">
        <v>13046</v>
      </c>
      <c r="D21845" t="str">
        <f>"63"</f>
        <v>63</v>
      </c>
      <c r="E21845" t="s">
        <v>40</v>
      </c>
      <c r="F21845" t="s">
        <v>2</v>
      </c>
      <c r="G21845" t="s">
        <v>47093</v>
      </c>
      <c r="H21845" t="s">
        <v>47054</v>
      </c>
      <c r="I21845" t="s">
        <v>47111</v>
      </c>
      <c r="J21845" t="s">
        <v>47112</v>
      </c>
      <c r="K21845" t="s">
        <v>47113</v>
      </c>
      <c r="L21845">
        <v>37.130000000000003</v>
      </c>
      <c r="M21845">
        <v>79</v>
      </c>
      <c r="N21845">
        <v>0</v>
      </c>
      <c r="O21845">
        <v>79</v>
      </c>
      <c r="P21845">
        <v>0</v>
      </c>
    </row>
    <row r="21846" spans="1:16" x14ac:dyDescent="0.25">
      <c r="A21846" t="s">
        <v>44612</v>
      </c>
      <c r="B21846" t="s">
        <v>13045</v>
      </c>
      <c r="C21846" t="s">
        <v>13046</v>
      </c>
      <c r="D21846" t="str">
        <f>"78"</f>
        <v>78</v>
      </c>
      <c r="E21846" t="s">
        <v>5106</v>
      </c>
      <c r="F21846" t="s">
        <v>2</v>
      </c>
      <c r="G21846" t="s">
        <v>47093</v>
      </c>
      <c r="H21846" t="s">
        <v>47054</v>
      </c>
      <c r="I21846" t="s">
        <v>47111</v>
      </c>
      <c r="J21846" t="s">
        <v>47112</v>
      </c>
      <c r="K21846" t="s">
        <v>47113</v>
      </c>
      <c r="L21846">
        <v>35.200000000000003</v>
      </c>
      <c r="M21846">
        <v>93</v>
      </c>
      <c r="N21846">
        <v>0</v>
      </c>
      <c r="O21846">
        <v>93</v>
      </c>
      <c r="P21846">
        <v>0</v>
      </c>
    </row>
    <row r="21847" spans="1:16" x14ac:dyDescent="0.25">
      <c r="A21847" t="s">
        <v>44613</v>
      </c>
      <c r="B21847" t="s">
        <v>13045</v>
      </c>
      <c r="C21847" t="s">
        <v>13046</v>
      </c>
      <c r="D21847" t="s">
        <v>12852</v>
      </c>
      <c r="E21847" t="s">
        <v>12853</v>
      </c>
      <c r="F21847" t="s">
        <v>2</v>
      </c>
      <c r="G21847" t="s">
        <v>47093</v>
      </c>
      <c r="H21847" t="s">
        <v>47054</v>
      </c>
      <c r="I21847" t="s">
        <v>47111</v>
      </c>
      <c r="J21847" t="s">
        <v>47112</v>
      </c>
      <c r="K21847" t="s">
        <v>47113</v>
      </c>
      <c r="L21847">
        <v>34.17</v>
      </c>
      <c r="M21847">
        <v>113</v>
      </c>
      <c r="N21847">
        <v>0</v>
      </c>
      <c r="O21847">
        <v>113</v>
      </c>
      <c r="P21847">
        <v>0</v>
      </c>
    </row>
    <row r="21848" spans="1:16" x14ac:dyDescent="0.25">
      <c r="A21848" t="s">
        <v>44614</v>
      </c>
      <c r="B21848" t="s">
        <v>13045</v>
      </c>
      <c r="C21848" t="s">
        <v>13046</v>
      </c>
      <c r="D21848" t="s">
        <v>6814</v>
      </c>
      <c r="E21848" t="s">
        <v>6815</v>
      </c>
      <c r="F21848" t="s">
        <v>2</v>
      </c>
      <c r="G21848" t="s">
        <v>47093</v>
      </c>
      <c r="H21848" t="s">
        <v>47054</v>
      </c>
      <c r="I21848" t="s">
        <v>47111</v>
      </c>
      <c r="J21848" t="s">
        <v>47112</v>
      </c>
      <c r="K21848" t="s">
        <v>47113</v>
      </c>
      <c r="L21848">
        <v>37.130000000000003</v>
      </c>
      <c r="M21848">
        <v>91</v>
      </c>
      <c r="N21848">
        <v>0</v>
      </c>
      <c r="O21848">
        <v>91</v>
      </c>
      <c r="P21848">
        <v>0</v>
      </c>
    </row>
    <row r="21849" spans="1:16" x14ac:dyDescent="0.25">
      <c r="A21849" t="s">
        <v>44615</v>
      </c>
      <c r="B21849" t="s">
        <v>13045</v>
      </c>
      <c r="C21849" t="s">
        <v>13046</v>
      </c>
      <c r="D21849" t="s">
        <v>6816</v>
      </c>
      <c r="E21849" t="s">
        <v>6817</v>
      </c>
      <c r="F21849" t="s">
        <v>2</v>
      </c>
      <c r="G21849" t="s">
        <v>47093</v>
      </c>
      <c r="H21849" t="s">
        <v>47054</v>
      </c>
      <c r="I21849" t="s">
        <v>47111</v>
      </c>
      <c r="J21849" t="s">
        <v>47112</v>
      </c>
      <c r="K21849" t="s">
        <v>47113</v>
      </c>
      <c r="L21849">
        <v>47.55</v>
      </c>
      <c r="M21849">
        <v>84</v>
      </c>
      <c r="N21849">
        <v>0</v>
      </c>
      <c r="O21849">
        <v>84</v>
      </c>
      <c r="P21849">
        <v>0</v>
      </c>
    </row>
    <row r="21850" spans="1:16" x14ac:dyDescent="0.25">
      <c r="A21850" t="s">
        <v>44616</v>
      </c>
      <c r="B21850" t="s">
        <v>13045</v>
      </c>
      <c r="C21850" t="s">
        <v>13046</v>
      </c>
      <c r="D21850" t="s">
        <v>976</v>
      </c>
      <c r="E21850" t="s">
        <v>977</v>
      </c>
      <c r="F21850" t="s">
        <v>2</v>
      </c>
      <c r="G21850" t="s">
        <v>47093</v>
      </c>
      <c r="H21850" t="s">
        <v>47054</v>
      </c>
      <c r="I21850" t="s">
        <v>47111</v>
      </c>
      <c r="J21850" t="s">
        <v>47112</v>
      </c>
      <c r="K21850" t="s">
        <v>47113</v>
      </c>
      <c r="L21850">
        <v>34.07</v>
      </c>
      <c r="M21850">
        <v>76</v>
      </c>
      <c r="N21850">
        <v>0</v>
      </c>
      <c r="O21850">
        <v>76</v>
      </c>
      <c r="P21850">
        <v>0</v>
      </c>
    </row>
    <row r="21851" spans="1:16" x14ac:dyDescent="0.25">
      <c r="A21851" t="s">
        <v>44617</v>
      </c>
      <c r="B21851" t="s">
        <v>13045</v>
      </c>
      <c r="C21851" t="s">
        <v>13046</v>
      </c>
      <c r="D21851" t="s">
        <v>6818</v>
      </c>
      <c r="E21851" t="s">
        <v>6819</v>
      </c>
      <c r="F21851" t="s">
        <v>2</v>
      </c>
      <c r="G21851" t="s">
        <v>47093</v>
      </c>
      <c r="H21851" t="s">
        <v>47054</v>
      </c>
      <c r="I21851" t="s">
        <v>47111</v>
      </c>
      <c r="J21851" t="s">
        <v>47112</v>
      </c>
      <c r="K21851" t="s">
        <v>47113</v>
      </c>
      <c r="L21851">
        <v>33.270000000000003</v>
      </c>
      <c r="M21851">
        <v>74</v>
      </c>
      <c r="N21851">
        <v>0</v>
      </c>
      <c r="O21851">
        <v>74</v>
      </c>
      <c r="P21851">
        <v>0</v>
      </c>
    </row>
    <row r="21852" spans="1:16" x14ac:dyDescent="0.25">
      <c r="A21852" t="s">
        <v>44618</v>
      </c>
      <c r="B21852" t="s">
        <v>13045</v>
      </c>
      <c r="C21852" t="s">
        <v>13046</v>
      </c>
      <c r="D21852" t="s">
        <v>921</v>
      </c>
      <c r="E21852" t="s">
        <v>922</v>
      </c>
      <c r="F21852" t="s">
        <v>2</v>
      </c>
      <c r="G21852" t="s">
        <v>47093</v>
      </c>
      <c r="H21852" t="s">
        <v>47054</v>
      </c>
      <c r="I21852" t="s">
        <v>47111</v>
      </c>
      <c r="J21852" t="s">
        <v>47112</v>
      </c>
      <c r="K21852" t="s">
        <v>47113</v>
      </c>
      <c r="L21852">
        <v>33.630000000000003</v>
      </c>
      <c r="M21852">
        <v>91</v>
      </c>
      <c r="N21852">
        <v>0</v>
      </c>
      <c r="O21852">
        <v>91</v>
      </c>
      <c r="P21852">
        <v>0</v>
      </c>
    </row>
    <row r="21853" spans="1:16" x14ac:dyDescent="0.25">
      <c r="A21853" t="s">
        <v>44619</v>
      </c>
      <c r="B21853" t="s">
        <v>13047</v>
      </c>
      <c r="C21853" t="s">
        <v>13048</v>
      </c>
      <c r="D21853" t="str">
        <f>"40"</f>
        <v>40</v>
      </c>
      <c r="E21853" t="s">
        <v>31</v>
      </c>
      <c r="F21853" t="s">
        <v>5</v>
      </c>
      <c r="G21853" t="s">
        <v>47093</v>
      </c>
      <c r="H21853" t="s">
        <v>47054</v>
      </c>
      <c r="I21853" t="s">
        <v>47111</v>
      </c>
      <c r="J21853" t="s">
        <v>47112</v>
      </c>
      <c r="K21853" t="s">
        <v>47113</v>
      </c>
      <c r="L21853">
        <v>38.58</v>
      </c>
      <c r="M21853">
        <v>86</v>
      </c>
      <c r="N21853">
        <v>0</v>
      </c>
      <c r="O21853">
        <v>86</v>
      </c>
      <c r="P21853">
        <v>0</v>
      </c>
    </row>
    <row r="21854" spans="1:16" x14ac:dyDescent="0.25">
      <c r="A21854" t="s">
        <v>44620</v>
      </c>
      <c r="B21854" t="s">
        <v>13047</v>
      </c>
      <c r="C21854" t="s">
        <v>13048</v>
      </c>
      <c r="D21854" t="s">
        <v>10071</v>
      </c>
      <c r="E21854" t="s">
        <v>10072</v>
      </c>
      <c r="F21854" t="s">
        <v>5</v>
      </c>
      <c r="G21854" t="s">
        <v>47093</v>
      </c>
      <c r="H21854" t="s">
        <v>47054</v>
      </c>
      <c r="I21854" t="s">
        <v>47111</v>
      </c>
      <c r="J21854" t="s">
        <v>47112</v>
      </c>
      <c r="K21854" t="s">
        <v>47113</v>
      </c>
      <c r="L21854">
        <v>35.19</v>
      </c>
      <c r="M21854">
        <v>84</v>
      </c>
      <c r="N21854">
        <v>0</v>
      </c>
      <c r="O21854">
        <v>84</v>
      </c>
      <c r="P21854">
        <v>0</v>
      </c>
    </row>
    <row r="21855" spans="1:16" x14ac:dyDescent="0.25">
      <c r="A21855" t="s">
        <v>44621</v>
      </c>
      <c r="B21855" t="s">
        <v>16150</v>
      </c>
      <c r="C21855" t="s">
        <v>16151</v>
      </c>
      <c r="D21855" t="s">
        <v>15581</v>
      </c>
      <c r="E21855" t="s">
        <v>15582</v>
      </c>
      <c r="F21855" t="s">
        <v>3750</v>
      </c>
      <c r="G21855" t="s">
        <v>49029</v>
      </c>
      <c r="H21855" t="s">
        <v>47054</v>
      </c>
      <c r="I21855" t="s">
        <v>47116</v>
      </c>
      <c r="J21855" t="s">
        <v>47117</v>
      </c>
      <c r="K21855" t="s">
        <v>47113</v>
      </c>
      <c r="L21855">
        <v>26.15</v>
      </c>
      <c r="M21855">
        <v>101</v>
      </c>
      <c r="N21855">
        <v>0</v>
      </c>
      <c r="O21855">
        <v>101</v>
      </c>
      <c r="P21855">
        <v>0</v>
      </c>
    </row>
    <row r="21856" spans="1:16" x14ac:dyDescent="0.25">
      <c r="A21856" t="s">
        <v>44622</v>
      </c>
      <c r="B21856" t="s">
        <v>13049</v>
      </c>
      <c r="C21856" t="s">
        <v>13050</v>
      </c>
      <c r="D21856" t="str">
        <f>"1001"</f>
        <v>1001</v>
      </c>
      <c r="E21856" t="s">
        <v>13051</v>
      </c>
      <c r="F21856" t="s">
        <v>4</v>
      </c>
      <c r="G21856" t="s">
        <v>47093</v>
      </c>
      <c r="H21856" t="s">
        <v>47054</v>
      </c>
      <c r="I21856" t="s">
        <v>47111</v>
      </c>
      <c r="J21856" t="s">
        <v>47112</v>
      </c>
      <c r="K21856" t="s">
        <v>47113</v>
      </c>
      <c r="L21856">
        <v>43.01</v>
      </c>
      <c r="M21856">
        <v>105</v>
      </c>
      <c r="N21856">
        <v>0</v>
      </c>
      <c r="O21856">
        <v>105</v>
      </c>
      <c r="P21856">
        <v>0</v>
      </c>
    </row>
    <row r="21857" spans="1:16" x14ac:dyDescent="0.25">
      <c r="A21857" t="s">
        <v>44623</v>
      </c>
      <c r="B21857" t="s">
        <v>1058</v>
      </c>
      <c r="C21857" t="s">
        <v>1059</v>
      </c>
      <c r="D21857" t="str">
        <f>"1001"</f>
        <v>1001</v>
      </c>
      <c r="E21857" t="s">
        <v>1060</v>
      </c>
      <c r="F21857" t="s">
        <v>4</v>
      </c>
      <c r="G21857" t="s">
        <v>47093</v>
      </c>
      <c r="H21857" t="s">
        <v>47054</v>
      </c>
      <c r="I21857" t="s">
        <v>47111</v>
      </c>
      <c r="J21857" t="s">
        <v>47112</v>
      </c>
      <c r="K21857" t="s">
        <v>47113</v>
      </c>
      <c r="L21857">
        <v>43.01</v>
      </c>
      <c r="M21857">
        <v>105</v>
      </c>
      <c r="N21857">
        <v>0</v>
      </c>
      <c r="O21857">
        <v>105</v>
      </c>
      <c r="P21857">
        <v>0</v>
      </c>
    </row>
    <row r="21858" spans="1:16" x14ac:dyDescent="0.25">
      <c r="A21858" t="s">
        <v>44624</v>
      </c>
      <c r="B21858" t="s">
        <v>13052</v>
      </c>
      <c r="C21858" t="s">
        <v>13053</v>
      </c>
      <c r="D21858" t="str">
        <f>"1933"</f>
        <v>1933</v>
      </c>
      <c r="E21858" t="s">
        <v>13054</v>
      </c>
      <c r="F21858" t="s">
        <v>2</v>
      </c>
      <c r="G21858" t="s">
        <v>47093</v>
      </c>
      <c r="H21858" t="s">
        <v>47054</v>
      </c>
      <c r="I21858" t="s">
        <v>47111</v>
      </c>
      <c r="J21858" t="s">
        <v>47112</v>
      </c>
      <c r="K21858" t="s">
        <v>47113</v>
      </c>
      <c r="L21858">
        <v>42.45</v>
      </c>
      <c r="M21858">
        <v>97</v>
      </c>
      <c r="N21858">
        <v>0</v>
      </c>
      <c r="O21858">
        <v>97</v>
      </c>
      <c r="P21858">
        <v>0</v>
      </c>
    </row>
    <row r="21859" spans="1:16" x14ac:dyDescent="0.25">
      <c r="A21859" t="s">
        <v>44625</v>
      </c>
      <c r="B21859" t="s">
        <v>13052</v>
      </c>
      <c r="C21859" t="s">
        <v>13053</v>
      </c>
      <c r="D21859" t="str">
        <f>"4573"</f>
        <v>4573</v>
      </c>
      <c r="E21859" t="s">
        <v>13055</v>
      </c>
      <c r="F21859" t="s">
        <v>2</v>
      </c>
      <c r="G21859" t="s">
        <v>47093</v>
      </c>
      <c r="H21859" t="s">
        <v>47054</v>
      </c>
      <c r="I21859" t="s">
        <v>47111</v>
      </c>
      <c r="J21859" t="s">
        <v>47112</v>
      </c>
      <c r="K21859" t="s">
        <v>47113</v>
      </c>
      <c r="L21859">
        <v>42.45</v>
      </c>
      <c r="M21859">
        <v>97</v>
      </c>
      <c r="N21859">
        <v>0</v>
      </c>
      <c r="O21859">
        <v>97</v>
      </c>
      <c r="P21859">
        <v>0</v>
      </c>
    </row>
    <row r="21860" spans="1:16" x14ac:dyDescent="0.25">
      <c r="A21860" t="s">
        <v>44626</v>
      </c>
      <c r="B21860" t="s">
        <v>13052</v>
      </c>
      <c r="C21860" t="s">
        <v>13053</v>
      </c>
      <c r="D21860" t="str">
        <f>"6849"</f>
        <v>6849</v>
      </c>
      <c r="E21860" t="s">
        <v>13056</v>
      </c>
      <c r="F21860" t="s">
        <v>2</v>
      </c>
      <c r="G21860" t="s">
        <v>47093</v>
      </c>
      <c r="H21860" t="s">
        <v>47054</v>
      </c>
      <c r="I21860" t="s">
        <v>47111</v>
      </c>
      <c r="J21860" t="s">
        <v>47112</v>
      </c>
      <c r="K21860" t="s">
        <v>47113</v>
      </c>
      <c r="L21860">
        <v>42.45</v>
      </c>
      <c r="M21860">
        <v>97</v>
      </c>
      <c r="N21860">
        <v>0</v>
      </c>
      <c r="O21860">
        <v>97</v>
      </c>
      <c r="P21860">
        <v>0</v>
      </c>
    </row>
    <row r="21861" spans="1:16" x14ac:dyDescent="0.25">
      <c r="A21861" t="s">
        <v>44627</v>
      </c>
      <c r="B21861" t="s">
        <v>1061</v>
      </c>
      <c r="C21861" t="s">
        <v>1062</v>
      </c>
      <c r="D21861" t="str">
        <f>"1001"</f>
        <v>1001</v>
      </c>
      <c r="E21861" t="s">
        <v>1063</v>
      </c>
      <c r="F21861" t="s">
        <v>5</v>
      </c>
      <c r="G21861" t="s">
        <v>47093</v>
      </c>
      <c r="H21861" t="s">
        <v>47054</v>
      </c>
      <c r="I21861" t="s">
        <v>47111</v>
      </c>
      <c r="J21861" t="s">
        <v>47112</v>
      </c>
      <c r="K21861" t="s">
        <v>47113</v>
      </c>
      <c r="L21861">
        <v>45.81</v>
      </c>
      <c r="M21861">
        <v>100</v>
      </c>
      <c r="N21861">
        <v>0</v>
      </c>
      <c r="O21861">
        <v>100</v>
      </c>
      <c r="P21861">
        <v>0</v>
      </c>
    </row>
    <row r="21862" spans="1:16" x14ac:dyDescent="0.25">
      <c r="A21862" t="s">
        <v>44628</v>
      </c>
      <c r="B21862" t="s">
        <v>13057</v>
      </c>
      <c r="C21862" t="s">
        <v>13058</v>
      </c>
      <c r="D21862" t="str">
        <f>"3351"</f>
        <v>3351</v>
      </c>
      <c r="E21862" t="s">
        <v>13059</v>
      </c>
      <c r="F21862" t="s">
        <v>2</v>
      </c>
      <c r="G21862" t="s">
        <v>47093</v>
      </c>
      <c r="H21862" t="s">
        <v>47054</v>
      </c>
      <c r="I21862" t="s">
        <v>47111</v>
      </c>
      <c r="J21862" t="s">
        <v>47112</v>
      </c>
      <c r="K21862" t="s">
        <v>47113</v>
      </c>
      <c r="L21862">
        <v>28.24</v>
      </c>
      <c r="M21862">
        <v>65</v>
      </c>
      <c r="N21862">
        <v>0</v>
      </c>
      <c r="O21862">
        <v>65</v>
      </c>
      <c r="P21862">
        <v>0</v>
      </c>
    </row>
    <row r="21863" spans="1:16" x14ac:dyDescent="0.25">
      <c r="A21863" t="s">
        <v>44629</v>
      </c>
      <c r="B21863" t="s">
        <v>13057</v>
      </c>
      <c r="C21863" t="s">
        <v>13058</v>
      </c>
      <c r="D21863" t="str">
        <f>"4630"</f>
        <v>4630</v>
      </c>
      <c r="E21863" t="s">
        <v>1067</v>
      </c>
      <c r="F21863" t="s">
        <v>2</v>
      </c>
      <c r="G21863" t="s">
        <v>47093</v>
      </c>
      <c r="H21863" t="s">
        <v>47054</v>
      </c>
      <c r="I21863" t="s">
        <v>47111</v>
      </c>
      <c r="J21863" t="s">
        <v>47112</v>
      </c>
      <c r="K21863" t="s">
        <v>47113</v>
      </c>
      <c r="L21863">
        <v>32.9</v>
      </c>
      <c r="M21863">
        <v>73</v>
      </c>
      <c r="N21863">
        <v>0</v>
      </c>
      <c r="O21863">
        <v>73</v>
      </c>
      <c r="P21863">
        <v>0</v>
      </c>
    </row>
    <row r="21864" spans="1:16" x14ac:dyDescent="0.25">
      <c r="A21864" t="s">
        <v>44630</v>
      </c>
      <c r="B21864" t="s">
        <v>13057</v>
      </c>
      <c r="C21864" t="s">
        <v>13058</v>
      </c>
      <c r="D21864" t="str">
        <f>"5331"</f>
        <v>5331</v>
      </c>
      <c r="E21864" t="s">
        <v>13060</v>
      </c>
      <c r="F21864" t="s">
        <v>2</v>
      </c>
      <c r="G21864" t="s">
        <v>47093</v>
      </c>
      <c r="H21864" t="s">
        <v>47054</v>
      </c>
      <c r="I21864" t="s">
        <v>47111</v>
      </c>
      <c r="J21864" t="s">
        <v>47112</v>
      </c>
      <c r="K21864" t="s">
        <v>47113</v>
      </c>
      <c r="L21864">
        <v>36.17</v>
      </c>
      <c r="M21864">
        <v>73</v>
      </c>
      <c r="N21864">
        <v>0</v>
      </c>
      <c r="O21864">
        <v>73</v>
      </c>
      <c r="P21864">
        <v>0</v>
      </c>
    </row>
    <row r="21865" spans="1:16" x14ac:dyDescent="0.25">
      <c r="A21865" t="s">
        <v>44631</v>
      </c>
      <c r="B21865" t="s">
        <v>13057</v>
      </c>
      <c r="C21865" t="s">
        <v>13058</v>
      </c>
      <c r="D21865" t="str">
        <f>"6837"</f>
        <v>6837</v>
      </c>
      <c r="E21865" t="s">
        <v>13061</v>
      </c>
      <c r="F21865" t="s">
        <v>2</v>
      </c>
      <c r="G21865" t="s">
        <v>47093</v>
      </c>
      <c r="H21865" t="s">
        <v>47054</v>
      </c>
      <c r="I21865" t="s">
        <v>47111</v>
      </c>
      <c r="J21865" t="s">
        <v>47112</v>
      </c>
      <c r="K21865" t="s">
        <v>47113</v>
      </c>
      <c r="L21865">
        <v>32.83</v>
      </c>
      <c r="M21865">
        <v>73</v>
      </c>
      <c r="N21865">
        <v>0</v>
      </c>
      <c r="O21865">
        <v>73</v>
      </c>
      <c r="P21865">
        <v>0</v>
      </c>
    </row>
    <row r="21866" spans="1:16" x14ac:dyDescent="0.25">
      <c r="A21866" t="s">
        <v>44632</v>
      </c>
      <c r="B21866" t="s">
        <v>13057</v>
      </c>
      <c r="C21866" t="s">
        <v>13058</v>
      </c>
      <c r="D21866" t="str">
        <f>"7430"</f>
        <v>7430</v>
      </c>
      <c r="E21866" t="s">
        <v>1069</v>
      </c>
      <c r="F21866" t="s">
        <v>2</v>
      </c>
      <c r="G21866" t="s">
        <v>47093</v>
      </c>
      <c r="H21866" t="s">
        <v>47054</v>
      </c>
      <c r="I21866" t="s">
        <v>47111</v>
      </c>
      <c r="J21866" t="s">
        <v>47112</v>
      </c>
      <c r="K21866" t="s">
        <v>47113</v>
      </c>
      <c r="L21866">
        <v>32.9</v>
      </c>
      <c r="M21866">
        <v>73</v>
      </c>
      <c r="N21866">
        <v>0</v>
      </c>
      <c r="O21866">
        <v>73</v>
      </c>
      <c r="P21866">
        <v>0</v>
      </c>
    </row>
    <row r="21867" spans="1:16" x14ac:dyDescent="0.25">
      <c r="A21867" t="s">
        <v>44633</v>
      </c>
      <c r="B21867" t="s">
        <v>13057</v>
      </c>
      <c r="C21867" t="s">
        <v>13058</v>
      </c>
      <c r="D21867" t="str">
        <f>"8352"</f>
        <v>8352</v>
      </c>
      <c r="E21867" t="s">
        <v>13062</v>
      </c>
      <c r="F21867" t="s">
        <v>2</v>
      </c>
      <c r="G21867" t="s">
        <v>47093</v>
      </c>
      <c r="H21867" t="s">
        <v>47054</v>
      </c>
      <c r="I21867" t="s">
        <v>47111</v>
      </c>
      <c r="J21867" t="s">
        <v>47112</v>
      </c>
      <c r="K21867" t="s">
        <v>47113</v>
      </c>
      <c r="L21867">
        <v>27.73</v>
      </c>
      <c r="M21867">
        <v>65</v>
      </c>
      <c r="N21867">
        <v>0</v>
      </c>
      <c r="O21867">
        <v>65</v>
      </c>
      <c r="P21867">
        <v>0</v>
      </c>
    </row>
    <row r="21868" spans="1:16" x14ac:dyDescent="0.25">
      <c r="A21868" t="s">
        <v>44634</v>
      </c>
      <c r="B21868" t="s">
        <v>13063</v>
      </c>
      <c r="C21868" t="s">
        <v>13064</v>
      </c>
      <c r="D21868" t="str">
        <f>"1001"</f>
        <v>1001</v>
      </c>
      <c r="E21868" t="s">
        <v>1063</v>
      </c>
      <c r="F21868" t="s">
        <v>5</v>
      </c>
      <c r="G21868" t="s">
        <v>47093</v>
      </c>
      <c r="H21868" t="s">
        <v>47054</v>
      </c>
      <c r="I21868" t="s">
        <v>47111</v>
      </c>
      <c r="J21868" t="s">
        <v>47112</v>
      </c>
      <c r="K21868" t="s">
        <v>47113</v>
      </c>
      <c r="L21868">
        <v>41.39</v>
      </c>
      <c r="M21868">
        <v>100</v>
      </c>
      <c r="N21868">
        <v>0</v>
      </c>
      <c r="O21868">
        <v>100</v>
      </c>
      <c r="P21868">
        <v>0</v>
      </c>
    </row>
    <row r="21869" spans="1:16" x14ac:dyDescent="0.25">
      <c r="A21869" t="s">
        <v>44635</v>
      </c>
      <c r="B21869" t="s">
        <v>1065</v>
      </c>
      <c r="C21869" t="s">
        <v>1066</v>
      </c>
      <c r="D21869" t="str">
        <f>"3351"</f>
        <v>3351</v>
      </c>
      <c r="E21869" t="s">
        <v>13059</v>
      </c>
      <c r="F21869" t="s">
        <v>2</v>
      </c>
      <c r="G21869" t="s">
        <v>47093</v>
      </c>
      <c r="H21869" t="s">
        <v>47054</v>
      </c>
      <c r="I21869" t="s">
        <v>47111</v>
      </c>
      <c r="J21869" t="s">
        <v>47112</v>
      </c>
      <c r="K21869" t="s">
        <v>47113</v>
      </c>
      <c r="L21869">
        <v>26.14</v>
      </c>
      <c r="M21869">
        <v>65</v>
      </c>
      <c r="N21869">
        <v>0</v>
      </c>
      <c r="O21869">
        <v>65</v>
      </c>
      <c r="P21869">
        <v>0</v>
      </c>
    </row>
    <row r="21870" spans="1:16" x14ac:dyDescent="0.25">
      <c r="A21870" t="s">
        <v>1064</v>
      </c>
      <c r="B21870" t="s">
        <v>1065</v>
      </c>
      <c r="C21870" t="s">
        <v>1066</v>
      </c>
      <c r="D21870" t="str">
        <f>"4630"</f>
        <v>4630</v>
      </c>
      <c r="E21870" t="s">
        <v>1067</v>
      </c>
      <c r="F21870" t="s">
        <v>2</v>
      </c>
      <c r="G21870" t="s">
        <v>47093</v>
      </c>
      <c r="H21870" t="s">
        <v>47054</v>
      </c>
      <c r="I21870" t="s">
        <v>47111</v>
      </c>
      <c r="J21870" t="s">
        <v>47112</v>
      </c>
      <c r="K21870" t="s">
        <v>47113</v>
      </c>
      <c r="L21870">
        <v>32.909999999999997</v>
      </c>
      <c r="M21870">
        <v>73</v>
      </c>
      <c r="N21870">
        <v>0</v>
      </c>
      <c r="O21870">
        <v>73</v>
      </c>
      <c r="P21870">
        <v>0</v>
      </c>
    </row>
    <row r="21871" spans="1:16" x14ac:dyDescent="0.25">
      <c r="A21871" t="s">
        <v>44636</v>
      </c>
      <c r="B21871" t="s">
        <v>1065</v>
      </c>
      <c r="C21871" t="s">
        <v>1066</v>
      </c>
      <c r="D21871" t="str">
        <f>"5331"</f>
        <v>5331</v>
      </c>
      <c r="E21871" t="s">
        <v>13060</v>
      </c>
      <c r="F21871" t="s">
        <v>2</v>
      </c>
      <c r="G21871" t="s">
        <v>47093</v>
      </c>
      <c r="H21871" t="s">
        <v>47054</v>
      </c>
      <c r="I21871" t="s">
        <v>47111</v>
      </c>
      <c r="J21871" t="s">
        <v>47112</v>
      </c>
      <c r="K21871" t="s">
        <v>47113</v>
      </c>
      <c r="L21871">
        <v>34.21</v>
      </c>
      <c r="M21871">
        <v>73</v>
      </c>
      <c r="N21871">
        <v>0</v>
      </c>
      <c r="O21871">
        <v>73</v>
      </c>
      <c r="P21871">
        <v>0</v>
      </c>
    </row>
    <row r="21872" spans="1:16" x14ac:dyDescent="0.25">
      <c r="A21872" t="s">
        <v>44637</v>
      </c>
      <c r="B21872" t="s">
        <v>1065</v>
      </c>
      <c r="C21872" t="s">
        <v>1066</v>
      </c>
      <c r="D21872" t="str">
        <f>"6837"</f>
        <v>6837</v>
      </c>
      <c r="E21872" t="s">
        <v>13061</v>
      </c>
      <c r="F21872" t="s">
        <v>2</v>
      </c>
      <c r="G21872" t="s">
        <v>47093</v>
      </c>
      <c r="H21872" t="s">
        <v>47054</v>
      </c>
      <c r="I21872" t="s">
        <v>47111</v>
      </c>
      <c r="J21872" t="s">
        <v>47112</v>
      </c>
      <c r="K21872" t="s">
        <v>47113</v>
      </c>
      <c r="L21872">
        <v>34.21</v>
      </c>
      <c r="M21872">
        <v>73</v>
      </c>
      <c r="N21872">
        <v>0</v>
      </c>
      <c r="O21872">
        <v>73</v>
      </c>
      <c r="P21872">
        <v>0</v>
      </c>
    </row>
    <row r="21873" spans="1:16" x14ac:dyDescent="0.25">
      <c r="A21873" t="s">
        <v>1068</v>
      </c>
      <c r="B21873" t="s">
        <v>1065</v>
      </c>
      <c r="C21873" t="s">
        <v>1066</v>
      </c>
      <c r="D21873" t="str">
        <f>"7430"</f>
        <v>7430</v>
      </c>
      <c r="E21873" t="s">
        <v>1069</v>
      </c>
      <c r="F21873" t="s">
        <v>2</v>
      </c>
      <c r="G21873" t="s">
        <v>47093</v>
      </c>
      <c r="H21873" t="s">
        <v>47054</v>
      </c>
      <c r="I21873" t="s">
        <v>47111</v>
      </c>
      <c r="J21873" t="s">
        <v>47112</v>
      </c>
      <c r="K21873" t="s">
        <v>47113</v>
      </c>
      <c r="L21873">
        <v>32.909999999999997</v>
      </c>
      <c r="M21873">
        <v>73</v>
      </c>
      <c r="N21873">
        <v>0</v>
      </c>
      <c r="O21873">
        <v>73</v>
      </c>
      <c r="P21873">
        <v>0</v>
      </c>
    </row>
    <row r="21874" spans="1:16" x14ac:dyDescent="0.25">
      <c r="A21874" t="s">
        <v>44638</v>
      </c>
      <c r="B21874" t="s">
        <v>1065</v>
      </c>
      <c r="C21874" t="s">
        <v>1066</v>
      </c>
      <c r="D21874" t="str">
        <f>"8352"</f>
        <v>8352</v>
      </c>
      <c r="E21874" t="s">
        <v>13062</v>
      </c>
      <c r="F21874" t="s">
        <v>2</v>
      </c>
      <c r="G21874" t="s">
        <v>47093</v>
      </c>
      <c r="H21874" t="s">
        <v>47054</v>
      </c>
      <c r="I21874" t="s">
        <v>47111</v>
      </c>
      <c r="J21874" t="s">
        <v>47112</v>
      </c>
      <c r="K21874" t="s">
        <v>47113</v>
      </c>
      <c r="L21874">
        <v>26.14</v>
      </c>
      <c r="M21874">
        <v>65</v>
      </c>
      <c r="N21874">
        <v>0</v>
      </c>
      <c r="O21874">
        <v>65</v>
      </c>
      <c r="P21874">
        <v>0</v>
      </c>
    </row>
    <row r="21875" spans="1:16" x14ac:dyDescent="0.25">
      <c r="A21875" t="s">
        <v>1070</v>
      </c>
      <c r="B21875" t="s">
        <v>1071</v>
      </c>
      <c r="C21875" t="s">
        <v>738</v>
      </c>
      <c r="D21875" t="str">
        <f>"1040"</f>
        <v>1040</v>
      </c>
      <c r="E21875" t="s">
        <v>1072</v>
      </c>
      <c r="F21875" t="s">
        <v>6</v>
      </c>
      <c r="G21875" t="s">
        <v>47093</v>
      </c>
      <c r="H21875" t="s">
        <v>47054</v>
      </c>
      <c r="I21875" t="s">
        <v>47111</v>
      </c>
      <c r="J21875" t="s">
        <v>47112</v>
      </c>
      <c r="K21875" t="s">
        <v>47113</v>
      </c>
      <c r="L21875">
        <v>36.94</v>
      </c>
      <c r="M21875">
        <v>65</v>
      </c>
      <c r="N21875">
        <v>0</v>
      </c>
      <c r="O21875">
        <v>65</v>
      </c>
      <c r="P21875">
        <v>0</v>
      </c>
    </row>
    <row r="21876" spans="1:16" x14ac:dyDescent="0.25">
      <c r="A21876" t="s">
        <v>1073</v>
      </c>
      <c r="B21876" t="s">
        <v>1071</v>
      </c>
      <c r="C21876" t="s">
        <v>738</v>
      </c>
      <c r="D21876" t="str">
        <f>"1826"</f>
        <v>1826</v>
      </c>
      <c r="E21876" t="s">
        <v>1074</v>
      </c>
      <c r="F21876" t="s">
        <v>2</v>
      </c>
      <c r="G21876" t="s">
        <v>47093</v>
      </c>
      <c r="H21876" t="s">
        <v>47054</v>
      </c>
      <c r="I21876" t="s">
        <v>47111</v>
      </c>
      <c r="J21876" t="s">
        <v>47112</v>
      </c>
      <c r="K21876" t="s">
        <v>47113</v>
      </c>
      <c r="L21876">
        <v>17.02</v>
      </c>
      <c r="M21876">
        <v>65</v>
      </c>
      <c r="N21876">
        <v>0</v>
      </c>
      <c r="O21876">
        <v>65</v>
      </c>
      <c r="P21876">
        <v>0</v>
      </c>
    </row>
    <row r="21877" spans="1:16" x14ac:dyDescent="0.25">
      <c r="A21877" t="s">
        <v>44639</v>
      </c>
      <c r="B21877" t="s">
        <v>1071</v>
      </c>
      <c r="C21877" t="s">
        <v>738</v>
      </c>
      <c r="D21877" t="str">
        <f>"4126"</f>
        <v>4126</v>
      </c>
      <c r="E21877" t="s">
        <v>1085</v>
      </c>
      <c r="F21877" t="s">
        <v>2</v>
      </c>
      <c r="G21877" t="s">
        <v>47093</v>
      </c>
      <c r="H21877" t="s">
        <v>47054</v>
      </c>
      <c r="I21877" t="s">
        <v>47111</v>
      </c>
      <c r="J21877" t="s">
        <v>47112</v>
      </c>
      <c r="K21877" t="s">
        <v>47113</v>
      </c>
      <c r="L21877">
        <v>18.12</v>
      </c>
      <c r="M21877">
        <v>65</v>
      </c>
      <c r="N21877">
        <v>0</v>
      </c>
      <c r="O21877">
        <v>65</v>
      </c>
      <c r="P21877">
        <v>0</v>
      </c>
    </row>
    <row r="21878" spans="1:16" x14ac:dyDescent="0.25">
      <c r="A21878" t="s">
        <v>44640</v>
      </c>
      <c r="B21878" t="s">
        <v>1071</v>
      </c>
      <c r="C21878" t="s">
        <v>738</v>
      </c>
      <c r="D21878" t="str">
        <f>"4161"</f>
        <v>4161</v>
      </c>
      <c r="E21878" t="s">
        <v>1075</v>
      </c>
      <c r="F21878" t="s">
        <v>6</v>
      </c>
      <c r="G21878" t="s">
        <v>47093</v>
      </c>
      <c r="H21878" t="s">
        <v>47054</v>
      </c>
      <c r="I21878" t="s">
        <v>47111</v>
      </c>
      <c r="J21878" t="s">
        <v>47112</v>
      </c>
      <c r="K21878" t="s">
        <v>47113</v>
      </c>
      <c r="L21878">
        <v>30.08</v>
      </c>
      <c r="M21878">
        <v>65</v>
      </c>
      <c r="N21878">
        <v>0</v>
      </c>
      <c r="O21878">
        <v>65</v>
      </c>
      <c r="P21878">
        <v>0</v>
      </c>
    </row>
    <row r="21879" spans="1:16" x14ac:dyDescent="0.25">
      <c r="A21879" t="s">
        <v>44641</v>
      </c>
      <c r="B21879" t="s">
        <v>1071</v>
      </c>
      <c r="C21879" t="s">
        <v>738</v>
      </c>
      <c r="D21879" t="str">
        <f>"5069"</f>
        <v>5069</v>
      </c>
      <c r="E21879" t="s">
        <v>13065</v>
      </c>
      <c r="F21879" t="s">
        <v>6</v>
      </c>
      <c r="G21879" t="s">
        <v>47093</v>
      </c>
      <c r="H21879" t="s">
        <v>47054</v>
      </c>
      <c r="I21879" t="s">
        <v>47111</v>
      </c>
      <c r="J21879" t="s">
        <v>47112</v>
      </c>
      <c r="K21879" t="s">
        <v>47113</v>
      </c>
      <c r="L21879">
        <v>28.46</v>
      </c>
      <c r="M21879">
        <v>65</v>
      </c>
      <c r="N21879">
        <v>0</v>
      </c>
      <c r="O21879">
        <v>65</v>
      </c>
      <c r="P21879">
        <v>0</v>
      </c>
    </row>
    <row r="21880" spans="1:16" x14ac:dyDescent="0.25">
      <c r="A21880" t="s">
        <v>44642</v>
      </c>
      <c r="B21880" t="s">
        <v>1071</v>
      </c>
      <c r="C21880" t="s">
        <v>738</v>
      </c>
      <c r="D21880" t="str">
        <f>"6215"</f>
        <v>6215</v>
      </c>
      <c r="E21880" t="s">
        <v>13066</v>
      </c>
      <c r="F21880" t="s">
        <v>2</v>
      </c>
      <c r="G21880" t="s">
        <v>47093</v>
      </c>
      <c r="H21880" t="s">
        <v>47054</v>
      </c>
      <c r="I21880" t="s">
        <v>47111</v>
      </c>
      <c r="J21880" t="s">
        <v>47112</v>
      </c>
      <c r="K21880" t="s">
        <v>47113</v>
      </c>
      <c r="L21880">
        <v>27.31</v>
      </c>
      <c r="M21880">
        <v>65</v>
      </c>
      <c r="N21880">
        <v>0</v>
      </c>
      <c r="O21880">
        <v>65</v>
      </c>
      <c r="P21880">
        <v>0</v>
      </c>
    </row>
    <row r="21881" spans="1:16" x14ac:dyDescent="0.25">
      <c r="A21881" t="s">
        <v>44643</v>
      </c>
      <c r="B21881" t="s">
        <v>13067</v>
      </c>
      <c r="C21881" t="s">
        <v>13068</v>
      </c>
      <c r="D21881" t="str">
        <f>"1043"</f>
        <v>1043</v>
      </c>
      <c r="E21881" t="s">
        <v>13069</v>
      </c>
      <c r="F21881" t="s">
        <v>2</v>
      </c>
      <c r="G21881" t="s">
        <v>47093</v>
      </c>
      <c r="H21881" t="s">
        <v>47054</v>
      </c>
      <c r="I21881" t="s">
        <v>47111</v>
      </c>
      <c r="J21881" t="s">
        <v>47112</v>
      </c>
      <c r="K21881" t="s">
        <v>47113</v>
      </c>
      <c r="L21881">
        <v>42.45</v>
      </c>
      <c r="M21881">
        <v>97</v>
      </c>
      <c r="N21881">
        <v>0</v>
      </c>
      <c r="O21881">
        <v>97</v>
      </c>
      <c r="P21881">
        <v>0</v>
      </c>
    </row>
    <row r="21882" spans="1:16" x14ac:dyDescent="0.25">
      <c r="A21882" t="s">
        <v>44644</v>
      </c>
      <c r="B21882" t="s">
        <v>13067</v>
      </c>
      <c r="C21882" t="s">
        <v>13068</v>
      </c>
      <c r="D21882" t="str">
        <f>"4570"</f>
        <v>4570</v>
      </c>
      <c r="E21882" t="s">
        <v>13070</v>
      </c>
      <c r="F21882" t="s">
        <v>2</v>
      </c>
      <c r="G21882" t="s">
        <v>47093</v>
      </c>
      <c r="H21882" t="s">
        <v>47054</v>
      </c>
      <c r="I21882" t="s">
        <v>47111</v>
      </c>
      <c r="J21882" t="s">
        <v>47112</v>
      </c>
      <c r="K21882" t="s">
        <v>47113</v>
      </c>
      <c r="L21882">
        <v>42.45</v>
      </c>
      <c r="M21882">
        <v>97</v>
      </c>
      <c r="N21882">
        <v>0</v>
      </c>
      <c r="O21882">
        <v>97</v>
      </c>
      <c r="P21882">
        <v>0</v>
      </c>
    </row>
    <row r="21883" spans="1:16" x14ac:dyDescent="0.25">
      <c r="A21883" t="s">
        <v>44645</v>
      </c>
      <c r="B21883" t="s">
        <v>13067</v>
      </c>
      <c r="C21883" t="s">
        <v>13068</v>
      </c>
      <c r="D21883" t="str">
        <f>"6290"</f>
        <v>6290</v>
      </c>
      <c r="E21883" t="s">
        <v>13071</v>
      </c>
      <c r="F21883" t="s">
        <v>2</v>
      </c>
      <c r="G21883" t="s">
        <v>47093</v>
      </c>
      <c r="H21883" t="s">
        <v>47054</v>
      </c>
      <c r="I21883" t="s">
        <v>47111</v>
      </c>
      <c r="J21883" t="s">
        <v>47112</v>
      </c>
      <c r="K21883" t="s">
        <v>47113</v>
      </c>
      <c r="L21883">
        <v>42.45</v>
      </c>
      <c r="M21883">
        <v>97</v>
      </c>
      <c r="N21883">
        <v>0</v>
      </c>
      <c r="O21883">
        <v>97</v>
      </c>
      <c r="P21883">
        <v>0</v>
      </c>
    </row>
    <row r="21884" spans="1:16" x14ac:dyDescent="0.25">
      <c r="A21884" t="s">
        <v>44646</v>
      </c>
      <c r="B21884" t="s">
        <v>1076</v>
      </c>
      <c r="C21884" t="s">
        <v>1077</v>
      </c>
      <c r="D21884" t="str">
        <f>"1001"</f>
        <v>1001</v>
      </c>
      <c r="E21884" t="s">
        <v>1063</v>
      </c>
      <c r="F21884" t="s">
        <v>5</v>
      </c>
      <c r="G21884" t="s">
        <v>47093</v>
      </c>
      <c r="H21884" t="s">
        <v>47054</v>
      </c>
      <c r="I21884" t="s">
        <v>47111</v>
      </c>
      <c r="J21884" t="s">
        <v>47112</v>
      </c>
      <c r="K21884" t="s">
        <v>47113</v>
      </c>
      <c r="L21884">
        <v>45.98</v>
      </c>
      <c r="M21884">
        <v>100</v>
      </c>
      <c r="N21884">
        <v>0</v>
      </c>
      <c r="O21884">
        <v>100</v>
      </c>
      <c r="P21884">
        <v>0</v>
      </c>
    </row>
    <row r="21885" spans="1:16" x14ac:dyDescent="0.25">
      <c r="A21885" t="s">
        <v>44647</v>
      </c>
      <c r="B21885" t="s">
        <v>13072</v>
      </c>
      <c r="C21885" t="s">
        <v>13073</v>
      </c>
      <c r="D21885" t="str">
        <f>"6414"</f>
        <v>6414</v>
      </c>
      <c r="E21885" t="s">
        <v>13074</v>
      </c>
      <c r="F21885" t="s">
        <v>4</v>
      </c>
      <c r="G21885" t="s">
        <v>47093</v>
      </c>
      <c r="H21885" t="s">
        <v>47054</v>
      </c>
      <c r="I21885" t="s">
        <v>47111</v>
      </c>
      <c r="J21885" t="s">
        <v>47112</v>
      </c>
      <c r="K21885" t="s">
        <v>47113</v>
      </c>
      <c r="L21885">
        <v>38.61</v>
      </c>
      <c r="M21885">
        <v>94</v>
      </c>
      <c r="N21885">
        <v>0</v>
      </c>
      <c r="O21885">
        <v>94</v>
      </c>
      <c r="P21885">
        <v>0</v>
      </c>
    </row>
    <row r="21886" spans="1:16" x14ac:dyDescent="0.25">
      <c r="A21886" t="s">
        <v>1078</v>
      </c>
      <c r="B21886" t="s">
        <v>1079</v>
      </c>
      <c r="C21886" t="s">
        <v>1080</v>
      </c>
      <c r="D21886" t="str">
        <f>"1826"</f>
        <v>1826</v>
      </c>
      <c r="E21886" t="s">
        <v>1074</v>
      </c>
      <c r="F21886" t="s">
        <v>7</v>
      </c>
      <c r="G21886" t="s">
        <v>47093</v>
      </c>
      <c r="H21886" t="s">
        <v>47054</v>
      </c>
      <c r="I21886" t="s">
        <v>47111</v>
      </c>
      <c r="J21886" t="s">
        <v>47112</v>
      </c>
      <c r="K21886" t="s">
        <v>47113</v>
      </c>
      <c r="L21886">
        <v>24.82</v>
      </c>
      <c r="M21886">
        <v>63</v>
      </c>
      <c r="N21886">
        <v>0</v>
      </c>
      <c r="O21886">
        <v>63</v>
      </c>
      <c r="P21886">
        <v>0</v>
      </c>
    </row>
    <row r="21887" spans="1:16" x14ac:dyDescent="0.25">
      <c r="A21887" t="s">
        <v>44648</v>
      </c>
      <c r="B21887" t="s">
        <v>1079</v>
      </c>
      <c r="C21887" t="s">
        <v>1080</v>
      </c>
      <c r="D21887" t="str">
        <f>"3351"</f>
        <v>3351</v>
      </c>
      <c r="E21887" t="s">
        <v>13059</v>
      </c>
      <c r="F21887" t="s">
        <v>2</v>
      </c>
      <c r="G21887" t="s">
        <v>47093</v>
      </c>
      <c r="H21887" t="s">
        <v>47054</v>
      </c>
      <c r="I21887" t="s">
        <v>47111</v>
      </c>
      <c r="J21887" t="s">
        <v>47112</v>
      </c>
      <c r="K21887" t="s">
        <v>47113</v>
      </c>
      <c r="L21887">
        <v>25.03</v>
      </c>
      <c r="M21887">
        <v>65</v>
      </c>
      <c r="N21887">
        <v>0</v>
      </c>
      <c r="O21887">
        <v>65</v>
      </c>
      <c r="P21887">
        <v>0</v>
      </c>
    </row>
    <row r="21888" spans="1:16" x14ac:dyDescent="0.25">
      <c r="A21888" t="s">
        <v>44649</v>
      </c>
      <c r="B21888" t="s">
        <v>1079</v>
      </c>
      <c r="C21888" t="s">
        <v>1080</v>
      </c>
      <c r="D21888" t="str">
        <f>"4161"</f>
        <v>4161</v>
      </c>
      <c r="E21888" t="s">
        <v>1075</v>
      </c>
      <c r="F21888" t="s">
        <v>7</v>
      </c>
      <c r="G21888" t="s">
        <v>47093</v>
      </c>
      <c r="H21888" t="s">
        <v>47054</v>
      </c>
      <c r="I21888" t="s">
        <v>47111</v>
      </c>
      <c r="J21888" t="s">
        <v>47112</v>
      </c>
      <c r="K21888" t="s">
        <v>47113</v>
      </c>
      <c r="L21888">
        <v>26.06</v>
      </c>
      <c r="M21888">
        <v>63</v>
      </c>
      <c r="N21888">
        <v>0</v>
      </c>
      <c r="O21888">
        <v>63</v>
      </c>
      <c r="P21888">
        <v>0</v>
      </c>
    </row>
    <row r="21889" spans="1:16" x14ac:dyDescent="0.25">
      <c r="A21889" t="s">
        <v>44650</v>
      </c>
      <c r="B21889" t="s">
        <v>1079</v>
      </c>
      <c r="C21889" t="s">
        <v>1080</v>
      </c>
      <c r="D21889" t="str">
        <f>"4563"</f>
        <v>4563</v>
      </c>
      <c r="E21889" t="s">
        <v>13075</v>
      </c>
      <c r="F21889" t="s">
        <v>2</v>
      </c>
      <c r="G21889" t="s">
        <v>47093</v>
      </c>
      <c r="H21889" t="s">
        <v>47054</v>
      </c>
      <c r="I21889" t="s">
        <v>47111</v>
      </c>
      <c r="J21889" t="s">
        <v>47112</v>
      </c>
      <c r="K21889" t="s">
        <v>47113</v>
      </c>
      <c r="L21889">
        <v>23.89</v>
      </c>
      <c r="M21889">
        <v>65</v>
      </c>
      <c r="N21889">
        <v>0</v>
      </c>
      <c r="O21889">
        <v>65</v>
      </c>
      <c r="P21889">
        <v>0</v>
      </c>
    </row>
    <row r="21890" spans="1:16" x14ac:dyDescent="0.25">
      <c r="A21890" t="s">
        <v>44651</v>
      </c>
      <c r="B21890" t="s">
        <v>1079</v>
      </c>
      <c r="C21890" t="s">
        <v>1080</v>
      </c>
      <c r="D21890" t="str">
        <f>"5069"</f>
        <v>5069</v>
      </c>
      <c r="E21890" t="s">
        <v>13065</v>
      </c>
      <c r="F21890" t="s">
        <v>7</v>
      </c>
      <c r="G21890" t="s">
        <v>47093</v>
      </c>
      <c r="H21890" t="s">
        <v>47054</v>
      </c>
      <c r="I21890" t="s">
        <v>47111</v>
      </c>
      <c r="J21890" t="s">
        <v>47112</v>
      </c>
      <c r="K21890" t="s">
        <v>47113</v>
      </c>
      <c r="L21890">
        <v>26.52</v>
      </c>
      <c r="M21890">
        <v>63</v>
      </c>
      <c r="N21890">
        <v>0</v>
      </c>
      <c r="O21890">
        <v>63</v>
      </c>
      <c r="P21890">
        <v>0</v>
      </c>
    </row>
    <row r="21891" spans="1:16" x14ac:dyDescent="0.25">
      <c r="A21891" t="s">
        <v>44652</v>
      </c>
      <c r="B21891" t="s">
        <v>1079</v>
      </c>
      <c r="C21891" t="s">
        <v>1080</v>
      </c>
      <c r="D21891" t="str">
        <f>"5332"</f>
        <v>5332</v>
      </c>
      <c r="E21891" t="s">
        <v>13076</v>
      </c>
      <c r="F21891" t="s">
        <v>2</v>
      </c>
      <c r="G21891" t="s">
        <v>47093</v>
      </c>
      <c r="H21891" t="s">
        <v>47054</v>
      </c>
      <c r="I21891" t="s">
        <v>47111</v>
      </c>
      <c r="J21891" t="s">
        <v>47112</v>
      </c>
      <c r="K21891" t="s">
        <v>47113</v>
      </c>
      <c r="L21891">
        <v>25.41</v>
      </c>
      <c r="M21891">
        <v>65</v>
      </c>
      <c r="N21891">
        <v>0</v>
      </c>
      <c r="O21891">
        <v>65</v>
      </c>
      <c r="P21891">
        <v>0</v>
      </c>
    </row>
    <row r="21892" spans="1:16" x14ac:dyDescent="0.25">
      <c r="A21892" t="s">
        <v>44653</v>
      </c>
      <c r="B21892" t="s">
        <v>1079</v>
      </c>
      <c r="C21892" t="s">
        <v>1080</v>
      </c>
      <c r="D21892" t="str">
        <f>"6043"</f>
        <v>6043</v>
      </c>
      <c r="E21892" t="s">
        <v>13077</v>
      </c>
      <c r="F21892" t="s">
        <v>7</v>
      </c>
      <c r="G21892" t="s">
        <v>47093</v>
      </c>
      <c r="H21892" t="s">
        <v>47054</v>
      </c>
      <c r="I21892" t="s">
        <v>47111</v>
      </c>
      <c r="J21892" t="s">
        <v>47112</v>
      </c>
      <c r="K21892" t="s">
        <v>47113</v>
      </c>
      <c r="L21892">
        <v>27.98</v>
      </c>
      <c r="M21892">
        <v>63</v>
      </c>
      <c r="N21892">
        <v>0</v>
      </c>
      <c r="O21892">
        <v>63</v>
      </c>
      <c r="P21892">
        <v>0</v>
      </c>
    </row>
    <row r="21893" spans="1:16" x14ac:dyDescent="0.25">
      <c r="A21893" t="s">
        <v>44654</v>
      </c>
      <c r="B21893" t="s">
        <v>1079</v>
      </c>
      <c r="C21893" t="s">
        <v>1080</v>
      </c>
      <c r="D21893" t="str">
        <f>"6836"</f>
        <v>6836</v>
      </c>
      <c r="E21893" t="s">
        <v>1081</v>
      </c>
      <c r="F21893" t="s">
        <v>2</v>
      </c>
      <c r="G21893" t="s">
        <v>47093</v>
      </c>
      <c r="H21893" t="s">
        <v>47054</v>
      </c>
      <c r="I21893" t="s">
        <v>47111</v>
      </c>
      <c r="J21893" t="s">
        <v>47112</v>
      </c>
      <c r="K21893" t="s">
        <v>47113</v>
      </c>
      <c r="L21893">
        <v>35.32</v>
      </c>
      <c r="M21893">
        <v>63</v>
      </c>
      <c r="N21893">
        <v>0</v>
      </c>
      <c r="O21893">
        <v>63</v>
      </c>
      <c r="P21893">
        <v>0</v>
      </c>
    </row>
    <row r="21894" spans="1:16" x14ac:dyDescent="0.25">
      <c r="A21894" t="s">
        <v>44655</v>
      </c>
      <c r="B21894" t="s">
        <v>1079</v>
      </c>
      <c r="C21894" t="s">
        <v>1080</v>
      </c>
      <c r="D21894" t="str">
        <f>"6842"</f>
        <v>6842</v>
      </c>
      <c r="E21894" t="s">
        <v>13078</v>
      </c>
      <c r="F21894" t="s">
        <v>2</v>
      </c>
      <c r="G21894" t="s">
        <v>47093</v>
      </c>
      <c r="H21894" t="s">
        <v>47054</v>
      </c>
      <c r="I21894" t="s">
        <v>47111</v>
      </c>
      <c r="J21894" t="s">
        <v>47112</v>
      </c>
      <c r="K21894" t="s">
        <v>47113</v>
      </c>
      <c r="L21894">
        <v>23.95</v>
      </c>
      <c r="M21894">
        <v>65</v>
      </c>
      <c r="N21894">
        <v>0</v>
      </c>
      <c r="O21894">
        <v>65</v>
      </c>
      <c r="P21894">
        <v>0</v>
      </c>
    </row>
    <row r="21895" spans="1:16" x14ac:dyDescent="0.25">
      <c r="A21895" t="s">
        <v>44656</v>
      </c>
      <c r="B21895" t="s">
        <v>1079</v>
      </c>
      <c r="C21895" t="s">
        <v>1080</v>
      </c>
      <c r="D21895" t="str">
        <f>"7444"</f>
        <v>7444</v>
      </c>
      <c r="E21895" t="s">
        <v>13079</v>
      </c>
      <c r="F21895" t="s">
        <v>2</v>
      </c>
      <c r="G21895" t="s">
        <v>47093</v>
      </c>
      <c r="H21895" t="s">
        <v>47054</v>
      </c>
      <c r="I21895" t="s">
        <v>47111</v>
      </c>
      <c r="J21895" t="s">
        <v>47112</v>
      </c>
      <c r="K21895" t="s">
        <v>47113</v>
      </c>
      <c r="L21895">
        <v>25.15</v>
      </c>
      <c r="M21895">
        <v>65</v>
      </c>
      <c r="N21895">
        <v>0</v>
      </c>
      <c r="O21895">
        <v>65</v>
      </c>
      <c r="P21895">
        <v>0</v>
      </c>
    </row>
    <row r="21896" spans="1:16" x14ac:dyDescent="0.25">
      <c r="A21896" t="s">
        <v>44657</v>
      </c>
      <c r="B21896" t="s">
        <v>1079</v>
      </c>
      <c r="C21896" t="s">
        <v>1080</v>
      </c>
      <c r="D21896" t="str">
        <f>"8352"</f>
        <v>8352</v>
      </c>
      <c r="E21896" t="s">
        <v>13062</v>
      </c>
      <c r="F21896" t="s">
        <v>2</v>
      </c>
      <c r="G21896" t="s">
        <v>47093</v>
      </c>
      <c r="H21896" t="s">
        <v>47054</v>
      </c>
      <c r="I21896" t="s">
        <v>47111</v>
      </c>
      <c r="J21896" t="s">
        <v>47112</v>
      </c>
      <c r="K21896" t="s">
        <v>47113</v>
      </c>
      <c r="L21896">
        <v>25.03</v>
      </c>
      <c r="M21896">
        <v>65</v>
      </c>
      <c r="N21896">
        <v>0</v>
      </c>
      <c r="O21896">
        <v>65</v>
      </c>
      <c r="P21896">
        <v>0</v>
      </c>
    </row>
    <row r="21897" spans="1:16" x14ac:dyDescent="0.25">
      <c r="A21897" t="s">
        <v>44658</v>
      </c>
      <c r="B21897" t="s">
        <v>13080</v>
      </c>
      <c r="C21897" t="s">
        <v>738</v>
      </c>
      <c r="D21897" t="str">
        <f>"4630"</f>
        <v>4630</v>
      </c>
      <c r="E21897" t="s">
        <v>1067</v>
      </c>
      <c r="F21897" t="s">
        <v>2</v>
      </c>
      <c r="G21897" t="s">
        <v>47093</v>
      </c>
      <c r="I21897" t="s">
        <v>47111</v>
      </c>
      <c r="J21897" t="s">
        <v>47112</v>
      </c>
      <c r="K21897" t="s">
        <v>47113</v>
      </c>
      <c r="L21897">
        <v>34.21</v>
      </c>
      <c r="M21897">
        <v>72</v>
      </c>
      <c r="N21897">
        <v>0</v>
      </c>
      <c r="O21897">
        <v>72</v>
      </c>
      <c r="P21897">
        <v>0</v>
      </c>
    </row>
    <row r="21898" spans="1:16" x14ac:dyDescent="0.25">
      <c r="A21898" t="s">
        <v>44659</v>
      </c>
      <c r="B21898" t="s">
        <v>13080</v>
      </c>
      <c r="C21898" t="s">
        <v>738</v>
      </c>
      <c r="D21898" t="str">
        <f>"5331"</f>
        <v>5331</v>
      </c>
      <c r="E21898" t="s">
        <v>13060</v>
      </c>
      <c r="F21898" t="s">
        <v>2</v>
      </c>
      <c r="G21898" t="s">
        <v>47093</v>
      </c>
      <c r="I21898" t="s">
        <v>47111</v>
      </c>
      <c r="J21898" t="s">
        <v>47112</v>
      </c>
      <c r="K21898" t="s">
        <v>47113</v>
      </c>
      <c r="L21898">
        <v>34.21</v>
      </c>
      <c r="M21898">
        <v>72</v>
      </c>
      <c r="N21898">
        <v>0</v>
      </c>
      <c r="O21898">
        <v>72</v>
      </c>
      <c r="P21898">
        <v>0</v>
      </c>
    </row>
    <row r="21899" spans="1:16" x14ac:dyDescent="0.25">
      <c r="A21899" t="s">
        <v>44660</v>
      </c>
      <c r="B21899" t="s">
        <v>13080</v>
      </c>
      <c r="C21899" t="s">
        <v>738</v>
      </c>
      <c r="D21899" t="str">
        <f>"6837"</f>
        <v>6837</v>
      </c>
      <c r="E21899" t="s">
        <v>13061</v>
      </c>
      <c r="F21899" t="s">
        <v>2</v>
      </c>
      <c r="G21899" t="s">
        <v>47093</v>
      </c>
      <c r="I21899" t="s">
        <v>47111</v>
      </c>
      <c r="J21899" t="s">
        <v>47112</v>
      </c>
      <c r="K21899" t="s">
        <v>47113</v>
      </c>
      <c r="L21899">
        <v>34.21</v>
      </c>
      <c r="M21899">
        <v>72</v>
      </c>
      <c r="N21899">
        <v>0</v>
      </c>
      <c r="O21899">
        <v>72</v>
      </c>
      <c r="P21899">
        <v>0</v>
      </c>
    </row>
    <row r="21900" spans="1:16" x14ac:dyDescent="0.25">
      <c r="A21900" t="s">
        <v>44661</v>
      </c>
      <c r="B21900" t="s">
        <v>13080</v>
      </c>
      <c r="C21900" t="s">
        <v>738</v>
      </c>
      <c r="D21900" t="str">
        <f>"7430"</f>
        <v>7430</v>
      </c>
      <c r="E21900" t="s">
        <v>1069</v>
      </c>
      <c r="F21900" t="s">
        <v>2</v>
      </c>
      <c r="G21900" t="s">
        <v>47093</v>
      </c>
      <c r="I21900" t="s">
        <v>47111</v>
      </c>
      <c r="J21900" t="s">
        <v>47112</v>
      </c>
      <c r="K21900" t="s">
        <v>47113</v>
      </c>
      <c r="L21900">
        <v>34.21</v>
      </c>
      <c r="M21900">
        <v>72</v>
      </c>
      <c r="N21900">
        <v>0</v>
      </c>
      <c r="O21900">
        <v>72</v>
      </c>
      <c r="P21900">
        <v>0</v>
      </c>
    </row>
    <row r="21901" spans="1:16" x14ac:dyDescent="0.25">
      <c r="A21901" t="s">
        <v>1082</v>
      </c>
      <c r="B21901" t="s">
        <v>1083</v>
      </c>
      <c r="C21901" t="s">
        <v>1084</v>
      </c>
      <c r="D21901" t="str">
        <f>"4126"</f>
        <v>4126</v>
      </c>
      <c r="E21901" t="s">
        <v>1085</v>
      </c>
      <c r="F21901" t="s">
        <v>2</v>
      </c>
      <c r="G21901" t="s">
        <v>47093</v>
      </c>
      <c r="H21901" t="s">
        <v>47054</v>
      </c>
      <c r="I21901" t="s">
        <v>47111</v>
      </c>
      <c r="J21901" t="s">
        <v>47112</v>
      </c>
      <c r="K21901" t="s">
        <v>47113</v>
      </c>
      <c r="L21901">
        <v>26.88</v>
      </c>
      <c r="M21901">
        <v>89</v>
      </c>
      <c r="N21901">
        <v>0</v>
      </c>
      <c r="O21901">
        <v>89</v>
      </c>
      <c r="P21901">
        <v>0</v>
      </c>
    </row>
    <row r="21902" spans="1:16" x14ac:dyDescent="0.25">
      <c r="A21902" t="s">
        <v>44662</v>
      </c>
      <c r="B21902" t="s">
        <v>1083</v>
      </c>
      <c r="C21902" t="s">
        <v>1084</v>
      </c>
      <c r="D21902" t="str">
        <f>"6215"</f>
        <v>6215</v>
      </c>
      <c r="E21902" t="s">
        <v>13066</v>
      </c>
      <c r="F21902" t="s">
        <v>2</v>
      </c>
      <c r="G21902" t="s">
        <v>47093</v>
      </c>
      <c r="H21902" t="s">
        <v>47054</v>
      </c>
      <c r="I21902" t="s">
        <v>47111</v>
      </c>
      <c r="J21902" t="s">
        <v>47112</v>
      </c>
      <c r="K21902" t="s">
        <v>47113</v>
      </c>
      <c r="L21902">
        <v>26.88</v>
      </c>
      <c r="M21902">
        <v>89</v>
      </c>
      <c r="N21902">
        <v>0</v>
      </c>
      <c r="O21902">
        <v>89</v>
      </c>
      <c r="P21902">
        <v>0</v>
      </c>
    </row>
    <row r="21903" spans="1:16" x14ac:dyDescent="0.25">
      <c r="A21903" t="s">
        <v>44663</v>
      </c>
      <c r="B21903" t="s">
        <v>13081</v>
      </c>
      <c r="C21903" t="s">
        <v>13082</v>
      </c>
      <c r="D21903" t="str">
        <f>"1001"</f>
        <v>1001</v>
      </c>
      <c r="E21903" t="s">
        <v>1063</v>
      </c>
      <c r="F21903" t="s">
        <v>5</v>
      </c>
      <c r="G21903" t="s">
        <v>47093</v>
      </c>
      <c r="H21903" t="s">
        <v>47054</v>
      </c>
      <c r="I21903" t="s">
        <v>47111</v>
      </c>
      <c r="J21903" t="s">
        <v>47112</v>
      </c>
      <c r="K21903" t="s">
        <v>47113</v>
      </c>
      <c r="L21903">
        <v>41.56</v>
      </c>
      <c r="M21903">
        <v>100</v>
      </c>
      <c r="N21903">
        <v>0</v>
      </c>
      <c r="O21903">
        <v>100</v>
      </c>
      <c r="P21903">
        <v>0</v>
      </c>
    </row>
    <row r="21904" spans="1:16" x14ac:dyDescent="0.25">
      <c r="A21904" t="s">
        <v>44664</v>
      </c>
      <c r="B21904" t="s">
        <v>16152</v>
      </c>
      <c r="C21904" t="s">
        <v>16139</v>
      </c>
      <c r="D21904" t="str">
        <f>"4000"</f>
        <v>4000</v>
      </c>
      <c r="E21904" t="s">
        <v>16153</v>
      </c>
      <c r="F21904" t="s">
        <v>3750</v>
      </c>
      <c r="G21904" t="s">
        <v>47093</v>
      </c>
      <c r="H21904" t="s">
        <v>47054</v>
      </c>
      <c r="I21904" t="s">
        <v>47116</v>
      </c>
      <c r="J21904" t="s">
        <v>47117</v>
      </c>
      <c r="K21904" t="s">
        <v>47113</v>
      </c>
      <c r="L21904">
        <v>20.98</v>
      </c>
      <c r="M21904">
        <v>93</v>
      </c>
      <c r="N21904">
        <v>0</v>
      </c>
      <c r="O21904">
        <v>93</v>
      </c>
      <c r="P21904">
        <v>0</v>
      </c>
    </row>
    <row r="21905" spans="1:16" x14ac:dyDescent="0.25">
      <c r="A21905" t="s">
        <v>44665</v>
      </c>
      <c r="B21905" t="s">
        <v>16152</v>
      </c>
      <c r="C21905" t="s">
        <v>16139</v>
      </c>
      <c r="D21905" t="str">
        <f>"6202"</f>
        <v>6202</v>
      </c>
      <c r="E21905" t="s">
        <v>19267</v>
      </c>
      <c r="F21905" t="s">
        <v>3750</v>
      </c>
      <c r="G21905" t="s">
        <v>47093</v>
      </c>
      <c r="H21905" t="s">
        <v>47054</v>
      </c>
      <c r="I21905" t="s">
        <v>47116</v>
      </c>
      <c r="J21905" t="s">
        <v>47117</v>
      </c>
      <c r="K21905" t="s">
        <v>47113</v>
      </c>
      <c r="L21905">
        <v>20.52</v>
      </c>
      <c r="M21905">
        <v>61</v>
      </c>
      <c r="N21905">
        <v>0</v>
      </c>
      <c r="O21905">
        <v>61</v>
      </c>
      <c r="P21905">
        <v>0</v>
      </c>
    </row>
    <row r="21906" spans="1:16" x14ac:dyDescent="0.25">
      <c r="A21906" t="s">
        <v>44666</v>
      </c>
      <c r="B21906" t="s">
        <v>16152</v>
      </c>
      <c r="C21906" t="s">
        <v>16139</v>
      </c>
      <c r="D21906" t="str">
        <f>"7000"</f>
        <v>7000</v>
      </c>
      <c r="E21906" t="s">
        <v>19268</v>
      </c>
      <c r="F21906" t="s">
        <v>3750</v>
      </c>
      <c r="G21906" t="s">
        <v>47093</v>
      </c>
      <c r="H21906" t="s">
        <v>47054</v>
      </c>
      <c r="I21906" t="s">
        <v>47116</v>
      </c>
      <c r="J21906" t="s">
        <v>47117</v>
      </c>
      <c r="K21906" t="s">
        <v>47113</v>
      </c>
      <c r="L21906">
        <v>20.52</v>
      </c>
      <c r="M21906">
        <v>61</v>
      </c>
      <c r="N21906">
        <v>0</v>
      </c>
      <c r="O21906">
        <v>61</v>
      </c>
      <c r="P21906">
        <v>0</v>
      </c>
    </row>
    <row r="21907" spans="1:16" x14ac:dyDescent="0.25">
      <c r="A21907" t="s">
        <v>44667</v>
      </c>
      <c r="B21907" t="s">
        <v>19269</v>
      </c>
      <c r="C21907" t="s">
        <v>16139</v>
      </c>
      <c r="D21907" t="str">
        <f>"7000"</f>
        <v>7000</v>
      </c>
      <c r="E21907" t="s">
        <v>19268</v>
      </c>
      <c r="F21907" t="s">
        <v>3750</v>
      </c>
      <c r="G21907" t="s">
        <v>47093</v>
      </c>
      <c r="H21907" t="s">
        <v>47054</v>
      </c>
      <c r="I21907" t="s">
        <v>47116</v>
      </c>
      <c r="J21907" t="s">
        <v>47117</v>
      </c>
      <c r="K21907" t="s">
        <v>47113</v>
      </c>
      <c r="L21907">
        <v>21.17</v>
      </c>
      <c r="M21907">
        <v>62</v>
      </c>
      <c r="N21907">
        <v>0</v>
      </c>
      <c r="O21907">
        <v>62</v>
      </c>
      <c r="P21907">
        <v>0</v>
      </c>
    </row>
    <row r="21908" spans="1:16" x14ac:dyDescent="0.25">
      <c r="A21908" t="s">
        <v>44668</v>
      </c>
      <c r="B21908" t="s">
        <v>13083</v>
      </c>
      <c r="C21908" t="s">
        <v>13084</v>
      </c>
      <c r="D21908" t="str">
        <f>"1826"</f>
        <v>1826</v>
      </c>
      <c r="E21908" t="s">
        <v>1074</v>
      </c>
      <c r="F21908" t="s">
        <v>7</v>
      </c>
      <c r="G21908" t="s">
        <v>47093</v>
      </c>
      <c r="H21908" t="s">
        <v>47054</v>
      </c>
      <c r="I21908" t="s">
        <v>47111</v>
      </c>
      <c r="J21908" t="s">
        <v>47112</v>
      </c>
      <c r="K21908" t="s">
        <v>47113</v>
      </c>
      <c r="L21908">
        <v>29.89</v>
      </c>
      <c r="M21908">
        <v>72</v>
      </c>
      <c r="N21908">
        <v>0</v>
      </c>
      <c r="O21908">
        <v>72</v>
      </c>
      <c r="P21908">
        <v>0</v>
      </c>
    </row>
    <row r="21909" spans="1:16" x14ac:dyDescent="0.25">
      <c r="A21909" t="s">
        <v>44669</v>
      </c>
      <c r="B21909" t="s">
        <v>13083</v>
      </c>
      <c r="C21909" t="s">
        <v>13084</v>
      </c>
      <c r="D21909" t="str">
        <f>"4161"</f>
        <v>4161</v>
      </c>
      <c r="E21909" t="s">
        <v>1075</v>
      </c>
      <c r="F21909" t="s">
        <v>7</v>
      </c>
      <c r="G21909" t="s">
        <v>47093</v>
      </c>
      <c r="H21909" t="s">
        <v>47054</v>
      </c>
      <c r="I21909" t="s">
        <v>47111</v>
      </c>
      <c r="J21909" t="s">
        <v>47112</v>
      </c>
      <c r="K21909" t="s">
        <v>47113</v>
      </c>
      <c r="L21909">
        <v>29.41</v>
      </c>
      <c r="M21909">
        <v>72</v>
      </c>
      <c r="N21909">
        <v>0</v>
      </c>
      <c r="O21909">
        <v>72</v>
      </c>
      <c r="P21909">
        <v>0</v>
      </c>
    </row>
    <row r="21910" spans="1:16" x14ac:dyDescent="0.25">
      <c r="A21910" t="s">
        <v>44670</v>
      </c>
      <c r="B21910" t="s">
        <v>13083</v>
      </c>
      <c r="C21910" t="s">
        <v>13084</v>
      </c>
      <c r="D21910" t="str">
        <f>"6043"</f>
        <v>6043</v>
      </c>
      <c r="E21910" t="s">
        <v>13077</v>
      </c>
      <c r="F21910" t="s">
        <v>7</v>
      </c>
      <c r="G21910" t="s">
        <v>47093</v>
      </c>
      <c r="H21910" t="s">
        <v>47054</v>
      </c>
      <c r="I21910" t="s">
        <v>47111</v>
      </c>
      <c r="J21910" t="s">
        <v>47112</v>
      </c>
      <c r="K21910" t="s">
        <v>47113</v>
      </c>
      <c r="L21910">
        <v>29.41</v>
      </c>
      <c r="M21910">
        <v>72</v>
      </c>
      <c r="N21910">
        <v>0</v>
      </c>
      <c r="O21910">
        <v>72</v>
      </c>
      <c r="P21910">
        <v>0</v>
      </c>
    </row>
    <row r="21911" spans="1:16" x14ac:dyDescent="0.25">
      <c r="A21911" t="s">
        <v>44671</v>
      </c>
      <c r="B21911" t="s">
        <v>13083</v>
      </c>
      <c r="C21911" t="s">
        <v>13084</v>
      </c>
      <c r="D21911" t="str">
        <f>"6161"</f>
        <v>6161</v>
      </c>
      <c r="E21911" t="s">
        <v>13085</v>
      </c>
      <c r="F21911" t="s">
        <v>6</v>
      </c>
      <c r="G21911" t="s">
        <v>47093</v>
      </c>
      <c r="H21911" t="s">
        <v>47054</v>
      </c>
      <c r="I21911" t="s">
        <v>47111</v>
      </c>
      <c r="J21911" t="s">
        <v>47112</v>
      </c>
      <c r="K21911" t="s">
        <v>47113</v>
      </c>
      <c r="L21911">
        <v>34.25</v>
      </c>
      <c r="M21911">
        <v>85</v>
      </c>
      <c r="N21911">
        <v>0</v>
      </c>
      <c r="O21911">
        <v>85</v>
      </c>
      <c r="P21911">
        <v>0</v>
      </c>
    </row>
    <row r="21912" spans="1:16" x14ac:dyDescent="0.25">
      <c r="A21912" t="s">
        <v>44672</v>
      </c>
      <c r="B21912" t="s">
        <v>13086</v>
      </c>
      <c r="C21912" t="s">
        <v>13087</v>
      </c>
      <c r="D21912" t="str">
        <f>"1001"</f>
        <v>1001</v>
      </c>
      <c r="E21912" t="s">
        <v>13088</v>
      </c>
      <c r="F21912" t="s">
        <v>5</v>
      </c>
      <c r="G21912" t="s">
        <v>47093</v>
      </c>
      <c r="H21912" t="s">
        <v>47054</v>
      </c>
      <c r="I21912" t="s">
        <v>47111</v>
      </c>
      <c r="J21912" t="s">
        <v>47112</v>
      </c>
      <c r="K21912" t="s">
        <v>47113</v>
      </c>
      <c r="L21912">
        <v>39.840000000000003</v>
      </c>
      <c r="M21912">
        <v>79</v>
      </c>
      <c r="N21912">
        <v>0</v>
      </c>
      <c r="O21912">
        <v>79</v>
      </c>
      <c r="P21912">
        <v>0</v>
      </c>
    </row>
    <row r="21913" spans="1:16" x14ac:dyDescent="0.25">
      <c r="A21913" t="s">
        <v>44673</v>
      </c>
      <c r="B21913" t="s">
        <v>13086</v>
      </c>
      <c r="C21913" t="s">
        <v>13087</v>
      </c>
      <c r="D21913" t="str">
        <f>"1288"</f>
        <v>1288</v>
      </c>
      <c r="E21913" t="s">
        <v>1089</v>
      </c>
      <c r="F21913" t="s">
        <v>5</v>
      </c>
      <c r="G21913" t="s">
        <v>47093</v>
      </c>
      <c r="H21913" t="s">
        <v>47054</v>
      </c>
      <c r="I21913" t="s">
        <v>47111</v>
      </c>
      <c r="J21913" t="s">
        <v>47112</v>
      </c>
      <c r="K21913" t="s">
        <v>47113</v>
      </c>
      <c r="L21913">
        <v>39.840000000000003</v>
      </c>
      <c r="M21913">
        <v>79</v>
      </c>
      <c r="N21913">
        <v>0</v>
      </c>
      <c r="O21913">
        <v>79</v>
      </c>
      <c r="P21913">
        <v>0</v>
      </c>
    </row>
    <row r="21914" spans="1:16" x14ac:dyDescent="0.25">
      <c r="A21914" t="s">
        <v>44674</v>
      </c>
      <c r="B21914" t="s">
        <v>13086</v>
      </c>
      <c r="C21914" t="s">
        <v>13087</v>
      </c>
      <c r="D21914" t="str">
        <f>"4325"</f>
        <v>4325</v>
      </c>
      <c r="E21914" t="s">
        <v>13089</v>
      </c>
      <c r="F21914" t="s">
        <v>5</v>
      </c>
      <c r="G21914" t="s">
        <v>47093</v>
      </c>
      <c r="H21914" t="s">
        <v>47054</v>
      </c>
      <c r="I21914" t="s">
        <v>47111</v>
      </c>
      <c r="J21914" t="s">
        <v>47112</v>
      </c>
      <c r="K21914" t="s">
        <v>47113</v>
      </c>
      <c r="L21914">
        <v>39.840000000000003</v>
      </c>
      <c r="M21914">
        <v>79</v>
      </c>
      <c r="N21914">
        <v>0</v>
      </c>
      <c r="O21914">
        <v>79</v>
      </c>
      <c r="P21914">
        <v>0</v>
      </c>
    </row>
    <row r="21915" spans="1:16" x14ac:dyDescent="0.25">
      <c r="A21915" t="s">
        <v>44675</v>
      </c>
      <c r="B21915" t="s">
        <v>13086</v>
      </c>
      <c r="C21915" t="s">
        <v>13087</v>
      </c>
      <c r="D21915" t="str">
        <f>"5135"</f>
        <v>5135</v>
      </c>
      <c r="E21915" t="s">
        <v>1091</v>
      </c>
      <c r="F21915" t="s">
        <v>5</v>
      </c>
      <c r="G21915" t="s">
        <v>47093</v>
      </c>
      <c r="H21915" t="s">
        <v>47054</v>
      </c>
      <c r="I21915" t="s">
        <v>47111</v>
      </c>
      <c r="J21915" t="s">
        <v>47112</v>
      </c>
      <c r="K21915" t="s">
        <v>47113</v>
      </c>
      <c r="L21915">
        <v>39.840000000000003</v>
      </c>
      <c r="M21915">
        <v>79</v>
      </c>
      <c r="N21915">
        <v>0</v>
      </c>
      <c r="O21915">
        <v>79</v>
      </c>
      <c r="P21915">
        <v>0</v>
      </c>
    </row>
    <row r="21916" spans="1:16" x14ac:dyDescent="0.25">
      <c r="A21916" t="s">
        <v>44676</v>
      </c>
      <c r="B21916" t="s">
        <v>13086</v>
      </c>
      <c r="C21916" t="s">
        <v>13087</v>
      </c>
      <c r="D21916" t="str">
        <f>"6328"</f>
        <v>6328</v>
      </c>
      <c r="E21916" t="s">
        <v>13090</v>
      </c>
      <c r="F21916" t="s">
        <v>5</v>
      </c>
      <c r="G21916" t="s">
        <v>47093</v>
      </c>
      <c r="H21916" t="s">
        <v>47054</v>
      </c>
      <c r="I21916" t="s">
        <v>47111</v>
      </c>
      <c r="J21916" t="s">
        <v>47112</v>
      </c>
      <c r="K21916" t="s">
        <v>47113</v>
      </c>
      <c r="L21916">
        <v>39.840000000000003</v>
      </c>
      <c r="M21916">
        <v>79</v>
      </c>
      <c r="N21916">
        <v>0</v>
      </c>
      <c r="O21916">
        <v>79</v>
      </c>
      <c r="P21916">
        <v>0</v>
      </c>
    </row>
    <row r="21917" spans="1:16" x14ac:dyDescent="0.25">
      <c r="A21917" t="s">
        <v>44677</v>
      </c>
      <c r="B21917" t="s">
        <v>13091</v>
      </c>
      <c r="C21917" t="s">
        <v>13092</v>
      </c>
      <c r="D21917" t="str">
        <f>"1001"</f>
        <v>1001</v>
      </c>
      <c r="E21917" t="s">
        <v>13088</v>
      </c>
      <c r="F21917" t="s">
        <v>5</v>
      </c>
      <c r="G21917" t="s">
        <v>47093</v>
      </c>
      <c r="H21917" t="s">
        <v>47054</v>
      </c>
      <c r="I21917" t="s">
        <v>47111</v>
      </c>
      <c r="J21917" t="s">
        <v>47112</v>
      </c>
      <c r="K21917" t="s">
        <v>47113</v>
      </c>
      <c r="L21917">
        <v>39.840000000000003</v>
      </c>
      <c r="M21917">
        <v>79</v>
      </c>
      <c r="N21917">
        <v>0</v>
      </c>
      <c r="O21917">
        <v>79</v>
      </c>
      <c r="P21917">
        <v>0</v>
      </c>
    </row>
    <row r="21918" spans="1:16" x14ac:dyDescent="0.25">
      <c r="A21918" t="s">
        <v>44678</v>
      </c>
      <c r="B21918" t="s">
        <v>13091</v>
      </c>
      <c r="C21918" t="s">
        <v>13092</v>
      </c>
      <c r="D21918" t="str">
        <f>"1288"</f>
        <v>1288</v>
      </c>
      <c r="E21918" t="s">
        <v>1089</v>
      </c>
      <c r="F21918" t="s">
        <v>5</v>
      </c>
      <c r="G21918" t="s">
        <v>47093</v>
      </c>
      <c r="H21918" t="s">
        <v>47054</v>
      </c>
      <c r="I21918" t="s">
        <v>47111</v>
      </c>
      <c r="J21918" t="s">
        <v>47112</v>
      </c>
      <c r="K21918" t="s">
        <v>47113</v>
      </c>
      <c r="L21918">
        <v>39.840000000000003</v>
      </c>
      <c r="M21918">
        <v>79</v>
      </c>
      <c r="N21918">
        <v>0</v>
      </c>
      <c r="O21918">
        <v>79</v>
      </c>
      <c r="P21918">
        <v>0</v>
      </c>
    </row>
    <row r="21919" spans="1:16" x14ac:dyDescent="0.25">
      <c r="A21919" t="s">
        <v>44679</v>
      </c>
      <c r="B21919" t="s">
        <v>13091</v>
      </c>
      <c r="C21919" t="s">
        <v>13092</v>
      </c>
      <c r="D21919" t="str">
        <f>"4325"</f>
        <v>4325</v>
      </c>
      <c r="E21919" t="s">
        <v>13089</v>
      </c>
      <c r="F21919" t="s">
        <v>5</v>
      </c>
      <c r="G21919" t="s">
        <v>47093</v>
      </c>
      <c r="H21919" t="s">
        <v>47054</v>
      </c>
      <c r="I21919" t="s">
        <v>47111</v>
      </c>
      <c r="J21919" t="s">
        <v>47112</v>
      </c>
      <c r="K21919" t="s">
        <v>47113</v>
      </c>
      <c r="L21919">
        <v>39.840000000000003</v>
      </c>
      <c r="M21919">
        <v>79</v>
      </c>
      <c r="N21919">
        <v>0</v>
      </c>
      <c r="O21919">
        <v>79</v>
      </c>
      <c r="P21919">
        <v>0</v>
      </c>
    </row>
    <row r="21920" spans="1:16" x14ac:dyDescent="0.25">
      <c r="A21920" t="s">
        <v>44680</v>
      </c>
      <c r="B21920" t="s">
        <v>13091</v>
      </c>
      <c r="C21920" t="s">
        <v>13092</v>
      </c>
      <c r="D21920" t="str">
        <f>"5135"</f>
        <v>5135</v>
      </c>
      <c r="E21920" t="s">
        <v>1091</v>
      </c>
      <c r="F21920" t="s">
        <v>5</v>
      </c>
      <c r="G21920" t="s">
        <v>47093</v>
      </c>
      <c r="H21920" t="s">
        <v>47054</v>
      </c>
      <c r="I21920" t="s">
        <v>47111</v>
      </c>
      <c r="J21920" t="s">
        <v>47112</v>
      </c>
      <c r="K21920" t="s">
        <v>47113</v>
      </c>
      <c r="L21920">
        <v>39.840000000000003</v>
      </c>
      <c r="M21920">
        <v>79</v>
      </c>
      <c r="N21920">
        <v>0</v>
      </c>
      <c r="O21920">
        <v>79</v>
      </c>
      <c r="P21920">
        <v>0</v>
      </c>
    </row>
    <row r="21921" spans="1:16" x14ac:dyDescent="0.25">
      <c r="A21921" t="s">
        <v>44681</v>
      </c>
      <c r="B21921" t="s">
        <v>13091</v>
      </c>
      <c r="C21921" t="s">
        <v>13092</v>
      </c>
      <c r="D21921" t="str">
        <f>"6328"</f>
        <v>6328</v>
      </c>
      <c r="E21921" t="s">
        <v>13090</v>
      </c>
      <c r="F21921" t="s">
        <v>5</v>
      </c>
      <c r="G21921" t="s">
        <v>47093</v>
      </c>
      <c r="H21921" t="s">
        <v>47054</v>
      </c>
      <c r="I21921" t="s">
        <v>47111</v>
      </c>
      <c r="J21921" t="s">
        <v>47112</v>
      </c>
      <c r="K21921" t="s">
        <v>47113</v>
      </c>
      <c r="L21921">
        <v>39.840000000000003</v>
      </c>
      <c r="M21921">
        <v>79</v>
      </c>
      <c r="N21921">
        <v>0</v>
      </c>
      <c r="O21921">
        <v>79</v>
      </c>
      <c r="P21921">
        <v>0</v>
      </c>
    </row>
    <row r="21922" spans="1:16" x14ac:dyDescent="0.25">
      <c r="A21922" t="s">
        <v>44682</v>
      </c>
      <c r="B21922" t="s">
        <v>13093</v>
      </c>
      <c r="C21922" t="s">
        <v>13094</v>
      </c>
      <c r="D21922" t="str">
        <f>"1001"</f>
        <v>1001</v>
      </c>
      <c r="E21922" t="s">
        <v>13088</v>
      </c>
      <c r="F21922" t="s">
        <v>5</v>
      </c>
      <c r="G21922" t="s">
        <v>47093</v>
      </c>
      <c r="H21922" t="s">
        <v>47054</v>
      </c>
      <c r="I21922" t="s">
        <v>47111</v>
      </c>
      <c r="J21922" t="s">
        <v>47112</v>
      </c>
      <c r="K21922" t="s">
        <v>47113</v>
      </c>
      <c r="L21922">
        <v>38.03</v>
      </c>
      <c r="M21922">
        <v>79</v>
      </c>
      <c r="N21922">
        <v>0</v>
      </c>
      <c r="O21922">
        <v>79</v>
      </c>
      <c r="P21922">
        <v>0</v>
      </c>
    </row>
    <row r="21923" spans="1:16" x14ac:dyDescent="0.25">
      <c r="A21923" t="s">
        <v>44683</v>
      </c>
      <c r="B21923" t="s">
        <v>13093</v>
      </c>
      <c r="C21923" t="s">
        <v>13094</v>
      </c>
      <c r="D21923" t="str">
        <f>"1288"</f>
        <v>1288</v>
      </c>
      <c r="E21923" t="s">
        <v>1089</v>
      </c>
      <c r="F21923" t="s">
        <v>5</v>
      </c>
      <c r="G21923" t="s">
        <v>47093</v>
      </c>
      <c r="H21923" t="s">
        <v>47054</v>
      </c>
      <c r="I21923" t="s">
        <v>47111</v>
      </c>
      <c r="J21923" t="s">
        <v>47112</v>
      </c>
      <c r="K21923" t="s">
        <v>47113</v>
      </c>
      <c r="L21923">
        <v>38.03</v>
      </c>
      <c r="M21923">
        <v>79</v>
      </c>
      <c r="N21923">
        <v>0</v>
      </c>
      <c r="O21923">
        <v>79</v>
      </c>
      <c r="P21923">
        <v>0</v>
      </c>
    </row>
    <row r="21924" spans="1:16" x14ac:dyDescent="0.25">
      <c r="A21924" t="s">
        <v>44684</v>
      </c>
      <c r="B21924" t="s">
        <v>13093</v>
      </c>
      <c r="C21924" t="s">
        <v>13094</v>
      </c>
      <c r="D21924" t="str">
        <f>"4325"</f>
        <v>4325</v>
      </c>
      <c r="E21924" t="s">
        <v>13089</v>
      </c>
      <c r="F21924" t="s">
        <v>5</v>
      </c>
      <c r="G21924" t="s">
        <v>47093</v>
      </c>
      <c r="H21924" t="s">
        <v>47054</v>
      </c>
      <c r="I21924" t="s">
        <v>47111</v>
      </c>
      <c r="J21924" t="s">
        <v>47112</v>
      </c>
      <c r="K21924" t="s">
        <v>47113</v>
      </c>
      <c r="L21924">
        <v>39.840000000000003</v>
      </c>
      <c r="M21924">
        <v>79</v>
      </c>
      <c r="N21924">
        <v>0</v>
      </c>
      <c r="O21924">
        <v>79</v>
      </c>
      <c r="P21924">
        <v>0</v>
      </c>
    </row>
    <row r="21925" spans="1:16" x14ac:dyDescent="0.25">
      <c r="A21925" t="s">
        <v>44685</v>
      </c>
      <c r="B21925" t="s">
        <v>13093</v>
      </c>
      <c r="C21925" t="s">
        <v>13094</v>
      </c>
      <c r="D21925" t="str">
        <f>"5135"</f>
        <v>5135</v>
      </c>
      <c r="E21925" t="s">
        <v>1091</v>
      </c>
      <c r="F21925" t="s">
        <v>5</v>
      </c>
      <c r="G21925" t="s">
        <v>47093</v>
      </c>
      <c r="H21925" t="s">
        <v>47054</v>
      </c>
      <c r="I21925" t="s">
        <v>47111</v>
      </c>
      <c r="J21925" t="s">
        <v>47112</v>
      </c>
      <c r="K21925" t="s">
        <v>47113</v>
      </c>
      <c r="L21925">
        <v>38.03</v>
      </c>
      <c r="M21925">
        <v>79</v>
      </c>
      <c r="N21925">
        <v>0</v>
      </c>
      <c r="O21925">
        <v>79</v>
      </c>
      <c r="P21925">
        <v>0</v>
      </c>
    </row>
    <row r="21926" spans="1:16" x14ac:dyDescent="0.25">
      <c r="A21926" t="s">
        <v>44686</v>
      </c>
      <c r="B21926" t="s">
        <v>13093</v>
      </c>
      <c r="C21926" t="s">
        <v>13094</v>
      </c>
      <c r="D21926" t="str">
        <f>"6328"</f>
        <v>6328</v>
      </c>
      <c r="E21926" t="s">
        <v>13090</v>
      </c>
      <c r="F21926" t="s">
        <v>5</v>
      </c>
      <c r="G21926" t="s">
        <v>47093</v>
      </c>
      <c r="H21926" t="s">
        <v>47054</v>
      </c>
      <c r="I21926" t="s">
        <v>47111</v>
      </c>
      <c r="J21926" t="s">
        <v>47112</v>
      </c>
      <c r="K21926" t="s">
        <v>47113</v>
      </c>
      <c r="L21926">
        <v>39.840000000000003</v>
      </c>
      <c r="M21926">
        <v>79</v>
      </c>
      <c r="N21926">
        <v>0</v>
      </c>
      <c r="O21926">
        <v>79</v>
      </c>
      <c r="P21926">
        <v>0</v>
      </c>
    </row>
    <row r="21927" spans="1:16" x14ac:dyDescent="0.25">
      <c r="A21927" t="s">
        <v>44687</v>
      </c>
      <c r="B21927" t="s">
        <v>1087</v>
      </c>
      <c r="C21927" t="s">
        <v>1088</v>
      </c>
      <c r="D21927" t="str">
        <f>"1001"</f>
        <v>1001</v>
      </c>
      <c r="E21927" t="s">
        <v>13088</v>
      </c>
      <c r="F21927" t="s">
        <v>5</v>
      </c>
      <c r="G21927" t="s">
        <v>47093</v>
      </c>
      <c r="H21927" t="s">
        <v>47054</v>
      </c>
      <c r="I21927" t="s">
        <v>47111</v>
      </c>
      <c r="J21927" t="s">
        <v>47112</v>
      </c>
      <c r="K21927" t="s">
        <v>47113</v>
      </c>
      <c r="L21927">
        <v>38.03</v>
      </c>
      <c r="M21927">
        <v>79</v>
      </c>
      <c r="N21927">
        <v>0</v>
      </c>
      <c r="O21927">
        <v>79</v>
      </c>
      <c r="P21927">
        <v>0</v>
      </c>
    </row>
    <row r="21928" spans="1:16" x14ac:dyDescent="0.25">
      <c r="A21928" t="s">
        <v>1086</v>
      </c>
      <c r="B21928" t="s">
        <v>1087</v>
      </c>
      <c r="C21928" t="s">
        <v>1088</v>
      </c>
      <c r="D21928" t="str">
        <f>"1288"</f>
        <v>1288</v>
      </c>
      <c r="E21928" t="s">
        <v>1089</v>
      </c>
      <c r="F21928" t="s">
        <v>5</v>
      </c>
      <c r="G21928" t="s">
        <v>47093</v>
      </c>
      <c r="H21928" t="s">
        <v>47054</v>
      </c>
      <c r="I21928" t="s">
        <v>47111</v>
      </c>
      <c r="J21928" t="s">
        <v>47112</v>
      </c>
      <c r="K21928" t="s">
        <v>47113</v>
      </c>
      <c r="L21928">
        <v>38.03</v>
      </c>
      <c r="M21928">
        <v>79</v>
      </c>
      <c r="N21928">
        <v>0</v>
      </c>
      <c r="O21928">
        <v>79</v>
      </c>
      <c r="P21928">
        <v>0</v>
      </c>
    </row>
    <row r="21929" spans="1:16" x14ac:dyDescent="0.25">
      <c r="A21929" t="s">
        <v>44688</v>
      </c>
      <c r="B21929" t="s">
        <v>1087</v>
      </c>
      <c r="C21929" t="s">
        <v>1088</v>
      </c>
      <c r="D21929" t="str">
        <f>"4325"</f>
        <v>4325</v>
      </c>
      <c r="E21929" t="s">
        <v>13089</v>
      </c>
      <c r="F21929" t="s">
        <v>5</v>
      </c>
      <c r="G21929" t="s">
        <v>47093</v>
      </c>
      <c r="H21929" t="s">
        <v>47054</v>
      </c>
      <c r="I21929" t="s">
        <v>47111</v>
      </c>
      <c r="J21929" t="s">
        <v>47112</v>
      </c>
      <c r="K21929" t="s">
        <v>47113</v>
      </c>
      <c r="L21929">
        <v>39.840000000000003</v>
      </c>
      <c r="M21929">
        <v>79</v>
      </c>
      <c r="N21929">
        <v>0</v>
      </c>
      <c r="O21929">
        <v>79</v>
      </c>
      <c r="P21929">
        <v>0</v>
      </c>
    </row>
    <row r="21930" spans="1:16" x14ac:dyDescent="0.25">
      <c r="A21930" t="s">
        <v>1090</v>
      </c>
      <c r="B21930" t="s">
        <v>1087</v>
      </c>
      <c r="C21930" t="s">
        <v>1088</v>
      </c>
      <c r="D21930" t="str">
        <f>"5135"</f>
        <v>5135</v>
      </c>
      <c r="E21930" t="s">
        <v>1091</v>
      </c>
      <c r="F21930" t="s">
        <v>5</v>
      </c>
      <c r="G21930" t="s">
        <v>47093</v>
      </c>
      <c r="H21930" t="s">
        <v>47054</v>
      </c>
      <c r="I21930" t="s">
        <v>47111</v>
      </c>
      <c r="J21930" t="s">
        <v>47112</v>
      </c>
      <c r="K21930" t="s">
        <v>47113</v>
      </c>
      <c r="L21930">
        <v>38.03</v>
      </c>
      <c r="M21930">
        <v>79</v>
      </c>
      <c r="N21930">
        <v>0</v>
      </c>
      <c r="O21930">
        <v>79</v>
      </c>
      <c r="P21930">
        <v>0</v>
      </c>
    </row>
    <row r="21931" spans="1:16" x14ac:dyDescent="0.25">
      <c r="A21931" t="s">
        <v>44689</v>
      </c>
      <c r="B21931" t="s">
        <v>1087</v>
      </c>
      <c r="C21931" t="s">
        <v>1088</v>
      </c>
      <c r="D21931" t="str">
        <f>"6328"</f>
        <v>6328</v>
      </c>
      <c r="E21931" t="s">
        <v>13090</v>
      </c>
      <c r="F21931" t="s">
        <v>5</v>
      </c>
      <c r="G21931" t="s">
        <v>47093</v>
      </c>
      <c r="H21931" t="s">
        <v>47054</v>
      </c>
      <c r="I21931" t="s">
        <v>47111</v>
      </c>
      <c r="J21931" t="s">
        <v>47112</v>
      </c>
      <c r="K21931" t="s">
        <v>47113</v>
      </c>
      <c r="L21931">
        <v>39.840000000000003</v>
      </c>
      <c r="M21931">
        <v>79</v>
      </c>
      <c r="N21931">
        <v>0</v>
      </c>
      <c r="O21931">
        <v>79</v>
      </c>
      <c r="P21931">
        <v>0</v>
      </c>
    </row>
    <row r="21932" spans="1:16" x14ac:dyDescent="0.25">
      <c r="A21932" t="s">
        <v>1092</v>
      </c>
      <c r="B21932" t="s">
        <v>1093</v>
      </c>
      <c r="C21932" t="s">
        <v>1094</v>
      </c>
      <c r="D21932" t="s">
        <v>983</v>
      </c>
      <c r="E21932" t="s">
        <v>984</v>
      </c>
      <c r="F21932" t="s">
        <v>7</v>
      </c>
      <c r="G21932" t="s">
        <v>47093</v>
      </c>
      <c r="H21932" t="s">
        <v>47054</v>
      </c>
      <c r="I21932" t="s">
        <v>47111</v>
      </c>
      <c r="J21932" t="s">
        <v>47112</v>
      </c>
      <c r="K21932" t="s">
        <v>47113</v>
      </c>
      <c r="L21932">
        <v>41.99</v>
      </c>
      <c r="M21932">
        <v>100</v>
      </c>
      <c r="N21932">
        <v>0</v>
      </c>
      <c r="O21932">
        <v>100</v>
      </c>
      <c r="P21932">
        <v>0</v>
      </c>
    </row>
    <row r="21933" spans="1:16" x14ac:dyDescent="0.25">
      <c r="A21933" t="s">
        <v>44690</v>
      </c>
      <c r="B21933" t="s">
        <v>1096</v>
      </c>
      <c r="C21933" t="s">
        <v>1097</v>
      </c>
      <c r="D21933" t="s">
        <v>617</v>
      </c>
      <c r="E21933" t="s">
        <v>618</v>
      </c>
      <c r="F21933" t="s">
        <v>7</v>
      </c>
      <c r="G21933" t="s">
        <v>47098</v>
      </c>
      <c r="H21933" t="s">
        <v>47054</v>
      </c>
      <c r="I21933" t="s">
        <v>47111</v>
      </c>
      <c r="J21933" t="s">
        <v>47112</v>
      </c>
      <c r="K21933" t="s">
        <v>47113</v>
      </c>
      <c r="L21933">
        <v>57</v>
      </c>
      <c r="M21933">
        <v>159</v>
      </c>
      <c r="N21933">
        <v>0</v>
      </c>
      <c r="O21933">
        <v>159</v>
      </c>
      <c r="P21933">
        <v>0</v>
      </c>
    </row>
    <row r="21934" spans="1:16" x14ac:dyDescent="0.25">
      <c r="A21934" t="s">
        <v>1095</v>
      </c>
      <c r="B21934" t="s">
        <v>1096</v>
      </c>
      <c r="C21934" t="s">
        <v>1097</v>
      </c>
      <c r="D21934" t="s">
        <v>311</v>
      </c>
      <c r="E21934" t="s">
        <v>312</v>
      </c>
      <c r="F21934" t="s">
        <v>7</v>
      </c>
      <c r="G21934" t="s">
        <v>47098</v>
      </c>
      <c r="H21934" t="s">
        <v>47054</v>
      </c>
      <c r="I21934" t="s">
        <v>47111</v>
      </c>
      <c r="J21934" t="s">
        <v>47112</v>
      </c>
      <c r="K21934" t="s">
        <v>47113</v>
      </c>
      <c r="L21934">
        <v>58.69</v>
      </c>
      <c r="M21934">
        <v>145</v>
      </c>
      <c r="N21934">
        <v>0</v>
      </c>
      <c r="O21934">
        <v>145</v>
      </c>
      <c r="P21934">
        <v>0</v>
      </c>
    </row>
    <row r="21935" spans="1:16" x14ac:dyDescent="0.25">
      <c r="A21935" t="s">
        <v>44691</v>
      </c>
      <c r="B21935" t="s">
        <v>13095</v>
      </c>
      <c r="C21935" t="s">
        <v>13096</v>
      </c>
      <c r="D21935" t="s">
        <v>7318</v>
      </c>
      <c r="E21935" t="s">
        <v>7319</v>
      </c>
      <c r="F21935" t="s">
        <v>7</v>
      </c>
      <c r="G21935" t="s">
        <v>47093</v>
      </c>
      <c r="H21935" t="s">
        <v>47054</v>
      </c>
      <c r="I21935" t="s">
        <v>47111</v>
      </c>
      <c r="J21935" t="s">
        <v>47112</v>
      </c>
      <c r="K21935" t="s">
        <v>47113</v>
      </c>
      <c r="L21935">
        <v>43.28</v>
      </c>
      <c r="M21935">
        <v>89</v>
      </c>
      <c r="N21935">
        <v>0</v>
      </c>
      <c r="O21935">
        <v>89</v>
      </c>
      <c r="P21935">
        <v>0</v>
      </c>
    </row>
    <row r="21936" spans="1:16" x14ac:dyDescent="0.25">
      <c r="A21936" t="s">
        <v>44692</v>
      </c>
      <c r="B21936" t="s">
        <v>13095</v>
      </c>
      <c r="C21936" t="s">
        <v>13096</v>
      </c>
      <c r="D21936" t="s">
        <v>311</v>
      </c>
      <c r="E21936" t="s">
        <v>312</v>
      </c>
      <c r="F21936" t="s">
        <v>7</v>
      </c>
      <c r="G21936" t="s">
        <v>47093</v>
      </c>
      <c r="H21936" t="s">
        <v>47054</v>
      </c>
      <c r="I21936" t="s">
        <v>47111</v>
      </c>
      <c r="J21936" t="s">
        <v>47112</v>
      </c>
      <c r="K21936" t="s">
        <v>47113</v>
      </c>
      <c r="L21936">
        <v>27.41</v>
      </c>
      <c r="M21936">
        <v>72</v>
      </c>
      <c r="N21936">
        <v>0</v>
      </c>
      <c r="O21936">
        <v>72</v>
      </c>
      <c r="P21936">
        <v>0</v>
      </c>
    </row>
    <row r="21937" spans="1:16" x14ac:dyDescent="0.25">
      <c r="A21937" t="s">
        <v>44693</v>
      </c>
      <c r="B21937" t="s">
        <v>13097</v>
      </c>
      <c r="C21937" t="s">
        <v>1094</v>
      </c>
      <c r="D21937" t="s">
        <v>7318</v>
      </c>
      <c r="E21937" t="s">
        <v>7319</v>
      </c>
      <c r="F21937" t="s">
        <v>7</v>
      </c>
      <c r="G21937" t="s">
        <v>47093</v>
      </c>
      <c r="H21937" t="s">
        <v>47054</v>
      </c>
      <c r="I21937" t="s">
        <v>47111</v>
      </c>
      <c r="J21937" t="s">
        <v>47112</v>
      </c>
      <c r="K21937" t="s">
        <v>47113</v>
      </c>
      <c r="L21937">
        <v>63.68</v>
      </c>
      <c r="M21937">
        <v>154</v>
      </c>
      <c r="N21937">
        <v>0</v>
      </c>
      <c r="O21937">
        <v>154</v>
      </c>
      <c r="P21937">
        <v>0</v>
      </c>
    </row>
    <row r="21938" spans="1:16" x14ac:dyDescent="0.25">
      <c r="A21938" t="s">
        <v>44694</v>
      </c>
      <c r="B21938" t="s">
        <v>13097</v>
      </c>
      <c r="C21938" t="s">
        <v>1094</v>
      </c>
      <c r="D21938" t="s">
        <v>311</v>
      </c>
      <c r="E21938" t="s">
        <v>312</v>
      </c>
      <c r="F21938" t="s">
        <v>7</v>
      </c>
      <c r="G21938" t="s">
        <v>47093</v>
      </c>
      <c r="H21938" t="s">
        <v>47054</v>
      </c>
      <c r="I21938" t="s">
        <v>47111</v>
      </c>
      <c r="J21938" t="s">
        <v>47112</v>
      </c>
      <c r="K21938" t="s">
        <v>47113</v>
      </c>
      <c r="L21938">
        <v>49.02</v>
      </c>
      <c r="M21938">
        <v>121</v>
      </c>
      <c r="N21938">
        <v>0</v>
      </c>
      <c r="O21938">
        <v>121</v>
      </c>
      <c r="P21938">
        <v>0</v>
      </c>
    </row>
    <row r="21939" spans="1:16" x14ac:dyDescent="0.25">
      <c r="A21939" t="s">
        <v>44695</v>
      </c>
      <c r="B21939" t="s">
        <v>13098</v>
      </c>
      <c r="C21939" t="s">
        <v>1097</v>
      </c>
      <c r="D21939" t="s">
        <v>7366</v>
      </c>
      <c r="E21939" t="s">
        <v>7367</v>
      </c>
      <c r="F21939" t="s">
        <v>7</v>
      </c>
      <c r="G21939" t="s">
        <v>47098</v>
      </c>
      <c r="H21939" t="s">
        <v>47054</v>
      </c>
      <c r="I21939" t="s">
        <v>47111</v>
      </c>
      <c r="J21939" t="s">
        <v>47112</v>
      </c>
      <c r="K21939" t="s">
        <v>47113</v>
      </c>
      <c r="L21939">
        <v>69.59</v>
      </c>
      <c r="M21939">
        <v>169</v>
      </c>
      <c r="N21939">
        <v>0</v>
      </c>
      <c r="O21939">
        <v>169</v>
      </c>
      <c r="P21939">
        <v>0</v>
      </c>
    </row>
    <row r="21940" spans="1:16" x14ac:dyDescent="0.25">
      <c r="A21940" t="s">
        <v>44696</v>
      </c>
      <c r="B21940" t="s">
        <v>13099</v>
      </c>
      <c r="C21940" t="s">
        <v>13096</v>
      </c>
      <c r="D21940" t="s">
        <v>7318</v>
      </c>
      <c r="E21940" t="s">
        <v>7319</v>
      </c>
      <c r="F21940" t="s">
        <v>7</v>
      </c>
      <c r="G21940" t="s">
        <v>47093</v>
      </c>
      <c r="H21940" t="s">
        <v>47054</v>
      </c>
      <c r="I21940" t="s">
        <v>47111</v>
      </c>
      <c r="J21940" t="s">
        <v>47112</v>
      </c>
      <c r="K21940" t="s">
        <v>47113</v>
      </c>
      <c r="L21940">
        <v>63.68</v>
      </c>
      <c r="M21940">
        <v>154</v>
      </c>
      <c r="N21940">
        <v>0</v>
      </c>
      <c r="O21940">
        <v>154</v>
      </c>
      <c r="P21940">
        <v>0</v>
      </c>
    </row>
    <row r="21941" spans="1:16" x14ac:dyDescent="0.25">
      <c r="A21941" t="s">
        <v>44697</v>
      </c>
      <c r="B21941" t="s">
        <v>13100</v>
      </c>
      <c r="C21941" t="s">
        <v>13101</v>
      </c>
      <c r="D21941" t="s">
        <v>22</v>
      </c>
      <c r="E21941" t="s">
        <v>23</v>
      </c>
      <c r="F21941" t="s">
        <v>7</v>
      </c>
      <c r="G21941" t="s">
        <v>47093</v>
      </c>
      <c r="H21941" t="s">
        <v>47054</v>
      </c>
      <c r="I21941" t="s">
        <v>47111</v>
      </c>
      <c r="J21941" t="s">
        <v>47112</v>
      </c>
      <c r="K21941" t="s">
        <v>47113</v>
      </c>
      <c r="L21941">
        <v>34.700000000000003</v>
      </c>
      <c r="M21941">
        <v>86</v>
      </c>
      <c r="N21941">
        <v>0</v>
      </c>
      <c r="O21941">
        <v>86</v>
      </c>
      <c r="P21941">
        <v>0</v>
      </c>
    </row>
    <row r="21942" spans="1:16" x14ac:dyDescent="0.25">
      <c r="A21942" t="s">
        <v>44698</v>
      </c>
      <c r="B21942" t="s">
        <v>13102</v>
      </c>
      <c r="C21942" t="s">
        <v>13103</v>
      </c>
      <c r="D21942" t="s">
        <v>13104</v>
      </c>
      <c r="E21942" t="s">
        <v>13105</v>
      </c>
      <c r="F21942" t="s">
        <v>6</v>
      </c>
      <c r="G21942" t="s">
        <v>47093</v>
      </c>
      <c r="H21942" t="s">
        <v>47054</v>
      </c>
      <c r="I21942" t="s">
        <v>47114</v>
      </c>
      <c r="J21942" t="s">
        <v>47115</v>
      </c>
      <c r="K21942" t="s">
        <v>47113</v>
      </c>
      <c r="L21942">
        <v>41.04</v>
      </c>
      <c r="M21942">
        <v>114</v>
      </c>
      <c r="N21942">
        <v>0</v>
      </c>
      <c r="O21942">
        <v>114</v>
      </c>
      <c r="P21942">
        <v>0</v>
      </c>
    </row>
    <row r="21943" spans="1:16" x14ac:dyDescent="0.25">
      <c r="A21943" t="s">
        <v>1098</v>
      </c>
      <c r="B21943" t="s">
        <v>1099</v>
      </c>
      <c r="C21943" t="s">
        <v>1100</v>
      </c>
      <c r="D21943" t="s">
        <v>1101</v>
      </c>
      <c r="E21943" t="s">
        <v>1102</v>
      </c>
      <c r="F21943" t="s">
        <v>6</v>
      </c>
      <c r="G21943" t="s">
        <v>47093</v>
      </c>
      <c r="H21943" t="s">
        <v>47054</v>
      </c>
      <c r="I21943" t="s">
        <v>47111</v>
      </c>
      <c r="J21943" t="s">
        <v>47112</v>
      </c>
      <c r="K21943" t="s">
        <v>47113</v>
      </c>
      <c r="L21943">
        <v>52.97</v>
      </c>
      <c r="M21943">
        <v>116</v>
      </c>
      <c r="N21943">
        <v>0</v>
      </c>
      <c r="O21943">
        <v>116</v>
      </c>
      <c r="P21943">
        <v>0</v>
      </c>
    </row>
    <row r="21944" spans="1:16" x14ac:dyDescent="0.25">
      <c r="A21944" t="s">
        <v>1103</v>
      </c>
      <c r="B21944" t="s">
        <v>1099</v>
      </c>
      <c r="C21944" t="s">
        <v>1100</v>
      </c>
      <c r="D21944" t="s">
        <v>1104</v>
      </c>
      <c r="E21944" t="s">
        <v>1105</v>
      </c>
      <c r="F21944" t="s">
        <v>6</v>
      </c>
      <c r="G21944" t="s">
        <v>47093</v>
      </c>
      <c r="H21944" t="s">
        <v>47054</v>
      </c>
      <c r="I21944" t="s">
        <v>47111</v>
      </c>
      <c r="J21944" t="s">
        <v>47112</v>
      </c>
      <c r="K21944" t="s">
        <v>47113</v>
      </c>
      <c r="L21944">
        <v>51.24</v>
      </c>
      <c r="M21944">
        <v>112</v>
      </c>
      <c r="N21944">
        <v>0</v>
      </c>
      <c r="O21944">
        <v>112</v>
      </c>
      <c r="P21944">
        <v>0</v>
      </c>
    </row>
    <row r="21945" spans="1:16" x14ac:dyDescent="0.25">
      <c r="A21945" t="s">
        <v>44699</v>
      </c>
      <c r="B21945" t="s">
        <v>13106</v>
      </c>
      <c r="C21945" t="s">
        <v>13107</v>
      </c>
      <c r="D21945" t="s">
        <v>311</v>
      </c>
      <c r="E21945" t="s">
        <v>312</v>
      </c>
      <c r="F21945" t="s">
        <v>6</v>
      </c>
      <c r="G21945" t="s">
        <v>47093</v>
      </c>
      <c r="H21945" t="s">
        <v>47054</v>
      </c>
      <c r="I21945" t="s">
        <v>47114</v>
      </c>
      <c r="J21945" t="s">
        <v>47115</v>
      </c>
      <c r="K21945" t="s">
        <v>47113</v>
      </c>
      <c r="L21945">
        <v>38.11</v>
      </c>
      <c r="M21945">
        <v>97</v>
      </c>
      <c r="N21945">
        <v>0</v>
      </c>
      <c r="O21945">
        <v>97</v>
      </c>
      <c r="P21945">
        <v>0</v>
      </c>
    </row>
    <row r="21946" spans="1:16" x14ac:dyDescent="0.25">
      <c r="A21946" t="s">
        <v>44700</v>
      </c>
      <c r="B21946" t="s">
        <v>13108</v>
      </c>
      <c r="C21946" t="s">
        <v>13109</v>
      </c>
      <c r="D21946" t="s">
        <v>721</v>
      </c>
      <c r="E21946" t="s">
        <v>722</v>
      </c>
      <c r="F21946" t="s">
        <v>6</v>
      </c>
      <c r="G21946" t="s">
        <v>47093</v>
      </c>
      <c r="H21946" t="s">
        <v>47054</v>
      </c>
      <c r="I21946" t="s">
        <v>47114</v>
      </c>
      <c r="J21946" t="s">
        <v>47115</v>
      </c>
      <c r="K21946" t="s">
        <v>47113</v>
      </c>
      <c r="L21946">
        <v>42.55</v>
      </c>
      <c r="M21946">
        <v>105</v>
      </c>
      <c r="N21946">
        <v>0</v>
      </c>
      <c r="O21946">
        <v>105</v>
      </c>
      <c r="P21946">
        <v>0</v>
      </c>
    </row>
    <row r="21947" spans="1:16" x14ac:dyDescent="0.25">
      <c r="A21947" t="s">
        <v>1106</v>
      </c>
      <c r="B21947" t="s">
        <v>1107</v>
      </c>
      <c r="C21947" t="s">
        <v>1108</v>
      </c>
      <c r="D21947" t="str">
        <f>"1001"</f>
        <v>1001</v>
      </c>
      <c r="E21947" t="s">
        <v>42</v>
      </c>
      <c r="F21947" t="s">
        <v>7</v>
      </c>
      <c r="G21947" t="s">
        <v>47098</v>
      </c>
      <c r="H21947" t="s">
        <v>47054</v>
      </c>
      <c r="I21947" t="s">
        <v>47120</v>
      </c>
      <c r="J21947" t="s">
        <v>47121</v>
      </c>
      <c r="K21947" t="s">
        <v>47113</v>
      </c>
      <c r="L21947">
        <v>71.25</v>
      </c>
      <c r="M21947">
        <v>121</v>
      </c>
      <c r="N21947">
        <v>0</v>
      </c>
      <c r="O21947">
        <v>121</v>
      </c>
      <c r="P21947">
        <v>0</v>
      </c>
    </row>
    <row r="21948" spans="1:16" x14ac:dyDescent="0.25">
      <c r="A21948" t="s">
        <v>44701</v>
      </c>
      <c r="B21948" t="s">
        <v>1107</v>
      </c>
      <c r="C21948" t="s">
        <v>1108</v>
      </c>
      <c r="D21948" t="str">
        <f>"6003"</f>
        <v>6003</v>
      </c>
      <c r="E21948" t="s">
        <v>9711</v>
      </c>
      <c r="F21948" t="s">
        <v>7</v>
      </c>
      <c r="G21948" t="s">
        <v>47098</v>
      </c>
      <c r="H21948" t="s">
        <v>47054</v>
      </c>
      <c r="I21948" t="s">
        <v>47120</v>
      </c>
      <c r="J21948" t="s">
        <v>47121</v>
      </c>
      <c r="K21948" t="s">
        <v>47113</v>
      </c>
      <c r="L21948">
        <v>47.24</v>
      </c>
      <c r="M21948">
        <v>121</v>
      </c>
      <c r="N21948">
        <v>0</v>
      </c>
      <c r="O21948">
        <v>121</v>
      </c>
      <c r="P21948">
        <v>0</v>
      </c>
    </row>
    <row r="21949" spans="1:16" x14ac:dyDescent="0.25">
      <c r="A21949" t="s">
        <v>44702</v>
      </c>
      <c r="B21949" t="s">
        <v>13110</v>
      </c>
      <c r="C21949" t="s">
        <v>13111</v>
      </c>
      <c r="D21949" t="str">
        <f>"4101"</f>
        <v>4101</v>
      </c>
      <c r="E21949" t="s">
        <v>43</v>
      </c>
      <c r="F21949" t="s">
        <v>2</v>
      </c>
      <c r="G21949" t="s">
        <v>47098</v>
      </c>
      <c r="H21949" t="s">
        <v>47054</v>
      </c>
      <c r="I21949" t="s">
        <v>47120</v>
      </c>
      <c r="J21949" t="s">
        <v>47121</v>
      </c>
      <c r="K21949" t="s">
        <v>47113</v>
      </c>
      <c r="L21949">
        <v>41.21</v>
      </c>
      <c r="M21949">
        <v>108</v>
      </c>
      <c r="N21949">
        <v>0</v>
      </c>
      <c r="O21949">
        <v>108</v>
      </c>
      <c r="P21949">
        <v>0</v>
      </c>
    </row>
    <row r="21950" spans="1:16" x14ac:dyDescent="0.25">
      <c r="A21950" t="s">
        <v>44703</v>
      </c>
      <c r="B21950" t="s">
        <v>13110</v>
      </c>
      <c r="C21950" t="s">
        <v>13111</v>
      </c>
      <c r="D21950" t="str">
        <f>"6200"</f>
        <v>6200</v>
      </c>
      <c r="E21950" t="s">
        <v>13112</v>
      </c>
      <c r="F21950" t="s">
        <v>2</v>
      </c>
      <c r="G21950" t="s">
        <v>47098</v>
      </c>
      <c r="H21950" t="s">
        <v>47054</v>
      </c>
      <c r="I21950" t="s">
        <v>47120</v>
      </c>
      <c r="J21950" t="s">
        <v>47121</v>
      </c>
      <c r="K21950" t="s">
        <v>47113</v>
      </c>
      <c r="L21950">
        <v>41.21</v>
      </c>
      <c r="M21950">
        <v>108</v>
      </c>
      <c r="N21950">
        <v>0</v>
      </c>
      <c r="O21950">
        <v>108</v>
      </c>
      <c r="P21950">
        <v>0</v>
      </c>
    </row>
    <row r="21951" spans="1:16" x14ac:dyDescent="0.25">
      <c r="A21951" t="s">
        <v>1109</v>
      </c>
      <c r="B21951" t="s">
        <v>1110</v>
      </c>
      <c r="C21951" t="s">
        <v>1111</v>
      </c>
      <c r="D21951" t="str">
        <f>"4403"</f>
        <v>4403</v>
      </c>
      <c r="E21951" t="s">
        <v>1112</v>
      </c>
      <c r="F21951" t="s">
        <v>7</v>
      </c>
      <c r="G21951" t="s">
        <v>48515</v>
      </c>
      <c r="H21951" t="s">
        <v>47054</v>
      </c>
      <c r="I21951" t="s">
        <v>47120</v>
      </c>
      <c r="J21951" t="s">
        <v>47121</v>
      </c>
      <c r="K21951" t="s">
        <v>47113</v>
      </c>
      <c r="L21951">
        <v>71.25</v>
      </c>
      <c r="M21951">
        <v>130</v>
      </c>
      <c r="N21951">
        <v>0</v>
      </c>
      <c r="O21951">
        <v>130</v>
      </c>
      <c r="P21951">
        <v>0</v>
      </c>
    </row>
    <row r="21952" spans="1:16" x14ac:dyDescent="0.25">
      <c r="A21952" t="s">
        <v>1113</v>
      </c>
      <c r="B21952" t="s">
        <v>1110</v>
      </c>
      <c r="C21952" t="s">
        <v>1111</v>
      </c>
      <c r="D21952" t="str">
        <f>"6000"</f>
        <v>6000</v>
      </c>
      <c r="E21952" t="s">
        <v>238</v>
      </c>
      <c r="F21952" t="s">
        <v>7</v>
      </c>
      <c r="G21952" t="s">
        <v>48515</v>
      </c>
      <c r="H21952" t="s">
        <v>47054</v>
      </c>
      <c r="I21952" t="s">
        <v>47120</v>
      </c>
      <c r="J21952" t="s">
        <v>47121</v>
      </c>
      <c r="K21952" t="s">
        <v>47113</v>
      </c>
      <c r="L21952">
        <v>71.25</v>
      </c>
      <c r="M21952">
        <v>130</v>
      </c>
      <c r="N21952">
        <v>0</v>
      </c>
      <c r="O21952">
        <v>130</v>
      </c>
      <c r="P21952">
        <v>0</v>
      </c>
    </row>
    <row r="21953" spans="1:16" x14ac:dyDescent="0.25">
      <c r="A21953" t="s">
        <v>44704</v>
      </c>
      <c r="B21953" t="s">
        <v>13113</v>
      </c>
      <c r="C21953" t="s">
        <v>13114</v>
      </c>
      <c r="D21953" t="str">
        <f>"4022"</f>
        <v>4022</v>
      </c>
      <c r="E21953" t="s">
        <v>7412</v>
      </c>
      <c r="F21953" t="s">
        <v>7</v>
      </c>
      <c r="G21953" t="s">
        <v>47101</v>
      </c>
      <c r="H21953" t="s">
        <v>47054</v>
      </c>
      <c r="I21953" t="s">
        <v>47120</v>
      </c>
      <c r="J21953" t="s">
        <v>47121</v>
      </c>
      <c r="K21953" t="s">
        <v>47113</v>
      </c>
      <c r="L21953">
        <v>24.96</v>
      </c>
      <c r="M21953">
        <v>64</v>
      </c>
      <c r="N21953">
        <v>0</v>
      </c>
      <c r="O21953">
        <v>64</v>
      </c>
      <c r="P21953">
        <v>0</v>
      </c>
    </row>
    <row r="21954" spans="1:16" x14ac:dyDescent="0.25">
      <c r="A21954" t="s">
        <v>44705</v>
      </c>
      <c r="B21954" t="s">
        <v>13113</v>
      </c>
      <c r="C21954" t="s">
        <v>13114</v>
      </c>
      <c r="D21954" t="str">
        <f>"6126"</f>
        <v>6126</v>
      </c>
      <c r="E21954" t="s">
        <v>7413</v>
      </c>
      <c r="F21954" t="s">
        <v>7</v>
      </c>
      <c r="G21954" t="s">
        <v>47101</v>
      </c>
      <c r="H21954" t="s">
        <v>47054</v>
      </c>
      <c r="I21954" t="s">
        <v>47120</v>
      </c>
      <c r="J21954" t="s">
        <v>47121</v>
      </c>
      <c r="K21954" t="s">
        <v>47113</v>
      </c>
      <c r="L21954">
        <v>24.68</v>
      </c>
      <c r="M21954">
        <v>64</v>
      </c>
      <c r="N21954">
        <v>0</v>
      </c>
      <c r="O21954">
        <v>64</v>
      </c>
      <c r="P21954">
        <v>0</v>
      </c>
    </row>
    <row r="21955" spans="1:16" x14ac:dyDescent="0.25">
      <c r="A21955" t="s">
        <v>44706</v>
      </c>
      <c r="B21955" t="s">
        <v>13113</v>
      </c>
      <c r="C21955" t="s">
        <v>13114</v>
      </c>
      <c r="D21955" t="str">
        <f>"7322"</f>
        <v>7322</v>
      </c>
      <c r="E21955" t="s">
        <v>13115</v>
      </c>
      <c r="F21955" t="s">
        <v>7</v>
      </c>
      <c r="G21955" t="s">
        <v>47101</v>
      </c>
      <c r="H21955" t="s">
        <v>47054</v>
      </c>
      <c r="I21955" t="s">
        <v>47120</v>
      </c>
      <c r="J21955" t="s">
        <v>47121</v>
      </c>
      <c r="K21955" t="s">
        <v>47113</v>
      </c>
      <c r="L21955">
        <v>24.96</v>
      </c>
      <c r="M21955">
        <v>64</v>
      </c>
      <c r="N21955">
        <v>0</v>
      </c>
      <c r="O21955">
        <v>64</v>
      </c>
      <c r="P21955">
        <v>0</v>
      </c>
    </row>
    <row r="21956" spans="1:16" x14ac:dyDescent="0.25">
      <c r="A21956" t="s">
        <v>44707</v>
      </c>
      <c r="B21956" t="s">
        <v>13113</v>
      </c>
      <c r="C21956" t="s">
        <v>13114</v>
      </c>
      <c r="D21956" t="str">
        <f>"8321"</f>
        <v>8321</v>
      </c>
      <c r="E21956" t="s">
        <v>13116</v>
      </c>
      <c r="F21956" t="s">
        <v>7</v>
      </c>
      <c r="G21956" t="s">
        <v>47101</v>
      </c>
      <c r="H21956" t="s">
        <v>47054</v>
      </c>
      <c r="I21956" t="s">
        <v>47120</v>
      </c>
      <c r="J21956" t="s">
        <v>47121</v>
      </c>
      <c r="K21956" t="s">
        <v>47113</v>
      </c>
      <c r="L21956">
        <v>24.74</v>
      </c>
      <c r="M21956">
        <v>64</v>
      </c>
      <c r="N21956">
        <v>0</v>
      </c>
      <c r="O21956">
        <v>64</v>
      </c>
      <c r="P21956">
        <v>0</v>
      </c>
    </row>
    <row r="21957" spans="1:16" x14ac:dyDescent="0.25">
      <c r="A21957" t="s">
        <v>44708</v>
      </c>
      <c r="B21957" t="s">
        <v>1114</v>
      </c>
      <c r="C21957" t="s">
        <v>1115</v>
      </c>
      <c r="D21957" t="str">
        <f>"1162"</f>
        <v>1162</v>
      </c>
      <c r="E21957" t="s">
        <v>1116</v>
      </c>
      <c r="F21957" t="s">
        <v>6</v>
      </c>
      <c r="G21957" t="s">
        <v>47101</v>
      </c>
      <c r="H21957" t="s">
        <v>47054</v>
      </c>
      <c r="I21957" t="s">
        <v>47120</v>
      </c>
      <c r="J21957" t="s">
        <v>47121</v>
      </c>
      <c r="K21957" t="s">
        <v>47113</v>
      </c>
      <c r="L21957">
        <v>25.88</v>
      </c>
      <c r="M21957">
        <v>64</v>
      </c>
      <c r="N21957">
        <v>0</v>
      </c>
      <c r="O21957">
        <v>64</v>
      </c>
      <c r="P21957">
        <v>0</v>
      </c>
    </row>
    <row r="21958" spans="1:16" x14ac:dyDescent="0.25">
      <c r="A21958" t="s">
        <v>1117</v>
      </c>
      <c r="B21958" t="s">
        <v>1114</v>
      </c>
      <c r="C21958" t="s">
        <v>1115</v>
      </c>
      <c r="D21958" t="str">
        <f>"4275"</f>
        <v>4275</v>
      </c>
      <c r="E21958" t="s">
        <v>1118</v>
      </c>
      <c r="F21958" t="s">
        <v>6</v>
      </c>
      <c r="G21958" t="s">
        <v>47101</v>
      </c>
      <c r="H21958" t="s">
        <v>47054</v>
      </c>
      <c r="I21958" t="s">
        <v>47120</v>
      </c>
      <c r="J21958" t="s">
        <v>47121</v>
      </c>
      <c r="K21958" t="s">
        <v>47113</v>
      </c>
      <c r="L21958">
        <v>25.88</v>
      </c>
      <c r="M21958">
        <v>64</v>
      </c>
      <c r="N21958">
        <v>0</v>
      </c>
      <c r="O21958">
        <v>64</v>
      </c>
      <c r="P21958">
        <v>0</v>
      </c>
    </row>
    <row r="21959" spans="1:16" x14ac:dyDescent="0.25">
      <c r="A21959" t="s">
        <v>1119</v>
      </c>
      <c r="B21959" t="s">
        <v>1114</v>
      </c>
      <c r="C21959" t="s">
        <v>1115</v>
      </c>
      <c r="D21959" t="str">
        <f>"6099"</f>
        <v>6099</v>
      </c>
      <c r="E21959" t="s">
        <v>1120</v>
      </c>
      <c r="F21959" t="s">
        <v>6</v>
      </c>
      <c r="G21959" t="s">
        <v>47101</v>
      </c>
      <c r="H21959" t="s">
        <v>47054</v>
      </c>
      <c r="I21959" t="s">
        <v>47120</v>
      </c>
      <c r="J21959" t="s">
        <v>47121</v>
      </c>
      <c r="K21959" t="s">
        <v>47113</v>
      </c>
      <c r="L21959">
        <v>26.18</v>
      </c>
      <c r="M21959">
        <v>64</v>
      </c>
      <c r="N21959">
        <v>0</v>
      </c>
      <c r="O21959">
        <v>64</v>
      </c>
      <c r="P21959">
        <v>0</v>
      </c>
    </row>
    <row r="21960" spans="1:16" x14ac:dyDescent="0.25">
      <c r="A21960" t="s">
        <v>1121</v>
      </c>
      <c r="B21960" t="s">
        <v>1122</v>
      </c>
      <c r="C21960" t="s">
        <v>1123</v>
      </c>
      <c r="D21960" t="str">
        <f>"4311"</f>
        <v>4311</v>
      </c>
      <c r="E21960" t="s">
        <v>1124</v>
      </c>
      <c r="F21960" t="s">
        <v>2</v>
      </c>
      <c r="G21960" t="s">
        <v>47101</v>
      </c>
      <c r="H21960" t="s">
        <v>47054</v>
      </c>
      <c r="I21960" t="s">
        <v>47120</v>
      </c>
      <c r="J21960" t="s">
        <v>47121</v>
      </c>
      <c r="K21960" t="s">
        <v>47113</v>
      </c>
      <c r="L21960">
        <v>24.93</v>
      </c>
      <c r="M21960">
        <v>63</v>
      </c>
      <c r="N21960">
        <v>0</v>
      </c>
      <c r="O21960">
        <v>63</v>
      </c>
      <c r="P21960">
        <v>0</v>
      </c>
    </row>
    <row r="21961" spans="1:16" x14ac:dyDescent="0.25">
      <c r="A21961" t="s">
        <v>1125</v>
      </c>
      <c r="B21961" t="s">
        <v>1122</v>
      </c>
      <c r="C21961" t="s">
        <v>1123</v>
      </c>
      <c r="D21961" t="str">
        <f>"4312"</f>
        <v>4312</v>
      </c>
      <c r="E21961" t="s">
        <v>1126</v>
      </c>
      <c r="F21961" t="s">
        <v>2</v>
      </c>
      <c r="G21961" t="s">
        <v>47101</v>
      </c>
      <c r="H21961" t="s">
        <v>47054</v>
      </c>
      <c r="I21961" t="s">
        <v>47120</v>
      </c>
      <c r="J21961" t="s">
        <v>47121</v>
      </c>
      <c r="K21961" t="s">
        <v>47113</v>
      </c>
      <c r="L21961">
        <v>32.909999999999997</v>
      </c>
      <c r="M21961">
        <v>63</v>
      </c>
      <c r="N21961">
        <v>0</v>
      </c>
      <c r="O21961">
        <v>63</v>
      </c>
      <c r="P21961">
        <v>0</v>
      </c>
    </row>
    <row r="21962" spans="1:16" x14ac:dyDescent="0.25">
      <c r="A21962" t="s">
        <v>1127</v>
      </c>
      <c r="B21962" t="s">
        <v>1122</v>
      </c>
      <c r="C21962" t="s">
        <v>1123</v>
      </c>
      <c r="D21962" t="str">
        <f>"7354"</f>
        <v>7354</v>
      </c>
      <c r="E21962" t="s">
        <v>1128</v>
      </c>
      <c r="F21962" t="s">
        <v>2</v>
      </c>
      <c r="G21962" t="s">
        <v>47101</v>
      </c>
      <c r="H21962" t="s">
        <v>47054</v>
      </c>
      <c r="I21962" t="s">
        <v>47120</v>
      </c>
      <c r="J21962" t="s">
        <v>47121</v>
      </c>
      <c r="K21962" t="s">
        <v>47113</v>
      </c>
      <c r="L21962">
        <v>24.42</v>
      </c>
      <c r="M21962">
        <v>63</v>
      </c>
      <c r="N21962">
        <v>0</v>
      </c>
      <c r="O21962">
        <v>63</v>
      </c>
      <c r="P21962">
        <v>0</v>
      </c>
    </row>
    <row r="21963" spans="1:16" x14ac:dyDescent="0.25">
      <c r="A21963" t="s">
        <v>44709</v>
      </c>
      <c r="B21963" t="s">
        <v>13117</v>
      </c>
      <c r="C21963" t="s">
        <v>1123</v>
      </c>
      <c r="D21963" t="str">
        <f>"4683"</f>
        <v>4683</v>
      </c>
      <c r="E21963" t="s">
        <v>7420</v>
      </c>
      <c r="F21963" t="s">
        <v>5</v>
      </c>
      <c r="G21963" t="s">
        <v>47101</v>
      </c>
      <c r="H21963" t="s">
        <v>47054</v>
      </c>
      <c r="I21963" t="s">
        <v>47120</v>
      </c>
      <c r="J21963" t="s">
        <v>47121</v>
      </c>
      <c r="K21963" t="s">
        <v>47113</v>
      </c>
      <c r="L21963">
        <v>24.11</v>
      </c>
      <c r="M21963">
        <v>53</v>
      </c>
      <c r="N21963">
        <v>0</v>
      </c>
      <c r="O21963">
        <v>53</v>
      </c>
      <c r="P21963">
        <v>0</v>
      </c>
    </row>
    <row r="21964" spans="1:16" x14ac:dyDescent="0.25">
      <c r="A21964" t="s">
        <v>44710</v>
      </c>
      <c r="B21964" t="s">
        <v>13117</v>
      </c>
      <c r="C21964" t="s">
        <v>1123</v>
      </c>
      <c r="D21964" t="str">
        <f>"6855"</f>
        <v>6855</v>
      </c>
      <c r="E21964" t="s">
        <v>13118</v>
      </c>
      <c r="F21964" t="s">
        <v>5</v>
      </c>
      <c r="G21964" t="s">
        <v>47101</v>
      </c>
      <c r="H21964" t="s">
        <v>47054</v>
      </c>
      <c r="I21964" t="s">
        <v>47120</v>
      </c>
      <c r="J21964" t="s">
        <v>47121</v>
      </c>
      <c r="K21964" t="s">
        <v>47113</v>
      </c>
      <c r="L21964">
        <v>24.11</v>
      </c>
      <c r="M21964">
        <v>53</v>
      </c>
      <c r="N21964">
        <v>0</v>
      </c>
      <c r="O21964">
        <v>53</v>
      </c>
      <c r="P21964">
        <v>0</v>
      </c>
    </row>
    <row r="21965" spans="1:16" x14ac:dyDescent="0.25">
      <c r="A21965" t="s">
        <v>1129</v>
      </c>
      <c r="B21965" t="s">
        <v>1130</v>
      </c>
      <c r="C21965" t="s">
        <v>1131</v>
      </c>
      <c r="D21965" t="str">
        <f>"4168"</f>
        <v>4168</v>
      </c>
      <c r="E21965" t="s">
        <v>1132</v>
      </c>
      <c r="F21965" t="s">
        <v>7</v>
      </c>
      <c r="G21965" t="s">
        <v>47102</v>
      </c>
      <c r="H21965" t="s">
        <v>47054</v>
      </c>
      <c r="I21965" t="s">
        <v>47120</v>
      </c>
      <c r="J21965" t="s">
        <v>47121</v>
      </c>
      <c r="K21965" t="s">
        <v>47113</v>
      </c>
      <c r="L21965">
        <v>71.25</v>
      </c>
      <c r="M21965">
        <v>137</v>
      </c>
      <c r="N21965">
        <v>0</v>
      </c>
      <c r="O21965">
        <v>137</v>
      </c>
      <c r="P21965">
        <v>0</v>
      </c>
    </row>
    <row r="21966" spans="1:16" x14ac:dyDescent="0.25">
      <c r="A21966" t="s">
        <v>44711</v>
      </c>
      <c r="B21966" t="s">
        <v>13119</v>
      </c>
      <c r="C21966" t="s">
        <v>13120</v>
      </c>
      <c r="D21966" t="str">
        <f>"1746"</f>
        <v>1746</v>
      </c>
      <c r="E21966" t="s">
        <v>807</v>
      </c>
      <c r="F21966" t="s">
        <v>2</v>
      </c>
      <c r="G21966" t="s">
        <v>47097</v>
      </c>
      <c r="H21966" t="s">
        <v>47054</v>
      </c>
      <c r="I21966" t="s">
        <v>47111</v>
      </c>
      <c r="J21966" t="s">
        <v>47112</v>
      </c>
      <c r="K21966" t="s">
        <v>47113</v>
      </c>
      <c r="L21966">
        <v>13.71</v>
      </c>
      <c r="M21966">
        <v>37</v>
      </c>
      <c r="N21966">
        <v>0</v>
      </c>
      <c r="O21966">
        <v>37</v>
      </c>
      <c r="P21966">
        <v>0</v>
      </c>
    </row>
    <row r="21967" spans="1:16" x14ac:dyDescent="0.25">
      <c r="A21967" t="s">
        <v>44712</v>
      </c>
      <c r="B21967" t="s">
        <v>13119</v>
      </c>
      <c r="C21967" t="s">
        <v>13120</v>
      </c>
      <c r="D21967" t="str">
        <f>"3096"</f>
        <v>3096</v>
      </c>
      <c r="E21967" t="s">
        <v>13121</v>
      </c>
      <c r="F21967" t="s">
        <v>2</v>
      </c>
      <c r="G21967" t="s">
        <v>47097</v>
      </c>
      <c r="H21967" t="s">
        <v>47054</v>
      </c>
      <c r="I21967" t="s">
        <v>47111</v>
      </c>
      <c r="J21967" t="s">
        <v>47112</v>
      </c>
      <c r="K21967" t="s">
        <v>47113</v>
      </c>
      <c r="L21967">
        <v>17.079999999999998</v>
      </c>
      <c r="M21967">
        <v>45</v>
      </c>
      <c r="N21967">
        <v>0</v>
      </c>
      <c r="O21967">
        <v>45</v>
      </c>
      <c r="P21967">
        <v>0</v>
      </c>
    </row>
    <row r="21968" spans="1:16" x14ac:dyDescent="0.25">
      <c r="A21968" t="s">
        <v>44713</v>
      </c>
      <c r="B21968" t="s">
        <v>13119</v>
      </c>
      <c r="C21968" t="s">
        <v>13120</v>
      </c>
      <c r="D21968" t="str">
        <f>"6269"</f>
        <v>6269</v>
      </c>
      <c r="E21968" t="s">
        <v>13122</v>
      </c>
      <c r="F21968" t="s">
        <v>2</v>
      </c>
      <c r="G21968" t="s">
        <v>47097</v>
      </c>
      <c r="H21968" t="s">
        <v>47054</v>
      </c>
      <c r="I21968" t="s">
        <v>47111</v>
      </c>
      <c r="J21968" t="s">
        <v>47112</v>
      </c>
      <c r="K21968" t="s">
        <v>47113</v>
      </c>
      <c r="L21968">
        <v>17.079999999999998</v>
      </c>
      <c r="M21968">
        <v>45</v>
      </c>
      <c r="N21968">
        <v>0</v>
      </c>
      <c r="O21968">
        <v>45</v>
      </c>
      <c r="P21968">
        <v>0</v>
      </c>
    </row>
    <row r="21969" spans="1:16" x14ac:dyDescent="0.25">
      <c r="A21969" t="s">
        <v>44714</v>
      </c>
      <c r="B21969" t="s">
        <v>13119</v>
      </c>
      <c r="C21969" t="s">
        <v>13120</v>
      </c>
      <c r="D21969" t="str">
        <f>"7437"</f>
        <v>7437</v>
      </c>
      <c r="E21969" t="s">
        <v>13123</v>
      </c>
      <c r="F21969" t="s">
        <v>2</v>
      </c>
      <c r="G21969" t="s">
        <v>47097</v>
      </c>
      <c r="H21969" t="s">
        <v>47054</v>
      </c>
      <c r="I21969" t="s">
        <v>47111</v>
      </c>
      <c r="J21969" t="s">
        <v>47112</v>
      </c>
      <c r="K21969" t="s">
        <v>47113</v>
      </c>
      <c r="L21969">
        <v>17.079999999999998</v>
      </c>
      <c r="M21969">
        <v>45</v>
      </c>
      <c r="N21969">
        <v>0</v>
      </c>
      <c r="O21969">
        <v>45</v>
      </c>
      <c r="P21969">
        <v>0</v>
      </c>
    </row>
    <row r="21970" spans="1:16" x14ac:dyDescent="0.25">
      <c r="A21970" t="s">
        <v>44715</v>
      </c>
      <c r="B21970" t="s">
        <v>13119</v>
      </c>
      <c r="C21970" t="s">
        <v>13120</v>
      </c>
      <c r="D21970" t="str">
        <f>"8329"</f>
        <v>8329</v>
      </c>
      <c r="E21970" t="s">
        <v>13124</v>
      </c>
      <c r="F21970" t="s">
        <v>2</v>
      </c>
      <c r="G21970" t="s">
        <v>47097</v>
      </c>
      <c r="H21970" t="s">
        <v>47054</v>
      </c>
      <c r="I21970" t="s">
        <v>47111</v>
      </c>
      <c r="J21970" t="s">
        <v>47112</v>
      </c>
      <c r="K21970" t="s">
        <v>47113</v>
      </c>
      <c r="L21970">
        <v>17.079999999999998</v>
      </c>
      <c r="M21970">
        <v>45</v>
      </c>
      <c r="N21970">
        <v>0</v>
      </c>
      <c r="O21970">
        <v>45</v>
      </c>
      <c r="P21970">
        <v>0</v>
      </c>
    </row>
    <row r="21971" spans="1:16" x14ac:dyDescent="0.25">
      <c r="A21971" t="s">
        <v>44716</v>
      </c>
      <c r="B21971" t="s">
        <v>13125</v>
      </c>
      <c r="C21971" t="s">
        <v>13126</v>
      </c>
      <c r="D21971" t="str">
        <f>"9606"</f>
        <v>9606</v>
      </c>
      <c r="E21971" t="s">
        <v>13127</v>
      </c>
      <c r="F21971" t="s">
        <v>7</v>
      </c>
      <c r="G21971" t="s">
        <v>47091</v>
      </c>
      <c r="H21971" t="s">
        <v>47054</v>
      </c>
      <c r="I21971" t="s">
        <v>47111</v>
      </c>
      <c r="J21971" t="s">
        <v>47112</v>
      </c>
      <c r="K21971" t="s">
        <v>47113</v>
      </c>
      <c r="L21971">
        <v>12.79</v>
      </c>
      <c r="M21971">
        <v>34</v>
      </c>
      <c r="N21971">
        <v>0</v>
      </c>
      <c r="O21971">
        <v>34</v>
      </c>
      <c r="P21971">
        <v>0</v>
      </c>
    </row>
    <row r="21972" spans="1:16" x14ac:dyDescent="0.25">
      <c r="A21972" t="s">
        <v>44717</v>
      </c>
      <c r="B21972" t="s">
        <v>13128</v>
      </c>
      <c r="C21972" t="s">
        <v>13129</v>
      </c>
      <c r="D21972" t="str">
        <f>"1113"</f>
        <v>1113</v>
      </c>
      <c r="E21972" t="s">
        <v>6443</v>
      </c>
      <c r="F21972" t="s">
        <v>5</v>
      </c>
      <c r="G21972" t="s">
        <v>47091</v>
      </c>
      <c r="H21972" t="s">
        <v>47054</v>
      </c>
      <c r="I21972" t="s">
        <v>47111</v>
      </c>
      <c r="J21972" t="s">
        <v>47112</v>
      </c>
      <c r="K21972" t="s">
        <v>47113</v>
      </c>
      <c r="L21972">
        <v>12.76</v>
      </c>
      <c r="M21972">
        <v>27</v>
      </c>
      <c r="N21972">
        <v>0</v>
      </c>
      <c r="O21972">
        <v>27</v>
      </c>
      <c r="P21972">
        <v>0</v>
      </c>
    </row>
    <row r="21973" spans="1:16" x14ac:dyDescent="0.25">
      <c r="A21973" t="s">
        <v>44718</v>
      </c>
      <c r="B21973" t="s">
        <v>13128</v>
      </c>
      <c r="C21973" t="s">
        <v>13129</v>
      </c>
      <c r="D21973" t="str">
        <f>"3258"</f>
        <v>3258</v>
      </c>
      <c r="E21973" t="s">
        <v>13130</v>
      </c>
      <c r="F21973" t="s">
        <v>5</v>
      </c>
      <c r="G21973" t="s">
        <v>47091</v>
      </c>
      <c r="H21973" t="s">
        <v>47054</v>
      </c>
      <c r="I21973" t="s">
        <v>47111</v>
      </c>
      <c r="J21973" t="s">
        <v>47112</v>
      </c>
      <c r="K21973" t="s">
        <v>47113</v>
      </c>
      <c r="L21973">
        <v>12.76</v>
      </c>
      <c r="M21973">
        <v>27</v>
      </c>
      <c r="N21973">
        <v>0</v>
      </c>
      <c r="O21973">
        <v>27</v>
      </c>
      <c r="P21973">
        <v>0</v>
      </c>
    </row>
    <row r="21974" spans="1:16" x14ac:dyDescent="0.25">
      <c r="A21974" t="s">
        <v>44719</v>
      </c>
      <c r="B21974" t="s">
        <v>13128</v>
      </c>
      <c r="C21974" t="s">
        <v>13129</v>
      </c>
      <c r="D21974" t="str">
        <f>"5128"</f>
        <v>5128</v>
      </c>
      <c r="E21974" t="s">
        <v>13131</v>
      </c>
      <c r="F21974" t="s">
        <v>5</v>
      </c>
      <c r="G21974" t="s">
        <v>47091</v>
      </c>
      <c r="H21974" t="s">
        <v>47054</v>
      </c>
      <c r="I21974" t="s">
        <v>47111</v>
      </c>
      <c r="J21974" t="s">
        <v>47112</v>
      </c>
      <c r="K21974" t="s">
        <v>47113</v>
      </c>
      <c r="L21974">
        <v>12.76</v>
      </c>
      <c r="M21974">
        <v>27</v>
      </c>
      <c r="N21974">
        <v>0</v>
      </c>
      <c r="O21974">
        <v>27</v>
      </c>
      <c r="P21974">
        <v>0</v>
      </c>
    </row>
    <row r="21975" spans="1:16" x14ac:dyDescent="0.25">
      <c r="A21975" t="s">
        <v>44720</v>
      </c>
      <c r="B21975" t="s">
        <v>13128</v>
      </c>
      <c r="C21975" t="s">
        <v>13129</v>
      </c>
      <c r="D21975" t="str">
        <f>"8005"</f>
        <v>8005</v>
      </c>
      <c r="E21975" t="s">
        <v>13132</v>
      </c>
      <c r="F21975" t="s">
        <v>5</v>
      </c>
      <c r="G21975" t="s">
        <v>47091</v>
      </c>
      <c r="H21975" t="s">
        <v>47054</v>
      </c>
      <c r="I21975" t="s">
        <v>47111</v>
      </c>
      <c r="J21975" t="s">
        <v>47112</v>
      </c>
      <c r="K21975" t="s">
        <v>47113</v>
      </c>
      <c r="L21975">
        <v>12.76</v>
      </c>
      <c r="M21975">
        <v>27</v>
      </c>
      <c r="N21975">
        <v>0</v>
      </c>
      <c r="O21975">
        <v>27</v>
      </c>
      <c r="P21975">
        <v>0</v>
      </c>
    </row>
    <row r="21976" spans="1:16" x14ac:dyDescent="0.25">
      <c r="A21976" t="s">
        <v>44721</v>
      </c>
      <c r="B21976" t="s">
        <v>13133</v>
      </c>
      <c r="C21976" t="s">
        <v>13134</v>
      </c>
      <c r="D21976" t="str">
        <f>"1035"</f>
        <v>1035</v>
      </c>
      <c r="E21976" t="s">
        <v>758</v>
      </c>
      <c r="F21976" t="s">
        <v>7</v>
      </c>
      <c r="G21976" t="s">
        <v>47091</v>
      </c>
      <c r="H21976" t="s">
        <v>47054</v>
      </c>
      <c r="I21976" t="s">
        <v>47111</v>
      </c>
      <c r="J21976" t="s">
        <v>47112</v>
      </c>
      <c r="K21976" t="s">
        <v>47113</v>
      </c>
      <c r="L21976">
        <v>13.07</v>
      </c>
      <c r="M21976">
        <v>38</v>
      </c>
      <c r="N21976">
        <v>0</v>
      </c>
      <c r="O21976">
        <v>38</v>
      </c>
      <c r="P21976">
        <v>0</v>
      </c>
    </row>
    <row r="21977" spans="1:16" x14ac:dyDescent="0.25">
      <c r="A21977" t="s">
        <v>44722</v>
      </c>
      <c r="B21977" t="s">
        <v>13135</v>
      </c>
      <c r="C21977" t="s">
        <v>13136</v>
      </c>
      <c r="D21977" t="str">
        <f>"7320"</f>
        <v>7320</v>
      </c>
      <c r="E21977" t="s">
        <v>13137</v>
      </c>
      <c r="F21977" t="s">
        <v>7</v>
      </c>
      <c r="G21977" t="s">
        <v>47091</v>
      </c>
      <c r="H21977" t="s">
        <v>47054</v>
      </c>
      <c r="I21977" t="s">
        <v>47111</v>
      </c>
      <c r="J21977" t="s">
        <v>47112</v>
      </c>
      <c r="K21977" t="s">
        <v>47113</v>
      </c>
      <c r="L21977">
        <v>14.25</v>
      </c>
      <c r="M21977">
        <v>36</v>
      </c>
      <c r="N21977">
        <v>0</v>
      </c>
      <c r="O21977">
        <v>36</v>
      </c>
      <c r="P21977">
        <v>0</v>
      </c>
    </row>
    <row r="21978" spans="1:16" x14ac:dyDescent="0.25">
      <c r="A21978" t="s">
        <v>44723</v>
      </c>
      <c r="B21978" t="s">
        <v>13138</v>
      </c>
      <c r="C21978" t="s">
        <v>13139</v>
      </c>
      <c r="D21978" t="str">
        <f>"1746"</f>
        <v>1746</v>
      </c>
      <c r="E21978" t="s">
        <v>807</v>
      </c>
      <c r="F21978" t="s">
        <v>5</v>
      </c>
      <c r="G21978" t="s">
        <v>47094</v>
      </c>
      <c r="H21978" t="s">
        <v>47054</v>
      </c>
      <c r="I21978" t="s">
        <v>47111</v>
      </c>
      <c r="J21978" t="s">
        <v>47112</v>
      </c>
      <c r="K21978" t="s">
        <v>47113</v>
      </c>
      <c r="L21978">
        <v>22.11</v>
      </c>
      <c r="M21978">
        <v>42</v>
      </c>
      <c r="N21978">
        <v>0</v>
      </c>
      <c r="O21978">
        <v>42</v>
      </c>
      <c r="P21978">
        <v>0</v>
      </c>
    </row>
    <row r="21979" spans="1:16" x14ac:dyDescent="0.25">
      <c r="A21979" t="s">
        <v>44724</v>
      </c>
      <c r="B21979" t="s">
        <v>13138</v>
      </c>
      <c r="C21979" t="s">
        <v>13139</v>
      </c>
      <c r="D21979" t="str">
        <f>"6032"</f>
        <v>6032</v>
      </c>
      <c r="E21979" t="s">
        <v>2760</v>
      </c>
      <c r="F21979" t="s">
        <v>5</v>
      </c>
      <c r="G21979" t="s">
        <v>47094</v>
      </c>
      <c r="H21979" t="s">
        <v>47054</v>
      </c>
      <c r="I21979" t="s">
        <v>47111</v>
      </c>
      <c r="J21979" t="s">
        <v>47112</v>
      </c>
      <c r="K21979" t="s">
        <v>47113</v>
      </c>
      <c r="L21979">
        <v>22.11</v>
      </c>
      <c r="M21979">
        <v>42</v>
      </c>
      <c r="N21979">
        <v>0</v>
      </c>
      <c r="O21979">
        <v>42</v>
      </c>
      <c r="P21979">
        <v>0</v>
      </c>
    </row>
    <row r="21980" spans="1:16" x14ac:dyDescent="0.25">
      <c r="A21980" t="s">
        <v>44725</v>
      </c>
      <c r="B21980" t="s">
        <v>13140</v>
      </c>
      <c r="C21980" t="s">
        <v>13141</v>
      </c>
      <c r="D21980" t="str">
        <f>"1746"</f>
        <v>1746</v>
      </c>
      <c r="E21980" t="s">
        <v>807</v>
      </c>
      <c r="F21980" t="s">
        <v>5</v>
      </c>
      <c r="G21980" t="s">
        <v>47094</v>
      </c>
      <c r="H21980" t="s">
        <v>47054</v>
      </c>
      <c r="I21980" t="s">
        <v>47111</v>
      </c>
      <c r="J21980" t="s">
        <v>47112</v>
      </c>
      <c r="K21980" t="s">
        <v>47113</v>
      </c>
      <c r="L21980">
        <v>20.12</v>
      </c>
      <c r="M21980">
        <v>42</v>
      </c>
      <c r="N21980">
        <v>0</v>
      </c>
      <c r="O21980">
        <v>42</v>
      </c>
      <c r="P21980">
        <v>0</v>
      </c>
    </row>
    <row r="21981" spans="1:16" x14ac:dyDescent="0.25">
      <c r="A21981" t="s">
        <v>44726</v>
      </c>
      <c r="B21981" t="s">
        <v>13140</v>
      </c>
      <c r="C21981" t="s">
        <v>13141</v>
      </c>
      <c r="D21981" t="str">
        <f>"4328"</f>
        <v>4328</v>
      </c>
      <c r="E21981" t="s">
        <v>6483</v>
      </c>
      <c r="F21981" t="s">
        <v>5</v>
      </c>
      <c r="G21981" t="s">
        <v>47094</v>
      </c>
      <c r="H21981" t="s">
        <v>47054</v>
      </c>
      <c r="I21981" t="s">
        <v>47111</v>
      </c>
      <c r="J21981" t="s">
        <v>47112</v>
      </c>
      <c r="K21981" t="s">
        <v>47113</v>
      </c>
      <c r="L21981">
        <v>20.12</v>
      </c>
      <c r="M21981">
        <v>42</v>
      </c>
      <c r="N21981">
        <v>0</v>
      </c>
      <c r="O21981">
        <v>42</v>
      </c>
      <c r="P21981">
        <v>0</v>
      </c>
    </row>
    <row r="21982" spans="1:16" x14ac:dyDescent="0.25">
      <c r="A21982" t="s">
        <v>44727</v>
      </c>
      <c r="B21982" t="s">
        <v>13142</v>
      </c>
      <c r="C21982" t="s">
        <v>13143</v>
      </c>
      <c r="D21982" t="str">
        <f>"1209"</f>
        <v>1209</v>
      </c>
      <c r="E21982" t="s">
        <v>2582</v>
      </c>
      <c r="F21982" t="s">
        <v>5</v>
      </c>
      <c r="G21982" t="s">
        <v>47094</v>
      </c>
      <c r="H21982" t="s">
        <v>47054</v>
      </c>
      <c r="I21982" t="s">
        <v>47111</v>
      </c>
      <c r="J21982" t="s">
        <v>47112</v>
      </c>
      <c r="K21982" t="s">
        <v>47113</v>
      </c>
      <c r="L21982">
        <v>20.99</v>
      </c>
      <c r="M21982">
        <v>42</v>
      </c>
      <c r="N21982">
        <v>0</v>
      </c>
      <c r="O21982">
        <v>42</v>
      </c>
      <c r="P21982">
        <v>0</v>
      </c>
    </row>
    <row r="21983" spans="1:16" x14ac:dyDescent="0.25">
      <c r="A21983" t="s">
        <v>44728</v>
      </c>
      <c r="B21983" t="s">
        <v>13142</v>
      </c>
      <c r="C21983" t="s">
        <v>13143</v>
      </c>
      <c r="D21983" t="str">
        <f>"1746"</f>
        <v>1746</v>
      </c>
      <c r="E21983" t="s">
        <v>807</v>
      </c>
      <c r="F21983" t="s">
        <v>5</v>
      </c>
      <c r="G21983" t="s">
        <v>47094</v>
      </c>
      <c r="H21983" t="s">
        <v>47054</v>
      </c>
      <c r="I21983" t="s">
        <v>47111</v>
      </c>
      <c r="J21983" t="s">
        <v>47112</v>
      </c>
      <c r="K21983" t="s">
        <v>47113</v>
      </c>
      <c r="L21983">
        <v>20.99</v>
      </c>
      <c r="M21983">
        <v>42</v>
      </c>
      <c r="N21983">
        <v>0</v>
      </c>
      <c r="O21983">
        <v>42</v>
      </c>
      <c r="P21983">
        <v>0</v>
      </c>
    </row>
    <row r="21984" spans="1:16" x14ac:dyDescent="0.25">
      <c r="A21984" t="s">
        <v>44729</v>
      </c>
      <c r="B21984" t="s">
        <v>13144</v>
      </c>
      <c r="C21984" t="s">
        <v>13145</v>
      </c>
      <c r="D21984" t="str">
        <f>"6031"</f>
        <v>6031</v>
      </c>
      <c r="E21984" t="s">
        <v>3264</v>
      </c>
      <c r="F21984" t="s">
        <v>7</v>
      </c>
      <c r="G21984" t="s">
        <v>47094</v>
      </c>
      <c r="H21984" t="s">
        <v>47054</v>
      </c>
      <c r="I21984" t="s">
        <v>47111</v>
      </c>
      <c r="J21984" t="s">
        <v>47112</v>
      </c>
      <c r="K21984" t="s">
        <v>47113</v>
      </c>
      <c r="L21984">
        <v>14.25</v>
      </c>
      <c r="M21984">
        <v>57</v>
      </c>
      <c r="N21984">
        <v>0</v>
      </c>
      <c r="O21984">
        <v>57</v>
      </c>
      <c r="P21984">
        <v>0</v>
      </c>
    </row>
    <row r="21985" spans="1:16" x14ac:dyDescent="0.25">
      <c r="A21985" t="s">
        <v>44730</v>
      </c>
      <c r="B21985" t="s">
        <v>1133</v>
      </c>
      <c r="C21985" t="s">
        <v>1134</v>
      </c>
      <c r="D21985" t="str">
        <f>"11"</f>
        <v>11</v>
      </c>
      <c r="E21985" t="s">
        <v>288</v>
      </c>
      <c r="F21985" t="s">
        <v>7</v>
      </c>
      <c r="G21985" t="s">
        <v>47093</v>
      </c>
      <c r="H21985" t="s">
        <v>47054</v>
      </c>
      <c r="I21985" t="s">
        <v>47111</v>
      </c>
      <c r="J21985" t="s">
        <v>47112</v>
      </c>
      <c r="K21985" t="s">
        <v>47113</v>
      </c>
      <c r="L21985">
        <v>35.75</v>
      </c>
      <c r="M21985">
        <v>76</v>
      </c>
      <c r="N21985">
        <v>0</v>
      </c>
      <c r="O21985">
        <v>76</v>
      </c>
      <c r="P21985">
        <v>0</v>
      </c>
    </row>
    <row r="21986" spans="1:16" x14ac:dyDescent="0.25">
      <c r="A21986" t="s">
        <v>44731</v>
      </c>
      <c r="B21986" t="s">
        <v>1133</v>
      </c>
      <c r="C21986" t="s">
        <v>1134</v>
      </c>
      <c r="D21986" t="s">
        <v>311</v>
      </c>
      <c r="E21986" t="s">
        <v>312</v>
      </c>
      <c r="F21986" t="s">
        <v>7</v>
      </c>
      <c r="G21986" t="s">
        <v>47093</v>
      </c>
      <c r="H21986" t="s">
        <v>47054</v>
      </c>
      <c r="I21986" t="s">
        <v>47111</v>
      </c>
      <c r="J21986" t="s">
        <v>47112</v>
      </c>
      <c r="K21986" t="s">
        <v>47113</v>
      </c>
      <c r="L21986">
        <v>35.9</v>
      </c>
      <c r="M21986">
        <v>76</v>
      </c>
      <c r="N21986">
        <v>0</v>
      </c>
      <c r="O21986">
        <v>76</v>
      </c>
      <c r="P21986">
        <v>0</v>
      </c>
    </row>
    <row r="21987" spans="1:16" x14ac:dyDescent="0.25">
      <c r="A21987" t="s">
        <v>44732</v>
      </c>
      <c r="B21987" t="s">
        <v>13146</v>
      </c>
      <c r="C21987" t="s">
        <v>13147</v>
      </c>
      <c r="D21987" t="str">
        <f>"11"</f>
        <v>11</v>
      </c>
      <c r="E21987" t="s">
        <v>288</v>
      </c>
      <c r="F21987" t="s">
        <v>7</v>
      </c>
      <c r="G21987" t="s">
        <v>47093</v>
      </c>
      <c r="H21987" t="s">
        <v>47054</v>
      </c>
      <c r="I21987" t="s">
        <v>47111</v>
      </c>
      <c r="J21987" t="s">
        <v>47112</v>
      </c>
      <c r="K21987" t="s">
        <v>47113</v>
      </c>
      <c r="L21987">
        <v>36.119999999999997</v>
      </c>
      <c r="M21987">
        <v>76</v>
      </c>
      <c r="N21987">
        <v>0</v>
      </c>
      <c r="O21987">
        <v>76</v>
      </c>
      <c r="P21987">
        <v>0</v>
      </c>
    </row>
    <row r="21988" spans="1:16" x14ac:dyDescent="0.25">
      <c r="A21988" t="s">
        <v>44733</v>
      </c>
      <c r="B21988" t="s">
        <v>13146</v>
      </c>
      <c r="C21988" t="s">
        <v>13147</v>
      </c>
      <c r="D21988" t="s">
        <v>311</v>
      </c>
      <c r="E21988" t="s">
        <v>312</v>
      </c>
      <c r="F21988" t="s">
        <v>7</v>
      </c>
      <c r="G21988" t="s">
        <v>47093</v>
      </c>
      <c r="H21988" t="s">
        <v>47054</v>
      </c>
      <c r="I21988" t="s">
        <v>47111</v>
      </c>
      <c r="J21988" t="s">
        <v>47112</v>
      </c>
      <c r="K21988" t="s">
        <v>47113</v>
      </c>
      <c r="L21988">
        <v>34.57</v>
      </c>
      <c r="M21988">
        <v>76</v>
      </c>
      <c r="N21988">
        <v>0</v>
      </c>
      <c r="O21988">
        <v>76</v>
      </c>
      <c r="P21988">
        <v>0</v>
      </c>
    </row>
    <row r="21989" spans="1:16" x14ac:dyDescent="0.25">
      <c r="A21989" t="s">
        <v>44734</v>
      </c>
      <c r="B21989" t="s">
        <v>13148</v>
      </c>
      <c r="C21989" t="s">
        <v>13149</v>
      </c>
      <c r="D21989" t="str">
        <f>"11"</f>
        <v>11</v>
      </c>
      <c r="E21989" t="s">
        <v>288</v>
      </c>
      <c r="F21989" t="s">
        <v>7</v>
      </c>
      <c r="G21989" t="s">
        <v>47093</v>
      </c>
      <c r="H21989" t="s">
        <v>47054</v>
      </c>
      <c r="I21989" t="s">
        <v>47111</v>
      </c>
      <c r="J21989" t="s">
        <v>47112</v>
      </c>
      <c r="K21989" t="s">
        <v>47113</v>
      </c>
      <c r="L21989">
        <v>39.6</v>
      </c>
      <c r="M21989">
        <v>77</v>
      </c>
      <c r="N21989">
        <v>0</v>
      </c>
      <c r="O21989">
        <v>77</v>
      </c>
      <c r="P21989">
        <v>0</v>
      </c>
    </row>
    <row r="21990" spans="1:16" x14ac:dyDescent="0.25">
      <c r="A21990" t="s">
        <v>44735</v>
      </c>
      <c r="B21990" t="s">
        <v>13150</v>
      </c>
      <c r="C21990" t="s">
        <v>13151</v>
      </c>
      <c r="D21990" t="str">
        <f>"1822"</f>
        <v>1822</v>
      </c>
      <c r="E21990" t="s">
        <v>13152</v>
      </c>
      <c r="F21990" t="s">
        <v>3670</v>
      </c>
      <c r="G21990" t="s">
        <v>47092</v>
      </c>
      <c r="H21990" t="s">
        <v>47054</v>
      </c>
      <c r="I21990" t="s">
        <v>47111</v>
      </c>
      <c r="J21990" t="s">
        <v>47112</v>
      </c>
      <c r="K21990" t="s">
        <v>47113</v>
      </c>
      <c r="L21990">
        <v>13.11</v>
      </c>
      <c r="M21990">
        <v>26</v>
      </c>
      <c r="N21990">
        <v>0</v>
      </c>
      <c r="O21990">
        <v>26</v>
      </c>
      <c r="P21990">
        <v>0</v>
      </c>
    </row>
    <row r="21991" spans="1:16" x14ac:dyDescent="0.25">
      <c r="A21991" t="s">
        <v>44736</v>
      </c>
      <c r="B21991" t="s">
        <v>13153</v>
      </c>
      <c r="C21991" t="s">
        <v>13154</v>
      </c>
      <c r="D21991" t="str">
        <f>"4080"</f>
        <v>4080</v>
      </c>
      <c r="E21991" t="s">
        <v>13155</v>
      </c>
      <c r="F21991" t="s">
        <v>3670</v>
      </c>
      <c r="G21991" t="s">
        <v>47101</v>
      </c>
      <c r="H21991" t="s">
        <v>47054</v>
      </c>
      <c r="I21991" t="s">
        <v>47111</v>
      </c>
      <c r="J21991" t="s">
        <v>47112</v>
      </c>
      <c r="K21991" t="s">
        <v>47113</v>
      </c>
      <c r="L21991">
        <v>18.71</v>
      </c>
      <c r="M21991">
        <v>40</v>
      </c>
      <c r="N21991">
        <v>0</v>
      </c>
      <c r="O21991">
        <v>40</v>
      </c>
      <c r="P21991">
        <v>0</v>
      </c>
    </row>
    <row r="21992" spans="1:16" x14ac:dyDescent="0.25">
      <c r="A21992" t="s">
        <v>44737</v>
      </c>
      <c r="B21992" t="s">
        <v>22142</v>
      </c>
      <c r="C21992" t="s">
        <v>18578</v>
      </c>
      <c r="D21992" t="s">
        <v>21824</v>
      </c>
      <c r="E21992" t="s">
        <v>21825</v>
      </c>
      <c r="F21992" t="s">
        <v>17351</v>
      </c>
      <c r="G21992" t="s">
        <v>49029</v>
      </c>
      <c r="H21992" t="s">
        <v>47054</v>
      </c>
      <c r="I21992" t="s">
        <v>47116</v>
      </c>
      <c r="J21992" t="s">
        <v>47117</v>
      </c>
      <c r="K21992" t="s">
        <v>47113</v>
      </c>
      <c r="L21992">
        <v>75.08</v>
      </c>
      <c r="M21992">
        <v>111</v>
      </c>
      <c r="N21992">
        <v>0</v>
      </c>
      <c r="O21992">
        <v>111</v>
      </c>
      <c r="P21992">
        <v>0</v>
      </c>
    </row>
    <row r="21993" spans="1:16" x14ac:dyDescent="0.25">
      <c r="A21993" t="s">
        <v>1135</v>
      </c>
      <c r="B21993" t="s">
        <v>1136</v>
      </c>
      <c r="C21993" t="s">
        <v>1137</v>
      </c>
      <c r="D21993" t="str">
        <f>"1001"</f>
        <v>1001</v>
      </c>
      <c r="E21993" t="s">
        <v>42</v>
      </c>
      <c r="F21993" t="s">
        <v>52</v>
      </c>
      <c r="G21993" t="s">
        <v>47102</v>
      </c>
      <c r="H21993" t="s">
        <v>47054</v>
      </c>
      <c r="I21993" t="s">
        <v>47120</v>
      </c>
      <c r="J21993" t="s">
        <v>47121</v>
      </c>
      <c r="K21993" t="s">
        <v>47113</v>
      </c>
      <c r="L21993">
        <v>105.14</v>
      </c>
      <c r="M21993">
        <v>232</v>
      </c>
      <c r="N21993">
        <v>0</v>
      </c>
      <c r="O21993">
        <v>232</v>
      </c>
      <c r="P21993">
        <v>0</v>
      </c>
    </row>
    <row r="21994" spans="1:16" x14ac:dyDescent="0.25">
      <c r="A21994" t="s">
        <v>44738</v>
      </c>
      <c r="B21994" t="s">
        <v>13156</v>
      </c>
      <c r="C21994" t="s">
        <v>13157</v>
      </c>
      <c r="D21994" t="str">
        <f>"4486"</f>
        <v>4486</v>
      </c>
      <c r="E21994" t="s">
        <v>13158</v>
      </c>
      <c r="F21994" t="s">
        <v>2</v>
      </c>
      <c r="G21994" t="s">
        <v>47095</v>
      </c>
      <c r="H21994" t="s">
        <v>47054</v>
      </c>
      <c r="I21994" t="s">
        <v>47111</v>
      </c>
      <c r="J21994" t="s">
        <v>47112</v>
      </c>
      <c r="K21994" t="s">
        <v>47113</v>
      </c>
      <c r="L21994">
        <v>22.08</v>
      </c>
      <c r="M21994">
        <v>58</v>
      </c>
      <c r="N21994">
        <v>0</v>
      </c>
      <c r="O21994">
        <v>58</v>
      </c>
      <c r="P21994">
        <v>0</v>
      </c>
    </row>
    <row r="21995" spans="1:16" x14ac:dyDescent="0.25">
      <c r="A21995" t="s">
        <v>44739</v>
      </c>
      <c r="B21995" t="s">
        <v>13156</v>
      </c>
      <c r="C21995" t="s">
        <v>13157</v>
      </c>
      <c r="D21995" t="str">
        <f>"5011"</f>
        <v>5011</v>
      </c>
      <c r="E21995" t="s">
        <v>810</v>
      </c>
      <c r="F21995" t="s">
        <v>2</v>
      </c>
      <c r="G21995" t="s">
        <v>47095</v>
      </c>
      <c r="H21995" t="s">
        <v>47054</v>
      </c>
      <c r="I21995" t="s">
        <v>47111</v>
      </c>
      <c r="J21995" t="s">
        <v>47112</v>
      </c>
      <c r="K21995" t="s">
        <v>47113</v>
      </c>
      <c r="L21995">
        <v>22.08</v>
      </c>
      <c r="M21995">
        <v>58</v>
      </c>
      <c r="N21995">
        <v>0</v>
      </c>
      <c r="O21995">
        <v>58</v>
      </c>
      <c r="P21995">
        <v>0</v>
      </c>
    </row>
    <row r="21996" spans="1:16" x14ac:dyDescent="0.25">
      <c r="A21996" t="s">
        <v>44740</v>
      </c>
      <c r="B21996" t="s">
        <v>13156</v>
      </c>
      <c r="C21996" t="s">
        <v>13157</v>
      </c>
      <c r="D21996" t="str">
        <f>"6814"</f>
        <v>6814</v>
      </c>
      <c r="E21996" t="s">
        <v>1146</v>
      </c>
      <c r="F21996" t="s">
        <v>2</v>
      </c>
      <c r="G21996" t="s">
        <v>47095</v>
      </c>
      <c r="H21996" t="s">
        <v>47054</v>
      </c>
      <c r="I21996" t="s">
        <v>47111</v>
      </c>
      <c r="J21996" t="s">
        <v>47112</v>
      </c>
      <c r="K21996" t="s">
        <v>47113</v>
      </c>
      <c r="L21996">
        <v>22.08</v>
      </c>
      <c r="M21996">
        <v>58</v>
      </c>
      <c r="N21996">
        <v>0</v>
      </c>
      <c r="O21996">
        <v>58</v>
      </c>
      <c r="P21996">
        <v>0</v>
      </c>
    </row>
    <row r="21997" spans="1:16" x14ac:dyDescent="0.25">
      <c r="A21997" t="s">
        <v>44741</v>
      </c>
      <c r="B21997" t="s">
        <v>13156</v>
      </c>
      <c r="C21997" t="s">
        <v>13157</v>
      </c>
      <c r="D21997" t="str">
        <f>"8030"</f>
        <v>8030</v>
      </c>
      <c r="E21997" t="s">
        <v>1150</v>
      </c>
      <c r="F21997" t="s">
        <v>2</v>
      </c>
      <c r="G21997" t="s">
        <v>47095</v>
      </c>
      <c r="H21997" t="s">
        <v>47054</v>
      </c>
      <c r="I21997" t="s">
        <v>47111</v>
      </c>
      <c r="J21997" t="s">
        <v>47112</v>
      </c>
      <c r="K21997" t="s">
        <v>47113</v>
      </c>
      <c r="L21997">
        <v>22.08</v>
      </c>
      <c r="M21997">
        <v>58</v>
      </c>
      <c r="N21997">
        <v>0</v>
      </c>
      <c r="O21997">
        <v>58</v>
      </c>
      <c r="P21997">
        <v>0</v>
      </c>
    </row>
    <row r="21998" spans="1:16" x14ac:dyDescent="0.25">
      <c r="A21998" t="s">
        <v>44742</v>
      </c>
      <c r="B21998" t="s">
        <v>13159</v>
      </c>
      <c r="C21998" t="s">
        <v>13160</v>
      </c>
      <c r="D21998" t="str">
        <f>"4486"</f>
        <v>4486</v>
      </c>
      <c r="E21998" t="s">
        <v>13158</v>
      </c>
      <c r="F21998" t="s">
        <v>2</v>
      </c>
      <c r="G21998" t="s">
        <v>47095</v>
      </c>
      <c r="H21998" t="s">
        <v>47054</v>
      </c>
      <c r="I21998" t="s">
        <v>47111</v>
      </c>
      <c r="J21998" t="s">
        <v>47112</v>
      </c>
      <c r="K21998" t="s">
        <v>47113</v>
      </c>
      <c r="L21998">
        <v>23.45</v>
      </c>
      <c r="M21998">
        <v>62</v>
      </c>
      <c r="N21998">
        <v>0</v>
      </c>
      <c r="O21998">
        <v>62</v>
      </c>
      <c r="P21998">
        <v>0</v>
      </c>
    </row>
    <row r="21999" spans="1:16" x14ac:dyDescent="0.25">
      <c r="A21999" t="s">
        <v>44743</v>
      </c>
      <c r="B21999" t="s">
        <v>13159</v>
      </c>
      <c r="C21999" t="s">
        <v>13160</v>
      </c>
      <c r="D21999" t="str">
        <f>"5011"</f>
        <v>5011</v>
      </c>
      <c r="E21999" t="s">
        <v>810</v>
      </c>
      <c r="F21999" t="s">
        <v>2</v>
      </c>
      <c r="G21999" t="s">
        <v>47095</v>
      </c>
      <c r="H21999" t="s">
        <v>47054</v>
      </c>
      <c r="I21999" t="s">
        <v>47111</v>
      </c>
      <c r="J21999" t="s">
        <v>47112</v>
      </c>
      <c r="K21999" t="s">
        <v>47113</v>
      </c>
      <c r="L21999">
        <v>23.45</v>
      </c>
      <c r="M21999">
        <v>62</v>
      </c>
      <c r="N21999">
        <v>0</v>
      </c>
      <c r="O21999">
        <v>62</v>
      </c>
      <c r="P21999">
        <v>0</v>
      </c>
    </row>
    <row r="22000" spans="1:16" x14ac:dyDescent="0.25">
      <c r="A22000" t="s">
        <v>44744</v>
      </c>
      <c r="B22000" t="s">
        <v>13159</v>
      </c>
      <c r="C22000" t="s">
        <v>13160</v>
      </c>
      <c r="D22000" t="str">
        <f>"6814"</f>
        <v>6814</v>
      </c>
      <c r="E22000" t="s">
        <v>1146</v>
      </c>
      <c r="F22000" t="s">
        <v>2</v>
      </c>
      <c r="G22000" t="s">
        <v>47095</v>
      </c>
      <c r="H22000" t="s">
        <v>47054</v>
      </c>
      <c r="I22000" t="s">
        <v>47111</v>
      </c>
      <c r="J22000" t="s">
        <v>47112</v>
      </c>
      <c r="K22000" t="s">
        <v>47113</v>
      </c>
      <c r="L22000">
        <v>23.45</v>
      </c>
      <c r="M22000">
        <v>62</v>
      </c>
      <c r="N22000">
        <v>0</v>
      </c>
      <c r="O22000">
        <v>62</v>
      </c>
      <c r="P22000">
        <v>0</v>
      </c>
    </row>
    <row r="22001" spans="1:16" x14ac:dyDescent="0.25">
      <c r="A22001" t="s">
        <v>44745</v>
      </c>
      <c r="B22001" t="s">
        <v>13159</v>
      </c>
      <c r="C22001" t="s">
        <v>13160</v>
      </c>
      <c r="D22001" t="str">
        <f>"8030"</f>
        <v>8030</v>
      </c>
      <c r="E22001" t="s">
        <v>1150</v>
      </c>
      <c r="F22001" t="s">
        <v>2</v>
      </c>
      <c r="G22001" t="s">
        <v>47095</v>
      </c>
      <c r="H22001" t="s">
        <v>47054</v>
      </c>
      <c r="I22001" t="s">
        <v>47111</v>
      </c>
      <c r="J22001" t="s">
        <v>47112</v>
      </c>
      <c r="K22001" t="s">
        <v>47113</v>
      </c>
      <c r="L22001">
        <v>23.45</v>
      </c>
      <c r="M22001">
        <v>62</v>
      </c>
      <c r="N22001">
        <v>0</v>
      </c>
      <c r="O22001">
        <v>62</v>
      </c>
      <c r="P22001">
        <v>0</v>
      </c>
    </row>
    <row r="22002" spans="1:16" x14ac:dyDescent="0.25">
      <c r="A22002" t="s">
        <v>44746</v>
      </c>
      <c r="B22002" t="s">
        <v>13161</v>
      </c>
      <c r="C22002" t="s">
        <v>13162</v>
      </c>
      <c r="D22002" t="str">
        <f>"4486"</f>
        <v>4486</v>
      </c>
      <c r="E22002" t="s">
        <v>13158</v>
      </c>
      <c r="F22002" t="s">
        <v>2</v>
      </c>
      <c r="G22002" t="s">
        <v>47094</v>
      </c>
      <c r="H22002" t="s">
        <v>47054</v>
      </c>
      <c r="I22002" t="s">
        <v>47111</v>
      </c>
      <c r="J22002" t="s">
        <v>47112</v>
      </c>
      <c r="K22002" t="s">
        <v>47113</v>
      </c>
      <c r="L22002">
        <v>28.87</v>
      </c>
      <c r="M22002">
        <v>74</v>
      </c>
      <c r="N22002">
        <v>0</v>
      </c>
      <c r="O22002">
        <v>74</v>
      </c>
      <c r="P22002">
        <v>0</v>
      </c>
    </row>
    <row r="22003" spans="1:16" x14ac:dyDescent="0.25">
      <c r="A22003" t="s">
        <v>44747</v>
      </c>
      <c r="B22003" t="s">
        <v>13161</v>
      </c>
      <c r="C22003" t="s">
        <v>13162</v>
      </c>
      <c r="D22003" t="str">
        <f>"5011"</f>
        <v>5011</v>
      </c>
      <c r="E22003" t="s">
        <v>810</v>
      </c>
      <c r="F22003" t="s">
        <v>2</v>
      </c>
      <c r="G22003" t="s">
        <v>47094</v>
      </c>
      <c r="H22003" t="s">
        <v>47054</v>
      </c>
      <c r="I22003" t="s">
        <v>47111</v>
      </c>
      <c r="J22003" t="s">
        <v>47112</v>
      </c>
      <c r="K22003" t="s">
        <v>47113</v>
      </c>
      <c r="L22003">
        <v>28.87</v>
      </c>
      <c r="M22003">
        <v>74</v>
      </c>
      <c r="N22003">
        <v>0</v>
      </c>
      <c r="O22003">
        <v>74</v>
      </c>
      <c r="P22003">
        <v>0</v>
      </c>
    </row>
    <row r="22004" spans="1:16" x14ac:dyDescent="0.25">
      <c r="A22004" t="s">
        <v>44748</v>
      </c>
      <c r="B22004" t="s">
        <v>13161</v>
      </c>
      <c r="C22004" t="s">
        <v>13162</v>
      </c>
      <c r="D22004" t="str">
        <f>"6814"</f>
        <v>6814</v>
      </c>
      <c r="E22004" t="s">
        <v>1146</v>
      </c>
      <c r="F22004" t="s">
        <v>2</v>
      </c>
      <c r="G22004" t="s">
        <v>47094</v>
      </c>
      <c r="H22004" t="s">
        <v>47054</v>
      </c>
      <c r="I22004" t="s">
        <v>47111</v>
      </c>
      <c r="J22004" t="s">
        <v>47112</v>
      </c>
      <c r="K22004" t="s">
        <v>47113</v>
      </c>
      <c r="L22004">
        <v>28.87</v>
      </c>
      <c r="M22004">
        <v>74</v>
      </c>
      <c r="N22004">
        <v>0</v>
      </c>
      <c r="O22004">
        <v>74</v>
      </c>
      <c r="P22004">
        <v>0</v>
      </c>
    </row>
    <row r="22005" spans="1:16" x14ac:dyDescent="0.25">
      <c r="A22005" t="s">
        <v>44749</v>
      </c>
      <c r="B22005" t="s">
        <v>13161</v>
      </c>
      <c r="C22005" t="s">
        <v>13162</v>
      </c>
      <c r="D22005" t="str">
        <f>"8030"</f>
        <v>8030</v>
      </c>
      <c r="E22005" t="s">
        <v>1150</v>
      </c>
      <c r="F22005" t="s">
        <v>2</v>
      </c>
      <c r="G22005" t="s">
        <v>47094</v>
      </c>
      <c r="H22005" t="s">
        <v>47054</v>
      </c>
      <c r="I22005" t="s">
        <v>47111</v>
      </c>
      <c r="J22005" t="s">
        <v>47112</v>
      </c>
      <c r="K22005" t="s">
        <v>47113</v>
      </c>
      <c r="L22005">
        <v>28.87</v>
      </c>
      <c r="M22005">
        <v>74</v>
      </c>
      <c r="N22005">
        <v>0</v>
      </c>
      <c r="O22005">
        <v>74</v>
      </c>
      <c r="P22005">
        <v>0</v>
      </c>
    </row>
    <row r="22006" spans="1:16" x14ac:dyDescent="0.25">
      <c r="A22006" t="s">
        <v>1138</v>
      </c>
      <c r="B22006" t="s">
        <v>1139</v>
      </c>
      <c r="C22006" t="s">
        <v>1140</v>
      </c>
      <c r="D22006" t="str">
        <f>"2000"</f>
        <v>2000</v>
      </c>
      <c r="E22006" t="s">
        <v>248</v>
      </c>
      <c r="F22006" t="s">
        <v>7</v>
      </c>
      <c r="G22006" t="s">
        <v>47098</v>
      </c>
      <c r="H22006" t="s">
        <v>47054</v>
      </c>
      <c r="I22006" t="s">
        <v>47118</v>
      </c>
      <c r="J22006" t="s">
        <v>47119</v>
      </c>
      <c r="K22006" t="s">
        <v>47113</v>
      </c>
      <c r="L22006">
        <v>149.26</v>
      </c>
      <c r="M22006">
        <v>393</v>
      </c>
      <c r="N22006">
        <v>0</v>
      </c>
      <c r="O22006">
        <v>393</v>
      </c>
      <c r="P22006">
        <v>0</v>
      </c>
    </row>
    <row r="22007" spans="1:16" x14ac:dyDescent="0.25">
      <c r="A22007" t="s">
        <v>44750</v>
      </c>
      <c r="B22007" t="s">
        <v>13163</v>
      </c>
      <c r="C22007" t="s">
        <v>10050</v>
      </c>
      <c r="D22007" t="str">
        <f>"1254"</f>
        <v>1254</v>
      </c>
      <c r="E22007" t="s">
        <v>6117</v>
      </c>
      <c r="F22007" t="s">
        <v>3558</v>
      </c>
      <c r="G22007" t="s">
        <v>47092</v>
      </c>
      <c r="I22007" t="s">
        <v>47111</v>
      </c>
      <c r="J22007" t="s">
        <v>47112</v>
      </c>
      <c r="K22007" t="s">
        <v>47113</v>
      </c>
      <c r="L22007">
        <v>17.600000000000001</v>
      </c>
      <c r="M22007">
        <v>29</v>
      </c>
      <c r="N22007">
        <v>0</v>
      </c>
      <c r="O22007">
        <v>29</v>
      </c>
      <c r="P22007">
        <v>0</v>
      </c>
    </row>
    <row r="22008" spans="1:16" x14ac:dyDescent="0.25">
      <c r="A22008" t="s">
        <v>44751</v>
      </c>
      <c r="B22008" t="s">
        <v>13163</v>
      </c>
      <c r="C22008" t="s">
        <v>10050</v>
      </c>
      <c r="D22008" t="str">
        <f>"1700"</f>
        <v>1700</v>
      </c>
      <c r="E22008" t="s">
        <v>60</v>
      </c>
      <c r="F22008" t="s">
        <v>3558</v>
      </c>
      <c r="G22008" t="s">
        <v>47092</v>
      </c>
      <c r="I22008" t="s">
        <v>47111</v>
      </c>
      <c r="J22008" t="s">
        <v>47112</v>
      </c>
      <c r="K22008" t="s">
        <v>47113</v>
      </c>
      <c r="L22008">
        <v>17.600000000000001</v>
      </c>
      <c r="M22008">
        <v>29</v>
      </c>
      <c r="N22008">
        <v>0</v>
      </c>
      <c r="O22008">
        <v>29</v>
      </c>
      <c r="P22008">
        <v>0</v>
      </c>
    </row>
    <row r="22009" spans="1:16" x14ac:dyDescent="0.25">
      <c r="A22009" t="s">
        <v>44752</v>
      </c>
      <c r="B22009" t="s">
        <v>13163</v>
      </c>
      <c r="C22009" t="s">
        <v>10050</v>
      </c>
      <c r="D22009" t="str">
        <f>"3554"</f>
        <v>3554</v>
      </c>
      <c r="E22009" t="s">
        <v>12486</v>
      </c>
      <c r="F22009" t="s">
        <v>3670</v>
      </c>
      <c r="G22009" t="s">
        <v>47092</v>
      </c>
      <c r="I22009" t="s">
        <v>47111</v>
      </c>
      <c r="J22009" t="s">
        <v>47112</v>
      </c>
      <c r="K22009" t="s">
        <v>47113</v>
      </c>
      <c r="L22009">
        <v>27.47</v>
      </c>
      <c r="M22009">
        <v>37</v>
      </c>
      <c r="N22009">
        <v>0</v>
      </c>
      <c r="O22009">
        <v>37</v>
      </c>
      <c r="P22009">
        <v>0</v>
      </c>
    </row>
    <row r="22010" spans="1:16" x14ac:dyDescent="0.25">
      <c r="A22010" t="s">
        <v>44753</v>
      </c>
      <c r="B22010" t="s">
        <v>13163</v>
      </c>
      <c r="C22010" t="s">
        <v>10050</v>
      </c>
      <c r="D22010" t="str">
        <f>"6123"</f>
        <v>6123</v>
      </c>
      <c r="E22010" t="s">
        <v>12512</v>
      </c>
      <c r="F22010" t="s">
        <v>3670</v>
      </c>
      <c r="G22010" t="s">
        <v>47092</v>
      </c>
      <c r="I22010" t="s">
        <v>47111</v>
      </c>
      <c r="J22010" t="s">
        <v>47112</v>
      </c>
      <c r="K22010" t="s">
        <v>47113</v>
      </c>
      <c r="L22010">
        <v>27.47</v>
      </c>
      <c r="M22010">
        <v>37</v>
      </c>
      <c r="N22010">
        <v>0</v>
      </c>
      <c r="O22010">
        <v>37</v>
      </c>
      <c r="P22010">
        <v>0</v>
      </c>
    </row>
    <row r="22011" spans="1:16" x14ac:dyDescent="0.25">
      <c r="A22011" t="s">
        <v>44754</v>
      </c>
      <c r="B22011" t="s">
        <v>13164</v>
      </c>
      <c r="C22011" t="s">
        <v>13165</v>
      </c>
      <c r="D22011" t="str">
        <f>"1702"</f>
        <v>1702</v>
      </c>
      <c r="E22011" t="s">
        <v>1956</v>
      </c>
      <c r="F22011" t="s">
        <v>3750</v>
      </c>
      <c r="G22011" t="s">
        <v>47097</v>
      </c>
      <c r="H22011" t="s">
        <v>47054</v>
      </c>
      <c r="I22011" t="s">
        <v>47116</v>
      </c>
      <c r="J22011" t="s">
        <v>47117</v>
      </c>
      <c r="K22011" t="s">
        <v>47113</v>
      </c>
      <c r="L22011">
        <v>8.7799999999999994</v>
      </c>
      <c r="M22011">
        <v>36</v>
      </c>
      <c r="N22011">
        <v>0</v>
      </c>
      <c r="O22011">
        <v>36</v>
      </c>
      <c r="P22011">
        <v>0</v>
      </c>
    </row>
    <row r="22012" spans="1:16" x14ac:dyDescent="0.25">
      <c r="A22012" t="s">
        <v>44755</v>
      </c>
      <c r="B22012" t="s">
        <v>13164</v>
      </c>
      <c r="C22012" t="s">
        <v>13165</v>
      </c>
      <c r="D22012" t="str">
        <f>"5002"</f>
        <v>5002</v>
      </c>
      <c r="E22012" t="s">
        <v>1878</v>
      </c>
      <c r="F22012" t="s">
        <v>3750</v>
      </c>
      <c r="G22012" t="s">
        <v>47097</v>
      </c>
      <c r="H22012" t="s">
        <v>47054</v>
      </c>
      <c r="I22012" t="s">
        <v>47116</v>
      </c>
      <c r="J22012" t="s">
        <v>47117</v>
      </c>
      <c r="K22012" t="s">
        <v>47113</v>
      </c>
      <c r="L22012">
        <v>8.7799999999999994</v>
      </c>
      <c r="M22012">
        <v>36</v>
      </c>
      <c r="N22012">
        <v>0</v>
      </c>
      <c r="O22012">
        <v>36</v>
      </c>
      <c r="P22012">
        <v>0</v>
      </c>
    </row>
    <row r="22013" spans="1:16" x14ac:dyDescent="0.25">
      <c r="A22013" t="s">
        <v>44756</v>
      </c>
      <c r="B22013" t="s">
        <v>22143</v>
      </c>
      <c r="C22013" t="s">
        <v>22144</v>
      </c>
      <c r="D22013" t="s">
        <v>721</v>
      </c>
      <c r="E22013" t="s">
        <v>722</v>
      </c>
      <c r="F22013" t="s">
        <v>3750</v>
      </c>
      <c r="G22013" t="s">
        <v>47093</v>
      </c>
      <c r="H22013" t="s">
        <v>47054</v>
      </c>
      <c r="I22013" t="s">
        <v>47116</v>
      </c>
      <c r="J22013" t="s">
        <v>47117</v>
      </c>
      <c r="K22013" t="s">
        <v>47113</v>
      </c>
      <c r="L22013">
        <v>34.78</v>
      </c>
      <c r="M22013">
        <v>46</v>
      </c>
      <c r="N22013">
        <v>0</v>
      </c>
      <c r="O22013">
        <v>46</v>
      </c>
      <c r="P22013">
        <v>0</v>
      </c>
    </row>
    <row r="22014" spans="1:16" x14ac:dyDescent="0.25">
      <c r="A22014" t="s">
        <v>44757</v>
      </c>
      <c r="B22014" t="s">
        <v>22145</v>
      </c>
      <c r="C22014" t="s">
        <v>22146</v>
      </c>
      <c r="D22014" t="s">
        <v>721</v>
      </c>
      <c r="E22014" t="s">
        <v>722</v>
      </c>
      <c r="F22014" t="s">
        <v>3750</v>
      </c>
      <c r="G22014" t="s">
        <v>47093</v>
      </c>
      <c r="H22014" t="s">
        <v>47054</v>
      </c>
      <c r="I22014" t="s">
        <v>47116</v>
      </c>
      <c r="J22014" t="s">
        <v>47117</v>
      </c>
      <c r="K22014" t="s">
        <v>47113</v>
      </c>
      <c r="L22014">
        <v>17.66</v>
      </c>
      <c r="M22014">
        <v>80</v>
      </c>
      <c r="N22014">
        <v>0</v>
      </c>
      <c r="O22014">
        <v>80</v>
      </c>
      <c r="P22014">
        <v>0</v>
      </c>
    </row>
    <row r="22015" spans="1:16" x14ac:dyDescent="0.25">
      <c r="A22015" t="s">
        <v>44758</v>
      </c>
      <c r="B22015" t="s">
        <v>44759</v>
      </c>
      <c r="C22015" t="s">
        <v>44760</v>
      </c>
      <c r="D22015" t="s">
        <v>721</v>
      </c>
      <c r="E22015" t="s">
        <v>722</v>
      </c>
      <c r="F22015" t="s">
        <v>3750</v>
      </c>
      <c r="G22015" t="s">
        <v>47093</v>
      </c>
      <c r="H22015" t="s">
        <v>47054</v>
      </c>
      <c r="I22015" t="s">
        <v>47116</v>
      </c>
      <c r="J22015" t="s">
        <v>47117</v>
      </c>
      <c r="K22015" t="s">
        <v>47113</v>
      </c>
      <c r="L22015">
        <v>27.16</v>
      </c>
      <c r="M22015">
        <v>108</v>
      </c>
      <c r="N22015">
        <v>0</v>
      </c>
      <c r="O22015">
        <v>108</v>
      </c>
      <c r="P22015">
        <v>0</v>
      </c>
    </row>
    <row r="22016" spans="1:16" x14ac:dyDescent="0.25">
      <c r="A22016" t="s">
        <v>44761</v>
      </c>
      <c r="B22016" t="s">
        <v>13166</v>
      </c>
      <c r="C22016" t="s">
        <v>13167</v>
      </c>
      <c r="D22016" t="s">
        <v>721</v>
      </c>
      <c r="E22016" t="s">
        <v>722</v>
      </c>
      <c r="F22016" t="s">
        <v>3750</v>
      </c>
      <c r="G22016" t="s">
        <v>47093</v>
      </c>
      <c r="H22016" t="s">
        <v>47054</v>
      </c>
      <c r="I22016" t="s">
        <v>47116</v>
      </c>
      <c r="J22016" t="s">
        <v>47117</v>
      </c>
      <c r="K22016" t="s">
        <v>47113</v>
      </c>
      <c r="L22016">
        <v>14.91</v>
      </c>
      <c r="M22016">
        <v>44</v>
      </c>
      <c r="N22016">
        <v>0</v>
      </c>
      <c r="O22016">
        <v>44</v>
      </c>
      <c r="P22016">
        <v>0</v>
      </c>
    </row>
    <row r="22017" spans="1:16" x14ac:dyDescent="0.25">
      <c r="A22017" t="s">
        <v>44762</v>
      </c>
      <c r="B22017" t="s">
        <v>13166</v>
      </c>
      <c r="C22017" t="s">
        <v>13167</v>
      </c>
      <c r="D22017" t="s">
        <v>22147</v>
      </c>
      <c r="E22017" t="s">
        <v>22148</v>
      </c>
      <c r="F22017" t="s">
        <v>3750</v>
      </c>
      <c r="G22017" t="s">
        <v>47093</v>
      </c>
      <c r="H22017" t="s">
        <v>47054</v>
      </c>
      <c r="I22017" t="s">
        <v>47116</v>
      </c>
      <c r="J22017" t="s">
        <v>47117</v>
      </c>
      <c r="K22017" t="s">
        <v>47113</v>
      </c>
      <c r="L22017">
        <v>18.53</v>
      </c>
      <c r="M22017">
        <v>80</v>
      </c>
      <c r="N22017">
        <v>0</v>
      </c>
      <c r="O22017">
        <v>80</v>
      </c>
      <c r="P22017">
        <v>0</v>
      </c>
    </row>
    <row r="22018" spans="1:16" x14ac:dyDescent="0.25">
      <c r="A22018" t="s">
        <v>44763</v>
      </c>
      <c r="B22018" t="s">
        <v>13168</v>
      </c>
      <c r="C22018" t="s">
        <v>13169</v>
      </c>
      <c r="D22018" t="s">
        <v>721</v>
      </c>
      <c r="E22018" t="s">
        <v>722</v>
      </c>
      <c r="F22018" t="s">
        <v>3750</v>
      </c>
      <c r="G22018" t="s">
        <v>47093</v>
      </c>
      <c r="H22018" t="s">
        <v>47054</v>
      </c>
      <c r="I22018" t="s">
        <v>47116</v>
      </c>
      <c r="J22018" t="s">
        <v>47117</v>
      </c>
      <c r="K22018" t="s">
        <v>47113</v>
      </c>
      <c r="L22018">
        <v>15.58</v>
      </c>
      <c r="M22018">
        <v>68</v>
      </c>
      <c r="N22018">
        <v>0</v>
      </c>
      <c r="O22018">
        <v>68</v>
      </c>
      <c r="P22018">
        <v>0</v>
      </c>
    </row>
    <row r="22019" spans="1:16" x14ac:dyDescent="0.25">
      <c r="A22019" t="s">
        <v>44764</v>
      </c>
      <c r="B22019" t="s">
        <v>13170</v>
      </c>
      <c r="C22019" t="s">
        <v>11201</v>
      </c>
      <c r="D22019" t="str">
        <f>"1035"</f>
        <v>1035</v>
      </c>
      <c r="E22019" t="s">
        <v>758</v>
      </c>
      <c r="F22019" t="s">
        <v>1</v>
      </c>
      <c r="G22019" t="s">
        <v>47091</v>
      </c>
      <c r="H22019" t="s">
        <v>47054</v>
      </c>
      <c r="I22019" t="s">
        <v>47111</v>
      </c>
      <c r="J22019" t="s">
        <v>47112</v>
      </c>
      <c r="K22019" t="s">
        <v>47113</v>
      </c>
      <c r="L22019">
        <v>12.16</v>
      </c>
      <c r="M22019">
        <v>21</v>
      </c>
      <c r="N22019">
        <v>0</v>
      </c>
      <c r="O22019">
        <v>21</v>
      </c>
      <c r="P22019">
        <v>0</v>
      </c>
    </row>
    <row r="22020" spans="1:16" x14ac:dyDescent="0.25">
      <c r="A22020" t="s">
        <v>44765</v>
      </c>
      <c r="B22020" t="s">
        <v>13170</v>
      </c>
      <c r="C22020" t="s">
        <v>11201</v>
      </c>
      <c r="D22020" t="str">
        <f>"1746"</f>
        <v>1746</v>
      </c>
      <c r="E22020" t="s">
        <v>807</v>
      </c>
      <c r="F22020" t="s">
        <v>1</v>
      </c>
      <c r="G22020" t="s">
        <v>47091</v>
      </c>
      <c r="H22020" t="s">
        <v>47054</v>
      </c>
      <c r="I22020" t="s">
        <v>47111</v>
      </c>
      <c r="J22020" t="s">
        <v>47112</v>
      </c>
      <c r="K22020" t="s">
        <v>47113</v>
      </c>
      <c r="L22020">
        <v>12.16</v>
      </c>
      <c r="M22020">
        <v>21</v>
      </c>
      <c r="N22020">
        <v>0</v>
      </c>
      <c r="O22020">
        <v>21</v>
      </c>
      <c r="P22020">
        <v>0</v>
      </c>
    </row>
    <row r="22021" spans="1:16" x14ac:dyDescent="0.25">
      <c r="A22021" t="s">
        <v>44766</v>
      </c>
      <c r="B22021" t="s">
        <v>13170</v>
      </c>
      <c r="C22021" t="s">
        <v>11201</v>
      </c>
      <c r="D22021" t="str">
        <f>"4900"</f>
        <v>4900</v>
      </c>
      <c r="E22021" t="s">
        <v>11203</v>
      </c>
      <c r="F22021" t="s">
        <v>3546</v>
      </c>
      <c r="G22021" t="s">
        <v>47091</v>
      </c>
      <c r="H22021" t="s">
        <v>47054</v>
      </c>
      <c r="I22021" t="s">
        <v>47111</v>
      </c>
      <c r="J22021" t="s">
        <v>47112</v>
      </c>
      <c r="K22021" t="s">
        <v>47113</v>
      </c>
      <c r="L22021">
        <v>15.45</v>
      </c>
      <c r="M22021">
        <v>21</v>
      </c>
      <c r="N22021">
        <v>0</v>
      </c>
      <c r="O22021">
        <v>21</v>
      </c>
      <c r="P22021">
        <v>0</v>
      </c>
    </row>
    <row r="22022" spans="1:16" x14ac:dyDescent="0.25">
      <c r="A22022" t="s">
        <v>44767</v>
      </c>
      <c r="B22022" t="s">
        <v>13170</v>
      </c>
      <c r="C22022" t="s">
        <v>11201</v>
      </c>
      <c r="D22022" t="str">
        <f>"6068"</f>
        <v>6068</v>
      </c>
      <c r="E22022" t="s">
        <v>11204</v>
      </c>
      <c r="F22022" t="s">
        <v>3546</v>
      </c>
      <c r="G22022" t="s">
        <v>47091</v>
      </c>
      <c r="H22022" t="s">
        <v>47054</v>
      </c>
      <c r="I22022" t="s">
        <v>47111</v>
      </c>
      <c r="J22022" t="s">
        <v>47112</v>
      </c>
      <c r="K22022" t="s">
        <v>47113</v>
      </c>
      <c r="L22022">
        <v>15.45</v>
      </c>
      <c r="M22022">
        <v>21</v>
      </c>
      <c r="N22022">
        <v>0</v>
      </c>
      <c r="O22022">
        <v>21</v>
      </c>
      <c r="P22022">
        <v>0</v>
      </c>
    </row>
    <row r="22023" spans="1:16" x14ac:dyDescent="0.25">
      <c r="A22023" t="s">
        <v>44768</v>
      </c>
      <c r="B22023" t="s">
        <v>13170</v>
      </c>
      <c r="C22023" t="s">
        <v>11201</v>
      </c>
      <c r="D22023" t="str">
        <f>"6490"</f>
        <v>6490</v>
      </c>
      <c r="E22023" t="s">
        <v>11205</v>
      </c>
      <c r="F22023" t="s">
        <v>1</v>
      </c>
      <c r="G22023" t="s">
        <v>47091</v>
      </c>
      <c r="H22023" t="s">
        <v>47054</v>
      </c>
      <c r="I22023" t="s">
        <v>47111</v>
      </c>
      <c r="J22023" t="s">
        <v>47112</v>
      </c>
      <c r="K22023" t="s">
        <v>47113</v>
      </c>
      <c r="L22023">
        <v>12.16</v>
      </c>
      <c r="M22023">
        <v>21</v>
      </c>
      <c r="N22023">
        <v>0</v>
      </c>
      <c r="O22023">
        <v>21</v>
      </c>
      <c r="P22023">
        <v>0</v>
      </c>
    </row>
    <row r="22024" spans="1:16" x14ac:dyDescent="0.25">
      <c r="A22024" t="s">
        <v>44769</v>
      </c>
      <c r="B22024" t="s">
        <v>13171</v>
      </c>
      <c r="C22024" t="s">
        <v>11221</v>
      </c>
      <c r="D22024" t="str">
        <f>"1035"</f>
        <v>1035</v>
      </c>
      <c r="E22024" t="s">
        <v>758</v>
      </c>
      <c r="F22024" t="s">
        <v>3546</v>
      </c>
      <c r="G22024" t="s">
        <v>47091</v>
      </c>
      <c r="H22024" t="s">
        <v>47054</v>
      </c>
      <c r="I22024" t="s">
        <v>47111</v>
      </c>
      <c r="J22024" t="s">
        <v>47112</v>
      </c>
      <c r="K22024" t="s">
        <v>47113</v>
      </c>
      <c r="L22024">
        <v>19.09</v>
      </c>
      <c r="M22024">
        <v>33</v>
      </c>
      <c r="N22024">
        <v>0</v>
      </c>
      <c r="O22024">
        <v>33</v>
      </c>
      <c r="P22024">
        <v>0</v>
      </c>
    </row>
    <row r="22025" spans="1:16" x14ac:dyDescent="0.25">
      <c r="A22025" t="s">
        <v>44770</v>
      </c>
      <c r="B22025" t="s">
        <v>13171</v>
      </c>
      <c r="C22025" t="s">
        <v>11221</v>
      </c>
      <c r="D22025" t="str">
        <f>"1794"</f>
        <v>1794</v>
      </c>
      <c r="E22025" t="s">
        <v>8743</v>
      </c>
      <c r="F22025" t="s">
        <v>3546</v>
      </c>
      <c r="G22025" t="s">
        <v>47091</v>
      </c>
      <c r="H22025" t="s">
        <v>47054</v>
      </c>
      <c r="I22025" t="s">
        <v>47111</v>
      </c>
      <c r="J22025" t="s">
        <v>47112</v>
      </c>
      <c r="K22025" t="s">
        <v>47113</v>
      </c>
      <c r="L22025">
        <v>19.09</v>
      </c>
      <c r="M22025">
        <v>33</v>
      </c>
      <c r="N22025">
        <v>0</v>
      </c>
      <c r="O22025">
        <v>33</v>
      </c>
      <c r="P22025">
        <v>0</v>
      </c>
    </row>
    <row r="22026" spans="1:16" x14ac:dyDescent="0.25">
      <c r="A22026" t="s">
        <v>44771</v>
      </c>
      <c r="B22026" t="s">
        <v>13172</v>
      </c>
      <c r="C22026" t="s">
        <v>13173</v>
      </c>
      <c r="D22026" t="str">
        <f>"1035"</f>
        <v>1035</v>
      </c>
      <c r="E22026" t="s">
        <v>758</v>
      </c>
      <c r="F22026" t="s">
        <v>3546</v>
      </c>
      <c r="G22026" t="s">
        <v>47091</v>
      </c>
      <c r="H22026" t="s">
        <v>47054</v>
      </c>
      <c r="I22026" t="s">
        <v>47111</v>
      </c>
      <c r="J22026" t="s">
        <v>47112</v>
      </c>
      <c r="K22026" t="s">
        <v>47113</v>
      </c>
      <c r="L22026">
        <v>19.09</v>
      </c>
      <c r="M22026">
        <v>33</v>
      </c>
      <c r="N22026">
        <v>0</v>
      </c>
      <c r="O22026">
        <v>33</v>
      </c>
      <c r="P22026">
        <v>0</v>
      </c>
    </row>
    <row r="22027" spans="1:16" x14ac:dyDescent="0.25">
      <c r="A22027" t="s">
        <v>44772</v>
      </c>
      <c r="B22027" t="s">
        <v>13172</v>
      </c>
      <c r="C22027" t="s">
        <v>13173</v>
      </c>
      <c r="D22027" t="str">
        <f>"1746"</f>
        <v>1746</v>
      </c>
      <c r="E22027" t="s">
        <v>807</v>
      </c>
      <c r="F22027" t="s">
        <v>3546</v>
      </c>
      <c r="G22027" t="s">
        <v>47091</v>
      </c>
      <c r="H22027" t="s">
        <v>47054</v>
      </c>
      <c r="I22027" t="s">
        <v>47111</v>
      </c>
      <c r="J22027" t="s">
        <v>47112</v>
      </c>
      <c r="K22027" t="s">
        <v>47113</v>
      </c>
      <c r="L22027">
        <v>19.09</v>
      </c>
      <c r="M22027">
        <v>33</v>
      </c>
      <c r="N22027">
        <v>0</v>
      </c>
      <c r="O22027">
        <v>33</v>
      </c>
      <c r="P22027">
        <v>0</v>
      </c>
    </row>
    <row r="22028" spans="1:16" x14ac:dyDescent="0.25">
      <c r="A22028" t="s">
        <v>44773</v>
      </c>
      <c r="B22028" t="s">
        <v>13174</v>
      </c>
      <c r="C22028" t="s">
        <v>11230</v>
      </c>
      <c r="D22028" t="str">
        <f>"1035"</f>
        <v>1035</v>
      </c>
      <c r="E22028" t="s">
        <v>758</v>
      </c>
      <c r="F22028" t="s">
        <v>3546</v>
      </c>
      <c r="G22028" t="s">
        <v>47091</v>
      </c>
      <c r="H22028" t="s">
        <v>47054</v>
      </c>
      <c r="I22028" t="s">
        <v>47111</v>
      </c>
      <c r="J22028" t="s">
        <v>47112</v>
      </c>
      <c r="K22028" t="s">
        <v>47113</v>
      </c>
      <c r="L22028">
        <v>19.09</v>
      </c>
      <c r="M22028">
        <v>33</v>
      </c>
      <c r="N22028">
        <v>0</v>
      </c>
      <c r="O22028">
        <v>33</v>
      </c>
      <c r="P22028">
        <v>0</v>
      </c>
    </row>
    <row r="22029" spans="1:16" x14ac:dyDescent="0.25">
      <c r="A22029" t="s">
        <v>44774</v>
      </c>
      <c r="B22029" t="s">
        <v>13174</v>
      </c>
      <c r="C22029" t="s">
        <v>11230</v>
      </c>
      <c r="D22029" t="str">
        <f>"1794"</f>
        <v>1794</v>
      </c>
      <c r="E22029" t="s">
        <v>8743</v>
      </c>
      <c r="F22029" t="s">
        <v>3546</v>
      </c>
      <c r="G22029" t="s">
        <v>47091</v>
      </c>
      <c r="H22029" t="s">
        <v>47054</v>
      </c>
      <c r="I22029" t="s">
        <v>47111</v>
      </c>
      <c r="J22029" t="s">
        <v>47112</v>
      </c>
      <c r="K22029" t="s">
        <v>47113</v>
      </c>
      <c r="L22029">
        <v>19.09</v>
      </c>
      <c r="M22029">
        <v>33</v>
      </c>
      <c r="N22029">
        <v>0</v>
      </c>
      <c r="O22029">
        <v>33</v>
      </c>
      <c r="P22029">
        <v>0</v>
      </c>
    </row>
    <row r="22030" spans="1:16" x14ac:dyDescent="0.25">
      <c r="A22030" t="s">
        <v>44775</v>
      </c>
      <c r="B22030" t="s">
        <v>13175</v>
      </c>
      <c r="C22030" t="s">
        <v>12048</v>
      </c>
      <c r="D22030" t="str">
        <f>"1490"</f>
        <v>1490</v>
      </c>
      <c r="E22030" t="s">
        <v>12049</v>
      </c>
      <c r="F22030" t="s">
        <v>3546</v>
      </c>
      <c r="G22030" t="s">
        <v>47091</v>
      </c>
      <c r="H22030" t="s">
        <v>47054</v>
      </c>
      <c r="I22030" t="s">
        <v>47111</v>
      </c>
      <c r="J22030" t="s">
        <v>47112</v>
      </c>
      <c r="K22030" t="s">
        <v>47113</v>
      </c>
      <c r="L22030">
        <v>27.76</v>
      </c>
      <c r="M22030">
        <v>48</v>
      </c>
      <c r="N22030">
        <v>0</v>
      </c>
      <c r="O22030">
        <v>48</v>
      </c>
      <c r="P22030">
        <v>0</v>
      </c>
    </row>
    <row r="22031" spans="1:16" x14ac:dyDescent="0.25">
      <c r="A22031" t="s">
        <v>44776</v>
      </c>
      <c r="B22031" t="s">
        <v>13175</v>
      </c>
      <c r="C22031" t="s">
        <v>12048</v>
      </c>
      <c r="D22031" t="str">
        <f>"2387"</f>
        <v>2387</v>
      </c>
      <c r="E22031" t="s">
        <v>12050</v>
      </c>
      <c r="F22031" t="s">
        <v>3546</v>
      </c>
      <c r="G22031" t="s">
        <v>47091</v>
      </c>
      <c r="H22031" t="s">
        <v>47054</v>
      </c>
      <c r="I22031" t="s">
        <v>47111</v>
      </c>
      <c r="J22031" t="s">
        <v>47112</v>
      </c>
      <c r="K22031" t="s">
        <v>47113</v>
      </c>
      <c r="L22031">
        <v>27.76</v>
      </c>
      <c r="M22031">
        <v>48</v>
      </c>
      <c r="N22031">
        <v>0</v>
      </c>
      <c r="O22031">
        <v>48</v>
      </c>
      <c r="P22031">
        <v>0</v>
      </c>
    </row>
    <row r="22032" spans="1:16" x14ac:dyDescent="0.25">
      <c r="A22032" t="s">
        <v>44777</v>
      </c>
      <c r="B22032" t="s">
        <v>13176</v>
      </c>
      <c r="C22032" t="s">
        <v>13177</v>
      </c>
      <c r="D22032" t="str">
        <f>"1035"</f>
        <v>1035</v>
      </c>
      <c r="E22032" t="s">
        <v>758</v>
      </c>
      <c r="F22032" t="s">
        <v>3</v>
      </c>
      <c r="G22032" t="s">
        <v>47091</v>
      </c>
      <c r="H22032" t="s">
        <v>47054</v>
      </c>
      <c r="I22032" t="s">
        <v>47111</v>
      </c>
      <c r="J22032" t="s">
        <v>47112</v>
      </c>
      <c r="K22032" t="s">
        <v>47113</v>
      </c>
      <c r="L22032">
        <v>7.82</v>
      </c>
      <c r="M22032">
        <v>23</v>
      </c>
      <c r="N22032">
        <v>0</v>
      </c>
      <c r="O22032">
        <v>23</v>
      </c>
      <c r="P22032">
        <v>0</v>
      </c>
    </row>
    <row r="22033" spans="1:16" x14ac:dyDescent="0.25">
      <c r="A22033" t="s">
        <v>44778</v>
      </c>
      <c r="B22033" t="s">
        <v>13176</v>
      </c>
      <c r="C22033" t="s">
        <v>13177</v>
      </c>
      <c r="D22033" t="str">
        <f>"1746"</f>
        <v>1746</v>
      </c>
      <c r="E22033" t="s">
        <v>807</v>
      </c>
      <c r="F22033" t="s">
        <v>3</v>
      </c>
      <c r="G22033" t="s">
        <v>47091</v>
      </c>
      <c r="H22033" t="s">
        <v>47054</v>
      </c>
      <c r="I22033" t="s">
        <v>47111</v>
      </c>
      <c r="J22033" t="s">
        <v>47112</v>
      </c>
      <c r="K22033" t="s">
        <v>47113</v>
      </c>
      <c r="L22033">
        <v>7.82</v>
      </c>
      <c r="M22033">
        <v>23</v>
      </c>
      <c r="N22033">
        <v>0</v>
      </c>
      <c r="O22033">
        <v>23</v>
      </c>
      <c r="P22033">
        <v>0</v>
      </c>
    </row>
    <row r="22034" spans="1:16" x14ac:dyDescent="0.25">
      <c r="A22034" t="s">
        <v>44779</v>
      </c>
      <c r="B22034" t="s">
        <v>13176</v>
      </c>
      <c r="C22034" t="s">
        <v>13177</v>
      </c>
      <c r="D22034" t="str">
        <f>"7337"</f>
        <v>7337</v>
      </c>
      <c r="E22034" t="s">
        <v>13178</v>
      </c>
      <c r="F22034" t="s">
        <v>3</v>
      </c>
      <c r="G22034" t="s">
        <v>47091</v>
      </c>
      <c r="H22034" t="s">
        <v>47054</v>
      </c>
      <c r="I22034" t="s">
        <v>47111</v>
      </c>
      <c r="J22034" t="s">
        <v>47112</v>
      </c>
      <c r="K22034" t="s">
        <v>47113</v>
      </c>
      <c r="L22034">
        <v>7.82</v>
      </c>
      <c r="M22034">
        <v>23</v>
      </c>
      <c r="N22034">
        <v>0</v>
      </c>
      <c r="O22034">
        <v>23</v>
      </c>
      <c r="P22034">
        <v>0</v>
      </c>
    </row>
    <row r="22035" spans="1:16" x14ac:dyDescent="0.25">
      <c r="A22035" t="s">
        <v>44780</v>
      </c>
      <c r="B22035" t="s">
        <v>13176</v>
      </c>
      <c r="C22035" t="s">
        <v>13177</v>
      </c>
      <c r="D22035" t="str">
        <f>"8030"</f>
        <v>8030</v>
      </c>
      <c r="E22035" t="s">
        <v>1150</v>
      </c>
      <c r="F22035" t="s">
        <v>3</v>
      </c>
      <c r="G22035" t="s">
        <v>47091</v>
      </c>
      <c r="H22035" t="s">
        <v>47054</v>
      </c>
      <c r="I22035" t="s">
        <v>47111</v>
      </c>
      <c r="J22035" t="s">
        <v>47112</v>
      </c>
      <c r="K22035" t="s">
        <v>47113</v>
      </c>
      <c r="L22035">
        <v>7.82</v>
      </c>
      <c r="M22035">
        <v>23</v>
      </c>
      <c r="N22035">
        <v>0</v>
      </c>
      <c r="O22035">
        <v>23</v>
      </c>
      <c r="P22035">
        <v>0</v>
      </c>
    </row>
    <row r="22036" spans="1:16" x14ac:dyDescent="0.25">
      <c r="A22036" t="s">
        <v>44781</v>
      </c>
      <c r="B22036" t="s">
        <v>13179</v>
      </c>
      <c r="C22036" t="s">
        <v>13180</v>
      </c>
      <c r="D22036" t="str">
        <f>"1035"</f>
        <v>1035</v>
      </c>
      <c r="E22036" t="s">
        <v>758</v>
      </c>
      <c r="F22036" t="s">
        <v>3</v>
      </c>
      <c r="G22036" t="s">
        <v>47091</v>
      </c>
      <c r="H22036" t="s">
        <v>47054</v>
      </c>
      <c r="I22036" t="s">
        <v>47111</v>
      </c>
      <c r="J22036" t="s">
        <v>47112</v>
      </c>
      <c r="K22036" t="s">
        <v>47113</v>
      </c>
      <c r="L22036">
        <v>7.82</v>
      </c>
      <c r="M22036">
        <v>23</v>
      </c>
      <c r="N22036">
        <v>0</v>
      </c>
      <c r="O22036">
        <v>23</v>
      </c>
      <c r="P22036">
        <v>0</v>
      </c>
    </row>
    <row r="22037" spans="1:16" x14ac:dyDescent="0.25">
      <c r="A22037" t="s">
        <v>44782</v>
      </c>
      <c r="B22037" t="s">
        <v>13179</v>
      </c>
      <c r="C22037" t="s">
        <v>13180</v>
      </c>
      <c r="D22037" t="str">
        <f>"1746"</f>
        <v>1746</v>
      </c>
      <c r="E22037" t="s">
        <v>807</v>
      </c>
      <c r="F22037" t="s">
        <v>3</v>
      </c>
      <c r="G22037" t="s">
        <v>47091</v>
      </c>
      <c r="H22037" t="s">
        <v>47054</v>
      </c>
      <c r="I22037" t="s">
        <v>47111</v>
      </c>
      <c r="J22037" t="s">
        <v>47112</v>
      </c>
      <c r="K22037" t="s">
        <v>47113</v>
      </c>
      <c r="L22037">
        <v>7.82</v>
      </c>
      <c r="M22037">
        <v>23</v>
      </c>
      <c r="N22037">
        <v>0</v>
      </c>
      <c r="O22037">
        <v>23</v>
      </c>
      <c r="P22037">
        <v>0</v>
      </c>
    </row>
    <row r="22038" spans="1:16" x14ac:dyDescent="0.25">
      <c r="A22038" t="s">
        <v>44783</v>
      </c>
      <c r="B22038" t="s">
        <v>13179</v>
      </c>
      <c r="C22038" t="s">
        <v>13180</v>
      </c>
      <c r="D22038" t="str">
        <f>"7337"</f>
        <v>7337</v>
      </c>
      <c r="E22038" t="s">
        <v>13178</v>
      </c>
      <c r="F22038" t="s">
        <v>3</v>
      </c>
      <c r="G22038" t="s">
        <v>47091</v>
      </c>
      <c r="H22038" t="s">
        <v>47054</v>
      </c>
      <c r="I22038" t="s">
        <v>47111</v>
      </c>
      <c r="J22038" t="s">
        <v>47112</v>
      </c>
      <c r="K22038" t="s">
        <v>47113</v>
      </c>
      <c r="L22038">
        <v>7.82</v>
      </c>
      <c r="M22038">
        <v>23</v>
      </c>
      <c r="N22038">
        <v>0</v>
      </c>
      <c r="O22038">
        <v>23</v>
      </c>
      <c r="P22038">
        <v>0</v>
      </c>
    </row>
    <row r="22039" spans="1:16" x14ac:dyDescent="0.25">
      <c r="A22039" t="s">
        <v>44784</v>
      </c>
      <c r="B22039" t="s">
        <v>13179</v>
      </c>
      <c r="C22039" t="s">
        <v>13180</v>
      </c>
      <c r="D22039" t="str">
        <f>"8030"</f>
        <v>8030</v>
      </c>
      <c r="E22039" t="s">
        <v>1150</v>
      </c>
      <c r="F22039" t="s">
        <v>3</v>
      </c>
      <c r="G22039" t="s">
        <v>47091</v>
      </c>
      <c r="H22039" t="s">
        <v>47054</v>
      </c>
      <c r="I22039" t="s">
        <v>47111</v>
      </c>
      <c r="J22039" t="s">
        <v>47112</v>
      </c>
      <c r="K22039" t="s">
        <v>47113</v>
      </c>
      <c r="L22039">
        <v>7.82</v>
      </c>
      <c r="M22039">
        <v>23</v>
      </c>
      <c r="N22039">
        <v>0</v>
      </c>
      <c r="O22039">
        <v>23</v>
      </c>
      <c r="P22039">
        <v>0</v>
      </c>
    </row>
    <row r="22040" spans="1:16" x14ac:dyDescent="0.25">
      <c r="A22040" t="s">
        <v>44785</v>
      </c>
      <c r="B22040" t="s">
        <v>22149</v>
      </c>
      <c r="C22040" t="s">
        <v>22150</v>
      </c>
      <c r="D22040" t="str">
        <f>"1014"</f>
        <v>1014</v>
      </c>
      <c r="E22040" t="s">
        <v>16045</v>
      </c>
      <c r="F22040" t="s">
        <v>3750</v>
      </c>
      <c r="G22040" t="s">
        <v>47092</v>
      </c>
      <c r="H22040" t="s">
        <v>47054</v>
      </c>
      <c r="I22040" t="s">
        <v>47154</v>
      </c>
      <c r="J22040" t="s">
        <v>47155</v>
      </c>
      <c r="K22040" t="s">
        <v>47113</v>
      </c>
      <c r="L22040">
        <v>7.71</v>
      </c>
      <c r="M22040">
        <v>28</v>
      </c>
      <c r="N22040">
        <v>0</v>
      </c>
      <c r="O22040">
        <v>28</v>
      </c>
      <c r="P22040">
        <v>0</v>
      </c>
    </row>
    <row r="22041" spans="1:16" x14ac:dyDescent="0.25">
      <c r="A22041" t="s">
        <v>44786</v>
      </c>
      <c r="B22041" t="s">
        <v>22151</v>
      </c>
      <c r="C22041" t="s">
        <v>22152</v>
      </c>
      <c r="D22041" t="str">
        <f>"1700"</f>
        <v>1700</v>
      </c>
      <c r="E22041" t="s">
        <v>60</v>
      </c>
      <c r="F22041" t="s">
        <v>3750</v>
      </c>
      <c r="G22041" t="s">
        <v>47091</v>
      </c>
      <c r="H22041" t="s">
        <v>47054</v>
      </c>
      <c r="I22041" t="s">
        <v>47154</v>
      </c>
      <c r="J22041" t="s">
        <v>47155</v>
      </c>
      <c r="K22041" t="s">
        <v>47113</v>
      </c>
      <c r="L22041">
        <v>5.91</v>
      </c>
      <c r="M22041">
        <v>28</v>
      </c>
      <c r="N22041">
        <v>0</v>
      </c>
      <c r="O22041">
        <v>28</v>
      </c>
      <c r="P22041">
        <v>0</v>
      </c>
    </row>
    <row r="22042" spans="1:16" x14ac:dyDescent="0.25">
      <c r="A22042" t="s">
        <v>44787</v>
      </c>
      <c r="B22042" t="s">
        <v>13181</v>
      </c>
      <c r="C22042" t="s">
        <v>13182</v>
      </c>
      <c r="D22042" t="str">
        <f>"1001"</f>
        <v>1001</v>
      </c>
      <c r="E22042" t="s">
        <v>42</v>
      </c>
      <c r="F22042" t="s">
        <v>3750</v>
      </c>
      <c r="G22042" t="s">
        <v>47091</v>
      </c>
      <c r="H22042" t="s">
        <v>47054</v>
      </c>
      <c r="I22042" t="s">
        <v>47111</v>
      </c>
      <c r="J22042" t="s">
        <v>47112</v>
      </c>
      <c r="K22042" t="s">
        <v>47113</v>
      </c>
      <c r="L22042">
        <v>8.0299999999999994</v>
      </c>
      <c r="M22042">
        <v>20</v>
      </c>
      <c r="N22042">
        <v>0</v>
      </c>
      <c r="O22042">
        <v>20</v>
      </c>
      <c r="P22042">
        <v>0</v>
      </c>
    </row>
    <row r="22043" spans="1:16" x14ac:dyDescent="0.25">
      <c r="A22043" t="s">
        <v>44788</v>
      </c>
      <c r="B22043" t="s">
        <v>13181</v>
      </c>
      <c r="C22043" t="s">
        <v>13182</v>
      </c>
      <c r="D22043" t="str">
        <f>"1700"</f>
        <v>1700</v>
      </c>
      <c r="E22043" t="s">
        <v>60</v>
      </c>
      <c r="F22043" t="s">
        <v>3750</v>
      </c>
      <c r="G22043" t="s">
        <v>47091</v>
      </c>
      <c r="H22043" t="s">
        <v>47054</v>
      </c>
      <c r="I22043" t="s">
        <v>47111</v>
      </c>
      <c r="J22043" t="s">
        <v>47112</v>
      </c>
      <c r="K22043" t="s">
        <v>47113</v>
      </c>
      <c r="L22043">
        <v>8.0299999999999994</v>
      </c>
      <c r="M22043">
        <v>20</v>
      </c>
      <c r="N22043">
        <v>0</v>
      </c>
      <c r="O22043">
        <v>20</v>
      </c>
      <c r="P22043">
        <v>0</v>
      </c>
    </row>
    <row r="22044" spans="1:16" x14ac:dyDescent="0.25">
      <c r="A22044" t="s">
        <v>44789</v>
      </c>
      <c r="B22044" t="s">
        <v>13181</v>
      </c>
      <c r="C22044" t="s">
        <v>13182</v>
      </c>
      <c r="D22044" t="str">
        <f>"4100"</f>
        <v>4100</v>
      </c>
      <c r="E22044" t="s">
        <v>2383</v>
      </c>
      <c r="F22044" t="s">
        <v>3750</v>
      </c>
      <c r="G22044" t="s">
        <v>47091</v>
      </c>
      <c r="H22044" t="s">
        <v>47054</v>
      </c>
      <c r="I22044" t="s">
        <v>47111</v>
      </c>
      <c r="J22044" t="s">
        <v>47112</v>
      </c>
      <c r="K22044" t="s">
        <v>47113</v>
      </c>
      <c r="L22044">
        <v>8.0299999999999994</v>
      </c>
      <c r="M22044">
        <v>20</v>
      </c>
      <c r="N22044">
        <v>0</v>
      </c>
      <c r="O22044">
        <v>20</v>
      </c>
      <c r="P22044">
        <v>0</v>
      </c>
    </row>
    <row r="22045" spans="1:16" x14ac:dyDescent="0.25">
      <c r="A22045" t="s">
        <v>44790</v>
      </c>
      <c r="B22045" t="s">
        <v>13183</v>
      </c>
      <c r="C22045" t="s">
        <v>13184</v>
      </c>
      <c r="D22045" t="str">
        <f>"1001"</f>
        <v>1001</v>
      </c>
      <c r="E22045" t="s">
        <v>42</v>
      </c>
      <c r="F22045" t="s">
        <v>3750</v>
      </c>
      <c r="G22045" t="s">
        <v>47091</v>
      </c>
      <c r="H22045" t="s">
        <v>47054</v>
      </c>
      <c r="I22045" t="s">
        <v>47111</v>
      </c>
      <c r="J22045" t="s">
        <v>47112</v>
      </c>
      <c r="K22045" t="s">
        <v>47113</v>
      </c>
      <c r="L22045">
        <v>8.0299999999999994</v>
      </c>
      <c r="M22045">
        <v>20</v>
      </c>
      <c r="N22045">
        <v>0</v>
      </c>
      <c r="O22045">
        <v>20</v>
      </c>
      <c r="P22045">
        <v>0</v>
      </c>
    </row>
    <row r="22046" spans="1:16" x14ac:dyDescent="0.25">
      <c r="A22046" t="s">
        <v>44791</v>
      </c>
      <c r="B22046" t="s">
        <v>13183</v>
      </c>
      <c r="C22046" t="s">
        <v>13184</v>
      </c>
      <c r="D22046" t="str">
        <f>"1700"</f>
        <v>1700</v>
      </c>
      <c r="E22046" t="s">
        <v>60</v>
      </c>
      <c r="F22046" t="s">
        <v>3750</v>
      </c>
      <c r="G22046" t="s">
        <v>47091</v>
      </c>
      <c r="H22046" t="s">
        <v>47054</v>
      </c>
      <c r="I22046" t="s">
        <v>47111</v>
      </c>
      <c r="J22046" t="s">
        <v>47112</v>
      </c>
      <c r="K22046" t="s">
        <v>47113</v>
      </c>
      <c r="L22046">
        <v>8.0299999999999994</v>
      </c>
      <c r="M22046">
        <v>20</v>
      </c>
      <c r="N22046">
        <v>0</v>
      </c>
      <c r="O22046">
        <v>20</v>
      </c>
      <c r="P22046">
        <v>0</v>
      </c>
    </row>
    <row r="22047" spans="1:16" x14ac:dyDescent="0.25">
      <c r="A22047" t="s">
        <v>44792</v>
      </c>
      <c r="B22047" t="s">
        <v>13183</v>
      </c>
      <c r="C22047" t="s">
        <v>13184</v>
      </c>
      <c r="D22047" t="str">
        <f>"8393"</f>
        <v>8393</v>
      </c>
      <c r="E22047" t="s">
        <v>13185</v>
      </c>
      <c r="F22047" t="s">
        <v>3750</v>
      </c>
      <c r="G22047" t="s">
        <v>47091</v>
      </c>
      <c r="H22047" t="s">
        <v>47054</v>
      </c>
      <c r="I22047" t="s">
        <v>47111</v>
      </c>
      <c r="J22047" t="s">
        <v>47112</v>
      </c>
      <c r="K22047" t="s">
        <v>47113</v>
      </c>
      <c r="L22047">
        <v>8.0299999999999994</v>
      </c>
      <c r="M22047">
        <v>20</v>
      </c>
      <c r="N22047">
        <v>0</v>
      </c>
      <c r="O22047">
        <v>20</v>
      </c>
      <c r="P22047">
        <v>0</v>
      </c>
    </row>
    <row r="22048" spans="1:16" x14ac:dyDescent="0.25">
      <c r="A22048" t="s">
        <v>44793</v>
      </c>
      <c r="B22048" t="s">
        <v>13186</v>
      </c>
      <c r="C22048" t="s">
        <v>13187</v>
      </c>
      <c r="D22048" t="str">
        <f>"1001"</f>
        <v>1001</v>
      </c>
      <c r="E22048" t="s">
        <v>13188</v>
      </c>
      <c r="F22048" t="s">
        <v>3750</v>
      </c>
      <c r="G22048" t="s">
        <v>47091</v>
      </c>
      <c r="H22048" t="s">
        <v>47054</v>
      </c>
      <c r="I22048" t="s">
        <v>47111</v>
      </c>
      <c r="J22048" t="s">
        <v>47112</v>
      </c>
      <c r="K22048" t="s">
        <v>47113</v>
      </c>
      <c r="L22048">
        <v>8.0299999999999994</v>
      </c>
      <c r="M22048">
        <v>20</v>
      </c>
      <c r="N22048">
        <v>0</v>
      </c>
      <c r="O22048">
        <v>20</v>
      </c>
      <c r="P22048">
        <v>0</v>
      </c>
    </row>
    <row r="22049" spans="1:16" x14ac:dyDescent="0.25">
      <c r="A22049" t="s">
        <v>44794</v>
      </c>
      <c r="B22049" t="s">
        <v>13186</v>
      </c>
      <c r="C22049" t="s">
        <v>13187</v>
      </c>
      <c r="D22049" t="str">
        <f>"1779"</f>
        <v>1779</v>
      </c>
      <c r="E22049" t="s">
        <v>13189</v>
      </c>
      <c r="F22049" t="s">
        <v>3750</v>
      </c>
      <c r="G22049" t="s">
        <v>47091</v>
      </c>
      <c r="H22049" t="s">
        <v>47054</v>
      </c>
      <c r="I22049" t="s">
        <v>47111</v>
      </c>
      <c r="J22049" t="s">
        <v>47112</v>
      </c>
      <c r="K22049" t="s">
        <v>47113</v>
      </c>
      <c r="L22049">
        <v>8.0299999999999994</v>
      </c>
      <c r="M22049">
        <v>20</v>
      </c>
      <c r="N22049">
        <v>0</v>
      </c>
      <c r="O22049">
        <v>20</v>
      </c>
      <c r="P22049">
        <v>0</v>
      </c>
    </row>
    <row r="22050" spans="1:16" x14ac:dyDescent="0.25">
      <c r="A22050" t="s">
        <v>44795</v>
      </c>
      <c r="B22050" t="s">
        <v>13186</v>
      </c>
      <c r="C22050" t="s">
        <v>13187</v>
      </c>
      <c r="D22050" t="str">
        <f>"1836"</f>
        <v>1836</v>
      </c>
      <c r="E22050" t="s">
        <v>13190</v>
      </c>
      <c r="F22050" t="s">
        <v>3750</v>
      </c>
      <c r="G22050" t="s">
        <v>47091</v>
      </c>
      <c r="H22050" t="s">
        <v>47054</v>
      </c>
      <c r="I22050" t="s">
        <v>47111</v>
      </c>
      <c r="J22050" t="s">
        <v>47112</v>
      </c>
      <c r="K22050" t="s">
        <v>47113</v>
      </c>
      <c r="L22050">
        <v>8.0299999999999994</v>
      </c>
      <c r="M22050">
        <v>20</v>
      </c>
      <c r="N22050">
        <v>0</v>
      </c>
      <c r="O22050">
        <v>20</v>
      </c>
      <c r="P22050">
        <v>0</v>
      </c>
    </row>
    <row r="22051" spans="1:16" x14ac:dyDescent="0.25">
      <c r="A22051" t="s">
        <v>44796</v>
      </c>
      <c r="B22051" t="s">
        <v>13191</v>
      </c>
      <c r="C22051" t="s">
        <v>13192</v>
      </c>
      <c r="D22051" t="str">
        <f>"1001"</f>
        <v>1001</v>
      </c>
      <c r="E22051" t="s">
        <v>42</v>
      </c>
      <c r="F22051" t="s">
        <v>3750</v>
      </c>
      <c r="G22051" t="s">
        <v>47091</v>
      </c>
      <c r="H22051" t="s">
        <v>47054</v>
      </c>
      <c r="I22051" t="s">
        <v>47111</v>
      </c>
      <c r="J22051" t="s">
        <v>47112</v>
      </c>
      <c r="K22051" t="s">
        <v>47113</v>
      </c>
      <c r="L22051">
        <v>8.0299999999999994</v>
      </c>
      <c r="M22051">
        <v>20</v>
      </c>
      <c r="N22051">
        <v>0</v>
      </c>
      <c r="O22051">
        <v>20</v>
      </c>
      <c r="P22051">
        <v>0</v>
      </c>
    </row>
    <row r="22052" spans="1:16" x14ac:dyDescent="0.25">
      <c r="A22052" t="s">
        <v>44797</v>
      </c>
      <c r="B22052" t="s">
        <v>13191</v>
      </c>
      <c r="C22052" t="s">
        <v>13192</v>
      </c>
      <c r="D22052" t="str">
        <f>"1700"</f>
        <v>1700</v>
      </c>
      <c r="E22052" t="s">
        <v>60</v>
      </c>
      <c r="F22052" t="s">
        <v>3750</v>
      </c>
      <c r="G22052" t="s">
        <v>47091</v>
      </c>
      <c r="H22052" t="s">
        <v>47054</v>
      </c>
      <c r="I22052" t="s">
        <v>47111</v>
      </c>
      <c r="J22052" t="s">
        <v>47112</v>
      </c>
      <c r="K22052" t="s">
        <v>47113</v>
      </c>
      <c r="L22052">
        <v>8.0299999999999994</v>
      </c>
      <c r="M22052">
        <v>20</v>
      </c>
      <c r="N22052">
        <v>0</v>
      </c>
      <c r="O22052">
        <v>20</v>
      </c>
      <c r="P22052">
        <v>0</v>
      </c>
    </row>
    <row r="22053" spans="1:16" x14ac:dyDescent="0.25">
      <c r="A22053" t="s">
        <v>44798</v>
      </c>
      <c r="B22053" t="s">
        <v>13191</v>
      </c>
      <c r="C22053" t="s">
        <v>13192</v>
      </c>
      <c r="D22053" t="str">
        <f>"4439"</f>
        <v>4439</v>
      </c>
      <c r="E22053" t="s">
        <v>13193</v>
      </c>
      <c r="F22053" t="s">
        <v>3750</v>
      </c>
      <c r="G22053" t="s">
        <v>47091</v>
      </c>
      <c r="H22053" t="s">
        <v>47054</v>
      </c>
      <c r="I22053" t="s">
        <v>47111</v>
      </c>
      <c r="J22053" t="s">
        <v>47112</v>
      </c>
      <c r="K22053" t="s">
        <v>47113</v>
      </c>
      <c r="L22053">
        <v>8.0299999999999994</v>
      </c>
      <c r="M22053">
        <v>20</v>
      </c>
      <c r="N22053">
        <v>0</v>
      </c>
      <c r="O22053">
        <v>20</v>
      </c>
      <c r="P22053">
        <v>0</v>
      </c>
    </row>
    <row r="22054" spans="1:16" x14ac:dyDescent="0.25">
      <c r="A22054" t="s">
        <v>44799</v>
      </c>
      <c r="B22054" t="s">
        <v>13194</v>
      </c>
      <c r="C22054" t="s">
        <v>13195</v>
      </c>
      <c r="D22054" t="str">
        <f>"1987"</f>
        <v>1987</v>
      </c>
      <c r="E22054" t="s">
        <v>13196</v>
      </c>
      <c r="F22054" t="s">
        <v>3750</v>
      </c>
      <c r="G22054" t="s">
        <v>47091</v>
      </c>
      <c r="H22054" t="s">
        <v>47054</v>
      </c>
      <c r="I22054" t="s">
        <v>47111</v>
      </c>
      <c r="J22054" t="s">
        <v>47112</v>
      </c>
      <c r="K22054" t="s">
        <v>47113</v>
      </c>
      <c r="L22054">
        <v>8.0299999999999994</v>
      </c>
      <c r="M22054">
        <v>20</v>
      </c>
      <c r="N22054">
        <v>0</v>
      </c>
      <c r="O22054">
        <v>20</v>
      </c>
      <c r="P22054">
        <v>0</v>
      </c>
    </row>
    <row r="22055" spans="1:16" x14ac:dyDescent="0.25">
      <c r="A22055" t="s">
        <v>44800</v>
      </c>
      <c r="B22055" t="s">
        <v>44801</v>
      </c>
      <c r="C22055" t="s">
        <v>44802</v>
      </c>
      <c r="D22055" t="str">
        <f>"1001"</f>
        <v>1001</v>
      </c>
      <c r="E22055" t="s">
        <v>42</v>
      </c>
      <c r="F22055" t="s">
        <v>3750</v>
      </c>
      <c r="G22055" t="s">
        <v>47091</v>
      </c>
      <c r="H22055" t="s">
        <v>47054</v>
      </c>
      <c r="I22055" t="s">
        <v>47154</v>
      </c>
      <c r="J22055" t="s">
        <v>47155</v>
      </c>
      <c r="K22055" t="s">
        <v>47113</v>
      </c>
      <c r="L22055">
        <v>6.53</v>
      </c>
      <c r="M22055">
        <v>26</v>
      </c>
      <c r="N22055">
        <v>0</v>
      </c>
      <c r="O22055">
        <v>26</v>
      </c>
      <c r="P22055">
        <v>0</v>
      </c>
    </row>
    <row r="22056" spans="1:16" x14ac:dyDescent="0.25">
      <c r="A22056" t="s">
        <v>44803</v>
      </c>
      <c r="B22056" t="s">
        <v>44801</v>
      </c>
      <c r="C22056" t="s">
        <v>44802</v>
      </c>
      <c r="D22056" t="str">
        <f>"1700"</f>
        <v>1700</v>
      </c>
      <c r="E22056" t="s">
        <v>60</v>
      </c>
      <c r="F22056" t="s">
        <v>3750</v>
      </c>
      <c r="G22056" t="s">
        <v>47091</v>
      </c>
      <c r="H22056" t="s">
        <v>47054</v>
      </c>
      <c r="I22056" t="s">
        <v>47154</v>
      </c>
      <c r="J22056" t="s">
        <v>47155</v>
      </c>
      <c r="K22056" t="s">
        <v>47113</v>
      </c>
      <c r="L22056">
        <v>6.53</v>
      </c>
      <c r="M22056">
        <v>26</v>
      </c>
      <c r="N22056">
        <v>0</v>
      </c>
      <c r="O22056">
        <v>26</v>
      </c>
      <c r="P22056">
        <v>0</v>
      </c>
    </row>
    <row r="22057" spans="1:16" x14ac:dyDescent="0.25">
      <c r="A22057" t="s">
        <v>44804</v>
      </c>
      <c r="B22057" t="s">
        <v>16154</v>
      </c>
      <c r="C22057" t="s">
        <v>16155</v>
      </c>
      <c r="D22057" t="str">
        <f>"1001"</f>
        <v>1001</v>
      </c>
      <c r="E22057" t="s">
        <v>42</v>
      </c>
      <c r="F22057" t="s">
        <v>3750</v>
      </c>
      <c r="G22057" t="s">
        <v>47091</v>
      </c>
      <c r="H22057" t="s">
        <v>47054</v>
      </c>
      <c r="I22057" t="s">
        <v>47111</v>
      </c>
      <c r="J22057" t="s">
        <v>47112</v>
      </c>
      <c r="K22057" t="s">
        <v>47113</v>
      </c>
      <c r="L22057">
        <v>7.61</v>
      </c>
      <c r="M22057">
        <v>27</v>
      </c>
      <c r="N22057">
        <v>0</v>
      </c>
      <c r="O22057">
        <v>27</v>
      </c>
      <c r="P22057">
        <v>0</v>
      </c>
    </row>
    <row r="22058" spans="1:16" x14ac:dyDescent="0.25">
      <c r="A22058" t="s">
        <v>44805</v>
      </c>
      <c r="B22058" t="s">
        <v>16154</v>
      </c>
      <c r="C22058" t="s">
        <v>16155</v>
      </c>
      <c r="D22058" t="str">
        <f>"4100"</f>
        <v>4100</v>
      </c>
      <c r="E22058" t="s">
        <v>2383</v>
      </c>
      <c r="F22058" t="s">
        <v>3750</v>
      </c>
      <c r="G22058" t="s">
        <v>47091</v>
      </c>
      <c r="H22058" t="s">
        <v>47054</v>
      </c>
      <c r="I22058" t="s">
        <v>47111</v>
      </c>
      <c r="J22058" t="s">
        <v>47112</v>
      </c>
      <c r="K22058" t="s">
        <v>47113</v>
      </c>
      <c r="L22058">
        <v>7.61</v>
      </c>
      <c r="M22058">
        <v>27</v>
      </c>
      <c r="N22058">
        <v>0</v>
      </c>
      <c r="O22058">
        <v>27</v>
      </c>
      <c r="P22058">
        <v>0</v>
      </c>
    </row>
    <row r="22059" spans="1:16" x14ac:dyDescent="0.25">
      <c r="A22059" t="s">
        <v>44806</v>
      </c>
      <c r="B22059" t="s">
        <v>13197</v>
      </c>
      <c r="C22059" t="s">
        <v>13198</v>
      </c>
      <c r="D22059" t="str">
        <f>"1001"</f>
        <v>1001</v>
      </c>
      <c r="E22059" t="s">
        <v>42</v>
      </c>
      <c r="F22059" t="s">
        <v>3750</v>
      </c>
      <c r="G22059" t="s">
        <v>47091</v>
      </c>
      <c r="H22059" t="s">
        <v>47054</v>
      </c>
      <c r="I22059" t="s">
        <v>47116</v>
      </c>
      <c r="J22059" t="s">
        <v>47117</v>
      </c>
      <c r="K22059" t="s">
        <v>47113</v>
      </c>
      <c r="L22059">
        <v>7.65</v>
      </c>
      <c r="M22059">
        <v>27</v>
      </c>
      <c r="N22059">
        <v>0</v>
      </c>
      <c r="O22059">
        <v>27</v>
      </c>
      <c r="P22059">
        <v>0</v>
      </c>
    </row>
    <row r="22060" spans="1:16" x14ac:dyDescent="0.25">
      <c r="A22060" t="s">
        <v>44807</v>
      </c>
      <c r="B22060" t="s">
        <v>13197</v>
      </c>
      <c r="C22060" t="s">
        <v>13198</v>
      </c>
      <c r="D22060" t="str">
        <f>"1700"</f>
        <v>1700</v>
      </c>
      <c r="E22060" t="s">
        <v>60</v>
      </c>
      <c r="F22060" t="s">
        <v>3750</v>
      </c>
      <c r="G22060" t="s">
        <v>47091</v>
      </c>
      <c r="H22060" t="s">
        <v>47054</v>
      </c>
      <c r="I22060" t="s">
        <v>47116</v>
      </c>
      <c r="J22060" t="s">
        <v>47117</v>
      </c>
      <c r="K22060" t="s">
        <v>47113</v>
      </c>
      <c r="L22060">
        <v>7.65</v>
      </c>
      <c r="M22060">
        <v>27</v>
      </c>
      <c r="N22060">
        <v>0</v>
      </c>
      <c r="O22060">
        <v>27</v>
      </c>
      <c r="P22060">
        <v>0</v>
      </c>
    </row>
    <row r="22061" spans="1:16" x14ac:dyDescent="0.25">
      <c r="A22061" t="s">
        <v>44808</v>
      </c>
      <c r="B22061" t="s">
        <v>13199</v>
      </c>
      <c r="C22061" t="s">
        <v>13200</v>
      </c>
      <c r="D22061" t="str">
        <f>"4915"</f>
        <v>4915</v>
      </c>
      <c r="E22061" t="s">
        <v>12734</v>
      </c>
      <c r="F22061" t="s">
        <v>3750</v>
      </c>
      <c r="G22061" t="s">
        <v>47091</v>
      </c>
      <c r="H22061" t="s">
        <v>47054</v>
      </c>
      <c r="I22061" t="s">
        <v>47116</v>
      </c>
      <c r="J22061" t="s">
        <v>47117</v>
      </c>
      <c r="K22061" t="s">
        <v>47113</v>
      </c>
      <c r="L22061">
        <v>7.65</v>
      </c>
      <c r="M22061">
        <v>27</v>
      </c>
      <c r="N22061">
        <v>0</v>
      </c>
      <c r="O22061">
        <v>27</v>
      </c>
      <c r="P22061">
        <v>0</v>
      </c>
    </row>
    <row r="22062" spans="1:16" x14ac:dyDescent="0.25">
      <c r="A22062" t="s">
        <v>44809</v>
      </c>
      <c r="B22062" t="s">
        <v>14437</v>
      </c>
      <c r="C22062" t="s">
        <v>14436</v>
      </c>
      <c r="D22062" t="str">
        <f>"1001"</f>
        <v>1001</v>
      </c>
      <c r="E22062" t="s">
        <v>42</v>
      </c>
      <c r="F22062" t="s">
        <v>3750</v>
      </c>
      <c r="G22062" t="s">
        <v>47091</v>
      </c>
      <c r="H22062" t="s">
        <v>47054</v>
      </c>
      <c r="I22062" t="s">
        <v>47116</v>
      </c>
      <c r="J22062" t="s">
        <v>47117</v>
      </c>
      <c r="K22062" t="s">
        <v>47113</v>
      </c>
      <c r="L22062">
        <v>7.61</v>
      </c>
      <c r="M22062">
        <v>27</v>
      </c>
      <c r="N22062">
        <v>0</v>
      </c>
      <c r="O22062">
        <v>27</v>
      </c>
      <c r="P22062">
        <v>0</v>
      </c>
    </row>
    <row r="22063" spans="1:16" x14ac:dyDescent="0.25">
      <c r="A22063" t="s">
        <v>44810</v>
      </c>
      <c r="B22063" t="s">
        <v>14435</v>
      </c>
      <c r="C22063" t="s">
        <v>14434</v>
      </c>
      <c r="D22063" t="s">
        <v>14429</v>
      </c>
      <c r="E22063" t="s">
        <v>60</v>
      </c>
      <c r="F22063" t="s">
        <v>3750</v>
      </c>
      <c r="G22063" t="s">
        <v>47091</v>
      </c>
      <c r="H22063" t="s">
        <v>47054</v>
      </c>
      <c r="I22063" t="s">
        <v>47116</v>
      </c>
      <c r="J22063" t="s">
        <v>47117</v>
      </c>
      <c r="K22063" t="s">
        <v>47113</v>
      </c>
      <c r="L22063">
        <v>7.61</v>
      </c>
      <c r="M22063">
        <v>27</v>
      </c>
      <c r="N22063">
        <v>0</v>
      </c>
      <c r="O22063">
        <v>27</v>
      </c>
      <c r="P22063">
        <v>0</v>
      </c>
    </row>
    <row r="22064" spans="1:16" x14ac:dyDescent="0.25">
      <c r="A22064" t="s">
        <v>44811</v>
      </c>
      <c r="B22064" t="s">
        <v>14433</v>
      </c>
      <c r="C22064" t="s">
        <v>14432</v>
      </c>
      <c r="D22064" t="str">
        <f>"1001"</f>
        <v>1001</v>
      </c>
      <c r="E22064" t="s">
        <v>42</v>
      </c>
      <c r="F22064" t="s">
        <v>3750</v>
      </c>
      <c r="G22064" t="s">
        <v>47091</v>
      </c>
      <c r="H22064" t="s">
        <v>47054</v>
      </c>
      <c r="I22064" t="s">
        <v>47116</v>
      </c>
      <c r="J22064" t="s">
        <v>47117</v>
      </c>
      <c r="K22064" t="s">
        <v>47113</v>
      </c>
      <c r="L22064">
        <v>8.02</v>
      </c>
      <c r="M22064">
        <v>27</v>
      </c>
      <c r="N22064">
        <v>0</v>
      </c>
      <c r="O22064">
        <v>27</v>
      </c>
      <c r="P22064">
        <v>0</v>
      </c>
    </row>
    <row r="22065" spans="1:16" x14ac:dyDescent="0.25">
      <c r="A22065" t="s">
        <v>44812</v>
      </c>
      <c r="B22065" t="s">
        <v>14433</v>
      </c>
      <c r="C22065" t="s">
        <v>14432</v>
      </c>
      <c r="D22065" t="str">
        <f>"1700"</f>
        <v>1700</v>
      </c>
      <c r="E22065" t="s">
        <v>60</v>
      </c>
      <c r="F22065" t="s">
        <v>3750</v>
      </c>
      <c r="G22065" t="s">
        <v>47091</v>
      </c>
      <c r="H22065" t="s">
        <v>47054</v>
      </c>
      <c r="I22065" t="s">
        <v>47116</v>
      </c>
      <c r="J22065" t="s">
        <v>47117</v>
      </c>
      <c r="K22065" t="s">
        <v>47113</v>
      </c>
      <c r="L22065">
        <v>8.02</v>
      </c>
      <c r="M22065">
        <v>27</v>
      </c>
      <c r="N22065">
        <v>0</v>
      </c>
      <c r="O22065">
        <v>27</v>
      </c>
      <c r="P22065">
        <v>0</v>
      </c>
    </row>
    <row r="22066" spans="1:16" x14ac:dyDescent="0.25">
      <c r="A22066" t="s">
        <v>44813</v>
      </c>
      <c r="B22066" t="s">
        <v>19270</v>
      </c>
      <c r="C22066" t="s">
        <v>19271</v>
      </c>
      <c r="D22066" t="str">
        <f>"1001"</f>
        <v>1001</v>
      </c>
      <c r="E22066" t="s">
        <v>42</v>
      </c>
      <c r="F22066" t="s">
        <v>3750</v>
      </c>
      <c r="G22066" t="s">
        <v>47091</v>
      </c>
      <c r="H22066" t="s">
        <v>47054</v>
      </c>
      <c r="I22066" t="s">
        <v>47116</v>
      </c>
      <c r="J22066" t="s">
        <v>47117</v>
      </c>
      <c r="K22066" t="s">
        <v>47113</v>
      </c>
      <c r="L22066">
        <v>6.13</v>
      </c>
      <c r="M22066">
        <v>18</v>
      </c>
      <c r="N22066">
        <v>0</v>
      </c>
      <c r="O22066">
        <v>18</v>
      </c>
      <c r="P22066">
        <v>0</v>
      </c>
    </row>
    <row r="22067" spans="1:16" x14ac:dyDescent="0.25">
      <c r="A22067" t="s">
        <v>44814</v>
      </c>
      <c r="B22067" t="s">
        <v>19270</v>
      </c>
      <c r="C22067" t="s">
        <v>19271</v>
      </c>
      <c r="D22067" t="str">
        <f>"1700"</f>
        <v>1700</v>
      </c>
      <c r="E22067" t="s">
        <v>60</v>
      </c>
      <c r="F22067" t="s">
        <v>3750</v>
      </c>
      <c r="G22067" t="s">
        <v>47091</v>
      </c>
      <c r="H22067" t="s">
        <v>47054</v>
      </c>
      <c r="I22067" t="s">
        <v>47116</v>
      </c>
      <c r="J22067" t="s">
        <v>47117</v>
      </c>
      <c r="K22067" t="s">
        <v>47113</v>
      </c>
      <c r="L22067">
        <v>6.13</v>
      </c>
      <c r="M22067">
        <v>18</v>
      </c>
      <c r="N22067">
        <v>0</v>
      </c>
      <c r="O22067">
        <v>18</v>
      </c>
      <c r="P22067">
        <v>0</v>
      </c>
    </row>
    <row r="22068" spans="1:16" x14ac:dyDescent="0.25">
      <c r="A22068" t="s">
        <v>44815</v>
      </c>
      <c r="B22068" t="s">
        <v>19272</v>
      </c>
      <c r="C22068" t="s">
        <v>19273</v>
      </c>
      <c r="D22068" t="str">
        <f>"1001"</f>
        <v>1001</v>
      </c>
      <c r="E22068" t="s">
        <v>42</v>
      </c>
      <c r="F22068" t="s">
        <v>3750</v>
      </c>
      <c r="G22068" t="s">
        <v>47091</v>
      </c>
      <c r="H22068" t="s">
        <v>47054</v>
      </c>
      <c r="I22068" t="s">
        <v>47116</v>
      </c>
      <c r="J22068" t="s">
        <v>47117</v>
      </c>
      <c r="K22068" t="s">
        <v>47113</v>
      </c>
      <c r="L22068">
        <v>8.1300000000000008</v>
      </c>
      <c r="M22068">
        <v>23</v>
      </c>
      <c r="N22068">
        <v>0</v>
      </c>
      <c r="O22068">
        <v>23</v>
      </c>
      <c r="P22068">
        <v>0</v>
      </c>
    </row>
    <row r="22069" spans="1:16" x14ac:dyDescent="0.25">
      <c r="A22069" t="s">
        <v>44816</v>
      </c>
      <c r="B22069" t="s">
        <v>19272</v>
      </c>
      <c r="C22069" t="s">
        <v>19273</v>
      </c>
      <c r="D22069" t="str">
        <f>"1700"</f>
        <v>1700</v>
      </c>
      <c r="E22069" t="s">
        <v>60</v>
      </c>
      <c r="F22069" t="s">
        <v>3750</v>
      </c>
      <c r="G22069" t="s">
        <v>47091</v>
      </c>
      <c r="H22069" t="s">
        <v>47054</v>
      </c>
      <c r="I22069" t="s">
        <v>47116</v>
      </c>
      <c r="J22069" t="s">
        <v>47117</v>
      </c>
      <c r="K22069" t="s">
        <v>47113</v>
      </c>
      <c r="L22069">
        <v>8.1300000000000008</v>
      </c>
      <c r="M22069">
        <v>23</v>
      </c>
      <c r="N22069">
        <v>0</v>
      </c>
      <c r="O22069">
        <v>23</v>
      </c>
      <c r="P22069">
        <v>0</v>
      </c>
    </row>
    <row r="22070" spans="1:16" x14ac:dyDescent="0.25">
      <c r="A22070" t="s">
        <v>44817</v>
      </c>
      <c r="B22070" t="s">
        <v>19274</v>
      </c>
      <c r="C22070" t="s">
        <v>19275</v>
      </c>
      <c r="D22070" t="str">
        <f>"1700"</f>
        <v>1700</v>
      </c>
      <c r="E22070" t="s">
        <v>60</v>
      </c>
      <c r="F22070" t="s">
        <v>3750</v>
      </c>
      <c r="G22070" t="s">
        <v>47091</v>
      </c>
      <c r="H22070" t="s">
        <v>47054</v>
      </c>
      <c r="I22070" t="s">
        <v>47116</v>
      </c>
      <c r="J22070" t="s">
        <v>47117</v>
      </c>
      <c r="K22070" t="s">
        <v>47113</v>
      </c>
      <c r="L22070">
        <v>8.1300000000000008</v>
      </c>
      <c r="M22070">
        <v>23</v>
      </c>
      <c r="N22070">
        <v>0</v>
      </c>
      <c r="O22070">
        <v>23</v>
      </c>
      <c r="P22070">
        <v>0</v>
      </c>
    </row>
    <row r="22071" spans="1:16" x14ac:dyDescent="0.25">
      <c r="A22071" t="s">
        <v>44818</v>
      </c>
      <c r="B22071" t="s">
        <v>19274</v>
      </c>
      <c r="C22071" t="s">
        <v>19275</v>
      </c>
      <c r="D22071" t="str">
        <f>"6202"</f>
        <v>6202</v>
      </c>
      <c r="E22071" t="s">
        <v>814</v>
      </c>
      <c r="F22071" t="s">
        <v>3750</v>
      </c>
      <c r="G22071" t="s">
        <v>47091</v>
      </c>
      <c r="H22071" t="s">
        <v>47054</v>
      </c>
      <c r="I22071" t="s">
        <v>47116</v>
      </c>
      <c r="J22071" t="s">
        <v>47117</v>
      </c>
      <c r="K22071" t="s">
        <v>47113</v>
      </c>
      <c r="L22071">
        <v>8.1300000000000008</v>
      </c>
      <c r="M22071">
        <v>23</v>
      </c>
      <c r="N22071">
        <v>0</v>
      </c>
      <c r="O22071">
        <v>23</v>
      </c>
      <c r="P22071">
        <v>0</v>
      </c>
    </row>
    <row r="22072" spans="1:16" x14ac:dyDescent="0.25">
      <c r="A22072" t="s">
        <v>44819</v>
      </c>
      <c r="B22072" t="s">
        <v>19276</v>
      </c>
      <c r="C22072" t="s">
        <v>19277</v>
      </c>
      <c r="D22072" t="str">
        <f>"1001"</f>
        <v>1001</v>
      </c>
      <c r="E22072" t="s">
        <v>42</v>
      </c>
      <c r="F22072" t="s">
        <v>3750</v>
      </c>
      <c r="G22072" t="s">
        <v>47091</v>
      </c>
      <c r="H22072" t="s">
        <v>47054</v>
      </c>
      <c r="I22072" t="s">
        <v>47116</v>
      </c>
      <c r="J22072" t="s">
        <v>47117</v>
      </c>
      <c r="K22072" t="s">
        <v>47113</v>
      </c>
      <c r="L22072">
        <v>8.1300000000000008</v>
      </c>
      <c r="M22072">
        <v>23</v>
      </c>
      <c r="N22072">
        <v>0</v>
      </c>
      <c r="O22072">
        <v>23</v>
      </c>
      <c r="P22072">
        <v>0</v>
      </c>
    </row>
    <row r="22073" spans="1:16" x14ac:dyDescent="0.25">
      <c r="A22073" t="s">
        <v>44820</v>
      </c>
      <c r="B22073" t="s">
        <v>19276</v>
      </c>
      <c r="C22073" t="s">
        <v>19277</v>
      </c>
      <c r="D22073" t="str">
        <f>"1700"</f>
        <v>1700</v>
      </c>
      <c r="E22073" t="s">
        <v>60</v>
      </c>
      <c r="F22073" t="s">
        <v>3750</v>
      </c>
      <c r="G22073" t="s">
        <v>47091</v>
      </c>
      <c r="H22073" t="s">
        <v>47054</v>
      </c>
      <c r="I22073" t="s">
        <v>47116</v>
      </c>
      <c r="J22073" t="s">
        <v>47117</v>
      </c>
      <c r="K22073" t="s">
        <v>47113</v>
      </c>
      <c r="L22073">
        <v>8.1300000000000008</v>
      </c>
      <c r="M22073">
        <v>23</v>
      </c>
      <c r="N22073">
        <v>0</v>
      </c>
      <c r="O22073">
        <v>23</v>
      </c>
      <c r="P22073">
        <v>0</v>
      </c>
    </row>
    <row r="22074" spans="1:16" x14ac:dyDescent="0.25">
      <c r="A22074" t="s">
        <v>44821</v>
      </c>
      <c r="B22074" t="s">
        <v>19278</v>
      </c>
      <c r="C22074" t="s">
        <v>19279</v>
      </c>
      <c r="D22074" t="str">
        <f>"1700"</f>
        <v>1700</v>
      </c>
      <c r="E22074" t="s">
        <v>60</v>
      </c>
      <c r="F22074" t="s">
        <v>3750</v>
      </c>
      <c r="G22074" t="s">
        <v>47091</v>
      </c>
      <c r="H22074" t="s">
        <v>47054</v>
      </c>
      <c r="I22074" t="s">
        <v>47116</v>
      </c>
      <c r="J22074" t="s">
        <v>47117</v>
      </c>
      <c r="K22074" t="s">
        <v>47113</v>
      </c>
      <c r="L22074">
        <v>8.51</v>
      </c>
      <c r="M22074">
        <v>24</v>
      </c>
      <c r="N22074">
        <v>0</v>
      </c>
      <c r="O22074">
        <v>24</v>
      </c>
      <c r="P22074">
        <v>0</v>
      </c>
    </row>
    <row r="22075" spans="1:16" x14ac:dyDescent="0.25">
      <c r="A22075" t="s">
        <v>44822</v>
      </c>
      <c r="B22075" t="s">
        <v>19280</v>
      </c>
      <c r="C22075" t="s">
        <v>19281</v>
      </c>
      <c r="D22075" t="str">
        <f>"1001"</f>
        <v>1001</v>
      </c>
      <c r="E22075" t="s">
        <v>42</v>
      </c>
      <c r="F22075" t="s">
        <v>3750</v>
      </c>
      <c r="G22075" t="s">
        <v>47091</v>
      </c>
      <c r="H22075" t="s">
        <v>47054</v>
      </c>
      <c r="I22075" t="s">
        <v>47120</v>
      </c>
      <c r="J22075" t="s">
        <v>47121</v>
      </c>
      <c r="K22075" t="s">
        <v>47113</v>
      </c>
      <c r="L22075">
        <v>5.01</v>
      </c>
      <c r="M22075">
        <v>28</v>
      </c>
      <c r="N22075">
        <v>0</v>
      </c>
      <c r="O22075">
        <v>28</v>
      </c>
      <c r="P22075">
        <v>0</v>
      </c>
    </row>
    <row r="22076" spans="1:16" x14ac:dyDescent="0.25">
      <c r="A22076" t="s">
        <v>44823</v>
      </c>
      <c r="B22076" t="s">
        <v>19280</v>
      </c>
      <c r="C22076" t="s">
        <v>19281</v>
      </c>
      <c r="D22076" t="str">
        <f>"1700"</f>
        <v>1700</v>
      </c>
      <c r="E22076" t="s">
        <v>60</v>
      </c>
      <c r="F22076" t="s">
        <v>3750</v>
      </c>
      <c r="G22076" t="s">
        <v>47091</v>
      </c>
      <c r="H22076" t="s">
        <v>47054</v>
      </c>
      <c r="I22076" t="s">
        <v>47120</v>
      </c>
      <c r="J22076" t="s">
        <v>47121</v>
      </c>
      <c r="K22076" t="s">
        <v>47113</v>
      </c>
      <c r="L22076">
        <v>5.01</v>
      </c>
      <c r="M22076">
        <v>28</v>
      </c>
      <c r="N22076">
        <v>0</v>
      </c>
      <c r="O22076">
        <v>28</v>
      </c>
      <c r="P22076">
        <v>0</v>
      </c>
    </row>
    <row r="22077" spans="1:16" x14ac:dyDescent="0.25">
      <c r="A22077" t="s">
        <v>44824</v>
      </c>
      <c r="B22077" t="s">
        <v>19282</v>
      </c>
      <c r="C22077" t="s">
        <v>19283</v>
      </c>
      <c r="D22077" t="str">
        <f>"1001"</f>
        <v>1001</v>
      </c>
      <c r="E22077" t="s">
        <v>42</v>
      </c>
      <c r="F22077" t="s">
        <v>3750</v>
      </c>
      <c r="G22077" t="s">
        <v>47091</v>
      </c>
      <c r="H22077" t="s">
        <v>47054</v>
      </c>
      <c r="I22077" t="s">
        <v>47120</v>
      </c>
      <c r="J22077" t="s">
        <v>47121</v>
      </c>
      <c r="K22077" t="s">
        <v>47113</v>
      </c>
      <c r="L22077">
        <v>8.3800000000000008</v>
      </c>
      <c r="M22077">
        <v>28</v>
      </c>
      <c r="N22077">
        <v>0</v>
      </c>
      <c r="O22077">
        <v>28</v>
      </c>
      <c r="P22077">
        <v>0</v>
      </c>
    </row>
    <row r="22078" spans="1:16" x14ac:dyDescent="0.25">
      <c r="A22078" t="s">
        <v>44825</v>
      </c>
      <c r="B22078" t="s">
        <v>19282</v>
      </c>
      <c r="C22078" t="s">
        <v>19283</v>
      </c>
      <c r="D22078" t="str">
        <f>"1700"</f>
        <v>1700</v>
      </c>
      <c r="E22078" t="s">
        <v>60</v>
      </c>
      <c r="F22078" t="s">
        <v>3750</v>
      </c>
      <c r="G22078" t="s">
        <v>47091</v>
      </c>
      <c r="H22078" t="s">
        <v>47054</v>
      </c>
      <c r="I22078" t="s">
        <v>47120</v>
      </c>
      <c r="J22078" t="s">
        <v>47121</v>
      </c>
      <c r="K22078" t="s">
        <v>47113</v>
      </c>
      <c r="L22078">
        <v>8.3800000000000008</v>
      </c>
      <c r="M22078">
        <v>28</v>
      </c>
      <c r="N22078">
        <v>0</v>
      </c>
      <c r="O22078">
        <v>28</v>
      </c>
      <c r="P22078">
        <v>0</v>
      </c>
    </row>
    <row r="22079" spans="1:16" x14ac:dyDescent="0.25">
      <c r="A22079" t="s">
        <v>44826</v>
      </c>
      <c r="B22079" t="s">
        <v>22153</v>
      </c>
      <c r="C22079" t="s">
        <v>22154</v>
      </c>
      <c r="D22079" t="str">
        <f>"1700"</f>
        <v>1700</v>
      </c>
      <c r="E22079" t="s">
        <v>60</v>
      </c>
      <c r="F22079" t="s">
        <v>3750</v>
      </c>
      <c r="G22079" t="s">
        <v>47091</v>
      </c>
      <c r="H22079" t="s">
        <v>47054</v>
      </c>
      <c r="I22079" t="s">
        <v>47118</v>
      </c>
      <c r="J22079" t="s">
        <v>47119</v>
      </c>
      <c r="K22079" t="s">
        <v>47113</v>
      </c>
      <c r="L22079">
        <v>9.74</v>
      </c>
      <c r="M22079">
        <v>34</v>
      </c>
      <c r="N22079">
        <v>0</v>
      </c>
      <c r="O22079">
        <v>34</v>
      </c>
      <c r="P22079">
        <v>0</v>
      </c>
    </row>
    <row r="22080" spans="1:16" x14ac:dyDescent="0.25">
      <c r="A22080" t="s">
        <v>44827</v>
      </c>
      <c r="B22080" t="s">
        <v>22153</v>
      </c>
      <c r="C22080" t="s">
        <v>22154</v>
      </c>
      <c r="D22080" t="str">
        <f>"6060"</f>
        <v>6060</v>
      </c>
      <c r="E22080" t="s">
        <v>22155</v>
      </c>
      <c r="F22080" t="s">
        <v>3750</v>
      </c>
      <c r="G22080" t="s">
        <v>47091</v>
      </c>
      <c r="H22080" t="s">
        <v>47054</v>
      </c>
      <c r="I22080" t="s">
        <v>47118</v>
      </c>
      <c r="J22080" t="s">
        <v>47119</v>
      </c>
      <c r="K22080" t="s">
        <v>47113</v>
      </c>
      <c r="L22080">
        <v>9.74</v>
      </c>
      <c r="M22080">
        <v>34</v>
      </c>
      <c r="N22080">
        <v>0</v>
      </c>
      <c r="O22080">
        <v>34</v>
      </c>
      <c r="P22080">
        <v>0</v>
      </c>
    </row>
    <row r="22081" spans="1:16" x14ac:dyDescent="0.25">
      <c r="A22081" t="s">
        <v>44828</v>
      </c>
      <c r="B22081" t="s">
        <v>22156</v>
      </c>
      <c r="C22081" t="s">
        <v>22157</v>
      </c>
      <c r="D22081" t="str">
        <f>"1700"</f>
        <v>1700</v>
      </c>
      <c r="E22081" t="s">
        <v>60</v>
      </c>
      <c r="F22081" t="s">
        <v>3750</v>
      </c>
      <c r="G22081" t="s">
        <v>47091</v>
      </c>
      <c r="H22081" t="s">
        <v>47054</v>
      </c>
      <c r="I22081" t="s">
        <v>47118</v>
      </c>
      <c r="J22081" t="s">
        <v>47119</v>
      </c>
      <c r="K22081" t="s">
        <v>47113</v>
      </c>
      <c r="L22081">
        <v>8.5299999999999994</v>
      </c>
      <c r="M22081">
        <v>34</v>
      </c>
      <c r="N22081">
        <v>0</v>
      </c>
      <c r="O22081">
        <v>34</v>
      </c>
      <c r="P22081">
        <v>0</v>
      </c>
    </row>
    <row r="22082" spans="1:16" x14ac:dyDescent="0.25">
      <c r="A22082" t="s">
        <v>44829</v>
      </c>
      <c r="B22082" t="s">
        <v>22158</v>
      </c>
      <c r="C22082" t="s">
        <v>22159</v>
      </c>
      <c r="D22082" t="str">
        <f>"4143"</f>
        <v>4143</v>
      </c>
      <c r="E22082" t="s">
        <v>261</v>
      </c>
      <c r="F22082" t="s">
        <v>3750</v>
      </c>
      <c r="G22082" t="s">
        <v>47091</v>
      </c>
      <c r="H22082" t="s">
        <v>47054</v>
      </c>
      <c r="I22082" t="s">
        <v>47154</v>
      </c>
      <c r="J22082" t="s">
        <v>47155</v>
      </c>
      <c r="K22082" t="s">
        <v>47113</v>
      </c>
      <c r="L22082">
        <v>8.8000000000000007</v>
      </c>
      <c r="M22082">
        <v>34</v>
      </c>
      <c r="N22082">
        <v>0</v>
      </c>
      <c r="O22082">
        <v>34</v>
      </c>
      <c r="P22082">
        <v>0</v>
      </c>
    </row>
    <row r="22083" spans="1:16" x14ac:dyDescent="0.25">
      <c r="A22083" t="s">
        <v>44830</v>
      </c>
      <c r="B22083" t="s">
        <v>22160</v>
      </c>
      <c r="C22083" t="s">
        <v>22161</v>
      </c>
      <c r="D22083" t="str">
        <f>"1001"</f>
        <v>1001</v>
      </c>
      <c r="E22083" t="s">
        <v>42</v>
      </c>
      <c r="F22083" t="s">
        <v>3750</v>
      </c>
      <c r="G22083" t="s">
        <v>47091</v>
      </c>
      <c r="H22083" t="s">
        <v>47054</v>
      </c>
      <c r="I22083" t="s">
        <v>47116</v>
      </c>
      <c r="J22083" t="s">
        <v>47117</v>
      </c>
      <c r="K22083" t="s">
        <v>47113</v>
      </c>
      <c r="L22083">
        <v>7.15</v>
      </c>
      <c r="M22083">
        <v>12</v>
      </c>
      <c r="N22083">
        <v>0</v>
      </c>
      <c r="O22083">
        <v>12</v>
      </c>
      <c r="P22083">
        <v>0</v>
      </c>
    </row>
    <row r="22084" spans="1:16" x14ac:dyDescent="0.25">
      <c r="A22084" t="s">
        <v>44831</v>
      </c>
      <c r="B22084" t="s">
        <v>22160</v>
      </c>
      <c r="C22084" t="s">
        <v>22161</v>
      </c>
      <c r="D22084" t="str">
        <f>"1700"</f>
        <v>1700</v>
      </c>
      <c r="E22084" t="s">
        <v>60</v>
      </c>
      <c r="F22084" t="s">
        <v>3750</v>
      </c>
      <c r="G22084" t="s">
        <v>47091</v>
      </c>
      <c r="H22084" t="s">
        <v>47054</v>
      </c>
      <c r="I22084" t="s">
        <v>47116</v>
      </c>
      <c r="J22084" t="s">
        <v>47117</v>
      </c>
      <c r="K22084" t="s">
        <v>47113</v>
      </c>
      <c r="L22084">
        <v>7.15</v>
      </c>
      <c r="M22084">
        <v>12</v>
      </c>
      <c r="N22084">
        <v>0</v>
      </c>
      <c r="O22084">
        <v>12</v>
      </c>
      <c r="P22084">
        <v>0</v>
      </c>
    </row>
    <row r="22085" spans="1:16" x14ac:dyDescent="0.25">
      <c r="A22085" t="s">
        <v>44832</v>
      </c>
      <c r="B22085" t="s">
        <v>13201</v>
      </c>
      <c r="C22085" t="s">
        <v>13202</v>
      </c>
      <c r="D22085" t="str">
        <f>"1001"</f>
        <v>1001</v>
      </c>
      <c r="E22085" t="s">
        <v>42</v>
      </c>
      <c r="F22085" t="s">
        <v>3750</v>
      </c>
      <c r="G22085" t="s">
        <v>47091</v>
      </c>
      <c r="H22085" t="s">
        <v>47054</v>
      </c>
      <c r="I22085" t="s">
        <v>47111</v>
      </c>
      <c r="J22085" t="s">
        <v>47112</v>
      </c>
      <c r="K22085" t="s">
        <v>47113</v>
      </c>
      <c r="L22085">
        <v>8.92</v>
      </c>
      <c r="M22085">
        <v>37</v>
      </c>
      <c r="N22085">
        <v>99</v>
      </c>
      <c r="O22085">
        <v>37</v>
      </c>
      <c r="P22085">
        <v>99</v>
      </c>
    </row>
    <row r="22086" spans="1:16" x14ac:dyDescent="0.25">
      <c r="A22086" t="s">
        <v>44833</v>
      </c>
      <c r="B22086" t="s">
        <v>13201</v>
      </c>
      <c r="C22086" t="s">
        <v>13202</v>
      </c>
      <c r="D22086" t="str">
        <f>"1702"</f>
        <v>1702</v>
      </c>
      <c r="E22086" t="s">
        <v>1956</v>
      </c>
      <c r="F22086" t="s">
        <v>3750</v>
      </c>
      <c r="G22086" t="s">
        <v>47091</v>
      </c>
      <c r="H22086" t="s">
        <v>47054</v>
      </c>
      <c r="I22086" t="s">
        <v>47111</v>
      </c>
      <c r="J22086" t="s">
        <v>47112</v>
      </c>
      <c r="K22086" t="s">
        <v>47113</v>
      </c>
      <c r="L22086">
        <v>9.23</v>
      </c>
      <c r="M22086">
        <v>37</v>
      </c>
      <c r="N22086">
        <v>99</v>
      </c>
      <c r="O22086">
        <v>37</v>
      </c>
      <c r="P22086">
        <v>99</v>
      </c>
    </row>
    <row r="22087" spans="1:16" x14ac:dyDescent="0.25">
      <c r="A22087" t="s">
        <v>44834</v>
      </c>
      <c r="B22087" t="s">
        <v>13201</v>
      </c>
      <c r="C22087" t="s">
        <v>13202</v>
      </c>
      <c r="D22087" t="str">
        <f>"6000"</f>
        <v>6000</v>
      </c>
      <c r="E22087" t="s">
        <v>238</v>
      </c>
      <c r="F22087" t="s">
        <v>3750</v>
      </c>
      <c r="G22087" t="s">
        <v>47091</v>
      </c>
      <c r="H22087" t="s">
        <v>47054</v>
      </c>
      <c r="I22087" t="s">
        <v>47111</v>
      </c>
      <c r="J22087" t="s">
        <v>47112</v>
      </c>
      <c r="K22087" t="s">
        <v>47113</v>
      </c>
      <c r="L22087">
        <v>7.99</v>
      </c>
      <c r="M22087">
        <v>23</v>
      </c>
      <c r="N22087">
        <v>0</v>
      </c>
      <c r="O22087">
        <v>23</v>
      </c>
      <c r="P22087">
        <v>0</v>
      </c>
    </row>
    <row r="22088" spans="1:16" x14ac:dyDescent="0.25">
      <c r="A22088" t="s">
        <v>44835</v>
      </c>
      <c r="B22088" t="s">
        <v>13201</v>
      </c>
      <c r="C22088" t="s">
        <v>13202</v>
      </c>
      <c r="D22088" t="str">
        <f>"6132"</f>
        <v>6132</v>
      </c>
      <c r="E22088" t="s">
        <v>9411</v>
      </c>
      <c r="F22088" t="s">
        <v>3750</v>
      </c>
      <c r="G22088" t="s">
        <v>47091</v>
      </c>
      <c r="H22088" t="s">
        <v>47054</v>
      </c>
      <c r="I22088" t="s">
        <v>47111</v>
      </c>
      <c r="J22088" t="s">
        <v>47112</v>
      </c>
      <c r="K22088" t="s">
        <v>47113</v>
      </c>
      <c r="L22088">
        <v>8.92</v>
      </c>
      <c r="M22088">
        <v>37</v>
      </c>
      <c r="N22088">
        <v>99</v>
      </c>
      <c r="O22088">
        <v>37</v>
      </c>
      <c r="P22088">
        <v>99</v>
      </c>
    </row>
    <row r="22089" spans="1:16" x14ac:dyDescent="0.25">
      <c r="A22089" t="s">
        <v>44836</v>
      </c>
      <c r="B22089" t="s">
        <v>16156</v>
      </c>
      <c r="C22089" t="s">
        <v>16157</v>
      </c>
      <c r="D22089" t="str">
        <f>"1001"</f>
        <v>1001</v>
      </c>
      <c r="E22089" t="s">
        <v>42</v>
      </c>
      <c r="F22089" t="s">
        <v>3750</v>
      </c>
      <c r="G22089" t="s">
        <v>47091</v>
      </c>
      <c r="H22089" t="s">
        <v>47054</v>
      </c>
      <c r="I22089" t="s">
        <v>47111</v>
      </c>
      <c r="J22089" t="s">
        <v>47112</v>
      </c>
      <c r="K22089" t="s">
        <v>47113</v>
      </c>
      <c r="L22089">
        <v>7.61</v>
      </c>
      <c r="M22089">
        <v>27</v>
      </c>
      <c r="N22089">
        <v>0</v>
      </c>
      <c r="O22089">
        <v>27</v>
      </c>
      <c r="P22089">
        <v>0</v>
      </c>
    </row>
    <row r="22090" spans="1:16" x14ac:dyDescent="0.25">
      <c r="A22090" t="s">
        <v>44837</v>
      </c>
      <c r="B22090" t="s">
        <v>13203</v>
      </c>
      <c r="C22090" t="s">
        <v>13204</v>
      </c>
      <c r="D22090" t="str">
        <f>"1700"</f>
        <v>1700</v>
      </c>
      <c r="E22090" t="s">
        <v>60</v>
      </c>
      <c r="F22090" t="s">
        <v>3750</v>
      </c>
      <c r="G22090" t="s">
        <v>47091</v>
      </c>
      <c r="H22090" t="s">
        <v>47054</v>
      </c>
      <c r="I22090" t="s">
        <v>47116</v>
      </c>
      <c r="J22090" t="s">
        <v>47117</v>
      </c>
      <c r="K22090" t="s">
        <v>47113</v>
      </c>
      <c r="L22090">
        <v>6.48</v>
      </c>
      <c r="M22090">
        <v>22</v>
      </c>
      <c r="N22090">
        <v>0</v>
      </c>
      <c r="O22090">
        <v>22</v>
      </c>
      <c r="P22090">
        <v>0</v>
      </c>
    </row>
    <row r="22091" spans="1:16" x14ac:dyDescent="0.25">
      <c r="A22091" t="s">
        <v>44838</v>
      </c>
      <c r="B22091" t="s">
        <v>13203</v>
      </c>
      <c r="C22091" t="s">
        <v>13204</v>
      </c>
      <c r="D22091" t="str">
        <f>"4915"</f>
        <v>4915</v>
      </c>
      <c r="E22091" t="s">
        <v>12734</v>
      </c>
      <c r="F22091" t="s">
        <v>3750</v>
      </c>
      <c r="G22091" t="s">
        <v>47091</v>
      </c>
      <c r="H22091" t="s">
        <v>47054</v>
      </c>
      <c r="I22091" t="s">
        <v>47116</v>
      </c>
      <c r="J22091" t="s">
        <v>47117</v>
      </c>
      <c r="K22091" t="s">
        <v>47113</v>
      </c>
      <c r="L22091">
        <v>6.48</v>
      </c>
      <c r="M22091">
        <v>22</v>
      </c>
      <c r="N22091">
        <v>0</v>
      </c>
      <c r="O22091">
        <v>22</v>
      </c>
      <c r="P22091">
        <v>0</v>
      </c>
    </row>
    <row r="22092" spans="1:16" x14ac:dyDescent="0.25">
      <c r="A22092" t="s">
        <v>44839</v>
      </c>
      <c r="B22092" t="s">
        <v>16158</v>
      </c>
      <c r="C22092" t="s">
        <v>16159</v>
      </c>
      <c r="D22092" t="str">
        <f>"1700"</f>
        <v>1700</v>
      </c>
      <c r="E22092" t="s">
        <v>60</v>
      </c>
      <c r="F22092" t="s">
        <v>3750</v>
      </c>
      <c r="G22092" t="s">
        <v>47091</v>
      </c>
      <c r="H22092" t="s">
        <v>47054</v>
      </c>
      <c r="I22092" t="s">
        <v>47116</v>
      </c>
      <c r="J22092" t="s">
        <v>47117</v>
      </c>
      <c r="K22092" t="s">
        <v>47113</v>
      </c>
      <c r="L22092">
        <v>7.61</v>
      </c>
      <c r="M22092">
        <v>27</v>
      </c>
      <c r="N22092">
        <v>0</v>
      </c>
      <c r="O22092">
        <v>27</v>
      </c>
      <c r="P22092">
        <v>0</v>
      </c>
    </row>
    <row r="22093" spans="1:16" x14ac:dyDescent="0.25">
      <c r="A22093" t="s">
        <v>44840</v>
      </c>
      <c r="B22093" t="s">
        <v>16160</v>
      </c>
      <c r="C22093" t="s">
        <v>16161</v>
      </c>
      <c r="D22093" t="str">
        <f>"1700"</f>
        <v>1700</v>
      </c>
      <c r="E22093" t="s">
        <v>60</v>
      </c>
      <c r="F22093" t="s">
        <v>3750</v>
      </c>
      <c r="G22093" t="s">
        <v>47091</v>
      </c>
      <c r="H22093" t="s">
        <v>47054</v>
      </c>
      <c r="I22093" t="s">
        <v>47116</v>
      </c>
      <c r="J22093" t="s">
        <v>47117</v>
      </c>
      <c r="K22093" t="s">
        <v>47113</v>
      </c>
      <c r="L22093">
        <v>8.1300000000000008</v>
      </c>
      <c r="M22093">
        <v>23</v>
      </c>
      <c r="N22093">
        <v>0</v>
      </c>
      <c r="O22093">
        <v>23</v>
      </c>
      <c r="P22093">
        <v>0</v>
      </c>
    </row>
    <row r="22094" spans="1:16" x14ac:dyDescent="0.25">
      <c r="A22094" t="s">
        <v>44841</v>
      </c>
      <c r="B22094" t="s">
        <v>16160</v>
      </c>
      <c r="C22094" t="s">
        <v>16161</v>
      </c>
      <c r="D22094" t="str">
        <f>"6000"</f>
        <v>6000</v>
      </c>
      <c r="E22094" t="s">
        <v>238</v>
      </c>
      <c r="F22094" t="s">
        <v>3750</v>
      </c>
      <c r="G22094" t="s">
        <v>47091</v>
      </c>
      <c r="H22094" t="s">
        <v>47054</v>
      </c>
      <c r="I22094" t="s">
        <v>47116</v>
      </c>
      <c r="J22094" t="s">
        <v>47117</v>
      </c>
      <c r="K22094" t="s">
        <v>47113</v>
      </c>
      <c r="L22094">
        <v>8.1300000000000008</v>
      </c>
      <c r="M22094">
        <v>23</v>
      </c>
      <c r="N22094">
        <v>0</v>
      </c>
      <c r="O22094">
        <v>23</v>
      </c>
      <c r="P22094">
        <v>0</v>
      </c>
    </row>
    <row r="22095" spans="1:16" x14ac:dyDescent="0.25">
      <c r="A22095" t="s">
        <v>44842</v>
      </c>
      <c r="B22095" t="s">
        <v>19284</v>
      </c>
      <c r="C22095" t="s">
        <v>19285</v>
      </c>
      <c r="D22095" t="str">
        <f>"1700"</f>
        <v>1700</v>
      </c>
      <c r="E22095" t="s">
        <v>60</v>
      </c>
      <c r="F22095" t="s">
        <v>3750</v>
      </c>
      <c r="G22095" t="s">
        <v>47091</v>
      </c>
      <c r="H22095" t="s">
        <v>47054</v>
      </c>
      <c r="I22095" t="s">
        <v>47116</v>
      </c>
      <c r="J22095" t="s">
        <v>47117</v>
      </c>
      <c r="K22095" t="s">
        <v>47113</v>
      </c>
      <c r="L22095">
        <v>8.1300000000000008</v>
      </c>
      <c r="M22095">
        <v>23</v>
      </c>
      <c r="N22095">
        <v>0</v>
      </c>
      <c r="O22095">
        <v>23</v>
      </c>
      <c r="P22095">
        <v>0</v>
      </c>
    </row>
    <row r="22096" spans="1:16" x14ac:dyDescent="0.25">
      <c r="A22096" t="s">
        <v>44843</v>
      </c>
      <c r="B22096" t="s">
        <v>19284</v>
      </c>
      <c r="C22096" t="s">
        <v>19285</v>
      </c>
      <c r="D22096" t="str">
        <f>"4067"</f>
        <v>4067</v>
      </c>
      <c r="E22096" t="s">
        <v>19286</v>
      </c>
      <c r="F22096" t="s">
        <v>3750</v>
      </c>
      <c r="G22096" t="s">
        <v>47091</v>
      </c>
      <c r="H22096" t="s">
        <v>47054</v>
      </c>
      <c r="I22096" t="s">
        <v>47116</v>
      </c>
      <c r="J22096" t="s">
        <v>47117</v>
      </c>
      <c r="K22096" t="s">
        <v>47113</v>
      </c>
      <c r="L22096">
        <v>8.1300000000000008</v>
      </c>
      <c r="M22096">
        <v>23</v>
      </c>
      <c r="N22096">
        <v>0</v>
      </c>
      <c r="O22096">
        <v>23</v>
      </c>
      <c r="P22096">
        <v>0</v>
      </c>
    </row>
    <row r="22097" spans="1:16" x14ac:dyDescent="0.25">
      <c r="A22097" t="s">
        <v>44844</v>
      </c>
      <c r="B22097" t="s">
        <v>19287</v>
      </c>
      <c r="C22097" t="s">
        <v>19288</v>
      </c>
      <c r="D22097" t="str">
        <f>"1001"</f>
        <v>1001</v>
      </c>
      <c r="E22097" t="s">
        <v>42</v>
      </c>
      <c r="F22097" t="s">
        <v>3750</v>
      </c>
      <c r="G22097" t="s">
        <v>47091</v>
      </c>
      <c r="H22097" t="s">
        <v>47054</v>
      </c>
      <c r="I22097" t="s">
        <v>47116</v>
      </c>
      <c r="J22097" t="s">
        <v>47117</v>
      </c>
      <c r="K22097" t="s">
        <v>47113</v>
      </c>
      <c r="L22097">
        <v>8.1300000000000008</v>
      </c>
      <c r="M22097">
        <v>23</v>
      </c>
      <c r="N22097">
        <v>0</v>
      </c>
      <c r="O22097">
        <v>23</v>
      </c>
      <c r="P22097">
        <v>0</v>
      </c>
    </row>
    <row r="22098" spans="1:16" x14ac:dyDescent="0.25">
      <c r="A22098" t="s">
        <v>44845</v>
      </c>
      <c r="B22098" t="s">
        <v>19287</v>
      </c>
      <c r="C22098" t="s">
        <v>19288</v>
      </c>
      <c r="D22098" t="str">
        <f>"1700"</f>
        <v>1700</v>
      </c>
      <c r="E22098" t="s">
        <v>60</v>
      </c>
      <c r="F22098" t="s">
        <v>3750</v>
      </c>
      <c r="G22098" t="s">
        <v>47091</v>
      </c>
      <c r="H22098" t="s">
        <v>47054</v>
      </c>
      <c r="I22098" t="s">
        <v>47116</v>
      </c>
      <c r="J22098" t="s">
        <v>47117</v>
      </c>
      <c r="K22098" t="s">
        <v>47113</v>
      </c>
      <c r="L22098">
        <v>8.1300000000000008</v>
      </c>
      <c r="M22098">
        <v>23</v>
      </c>
      <c r="N22098">
        <v>0</v>
      </c>
      <c r="O22098">
        <v>23</v>
      </c>
      <c r="P22098">
        <v>0</v>
      </c>
    </row>
    <row r="22099" spans="1:16" x14ac:dyDescent="0.25">
      <c r="A22099" t="s">
        <v>44846</v>
      </c>
      <c r="B22099" t="s">
        <v>22162</v>
      </c>
      <c r="C22099" t="s">
        <v>22163</v>
      </c>
      <c r="D22099" t="str">
        <f>"1100"</f>
        <v>1100</v>
      </c>
      <c r="E22099" t="s">
        <v>54</v>
      </c>
      <c r="F22099" t="s">
        <v>3750</v>
      </c>
      <c r="G22099" t="s">
        <v>47091</v>
      </c>
      <c r="H22099" t="s">
        <v>47054</v>
      </c>
      <c r="I22099" t="s">
        <v>47569</v>
      </c>
      <c r="J22099" t="s">
        <v>47570</v>
      </c>
      <c r="K22099" t="s">
        <v>47113</v>
      </c>
      <c r="L22099">
        <v>8.84</v>
      </c>
      <c r="M22099">
        <v>12</v>
      </c>
      <c r="N22099">
        <v>0</v>
      </c>
      <c r="O22099">
        <v>12</v>
      </c>
      <c r="P22099">
        <v>0</v>
      </c>
    </row>
    <row r="22100" spans="1:16" x14ac:dyDescent="0.25">
      <c r="A22100" t="s">
        <v>44847</v>
      </c>
      <c r="B22100" t="s">
        <v>22164</v>
      </c>
      <c r="C22100" t="s">
        <v>22165</v>
      </c>
      <c r="D22100" t="str">
        <f>"1700"</f>
        <v>1700</v>
      </c>
      <c r="E22100" t="s">
        <v>60</v>
      </c>
      <c r="F22100" t="s">
        <v>3750</v>
      </c>
      <c r="G22100" t="s">
        <v>47091</v>
      </c>
      <c r="H22100" t="s">
        <v>47054</v>
      </c>
      <c r="I22100" t="s">
        <v>47154</v>
      </c>
      <c r="J22100" t="s">
        <v>47155</v>
      </c>
      <c r="K22100" t="s">
        <v>47113</v>
      </c>
      <c r="L22100">
        <v>9.74</v>
      </c>
      <c r="M22100">
        <v>34</v>
      </c>
      <c r="N22100">
        <v>0</v>
      </c>
      <c r="O22100">
        <v>34</v>
      </c>
      <c r="P22100">
        <v>0</v>
      </c>
    </row>
    <row r="22101" spans="1:16" x14ac:dyDescent="0.25">
      <c r="A22101" t="s">
        <v>44848</v>
      </c>
      <c r="B22101" t="s">
        <v>22166</v>
      </c>
      <c r="C22101" t="s">
        <v>22167</v>
      </c>
      <c r="D22101" t="str">
        <f>"1473"</f>
        <v>1473</v>
      </c>
      <c r="E22101" t="s">
        <v>9579</v>
      </c>
      <c r="F22101" t="s">
        <v>3750</v>
      </c>
      <c r="G22101" t="s">
        <v>47097</v>
      </c>
      <c r="H22101" t="s">
        <v>47054</v>
      </c>
      <c r="I22101" t="s">
        <v>47569</v>
      </c>
      <c r="J22101" t="s">
        <v>47570</v>
      </c>
      <c r="K22101" t="s">
        <v>47113</v>
      </c>
      <c r="L22101">
        <v>8.9</v>
      </c>
      <c r="M22101">
        <v>26</v>
      </c>
      <c r="N22101">
        <v>0</v>
      </c>
      <c r="O22101">
        <v>26</v>
      </c>
      <c r="P22101">
        <v>0</v>
      </c>
    </row>
    <row r="22102" spans="1:16" x14ac:dyDescent="0.25">
      <c r="A22102" t="s">
        <v>44849</v>
      </c>
      <c r="B22102" t="s">
        <v>22166</v>
      </c>
      <c r="C22102" t="s">
        <v>22167</v>
      </c>
      <c r="D22102" t="str">
        <f>"4500"</f>
        <v>4500</v>
      </c>
      <c r="E22102" t="s">
        <v>22114</v>
      </c>
      <c r="F22102" t="s">
        <v>3750</v>
      </c>
      <c r="G22102" t="s">
        <v>47097</v>
      </c>
      <c r="H22102" t="s">
        <v>47054</v>
      </c>
      <c r="I22102" t="s">
        <v>47569</v>
      </c>
      <c r="J22102" t="s">
        <v>47570</v>
      </c>
      <c r="K22102" t="s">
        <v>47113</v>
      </c>
      <c r="L22102">
        <v>7.66</v>
      </c>
      <c r="M22102">
        <v>26</v>
      </c>
      <c r="N22102">
        <v>0</v>
      </c>
      <c r="O22102">
        <v>26</v>
      </c>
      <c r="P22102">
        <v>0</v>
      </c>
    </row>
    <row r="22103" spans="1:16" x14ac:dyDescent="0.25">
      <c r="A22103" t="s">
        <v>44850</v>
      </c>
      <c r="B22103" t="s">
        <v>22166</v>
      </c>
      <c r="C22103" t="s">
        <v>22167</v>
      </c>
      <c r="D22103" t="str">
        <f>"6807"</f>
        <v>6807</v>
      </c>
      <c r="E22103" t="s">
        <v>22168</v>
      </c>
      <c r="F22103" t="s">
        <v>3750</v>
      </c>
      <c r="G22103" t="s">
        <v>47097</v>
      </c>
      <c r="H22103" t="s">
        <v>47054</v>
      </c>
      <c r="I22103" t="s">
        <v>47569</v>
      </c>
      <c r="J22103" t="s">
        <v>47570</v>
      </c>
      <c r="K22103" t="s">
        <v>47113</v>
      </c>
      <c r="L22103">
        <v>8.9</v>
      </c>
      <c r="M22103">
        <v>26</v>
      </c>
      <c r="N22103">
        <v>0</v>
      </c>
      <c r="O22103">
        <v>26</v>
      </c>
      <c r="P22103">
        <v>0</v>
      </c>
    </row>
    <row r="22104" spans="1:16" x14ac:dyDescent="0.25">
      <c r="A22104" t="s">
        <v>44851</v>
      </c>
      <c r="B22104" t="s">
        <v>22169</v>
      </c>
      <c r="C22104" t="s">
        <v>22170</v>
      </c>
      <c r="D22104" t="str">
        <f>"1096"</f>
        <v>1096</v>
      </c>
      <c r="E22104" t="s">
        <v>4744</v>
      </c>
      <c r="F22104" t="s">
        <v>3750</v>
      </c>
      <c r="G22104" t="s">
        <v>47091</v>
      </c>
      <c r="H22104" t="s">
        <v>47054</v>
      </c>
      <c r="I22104" t="s">
        <v>47569</v>
      </c>
      <c r="J22104" t="s">
        <v>47570</v>
      </c>
      <c r="K22104" t="s">
        <v>47113</v>
      </c>
      <c r="L22104">
        <v>9.31</v>
      </c>
      <c r="M22104">
        <v>33</v>
      </c>
      <c r="N22104">
        <v>0</v>
      </c>
      <c r="O22104">
        <v>33</v>
      </c>
      <c r="P22104">
        <v>0</v>
      </c>
    </row>
    <row r="22105" spans="1:16" x14ac:dyDescent="0.25">
      <c r="A22105" t="s">
        <v>44852</v>
      </c>
      <c r="B22105" t="s">
        <v>22169</v>
      </c>
      <c r="C22105" t="s">
        <v>22170</v>
      </c>
      <c r="D22105" t="str">
        <f>"1473"</f>
        <v>1473</v>
      </c>
      <c r="E22105" t="s">
        <v>22171</v>
      </c>
      <c r="F22105" t="s">
        <v>3750</v>
      </c>
      <c r="G22105" t="s">
        <v>47091</v>
      </c>
      <c r="H22105" t="s">
        <v>47054</v>
      </c>
      <c r="I22105" t="s">
        <v>47569</v>
      </c>
      <c r="J22105" t="s">
        <v>47570</v>
      </c>
      <c r="K22105" t="s">
        <v>47113</v>
      </c>
      <c r="L22105">
        <v>7.8</v>
      </c>
      <c r="M22105">
        <v>33</v>
      </c>
      <c r="N22105">
        <v>0</v>
      </c>
      <c r="O22105">
        <v>33</v>
      </c>
      <c r="P22105">
        <v>0</v>
      </c>
    </row>
    <row r="22106" spans="1:16" x14ac:dyDescent="0.25">
      <c r="A22106" t="s">
        <v>44853</v>
      </c>
      <c r="B22106" t="s">
        <v>22172</v>
      </c>
      <c r="C22106" t="s">
        <v>22173</v>
      </c>
      <c r="D22106" t="str">
        <f>"1473"</f>
        <v>1473</v>
      </c>
      <c r="E22106" t="s">
        <v>9579</v>
      </c>
      <c r="F22106" t="s">
        <v>3750</v>
      </c>
      <c r="G22106" t="s">
        <v>47091</v>
      </c>
      <c r="H22106" t="s">
        <v>47054</v>
      </c>
      <c r="I22106" t="s">
        <v>47569</v>
      </c>
      <c r="J22106" t="s">
        <v>47570</v>
      </c>
      <c r="K22106" t="s">
        <v>47113</v>
      </c>
      <c r="L22106">
        <v>7.44</v>
      </c>
      <c r="M22106">
        <v>26</v>
      </c>
      <c r="N22106">
        <v>0</v>
      </c>
      <c r="O22106">
        <v>26</v>
      </c>
      <c r="P22106">
        <v>0</v>
      </c>
    </row>
    <row r="22107" spans="1:16" x14ac:dyDescent="0.25">
      <c r="A22107" t="s">
        <v>44854</v>
      </c>
      <c r="B22107" t="s">
        <v>22172</v>
      </c>
      <c r="C22107" t="s">
        <v>22173</v>
      </c>
      <c r="D22107" t="str">
        <f>"6807"</f>
        <v>6807</v>
      </c>
      <c r="E22107" t="s">
        <v>22168</v>
      </c>
      <c r="F22107" t="s">
        <v>3750</v>
      </c>
      <c r="G22107" t="s">
        <v>47091</v>
      </c>
      <c r="H22107" t="s">
        <v>47054</v>
      </c>
      <c r="I22107" t="s">
        <v>47569</v>
      </c>
      <c r="J22107" t="s">
        <v>47570</v>
      </c>
      <c r="K22107" t="s">
        <v>47113</v>
      </c>
      <c r="L22107">
        <v>7.44</v>
      </c>
      <c r="M22107">
        <v>26</v>
      </c>
      <c r="N22107">
        <v>0</v>
      </c>
      <c r="O22107">
        <v>26</v>
      </c>
      <c r="P22107">
        <v>0</v>
      </c>
    </row>
    <row r="22108" spans="1:16" x14ac:dyDescent="0.25">
      <c r="A22108" t="s">
        <v>44855</v>
      </c>
      <c r="B22108" t="s">
        <v>13205</v>
      </c>
      <c r="C22108" t="s">
        <v>13206</v>
      </c>
      <c r="D22108" t="str">
        <f>"8045"</f>
        <v>8045</v>
      </c>
      <c r="E22108" t="s">
        <v>7595</v>
      </c>
      <c r="F22108" t="s">
        <v>2</v>
      </c>
      <c r="G22108" t="s">
        <v>47101</v>
      </c>
      <c r="H22108" t="s">
        <v>47054</v>
      </c>
      <c r="I22108" t="s">
        <v>47120</v>
      </c>
      <c r="J22108" t="s">
        <v>47121</v>
      </c>
      <c r="K22108" t="s">
        <v>47113</v>
      </c>
      <c r="L22108">
        <v>22.42</v>
      </c>
      <c r="M22108">
        <v>58</v>
      </c>
      <c r="N22108">
        <v>0</v>
      </c>
      <c r="O22108">
        <v>58</v>
      </c>
      <c r="P22108">
        <v>0</v>
      </c>
    </row>
    <row r="22109" spans="1:16" x14ac:dyDescent="0.25">
      <c r="A22109" t="s">
        <v>44856</v>
      </c>
      <c r="B22109" t="s">
        <v>13207</v>
      </c>
      <c r="C22109" t="s">
        <v>13206</v>
      </c>
      <c r="D22109" t="str">
        <f>"4495"</f>
        <v>4495</v>
      </c>
      <c r="E22109" t="s">
        <v>2744</v>
      </c>
      <c r="F22109" t="s">
        <v>2</v>
      </c>
      <c r="G22109" t="s">
        <v>47101</v>
      </c>
      <c r="H22109" t="s">
        <v>47054</v>
      </c>
      <c r="I22109" t="s">
        <v>47118</v>
      </c>
      <c r="J22109" t="s">
        <v>47119</v>
      </c>
      <c r="K22109" t="s">
        <v>47113</v>
      </c>
      <c r="L22109">
        <v>21.15</v>
      </c>
      <c r="M22109">
        <v>58</v>
      </c>
      <c r="N22109">
        <v>0</v>
      </c>
      <c r="O22109">
        <v>58</v>
      </c>
      <c r="P22109">
        <v>0</v>
      </c>
    </row>
    <row r="22110" spans="1:16" x14ac:dyDescent="0.25">
      <c r="A22110" t="s">
        <v>1141</v>
      </c>
      <c r="B22110" t="s">
        <v>1142</v>
      </c>
      <c r="C22110" t="s">
        <v>1143</v>
      </c>
      <c r="D22110" t="str">
        <f>"4525"</f>
        <v>4525</v>
      </c>
      <c r="E22110" t="s">
        <v>1144</v>
      </c>
      <c r="F22110" t="s">
        <v>2</v>
      </c>
      <c r="G22110" t="s">
        <v>47092</v>
      </c>
      <c r="H22110" t="s">
        <v>47054</v>
      </c>
      <c r="I22110" t="s">
        <v>47111</v>
      </c>
      <c r="J22110" t="s">
        <v>47112</v>
      </c>
      <c r="K22110" t="s">
        <v>47113</v>
      </c>
      <c r="L22110">
        <v>32.909999999999997</v>
      </c>
      <c r="M22110">
        <v>34</v>
      </c>
      <c r="N22110">
        <v>0</v>
      </c>
      <c r="O22110">
        <v>34</v>
      </c>
      <c r="P22110">
        <v>0</v>
      </c>
    </row>
    <row r="22111" spans="1:16" x14ac:dyDescent="0.25">
      <c r="A22111" t="s">
        <v>1145</v>
      </c>
      <c r="B22111" t="s">
        <v>1142</v>
      </c>
      <c r="C22111" t="s">
        <v>1143</v>
      </c>
      <c r="D22111" t="str">
        <f>"6814"</f>
        <v>6814</v>
      </c>
      <c r="E22111" t="s">
        <v>1146</v>
      </c>
      <c r="F22111" t="s">
        <v>2</v>
      </c>
      <c r="G22111" t="s">
        <v>47092</v>
      </c>
      <c r="H22111" t="s">
        <v>47054</v>
      </c>
      <c r="I22111" t="s">
        <v>47111</v>
      </c>
      <c r="J22111" t="s">
        <v>47112</v>
      </c>
      <c r="K22111" t="s">
        <v>47113</v>
      </c>
      <c r="L22111">
        <v>32.909999999999997</v>
      </c>
      <c r="M22111">
        <v>34</v>
      </c>
      <c r="N22111">
        <v>0</v>
      </c>
      <c r="O22111">
        <v>34</v>
      </c>
      <c r="P22111">
        <v>0</v>
      </c>
    </row>
    <row r="22112" spans="1:16" x14ac:dyDescent="0.25">
      <c r="A22112" t="s">
        <v>1147</v>
      </c>
      <c r="B22112" t="s">
        <v>1142</v>
      </c>
      <c r="C22112" t="s">
        <v>1143</v>
      </c>
      <c r="D22112" t="str">
        <f>"7435"</f>
        <v>7435</v>
      </c>
      <c r="E22112" t="s">
        <v>1148</v>
      </c>
      <c r="F22112" t="s">
        <v>2</v>
      </c>
      <c r="G22112" t="s">
        <v>47092</v>
      </c>
      <c r="H22112" t="s">
        <v>47054</v>
      </c>
      <c r="I22112" t="s">
        <v>47111</v>
      </c>
      <c r="J22112" t="s">
        <v>47112</v>
      </c>
      <c r="K22112" t="s">
        <v>47113</v>
      </c>
      <c r="L22112">
        <v>32.909999999999997</v>
      </c>
      <c r="M22112">
        <v>34</v>
      </c>
      <c r="N22112">
        <v>0</v>
      </c>
      <c r="O22112">
        <v>34</v>
      </c>
      <c r="P22112">
        <v>0</v>
      </c>
    </row>
    <row r="22113" spans="1:16" x14ac:dyDescent="0.25">
      <c r="A22113" t="s">
        <v>1149</v>
      </c>
      <c r="B22113" t="s">
        <v>1142</v>
      </c>
      <c r="C22113" t="s">
        <v>1143</v>
      </c>
      <c r="D22113" t="str">
        <f>"8030"</f>
        <v>8030</v>
      </c>
      <c r="E22113" t="s">
        <v>1150</v>
      </c>
      <c r="F22113" t="s">
        <v>2</v>
      </c>
      <c r="G22113" t="s">
        <v>47092</v>
      </c>
      <c r="H22113" t="s">
        <v>47054</v>
      </c>
      <c r="I22113" t="s">
        <v>47111</v>
      </c>
      <c r="J22113" t="s">
        <v>47112</v>
      </c>
      <c r="K22113" t="s">
        <v>47113</v>
      </c>
      <c r="L22113">
        <v>32.909999999999997</v>
      </c>
      <c r="M22113">
        <v>34</v>
      </c>
      <c r="N22113">
        <v>0</v>
      </c>
      <c r="O22113">
        <v>34</v>
      </c>
      <c r="P22113">
        <v>0</v>
      </c>
    </row>
    <row r="22114" spans="1:16" x14ac:dyDescent="0.25">
      <c r="A22114" t="s">
        <v>44857</v>
      </c>
      <c r="B22114" t="s">
        <v>13208</v>
      </c>
      <c r="C22114" t="s">
        <v>13209</v>
      </c>
      <c r="D22114" t="str">
        <f>"8346"</f>
        <v>8346</v>
      </c>
      <c r="E22114" t="s">
        <v>13210</v>
      </c>
      <c r="F22114" t="s">
        <v>2</v>
      </c>
      <c r="G22114" t="s">
        <v>47092</v>
      </c>
      <c r="H22114" t="s">
        <v>47054</v>
      </c>
      <c r="I22114" t="s">
        <v>47111</v>
      </c>
      <c r="J22114" t="s">
        <v>47112</v>
      </c>
      <c r="K22114" t="s">
        <v>47113</v>
      </c>
      <c r="L22114">
        <v>12.02</v>
      </c>
      <c r="M22114">
        <v>33</v>
      </c>
      <c r="N22114">
        <v>0</v>
      </c>
      <c r="O22114">
        <v>33</v>
      </c>
      <c r="P22114">
        <v>0</v>
      </c>
    </row>
    <row r="22115" spans="1:16" x14ac:dyDescent="0.25">
      <c r="A22115" t="s">
        <v>44858</v>
      </c>
      <c r="B22115" t="s">
        <v>13211</v>
      </c>
      <c r="C22115" t="s">
        <v>13212</v>
      </c>
      <c r="D22115" t="str">
        <f>"6838"</f>
        <v>6838</v>
      </c>
      <c r="E22115" t="s">
        <v>13213</v>
      </c>
      <c r="F22115" t="s">
        <v>2</v>
      </c>
      <c r="G22115" t="s">
        <v>47092</v>
      </c>
      <c r="I22115" t="s">
        <v>47111</v>
      </c>
      <c r="J22115" t="s">
        <v>47112</v>
      </c>
      <c r="K22115" t="s">
        <v>47113</v>
      </c>
      <c r="L22115">
        <v>11.69</v>
      </c>
      <c r="M22115">
        <v>32</v>
      </c>
      <c r="N22115">
        <v>0</v>
      </c>
      <c r="O22115">
        <v>32</v>
      </c>
      <c r="P22115">
        <v>0</v>
      </c>
    </row>
    <row r="22116" spans="1:16" x14ac:dyDescent="0.25">
      <c r="A22116" t="s">
        <v>44859</v>
      </c>
      <c r="B22116" t="s">
        <v>13214</v>
      </c>
      <c r="C22116" t="s">
        <v>13215</v>
      </c>
      <c r="D22116" t="str">
        <f>"1033"</f>
        <v>1033</v>
      </c>
      <c r="E22116" t="s">
        <v>1195</v>
      </c>
      <c r="F22116" t="s">
        <v>7</v>
      </c>
      <c r="G22116" t="s">
        <v>47092</v>
      </c>
      <c r="H22116" t="s">
        <v>47054</v>
      </c>
      <c r="I22116" t="s">
        <v>47111</v>
      </c>
      <c r="J22116" t="s">
        <v>47112</v>
      </c>
      <c r="K22116" t="s">
        <v>47113</v>
      </c>
      <c r="L22116">
        <v>10.6</v>
      </c>
      <c r="M22116">
        <v>29</v>
      </c>
      <c r="N22116">
        <v>0</v>
      </c>
      <c r="O22116">
        <v>29</v>
      </c>
      <c r="P22116">
        <v>0</v>
      </c>
    </row>
    <row r="22117" spans="1:16" x14ac:dyDescent="0.25">
      <c r="A22117" t="s">
        <v>44860</v>
      </c>
      <c r="B22117" t="s">
        <v>13214</v>
      </c>
      <c r="C22117" t="s">
        <v>13215</v>
      </c>
      <c r="D22117" t="str">
        <f>"1746"</f>
        <v>1746</v>
      </c>
      <c r="E22117" t="s">
        <v>807</v>
      </c>
      <c r="F22117" t="s">
        <v>7</v>
      </c>
      <c r="G22117" t="s">
        <v>47092</v>
      </c>
      <c r="H22117" t="s">
        <v>47054</v>
      </c>
      <c r="I22117" t="s">
        <v>47111</v>
      </c>
      <c r="J22117" t="s">
        <v>47112</v>
      </c>
      <c r="K22117" t="s">
        <v>47113</v>
      </c>
      <c r="L22117">
        <v>12.06</v>
      </c>
      <c r="M22117">
        <v>29</v>
      </c>
      <c r="N22117">
        <v>0</v>
      </c>
      <c r="O22117">
        <v>29</v>
      </c>
      <c r="P22117">
        <v>0</v>
      </c>
    </row>
    <row r="22118" spans="1:16" x14ac:dyDescent="0.25">
      <c r="A22118" t="s">
        <v>44861</v>
      </c>
      <c r="B22118" t="s">
        <v>13214</v>
      </c>
      <c r="C22118" t="s">
        <v>13215</v>
      </c>
      <c r="D22118" t="str">
        <f>"3022"</f>
        <v>3022</v>
      </c>
      <c r="E22118" t="s">
        <v>7476</v>
      </c>
      <c r="F22118" t="s">
        <v>7</v>
      </c>
      <c r="G22118" t="s">
        <v>47092</v>
      </c>
      <c r="H22118" t="s">
        <v>47054</v>
      </c>
      <c r="I22118" t="s">
        <v>47111</v>
      </c>
      <c r="J22118" t="s">
        <v>47112</v>
      </c>
      <c r="K22118" t="s">
        <v>47113</v>
      </c>
      <c r="L22118">
        <v>14.25</v>
      </c>
      <c r="M22118">
        <v>25</v>
      </c>
      <c r="N22118">
        <v>0</v>
      </c>
      <c r="O22118">
        <v>25</v>
      </c>
      <c r="P22118">
        <v>0</v>
      </c>
    </row>
    <row r="22119" spans="1:16" x14ac:dyDescent="0.25">
      <c r="A22119" t="s">
        <v>44862</v>
      </c>
      <c r="B22119" t="s">
        <v>13214</v>
      </c>
      <c r="C22119" t="s">
        <v>13215</v>
      </c>
      <c r="D22119" t="str">
        <f>"3045"</f>
        <v>3045</v>
      </c>
      <c r="E22119" t="s">
        <v>6491</v>
      </c>
      <c r="F22119" t="s">
        <v>2</v>
      </c>
      <c r="G22119" t="s">
        <v>47092</v>
      </c>
      <c r="H22119" t="s">
        <v>47054</v>
      </c>
      <c r="I22119" t="s">
        <v>47111</v>
      </c>
      <c r="J22119" t="s">
        <v>47112</v>
      </c>
      <c r="K22119" t="s">
        <v>47113</v>
      </c>
      <c r="L22119">
        <v>10.57</v>
      </c>
      <c r="M22119">
        <v>29</v>
      </c>
      <c r="N22119">
        <v>0</v>
      </c>
      <c r="O22119">
        <v>29</v>
      </c>
      <c r="P22119">
        <v>0</v>
      </c>
    </row>
    <row r="22120" spans="1:16" x14ac:dyDescent="0.25">
      <c r="A22120" t="s">
        <v>44863</v>
      </c>
      <c r="B22120" t="s">
        <v>13214</v>
      </c>
      <c r="C22120" t="s">
        <v>13215</v>
      </c>
      <c r="D22120" t="str">
        <f>"3347"</f>
        <v>3347</v>
      </c>
      <c r="E22120" t="s">
        <v>6492</v>
      </c>
      <c r="F22120" t="s">
        <v>2</v>
      </c>
      <c r="G22120" t="s">
        <v>47092</v>
      </c>
      <c r="H22120" t="s">
        <v>47054</v>
      </c>
      <c r="I22120" t="s">
        <v>47111</v>
      </c>
      <c r="J22120" t="s">
        <v>47112</v>
      </c>
      <c r="K22120" t="s">
        <v>47113</v>
      </c>
      <c r="L22120">
        <v>10.57</v>
      </c>
      <c r="M22120">
        <v>29</v>
      </c>
      <c r="N22120">
        <v>0</v>
      </c>
      <c r="O22120">
        <v>29</v>
      </c>
      <c r="P22120">
        <v>0</v>
      </c>
    </row>
    <row r="22121" spans="1:16" x14ac:dyDescent="0.25">
      <c r="A22121" t="s">
        <v>44864</v>
      </c>
      <c r="B22121" t="s">
        <v>13214</v>
      </c>
      <c r="C22121" t="s">
        <v>13215</v>
      </c>
      <c r="D22121" t="str">
        <f>"4134"</f>
        <v>4134</v>
      </c>
      <c r="E22121" t="s">
        <v>6455</v>
      </c>
      <c r="F22121" t="s">
        <v>2</v>
      </c>
      <c r="G22121" t="s">
        <v>47092</v>
      </c>
      <c r="H22121" t="s">
        <v>47054</v>
      </c>
      <c r="I22121" t="s">
        <v>47111</v>
      </c>
      <c r="J22121" t="s">
        <v>47112</v>
      </c>
      <c r="K22121" t="s">
        <v>47113</v>
      </c>
      <c r="L22121">
        <v>10.57</v>
      </c>
      <c r="M22121">
        <v>29</v>
      </c>
      <c r="N22121">
        <v>0</v>
      </c>
      <c r="O22121">
        <v>29</v>
      </c>
      <c r="P22121">
        <v>0</v>
      </c>
    </row>
    <row r="22122" spans="1:16" x14ac:dyDescent="0.25">
      <c r="A22122" t="s">
        <v>44865</v>
      </c>
      <c r="B22122" t="s">
        <v>13214</v>
      </c>
      <c r="C22122" t="s">
        <v>13215</v>
      </c>
      <c r="D22122" t="str">
        <f>"4529"</f>
        <v>4529</v>
      </c>
      <c r="E22122" t="s">
        <v>1184</v>
      </c>
      <c r="F22122" t="s">
        <v>2</v>
      </c>
      <c r="G22122" t="s">
        <v>47092</v>
      </c>
      <c r="H22122" t="s">
        <v>47054</v>
      </c>
      <c r="I22122" t="s">
        <v>47111</v>
      </c>
      <c r="J22122" t="s">
        <v>47112</v>
      </c>
      <c r="K22122" t="s">
        <v>47113</v>
      </c>
      <c r="L22122">
        <v>10.57</v>
      </c>
      <c r="M22122">
        <v>29</v>
      </c>
      <c r="N22122">
        <v>0</v>
      </c>
      <c r="O22122">
        <v>29</v>
      </c>
      <c r="P22122">
        <v>0</v>
      </c>
    </row>
    <row r="22123" spans="1:16" x14ac:dyDescent="0.25">
      <c r="A22123" t="s">
        <v>44866</v>
      </c>
      <c r="B22123" t="s">
        <v>13214</v>
      </c>
      <c r="C22123" t="s">
        <v>13215</v>
      </c>
      <c r="D22123" t="str">
        <f>"5013"</f>
        <v>5013</v>
      </c>
      <c r="E22123" t="s">
        <v>1201</v>
      </c>
      <c r="F22123" t="s">
        <v>2</v>
      </c>
      <c r="G22123" t="s">
        <v>47092</v>
      </c>
      <c r="H22123" t="s">
        <v>47054</v>
      </c>
      <c r="I22123" t="s">
        <v>47111</v>
      </c>
      <c r="J22123" t="s">
        <v>47112</v>
      </c>
      <c r="K22123" t="s">
        <v>47113</v>
      </c>
      <c r="L22123">
        <v>10.57</v>
      </c>
      <c r="M22123">
        <v>29</v>
      </c>
      <c r="N22123">
        <v>0</v>
      </c>
      <c r="O22123">
        <v>29</v>
      </c>
      <c r="P22123">
        <v>0</v>
      </c>
    </row>
    <row r="22124" spans="1:16" x14ac:dyDescent="0.25">
      <c r="A22124" t="s">
        <v>44867</v>
      </c>
      <c r="B22124" t="s">
        <v>13214</v>
      </c>
      <c r="C22124" t="s">
        <v>13215</v>
      </c>
      <c r="D22124" t="str">
        <f>"6122"</f>
        <v>6122</v>
      </c>
      <c r="E22124" t="s">
        <v>1197</v>
      </c>
      <c r="F22124" t="s">
        <v>7</v>
      </c>
      <c r="G22124" t="s">
        <v>47092</v>
      </c>
      <c r="H22124" t="s">
        <v>47054</v>
      </c>
      <c r="I22124" t="s">
        <v>47111</v>
      </c>
      <c r="J22124" t="s">
        <v>47112</v>
      </c>
      <c r="K22124" t="s">
        <v>47113</v>
      </c>
      <c r="L22124">
        <v>10.8</v>
      </c>
      <c r="M22124">
        <v>21</v>
      </c>
      <c r="N22124">
        <v>0</v>
      </c>
      <c r="O22124">
        <v>21</v>
      </c>
      <c r="P22124">
        <v>0</v>
      </c>
    </row>
    <row r="22125" spans="1:16" x14ac:dyDescent="0.25">
      <c r="A22125" t="s">
        <v>44868</v>
      </c>
      <c r="B22125" t="s">
        <v>13214</v>
      </c>
      <c r="C22125" t="s">
        <v>13215</v>
      </c>
      <c r="D22125" t="str">
        <f>"6205"</f>
        <v>6205</v>
      </c>
      <c r="E22125" t="s">
        <v>6493</v>
      </c>
      <c r="F22125" t="s">
        <v>2</v>
      </c>
      <c r="G22125" t="s">
        <v>47092</v>
      </c>
      <c r="H22125" t="s">
        <v>47054</v>
      </c>
      <c r="I22125" t="s">
        <v>47111</v>
      </c>
      <c r="J22125" t="s">
        <v>47112</v>
      </c>
      <c r="K22125" t="s">
        <v>47113</v>
      </c>
      <c r="L22125">
        <v>10.57</v>
      </c>
      <c r="M22125">
        <v>29</v>
      </c>
      <c r="N22125">
        <v>0</v>
      </c>
      <c r="O22125">
        <v>29</v>
      </c>
      <c r="P22125">
        <v>0</v>
      </c>
    </row>
    <row r="22126" spans="1:16" x14ac:dyDescent="0.25">
      <c r="A22126" t="s">
        <v>44869</v>
      </c>
      <c r="B22126" t="s">
        <v>13214</v>
      </c>
      <c r="C22126" t="s">
        <v>13215</v>
      </c>
      <c r="D22126" t="str">
        <f>"6806"</f>
        <v>6806</v>
      </c>
      <c r="E22126" t="s">
        <v>13216</v>
      </c>
      <c r="F22126" t="s">
        <v>2</v>
      </c>
      <c r="G22126" t="s">
        <v>47092</v>
      </c>
      <c r="H22126" t="s">
        <v>47054</v>
      </c>
      <c r="I22126" t="s">
        <v>47111</v>
      </c>
      <c r="J22126" t="s">
        <v>47112</v>
      </c>
      <c r="K22126" t="s">
        <v>47113</v>
      </c>
      <c r="L22126">
        <v>10.57</v>
      </c>
      <c r="M22126">
        <v>29</v>
      </c>
      <c r="N22126">
        <v>0</v>
      </c>
      <c r="O22126">
        <v>29</v>
      </c>
      <c r="P22126">
        <v>0</v>
      </c>
    </row>
    <row r="22127" spans="1:16" x14ac:dyDescent="0.25">
      <c r="A22127" t="s">
        <v>44870</v>
      </c>
      <c r="B22127" t="s">
        <v>13214</v>
      </c>
      <c r="C22127" t="s">
        <v>13215</v>
      </c>
      <c r="D22127" t="str">
        <f>"7112"</f>
        <v>7112</v>
      </c>
      <c r="E22127" t="s">
        <v>1235</v>
      </c>
      <c r="F22127" t="s">
        <v>6</v>
      </c>
      <c r="G22127" t="s">
        <v>47092</v>
      </c>
      <c r="H22127" t="s">
        <v>47054</v>
      </c>
      <c r="I22127" t="s">
        <v>47111</v>
      </c>
      <c r="J22127" t="s">
        <v>47112</v>
      </c>
      <c r="K22127" t="s">
        <v>47113</v>
      </c>
      <c r="L22127">
        <v>13.44</v>
      </c>
      <c r="M22127">
        <v>35</v>
      </c>
      <c r="N22127">
        <v>0</v>
      </c>
      <c r="O22127">
        <v>35</v>
      </c>
      <c r="P22127">
        <v>0</v>
      </c>
    </row>
    <row r="22128" spans="1:16" x14ac:dyDescent="0.25">
      <c r="A22128" t="s">
        <v>44871</v>
      </c>
      <c r="B22128" t="s">
        <v>13214</v>
      </c>
      <c r="C22128" t="s">
        <v>13215</v>
      </c>
      <c r="D22128" t="str">
        <f>"7413"</f>
        <v>7413</v>
      </c>
      <c r="E22128" t="s">
        <v>1213</v>
      </c>
      <c r="F22128" t="s">
        <v>2</v>
      </c>
      <c r="G22128" t="s">
        <v>47092</v>
      </c>
      <c r="H22128" t="s">
        <v>47054</v>
      </c>
      <c r="I22128" t="s">
        <v>47111</v>
      </c>
      <c r="J22128" t="s">
        <v>47112</v>
      </c>
      <c r="K22128" t="s">
        <v>47113</v>
      </c>
      <c r="L22128">
        <v>10.57</v>
      </c>
      <c r="M22128">
        <v>29</v>
      </c>
      <c r="N22128">
        <v>0</v>
      </c>
      <c r="O22128">
        <v>29</v>
      </c>
      <c r="P22128">
        <v>0</v>
      </c>
    </row>
    <row r="22129" spans="1:16" x14ac:dyDescent="0.25">
      <c r="A22129" t="s">
        <v>44872</v>
      </c>
      <c r="B22129" t="s">
        <v>13214</v>
      </c>
      <c r="C22129" t="s">
        <v>13215</v>
      </c>
      <c r="D22129" t="str">
        <f>"8010"</f>
        <v>8010</v>
      </c>
      <c r="E22129" t="s">
        <v>13217</v>
      </c>
      <c r="F22129" t="s">
        <v>7</v>
      </c>
      <c r="G22129" t="s">
        <v>47092</v>
      </c>
      <c r="H22129" t="s">
        <v>47054</v>
      </c>
      <c r="I22129" t="s">
        <v>47111</v>
      </c>
      <c r="J22129" t="s">
        <v>47112</v>
      </c>
      <c r="K22129" t="s">
        <v>47113</v>
      </c>
      <c r="L22129">
        <v>14.25</v>
      </c>
      <c r="M22129">
        <v>25</v>
      </c>
      <c r="N22129">
        <v>0</v>
      </c>
      <c r="O22129">
        <v>25</v>
      </c>
      <c r="P22129">
        <v>0</v>
      </c>
    </row>
    <row r="22130" spans="1:16" x14ac:dyDescent="0.25">
      <c r="A22130" t="s">
        <v>44873</v>
      </c>
      <c r="B22130" t="s">
        <v>13214</v>
      </c>
      <c r="C22130" t="s">
        <v>13215</v>
      </c>
      <c r="D22130" t="str">
        <f>"8315"</f>
        <v>8315</v>
      </c>
      <c r="E22130" t="s">
        <v>2750</v>
      </c>
      <c r="F22130" t="s">
        <v>2</v>
      </c>
      <c r="G22130" t="s">
        <v>47092</v>
      </c>
      <c r="H22130" t="s">
        <v>47054</v>
      </c>
      <c r="I22130" t="s">
        <v>47111</v>
      </c>
      <c r="J22130" t="s">
        <v>47112</v>
      </c>
      <c r="K22130" t="s">
        <v>47113</v>
      </c>
      <c r="L22130">
        <v>10.57</v>
      </c>
      <c r="M22130">
        <v>29</v>
      </c>
      <c r="N22130">
        <v>0</v>
      </c>
      <c r="O22130">
        <v>29</v>
      </c>
      <c r="P22130">
        <v>0</v>
      </c>
    </row>
    <row r="22131" spans="1:16" x14ac:dyDescent="0.25">
      <c r="A22131" t="s">
        <v>44874</v>
      </c>
      <c r="B22131" t="s">
        <v>13218</v>
      </c>
      <c r="C22131" t="s">
        <v>13219</v>
      </c>
      <c r="D22131" t="str">
        <f>"1901"</f>
        <v>1901</v>
      </c>
      <c r="E22131" t="s">
        <v>13220</v>
      </c>
      <c r="F22131" t="s">
        <v>2</v>
      </c>
      <c r="G22131" t="s">
        <v>47092</v>
      </c>
      <c r="H22131" t="s">
        <v>47054</v>
      </c>
      <c r="I22131" t="s">
        <v>47111</v>
      </c>
      <c r="J22131" t="s">
        <v>47112</v>
      </c>
      <c r="K22131" t="s">
        <v>47113</v>
      </c>
      <c r="L22131">
        <v>9.89</v>
      </c>
      <c r="M22131">
        <v>28</v>
      </c>
      <c r="N22131">
        <v>0</v>
      </c>
      <c r="O22131">
        <v>28</v>
      </c>
      <c r="P22131">
        <v>0</v>
      </c>
    </row>
    <row r="22132" spans="1:16" x14ac:dyDescent="0.25">
      <c r="A22132" t="s">
        <v>44875</v>
      </c>
      <c r="B22132" t="s">
        <v>13221</v>
      </c>
      <c r="C22132" t="s">
        <v>13222</v>
      </c>
      <c r="D22132" t="str">
        <f>"1199"</f>
        <v>1199</v>
      </c>
      <c r="E22132" t="s">
        <v>13223</v>
      </c>
      <c r="F22132" t="s">
        <v>2</v>
      </c>
      <c r="G22132" t="s">
        <v>47092</v>
      </c>
      <c r="H22132" t="s">
        <v>47054</v>
      </c>
      <c r="I22132" t="s">
        <v>47111</v>
      </c>
      <c r="J22132" t="s">
        <v>47112</v>
      </c>
      <c r="K22132" t="s">
        <v>47113</v>
      </c>
      <c r="L22132">
        <v>12.02</v>
      </c>
      <c r="M22132">
        <v>33</v>
      </c>
      <c r="N22132">
        <v>0</v>
      </c>
      <c r="O22132">
        <v>33</v>
      </c>
      <c r="P22132">
        <v>0</v>
      </c>
    </row>
    <row r="22133" spans="1:16" x14ac:dyDescent="0.25">
      <c r="A22133" t="s">
        <v>44876</v>
      </c>
      <c r="B22133" t="s">
        <v>13224</v>
      </c>
      <c r="C22133" t="s">
        <v>13225</v>
      </c>
      <c r="D22133" t="str">
        <f>"4809"</f>
        <v>4809</v>
      </c>
      <c r="E22133" t="s">
        <v>13226</v>
      </c>
      <c r="F22133" t="s">
        <v>2</v>
      </c>
      <c r="G22133" t="s">
        <v>47092</v>
      </c>
      <c r="H22133" t="s">
        <v>47054</v>
      </c>
      <c r="I22133" t="s">
        <v>47111</v>
      </c>
      <c r="J22133" t="s">
        <v>47112</v>
      </c>
      <c r="K22133" t="s">
        <v>47113</v>
      </c>
      <c r="L22133">
        <v>11.63</v>
      </c>
      <c r="M22133">
        <v>32</v>
      </c>
      <c r="N22133">
        <v>0</v>
      </c>
      <c r="O22133">
        <v>32</v>
      </c>
      <c r="P22133">
        <v>0</v>
      </c>
    </row>
    <row r="22134" spans="1:16" x14ac:dyDescent="0.25">
      <c r="A22134" t="s">
        <v>44877</v>
      </c>
      <c r="B22134" t="s">
        <v>22174</v>
      </c>
      <c r="C22134" t="s">
        <v>22175</v>
      </c>
      <c r="D22134" t="str">
        <f>"1700"</f>
        <v>1700</v>
      </c>
      <c r="E22134" t="s">
        <v>60</v>
      </c>
      <c r="F22134" t="s">
        <v>3750</v>
      </c>
      <c r="G22134" t="s">
        <v>47091</v>
      </c>
      <c r="H22134" t="s">
        <v>47054</v>
      </c>
      <c r="I22134" t="s">
        <v>47569</v>
      </c>
      <c r="J22134" t="s">
        <v>47570</v>
      </c>
      <c r="K22134" t="s">
        <v>47113</v>
      </c>
      <c r="L22134">
        <v>7.33</v>
      </c>
      <c r="M22134">
        <v>34</v>
      </c>
      <c r="N22134">
        <v>0</v>
      </c>
      <c r="O22134">
        <v>34</v>
      </c>
      <c r="P22134">
        <v>0</v>
      </c>
    </row>
    <row r="22135" spans="1:16" x14ac:dyDescent="0.25">
      <c r="A22135" t="s">
        <v>44878</v>
      </c>
      <c r="B22135" t="s">
        <v>22174</v>
      </c>
      <c r="C22135" t="s">
        <v>22175</v>
      </c>
      <c r="D22135" t="str">
        <f>"6000"</f>
        <v>6000</v>
      </c>
      <c r="E22135" t="s">
        <v>22176</v>
      </c>
      <c r="F22135" t="s">
        <v>3750</v>
      </c>
      <c r="G22135" t="s">
        <v>47091</v>
      </c>
      <c r="H22135" t="s">
        <v>47054</v>
      </c>
      <c r="I22135" t="s">
        <v>47569</v>
      </c>
      <c r="J22135" t="s">
        <v>47570</v>
      </c>
      <c r="K22135" t="s">
        <v>47113</v>
      </c>
      <c r="L22135">
        <v>6.29</v>
      </c>
      <c r="M22135">
        <v>34</v>
      </c>
      <c r="N22135">
        <v>0</v>
      </c>
      <c r="O22135">
        <v>34</v>
      </c>
      <c r="P22135">
        <v>0</v>
      </c>
    </row>
    <row r="22136" spans="1:16" x14ac:dyDescent="0.25">
      <c r="A22136" t="s">
        <v>44879</v>
      </c>
      <c r="B22136" t="s">
        <v>22177</v>
      </c>
      <c r="C22136" t="s">
        <v>22178</v>
      </c>
      <c r="D22136" t="str">
        <f>"1001"</f>
        <v>1001</v>
      </c>
      <c r="E22136" t="s">
        <v>42</v>
      </c>
      <c r="F22136" t="s">
        <v>3750</v>
      </c>
      <c r="G22136" t="s">
        <v>47091</v>
      </c>
      <c r="H22136" t="s">
        <v>47054</v>
      </c>
      <c r="I22136" t="s">
        <v>47569</v>
      </c>
      <c r="J22136" t="s">
        <v>47570</v>
      </c>
      <c r="K22136" t="s">
        <v>47113</v>
      </c>
      <c r="L22136">
        <v>6.65</v>
      </c>
      <c r="M22136">
        <v>33</v>
      </c>
      <c r="N22136">
        <v>0</v>
      </c>
      <c r="O22136">
        <v>33</v>
      </c>
      <c r="P22136">
        <v>0</v>
      </c>
    </row>
    <row r="22137" spans="1:16" x14ac:dyDescent="0.25">
      <c r="A22137" t="s">
        <v>44880</v>
      </c>
      <c r="B22137" t="s">
        <v>22177</v>
      </c>
      <c r="C22137" t="s">
        <v>22178</v>
      </c>
      <c r="D22137" t="str">
        <f>"1700"</f>
        <v>1700</v>
      </c>
      <c r="E22137" t="s">
        <v>60</v>
      </c>
      <c r="F22137" t="s">
        <v>3750</v>
      </c>
      <c r="G22137" t="s">
        <v>47091</v>
      </c>
      <c r="H22137" t="s">
        <v>47054</v>
      </c>
      <c r="I22137" t="s">
        <v>47569</v>
      </c>
      <c r="J22137" t="s">
        <v>47570</v>
      </c>
      <c r="K22137" t="s">
        <v>47113</v>
      </c>
      <c r="L22137">
        <v>5.88</v>
      </c>
      <c r="M22137">
        <v>33</v>
      </c>
      <c r="N22137">
        <v>0</v>
      </c>
      <c r="O22137">
        <v>33</v>
      </c>
      <c r="P22137">
        <v>0</v>
      </c>
    </row>
    <row r="22138" spans="1:16" x14ac:dyDescent="0.25">
      <c r="A22138" t="s">
        <v>44881</v>
      </c>
      <c r="B22138" t="s">
        <v>22179</v>
      </c>
      <c r="C22138" t="s">
        <v>22180</v>
      </c>
      <c r="D22138" t="str">
        <f>"5146"</f>
        <v>5146</v>
      </c>
      <c r="E22138" t="s">
        <v>22181</v>
      </c>
      <c r="F22138" t="s">
        <v>3750</v>
      </c>
      <c r="G22138" t="s">
        <v>47091</v>
      </c>
      <c r="H22138" t="s">
        <v>47054</v>
      </c>
      <c r="I22138" t="s">
        <v>47569</v>
      </c>
      <c r="J22138" t="s">
        <v>47570</v>
      </c>
      <c r="K22138" t="s">
        <v>47113</v>
      </c>
      <c r="L22138">
        <v>6.29</v>
      </c>
      <c r="M22138">
        <v>26</v>
      </c>
      <c r="N22138">
        <v>0</v>
      </c>
      <c r="O22138">
        <v>26</v>
      </c>
      <c r="P22138">
        <v>0</v>
      </c>
    </row>
    <row r="22139" spans="1:16" x14ac:dyDescent="0.25">
      <c r="A22139" t="s">
        <v>44882</v>
      </c>
      <c r="B22139" t="s">
        <v>22182</v>
      </c>
      <c r="C22139" t="s">
        <v>22183</v>
      </c>
      <c r="D22139" t="str">
        <f>"1700"</f>
        <v>1700</v>
      </c>
      <c r="E22139" t="s">
        <v>60</v>
      </c>
      <c r="F22139" t="s">
        <v>3750</v>
      </c>
      <c r="G22139" t="s">
        <v>47091</v>
      </c>
      <c r="H22139" t="s">
        <v>47054</v>
      </c>
      <c r="I22139" t="s">
        <v>47569</v>
      </c>
      <c r="J22139" t="s">
        <v>47570</v>
      </c>
      <c r="K22139" t="s">
        <v>47113</v>
      </c>
      <c r="L22139">
        <v>7.59</v>
      </c>
      <c r="M22139">
        <v>26</v>
      </c>
      <c r="N22139">
        <v>0</v>
      </c>
      <c r="O22139">
        <v>26</v>
      </c>
      <c r="P22139">
        <v>0</v>
      </c>
    </row>
    <row r="22140" spans="1:16" x14ac:dyDescent="0.25">
      <c r="A22140" t="s">
        <v>44883</v>
      </c>
      <c r="B22140" t="s">
        <v>13227</v>
      </c>
      <c r="C22140" t="s">
        <v>13228</v>
      </c>
      <c r="D22140" t="str">
        <f>"1113"</f>
        <v>1113</v>
      </c>
      <c r="E22140" t="s">
        <v>6443</v>
      </c>
      <c r="F22140" t="s">
        <v>6</v>
      </c>
      <c r="G22140" t="s">
        <v>47095</v>
      </c>
      <c r="H22140" t="s">
        <v>47054</v>
      </c>
      <c r="I22140" t="s">
        <v>47111</v>
      </c>
      <c r="J22140" t="s">
        <v>47112</v>
      </c>
      <c r="K22140" t="s">
        <v>47113</v>
      </c>
      <c r="L22140">
        <v>19.46</v>
      </c>
      <c r="M22140">
        <v>48</v>
      </c>
      <c r="N22140">
        <v>0</v>
      </c>
      <c r="O22140">
        <v>48</v>
      </c>
      <c r="P22140">
        <v>0</v>
      </c>
    </row>
    <row r="22141" spans="1:16" x14ac:dyDescent="0.25">
      <c r="A22141" t="s">
        <v>44884</v>
      </c>
      <c r="B22141" t="s">
        <v>13229</v>
      </c>
      <c r="C22141" t="s">
        <v>13230</v>
      </c>
      <c r="D22141" t="str">
        <f>"6031"</f>
        <v>6031</v>
      </c>
      <c r="E22141" t="s">
        <v>3264</v>
      </c>
      <c r="F22141" t="s">
        <v>6</v>
      </c>
      <c r="G22141" t="s">
        <v>47095</v>
      </c>
      <c r="H22141" t="s">
        <v>47054</v>
      </c>
      <c r="I22141" t="s">
        <v>47114</v>
      </c>
      <c r="J22141" t="s">
        <v>47115</v>
      </c>
      <c r="K22141" t="s">
        <v>47113</v>
      </c>
      <c r="L22141">
        <v>19.940000000000001</v>
      </c>
      <c r="M22141">
        <v>48</v>
      </c>
      <c r="N22141">
        <v>0</v>
      </c>
      <c r="O22141">
        <v>48</v>
      </c>
      <c r="P22141">
        <v>0</v>
      </c>
    </row>
    <row r="22142" spans="1:16" x14ac:dyDescent="0.25">
      <c r="A22142" t="s">
        <v>44885</v>
      </c>
      <c r="B22142" t="s">
        <v>13231</v>
      </c>
      <c r="C22142" t="s">
        <v>13232</v>
      </c>
      <c r="D22142" t="str">
        <f>"4474"</f>
        <v>4474</v>
      </c>
      <c r="E22142" t="s">
        <v>13233</v>
      </c>
      <c r="F22142" t="s">
        <v>6</v>
      </c>
      <c r="G22142" t="s">
        <v>47095</v>
      </c>
      <c r="H22142" t="s">
        <v>47054</v>
      </c>
      <c r="I22142" t="s">
        <v>47114</v>
      </c>
      <c r="J22142" t="s">
        <v>47115</v>
      </c>
      <c r="K22142" t="s">
        <v>47113</v>
      </c>
      <c r="L22142">
        <v>24.53</v>
      </c>
      <c r="M22142">
        <v>62</v>
      </c>
      <c r="N22142">
        <v>0</v>
      </c>
      <c r="O22142">
        <v>62</v>
      </c>
      <c r="P22142">
        <v>0</v>
      </c>
    </row>
    <row r="22143" spans="1:16" x14ac:dyDescent="0.25">
      <c r="A22143" t="s">
        <v>44886</v>
      </c>
      <c r="B22143" t="s">
        <v>13234</v>
      </c>
      <c r="C22143" t="s">
        <v>13235</v>
      </c>
      <c r="D22143" t="str">
        <f>"1165"</f>
        <v>1165</v>
      </c>
      <c r="E22143" t="s">
        <v>1153</v>
      </c>
      <c r="F22143" t="s">
        <v>5</v>
      </c>
      <c r="G22143" t="s">
        <v>47094</v>
      </c>
      <c r="H22143" t="s">
        <v>47054</v>
      </c>
      <c r="I22143" t="s">
        <v>47111</v>
      </c>
      <c r="J22143" t="s">
        <v>47112</v>
      </c>
      <c r="K22143" t="s">
        <v>47113</v>
      </c>
      <c r="L22143">
        <v>29.37</v>
      </c>
      <c r="M22143">
        <v>61</v>
      </c>
      <c r="N22143">
        <v>0</v>
      </c>
      <c r="O22143">
        <v>61</v>
      </c>
      <c r="P22143">
        <v>0</v>
      </c>
    </row>
    <row r="22144" spans="1:16" x14ac:dyDescent="0.25">
      <c r="A22144" t="s">
        <v>44887</v>
      </c>
      <c r="B22144" t="s">
        <v>13234</v>
      </c>
      <c r="C22144" t="s">
        <v>13235</v>
      </c>
      <c r="D22144" t="str">
        <f>"1746"</f>
        <v>1746</v>
      </c>
      <c r="E22144" t="s">
        <v>807</v>
      </c>
      <c r="F22144" t="s">
        <v>5</v>
      </c>
      <c r="G22144" t="s">
        <v>47094</v>
      </c>
      <c r="H22144" t="s">
        <v>47054</v>
      </c>
      <c r="I22144" t="s">
        <v>47111</v>
      </c>
      <c r="J22144" t="s">
        <v>47112</v>
      </c>
      <c r="K22144" t="s">
        <v>47113</v>
      </c>
      <c r="L22144">
        <v>26.58</v>
      </c>
      <c r="M22144">
        <v>61</v>
      </c>
      <c r="N22144">
        <v>0</v>
      </c>
      <c r="O22144">
        <v>61</v>
      </c>
      <c r="P22144">
        <v>0</v>
      </c>
    </row>
    <row r="22145" spans="1:16" x14ac:dyDescent="0.25">
      <c r="A22145" t="s">
        <v>44888</v>
      </c>
      <c r="B22145" t="s">
        <v>13234</v>
      </c>
      <c r="C22145" t="s">
        <v>13235</v>
      </c>
      <c r="D22145" t="str">
        <f>"4434"</f>
        <v>4434</v>
      </c>
      <c r="E22145" t="s">
        <v>6450</v>
      </c>
      <c r="F22145" t="s">
        <v>5</v>
      </c>
      <c r="G22145" t="s">
        <v>47094</v>
      </c>
      <c r="H22145" t="s">
        <v>47054</v>
      </c>
      <c r="I22145" t="s">
        <v>47111</v>
      </c>
      <c r="J22145" t="s">
        <v>47112</v>
      </c>
      <c r="K22145" t="s">
        <v>47113</v>
      </c>
      <c r="L22145">
        <v>29.37</v>
      </c>
      <c r="M22145">
        <v>61</v>
      </c>
      <c r="N22145">
        <v>0</v>
      </c>
      <c r="O22145">
        <v>61</v>
      </c>
      <c r="P22145">
        <v>0</v>
      </c>
    </row>
    <row r="22146" spans="1:16" x14ac:dyDescent="0.25">
      <c r="A22146" t="s">
        <v>44889</v>
      </c>
      <c r="B22146" t="s">
        <v>13234</v>
      </c>
      <c r="C22146" t="s">
        <v>13235</v>
      </c>
      <c r="D22146" t="str">
        <f>"5136"</f>
        <v>5136</v>
      </c>
      <c r="E22146" t="s">
        <v>13236</v>
      </c>
      <c r="F22146" t="s">
        <v>5</v>
      </c>
      <c r="G22146" t="s">
        <v>47094</v>
      </c>
      <c r="H22146" t="s">
        <v>47054</v>
      </c>
      <c r="I22146" t="s">
        <v>47111</v>
      </c>
      <c r="J22146" t="s">
        <v>47112</v>
      </c>
      <c r="K22146" t="s">
        <v>47113</v>
      </c>
      <c r="L22146">
        <v>29.37</v>
      </c>
      <c r="M22146">
        <v>61</v>
      </c>
      <c r="N22146">
        <v>0</v>
      </c>
      <c r="O22146">
        <v>61</v>
      </c>
      <c r="P22146">
        <v>0</v>
      </c>
    </row>
    <row r="22147" spans="1:16" x14ac:dyDescent="0.25">
      <c r="A22147" t="s">
        <v>44890</v>
      </c>
      <c r="B22147" t="s">
        <v>13234</v>
      </c>
      <c r="C22147" t="s">
        <v>13235</v>
      </c>
      <c r="D22147" t="str">
        <f>"6332"</f>
        <v>6332</v>
      </c>
      <c r="E22147" t="s">
        <v>6458</v>
      </c>
      <c r="F22147" t="s">
        <v>5</v>
      </c>
      <c r="G22147" t="s">
        <v>47094</v>
      </c>
      <c r="H22147" t="s">
        <v>47054</v>
      </c>
      <c r="I22147" t="s">
        <v>47111</v>
      </c>
      <c r="J22147" t="s">
        <v>47112</v>
      </c>
      <c r="K22147" t="s">
        <v>47113</v>
      </c>
      <c r="L22147">
        <v>29.37</v>
      </c>
      <c r="M22147">
        <v>61</v>
      </c>
      <c r="N22147">
        <v>0</v>
      </c>
      <c r="O22147">
        <v>61</v>
      </c>
      <c r="P22147">
        <v>0</v>
      </c>
    </row>
    <row r="22148" spans="1:16" x14ac:dyDescent="0.25">
      <c r="A22148" t="s">
        <v>44891</v>
      </c>
      <c r="B22148" t="s">
        <v>13234</v>
      </c>
      <c r="C22148" t="s">
        <v>13235</v>
      </c>
      <c r="D22148" t="str">
        <f>"8051"</f>
        <v>8051</v>
      </c>
      <c r="E22148" t="s">
        <v>7809</v>
      </c>
      <c r="F22148" t="s">
        <v>5</v>
      </c>
      <c r="G22148" t="s">
        <v>47094</v>
      </c>
      <c r="H22148" t="s">
        <v>47054</v>
      </c>
      <c r="I22148" t="s">
        <v>47111</v>
      </c>
      <c r="J22148" t="s">
        <v>47112</v>
      </c>
      <c r="K22148" t="s">
        <v>47113</v>
      </c>
      <c r="L22148">
        <v>29.37</v>
      </c>
      <c r="M22148">
        <v>61</v>
      </c>
      <c r="N22148">
        <v>0</v>
      </c>
      <c r="O22148">
        <v>61</v>
      </c>
      <c r="P22148">
        <v>0</v>
      </c>
    </row>
    <row r="22149" spans="1:16" x14ac:dyDescent="0.25">
      <c r="A22149" t="s">
        <v>44892</v>
      </c>
      <c r="B22149" t="s">
        <v>1151</v>
      </c>
      <c r="C22149" t="s">
        <v>1152</v>
      </c>
      <c r="D22149" t="str">
        <f>"1165"</f>
        <v>1165</v>
      </c>
      <c r="E22149" t="s">
        <v>1153</v>
      </c>
      <c r="F22149" t="s">
        <v>6</v>
      </c>
      <c r="G22149" t="s">
        <v>47094</v>
      </c>
      <c r="H22149" t="s">
        <v>47054</v>
      </c>
      <c r="I22149" t="s">
        <v>47111</v>
      </c>
      <c r="J22149" t="s">
        <v>47112</v>
      </c>
      <c r="K22149" t="s">
        <v>47113</v>
      </c>
      <c r="L22149">
        <v>30.24</v>
      </c>
      <c r="M22149">
        <v>73</v>
      </c>
      <c r="N22149">
        <v>0</v>
      </c>
      <c r="O22149">
        <v>73</v>
      </c>
      <c r="P22149">
        <v>0</v>
      </c>
    </row>
    <row r="22150" spans="1:16" x14ac:dyDescent="0.25">
      <c r="A22150" t="s">
        <v>44893</v>
      </c>
      <c r="B22150" t="s">
        <v>13237</v>
      </c>
      <c r="C22150" t="s">
        <v>13238</v>
      </c>
      <c r="D22150" t="str">
        <f>"6036"</f>
        <v>6036</v>
      </c>
      <c r="E22150" t="s">
        <v>7703</v>
      </c>
      <c r="F22150" t="s">
        <v>6</v>
      </c>
      <c r="G22150" t="s">
        <v>47094</v>
      </c>
      <c r="H22150" t="s">
        <v>47054</v>
      </c>
      <c r="I22150" t="s">
        <v>47114</v>
      </c>
      <c r="J22150" t="s">
        <v>47115</v>
      </c>
      <c r="K22150" t="s">
        <v>47113</v>
      </c>
      <c r="L22150">
        <v>29.84</v>
      </c>
      <c r="M22150">
        <v>70</v>
      </c>
      <c r="N22150">
        <v>0</v>
      </c>
      <c r="O22150">
        <v>70</v>
      </c>
      <c r="P22150">
        <v>0</v>
      </c>
    </row>
    <row r="22151" spans="1:16" x14ac:dyDescent="0.25">
      <c r="A22151" t="s">
        <v>44894</v>
      </c>
      <c r="B22151" t="s">
        <v>13239</v>
      </c>
      <c r="C22151" t="s">
        <v>13240</v>
      </c>
      <c r="D22151" t="str">
        <f>"4473"</f>
        <v>4473</v>
      </c>
      <c r="E22151" t="s">
        <v>13241</v>
      </c>
      <c r="F22151" t="s">
        <v>6</v>
      </c>
      <c r="G22151" t="s">
        <v>47094</v>
      </c>
      <c r="H22151" t="s">
        <v>47054</v>
      </c>
      <c r="I22151" t="s">
        <v>47114</v>
      </c>
      <c r="J22151" t="s">
        <v>47115</v>
      </c>
      <c r="K22151" t="s">
        <v>47113</v>
      </c>
      <c r="L22151">
        <v>28.55</v>
      </c>
      <c r="M22151">
        <v>72</v>
      </c>
      <c r="N22151">
        <v>0</v>
      </c>
      <c r="O22151">
        <v>72</v>
      </c>
      <c r="P22151">
        <v>0</v>
      </c>
    </row>
    <row r="22152" spans="1:16" x14ac:dyDescent="0.25">
      <c r="A22152" t="s">
        <v>44895</v>
      </c>
      <c r="B22152" t="s">
        <v>13242</v>
      </c>
      <c r="C22152" t="s">
        <v>13243</v>
      </c>
      <c r="D22152" t="str">
        <f>"1100"</f>
        <v>1100</v>
      </c>
      <c r="E22152" t="s">
        <v>7631</v>
      </c>
      <c r="F22152" t="s">
        <v>5</v>
      </c>
      <c r="G22152" t="s">
        <v>47097</v>
      </c>
      <c r="H22152" t="s">
        <v>47054</v>
      </c>
      <c r="I22152" t="s">
        <v>47111</v>
      </c>
      <c r="J22152" t="s">
        <v>47112</v>
      </c>
      <c r="K22152" t="s">
        <v>47113</v>
      </c>
      <c r="L22152">
        <v>17.190000000000001</v>
      </c>
      <c r="M22152">
        <v>30</v>
      </c>
      <c r="N22152">
        <v>0</v>
      </c>
      <c r="O22152">
        <v>30</v>
      </c>
      <c r="P22152">
        <v>0</v>
      </c>
    </row>
    <row r="22153" spans="1:16" x14ac:dyDescent="0.25">
      <c r="A22153" t="s">
        <v>44896</v>
      </c>
      <c r="B22153" t="s">
        <v>13242</v>
      </c>
      <c r="C22153" t="s">
        <v>13243</v>
      </c>
      <c r="D22153" t="str">
        <f>"1746"</f>
        <v>1746</v>
      </c>
      <c r="E22153" t="s">
        <v>807</v>
      </c>
      <c r="F22153" t="s">
        <v>5</v>
      </c>
      <c r="G22153" t="s">
        <v>47097</v>
      </c>
      <c r="H22153" t="s">
        <v>47054</v>
      </c>
      <c r="I22153" t="s">
        <v>47111</v>
      </c>
      <c r="J22153" t="s">
        <v>47112</v>
      </c>
      <c r="K22153" t="s">
        <v>47113</v>
      </c>
      <c r="L22153">
        <v>14.54</v>
      </c>
      <c r="M22153">
        <v>30</v>
      </c>
      <c r="N22153">
        <v>0</v>
      </c>
      <c r="O22153">
        <v>30</v>
      </c>
      <c r="P22153">
        <v>0</v>
      </c>
    </row>
    <row r="22154" spans="1:16" x14ac:dyDescent="0.25">
      <c r="A22154" t="s">
        <v>44897</v>
      </c>
      <c r="B22154" t="s">
        <v>13242</v>
      </c>
      <c r="C22154" t="s">
        <v>13243</v>
      </c>
      <c r="D22154" t="str">
        <f>"4816"</f>
        <v>4816</v>
      </c>
      <c r="E22154" t="s">
        <v>13244</v>
      </c>
      <c r="F22154" t="s">
        <v>5</v>
      </c>
      <c r="G22154" t="s">
        <v>47097</v>
      </c>
      <c r="H22154" t="s">
        <v>47054</v>
      </c>
      <c r="I22154" t="s">
        <v>47111</v>
      </c>
      <c r="J22154" t="s">
        <v>47112</v>
      </c>
      <c r="K22154" t="s">
        <v>47113</v>
      </c>
      <c r="L22154">
        <v>17.190000000000001</v>
      </c>
      <c r="M22154">
        <v>30</v>
      </c>
      <c r="N22154">
        <v>0</v>
      </c>
      <c r="O22154">
        <v>30</v>
      </c>
      <c r="P22154">
        <v>0</v>
      </c>
    </row>
    <row r="22155" spans="1:16" x14ac:dyDescent="0.25">
      <c r="A22155" t="s">
        <v>44898</v>
      </c>
      <c r="B22155" t="s">
        <v>13242</v>
      </c>
      <c r="C22155" t="s">
        <v>13243</v>
      </c>
      <c r="D22155" t="str">
        <f>"7388"</f>
        <v>7388</v>
      </c>
      <c r="E22155" t="s">
        <v>13245</v>
      </c>
      <c r="F22155" t="s">
        <v>5</v>
      </c>
      <c r="G22155" t="s">
        <v>47097</v>
      </c>
      <c r="H22155" t="s">
        <v>47054</v>
      </c>
      <c r="I22155" t="s">
        <v>47111</v>
      </c>
      <c r="J22155" t="s">
        <v>47112</v>
      </c>
      <c r="K22155" t="s">
        <v>47113</v>
      </c>
      <c r="L22155">
        <v>17.190000000000001</v>
      </c>
      <c r="M22155">
        <v>30</v>
      </c>
      <c r="N22155">
        <v>0</v>
      </c>
      <c r="O22155">
        <v>30</v>
      </c>
      <c r="P22155">
        <v>0</v>
      </c>
    </row>
    <row r="22156" spans="1:16" x14ac:dyDescent="0.25">
      <c r="A22156" t="s">
        <v>44899</v>
      </c>
      <c r="B22156" t="s">
        <v>13246</v>
      </c>
      <c r="C22156" t="s">
        <v>13247</v>
      </c>
      <c r="D22156" t="str">
        <f>"1746"</f>
        <v>1746</v>
      </c>
      <c r="E22156" t="s">
        <v>807</v>
      </c>
      <c r="F22156" t="s">
        <v>7</v>
      </c>
      <c r="G22156" t="s">
        <v>47097</v>
      </c>
      <c r="H22156" t="s">
        <v>47054</v>
      </c>
      <c r="I22156" t="s">
        <v>47111</v>
      </c>
      <c r="J22156" t="s">
        <v>47112</v>
      </c>
      <c r="K22156" t="s">
        <v>47113</v>
      </c>
      <c r="L22156">
        <v>12.97</v>
      </c>
      <c r="M22156">
        <v>23</v>
      </c>
      <c r="N22156">
        <v>0</v>
      </c>
      <c r="O22156">
        <v>23</v>
      </c>
      <c r="P22156">
        <v>0</v>
      </c>
    </row>
    <row r="22157" spans="1:16" x14ac:dyDescent="0.25">
      <c r="A22157" t="s">
        <v>44900</v>
      </c>
      <c r="B22157" t="s">
        <v>13246</v>
      </c>
      <c r="C22157" t="s">
        <v>13247</v>
      </c>
      <c r="D22157" t="str">
        <f>"5062"</f>
        <v>5062</v>
      </c>
      <c r="E22157" t="s">
        <v>3246</v>
      </c>
      <c r="F22157" t="s">
        <v>7</v>
      </c>
      <c r="G22157" t="s">
        <v>47097</v>
      </c>
      <c r="H22157" t="s">
        <v>47054</v>
      </c>
      <c r="I22157" t="s">
        <v>47111</v>
      </c>
      <c r="J22157" t="s">
        <v>47112</v>
      </c>
      <c r="K22157" t="s">
        <v>47113</v>
      </c>
      <c r="L22157">
        <v>13.81</v>
      </c>
      <c r="M22157">
        <v>23</v>
      </c>
      <c r="N22157">
        <v>0</v>
      </c>
      <c r="O22157">
        <v>23</v>
      </c>
      <c r="P22157">
        <v>0</v>
      </c>
    </row>
    <row r="22158" spans="1:16" x14ac:dyDescent="0.25">
      <c r="A22158" t="s">
        <v>44901</v>
      </c>
      <c r="B22158" t="s">
        <v>13248</v>
      </c>
      <c r="C22158" t="s">
        <v>13247</v>
      </c>
      <c r="D22158" t="str">
        <f>"1522"</f>
        <v>1522</v>
      </c>
      <c r="E22158" t="s">
        <v>13249</v>
      </c>
      <c r="F22158" t="s">
        <v>6</v>
      </c>
      <c r="G22158" t="s">
        <v>47091</v>
      </c>
      <c r="H22158" t="s">
        <v>47054</v>
      </c>
      <c r="I22158" t="s">
        <v>47111</v>
      </c>
      <c r="J22158" t="s">
        <v>47112</v>
      </c>
      <c r="K22158" t="s">
        <v>47113</v>
      </c>
      <c r="L22158">
        <v>14.05</v>
      </c>
      <c r="M22158">
        <v>36</v>
      </c>
      <c r="N22158">
        <v>0</v>
      </c>
      <c r="O22158">
        <v>36</v>
      </c>
      <c r="P22158">
        <v>0</v>
      </c>
    </row>
    <row r="22159" spans="1:16" x14ac:dyDescent="0.25">
      <c r="A22159" t="s">
        <v>44902</v>
      </c>
      <c r="B22159" t="s">
        <v>13248</v>
      </c>
      <c r="C22159" t="s">
        <v>13247</v>
      </c>
      <c r="D22159" t="str">
        <f>"1746"</f>
        <v>1746</v>
      </c>
      <c r="E22159" t="s">
        <v>807</v>
      </c>
      <c r="F22159" t="s">
        <v>6</v>
      </c>
      <c r="G22159" t="s">
        <v>47091</v>
      </c>
      <c r="H22159" t="s">
        <v>47054</v>
      </c>
      <c r="I22159" t="s">
        <v>47114</v>
      </c>
      <c r="J22159" t="s">
        <v>47115</v>
      </c>
      <c r="K22159" t="s">
        <v>47113</v>
      </c>
      <c r="L22159">
        <v>13.76</v>
      </c>
      <c r="M22159">
        <v>35</v>
      </c>
      <c r="N22159">
        <v>0</v>
      </c>
      <c r="O22159">
        <v>35</v>
      </c>
      <c r="P22159">
        <v>0</v>
      </c>
    </row>
    <row r="22160" spans="1:16" x14ac:dyDescent="0.25">
      <c r="A22160" t="s">
        <v>44903</v>
      </c>
      <c r="B22160" t="s">
        <v>13248</v>
      </c>
      <c r="C22160" t="s">
        <v>13247</v>
      </c>
      <c r="D22160" t="str">
        <f>"5062"</f>
        <v>5062</v>
      </c>
      <c r="E22160" t="s">
        <v>3246</v>
      </c>
      <c r="F22160" t="s">
        <v>6</v>
      </c>
      <c r="G22160" t="s">
        <v>47091</v>
      </c>
      <c r="H22160" t="s">
        <v>47054</v>
      </c>
      <c r="I22160" t="s">
        <v>47111</v>
      </c>
      <c r="J22160" t="s">
        <v>47112</v>
      </c>
      <c r="K22160" t="s">
        <v>47113</v>
      </c>
      <c r="L22160">
        <v>14.05</v>
      </c>
      <c r="M22160">
        <v>36</v>
      </c>
      <c r="N22160">
        <v>0</v>
      </c>
      <c r="O22160">
        <v>36</v>
      </c>
      <c r="P22160">
        <v>0</v>
      </c>
    </row>
    <row r="22161" spans="1:16" x14ac:dyDescent="0.25">
      <c r="A22161" t="s">
        <v>44904</v>
      </c>
      <c r="B22161" t="s">
        <v>13248</v>
      </c>
      <c r="C22161" t="s">
        <v>13247</v>
      </c>
      <c r="D22161" t="str">
        <f>"6125"</f>
        <v>6125</v>
      </c>
      <c r="E22161" t="s">
        <v>13250</v>
      </c>
      <c r="F22161" t="s">
        <v>6</v>
      </c>
      <c r="G22161" t="s">
        <v>47091</v>
      </c>
      <c r="H22161" t="s">
        <v>47054</v>
      </c>
      <c r="I22161" t="s">
        <v>47111</v>
      </c>
      <c r="J22161" t="s">
        <v>47112</v>
      </c>
      <c r="K22161" t="s">
        <v>47113</v>
      </c>
      <c r="L22161">
        <v>14.05</v>
      </c>
      <c r="M22161">
        <v>36</v>
      </c>
      <c r="N22161">
        <v>0</v>
      </c>
      <c r="O22161">
        <v>36</v>
      </c>
      <c r="P22161">
        <v>0</v>
      </c>
    </row>
    <row r="22162" spans="1:16" x14ac:dyDescent="0.25">
      <c r="A22162" t="s">
        <v>44905</v>
      </c>
      <c r="B22162" t="s">
        <v>1155</v>
      </c>
      <c r="C22162" t="s">
        <v>1156</v>
      </c>
      <c r="D22162" t="str">
        <f>"4525"</f>
        <v>4525</v>
      </c>
      <c r="E22162" t="s">
        <v>1144</v>
      </c>
      <c r="F22162" t="s">
        <v>2</v>
      </c>
      <c r="G22162" t="s">
        <v>47092</v>
      </c>
      <c r="H22162" t="s">
        <v>47054</v>
      </c>
      <c r="I22162" t="s">
        <v>47111</v>
      </c>
      <c r="J22162" t="s">
        <v>47112</v>
      </c>
      <c r="K22162" t="s">
        <v>47113</v>
      </c>
      <c r="L22162">
        <v>8.52</v>
      </c>
      <c r="M22162">
        <v>24</v>
      </c>
      <c r="N22162">
        <v>0</v>
      </c>
      <c r="O22162">
        <v>24</v>
      </c>
      <c r="P22162">
        <v>0</v>
      </c>
    </row>
    <row r="22163" spans="1:16" x14ac:dyDescent="0.25">
      <c r="A22163" t="s">
        <v>1154</v>
      </c>
      <c r="B22163" t="s">
        <v>1155</v>
      </c>
      <c r="C22163" t="s">
        <v>1156</v>
      </c>
      <c r="D22163" t="str">
        <f>"6814"</f>
        <v>6814</v>
      </c>
      <c r="E22163" t="s">
        <v>1146</v>
      </c>
      <c r="F22163" t="s">
        <v>2</v>
      </c>
      <c r="G22163" t="s">
        <v>47092</v>
      </c>
      <c r="H22163" t="s">
        <v>47054</v>
      </c>
      <c r="I22163" t="s">
        <v>47111</v>
      </c>
      <c r="J22163" t="s">
        <v>47112</v>
      </c>
      <c r="K22163" t="s">
        <v>47113</v>
      </c>
      <c r="L22163">
        <v>32.909999999999997</v>
      </c>
      <c r="M22163">
        <v>24</v>
      </c>
      <c r="N22163">
        <v>0</v>
      </c>
      <c r="O22163">
        <v>24</v>
      </c>
      <c r="P22163">
        <v>0</v>
      </c>
    </row>
    <row r="22164" spans="1:16" x14ac:dyDescent="0.25">
      <c r="A22164" t="s">
        <v>44906</v>
      </c>
      <c r="B22164" t="s">
        <v>1155</v>
      </c>
      <c r="C22164" t="s">
        <v>1156</v>
      </c>
      <c r="D22164" t="str">
        <f>"7435"</f>
        <v>7435</v>
      </c>
      <c r="E22164" t="s">
        <v>1148</v>
      </c>
      <c r="F22164" t="s">
        <v>2</v>
      </c>
      <c r="G22164" t="s">
        <v>47092</v>
      </c>
      <c r="H22164" t="s">
        <v>47054</v>
      </c>
      <c r="I22164" t="s">
        <v>47111</v>
      </c>
      <c r="J22164" t="s">
        <v>47112</v>
      </c>
      <c r="K22164" t="s">
        <v>47113</v>
      </c>
      <c r="L22164">
        <v>8.52</v>
      </c>
      <c r="M22164">
        <v>24</v>
      </c>
      <c r="N22164">
        <v>0</v>
      </c>
      <c r="O22164">
        <v>24</v>
      </c>
      <c r="P22164">
        <v>0</v>
      </c>
    </row>
    <row r="22165" spans="1:16" x14ac:dyDescent="0.25">
      <c r="A22165" t="s">
        <v>1157</v>
      </c>
      <c r="B22165" t="s">
        <v>1155</v>
      </c>
      <c r="C22165" t="s">
        <v>1156</v>
      </c>
      <c r="D22165" t="str">
        <f>"8030"</f>
        <v>8030</v>
      </c>
      <c r="E22165" t="s">
        <v>1150</v>
      </c>
      <c r="F22165" t="s">
        <v>2</v>
      </c>
      <c r="G22165" t="s">
        <v>47092</v>
      </c>
      <c r="H22165" t="s">
        <v>47054</v>
      </c>
      <c r="I22165" t="s">
        <v>47111</v>
      </c>
      <c r="J22165" t="s">
        <v>47112</v>
      </c>
      <c r="K22165" t="s">
        <v>47113</v>
      </c>
      <c r="L22165">
        <v>32.909999999999997</v>
      </c>
      <c r="M22165">
        <v>24</v>
      </c>
      <c r="N22165">
        <v>0</v>
      </c>
      <c r="O22165">
        <v>24</v>
      </c>
      <c r="P22165">
        <v>0</v>
      </c>
    </row>
    <row r="22166" spans="1:16" x14ac:dyDescent="0.25">
      <c r="A22166" t="s">
        <v>1158</v>
      </c>
      <c r="B22166" t="s">
        <v>1159</v>
      </c>
      <c r="C22166" t="s">
        <v>1160</v>
      </c>
      <c r="D22166" t="str">
        <f>"4525"</f>
        <v>4525</v>
      </c>
      <c r="E22166" t="s">
        <v>1144</v>
      </c>
      <c r="F22166" t="s">
        <v>2</v>
      </c>
      <c r="G22166" t="s">
        <v>47094</v>
      </c>
      <c r="H22166" t="s">
        <v>47054</v>
      </c>
      <c r="I22166" t="s">
        <v>47111</v>
      </c>
      <c r="J22166" t="s">
        <v>47112</v>
      </c>
      <c r="K22166" t="s">
        <v>47113</v>
      </c>
      <c r="L22166">
        <v>32.909999999999997</v>
      </c>
      <c r="M22166">
        <v>37</v>
      </c>
      <c r="N22166">
        <v>0</v>
      </c>
      <c r="O22166">
        <v>37</v>
      </c>
      <c r="P22166">
        <v>0</v>
      </c>
    </row>
    <row r="22167" spans="1:16" x14ac:dyDescent="0.25">
      <c r="A22167" t="s">
        <v>44907</v>
      </c>
      <c r="B22167" t="s">
        <v>1159</v>
      </c>
      <c r="C22167" t="s">
        <v>1160</v>
      </c>
      <c r="D22167" t="str">
        <f>"6814"</f>
        <v>6814</v>
      </c>
      <c r="E22167" t="s">
        <v>1146</v>
      </c>
      <c r="F22167" t="s">
        <v>2</v>
      </c>
      <c r="G22167" t="s">
        <v>47094</v>
      </c>
      <c r="H22167" t="s">
        <v>47054</v>
      </c>
      <c r="I22167" t="s">
        <v>47111</v>
      </c>
      <c r="J22167" t="s">
        <v>47112</v>
      </c>
      <c r="K22167" t="s">
        <v>47113</v>
      </c>
      <c r="L22167">
        <v>13.74</v>
      </c>
      <c r="M22167">
        <v>37</v>
      </c>
      <c r="N22167">
        <v>0</v>
      </c>
      <c r="O22167">
        <v>37</v>
      </c>
      <c r="P22167">
        <v>0</v>
      </c>
    </row>
    <row r="22168" spans="1:16" x14ac:dyDescent="0.25">
      <c r="A22168" t="s">
        <v>44908</v>
      </c>
      <c r="B22168" t="s">
        <v>1159</v>
      </c>
      <c r="C22168" t="s">
        <v>1160</v>
      </c>
      <c r="D22168" t="str">
        <f>"7435"</f>
        <v>7435</v>
      </c>
      <c r="E22168" t="s">
        <v>1148</v>
      </c>
      <c r="F22168" t="s">
        <v>2</v>
      </c>
      <c r="G22168" t="s">
        <v>47094</v>
      </c>
      <c r="H22168" t="s">
        <v>47054</v>
      </c>
      <c r="I22168" t="s">
        <v>47111</v>
      </c>
      <c r="J22168" t="s">
        <v>47112</v>
      </c>
      <c r="K22168" t="s">
        <v>47113</v>
      </c>
      <c r="L22168">
        <v>13.74</v>
      </c>
      <c r="M22168">
        <v>36</v>
      </c>
      <c r="N22168">
        <v>0</v>
      </c>
      <c r="O22168">
        <v>36</v>
      </c>
      <c r="P22168">
        <v>0</v>
      </c>
    </row>
    <row r="22169" spans="1:16" x14ac:dyDescent="0.25">
      <c r="A22169" t="s">
        <v>44909</v>
      </c>
      <c r="B22169" t="s">
        <v>1159</v>
      </c>
      <c r="C22169" t="s">
        <v>1160</v>
      </c>
      <c r="D22169" t="str">
        <f>"8030"</f>
        <v>8030</v>
      </c>
      <c r="E22169" t="s">
        <v>1150</v>
      </c>
      <c r="F22169" t="s">
        <v>2</v>
      </c>
      <c r="G22169" t="s">
        <v>47094</v>
      </c>
      <c r="H22169" t="s">
        <v>47054</v>
      </c>
      <c r="I22169" t="s">
        <v>47111</v>
      </c>
      <c r="J22169" t="s">
        <v>47112</v>
      </c>
      <c r="K22169" t="s">
        <v>47113</v>
      </c>
      <c r="L22169">
        <v>13.74</v>
      </c>
      <c r="M22169">
        <v>37</v>
      </c>
      <c r="N22169">
        <v>0</v>
      </c>
      <c r="O22169">
        <v>37</v>
      </c>
      <c r="P22169">
        <v>0</v>
      </c>
    </row>
    <row r="22170" spans="1:16" x14ac:dyDescent="0.25">
      <c r="A22170" t="s">
        <v>44910</v>
      </c>
      <c r="B22170" t="s">
        <v>22184</v>
      </c>
      <c r="C22170" t="s">
        <v>22185</v>
      </c>
      <c r="D22170" t="str">
        <f>"1700"</f>
        <v>1700</v>
      </c>
      <c r="E22170" t="s">
        <v>60</v>
      </c>
      <c r="F22170" t="s">
        <v>3750</v>
      </c>
      <c r="G22170" t="s">
        <v>47091</v>
      </c>
      <c r="H22170" t="s">
        <v>47054</v>
      </c>
      <c r="I22170" t="s">
        <v>47569</v>
      </c>
      <c r="J22170" t="s">
        <v>47570</v>
      </c>
      <c r="K22170" t="s">
        <v>47113</v>
      </c>
      <c r="L22170">
        <v>6.98</v>
      </c>
      <c r="M22170">
        <v>26</v>
      </c>
      <c r="N22170">
        <v>0</v>
      </c>
      <c r="O22170">
        <v>26</v>
      </c>
      <c r="P22170">
        <v>0</v>
      </c>
    </row>
    <row r="22171" spans="1:16" x14ac:dyDescent="0.25">
      <c r="A22171" t="s">
        <v>44911</v>
      </c>
      <c r="B22171" t="s">
        <v>22186</v>
      </c>
      <c r="C22171" t="s">
        <v>22187</v>
      </c>
      <c r="D22171" t="str">
        <f>"1001"</f>
        <v>1001</v>
      </c>
      <c r="E22171" t="s">
        <v>42</v>
      </c>
      <c r="F22171" t="s">
        <v>3750</v>
      </c>
      <c r="G22171" t="s">
        <v>47091</v>
      </c>
      <c r="H22171" t="s">
        <v>47054</v>
      </c>
      <c r="I22171" t="s">
        <v>47569</v>
      </c>
      <c r="J22171" t="s">
        <v>47570</v>
      </c>
      <c r="K22171" t="s">
        <v>47113</v>
      </c>
      <c r="L22171">
        <v>9.17</v>
      </c>
      <c r="M22171">
        <v>26</v>
      </c>
      <c r="N22171">
        <v>0</v>
      </c>
      <c r="O22171">
        <v>26</v>
      </c>
      <c r="P22171">
        <v>0</v>
      </c>
    </row>
    <row r="22172" spans="1:16" x14ac:dyDescent="0.25">
      <c r="A22172" t="s">
        <v>44912</v>
      </c>
      <c r="B22172" t="s">
        <v>22186</v>
      </c>
      <c r="C22172" t="s">
        <v>22187</v>
      </c>
      <c r="D22172" t="str">
        <f>"1700"</f>
        <v>1700</v>
      </c>
      <c r="E22172" t="s">
        <v>60</v>
      </c>
      <c r="F22172" t="s">
        <v>3750</v>
      </c>
      <c r="G22172" t="s">
        <v>47091</v>
      </c>
      <c r="H22172" t="s">
        <v>47054</v>
      </c>
      <c r="I22172" t="s">
        <v>47569</v>
      </c>
      <c r="J22172" t="s">
        <v>47570</v>
      </c>
      <c r="K22172" t="s">
        <v>47113</v>
      </c>
      <c r="L22172">
        <v>9.17</v>
      </c>
      <c r="M22172">
        <v>26</v>
      </c>
      <c r="N22172">
        <v>0</v>
      </c>
      <c r="O22172">
        <v>26</v>
      </c>
      <c r="P22172">
        <v>0</v>
      </c>
    </row>
    <row r="22173" spans="1:16" x14ac:dyDescent="0.25">
      <c r="A22173" t="s">
        <v>44913</v>
      </c>
      <c r="B22173" t="s">
        <v>22188</v>
      </c>
      <c r="C22173" t="s">
        <v>22189</v>
      </c>
      <c r="D22173" t="str">
        <f>"1001"</f>
        <v>1001</v>
      </c>
      <c r="E22173" t="s">
        <v>42</v>
      </c>
      <c r="F22173" t="s">
        <v>16746</v>
      </c>
      <c r="G22173" t="s">
        <v>47091</v>
      </c>
      <c r="H22173" t="s">
        <v>47054</v>
      </c>
      <c r="I22173" t="s">
        <v>47569</v>
      </c>
      <c r="J22173" t="s">
        <v>47570</v>
      </c>
      <c r="K22173" t="s">
        <v>47113</v>
      </c>
      <c r="L22173">
        <v>8.19</v>
      </c>
      <c r="M22173">
        <v>26</v>
      </c>
      <c r="N22173">
        <v>0</v>
      </c>
      <c r="O22173">
        <v>26</v>
      </c>
      <c r="P22173">
        <v>0</v>
      </c>
    </row>
    <row r="22174" spans="1:16" x14ac:dyDescent="0.25">
      <c r="A22174" t="s">
        <v>44914</v>
      </c>
      <c r="B22174" t="s">
        <v>22188</v>
      </c>
      <c r="C22174" t="s">
        <v>22189</v>
      </c>
      <c r="D22174" t="str">
        <f>"1700"</f>
        <v>1700</v>
      </c>
      <c r="E22174" t="s">
        <v>60</v>
      </c>
      <c r="F22174" t="s">
        <v>3750</v>
      </c>
      <c r="G22174" t="s">
        <v>47091</v>
      </c>
      <c r="H22174" t="s">
        <v>47054</v>
      </c>
      <c r="I22174" t="s">
        <v>47569</v>
      </c>
      <c r="J22174" t="s">
        <v>47570</v>
      </c>
      <c r="K22174" t="s">
        <v>47113</v>
      </c>
      <c r="L22174">
        <v>8.19</v>
      </c>
      <c r="M22174">
        <v>26</v>
      </c>
      <c r="N22174">
        <v>0</v>
      </c>
      <c r="O22174">
        <v>26</v>
      </c>
      <c r="P22174">
        <v>0</v>
      </c>
    </row>
    <row r="22175" spans="1:16" x14ac:dyDescent="0.25">
      <c r="A22175" t="s">
        <v>44915</v>
      </c>
      <c r="B22175" t="s">
        <v>22188</v>
      </c>
      <c r="C22175" t="s">
        <v>22189</v>
      </c>
      <c r="D22175" t="str">
        <f>"7326"</f>
        <v>7326</v>
      </c>
      <c r="E22175" t="s">
        <v>22190</v>
      </c>
      <c r="F22175" t="s">
        <v>3750</v>
      </c>
      <c r="G22175" t="s">
        <v>47091</v>
      </c>
      <c r="H22175" t="s">
        <v>47054</v>
      </c>
      <c r="I22175" t="s">
        <v>47569</v>
      </c>
      <c r="J22175" t="s">
        <v>47570</v>
      </c>
      <c r="K22175" t="s">
        <v>47113</v>
      </c>
      <c r="L22175">
        <v>8.19</v>
      </c>
      <c r="M22175">
        <v>26</v>
      </c>
      <c r="N22175">
        <v>0</v>
      </c>
      <c r="O22175">
        <v>26</v>
      </c>
      <c r="P22175">
        <v>0</v>
      </c>
    </row>
    <row r="22176" spans="1:16" x14ac:dyDescent="0.25">
      <c r="A22176" t="s">
        <v>44916</v>
      </c>
      <c r="B22176" t="s">
        <v>22191</v>
      </c>
      <c r="C22176" t="s">
        <v>22192</v>
      </c>
      <c r="D22176" t="str">
        <f>"1700"</f>
        <v>1700</v>
      </c>
      <c r="E22176" t="s">
        <v>60</v>
      </c>
      <c r="F22176" t="s">
        <v>3750</v>
      </c>
      <c r="G22176" t="s">
        <v>47091</v>
      </c>
      <c r="H22176" t="s">
        <v>47054</v>
      </c>
      <c r="I22176" t="s">
        <v>47569</v>
      </c>
      <c r="J22176" t="s">
        <v>47570</v>
      </c>
      <c r="K22176" t="s">
        <v>47113</v>
      </c>
      <c r="L22176">
        <v>7.99</v>
      </c>
      <c r="M22176">
        <v>33</v>
      </c>
      <c r="N22176">
        <v>0</v>
      </c>
      <c r="O22176">
        <v>33</v>
      </c>
      <c r="P22176">
        <v>0</v>
      </c>
    </row>
    <row r="22177" spans="1:16" x14ac:dyDescent="0.25">
      <c r="A22177" t="s">
        <v>44917</v>
      </c>
      <c r="B22177" t="s">
        <v>22193</v>
      </c>
      <c r="C22177" t="s">
        <v>22194</v>
      </c>
      <c r="D22177" t="str">
        <f>"1700"</f>
        <v>1700</v>
      </c>
      <c r="E22177" t="s">
        <v>60</v>
      </c>
      <c r="F22177" t="s">
        <v>3750</v>
      </c>
      <c r="G22177" t="s">
        <v>47091</v>
      </c>
      <c r="H22177" t="s">
        <v>47054</v>
      </c>
      <c r="I22177" t="s">
        <v>47569</v>
      </c>
      <c r="J22177" t="s">
        <v>47570</v>
      </c>
      <c r="K22177" t="s">
        <v>47113</v>
      </c>
      <c r="L22177">
        <v>6.02</v>
      </c>
      <c r="M22177">
        <v>34</v>
      </c>
      <c r="N22177">
        <v>0</v>
      </c>
      <c r="O22177">
        <v>34</v>
      </c>
      <c r="P22177">
        <v>0</v>
      </c>
    </row>
    <row r="22178" spans="1:16" x14ac:dyDescent="0.25">
      <c r="A22178" t="s">
        <v>44918</v>
      </c>
      <c r="B22178" t="s">
        <v>22193</v>
      </c>
      <c r="C22178" t="s">
        <v>22194</v>
      </c>
      <c r="D22178" t="str">
        <f>"3000"</f>
        <v>3000</v>
      </c>
      <c r="E22178" t="s">
        <v>22195</v>
      </c>
      <c r="F22178" t="s">
        <v>3750</v>
      </c>
      <c r="G22178" t="s">
        <v>47091</v>
      </c>
      <c r="H22178" t="s">
        <v>47054</v>
      </c>
      <c r="I22178" t="s">
        <v>47569</v>
      </c>
      <c r="J22178" t="s">
        <v>47570</v>
      </c>
      <c r="K22178" t="s">
        <v>47113</v>
      </c>
      <c r="L22178">
        <v>5.67</v>
      </c>
      <c r="M22178">
        <v>34</v>
      </c>
      <c r="N22178">
        <v>0</v>
      </c>
      <c r="O22178">
        <v>34</v>
      </c>
      <c r="P22178">
        <v>0</v>
      </c>
    </row>
    <row r="22179" spans="1:16" x14ac:dyDescent="0.25">
      <c r="A22179" t="s">
        <v>44919</v>
      </c>
      <c r="B22179" t="s">
        <v>13251</v>
      </c>
      <c r="C22179" t="s">
        <v>13252</v>
      </c>
      <c r="D22179" t="s">
        <v>721</v>
      </c>
      <c r="E22179" t="s">
        <v>722</v>
      </c>
      <c r="F22179" t="s">
        <v>7</v>
      </c>
      <c r="G22179" t="s">
        <v>49029</v>
      </c>
      <c r="H22179" t="s">
        <v>47054</v>
      </c>
      <c r="I22179" t="s">
        <v>47111</v>
      </c>
      <c r="J22179" t="s">
        <v>47112</v>
      </c>
      <c r="K22179" t="s">
        <v>47113</v>
      </c>
      <c r="L22179">
        <v>19.55</v>
      </c>
      <c r="M22179">
        <v>51</v>
      </c>
      <c r="N22179">
        <v>0</v>
      </c>
      <c r="O22179">
        <v>51</v>
      </c>
      <c r="P22179">
        <v>0</v>
      </c>
    </row>
    <row r="22180" spans="1:16" x14ac:dyDescent="0.25">
      <c r="A22180" t="s">
        <v>44920</v>
      </c>
      <c r="B22180" t="s">
        <v>13253</v>
      </c>
      <c r="C22180" t="s">
        <v>13254</v>
      </c>
      <c r="D22180" t="s">
        <v>5572</v>
      </c>
      <c r="E22180" t="s">
        <v>5573</v>
      </c>
      <c r="F22180" t="s">
        <v>3750</v>
      </c>
      <c r="G22180" t="s">
        <v>47093</v>
      </c>
      <c r="H22180" t="s">
        <v>47054</v>
      </c>
      <c r="I22180" t="s">
        <v>47111</v>
      </c>
      <c r="J22180" t="s">
        <v>47112</v>
      </c>
      <c r="K22180" t="s">
        <v>47113</v>
      </c>
      <c r="L22180">
        <v>28.78</v>
      </c>
      <c r="M22180">
        <v>70</v>
      </c>
      <c r="N22180">
        <v>0</v>
      </c>
      <c r="O22180">
        <v>70</v>
      </c>
      <c r="P22180">
        <v>0</v>
      </c>
    </row>
    <row r="22181" spans="1:16" x14ac:dyDescent="0.25">
      <c r="A22181" t="s">
        <v>44921</v>
      </c>
      <c r="B22181" t="s">
        <v>13255</v>
      </c>
      <c r="C22181" t="s">
        <v>13256</v>
      </c>
      <c r="D22181" t="s">
        <v>268</v>
      </c>
      <c r="E22181" t="s">
        <v>269</v>
      </c>
      <c r="F22181" t="s">
        <v>5</v>
      </c>
      <c r="G22181" t="s">
        <v>47093</v>
      </c>
      <c r="H22181" t="s">
        <v>47054</v>
      </c>
      <c r="I22181" t="s">
        <v>47111</v>
      </c>
      <c r="J22181" t="s">
        <v>47112</v>
      </c>
      <c r="K22181" t="s">
        <v>47113</v>
      </c>
      <c r="L22181">
        <v>34.119999999999997</v>
      </c>
      <c r="M22181">
        <v>80</v>
      </c>
      <c r="N22181">
        <v>0</v>
      </c>
      <c r="O22181">
        <v>80</v>
      </c>
      <c r="P22181">
        <v>0</v>
      </c>
    </row>
    <row r="22182" spans="1:16" x14ac:dyDescent="0.25">
      <c r="A22182" t="s">
        <v>44922</v>
      </c>
      <c r="B22182" t="s">
        <v>13257</v>
      </c>
      <c r="C22182" t="s">
        <v>13258</v>
      </c>
      <c r="D22182" t="s">
        <v>13259</v>
      </c>
      <c r="E22182" t="s">
        <v>13260</v>
      </c>
      <c r="F22182" t="s">
        <v>3750</v>
      </c>
      <c r="G22182" t="s">
        <v>47093</v>
      </c>
      <c r="H22182" t="s">
        <v>47054</v>
      </c>
      <c r="I22182" t="s">
        <v>47111</v>
      </c>
      <c r="J22182" t="s">
        <v>47112</v>
      </c>
      <c r="K22182" t="s">
        <v>47113</v>
      </c>
      <c r="L22182">
        <v>37.4</v>
      </c>
      <c r="M22182">
        <v>91</v>
      </c>
      <c r="N22182">
        <v>0</v>
      </c>
      <c r="O22182">
        <v>91</v>
      </c>
      <c r="P22182">
        <v>0</v>
      </c>
    </row>
    <row r="22183" spans="1:16" x14ac:dyDescent="0.25">
      <c r="A22183" t="s">
        <v>44923</v>
      </c>
      <c r="B22183" t="s">
        <v>13261</v>
      </c>
      <c r="C22183" t="s">
        <v>13262</v>
      </c>
      <c r="D22183" t="s">
        <v>6626</v>
      </c>
      <c r="E22183" t="s">
        <v>6627</v>
      </c>
      <c r="F22183" t="s">
        <v>3750</v>
      </c>
      <c r="G22183" t="s">
        <v>47093</v>
      </c>
      <c r="H22183" t="s">
        <v>47054</v>
      </c>
      <c r="I22183" t="s">
        <v>47111</v>
      </c>
      <c r="J22183" t="s">
        <v>47112</v>
      </c>
      <c r="K22183" t="s">
        <v>47113</v>
      </c>
      <c r="L22183">
        <v>31.13</v>
      </c>
      <c r="M22183">
        <v>76</v>
      </c>
      <c r="N22183">
        <v>0</v>
      </c>
      <c r="O22183">
        <v>76</v>
      </c>
      <c r="P22183">
        <v>0</v>
      </c>
    </row>
    <row r="22184" spans="1:16" x14ac:dyDescent="0.25">
      <c r="A22184" t="s">
        <v>1161</v>
      </c>
      <c r="B22184" t="s">
        <v>1162</v>
      </c>
      <c r="C22184" t="s">
        <v>1163</v>
      </c>
      <c r="D22184" t="s">
        <v>1164</v>
      </c>
      <c r="E22184" t="s">
        <v>1165</v>
      </c>
      <c r="F22184" t="s">
        <v>7</v>
      </c>
      <c r="G22184" t="s">
        <v>47093</v>
      </c>
      <c r="H22184" t="s">
        <v>47054</v>
      </c>
      <c r="I22184" t="s">
        <v>47111</v>
      </c>
      <c r="J22184" t="s">
        <v>47112</v>
      </c>
      <c r="K22184" t="s">
        <v>47113</v>
      </c>
      <c r="L22184">
        <v>33.64</v>
      </c>
      <c r="M22184">
        <v>82</v>
      </c>
      <c r="N22184">
        <v>0</v>
      </c>
      <c r="O22184">
        <v>82</v>
      </c>
      <c r="P22184">
        <v>0</v>
      </c>
    </row>
    <row r="22185" spans="1:16" x14ac:dyDescent="0.25">
      <c r="A22185" t="s">
        <v>44924</v>
      </c>
      <c r="B22185" t="s">
        <v>13263</v>
      </c>
      <c r="C22185" t="s">
        <v>13264</v>
      </c>
      <c r="D22185" t="s">
        <v>721</v>
      </c>
      <c r="E22185" t="s">
        <v>722</v>
      </c>
      <c r="F22185" t="s">
        <v>3750</v>
      </c>
      <c r="G22185" t="s">
        <v>47093</v>
      </c>
      <c r="H22185" t="s">
        <v>47054</v>
      </c>
      <c r="I22185" t="s">
        <v>47111</v>
      </c>
      <c r="J22185" t="s">
        <v>47112</v>
      </c>
      <c r="K22185" t="s">
        <v>47113</v>
      </c>
      <c r="L22185">
        <v>42.52</v>
      </c>
      <c r="M22185">
        <v>66</v>
      </c>
      <c r="N22185">
        <v>0</v>
      </c>
      <c r="O22185">
        <v>66</v>
      </c>
      <c r="P22185">
        <v>0</v>
      </c>
    </row>
    <row r="22186" spans="1:16" x14ac:dyDescent="0.25">
      <c r="A22186" t="s">
        <v>44925</v>
      </c>
      <c r="B22186" t="s">
        <v>13265</v>
      </c>
      <c r="C22186" t="s">
        <v>13266</v>
      </c>
      <c r="D22186" t="s">
        <v>268</v>
      </c>
      <c r="E22186" t="s">
        <v>269</v>
      </c>
      <c r="F22186" t="s">
        <v>5</v>
      </c>
      <c r="G22186" t="s">
        <v>47093</v>
      </c>
      <c r="H22186" t="s">
        <v>47054</v>
      </c>
      <c r="I22186" t="s">
        <v>47111</v>
      </c>
      <c r="J22186" t="s">
        <v>47112</v>
      </c>
      <c r="K22186" t="s">
        <v>47113</v>
      </c>
      <c r="L22186">
        <v>34.119999999999997</v>
      </c>
      <c r="M22186">
        <v>80</v>
      </c>
      <c r="N22186">
        <v>0</v>
      </c>
      <c r="O22186">
        <v>80</v>
      </c>
      <c r="P22186">
        <v>0</v>
      </c>
    </row>
    <row r="22187" spans="1:16" x14ac:dyDescent="0.25">
      <c r="A22187" t="s">
        <v>14153</v>
      </c>
      <c r="B22187" t="s">
        <v>13267</v>
      </c>
      <c r="C22187" t="s">
        <v>1167</v>
      </c>
      <c r="D22187" t="str">
        <f>"40"</f>
        <v>40</v>
      </c>
      <c r="E22187" t="s">
        <v>31</v>
      </c>
      <c r="F22187" t="s">
        <v>7</v>
      </c>
      <c r="G22187" t="s">
        <v>47093</v>
      </c>
      <c r="H22187" t="s">
        <v>47054</v>
      </c>
      <c r="I22187" t="s">
        <v>47111</v>
      </c>
      <c r="J22187" t="s">
        <v>47112</v>
      </c>
      <c r="K22187" t="s">
        <v>47113</v>
      </c>
      <c r="L22187">
        <v>34.42</v>
      </c>
      <c r="M22187">
        <v>76</v>
      </c>
      <c r="N22187">
        <v>0</v>
      </c>
      <c r="O22187">
        <v>76</v>
      </c>
      <c r="P22187">
        <v>0</v>
      </c>
    </row>
    <row r="22188" spans="1:16" x14ac:dyDescent="0.25">
      <c r="A22188" t="s">
        <v>44926</v>
      </c>
      <c r="B22188" t="s">
        <v>13268</v>
      </c>
      <c r="C22188" t="s">
        <v>13269</v>
      </c>
      <c r="D22188" t="s">
        <v>6677</v>
      </c>
      <c r="E22188" t="s">
        <v>6678</v>
      </c>
      <c r="F22188" t="s">
        <v>3750</v>
      </c>
      <c r="G22188" t="s">
        <v>47093</v>
      </c>
      <c r="H22188" t="s">
        <v>47054</v>
      </c>
      <c r="I22188" t="s">
        <v>47111</v>
      </c>
      <c r="J22188" t="s">
        <v>47112</v>
      </c>
      <c r="K22188" t="s">
        <v>47113</v>
      </c>
      <c r="L22188">
        <v>35.770000000000003</v>
      </c>
      <c r="M22188">
        <v>87</v>
      </c>
      <c r="N22188">
        <v>0</v>
      </c>
      <c r="O22188">
        <v>87</v>
      </c>
      <c r="P22188">
        <v>0</v>
      </c>
    </row>
    <row r="22189" spans="1:16" x14ac:dyDescent="0.25">
      <c r="A22189" t="s">
        <v>44927</v>
      </c>
      <c r="B22189" t="s">
        <v>13270</v>
      </c>
      <c r="C22189" t="s">
        <v>13271</v>
      </c>
      <c r="D22189" t="s">
        <v>13272</v>
      </c>
      <c r="E22189" t="s">
        <v>13273</v>
      </c>
      <c r="F22189" t="s">
        <v>3750</v>
      </c>
      <c r="G22189" t="s">
        <v>47093</v>
      </c>
      <c r="H22189" t="s">
        <v>47054</v>
      </c>
      <c r="I22189" t="s">
        <v>47116</v>
      </c>
      <c r="J22189" t="s">
        <v>47117</v>
      </c>
      <c r="K22189" t="s">
        <v>47113</v>
      </c>
      <c r="L22189">
        <v>32.950000000000003</v>
      </c>
      <c r="M22189">
        <v>80</v>
      </c>
      <c r="N22189">
        <v>0</v>
      </c>
      <c r="O22189">
        <v>80</v>
      </c>
      <c r="P22189">
        <v>0</v>
      </c>
    </row>
    <row r="22190" spans="1:16" x14ac:dyDescent="0.25">
      <c r="A22190" t="s">
        <v>44928</v>
      </c>
      <c r="B22190" t="s">
        <v>1166</v>
      </c>
      <c r="C22190" t="s">
        <v>1167</v>
      </c>
      <c r="D22190" t="str">
        <f>"11"</f>
        <v>11</v>
      </c>
      <c r="E22190" t="s">
        <v>288</v>
      </c>
      <c r="F22190" t="s">
        <v>7</v>
      </c>
      <c r="G22190" t="s">
        <v>47093</v>
      </c>
      <c r="H22190" t="s">
        <v>47054</v>
      </c>
      <c r="I22190" t="s">
        <v>47111</v>
      </c>
      <c r="J22190" t="s">
        <v>47112</v>
      </c>
      <c r="K22190" t="s">
        <v>47113</v>
      </c>
      <c r="L22190">
        <v>28.88</v>
      </c>
      <c r="M22190">
        <v>82</v>
      </c>
      <c r="N22190">
        <v>0</v>
      </c>
      <c r="O22190">
        <v>82</v>
      </c>
      <c r="P22190">
        <v>0</v>
      </c>
    </row>
    <row r="22191" spans="1:16" x14ac:dyDescent="0.25">
      <c r="A22191" t="s">
        <v>44929</v>
      </c>
      <c r="B22191" t="s">
        <v>1169</v>
      </c>
      <c r="C22191" t="s">
        <v>1170</v>
      </c>
      <c r="D22191" t="s">
        <v>721</v>
      </c>
      <c r="E22191" t="s">
        <v>722</v>
      </c>
      <c r="F22191" t="s">
        <v>7</v>
      </c>
      <c r="G22191" t="s">
        <v>47093</v>
      </c>
      <c r="H22191" t="s">
        <v>47054</v>
      </c>
      <c r="I22191" t="s">
        <v>47111</v>
      </c>
      <c r="J22191" t="s">
        <v>47112</v>
      </c>
      <c r="K22191" t="s">
        <v>47113</v>
      </c>
      <c r="L22191">
        <v>36.950000000000003</v>
      </c>
      <c r="M22191">
        <v>58</v>
      </c>
      <c r="N22191">
        <v>0</v>
      </c>
      <c r="O22191">
        <v>58</v>
      </c>
      <c r="P22191">
        <v>0</v>
      </c>
    </row>
    <row r="22192" spans="1:16" x14ac:dyDescent="0.25">
      <c r="A22192" t="s">
        <v>1168</v>
      </c>
      <c r="B22192" t="s">
        <v>1169</v>
      </c>
      <c r="C22192" t="s">
        <v>1170</v>
      </c>
      <c r="D22192" t="str">
        <f>"40"</f>
        <v>40</v>
      </c>
      <c r="E22192" t="s">
        <v>31</v>
      </c>
      <c r="F22192" t="s">
        <v>7</v>
      </c>
      <c r="G22192" t="s">
        <v>47093</v>
      </c>
      <c r="H22192" t="s">
        <v>47054</v>
      </c>
      <c r="I22192" t="s">
        <v>47111</v>
      </c>
      <c r="J22192" t="s">
        <v>47112</v>
      </c>
      <c r="K22192" t="s">
        <v>47113</v>
      </c>
      <c r="L22192">
        <v>31.53</v>
      </c>
      <c r="M22192">
        <v>80</v>
      </c>
      <c r="N22192">
        <v>0</v>
      </c>
      <c r="O22192">
        <v>80</v>
      </c>
      <c r="P22192">
        <v>0</v>
      </c>
    </row>
    <row r="22193" spans="1:16" x14ac:dyDescent="0.25">
      <c r="A22193" t="s">
        <v>44930</v>
      </c>
      <c r="B22193" t="s">
        <v>13274</v>
      </c>
      <c r="C22193" t="s">
        <v>1170</v>
      </c>
      <c r="D22193" t="s">
        <v>27</v>
      </c>
      <c r="E22193" t="s">
        <v>622</v>
      </c>
      <c r="F22193" t="s">
        <v>7</v>
      </c>
      <c r="G22193" t="s">
        <v>47093</v>
      </c>
      <c r="H22193" t="s">
        <v>47054</v>
      </c>
      <c r="I22193" t="s">
        <v>47111</v>
      </c>
      <c r="J22193" t="s">
        <v>47112</v>
      </c>
      <c r="K22193" t="s">
        <v>47113</v>
      </c>
      <c r="L22193">
        <v>33.19</v>
      </c>
      <c r="M22193">
        <v>80</v>
      </c>
      <c r="N22193">
        <v>0</v>
      </c>
      <c r="O22193">
        <v>80</v>
      </c>
      <c r="P22193">
        <v>0</v>
      </c>
    </row>
    <row r="22194" spans="1:16" x14ac:dyDescent="0.25">
      <c r="A22194" t="s">
        <v>44931</v>
      </c>
      <c r="B22194" t="s">
        <v>13275</v>
      </c>
      <c r="C22194" t="s">
        <v>13276</v>
      </c>
      <c r="D22194" t="s">
        <v>5606</v>
      </c>
      <c r="E22194" t="s">
        <v>5607</v>
      </c>
      <c r="F22194" t="s">
        <v>3750</v>
      </c>
      <c r="G22194" t="s">
        <v>47093</v>
      </c>
      <c r="H22194" t="s">
        <v>47054</v>
      </c>
      <c r="I22194" t="s">
        <v>47111</v>
      </c>
      <c r="J22194" t="s">
        <v>47112</v>
      </c>
      <c r="K22194" t="s">
        <v>47113</v>
      </c>
      <c r="L22194">
        <v>32.89</v>
      </c>
      <c r="M22194">
        <v>80</v>
      </c>
      <c r="N22194">
        <v>0</v>
      </c>
      <c r="O22194">
        <v>80</v>
      </c>
      <c r="P22194">
        <v>0</v>
      </c>
    </row>
    <row r="22195" spans="1:16" x14ac:dyDescent="0.25">
      <c r="A22195" t="s">
        <v>44932</v>
      </c>
      <c r="B22195" t="s">
        <v>13277</v>
      </c>
      <c r="C22195" t="s">
        <v>13278</v>
      </c>
      <c r="D22195" t="str">
        <f>"11"</f>
        <v>11</v>
      </c>
      <c r="E22195" t="s">
        <v>288</v>
      </c>
      <c r="F22195" t="s">
        <v>3750</v>
      </c>
      <c r="G22195" t="s">
        <v>47093</v>
      </c>
      <c r="H22195" t="s">
        <v>47054</v>
      </c>
      <c r="I22195" t="s">
        <v>47111</v>
      </c>
      <c r="J22195" t="s">
        <v>47112</v>
      </c>
      <c r="K22195" t="s">
        <v>47113</v>
      </c>
      <c r="L22195">
        <v>30.06</v>
      </c>
      <c r="M22195">
        <v>73</v>
      </c>
      <c r="N22195">
        <v>0</v>
      </c>
      <c r="O22195">
        <v>73</v>
      </c>
      <c r="P22195">
        <v>0</v>
      </c>
    </row>
    <row r="22196" spans="1:16" x14ac:dyDescent="0.25">
      <c r="A22196" t="s">
        <v>44933</v>
      </c>
      <c r="B22196" t="s">
        <v>19289</v>
      </c>
      <c r="C22196" t="s">
        <v>19290</v>
      </c>
      <c r="D22196" t="s">
        <v>16318</v>
      </c>
      <c r="E22196" t="s">
        <v>16319</v>
      </c>
      <c r="F22196" t="s">
        <v>3750</v>
      </c>
      <c r="G22196" t="s">
        <v>47093</v>
      </c>
      <c r="H22196" t="s">
        <v>47054</v>
      </c>
      <c r="I22196" t="s">
        <v>47116</v>
      </c>
      <c r="J22196" t="s">
        <v>47117</v>
      </c>
      <c r="K22196" t="s">
        <v>47113</v>
      </c>
      <c r="L22196">
        <v>28.47</v>
      </c>
      <c r="M22196">
        <v>80</v>
      </c>
      <c r="N22196">
        <v>0</v>
      </c>
      <c r="O22196">
        <v>80</v>
      </c>
      <c r="P22196">
        <v>0</v>
      </c>
    </row>
    <row r="22197" spans="1:16" x14ac:dyDescent="0.25">
      <c r="A22197" t="s">
        <v>44934</v>
      </c>
      <c r="B22197" t="s">
        <v>13279</v>
      </c>
      <c r="C22197" t="s">
        <v>1170</v>
      </c>
      <c r="D22197" t="str">
        <f>"11"</f>
        <v>11</v>
      </c>
      <c r="E22197" t="s">
        <v>288</v>
      </c>
      <c r="F22197" t="s">
        <v>7</v>
      </c>
      <c r="G22197" t="s">
        <v>47093</v>
      </c>
      <c r="H22197" t="s">
        <v>47054</v>
      </c>
      <c r="I22197" t="s">
        <v>47111</v>
      </c>
      <c r="J22197" t="s">
        <v>47112</v>
      </c>
      <c r="K22197" t="s">
        <v>47113</v>
      </c>
      <c r="L22197">
        <v>26.94</v>
      </c>
      <c r="M22197">
        <v>70</v>
      </c>
      <c r="N22197">
        <v>0</v>
      </c>
      <c r="O22197">
        <v>70</v>
      </c>
      <c r="P22197">
        <v>0</v>
      </c>
    </row>
    <row r="22198" spans="1:16" x14ac:dyDescent="0.25">
      <c r="A22198" t="s">
        <v>44935</v>
      </c>
      <c r="B22198" t="s">
        <v>13280</v>
      </c>
      <c r="C22198" t="s">
        <v>13281</v>
      </c>
      <c r="D22198" t="s">
        <v>268</v>
      </c>
      <c r="E22198" t="s">
        <v>269</v>
      </c>
      <c r="F22198" t="s">
        <v>5</v>
      </c>
      <c r="G22198" t="s">
        <v>47093</v>
      </c>
      <c r="H22198" t="s">
        <v>47054</v>
      </c>
      <c r="I22198" t="s">
        <v>47111</v>
      </c>
      <c r="J22198" t="s">
        <v>47112</v>
      </c>
      <c r="K22198" t="s">
        <v>47113</v>
      </c>
      <c r="L22198">
        <v>34.119999999999997</v>
      </c>
      <c r="M22198">
        <v>80</v>
      </c>
      <c r="N22198">
        <v>0</v>
      </c>
      <c r="O22198">
        <v>80</v>
      </c>
      <c r="P22198">
        <v>0</v>
      </c>
    </row>
    <row r="22199" spans="1:16" x14ac:dyDescent="0.25">
      <c r="A22199" t="s">
        <v>44936</v>
      </c>
      <c r="B22199" t="s">
        <v>44937</v>
      </c>
      <c r="C22199" t="s">
        <v>44938</v>
      </c>
      <c r="D22199" t="s">
        <v>721</v>
      </c>
      <c r="E22199" t="s">
        <v>722</v>
      </c>
      <c r="F22199" t="s">
        <v>3750</v>
      </c>
      <c r="G22199" t="s">
        <v>47093</v>
      </c>
      <c r="H22199" t="s">
        <v>47054</v>
      </c>
      <c r="I22199" t="s">
        <v>47114</v>
      </c>
      <c r="J22199" t="s">
        <v>47115</v>
      </c>
      <c r="K22199" t="s">
        <v>47113</v>
      </c>
      <c r="L22199">
        <v>27.17</v>
      </c>
      <c r="M22199">
        <v>100</v>
      </c>
      <c r="N22199">
        <v>269</v>
      </c>
      <c r="O22199">
        <v>100</v>
      </c>
      <c r="P22199">
        <v>269</v>
      </c>
    </row>
    <row r="22200" spans="1:16" x14ac:dyDescent="0.25">
      <c r="A22200" t="s">
        <v>44939</v>
      </c>
      <c r="B22200" t="s">
        <v>16428</v>
      </c>
      <c r="C22200" t="s">
        <v>16429</v>
      </c>
      <c r="D22200" t="s">
        <v>16311</v>
      </c>
      <c r="E22200" t="s">
        <v>16312</v>
      </c>
      <c r="F22200" t="s">
        <v>3750</v>
      </c>
      <c r="G22200" t="s">
        <v>47093</v>
      </c>
      <c r="H22200" t="s">
        <v>47054</v>
      </c>
      <c r="I22200" t="s">
        <v>47116</v>
      </c>
      <c r="J22200" t="s">
        <v>47117</v>
      </c>
      <c r="K22200" t="s">
        <v>47113</v>
      </c>
      <c r="L22200">
        <v>31.53</v>
      </c>
      <c r="M22200">
        <v>88</v>
      </c>
      <c r="N22200">
        <v>0</v>
      </c>
      <c r="O22200">
        <v>88</v>
      </c>
      <c r="P22200">
        <v>0</v>
      </c>
    </row>
    <row r="22201" spans="1:16" x14ac:dyDescent="0.25">
      <c r="A22201" t="s">
        <v>44940</v>
      </c>
      <c r="B22201" t="s">
        <v>13282</v>
      </c>
      <c r="C22201" t="s">
        <v>13283</v>
      </c>
      <c r="D22201" t="s">
        <v>13284</v>
      </c>
      <c r="E22201" t="s">
        <v>13285</v>
      </c>
      <c r="F22201" t="s">
        <v>3750</v>
      </c>
      <c r="G22201" t="s">
        <v>47093</v>
      </c>
      <c r="H22201" t="s">
        <v>47054</v>
      </c>
      <c r="I22201" t="s">
        <v>47111</v>
      </c>
      <c r="J22201" t="s">
        <v>47112</v>
      </c>
      <c r="K22201" t="s">
        <v>47113</v>
      </c>
      <c r="L22201">
        <v>34.130000000000003</v>
      </c>
      <c r="M22201">
        <v>83</v>
      </c>
      <c r="N22201">
        <v>0</v>
      </c>
      <c r="O22201">
        <v>83</v>
      </c>
      <c r="P22201">
        <v>0</v>
      </c>
    </row>
    <row r="22202" spans="1:16" x14ac:dyDescent="0.25">
      <c r="A22202" t="s">
        <v>44941</v>
      </c>
      <c r="B22202" t="s">
        <v>14372</v>
      </c>
      <c r="C22202" t="s">
        <v>19291</v>
      </c>
      <c r="D22202" t="s">
        <v>27</v>
      </c>
      <c r="E22202" t="s">
        <v>28</v>
      </c>
      <c r="F22202" t="s">
        <v>3670</v>
      </c>
      <c r="G22202" t="s">
        <v>49029</v>
      </c>
      <c r="H22202" t="s">
        <v>47054</v>
      </c>
      <c r="I22202" t="s">
        <v>47111</v>
      </c>
      <c r="J22202" t="s">
        <v>47112</v>
      </c>
      <c r="K22202" t="s">
        <v>47113</v>
      </c>
      <c r="L22202">
        <v>28.69</v>
      </c>
      <c r="M22202">
        <v>63</v>
      </c>
      <c r="N22202">
        <v>0</v>
      </c>
      <c r="O22202">
        <v>63</v>
      </c>
      <c r="P22202">
        <v>0</v>
      </c>
    </row>
    <row r="22203" spans="1:16" x14ac:dyDescent="0.25">
      <c r="A22203" t="s">
        <v>44942</v>
      </c>
      <c r="B22203" t="s">
        <v>14373</v>
      </c>
      <c r="C22203" t="s">
        <v>13854</v>
      </c>
      <c r="D22203" t="str">
        <f>"11"</f>
        <v>11</v>
      </c>
      <c r="E22203" t="s">
        <v>288</v>
      </c>
      <c r="F22203" t="s">
        <v>3670</v>
      </c>
      <c r="G22203" t="s">
        <v>47093</v>
      </c>
      <c r="H22203" t="s">
        <v>47054</v>
      </c>
      <c r="I22203" t="s">
        <v>47111</v>
      </c>
      <c r="J22203" t="s">
        <v>47112</v>
      </c>
      <c r="K22203" t="s">
        <v>47113</v>
      </c>
      <c r="L22203">
        <v>25.9</v>
      </c>
      <c r="M22203">
        <v>59</v>
      </c>
      <c r="N22203">
        <v>0</v>
      </c>
      <c r="O22203">
        <v>59</v>
      </c>
      <c r="P22203">
        <v>0</v>
      </c>
    </row>
    <row r="22204" spans="1:16" x14ac:dyDescent="0.25">
      <c r="A22204" t="s">
        <v>44943</v>
      </c>
      <c r="B22204" t="s">
        <v>14374</v>
      </c>
      <c r="C22204" t="s">
        <v>13854</v>
      </c>
      <c r="D22204" t="s">
        <v>27</v>
      </c>
      <c r="E22204" t="s">
        <v>28</v>
      </c>
      <c r="F22204" t="s">
        <v>3670</v>
      </c>
      <c r="G22204" t="s">
        <v>47093</v>
      </c>
      <c r="H22204" t="s">
        <v>47054</v>
      </c>
      <c r="I22204" t="s">
        <v>47111</v>
      </c>
      <c r="J22204" t="s">
        <v>47112</v>
      </c>
      <c r="K22204" t="s">
        <v>47113</v>
      </c>
      <c r="L22204">
        <v>30.59</v>
      </c>
      <c r="M22204">
        <v>66</v>
      </c>
      <c r="N22204">
        <v>0</v>
      </c>
      <c r="O22204">
        <v>66</v>
      </c>
      <c r="P22204">
        <v>0</v>
      </c>
    </row>
    <row r="22205" spans="1:16" x14ac:dyDescent="0.25">
      <c r="A22205" t="s">
        <v>44944</v>
      </c>
      <c r="B22205" t="s">
        <v>13286</v>
      </c>
      <c r="C22205" t="s">
        <v>13287</v>
      </c>
      <c r="D22205" t="s">
        <v>983</v>
      </c>
      <c r="E22205" t="s">
        <v>984</v>
      </c>
      <c r="F22205" t="s">
        <v>7</v>
      </c>
      <c r="G22205" t="s">
        <v>47093</v>
      </c>
      <c r="H22205" t="s">
        <v>47054</v>
      </c>
      <c r="I22205" t="s">
        <v>47111</v>
      </c>
      <c r="J22205" t="s">
        <v>47112</v>
      </c>
      <c r="K22205" t="s">
        <v>47113</v>
      </c>
      <c r="L22205">
        <v>36.159999999999997</v>
      </c>
      <c r="M22205">
        <v>88</v>
      </c>
      <c r="N22205">
        <v>0</v>
      </c>
      <c r="O22205">
        <v>88</v>
      </c>
      <c r="P22205">
        <v>0</v>
      </c>
    </row>
    <row r="22206" spans="1:16" x14ac:dyDescent="0.25">
      <c r="A22206" t="s">
        <v>44945</v>
      </c>
      <c r="B22206" t="s">
        <v>13288</v>
      </c>
      <c r="C22206" t="s">
        <v>13289</v>
      </c>
      <c r="D22206" t="s">
        <v>721</v>
      </c>
      <c r="E22206" t="s">
        <v>722</v>
      </c>
      <c r="F22206" t="s">
        <v>296</v>
      </c>
      <c r="G22206" t="s">
        <v>47093</v>
      </c>
      <c r="H22206" t="s">
        <v>47054</v>
      </c>
      <c r="I22206" t="s">
        <v>47111</v>
      </c>
      <c r="J22206" t="s">
        <v>47112</v>
      </c>
      <c r="K22206" t="s">
        <v>47113</v>
      </c>
      <c r="L22206">
        <v>21.85</v>
      </c>
      <c r="M22206">
        <v>65</v>
      </c>
      <c r="N22206">
        <v>0</v>
      </c>
      <c r="O22206">
        <v>65</v>
      </c>
      <c r="P22206">
        <v>0</v>
      </c>
    </row>
    <row r="22207" spans="1:16" x14ac:dyDescent="0.25">
      <c r="A22207" t="s">
        <v>44946</v>
      </c>
      <c r="B22207" t="s">
        <v>13288</v>
      </c>
      <c r="C22207" t="s">
        <v>13289</v>
      </c>
      <c r="D22207" t="s">
        <v>983</v>
      </c>
      <c r="E22207" t="s">
        <v>984</v>
      </c>
      <c r="F22207" t="s">
        <v>7</v>
      </c>
      <c r="G22207" t="s">
        <v>47093</v>
      </c>
      <c r="H22207" t="s">
        <v>47054</v>
      </c>
      <c r="I22207" t="s">
        <v>47111</v>
      </c>
      <c r="J22207" t="s">
        <v>47112</v>
      </c>
      <c r="K22207" t="s">
        <v>47113</v>
      </c>
      <c r="L22207">
        <v>36.229999999999997</v>
      </c>
      <c r="M22207">
        <v>90</v>
      </c>
      <c r="N22207">
        <v>0</v>
      </c>
      <c r="O22207">
        <v>90</v>
      </c>
      <c r="P22207">
        <v>0</v>
      </c>
    </row>
    <row r="22208" spans="1:16" x14ac:dyDescent="0.25">
      <c r="A22208" t="s">
        <v>44947</v>
      </c>
      <c r="B22208" t="s">
        <v>13288</v>
      </c>
      <c r="C22208" t="s">
        <v>13289</v>
      </c>
      <c r="D22208" t="s">
        <v>730</v>
      </c>
      <c r="E22208" t="s">
        <v>731</v>
      </c>
      <c r="F22208" t="s">
        <v>7</v>
      </c>
      <c r="G22208" t="s">
        <v>47093</v>
      </c>
      <c r="H22208" t="s">
        <v>47054</v>
      </c>
      <c r="I22208" t="s">
        <v>47111</v>
      </c>
      <c r="J22208" t="s">
        <v>47112</v>
      </c>
      <c r="K22208" t="s">
        <v>47113</v>
      </c>
      <c r="L22208">
        <v>29.31</v>
      </c>
      <c r="M22208">
        <v>78</v>
      </c>
      <c r="N22208">
        <v>0</v>
      </c>
      <c r="O22208">
        <v>78</v>
      </c>
      <c r="P22208">
        <v>0</v>
      </c>
    </row>
    <row r="22209" spans="1:16" x14ac:dyDescent="0.25">
      <c r="A22209" t="s">
        <v>44948</v>
      </c>
      <c r="B22209" t="s">
        <v>13290</v>
      </c>
      <c r="C22209" t="s">
        <v>1243</v>
      </c>
      <c r="D22209" t="str">
        <f>"63"</f>
        <v>63</v>
      </c>
      <c r="E22209" t="s">
        <v>40</v>
      </c>
      <c r="F22209" t="s">
        <v>7</v>
      </c>
      <c r="G22209" t="s">
        <v>47093</v>
      </c>
      <c r="H22209" t="s">
        <v>47054</v>
      </c>
      <c r="I22209" t="s">
        <v>47111</v>
      </c>
      <c r="J22209" t="s">
        <v>47112</v>
      </c>
      <c r="K22209" t="s">
        <v>47113</v>
      </c>
      <c r="L22209">
        <v>29.13</v>
      </c>
      <c r="M22209">
        <v>72</v>
      </c>
      <c r="N22209">
        <v>0</v>
      </c>
      <c r="O22209">
        <v>72</v>
      </c>
      <c r="P22209">
        <v>0</v>
      </c>
    </row>
    <row r="22210" spans="1:16" x14ac:dyDescent="0.25">
      <c r="A22210" t="s">
        <v>44949</v>
      </c>
      <c r="B22210" t="s">
        <v>13290</v>
      </c>
      <c r="C22210" t="s">
        <v>1243</v>
      </c>
      <c r="D22210" t="s">
        <v>1174</v>
      </c>
      <c r="E22210" t="s">
        <v>1175</v>
      </c>
      <c r="F22210" t="s">
        <v>7</v>
      </c>
      <c r="G22210" t="s">
        <v>47093</v>
      </c>
      <c r="H22210" t="s">
        <v>47054</v>
      </c>
      <c r="I22210" t="s">
        <v>47111</v>
      </c>
      <c r="J22210" t="s">
        <v>47112</v>
      </c>
      <c r="K22210" t="s">
        <v>47113</v>
      </c>
      <c r="L22210">
        <v>35.67</v>
      </c>
      <c r="M22210">
        <v>83</v>
      </c>
      <c r="N22210">
        <v>0</v>
      </c>
      <c r="O22210">
        <v>83</v>
      </c>
      <c r="P22210">
        <v>0</v>
      </c>
    </row>
    <row r="22211" spans="1:16" x14ac:dyDescent="0.25">
      <c r="A22211" t="s">
        <v>44950</v>
      </c>
      <c r="B22211" t="s">
        <v>13290</v>
      </c>
      <c r="C22211" t="s">
        <v>1243</v>
      </c>
      <c r="D22211" t="s">
        <v>311</v>
      </c>
      <c r="E22211" t="s">
        <v>312</v>
      </c>
      <c r="F22211" t="s">
        <v>7</v>
      </c>
      <c r="G22211" t="s">
        <v>47093</v>
      </c>
      <c r="H22211" t="s">
        <v>47054</v>
      </c>
      <c r="I22211" t="s">
        <v>47111</v>
      </c>
      <c r="J22211" t="s">
        <v>47112</v>
      </c>
      <c r="K22211" t="s">
        <v>47113</v>
      </c>
      <c r="L22211">
        <v>25.64</v>
      </c>
      <c r="M22211">
        <v>66</v>
      </c>
      <c r="N22211">
        <v>0</v>
      </c>
      <c r="O22211">
        <v>66</v>
      </c>
      <c r="P22211">
        <v>0</v>
      </c>
    </row>
    <row r="22212" spans="1:16" x14ac:dyDescent="0.25">
      <c r="A22212" t="s">
        <v>1171</v>
      </c>
      <c r="B22212" t="s">
        <v>1172</v>
      </c>
      <c r="C22212" t="s">
        <v>1173</v>
      </c>
      <c r="D22212" t="s">
        <v>1174</v>
      </c>
      <c r="E22212" t="s">
        <v>1175</v>
      </c>
      <c r="F22212" t="s">
        <v>7</v>
      </c>
      <c r="G22212" t="s">
        <v>47093</v>
      </c>
      <c r="H22212" t="s">
        <v>47054</v>
      </c>
      <c r="I22212" t="s">
        <v>47111</v>
      </c>
      <c r="J22212" t="s">
        <v>47112</v>
      </c>
      <c r="K22212" t="s">
        <v>47113</v>
      </c>
      <c r="L22212">
        <v>34.99</v>
      </c>
      <c r="M22212">
        <v>80</v>
      </c>
      <c r="N22212">
        <v>0</v>
      </c>
      <c r="O22212">
        <v>80</v>
      </c>
      <c r="P22212">
        <v>0</v>
      </c>
    </row>
    <row r="22213" spans="1:16" x14ac:dyDescent="0.25">
      <c r="A22213" t="s">
        <v>44951</v>
      </c>
      <c r="B22213" t="s">
        <v>13291</v>
      </c>
      <c r="C22213" t="s">
        <v>13292</v>
      </c>
      <c r="D22213" t="s">
        <v>1174</v>
      </c>
      <c r="E22213" t="s">
        <v>1175</v>
      </c>
      <c r="F22213" t="s">
        <v>7</v>
      </c>
      <c r="G22213" t="s">
        <v>47093</v>
      </c>
      <c r="H22213" t="s">
        <v>47054</v>
      </c>
      <c r="I22213" t="s">
        <v>47111</v>
      </c>
      <c r="J22213" t="s">
        <v>47112</v>
      </c>
      <c r="K22213" t="s">
        <v>47113</v>
      </c>
      <c r="L22213">
        <v>34.03</v>
      </c>
      <c r="M22213">
        <v>81</v>
      </c>
      <c r="N22213">
        <v>0</v>
      </c>
      <c r="O22213">
        <v>81</v>
      </c>
      <c r="P22213">
        <v>0</v>
      </c>
    </row>
    <row r="22214" spans="1:16" x14ac:dyDescent="0.25">
      <c r="A22214" t="s">
        <v>44952</v>
      </c>
      <c r="B22214" t="s">
        <v>1177</v>
      </c>
      <c r="C22214" t="s">
        <v>734</v>
      </c>
      <c r="D22214" t="s">
        <v>721</v>
      </c>
      <c r="E22214" t="s">
        <v>722</v>
      </c>
      <c r="F22214" t="s">
        <v>7</v>
      </c>
      <c r="G22214" t="s">
        <v>47093</v>
      </c>
      <c r="H22214" t="s">
        <v>47054</v>
      </c>
      <c r="I22214" t="s">
        <v>47111</v>
      </c>
      <c r="J22214" t="s">
        <v>47112</v>
      </c>
      <c r="K22214" t="s">
        <v>47113</v>
      </c>
      <c r="L22214">
        <v>22.08</v>
      </c>
      <c r="M22214">
        <v>65</v>
      </c>
      <c r="N22214">
        <v>0</v>
      </c>
      <c r="O22214">
        <v>65</v>
      </c>
      <c r="P22214">
        <v>0</v>
      </c>
    </row>
    <row r="22215" spans="1:16" x14ac:dyDescent="0.25">
      <c r="A22215" t="s">
        <v>44953</v>
      </c>
      <c r="B22215" t="s">
        <v>1177</v>
      </c>
      <c r="C22215" t="s">
        <v>734</v>
      </c>
      <c r="D22215" t="s">
        <v>983</v>
      </c>
      <c r="E22215" t="s">
        <v>984</v>
      </c>
      <c r="F22215" t="s">
        <v>7</v>
      </c>
      <c r="G22215" t="s">
        <v>47093</v>
      </c>
      <c r="H22215" t="s">
        <v>47054</v>
      </c>
      <c r="I22215" t="s">
        <v>47111</v>
      </c>
      <c r="J22215" t="s">
        <v>47112</v>
      </c>
      <c r="K22215" t="s">
        <v>47113</v>
      </c>
      <c r="L22215">
        <v>35.53</v>
      </c>
      <c r="M22215">
        <v>90</v>
      </c>
      <c r="N22215">
        <v>0</v>
      </c>
      <c r="O22215">
        <v>90</v>
      </c>
      <c r="P22215">
        <v>0</v>
      </c>
    </row>
    <row r="22216" spans="1:16" x14ac:dyDescent="0.25">
      <c r="A22216" t="s">
        <v>1176</v>
      </c>
      <c r="B22216" t="s">
        <v>1177</v>
      </c>
      <c r="C22216" t="s">
        <v>734</v>
      </c>
      <c r="D22216" t="s">
        <v>730</v>
      </c>
      <c r="E22216" t="s">
        <v>731</v>
      </c>
      <c r="F22216" t="s">
        <v>7</v>
      </c>
      <c r="G22216" t="s">
        <v>47093</v>
      </c>
      <c r="H22216" t="s">
        <v>47054</v>
      </c>
      <c r="I22216" t="s">
        <v>47111</v>
      </c>
      <c r="J22216" t="s">
        <v>47112</v>
      </c>
      <c r="K22216" t="s">
        <v>47113</v>
      </c>
      <c r="L22216">
        <v>29.22</v>
      </c>
      <c r="M22216">
        <v>78</v>
      </c>
      <c r="N22216">
        <v>0</v>
      </c>
      <c r="O22216">
        <v>78</v>
      </c>
      <c r="P22216">
        <v>0</v>
      </c>
    </row>
    <row r="22217" spans="1:16" x14ac:dyDescent="0.25">
      <c r="A22217" t="s">
        <v>44954</v>
      </c>
      <c r="B22217" t="s">
        <v>13293</v>
      </c>
      <c r="C22217" t="s">
        <v>13294</v>
      </c>
      <c r="D22217" t="s">
        <v>983</v>
      </c>
      <c r="E22217" t="s">
        <v>984</v>
      </c>
      <c r="F22217" t="s">
        <v>7</v>
      </c>
      <c r="G22217" t="s">
        <v>47093</v>
      </c>
      <c r="H22217" t="s">
        <v>47054</v>
      </c>
      <c r="I22217" t="s">
        <v>47111</v>
      </c>
      <c r="J22217" t="s">
        <v>47112</v>
      </c>
      <c r="K22217" t="s">
        <v>47113</v>
      </c>
      <c r="L22217">
        <v>36.26</v>
      </c>
      <c r="M22217">
        <v>95</v>
      </c>
      <c r="N22217">
        <v>0</v>
      </c>
      <c r="O22217">
        <v>95</v>
      </c>
      <c r="P22217">
        <v>0</v>
      </c>
    </row>
    <row r="22218" spans="1:16" x14ac:dyDescent="0.25">
      <c r="A22218" t="s">
        <v>44955</v>
      </c>
      <c r="B22218" t="s">
        <v>13293</v>
      </c>
      <c r="C22218" t="s">
        <v>13294</v>
      </c>
      <c r="D22218" t="s">
        <v>730</v>
      </c>
      <c r="E22218" t="s">
        <v>731</v>
      </c>
      <c r="F22218" t="s">
        <v>7</v>
      </c>
      <c r="G22218" t="s">
        <v>47093</v>
      </c>
      <c r="H22218" t="s">
        <v>47054</v>
      </c>
      <c r="I22218" t="s">
        <v>47111</v>
      </c>
      <c r="J22218" t="s">
        <v>47112</v>
      </c>
      <c r="K22218" t="s">
        <v>47113</v>
      </c>
      <c r="L22218">
        <v>28.61</v>
      </c>
      <c r="M22218">
        <v>78</v>
      </c>
      <c r="N22218">
        <v>0</v>
      </c>
      <c r="O22218">
        <v>78</v>
      </c>
      <c r="P22218">
        <v>0</v>
      </c>
    </row>
    <row r="22219" spans="1:16" x14ac:dyDescent="0.25">
      <c r="A22219" t="s">
        <v>44956</v>
      </c>
      <c r="B22219" t="s">
        <v>13295</v>
      </c>
      <c r="C22219" t="s">
        <v>13296</v>
      </c>
      <c r="D22219" t="s">
        <v>983</v>
      </c>
      <c r="E22219" t="s">
        <v>984</v>
      </c>
      <c r="F22219" t="s">
        <v>7</v>
      </c>
      <c r="G22219" t="s">
        <v>47093</v>
      </c>
      <c r="H22219" t="s">
        <v>47054</v>
      </c>
      <c r="I22219" t="s">
        <v>47111</v>
      </c>
      <c r="J22219" t="s">
        <v>47112</v>
      </c>
      <c r="K22219" t="s">
        <v>47113</v>
      </c>
      <c r="L22219">
        <v>38.49</v>
      </c>
      <c r="M22219">
        <v>90</v>
      </c>
      <c r="N22219">
        <v>0</v>
      </c>
      <c r="O22219">
        <v>90</v>
      </c>
      <c r="P22219">
        <v>0</v>
      </c>
    </row>
    <row r="22220" spans="1:16" x14ac:dyDescent="0.25">
      <c r="A22220" t="s">
        <v>44957</v>
      </c>
      <c r="B22220" t="s">
        <v>13295</v>
      </c>
      <c r="C22220" t="s">
        <v>13296</v>
      </c>
      <c r="D22220" t="s">
        <v>730</v>
      </c>
      <c r="E22220" t="s">
        <v>731</v>
      </c>
      <c r="F22220" t="s">
        <v>7</v>
      </c>
      <c r="G22220" t="s">
        <v>47093</v>
      </c>
      <c r="H22220" t="s">
        <v>47054</v>
      </c>
      <c r="I22220" t="s">
        <v>47111</v>
      </c>
      <c r="J22220" t="s">
        <v>47112</v>
      </c>
      <c r="K22220" t="s">
        <v>47113</v>
      </c>
      <c r="L22220">
        <v>28.33</v>
      </c>
      <c r="M22220">
        <v>78</v>
      </c>
      <c r="N22220">
        <v>0</v>
      </c>
      <c r="O22220">
        <v>78</v>
      </c>
      <c r="P22220">
        <v>0</v>
      </c>
    </row>
    <row r="22221" spans="1:16" x14ac:dyDescent="0.25">
      <c r="A22221" t="s">
        <v>44958</v>
      </c>
      <c r="B22221" t="s">
        <v>22196</v>
      </c>
      <c r="C22221" t="s">
        <v>22197</v>
      </c>
      <c r="D22221" t="str">
        <f>"1700"</f>
        <v>1700</v>
      </c>
      <c r="E22221" t="s">
        <v>22198</v>
      </c>
      <c r="F22221" t="s">
        <v>3750</v>
      </c>
      <c r="G22221" t="s">
        <v>47101</v>
      </c>
      <c r="H22221" t="s">
        <v>47054</v>
      </c>
      <c r="I22221" t="s">
        <v>47118</v>
      </c>
      <c r="J22221" t="s">
        <v>47119</v>
      </c>
      <c r="K22221" t="s">
        <v>47113</v>
      </c>
      <c r="L22221">
        <v>11.58</v>
      </c>
      <c r="M22221">
        <v>21</v>
      </c>
      <c r="N22221">
        <v>0</v>
      </c>
      <c r="O22221">
        <v>21</v>
      </c>
      <c r="P22221">
        <v>0</v>
      </c>
    </row>
    <row r="22222" spans="1:16" x14ac:dyDescent="0.25">
      <c r="A22222" t="s">
        <v>1178</v>
      </c>
      <c r="B22222" t="s">
        <v>1179</v>
      </c>
      <c r="C22222" t="s">
        <v>1180</v>
      </c>
      <c r="D22222" t="str">
        <f>"1746"</f>
        <v>1746</v>
      </c>
      <c r="E22222" t="s">
        <v>807</v>
      </c>
      <c r="F22222" t="s">
        <v>2</v>
      </c>
      <c r="G22222" t="s">
        <v>47091</v>
      </c>
      <c r="H22222" t="s">
        <v>47054</v>
      </c>
      <c r="I22222" t="s">
        <v>47111</v>
      </c>
      <c r="J22222" t="s">
        <v>47112</v>
      </c>
      <c r="K22222" t="s">
        <v>47113</v>
      </c>
      <c r="L22222">
        <v>32.909999999999997</v>
      </c>
      <c r="M22222">
        <v>25</v>
      </c>
      <c r="N22222">
        <v>0</v>
      </c>
      <c r="O22222">
        <v>25</v>
      </c>
      <c r="P22222">
        <v>0</v>
      </c>
    </row>
    <row r="22223" spans="1:16" x14ac:dyDescent="0.25">
      <c r="A22223" t="s">
        <v>44959</v>
      </c>
      <c r="B22223" t="s">
        <v>1182</v>
      </c>
      <c r="C22223" t="s">
        <v>1183</v>
      </c>
      <c r="D22223" t="str">
        <f>"1746"</f>
        <v>1746</v>
      </c>
      <c r="E22223" t="s">
        <v>807</v>
      </c>
      <c r="F22223" t="s">
        <v>2</v>
      </c>
      <c r="G22223" t="s">
        <v>47091</v>
      </c>
      <c r="H22223" t="s">
        <v>47054</v>
      </c>
      <c r="I22223" t="s">
        <v>47111</v>
      </c>
      <c r="J22223" t="s">
        <v>47112</v>
      </c>
      <c r="K22223" t="s">
        <v>47113</v>
      </c>
      <c r="L22223">
        <v>9.09</v>
      </c>
      <c r="M22223">
        <v>26</v>
      </c>
      <c r="N22223">
        <v>0</v>
      </c>
      <c r="O22223">
        <v>26</v>
      </c>
      <c r="P22223">
        <v>0</v>
      </c>
    </row>
    <row r="22224" spans="1:16" x14ac:dyDescent="0.25">
      <c r="A22224" t="s">
        <v>1181</v>
      </c>
      <c r="B22224" t="s">
        <v>1182</v>
      </c>
      <c r="C22224" t="s">
        <v>1183</v>
      </c>
      <c r="D22224" t="str">
        <f>"4529"</f>
        <v>4529</v>
      </c>
      <c r="E22224" t="s">
        <v>1184</v>
      </c>
      <c r="F22224" t="s">
        <v>2</v>
      </c>
      <c r="G22224" t="s">
        <v>47091</v>
      </c>
      <c r="H22224" t="s">
        <v>47054</v>
      </c>
      <c r="I22224" t="s">
        <v>47111</v>
      </c>
      <c r="J22224" t="s">
        <v>47112</v>
      </c>
      <c r="K22224" t="s">
        <v>47113</v>
      </c>
      <c r="L22224">
        <v>14.11</v>
      </c>
      <c r="M22224">
        <v>30</v>
      </c>
      <c r="N22224">
        <v>0</v>
      </c>
      <c r="O22224">
        <v>30</v>
      </c>
      <c r="P22224">
        <v>0</v>
      </c>
    </row>
    <row r="22225" spans="1:16" x14ac:dyDescent="0.25">
      <c r="A22225" t="s">
        <v>44960</v>
      </c>
      <c r="B22225" t="s">
        <v>1186</v>
      </c>
      <c r="C22225" t="s">
        <v>1187</v>
      </c>
      <c r="D22225" t="str">
        <f>"1746"</f>
        <v>1746</v>
      </c>
      <c r="E22225" t="s">
        <v>807</v>
      </c>
      <c r="F22225" t="s">
        <v>2</v>
      </c>
      <c r="G22225" t="s">
        <v>47091</v>
      </c>
      <c r="H22225" t="s">
        <v>47054</v>
      </c>
      <c r="I22225" t="s">
        <v>47111</v>
      </c>
      <c r="J22225" t="s">
        <v>47112</v>
      </c>
      <c r="K22225" t="s">
        <v>47113</v>
      </c>
      <c r="L22225">
        <v>8.94</v>
      </c>
      <c r="M22225">
        <v>25</v>
      </c>
      <c r="N22225">
        <v>0</v>
      </c>
      <c r="O22225">
        <v>25</v>
      </c>
      <c r="P22225">
        <v>0</v>
      </c>
    </row>
    <row r="22226" spans="1:16" x14ac:dyDescent="0.25">
      <c r="A22226" t="s">
        <v>1185</v>
      </c>
      <c r="B22226" t="s">
        <v>1186</v>
      </c>
      <c r="C22226" t="s">
        <v>1187</v>
      </c>
      <c r="D22226" t="str">
        <f>"4482"</f>
        <v>4482</v>
      </c>
      <c r="E22226" t="s">
        <v>1188</v>
      </c>
      <c r="F22226" t="s">
        <v>2</v>
      </c>
      <c r="G22226" t="s">
        <v>47091</v>
      </c>
      <c r="H22226" t="s">
        <v>47054</v>
      </c>
      <c r="I22226" t="s">
        <v>47111</v>
      </c>
      <c r="J22226" t="s">
        <v>47112</v>
      </c>
      <c r="K22226" t="s">
        <v>47113</v>
      </c>
      <c r="L22226">
        <v>32.909999999999997</v>
      </c>
      <c r="M22226">
        <v>30</v>
      </c>
      <c r="N22226">
        <v>0</v>
      </c>
      <c r="O22226">
        <v>30</v>
      </c>
      <c r="P22226">
        <v>0</v>
      </c>
    </row>
    <row r="22227" spans="1:16" x14ac:dyDescent="0.25">
      <c r="A22227" t="s">
        <v>1189</v>
      </c>
      <c r="B22227" t="s">
        <v>1190</v>
      </c>
      <c r="C22227" t="s">
        <v>1191</v>
      </c>
      <c r="D22227" t="str">
        <f>"1746"</f>
        <v>1746</v>
      </c>
      <c r="E22227" t="s">
        <v>807</v>
      </c>
      <c r="F22227" t="s">
        <v>3</v>
      </c>
      <c r="G22227" t="s">
        <v>47091</v>
      </c>
      <c r="H22227" t="s">
        <v>47054</v>
      </c>
      <c r="I22227" t="s">
        <v>47139</v>
      </c>
      <c r="J22227" t="s">
        <v>47140</v>
      </c>
      <c r="K22227" t="s">
        <v>47113</v>
      </c>
      <c r="L22227">
        <v>9.5299999999999994</v>
      </c>
      <c r="M22227">
        <v>27</v>
      </c>
      <c r="N22227">
        <v>0</v>
      </c>
      <c r="O22227">
        <v>27</v>
      </c>
      <c r="P22227">
        <v>0</v>
      </c>
    </row>
    <row r="22228" spans="1:16" x14ac:dyDescent="0.25">
      <c r="A22228" t="s">
        <v>44961</v>
      </c>
      <c r="B22228" t="s">
        <v>1190</v>
      </c>
      <c r="C22228" t="s">
        <v>1191</v>
      </c>
      <c r="D22228" t="str">
        <f>"6205"</f>
        <v>6205</v>
      </c>
      <c r="E22228" t="s">
        <v>6493</v>
      </c>
      <c r="F22228" t="s">
        <v>3</v>
      </c>
      <c r="G22228" t="s">
        <v>47091</v>
      </c>
      <c r="H22228" t="s">
        <v>47054</v>
      </c>
      <c r="I22228" t="s">
        <v>47139</v>
      </c>
      <c r="J22228" t="s">
        <v>47140</v>
      </c>
      <c r="K22228" t="s">
        <v>47113</v>
      </c>
      <c r="L22228">
        <v>9.9600000000000009</v>
      </c>
      <c r="M22228">
        <v>27</v>
      </c>
      <c r="N22228">
        <v>0</v>
      </c>
      <c r="O22228">
        <v>27</v>
      </c>
      <c r="P22228">
        <v>0</v>
      </c>
    </row>
    <row r="22229" spans="1:16" x14ac:dyDescent="0.25">
      <c r="A22229" t="s">
        <v>44962</v>
      </c>
      <c r="B22229" t="s">
        <v>13297</v>
      </c>
      <c r="C22229" t="s">
        <v>13298</v>
      </c>
      <c r="D22229" t="str">
        <f>"1964"</f>
        <v>1964</v>
      </c>
      <c r="E22229" t="s">
        <v>7719</v>
      </c>
      <c r="F22229" t="s">
        <v>5</v>
      </c>
      <c r="G22229" t="s">
        <v>47091</v>
      </c>
      <c r="H22229" t="s">
        <v>47054</v>
      </c>
      <c r="I22229" t="s">
        <v>47111</v>
      </c>
      <c r="J22229" t="s">
        <v>47112</v>
      </c>
      <c r="K22229" t="s">
        <v>47113</v>
      </c>
      <c r="L22229">
        <v>12.81</v>
      </c>
      <c r="M22229">
        <v>27</v>
      </c>
      <c r="N22229">
        <v>0</v>
      </c>
      <c r="O22229">
        <v>27</v>
      </c>
      <c r="P22229">
        <v>0</v>
      </c>
    </row>
    <row r="22230" spans="1:16" x14ac:dyDescent="0.25">
      <c r="A22230" t="s">
        <v>44963</v>
      </c>
      <c r="B22230" t="s">
        <v>13297</v>
      </c>
      <c r="C22230" t="s">
        <v>13298</v>
      </c>
      <c r="D22230" t="str">
        <f>"3448"</f>
        <v>3448</v>
      </c>
      <c r="E22230" t="s">
        <v>7720</v>
      </c>
      <c r="F22230" t="s">
        <v>5</v>
      </c>
      <c r="G22230" t="s">
        <v>47091</v>
      </c>
      <c r="H22230" t="s">
        <v>47054</v>
      </c>
      <c r="I22230" t="s">
        <v>47111</v>
      </c>
      <c r="J22230" t="s">
        <v>47112</v>
      </c>
      <c r="K22230" t="s">
        <v>47113</v>
      </c>
      <c r="L22230">
        <v>14.55</v>
      </c>
      <c r="M22230">
        <v>27</v>
      </c>
      <c r="N22230">
        <v>0</v>
      </c>
      <c r="O22230">
        <v>27</v>
      </c>
      <c r="P22230">
        <v>0</v>
      </c>
    </row>
    <row r="22231" spans="1:16" x14ac:dyDescent="0.25">
      <c r="A22231" t="s">
        <v>44964</v>
      </c>
      <c r="B22231" t="s">
        <v>13297</v>
      </c>
      <c r="C22231" t="s">
        <v>13298</v>
      </c>
      <c r="D22231" t="str">
        <f>"5141"</f>
        <v>5141</v>
      </c>
      <c r="E22231" t="s">
        <v>7721</v>
      </c>
      <c r="F22231" t="s">
        <v>5</v>
      </c>
      <c r="G22231" t="s">
        <v>47091</v>
      </c>
      <c r="H22231" t="s">
        <v>47054</v>
      </c>
      <c r="I22231" t="s">
        <v>47111</v>
      </c>
      <c r="J22231" t="s">
        <v>47112</v>
      </c>
      <c r="K22231" t="s">
        <v>47113</v>
      </c>
      <c r="L22231">
        <v>14.55</v>
      </c>
      <c r="M22231">
        <v>27</v>
      </c>
      <c r="N22231">
        <v>0</v>
      </c>
      <c r="O22231">
        <v>27</v>
      </c>
      <c r="P22231">
        <v>0</v>
      </c>
    </row>
    <row r="22232" spans="1:16" x14ac:dyDescent="0.25">
      <c r="A22232" t="s">
        <v>44965</v>
      </c>
      <c r="B22232" t="s">
        <v>13297</v>
      </c>
      <c r="C22232" t="s">
        <v>13298</v>
      </c>
      <c r="D22232" t="str">
        <f>"6356"</f>
        <v>6356</v>
      </c>
      <c r="E22232" t="s">
        <v>13299</v>
      </c>
      <c r="F22232" t="s">
        <v>5</v>
      </c>
      <c r="G22232" t="s">
        <v>47091</v>
      </c>
      <c r="H22232" t="s">
        <v>47054</v>
      </c>
      <c r="I22232" t="s">
        <v>47111</v>
      </c>
      <c r="J22232" t="s">
        <v>47112</v>
      </c>
      <c r="K22232" t="s">
        <v>47113</v>
      </c>
      <c r="L22232">
        <v>14.55</v>
      </c>
      <c r="M22232">
        <v>27</v>
      </c>
      <c r="N22232">
        <v>0</v>
      </c>
      <c r="O22232">
        <v>27</v>
      </c>
      <c r="P22232">
        <v>0</v>
      </c>
    </row>
    <row r="22233" spans="1:16" x14ac:dyDescent="0.25">
      <c r="A22233" t="s">
        <v>44966</v>
      </c>
      <c r="B22233" t="s">
        <v>13297</v>
      </c>
      <c r="C22233" t="s">
        <v>13298</v>
      </c>
      <c r="D22233" t="str">
        <f>"7392"</f>
        <v>7392</v>
      </c>
      <c r="E22233" t="s">
        <v>13300</v>
      </c>
      <c r="F22233" t="s">
        <v>5</v>
      </c>
      <c r="G22233" t="s">
        <v>47091</v>
      </c>
      <c r="H22233" t="s">
        <v>47054</v>
      </c>
      <c r="I22233" t="s">
        <v>47111</v>
      </c>
      <c r="J22233" t="s">
        <v>47112</v>
      </c>
      <c r="K22233" t="s">
        <v>47113</v>
      </c>
      <c r="L22233">
        <v>14.55</v>
      </c>
      <c r="M22233">
        <v>27</v>
      </c>
      <c r="N22233">
        <v>0</v>
      </c>
      <c r="O22233">
        <v>27</v>
      </c>
      <c r="P22233">
        <v>0</v>
      </c>
    </row>
    <row r="22234" spans="1:16" x14ac:dyDescent="0.25">
      <c r="A22234" t="s">
        <v>1192</v>
      </c>
      <c r="B22234" t="s">
        <v>1193</v>
      </c>
      <c r="C22234" t="s">
        <v>1194</v>
      </c>
      <c r="D22234" t="str">
        <f>"1033"</f>
        <v>1033</v>
      </c>
      <c r="E22234" t="s">
        <v>1195</v>
      </c>
      <c r="F22234" t="s">
        <v>6</v>
      </c>
      <c r="G22234" t="s">
        <v>47091</v>
      </c>
      <c r="H22234" t="s">
        <v>47054</v>
      </c>
      <c r="I22234" t="s">
        <v>47111</v>
      </c>
      <c r="J22234" t="s">
        <v>47112</v>
      </c>
      <c r="K22234" t="s">
        <v>47113</v>
      </c>
      <c r="L22234">
        <v>13.86</v>
      </c>
      <c r="M22234">
        <v>36</v>
      </c>
      <c r="N22234">
        <v>0</v>
      </c>
      <c r="O22234">
        <v>36</v>
      </c>
      <c r="P22234">
        <v>0</v>
      </c>
    </row>
    <row r="22235" spans="1:16" x14ac:dyDescent="0.25">
      <c r="A22235" t="s">
        <v>44967</v>
      </c>
      <c r="B22235" t="s">
        <v>1193</v>
      </c>
      <c r="C22235" t="s">
        <v>1194</v>
      </c>
      <c r="D22235" t="str">
        <f>"1528"</f>
        <v>1528</v>
      </c>
      <c r="E22235" t="s">
        <v>2770</v>
      </c>
      <c r="F22235" t="s">
        <v>6</v>
      </c>
      <c r="G22235" t="s">
        <v>47091</v>
      </c>
      <c r="H22235" t="s">
        <v>47054</v>
      </c>
      <c r="I22235" t="s">
        <v>47111</v>
      </c>
      <c r="J22235" t="s">
        <v>47112</v>
      </c>
      <c r="K22235" t="s">
        <v>47113</v>
      </c>
      <c r="L22235">
        <v>14.12</v>
      </c>
      <c r="M22235">
        <v>36</v>
      </c>
      <c r="N22235">
        <v>0</v>
      </c>
      <c r="O22235">
        <v>36</v>
      </c>
      <c r="P22235">
        <v>0</v>
      </c>
    </row>
    <row r="22236" spans="1:16" x14ac:dyDescent="0.25">
      <c r="A22236" t="s">
        <v>44968</v>
      </c>
      <c r="B22236" t="s">
        <v>1193</v>
      </c>
      <c r="C22236" t="s">
        <v>1194</v>
      </c>
      <c r="D22236" t="str">
        <f>"1865"</f>
        <v>1865</v>
      </c>
      <c r="E22236" t="s">
        <v>7682</v>
      </c>
      <c r="F22236" t="s">
        <v>6</v>
      </c>
      <c r="G22236" t="s">
        <v>47091</v>
      </c>
      <c r="H22236" t="s">
        <v>47054</v>
      </c>
      <c r="I22236" t="s">
        <v>47111</v>
      </c>
      <c r="J22236" t="s">
        <v>47112</v>
      </c>
      <c r="K22236" t="s">
        <v>47113</v>
      </c>
      <c r="L22236">
        <v>12.47</v>
      </c>
      <c r="M22236">
        <v>37</v>
      </c>
      <c r="N22236">
        <v>0</v>
      </c>
      <c r="O22236">
        <v>37</v>
      </c>
      <c r="P22236">
        <v>0</v>
      </c>
    </row>
    <row r="22237" spans="1:16" x14ac:dyDescent="0.25">
      <c r="A22237" t="s">
        <v>44969</v>
      </c>
      <c r="B22237" t="s">
        <v>1193</v>
      </c>
      <c r="C22237" t="s">
        <v>1194</v>
      </c>
      <c r="D22237" t="str">
        <f>"4130"</f>
        <v>4130</v>
      </c>
      <c r="E22237" t="s">
        <v>2374</v>
      </c>
      <c r="F22237" t="s">
        <v>6</v>
      </c>
      <c r="G22237" t="s">
        <v>47091</v>
      </c>
      <c r="H22237" t="s">
        <v>47054</v>
      </c>
      <c r="I22237" t="s">
        <v>47111</v>
      </c>
      <c r="J22237" t="s">
        <v>47112</v>
      </c>
      <c r="K22237" t="s">
        <v>47113</v>
      </c>
      <c r="L22237">
        <v>14.45</v>
      </c>
      <c r="M22237">
        <v>36</v>
      </c>
      <c r="N22237">
        <v>0</v>
      </c>
      <c r="O22237">
        <v>36</v>
      </c>
      <c r="P22237">
        <v>0</v>
      </c>
    </row>
    <row r="22238" spans="1:16" x14ac:dyDescent="0.25">
      <c r="A22238" t="s">
        <v>44970</v>
      </c>
      <c r="B22238" t="s">
        <v>1193</v>
      </c>
      <c r="C22238" t="s">
        <v>1194</v>
      </c>
      <c r="D22238" t="str">
        <f>"5031"</f>
        <v>5031</v>
      </c>
      <c r="E22238" t="s">
        <v>2771</v>
      </c>
      <c r="F22238" t="s">
        <v>6</v>
      </c>
      <c r="G22238" t="s">
        <v>47091</v>
      </c>
      <c r="H22238" t="s">
        <v>47054</v>
      </c>
      <c r="I22238" t="s">
        <v>47111</v>
      </c>
      <c r="J22238" t="s">
        <v>47112</v>
      </c>
      <c r="K22238" t="s">
        <v>47113</v>
      </c>
      <c r="L22238">
        <v>14.12</v>
      </c>
      <c r="M22238">
        <v>36</v>
      </c>
      <c r="N22238">
        <v>0</v>
      </c>
      <c r="O22238">
        <v>36</v>
      </c>
      <c r="P22238">
        <v>0</v>
      </c>
    </row>
    <row r="22239" spans="1:16" x14ac:dyDescent="0.25">
      <c r="A22239" t="s">
        <v>1196</v>
      </c>
      <c r="B22239" t="s">
        <v>1193</v>
      </c>
      <c r="C22239" t="s">
        <v>1194</v>
      </c>
      <c r="D22239" t="str">
        <f>"6122"</f>
        <v>6122</v>
      </c>
      <c r="E22239" t="s">
        <v>1197</v>
      </c>
      <c r="F22239" t="s">
        <v>6</v>
      </c>
      <c r="G22239" t="s">
        <v>47091</v>
      </c>
      <c r="H22239" t="s">
        <v>47054</v>
      </c>
      <c r="I22239" t="s">
        <v>47111</v>
      </c>
      <c r="J22239" t="s">
        <v>47112</v>
      </c>
      <c r="K22239" t="s">
        <v>47113</v>
      </c>
      <c r="L22239">
        <v>13.84</v>
      </c>
      <c r="M22239">
        <v>36</v>
      </c>
      <c r="N22239">
        <v>0</v>
      </c>
      <c r="O22239">
        <v>36</v>
      </c>
      <c r="P22239">
        <v>0</v>
      </c>
    </row>
    <row r="22240" spans="1:16" x14ac:dyDescent="0.25">
      <c r="A22240" t="s">
        <v>44971</v>
      </c>
      <c r="B22240" t="s">
        <v>1199</v>
      </c>
      <c r="C22240" t="s">
        <v>1200</v>
      </c>
      <c r="D22240" t="str">
        <f>"1746"</f>
        <v>1746</v>
      </c>
      <c r="E22240" t="s">
        <v>807</v>
      </c>
      <c r="F22240" t="s">
        <v>2</v>
      </c>
      <c r="G22240" t="s">
        <v>47091</v>
      </c>
      <c r="H22240" t="s">
        <v>47054</v>
      </c>
      <c r="I22240" t="s">
        <v>47111</v>
      </c>
      <c r="J22240" t="s">
        <v>47112</v>
      </c>
      <c r="K22240" t="s">
        <v>47113</v>
      </c>
      <c r="L22240">
        <v>9.09</v>
      </c>
      <c r="M22240">
        <v>26</v>
      </c>
      <c r="N22240">
        <v>0</v>
      </c>
      <c r="O22240">
        <v>26</v>
      </c>
      <c r="P22240">
        <v>0</v>
      </c>
    </row>
    <row r="22241" spans="1:16" x14ac:dyDescent="0.25">
      <c r="A22241" t="s">
        <v>1198</v>
      </c>
      <c r="B22241" t="s">
        <v>1199</v>
      </c>
      <c r="C22241" t="s">
        <v>1200</v>
      </c>
      <c r="D22241" t="str">
        <f>"5013"</f>
        <v>5013</v>
      </c>
      <c r="E22241" t="s">
        <v>1201</v>
      </c>
      <c r="F22241" t="s">
        <v>2</v>
      </c>
      <c r="G22241" t="s">
        <v>47091</v>
      </c>
      <c r="H22241" t="s">
        <v>47054</v>
      </c>
      <c r="I22241" t="s">
        <v>47111</v>
      </c>
      <c r="J22241" t="s">
        <v>47112</v>
      </c>
      <c r="K22241" t="s">
        <v>47113</v>
      </c>
      <c r="L22241">
        <v>32.909999999999997</v>
      </c>
      <c r="M22241">
        <v>30</v>
      </c>
      <c r="N22241">
        <v>0</v>
      </c>
      <c r="O22241">
        <v>30</v>
      </c>
      <c r="P22241">
        <v>0</v>
      </c>
    </row>
    <row r="22242" spans="1:16" x14ac:dyDescent="0.25">
      <c r="A22242" t="s">
        <v>44972</v>
      </c>
      <c r="B22242" t="s">
        <v>1203</v>
      </c>
      <c r="C22242" t="s">
        <v>1204</v>
      </c>
      <c r="D22242" t="str">
        <f>"1746"</f>
        <v>1746</v>
      </c>
      <c r="E22242" t="s">
        <v>807</v>
      </c>
      <c r="F22242" t="s">
        <v>2</v>
      </c>
      <c r="G22242" t="s">
        <v>47091</v>
      </c>
      <c r="H22242" t="s">
        <v>47054</v>
      </c>
      <c r="I22242" t="s">
        <v>47111</v>
      </c>
      <c r="J22242" t="s">
        <v>47112</v>
      </c>
      <c r="K22242" t="s">
        <v>47113</v>
      </c>
      <c r="L22242">
        <v>8.8000000000000007</v>
      </c>
      <c r="M22242">
        <v>25</v>
      </c>
      <c r="N22242">
        <v>0</v>
      </c>
      <c r="O22242">
        <v>25</v>
      </c>
      <c r="P22242">
        <v>0</v>
      </c>
    </row>
    <row r="22243" spans="1:16" x14ac:dyDescent="0.25">
      <c r="A22243" t="s">
        <v>1202</v>
      </c>
      <c r="B22243" t="s">
        <v>1203</v>
      </c>
      <c r="C22243" t="s">
        <v>1204</v>
      </c>
      <c r="D22243" t="str">
        <f>"4483"</f>
        <v>4483</v>
      </c>
      <c r="E22243" t="s">
        <v>1205</v>
      </c>
      <c r="F22243" t="s">
        <v>2</v>
      </c>
      <c r="G22243" t="s">
        <v>47091</v>
      </c>
      <c r="H22243" t="s">
        <v>47054</v>
      </c>
      <c r="I22243" t="s">
        <v>47111</v>
      </c>
      <c r="J22243" t="s">
        <v>47112</v>
      </c>
      <c r="K22243" t="s">
        <v>47113</v>
      </c>
      <c r="L22243">
        <v>32.909999999999997</v>
      </c>
      <c r="M22243">
        <v>29</v>
      </c>
      <c r="N22243">
        <v>0</v>
      </c>
      <c r="O22243">
        <v>29</v>
      </c>
      <c r="P22243">
        <v>0</v>
      </c>
    </row>
    <row r="22244" spans="1:16" x14ac:dyDescent="0.25">
      <c r="A22244" t="s">
        <v>44973</v>
      </c>
      <c r="B22244" t="s">
        <v>13301</v>
      </c>
      <c r="C22244" t="s">
        <v>13302</v>
      </c>
      <c r="D22244" t="str">
        <f>"1746"</f>
        <v>1746</v>
      </c>
      <c r="E22244" t="s">
        <v>807</v>
      </c>
      <c r="F22244" t="s">
        <v>2</v>
      </c>
      <c r="G22244" t="s">
        <v>47091</v>
      </c>
      <c r="H22244" t="s">
        <v>47054</v>
      </c>
      <c r="I22244" t="s">
        <v>47111</v>
      </c>
      <c r="J22244" t="s">
        <v>47112</v>
      </c>
      <c r="K22244" t="s">
        <v>47113</v>
      </c>
      <c r="L22244">
        <v>8.75</v>
      </c>
      <c r="M22244">
        <v>25</v>
      </c>
      <c r="N22244">
        <v>0</v>
      </c>
      <c r="O22244">
        <v>25</v>
      </c>
      <c r="P22244">
        <v>0</v>
      </c>
    </row>
    <row r="22245" spans="1:16" x14ac:dyDescent="0.25">
      <c r="A22245" t="s">
        <v>44974</v>
      </c>
      <c r="B22245" t="s">
        <v>13301</v>
      </c>
      <c r="C22245" t="s">
        <v>13302</v>
      </c>
      <c r="D22245" t="str">
        <f>"8315"</f>
        <v>8315</v>
      </c>
      <c r="E22245" t="s">
        <v>2750</v>
      </c>
      <c r="F22245" t="s">
        <v>2</v>
      </c>
      <c r="G22245" t="s">
        <v>47091</v>
      </c>
      <c r="H22245" t="s">
        <v>47054</v>
      </c>
      <c r="I22245" t="s">
        <v>47111</v>
      </c>
      <c r="J22245" t="s">
        <v>47112</v>
      </c>
      <c r="K22245" t="s">
        <v>47113</v>
      </c>
      <c r="L22245">
        <v>10.56</v>
      </c>
      <c r="M22245">
        <v>29</v>
      </c>
      <c r="N22245">
        <v>0</v>
      </c>
      <c r="O22245">
        <v>29</v>
      </c>
      <c r="P22245">
        <v>0</v>
      </c>
    </row>
    <row r="22246" spans="1:16" x14ac:dyDescent="0.25">
      <c r="A22246" t="s">
        <v>44975</v>
      </c>
      <c r="B22246" t="s">
        <v>1207</v>
      </c>
      <c r="C22246" t="s">
        <v>1208</v>
      </c>
      <c r="D22246" t="str">
        <f>"1746"</f>
        <v>1746</v>
      </c>
      <c r="E22246" t="s">
        <v>807</v>
      </c>
      <c r="F22246" t="s">
        <v>2</v>
      </c>
      <c r="G22246" t="s">
        <v>47091</v>
      </c>
      <c r="H22246" t="s">
        <v>47054</v>
      </c>
      <c r="I22246" t="s">
        <v>47111</v>
      </c>
      <c r="J22246" t="s">
        <v>47112</v>
      </c>
      <c r="K22246" t="s">
        <v>47113</v>
      </c>
      <c r="L22246">
        <v>9.14</v>
      </c>
      <c r="M22246">
        <v>26</v>
      </c>
      <c r="N22246">
        <v>0</v>
      </c>
      <c r="O22246">
        <v>26</v>
      </c>
      <c r="P22246">
        <v>0</v>
      </c>
    </row>
    <row r="22247" spans="1:16" x14ac:dyDescent="0.25">
      <c r="A22247" t="s">
        <v>1206</v>
      </c>
      <c r="B22247" t="s">
        <v>1207</v>
      </c>
      <c r="C22247" t="s">
        <v>1208</v>
      </c>
      <c r="D22247" t="str">
        <f>"2627"</f>
        <v>2627</v>
      </c>
      <c r="E22247" t="s">
        <v>1209</v>
      </c>
      <c r="F22247" t="s">
        <v>2</v>
      </c>
      <c r="G22247" t="s">
        <v>47091</v>
      </c>
      <c r="H22247" t="s">
        <v>47054</v>
      </c>
      <c r="I22247" t="s">
        <v>47111</v>
      </c>
      <c r="J22247" t="s">
        <v>47112</v>
      </c>
      <c r="K22247" t="s">
        <v>47113</v>
      </c>
      <c r="L22247">
        <v>32.909999999999997</v>
      </c>
      <c r="M22247">
        <v>30</v>
      </c>
      <c r="N22247">
        <v>0</v>
      </c>
      <c r="O22247">
        <v>30</v>
      </c>
      <c r="P22247">
        <v>0</v>
      </c>
    </row>
    <row r="22248" spans="1:16" x14ac:dyDescent="0.25">
      <c r="A22248" t="s">
        <v>44976</v>
      </c>
      <c r="B22248" t="s">
        <v>13303</v>
      </c>
      <c r="C22248" t="s">
        <v>13304</v>
      </c>
      <c r="D22248" t="str">
        <f>"1746"</f>
        <v>1746</v>
      </c>
      <c r="E22248" t="s">
        <v>807</v>
      </c>
      <c r="F22248" t="s">
        <v>2</v>
      </c>
      <c r="G22248" t="s">
        <v>47091</v>
      </c>
      <c r="H22248" t="s">
        <v>47054</v>
      </c>
      <c r="I22248" t="s">
        <v>47111</v>
      </c>
      <c r="J22248" t="s">
        <v>47112</v>
      </c>
      <c r="K22248" t="s">
        <v>47113</v>
      </c>
      <c r="L22248">
        <v>9.14</v>
      </c>
      <c r="M22248">
        <v>26</v>
      </c>
      <c r="N22248">
        <v>0</v>
      </c>
      <c r="O22248">
        <v>26</v>
      </c>
      <c r="P22248">
        <v>0</v>
      </c>
    </row>
    <row r="22249" spans="1:16" x14ac:dyDescent="0.25">
      <c r="A22249" t="s">
        <v>44977</v>
      </c>
      <c r="B22249" t="s">
        <v>13303</v>
      </c>
      <c r="C22249" t="s">
        <v>13304</v>
      </c>
      <c r="D22249" t="str">
        <f>"6030"</f>
        <v>6030</v>
      </c>
      <c r="E22249" t="s">
        <v>2753</v>
      </c>
      <c r="F22249" t="s">
        <v>2</v>
      </c>
      <c r="G22249" t="s">
        <v>47091</v>
      </c>
      <c r="H22249" t="s">
        <v>47054</v>
      </c>
      <c r="I22249" t="s">
        <v>47111</v>
      </c>
      <c r="J22249" t="s">
        <v>47112</v>
      </c>
      <c r="K22249" t="s">
        <v>47113</v>
      </c>
      <c r="L22249">
        <v>10.94</v>
      </c>
      <c r="M22249">
        <v>30</v>
      </c>
      <c r="N22249">
        <v>0</v>
      </c>
      <c r="O22249">
        <v>30</v>
      </c>
      <c r="P22249">
        <v>0</v>
      </c>
    </row>
    <row r="22250" spans="1:16" x14ac:dyDescent="0.25">
      <c r="A22250" t="s">
        <v>44978</v>
      </c>
      <c r="B22250" t="s">
        <v>1211</v>
      </c>
      <c r="C22250" t="s">
        <v>1212</v>
      </c>
      <c r="D22250" t="str">
        <f>"1746"</f>
        <v>1746</v>
      </c>
      <c r="E22250" t="s">
        <v>807</v>
      </c>
      <c r="F22250" t="s">
        <v>2</v>
      </c>
      <c r="G22250" t="s">
        <v>47091</v>
      </c>
      <c r="H22250" t="s">
        <v>47054</v>
      </c>
      <c r="I22250" t="s">
        <v>47111</v>
      </c>
      <c r="J22250" t="s">
        <v>47112</v>
      </c>
      <c r="K22250" t="s">
        <v>47113</v>
      </c>
      <c r="L22250">
        <v>9.14</v>
      </c>
      <c r="M22250">
        <v>26</v>
      </c>
      <c r="N22250">
        <v>0</v>
      </c>
      <c r="O22250">
        <v>26</v>
      </c>
      <c r="P22250">
        <v>0</v>
      </c>
    </row>
    <row r="22251" spans="1:16" x14ac:dyDescent="0.25">
      <c r="A22251" t="s">
        <v>1210</v>
      </c>
      <c r="B22251" t="s">
        <v>1211</v>
      </c>
      <c r="C22251" t="s">
        <v>1212</v>
      </c>
      <c r="D22251" t="str">
        <f>"7413"</f>
        <v>7413</v>
      </c>
      <c r="E22251" t="s">
        <v>1213</v>
      </c>
      <c r="F22251" t="s">
        <v>2</v>
      </c>
      <c r="G22251" t="s">
        <v>47091</v>
      </c>
      <c r="H22251" t="s">
        <v>47054</v>
      </c>
      <c r="I22251" t="s">
        <v>47111</v>
      </c>
      <c r="J22251" t="s">
        <v>47112</v>
      </c>
      <c r="K22251" t="s">
        <v>47113</v>
      </c>
      <c r="L22251">
        <v>11.55</v>
      </c>
      <c r="M22251">
        <v>30</v>
      </c>
      <c r="N22251">
        <v>0</v>
      </c>
      <c r="O22251">
        <v>30</v>
      </c>
      <c r="P22251">
        <v>0</v>
      </c>
    </row>
    <row r="22252" spans="1:16" x14ac:dyDescent="0.25">
      <c r="A22252" t="s">
        <v>44979</v>
      </c>
      <c r="B22252" t="s">
        <v>13305</v>
      </c>
      <c r="C22252" t="s">
        <v>13306</v>
      </c>
      <c r="D22252" t="str">
        <f>"1746"</f>
        <v>1746</v>
      </c>
      <c r="E22252" t="s">
        <v>807</v>
      </c>
      <c r="F22252" t="s">
        <v>2</v>
      </c>
      <c r="G22252" t="s">
        <v>47091</v>
      </c>
      <c r="H22252" t="s">
        <v>47054</v>
      </c>
      <c r="I22252" t="s">
        <v>47111</v>
      </c>
      <c r="J22252" t="s">
        <v>47112</v>
      </c>
      <c r="K22252" t="s">
        <v>47113</v>
      </c>
      <c r="L22252">
        <v>8.8000000000000007</v>
      </c>
      <c r="M22252">
        <v>25</v>
      </c>
      <c r="N22252">
        <v>0</v>
      </c>
      <c r="O22252">
        <v>25</v>
      </c>
      <c r="P22252">
        <v>0</v>
      </c>
    </row>
    <row r="22253" spans="1:16" x14ac:dyDescent="0.25">
      <c r="A22253" t="s">
        <v>44980</v>
      </c>
      <c r="B22253" t="s">
        <v>13305</v>
      </c>
      <c r="C22253" t="s">
        <v>13306</v>
      </c>
      <c r="D22253" t="str">
        <f>"4134"</f>
        <v>4134</v>
      </c>
      <c r="E22253" t="s">
        <v>6455</v>
      </c>
      <c r="F22253" t="s">
        <v>2</v>
      </c>
      <c r="G22253" t="s">
        <v>47091</v>
      </c>
      <c r="H22253" t="s">
        <v>47054</v>
      </c>
      <c r="I22253" t="s">
        <v>47111</v>
      </c>
      <c r="J22253" t="s">
        <v>47112</v>
      </c>
      <c r="K22253" t="s">
        <v>47113</v>
      </c>
      <c r="L22253">
        <v>10.6</v>
      </c>
      <c r="M22253">
        <v>29</v>
      </c>
      <c r="N22253">
        <v>0</v>
      </c>
      <c r="O22253">
        <v>29</v>
      </c>
      <c r="P22253">
        <v>0</v>
      </c>
    </row>
    <row r="22254" spans="1:16" x14ac:dyDescent="0.25">
      <c r="A22254" t="s">
        <v>44981</v>
      </c>
      <c r="B22254" t="s">
        <v>13307</v>
      </c>
      <c r="C22254" t="s">
        <v>13308</v>
      </c>
      <c r="D22254" t="str">
        <f>"6806"</f>
        <v>6806</v>
      </c>
      <c r="E22254" t="s">
        <v>13216</v>
      </c>
      <c r="F22254" t="s">
        <v>2</v>
      </c>
      <c r="G22254" t="s">
        <v>47091</v>
      </c>
      <c r="H22254" t="s">
        <v>47054</v>
      </c>
      <c r="I22254" t="s">
        <v>47111</v>
      </c>
      <c r="J22254" t="s">
        <v>47112</v>
      </c>
      <c r="K22254" t="s">
        <v>47113</v>
      </c>
      <c r="L22254">
        <v>12.26</v>
      </c>
      <c r="M22254">
        <v>32</v>
      </c>
      <c r="N22254">
        <v>0</v>
      </c>
      <c r="O22254">
        <v>32</v>
      </c>
      <c r="P22254">
        <v>0</v>
      </c>
    </row>
    <row r="22255" spans="1:16" x14ac:dyDescent="0.25">
      <c r="A22255" t="s">
        <v>44982</v>
      </c>
      <c r="B22255" t="s">
        <v>13309</v>
      </c>
      <c r="C22255" t="s">
        <v>13310</v>
      </c>
      <c r="D22255" t="str">
        <f>"1746"</f>
        <v>1746</v>
      </c>
      <c r="E22255" t="s">
        <v>807</v>
      </c>
      <c r="F22255" t="s">
        <v>6</v>
      </c>
      <c r="G22255" t="s">
        <v>47091</v>
      </c>
      <c r="H22255" t="s">
        <v>47054</v>
      </c>
      <c r="I22255" t="s">
        <v>47114</v>
      </c>
      <c r="J22255" t="s">
        <v>47115</v>
      </c>
      <c r="K22255" t="s">
        <v>47113</v>
      </c>
      <c r="L22255">
        <v>14.41</v>
      </c>
      <c r="M22255">
        <v>37</v>
      </c>
      <c r="N22255">
        <v>0</v>
      </c>
      <c r="O22255">
        <v>37</v>
      </c>
      <c r="P22255">
        <v>0</v>
      </c>
    </row>
    <row r="22256" spans="1:16" x14ac:dyDescent="0.25">
      <c r="A22256" t="s">
        <v>44983</v>
      </c>
      <c r="B22256" t="s">
        <v>13309</v>
      </c>
      <c r="C22256" t="s">
        <v>13310</v>
      </c>
      <c r="D22256" t="str">
        <f>"6122"</f>
        <v>6122</v>
      </c>
      <c r="E22256" t="s">
        <v>1197</v>
      </c>
      <c r="F22256" t="s">
        <v>6</v>
      </c>
      <c r="G22256" t="s">
        <v>47091</v>
      </c>
      <c r="H22256" t="s">
        <v>47054</v>
      </c>
      <c r="I22256" t="s">
        <v>47111</v>
      </c>
      <c r="J22256" t="s">
        <v>47112</v>
      </c>
      <c r="K22256" t="s">
        <v>47113</v>
      </c>
      <c r="L22256">
        <v>20.149999999999999</v>
      </c>
      <c r="M22256">
        <v>41</v>
      </c>
      <c r="N22256">
        <v>0</v>
      </c>
      <c r="O22256">
        <v>41</v>
      </c>
      <c r="P22256">
        <v>0</v>
      </c>
    </row>
    <row r="22257" spans="1:16" x14ac:dyDescent="0.25">
      <c r="A22257" t="s">
        <v>1214</v>
      </c>
      <c r="B22257" t="s">
        <v>1215</v>
      </c>
      <c r="C22257" t="s">
        <v>1216</v>
      </c>
      <c r="D22257" t="str">
        <f>"4265"</f>
        <v>4265</v>
      </c>
      <c r="E22257" t="s">
        <v>1217</v>
      </c>
      <c r="F22257" t="s">
        <v>6</v>
      </c>
      <c r="G22257" t="s">
        <v>47091</v>
      </c>
      <c r="H22257" t="s">
        <v>47054</v>
      </c>
      <c r="I22257" t="s">
        <v>47111</v>
      </c>
      <c r="J22257" t="s">
        <v>47112</v>
      </c>
      <c r="K22257" t="s">
        <v>47113</v>
      </c>
      <c r="L22257">
        <v>15.58</v>
      </c>
      <c r="M22257">
        <v>40</v>
      </c>
      <c r="N22257">
        <v>0</v>
      </c>
      <c r="O22257">
        <v>40</v>
      </c>
      <c r="P22257">
        <v>0</v>
      </c>
    </row>
    <row r="22258" spans="1:16" x14ac:dyDescent="0.25">
      <c r="A22258" t="s">
        <v>44984</v>
      </c>
      <c r="B22258" t="s">
        <v>13311</v>
      </c>
      <c r="C22258" t="s">
        <v>13312</v>
      </c>
      <c r="D22258" t="str">
        <f>"1746"</f>
        <v>1746</v>
      </c>
      <c r="E22258" t="s">
        <v>807</v>
      </c>
      <c r="F22258" t="s">
        <v>6</v>
      </c>
      <c r="G22258" t="s">
        <v>47091</v>
      </c>
      <c r="H22258" t="s">
        <v>47054</v>
      </c>
      <c r="I22258" t="s">
        <v>47111</v>
      </c>
      <c r="J22258" t="s">
        <v>47112</v>
      </c>
      <c r="K22258" t="s">
        <v>47113</v>
      </c>
      <c r="L22258">
        <v>12.76</v>
      </c>
      <c r="M22258">
        <v>34</v>
      </c>
      <c r="N22258">
        <v>0</v>
      </c>
      <c r="O22258">
        <v>34</v>
      </c>
      <c r="P22258">
        <v>0</v>
      </c>
    </row>
    <row r="22259" spans="1:16" x14ac:dyDescent="0.25">
      <c r="A22259" t="s">
        <v>1218</v>
      </c>
      <c r="B22259" t="s">
        <v>1219</v>
      </c>
      <c r="C22259" t="s">
        <v>1220</v>
      </c>
      <c r="D22259" t="str">
        <f>"1906"</f>
        <v>1906</v>
      </c>
      <c r="E22259" t="s">
        <v>1221</v>
      </c>
      <c r="F22259" t="s">
        <v>2</v>
      </c>
      <c r="G22259" t="s">
        <v>47091</v>
      </c>
      <c r="H22259" t="s">
        <v>47054</v>
      </c>
      <c r="I22259" t="s">
        <v>47139</v>
      </c>
      <c r="J22259" t="s">
        <v>47140</v>
      </c>
      <c r="K22259" t="s">
        <v>47113</v>
      </c>
      <c r="L22259">
        <v>32.909999999999997</v>
      </c>
      <c r="M22259">
        <v>43</v>
      </c>
      <c r="N22259">
        <v>0</v>
      </c>
      <c r="O22259">
        <v>43</v>
      </c>
      <c r="P22259">
        <v>0</v>
      </c>
    </row>
    <row r="22260" spans="1:16" x14ac:dyDescent="0.25">
      <c r="A22260" t="s">
        <v>44985</v>
      </c>
      <c r="B22260" t="s">
        <v>13313</v>
      </c>
      <c r="C22260" t="s">
        <v>13314</v>
      </c>
      <c r="D22260" t="str">
        <f>"7439"</f>
        <v>7439</v>
      </c>
      <c r="E22260" t="s">
        <v>3304</v>
      </c>
      <c r="F22260" t="s">
        <v>2</v>
      </c>
      <c r="G22260" t="s">
        <v>47091</v>
      </c>
      <c r="H22260" t="s">
        <v>47054</v>
      </c>
      <c r="I22260" t="s">
        <v>47111</v>
      </c>
      <c r="J22260" t="s">
        <v>47112</v>
      </c>
      <c r="K22260" t="s">
        <v>47113</v>
      </c>
      <c r="L22260">
        <v>16.57</v>
      </c>
      <c r="M22260">
        <v>44</v>
      </c>
      <c r="N22260">
        <v>0</v>
      </c>
      <c r="O22260">
        <v>44</v>
      </c>
      <c r="P22260">
        <v>0</v>
      </c>
    </row>
    <row r="22261" spans="1:16" x14ac:dyDescent="0.25">
      <c r="A22261" t="s">
        <v>44986</v>
      </c>
      <c r="B22261" t="s">
        <v>13315</v>
      </c>
      <c r="C22261" t="s">
        <v>13316</v>
      </c>
      <c r="D22261" t="str">
        <f>"4314"</f>
        <v>4314</v>
      </c>
      <c r="E22261" t="s">
        <v>13317</v>
      </c>
      <c r="F22261" t="s">
        <v>2</v>
      </c>
      <c r="G22261" t="s">
        <v>47091</v>
      </c>
      <c r="H22261" t="s">
        <v>47054</v>
      </c>
      <c r="I22261" t="s">
        <v>47139</v>
      </c>
      <c r="J22261" t="s">
        <v>47140</v>
      </c>
      <c r="K22261" t="s">
        <v>47113</v>
      </c>
      <c r="L22261">
        <v>16.47</v>
      </c>
      <c r="M22261">
        <v>44</v>
      </c>
      <c r="N22261">
        <v>0</v>
      </c>
      <c r="O22261">
        <v>44</v>
      </c>
      <c r="P22261">
        <v>0</v>
      </c>
    </row>
    <row r="22262" spans="1:16" x14ac:dyDescent="0.25">
      <c r="A22262" t="s">
        <v>1222</v>
      </c>
      <c r="B22262" t="s">
        <v>1223</v>
      </c>
      <c r="C22262" t="s">
        <v>1224</v>
      </c>
      <c r="D22262" t="str">
        <f>"6831"</f>
        <v>6831</v>
      </c>
      <c r="E22262" t="s">
        <v>1225</v>
      </c>
      <c r="F22262" t="s">
        <v>2</v>
      </c>
      <c r="G22262" t="s">
        <v>47091</v>
      </c>
      <c r="H22262" t="s">
        <v>47054</v>
      </c>
      <c r="I22262" t="s">
        <v>47111</v>
      </c>
      <c r="J22262" t="s">
        <v>47112</v>
      </c>
      <c r="K22262" t="s">
        <v>47113</v>
      </c>
      <c r="L22262">
        <v>32.909999999999997</v>
      </c>
      <c r="M22262">
        <v>46</v>
      </c>
      <c r="N22262">
        <v>0</v>
      </c>
      <c r="O22262">
        <v>46</v>
      </c>
      <c r="P22262">
        <v>0</v>
      </c>
    </row>
    <row r="22263" spans="1:16" x14ac:dyDescent="0.25">
      <c r="A22263" t="s">
        <v>1226</v>
      </c>
      <c r="B22263" t="s">
        <v>1227</v>
      </c>
      <c r="C22263" t="s">
        <v>1228</v>
      </c>
      <c r="D22263" t="str">
        <f>"2634"</f>
        <v>2634</v>
      </c>
      <c r="E22263" t="s">
        <v>1229</v>
      </c>
      <c r="F22263" t="s">
        <v>2</v>
      </c>
      <c r="G22263" t="s">
        <v>47091</v>
      </c>
      <c r="H22263" t="s">
        <v>47054</v>
      </c>
      <c r="I22263" t="s">
        <v>47111</v>
      </c>
      <c r="J22263" t="s">
        <v>47112</v>
      </c>
      <c r="K22263" t="s">
        <v>47113</v>
      </c>
      <c r="L22263">
        <v>32.909999999999997</v>
      </c>
      <c r="M22263">
        <v>46</v>
      </c>
      <c r="N22263">
        <v>0</v>
      </c>
      <c r="O22263">
        <v>46</v>
      </c>
      <c r="P22263">
        <v>0</v>
      </c>
    </row>
    <row r="22264" spans="1:16" x14ac:dyDescent="0.25">
      <c r="A22264" t="s">
        <v>1230</v>
      </c>
      <c r="B22264" t="s">
        <v>1231</v>
      </c>
      <c r="C22264" t="s">
        <v>1232</v>
      </c>
      <c r="D22264" t="str">
        <f>"1184"</f>
        <v>1184</v>
      </c>
      <c r="E22264" t="s">
        <v>1233</v>
      </c>
      <c r="F22264" t="s">
        <v>6</v>
      </c>
      <c r="G22264" t="s">
        <v>47091</v>
      </c>
      <c r="H22264" t="s">
        <v>47054</v>
      </c>
      <c r="I22264" t="s">
        <v>47111</v>
      </c>
      <c r="J22264" t="s">
        <v>47112</v>
      </c>
      <c r="K22264" t="s">
        <v>47113</v>
      </c>
      <c r="L22264">
        <v>18.260000000000002</v>
      </c>
      <c r="M22264">
        <v>48</v>
      </c>
      <c r="N22264">
        <v>0</v>
      </c>
      <c r="O22264">
        <v>48</v>
      </c>
      <c r="P22264">
        <v>0</v>
      </c>
    </row>
    <row r="22265" spans="1:16" x14ac:dyDescent="0.25">
      <c r="A22265" t="s">
        <v>44987</v>
      </c>
      <c r="B22265" t="s">
        <v>1231</v>
      </c>
      <c r="C22265" t="s">
        <v>1232</v>
      </c>
      <c r="D22265" t="str">
        <f>"3233"</f>
        <v>3233</v>
      </c>
      <c r="E22265" t="s">
        <v>13318</v>
      </c>
      <c r="F22265" t="s">
        <v>6</v>
      </c>
      <c r="G22265" t="s">
        <v>47091</v>
      </c>
      <c r="H22265" t="s">
        <v>47054</v>
      </c>
      <c r="I22265" t="s">
        <v>47111</v>
      </c>
      <c r="J22265" t="s">
        <v>47112</v>
      </c>
      <c r="K22265" t="s">
        <v>47113</v>
      </c>
      <c r="L22265">
        <v>13.87</v>
      </c>
      <c r="M22265">
        <v>37</v>
      </c>
      <c r="N22265">
        <v>0</v>
      </c>
      <c r="O22265">
        <v>37</v>
      </c>
      <c r="P22265">
        <v>0</v>
      </c>
    </row>
    <row r="22266" spans="1:16" x14ac:dyDescent="0.25">
      <c r="A22266" t="s">
        <v>44988</v>
      </c>
      <c r="B22266" t="s">
        <v>1231</v>
      </c>
      <c r="C22266" t="s">
        <v>1232</v>
      </c>
      <c r="D22266" t="str">
        <f>"3234"</f>
        <v>3234</v>
      </c>
      <c r="E22266" t="s">
        <v>13319</v>
      </c>
      <c r="F22266" t="s">
        <v>6</v>
      </c>
      <c r="G22266" t="s">
        <v>47091</v>
      </c>
      <c r="H22266" t="s">
        <v>47054</v>
      </c>
      <c r="I22266" t="s">
        <v>47111</v>
      </c>
      <c r="J22266" t="s">
        <v>47112</v>
      </c>
      <c r="K22266" t="s">
        <v>47113</v>
      </c>
      <c r="L22266">
        <v>13.87</v>
      </c>
      <c r="M22266">
        <v>37</v>
      </c>
      <c r="N22266">
        <v>0</v>
      </c>
      <c r="O22266">
        <v>37</v>
      </c>
      <c r="P22266">
        <v>0</v>
      </c>
    </row>
    <row r="22267" spans="1:16" x14ac:dyDescent="0.25">
      <c r="A22267" t="s">
        <v>44989</v>
      </c>
      <c r="B22267" t="s">
        <v>1231</v>
      </c>
      <c r="C22267" t="s">
        <v>1232</v>
      </c>
      <c r="D22267" t="str">
        <f>"4294"</f>
        <v>4294</v>
      </c>
      <c r="E22267" t="s">
        <v>13320</v>
      </c>
      <c r="F22267" t="s">
        <v>6</v>
      </c>
      <c r="G22267" t="s">
        <v>47091</v>
      </c>
      <c r="H22267" t="s">
        <v>47054</v>
      </c>
      <c r="I22267" t="s">
        <v>47111</v>
      </c>
      <c r="J22267" t="s">
        <v>47112</v>
      </c>
      <c r="K22267" t="s">
        <v>47113</v>
      </c>
      <c r="L22267">
        <v>13.87</v>
      </c>
      <c r="M22267">
        <v>37</v>
      </c>
      <c r="N22267">
        <v>0</v>
      </c>
      <c r="O22267">
        <v>37</v>
      </c>
      <c r="P22267">
        <v>0</v>
      </c>
    </row>
    <row r="22268" spans="1:16" x14ac:dyDescent="0.25">
      <c r="A22268" t="s">
        <v>44990</v>
      </c>
      <c r="B22268" t="s">
        <v>1231</v>
      </c>
      <c r="C22268" t="s">
        <v>1232</v>
      </c>
      <c r="D22268" t="str">
        <f>"5076"</f>
        <v>5076</v>
      </c>
      <c r="E22268" t="s">
        <v>13321</v>
      </c>
      <c r="F22268" t="s">
        <v>6</v>
      </c>
      <c r="G22268" t="s">
        <v>47091</v>
      </c>
      <c r="H22268" t="s">
        <v>47054</v>
      </c>
      <c r="I22268" t="s">
        <v>47111</v>
      </c>
      <c r="J22268" t="s">
        <v>47112</v>
      </c>
      <c r="K22268" t="s">
        <v>47113</v>
      </c>
      <c r="L22268">
        <v>13.77</v>
      </c>
      <c r="M22268">
        <v>37</v>
      </c>
      <c r="N22268">
        <v>0</v>
      </c>
      <c r="O22268">
        <v>37</v>
      </c>
      <c r="P22268">
        <v>0</v>
      </c>
    </row>
    <row r="22269" spans="1:16" x14ac:dyDescent="0.25">
      <c r="A22269" t="s">
        <v>44991</v>
      </c>
      <c r="B22269" t="s">
        <v>1231</v>
      </c>
      <c r="C22269" t="s">
        <v>1232</v>
      </c>
      <c r="D22269" t="str">
        <f>"6252"</f>
        <v>6252</v>
      </c>
      <c r="E22269" t="s">
        <v>13322</v>
      </c>
      <c r="F22269" t="s">
        <v>6</v>
      </c>
      <c r="G22269" t="s">
        <v>47091</v>
      </c>
      <c r="H22269" t="s">
        <v>47054</v>
      </c>
      <c r="I22269" t="s">
        <v>47111</v>
      </c>
      <c r="J22269" t="s">
        <v>47112</v>
      </c>
      <c r="K22269" t="s">
        <v>47113</v>
      </c>
      <c r="L22269">
        <v>13.77</v>
      </c>
      <c r="M22269">
        <v>37</v>
      </c>
      <c r="N22269">
        <v>0</v>
      </c>
      <c r="O22269">
        <v>37</v>
      </c>
      <c r="P22269">
        <v>0</v>
      </c>
    </row>
    <row r="22270" spans="1:16" x14ac:dyDescent="0.25">
      <c r="A22270" t="s">
        <v>1234</v>
      </c>
      <c r="B22270" t="s">
        <v>1231</v>
      </c>
      <c r="C22270" t="s">
        <v>1232</v>
      </c>
      <c r="D22270" t="str">
        <f>"7112"</f>
        <v>7112</v>
      </c>
      <c r="E22270" t="s">
        <v>1235</v>
      </c>
      <c r="F22270" t="s">
        <v>6</v>
      </c>
      <c r="G22270" t="s">
        <v>47091</v>
      </c>
      <c r="H22270" t="s">
        <v>47054</v>
      </c>
      <c r="I22270" t="s">
        <v>47111</v>
      </c>
      <c r="J22270" t="s">
        <v>47112</v>
      </c>
      <c r="K22270" t="s">
        <v>47113</v>
      </c>
      <c r="L22270">
        <v>18.54</v>
      </c>
      <c r="M22270">
        <v>48</v>
      </c>
      <c r="N22270">
        <v>0</v>
      </c>
      <c r="O22270">
        <v>48</v>
      </c>
      <c r="P22270">
        <v>0</v>
      </c>
    </row>
    <row r="22271" spans="1:16" x14ac:dyDescent="0.25">
      <c r="A22271" t="s">
        <v>44992</v>
      </c>
      <c r="B22271" t="s">
        <v>1237</v>
      </c>
      <c r="C22271" t="s">
        <v>1238</v>
      </c>
      <c r="D22271" t="str">
        <f>"1171"</f>
        <v>1171</v>
      </c>
      <c r="E22271" t="s">
        <v>3250</v>
      </c>
      <c r="F22271" t="s">
        <v>6</v>
      </c>
      <c r="G22271" t="s">
        <v>47093</v>
      </c>
      <c r="H22271" t="s">
        <v>47054</v>
      </c>
      <c r="I22271" t="s">
        <v>47111</v>
      </c>
      <c r="J22271" t="s">
        <v>47112</v>
      </c>
      <c r="K22271" t="s">
        <v>47113</v>
      </c>
      <c r="L22271">
        <v>42.56</v>
      </c>
      <c r="M22271">
        <v>104</v>
      </c>
      <c r="N22271">
        <v>0</v>
      </c>
      <c r="O22271">
        <v>104</v>
      </c>
      <c r="P22271">
        <v>0</v>
      </c>
    </row>
    <row r="22272" spans="1:16" x14ac:dyDescent="0.25">
      <c r="A22272" t="s">
        <v>1236</v>
      </c>
      <c r="B22272" t="s">
        <v>1237</v>
      </c>
      <c r="C22272" t="s">
        <v>1238</v>
      </c>
      <c r="D22272" t="str">
        <f>"4288"</f>
        <v>4288</v>
      </c>
      <c r="E22272" t="s">
        <v>1239</v>
      </c>
      <c r="F22272" t="s">
        <v>6</v>
      </c>
      <c r="G22272" t="s">
        <v>47093</v>
      </c>
      <c r="H22272" t="s">
        <v>47054</v>
      </c>
      <c r="I22272" t="s">
        <v>47111</v>
      </c>
      <c r="J22272" t="s">
        <v>47112</v>
      </c>
      <c r="K22272" t="s">
        <v>47113</v>
      </c>
      <c r="L22272">
        <v>42.54</v>
      </c>
      <c r="M22272">
        <v>104</v>
      </c>
      <c r="N22272">
        <v>0</v>
      </c>
      <c r="O22272">
        <v>104</v>
      </c>
      <c r="P22272">
        <v>0</v>
      </c>
    </row>
    <row r="22273" spans="1:16" x14ac:dyDescent="0.25">
      <c r="A22273" t="s">
        <v>1240</v>
      </c>
      <c r="B22273" t="s">
        <v>1237</v>
      </c>
      <c r="C22273" t="s">
        <v>1238</v>
      </c>
      <c r="D22273" t="str">
        <f>"6146"</f>
        <v>6146</v>
      </c>
      <c r="E22273" t="s">
        <v>1241</v>
      </c>
      <c r="F22273" t="s">
        <v>6</v>
      </c>
      <c r="G22273" t="s">
        <v>47093</v>
      </c>
      <c r="H22273" t="s">
        <v>47054</v>
      </c>
      <c r="I22273" t="s">
        <v>47111</v>
      </c>
      <c r="J22273" t="s">
        <v>47112</v>
      </c>
      <c r="K22273" t="s">
        <v>47113</v>
      </c>
      <c r="L22273">
        <v>42.55</v>
      </c>
      <c r="M22273">
        <v>104</v>
      </c>
      <c r="N22273">
        <v>0</v>
      </c>
      <c r="O22273">
        <v>104</v>
      </c>
      <c r="P22273">
        <v>0</v>
      </c>
    </row>
    <row r="22274" spans="1:16" x14ac:dyDescent="0.25">
      <c r="A22274" t="s">
        <v>44993</v>
      </c>
      <c r="B22274" t="s">
        <v>1242</v>
      </c>
      <c r="C22274" t="s">
        <v>1243</v>
      </c>
      <c r="D22274" t="str">
        <f>"1042"</f>
        <v>1042</v>
      </c>
      <c r="E22274" t="s">
        <v>13323</v>
      </c>
      <c r="F22274" t="s">
        <v>7</v>
      </c>
      <c r="G22274" t="s">
        <v>47093</v>
      </c>
      <c r="H22274" t="s">
        <v>47054</v>
      </c>
      <c r="I22274" t="s">
        <v>47111</v>
      </c>
      <c r="J22274" t="s">
        <v>47112</v>
      </c>
      <c r="K22274" t="s">
        <v>47113</v>
      </c>
      <c r="L22274">
        <v>28.89</v>
      </c>
      <c r="M22274">
        <v>83</v>
      </c>
      <c r="N22274">
        <v>0</v>
      </c>
      <c r="O22274">
        <v>83</v>
      </c>
      <c r="P22274">
        <v>0</v>
      </c>
    </row>
    <row r="22275" spans="1:16" x14ac:dyDescent="0.25">
      <c r="A22275" t="s">
        <v>44994</v>
      </c>
      <c r="B22275" t="s">
        <v>1242</v>
      </c>
      <c r="C22275" t="s">
        <v>1243</v>
      </c>
      <c r="D22275" t="str">
        <f>"2011"</f>
        <v>2011</v>
      </c>
      <c r="E22275" t="s">
        <v>1244</v>
      </c>
      <c r="F22275" t="s">
        <v>7</v>
      </c>
      <c r="G22275" t="s">
        <v>47093</v>
      </c>
      <c r="H22275" t="s">
        <v>47054</v>
      </c>
      <c r="I22275" t="s">
        <v>47111</v>
      </c>
      <c r="J22275" t="s">
        <v>47112</v>
      </c>
      <c r="K22275" t="s">
        <v>47113</v>
      </c>
      <c r="L22275">
        <v>29.96</v>
      </c>
      <c r="M22275">
        <v>73</v>
      </c>
      <c r="N22275">
        <v>0</v>
      </c>
      <c r="O22275">
        <v>73</v>
      </c>
      <c r="P22275">
        <v>0</v>
      </c>
    </row>
    <row r="22276" spans="1:16" x14ac:dyDescent="0.25">
      <c r="A22276" t="s">
        <v>44995</v>
      </c>
      <c r="B22276" t="s">
        <v>1242</v>
      </c>
      <c r="C22276" t="s">
        <v>1243</v>
      </c>
      <c r="D22276" t="str">
        <f>"4173"</f>
        <v>4173</v>
      </c>
      <c r="E22276" t="s">
        <v>13324</v>
      </c>
      <c r="F22276" t="s">
        <v>7</v>
      </c>
      <c r="G22276" t="s">
        <v>47093</v>
      </c>
      <c r="H22276" t="s">
        <v>47054</v>
      </c>
      <c r="I22276" t="s">
        <v>47111</v>
      </c>
      <c r="J22276" t="s">
        <v>47112</v>
      </c>
      <c r="K22276" t="s">
        <v>47113</v>
      </c>
      <c r="L22276">
        <v>29.06</v>
      </c>
      <c r="M22276">
        <v>73</v>
      </c>
      <c r="N22276">
        <v>0</v>
      </c>
      <c r="O22276">
        <v>73</v>
      </c>
      <c r="P22276">
        <v>0</v>
      </c>
    </row>
    <row r="22277" spans="1:16" x14ac:dyDescent="0.25">
      <c r="A22277" t="s">
        <v>44996</v>
      </c>
      <c r="B22277" t="s">
        <v>13325</v>
      </c>
      <c r="C22277" t="s">
        <v>1173</v>
      </c>
      <c r="D22277" t="str">
        <f>"2011"</f>
        <v>2011</v>
      </c>
      <c r="E22277" t="s">
        <v>1244</v>
      </c>
      <c r="F22277" t="s">
        <v>7</v>
      </c>
      <c r="G22277" t="s">
        <v>47093</v>
      </c>
      <c r="H22277" t="s">
        <v>47054</v>
      </c>
      <c r="I22277" t="s">
        <v>47111</v>
      </c>
      <c r="J22277" t="s">
        <v>47112</v>
      </c>
      <c r="K22277" t="s">
        <v>47113</v>
      </c>
      <c r="L22277">
        <v>30.39</v>
      </c>
      <c r="M22277">
        <v>76</v>
      </c>
      <c r="N22277">
        <v>0</v>
      </c>
      <c r="O22277">
        <v>76</v>
      </c>
      <c r="P22277">
        <v>0</v>
      </c>
    </row>
    <row r="22278" spans="1:16" x14ac:dyDescent="0.25">
      <c r="A22278" t="s">
        <v>44997</v>
      </c>
      <c r="B22278" t="s">
        <v>13325</v>
      </c>
      <c r="C22278" t="s">
        <v>1173</v>
      </c>
      <c r="D22278" t="str">
        <f>"4173"</f>
        <v>4173</v>
      </c>
      <c r="E22278" t="s">
        <v>13324</v>
      </c>
      <c r="F22278" t="s">
        <v>7</v>
      </c>
      <c r="G22278" t="s">
        <v>47093</v>
      </c>
      <c r="H22278" t="s">
        <v>47054</v>
      </c>
      <c r="I22278" t="s">
        <v>47111</v>
      </c>
      <c r="J22278" t="s">
        <v>47112</v>
      </c>
      <c r="K22278" t="s">
        <v>47113</v>
      </c>
      <c r="L22278">
        <v>32</v>
      </c>
      <c r="M22278">
        <v>80</v>
      </c>
      <c r="N22278">
        <v>0</v>
      </c>
      <c r="O22278">
        <v>80</v>
      </c>
      <c r="P22278">
        <v>0</v>
      </c>
    </row>
    <row r="22279" spans="1:16" x14ac:dyDescent="0.25">
      <c r="A22279" t="s">
        <v>44998</v>
      </c>
      <c r="B22279" t="s">
        <v>13326</v>
      </c>
      <c r="C22279" t="s">
        <v>13327</v>
      </c>
      <c r="D22279" t="str">
        <f>"1035"</f>
        <v>1035</v>
      </c>
      <c r="E22279" t="s">
        <v>758</v>
      </c>
      <c r="F22279" t="s">
        <v>7</v>
      </c>
      <c r="G22279" t="s">
        <v>47093</v>
      </c>
      <c r="H22279" t="s">
        <v>47054</v>
      </c>
      <c r="I22279" t="s">
        <v>47111</v>
      </c>
      <c r="J22279" t="s">
        <v>47112</v>
      </c>
      <c r="K22279" t="s">
        <v>47113</v>
      </c>
      <c r="L22279">
        <v>33.72</v>
      </c>
      <c r="M22279">
        <v>80</v>
      </c>
      <c r="N22279">
        <v>0</v>
      </c>
      <c r="O22279">
        <v>80</v>
      </c>
      <c r="P22279">
        <v>0</v>
      </c>
    </row>
    <row r="22280" spans="1:16" x14ac:dyDescent="0.25">
      <c r="A22280" t="s">
        <v>44999</v>
      </c>
      <c r="B22280" t="s">
        <v>13326</v>
      </c>
      <c r="C22280" t="s">
        <v>13327</v>
      </c>
      <c r="D22280" t="str">
        <f>"1119"</f>
        <v>1119</v>
      </c>
      <c r="E22280" t="s">
        <v>1248</v>
      </c>
      <c r="F22280" t="s">
        <v>7</v>
      </c>
      <c r="G22280" t="s">
        <v>47093</v>
      </c>
      <c r="H22280" t="s">
        <v>47054</v>
      </c>
      <c r="I22280" t="s">
        <v>47111</v>
      </c>
      <c r="J22280" t="s">
        <v>47112</v>
      </c>
      <c r="K22280" t="s">
        <v>47113</v>
      </c>
      <c r="L22280">
        <v>33.72</v>
      </c>
      <c r="M22280">
        <v>84</v>
      </c>
      <c r="N22280">
        <v>0</v>
      </c>
      <c r="O22280">
        <v>84</v>
      </c>
      <c r="P22280">
        <v>0</v>
      </c>
    </row>
    <row r="22281" spans="1:16" x14ac:dyDescent="0.25">
      <c r="A22281" t="s">
        <v>45000</v>
      </c>
      <c r="B22281" t="s">
        <v>13326</v>
      </c>
      <c r="C22281" t="s">
        <v>13327</v>
      </c>
      <c r="D22281" t="str">
        <f>"2012"</f>
        <v>2012</v>
      </c>
      <c r="E22281" t="s">
        <v>13328</v>
      </c>
      <c r="F22281" t="s">
        <v>7</v>
      </c>
      <c r="G22281" t="s">
        <v>47093</v>
      </c>
      <c r="H22281" t="s">
        <v>47054</v>
      </c>
      <c r="I22281" t="s">
        <v>47111</v>
      </c>
      <c r="J22281" t="s">
        <v>47112</v>
      </c>
      <c r="K22281" t="s">
        <v>47113</v>
      </c>
      <c r="L22281">
        <v>33.72</v>
      </c>
      <c r="M22281">
        <v>84</v>
      </c>
      <c r="N22281">
        <v>0</v>
      </c>
      <c r="O22281">
        <v>84</v>
      </c>
      <c r="P22281">
        <v>0</v>
      </c>
    </row>
    <row r="22282" spans="1:16" x14ac:dyDescent="0.25">
      <c r="A22282" t="s">
        <v>45001</v>
      </c>
      <c r="B22282" t="s">
        <v>13326</v>
      </c>
      <c r="C22282" t="s">
        <v>13327</v>
      </c>
      <c r="D22282" t="str">
        <f>"6225"</f>
        <v>6225</v>
      </c>
      <c r="E22282" t="s">
        <v>1250</v>
      </c>
      <c r="F22282" t="s">
        <v>7</v>
      </c>
      <c r="G22282" t="s">
        <v>47093</v>
      </c>
      <c r="H22282" t="s">
        <v>47054</v>
      </c>
      <c r="I22282" t="s">
        <v>47111</v>
      </c>
      <c r="J22282" t="s">
        <v>47112</v>
      </c>
      <c r="K22282" t="s">
        <v>47113</v>
      </c>
      <c r="L22282">
        <v>34.24</v>
      </c>
      <c r="M22282">
        <v>80</v>
      </c>
      <c r="N22282">
        <v>0</v>
      </c>
      <c r="O22282">
        <v>80</v>
      </c>
      <c r="P22282">
        <v>0</v>
      </c>
    </row>
    <row r="22283" spans="1:16" x14ac:dyDescent="0.25">
      <c r="A22283" t="s">
        <v>45002</v>
      </c>
      <c r="B22283" t="s">
        <v>1246</v>
      </c>
      <c r="C22283" t="s">
        <v>1247</v>
      </c>
      <c r="D22283" t="str">
        <f>"1035"</f>
        <v>1035</v>
      </c>
      <c r="E22283" t="s">
        <v>758</v>
      </c>
      <c r="F22283" t="s">
        <v>7</v>
      </c>
      <c r="G22283" t="s">
        <v>47093</v>
      </c>
      <c r="H22283" t="s">
        <v>47054</v>
      </c>
      <c r="I22283" t="s">
        <v>47111</v>
      </c>
      <c r="J22283" t="s">
        <v>47112</v>
      </c>
      <c r="K22283" t="s">
        <v>47113</v>
      </c>
      <c r="L22283">
        <v>35.18</v>
      </c>
      <c r="M22283">
        <v>87</v>
      </c>
      <c r="N22283">
        <v>0</v>
      </c>
      <c r="O22283">
        <v>87</v>
      </c>
      <c r="P22283">
        <v>0</v>
      </c>
    </row>
    <row r="22284" spans="1:16" x14ac:dyDescent="0.25">
      <c r="A22284" t="s">
        <v>1245</v>
      </c>
      <c r="B22284" t="s">
        <v>1246</v>
      </c>
      <c r="C22284" t="s">
        <v>1247</v>
      </c>
      <c r="D22284" t="str">
        <f>"1119"</f>
        <v>1119</v>
      </c>
      <c r="E22284" t="s">
        <v>1248</v>
      </c>
      <c r="F22284" t="s">
        <v>7</v>
      </c>
      <c r="G22284" t="s">
        <v>47093</v>
      </c>
      <c r="H22284" t="s">
        <v>47054</v>
      </c>
      <c r="I22284" t="s">
        <v>47111</v>
      </c>
      <c r="J22284" t="s">
        <v>47112</v>
      </c>
      <c r="K22284" t="s">
        <v>47113</v>
      </c>
      <c r="L22284">
        <v>35.18</v>
      </c>
      <c r="M22284">
        <v>80</v>
      </c>
      <c r="N22284">
        <v>0</v>
      </c>
      <c r="O22284">
        <v>80</v>
      </c>
      <c r="P22284">
        <v>0</v>
      </c>
    </row>
    <row r="22285" spans="1:16" x14ac:dyDescent="0.25">
      <c r="A22285" t="s">
        <v>45003</v>
      </c>
      <c r="B22285" t="s">
        <v>1246</v>
      </c>
      <c r="C22285" t="s">
        <v>1247</v>
      </c>
      <c r="D22285" t="str">
        <f>"2012"</f>
        <v>2012</v>
      </c>
      <c r="E22285" t="s">
        <v>13328</v>
      </c>
      <c r="F22285" t="s">
        <v>7</v>
      </c>
      <c r="G22285" t="s">
        <v>47093</v>
      </c>
      <c r="H22285" t="s">
        <v>47054</v>
      </c>
      <c r="I22285" t="s">
        <v>47111</v>
      </c>
      <c r="J22285" t="s">
        <v>47112</v>
      </c>
      <c r="K22285" t="s">
        <v>47113</v>
      </c>
      <c r="L22285">
        <v>35.18</v>
      </c>
      <c r="M22285">
        <v>80</v>
      </c>
      <c r="N22285">
        <v>0</v>
      </c>
      <c r="O22285">
        <v>80</v>
      </c>
      <c r="P22285">
        <v>0</v>
      </c>
    </row>
    <row r="22286" spans="1:16" x14ac:dyDescent="0.25">
      <c r="A22286" t="s">
        <v>1249</v>
      </c>
      <c r="B22286" t="s">
        <v>1246</v>
      </c>
      <c r="C22286" t="s">
        <v>1247</v>
      </c>
      <c r="D22286" t="str">
        <f>"6225"</f>
        <v>6225</v>
      </c>
      <c r="E22286" t="s">
        <v>1250</v>
      </c>
      <c r="F22286" t="s">
        <v>7</v>
      </c>
      <c r="G22286" t="s">
        <v>47093</v>
      </c>
      <c r="H22286" t="s">
        <v>47054</v>
      </c>
      <c r="I22286" t="s">
        <v>47111</v>
      </c>
      <c r="J22286" t="s">
        <v>47112</v>
      </c>
      <c r="K22286" t="s">
        <v>47113</v>
      </c>
      <c r="L22286">
        <v>35.72</v>
      </c>
      <c r="M22286">
        <v>87</v>
      </c>
      <c r="N22286">
        <v>0</v>
      </c>
      <c r="O22286">
        <v>87</v>
      </c>
      <c r="P22286">
        <v>0</v>
      </c>
    </row>
    <row r="22287" spans="1:16" x14ac:dyDescent="0.25">
      <c r="A22287" t="s">
        <v>45004</v>
      </c>
      <c r="B22287" t="s">
        <v>13329</v>
      </c>
      <c r="C22287" t="s">
        <v>13330</v>
      </c>
      <c r="D22287" t="str">
        <f>"4288"</f>
        <v>4288</v>
      </c>
      <c r="E22287" t="s">
        <v>1239</v>
      </c>
      <c r="F22287" t="s">
        <v>6</v>
      </c>
      <c r="G22287" t="s">
        <v>47093</v>
      </c>
      <c r="H22287" t="s">
        <v>47054</v>
      </c>
      <c r="I22287" t="s">
        <v>47114</v>
      </c>
      <c r="J22287" t="s">
        <v>47115</v>
      </c>
      <c r="K22287" t="s">
        <v>47113</v>
      </c>
      <c r="L22287">
        <v>43.81</v>
      </c>
      <c r="M22287">
        <v>108</v>
      </c>
      <c r="N22287">
        <v>0</v>
      </c>
      <c r="O22287">
        <v>108</v>
      </c>
      <c r="P22287">
        <v>0</v>
      </c>
    </row>
    <row r="22288" spans="1:16" x14ac:dyDescent="0.25">
      <c r="A22288" t="s">
        <v>45005</v>
      </c>
      <c r="B22288" t="s">
        <v>13329</v>
      </c>
      <c r="C22288" t="s">
        <v>13330</v>
      </c>
      <c r="D22288" t="str">
        <f>"6146"</f>
        <v>6146</v>
      </c>
      <c r="E22288" t="s">
        <v>1241</v>
      </c>
      <c r="F22288" t="s">
        <v>6</v>
      </c>
      <c r="G22288" t="s">
        <v>47093</v>
      </c>
      <c r="H22288" t="s">
        <v>47054</v>
      </c>
      <c r="I22288" t="s">
        <v>47114</v>
      </c>
      <c r="J22288" t="s">
        <v>47115</v>
      </c>
      <c r="K22288" t="s">
        <v>47113</v>
      </c>
      <c r="L22288">
        <v>43.81</v>
      </c>
      <c r="M22288">
        <v>108</v>
      </c>
      <c r="N22288">
        <v>0</v>
      </c>
      <c r="O22288">
        <v>108</v>
      </c>
      <c r="P22288">
        <v>0</v>
      </c>
    </row>
    <row r="22289" spans="1:16" x14ac:dyDescent="0.25">
      <c r="A22289" t="s">
        <v>45006</v>
      </c>
      <c r="B22289" t="s">
        <v>13331</v>
      </c>
      <c r="C22289" t="s">
        <v>13332</v>
      </c>
      <c r="D22289" t="str">
        <f>"1462"</f>
        <v>1462</v>
      </c>
      <c r="E22289" t="s">
        <v>9410</v>
      </c>
      <c r="F22289" t="s">
        <v>2068</v>
      </c>
      <c r="G22289" t="s">
        <v>48556</v>
      </c>
      <c r="H22289" t="s">
        <v>47054</v>
      </c>
      <c r="I22289" t="s">
        <v>47120</v>
      </c>
      <c r="J22289" t="s">
        <v>47121</v>
      </c>
      <c r="K22289" t="s">
        <v>47113</v>
      </c>
      <c r="L22289">
        <v>18.95</v>
      </c>
      <c r="M22289">
        <v>43</v>
      </c>
      <c r="N22289">
        <v>0</v>
      </c>
      <c r="O22289">
        <v>43</v>
      </c>
      <c r="P22289">
        <v>0</v>
      </c>
    </row>
    <row r="22290" spans="1:16" x14ac:dyDescent="0.25">
      <c r="A22290" t="s">
        <v>45007</v>
      </c>
      <c r="B22290" t="s">
        <v>13331</v>
      </c>
      <c r="C22290" t="s">
        <v>13332</v>
      </c>
      <c r="D22290" t="str">
        <f>"6132"</f>
        <v>6132</v>
      </c>
      <c r="E22290" t="s">
        <v>9411</v>
      </c>
      <c r="F22290" t="s">
        <v>2068</v>
      </c>
      <c r="G22290" t="s">
        <v>48556</v>
      </c>
      <c r="H22290" t="s">
        <v>47054</v>
      </c>
      <c r="I22290" t="s">
        <v>47120</v>
      </c>
      <c r="J22290" t="s">
        <v>47121</v>
      </c>
      <c r="K22290" t="s">
        <v>47113</v>
      </c>
      <c r="L22290">
        <v>18.95</v>
      </c>
      <c r="M22290">
        <v>43</v>
      </c>
      <c r="N22290">
        <v>0</v>
      </c>
      <c r="O22290">
        <v>43</v>
      </c>
      <c r="P22290">
        <v>0</v>
      </c>
    </row>
    <row r="22291" spans="1:16" x14ac:dyDescent="0.25">
      <c r="A22291" t="s">
        <v>1251</v>
      </c>
      <c r="B22291" t="s">
        <v>1252</v>
      </c>
      <c r="C22291" t="s">
        <v>1253</v>
      </c>
      <c r="D22291" t="str">
        <f>"4802"</f>
        <v>4802</v>
      </c>
      <c r="E22291" t="s">
        <v>1254</v>
      </c>
      <c r="F22291" t="s">
        <v>2</v>
      </c>
      <c r="G22291" t="s">
        <v>47095</v>
      </c>
      <c r="H22291" t="s">
        <v>47054</v>
      </c>
      <c r="I22291" t="s">
        <v>47139</v>
      </c>
      <c r="J22291" t="s">
        <v>47140</v>
      </c>
      <c r="K22291" t="s">
        <v>47113</v>
      </c>
      <c r="L22291">
        <v>32.909999999999997</v>
      </c>
      <c r="M22291">
        <v>46</v>
      </c>
      <c r="N22291">
        <v>0</v>
      </c>
      <c r="O22291">
        <v>46</v>
      </c>
      <c r="P22291">
        <v>0</v>
      </c>
    </row>
    <row r="22292" spans="1:16" x14ac:dyDescent="0.25">
      <c r="A22292" t="s">
        <v>45008</v>
      </c>
      <c r="B22292" t="s">
        <v>1252</v>
      </c>
      <c r="C22292" t="s">
        <v>1253</v>
      </c>
      <c r="D22292" t="str">
        <f>"6828"</f>
        <v>6828</v>
      </c>
      <c r="E22292" t="s">
        <v>13333</v>
      </c>
      <c r="F22292" t="s">
        <v>2</v>
      </c>
      <c r="G22292" t="s">
        <v>47095</v>
      </c>
      <c r="H22292" t="s">
        <v>47054</v>
      </c>
      <c r="I22292" t="s">
        <v>47139</v>
      </c>
      <c r="J22292" t="s">
        <v>47140</v>
      </c>
      <c r="K22292" t="s">
        <v>47113</v>
      </c>
      <c r="L22292">
        <v>17.420000000000002</v>
      </c>
      <c r="M22292">
        <v>46</v>
      </c>
      <c r="N22292">
        <v>0</v>
      </c>
      <c r="O22292">
        <v>46</v>
      </c>
      <c r="P22292">
        <v>0</v>
      </c>
    </row>
    <row r="22293" spans="1:16" x14ac:dyDescent="0.25">
      <c r="A22293" t="s">
        <v>1255</v>
      </c>
      <c r="B22293" t="s">
        <v>1252</v>
      </c>
      <c r="C22293" t="s">
        <v>1253</v>
      </c>
      <c r="D22293" t="str">
        <f>"8330"</f>
        <v>8330</v>
      </c>
      <c r="E22293" t="s">
        <v>1256</v>
      </c>
      <c r="F22293" t="s">
        <v>2</v>
      </c>
      <c r="G22293" t="s">
        <v>47095</v>
      </c>
      <c r="H22293" t="s">
        <v>47054</v>
      </c>
      <c r="I22293" t="s">
        <v>47139</v>
      </c>
      <c r="J22293" t="s">
        <v>47140</v>
      </c>
      <c r="K22293" t="s">
        <v>47113</v>
      </c>
      <c r="L22293">
        <v>32.909999999999997</v>
      </c>
      <c r="M22293">
        <v>46</v>
      </c>
      <c r="N22293">
        <v>0</v>
      </c>
      <c r="O22293">
        <v>46</v>
      </c>
      <c r="P22293">
        <v>0</v>
      </c>
    </row>
    <row r="22294" spans="1:16" x14ac:dyDescent="0.25">
      <c r="A22294" t="s">
        <v>45009</v>
      </c>
      <c r="B22294" t="s">
        <v>13334</v>
      </c>
      <c r="C22294" t="s">
        <v>13335</v>
      </c>
      <c r="D22294" t="str">
        <f>"8333"</f>
        <v>8333</v>
      </c>
      <c r="E22294" t="s">
        <v>13336</v>
      </c>
      <c r="F22294" t="s">
        <v>2</v>
      </c>
      <c r="G22294" t="s">
        <v>47094</v>
      </c>
      <c r="H22294" t="s">
        <v>47054</v>
      </c>
      <c r="I22294" t="s">
        <v>47139</v>
      </c>
      <c r="J22294" t="s">
        <v>47140</v>
      </c>
      <c r="K22294" t="s">
        <v>47113</v>
      </c>
      <c r="L22294">
        <v>33.979999999999997</v>
      </c>
      <c r="M22294">
        <v>89</v>
      </c>
      <c r="N22294">
        <v>0</v>
      </c>
      <c r="O22294">
        <v>89</v>
      </c>
      <c r="P22294">
        <v>0</v>
      </c>
    </row>
    <row r="22295" spans="1:16" x14ac:dyDescent="0.25">
      <c r="A22295" t="s">
        <v>45010</v>
      </c>
      <c r="B22295" t="s">
        <v>13337</v>
      </c>
      <c r="C22295" t="s">
        <v>13338</v>
      </c>
      <c r="D22295" t="str">
        <f>"6830"</f>
        <v>6830</v>
      </c>
      <c r="E22295" t="s">
        <v>13339</v>
      </c>
      <c r="F22295" t="s">
        <v>2</v>
      </c>
      <c r="G22295" t="s">
        <v>47094</v>
      </c>
      <c r="H22295" t="s">
        <v>47054</v>
      </c>
      <c r="I22295" t="s">
        <v>47139</v>
      </c>
      <c r="J22295" t="s">
        <v>47140</v>
      </c>
      <c r="K22295" t="s">
        <v>47113</v>
      </c>
      <c r="L22295">
        <v>33.979999999999997</v>
      </c>
      <c r="M22295">
        <v>89</v>
      </c>
      <c r="N22295">
        <v>0</v>
      </c>
      <c r="O22295">
        <v>89</v>
      </c>
      <c r="P22295">
        <v>0</v>
      </c>
    </row>
    <row r="22296" spans="1:16" x14ac:dyDescent="0.25">
      <c r="A22296" t="s">
        <v>45011</v>
      </c>
      <c r="B22296" t="s">
        <v>13340</v>
      </c>
      <c r="C22296" t="s">
        <v>13341</v>
      </c>
      <c r="D22296" t="str">
        <f>"4805"</f>
        <v>4805</v>
      </c>
      <c r="E22296" t="s">
        <v>13342</v>
      </c>
      <c r="F22296" t="s">
        <v>2</v>
      </c>
      <c r="G22296" t="s">
        <v>47094</v>
      </c>
      <c r="H22296" t="s">
        <v>47054</v>
      </c>
      <c r="I22296" t="s">
        <v>47111</v>
      </c>
      <c r="J22296" t="s">
        <v>47112</v>
      </c>
      <c r="K22296" t="s">
        <v>47113</v>
      </c>
      <c r="L22296">
        <v>33.979999999999997</v>
      </c>
      <c r="M22296">
        <v>89</v>
      </c>
      <c r="N22296">
        <v>0</v>
      </c>
      <c r="O22296">
        <v>89</v>
      </c>
      <c r="P22296">
        <v>0</v>
      </c>
    </row>
    <row r="22297" spans="1:16" x14ac:dyDescent="0.25">
      <c r="A22297" t="s">
        <v>45012</v>
      </c>
      <c r="B22297" t="s">
        <v>1258</v>
      </c>
      <c r="C22297" t="s">
        <v>1259</v>
      </c>
      <c r="D22297" t="str">
        <f>"1910"</f>
        <v>1910</v>
      </c>
      <c r="E22297" t="s">
        <v>13343</v>
      </c>
      <c r="F22297" t="s">
        <v>2</v>
      </c>
      <c r="G22297" t="s">
        <v>47099</v>
      </c>
      <c r="H22297" t="s">
        <v>47054</v>
      </c>
      <c r="I22297" t="s">
        <v>47120</v>
      </c>
      <c r="J22297" t="s">
        <v>47121</v>
      </c>
      <c r="K22297" t="s">
        <v>47113</v>
      </c>
      <c r="L22297">
        <v>24.46</v>
      </c>
      <c r="M22297">
        <v>85</v>
      </c>
      <c r="N22297">
        <v>0</v>
      </c>
      <c r="O22297">
        <v>85</v>
      </c>
      <c r="P22297">
        <v>0</v>
      </c>
    </row>
    <row r="22298" spans="1:16" x14ac:dyDescent="0.25">
      <c r="A22298" t="s">
        <v>1257</v>
      </c>
      <c r="B22298" t="s">
        <v>1258</v>
      </c>
      <c r="C22298" t="s">
        <v>1259</v>
      </c>
      <c r="D22298" t="str">
        <f>"1911"</f>
        <v>1911</v>
      </c>
      <c r="E22298" t="s">
        <v>1260</v>
      </c>
      <c r="F22298" t="s">
        <v>2</v>
      </c>
      <c r="G22298" t="s">
        <v>47099</v>
      </c>
      <c r="H22298" t="s">
        <v>47054</v>
      </c>
      <c r="I22298" t="s">
        <v>47120</v>
      </c>
      <c r="J22298" t="s">
        <v>47121</v>
      </c>
      <c r="K22298" t="s">
        <v>47113</v>
      </c>
      <c r="L22298">
        <v>32.909999999999997</v>
      </c>
      <c r="M22298">
        <v>85</v>
      </c>
      <c r="N22298">
        <v>0</v>
      </c>
      <c r="O22298">
        <v>85</v>
      </c>
      <c r="P22298">
        <v>0</v>
      </c>
    </row>
    <row r="22299" spans="1:16" x14ac:dyDescent="0.25">
      <c r="A22299" t="s">
        <v>45013</v>
      </c>
      <c r="B22299" t="s">
        <v>1258</v>
      </c>
      <c r="C22299" t="s">
        <v>1259</v>
      </c>
      <c r="D22299" t="str">
        <f>"4321"</f>
        <v>4321</v>
      </c>
      <c r="E22299" t="s">
        <v>1281</v>
      </c>
      <c r="F22299" t="s">
        <v>2</v>
      </c>
      <c r="G22299" t="s">
        <v>47099</v>
      </c>
      <c r="H22299" t="s">
        <v>47054</v>
      </c>
      <c r="I22299" t="s">
        <v>47120</v>
      </c>
      <c r="J22299" t="s">
        <v>47121</v>
      </c>
      <c r="K22299" t="s">
        <v>47113</v>
      </c>
      <c r="L22299">
        <v>24.46</v>
      </c>
      <c r="M22299">
        <v>85</v>
      </c>
      <c r="N22299">
        <v>0</v>
      </c>
      <c r="O22299">
        <v>85</v>
      </c>
      <c r="P22299">
        <v>0</v>
      </c>
    </row>
    <row r="22300" spans="1:16" x14ac:dyDescent="0.25">
      <c r="A22300" t="s">
        <v>1261</v>
      </c>
      <c r="B22300" t="s">
        <v>1258</v>
      </c>
      <c r="C22300" t="s">
        <v>1259</v>
      </c>
      <c r="D22300" t="str">
        <f>"5327"</f>
        <v>5327</v>
      </c>
      <c r="E22300" t="s">
        <v>1262</v>
      </c>
      <c r="F22300" t="s">
        <v>2</v>
      </c>
      <c r="G22300" t="s">
        <v>47099</v>
      </c>
      <c r="H22300" t="s">
        <v>47054</v>
      </c>
      <c r="I22300" t="s">
        <v>47120</v>
      </c>
      <c r="J22300" t="s">
        <v>47121</v>
      </c>
      <c r="K22300" t="s">
        <v>47113</v>
      </c>
      <c r="L22300">
        <v>32.909999999999997</v>
      </c>
      <c r="M22300">
        <v>85</v>
      </c>
      <c r="N22300">
        <v>0</v>
      </c>
      <c r="O22300">
        <v>85</v>
      </c>
      <c r="P22300">
        <v>0</v>
      </c>
    </row>
    <row r="22301" spans="1:16" x14ac:dyDescent="0.25">
      <c r="A22301" t="s">
        <v>45014</v>
      </c>
      <c r="B22301" t="s">
        <v>1258</v>
      </c>
      <c r="C22301" t="s">
        <v>1259</v>
      </c>
      <c r="D22301" t="str">
        <f>"6836"</f>
        <v>6836</v>
      </c>
      <c r="E22301" t="s">
        <v>1081</v>
      </c>
      <c r="F22301" t="s">
        <v>2</v>
      </c>
      <c r="G22301" t="s">
        <v>47099</v>
      </c>
      <c r="H22301" t="s">
        <v>47054</v>
      </c>
      <c r="I22301" t="s">
        <v>47120</v>
      </c>
      <c r="J22301" t="s">
        <v>47121</v>
      </c>
      <c r="K22301" t="s">
        <v>47113</v>
      </c>
      <c r="L22301">
        <v>24.46</v>
      </c>
      <c r="M22301">
        <v>85</v>
      </c>
      <c r="N22301">
        <v>0</v>
      </c>
      <c r="O22301">
        <v>85</v>
      </c>
      <c r="P22301">
        <v>0</v>
      </c>
    </row>
    <row r="22302" spans="1:16" x14ac:dyDescent="0.25">
      <c r="A22302" t="s">
        <v>45015</v>
      </c>
      <c r="B22302" t="s">
        <v>1258</v>
      </c>
      <c r="C22302" t="s">
        <v>1259</v>
      </c>
      <c r="D22302" t="str">
        <f>"6845"</f>
        <v>6845</v>
      </c>
      <c r="E22302" t="s">
        <v>13344</v>
      </c>
      <c r="F22302" t="s">
        <v>2</v>
      </c>
      <c r="G22302" t="s">
        <v>47099</v>
      </c>
      <c r="H22302" t="s">
        <v>47054</v>
      </c>
      <c r="I22302" t="s">
        <v>47120</v>
      </c>
      <c r="J22302" t="s">
        <v>47121</v>
      </c>
      <c r="K22302" t="s">
        <v>47113</v>
      </c>
      <c r="L22302">
        <v>23.1</v>
      </c>
      <c r="M22302">
        <v>65</v>
      </c>
      <c r="N22302">
        <v>0</v>
      </c>
      <c r="O22302">
        <v>65</v>
      </c>
      <c r="P22302">
        <v>0</v>
      </c>
    </row>
    <row r="22303" spans="1:16" x14ac:dyDescent="0.25">
      <c r="A22303" t="s">
        <v>45016</v>
      </c>
      <c r="B22303" t="s">
        <v>1258</v>
      </c>
      <c r="C22303" t="s">
        <v>1259</v>
      </c>
      <c r="D22303" t="str">
        <f>"7429"</f>
        <v>7429</v>
      </c>
      <c r="E22303" t="s">
        <v>13345</v>
      </c>
      <c r="F22303" t="s">
        <v>2</v>
      </c>
      <c r="G22303" t="s">
        <v>47099</v>
      </c>
      <c r="H22303" t="s">
        <v>47054</v>
      </c>
      <c r="I22303" t="s">
        <v>47120</v>
      </c>
      <c r="J22303" t="s">
        <v>47121</v>
      </c>
      <c r="K22303" t="s">
        <v>47113</v>
      </c>
      <c r="L22303">
        <v>24.46</v>
      </c>
      <c r="M22303">
        <v>85</v>
      </c>
      <c r="N22303">
        <v>0</v>
      </c>
      <c r="O22303">
        <v>85</v>
      </c>
      <c r="P22303">
        <v>0</v>
      </c>
    </row>
    <row r="22304" spans="1:16" x14ac:dyDescent="0.25">
      <c r="A22304" t="s">
        <v>1263</v>
      </c>
      <c r="B22304" t="s">
        <v>1264</v>
      </c>
      <c r="C22304" t="s">
        <v>1265</v>
      </c>
      <c r="D22304" t="str">
        <f>"1820"</f>
        <v>1820</v>
      </c>
      <c r="E22304" t="s">
        <v>1266</v>
      </c>
      <c r="F22304" t="s">
        <v>2</v>
      </c>
      <c r="G22304" t="s">
        <v>47099</v>
      </c>
      <c r="H22304" t="s">
        <v>47054</v>
      </c>
      <c r="I22304" t="s">
        <v>47120</v>
      </c>
      <c r="J22304" t="s">
        <v>47121</v>
      </c>
      <c r="K22304" t="s">
        <v>47113</v>
      </c>
      <c r="L22304">
        <v>32.909999999999997</v>
      </c>
      <c r="M22304">
        <v>67</v>
      </c>
      <c r="N22304">
        <v>0</v>
      </c>
      <c r="O22304">
        <v>67</v>
      </c>
      <c r="P22304">
        <v>0</v>
      </c>
    </row>
    <row r="22305" spans="1:16" x14ac:dyDescent="0.25">
      <c r="A22305" t="s">
        <v>45017</v>
      </c>
      <c r="B22305" t="s">
        <v>1264</v>
      </c>
      <c r="C22305" t="s">
        <v>1265</v>
      </c>
      <c r="D22305" t="str">
        <f>"1910"</f>
        <v>1910</v>
      </c>
      <c r="E22305" t="s">
        <v>13343</v>
      </c>
      <c r="F22305" t="s">
        <v>2</v>
      </c>
      <c r="G22305" t="s">
        <v>47099</v>
      </c>
      <c r="H22305" t="s">
        <v>47054</v>
      </c>
      <c r="I22305" t="s">
        <v>47120</v>
      </c>
      <c r="J22305" t="s">
        <v>47121</v>
      </c>
      <c r="K22305" t="s">
        <v>47113</v>
      </c>
      <c r="L22305">
        <v>25.2</v>
      </c>
      <c r="M22305">
        <v>85</v>
      </c>
      <c r="N22305">
        <v>0</v>
      </c>
      <c r="O22305">
        <v>85</v>
      </c>
      <c r="P22305">
        <v>0</v>
      </c>
    </row>
    <row r="22306" spans="1:16" x14ac:dyDescent="0.25">
      <c r="A22306" t="s">
        <v>45018</v>
      </c>
      <c r="B22306" t="s">
        <v>1264</v>
      </c>
      <c r="C22306" t="s">
        <v>1265</v>
      </c>
      <c r="D22306" t="str">
        <f>"1911"</f>
        <v>1911</v>
      </c>
      <c r="E22306" t="s">
        <v>1260</v>
      </c>
      <c r="F22306" t="s">
        <v>2</v>
      </c>
      <c r="G22306" t="s">
        <v>47099</v>
      </c>
      <c r="H22306" t="s">
        <v>47054</v>
      </c>
      <c r="I22306" t="s">
        <v>47120</v>
      </c>
      <c r="J22306" t="s">
        <v>47121</v>
      </c>
      <c r="K22306" t="s">
        <v>47113</v>
      </c>
      <c r="L22306">
        <v>25.2</v>
      </c>
      <c r="M22306">
        <v>85</v>
      </c>
      <c r="N22306">
        <v>0</v>
      </c>
      <c r="O22306">
        <v>85</v>
      </c>
      <c r="P22306">
        <v>0</v>
      </c>
    </row>
    <row r="22307" spans="1:16" x14ac:dyDescent="0.25">
      <c r="A22307" t="s">
        <v>45019</v>
      </c>
      <c r="B22307" t="s">
        <v>1264</v>
      </c>
      <c r="C22307" t="s">
        <v>1265</v>
      </c>
      <c r="D22307" t="str">
        <f>"4321"</f>
        <v>4321</v>
      </c>
      <c r="E22307" t="s">
        <v>1281</v>
      </c>
      <c r="F22307" t="s">
        <v>2</v>
      </c>
      <c r="G22307" t="s">
        <v>47099</v>
      </c>
      <c r="H22307" t="s">
        <v>47054</v>
      </c>
      <c r="I22307" t="s">
        <v>47120</v>
      </c>
      <c r="J22307" t="s">
        <v>47121</v>
      </c>
      <c r="K22307" t="s">
        <v>47113</v>
      </c>
      <c r="L22307">
        <v>25.2</v>
      </c>
      <c r="M22307">
        <v>85</v>
      </c>
      <c r="N22307">
        <v>0</v>
      </c>
      <c r="O22307">
        <v>85</v>
      </c>
      <c r="P22307">
        <v>0</v>
      </c>
    </row>
    <row r="22308" spans="1:16" x14ac:dyDescent="0.25">
      <c r="A22308" t="s">
        <v>45020</v>
      </c>
      <c r="B22308" t="s">
        <v>1264</v>
      </c>
      <c r="C22308" t="s">
        <v>1265</v>
      </c>
      <c r="D22308" t="str">
        <f>"5327"</f>
        <v>5327</v>
      </c>
      <c r="E22308" t="s">
        <v>1262</v>
      </c>
      <c r="F22308" t="s">
        <v>2</v>
      </c>
      <c r="G22308" t="s">
        <v>47099</v>
      </c>
      <c r="H22308" t="s">
        <v>47054</v>
      </c>
      <c r="I22308" t="s">
        <v>47120</v>
      </c>
      <c r="J22308" t="s">
        <v>47121</v>
      </c>
      <c r="K22308" t="s">
        <v>47113</v>
      </c>
      <c r="L22308">
        <v>25.2</v>
      </c>
      <c r="M22308">
        <v>85</v>
      </c>
      <c r="N22308">
        <v>0</v>
      </c>
      <c r="O22308">
        <v>85</v>
      </c>
      <c r="P22308">
        <v>0</v>
      </c>
    </row>
    <row r="22309" spans="1:16" x14ac:dyDescent="0.25">
      <c r="A22309" t="s">
        <v>45021</v>
      </c>
      <c r="B22309" t="s">
        <v>1264</v>
      </c>
      <c r="C22309" t="s">
        <v>1265</v>
      </c>
      <c r="D22309" t="str">
        <f>"6836"</f>
        <v>6836</v>
      </c>
      <c r="E22309" t="s">
        <v>1081</v>
      </c>
      <c r="F22309" t="s">
        <v>2</v>
      </c>
      <c r="G22309" t="s">
        <v>47099</v>
      </c>
      <c r="H22309" t="s">
        <v>47054</v>
      </c>
      <c r="I22309" t="s">
        <v>47120</v>
      </c>
      <c r="J22309" t="s">
        <v>47121</v>
      </c>
      <c r="K22309" t="s">
        <v>47113</v>
      </c>
      <c r="L22309">
        <v>25.2</v>
      </c>
      <c r="M22309">
        <v>85</v>
      </c>
      <c r="N22309">
        <v>0</v>
      </c>
      <c r="O22309">
        <v>85</v>
      </c>
      <c r="P22309">
        <v>0</v>
      </c>
    </row>
    <row r="22310" spans="1:16" x14ac:dyDescent="0.25">
      <c r="A22310" t="s">
        <v>45022</v>
      </c>
      <c r="B22310" t="s">
        <v>1264</v>
      </c>
      <c r="C22310" t="s">
        <v>1265</v>
      </c>
      <c r="D22310" t="str">
        <f>"7429"</f>
        <v>7429</v>
      </c>
      <c r="E22310" t="s">
        <v>13345</v>
      </c>
      <c r="F22310" t="s">
        <v>2</v>
      </c>
      <c r="G22310" t="s">
        <v>47099</v>
      </c>
      <c r="H22310" t="s">
        <v>47054</v>
      </c>
      <c r="I22310" t="s">
        <v>47120</v>
      </c>
      <c r="J22310" t="s">
        <v>47121</v>
      </c>
      <c r="K22310" t="s">
        <v>47113</v>
      </c>
      <c r="L22310">
        <v>25.2</v>
      </c>
      <c r="M22310">
        <v>85</v>
      </c>
      <c r="N22310">
        <v>0</v>
      </c>
      <c r="O22310">
        <v>85</v>
      </c>
      <c r="P22310">
        <v>0</v>
      </c>
    </row>
    <row r="22311" spans="1:16" x14ac:dyDescent="0.25">
      <c r="A22311" t="s">
        <v>45023</v>
      </c>
      <c r="B22311" t="s">
        <v>1268</v>
      </c>
      <c r="C22311" t="s">
        <v>1269</v>
      </c>
      <c r="D22311" t="str">
        <f>"1056"</f>
        <v>1056</v>
      </c>
      <c r="E22311" t="s">
        <v>1277</v>
      </c>
      <c r="F22311" t="s">
        <v>7</v>
      </c>
      <c r="G22311" t="s">
        <v>47099</v>
      </c>
      <c r="H22311" t="s">
        <v>47054</v>
      </c>
      <c r="I22311" t="s">
        <v>47120</v>
      </c>
      <c r="J22311" t="s">
        <v>47121</v>
      </c>
      <c r="K22311" t="s">
        <v>47113</v>
      </c>
      <c r="L22311">
        <v>28.1</v>
      </c>
      <c r="M22311">
        <v>67</v>
      </c>
      <c r="N22311">
        <v>0</v>
      </c>
      <c r="O22311">
        <v>67</v>
      </c>
      <c r="P22311">
        <v>0</v>
      </c>
    </row>
    <row r="22312" spans="1:16" x14ac:dyDescent="0.25">
      <c r="A22312" t="s">
        <v>45024</v>
      </c>
      <c r="B22312" t="s">
        <v>1268</v>
      </c>
      <c r="C22312" t="s">
        <v>1269</v>
      </c>
      <c r="D22312" t="str">
        <f>"1116"</f>
        <v>1116</v>
      </c>
      <c r="E22312" t="s">
        <v>6530</v>
      </c>
      <c r="F22312" t="s">
        <v>7</v>
      </c>
      <c r="G22312" t="s">
        <v>47099</v>
      </c>
      <c r="H22312" t="s">
        <v>47054</v>
      </c>
      <c r="I22312" t="s">
        <v>47120</v>
      </c>
      <c r="J22312" t="s">
        <v>47121</v>
      </c>
      <c r="K22312" t="s">
        <v>47113</v>
      </c>
      <c r="L22312">
        <v>28.1</v>
      </c>
      <c r="M22312">
        <v>62</v>
      </c>
      <c r="N22312">
        <v>0</v>
      </c>
      <c r="O22312">
        <v>62</v>
      </c>
      <c r="P22312">
        <v>0</v>
      </c>
    </row>
    <row r="22313" spans="1:16" x14ac:dyDescent="0.25">
      <c r="A22313" t="s">
        <v>1267</v>
      </c>
      <c r="B22313" t="s">
        <v>1268</v>
      </c>
      <c r="C22313" t="s">
        <v>1269</v>
      </c>
      <c r="D22313" t="str">
        <f>"1509"</f>
        <v>1509</v>
      </c>
      <c r="E22313" t="s">
        <v>1270</v>
      </c>
      <c r="F22313" t="s">
        <v>7</v>
      </c>
      <c r="G22313" t="s">
        <v>47099</v>
      </c>
      <c r="H22313" t="s">
        <v>47054</v>
      </c>
      <c r="I22313" t="s">
        <v>47120</v>
      </c>
      <c r="J22313" t="s">
        <v>47121</v>
      </c>
      <c r="K22313" t="s">
        <v>47113</v>
      </c>
      <c r="L22313">
        <v>28.1</v>
      </c>
      <c r="M22313">
        <v>67</v>
      </c>
      <c r="N22313">
        <v>0</v>
      </c>
      <c r="O22313">
        <v>67</v>
      </c>
      <c r="P22313">
        <v>0</v>
      </c>
    </row>
    <row r="22314" spans="1:16" x14ac:dyDescent="0.25">
      <c r="A22314" t="s">
        <v>45025</v>
      </c>
      <c r="B22314" t="s">
        <v>1268</v>
      </c>
      <c r="C22314" t="s">
        <v>1269</v>
      </c>
      <c r="D22314" t="str">
        <f>"2122"</f>
        <v>2122</v>
      </c>
      <c r="E22314" t="s">
        <v>6533</v>
      </c>
      <c r="F22314" t="s">
        <v>7</v>
      </c>
      <c r="G22314" t="s">
        <v>47099</v>
      </c>
      <c r="H22314" t="s">
        <v>47054</v>
      </c>
      <c r="I22314" t="s">
        <v>47120</v>
      </c>
      <c r="J22314" t="s">
        <v>47121</v>
      </c>
      <c r="K22314" t="s">
        <v>47113</v>
      </c>
      <c r="L22314">
        <v>28.1</v>
      </c>
      <c r="M22314">
        <v>67</v>
      </c>
      <c r="N22314">
        <v>0</v>
      </c>
      <c r="O22314">
        <v>67</v>
      </c>
      <c r="P22314">
        <v>0</v>
      </c>
    </row>
    <row r="22315" spans="1:16" x14ac:dyDescent="0.25">
      <c r="A22315" t="s">
        <v>45026</v>
      </c>
      <c r="B22315" t="s">
        <v>1268</v>
      </c>
      <c r="C22315" t="s">
        <v>1269</v>
      </c>
      <c r="D22315" t="str">
        <f>"3026"</f>
        <v>3026</v>
      </c>
      <c r="E22315" t="s">
        <v>6586</v>
      </c>
      <c r="F22315" t="s">
        <v>7</v>
      </c>
      <c r="G22315" t="s">
        <v>47099</v>
      </c>
      <c r="H22315" t="s">
        <v>47054</v>
      </c>
      <c r="I22315" t="s">
        <v>47120</v>
      </c>
      <c r="J22315" t="s">
        <v>47121</v>
      </c>
      <c r="K22315" t="s">
        <v>47113</v>
      </c>
      <c r="L22315">
        <v>28.1</v>
      </c>
      <c r="M22315">
        <v>67</v>
      </c>
      <c r="N22315">
        <v>0</v>
      </c>
      <c r="O22315">
        <v>67</v>
      </c>
      <c r="P22315">
        <v>0</v>
      </c>
    </row>
    <row r="22316" spans="1:16" x14ac:dyDescent="0.25">
      <c r="A22316" t="s">
        <v>45027</v>
      </c>
      <c r="B22316" t="s">
        <v>1268</v>
      </c>
      <c r="C22316" t="s">
        <v>1269</v>
      </c>
      <c r="D22316" t="str">
        <f>"4158"</f>
        <v>4158</v>
      </c>
      <c r="E22316" t="s">
        <v>6588</v>
      </c>
      <c r="F22316" t="s">
        <v>7</v>
      </c>
      <c r="G22316" t="s">
        <v>47099</v>
      </c>
      <c r="H22316" t="s">
        <v>47054</v>
      </c>
      <c r="I22316" t="s">
        <v>47120</v>
      </c>
      <c r="J22316" t="s">
        <v>47121</v>
      </c>
      <c r="K22316" t="s">
        <v>47113</v>
      </c>
      <c r="L22316">
        <v>28.1</v>
      </c>
      <c r="M22316">
        <v>67</v>
      </c>
      <c r="N22316">
        <v>0</v>
      </c>
      <c r="O22316">
        <v>67</v>
      </c>
      <c r="P22316">
        <v>0</v>
      </c>
    </row>
    <row r="22317" spans="1:16" x14ac:dyDescent="0.25">
      <c r="A22317" t="s">
        <v>15132</v>
      </c>
      <c r="B22317" t="s">
        <v>1268</v>
      </c>
      <c r="C22317" t="s">
        <v>1269</v>
      </c>
      <c r="D22317" t="str">
        <f>"7226"</f>
        <v>7226</v>
      </c>
      <c r="E22317" t="s">
        <v>6563</v>
      </c>
      <c r="F22317" t="s">
        <v>7</v>
      </c>
      <c r="G22317" t="s">
        <v>47099</v>
      </c>
      <c r="H22317" t="s">
        <v>47054</v>
      </c>
      <c r="I22317" t="s">
        <v>47120</v>
      </c>
      <c r="J22317" t="s">
        <v>47121</v>
      </c>
      <c r="K22317" t="s">
        <v>47113</v>
      </c>
      <c r="L22317">
        <v>23.74</v>
      </c>
      <c r="M22317">
        <v>67</v>
      </c>
      <c r="N22317">
        <v>0</v>
      </c>
      <c r="O22317">
        <v>67</v>
      </c>
      <c r="P22317">
        <v>0</v>
      </c>
    </row>
    <row r="22318" spans="1:16" x14ac:dyDescent="0.25">
      <c r="A22318" t="s">
        <v>45028</v>
      </c>
      <c r="B22318" t="s">
        <v>1272</v>
      </c>
      <c r="C22318" t="s">
        <v>1273</v>
      </c>
      <c r="D22318" t="str">
        <f>"1056"</f>
        <v>1056</v>
      </c>
      <c r="E22318" t="s">
        <v>1277</v>
      </c>
      <c r="F22318" t="s">
        <v>7</v>
      </c>
      <c r="G22318" t="s">
        <v>47099</v>
      </c>
      <c r="H22318" t="s">
        <v>47054</v>
      </c>
      <c r="I22318" t="s">
        <v>47120</v>
      </c>
      <c r="J22318" t="s">
        <v>47121</v>
      </c>
      <c r="K22318" t="s">
        <v>47113</v>
      </c>
      <c r="L22318">
        <v>23.55</v>
      </c>
      <c r="M22318">
        <v>68</v>
      </c>
      <c r="N22318">
        <v>0</v>
      </c>
      <c r="O22318">
        <v>68</v>
      </c>
      <c r="P22318">
        <v>0</v>
      </c>
    </row>
    <row r="22319" spans="1:16" x14ac:dyDescent="0.25">
      <c r="A22319" t="s">
        <v>1271</v>
      </c>
      <c r="B22319" t="s">
        <v>1272</v>
      </c>
      <c r="C22319" t="s">
        <v>1273</v>
      </c>
      <c r="D22319" t="str">
        <f>"1509"</f>
        <v>1509</v>
      </c>
      <c r="E22319" t="s">
        <v>1270</v>
      </c>
      <c r="F22319" t="s">
        <v>7</v>
      </c>
      <c r="G22319" t="s">
        <v>47099</v>
      </c>
      <c r="H22319" t="s">
        <v>47054</v>
      </c>
      <c r="I22319" t="s">
        <v>47120</v>
      </c>
      <c r="J22319" t="s">
        <v>47121</v>
      </c>
      <c r="K22319" t="s">
        <v>47113</v>
      </c>
      <c r="L22319">
        <v>27.92</v>
      </c>
      <c r="M22319">
        <v>70</v>
      </c>
      <c r="N22319">
        <v>0</v>
      </c>
      <c r="O22319">
        <v>70</v>
      </c>
      <c r="P22319">
        <v>0</v>
      </c>
    </row>
    <row r="22320" spans="1:16" x14ac:dyDescent="0.25">
      <c r="A22320" t="s">
        <v>1274</v>
      </c>
      <c r="B22320" t="s">
        <v>1275</v>
      </c>
      <c r="C22320" t="s">
        <v>1276</v>
      </c>
      <c r="D22320" t="str">
        <f>"1056"</f>
        <v>1056</v>
      </c>
      <c r="E22320" t="s">
        <v>1277</v>
      </c>
      <c r="F22320" t="s">
        <v>7</v>
      </c>
      <c r="G22320" t="s">
        <v>47099</v>
      </c>
      <c r="H22320" t="s">
        <v>47054</v>
      </c>
      <c r="I22320" t="s">
        <v>47120</v>
      </c>
      <c r="J22320" t="s">
        <v>47121</v>
      </c>
      <c r="K22320" t="s">
        <v>47113</v>
      </c>
      <c r="L22320">
        <v>23.06</v>
      </c>
      <c r="M22320">
        <v>65</v>
      </c>
      <c r="N22320">
        <v>0</v>
      </c>
      <c r="O22320">
        <v>65</v>
      </c>
      <c r="P22320">
        <v>0</v>
      </c>
    </row>
    <row r="22321" spans="1:16" x14ac:dyDescent="0.25">
      <c r="A22321" t="s">
        <v>45029</v>
      </c>
      <c r="B22321" t="s">
        <v>1275</v>
      </c>
      <c r="C22321" t="s">
        <v>1276</v>
      </c>
      <c r="D22321" t="str">
        <f>"1116"</f>
        <v>1116</v>
      </c>
      <c r="E22321" t="s">
        <v>6530</v>
      </c>
      <c r="F22321" t="s">
        <v>7</v>
      </c>
      <c r="G22321" t="s">
        <v>47099</v>
      </c>
      <c r="H22321" t="s">
        <v>47054</v>
      </c>
      <c r="I22321" t="s">
        <v>47120</v>
      </c>
      <c r="J22321" t="s">
        <v>47121</v>
      </c>
      <c r="K22321" t="s">
        <v>47113</v>
      </c>
      <c r="L22321">
        <v>26.79</v>
      </c>
      <c r="M22321">
        <v>65</v>
      </c>
      <c r="N22321">
        <v>0</v>
      </c>
      <c r="O22321">
        <v>65</v>
      </c>
      <c r="P22321">
        <v>0</v>
      </c>
    </row>
    <row r="22322" spans="1:16" x14ac:dyDescent="0.25">
      <c r="A22322" t="s">
        <v>45030</v>
      </c>
      <c r="B22322" t="s">
        <v>1275</v>
      </c>
      <c r="C22322" t="s">
        <v>1276</v>
      </c>
      <c r="D22322" t="str">
        <f>"1510"</f>
        <v>1510</v>
      </c>
      <c r="E22322" t="s">
        <v>13346</v>
      </c>
      <c r="F22322" t="s">
        <v>7</v>
      </c>
      <c r="G22322" t="s">
        <v>47099</v>
      </c>
      <c r="H22322" t="s">
        <v>47054</v>
      </c>
      <c r="I22322" t="s">
        <v>47120</v>
      </c>
      <c r="J22322" t="s">
        <v>47121</v>
      </c>
      <c r="K22322" t="s">
        <v>47113</v>
      </c>
      <c r="L22322">
        <v>25.46</v>
      </c>
      <c r="M22322">
        <v>65</v>
      </c>
      <c r="N22322">
        <v>0</v>
      </c>
      <c r="O22322">
        <v>65</v>
      </c>
      <c r="P22322">
        <v>0</v>
      </c>
    </row>
    <row r="22323" spans="1:16" x14ac:dyDescent="0.25">
      <c r="A22323" t="s">
        <v>45031</v>
      </c>
      <c r="B22323" t="s">
        <v>1275</v>
      </c>
      <c r="C22323" t="s">
        <v>1276</v>
      </c>
      <c r="D22323" t="str">
        <f>"2122"</f>
        <v>2122</v>
      </c>
      <c r="E22323" t="s">
        <v>6533</v>
      </c>
      <c r="F22323" t="s">
        <v>7</v>
      </c>
      <c r="G22323" t="s">
        <v>47099</v>
      </c>
      <c r="H22323" t="s">
        <v>47054</v>
      </c>
      <c r="I22323" t="s">
        <v>47120</v>
      </c>
      <c r="J22323" t="s">
        <v>47121</v>
      </c>
      <c r="K22323" t="s">
        <v>47113</v>
      </c>
      <c r="L22323">
        <v>23.06</v>
      </c>
      <c r="M22323">
        <v>61</v>
      </c>
      <c r="N22323">
        <v>0</v>
      </c>
      <c r="O22323">
        <v>61</v>
      </c>
      <c r="P22323">
        <v>0</v>
      </c>
    </row>
    <row r="22324" spans="1:16" x14ac:dyDescent="0.25">
      <c r="A22324" t="s">
        <v>45032</v>
      </c>
      <c r="B22324" t="s">
        <v>1275</v>
      </c>
      <c r="C22324" t="s">
        <v>1276</v>
      </c>
      <c r="D22324" t="str">
        <f>"3026"</f>
        <v>3026</v>
      </c>
      <c r="E22324" t="s">
        <v>6586</v>
      </c>
      <c r="F22324" t="s">
        <v>7</v>
      </c>
      <c r="G22324" t="s">
        <v>47099</v>
      </c>
      <c r="H22324" t="s">
        <v>47054</v>
      </c>
      <c r="I22324" t="s">
        <v>47120</v>
      </c>
      <c r="J22324" t="s">
        <v>47121</v>
      </c>
      <c r="K22324" t="s">
        <v>47113</v>
      </c>
      <c r="L22324">
        <v>26.79</v>
      </c>
      <c r="M22324">
        <v>65</v>
      </c>
      <c r="N22324">
        <v>0</v>
      </c>
      <c r="O22324">
        <v>65</v>
      </c>
      <c r="P22324">
        <v>0</v>
      </c>
    </row>
    <row r="22325" spans="1:16" x14ac:dyDescent="0.25">
      <c r="A22325" t="s">
        <v>45033</v>
      </c>
      <c r="B22325" t="s">
        <v>1275</v>
      </c>
      <c r="C22325" t="s">
        <v>1276</v>
      </c>
      <c r="D22325" t="str">
        <f>"3063"</f>
        <v>3063</v>
      </c>
      <c r="E22325" t="s">
        <v>6587</v>
      </c>
      <c r="F22325" t="s">
        <v>7</v>
      </c>
      <c r="G22325" t="s">
        <v>47099</v>
      </c>
      <c r="H22325" t="s">
        <v>47054</v>
      </c>
      <c r="I22325" t="s">
        <v>47120</v>
      </c>
      <c r="J22325" t="s">
        <v>47121</v>
      </c>
      <c r="K22325" t="s">
        <v>47113</v>
      </c>
      <c r="L22325">
        <v>26.79</v>
      </c>
      <c r="M22325">
        <v>65</v>
      </c>
      <c r="N22325">
        <v>0</v>
      </c>
      <c r="O22325">
        <v>65</v>
      </c>
      <c r="P22325">
        <v>0</v>
      </c>
    </row>
    <row r="22326" spans="1:16" x14ac:dyDescent="0.25">
      <c r="A22326" t="s">
        <v>45034</v>
      </c>
      <c r="B22326" t="s">
        <v>1275</v>
      </c>
      <c r="C22326" t="s">
        <v>1276</v>
      </c>
      <c r="D22326" t="str">
        <f>"4158"</f>
        <v>4158</v>
      </c>
      <c r="E22326" t="s">
        <v>6588</v>
      </c>
      <c r="F22326" t="s">
        <v>7</v>
      </c>
      <c r="G22326" t="s">
        <v>47099</v>
      </c>
      <c r="H22326" t="s">
        <v>47054</v>
      </c>
      <c r="I22326" t="s">
        <v>47120</v>
      </c>
      <c r="J22326" t="s">
        <v>47121</v>
      </c>
      <c r="K22326" t="s">
        <v>47113</v>
      </c>
      <c r="L22326">
        <v>27.35</v>
      </c>
      <c r="M22326">
        <v>65</v>
      </c>
      <c r="N22326">
        <v>0</v>
      </c>
      <c r="O22326">
        <v>65</v>
      </c>
      <c r="P22326">
        <v>0</v>
      </c>
    </row>
    <row r="22327" spans="1:16" x14ac:dyDescent="0.25">
      <c r="A22327" t="s">
        <v>45035</v>
      </c>
      <c r="B22327" t="s">
        <v>1275</v>
      </c>
      <c r="C22327" t="s">
        <v>1276</v>
      </c>
      <c r="D22327" t="str">
        <f>"5034"</f>
        <v>5034</v>
      </c>
      <c r="E22327" t="s">
        <v>13347</v>
      </c>
      <c r="F22327" t="s">
        <v>7</v>
      </c>
      <c r="G22327" t="s">
        <v>47099</v>
      </c>
      <c r="H22327" t="s">
        <v>47054</v>
      </c>
      <c r="I22327" t="s">
        <v>47120</v>
      </c>
      <c r="J22327" t="s">
        <v>47121</v>
      </c>
      <c r="K22327" t="s">
        <v>47113</v>
      </c>
      <c r="L22327">
        <v>26.79</v>
      </c>
      <c r="M22327">
        <v>65</v>
      </c>
      <c r="N22327">
        <v>0</v>
      </c>
      <c r="O22327">
        <v>65</v>
      </c>
      <c r="P22327">
        <v>0</v>
      </c>
    </row>
    <row r="22328" spans="1:16" x14ac:dyDescent="0.25">
      <c r="A22328" t="s">
        <v>45036</v>
      </c>
      <c r="B22328" t="s">
        <v>1275</v>
      </c>
      <c r="C22328" t="s">
        <v>1276</v>
      </c>
      <c r="D22328" t="str">
        <f>"6223"</f>
        <v>6223</v>
      </c>
      <c r="E22328" t="s">
        <v>13348</v>
      </c>
      <c r="F22328" t="s">
        <v>7</v>
      </c>
      <c r="G22328" t="s">
        <v>47099</v>
      </c>
      <c r="H22328" t="s">
        <v>47054</v>
      </c>
      <c r="I22328" t="s">
        <v>47120</v>
      </c>
      <c r="J22328" t="s">
        <v>47121</v>
      </c>
      <c r="K22328" t="s">
        <v>47113</v>
      </c>
      <c r="L22328">
        <v>26.79</v>
      </c>
      <c r="M22328">
        <v>65</v>
      </c>
      <c r="N22328">
        <v>0</v>
      </c>
      <c r="O22328">
        <v>65</v>
      </c>
      <c r="P22328">
        <v>0</v>
      </c>
    </row>
    <row r="22329" spans="1:16" x14ac:dyDescent="0.25">
      <c r="A22329" t="s">
        <v>45037</v>
      </c>
      <c r="B22329" t="s">
        <v>1275</v>
      </c>
      <c r="C22329" t="s">
        <v>1276</v>
      </c>
      <c r="D22329" t="str">
        <f>"7226"</f>
        <v>7226</v>
      </c>
      <c r="E22329" t="s">
        <v>6563</v>
      </c>
      <c r="F22329" t="s">
        <v>7</v>
      </c>
      <c r="G22329" t="s">
        <v>47099</v>
      </c>
      <c r="H22329" t="s">
        <v>47054</v>
      </c>
      <c r="I22329" t="s">
        <v>47120</v>
      </c>
      <c r="J22329" t="s">
        <v>47121</v>
      </c>
      <c r="K22329" t="s">
        <v>47113</v>
      </c>
      <c r="L22329">
        <v>23.06</v>
      </c>
      <c r="M22329">
        <v>65</v>
      </c>
      <c r="N22329">
        <v>0</v>
      </c>
      <c r="O22329">
        <v>65</v>
      </c>
      <c r="P22329">
        <v>0</v>
      </c>
    </row>
    <row r="22330" spans="1:16" x14ac:dyDescent="0.25">
      <c r="A22330" t="s">
        <v>45038</v>
      </c>
      <c r="B22330" t="s">
        <v>1275</v>
      </c>
      <c r="C22330" t="s">
        <v>1276</v>
      </c>
      <c r="D22330" t="str">
        <f>"8323"</f>
        <v>8323</v>
      </c>
      <c r="E22330" t="s">
        <v>13349</v>
      </c>
      <c r="F22330" t="s">
        <v>7</v>
      </c>
      <c r="G22330" t="s">
        <v>47099</v>
      </c>
      <c r="H22330" t="s">
        <v>47054</v>
      </c>
      <c r="I22330" t="s">
        <v>47120</v>
      </c>
      <c r="J22330" t="s">
        <v>47121</v>
      </c>
      <c r="K22330" t="s">
        <v>47113</v>
      </c>
      <c r="L22330">
        <v>27.35</v>
      </c>
      <c r="M22330">
        <v>65</v>
      </c>
      <c r="N22330">
        <v>0</v>
      </c>
      <c r="O22330">
        <v>65</v>
      </c>
      <c r="P22330">
        <v>0</v>
      </c>
    </row>
    <row r="22331" spans="1:16" x14ac:dyDescent="0.25">
      <c r="A22331" t="s">
        <v>45039</v>
      </c>
      <c r="B22331" t="s">
        <v>13350</v>
      </c>
      <c r="C22331" t="s">
        <v>13351</v>
      </c>
      <c r="D22331" t="str">
        <f>"6619"</f>
        <v>6619</v>
      </c>
      <c r="E22331" t="s">
        <v>13352</v>
      </c>
      <c r="F22331" t="s">
        <v>6</v>
      </c>
      <c r="G22331" t="s">
        <v>47098</v>
      </c>
      <c r="H22331" t="s">
        <v>47054</v>
      </c>
      <c r="I22331" t="s">
        <v>47120</v>
      </c>
      <c r="J22331" t="s">
        <v>47121</v>
      </c>
      <c r="K22331" t="s">
        <v>47113</v>
      </c>
      <c r="L22331">
        <v>43.86</v>
      </c>
      <c r="M22331">
        <v>104</v>
      </c>
      <c r="N22331">
        <v>0</v>
      </c>
      <c r="O22331">
        <v>104</v>
      </c>
      <c r="P22331">
        <v>0</v>
      </c>
    </row>
    <row r="22332" spans="1:16" x14ac:dyDescent="0.25">
      <c r="A22332" t="s">
        <v>45040</v>
      </c>
      <c r="B22332" t="s">
        <v>1279</v>
      </c>
      <c r="C22332" t="s">
        <v>1280</v>
      </c>
      <c r="D22332" t="str">
        <f>"1910"</f>
        <v>1910</v>
      </c>
      <c r="E22332" t="s">
        <v>13343</v>
      </c>
      <c r="F22332" t="s">
        <v>2</v>
      </c>
      <c r="G22332" t="s">
        <v>47099</v>
      </c>
      <c r="H22332" t="s">
        <v>47054</v>
      </c>
      <c r="I22332" t="s">
        <v>47120</v>
      </c>
      <c r="J22332" t="s">
        <v>47121</v>
      </c>
      <c r="K22332" t="s">
        <v>47113</v>
      </c>
      <c r="L22332">
        <v>24.93</v>
      </c>
      <c r="M22332">
        <v>85</v>
      </c>
      <c r="N22332">
        <v>0</v>
      </c>
      <c r="O22332">
        <v>85</v>
      </c>
      <c r="P22332">
        <v>0</v>
      </c>
    </row>
    <row r="22333" spans="1:16" x14ac:dyDescent="0.25">
      <c r="A22333" t="s">
        <v>45041</v>
      </c>
      <c r="B22333" t="s">
        <v>1279</v>
      </c>
      <c r="C22333" t="s">
        <v>1280</v>
      </c>
      <c r="D22333" t="str">
        <f>"1911"</f>
        <v>1911</v>
      </c>
      <c r="E22333" t="s">
        <v>1260</v>
      </c>
      <c r="F22333" t="s">
        <v>2</v>
      </c>
      <c r="G22333" t="s">
        <v>47099</v>
      </c>
      <c r="H22333" t="s">
        <v>47054</v>
      </c>
      <c r="I22333" t="s">
        <v>47120</v>
      </c>
      <c r="J22333" t="s">
        <v>47121</v>
      </c>
      <c r="K22333" t="s">
        <v>47113</v>
      </c>
      <c r="L22333">
        <v>24.93</v>
      </c>
      <c r="M22333">
        <v>85</v>
      </c>
      <c r="N22333">
        <v>0</v>
      </c>
      <c r="O22333">
        <v>85</v>
      </c>
      <c r="P22333">
        <v>0</v>
      </c>
    </row>
    <row r="22334" spans="1:16" x14ac:dyDescent="0.25">
      <c r="A22334" t="s">
        <v>1278</v>
      </c>
      <c r="B22334" t="s">
        <v>1279</v>
      </c>
      <c r="C22334" t="s">
        <v>1280</v>
      </c>
      <c r="D22334" t="str">
        <f>"4321"</f>
        <v>4321</v>
      </c>
      <c r="E22334" t="s">
        <v>1281</v>
      </c>
      <c r="F22334" t="s">
        <v>2</v>
      </c>
      <c r="G22334" t="s">
        <v>47099</v>
      </c>
      <c r="H22334" t="s">
        <v>47054</v>
      </c>
      <c r="I22334" t="s">
        <v>47120</v>
      </c>
      <c r="J22334" t="s">
        <v>47121</v>
      </c>
      <c r="K22334" t="s">
        <v>47113</v>
      </c>
      <c r="L22334">
        <v>32.909999999999997</v>
      </c>
      <c r="M22334">
        <v>85</v>
      </c>
      <c r="N22334">
        <v>0</v>
      </c>
      <c r="O22334">
        <v>85</v>
      </c>
      <c r="P22334">
        <v>0</v>
      </c>
    </row>
    <row r="22335" spans="1:16" x14ac:dyDescent="0.25">
      <c r="A22335" t="s">
        <v>45042</v>
      </c>
      <c r="B22335" t="s">
        <v>1279</v>
      </c>
      <c r="C22335" t="s">
        <v>1280</v>
      </c>
      <c r="D22335" t="str">
        <f>"5327"</f>
        <v>5327</v>
      </c>
      <c r="E22335" t="s">
        <v>1262</v>
      </c>
      <c r="F22335" t="s">
        <v>2</v>
      </c>
      <c r="G22335" t="s">
        <v>47099</v>
      </c>
      <c r="H22335" t="s">
        <v>47054</v>
      </c>
      <c r="I22335" t="s">
        <v>47120</v>
      </c>
      <c r="J22335" t="s">
        <v>47121</v>
      </c>
      <c r="K22335" t="s">
        <v>47113</v>
      </c>
      <c r="L22335">
        <v>24.93</v>
      </c>
      <c r="M22335">
        <v>85</v>
      </c>
      <c r="N22335">
        <v>0</v>
      </c>
      <c r="O22335">
        <v>85</v>
      </c>
      <c r="P22335">
        <v>0</v>
      </c>
    </row>
    <row r="22336" spans="1:16" x14ac:dyDescent="0.25">
      <c r="A22336" t="s">
        <v>45043</v>
      </c>
      <c r="B22336" t="s">
        <v>1279</v>
      </c>
      <c r="C22336" t="s">
        <v>1280</v>
      </c>
      <c r="D22336" t="str">
        <f>"6836"</f>
        <v>6836</v>
      </c>
      <c r="E22336" t="s">
        <v>1081</v>
      </c>
      <c r="F22336" t="s">
        <v>2</v>
      </c>
      <c r="G22336" t="s">
        <v>47099</v>
      </c>
      <c r="H22336" t="s">
        <v>47054</v>
      </c>
      <c r="I22336" t="s">
        <v>47120</v>
      </c>
      <c r="J22336" t="s">
        <v>47121</v>
      </c>
      <c r="K22336" t="s">
        <v>47113</v>
      </c>
      <c r="L22336">
        <v>24.93</v>
      </c>
      <c r="M22336">
        <v>85</v>
      </c>
      <c r="N22336">
        <v>0</v>
      </c>
      <c r="O22336">
        <v>85</v>
      </c>
      <c r="P22336">
        <v>0</v>
      </c>
    </row>
    <row r="22337" spans="1:16" x14ac:dyDescent="0.25">
      <c r="A22337" t="s">
        <v>45044</v>
      </c>
      <c r="B22337" t="s">
        <v>1279</v>
      </c>
      <c r="C22337" t="s">
        <v>1280</v>
      </c>
      <c r="D22337" t="str">
        <f>"7429"</f>
        <v>7429</v>
      </c>
      <c r="E22337" t="s">
        <v>13345</v>
      </c>
      <c r="F22337" t="s">
        <v>2</v>
      </c>
      <c r="G22337" t="s">
        <v>47099</v>
      </c>
      <c r="H22337" t="s">
        <v>47054</v>
      </c>
      <c r="I22337" t="s">
        <v>47120</v>
      </c>
      <c r="J22337" t="s">
        <v>47121</v>
      </c>
      <c r="K22337" t="s">
        <v>47113</v>
      </c>
      <c r="L22337">
        <v>24.93</v>
      </c>
      <c r="M22337">
        <v>85</v>
      </c>
      <c r="N22337">
        <v>0</v>
      </c>
      <c r="O22337">
        <v>85</v>
      </c>
      <c r="P22337">
        <v>0</v>
      </c>
    </row>
    <row r="22338" spans="1:16" x14ac:dyDescent="0.25">
      <c r="A22338" t="s">
        <v>45045</v>
      </c>
      <c r="B22338" t="s">
        <v>13353</v>
      </c>
      <c r="C22338" t="s">
        <v>13354</v>
      </c>
      <c r="D22338" t="str">
        <f>"1910"</f>
        <v>1910</v>
      </c>
      <c r="E22338" t="s">
        <v>13343</v>
      </c>
      <c r="F22338" t="s">
        <v>2</v>
      </c>
      <c r="G22338" t="s">
        <v>49029</v>
      </c>
      <c r="H22338" t="s">
        <v>47054</v>
      </c>
      <c r="I22338" t="s">
        <v>47120</v>
      </c>
      <c r="J22338" t="s">
        <v>47121</v>
      </c>
      <c r="K22338" t="s">
        <v>47113</v>
      </c>
      <c r="L22338">
        <v>20.32</v>
      </c>
      <c r="M22338">
        <v>85</v>
      </c>
      <c r="N22338">
        <v>0</v>
      </c>
      <c r="O22338">
        <v>85</v>
      </c>
      <c r="P22338">
        <v>0</v>
      </c>
    </row>
    <row r="22339" spans="1:16" x14ac:dyDescent="0.25">
      <c r="A22339" t="s">
        <v>45046</v>
      </c>
      <c r="B22339" t="s">
        <v>13353</v>
      </c>
      <c r="C22339" t="s">
        <v>13354</v>
      </c>
      <c r="D22339" t="str">
        <f>"1911"</f>
        <v>1911</v>
      </c>
      <c r="E22339" t="s">
        <v>1260</v>
      </c>
      <c r="F22339" t="s">
        <v>2</v>
      </c>
      <c r="G22339" t="s">
        <v>49029</v>
      </c>
      <c r="H22339" t="s">
        <v>47054</v>
      </c>
      <c r="I22339" t="s">
        <v>47120</v>
      </c>
      <c r="J22339" t="s">
        <v>47121</v>
      </c>
      <c r="K22339" t="s">
        <v>47113</v>
      </c>
      <c r="L22339">
        <v>20.32</v>
      </c>
      <c r="M22339">
        <v>85</v>
      </c>
      <c r="N22339">
        <v>0</v>
      </c>
      <c r="O22339">
        <v>85</v>
      </c>
      <c r="P22339">
        <v>0</v>
      </c>
    </row>
    <row r="22340" spans="1:16" x14ac:dyDescent="0.25">
      <c r="A22340" t="s">
        <v>45047</v>
      </c>
      <c r="B22340" t="s">
        <v>13353</v>
      </c>
      <c r="C22340" t="s">
        <v>13354</v>
      </c>
      <c r="D22340" t="str">
        <f>"4321"</f>
        <v>4321</v>
      </c>
      <c r="E22340" t="s">
        <v>1281</v>
      </c>
      <c r="F22340" t="s">
        <v>2</v>
      </c>
      <c r="G22340" t="s">
        <v>49029</v>
      </c>
      <c r="H22340" t="s">
        <v>47054</v>
      </c>
      <c r="I22340" t="s">
        <v>47120</v>
      </c>
      <c r="J22340" t="s">
        <v>47121</v>
      </c>
      <c r="K22340" t="s">
        <v>47113</v>
      </c>
      <c r="L22340">
        <v>20.32</v>
      </c>
      <c r="M22340">
        <v>85</v>
      </c>
      <c r="N22340">
        <v>0</v>
      </c>
      <c r="O22340">
        <v>85</v>
      </c>
      <c r="P22340">
        <v>0</v>
      </c>
    </row>
    <row r="22341" spans="1:16" x14ac:dyDescent="0.25">
      <c r="A22341" t="s">
        <v>45048</v>
      </c>
      <c r="B22341" t="s">
        <v>13353</v>
      </c>
      <c r="C22341" t="s">
        <v>13354</v>
      </c>
      <c r="D22341" t="str">
        <f>"5327"</f>
        <v>5327</v>
      </c>
      <c r="E22341" t="s">
        <v>1262</v>
      </c>
      <c r="F22341" t="s">
        <v>2</v>
      </c>
      <c r="G22341" t="s">
        <v>49029</v>
      </c>
      <c r="H22341" t="s">
        <v>47054</v>
      </c>
      <c r="I22341" t="s">
        <v>47120</v>
      </c>
      <c r="J22341" t="s">
        <v>47121</v>
      </c>
      <c r="K22341" t="s">
        <v>47113</v>
      </c>
      <c r="L22341">
        <v>20.32</v>
      </c>
      <c r="M22341">
        <v>85</v>
      </c>
      <c r="N22341">
        <v>0</v>
      </c>
      <c r="O22341">
        <v>85</v>
      </c>
      <c r="P22341">
        <v>0</v>
      </c>
    </row>
    <row r="22342" spans="1:16" x14ac:dyDescent="0.25">
      <c r="A22342" t="s">
        <v>45049</v>
      </c>
      <c r="B22342" t="s">
        <v>13353</v>
      </c>
      <c r="C22342" t="s">
        <v>13354</v>
      </c>
      <c r="D22342" t="str">
        <f>"6836"</f>
        <v>6836</v>
      </c>
      <c r="E22342" t="s">
        <v>1081</v>
      </c>
      <c r="F22342" t="s">
        <v>2</v>
      </c>
      <c r="G22342" t="s">
        <v>49029</v>
      </c>
      <c r="H22342" t="s">
        <v>47054</v>
      </c>
      <c r="I22342" t="s">
        <v>47120</v>
      </c>
      <c r="J22342" t="s">
        <v>47121</v>
      </c>
      <c r="K22342" t="s">
        <v>47113</v>
      </c>
      <c r="L22342">
        <v>20.32</v>
      </c>
      <c r="M22342">
        <v>85</v>
      </c>
      <c r="N22342">
        <v>0</v>
      </c>
      <c r="O22342">
        <v>85</v>
      </c>
      <c r="P22342">
        <v>0</v>
      </c>
    </row>
    <row r="22343" spans="1:16" x14ac:dyDescent="0.25">
      <c r="A22343" t="s">
        <v>45050</v>
      </c>
      <c r="B22343" t="s">
        <v>13353</v>
      </c>
      <c r="C22343" t="s">
        <v>13354</v>
      </c>
      <c r="D22343" t="str">
        <f>"7429"</f>
        <v>7429</v>
      </c>
      <c r="E22343" t="s">
        <v>13345</v>
      </c>
      <c r="F22343" t="s">
        <v>2</v>
      </c>
      <c r="G22343" t="s">
        <v>49029</v>
      </c>
      <c r="H22343" t="s">
        <v>47054</v>
      </c>
      <c r="I22343" t="s">
        <v>47120</v>
      </c>
      <c r="J22343" t="s">
        <v>47121</v>
      </c>
      <c r="K22343" t="s">
        <v>47113</v>
      </c>
      <c r="L22343">
        <v>20.32</v>
      </c>
      <c r="M22343">
        <v>85</v>
      </c>
      <c r="N22343">
        <v>0</v>
      </c>
      <c r="O22343">
        <v>85</v>
      </c>
      <c r="P22343">
        <v>0</v>
      </c>
    </row>
    <row r="22344" spans="1:16" x14ac:dyDescent="0.25">
      <c r="A22344" t="s">
        <v>15133</v>
      </c>
      <c r="B22344" t="s">
        <v>1282</v>
      </c>
      <c r="C22344" t="s">
        <v>1283</v>
      </c>
      <c r="D22344" t="str">
        <f>"1024"</f>
        <v>1024</v>
      </c>
      <c r="E22344" t="s">
        <v>717</v>
      </c>
      <c r="F22344" t="s">
        <v>7</v>
      </c>
      <c r="G22344" t="s">
        <v>47099</v>
      </c>
      <c r="H22344" t="s">
        <v>47054</v>
      </c>
      <c r="I22344" t="s">
        <v>47120</v>
      </c>
      <c r="J22344" t="s">
        <v>47121</v>
      </c>
      <c r="K22344" t="s">
        <v>47113</v>
      </c>
      <c r="L22344">
        <v>22.1</v>
      </c>
      <c r="M22344">
        <v>67</v>
      </c>
      <c r="N22344">
        <v>0</v>
      </c>
      <c r="O22344">
        <v>67</v>
      </c>
      <c r="P22344">
        <v>0</v>
      </c>
    </row>
    <row r="22345" spans="1:16" x14ac:dyDescent="0.25">
      <c r="A22345" t="s">
        <v>45051</v>
      </c>
      <c r="B22345" t="s">
        <v>1282</v>
      </c>
      <c r="C22345" t="s">
        <v>1283</v>
      </c>
      <c r="D22345" t="str">
        <f>"1108"</f>
        <v>1108</v>
      </c>
      <c r="E22345" t="s">
        <v>6582</v>
      </c>
      <c r="F22345" t="s">
        <v>7</v>
      </c>
      <c r="G22345" t="s">
        <v>47099</v>
      </c>
      <c r="H22345" t="s">
        <v>47054</v>
      </c>
      <c r="I22345" t="s">
        <v>47120</v>
      </c>
      <c r="J22345" t="s">
        <v>47121</v>
      </c>
      <c r="K22345" t="s">
        <v>47113</v>
      </c>
      <c r="L22345">
        <v>25.66</v>
      </c>
      <c r="M22345">
        <v>67</v>
      </c>
      <c r="N22345">
        <v>0</v>
      </c>
      <c r="O22345">
        <v>67</v>
      </c>
      <c r="P22345">
        <v>0</v>
      </c>
    </row>
    <row r="22346" spans="1:16" x14ac:dyDescent="0.25">
      <c r="A22346" t="s">
        <v>45052</v>
      </c>
      <c r="B22346" t="s">
        <v>1282</v>
      </c>
      <c r="C22346" t="s">
        <v>1283</v>
      </c>
      <c r="D22346" t="str">
        <f>"1511"</f>
        <v>1511</v>
      </c>
      <c r="E22346" t="s">
        <v>6583</v>
      </c>
      <c r="F22346" t="s">
        <v>7</v>
      </c>
      <c r="G22346" t="s">
        <v>47099</v>
      </c>
      <c r="H22346" t="s">
        <v>47054</v>
      </c>
      <c r="I22346" t="s">
        <v>47120</v>
      </c>
      <c r="J22346" t="s">
        <v>47121</v>
      </c>
      <c r="K22346" t="s">
        <v>47113</v>
      </c>
      <c r="L22346">
        <v>22.1</v>
      </c>
      <c r="M22346">
        <v>67</v>
      </c>
      <c r="N22346">
        <v>0</v>
      </c>
      <c r="O22346">
        <v>67</v>
      </c>
      <c r="P22346">
        <v>0</v>
      </c>
    </row>
    <row r="22347" spans="1:16" x14ac:dyDescent="0.25">
      <c r="A22347" t="s">
        <v>45053</v>
      </c>
      <c r="B22347" t="s">
        <v>1282</v>
      </c>
      <c r="C22347" t="s">
        <v>1283</v>
      </c>
      <c r="D22347" t="str">
        <f>"3024"</f>
        <v>3024</v>
      </c>
      <c r="E22347" t="s">
        <v>6585</v>
      </c>
      <c r="F22347" t="s">
        <v>7</v>
      </c>
      <c r="G22347" t="s">
        <v>47099</v>
      </c>
      <c r="H22347" t="s">
        <v>47054</v>
      </c>
      <c r="I22347" t="s">
        <v>47120</v>
      </c>
      <c r="J22347" t="s">
        <v>47121</v>
      </c>
      <c r="K22347" t="s">
        <v>47113</v>
      </c>
      <c r="L22347">
        <v>25.66</v>
      </c>
      <c r="M22347">
        <v>65</v>
      </c>
      <c r="N22347">
        <v>0</v>
      </c>
      <c r="O22347">
        <v>65</v>
      </c>
      <c r="P22347">
        <v>0</v>
      </c>
    </row>
    <row r="22348" spans="1:16" x14ac:dyDescent="0.25">
      <c r="A22348" t="s">
        <v>45054</v>
      </c>
      <c r="B22348" t="s">
        <v>1282</v>
      </c>
      <c r="C22348" t="s">
        <v>1283</v>
      </c>
      <c r="D22348" t="str">
        <f>"4128"</f>
        <v>4128</v>
      </c>
      <c r="E22348" t="s">
        <v>1284</v>
      </c>
      <c r="F22348" t="s">
        <v>7</v>
      </c>
      <c r="G22348" t="s">
        <v>47099</v>
      </c>
      <c r="H22348" t="s">
        <v>47054</v>
      </c>
      <c r="I22348" t="s">
        <v>47120</v>
      </c>
      <c r="J22348" t="s">
        <v>47121</v>
      </c>
      <c r="K22348" t="s">
        <v>47113</v>
      </c>
      <c r="L22348">
        <v>22.1</v>
      </c>
      <c r="M22348">
        <v>67</v>
      </c>
      <c r="N22348">
        <v>0</v>
      </c>
      <c r="O22348">
        <v>67</v>
      </c>
      <c r="P22348">
        <v>0</v>
      </c>
    </row>
    <row r="22349" spans="1:16" x14ac:dyDescent="0.25">
      <c r="A22349" t="s">
        <v>45055</v>
      </c>
      <c r="B22349" t="s">
        <v>1282</v>
      </c>
      <c r="C22349" t="s">
        <v>1283</v>
      </c>
      <c r="D22349" t="str">
        <f>"5032"</f>
        <v>5032</v>
      </c>
      <c r="E22349" t="s">
        <v>13355</v>
      </c>
      <c r="F22349" t="s">
        <v>6</v>
      </c>
      <c r="G22349" t="s">
        <v>47099</v>
      </c>
      <c r="H22349" t="s">
        <v>47054</v>
      </c>
      <c r="I22349" t="s">
        <v>47120</v>
      </c>
      <c r="J22349" t="s">
        <v>47121</v>
      </c>
      <c r="K22349" t="s">
        <v>47113</v>
      </c>
      <c r="L22349">
        <v>20.95</v>
      </c>
      <c r="M22349">
        <v>64</v>
      </c>
      <c r="N22349">
        <v>0</v>
      </c>
      <c r="O22349">
        <v>64</v>
      </c>
      <c r="P22349">
        <v>0</v>
      </c>
    </row>
    <row r="22350" spans="1:16" x14ac:dyDescent="0.25">
      <c r="A22350" t="s">
        <v>45056</v>
      </c>
      <c r="B22350" t="s">
        <v>1282</v>
      </c>
      <c r="C22350" t="s">
        <v>1283</v>
      </c>
      <c r="D22350" t="str">
        <f>"6037"</f>
        <v>6037</v>
      </c>
      <c r="E22350" t="s">
        <v>13356</v>
      </c>
      <c r="F22350" t="s">
        <v>6</v>
      </c>
      <c r="G22350" t="s">
        <v>47099</v>
      </c>
      <c r="H22350" t="s">
        <v>47054</v>
      </c>
      <c r="I22350" t="s">
        <v>47120</v>
      </c>
      <c r="J22350" t="s">
        <v>47121</v>
      </c>
      <c r="K22350" t="s">
        <v>47113</v>
      </c>
      <c r="L22350">
        <v>20.95</v>
      </c>
      <c r="M22350">
        <v>64</v>
      </c>
      <c r="N22350">
        <v>0</v>
      </c>
      <c r="O22350">
        <v>64</v>
      </c>
      <c r="P22350">
        <v>0</v>
      </c>
    </row>
    <row r="22351" spans="1:16" x14ac:dyDescent="0.25">
      <c r="A22351" t="s">
        <v>1285</v>
      </c>
      <c r="B22351" t="s">
        <v>1282</v>
      </c>
      <c r="C22351" t="s">
        <v>1283</v>
      </c>
      <c r="D22351" t="str">
        <f>"6627"</f>
        <v>6627</v>
      </c>
      <c r="E22351" t="s">
        <v>1286</v>
      </c>
      <c r="F22351" t="s">
        <v>6</v>
      </c>
      <c r="G22351" t="s">
        <v>47099</v>
      </c>
      <c r="H22351" t="s">
        <v>47054</v>
      </c>
      <c r="I22351" t="s">
        <v>47120</v>
      </c>
      <c r="J22351" t="s">
        <v>47121</v>
      </c>
      <c r="K22351" t="s">
        <v>47113</v>
      </c>
      <c r="L22351">
        <v>21.22</v>
      </c>
      <c r="M22351">
        <v>64</v>
      </c>
      <c r="N22351">
        <v>0</v>
      </c>
      <c r="O22351">
        <v>64</v>
      </c>
      <c r="P22351">
        <v>0</v>
      </c>
    </row>
    <row r="22352" spans="1:16" x14ac:dyDescent="0.25">
      <c r="A22352" t="s">
        <v>45057</v>
      </c>
      <c r="B22352" t="s">
        <v>13357</v>
      </c>
      <c r="C22352" t="s">
        <v>13358</v>
      </c>
      <c r="D22352" t="str">
        <f>"1024"</f>
        <v>1024</v>
      </c>
      <c r="E22352" t="s">
        <v>717</v>
      </c>
      <c r="F22352" t="s">
        <v>7</v>
      </c>
      <c r="G22352" t="s">
        <v>47099</v>
      </c>
      <c r="H22352" t="s">
        <v>47054</v>
      </c>
      <c r="I22352" t="s">
        <v>47114</v>
      </c>
      <c r="J22352" t="s">
        <v>47115</v>
      </c>
      <c r="K22352" t="s">
        <v>47113</v>
      </c>
      <c r="L22352">
        <v>27.35</v>
      </c>
      <c r="M22352">
        <v>65</v>
      </c>
      <c r="N22352">
        <v>0</v>
      </c>
      <c r="O22352">
        <v>65</v>
      </c>
      <c r="P22352">
        <v>0</v>
      </c>
    </row>
    <row r="22353" spans="1:16" x14ac:dyDescent="0.25">
      <c r="A22353" t="s">
        <v>45058</v>
      </c>
      <c r="B22353" t="s">
        <v>13357</v>
      </c>
      <c r="C22353" t="s">
        <v>13358</v>
      </c>
      <c r="D22353" t="str">
        <f>"2118"</f>
        <v>2118</v>
      </c>
      <c r="E22353" t="s">
        <v>6584</v>
      </c>
      <c r="F22353" t="s">
        <v>7</v>
      </c>
      <c r="G22353" t="s">
        <v>47099</v>
      </c>
      <c r="H22353" t="s">
        <v>47054</v>
      </c>
      <c r="I22353" t="s">
        <v>47114</v>
      </c>
      <c r="J22353" t="s">
        <v>47115</v>
      </c>
      <c r="K22353" t="s">
        <v>47113</v>
      </c>
      <c r="L22353">
        <v>27.35</v>
      </c>
      <c r="M22353">
        <v>69</v>
      </c>
      <c r="N22353">
        <v>0</v>
      </c>
      <c r="O22353">
        <v>69</v>
      </c>
      <c r="P22353">
        <v>0</v>
      </c>
    </row>
    <row r="22354" spans="1:16" x14ac:dyDescent="0.25">
      <c r="A22354" t="s">
        <v>45059</v>
      </c>
      <c r="B22354" t="s">
        <v>13357</v>
      </c>
      <c r="C22354" t="s">
        <v>13358</v>
      </c>
      <c r="D22354" t="str">
        <f>"3024"</f>
        <v>3024</v>
      </c>
      <c r="E22354" t="s">
        <v>6585</v>
      </c>
      <c r="F22354" t="s">
        <v>7</v>
      </c>
      <c r="G22354" t="s">
        <v>47099</v>
      </c>
      <c r="H22354" t="s">
        <v>47054</v>
      </c>
      <c r="I22354" t="s">
        <v>47114</v>
      </c>
      <c r="J22354" t="s">
        <v>47115</v>
      </c>
      <c r="K22354" t="s">
        <v>47113</v>
      </c>
      <c r="L22354">
        <v>27.35</v>
      </c>
      <c r="M22354">
        <v>65</v>
      </c>
      <c r="N22354">
        <v>0</v>
      </c>
      <c r="O22354">
        <v>65</v>
      </c>
      <c r="P22354">
        <v>0</v>
      </c>
    </row>
    <row r="22355" spans="1:16" x14ac:dyDescent="0.25">
      <c r="A22355" t="s">
        <v>45060</v>
      </c>
      <c r="B22355" t="s">
        <v>13357</v>
      </c>
      <c r="C22355" t="s">
        <v>13358</v>
      </c>
      <c r="D22355" t="str">
        <f>"4128"</f>
        <v>4128</v>
      </c>
      <c r="E22355" t="s">
        <v>1284</v>
      </c>
      <c r="F22355" t="s">
        <v>7</v>
      </c>
      <c r="G22355" t="s">
        <v>47099</v>
      </c>
      <c r="H22355" t="s">
        <v>47054</v>
      </c>
      <c r="I22355" t="s">
        <v>47114</v>
      </c>
      <c r="J22355" t="s">
        <v>47115</v>
      </c>
      <c r="K22355" t="s">
        <v>47113</v>
      </c>
      <c r="L22355">
        <v>27.35</v>
      </c>
      <c r="M22355">
        <v>65</v>
      </c>
      <c r="N22355">
        <v>0</v>
      </c>
      <c r="O22355">
        <v>65</v>
      </c>
      <c r="P22355">
        <v>0</v>
      </c>
    </row>
    <row r="22356" spans="1:16" x14ac:dyDescent="0.25">
      <c r="A22356" t="s">
        <v>45061</v>
      </c>
      <c r="B22356" t="s">
        <v>13359</v>
      </c>
      <c r="C22356" t="s">
        <v>13360</v>
      </c>
      <c r="D22356" t="str">
        <f>"5032"</f>
        <v>5032</v>
      </c>
      <c r="E22356" t="s">
        <v>13355</v>
      </c>
      <c r="F22356" t="s">
        <v>6</v>
      </c>
      <c r="G22356" t="s">
        <v>47099</v>
      </c>
      <c r="H22356" t="s">
        <v>47054</v>
      </c>
      <c r="I22356" t="s">
        <v>47114</v>
      </c>
      <c r="J22356" t="s">
        <v>47115</v>
      </c>
      <c r="K22356" t="s">
        <v>47113</v>
      </c>
      <c r="L22356">
        <v>25.66</v>
      </c>
      <c r="M22356">
        <v>63</v>
      </c>
      <c r="N22356">
        <v>0</v>
      </c>
      <c r="O22356">
        <v>63</v>
      </c>
      <c r="P22356">
        <v>0</v>
      </c>
    </row>
    <row r="22357" spans="1:16" x14ac:dyDescent="0.25">
      <c r="A22357" t="s">
        <v>45062</v>
      </c>
      <c r="B22357" t="s">
        <v>13359</v>
      </c>
      <c r="C22357" t="s">
        <v>13360</v>
      </c>
      <c r="D22357" t="str">
        <f>"6627"</f>
        <v>6627</v>
      </c>
      <c r="E22357" t="s">
        <v>1286</v>
      </c>
      <c r="F22357" t="s">
        <v>6</v>
      </c>
      <c r="G22357" t="s">
        <v>47099</v>
      </c>
      <c r="H22357" t="s">
        <v>47054</v>
      </c>
      <c r="I22357" t="s">
        <v>47114</v>
      </c>
      <c r="J22357" t="s">
        <v>47115</v>
      </c>
      <c r="K22357" t="s">
        <v>47113</v>
      </c>
      <c r="L22357">
        <v>25.66</v>
      </c>
      <c r="M22357">
        <v>63</v>
      </c>
      <c r="N22357">
        <v>0</v>
      </c>
      <c r="O22357">
        <v>63</v>
      </c>
      <c r="P22357">
        <v>0</v>
      </c>
    </row>
    <row r="22358" spans="1:16" x14ac:dyDescent="0.25">
      <c r="A22358" t="s">
        <v>45063</v>
      </c>
      <c r="B22358" t="s">
        <v>13361</v>
      </c>
      <c r="C22358" t="s">
        <v>13362</v>
      </c>
      <c r="D22358" t="str">
        <f>"5032"</f>
        <v>5032</v>
      </c>
      <c r="E22358" t="s">
        <v>13355</v>
      </c>
      <c r="F22358" t="s">
        <v>6</v>
      </c>
      <c r="G22358" t="s">
        <v>47098</v>
      </c>
      <c r="H22358" t="s">
        <v>47054</v>
      </c>
      <c r="I22358" t="s">
        <v>47114</v>
      </c>
      <c r="J22358" t="s">
        <v>47115</v>
      </c>
      <c r="K22358" t="s">
        <v>47113</v>
      </c>
      <c r="L22358">
        <v>42.44</v>
      </c>
      <c r="M22358">
        <v>101</v>
      </c>
      <c r="N22358">
        <v>0</v>
      </c>
      <c r="O22358">
        <v>101</v>
      </c>
      <c r="P22358">
        <v>0</v>
      </c>
    </row>
    <row r="22359" spans="1:16" x14ac:dyDescent="0.25">
      <c r="A22359" t="s">
        <v>45064</v>
      </c>
      <c r="B22359" t="s">
        <v>13363</v>
      </c>
      <c r="C22359" t="s">
        <v>1191</v>
      </c>
      <c r="D22359" t="str">
        <f>"1505"</f>
        <v>1505</v>
      </c>
      <c r="E22359" t="s">
        <v>1667</v>
      </c>
      <c r="F22359" t="s">
        <v>3</v>
      </c>
      <c r="G22359" t="s">
        <v>47091</v>
      </c>
      <c r="H22359" t="s">
        <v>47054</v>
      </c>
      <c r="I22359" t="s">
        <v>47139</v>
      </c>
      <c r="J22359" t="s">
        <v>47140</v>
      </c>
      <c r="K22359" t="s">
        <v>47113</v>
      </c>
      <c r="L22359">
        <v>9.7200000000000006</v>
      </c>
      <c r="M22359">
        <v>27</v>
      </c>
      <c r="N22359">
        <v>0</v>
      </c>
      <c r="O22359">
        <v>27</v>
      </c>
      <c r="P22359">
        <v>0</v>
      </c>
    </row>
    <row r="22360" spans="1:16" x14ac:dyDescent="0.25">
      <c r="A22360" t="s">
        <v>45065</v>
      </c>
      <c r="B22360" t="s">
        <v>13364</v>
      </c>
      <c r="C22360" t="s">
        <v>13298</v>
      </c>
      <c r="D22360" t="str">
        <f>"1545"</f>
        <v>1545</v>
      </c>
      <c r="E22360" t="s">
        <v>13365</v>
      </c>
      <c r="F22360" t="s">
        <v>5</v>
      </c>
      <c r="G22360" t="s">
        <v>47091</v>
      </c>
      <c r="H22360" t="s">
        <v>47054</v>
      </c>
      <c r="I22360" t="s">
        <v>47111</v>
      </c>
      <c r="J22360" t="s">
        <v>47112</v>
      </c>
      <c r="K22360" t="s">
        <v>47113</v>
      </c>
      <c r="L22360">
        <v>12.87</v>
      </c>
      <c r="M22360">
        <v>27</v>
      </c>
      <c r="N22360">
        <v>0</v>
      </c>
      <c r="O22360">
        <v>27</v>
      </c>
      <c r="P22360">
        <v>0</v>
      </c>
    </row>
    <row r="22361" spans="1:16" x14ac:dyDescent="0.25">
      <c r="A22361" t="s">
        <v>45066</v>
      </c>
      <c r="B22361" t="s">
        <v>13366</v>
      </c>
      <c r="C22361" t="s">
        <v>13367</v>
      </c>
      <c r="D22361" t="str">
        <f>"1505"</f>
        <v>1505</v>
      </c>
      <c r="E22361" t="s">
        <v>1667</v>
      </c>
      <c r="F22361" t="s">
        <v>2</v>
      </c>
      <c r="G22361" t="s">
        <v>47091</v>
      </c>
      <c r="H22361" t="s">
        <v>47054</v>
      </c>
      <c r="I22361" t="s">
        <v>47111</v>
      </c>
      <c r="J22361" t="s">
        <v>47112</v>
      </c>
      <c r="K22361" t="s">
        <v>47113</v>
      </c>
      <c r="L22361">
        <v>9.09</v>
      </c>
      <c r="M22361">
        <v>26</v>
      </c>
      <c r="N22361">
        <v>0</v>
      </c>
      <c r="O22361">
        <v>26</v>
      </c>
      <c r="P22361">
        <v>0</v>
      </c>
    </row>
    <row r="22362" spans="1:16" x14ac:dyDescent="0.25">
      <c r="A22362" t="s">
        <v>45067</v>
      </c>
      <c r="B22362" t="s">
        <v>13366</v>
      </c>
      <c r="C22362" t="s">
        <v>13367</v>
      </c>
      <c r="D22362" t="str">
        <f>"1746"</f>
        <v>1746</v>
      </c>
      <c r="E22362" t="s">
        <v>807</v>
      </c>
      <c r="F22362" t="s">
        <v>2</v>
      </c>
      <c r="G22362" t="s">
        <v>47091</v>
      </c>
      <c r="H22362" t="s">
        <v>47054</v>
      </c>
      <c r="I22362" t="s">
        <v>47111</v>
      </c>
      <c r="J22362" t="s">
        <v>47112</v>
      </c>
      <c r="K22362" t="s">
        <v>47113</v>
      </c>
      <c r="L22362">
        <v>9.5500000000000007</v>
      </c>
      <c r="M22362">
        <v>25</v>
      </c>
      <c r="N22362">
        <v>0</v>
      </c>
      <c r="O22362">
        <v>25</v>
      </c>
      <c r="P22362">
        <v>0</v>
      </c>
    </row>
    <row r="22363" spans="1:16" x14ac:dyDescent="0.25">
      <c r="A22363" t="s">
        <v>45068</v>
      </c>
      <c r="B22363" t="s">
        <v>19292</v>
      </c>
      <c r="C22363" t="s">
        <v>19293</v>
      </c>
      <c r="D22363" t="s">
        <v>19294</v>
      </c>
      <c r="E22363" t="s">
        <v>19295</v>
      </c>
      <c r="F22363" t="s">
        <v>3750</v>
      </c>
      <c r="G22363" t="s">
        <v>47093</v>
      </c>
      <c r="H22363" t="s">
        <v>47054</v>
      </c>
      <c r="I22363" t="s">
        <v>47116</v>
      </c>
      <c r="J22363" t="s">
        <v>47117</v>
      </c>
      <c r="K22363" t="s">
        <v>47113</v>
      </c>
      <c r="L22363">
        <v>31.09</v>
      </c>
      <c r="M22363">
        <v>88</v>
      </c>
      <c r="N22363">
        <v>0</v>
      </c>
      <c r="O22363">
        <v>88</v>
      </c>
      <c r="P22363">
        <v>0</v>
      </c>
    </row>
    <row r="22364" spans="1:16" x14ac:dyDescent="0.25">
      <c r="A22364" t="s">
        <v>45069</v>
      </c>
      <c r="B22364" t="s">
        <v>19292</v>
      </c>
      <c r="C22364" t="s">
        <v>19293</v>
      </c>
      <c r="D22364" t="s">
        <v>19296</v>
      </c>
      <c r="E22364" t="s">
        <v>19297</v>
      </c>
      <c r="F22364" t="s">
        <v>3750</v>
      </c>
      <c r="G22364" t="s">
        <v>47093</v>
      </c>
      <c r="H22364" t="s">
        <v>47054</v>
      </c>
      <c r="I22364" t="s">
        <v>47116</v>
      </c>
      <c r="J22364" t="s">
        <v>47117</v>
      </c>
      <c r="K22364" t="s">
        <v>47113</v>
      </c>
      <c r="L22364">
        <v>31.09</v>
      </c>
      <c r="M22364">
        <v>88</v>
      </c>
      <c r="N22364">
        <v>0</v>
      </c>
      <c r="O22364">
        <v>88</v>
      </c>
      <c r="P22364">
        <v>0</v>
      </c>
    </row>
    <row r="22365" spans="1:16" x14ac:dyDescent="0.25">
      <c r="A22365" t="s">
        <v>45070</v>
      </c>
      <c r="B22365" t="s">
        <v>1288</v>
      </c>
      <c r="C22365" t="s">
        <v>22199</v>
      </c>
      <c r="D22365" t="str">
        <f>"1202"</f>
        <v>1202</v>
      </c>
      <c r="E22365" t="s">
        <v>1834</v>
      </c>
      <c r="F22365" t="s">
        <v>1697</v>
      </c>
      <c r="G22365" t="s">
        <v>47095</v>
      </c>
      <c r="H22365" t="s">
        <v>47054</v>
      </c>
      <c r="I22365" t="s">
        <v>47111</v>
      </c>
      <c r="J22365" t="s">
        <v>47112</v>
      </c>
      <c r="K22365" t="s">
        <v>47113</v>
      </c>
      <c r="L22365">
        <v>17.38</v>
      </c>
      <c r="M22365">
        <v>59</v>
      </c>
      <c r="N22365">
        <v>159</v>
      </c>
      <c r="O22365">
        <v>59</v>
      </c>
      <c r="P22365">
        <v>159</v>
      </c>
    </row>
    <row r="22366" spans="1:16" x14ac:dyDescent="0.25">
      <c r="A22366" t="s">
        <v>45071</v>
      </c>
      <c r="B22366" t="s">
        <v>1288</v>
      </c>
      <c r="C22366" t="s">
        <v>22199</v>
      </c>
      <c r="D22366" t="str">
        <f>"3195"</f>
        <v>3195</v>
      </c>
      <c r="E22366" t="s">
        <v>9775</v>
      </c>
      <c r="F22366" t="s">
        <v>1697</v>
      </c>
      <c r="G22366" t="s">
        <v>47095</v>
      </c>
      <c r="H22366" t="s">
        <v>47054</v>
      </c>
      <c r="I22366" t="s">
        <v>47111</v>
      </c>
      <c r="J22366" t="s">
        <v>47112</v>
      </c>
      <c r="K22366" t="s">
        <v>47113</v>
      </c>
      <c r="L22366">
        <v>20.55</v>
      </c>
      <c r="M22366">
        <v>59</v>
      </c>
      <c r="N22366">
        <v>159</v>
      </c>
      <c r="O22366">
        <v>59</v>
      </c>
      <c r="P22366">
        <v>159</v>
      </c>
    </row>
    <row r="22367" spans="1:16" x14ac:dyDescent="0.25">
      <c r="A22367" t="s">
        <v>1287</v>
      </c>
      <c r="B22367" t="s">
        <v>1288</v>
      </c>
      <c r="C22367" t="s">
        <v>22199</v>
      </c>
      <c r="D22367" t="str">
        <f>"4558"</f>
        <v>4558</v>
      </c>
      <c r="E22367" t="s">
        <v>1289</v>
      </c>
      <c r="F22367" t="s">
        <v>2</v>
      </c>
      <c r="G22367" t="s">
        <v>47095</v>
      </c>
      <c r="H22367" t="s">
        <v>47054</v>
      </c>
      <c r="I22367" t="s">
        <v>47111</v>
      </c>
      <c r="J22367" t="s">
        <v>47112</v>
      </c>
      <c r="K22367" t="s">
        <v>47113</v>
      </c>
      <c r="L22367">
        <v>32.909999999999997</v>
      </c>
      <c r="M22367">
        <v>67</v>
      </c>
      <c r="N22367">
        <v>0</v>
      </c>
      <c r="O22367">
        <v>67</v>
      </c>
      <c r="P22367">
        <v>0</v>
      </c>
    </row>
    <row r="22368" spans="1:16" x14ac:dyDescent="0.25">
      <c r="A22368" t="s">
        <v>45072</v>
      </c>
      <c r="B22368" t="s">
        <v>1288</v>
      </c>
      <c r="C22368" t="s">
        <v>22199</v>
      </c>
      <c r="D22368" t="str">
        <f>"6834"</f>
        <v>6834</v>
      </c>
      <c r="E22368" t="s">
        <v>13368</v>
      </c>
      <c r="F22368" t="s">
        <v>2</v>
      </c>
      <c r="G22368" t="s">
        <v>47095</v>
      </c>
      <c r="H22368" t="s">
        <v>47054</v>
      </c>
      <c r="I22368" t="s">
        <v>47111</v>
      </c>
      <c r="J22368" t="s">
        <v>47112</v>
      </c>
      <c r="K22368" t="s">
        <v>47113</v>
      </c>
      <c r="L22368">
        <v>26.25</v>
      </c>
      <c r="M22368">
        <v>76</v>
      </c>
      <c r="N22368">
        <v>0</v>
      </c>
      <c r="O22368">
        <v>76</v>
      </c>
      <c r="P22368">
        <v>0</v>
      </c>
    </row>
    <row r="22369" spans="1:16" x14ac:dyDescent="0.25">
      <c r="A22369" t="s">
        <v>45073</v>
      </c>
      <c r="B22369" t="s">
        <v>1288</v>
      </c>
      <c r="C22369" t="s">
        <v>22199</v>
      </c>
      <c r="D22369" t="str">
        <f>"7443"</f>
        <v>7443</v>
      </c>
      <c r="E22369" t="s">
        <v>13369</v>
      </c>
      <c r="F22369" t="s">
        <v>2</v>
      </c>
      <c r="G22369" t="s">
        <v>47095</v>
      </c>
      <c r="H22369" t="s">
        <v>47054</v>
      </c>
      <c r="I22369" t="s">
        <v>47111</v>
      </c>
      <c r="J22369" t="s">
        <v>47112</v>
      </c>
      <c r="K22369" t="s">
        <v>47113</v>
      </c>
      <c r="L22369">
        <v>25.54</v>
      </c>
      <c r="M22369">
        <v>76</v>
      </c>
      <c r="N22369">
        <v>0</v>
      </c>
      <c r="O22369">
        <v>76</v>
      </c>
      <c r="P22369">
        <v>0</v>
      </c>
    </row>
    <row r="22370" spans="1:16" x14ac:dyDescent="0.25">
      <c r="A22370" t="s">
        <v>45074</v>
      </c>
      <c r="B22370" t="s">
        <v>13370</v>
      </c>
      <c r="C22370" t="s">
        <v>13371</v>
      </c>
      <c r="D22370" t="str">
        <f>"1001"</f>
        <v>1001</v>
      </c>
      <c r="E22370" t="s">
        <v>42</v>
      </c>
      <c r="F22370" t="s">
        <v>4</v>
      </c>
      <c r="G22370" t="s">
        <v>47095</v>
      </c>
      <c r="H22370" t="s">
        <v>47054</v>
      </c>
      <c r="I22370" t="s">
        <v>47111</v>
      </c>
      <c r="J22370" t="s">
        <v>47112</v>
      </c>
      <c r="K22370" t="s">
        <v>47113</v>
      </c>
      <c r="L22370">
        <v>33.090000000000003</v>
      </c>
      <c r="M22370">
        <v>81</v>
      </c>
      <c r="N22370">
        <v>0</v>
      </c>
      <c r="O22370">
        <v>81</v>
      </c>
      <c r="P22370">
        <v>0</v>
      </c>
    </row>
    <row r="22371" spans="1:16" x14ac:dyDescent="0.25">
      <c r="A22371" t="s">
        <v>45075</v>
      </c>
      <c r="B22371" t="s">
        <v>13372</v>
      </c>
      <c r="C22371" t="s">
        <v>13373</v>
      </c>
      <c r="D22371" t="str">
        <f>"1035"</f>
        <v>1035</v>
      </c>
      <c r="E22371" t="s">
        <v>758</v>
      </c>
      <c r="F22371" t="s">
        <v>4</v>
      </c>
      <c r="G22371" t="s">
        <v>47095</v>
      </c>
      <c r="H22371" t="s">
        <v>47054</v>
      </c>
      <c r="I22371" t="s">
        <v>47111</v>
      </c>
      <c r="J22371" t="s">
        <v>47112</v>
      </c>
      <c r="K22371" t="s">
        <v>47113</v>
      </c>
      <c r="L22371">
        <v>33.090000000000003</v>
      </c>
      <c r="M22371">
        <v>81</v>
      </c>
      <c r="N22371">
        <v>0</v>
      </c>
      <c r="O22371">
        <v>81</v>
      </c>
      <c r="P22371">
        <v>0</v>
      </c>
    </row>
    <row r="22372" spans="1:16" x14ac:dyDescent="0.25">
      <c r="A22372" t="s">
        <v>45076</v>
      </c>
      <c r="B22372" t="s">
        <v>13374</v>
      </c>
      <c r="C22372" t="s">
        <v>1939</v>
      </c>
      <c r="D22372" t="str">
        <f>"1739"</f>
        <v>1739</v>
      </c>
      <c r="E22372" t="s">
        <v>2698</v>
      </c>
      <c r="F22372" t="s">
        <v>7</v>
      </c>
      <c r="G22372" t="s">
        <v>47095</v>
      </c>
      <c r="H22372" t="s">
        <v>47054</v>
      </c>
      <c r="I22372" t="s">
        <v>47111</v>
      </c>
      <c r="J22372" t="s">
        <v>47112</v>
      </c>
      <c r="K22372" t="s">
        <v>47113</v>
      </c>
      <c r="L22372">
        <v>25.79</v>
      </c>
      <c r="M22372">
        <v>64</v>
      </c>
      <c r="N22372">
        <v>0</v>
      </c>
      <c r="O22372">
        <v>64</v>
      </c>
      <c r="P22372">
        <v>0</v>
      </c>
    </row>
    <row r="22373" spans="1:16" x14ac:dyDescent="0.25">
      <c r="A22373" t="s">
        <v>45077</v>
      </c>
      <c r="B22373" t="s">
        <v>13374</v>
      </c>
      <c r="C22373" t="s">
        <v>1939</v>
      </c>
      <c r="D22373" t="str">
        <f>"4167"</f>
        <v>4167</v>
      </c>
      <c r="E22373" t="s">
        <v>13375</v>
      </c>
      <c r="F22373" t="s">
        <v>7</v>
      </c>
      <c r="G22373" t="s">
        <v>47095</v>
      </c>
      <c r="H22373" t="s">
        <v>47054</v>
      </c>
      <c r="I22373" t="s">
        <v>47111</v>
      </c>
      <c r="J22373" t="s">
        <v>47112</v>
      </c>
      <c r="K22373" t="s">
        <v>47113</v>
      </c>
      <c r="L22373">
        <v>25.79</v>
      </c>
      <c r="M22373">
        <v>64</v>
      </c>
      <c r="N22373">
        <v>0</v>
      </c>
      <c r="O22373">
        <v>64</v>
      </c>
      <c r="P22373">
        <v>0</v>
      </c>
    </row>
    <row r="22374" spans="1:16" x14ac:dyDescent="0.25">
      <c r="A22374" t="s">
        <v>45078</v>
      </c>
      <c r="B22374" t="s">
        <v>13374</v>
      </c>
      <c r="C22374" t="s">
        <v>1939</v>
      </c>
      <c r="D22374" t="str">
        <f>"6125"</f>
        <v>6125</v>
      </c>
      <c r="E22374" t="s">
        <v>13250</v>
      </c>
      <c r="F22374" t="s">
        <v>7</v>
      </c>
      <c r="G22374" t="s">
        <v>47095</v>
      </c>
      <c r="H22374" t="s">
        <v>47054</v>
      </c>
      <c r="I22374" t="s">
        <v>47111</v>
      </c>
      <c r="J22374" t="s">
        <v>47112</v>
      </c>
      <c r="K22374" t="s">
        <v>47113</v>
      </c>
      <c r="L22374">
        <v>25.79</v>
      </c>
      <c r="M22374">
        <v>64</v>
      </c>
      <c r="N22374">
        <v>0</v>
      </c>
      <c r="O22374">
        <v>64</v>
      </c>
      <c r="P22374">
        <v>0</v>
      </c>
    </row>
    <row r="22375" spans="1:16" x14ac:dyDescent="0.25">
      <c r="A22375" t="s">
        <v>45079</v>
      </c>
      <c r="B22375" t="s">
        <v>13374</v>
      </c>
      <c r="C22375" t="s">
        <v>1939</v>
      </c>
      <c r="D22375" t="str">
        <f>"7320"</f>
        <v>7320</v>
      </c>
      <c r="E22375" t="s">
        <v>13137</v>
      </c>
      <c r="F22375" t="s">
        <v>7</v>
      </c>
      <c r="G22375" t="s">
        <v>47095</v>
      </c>
      <c r="H22375" t="s">
        <v>47054</v>
      </c>
      <c r="I22375" t="s">
        <v>47111</v>
      </c>
      <c r="J22375" t="s">
        <v>47112</v>
      </c>
      <c r="K22375" t="s">
        <v>47113</v>
      </c>
      <c r="L22375">
        <v>25.79</v>
      </c>
      <c r="M22375">
        <v>64</v>
      </c>
      <c r="N22375">
        <v>0</v>
      </c>
      <c r="O22375">
        <v>64</v>
      </c>
      <c r="P22375">
        <v>0</v>
      </c>
    </row>
    <row r="22376" spans="1:16" x14ac:dyDescent="0.25">
      <c r="A22376" t="s">
        <v>45080</v>
      </c>
      <c r="B22376" t="s">
        <v>13376</v>
      </c>
      <c r="C22376" t="s">
        <v>13377</v>
      </c>
      <c r="D22376" t="str">
        <f>"1739"</f>
        <v>1739</v>
      </c>
      <c r="E22376" t="s">
        <v>2698</v>
      </c>
      <c r="F22376" t="s">
        <v>7</v>
      </c>
      <c r="G22376" t="s">
        <v>47095</v>
      </c>
      <c r="H22376" t="s">
        <v>47054</v>
      </c>
      <c r="I22376" t="s">
        <v>47111</v>
      </c>
      <c r="J22376" t="s">
        <v>47112</v>
      </c>
      <c r="K22376" t="s">
        <v>47113</v>
      </c>
      <c r="L22376">
        <v>25.82</v>
      </c>
      <c r="M22376">
        <v>61</v>
      </c>
      <c r="N22376">
        <v>0</v>
      </c>
      <c r="O22376">
        <v>61</v>
      </c>
      <c r="P22376">
        <v>0</v>
      </c>
    </row>
    <row r="22377" spans="1:16" x14ac:dyDescent="0.25">
      <c r="A22377" t="s">
        <v>45081</v>
      </c>
      <c r="B22377" t="s">
        <v>13376</v>
      </c>
      <c r="C22377" t="s">
        <v>13377</v>
      </c>
      <c r="D22377" t="str">
        <f>"1746"</f>
        <v>1746</v>
      </c>
      <c r="E22377" t="s">
        <v>807</v>
      </c>
      <c r="F22377" t="s">
        <v>7</v>
      </c>
      <c r="G22377" t="s">
        <v>47095</v>
      </c>
      <c r="H22377" t="s">
        <v>47054</v>
      </c>
      <c r="I22377" t="s">
        <v>47111</v>
      </c>
      <c r="J22377" t="s">
        <v>47112</v>
      </c>
      <c r="K22377" t="s">
        <v>47113</v>
      </c>
      <c r="L22377">
        <v>24.82</v>
      </c>
      <c r="M22377">
        <v>61</v>
      </c>
      <c r="N22377">
        <v>0</v>
      </c>
      <c r="O22377">
        <v>61</v>
      </c>
      <c r="P22377">
        <v>0</v>
      </c>
    </row>
    <row r="22378" spans="1:16" x14ac:dyDescent="0.25">
      <c r="A22378" t="s">
        <v>45082</v>
      </c>
      <c r="B22378" t="s">
        <v>13376</v>
      </c>
      <c r="C22378" t="s">
        <v>13377</v>
      </c>
      <c r="D22378" t="str">
        <f>"4167"</f>
        <v>4167</v>
      </c>
      <c r="E22378" t="s">
        <v>13375</v>
      </c>
      <c r="F22378" t="s">
        <v>7</v>
      </c>
      <c r="G22378" t="s">
        <v>47095</v>
      </c>
      <c r="H22378" t="s">
        <v>47054</v>
      </c>
      <c r="I22378" t="s">
        <v>47111</v>
      </c>
      <c r="J22378" t="s">
        <v>47112</v>
      </c>
      <c r="K22378" t="s">
        <v>47113</v>
      </c>
      <c r="L22378">
        <v>25.82</v>
      </c>
      <c r="M22378">
        <v>61</v>
      </c>
      <c r="N22378">
        <v>0</v>
      </c>
      <c r="O22378">
        <v>61</v>
      </c>
      <c r="P22378">
        <v>0</v>
      </c>
    </row>
    <row r="22379" spans="1:16" x14ac:dyDescent="0.25">
      <c r="A22379" t="s">
        <v>45083</v>
      </c>
      <c r="B22379" t="s">
        <v>13378</v>
      </c>
      <c r="C22379" t="s">
        <v>13379</v>
      </c>
      <c r="D22379" t="str">
        <f>"6125"</f>
        <v>6125</v>
      </c>
      <c r="E22379" t="s">
        <v>13250</v>
      </c>
      <c r="F22379" t="s">
        <v>7</v>
      </c>
      <c r="G22379" t="s">
        <v>47095</v>
      </c>
      <c r="H22379" t="s">
        <v>47054</v>
      </c>
      <c r="I22379" t="s">
        <v>47111</v>
      </c>
      <c r="J22379" t="s">
        <v>47112</v>
      </c>
      <c r="K22379" t="s">
        <v>47113</v>
      </c>
      <c r="L22379">
        <v>25.65</v>
      </c>
      <c r="M22379">
        <v>61</v>
      </c>
      <c r="N22379">
        <v>0</v>
      </c>
      <c r="O22379">
        <v>61</v>
      </c>
      <c r="P22379">
        <v>0</v>
      </c>
    </row>
    <row r="22380" spans="1:16" x14ac:dyDescent="0.25">
      <c r="A22380" t="s">
        <v>1290</v>
      </c>
      <c r="B22380" t="s">
        <v>1291</v>
      </c>
      <c r="C22380" t="s">
        <v>1292</v>
      </c>
      <c r="D22380" t="str">
        <f>"4557"</f>
        <v>4557</v>
      </c>
      <c r="E22380" t="s">
        <v>1293</v>
      </c>
      <c r="F22380" t="s">
        <v>2</v>
      </c>
      <c r="G22380" t="s">
        <v>47094</v>
      </c>
      <c r="H22380" t="s">
        <v>47054</v>
      </c>
      <c r="I22380" t="s">
        <v>47111</v>
      </c>
      <c r="J22380" t="s">
        <v>47112</v>
      </c>
      <c r="K22380" t="s">
        <v>47113</v>
      </c>
      <c r="L22380">
        <v>32.909999999999997</v>
      </c>
      <c r="M22380">
        <v>99</v>
      </c>
      <c r="N22380">
        <v>0</v>
      </c>
      <c r="O22380">
        <v>99</v>
      </c>
      <c r="P22380">
        <v>0</v>
      </c>
    </row>
    <row r="22381" spans="1:16" x14ac:dyDescent="0.25">
      <c r="A22381" t="s">
        <v>1294</v>
      </c>
      <c r="B22381" t="s">
        <v>1291</v>
      </c>
      <c r="C22381" t="s">
        <v>1292</v>
      </c>
      <c r="D22381" t="str">
        <f>"6833"</f>
        <v>6833</v>
      </c>
      <c r="E22381" t="s">
        <v>1295</v>
      </c>
      <c r="F22381" t="s">
        <v>2</v>
      </c>
      <c r="G22381" t="s">
        <v>47094</v>
      </c>
      <c r="H22381" t="s">
        <v>47054</v>
      </c>
      <c r="I22381" t="s">
        <v>47111</v>
      </c>
      <c r="J22381" t="s">
        <v>47112</v>
      </c>
      <c r="K22381" t="s">
        <v>47113</v>
      </c>
      <c r="L22381">
        <v>35.049999999999997</v>
      </c>
      <c r="M22381">
        <v>99</v>
      </c>
      <c r="N22381">
        <v>0</v>
      </c>
      <c r="O22381">
        <v>99</v>
      </c>
      <c r="P22381">
        <v>0</v>
      </c>
    </row>
    <row r="22382" spans="1:16" x14ac:dyDescent="0.25">
      <c r="A22382" t="s">
        <v>45084</v>
      </c>
      <c r="B22382" t="s">
        <v>1291</v>
      </c>
      <c r="C22382" t="s">
        <v>1292</v>
      </c>
      <c r="D22382" t="str">
        <f>"7442"</f>
        <v>7442</v>
      </c>
      <c r="E22382" t="s">
        <v>13380</v>
      </c>
      <c r="F22382" t="s">
        <v>2</v>
      </c>
      <c r="G22382" t="s">
        <v>47094</v>
      </c>
      <c r="H22382" t="s">
        <v>47054</v>
      </c>
      <c r="I22382" t="s">
        <v>47111</v>
      </c>
      <c r="J22382" t="s">
        <v>47112</v>
      </c>
      <c r="K22382" t="s">
        <v>47113</v>
      </c>
      <c r="L22382">
        <v>33.99</v>
      </c>
      <c r="M22382">
        <v>99</v>
      </c>
      <c r="N22382">
        <v>0</v>
      </c>
      <c r="O22382">
        <v>99</v>
      </c>
      <c r="P22382">
        <v>0</v>
      </c>
    </row>
    <row r="22383" spans="1:16" x14ac:dyDescent="0.25">
      <c r="A22383" t="s">
        <v>45085</v>
      </c>
      <c r="B22383" t="s">
        <v>13381</v>
      </c>
      <c r="C22383" t="s">
        <v>1496</v>
      </c>
      <c r="D22383" t="str">
        <f>"1001"</f>
        <v>1001</v>
      </c>
      <c r="E22383" t="s">
        <v>42</v>
      </c>
      <c r="F22383" t="s">
        <v>4</v>
      </c>
      <c r="G22383" t="s">
        <v>47094</v>
      </c>
      <c r="H22383" t="s">
        <v>47054</v>
      </c>
      <c r="I22383" t="s">
        <v>47111</v>
      </c>
      <c r="J22383" t="s">
        <v>47112</v>
      </c>
      <c r="K22383" t="s">
        <v>47113</v>
      </c>
      <c r="L22383">
        <v>51.29</v>
      </c>
      <c r="M22383">
        <v>125</v>
      </c>
      <c r="N22383">
        <v>0</v>
      </c>
      <c r="O22383">
        <v>125</v>
      </c>
      <c r="P22383">
        <v>0</v>
      </c>
    </row>
    <row r="22384" spans="1:16" x14ac:dyDescent="0.25">
      <c r="A22384" t="s">
        <v>45086</v>
      </c>
      <c r="B22384" t="s">
        <v>13381</v>
      </c>
      <c r="C22384" t="s">
        <v>1496</v>
      </c>
      <c r="D22384" t="str">
        <f>"1035"</f>
        <v>1035</v>
      </c>
      <c r="E22384" t="s">
        <v>758</v>
      </c>
      <c r="F22384" t="s">
        <v>4</v>
      </c>
      <c r="G22384" t="s">
        <v>47094</v>
      </c>
      <c r="H22384" t="s">
        <v>47054</v>
      </c>
      <c r="I22384" t="s">
        <v>47111</v>
      </c>
      <c r="J22384" t="s">
        <v>47112</v>
      </c>
      <c r="K22384" t="s">
        <v>47113</v>
      </c>
      <c r="L22384">
        <v>51.29</v>
      </c>
      <c r="M22384">
        <v>119</v>
      </c>
      <c r="N22384">
        <v>0</v>
      </c>
      <c r="O22384">
        <v>119</v>
      </c>
      <c r="P22384">
        <v>0</v>
      </c>
    </row>
    <row r="22385" spans="1:16" x14ac:dyDescent="0.25">
      <c r="A22385" t="s">
        <v>45087</v>
      </c>
      <c r="B22385" t="s">
        <v>13381</v>
      </c>
      <c r="C22385" t="s">
        <v>1496</v>
      </c>
      <c r="D22385" t="str">
        <f>"6381"</f>
        <v>6381</v>
      </c>
      <c r="E22385" t="s">
        <v>13382</v>
      </c>
      <c r="F22385" t="s">
        <v>4</v>
      </c>
      <c r="G22385" t="s">
        <v>47094</v>
      </c>
      <c r="H22385" t="s">
        <v>47054</v>
      </c>
      <c r="I22385" t="s">
        <v>47111</v>
      </c>
      <c r="J22385" t="s">
        <v>47112</v>
      </c>
      <c r="K22385" t="s">
        <v>47113</v>
      </c>
      <c r="L22385">
        <v>51.29</v>
      </c>
      <c r="M22385">
        <v>125</v>
      </c>
      <c r="N22385">
        <v>0</v>
      </c>
      <c r="O22385">
        <v>125</v>
      </c>
      <c r="P22385">
        <v>0</v>
      </c>
    </row>
    <row r="22386" spans="1:16" x14ac:dyDescent="0.25">
      <c r="A22386" t="s">
        <v>45088</v>
      </c>
      <c r="B22386" t="s">
        <v>13381</v>
      </c>
      <c r="C22386" t="s">
        <v>1496</v>
      </c>
      <c r="D22386" t="str">
        <f>"6383"</f>
        <v>6383</v>
      </c>
      <c r="E22386" t="s">
        <v>3219</v>
      </c>
      <c r="F22386" t="s">
        <v>4</v>
      </c>
      <c r="G22386" t="s">
        <v>47094</v>
      </c>
      <c r="H22386" t="s">
        <v>47054</v>
      </c>
      <c r="I22386" t="s">
        <v>47111</v>
      </c>
      <c r="J22386" t="s">
        <v>47112</v>
      </c>
      <c r="K22386" t="s">
        <v>47113</v>
      </c>
      <c r="L22386">
        <v>51.29</v>
      </c>
      <c r="M22386">
        <v>119</v>
      </c>
      <c r="N22386">
        <v>0</v>
      </c>
      <c r="O22386">
        <v>119</v>
      </c>
      <c r="P22386">
        <v>0</v>
      </c>
    </row>
    <row r="22387" spans="1:16" x14ac:dyDescent="0.25">
      <c r="A22387" t="s">
        <v>45089</v>
      </c>
      <c r="B22387" t="s">
        <v>13383</v>
      </c>
      <c r="C22387" t="s">
        <v>13384</v>
      </c>
      <c r="D22387" t="str">
        <f>"1740"</f>
        <v>1740</v>
      </c>
      <c r="E22387" t="s">
        <v>2747</v>
      </c>
      <c r="F22387" t="s">
        <v>7</v>
      </c>
      <c r="G22387" t="s">
        <v>47094</v>
      </c>
      <c r="H22387" t="s">
        <v>47054</v>
      </c>
      <c r="I22387" t="s">
        <v>47111</v>
      </c>
      <c r="J22387" t="s">
        <v>47112</v>
      </c>
      <c r="K22387" t="s">
        <v>47113</v>
      </c>
      <c r="L22387">
        <v>30.82</v>
      </c>
      <c r="M22387">
        <v>79</v>
      </c>
      <c r="N22387">
        <v>0</v>
      </c>
      <c r="O22387">
        <v>79</v>
      </c>
      <c r="P22387">
        <v>0</v>
      </c>
    </row>
    <row r="22388" spans="1:16" x14ac:dyDescent="0.25">
      <c r="A22388" t="s">
        <v>45090</v>
      </c>
      <c r="B22388" t="s">
        <v>13383</v>
      </c>
      <c r="C22388" t="s">
        <v>13384</v>
      </c>
      <c r="D22388" t="str">
        <f>"4162"</f>
        <v>4162</v>
      </c>
      <c r="E22388" t="s">
        <v>7473</v>
      </c>
      <c r="F22388" t="s">
        <v>7</v>
      </c>
      <c r="G22388" t="s">
        <v>47094</v>
      </c>
      <c r="H22388" t="s">
        <v>47054</v>
      </c>
      <c r="I22388" t="s">
        <v>47111</v>
      </c>
      <c r="J22388" t="s">
        <v>47112</v>
      </c>
      <c r="K22388" t="s">
        <v>47113</v>
      </c>
      <c r="L22388">
        <v>30.82</v>
      </c>
      <c r="M22388">
        <v>75</v>
      </c>
      <c r="N22388">
        <v>0</v>
      </c>
      <c r="O22388">
        <v>75</v>
      </c>
      <c r="P22388">
        <v>0</v>
      </c>
    </row>
    <row r="22389" spans="1:16" x14ac:dyDescent="0.25">
      <c r="A22389" t="s">
        <v>45091</v>
      </c>
      <c r="B22389" t="s">
        <v>13385</v>
      </c>
      <c r="C22389" t="s">
        <v>13386</v>
      </c>
      <c r="D22389" t="str">
        <f>"6122"</f>
        <v>6122</v>
      </c>
      <c r="E22389" t="s">
        <v>1197</v>
      </c>
      <c r="F22389" t="s">
        <v>7</v>
      </c>
      <c r="G22389" t="s">
        <v>47096</v>
      </c>
      <c r="H22389" t="s">
        <v>47054</v>
      </c>
      <c r="I22389" t="s">
        <v>47111</v>
      </c>
      <c r="J22389" t="s">
        <v>47112</v>
      </c>
      <c r="K22389" t="s">
        <v>47113</v>
      </c>
      <c r="L22389">
        <v>30.25</v>
      </c>
      <c r="M22389">
        <v>75</v>
      </c>
      <c r="N22389">
        <v>0</v>
      </c>
      <c r="O22389">
        <v>75</v>
      </c>
      <c r="P22389">
        <v>0</v>
      </c>
    </row>
    <row r="22390" spans="1:16" x14ac:dyDescent="0.25">
      <c r="A22390" t="s">
        <v>45092</v>
      </c>
      <c r="B22390" t="s">
        <v>13385</v>
      </c>
      <c r="C22390" t="s">
        <v>13386</v>
      </c>
      <c r="D22390" t="str">
        <f>"7321"</f>
        <v>7321</v>
      </c>
      <c r="E22390" t="s">
        <v>7090</v>
      </c>
      <c r="F22390" t="s">
        <v>7</v>
      </c>
      <c r="G22390" t="s">
        <v>47096</v>
      </c>
      <c r="H22390" t="s">
        <v>47054</v>
      </c>
      <c r="I22390" t="s">
        <v>47111</v>
      </c>
      <c r="J22390" t="s">
        <v>47112</v>
      </c>
      <c r="K22390" t="s">
        <v>47113</v>
      </c>
      <c r="L22390">
        <v>34.200000000000003</v>
      </c>
      <c r="M22390">
        <v>81</v>
      </c>
      <c r="N22390">
        <v>0</v>
      </c>
      <c r="O22390">
        <v>81</v>
      </c>
      <c r="P22390">
        <v>0</v>
      </c>
    </row>
    <row r="22391" spans="1:16" x14ac:dyDescent="0.25">
      <c r="A22391" t="s">
        <v>45093</v>
      </c>
      <c r="B22391" t="s">
        <v>13387</v>
      </c>
      <c r="C22391" t="s">
        <v>13388</v>
      </c>
      <c r="D22391" t="s">
        <v>7819</v>
      </c>
      <c r="E22391" t="s">
        <v>7820</v>
      </c>
      <c r="F22391" t="s">
        <v>3750</v>
      </c>
      <c r="G22391" t="s">
        <v>47093</v>
      </c>
      <c r="H22391" t="s">
        <v>47054</v>
      </c>
      <c r="I22391" t="s">
        <v>47116</v>
      </c>
      <c r="J22391" t="s">
        <v>47117</v>
      </c>
      <c r="K22391" t="s">
        <v>47113</v>
      </c>
      <c r="L22391">
        <v>34.619999999999997</v>
      </c>
      <c r="M22391">
        <v>133</v>
      </c>
      <c r="N22391">
        <v>0</v>
      </c>
      <c r="O22391">
        <v>133</v>
      </c>
      <c r="P22391">
        <v>0</v>
      </c>
    </row>
    <row r="22392" spans="1:16" x14ac:dyDescent="0.25">
      <c r="A22392" t="s">
        <v>45094</v>
      </c>
      <c r="B22392" t="s">
        <v>13387</v>
      </c>
      <c r="C22392" t="s">
        <v>13388</v>
      </c>
      <c r="D22392" t="s">
        <v>13389</v>
      </c>
      <c r="E22392" t="s">
        <v>13390</v>
      </c>
      <c r="F22392" t="s">
        <v>3750</v>
      </c>
      <c r="G22392" t="s">
        <v>47093</v>
      </c>
      <c r="H22392" t="s">
        <v>47054</v>
      </c>
      <c r="I22392" t="s">
        <v>47116</v>
      </c>
      <c r="J22392" t="s">
        <v>47117</v>
      </c>
      <c r="K22392" t="s">
        <v>47113</v>
      </c>
      <c r="L22392">
        <v>34.619999999999997</v>
      </c>
      <c r="M22392">
        <v>133</v>
      </c>
      <c r="N22392">
        <v>0</v>
      </c>
      <c r="O22392">
        <v>133</v>
      </c>
      <c r="P22392">
        <v>0</v>
      </c>
    </row>
    <row r="22393" spans="1:16" x14ac:dyDescent="0.25">
      <c r="A22393" t="s">
        <v>45095</v>
      </c>
      <c r="B22393" t="s">
        <v>19298</v>
      </c>
      <c r="C22393" t="s">
        <v>19299</v>
      </c>
      <c r="D22393" t="s">
        <v>7829</v>
      </c>
      <c r="E22393" t="s">
        <v>7830</v>
      </c>
      <c r="F22393" t="s">
        <v>3750</v>
      </c>
      <c r="G22393" t="s">
        <v>47093</v>
      </c>
      <c r="H22393" t="s">
        <v>47054</v>
      </c>
      <c r="I22393" t="s">
        <v>47116</v>
      </c>
      <c r="J22393" t="s">
        <v>47117</v>
      </c>
      <c r="K22393" t="s">
        <v>47113</v>
      </c>
      <c r="L22393">
        <v>25.68</v>
      </c>
      <c r="M22393">
        <v>72</v>
      </c>
      <c r="N22393">
        <v>0</v>
      </c>
      <c r="O22393">
        <v>72</v>
      </c>
      <c r="P22393">
        <v>0</v>
      </c>
    </row>
    <row r="22394" spans="1:16" x14ac:dyDescent="0.25">
      <c r="A22394" t="s">
        <v>45096</v>
      </c>
      <c r="B22394" t="s">
        <v>13391</v>
      </c>
      <c r="C22394" t="s">
        <v>13392</v>
      </c>
      <c r="D22394" t="s">
        <v>7815</v>
      </c>
      <c r="E22394" t="s">
        <v>7816</v>
      </c>
      <c r="F22394" t="s">
        <v>3750</v>
      </c>
      <c r="G22394" t="s">
        <v>47093</v>
      </c>
      <c r="H22394" t="s">
        <v>47054</v>
      </c>
      <c r="I22394" t="s">
        <v>47116</v>
      </c>
      <c r="J22394" t="s">
        <v>47117</v>
      </c>
      <c r="K22394" t="s">
        <v>47113</v>
      </c>
      <c r="L22394">
        <v>33.590000000000003</v>
      </c>
      <c r="M22394">
        <v>128</v>
      </c>
      <c r="N22394">
        <v>0</v>
      </c>
      <c r="O22394">
        <v>128</v>
      </c>
      <c r="P22394">
        <v>0</v>
      </c>
    </row>
    <row r="22395" spans="1:16" x14ac:dyDescent="0.25">
      <c r="A22395" t="s">
        <v>45097</v>
      </c>
      <c r="B22395" t="s">
        <v>16162</v>
      </c>
      <c r="C22395" t="s">
        <v>16163</v>
      </c>
      <c r="D22395" t="s">
        <v>16164</v>
      </c>
      <c r="E22395" t="s">
        <v>16165</v>
      </c>
      <c r="F22395" t="s">
        <v>3750</v>
      </c>
      <c r="G22395" t="s">
        <v>47093</v>
      </c>
      <c r="H22395" t="s">
        <v>47054</v>
      </c>
      <c r="I22395" t="s">
        <v>47116</v>
      </c>
      <c r="J22395" t="s">
        <v>47117</v>
      </c>
      <c r="K22395" t="s">
        <v>47113</v>
      </c>
      <c r="L22395">
        <v>21.31</v>
      </c>
      <c r="M22395">
        <v>93</v>
      </c>
      <c r="N22395">
        <v>0</v>
      </c>
      <c r="O22395">
        <v>93</v>
      </c>
      <c r="P22395">
        <v>0</v>
      </c>
    </row>
    <row r="22396" spans="1:16" x14ac:dyDescent="0.25">
      <c r="A22396" t="s">
        <v>45098</v>
      </c>
      <c r="B22396" t="s">
        <v>14375</v>
      </c>
      <c r="C22396" t="s">
        <v>14376</v>
      </c>
      <c r="D22396" t="s">
        <v>7819</v>
      </c>
      <c r="E22396" t="s">
        <v>7820</v>
      </c>
      <c r="F22396" t="s">
        <v>3750</v>
      </c>
      <c r="G22396" t="s">
        <v>47093</v>
      </c>
      <c r="H22396" t="s">
        <v>47054</v>
      </c>
      <c r="I22396" t="s">
        <v>47116</v>
      </c>
      <c r="J22396" t="s">
        <v>47117</v>
      </c>
      <c r="K22396" t="s">
        <v>47113</v>
      </c>
      <c r="L22396">
        <v>33.619999999999997</v>
      </c>
      <c r="M22396">
        <v>130</v>
      </c>
      <c r="N22396">
        <v>0</v>
      </c>
      <c r="O22396">
        <v>130</v>
      </c>
      <c r="P22396">
        <v>0</v>
      </c>
    </row>
    <row r="22397" spans="1:16" x14ac:dyDescent="0.25">
      <c r="A22397" t="s">
        <v>45099</v>
      </c>
      <c r="B22397" t="s">
        <v>13393</v>
      </c>
      <c r="C22397" t="s">
        <v>13394</v>
      </c>
      <c r="D22397" t="s">
        <v>7829</v>
      </c>
      <c r="E22397" t="s">
        <v>7830</v>
      </c>
      <c r="F22397" t="s">
        <v>3750</v>
      </c>
      <c r="G22397" t="s">
        <v>47093</v>
      </c>
      <c r="H22397" t="s">
        <v>47054</v>
      </c>
      <c r="I22397" t="s">
        <v>47116</v>
      </c>
      <c r="J22397" t="s">
        <v>47117</v>
      </c>
      <c r="K22397" t="s">
        <v>47113</v>
      </c>
      <c r="L22397">
        <v>31.15</v>
      </c>
      <c r="M22397">
        <v>119</v>
      </c>
      <c r="N22397">
        <v>0</v>
      </c>
      <c r="O22397">
        <v>119</v>
      </c>
      <c r="P22397">
        <v>0</v>
      </c>
    </row>
    <row r="22398" spans="1:16" x14ac:dyDescent="0.25">
      <c r="A22398" t="s">
        <v>45100</v>
      </c>
      <c r="B22398" t="s">
        <v>13395</v>
      </c>
      <c r="C22398" t="s">
        <v>13396</v>
      </c>
      <c r="D22398" t="s">
        <v>7819</v>
      </c>
      <c r="E22398" t="s">
        <v>7820</v>
      </c>
      <c r="F22398" t="s">
        <v>3750</v>
      </c>
      <c r="G22398" t="s">
        <v>47093</v>
      </c>
      <c r="H22398" t="s">
        <v>47054</v>
      </c>
      <c r="I22398" t="s">
        <v>47116</v>
      </c>
      <c r="J22398" t="s">
        <v>47117</v>
      </c>
      <c r="K22398" t="s">
        <v>47113</v>
      </c>
      <c r="L22398">
        <v>29.38</v>
      </c>
      <c r="M22398">
        <v>119</v>
      </c>
      <c r="N22398">
        <v>0</v>
      </c>
      <c r="O22398">
        <v>119</v>
      </c>
      <c r="P22398">
        <v>0</v>
      </c>
    </row>
    <row r="22399" spans="1:16" x14ac:dyDescent="0.25">
      <c r="A22399" t="s">
        <v>45101</v>
      </c>
      <c r="B22399" t="s">
        <v>13395</v>
      </c>
      <c r="C22399" t="s">
        <v>13396</v>
      </c>
      <c r="D22399" t="s">
        <v>13389</v>
      </c>
      <c r="E22399" t="s">
        <v>13390</v>
      </c>
      <c r="F22399" t="s">
        <v>3750</v>
      </c>
      <c r="G22399" t="s">
        <v>47093</v>
      </c>
      <c r="H22399" t="s">
        <v>47054</v>
      </c>
      <c r="I22399" t="s">
        <v>47116</v>
      </c>
      <c r="J22399" t="s">
        <v>47117</v>
      </c>
      <c r="K22399" t="s">
        <v>47113</v>
      </c>
      <c r="L22399">
        <v>29.38</v>
      </c>
      <c r="M22399">
        <v>119</v>
      </c>
      <c r="N22399">
        <v>0</v>
      </c>
      <c r="O22399">
        <v>119</v>
      </c>
      <c r="P22399">
        <v>0</v>
      </c>
    </row>
    <row r="22400" spans="1:16" x14ac:dyDescent="0.25">
      <c r="A22400" t="s">
        <v>45102</v>
      </c>
      <c r="B22400" t="s">
        <v>19300</v>
      </c>
      <c r="C22400" t="s">
        <v>19301</v>
      </c>
      <c r="D22400" t="s">
        <v>7815</v>
      </c>
      <c r="E22400" t="s">
        <v>7816</v>
      </c>
      <c r="F22400" t="s">
        <v>3750</v>
      </c>
      <c r="G22400" t="s">
        <v>47093</v>
      </c>
      <c r="H22400" t="s">
        <v>47054</v>
      </c>
      <c r="I22400" t="s">
        <v>47116</v>
      </c>
      <c r="J22400" t="s">
        <v>47117</v>
      </c>
      <c r="K22400" t="s">
        <v>47113</v>
      </c>
      <c r="L22400">
        <v>22.2</v>
      </c>
      <c r="M22400">
        <v>62</v>
      </c>
      <c r="N22400">
        <v>0</v>
      </c>
      <c r="O22400">
        <v>62</v>
      </c>
      <c r="P22400">
        <v>0</v>
      </c>
    </row>
    <row r="22401" spans="1:16" x14ac:dyDescent="0.25">
      <c r="A22401" t="s">
        <v>45103</v>
      </c>
      <c r="B22401" t="s">
        <v>13397</v>
      </c>
      <c r="C22401" t="s">
        <v>13398</v>
      </c>
      <c r="D22401" t="s">
        <v>7815</v>
      </c>
      <c r="E22401" t="s">
        <v>7816</v>
      </c>
      <c r="F22401" t="s">
        <v>3750</v>
      </c>
      <c r="G22401" t="s">
        <v>47098</v>
      </c>
      <c r="H22401" t="s">
        <v>47054</v>
      </c>
      <c r="I22401" t="s">
        <v>47116</v>
      </c>
      <c r="J22401" t="s">
        <v>47117</v>
      </c>
      <c r="K22401" t="s">
        <v>47113</v>
      </c>
      <c r="L22401">
        <v>38.090000000000003</v>
      </c>
      <c r="M22401">
        <v>146</v>
      </c>
      <c r="N22401">
        <v>0</v>
      </c>
      <c r="O22401">
        <v>146</v>
      </c>
      <c r="P22401">
        <v>0</v>
      </c>
    </row>
    <row r="22402" spans="1:16" x14ac:dyDescent="0.25">
      <c r="A22402" t="s">
        <v>45104</v>
      </c>
      <c r="B22402" t="s">
        <v>16166</v>
      </c>
      <c r="C22402" t="s">
        <v>16167</v>
      </c>
      <c r="D22402" t="s">
        <v>16168</v>
      </c>
      <c r="E22402" t="s">
        <v>16169</v>
      </c>
      <c r="F22402" t="s">
        <v>3750</v>
      </c>
      <c r="G22402" t="s">
        <v>49029</v>
      </c>
      <c r="H22402" t="s">
        <v>47054</v>
      </c>
      <c r="I22402" t="s">
        <v>47116</v>
      </c>
      <c r="J22402" t="s">
        <v>47117</v>
      </c>
      <c r="K22402" t="s">
        <v>47113</v>
      </c>
      <c r="L22402">
        <v>22.95</v>
      </c>
      <c r="M22402">
        <v>89</v>
      </c>
      <c r="N22402">
        <v>0</v>
      </c>
      <c r="O22402">
        <v>89</v>
      </c>
      <c r="P22402">
        <v>0</v>
      </c>
    </row>
    <row r="22403" spans="1:16" x14ac:dyDescent="0.25">
      <c r="A22403" t="s">
        <v>45105</v>
      </c>
      <c r="B22403" t="s">
        <v>22200</v>
      </c>
      <c r="C22403" t="s">
        <v>22201</v>
      </c>
      <c r="D22403" t="s">
        <v>22202</v>
      </c>
      <c r="E22403" t="s">
        <v>22203</v>
      </c>
      <c r="F22403" t="s">
        <v>3750</v>
      </c>
      <c r="G22403" t="s">
        <v>47093</v>
      </c>
      <c r="H22403" t="s">
        <v>47054</v>
      </c>
      <c r="I22403" t="s">
        <v>47116</v>
      </c>
      <c r="J22403" t="s">
        <v>47117</v>
      </c>
      <c r="K22403" t="s">
        <v>47113</v>
      </c>
      <c r="L22403">
        <v>27.21</v>
      </c>
      <c r="M22403">
        <v>81</v>
      </c>
      <c r="N22403">
        <v>0</v>
      </c>
      <c r="O22403">
        <v>81</v>
      </c>
      <c r="P22403">
        <v>0</v>
      </c>
    </row>
    <row r="22404" spans="1:16" x14ac:dyDescent="0.25">
      <c r="A22404" t="s">
        <v>45106</v>
      </c>
      <c r="B22404" t="s">
        <v>13399</v>
      </c>
      <c r="C22404" t="s">
        <v>13400</v>
      </c>
      <c r="D22404" t="s">
        <v>13401</v>
      </c>
      <c r="E22404" t="s">
        <v>13402</v>
      </c>
      <c r="F22404" t="s">
        <v>3750</v>
      </c>
      <c r="G22404" t="s">
        <v>47093</v>
      </c>
      <c r="H22404" t="s">
        <v>47054</v>
      </c>
      <c r="I22404" t="s">
        <v>47116</v>
      </c>
      <c r="J22404" t="s">
        <v>47117</v>
      </c>
      <c r="K22404" t="s">
        <v>47113</v>
      </c>
      <c r="L22404">
        <v>23.78</v>
      </c>
      <c r="M22404">
        <v>93</v>
      </c>
      <c r="N22404">
        <v>0</v>
      </c>
      <c r="O22404">
        <v>93</v>
      </c>
      <c r="P22404">
        <v>0</v>
      </c>
    </row>
    <row r="22405" spans="1:16" x14ac:dyDescent="0.25">
      <c r="A22405" t="s">
        <v>45107</v>
      </c>
      <c r="B22405" t="s">
        <v>16170</v>
      </c>
      <c r="C22405" t="s">
        <v>16171</v>
      </c>
      <c r="D22405" t="s">
        <v>16168</v>
      </c>
      <c r="E22405" t="s">
        <v>16169</v>
      </c>
      <c r="F22405" t="s">
        <v>3750</v>
      </c>
      <c r="G22405" t="s">
        <v>47093</v>
      </c>
      <c r="H22405" t="s">
        <v>47054</v>
      </c>
      <c r="I22405" t="s">
        <v>47116</v>
      </c>
      <c r="J22405" t="s">
        <v>47117</v>
      </c>
      <c r="K22405" t="s">
        <v>47113</v>
      </c>
      <c r="L22405">
        <v>25.25</v>
      </c>
      <c r="M22405">
        <v>98</v>
      </c>
      <c r="N22405">
        <v>0</v>
      </c>
      <c r="O22405">
        <v>98</v>
      </c>
      <c r="P22405">
        <v>0</v>
      </c>
    </row>
    <row r="22406" spans="1:16" x14ac:dyDescent="0.25">
      <c r="A22406" t="s">
        <v>45108</v>
      </c>
      <c r="B22406" t="s">
        <v>16170</v>
      </c>
      <c r="C22406" t="s">
        <v>16171</v>
      </c>
      <c r="D22406" t="s">
        <v>22204</v>
      </c>
      <c r="E22406" t="s">
        <v>22205</v>
      </c>
      <c r="F22406" t="s">
        <v>3750</v>
      </c>
      <c r="G22406" t="s">
        <v>47093</v>
      </c>
      <c r="H22406" t="s">
        <v>47054</v>
      </c>
      <c r="I22406" t="s">
        <v>47116</v>
      </c>
      <c r="J22406" t="s">
        <v>47117</v>
      </c>
      <c r="K22406" t="s">
        <v>47113</v>
      </c>
      <c r="L22406">
        <v>25.39</v>
      </c>
      <c r="M22406">
        <v>34</v>
      </c>
      <c r="N22406">
        <v>0</v>
      </c>
      <c r="O22406">
        <v>34</v>
      </c>
      <c r="P22406">
        <v>0</v>
      </c>
    </row>
    <row r="22407" spans="1:16" x14ac:dyDescent="0.25">
      <c r="A22407" t="s">
        <v>45109</v>
      </c>
      <c r="B22407" t="s">
        <v>16170</v>
      </c>
      <c r="C22407" t="s">
        <v>16171</v>
      </c>
      <c r="D22407" t="s">
        <v>22206</v>
      </c>
      <c r="E22407" t="s">
        <v>22207</v>
      </c>
      <c r="F22407" t="s">
        <v>3750</v>
      </c>
      <c r="G22407" t="s">
        <v>47093</v>
      </c>
      <c r="H22407" t="s">
        <v>47054</v>
      </c>
      <c r="I22407" t="s">
        <v>47116</v>
      </c>
      <c r="J22407" t="s">
        <v>47117</v>
      </c>
      <c r="K22407" t="s">
        <v>47113</v>
      </c>
      <c r="L22407">
        <v>30.25</v>
      </c>
      <c r="M22407">
        <v>40</v>
      </c>
      <c r="N22407">
        <v>0</v>
      </c>
      <c r="O22407">
        <v>40</v>
      </c>
      <c r="P22407">
        <v>0</v>
      </c>
    </row>
    <row r="22408" spans="1:16" x14ac:dyDescent="0.25">
      <c r="A22408" t="s">
        <v>45110</v>
      </c>
      <c r="B22408" t="s">
        <v>19302</v>
      </c>
      <c r="C22408" t="s">
        <v>19303</v>
      </c>
      <c r="D22408" t="str">
        <f>"11"</f>
        <v>11</v>
      </c>
      <c r="E22408" t="s">
        <v>288</v>
      </c>
      <c r="F22408" t="s">
        <v>3750</v>
      </c>
      <c r="G22408" t="s">
        <v>47093</v>
      </c>
      <c r="H22408" t="s">
        <v>47054</v>
      </c>
      <c r="I22408" t="s">
        <v>47116</v>
      </c>
      <c r="J22408" t="s">
        <v>47117</v>
      </c>
      <c r="K22408" t="s">
        <v>47113</v>
      </c>
      <c r="L22408">
        <v>33.24</v>
      </c>
      <c r="M22408">
        <v>103</v>
      </c>
      <c r="N22408">
        <v>0</v>
      </c>
      <c r="O22408">
        <v>103</v>
      </c>
      <c r="P22408">
        <v>0</v>
      </c>
    </row>
    <row r="22409" spans="1:16" x14ac:dyDescent="0.25">
      <c r="A22409" t="s">
        <v>45111</v>
      </c>
      <c r="B22409" t="s">
        <v>22208</v>
      </c>
      <c r="C22409" t="s">
        <v>22209</v>
      </c>
      <c r="D22409" t="s">
        <v>13411</v>
      </c>
      <c r="E22409" t="s">
        <v>13412</v>
      </c>
      <c r="F22409" t="s">
        <v>3750</v>
      </c>
      <c r="G22409" t="s">
        <v>47093</v>
      </c>
      <c r="H22409" t="s">
        <v>47054</v>
      </c>
      <c r="I22409" t="s">
        <v>47116</v>
      </c>
      <c r="J22409" t="s">
        <v>47117</v>
      </c>
      <c r="K22409" t="s">
        <v>47113</v>
      </c>
      <c r="L22409">
        <v>25.1</v>
      </c>
      <c r="M22409">
        <v>34</v>
      </c>
      <c r="N22409">
        <v>0</v>
      </c>
      <c r="O22409">
        <v>34</v>
      </c>
      <c r="P22409">
        <v>0</v>
      </c>
    </row>
    <row r="22410" spans="1:16" x14ac:dyDescent="0.25">
      <c r="A22410" t="s">
        <v>45112</v>
      </c>
      <c r="B22410" t="s">
        <v>22210</v>
      </c>
      <c r="C22410" t="s">
        <v>22211</v>
      </c>
      <c r="D22410" t="s">
        <v>22212</v>
      </c>
      <c r="E22410" t="s">
        <v>22213</v>
      </c>
      <c r="F22410" t="s">
        <v>3750</v>
      </c>
      <c r="G22410" t="s">
        <v>47093</v>
      </c>
      <c r="H22410" t="s">
        <v>47054</v>
      </c>
      <c r="I22410" t="s">
        <v>47116</v>
      </c>
      <c r="J22410" t="s">
        <v>47117</v>
      </c>
      <c r="K22410" t="s">
        <v>47113</v>
      </c>
      <c r="L22410">
        <v>26.17</v>
      </c>
      <c r="M22410">
        <v>34</v>
      </c>
      <c r="N22410">
        <v>0</v>
      </c>
      <c r="O22410">
        <v>34</v>
      </c>
      <c r="P22410">
        <v>0</v>
      </c>
    </row>
    <row r="22411" spans="1:16" x14ac:dyDescent="0.25">
      <c r="A22411" t="s">
        <v>45113</v>
      </c>
      <c r="B22411" t="s">
        <v>22214</v>
      </c>
      <c r="C22411" t="s">
        <v>22215</v>
      </c>
      <c r="D22411" t="s">
        <v>22216</v>
      </c>
      <c r="E22411" t="s">
        <v>22217</v>
      </c>
      <c r="F22411" t="s">
        <v>3750</v>
      </c>
      <c r="G22411" t="s">
        <v>47093</v>
      </c>
      <c r="H22411" t="s">
        <v>47054</v>
      </c>
      <c r="I22411" t="s">
        <v>47116</v>
      </c>
      <c r="J22411" t="s">
        <v>47117</v>
      </c>
      <c r="K22411" t="s">
        <v>47113</v>
      </c>
      <c r="L22411">
        <v>26.26</v>
      </c>
      <c r="M22411">
        <v>81</v>
      </c>
      <c r="N22411">
        <v>0</v>
      </c>
      <c r="O22411">
        <v>81</v>
      </c>
      <c r="P22411">
        <v>0</v>
      </c>
    </row>
    <row r="22412" spans="1:16" x14ac:dyDescent="0.25">
      <c r="A22412" t="s">
        <v>45114</v>
      </c>
      <c r="B22412" t="s">
        <v>22218</v>
      </c>
      <c r="C22412" t="s">
        <v>22219</v>
      </c>
      <c r="D22412" t="s">
        <v>22202</v>
      </c>
      <c r="E22412" t="s">
        <v>22203</v>
      </c>
      <c r="F22412" t="s">
        <v>3750</v>
      </c>
      <c r="G22412" t="s">
        <v>49029</v>
      </c>
      <c r="H22412" t="s">
        <v>47054</v>
      </c>
      <c r="I22412" t="s">
        <v>47116</v>
      </c>
      <c r="J22412" t="s">
        <v>47117</v>
      </c>
      <c r="K22412" t="s">
        <v>47113</v>
      </c>
      <c r="L22412">
        <v>31.37</v>
      </c>
      <c r="M22412">
        <v>93</v>
      </c>
      <c r="N22412">
        <v>0</v>
      </c>
      <c r="O22412">
        <v>93</v>
      </c>
      <c r="P22412">
        <v>0</v>
      </c>
    </row>
    <row r="22413" spans="1:16" x14ac:dyDescent="0.25">
      <c r="A22413" t="s">
        <v>45115</v>
      </c>
      <c r="B22413" t="s">
        <v>13403</v>
      </c>
      <c r="C22413" t="s">
        <v>13404</v>
      </c>
      <c r="D22413" t="s">
        <v>721</v>
      </c>
      <c r="E22413" t="s">
        <v>722</v>
      </c>
      <c r="F22413" t="s">
        <v>3750</v>
      </c>
      <c r="G22413" t="s">
        <v>47093</v>
      </c>
      <c r="H22413" t="s">
        <v>47054</v>
      </c>
      <c r="I22413" t="s">
        <v>47116</v>
      </c>
      <c r="J22413" t="s">
        <v>47117</v>
      </c>
      <c r="K22413" t="s">
        <v>47113</v>
      </c>
      <c r="L22413">
        <v>16.489999999999998</v>
      </c>
      <c r="M22413">
        <v>68</v>
      </c>
      <c r="N22413">
        <v>0</v>
      </c>
      <c r="O22413">
        <v>68</v>
      </c>
      <c r="P22413">
        <v>0</v>
      </c>
    </row>
    <row r="22414" spans="1:16" x14ac:dyDescent="0.25">
      <c r="A22414" t="s">
        <v>45116</v>
      </c>
      <c r="B22414" t="s">
        <v>22220</v>
      </c>
      <c r="C22414" t="s">
        <v>22221</v>
      </c>
      <c r="D22414" t="s">
        <v>22202</v>
      </c>
      <c r="E22414" t="s">
        <v>22203</v>
      </c>
      <c r="F22414" t="s">
        <v>3750</v>
      </c>
      <c r="G22414" t="s">
        <v>47093</v>
      </c>
      <c r="H22414" t="s">
        <v>47054</v>
      </c>
      <c r="I22414" t="s">
        <v>47116</v>
      </c>
      <c r="J22414" t="s">
        <v>47117</v>
      </c>
      <c r="K22414" t="s">
        <v>47113</v>
      </c>
      <c r="L22414">
        <v>27.03</v>
      </c>
      <c r="M22414">
        <v>77</v>
      </c>
      <c r="N22414">
        <v>0</v>
      </c>
      <c r="O22414">
        <v>77</v>
      </c>
      <c r="P22414">
        <v>0</v>
      </c>
    </row>
    <row r="22415" spans="1:16" x14ac:dyDescent="0.25">
      <c r="A22415" t="s">
        <v>45117</v>
      </c>
      <c r="B22415" t="s">
        <v>19304</v>
      </c>
      <c r="C22415" t="s">
        <v>19305</v>
      </c>
      <c r="D22415" t="s">
        <v>13407</v>
      </c>
      <c r="E22415" t="s">
        <v>13408</v>
      </c>
      <c r="F22415" t="s">
        <v>3750</v>
      </c>
      <c r="G22415" t="s">
        <v>47093</v>
      </c>
      <c r="H22415" t="s">
        <v>47054</v>
      </c>
      <c r="I22415" t="s">
        <v>47116</v>
      </c>
      <c r="J22415" t="s">
        <v>47117</v>
      </c>
      <c r="K22415" t="s">
        <v>47113</v>
      </c>
      <c r="L22415">
        <v>25.51</v>
      </c>
      <c r="M22415">
        <v>71</v>
      </c>
      <c r="N22415">
        <v>0</v>
      </c>
      <c r="O22415">
        <v>71</v>
      </c>
      <c r="P22415">
        <v>0</v>
      </c>
    </row>
    <row r="22416" spans="1:16" x14ac:dyDescent="0.25">
      <c r="A22416" t="s">
        <v>45118</v>
      </c>
      <c r="B22416" t="s">
        <v>19304</v>
      </c>
      <c r="C22416" t="s">
        <v>19305</v>
      </c>
      <c r="D22416" t="s">
        <v>13411</v>
      </c>
      <c r="E22416" t="s">
        <v>13412</v>
      </c>
      <c r="F22416" t="s">
        <v>3750</v>
      </c>
      <c r="G22416" t="s">
        <v>47093</v>
      </c>
      <c r="H22416" t="s">
        <v>47054</v>
      </c>
      <c r="I22416" t="s">
        <v>47116</v>
      </c>
      <c r="J22416" t="s">
        <v>47117</v>
      </c>
      <c r="K22416" t="s">
        <v>47113</v>
      </c>
      <c r="L22416">
        <v>26.56</v>
      </c>
      <c r="M22416">
        <v>74</v>
      </c>
      <c r="N22416">
        <v>0</v>
      </c>
      <c r="O22416">
        <v>74</v>
      </c>
      <c r="P22416">
        <v>0</v>
      </c>
    </row>
    <row r="22417" spans="1:16" x14ac:dyDescent="0.25">
      <c r="A22417" t="s">
        <v>45119</v>
      </c>
      <c r="B22417" t="s">
        <v>22222</v>
      </c>
      <c r="C22417" t="s">
        <v>22223</v>
      </c>
      <c r="D22417" t="s">
        <v>13411</v>
      </c>
      <c r="E22417" t="s">
        <v>13412</v>
      </c>
      <c r="F22417" t="s">
        <v>3750</v>
      </c>
      <c r="G22417" t="s">
        <v>47093</v>
      </c>
      <c r="H22417" t="s">
        <v>47054</v>
      </c>
      <c r="I22417" t="s">
        <v>47116</v>
      </c>
      <c r="J22417" t="s">
        <v>47117</v>
      </c>
      <c r="K22417" t="s">
        <v>47113</v>
      </c>
      <c r="L22417">
        <v>25.1</v>
      </c>
      <c r="M22417">
        <v>34</v>
      </c>
      <c r="N22417">
        <v>0</v>
      </c>
      <c r="O22417">
        <v>34</v>
      </c>
      <c r="P22417">
        <v>0</v>
      </c>
    </row>
    <row r="22418" spans="1:16" x14ac:dyDescent="0.25">
      <c r="A22418" t="s">
        <v>45120</v>
      </c>
      <c r="B22418" t="s">
        <v>22224</v>
      </c>
      <c r="C22418" t="s">
        <v>22225</v>
      </c>
      <c r="D22418" t="str">
        <f>"11"</f>
        <v>11</v>
      </c>
      <c r="E22418" t="s">
        <v>288</v>
      </c>
      <c r="F22418" t="s">
        <v>3750</v>
      </c>
      <c r="G22418" t="s">
        <v>47093</v>
      </c>
      <c r="H22418" t="s">
        <v>47054</v>
      </c>
      <c r="I22418" t="s">
        <v>47116</v>
      </c>
      <c r="J22418" t="s">
        <v>47117</v>
      </c>
      <c r="K22418" t="s">
        <v>47113</v>
      </c>
      <c r="L22418">
        <v>22.59</v>
      </c>
      <c r="M22418">
        <v>34</v>
      </c>
      <c r="N22418">
        <v>0</v>
      </c>
      <c r="O22418">
        <v>34</v>
      </c>
      <c r="P22418">
        <v>0</v>
      </c>
    </row>
    <row r="22419" spans="1:16" x14ac:dyDescent="0.25">
      <c r="A22419" t="s">
        <v>45121</v>
      </c>
      <c r="B22419" t="s">
        <v>13405</v>
      </c>
      <c r="C22419" t="s">
        <v>13406</v>
      </c>
      <c r="D22419" t="s">
        <v>13407</v>
      </c>
      <c r="E22419" t="s">
        <v>13408</v>
      </c>
      <c r="F22419" t="s">
        <v>3750</v>
      </c>
      <c r="G22419" t="s">
        <v>47093</v>
      </c>
      <c r="H22419" t="s">
        <v>47054</v>
      </c>
      <c r="I22419" t="s">
        <v>47116</v>
      </c>
      <c r="J22419" t="s">
        <v>47117</v>
      </c>
      <c r="K22419" t="s">
        <v>47113</v>
      </c>
      <c r="L22419">
        <v>25.24</v>
      </c>
      <c r="M22419">
        <v>77</v>
      </c>
      <c r="N22419">
        <v>0</v>
      </c>
      <c r="O22419">
        <v>77</v>
      </c>
      <c r="P22419">
        <v>0</v>
      </c>
    </row>
    <row r="22420" spans="1:16" x14ac:dyDescent="0.25">
      <c r="A22420" t="s">
        <v>45122</v>
      </c>
      <c r="B22420" t="s">
        <v>19306</v>
      </c>
      <c r="C22420" t="s">
        <v>19307</v>
      </c>
      <c r="D22420" t="s">
        <v>13411</v>
      </c>
      <c r="E22420" t="s">
        <v>13412</v>
      </c>
      <c r="F22420" t="s">
        <v>3750</v>
      </c>
      <c r="G22420" t="s">
        <v>47093</v>
      </c>
      <c r="H22420" t="s">
        <v>47054</v>
      </c>
      <c r="I22420" t="s">
        <v>47116</v>
      </c>
      <c r="J22420" t="s">
        <v>47117</v>
      </c>
      <c r="K22420" t="s">
        <v>47113</v>
      </c>
      <c r="L22420">
        <v>24.85</v>
      </c>
      <c r="M22420">
        <v>130</v>
      </c>
      <c r="N22420">
        <v>0</v>
      </c>
      <c r="O22420">
        <v>130</v>
      </c>
      <c r="P22420">
        <v>0</v>
      </c>
    </row>
    <row r="22421" spans="1:16" x14ac:dyDescent="0.25">
      <c r="A22421" t="s">
        <v>45123</v>
      </c>
      <c r="B22421" t="s">
        <v>19308</v>
      </c>
      <c r="C22421" t="s">
        <v>19309</v>
      </c>
      <c r="D22421" t="s">
        <v>5476</v>
      </c>
      <c r="E22421" t="s">
        <v>5477</v>
      </c>
      <c r="F22421" t="s">
        <v>3750</v>
      </c>
      <c r="G22421" t="s">
        <v>47093</v>
      </c>
      <c r="H22421" t="s">
        <v>47054</v>
      </c>
      <c r="I22421" t="s">
        <v>47116</v>
      </c>
      <c r="J22421" t="s">
        <v>47117</v>
      </c>
      <c r="K22421" t="s">
        <v>47113</v>
      </c>
      <c r="L22421">
        <v>31.73</v>
      </c>
      <c r="M22421">
        <v>89</v>
      </c>
      <c r="N22421">
        <v>0</v>
      </c>
      <c r="O22421">
        <v>89</v>
      </c>
      <c r="P22421">
        <v>0</v>
      </c>
    </row>
    <row r="22422" spans="1:16" x14ac:dyDescent="0.25">
      <c r="A22422" t="s">
        <v>45124</v>
      </c>
      <c r="B22422" t="s">
        <v>16172</v>
      </c>
      <c r="C22422" t="s">
        <v>16173</v>
      </c>
      <c r="D22422" t="s">
        <v>721</v>
      </c>
      <c r="E22422" t="s">
        <v>722</v>
      </c>
      <c r="F22422" t="s">
        <v>3750</v>
      </c>
      <c r="G22422" t="s">
        <v>47093</v>
      </c>
      <c r="H22422" t="s">
        <v>47054</v>
      </c>
      <c r="I22422" t="s">
        <v>47116</v>
      </c>
      <c r="J22422" t="s">
        <v>47117</v>
      </c>
      <c r="K22422" t="s">
        <v>47113</v>
      </c>
      <c r="L22422">
        <v>17.54</v>
      </c>
      <c r="M22422">
        <v>50</v>
      </c>
      <c r="N22422">
        <v>0</v>
      </c>
      <c r="O22422">
        <v>50</v>
      </c>
      <c r="P22422">
        <v>0</v>
      </c>
    </row>
    <row r="22423" spans="1:16" x14ac:dyDescent="0.25">
      <c r="A22423" t="s">
        <v>45125</v>
      </c>
      <c r="B22423" t="s">
        <v>16172</v>
      </c>
      <c r="C22423" t="s">
        <v>16173</v>
      </c>
      <c r="D22423" t="s">
        <v>16174</v>
      </c>
      <c r="E22423" t="s">
        <v>16175</v>
      </c>
      <c r="F22423" t="s">
        <v>3750</v>
      </c>
      <c r="G22423" t="s">
        <v>47093</v>
      </c>
      <c r="H22423" t="s">
        <v>47054</v>
      </c>
      <c r="I22423" t="s">
        <v>47116</v>
      </c>
      <c r="J22423" t="s">
        <v>47117</v>
      </c>
      <c r="K22423" t="s">
        <v>47113</v>
      </c>
      <c r="L22423">
        <v>23.2</v>
      </c>
      <c r="M22423">
        <v>90</v>
      </c>
      <c r="N22423">
        <v>0</v>
      </c>
      <c r="O22423">
        <v>90</v>
      </c>
      <c r="P22423">
        <v>0</v>
      </c>
    </row>
    <row r="22424" spans="1:16" x14ac:dyDescent="0.25">
      <c r="A22424" t="s">
        <v>45126</v>
      </c>
      <c r="B22424" t="s">
        <v>13409</v>
      </c>
      <c r="C22424" t="s">
        <v>13410</v>
      </c>
      <c r="D22424" t="s">
        <v>13411</v>
      </c>
      <c r="E22424" t="s">
        <v>13412</v>
      </c>
      <c r="F22424" t="s">
        <v>3750</v>
      </c>
      <c r="G22424" t="s">
        <v>47093</v>
      </c>
      <c r="H22424" t="s">
        <v>47054</v>
      </c>
      <c r="I22424" t="s">
        <v>47116</v>
      </c>
      <c r="J22424" t="s">
        <v>47117</v>
      </c>
      <c r="K22424" t="s">
        <v>47113</v>
      </c>
      <c r="L22424">
        <v>23.65</v>
      </c>
      <c r="M22424">
        <v>90</v>
      </c>
      <c r="N22424">
        <v>0</v>
      </c>
      <c r="O22424">
        <v>90</v>
      </c>
      <c r="P22424">
        <v>0</v>
      </c>
    </row>
    <row r="22425" spans="1:16" x14ac:dyDescent="0.25">
      <c r="A22425" t="s">
        <v>45127</v>
      </c>
      <c r="B22425" t="s">
        <v>16176</v>
      </c>
      <c r="C22425" t="s">
        <v>16177</v>
      </c>
      <c r="D22425" t="s">
        <v>16178</v>
      </c>
      <c r="E22425" t="s">
        <v>16179</v>
      </c>
      <c r="F22425" t="s">
        <v>3750</v>
      </c>
      <c r="G22425" t="s">
        <v>47093</v>
      </c>
      <c r="H22425" t="s">
        <v>47054</v>
      </c>
      <c r="I22425" t="s">
        <v>47116</v>
      </c>
      <c r="J22425" t="s">
        <v>47117</v>
      </c>
      <c r="K22425" t="s">
        <v>47113</v>
      </c>
      <c r="L22425">
        <v>23.45</v>
      </c>
      <c r="M22425">
        <v>91</v>
      </c>
      <c r="N22425">
        <v>0</v>
      </c>
      <c r="O22425">
        <v>91</v>
      </c>
      <c r="P22425">
        <v>0</v>
      </c>
    </row>
    <row r="22426" spans="1:16" x14ac:dyDescent="0.25">
      <c r="A22426" t="s">
        <v>45128</v>
      </c>
      <c r="B22426" t="s">
        <v>16176</v>
      </c>
      <c r="C22426" t="s">
        <v>16177</v>
      </c>
      <c r="D22426" t="s">
        <v>19310</v>
      </c>
      <c r="E22426" t="s">
        <v>19311</v>
      </c>
      <c r="F22426" t="s">
        <v>3750</v>
      </c>
      <c r="G22426" t="s">
        <v>47093</v>
      </c>
      <c r="H22426" t="s">
        <v>47054</v>
      </c>
      <c r="I22426" t="s">
        <v>47116</v>
      </c>
      <c r="J22426" t="s">
        <v>47117</v>
      </c>
      <c r="K22426" t="s">
        <v>47113</v>
      </c>
      <c r="L22426">
        <v>25.73</v>
      </c>
      <c r="M22426">
        <v>72</v>
      </c>
      <c r="N22426">
        <v>0</v>
      </c>
      <c r="O22426">
        <v>72</v>
      </c>
      <c r="P22426">
        <v>0</v>
      </c>
    </row>
    <row r="22427" spans="1:16" x14ac:dyDescent="0.25">
      <c r="A22427" t="s">
        <v>45129</v>
      </c>
      <c r="B22427" t="s">
        <v>1297</v>
      </c>
      <c r="C22427" t="s">
        <v>1298</v>
      </c>
      <c r="D22427" t="str">
        <f>"1902"</f>
        <v>1902</v>
      </c>
      <c r="E22427" t="s">
        <v>13413</v>
      </c>
      <c r="F22427" t="s">
        <v>2</v>
      </c>
      <c r="G22427" t="s">
        <v>47091</v>
      </c>
      <c r="H22427" t="s">
        <v>47054</v>
      </c>
      <c r="I22427" t="s">
        <v>47111</v>
      </c>
      <c r="J22427" t="s">
        <v>47112</v>
      </c>
      <c r="K22427" t="s">
        <v>47113</v>
      </c>
      <c r="L22427">
        <v>11.42</v>
      </c>
      <c r="M22427">
        <v>31</v>
      </c>
      <c r="N22427">
        <v>0</v>
      </c>
      <c r="O22427">
        <v>31</v>
      </c>
      <c r="P22427">
        <v>0</v>
      </c>
    </row>
    <row r="22428" spans="1:16" x14ac:dyDescent="0.25">
      <c r="A22428" t="s">
        <v>1296</v>
      </c>
      <c r="B22428" t="s">
        <v>1297</v>
      </c>
      <c r="C22428" t="s">
        <v>1298</v>
      </c>
      <c r="D22428" t="str">
        <f>"4808"</f>
        <v>4808</v>
      </c>
      <c r="E22428" t="s">
        <v>1299</v>
      </c>
      <c r="F22428" t="s">
        <v>2</v>
      </c>
      <c r="G22428" t="s">
        <v>47091</v>
      </c>
      <c r="H22428" t="s">
        <v>47054</v>
      </c>
      <c r="I22428" t="s">
        <v>47111</v>
      </c>
      <c r="J22428" t="s">
        <v>47112</v>
      </c>
      <c r="K22428" t="s">
        <v>47113</v>
      </c>
      <c r="L22428">
        <v>32.909999999999997</v>
      </c>
      <c r="M22428">
        <v>38</v>
      </c>
      <c r="N22428">
        <v>0</v>
      </c>
      <c r="O22428">
        <v>38</v>
      </c>
      <c r="P22428">
        <v>0</v>
      </c>
    </row>
    <row r="22429" spans="1:16" x14ac:dyDescent="0.25">
      <c r="A22429" t="s">
        <v>1300</v>
      </c>
      <c r="B22429" t="s">
        <v>1301</v>
      </c>
      <c r="C22429" t="s">
        <v>1302</v>
      </c>
      <c r="D22429" t="str">
        <f>"1194"</f>
        <v>1194</v>
      </c>
      <c r="E22429" t="s">
        <v>1303</v>
      </c>
      <c r="F22429" t="s">
        <v>2</v>
      </c>
      <c r="G22429" t="s">
        <v>47091</v>
      </c>
      <c r="H22429" t="s">
        <v>47054</v>
      </c>
      <c r="I22429" t="s">
        <v>47111</v>
      </c>
      <c r="J22429" t="s">
        <v>47112</v>
      </c>
      <c r="K22429" t="s">
        <v>47113</v>
      </c>
      <c r="L22429">
        <v>32.909999999999997</v>
      </c>
      <c r="M22429">
        <v>38</v>
      </c>
      <c r="N22429">
        <v>0</v>
      </c>
      <c r="O22429">
        <v>38</v>
      </c>
      <c r="P22429">
        <v>0</v>
      </c>
    </row>
    <row r="22430" spans="1:16" x14ac:dyDescent="0.25">
      <c r="A22430" t="s">
        <v>45130</v>
      </c>
      <c r="B22430" t="s">
        <v>1301</v>
      </c>
      <c r="C22430" t="s">
        <v>1302</v>
      </c>
      <c r="D22430" t="str">
        <f>"1902"</f>
        <v>1902</v>
      </c>
      <c r="E22430" t="s">
        <v>13413</v>
      </c>
      <c r="F22430" t="s">
        <v>2</v>
      </c>
      <c r="G22430" t="s">
        <v>47091</v>
      </c>
      <c r="H22430" t="s">
        <v>47054</v>
      </c>
      <c r="I22430" t="s">
        <v>47111</v>
      </c>
      <c r="J22430" t="s">
        <v>47112</v>
      </c>
      <c r="K22430" t="s">
        <v>47113</v>
      </c>
      <c r="L22430">
        <v>11.17</v>
      </c>
      <c r="M22430">
        <v>31</v>
      </c>
      <c r="N22430">
        <v>0</v>
      </c>
      <c r="O22430">
        <v>31</v>
      </c>
      <c r="P22430">
        <v>0</v>
      </c>
    </row>
    <row r="22431" spans="1:16" x14ac:dyDescent="0.25">
      <c r="A22431" t="s">
        <v>45131</v>
      </c>
      <c r="B22431" t="s">
        <v>13414</v>
      </c>
      <c r="C22431" t="s">
        <v>13415</v>
      </c>
      <c r="D22431" t="str">
        <f>"1902"</f>
        <v>1902</v>
      </c>
      <c r="E22431" t="s">
        <v>13413</v>
      </c>
      <c r="F22431" t="s">
        <v>2</v>
      </c>
      <c r="G22431" t="s">
        <v>47091</v>
      </c>
      <c r="H22431" t="s">
        <v>47054</v>
      </c>
      <c r="I22431" t="s">
        <v>47111</v>
      </c>
      <c r="J22431" t="s">
        <v>47112</v>
      </c>
      <c r="K22431" t="s">
        <v>47113</v>
      </c>
      <c r="L22431">
        <v>10.45</v>
      </c>
      <c r="M22431">
        <v>29</v>
      </c>
      <c r="N22431">
        <v>0</v>
      </c>
      <c r="O22431">
        <v>29</v>
      </c>
      <c r="P22431">
        <v>0</v>
      </c>
    </row>
    <row r="22432" spans="1:16" x14ac:dyDescent="0.25">
      <c r="A22432" t="s">
        <v>1304</v>
      </c>
      <c r="B22432" t="s">
        <v>1305</v>
      </c>
      <c r="C22432" t="s">
        <v>1306</v>
      </c>
      <c r="D22432" t="str">
        <f>"8331"</f>
        <v>8331</v>
      </c>
      <c r="E22432" t="s">
        <v>1307</v>
      </c>
      <c r="F22432" t="s">
        <v>2</v>
      </c>
      <c r="G22432" t="s">
        <v>47091</v>
      </c>
      <c r="H22432" t="s">
        <v>47054</v>
      </c>
      <c r="I22432" t="s">
        <v>47111</v>
      </c>
      <c r="J22432" t="s">
        <v>47112</v>
      </c>
      <c r="K22432" t="s">
        <v>47113</v>
      </c>
      <c r="L22432">
        <v>32.909999999999997</v>
      </c>
      <c r="M22432">
        <v>33</v>
      </c>
      <c r="N22432">
        <v>0</v>
      </c>
      <c r="O22432">
        <v>33</v>
      </c>
      <c r="P22432">
        <v>0</v>
      </c>
    </row>
    <row r="22433" spans="1:16" x14ac:dyDescent="0.25">
      <c r="A22433" t="s">
        <v>45132</v>
      </c>
      <c r="B22433" t="s">
        <v>13416</v>
      </c>
      <c r="C22433" t="s">
        <v>13417</v>
      </c>
      <c r="D22433" t="str">
        <f>"4802"</f>
        <v>4802</v>
      </c>
      <c r="E22433" t="s">
        <v>1254</v>
      </c>
      <c r="F22433" t="s">
        <v>2</v>
      </c>
      <c r="G22433" t="s">
        <v>47091</v>
      </c>
      <c r="H22433" t="s">
        <v>47054</v>
      </c>
      <c r="I22433" t="s">
        <v>47111</v>
      </c>
      <c r="J22433" t="s">
        <v>47112</v>
      </c>
      <c r="K22433" t="s">
        <v>47113</v>
      </c>
      <c r="L22433">
        <v>13.65</v>
      </c>
      <c r="M22433">
        <v>34</v>
      </c>
      <c r="N22433">
        <v>0</v>
      </c>
      <c r="O22433">
        <v>34</v>
      </c>
      <c r="P22433">
        <v>0</v>
      </c>
    </row>
    <row r="22434" spans="1:16" x14ac:dyDescent="0.25">
      <c r="A22434" t="s">
        <v>45133</v>
      </c>
      <c r="B22434" t="s">
        <v>13418</v>
      </c>
      <c r="C22434" t="s">
        <v>13419</v>
      </c>
      <c r="D22434" t="str">
        <f>"6175"</f>
        <v>6175</v>
      </c>
      <c r="E22434" t="s">
        <v>13420</v>
      </c>
      <c r="F22434" t="s">
        <v>2</v>
      </c>
      <c r="G22434" t="s">
        <v>47091</v>
      </c>
      <c r="H22434" t="s">
        <v>47054</v>
      </c>
      <c r="I22434" t="s">
        <v>47111</v>
      </c>
      <c r="J22434" t="s">
        <v>47112</v>
      </c>
      <c r="K22434" t="s">
        <v>47113</v>
      </c>
      <c r="L22434">
        <v>13.27</v>
      </c>
      <c r="M22434">
        <v>33</v>
      </c>
      <c r="N22434">
        <v>0</v>
      </c>
      <c r="O22434">
        <v>33</v>
      </c>
      <c r="P22434">
        <v>0</v>
      </c>
    </row>
    <row r="22435" spans="1:16" x14ac:dyDescent="0.25">
      <c r="A22435" t="s">
        <v>45134</v>
      </c>
      <c r="B22435" t="s">
        <v>13421</v>
      </c>
      <c r="C22435" t="s">
        <v>13422</v>
      </c>
      <c r="D22435" t="str">
        <f>"4282"</f>
        <v>4282</v>
      </c>
      <c r="E22435" t="s">
        <v>13423</v>
      </c>
      <c r="F22435" t="s">
        <v>6</v>
      </c>
      <c r="G22435" t="s">
        <v>47095</v>
      </c>
      <c r="H22435" t="s">
        <v>47054</v>
      </c>
      <c r="I22435" t="s">
        <v>47111</v>
      </c>
      <c r="J22435" t="s">
        <v>47112</v>
      </c>
      <c r="K22435" t="s">
        <v>47113</v>
      </c>
      <c r="L22435">
        <v>19.829999999999998</v>
      </c>
      <c r="M22435">
        <v>48</v>
      </c>
      <c r="N22435">
        <v>0</v>
      </c>
      <c r="O22435">
        <v>48</v>
      </c>
      <c r="P22435">
        <v>0</v>
      </c>
    </row>
    <row r="22436" spans="1:16" x14ac:dyDescent="0.25">
      <c r="A22436" t="s">
        <v>45135</v>
      </c>
      <c r="B22436" t="s">
        <v>13421</v>
      </c>
      <c r="C22436" t="s">
        <v>13422</v>
      </c>
      <c r="D22436" t="str">
        <f>"5062"</f>
        <v>5062</v>
      </c>
      <c r="E22436" t="s">
        <v>3246</v>
      </c>
      <c r="F22436" t="s">
        <v>6</v>
      </c>
      <c r="G22436" t="s">
        <v>47095</v>
      </c>
      <c r="H22436" t="s">
        <v>47054</v>
      </c>
      <c r="I22436" t="s">
        <v>47111</v>
      </c>
      <c r="J22436" t="s">
        <v>47112</v>
      </c>
      <c r="K22436" t="s">
        <v>47113</v>
      </c>
      <c r="L22436">
        <v>19.829999999999998</v>
      </c>
      <c r="M22436">
        <v>48</v>
      </c>
      <c r="N22436">
        <v>0</v>
      </c>
      <c r="O22436">
        <v>48</v>
      </c>
      <c r="P22436">
        <v>0</v>
      </c>
    </row>
    <row r="22437" spans="1:16" x14ac:dyDescent="0.25">
      <c r="A22437" t="s">
        <v>45136</v>
      </c>
      <c r="B22437" t="s">
        <v>13424</v>
      </c>
      <c r="C22437" t="s">
        <v>13425</v>
      </c>
      <c r="D22437" t="str">
        <f>"4282"</f>
        <v>4282</v>
      </c>
      <c r="E22437" t="s">
        <v>13423</v>
      </c>
      <c r="F22437" t="s">
        <v>6</v>
      </c>
      <c r="G22437" t="s">
        <v>47094</v>
      </c>
      <c r="H22437" t="s">
        <v>47054</v>
      </c>
      <c r="I22437" t="s">
        <v>47111</v>
      </c>
      <c r="J22437" t="s">
        <v>47112</v>
      </c>
      <c r="K22437" t="s">
        <v>47113</v>
      </c>
      <c r="L22437">
        <v>29.79</v>
      </c>
      <c r="M22437">
        <v>69</v>
      </c>
      <c r="N22437">
        <v>0</v>
      </c>
      <c r="O22437">
        <v>69</v>
      </c>
      <c r="P22437">
        <v>0</v>
      </c>
    </row>
    <row r="22438" spans="1:16" x14ac:dyDescent="0.25">
      <c r="A22438" t="s">
        <v>45137</v>
      </c>
      <c r="B22438" t="s">
        <v>13424</v>
      </c>
      <c r="C22438" t="s">
        <v>13425</v>
      </c>
      <c r="D22438" t="str">
        <f>"5062"</f>
        <v>5062</v>
      </c>
      <c r="E22438" t="s">
        <v>3246</v>
      </c>
      <c r="F22438" t="s">
        <v>6</v>
      </c>
      <c r="G22438" t="s">
        <v>47094</v>
      </c>
      <c r="H22438" t="s">
        <v>47054</v>
      </c>
      <c r="I22438" t="s">
        <v>47111</v>
      </c>
      <c r="J22438" t="s">
        <v>47112</v>
      </c>
      <c r="K22438" t="s">
        <v>47113</v>
      </c>
      <c r="L22438">
        <v>29.79</v>
      </c>
      <c r="M22438">
        <v>69</v>
      </c>
      <c r="N22438">
        <v>0</v>
      </c>
      <c r="O22438">
        <v>69</v>
      </c>
      <c r="P22438">
        <v>0</v>
      </c>
    </row>
    <row r="22439" spans="1:16" x14ac:dyDescent="0.25">
      <c r="A22439" t="s">
        <v>45138</v>
      </c>
      <c r="B22439" t="s">
        <v>13426</v>
      </c>
      <c r="C22439" t="s">
        <v>13427</v>
      </c>
      <c r="D22439" t="str">
        <f>"4716"</f>
        <v>4716</v>
      </c>
      <c r="E22439" t="s">
        <v>13428</v>
      </c>
      <c r="F22439" t="s">
        <v>0</v>
      </c>
      <c r="G22439" t="s">
        <v>47101</v>
      </c>
      <c r="H22439" t="s">
        <v>47054</v>
      </c>
      <c r="I22439" t="s">
        <v>47120</v>
      </c>
      <c r="J22439" t="s">
        <v>47121</v>
      </c>
      <c r="K22439" t="s">
        <v>47113</v>
      </c>
      <c r="L22439">
        <v>23.24</v>
      </c>
      <c r="M22439">
        <v>49</v>
      </c>
      <c r="N22439">
        <v>0</v>
      </c>
      <c r="O22439">
        <v>49</v>
      </c>
      <c r="P22439">
        <v>0</v>
      </c>
    </row>
    <row r="22440" spans="1:16" x14ac:dyDescent="0.25">
      <c r="A22440" t="s">
        <v>45139</v>
      </c>
      <c r="B22440" t="s">
        <v>1308</v>
      </c>
      <c r="C22440" t="s">
        <v>1115</v>
      </c>
      <c r="D22440" t="str">
        <f>"4276"</f>
        <v>4276</v>
      </c>
      <c r="E22440" t="s">
        <v>1309</v>
      </c>
      <c r="F22440" t="s">
        <v>6</v>
      </c>
      <c r="G22440" t="s">
        <v>47101</v>
      </c>
      <c r="H22440" t="s">
        <v>47054</v>
      </c>
      <c r="I22440" t="s">
        <v>47120</v>
      </c>
      <c r="J22440" t="s">
        <v>47121</v>
      </c>
      <c r="K22440" t="s">
        <v>47113</v>
      </c>
      <c r="L22440">
        <v>23.8</v>
      </c>
      <c r="M22440">
        <v>61</v>
      </c>
      <c r="N22440">
        <v>0</v>
      </c>
      <c r="O22440">
        <v>61</v>
      </c>
      <c r="P22440">
        <v>0</v>
      </c>
    </row>
    <row r="22441" spans="1:16" x14ac:dyDescent="0.25">
      <c r="A22441" t="s">
        <v>45140</v>
      </c>
      <c r="B22441" t="s">
        <v>1311</v>
      </c>
      <c r="C22441" t="s">
        <v>1312</v>
      </c>
      <c r="D22441" t="str">
        <f>"2068"</f>
        <v>2068</v>
      </c>
      <c r="E22441" t="s">
        <v>13429</v>
      </c>
      <c r="F22441" t="s">
        <v>3</v>
      </c>
      <c r="G22441" t="s">
        <v>47101</v>
      </c>
      <c r="H22441" t="s">
        <v>47054</v>
      </c>
      <c r="I22441" t="s">
        <v>47120</v>
      </c>
      <c r="J22441" t="s">
        <v>47121</v>
      </c>
      <c r="K22441" t="s">
        <v>47113</v>
      </c>
      <c r="L22441">
        <v>23.08</v>
      </c>
      <c r="M22441">
        <v>60</v>
      </c>
      <c r="N22441">
        <v>0</v>
      </c>
      <c r="O22441">
        <v>60</v>
      </c>
      <c r="P22441">
        <v>0</v>
      </c>
    </row>
    <row r="22442" spans="1:16" x14ac:dyDescent="0.25">
      <c r="A22442" t="s">
        <v>1310</v>
      </c>
      <c r="B22442" t="s">
        <v>1311</v>
      </c>
      <c r="C22442" t="s">
        <v>1312</v>
      </c>
      <c r="D22442" t="str">
        <f>"6853"</f>
        <v>6853</v>
      </c>
      <c r="E22442" t="s">
        <v>1313</v>
      </c>
      <c r="F22442" t="s">
        <v>3</v>
      </c>
      <c r="G22442" t="s">
        <v>47101</v>
      </c>
      <c r="H22442" t="s">
        <v>47054</v>
      </c>
      <c r="I22442" t="s">
        <v>47120</v>
      </c>
      <c r="J22442" t="s">
        <v>47121</v>
      </c>
      <c r="K22442" t="s">
        <v>47113</v>
      </c>
      <c r="L22442">
        <v>22.97</v>
      </c>
      <c r="M22442">
        <v>60</v>
      </c>
      <c r="N22442">
        <v>0</v>
      </c>
      <c r="O22442">
        <v>60</v>
      </c>
      <c r="P22442">
        <v>0</v>
      </c>
    </row>
    <row r="22443" spans="1:16" x14ac:dyDescent="0.25">
      <c r="A22443" t="s">
        <v>1314</v>
      </c>
      <c r="B22443" t="s">
        <v>1315</v>
      </c>
      <c r="C22443" t="s">
        <v>1316</v>
      </c>
      <c r="D22443" t="str">
        <f>"4801"</f>
        <v>4801</v>
      </c>
      <c r="E22443" t="s">
        <v>1317</v>
      </c>
      <c r="F22443" t="s">
        <v>2</v>
      </c>
      <c r="G22443" t="s">
        <v>47101</v>
      </c>
      <c r="H22443" t="s">
        <v>47054</v>
      </c>
      <c r="I22443" t="s">
        <v>47118</v>
      </c>
      <c r="J22443" t="s">
        <v>47119</v>
      </c>
      <c r="K22443" t="s">
        <v>47113</v>
      </c>
      <c r="L22443">
        <v>32.909999999999997</v>
      </c>
      <c r="M22443">
        <v>53</v>
      </c>
      <c r="N22443">
        <v>0</v>
      </c>
      <c r="O22443">
        <v>53</v>
      </c>
      <c r="P22443">
        <v>0</v>
      </c>
    </row>
    <row r="22444" spans="1:16" x14ac:dyDescent="0.25">
      <c r="A22444" t="s">
        <v>1318</v>
      </c>
      <c r="B22444" t="s">
        <v>1315</v>
      </c>
      <c r="C22444" t="s">
        <v>1316</v>
      </c>
      <c r="D22444" t="str">
        <f>"6174"</f>
        <v>6174</v>
      </c>
      <c r="E22444" t="s">
        <v>1319</v>
      </c>
      <c r="F22444" t="s">
        <v>2</v>
      </c>
      <c r="G22444" t="s">
        <v>47101</v>
      </c>
      <c r="H22444" t="s">
        <v>47054</v>
      </c>
      <c r="I22444" t="s">
        <v>47118</v>
      </c>
      <c r="J22444" t="s">
        <v>47119</v>
      </c>
      <c r="K22444" t="s">
        <v>47113</v>
      </c>
      <c r="L22444">
        <v>32.909999999999997</v>
      </c>
      <c r="M22444">
        <v>53</v>
      </c>
      <c r="N22444">
        <v>0</v>
      </c>
      <c r="O22444">
        <v>53</v>
      </c>
      <c r="P22444">
        <v>0</v>
      </c>
    </row>
    <row r="22445" spans="1:16" x14ac:dyDescent="0.25">
      <c r="A22445" t="s">
        <v>1320</v>
      </c>
      <c r="B22445" t="s">
        <v>1321</v>
      </c>
      <c r="C22445" t="s">
        <v>1322</v>
      </c>
      <c r="D22445" t="str">
        <f>"5330"</f>
        <v>5330</v>
      </c>
      <c r="E22445" t="s">
        <v>1323</v>
      </c>
      <c r="F22445" t="s">
        <v>2</v>
      </c>
      <c r="G22445" t="s">
        <v>47101</v>
      </c>
      <c r="H22445" t="s">
        <v>47054</v>
      </c>
      <c r="I22445" t="s">
        <v>47120</v>
      </c>
      <c r="J22445" t="s">
        <v>47121</v>
      </c>
      <c r="K22445" t="s">
        <v>47113</v>
      </c>
      <c r="L22445">
        <v>25.45</v>
      </c>
      <c r="M22445">
        <v>64</v>
      </c>
      <c r="N22445">
        <v>0</v>
      </c>
      <c r="O22445">
        <v>64</v>
      </c>
      <c r="P22445">
        <v>0</v>
      </c>
    </row>
    <row r="22446" spans="1:16" x14ac:dyDescent="0.25">
      <c r="A22446" t="s">
        <v>1324</v>
      </c>
      <c r="B22446" t="s">
        <v>1321</v>
      </c>
      <c r="C22446" t="s">
        <v>1322</v>
      </c>
      <c r="D22446" t="str">
        <f>"8046"</f>
        <v>8046</v>
      </c>
      <c r="E22446" t="s">
        <v>1325</v>
      </c>
      <c r="F22446" t="s">
        <v>2</v>
      </c>
      <c r="G22446" t="s">
        <v>47101</v>
      </c>
      <c r="H22446" t="s">
        <v>47054</v>
      </c>
      <c r="I22446" t="s">
        <v>47120</v>
      </c>
      <c r="J22446" t="s">
        <v>47121</v>
      </c>
      <c r="K22446" t="s">
        <v>47113</v>
      </c>
      <c r="L22446">
        <v>25.45</v>
      </c>
      <c r="M22446">
        <v>64</v>
      </c>
      <c r="N22446">
        <v>0</v>
      </c>
      <c r="O22446">
        <v>64</v>
      </c>
      <c r="P22446">
        <v>0</v>
      </c>
    </row>
    <row r="22447" spans="1:16" x14ac:dyDescent="0.25">
      <c r="A22447" t="s">
        <v>45141</v>
      </c>
      <c r="B22447" t="s">
        <v>13430</v>
      </c>
      <c r="C22447" t="s">
        <v>7973</v>
      </c>
      <c r="D22447" t="str">
        <f>"6173"</f>
        <v>6173</v>
      </c>
      <c r="E22447" t="s">
        <v>7974</v>
      </c>
      <c r="F22447" t="s">
        <v>2</v>
      </c>
      <c r="G22447" t="s">
        <v>47101</v>
      </c>
      <c r="H22447" t="s">
        <v>47054</v>
      </c>
      <c r="I22447" t="s">
        <v>47118</v>
      </c>
      <c r="J22447" t="s">
        <v>47119</v>
      </c>
      <c r="K22447" t="s">
        <v>47113</v>
      </c>
      <c r="L22447">
        <v>23.45</v>
      </c>
      <c r="M22447">
        <v>62</v>
      </c>
      <c r="N22447">
        <v>0</v>
      </c>
      <c r="O22447">
        <v>62</v>
      </c>
      <c r="P22447">
        <v>0</v>
      </c>
    </row>
    <row r="22448" spans="1:16" x14ac:dyDescent="0.25">
      <c r="A22448" t="s">
        <v>45142</v>
      </c>
      <c r="B22448" t="s">
        <v>13431</v>
      </c>
      <c r="C22448" t="s">
        <v>13432</v>
      </c>
      <c r="D22448" t="str">
        <f>"1275"</f>
        <v>1275</v>
      </c>
      <c r="E22448" t="s">
        <v>13433</v>
      </c>
      <c r="F22448" t="s">
        <v>2</v>
      </c>
      <c r="G22448" t="s">
        <v>47101</v>
      </c>
      <c r="H22448" t="s">
        <v>47054</v>
      </c>
      <c r="I22448" t="s">
        <v>47118</v>
      </c>
      <c r="J22448" t="s">
        <v>47119</v>
      </c>
      <c r="K22448" t="s">
        <v>47113</v>
      </c>
      <c r="L22448">
        <v>21.15</v>
      </c>
      <c r="M22448">
        <v>56</v>
      </c>
      <c r="N22448">
        <v>0</v>
      </c>
      <c r="O22448">
        <v>56</v>
      </c>
      <c r="P22448">
        <v>0</v>
      </c>
    </row>
    <row r="22449" spans="1:16" x14ac:dyDescent="0.25">
      <c r="A22449" t="s">
        <v>45143</v>
      </c>
      <c r="B22449" t="s">
        <v>13431</v>
      </c>
      <c r="C22449" t="s">
        <v>13432</v>
      </c>
      <c r="D22449" t="str">
        <f>"4489"</f>
        <v>4489</v>
      </c>
      <c r="E22449" t="s">
        <v>7980</v>
      </c>
      <c r="F22449" t="s">
        <v>2</v>
      </c>
      <c r="G22449" t="s">
        <v>47101</v>
      </c>
      <c r="H22449" t="s">
        <v>47054</v>
      </c>
      <c r="I22449" t="s">
        <v>47118</v>
      </c>
      <c r="J22449" t="s">
        <v>47119</v>
      </c>
      <c r="K22449" t="s">
        <v>47113</v>
      </c>
      <c r="L22449">
        <v>21.15</v>
      </c>
      <c r="M22449">
        <v>56</v>
      </c>
      <c r="N22449">
        <v>0</v>
      </c>
      <c r="O22449">
        <v>56</v>
      </c>
      <c r="P22449">
        <v>0</v>
      </c>
    </row>
    <row r="22450" spans="1:16" x14ac:dyDescent="0.25">
      <c r="A22450" t="s">
        <v>45144</v>
      </c>
      <c r="B22450" t="s">
        <v>13431</v>
      </c>
      <c r="C22450" t="s">
        <v>13432</v>
      </c>
      <c r="D22450" t="str">
        <f>"6173"</f>
        <v>6173</v>
      </c>
      <c r="E22450" t="s">
        <v>7974</v>
      </c>
      <c r="F22450" t="s">
        <v>2</v>
      </c>
      <c r="G22450" t="s">
        <v>47101</v>
      </c>
      <c r="H22450" t="s">
        <v>47054</v>
      </c>
      <c r="I22450" t="s">
        <v>47118</v>
      </c>
      <c r="J22450" t="s">
        <v>47119</v>
      </c>
      <c r="K22450" t="s">
        <v>47113</v>
      </c>
      <c r="L22450">
        <v>21.15</v>
      </c>
      <c r="M22450">
        <v>56</v>
      </c>
      <c r="N22450">
        <v>0</v>
      </c>
      <c r="O22450">
        <v>56</v>
      </c>
      <c r="P22450">
        <v>0</v>
      </c>
    </row>
    <row r="22451" spans="1:16" x14ac:dyDescent="0.25">
      <c r="A22451" t="s">
        <v>45145</v>
      </c>
      <c r="B22451" t="s">
        <v>13434</v>
      </c>
      <c r="C22451" t="s">
        <v>13435</v>
      </c>
      <c r="D22451" t="str">
        <f>"3203"</f>
        <v>3203</v>
      </c>
      <c r="E22451" t="s">
        <v>13436</v>
      </c>
      <c r="F22451" t="s">
        <v>2</v>
      </c>
      <c r="G22451" t="s">
        <v>49029</v>
      </c>
      <c r="I22451" t="s">
        <v>47118</v>
      </c>
      <c r="J22451" t="s">
        <v>47119</v>
      </c>
      <c r="K22451" t="s">
        <v>47113</v>
      </c>
      <c r="L22451">
        <v>31.65</v>
      </c>
      <c r="M22451">
        <v>85</v>
      </c>
      <c r="N22451">
        <v>0</v>
      </c>
      <c r="O22451">
        <v>85</v>
      </c>
      <c r="P22451">
        <v>0</v>
      </c>
    </row>
    <row r="22452" spans="1:16" x14ac:dyDescent="0.25">
      <c r="A22452" t="s">
        <v>45146</v>
      </c>
      <c r="B22452" t="s">
        <v>13434</v>
      </c>
      <c r="C22452" t="s">
        <v>13435</v>
      </c>
      <c r="D22452" t="str">
        <f>"4320"</f>
        <v>4320</v>
      </c>
      <c r="E22452" t="s">
        <v>13437</v>
      </c>
      <c r="F22452" t="s">
        <v>2</v>
      </c>
      <c r="G22452" t="s">
        <v>49029</v>
      </c>
      <c r="I22452" t="s">
        <v>47118</v>
      </c>
      <c r="J22452" t="s">
        <v>47119</v>
      </c>
      <c r="K22452" t="s">
        <v>47113</v>
      </c>
      <c r="L22452">
        <v>31.65</v>
      </c>
      <c r="M22452">
        <v>85</v>
      </c>
      <c r="N22452">
        <v>0</v>
      </c>
      <c r="O22452">
        <v>85</v>
      </c>
      <c r="P22452">
        <v>0</v>
      </c>
    </row>
    <row r="22453" spans="1:16" x14ac:dyDescent="0.25">
      <c r="A22453" t="s">
        <v>45147</v>
      </c>
      <c r="B22453" t="s">
        <v>13434</v>
      </c>
      <c r="C22453" t="s">
        <v>13435</v>
      </c>
      <c r="D22453" t="str">
        <f>"6259"</f>
        <v>6259</v>
      </c>
      <c r="E22453" t="s">
        <v>13438</v>
      </c>
      <c r="F22453" t="s">
        <v>2</v>
      </c>
      <c r="G22453" t="s">
        <v>49029</v>
      </c>
      <c r="I22453" t="s">
        <v>47118</v>
      </c>
      <c r="J22453" t="s">
        <v>47119</v>
      </c>
      <c r="K22453" t="s">
        <v>47113</v>
      </c>
      <c r="L22453">
        <v>31.65</v>
      </c>
      <c r="M22453">
        <v>85</v>
      </c>
      <c r="N22453">
        <v>0</v>
      </c>
      <c r="O22453">
        <v>85</v>
      </c>
      <c r="P22453">
        <v>0</v>
      </c>
    </row>
    <row r="22454" spans="1:16" x14ac:dyDescent="0.25">
      <c r="A22454" t="s">
        <v>45148</v>
      </c>
      <c r="B22454" t="s">
        <v>13434</v>
      </c>
      <c r="C22454" t="s">
        <v>13435</v>
      </c>
      <c r="D22454" t="str">
        <f>"7348"</f>
        <v>7348</v>
      </c>
      <c r="E22454" t="s">
        <v>13439</v>
      </c>
      <c r="F22454" t="s">
        <v>2</v>
      </c>
      <c r="G22454" t="s">
        <v>49029</v>
      </c>
      <c r="I22454" t="s">
        <v>47118</v>
      </c>
      <c r="J22454" t="s">
        <v>47119</v>
      </c>
      <c r="K22454" t="s">
        <v>47113</v>
      </c>
      <c r="L22454">
        <v>31.65</v>
      </c>
      <c r="M22454">
        <v>85</v>
      </c>
      <c r="N22454">
        <v>0</v>
      </c>
      <c r="O22454">
        <v>85</v>
      </c>
      <c r="P22454">
        <v>0</v>
      </c>
    </row>
    <row r="22455" spans="1:16" x14ac:dyDescent="0.25">
      <c r="A22455" t="s">
        <v>45149</v>
      </c>
      <c r="B22455" t="s">
        <v>13440</v>
      </c>
      <c r="C22455" t="s">
        <v>13441</v>
      </c>
      <c r="D22455" t="str">
        <f>"1914"</f>
        <v>1914</v>
      </c>
      <c r="E22455" t="s">
        <v>13442</v>
      </c>
      <c r="F22455" t="s">
        <v>2</v>
      </c>
      <c r="G22455" t="s">
        <v>47099</v>
      </c>
      <c r="H22455" t="s">
        <v>47054</v>
      </c>
      <c r="I22455" t="s">
        <v>47136</v>
      </c>
      <c r="J22455" t="s">
        <v>47137</v>
      </c>
      <c r="K22455" t="s">
        <v>47113</v>
      </c>
      <c r="L22455">
        <v>39.96</v>
      </c>
      <c r="M22455">
        <v>85</v>
      </c>
      <c r="N22455">
        <v>0</v>
      </c>
      <c r="O22455">
        <v>85</v>
      </c>
      <c r="P22455">
        <v>0</v>
      </c>
    </row>
    <row r="22456" spans="1:16" x14ac:dyDescent="0.25">
      <c r="A22456" t="s">
        <v>45150</v>
      </c>
      <c r="B22456" t="s">
        <v>13440</v>
      </c>
      <c r="C22456" t="s">
        <v>13441</v>
      </c>
      <c r="D22456" t="str">
        <f>"2636"</f>
        <v>2636</v>
      </c>
      <c r="E22456" t="s">
        <v>8034</v>
      </c>
      <c r="F22456" t="s">
        <v>2</v>
      </c>
      <c r="G22456" t="s">
        <v>47099</v>
      </c>
      <c r="H22456" t="s">
        <v>47054</v>
      </c>
      <c r="I22456" t="s">
        <v>47136</v>
      </c>
      <c r="J22456" t="s">
        <v>47137</v>
      </c>
      <c r="K22456" t="s">
        <v>47113</v>
      </c>
      <c r="L22456">
        <v>39.96</v>
      </c>
      <c r="M22456">
        <v>85</v>
      </c>
      <c r="N22456">
        <v>0</v>
      </c>
      <c r="O22456">
        <v>85</v>
      </c>
      <c r="P22456">
        <v>0</v>
      </c>
    </row>
    <row r="22457" spans="1:16" x14ac:dyDescent="0.25">
      <c r="A22457" t="s">
        <v>45151</v>
      </c>
      <c r="B22457" t="s">
        <v>13440</v>
      </c>
      <c r="C22457" t="s">
        <v>13441</v>
      </c>
      <c r="D22457" t="str">
        <f>"4627"</f>
        <v>4627</v>
      </c>
      <c r="E22457" t="s">
        <v>13443</v>
      </c>
      <c r="F22457" t="s">
        <v>2</v>
      </c>
      <c r="G22457" t="s">
        <v>47099</v>
      </c>
      <c r="H22457" t="s">
        <v>47054</v>
      </c>
      <c r="I22457" t="s">
        <v>47136</v>
      </c>
      <c r="J22457" t="s">
        <v>47137</v>
      </c>
      <c r="K22457" t="s">
        <v>47113</v>
      </c>
      <c r="L22457">
        <v>39.96</v>
      </c>
      <c r="M22457">
        <v>85</v>
      </c>
      <c r="N22457">
        <v>0</v>
      </c>
      <c r="O22457">
        <v>85</v>
      </c>
      <c r="P22457">
        <v>0</v>
      </c>
    </row>
    <row r="22458" spans="1:16" x14ac:dyDescent="0.25">
      <c r="A22458" t="s">
        <v>45152</v>
      </c>
      <c r="B22458" t="s">
        <v>13440</v>
      </c>
      <c r="C22458" t="s">
        <v>13441</v>
      </c>
      <c r="D22458" t="str">
        <f>"5082"</f>
        <v>5082</v>
      </c>
      <c r="E22458" t="s">
        <v>13444</v>
      </c>
      <c r="F22458" t="s">
        <v>2</v>
      </c>
      <c r="G22458" t="s">
        <v>47099</v>
      </c>
      <c r="H22458" t="s">
        <v>47054</v>
      </c>
      <c r="I22458" t="s">
        <v>47136</v>
      </c>
      <c r="J22458" t="s">
        <v>47137</v>
      </c>
      <c r="K22458" t="s">
        <v>47113</v>
      </c>
      <c r="L22458">
        <v>39.96</v>
      </c>
      <c r="M22458">
        <v>85</v>
      </c>
      <c r="N22458">
        <v>0</v>
      </c>
      <c r="O22458">
        <v>85</v>
      </c>
      <c r="P22458">
        <v>0</v>
      </c>
    </row>
    <row r="22459" spans="1:16" x14ac:dyDescent="0.25">
      <c r="A22459" t="s">
        <v>45153</v>
      </c>
      <c r="B22459" t="s">
        <v>13440</v>
      </c>
      <c r="C22459" t="s">
        <v>13441</v>
      </c>
      <c r="D22459" t="str">
        <f>"6840"</f>
        <v>6840</v>
      </c>
      <c r="E22459" t="s">
        <v>13445</v>
      </c>
      <c r="F22459" t="s">
        <v>2</v>
      </c>
      <c r="G22459" t="s">
        <v>47099</v>
      </c>
      <c r="H22459" t="s">
        <v>47054</v>
      </c>
      <c r="I22459" t="s">
        <v>47136</v>
      </c>
      <c r="J22459" t="s">
        <v>47137</v>
      </c>
      <c r="K22459" t="s">
        <v>47113</v>
      </c>
      <c r="L22459">
        <v>39.96</v>
      </c>
      <c r="M22459">
        <v>85</v>
      </c>
      <c r="N22459">
        <v>0</v>
      </c>
      <c r="O22459">
        <v>85</v>
      </c>
      <c r="P22459">
        <v>0</v>
      </c>
    </row>
    <row r="22460" spans="1:16" x14ac:dyDescent="0.25">
      <c r="A22460" t="s">
        <v>45154</v>
      </c>
      <c r="B22460" t="s">
        <v>13440</v>
      </c>
      <c r="C22460" t="s">
        <v>13441</v>
      </c>
      <c r="D22460" t="str">
        <f>"7431"</f>
        <v>7431</v>
      </c>
      <c r="E22460" t="s">
        <v>8050</v>
      </c>
      <c r="F22460" t="s">
        <v>2</v>
      </c>
      <c r="G22460" t="s">
        <v>47099</v>
      </c>
      <c r="H22460" t="s">
        <v>47054</v>
      </c>
      <c r="I22460" t="s">
        <v>47136</v>
      </c>
      <c r="J22460" t="s">
        <v>47137</v>
      </c>
      <c r="K22460" t="s">
        <v>47113</v>
      </c>
      <c r="L22460">
        <v>39.96</v>
      </c>
      <c r="M22460">
        <v>85</v>
      </c>
      <c r="N22460">
        <v>0</v>
      </c>
      <c r="O22460">
        <v>85</v>
      </c>
      <c r="P22460">
        <v>0</v>
      </c>
    </row>
    <row r="22461" spans="1:16" x14ac:dyDescent="0.25">
      <c r="A22461" t="s">
        <v>45155</v>
      </c>
      <c r="B22461" t="s">
        <v>13446</v>
      </c>
      <c r="C22461" t="s">
        <v>13441</v>
      </c>
      <c r="D22461" t="str">
        <f>"1917"</f>
        <v>1917</v>
      </c>
      <c r="E22461" t="s">
        <v>13447</v>
      </c>
      <c r="F22461" t="s">
        <v>2</v>
      </c>
      <c r="G22461" t="s">
        <v>47099</v>
      </c>
      <c r="I22461" t="s">
        <v>47136</v>
      </c>
      <c r="J22461" t="s">
        <v>47137</v>
      </c>
      <c r="K22461" t="s">
        <v>47113</v>
      </c>
      <c r="L22461">
        <v>24.73</v>
      </c>
      <c r="M22461">
        <v>85</v>
      </c>
      <c r="N22461">
        <v>0</v>
      </c>
      <c r="O22461">
        <v>85</v>
      </c>
      <c r="P22461">
        <v>0</v>
      </c>
    </row>
    <row r="22462" spans="1:16" x14ac:dyDescent="0.25">
      <c r="A22462" t="s">
        <v>45156</v>
      </c>
      <c r="B22462" t="s">
        <v>13446</v>
      </c>
      <c r="C22462" t="s">
        <v>13441</v>
      </c>
      <c r="D22462" t="str">
        <f>"2637"</f>
        <v>2637</v>
      </c>
      <c r="E22462" t="s">
        <v>8035</v>
      </c>
      <c r="F22462" t="s">
        <v>2</v>
      </c>
      <c r="G22462" t="s">
        <v>47099</v>
      </c>
      <c r="I22462" t="s">
        <v>47136</v>
      </c>
      <c r="J22462" t="s">
        <v>47137</v>
      </c>
      <c r="K22462" t="s">
        <v>47113</v>
      </c>
      <c r="L22462">
        <v>24.73</v>
      </c>
      <c r="M22462">
        <v>85</v>
      </c>
      <c r="N22462">
        <v>0</v>
      </c>
      <c r="O22462">
        <v>85</v>
      </c>
      <c r="P22462">
        <v>0</v>
      </c>
    </row>
    <row r="22463" spans="1:16" x14ac:dyDescent="0.25">
      <c r="A22463" t="s">
        <v>45157</v>
      </c>
      <c r="B22463" t="s">
        <v>13446</v>
      </c>
      <c r="C22463" t="s">
        <v>13441</v>
      </c>
      <c r="D22463" t="str">
        <f>"4561"</f>
        <v>4561</v>
      </c>
      <c r="E22463" t="s">
        <v>13448</v>
      </c>
      <c r="F22463" t="s">
        <v>2</v>
      </c>
      <c r="G22463" t="s">
        <v>47099</v>
      </c>
      <c r="I22463" t="s">
        <v>47136</v>
      </c>
      <c r="J22463" t="s">
        <v>47137</v>
      </c>
      <c r="K22463" t="s">
        <v>47113</v>
      </c>
      <c r="L22463">
        <v>24.73</v>
      </c>
      <c r="M22463">
        <v>85</v>
      </c>
      <c r="N22463">
        <v>0</v>
      </c>
      <c r="O22463">
        <v>85</v>
      </c>
      <c r="P22463">
        <v>0</v>
      </c>
    </row>
    <row r="22464" spans="1:16" x14ac:dyDescent="0.25">
      <c r="A22464" t="s">
        <v>45158</v>
      </c>
      <c r="B22464" t="s">
        <v>13446</v>
      </c>
      <c r="C22464" t="s">
        <v>13441</v>
      </c>
      <c r="D22464" t="str">
        <f>"5083"</f>
        <v>5083</v>
      </c>
      <c r="E22464" t="s">
        <v>13449</v>
      </c>
      <c r="F22464" t="s">
        <v>2</v>
      </c>
      <c r="G22464" t="s">
        <v>47099</v>
      </c>
      <c r="I22464" t="s">
        <v>47136</v>
      </c>
      <c r="J22464" t="s">
        <v>47137</v>
      </c>
      <c r="K22464" t="s">
        <v>47113</v>
      </c>
      <c r="L22464">
        <v>24.73</v>
      </c>
      <c r="M22464">
        <v>85</v>
      </c>
      <c r="N22464">
        <v>0</v>
      </c>
      <c r="O22464">
        <v>85</v>
      </c>
      <c r="P22464">
        <v>0</v>
      </c>
    </row>
    <row r="22465" spans="1:16" x14ac:dyDescent="0.25">
      <c r="A22465" t="s">
        <v>45159</v>
      </c>
      <c r="B22465" t="s">
        <v>13446</v>
      </c>
      <c r="C22465" t="s">
        <v>13441</v>
      </c>
      <c r="D22465" t="str">
        <f>"6841"</f>
        <v>6841</v>
      </c>
      <c r="E22465" t="s">
        <v>13450</v>
      </c>
      <c r="F22465" t="s">
        <v>2</v>
      </c>
      <c r="G22465" t="s">
        <v>47099</v>
      </c>
      <c r="I22465" t="s">
        <v>47136</v>
      </c>
      <c r="J22465" t="s">
        <v>47137</v>
      </c>
      <c r="K22465" t="s">
        <v>47113</v>
      </c>
      <c r="L22465">
        <v>24.73</v>
      </c>
      <c r="M22465">
        <v>85</v>
      </c>
      <c r="N22465">
        <v>0</v>
      </c>
      <c r="O22465">
        <v>85</v>
      </c>
      <c r="P22465">
        <v>0</v>
      </c>
    </row>
    <row r="22466" spans="1:16" x14ac:dyDescent="0.25">
      <c r="A22466" t="s">
        <v>45160</v>
      </c>
      <c r="B22466" t="s">
        <v>13446</v>
      </c>
      <c r="C22466" t="s">
        <v>13441</v>
      </c>
      <c r="D22466" t="str">
        <f>"7432"</f>
        <v>7432</v>
      </c>
      <c r="E22466" t="s">
        <v>8051</v>
      </c>
      <c r="F22466" t="s">
        <v>2</v>
      </c>
      <c r="G22466" t="s">
        <v>47099</v>
      </c>
      <c r="I22466" t="s">
        <v>47136</v>
      </c>
      <c r="J22466" t="s">
        <v>47137</v>
      </c>
      <c r="K22466" t="s">
        <v>47113</v>
      </c>
      <c r="L22466">
        <v>24.73</v>
      </c>
      <c r="M22466">
        <v>85</v>
      </c>
      <c r="N22466">
        <v>0</v>
      </c>
      <c r="O22466">
        <v>85</v>
      </c>
      <c r="P22466">
        <v>0</v>
      </c>
    </row>
    <row r="22467" spans="1:16" x14ac:dyDescent="0.25">
      <c r="A22467" t="s">
        <v>45161</v>
      </c>
      <c r="B22467" t="s">
        <v>13451</v>
      </c>
      <c r="C22467" t="s">
        <v>13452</v>
      </c>
      <c r="D22467" t="str">
        <f>"1914"</f>
        <v>1914</v>
      </c>
      <c r="E22467" t="s">
        <v>13442</v>
      </c>
      <c r="F22467" t="s">
        <v>2</v>
      </c>
      <c r="G22467" t="s">
        <v>49029</v>
      </c>
      <c r="I22467" t="s">
        <v>47118</v>
      </c>
      <c r="J22467" t="s">
        <v>47119</v>
      </c>
      <c r="K22467" t="s">
        <v>47113</v>
      </c>
      <c r="L22467">
        <v>36.28</v>
      </c>
      <c r="M22467">
        <v>85</v>
      </c>
      <c r="N22467">
        <v>0</v>
      </c>
      <c r="O22467">
        <v>85</v>
      </c>
      <c r="P22467">
        <v>0</v>
      </c>
    </row>
    <row r="22468" spans="1:16" x14ac:dyDescent="0.25">
      <c r="A22468" t="s">
        <v>45162</v>
      </c>
      <c r="B22468" t="s">
        <v>13451</v>
      </c>
      <c r="C22468" t="s">
        <v>13452</v>
      </c>
      <c r="D22468" t="str">
        <f>"2636"</f>
        <v>2636</v>
      </c>
      <c r="E22468" t="s">
        <v>8034</v>
      </c>
      <c r="F22468" t="s">
        <v>2</v>
      </c>
      <c r="G22468" t="s">
        <v>49029</v>
      </c>
      <c r="I22468" t="s">
        <v>47118</v>
      </c>
      <c r="J22468" t="s">
        <v>47119</v>
      </c>
      <c r="K22468" t="s">
        <v>47113</v>
      </c>
      <c r="L22468">
        <v>36.28</v>
      </c>
      <c r="M22468">
        <v>85</v>
      </c>
      <c r="N22468">
        <v>0</v>
      </c>
      <c r="O22468">
        <v>85</v>
      </c>
      <c r="P22468">
        <v>0</v>
      </c>
    </row>
    <row r="22469" spans="1:16" x14ac:dyDescent="0.25">
      <c r="A22469" t="s">
        <v>45163</v>
      </c>
      <c r="B22469" t="s">
        <v>13451</v>
      </c>
      <c r="C22469" t="s">
        <v>13452</v>
      </c>
      <c r="D22469" t="str">
        <f>"4627"</f>
        <v>4627</v>
      </c>
      <c r="E22469" t="s">
        <v>13443</v>
      </c>
      <c r="F22469" t="s">
        <v>2</v>
      </c>
      <c r="G22469" t="s">
        <v>49029</v>
      </c>
      <c r="I22469" t="s">
        <v>47118</v>
      </c>
      <c r="J22469" t="s">
        <v>47119</v>
      </c>
      <c r="K22469" t="s">
        <v>47113</v>
      </c>
      <c r="L22469">
        <v>36.28</v>
      </c>
      <c r="M22469">
        <v>85</v>
      </c>
      <c r="N22469">
        <v>0</v>
      </c>
      <c r="O22469">
        <v>85</v>
      </c>
      <c r="P22469">
        <v>0</v>
      </c>
    </row>
    <row r="22470" spans="1:16" x14ac:dyDescent="0.25">
      <c r="A22470" t="s">
        <v>45164</v>
      </c>
      <c r="B22470" t="s">
        <v>13451</v>
      </c>
      <c r="C22470" t="s">
        <v>13452</v>
      </c>
      <c r="D22470" t="str">
        <f>"5082"</f>
        <v>5082</v>
      </c>
      <c r="E22470" t="s">
        <v>13444</v>
      </c>
      <c r="F22470" t="s">
        <v>2</v>
      </c>
      <c r="G22470" t="s">
        <v>49029</v>
      </c>
      <c r="I22470" t="s">
        <v>47118</v>
      </c>
      <c r="J22470" t="s">
        <v>47119</v>
      </c>
      <c r="K22470" t="s">
        <v>47113</v>
      </c>
      <c r="L22470">
        <v>36.28</v>
      </c>
      <c r="M22470">
        <v>85</v>
      </c>
      <c r="N22470">
        <v>0</v>
      </c>
      <c r="O22470">
        <v>85</v>
      </c>
      <c r="P22470">
        <v>0</v>
      </c>
    </row>
    <row r="22471" spans="1:16" x14ac:dyDescent="0.25">
      <c r="A22471" t="s">
        <v>45165</v>
      </c>
      <c r="B22471" t="s">
        <v>13451</v>
      </c>
      <c r="C22471" t="s">
        <v>13452</v>
      </c>
      <c r="D22471" t="str">
        <f>"6840"</f>
        <v>6840</v>
      </c>
      <c r="E22471" t="s">
        <v>13445</v>
      </c>
      <c r="F22471" t="s">
        <v>2</v>
      </c>
      <c r="G22471" t="s">
        <v>49029</v>
      </c>
      <c r="I22471" t="s">
        <v>47118</v>
      </c>
      <c r="J22471" t="s">
        <v>47119</v>
      </c>
      <c r="K22471" t="s">
        <v>47113</v>
      </c>
      <c r="L22471">
        <v>36.28</v>
      </c>
      <c r="M22471">
        <v>85</v>
      </c>
      <c r="N22471">
        <v>0</v>
      </c>
      <c r="O22471">
        <v>85</v>
      </c>
      <c r="P22471">
        <v>0</v>
      </c>
    </row>
    <row r="22472" spans="1:16" x14ac:dyDescent="0.25">
      <c r="A22472" t="s">
        <v>45166</v>
      </c>
      <c r="B22472" t="s">
        <v>13451</v>
      </c>
      <c r="C22472" t="s">
        <v>13452</v>
      </c>
      <c r="D22472" t="str">
        <f>"7431"</f>
        <v>7431</v>
      </c>
      <c r="E22472" t="s">
        <v>8050</v>
      </c>
      <c r="F22472" t="s">
        <v>2</v>
      </c>
      <c r="G22472" t="s">
        <v>49029</v>
      </c>
      <c r="I22472" t="s">
        <v>47118</v>
      </c>
      <c r="J22472" t="s">
        <v>47119</v>
      </c>
      <c r="K22472" t="s">
        <v>47113</v>
      </c>
      <c r="L22472">
        <v>36.28</v>
      </c>
      <c r="M22472">
        <v>85</v>
      </c>
      <c r="N22472">
        <v>0</v>
      </c>
      <c r="O22472">
        <v>85</v>
      </c>
      <c r="P22472">
        <v>0</v>
      </c>
    </row>
    <row r="22473" spans="1:16" x14ac:dyDescent="0.25">
      <c r="A22473" t="s">
        <v>45167</v>
      </c>
      <c r="B22473" t="s">
        <v>13453</v>
      </c>
      <c r="C22473" t="s">
        <v>13452</v>
      </c>
      <c r="D22473" t="str">
        <f>"1917"</f>
        <v>1917</v>
      </c>
      <c r="E22473" t="s">
        <v>13447</v>
      </c>
      <c r="F22473" t="s">
        <v>2</v>
      </c>
      <c r="G22473" t="s">
        <v>49029</v>
      </c>
      <c r="I22473" t="s">
        <v>47136</v>
      </c>
      <c r="J22473" t="s">
        <v>47137</v>
      </c>
      <c r="K22473" t="s">
        <v>47113</v>
      </c>
      <c r="L22473">
        <v>21.82</v>
      </c>
      <c r="M22473">
        <v>85</v>
      </c>
      <c r="N22473">
        <v>0</v>
      </c>
      <c r="O22473">
        <v>85</v>
      </c>
      <c r="P22473">
        <v>0</v>
      </c>
    </row>
    <row r="22474" spans="1:16" x14ac:dyDescent="0.25">
      <c r="A22474" t="s">
        <v>45168</v>
      </c>
      <c r="B22474" t="s">
        <v>13453</v>
      </c>
      <c r="C22474" t="s">
        <v>13452</v>
      </c>
      <c r="D22474" t="str">
        <f>"2637"</f>
        <v>2637</v>
      </c>
      <c r="E22474" t="s">
        <v>8035</v>
      </c>
      <c r="F22474" t="s">
        <v>2</v>
      </c>
      <c r="G22474" t="s">
        <v>49029</v>
      </c>
      <c r="I22474" t="s">
        <v>47136</v>
      </c>
      <c r="J22474" t="s">
        <v>47137</v>
      </c>
      <c r="K22474" t="s">
        <v>47113</v>
      </c>
      <c r="L22474">
        <v>21.82</v>
      </c>
      <c r="M22474">
        <v>85</v>
      </c>
      <c r="N22474">
        <v>0</v>
      </c>
      <c r="O22474">
        <v>85</v>
      </c>
      <c r="P22474">
        <v>0</v>
      </c>
    </row>
    <row r="22475" spans="1:16" x14ac:dyDescent="0.25">
      <c r="A22475" t="s">
        <v>45169</v>
      </c>
      <c r="B22475" t="s">
        <v>13453</v>
      </c>
      <c r="C22475" t="s">
        <v>13452</v>
      </c>
      <c r="D22475" t="str">
        <f>"4561"</f>
        <v>4561</v>
      </c>
      <c r="E22475" t="s">
        <v>13448</v>
      </c>
      <c r="F22475" t="s">
        <v>2</v>
      </c>
      <c r="G22475" t="s">
        <v>49029</v>
      </c>
      <c r="I22475" t="s">
        <v>47136</v>
      </c>
      <c r="J22475" t="s">
        <v>47137</v>
      </c>
      <c r="K22475" t="s">
        <v>47113</v>
      </c>
      <c r="L22475">
        <v>21.82</v>
      </c>
      <c r="M22475">
        <v>85</v>
      </c>
      <c r="N22475">
        <v>0</v>
      </c>
      <c r="O22475">
        <v>85</v>
      </c>
      <c r="P22475">
        <v>0</v>
      </c>
    </row>
    <row r="22476" spans="1:16" x14ac:dyDescent="0.25">
      <c r="A22476" t="s">
        <v>45170</v>
      </c>
      <c r="B22476" t="s">
        <v>13453</v>
      </c>
      <c r="C22476" t="s">
        <v>13452</v>
      </c>
      <c r="D22476" t="str">
        <f>"5083"</f>
        <v>5083</v>
      </c>
      <c r="E22476" t="s">
        <v>13449</v>
      </c>
      <c r="F22476" t="s">
        <v>2</v>
      </c>
      <c r="G22476" t="s">
        <v>49029</v>
      </c>
      <c r="I22476" t="s">
        <v>47136</v>
      </c>
      <c r="J22476" t="s">
        <v>47137</v>
      </c>
      <c r="K22476" t="s">
        <v>47113</v>
      </c>
      <c r="L22476">
        <v>21.82</v>
      </c>
      <c r="M22476">
        <v>85</v>
      </c>
      <c r="N22476">
        <v>0</v>
      </c>
      <c r="O22476">
        <v>85</v>
      </c>
      <c r="P22476">
        <v>0</v>
      </c>
    </row>
    <row r="22477" spans="1:16" x14ac:dyDescent="0.25">
      <c r="A22477" t="s">
        <v>45171</v>
      </c>
      <c r="B22477" t="s">
        <v>13453</v>
      </c>
      <c r="C22477" t="s">
        <v>13452</v>
      </c>
      <c r="D22477" t="str">
        <f>"6841"</f>
        <v>6841</v>
      </c>
      <c r="E22477" t="s">
        <v>13450</v>
      </c>
      <c r="F22477" t="s">
        <v>2</v>
      </c>
      <c r="G22477" t="s">
        <v>49029</v>
      </c>
      <c r="I22477" t="s">
        <v>47136</v>
      </c>
      <c r="J22477" t="s">
        <v>47137</v>
      </c>
      <c r="K22477" t="s">
        <v>47113</v>
      </c>
      <c r="L22477">
        <v>21.82</v>
      </c>
      <c r="M22477">
        <v>85</v>
      </c>
      <c r="N22477">
        <v>0</v>
      </c>
      <c r="O22477">
        <v>85</v>
      </c>
      <c r="P22477">
        <v>0</v>
      </c>
    </row>
    <row r="22478" spans="1:16" x14ac:dyDescent="0.25">
      <c r="A22478" t="s">
        <v>45172</v>
      </c>
      <c r="B22478" t="s">
        <v>13453</v>
      </c>
      <c r="C22478" t="s">
        <v>13452</v>
      </c>
      <c r="D22478" t="str">
        <f>"7432"</f>
        <v>7432</v>
      </c>
      <c r="E22478" t="s">
        <v>8051</v>
      </c>
      <c r="F22478" t="s">
        <v>2</v>
      </c>
      <c r="G22478" t="s">
        <v>49029</v>
      </c>
      <c r="I22478" t="s">
        <v>47136</v>
      </c>
      <c r="J22478" t="s">
        <v>47137</v>
      </c>
      <c r="K22478" t="s">
        <v>47113</v>
      </c>
      <c r="L22478">
        <v>21.82</v>
      </c>
      <c r="M22478">
        <v>85</v>
      </c>
      <c r="N22478">
        <v>0</v>
      </c>
      <c r="O22478">
        <v>85</v>
      </c>
      <c r="P22478">
        <v>0</v>
      </c>
    </row>
    <row r="22479" spans="1:16" x14ac:dyDescent="0.25">
      <c r="A22479" t="s">
        <v>45173</v>
      </c>
      <c r="B22479" t="s">
        <v>22226</v>
      </c>
      <c r="C22479" t="s">
        <v>22227</v>
      </c>
      <c r="D22479" t="s">
        <v>22228</v>
      </c>
      <c r="E22479" t="s">
        <v>22229</v>
      </c>
      <c r="F22479" t="s">
        <v>3750</v>
      </c>
      <c r="G22479" t="s">
        <v>47093</v>
      </c>
      <c r="H22479" t="s">
        <v>47054</v>
      </c>
      <c r="I22479" t="s">
        <v>47116</v>
      </c>
      <c r="J22479" t="s">
        <v>47117</v>
      </c>
      <c r="K22479" t="s">
        <v>47113</v>
      </c>
      <c r="L22479">
        <v>24.44</v>
      </c>
      <c r="M22479">
        <v>95</v>
      </c>
      <c r="N22479">
        <v>0</v>
      </c>
      <c r="O22479">
        <v>95</v>
      </c>
      <c r="P22479">
        <v>0</v>
      </c>
    </row>
    <row r="22480" spans="1:16" x14ac:dyDescent="0.25">
      <c r="A22480" t="s">
        <v>45174</v>
      </c>
      <c r="B22480" t="s">
        <v>22230</v>
      </c>
      <c r="C22480" t="s">
        <v>22231</v>
      </c>
      <c r="D22480" t="s">
        <v>22232</v>
      </c>
      <c r="E22480" t="s">
        <v>22233</v>
      </c>
      <c r="F22480" t="s">
        <v>3750</v>
      </c>
      <c r="G22480" t="s">
        <v>49029</v>
      </c>
      <c r="H22480" t="s">
        <v>47054</v>
      </c>
      <c r="I22480" t="s">
        <v>47116</v>
      </c>
      <c r="J22480" t="s">
        <v>47117</v>
      </c>
      <c r="K22480" t="s">
        <v>47113</v>
      </c>
      <c r="L22480">
        <v>32.270000000000003</v>
      </c>
      <c r="M22480">
        <v>108</v>
      </c>
      <c r="N22480">
        <v>0</v>
      </c>
      <c r="O22480">
        <v>108</v>
      </c>
      <c r="P22480">
        <v>0</v>
      </c>
    </row>
    <row r="22481" spans="1:16" x14ac:dyDescent="0.25">
      <c r="A22481" t="s">
        <v>45175</v>
      </c>
      <c r="B22481" t="s">
        <v>16180</v>
      </c>
      <c r="C22481" t="s">
        <v>16181</v>
      </c>
      <c r="D22481" t="s">
        <v>13456</v>
      </c>
      <c r="E22481" t="s">
        <v>13457</v>
      </c>
      <c r="F22481" t="s">
        <v>3558</v>
      </c>
      <c r="G22481" t="s">
        <v>47101</v>
      </c>
      <c r="H22481" t="s">
        <v>47054</v>
      </c>
      <c r="I22481" t="s">
        <v>47116</v>
      </c>
      <c r="J22481" t="s">
        <v>47117</v>
      </c>
      <c r="K22481" t="s">
        <v>47113</v>
      </c>
      <c r="L22481">
        <v>32.82</v>
      </c>
      <c r="M22481">
        <v>74</v>
      </c>
      <c r="N22481">
        <v>0</v>
      </c>
      <c r="O22481">
        <v>74</v>
      </c>
      <c r="P22481">
        <v>0</v>
      </c>
    </row>
    <row r="22482" spans="1:16" x14ac:dyDescent="0.25">
      <c r="A22482" t="s">
        <v>45176</v>
      </c>
      <c r="B22482" t="s">
        <v>13454</v>
      </c>
      <c r="C22482" t="s">
        <v>13455</v>
      </c>
      <c r="D22482" t="s">
        <v>13456</v>
      </c>
      <c r="E22482" t="s">
        <v>13457</v>
      </c>
      <c r="F22482" t="s">
        <v>3558</v>
      </c>
      <c r="G22482" t="s">
        <v>47093</v>
      </c>
      <c r="H22482" t="s">
        <v>47054</v>
      </c>
      <c r="I22482" t="s">
        <v>47111</v>
      </c>
      <c r="J22482" t="s">
        <v>47112</v>
      </c>
      <c r="K22482" t="s">
        <v>47113</v>
      </c>
      <c r="L22482">
        <v>48.98</v>
      </c>
      <c r="M22482">
        <v>74</v>
      </c>
      <c r="N22482">
        <v>0</v>
      </c>
      <c r="O22482">
        <v>74</v>
      </c>
      <c r="P22482">
        <v>0</v>
      </c>
    </row>
    <row r="22483" spans="1:16" x14ac:dyDescent="0.25">
      <c r="A22483" t="s">
        <v>45177</v>
      </c>
      <c r="B22483" t="s">
        <v>13458</v>
      </c>
      <c r="C22483" t="s">
        <v>13459</v>
      </c>
      <c r="D22483" t="s">
        <v>13456</v>
      </c>
      <c r="E22483" t="s">
        <v>13457</v>
      </c>
      <c r="F22483" t="s">
        <v>3558</v>
      </c>
      <c r="G22483" t="s">
        <v>49030</v>
      </c>
      <c r="H22483" t="s">
        <v>47054</v>
      </c>
      <c r="I22483" t="s">
        <v>47111</v>
      </c>
      <c r="J22483" t="s">
        <v>47112</v>
      </c>
      <c r="K22483" t="s">
        <v>47113</v>
      </c>
      <c r="L22483">
        <v>46.51</v>
      </c>
      <c r="M22483">
        <v>66</v>
      </c>
      <c r="N22483">
        <v>0</v>
      </c>
      <c r="O22483">
        <v>66</v>
      </c>
      <c r="P22483">
        <v>0</v>
      </c>
    </row>
    <row r="22484" spans="1:16" x14ac:dyDescent="0.25">
      <c r="A22484" t="s">
        <v>45178</v>
      </c>
      <c r="B22484" t="s">
        <v>13460</v>
      </c>
      <c r="C22484" t="s">
        <v>13461</v>
      </c>
      <c r="D22484" t="s">
        <v>13456</v>
      </c>
      <c r="E22484" t="s">
        <v>13457</v>
      </c>
      <c r="F22484" t="s">
        <v>3558</v>
      </c>
      <c r="G22484" t="s">
        <v>47093</v>
      </c>
      <c r="H22484" t="s">
        <v>47054</v>
      </c>
      <c r="I22484" t="s">
        <v>47116</v>
      </c>
      <c r="J22484" t="s">
        <v>47117</v>
      </c>
      <c r="K22484" t="s">
        <v>47113</v>
      </c>
      <c r="L22484">
        <v>75.22</v>
      </c>
      <c r="M22484">
        <v>103</v>
      </c>
      <c r="N22484">
        <v>0</v>
      </c>
      <c r="O22484">
        <v>103</v>
      </c>
      <c r="P22484">
        <v>0</v>
      </c>
    </row>
    <row r="22485" spans="1:16" x14ac:dyDescent="0.25">
      <c r="A22485" t="s">
        <v>45179</v>
      </c>
      <c r="B22485" t="s">
        <v>13462</v>
      </c>
      <c r="C22485" t="s">
        <v>13463</v>
      </c>
      <c r="D22485" t="s">
        <v>13456</v>
      </c>
      <c r="E22485" t="s">
        <v>13457</v>
      </c>
      <c r="F22485" t="s">
        <v>3558</v>
      </c>
      <c r="G22485" t="s">
        <v>47103</v>
      </c>
      <c r="H22485" t="s">
        <v>47054</v>
      </c>
      <c r="I22485" t="s">
        <v>47111</v>
      </c>
      <c r="J22485" t="s">
        <v>47112</v>
      </c>
      <c r="K22485" t="s">
        <v>47113</v>
      </c>
      <c r="L22485">
        <v>73.14</v>
      </c>
      <c r="M22485">
        <v>92</v>
      </c>
      <c r="N22485">
        <v>0</v>
      </c>
      <c r="O22485">
        <v>92</v>
      </c>
      <c r="P22485">
        <v>0</v>
      </c>
    </row>
    <row r="22486" spans="1:16" x14ac:dyDescent="0.25">
      <c r="A22486" t="s">
        <v>45180</v>
      </c>
      <c r="B22486" t="s">
        <v>13464</v>
      </c>
      <c r="C22486" t="s">
        <v>16431</v>
      </c>
      <c r="D22486" t="s">
        <v>13465</v>
      </c>
      <c r="E22486" t="s">
        <v>13466</v>
      </c>
      <c r="F22486" t="s">
        <v>3558</v>
      </c>
      <c r="G22486" t="s">
        <v>49029</v>
      </c>
      <c r="H22486" t="s">
        <v>47054</v>
      </c>
      <c r="I22486" t="s">
        <v>47111</v>
      </c>
      <c r="J22486" t="s">
        <v>47112</v>
      </c>
      <c r="K22486" t="s">
        <v>47113</v>
      </c>
      <c r="L22486">
        <v>52.63</v>
      </c>
      <c r="M22486">
        <v>74</v>
      </c>
      <c r="N22486">
        <v>0</v>
      </c>
      <c r="O22486">
        <v>74</v>
      </c>
      <c r="P22486">
        <v>0</v>
      </c>
    </row>
    <row r="22487" spans="1:16" x14ac:dyDescent="0.25">
      <c r="A22487" t="s">
        <v>45181</v>
      </c>
      <c r="B22487" t="s">
        <v>13467</v>
      </c>
      <c r="C22487" t="s">
        <v>16432</v>
      </c>
      <c r="D22487" t="s">
        <v>13465</v>
      </c>
      <c r="E22487" t="s">
        <v>13466</v>
      </c>
      <c r="F22487" t="s">
        <v>3558</v>
      </c>
      <c r="G22487" t="s">
        <v>47093</v>
      </c>
      <c r="H22487" t="s">
        <v>47054</v>
      </c>
      <c r="I22487" t="s">
        <v>47111</v>
      </c>
      <c r="J22487" t="s">
        <v>47112</v>
      </c>
      <c r="K22487" t="s">
        <v>47113</v>
      </c>
      <c r="L22487">
        <v>71.569999999999993</v>
      </c>
      <c r="M22487">
        <v>100</v>
      </c>
      <c r="N22487">
        <v>0</v>
      </c>
      <c r="O22487">
        <v>100</v>
      </c>
      <c r="P22487">
        <v>0</v>
      </c>
    </row>
    <row r="22488" spans="1:16" x14ac:dyDescent="0.25">
      <c r="A22488" t="s">
        <v>45182</v>
      </c>
      <c r="B22488" t="s">
        <v>14377</v>
      </c>
      <c r="C22488" t="s">
        <v>14378</v>
      </c>
      <c r="D22488" t="str">
        <f>"1001"</f>
        <v>1001</v>
      </c>
      <c r="E22488" t="s">
        <v>42</v>
      </c>
      <c r="F22488" t="s">
        <v>3750</v>
      </c>
      <c r="G22488" t="s">
        <v>47102</v>
      </c>
      <c r="H22488" t="s">
        <v>47054</v>
      </c>
      <c r="I22488" t="s">
        <v>47120</v>
      </c>
      <c r="J22488" t="s">
        <v>47121</v>
      </c>
      <c r="K22488" t="s">
        <v>47113</v>
      </c>
      <c r="L22488">
        <v>40.82</v>
      </c>
      <c r="M22488">
        <v>137</v>
      </c>
      <c r="N22488">
        <v>0</v>
      </c>
      <c r="O22488">
        <v>137</v>
      </c>
      <c r="P22488">
        <v>0</v>
      </c>
    </row>
    <row r="22489" spans="1:16" x14ac:dyDescent="0.25">
      <c r="A22489" t="s">
        <v>45183</v>
      </c>
      <c r="B22489" t="s">
        <v>22234</v>
      </c>
      <c r="C22489" t="s">
        <v>22235</v>
      </c>
      <c r="D22489" t="str">
        <f>"1001"</f>
        <v>1001</v>
      </c>
      <c r="E22489" t="s">
        <v>42</v>
      </c>
      <c r="F22489" t="s">
        <v>3750</v>
      </c>
      <c r="G22489" t="s">
        <v>47102</v>
      </c>
      <c r="H22489" t="s">
        <v>47054</v>
      </c>
      <c r="I22489" t="s">
        <v>47120</v>
      </c>
      <c r="J22489" t="s">
        <v>47121</v>
      </c>
      <c r="K22489" t="s">
        <v>47113</v>
      </c>
      <c r="L22489">
        <v>39.82</v>
      </c>
      <c r="M22489">
        <v>52</v>
      </c>
      <c r="N22489">
        <v>0</v>
      </c>
      <c r="O22489">
        <v>52</v>
      </c>
      <c r="P22489">
        <v>0</v>
      </c>
    </row>
    <row r="22490" spans="1:16" x14ac:dyDescent="0.25">
      <c r="A22490" t="s">
        <v>22943</v>
      </c>
      <c r="B22490" t="s">
        <v>22944</v>
      </c>
      <c r="C22490" t="s">
        <v>22945</v>
      </c>
      <c r="D22490" t="str">
        <f>"1001"</f>
        <v>1001</v>
      </c>
      <c r="E22490" t="s">
        <v>42</v>
      </c>
      <c r="F22490" t="s">
        <v>3750</v>
      </c>
      <c r="G22490" t="s">
        <v>47101</v>
      </c>
      <c r="H22490" t="s">
        <v>47054</v>
      </c>
      <c r="I22490" t="s">
        <v>47118</v>
      </c>
      <c r="J22490" t="s">
        <v>47119</v>
      </c>
      <c r="K22490" t="s">
        <v>47113</v>
      </c>
      <c r="L22490">
        <v>10.08</v>
      </c>
      <c r="M22490">
        <v>34</v>
      </c>
      <c r="N22490">
        <v>0</v>
      </c>
      <c r="O22490">
        <v>34</v>
      </c>
      <c r="P22490">
        <v>0</v>
      </c>
    </row>
    <row r="22491" spans="1:16" x14ac:dyDescent="0.25">
      <c r="A22491" t="s">
        <v>45184</v>
      </c>
      <c r="B22491" t="s">
        <v>16182</v>
      </c>
      <c r="C22491" t="s">
        <v>19312</v>
      </c>
      <c r="D22491" t="str">
        <f>"1001"</f>
        <v>1001</v>
      </c>
      <c r="E22491" t="s">
        <v>42</v>
      </c>
      <c r="F22491" t="s">
        <v>3750</v>
      </c>
      <c r="G22491" t="s">
        <v>47101</v>
      </c>
      <c r="H22491" t="s">
        <v>47054</v>
      </c>
      <c r="I22491" t="s">
        <v>47120</v>
      </c>
      <c r="J22491" t="s">
        <v>47121</v>
      </c>
      <c r="K22491" t="s">
        <v>47113</v>
      </c>
      <c r="L22491">
        <v>12.99</v>
      </c>
      <c r="M22491">
        <v>37</v>
      </c>
      <c r="N22491">
        <v>0</v>
      </c>
      <c r="O22491">
        <v>37</v>
      </c>
      <c r="P22491">
        <v>0</v>
      </c>
    </row>
    <row r="22492" spans="1:16" x14ac:dyDescent="0.25">
      <c r="A22492" t="s">
        <v>45185</v>
      </c>
      <c r="B22492" t="s">
        <v>16182</v>
      </c>
      <c r="C22492" t="s">
        <v>19312</v>
      </c>
      <c r="D22492" t="str">
        <f>"1700"</f>
        <v>1700</v>
      </c>
      <c r="E22492" t="s">
        <v>60</v>
      </c>
      <c r="F22492" t="s">
        <v>3750</v>
      </c>
      <c r="G22492" t="s">
        <v>47101</v>
      </c>
      <c r="H22492" t="s">
        <v>47054</v>
      </c>
      <c r="I22492" t="s">
        <v>47120</v>
      </c>
      <c r="J22492" t="s">
        <v>47121</v>
      </c>
      <c r="K22492" t="s">
        <v>47113</v>
      </c>
      <c r="L22492">
        <v>13.51</v>
      </c>
      <c r="M22492">
        <v>48</v>
      </c>
      <c r="N22492">
        <v>0</v>
      </c>
      <c r="O22492">
        <v>48</v>
      </c>
      <c r="P22492">
        <v>0</v>
      </c>
    </row>
    <row r="22493" spans="1:16" x14ac:dyDescent="0.25">
      <c r="A22493" t="s">
        <v>45186</v>
      </c>
      <c r="B22493" t="s">
        <v>16182</v>
      </c>
      <c r="C22493" t="s">
        <v>19312</v>
      </c>
      <c r="D22493" t="str">
        <f>"5000"</f>
        <v>5000</v>
      </c>
      <c r="E22493" t="s">
        <v>16183</v>
      </c>
      <c r="F22493" t="s">
        <v>3750</v>
      </c>
      <c r="G22493" t="s">
        <v>47101</v>
      </c>
      <c r="H22493" t="s">
        <v>47054</v>
      </c>
      <c r="I22493" t="s">
        <v>47120</v>
      </c>
      <c r="J22493" t="s">
        <v>47121</v>
      </c>
      <c r="K22493" t="s">
        <v>47113</v>
      </c>
      <c r="L22493">
        <v>13.51</v>
      </c>
      <c r="M22493">
        <v>48</v>
      </c>
      <c r="N22493">
        <v>0</v>
      </c>
      <c r="O22493">
        <v>48</v>
      </c>
      <c r="P22493">
        <v>0</v>
      </c>
    </row>
    <row r="22494" spans="1:16" x14ac:dyDescent="0.25">
      <c r="A22494" t="s">
        <v>45187</v>
      </c>
      <c r="B22494" t="s">
        <v>16182</v>
      </c>
      <c r="C22494" t="s">
        <v>19312</v>
      </c>
      <c r="D22494" t="str">
        <f>"6000"</f>
        <v>6000</v>
      </c>
      <c r="E22494" t="s">
        <v>19313</v>
      </c>
      <c r="F22494" t="s">
        <v>3750</v>
      </c>
      <c r="G22494" t="s">
        <v>47101</v>
      </c>
      <c r="H22494" t="s">
        <v>47054</v>
      </c>
      <c r="I22494" t="s">
        <v>47120</v>
      </c>
      <c r="J22494" t="s">
        <v>47121</v>
      </c>
      <c r="K22494" t="s">
        <v>47113</v>
      </c>
      <c r="L22494">
        <v>13.55</v>
      </c>
      <c r="M22494">
        <v>38</v>
      </c>
      <c r="N22494">
        <v>0</v>
      </c>
      <c r="O22494">
        <v>38</v>
      </c>
      <c r="P22494">
        <v>0</v>
      </c>
    </row>
    <row r="22495" spans="1:16" x14ac:dyDescent="0.25">
      <c r="A22495" t="s">
        <v>45188</v>
      </c>
      <c r="B22495" t="s">
        <v>22236</v>
      </c>
      <c r="C22495" t="s">
        <v>19312</v>
      </c>
      <c r="D22495" t="str">
        <f>"1001"</f>
        <v>1001</v>
      </c>
      <c r="E22495" t="s">
        <v>42</v>
      </c>
      <c r="F22495" t="s">
        <v>3750</v>
      </c>
      <c r="G22495" t="s">
        <v>47101</v>
      </c>
      <c r="H22495" t="s">
        <v>47054</v>
      </c>
      <c r="I22495" t="s">
        <v>47120</v>
      </c>
      <c r="J22495" t="s">
        <v>47121</v>
      </c>
      <c r="K22495" t="s">
        <v>47113</v>
      </c>
      <c r="L22495">
        <v>13.39</v>
      </c>
      <c r="M22495">
        <v>24</v>
      </c>
      <c r="N22495">
        <v>0</v>
      </c>
      <c r="O22495">
        <v>24</v>
      </c>
      <c r="P22495">
        <v>0</v>
      </c>
    </row>
    <row r="22496" spans="1:16" x14ac:dyDescent="0.25">
      <c r="A22496" t="s">
        <v>45189</v>
      </c>
      <c r="B22496" t="s">
        <v>22236</v>
      </c>
      <c r="C22496" t="s">
        <v>19312</v>
      </c>
      <c r="D22496" t="str">
        <f>"1700"</f>
        <v>1700</v>
      </c>
      <c r="E22496" t="s">
        <v>60</v>
      </c>
      <c r="F22496" t="s">
        <v>3750</v>
      </c>
      <c r="G22496" t="s">
        <v>47101</v>
      </c>
      <c r="H22496" t="s">
        <v>47054</v>
      </c>
      <c r="I22496" t="s">
        <v>47120</v>
      </c>
      <c r="J22496" t="s">
        <v>47121</v>
      </c>
      <c r="K22496" t="s">
        <v>47113</v>
      </c>
      <c r="L22496">
        <v>13.39</v>
      </c>
      <c r="M22496">
        <v>24</v>
      </c>
      <c r="N22496">
        <v>0</v>
      </c>
      <c r="O22496">
        <v>24</v>
      </c>
      <c r="P22496">
        <v>0</v>
      </c>
    </row>
    <row r="22497" spans="1:16" x14ac:dyDescent="0.25">
      <c r="A22497" t="s">
        <v>45190</v>
      </c>
      <c r="B22497" t="s">
        <v>22947</v>
      </c>
      <c r="C22497" t="s">
        <v>22948</v>
      </c>
      <c r="D22497" t="str">
        <f>"1001"</f>
        <v>1001</v>
      </c>
      <c r="E22497" t="s">
        <v>42</v>
      </c>
      <c r="F22497" t="s">
        <v>3750</v>
      </c>
      <c r="G22497" t="s">
        <v>47101</v>
      </c>
      <c r="H22497" t="s">
        <v>47054</v>
      </c>
      <c r="I22497" t="s">
        <v>47118</v>
      </c>
      <c r="J22497" t="s">
        <v>47119</v>
      </c>
      <c r="K22497" t="s">
        <v>47113</v>
      </c>
      <c r="L22497">
        <v>15.55</v>
      </c>
      <c r="M22497">
        <v>53</v>
      </c>
      <c r="N22497">
        <v>0</v>
      </c>
      <c r="O22497">
        <v>53</v>
      </c>
      <c r="P22497">
        <v>0</v>
      </c>
    </row>
    <row r="22498" spans="1:16" x14ac:dyDescent="0.25">
      <c r="A22498" t="s">
        <v>22946</v>
      </c>
      <c r="B22498" t="s">
        <v>22947</v>
      </c>
      <c r="C22498" t="s">
        <v>22948</v>
      </c>
      <c r="D22498" t="str">
        <f>"1761"</f>
        <v>1761</v>
      </c>
      <c r="E22498" t="s">
        <v>16439</v>
      </c>
      <c r="F22498" t="s">
        <v>3750</v>
      </c>
      <c r="G22498" t="s">
        <v>47101</v>
      </c>
      <c r="H22498" t="s">
        <v>47054</v>
      </c>
      <c r="I22498" t="s">
        <v>47118</v>
      </c>
      <c r="J22498" t="s">
        <v>47119</v>
      </c>
      <c r="K22498" t="s">
        <v>47113</v>
      </c>
      <c r="L22498">
        <v>15.55</v>
      </c>
      <c r="M22498">
        <v>53</v>
      </c>
      <c r="N22498">
        <v>0</v>
      </c>
      <c r="O22498">
        <v>53</v>
      </c>
      <c r="P22498">
        <v>0</v>
      </c>
    </row>
    <row r="22499" spans="1:16" x14ac:dyDescent="0.25">
      <c r="A22499" t="s">
        <v>22949</v>
      </c>
      <c r="B22499" t="s">
        <v>22947</v>
      </c>
      <c r="C22499" t="s">
        <v>22948</v>
      </c>
      <c r="D22499" t="str">
        <f>"6202"</f>
        <v>6202</v>
      </c>
      <c r="E22499" t="s">
        <v>22938</v>
      </c>
      <c r="F22499" t="s">
        <v>3750</v>
      </c>
      <c r="G22499" t="s">
        <v>47101</v>
      </c>
      <c r="H22499" t="s">
        <v>47054</v>
      </c>
      <c r="I22499" t="s">
        <v>47118</v>
      </c>
      <c r="J22499" t="s">
        <v>47119</v>
      </c>
      <c r="K22499" t="s">
        <v>47113</v>
      </c>
      <c r="L22499">
        <v>15.55</v>
      </c>
      <c r="M22499">
        <v>53</v>
      </c>
      <c r="N22499">
        <v>0</v>
      </c>
      <c r="O22499">
        <v>53</v>
      </c>
      <c r="P22499">
        <v>0</v>
      </c>
    </row>
    <row r="22500" spans="1:16" x14ac:dyDescent="0.25">
      <c r="A22500" t="s">
        <v>45191</v>
      </c>
      <c r="B22500" t="s">
        <v>45192</v>
      </c>
      <c r="C22500" t="s">
        <v>22948</v>
      </c>
      <c r="D22500" t="str">
        <f>"1001"</f>
        <v>1001</v>
      </c>
      <c r="E22500" t="s">
        <v>42</v>
      </c>
      <c r="F22500" t="s">
        <v>3750</v>
      </c>
      <c r="G22500" t="s">
        <v>47101</v>
      </c>
      <c r="H22500" t="s">
        <v>47054</v>
      </c>
      <c r="I22500" t="s">
        <v>47118</v>
      </c>
      <c r="J22500" t="s">
        <v>47119</v>
      </c>
      <c r="K22500" t="s">
        <v>47113</v>
      </c>
      <c r="L22500">
        <v>13.45</v>
      </c>
      <c r="M22500">
        <v>59</v>
      </c>
      <c r="N22500">
        <v>159</v>
      </c>
      <c r="O22500">
        <v>59</v>
      </c>
      <c r="P22500">
        <v>159</v>
      </c>
    </row>
    <row r="22501" spans="1:16" x14ac:dyDescent="0.25">
      <c r="A22501" t="s">
        <v>45193</v>
      </c>
      <c r="B22501" t="s">
        <v>45192</v>
      </c>
      <c r="C22501" t="s">
        <v>22948</v>
      </c>
      <c r="D22501" t="str">
        <f>"1700"</f>
        <v>1700</v>
      </c>
      <c r="E22501" t="s">
        <v>60</v>
      </c>
      <c r="F22501" t="s">
        <v>3750</v>
      </c>
      <c r="G22501" t="s">
        <v>47101</v>
      </c>
      <c r="H22501" t="s">
        <v>47054</v>
      </c>
      <c r="I22501" t="s">
        <v>47118</v>
      </c>
      <c r="J22501" t="s">
        <v>47119</v>
      </c>
      <c r="K22501" t="s">
        <v>47113</v>
      </c>
      <c r="L22501">
        <v>13.45</v>
      </c>
      <c r="M22501">
        <v>59</v>
      </c>
      <c r="N22501">
        <v>159</v>
      </c>
      <c r="O22501">
        <v>59</v>
      </c>
      <c r="P22501">
        <v>159</v>
      </c>
    </row>
    <row r="22502" spans="1:16" x14ac:dyDescent="0.25">
      <c r="A22502" t="s">
        <v>45194</v>
      </c>
      <c r="B22502" t="s">
        <v>45192</v>
      </c>
      <c r="C22502" t="s">
        <v>22948</v>
      </c>
      <c r="D22502" t="str">
        <f>"6000"</f>
        <v>6000</v>
      </c>
      <c r="E22502" t="s">
        <v>6279</v>
      </c>
      <c r="F22502" t="s">
        <v>24617</v>
      </c>
      <c r="G22502" t="s">
        <v>47101</v>
      </c>
      <c r="H22502" t="s">
        <v>47054</v>
      </c>
      <c r="I22502" t="s">
        <v>47118</v>
      </c>
      <c r="J22502" t="s">
        <v>47119</v>
      </c>
      <c r="K22502" t="s">
        <v>47113</v>
      </c>
      <c r="L22502">
        <v>13.45</v>
      </c>
      <c r="M22502">
        <v>59</v>
      </c>
      <c r="N22502">
        <v>159</v>
      </c>
      <c r="O22502">
        <v>59</v>
      </c>
      <c r="P22502">
        <v>159</v>
      </c>
    </row>
    <row r="22503" spans="1:16" x14ac:dyDescent="0.25">
      <c r="A22503" t="s">
        <v>45195</v>
      </c>
      <c r="B22503" t="s">
        <v>45192</v>
      </c>
      <c r="C22503" t="s">
        <v>22948</v>
      </c>
      <c r="D22503" t="str">
        <f>"6500"</f>
        <v>6500</v>
      </c>
      <c r="E22503" t="s">
        <v>45196</v>
      </c>
      <c r="F22503" t="s">
        <v>3750</v>
      </c>
      <c r="G22503" t="s">
        <v>47101</v>
      </c>
      <c r="H22503" t="s">
        <v>47054</v>
      </c>
      <c r="I22503" t="s">
        <v>47118</v>
      </c>
      <c r="J22503" t="s">
        <v>47119</v>
      </c>
      <c r="K22503" t="s">
        <v>47113</v>
      </c>
      <c r="L22503">
        <v>14.43</v>
      </c>
      <c r="M22503">
        <v>48</v>
      </c>
      <c r="N22503">
        <v>129</v>
      </c>
      <c r="O22503">
        <v>48</v>
      </c>
      <c r="P22503">
        <v>129</v>
      </c>
    </row>
    <row r="22504" spans="1:16" x14ac:dyDescent="0.25">
      <c r="A22504" t="s">
        <v>45197</v>
      </c>
      <c r="B22504" t="s">
        <v>45198</v>
      </c>
      <c r="C22504" t="s">
        <v>45199</v>
      </c>
      <c r="D22504" t="str">
        <f>"1001"</f>
        <v>1001</v>
      </c>
      <c r="E22504" t="s">
        <v>42</v>
      </c>
      <c r="F22504" t="s">
        <v>3750</v>
      </c>
      <c r="G22504" t="s">
        <v>47101</v>
      </c>
      <c r="H22504" t="s">
        <v>47054</v>
      </c>
      <c r="I22504" t="s">
        <v>47118</v>
      </c>
      <c r="J22504" t="s">
        <v>47119</v>
      </c>
      <c r="K22504" t="s">
        <v>47113</v>
      </c>
      <c r="L22504">
        <v>15.55</v>
      </c>
      <c r="M22504">
        <v>63</v>
      </c>
      <c r="N22504">
        <v>169</v>
      </c>
      <c r="O22504">
        <v>63</v>
      </c>
      <c r="P22504">
        <v>169</v>
      </c>
    </row>
    <row r="22505" spans="1:16" x14ac:dyDescent="0.25">
      <c r="A22505" t="s">
        <v>45200</v>
      </c>
      <c r="B22505" t="s">
        <v>45198</v>
      </c>
      <c r="C22505" t="s">
        <v>45199</v>
      </c>
      <c r="D22505" t="str">
        <f>"1700"</f>
        <v>1700</v>
      </c>
      <c r="E22505" t="s">
        <v>60</v>
      </c>
      <c r="F22505" t="s">
        <v>3750</v>
      </c>
      <c r="G22505" t="s">
        <v>47101</v>
      </c>
      <c r="H22505" t="s">
        <v>47054</v>
      </c>
      <c r="I22505" t="s">
        <v>47118</v>
      </c>
      <c r="J22505" t="s">
        <v>47119</v>
      </c>
      <c r="K22505" t="s">
        <v>47113</v>
      </c>
      <c r="L22505">
        <v>15.55</v>
      </c>
      <c r="M22505">
        <v>63</v>
      </c>
      <c r="N22505">
        <v>169</v>
      </c>
      <c r="O22505">
        <v>63</v>
      </c>
      <c r="P22505">
        <v>169</v>
      </c>
    </row>
    <row r="22506" spans="1:16" x14ac:dyDescent="0.25">
      <c r="A22506" t="s">
        <v>49756</v>
      </c>
      <c r="B22506" t="s">
        <v>49757</v>
      </c>
      <c r="C22506" t="s">
        <v>49758</v>
      </c>
      <c r="D22506" t="str">
        <f>"1001"</f>
        <v>1001</v>
      </c>
      <c r="E22506" t="s">
        <v>42</v>
      </c>
      <c r="F22506" t="s">
        <v>47185</v>
      </c>
      <c r="G22506" t="s">
        <v>47101</v>
      </c>
      <c r="H22506" t="s">
        <v>47054</v>
      </c>
      <c r="I22506" t="s">
        <v>47118</v>
      </c>
      <c r="J22506" t="s">
        <v>47119</v>
      </c>
      <c r="K22506" t="s">
        <v>47113</v>
      </c>
      <c r="L22506">
        <v>16.57</v>
      </c>
      <c r="M22506">
        <v>37</v>
      </c>
      <c r="N22506">
        <v>99</v>
      </c>
      <c r="O22506">
        <v>37</v>
      </c>
      <c r="P22506">
        <v>99</v>
      </c>
    </row>
    <row r="22507" spans="1:16" x14ac:dyDescent="0.25">
      <c r="A22507" t="s">
        <v>45201</v>
      </c>
      <c r="B22507" t="s">
        <v>22237</v>
      </c>
      <c r="C22507" t="s">
        <v>22238</v>
      </c>
      <c r="D22507" t="s">
        <v>19315</v>
      </c>
      <c r="E22507" t="s">
        <v>19316</v>
      </c>
      <c r="F22507" t="s">
        <v>3750</v>
      </c>
      <c r="G22507" t="s">
        <v>47093</v>
      </c>
      <c r="H22507" t="s">
        <v>47054</v>
      </c>
      <c r="I22507" t="s">
        <v>47116</v>
      </c>
      <c r="J22507" t="s">
        <v>47117</v>
      </c>
      <c r="K22507" t="s">
        <v>47113</v>
      </c>
      <c r="L22507">
        <v>26.75</v>
      </c>
      <c r="M22507">
        <v>46</v>
      </c>
      <c r="N22507">
        <v>0</v>
      </c>
      <c r="O22507">
        <v>46</v>
      </c>
      <c r="P22507">
        <v>0</v>
      </c>
    </row>
    <row r="22508" spans="1:16" x14ac:dyDescent="0.25">
      <c r="A22508" t="s">
        <v>45202</v>
      </c>
      <c r="B22508" t="s">
        <v>22239</v>
      </c>
      <c r="C22508" t="s">
        <v>22240</v>
      </c>
      <c r="D22508" t="s">
        <v>21597</v>
      </c>
      <c r="E22508" t="s">
        <v>21598</v>
      </c>
      <c r="F22508" t="s">
        <v>3750</v>
      </c>
      <c r="G22508" t="s">
        <v>47093</v>
      </c>
      <c r="H22508" t="s">
        <v>47054</v>
      </c>
      <c r="I22508" t="s">
        <v>47116</v>
      </c>
      <c r="J22508" t="s">
        <v>47117</v>
      </c>
      <c r="K22508" t="s">
        <v>47113</v>
      </c>
      <c r="L22508">
        <v>21.01</v>
      </c>
      <c r="M22508">
        <v>67</v>
      </c>
      <c r="N22508">
        <v>0</v>
      </c>
      <c r="O22508">
        <v>67</v>
      </c>
      <c r="P22508">
        <v>0</v>
      </c>
    </row>
    <row r="22509" spans="1:16" x14ac:dyDescent="0.25">
      <c r="A22509" t="s">
        <v>45203</v>
      </c>
      <c r="B22509" t="s">
        <v>19314</v>
      </c>
      <c r="C22509" t="s">
        <v>49759</v>
      </c>
      <c r="D22509" t="s">
        <v>19315</v>
      </c>
      <c r="E22509" t="s">
        <v>19316</v>
      </c>
      <c r="F22509" t="s">
        <v>3750</v>
      </c>
      <c r="G22509" t="s">
        <v>47093</v>
      </c>
      <c r="H22509" t="s">
        <v>47054</v>
      </c>
      <c r="I22509" t="s">
        <v>47116</v>
      </c>
      <c r="J22509" t="s">
        <v>47117</v>
      </c>
      <c r="K22509" t="s">
        <v>47113</v>
      </c>
      <c r="L22509">
        <v>25.86</v>
      </c>
      <c r="M22509">
        <v>103</v>
      </c>
      <c r="N22509">
        <v>0</v>
      </c>
      <c r="O22509">
        <v>103</v>
      </c>
      <c r="P22509">
        <v>0</v>
      </c>
    </row>
    <row r="22510" spans="1:16" x14ac:dyDescent="0.25">
      <c r="A22510" t="s">
        <v>45204</v>
      </c>
      <c r="B22510" t="s">
        <v>22241</v>
      </c>
      <c r="C22510" t="s">
        <v>22242</v>
      </c>
      <c r="D22510" t="s">
        <v>19315</v>
      </c>
      <c r="E22510" t="s">
        <v>19316</v>
      </c>
      <c r="F22510" t="s">
        <v>3750</v>
      </c>
      <c r="G22510" t="s">
        <v>47093</v>
      </c>
      <c r="H22510" t="s">
        <v>47054</v>
      </c>
      <c r="I22510" t="s">
        <v>47116</v>
      </c>
      <c r="J22510" t="s">
        <v>47117</v>
      </c>
      <c r="K22510" t="s">
        <v>47113</v>
      </c>
      <c r="L22510">
        <v>34.06</v>
      </c>
      <c r="M22510">
        <v>46</v>
      </c>
      <c r="N22510">
        <v>0</v>
      </c>
      <c r="O22510">
        <v>46</v>
      </c>
      <c r="P22510">
        <v>0</v>
      </c>
    </row>
    <row r="22511" spans="1:16" x14ac:dyDescent="0.25">
      <c r="A22511" t="s">
        <v>45205</v>
      </c>
      <c r="B22511" t="s">
        <v>19317</v>
      </c>
      <c r="C22511" t="s">
        <v>49760</v>
      </c>
      <c r="D22511" t="s">
        <v>19315</v>
      </c>
      <c r="E22511" t="s">
        <v>19316</v>
      </c>
      <c r="F22511" t="s">
        <v>3750</v>
      </c>
      <c r="G22511" t="s">
        <v>47093</v>
      </c>
      <c r="H22511" t="s">
        <v>47054</v>
      </c>
      <c r="I22511" t="s">
        <v>47116</v>
      </c>
      <c r="J22511" t="s">
        <v>47117</v>
      </c>
      <c r="K22511" t="s">
        <v>47113</v>
      </c>
      <c r="L22511">
        <v>23.16</v>
      </c>
      <c r="M22511">
        <v>76</v>
      </c>
      <c r="N22511">
        <v>0</v>
      </c>
      <c r="O22511">
        <v>76</v>
      </c>
      <c r="P22511">
        <v>0</v>
      </c>
    </row>
    <row r="22512" spans="1:16" x14ac:dyDescent="0.25">
      <c r="A22512" t="s">
        <v>45206</v>
      </c>
      <c r="B22512" t="s">
        <v>22243</v>
      </c>
      <c r="C22512" t="s">
        <v>22244</v>
      </c>
      <c r="D22512" t="s">
        <v>21597</v>
      </c>
      <c r="E22512" t="s">
        <v>21598</v>
      </c>
      <c r="F22512" t="s">
        <v>3750</v>
      </c>
      <c r="G22512" t="s">
        <v>47093</v>
      </c>
      <c r="H22512" t="s">
        <v>47054</v>
      </c>
      <c r="I22512" t="s">
        <v>47116</v>
      </c>
      <c r="J22512" t="s">
        <v>47117</v>
      </c>
      <c r="K22512" t="s">
        <v>47113</v>
      </c>
      <c r="L22512">
        <v>22.04</v>
      </c>
      <c r="M22512">
        <v>81</v>
      </c>
      <c r="N22512">
        <v>0</v>
      </c>
      <c r="O22512">
        <v>81</v>
      </c>
      <c r="P22512">
        <v>0</v>
      </c>
    </row>
    <row r="22513" spans="1:16" x14ac:dyDescent="0.25">
      <c r="A22513" t="s">
        <v>45207</v>
      </c>
      <c r="B22513" t="s">
        <v>22245</v>
      </c>
      <c r="C22513" t="s">
        <v>22246</v>
      </c>
      <c r="D22513" t="s">
        <v>19320</v>
      </c>
      <c r="E22513" t="s">
        <v>19321</v>
      </c>
      <c r="F22513" t="s">
        <v>3750</v>
      </c>
      <c r="G22513" t="s">
        <v>47093</v>
      </c>
      <c r="H22513" t="s">
        <v>47054</v>
      </c>
      <c r="I22513" t="s">
        <v>47116</v>
      </c>
      <c r="J22513" t="s">
        <v>47117</v>
      </c>
      <c r="K22513" t="s">
        <v>47113</v>
      </c>
      <c r="L22513">
        <v>31.79</v>
      </c>
      <c r="M22513">
        <v>46</v>
      </c>
      <c r="N22513">
        <v>0</v>
      </c>
      <c r="O22513">
        <v>46</v>
      </c>
      <c r="P22513">
        <v>0</v>
      </c>
    </row>
    <row r="22514" spans="1:16" x14ac:dyDescent="0.25">
      <c r="A22514" t="s">
        <v>45208</v>
      </c>
      <c r="B22514" t="s">
        <v>22247</v>
      </c>
      <c r="C22514" t="s">
        <v>22248</v>
      </c>
      <c r="D22514" t="s">
        <v>22085</v>
      </c>
      <c r="E22514" t="s">
        <v>22086</v>
      </c>
      <c r="F22514" t="s">
        <v>3750</v>
      </c>
      <c r="G22514" t="s">
        <v>47093</v>
      </c>
      <c r="H22514" t="s">
        <v>47054</v>
      </c>
      <c r="I22514" t="s">
        <v>47116</v>
      </c>
      <c r="J22514" t="s">
        <v>47117</v>
      </c>
      <c r="K22514" t="s">
        <v>47113</v>
      </c>
      <c r="L22514">
        <v>23.49</v>
      </c>
      <c r="M22514">
        <v>80</v>
      </c>
      <c r="N22514">
        <v>0</v>
      </c>
      <c r="O22514">
        <v>80</v>
      </c>
      <c r="P22514">
        <v>0</v>
      </c>
    </row>
    <row r="22515" spans="1:16" x14ac:dyDescent="0.25">
      <c r="A22515" t="s">
        <v>45209</v>
      </c>
      <c r="B22515" t="s">
        <v>22249</v>
      </c>
      <c r="C22515" t="s">
        <v>22250</v>
      </c>
      <c r="D22515" t="s">
        <v>22251</v>
      </c>
      <c r="E22515" t="s">
        <v>22252</v>
      </c>
      <c r="F22515" t="s">
        <v>3750</v>
      </c>
      <c r="G22515" t="s">
        <v>47093</v>
      </c>
      <c r="H22515" t="s">
        <v>47054</v>
      </c>
      <c r="I22515" t="s">
        <v>47116</v>
      </c>
      <c r="J22515" t="s">
        <v>47117</v>
      </c>
      <c r="K22515" t="s">
        <v>47113</v>
      </c>
      <c r="L22515">
        <v>28.94</v>
      </c>
      <c r="M22515">
        <v>107</v>
      </c>
      <c r="N22515">
        <v>0</v>
      </c>
      <c r="O22515">
        <v>107</v>
      </c>
      <c r="P22515">
        <v>0</v>
      </c>
    </row>
    <row r="22516" spans="1:16" x14ac:dyDescent="0.25">
      <c r="A22516" t="s">
        <v>45210</v>
      </c>
      <c r="B22516" t="s">
        <v>19318</v>
      </c>
      <c r="C22516" t="s">
        <v>19319</v>
      </c>
      <c r="D22516" t="s">
        <v>19320</v>
      </c>
      <c r="E22516" t="s">
        <v>19321</v>
      </c>
      <c r="F22516" t="s">
        <v>3750</v>
      </c>
      <c r="G22516" t="s">
        <v>47093</v>
      </c>
      <c r="H22516" t="s">
        <v>47054</v>
      </c>
      <c r="I22516" t="s">
        <v>47116</v>
      </c>
      <c r="J22516" t="s">
        <v>47117</v>
      </c>
      <c r="K22516" t="s">
        <v>47113</v>
      </c>
      <c r="L22516">
        <v>24.78</v>
      </c>
      <c r="M22516">
        <v>103</v>
      </c>
      <c r="N22516">
        <v>0</v>
      </c>
      <c r="O22516">
        <v>103</v>
      </c>
      <c r="P22516">
        <v>0</v>
      </c>
    </row>
    <row r="22517" spans="1:16" x14ac:dyDescent="0.25">
      <c r="A22517" t="s">
        <v>45211</v>
      </c>
      <c r="B22517" t="s">
        <v>22253</v>
      </c>
      <c r="C22517" t="s">
        <v>15987</v>
      </c>
      <c r="D22517" t="s">
        <v>22254</v>
      </c>
      <c r="E22517" t="s">
        <v>22255</v>
      </c>
      <c r="F22517" t="s">
        <v>3750</v>
      </c>
      <c r="G22517" t="s">
        <v>47093</v>
      </c>
      <c r="H22517" t="s">
        <v>47054</v>
      </c>
      <c r="I22517" t="s">
        <v>47116</v>
      </c>
      <c r="J22517" t="s">
        <v>47117</v>
      </c>
      <c r="K22517" t="s">
        <v>47113</v>
      </c>
      <c r="L22517">
        <v>22.1</v>
      </c>
      <c r="M22517">
        <v>80</v>
      </c>
      <c r="N22517">
        <v>0</v>
      </c>
      <c r="O22517">
        <v>80</v>
      </c>
      <c r="P22517">
        <v>0</v>
      </c>
    </row>
    <row r="22518" spans="1:16" x14ac:dyDescent="0.25">
      <c r="A22518" t="s">
        <v>45212</v>
      </c>
      <c r="B22518" t="s">
        <v>22256</v>
      </c>
      <c r="C22518" t="s">
        <v>22257</v>
      </c>
      <c r="D22518" t="s">
        <v>19320</v>
      </c>
      <c r="E22518" t="s">
        <v>19321</v>
      </c>
      <c r="F22518" t="s">
        <v>3750</v>
      </c>
      <c r="G22518" t="s">
        <v>47093</v>
      </c>
      <c r="H22518" t="s">
        <v>47054</v>
      </c>
      <c r="I22518" t="s">
        <v>47116</v>
      </c>
      <c r="J22518" t="s">
        <v>47117</v>
      </c>
      <c r="K22518" t="s">
        <v>47113</v>
      </c>
      <c r="L22518">
        <v>31.22</v>
      </c>
      <c r="M22518">
        <v>57</v>
      </c>
      <c r="N22518">
        <v>0</v>
      </c>
      <c r="O22518">
        <v>57</v>
      </c>
      <c r="P22518">
        <v>0</v>
      </c>
    </row>
    <row r="22519" spans="1:16" x14ac:dyDescent="0.25">
      <c r="A22519" t="s">
        <v>45213</v>
      </c>
      <c r="B22519" t="s">
        <v>19322</v>
      </c>
      <c r="C22519" t="s">
        <v>19323</v>
      </c>
      <c r="D22519" t="s">
        <v>19324</v>
      </c>
      <c r="E22519" t="s">
        <v>19325</v>
      </c>
      <c r="F22519" t="s">
        <v>3750</v>
      </c>
      <c r="G22519" t="s">
        <v>47093</v>
      </c>
      <c r="H22519" t="s">
        <v>47054</v>
      </c>
      <c r="I22519" t="s">
        <v>47116</v>
      </c>
      <c r="J22519" t="s">
        <v>47117</v>
      </c>
      <c r="K22519" t="s">
        <v>47113</v>
      </c>
      <c r="L22519">
        <v>26.94</v>
      </c>
      <c r="M22519">
        <v>76</v>
      </c>
      <c r="N22519">
        <v>0</v>
      </c>
      <c r="O22519">
        <v>76</v>
      </c>
      <c r="P22519">
        <v>0</v>
      </c>
    </row>
    <row r="22520" spans="1:16" x14ac:dyDescent="0.25">
      <c r="A22520" t="s">
        <v>45214</v>
      </c>
      <c r="B22520" t="s">
        <v>22258</v>
      </c>
      <c r="C22520" t="s">
        <v>22259</v>
      </c>
      <c r="D22520" t="s">
        <v>22251</v>
      </c>
      <c r="E22520" t="s">
        <v>22252</v>
      </c>
      <c r="F22520" t="s">
        <v>3750</v>
      </c>
      <c r="G22520" t="s">
        <v>47093</v>
      </c>
      <c r="H22520" t="s">
        <v>47054</v>
      </c>
      <c r="I22520" t="s">
        <v>47116</v>
      </c>
      <c r="J22520" t="s">
        <v>47117</v>
      </c>
      <c r="K22520" t="s">
        <v>47113</v>
      </c>
      <c r="L22520">
        <v>20.329999999999998</v>
      </c>
      <c r="M22520">
        <v>64</v>
      </c>
      <c r="N22520">
        <v>0</v>
      </c>
      <c r="O22520">
        <v>64</v>
      </c>
      <c r="P22520">
        <v>0</v>
      </c>
    </row>
    <row r="22521" spans="1:16" x14ac:dyDescent="0.25">
      <c r="A22521" t="s">
        <v>45215</v>
      </c>
      <c r="B22521" t="s">
        <v>22260</v>
      </c>
      <c r="C22521" t="s">
        <v>22261</v>
      </c>
      <c r="D22521" t="s">
        <v>22262</v>
      </c>
      <c r="E22521" t="s">
        <v>22263</v>
      </c>
      <c r="F22521" t="s">
        <v>3750</v>
      </c>
      <c r="G22521" t="s">
        <v>47093</v>
      </c>
      <c r="H22521" t="s">
        <v>47054</v>
      </c>
      <c r="I22521" t="s">
        <v>47116</v>
      </c>
      <c r="J22521" t="s">
        <v>47117</v>
      </c>
      <c r="K22521" t="s">
        <v>47113</v>
      </c>
      <c r="L22521">
        <v>26.35</v>
      </c>
      <c r="M22521">
        <v>108</v>
      </c>
      <c r="N22521">
        <v>0</v>
      </c>
      <c r="O22521">
        <v>108</v>
      </c>
      <c r="P22521">
        <v>0</v>
      </c>
    </row>
    <row r="22522" spans="1:16" x14ac:dyDescent="0.25">
      <c r="A22522" t="s">
        <v>45216</v>
      </c>
      <c r="B22522" t="s">
        <v>22264</v>
      </c>
      <c r="C22522" t="s">
        <v>22265</v>
      </c>
      <c r="D22522" t="s">
        <v>22266</v>
      </c>
      <c r="E22522" t="s">
        <v>22267</v>
      </c>
      <c r="F22522" t="s">
        <v>3750</v>
      </c>
      <c r="G22522" t="s">
        <v>47093</v>
      </c>
      <c r="H22522" t="s">
        <v>47054</v>
      </c>
      <c r="I22522" t="s">
        <v>47116</v>
      </c>
      <c r="J22522" t="s">
        <v>47117</v>
      </c>
      <c r="K22522" t="s">
        <v>47113</v>
      </c>
      <c r="L22522">
        <v>28.8</v>
      </c>
      <c r="M22522">
        <v>93</v>
      </c>
      <c r="N22522">
        <v>0</v>
      </c>
      <c r="O22522">
        <v>93</v>
      </c>
      <c r="P22522">
        <v>0</v>
      </c>
    </row>
    <row r="22523" spans="1:16" x14ac:dyDescent="0.25">
      <c r="A22523" t="s">
        <v>45217</v>
      </c>
      <c r="B22523" t="s">
        <v>22268</v>
      </c>
      <c r="C22523" t="s">
        <v>22269</v>
      </c>
      <c r="D22523" t="s">
        <v>22270</v>
      </c>
      <c r="E22523" t="s">
        <v>22271</v>
      </c>
      <c r="F22523" t="s">
        <v>3750</v>
      </c>
      <c r="G22523" t="s">
        <v>47093</v>
      </c>
      <c r="H22523" t="s">
        <v>47054</v>
      </c>
      <c r="I22523" t="s">
        <v>47116</v>
      </c>
      <c r="J22523" t="s">
        <v>47117</v>
      </c>
      <c r="K22523" t="s">
        <v>47113</v>
      </c>
      <c r="L22523">
        <v>25.09</v>
      </c>
      <c r="M22523">
        <v>67</v>
      </c>
      <c r="N22523">
        <v>0</v>
      </c>
      <c r="O22523">
        <v>67</v>
      </c>
      <c r="P22523">
        <v>0</v>
      </c>
    </row>
    <row r="22524" spans="1:16" x14ac:dyDescent="0.25">
      <c r="A22524" t="s">
        <v>45218</v>
      </c>
      <c r="B22524" t="s">
        <v>22272</v>
      </c>
      <c r="C22524" t="s">
        <v>22273</v>
      </c>
      <c r="D22524" t="s">
        <v>22270</v>
      </c>
      <c r="E22524" t="s">
        <v>22271</v>
      </c>
      <c r="F22524" t="s">
        <v>3750</v>
      </c>
      <c r="G22524" t="s">
        <v>49029</v>
      </c>
      <c r="H22524" t="s">
        <v>47054</v>
      </c>
      <c r="I22524" t="s">
        <v>47116</v>
      </c>
      <c r="J22524" t="s">
        <v>47117</v>
      </c>
      <c r="K22524" t="s">
        <v>47113</v>
      </c>
      <c r="L22524">
        <v>25.09</v>
      </c>
      <c r="M22524">
        <v>67</v>
      </c>
      <c r="N22524">
        <v>0</v>
      </c>
      <c r="O22524">
        <v>67</v>
      </c>
      <c r="P22524">
        <v>0</v>
      </c>
    </row>
    <row r="22525" spans="1:16" x14ac:dyDescent="0.25">
      <c r="A22525" t="s">
        <v>45219</v>
      </c>
      <c r="B22525" t="s">
        <v>22274</v>
      </c>
      <c r="C22525" t="s">
        <v>22275</v>
      </c>
      <c r="D22525" t="s">
        <v>22204</v>
      </c>
      <c r="E22525" t="s">
        <v>22205</v>
      </c>
      <c r="F22525" t="s">
        <v>3750</v>
      </c>
      <c r="G22525" t="s">
        <v>47093</v>
      </c>
      <c r="H22525" t="s">
        <v>47054</v>
      </c>
      <c r="I22525" t="s">
        <v>47116</v>
      </c>
      <c r="J22525" t="s">
        <v>47117</v>
      </c>
      <c r="K22525" t="s">
        <v>47113</v>
      </c>
      <c r="L22525">
        <v>26.94</v>
      </c>
      <c r="M22525">
        <v>46</v>
      </c>
      <c r="N22525">
        <v>0</v>
      </c>
      <c r="O22525">
        <v>46</v>
      </c>
      <c r="P22525">
        <v>0</v>
      </c>
    </row>
    <row r="22526" spans="1:16" x14ac:dyDescent="0.25">
      <c r="A22526" t="s">
        <v>45220</v>
      </c>
      <c r="B22526" t="s">
        <v>22276</v>
      </c>
      <c r="C22526" t="s">
        <v>22277</v>
      </c>
      <c r="D22526" t="s">
        <v>22232</v>
      </c>
      <c r="E22526" t="s">
        <v>22233</v>
      </c>
      <c r="F22526" t="s">
        <v>3750</v>
      </c>
      <c r="G22526" t="s">
        <v>47093</v>
      </c>
      <c r="H22526" t="s">
        <v>47054</v>
      </c>
      <c r="I22526" t="s">
        <v>47116</v>
      </c>
      <c r="J22526" t="s">
        <v>47117</v>
      </c>
      <c r="K22526" t="s">
        <v>47113</v>
      </c>
      <c r="L22526">
        <v>23.2</v>
      </c>
      <c r="M22526">
        <v>80</v>
      </c>
      <c r="N22526">
        <v>0</v>
      </c>
      <c r="O22526">
        <v>80</v>
      </c>
      <c r="P22526">
        <v>0</v>
      </c>
    </row>
    <row r="22527" spans="1:16" x14ac:dyDescent="0.25">
      <c r="A22527" t="s">
        <v>45221</v>
      </c>
      <c r="B22527" t="s">
        <v>22278</v>
      </c>
      <c r="C22527" t="s">
        <v>22279</v>
      </c>
      <c r="D22527" t="s">
        <v>22270</v>
      </c>
      <c r="E22527" t="s">
        <v>22271</v>
      </c>
      <c r="F22527" t="s">
        <v>3750</v>
      </c>
      <c r="G22527" t="s">
        <v>47093</v>
      </c>
      <c r="H22527" t="s">
        <v>47054</v>
      </c>
      <c r="I22527" t="s">
        <v>47116</v>
      </c>
      <c r="J22527" t="s">
        <v>47117</v>
      </c>
      <c r="K22527" t="s">
        <v>47113</v>
      </c>
      <c r="L22527">
        <v>21.99</v>
      </c>
      <c r="M22527">
        <v>131</v>
      </c>
      <c r="N22527">
        <v>0</v>
      </c>
      <c r="O22527">
        <v>131</v>
      </c>
      <c r="P22527">
        <v>0</v>
      </c>
    </row>
    <row r="22528" spans="1:16" x14ac:dyDescent="0.25">
      <c r="A22528" t="s">
        <v>45222</v>
      </c>
      <c r="B22528" t="s">
        <v>22280</v>
      </c>
      <c r="C22528" t="s">
        <v>22281</v>
      </c>
      <c r="D22528" t="s">
        <v>22266</v>
      </c>
      <c r="E22528" t="s">
        <v>22267</v>
      </c>
      <c r="F22528" t="s">
        <v>3750</v>
      </c>
      <c r="G22528" t="s">
        <v>47093</v>
      </c>
      <c r="H22528" t="s">
        <v>47054</v>
      </c>
      <c r="I22528" t="s">
        <v>47116</v>
      </c>
      <c r="J22528" t="s">
        <v>47117</v>
      </c>
      <c r="K22528" t="s">
        <v>47113</v>
      </c>
      <c r="L22528">
        <v>31.66</v>
      </c>
      <c r="M22528">
        <v>107</v>
      </c>
      <c r="N22528">
        <v>0</v>
      </c>
      <c r="O22528">
        <v>107</v>
      </c>
      <c r="P22528">
        <v>0</v>
      </c>
    </row>
    <row r="22529" spans="1:16" x14ac:dyDescent="0.25">
      <c r="A22529" t="s">
        <v>45223</v>
      </c>
      <c r="B22529" t="s">
        <v>22282</v>
      </c>
      <c r="C22529" t="s">
        <v>22283</v>
      </c>
      <c r="D22529" t="s">
        <v>22251</v>
      </c>
      <c r="E22529" t="s">
        <v>22252</v>
      </c>
      <c r="F22529" t="s">
        <v>3750</v>
      </c>
      <c r="G22529" t="s">
        <v>47093</v>
      </c>
      <c r="H22529" t="s">
        <v>47054</v>
      </c>
      <c r="I22529" t="s">
        <v>47116</v>
      </c>
      <c r="J22529" t="s">
        <v>47117</v>
      </c>
      <c r="K22529" t="s">
        <v>47113</v>
      </c>
      <c r="L22529">
        <v>21.14</v>
      </c>
      <c r="M22529">
        <v>67</v>
      </c>
      <c r="N22529">
        <v>0</v>
      </c>
      <c r="O22529">
        <v>67</v>
      </c>
      <c r="P22529">
        <v>0</v>
      </c>
    </row>
    <row r="22530" spans="1:16" x14ac:dyDescent="0.25">
      <c r="A22530" t="s">
        <v>45224</v>
      </c>
      <c r="B22530" t="s">
        <v>22284</v>
      </c>
      <c r="C22530" t="s">
        <v>22285</v>
      </c>
      <c r="D22530" t="s">
        <v>22212</v>
      </c>
      <c r="E22530" t="s">
        <v>22213</v>
      </c>
      <c r="F22530" t="s">
        <v>3750</v>
      </c>
      <c r="G22530" t="s">
        <v>47093</v>
      </c>
      <c r="H22530" t="s">
        <v>47054</v>
      </c>
      <c r="I22530" t="s">
        <v>47116</v>
      </c>
      <c r="J22530" t="s">
        <v>47117</v>
      </c>
      <c r="K22530" t="s">
        <v>47113</v>
      </c>
      <c r="L22530">
        <v>38.1</v>
      </c>
      <c r="M22530">
        <v>46</v>
      </c>
      <c r="N22530">
        <v>0</v>
      </c>
      <c r="O22530">
        <v>46</v>
      </c>
      <c r="P22530">
        <v>0</v>
      </c>
    </row>
    <row r="22531" spans="1:16" x14ac:dyDescent="0.25">
      <c r="A22531" t="s">
        <v>45225</v>
      </c>
      <c r="B22531" t="s">
        <v>22286</v>
      </c>
      <c r="C22531" t="s">
        <v>22287</v>
      </c>
      <c r="D22531" t="s">
        <v>19320</v>
      </c>
      <c r="E22531" t="s">
        <v>19321</v>
      </c>
      <c r="F22531" t="s">
        <v>3750</v>
      </c>
      <c r="G22531" t="s">
        <v>47093</v>
      </c>
      <c r="H22531" t="s">
        <v>47054</v>
      </c>
      <c r="I22531" t="s">
        <v>47116</v>
      </c>
      <c r="J22531" t="s">
        <v>47117</v>
      </c>
      <c r="K22531" t="s">
        <v>47113</v>
      </c>
      <c r="L22531">
        <v>24.75</v>
      </c>
      <c r="M22531">
        <v>46</v>
      </c>
      <c r="N22531">
        <v>0</v>
      </c>
      <c r="O22531">
        <v>46</v>
      </c>
      <c r="P22531">
        <v>0</v>
      </c>
    </row>
    <row r="22532" spans="1:16" x14ac:dyDescent="0.25">
      <c r="A22532" t="s">
        <v>45226</v>
      </c>
      <c r="B22532" t="s">
        <v>19326</v>
      </c>
      <c r="C22532" t="s">
        <v>19327</v>
      </c>
      <c r="D22532" t="s">
        <v>19328</v>
      </c>
      <c r="E22532" t="s">
        <v>19329</v>
      </c>
      <c r="F22532" t="s">
        <v>3750</v>
      </c>
      <c r="G22532" t="s">
        <v>47093</v>
      </c>
      <c r="H22532" t="s">
        <v>47054</v>
      </c>
      <c r="I22532" t="s">
        <v>47120</v>
      </c>
      <c r="J22532" t="s">
        <v>47121</v>
      </c>
      <c r="K22532" t="s">
        <v>47113</v>
      </c>
      <c r="L22532">
        <v>42.79</v>
      </c>
      <c r="M22532">
        <v>103</v>
      </c>
      <c r="N22532">
        <v>0</v>
      </c>
      <c r="O22532">
        <v>103</v>
      </c>
      <c r="P22532">
        <v>0</v>
      </c>
    </row>
    <row r="22533" spans="1:16" x14ac:dyDescent="0.25">
      <c r="A22533" t="s">
        <v>45227</v>
      </c>
      <c r="B22533" t="s">
        <v>22288</v>
      </c>
      <c r="C22533" t="s">
        <v>22289</v>
      </c>
      <c r="D22533" t="s">
        <v>22290</v>
      </c>
      <c r="E22533" t="s">
        <v>22291</v>
      </c>
      <c r="F22533" t="s">
        <v>3750</v>
      </c>
      <c r="G22533" t="s">
        <v>47093</v>
      </c>
      <c r="H22533" t="s">
        <v>47054</v>
      </c>
      <c r="I22533" t="s">
        <v>47120</v>
      </c>
      <c r="J22533" t="s">
        <v>47121</v>
      </c>
      <c r="K22533" t="s">
        <v>47113</v>
      </c>
      <c r="L22533">
        <v>34.71</v>
      </c>
      <c r="M22533">
        <v>104</v>
      </c>
      <c r="N22533">
        <v>0</v>
      </c>
      <c r="O22533">
        <v>104</v>
      </c>
      <c r="P22533">
        <v>0</v>
      </c>
    </row>
    <row r="22534" spans="1:16" x14ac:dyDescent="0.25">
      <c r="A22534" t="s">
        <v>45228</v>
      </c>
      <c r="B22534" t="s">
        <v>45229</v>
      </c>
      <c r="C22534" t="s">
        <v>45230</v>
      </c>
      <c r="D22534" t="str">
        <f>"4143"</f>
        <v>4143</v>
      </c>
      <c r="E22534" t="s">
        <v>45231</v>
      </c>
      <c r="F22534" t="s">
        <v>3750</v>
      </c>
      <c r="G22534" t="s">
        <v>47093</v>
      </c>
      <c r="H22534" t="s">
        <v>47054</v>
      </c>
      <c r="I22534" t="s">
        <v>47120</v>
      </c>
      <c r="J22534" t="s">
        <v>47121</v>
      </c>
      <c r="K22534" t="s">
        <v>47113</v>
      </c>
      <c r="L22534">
        <v>32.42</v>
      </c>
      <c r="M22534">
        <v>126</v>
      </c>
      <c r="N22534">
        <v>339</v>
      </c>
      <c r="O22534">
        <v>126</v>
      </c>
      <c r="P22534">
        <v>339</v>
      </c>
    </row>
    <row r="22535" spans="1:16" x14ac:dyDescent="0.25">
      <c r="A22535" t="s">
        <v>45232</v>
      </c>
      <c r="B22535" t="s">
        <v>19330</v>
      </c>
      <c r="C22535" t="s">
        <v>19333</v>
      </c>
      <c r="D22535" t="str">
        <f>"5101"</f>
        <v>5101</v>
      </c>
      <c r="E22535" t="s">
        <v>19331</v>
      </c>
      <c r="F22535" t="s">
        <v>3750</v>
      </c>
      <c r="G22535" t="s">
        <v>47099</v>
      </c>
      <c r="H22535" t="s">
        <v>47054</v>
      </c>
      <c r="I22535" t="s">
        <v>47116</v>
      </c>
      <c r="J22535" t="s">
        <v>47117</v>
      </c>
      <c r="K22535" t="s">
        <v>47113</v>
      </c>
      <c r="L22535">
        <v>17.8</v>
      </c>
      <c r="M22535">
        <v>50</v>
      </c>
      <c r="N22535">
        <v>0</v>
      </c>
      <c r="O22535">
        <v>50</v>
      </c>
      <c r="P22535">
        <v>0</v>
      </c>
    </row>
    <row r="22536" spans="1:16" x14ac:dyDescent="0.25">
      <c r="A22536" t="s">
        <v>45233</v>
      </c>
      <c r="B22536" t="s">
        <v>22292</v>
      </c>
      <c r="C22536" t="s">
        <v>22293</v>
      </c>
      <c r="D22536" t="str">
        <f>"6000"</f>
        <v>6000</v>
      </c>
      <c r="E22536" t="s">
        <v>22294</v>
      </c>
      <c r="F22536" t="s">
        <v>3750</v>
      </c>
      <c r="G22536" t="s">
        <v>47099</v>
      </c>
      <c r="H22536" t="s">
        <v>47054</v>
      </c>
      <c r="I22536" t="s">
        <v>47116</v>
      </c>
      <c r="J22536" t="s">
        <v>47117</v>
      </c>
      <c r="K22536" t="s">
        <v>47113</v>
      </c>
      <c r="L22536">
        <v>16.37</v>
      </c>
      <c r="M22536">
        <v>34</v>
      </c>
      <c r="N22536">
        <v>0</v>
      </c>
      <c r="O22536">
        <v>34</v>
      </c>
      <c r="P22536">
        <v>0</v>
      </c>
    </row>
    <row r="22537" spans="1:16" x14ac:dyDescent="0.25">
      <c r="A22537" t="s">
        <v>45234</v>
      </c>
      <c r="B22537" t="s">
        <v>45235</v>
      </c>
      <c r="C22537" t="s">
        <v>45236</v>
      </c>
      <c r="D22537" t="str">
        <f>"3071"</f>
        <v>3071</v>
      </c>
      <c r="E22537" t="s">
        <v>9011</v>
      </c>
      <c r="F22537" t="s">
        <v>3750</v>
      </c>
      <c r="G22537" t="s">
        <v>47093</v>
      </c>
      <c r="H22537" t="s">
        <v>47054</v>
      </c>
      <c r="I22537" t="s">
        <v>47120</v>
      </c>
      <c r="J22537" t="s">
        <v>47121</v>
      </c>
      <c r="K22537" t="s">
        <v>47113</v>
      </c>
      <c r="L22537">
        <v>26.45</v>
      </c>
      <c r="M22537">
        <v>89</v>
      </c>
      <c r="N22537">
        <v>239</v>
      </c>
      <c r="O22537">
        <v>89</v>
      </c>
      <c r="P22537">
        <v>239</v>
      </c>
    </row>
    <row r="22538" spans="1:16" x14ac:dyDescent="0.25">
      <c r="A22538" t="s">
        <v>45237</v>
      </c>
      <c r="B22538" t="s">
        <v>45238</v>
      </c>
      <c r="C22538" t="s">
        <v>45239</v>
      </c>
      <c r="D22538" t="str">
        <f>"3071"</f>
        <v>3071</v>
      </c>
      <c r="E22538" t="s">
        <v>45240</v>
      </c>
      <c r="F22538" t="s">
        <v>3750</v>
      </c>
      <c r="G22538" t="s">
        <v>47093</v>
      </c>
      <c r="H22538" t="s">
        <v>47054</v>
      </c>
      <c r="I22538" t="s">
        <v>47120</v>
      </c>
      <c r="J22538" t="s">
        <v>47121</v>
      </c>
      <c r="K22538" t="s">
        <v>47113</v>
      </c>
      <c r="L22538">
        <v>34.15</v>
      </c>
      <c r="M22538">
        <v>126</v>
      </c>
      <c r="N22538">
        <v>339</v>
      </c>
      <c r="O22538">
        <v>126</v>
      </c>
      <c r="P22538">
        <v>339</v>
      </c>
    </row>
    <row r="22539" spans="1:16" x14ac:dyDescent="0.25">
      <c r="A22539" t="s">
        <v>45241</v>
      </c>
      <c r="B22539" t="s">
        <v>22295</v>
      </c>
      <c r="C22539" t="s">
        <v>22296</v>
      </c>
      <c r="D22539" t="str">
        <f>"3071"</f>
        <v>3071</v>
      </c>
      <c r="E22539" t="s">
        <v>22297</v>
      </c>
      <c r="F22539" t="s">
        <v>3750</v>
      </c>
      <c r="G22539" t="s">
        <v>47099</v>
      </c>
      <c r="H22539" t="s">
        <v>47054</v>
      </c>
      <c r="I22539" t="s">
        <v>47120</v>
      </c>
      <c r="J22539" t="s">
        <v>47121</v>
      </c>
      <c r="K22539" t="s">
        <v>47113</v>
      </c>
      <c r="L22539">
        <v>29.33</v>
      </c>
      <c r="M22539">
        <v>80</v>
      </c>
      <c r="N22539">
        <v>0</v>
      </c>
      <c r="O22539">
        <v>80</v>
      </c>
      <c r="P22539">
        <v>0</v>
      </c>
    </row>
    <row r="22540" spans="1:16" x14ac:dyDescent="0.25">
      <c r="A22540" t="s">
        <v>45242</v>
      </c>
      <c r="B22540" t="s">
        <v>22298</v>
      </c>
      <c r="C22540" t="s">
        <v>22299</v>
      </c>
      <c r="D22540" t="str">
        <f>"1200"</f>
        <v>1200</v>
      </c>
      <c r="E22540" t="s">
        <v>22300</v>
      </c>
      <c r="F22540" t="s">
        <v>3750</v>
      </c>
      <c r="G22540" t="s">
        <v>47093</v>
      </c>
      <c r="H22540" t="s">
        <v>47054</v>
      </c>
      <c r="I22540" t="s">
        <v>47120</v>
      </c>
      <c r="J22540" t="s">
        <v>47121</v>
      </c>
      <c r="K22540" t="s">
        <v>47113</v>
      </c>
      <c r="L22540">
        <v>29.33</v>
      </c>
      <c r="M22540">
        <v>88</v>
      </c>
      <c r="N22540">
        <v>0</v>
      </c>
      <c r="O22540">
        <v>88</v>
      </c>
      <c r="P22540">
        <v>0</v>
      </c>
    </row>
    <row r="22541" spans="1:16" x14ac:dyDescent="0.25">
      <c r="A22541" t="s">
        <v>45243</v>
      </c>
      <c r="B22541" t="s">
        <v>45244</v>
      </c>
      <c r="C22541" t="s">
        <v>45245</v>
      </c>
      <c r="D22541" t="str">
        <f>"4401"</f>
        <v>4401</v>
      </c>
      <c r="E22541" t="s">
        <v>45246</v>
      </c>
      <c r="F22541" t="s">
        <v>24627</v>
      </c>
      <c r="G22541" t="s">
        <v>47093</v>
      </c>
      <c r="H22541" t="s">
        <v>47054</v>
      </c>
      <c r="I22541" t="s">
        <v>47120</v>
      </c>
      <c r="J22541" t="s">
        <v>47121</v>
      </c>
      <c r="K22541" t="s">
        <v>47113</v>
      </c>
      <c r="L22541">
        <v>31.12</v>
      </c>
      <c r="M22541">
        <v>126</v>
      </c>
      <c r="N22541">
        <v>339</v>
      </c>
      <c r="O22541">
        <v>126</v>
      </c>
      <c r="P22541">
        <v>339</v>
      </c>
    </row>
    <row r="22542" spans="1:16" x14ac:dyDescent="0.25">
      <c r="A22542" t="s">
        <v>45247</v>
      </c>
      <c r="B22542" t="s">
        <v>45248</v>
      </c>
      <c r="C22542" t="s">
        <v>2311</v>
      </c>
      <c r="D22542" t="s">
        <v>41863</v>
      </c>
      <c r="E22542" t="s">
        <v>41864</v>
      </c>
      <c r="F22542" t="s">
        <v>3750</v>
      </c>
      <c r="G22542" t="s">
        <v>47093</v>
      </c>
      <c r="H22542" t="s">
        <v>47054</v>
      </c>
      <c r="I22542" t="s">
        <v>47120</v>
      </c>
      <c r="J22542" t="s">
        <v>47121</v>
      </c>
      <c r="K22542" t="s">
        <v>47113</v>
      </c>
      <c r="L22542">
        <v>24.58</v>
      </c>
      <c r="M22542">
        <v>85</v>
      </c>
      <c r="N22542">
        <v>229</v>
      </c>
      <c r="O22542">
        <v>85</v>
      </c>
      <c r="P22542">
        <v>229</v>
      </c>
    </row>
    <row r="22543" spans="1:16" x14ac:dyDescent="0.25">
      <c r="A22543" t="s">
        <v>45249</v>
      </c>
      <c r="B22543" t="s">
        <v>22301</v>
      </c>
      <c r="C22543" t="s">
        <v>22302</v>
      </c>
      <c r="D22543" t="s">
        <v>721</v>
      </c>
      <c r="E22543" t="s">
        <v>722</v>
      </c>
      <c r="F22543" t="s">
        <v>3750</v>
      </c>
      <c r="G22543" t="s">
        <v>47093</v>
      </c>
      <c r="H22543" t="s">
        <v>47054</v>
      </c>
      <c r="I22543" t="s">
        <v>47116</v>
      </c>
      <c r="J22543" t="s">
        <v>47117</v>
      </c>
      <c r="K22543" t="s">
        <v>47113</v>
      </c>
      <c r="L22543">
        <v>18.600000000000001</v>
      </c>
      <c r="M22543">
        <v>85</v>
      </c>
      <c r="N22543">
        <v>229</v>
      </c>
      <c r="O22543">
        <v>85</v>
      </c>
      <c r="P22543">
        <v>229</v>
      </c>
    </row>
    <row r="22544" spans="1:16" x14ac:dyDescent="0.25">
      <c r="A22544" t="s">
        <v>45250</v>
      </c>
      <c r="B22544" t="s">
        <v>45251</v>
      </c>
      <c r="C22544" t="s">
        <v>45252</v>
      </c>
      <c r="D22544" t="s">
        <v>45253</v>
      </c>
      <c r="E22544" t="s">
        <v>45254</v>
      </c>
      <c r="F22544" t="s">
        <v>3750</v>
      </c>
      <c r="G22544" t="s">
        <v>47093</v>
      </c>
      <c r="H22544" t="s">
        <v>47054</v>
      </c>
      <c r="I22544" t="s">
        <v>47544</v>
      </c>
      <c r="J22544" t="s">
        <v>47545</v>
      </c>
      <c r="K22544" t="s">
        <v>47113</v>
      </c>
      <c r="L22544">
        <v>22.83</v>
      </c>
      <c r="M22544">
        <v>107</v>
      </c>
      <c r="N22544">
        <v>0</v>
      </c>
      <c r="O22544">
        <v>107</v>
      </c>
      <c r="P22544">
        <v>0</v>
      </c>
    </row>
    <row r="22545" spans="1:16" x14ac:dyDescent="0.25">
      <c r="A22545" t="s">
        <v>49761</v>
      </c>
      <c r="B22545" t="s">
        <v>49762</v>
      </c>
      <c r="C22545" t="s">
        <v>49763</v>
      </c>
      <c r="D22545" t="s">
        <v>657</v>
      </c>
      <c r="E22545" t="s">
        <v>658</v>
      </c>
      <c r="F22545" t="s">
        <v>47185</v>
      </c>
      <c r="G22545" t="s">
        <v>47093</v>
      </c>
      <c r="H22545" t="s">
        <v>47054</v>
      </c>
      <c r="I22545" t="s">
        <v>47544</v>
      </c>
      <c r="J22545" t="s">
        <v>47545</v>
      </c>
      <c r="K22545" t="s">
        <v>47113</v>
      </c>
      <c r="L22545">
        <v>32.729999999999997</v>
      </c>
      <c r="M22545">
        <v>114</v>
      </c>
      <c r="N22545">
        <v>309</v>
      </c>
      <c r="O22545">
        <v>114</v>
      </c>
      <c r="P22545">
        <v>309</v>
      </c>
    </row>
    <row r="22546" spans="1:16" x14ac:dyDescent="0.25">
      <c r="A22546" t="s">
        <v>45255</v>
      </c>
      <c r="B22546" t="s">
        <v>22303</v>
      </c>
      <c r="C22546" t="s">
        <v>22293</v>
      </c>
      <c r="D22546" t="s">
        <v>721</v>
      </c>
      <c r="E22546" t="s">
        <v>722</v>
      </c>
      <c r="F22546" t="s">
        <v>3750</v>
      </c>
      <c r="G22546" t="s">
        <v>47099</v>
      </c>
      <c r="H22546" t="s">
        <v>47054</v>
      </c>
      <c r="I22546" t="s">
        <v>47116</v>
      </c>
      <c r="J22546" t="s">
        <v>47117</v>
      </c>
      <c r="K22546" t="s">
        <v>47113</v>
      </c>
      <c r="L22546">
        <v>15.66</v>
      </c>
      <c r="M22546">
        <v>81</v>
      </c>
      <c r="N22546">
        <v>0</v>
      </c>
      <c r="O22546">
        <v>81</v>
      </c>
      <c r="P22546">
        <v>0</v>
      </c>
    </row>
    <row r="22547" spans="1:16" x14ac:dyDescent="0.25">
      <c r="A22547" t="s">
        <v>45256</v>
      </c>
      <c r="B22547" t="s">
        <v>22303</v>
      </c>
      <c r="C22547" t="s">
        <v>22293</v>
      </c>
      <c r="D22547" t="s">
        <v>41863</v>
      </c>
      <c r="E22547" t="s">
        <v>41864</v>
      </c>
      <c r="F22547" t="s">
        <v>3750</v>
      </c>
      <c r="G22547" t="s">
        <v>47099</v>
      </c>
      <c r="H22547" t="s">
        <v>47054</v>
      </c>
      <c r="I22547" t="s">
        <v>47544</v>
      </c>
      <c r="J22547" t="s">
        <v>47545</v>
      </c>
      <c r="K22547" t="s">
        <v>47113</v>
      </c>
      <c r="L22547">
        <v>31.31</v>
      </c>
      <c r="M22547">
        <v>126</v>
      </c>
      <c r="N22547">
        <v>339</v>
      </c>
      <c r="O22547">
        <v>126</v>
      </c>
      <c r="P22547">
        <v>339</v>
      </c>
    </row>
    <row r="22548" spans="1:16" x14ac:dyDescent="0.25">
      <c r="A22548" t="s">
        <v>45257</v>
      </c>
      <c r="B22548" t="s">
        <v>19332</v>
      </c>
      <c r="C22548" t="s">
        <v>19333</v>
      </c>
      <c r="D22548" t="s">
        <v>721</v>
      </c>
      <c r="E22548" t="s">
        <v>722</v>
      </c>
      <c r="F22548" t="s">
        <v>3750</v>
      </c>
      <c r="G22548" t="s">
        <v>47099</v>
      </c>
      <c r="H22548" t="s">
        <v>47054</v>
      </c>
      <c r="I22548" t="s">
        <v>47116</v>
      </c>
      <c r="J22548" t="s">
        <v>47117</v>
      </c>
      <c r="K22548" t="s">
        <v>47113</v>
      </c>
      <c r="L22548">
        <v>15.37</v>
      </c>
      <c r="M22548">
        <v>44</v>
      </c>
      <c r="N22548">
        <v>0</v>
      </c>
      <c r="O22548">
        <v>44</v>
      </c>
      <c r="P22548">
        <v>0</v>
      </c>
    </row>
    <row r="22549" spans="1:16" x14ac:dyDescent="0.25">
      <c r="A22549" t="s">
        <v>45258</v>
      </c>
      <c r="B22549" t="s">
        <v>22304</v>
      </c>
      <c r="C22549" t="s">
        <v>22305</v>
      </c>
      <c r="D22549" t="s">
        <v>22306</v>
      </c>
      <c r="E22549" t="s">
        <v>22307</v>
      </c>
      <c r="F22549" t="s">
        <v>3750</v>
      </c>
      <c r="G22549" t="s">
        <v>47099</v>
      </c>
      <c r="H22549" t="s">
        <v>47054</v>
      </c>
      <c r="I22549" t="s">
        <v>47116</v>
      </c>
      <c r="J22549" t="s">
        <v>47117</v>
      </c>
      <c r="K22549" t="s">
        <v>47113</v>
      </c>
      <c r="L22549">
        <v>16.38</v>
      </c>
      <c r="M22549">
        <v>67</v>
      </c>
      <c r="N22549">
        <v>0</v>
      </c>
      <c r="O22549">
        <v>67</v>
      </c>
      <c r="P22549">
        <v>0</v>
      </c>
    </row>
    <row r="22550" spans="1:16" x14ac:dyDescent="0.25">
      <c r="A22550" t="s">
        <v>45259</v>
      </c>
      <c r="B22550" t="s">
        <v>45260</v>
      </c>
      <c r="C22550" t="s">
        <v>22146</v>
      </c>
      <c r="D22550" t="s">
        <v>721</v>
      </c>
      <c r="E22550" t="s">
        <v>722</v>
      </c>
      <c r="F22550" t="s">
        <v>3750</v>
      </c>
      <c r="G22550" t="s">
        <v>47093</v>
      </c>
      <c r="H22550" t="s">
        <v>47054</v>
      </c>
      <c r="I22550" t="s">
        <v>47116</v>
      </c>
      <c r="J22550" t="s">
        <v>47117</v>
      </c>
      <c r="K22550" t="s">
        <v>47113</v>
      </c>
      <c r="L22550">
        <v>18.61</v>
      </c>
      <c r="M22550">
        <v>85</v>
      </c>
      <c r="N22550">
        <v>229</v>
      </c>
      <c r="O22550">
        <v>85</v>
      </c>
      <c r="P22550">
        <v>229</v>
      </c>
    </row>
    <row r="22551" spans="1:16" x14ac:dyDescent="0.25">
      <c r="A22551" t="s">
        <v>45261</v>
      </c>
      <c r="B22551" t="s">
        <v>45262</v>
      </c>
      <c r="C22551" t="s">
        <v>45263</v>
      </c>
      <c r="D22551" t="s">
        <v>45253</v>
      </c>
      <c r="E22551" t="s">
        <v>45254</v>
      </c>
      <c r="F22551" t="s">
        <v>3750</v>
      </c>
      <c r="G22551" t="s">
        <v>47099</v>
      </c>
      <c r="H22551" t="s">
        <v>47054</v>
      </c>
      <c r="I22551" t="s">
        <v>47544</v>
      </c>
      <c r="J22551" t="s">
        <v>47545</v>
      </c>
      <c r="K22551" t="s">
        <v>47113</v>
      </c>
      <c r="L22551">
        <v>25.78</v>
      </c>
      <c r="M22551">
        <v>94</v>
      </c>
      <c r="N22551">
        <v>0</v>
      </c>
      <c r="O22551">
        <v>94</v>
      </c>
      <c r="P22551">
        <v>0</v>
      </c>
    </row>
    <row r="22552" spans="1:16" x14ac:dyDescent="0.25">
      <c r="A22552" t="s">
        <v>45264</v>
      </c>
      <c r="B22552" t="s">
        <v>45265</v>
      </c>
      <c r="C22552" t="s">
        <v>45266</v>
      </c>
      <c r="D22552" t="s">
        <v>45253</v>
      </c>
      <c r="E22552" t="s">
        <v>45254</v>
      </c>
      <c r="F22552" t="s">
        <v>3750</v>
      </c>
      <c r="G22552" t="s">
        <v>47099</v>
      </c>
      <c r="H22552" t="s">
        <v>47054</v>
      </c>
      <c r="I22552" t="s">
        <v>47544</v>
      </c>
      <c r="J22552" t="s">
        <v>47545</v>
      </c>
      <c r="K22552" t="s">
        <v>47113</v>
      </c>
      <c r="L22552">
        <v>24.73</v>
      </c>
      <c r="M22552">
        <v>80</v>
      </c>
      <c r="N22552">
        <v>0</v>
      </c>
      <c r="O22552">
        <v>80</v>
      </c>
      <c r="P22552">
        <v>0</v>
      </c>
    </row>
    <row r="22553" spans="1:16" x14ac:dyDescent="0.25">
      <c r="A22553" t="s">
        <v>45267</v>
      </c>
      <c r="B22553" t="s">
        <v>45268</v>
      </c>
      <c r="C22553" t="s">
        <v>45269</v>
      </c>
      <c r="D22553" t="s">
        <v>45253</v>
      </c>
      <c r="E22553" t="s">
        <v>45254</v>
      </c>
      <c r="F22553" t="s">
        <v>3750</v>
      </c>
      <c r="G22553" t="s">
        <v>47093</v>
      </c>
      <c r="H22553" t="s">
        <v>47054</v>
      </c>
      <c r="I22553" t="s">
        <v>47544</v>
      </c>
      <c r="J22553" t="s">
        <v>47545</v>
      </c>
      <c r="K22553" t="s">
        <v>47113</v>
      </c>
      <c r="L22553">
        <v>23.18</v>
      </c>
      <c r="M22553">
        <v>94</v>
      </c>
      <c r="N22553">
        <v>0</v>
      </c>
      <c r="O22553">
        <v>94</v>
      </c>
      <c r="P22553">
        <v>0</v>
      </c>
    </row>
    <row r="22554" spans="1:16" x14ac:dyDescent="0.25">
      <c r="A22554" t="s">
        <v>22950</v>
      </c>
      <c r="B22554" t="s">
        <v>22951</v>
      </c>
      <c r="C22554" t="s">
        <v>22952</v>
      </c>
      <c r="D22554" t="s">
        <v>22953</v>
      </c>
      <c r="E22554" t="s">
        <v>22954</v>
      </c>
      <c r="F22554" t="s">
        <v>3750</v>
      </c>
      <c r="G22554" t="s">
        <v>47093</v>
      </c>
      <c r="H22554" t="s">
        <v>47054</v>
      </c>
      <c r="I22554" t="s">
        <v>47116</v>
      </c>
      <c r="J22554" t="s">
        <v>47117</v>
      </c>
      <c r="K22554" t="s">
        <v>47113</v>
      </c>
      <c r="L22554">
        <v>23.72</v>
      </c>
      <c r="M22554">
        <v>80</v>
      </c>
      <c r="N22554">
        <v>0</v>
      </c>
      <c r="O22554">
        <v>80</v>
      </c>
      <c r="P22554">
        <v>0</v>
      </c>
    </row>
    <row r="22555" spans="1:16" x14ac:dyDescent="0.25">
      <c r="A22555" t="s">
        <v>45270</v>
      </c>
      <c r="B22555" t="s">
        <v>45271</v>
      </c>
      <c r="C22555" t="s">
        <v>45272</v>
      </c>
      <c r="D22555" t="s">
        <v>45253</v>
      </c>
      <c r="E22555" t="s">
        <v>45254</v>
      </c>
      <c r="F22555" t="s">
        <v>3750</v>
      </c>
      <c r="G22555" t="s">
        <v>47093</v>
      </c>
      <c r="H22555" t="s">
        <v>47054</v>
      </c>
      <c r="I22555" t="s">
        <v>47120</v>
      </c>
      <c r="J22555" t="s">
        <v>47121</v>
      </c>
      <c r="K22555" t="s">
        <v>47113</v>
      </c>
      <c r="L22555">
        <v>36.83</v>
      </c>
      <c r="M22555">
        <v>107</v>
      </c>
      <c r="N22555">
        <v>0</v>
      </c>
      <c r="O22555">
        <v>107</v>
      </c>
      <c r="P22555">
        <v>0</v>
      </c>
    </row>
    <row r="22556" spans="1:16" x14ac:dyDescent="0.25">
      <c r="A22556" t="s">
        <v>46932</v>
      </c>
      <c r="B22556" t="s">
        <v>46933</v>
      </c>
      <c r="C22556" t="s">
        <v>22146</v>
      </c>
      <c r="D22556" t="s">
        <v>721</v>
      </c>
      <c r="E22556" t="s">
        <v>722</v>
      </c>
      <c r="F22556" t="s">
        <v>3750</v>
      </c>
      <c r="G22556" t="s">
        <v>47093</v>
      </c>
      <c r="H22556" t="s">
        <v>47054</v>
      </c>
      <c r="I22556" t="s">
        <v>47116</v>
      </c>
      <c r="J22556" t="s">
        <v>47117</v>
      </c>
      <c r="K22556" t="s">
        <v>47113</v>
      </c>
      <c r="L22556">
        <v>20.28</v>
      </c>
      <c r="M22556">
        <v>70</v>
      </c>
      <c r="N22556">
        <v>189</v>
      </c>
      <c r="O22556">
        <v>70</v>
      </c>
      <c r="P22556">
        <v>189</v>
      </c>
    </row>
    <row r="22557" spans="1:16" x14ac:dyDescent="0.25">
      <c r="A22557" t="s">
        <v>49764</v>
      </c>
      <c r="B22557" t="s">
        <v>49765</v>
      </c>
      <c r="C22557" t="s">
        <v>49766</v>
      </c>
      <c r="D22557" t="s">
        <v>721</v>
      </c>
      <c r="E22557" t="s">
        <v>722</v>
      </c>
      <c r="F22557" t="s">
        <v>47488</v>
      </c>
      <c r="G22557" t="s">
        <v>47093</v>
      </c>
      <c r="H22557" t="s">
        <v>47054</v>
      </c>
      <c r="I22557" t="s">
        <v>47120</v>
      </c>
      <c r="J22557" t="s">
        <v>47121</v>
      </c>
      <c r="K22557" t="s">
        <v>47113</v>
      </c>
      <c r="L22557">
        <v>26.06</v>
      </c>
      <c r="M22557">
        <v>114</v>
      </c>
      <c r="N22557">
        <v>309</v>
      </c>
      <c r="O22557">
        <v>114</v>
      </c>
      <c r="P22557">
        <v>309</v>
      </c>
    </row>
    <row r="22558" spans="1:16" x14ac:dyDescent="0.25">
      <c r="A22558" t="s">
        <v>49767</v>
      </c>
      <c r="B22558" t="s">
        <v>49768</v>
      </c>
      <c r="C22558" t="s">
        <v>49769</v>
      </c>
      <c r="D22558" t="s">
        <v>721</v>
      </c>
      <c r="E22558" t="s">
        <v>722</v>
      </c>
      <c r="F22558" t="s">
        <v>47163</v>
      </c>
      <c r="G22558" t="s">
        <v>47093</v>
      </c>
      <c r="H22558" t="s">
        <v>47054</v>
      </c>
      <c r="I22558" t="s">
        <v>47544</v>
      </c>
      <c r="J22558" t="s">
        <v>47545</v>
      </c>
      <c r="K22558" t="s">
        <v>47113</v>
      </c>
      <c r="L22558">
        <v>28.65</v>
      </c>
      <c r="M22558">
        <v>114</v>
      </c>
      <c r="N22558">
        <v>309</v>
      </c>
      <c r="O22558">
        <v>114</v>
      </c>
      <c r="P22558">
        <v>309</v>
      </c>
    </row>
    <row r="22559" spans="1:16" x14ac:dyDescent="0.25">
      <c r="A22559" t="s">
        <v>45273</v>
      </c>
      <c r="B22559" t="s">
        <v>22308</v>
      </c>
      <c r="C22559" t="s">
        <v>22309</v>
      </c>
      <c r="D22559" t="s">
        <v>22310</v>
      </c>
      <c r="E22559" t="s">
        <v>22311</v>
      </c>
      <c r="F22559" t="s">
        <v>3750</v>
      </c>
      <c r="G22559" t="s">
        <v>47099</v>
      </c>
      <c r="H22559" t="s">
        <v>47054</v>
      </c>
      <c r="I22559" t="s">
        <v>47116</v>
      </c>
      <c r="J22559" t="s">
        <v>47117</v>
      </c>
      <c r="K22559" t="s">
        <v>47113</v>
      </c>
      <c r="L22559">
        <v>21.25</v>
      </c>
      <c r="M22559">
        <v>95</v>
      </c>
      <c r="N22559">
        <v>0</v>
      </c>
      <c r="O22559">
        <v>95</v>
      </c>
      <c r="P22559">
        <v>0</v>
      </c>
    </row>
    <row r="22560" spans="1:16" x14ac:dyDescent="0.25">
      <c r="A22560" t="s">
        <v>45274</v>
      </c>
      <c r="B22560" t="s">
        <v>19334</v>
      </c>
      <c r="C22560" t="s">
        <v>19335</v>
      </c>
      <c r="D22560" t="str">
        <f>"11"</f>
        <v>11</v>
      </c>
      <c r="E22560" t="s">
        <v>288</v>
      </c>
      <c r="F22560" t="s">
        <v>3750</v>
      </c>
      <c r="G22560" t="s">
        <v>47099</v>
      </c>
      <c r="H22560" t="s">
        <v>47054</v>
      </c>
      <c r="I22560" t="s">
        <v>47116</v>
      </c>
      <c r="J22560" t="s">
        <v>47117</v>
      </c>
      <c r="K22560" t="s">
        <v>47113</v>
      </c>
      <c r="L22560">
        <v>21.26</v>
      </c>
      <c r="M22560">
        <v>60</v>
      </c>
      <c r="N22560">
        <v>0</v>
      </c>
      <c r="O22560">
        <v>60</v>
      </c>
      <c r="P22560">
        <v>0</v>
      </c>
    </row>
    <row r="22561" spans="1:16" x14ac:dyDescent="0.25">
      <c r="A22561" t="s">
        <v>45275</v>
      </c>
      <c r="B22561" t="s">
        <v>19334</v>
      </c>
      <c r="C22561" t="s">
        <v>19335</v>
      </c>
      <c r="D22561" t="s">
        <v>6626</v>
      </c>
      <c r="E22561" t="s">
        <v>6627</v>
      </c>
      <c r="F22561" t="s">
        <v>3750</v>
      </c>
      <c r="G22561" t="s">
        <v>47099</v>
      </c>
      <c r="H22561" t="s">
        <v>47054</v>
      </c>
      <c r="I22561" t="s">
        <v>47116</v>
      </c>
      <c r="J22561" t="s">
        <v>47117</v>
      </c>
      <c r="K22561" t="s">
        <v>47113</v>
      </c>
      <c r="L22561">
        <v>17.399999999999999</v>
      </c>
      <c r="M22561">
        <v>34</v>
      </c>
      <c r="N22561">
        <v>0</v>
      </c>
      <c r="O22561">
        <v>34</v>
      </c>
      <c r="P22561">
        <v>0</v>
      </c>
    </row>
    <row r="22562" spans="1:16" x14ac:dyDescent="0.25">
      <c r="A22562" t="s">
        <v>45276</v>
      </c>
      <c r="B22562" t="s">
        <v>22312</v>
      </c>
      <c r="C22562" t="s">
        <v>22313</v>
      </c>
      <c r="D22562" t="s">
        <v>15594</v>
      </c>
      <c r="E22562" t="s">
        <v>15595</v>
      </c>
      <c r="F22562" t="s">
        <v>3750</v>
      </c>
      <c r="G22562" t="s">
        <v>47099</v>
      </c>
      <c r="H22562" t="s">
        <v>47054</v>
      </c>
      <c r="I22562" t="s">
        <v>47116</v>
      </c>
      <c r="J22562" t="s">
        <v>47117</v>
      </c>
      <c r="K22562" t="s">
        <v>47113</v>
      </c>
      <c r="L22562">
        <v>19.010000000000002</v>
      </c>
      <c r="M22562">
        <v>34</v>
      </c>
      <c r="N22562">
        <v>0</v>
      </c>
      <c r="O22562">
        <v>34</v>
      </c>
      <c r="P22562">
        <v>0</v>
      </c>
    </row>
    <row r="22563" spans="1:16" x14ac:dyDescent="0.25">
      <c r="A22563" t="s">
        <v>45277</v>
      </c>
      <c r="B22563" t="s">
        <v>22314</v>
      </c>
      <c r="C22563" t="s">
        <v>22315</v>
      </c>
      <c r="D22563" t="s">
        <v>22316</v>
      </c>
      <c r="E22563" t="s">
        <v>22317</v>
      </c>
      <c r="F22563" t="s">
        <v>3750</v>
      </c>
      <c r="G22563" t="s">
        <v>47099</v>
      </c>
      <c r="H22563" t="s">
        <v>47054</v>
      </c>
      <c r="I22563" t="s">
        <v>47116</v>
      </c>
      <c r="J22563" t="s">
        <v>47117</v>
      </c>
      <c r="K22563" t="s">
        <v>47113</v>
      </c>
      <c r="L22563">
        <v>19.329999999999998</v>
      </c>
      <c r="M22563">
        <v>81</v>
      </c>
      <c r="N22563">
        <v>0</v>
      </c>
      <c r="O22563">
        <v>81</v>
      </c>
      <c r="P22563">
        <v>0</v>
      </c>
    </row>
    <row r="22564" spans="1:16" x14ac:dyDescent="0.25">
      <c r="A22564" t="s">
        <v>45278</v>
      </c>
      <c r="B22564" t="s">
        <v>22318</v>
      </c>
      <c r="C22564" t="s">
        <v>22319</v>
      </c>
      <c r="D22564" t="s">
        <v>22320</v>
      </c>
      <c r="E22564" t="s">
        <v>22321</v>
      </c>
      <c r="F22564" t="s">
        <v>3750</v>
      </c>
      <c r="G22564" t="s">
        <v>47099</v>
      </c>
      <c r="H22564" t="s">
        <v>47054</v>
      </c>
      <c r="I22564" t="s">
        <v>47116</v>
      </c>
      <c r="J22564" t="s">
        <v>47117</v>
      </c>
      <c r="K22564" t="s">
        <v>47113</v>
      </c>
      <c r="L22564">
        <v>21.38</v>
      </c>
      <c r="M22564">
        <v>81</v>
      </c>
      <c r="N22564">
        <v>0</v>
      </c>
      <c r="O22564">
        <v>81</v>
      </c>
      <c r="P22564">
        <v>0</v>
      </c>
    </row>
    <row r="22565" spans="1:16" x14ac:dyDescent="0.25">
      <c r="A22565" t="s">
        <v>45279</v>
      </c>
      <c r="B22565" t="s">
        <v>22322</v>
      </c>
      <c r="C22565" t="s">
        <v>22323</v>
      </c>
      <c r="D22565" t="str">
        <f>"11"</f>
        <v>11</v>
      </c>
      <c r="E22565" t="s">
        <v>288</v>
      </c>
      <c r="F22565" t="s">
        <v>3750</v>
      </c>
      <c r="G22565" t="s">
        <v>47099</v>
      </c>
      <c r="H22565" t="s">
        <v>47054</v>
      </c>
      <c r="I22565" t="s">
        <v>47116</v>
      </c>
      <c r="J22565" t="s">
        <v>47117</v>
      </c>
      <c r="K22565" t="s">
        <v>47113</v>
      </c>
      <c r="L22565">
        <v>18.77</v>
      </c>
      <c r="M22565">
        <v>67</v>
      </c>
      <c r="N22565">
        <v>0</v>
      </c>
      <c r="O22565">
        <v>67</v>
      </c>
      <c r="P22565">
        <v>0</v>
      </c>
    </row>
    <row r="22566" spans="1:16" x14ac:dyDescent="0.25">
      <c r="A22566" t="s">
        <v>45280</v>
      </c>
      <c r="B22566" t="s">
        <v>22324</v>
      </c>
      <c r="C22566" t="s">
        <v>22325</v>
      </c>
      <c r="D22566" t="s">
        <v>22254</v>
      </c>
      <c r="E22566" t="s">
        <v>22255</v>
      </c>
      <c r="F22566" t="s">
        <v>3750</v>
      </c>
      <c r="G22566" t="s">
        <v>47099</v>
      </c>
      <c r="H22566" t="s">
        <v>47054</v>
      </c>
      <c r="I22566" t="s">
        <v>47116</v>
      </c>
      <c r="J22566" t="s">
        <v>47117</v>
      </c>
      <c r="K22566" t="s">
        <v>47113</v>
      </c>
      <c r="L22566">
        <v>21.76</v>
      </c>
      <c r="M22566">
        <v>80</v>
      </c>
      <c r="N22566">
        <v>0</v>
      </c>
      <c r="O22566">
        <v>80</v>
      </c>
      <c r="P22566">
        <v>0</v>
      </c>
    </row>
    <row r="22567" spans="1:16" x14ac:dyDescent="0.25">
      <c r="A22567" t="s">
        <v>45281</v>
      </c>
      <c r="B22567" t="s">
        <v>22326</v>
      </c>
      <c r="C22567" t="s">
        <v>22327</v>
      </c>
      <c r="D22567" t="str">
        <f>"11"</f>
        <v>11</v>
      </c>
      <c r="E22567" t="s">
        <v>288</v>
      </c>
      <c r="F22567" t="s">
        <v>3750</v>
      </c>
      <c r="G22567" t="s">
        <v>47093</v>
      </c>
      <c r="H22567" t="s">
        <v>47054</v>
      </c>
      <c r="I22567" t="s">
        <v>47116</v>
      </c>
      <c r="J22567" t="s">
        <v>47117</v>
      </c>
      <c r="K22567" t="s">
        <v>47113</v>
      </c>
      <c r="L22567">
        <v>22.1</v>
      </c>
      <c r="M22567">
        <v>80</v>
      </c>
      <c r="N22567">
        <v>0</v>
      </c>
      <c r="O22567">
        <v>80</v>
      </c>
      <c r="P22567">
        <v>0</v>
      </c>
    </row>
    <row r="22568" spans="1:16" x14ac:dyDescent="0.25">
      <c r="A22568" t="s">
        <v>45282</v>
      </c>
      <c r="B22568" t="s">
        <v>22328</v>
      </c>
      <c r="C22568" t="s">
        <v>22327</v>
      </c>
      <c r="D22568" t="str">
        <f>"11"</f>
        <v>11</v>
      </c>
      <c r="E22568" t="s">
        <v>288</v>
      </c>
      <c r="F22568" t="s">
        <v>3750</v>
      </c>
      <c r="G22568" t="s">
        <v>47093</v>
      </c>
      <c r="H22568" t="s">
        <v>47054</v>
      </c>
      <c r="I22568" t="s">
        <v>47116</v>
      </c>
      <c r="J22568" t="s">
        <v>47117</v>
      </c>
      <c r="K22568" t="s">
        <v>47113</v>
      </c>
      <c r="L22568">
        <v>16.170000000000002</v>
      </c>
      <c r="M22568">
        <v>67</v>
      </c>
      <c r="N22568">
        <v>0</v>
      </c>
      <c r="O22568">
        <v>67</v>
      </c>
      <c r="P22568">
        <v>0</v>
      </c>
    </row>
    <row r="22569" spans="1:16" x14ac:dyDescent="0.25">
      <c r="A22569" t="s">
        <v>45283</v>
      </c>
      <c r="B22569" t="s">
        <v>45284</v>
      </c>
      <c r="C22569" t="s">
        <v>45285</v>
      </c>
      <c r="D22569" t="str">
        <f>"11"</f>
        <v>11</v>
      </c>
      <c r="E22569" t="s">
        <v>288</v>
      </c>
      <c r="F22569" t="s">
        <v>3750</v>
      </c>
      <c r="G22569" t="s">
        <v>47093</v>
      </c>
      <c r="H22569" t="s">
        <v>47054</v>
      </c>
      <c r="I22569" t="s">
        <v>47116</v>
      </c>
      <c r="J22569" t="s">
        <v>47117</v>
      </c>
      <c r="K22569" t="s">
        <v>47113</v>
      </c>
      <c r="L22569">
        <v>23.94</v>
      </c>
      <c r="M22569">
        <v>96</v>
      </c>
      <c r="N22569">
        <v>259</v>
      </c>
      <c r="O22569">
        <v>96</v>
      </c>
      <c r="P22569">
        <v>259</v>
      </c>
    </row>
    <row r="22570" spans="1:16" x14ac:dyDescent="0.25">
      <c r="A22570" t="s">
        <v>22955</v>
      </c>
      <c r="B22570" t="s">
        <v>22956</v>
      </c>
      <c r="C22570" t="s">
        <v>22957</v>
      </c>
      <c r="D22570" t="s">
        <v>22958</v>
      </c>
      <c r="E22570" t="s">
        <v>22959</v>
      </c>
      <c r="F22570" t="s">
        <v>3750</v>
      </c>
      <c r="G22570" t="s">
        <v>47093</v>
      </c>
      <c r="H22570" t="s">
        <v>47054</v>
      </c>
      <c r="I22570" t="s">
        <v>47116</v>
      </c>
      <c r="J22570" t="s">
        <v>47117</v>
      </c>
      <c r="K22570" t="s">
        <v>47113</v>
      </c>
      <c r="L22570">
        <v>26.95</v>
      </c>
      <c r="M22570">
        <v>80</v>
      </c>
      <c r="N22570">
        <v>0</v>
      </c>
      <c r="O22570">
        <v>80</v>
      </c>
      <c r="P22570">
        <v>0</v>
      </c>
    </row>
    <row r="22571" spans="1:16" x14ac:dyDescent="0.25">
      <c r="A22571" t="s">
        <v>49770</v>
      </c>
      <c r="B22571" t="s">
        <v>49771</v>
      </c>
      <c r="C22571" t="s">
        <v>49772</v>
      </c>
      <c r="D22571" t="s">
        <v>721</v>
      </c>
      <c r="E22571" t="s">
        <v>722</v>
      </c>
      <c r="F22571" t="s">
        <v>46687</v>
      </c>
      <c r="G22571" t="s">
        <v>47093</v>
      </c>
      <c r="H22571" t="s">
        <v>47054</v>
      </c>
      <c r="I22571" t="s">
        <v>47544</v>
      </c>
      <c r="J22571" t="s">
        <v>47545</v>
      </c>
      <c r="K22571" t="s">
        <v>47113</v>
      </c>
      <c r="L22571">
        <v>30.98</v>
      </c>
      <c r="M22571">
        <v>114</v>
      </c>
      <c r="N22571">
        <v>309</v>
      </c>
      <c r="O22571">
        <v>114</v>
      </c>
      <c r="P22571">
        <v>309</v>
      </c>
    </row>
    <row r="22572" spans="1:16" x14ac:dyDescent="0.25">
      <c r="A22572" t="s">
        <v>49773</v>
      </c>
      <c r="B22572" t="s">
        <v>49774</v>
      </c>
      <c r="C22572" t="s">
        <v>49393</v>
      </c>
      <c r="D22572" t="s">
        <v>49775</v>
      </c>
      <c r="E22572" t="s">
        <v>49776</v>
      </c>
      <c r="F22572" t="s">
        <v>46687</v>
      </c>
      <c r="G22572" t="s">
        <v>47093</v>
      </c>
      <c r="H22572" t="s">
        <v>47054</v>
      </c>
      <c r="I22572" t="s">
        <v>47544</v>
      </c>
      <c r="J22572" t="s">
        <v>47545</v>
      </c>
      <c r="K22572" t="s">
        <v>47113</v>
      </c>
      <c r="L22572">
        <v>23.95</v>
      </c>
      <c r="M22572">
        <v>85</v>
      </c>
      <c r="N22572">
        <v>229</v>
      </c>
      <c r="O22572">
        <v>85</v>
      </c>
      <c r="P22572">
        <v>229</v>
      </c>
    </row>
    <row r="22573" spans="1:16" x14ac:dyDescent="0.25">
      <c r="A22573" t="s">
        <v>45286</v>
      </c>
      <c r="B22573" t="s">
        <v>45287</v>
      </c>
      <c r="C22573" t="s">
        <v>45288</v>
      </c>
      <c r="D22573" t="s">
        <v>45289</v>
      </c>
      <c r="E22573" t="s">
        <v>45290</v>
      </c>
      <c r="F22573" t="s">
        <v>3750</v>
      </c>
      <c r="G22573" t="s">
        <v>47093</v>
      </c>
      <c r="H22573" t="s">
        <v>47054</v>
      </c>
      <c r="I22573" t="s">
        <v>47544</v>
      </c>
      <c r="J22573" t="s">
        <v>47545</v>
      </c>
      <c r="K22573" t="s">
        <v>47113</v>
      </c>
      <c r="L22573">
        <v>32.96</v>
      </c>
      <c r="M22573">
        <v>111</v>
      </c>
      <c r="N22573">
        <v>299</v>
      </c>
      <c r="O22573">
        <v>111</v>
      </c>
      <c r="P22573">
        <v>299</v>
      </c>
    </row>
    <row r="22574" spans="1:16" x14ac:dyDescent="0.25">
      <c r="A22574" t="s">
        <v>47051</v>
      </c>
      <c r="B22574" t="s">
        <v>46934</v>
      </c>
      <c r="C22574" t="s">
        <v>45285</v>
      </c>
      <c r="D22574" t="str">
        <f>"11"</f>
        <v>11</v>
      </c>
      <c r="E22574" t="s">
        <v>288</v>
      </c>
      <c r="F22574" t="s">
        <v>3750</v>
      </c>
      <c r="G22574" t="s">
        <v>47093</v>
      </c>
      <c r="H22574" t="s">
        <v>47054</v>
      </c>
      <c r="I22574" t="s">
        <v>47116</v>
      </c>
      <c r="J22574" t="s">
        <v>47117</v>
      </c>
      <c r="K22574" t="s">
        <v>47113</v>
      </c>
      <c r="L22574">
        <v>24.7</v>
      </c>
      <c r="M22574">
        <v>70</v>
      </c>
      <c r="N22574">
        <v>189</v>
      </c>
      <c r="O22574">
        <v>70</v>
      </c>
      <c r="P22574">
        <v>189</v>
      </c>
    </row>
    <row r="22575" spans="1:16" x14ac:dyDescent="0.25">
      <c r="A22575" t="s">
        <v>45291</v>
      </c>
      <c r="B22575" t="s">
        <v>22329</v>
      </c>
      <c r="C22575" t="s">
        <v>22330</v>
      </c>
      <c r="D22575" t="str">
        <f>"1001"</f>
        <v>1001</v>
      </c>
      <c r="E22575" t="s">
        <v>22331</v>
      </c>
      <c r="F22575" t="s">
        <v>3750</v>
      </c>
      <c r="G22575" t="s">
        <v>47093</v>
      </c>
      <c r="H22575" t="s">
        <v>47054</v>
      </c>
      <c r="I22575" t="s">
        <v>47116</v>
      </c>
      <c r="J22575" t="s">
        <v>47117</v>
      </c>
      <c r="K22575" t="s">
        <v>47113</v>
      </c>
      <c r="L22575">
        <v>22.43</v>
      </c>
      <c r="M22575">
        <v>40</v>
      </c>
      <c r="N22575">
        <v>0</v>
      </c>
      <c r="O22575">
        <v>40</v>
      </c>
      <c r="P22575">
        <v>0</v>
      </c>
    </row>
    <row r="22576" spans="1:16" x14ac:dyDescent="0.25">
      <c r="A22576" t="s">
        <v>45292</v>
      </c>
      <c r="B22576" t="s">
        <v>22332</v>
      </c>
      <c r="C22576" t="s">
        <v>22333</v>
      </c>
      <c r="D22576" t="str">
        <f>"1001"</f>
        <v>1001</v>
      </c>
      <c r="E22576" t="s">
        <v>22334</v>
      </c>
      <c r="F22576" t="s">
        <v>3750</v>
      </c>
      <c r="G22576" t="s">
        <v>47093</v>
      </c>
      <c r="H22576" t="s">
        <v>47054</v>
      </c>
      <c r="I22576" t="s">
        <v>47116</v>
      </c>
      <c r="J22576" t="s">
        <v>47117</v>
      </c>
      <c r="K22576" t="s">
        <v>47113</v>
      </c>
      <c r="L22576">
        <v>19.96</v>
      </c>
      <c r="M22576">
        <v>40</v>
      </c>
      <c r="N22576">
        <v>0</v>
      </c>
      <c r="O22576">
        <v>40</v>
      </c>
      <c r="P22576">
        <v>0</v>
      </c>
    </row>
    <row r="22577" spans="1:16" x14ac:dyDescent="0.25">
      <c r="A22577" t="s">
        <v>45293</v>
      </c>
      <c r="B22577" t="s">
        <v>22335</v>
      </c>
      <c r="C22577" t="s">
        <v>22336</v>
      </c>
      <c r="D22577" t="s">
        <v>22337</v>
      </c>
      <c r="E22577" t="s">
        <v>22338</v>
      </c>
      <c r="F22577" t="s">
        <v>3750</v>
      </c>
      <c r="G22577" t="s">
        <v>47093</v>
      </c>
      <c r="H22577" t="s">
        <v>47054</v>
      </c>
      <c r="I22577" t="s">
        <v>47116</v>
      </c>
      <c r="J22577" t="s">
        <v>47117</v>
      </c>
      <c r="K22577" t="s">
        <v>47113</v>
      </c>
      <c r="L22577">
        <v>21.33</v>
      </c>
      <c r="M22577">
        <v>81</v>
      </c>
      <c r="N22577">
        <v>0</v>
      </c>
      <c r="O22577">
        <v>81</v>
      </c>
      <c r="P22577">
        <v>0</v>
      </c>
    </row>
    <row r="22578" spans="1:16" x14ac:dyDescent="0.25">
      <c r="A22578" t="s">
        <v>45294</v>
      </c>
      <c r="B22578" t="s">
        <v>22339</v>
      </c>
      <c r="C22578" t="s">
        <v>22340</v>
      </c>
      <c r="D22578" t="str">
        <f>"1704"</f>
        <v>1704</v>
      </c>
      <c r="E22578" t="s">
        <v>22341</v>
      </c>
      <c r="F22578" t="s">
        <v>3750</v>
      </c>
      <c r="G22578" t="s">
        <v>47093</v>
      </c>
      <c r="H22578" t="s">
        <v>47054</v>
      </c>
      <c r="I22578" t="s">
        <v>47116</v>
      </c>
      <c r="J22578" t="s">
        <v>47117</v>
      </c>
      <c r="K22578" t="s">
        <v>47113</v>
      </c>
      <c r="L22578">
        <v>38.04</v>
      </c>
      <c r="M22578">
        <v>46</v>
      </c>
      <c r="N22578">
        <v>0</v>
      </c>
      <c r="O22578">
        <v>46</v>
      </c>
      <c r="P22578">
        <v>0</v>
      </c>
    </row>
    <row r="22579" spans="1:16" x14ac:dyDescent="0.25">
      <c r="A22579" t="s">
        <v>45295</v>
      </c>
      <c r="B22579" t="s">
        <v>22342</v>
      </c>
      <c r="C22579" t="s">
        <v>22343</v>
      </c>
      <c r="D22579" t="s">
        <v>22344</v>
      </c>
      <c r="E22579" t="s">
        <v>22345</v>
      </c>
      <c r="F22579" t="s">
        <v>3750</v>
      </c>
      <c r="G22579" t="s">
        <v>47099</v>
      </c>
      <c r="H22579" t="s">
        <v>47054</v>
      </c>
      <c r="I22579" t="s">
        <v>47116</v>
      </c>
      <c r="J22579" t="s">
        <v>47117</v>
      </c>
      <c r="K22579" t="s">
        <v>47113</v>
      </c>
      <c r="L22579">
        <v>19.86</v>
      </c>
      <c r="M22579">
        <v>81</v>
      </c>
      <c r="N22579">
        <v>0</v>
      </c>
      <c r="O22579">
        <v>81</v>
      </c>
      <c r="P22579">
        <v>0</v>
      </c>
    </row>
    <row r="22580" spans="1:16" x14ac:dyDescent="0.25">
      <c r="A22580" t="s">
        <v>45296</v>
      </c>
      <c r="B22580" t="s">
        <v>22346</v>
      </c>
      <c r="C22580" t="s">
        <v>22347</v>
      </c>
      <c r="D22580" t="str">
        <f>"1704"</f>
        <v>1704</v>
      </c>
      <c r="E22580" t="s">
        <v>22348</v>
      </c>
      <c r="F22580" t="s">
        <v>3750</v>
      </c>
      <c r="G22580" t="s">
        <v>47102</v>
      </c>
      <c r="H22580" t="s">
        <v>47054</v>
      </c>
      <c r="I22580" t="s">
        <v>47116</v>
      </c>
      <c r="J22580" t="s">
        <v>47117</v>
      </c>
      <c r="K22580" t="s">
        <v>47113</v>
      </c>
      <c r="L22580">
        <v>42.72</v>
      </c>
      <c r="M22580">
        <v>37</v>
      </c>
      <c r="N22580">
        <v>0</v>
      </c>
      <c r="O22580">
        <v>37</v>
      </c>
      <c r="P22580">
        <v>0</v>
      </c>
    </row>
    <row r="22581" spans="1:16" x14ac:dyDescent="0.25">
      <c r="A22581" t="s">
        <v>45297</v>
      </c>
      <c r="B22581" t="s">
        <v>22349</v>
      </c>
      <c r="C22581" t="s">
        <v>22350</v>
      </c>
      <c r="D22581" t="s">
        <v>22306</v>
      </c>
      <c r="E22581" t="s">
        <v>22307</v>
      </c>
      <c r="F22581" t="s">
        <v>3750</v>
      </c>
      <c r="G22581" t="s">
        <v>47093</v>
      </c>
      <c r="H22581" t="s">
        <v>47054</v>
      </c>
      <c r="I22581" t="s">
        <v>47116</v>
      </c>
      <c r="J22581" t="s">
        <v>47117</v>
      </c>
      <c r="K22581" t="s">
        <v>47113</v>
      </c>
      <c r="L22581">
        <v>22.1</v>
      </c>
      <c r="M22581">
        <v>80</v>
      </c>
      <c r="N22581">
        <v>0</v>
      </c>
      <c r="O22581">
        <v>80</v>
      </c>
      <c r="P22581">
        <v>0</v>
      </c>
    </row>
    <row r="22582" spans="1:16" x14ac:dyDescent="0.25">
      <c r="A22582" t="s">
        <v>45298</v>
      </c>
      <c r="B22582" t="s">
        <v>45299</v>
      </c>
      <c r="C22582" t="s">
        <v>45300</v>
      </c>
      <c r="D22582" t="str">
        <f>"1001"</f>
        <v>1001</v>
      </c>
      <c r="E22582" t="s">
        <v>45301</v>
      </c>
      <c r="F22582" t="s">
        <v>3750</v>
      </c>
      <c r="G22582" t="s">
        <v>47093</v>
      </c>
      <c r="H22582" t="s">
        <v>47054</v>
      </c>
      <c r="I22582" t="s">
        <v>47116</v>
      </c>
      <c r="J22582" t="s">
        <v>47117</v>
      </c>
      <c r="K22582" t="s">
        <v>47113</v>
      </c>
      <c r="L22582">
        <v>25.45</v>
      </c>
      <c r="M22582">
        <v>89</v>
      </c>
      <c r="N22582">
        <v>239</v>
      </c>
      <c r="O22582">
        <v>89</v>
      </c>
      <c r="P22582">
        <v>239</v>
      </c>
    </row>
    <row r="22583" spans="1:16" x14ac:dyDescent="0.25">
      <c r="A22583" t="s">
        <v>45302</v>
      </c>
      <c r="B22583" t="s">
        <v>22351</v>
      </c>
      <c r="C22583" t="s">
        <v>22352</v>
      </c>
      <c r="D22583" t="str">
        <f>"7000"</f>
        <v>7000</v>
      </c>
      <c r="E22583" t="s">
        <v>22353</v>
      </c>
      <c r="F22583" t="s">
        <v>3750</v>
      </c>
      <c r="G22583" t="s">
        <v>47093</v>
      </c>
      <c r="H22583" t="s">
        <v>47054</v>
      </c>
      <c r="I22583" t="s">
        <v>47116</v>
      </c>
      <c r="J22583" t="s">
        <v>47117</v>
      </c>
      <c r="K22583" t="s">
        <v>47113</v>
      </c>
      <c r="L22583">
        <v>33.92</v>
      </c>
      <c r="M22583">
        <v>107</v>
      </c>
      <c r="N22583">
        <v>0</v>
      </c>
      <c r="O22583">
        <v>107</v>
      </c>
      <c r="P22583">
        <v>0</v>
      </c>
    </row>
    <row r="22584" spans="1:16" x14ac:dyDescent="0.25">
      <c r="A22584" t="s">
        <v>45303</v>
      </c>
      <c r="B22584" t="s">
        <v>45304</v>
      </c>
      <c r="C22584" t="s">
        <v>22079</v>
      </c>
      <c r="D22584" t="str">
        <f>"1800"</f>
        <v>1800</v>
      </c>
      <c r="E22584" t="s">
        <v>45305</v>
      </c>
      <c r="F22584" t="s">
        <v>3750</v>
      </c>
      <c r="G22584" t="s">
        <v>47093</v>
      </c>
      <c r="H22584" t="s">
        <v>47054</v>
      </c>
      <c r="I22584" t="s">
        <v>47116</v>
      </c>
      <c r="J22584" t="s">
        <v>47117</v>
      </c>
      <c r="K22584" t="s">
        <v>47113</v>
      </c>
      <c r="L22584">
        <v>21.78</v>
      </c>
      <c r="M22584">
        <v>85</v>
      </c>
      <c r="N22584">
        <v>229</v>
      </c>
      <c r="O22584">
        <v>85</v>
      </c>
      <c r="P22584">
        <v>229</v>
      </c>
    </row>
    <row r="22585" spans="1:16" x14ac:dyDescent="0.25">
      <c r="A22585" t="s">
        <v>45306</v>
      </c>
      <c r="B22585" t="s">
        <v>22354</v>
      </c>
      <c r="C22585" t="s">
        <v>22355</v>
      </c>
      <c r="D22585" t="str">
        <f>"4000"</f>
        <v>4000</v>
      </c>
      <c r="E22585" t="s">
        <v>22356</v>
      </c>
      <c r="F22585" t="s">
        <v>3750</v>
      </c>
      <c r="G22585" t="s">
        <v>47093</v>
      </c>
      <c r="H22585" t="s">
        <v>47054</v>
      </c>
      <c r="I22585" t="s">
        <v>47116</v>
      </c>
      <c r="J22585" t="s">
        <v>47117</v>
      </c>
      <c r="K22585" t="s">
        <v>47113</v>
      </c>
      <c r="L22585">
        <v>34.24</v>
      </c>
      <c r="M22585">
        <v>107</v>
      </c>
      <c r="N22585">
        <v>0</v>
      </c>
      <c r="O22585">
        <v>107</v>
      </c>
      <c r="P22585">
        <v>0</v>
      </c>
    </row>
    <row r="22586" spans="1:16" x14ac:dyDescent="0.25">
      <c r="A22586" t="s">
        <v>45307</v>
      </c>
      <c r="B22586" t="s">
        <v>22354</v>
      </c>
      <c r="C22586" t="s">
        <v>22355</v>
      </c>
      <c r="D22586" t="str">
        <f>"6000"</f>
        <v>6000</v>
      </c>
      <c r="E22586" t="s">
        <v>22357</v>
      </c>
      <c r="F22586" t="s">
        <v>3750</v>
      </c>
      <c r="G22586" t="s">
        <v>47093</v>
      </c>
      <c r="H22586" t="s">
        <v>47054</v>
      </c>
      <c r="I22586" t="s">
        <v>47116</v>
      </c>
      <c r="J22586" t="s">
        <v>47117</v>
      </c>
      <c r="K22586" t="s">
        <v>47113</v>
      </c>
      <c r="L22586">
        <v>33.92</v>
      </c>
      <c r="M22586">
        <v>104</v>
      </c>
      <c r="N22586">
        <v>0</v>
      </c>
      <c r="O22586">
        <v>104</v>
      </c>
      <c r="P22586">
        <v>0</v>
      </c>
    </row>
    <row r="22587" spans="1:16" x14ac:dyDescent="0.25">
      <c r="A22587" t="s">
        <v>45308</v>
      </c>
      <c r="B22587" t="s">
        <v>22354</v>
      </c>
      <c r="C22587" t="s">
        <v>22355</v>
      </c>
      <c r="D22587" t="str">
        <f>"6315"</f>
        <v>6315</v>
      </c>
      <c r="E22587" t="s">
        <v>22358</v>
      </c>
      <c r="F22587" t="s">
        <v>3750</v>
      </c>
      <c r="G22587" t="s">
        <v>47093</v>
      </c>
      <c r="H22587" t="s">
        <v>47054</v>
      </c>
      <c r="I22587" t="s">
        <v>47116</v>
      </c>
      <c r="J22587" t="s">
        <v>47117</v>
      </c>
      <c r="K22587" t="s">
        <v>47113</v>
      </c>
      <c r="L22587">
        <v>32.5</v>
      </c>
      <c r="M22587">
        <v>108</v>
      </c>
      <c r="N22587">
        <v>0</v>
      </c>
      <c r="O22587">
        <v>108</v>
      </c>
      <c r="P22587">
        <v>0</v>
      </c>
    </row>
    <row r="22588" spans="1:16" x14ac:dyDescent="0.25">
      <c r="A22588" t="s">
        <v>45309</v>
      </c>
      <c r="B22588" t="s">
        <v>22359</v>
      </c>
      <c r="C22588" t="s">
        <v>22360</v>
      </c>
      <c r="D22588" t="str">
        <f>"4602"</f>
        <v>4602</v>
      </c>
      <c r="E22588" t="s">
        <v>22361</v>
      </c>
      <c r="F22588" t="s">
        <v>3750</v>
      </c>
      <c r="G22588" t="s">
        <v>47093</v>
      </c>
      <c r="H22588" t="s">
        <v>47054</v>
      </c>
      <c r="I22588" t="s">
        <v>47116</v>
      </c>
      <c r="J22588" t="s">
        <v>47117</v>
      </c>
      <c r="K22588" t="s">
        <v>47113</v>
      </c>
      <c r="L22588">
        <v>21.96</v>
      </c>
      <c r="M22588">
        <v>95</v>
      </c>
      <c r="N22588">
        <v>0</v>
      </c>
      <c r="O22588">
        <v>95</v>
      </c>
      <c r="P22588">
        <v>0</v>
      </c>
    </row>
    <row r="22589" spans="1:16" x14ac:dyDescent="0.25">
      <c r="A22589" t="s">
        <v>45310</v>
      </c>
      <c r="B22589" t="s">
        <v>22359</v>
      </c>
      <c r="C22589" t="s">
        <v>22360</v>
      </c>
      <c r="D22589" t="str">
        <f>"6901"</f>
        <v>6901</v>
      </c>
      <c r="E22589" t="s">
        <v>22362</v>
      </c>
      <c r="F22589" t="s">
        <v>3750</v>
      </c>
      <c r="G22589" t="s">
        <v>47093</v>
      </c>
      <c r="H22589" t="s">
        <v>47054</v>
      </c>
      <c r="I22589" t="s">
        <v>47116</v>
      </c>
      <c r="J22589" t="s">
        <v>47117</v>
      </c>
      <c r="K22589" t="s">
        <v>47113</v>
      </c>
      <c r="L22589">
        <v>21.96</v>
      </c>
      <c r="M22589">
        <v>95</v>
      </c>
      <c r="N22589">
        <v>0</v>
      </c>
      <c r="O22589">
        <v>95</v>
      </c>
      <c r="P22589">
        <v>0</v>
      </c>
    </row>
    <row r="22590" spans="1:16" x14ac:dyDescent="0.25">
      <c r="A22590" t="s">
        <v>45311</v>
      </c>
      <c r="B22590" t="s">
        <v>22363</v>
      </c>
      <c r="C22590" t="s">
        <v>22364</v>
      </c>
      <c r="D22590" t="str">
        <f>"5102"</f>
        <v>5102</v>
      </c>
      <c r="E22590" t="s">
        <v>22365</v>
      </c>
      <c r="F22590" t="s">
        <v>3750</v>
      </c>
      <c r="G22590" t="s">
        <v>47093</v>
      </c>
      <c r="H22590" t="s">
        <v>47054</v>
      </c>
      <c r="I22590" t="s">
        <v>47116</v>
      </c>
      <c r="J22590" t="s">
        <v>47117</v>
      </c>
      <c r="K22590" t="s">
        <v>47113</v>
      </c>
      <c r="L22590">
        <v>22.34</v>
      </c>
      <c r="M22590">
        <v>40</v>
      </c>
      <c r="N22590">
        <v>0</v>
      </c>
      <c r="O22590">
        <v>40</v>
      </c>
      <c r="P22590">
        <v>0</v>
      </c>
    </row>
    <row r="22591" spans="1:16" x14ac:dyDescent="0.25">
      <c r="A22591" t="s">
        <v>45312</v>
      </c>
      <c r="B22591" t="s">
        <v>22366</v>
      </c>
      <c r="C22591" t="s">
        <v>22367</v>
      </c>
      <c r="D22591" t="str">
        <f>"3071"</f>
        <v>3071</v>
      </c>
      <c r="E22591" t="s">
        <v>22368</v>
      </c>
      <c r="F22591" t="s">
        <v>3750</v>
      </c>
      <c r="G22591" t="s">
        <v>47093</v>
      </c>
      <c r="H22591" t="s">
        <v>47054</v>
      </c>
      <c r="I22591" t="s">
        <v>47116</v>
      </c>
      <c r="J22591" t="s">
        <v>47117</v>
      </c>
      <c r="K22591" t="s">
        <v>47113</v>
      </c>
      <c r="L22591">
        <v>22.35</v>
      </c>
      <c r="M22591">
        <v>40</v>
      </c>
      <c r="N22591">
        <v>0</v>
      </c>
      <c r="O22591">
        <v>40</v>
      </c>
      <c r="P22591">
        <v>0</v>
      </c>
    </row>
    <row r="22592" spans="1:16" x14ac:dyDescent="0.25">
      <c r="A22592" t="s">
        <v>45313</v>
      </c>
      <c r="B22592" t="s">
        <v>22369</v>
      </c>
      <c r="C22592" t="s">
        <v>22370</v>
      </c>
      <c r="D22592" t="s">
        <v>22344</v>
      </c>
      <c r="E22592" t="s">
        <v>22345</v>
      </c>
      <c r="F22592" t="s">
        <v>3750</v>
      </c>
      <c r="G22592" t="s">
        <v>47093</v>
      </c>
      <c r="H22592" t="s">
        <v>47054</v>
      </c>
      <c r="I22592" t="s">
        <v>47116</v>
      </c>
      <c r="J22592" t="s">
        <v>47117</v>
      </c>
      <c r="K22592" t="s">
        <v>47113</v>
      </c>
      <c r="L22592">
        <v>22.41</v>
      </c>
      <c r="M22592">
        <v>81</v>
      </c>
      <c r="N22592">
        <v>0</v>
      </c>
      <c r="O22592">
        <v>81</v>
      </c>
      <c r="P22592">
        <v>0</v>
      </c>
    </row>
    <row r="22593" spans="1:16" x14ac:dyDescent="0.25">
      <c r="A22593" t="s">
        <v>45314</v>
      </c>
      <c r="B22593" t="s">
        <v>45315</v>
      </c>
      <c r="C22593" t="s">
        <v>45316</v>
      </c>
      <c r="D22593" t="str">
        <f>"6000"</f>
        <v>6000</v>
      </c>
      <c r="E22593" t="s">
        <v>45317</v>
      </c>
      <c r="F22593" t="s">
        <v>20496</v>
      </c>
      <c r="G22593" t="s">
        <v>47101</v>
      </c>
      <c r="H22593" t="s">
        <v>47054</v>
      </c>
      <c r="I22593" t="s">
        <v>47118</v>
      </c>
      <c r="J22593" t="s">
        <v>47119</v>
      </c>
      <c r="K22593" t="s">
        <v>47113</v>
      </c>
      <c r="L22593">
        <v>14.92</v>
      </c>
      <c r="M22593">
        <v>48</v>
      </c>
      <c r="N22593">
        <v>129</v>
      </c>
      <c r="O22593">
        <v>48</v>
      </c>
      <c r="P22593">
        <v>129</v>
      </c>
    </row>
    <row r="22594" spans="1:16" x14ac:dyDescent="0.25">
      <c r="A22594" t="s">
        <v>45318</v>
      </c>
      <c r="B22594" t="s">
        <v>13469</v>
      </c>
      <c r="C22594" t="s">
        <v>13470</v>
      </c>
      <c r="D22594" t="str">
        <f>"1700"</f>
        <v>1700</v>
      </c>
      <c r="E22594" t="s">
        <v>1999</v>
      </c>
      <c r="F22594" t="s">
        <v>3558</v>
      </c>
      <c r="G22594" t="s">
        <v>47091</v>
      </c>
      <c r="H22594" t="s">
        <v>47054</v>
      </c>
      <c r="I22594" t="s">
        <v>47111</v>
      </c>
      <c r="J22594" t="s">
        <v>47112</v>
      </c>
      <c r="K22594" t="s">
        <v>47113</v>
      </c>
      <c r="L22594">
        <v>18.54</v>
      </c>
      <c r="M22594">
        <v>26</v>
      </c>
      <c r="N22594">
        <v>0</v>
      </c>
      <c r="O22594">
        <v>26</v>
      </c>
      <c r="P22594">
        <v>0</v>
      </c>
    </row>
    <row r="22595" spans="1:16" x14ac:dyDescent="0.25">
      <c r="A22595" t="s">
        <v>45319</v>
      </c>
      <c r="B22595" t="s">
        <v>13469</v>
      </c>
      <c r="C22595" t="s">
        <v>13470</v>
      </c>
      <c r="D22595" t="str">
        <f>"4131"</f>
        <v>4131</v>
      </c>
      <c r="E22595" t="s">
        <v>13471</v>
      </c>
      <c r="F22595" t="s">
        <v>3558</v>
      </c>
      <c r="G22595" t="s">
        <v>47091</v>
      </c>
      <c r="H22595" t="s">
        <v>47054</v>
      </c>
      <c r="I22595" t="s">
        <v>47111</v>
      </c>
      <c r="J22595" t="s">
        <v>47112</v>
      </c>
      <c r="K22595" t="s">
        <v>47113</v>
      </c>
      <c r="L22595">
        <v>18.54</v>
      </c>
      <c r="M22595">
        <v>26</v>
      </c>
      <c r="N22595">
        <v>0</v>
      </c>
      <c r="O22595">
        <v>26</v>
      </c>
      <c r="P22595">
        <v>0</v>
      </c>
    </row>
    <row r="22596" spans="1:16" x14ac:dyDescent="0.25">
      <c r="A22596" t="s">
        <v>45320</v>
      </c>
      <c r="B22596" t="s">
        <v>13469</v>
      </c>
      <c r="C22596" t="s">
        <v>13470</v>
      </c>
      <c r="D22596" t="str">
        <f>"6497"</f>
        <v>6497</v>
      </c>
      <c r="E22596" t="s">
        <v>8781</v>
      </c>
      <c r="F22596" t="s">
        <v>3558</v>
      </c>
      <c r="G22596" t="s">
        <v>47091</v>
      </c>
      <c r="H22596" t="s">
        <v>47054</v>
      </c>
      <c r="I22596" t="s">
        <v>47111</v>
      </c>
      <c r="J22596" t="s">
        <v>47112</v>
      </c>
      <c r="K22596" t="s">
        <v>47113</v>
      </c>
      <c r="L22596">
        <v>18.54</v>
      </c>
      <c r="M22596">
        <v>26</v>
      </c>
      <c r="N22596">
        <v>0</v>
      </c>
      <c r="O22596">
        <v>26</v>
      </c>
      <c r="P22596">
        <v>0</v>
      </c>
    </row>
    <row r="22597" spans="1:16" x14ac:dyDescent="0.25">
      <c r="A22597" t="s">
        <v>45321</v>
      </c>
      <c r="B22597" t="s">
        <v>13472</v>
      </c>
      <c r="C22597" t="s">
        <v>12688</v>
      </c>
      <c r="D22597" t="str">
        <f>"1272"</f>
        <v>1272</v>
      </c>
      <c r="E22597" t="s">
        <v>12689</v>
      </c>
      <c r="F22597" t="s">
        <v>3670</v>
      </c>
      <c r="G22597" t="s">
        <v>47091</v>
      </c>
      <c r="H22597" t="s">
        <v>47054</v>
      </c>
      <c r="I22597" t="s">
        <v>47111</v>
      </c>
      <c r="J22597" t="s">
        <v>47112</v>
      </c>
      <c r="K22597" t="s">
        <v>47113</v>
      </c>
      <c r="L22597">
        <v>18.010000000000002</v>
      </c>
      <c r="M22597">
        <v>33</v>
      </c>
      <c r="N22597">
        <v>0</v>
      </c>
      <c r="O22597">
        <v>33</v>
      </c>
      <c r="P22597">
        <v>0</v>
      </c>
    </row>
    <row r="22598" spans="1:16" x14ac:dyDescent="0.25">
      <c r="A22598" t="s">
        <v>45322</v>
      </c>
      <c r="B22598" t="s">
        <v>13472</v>
      </c>
      <c r="C22598" t="s">
        <v>12688</v>
      </c>
      <c r="D22598" t="str">
        <f>"6300"</f>
        <v>6300</v>
      </c>
      <c r="E22598" t="s">
        <v>12690</v>
      </c>
      <c r="F22598" t="s">
        <v>3670</v>
      </c>
      <c r="G22598" t="s">
        <v>47091</v>
      </c>
      <c r="H22598" t="s">
        <v>47054</v>
      </c>
      <c r="I22598" t="s">
        <v>47111</v>
      </c>
      <c r="J22598" t="s">
        <v>47112</v>
      </c>
      <c r="K22598" t="s">
        <v>47113</v>
      </c>
      <c r="L22598">
        <v>18.010000000000002</v>
      </c>
      <c r="M22598">
        <v>33</v>
      </c>
      <c r="N22598">
        <v>0</v>
      </c>
      <c r="O22598">
        <v>33</v>
      </c>
      <c r="P22598">
        <v>0</v>
      </c>
    </row>
    <row r="22599" spans="1:16" x14ac:dyDescent="0.25">
      <c r="A22599" t="s">
        <v>45323</v>
      </c>
      <c r="B22599" t="s">
        <v>13473</v>
      </c>
      <c r="C22599" t="s">
        <v>19336</v>
      </c>
      <c r="D22599" t="str">
        <f>"4002"</f>
        <v>4002</v>
      </c>
      <c r="E22599" t="s">
        <v>710</v>
      </c>
      <c r="F22599" t="s">
        <v>3558</v>
      </c>
      <c r="G22599" t="s">
        <v>47091</v>
      </c>
      <c r="H22599" t="s">
        <v>47054</v>
      </c>
      <c r="I22599" t="s">
        <v>47111</v>
      </c>
      <c r="J22599" t="s">
        <v>47112</v>
      </c>
      <c r="K22599" t="s">
        <v>47113</v>
      </c>
      <c r="L22599">
        <v>23.29</v>
      </c>
      <c r="M22599">
        <v>26</v>
      </c>
      <c r="N22599">
        <v>0</v>
      </c>
      <c r="O22599">
        <v>26</v>
      </c>
      <c r="P22599">
        <v>0</v>
      </c>
    </row>
    <row r="22600" spans="1:16" x14ac:dyDescent="0.25">
      <c r="A22600" t="s">
        <v>45324</v>
      </c>
      <c r="B22600" t="s">
        <v>22371</v>
      </c>
      <c r="C22600" t="s">
        <v>22372</v>
      </c>
      <c r="D22600" t="s">
        <v>22373</v>
      </c>
      <c r="E22600" t="s">
        <v>22374</v>
      </c>
      <c r="F22600" t="s">
        <v>3750</v>
      </c>
      <c r="G22600" t="s">
        <v>47093</v>
      </c>
      <c r="H22600" t="s">
        <v>47054</v>
      </c>
      <c r="I22600" t="s">
        <v>47116</v>
      </c>
      <c r="J22600" t="s">
        <v>47117</v>
      </c>
      <c r="K22600" t="s">
        <v>47113</v>
      </c>
      <c r="L22600">
        <v>30.89</v>
      </c>
      <c r="M22600">
        <v>108</v>
      </c>
      <c r="N22600">
        <v>0</v>
      </c>
      <c r="O22600">
        <v>108</v>
      </c>
      <c r="P22600">
        <v>0</v>
      </c>
    </row>
    <row r="22601" spans="1:16" x14ac:dyDescent="0.25">
      <c r="A22601" t="s">
        <v>45325</v>
      </c>
      <c r="B22601" t="s">
        <v>22375</v>
      </c>
      <c r="C22601" t="s">
        <v>22376</v>
      </c>
      <c r="D22601" t="s">
        <v>721</v>
      </c>
      <c r="E22601" t="s">
        <v>722</v>
      </c>
      <c r="F22601" t="s">
        <v>3750</v>
      </c>
      <c r="G22601" t="s">
        <v>47093</v>
      </c>
      <c r="H22601" t="s">
        <v>47054</v>
      </c>
      <c r="I22601" t="s">
        <v>47116</v>
      </c>
      <c r="J22601" t="s">
        <v>47117</v>
      </c>
      <c r="K22601" t="s">
        <v>47113</v>
      </c>
      <c r="L22601">
        <v>20.04</v>
      </c>
      <c r="M22601">
        <v>80</v>
      </c>
      <c r="N22601">
        <v>0</v>
      </c>
      <c r="O22601">
        <v>80</v>
      </c>
      <c r="P22601">
        <v>0</v>
      </c>
    </row>
    <row r="22602" spans="1:16" x14ac:dyDescent="0.25">
      <c r="A22602" t="s">
        <v>45326</v>
      </c>
      <c r="B22602" t="s">
        <v>22377</v>
      </c>
      <c r="C22602" t="s">
        <v>22378</v>
      </c>
      <c r="D22602" t="s">
        <v>22262</v>
      </c>
      <c r="E22602" t="s">
        <v>22263</v>
      </c>
      <c r="F22602" t="s">
        <v>3750</v>
      </c>
      <c r="G22602" t="s">
        <v>47093</v>
      </c>
      <c r="H22602" t="s">
        <v>47054</v>
      </c>
      <c r="I22602" t="s">
        <v>47116</v>
      </c>
      <c r="J22602" t="s">
        <v>47117</v>
      </c>
      <c r="K22602" t="s">
        <v>47113</v>
      </c>
      <c r="L22602">
        <v>22.1</v>
      </c>
      <c r="M22602">
        <v>80</v>
      </c>
      <c r="N22602">
        <v>0</v>
      </c>
      <c r="O22602">
        <v>80</v>
      </c>
      <c r="P22602">
        <v>0</v>
      </c>
    </row>
    <row r="22603" spans="1:16" x14ac:dyDescent="0.25">
      <c r="A22603" t="s">
        <v>45327</v>
      </c>
      <c r="B22603" t="s">
        <v>45328</v>
      </c>
      <c r="C22603" t="s">
        <v>45329</v>
      </c>
      <c r="D22603" t="s">
        <v>45330</v>
      </c>
      <c r="E22603" t="s">
        <v>45331</v>
      </c>
      <c r="F22603" t="s">
        <v>24627</v>
      </c>
      <c r="G22603" t="s">
        <v>47093</v>
      </c>
      <c r="H22603" t="s">
        <v>47054</v>
      </c>
      <c r="I22603" t="s">
        <v>47116</v>
      </c>
      <c r="J22603" t="s">
        <v>47117</v>
      </c>
      <c r="K22603" t="s">
        <v>47113</v>
      </c>
      <c r="L22603">
        <v>37.840000000000003</v>
      </c>
      <c r="M22603">
        <v>137</v>
      </c>
      <c r="N22603">
        <v>369</v>
      </c>
      <c r="O22603">
        <v>137</v>
      </c>
      <c r="P22603">
        <v>369</v>
      </c>
    </row>
    <row r="22604" spans="1:16" x14ac:dyDescent="0.25">
      <c r="A22604" t="s">
        <v>49777</v>
      </c>
      <c r="B22604" t="s">
        <v>49778</v>
      </c>
      <c r="C22604" t="s">
        <v>49779</v>
      </c>
      <c r="D22604" t="s">
        <v>49780</v>
      </c>
      <c r="E22604" t="s">
        <v>49781</v>
      </c>
      <c r="F22604" t="s">
        <v>47163</v>
      </c>
      <c r="G22604" t="s">
        <v>47093</v>
      </c>
      <c r="H22604" t="s">
        <v>47054</v>
      </c>
      <c r="I22604" t="s">
        <v>47116</v>
      </c>
      <c r="J22604" t="s">
        <v>47117</v>
      </c>
      <c r="K22604" t="s">
        <v>47113</v>
      </c>
      <c r="L22604">
        <v>30.7</v>
      </c>
      <c r="M22604">
        <v>114</v>
      </c>
      <c r="N22604">
        <v>309</v>
      </c>
      <c r="O22604">
        <v>114</v>
      </c>
      <c r="P22604">
        <v>309</v>
      </c>
    </row>
    <row r="22605" spans="1:16" x14ac:dyDescent="0.25">
      <c r="A22605" t="s">
        <v>45332</v>
      </c>
      <c r="B22605" t="s">
        <v>45333</v>
      </c>
      <c r="C22605" t="s">
        <v>45334</v>
      </c>
      <c r="D22605" t="s">
        <v>45335</v>
      </c>
      <c r="E22605" t="s">
        <v>45336</v>
      </c>
      <c r="F22605" t="s">
        <v>24622</v>
      </c>
      <c r="G22605" t="s">
        <v>47093</v>
      </c>
      <c r="H22605" t="s">
        <v>47054</v>
      </c>
      <c r="I22605" t="s">
        <v>47116</v>
      </c>
      <c r="J22605" t="s">
        <v>47117</v>
      </c>
      <c r="K22605" t="s">
        <v>47113</v>
      </c>
      <c r="L22605">
        <v>27.32</v>
      </c>
      <c r="M22605">
        <v>114</v>
      </c>
      <c r="N22605">
        <v>309</v>
      </c>
      <c r="O22605">
        <v>114</v>
      </c>
      <c r="P22605">
        <v>309</v>
      </c>
    </row>
    <row r="22606" spans="1:16" x14ac:dyDescent="0.25">
      <c r="A22606" t="s">
        <v>45337</v>
      </c>
      <c r="B22606" t="s">
        <v>22379</v>
      </c>
      <c r="C22606" t="s">
        <v>22201</v>
      </c>
      <c r="D22606" t="s">
        <v>22380</v>
      </c>
      <c r="E22606" t="s">
        <v>22381</v>
      </c>
      <c r="F22606" t="s">
        <v>3750</v>
      </c>
      <c r="G22606" t="s">
        <v>47093</v>
      </c>
      <c r="H22606" t="s">
        <v>47054</v>
      </c>
      <c r="I22606" t="s">
        <v>47116</v>
      </c>
      <c r="J22606" t="s">
        <v>47117</v>
      </c>
      <c r="K22606" t="s">
        <v>47113</v>
      </c>
      <c r="L22606">
        <v>25.51</v>
      </c>
      <c r="M22606">
        <v>80</v>
      </c>
      <c r="N22606">
        <v>0</v>
      </c>
      <c r="O22606">
        <v>80</v>
      </c>
      <c r="P22606">
        <v>0</v>
      </c>
    </row>
    <row r="22607" spans="1:16" x14ac:dyDescent="0.25">
      <c r="A22607" t="s">
        <v>45338</v>
      </c>
      <c r="B22607" t="s">
        <v>45339</v>
      </c>
      <c r="C22607" t="s">
        <v>45340</v>
      </c>
      <c r="D22607" t="s">
        <v>45341</v>
      </c>
      <c r="E22607" t="s">
        <v>45342</v>
      </c>
      <c r="F22607" t="s">
        <v>3750</v>
      </c>
      <c r="G22607" t="s">
        <v>47093</v>
      </c>
      <c r="H22607" t="s">
        <v>47054</v>
      </c>
      <c r="I22607" t="s">
        <v>47120</v>
      </c>
      <c r="J22607" t="s">
        <v>47121</v>
      </c>
      <c r="K22607" t="s">
        <v>47113</v>
      </c>
      <c r="L22607">
        <v>38.21</v>
      </c>
      <c r="M22607">
        <v>140</v>
      </c>
      <c r="N22607">
        <v>379</v>
      </c>
      <c r="O22607">
        <v>140</v>
      </c>
      <c r="P22607">
        <v>379</v>
      </c>
    </row>
    <row r="22608" spans="1:16" x14ac:dyDescent="0.25">
      <c r="A22608" t="s">
        <v>49782</v>
      </c>
      <c r="B22608" t="s">
        <v>49783</v>
      </c>
      <c r="C22608" t="s">
        <v>49784</v>
      </c>
      <c r="D22608" t="s">
        <v>49785</v>
      </c>
      <c r="E22608" t="s">
        <v>49786</v>
      </c>
      <c r="F22608" t="s">
        <v>47163</v>
      </c>
      <c r="G22608" t="s">
        <v>47093</v>
      </c>
      <c r="H22608" t="s">
        <v>47054</v>
      </c>
      <c r="I22608" t="s">
        <v>47116</v>
      </c>
      <c r="J22608" t="s">
        <v>47117</v>
      </c>
      <c r="K22608" t="s">
        <v>47113</v>
      </c>
      <c r="L22608">
        <v>36.61</v>
      </c>
      <c r="M22608">
        <v>137</v>
      </c>
      <c r="N22608">
        <v>369</v>
      </c>
      <c r="O22608">
        <v>137</v>
      </c>
      <c r="P22608">
        <v>369</v>
      </c>
    </row>
    <row r="22609" spans="1:16" x14ac:dyDescent="0.25">
      <c r="A22609" t="s">
        <v>45343</v>
      </c>
      <c r="B22609" t="s">
        <v>22382</v>
      </c>
      <c r="C22609" t="s">
        <v>22383</v>
      </c>
      <c r="D22609" t="s">
        <v>22384</v>
      </c>
      <c r="E22609" t="s">
        <v>22385</v>
      </c>
      <c r="F22609" t="s">
        <v>3750</v>
      </c>
      <c r="G22609" t="s">
        <v>47093</v>
      </c>
      <c r="H22609" t="s">
        <v>47054</v>
      </c>
      <c r="I22609" t="s">
        <v>47116</v>
      </c>
      <c r="J22609" t="s">
        <v>47117</v>
      </c>
      <c r="K22609" t="s">
        <v>47113</v>
      </c>
      <c r="L22609">
        <v>25.78</v>
      </c>
      <c r="M22609">
        <v>80</v>
      </c>
      <c r="N22609">
        <v>0</v>
      </c>
      <c r="O22609">
        <v>80</v>
      </c>
      <c r="P22609">
        <v>0</v>
      </c>
    </row>
    <row r="22610" spans="1:16" x14ac:dyDescent="0.25">
      <c r="A22610" t="s">
        <v>45344</v>
      </c>
      <c r="B22610" t="s">
        <v>22386</v>
      </c>
      <c r="C22610" t="s">
        <v>22387</v>
      </c>
      <c r="D22610" t="s">
        <v>22373</v>
      </c>
      <c r="E22610" t="s">
        <v>22374</v>
      </c>
      <c r="F22610" t="s">
        <v>3750</v>
      </c>
      <c r="G22610" t="s">
        <v>47093</v>
      </c>
      <c r="H22610" t="s">
        <v>47054</v>
      </c>
      <c r="I22610" t="s">
        <v>47116</v>
      </c>
      <c r="J22610" t="s">
        <v>47117</v>
      </c>
      <c r="K22610" t="s">
        <v>47113</v>
      </c>
      <c r="L22610">
        <v>38.36</v>
      </c>
      <c r="M22610">
        <v>136</v>
      </c>
      <c r="N22610">
        <v>0</v>
      </c>
      <c r="O22610">
        <v>136</v>
      </c>
      <c r="P22610">
        <v>0</v>
      </c>
    </row>
    <row r="22611" spans="1:16" x14ac:dyDescent="0.25">
      <c r="A22611" t="s">
        <v>45345</v>
      </c>
      <c r="B22611" t="s">
        <v>22388</v>
      </c>
      <c r="C22611" t="s">
        <v>22389</v>
      </c>
      <c r="D22611" t="s">
        <v>22390</v>
      </c>
      <c r="E22611" t="s">
        <v>22391</v>
      </c>
      <c r="F22611" t="s">
        <v>3750</v>
      </c>
      <c r="G22611" t="s">
        <v>47093</v>
      </c>
      <c r="H22611" t="s">
        <v>47054</v>
      </c>
      <c r="I22611" t="s">
        <v>47116</v>
      </c>
      <c r="J22611" t="s">
        <v>47117</v>
      </c>
      <c r="K22611" t="s">
        <v>47113</v>
      </c>
      <c r="L22611">
        <v>27.44</v>
      </c>
      <c r="M22611">
        <v>108</v>
      </c>
      <c r="N22611">
        <v>0</v>
      </c>
      <c r="O22611">
        <v>108</v>
      </c>
      <c r="P22611">
        <v>0</v>
      </c>
    </row>
    <row r="22612" spans="1:16" x14ac:dyDescent="0.25">
      <c r="A22612" t="s">
        <v>45346</v>
      </c>
      <c r="B22612" t="s">
        <v>22392</v>
      </c>
      <c r="C22612" t="s">
        <v>22393</v>
      </c>
      <c r="D22612" t="s">
        <v>22384</v>
      </c>
      <c r="E22612" t="s">
        <v>22385</v>
      </c>
      <c r="F22612" t="s">
        <v>3750</v>
      </c>
      <c r="G22612" t="s">
        <v>47093</v>
      </c>
      <c r="H22612" t="s">
        <v>47054</v>
      </c>
      <c r="I22612" t="s">
        <v>47116</v>
      </c>
      <c r="J22612" t="s">
        <v>47117</v>
      </c>
      <c r="K22612" t="s">
        <v>47113</v>
      </c>
      <c r="L22612">
        <v>25.78</v>
      </c>
      <c r="M22612">
        <v>80</v>
      </c>
      <c r="N22612">
        <v>0</v>
      </c>
      <c r="O22612">
        <v>80</v>
      </c>
      <c r="P22612">
        <v>0</v>
      </c>
    </row>
    <row r="22613" spans="1:16" x14ac:dyDescent="0.25">
      <c r="A22613" t="s">
        <v>45347</v>
      </c>
      <c r="B22613" t="s">
        <v>22394</v>
      </c>
      <c r="C22613" t="s">
        <v>22395</v>
      </c>
      <c r="D22613" t="s">
        <v>22085</v>
      </c>
      <c r="E22613" t="s">
        <v>22086</v>
      </c>
      <c r="F22613" t="s">
        <v>3750</v>
      </c>
      <c r="G22613" t="s">
        <v>47093</v>
      </c>
      <c r="H22613" t="s">
        <v>47054</v>
      </c>
      <c r="I22613" t="s">
        <v>47116</v>
      </c>
      <c r="J22613" t="s">
        <v>47117</v>
      </c>
      <c r="K22613" t="s">
        <v>47113</v>
      </c>
      <c r="L22613">
        <v>25.14</v>
      </c>
      <c r="M22613">
        <v>88</v>
      </c>
      <c r="N22613">
        <v>0</v>
      </c>
      <c r="O22613">
        <v>88</v>
      </c>
      <c r="P22613">
        <v>0</v>
      </c>
    </row>
    <row r="22614" spans="1:16" x14ac:dyDescent="0.25">
      <c r="A22614" t="s">
        <v>45348</v>
      </c>
      <c r="B22614" t="s">
        <v>22396</v>
      </c>
      <c r="C22614" t="s">
        <v>22397</v>
      </c>
      <c r="D22614" t="s">
        <v>22310</v>
      </c>
      <c r="E22614" t="s">
        <v>22311</v>
      </c>
      <c r="F22614" t="s">
        <v>3750</v>
      </c>
      <c r="G22614" t="s">
        <v>49029</v>
      </c>
      <c r="H22614" t="s">
        <v>47054</v>
      </c>
      <c r="I22614" t="s">
        <v>47116</v>
      </c>
      <c r="J22614" t="s">
        <v>47117</v>
      </c>
      <c r="K22614" t="s">
        <v>47113</v>
      </c>
      <c r="L22614">
        <v>18.13</v>
      </c>
      <c r="M22614">
        <v>80</v>
      </c>
      <c r="N22614">
        <v>0</v>
      </c>
      <c r="O22614">
        <v>80</v>
      </c>
      <c r="P22614">
        <v>0</v>
      </c>
    </row>
    <row r="22615" spans="1:16" x14ac:dyDescent="0.25">
      <c r="A22615" t="s">
        <v>45349</v>
      </c>
      <c r="B22615" t="s">
        <v>22398</v>
      </c>
      <c r="C22615" t="s">
        <v>22399</v>
      </c>
      <c r="D22615" t="s">
        <v>22085</v>
      </c>
      <c r="E22615" t="s">
        <v>22086</v>
      </c>
      <c r="F22615" t="s">
        <v>3750</v>
      </c>
      <c r="G22615" t="s">
        <v>47093</v>
      </c>
      <c r="H22615" t="s">
        <v>47054</v>
      </c>
      <c r="I22615" t="s">
        <v>47116</v>
      </c>
      <c r="J22615" t="s">
        <v>47117</v>
      </c>
      <c r="K22615" t="s">
        <v>47113</v>
      </c>
      <c r="L22615">
        <v>21.27</v>
      </c>
      <c r="M22615">
        <v>67</v>
      </c>
      <c r="N22615">
        <v>0</v>
      </c>
      <c r="O22615">
        <v>67</v>
      </c>
      <c r="P22615">
        <v>0</v>
      </c>
    </row>
    <row r="22616" spans="1:16" x14ac:dyDescent="0.25">
      <c r="A22616" t="s">
        <v>49787</v>
      </c>
      <c r="B22616" t="s">
        <v>49788</v>
      </c>
      <c r="C22616" t="s">
        <v>49789</v>
      </c>
      <c r="D22616" t="s">
        <v>49790</v>
      </c>
      <c r="E22616" t="s">
        <v>49791</v>
      </c>
      <c r="F22616" t="s">
        <v>31484</v>
      </c>
      <c r="G22616" t="s">
        <v>49029</v>
      </c>
      <c r="H22616" t="s">
        <v>47054</v>
      </c>
      <c r="I22616" t="s">
        <v>47116</v>
      </c>
      <c r="J22616" t="s">
        <v>47117</v>
      </c>
      <c r="K22616" t="s">
        <v>47113</v>
      </c>
      <c r="L22616">
        <v>23.2</v>
      </c>
      <c r="M22616">
        <v>84.81</v>
      </c>
      <c r="N22616">
        <v>229</v>
      </c>
      <c r="O22616">
        <v>84.81</v>
      </c>
      <c r="P22616">
        <v>229</v>
      </c>
    </row>
    <row r="22617" spans="1:16" x14ac:dyDescent="0.25">
      <c r="A22617" t="s">
        <v>45350</v>
      </c>
      <c r="B22617" t="s">
        <v>22400</v>
      </c>
      <c r="C22617" t="s">
        <v>22401</v>
      </c>
      <c r="D22617" t="s">
        <v>22085</v>
      </c>
      <c r="E22617" t="s">
        <v>22086</v>
      </c>
      <c r="F22617" t="s">
        <v>3750</v>
      </c>
      <c r="G22617" t="s">
        <v>49029</v>
      </c>
      <c r="H22617" t="s">
        <v>47054</v>
      </c>
      <c r="I22617" t="s">
        <v>47116</v>
      </c>
      <c r="J22617" t="s">
        <v>47117</v>
      </c>
      <c r="K22617" t="s">
        <v>47113</v>
      </c>
      <c r="L22617">
        <v>21.27</v>
      </c>
      <c r="M22617">
        <v>80</v>
      </c>
      <c r="N22617">
        <v>0</v>
      </c>
      <c r="O22617">
        <v>80</v>
      </c>
      <c r="P22617">
        <v>0</v>
      </c>
    </row>
    <row r="22618" spans="1:16" x14ac:dyDescent="0.25">
      <c r="A22618" t="s">
        <v>45351</v>
      </c>
      <c r="B22618" t="s">
        <v>22402</v>
      </c>
      <c r="C22618" t="s">
        <v>22403</v>
      </c>
      <c r="D22618" t="s">
        <v>22380</v>
      </c>
      <c r="E22618" t="s">
        <v>22381</v>
      </c>
      <c r="F22618" t="s">
        <v>3750</v>
      </c>
      <c r="G22618" t="s">
        <v>47093</v>
      </c>
      <c r="H22618" t="s">
        <v>47054</v>
      </c>
      <c r="I22618" t="s">
        <v>47116</v>
      </c>
      <c r="J22618" t="s">
        <v>47117</v>
      </c>
      <c r="K22618" t="s">
        <v>47113</v>
      </c>
      <c r="L22618">
        <v>25.51</v>
      </c>
      <c r="M22618">
        <v>80</v>
      </c>
      <c r="N22618">
        <v>0</v>
      </c>
      <c r="O22618">
        <v>80</v>
      </c>
      <c r="P22618">
        <v>0</v>
      </c>
    </row>
    <row r="22619" spans="1:16" x14ac:dyDescent="0.25">
      <c r="A22619" t="s">
        <v>45352</v>
      </c>
      <c r="B22619" t="s">
        <v>22404</v>
      </c>
      <c r="C22619" t="s">
        <v>22405</v>
      </c>
      <c r="D22619" t="s">
        <v>22406</v>
      </c>
      <c r="E22619" t="s">
        <v>22407</v>
      </c>
      <c r="F22619" t="s">
        <v>3750</v>
      </c>
      <c r="G22619" t="s">
        <v>47093</v>
      </c>
      <c r="H22619" t="s">
        <v>47054</v>
      </c>
      <c r="I22619" t="s">
        <v>47116</v>
      </c>
      <c r="J22619" t="s">
        <v>47117</v>
      </c>
      <c r="K22619" t="s">
        <v>47113</v>
      </c>
      <c r="L22619">
        <v>30.61</v>
      </c>
      <c r="M22619">
        <v>108</v>
      </c>
      <c r="N22619">
        <v>0</v>
      </c>
      <c r="O22619">
        <v>108</v>
      </c>
      <c r="P22619">
        <v>0</v>
      </c>
    </row>
    <row r="22620" spans="1:16" x14ac:dyDescent="0.25">
      <c r="A22620" t="s">
        <v>45353</v>
      </c>
      <c r="B22620" t="s">
        <v>22408</v>
      </c>
      <c r="C22620" t="s">
        <v>22409</v>
      </c>
      <c r="D22620" t="s">
        <v>22390</v>
      </c>
      <c r="E22620" t="s">
        <v>22391</v>
      </c>
      <c r="F22620" t="s">
        <v>3750</v>
      </c>
      <c r="G22620" t="s">
        <v>47093</v>
      </c>
      <c r="H22620" t="s">
        <v>47054</v>
      </c>
      <c r="I22620" t="s">
        <v>47116</v>
      </c>
      <c r="J22620" t="s">
        <v>47117</v>
      </c>
      <c r="K22620" t="s">
        <v>47113</v>
      </c>
      <c r="L22620">
        <v>24.58</v>
      </c>
      <c r="M22620">
        <v>88</v>
      </c>
      <c r="N22620">
        <v>0</v>
      </c>
      <c r="O22620">
        <v>88</v>
      </c>
      <c r="P22620">
        <v>0</v>
      </c>
    </row>
    <row r="22621" spans="1:16" x14ac:dyDescent="0.25">
      <c r="A22621" t="s">
        <v>45354</v>
      </c>
      <c r="B22621" t="s">
        <v>45355</v>
      </c>
      <c r="C22621" t="s">
        <v>45356</v>
      </c>
      <c r="D22621" t="s">
        <v>45357</v>
      </c>
      <c r="E22621" t="s">
        <v>45358</v>
      </c>
      <c r="F22621" t="s">
        <v>24617</v>
      </c>
      <c r="G22621" t="s">
        <v>47093</v>
      </c>
      <c r="H22621" t="s">
        <v>47054</v>
      </c>
      <c r="I22621" t="s">
        <v>47116</v>
      </c>
      <c r="J22621" t="s">
        <v>47117</v>
      </c>
      <c r="K22621" t="s">
        <v>47113</v>
      </c>
      <c r="L22621">
        <v>36.72</v>
      </c>
      <c r="M22621">
        <v>137</v>
      </c>
      <c r="N22621">
        <v>369</v>
      </c>
      <c r="O22621">
        <v>137</v>
      </c>
      <c r="P22621">
        <v>369</v>
      </c>
    </row>
    <row r="22622" spans="1:16" x14ac:dyDescent="0.25">
      <c r="A22622" t="s">
        <v>45359</v>
      </c>
      <c r="B22622" t="s">
        <v>22410</v>
      </c>
      <c r="C22622" t="s">
        <v>22411</v>
      </c>
      <c r="D22622" t="s">
        <v>22412</v>
      </c>
      <c r="E22622" t="s">
        <v>22413</v>
      </c>
      <c r="F22622" t="s">
        <v>3750</v>
      </c>
      <c r="G22622" t="s">
        <v>47093</v>
      </c>
      <c r="H22622" t="s">
        <v>47054</v>
      </c>
      <c r="I22622" t="s">
        <v>47116</v>
      </c>
      <c r="J22622" t="s">
        <v>47117</v>
      </c>
      <c r="K22622" t="s">
        <v>47113</v>
      </c>
      <c r="L22622">
        <v>22.1</v>
      </c>
      <c r="M22622">
        <v>80</v>
      </c>
      <c r="N22622">
        <v>0</v>
      </c>
      <c r="O22622">
        <v>80</v>
      </c>
      <c r="P22622">
        <v>0</v>
      </c>
    </row>
    <row r="22623" spans="1:16" x14ac:dyDescent="0.25">
      <c r="A22623" t="s">
        <v>45360</v>
      </c>
      <c r="B22623" t="s">
        <v>22414</v>
      </c>
      <c r="C22623" t="s">
        <v>22415</v>
      </c>
      <c r="D22623" t="s">
        <v>5476</v>
      </c>
      <c r="E22623" t="s">
        <v>5477</v>
      </c>
      <c r="F22623" t="s">
        <v>3750</v>
      </c>
      <c r="G22623" t="s">
        <v>49029</v>
      </c>
      <c r="H22623" t="s">
        <v>47054</v>
      </c>
      <c r="I22623" t="s">
        <v>47116</v>
      </c>
      <c r="J22623" t="s">
        <v>47117</v>
      </c>
      <c r="K22623" t="s">
        <v>47113</v>
      </c>
      <c r="L22623">
        <v>16.579999999999998</v>
      </c>
      <c r="M22623">
        <v>67</v>
      </c>
      <c r="N22623">
        <v>0</v>
      </c>
      <c r="O22623">
        <v>67</v>
      </c>
      <c r="P22623">
        <v>0</v>
      </c>
    </row>
    <row r="22624" spans="1:16" x14ac:dyDescent="0.25">
      <c r="A22624" t="s">
        <v>45361</v>
      </c>
      <c r="B22624" t="s">
        <v>22416</v>
      </c>
      <c r="C22624" t="s">
        <v>22417</v>
      </c>
      <c r="D22624" t="s">
        <v>22418</v>
      </c>
      <c r="E22624" t="s">
        <v>22419</v>
      </c>
      <c r="F22624" t="s">
        <v>3750</v>
      </c>
      <c r="G22624" t="s">
        <v>49029</v>
      </c>
      <c r="H22624" t="s">
        <v>47054</v>
      </c>
      <c r="I22624" t="s">
        <v>47116</v>
      </c>
      <c r="J22624" t="s">
        <v>47117</v>
      </c>
      <c r="K22624" t="s">
        <v>47113</v>
      </c>
      <c r="L22624">
        <v>22.1</v>
      </c>
      <c r="M22624">
        <v>80</v>
      </c>
      <c r="N22624">
        <v>0</v>
      </c>
      <c r="O22624">
        <v>80</v>
      </c>
      <c r="P22624">
        <v>0</v>
      </c>
    </row>
    <row r="22625" spans="1:16" x14ac:dyDescent="0.25">
      <c r="A22625" t="s">
        <v>45362</v>
      </c>
      <c r="B22625" t="s">
        <v>45363</v>
      </c>
      <c r="C22625" t="s">
        <v>45364</v>
      </c>
      <c r="D22625" t="s">
        <v>45365</v>
      </c>
      <c r="E22625" t="s">
        <v>45366</v>
      </c>
      <c r="F22625" t="s">
        <v>24617</v>
      </c>
      <c r="G22625" t="s">
        <v>47093</v>
      </c>
      <c r="H22625" t="s">
        <v>47054</v>
      </c>
      <c r="I22625" t="s">
        <v>47116</v>
      </c>
      <c r="J22625" t="s">
        <v>47117</v>
      </c>
      <c r="K22625" t="s">
        <v>47113</v>
      </c>
      <c r="L22625">
        <v>26.18</v>
      </c>
      <c r="M22625">
        <v>114</v>
      </c>
      <c r="N22625">
        <v>309</v>
      </c>
      <c r="O22625">
        <v>114</v>
      </c>
      <c r="P22625">
        <v>309</v>
      </c>
    </row>
    <row r="22626" spans="1:16" x14ac:dyDescent="0.25">
      <c r="A22626" t="s">
        <v>49792</v>
      </c>
      <c r="B22626" t="s">
        <v>49793</v>
      </c>
      <c r="C22626" t="s">
        <v>49794</v>
      </c>
      <c r="D22626" t="s">
        <v>49785</v>
      </c>
      <c r="E22626" t="s">
        <v>49786</v>
      </c>
      <c r="F22626" t="s">
        <v>46687</v>
      </c>
      <c r="G22626" t="s">
        <v>49029</v>
      </c>
      <c r="H22626" t="s">
        <v>47054</v>
      </c>
      <c r="I22626" t="s">
        <v>47116</v>
      </c>
      <c r="J22626" t="s">
        <v>47117</v>
      </c>
      <c r="K22626" t="s">
        <v>47113</v>
      </c>
      <c r="L22626">
        <v>21.8</v>
      </c>
      <c r="M22626">
        <v>70</v>
      </c>
      <c r="N22626">
        <v>189</v>
      </c>
      <c r="O22626">
        <v>70</v>
      </c>
      <c r="P22626">
        <v>189</v>
      </c>
    </row>
    <row r="22627" spans="1:16" x14ac:dyDescent="0.25">
      <c r="A22627" t="s">
        <v>45367</v>
      </c>
      <c r="B22627" t="s">
        <v>45368</v>
      </c>
      <c r="C22627" t="s">
        <v>45369</v>
      </c>
      <c r="D22627" t="s">
        <v>45370</v>
      </c>
      <c r="E22627" t="s">
        <v>45371</v>
      </c>
      <c r="F22627" t="s">
        <v>3750</v>
      </c>
      <c r="G22627" t="s">
        <v>47093</v>
      </c>
      <c r="H22627" t="s">
        <v>47054</v>
      </c>
      <c r="I22627" t="s">
        <v>47120</v>
      </c>
      <c r="J22627" t="s">
        <v>47121</v>
      </c>
      <c r="K22627" t="s">
        <v>47113</v>
      </c>
      <c r="L22627">
        <v>37.54</v>
      </c>
      <c r="M22627">
        <v>140</v>
      </c>
      <c r="N22627">
        <v>379</v>
      </c>
      <c r="O22627">
        <v>140</v>
      </c>
      <c r="P22627">
        <v>379</v>
      </c>
    </row>
    <row r="22628" spans="1:16" x14ac:dyDescent="0.25">
      <c r="A22628" t="s">
        <v>45372</v>
      </c>
      <c r="B22628" t="s">
        <v>45373</v>
      </c>
      <c r="C22628" t="s">
        <v>45374</v>
      </c>
      <c r="D22628" t="s">
        <v>45375</v>
      </c>
      <c r="E22628" t="s">
        <v>45376</v>
      </c>
      <c r="F22628" t="s">
        <v>24627</v>
      </c>
      <c r="G22628" t="s">
        <v>47093</v>
      </c>
      <c r="H22628" t="s">
        <v>47054</v>
      </c>
      <c r="I22628" t="s">
        <v>47544</v>
      </c>
      <c r="J22628" t="s">
        <v>47545</v>
      </c>
      <c r="K22628" t="s">
        <v>47113</v>
      </c>
      <c r="L22628">
        <v>24.59</v>
      </c>
      <c r="M22628">
        <v>96</v>
      </c>
      <c r="N22628">
        <v>259</v>
      </c>
      <c r="O22628">
        <v>96</v>
      </c>
      <c r="P22628">
        <v>259</v>
      </c>
    </row>
    <row r="22629" spans="1:16" x14ac:dyDescent="0.25">
      <c r="A22629" t="s">
        <v>45377</v>
      </c>
      <c r="B22629" t="s">
        <v>22420</v>
      </c>
      <c r="C22629" t="s">
        <v>22079</v>
      </c>
      <c r="D22629" t="s">
        <v>22421</v>
      </c>
      <c r="E22629" t="s">
        <v>22422</v>
      </c>
      <c r="F22629" t="s">
        <v>3750</v>
      </c>
      <c r="G22629" t="s">
        <v>47093</v>
      </c>
      <c r="H22629" t="s">
        <v>47054</v>
      </c>
      <c r="I22629" t="s">
        <v>47116</v>
      </c>
      <c r="J22629" t="s">
        <v>47117</v>
      </c>
      <c r="K22629" t="s">
        <v>47113</v>
      </c>
      <c r="L22629">
        <v>25.43</v>
      </c>
      <c r="M22629">
        <v>88</v>
      </c>
      <c r="N22629">
        <v>0</v>
      </c>
      <c r="O22629">
        <v>88</v>
      </c>
      <c r="P22629">
        <v>0</v>
      </c>
    </row>
    <row r="22630" spans="1:16" x14ac:dyDescent="0.25">
      <c r="A22630" t="s">
        <v>45378</v>
      </c>
      <c r="B22630" t="s">
        <v>22423</v>
      </c>
      <c r="C22630" t="s">
        <v>22424</v>
      </c>
      <c r="D22630" t="str">
        <f>"11"</f>
        <v>11</v>
      </c>
      <c r="E22630" t="s">
        <v>288</v>
      </c>
      <c r="F22630" t="s">
        <v>3750</v>
      </c>
      <c r="G22630" t="s">
        <v>47093</v>
      </c>
      <c r="H22630" t="s">
        <v>47054</v>
      </c>
      <c r="I22630" t="s">
        <v>47116</v>
      </c>
      <c r="J22630" t="s">
        <v>47117</v>
      </c>
      <c r="K22630" t="s">
        <v>47113</v>
      </c>
      <c r="L22630">
        <v>30.77</v>
      </c>
      <c r="M22630">
        <v>108</v>
      </c>
      <c r="N22630">
        <v>0</v>
      </c>
      <c r="O22630">
        <v>108</v>
      </c>
      <c r="P22630">
        <v>0</v>
      </c>
    </row>
    <row r="22631" spans="1:16" x14ac:dyDescent="0.25">
      <c r="A22631" t="s">
        <v>45379</v>
      </c>
      <c r="B22631" t="s">
        <v>22425</v>
      </c>
      <c r="C22631" t="s">
        <v>22426</v>
      </c>
      <c r="D22631" t="s">
        <v>22412</v>
      </c>
      <c r="E22631" t="s">
        <v>22413</v>
      </c>
      <c r="F22631" t="s">
        <v>3750</v>
      </c>
      <c r="G22631" t="s">
        <v>47093</v>
      </c>
      <c r="H22631" t="s">
        <v>47054</v>
      </c>
      <c r="I22631" t="s">
        <v>47116</v>
      </c>
      <c r="J22631" t="s">
        <v>47117</v>
      </c>
      <c r="K22631" t="s">
        <v>47113</v>
      </c>
      <c r="L22631">
        <v>22.1</v>
      </c>
      <c r="M22631">
        <v>136</v>
      </c>
      <c r="N22631">
        <v>0</v>
      </c>
      <c r="O22631">
        <v>136</v>
      </c>
      <c r="P22631">
        <v>0</v>
      </c>
    </row>
    <row r="22632" spans="1:16" x14ac:dyDescent="0.25">
      <c r="A22632" t="s">
        <v>45380</v>
      </c>
      <c r="B22632" t="s">
        <v>45381</v>
      </c>
      <c r="C22632" t="s">
        <v>45382</v>
      </c>
      <c r="D22632" t="s">
        <v>45330</v>
      </c>
      <c r="E22632" t="s">
        <v>45331</v>
      </c>
      <c r="F22632" t="s">
        <v>24622</v>
      </c>
      <c r="G22632" t="s">
        <v>47093</v>
      </c>
      <c r="H22632" t="s">
        <v>47054</v>
      </c>
      <c r="I22632" t="s">
        <v>47116</v>
      </c>
      <c r="J22632" t="s">
        <v>47117</v>
      </c>
      <c r="K22632" t="s">
        <v>47113</v>
      </c>
      <c r="L22632">
        <v>26.66</v>
      </c>
      <c r="M22632">
        <v>114</v>
      </c>
      <c r="N22632">
        <v>309</v>
      </c>
      <c r="O22632">
        <v>114</v>
      </c>
      <c r="P22632">
        <v>309</v>
      </c>
    </row>
    <row r="22633" spans="1:16" x14ac:dyDescent="0.25">
      <c r="A22633" t="s">
        <v>45383</v>
      </c>
      <c r="B22633" t="s">
        <v>22427</v>
      </c>
      <c r="C22633" t="s">
        <v>22428</v>
      </c>
      <c r="D22633" t="s">
        <v>721</v>
      </c>
      <c r="E22633" t="s">
        <v>722</v>
      </c>
      <c r="F22633" t="s">
        <v>3750</v>
      </c>
      <c r="G22633" t="s">
        <v>47093</v>
      </c>
      <c r="H22633" t="s">
        <v>47054</v>
      </c>
      <c r="I22633" t="s">
        <v>47116</v>
      </c>
      <c r="J22633" t="s">
        <v>47117</v>
      </c>
      <c r="K22633" t="s">
        <v>47113</v>
      </c>
      <c r="L22633">
        <v>22.92</v>
      </c>
      <c r="M22633">
        <v>96</v>
      </c>
      <c r="N22633">
        <v>259</v>
      </c>
      <c r="O22633">
        <v>96</v>
      </c>
      <c r="P22633">
        <v>259</v>
      </c>
    </row>
    <row r="22634" spans="1:16" x14ac:dyDescent="0.25">
      <c r="A22634" t="s">
        <v>45384</v>
      </c>
      <c r="B22634" t="s">
        <v>22429</v>
      </c>
      <c r="C22634" t="s">
        <v>22430</v>
      </c>
      <c r="D22634" t="s">
        <v>721</v>
      </c>
      <c r="E22634" t="s">
        <v>722</v>
      </c>
      <c r="F22634" t="s">
        <v>3750</v>
      </c>
      <c r="G22634" t="s">
        <v>47093</v>
      </c>
      <c r="H22634" t="s">
        <v>47054</v>
      </c>
      <c r="I22634" t="s">
        <v>47116</v>
      </c>
      <c r="J22634" t="s">
        <v>47117</v>
      </c>
      <c r="K22634" t="s">
        <v>47113</v>
      </c>
      <c r="L22634">
        <v>19.98</v>
      </c>
      <c r="M22634">
        <v>80</v>
      </c>
      <c r="N22634">
        <v>0</v>
      </c>
      <c r="O22634">
        <v>80</v>
      </c>
      <c r="P22634">
        <v>0</v>
      </c>
    </row>
    <row r="22635" spans="1:16" x14ac:dyDescent="0.25">
      <c r="A22635" t="s">
        <v>45385</v>
      </c>
      <c r="B22635" t="s">
        <v>22431</v>
      </c>
      <c r="C22635" t="s">
        <v>22432</v>
      </c>
      <c r="D22635" t="s">
        <v>22254</v>
      </c>
      <c r="E22635" t="s">
        <v>22255</v>
      </c>
      <c r="F22635" t="s">
        <v>3750</v>
      </c>
      <c r="G22635" t="s">
        <v>49029</v>
      </c>
      <c r="H22635" t="s">
        <v>47054</v>
      </c>
      <c r="I22635" t="s">
        <v>47116</v>
      </c>
      <c r="J22635" t="s">
        <v>47117</v>
      </c>
      <c r="K22635" t="s">
        <v>47113</v>
      </c>
      <c r="L22635">
        <v>22.1</v>
      </c>
      <c r="M22635">
        <v>95</v>
      </c>
      <c r="N22635">
        <v>0</v>
      </c>
      <c r="O22635">
        <v>95</v>
      </c>
      <c r="P22635">
        <v>0</v>
      </c>
    </row>
    <row r="22636" spans="1:16" x14ac:dyDescent="0.25">
      <c r="A22636" t="s">
        <v>45386</v>
      </c>
      <c r="B22636" t="s">
        <v>22433</v>
      </c>
      <c r="C22636" t="s">
        <v>22434</v>
      </c>
      <c r="D22636" t="s">
        <v>22406</v>
      </c>
      <c r="E22636" t="s">
        <v>22407</v>
      </c>
      <c r="F22636" t="s">
        <v>3750</v>
      </c>
      <c r="G22636" t="s">
        <v>49029</v>
      </c>
      <c r="H22636" t="s">
        <v>47054</v>
      </c>
      <c r="I22636" t="s">
        <v>47116</v>
      </c>
      <c r="J22636" t="s">
        <v>47117</v>
      </c>
      <c r="K22636" t="s">
        <v>47113</v>
      </c>
      <c r="L22636">
        <v>24.44</v>
      </c>
      <c r="M22636">
        <v>80</v>
      </c>
      <c r="N22636">
        <v>0</v>
      </c>
      <c r="O22636">
        <v>80</v>
      </c>
      <c r="P22636">
        <v>0</v>
      </c>
    </row>
    <row r="22637" spans="1:16" x14ac:dyDescent="0.25">
      <c r="A22637" t="s">
        <v>45387</v>
      </c>
      <c r="B22637" t="s">
        <v>22435</v>
      </c>
      <c r="C22637" t="s">
        <v>22436</v>
      </c>
      <c r="D22637" t="str">
        <f>"6901"</f>
        <v>6901</v>
      </c>
      <c r="E22637" t="s">
        <v>22362</v>
      </c>
      <c r="F22637" t="s">
        <v>3750</v>
      </c>
      <c r="G22637" t="s">
        <v>49029</v>
      </c>
      <c r="H22637" t="s">
        <v>47054</v>
      </c>
      <c r="I22637" t="s">
        <v>47116</v>
      </c>
      <c r="J22637" t="s">
        <v>47117</v>
      </c>
      <c r="K22637" t="s">
        <v>47113</v>
      </c>
      <c r="L22637">
        <v>15.6</v>
      </c>
      <c r="M22637">
        <v>80</v>
      </c>
      <c r="N22637">
        <v>0</v>
      </c>
      <c r="O22637">
        <v>80</v>
      </c>
      <c r="P22637">
        <v>0</v>
      </c>
    </row>
    <row r="22638" spans="1:16" x14ac:dyDescent="0.25">
      <c r="A22638" t="s">
        <v>45388</v>
      </c>
      <c r="B22638" t="s">
        <v>22437</v>
      </c>
      <c r="C22638" t="s">
        <v>22438</v>
      </c>
      <c r="D22638" t="str">
        <f>"1800"</f>
        <v>1800</v>
      </c>
      <c r="E22638" t="s">
        <v>22439</v>
      </c>
      <c r="F22638" t="s">
        <v>3750</v>
      </c>
      <c r="G22638" t="s">
        <v>47098</v>
      </c>
      <c r="H22638" t="s">
        <v>47054</v>
      </c>
      <c r="I22638" t="s">
        <v>47116</v>
      </c>
      <c r="J22638" t="s">
        <v>47117</v>
      </c>
      <c r="K22638" t="s">
        <v>47113</v>
      </c>
      <c r="L22638">
        <v>21.82</v>
      </c>
      <c r="M22638">
        <v>81</v>
      </c>
      <c r="N22638">
        <v>0</v>
      </c>
      <c r="O22638">
        <v>81</v>
      </c>
      <c r="P22638">
        <v>0</v>
      </c>
    </row>
    <row r="22639" spans="1:16" x14ac:dyDescent="0.25">
      <c r="A22639" t="s">
        <v>45389</v>
      </c>
      <c r="B22639" t="s">
        <v>13474</v>
      </c>
      <c r="C22639" t="s">
        <v>13475</v>
      </c>
      <c r="D22639" t="str">
        <f>"2349"</f>
        <v>2349</v>
      </c>
      <c r="E22639" t="s">
        <v>13476</v>
      </c>
      <c r="F22639" t="s">
        <v>2</v>
      </c>
      <c r="G22639" t="s">
        <v>47101</v>
      </c>
      <c r="H22639" t="s">
        <v>47054</v>
      </c>
      <c r="I22639" t="s">
        <v>47120</v>
      </c>
      <c r="J22639" t="s">
        <v>47121</v>
      </c>
      <c r="K22639" t="s">
        <v>47113</v>
      </c>
      <c r="L22639">
        <v>23.9</v>
      </c>
      <c r="M22639">
        <v>63</v>
      </c>
      <c r="N22639">
        <v>0</v>
      </c>
      <c r="O22639">
        <v>63</v>
      </c>
      <c r="P22639">
        <v>0</v>
      </c>
    </row>
    <row r="22640" spans="1:16" x14ac:dyDescent="0.25">
      <c r="A22640" t="s">
        <v>45390</v>
      </c>
      <c r="B22640" t="s">
        <v>13474</v>
      </c>
      <c r="C22640" t="s">
        <v>13475</v>
      </c>
      <c r="D22640" t="str">
        <f>"5040"</f>
        <v>5040</v>
      </c>
      <c r="E22640" t="s">
        <v>13477</v>
      </c>
      <c r="F22640" t="s">
        <v>7</v>
      </c>
      <c r="G22640" t="s">
        <v>47101</v>
      </c>
      <c r="H22640" t="s">
        <v>47054</v>
      </c>
      <c r="I22640" t="s">
        <v>47120</v>
      </c>
      <c r="J22640" t="s">
        <v>47121</v>
      </c>
      <c r="K22640" t="s">
        <v>47113</v>
      </c>
      <c r="L22640">
        <v>24.39</v>
      </c>
      <c r="M22640">
        <v>59</v>
      </c>
      <c r="N22640">
        <v>0</v>
      </c>
      <c r="O22640">
        <v>59</v>
      </c>
      <c r="P22640">
        <v>0</v>
      </c>
    </row>
    <row r="22641" spans="1:16" x14ac:dyDescent="0.25">
      <c r="A22641" t="s">
        <v>45391</v>
      </c>
      <c r="B22641" t="s">
        <v>13474</v>
      </c>
      <c r="C22641" t="s">
        <v>13475</v>
      </c>
      <c r="D22641" t="str">
        <f>"8319"</f>
        <v>8319</v>
      </c>
      <c r="E22641" t="s">
        <v>13478</v>
      </c>
      <c r="F22641" t="s">
        <v>7</v>
      </c>
      <c r="G22641" t="s">
        <v>47101</v>
      </c>
      <c r="H22641" t="s">
        <v>47054</v>
      </c>
      <c r="I22641" t="s">
        <v>47120</v>
      </c>
      <c r="J22641" t="s">
        <v>47121</v>
      </c>
      <c r="K22641" t="s">
        <v>47113</v>
      </c>
      <c r="L22641">
        <v>22.59</v>
      </c>
      <c r="M22641">
        <v>59</v>
      </c>
      <c r="N22641">
        <v>0</v>
      </c>
      <c r="O22641">
        <v>59</v>
      </c>
      <c r="P22641">
        <v>0</v>
      </c>
    </row>
    <row r="22642" spans="1:16" x14ac:dyDescent="0.25">
      <c r="A22642" t="s">
        <v>1326</v>
      </c>
      <c r="B22642" t="s">
        <v>1327</v>
      </c>
      <c r="C22642" t="s">
        <v>1328</v>
      </c>
      <c r="D22642" t="str">
        <f>"2715"</f>
        <v>2715</v>
      </c>
      <c r="E22642" t="s">
        <v>1329</v>
      </c>
      <c r="F22642" t="s">
        <v>7</v>
      </c>
      <c r="G22642" t="s">
        <v>47101</v>
      </c>
      <c r="H22642" t="s">
        <v>47054</v>
      </c>
      <c r="I22642" t="s">
        <v>47120</v>
      </c>
      <c r="J22642" t="s">
        <v>47121</v>
      </c>
      <c r="K22642" t="s">
        <v>47113</v>
      </c>
      <c r="L22642">
        <v>47.51</v>
      </c>
      <c r="M22642">
        <v>80</v>
      </c>
      <c r="N22642">
        <v>0</v>
      </c>
      <c r="O22642">
        <v>80</v>
      </c>
      <c r="P22642">
        <v>0</v>
      </c>
    </row>
    <row r="22643" spans="1:16" x14ac:dyDescent="0.25">
      <c r="A22643" t="s">
        <v>45392</v>
      </c>
      <c r="B22643" t="s">
        <v>1327</v>
      </c>
      <c r="C22643" t="s">
        <v>1328</v>
      </c>
      <c r="D22643" t="str">
        <f>"4430"</f>
        <v>4430</v>
      </c>
      <c r="E22643" t="s">
        <v>13479</v>
      </c>
      <c r="F22643" t="s">
        <v>7</v>
      </c>
      <c r="G22643" t="s">
        <v>47101</v>
      </c>
      <c r="H22643" t="s">
        <v>47054</v>
      </c>
      <c r="I22643" t="s">
        <v>47120</v>
      </c>
      <c r="J22643" t="s">
        <v>47121</v>
      </c>
      <c r="K22643" t="s">
        <v>47113</v>
      </c>
      <c r="L22643">
        <v>31.45</v>
      </c>
      <c r="M22643">
        <v>80</v>
      </c>
      <c r="N22643">
        <v>0</v>
      </c>
      <c r="O22643">
        <v>80</v>
      </c>
      <c r="P22643">
        <v>0</v>
      </c>
    </row>
    <row r="22644" spans="1:16" x14ac:dyDescent="0.25">
      <c r="A22644" t="s">
        <v>1330</v>
      </c>
      <c r="B22644" t="s">
        <v>1327</v>
      </c>
      <c r="C22644" t="s">
        <v>1328</v>
      </c>
      <c r="D22644" t="str">
        <f>"6044"</f>
        <v>6044</v>
      </c>
      <c r="E22644" t="s">
        <v>1331</v>
      </c>
      <c r="F22644" t="s">
        <v>7</v>
      </c>
      <c r="G22644" t="s">
        <v>47101</v>
      </c>
      <c r="H22644" t="s">
        <v>47054</v>
      </c>
      <c r="I22644" t="s">
        <v>47120</v>
      </c>
      <c r="J22644" t="s">
        <v>47121</v>
      </c>
      <c r="K22644" t="s">
        <v>47113</v>
      </c>
      <c r="L22644">
        <v>47.51</v>
      </c>
      <c r="M22644">
        <v>80</v>
      </c>
      <c r="N22644">
        <v>0</v>
      </c>
      <c r="O22644">
        <v>80</v>
      </c>
      <c r="P22644">
        <v>0</v>
      </c>
    </row>
    <row r="22645" spans="1:16" x14ac:dyDescent="0.25">
      <c r="A22645" t="s">
        <v>45393</v>
      </c>
      <c r="B22645" t="s">
        <v>13480</v>
      </c>
      <c r="C22645" t="s">
        <v>13481</v>
      </c>
      <c r="D22645" t="str">
        <f>"1001"</f>
        <v>1001</v>
      </c>
      <c r="E22645" t="s">
        <v>42</v>
      </c>
      <c r="F22645" t="s">
        <v>5</v>
      </c>
      <c r="G22645" t="s">
        <v>47097</v>
      </c>
      <c r="H22645" t="s">
        <v>47054</v>
      </c>
      <c r="I22645" t="s">
        <v>47124</v>
      </c>
      <c r="J22645" t="s">
        <v>47125</v>
      </c>
      <c r="K22645" t="s">
        <v>47113</v>
      </c>
      <c r="L22645">
        <v>25.2</v>
      </c>
      <c r="M22645">
        <v>50</v>
      </c>
      <c r="N22645">
        <v>0</v>
      </c>
      <c r="O22645">
        <v>50</v>
      </c>
      <c r="P22645">
        <v>0</v>
      </c>
    </row>
    <row r="22646" spans="1:16" x14ac:dyDescent="0.25">
      <c r="A22646" t="s">
        <v>45394</v>
      </c>
      <c r="B22646" t="s">
        <v>13480</v>
      </c>
      <c r="C22646" t="s">
        <v>13481</v>
      </c>
      <c r="D22646" t="str">
        <f>"1202"</f>
        <v>1202</v>
      </c>
      <c r="E22646" t="s">
        <v>1834</v>
      </c>
      <c r="F22646" t="s">
        <v>5</v>
      </c>
      <c r="G22646" t="s">
        <v>47097</v>
      </c>
      <c r="H22646" t="s">
        <v>47054</v>
      </c>
      <c r="I22646" t="s">
        <v>47124</v>
      </c>
      <c r="J22646" t="s">
        <v>47125</v>
      </c>
      <c r="K22646" t="s">
        <v>47113</v>
      </c>
      <c r="L22646">
        <v>25.2</v>
      </c>
      <c r="M22646">
        <v>50</v>
      </c>
      <c r="N22646">
        <v>0</v>
      </c>
      <c r="O22646">
        <v>50</v>
      </c>
      <c r="P22646">
        <v>0</v>
      </c>
    </row>
    <row r="22647" spans="1:16" x14ac:dyDescent="0.25">
      <c r="A22647" t="s">
        <v>45395</v>
      </c>
      <c r="B22647" t="s">
        <v>13480</v>
      </c>
      <c r="C22647" t="s">
        <v>13481</v>
      </c>
      <c r="D22647" t="str">
        <f>"1700"</f>
        <v>1700</v>
      </c>
      <c r="E22647" t="s">
        <v>60</v>
      </c>
      <c r="F22647" t="s">
        <v>5</v>
      </c>
      <c r="G22647" t="s">
        <v>47097</v>
      </c>
      <c r="H22647" t="s">
        <v>47054</v>
      </c>
      <c r="I22647" t="s">
        <v>47124</v>
      </c>
      <c r="J22647" t="s">
        <v>47125</v>
      </c>
      <c r="K22647" t="s">
        <v>47113</v>
      </c>
      <c r="L22647">
        <v>25.2</v>
      </c>
      <c r="M22647">
        <v>50</v>
      </c>
      <c r="N22647">
        <v>0</v>
      </c>
      <c r="O22647">
        <v>50</v>
      </c>
      <c r="P22647">
        <v>0</v>
      </c>
    </row>
    <row r="22648" spans="1:16" x14ac:dyDescent="0.25">
      <c r="A22648" t="s">
        <v>45396</v>
      </c>
      <c r="B22648" t="s">
        <v>13480</v>
      </c>
      <c r="C22648" t="s">
        <v>13481</v>
      </c>
      <c r="D22648" t="str">
        <f>"4402"</f>
        <v>4402</v>
      </c>
      <c r="E22648" t="s">
        <v>13482</v>
      </c>
      <c r="F22648" t="s">
        <v>5</v>
      </c>
      <c r="G22648" t="s">
        <v>47097</v>
      </c>
      <c r="H22648" t="s">
        <v>47054</v>
      </c>
      <c r="I22648" t="s">
        <v>47124</v>
      </c>
      <c r="J22648" t="s">
        <v>47125</v>
      </c>
      <c r="K22648" t="s">
        <v>47113</v>
      </c>
      <c r="L22648">
        <v>25.2</v>
      </c>
      <c r="M22648">
        <v>50</v>
      </c>
      <c r="N22648">
        <v>0</v>
      </c>
      <c r="O22648">
        <v>50</v>
      </c>
      <c r="P22648">
        <v>0</v>
      </c>
    </row>
    <row r="22649" spans="1:16" x14ac:dyDescent="0.25">
      <c r="A22649" t="s">
        <v>45397</v>
      </c>
      <c r="B22649" t="s">
        <v>13480</v>
      </c>
      <c r="C22649" t="s">
        <v>13481</v>
      </c>
      <c r="D22649" t="str">
        <f>"8103"</f>
        <v>8103</v>
      </c>
      <c r="E22649" t="s">
        <v>13483</v>
      </c>
      <c r="F22649" t="s">
        <v>5</v>
      </c>
      <c r="G22649" t="s">
        <v>47097</v>
      </c>
      <c r="H22649" t="s">
        <v>47054</v>
      </c>
      <c r="I22649" t="s">
        <v>47124</v>
      </c>
      <c r="J22649" t="s">
        <v>47125</v>
      </c>
      <c r="K22649" t="s">
        <v>47113</v>
      </c>
      <c r="L22649">
        <v>25.2</v>
      </c>
      <c r="M22649">
        <v>50</v>
      </c>
      <c r="N22649">
        <v>0</v>
      </c>
      <c r="O22649">
        <v>50</v>
      </c>
      <c r="P22649">
        <v>0</v>
      </c>
    </row>
    <row r="22650" spans="1:16" x14ac:dyDescent="0.25">
      <c r="A22650" t="s">
        <v>45398</v>
      </c>
      <c r="B22650" t="s">
        <v>13484</v>
      </c>
      <c r="C22650" t="s">
        <v>13485</v>
      </c>
      <c r="D22650" t="str">
        <f>"1941"</f>
        <v>1941</v>
      </c>
      <c r="E22650" t="s">
        <v>7531</v>
      </c>
      <c r="F22650" t="s">
        <v>3</v>
      </c>
      <c r="G22650" t="s">
        <v>47101</v>
      </c>
      <c r="H22650" t="s">
        <v>47054</v>
      </c>
      <c r="I22650" t="s">
        <v>47118</v>
      </c>
      <c r="J22650" t="s">
        <v>47119</v>
      </c>
      <c r="K22650" t="s">
        <v>47113</v>
      </c>
      <c r="L22650">
        <v>18.91</v>
      </c>
      <c r="M22650">
        <v>50</v>
      </c>
      <c r="N22650">
        <v>0</v>
      </c>
      <c r="O22650">
        <v>50</v>
      </c>
      <c r="P22650">
        <v>0</v>
      </c>
    </row>
    <row r="22651" spans="1:16" x14ac:dyDescent="0.25">
      <c r="A22651" t="s">
        <v>45399</v>
      </c>
      <c r="B22651" t="s">
        <v>13484</v>
      </c>
      <c r="C22651" t="s">
        <v>13485</v>
      </c>
      <c r="D22651" t="str">
        <f>"4589"</f>
        <v>4589</v>
      </c>
      <c r="E22651" t="s">
        <v>7539</v>
      </c>
      <c r="F22651" t="s">
        <v>3</v>
      </c>
      <c r="G22651" t="s">
        <v>47101</v>
      </c>
      <c r="H22651" t="s">
        <v>47054</v>
      </c>
      <c r="I22651" t="s">
        <v>47118</v>
      </c>
      <c r="J22651" t="s">
        <v>47119</v>
      </c>
      <c r="K22651" t="s">
        <v>47113</v>
      </c>
      <c r="L22651">
        <v>18.91</v>
      </c>
      <c r="M22651">
        <v>50</v>
      </c>
      <c r="N22651">
        <v>0</v>
      </c>
      <c r="O22651">
        <v>50</v>
      </c>
      <c r="P22651">
        <v>0</v>
      </c>
    </row>
    <row r="22652" spans="1:16" x14ac:dyDescent="0.25">
      <c r="A22652" t="s">
        <v>45400</v>
      </c>
      <c r="B22652" t="s">
        <v>45401</v>
      </c>
      <c r="C22652" t="s">
        <v>45402</v>
      </c>
      <c r="D22652" t="str">
        <f>"1001"</f>
        <v>1001</v>
      </c>
      <c r="E22652" t="s">
        <v>42</v>
      </c>
      <c r="F22652" t="s">
        <v>3750</v>
      </c>
      <c r="G22652" t="s">
        <v>47091</v>
      </c>
      <c r="H22652" t="s">
        <v>47054</v>
      </c>
      <c r="I22652" t="s">
        <v>47154</v>
      </c>
      <c r="J22652" t="s">
        <v>47155</v>
      </c>
      <c r="K22652" t="s">
        <v>47113</v>
      </c>
      <c r="L22652">
        <v>11.45</v>
      </c>
      <c r="M22652">
        <v>34</v>
      </c>
      <c r="N22652">
        <v>0</v>
      </c>
      <c r="O22652">
        <v>34</v>
      </c>
      <c r="P22652">
        <v>0</v>
      </c>
    </row>
    <row r="22653" spans="1:16" x14ac:dyDescent="0.25">
      <c r="A22653" t="s">
        <v>45403</v>
      </c>
      <c r="B22653" t="s">
        <v>45401</v>
      </c>
      <c r="C22653" t="s">
        <v>45402</v>
      </c>
      <c r="D22653" t="str">
        <f>"1700"</f>
        <v>1700</v>
      </c>
      <c r="E22653" t="s">
        <v>60</v>
      </c>
      <c r="F22653" t="s">
        <v>3750</v>
      </c>
      <c r="G22653" t="s">
        <v>47091</v>
      </c>
      <c r="H22653" t="s">
        <v>47054</v>
      </c>
      <c r="I22653" t="s">
        <v>47154</v>
      </c>
      <c r="J22653" t="s">
        <v>47155</v>
      </c>
      <c r="K22653" t="s">
        <v>47113</v>
      </c>
      <c r="L22653">
        <v>11.45</v>
      </c>
      <c r="M22653">
        <v>34</v>
      </c>
      <c r="N22653">
        <v>0</v>
      </c>
      <c r="O22653">
        <v>34</v>
      </c>
      <c r="P22653">
        <v>0</v>
      </c>
    </row>
    <row r="22654" spans="1:16" x14ac:dyDescent="0.25">
      <c r="A22654" t="s">
        <v>45404</v>
      </c>
      <c r="B22654" t="s">
        <v>45401</v>
      </c>
      <c r="C22654" t="s">
        <v>45402</v>
      </c>
      <c r="D22654" t="str">
        <f>"6000"</f>
        <v>6000</v>
      </c>
      <c r="E22654" t="s">
        <v>6279</v>
      </c>
      <c r="F22654" t="s">
        <v>3750</v>
      </c>
      <c r="G22654" t="s">
        <v>47091</v>
      </c>
      <c r="H22654" t="s">
        <v>47054</v>
      </c>
      <c r="I22654" t="s">
        <v>47154</v>
      </c>
      <c r="J22654" t="s">
        <v>47155</v>
      </c>
      <c r="K22654" t="s">
        <v>47113</v>
      </c>
      <c r="L22654">
        <v>11.45</v>
      </c>
      <c r="M22654">
        <v>34</v>
      </c>
      <c r="N22654">
        <v>0</v>
      </c>
      <c r="O22654">
        <v>34</v>
      </c>
      <c r="P22654">
        <v>0</v>
      </c>
    </row>
    <row r="22655" spans="1:16" x14ac:dyDescent="0.25">
      <c r="A22655" t="s">
        <v>45405</v>
      </c>
      <c r="B22655" t="s">
        <v>45401</v>
      </c>
      <c r="C22655" t="s">
        <v>45402</v>
      </c>
      <c r="D22655" t="str">
        <f>"6500"</f>
        <v>6500</v>
      </c>
      <c r="E22655" t="s">
        <v>11579</v>
      </c>
      <c r="F22655" t="s">
        <v>24622</v>
      </c>
      <c r="G22655" t="s">
        <v>47091</v>
      </c>
      <c r="H22655" t="s">
        <v>47054</v>
      </c>
      <c r="I22655" t="s">
        <v>47154</v>
      </c>
      <c r="J22655" t="s">
        <v>47155</v>
      </c>
      <c r="K22655" t="s">
        <v>47113</v>
      </c>
      <c r="L22655">
        <v>8.4600000000000009</v>
      </c>
      <c r="M22655">
        <v>37</v>
      </c>
      <c r="N22655">
        <v>99</v>
      </c>
      <c r="O22655">
        <v>37</v>
      </c>
      <c r="P22655">
        <v>99</v>
      </c>
    </row>
    <row r="22656" spans="1:16" x14ac:dyDescent="0.25">
      <c r="A22656" t="s">
        <v>45406</v>
      </c>
      <c r="B22656" t="s">
        <v>45407</v>
      </c>
      <c r="C22656" t="s">
        <v>45408</v>
      </c>
      <c r="D22656" t="str">
        <f>"3071"</f>
        <v>3071</v>
      </c>
      <c r="E22656" t="s">
        <v>4767</v>
      </c>
      <c r="F22656" t="s">
        <v>3750</v>
      </c>
      <c r="G22656" t="s">
        <v>47091</v>
      </c>
      <c r="H22656" t="s">
        <v>47054</v>
      </c>
      <c r="I22656" t="s">
        <v>47154</v>
      </c>
      <c r="J22656" t="s">
        <v>47155</v>
      </c>
      <c r="K22656" t="s">
        <v>47113</v>
      </c>
      <c r="L22656">
        <v>9.44</v>
      </c>
      <c r="M22656">
        <v>37</v>
      </c>
      <c r="N22656">
        <v>99</v>
      </c>
      <c r="O22656">
        <v>37</v>
      </c>
      <c r="P22656">
        <v>99</v>
      </c>
    </row>
    <row r="22657" spans="1:16" x14ac:dyDescent="0.25">
      <c r="A22657" t="s">
        <v>45409</v>
      </c>
      <c r="B22657" t="s">
        <v>45407</v>
      </c>
      <c r="C22657" t="s">
        <v>45408</v>
      </c>
      <c r="D22657" t="str">
        <f>"6003"</f>
        <v>6003</v>
      </c>
      <c r="E22657" t="s">
        <v>45410</v>
      </c>
      <c r="F22657" t="s">
        <v>3750</v>
      </c>
      <c r="G22657" t="s">
        <v>47091</v>
      </c>
      <c r="H22657" t="s">
        <v>47054</v>
      </c>
      <c r="I22657" t="s">
        <v>47154</v>
      </c>
      <c r="J22657" t="s">
        <v>47155</v>
      </c>
      <c r="K22657" t="s">
        <v>47113</v>
      </c>
      <c r="L22657">
        <v>9.44</v>
      </c>
      <c r="M22657">
        <v>37</v>
      </c>
      <c r="N22657">
        <v>99</v>
      </c>
      <c r="O22657">
        <v>37</v>
      </c>
      <c r="P22657">
        <v>99</v>
      </c>
    </row>
    <row r="22658" spans="1:16" x14ac:dyDescent="0.25">
      <c r="A22658" t="s">
        <v>45411</v>
      </c>
      <c r="B22658" t="s">
        <v>22440</v>
      </c>
      <c r="C22658" t="s">
        <v>22441</v>
      </c>
      <c r="D22658" t="str">
        <f>"1100"</f>
        <v>1100</v>
      </c>
      <c r="E22658" t="s">
        <v>54</v>
      </c>
      <c r="F22658" t="s">
        <v>3750</v>
      </c>
      <c r="G22658" t="s">
        <v>47091</v>
      </c>
      <c r="H22658" t="s">
        <v>47054</v>
      </c>
      <c r="I22658" t="s">
        <v>47569</v>
      </c>
      <c r="J22658" t="s">
        <v>47570</v>
      </c>
      <c r="K22658" t="s">
        <v>47113</v>
      </c>
      <c r="L22658">
        <v>10.02</v>
      </c>
      <c r="M22658">
        <v>12</v>
      </c>
      <c r="N22658">
        <v>0</v>
      </c>
      <c r="O22658">
        <v>12</v>
      </c>
      <c r="P22658">
        <v>0</v>
      </c>
    </row>
    <row r="22659" spans="1:16" x14ac:dyDescent="0.25">
      <c r="A22659" t="s">
        <v>45412</v>
      </c>
      <c r="B22659" t="s">
        <v>19337</v>
      </c>
      <c r="C22659" t="s">
        <v>19338</v>
      </c>
      <c r="D22659" t="str">
        <f>"1991"</f>
        <v>1991</v>
      </c>
      <c r="E22659" t="s">
        <v>19339</v>
      </c>
      <c r="F22659" t="s">
        <v>3750</v>
      </c>
      <c r="G22659" t="s">
        <v>47091</v>
      </c>
      <c r="H22659" t="s">
        <v>47054</v>
      </c>
      <c r="I22659" t="s">
        <v>47116</v>
      </c>
      <c r="J22659" t="s">
        <v>47117</v>
      </c>
      <c r="K22659" t="s">
        <v>47113</v>
      </c>
      <c r="L22659">
        <v>8.98</v>
      </c>
      <c r="M22659">
        <v>26</v>
      </c>
      <c r="N22659">
        <v>0</v>
      </c>
      <c r="O22659">
        <v>26</v>
      </c>
      <c r="P22659">
        <v>0</v>
      </c>
    </row>
    <row r="22660" spans="1:16" x14ac:dyDescent="0.25">
      <c r="A22660" t="s">
        <v>45413</v>
      </c>
      <c r="B22660" t="s">
        <v>19337</v>
      </c>
      <c r="C22660" t="s">
        <v>19338</v>
      </c>
      <c r="D22660" t="str">
        <f>"1992"</f>
        <v>1992</v>
      </c>
      <c r="E22660" t="s">
        <v>19340</v>
      </c>
      <c r="F22660" t="s">
        <v>3750</v>
      </c>
      <c r="G22660" t="s">
        <v>47091</v>
      </c>
      <c r="H22660" t="s">
        <v>47054</v>
      </c>
      <c r="I22660" t="s">
        <v>47116</v>
      </c>
      <c r="J22660" t="s">
        <v>47117</v>
      </c>
      <c r="K22660" t="s">
        <v>47113</v>
      </c>
      <c r="L22660">
        <v>7.45</v>
      </c>
      <c r="M22660">
        <v>22</v>
      </c>
      <c r="N22660">
        <v>0</v>
      </c>
      <c r="O22660">
        <v>22</v>
      </c>
      <c r="P22660">
        <v>0</v>
      </c>
    </row>
    <row r="22661" spans="1:16" x14ac:dyDescent="0.25">
      <c r="A22661" t="s">
        <v>45414</v>
      </c>
      <c r="B22661" t="s">
        <v>19341</v>
      </c>
      <c r="C22661" t="s">
        <v>19342</v>
      </c>
      <c r="D22661" t="str">
        <f>"1700"</f>
        <v>1700</v>
      </c>
      <c r="E22661" t="s">
        <v>15533</v>
      </c>
      <c r="F22661" t="s">
        <v>3750</v>
      </c>
      <c r="G22661" t="s">
        <v>47091</v>
      </c>
      <c r="H22661" t="s">
        <v>47054</v>
      </c>
      <c r="I22661" t="s">
        <v>47116</v>
      </c>
      <c r="J22661" t="s">
        <v>47117</v>
      </c>
      <c r="K22661" t="s">
        <v>47113</v>
      </c>
      <c r="L22661">
        <v>7.45</v>
      </c>
      <c r="M22661">
        <v>22</v>
      </c>
      <c r="N22661">
        <v>0</v>
      </c>
      <c r="O22661">
        <v>22</v>
      </c>
      <c r="P22661">
        <v>0</v>
      </c>
    </row>
    <row r="22662" spans="1:16" x14ac:dyDescent="0.25">
      <c r="A22662" t="s">
        <v>45415</v>
      </c>
      <c r="B22662" t="s">
        <v>19341</v>
      </c>
      <c r="C22662" t="s">
        <v>19342</v>
      </c>
      <c r="D22662" t="str">
        <f>"1704"</f>
        <v>1704</v>
      </c>
      <c r="E22662" t="s">
        <v>19343</v>
      </c>
      <c r="F22662" t="s">
        <v>3750</v>
      </c>
      <c r="G22662" t="s">
        <v>47091</v>
      </c>
      <c r="H22662" t="s">
        <v>47054</v>
      </c>
      <c r="I22662" t="s">
        <v>47116</v>
      </c>
      <c r="J22662" t="s">
        <v>47117</v>
      </c>
      <c r="K22662" t="s">
        <v>47113</v>
      </c>
      <c r="L22662">
        <v>8.98</v>
      </c>
      <c r="M22662">
        <v>26</v>
      </c>
      <c r="N22662">
        <v>0</v>
      </c>
      <c r="O22662">
        <v>26</v>
      </c>
      <c r="P22662">
        <v>0</v>
      </c>
    </row>
    <row r="22663" spans="1:16" x14ac:dyDescent="0.25">
      <c r="A22663" t="s">
        <v>45416</v>
      </c>
      <c r="B22663" t="s">
        <v>19341</v>
      </c>
      <c r="C22663" t="s">
        <v>19342</v>
      </c>
      <c r="D22663" t="str">
        <f>"1712"</f>
        <v>1712</v>
      </c>
      <c r="E22663" t="s">
        <v>16339</v>
      </c>
      <c r="F22663" t="s">
        <v>3750</v>
      </c>
      <c r="G22663" t="s">
        <v>47091</v>
      </c>
      <c r="H22663" t="s">
        <v>47054</v>
      </c>
      <c r="I22663" t="s">
        <v>47116</v>
      </c>
      <c r="J22663" t="s">
        <v>47117</v>
      </c>
      <c r="K22663" t="s">
        <v>47113</v>
      </c>
      <c r="L22663">
        <v>8.98</v>
      </c>
      <c r="M22663">
        <v>26</v>
      </c>
      <c r="N22663">
        <v>0</v>
      </c>
      <c r="O22663">
        <v>26</v>
      </c>
      <c r="P22663">
        <v>0</v>
      </c>
    </row>
    <row r="22664" spans="1:16" x14ac:dyDescent="0.25">
      <c r="A22664" t="s">
        <v>45417</v>
      </c>
      <c r="B22664" t="s">
        <v>19341</v>
      </c>
      <c r="C22664" t="s">
        <v>19342</v>
      </c>
      <c r="D22664" t="str">
        <f>"1845"</f>
        <v>1845</v>
      </c>
      <c r="E22664" t="s">
        <v>19344</v>
      </c>
      <c r="F22664" t="s">
        <v>3750</v>
      </c>
      <c r="G22664" t="s">
        <v>47091</v>
      </c>
      <c r="H22664" t="s">
        <v>47054</v>
      </c>
      <c r="I22664" t="s">
        <v>47116</v>
      </c>
      <c r="J22664" t="s">
        <v>47117</v>
      </c>
      <c r="K22664" t="s">
        <v>47113</v>
      </c>
      <c r="L22664">
        <v>7.45</v>
      </c>
      <c r="M22664">
        <v>22</v>
      </c>
      <c r="N22664">
        <v>0</v>
      </c>
      <c r="O22664">
        <v>22</v>
      </c>
      <c r="P22664">
        <v>0</v>
      </c>
    </row>
    <row r="22665" spans="1:16" x14ac:dyDescent="0.25">
      <c r="A22665" t="s">
        <v>45418</v>
      </c>
      <c r="B22665" t="s">
        <v>19345</v>
      </c>
      <c r="C22665" t="s">
        <v>19346</v>
      </c>
      <c r="D22665" t="str">
        <f>"1708"</f>
        <v>1708</v>
      </c>
      <c r="E22665" t="s">
        <v>16240</v>
      </c>
      <c r="F22665" t="s">
        <v>3750</v>
      </c>
      <c r="G22665" t="s">
        <v>47091</v>
      </c>
      <c r="H22665" t="s">
        <v>47054</v>
      </c>
      <c r="I22665" t="s">
        <v>47116</v>
      </c>
      <c r="J22665" t="s">
        <v>47117</v>
      </c>
      <c r="K22665" t="s">
        <v>47113</v>
      </c>
      <c r="L22665">
        <v>8.1300000000000008</v>
      </c>
      <c r="M22665">
        <v>23</v>
      </c>
      <c r="N22665">
        <v>0</v>
      </c>
      <c r="O22665">
        <v>23</v>
      </c>
      <c r="P22665">
        <v>0</v>
      </c>
    </row>
    <row r="22666" spans="1:16" x14ac:dyDescent="0.25">
      <c r="A22666" t="s">
        <v>45419</v>
      </c>
      <c r="B22666" t="s">
        <v>19345</v>
      </c>
      <c r="C22666" t="s">
        <v>19346</v>
      </c>
      <c r="D22666" t="str">
        <f>"4531"</f>
        <v>4531</v>
      </c>
      <c r="E22666" t="s">
        <v>19347</v>
      </c>
      <c r="F22666" t="s">
        <v>3750</v>
      </c>
      <c r="G22666" t="s">
        <v>47091</v>
      </c>
      <c r="H22666" t="s">
        <v>47054</v>
      </c>
      <c r="I22666" t="s">
        <v>47116</v>
      </c>
      <c r="J22666" t="s">
        <v>47117</v>
      </c>
      <c r="K22666" t="s">
        <v>47113</v>
      </c>
      <c r="L22666">
        <v>8.1300000000000008</v>
      </c>
      <c r="M22666">
        <v>23</v>
      </c>
      <c r="N22666">
        <v>0</v>
      </c>
      <c r="O22666">
        <v>23</v>
      </c>
      <c r="P22666">
        <v>0</v>
      </c>
    </row>
    <row r="22667" spans="1:16" x14ac:dyDescent="0.25">
      <c r="A22667" t="s">
        <v>45420</v>
      </c>
      <c r="B22667" t="s">
        <v>19348</v>
      </c>
      <c r="C22667" t="s">
        <v>19349</v>
      </c>
      <c r="D22667" t="str">
        <f>"1708"</f>
        <v>1708</v>
      </c>
      <c r="E22667" t="s">
        <v>16240</v>
      </c>
      <c r="F22667" t="s">
        <v>3750</v>
      </c>
      <c r="G22667" t="s">
        <v>47091</v>
      </c>
      <c r="H22667" t="s">
        <v>47054</v>
      </c>
      <c r="I22667" t="s">
        <v>47116</v>
      </c>
      <c r="J22667" t="s">
        <v>47117</v>
      </c>
      <c r="K22667" t="s">
        <v>47113</v>
      </c>
      <c r="L22667">
        <v>8.1300000000000008</v>
      </c>
      <c r="M22667">
        <v>23</v>
      </c>
      <c r="N22667">
        <v>0</v>
      </c>
      <c r="O22667">
        <v>23</v>
      </c>
      <c r="P22667">
        <v>0</v>
      </c>
    </row>
    <row r="22668" spans="1:16" x14ac:dyDescent="0.25">
      <c r="A22668" t="s">
        <v>45421</v>
      </c>
      <c r="B22668" t="s">
        <v>19348</v>
      </c>
      <c r="C22668" t="s">
        <v>19349</v>
      </c>
      <c r="D22668" t="str">
        <f>"1791"</f>
        <v>1791</v>
      </c>
      <c r="E22668" t="s">
        <v>19350</v>
      </c>
      <c r="F22668" t="s">
        <v>3750</v>
      </c>
      <c r="G22668" t="s">
        <v>47091</v>
      </c>
      <c r="H22668" t="s">
        <v>47054</v>
      </c>
      <c r="I22668" t="s">
        <v>47116</v>
      </c>
      <c r="J22668" t="s">
        <v>47117</v>
      </c>
      <c r="K22668" t="s">
        <v>47113</v>
      </c>
      <c r="L22668">
        <v>8.1300000000000008</v>
      </c>
      <c r="M22668">
        <v>23</v>
      </c>
      <c r="N22668">
        <v>0</v>
      </c>
      <c r="O22668">
        <v>23</v>
      </c>
      <c r="P22668">
        <v>0</v>
      </c>
    </row>
    <row r="22669" spans="1:16" x14ac:dyDescent="0.25">
      <c r="A22669" t="s">
        <v>45422</v>
      </c>
      <c r="B22669" t="s">
        <v>19348</v>
      </c>
      <c r="C22669" t="s">
        <v>19349</v>
      </c>
      <c r="D22669" t="str">
        <f>"1836"</f>
        <v>1836</v>
      </c>
      <c r="E22669" t="s">
        <v>13190</v>
      </c>
      <c r="F22669" t="s">
        <v>3750</v>
      </c>
      <c r="G22669" t="s">
        <v>47091</v>
      </c>
      <c r="H22669" t="s">
        <v>47054</v>
      </c>
      <c r="I22669" t="s">
        <v>47116</v>
      </c>
      <c r="J22669" t="s">
        <v>47117</v>
      </c>
      <c r="K22669" t="s">
        <v>47113</v>
      </c>
      <c r="L22669">
        <v>8.1300000000000008</v>
      </c>
      <c r="M22669">
        <v>23</v>
      </c>
      <c r="N22669">
        <v>0</v>
      </c>
      <c r="O22669">
        <v>23</v>
      </c>
      <c r="P22669">
        <v>0</v>
      </c>
    </row>
    <row r="22670" spans="1:16" x14ac:dyDescent="0.25">
      <c r="A22670" t="s">
        <v>45423</v>
      </c>
      <c r="B22670" t="s">
        <v>19351</v>
      </c>
      <c r="C22670" t="s">
        <v>19352</v>
      </c>
      <c r="D22670" t="str">
        <f>"1704"</f>
        <v>1704</v>
      </c>
      <c r="E22670" t="s">
        <v>19353</v>
      </c>
      <c r="F22670" t="s">
        <v>3750</v>
      </c>
      <c r="G22670" t="s">
        <v>47091</v>
      </c>
      <c r="H22670" t="s">
        <v>47054</v>
      </c>
      <c r="I22670" t="s">
        <v>47116</v>
      </c>
      <c r="J22670" t="s">
        <v>47117</v>
      </c>
      <c r="K22670" t="s">
        <v>47113</v>
      </c>
      <c r="L22670">
        <v>6.22</v>
      </c>
      <c r="M22670">
        <v>18</v>
      </c>
      <c r="N22670">
        <v>0</v>
      </c>
      <c r="O22670">
        <v>18</v>
      </c>
      <c r="P22670">
        <v>0</v>
      </c>
    </row>
    <row r="22671" spans="1:16" x14ac:dyDescent="0.25">
      <c r="A22671" t="s">
        <v>45424</v>
      </c>
      <c r="B22671" t="s">
        <v>19351</v>
      </c>
      <c r="C22671" t="s">
        <v>19352</v>
      </c>
      <c r="D22671" t="str">
        <f>"6202"</f>
        <v>6202</v>
      </c>
      <c r="E22671" t="s">
        <v>19354</v>
      </c>
      <c r="F22671" t="s">
        <v>3750</v>
      </c>
      <c r="G22671" t="s">
        <v>47091</v>
      </c>
      <c r="H22671" t="s">
        <v>47054</v>
      </c>
      <c r="I22671" t="s">
        <v>47116</v>
      </c>
      <c r="J22671" t="s">
        <v>47117</v>
      </c>
      <c r="K22671" t="s">
        <v>47113</v>
      </c>
      <c r="L22671">
        <v>6.22</v>
      </c>
      <c r="M22671">
        <v>18</v>
      </c>
      <c r="N22671">
        <v>0</v>
      </c>
      <c r="O22671">
        <v>18</v>
      </c>
      <c r="P22671">
        <v>0</v>
      </c>
    </row>
    <row r="22672" spans="1:16" x14ac:dyDescent="0.25">
      <c r="A22672" t="s">
        <v>45425</v>
      </c>
      <c r="B22672" t="s">
        <v>19355</v>
      </c>
      <c r="C22672" t="s">
        <v>19356</v>
      </c>
      <c r="D22672" t="str">
        <f>"1701"</f>
        <v>1701</v>
      </c>
      <c r="E22672" t="s">
        <v>19357</v>
      </c>
      <c r="F22672" t="s">
        <v>15183</v>
      </c>
      <c r="G22672" t="s">
        <v>47091</v>
      </c>
      <c r="H22672" t="s">
        <v>47054</v>
      </c>
      <c r="I22672" t="s">
        <v>47116</v>
      </c>
      <c r="J22672" t="s">
        <v>47117</v>
      </c>
      <c r="K22672" t="s">
        <v>47113</v>
      </c>
      <c r="L22672">
        <v>8.61</v>
      </c>
      <c r="M22672">
        <v>24</v>
      </c>
      <c r="N22672">
        <v>0</v>
      </c>
      <c r="O22672">
        <v>24</v>
      </c>
      <c r="P22672">
        <v>0</v>
      </c>
    </row>
    <row r="22673" spans="1:16" x14ac:dyDescent="0.25">
      <c r="A22673" t="s">
        <v>45426</v>
      </c>
      <c r="B22673" t="s">
        <v>19355</v>
      </c>
      <c r="C22673" t="s">
        <v>19356</v>
      </c>
      <c r="D22673" t="str">
        <f>"2707"</f>
        <v>2707</v>
      </c>
      <c r="E22673" t="s">
        <v>16204</v>
      </c>
      <c r="F22673" t="s">
        <v>15183</v>
      </c>
      <c r="G22673" t="s">
        <v>47091</v>
      </c>
      <c r="H22673" t="s">
        <v>47054</v>
      </c>
      <c r="I22673" t="s">
        <v>47116</v>
      </c>
      <c r="J22673" t="s">
        <v>47117</v>
      </c>
      <c r="K22673" t="s">
        <v>47113</v>
      </c>
      <c r="L22673">
        <v>8.61</v>
      </c>
      <c r="M22673">
        <v>24</v>
      </c>
      <c r="N22673">
        <v>0</v>
      </c>
      <c r="O22673">
        <v>24</v>
      </c>
      <c r="P22673">
        <v>0</v>
      </c>
    </row>
    <row r="22674" spans="1:16" x14ac:dyDescent="0.25">
      <c r="A22674" t="s">
        <v>45427</v>
      </c>
      <c r="B22674" t="s">
        <v>19355</v>
      </c>
      <c r="C22674" t="s">
        <v>19356</v>
      </c>
      <c r="D22674" t="str">
        <f>"6000"</f>
        <v>6000</v>
      </c>
      <c r="E22674" t="s">
        <v>19358</v>
      </c>
      <c r="F22674" t="s">
        <v>3750</v>
      </c>
      <c r="G22674" t="s">
        <v>47091</v>
      </c>
      <c r="H22674" t="s">
        <v>47054</v>
      </c>
      <c r="I22674" t="s">
        <v>47116</v>
      </c>
      <c r="J22674" t="s">
        <v>47117</v>
      </c>
      <c r="K22674" t="s">
        <v>47113</v>
      </c>
      <c r="L22674">
        <v>8.61</v>
      </c>
      <c r="M22674">
        <v>24</v>
      </c>
      <c r="N22674">
        <v>0</v>
      </c>
      <c r="O22674">
        <v>24</v>
      </c>
      <c r="P22674">
        <v>0</v>
      </c>
    </row>
    <row r="22675" spans="1:16" x14ac:dyDescent="0.25">
      <c r="A22675" t="s">
        <v>45428</v>
      </c>
      <c r="B22675" t="s">
        <v>22442</v>
      </c>
      <c r="C22675" t="s">
        <v>22443</v>
      </c>
      <c r="D22675" t="str">
        <f>"1001"</f>
        <v>1001</v>
      </c>
      <c r="E22675" t="s">
        <v>42</v>
      </c>
      <c r="F22675" t="s">
        <v>19559</v>
      </c>
      <c r="G22675" t="s">
        <v>47091</v>
      </c>
      <c r="H22675" t="s">
        <v>47054</v>
      </c>
      <c r="I22675" t="s">
        <v>47154</v>
      </c>
      <c r="J22675" t="s">
        <v>47155</v>
      </c>
      <c r="K22675" t="s">
        <v>47113</v>
      </c>
      <c r="L22675">
        <v>9.1999999999999993</v>
      </c>
      <c r="M22675">
        <v>29</v>
      </c>
      <c r="N22675">
        <v>0</v>
      </c>
      <c r="O22675">
        <v>29</v>
      </c>
      <c r="P22675">
        <v>0</v>
      </c>
    </row>
    <row r="22676" spans="1:16" x14ac:dyDescent="0.25">
      <c r="A22676" t="s">
        <v>45429</v>
      </c>
      <c r="B22676" t="s">
        <v>22442</v>
      </c>
      <c r="C22676" t="s">
        <v>22443</v>
      </c>
      <c r="D22676" t="str">
        <f>"1700"</f>
        <v>1700</v>
      </c>
      <c r="E22676" t="s">
        <v>60</v>
      </c>
      <c r="F22676" t="s">
        <v>19559</v>
      </c>
      <c r="G22676" t="s">
        <v>47091</v>
      </c>
      <c r="H22676" t="s">
        <v>47054</v>
      </c>
      <c r="I22676" t="s">
        <v>47154</v>
      </c>
      <c r="J22676" t="s">
        <v>47155</v>
      </c>
      <c r="K22676" t="s">
        <v>47113</v>
      </c>
      <c r="L22676">
        <v>9.1999999999999993</v>
      </c>
      <c r="M22676">
        <v>29</v>
      </c>
      <c r="N22676">
        <v>0</v>
      </c>
      <c r="O22676">
        <v>29</v>
      </c>
      <c r="P22676">
        <v>0</v>
      </c>
    </row>
    <row r="22677" spans="1:16" x14ac:dyDescent="0.25">
      <c r="A22677" t="s">
        <v>45430</v>
      </c>
      <c r="B22677" t="s">
        <v>19359</v>
      </c>
      <c r="C22677" t="s">
        <v>19360</v>
      </c>
      <c r="D22677" t="str">
        <f>"1001"</f>
        <v>1001</v>
      </c>
      <c r="E22677" t="s">
        <v>42</v>
      </c>
      <c r="F22677" t="s">
        <v>3750</v>
      </c>
      <c r="G22677" t="s">
        <v>47091</v>
      </c>
      <c r="H22677" t="s">
        <v>47054</v>
      </c>
      <c r="I22677" t="s">
        <v>47116</v>
      </c>
      <c r="J22677" t="s">
        <v>47117</v>
      </c>
      <c r="K22677" t="s">
        <v>47113</v>
      </c>
      <c r="L22677">
        <v>7.42</v>
      </c>
      <c r="M22677">
        <v>21</v>
      </c>
      <c r="N22677">
        <v>0</v>
      </c>
      <c r="O22677">
        <v>21</v>
      </c>
      <c r="P22677">
        <v>0</v>
      </c>
    </row>
    <row r="22678" spans="1:16" x14ac:dyDescent="0.25">
      <c r="A22678" t="s">
        <v>45431</v>
      </c>
      <c r="B22678" t="s">
        <v>19359</v>
      </c>
      <c r="C22678" t="s">
        <v>19360</v>
      </c>
      <c r="D22678" t="str">
        <f>"1700"</f>
        <v>1700</v>
      </c>
      <c r="E22678" t="s">
        <v>60</v>
      </c>
      <c r="F22678" t="s">
        <v>3750</v>
      </c>
      <c r="G22678" t="s">
        <v>47091</v>
      </c>
      <c r="H22678" t="s">
        <v>47054</v>
      </c>
      <c r="I22678" t="s">
        <v>47116</v>
      </c>
      <c r="J22678" t="s">
        <v>47117</v>
      </c>
      <c r="K22678" t="s">
        <v>47113</v>
      </c>
      <c r="L22678">
        <v>7.42</v>
      </c>
      <c r="M22678">
        <v>21</v>
      </c>
      <c r="N22678">
        <v>0</v>
      </c>
      <c r="O22678">
        <v>21</v>
      </c>
      <c r="P22678">
        <v>0</v>
      </c>
    </row>
    <row r="22679" spans="1:16" x14ac:dyDescent="0.25">
      <c r="A22679" t="s">
        <v>45432</v>
      </c>
      <c r="B22679" t="s">
        <v>19361</v>
      </c>
      <c r="C22679" t="s">
        <v>19362</v>
      </c>
      <c r="D22679" t="str">
        <f>"1001"</f>
        <v>1001</v>
      </c>
      <c r="E22679" t="s">
        <v>42</v>
      </c>
      <c r="F22679" t="s">
        <v>3750</v>
      </c>
      <c r="G22679" t="s">
        <v>47091</v>
      </c>
      <c r="H22679" t="s">
        <v>47054</v>
      </c>
      <c r="I22679" t="s">
        <v>47116</v>
      </c>
      <c r="J22679" t="s">
        <v>47117</v>
      </c>
      <c r="K22679" t="s">
        <v>47113</v>
      </c>
      <c r="L22679">
        <v>7.8</v>
      </c>
      <c r="M22679">
        <v>22</v>
      </c>
      <c r="N22679">
        <v>0</v>
      </c>
      <c r="O22679">
        <v>22</v>
      </c>
      <c r="P22679">
        <v>0</v>
      </c>
    </row>
    <row r="22680" spans="1:16" x14ac:dyDescent="0.25">
      <c r="A22680" t="s">
        <v>45433</v>
      </c>
      <c r="B22680" t="s">
        <v>19361</v>
      </c>
      <c r="C22680" t="s">
        <v>19362</v>
      </c>
      <c r="D22680" t="str">
        <f>"1700"</f>
        <v>1700</v>
      </c>
      <c r="E22680" t="s">
        <v>60</v>
      </c>
      <c r="F22680" t="s">
        <v>3750</v>
      </c>
      <c r="G22680" t="s">
        <v>47091</v>
      </c>
      <c r="H22680" t="s">
        <v>47054</v>
      </c>
      <c r="I22680" t="s">
        <v>47116</v>
      </c>
      <c r="J22680" t="s">
        <v>47117</v>
      </c>
      <c r="K22680" t="s">
        <v>47113</v>
      </c>
      <c r="L22680">
        <v>7.8</v>
      </c>
      <c r="M22680">
        <v>22</v>
      </c>
      <c r="N22680">
        <v>0</v>
      </c>
      <c r="O22680">
        <v>22</v>
      </c>
      <c r="P22680">
        <v>0</v>
      </c>
    </row>
    <row r="22681" spans="1:16" x14ac:dyDescent="0.25">
      <c r="A22681" t="s">
        <v>45434</v>
      </c>
      <c r="B22681" t="s">
        <v>19363</v>
      </c>
      <c r="C22681" t="s">
        <v>19364</v>
      </c>
      <c r="D22681" t="str">
        <f>"1001"</f>
        <v>1001</v>
      </c>
      <c r="E22681" t="s">
        <v>42</v>
      </c>
      <c r="F22681" t="s">
        <v>3750</v>
      </c>
      <c r="G22681" t="s">
        <v>47091</v>
      </c>
      <c r="H22681" t="s">
        <v>47054</v>
      </c>
      <c r="I22681" t="s">
        <v>47120</v>
      </c>
      <c r="J22681" t="s">
        <v>47121</v>
      </c>
      <c r="K22681" t="s">
        <v>47113</v>
      </c>
      <c r="L22681">
        <v>5.71</v>
      </c>
      <c r="M22681">
        <v>27</v>
      </c>
      <c r="N22681">
        <v>0</v>
      </c>
      <c r="O22681">
        <v>27</v>
      </c>
      <c r="P22681">
        <v>0</v>
      </c>
    </row>
    <row r="22682" spans="1:16" x14ac:dyDescent="0.25">
      <c r="A22682" t="s">
        <v>45435</v>
      </c>
      <c r="B22682" t="s">
        <v>19363</v>
      </c>
      <c r="C22682" t="s">
        <v>19364</v>
      </c>
      <c r="D22682" t="str">
        <f>"1700"</f>
        <v>1700</v>
      </c>
      <c r="E22682" t="s">
        <v>60</v>
      </c>
      <c r="F22682" t="s">
        <v>3750</v>
      </c>
      <c r="G22682" t="s">
        <v>47091</v>
      </c>
      <c r="H22682" t="s">
        <v>47054</v>
      </c>
      <c r="I22682" t="s">
        <v>47120</v>
      </c>
      <c r="J22682" t="s">
        <v>47121</v>
      </c>
      <c r="K22682" t="s">
        <v>47113</v>
      </c>
      <c r="L22682">
        <v>5.71</v>
      </c>
      <c r="M22682">
        <v>27</v>
      </c>
      <c r="N22682">
        <v>0</v>
      </c>
      <c r="O22682">
        <v>27</v>
      </c>
      <c r="P22682">
        <v>0</v>
      </c>
    </row>
    <row r="22683" spans="1:16" x14ac:dyDescent="0.25">
      <c r="A22683" t="s">
        <v>45436</v>
      </c>
      <c r="B22683" t="s">
        <v>45437</v>
      </c>
      <c r="C22683" t="s">
        <v>45438</v>
      </c>
      <c r="D22683" t="str">
        <f>"6000"</f>
        <v>6000</v>
      </c>
      <c r="E22683" t="s">
        <v>65</v>
      </c>
      <c r="F22683" t="s">
        <v>24627</v>
      </c>
      <c r="G22683" t="s">
        <v>47091</v>
      </c>
      <c r="H22683" t="s">
        <v>47054</v>
      </c>
      <c r="I22683" t="s">
        <v>47154</v>
      </c>
      <c r="J22683" t="s">
        <v>47155</v>
      </c>
      <c r="K22683" t="s">
        <v>47113</v>
      </c>
      <c r="L22683">
        <v>5.98</v>
      </c>
      <c r="M22683">
        <v>29</v>
      </c>
      <c r="N22683">
        <v>79</v>
      </c>
      <c r="O22683">
        <v>29</v>
      </c>
      <c r="P22683">
        <v>79</v>
      </c>
    </row>
    <row r="22684" spans="1:16" x14ac:dyDescent="0.25">
      <c r="A22684" t="s">
        <v>45439</v>
      </c>
      <c r="B22684" t="s">
        <v>22444</v>
      </c>
      <c r="C22684" t="s">
        <v>22445</v>
      </c>
      <c r="D22684" t="str">
        <f>"1001"</f>
        <v>1001</v>
      </c>
      <c r="E22684" t="s">
        <v>42</v>
      </c>
      <c r="F22684" t="s">
        <v>3750</v>
      </c>
      <c r="G22684" t="s">
        <v>47091</v>
      </c>
      <c r="H22684" t="s">
        <v>47054</v>
      </c>
      <c r="I22684" t="s">
        <v>47154</v>
      </c>
      <c r="J22684" t="s">
        <v>47155</v>
      </c>
      <c r="K22684" t="s">
        <v>47113</v>
      </c>
      <c r="L22684">
        <v>6.59</v>
      </c>
      <c r="M22684">
        <v>12</v>
      </c>
      <c r="N22684">
        <v>0</v>
      </c>
      <c r="O22684">
        <v>12</v>
      </c>
      <c r="P22684">
        <v>0</v>
      </c>
    </row>
    <row r="22685" spans="1:16" x14ac:dyDescent="0.25">
      <c r="A22685" t="s">
        <v>45440</v>
      </c>
      <c r="B22685" t="s">
        <v>22444</v>
      </c>
      <c r="C22685" t="s">
        <v>22445</v>
      </c>
      <c r="D22685" t="str">
        <f>"1700"</f>
        <v>1700</v>
      </c>
      <c r="E22685" t="s">
        <v>60</v>
      </c>
      <c r="F22685" t="s">
        <v>3750</v>
      </c>
      <c r="G22685" t="s">
        <v>47091</v>
      </c>
      <c r="H22685" t="s">
        <v>47054</v>
      </c>
      <c r="I22685" t="s">
        <v>47154</v>
      </c>
      <c r="J22685" t="s">
        <v>47155</v>
      </c>
      <c r="K22685" t="s">
        <v>47113</v>
      </c>
      <c r="L22685">
        <v>6.59</v>
      </c>
      <c r="M22685">
        <v>12</v>
      </c>
      <c r="N22685">
        <v>0</v>
      </c>
      <c r="O22685">
        <v>12</v>
      </c>
      <c r="P22685">
        <v>0</v>
      </c>
    </row>
    <row r="22686" spans="1:16" x14ac:dyDescent="0.25">
      <c r="A22686" t="s">
        <v>45441</v>
      </c>
      <c r="B22686" t="s">
        <v>16184</v>
      </c>
      <c r="C22686" t="s">
        <v>16185</v>
      </c>
      <c r="D22686" t="str">
        <f>"1001"</f>
        <v>1001</v>
      </c>
      <c r="E22686" t="s">
        <v>42</v>
      </c>
      <c r="F22686" t="s">
        <v>3750</v>
      </c>
      <c r="G22686" t="s">
        <v>47091</v>
      </c>
      <c r="H22686" t="s">
        <v>47054</v>
      </c>
      <c r="I22686" t="s">
        <v>47116</v>
      </c>
      <c r="J22686" t="s">
        <v>47117</v>
      </c>
      <c r="K22686" t="s">
        <v>47113</v>
      </c>
      <c r="L22686">
        <v>7.61</v>
      </c>
      <c r="M22686">
        <v>27</v>
      </c>
      <c r="N22686">
        <v>0</v>
      </c>
      <c r="O22686">
        <v>27</v>
      </c>
      <c r="P22686">
        <v>0</v>
      </c>
    </row>
    <row r="22687" spans="1:16" x14ac:dyDescent="0.25">
      <c r="A22687" t="s">
        <v>45442</v>
      </c>
      <c r="B22687" t="s">
        <v>16184</v>
      </c>
      <c r="C22687" t="s">
        <v>16185</v>
      </c>
      <c r="D22687" t="str">
        <f>"5000"</f>
        <v>5000</v>
      </c>
      <c r="E22687" t="s">
        <v>16183</v>
      </c>
      <c r="F22687" t="s">
        <v>3750</v>
      </c>
      <c r="G22687" t="s">
        <v>47091</v>
      </c>
      <c r="H22687" t="s">
        <v>47054</v>
      </c>
      <c r="I22687" t="s">
        <v>47116</v>
      </c>
      <c r="J22687" t="s">
        <v>47117</v>
      </c>
      <c r="K22687" t="s">
        <v>47113</v>
      </c>
      <c r="L22687">
        <v>7.61</v>
      </c>
      <c r="M22687">
        <v>27</v>
      </c>
      <c r="N22687">
        <v>0</v>
      </c>
      <c r="O22687">
        <v>27</v>
      </c>
      <c r="P22687">
        <v>0</v>
      </c>
    </row>
    <row r="22688" spans="1:16" x14ac:dyDescent="0.25">
      <c r="A22688" t="s">
        <v>45443</v>
      </c>
      <c r="B22688" t="s">
        <v>14431</v>
      </c>
      <c r="C22688" t="s">
        <v>14430</v>
      </c>
      <c r="D22688" t="str">
        <f>"6000"</f>
        <v>6000</v>
      </c>
      <c r="E22688" t="s">
        <v>238</v>
      </c>
      <c r="F22688" t="s">
        <v>3750</v>
      </c>
      <c r="G22688" t="s">
        <v>47091</v>
      </c>
      <c r="H22688" t="s">
        <v>47054</v>
      </c>
      <c r="I22688" t="s">
        <v>47116</v>
      </c>
      <c r="J22688" t="s">
        <v>47117</v>
      </c>
      <c r="K22688" t="s">
        <v>47113</v>
      </c>
      <c r="L22688">
        <v>6.27</v>
      </c>
      <c r="M22688">
        <v>22</v>
      </c>
      <c r="N22688">
        <v>0</v>
      </c>
      <c r="O22688">
        <v>22</v>
      </c>
      <c r="P22688">
        <v>0</v>
      </c>
    </row>
    <row r="22689" spans="1:16" x14ac:dyDescent="0.25">
      <c r="A22689" t="s">
        <v>45444</v>
      </c>
      <c r="B22689" t="s">
        <v>14431</v>
      </c>
      <c r="C22689" t="s">
        <v>14430</v>
      </c>
      <c r="D22689" t="s">
        <v>14429</v>
      </c>
      <c r="E22689" t="s">
        <v>60</v>
      </c>
      <c r="F22689" t="s">
        <v>3750</v>
      </c>
      <c r="G22689" t="s">
        <v>47091</v>
      </c>
      <c r="H22689" t="s">
        <v>47054</v>
      </c>
      <c r="I22689" t="s">
        <v>47116</v>
      </c>
      <c r="J22689" t="s">
        <v>47117</v>
      </c>
      <c r="K22689" t="s">
        <v>47113</v>
      </c>
      <c r="L22689">
        <v>6.27</v>
      </c>
      <c r="M22689">
        <v>22</v>
      </c>
      <c r="N22689">
        <v>0</v>
      </c>
      <c r="O22689">
        <v>22</v>
      </c>
      <c r="P22689">
        <v>0</v>
      </c>
    </row>
    <row r="22690" spans="1:16" x14ac:dyDescent="0.25">
      <c r="A22690" t="s">
        <v>45445</v>
      </c>
      <c r="B22690" t="s">
        <v>19365</v>
      </c>
      <c r="C22690" t="s">
        <v>19366</v>
      </c>
      <c r="D22690" t="str">
        <f>"1001"</f>
        <v>1001</v>
      </c>
      <c r="E22690" t="s">
        <v>42</v>
      </c>
      <c r="F22690" t="s">
        <v>3750</v>
      </c>
      <c r="G22690" t="s">
        <v>47091</v>
      </c>
      <c r="H22690" t="s">
        <v>47054</v>
      </c>
      <c r="I22690" t="s">
        <v>47116</v>
      </c>
      <c r="J22690" t="s">
        <v>47117</v>
      </c>
      <c r="K22690" t="s">
        <v>47113</v>
      </c>
      <c r="L22690">
        <v>7.45</v>
      </c>
      <c r="M22690">
        <v>22</v>
      </c>
      <c r="N22690">
        <v>0</v>
      </c>
      <c r="O22690">
        <v>22</v>
      </c>
      <c r="P22690">
        <v>0</v>
      </c>
    </row>
    <row r="22691" spans="1:16" x14ac:dyDescent="0.25">
      <c r="A22691" t="s">
        <v>45446</v>
      </c>
      <c r="B22691" t="s">
        <v>19365</v>
      </c>
      <c r="C22691" t="s">
        <v>19366</v>
      </c>
      <c r="D22691" t="str">
        <f>"1700"</f>
        <v>1700</v>
      </c>
      <c r="E22691" t="s">
        <v>60</v>
      </c>
      <c r="F22691" t="s">
        <v>3750</v>
      </c>
      <c r="G22691" t="s">
        <v>47091</v>
      </c>
      <c r="H22691" t="s">
        <v>47054</v>
      </c>
      <c r="I22691" t="s">
        <v>47116</v>
      </c>
      <c r="J22691" t="s">
        <v>47117</v>
      </c>
      <c r="K22691" t="s">
        <v>47113</v>
      </c>
      <c r="L22691">
        <v>7.45</v>
      </c>
      <c r="M22691">
        <v>22</v>
      </c>
      <c r="N22691">
        <v>0</v>
      </c>
      <c r="O22691">
        <v>22</v>
      </c>
      <c r="P22691">
        <v>0</v>
      </c>
    </row>
    <row r="22692" spans="1:16" x14ac:dyDescent="0.25">
      <c r="A22692" t="s">
        <v>45447</v>
      </c>
      <c r="B22692" t="s">
        <v>19367</v>
      </c>
      <c r="C22692" t="s">
        <v>19368</v>
      </c>
      <c r="D22692" t="str">
        <f>"1001"</f>
        <v>1001</v>
      </c>
      <c r="E22692" t="s">
        <v>42</v>
      </c>
      <c r="F22692" t="s">
        <v>3750</v>
      </c>
      <c r="G22692" t="s">
        <v>47092</v>
      </c>
      <c r="H22692" t="s">
        <v>47054</v>
      </c>
      <c r="I22692" t="s">
        <v>47116</v>
      </c>
      <c r="J22692" t="s">
        <v>47117</v>
      </c>
      <c r="K22692" t="s">
        <v>47113</v>
      </c>
      <c r="L22692">
        <v>6.57</v>
      </c>
      <c r="M22692">
        <v>19</v>
      </c>
      <c r="N22692">
        <v>0</v>
      </c>
      <c r="O22692">
        <v>19</v>
      </c>
      <c r="P22692">
        <v>0</v>
      </c>
    </row>
    <row r="22693" spans="1:16" x14ac:dyDescent="0.25">
      <c r="A22693" t="s">
        <v>45448</v>
      </c>
      <c r="B22693" t="s">
        <v>19367</v>
      </c>
      <c r="C22693" t="s">
        <v>19368</v>
      </c>
      <c r="D22693" t="str">
        <f>"1700"</f>
        <v>1700</v>
      </c>
      <c r="E22693" t="s">
        <v>60</v>
      </c>
      <c r="F22693" t="s">
        <v>3750</v>
      </c>
      <c r="G22693" t="s">
        <v>47092</v>
      </c>
      <c r="H22693" t="s">
        <v>47054</v>
      </c>
      <c r="I22693" t="s">
        <v>47116</v>
      </c>
      <c r="J22693" t="s">
        <v>47117</v>
      </c>
      <c r="K22693" t="s">
        <v>47113</v>
      </c>
      <c r="L22693">
        <v>6.57</v>
      </c>
      <c r="M22693">
        <v>19</v>
      </c>
      <c r="N22693">
        <v>0</v>
      </c>
      <c r="O22693">
        <v>19</v>
      </c>
      <c r="P22693">
        <v>0</v>
      </c>
    </row>
    <row r="22694" spans="1:16" x14ac:dyDescent="0.25">
      <c r="A22694" t="s">
        <v>45449</v>
      </c>
      <c r="B22694" t="s">
        <v>19369</v>
      </c>
      <c r="C22694" t="s">
        <v>19370</v>
      </c>
      <c r="D22694" t="str">
        <f>"4504"</f>
        <v>4504</v>
      </c>
      <c r="E22694" t="s">
        <v>19371</v>
      </c>
      <c r="F22694" t="s">
        <v>3750</v>
      </c>
      <c r="G22694" t="s">
        <v>47091</v>
      </c>
      <c r="H22694" t="s">
        <v>47054</v>
      </c>
      <c r="I22694" t="s">
        <v>47116</v>
      </c>
      <c r="J22694" t="s">
        <v>47117</v>
      </c>
      <c r="K22694" t="s">
        <v>47113</v>
      </c>
      <c r="L22694">
        <v>7.45</v>
      </c>
      <c r="M22694">
        <v>22</v>
      </c>
      <c r="N22694">
        <v>0</v>
      </c>
      <c r="O22694">
        <v>22</v>
      </c>
      <c r="P22694">
        <v>0</v>
      </c>
    </row>
    <row r="22695" spans="1:16" x14ac:dyDescent="0.25">
      <c r="A22695" t="s">
        <v>45450</v>
      </c>
      <c r="B22695" t="s">
        <v>19369</v>
      </c>
      <c r="C22695" t="s">
        <v>19370</v>
      </c>
      <c r="D22695" t="str">
        <f>"6000"</f>
        <v>6000</v>
      </c>
      <c r="E22695" t="s">
        <v>19313</v>
      </c>
      <c r="F22695" t="s">
        <v>3750</v>
      </c>
      <c r="G22695" t="s">
        <v>47091</v>
      </c>
      <c r="H22695" t="s">
        <v>47054</v>
      </c>
      <c r="I22695" t="s">
        <v>47116</v>
      </c>
      <c r="J22695" t="s">
        <v>47117</v>
      </c>
      <c r="K22695" t="s">
        <v>47113</v>
      </c>
      <c r="L22695">
        <v>7.45</v>
      </c>
      <c r="M22695">
        <v>22</v>
      </c>
      <c r="N22695">
        <v>0</v>
      </c>
      <c r="O22695">
        <v>22</v>
      </c>
      <c r="P22695">
        <v>0</v>
      </c>
    </row>
    <row r="22696" spans="1:16" x14ac:dyDescent="0.25">
      <c r="A22696" t="s">
        <v>45451</v>
      </c>
      <c r="B22696" t="s">
        <v>16186</v>
      </c>
      <c r="C22696" t="s">
        <v>16187</v>
      </c>
      <c r="D22696" t="str">
        <f>"1700"</f>
        <v>1700</v>
      </c>
      <c r="E22696" t="s">
        <v>60</v>
      </c>
      <c r="F22696" t="s">
        <v>3750</v>
      </c>
      <c r="G22696" t="s">
        <v>47091</v>
      </c>
      <c r="H22696" t="s">
        <v>47054</v>
      </c>
      <c r="I22696" t="s">
        <v>47111</v>
      </c>
      <c r="J22696" t="s">
        <v>47112</v>
      </c>
      <c r="K22696" t="s">
        <v>47113</v>
      </c>
      <c r="L22696">
        <v>7.61</v>
      </c>
      <c r="M22696">
        <v>27</v>
      </c>
      <c r="N22696">
        <v>0</v>
      </c>
      <c r="O22696">
        <v>27</v>
      </c>
      <c r="P22696">
        <v>0</v>
      </c>
    </row>
    <row r="22697" spans="1:16" x14ac:dyDescent="0.25">
      <c r="A22697" t="s">
        <v>45452</v>
      </c>
      <c r="B22697" t="s">
        <v>19372</v>
      </c>
      <c r="C22697" t="s">
        <v>19373</v>
      </c>
      <c r="D22697" t="str">
        <f>"1001"</f>
        <v>1001</v>
      </c>
      <c r="E22697" t="s">
        <v>42</v>
      </c>
      <c r="F22697" t="s">
        <v>3750</v>
      </c>
      <c r="G22697" t="s">
        <v>47091</v>
      </c>
      <c r="H22697" t="s">
        <v>47054</v>
      </c>
      <c r="I22697" t="s">
        <v>47116</v>
      </c>
      <c r="J22697" t="s">
        <v>47117</v>
      </c>
      <c r="K22697" t="s">
        <v>47113</v>
      </c>
      <c r="L22697">
        <v>8.3699999999999992</v>
      </c>
      <c r="M22697">
        <v>23</v>
      </c>
      <c r="N22697">
        <v>0</v>
      </c>
      <c r="O22697">
        <v>23</v>
      </c>
      <c r="P22697">
        <v>0</v>
      </c>
    </row>
    <row r="22698" spans="1:16" x14ac:dyDescent="0.25">
      <c r="A22698" t="s">
        <v>45453</v>
      </c>
      <c r="B22698" t="s">
        <v>19372</v>
      </c>
      <c r="C22698" t="s">
        <v>19373</v>
      </c>
      <c r="D22698" t="str">
        <f>"1700"</f>
        <v>1700</v>
      </c>
      <c r="E22698" t="s">
        <v>60</v>
      </c>
      <c r="F22698" t="s">
        <v>3750</v>
      </c>
      <c r="G22698" t="s">
        <v>47091</v>
      </c>
      <c r="H22698" t="s">
        <v>47054</v>
      </c>
      <c r="I22698" t="s">
        <v>47116</v>
      </c>
      <c r="J22698" t="s">
        <v>47117</v>
      </c>
      <c r="K22698" t="s">
        <v>47113</v>
      </c>
      <c r="L22698">
        <v>8.3699999999999992</v>
      </c>
      <c r="M22698">
        <v>23</v>
      </c>
      <c r="N22698">
        <v>0</v>
      </c>
      <c r="O22698">
        <v>23</v>
      </c>
      <c r="P22698">
        <v>0</v>
      </c>
    </row>
    <row r="22699" spans="1:16" x14ac:dyDescent="0.25">
      <c r="A22699" t="s">
        <v>45454</v>
      </c>
      <c r="B22699" t="s">
        <v>19374</v>
      </c>
      <c r="C22699" t="s">
        <v>19375</v>
      </c>
      <c r="D22699" t="str">
        <f>"1700"</f>
        <v>1700</v>
      </c>
      <c r="E22699" t="s">
        <v>60</v>
      </c>
      <c r="F22699" t="s">
        <v>3750</v>
      </c>
      <c r="G22699" t="s">
        <v>47091</v>
      </c>
      <c r="H22699" t="s">
        <v>47054</v>
      </c>
      <c r="I22699" t="s">
        <v>47116</v>
      </c>
      <c r="J22699" t="s">
        <v>47117</v>
      </c>
      <c r="K22699" t="s">
        <v>47113</v>
      </c>
      <c r="L22699">
        <v>8.1300000000000008</v>
      </c>
      <c r="M22699">
        <v>23</v>
      </c>
      <c r="N22699">
        <v>0</v>
      </c>
      <c r="O22699">
        <v>23</v>
      </c>
      <c r="P22699">
        <v>0</v>
      </c>
    </row>
    <row r="22700" spans="1:16" x14ac:dyDescent="0.25">
      <c r="A22700" t="s">
        <v>45455</v>
      </c>
      <c r="B22700" t="s">
        <v>19374</v>
      </c>
      <c r="C22700" t="s">
        <v>19375</v>
      </c>
      <c r="D22700" t="str">
        <f>"6000"</f>
        <v>6000</v>
      </c>
      <c r="E22700" t="s">
        <v>238</v>
      </c>
      <c r="F22700" t="s">
        <v>3750</v>
      </c>
      <c r="G22700" t="s">
        <v>47091</v>
      </c>
      <c r="H22700" t="s">
        <v>47054</v>
      </c>
      <c r="I22700" t="s">
        <v>47116</v>
      </c>
      <c r="J22700" t="s">
        <v>47117</v>
      </c>
      <c r="K22700" t="s">
        <v>47113</v>
      </c>
      <c r="L22700">
        <v>8.1300000000000008</v>
      </c>
      <c r="M22700">
        <v>23</v>
      </c>
      <c r="N22700">
        <v>0</v>
      </c>
      <c r="O22700">
        <v>23</v>
      </c>
      <c r="P22700">
        <v>0</v>
      </c>
    </row>
    <row r="22701" spans="1:16" x14ac:dyDescent="0.25">
      <c r="A22701" t="s">
        <v>45456</v>
      </c>
      <c r="B22701" t="s">
        <v>19376</v>
      </c>
      <c r="C22701" t="s">
        <v>19377</v>
      </c>
      <c r="D22701" t="str">
        <f>"1700"</f>
        <v>1700</v>
      </c>
      <c r="E22701" t="s">
        <v>60</v>
      </c>
      <c r="F22701" t="s">
        <v>3750</v>
      </c>
      <c r="G22701" t="s">
        <v>47091</v>
      </c>
      <c r="H22701" t="s">
        <v>47054</v>
      </c>
      <c r="I22701" t="s">
        <v>47116</v>
      </c>
      <c r="J22701" t="s">
        <v>47117</v>
      </c>
      <c r="K22701" t="s">
        <v>47113</v>
      </c>
      <c r="L22701">
        <v>8.1300000000000008</v>
      </c>
      <c r="M22701">
        <v>23</v>
      </c>
      <c r="N22701">
        <v>0</v>
      </c>
      <c r="O22701">
        <v>23</v>
      </c>
      <c r="P22701">
        <v>0</v>
      </c>
    </row>
    <row r="22702" spans="1:16" x14ac:dyDescent="0.25">
      <c r="A22702" t="s">
        <v>45457</v>
      </c>
      <c r="B22702" t="s">
        <v>19376</v>
      </c>
      <c r="C22702" t="s">
        <v>19377</v>
      </c>
      <c r="D22702" t="str">
        <f>"6000"</f>
        <v>6000</v>
      </c>
      <c r="E22702" t="s">
        <v>6279</v>
      </c>
      <c r="F22702" t="s">
        <v>3750</v>
      </c>
      <c r="G22702" t="s">
        <v>47091</v>
      </c>
      <c r="H22702" t="s">
        <v>47054</v>
      </c>
      <c r="I22702" t="s">
        <v>47116</v>
      </c>
      <c r="J22702" t="s">
        <v>47117</v>
      </c>
      <c r="K22702" t="s">
        <v>47113</v>
      </c>
      <c r="L22702">
        <v>8.1300000000000008</v>
      </c>
      <c r="M22702">
        <v>23</v>
      </c>
      <c r="N22702">
        <v>0</v>
      </c>
      <c r="O22702">
        <v>23</v>
      </c>
      <c r="P22702">
        <v>0</v>
      </c>
    </row>
    <row r="22703" spans="1:16" x14ac:dyDescent="0.25">
      <c r="A22703" t="s">
        <v>45458</v>
      </c>
      <c r="B22703" t="s">
        <v>14427</v>
      </c>
      <c r="C22703" t="s">
        <v>14426</v>
      </c>
      <c r="D22703" t="str">
        <f>"1081"</f>
        <v>1081</v>
      </c>
      <c r="E22703" t="s">
        <v>14428</v>
      </c>
      <c r="F22703" t="s">
        <v>3750</v>
      </c>
      <c r="G22703" t="s">
        <v>47091</v>
      </c>
      <c r="H22703" t="s">
        <v>47054</v>
      </c>
      <c r="I22703" t="s">
        <v>47116</v>
      </c>
      <c r="J22703" t="s">
        <v>47117</v>
      </c>
      <c r="K22703" t="s">
        <v>47113</v>
      </c>
      <c r="L22703">
        <v>7.61</v>
      </c>
      <c r="M22703">
        <v>27</v>
      </c>
      <c r="N22703">
        <v>0</v>
      </c>
      <c r="O22703">
        <v>27</v>
      </c>
      <c r="P22703">
        <v>0</v>
      </c>
    </row>
    <row r="22704" spans="1:16" x14ac:dyDescent="0.25">
      <c r="A22704" t="s">
        <v>45459</v>
      </c>
      <c r="B22704" t="s">
        <v>14427</v>
      </c>
      <c r="C22704" t="s">
        <v>14426</v>
      </c>
      <c r="D22704" t="str">
        <f>"4101"</f>
        <v>4101</v>
      </c>
      <c r="E22704" t="s">
        <v>43</v>
      </c>
      <c r="F22704" t="s">
        <v>3750</v>
      </c>
      <c r="G22704" t="s">
        <v>47091</v>
      </c>
      <c r="H22704" t="s">
        <v>47054</v>
      </c>
      <c r="I22704" t="s">
        <v>47116</v>
      </c>
      <c r="J22704" t="s">
        <v>47117</v>
      </c>
      <c r="K22704" t="s">
        <v>47113</v>
      </c>
      <c r="L22704">
        <v>7.61</v>
      </c>
      <c r="M22704">
        <v>27</v>
      </c>
      <c r="N22704">
        <v>0</v>
      </c>
      <c r="O22704">
        <v>27</v>
      </c>
      <c r="P22704">
        <v>0</v>
      </c>
    </row>
    <row r="22705" spans="1:16" x14ac:dyDescent="0.25">
      <c r="A22705" t="s">
        <v>45460</v>
      </c>
      <c r="B22705" t="s">
        <v>13486</v>
      </c>
      <c r="C22705" t="s">
        <v>13487</v>
      </c>
      <c r="D22705" t="str">
        <f>"6000"</f>
        <v>6000</v>
      </c>
      <c r="E22705" t="s">
        <v>238</v>
      </c>
      <c r="F22705" t="s">
        <v>3750</v>
      </c>
      <c r="G22705" t="s">
        <v>47091</v>
      </c>
      <c r="H22705" t="s">
        <v>47054</v>
      </c>
      <c r="I22705" t="s">
        <v>47116</v>
      </c>
      <c r="J22705" t="s">
        <v>47117</v>
      </c>
      <c r="K22705" t="s">
        <v>47113</v>
      </c>
      <c r="L22705">
        <v>7.65</v>
      </c>
      <c r="M22705">
        <v>27</v>
      </c>
      <c r="N22705">
        <v>0</v>
      </c>
      <c r="O22705">
        <v>27</v>
      </c>
      <c r="P22705">
        <v>0</v>
      </c>
    </row>
    <row r="22706" spans="1:16" x14ac:dyDescent="0.25">
      <c r="A22706" t="s">
        <v>45461</v>
      </c>
      <c r="B22706" t="s">
        <v>13488</v>
      </c>
      <c r="C22706" t="s">
        <v>13489</v>
      </c>
      <c r="D22706" t="str">
        <f>"1001"</f>
        <v>1001</v>
      </c>
      <c r="E22706" t="s">
        <v>42</v>
      </c>
      <c r="F22706" t="s">
        <v>3750</v>
      </c>
      <c r="G22706" t="s">
        <v>47091</v>
      </c>
      <c r="H22706" t="s">
        <v>47054</v>
      </c>
      <c r="I22706" t="s">
        <v>47116</v>
      </c>
      <c r="J22706" t="s">
        <v>47117</v>
      </c>
      <c r="K22706" t="s">
        <v>47113</v>
      </c>
      <c r="L22706">
        <v>7.65</v>
      </c>
      <c r="M22706">
        <v>27</v>
      </c>
      <c r="N22706">
        <v>0</v>
      </c>
      <c r="O22706">
        <v>27</v>
      </c>
      <c r="P22706">
        <v>0</v>
      </c>
    </row>
    <row r="22707" spans="1:16" x14ac:dyDescent="0.25">
      <c r="A22707" t="s">
        <v>45462</v>
      </c>
      <c r="B22707" t="s">
        <v>13488</v>
      </c>
      <c r="C22707" t="s">
        <v>13489</v>
      </c>
      <c r="D22707" t="str">
        <f>"1700"</f>
        <v>1700</v>
      </c>
      <c r="E22707" t="s">
        <v>60</v>
      </c>
      <c r="F22707" t="s">
        <v>3750</v>
      </c>
      <c r="G22707" t="s">
        <v>47091</v>
      </c>
      <c r="H22707" t="s">
        <v>47054</v>
      </c>
      <c r="I22707" t="s">
        <v>47116</v>
      </c>
      <c r="J22707" t="s">
        <v>47117</v>
      </c>
      <c r="K22707" t="s">
        <v>47113</v>
      </c>
      <c r="L22707">
        <v>7.65</v>
      </c>
      <c r="M22707">
        <v>27</v>
      </c>
      <c r="N22707">
        <v>0</v>
      </c>
      <c r="O22707">
        <v>27</v>
      </c>
      <c r="P22707">
        <v>0</v>
      </c>
    </row>
    <row r="22708" spans="1:16" x14ac:dyDescent="0.25">
      <c r="A22708" t="s">
        <v>45463</v>
      </c>
      <c r="B22708" t="s">
        <v>14425</v>
      </c>
      <c r="C22708" t="s">
        <v>14424</v>
      </c>
      <c r="D22708" t="str">
        <f>"1001"</f>
        <v>1001</v>
      </c>
      <c r="E22708" t="s">
        <v>42</v>
      </c>
      <c r="F22708" t="s">
        <v>3750</v>
      </c>
      <c r="G22708" t="s">
        <v>47091</v>
      </c>
      <c r="H22708" t="s">
        <v>47054</v>
      </c>
      <c r="I22708" t="s">
        <v>47111</v>
      </c>
      <c r="J22708" t="s">
        <v>47112</v>
      </c>
      <c r="K22708" t="s">
        <v>47113</v>
      </c>
      <c r="L22708">
        <v>7.61</v>
      </c>
      <c r="M22708">
        <v>27</v>
      </c>
      <c r="N22708">
        <v>0</v>
      </c>
      <c r="O22708">
        <v>27</v>
      </c>
      <c r="P22708">
        <v>0</v>
      </c>
    </row>
    <row r="22709" spans="1:16" x14ac:dyDescent="0.25">
      <c r="A22709" t="s">
        <v>45464</v>
      </c>
      <c r="B22709" t="s">
        <v>14425</v>
      </c>
      <c r="C22709" t="s">
        <v>14424</v>
      </c>
      <c r="D22709" t="str">
        <f>"6000"</f>
        <v>6000</v>
      </c>
      <c r="E22709" t="s">
        <v>238</v>
      </c>
      <c r="F22709" t="s">
        <v>3750</v>
      </c>
      <c r="G22709" t="s">
        <v>47091</v>
      </c>
      <c r="H22709" t="s">
        <v>47054</v>
      </c>
      <c r="I22709" t="s">
        <v>47111</v>
      </c>
      <c r="J22709" t="s">
        <v>47112</v>
      </c>
      <c r="K22709" t="s">
        <v>47113</v>
      </c>
      <c r="L22709">
        <v>7.61</v>
      </c>
      <c r="M22709">
        <v>27</v>
      </c>
      <c r="N22709">
        <v>0</v>
      </c>
      <c r="O22709">
        <v>27</v>
      </c>
      <c r="P22709">
        <v>0</v>
      </c>
    </row>
    <row r="22710" spans="1:16" x14ac:dyDescent="0.25">
      <c r="A22710" t="s">
        <v>45465</v>
      </c>
      <c r="B22710" t="s">
        <v>14423</v>
      </c>
      <c r="C22710" t="s">
        <v>14422</v>
      </c>
      <c r="D22710" t="str">
        <f>"6433"</f>
        <v>6433</v>
      </c>
      <c r="E22710" t="s">
        <v>7168</v>
      </c>
      <c r="F22710" t="s">
        <v>3750</v>
      </c>
      <c r="G22710" t="s">
        <v>47091</v>
      </c>
      <c r="H22710" t="s">
        <v>47054</v>
      </c>
      <c r="I22710" t="s">
        <v>47116</v>
      </c>
      <c r="J22710" t="s">
        <v>47117</v>
      </c>
      <c r="K22710" t="s">
        <v>47113</v>
      </c>
      <c r="L22710">
        <v>7.61</v>
      </c>
      <c r="M22710">
        <v>27</v>
      </c>
      <c r="N22710">
        <v>0</v>
      </c>
      <c r="O22710">
        <v>27</v>
      </c>
      <c r="P22710">
        <v>0</v>
      </c>
    </row>
    <row r="22711" spans="1:16" x14ac:dyDescent="0.25">
      <c r="A22711" t="s">
        <v>45466</v>
      </c>
      <c r="B22711" t="s">
        <v>16188</v>
      </c>
      <c r="C22711" t="s">
        <v>16189</v>
      </c>
      <c r="D22711" t="str">
        <f>"1700"</f>
        <v>1700</v>
      </c>
      <c r="E22711" t="s">
        <v>60</v>
      </c>
      <c r="F22711" t="s">
        <v>3750</v>
      </c>
      <c r="G22711" t="s">
        <v>47091</v>
      </c>
      <c r="H22711" t="s">
        <v>47054</v>
      </c>
      <c r="I22711" t="s">
        <v>47116</v>
      </c>
      <c r="J22711" t="s">
        <v>47117</v>
      </c>
      <c r="K22711" t="s">
        <v>47113</v>
      </c>
      <c r="L22711">
        <v>7.61</v>
      </c>
      <c r="M22711">
        <v>27</v>
      </c>
      <c r="N22711">
        <v>0</v>
      </c>
      <c r="O22711">
        <v>27</v>
      </c>
      <c r="P22711">
        <v>0</v>
      </c>
    </row>
    <row r="22712" spans="1:16" x14ac:dyDescent="0.25">
      <c r="A22712" t="s">
        <v>45467</v>
      </c>
      <c r="B22712" t="s">
        <v>16188</v>
      </c>
      <c r="C22712" t="s">
        <v>16189</v>
      </c>
      <c r="D22712" t="str">
        <f>"6212"</f>
        <v>6212</v>
      </c>
      <c r="E22712" t="s">
        <v>16190</v>
      </c>
      <c r="F22712" t="s">
        <v>3750</v>
      </c>
      <c r="G22712" t="s">
        <v>47091</v>
      </c>
      <c r="H22712" t="s">
        <v>47054</v>
      </c>
      <c r="I22712" t="s">
        <v>47116</v>
      </c>
      <c r="J22712" t="s">
        <v>47117</v>
      </c>
      <c r="K22712" t="s">
        <v>47113</v>
      </c>
      <c r="L22712">
        <v>7.61</v>
      </c>
      <c r="M22712">
        <v>27</v>
      </c>
      <c r="N22712">
        <v>0</v>
      </c>
      <c r="O22712">
        <v>27</v>
      </c>
      <c r="P22712">
        <v>0</v>
      </c>
    </row>
    <row r="22713" spans="1:16" x14ac:dyDescent="0.25">
      <c r="A22713" t="s">
        <v>45468</v>
      </c>
      <c r="B22713" t="s">
        <v>16191</v>
      </c>
      <c r="C22713" t="s">
        <v>16192</v>
      </c>
      <c r="D22713" t="str">
        <f>"1001"</f>
        <v>1001</v>
      </c>
      <c r="E22713" t="s">
        <v>42</v>
      </c>
      <c r="F22713" t="s">
        <v>3750</v>
      </c>
      <c r="G22713" t="s">
        <v>47091</v>
      </c>
      <c r="H22713" t="s">
        <v>47054</v>
      </c>
      <c r="I22713" t="s">
        <v>47111</v>
      </c>
      <c r="J22713" t="s">
        <v>47112</v>
      </c>
      <c r="K22713" t="s">
        <v>47113</v>
      </c>
      <c r="L22713">
        <v>7.61</v>
      </c>
      <c r="M22713">
        <v>22</v>
      </c>
      <c r="N22713">
        <v>0</v>
      </c>
      <c r="O22713">
        <v>22</v>
      </c>
      <c r="P22713">
        <v>0</v>
      </c>
    </row>
    <row r="22714" spans="1:16" x14ac:dyDescent="0.25">
      <c r="A22714" t="s">
        <v>45469</v>
      </c>
      <c r="B22714" t="s">
        <v>16191</v>
      </c>
      <c r="C22714" t="s">
        <v>16192</v>
      </c>
      <c r="D22714" t="str">
        <f>"1700"</f>
        <v>1700</v>
      </c>
      <c r="E22714" t="s">
        <v>60</v>
      </c>
      <c r="F22714" t="s">
        <v>3750</v>
      </c>
      <c r="G22714" t="s">
        <v>47091</v>
      </c>
      <c r="H22714" t="s">
        <v>47054</v>
      </c>
      <c r="I22714" t="s">
        <v>47111</v>
      </c>
      <c r="J22714" t="s">
        <v>47112</v>
      </c>
      <c r="K22714" t="s">
        <v>47113</v>
      </c>
      <c r="L22714">
        <v>7.61</v>
      </c>
      <c r="M22714">
        <v>22</v>
      </c>
      <c r="N22714">
        <v>0</v>
      </c>
      <c r="O22714">
        <v>22</v>
      </c>
      <c r="P22714">
        <v>0</v>
      </c>
    </row>
    <row r="22715" spans="1:16" x14ac:dyDescent="0.25">
      <c r="A22715" t="s">
        <v>45470</v>
      </c>
      <c r="B22715" t="s">
        <v>19378</v>
      </c>
      <c r="C22715" t="s">
        <v>19379</v>
      </c>
      <c r="D22715" t="str">
        <f>"1700"</f>
        <v>1700</v>
      </c>
      <c r="E22715" t="s">
        <v>60</v>
      </c>
      <c r="F22715" t="s">
        <v>3750</v>
      </c>
      <c r="G22715" t="s">
        <v>47091</v>
      </c>
      <c r="H22715" t="s">
        <v>47054</v>
      </c>
      <c r="I22715" t="s">
        <v>47116</v>
      </c>
      <c r="J22715" t="s">
        <v>47117</v>
      </c>
      <c r="K22715" t="s">
        <v>47113</v>
      </c>
      <c r="L22715">
        <v>8.1300000000000008</v>
      </c>
      <c r="M22715">
        <v>23</v>
      </c>
      <c r="N22715">
        <v>0</v>
      </c>
      <c r="O22715">
        <v>23</v>
      </c>
      <c r="P22715">
        <v>0</v>
      </c>
    </row>
    <row r="22716" spans="1:16" x14ac:dyDescent="0.25">
      <c r="A22716" t="s">
        <v>45471</v>
      </c>
      <c r="B22716" t="s">
        <v>19380</v>
      </c>
      <c r="C22716" t="s">
        <v>19381</v>
      </c>
      <c r="D22716" t="str">
        <f>"1700"</f>
        <v>1700</v>
      </c>
      <c r="E22716" t="s">
        <v>60</v>
      </c>
      <c r="F22716" t="s">
        <v>3750</v>
      </c>
      <c r="G22716" t="s">
        <v>47091</v>
      </c>
      <c r="H22716" t="s">
        <v>47054</v>
      </c>
      <c r="I22716" t="s">
        <v>47116</v>
      </c>
      <c r="J22716" t="s">
        <v>47117</v>
      </c>
      <c r="K22716" t="s">
        <v>47113</v>
      </c>
      <c r="L22716">
        <v>6.46</v>
      </c>
      <c r="M22716">
        <v>18</v>
      </c>
      <c r="N22716">
        <v>0</v>
      </c>
      <c r="O22716">
        <v>18</v>
      </c>
      <c r="P22716">
        <v>0</v>
      </c>
    </row>
    <row r="22717" spans="1:16" x14ac:dyDescent="0.25">
      <c r="A22717" t="s">
        <v>45472</v>
      </c>
      <c r="B22717" t="s">
        <v>19380</v>
      </c>
      <c r="C22717" t="s">
        <v>19381</v>
      </c>
      <c r="D22717" t="str">
        <f>"6202"</f>
        <v>6202</v>
      </c>
      <c r="E22717" t="s">
        <v>814</v>
      </c>
      <c r="F22717" t="s">
        <v>3750</v>
      </c>
      <c r="G22717" t="s">
        <v>47091</v>
      </c>
      <c r="H22717" t="s">
        <v>47054</v>
      </c>
      <c r="I22717" t="s">
        <v>47116</v>
      </c>
      <c r="J22717" t="s">
        <v>47117</v>
      </c>
      <c r="K22717" t="s">
        <v>47113</v>
      </c>
      <c r="L22717">
        <v>6.46</v>
      </c>
      <c r="M22717">
        <v>18</v>
      </c>
      <c r="N22717">
        <v>0</v>
      </c>
      <c r="O22717">
        <v>18</v>
      </c>
      <c r="P22717">
        <v>0</v>
      </c>
    </row>
    <row r="22718" spans="1:16" x14ac:dyDescent="0.25">
      <c r="A22718" t="s">
        <v>45473</v>
      </c>
      <c r="B22718" t="s">
        <v>19382</v>
      </c>
      <c r="C22718" t="s">
        <v>19383</v>
      </c>
      <c r="D22718" t="str">
        <f>"1001"</f>
        <v>1001</v>
      </c>
      <c r="E22718" t="s">
        <v>42</v>
      </c>
      <c r="F22718" t="s">
        <v>3750</v>
      </c>
      <c r="G22718" t="s">
        <v>47091</v>
      </c>
      <c r="H22718" t="s">
        <v>47054</v>
      </c>
      <c r="I22718" t="s">
        <v>47116</v>
      </c>
      <c r="J22718" t="s">
        <v>47117</v>
      </c>
      <c r="K22718" t="s">
        <v>47113</v>
      </c>
      <c r="L22718">
        <v>8.1300000000000008</v>
      </c>
      <c r="M22718">
        <v>23</v>
      </c>
      <c r="N22718">
        <v>0</v>
      </c>
      <c r="O22718">
        <v>23</v>
      </c>
      <c r="P22718">
        <v>0</v>
      </c>
    </row>
    <row r="22719" spans="1:16" x14ac:dyDescent="0.25">
      <c r="A22719" t="s">
        <v>45474</v>
      </c>
      <c r="B22719" t="s">
        <v>19382</v>
      </c>
      <c r="C22719" t="s">
        <v>19383</v>
      </c>
      <c r="D22719" t="str">
        <f>"1700"</f>
        <v>1700</v>
      </c>
      <c r="E22719" t="s">
        <v>60</v>
      </c>
      <c r="F22719" t="s">
        <v>3750</v>
      </c>
      <c r="G22719" t="s">
        <v>47091</v>
      </c>
      <c r="H22719" t="s">
        <v>47054</v>
      </c>
      <c r="I22719" t="s">
        <v>47116</v>
      </c>
      <c r="J22719" t="s">
        <v>47117</v>
      </c>
      <c r="K22719" t="s">
        <v>47113</v>
      </c>
      <c r="L22719">
        <v>8.1300000000000008</v>
      </c>
      <c r="M22719">
        <v>23</v>
      </c>
      <c r="N22719">
        <v>0</v>
      </c>
      <c r="O22719">
        <v>23</v>
      </c>
      <c r="P22719">
        <v>0</v>
      </c>
    </row>
    <row r="22720" spans="1:16" x14ac:dyDescent="0.25">
      <c r="A22720" t="s">
        <v>45475</v>
      </c>
      <c r="B22720" t="s">
        <v>19384</v>
      </c>
      <c r="C22720" t="s">
        <v>19385</v>
      </c>
      <c r="D22720" t="str">
        <f>"1001"</f>
        <v>1001</v>
      </c>
      <c r="E22720" t="s">
        <v>42</v>
      </c>
      <c r="F22720" t="s">
        <v>3750</v>
      </c>
      <c r="G22720" t="s">
        <v>47091</v>
      </c>
      <c r="H22720" t="s">
        <v>47054</v>
      </c>
      <c r="I22720" t="s">
        <v>47116</v>
      </c>
      <c r="J22720" t="s">
        <v>47117</v>
      </c>
      <c r="K22720" t="s">
        <v>47113</v>
      </c>
      <c r="L22720">
        <v>9.2799999999999994</v>
      </c>
      <c r="M22720">
        <v>26</v>
      </c>
      <c r="N22720">
        <v>0</v>
      </c>
      <c r="O22720">
        <v>26</v>
      </c>
      <c r="P22720">
        <v>0</v>
      </c>
    </row>
    <row r="22721" spans="1:16" x14ac:dyDescent="0.25">
      <c r="A22721" t="s">
        <v>45476</v>
      </c>
      <c r="B22721" t="s">
        <v>19384</v>
      </c>
      <c r="C22721" t="s">
        <v>19385</v>
      </c>
      <c r="D22721" t="str">
        <f>"1700"</f>
        <v>1700</v>
      </c>
      <c r="E22721" t="s">
        <v>60</v>
      </c>
      <c r="F22721" t="s">
        <v>3750</v>
      </c>
      <c r="G22721" t="s">
        <v>47091</v>
      </c>
      <c r="H22721" t="s">
        <v>47054</v>
      </c>
      <c r="I22721" t="s">
        <v>47116</v>
      </c>
      <c r="J22721" t="s">
        <v>47117</v>
      </c>
      <c r="K22721" t="s">
        <v>47113</v>
      </c>
      <c r="L22721">
        <v>9.2799999999999994</v>
      </c>
      <c r="M22721">
        <v>26</v>
      </c>
      <c r="N22721">
        <v>0</v>
      </c>
      <c r="O22721">
        <v>26</v>
      </c>
      <c r="P22721">
        <v>0</v>
      </c>
    </row>
    <row r="22722" spans="1:16" x14ac:dyDescent="0.25">
      <c r="A22722" t="s">
        <v>45477</v>
      </c>
      <c r="B22722" t="s">
        <v>19386</v>
      </c>
      <c r="C22722" t="s">
        <v>19387</v>
      </c>
      <c r="D22722" t="str">
        <f>"1001"</f>
        <v>1001</v>
      </c>
      <c r="E22722" t="s">
        <v>42</v>
      </c>
      <c r="F22722" t="s">
        <v>3750</v>
      </c>
      <c r="G22722" t="s">
        <v>47091</v>
      </c>
      <c r="H22722" t="s">
        <v>47054</v>
      </c>
      <c r="I22722" t="s">
        <v>48032</v>
      </c>
      <c r="J22722" t="s">
        <v>48033</v>
      </c>
      <c r="K22722" t="s">
        <v>47113</v>
      </c>
      <c r="L22722">
        <v>4.83</v>
      </c>
      <c r="M22722">
        <v>28</v>
      </c>
      <c r="N22722">
        <v>0</v>
      </c>
      <c r="O22722">
        <v>28</v>
      </c>
      <c r="P22722">
        <v>0</v>
      </c>
    </row>
    <row r="22723" spans="1:16" x14ac:dyDescent="0.25">
      <c r="A22723" t="s">
        <v>45478</v>
      </c>
      <c r="B22723" t="s">
        <v>19386</v>
      </c>
      <c r="C22723" t="s">
        <v>19387</v>
      </c>
      <c r="D22723" t="str">
        <f>"1700"</f>
        <v>1700</v>
      </c>
      <c r="E22723" t="s">
        <v>60</v>
      </c>
      <c r="F22723" t="s">
        <v>3750</v>
      </c>
      <c r="G22723" t="s">
        <v>47091</v>
      </c>
      <c r="H22723" t="s">
        <v>47054</v>
      </c>
      <c r="I22723" t="s">
        <v>48032</v>
      </c>
      <c r="J22723" t="s">
        <v>48033</v>
      </c>
      <c r="K22723" t="s">
        <v>47113</v>
      </c>
      <c r="L22723">
        <v>4.83</v>
      </c>
      <c r="M22723">
        <v>28</v>
      </c>
      <c r="N22723">
        <v>0</v>
      </c>
      <c r="O22723">
        <v>28</v>
      </c>
      <c r="P22723">
        <v>0</v>
      </c>
    </row>
    <row r="22724" spans="1:16" x14ac:dyDescent="0.25">
      <c r="A22724" t="s">
        <v>45479</v>
      </c>
      <c r="B22724" t="s">
        <v>19388</v>
      </c>
      <c r="C22724" t="s">
        <v>19389</v>
      </c>
      <c r="D22724" t="str">
        <f>"1001"</f>
        <v>1001</v>
      </c>
      <c r="E22724" t="s">
        <v>42</v>
      </c>
      <c r="F22724" t="s">
        <v>3750</v>
      </c>
      <c r="G22724" t="s">
        <v>47091</v>
      </c>
      <c r="H22724" t="s">
        <v>47054</v>
      </c>
      <c r="I22724" t="s">
        <v>48032</v>
      </c>
      <c r="J22724" t="s">
        <v>48033</v>
      </c>
      <c r="K22724" t="s">
        <v>47113</v>
      </c>
      <c r="L22724">
        <v>5.24</v>
      </c>
      <c r="M22724">
        <v>33</v>
      </c>
      <c r="N22724">
        <v>0</v>
      </c>
      <c r="O22724">
        <v>33</v>
      </c>
      <c r="P22724">
        <v>0</v>
      </c>
    </row>
    <row r="22725" spans="1:16" x14ac:dyDescent="0.25">
      <c r="A22725" t="s">
        <v>45480</v>
      </c>
      <c r="B22725" t="s">
        <v>19388</v>
      </c>
      <c r="C22725" t="s">
        <v>19389</v>
      </c>
      <c r="D22725" t="str">
        <f>"6084"</f>
        <v>6084</v>
      </c>
      <c r="E22725" t="s">
        <v>19390</v>
      </c>
      <c r="F22725" t="s">
        <v>3750</v>
      </c>
      <c r="G22725" t="s">
        <v>47091</v>
      </c>
      <c r="H22725" t="s">
        <v>47054</v>
      </c>
      <c r="I22725" t="s">
        <v>48032</v>
      </c>
      <c r="J22725" t="s">
        <v>48033</v>
      </c>
      <c r="K22725" t="s">
        <v>47113</v>
      </c>
      <c r="L22725">
        <v>5.24</v>
      </c>
      <c r="M22725">
        <v>27</v>
      </c>
      <c r="N22725">
        <v>0</v>
      </c>
      <c r="O22725">
        <v>27</v>
      </c>
      <c r="P22725">
        <v>0</v>
      </c>
    </row>
    <row r="22726" spans="1:16" x14ac:dyDescent="0.25">
      <c r="A22726" t="s">
        <v>45481</v>
      </c>
      <c r="B22726" t="s">
        <v>14421</v>
      </c>
      <c r="C22726" t="s">
        <v>14420</v>
      </c>
      <c r="D22726" t="str">
        <f>"1001"</f>
        <v>1001</v>
      </c>
      <c r="E22726" t="s">
        <v>42</v>
      </c>
      <c r="F22726" t="s">
        <v>3750</v>
      </c>
      <c r="G22726" t="s">
        <v>47091</v>
      </c>
      <c r="H22726" t="s">
        <v>47054</v>
      </c>
      <c r="I22726" t="s">
        <v>47116</v>
      </c>
      <c r="J22726" t="s">
        <v>47117</v>
      </c>
      <c r="K22726" t="s">
        <v>47113</v>
      </c>
      <c r="L22726">
        <v>7.92</v>
      </c>
      <c r="M22726">
        <v>27</v>
      </c>
      <c r="N22726">
        <v>0</v>
      </c>
      <c r="O22726">
        <v>27</v>
      </c>
      <c r="P22726">
        <v>0</v>
      </c>
    </row>
    <row r="22727" spans="1:16" x14ac:dyDescent="0.25">
      <c r="A22727" t="s">
        <v>45482</v>
      </c>
      <c r="B22727" t="s">
        <v>14421</v>
      </c>
      <c r="C22727" t="s">
        <v>14420</v>
      </c>
      <c r="D22727" t="str">
        <f>"4143"</f>
        <v>4143</v>
      </c>
      <c r="E22727" t="s">
        <v>261</v>
      </c>
      <c r="F22727" t="s">
        <v>3750</v>
      </c>
      <c r="G22727" t="s">
        <v>47091</v>
      </c>
      <c r="H22727" t="s">
        <v>47054</v>
      </c>
      <c r="I22727" t="s">
        <v>47116</v>
      </c>
      <c r="J22727" t="s">
        <v>47117</v>
      </c>
      <c r="K22727" t="s">
        <v>47113</v>
      </c>
      <c r="L22727">
        <v>7.92</v>
      </c>
      <c r="M22727">
        <v>27</v>
      </c>
      <c r="N22727">
        <v>0</v>
      </c>
      <c r="O22727">
        <v>27</v>
      </c>
      <c r="P22727">
        <v>0</v>
      </c>
    </row>
    <row r="22728" spans="1:16" x14ac:dyDescent="0.25">
      <c r="A22728" t="s">
        <v>45483</v>
      </c>
      <c r="B22728" t="s">
        <v>19391</v>
      </c>
      <c r="C22728" t="s">
        <v>19392</v>
      </c>
      <c r="D22728" t="str">
        <f>"1700"</f>
        <v>1700</v>
      </c>
      <c r="E22728" t="s">
        <v>60</v>
      </c>
      <c r="F22728" t="s">
        <v>3750</v>
      </c>
      <c r="G22728" t="s">
        <v>47091</v>
      </c>
      <c r="H22728" t="s">
        <v>47054</v>
      </c>
      <c r="I22728" t="s">
        <v>47116</v>
      </c>
      <c r="J22728" t="s">
        <v>47117</v>
      </c>
      <c r="K22728" t="s">
        <v>47113</v>
      </c>
      <c r="L22728">
        <v>7.97</v>
      </c>
      <c r="M22728">
        <v>24</v>
      </c>
      <c r="N22728">
        <v>0</v>
      </c>
      <c r="O22728">
        <v>24</v>
      </c>
      <c r="P22728">
        <v>0</v>
      </c>
    </row>
    <row r="22729" spans="1:16" x14ac:dyDescent="0.25">
      <c r="A22729" t="s">
        <v>45484</v>
      </c>
      <c r="B22729" t="s">
        <v>19391</v>
      </c>
      <c r="C22729" t="s">
        <v>19392</v>
      </c>
      <c r="D22729" t="str">
        <f>"6000"</f>
        <v>6000</v>
      </c>
      <c r="E22729" t="s">
        <v>19313</v>
      </c>
      <c r="F22729" t="s">
        <v>3750</v>
      </c>
      <c r="G22729" t="s">
        <v>47091</v>
      </c>
      <c r="H22729" t="s">
        <v>47054</v>
      </c>
      <c r="I22729" t="s">
        <v>47116</v>
      </c>
      <c r="J22729" t="s">
        <v>47117</v>
      </c>
      <c r="K22729" t="s">
        <v>47113</v>
      </c>
      <c r="L22729">
        <v>7.97</v>
      </c>
      <c r="M22729">
        <v>24</v>
      </c>
      <c r="N22729">
        <v>0</v>
      </c>
      <c r="O22729">
        <v>24</v>
      </c>
      <c r="P22729">
        <v>0</v>
      </c>
    </row>
    <row r="22730" spans="1:16" x14ac:dyDescent="0.25">
      <c r="A22730" t="s">
        <v>45485</v>
      </c>
      <c r="B22730" t="s">
        <v>19393</v>
      </c>
      <c r="C22730" t="s">
        <v>19394</v>
      </c>
      <c r="D22730" t="str">
        <f>"1001"</f>
        <v>1001</v>
      </c>
      <c r="E22730" t="s">
        <v>42</v>
      </c>
      <c r="F22730" t="s">
        <v>3750</v>
      </c>
      <c r="G22730" t="s">
        <v>47091</v>
      </c>
      <c r="H22730" t="s">
        <v>47054</v>
      </c>
      <c r="I22730" t="s">
        <v>47116</v>
      </c>
      <c r="J22730" t="s">
        <v>47117</v>
      </c>
      <c r="K22730" t="s">
        <v>47113</v>
      </c>
      <c r="L22730">
        <v>7.45</v>
      </c>
      <c r="M22730">
        <v>22</v>
      </c>
      <c r="N22730">
        <v>0</v>
      </c>
      <c r="O22730">
        <v>22</v>
      </c>
      <c r="P22730">
        <v>0</v>
      </c>
    </row>
    <row r="22731" spans="1:16" x14ac:dyDescent="0.25">
      <c r="A22731" t="s">
        <v>45486</v>
      </c>
      <c r="B22731" t="s">
        <v>19393</v>
      </c>
      <c r="C22731" t="s">
        <v>19394</v>
      </c>
      <c r="D22731" t="str">
        <f>"1700"</f>
        <v>1700</v>
      </c>
      <c r="E22731" t="s">
        <v>60</v>
      </c>
      <c r="F22731" t="s">
        <v>3750</v>
      </c>
      <c r="G22731" t="s">
        <v>47091</v>
      </c>
      <c r="H22731" t="s">
        <v>47054</v>
      </c>
      <c r="I22731" t="s">
        <v>47116</v>
      </c>
      <c r="J22731" t="s">
        <v>47117</v>
      </c>
      <c r="K22731" t="s">
        <v>47113</v>
      </c>
      <c r="L22731">
        <v>7.45</v>
      </c>
      <c r="M22731">
        <v>22</v>
      </c>
      <c r="N22731">
        <v>0</v>
      </c>
      <c r="O22731">
        <v>22</v>
      </c>
      <c r="P22731">
        <v>0</v>
      </c>
    </row>
    <row r="22732" spans="1:16" x14ac:dyDescent="0.25">
      <c r="A22732" t="s">
        <v>45487</v>
      </c>
      <c r="B22732" t="s">
        <v>19395</v>
      </c>
      <c r="C22732" t="s">
        <v>19396</v>
      </c>
      <c r="D22732" t="str">
        <f>"1700"</f>
        <v>1700</v>
      </c>
      <c r="E22732" t="s">
        <v>60</v>
      </c>
      <c r="F22732" t="s">
        <v>3750</v>
      </c>
      <c r="G22732" t="s">
        <v>47091</v>
      </c>
      <c r="H22732" t="s">
        <v>47054</v>
      </c>
      <c r="I22732" t="s">
        <v>47116</v>
      </c>
      <c r="J22732" t="s">
        <v>47117</v>
      </c>
      <c r="K22732" t="s">
        <v>47113</v>
      </c>
      <c r="L22732">
        <v>8.1300000000000008</v>
      </c>
      <c r="M22732">
        <v>23</v>
      </c>
      <c r="N22732">
        <v>0</v>
      </c>
      <c r="O22732">
        <v>23</v>
      </c>
      <c r="P22732">
        <v>0</v>
      </c>
    </row>
    <row r="22733" spans="1:16" x14ac:dyDescent="0.25">
      <c r="A22733" t="s">
        <v>45488</v>
      </c>
      <c r="B22733" t="s">
        <v>19397</v>
      </c>
      <c r="C22733" t="s">
        <v>19398</v>
      </c>
      <c r="D22733" t="str">
        <f>"1001"</f>
        <v>1001</v>
      </c>
      <c r="E22733" t="s">
        <v>42</v>
      </c>
      <c r="F22733" t="s">
        <v>3750</v>
      </c>
      <c r="G22733" t="s">
        <v>47091</v>
      </c>
      <c r="H22733" t="s">
        <v>47054</v>
      </c>
      <c r="I22733" t="s">
        <v>47120</v>
      </c>
      <c r="J22733" t="s">
        <v>47121</v>
      </c>
      <c r="K22733" t="s">
        <v>47113</v>
      </c>
      <c r="L22733">
        <v>5.53</v>
      </c>
      <c r="M22733">
        <v>27</v>
      </c>
      <c r="N22733">
        <v>0</v>
      </c>
      <c r="O22733">
        <v>27</v>
      </c>
      <c r="P22733">
        <v>0</v>
      </c>
    </row>
    <row r="22734" spans="1:16" x14ac:dyDescent="0.25">
      <c r="A22734" t="s">
        <v>45489</v>
      </c>
      <c r="B22734" t="s">
        <v>19397</v>
      </c>
      <c r="C22734" t="s">
        <v>19398</v>
      </c>
      <c r="D22734" t="str">
        <f>"1700"</f>
        <v>1700</v>
      </c>
      <c r="E22734" t="s">
        <v>60</v>
      </c>
      <c r="F22734" t="s">
        <v>3750</v>
      </c>
      <c r="G22734" t="s">
        <v>47091</v>
      </c>
      <c r="H22734" t="s">
        <v>47054</v>
      </c>
      <c r="I22734" t="s">
        <v>47120</v>
      </c>
      <c r="J22734" t="s">
        <v>47121</v>
      </c>
      <c r="K22734" t="s">
        <v>47113</v>
      </c>
      <c r="L22734">
        <v>5.53</v>
      </c>
      <c r="M22734">
        <v>27</v>
      </c>
      <c r="N22734">
        <v>0</v>
      </c>
      <c r="O22734">
        <v>27</v>
      </c>
      <c r="P22734">
        <v>0</v>
      </c>
    </row>
    <row r="22735" spans="1:16" x14ac:dyDescent="0.25">
      <c r="A22735" t="s">
        <v>1332</v>
      </c>
      <c r="B22735" t="s">
        <v>1333</v>
      </c>
      <c r="C22735" t="s">
        <v>1334</v>
      </c>
      <c r="D22735" t="str">
        <f>"1942"</f>
        <v>1942</v>
      </c>
      <c r="E22735" t="s">
        <v>1335</v>
      </c>
      <c r="F22735" t="s">
        <v>3</v>
      </c>
      <c r="G22735" t="s">
        <v>47092</v>
      </c>
      <c r="H22735" t="s">
        <v>47054</v>
      </c>
      <c r="I22735" t="s">
        <v>47111</v>
      </c>
      <c r="J22735" t="s">
        <v>47112</v>
      </c>
      <c r="K22735" t="s">
        <v>47113</v>
      </c>
      <c r="L22735">
        <v>13.61</v>
      </c>
      <c r="M22735">
        <v>35</v>
      </c>
      <c r="N22735">
        <v>0</v>
      </c>
      <c r="O22735">
        <v>35</v>
      </c>
      <c r="P22735">
        <v>0</v>
      </c>
    </row>
    <row r="22736" spans="1:16" x14ac:dyDescent="0.25">
      <c r="A22736" t="s">
        <v>1336</v>
      </c>
      <c r="B22736" t="s">
        <v>1333</v>
      </c>
      <c r="C22736" t="s">
        <v>1334</v>
      </c>
      <c r="D22736" t="str">
        <f>"6321"</f>
        <v>6321</v>
      </c>
      <c r="E22736" t="s">
        <v>1337</v>
      </c>
      <c r="F22736" t="s">
        <v>3</v>
      </c>
      <c r="G22736" t="s">
        <v>47092</v>
      </c>
      <c r="H22736" t="s">
        <v>47054</v>
      </c>
      <c r="I22736" t="s">
        <v>47111</v>
      </c>
      <c r="J22736" t="s">
        <v>47112</v>
      </c>
      <c r="K22736" t="s">
        <v>47113</v>
      </c>
      <c r="L22736">
        <v>13.46</v>
      </c>
      <c r="M22736">
        <v>35</v>
      </c>
      <c r="N22736">
        <v>0</v>
      </c>
      <c r="O22736">
        <v>35</v>
      </c>
      <c r="P22736">
        <v>0</v>
      </c>
    </row>
    <row r="22737" spans="1:16" x14ac:dyDescent="0.25">
      <c r="A22737" t="s">
        <v>45490</v>
      </c>
      <c r="B22737" t="s">
        <v>13490</v>
      </c>
      <c r="C22737" t="s">
        <v>13491</v>
      </c>
      <c r="D22737" t="str">
        <f>"1035"</f>
        <v>1035</v>
      </c>
      <c r="E22737" t="s">
        <v>758</v>
      </c>
      <c r="F22737" t="s">
        <v>3558</v>
      </c>
      <c r="G22737" t="s">
        <v>47099</v>
      </c>
      <c r="H22737" t="s">
        <v>47054</v>
      </c>
      <c r="I22737" t="s">
        <v>47111</v>
      </c>
      <c r="J22737" t="s">
        <v>47112</v>
      </c>
      <c r="K22737" t="s">
        <v>47113</v>
      </c>
      <c r="L22737">
        <v>46.84</v>
      </c>
      <c r="M22737">
        <v>92</v>
      </c>
      <c r="N22737">
        <v>0</v>
      </c>
      <c r="O22737">
        <v>92</v>
      </c>
      <c r="P22737">
        <v>0</v>
      </c>
    </row>
    <row r="22738" spans="1:16" x14ac:dyDescent="0.25">
      <c r="A22738" t="s">
        <v>45491</v>
      </c>
      <c r="B22738" t="s">
        <v>13490</v>
      </c>
      <c r="C22738" t="s">
        <v>13491</v>
      </c>
      <c r="D22738" t="str">
        <f>"3004"</f>
        <v>3004</v>
      </c>
      <c r="E22738" t="s">
        <v>13492</v>
      </c>
      <c r="F22738" t="s">
        <v>3558</v>
      </c>
      <c r="G22738" t="s">
        <v>47099</v>
      </c>
      <c r="H22738" t="s">
        <v>47054</v>
      </c>
      <c r="I22738" t="s">
        <v>47111</v>
      </c>
      <c r="J22738" t="s">
        <v>47112</v>
      </c>
      <c r="K22738" t="s">
        <v>47113</v>
      </c>
      <c r="L22738">
        <v>56.81</v>
      </c>
      <c r="M22738">
        <v>92</v>
      </c>
      <c r="N22738">
        <v>0</v>
      </c>
      <c r="O22738">
        <v>92</v>
      </c>
      <c r="P22738">
        <v>0</v>
      </c>
    </row>
    <row r="22739" spans="1:16" x14ac:dyDescent="0.25">
      <c r="A22739" t="s">
        <v>45492</v>
      </c>
      <c r="B22739" t="s">
        <v>13490</v>
      </c>
      <c r="C22739" t="s">
        <v>13491</v>
      </c>
      <c r="D22739" t="str">
        <f>"6497"</f>
        <v>6497</v>
      </c>
      <c r="E22739" t="s">
        <v>13493</v>
      </c>
      <c r="F22739" t="s">
        <v>3558</v>
      </c>
      <c r="G22739" t="s">
        <v>47099</v>
      </c>
      <c r="H22739" t="s">
        <v>47054</v>
      </c>
      <c r="I22739" t="s">
        <v>47111</v>
      </c>
      <c r="J22739" t="s">
        <v>47112</v>
      </c>
      <c r="K22739" t="s">
        <v>47113</v>
      </c>
      <c r="L22739">
        <v>56.81</v>
      </c>
      <c r="M22739">
        <v>92</v>
      </c>
      <c r="N22739">
        <v>0</v>
      </c>
      <c r="O22739">
        <v>92</v>
      </c>
      <c r="P22739">
        <v>0</v>
      </c>
    </row>
    <row r="22740" spans="1:16" x14ac:dyDescent="0.25">
      <c r="A22740" t="s">
        <v>45493</v>
      </c>
      <c r="B22740" t="s">
        <v>13490</v>
      </c>
      <c r="C22740" t="s">
        <v>13491</v>
      </c>
      <c r="D22740" t="str">
        <f>"6883"</f>
        <v>6883</v>
      </c>
      <c r="E22740" t="s">
        <v>13494</v>
      </c>
      <c r="F22740" t="s">
        <v>3558</v>
      </c>
      <c r="G22740" t="s">
        <v>47099</v>
      </c>
      <c r="H22740" t="s">
        <v>47054</v>
      </c>
      <c r="I22740" t="s">
        <v>47111</v>
      </c>
      <c r="J22740" t="s">
        <v>47112</v>
      </c>
      <c r="K22740" t="s">
        <v>47113</v>
      </c>
      <c r="L22740">
        <v>56.81</v>
      </c>
      <c r="M22740">
        <v>92</v>
      </c>
      <c r="N22740">
        <v>0</v>
      </c>
      <c r="O22740">
        <v>92</v>
      </c>
      <c r="P22740">
        <v>0</v>
      </c>
    </row>
    <row r="22741" spans="1:16" x14ac:dyDescent="0.25">
      <c r="A22741" t="s">
        <v>45494</v>
      </c>
      <c r="B22741" t="s">
        <v>13495</v>
      </c>
      <c r="C22741" t="s">
        <v>13006</v>
      </c>
      <c r="D22741" t="str">
        <f>"1035"</f>
        <v>1035</v>
      </c>
      <c r="E22741" t="s">
        <v>758</v>
      </c>
      <c r="F22741" t="s">
        <v>3558</v>
      </c>
      <c r="G22741" t="s">
        <v>49029</v>
      </c>
      <c r="H22741" t="s">
        <v>47054</v>
      </c>
      <c r="I22741" t="s">
        <v>47111</v>
      </c>
      <c r="J22741" t="s">
        <v>47112</v>
      </c>
      <c r="K22741" t="s">
        <v>47113</v>
      </c>
      <c r="L22741">
        <v>34.35</v>
      </c>
      <c r="M22741">
        <v>63</v>
      </c>
      <c r="N22741">
        <v>0</v>
      </c>
      <c r="O22741">
        <v>63</v>
      </c>
      <c r="P22741">
        <v>0</v>
      </c>
    </row>
    <row r="22742" spans="1:16" x14ac:dyDescent="0.25">
      <c r="A22742" t="s">
        <v>45495</v>
      </c>
      <c r="B22742" t="s">
        <v>13495</v>
      </c>
      <c r="C22742" t="s">
        <v>13006</v>
      </c>
      <c r="D22742" t="str">
        <f>"3004"</f>
        <v>3004</v>
      </c>
      <c r="E22742" t="s">
        <v>13492</v>
      </c>
      <c r="F22742" t="s">
        <v>3558</v>
      </c>
      <c r="G22742" t="s">
        <v>49029</v>
      </c>
      <c r="H22742" t="s">
        <v>47054</v>
      </c>
      <c r="I22742" t="s">
        <v>47111</v>
      </c>
      <c r="J22742" t="s">
        <v>47112</v>
      </c>
      <c r="K22742" t="s">
        <v>47113</v>
      </c>
      <c r="L22742">
        <v>44.33</v>
      </c>
      <c r="M22742">
        <v>63</v>
      </c>
      <c r="N22742">
        <v>0</v>
      </c>
      <c r="O22742">
        <v>63</v>
      </c>
      <c r="P22742">
        <v>0</v>
      </c>
    </row>
    <row r="22743" spans="1:16" x14ac:dyDescent="0.25">
      <c r="A22743" t="s">
        <v>45496</v>
      </c>
      <c r="B22743" t="s">
        <v>13495</v>
      </c>
      <c r="C22743" t="s">
        <v>13006</v>
      </c>
      <c r="D22743" t="str">
        <f>"6497"</f>
        <v>6497</v>
      </c>
      <c r="E22743" t="s">
        <v>13493</v>
      </c>
      <c r="F22743" t="s">
        <v>3558</v>
      </c>
      <c r="G22743" t="s">
        <v>49029</v>
      </c>
      <c r="H22743" t="s">
        <v>47054</v>
      </c>
      <c r="I22743" t="s">
        <v>47111</v>
      </c>
      <c r="J22743" t="s">
        <v>47112</v>
      </c>
      <c r="K22743" t="s">
        <v>47113</v>
      </c>
      <c r="L22743">
        <v>44.33</v>
      </c>
      <c r="M22743">
        <v>63</v>
      </c>
      <c r="N22743">
        <v>0</v>
      </c>
      <c r="O22743">
        <v>63</v>
      </c>
      <c r="P22743">
        <v>0</v>
      </c>
    </row>
    <row r="22744" spans="1:16" x14ac:dyDescent="0.25">
      <c r="A22744" t="s">
        <v>45497</v>
      </c>
      <c r="B22744" t="s">
        <v>13495</v>
      </c>
      <c r="C22744" t="s">
        <v>13006</v>
      </c>
      <c r="D22744" t="str">
        <f>"6883"</f>
        <v>6883</v>
      </c>
      <c r="E22744" t="s">
        <v>13494</v>
      </c>
      <c r="F22744" t="s">
        <v>3558</v>
      </c>
      <c r="G22744" t="s">
        <v>49029</v>
      </c>
      <c r="H22744" t="s">
        <v>47054</v>
      </c>
      <c r="I22744" t="s">
        <v>47111</v>
      </c>
      <c r="J22744" t="s">
        <v>47112</v>
      </c>
      <c r="K22744" t="s">
        <v>47113</v>
      </c>
      <c r="L22744">
        <v>44.33</v>
      </c>
      <c r="M22744">
        <v>63</v>
      </c>
      <c r="N22744">
        <v>0</v>
      </c>
      <c r="O22744">
        <v>63</v>
      </c>
      <c r="P22744">
        <v>0</v>
      </c>
    </row>
    <row r="22745" spans="1:16" x14ac:dyDescent="0.25">
      <c r="A22745" t="s">
        <v>45498</v>
      </c>
      <c r="B22745" t="s">
        <v>13496</v>
      </c>
      <c r="C22745" t="s">
        <v>13468</v>
      </c>
      <c r="D22745" t="str">
        <f>"1035"</f>
        <v>1035</v>
      </c>
      <c r="E22745" t="s">
        <v>758</v>
      </c>
      <c r="F22745" t="s">
        <v>3558</v>
      </c>
      <c r="G22745" t="s">
        <v>47099</v>
      </c>
      <c r="H22745" t="s">
        <v>47054</v>
      </c>
      <c r="I22745" t="s">
        <v>47111</v>
      </c>
      <c r="J22745" t="s">
        <v>47112</v>
      </c>
      <c r="K22745" t="s">
        <v>47113</v>
      </c>
      <c r="L22745">
        <v>36.090000000000003</v>
      </c>
      <c r="M22745">
        <v>63</v>
      </c>
      <c r="N22745">
        <v>0</v>
      </c>
      <c r="O22745">
        <v>63</v>
      </c>
      <c r="P22745">
        <v>0</v>
      </c>
    </row>
    <row r="22746" spans="1:16" x14ac:dyDescent="0.25">
      <c r="A22746" t="s">
        <v>45499</v>
      </c>
      <c r="B22746" t="s">
        <v>13496</v>
      </c>
      <c r="C22746" t="s">
        <v>13468</v>
      </c>
      <c r="D22746" t="str">
        <f>"3004"</f>
        <v>3004</v>
      </c>
      <c r="E22746" t="s">
        <v>13492</v>
      </c>
      <c r="F22746" t="s">
        <v>3558</v>
      </c>
      <c r="G22746" t="s">
        <v>47099</v>
      </c>
      <c r="H22746" t="s">
        <v>47054</v>
      </c>
      <c r="I22746" t="s">
        <v>47111</v>
      </c>
      <c r="J22746" t="s">
        <v>47112</v>
      </c>
      <c r="K22746" t="s">
        <v>47113</v>
      </c>
      <c r="L22746">
        <v>46.06</v>
      </c>
      <c r="M22746">
        <v>63</v>
      </c>
      <c r="N22746">
        <v>0</v>
      </c>
      <c r="O22746">
        <v>63</v>
      </c>
      <c r="P22746">
        <v>0</v>
      </c>
    </row>
    <row r="22747" spans="1:16" x14ac:dyDescent="0.25">
      <c r="A22747" t="s">
        <v>45500</v>
      </c>
      <c r="B22747" t="s">
        <v>13496</v>
      </c>
      <c r="C22747" t="s">
        <v>13468</v>
      </c>
      <c r="D22747" t="str">
        <f>"6497"</f>
        <v>6497</v>
      </c>
      <c r="E22747" t="s">
        <v>13493</v>
      </c>
      <c r="F22747" t="s">
        <v>3558</v>
      </c>
      <c r="G22747" t="s">
        <v>47099</v>
      </c>
      <c r="H22747" t="s">
        <v>47054</v>
      </c>
      <c r="I22747" t="s">
        <v>47111</v>
      </c>
      <c r="J22747" t="s">
        <v>47112</v>
      </c>
      <c r="K22747" t="s">
        <v>47113</v>
      </c>
      <c r="L22747">
        <v>46.06</v>
      </c>
      <c r="M22747">
        <v>63</v>
      </c>
      <c r="N22747">
        <v>0</v>
      </c>
      <c r="O22747">
        <v>63</v>
      </c>
      <c r="P22747">
        <v>0</v>
      </c>
    </row>
    <row r="22748" spans="1:16" x14ac:dyDescent="0.25">
      <c r="A22748" t="s">
        <v>45501</v>
      </c>
      <c r="B22748" t="s">
        <v>13496</v>
      </c>
      <c r="C22748" t="s">
        <v>13468</v>
      </c>
      <c r="D22748" t="str">
        <f>"6883"</f>
        <v>6883</v>
      </c>
      <c r="E22748" t="s">
        <v>13494</v>
      </c>
      <c r="F22748" t="s">
        <v>3558</v>
      </c>
      <c r="G22748" t="s">
        <v>47099</v>
      </c>
      <c r="H22748" t="s">
        <v>47054</v>
      </c>
      <c r="I22748" t="s">
        <v>47111</v>
      </c>
      <c r="J22748" t="s">
        <v>47112</v>
      </c>
      <c r="K22748" t="s">
        <v>47113</v>
      </c>
      <c r="L22748">
        <v>46.06</v>
      </c>
      <c r="M22748">
        <v>63</v>
      </c>
      <c r="N22748">
        <v>0</v>
      </c>
      <c r="O22748">
        <v>63</v>
      </c>
      <c r="P22748">
        <v>0</v>
      </c>
    </row>
    <row r="22749" spans="1:16" x14ac:dyDescent="0.25">
      <c r="A22749" t="s">
        <v>45502</v>
      </c>
      <c r="B22749" t="s">
        <v>14379</v>
      </c>
      <c r="C22749" t="s">
        <v>19399</v>
      </c>
      <c r="D22749" t="str">
        <f>"2550"</f>
        <v>2550</v>
      </c>
      <c r="E22749" t="s">
        <v>14380</v>
      </c>
      <c r="F22749" t="s">
        <v>3558</v>
      </c>
      <c r="G22749" t="s">
        <v>47099</v>
      </c>
      <c r="H22749" t="s">
        <v>47054</v>
      </c>
      <c r="I22749" t="s">
        <v>47111</v>
      </c>
      <c r="J22749" t="s">
        <v>47112</v>
      </c>
      <c r="K22749" t="s">
        <v>47113</v>
      </c>
      <c r="L22749">
        <v>45.58</v>
      </c>
      <c r="M22749">
        <v>70</v>
      </c>
      <c r="N22749">
        <v>0</v>
      </c>
      <c r="O22749">
        <v>70</v>
      </c>
      <c r="P22749">
        <v>0</v>
      </c>
    </row>
    <row r="22750" spans="1:16" x14ac:dyDescent="0.25">
      <c r="A22750" t="s">
        <v>45503</v>
      </c>
      <c r="B22750" t="s">
        <v>14379</v>
      </c>
      <c r="C22750" t="s">
        <v>19399</v>
      </c>
      <c r="D22750" t="str">
        <f>"4159"</f>
        <v>4159</v>
      </c>
      <c r="E22750" t="s">
        <v>14381</v>
      </c>
      <c r="F22750" t="s">
        <v>3558</v>
      </c>
      <c r="G22750" t="s">
        <v>47099</v>
      </c>
      <c r="H22750" t="s">
        <v>47054</v>
      </c>
      <c r="I22750" t="s">
        <v>47111</v>
      </c>
      <c r="J22750" t="s">
        <v>47112</v>
      </c>
      <c r="K22750" t="s">
        <v>47113</v>
      </c>
      <c r="L22750">
        <v>45.58</v>
      </c>
      <c r="M22750">
        <v>70</v>
      </c>
      <c r="N22750">
        <v>0</v>
      </c>
      <c r="O22750">
        <v>70</v>
      </c>
      <c r="P22750">
        <v>0</v>
      </c>
    </row>
    <row r="22751" spans="1:16" x14ac:dyDescent="0.25">
      <c r="A22751" t="s">
        <v>45504</v>
      </c>
      <c r="B22751" t="s">
        <v>14379</v>
      </c>
      <c r="C22751" t="s">
        <v>19399</v>
      </c>
      <c r="D22751" t="str">
        <f>"6497"</f>
        <v>6497</v>
      </c>
      <c r="E22751" t="s">
        <v>14382</v>
      </c>
      <c r="F22751" t="s">
        <v>3558</v>
      </c>
      <c r="G22751" t="s">
        <v>47099</v>
      </c>
      <c r="H22751" t="s">
        <v>47054</v>
      </c>
      <c r="I22751" t="s">
        <v>47111</v>
      </c>
      <c r="J22751" t="s">
        <v>47112</v>
      </c>
      <c r="K22751" t="s">
        <v>47113</v>
      </c>
      <c r="L22751">
        <v>45.58</v>
      </c>
      <c r="M22751">
        <v>70</v>
      </c>
      <c r="N22751">
        <v>0</v>
      </c>
      <c r="O22751">
        <v>70</v>
      </c>
      <c r="P22751">
        <v>0</v>
      </c>
    </row>
    <row r="22752" spans="1:16" x14ac:dyDescent="0.25">
      <c r="A22752" t="s">
        <v>45505</v>
      </c>
      <c r="B22752" t="s">
        <v>13497</v>
      </c>
      <c r="C22752" t="s">
        <v>13498</v>
      </c>
      <c r="D22752" t="str">
        <f>"40"</f>
        <v>40</v>
      </c>
      <c r="E22752" t="s">
        <v>31</v>
      </c>
      <c r="F22752" t="s">
        <v>687</v>
      </c>
      <c r="G22752" t="s">
        <v>47093</v>
      </c>
      <c r="H22752" t="s">
        <v>47054</v>
      </c>
      <c r="I22752" t="s">
        <v>47111</v>
      </c>
      <c r="J22752" t="s">
        <v>47112</v>
      </c>
      <c r="K22752" t="s">
        <v>47113</v>
      </c>
      <c r="L22752">
        <v>50.35</v>
      </c>
      <c r="M22752">
        <v>128</v>
      </c>
      <c r="N22752">
        <v>0</v>
      </c>
      <c r="O22752">
        <v>128</v>
      </c>
      <c r="P22752">
        <v>0</v>
      </c>
    </row>
    <row r="22753" spans="1:16" x14ac:dyDescent="0.25">
      <c r="A22753" t="s">
        <v>45506</v>
      </c>
      <c r="B22753" t="s">
        <v>13499</v>
      </c>
      <c r="C22753" t="s">
        <v>13500</v>
      </c>
      <c r="D22753" t="str">
        <f>"11"</f>
        <v>11</v>
      </c>
      <c r="E22753" t="s">
        <v>288</v>
      </c>
      <c r="F22753" t="s">
        <v>1401</v>
      </c>
      <c r="G22753" t="s">
        <v>47093</v>
      </c>
      <c r="H22753" t="s">
        <v>47054</v>
      </c>
      <c r="I22753" t="s">
        <v>47111</v>
      </c>
      <c r="J22753" t="s">
        <v>47112</v>
      </c>
      <c r="K22753" t="s">
        <v>47113</v>
      </c>
      <c r="L22753">
        <v>32.54</v>
      </c>
      <c r="M22753">
        <v>91</v>
      </c>
      <c r="N22753">
        <v>0</v>
      </c>
      <c r="O22753">
        <v>91</v>
      </c>
      <c r="P22753">
        <v>0</v>
      </c>
    </row>
    <row r="22754" spans="1:16" x14ac:dyDescent="0.25">
      <c r="A22754" t="s">
        <v>45507</v>
      </c>
      <c r="B22754" t="s">
        <v>13499</v>
      </c>
      <c r="C22754" t="s">
        <v>13500</v>
      </c>
      <c r="D22754" t="s">
        <v>739</v>
      </c>
      <c r="E22754" t="s">
        <v>740</v>
      </c>
      <c r="F22754" t="s">
        <v>52</v>
      </c>
      <c r="G22754" t="s">
        <v>47093</v>
      </c>
      <c r="H22754" t="s">
        <v>47054</v>
      </c>
      <c r="I22754" t="s">
        <v>47111</v>
      </c>
      <c r="J22754" t="s">
        <v>47112</v>
      </c>
      <c r="K22754" t="s">
        <v>47113</v>
      </c>
      <c r="L22754">
        <v>35.020000000000003</v>
      </c>
      <c r="M22754">
        <v>86</v>
      </c>
      <c r="N22754">
        <v>0</v>
      </c>
      <c r="O22754">
        <v>86</v>
      </c>
      <c r="P22754">
        <v>0</v>
      </c>
    </row>
    <row r="22755" spans="1:16" x14ac:dyDescent="0.25">
      <c r="A22755" t="s">
        <v>45508</v>
      </c>
      <c r="B22755" t="s">
        <v>13501</v>
      </c>
      <c r="C22755" t="s">
        <v>13502</v>
      </c>
      <c r="D22755" t="str">
        <f>"40"</f>
        <v>40</v>
      </c>
      <c r="E22755" t="s">
        <v>31</v>
      </c>
      <c r="F22755" t="s">
        <v>8</v>
      </c>
      <c r="G22755" t="s">
        <v>47093</v>
      </c>
      <c r="H22755" t="s">
        <v>47054</v>
      </c>
      <c r="I22755" t="s">
        <v>47111</v>
      </c>
      <c r="J22755" t="s">
        <v>47112</v>
      </c>
      <c r="K22755" t="s">
        <v>47113</v>
      </c>
      <c r="L22755">
        <v>55.22</v>
      </c>
      <c r="M22755">
        <v>146</v>
      </c>
      <c r="N22755">
        <v>0</v>
      </c>
      <c r="O22755">
        <v>146</v>
      </c>
      <c r="P22755">
        <v>0</v>
      </c>
    </row>
    <row r="22756" spans="1:16" x14ac:dyDescent="0.25">
      <c r="A22756" t="s">
        <v>45509</v>
      </c>
      <c r="B22756" t="s">
        <v>13503</v>
      </c>
      <c r="C22756" t="s">
        <v>13504</v>
      </c>
      <c r="D22756" t="s">
        <v>721</v>
      </c>
      <c r="E22756" t="s">
        <v>722</v>
      </c>
      <c r="F22756" t="s">
        <v>52</v>
      </c>
      <c r="G22756" t="s">
        <v>47093</v>
      </c>
      <c r="H22756" t="s">
        <v>47054</v>
      </c>
      <c r="I22756" t="s">
        <v>47114</v>
      </c>
      <c r="J22756" t="s">
        <v>47115</v>
      </c>
      <c r="K22756" t="s">
        <v>47113</v>
      </c>
      <c r="L22756">
        <v>48.62</v>
      </c>
      <c r="M22756">
        <v>115</v>
      </c>
      <c r="N22756">
        <v>0</v>
      </c>
      <c r="O22756">
        <v>115</v>
      </c>
      <c r="P22756">
        <v>0</v>
      </c>
    </row>
    <row r="22757" spans="1:16" x14ac:dyDescent="0.25">
      <c r="A22757" t="s">
        <v>45510</v>
      </c>
      <c r="B22757" t="s">
        <v>13503</v>
      </c>
      <c r="C22757" t="s">
        <v>13504</v>
      </c>
      <c r="D22757" t="s">
        <v>1792</v>
      </c>
      <c r="E22757" t="s">
        <v>1793</v>
      </c>
      <c r="F22757" t="s">
        <v>52</v>
      </c>
      <c r="G22757" t="s">
        <v>47093</v>
      </c>
      <c r="H22757" t="s">
        <v>47054</v>
      </c>
      <c r="I22757" t="s">
        <v>47114</v>
      </c>
      <c r="J22757" t="s">
        <v>47115</v>
      </c>
      <c r="K22757" t="s">
        <v>47113</v>
      </c>
      <c r="L22757">
        <v>56.73</v>
      </c>
      <c r="M22757">
        <v>135</v>
      </c>
      <c r="N22757">
        <v>0</v>
      </c>
      <c r="O22757">
        <v>135</v>
      </c>
      <c r="P22757">
        <v>0</v>
      </c>
    </row>
    <row r="22758" spans="1:16" x14ac:dyDescent="0.25">
      <c r="A22758" t="s">
        <v>45511</v>
      </c>
      <c r="B22758" t="s">
        <v>13503</v>
      </c>
      <c r="C22758" t="s">
        <v>13504</v>
      </c>
      <c r="D22758" t="s">
        <v>1734</v>
      </c>
      <c r="E22758" t="s">
        <v>1735</v>
      </c>
      <c r="F22758" t="s">
        <v>52</v>
      </c>
      <c r="G22758" t="s">
        <v>47093</v>
      </c>
      <c r="H22758" t="s">
        <v>47054</v>
      </c>
      <c r="I22758" t="s">
        <v>47114</v>
      </c>
      <c r="J22758" t="s">
        <v>47115</v>
      </c>
      <c r="K22758" t="s">
        <v>47113</v>
      </c>
      <c r="L22758">
        <v>58.99</v>
      </c>
      <c r="M22758">
        <v>141</v>
      </c>
      <c r="N22758">
        <v>0</v>
      </c>
      <c r="O22758">
        <v>141</v>
      </c>
      <c r="P22758">
        <v>0</v>
      </c>
    </row>
    <row r="22759" spans="1:16" x14ac:dyDescent="0.25">
      <c r="A22759" t="s">
        <v>45512</v>
      </c>
      <c r="B22759" t="s">
        <v>13503</v>
      </c>
      <c r="C22759" t="s">
        <v>13504</v>
      </c>
      <c r="D22759" t="s">
        <v>10058</v>
      </c>
      <c r="E22759" t="s">
        <v>10059</v>
      </c>
      <c r="F22759" t="s">
        <v>52</v>
      </c>
      <c r="G22759" t="s">
        <v>47093</v>
      </c>
      <c r="H22759" t="s">
        <v>47054</v>
      </c>
      <c r="I22759" t="s">
        <v>47114</v>
      </c>
      <c r="J22759" t="s">
        <v>47115</v>
      </c>
      <c r="K22759" t="s">
        <v>47113</v>
      </c>
      <c r="L22759">
        <v>53.33</v>
      </c>
      <c r="M22759">
        <v>127</v>
      </c>
      <c r="N22759">
        <v>0</v>
      </c>
      <c r="O22759">
        <v>127</v>
      </c>
      <c r="P22759">
        <v>0</v>
      </c>
    </row>
    <row r="22760" spans="1:16" x14ac:dyDescent="0.25">
      <c r="A22760" t="s">
        <v>45513</v>
      </c>
      <c r="B22760" t="s">
        <v>13505</v>
      </c>
      <c r="C22760" t="s">
        <v>10074</v>
      </c>
      <c r="D22760" t="s">
        <v>10075</v>
      </c>
      <c r="E22760" t="s">
        <v>10076</v>
      </c>
      <c r="F22760" t="s">
        <v>56</v>
      </c>
      <c r="G22760" t="s">
        <v>47093</v>
      </c>
      <c r="H22760" t="s">
        <v>47054</v>
      </c>
      <c r="I22760" t="s">
        <v>47114</v>
      </c>
      <c r="J22760" t="s">
        <v>47115</v>
      </c>
      <c r="K22760" t="s">
        <v>47113</v>
      </c>
      <c r="L22760">
        <v>59.78</v>
      </c>
      <c r="M22760">
        <v>134</v>
      </c>
      <c r="N22760">
        <v>0</v>
      </c>
      <c r="O22760">
        <v>134</v>
      </c>
      <c r="P22760">
        <v>0</v>
      </c>
    </row>
    <row r="22761" spans="1:16" x14ac:dyDescent="0.25">
      <c r="A22761" t="s">
        <v>45514</v>
      </c>
      <c r="B22761" t="s">
        <v>13505</v>
      </c>
      <c r="C22761" t="s">
        <v>10074</v>
      </c>
      <c r="D22761" t="s">
        <v>13506</v>
      </c>
      <c r="E22761" t="s">
        <v>13507</v>
      </c>
      <c r="F22761" t="s">
        <v>56</v>
      </c>
      <c r="G22761" t="s">
        <v>47093</v>
      </c>
      <c r="H22761" t="s">
        <v>47054</v>
      </c>
      <c r="I22761" t="s">
        <v>47114</v>
      </c>
      <c r="J22761" t="s">
        <v>47115</v>
      </c>
      <c r="K22761" t="s">
        <v>47113</v>
      </c>
      <c r="L22761">
        <v>56.39</v>
      </c>
      <c r="M22761">
        <v>124</v>
      </c>
      <c r="N22761">
        <v>0</v>
      </c>
      <c r="O22761">
        <v>124</v>
      </c>
      <c r="P22761">
        <v>0</v>
      </c>
    </row>
    <row r="22762" spans="1:16" x14ac:dyDescent="0.25">
      <c r="A22762" t="s">
        <v>45515</v>
      </c>
      <c r="B22762" t="s">
        <v>13508</v>
      </c>
      <c r="C22762" t="s">
        <v>13509</v>
      </c>
      <c r="D22762" t="str">
        <f>"11"</f>
        <v>11</v>
      </c>
      <c r="E22762" t="s">
        <v>288</v>
      </c>
      <c r="F22762" t="s">
        <v>1401</v>
      </c>
      <c r="G22762" t="s">
        <v>47093</v>
      </c>
      <c r="H22762" t="s">
        <v>47054</v>
      </c>
      <c r="I22762" t="s">
        <v>47111</v>
      </c>
      <c r="J22762" t="s">
        <v>47112</v>
      </c>
      <c r="K22762" t="s">
        <v>47113</v>
      </c>
      <c r="L22762">
        <v>34.14</v>
      </c>
      <c r="M22762">
        <v>85</v>
      </c>
      <c r="N22762">
        <v>0</v>
      </c>
      <c r="O22762">
        <v>85</v>
      </c>
      <c r="P22762">
        <v>0</v>
      </c>
    </row>
    <row r="22763" spans="1:16" x14ac:dyDescent="0.25">
      <c r="A22763" t="s">
        <v>45516</v>
      </c>
      <c r="B22763" t="s">
        <v>13508</v>
      </c>
      <c r="C22763" t="s">
        <v>13509</v>
      </c>
      <c r="D22763" t="s">
        <v>721</v>
      </c>
      <c r="E22763" t="s">
        <v>722</v>
      </c>
      <c r="F22763" t="s">
        <v>687</v>
      </c>
      <c r="G22763" t="s">
        <v>47093</v>
      </c>
      <c r="H22763" t="s">
        <v>47054</v>
      </c>
      <c r="I22763" t="s">
        <v>47111</v>
      </c>
      <c r="J22763" t="s">
        <v>47112</v>
      </c>
      <c r="K22763" t="s">
        <v>47113</v>
      </c>
      <c r="L22763">
        <v>30.91</v>
      </c>
      <c r="M22763">
        <v>70</v>
      </c>
      <c r="N22763">
        <v>0</v>
      </c>
      <c r="O22763">
        <v>70</v>
      </c>
      <c r="P22763">
        <v>0</v>
      </c>
    </row>
    <row r="22764" spans="1:16" x14ac:dyDescent="0.25">
      <c r="A22764" t="s">
        <v>45517</v>
      </c>
      <c r="B22764" t="s">
        <v>13508</v>
      </c>
      <c r="C22764" t="s">
        <v>13509</v>
      </c>
      <c r="D22764" t="str">
        <f>"40"</f>
        <v>40</v>
      </c>
      <c r="E22764" t="s">
        <v>31</v>
      </c>
      <c r="F22764" t="s">
        <v>8</v>
      </c>
      <c r="G22764" t="s">
        <v>47093</v>
      </c>
      <c r="H22764" t="s">
        <v>47054</v>
      </c>
      <c r="I22764" t="s">
        <v>47111</v>
      </c>
      <c r="J22764" t="s">
        <v>47112</v>
      </c>
      <c r="K22764" t="s">
        <v>47113</v>
      </c>
      <c r="L22764">
        <v>36.5</v>
      </c>
      <c r="M22764">
        <v>101</v>
      </c>
      <c r="N22764">
        <v>0</v>
      </c>
      <c r="O22764">
        <v>101</v>
      </c>
      <c r="P22764">
        <v>0</v>
      </c>
    </row>
    <row r="22765" spans="1:16" x14ac:dyDescent="0.25">
      <c r="A22765" t="s">
        <v>45518</v>
      </c>
      <c r="B22765" t="s">
        <v>13508</v>
      </c>
      <c r="C22765" t="s">
        <v>13509</v>
      </c>
      <c r="D22765" t="s">
        <v>1341</v>
      </c>
      <c r="E22765" t="s">
        <v>1342</v>
      </c>
      <c r="F22765" t="s">
        <v>36</v>
      </c>
      <c r="G22765" t="s">
        <v>47093</v>
      </c>
      <c r="H22765" t="s">
        <v>47054</v>
      </c>
      <c r="I22765" t="s">
        <v>47111</v>
      </c>
      <c r="J22765" t="s">
        <v>47112</v>
      </c>
      <c r="K22765" t="s">
        <v>47113</v>
      </c>
      <c r="L22765">
        <v>33.1</v>
      </c>
      <c r="M22765">
        <v>100</v>
      </c>
      <c r="N22765">
        <v>0</v>
      </c>
      <c r="O22765">
        <v>100</v>
      </c>
      <c r="P22765">
        <v>0</v>
      </c>
    </row>
    <row r="22766" spans="1:16" x14ac:dyDescent="0.25">
      <c r="A22766" t="s">
        <v>45519</v>
      </c>
      <c r="B22766" t="s">
        <v>13508</v>
      </c>
      <c r="C22766" t="s">
        <v>13509</v>
      </c>
      <c r="D22766" t="s">
        <v>13510</v>
      </c>
      <c r="E22766" t="s">
        <v>13511</v>
      </c>
      <c r="F22766" t="s">
        <v>8</v>
      </c>
      <c r="G22766" t="s">
        <v>47093</v>
      </c>
      <c r="H22766" t="s">
        <v>47054</v>
      </c>
      <c r="I22766" t="s">
        <v>47111</v>
      </c>
      <c r="J22766" t="s">
        <v>47112</v>
      </c>
      <c r="K22766" t="s">
        <v>47113</v>
      </c>
      <c r="L22766">
        <v>41.43</v>
      </c>
      <c r="M22766">
        <v>103</v>
      </c>
      <c r="N22766">
        <v>0</v>
      </c>
      <c r="O22766">
        <v>103</v>
      </c>
      <c r="P22766">
        <v>0</v>
      </c>
    </row>
    <row r="22767" spans="1:16" x14ac:dyDescent="0.25">
      <c r="A22767" t="s">
        <v>45520</v>
      </c>
      <c r="B22767" t="s">
        <v>13508</v>
      </c>
      <c r="C22767" t="s">
        <v>13509</v>
      </c>
      <c r="D22767" t="s">
        <v>1774</v>
      </c>
      <c r="E22767" t="s">
        <v>1775</v>
      </c>
      <c r="F22767" t="s">
        <v>52</v>
      </c>
      <c r="G22767" t="s">
        <v>47093</v>
      </c>
      <c r="H22767" t="s">
        <v>47054</v>
      </c>
      <c r="I22767" t="s">
        <v>47111</v>
      </c>
      <c r="J22767" t="s">
        <v>47112</v>
      </c>
      <c r="K22767" t="s">
        <v>47113</v>
      </c>
      <c r="L22767">
        <v>42.34</v>
      </c>
      <c r="M22767">
        <v>104</v>
      </c>
      <c r="N22767">
        <v>0</v>
      </c>
      <c r="O22767">
        <v>104</v>
      </c>
      <c r="P22767">
        <v>0</v>
      </c>
    </row>
    <row r="22768" spans="1:16" x14ac:dyDescent="0.25">
      <c r="A22768" t="s">
        <v>45521</v>
      </c>
      <c r="B22768" t="s">
        <v>13508</v>
      </c>
      <c r="C22768" t="s">
        <v>13509</v>
      </c>
      <c r="D22768" t="s">
        <v>739</v>
      </c>
      <c r="E22768" t="s">
        <v>740</v>
      </c>
      <c r="F22768" t="s">
        <v>52</v>
      </c>
      <c r="G22768" t="s">
        <v>47093</v>
      </c>
      <c r="H22768" t="s">
        <v>47054</v>
      </c>
      <c r="I22768" t="s">
        <v>47111</v>
      </c>
      <c r="J22768" t="s">
        <v>47112</v>
      </c>
      <c r="K22768" t="s">
        <v>47113</v>
      </c>
      <c r="L22768">
        <v>35.020000000000003</v>
      </c>
      <c r="M22768">
        <v>86</v>
      </c>
      <c r="N22768">
        <v>0</v>
      </c>
      <c r="O22768">
        <v>86</v>
      </c>
      <c r="P22768">
        <v>0</v>
      </c>
    </row>
    <row r="22769" spans="1:16" x14ac:dyDescent="0.25">
      <c r="A22769" t="s">
        <v>45522</v>
      </c>
      <c r="B22769" t="s">
        <v>13512</v>
      </c>
      <c r="C22769" t="s">
        <v>13513</v>
      </c>
      <c r="D22769" t="s">
        <v>13514</v>
      </c>
      <c r="E22769" t="s">
        <v>13515</v>
      </c>
      <c r="F22769" t="s">
        <v>1717</v>
      </c>
      <c r="G22769" t="s">
        <v>47093</v>
      </c>
      <c r="H22769" t="s">
        <v>47054</v>
      </c>
      <c r="I22769" t="s">
        <v>47111</v>
      </c>
      <c r="J22769" t="s">
        <v>47112</v>
      </c>
      <c r="K22769" t="s">
        <v>47113</v>
      </c>
      <c r="L22769">
        <v>52.43</v>
      </c>
      <c r="M22769">
        <v>134</v>
      </c>
      <c r="N22769">
        <v>0</v>
      </c>
      <c r="O22769">
        <v>134</v>
      </c>
      <c r="P22769">
        <v>0</v>
      </c>
    </row>
    <row r="22770" spans="1:16" x14ac:dyDescent="0.25">
      <c r="A22770" t="s">
        <v>45523</v>
      </c>
      <c r="B22770" t="s">
        <v>13516</v>
      </c>
      <c r="C22770" t="s">
        <v>13517</v>
      </c>
      <c r="D22770" t="s">
        <v>1341</v>
      </c>
      <c r="E22770" t="s">
        <v>1342</v>
      </c>
      <c r="F22770" t="s">
        <v>8</v>
      </c>
      <c r="G22770" t="s">
        <v>47093</v>
      </c>
      <c r="H22770" t="s">
        <v>47054</v>
      </c>
      <c r="I22770" t="s">
        <v>47111</v>
      </c>
      <c r="J22770" t="s">
        <v>47112</v>
      </c>
      <c r="K22770" t="s">
        <v>47113</v>
      </c>
      <c r="L22770">
        <v>49.13</v>
      </c>
      <c r="M22770">
        <v>137</v>
      </c>
      <c r="N22770">
        <v>0</v>
      </c>
      <c r="O22770">
        <v>137</v>
      </c>
      <c r="P22770">
        <v>0</v>
      </c>
    </row>
    <row r="22771" spans="1:16" x14ac:dyDescent="0.25">
      <c r="A22771" t="s">
        <v>45524</v>
      </c>
      <c r="B22771" t="s">
        <v>13518</v>
      </c>
      <c r="C22771" t="s">
        <v>13519</v>
      </c>
      <c r="D22771" t="str">
        <f>"40"</f>
        <v>40</v>
      </c>
      <c r="E22771" t="s">
        <v>31</v>
      </c>
      <c r="F22771" t="s">
        <v>8</v>
      </c>
      <c r="G22771" t="s">
        <v>47093</v>
      </c>
      <c r="H22771" t="s">
        <v>47054</v>
      </c>
      <c r="I22771" t="s">
        <v>47111</v>
      </c>
      <c r="J22771" t="s">
        <v>47112</v>
      </c>
      <c r="K22771" t="s">
        <v>47113</v>
      </c>
      <c r="L22771">
        <v>55.14</v>
      </c>
      <c r="M22771">
        <v>146</v>
      </c>
      <c r="N22771">
        <v>0</v>
      </c>
      <c r="O22771">
        <v>146</v>
      </c>
      <c r="P22771">
        <v>0</v>
      </c>
    </row>
    <row r="22772" spans="1:16" x14ac:dyDescent="0.25">
      <c r="A22772" t="s">
        <v>45525</v>
      </c>
      <c r="B22772" t="s">
        <v>13518</v>
      </c>
      <c r="C22772" t="s">
        <v>13519</v>
      </c>
      <c r="D22772" t="str">
        <f>"63"</f>
        <v>63</v>
      </c>
      <c r="E22772" t="s">
        <v>40</v>
      </c>
      <c r="F22772" t="s">
        <v>8</v>
      </c>
      <c r="G22772" t="s">
        <v>47093</v>
      </c>
      <c r="H22772" t="s">
        <v>47054</v>
      </c>
      <c r="I22772" t="s">
        <v>47111</v>
      </c>
      <c r="J22772" t="s">
        <v>47112</v>
      </c>
      <c r="K22772" t="s">
        <v>47113</v>
      </c>
      <c r="L22772">
        <v>53.44</v>
      </c>
      <c r="M22772">
        <v>146</v>
      </c>
      <c r="N22772">
        <v>0</v>
      </c>
      <c r="O22772">
        <v>146</v>
      </c>
      <c r="P22772">
        <v>0</v>
      </c>
    </row>
    <row r="22773" spans="1:16" x14ac:dyDescent="0.25">
      <c r="A22773" t="s">
        <v>45526</v>
      </c>
      <c r="B22773" t="s">
        <v>13518</v>
      </c>
      <c r="C22773" t="s">
        <v>13519</v>
      </c>
      <c r="D22773" t="s">
        <v>1777</v>
      </c>
      <c r="E22773" t="s">
        <v>1778</v>
      </c>
      <c r="F22773" t="s">
        <v>8</v>
      </c>
      <c r="G22773" t="s">
        <v>47093</v>
      </c>
      <c r="H22773" t="s">
        <v>47054</v>
      </c>
      <c r="I22773" t="s">
        <v>47111</v>
      </c>
      <c r="J22773" t="s">
        <v>47112</v>
      </c>
      <c r="K22773" t="s">
        <v>47113</v>
      </c>
      <c r="L22773">
        <v>53.44</v>
      </c>
      <c r="M22773">
        <v>146</v>
      </c>
      <c r="N22773">
        <v>0</v>
      </c>
      <c r="O22773">
        <v>146</v>
      </c>
      <c r="P22773">
        <v>0</v>
      </c>
    </row>
    <row r="22774" spans="1:16" x14ac:dyDescent="0.25">
      <c r="A22774" t="s">
        <v>45527</v>
      </c>
      <c r="B22774" t="s">
        <v>13520</v>
      </c>
      <c r="C22774" t="s">
        <v>13521</v>
      </c>
      <c r="D22774" t="s">
        <v>629</v>
      </c>
      <c r="E22774" t="s">
        <v>630</v>
      </c>
      <c r="F22774" t="s">
        <v>8</v>
      </c>
      <c r="G22774" t="s">
        <v>47093</v>
      </c>
      <c r="H22774" t="s">
        <v>47054</v>
      </c>
      <c r="I22774" t="s">
        <v>47111</v>
      </c>
      <c r="J22774" t="s">
        <v>47112</v>
      </c>
      <c r="K22774" t="s">
        <v>47113</v>
      </c>
      <c r="L22774">
        <v>39.54</v>
      </c>
      <c r="M22774">
        <v>104</v>
      </c>
      <c r="N22774">
        <v>0</v>
      </c>
      <c r="O22774">
        <v>104</v>
      </c>
      <c r="P22774">
        <v>0</v>
      </c>
    </row>
    <row r="22775" spans="1:16" x14ac:dyDescent="0.25">
      <c r="A22775" t="s">
        <v>45528</v>
      </c>
      <c r="B22775" t="s">
        <v>13522</v>
      </c>
      <c r="C22775" t="s">
        <v>13523</v>
      </c>
      <c r="D22775" t="s">
        <v>739</v>
      </c>
      <c r="E22775" t="s">
        <v>740</v>
      </c>
      <c r="F22775" t="s">
        <v>52</v>
      </c>
      <c r="G22775" t="s">
        <v>47093</v>
      </c>
      <c r="H22775" t="s">
        <v>47054</v>
      </c>
      <c r="I22775" t="s">
        <v>47114</v>
      </c>
      <c r="J22775" t="s">
        <v>47115</v>
      </c>
      <c r="K22775" t="s">
        <v>47113</v>
      </c>
      <c r="L22775">
        <v>43.19</v>
      </c>
      <c r="M22775">
        <v>106</v>
      </c>
      <c r="N22775">
        <v>0</v>
      </c>
      <c r="O22775">
        <v>106</v>
      </c>
      <c r="P22775">
        <v>0</v>
      </c>
    </row>
    <row r="22776" spans="1:16" x14ac:dyDescent="0.25">
      <c r="A22776" t="s">
        <v>45529</v>
      </c>
      <c r="B22776" t="s">
        <v>13524</v>
      </c>
      <c r="C22776" t="s">
        <v>12146</v>
      </c>
      <c r="D22776" t="s">
        <v>10058</v>
      </c>
      <c r="E22776" t="s">
        <v>10059</v>
      </c>
      <c r="F22776" t="s">
        <v>52</v>
      </c>
      <c r="G22776" t="s">
        <v>47093</v>
      </c>
      <c r="H22776" t="s">
        <v>47054</v>
      </c>
      <c r="I22776" t="s">
        <v>47111</v>
      </c>
      <c r="J22776" t="s">
        <v>47112</v>
      </c>
      <c r="K22776" t="s">
        <v>47113</v>
      </c>
      <c r="L22776">
        <v>53.33</v>
      </c>
      <c r="M22776">
        <v>131</v>
      </c>
      <c r="N22776">
        <v>0</v>
      </c>
      <c r="O22776">
        <v>131</v>
      </c>
      <c r="P22776">
        <v>0</v>
      </c>
    </row>
    <row r="22777" spans="1:16" x14ac:dyDescent="0.25">
      <c r="A22777" t="s">
        <v>45530</v>
      </c>
      <c r="B22777" t="s">
        <v>1339</v>
      </c>
      <c r="C22777" t="s">
        <v>1340</v>
      </c>
      <c r="D22777" t="str">
        <f>"11"</f>
        <v>11</v>
      </c>
      <c r="E22777" t="s">
        <v>288</v>
      </c>
      <c r="F22777" t="s">
        <v>1401</v>
      </c>
      <c r="G22777" t="s">
        <v>47093</v>
      </c>
      <c r="H22777" t="s">
        <v>47054</v>
      </c>
      <c r="I22777" t="s">
        <v>47111</v>
      </c>
      <c r="J22777" t="s">
        <v>47112</v>
      </c>
      <c r="K22777" t="s">
        <v>47113</v>
      </c>
      <c r="L22777">
        <v>32.630000000000003</v>
      </c>
      <c r="M22777">
        <v>91</v>
      </c>
      <c r="N22777">
        <v>0</v>
      </c>
      <c r="O22777">
        <v>91</v>
      </c>
      <c r="P22777">
        <v>0</v>
      </c>
    </row>
    <row r="22778" spans="1:16" x14ac:dyDescent="0.25">
      <c r="A22778" t="s">
        <v>45531</v>
      </c>
      <c r="B22778" t="s">
        <v>1339</v>
      </c>
      <c r="C22778" t="s">
        <v>1340</v>
      </c>
      <c r="D22778" t="s">
        <v>721</v>
      </c>
      <c r="E22778" t="s">
        <v>722</v>
      </c>
      <c r="F22778" t="s">
        <v>687</v>
      </c>
      <c r="G22778" t="s">
        <v>47093</v>
      </c>
      <c r="H22778" t="s">
        <v>47054</v>
      </c>
      <c r="I22778" t="s">
        <v>47111</v>
      </c>
      <c r="J22778" t="s">
        <v>47112</v>
      </c>
      <c r="K22778" t="s">
        <v>47113</v>
      </c>
      <c r="L22778">
        <v>31.36</v>
      </c>
      <c r="M22778">
        <v>67</v>
      </c>
      <c r="N22778">
        <v>0</v>
      </c>
      <c r="O22778">
        <v>67</v>
      </c>
      <c r="P22778">
        <v>0</v>
      </c>
    </row>
    <row r="22779" spans="1:16" x14ac:dyDescent="0.25">
      <c r="A22779" t="s">
        <v>45532</v>
      </c>
      <c r="B22779" t="s">
        <v>1339</v>
      </c>
      <c r="C22779" t="s">
        <v>1340</v>
      </c>
      <c r="D22779" t="s">
        <v>34</v>
      </c>
      <c r="E22779" t="s">
        <v>35</v>
      </c>
      <c r="F22779" t="s">
        <v>36</v>
      </c>
      <c r="G22779" t="s">
        <v>47093</v>
      </c>
      <c r="H22779" t="s">
        <v>47054</v>
      </c>
      <c r="I22779" t="s">
        <v>47111</v>
      </c>
      <c r="J22779" t="s">
        <v>47112</v>
      </c>
      <c r="K22779" t="s">
        <v>47113</v>
      </c>
      <c r="L22779">
        <v>37.14</v>
      </c>
      <c r="M22779">
        <v>83</v>
      </c>
      <c r="N22779">
        <v>0</v>
      </c>
      <c r="O22779">
        <v>83</v>
      </c>
      <c r="P22779">
        <v>0</v>
      </c>
    </row>
    <row r="22780" spans="1:16" x14ac:dyDescent="0.25">
      <c r="A22780" t="s">
        <v>1338</v>
      </c>
      <c r="B22780" t="s">
        <v>1339</v>
      </c>
      <c r="C22780" t="s">
        <v>1340</v>
      </c>
      <c r="D22780" t="s">
        <v>1341</v>
      </c>
      <c r="E22780" t="s">
        <v>1342</v>
      </c>
      <c r="F22780" t="s">
        <v>36</v>
      </c>
      <c r="G22780" t="s">
        <v>47093</v>
      </c>
      <c r="H22780" t="s">
        <v>47054</v>
      </c>
      <c r="I22780" t="s">
        <v>47111</v>
      </c>
      <c r="J22780" t="s">
        <v>47112</v>
      </c>
      <c r="K22780" t="s">
        <v>47113</v>
      </c>
      <c r="L22780">
        <v>33.15</v>
      </c>
      <c r="M22780">
        <v>100</v>
      </c>
      <c r="N22780">
        <v>0</v>
      </c>
      <c r="O22780">
        <v>100</v>
      </c>
      <c r="P22780">
        <v>0</v>
      </c>
    </row>
    <row r="22781" spans="1:16" x14ac:dyDescent="0.25">
      <c r="A22781" t="s">
        <v>45533</v>
      </c>
      <c r="B22781" t="s">
        <v>1339</v>
      </c>
      <c r="C22781" t="s">
        <v>1340</v>
      </c>
      <c r="D22781" t="s">
        <v>13510</v>
      </c>
      <c r="E22781" t="s">
        <v>13511</v>
      </c>
      <c r="F22781" t="s">
        <v>8</v>
      </c>
      <c r="G22781" t="s">
        <v>47093</v>
      </c>
      <c r="H22781" t="s">
        <v>47054</v>
      </c>
      <c r="I22781" t="s">
        <v>47111</v>
      </c>
      <c r="J22781" t="s">
        <v>47112</v>
      </c>
      <c r="K22781" t="s">
        <v>47113</v>
      </c>
      <c r="L22781">
        <v>41.16</v>
      </c>
      <c r="M22781">
        <v>93</v>
      </c>
      <c r="N22781">
        <v>0</v>
      </c>
      <c r="O22781">
        <v>93</v>
      </c>
      <c r="P22781">
        <v>0</v>
      </c>
    </row>
    <row r="22782" spans="1:16" x14ac:dyDescent="0.25">
      <c r="A22782" t="s">
        <v>45534</v>
      </c>
      <c r="B22782" t="s">
        <v>1339</v>
      </c>
      <c r="C22782" t="s">
        <v>1340</v>
      </c>
      <c r="D22782" t="s">
        <v>1792</v>
      </c>
      <c r="E22782" t="s">
        <v>1793</v>
      </c>
      <c r="F22782" t="s">
        <v>56</v>
      </c>
      <c r="G22782" t="s">
        <v>47093</v>
      </c>
      <c r="H22782" t="s">
        <v>47054</v>
      </c>
      <c r="I22782" t="s">
        <v>47111</v>
      </c>
      <c r="J22782" t="s">
        <v>47112</v>
      </c>
      <c r="K22782" t="s">
        <v>47113</v>
      </c>
      <c r="L22782">
        <v>38.96</v>
      </c>
      <c r="M22782">
        <v>93</v>
      </c>
      <c r="N22782">
        <v>0</v>
      </c>
      <c r="O22782">
        <v>93</v>
      </c>
      <c r="P22782">
        <v>0</v>
      </c>
    </row>
    <row r="22783" spans="1:16" x14ac:dyDescent="0.25">
      <c r="A22783" t="s">
        <v>45535</v>
      </c>
      <c r="B22783" t="s">
        <v>1339</v>
      </c>
      <c r="C22783" t="s">
        <v>1340</v>
      </c>
      <c r="D22783" t="s">
        <v>739</v>
      </c>
      <c r="E22783" t="s">
        <v>740</v>
      </c>
      <c r="F22783" t="s">
        <v>52</v>
      </c>
      <c r="G22783" t="s">
        <v>47093</v>
      </c>
      <c r="H22783" t="s">
        <v>47054</v>
      </c>
      <c r="I22783" t="s">
        <v>47111</v>
      </c>
      <c r="J22783" t="s">
        <v>47112</v>
      </c>
      <c r="K22783" t="s">
        <v>47113</v>
      </c>
      <c r="L22783">
        <v>35.020000000000003</v>
      </c>
      <c r="M22783">
        <v>78</v>
      </c>
      <c r="N22783">
        <v>0</v>
      </c>
      <c r="O22783">
        <v>78</v>
      </c>
      <c r="P22783">
        <v>0</v>
      </c>
    </row>
    <row r="22784" spans="1:16" x14ac:dyDescent="0.25">
      <c r="A22784" t="s">
        <v>45536</v>
      </c>
      <c r="B22784" t="s">
        <v>1339</v>
      </c>
      <c r="C22784" t="s">
        <v>1340</v>
      </c>
      <c r="D22784" t="s">
        <v>10058</v>
      </c>
      <c r="E22784" t="s">
        <v>10059</v>
      </c>
      <c r="F22784" t="s">
        <v>56</v>
      </c>
      <c r="G22784" t="s">
        <v>47093</v>
      </c>
      <c r="H22784" t="s">
        <v>47054</v>
      </c>
      <c r="I22784" t="s">
        <v>47111</v>
      </c>
      <c r="J22784" t="s">
        <v>47112</v>
      </c>
      <c r="K22784" t="s">
        <v>47113</v>
      </c>
      <c r="L22784">
        <v>35.590000000000003</v>
      </c>
      <c r="M22784">
        <v>79</v>
      </c>
      <c r="N22784">
        <v>0</v>
      </c>
      <c r="O22784">
        <v>79</v>
      </c>
      <c r="P22784">
        <v>0</v>
      </c>
    </row>
    <row r="22785" spans="1:16" x14ac:dyDescent="0.25">
      <c r="A22785" t="s">
        <v>1343</v>
      </c>
      <c r="B22785" t="s">
        <v>1344</v>
      </c>
      <c r="C22785" t="s">
        <v>1345</v>
      </c>
      <c r="D22785" t="str">
        <f>"40"</f>
        <v>40</v>
      </c>
      <c r="E22785" t="s">
        <v>31</v>
      </c>
      <c r="F22785" t="s">
        <v>8</v>
      </c>
      <c r="G22785" t="s">
        <v>47093</v>
      </c>
      <c r="H22785" t="s">
        <v>47054</v>
      </c>
      <c r="I22785" t="s">
        <v>47111</v>
      </c>
      <c r="J22785" t="s">
        <v>47112</v>
      </c>
      <c r="K22785" t="s">
        <v>47113</v>
      </c>
      <c r="L22785">
        <v>39.5</v>
      </c>
      <c r="M22785">
        <v>113</v>
      </c>
      <c r="N22785">
        <v>0</v>
      </c>
      <c r="O22785">
        <v>113</v>
      </c>
      <c r="P22785">
        <v>0</v>
      </c>
    </row>
    <row r="22786" spans="1:16" x14ac:dyDescent="0.25">
      <c r="A22786" t="s">
        <v>45537</v>
      </c>
      <c r="B22786" t="s">
        <v>1344</v>
      </c>
      <c r="C22786" t="s">
        <v>1345</v>
      </c>
      <c r="D22786" t="s">
        <v>1341</v>
      </c>
      <c r="E22786" t="s">
        <v>1342</v>
      </c>
      <c r="F22786" t="s">
        <v>8</v>
      </c>
      <c r="G22786" t="s">
        <v>47093</v>
      </c>
      <c r="H22786" t="s">
        <v>47054</v>
      </c>
      <c r="I22786" t="s">
        <v>47111</v>
      </c>
      <c r="J22786" t="s">
        <v>47112</v>
      </c>
      <c r="K22786" t="s">
        <v>47113</v>
      </c>
      <c r="L22786">
        <v>49.13</v>
      </c>
      <c r="M22786">
        <v>137</v>
      </c>
      <c r="N22786">
        <v>0</v>
      </c>
      <c r="O22786">
        <v>137</v>
      </c>
      <c r="P22786">
        <v>0</v>
      </c>
    </row>
    <row r="22787" spans="1:16" x14ac:dyDescent="0.25">
      <c r="A22787" t="s">
        <v>45538</v>
      </c>
      <c r="B22787" t="s">
        <v>13525</v>
      </c>
      <c r="C22787" t="s">
        <v>13526</v>
      </c>
      <c r="D22787" t="s">
        <v>721</v>
      </c>
      <c r="E22787" t="s">
        <v>722</v>
      </c>
      <c r="F22787" t="s">
        <v>8</v>
      </c>
      <c r="G22787" t="s">
        <v>47093</v>
      </c>
      <c r="H22787" t="s">
        <v>47054</v>
      </c>
      <c r="I22787" t="s">
        <v>47111</v>
      </c>
      <c r="J22787" t="s">
        <v>47112</v>
      </c>
      <c r="K22787" t="s">
        <v>47113</v>
      </c>
      <c r="L22787">
        <v>46.86</v>
      </c>
      <c r="M22787">
        <v>137</v>
      </c>
      <c r="N22787">
        <v>0</v>
      </c>
      <c r="O22787">
        <v>137</v>
      </c>
      <c r="P22787">
        <v>0</v>
      </c>
    </row>
    <row r="22788" spans="1:16" x14ac:dyDescent="0.25">
      <c r="A22788" t="s">
        <v>45539</v>
      </c>
      <c r="B22788" t="s">
        <v>13525</v>
      </c>
      <c r="C22788" t="s">
        <v>13526</v>
      </c>
      <c r="D22788" t="str">
        <f>"40"</f>
        <v>40</v>
      </c>
      <c r="E22788" t="s">
        <v>31</v>
      </c>
      <c r="F22788" t="s">
        <v>8</v>
      </c>
      <c r="G22788" t="s">
        <v>47093</v>
      </c>
      <c r="H22788" t="s">
        <v>47054</v>
      </c>
      <c r="I22788" t="s">
        <v>47111</v>
      </c>
      <c r="J22788" t="s">
        <v>47112</v>
      </c>
      <c r="K22788" t="s">
        <v>47113</v>
      </c>
      <c r="L22788">
        <v>54.44</v>
      </c>
      <c r="M22788">
        <v>146</v>
      </c>
      <c r="N22788">
        <v>0</v>
      </c>
      <c r="O22788">
        <v>146</v>
      </c>
      <c r="P22788">
        <v>0</v>
      </c>
    </row>
    <row r="22789" spans="1:16" x14ac:dyDescent="0.25">
      <c r="A22789" t="s">
        <v>45540</v>
      </c>
      <c r="B22789" t="s">
        <v>13525</v>
      </c>
      <c r="C22789" t="s">
        <v>13526</v>
      </c>
      <c r="D22789" t="str">
        <f>"63"</f>
        <v>63</v>
      </c>
      <c r="E22789" t="s">
        <v>40</v>
      </c>
      <c r="F22789" t="s">
        <v>8</v>
      </c>
      <c r="G22789" t="s">
        <v>47093</v>
      </c>
      <c r="H22789" t="s">
        <v>47054</v>
      </c>
      <c r="I22789" t="s">
        <v>47111</v>
      </c>
      <c r="J22789" t="s">
        <v>47112</v>
      </c>
      <c r="K22789" t="s">
        <v>47113</v>
      </c>
      <c r="L22789">
        <v>52.51</v>
      </c>
      <c r="M22789">
        <v>146</v>
      </c>
      <c r="N22789">
        <v>0</v>
      </c>
      <c r="O22789">
        <v>146</v>
      </c>
      <c r="P22789">
        <v>0</v>
      </c>
    </row>
    <row r="22790" spans="1:16" x14ac:dyDescent="0.25">
      <c r="A22790" t="s">
        <v>45541</v>
      </c>
      <c r="B22790" t="s">
        <v>1347</v>
      </c>
      <c r="C22790" t="s">
        <v>1348</v>
      </c>
      <c r="D22790" t="s">
        <v>629</v>
      </c>
      <c r="E22790" t="s">
        <v>630</v>
      </c>
      <c r="F22790" t="s">
        <v>1717</v>
      </c>
      <c r="G22790" t="s">
        <v>47093</v>
      </c>
      <c r="H22790" t="s">
        <v>47054</v>
      </c>
      <c r="I22790" t="s">
        <v>47111</v>
      </c>
      <c r="J22790" t="s">
        <v>47112</v>
      </c>
      <c r="K22790" t="s">
        <v>47113</v>
      </c>
      <c r="L22790">
        <v>53.04</v>
      </c>
      <c r="M22790">
        <v>130</v>
      </c>
      <c r="N22790">
        <v>0</v>
      </c>
      <c r="O22790">
        <v>130</v>
      </c>
      <c r="P22790">
        <v>0</v>
      </c>
    </row>
    <row r="22791" spans="1:16" x14ac:dyDescent="0.25">
      <c r="A22791" t="s">
        <v>1346</v>
      </c>
      <c r="B22791" t="s">
        <v>1347</v>
      </c>
      <c r="C22791" t="s">
        <v>1348</v>
      </c>
      <c r="D22791" t="s">
        <v>1349</v>
      </c>
      <c r="E22791" t="s">
        <v>1350</v>
      </c>
      <c r="F22791" t="s">
        <v>631</v>
      </c>
      <c r="G22791" t="s">
        <v>47093</v>
      </c>
      <c r="H22791" t="s">
        <v>47054</v>
      </c>
      <c r="I22791" t="s">
        <v>47111</v>
      </c>
      <c r="J22791" t="s">
        <v>47112</v>
      </c>
      <c r="K22791" t="s">
        <v>47113</v>
      </c>
      <c r="L22791">
        <v>141.18</v>
      </c>
      <c r="M22791">
        <v>134</v>
      </c>
      <c r="N22791">
        <v>0</v>
      </c>
      <c r="O22791">
        <v>134</v>
      </c>
      <c r="P22791">
        <v>0</v>
      </c>
    </row>
    <row r="22792" spans="1:16" x14ac:dyDescent="0.25">
      <c r="A22792" t="s">
        <v>45542</v>
      </c>
      <c r="B22792" t="s">
        <v>13527</v>
      </c>
      <c r="C22792" t="s">
        <v>13528</v>
      </c>
      <c r="D22792" t="str">
        <f>"40"</f>
        <v>40</v>
      </c>
      <c r="E22792" t="s">
        <v>31</v>
      </c>
      <c r="F22792" t="s">
        <v>8</v>
      </c>
      <c r="G22792" t="s">
        <v>47093</v>
      </c>
      <c r="H22792" t="s">
        <v>47054</v>
      </c>
      <c r="I22792" t="s">
        <v>47111</v>
      </c>
      <c r="J22792" t="s">
        <v>47112</v>
      </c>
      <c r="K22792" t="s">
        <v>47113</v>
      </c>
      <c r="L22792">
        <v>37.96</v>
      </c>
      <c r="M22792">
        <v>106</v>
      </c>
      <c r="N22792">
        <v>0</v>
      </c>
      <c r="O22792">
        <v>106</v>
      </c>
      <c r="P22792">
        <v>0</v>
      </c>
    </row>
    <row r="22793" spans="1:16" x14ac:dyDescent="0.25">
      <c r="A22793" t="s">
        <v>45543</v>
      </c>
      <c r="B22793" t="s">
        <v>13527</v>
      </c>
      <c r="C22793" t="s">
        <v>13528</v>
      </c>
      <c r="D22793" t="s">
        <v>629</v>
      </c>
      <c r="E22793" t="s">
        <v>630</v>
      </c>
      <c r="F22793" t="s">
        <v>8</v>
      </c>
      <c r="G22793" t="s">
        <v>47093</v>
      </c>
      <c r="H22793" t="s">
        <v>47054</v>
      </c>
      <c r="I22793" t="s">
        <v>47111</v>
      </c>
      <c r="J22793" t="s">
        <v>47112</v>
      </c>
      <c r="K22793" t="s">
        <v>47113</v>
      </c>
      <c r="L22793">
        <v>37.96</v>
      </c>
      <c r="M22793">
        <v>85</v>
      </c>
      <c r="N22793">
        <v>0</v>
      </c>
      <c r="O22793">
        <v>85</v>
      </c>
      <c r="P22793">
        <v>0</v>
      </c>
    </row>
    <row r="22794" spans="1:16" x14ac:dyDescent="0.25">
      <c r="A22794" t="s">
        <v>45544</v>
      </c>
      <c r="B22794" t="s">
        <v>13527</v>
      </c>
      <c r="C22794" t="s">
        <v>13528</v>
      </c>
      <c r="D22794" t="s">
        <v>13510</v>
      </c>
      <c r="E22794" t="s">
        <v>13511</v>
      </c>
      <c r="F22794" t="s">
        <v>56</v>
      </c>
      <c r="G22794" t="s">
        <v>47093</v>
      </c>
      <c r="H22794" t="s">
        <v>47054</v>
      </c>
      <c r="I22794" t="s">
        <v>47111</v>
      </c>
      <c r="J22794" t="s">
        <v>47112</v>
      </c>
      <c r="K22794" t="s">
        <v>47113</v>
      </c>
      <c r="L22794">
        <v>43.44</v>
      </c>
      <c r="M22794">
        <v>99</v>
      </c>
      <c r="N22794">
        <v>0</v>
      </c>
      <c r="O22794">
        <v>99</v>
      </c>
      <c r="P22794">
        <v>0</v>
      </c>
    </row>
    <row r="22795" spans="1:16" x14ac:dyDescent="0.25">
      <c r="A22795" t="s">
        <v>45545</v>
      </c>
      <c r="B22795" t="s">
        <v>13527</v>
      </c>
      <c r="C22795" t="s">
        <v>13528</v>
      </c>
      <c r="D22795" t="s">
        <v>10058</v>
      </c>
      <c r="E22795" t="s">
        <v>10059</v>
      </c>
      <c r="F22795" t="s">
        <v>56</v>
      </c>
      <c r="G22795" t="s">
        <v>47093</v>
      </c>
      <c r="H22795" t="s">
        <v>47054</v>
      </c>
      <c r="I22795" t="s">
        <v>47111</v>
      </c>
      <c r="J22795" t="s">
        <v>47112</v>
      </c>
      <c r="K22795" t="s">
        <v>47113</v>
      </c>
      <c r="L22795">
        <v>38.42</v>
      </c>
      <c r="M22795">
        <v>85</v>
      </c>
      <c r="N22795">
        <v>0</v>
      </c>
      <c r="O22795">
        <v>85</v>
      </c>
      <c r="P22795">
        <v>0</v>
      </c>
    </row>
    <row r="22796" spans="1:16" x14ac:dyDescent="0.25">
      <c r="A22796" t="s">
        <v>45546</v>
      </c>
      <c r="B22796" t="s">
        <v>13529</v>
      </c>
      <c r="C22796" t="s">
        <v>13530</v>
      </c>
      <c r="D22796" t="s">
        <v>739</v>
      </c>
      <c r="E22796" t="s">
        <v>740</v>
      </c>
      <c r="F22796" t="s">
        <v>52</v>
      </c>
      <c r="G22796" t="s">
        <v>47093</v>
      </c>
      <c r="H22796" t="s">
        <v>47054</v>
      </c>
      <c r="I22796" t="s">
        <v>47111</v>
      </c>
      <c r="J22796" t="s">
        <v>47112</v>
      </c>
      <c r="K22796" t="s">
        <v>47113</v>
      </c>
      <c r="L22796">
        <v>43.19</v>
      </c>
      <c r="M22796">
        <v>106</v>
      </c>
      <c r="N22796">
        <v>0</v>
      </c>
      <c r="O22796">
        <v>106</v>
      </c>
      <c r="P22796">
        <v>0</v>
      </c>
    </row>
    <row r="22797" spans="1:16" x14ac:dyDescent="0.25">
      <c r="A22797" t="s">
        <v>45547</v>
      </c>
      <c r="B22797" t="s">
        <v>13531</v>
      </c>
      <c r="C22797" t="s">
        <v>12162</v>
      </c>
      <c r="D22797" t="s">
        <v>721</v>
      </c>
      <c r="E22797" t="s">
        <v>722</v>
      </c>
      <c r="F22797" t="s">
        <v>52</v>
      </c>
      <c r="G22797" t="s">
        <v>47093</v>
      </c>
      <c r="H22797" t="s">
        <v>47054</v>
      </c>
      <c r="I22797" t="s">
        <v>47111</v>
      </c>
      <c r="J22797" t="s">
        <v>47112</v>
      </c>
      <c r="K22797" t="s">
        <v>47113</v>
      </c>
      <c r="L22797">
        <v>47.76</v>
      </c>
      <c r="M22797">
        <v>115</v>
      </c>
      <c r="N22797">
        <v>0</v>
      </c>
      <c r="O22797">
        <v>115</v>
      </c>
      <c r="P22797">
        <v>0</v>
      </c>
    </row>
    <row r="22798" spans="1:16" x14ac:dyDescent="0.25">
      <c r="A22798" t="s">
        <v>45548</v>
      </c>
      <c r="B22798" t="s">
        <v>13531</v>
      </c>
      <c r="C22798" t="s">
        <v>12162</v>
      </c>
      <c r="D22798" t="s">
        <v>1792</v>
      </c>
      <c r="E22798" t="s">
        <v>1793</v>
      </c>
      <c r="F22798" t="s">
        <v>52</v>
      </c>
      <c r="G22798" t="s">
        <v>47093</v>
      </c>
      <c r="H22798" t="s">
        <v>47054</v>
      </c>
      <c r="I22798" t="s">
        <v>47111</v>
      </c>
      <c r="J22798" t="s">
        <v>47112</v>
      </c>
      <c r="K22798" t="s">
        <v>47113</v>
      </c>
      <c r="L22798">
        <v>55.9</v>
      </c>
      <c r="M22798">
        <v>135</v>
      </c>
      <c r="N22798">
        <v>0</v>
      </c>
      <c r="O22798">
        <v>135</v>
      </c>
      <c r="P22798">
        <v>0</v>
      </c>
    </row>
    <row r="22799" spans="1:16" x14ac:dyDescent="0.25">
      <c r="A22799" t="s">
        <v>45549</v>
      </c>
      <c r="B22799" t="s">
        <v>13531</v>
      </c>
      <c r="C22799" t="s">
        <v>12162</v>
      </c>
      <c r="D22799" t="s">
        <v>1734</v>
      </c>
      <c r="E22799" t="s">
        <v>1735</v>
      </c>
      <c r="F22799" t="s">
        <v>52</v>
      </c>
      <c r="G22799" t="s">
        <v>47093</v>
      </c>
      <c r="H22799" t="s">
        <v>47054</v>
      </c>
      <c r="I22799" t="s">
        <v>47111</v>
      </c>
      <c r="J22799" t="s">
        <v>47112</v>
      </c>
      <c r="K22799" t="s">
        <v>47113</v>
      </c>
      <c r="L22799">
        <v>58.32</v>
      </c>
      <c r="M22799">
        <v>141</v>
      </c>
      <c r="N22799">
        <v>0</v>
      </c>
      <c r="O22799">
        <v>141</v>
      </c>
      <c r="P22799">
        <v>0</v>
      </c>
    </row>
    <row r="22800" spans="1:16" x14ac:dyDescent="0.25">
      <c r="A22800" t="s">
        <v>45550</v>
      </c>
      <c r="B22800" t="s">
        <v>13531</v>
      </c>
      <c r="C22800" t="s">
        <v>12162</v>
      </c>
      <c r="D22800" t="s">
        <v>10058</v>
      </c>
      <c r="E22800" t="s">
        <v>10059</v>
      </c>
      <c r="F22800" t="s">
        <v>52</v>
      </c>
      <c r="G22800" t="s">
        <v>47093</v>
      </c>
      <c r="H22800" t="s">
        <v>47054</v>
      </c>
      <c r="I22800" t="s">
        <v>47111</v>
      </c>
      <c r="J22800" t="s">
        <v>47112</v>
      </c>
      <c r="K22800" t="s">
        <v>47113</v>
      </c>
      <c r="L22800">
        <v>52.55</v>
      </c>
      <c r="M22800">
        <v>127</v>
      </c>
      <c r="N22800">
        <v>0</v>
      </c>
      <c r="O22800">
        <v>127</v>
      </c>
      <c r="P22800">
        <v>0</v>
      </c>
    </row>
    <row r="22801" spans="1:16" x14ac:dyDescent="0.25">
      <c r="A22801" t="s">
        <v>45551</v>
      </c>
      <c r="B22801" t="s">
        <v>13532</v>
      </c>
      <c r="C22801" t="s">
        <v>10096</v>
      </c>
      <c r="D22801" t="s">
        <v>13506</v>
      </c>
      <c r="E22801" t="s">
        <v>13507</v>
      </c>
      <c r="F22801" t="s">
        <v>56</v>
      </c>
      <c r="G22801" t="s">
        <v>47093</v>
      </c>
      <c r="H22801" t="s">
        <v>47054</v>
      </c>
      <c r="I22801" t="s">
        <v>47114</v>
      </c>
      <c r="J22801" t="s">
        <v>47115</v>
      </c>
      <c r="K22801" t="s">
        <v>47113</v>
      </c>
      <c r="L22801">
        <v>55.1</v>
      </c>
      <c r="M22801">
        <v>124</v>
      </c>
      <c r="N22801">
        <v>0</v>
      </c>
      <c r="O22801">
        <v>124</v>
      </c>
      <c r="P22801">
        <v>0</v>
      </c>
    </row>
    <row r="22802" spans="1:16" x14ac:dyDescent="0.25">
      <c r="A22802" t="s">
        <v>45552</v>
      </c>
      <c r="B22802" t="s">
        <v>13533</v>
      </c>
      <c r="C22802" t="s">
        <v>13534</v>
      </c>
      <c r="D22802" t="s">
        <v>739</v>
      </c>
      <c r="E22802" t="s">
        <v>740</v>
      </c>
      <c r="F22802" t="s">
        <v>52</v>
      </c>
      <c r="G22802" t="s">
        <v>47093</v>
      </c>
      <c r="H22802" t="s">
        <v>47054</v>
      </c>
      <c r="I22802" t="s">
        <v>47111</v>
      </c>
      <c r="J22802" t="s">
        <v>47112</v>
      </c>
      <c r="K22802" t="s">
        <v>47113</v>
      </c>
      <c r="L22802">
        <v>39.46</v>
      </c>
      <c r="M22802">
        <v>106</v>
      </c>
      <c r="N22802">
        <v>0</v>
      </c>
      <c r="O22802">
        <v>106</v>
      </c>
      <c r="P22802">
        <v>0</v>
      </c>
    </row>
    <row r="22803" spans="1:16" x14ac:dyDescent="0.25">
      <c r="A22803" t="s">
        <v>45553</v>
      </c>
      <c r="B22803" t="s">
        <v>13535</v>
      </c>
      <c r="C22803" t="s">
        <v>13536</v>
      </c>
      <c r="D22803" t="s">
        <v>721</v>
      </c>
      <c r="E22803" t="s">
        <v>722</v>
      </c>
      <c r="F22803" t="s">
        <v>52</v>
      </c>
      <c r="G22803" t="s">
        <v>47093</v>
      </c>
      <c r="H22803" t="s">
        <v>47054</v>
      </c>
      <c r="I22803" t="s">
        <v>47111</v>
      </c>
      <c r="J22803" t="s">
        <v>47112</v>
      </c>
      <c r="K22803" t="s">
        <v>47113</v>
      </c>
      <c r="L22803">
        <v>46.35</v>
      </c>
      <c r="M22803">
        <v>115</v>
      </c>
      <c r="N22803">
        <v>0</v>
      </c>
      <c r="O22803">
        <v>115</v>
      </c>
      <c r="P22803">
        <v>0</v>
      </c>
    </row>
    <row r="22804" spans="1:16" x14ac:dyDescent="0.25">
      <c r="A22804" t="s">
        <v>45554</v>
      </c>
      <c r="B22804" t="s">
        <v>13535</v>
      </c>
      <c r="C22804" t="s">
        <v>13536</v>
      </c>
      <c r="D22804" t="s">
        <v>1792</v>
      </c>
      <c r="E22804" t="s">
        <v>1793</v>
      </c>
      <c r="F22804" t="s">
        <v>52</v>
      </c>
      <c r="G22804" t="s">
        <v>47093</v>
      </c>
      <c r="H22804" t="s">
        <v>47054</v>
      </c>
      <c r="I22804" t="s">
        <v>47111</v>
      </c>
      <c r="J22804" t="s">
        <v>47112</v>
      </c>
      <c r="K22804" t="s">
        <v>47113</v>
      </c>
      <c r="L22804">
        <v>54.46</v>
      </c>
      <c r="M22804">
        <v>135</v>
      </c>
      <c r="N22804">
        <v>0</v>
      </c>
      <c r="O22804">
        <v>135</v>
      </c>
      <c r="P22804">
        <v>0</v>
      </c>
    </row>
    <row r="22805" spans="1:16" x14ac:dyDescent="0.25">
      <c r="A22805" t="s">
        <v>45555</v>
      </c>
      <c r="B22805" t="s">
        <v>13535</v>
      </c>
      <c r="C22805" t="s">
        <v>13536</v>
      </c>
      <c r="D22805" t="s">
        <v>1734</v>
      </c>
      <c r="E22805" t="s">
        <v>1735</v>
      </c>
      <c r="F22805" t="s">
        <v>52</v>
      </c>
      <c r="G22805" t="s">
        <v>47093</v>
      </c>
      <c r="H22805" t="s">
        <v>47054</v>
      </c>
      <c r="I22805" t="s">
        <v>47111</v>
      </c>
      <c r="J22805" t="s">
        <v>47112</v>
      </c>
      <c r="K22805" t="s">
        <v>47113</v>
      </c>
      <c r="L22805">
        <v>55</v>
      </c>
      <c r="M22805">
        <v>141</v>
      </c>
      <c r="N22805">
        <v>0</v>
      </c>
      <c r="O22805">
        <v>141</v>
      </c>
      <c r="P22805">
        <v>0</v>
      </c>
    </row>
    <row r="22806" spans="1:16" x14ac:dyDescent="0.25">
      <c r="A22806" t="s">
        <v>45556</v>
      </c>
      <c r="B22806" t="s">
        <v>13535</v>
      </c>
      <c r="C22806" t="s">
        <v>13536</v>
      </c>
      <c r="D22806" t="s">
        <v>10058</v>
      </c>
      <c r="E22806" t="s">
        <v>10059</v>
      </c>
      <c r="F22806" t="s">
        <v>52</v>
      </c>
      <c r="G22806" t="s">
        <v>47093</v>
      </c>
      <c r="H22806" t="s">
        <v>47054</v>
      </c>
      <c r="I22806" t="s">
        <v>47111</v>
      </c>
      <c r="J22806" t="s">
        <v>47112</v>
      </c>
      <c r="K22806" t="s">
        <v>47113</v>
      </c>
      <c r="L22806">
        <v>51.07</v>
      </c>
      <c r="M22806">
        <v>127</v>
      </c>
      <c r="N22806">
        <v>0</v>
      </c>
      <c r="O22806">
        <v>127</v>
      </c>
      <c r="P22806">
        <v>0</v>
      </c>
    </row>
    <row r="22807" spans="1:16" x14ac:dyDescent="0.25">
      <c r="A22807" t="s">
        <v>45557</v>
      </c>
      <c r="B22807" t="s">
        <v>13537</v>
      </c>
      <c r="C22807" t="s">
        <v>13538</v>
      </c>
      <c r="D22807" t="s">
        <v>10075</v>
      </c>
      <c r="E22807" t="s">
        <v>10076</v>
      </c>
      <c r="F22807" t="s">
        <v>56</v>
      </c>
      <c r="G22807" t="s">
        <v>47093</v>
      </c>
      <c r="H22807" t="s">
        <v>47054</v>
      </c>
      <c r="I22807" t="s">
        <v>47114</v>
      </c>
      <c r="J22807" t="s">
        <v>47115</v>
      </c>
      <c r="K22807" t="s">
        <v>47113</v>
      </c>
      <c r="L22807">
        <v>59.87</v>
      </c>
      <c r="M22807">
        <v>136</v>
      </c>
      <c r="N22807">
        <v>0</v>
      </c>
      <c r="O22807">
        <v>136</v>
      </c>
      <c r="P22807">
        <v>0</v>
      </c>
    </row>
    <row r="22808" spans="1:16" x14ac:dyDescent="0.25">
      <c r="A22808" t="s">
        <v>45558</v>
      </c>
      <c r="B22808" t="s">
        <v>13537</v>
      </c>
      <c r="C22808" t="s">
        <v>13538</v>
      </c>
      <c r="D22808" t="s">
        <v>1711</v>
      </c>
      <c r="E22808" t="s">
        <v>1712</v>
      </c>
      <c r="F22808" t="s">
        <v>56</v>
      </c>
      <c r="G22808" t="s">
        <v>47093</v>
      </c>
      <c r="H22808" t="s">
        <v>47054</v>
      </c>
      <c r="I22808" t="s">
        <v>47114</v>
      </c>
      <c r="J22808" t="s">
        <v>47115</v>
      </c>
      <c r="K22808" t="s">
        <v>47113</v>
      </c>
      <c r="L22808">
        <v>59.87</v>
      </c>
      <c r="M22808">
        <v>134</v>
      </c>
      <c r="N22808">
        <v>0</v>
      </c>
      <c r="O22808">
        <v>134</v>
      </c>
      <c r="P22808">
        <v>0</v>
      </c>
    </row>
    <row r="22809" spans="1:16" x14ac:dyDescent="0.25">
      <c r="A22809" t="s">
        <v>45559</v>
      </c>
      <c r="B22809" t="s">
        <v>13539</v>
      </c>
      <c r="C22809" t="s">
        <v>13538</v>
      </c>
      <c r="D22809" t="s">
        <v>721</v>
      </c>
      <c r="E22809" t="s">
        <v>722</v>
      </c>
      <c r="F22809" t="s">
        <v>56</v>
      </c>
      <c r="G22809" t="s">
        <v>47093</v>
      </c>
      <c r="H22809" t="s">
        <v>47054</v>
      </c>
      <c r="I22809" t="s">
        <v>47111</v>
      </c>
      <c r="J22809" t="s">
        <v>47112</v>
      </c>
      <c r="K22809" t="s">
        <v>47113</v>
      </c>
      <c r="L22809">
        <v>46.7</v>
      </c>
      <c r="M22809">
        <v>103</v>
      </c>
      <c r="N22809">
        <v>0</v>
      </c>
      <c r="O22809">
        <v>103</v>
      </c>
      <c r="P22809">
        <v>0</v>
      </c>
    </row>
    <row r="22810" spans="1:16" x14ac:dyDescent="0.25">
      <c r="A22810" t="s">
        <v>45560</v>
      </c>
      <c r="B22810" t="s">
        <v>13539</v>
      </c>
      <c r="C22810" t="s">
        <v>13538</v>
      </c>
      <c r="D22810" t="s">
        <v>10075</v>
      </c>
      <c r="E22810" t="s">
        <v>10076</v>
      </c>
      <c r="F22810" t="s">
        <v>56</v>
      </c>
      <c r="G22810" t="s">
        <v>47093</v>
      </c>
      <c r="H22810" t="s">
        <v>47054</v>
      </c>
      <c r="I22810" t="s">
        <v>47111</v>
      </c>
      <c r="J22810" t="s">
        <v>47112</v>
      </c>
      <c r="K22810" t="s">
        <v>47113</v>
      </c>
      <c r="L22810">
        <v>57.58</v>
      </c>
      <c r="M22810">
        <v>134</v>
      </c>
      <c r="N22810">
        <v>0</v>
      </c>
      <c r="O22810">
        <v>134</v>
      </c>
      <c r="P22810">
        <v>0</v>
      </c>
    </row>
    <row r="22811" spans="1:16" x14ac:dyDescent="0.25">
      <c r="A22811" t="s">
        <v>45561</v>
      </c>
      <c r="B22811" t="s">
        <v>13539</v>
      </c>
      <c r="C22811" t="s">
        <v>13538</v>
      </c>
      <c r="D22811" t="s">
        <v>13506</v>
      </c>
      <c r="E22811" t="s">
        <v>13507</v>
      </c>
      <c r="F22811" t="s">
        <v>56</v>
      </c>
      <c r="G22811" t="s">
        <v>47093</v>
      </c>
      <c r="H22811" t="s">
        <v>47054</v>
      </c>
      <c r="I22811" t="s">
        <v>47111</v>
      </c>
      <c r="J22811" t="s">
        <v>47112</v>
      </c>
      <c r="K22811" t="s">
        <v>47113</v>
      </c>
      <c r="L22811">
        <v>54.19</v>
      </c>
      <c r="M22811">
        <v>124</v>
      </c>
      <c r="N22811">
        <v>0</v>
      </c>
      <c r="O22811">
        <v>124</v>
      </c>
      <c r="P22811">
        <v>0</v>
      </c>
    </row>
    <row r="22812" spans="1:16" x14ac:dyDescent="0.25">
      <c r="A22812" t="s">
        <v>45562</v>
      </c>
      <c r="B22812" t="s">
        <v>13540</v>
      </c>
      <c r="C22812" t="s">
        <v>13538</v>
      </c>
      <c r="D22812" t="s">
        <v>10075</v>
      </c>
      <c r="E22812" t="s">
        <v>10076</v>
      </c>
      <c r="F22812" t="s">
        <v>56</v>
      </c>
      <c r="G22812" t="s">
        <v>47093</v>
      </c>
      <c r="H22812" t="s">
        <v>47054</v>
      </c>
      <c r="I22812" t="s">
        <v>47114</v>
      </c>
      <c r="J22812" t="s">
        <v>47115</v>
      </c>
      <c r="K22812" t="s">
        <v>47113</v>
      </c>
      <c r="L22812">
        <v>61.46</v>
      </c>
      <c r="M22812">
        <v>134</v>
      </c>
      <c r="N22812">
        <v>0</v>
      </c>
      <c r="O22812">
        <v>134</v>
      </c>
      <c r="P22812">
        <v>0</v>
      </c>
    </row>
    <row r="22813" spans="1:16" x14ac:dyDescent="0.25">
      <c r="A22813" t="s">
        <v>45563</v>
      </c>
      <c r="B22813" t="s">
        <v>13540</v>
      </c>
      <c r="C22813" t="s">
        <v>13538</v>
      </c>
      <c r="D22813" t="s">
        <v>2030</v>
      </c>
      <c r="E22813" t="s">
        <v>2031</v>
      </c>
      <c r="F22813" t="s">
        <v>56</v>
      </c>
      <c r="G22813" t="s">
        <v>47093</v>
      </c>
      <c r="H22813" t="s">
        <v>47054</v>
      </c>
      <c r="I22813" t="s">
        <v>47114</v>
      </c>
      <c r="J22813" t="s">
        <v>47115</v>
      </c>
      <c r="K22813" t="s">
        <v>47113</v>
      </c>
      <c r="L22813">
        <v>60.34</v>
      </c>
      <c r="M22813">
        <v>132</v>
      </c>
      <c r="N22813">
        <v>0</v>
      </c>
      <c r="O22813">
        <v>132</v>
      </c>
      <c r="P22813">
        <v>0</v>
      </c>
    </row>
    <row r="22814" spans="1:16" x14ac:dyDescent="0.25">
      <c r="A22814" t="s">
        <v>1351</v>
      </c>
      <c r="B22814" t="s">
        <v>1352</v>
      </c>
      <c r="C22814" t="s">
        <v>656</v>
      </c>
      <c r="D22814" t="str">
        <f>"3235"</f>
        <v>3235</v>
      </c>
      <c r="E22814" t="s">
        <v>1353</v>
      </c>
      <c r="F22814" t="s">
        <v>7</v>
      </c>
      <c r="G22814" t="s">
        <v>47093</v>
      </c>
      <c r="H22814" t="s">
        <v>47054</v>
      </c>
      <c r="I22814" t="s">
        <v>47111</v>
      </c>
      <c r="J22814" t="s">
        <v>47112</v>
      </c>
      <c r="K22814" t="s">
        <v>47113</v>
      </c>
      <c r="L22814">
        <v>44.45</v>
      </c>
      <c r="M22814">
        <v>112</v>
      </c>
      <c r="N22814">
        <v>0</v>
      </c>
      <c r="O22814">
        <v>112</v>
      </c>
      <c r="P22814">
        <v>0</v>
      </c>
    </row>
    <row r="22815" spans="1:16" x14ac:dyDescent="0.25">
      <c r="A22815" t="s">
        <v>45564</v>
      </c>
      <c r="B22815" t="s">
        <v>1352</v>
      </c>
      <c r="C22815" t="s">
        <v>656</v>
      </c>
      <c r="D22815" t="str">
        <f>"8135"</f>
        <v>8135</v>
      </c>
      <c r="E22815" t="s">
        <v>13541</v>
      </c>
      <c r="F22815" t="s">
        <v>7</v>
      </c>
      <c r="G22815" t="s">
        <v>47093</v>
      </c>
      <c r="H22815" t="s">
        <v>47054</v>
      </c>
      <c r="I22815" t="s">
        <v>47111</v>
      </c>
      <c r="J22815" t="s">
        <v>47112</v>
      </c>
      <c r="K22815" t="s">
        <v>47113</v>
      </c>
      <c r="L22815">
        <v>44.45</v>
      </c>
      <c r="M22815">
        <v>112</v>
      </c>
      <c r="N22815">
        <v>0</v>
      </c>
      <c r="O22815">
        <v>112</v>
      </c>
      <c r="P22815">
        <v>0</v>
      </c>
    </row>
    <row r="22816" spans="1:16" x14ac:dyDescent="0.25">
      <c r="A22816" t="s">
        <v>45565</v>
      </c>
      <c r="B22816" t="s">
        <v>1352</v>
      </c>
      <c r="C22816" t="s">
        <v>656</v>
      </c>
      <c r="D22816" t="s">
        <v>13542</v>
      </c>
      <c r="E22816" t="s">
        <v>13543</v>
      </c>
      <c r="F22816" t="s">
        <v>296</v>
      </c>
      <c r="G22816" t="s">
        <v>47093</v>
      </c>
      <c r="H22816" t="s">
        <v>47054</v>
      </c>
      <c r="I22816" t="s">
        <v>47111</v>
      </c>
      <c r="J22816" t="s">
        <v>47112</v>
      </c>
      <c r="K22816" t="s">
        <v>47113</v>
      </c>
      <c r="L22816">
        <v>40.17</v>
      </c>
      <c r="M22816">
        <v>85</v>
      </c>
      <c r="N22816">
        <v>0</v>
      </c>
      <c r="O22816">
        <v>85</v>
      </c>
      <c r="P22816">
        <v>0</v>
      </c>
    </row>
    <row r="22817" spans="1:16" x14ac:dyDescent="0.25">
      <c r="A22817" t="s">
        <v>45566</v>
      </c>
      <c r="B22817" t="s">
        <v>13544</v>
      </c>
      <c r="C22817" t="s">
        <v>291</v>
      </c>
      <c r="D22817" t="s">
        <v>983</v>
      </c>
      <c r="E22817" t="s">
        <v>984</v>
      </c>
      <c r="F22817" t="s">
        <v>7</v>
      </c>
      <c r="G22817" t="s">
        <v>47093</v>
      </c>
      <c r="H22817" t="s">
        <v>47054</v>
      </c>
      <c r="I22817" t="s">
        <v>47111</v>
      </c>
      <c r="J22817" t="s">
        <v>47112</v>
      </c>
      <c r="K22817" t="s">
        <v>47113</v>
      </c>
      <c r="L22817">
        <v>60.88</v>
      </c>
      <c r="M22817">
        <v>155</v>
      </c>
      <c r="N22817">
        <v>0</v>
      </c>
      <c r="O22817">
        <v>155</v>
      </c>
      <c r="P22817">
        <v>0</v>
      </c>
    </row>
    <row r="22818" spans="1:16" x14ac:dyDescent="0.25">
      <c r="A22818" t="s">
        <v>45567</v>
      </c>
      <c r="B22818" t="s">
        <v>13545</v>
      </c>
      <c r="C22818" t="s">
        <v>291</v>
      </c>
      <c r="D22818" t="s">
        <v>311</v>
      </c>
      <c r="E22818" t="s">
        <v>312</v>
      </c>
      <c r="F22818" t="s">
        <v>7</v>
      </c>
      <c r="G22818" t="s">
        <v>47093</v>
      </c>
      <c r="H22818" t="s">
        <v>47054</v>
      </c>
      <c r="I22818" t="s">
        <v>47111</v>
      </c>
      <c r="J22818" t="s">
        <v>47112</v>
      </c>
      <c r="K22818" t="s">
        <v>47113</v>
      </c>
      <c r="L22818">
        <v>49.32</v>
      </c>
      <c r="M22818">
        <v>155</v>
      </c>
      <c r="N22818">
        <v>0</v>
      </c>
      <c r="O22818">
        <v>155</v>
      </c>
      <c r="P22818">
        <v>0</v>
      </c>
    </row>
    <row r="22819" spans="1:16" x14ac:dyDescent="0.25">
      <c r="A22819" t="s">
        <v>45568</v>
      </c>
      <c r="B22819" t="s">
        <v>13546</v>
      </c>
      <c r="C22819" t="s">
        <v>13547</v>
      </c>
      <c r="D22819" t="s">
        <v>721</v>
      </c>
      <c r="E22819" t="s">
        <v>722</v>
      </c>
      <c r="F22819" t="s">
        <v>687</v>
      </c>
      <c r="G22819" t="s">
        <v>47093</v>
      </c>
      <c r="H22819" t="s">
        <v>47054</v>
      </c>
      <c r="I22819" t="s">
        <v>47111</v>
      </c>
      <c r="J22819" t="s">
        <v>47112</v>
      </c>
      <c r="K22819" t="s">
        <v>47113</v>
      </c>
      <c r="L22819">
        <v>27.85</v>
      </c>
      <c r="M22819">
        <v>72</v>
      </c>
      <c r="N22819">
        <v>0</v>
      </c>
      <c r="O22819">
        <v>72</v>
      </c>
      <c r="P22819">
        <v>0</v>
      </c>
    </row>
    <row r="22820" spans="1:16" x14ac:dyDescent="0.25">
      <c r="A22820" t="s">
        <v>45569</v>
      </c>
      <c r="B22820" t="s">
        <v>1355</v>
      </c>
      <c r="C22820" t="s">
        <v>1356</v>
      </c>
      <c r="D22820" t="s">
        <v>1341</v>
      </c>
      <c r="E22820" t="s">
        <v>1342</v>
      </c>
      <c r="F22820" t="s">
        <v>8</v>
      </c>
      <c r="G22820" t="s">
        <v>47093</v>
      </c>
      <c r="H22820" t="s">
        <v>47054</v>
      </c>
      <c r="I22820" t="s">
        <v>47111</v>
      </c>
      <c r="J22820" t="s">
        <v>47112</v>
      </c>
      <c r="K22820" t="s">
        <v>47113</v>
      </c>
      <c r="L22820">
        <v>49.42</v>
      </c>
      <c r="M22820">
        <v>137</v>
      </c>
      <c r="N22820">
        <v>0</v>
      </c>
      <c r="O22820">
        <v>137</v>
      </c>
      <c r="P22820">
        <v>0</v>
      </c>
    </row>
    <row r="22821" spans="1:16" x14ac:dyDescent="0.25">
      <c r="A22821" t="s">
        <v>1354</v>
      </c>
      <c r="B22821" t="s">
        <v>1355</v>
      </c>
      <c r="C22821" t="s">
        <v>1356</v>
      </c>
      <c r="D22821" t="s">
        <v>629</v>
      </c>
      <c r="E22821" t="s">
        <v>630</v>
      </c>
      <c r="F22821" t="s">
        <v>8</v>
      </c>
      <c r="G22821" t="s">
        <v>47093</v>
      </c>
      <c r="H22821" t="s">
        <v>47054</v>
      </c>
      <c r="I22821" t="s">
        <v>47111</v>
      </c>
      <c r="J22821" t="s">
        <v>47112</v>
      </c>
      <c r="K22821" t="s">
        <v>47113</v>
      </c>
      <c r="L22821">
        <v>39.75</v>
      </c>
      <c r="M22821">
        <v>137</v>
      </c>
      <c r="N22821">
        <v>0</v>
      </c>
      <c r="O22821">
        <v>137</v>
      </c>
      <c r="P22821">
        <v>0</v>
      </c>
    </row>
    <row r="22822" spans="1:16" x14ac:dyDescent="0.25">
      <c r="A22822" t="s">
        <v>45570</v>
      </c>
      <c r="B22822" t="s">
        <v>1358</v>
      </c>
      <c r="C22822" t="s">
        <v>1359</v>
      </c>
      <c r="D22822" t="s">
        <v>721</v>
      </c>
      <c r="E22822" t="s">
        <v>722</v>
      </c>
      <c r="F22822" t="s">
        <v>8</v>
      </c>
      <c r="G22822" t="s">
        <v>47093</v>
      </c>
      <c r="H22822" t="s">
        <v>47054</v>
      </c>
      <c r="I22822" t="s">
        <v>47111</v>
      </c>
      <c r="J22822" t="s">
        <v>47112</v>
      </c>
      <c r="K22822" t="s">
        <v>47113</v>
      </c>
      <c r="L22822">
        <v>48.21</v>
      </c>
      <c r="M22822">
        <v>137</v>
      </c>
      <c r="N22822">
        <v>0</v>
      </c>
      <c r="O22822">
        <v>137</v>
      </c>
      <c r="P22822">
        <v>0</v>
      </c>
    </row>
    <row r="22823" spans="1:16" x14ac:dyDescent="0.25">
      <c r="A22823" t="s">
        <v>1357</v>
      </c>
      <c r="B22823" t="s">
        <v>1358</v>
      </c>
      <c r="C22823" t="s">
        <v>1359</v>
      </c>
      <c r="D22823" t="str">
        <f>"40"</f>
        <v>40</v>
      </c>
      <c r="E22823" t="s">
        <v>31</v>
      </c>
      <c r="F22823" t="s">
        <v>8</v>
      </c>
      <c r="G22823" t="s">
        <v>47093</v>
      </c>
      <c r="H22823" t="s">
        <v>47054</v>
      </c>
      <c r="I22823" t="s">
        <v>47111</v>
      </c>
      <c r="J22823" t="s">
        <v>47112</v>
      </c>
      <c r="K22823" t="s">
        <v>47113</v>
      </c>
      <c r="L22823">
        <v>49.19</v>
      </c>
      <c r="M22823">
        <v>146</v>
      </c>
      <c r="N22823">
        <v>0</v>
      </c>
      <c r="O22823">
        <v>146</v>
      </c>
      <c r="P22823">
        <v>0</v>
      </c>
    </row>
    <row r="22824" spans="1:16" x14ac:dyDescent="0.25">
      <c r="A22824" t="s">
        <v>45571</v>
      </c>
      <c r="B22824" t="s">
        <v>1358</v>
      </c>
      <c r="C22824" t="s">
        <v>1359</v>
      </c>
      <c r="D22824" t="str">
        <f>"63"</f>
        <v>63</v>
      </c>
      <c r="E22824" t="s">
        <v>40</v>
      </c>
      <c r="F22824" t="s">
        <v>8</v>
      </c>
      <c r="G22824" t="s">
        <v>47093</v>
      </c>
      <c r="H22824" t="s">
        <v>47054</v>
      </c>
      <c r="I22824" t="s">
        <v>47111</v>
      </c>
      <c r="J22824" t="s">
        <v>47112</v>
      </c>
      <c r="K22824" t="s">
        <v>47113</v>
      </c>
      <c r="L22824">
        <v>55.03</v>
      </c>
      <c r="M22824">
        <v>146</v>
      </c>
      <c r="N22824">
        <v>0</v>
      </c>
      <c r="O22824">
        <v>146</v>
      </c>
      <c r="P22824">
        <v>0</v>
      </c>
    </row>
    <row r="22825" spans="1:16" x14ac:dyDescent="0.25">
      <c r="A22825" t="s">
        <v>45572</v>
      </c>
      <c r="B22825" t="s">
        <v>1358</v>
      </c>
      <c r="C22825" t="s">
        <v>1359</v>
      </c>
      <c r="D22825" t="s">
        <v>1777</v>
      </c>
      <c r="E22825" t="s">
        <v>1778</v>
      </c>
      <c r="F22825" t="s">
        <v>8</v>
      </c>
      <c r="G22825" t="s">
        <v>47093</v>
      </c>
      <c r="H22825" t="s">
        <v>47054</v>
      </c>
      <c r="I22825" t="s">
        <v>47111</v>
      </c>
      <c r="J22825" t="s">
        <v>47112</v>
      </c>
      <c r="K22825" t="s">
        <v>47113</v>
      </c>
      <c r="L22825">
        <v>53.53</v>
      </c>
      <c r="M22825">
        <v>146</v>
      </c>
      <c r="N22825">
        <v>0</v>
      </c>
      <c r="O22825">
        <v>146</v>
      </c>
      <c r="P22825">
        <v>0</v>
      </c>
    </row>
    <row r="22826" spans="1:16" x14ac:dyDescent="0.25">
      <c r="A22826" t="s">
        <v>45573</v>
      </c>
      <c r="B22826" t="s">
        <v>13548</v>
      </c>
      <c r="C22826" t="s">
        <v>13549</v>
      </c>
      <c r="D22826" t="s">
        <v>721</v>
      </c>
      <c r="E22826" t="s">
        <v>722</v>
      </c>
      <c r="F22826" t="s">
        <v>52</v>
      </c>
      <c r="G22826" t="s">
        <v>47093</v>
      </c>
      <c r="H22826" t="s">
        <v>47054</v>
      </c>
      <c r="I22826" t="s">
        <v>47111</v>
      </c>
      <c r="J22826" t="s">
        <v>47112</v>
      </c>
      <c r="K22826" t="s">
        <v>47113</v>
      </c>
      <c r="L22826">
        <v>46.95</v>
      </c>
      <c r="M22826">
        <v>115</v>
      </c>
      <c r="N22826">
        <v>0</v>
      </c>
      <c r="O22826">
        <v>115</v>
      </c>
      <c r="P22826">
        <v>0</v>
      </c>
    </row>
    <row r="22827" spans="1:16" x14ac:dyDescent="0.25">
      <c r="A22827" t="s">
        <v>45574</v>
      </c>
      <c r="B22827" t="s">
        <v>13548</v>
      </c>
      <c r="C22827" t="s">
        <v>13549</v>
      </c>
      <c r="D22827" t="s">
        <v>1792</v>
      </c>
      <c r="E22827" t="s">
        <v>1793</v>
      </c>
      <c r="F22827" t="s">
        <v>52</v>
      </c>
      <c r="G22827" t="s">
        <v>47093</v>
      </c>
      <c r="H22827" t="s">
        <v>47054</v>
      </c>
      <c r="I22827" t="s">
        <v>47111</v>
      </c>
      <c r="J22827" t="s">
        <v>47112</v>
      </c>
      <c r="K22827" t="s">
        <v>47113</v>
      </c>
      <c r="L22827">
        <v>56.73</v>
      </c>
      <c r="M22827">
        <v>135</v>
      </c>
      <c r="N22827">
        <v>0</v>
      </c>
      <c r="O22827">
        <v>135</v>
      </c>
      <c r="P22827">
        <v>0</v>
      </c>
    </row>
    <row r="22828" spans="1:16" x14ac:dyDescent="0.25">
      <c r="A22828" t="s">
        <v>45575</v>
      </c>
      <c r="B22828" t="s">
        <v>13548</v>
      </c>
      <c r="C22828" t="s">
        <v>13549</v>
      </c>
      <c r="D22828" t="s">
        <v>1734</v>
      </c>
      <c r="E22828" t="s">
        <v>1735</v>
      </c>
      <c r="F22828" t="s">
        <v>52</v>
      </c>
      <c r="G22828" t="s">
        <v>47093</v>
      </c>
      <c r="H22828" t="s">
        <v>47054</v>
      </c>
      <c r="I22828" t="s">
        <v>47111</v>
      </c>
      <c r="J22828" t="s">
        <v>47112</v>
      </c>
      <c r="K22828" t="s">
        <v>47113</v>
      </c>
      <c r="L22828">
        <v>58.99</v>
      </c>
      <c r="M22828">
        <v>141</v>
      </c>
      <c r="N22828">
        <v>0</v>
      </c>
      <c r="O22828">
        <v>141</v>
      </c>
      <c r="P22828">
        <v>0</v>
      </c>
    </row>
    <row r="22829" spans="1:16" x14ac:dyDescent="0.25">
      <c r="A22829" t="s">
        <v>45576</v>
      </c>
      <c r="B22829" t="s">
        <v>13548</v>
      </c>
      <c r="C22829" t="s">
        <v>13549</v>
      </c>
      <c r="D22829" t="s">
        <v>10058</v>
      </c>
      <c r="E22829" t="s">
        <v>10059</v>
      </c>
      <c r="F22829" t="s">
        <v>52</v>
      </c>
      <c r="G22829" t="s">
        <v>47093</v>
      </c>
      <c r="H22829" t="s">
        <v>47054</v>
      </c>
      <c r="I22829" t="s">
        <v>47111</v>
      </c>
      <c r="J22829" t="s">
        <v>47112</v>
      </c>
      <c r="K22829" t="s">
        <v>47113</v>
      </c>
      <c r="L22829">
        <v>51.63</v>
      </c>
      <c r="M22829">
        <v>127</v>
      </c>
      <c r="N22829">
        <v>0</v>
      </c>
      <c r="O22829">
        <v>127</v>
      </c>
      <c r="P22829">
        <v>0</v>
      </c>
    </row>
    <row r="22830" spans="1:16" x14ac:dyDescent="0.25">
      <c r="A22830" t="s">
        <v>45577</v>
      </c>
      <c r="B22830" t="s">
        <v>13550</v>
      </c>
      <c r="C22830" t="s">
        <v>10120</v>
      </c>
      <c r="D22830" t="s">
        <v>721</v>
      </c>
      <c r="E22830" t="s">
        <v>722</v>
      </c>
      <c r="F22830" t="s">
        <v>56</v>
      </c>
      <c r="G22830" t="s">
        <v>47093</v>
      </c>
      <c r="H22830" t="s">
        <v>47054</v>
      </c>
      <c r="I22830" t="s">
        <v>47111</v>
      </c>
      <c r="J22830" t="s">
        <v>47112</v>
      </c>
      <c r="K22830" t="s">
        <v>47113</v>
      </c>
      <c r="L22830">
        <v>48.89</v>
      </c>
      <c r="M22830">
        <v>108</v>
      </c>
      <c r="N22830">
        <v>0</v>
      </c>
      <c r="O22830">
        <v>108</v>
      </c>
      <c r="P22830">
        <v>0</v>
      </c>
    </row>
    <row r="22831" spans="1:16" x14ac:dyDescent="0.25">
      <c r="A22831" t="s">
        <v>45578</v>
      </c>
      <c r="B22831" t="s">
        <v>13550</v>
      </c>
      <c r="C22831" t="s">
        <v>10120</v>
      </c>
      <c r="D22831" t="s">
        <v>10075</v>
      </c>
      <c r="E22831" t="s">
        <v>10076</v>
      </c>
      <c r="F22831" t="s">
        <v>56</v>
      </c>
      <c r="G22831" t="s">
        <v>47093</v>
      </c>
      <c r="H22831" t="s">
        <v>47054</v>
      </c>
      <c r="I22831" t="s">
        <v>47111</v>
      </c>
      <c r="J22831" t="s">
        <v>47112</v>
      </c>
      <c r="K22831" t="s">
        <v>47113</v>
      </c>
      <c r="L22831">
        <v>59.78</v>
      </c>
      <c r="M22831">
        <v>134</v>
      </c>
      <c r="N22831">
        <v>0</v>
      </c>
      <c r="O22831">
        <v>134</v>
      </c>
      <c r="P22831">
        <v>0</v>
      </c>
    </row>
    <row r="22832" spans="1:16" x14ac:dyDescent="0.25">
      <c r="A22832" t="s">
        <v>45579</v>
      </c>
      <c r="B22832" t="s">
        <v>13550</v>
      </c>
      <c r="C22832" t="s">
        <v>10120</v>
      </c>
      <c r="D22832" t="s">
        <v>13506</v>
      </c>
      <c r="E22832" t="s">
        <v>13507</v>
      </c>
      <c r="F22832" t="s">
        <v>56</v>
      </c>
      <c r="G22832" t="s">
        <v>47093</v>
      </c>
      <c r="H22832" t="s">
        <v>47054</v>
      </c>
      <c r="I22832" t="s">
        <v>47111</v>
      </c>
      <c r="J22832" t="s">
        <v>47112</v>
      </c>
      <c r="K22832" t="s">
        <v>47113</v>
      </c>
      <c r="L22832">
        <v>56.39</v>
      </c>
      <c r="M22832">
        <v>124</v>
      </c>
      <c r="N22832">
        <v>0</v>
      </c>
      <c r="O22832">
        <v>124</v>
      </c>
      <c r="P22832">
        <v>0</v>
      </c>
    </row>
    <row r="22833" spans="1:16" x14ac:dyDescent="0.25">
      <c r="A22833" t="s">
        <v>45580</v>
      </c>
      <c r="B22833" t="s">
        <v>13551</v>
      </c>
      <c r="C22833" t="s">
        <v>13552</v>
      </c>
      <c r="D22833" t="str">
        <f>"1770"</f>
        <v>1770</v>
      </c>
      <c r="E22833" t="s">
        <v>13553</v>
      </c>
      <c r="F22833" t="s">
        <v>56</v>
      </c>
      <c r="G22833" t="s">
        <v>47093</v>
      </c>
      <c r="H22833" t="s">
        <v>47054</v>
      </c>
      <c r="I22833" t="s">
        <v>47111</v>
      </c>
      <c r="J22833" t="s">
        <v>47112</v>
      </c>
      <c r="K22833" t="s">
        <v>47113</v>
      </c>
      <c r="L22833">
        <v>37.4</v>
      </c>
      <c r="M22833">
        <v>88</v>
      </c>
      <c r="N22833">
        <v>0</v>
      </c>
      <c r="O22833">
        <v>88</v>
      </c>
      <c r="P22833">
        <v>0</v>
      </c>
    </row>
    <row r="22834" spans="1:16" x14ac:dyDescent="0.25">
      <c r="A22834" t="s">
        <v>45581</v>
      </c>
      <c r="B22834" t="s">
        <v>13551</v>
      </c>
      <c r="C22834" t="s">
        <v>13552</v>
      </c>
      <c r="D22834" t="str">
        <f>"1868"</f>
        <v>1868</v>
      </c>
      <c r="E22834" t="s">
        <v>13554</v>
      </c>
      <c r="F22834" t="s">
        <v>56</v>
      </c>
      <c r="G22834" t="s">
        <v>47093</v>
      </c>
      <c r="H22834" t="s">
        <v>47054</v>
      </c>
      <c r="I22834" t="s">
        <v>47111</v>
      </c>
      <c r="J22834" t="s">
        <v>47112</v>
      </c>
      <c r="K22834" t="s">
        <v>47113</v>
      </c>
      <c r="L22834">
        <v>41.45</v>
      </c>
      <c r="M22834">
        <v>88</v>
      </c>
      <c r="N22834">
        <v>0</v>
      </c>
      <c r="O22834">
        <v>88</v>
      </c>
      <c r="P22834">
        <v>0</v>
      </c>
    </row>
    <row r="22835" spans="1:16" x14ac:dyDescent="0.25">
      <c r="A22835" t="s">
        <v>45582</v>
      </c>
      <c r="B22835" t="s">
        <v>13555</v>
      </c>
      <c r="C22835" t="s">
        <v>13556</v>
      </c>
      <c r="D22835" t="str">
        <f>"1770"</f>
        <v>1770</v>
      </c>
      <c r="E22835" t="s">
        <v>13553</v>
      </c>
      <c r="F22835" t="s">
        <v>56</v>
      </c>
      <c r="G22835" t="s">
        <v>49029</v>
      </c>
      <c r="H22835" t="s">
        <v>47054</v>
      </c>
      <c r="I22835" t="s">
        <v>47111</v>
      </c>
      <c r="J22835" t="s">
        <v>47112</v>
      </c>
      <c r="K22835" t="s">
        <v>47113</v>
      </c>
      <c r="L22835">
        <v>29.26</v>
      </c>
      <c r="M22835">
        <v>73</v>
      </c>
      <c r="N22835">
        <v>0</v>
      </c>
      <c r="O22835">
        <v>73</v>
      </c>
      <c r="P22835">
        <v>0</v>
      </c>
    </row>
    <row r="22836" spans="1:16" x14ac:dyDescent="0.25">
      <c r="A22836" t="s">
        <v>45583</v>
      </c>
      <c r="B22836" t="s">
        <v>13555</v>
      </c>
      <c r="C22836" t="s">
        <v>13556</v>
      </c>
      <c r="D22836" t="str">
        <f>"5126"</f>
        <v>5126</v>
      </c>
      <c r="E22836" t="s">
        <v>13557</v>
      </c>
      <c r="F22836" t="s">
        <v>56</v>
      </c>
      <c r="G22836" t="s">
        <v>49029</v>
      </c>
      <c r="H22836" t="s">
        <v>47054</v>
      </c>
      <c r="I22836" t="s">
        <v>47111</v>
      </c>
      <c r="J22836" t="s">
        <v>47112</v>
      </c>
      <c r="K22836" t="s">
        <v>47113</v>
      </c>
      <c r="L22836">
        <v>29.26</v>
      </c>
      <c r="M22836">
        <v>73</v>
      </c>
      <c r="N22836">
        <v>0</v>
      </c>
      <c r="O22836">
        <v>73</v>
      </c>
      <c r="P22836">
        <v>0</v>
      </c>
    </row>
    <row r="22837" spans="1:16" x14ac:dyDescent="0.25">
      <c r="A22837" t="s">
        <v>45584</v>
      </c>
      <c r="B22837" t="s">
        <v>13558</v>
      </c>
      <c r="C22837" t="s">
        <v>13559</v>
      </c>
      <c r="D22837" t="s">
        <v>1928</v>
      </c>
      <c r="E22837" t="s">
        <v>1929</v>
      </c>
      <c r="F22837" t="s">
        <v>8</v>
      </c>
      <c r="G22837" t="s">
        <v>47098</v>
      </c>
      <c r="H22837" t="s">
        <v>47054</v>
      </c>
      <c r="I22837" t="s">
        <v>47116</v>
      </c>
      <c r="J22837" t="s">
        <v>47117</v>
      </c>
      <c r="K22837" t="s">
        <v>47113</v>
      </c>
      <c r="L22837">
        <v>33</v>
      </c>
      <c r="M22837">
        <v>117</v>
      </c>
      <c r="N22837">
        <v>0</v>
      </c>
      <c r="O22837">
        <v>117</v>
      </c>
      <c r="P22837">
        <v>0</v>
      </c>
    </row>
    <row r="22838" spans="1:16" x14ac:dyDescent="0.25">
      <c r="A22838" t="s">
        <v>45585</v>
      </c>
      <c r="B22838" t="s">
        <v>13560</v>
      </c>
      <c r="C22838" t="s">
        <v>13561</v>
      </c>
      <c r="D22838" t="str">
        <f>"1868"</f>
        <v>1868</v>
      </c>
      <c r="E22838" t="s">
        <v>13554</v>
      </c>
      <c r="F22838" t="s">
        <v>56</v>
      </c>
      <c r="G22838" t="s">
        <v>47093</v>
      </c>
      <c r="H22838" t="s">
        <v>47054</v>
      </c>
      <c r="I22838" t="s">
        <v>47111</v>
      </c>
      <c r="J22838" t="s">
        <v>47112</v>
      </c>
      <c r="K22838" t="s">
        <v>47113</v>
      </c>
      <c r="L22838">
        <v>36.049999999999997</v>
      </c>
      <c r="M22838">
        <v>87</v>
      </c>
      <c r="N22838">
        <v>0</v>
      </c>
      <c r="O22838">
        <v>87</v>
      </c>
      <c r="P22838">
        <v>0</v>
      </c>
    </row>
    <row r="22839" spans="1:16" x14ac:dyDescent="0.25">
      <c r="A22839" t="s">
        <v>45586</v>
      </c>
      <c r="B22839" t="s">
        <v>13560</v>
      </c>
      <c r="C22839" t="s">
        <v>13561</v>
      </c>
      <c r="D22839" t="str">
        <f>"5126"</f>
        <v>5126</v>
      </c>
      <c r="E22839" t="s">
        <v>13557</v>
      </c>
      <c r="F22839" t="s">
        <v>56</v>
      </c>
      <c r="G22839" t="s">
        <v>47093</v>
      </c>
      <c r="H22839" t="s">
        <v>47054</v>
      </c>
      <c r="I22839" t="s">
        <v>47111</v>
      </c>
      <c r="J22839" t="s">
        <v>47112</v>
      </c>
      <c r="K22839" t="s">
        <v>47113</v>
      </c>
      <c r="L22839">
        <v>36.049999999999997</v>
      </c>
      <c r="M22839">
        <v>87</v>
      </c>
      <c r="N22839">
        <v>0</v>
      </c>
      <c r="O22839">
        <v>87</v>
      </c>
      <c r="P22839">
        <v>0</v>
      </c>
    </row>
    <row r="22840" spans="1:16" x14ac:dyDescent="0.25">
      <c r="A22840" t="s">
        <v>45587</v>
      </c>
      <c r="B22840" t="s">
        <v>13560</v>
      </c>
      <c r="C22840" t="s">
        <v>13561</v>
      </c>
      <c r="D22840" t="str">
        <f>"6825"</f>
        <v>6825</v>
      </c>
      <c r="E22840" t="s">
        <v>13562</v>
      </c>
      <c r="F22840" t="s">
        <v>56</v>
      </c>
      <c r="G22840" t="s">
        <v>47093</v>
      </c>
      <c r="H22840" t="s">
        <v>47054</v>
      </c>
      <c r="I22840" t="s">
        <v>47111</v>
      </c>
      <c r="J22840" t="s">
        <v>47112</v>
      </c>
      <c r="K22840" t="s">
        <v>47113</v>
      </c>
      <c r="L22840">
        <v>36.049999999999997</v>
      </c>
      <c r="M22840">
        <v>87</v>
      </c>
      <c r="N22840">
        <v>0</v>
      </c>
      <c r="O22840">
        <v>87</v>
      </c>
      <c r="P22840">
        <v>0</v>
      </c>
    </row>
    <row r="22841" spans="1:16" x14ac:dyDescent="0.25">
      <c r="A22841" t="s">
        <v>45588</v>
      </c>
      <c r="B22841" t="s">
        <v>13563</v>
      </c>
      <c r="C22841" t="s">
        <v>13564</v>
      </c>
      <c r="D22841" t="str">
        <f>"6825"</f>
        <v>6825</v>
      </c>
      <c r="E22841" t="s">
        <v>13562</v>
      </c>
      <c r="F22841" t="s">
        <v>56</v>
      </c>
      <c r="G22841" t="s">
        <v>49030</v>
      </c>
      <c r="H22841" t="s">
        <v>47054</v>
      </c>
      <c r="I22841" t="s">
        <v>47111</v>
      </c>
      <c r="J22841" t="s">
        <v>47112</v>
      </c>
      <c r="K22841" t="s">
        <v>47113</v>
      </c>
      <c r="L22841">
        <v>33.29</v>
      </c>
      <c r="M22841">
        <v>77</v>
      </c>
      <c r="N22841">
        <v>0</v>
      </c>
      <c r="O22841">
        <v>77</v>
      </c>
      <c r="P22841">
        <v>0</v>
      </c>
    </row>
    <row r="22842" spans="1:16" x14ac:dyDescent="0.25">
      <c r="A22842" t="s">
        <v>1360</v>
      </c>
      <c r="B22842" t="s">
        <v>1361</v>
      </c>
      <c r="C22842" t="s">
        <v>1362</v>
      </c>
      <c r="D22842" t="s">
        <v>1363</v>
      </c>
      <c r="E22842" t="s">
        <v>1364</v>
      </c>
      <c r="F22842" t="s">
        <v>58</v>
      </c>
      <c r="G22842" t="s">
        <v>49029</v>
      </c>
      <c r="H22842" t="s">
        <v>47054</v>
      </c>
      <c r="I22842" t="s">
        <v>47111</v>
      </c>
      <c r="J22842" t="s">
        <v>47112</v>
      </c>
      <c r="K22842" t="s">
        <v>47113</v>
      </c>
      <c r="L22842">
        <v>34.340000000000003</v>
      </c>
      <c r="M22842">
        <v>70</v>
      </c>
      <c r="N22842">
        <v>0</v>
      </c>
      <c r="O22842">
        <v>70</v>
      </c>
      <c r="P22842">
        <v>0</v>
      </c>
    </row>
    <row r="22843" spans="1:16" x14ac:dyDescent="0.25">
      <c r="A22843" t="s">
        <v>45589</v>
      </c>
      <c r="B22843" t="s">
        <v>13565</v>
      </c>
      <c r="C22843" t="s">
        <v>13566</v>
      </c>
      <c r="D22843" t="str">
        <f>"40"</f>
        <v>40</v>
      </c>
      <c r="E22843" t="s">
        <v>31</v>
      </c>
      <c r="F22843" t="s">
        <v>8</v>
      </c>
      <c r="G22843" t="s">
        <v>47093</v>
      </c>
      <c r="H22843" t="s">
        <v>47054</v>
      </c>
      <c r="I22843" t="s">
        <v>47111</v>
      </c>
      <c r="J22843" t="s">
        <v>47112</v>
      </c>
      <c r="K22843" t="s">
        <v>47113</v>
      </c>
      <c r="L22843">
        <v>37.340000000000003</v>
      </c>
      <c r="M22843">
        <v>112</v>
      </c>
      <c r="N22843">
        <v>0</v>
      </c>
      <c r="O22843">
        <v>112</v>
      </c>
      <c r="P22843">
        <v>0</v>
      </c>
    </row>
    <row r="22844" spans="1:16" x14ac:dyDescent="0.25">
      <c r="A22844" t="s">
        <v>45590</v>
      </c>
      <c r="B22844" t="s">
        <v>13565</v>
      </c>
      <c r="C22844" t="s">
        <v>13566</v>
      </c>
      <c r="D22844" t="s">
        <v>629</v>
      </c>
      <c r="E22844" t="s">
        <v>630</v>
      </c>
      <c r="F22844" t="s">
        <v>8</v>
      </c>
      <c r="G22844" t="s">
        <v>47093</v>
      </c>
      <c r="H22844" t="s">
        <v>47054</v>
      </c>
      <c r="I22844" t="s">
        <v>47111</v>
      </c>
      <c r="J22844" t="s">
        <v>47112</v>
      </c>
      <c r="K22844" t="s">
        <v>47113</v>
      </c>
      <c r="L22844">
        <v>37.25</v>
      </c>
      <c r="M22844">
        <v>104</v>
      </c>
      <c r="N22844">
        <v>0</v>
      </c>
      <c r="O22844">
        <v>104</v>
      </c>
      <c r="P22844">
        <v>0</v>
      </c>
    </row>
    <row r="22845" spans="1:16" x14ac:dyDescent="0.25">
      <c r="A22845" t="s">
        <v>45591</v>
      </c>
      <c r="B22845" t="s">
        <v>13565</v>
      </c>
      <c r="C22845" t="s">
        <v>13566</v>
      </c>
      <c r="D22845" t="s">
        <v>1777</v>
      </c>
      <c r="E22845" t="s">
        <v>1778</v>
      </c>
      <c r="F22845" t="s">
        <v>8</v>
      </c>
      <c r="G22845" t="s">
        <v>47093</v>
      </c>
      <c r="H22845" t="s">
        <v>47054</v>
      </c>
      <c r="I22845" t="s">
        <v>47111</v>
      </c>
      <c r="J22845" t="s">
        <v>47112</v>
      </c>
      <c r="K22845" t="s">
        <v>47113</v>
      </c>
      <c r="L22845">
        <v>37.19</v>
      </c>
      <c r="M22845">
        <v>108</v>
      </c>
      <c r="N22845">
        <v>0</v>
      </c>
      <c r="O22845">
        <v>108</v>
      </c>
      <c r="P22845">
        <v>0</v>
      </c>
    </row>
    <row r="22846" spans="1:16" x14ac:dyDescent="0.25">
      <c r="A22846" t="s">
        <v>45592</v>
      </c>
      <c r="B22846" t="s">
        <v>13567</v>
      </c>
      <c r="C22846" t="s">
        <v>13568</v>
      </c>
      <c r="D22846" t="str">
        <f>"11"</f>
        <v>11</v>
      </c>
      <c r="E22846" t="s">
        <v>288</v>
      </c>
      <c r="F22846" t="s">
        <v>1401</v>
      </c>
      <c r="G22846" t="s">
        <v>47093</v>
      </c>
      <c r="H22846" t="s">
        <v>47054</v>
      </c>
      <c r="I22846" t="s">
        <v>47111</v>
      </c>
      <c r="J22846" t="s">
        <v>47112</v>
      </c>
      <c r="K22846" t="s">
        <v>47113</v>
      </c>
      <c r="L22846">
        <v>33.75</v>
      </c>
      <c r="M22846">
        <v>91</v>
      </c>
      <c r="N22846">
        <v>0</v>
      </c>
      <c r="O22846">
        <v>91</v>
      </c>
      <c r="P22846">
        <v>0</v>
      </c>
    </row>
    <row r="22847" spans="1:16" x14ac:dyDescent="0.25">
      <c r="A22847" t="s">
        <v>45593</v>
      </c>
      <c r="B22847" t="s">
        <v>13567</v>
      </c>
      <c r="C22847" t="s">
        <v>13568</v>
      </c>
      <c r="D22847" t="s">
        <v>721</v>
      </c>
      <c r="E22847" t="s">
        <v>722</v>
      </c>
      <c r="F22847" t="s">
        <v>1401</v>
      </c>
      <c r="G22847" t="s">
        <v>47093</v>
      </c>
      <c r="H22847" t="s">
        <v>47054</v>
      </c>
      <c r="I22847" t="s">
        <v>47111</v>
      </c>
      <c r="J22847" t="s">
        <v>47112</v>
      </c>
      <c r="K22847" t="s">
        <v>47113</v>
      </c>
      <c r="L22847">
        <v>29.52</v>
      </c>
      <c r="M22847">
        <v>70</v>
      </c>
      <c r="N22847">
        <v>0</v>
      </c>
      <c r="O22847">
        <v>70</v>
      </c>
      <c r="P22847">
        <v>0</v>
      </c>
    </row>
    <row r="22848" spans="1:16" x14ac:dyDescent="0.25">
      <c r="A22848" t="s">
        <v>45594</v>
      </c>
      <c r="B22848" t="s">
        <v>13567</v>
      </c>
      <c r="C22848" t="s">
        <v>13568</v>
      </c>
      <c r="D22848" t="s">
        <v>1341</v>
      </c>
      <c r="E22848" t="s">
        <v>1342</v>
      </c>
      <c r="F22848" t="s">
        <v>1401</v>
      </c>
      <c r="G22848" t="s">
        <v>47093</v>
      </c>
      <c r="H22848" t="s">
        <v>47054</v>
      </c>
      <c r="I22848" t="s">
        <v>47111</v>
      </c>
      <c r="J22848" t="s">
        <v>47112</v>
      </c>
      <c r="K22848" t="s">
        <v>47113</v>
      </c>
      <c r="L22848">
        <v>37.659999999999997</v>
      </c>
      <c r="M22848">
        <v>100</v>
      </c>
      <c r="N22848">
        <v>0</v>
      </c>
      <c r="O22848">
        <v>100</v>
      </c>
      <c r="P22848">
        <v>0</v>
      </c>
    </row>
    <row r="22849" spans="1:16" x14ac:dyDescent="0.25">
      <c r="A22849" t="s">
        <v>45595</v>
      </c>
      <c r="B22849" t="s">
        <v>13567</v>
      </c>
      <c r="C22849" t="s">
        <v>13568</v>
      </c>
      <c r="D22849" t="s">
        <v>13510</v>
      </c>
      <c r="E22849" t="s">
        <v>13511</v>
      </c>
      <c r="F22849" t="s">
        <v>8</v>
      </c>
      <c r="G22849" t="s">
        <v>47093</v>
      </c>
      <c r="H22849" t="s">
        <v>47054</v>
      </c>
      <c r="I22849" t="s">
        <v>47111</v>
      </c>
      <c r="J22849" t="s">
        <v>47112</v>
      </c>
      <c r="K22849" t="s">
        <v>47113</v>
      </c>
      <c r="L22849">
        <v>42.02</v>
      </c>
      <c r="M22849">
        <v>93</v>
      </c>
      <c r="N22849">
        <v>0</v>
      </c>
      <c r="O22849">
        <v>93</v>
      </c>
      <c r="P22849">
        <v>0</v>
      </c>
    </row>
    <row r="22850" spans="1:16" x14ac:dyDescent="0.25">
      <c r="A22850" t="s">
        <v>45596</v>
      </c>
      <c r="B22850" t="s">
        <v>13567</v>
      </c>
      <c r="C22850" t="s">
        <v>13568</v>
      </c>
      <c r="D22850" t="s">
        <v>1792</v>
      </c>
      <c r="E22850" t="s">
        <v>1793</v>
      </c>
      <c r="F22850" t="s">
        <v>56</v>
      </c>
      <c r="G22850" t="s">
        <v>47093</v>
      </c>
      <c r="H22850" t="s">
        <v>47054</v>
      </c>
      <c r="I22850" t="s">
        <v>47111</v>
      </c>
      <c r="J22850" t="s">
        <v>47112</v>
      </c>
      <c r="K22850" t="s">
        <v>47113</v>
      </c>
      <c r="L22850">
        <v>38.96</v>
      </c>
      <c r="M22850">
        <v>87</v>
      </c>
      <c r="N22850">
        <v>0</v>
      </c>
      <c r="O22850">
        <v>87</v>
      </c>
      <c r="P22850">
        <v>0</v>
      </c>
    </row>
    <row r="22851" spans="1:16" x14ac:dyDescent="0.25">
      <c r="A22851" t="s">
        <v>45597</v>
      </c>
      <c r="B22851" t="s">
        <v>13567</v>
      </c>
      <c r="C22851" t="s">
        <v>13568</v>
      </c>
      <c r="D22851" t="s">
        <v>1774</v>
      </c>
      <c r="E22851" t="s">
        <v>1775</v>
      </c>
      <c r="F22851" t="s">
        <v>52</v>
      </c>
      <c r="G22851" t="s">
        <v>47093</v>
      </c>
      <c r="H22851" t="s">
        <v>47054</v>
      </c>
      <c r="I22851" t="s">
        <v>47111</v>
      </c>
      <c r="J22851" t="s">
        <v>47112</v>
      </c>
      <c r="K22851" t="s">
        <v>47113</v>
      </c>
      <c r="L22851">
        <v>42.34</v>
      </c>
      <c r="M22851">
        <v>94</v>
      </c>
      <c r="N22851">
        <v>0</v>
      </c>
      <c r="O22851">
        <v>94</v>
      </c>
      <c r="P22851">
        <v>0</v>
      </c>
    </row>
    <row r="22852" spans="1:16" x14ac:dyDescent="0.25">
      <c r="A22852" t="s">
        <v>45598</v>
      </c>
      <c r="B22852" t="s">
        <v>13567</v>
      </c>
      <c r="C22852" t="s">
        <v>13568</v>
      </c>
      <c r="D22852" t="s">
        <v>739</v>
      </c>
      <c r="E22852" t="s">
        <v>740</v>
      </c>
      <c r="F22852" t="s">
        <v>52</v>
      </c>
      <c r="G22852" t="s">
        <v>47093</v>
      </c>
      <c r="H22852" t="s">
        <v>47054</v>
      </c>
      <c r="I22852" t="s">
        <v>47111</v>
      </c>
      <c r="J22852" t="s">
        <v>47112</v>
      </c>
      <c r="K22852" t="s">
        <v>47113</v>
      </c>
      <c r="L22852">
        <v>35.020000000000003</v>
      </c>
      <c r="M22852">
        <v>78</v>
      </c>
      <c r="N22852">
        <v>0</v>
      </c>
      <c r="O22852">
        <v>78</v>
      </c>
      <c r="P22852">
        <v>0</v>
      </c>
    </row>
    <row r="22853" spans="1:16" x14ac:dyDescent="0.25">
      <c r="A22853" t="s">
        <v>45599</v>
      </c>
      <c r="B22853" t="s">
        <v>13569</v>
      </c>
      <c r="C22853" t="s">
        <v>13570</v>
      </c>
      <c r="D22853" t="s">
        <v>721</v>
      </c>
      <c r="E22853" t="s">
        <v>722</v>
      </c>
      <c r="F22853" t="s">
        <v>8</v>
      </c>
      <c r="G22853" t="s">
        <v>47093</v>
      </c>
      <c r="H22853" t="s">
        <v>47054</v>
      </c>
      <c r="I22853" t="s">
        <v>47111</v>
      </c>
      <c r="J22853" t="s">
        <v>47112</v>
      </c>
      <c r="K22853" t="s">
        <v>47113</v>
      </c>
      <c r="L22853">
        <v>32.82</v>
      </c>
      <c r="M22853">
        <v>87</v>
      </c>
      <c r="N22853">
        <v>0</v>
      </c>
      <c r="O22853">
        <v>87</v>
      </c>
      <c r="P22853">
        <v>0</v>
      </c>
    </row>
    <row r="22854" spans="1:16" x14ac:dyDescent="0.25">
      <c r="A22854" t="s">
        <v>45600</v>
      </c>
      <c r="B22854" t="s">
        <v>13569</v>
      </c>
      <c r="C22854" t="s">
        <v>13570</v>
      </c>
      <c r="D22854" t="str">
        <f>"40"</f>
        <v>40</v>
      </c>
      <c r="E22854" t="s">
        <v>31</v>
      </c>
      <c r="F22854" t="s">
        <v>8</v>
      </c>
      <c r="G22854" t="s">
        <v>47093</v>
      </c>
      <c r="H22854" t="s">
        <v>47054</v>
      </c>
      <c r="I22854" t="s">
        <v>47111</v>
      </c>
      <c r="J22854" t="s">
        <v>47112</v>
      </c>
      <c r="K22854" t="s">
        <v>47113</v>
      </c>
      <c r="L22854">
        <v>37.770000000000003</v>
      </c>
      <c r="M22854">
        <v>106</v>
      </c>
      <c r="N22854">
        <v>0</v>
      </c>
      <c r="O22854">
        <v>106</v>
      </c>
      <c r="P22854">
        <v>0</v>
      </c>
    </row>
    <row r="22855" spans="1:16" x14ac:dyDescent="0.25">
      <c r="A22855" t="s">
        <v>45601</v>
      </c>
      <c r="B22855" t="s">
        <v>13569</v>
      </c>
      <c r="C22855" t="s">
        <v>13570</v>
      </c>
      <c r="D22855" t="s">
        <v>629</v>
      </c>
      <c r="E22855" t="s">
        <v>630</v>
      </c>
      <c r="F22855" t="s">
        <v>8</v>
      </c>
      <c r="G22855" t="s">
        <v>47093</v>
      </c>
      <c r="H22855" t="s">
        <v>47054</v>
      </c>
      <c r="I22855" t="s">
        <v>47111</v>
      </c>
      <c r="J22855" t="s">
        <v>47112</v>
      </c>
      <c r="K22855" t="s">
        <v>47113</v>
      </c>
      <c r="L22855">
        <v>38.57</v>
      </c>
      <c r="M22855">
        <v>99</v>
      </c>
      <c r="N22855">
        <v>0</v>
      </c>
      <c r="O22855">
        <v>99</v>
      </c>
      <c r="P22855">
        <v>0</v>
      </c>
    </row>
    <row r="22856" spans="1:16" x14ac:dyDescent="0.25">
      <c r="A22856" t="s">
        <v>45602</v>
      </c>
      <c r="B22856" t="s">
        <v>13569</v>
      </c>
      <c r="C22856" t="s">
        <v>13570</v>
      </c>
      <c r="D22856" t="s">
        <v>10058</v>
      </c>
      <c r="E22856" t="s">
        <v>10059</v>
      </c>
      <c r="F22856" t="s">
        <v>56</v>
      </c>
      <c r="G22856" t="s">
        <v>47093</v>
      </c>
      <c r="H22856" t="s">
        <v>47054</v>
      </c>
      <c r="I22856" t="s">
        <v>47111</v>
      </c>
      <c r="J22856" t="s">
        <v>47112</v>
      </c>
      <c r="K22856" t="s">
        <v>47113</v>
      </c>
      <c r="L22856">
        <v>36.729999999999997</v>
      </c>
      <c r="M22856">
        <v>85</v>
      </c>
      <c r="N22856">
        <v>0</v>
      </c>
      <c r="O22856">
        <v>85</v>
      </c>
      <c r="P22856">
        <v>0</v>
      </c>
    </row>
    <row r="22857" spans="1:16" x14ac:dyDescent="0.25">
      <c r="A22857" t="s">
        <v>45603</v>
      </c>
      <c r="B22857" t="s">
        <v>13571</v>
      </c>
      <c r="C22857" t="s">
        <v>13572</v>
      </c>
      <c r="D22857" t="s">
        <v>721</v>
      </c>
      <c r="E22857" t="s">
        <v>722</v>
      </c>
      <c r="F22857" t="s">
        <v>1401</v>
      </c>
      <c r="G22857" t="s">
        <v>47093</v>
      </c>
      <c r="H22857" t="s">
        <v>47054</v>
      </c>
      <c r="I22857" t="s">
        <v>47111</v>
      </c>
      <c r="J22857" t="s">
        <v>47112</v>
      </c>
      <c r="K22857" t="s">
        <v>47113</v>
      </c>
      <c r="L22857">
        <v>29.52</v>
      </c>
      <c r="M22857">
        <v>67</v>
      </c>
      <c r="N22857">
        <v>0</v>
      </c>
      <c r="O22857">
        <v>67</v>
      </c>
      <c r="P22857">
        <v>0</v>
      </c>
    </row>
    <row r="22858" spans="1:16" x14ac:dyDescent="0.25">
      <c r="A22858" t="s">
        <v>45604</v>
      </c>
      <c r="B22858" t="s">
        <v>13571</v>
      </c>
      <c r="C22858" t="s">
        <v>13572</v>
      </c>
      <c r="D22858" t="str">
        <f>"40"</f>
        <v>40</v>
      </c>
      <c r="E22858" t="s">
        <v>31</v>
      </c>
      <c r="F22858" t="s">
        <v>8</v>
      </c>
      <c r="G22858" t="s">
        <v>47093</v>
      </c>
      <c r="H22858" t="s">
        <v>47054</v>
      </c>
      <c r="I22858" t="s">
        <v>47111</v>
      </c>
      <c r="J22858" t="s">
        <v>47112</v>
      </c>
      <c r="K22858" t="s">
        <v>47113</v>
      </c>
      <c r="L22858">
        <v>36.5</v>
      </c>
      <c r="M22858">
        <v>101</v>
      </c>
      <c r="N22858">
        <v>0</v>
      </c>
      <c r="O22858">
        <v>101</v>
      </c>
      <c r="P22858">
        <v>0</v>
      </c>
    </row>
    <row r="22859" spans="1:16" x14ac:dyDescent="0.25">
      <c r="A22859" t="s">
        <v>45605</v>
      </c>
      <c r="B22859" t="s">
        <v>13571</v>
      </c>
      <c r="C22859" t="s">
        <v>13572</v>
      </c>
      <c r="D22859" t="s">
        <v>13510</v>
      </c>
      <c r="E22859" t="s">
        <v>13511</v>
      </c>
      <c r="F22859" t="s">
        <v>8</v>
      </c>
      <c r="G22859" t="s">
        <v>47093</v>
      </c>
      <c r="H22859" t="s">
        <v>47054</v>
      </c>
      <c r="I22859" t="s">
        <v>47111</v>
      </c>
      <c r="J22859" t="s">
        <v>47112</v>
      </c>
      <c r="K22859" t="s">
        <v>47113</v>
      </c>
      <c r="L22859">
        <v>40.64</v>
      </c>
      <c r="M22859">
        <v>103</v>
      </c>
      <c r="N22859">
        <v>0</v>
      </c>
      <c r="O22859">
        <v>103</v>
      </c>
      <c r="P22859">
        <v>0</v>
      </c>
    </row>
    <row r="22860" spans="1:16" x14ac:dyDescent="0.25">
      <c r="A22860" t="s">
        <v>45606</v>
      </c>
      <c r="B22860" t="s">
        <v>13571</v>
      </c>
      <c r="C22860" t="s">
        <v>13572</v>
      </c>
      <c r="D22860" t="s">
        <v>1768</v>
      </c>
      <c r="E22860" t="s">
        <v>1769</v>
      </c>
      <c r="F22860" t="s">
        <v>52</v>
      </c>
      <c r="G22860" t="s">
        <v>47093</v>
      </c>
      <c r="H22860" t="s">
        <v>47054</v>
      </c>
      <c r="I22860" t="s">
        <v>47111</v>
      </c>
      <c r="J22860" t="s">
        <v>47112</v>
      </c>
      <c r="K22860" t="s">
        <v>47113</v>
      </c>
      <c r="L22860">
        <v>43.46</v>
      </c>
      <c r="M22860">
        <v>107</v>
      </c>
      <c r="N22860">
        <v>0</v>
      </c>
      <c r="O22860">
        <v>107</v>
      </c>
      <c r="P22860">
        <v>0</v>
      </c>
    </row>
    <row r="22861" spans="1:16" x14ac:dyDescent="0.25">
      <c r="A22861" t="s">
        <v>45607</v>
      </c>
      <c r="B22861" t="s">
        <v>13571</v>
      </c>
      <c r="C22861" t="s">
        <v>13572</v>
      </c>
      <c r="D22861" t="s">
        <v>1774</v>
      </c>
      <c r="E22861" t="s">
        <v>1775</v>
      </c>
      <c r="F22861" t="s">
        <v>52</v>
      </c>
      <c r="G22861" t="s">
        <v>47093</v>
      </c>
      <c r="H22861" t="s">
        <v>47054</v>
      </c>
      <c r="I22861" t="s">
        <v>47111</v>
      </c>
      <c r="J22861" t="s">
        <v>47112</v>
      </c>
      <c r="K22861" t="s">
        <v>47113</v>
      </c>
      <c r="L22861">
        <v>42.34</v>
      </c>
      <c r="M22861">
        <v>104</v>
      </c>
      <c r="N22861">
        <v>0</v>
      </c>
      <c r="O22861">
        <v>104</v>
      </c>
      <c r="P22861">
        <v>0</v>
      </c>
    </row>
    <row r="22862" spans="1:16" x14ac:dyDescent="0.25">
      <c r="A22862" t="s">
        <v>45608</v>
      </c>
      <c r="B22862" t="s">
        <v>13571</v>
      </c>
      <c r="C22862" t="s">
        <v>13572</v>
      </c>
      <c r="D22862" t="s">
        <v>739</v>
      </c>
      <c r="E22862" t="s">
        <v>740</v>
      </c>
      <c r="F22862" t="s">
        <v>52</v>
      </c>
      <c r="G22862" t="s">
        <v>47093</v>
      </c>
      <c r="H22862" t="s">
        <v>47054</v>
      </c>
      <c r="I22862" t="s">
        <v>47111</v>
      </c>
      <c r="J22862" t="s">
        <v>47112</v>
      </c>
      <c r="K22862" t="s">
        <v>47113</v>
      </c>
      <c r="L22862">
        <v>35.020000000000003</v>
      </c>
      <c r="M22862">
        <v>86</v>
      </c>
      <c r="N22862">
        <v>0</v>
      </c>
      <c r="O22862">
        <v>86</v>
      </c>
      <c r="P22862">
        <v>0</v>
      </c>
    </row>
    <row r="22863" spans="1:16" x14ac:dyDescent="0.25">
      <c r="A22863" t="s">
        <v>45609</v>
      </c>
      <c r="B22863" t="s">
        <v>1366</v>
      </c>
      <c r="C22863" t="s">
        <v>1367</v>
      </c>
      <c r="D22863" t="s">
        <v>721</v>
      </c>
      <c r="E22863" t="s">
        <v>722</v>
      </c>
      <c r="F22863" t="s">
        <v>1401</v>
      </c>
      <c r="G22863" t="s">
        <v>47093</v>
      </c>
      <c r="H22863" t="s">
        <v>47054</v>
      </c>
      <c r="I22863" t="s">
        <v>47111</v>
      </c>
      <c r="J22863" t="s">
        <v>47112</v>
      </c>
      <c r="K22863" t="s">
        <v>47113</v>
      </c>
      <c r="L22863">
        <v>29.12</v>
      </c>
      <c r="M22863">
        <v>66</v>
      </c>
      <c r="N22863">
        <v>0</v>
      </c>
      <c r="O22863">
        <v>66</v>
      </c>
      <c r="P22863">
        <v>0</v>
      </c>
    </row>
    <row r="22864" spans="1:16" x14ac:dyDescent="0.25">
      <c r="A22864" t="s">
        <v>1365</v>
      </c>
      <c r="B22864" t="s">
        <v>1366</v>
      </c>
      <c r="C22864" t="s">
        <v>1367</v>
      </c>
      <c r="D22864" t="s">
        <v>1368</v>
      </c>
      <c r="E22864" t="s">
        <v>1369</v>
      </c>
      <c r="F22864" t="s">
        <v>631</v>
      </c>
      <c r="G22864" t="s">
        <v>47093</v>
      </c>
      <c r="H22864" t="s">
        <v>47054</v>
      </c>
      <c r="I22864" t="s">
        <v>47111</v>
      </c>
      <c r="J22864" t="s">
        <v>47112</v>
      </c>
      <c r="K22864" t="s">
        <v>47113</v>
      </c>
      <c r="L22864">
        <v>42.32</v>
      </c>
      <c r="M22864">
        <v>86</v>
      </c>
      <c r="N22864">
        <v>0</v>
      </c>
      <c r="O22864">
        <v>86</v>
      </c>
      <c r="P22864">
        <v>0</v>
      </c>
    </row>
    <row r="22865" spans="1:16" x14ac:dyDescent="0.25">
      <c r="A22865" t="s">
        <v>45610</v>
      </c>
      <c r="B22865" t="s">
        <v>1366</v>
      </c>
      <c r="C22865" t="s">
        <v>1367</v>
      </c>
      <c r="D22865" t="s">
        <v>13510</v>
      </c>
      <c r="E22865" t="s">
        <v>13511</v>
      </c>
      <c r="F22865" t="s">
        <v>8</v>
      </c>
      <c r="G22865" t="s">
        <v>47093</v>
      </c>
      <c r="H22865" t="s">
        <v>47054</v>
      </c>
      <c r="I22865" t="s">
        <v>47111</v>
      </c>
      <c r="J22865" t="s">
        <v>47112</v>
      </c>
      <c r="K22865" t="s">
        <v>47113</v>
      </c>
      <c r="L22865">
        <v>40.22</v>
      </c>
      <c r="M22865">
        <v>102</v>
      </c>
      <c r="N22865">
        <v>0</v>
      </c>
      <c r="O22865">
        <v>102</v>
      </c>
      <c r="P22865">
        <v>0</v>
      </c>
    </row>
    <row r="22866" spans="1:16" x14ac:dyDescent="0.25">
      <c r="A22866" t="s">
        <v>45611</v>
      </c>
      <c r="B22866" t="s">
        <v>1366</v>
      </c>
      <c r="C22866" t="s">
        <v>1367</v>
      </c>
      <c r="D22866" t="s">
        <v>1768</v>
      </c>
      <c r="E22866" t="s">
        <v>1769</v>
      </c>
      <c r="F22866" t="s">
        <v>52</v>
      </c>
      <c r="G22866" t="s">
        <v>47093</v>
      </c>
      <c r="H22866" t="s">
        <v>47054</v>
      </c>
      <c r="I22866" t="s">
        <v>47111</v>
      </c>
      <c r="J22866" t="s">
        <v>47112</v>
      </c>
      <c r="K22866" t="s">
        <v>47113</v>
      </c>
      <c r="L22866">
        <v>43.62</v>
      </c>
      <c r="M22866">
        <v>106</v>
      </c>
      <c r="N22866">
        <v>0</v>
      </c>
      <c r="O22866">
        <v>106</v>
      </c>
      <c r="P22866">
        <v>0</v>
      </c>
    </row>
    <row r="22867" spans="1:16" x14ac:dyDescent="0.25">
      <c r="A22867" t="s">
        <v>45612</v>
      </c>
      <c r="B22867" t="s">
        <v>1366</v>
      </c>
      <c r="C22867" t="s">
        <v>1367</v>
      </c>
      <c r="D22867" t="s">
        <v>1774</v>
      </c>
      <c r="E22867" t="s">
        <v>1775</v>
      </c>
      <c r="F22867" t="s">
        <v>52</v>
      </c>
      <c r="G22867" t="s">
        <v>47093</v>
      </c>
      <c r="H22867" t="s">
        <v>47054</v>
      </c>
      <c r="I22867" t="s">
        <v>47111</v>
      </c>
      <c r="J22867" t="s">
        <v>47112</v>
      </c>
      <c r="K22867" t="s">
        <v>47113</v>
      </c>
      <c r="L22867">
        <v>42.49</v>
      </c>
      <c r="M22867">
        <v>104</v>
      </c>
      <c r="N22867">
        <v>0</v>
      </c>
      <c r="O22867">
        <v>104</v>
      </c>
      <c r="P22867">
        <v>0</v>
      </c>
    </row>
    <row r="22868" spans="1:16" x14ac:dyDescent="0.25">
      <c r="A22868" t="s">
        <v>45613</v>
      </c>
      <c r="B22868" t="s">
        <v>13573</v>
      </c>
      <c r="C22868" t="s">
        <v>13574</v>
      </c>
      <c r="D22868" t="str">
        <f>"40"</f>
        <v>40</v>
      </c>
      <c r="E22868" t="s">
        <v>31</v>
      </c>
      <c r="F22868" t="s">
        <v>8</v>
      </c>
      <c r="G22868" t="s">
        <v>47093</v>
      </c>
      <c r="H22868" t="s">
        <v>47054</v>
      </c>
      <c r="I22868" t="s">
        <v>47111</v>
      </c>
      <c r="J22868" t="s">
        <v>47112</v>
      </c>
      <c r="K22868" t="s">
        <v>47113</v>
      </c>
      <c r="L22868">
        <v>38.89</v>
      </c>
      <c r="M22868">
        <v>112</v>
      </c>
      <c r="N22868">
        <v>0</v>
      </c>
      <c r="O22868">
        <v>112</v>
      </c>
      <c r="P22868">
        <v>0</v>
      </c>
    </row>
    <row r="22869" spans="1:16" x14ac:dyDescent="0.25">
      <c r="A22869" t="s">
        <v>45614</v>
      </c>
      <c r="B22869" t="s">
        <v>13575</v>
      </c>
      <c r="C22869" t="s">
        <v>13576</v>
      </c>
      <c r="D22869" t="str">
        <f>"1770"</f>
        <v>1770</v>
      </c>
      <c r="E22869" t="s">
        <v>13553</v>
      </c>
      <c r="F22869" t="s">
        <v>56</v>
      </c>
      <c r="G22869" t="s">
        <v>47093</v>
      </c>
      <c r="H22869" t="s">
        <v>47054</v>
      </c>
      <c r="I22869" t="s">
        <v>47114</v>
      </c>
      <c r="J22869" t="s">
        <v>47115</v>
      </c>
      <c r="K22869" t="s">
        <v>47113</v>
      </c>
      <c r="L22869">
        <v>39.35</v>
      </c>
      <c r="M22869">
        <v>87</v>
      </c>
      <c r="N22869">
        <v>0</v>
      </c>
      <c r="O22869">
        <v>87</v>
      </c>
      <c r="P22869">
        <v>0</v>
      </c>
    </row>
    <row r="22870" spans="1:16" x14ac:dyDescent="0.25">
      <c r="A22870" t="s">
        <v>45615</v>
      </c>
      <c r="B22870" t="s">
        <v>13577</v>
      </c>
      <c r="C22870" t="s">
        <v>13578</v>
      </c>
      <c r="D22870" t="s">
        <v>1777</v>
      </c>
      <c r="E22870" t="s">
        <v>1778</v>
      </c>
      <c r="F22870" t="s">
        <v>8</v>
      </c>
      <c r="G22870" t="s">
        <v>47093</v>
      </c>
      <c r="H22870" t="s">
        <v>47054</v>
      </c>
      <c r="I22870" t="s">
        <v>47114</v>
      </c>
      <c r="J22870" t="s">
        <v>47115</v>
      </c>
      <c r="K22870" t="s">
        <v>47113</v>
      </c>
      <c r="L22870">
        <v>44.38</v>
      </c>
      <c r="M22870">
        <v>133</v>
      </c>
      <c r="N22870">
        <v>0</v>
      </c>
      <c r="O22870">
        <v>133</v>
      </c>
      <c r="P22870">
        <v>0</v>
      </c>
    </row>
    <row r="22871" spans="1:16" x14ac:dyDescent="0.25">
      <c r="A22871" t="s">
        <v>45616</v>
      </c>
      <c r="B22871" t="s">
        <v>13579</v>
      </c>
      <c r="C22871" t="s">
        <v>10135</v>
      </c>
      <c r="D22871" t="s">
        <v>10075</v>
      </c>
      <c r="E22871" t="s">
        <v>10076</v>
      </c>
      <c r="F22871" t="s">
        <v>56</v>
      </c>
      <c r="G22871" t="s">
        <v>47093</v>
      </c>
      <c r="H22871" t="s">
        <v>47054</v>
      </c>
      <c r="I22871" t="s">
        <v>47111</v>
      </c>
      <c r="J22871" t="s">
        <v>47112</v>
      </c>
      <c r="K22871" t="s">
        <v>47113</v>
      </c>
      <c r="L22871">
        <v>59.78</v>
      </c>
      <c r="M22871">
        <v>134</v>
      </c>
      <c r="N22871">
        <v>0</v>
      </c>
      <c r="O22871">
        <v>134</v>
      </c>
      <c r="P22871">
        <v>0</v>
      </c>
    </row>
    <row r="22872" spans="1:16" x14ac:dyDescent="0.25">
      <c r="A22872" t="s">
        <v>45617</v>
      </c>
      <c r="B22872" t="s">
        <v>13579</v>
      </c>
      <c r="C22872" t="s">
        <v>10135</v>
      </c>
      <c r="D22872" t="s">
        <v>13506</v>
      </c>
      <c r="E22872" t="s">
        <v>13507</v>
      </c>
      <c r="F22872" t="s">
        <v>56</v>
      </c>
      <c r="G22872" t="s">
        <v>47093</v>
      </c>
      <c r="H22872" t="s">
        <v>47054</v>
      </c>
      <c r="I22872" t="s">
        <v>47111</v>
      </c>
      <c r="J22872" t="s">
        <v>47112</v>
      </c>
      <c r="K22872" t="s">
        <v>47113</v>
      </c>
      <c r="L22872">
        <v>56.39</v>
      </c>
      <c r="M22872">
        <v>124</v>
      </c>
      <c r="N22872">
        <v>0</v>
      </c>
      <c r="O22872">
        <v>124</v>
      </c>
      <c r="P22872">
        <v>0</v>
      </c>
    </row>
    <row r="22873" spans="1:16" x14ac:dyDescent="0.25">
      <c r="A22873" t="s">
        <v>45618</v>
      </c>
      <c r="B22873" t="s">
        <v>13580</v>
      </c>
      <c r="C22873" t="s">
        <v>13581</v>
      </c>
      <c r="D22873" t="s">
        <v>10075</v>
      </c>
      <c r="E22873" t="s">
        <v>10076</v>
      </c>
      <c r="F22873" t="s">
        <v>56</v>
      </c>
      <c r="G22873" t="s">
        <v>49029</v>
      </c>
      <c r="H22873" t="s">
        <v>47054</v>
      </c>
      <c r="I22873" t="s">
        <v>47111</v>
      </c>
      <c r="J22873" t="s">
        <v>47112</v>
      </c>
      <c r="K22873" t="s">
        <v>47113</v>
      </c>
      <c r="L22873">
        <v>55.65</v>
      </c>
      <c r="M22873">
        <v>120</v>
      </c>
      <c r="N22873">
        <v>0</v>
      </c>
      <c r="O22873">
        <v>120</v>
      </c>
      <c r="P22873">
        <v>0</v>
      </c>
    </row>
    <row r="22874" spans="1:16" x14ac:dyDescent="0.25">
      <c r="A22874" t="s">
        <v>45619</v>
      </c>
      <c r="B22874" t="s">
        <v>13582</v>
      </c>
      <c r="C22874" t="s">
        <v>13581</v>
      </c>
      <c r="D22874" t="s">
        <v>10075</v>
      </c>
      <c r="E22874" t="s">
        <v>10076</v>
      </c>
      <c r="F22874" t="s">
        <v>56</v>
      </c>
      <c r="G22874" t="s">
        <v>49029</v>
      </c>
      <c r="H22874" t="s">
        <v>47054</v>
      </c>
      <c r="I22874" t="s">
        <v>47114</v>
      </c>
      <c r="J22874" t="s">
        <v>47115</v>
      </c>
      <c r="K22874" t="s">
        <v>47113</v>
      </c>
      <c r="L22874">
        <v>54.46</v>
      </c>
      <c r="M22874">
        <v>120</v>
      </c>
      <c r="N22874">
        <v>0</v>
      </c>
      <c r="O22874">
        <v>120</v>
      </c>
      <c r="P22874">
        <v>0</v>
      </c>
    </row>
    <row r="22875" spans="1:16" x14ac:dyDescent="0.25">
      <c r="A22875" t="s">
        <v>45620</v>
      </c>
      <c r="B22875" t="s">
        <v>13582</v>
      </c>
      <c r="C22875" t="s">
        <v>13581</v>
      </c>
      <c r="D22875" t="s">
        <v>2030</v>
      </c>
      <c r="E22875" t="s">
        <v>2031</v>
      </c>
      <c r="F22875" t="s">
        <v>56</v>
      </c>
      <c r="G22875" t="s">
        <v>49029</v>
      </c>
      <c r="H22875" t="s">
        <v>47054</v>
      </c>
      <c r="I22875" t="s">
        <v>47114</v>
      </c>
      <c r="J22875" t="s">
        <v>47115</v>
      </c>
      <c r="K22875" t="s">
        <v>47113</v>
      </c>
      <c r="L22875">
        <v>51.93</v>
      </c>
      <c r="M22875">
        <v>114</v>
      </c>
      <c r="N22875">
        <v>0</v>
      </c>
      <c r="O22875">
        <v>114</v>
      </c>
      <c r="P22875">
        <v>0</v>
      </c>
    </row>
    <row r="22876" spans="1:16" x14ac:dyDescent="0.25">
      <c r="A22876" t="s">
        <v>45621</v>
      </c>
      <c r="B22876" t="s">
        <v>13583</v>
      </c>
      <c r="C22876" t="s">
        <v>13584</v>
      </c>
      <c r="D22876" t="s">
        <v>2054</v>
      </c>
      <c r="E22876" t="s">
        <v>2055</v>
      </c>
      <c r="F22876" t="s">
        <v>631</v>
      </c>
      <c r="G22876" t="s">
        <v>47093</v>
      </c>
      <c r="H22876" t="s">
        <v>47054</v>
      </c>
      <c r="I22876" t="s">
        <v>47111</v>
      </c>
      <c r="J22876" t="s">
        <v>47112</v>
      </c>
      <c r="K22876" t="s">
        <v>47113</v>
      </c>
      <c r="L22876">
        <v>38.72</v>
      </c>
      <c r="M22876">
        <v>95</v>
      </c>
      <c r="N22876">
        <v>0</v>
      </c>
      <c r="O22876">
        <v>95</v>
      </c>
      <c r="P22876">
        <v>0</v>
      </c>
    </row>
    <row r="22877" spans="1:16" x14ac:dyDescent="0.25">
      <c r="A22877" t="s">
        <v>45622</v>
      </c>
      <c r="B22877" t="s">
        <v>13583</v>
      </c>
      <c r="C22877" t="s">
        <v>13584</v>
      </c>
      <c r="D22877" t="s">
        <v>629</v>
      </c>
      <c r="E22877" t="s">
        <v>630</v>
      </c>
      <c r="F22877" t="s">
        <v>631</v>
      </c>
      <c r="G22877" t="s">
        <v>47093</v>
      </c>
      <c r="H22877" t="s">
        <v>47054</v>
      </c>
      <c r="I22877" t="s">
        <v>47111</v>
      </c>
      <c r="J22877" t="s">
        <v>47112</v>
      </c>
      <c r="K22877" t="s">
        <v>47113</v>
      </c>
      <c r="L22877">
        <v>37.47</v>
      </c>
      <c r="M22877">
        <v>91</v>
      </c>
      <c r="N22877">
        <v>0</v>
      </c>
      <c r="O22877">
        <v>91</v>
      </c>
      <c r="P22877">
        <v>0</v>
      </c>
    </row>
    <row r="22878" spans="1:16" x14ac:dyDescent="0.25">
      <c r="A22878" t="s">
        <v>45623</v>
      </c>
      <c r="B22878" t="s">
        <v>13585</v>
      </c>
      <c r="C22878" t="s">
        <v>13586</v>
      </c>
      <c r="D22878" t="str">
        <f>"63"</f>
        <v>63</v>
      </c>
      <c r="E22878" t="s">
        <v>40</v>
      </c>
      <c r="F22878" t="s">
        <v>8</v>
      </c>
      <c r="G22878" t="s">
        <v>47093</v>
      </c>
      <c r="H22878" t="s">
        <v>47054</v>
      </c>
      <c r="I22878" t="s">
        <v>47111</v>
      </c>
      <c r="J22878" t="s">
        <v>47112</v>
      </c>
      <c r="K22878" t="s">
        <v>47113</v>
      </c>
      <c r="L22878">
        <v>34.29</v>
      </c>
      <c r="M22878">
        <v>93</v>
      </c>
      <c r="N22878">
        <v>0</v>
      </c>
      <c r="O22878">
        <v>93</v>
      </c>
      <c r="P22878">
        <v>0</v>
      </c>
    </row>
    <row r="22879" spans="1:16" x14ac:dyDescent="0.25">
      <c r="A22879" t="s">
        <v>45624</v>
      </c>
      <c r="B22879" t="s">
        <v>13587</v>
      </c>
      <c r="C22879" t="s">
        <v>13588</v>
      </c>
      <c r="D22879" t="str">
        <f>"11"</f>
        <v>11</v>
      </c>
      <c r="E22879" t="s">
        <v>288</v>
      </c>
      <c r="F22879" t="s">
        <v>8</v>
      </c>
      <c r="G22879" t="s">
        <v>47093</v>
      </c>
      <c r="H22879" t="s">
        <v>47054</v>
      </c>
      <c r="I22879" t="s">
        <v>47111</v>
      </c>
      <c r="J22879" t="s">
        <v>47112</v>
      </c>
      <c r="K22879" t="s">
        <v>47113</v>
      </c>
      <c r="L22879">
        <v>29.12</v>
      </c>
      <c r="M22879">
        <v>92</v>
      </c>
      <c r="N22879">
        <v>0</v>
      </c>
      <c r="O22879">
        <v>92</v>
      </c>
      <c r="P22879">
        <v>0</v>
      </c>
    </row>
    <row r="22880" spans="1:16" x14ac:dyDescent="0.25">
      <c r="A22880" t="s">
        <v>45625</v>
      </c>
      <c r="B22880" t="s">
        <v>13587</v>
      </c>
      <c r="C22880" t="s">
        <v>13588</v>
      </c>
      <c r="D22880" t="s">
        <v>1341</v>
      </c>
      <c r="E22880" t="s">
        <v>1342</v>
      </c>
      <c r="F22880" t="s">
        <v>8</v>
      </c>
      <c r="G22880" t="s">
        <v>47093</v>
      </c>
      <c r="H22880" t="s">
        <v>47054</v>
      </c>
      <c r="I22880" t="s">
        <v>47111</v>
      </c>
      <c r="J22880" t="s">
        <v>47112</v>
      </c>
      <c r="K22880" t="s">
        <v>47113</v>
      </c>
      <c r="L22880">
        <v>35.450000000000003</v>
      </c>
      <c r="M22880">
        <v>105</v>
      </c>
      <c r="N22880">
        <v>0</v>
      </c>
      <c r="O22880">
        <v>105</v>
      </c>
      <c r="P22880">
        <v>0</v>
      </c>
    </row>
    <row r="22881" spans="1:16" x14ac:dyDescent="0.25">
      <c r="A22881" t="s">
        <v>45626</v>
      </c>
      <c r="B22881" t="s">
        <v>13589</v>
      </c>
      <c r="C22881" t="s">
        <v>13590</v>
      </c>
      <c r="D22881" t="str">
        <f>"11"</f>
        <v>11</v>
      </c>
      <c r="E22881" t="s">
        <v>288</v>
      </c>
      <c r="F22881" t="s">
        <v>8</v>
      </c>
      <c r="G22881" t="s">
        <v>47093</v>
      </c>
      <c r="H22881" t="s">
        <v>47054</v>
      </c>
      <c r="I22881" t="s">
        <v>47111</v>
      </c>
      <c r="J22881" t="s">
        <v>47112</v>
      </c>
      <c r="K22881" t="s">
        <v>47113</v>
      </c>
      <c r="L22881">
        <v>31.73</v>
      </c>
      <c r="M22881">
        <v>92</v>
      </c>
      <c r="N22881">
        <v>0</v>
      </c>
      <c r="O22881">
        <v>92</v>
      </c>
      <c r="P22881">
        <v>0</v>
      </c>
    </row>
    <row r="22882" spans="1:16" x14ac:dyDescent="0.25">
      <c r="A22882" t="s">
        <v>45627</v>
      </c>
      <c r="B22882" t="s">
        <v>13591</v>
      </c>
      <c r="C22882" t="s">
        <v>13592</v>
      </c>
      <c r="D22882" t="s">
        <v>1341</v>
      </c>
      <c r="E22882" t="s">
        <v>1342</v>
      </c>
      <c r="F22882" t="s">
        <v>8</v>
      </c>
      <c r="G22882" t="s">
        <v>47093</v>
      </c>
      <c r="H22882" t="s">
        <v>47054</v>
      </c>
      <c r="I22882" t="s">
        <v>47111</v>
      </c>
      <c r="J22882" t="s">
        <v>47112</v>
      </c>
      <c r="K22882" t="s">
        <v>47113</v>
      </c>
      <c r="L22882">
        <v>40.42</v>
      </c>
      <c r="M22882">
        <v>105</v>
      </c>
      <c r="N22882">
        <v>0</v>
      </c>
      <c r="O22882">
        <v>105</v>
      </c>
      <c r="P22882">
        <v>0</v>
      </c>
    </row>
    <row r="22883" spans="1:16" x14ac:dyDescent="0.25">
      <c r="A22883" t="s">
        <v>45628</v>
      </c>
      <c r="B22883" t="s">
        <v>13593</v>
      </c>
      <c r="C22883" t="s">
        <v>13594</v>
      </c>
      <c r="D22883" t="s">
        <v>1777</v>
      </c>
      <c r="E22883" t="s">
        <v>1778</v>
      </c>
      <c r="F22883" t="s">
        <v>8</v>
      </c>
      <c r="G22883" t="s">
        <v>47093</v>
      </c>
      <c r="H22883" t="s">
        <v>47054</v>
      </c>
      <c r="I22883" t="s">
        <v>47111</v>
      </c>
      <c r="J22883" t="s">
        <v>47112</v>
      </c>
      <c r="K22883" t="s">
        <v>47113</v>
      </c>
      <c r="L22883">
        <v>37.659999999999997</v>
      </c>
      <c r="M22883">
        <v>100</v>
      </c>
      <c r="N22883">
        <v>0</v>
      </c>
      <c r="O22883">
        <v>100</v>
      </c>
      <c r="P22883">
        <v>0</v>
      </c>
    </row>
    <row r="22884" spans="1:16" x14ac:dyDescent="0.25">
      <c r="A22884" t="s">
        <v>45629</v>
      </c>
      <c r="B22884" t="s">
        <v>13593</v>
      </c>
      <c r="C22884" t="s">
        <v>13594</v>
      </c>
      <c r="D22884" t="s">
        <v>13510</v>
      </c>
      <c r="E22884" t="s">
        <v>13511</v>
      </c>
      <c r="F22884" t="s">
        <v>8</v>
      </c>
      <c r="G22884" t="s">
        <v>47093</v>
      </c>
      <c r="H22884" t="s">
        <v>47054</v>
      </c>
      <c r="I22884" t="s">
        <v>47111</v>
      </c>
      <c r="J22884" t="s">
        <v>47112</v>
      </c>
      <c r="K22884" t="s">
        <v>47113</v>
      </c>
      <c r="L22884">
        <v>43.29</v>
      </c>
      <c r="M22884">
        <v>114</v>
      </c>
      <c r="N22884">
        <v>0</v>
      </c>
      <c r="O22884">
        <v>114</v>
      </c>
      <c r="P22884">
        <v>0</v>
      </c>
    </row>
    <row r="22885" spans="1:16" x14ac:dyDescent="0.25">
      <c r="A22885" t="s">
        <v>45630</v>
      </c>
      <c r="B22885" t="s">
        <v>13595</v>
      </c>
      <c r="C22885" t="s">
        <v>13596</v>
      </c>
      <c r="D22885" t="str">
        <f>"11"</f>
        <v>11</v>
      </c>
      <c r="E22885" t="s">
        <v>288</v>
      </c>
      <c r="F22885" t="s">
        <v>8</v>
      </c>
      <c r="G22885" t="s">
        <v>47093</v>
      </c>
      <c r="H22885" t="s">
        <v>47054</v>
      </c>
      <c r="I22885" t="s">
        <v>47111</v>
      </c>
      <c r="J22885" t="s">
        <v>47112</v>
      </c>
      <c r="K22885" t="s">
        <v>47113</v>
      </c>
      <c r="L22885">
        <v>31.62</v>
      </c>
      <c r="M22885">
        <v>91</v>
      </c>
      <c r="N22885">
        <v>0</v>
      </c>
      <c r="O22885">
        <v>91</v>
      </c>
      <c r="P22885">
        <v>0</v>
      </c>
    </row>
    <row r="22886" spans="1:16" x14ac:dyDescent="0.25">
      <c r="A22886" t="s">
        <v>45631</v>
      </c>
      <c r="B22886" t="s">
        <v>13595</v>
      </c>
      <c r="C22886" t="s">
        <v>13596</v>
      </c>
      <c r="D22886" t="s">
        <v>721</v>
      </c>
      <c r="E22886" t="s">
        <v>722</v>
      </c>
      <c r="F22886" t="s">
        <v>8</v>
      </c>
      <c r="G22886" t="s">
        <v>47093</v>
      </c>
      <c r="H22886" t="s">
        <v>47054</v>
      </c>
      <c r="I22886" t="s">
        <v>47111</v>
      </c>
      <c r="J22886" t="s">
        <v>47112</v>
      </c>
      <c r="K22886" t="s">
        <v>47113</v>
      </c>
      <c r="L22886">
        <v>28.41</v>
      </c>
      <c r="M22886">
        <v>64</v>
      </c>
      <c r="N22886">
        <v>0</v>
      </c>
      <c r="O22886">
        <v>64</v>
      </c>
      <c r="P22886">
        <v>0</v>
      </c>
    </row>
    <row r="22887" spans="1:16" x14ac:dyDescent="0.25">
      <c r="A22887" t="s">
        <v>45632</v>
      </c>
      <c r="B22887" t="s">
        <v>13595</v>
      </c>
      <c r="C22887" t="s">
        <v>13596</v>
      </c>
      <c r="D22887" t="str">
        <f>"40"</f>
        <v>40</v>
      </c>
      <c r="E22887" t="s">
        <v>31</v>
      </c>
      <c r="F22887" t="s">
        <v>8</v>
      </c>
      <c r="G22887" t="s">
        <v>47093</v>
      </c>
      <c r="H22887" t="s">
        <v>47054</v>
      </c>
      <c r="I22887" t="s">
        <v>47111</v>
      </c>
      <c r="J22887" t="s">
        <v>47112</v>
      </c>
      <c r="K22887" t="s">
        <v>47113</v>
      </c>
      <c r="L22887">
        <v>33.72</v>
      </c>
      <c r="M22887">
        <v>102</v>
      </c>
      <c r="N22887">
        <v>0</v>
      </c>
      <c r="O22887">
        <v>102</v>
      </c>
      <c r="P22887">
        <v>0</v>
      </c>
    </row>
    <row r="22888" spans="1:16" x14ac:dyDescent="0.25">
      <c r="A22888" t="s">
        <v>45633</v>
      </c>
      <c r="B22888" t="s">
        <v>13595</v>
      </c>
      <c r="C22888" t="s">
        <v>13596</v>
      </c>
      <c r="D22888" t="s">
        <v>1774</v>
      </c>
      <c r="E22888" t="s">
        <v>1775</v>
      </c>
      <c r="F22888" t="s">
        <v>52</v>
      </c>
      <c r="G22888" t="s">
        <v>47093</v>
      </c>
      <c r="H22888" t="s">
        <v>47054</v>
      </c>
      <c r="I22888" t="s">
        <v>47111</v>
      </c>
      <c r="J22888" t="s">
        <v>47112</v>
      </c>
      <c r="K22888" t="s">
        <v>47113</v>
      </c>
      <c r="L22888">
        <v>42.34</v>
      </c>
      <c r="M22888">
        <v>104</v>
      </c>
      <c r="N22888">
        <v>0</v>
      </c>
      <c r="O22888">
        <v>104</v>
      </c>
      <c r="P22888">
        <v>0</v>
      </c>
    </row>
    <row r="22889" spans="1:16" x14ac:dyDescent="0.25">
      <c r="A22889" t="s">
        <v>45634</v>
      </c>
      <c r="B22889" t="s">
        <v>13597</v>
      </c>
      <c r="C22889" t="s">
        <v>13598</v>
      </c>
      <c r="D22889" t="str">
        <f>"1770"</f>
        <v>1770</v>
      </c>
      <c r="E22889" t="s">
        <v>13553</v>
      </c>
      <c r="F22889" t="s">
        <v>56</v>
      </c>
      <c r="G22889" t="s">
        <v>47093</v>
      </c>
      <c r="H22889" t="s">
        <v>47054</v>
      </c>
      <c r="I22889" t="s">
        <v>47111</v>
      </c>
      <c r="J22889" t="s">
        <v>47112</v>
      </c>
      <c r="K22889" t="s">
        <v>47113</v>
      </c>
      <c r="L22889">
        <v>36.93</v>
      </c>
      <c r="M22889">
        <v>87</v>
      </c>
      <c r="N22889">
        <v>0</v>
      </c>
      <c r="O22889">
        <v>87</v>
      </c>
      <c r="P22889">
        <v>0</v>
      </c>
    </row>
    <row r="22890" spans="1:16" x14ac:dyDescent="0.25">
      <c r="A22890" t="s">
        <v>45635</v>
      </c>
      <c r="B22890" t="s">
        <v>13597</v>
      </c>
      <c r="C22890" t="s">
        <v>13598</v>
      </c>
      <c r="D22890" t="str">
        <f>"6825"</f>
        <v>6825</v>
      </c>
      <c r="E22890" t="s">
        <v>13562</v>
      </c>
      <c r="F22890" t="s">
        <v>56</v>
      </c>
      <c r="G22890" t="s">
        <v>47093</v>
      </c>
      <c r="H22890" t="s">
        <v>47054</v>
      </c>
      <c r="I22890" t="s">
        <v>47111</v>
      </c>
      <c r="J22890" t="s">
        <v>47112</v>
      </c>
      <c r="K22890" t="s">
        <v>47113</v>
      </c>
      <c r="L22890">
        <v>32.9</v>
      </c>
      <c r="M22890">
        <v>87</v>
      </c>
      <c r="N22890">
        <v>0</v>
      </c>
      <c r="O22890">
        <v>87</v>
      </c>
      <c r="P22890">
        <v>0</v>
      </c>
    </row>
    <row r="22891" spans="1:16" x14ac:dyDescent="0.25">
      <c r="A22891" t="s">
        <v>45636</v>
      </c>
      <c r="B22891" t="s">
        <v>13599</v>
      </c>
      <c r="C22891" t="s">
        <v>13600</v>
      </c>
      <c r="D22891" t="s">
        <v>6205</v>
      </c>
      <c r="E22891" t="s">
        <v>6206</v>
      </c>
      <c r="F22891" t="s">
        <v>2</v>
      </c>
      <c r="G22891" t="s">
        <v>47093</v>
      </c>
      <c r="H22891" t="s">
        <v>47054</v>
      </c>
      <c r="I22891" t="s">
        <v>47111</v>
      </c>
      <c r="J22891" t="s">
        <v>47112</v>
      </c>
      <c r="K22891" t="s">
        <v>47113</v>
      </c>
      <c r="L22891">
        <v>51.67</v>
      </c>
      <c r="M22891">
        <v>99</v>
      </c>
      <c r="N22891">
        <v>0</v>
      </c>
      <c r="O22891">
        <v>99</v>
      </c>
      <c r="P22891">
        <v>0</v>
      </c>
    </row>
    <row r="22892" spans="1:16" x14ac:dyDescent="0.25">
      <c r="A22892" t="s">
        <v>45637</v>
      </c>
      <c r="B22892" t="s">
        <v>13601</v>
      </c>
      <c r="C22892" t="s">
        <v>13602</v>
      </c>
      <c r="D22892" t="s">
        <v>2981</v>
      </c>
      <c r="E22892" t="s">
        <v>2982</v>
      </c>
      <c r="F22892" t="s">
        <v>2</v>
      </c>
      <c r="G22892" t="s">
        <v>47093</v>
      </c>
      <c r="H22892" t="s">
        <v>47054</v>
      </c>
      <c r="I22892" t="s">
        <v>47111</v>
      </c>
      <c r="J22892" t="s">
        <v>47112</v>
      </c>
      <c r="K22892" t="s">
        <v>47113</v>
      </c>
      <c r="L22892">
        <v>47.01</v>
      </c>
      <c r="M22892">
        <v>99</v>
      </c>
      <c r="N22892">
        <v>0</v>
      </c>
      <c r="O22892">
        <v>99</v>
      </c>
      <c r="P22892">
        <v>0</v>
      </c>
    </row>
    <row r="22893" spans="1:16" x14ac:dyDescent="0.25">
      <c r="A22893" t="s">
        <v>1370</v>
      </c>
      <c r="B22893" t="s">
        <v>1371</v>
      </c>
      <c r="C22893" t="s">
        <v>1372</v>
      </c>
      <c r="D22893" t="s">
        <v>1373</v>
      </c>
      <c r="E22893" t="s">
        <v>1374</v>
      </c>
      <c r="F22893" t="s">
        <v>296</v>
      </c>
      <c r="G22893" t="s">
        <v>47093</v>
      </c>
      <c r="H22893" t="s">
        <v>47054</v>
      </c>
      <c r="I22893" t="s">
        <v>47111</v>
      </c>
      <c r="J22893" t="s">
        <v>47112</v>
      </c>
      <c r="K22893" t="s">
        <v>47113</v>
      </c>
      <c r="L22893">
        <v>46.57</v>
      </c>
      <c r="M22893">
        <v>98</v>
      </c>
      <c r="N22893">
        <v>0</v>
      </c>
      <c r="O22893">
        <v>98</v>
      </c>
      <c r="P22893">
        <v>0</v>
      </c>
    </row>
    <row r="22894" spans="1:16" x14ac:dyDescent="0.25">
      <c r="A22894" t="s">
        <v>1375</v>
      </c>
      <c r="B22894" t="s">
        <v>1376</v>
      </c>
      <c r="C22894" t="s">
        <v>1377</v>
      </c>
      <c r="D22894" t="s">
        <v>1373</v>
      </c>
      <c r="E22894" t="s">
        <v>1374</v>
      </c>
      <c r="F22894" t="s">
        <v>296</v>
      </c>
      <c r="G22894" t="s">
        <v>49029</v>
      </c>
      <c r="H22894" t="s">
        <v>47054</v>
      </c>
      <c r="I22894" t="s">
        <v>47111</v>
      </c>
      <c r="J22894" t="s">
        <v>47112</v>
      </c>
      <c r="K22894" t="s">
        <v>47113</v>
      </c>
      <c r="L22894">
        <v>38.94</v>
      </c>
      <c r="M22894">
        <v>85</v>
      </c>
      <c r="N22894">
        <v>0</v>
      </c>
      <c r="O22894">
        <v>85</v>
      </c>
      <c r="P22894">
        <v>0</v>
      </c>
    </row>
    <row r="22895" spans="1:16" x14ac:dyDescent="0.25">
      <c r="A22895" t="s">
        <v>45638</v>
      </c>
      <c r="B22895" t="s">
        <v>13603</v>
      </c>
      <c r="C22895" t="s">
        <v>13604</v>
      </c>
      <c r="D22895" t="s">
        <v>13605</v>
      </c>
      <c r="E22895" t="s">
        <v>13606</v>
      </c>
      <c r="F22895" t="s">
        <v>631</v>
      </c>
      <c r="G22895" t="s">
        <v>49029</v>
      </c>
      <c r="H22895" t="s">
        <v>47054</v>
      </c>
      <c r="I22895" t="s">
        <v>47111</v>
      </c>
      <c r="J22895" t="s">
        <v>47112</v>
      </c>
      <c r="K22895" t="s">
        <v>47113</v>
      </c>
      <c r="L22895">
        <v>27.53</v>
      </c>
      <c r="M22895">
        <v>62</v>
      </c>
      <c r="N22895">
        <v>0</v>
      </c>
      <c r="O22895">
        <v>62</v>
      </c>
      <c r="P22895">
        <v>0</v>
      </c>
    </row>
    <row r="22896" spans="1:16" x14ac:dyDescent="0.25">
      <c r="A22896" t="s">
        <v>45639</v>
      </c>
      <c r="B22896" t="s">
        <v>13607</v>
      </c>
      <c r="C22896" t="s">
        <v>13608</v>
      </c>
      <c r="D22896" t="s">
        <v>13609</v>
      </c>
      <c r="E22896" t="s">
        <v>13610</v>
      </c>
      <c r="F22896" t="s">
        <v>56</v>
      </c>
      <c r="G22896" t="s">
        <v>49029</v>
      </c>
      <c r="H22896" t="s">
        <v>47054</v>
      </c>
      <c r="I22896" t="s">
        <v>47111</v>
      </c>
      <c r="J22896" t="s">
        <v>47112</v>
      </c>
      <c r="K22896" t="s">
        <v>47113</v>
      </c>
      <c r="L22896">
        <v>32.409999999999997</v>
      </c>
      <c r="M22896">
        <v>73</v>
      </c>
      <c r="N22896">
        <v>0</v>
      </c>
      <c r="O22896">
        <v>73</v>
      </c>
      <c r="P22896">
        <v>0</v>
      </c>
    </row>
    <row r="22897" spans="1:16" x14ac:dyDescent="0.25">
      <c r="A22897" t="s">
        <v>45640</v>
      </c>
      <c r="B22897" t="s">
        <v>13607</v>
      </c>
      <c r="C22897" t="s">
        <v>13608</v>
      </c>
      <c r="D22897" t="s">
        <v>294</v>
      </c>
      <c r="E22897" t="s">
        <v>295</v>
      </c>
      <c r="F22897" t="s">
        <v>56</v>
      </c>
      <c r="G22897" t="s">
        <v>49029</v>
      </c>
      <c r="H22897" t="s">
        <v>47054</v>
      </c>
      <c r="I22897" t="s">
        <v>47111</v>
      </c>
      <c r="J22897" t="s">
        <v>47112</v>
      </c>
      <c r="K22897" t="s">
        <v>47113</v>
      </c>
      <c r="L22897">
        <v>31.84</v>
      </c>
      <c r="M22897">
        <v>77</v>
      </c>
      <c r="N22897">
        <v>0</v>
      </c>
      <c r="O22897">
        <v>77</v>
      </c>
      <c r="P22897">
        <v>0</v>
      </c>
    </row>
    <row r="22898" spans="1:16" x14ac:dyDescent="0.25">
      <c r="A22898" t="s">
        <v>45641</v>
      </c>
      <c r="B22898" t="s">
        <v>13607</v>
      </c>
      <c r="C22898" t="s">
        <v>13608</v>
      </c>
      <c r="D22898" t="s">
        <v>2030</v>
      </c>
      <c r="E22898" t="s">
        <v>2031</v>
      </c>
      <c r="F22898" t="s">
        <v>56</v>
      </c>
      <c r="G22898" t="s">
        <v>49029</v>
      </c>
      <c r="H22898" t="s">
        <v>47054</v>
      </c>
      <c r="I22898" t="s">
        <v>47111</v>
      </c>
      <c r="J22898" t="s">
        <v>47112</v>
      </c>
      <c r="K22898" t="s">
        <v>47113</v>
      </c>
      <c r="L22898">
        <v>30.69</v>
      </c>
      <c r="M22898">
        <v>69</v>
      </c>
      <c r="N22898">
        <v>0</v>
      </c>
      <c r="O22898">
        <v>69</v>
      </c>
      <c r="P22898">
        <v>0</v>
      </c>
    </row>
    <row r="22899" spans="1:16" x14ac:dyDescent="0.25">
      <c r="A22899" t="s">
        <v>45642</v>
      </c>
      <c r="B22899" t="s">
        <v>45643</v>
      </c>
      <c r="C22899" t="s">
        <v>45644</v>
      </c>
      <c r="D22899" t="s">
        <v>4870</v>
      </c>
      <c r="E22899" t="s">
        <v>4871</v>
      </c>
      <c r="F22899" t="s">
        <v>1717</v>
      </c>
      <c r="G22899" t="s">
        <v>47093</v>
      </c>
      <c r="H22899" t="s">
        <v>47054</v>
      </c>
      <c r="I22899" t="s">
        <v>47111</v>
      </c>
      <c r="J22899" t="s">
        <v>47112</v>
      </c>
      <c r="K22899" t="s">
        <v>47113</v>
      </c>
      <c r="L22899">
        <v>39.75</v>
      </c>
      <c r="M22899">
        <v>111</v>
      </c>
      <c r="N22899">
        <v>299</v>
      </c>
      <c r="O22899">
        <v>111</v>
      </c>
      <c r="P22899">
        <v>299</v>
      </c>
    </row>
    <row r="22900" spans="1:16" x14ac:dyDescent="0.25">
      <c r="A22900" t="s">
        <v>45645</v>
      </c>
      <c r="B22900" t="s">
        <v>13611</v>
      </c>
      <c r="C22900" t="s">
        <v>13612</v>
      </c>
      <c r="D22900" t="s">
        <v>2018</v>
      </c>
      <c r="E22900" t="s">
        <v>2019</v>
      </c>
      <c r="F22900" t="s">
        <v>631</v>
      </c>
      <c r="G22900" t="s">
        <v>47093</v>
      </c>
      <c r="H22900" t="s">
        <v>47054</v>
      </c>
      <c r="I22900" t="s">
        <v>47111</v>
      </c>
      <c r="J22900" t="s">
        <v>47112</v>
      </c>
      <c r="K22900" t="s">
        <v>47113</v>
      </c>
      <c r="L22900">
        <v>38.49</v>
      </c>
      <c r="M22900">
        <v>95</v>
      </c>
      <c r="N22900">
        <v>0</v>
      </c>
      <c r="O22900">
        <v>95</v>
      </c>
      <c r="P22900">
        <v>0</v>
      </c>
    </row>
    <row r="22901" spans="1:16" x14ac:dyDescent="0.25">
      <c r="A22901" t="s">
        <v>1378</v>
      </c>
      <c r="B22901" t="s">
        <v>1379</v>
      </c>
      <c r="C22901" t="s">
        <v>1380</v>
      </c>
      <c r="D22901" t="s">
        <v>1381</v>
      </c>
      <c r="E22901" t="s">
        <v>1382</v>
      </c>
      <c r="F22901" t="s">
        <v>2</v>
      </c>
      <c r="G22901" t="s">
        <v>47093</v>
      </c>
      <c r="H22901" t="s">
        <v>47054</v>
      </c>
      <c r="I22901" t="s">
        <v>47111</v>
      </c>
      <c r="J22901" t="s">
        <v>47112</v>
      </c>
      <c r="K22901" t="s">
        <v>47113</v>
      </c>
      <c r="L22901">
        <v>56.14</v>
      </c>
      <c r="M22901">
        <v>115</v>
      </c>
      <c r="N22901">
        <v>0</v>
      </c>
      <c r="O22901">
        <v>115</v>
      </c>
      <c r="P22901">
        <v>0</v>
      </c>
    </row>
    <row r="22902" spans="1:16" x14ac:dyDescent="0.25">
      <c r="A22902" t="s">
        <v>45646</v>
      </c>
      <c r="B22902" t="s">
        <v>13613</v>
      </c>
      <c r="C22902" t="s">
        <v>13614</v>
      </c>
      <c r="D22902" t="s">
        <v>13609</v>
      </c>
      <c r="E22902" t="s">
        <v>13610</v>
      </c>
      <c r="F22902" t="s">
        <v>56</v>
      </c>
      <c r="G22902" t="s">
        <v>49029</v>
      </c>
      <c r="H22902" t="s">
        <v>47054</v>
      </c>
      <c r="I22902" t="s">
        <v>47111</v>
      </c>
      <c r="J22902" t="s">
        <v>47112</v>
      </c>
      <c r="K22902" t="s">
        <v>47113</v>
      </c>
      <c r="L22902">
        <v>28.86</v>
      </c>
      <c r="M22902">
        <v>65</v>
      </c>
      <c r="N22902">
        <v>0</v>
      </c>
      <c r="O22902">
        <v>65</v>
      </c>
      <c r="P22902">
        <v>0</v>
      </c>
    </row>
    <row r="22903" spans="1:16" x14ac:dyDescent="0.25">
      <c r="A22903" t="s">
        <v>45647</v>
      </c>
      <c r="B22903" t="s">
        <v>13615</v>
      </c>
      <c r="C22903" t="s">
        <v>13616</v>
      </c>
      <c r="D22903" t="s">
        <v>13609</v>
      </c>
      <c r="E22903" t="s">
        <v>13610</v>
      </c>
      <c r="F22903" t="s">
        <v>56</v>
      </c>
      <c r="G22903" t="s">
        <v>49030</v>
      </c>
      <c r="H22903" t="s">
        <v>47054</v>
      </c>
      <c r="I22903" t="s">
        <v>47111</v>
      </c>
      <c r="J22903" t="s">
        <v>47112</v>
      </c>
      <c r="K22903" t="s">
        <v>47113</v>
      </c>
      <c r="L22903">
        <v>29.22</v>
      </c>
      <c r="M22903">
        <v>66</v>
      </c>
      <c r="N22903">
        <v>0</v>
      </c>
      <c r="O22903">
        <v>66</v>
      </c>
      <c r="P22903">
        <v>0</v>
      </c>
    </row>
    <row r="22904" spans="1:16" x14ac:dyDescent="0.25">
      <c r="A22904" t="s">
        <v>45648</v>
      </c>
      <c r="B22904" t="s">
        <v>13615</v>
      </c>
      <c r="C22904" t="s">
        <v>13616</v>
      </c>
      <c r="D22904" t="s">
        <v>294</v>
      </c>
      <c r="E22904" t="s">
        <v>295</v>
      </c>
      <c r="F22904" t="s">
        <v>56</v>
      </c>
      <c r="G22904" t="s">
        <v>49030</v>
      </c>
      <c r="H22904" t="s">
        <v>47054</v>
      </c>
      <c r="I22904" t="s">
        <v>47111</v>
      </c>
      <c r="J22904" t="s">
        <v>47112</v>
      </c>
      <c r="K22904" t="s">
        <v>47113</v>
      </c>
      <c r="L22904">
        <v>29.78</v>
      </c>
      <c r="M22904">
        <v>71</v>
      </c>
      <c r="N22904">
        <v>0</v>
      </c>
      <c r="O22904">
        <v>71</v>
      </c>
      <c r="P22904">
        <v>0</v>
      </c>
    </row>
    <row r="22905" spans="1:16" x14ac:dyDescent="0.25">
      <c r="A22905" t="s">
        <v>45649</v>
      </c>
      <c r="B22905" t="s">
        <v>13615</v>
      </c>
      <c r="C22905" t="s">
        <v>13616</v>
      </c>
      <c r="D22905" t="s">
        <v>2030</v>
      </c>
      <c r="E22905" t="s">
        <v>2031</v>
      </c>
      <c r="F22905" t="s">
        <v>56</v>
      </c>
      <c r="G22905" t="s">
        <v>49030</v>
      </c>
      <c r="H22905" t="s">
        <v>47054</v>
      </c>
      <c r="I22905" t="s">
        <v>47111</v>
      </c>
      <c r="J22905" t="s">
        <v>47112</v>
      </c>
      <c r="K22905" t="s">
        <v>47113</v>
      </c>
      <c r="L22905">
        <v>28.63</v>
      </c>
      <c r="M22905">
        <v>62</v>
      </c>
      <c r="N22905">
        <v>0</v>
      </c>
      <c r="O22905">
        <v>62</v>
      </c>
      <c r="P22905">
        <v>0</v>
      </c>
    </row>
    <row r="22906" spans="1:16" x14ac:dyDescent="0.25">
      <c r="A22906" t="s">
        <v>45650</v>
      </c>
      <c r="B22906" t="s">
        <v>13617</v>
      </c>
      <c r="C22906" t="s">
        <v>13618</v>
      </c>
      <c r="D22906" t="s">
        <v>3064</v>
      </c>
      <c r="E22906" t="s">
        <v>3065</v>
      </c>
      <c r="F22906" t="s">
        <v>7</v>
      </c>
      <c r="G22906" t="s">
        <v>47093</v>
      </c>
      <c r="H22906" t="s">
        <v>47054</v>
      </c>
      <c r="I22906" t="s">
        <v>47111</v>
      </c>
      <c r="J22906" t="s">
        <v>47112</v>
      </c>
      <c r="K22906" t="s">
        <v>47113</v>
      </c>
      <c r="L22906">
        <v>51.68</v>
      </c>
      <c r="M22906">
        <v>143</v>
      </c>
      <c r="N22906">
        <v>0</v>
      </c>
      <c r="O22906">
        <v>143</v>
      </c>
      <c r="P22906">
        <v>0</v>
      </c>
    </row>
    <row r="22907" spans="1:16" x14ac:dyDescent="0.25">
      <c r="A22907" t="s">
        <v>45651</v>
      </c>
      <c r="B22907" t="s">
        <v>13617</v>
      </c>
      <c r="C22907" t="s">
        <v>13618</v>
      </c>
      <c r="D22907" t="s">
        <v>1174</v>
      </c>
      <c r="E22907" t="s">
        <v>1175</v>
      </c>
      <c r="F22907" t="s">
        <v>7</v>
      </c>
      <c r="G22907" t="s">
        <v>47093</v>
      </c>
      <c r="H22907" t="s">
        <v>47054</v>
      </c>
      <c r="I22907" t="s">
        <v>47111</v>
      </c>
      <c r="J22907" t="s">
        <v>47112</v>
      </c>
      <c r="K22907" t="s">
        <v>47113</v>
      </c>
      <c r="L22907">
        <v>41.37</v>
      </c>
      <c r="M22907">
        <v>100</v>
      </c>
      <c r="N22907">
        <v>0</v>
      </c>
      <c r="O22907">
        <v>100</v>
      </c>
      <c r="P22907">
        <v>0</v>
      </c>
    </row>
    <row r="22908" spans="1:16" x14ac:dyDescent="0.25">
      <c r="A22908" t="s">
        <v>45652</v>
      </c>
      <c r="B22908" t="s">
        <v>13619</v>
      </c>
      <c r="C22908" t="s">
        <v>13620</v>
      </c>
      <c r="D22908" t="s">
        <v>2028</v>
      </c>
      <c r="E22908" t="s">
        <v>2029</v>
      </c>
      <c r="F22908" t="s">
        <v>7</v>
      </c>
      <c r="G22908" t="s">
        <v>47098</v>
      </c>
      <c r="H22908" t="s">
        <v>47054</v>
      </c>
      <c r="I22908" t="s">
        <v>47116</v>
      </c>
      <c r="J22908" t="s">
        <v>47117</v>
      </c>
      <c r="K22908" t="s">
        <v>47113</v>
      </c>
      <c r="L22908">
        <v>44.74</v>
      </c>
      <c r="M22908">
        <v>97</v>
      </c>
      <c r="N22908">
        <v>0</v>
      </c>
      <c r="O22908">
        <v>97</v>
      </c>
      <c r="P22908">
        <v>0</v>
      </c>
    </row>
    <row r="22909" spans="1:16" x14ac:dyDescent="0.25">
      <c r="A22909" t="s">
        <v>45653</v>
      </c>
      <c r="B22909" t="s">
        <v>13621</v>
      </c>
      <c r="C22909" t="s">
        <v>13622</v>
      </c>
      <c r="D22909" t="s">
        <v>3064</v>
      </c>
      <c r="E22909" t="s">
        <v>3065</v>
      </c>
      <c r="F22909" t="s">
        <v>7</v>
      </c>
      <c r="G22909" t="s">
        <v>47093</v>
      </c>
      <c r="H22909" t="s">
        <v>47054</v>
      </c>
      <c r="I22909" t="s">
        <v>47111</v>
      </c>
      <c r="J22909" t="s">
        <v>47112</v>
      </c>
      <c r="K22909" t="s">
        <v>47113</v>
      </c>
      <c r="L22909">
        <v>53.73</v>
      </c>
      <c r="M22909">
        <v>128</v>
      </c>
      <c r="N22909">
        <v>0</v>
      </c>
      <c r="O22909">
        <v>128</v>
      </c>
      <c r="P22909">
        <v>0</v>
      </c>
    </row>
    <row r="22910" spans="1:16" x14ac:dyDescent="0.25">
      <c r="A22910" t="s">
        <v>45654</v>
      </c>
      <c r="B22910" t="s">
        <v>13621</v>
      </c>
      <c r="C22910" t="s">
        <v>13622</v>
      </c>
      <c r="D22910" t="s">
        <v>1174</v>
      </c>
      <c r="E22910" t="s">
        <v>1175</v>
      </c>
      <c r="F22910" t="s">
        <v>7</v>
      </c>
      <c r="G22910" t="s">
        <v>47093</v>
      </c>
      <c r="H22910" t="s">
        <v>47054</v>
      </c>
      <c r="I22910" t="s">
        <v>47111</v>
      </c>
      <c r="J22910" t="s">
        <v>47112</v>
      </c>
      <c r="K22910" t="s">
        <v>47113</v>
      </c>
      <c r="L22910">
        <v>43.27</v>
      </c>
      <c r="M22910">
        <v>103</v>
      </c>
      <c r="N22910">
        <v>0</v>
      </c>
      <c r="O22910">
        <v>103</v>
      </c>
      <c r="P22910">
        <v>0</v>
      </c>
    </row>
    <row r="22911" spans="1:16" x14ac:dyDescent="0.25">
      <c r="A22911" t="s">
        <v>1383</v>
      </c>
      <c r="B22911" t="s">
        <v>1384</v>
      </c>
      <c r="C22911" t="s">
        <v>1385</v>
      </c>
      <c r="D22911" t="s">
        <v>1386</v>
      </c>
      <c r="E22911" t="s">
        <v>1387</v>
      </c>
      <c r="F22911" t="s">
        <v>2</v>
      </c>
      <c r="G22911" t="s">
        <v>47093</v>
      </c>
      <c r="H22911" t="s">
        <v>47054</v>
      </c>
      <c r="I22911" t="s">
        <v>47111</v>
      </c>
      <c r="J22911" t="s">
        <v>47112</v>
      </c>
      <c r="K22911" t="s">
        <v>47113</v>
      </c>
      <c r="L22911">
        <v>39.47</v>
      </c>
      <c r="M22911">
        <v>84</v>
      </c>
      <c r="N22911">
        <v>0</v>
      </c>
      <c r="O22911">
        <v>84</v>
      </c>
      <c r="P22911">
        <v>0</v>
      </c>
    </row>
    <row r="22912" spans="1:16" x14ac:dyDescent="0.25">
      <c r="A22912" t="s">
        <v>45655</v>
      </c>
      <c r="B22912" t="s">
        <v>13623</v>
      </c>
      <c r="C22912" t="s">
        <v>13624</v>
      </c>
      <c r="D22912" t="s">
        <v>3328</v>
      </c>
      <c r="E22912" t="s">
        <v>3329</v>
      </c>
      <c r="F22912" t="s">
        <v>2</v>
      </c>
      <c r="G22912" t="s">
        <v>47093</v>
      </c>
      <c r="H22912" t="s">
        <v>47054</v>
      </c>
      <c r="I22912" t="s">
        <v>47111</v>
      </c>
      <c r="J22912" t="s">
        <v>47112</v>
      </c>
      <c r="K22912" t="s">
        <v>47113</v>
      </c>
      <c r="L22912">
        <v>60.37</v>
      </c>
      <c r="M22912">
        <v>115</v>
      </c>
      <c r="N22912">
        <v>0</v>
      </c>
      <c r="O22912">
        <v>115</v>
      </c>
      <c r="P22912">
        <v>0</v>
      </c>
    </row>
    <row r="22913" spans="1:16" x14ac:dyDescent="0.25">
      <c r="A22913" t="s">
        <v>1388</v>
      </c>
      <c r="B22913" t="s">
        <v>1389</v>
      </c>
      <c r="C22913" t="s">
        <v>1390</v>
      </c>
      <c r="D22913" t="s">
        <v>1391</v>
      </c>
      <c r="E22913" t="s">
        <v>1392</v>
      </c>
      <c r="F22913" t="s">
        <v>2</v>
      </c>
      <c r="G22913" t="s">
        <v>48515</v>
      </c>
      <c r="H22913" t="s">
        <v>47054</v>
      </c>
      <c r="I22913" t="s">
        <v>47116</v>
      </c>
      <c r="J22913" t="s">
        <v>47117</v>
      </c>
      <c r="K22913" t="s">
        <v>47113</v>
      </c>
      <c r="L22913">
        <v>40.32</v>
      </c>
      <c r="M22913">
        <v>96</v>
      </c>
      <c r="N22913">
        <v>0</v>
      </c>
      <c r="O22913">
        <v>96</v>
      </c>
      <c r="P22913">
        <v>0</v>
      </c>
    </row>
    <row r="22914" spans="1:16" x14ac:dyDescent="0.25">
      <c r="A22914" t="s">
        <v>45656</v>
      </c>
      <c r="B22914" t="s">
        <v>13625</v>
      </c>
      <c r="C22914" t="s">
        <v>13626</v>
      </c>
      <c r="D22914" t="s">
        <v>8409</v>
      </c>
      <c r="E22914" t="s">
        <v>8410</v>
      </c>
      <c r="F22914" t="s">
        <v>2</v>
      </c>
      <c r="G22914" t="s">
        <v>47093</v>
      </c>
      <c r="I22914" t="s">
        <v>47111</v>
      </c>
      <c r="J22914" t="s">
        <v>47112</v>
      </c>
      <c r="K22914" t="s">
        <v>47113</v>
      </c>
      <c r="L22914">
        <v>72.67</v>
      </c>
      <c r="M22914">
        <v>85</v>
      </c>
      <c r="N22914">
        <v>0</v>
      </c>
      <c r="O22914">
        <v>85</v>
      </c>
      <c r="P22914">
        <v>0</v>
      </c>
    </row>
    <row r="22915" spans="1:16" x14ac:dyDescent="0.25">
      <c r="A22915" t="s">
        <v>45657</v>
      </c>
      <c r="B22915" t="s">
        <v>13627</v>
      </c>
      <c r="C22915" t="s">
        <v>13626</v>
      </c>
      <c r="D22915" t="s">
        <v>8406</v>
      </c>
      <c r="E22915" t="s">
        <v>8407</v>
      </c>
      <c r="F22915" t="s">
        <v>2</v>
      </c>
      <c r="G22915" t="s">
        <v>47093</v>
      </c>
      <c r="H22915" t="s">
        <v>47054</v>
      </c>
      <c r="I22915" t="s">
        <v>47111</v>
      </c>
      <c r="J22915" t="s">
        <v>47112</v>
      </c>
      <c r="K22915" t="s">
        <v>47113</v>
      </c>
      <c r="L22915">
        <v>47.01</v>
      </c>
      <c r="M22915">
        <v>85</v>
      </c>
      <c r="N22915">
        <v>0</v>
      </c>
      <c r="O22915">
        <v>85</v>
      </c>
      <c r="P22915">
        <v>0</v>
      </c>
    </row>
    <row r="22916" spans="1:16" x14ac:dyDescent="0.25">
      <c r="A22916" t="s">
        <v>45658</v>
      </c>
      <c r="B22916" t="s">
        <v>13628</v>
      </c>
      <c r="C22916" t="s">
        <v>13629</v>
      </c>
      <c r="D22916" t="s">
        <v>1396</v>
      </c>
      <c r="E22916" t="s">
        <v>1397</v>
      </c>
      <c r="F22916" t="s">
        <v>2</v>
      </c>
      <c r="G22916" t="s">
        <v>47093</v>
      </c>
      <c r="H22916" t="s">
        <v>47054</v>
      </c>
      <c r="I22916" t="s">
        <v>47111</v>
      </c>
      <c r="J22916" t="s">
        <v>47112</v>
      </c>
      <c r="K22916" t="s">
        <v>47113</v>
      </c>
      <c r="L22916">
        <v>42.47</v>
      </c>
      <c r="M22916">
        <v>106</v>
      </c>
      <c r="N22916">
        <v>0</v>
      </c>
      <c r="O22916">
        <v>106</v>
      </c>
      <c r="P22916">
        <v>0</v>
      </c>
    </row>
    <row r="22917" spans="1:16" x14ac:dyDescent="0.25">
      <c r="A22917" t="s">
        <v>1393</v>
      </c>
      <c r="B22917" t="s">
        <v>1394</v>
      </c>
      <c r="C22917" t="s">
        <v>1395</v>
      </c>
      <c r="D22917" t="s">
        <v>1396</v>
      </c>
      <c r="E22917" t="s">
        <v>1397</v>
      </c>
      <c r="F22917" t="s">
        <v>2</v>
      </c>
      <c r="G22917" t="s">
        <v>49029</v>
      </c>
      <c r="H22917" t="s">
        <v>47054</v>
      </c>
      <c r="I22917" t="s">
        <v>47111</v>
      </c>
      <c r="J22917" t="s">
        <v>47112</v>
      </c>
      <c r="K22917" t="s">
        <v>47113</v>
      </c>
      <c r="L22917">
        <v>35.94</v>
      </c>
      <c r="M22917">
        <v>70</v>
      </c>
      <c r="N22917">
        <v>0</v>
      </c>
      <c r="O22917">
        <v>70</v>
      </c>
      <c r="P22917">
        <v>0</v>
      </c>
    </row>
    <row r="22918" spans="1:16" x14ac:dyDescent="0.25">
      <c r="A22918" t="s">
        <v>45659</v>
      </c>
      <c r="B22918" t="s">
        <v>13630</v>
      </c>
      <c r="C22918" t="s">
        <v>13631</v>
      </c>
      <c r="D22918" t="s">
        <v>13632</v>
      </c>
      <c r="E22918" t="s">
        <v>13633</v>
      </c>
      <c r="F22918" t="s">
        <v>687</v>
      </c>
      <c r="G22918" t="s">
        <v>47093</v>
      </c>
      <c r="H22918" t="s">
        <v>47054</v>
      </c>
      <c r="I22918" t="s">
        <v>47111</v>
      </c>
      <c r="J22918" t="s">
        <v>47112</v>
      </c>
      <c r="K22918" t="s">
        <v>47113</v>
      </c>
      <c r="L22918">
        <v>40.56</v>
      </c>
      <c r="M22918">
        <v>79</v>
      </c>
      <c r="N22918">
        <v>0</v>
      </c>
      <c r="O22918">
        <v>79</v>
      </c>
      <c r="P22918">
        <v>0</v>
      </c>
    </row>
    <row r="22919" spans="1:16" x14ac:dyDescent="0.25">
      <c r="A22919" t="s">
        <v>45660</v>
      </c>
      <c r="B22919" t="s">
        <v>13630</v>
      </c>
      <c r="C22919" t="s">
        <v>13631</v>
      </c>
      <c r="D22919" t="s">
        <v>13634</v>
      </c>
      <c r="E22919" t="s">
        <v>13635</v>
      </c>
      <c r="F22919" t="s">
        <v>687</v>
      </c>
      <c r="G22919" t="s">
        <v>47093</v>
      </c>
      <c r="H22919" t="s">
        <v>47054</v>
      </c>
      <c r="I22919" t="s">
        <v>47111</v>
      </c>
      <c r="J22919" t="s">
        <v>47112</v>
      </c>
      <c r="K22919" t="s">
        <v>47113</v>
      </c>
      <c r="L22919">
        <v>35.380000000000003</v>
      </c>
      <c r="M22919">
        <v>99</v>
      </c>
      <c r="N22919">
        <v>0</v>
      </c>
      <c r="O22919">
        <v>99</v>
      </c>
      <c r="P22919">
        <v>0</v>
      </c>
    </row>
    <row r="22920" spans="1:16" x14ac:dyDescent="0.25">
      <c r="A22920" t="s">
        <v>45661</v>
      </c>
      <c r="B22920" t="s">
        <v>13636</v>
      </c>
      <c r="C22920" t="s">
        <v>13637</v>
      </c>
      <c r="D22920" t="s">
        <v>13638</v>
      </c>
      <c r="E22920" t="s">
        <v>13639</v>
      </c>
      <c r="F22920" t="s">
        <v>4</v>
      </c>
      <c r="G22920" t="s">
        <v>48515</v>
      </c>
      <c r="H22920" t="s">
        <v>47054</v>
      </c>
      <c r="I22920" t="s">
        <v>47111</v>
      </c>
      <c r="J22920" t="s">
        <v>47112</v>
      </c>
      <c r="K22920" t="s">
        <v>47113</v>
      </c>
      <c r="L22920">
        <v>32.39</v>
      </c>
      <c r="M22920">
        <v>79</v>
      </c>
      <c r="N22920">
        <v>0</v>
      </c>
      <c r="O22920">
        <v>79</v>
      </c>
      <c r="P22920">
        <v>0</v>
      </c>
    </row>
    <row r="22921" spans="1:16" x14ac:dyDescent="0.25">
      <c r="A22921" t="s">
        <v>45662</v>
      </c>
      <c r="B22921" t="s">
        <v>13640</v>
      </c>
      <c r="C22921" t="s">
        <v>13641</v>
      </c>
      <c r="D22921" t="s">
        <v>13642</v>
      </c>
      <c r="E22921" t="s">
        <v>13643</v>
      </c>
      <c r="F22921" t="s">
        <v>687</v>
      </c>
      <c r="G22921" t="s">
        <v>48515</v>
      </c>
      <c r="H22921" t="s">
        <v>47054</v>
      </c>
      <c r="I22921" t="s">
        <v>47111</v>
      </c>
      <c r="J22921" t="s">
        <v>47112</v>
      </c>
      <c r="K22921" t="s">
        <v>47113</v>
      </c>
      <c r="L22921">
        <v>33.229999999999997</v>
      </c>
      <c r="M22921">
        <v>75</v>
      </c>
      <c r="N22921">
        <v>0</v>
      </c>
      <c r="O22921">
        <v>75</v>
      </c>
      <c r="P22921">
        <v>0</v>
      </c>
    </row>
    <row r="22922" spans="1:16" x14ac:dyDescent="0.25">
      <c r="A22922" t="s">
        <v>45663</v>
      </c>
      <c r="B22922" t="s">
        <v>13644</v>
      </c>
      <c r="C22922" t="s">
        <v>13556</v>
      </c>
      <c r="D22922" t="s">
        <v>13645</v>
      </c>
      <c r="E22922" t="s">
        <v>13646</v>
      </c>
      <c r="F22922" t="s">
        <v>56</v>
      </c>
      <c r="G22922" t="s">
        <v>49029</v>
      </c>
      <c r="H22922" t="s">
        <v>47054</v>
      </c>
      <c r="I22922" t="s">
        <v>47111</v>
      </c>
      <c r="J22922" t="s">
        <v>47112</v>
      </c>
      <c r="K22922" t="s">
        <v>47113</v>
      </c>
      <c r="L22922">
        <v>30.12</v>
      </c>
      <c r="M22922">
        <v>69</v>
      </c>
      <c r="N22922">
        <v>0</v>
      </c>
      <c r="O22922">
        <v>69</v>
      </c>
      <c r="P22922">
        <v>0</v>
      </c>
    </row>
    <row r="22923" spans="1:16" x14ac:dyDescent="0.25">
      <c r="A22923" t="s">
        <v>45664</v>
      </c>
      <c r="B22923" t="s">
        <v>13644</v>
      </c>
      <c r="C22923" t="s">
        <v>13556</v>
      </c>
      <c r="D22923" t="s">
        <v>13647</v>
      </c>
      <c r="E22923" t="s">
        <v>13648</v>
      </c>
      <c r="F22923" t="s">
        <v>56</v>
      </c>
      <c r="G22923" t="s">
        <v>49029</v>
      </c>
      <c r="H22923" t="s">
        <v>47054</v>
      </c>
      <c r="I22923" t="s">
        <v>47111</v>
      </c>
      <c r="J22923" t="s">
        <v>47112</v>
      </c>
      <c r="K22923" t="s">
        <v>47113</v>
      </c>
      <c r="L22923">
        <v>31.26</v>
      </c>
      <c r="M22923">
        <v>71</v>
      </c>
      <c r="N22923">
        <v>0</v>
      </c>
      <c r="O22923">
        <v>71</v>
      </c>
      <c r="P22923">
        <v>0</v>
      </c>
    </row>
    <row r="22924" spans="1:16" x14ac:dyDescent="0.25">
      <c r="A22924" t="s">
        <v>45665</v>
      </c>
      <c r="B22924" t="s">
        <v>13649</v>
      </c>
      <c r="C22924" t="s">
        <v>13018</v>
      </c>
      <c r="D22924" t="s">
        <v>13650</v>
      </c>
      <c r="E22924" t="s">
        <v>13651</v>
      </c>
      <c r="F22924" t="s">
        <v>6</v>
      </c>
      <c r="G22924" t="s">
        <v>47093</v>
      </c>
      <c r="H22924" t="s">
        <v>47054</v>
      </c>
      <c r="I22924" t="s">
        <v>47111</v>
      </c>
      <c r="J22924" t="s">
        <v>47112</v>
      </c>
      <c r="K22924" t="s">
        <v>47113</v>
      </c>
      <c r="L22924">
        <v>34.75</v>
      </c>
      <c r="M22924">
        <v>101</v>
      </c>
      <c r="N22924">
        <v>0</v>
      </c>
      <c r="O22924">
        <v>101</v>
      </c>
      <c r="P22924">
        <v>0</v>
      </c>
    </row>
    <row r="22925" spans="1:16" x14ac:dyDescent="0.25">
      <c r="A22925" t="s">
        <v>45666</v>
      </c>
      <c r="B22925" t="s">
        <v>13652</v>
      </c>
      <c r="C22925" t="s">
        <v>13653</v>
      </c>
      <c r="D22925" t="s">
        <v>13647</v>
      </c>
      <c r="E22925" t="s">
        <v>13648</v>
      </c>
      <c r="F22925" t="s">
        <v>56</v>
      </c>
      <c r="G22925" t="s">
        <v>47093</v>
      </c>
      <c r="H22925" t="s">
        <v>47054</v>
      </c>
      <c r="I22925" t="s">
        <v>47114</v>
      </c>
      <c r="J22925" t="s">
        <v>47115</v>
      </c>
      <c r="K22925" t="s">
        <v>47113</v>
      </c>
      <c r="L22925">
        <v>38.44</v>
      </c>
      <c r="M22925">
        <v>86</v>
      </c>
      <c r="N22925">
        <v>0</v>
      </c>
      <c r="O22925">
        <v>86</v>
      </c>
      <c r="P22925">
        <v>0</v>
      </c>
    </row>
    <row r="22926" spans="1:16" x14ac:dyDescent="0.25">
      <c r="A22926" t="s">
        <v>45667</v>
      </c>
      <c r="B22926" t="s">
        <v>13652</v>
      </c>
      <c r="C22926" t="s">
        <v>13653</v>
      </c>
      <c r="D22926" t="s">
        <v>13654</v>
      </c>
      <c r="E22926" t="s">
        <v>13655</v>
      </c>
      <c r="F22926" t="s">
        <v>56</v>
      </c>
      <c r="G22926" t="s">
        <v>47093</v>
      </c>
      <c r="H22926" t="s">
        <v>47054</v>
      </c>
      <c r="I22926" t="s">
        <v>47114</v>
      </c>
      <c r="J22926" t="s">
        <v>47115</v>
      </c>
      <c r="K22926" t="s">
        <v>47113</v>
      </c>
      <c r="L22926">
        <v>37.89</v>
      </c>
      <c r="M22926">
        <v>84</v>
      </c>
      <c r="N22926">
        <v>0</v>
      </c>
      <c r="O22926">
        <v>84</v>
      </c>
      <c r="P22926">
        <v>0</v>
      </c>
    </row>
    <row r="22927" spans="1:16" x14ac:dyDescent="0.25">
      <c r="A22927" t="s">
        <v>45668</v>
      </c>
      <c r="B22927" t="s">
        <v>13656</v>
      </c>
      <c r="C22927" t="s">
        <v>13657</v>
      </c>
      <c r="D22927" t="s">
        <v>13645</v>
      </c>
      <c r="E22927" t="s">
        <v>13646</v>
      </c>
      <c r="F22927" t="s">
        <v>56</v>
      </c>
      <c r="G22927" t="s">
        <v>49029</v>
      </c>
      <c r="H22927" t="s">
        <v>47054</v>
      </c>
      <c r="I22927" t="s">
        <v>47114</v>
      </c>
      <c r="J22927" t="s">
        <v>47115</v>
      </c>
      <c r="K22927" t="s">
        <v>47113</v>
      </c>
      <c r="L22927">
        <v>25.35</v>
      </c>
      <c r="M22927">
        <v>68</v>
      </c>
      <c r="N22927">
        <v>0</v>
      </c>
      <c r="O22927">
        <v>68</v>
      </c>
      <c r="P22927">
        <v>0</v>
      </c>
    </row>
    <row r="22928" spans="1:16" x14ac:dyDescent="0.25">
      <c r="A22928" t="s">
        <v>45669</v>
      </c>
      <c r="B22928" t="s">
        <v>14383</v>
      </c>
      <c r="C22928" t="s">
        <v>19400</v>
      </c>
      <c r="D22928" t="s">
        <v>721</v>
      </c>
      <c r="E22928" t="s">
        <v>722</v>
      </c>
      <c r="F22928" t="s">
        <v>3670</v>
      </c>
      <c r="G22928" t="s">
        <v>47093</v>
      </c>
      <c r="H22928" t="s">
        <v>47054</v>
      </c>
      <c r="I22928" t="s">
        <v>47111</v>
      </c>
      <c r="J22928" t="s">
        <v>47112</v>
      </c>
      <c r="K22928" t="s">
        <v>47113</v>
      </c>
      <c r="L22928">
        <v>37.869999999999997</v>
      </c>
      <c r="M22928">
        <v>63</v>
      </c>
      <c r="N22928">
        <v>0</v>
      </c>
      <c r="O22928">
        <v>63</v>
      </c>
      <c r="P22928">
        <v>0</v>
      </c>
    </row>
    <row r="22929" spans="1:16" x14ac:dyDescent="0.25">
      <c r="A22929" t="s">
        <v>45670</v>
      </c>
      <c r="B22929" t="s">
        <v>1399</v>
      </c>
      <c r="C22929" t="s">
        <v>1400</v>
      </c>
      <c r="D22929" t="s">
        <v>721</v>
      </c>
      <c r="E22929" t="s">
        <v>722</v>
      </c>
      <c r="F22929" t="s">
        <v>687</v>
      </c>
      <c r="G22929" t="s">
        <v>47093</v>
      </c>
      <c r="H22929" t="s">
        <v>47054</v>
      </c>
      <c r="I22929" t="s">
        <v>47111</v>
      </c>
      <c r="J22929" t="s">
        <v>47112</v>
      </c>
      <c r="K22929" t="s">
        <v>47113</v>
      </c>
      <c r="L22929">
        <v>33.81</v>
      </c>
      <c r="M22929">
        <v>56</v>
      </c>
      <c r="N22929">
        <v>0</v>
      </c>
      <c r="O22929">
        <v>56</v>
      </c>
      <c r="P22929">
        <v>0</v>
      </c>
    </row>
    <row r="22930" spans="1:16" x14ac:dyDescent="0.25">
      <c r="A22930" t="s">
        <v>45671</v>
      </c>
      <c r="B22930" t="s">
        <v>1399</v>
      </c>
      <c r="C22930" t="s">
        <v>1400</v>
      </c>
      <c r="D22930" t="s">
        <v>13658</v>
      </c>
      <c r="E22930" t="s">
        <v>13659</v>
      </c>
      <c r="F22930" t="s">
        <v>5</v>
      </c>
      <c r="G22930" t="s">
        <v>47093</v>
      </c>
      <c r="H22930" t="s">
        <v>47054</v>
      </c>
      <c r="I22930" t="s">
        <v>47111</v>
      </c>
      <c r="J22930" t="s">
        <v>47112</v>
      </c>
      <c r="K22930" t="s">
        <v>47113</v>
      </c>
      <c r="L22930">
        <v>37.869999999999997</v>
      </c>
      <c r="M22930">
        <v>88</v>
      </c>
      <c r="N22930">
        <v>0</v>
      </c>
      <c r="O22930">
        <v>88</v>
      </c>
      <c r="P22930">
        <v>0</v>
      </c>
    </row>
    <row r="22931" spans="1:16" x14ac:dyDescent="0.25">
      <c r="A22931" t="s">
        <v>45672</v>
      </c>
      <c r="B22931" t="s">
        <v>1399</v>
      </c>
      <c r="C22931" t="s">
        <v>1400</v>
      </c>
      <c r="D22931" t="s">
        <v>13660</v>
      </c>
      <c r="E22931" t="s">
        <v>13661</v>
      </c>
      <c r="F22931" t="s">
        <v>687</v>
      </c>
      <c r="G22931" t="s">
        <v>47093</v>
      </c>
      <c r="H22931" t="s">
        <v>47054</v>
      </c>
      <c r="I22931" t="s">
        <v>47111</v>
      </c>
      <c r="J22931" t="s">
        <v>47112</v>
      </c>
      <c r="K22931" t="s">
        <v>47113</v>
      </c>
      <c r="L22931">
        <v>41.45</v>
      </c>
      <c r="M22931">
        <v>86</v>
      </c>
      <c r="N22931">
        <v>0</v>
      </c>
      <c r="O22931">
        <v>86</v>
      </c>
      <c r="P22931">
        <v>0</v>
      </c>
    </row>
    <row r="22932" spans="1:16" x14ac:dyDescent="0.25">
      <c r="A22932" t="s">
        <v>1398</v>
      </c>
      <c r="B22932" t="s">
        <v>1399</v>
      </c>
      <c r="C22932" t="s">
        <v>1400</v>
      </c>
      <c r="D22932" t="s">
        <v>743</v>
      </c>
      <c r="E22932" t="s">
        <v>744</v>
      </c>
      <c r="F22932" t="s">
        <v>1401</v>
      </c>
      <c r="G22932" t="s">
        <v>47093</v>
      </c>
      <c r="H22932" t="s">
        <v>47054</v>
      </c>
      <c r="I22932" t="s">
        <v>47111</v>
      </c>
      <c r="J22932" t="s">
        <v>47112</v>
      </c>
      <c r="K22932" t="s">
        <v>47113</v>
      </c>
      <c r="L22932">
        <v>36.22</v>
      </c>
      <c r="M22932">
        <v>84</v>
      </c>
      <c r="N22932">
        <v>0</v>
      </c>
      <c r="O22932">
        <v>84</v>
      </c>
      <c r="P22932">
        <v>0</v>
      </c>
    </row>
    <row r="22933" spans="1:16" x14ac:dyDescent="0.25">
      <c r="A22933" t="s">
        <v>45673</v>
      </c>
      <c r="B22933" t="s">
        <v>1399</v>
      </c>
      <c r="C22933" t="s">
        <v>1400</v>
      </c>
      <c r="D22933" t="s">
        <v>1774</v>
      </c>
      <c r="E22933" t="s">
        <v>1775</v>
      </c>
      <c r="F22933" t="s">
        <v>56</v>
      </c>
      <c r="G22933" t="s">
        <v>47093</v>
      </c>
      <c r="H22933" t="s">
        <v>47054</v>
      </c>
      <c r="I22933" t="s">
        <v>47111</v>
      </c>
      <c r="J22933" t="s">
        <v>47112</v>
      </c>
      <c r="K22933" t="s">
        <v>47113</v>
      </c>
      <c r="L22933">
        <v>44.61</v>
      </c>
      <c r="M22933">
        <v>95</v>
      </c>
      <c r="N22933">
        <v>0</v>
      </c>
      <c r="O22933">
        <v>95</v>
      </c>
      <c r="P22933">
        <v>0</v>
      </c>
    </row>
    <row r="22934" spans="1:16" x14ac:dyDescent="0.25">
      <c r="A22934" t="s">
        <v>45674</v>
      </c>
      <c r="B22934" t="s">
        <v>13662</v>
      </c>
      <c r="C22934" t="s">
        <v>1543</v>
      </c>
      <c r="D22934" t="s">
        <v>13660</v>
      </c>
      <c r="E22934" t="s">
        <v>13661</v>
      </c>
      <c r="F22934" t="s">
        <v>36</v>
      </c>
      <c r="G22934" t="s">
        <v>47093</v>
      </c>
      <c r="H22934" t="s">
        <v>47054</v>
      </c>
      <c r="I22934" t="s">
        <v>47111</v>
      </c>
      <c r="J22934" t="s">
        <v>47112</v>
      </c>
      <c r="K22934" t="s">
        <v>47113</v>
      </c>
      <c r="L22934">
        <v>38.71</v>
      </c>
      <c r="M22934">
        <v>87</v>
      </c>
      <c r="N22934">
        <v>0</v>
      </c>
      <c r="O22934">
        <v>87</v>
      </c>
      <c r="P22934">
        <v>0</v>
      </c>
    </row>
    <row r="22935" spans="1:16" x14ac:dyDescent="0.25">
      <c r="A22935" t="s">
        <v>45675</v>
      </c>
      <c r="B22935" t="s">
        <v>13662</v>
      </c>
      <c r="C22935" t="s">
        <v>1543</v>
      </c>
      <c r="D22935" t="s">
        <v>13663</v>
      </c>
      <c r="E22935" t="s">
        <v>13664</v>
      </c>
      <c r="F22935" t="s">
        <v>631</v>
      </c>
      <c r="G22935" t="s">
        <v>47093</v>
      </c>
      <c r="H22935" t="s">
        <v>47054</v>
      </c>
      <c r="I22935" t="s">
        <v>47111</v>
      </c>
      <c r="J22935" t="s">
        <v>47112</v>
      </c>
      <c r="K22935" t="s">
        <v>47113</v>
      </c>
      <c r="L22935">
        <v>94.83</v>
      </c>
      <c r="M22935">
        <v>88</v>
      </c>
      <c r="N22935">
        <v>0</v>
      </c>
      <c r="O22935">
        <v>88</v>
      </c>
      <c r="P22935">
        <v>0</v>
      </c>
    </row>
    <row r="22936" spans="1:16" x14ac:dyDescent="0.25">
      <c r="A22936" t="s">
        <v>45676</v>
      </c>
      <c r="B22936" t="s">
        <v>13665</v>
      </c>
      <c r="C22936" t="s">
        <v>1400</v>
      </c>
      <c r="D22936" t="s">
        <v>721</v>
      </c>
      <c r="E22936" t="s">
        <v>722</v>
      </c>
      <c r="F22936" t="s">
        <v>1717</v>
      </c>
      <c r="G22936" t="s">
        <v>47093</v>
      </c>
      <c r="H22936" t="s">
        <v>47054</v>
      </c>
      <c r="I22936" t="s">
        <v>47111</v>
      </c>
      <c r="J22936" t="s">
        <v>47112</v>
      </c>
      <c r="K22936" t="s">
        <v>47113</v>
      </c>
      <c r="L22936">
        <v>29.02</v>
      </c>
      <c r="M22936">
        <v>56</v>
      </c>
      <c r="N22936">
        <v>0</v>
      </c>
      <c r="O22936">
        <v>56</v>
      </c>
      <c r="P22936">
        <v>0</v>
      </c>
    </row>
    <row r="22937" spans="1:16" x14ac:dyDescent="0.25">
      <c r="A22937" t="s">
        <v>45677</v>
      </c>
      <c r="B22937" t="s">
        <v>13665</v>
      </c>
      <c r="C22937" t="s">
        <v>1400</v>
      </c>
      <c r="D22937" t="s">
        <v>743</v>
      </c>
      <c r="E22937" t="s">
        <v>744</v>
      </c>
      <c r="F22937" t="s">
        <v>56</v>
      </c>
      <c r="G22937" t="s">
        <v>47093</v>
      </c>
      <c r="H22937" t="s">
        <v>47054</v>
      </c>
      <c r="I22937" t="s">
        <v>47111</v>
      </c>
      <c r="J22937" t="s">
        <v>47112</v>
      </c>
      <c r="K22937" t="s">
        <v>47113</v>
      </c>
      <c r="L22937">
        <v>40.840000000000003</v>
      </c>
      <c r="M22937">
        <v>79</v>
      </c>
      <c r="N22937">
        <v>0</v>
      </c>
      <c r="O22937">
        <v>79</v>
      </c>
      <c r="P22937">
        <v>0</v>
      </c>
    </row>
    <row r="22938" spans="1:16" x14ac:dyDescent="0.25">
      <c r="A22938" t="s">
        <v>45678</v>
      </c>
      <c r="B22938" t="s">
        <v>13665</v>
      </c>
      <c r="C22938" t="s">
        <v>1400</v>
      </c>
      <c r="D22938" t="s">
        <v>13663</v>
      </c>
      <c r="E22938" t="s">
        <v>13664</v>
      </c>
      <c r="F22938" t="s">
        <v>631</v>
      </c>
      <c r="G22938" t="s">
        <v>47093</v>
      </c>
      <c r="H22938" t="s">
        <v>47054</v>
      </c>
      <c r="I22938" t="s">
        <v>47111</v>
      </c>
      <c r="J22938" t="s">
        <v>47112</v>
      </c>
      <c r="K22938" t="s">
        <v>47113</v>
      </c>
      <c r="L22938">
        <v>36.57</v>
      </c>
      <c r="M22938">
        <v>79</v>
      </c>
      <c r="N22938">
        <v>0</v>
      </c>
      <c r="O22938">
        <v>79</v>
      </c>
      <c r="P22938">
        <v>0</v>
      </c>
    </row>
    <row r="22939" spans="1:16" x14ac:dyDescent="0.25">
      <c r="A22939" t="s">
        <v>45679</v>
      </c>
      <c r="B22939" t="s">
        <v>13665</v>
      </c>
      <c r="C22939" t="s">
        <v>1400</v>
      </c>
      <c r="D22939" t="s">
        <v>1774</v>
      </c>
      <c r="E22939" t="s">
        <v>1775</v>
      </c>
      <c r="F22939" t="s">
        <v>56</v>
      </c>
      <c r="G22939" t="s">
        <v>47093</v>
      </c>
      <c r="H22939" t="s">
        <v>47054</v>
      </c>
      <c r="I22939" t="s">
        <v>47111</v>
      </c>
      <c r="J22939" t="s">
        <v>47112</v>
      </c>
      <c r="K22939" t="s">
        <v>47113</v>
      </c>
      <c r="L22939">
        <v>41.7</v>
      </c>
      <c r="M22939">
        <v>84</v>
      </c>
      <c r="N22939">
        <v>0</v>
      </c>
      <c r="O22939">
        <v>84</v>
      </c>
      <c r="P22939">
        <v>0</v>
      </c>
    </row>
    <row r="22940" spans="1:16" x14ac:dyDescent="0.25">
      <c r="A22940" t="s">
        <v>45680</v>
      </c>
      <c r="B22940" t="s">
        <v>1403</v>
      </c>
      <c r="C22940" t="s">
        <v>1404</v>
      </c>
      <c r="D22940" t="s">
        <v>721</v>
      </c>
      <c r="E22940" t="s">
        <v>722</v>
      </c>
      <c r="F22940" t="s">
        <v>36</v>
      </c>
      <c r="G22940" t="s">
        <v>47093</v>
      </c>
      <c r="H22940" t="s">
        <v>47054</v>
      </c>
      <c r="I22940" t="s">
        <v>47111</v>
      </c>
      <c r="J22940" t="s">
        <v>47112</v>
      </c>
      <c r="K22940" t="s">
        <v>47113</v>
      </c>
      <c r="L22940">
        <v>34.94</v>
      </c>
      <c r="M22940">
        <v>73</v>
      </c>
      <c r="N22940">
        <v>0</v>
      </c>
      <c r="O22940">
        <v>73</v>
      </c>
      <c r="P22940">
        <v>0</v>
      </c>
    </row>
    <row r="22941" spans="1:16" x14ac:dyDescent="0.25">
      <c r="A22941" t="s">
        <v>45681</v>
      </c>
      <c r="B22941" t="s">
        <v>1403</v>
      </c>
      <c r="C22941" t="s">
        <v>1404</v>
      </c>
      <c r="D22941" t="s">
        <v>13660</v>
      </c>
      <c r="E22941" t="s">
        <v>13661</v>
      </c>
      <c r="F22941" t="s">
        <v>36</v>
      </c>
      <c r="G22941" t="s">
        <v>47093</v>
      </c>
      <c r="H22941" t="s">
        <v>47054</v>
      </c>
      <c r="I22941" t="s">
        <v>47111</v>
      </c>
      <c r="J22941" t="s">
        <v>47112</v>
      </c>
      <c r="K22941" t="s">
        <v>47113</v>
      </c>
      <c r="L22941">
        <v>42.77</v>
      </c>
      <c r="M22941">
        <v>91</v>
      </c>
      <c r="N22941">
        <v>0</v>
      </c>
      <c r="O22941">
        <v>91</v>
      </c>
      <c r="P22941">
        <v>0</v>
      </c>
    </row>
    <row r="22942" spans="1:16" x14ac:dyDescent="0.25">
      <c r="A22942" t="s">
        <v>1402</v>
      </c>
      <c r="B22942" t="s">
        <v>1403</v>
      </c>
      <c r="C22942" t="s">
        <v>1404</v>
      </c>
      <c r="D22942" t="s">
        <v>743</v>
      </c>
      <c r="E22942" t="s">
        <v>744</v>
      </c>
      <c r="F22942" t="s">
        <v>1401</v>
      </c>
      <c r="G22942" t="s">
        <v>47093</v>
      </c>
      <c r="H22942" t="s">
        <v>47054</v>
      </c>
      <c r="I22942" t="s">
        <v>47111</v>
      </c>
      <c r="J22942" t="s">
        <v>47112</v>
      </c>
      <c r="K22942" t="s">
        <v>47113</v>
      </c>
      <c r="L22942">
        <v>38.18</v>
      </c>
      <c r="M22942">
        <v>78</v>
      </c>
      <c r="N22942">
        <v>0</v>
      </c>
      <c r="O22942">
        <v>78</v>
      </c>
      <c r="P22942">
        <v>0</v>
      </c>
    </row>
    <row r="22943" spans="1:16" x14ac:dyDescent="0.25">
      <c r="A22943" t="s">
        <v>45682</v>
      </c>
      <c r="B22943" t="s">
        <v>1403</v>
      </c>
      <c r="C22943" t="s">
        <v>1404</v>
      </c>
      <c r="D22943" t="s">
        <v>13666</v>
      </c>
      <c r="E22943" t="s">
        <v>13667</v>
      </c>
      <c r="F22943" t="s">
        <v>1717</v>
      </c>
      <c r="G22943" t="s">
        <v>47093</v>
      </c>
      <c r="H22943" t="s">
        <v>47054</v>
      </c>
      <c r="I22943" t="s">
        <v>47111</v>
      </c>
      <c r="J22943" t="s">
        <v>47112</v>
      </c>
      <c r="K22943" t="s">
        <v>47113</v>
      </c>
      <c r="L22943">
        <v>37.33</v>
      </c>
      <c r="M22943">
        <v>79</v>
      </c>
      <c r="N22943">
        <v>0</v>
      </c>
      <c r="O22943">
        <v>79</v>
      </c>
      <c r="P22943">
        <v>0</v>
      </c>
    </row>
    <row r="22944" spans="1:16" x14ac:dyDescent="0.25">
      <c r="A22944" t="s">
        <v>45683</v>
      </c>
      <c r="B22944" t="s">
        <v>1403</v>
      </c>
      <c r="C22944" t="s">
        <v>1404</v>
      </c>
      <c r="D22944" t="s">
        <v>1774</v>
      </c>
      <c r="E22944" t="s">
        <v>1775</v>
      </c>
      <c r="F22944" t="s">
        <v>56</v>
      </c>
      <c r="G22944" t="s">
        <v>47093</v>
      </c>
      <c r="H22944" t="s">
        <v>47054</v>
      </c>
      <c r="I22944" t="s">
        <v>47111</v>
      </c>
      <c r="J22944" t="s">
        <v>47112</v>
      </c>
      <c r="K22944" t="s">
        <v>47113</v>
      </c>
      <c r="L22944">
        <v>45.74</v>
      </c>
      <c r="M22944">
        <v>95</v>
      </c>
      <c r="N22944">
        <v>0</v>
      </c>
      <c r="O22944">
        <v>95</v>
      </c>
      <c r="P22944">
        <v>0</v>
      </c>
    </row>
    <row r="22945" spans="1:16" x14ac:dyDescent="0.25">
      <c r="A22945" t="s">
        <v>45684</v>
      </c>
      <c r="B22945" t="s">
        <v>13668</v>
      </c>
      <c r="C22945" t="s">
        <v>1404</v>
      </c>
      <c r="D22945" t="s">
        <v>743</v>
      </c>
      <c r="E22945" t="s">
        <v>744</v>
      </c>
      <c r="F22945" t="s">
        <v>1401</v>
      </c>
      <c r="G22945" t="s">
        <v>47093</v>
      </c>
      <c r="H22945" t="s">
        <v>47054</v>
      </c>
      <c r="I22945" t="s">
        <v>47111</v>
      </c>
      <c r="J22945" t="s">
        <v>47112</v>
      </c>
      <c r="K22945" t="s">
        <v>47113</v>
      </c>
      <c r="L22945">
        <v>50.71</v>
      </c>
      <c r="M22945">
        <v>109</v>
      </c>
      <c r="N22945">
        <v>0</v>
      </c>
      <c r="O22945">
        <v>109</v>
      </c>
      <c r="P22945">
        <v>0</v>
      </c>
    </row>
    <row r="22946" spans="1:16" x14ac:dyDescent="0.25">
      <c r="A22946" t="s">
        <v>45685</v>
      </c>
      <c r="B22946" t="s">
        <v>13669</v>
      </c>
      <c r="C22946" t="s">
        <v>1648</v>
      </c>
      <c r="D22946" t="s">
        <v>721</v>
      </c>
      <c r="E22946" t="s">
        <v>722</v>
      </c>
      <c r="F22946" t="s">
        <v>1717</v>
      </c>
      <c r="G22946" t="s">
        <v>47093</v>
      </c>
      <c r="H22946" t="s">
        <v>47054</v>
      </c>
      <c r="I22946" t="s">
        <v>47111</v>
      </c>
      <c r="J22946" t="s">
        <v>47112</v>
      </c>
      <c r="K22946" t="s">
        <v>47113</v>
      </c>
      <c r="L22946">
        <v>31.9</v>
      </c>
      <c r="M22946">
        <v>61</v>
      </c>
      <c r="N22946">
        <v>0</v>
      </c>
      <c r="O22946">
        <v>61</v>
      </c>
      <c r="P22946">
        <v>0</v>
      </c>
    </row>
    <row r="22947" spans="1:16" x14ac:dyDescent="0.25">
      <c r="A22947" t="s">
        <v>45686</v>
      </c>
      <c r="B22947" t="s">
        <v>13669</v>
      </c>
      <c r="C22947" t="s">
        <v>1648</v>
      </c>
      <c r="D22947" t="s">
        <v>1774</v>
      </c>
      <c r="E22947" t="s">
        <v>1775</v>
      </c>
      <c r="F22947" t="s">
        <v>56</v>
      </c>
      <c r="G22947" t="s">
        <v>47093</v>
      </c>
      <c r="H22947" t="s">
        <v>47054</v>
      </c>
      <c r="I22947" t="s">
        <v>47111</v>
      </c>
      <c r="J22947" t="s">
        <v>47112</v>
      </c>
      <c r="K22947" t="s">
        <v>47113</v>
      </c>
      <c r="L22947">
        <v>45.98</v>
      </c>
      <c r="M22947">
        <v>102</v>
      </c>
      <c r="N22947">
        <v>0</v>
      </c>
      <c r="O22947">
        <v>102</v>
      </c>
      <c r="P22947">
        <v>0</v>
      </c>
    </row>
    <row r="22948" spans="1:16" x14ac:dyDescent="0.25">
      <c r="A22948" t="s">
        <v>45687</v>
      </c>
      <c r="B22948" t="s">
        <v>13670</v>
      </c>
      <c r="C22948" t="s">
        <v>12290</v>
      </c>
      <c r="D22948" t="s">
        <v>721</v>
      </c>
      <c r="E22948" t="s">
        <v>722</v>
      </c>
      <c r="F22948" t="s">
        <v>52</v>
      </c>
      <c r="G22948" t="s">
        <v>47093</v>
      </c>
      <c r="H22948" t="s">
        <v>47054</v>
      </c>
      <c r="I22948" t="s">
        <v>47111</v>
      </c>
      <c r="J22948" t="s">
        <v>47112</v>
      </c>
      <c r="K22948" t="s">
        <v>47113</v>
      </c>
      <c r="L22948">
        <v>39.18</v>
      </c>
      <c r="M22948">
        <v>89</v>
      </c>
      <c r="N22948">
        <v>0</v>
      </c>
      <c r="O22948">
        <v>89</v>
      </c>
      <c r="P22948">
        <v>0</v>
      </c>
    </row>
    <row r="22949" spans="1:16" x14ac:dyDescent="0.25">
      <c r="A22949" t="s">
        <v>45688</v>
      </c>
      <c r="B22949" t="s">
        <v>13670</v>
      </c>
      <c r="C22949" t="s">
        <v>12290</v>
      </c>
      <c r="D22949" t="s">
        <v>743</v>
      </c>
      <c r="E22949" t="s">
        <v>744</v>
      </c>
      <c r="F22949" t="s">
        <v>52</v>
      </c>
      <c r="G22949" t="s">
        <v>47093</v>
      </c>
      <c r="H22949" t="s">
        <v>47054</v>
      </c>
      <c r="I22949" t="s">
        <v>47111</v>
      </c>
      <c r="J22949" t="s">
        <v>47112</v>
      </c>
      <c r="K22949" t="s">
        <v>47113</v>
      </c>
      <c r="L22949">
        <v>46.73</v>
      </c>
      <c r="M22949">
        <v>93</v>
      </c>
      <c r="N22949">
        <v>0</v>
      </c>
      <c r="O22949">
        <v>93</v>
      </c>
      <c r="P22949">
        <v>0</v>
      </c>
    </row>
    <row r="22950" spans="1:16" x14ac:dyDescent="0.25">
      <c r="A22950" t="s">
        <v>45689</v>
      </c>
      <c r="B22950" t="s">
        <v>13670</v>
      </c>
      <c r="C22950" t="s">
        <v>12290</v>
      </c>
      <c r="D22950" t="s">
        <v>1774</v>
      </c>
      <c r="E22950" t="s">
        <v>1775</v>
      </c>
      <c r="F22950" t="s">
        <v>52</v>
      </c>
      <c r="G22950" t="s">
        <v>47093</v>
      </c>
      <c r="H22950" t="s">
        <v>47054</v>
      </c>
      <c r="I22950" t="s">
        <v>47111</v>
      </c>
      <c r="J22950" t="s">
        <v>47112</v>
      </c>
      <c r="K22950" t="s">
        <v>47113</v>
      </c>
      <c r="L22950">
        <v>50.65</v>
      </c>
      <c r="M22950">
        <v>117</v>
      </c>
      <c r="N22950">
        <v>0</v>
      </c>
      <c r="O22950">
        <v>117</v>
      </c>
      <c r="P22950">
        <v>0</v>
      </c>
    </row>
    <row r="22951" spans="1:16" x14ac:dyDescent="0.25">
      <c r="A22951" t="s">
        <v>45690</v>
      </c>
      <c r="B22951" t="s">
        <v>13671</v>
      </c>
      <c r="C22951" t="s">
        <v>13672</v>
      </c>
      <c r="D22951" t="s">
        <v>721</v>
      </c>
      <c r="E22951" t="s">
        <v>722</v>
      </c>
      <c r="F22951" t="s">
        <v>52</v>
      </c>
      <c r="G22951" t="s">
        <v>47093</v>
      </c>
      <c r="H22951" t="s">
        <v>47054</v>
      </c>
      <c r="I22951" t="s">
        <v>47111</v>
      </c>
      <c r="J22951" t="s">
        <v>47112</v>
      </c>
      <c r="K22951" t="s">
        <v>47113</v>
      </c>
      <c r="L22951">
        <v>39.46</v>
      </c>
      <c r="M22951">
        <v>89</v>
      </c>
      <c r="N22951">
        <v>0</v>
      </c>
      <c r="O22951">
        <v>89</v>
      </c>
      <c r="P22951">
        <v>0</v>
      </c>
    </row>
    <row r="22952" spans="1:16" x14ac:dyDescent="0.25">
      <c r="A22952" t="s">
        <v>45691</v>
      </c>
      <c r="B22952" t="s">
        <v>13671</v>
      </c>
      <c r="C22952" t="s">
        <v>13672</v>
      </c>
      <c r="D22952" t="s">
        <v>743</v>
      </c>
      <c r="E22952" t="s">
        <v>744</v>
      </c>
      <c r="F22952" t="s">
        <v>52</v>
      </c>
      <c r="G22952" t="s">
        <v>47093</v>
      </c>
      <c r="H22952" t="s">
        <v>47054</v>
      </c>
      <c r="I22952" t="s">
        <v>47111</v>
      </c>
      <c r="J22952" t="s">
        <v>47112</v>
      </c>
      <c r="K22952" t="s">
        <v>47113</v>
      </c>
      <c r="L22952">
        <v>46.97</v>
      </c>
      <c r="M22952">
        <v>93</v>
      </c>
      <c r="N22952">
        <v>0</v>
      </c>
      <c r="O22952">
        <v>93</v>
      </c>
      <c r="P22952">
        <v>0</v>
      </c>
    </row>
    <row r="22953" spans="1:16" x14ac:dyDescent="0.25">
      <c r="A22953" t="s">
        <v>45692</v>
      </c>
      <c r="B22953" t="s">
        <v>13671</v>
      </c>
      <c r="C22953" t="s">
        <v>13672</v>
      </c>
      <c r="D22953" t="s">
        <v>1774</v>
      </c>
      <c r="E22953" t="s">
        <v>1775</v>
      </c>
      <c r="F22953" t="s">
        <v>52</v>
      </c>
      <c r="G22953" t="s">
        <v>47093</v>
      </c>
      <c r="H22953" t="s">
        <v>47054</v>
      </c>
      <c r="I22953" t="s">
        <v>47111</v>
      </c>
      <c r="J22953" t="s">
        <v>47112</v>
      </c>
      <c r="K22953" t="s">
        <v>47113</v>
      </c>
      <c r="L22953">
        <v>47.59</v>
      </c>
      <c r="M22953">
        <v>117</v>
      </c>
      <c r="N22953">
        <v>0</v>
      </c>
      <c r="O22953">
        <v>117</v>
      </c>
      <c r="P22953">
        <v>0</v>
      </c>
    </row>
    <row r="22954" spans="1:16" x14ac:dyDescent="0.25">
      <c r="A22954" t="s">
        <v>45693</v>
      </c>
      <c r="B22954" t="s">
        <v>13673</v>
      </c>
      <c r="C22954" t="s">
        <v>13674</v>
      </c>
      <c r="D22954" t="s">
        <v>721</v>
      </c>
      <c r="E22954" t="s">
        <v>722</v>
      </c>
      <c r="F22954" t="s">
        <v>56</v>
      </c>
      <c r="G22954" t="s">
        <v>47093</v>
      </c>
      <c r="H22954" t="s">
        <v>47054</v>
      </c>
      <c r="I22954" t="s">
        <v>47114</v>
      </c>
      <c r="J22954" t="s">
        <v>47115</v>
      </c>
      <c r="K22954" t="s">
        <v>47113</v>
      </c>
      <c r="L22954">
        <v>45.5</v>
      </c>
      <c r="M22954">
        <v>84</v>
      </c>
      <c r="N22954">
        <v>0</v>
      </c>
      <c r="O22954">
        <v>84</v>
      </c>
      <c r="P22954">
        <v>0</v>
      </c>
    </row>
    <row r="22955" spans="1:16" x14ac:dyDescent="0.25">
      <c r="A22955" t="s">
        <v>45694</v>
      </c>
      <c r="B22955" t="s">
        <v>13673</v>
      </c>
      <c r="C22955" t="s">
        <v>13674</v>
      </c>
      <c r="D22955" t="s">
        <v>13675</v>
      </c>
      <c r="E22955" t="s">
        <v>13676</v>
      </c>
      <c r="F22955" t="s">
        <v>56</v>
      </c>
      <c r="G22955" t="s">
        <v>47093</v>
      </c>
      <c r="H22955" t="s">
        <v>47054</v>
      </c>
      <c r="I22955" t="s">
        <v>47114</v>
      </c>
      <c r="J22955" t="s">
        <v>47115</v>
      </c>
      <c r="K22955" t="s">
        <v>47113</v>
      </c>
      <c r="L22955">
        <v>55.82</v>
      </c>
      <c r="M22955">
        <v>137</v>
      </c>
      <c r="N22955">
        <v>0</v>
      </c>
      <c r="O22955">
        <v>137</v>
      </c>
      <c r="P22955">
        <v>0</v>
      </c>
    </row>
    <row r="22956" spans="1:16" x14ac:dyDescent="0.25">
      <c r="A22956" t="s">
        <v>45695</v>
      </c>
      <c r="B22956" t="s">
        <v>13673</v>
      </c>
      <c r="C22956" t="s">
        <v>13674</v>
      </c>
      <c r="D22956" t="s">
        <v>13506</v>
      </c>
      <c r="E22956" t="s">
        <v>13507</v>
      </c>
      <c r="F22956" t="s">
        <v>56</v>
      </c>
      <c r="G22956" t="s">
        <v>47093</v>
      </c>
      <c r="H22956" t="s">
        <v>47054</v>
      </c>
      <c r="I22956" t="s">
        <v>47114</v>
      </c>
      <c r="J22956" t="s">
        <v>47115</v>
      </c>
      <c r="K22956" t="s">
        <v>47113</v>
      </c>
      <c r="L22956">
        <v>52.99</v>
      </c>
      <c r="M22956">
        <v>124</v>
      </c>
      <c r="N22956">
        <v>0</v>
      </c>
      <c r="O22956">
        <v>124</v>
      </c>
      <c r="P22956">
        <v>0</v>
      </c>
    </row>
    <row r="22957" spans="1:16" x14ac:dyDescent="0.25">
      <c r="A22957" t="s">
        <v>45696</v>
      </c>
      <c r="B22957" t="s">
        <v>1406</v>
      </c>
      <c r="C22957" t="s">
        <v>1407</v>
      </c>
      <c r="D22957" t="s">
        <v>721</v>
      </c>
      <c r="E22957" t="s">
        <v>722</v>
      </c>
      <c r="F22957" t="s">
        <v>52</v>
      </c>
      <c r="G22957" t="s">
        <v>47093</v>
      </c>
      <c r="H22957" t="s">
        <v>47054</v>
      </c>
      <c r="I22957" t="s">
        <v>47111</v>
      </c>
      <c r="J22957" t="s">
        <v>47112</v>
      </c>
      <c r="K22957" t="s">
        <v>47113</v>
      </c>
      <c r="L22957">
        <v>36.14</v>
      </c>
      <c r="M22957">
        <v>89</v>
      </c>
      <c r="N22957">
        <v>0</v>
      </c>
      <c r="O22957">
        <v>89</v>
      </c>
      <c r="P22957">
        <v>0</v>
      </c>
    </row>
    <row r="22958" spans="1:16" x14ac:dyDescent="0.25">
      <c r="A22958" t="s">
        <v>1405</v>
      </c>
      <c r="B22958" t="s">
        <v>1406</v>
      </c>
      <c r="C22958" t="s">
        <v>1407</v>
      </c>
      <c r="D22958" t="s">
        <v>743</v>
      </c>
      <c r="E22958" t="s">
        <v>744</v>
      </c>
      <c r="F22958" t="s">
        <v>52</v>
      </c>
      <c r="G22958" t="s">
        <v>47093</v>
      </c>
      <c r="H22958" t="s">
        <v>47054</v>
      </c>
      <c r="I22958" t="s">
        <v>47111</v>
      </c>
      <c r="J22958" t="s">
        <v>47112</v>
      </c>
      <c r="K22958" t="s">
        <v>47113</v>
      </c>
      <c r="L22958">
        <v>42.6</v>
      </c>
      <c r="M22958">
        <v>93</v>
      </c>
      <c r="N22958">
        <v>0</v>
      </c>
      <c r="O22958">
        <v>93</v>
      </c>
      <c r="P22958">
        <v>0</v>
      </c>
    </row>
    <row r="22959" spans="1:16" x14ac:dyDescent="0.25">
      <c r="A22959" t="s">
        <v>45697</v>
      </c>
      <c r="B22959" t="s">
        <v>1406</v>
      </c>
      <c r="C22959" t="s">
        <v>1407</v>
      </c>
      <c r="D22959" t="s">
        <v>1774</v>
      </c>
      <c r="E22959" t="s">
        <v>1775</v>
      </c>
      <c r="F22959" t="s">
        <v>52</v>
      </c>
      <c r="G22959" t="s">
        <v>47093</v>
      </c>
      <c r="H22959" t="s">
        <v>47054</v>
      </c>
      <c r="I22959" t="s">
        <v>47111</v>
      </c>
      <c r="J22959" t="s">
        <v>47112</v>
      </c>
      <c r="K22959" t="s">
        <v>47113</v>
      </c>
      <c r="L22959">
        <v>47.59</v>
      </c>
      <c r="M22959">
        <v>117</v>
      </c>
      <c r="N22959">
        <v>0</v>
      </c>
      <c r="O22959">
        <v>117</v>
      </c>
      <c r="P22959">
        <v>0</v>
      </c>
    </row>
    <row r="22960" spans="1:16" x14ac:dyDescent="0.25">
      <c r="A22960" t="s">
        <v>45698</v>
      </c>
      <c r="B22960" t="s">
        <v>13677</v>
      </c>
      <c r="C22960" t="s">
        <v>13598</v>
      </c>
      <c r="D22960" t="s">
        <v>13675</v>
      </c>
      <c r="E22960" t="s">
        <v>13676</v>
      </c>
      <c r="F22960" t="s">
        <v>56</v>
      </c>
      <c r="G22960" t="s">
        <v>47093</v>
      </c>
      <c r="H22960" t="s">
        <v>47054</v>
      </c>
      <c r="I22960" t="s">
        <v>47114</v>
      </c>
      <c r="J22960" t="s">
        <v>47115</v>
      </c>
      <c r="K22960" t="s">
        <v>47113</v>
      </c>
      <c r="L22960">
        <v>53.11</v>
      </c>
      <c r="M22960">
        <v>137</v>
      </c>
      <c r="N22960">
        <v>0</v>
      </c>
      <c r="O22960">
        <v>137</v>
      </c>
      <c r="P22960">
        <v>0</v>
      </c>
    </row>
    <row r="22961" spans="1:16" x14ac:dyDescent="0.25">
      <c r="A22961" t="s">
        <v>45699</v>
      </c>
      <c r="B22961" t="s">
        <v>13677</v>
      </c>
      <c r="C22961" t="s">
        <v>13598</v>
      </c>
      <c r="D22961" t="s">
        <v>13506</v>
      </c>
      <c r="E22961" t="s">
        <v>13507</v>
      </c>
      <c r="F22961" t="s">
        <v>56</v>
      </c>
      <c r="G22961" t="s">
        <v>47093</v>
      </c>
      <c r="H22961" t="s">
        <v>47054</v>
      </c>
      <c r="I22961" t="s">
        <v>47114</v>
      </c>
      <c r="J22961" t="s">
        <v>47115</v>
      </c>
      <c r="K22961" t="s">
        <v>47113</v>
      </c>
      <c r="L22961">
        <v>50.29</v>
      </c>
      <c r="M22961">
        <v>124</v>
      </c>
      <c r="N22961">
        <v>0</v>
      </c>
      <c r="O22961">
        <v>124</v>
      </c>
      <c r="P22961">
        <v>0</v>
      </c>
    </row>
    <row r="22962" spans="1:16" x14ac:dyDescent="0.25">
      <c r="A22962" t="s">
        <v>45700</v>
      </c>
      <c r="B22962" t="s">
        <v>13678</v>
      </c>
      <c r="C22962" t="s">
        <v>13679</v>
      </c>
      <c r="D22962" t="s">
        <v>13675</v>
      </c>
      <c r="E22962" t="s">
        <v>13676</v>
      </c>
      <c r="F22962" t="s">
        <v>56</v>
      </c>
      <c r="G22962" t="s">
        <v>47093</v>
      </c>
      <c r="H22962" t="s">
        <v>47054</v>
      </c>
      <c r="I22962" t="s">
        <v>47111</v>
      </c>
      <c r="J22962" t="s">
        <v>47112</v>
      </c>
      <c r="K22962" t="s">
        <v>47113</v>
      </c>
      <c r="L22962">
        <v>57.17</v>
      </c>
      <c r="M22962">
        <v>137</v>
      </c>
      <c r="N22962">
        <v>0</v>
      </c>
      <c r="O22962">
        <v>137</v>
      </c>
      <c r="P22962">
        <v>0</v>
      </c>
    </row>
    <row r="22963" spans="1:16" x14ac:dyDescent="0.25">
      <c r="A22963" t="s">
        <v>45701</v>
      </c>
      <c r="B22963" t="s">
        <v>13680</v>
      </c>
      <c r="C22963" t="s">
        <v>626</v>
      </c>
      <c r="D22963" t="s">
        <v>13675</v>
      </c>
      <c r="E22963" t="s">
        <v>13676</v>
      </c>
      <c r="F22963" t="s">
        <v>56</v>
      </c>
      <c r="G22963" t="s">
        <v>47093</v>
      </c>
      <c r="H22963" t="s">
        <v>47054</v>
      </c>
      <c r="I22963" t="s">
        <v>47111</v>
      </c>
      <c r="J22963" t="s">
        <v>47112</v>
      </c>
      <c r="K22963" t="s">
        <v>47113</v>
      </c>
      <c r="L22963">
        <v>55.4</v>
      </c>
      <c r="M22963">
        <v>137</v>
      </c>
      <c r="N22963">
        <v>0</v>
      </c>
      <c r="O22963">
        <v>137</v>
      </c>
      <c r="P22963">
        <v>0</v>
      </c>
    </row>
    <row r="22964" spans="1:16" x14ac:dyDescent="0.25">
      <c r="A22964" t="s">
        <v>45702</v>
      </c>
      <c r="B22964" t="s">
        <v>13680</v>
      </c>
      <c r="C22964" t="s">
        <v>626</v>
      </c>
      <c r="D22964" t="s">
        <v>13506</v>
      </c>
      <c r="E22964" t="s">
        <v>13507</v>
      </c>
      <c r="F22964" t="s">
        <v>56</v>
      </c>
      <c r="G22964" t="s">
        <v>47093</v>
      </c>
      <c r="H22964" t="s">
        <v>47054</v>
      </c>
      <c r="I22964" t="s">
        <v>47111</v>
      </c>
      <c r="J22964" t="s">
        <v>47112</v>
      </c>
      <c r="K22964" t="s">
        <v>47113</v>
      </c>
      <c r="L22964">
        <v>51.27</v>
      </c>
      <c r="M22964">
        <v>124</v>
      </c>
      <c r="N22964">
        <v>0</v>
      </c>
      <c r="O22964">
        <v>124</v>
      </c>
      <c r="P22964">
        <v>0</v>
      </c>
    </row>
    <row r="22965" spans="1:16" x14ac:dyDescent="0.25">
      <c r="A22965" t="s">
        <v>45703</v>
      </c>
      <c r="B22965" t="s">
        <v>13681</v>
      </c>
      <c r="C22965" t="s">
        <v>1583</v>
      </c>
      <c r="D22965" t="s">
        <v>10075</v>
      </c>
      <c r="E22965" t="s">
        <v>10076</v>
      </c>
      <c r="F22965" t="s">
        <v>56</v>
      </c>
      <c r="G22965" t="s">
        <v>47093</v>
      </c>
      <c r="H22965" t="s">
        <v>47054</v>
      </c>
      <c r="I22965" t="s">
        <v>47114</v>
      </c>
      <c r="J22965" t="s">
        <v>47115</v>
      </c>
      <c r="K22965" t="s">
        <v>47113</v>
      </c>
      <c r="L22965">
        <v>44.85</v>
      </c>
      <c r="M22965">
        <v>103</v>
      </c>
      <c r="N22965">
        <v>0</v>
      </c>
      <c r="O22965">
        <v>103</v>
      </c>
      <c r="P22965">
        <v>0</v>
      </c>
    </row>
    <row r="22966" spans="1:16" x14ac:dyDescent="0.25">
      <c r="A22966" t="s">
        <v>45704</v>
      </c>
      <c r="B22966" t="s">
        <v>13681</v>
      </c>
      <c r="C22966" t="s">
        <v>1583</v>
      </c>
      <c r="D22966" t="s">
        <v>13506</v>
      </c>
      <c r="E22966" t="s">
        <v>13507</v>
      </c>
      <c r="F22966" t="s">
        <v>56</v>
      </c>
      <c r="G22966" t="s">
        <v>47093</v>
      </c>
      <c r="H22966" t="s">
        <v>47054</v>
      </c>
      <c r="I22966" t="s">
        <v>47114</v>
      </c>
      <c r="J22966" t="s">
        <v>47115</v>
      </c>
      <c r="K22966" t="s">
        <v>47113</v>
      </c>
      <c r="L22966">
        <v>41.46</v>
      </c>
      <c r="M22966">
        <v>92</v>
      </c>
      <c r="N22966">
        <v>0</v>
      </c>
      <c r="O22966">
        <v>92</v>
      </c>
      <c r="P22966">
        <v>0</v>
      </c>
    </row>
    <row r="22967" spans="1:16" x14ac:dyDescent="0.25">
      <c r="A22967" t="s">
        <v>45705</v>
      </c>
      <c r="B22967" t="s">
        <v>13682</v>
      </c>
      <c r="C22967" t="s">
        <v>13683</v>
      </c>
      <c r="D22967" t="s">
        <v>10075</v>
      </c>
      <c r="E22967" t="s">
        <v>10076</v>
      </c>
      <c r="F22967" t="s">
        <v>56</v>
      </c>
      <c r="G22967" t="s">
        <v>47093</v>
      </c>
      <c r="H22967" t="s">
        <v>47054</v>
      </c>
      <c r="I22967" t="s">
        <v>47114</v>
      </c>
      <c r="J22967" t="s">
        <v>47115</v>
      </c>
      <c r="K22967" t="s">
        <v>47113</v>
      </c>
      <c r="L22967">
        <v>47.15</v>
      </c>
      <c r="M22967">
        <v>108</v>
      </c>
      <c r="N22967">
        <v>0</v>
      </c>
      <c r="O22967">
        <v>108</v>
      </c>
      <c r="P22967">
        <v>0</v>
      </c>
    </row>
    <row r="22968" spans="1:16" x14ac:dyDescent="0.25">
      <c r="A22968" t="s">
        <v>45706</v>
      </c>
      <c r="B22968" t="s">
        <v>13682</v>
      </c>
      <c r="C22968" t="s">
        <v>13683</v>
      </c>
      <c r="D22968" t="s">
        <v>13506</v>
      </c>
      <c r="E22968" t="s">
        <v>13507</v>
      </c>
      <c r="F22968" t="s">
        <v>56</v>
      </c>
      <c r="G22968" t="s">
        <v>47093</v>
      </c>
      <c r="H22968" t="s">
        <v>47054</v>
      </c>
      <c r="I22968" t="s">
        <v>47114</v>
      </c>
      <c r="J22968" t="s">
        <v>47115</v>
      </c>
      <c r="K22968" t="s">
        <v>47113</v>
      </c>
      <c r="L22968">
        <v>43.78</v>
      </c>
      <c r="M22968">
        <v>97</v>
      </c>
      <c r="N22968">
        <v>0</v>
      </c>
      <c r="O22968">
        <v>97</v>
      </c>
      <c r="P22968">
        <v>0</v>
      </c>
    </row>
    <row r="22969" spans="1:16" x14ac:dyDescent="0.25">
      <c r="A22969" t="s">
        <v>45707</v>
      </c>
      <c r="B22969" t="s">
        <v>13684</v>
      </c>
      <c r="C22969" t="s">
        <v>13598</v>
      </c>
      <c r="D22969" t="s">
        <v>10075</v>
      </c>
      <c r="E22969" t="s">
        <v>10076</v>
      </c>
      <c r="F22969" t="s">
        <v>56</v>
      </c>
      <c r="G22969" t="s">
        <v>47093</v>
      </c>
      <c r="H22969" t="s">
        <v>47054</v>
      </c>
      <c r="I22969" t="s">
        <v>47114</v>
      </c>
      <c r="J22969" t="s">
        <v>47115</v>
      </c>
      <c r="K22969" t="s">
        <v>47113</v>
      </c>
      <c r="L22969">
        <v>44.85</v>
      </c>
      <c r="M22969">
        <v>103</v>
      </c>
      <c r="N22969">
        <v>0</v>
      </c>
      <c r="O22969">
        <v>103</v>
      </c>
      <c r="P22969">
        <v>0</v>
      </c>
    </row>
    <row r="22970" spans="1:16" x14ac:dyDescent="0.25">
      <c r="A22970" t="s">
        <v>45708</v>
      </c>
      <c r="B22970" t="s">
        <v>13684</v>
      </c>
      <c r="C22970" t="s">
        <v>13598</v>
      </c>
      <c r="D22970" t="s">
        <v>13506</v>
      </c>
      <c r="E22970" t="s">
        <v>13507</v>
      </c>
      <c r="F22970" t="s">
        <v>56</v>
      </c>
      <c r="G22970" t="s">
        <v>47093</v>
      </c>
      <c r="H22970" t="s">
        <v>47054</v>
      </c>
      <c r="I22970" t="s">
        <v>47114</v>
      </c>
      <c r="J22970" t="s">
        <v>47115</v>
      </c>
      <c r="K22970" t="s">
        <v>47113</v>
      </c>
      <c r="L22970">
        <v>41.46</v>
      </c>
      <c r="M22970">
        <v>92</v>
      </c>
      <c r="N22970">
        <v>0</v>
      </c>
      <c r="O22970">
        <v>92</v>
      </c>
      <c r="P22970">
        <v>0</v>
      </c>
    </row>
    <row r="22971" spans="1:16" x14ac:dyDescent="0.25">
      <c r="A22971" t="s">
        <v>45709</v>
      </c>
      <c r="B22971" t="s">
        <v>13685</v>
      </c>
      <c r="C22971" t="s">
        <v>13686</v>
      </c>
      <c r="D22971" t="str">
        <f>"1821"</f>
        <v>1821</v>
      </c>
      <c r="E22971" t="s">
        <v>590</v>
      </c>
      <c r="F22971" t="s">
        <v>2</v>
      </c>
      <c r="G22971" t="s">
        <v>47093</v>
      </c>
      <c r="H22971" t="s">
        <v>47054</v>
      </c>
      <c r="I22971" t="s">
        <v>47111</v>
      </c>
      <c r="J22971" t="s">
        <v>47112</v>
      </c>
      <c r="K22971" t="s">
        <v>47113</v>
      </c>
      <c r="L22971">
        <v>28.97</v>
      </c>
      <c r="M22971">
        <v>85</v>
      </c>
      <c r="N22971">
        <v>0</v>
      </c>
      <c r="O22971">
        <v>85</v>
      </c>
      <c r="P22971">
        <v>0</v>
      </c>
    </row>
    <row r="22972" spans="1:16" x14ac:dyDescent="0.25">
      <c r="A22972" t="s">
        <v>45710</v>
      </c>
      <c r="B22972" t="s">
        <v>13685</v>
      </c>
      <c r="C22972" t="s">
        <v>13686</v>
      </c>
      <c r="D22972" t="str">
        <f>"1922"</f>
        <v>1922</v>
      </c>
      <c r="E22972" t="s">
        <v>13687</v>
      </c>
      <c r="F22972" t="s">
        <v>2</v>
      </c>
      <c r="G22972" t="s">
        <v>47093</v>
      </c>
      <c r="H22972" t="s">
        <v>47054</v>
      </c>
      <c r="I22972" t="s">
        <v>47111</v>
      </c>
      <c r="J22972" t="s">
        <v>47112</v>
      </c>
      <c r="K22972" t="s">
        <v>47113</v>
      </c>
      <c r="L22972">
        <v>36.619999999999997</v>
      </c>
      <c r="M22972">
        <v>80</v>
      </c>
      <c r="N22972">
        <v>0</v>
      </c>
      <c r="O22972">
        <v>80</v>
      </c>
      <c r="P22972">
        <v>0</v>
      </c>
    </row>
    <row r="22973" spans="1:16" x14ac:dyDescent="0.25">
      <c r="A22973" t="s">
        <v>45711</v>
      </c>
      <c r="B22973" t="s">
        <v>1409</v>
      </c>
      <c r="C22973" t="s">
        <v>1410</v>
      </c>
      <c r="D22973" t="str">
        <f>"1218"</f>
        <v>1218</v>
      </c>
      <c r="E22973" t="s">
        <v>11958</v>
      </c>
      <c r="F22973" t="s">
        <v>56</v>
      </c>
      <c r="G22973" t="s">
        <v>49029</v>
      </c>
      <c r="H22973" t="s">
        <v>47054</v>
      </c>
      <c r="I22973" t="s">
        <v>47111</v>
      </c>
      <c r="J22973" t="s">
        <v>47112</v>
      </c>
      <c r="K22973" t="s">
        <v>47113</v>
      </c>
      <c r="L22973">
        <v>31.9</v>
      </c>
      <c r="M22973">
        <v>68</v>
      </c>
      <c r="N22973">
        <v>0</v>
      </c>
      <c r="O22973">
        <v>68</v>
      </c>
      <c r="P22973">
        <v>0</v>
      </c>
    </row>
    <row r="22974" spans="1:16" x14ac:dyDescent="0.25">
      <c r="A22974" t="s">
        <v>45712</v>
      </c>
      <c r="B22974" t="s">
        <v>1409</v>
      </c>
      <c r="C22974" t="s">
        <v>1410</v>
      </c>
      <c r="D22974" t="str">
        <f>"1825"</f>
        <v>1825</v>
      </c>
      <c r="E22974" t="s">
        <v>1645</v>
      </c>
      <c r="F22974" t="s">
        <v>56</v>
      </c>
      <c r="G22974" t="s">
        <v>49029</v>
      </c>
      <c r="H22974" t="s">
        <v>47054</v>
      </c>
      <c r="I22974" t="s">
        <v>47111</v>
      </c>
      <c r="J22974" t="s">
        <v>47112</v>
      </c>
      <c r="K22974" t="s">
        <v>47113</v>
      </c>
      <c r="L22974">
        <v>29.08</v>
      </c>
      <c r="M22974">
        <v>68</v>
      </c>
      <c r="N22974">
        <v>0</v>
      </c>
      <c r="O22974">
        <v>68</v>
      </c>
      <c r="P22974">
        <v>0</v>
      </c>
    </row>
    <row r="22975" spans="1:16" x14ac:dyDescent="0.25">
      <c r="A22975" t="s">
        <v>1408</v>
      </c>
      <c r="B22975" t="s">
        <v>1409</v>
      </c>
      <c r="C22975" t="s">
        <v>1410</v>
      </c>
      <c r="D22975" t="str">
        <f>"4126"</f>
        <v>4126</v>
      </c>
      <c r="E22975" t="s">
        <v>1085</v>
      </c>
      <c r="F22975" t="s">
        <v>296</v>
      </c>
      <c r="G22975" t="s">
        <v>49029</v>
      </c>
      <c r="H22975" t="s">
        <v>47054</v>
      </c>
      <c r="I22975" t="s">
        <v>47111</v>
      </c>
      <c r="J22975" t="s">
        <v>47112</v>
      </c>
      <c r="K22975" t="s">
        <v>47113</v>
      </c>
      <c r="L22975">
        <v>26.01</v>
      </c>
      <c r="M22975">
        <v>64</v>
      </c>
      <c r="N22975">
        <v>0</v>
      </c>
      <c r="O22975">
        <v>64</v>
      </c>
      <c r="P22975">
        <v>0</v>
      </c>
    </row>
    <row r="22976" spans="1:16" x14ac:dyDescent="0.25">
      <c r="A22976" t="s">
        <v>1411</v>
      </c>
      <c r="B22976" t="s">
        <v>1409</v>
      </c>
      <c r="C22976" t="s">
        <v>1410</v>
      </c>
      <c r="D22976" t="str">
        <f>"4548"</f>
        <v>4548</v>
      </c>
      <c r="E22976" t="s">
        <v>1412</v>
      </c>
      <c r="F22976" t="s">
        <v>56</v>
      </c>
      <c r="G22976" t="s">
        <v>49029</v>
      </c>
      <c r="H22976" t="s">
        <v>47054</v>
      </c>
      <c r="I22976" t="s">
        <v>47111</v>
      </c>
      <c r="J22976" t="s">
        <v>47112</v>
      </c>
      <c r="K22976" t="s">
        <v>47113</v>
      </c>
      <c r="L22976">
        <v>29.54</v>
      </c>
      <c r="M22976">
        <v>68</v>
      </c>
      <c r="N22976">
        <v>0</v>
      </c>
      <c r="O22976">
        <v>68</v>
      </c>
      <c r="P22976">
        <v>0</v>
      </c>
    </row>
    <row r="22977" spans="1:16" x14ac:dyDescent="0.25">
      <c r="A22977" t="s">
        <v>45713</v>
      </c>
      <c r="B22977" t="s">
        <v>1409</v>
      </c>
      <c r="C22977" t="s">
        <v>1410</v>
      </c>
      <c r="D22977" t="str">
        <f>"5127"</f>
        <v>5127</v>
      </c>
      <c r="E22977" t="s">
        <v>11955</v>
      </c>
      <c r="F22977" t="s">
        <v>56</v>
      </c>
      <c r="G22977" t="s">
        <v>49029</v>
      </c>
      <c r="H22977" t="s">
        <v>47054</v>
      </c>
      <c r="I22977" t="s">
        <v>47111</v>
      </c>
      <c r="J22977" t="s">
        <v>47112</v>
      </c>
      <c r="K22977" t="s">
        <v>47113</v>
      </c>
      <c r="L22977">
        <v>31.9</v>
      </c>
      <c r="M22977">
        <v>68</v>
      </c>
      <c r="N22977">
        <v>0</v>
      </c>
      <c r="O22977">
        <v>68</v>
      </c>
      <c r="P22977">
        <v>0</v>
      </c>
    </row>
    <row r="22978" spans="1:16" x14ac:dyDescent="0.25">
      <c r="A22978" t="s">
        <v>45714</v>
      </c>
      <c r="B22978" t="s">
        <v>1409</v>
      </c>
      <c r="C22978" t="s">
        <v>1410</v>
      </c>
      <c r="D22978" t="str">
        <f>"7339"</f>
        <v>7339</v>
      </c>
      <c r="E22978" t="s">
        <v>13688</v>
      </c>
      <c r="F22978" t="s">
        <v>56</v>
      </c>
      <c r="G22978" t="s">
        <v>49029</v>
      </c>
      <c r="H22978" t="s">
        <v>47054</v>
      </c>
      <c r="I22978" t="s">
        <v>47111</v>
      </c>
      <c r="J22978" t="s">
        <v>47112</v>
      </c>
      <c r="K22978" t="s">
        <v>47113</v>
      </c>
      <c r="L22978">
        <v>31.9</v>
      </c>
      <c r="M22978">
        <v>68</v>
      </c>
      <c r="N22978">
        <v>0</v>
      </c>
      <c r="O22978">
        <v>68</v>
      </c>
      <c r="P22978">
        <v>0</v>
      </c>
    </row>
    <row r="22979" spans="1:16" x14ac:dyDescent="0.25">
      <c r="A22979" t="s">
        <v>45715</v>
      </c>
      <c r="B22979" t="s">
        <v>13689</v>
      </c>
      <c r="C22979" t="s">
        <v>13690</v>
      </c>
      <c r="D22979" t="str">
        <f>"1821"</f>
        <v>1821</v>
      </c>
      <c r="E22979" t="s">
        <v>590</v>
      </c>
      <c r="F22979" t="s">
        <v>2</v>
      </c>
      <c r="G22979" t="s">
        <v>49029</v>
      </c>
      <c r="H22979" t="s">
        <v>47054</v>
      </c>
      <c r="I22979" t="s">
        <v>47111</v>
      </c>
      <c r="J22979" t="s">
        <v>47112</v>
      </c>
      <c r="K22979" t="s">
        <v>47113</v>
      </c>
      <c r="L22979">
        <v>21.46</v>
      </c>
      <c r="M22979">
        <v>85</v>
      </c>
      <c r="N22979">
        <v>0</v>
      </c>
      <c r="O22979">
        <v>85</v>
      </c>
      <c r="P22979">
        <v>0</v>
      </c>
    </row>
    <row r="22980" spans="1:16" x14ac:dyDescent="0.25">
      <c r="A22980" t="s">
        <v>45716</v>
      </c>
      <c r="B22980" t="s">
        <v>13689</v>
      </c>
      <c r="C22980" t="s">
        <v>13690</v>
      </c>
      <c r="D22980" t="str">
        <f>"1922"</f>
        <v>1922</v>
      </c>
      <c r="E22980" t="s">
        <v>13687</v>
      </c>
      <c r="F22980" t="s">
        <v>2</v>
      </c>
      <c r="G22980" t="s">
        <v>49029</v>
      </c>
      <c r="H22980" t="s">
        <v>47054</v>
      </c>
      <c r="I22980" t="s">
        <v>47111</v>
      </c>
      <c r="J22980" t="s">
        <v>47112</v>
      </c>
      <c r="K22980" t="s">
        <v>47113</v>
      </c>
      <c r="L22980">
        <v>28.05</v>
      </c>
      <c r="M22980">
        <v>85</v>
      </c>
      <c r="N22980">
        <v>0</v>
      </c>
      <c r="O22980">
        <v>85</v>
      </c>
      <c r="P22980">
        <v>0</v>
      </c>
    </row>
    <row r="22981" spans="1:16" x14ac:dyDescent="0.25">
      <c r="A22981" t="s">
        <v>45717</v>
      </c>
      <c r="B22981" t="s">
        <v>1414</v>
      </c>
      <c r="C22981" t="s">
        <v>1415</v>
      </c>
      <c r="D22981" t="str">
        <f>"4499"</f>
        <v>4499</v>
      </c>
      <c r="E22981" t="s">
        <v>1555</v>
      </c>
      <c r="F22981" t="s">
        <v>2</v>
      </c>
      <c r="G22981" t="s">
        <v>49029</v>
      </c>
      <c r="H22981" t="s">
        <v>47054</v>
      </c>
      <c r="I22981" t="s">
        <v>47111</v>
      </c>
      <c r="J22981" t="s">
        <v>47112</v>
      </c>
      <c r="K22981" t="s">
        <v>47113</v>
      </c>
      <c r="L22981">
        <v>27.09</v>
      </c>
      <c r="M22981">
        <v>57</v>
      </c>
      <c r="N22981">
        <v>0</v>
      </c>
      <c r="O22981">
        <v>57</v>
      </c>
      <c r="P22981">
        <v>0</v>
      </c>
    </row>
    <row r="22982" spans="1:16" x14ac:dyDescent="0.25">
      <c r="A22982" t="s">
        <v>45718</v>
      </c>
      <c r="B22982" t="s">
        <v>1414</v>
      </c>
      <c r="C22982" t="s">
        <v>1415</v>
      </c>
      <c r="D22982" t="str">
        <f>"6168"</f>
        <v>6168</v>
      </c>
      <c r="E22982" t="s">
        <v>1557</v>
      </c>
      <c r="F22982" t="s">
        <v>2</v>
      </c>
      <c r="G22982" t="s">
        <v>49029</v>
      </c>
      <c r="H22982" t="s">
        <v>47054</v>
      </c>
      <c r="I22982" t="s">
        <v>47111</v>
      </c>
      <c r="J22982" t="s">
        <v>47112</v>
      </c>
      <c r="K22982" t="s">
        <v>47113</v>
      </c>
      <c r="L22982">
        <v>27.66</v>
      </c>
      <c r="M22982">
        <v>57</v>
      </c>
      <c r="N22982">
        <v>0</v>
      </c>
      <c r="O22982">
        <v>57</v>
      </c>
      <c r="P22982">
        <v>0</v>
      </c>
    </row>
    <row r="22983" spans="1:16" x14ac:dyDescent="0.25">
      <c r="A22983" t="s">
        <v>1413</v>
      </c>
      <c r="B22983" t="s">
        <v>1414</v>
      </c>
      <c r="C22983" t="s">
        <v>1415</v>
      </c>
      <c r="D22983" t="str">
        <f>"6257"</f>
        <v>6257</v>
      </c>
      <c r="E22983" t="s">
        <v>1416</v>
      </c>
      <c r="F22983" t="s">
        <v>2</v>
      </c>
      <c r="G22983" t="s">
        <v>49029</v>
      </c>
      <c r="H22983" t="s">
        <v>47054</v>
      </c>
      <c r="I22983" t="s">
        <v>47111</v>
      </c>
      <c r="J22983" t="s">
        <v>47112</v>
      </c>
      <c r="K22983" t="s">
        <v>47113</v>
      </c>
      <c r="L22983">
        <v>27.17</v>
      </c>
      <c r="M22983">
        <v>57</v>
      </c>
      <c r="N22983">
        <v>0</v>
      </c>
      <c r="O22983">
        <v>57</v>
      </c>
      <c r="P22983">
        <v>0</v>
      </c>
    </row>
    <row r="22984" spans="1:16" x14ac:dyDescent="0.25">
      <c r="A22984" t="s">
        <v>45719</v>
      </c>
      <c r="B22984" t="s">
        <v>1414</v>
      </c>
      <c r="C22984" t="s">
        <v>1415</v>
      </c>
      <c r="D22984" t="str">
        <f>"7346"</f>
        <v>7346</v>
      </c>
      <c r="E22984" t="s">
        <v>1591</v>
      </c>
      <c r="F22984" t="s">
        <v>2</v>
      </c>
      <c r="G22984" t="s">
        <v>49029</v>
      </c>
      <c r="H22984" t="s">
        <v>47054</v>
      </c>
      <c r="I22984" t="s">
        <v>47111</v>
      </c>
      <c r="J22984" t="s">
        <v>47112</v>
      </c>
      <c r="K22984" t="s">
        <v>47113</v>
      </c>
      <c r="L22984">
        <v>27.66</v>
      </c>
      <c r="M22984">
        <v>57</v>
      </c>
      <c r="N22984">
        <v>0</v>
      </c>
      <c r="O22984">
        <v>57</v>
      </c>
      <c r="P22984">
        <v>0</v>
      </c>
    </row>
    <row r="22985" spans="1:16" x14ac:dyDescent="0.25">
      <c r="A22985" t="s">
        <v>45720</v>
      </c>
      <c r="B22985" t="s">
        <v>1414</v>
      </c>
      <c r="C22985" t="s">
        <v>1415</v>
      </c>
      <c r="D22985" t="str">
        <f>"8047"</f>
        <v>8047</v>
      </c>
      <c r="E22985" t="s">
        <v>1420</v>
      </c>
      <c r="F22985" t="s">
        <v>2</v>
      </c>
      <c r="G22985" t="s">
        <v>49029</v>
      </c>
      <c r="H22985" t="s">
        <v>47054</v>
      </c>
      <c r="I22985" t="s">
        <v>47111</v>
      </c>
      <c r="J22985" t="s">
        <v>47112</v>
      </c>
      <c r="K22985" t="s">
        <v>47113</v>
      </c>
      <c r="L22985">
        <v>27.11</v>
      </c>
      <c r="M22985">
        <v>57</v>
      </c>
      <c r="N22985">
        <v>0</v>
      </c>
      <c r="O22985">
        <v>57</v>
      </c>
      <c r="P22985">
        <v>0</v>
      </c>
    </row>
    <row r="22986" spans="1:16" x14ac:dyDescent="0.25">
      <c r="A22986" t="s">
        <v>45721</v>
      </c>
      <c r="B22986" t="s">
        <v>13691</v>
      </c>
      <c r="C22986" t="s">
        <v>13692</v>
      </c>
      <c r="D22986" t="str">
        <f>"1821"</f>
        <v>1821</v>
      </c>
      <c r="E22986" t="s">
        <v>590</v>
      </c>
      <c r="F22986" t="s">
        <v>2</v>
      </c>
      <c r="G22986" t="s">
        <v>47098</v>
      </c>
      <c r="H22986" t="s">
        <v>47054</v>
      </c>
      <c r="I22986" t="s">
        <v>47116</v>
      </c>
      <c r="J22986" t="s">
        <v>47117</v>
      </c>
      <c r="K22986" t="s">
        <v>47113</v>
      </c>
      <c r="L22986">
        <v>30.76</v>
      </c>
      <c r="M22986">
        <v>85</v>
      </c>
      <c r="N22986">
        <v>0</v>
      </c>
      <c r="O22986">
        <v>85</v>
      </c>
      <c r="P22986">
        <v>0</v>
      </c>
    </row>
    <row r="22987" spans="1:16" x14ac:dyDescent="0.25">
      <c r="A22987" t="s">
        <v>45722</v>
      </c>
      <c r="B22987" t="s">
        <v>13691</v>
      </c>
      <c r="C22987" t="s">
        <v>13692</v>
      </c>
      <c r="D22987" t="str">
        <f>"1922"</f>
        <v>1922</v>
      </c>
      <c r="E22987" t="s">
        <v>13687</v>
      </c>
      <c r="F22987" t="s">
        <v>2</v>
      </c>
      <c r="G22987" t="s">
        <v>47098</v>
      </c>
      <c r="H22987" t="s">
        <v>47054</v>
      </c>
      <c r="I22987" t="s">
        <v>47116</v>
      </c>
      <c r="J22987" t="s">
        <v>47117</v>
      </c>
      <c r="K22987" t="s">
        <v>47113</v>
      </c>
      <c r="L22987">
        <v>35.799999999999997</v>
      </c>
      <c r="M22987">
        <v>85</v>
      </c>
      <c r="N22987">
        <v>0</v>
      </c>
      <c r="O22987">
        <v>85</v>
      </c>
      <c r="P22987">
        <v>0</v>
      </c>
    </row>
    <row r="22988" spans="1:16" x14ac:dyDescent="0.25">
      <c r="A22988" t="s">
        <v>45723</v>
      </c>
      <c r="B22988" t="s">
        <v>13693</v>
      </c>
      <c r="C22988" t="s">
        <v>13608</v>
      </c>
      <c r="D22988" t="str">
        <f>"1218"</f>
        <v>1218</v>
      </c>
      <c r="E22988" t="s">
        <v>11958</v>
      </c>
      <c r="F22988" t="s">
        <v>56</v>
      </c>
      <c r="G22988" t="s">
        <v>49029</v>
      </c>
      <c r="H22988" t="s">
        <v>47054</v>
      </c>
      <c r="I22988" t="s">
        <v>47111</v>
      </c>
      <c r="J22988" t="s">
        <v>47112</v>
      </c>
      <c r="K22988" t="s">
        <v>47113</v>
      </c>
      <c r="L22988">
        <v>33.64</v>
      </c>
      <c r="M22988">
        <v>71</v>
      </c>
      <c r="N22988">
        <v>0</v>
      </c>
      <c r="O22988">
        <v>71</v>
      </c>
      <c r="P22988">
        <v>0</v>
      </c>
    </row>
    <row r="22989" spans="1:16" x14ac:dyDescent="0.25">
      <c r="A22989" t="s">
        <v>45724</v>
      </c>
      <c r="B22989" t="s">
        <v>13693</v>
      </c>
      <c r="C22989" t="s">
        <v>13608</v>
      </c>
      <c r="D22989" t="str">
        <f>"1825"</f>
        <v>1825</v>
      </c>
      <c r="E22989" t="s">
        <v>1645</v>
      </c>
      <c r="F22989" t="s">
        <v>56</v>
      </c>
      <c r="G22989" t="s">
        <v>49029</v>
      </c>
      <c r="H22989" t="s">
        <v>47054</v>
      </c>
      <c r="I22989" t="s">
        <v>47111</v>
      </c>
      <c r="J22989" t="s">
        <v>47112</v>
      </c>
      <c r="K22989" t="s">
        <v>47113</v>
      </c>
      <c r="L22989">
        <v>31.38</v>
      </c>
      <c r="M22989">
        <v>71</v>
      </c>
      <c r="N22989">
        <v>0</v>
      </c>
      <c r="O22989">
        <v>71</v>
      </c>
      <c r="P22989">
        <v>0</v>
      </c>
    </row>
    <row r="22990" spans="1:16" x14ac:dyDescent="0.25">
      <c r="A22990" t="s">
        <v>45725</v>
      </c>
      <c r="B22990" t="s">
        <v>13693</v>
      </c>
      <c r="C22990" t="s">
        <v>13608</v>
      </c>
      <c r="D22990" t="str">
        <f>"5127"</f>
        <v>5127</v>
      </c>
      <c r="E22990" t="s">
        <v>11955</v>
      </c>
      <c r="F22990" t="s">
        <v>56</v>
      </c>
      <c r="G22990" t="s">
        <v>49029</v>
      </c>
      <c r="H22990" t="s">
        <v>47054</v>
      </c>
      <c r="I22990" t="s">
        <v>47111</v>
      </c>
      <c r="J22990" t="s">
        <v>47112</v>
      </c>
      <c r="K22990" t="s">
        <v>47113</v>
      </c>
      <c r="L22990">
        <v>33.64</v>
      </c>
      <c r="M22990">
        <v>71</v>
      </c>
      <c r="N22990">
        <v>0</v>
      </c>
      <c r="O22990">
        <v>71</v>
      </c>
      <c r="P22990">
        <v>0</v>
      </c>
    </row>
    <row r="22991" spans="1:16" x14ac:dyDescent="0.25">
      <c r="A22991" t="s">
        <v>45726</v>
      </c>
      <c r="B22991" t="s">
        <v>13694</v>
      </c>
      <c r="C22991" t="s">
        <v>13695</v>
      </c>
      <c r="D22991" t="str">
        <f>"1821"</f>
        <v>1821</v>
      </c>
      <c r="E22991" t="s">
        <v>590</v>
      </c>
      <c r="F22991" t="s">
        <v>2</v>
      </c>
      <c r="G22991" t="s">
        <v>49029</v>
      </c>
      <c r="H22991" t="s">
        <v>47054</v>
      </c>
      <c r="I22991" t="s">
        <v>47111</v>
      </c>
      <c r="J22991" t="s">
        <v>47112</v>
      </c>
      <c r="K22991" t="s">
        <v>47113</v>
      </c>
      <c r="L22991">
        <v>21.12</v>
      </c>
      <c r="M22991">
        <v>85</v>
      </c>
      <c r="N22991">
        <v>0</v>
      </c>
      <c r="O22991">
        <v>85</v>
      </c>
      <c r="P22991">
        <v>0</v>
      </c>
    </row>
    <row r="22992" spans="1:16" x14ac:dyDescent="0.25">
      <c r="A22992" t="s">
        <v>45727</v>
      </c>
      <c r="B22992" t="s">
        <v>13694</v>
      </c>
      <c r="C22992" t="s">
        <v>13695</v>
      </c>
      <c r="D22992" t="str">
        <f>"1922"</f>
        <v>1922</v>
      </c>
      <c r="E22992" t="s">
        <v>13687</v>
      </c>
      <c r="F22992" t="s">
        <v>2</v>
      </c>
      <c r="G22992" t="s">
        <v>49029</v>
      </c>
      <c r="H22992" t="s">
        <v>47054</v>
      </c>
      <c r="I22992" t="s">
        <v>47111</v>
      </c>
      <c r="J22992" t="s">
        <v>47112</v>
      </c>
      <c r="K22992" t="s">
        <v>47113</v>
      </c>
      <c r="L22992">
        <v>28.05</v>
      </c>
      <c r="M22992">
        <v>85</v>
      </c>
      <c r="N22992">
        <v>0</v>
      </c>
      <c r="O22992">
        <v>85</v>
      </c>
      <c r="P22992">
        <v>0</v>
      </c>
    </row>
    <row r="22993" spans="1:16" x14ac:dyDescent="0.25">
      <c r="A22993" t="s">
        <v>45728</v>
      </c>
      <c r="B22993" t="s">
        <v>1418</v>
      </c>
      <c r="C22993" t="s">
        <v>1419</v>
      </c>
      <c r="D22993" t="str">
        <f>"4499"</f>
        <v>4499</v>
      </c>
      <c r="E22993" t="s">
        <v>1555</v>
      </c>
      <c r="F22993" t="s">
        <v>2</v>
      </c>
      <c r="G22993" t="s">
        <v>49029</v>
      </c>
      <c r="H22993" t="s">
        <v>47054</v>
      </c>
      <c r="I22993" t="s">
        <v>47111</v>
      </c>
      <c r="J22993" t="s">
        <v>47112</v>
      </c>
      <c r="K22993" t="s">
        <v>47113</v>
      </c>
      <c r="L22993">
        <v>29.86</v>
      </c>
      <c r="M22993">
        <v>57</v>
      </c>
      <c r="N22993">
        <v>0</v>
      </c>
      <c r="O22993">
        <v>57</v>
      </c>
      <c r="P22993">
        <v>0</v>
      </c>
    </row>
    <row r="22994" spans="1:16" x14ac:dyDescent="0.25">
      <c r="A22994" t="s">
        <v>45729</v>
      </c>
      <c r="B22994" t="s">
        <v>1418</v>
      </c>
      <c r="C22994" t="s">
        <v>1419</v>
      </c>
      <c r="D22994" t="str">
        <f>"6168"</f>
        <v>6168</v>
      </c>
      <c r="E22994" t="s">
        <v>1557</v>
      </c>
      <c r="F22994" t="s">
        <v>2</v>
      </c>
      <c r="G22994" t="s">
        <v>49029</v>
      </c>
      <c r="H22994" t="s">
        <v>47054</v>
      </c>
      <c r="I22994" t="s">
        <v>47111</v>
      </c>
      <c r="J22994" t="s">
        <v>47112</v>
      </c>
      <c r="K22994" t="s">
        <v>47113</v>
      </c>
      <c r="L22994">
        <v>27.66</v>
      </c>
      <c r="M22994">
        <v>57</v>
      </c>
      <c r="N22994">
        <v>0</v>
      </c>
      <c r="O22994">
        <v>57</v>
      </c>
      <c r="P22994">
        <v>0</v>
      </c>
    </row>
    <row r="22995" spans="1:16" x14ac:dyDescent="0.25">
      <c r="A22995" t="s">
        <v>45730</v>
      </c>
      <c r="B22995" t="s">
        <v>1418</v>
      </c>
      <c r="C22995" t="s">
        <v>1419</v>
      </c>
      <c r="D22995" t="str">
        <f>"6257"</f>
        <v>6257</v>
      </c>
      <c r="E22995" t="s">
        <v>1416</v>
      </c>
      <c r="F22995" t="s">
        <v>2</v>
      </c>
      <c r="G22995" t="s">
        <v>49029</v>
      </c>
      <c r="H22995" t="s">
        <v>47054</v>
      </c>
      <c r="I22995" t="s">
        <v>47111</v>
      </c>
      <c r="J22995" t="s">
        <v>47112</v>
      </c>
      <c r="K22995" t="s">
        <v>47113</v>
      </c>
      <c r="L22995">
        <v>29.86</v>
      </c>
      <c r="M22995">
        <v>57</v>
      </c>
      <c r="N22995">
        <v>0</v>
      </c>
      <c r="O22995">
        <v>57</v>
      </c>
      <c r="P22995">
        <v>0</v>
      </c>
    </row>
    <row r="22996" spans="1:16" x14ac:dyDescent="0.25">
      <c r="A22996" t="s">
        <v>45731</v>
      </c>
      <c r="B22996" t="s">
        <v>1418</v>
      </c>
      <c r="C22996" t="s">
        <v>1419</v>
      </c>
      <c r="D22996" t="str">
        <f>"7346"</f>
        <v>7346</v>
      </c>
      <c r="E22996" t="s">
        <v>1591</v>
      </c>
      <c r="F22996" t="s">
        <v>2</v>
      </c>
      <c r="G22996" t="s">
        <v>49029</v>
      </c>
      <c r="H22996" t="s">
        <v>47054</v>
      </c>
      <c r="I22996" t="s">
        <v>47111</v>
      </c>
      <c r="J22996" t="s">
        <v>47112</v>
      </c>
      <c r="K22996" t="s">
        <v>47113</v>
      </c>
      <c r="L22996">
        <v>27.24</v>
      </c>
      <c r="M22996">
        <v>57</v>
      </c>
      <c r="N22996">
        <v>0</v>
      </c>
      <c r="O22996">
        <v>57</v>
      </c>
      <c r="P22996">
        <v>0</v>
      </c>
    </row>
    <row r="22997" spans="1:16" x14ac:dyDescent="0.25">
      <c r="A22997" t="s">
        <v>1417</v>
      </c>
      <c r="B22997" t="s">
        <v>1418</v>
      </c>
      <c r="C22997" t="s">
        <v>1419</v>
      </c>
      <c r="D22997" t="str">
        <f>"8047"</f>
        <v>8047</v>
      </c>
      <c r="E22997" t="s">
        <v>1420</v>
      </c>
      <c r="F22997" t="s">
        <v>2</v>
      </c>
      <c r="G22997" t="s">
        <v>49029</v>
      </c>
      <c r="H22997" t="s">
        <v>47054</v>
      </c>
      <c r="I22997" t="s">
        <v>47111</v>
      </c>
      <c r="J22997" t="s">
        <v>47112</v>
      </c>
      <c r="K22997" t="s">
        <v>47113</v>
      </c>
      <c r="L22997">
        <v>27.24</v>
      </c>
      <c r="M22997">
        <v>57</v>
      </c>
      <c r="N22997">
        <v>0</v>
      </c>
      <c r="O22997">
        <v>57</v>
      </c>
      <c r="P22997">
        <v>0</v>
      </c>
    </row>
    <row r="22998" spans="1:16" x14ac:dyDescent="0.25">
      <c r="A22998" t="s">
        <v>45732</v>
      </c>
      <c r="B22998" t="s">
        <v>13696</v>
      </c>
      <c r="C22998" t="s">
        <v>13697</v>
      </c>
      <c r="D22998" t="str">
        <f>"1218"</f>
        <v>1218</v>
      </c>
      <c r="E22998" t="s">
        <v>11958</v>
      </c>
      <c r="F22998" t="s">
        <v>56</v>
      </c>
      <c r="G22998" t="s">
        <v>49029</v>
      </c>
      <c r="H22998" t="s">
        <v>47054</v>
      </c>
      <c r="I22998" t="s">
        <v>47111</v>
      </c>
      <c r="J22998" t="s">
        <v>47112</v>
      </c>
      <c r="K22998" t="s">
        <v>47113</v>
      </c>
      <c r="L22998">
        <v>29.86</v>
      </c>
      <c r="M22998">
        <v>69</v>
      </c>
      <c r="N22998">
        <v>0</v>
      </c>
      <c r="O22998">
        <v>69</v>
      </c>
      <c r="P22998">
        <v>0</v>
      </c>
    </row>
    <row r="22999" spans="1:16" x14ac:dyDescent="0.25">
      <c r="A22999" t="s">
        <v>45733</v>
      </c>
      <c r="B22999" t="s">
        <v>13696</v>
      </c>
      <c r="C22999" t="s">
        <v>13697</v>
      </c>
      <c r="D22999" t="str">
        <f>"1825"</f>
        <v>1825</v>
      </c>
      <c r="E22999" t="s">
        <v>1645</v>
      </c>
      <c r="F22999" t="s">
        <v>56</v>
      </c>
      <c r="G22999" t="s">
        <v>49029</v>
      </c>
      <c r="H22999" t="s">
        <v>47054</v>
      </c>
      <c r="I22999" t="s">
        <v>47111</v>
      </c>
      <c r="J22999" t="s">
        <v>47112</v>
      </c>
      <c r="K22999" t="s">
        <v>47113</v>
      </c>
      <c r="L22999">
        <v>30.16</v>
      </c>
      <c r="M22999">
        <v>69</v>
      </c>
      <c r="N22999">
        <v>0</v>
      </c>
      <c r="O22999">
        <v>69</v>
      </c>
      <c r="P22999">
        <v>0</v>
      </c>
    </row>
    <row r="23000" spans="1:16" x14ac:dyDescent="0.25">
      <c r="A23000" t="s">
        <v>45734</v>
      </c>
      <c r="B23000" t="s">
        <v>13696</v>
      </c>
      <c r="C23000" t="s">
        <v>13697</v>
      </c>
      <c r="D23000" t="str">
        <f>"4548"</f>
        <v>4548</v>
      </c>
      <c r="E23000" t="s">
        <v>1412</v>
      </c>
      <c r="F23000" t="s">
        <v>56</v>
      </c>
      <c r="G23000" t="s">
        <v>49029</v>
      </c>
      <c r="H23000" t="s">
        <v>47054</v>
      </c>
      <c r="I23000" t="s">
        <v>47111</v>
      </c>
      <c r="J23000" t="s">
        <v>47112</v>
      </c>
      <c r="K23000" t="s">
        <v>47113</v>
      </c>
      <c r="L23000">
        <v>31.16</v>
      </c>
      <c r="M23000">
        <v>69</v>
      </c>
      <c r="N23000">
        <v>0</v>
      </c>
      <c r="O23000">
        <v>69</v>
      </c>
      <c r="P23000">
        <v>0</v>
      </c>
    </row>
    <row r="23001" spans="1:16" x14ac:dyDescent="0.25">
      <c r="A23001" t="s">
        <v>45735</v>
      </c>
      <c r="B23001" t="s">
        <v>13696</v>
      </c>
      <c r="C23001" t="s">
        <v>13697</v>
      </c>
      <c r="D23001" t="str">
        <f>"5127"</f>
        <v>5127</v>
      </c>
      <c r="E23001" t="s">
        <v>11955</v>
      </c>
      <c r="F23001" t="s">
        <v>56</v>
      </c>
      <c r="G23001" t="s">
        <v>49029</v>
      </c>
      <c r="H23001" t="s">
        <v>47054</v>
      </c>
      <c r="I23001" t="s">
        <v>47111</v>
      </c>
      <c r="J23001" t="s">
        <v>47112</v>
      </c>
      <c r="K23001" t="s">
        <v>47113</v>
      </c>
      <c r="L23001">
        <v>30.41</v>
      </c>
      <c r="M23001">
        <v>69</v>
      </c>
      <c r="N23001">
        <v>0</v>
      </c>
      <c r="O23001">
        <v>69</v>
      </c>
      <c r="P23001">
        <v>0</v>
      </c>
    </row>
    <row r="23002" spans="1:16" x14ac:dyDescent="0.25">
      <c r="A23002" t="s">
        <v>45736</v>
      </c>
      <c r="B23002" t="s">
        <v>13696</v>
      </c>
      <c r="C23002" t="s">
        <v>13697</v>
      </c>
      <c r="D23002" t="str">
        <f>"7339"</f>
        <v>7339</v>
      </c>
      <c r="E23002" t="s">
        <v>13688</v>
      </c>
      <c r="F23002" t="s">
        <v>56</v>
      </c>
      <c r="G23002" t="s">
        <v>49029</v>
      </c>
      <c r="H23002" t="s">
        <v>47054</v>
      </c>
      <c r="I23002" t="s">
        <v>47111</v>
      </c>
      <c r="J23002" t="s">
        <v>47112</v>
      </c>
      <c r="K23002" t="s">
        <v>47113</v>
      </c>
      <c r="L23002">
        <v>31.16</v>
      </c>
      <c r="M23002">
        <v>69</v>
      </c>
      <c r="N23002">
        <v>0</v>
      </c>
      <c r="O23002">
        <v>69</v>
      </c>
      <c r="P23002">
        <v>0</v>
      </c>
    </row>
    <row r="23003" spans="1:16" x14ac:dyDescent="0.25">
      <c r="A23003" t="s">
        <v>1421</v>
      </c>
      <c r="B23003" t="s">
        <v>1422</v>
      </c>
      <c r="C23003" t="s">
        <v>1423</v>
      </c>
      <c r="D23003" t="str">
        <f>"1821"</f>
        <v>1821</v>
      </c>
      <c r="E23003" t="s">
        <v>590</v>
      </c>
      <c r="F23003" t="s">
        <v>2</v>
      </c>
      <c r="G23003" t="s">
        <v>49029</v>
      </c>
      <c r="H23003" t="s">
        <v>47054</v>
      </c>
      <c r="I23003" t="s">
        <v>47111</v>
      </c>
      <c r="J23003" t="s">
        <v>47112</v>
      </c>
      <c r="K23003" t="s">
        <v>47113</v>
      </c>
      <c r="L23003">
        <v>21.33</v>
      </c>
      <c r="M23003">
        <v>85</v>
      </c>
      <c r="N23003">
        <v>0</v>
      </c>
      <c r="O23003">
        <v>85</v>
      </c>
      <c r="P23003">
        <v>0</v>
      </c>
    </row>
    <row r="23004" spans="1:16" x14ac:dyDescent="0.25">
      <c r="A23004" t="s">
        <v>45737</v>
      </c>
      <c r="B23004" t="s">
        <v>1422</v>
      </c>
      <c r="C23004" t="s">
        <v>1423</v>
      </c>
      <c r="D23004" t="str">
        <f>"1922"</f>
        <v>1922</v>
      </c>
      <c r="E23004" t="s">
        <v>13687</v>
      </c>
      <c r="F23004" t="s">
        <v>2</v>
      </c>
      <c r="G23004" t="s">
        <v>49029</v>
      </c>
      <c r="H23004" t="s">
        <v>47054</v>
      </c>
      <c r="I23004" t="s">
        <v>47111</v>
      </c>
      <c r="J23004" t="s">
        <v>47112</v>
      </c>
      <c r="K23004" t="s">
        <v>47113</v>
      </c>
      <c r="L23004">
        <v>28.05</v>
      </c>
      <c r="M23004">
        <v>85</v>
      </c>
      <c r="N23004">
        <v>0</v>
      </c>
      <c r="O23004">
        <v>85</v>
      </c>
      <c r="P23004">
        <v>0</v>
      </c>
    </row>
    <row r="23005" spans="1:16" x14ac:dyDescent="0.25">
      <c r="A23005" t="s">
        <v>45738</v>
      </c>
      <c r="B23005" t="s">
        <v>1425</v>
      </c>
      <c r="C23005" t="s">
        <v>1426</v>
      </c>
      <c r="D23005" t="str">
        <f>"4499"</f>
        <v>4499</v>
      </c>
      <c r="E23005" t="s">
        <v>1555</v>
      </c>
      <c r="F23005" t="s">
        <v>2</v>
      </c>
      <c r="G23005" t="s">
        <v>49029</v>
      </c>
      <c r="H23005" t="s">
        <v>47054</v>
      </c>
      <c r="I23005" t="s">
        <v>47111</v>
      </c>
      <c r="J23005" t="s">
        <v>47112</v>
      </c>
      <c r="K23005" t="s">
        <v>47113</v>
      </c>
      <c r="L23005">
        <v>27.57</v>
      </c>
      <c r="M23005">
        <v>57</v>
      </c>
      <c r="N23005">
        <v>0</v>
      </c>
      <c r="O23005">
        <v>57</v>
      </c>
      <c r="P23005">
        <v>0</v>
      </c>
    </row>
    <row r="23006" spans="1:16" x14ac:dyDescent="0.25">
      <c r="A23006" t="s">
        <v>45739</v>
      </c>
      <c r="B23006" t="s">
        <v>1425</v>
      </c>
      <c r="C23006" t="s">
        <v>1426</v>
      </c>
      <c r="D23006" t="str">
        <f>"6168"</f>
        <v>6168</v>
      </c>
      <c r="E23006" t="s">
        <v>1557</v>
      </c>
      <c r="F23006" t="s">
        <v>2</v>
      </c>
      <c r="G23006" t="s">
        <v>49029</v>
      </c>
      <c r="H23006" t="s">
        <v>47054</v>
      </c>
      <c r="I23006" t="s">
        <v>47111</v>
      </c>
      <c r="J23006" t="s">
        <v>47112</v>
      </c>
      <c r="K23006" t="s">
        <v>47113</v>
      </c>
      <c r="L23006">
        <v>27.66</v>
      </c>
      <c r="M23006">
        <v>57</v>
      </c>
      <c r="N23006">
        <v>0</v>
      </c>
      <c r="O23006">
        <v>57</v>
      </c>
      <c r="P23006">
        <v>0</v>
      </c>
    </row>
    <row r="23007" spans="1:16" x14ac:dyDescent="0.25">
      <c r="A23007" t="s">
        <v>1424</v>
      </c>
      <c r="B23007" t="s">
        <v>1425</v>
      </c>
      <c r="C23007" t="s">
        <v>1426</v>
      </c>
      <c r="D23007" t="str">
        <f>"6257"</f>
        <v>6257</v>
      </c>
      <c r="E23007" t="s">
        <v>1416</v>
      </c>
      <c r="F23007" t="s">
        <v>2</v>
      </c>
      <c r="G23007" t="s">
        <v>49029</v>
      </c>
      <c r="H23007" t="s">
        <v>47054</v>
      </c>
      <c r="I23007" t="s">
        <v>47111</v>
      </c>
      <c r="J23007" t="s">
        <v>47112</v>
      </c>
      <c r="K23007" t="s">
        <v>47113</v>
      </c>
      <c r="L23007">
        <v>27.66</v>
      </c>
      <c r="M23007">
        <v>57</v>
      </c>
      <c r="N23007">
        <v>0</v>
      </c>
      <c r="O23007">
        <v>57</v>
      </c>
      <c r="P23007">
        <v>0</v>
      </c>
    </row>
    <row r="23008" spans="1:16" x14ac:dyDescent="0.25">
      <c r="A23008" t="s">
        <v>45740</v>
      </c>
      <c r="B23008" t="s">
        <v>1425</v>
      </c>
      <c r="C23008" t="s">
        <v>1426</v>
      </c>
      <c r="D23008" t="str">
        <f>"7346"</f>
        <v>7346</v>
      </c>
      <c r="E23008" t="s">
        <v>1591</v>
      </c>
      <c r="F23008" t="s">
        <v>2</v>
      </c>
      <c r="G23008" t="s">
        <v>49029</v>
      </c>
      <c r="H23008" t="s">
        <v>47054</v>
      </c>
      <c r="I23008" t="s">
        <v>47111</v>
      </c>
      <c r="J23008" t="s">
        <v>47112</v>
      </c>
      <c r="K23008" t="s">
        <v>47113</v>
      </c>
      <c r="L23008">
        <v>30.79</v>
      </c>
      <c r="M23008">
        <v>57</v>
      </c>
      <c r="N23008">
        <v>0</v>
      </c>
      <c r="O23008">
        <v>57</v>
      </c>
      <c r="P23008">
        <v>0</v>
      </c>
    </row>
    <row r="23009" spans="1:16" x14ac:dyDescent="0.25">
      <c r="A23009" t="s">
        <v>1427</v>
      </c>
      <c r="B23009" t="s">
        <v>1425</v>
      </c>
      <c r="C23009" t="s">
        <v>1426</v>
      </c>
      <c r="D23009" t="str">
        <f>"8047"</f>
        <v>8047</v>
      </c>
      <c r="E23009" t="s">
        <v>1420</v>
      </c>
      <c r="F23009" t="s">
        <v>2</v>
      </c>
      <c r="G23009" t="s">
        <v>49029</v>
      </c>
      <c r="H23009" t="s">
        <v>47054</v>
      </c>
      <c r="I23009" t="s">
        <v>47111</v>
      </c>
      <c r="J23009" t="s">
        <v>47112</v>
      </c>
      <c r="K23009" t="s">
        <v>47113</v>
      </c>
      <c r="L23009">
        <v>27.52</v>
      </c>
      <c r="M23009">
        <v>57</v>
      </c>
      <c r="N23009">
        <v>0</v>
      </c>
      <c r="O23009">
        <v>57</v>
      </c>
      <c r="P23009">
        <v>0</v>
      </c>
    </row>
    <row r="23010" spans="1:16" x14ac:dyDescent="0.25">
      <c r="A23010" t="s">
        <v>45741</v>
      </c>
      <c r="B23010" t="s">
        <v>13698</v>
      </c>
      <c r="C23010" t="s">
        <v>13699</v>
      </c>
      <c r="D23010" t="str">
        <f>"1825"</f>
        <v>1825</v>
      </c>
      <c r="E23010" t="s">
        <v>1645</v>
      </c>
      <c r="F23010" t="s">
        <v>56</v>
      </c>
      <c r="G23010" t="s">
        <v>49030</v>
      </c>
      <c r="H23010" t="s">
        <v>47054</v>
      </c>
      <c r="I23010" t="s">
        <v>47111</v>
      </c>
      <c r="J23010" t="s">
        <v>47112</v>
      </c>
      <c r="K23010" t="s">
        <v>47113</v>
      </c>
      <c r="L23010">
        <v>26.56</v>
      </c>
      <c r="M23010">
        <v>62</v>
      </c>
      <c r="N23010">
        <v>0</v>
      </c>
      <c r="O23010">
        <v>62</v>
      </c>
      <c r="P23010">
        <v>0</v>
      </c>
    </row>
    <row r="23011" spans="1:16" x14ac:dyDescent="0.25">
      <c r="A23011" t="s">
        <v>45742</v>
      </c>
      <c r="B23011" t="s">
        <v>13698</v>
      </c>
      <c r="C23011" t="s">
        <v>13699</v>
      </c>
      <c r="D23011" t="str">
        <f>"4548"</f>
        <v>4548</v>
      </c>
      <c r="E23011" t="s">
        <v>1412</v>
      </c>
      <c r="F23011" t="s">
        <v>56</v>
      </c>
      <c r="G23011" t="s">
        <v>49030</v>
      </c>
      <c r="H23011" t="s">
        <v>47054</v>
      </c>
      <c r="I23011" t="s">
        <v>47114</v>
      </c>
      <c r="J23011" t="s">
        <v>47115</v>
      </c>
      <c r="K23011" t="s">
        <v>47113</v>
      </c>
      <c r="L23011">
        <v>29.37</v>
      </c>
      <c r="M23011">
        <v>62</v>
      </c>
      <c r="N23011">
        <v>0</v>
      </c>
      <c r="O23011">
        <v>62</v>
      </c>
      <c r="P23011">
        <v>0</v>
      </c>
    </row>
    <row r="23012" spans="1:16" x14ac:dyDescent="0.25">
      <c r="A23012" t="s">
        <v>45743</v>
      </c>
      <c r="B23012" t="s">
        <v>13698</v>
      </c>
      <c r="C23012" t="s">
        <v>13699</v>
      </c>
      <c r="D23012" t="str">
        <f>"5127"</f>
        <v>5127</v>
      </c>
      <c r="E23012" t="s">
        <v>11955</v>
      </c>
      <c r="F23012" t="s">
        <v>56</v>
      </c>
      <c r="G23012" t="s">
        <v>49030</v>
      </c>
      <c r="H23012" t="s">
        <v>47054</v>
      </c>
      <c r="I23012" t="s">
        <v>47114</v>
      </c>
      <c r="J23012" t="s">
        <v>47115</v>
      </c>
      <c r="K23012" t="s">
        <v>47113</v>
      </c>
      <c r="L23012">
        <v>29.37</v>
      </c>
      <c r="M23012">
        <v>62</v>
      </c>
      <c r="N23012">
        <v>0</v>
      </c>
      <c r="O23012">
        <v>62</v>
      </c>
      <c r="P23012">
        <v>0</v>
      </c>
    </row>
    <row r="23013" spans="1:16" x14ac:dyDescent="0.25">
      <c r="A23013" t="s">
        <v>45744</v>
      </c>
      <c r="B23013" t="s">
        <v>1429</v>
      </c>
      <c r="C23013" t="s">
        <v>1430</v>
      </c>
      <c r="D23013" t="str">
        <f>"1829"</f>
        <v>1829</v>
      </c>
      <c r="E23013" t="s">
        <v>13700</v>
      </c>
      <c r="F23013" t="s">
        <v>296</v>
      </c>
      <c r="G23013" t="s">
        <v>47093</v>
      </c>
      <c r="H23013" t="s">
        <v>47054</v>
      </c>
      <c r="I23013" t="s">
        <v>47111</v>
      </c>
      <c r="J23013" t="s">
        <v>47112</v>
      </c>
      <c r="K23013" t="s">
        <v>47113</v>
      </c>
      <c r="L23013">
        <v>37.9</v>
      </c>
      <c r="M23013">
        <v>97</v>
      </c>
      <c r="N23013">
        <v>0</v>
      </c>
      <c r="O23013">
        <v>97</v>
      </c>
      <c r="P23013">
        <v>0</v>
      </c>
    </row>
    <row r="23014" spans="1:16" x14ac:dyDescent="0.25">
      <c r="A23014" t="s">
        <v>1428</v>
      </c>
      <c r="B23014" t="s">
        <v>1429</v>
      </c>
      <c r="C23014" t="s">
        <v>1430</v>
      </c>
      <c r="D23014" t="str">
        <f>"5026"</f>
        <v>5026</v>
      </c>
      <c r="E23014" t="s">
        <v>1431</v>
      </c>
      <c r="F23014" t="s">
        <v>296</v>
      </c>
      <c r="G23014" t="s">
        <v>47093</v>
      </c>
      <c r="H23014" t="s">
        <v>47054</v>
      </c>
      <c r="I23014" t="s">
        <v>47111</v>
      </c>
      <c r="J23014" t="s">
        <v>47112</v>
      </c>
      <c r="K23014" t="s">
        <v>47113</v>
      </c>
      <c r="L23014">
        <v>37.94</v>
      </c>
      <c r="M23014">
        <v>97</v>
      </c>
      <c r="N23014">
        <v>0</v>
      </c>
      <c r="O23014">
        <v>97</v>
      </c>
      <c r="P23014">
        <v>0</v>
      </c>
    </row>
    <row r="23015" spans="1:16" x14ac:dyDescent="0.25">
      <c r="A23015" t="s">
        <v>45745</v>
      </c>
      <c r="B23015" t="s">
        <v>16433</v>
      </c>
      <c r="C23015" t="s">
        <v>11650</v>
      </c>
      <c r="D23015" t="s">
        <v>11656</v>
      </c>
      <c r="E23015" t="s">
        <v>11657</v>
      </c>
      <c r="F23015" t="s">
        <v>3670</v>
      </c>
      <c r="G23015" t="s">
        <v>47093</v>
      </c>
      <c r="H23015" t="s">
        <v>47054</v>
      </c>
      <c r="I23015" t="s">
        <v>47111</v>
      </c>
      <c r="J23015" t="s">
        <v>47112</v>
      </c>
      <c r="K23015" t="s">
        <v>47113</v>
      </c>
      <c r="L23015">
        <v>53.83</v>
      </c>
      <c r="M23015">
        <v>122</v>
      </c>
      <c r="N23015">
        <v>0</v>
      </c>
      <c r="O23015">
        <v>122</v>
      </c>
      <c r="P23015">
        <v>0</v>
      </c>
    </row>
    <row r="23016" spans="1:16" x14ac:dyDescent="0.25">
      <c r="A23016" t="s">
        <v>45746</v>
      </c>
      <c r="B23016" t="s">
        <v>14384</v>
      </c>
      <c r="C23016" t="s">
        <v>10614</v>
      </c>
      <c r="D23016" t="s">
        <v>13707</v>
      </c>
      <c r="E23016" t="s">
        <v>13708</v>
      </c>
      <c r="F23016" t="s">
        <v>3558</v>
      </c>
      <c r="G23016" t="s">
        <v>47093</v>
      </c>
      <c r="H23016" t="s">
        <v>47054</v>
      </c>
      <c r="I23016" t="s">
        <v>47111</v>
      </c>
      <c r="J23016" t="s">
        <v>47112</v>
      </c>
      <c r="K23016" t="s">
        <v>47113</v>
      </c>
      <c r="L23016">
        <v>40.53</v>
      </c>
      <c r="M23016">
        <v>92</v>
      </c>
      <c r="N23016">
        <v>0</v>
      </c>
      <c r="O23016">
        <v>92</v>
      </c>
      <c r="P23016">
        <v>0</v>
      </c>
    </row>
    <row r="23017" spans="1:16" x14ac:dyDescent="0.25">
      <c r="A23017" t="s">
        <v>45747</v>
      </c>
      <c r="B23017" t="s">
        <v>13701</v>
      </c>
      <c r="C23017" t="s">
        <v>10614</v>
      </c>
      <c r="D23017" t="str">
        <f>"1325"</f>
        <v>1325</v>
      </c>
      <c r="E23017" t="s">
        <v>13703</v>
      </c>
      <c r="F23017" t="s">
        <v>3558</v>
      </c>
      <c r="G23017" t="s">
        <v>47093</v>
      </c>
      <c r="H23017" t="s">
        <v>47054</v>
      </c>
      <c r="I23017" t="s">
        <v>47111</v>
      </c>
      <c r="J23017" t="s">
        <v>47112</v>
      </c>
      <c r="K23017" t="s">
        <v>47113</v>
      </c>
      <c r="L23017">
        <v>50.91</v>
      </c>
      <c r="M23017">
        <v>103</v>
      </c>
      <c r="N23017">
        <v>0</v>
      </c>
      <c r="O23017">
        <v>103</v>
      </c>
      <c r="P23017">
        <v>0</v>
      </c>
    </row>
    <row r="23018" spans="1:16" x14ac:dyDescent="0.25">
      <c r="A23018" t="s">
        <v>45748</v>
      </c>
      <c r="B23018" t="s">
        <v>13704</v>
      </c>
      <c r="C23018" t="s">
        <v>10614</v>
      </c>
      <c r="D23018" t="str">
        <f>"7471"</f>
        <v>7471</v>
      </c>
      <c r="E23018" t="s">
        <v>13705</v>
      </c>
      <c r="F23018" t="s">
        <v>3558</v>
      </c>
      <c r="G23018" t="s">
        <v>47093</v>
      </c>
      <c r="H23018" t="s">
        <v>47054</v>
      </c>
      <c r="I23018" t="s">
        <v>47111</v>
      </c>
      <c r="J23018" t="s">
        <v>47112</v>
      </c>
      <c r="K23018" t="s">
        <v>47113</v>
      </c>
      <c r="L23018">
        <v>50.91</v>
      </c>
      <c r="M23018">
        <v>103</v>
      </c>
      <c r="N23018">
        <v>0</v>
      </c>
      <c r="O23018">
        <v>103</v>
      </c>
      <c r="P23018">
        <v>0</v>
      </c>
    </row>
    <row r="23019" spans="1:16" x14ac:dyDescent="0.25">
      <c r="A23019" t="s">
        <v>45749</v>
      </c>
      <c r="B23019" t="s">
        <v>13706</v>
      </c>
      <c r="C23019" t="s">
        <v>16434</v>
      </c>
      <c r="D23019" t="s">
        <v>13707</v>
      </c>
      <c r="E23019" t="s">
        <v>13708</v>
      </c>
      <c r="F23019" t="s">
        <v>3558</v>
      </c>
      <c r="G23019" t="s">
        <v>47093</v>
      </c>
      <c r="H23019" t="s">
        <v>47054</v>
      </c>
      <c r="I23019" t="s">
        <v>47111</v>
      </c>
      <c r="J23019" t="s">
        <v>47112</v>
      </c>
      <c r="K23019" t="s">
        <v>47113</v>
      </c>
      <c r="L23019">
        <v>55.99</v>
      </c>
      <c r="M23019">
        <v>129</v>
      </c>
      <c r="N23019">
        <v>0</v>
      </c>
      <c r="O23019">
        <v>129</v>
      </c>
      <c r="P23019">
        <v>0</v>
      </c>
    </row>
    <row r="23020" spans="1:16" x14ac:dyDescent="0.25">
      <c r="A23020" t="s">
        <v>45750</v>
      </c>
      <c r="B23020" t="s">
        <v>13709</v>
      </c>
      <c r="C23020" t="s">
        <v>16406</v>
      </c>
      <c r="D23020" t="s">
        <v>13710</v>
      </c>
      <c r="E23020" t="s">
        <v>13711</v>
      </c>
      <c r="F23020" t="s">
        <v>3558</v>
      </c>
      <c r="G23020" t="s">
        <v>47093</v>
      </c>
      <c r="H23020" t="s">
        <v>47054</v>
      </c>
      <c r="I23020" t="s">
        <v>47111</v>
      </c>
      <c r="J23020" t="s">
        <v>47112</v>
      </c>
      <c r="K23020" t="s">
        <v>47113</v>
      </c>
      <c r="L23020">
        <v>45.29</v>
      </c>
      <c r="M23020">
        <v>74</v>
      </c>
      <c r="N23020">
        <v>0</v>
      </c>
      <c r="O23020">
        <v>74</v>
      </c>
      <c r="P23020">
        <v>0</v>
      </c>
    </row>
    <row r="23021" spans="1:16" x14ac:dyDescent="0.25">
      <c r="A23021" t="s">
        <v>45751</v>
      </c>
      <c r="B23021" t="s">
        <v>14385</v>
      </c>
      <c r="C23021" t="s">
        <v>16408</v>
      </c>
      <c r="D23021" t="s">
        <v>13710</v>
      </c>
      <c r="E23021" t="s">
        <v>13711</v>
      </c>
      <c r="F23021" t="s">
        <v>3558</v>
      </c>
      <c r="G23021" t="s">
        <v>47093</v>
      </c>
      <c r="H23021" t="s">
        <v>47054</v>
      </c>
      <c r="I23021" t="s">
        <v>47111</v>
      </c>
      <c r="J23021" t="s">
        <v>47112</v>
      </c>
      <c r="K23021" t="s">
        <v>47113</v>
      </c>
      <c r="L23021">
        <v>35.07</v>
      </c>
      <c r="M23021">
        <v>74</v>
      </c>
      <c r="N23021">
        <v>0</v>
      </c>
      <c r="O23021">
        <v>74</v>
      </c>
      <c r="P23021">
        <v>0</v>
      </c>
    </row>
    <row r="23022" spans="1:16" x14ac:dyDescent="0.25">
      <c r="A23022" t="s">
        <v>45752</v>
      </c>
      <c r="B23022" t="s">
        <v>19401</v>
      </c>
      <c r="C23022" t="s">
        <v>16001</v>
      </c>
      <c r="D23022" t="s">
        <v>19402</v>
      </c>
      <c r="E23022" t="s">
        <v>19403</v>
      </c>
      <c r="F23022" t="s">
        <v>3670</v>
      </c>
      <c r="G23022" t="s">
        <v>47093</v>
      </c>
      <c r="H23022" t="s">
        <v>47054</v>
      </c>
      <c r="I23022" t="s">
        <v>47111</v>
      </c>
      <c r="J23022" t="s">
        <v>47112</v>
      </c>
      <c r="K23022" t="s">
        <v>47113</v>
      </c>
      <c r="L23022">
        <v>48.65</v>
      </c>
      <c r="M23022">
        <v>70</v>
      </c>
      <c r="N23022">
        <v>0</v>
      </c>
      <c r="O23022">
        <v>70</v>
      </c>
      <c r="P23022">
        <v>0</v>
      </c>
    </row>
    <row r="23023" spans="1:16" x14ac:dyDescent="0.25">
      <c r="A23023" t="s">
        <v>45753</v>
      </c>
      <c r="B23023" t="s">
        <v>13712</v>
      </c>
      <c r="C23023" t="s">
        <v>16435</v>
      </c>
      <c r="D23023" t="str">
        <f>"7471"</f>
        <v>7471</v>
      </c>
      <c r="E23023" t="s">
        <v>13705</v>
      </c>
      <c r="F23023" t="s">
        <v>3558</v>
      </c>
      <c r="G23023" t="s">
        <v>49029</v>
      </c>
      <c r="H23023" t="s">
        <v>47054</v>
      </c>
      <c r="I23023" t="s">
        <v>47111</v>
      </c>
      <c r="J23023" t="s">
        <v>47112</v>
      </c>
      <c r="K23023" t="s">
        <v>47113</v>
      </c>
      <c r="L23023">
        <v>49.29</v>
      </c>
      <c r="M23023">
        <v>92</v>
      </c>
      <c r="N23023">
        <v>0</v>
      </c>
      <c r="O23023">
        <v>92</v>
      </c>
      <c r="P23023">
        <v>0</v>
      </c>
    </row>
    <row r="23024" spans="1:16" x14ac:dyDescent="0.25">
      <c r="A23024" t="s">
        <v>45754</v>
      </c>
      <c r="B23024" t="s">
        <v>13713</v>
      </c>
      <c r="C23024" t="s">
        <v>16405</v>
      </c>
      <c r="D23024" t="s">
        <v>13707</v>
      </c>
      <c r="E23024" t="s">
        <v>13708</v>
      </c>
      <c r="F23024" t="s">
        <v>3558</v>
      </c>
      <c r="G23024" t="s">
        <v>49029</v>
      </c>
      <c r="H23024" t="s">
        <v>47054</v>
      </c>
      <c r="I23024" t="s">
        <v>47111</v>
      </c>
      <c r="J23024" t="s">
        <v>47112</v>
      </c>
      <c r="K23024" t="s">
        <v>47113</v>
      </c>
      <c r="L23024">
        <v>42.08</v>
      </c>
      <c r="M23024">
        <v>70</v>
      </c>
      <c r="N23024">
        <v>0</v>
      </c>
      <c r="O23024">
        <v>70</v>
      </c>
      <c r="P23024">
        <v>0</v>
      </c>
    </row>
    <row r="23025" spans="1:16" x14ac:dyDescent="0.25">
      <c r="A23025" t="s">
        <v>45755</v>
      </c>
      <c r="B23025" t="s">
        <v>13714</v>
      </c>
      <c r="C23025" t="s">
        <v>16409</v>
      </c>
      <c r="D23025" t="str">
        <f>"7471"</f>
        <v>7471</v>
      </c>
      <c r="E23025" t="s">
        <v>13705</v>
      </c>
      <c r="F23025" t="s">
        <v>3558</v>
      </c>
      <c r="G23025" t="s">
        <v>49029</v>
      </c>
      <c r="H23025" t="s">
        <v>47054</v>
      </c>
      <c r="I23025" t="s">
        <v>47111</v>
      </c>
      <c r="J23025" t="s">
        <v>47112</v>
      </c>
      <c r="K23025" t="s">
        <v>47113</v>
      </c>
      <c r="L23025">
        <v>51.12</v>
      </c>
      <c r="M23025">
        <v>100</v>
      </c>
      <c r="N23025">
        <v>0</v>
      </c>
      <c r="O23025">
        <v>100</v>
      </c>
      <c r="P23025">
        <v>0</v>
      </c>
    </row>
    <row r="23026" spans="1:16" x14ac:dyDescent="0.25">
      <c r="A23026" t="s">
        <v>45756</v>
      </c>
      <c r="B23026" t="s">
        <v>13715</v>
      </c>
      <c r="C23026" t="s">
        <v>13716</v>
      </c>
      <c r="D23026" t="s">
        <v>13717</v>
      </c>
      <c r="E23026" t="s">
        <v>13718</v>
      </c>
      <c r="F23026" t="s">
        <v>3558</v>
      </c>
      <c r="G23026" t="s">
        <v>47099</v>
      </c>
      <c r="H23026" t="s">
        <v>47054</v>
      </c>
      <c r="I23026" t="s">
        <v>47111</v>
      </c>
      <c r="J23026" t="s">
        <v>47112</v>
      </c>
      <c r="K23026" t="s">
        <v>47113</v>
      </c>
      <c r="L23026">
        <v>47.71</v>
      </c>
      <c r="M23026">
        <v>92</v>
      </c>
      <c r="N23026">
        <v>0</v>
      </c>
      <c r="O23026">
        <v>92</v>
      </c>
      <c r="P23026">
        <v>0</v>
      </c>
    </row>
    <row r="23027" spans="1:16" x14ac:dyDescent="0.25">
      <c r="A23027" t="s">
        <v>45757</v>
      </c>
      <c r="B23027" t="s">
        <v>13719</v>
      </c>
      <c r="C23027" t="s">
        <v>16368</v>
      </c>
      <c r="D23027" t="s">
        <v>13720</v>
      </c>
      <c r="E23027" t="s">
        <v>13721</v>
      </c>
      <c r="F23027" t="s">
        <v>3558</v>
      </c>
      <c r="G23027" t="s">
        <v>47093</v>
      </c>
      <c r="H23027" t="s">
        <v>47054</v>
      </c>
      <c r="I23027" t="s">
        <v>47111</v>
      </c>
      <c r="J23027" t="s">
        <v>47112</v>
      </c>
      <c r="K23027" t="s">
        <v>47113</v>
      </c>
      <c r="L23027">
        <v>63.69</v>
      </c>
      <c r="M23027">
        <v>96</v>
      </c>
      <c r="N23027">
        <v>0</v>
      </c>
      <c r="O23027">
        <v>96</v>
      </c>
      <c r="P23027">
        <v>0</v>
      </c>
    </row>
    <row r="23028" spans="1:16" x14ac:dyDescent="0.25">
      <c r="A23028" t="s">
        <v>45758</v>
      </c>
      <c r="B23028" t="s">
        <v>13722</v>
      </c>
      <c r="C23028" t="s">
        <v>16368</v>
      </c>
      <c r="D23028" t="s">
        <v>13723</v>
      </c>
      <c r="E23028" t="s">
        <v>13724</v>
      </c>
      <c r="F23028" t="s">
        <v>3558</v>
      </c>
      <c r="G23028" t="s">
        <v>47093</v>
      </c>
      <c r="H23028" t="s">
        <v>47054</v>
      </c>
      <c r="I23028" t="s">
        <v>47111</v>
      </c>
      <c r="J23028" t="s">
        <v>47112</v>
      </c>
      <c r="K23028" t="s">
        <v>47113</v>
      </c>
      <c r="L23028">
        <v>61.14</v>
      </c>
      <c r="M23028">
        <v>103</v>
      </c>
      <c r="N23028">
        <v>0</v>
      </c>
      <c r="O23028">
        <v>103</v>
      </c>
      <c r="P23028">
        <v>0</v>
      </c>
    </row>
    <row r="23029" spans="1:16" x14ac:dyDescent="0.25">
      <c r="A23029" t="s">
        <v>45759</v>
      </c>
      <c r="B23029" t="s">
        <v>13725</v>
      </c>
      <c r="C23029" t="s">
        <v>16408</v>
      </c>
      <c r="D23029" t="s">
        <v>13720</v>
      </c>
      <c r="E23029" t="s">
        <v>13721</v>
      </c>
      <c r="F23029" t="s">
        <v>3558</v>
      </c>
      <c r="G23029" t="s">
        <v>47093</v>
      </c>
      <c r="H23029" t="s">
        <v>47054</v>
      </c>
      <c r="I23029" t="s">
        <v>47111</v>
      </c>
      <c r="J23029" t="s">
        <v>47112</v>
      </c>
      <c r="K23029" t="s">
        <v>47113</v>
      </c>
      <c r="L23029">
        <v>63.41</v>
      </c>
      <c r="M23029">
        <v>96</v>
      </c>
      <c r="N23029">
        <v>0</v>
      </c>
      <c r="O23029">
        <v>96</v>
      </c>
      <c r="P23029">
        <v>0</v>
      </c>
    </row>
    <row r="23030" spans="1:16" x14ac:dyDescent="0.25">
      <c r="A23030" t="s">
        <v>45760</v>
      </c>
      <c r="B23030" t="s">
        <v>13726</v>
      </c>
      <c r="C23030" t="s">
        <v>16436</v>
      </c>
      <c r="D23030" t="s">
        <v>13727</v>
      </c>
      <c r="E23030" t="s">
        <v>13728</v>
      </c>
      <c r="F23030" t="s">
        <v>3558</v>
      </c>
      <c r="G23030" t="s">
        <v>47093</v>
      </c>
      <c r="H23030" t="s">
        <v>47054</v>
      </c>
      <c r="I23030" t="s">
        <v>47111</v>
      </c>
      <c r="J23030" t="s">
        <v>47112</v>
      </c>
      <c r="K23030" t="s">
        <v>47113</v>
      </c>
      <c r="L23030">
        <v>64.44</v>
      </c>
      <c r="M23030">
        <v>122</v>
      </c>
      <c r="N23030">
        <v>0</v>
      </c>
      <c r="O23030">
        <v>122</v>
      </c>
      <c r="P23030">
        <v>0</v>
      </c>
    </row>
    <row r="23031" spans="1:16" x14ac:dyDescent="0.25">
      <c r="A23031" t="s">
        <v>45761</v>
      </c>
      <c r="B23031" t="s">
        <v>13729</v>
      </c>
      <c r="C23031" t="s">
        <v>16437</v>
      </c>
      <c r="D23031" t="s">
        <v>13727</v>
      </c>
      <c r="E23031" t="s">
        <v>13728</v>
      </c>
      <c r="F23031" t="s">
        <v>3558</v>
      </c>
      <c r="G23031" t="s">
        <v>49029</v>
      </c>
      <c r="H23031" t="s">
        <v>47054</v>
      </c>
      <c r="I23031" t="s">
        <v>47111</v>
      </c>
      <c r="J23031" t="s">
        <v>47112</v>
      </c>
      <c r="K23031" t="s">
        <v>47113</v>
      </c>
      <c r="L23031">
        <v>36.07</v>
      </c>
      <c r="M23031">
        <v>66</v>
      </c>
      <c r="N23031">
        <v>0</v>
      </c>
      <c r="O23031">
        <v>66</v>
      </c>
      <c r="P23031">
        <v>0</v>
      </c>
    </row>
    <row r="23032" spans="1:16" x14ac:dyDescent="0.25">
      <c r="A23032" t="s">
        <v>45762</v>
      </c>
      <c r="B23032" t="s">
        <v>13730</v>
      </c>
      <c r="C23032" t="s">
        <v>16408</v>
      </c>
      <c r="D23032" t="s">
        <v>13731</v>
      </c>
      <c r="E23032" t="s">
        <v>13732</v>
      </c>
      <c r="F23032" t="s">
        <v>3558</v>
      </c>
      <c r="G23032" t="s">
        <v>47093</v>
      </c>
      <c r="H23032" t="s">
        <v>47054</v>
      </c>
      <c r="I23032" t="s">
        <v>47111</v>
      </c>
      <c r="J23032" t="s">
        <v>47112</v>
      </c>
      <c r="K23032" t="s">
        <v>47113</v>
      </c>
      <c r="L23032">
        <v>57.68</v>
      </c>
      <c r="M23032">
        <v>74</v>
      </c>
      <c r="N23032">
        <v>0</v>
      </c>
      <c r="O23032">
        <v>74</v>
      </c>
      <c r="P23032">
        <v>0</v>
      </c>
    </row>
    <row r="23033" spans="1:16" x14ac:dyDescent="0.25">
      <c r="A23033" t="s">
        <v>45763</v>
      </c>
      <c r="B23033" t="s">
        <v>14418</v>
      </c>
      <c r="C23033" t="s">
        <v>16368</v>
      </c>
      <c r="D23033" t="s">
        <v>13720</v>
      </c>
      <c r="E23033" t="s">
        <v>13721</v>
      </c>
      <c r="F23033" t="s">
        <v>3558</v>
      </c>
      <c r="G23033" t="s">
        <v>47093</v>
      </c>
      <c r="H23033" t="s">
        <v>47054</v>
      </c>
      <c r="I23033" t="s">
        <v>47111</v>
      </c>
      <c r="J23033" t="s">
        <v>47112</v>
      </c>
      <c r="K23033" t="s">
        <v>47113</v>
      </c>
      <c r="L23033">
        <v>72.22</v>
      </c>
      <c r="M23033">
        <v>96</v>
      </c>
      <c r="N23033">
        <v>0</v>
      </c>
      <c r="O23033">
        <v>96</v>
      </c>
      <c r="P23033">
        <v>0</v>
      </c>
    </row>
    <row r="23034" spans="1:16" x14ac:dyDescent="0.25">
      <c r="A23034" t="s">
        <v>45764</v>
      </c>
      <c r="B23034" t="s">
        <v>13733</v>
      </c>
      <c r="C23034" t="s">
        <v>10606</v>
      </c>
      <c r="D23034" t="s">
        <v>13723</v>
      </c>
      <c r="E23034" t="s">
        <v>13724</v>
      </c>
      <c r="F23034" t="s">
        <v>3558</v>
      </c>
      <c r="G23034" t="s">
        <v>47093</v>
      </c>
      <c r="H23034" t="s">
        <v>47054</v>
      </c>
      <c r="I23034" t="s">
        <v>47111</v>
      </c>
      <c r="J23034" t="s">
        <v>47112</v>
      </c>
      <c r="K23034" t="s">
        <v>47113</v>
      </c>
      <c r="L23034">
        <v>61.14</v>
      </c>
      <c r="M23034">
        <v>103</v>
      </c>
      <c r="N23034">
        <v>0</v>
      </c>
      <c r="O23034">
        <v>103</v>
      </c>
      <c r="P23034">
        <v>0</v>
      </c>
    </row>
    <row r="23035" spans="1:16" x14ac:dyDescent="0.25">
      <c r="A23035" t="s">
        <v>45765</v>
      </c>
      <c r="B23035" t="s">
        <v>14417</v>
      </c>
      <c r="C23035" t="s">
        <v>16404</v>
      </c>
      <c r="D23035" t="s">
        <v>13723</v>
      </c>
      <c r="E23035" t="s">
        <v>13724</v>
      </c>
      <c r="F23035" t="s">
        <v>3558</v>
      </c>
      <c r="G23035" t="s">
        <v>47093</v>
      </c>
      <c r="H23035" t="s">
        <v>47054</v>
      </c>
      <c r="I23035" t="s">
        <v>47111</v>
      </c>
      <c r="J23035" t="s">
        <v>47112</v>
      </c>
      <c r="K23035" t="s">
        <v>47113</v>
      </c>
      <c r="L23035">
        <v>74.36</v>
      </c>
      <c r="M23035">
        <v>137</v>
      </c>
      <c r="N23035">
        <v>0</v>
      </c>
      <c r="O23035">
        <v>137</v>
      </c>
      <c r="P23035">
        <v>0</v>
      </c>
    </row>
    <row r="23036" spans="1:16" x14ac:dyDescent="0.25">
      <c r="A23036" t="s">
        <v>45766</v>
      </c>
      <c r="B23036" t="s">
        <v>13734</v>
      </c>
      <c r="C23036" t="s">
        <v>10589</v>
      </c>
      <c r="D23036" t="s">
        <v>13723</v>
      </c>
      <c r="E23036" t="s">
        <v>13724</v>
      </c>
      <c r="F23036" t="s">
        <v>3558</v>
      </c>
      <c r="G23036" t="s">
        <v>47093</v>
      </c>
      <c r="H23036" t="s">
        <v>47054</v>
      </c>
      <c r="I23036" t="s">
        <v>47111</v>
      </c>
      <c r="J23036" t="s">
        <v>47112</v>
      </c>
      <c r="K23036" t="s">
        <v>47113</v>
      </c>
      <c r="L23036">
        <v>61.14</v>
      </c>
      <c r="M23036">
        <v>103</v>
      </c>
      <c r="N23036">
        <v>0</v>
      </c>
      <c r="O23036">
        <v>103</v>
      </c>
      <c r="P23036">
        <v>0</v>
      </c>
    </row>
    <row r="23037" spans="1:16" x14ac:dyDescent="0.25">
      <c r="A23037" t="s">
        <v>45767</v>
      </c>
      <c r="B23037" t="s">
        <v>13735</v>
      </c>
      <c r="C23037" t="s">
        <v>13736</v>
      </c>
      <c r="D23037" t="s">
        <v>13717</v>
      </c>
      <c r="E23037" t="s">
        <v>13718</v>
      </c>
      <c r="F23037" t="s">
        <v>3558</v>
      </c>
      <c r="G23037" t="s">
        <v>49030</v>
      </c>
      <c r="H23037" t="s">
        <v>47054</v>
      </c>
      <c r="I23037" t="s">
        <v>47111</v>
      </c>
      <c r="J23037" t="s">
        <v>47112</v>
      </c>
      <c r="K23037" t="s">
        <v>47113</v>
      </c>
      <c r="L23037">
        <v>45.46</v>
      </c>
      <c r="M23037">
        <v>74</v>
      </c>
      <c r="N23037">
        <v>0</v>
      </c>
      <c r="O23037">
        <v>74</v>
      </c>
      <c r="P23037">
        <v>0</v>
      </c>
    </row>
    <row r="23038" spans="1:16" x14ac:dyDescent="0.25">
      <c r="A23038" t="s">
        <v>45768</v>
      </c>
      <c r="B23038" t="s">
        <v>13737</v>
      </c>
      <c r="C23038" t="s">
        <v>16408</v>
      </c>
      <c r="D23038" t="s">
        <v>13727</v>
      </c>
      <c r="E23038" t="s">
        <v>13728</v>
      </c>
      <c r="F23038" t="s">
        <v>3558</v>
      </c>
      <c r="G23038" t="s">
        <v>47093</v>
      </c>
      <c r="H23038" t="s">
        <v>47054</v>
      </c>
      <c r="I23038" t="s">
        <v>47111</v>
      </c>
      <c r="J23038" t="s">
        <v>47112</v>
      </c>
      <c r="K23038" t="s">
        <v>47113</v>
      </c>
      <c r="L23038">
        <v>44.26</v>
      </c>
      <c r="M23038">
        <v>74</v>
      </c>
      <c r="N23038">
        <v>0</v>
      </c>
      <c r="O23038">
        <v>74</v>
      </c>
      <c r="P23038">
        <v>0</v>
      </c>
    </row>
    <row r="23039" spans="1:16" x14ac:dyDescent="0.25">
      <c r="A23039" t="s">
        <v>45769</v>
      </c>
      <c r="B23039" t="s">
        <v>13738</v>
      </c>
      <c r="C23039" t="s">
        <v>16438</v>
      </c>
      <c r="D23039" t="s">
        <v>13723</v>
      </c>
      <c r="E23039" t="s">
        <v>13724</v>
      </c>
      <c r="F23039" t="s">
        <v>3558</v>
      </c>
      <c r="G23039" t="s">
        <v>49029</v>
      </c>
      <c r="H23039" t="s">
        <v>47054</v>
      </c>
      <c r="I23039" t="s">
        <v>47116</v>
      </c>
      <c r="J23039" t="s">
        <v>47117</v>
      </c>
      <c r="K23039" t="s">
        <v>47113</v>
      </c>
      <c r="L23039">
        <v>71.349999999999994</v>
      </c>
      <c r="M23039">
        <v>107</v>
      </c>
      <c r="N23039">
        <v>0</v>
      </c>
      <c r="O23039">
        <v>107</v>
      </c>
      <c r="P23039">
        <v>0</v>
      </c>
    </row>
    <row r="23040" spans="1:16" x14ac:dyDescent="0.25">
      <c r="A23040" t="s">
        <v>45770</v>
      </c>
      <c r="B23040" t="s">
        <v>13739</v>
      </c>
      <c r="C23040" t="s">
        <v>13740</v>
      </c>
      <c r="D23040" t="s">
        <v>13723</v>
      </c>
      <c r="E23040" t="s">
        <v>13724</v>
      </c>
      <c r="F23040" t="s">
        <v>3558</v>
      </c>
      <c r="G23040" t="s">
        <v>48515</v>
      </c>
      <c r="H23040" t="s">
        <v>47054</v>
      </c>
      <c r="I23040" t="s">
        <v>47111</v>
      </c>
      <c r="J23040" t="s">
        <v>47112</v>
      </c>
      <c r="K23040" t="s">
        <v>47113</v>
      </c>
      <c r="L23040">
        <v>64.02</v>
      </c>
      <c r="M23040">
        <v>103</v>
      </c>
      <c r="N23040">
        <v>0</v>
      </c>
      <c r="O23040">
        <v>103</v>
      </c>
      <c r="P23040">
        <v>0</v>
      </c>
    </row>
    <row r="23041" spans="1:16" x14ac:dyDescent="0.25">
      <c r="A23041" t="s">
        <v>45771</v>
      </c>
      <c r="B23041" t="s">
        <v>13741</v>
      </c>
      <c r="C23041" t="s">
        <v>16405</v>
      </c>
      <c r="D23041" t="s">
        <v>13717</v>
      </c>
      <c r="E23041" t="s">
        <v>13718</v>
      </c>
      <c r="F23041" t="s">
        <v>3558</v>
      </c>
      <c r="G23041" t="s">
        <v>49029</v>
      </c>
      <c r="H23041" t="s">
        <v>47054</v>
      </c>
      <c r="I23041" t="s">
        <v>47111</v>
      </c>
      <c r="J23041" t="s">
        <v>47112</v>
      </c>
      <c r="K23041" t="s">
        <v>47113</v>
      </c>
      <c r="L23041">
        <v>38.94</v>
      </c>
      <c r="M23041">
        <v>70</v>
      </c>
      <c r="N23041">
        <v>0</v>
      </c>
      <c r="O23041">
        <v>70</v>
      </c>
      <c r="P23041">
        <v>0</v>
      </c>
    </row>
    <row r="23042" spans="1:16" x14ac:dyDescent="0.25">
      <c r="A23042" t="s">
        <v>45772</v>
      </c>
      <c r="B23042" t="s">
        <v>13742</v>
      </c>
      <c r="C23042" t="s">
        <v>13006</v>
      </c>
      <c r="D23042" t="s">
        <v>13723</v>
      </c>
      <c r="E23042" t="s">
        <v>13724</v>
      </c>
      <c r="F23042" t="s">
        <v>3558</v>
      </c>
      <c r="G23042" t="s">
        <v>49029</v>
      </c>
      <c r="H23042" t="s">
        <v>47054</v>
      </c>
      <c r="I23042" t="s">
        <v>47111</v>
      </c>
      <c r="J23042" t="s">
        <v>47112</v>
      </c>
      <c r="K23042" t="s">
        <v>47113</v>
      </c>
      <c r="L23042">
        <v>44.51</v>
      </c>
      <c r="M23042">
        <v>92</v>
      </c>
      <c r="N23042">
        <v>0</v>
      </c>
      <c r="O23042">
        <v>92</v>
      </c>
      <c r="P23042">
        <v>0</v>
      </c>
    </row>
    <row r="23043" spans="1:16" x14ac:dyDescent="0.25">
      <c r="A23043" t="s">
        <v>45773</v>
      </c>
      <c r="B23043" t="s">
        <v>13743</v>
      </c>
      <c r="C23043" t="s">
        <v>10614</v>
      </c>
      <c r="D23043" t="s">
        <v>721</v>
      </c>
      <c r="E23043" t="s">
        <v>722</v>
      </c>
      <c r="F23043" t="s">
        <v>3558</v>
      </c>
      <c r="G23043" t="s">
        <v>47093</v>
      </c>
      <c r="H23043" t="s">
        <v>47054</v>
      </c>
      <c r="I23043" t="s">
        <v>47111</v>
      </c>
      <c r="J23043" t="s">
        <v>47112</v>
      </c>
      <c r="K23043" t="s">
        <v>47113</v>
      </c>
      <c r="L23043">
        <v>49.85</v>
      </c>
      <c r="M23043">
        <v>74</v>
      </c>
      <c r="N23043">
        <v>0</v>
      </c>
      <c r="O23043">
        <v>74</v>
      </c>
      <c r="P23043">
        <v>0</v>
      </c>
    </row>
    <row r="23044" spans="1:16" x14ac:dyDescent="0.25">
      <c r="A23044" t="s">
        <v>45774</v>
      </c>
      <c r="B23044" t="s">
        <v>13744</v>
      </c>
      <c r="C23044" t="s">
        <v>16368</v>
      </c>
      <c r="D23044" t="s">
        <v>721</v>
      </c>
      <c r="E23044" t="s">
        <v>722</v>
      </c>
      <c r="F23044" t="s">
        <v>3558</v>
      </c>
      <c r="G23044" t="s">
        <v>47093</v>
      </c>
      <c r="H23044" t="s">
        <v>47054</v>
      </c>
      <c r="I23044" t="s">
        <v>47111</v>
      </c>
      <c r="J23044" t="s">
        <v>47112</v>
      </c>
      <c r="K23044" t="s">
        <v>47113</v>
      </c>
      <c r="L23044">
        <v>44.7</v>
      </c>
      <c r="M23044">
        <v>92</v>
      </c>
      <c r="N23044">
        <v>0</v>
      </c>
      <c r="O23044">
        <v>92</v>
      </c>
      <c r="P23044">
        <v>0</v>
      </c>
    </row>
    <row r="23045" spans="1:16" x14ac:dyDescent="0.25">
      <c r="A23045" t="s">
        <v>45775</v>
      </c>
      <c r="B23045" t="s">
        <v>13745</v>
      </c>
      <c r="C23045" t="s">
        <v>13746</v>
      </c>
      <c r="D23045" t="str">
        <f>"4680"</f>
        <v>4680</v>
      </c>
      <c r="E23045" t="s">
        <v>8552</v>
      </c>
      <c r="F23045" t="s">
        <v>5</v>
      </c>
      <c r="G23045" t="s">
        <v>47101</v>
      </c>
      <c r="H23045" t="s">
        <v>47054</v>
      </c>
      <c r="I23045" t="s">
        <v>47120</v>
      </c>
      <c r="J23045" t="s">
        <v>47121</v>
      </c>
      <c r="K23045" t="s">
        <v>47113</v>
      </c>
      <c r="L23045">
        <v>23.58</v>
      </c>
      <c r="M23045">
        <v>53</v>
      </c>
      <c r="N23045">
        <v>0</v>
      </c>
      <c r="O23045">
        <v>53</v>
      </c>
      <c r="P23045">
        <v>0</v>
      </c>
    </row>
    <row r="23046" spans="1:16" x14ac:dyDescent="0.25">
      <c r="A23046" t="s">
        <v>45776</v>
      </c>
      <c r="B23046" t="s">
        <v>13745</v>
      </c>
      <c r="C23046" t="s">
        <v>13746</v>
      </c>
      <c r="D23046" t="str">
        <f>"6854"</f>
        <v>6854</v>
      </c>
      <c r="E23046" t="s">
        <v>8553</v>
      </c>
      <c r="F23046" t="s">
        <v>5</v>
      </c>
      <c r="G23046" t="s">
        <v>47101</v>
      </c>
      <c r="H23046" t="s">
        <v>47054</v>
      </c>
      <c r="I23046" t="s">
        <v>47120</v>
      </c>
      <c r="J23046" t="s">
        <v>47121</v>
      </c>
      <c r="K23046" t="s">
        <v>47113</v>
      </c>
      <c r="L23046">
        <v>23.58</v>
      </c>
      <c r="M23046">
        <v>53</v>
      </c>
      <c r="N23046">
        <v>0</v>
      </c>
      <c r="O23046">
        <v>53</v>
      </c>
      <c r="P23046">
        <v>0</v>
      </c>
    </row>
    <row r="23047" spans="1:16" x14ac:dyDescent="0.25">
      <c r="A23047" t="s">
        <v>45777</v>
      </c>
      <c r="B23047" t="s">
        <v>13745</v>
      </c>
      <c r="C23047" t="s">
        <v>13746</v>
      </c>
      <c r="D23047" t="str">
        <f>"7391"</f>
        <v>7391</v>
      </c>
      <c r="E23047" t="s">
        <v>8554</v>
      </c>
      <c r="F23047" t="s">
        <v>5</v>
      </c>
      <c r="G23047" t="s">
        <v>47101</v>
      </c>
      <c r="H23047" t="s">
        <v>47054</v>
      </c>
      <c r="I23047" t="s">
        <v>47120</v>
      </c>
      <c r="J23047" t="s">
        <v>47121</v>
      </c>
      <c r="K23047" t="s">
        <v>47113</v>
      </c>
      <c r="L23047">
        <v>23.58</v>
      </c>
      <c r="M23047">
        <v>53</v>
      </c>
      <c r="N23047">
        <v>0</v>
      </c>
      <c r="O23047">
        <v>53</v>
      </c>
      <c r="P23047">
        <v>0</v>
      </c>
    </row>
    <row r="23048" spans="1:16" x14ac:dyDescent="0.25">
      <c r="A23048" t="s">
        <v>45778</v>
      </c>
      <c r="B23048" t="s">
        <v>13747</v>
      </c>
      <c r="C23048" t="s">
        <v>13748</v>
      </c>
      <c r="D23048" t="str">
        <f>"1945"</f>
        <v>1945</v>
      </c>
      <c r="E23048" t="s">
        <v>13749</v>
      </c>
      <c r="F23048" t="s">
        <v>3</v>
      </c>
      <c r="G23048" t="s">
        <v>47101</v>
      </c>
      <c r="H23048" t="s">
        <v>47054</v>
      </c>
      <c r="I23048" t="s">
        <v>47120</v>
      </c>
      <c r="J23048" t="s">
        <v>47121</v>
      </c>
      <c r="K23048" t="s">
        <v>47113</v>
      </c>
      <c r="L23048">
        <v>24.95</v>
      </c>
      <c r="M23048">
        <v>64</v>
      </c>
      <c r="N23048">
        <v>0</v>
      </c>
      <c r="O23048">
        <v>64</v>
      </c>
      <c r="P23048">
        <v>0</v>
      </c>
    </row>
    <row r="23049" spans="1:16" x14ac:dyDescent="0.25">
      <c r="A23049" t="s">
        <v>45779</v>
      </c>
      <c r="B23049" t="s">
        <v>13747</v>
      </c>
      <c r="C23049" t="s">
        <v>13748</v>
      </c>
      <c r="D23049" t="str">
        <f>"6322"</f>
        <v>6322</v>
      </c>
      <c r="E23049" t="s">
        <v>13750</v>
      </c>
      <c r="F23049" t="s">
        <v>3</v>
      </c>
      <c r="G23049" t="s">
        <v>47101</v>
      </c>
      <c r="H23049" t="s">
        <v>47054</v>
      </c>
      <c r="I23049" t="s">
        <v>47120</v>
      </c>
      <c r="J23049" t="s">
        <v>47121</v>
      </c>
      <c r="K23049" t="s">
        <v>47113</v>
      </c>
      <c r="L23049">
        <v>24.95</v>
      </c>
      <c r="M23049">
        <v>64</v>
      </c>
      <c r="N23049">
        <v>0</v>
      </c>
      <c r="O23049">
        <v>64</v>
      </c>
      <c r="P23049">
        <v>0</v>
      </c>
    </row>
    <row r="23050" spans="1:16" x14ac:dyDescent="0.25">
      <c r="A23050" t="s">
        <v>45780</v>
      </c>
      <c r="B23050" t="s">
        <v>13751</v>
      </c>
      <c r="C23050" t="s">
        <v>13746</v>
      </c>
      <c r="D23050" t="str">
        <f>"4682"</f>
        <v>4682</v>
      </c>
      <c r="E23050" t="s">
        <v>8573</v>
      </c>
      <c r="F23050" t="s">
        <v>5</v>
      </c>
      <c r="G23050" t="s">
        <v>47101</v>
      </c>
      <c r="H23050" t="s">
        <v>47054</v>
      </c>
      <c r="I23050" t="s">
        <v>47118</v>
      </c>
      <c r="J23050" t="s">
        <v>47119</v>
      </c>
      <c r="K23050" t="s">
        <v>47113</v>
      </c>
      <c r="L23050">
        <v>20.69</v>
      </c>
      <c r="M23050">
        <v>46</v>
      </c>
      <c r="N23050">
        <v>0</v>
      </c>
      <c r="O23050">
        <v>46</v>
      </c>
      <c r="P23050">
        <v>0</v>
      </c>
    </row>
    <row r="23051" spans="1:16" x14ac:dyDescent="0.25">
      <c r="A23051" t="s">
        <v>45781</v>
      </c>
      <c r="B23051" t="s">
        <v>13751</v>
      </c>
      <c r="C23051" t="s">
        <v>13746</v>
      </c>
      <c r="D23051" t="str">
        <f>"6340"</f>
        <v>6340</v>
      </c>
      <c r="E23051" t="s">
        <v>8570</v>
      </c>
      <c r="F23051" t="s">
        <v>5</v>
      </c>
      <c r="G23051" t="s">
        <v>47101</v>
      </c>
      <c r="H23051" t="s">
        <v>47054</v>
      </c>
      <c r="I23051" t="s">
        <v>47118</v>
      </c>
      <c r="J23051" t="s">
        <v>47119</v>
      </c>
      <c r="K23051" t="s">
        <v>47113</v>
      </c>
      <c r="L23051">
        <v>20.69</v>
      </c>
      <c r="M23051">
        <v>46</v>
      </c>
      <c r="N23051">
        <v>0</v>
      </c>
      <c r="O23051">
        <v>46</v>
      </c>
      <c r="P23051">
        <v>0</v>
      </c>
    </row>
    <row r="23052" spans="1:16" x14ac:dyDescent="0.25">
      <c r="A23052" t="s">
        <v>1432</v>
      </c>
      <c r="B23052" t="s">
        <v>1433</v>
      </c>
      <c r="C23052" t="s">
        <v>1434</v>
      </c>
      <c r="D23052" t="str">
        <f>"3432"</f>
        <v>3432</v>
      </c>
      <c r="E23052" t="s">
        <v>1435</v>
      </c>
      <c r="F23052" t="s">
        <v>3</v>
      </c>
      <c r="G23052" t="s">
        <v>47101</v>
      </c>
      <c r="H23052" t="s">
        <v>47054</v>
      </c>
      <c r="I23052" t="s">
        <v>47118</v>
      </c>
      <c r="J23052" t="s">
        <v>47119</v>
      </c>
      <c r="K23052" t="s">
        <v>47113</v>
      </c>
      <c r="L23052">
        <v>20.69</v>
      </c>
      <c r="M23052">
        <v>54</v>
      </c>
      <c r="N23052">
        <v>0</v>
      </c>
      <c r="O23052">
        <v>54</v>
      </c>
      <c r="P23052">
        <v>0</v>
      </c>
    </row>
    <row r="23053" spans="1:16" x14ac:dyDescent="0.25">
      <c r="A23053" t="s">
        <v>45782</v>
      </c>
      <c r="B23053" t="s">
        <v>13752</v>
      </c>
      <c r="C23053" t="s">
        <v>13753</v>
      </c>
      <c r="D23053" t="str">
        <f>"1959"</f>
        <v>1959</v>
      </c>
      <c r="E23053" t="s">
        <v>2846</v>
      </c>
      <c r="F23053" t="s">
        <v>5</v>
      </c>
      <c r="G23053" t="s">
        <v>47101</v>
      </c>
      <c r="H23053" t="s">
        <v>47054</v>
      </c>
      <c r="I23053" t="s">
        <v>47120</v>
      </c>
      <c r="J23053" t="s">
        <v>47121</v>
      </c>
      <c r="K23053" t="s">
        <v>47113</v>
      </c>
      <c r="L23053">
        <v>29.42</v>
      </c>
      <c r="M23053">
        <v>61</v>
      </c>
      <c r="N23053">
        <v>0</v>
      </c>
      <c r="O23053">
        <v>61</v>
      </c>
      <c r="P23053">
        <v>0</v>
      </c>
    </row>
    <row r="23054" spans="1:16" x14ac:dyDescent="0.25">
      <c r="A23054" t="s">
        <v>45783</v>
      </c>
      <c r="B23054" t="s">
        <v>13752</v>
      </c>
      <c r="C23054" t="s">
        <v>13753</v>
      </c>
      <c r="D23054" t="str">
        <f>"4339"</f>
        <v>4339</v>
      </c>
      <c r="E23054" t="s">
        <v>8587</v>
      </c>
      <c r="F23054" t="s">
        <v>5</v>
      </c>
      <c r="G23054" t="s">
        <v>47101</v>
      </c>
      <c r="H23054" t="s">
        <v>47054</v>
      </c>
      <c r="I23054" t="s">
        <v>47120</v>
      </c>
      <c r="J23054" t="s">
        <v>47121</v>
      </c>
      <c r="K23054" t="s">
        <v>47113</v>
      </c>
      <c r="L23054">
        <v>29.42</v>
      </c>
      <c r="M23054">
        <v>61</v>
      </c>
      <c r="N23054">
        <v>0</v>
      </c>
      <c r="O23054">
        <v>61</v>
      </c>
      <c r="P23054">
        <v>0</v>
      </c>
    </row>
    <row r="23055" spans="1:16" x14ac:dyDescent="0.25">
      <c r="A23055" t="s">
        <v>45784</v>
      </c>
      <c r="B23055" t="s">
        <v>13752</v>
      </c>
      <c r="C23055" t="s">
        <v>13753</v>
      </c>
      <c r="D23055" t="str">
        <f>"6342"</f>
        <v>6342</v>
      </c>
      <c r="E23055" t="s">
        <v>8589</v>
      </c>
      <c r="F23055" t="s">
        <v>5</v>
      </c>
      <c r="G23055" t="s">
        <v>47101</v>
      </c>
      <c r="H23055" t="s">
        <v>47054</v>
      </c>
      <c r="I23055" t="s">
        <v>47120</v>
      </c>
      <c r="J23055" t="s">
        <v>47121</v>
      </c>
      <c r="K23055" t="s">
        <v>47113</v>
      </c>
      <c r="L23055">
        <v>29.42</v>
      </c>
      <c r="M23055">
        <v>61</v>
      </c>
      <c r="N23055">
        <v>0</v>
      </c>
      <c r="O23055">
        <v>61</v>
      </c>
      <c r="P23055">
        <v>0</v>
      </c>
    </row>
    <row r="23056" spans="1:16" x14ac:dyDescent="0.25">
      <c r="A23056" t="s">
        <v>45785</v>
      </c>
      <c r="B23056" t="s">
        <v>13752</v>
      </c>
      <c r="C23056" t="s">
        <v>13753</v>
      </c>
      <c r="D23056" t="str">
        <f>"6856"</f>
        <v>6856</v>
      </c>
      <c r="E23056" t="s">
        <v>8590</v>
      </c>
      <c r="F23056" t="s">
        <v>5</v>
      </c>
      <c r="G23056" t="s">
        <v>47101</v>
      </c>
      <c r="H23056" t="s">
        <v>47054</v>
      </c>
      <c r="I23056" t="s">
        <v>47120</v>
      </c>
      <c r="J23056" t="s">
        <v>47121</v>
      </c>
      <c r="K23056" t="s">
        <v>47113</v>
      </c>
      <c r="L23056">
        <v>29.42</v>
      </c>
      <c r="M23056">
        <v>61</v>
      </c>
      <c r="N23056">
        <v>0</v>
      </c>
      <c r="O23056">
        <v>61</v>
      </c>
      <c r="P23056">
        <v>0</v>
      </c>
    </row>
    <row r="23057" spans="1:16" x14ac:dyDescent="0.25">
      <c r="A23057" t="s">
        <v>45786</v>
      </c>
      <c r="B23057" t="s">
        <v>14415</v>
      </c>
      <c r="C23057" t="s">
        <v>14414</v>
      </c>
      <c r="D23057" t="str">
        <f>"1001"</f>
        <v>1001</v>
      </c>
      <c r="E23057" t="s">
        <v>42</v>
      </c>
      <c r="F23057" t="s">
        <v>3750</v>
      </c>
      <c r="G23057" t="s">
        <v>47094</v>
      </c>
      <c r="H23057" t="s">
        <v>47054</v>
      </c>
      <c r="I23057" t="s">
        <v>47118</v>
      </c>
      <c r="J23057" t="s">
        <v>47119</v>
      </c>
      <c r="K23057" t="s">
        <v>47113</v>
      </c>
      <c r="L23057">
        <v>16.899999999999999</v>
      </c>
      <c r="M23057">
        <v>60</v>
      </c>
      <c r="N23057">
        <v>0</v>
      </c>
      <c r="O23057">
        <v>60</v>
      </c>
      <c r="P23057">
        <v>0</v>
      </c>
    </row>
    <row r="23058" spans="1:16" x14ac:dyDescent="0.25">
      <c r="A23058" t="s">
        <v>45787</v>
      </c>
      <c r="B23058" t="s">
        <v>14415</v>
      </c>
      <c r="C23058" t="s">
        <v>14414</v>
      </c>
      <c r="D23058" t="s">
        <v>238</v>
      </c>
      <c r="E23058" t="s">
        <v>49</v>
      </c>
      <c r="F23058" t="s">
        <v>3750</v>
      </c>
      <c r="G23058" t="s">
        <v>47094</v>
      </c>
      <c r="H23058" t="s">
        <v>47054</v>
      </c>
      <c r="I23058" t="s">
        <v>47118</v>
      </c>
      <c r="J23058" t="s">
        <v>47119</v>
      </c>
      <c r="K23058" t="s">
        <v>47113</v>
      </c>
      <c r="L23058">
        <v>16.899999999999999</v>
      </c>
      <c r="M23058">
        <v>60</v>
      </c>
      <c r="N23058">
        <v>0</v>
      </c>
      <c r="O23058">
        <v>60</v>
      </c>
      <c r="P23058">
        <v>0</v>
      </c>
    </row>
    <row r="23059" spans="1:16" x14ac:dyDescent="0.25">
      <c r="A23059" t="s">
        <v>45788</v>
      </c>
      <c r="B23059" t="s">
        <v>45789</v>
      </c>
      <c r="C23059" t="s">
        <v>45790</v>
      </c>
      <c r="D23059" t="str">
        <f>"1001"</f>
        <v>1001</v>
      </c>
      <c r="E23059" t="s">
        <v>45791</v>
      </c>
      <c r="F23059" t="s">
        <v>3750</v>
      </c>
      <c r="G23059" t="s">
        <v>47094</v>
      </c>
      <c r="H23059" t="s">
        <v>47054</v>
      </c>
      <c r="I23059" t="s">
        <v>47118</v>
      </c>
      <c r="J23059" t="s">
        <v>47119</v>
      </c>
      <c r="K23059" t="s">
        <v>47113</v>
      </c>
      <c r="L23059">
        <v>19.809999999999999</v>
      </c>
      <c r="M23059">
        <v>63</v>
      </c>
      <c r="N23059">
        <v>169</v>
      </c>
      <c r="O23059">
        <v>63</v>
      </c>
      <c r="P23059">
        <v>169</v>
      </c>
    </row>
    <row r="23060" spans="1:16" x14ac:dyDescent="0.25">
      <c r="A23060" t="s">
        <v>45792</v>
      </c>
      <c r="B23060" t="s">
        <v>45789</v>
      </c>
      <c r="C23060" t="s">
        <v>45790</v>
      </c>
      <c r="D23060" t="str">
        <f>"1501"</f>
        <v>1501</v>
      </c>
      <c r="E23060" t="s">
        <v>45793</v>
      </c>
      <c r="F23060" t="s">
        <v>3750</v>
      </c>
      <c r="G23060" t="s">
        <v>47094</v>
      </c>
      <c r="H23060" t="s">
        <v>47054</v>
      </c>
      <c r="I23060" t="s">
        <v>47118</v>
      </c>
      <c r="J23060" t="s">
        <v>47119</v>
      </c>
      <c r="K23060" t="s">
        <v>47113</v>
      </c>
      <c r="L23060">
        <v>19.809999999999999</v>
      </c>
      <c r="M23060">
        <v>63</v>
      </c>
      <c r="N23060">
        <v>169</v>
      </c>
      <c r="O23060">
        <v>63</v>
      </c>
      <c r="P23060">
        <v>169</v>
      </c>
    </row>
    <row r="23061" spans="1:16" x14ac:dyDescent="0.25">
      <c r="A23061" t="s">
        <v>45794</v>
      </c>
      <c r="B23061" t="s">
        <v>45795</v>
      </c>
      <c r="C23061" t="s">
        <v>45796</v>
      </c>
      <c r="D23061" t="str">
        <f>"1001"</f>
        <v>1001</v>
      </c>
      <c r="E23061" t="s">
        <v>42</v>
      </c>
      <c r="F23061" t="s">
        <v>24617</v>
      </c>
      <c r="G23061" t="s">
        <v>47094</v>
      </c>
      <c r="H23061" t="s">
        <v>47054</v>
      </c>
      <c r="I23061" t="s">
        <v>47118</v>
      </c>
      <c r="J23061" t="s">
        <v>47119</v>
      </c>
      <c r="K23061" t="s">
        <v>47113</v>
      </c>
      <c r="L23061">
        <v>19.510000000000002</v>
      </c>
      <c r="M23061">
        <v>70</v>
      </c>
      <c r="N23061">
        <v>189</v>
      </c>
      <c r="O23061">
        <v>70</v>
      </c>
      <c r="P23061">
        <v>189</v>
      </c>
    </row>
    <row r="23062" spans="1:16" x14ac:dyDescent="0.25">
      <c r="A23062" t="s">
        <v>45797</v>
      </c>
      <c r="B23062" t="s">
        <v>45795</v>
      </c>
      <c r="C23062" t="s">
        <v>45796</v>
      </c>
      <c r="D23062" t="str">
        <f>"2707"</f>
        <v>2707</v>
      </c>
      <c r="E23062" t="s">
        <v>3019</v>
      </c>
      <c r="F23062" t="s">
        <v>24617</v>
      </c>
      <c r="G23062" t="s">
        <v>47094</v>
      </c>
      <c r="H23062" t="s">
        <v>47054</v>
      </c>
      <c r="I23062" t="s">
        <v>47118</v>
      </c>
      <c r="J23062" t="s">
        <v>47119</v>
      </c>
      <c r="K23062" t="s">
        <v>47113</v>
      </c>
      <c r="L23062">
        <v>19.68</v>
      </c>
      <c r="M23062">
        <v>70</v>
      </c>
      <c r="N23062">
        <v>189</v>
      </c>
      <c r="O23062">
        <v>70</v>
      </c>
      <c r="P23062">
        <v>189</v>
      </c>
    </row>
    <row r="23063" spans="1:16" x14ac:dyDescent="0.25">
      <c r="A23063" t="s">
        <v>49795</v>
      </c>
      <c r="B23063" t="s">
        <v>49796</v>
      </c>
      <c r="C23063" t="s">
        <v>49797</v>
      </c>
      <c r="D23063" t="str">
        <f>"1501"</f>
        <v>1501</v>
      </c>
      <c r="E23063" t="s">
        <v>46</v>
      </c>
      <c r="F23063" t="s">
        <v>47185</v>
      </c>
      <c r="G23063" t="s">
        <v>47094</v>
      </c>
      <c r="H23063" t="s">
        <v>47054</v>
      </c>
      <c r="I23063" t="s">
        <v>47118</v>
      </c>
      <c r="J23063" t="s">
        <v>47119</v>
      </c>
      <c r="K23063" t="s">
        <v>47113</v>
      </c>
      <c r="L23063">
        <v>17.440000000000001</v>
      </c>
      <c r="M23063">
        <v>63</v>
      </c>
      <c r="N23063">
        <v>169</v>
      </c>
      <c r="O23063">
        <v>63</v>
      </c>
      <c r="P23063">
        <v>169</v>
      </c>
    </row>
    <row r="23064" spans="1:16" x14ac:dyDescent="0.25">
      <c r="A23064" t="s">
        <v>49798</v>
      </c>
      <c r="B23064" t="s">
        <v>49796</v>
      </c>
      <c r="C23064" t="s">
        <v>49797</v>
      </c>
      <c r="D23064" t="str">
        <f>"4100"</f>
        <v>4100</v>
      </c>
      <c r="E23064" t="s">
        <v>17644</v>
      </c>
      <c r="F23064" t="s">
        <v>47185</v>
      </c>
      <c r="G23064" t="s">
        <v>47094</v>
      </c>
      <c r="H23064" t="s">
        <v>47054</v>
      </c>
      <c r="I23064" t="s">
        <v>47118</v>
      </c>
      <c r="J23064" t="s">
        <v>47119</v>
      </c>
      <c r="K23064" t="s">
        <v>47113</v>
      </c>
      <c r="L23064">
        <v>17.440000000000001</v>
      </c>
      <c r="M23064">
        <v>63</v>
      </c>
      <c r="N23064">
        <v>169</v>
      </c>
      <c r="O23064">
        <v>63</v>
      </c>
      <c r="P23064">
        <v>169</v>
      </c>
    </row>
    <row r="23065" spans="1:16" x14ac:dyDescent="0.25">
      <c r="A23065" t="s">
        <v>49799</v>
      </c>
      <c r="B23065" t="s">
        <v>49800</v>
      </c>
      <c r="C23065" t="s">
        <v>49801</v>
      </c>
      <c r="D23065" t="str">
        <f>"1001"</f>
        <v>1001</v>
      </c>
      <c r="E23065" t="s">
        <v>42</v>
      </c>
      <c r="F23065" t="s">
        <v>47479</v>
      </c>
      <c r="G23065" t="s">
        <v>47094</v>
      </c>
      <c r="H23065" t="s">
        <v>47054</v>
      </c>
      <c r="I23065" t="s">
        <v>47118</v>
      </c>
      <c r="J23065" t="s">
        <v>47119</v>
      </c>
      <c r="K23065" t="s">
        <v>47113</v>
      </c>
      <c r="L23065">
        <v>19.739999999999998</v>
      </c>
      <c r="M23065">
        <v>70</v>
      </c>
      <c r="N23065">
        <v>189</v>
      </c>
      <c r="O23065">
        <v>70</v>
      </c>
      <c r="P23065">
        <v>189</v>
      </c>
    </row>
    <row r="23066" spans="1:16" x14ac:dyDescent="0.25">
      <c r="A23066" t="s">
        <v>49802</v>
      </c>
      <c r="B23066" t="s">
        <v>49800</v>
      </c>
      <c r="C23066" t="s">
        <v>49801</v>
      </c>
      <c r="D23066" t="str">
        <f>"4100"</f>
        <v>4100</v>
      </c>
      <c r="E23066" t="s">
        <v>17644</v>
      </c>
      <c r="F23066" t="s">
        <v>47479</v>
      </c>
      <c r="G23066" t="s">
        <v>47094</v>
      </c>
      <c r="H23066" t="s">
        <v>47054</v>
      </c>
      <c r="I23066" t="s">
        <v>47118</v>
      </c>
      <c r="J23066" t="s">
        <v>47119</v>
      </c>
      <c r="K23066" t="s">
        <v>47113</v>
      </c>
      <c r="L23066">
        <v>19.739999999999998</v>
      </c>
      <c r="M23066">
        <v>70</v>
      </c>
      <c r="N23066">
        <v>189</v>
      </c>
      <c r="O23066">
        <v>70</v>
      </c>
      <c r="P23066">
        <v>189</v>
      </c>
    </row>
    <row r="23067" spans="1:16" x14ac:dyDescent="0.25">
      <c r="A23067" t="s">
        <v>49803</v>
      </c>
      <c r="B23067" t="s">
        <v>49804</v>
      </c>
      <c r="C23067" t="s">
        <v>29907</v>
      </c>
      <c r="D23067" t="str">
        <f>"1001"</f>
        <v>1001</v>
      </c>
      <c r="E23067" t="s">
        <v>42</v>
      </c>
      <c r="F23067" t="s">
        <v>47488</v>
      </c>
      <c r="G23067" t="s">
        <v>47094</v>
      </c>
      <c r="H23067" t="s">
        <v>47054</v>
      </c>
      <c r="I23067" t="s">
        <v>47118</v>
      </c>
      <c r="J23067" t="s">
        <v>47119</v>
      </c>
      <c r="K23067" t="s">
        <v>47113</v>
      </c>
      <c r="L23067">
        <v>20.38</v>
      </c>
      <c r="M23067">
        <v>70</v>
      </c>
      <c r="N23067">
        <v>189</v>
      </c>
      <c r="O23067">
        <v>70</v>
      </c>
      <c r="P23067">
        <v>189</v>
      </c>
    </row>
    <row r="23068" spans="1:16" x14ac:dyDescent="0.25">
      <c r="A23068" t="s">
        <v>49805</v>
      </c>
      <c r="B23068" t="s">
        <v>49804</v>
      </c>
      <c r="C23068" t="s">
        <v>29907</v>
      </c>
      <c r="D23068" t="str">
        <f>"2707"</f>
        <v>2707</v>
      </c>
      <c r="E23068" t="s">
        <v>49806</v>
      </c>
      <c r="F23068" t="s">
        <v>47488</v>
      </c>
      <c r="G23068" t="s">
        <v>47094</v>
      </c>
      <c r="H23068" t="s">
        <v>47054</v>
      </c>
      <c r="I23068" t="s">
        <v>47118</v>
      </c>
      <c r="J23068" t="s">
        <v>47119</v>
      </c>
      <c r="K23068" t="s">
        <v>47113</v>
      </c>
      <c r="L23068">
        <v>20.38</v>
      </c>
      <c r="M23068">
        <v>70</v>
      </c>
      <c r="N23068">
        <v>189</v>
      </c>
      <c r="O23068">
        <v>70</v>
      </c>
      <c r="P23068">
        <v>189</v>
      </c>
    </row>
    <row r="23069" spans="1:16" x14ac:dyDescent="0.25">
      <c r="A23069" t="s">
        <v>49807</v>
      </c>
      <c r="B23069" t="s">
        <v>49804</v>
      </c>
      <c r="C23069" t="s">
        <v>29907</v>
      </c>
      <c r="D23069" t="str">
        <f>"6003"</f>
        <v>6003</v>
      </c>
      <c r="E23069" t="s">
        <v>9711</v>
      </c>
      <c r="F23069" t="s">
        <v>47488</v>
      </c>
      <c r="G23069" t="s">
        <v>47094</v>
      </c>
      <c r="H23069" t="s">
        <v>47054</v>
      </c>
      <c r="I23069" t="s">
        <v>47118</v>
      </c>
      <c r="J23069" t="s">
        <v>47119</v>
      </c>
      <c r="K23069" t="s">
        <v>47113</v>
      </c>
      <c r="L23069">
        <v>20.38</v>
      </c>
      <c r="M23069">
        <v>70</v>
      </c>
      <c r="N23069">
        <v>189</v>
      </c>
      <c r="O23069">
        <v>70</v>
      </c>
      <c r="P23069">
        <v>189</v>
      </c>
    </row>
    <row r="23070" spans="1:16" x14ac:dyDescent="0.25">
      <c r="A23070" t="s">
        <v>45798</v>
      </c>
      <c r="B23070" t="s">
        <v>16193</v>
      </c>
      <c r="C23070" t="s">
        <v>16194</v>
      </c>
      <c r="D23070" t="str">
        <f>"1001"</f>
        <v>1001</v>
      </c>
      <c r="E23070" t="s">
        <v>42</v>
      </c>
      <c r="F23070" t="s">
        <v>3750</v>
      </c>
      <c r="G23070" t="s">
        <v>47095</v>
      </c>
      <c r="H23070" t="s">
        <v>47054</v>
      </c>
      <c r="I23070" t="s">
        <v>47118</v>
      </c>
      <c r="J23070" t="s">
        <v>47119</v>
      </c>
      <c r="K23070" t="s">
        <v>47113</v>
      </c>
      <c r="L23070">
        <v>12.39</v>
      </c>
      <c r="M23070">
        <v>44</v>
      </c>
      <c r="N23070">
        <v>0</v>
      </c>
      <c r="O23070">
        <v>44</v>
      </c>
      <c r="P23070">
        <v>0</v>
      </c>
    </row>
    <row r="23071" spans="1:16" x14ac:dyDescent="0.25">
      <c r="A23071" t="s">
        <v>45799</v>
      </c>
      <c r="B23071" t="s">
        <v>16193</v>
      </c>
      <c r="C23071" t="s">
        <v>16194</v>
      </c>
      <c r="D23071" t="s">
        <v>238</v>
      </c>
      <c r="E23071" t="s">
        <v>49</v>
      </c>
      <c r="F23071" t="s">
        <v>3750</v>
      </c>
      <c r="G23071" t="s">
        <v>47095</v>
      </c>
      <c r="H23071" t="s">
        <v>47054</v>
      </c>
      <c r="I23071" t="s">
        <v>47118</v>
      </c>
      <c r="J23071" t="s">
        <v>47119</v>
      </c>
      <c r="K23071" t="s">
        <v>47113</v>
      </c>
      <c r="L23071">
        <v>12.39</v>
      </c>
      <c r="M23071">
        <v>44</v>
      </c>
      <c r="N23071">
        <v>0</v>
      </c>
      <c r="O23071">
        <v>44</v>
      </c>
      <c r="P23071">
        <v>0</v>
      </c>
    </row>
    <row r="23072" spans="1:16" x14ac:dyDescent="0.25">
      <c r="A23072" t="s">
        <v>45800</v>
      </c>
      <c r="B23072" t="s">
        <v>16195</v>
      </c>
      <c r="C23072" t="s">
        <v>16196</v>
      </c>
      <c r="D23072" t="str">
        <f>"1501"</f>
        <v>1501</v>
      </c>
      <c r="E23072" t="s">
        <v>46</v>
      </c>
      <c r="F23072" t="s">
        <v>3750</v>
      </c>
      <c r="G23072" t="s">
        <v>47094</v>
      </c>
      <c r="H23072" t="s">
        <v>47054</v>
      </c>
      <c r="I23072" t="s">
        <v>47118</v>
      </c>
      <c r="J23072" t="s">
        <v>47119</v>
      </c>
      <c r="K23072" t="s">
        <v>47113</v>
      </c>
      <c r="L23072">
        <v>17.22</v>
      </c>
      <c r="M23072">
        <v>60</v>
      </c>
      <c r="N23072">
        <v>0</v>
      </c>
      <c r="O23072">
        <v>60</v>
      </c>
      <c r="P23072">
        <v>0</v>
      </c>
    </row>
    <row r="23073" spans="1:16" x14ac:dyDescent="0.25">
      <c r="A23073" t="s">
        <v>45801</v>
      </c>
      <c r="B23073" t="s">
        <v>16197</v>
      </c>
      <c r="C23073" t="s">
        <v>16198</v>
      </c>
      <c r="D23073" t="str">
        <f>"1501"</f>
        <v>1501</v>
      </c>
      <c r="E23073" t="s">
        <v>46</v>
      </c>
      <c r="F23073" t="s">
        <v>3750</v>
      </c>
      <c r="G23073" t="s">
        <v>47095</v>
      </c>
      <c r="H23073" t="s">
        <v>47054</v>
      </c>
      <c r="I23073" t="s">
        <v>47118</v>
      </c>
      <c r="J23073" t="s">
        <v>47119</v>
      </c>
      <c r="K23073" t="s">
        <v>47113</v>
      </c>
      <c r="L23073">
        <v>10.55</v>
      </c>
      <c r="M23073">
        <v>44</v>
      </c>
      <c r="N23073">
        <v>0</v>
      </c>
      <c r="O23073">
        <v>44</v>
      </c>
      <c r="P23073">
        <v>0</v>
      </c>
    </row>
    <row r="23074" spans="1:16" x14ac:dyDescent="0.25">
      <c r="A23074" t="s">
        <v>45802</v>
      </c>
      <c r="B23074" t="s">
        <v>45803</v>
      </c>
      <c r="C23074" t="s">
        <v>45804</v>
      </c>
      <c r="D23074" t="str">
        <f>"2707"</f>
        <v>2707</v>
      </c>
      <c r="E23074" t="s">
        <v>3019</v>
      </c>
      <c r="F23074" t="s">
        <v>3750</v>
      </c>
      <c r="G23074" t="s">
        <v>47095</v>
      </c>
      <c r="H23074" t="s">
        <v>47054</v>
      </c>
      <c r="I23074" t="s">
        <v>47118</v>
      </c>
      <c r="J23074" t="s">
        <v>47119</v>
      </c>
      <c r="K23074" t="s">
        <v>47113</v>
      </c>
      <c r="L23074">
        <v>14.61</v>
      </c>
      <c r="M23074">
        <v>48</v>
      </c>
      <c r="N23074">
        <v>129</v>
      </c>
      <c r="O23074">
        <v>48</v>
      </c>
      <c r="P23074">
        <v>129</v>
      </c>
    </row>
    <row r="23075" spans="1:16" x14ac:dyDescent="0.25">
      <c r="A23075" t="s">
        <v>45805</v>
      </c>
      <c r="B23075" t="s">
        <v>45803</v>
      </c>
      <c r="C23075" t="s">
        <v>45804</v>
      </c>
      <c r="D23075" t="str">
        <f>"4100"</f>
        <v>4100</v>
      </c>
      <c r="E23075" t="s">
        <v>2383</v>
      </c>
      <c r="F23075" t="s">
        <v>3750</v>
      </c>
      <c r="G23075" t="s">
        <v>47095</v>
      </c>
      <c r="H23075" t="s">
        <v>47054</v>
      </c>
      <c r="I23075" t="s">
        <v>47118</v>
      </c>
      <c r="J23075" t="s">
        <v>47119</v>
      </c>
      <c r="K23075" t="s">
        <v>47113</v>
      </c>
      <c r="L23075">
        <v>14.61</v>
      </c>
      <c r="M23075">
        <v>48</v>
      </c>
      <c r="N23075">
        <v>129</v>
      </c>
      <c r="O23075">
        <v>48</v>
      </c>
      <c r="P23075">
        <v>129</v>
      </c>
    </row>
    <row r="23076" spans="1:16" x14ac:dyDescent="0.25">
      <c r="A23076" t="s">
        <v>49808</v>
      </c>
      <c r="B23076" t="s">
        <v>49809</v>
      </c>
      <c r="C23076" t="s">
        <v>49810</v>
      </c>
      <c r="D23076" t="str">
        <f>"1501"</f>
        <v>1501</v>
      </c>
      <c r="E23076" t="s">
        <v>46</v>
      </c>
      <c r="F23076" t="s">
        <v>47185</v>
      </c>
      <c r="G23076" t="s">
        <v>47095</v>
      </c>
      <c r="H23076" t="s">
        <v>47054</v>
      </c>
      <c r="I23076" t="s">
        <v>47118</v>
      </c>
      <c r="J23076" t="s">
        <v>47119</v>
      </c>
      <c r="K23076" t="s">
        <v>47113</v>
      </c>
      <c r="L23076">
        <v>13.96</v>
      </c>
      <c r="M23076">
        <v>51</v>
      </c>
      <c r="N23076">
        <v>139</v>
      </c>
      <c r="O23076">
        <v>51</v>
      </c>
      <c r="P23076">
        <v>139</v>
      </c>
    </row>
    <row r="23077" spans="1:16" x14ac:dyDescent="0.25">
      <c r="A23077" t="s">
        <v>49811</v>
      </c>
      <c r="B23077" t="s">
        <v>49809</v>
      </c>
      <c r="C23077" t="s">
        <v>49810</v>
      </c>
      <c r="D23077" t="str">
        <f>"4100"</f>
        <v>4100</v>
      </c>
      <c r="E23077" t="s">
        <v>17644</v>
      </c>
      <c r="F23077" t="s">
        <v>47185</v>
      </c>
      <c r="G23077" t="s">
        <v>47095</v>
      </c>
      <c r="H23077" t="s">
        <v>47054</v>
      </c>
      <c r="I23077" t="s">
        <v>47118</v>
      </c>
      <c r="J23077" t="s">
        <v>47119</v>
      </c>
      <c r="K23077" t="s">
        <v>47113</v>
      </c>
      <c r="L23077">
        <v>13.96</v>
      </c>
      <c r="M23077">
        <v>51</v>
      </c>
      <c r="N23077">
        <v>139</v>
      </c>
      <c r="O23077">
        <v>51</v>
      </c>
      <c r="P23077">
        <v>139</v>
      </c>
    </row>
    <row r="23078" spans="1:16" x14ac:dyDescent="0.25">
      <c r="A23078" t="s">
        <v>45806</v>
      </c>
      <c r="B23078" t="s">
        <v>45807</v>
      </c>
      <c r="C23078" t="s">
        <v>45808</v>
      </c>
      <c r="D23078" t="str">
        <f>"1001"</f>
        <v>1001</v>
      </c>
      <c r="E23078" t="s">
        <v>42</v>
      </c>
      <c r="F23078" t="s">
        <v>3750</v>
      </c>
      <c r="G23078" t="s">
        <v>47095</v>
      </c>
      <c r="H23078" t="s">
        <v>47054</v>
      </c>
      <c r="I23078" t="s">
        <v>47118</v>
      </c>
      <c r="J23078" t="s">
        <v>47119</v>
      </c>
      <c r="K23078" t="s">
        <v>47113</v>
      </c>
      <c r="L23078">
        <v>14.79</v>
      </c>
      <c r="M23078">
        <v>48</v>
      </c>
      <c r="N23078">
        <v>129</v>
      </c>
      <c r="O23078">
        <v>48</v>
      </c>
      <c r="P23078">
        <v>129</v>
      </c>
    </row>
    <row r="23079" spans="1:16" x14ac:dyDescent="0.25">
      <c r="A23079" t="s">
        <v>45809</v>
      </c>
      <c r="B23079" t="s">
        <v>45807</v>
      </c>
      <c r="C23079" t="s">
        <v>45808</v>
      </c>
      <c r="D23079" t="str">
        <f>"1501"</f>
        <v>1501</v>
      </c>
      <c r="E23079" t="s">
        <v>46</v>
      </c>
      <c r="F23079" t="s">
        <v>3750</v>
      </c>
      <c r="G23079" t="s">
        <v>47095</v>
      </c>
      <c r="H23079" t="s">
        <v>47054</v>
      </c>
      <c r="I23079" t="s">
        <v>47118</v>
      </c>
      <c r="J23079" t="s">
        <v>47119</v>
      </c>
      <c r="K23079" t="s">
        <v>47113</v>
      </c>
      <c r="L23079">
        <v>14.79</v>
      </c>
      <c r="M23079">
        <v>48</v>
      </c>
      <c r="N23079">
        <v>129</v>
      </c>
      <c r="O23079">
        <v>48</v>
      </c>
      <c r="P23079">
        <v>129</v>
      </c>
    </row>
    <row r="23080" spans="1:16" x14ac:dyDescent="0.25">
      <c r="A23080" t="s">
        <v>45810</v>
      </c>
      <c r="B23080" t="s">
        <v>45811</v>
      </c>
      <c r="C23080" t="s">
        <v>45812</v>
      </c>
      <c r="D23080" t="str">
        <f>"1001"</f>
        <v>1001</v>
      </c>
      <c r="E23080" t="s">
        <v>42</v>
      </c>
      <c r="F23080" t="s">
        <v>24617</v>
      </c>
      <c r="G23080" t="s">
        <v>47095</v>
      </c>
      <c r="H23080" t="s">
        <v>47054</v>
      </c>
      <c r="I23080" t="s">
        <v>47118</v>
      </c>
      <c r="J23080" t="s">
        <v>47119</v>
      </c>
      <c r="K23080" t="s">
        <v>47113</v>
      </c>
      <c r="L23080">
        <v>15.43</v>
      </c>
      <c r="M23080">
        <v>59</v>
      </c>
      <c r="N23080">
        <v>159</v>
      </c>
      <c r="O23080">
        <v>59</v>
      </c>
      <c r="P23080">
        <v>159</v>
      </c>
    </row>
    <row r="23081" spans="1:16" x14ac:dyDescent="0.25">
      <c r="A23081" t="s">
        <v>45813</v>
      </c>
      <c r="B23081" t="s">
        <v>45811</v>
      </c>
      <c r="C23081" t="s">
        <v>45812</v>
      </c>
      <c r="D23081" t="str">
        <f>"2707"</f>
        <v>2707</v>
      </c>
      <c r="E23081" t="s">
        <v>3019</v>
      </c>
      <c r="F23081" t="s">
        <v>24617</v>
      </c>
      <c r="G23081" t="s">
        <v>47095</v>
      </c>
      <c r="H23081" t="s">
        <v>47054</v>
      </c>
      <c r="I23081" t="s">
        <v>47118</v>
      </c>
      <c r="J23081" t="s">
        <v>47119</v>
      </c>
      <c r="K23081" t="s">
        <v>47113</v>
      </c>
      <c r="L23081">
        <v>15.72</v>
      </c>
      <c r="M23081">
        <v>59</v>
      </c>
      <c r="N23081">
        <v>159</v>
      </c>
      <c r="O23081">
        <v>59</v>
      </c>
      <c r="P23081">
        <v>159</v>
      </c>
    </row>
    <row r="23082" spans="1:16" x14ac:dyDescent="0.25">
      <c r="A23082" t="s">
        <v>45814</v>
      </c>
      <c r="B23082" t="s">
        <v>45815</v>
      </c>
      <c r="C23082" t="s">
        <v>45816</v>
      </c>
      <c r="D23082" t="str">
        <f>"2707"</f>
        <v>2707</v>
      </c>
      <c r="E23082" t="s">
        <v>3019</v>
      </c>
      <c r="F23082" t="s">
        <v>3750</v>
      </c>
      <c r="G23082" t="s">
        <v>47094</v>
      </c>
      <c r="H23082" t="s">
        <v>47054</v>
      </c>
      <c r="I23082" t="s">
        <v>47118</v>
      </c>
      <c r="J23082" t="s">
        <v>47119</v>
      </c>
      <c r="K23082" t="s">
        <v>47113</v>
      </c>
      <c r="L23082">
        <v>18.82</v>
      </c>
      <c r="M23082">
        <v>63</v>
      </c>
      <c r="N23082">
        <v>169</v>
      </c>
      <c r="O23082">
        <v>63</v>
      </c>
      <c r="P23082">
        <v>169</v>
      </c>
    </row>
    <row r="23083" spans="1:16" x14ac:dyDescent="0.25">
      <c r="A23083" t="s">
        <v>45817</v>
      </c>
      <c r="B23083" t="s">
        <v>45815</v>
      </c>
      <c r="C23083" t="s">
        <v>45816</v>
      </c>
      <c r="D23083" t="str">
        <f>"4100"</f>
        <v>4100</v>
      </c>
      <c r="E23083" t="s">
        <v>2383</v>
      </c>
      <c r="F23083" t="s">
        <v>3750</v>
      </c>
      <c r="G23083" t="s">
        <v>47094</v>
      </c>
      <c r="H23083" t="s">
        <v>47054</v>
      </c>
      <c r="I23083" t="s">
        <v>47118</v>
      </c>
      <c r="J23083" t="s">
        <v>47119</v>
      </c>
      <c r="K23083" t="s">
        <v>47113</v>
      </c>
      <c r="L23083">
        <v>18.82</v>
      </c>
      <c r="M23083">
        <v>63</v>
      </c>
      <c r="N23083">
        <v>169</v>
      </c>
      <c r="O23083">
        <v>63</v>
      </c>
      <c r="P23083">
        <v>169</v>
      </c>
    </row>
    <row r="23084" spans="1:16" x14ac:dyDescent="0.25">
      <c r="A23084" t="s">
        <v>45818</v>
      </c>
      <c r="B23084" t="s">
        <v>45819</v>
      </c>
      <c r="C23084" t="s">
        <v>45820</v>
      </c>
      <c r="D23084" t="str">
        <f>"1501"</f>
        <v>1501</v>
      </c>
      <c r="E23084" t="s">
        <v>46</v>
      </c>
      <c r="F23084" t="s">
        <v>24622</v>
      </c>
      <c r="G23084" t="s">
        <v>47094</v>
      </c>
      <c r="H23084" t="s">
        <v>47054</v>
      </c>
      <c r="I23084" t="s">
        <v>47118</v>
      </c>
      <c r="J23084" t="s">
        <v>47119</v>
      </c>
      <c r="K23084" t="s">
        <v>47113</v>
      </c>
      <c r="L23084">
        <v>19.11</v>
      </c>
      <c r="M23084">
        <v>70</v>
      </c>
      <c r="N23084">
        <v>189</v>
      </c>
      <c r="O23084">
        <v>70</v>
      </c>
      <c r="P23084">
        <v>189</v>
      </c>
    </row>
    <row r="23085" spans="1:16" x14ac:dyDescent="0.25">
      <c r="A23085" t="s">
        <v>45821</v>
      </c>
      <c r="B23085" t="s">
        <v>45819</v>
      </c>
      <c r="C23085" t="s">
        <v>45820</v>
      </c>
      <c r="D23085" t="str">
        <f>"6000"</f>
        <v>6000</v>
      </c>
      <c r="E23085" t="s">
        <v>6279</v>
      </c>
      <c r="F23085" t="s">
        <v>24622</v>
      </c>
      <c r="G23085" t="s">
        <v>47094</v>
      </c>
      <c r="H23085" t="s">
        <v>47054</v>
      </c>
      <c r="I23085" t="s">
        <v>47118</v>
      </c>
      <c r="J23085" t="s">
        <v>47119</v>
      </c>
      <c r="K23085" t="s">
        <v>47113</v>
      </c>
      <c r="L23085">
        <v>19.11</v>
      </c>
      <c r="M23085">
        <v>70</v>
      </c>
      <c r="N23085">
        <v>189</v>
      </c>
      <c r="O23085">
        <v>70</v>
      </c>
      <c r="P23085">
        <v>189</v>
      </c>
    </row>
    <row r="23086" spans="1:16" x14ac:dyDescent="0.25">
      <c r="A23086" t="s">
        <v>45822</v>
      </c>
      <c r="B23086" t="s">
        <v>45823</v>
      </c>
      <c r="C23086" t="s">
        <v>45824</v>
      </c>
      <c r="D23086" t="str">
        <f>"1501"</f>
        <v>1501</v>
      </c>
      <c r="E23086" t="s">
        <v>46</v>
      </c>
      <c r="F23086" t="s">
        <v>24622</v>
      </c>
      <c r="G23086" t="s">
        <v>47095</v>
      </c>
      <c r="H23086" t="s">
        <v>47054</v>
      </c>
      <c r="I23086" t="s">
        <v>47118</v>
      </c>
      <c r="J23086" t="s">
        <v>47119</v>
      </c>
      <c r="K23086" t="s">
        <v>47113</v>
      </c>
      <c r="L23086">
        <v>17.05</v>
      </c>
      <c r="M23086">
        <v>70</v>
      </c>
      <c r="N23086">
        <v>189</v>
      </c>
      <c r="O23086">
        <v>70</v>
      </c>
      <c r="P23086">
        <v>189</v>
      </c>
    </row>
    <row r="23087" spans="1:16" x14ac:dyDescent="0.25">
      <c r="A23087" t="s">
        <v>49812</v>
      </c>
      <c r="B23087" t="s">
        <v>49813</v>
      </c>
      <c r="C23087" t="s">
        <v>49814</v>
      </c>
      <c r="D23087" t="str">
        <f>"1001"</f>
        <v>1001</v>
      </c>
      <c r="E23087" t="s">
        <v>42</v>
      </c>
      <c r="F23087" t="s">
        <v>47488</v>
      </c>
      <c r="G23087" t="s">
        <v>47095</v>
      </c>
      <c r="H23087" t="s">
        <v>47054</v>
      </c>
      <c r="I23087" t="s">
        <v>47118</v>
      </c>
      <c r="J23087" t="s">
        <v>47119</v>
      </c>
      <c r="K23087" t="s">
        <v>47113</v>
      </c>
      <c r="L23087">
        <v>17.18</v>
      </c>
      <c r="M23087">
        <v>63</v>
      </c>
      <c r="N23087">
        <v>169</v>
      </c>
      <c r="O23087">
        <v>63</v>
      </c>
      <c r="P23087">
        <v>169</v>
      </c>
    </row>
    <row r="23088" spans="1:16" x14ac:dyDescent="0.25">
      <c r="A23088" t="s">
        <v>49815</v>
      </c>
      <c r="B23088" t="s">
        <v>49813</v>
      </c>
      <c r="C23088" t="s">
        <v>49814</v>
      </c>
      <c r="D23088" t="str">
        <f>"2707"</f>
        <v>2707</v>
      </c>
      <c r="E23088" t="s">
        <v>3019</v>
      </c>
      <c r="F23088" t="s">
        <v>47488</v>
      </c>
      <c r="G23088" t="s">
        <v>47095</v>
      </c>
      <c r="H23088" t="s">
        <v>47054</v>
      </c>
      <c r="I23088" t="s">
        <v>47118</v>
      </c>
      <c r="J23088" t="s">
        <v>47119</v>
      </c>
      <c r="K23088" t="s">
        <v>47113</v>
      </c>
      <c r="L23088">
        <v>17.18</v>
      </c>
      <c r="M23088">
        <v>63</v>
      </c>
      <c r="N23088">
        <v>169</v>
      </c>
      <c r="O23088">
        <v>63</v>
      </c>
      <c r="P23088">
        <v>169</v>
      </c>
    </row>
    <row r="23089" spans="1:16" x14ac:dyDescent="0.25">
      <c r="A23089" t="s">
        <v>45825</v>
      </c>
      <c r="B23089" t="s">
        <v>13754</v>
      </c>
      <c r="C23089" t="s">
        <v>13755</v>
      </c>
      <c r="D23089" t="str">
        <f>"2162"</f>
        <v>2162</v>
      </c>
      <c r="E23089" t="s">
        <v>13756</v>
      </c>
      <c r="F23089" t="s">
        <v>5</v>
      </c>
      <c r="G23089" t="s">
        <v>47099</v>
      </c>
      <c r="H23089" t="s">
        <v>47054</v>
      </c>
      <c r="I23089" t="s">
        <v>47120</v>
      </c>
      <c r="J23089" t="s">
        <v>47121</v>
      </c>
      <c r="K23089" t="s">
        <v>47113</v>
      </c>
      <c r="L23089">
        <v>23.91</v>
      </c>
      <c r="M23089">
        <v>57</v>
      </c>
      <c r="N23089">
        <v>0</v>
      </c>
      <c r="O23089">
        <v>57</v>
      </c>
      <c r="P23089">
        <v>0</v>
      </c>
    </row>
    <row r="23090" spans="1:16" x14ac:dyDescent="0.25">
      <c r="A23090" t="s">
        <v>45826</v>
      </c>
      <c r="B23090" t="s">
        <v>13754</v>
      </c>
      <c r="C23090" t="s">
        <v>13755</v>
      </c>
      <c r="D23090" t="str">
        <f>"3446"</f>
        <v>3446</v>
      </c>
      <c r="E23090" t="s">
        <v>13757</v>
      </c>
      <c r="F23090" t="s">
        <v>5</v>
      </c>
      <c r="G23090" t="s">
        <v>47099</v>
      </c>
      <c r="H23090" t="s">
        <v>47054</v>
      </c>
      <c r="I23090" t="s">
        <v>47120</v>
      </c>
      <c r="J23090" t="s">
        <v>47121</v>
      </c>
      <c r="K23090" t="s">
        <v>47113</v>
      </c>
      <c r="L23090">
        <v>23.91</v>
      </c>
      <c r="M23090">
        <v>57</v>
      </c>
      <c r="N23090">
        <v>0</v>
      </c>
      <c r="O23090">
        <v>57</v>
      </c>
      <c r="P23090">
        <v>0</v>
      </c>
    </row>
    <row r="23091" spans="1:16" x14ac:dyDescent="0.25">
      <c r="A23091" t="s">
        <v>45827</v>
      </c>
      <c r="B23091" t="s">
        <v>13754</v>
      </c>
      <c r="C23091" t="s">
        <v>13755</v>
      </c>
      <c r="D23091" t="str">
        <f>"4821"</f>
        <v>4821</v>
      </c>
      <c r="E23091" t="s">
        <v>13758</v>
      </c>
      <c r="F23091" t="s">
        <v>5</v>
      </c>
      <c r="G23091" t="s">
        <v>47099</v>
      </c>
      <c r="H23091" t="s">
        <v>47054</v>
      </c>
      <c r="I23091" t="s">
        <v>47120</v>
      </c>
      <c r="J23091" t="s">
        <v>47121</v>
      </c>
      <c r="K23091" t="s">
        <v>47113</v>
      </c>
      <c r="L23091">
        <v>23.91</v>
      </c>
      <c r="M23091">
        <v>57</v>
      </c>
      <c r="N23091">
        <v>0</v>
      </c>
      <c r="O23091">
        <v>57</v>
      </c>
      <c r="P23091">
        <v>0</v>
      </c>
    </row>
    <row r="23092" spans="1:16" x14ac:dyDescent="0.25">
      <c r="A23092" t="s">
        <v>45828</v>
      </c>
      <c r="B23092" t="s">
        <v>13754</v>
      </c>
      <c r="C23092" t="s">
        <v>13755</v>
      </c>
      <c r="D23092" t="str">
        <f>"6354"</f>
        <v>6354</v>
      </c>
      <c r="E23092" t="s">
        <v>13759</v>
      </c>
      <c r="F23092" t="s">
        <v>5</v>
      </c>
      <c r="G23092" t="s">
        <v>47099</v>
      </c>
      <c r="H23092" t="s">
        <v>47054</v>
      </c>
      <c r="I23092" t="s">
        <v>47120</v>
      </c>
      <c r="J23092" t="s">
        <v>47121</v>
      </c>
      <c r="K23092" t="s">
        <v>47113</v>
      </c>
      <c r="L23092">
        <v>23.91</v>
      </c>
      <c r="M23092">
        <v>57</v>
      </c>
      <c r="N23092">
        <v>0</v>
      </c>
      <c r="O23092">
        <v>57</v>
      </c>
      <c r="P23092">
        <v>0</v>
      </c>
    </row>
    <row r="23093" spans="1:16" x14ac:dyDescent="0.25">
      <c r="A23093" t="s">
        <v>45829</v>
      </c>
      <c r="B23093" t="s">
        <v>13760</v>
      </c>
      <c r="C23093" t="s">
        <v>13761</v>
      </c>
      <c r="D23093" t="str">
        <f>"2162"</f>
        <v>2162</v>
      </c>
      <c r="E23093" t="s">
        <v>13756</v>
      </c>
      <c r="F23093" t="s">
        <v>5</v>
      </c>
      <c r="G23093" t="s">
        <v>47099</v>
      </c>
      <c r="H23093" t="s">
        <v>47054</v>
      </c>
      <c r="I23093" t="s">
        <v>47120</v>
      </c>
      <c r="J23093" t="s">
        <v>47121</v>
      </c>
      <c r="K23093" t="s">
        <v>47113</v>
      </c>
      <c r="L23093">
        <v>25.94</v>
      </c>
      <c r="M23093">
        <v>57</v>
      </c>
      <c r="N23093">
        <v>0</v>
      </c>
      <c r="O23093">
        <v>57</v>
      </c>
      <c r="P23093">
        <v>0</v>
      </c>
    </row>
    <row r="23094" spans="1:16" x14ac:dyDescent="0.25">
      <c r="A23094" t="s">
        <v>45830</v>
      </c>
      <c r="B23094" t="s">
        <v>13760</v>
      </c>
      <c r="C23094" t="s">
        <v>13761</v>
      </c>
      <c r="D23094" t="str">
        <f>"3446"</f>
        <v>3446</v>
      </c>
      <c r="E23094" t="s">
        <v>13757</v>
      </c>
      <c r="F23094" t="s">
        <v>5</v>
      </c>
      <c r="G23094" t="s">
        <v>47099</v>
      </c>
      <c r="H23094" t="s">
        <v>47054</v>
      </c>
      <c r="I23094" t="s">
        <v>47120</v>
      </c>
      <c r="J23094" t="s">
        <v>47121</v>
      </c>
      <c r="K23094" t="s">
        <v>47113</v>
      </c>
      <c r="L23094">
        <v>25.94</v>
      </c>
      <c r="M23094">
        <v>57</v>
      </c>
      <c r="N23094">
        <v>0</v>
      </c>
      <c r="O23094">
        <v>57</v>
      </c>
      <c r="P23094">
        <v>0</v>
      </c>
    </row>
    <row r="23095" spans="1:16" x14ac:dyDescent="0.25">
      <c r="A23095" t="s">
        <v>45831</v>
      </c>
      <c r="B23095" t="s">
        <v>13760</v>
      </c>
      <c r="C23095" t="s">
        <v>13761</v>
      </c>
      <c r="D23095" t="str">
        <f>"4821"</f>
        <v>4821</v>
      </c>
      <c r="E23095" t="s">
        <v>13758</v>
      </c>
      <c r="F23095" t="s">
        <v>5</v>
      </c>
      <c r="G23095" t="s">
        <v>47099</v>
      </c>
      <c r="H23095" t="s">
        <v>47054</v>
      </c>
      <c r="I23095" t="s">
        <v>47120</v>
      </c>
      <c r="J23095" t="s">
        <v>47121</v>
      </c>
      <c r="K23095" t="s">
        <v>47113</v>
      </c>
      <c r="L23095">
        <v>25.94</v>
      </c>
      <c r="M23095">
        <v>57</v>
      </c>
      <c r="N23095">
        <v>0</v>
      </c>
      <c r="O23095">
        <v>57</v>
      </c>
      <c r="P23095">
        <v>0</v>
      </c>
    </row>
    <row r="23096" spans="1:16" x14ac:dyDescent="0.25">
      <c r="A23096" t="s">
        <v>45832</v>
      </c>
      <c r="B23096" t="s">
        <v>13760</v>
      </c>
      <c r="C23096" t="s">
        <v>13761</v>
      </c>
      <c r="D23096" t="str">
        <f>"6354"</f>
        <v>6354</v>
      </c>
      <c r="E23096" t="s">
        <v>13759</v>
      </c>
      <c r="F23096" t="s">
        <v>5</v>
      </c>
      <c r="G23096" t="s">
        <v>47099</v>
      </c>
      <c r="H23096" t="s">
        <v>47054</v>
      </c>
      <c r="I23096" t="s">
        <v>47120</v>
      </c>
      <c r="J23096" t="s">
        <v>47121</v>
      </c>
      <c r="K23096" t="s">
        <v>47113</v>
      </c>
      <c r="L23096">
        <v>25.94</v>
      </c>
      <c r="M23096">
        <v>57</v>
      </c>
      <c r="N23096">
        <v>0</v>
      </c>
      <c r="O23096">
        <v>57</v>
      </c>
      <c r="P23096">
        <v>0</v>
      </c>
    </row>
    <row r="23097" spans="1:16" x14ac:dyDescent="0.25">
      <c r="A23097" t="s">
        <v>45833</v>
      </c>
      <c r="B23097" t="s">
        <v>13762</v>
      </c>
      <c r="C23097" t="s">
        <v>13763</v>
      </c>
      <c r="D23097" t="str">
        <f>"2162"</f>
        <v>2162</v>
      </c>
      <c r="E23097" t="s">
        <v>13756</v>
      </c>
      <c r="F23097" t="s">
        <v>5</v>
      </c>
      <c r="G23097" t="s">
        <v>47099</v>
      </c>
      <c r="H23097" t="s">
        <v>47054</v>
      </c>
      <c r="I23097" t="s">
        <v>47120</v>
      </c>
      <c r="J23097" t="s">
        <v>47121</v>
      </c>
      <c r="K23097" t="s">
        <v>47113</v>
      </c>
      <c r="L23097">
        <v>23.63</v>
      </c>
      <c r="M23097">
        <v>57</v>
      </c>
      <c r="N23097">
        <v>0</v>
      </c>
      <c r="O23097">
        <v>57</v>
      </c>
      <c r="P23097">
        <v>0</v>
      </c>
    </row>
    <row r="23098" spans="1:16" x14ac:dyDescent="0.25">
      <c r="A23098" t="s">
        <v>45834</v>
      </c>
      <c r="B23098" t="s">
        <v>13762</v>
      </c>
      <c r="C23098" t="s">
        <v>13763</v>
      </c>
      <c r="D23098" t="str">
        <f>"3446"</f>
        <v>3446</v>
      </c>
      <c r="E23098" t="s">
        <v>13757</v>
      </c>
      <c r="F23098" t="s">
        <v>5</v>
      </c>
      <c r="G23098" t="s">
        <v>47099</v>
      </c>
      <c r="H23098" t="s">
        <v>47054</v>
      </c>
      <c r="I23098" t="s">
        <v>47120</v>
      </c>
      <c r="J23098" t="s">
        <v>47121</v>
      </c>
      <c r="K23098" t="s">
        <v>47113</v>
      </c>
      <c r="L23098">
        <v>23.63</v>
      </c>
      <c r="M23098">
        <v>57</v>
      </c>
      <c r="N23098">
        <v>0</v>
      </c>
      <c r="O23098">
        <v>57</v>
      </c>
      <c r="P23098">
        <v>0</v>
      </c>
    </row>
    <row r="23099" spans="1:16" x14ac:dyDescent="0.25">
      <c r="A23099" t="s">
        <v>45835</v>
      </c>
      <c r="B23099" t="s">
        <v>13762</v>
      </c>
      <c r="C23099" t="s">
        <v>13763</v>
      </c>
      <c r="D23099" t="str">
        <f>"4821"</f>
        <v>4821</v>
      </c>
      <c r="E23099" t="s">
        <v>13758</v>
      </c>
      <c r="F23099" t="s">
        <v>5</v>
      </c>
      <c r="G23099" t="s">
        <v>47099</v>
      </c>
      <c r="H23099" t="s">
        <v>47054</v>
      </c>
      <c r="I23099" t="s">
        <v>47120</v>
      </c>
      <c r="J23099" t="s">
        <v>47121</v>
      </c>
      <c r="K23099" t="s">
        <v>47113</v>
      </c>
      <c r="L23099">
        <v>23.63</v>
      </c>
      <c r="M23099">
        <v>57</v>
      </c>
      <c r="N23099">
        <v>0</v>
      </c>
      <c r="O23099">
        <v>57</v>
      </c>
      <c r="P23099">
        <v>0</v>
      </c>
    </row>
    <row r="23100" spans="1:16" x14ac:dyDescent="0.25">
      <c r="A23100" t="s">
        <v>45836</v>
      </c>
      <c r="B23100" t="s">
        <v>13762</v>
      </c>
      <c r="C23100" t="s">
        <v>13763</v>
      </c>
      <c r="D23100" t="str">
        <f>"6354"</f>
        <v>6354</v>
      </c>
      <c r="E23100" t="s">
        <v>13759</v>
      </c>
      <c r="F23100" t="s">
        <v>5</v>
      </c>
      <c r="G23100" t="s">
        <v>47099</v>
      </c>
      <c r="H23100" t="s">
        <v>47054</v>
      </c>
      <c r="I23100" t="s">
        <v>47120</v>
      </c>
      <c r="J23100" t="s">
        <v>47121</v>
      </c>
      <c r="K23100" t="s">
        <v>47113</v>
      </c>
      <c r="L23100">
        <v>23.63</v>
      </c>
      <c r="M23100">
        <v>57</v>
      </c>
      <c r="N23100">
        <v>0</v>
      </c>
      <c r="O23100">
        <v>57</v>
      </c>
      <c r="P23100">
        <v>0</v>
      </c>
    </row>
    <row r="23101" spans="1:16" x14ac:dyDescent="0.25">
      <c r="A23101" t="s">
        <v>45837</v>
      </c>
      <c r="B23101" t="s">
        <v>13764</v>
      </c>
      <c r="C23101" t="s">
        <v>13765</v>
      </c>
      <c r="D23101" t="str">
        <f>"3445"</f>
        <v>3445</v>
      </c>
      <c r="E23101" t="s">
        <v>13766</v>
      </c>
      <c r="F23101" t="s">
        <v>5</v>
      </c>
      <c r="G23101" t="s">
        <v>47093</v>
      </c>
      <c r="H23101" t="s">
        <v>47054</v>
      </c>
      <c r="I23101" t="s">
        <v>47111</v>
      </c>
      <c r="J23101" t="s">
        <v>47112</v>
      </c>
      <c r="K23101" t="s">
        <v>47113</v>
      </c>
      <c r="L23101">
        <v>44.49</v>
      </c>
      <c r="M23101">
        <v>103</v>
      </c>
      <c r="N23101">
        <v>0</v>
      </c>
      <c r="O23101">
        <v>103</v>
      </c>
      <c r="P23101">
        <v>0</v>
      </c>
    </row>
    <row r="23102" spans="1:16" x14ac:dyDescent="0.25">
      <c r="A23102" t="s">
        <v>45838</v>
      </c>
      <c r="B23102" t="s">
        <v>19404</v>
      </c>
      <c r="C23102" t="s">
        <v>19405</v>
      </c>
      <c r="D23102" t="str">
        <f>"1001"</f>
        <v>1001</v>
      </c>
      <c r="E23102" t="s">
        <v>42</v>
      </c>
      <c r="F23102" t="s">
        <v>3750</v>
      </c>
      <c r="G23102" t="s">
        <v>47092</v>
      </c>
      <c r="H23102" t="s">
        <v>47054</v>
      </c>
      <c r="I23102" t="s">
        <v>47124</v>
      </c>
      <c r="J23102" t="s">
        <v>47125</v>
      </c>
      <c r="K23102" t="s">
        <v>47113</v>
      </c>
      <c r="L23102">
        <v>12.57</v>
      </c>
      <c r="M23102">
        <v>37</v>
      </c>
      <c r="N23102">
        <v>0</v>
      </c>
      <c r="O23102">
        <v>37</v>
      </c>
      <c r="P23102">
        <v>0</v>
      </c>
    </row>
    <row r="23103" spans="1:16" x14ac:dyDescent="0.25">
      <c r="A23103" t="s">
        <v>45839</v>
      </c>
      <c r="B23103" t="s">
        <v>19404</v>
      </c>
      <c r="C23103" t="s">
        <v>19405</v>
      </c>
      <c r="D23103" t="str">
        <f>"1700"</f>
        <v>1700</v>
      </c>
      <c r="E23103" t="s">
        <v>60</v>
      </c>
      <c r="F23103" t="s">
        <v>3750</v>
      </c>
      <c r="G23103" t="s">
        <v>47092</v>
      </c>
      <c r="H23103" t="s">
        <v>47054</v>
      </c>
      <c r="I23103" t="s">
        <v>47124</v>
      </c>
      <c r="J23103" t="s">
        <v>47125</v>
      </c>
      <c r="K23103" t="s">
        <v>47113</v>
      </c>
      <c r="L23103">
        <v>12.57</v>
      </c>
      <c r="M23103">
        <v>37</v>
      </c>
      <c r="N23103">
        <v>0</v>
      </c>
      <c r="O23103">
        <v>37</v>
      </c>
      <c r="P23103">
        <v>0</v>
      </c>
    </row>
    <row r="23104" spans="1:16" x14ac:dyDescent="0.25">
      <c r="A23104" t="s">
        <v>45840</v>
      </c>
      <c r="B23104" t="s">
        <v>13767</v>
      </c>
      <c r="C23104" t="s">
        <v>13768</v>
      </c>
      <c r="D23104" t="str">
        <f>"4106"</f>
        <v>4106</v>
      </c>
      <c r="E23104" t="s">
        <v>13769</v>
      </c>
      <c r="F23104" t="s">
        <v>3558</v>
      </c>
      <c r="G23104" t="s">
        <v>47101</v>
      </c>
      <c r="H23104" t="s">
        <v>47054</v>
      </c>
      <c r="I23104" t="s">
        <v>47120</v>
      </c>
      <c r="J23104" t="s">
        <v>47121</v>
      </c>
      <c r="K23104" t="s">
        <v>47113</v>
      </c>
      <c r="L23104">
        <v>30.83</v>
      </c>
      <c r="M23104">
        <v>63</v>
      </c>
      <c r="N23104">
        <v>0</v>
      </c>
      <c r="O23104">
        <v>63</v>
      </c>
      <c r="P23104">
        <v>0</v>
      </c>
    </row>
    <row r="23105" spans="1:16" x14ac:dyDescent="0.25">
      <c r="A23105" t="s">
        <v>45841</v>
      </c>
      <c r="B23105" t="s">
        <v>22446</v>
      </c>
      <c r="C23105" t="s">
        <v>22447</v>
      </c>
      <c r="D23105" t="str">
        <f>"4000"</f>
        <v>4000</v>
      </c>
      <c r="E23105" t="s">
        <v>22448</v>
      </c>
      <c r="F23105" t="s">
        <v>3750</v>
      </c>
      <c r="G23105" t="s">
        <v>47101</v>
      </c>
      <c r="H23105" t="s">
        <v>47054</v>
      </c>
      <c r="I23105" t="s">
        <v>47118</v>
      </c>
      <c r="J23105" t="s">
        <v>47119</v>
      </c>
      <c r="K23105" t="s">
        <v>47113</v>
      </c>
      <c r="L23105">
        <v>17.34</v>
      </c>
      <c r="M23105">
        <v>59</v>
      </c>
      <c r="N23105">
        <v>0</v>
      </c>
      <c r="O23105">
        <v>59</v>
      </c>
      <c r="P23105">
        <v>0</v>
      </c>
    </row>
    <row r="23106" spans="1:16" x14ac:dyDescent="0.25">
      <c r="A23106" t="s">
        <v>45842</v>
      </c>
      <c r="B23106" t="s">
        <v>22449</v>
      </c>
      <c r="C23106" t="s">
        <v>22450</v>
      </c>
      <c r="D23106" t="str">
        <f>"4143"</f>
        <v>4143</v>
      </c>
      <c r="E23106" t="s">
        <v>22451</v>
      </c>
      <c r="F23106" t="s">
        <v>3750</v>
      </c>
      <c r="G23106" t="s">
        <v>47101</v>
      </c>
      <c r="H23106" t="s">
        <v>47054</v>
      </c>
      <c r="I23106" t="s">
        <v>47118</v>
      </c>
      <c r="J23106" t="s">
        <v>47119</v>
      </c>
      <c r="K23106" t="s">
        <v>47113</v>
      </c>
      <c r="L23106">
        <v>13.63</v>
      </c>
      <c r="M23106">
        <v>47</v>
      </c>
      <c r="N23106">
        <v>0</v>
      </c>
      <c r="O23106">
        <v>47</v>
      </c>
      <c r="P23106">
        <v>0</v>
      </c>
    </row>
    <row r="23107" spans="1:16" x14ac:dyDescent="0.25">
      <c r="A23107" t="s">
        <v>45843</v>
      </c>
      <c r="B23107" t="s">
        <v>22452</v>
      </c>
      <c r="C23107" t="s">
        <v>22453</v>
      </c>
      <c r="D23107" t="str">
        <f>"4143"</f>
        <v>4143</v>
      </c>
      <c r="E23107" t="s">
        <v>22451</v>
      </c>
      <c r="F23107" t="s">
        <v>3750</v>
      </c>
      <c r="G23107" t="s">
        <v>47101</v>
      </c>
      <c r="H23107" t="s">
        <v>47054</v>
      </c>
      <c r="I23107" t="s">
        <v>47118</v>
      </c>
      <c r="J23107" t="s">
        <v>47119</v>
      </c>
      <c r="K23107" t="s">
        <v>47113</v>
      </c>
      <c r="L23107">
        <v>13.11</v>
      </c>
      <c r="M23107">
        <v>47</v>
      </c>
      <c r="N23107">
        <v>0</v>
      </c>
      <c r="O23107">
        <v>47</v>
      </c>
      <c r="P23107">
        <v>0</v>
      </c>
    </row>
    <row r="23108" spans="1:16" x14ac:dyDescent="0.25">
      <c r="A23108" t="s">
        <v>45844</v>
      </c>
      <c r="B23108" t="s">
        <v>22454</v>
      </c>
      <c r="C23108" t="s">
        <v>22455</v>
      </c>
      <c r="D23108" t="str">
        <f>"4922"</f>
        <v>4922</v>
      </c>
      <c r="E23108" t="s">
        <v>22456</v>
      </c>
      <c r="F23108" t="s">
        <v>3750</v>
      </c>
      <c r="G23108" t="s">
        <v>47103</v>
      </c>
      <c r="H23108" t="s">
        <v>47054</v>
      </c>
      <c r="I23108" t="s">
        <v>47118</v>
      </c>
      <c r="J23108" t="s">
        <v>47119</v>
      </c>
      <c r="K23108" t="s">
        <v>47113</v>
      </c>
      <c r="L23108">
        <v>12.99</v>
      </c>
      <c r="M23108">
        <v>61</v>
      </c>
      <c r="N23108">
        <v>0</v>
      </c>
      <c r="O23108">
        <v>61</v>
      </c>
      <c r="P23108">
        <v>0</v>
      </c>
    </row>
    <row r="23109" spans="1:16" x14ac:dyDescent="0.25">
      <c r="A23109" t="s">
        <v>45845</v>
      </c>
      <c r="B23109" t="s">
        <v>22457</v>
      </c>
      <c r="C23109" t="s">
        <v>22458</v>
      </c>
      <c r="D23109" t="str">
        <f>"4000"</f>
        <v>4000</v>
      </c>
      <c r="E23109" t="s">
        <v>22448</v>
      </c>
      <c r="F23109" t="s">
        <v>3750</v>
      </c>
      <c r="G23109" t="s">
        <v>49029</v>
      </c>
      <c r="H23109" t="s">
        <v>47054</v>
      </c>
      <c r="I23109" t="s">
        <v>47118</v>
      </c>
      <c r="J23109" t="s">
        <v>47119</v>
      </c>
      <c r="K23109" t="s">
        <v>47113</v>
      </c>
      <c r="L23109">
        <v>10.88</v>
      </c>
      <c r="M23109">
        <v>41</v>
      </c>
      <c r="N23109">
        <v>0</v>
      </c>
      <c r="O23109">
        <v>41</v>
      </c>
      <c r="P23109">
        <v>0</v>
      </c>
    </row>
    <row r="23110" spans="1:16" x14ac:dyDescent="0.25">
      <c r="A23110" t="s">
        <v>45846</v>
      </c>
      <c r="B23110" t="s">
        <v>22459</v>
      </c>
      <c r="C23110" t="s">
        <v>22460</v>
      </c>
      <c r="D23110" t="str">
        <f>"4922"</f>
        <v>4922</v>
      </c>
      <c r="E23110" t="s">
        <v>22456</v>
      </c>
      <c r="F23110" t="s">
        <v>3750</v>
      </c>
      <c r="G23110" t="s">
        <v>49029</v>
      </c>
      <c r="H23110" t="s">
        <v>47054</v>
      </c>
      <c r="I23110" t="s">
        <v>47118</v>
      </c>
      <c r="J23110" t="s">
        <v>47119</v>
      </c>
      <c r="K23110" t="s">
        <v>47113</v>
      </c>
      <c r="L23110">
        <v>11.69</v>
      </c>
      <c r="M23110">
        <v>41</v>
      </c>
      <c r="N23110">
        <v>0</v>
      </c>
      <c r="O23110">
        <v>41</v>
      </c>
      <c r="P23110">
        <v>0</v>
      </c>
    </row>
    <row r="23111" spans="1:16" x14ac:dyDescent="0.25">
      <c r="A23111" t="s">
        <v>45847</v>
      </c>
      <c r="B23111" t="s">
        <v>22461</v>
      </c>
      <c r="C23111" t="s">
        <v>22462</v>
      </c>
      <c r="D23111" t="str">
        <f>"4000"</f>
        <v>4000</v>
      </c>
      <c r="E23111" t="s">
        <v>22448</v>
      </c>
      <c r="F23111" t="s">
        <v>3750</v>
      </c>
      <c r="G23111" t="s">
        <v>47103</v>
      </c>
      <c r="H23111" t="s">
        <v>47054</v>
      </c>
      <c r="I23111" t="s">
        <v>47118</v>
      </c>
      <c r="J23111" t="s">
        <v>47119</v>
      </c>
      <c r="K23111" t="s">
        <v>47113</v>
      </c>
      <c r="L23111">
        <v>16.79</v>
      </c>
      <c r="M23111">
        <v>59</v>
      </c>
      <c r="N23111">
        <v>0</v>
      </c>
      <c r="O23111">
        <v>59</v>
      </c>
      <c r="P23111">
        <v>0</v>
      </c>
    </row>
    <row r="23112" spans="1:16" x14ac:dyDescent="0.25">
      <c r="A23112" t="s">
        <v>45848</v>
      </c>
      <c r="B23112" t="s">
        <v>13770</v>
      </c>
      <c r="C23112" t="s">
        <v>13771</v>
      </c>
      <c r="D23112" t="str">
        <f>"4195"</f>
        <v>4195</v>
      </c>
      <c r="E23112" t="s">
        <v>13772</v>
      </c>
      <c r="F23112" t="s">
        <v>3558</v>
      </c>
      <c r="G23112" t="s">
        <v>49029</v>
      </c>
      <c r="H23112" t="s">
        <v>47054</v>
      </c>
      <c r="I23112" t="s">
        <v>47120</v>
      </c>
      <c r="J23112" t="s">
        <v>47121</v>
      </c>
      <c r="K23112" t="s">
        <v>47113</v>
      </c>
      <c r="L23112">
        <v>18.260000000000002</v>
      </c>
      <c r="M23112">
        <v>44</v>
      </c>
      <c r="N23112">
        <v>0</v>
      </c>
      <c r="O23112">
        <v>44</v>
      </c>
      <c r="P23112">
        <v>0</v>
      </c>
    </row>
    <row r="23113" spans="1:16" x14ac:dyDescent="0.25">
      <c r="A23113" t="s">
        <v>45849</v>
      </c>
      <c r="B23113" t="s">
        <v>14386</v>
      </c>
      <c r="C23113" t="s">
        <v>14387</v>
      </c>
      <c r="D23113" t="str">
        <f>"4015"</f>
        <v>4015</v>
      </c>
      <c r="E23113" t="s">
        <v>5509</v>
      </c>
      <c r="F23113" t="s">
        <v>3558</v>
      </c>
      <c r="G23113" t="s">
        <v>47092</v>
      </c>
      <c r="H23113" t="s">
        <v>47054</v>
      </c>
      <c r="I23113" t="s">
        <v>47120</v>
      </c>
      <c r="J23113" t="s">
        <v>47121</v>
      </c>
      <c r="K23113" t="s">
        <v>47113</v>
      </c>
      <c r="L23113">
        <v>16.690000000000001</v>
      </c>
      <c r="M23113">
        <v>40</v>
      </c>
      <c r="N23113">
        <v>0</v>
      </c>
      <c r="O23113">
        <v>40</v>
      </c>
      <c r="P23113">
        <v>0</v>
      </c>
    </row>
    <row r="23114" spans="1:16" x14ac:dyDescent="0.25">
      <c r="A23114" t="s">
        <v>45850</v>
      </c>
      <c r="B23114" t="s">
        <v>13773</v>
      </c>
      <c r="C23114" t="s">
        <v>13774</v>
      </c>
      <c r="D23114" t="str">
        <f>"4187"</f>
        <v>4187</v>
      </c>
      <c r="E23114" t="s">
        <v>13775</v>
      </c>
      <c r="F23114" t="s">
        <v>3558</v>
      </c>
      <c r="G23114" t="s">
        <v>47103</v>
      </c>
      <c r="H23114" t="s">
        <v>47054</v>
      </c>
      <c r="I23114" t="s">
        <v>47120</v>
      </c>
      <c r="J23114" t="s">
        <v>47121</v>
      </c>
      <c r="K23114" t="s">
        <v>47113</v>
      </c>
      <c r="L23114">
        <v>29.23</v>
      </c>
      <c r="M23114">
        <v>55</v>
      </c>
      <c r="N23114">
        <v>0</v>
      </c>
      <c r="O23114">
        <v>55</v>
      </c>
      <c r="P23114">
        <v>0</v>
      </c>
    </row>
    <row r="23115" spans="1:16" x14ac:dyDescent="0.25">
      <c r="A23115" t="s">
        <v>45851</v>
      </c>
      <c r="B23115" t="s">
        <v>13776</v>
      </c>
      <c r="C23115" t="s">
        <v>19406</v>
      </c>
      <c r="D23115" t="str">
        <f>"4015"</f>
        <v>4015</v>
      </c>
      <c r="E23115" t="s">
        <v>5509</v>
      </c>
      <c r="F23115" t="s">
        <v>3558</v>
      </c>
      <c r="G23115" t="s">
        <v>47101</v>
      </c>
      <c r="H23115" t="s">
        <v>47054</v>
      </c>
      <c r="I23115" t="s">
        <v>47120</v>
      </c>
      <c r="J23115" t="s">
        <v>47121</v>
      </c>
      <c r="K23115" t="s">
        <v>47113</v>
      </c>
      <c r="L23115">
        <v>22.09</v>
      </c>
      <c r="M23115">
        <v>48</v>
      </c>
      <c r="N23115">
        <v>0</v>
      </c>
      <c r="O23115">
        <v>48</v>
      </c>
      <c r="P23115">
        <v>0</v>
      </c>
    </row>
    <row r="23116" spans="1:16" x14ac:dyDescent="0.25">
      <c r="A23116" t="s">
        <v>45852</v>
      </c>
      <c r="B23116" t="s">
        <v>13777</v>
      </c>
      <c r="C23116" t="s">
        <v>13778</v>
      </c>
      <c r="D23116" t="str">
        <f>"4015"</f>
        <v>4015</v>
      </c>
      <c r="E23116" t="s">
        <v>5509</v>
      </c>
      <c r="F23116" t="s">
        <v>3558</v>
      </c>
      <c r="G23116" t="s">
        <v>49029</v>
      </c>
      <c r="H23116" t="s">
        <v>47054</v>
      </c>
      <c r="I23116" t="s">
        <v>47120</v>
      </c>
      <c r="J23116" t="s">
        <v>47121</v>
      </c>
      <c r="K23116" t="s">
        <v>47113</v>
      </c>
      <c r="L23116">
        <v>30.34</v>
      </c>
      <c r="M23116">
        <v>63</v>
      </c>
      <c r="N23116">
        <v>0</v>
      </c>
      <c r="O23116">
        <v>63</v>
      </c>
      <c r="P23116">
        <v>0</v>
      </c>
    </row>
    <row r="23117" spans="1:16" x14ac:dyDescent="0.25">
      <c r="A23117" t="s">
        <v>45853</v>
      </c>
      <c r="B23117" t="s">
        <v>13779</v>
      </c>
      <c r="C23117" t="s">
        <v>13780</v>
      </c>
      <c r="D23117" t="str">
        <f>"4106"</f>
        <v>4106</v>
      </c>
      <c r="E23117" t="s">
        <v>13769</v>
      </c>
      <c r="F23117" t="s">
        <v>3558</v>
      </c>
      <c r="G23117" t="s">
        <v>47103</v>
      </c>
      <c r="H23117" t="s">
        <v>47054</v>
      </c>
      <c r="I23117" t="s">
        <v>47120</v>
      </c>
      <c r="J23117" t="s">
        <v>47121</v>
      </c>
      <c r="K23117" t="s">
        <v>47113</v>
      </c>
      <c r="L23117">
        <v>26.53</v>
      </c>
      <c r="M23117">
        <v>63</v>
      </c>
      <c r="N23117">
        <v>0</v>
      </c>
      <c r="O23117">
        <v>63</v>
      </c>
      <c r="P23117">
        <v>0</v>
      </c>
    </row>
    <row r="23118" spans="1:16" x14ac:dyDescent="0.25">
      <c r="A23118" t="s">
        <v>45854</v>
      </c>
      <c r="B23118" t="s">
        <v>13781</v>
      </c>
      <c r="C23118" t="s">
        <v>13782</v>
      </c>
      <c r="D23118" t="str">
        <f>"4264"</f>
        <v>4264</v>
      </c>
      <c r="E23118" t="s">
        <v>13783</v>
      </c>
      <c r="F23118" t="s">
        <v>7</v>
      </c>
      <c r="G23118" t="s">
        <v>47099</v>
      </c>
      <c r="H23118" t="s">
        <v>47054</v>
      </c>
      <c r="I23118" t="s">
        <v>47114</v>
      </c>
      <c r="J23118" t="s">
        <v>47115</v>
      </c>
      <c r="K23118" t="s">
        <v>47113</v>
      </c>
      <c r="L23118">
        <v>37.14</v>
      </c>
      <c r="M23118">
        <v>92</v>
      </c>
      <c r="N23118">
        <v>0</v>
      </c>
      <c r="O23118">
        <v>92</v>
      </c>
      <c r="P23118">
        <v>0</v>
      </c>
    </row>
    <row r="23119" spans="1:16" x14ac:dyDescent="0.25">
      <c r="A23119" t="s">
        <v>45855</v>
      </c>
      <c r="B23119" t="s">
        <v>13784</v>
      </c>
      <c r="C23119" t="s">
        <v>8914</v>
      </c>
      <c r="D23119" t="str">
        <f>"1543"</f>
        <v>1543</v>
      </c>
      <c r="E23119" t="s">
        <v>13785</v>
      </c>
      <c r="F23119" t="s">
        <v>5</v>
      </c>
      <c r="G23119" t="s">
        <v>47091</v>
      </c>
      <c r="H23119" t="s">
        <v>47054</v>
      </c>
      <c r="I23119" t="s">
        <v>47111</v>
      </c>
      <c r="J23119" t="s">
        <v>47112</v>
      </c>
      <c r="K23119" t="s">
        <v>47113</v>
      </c>
      <c r="L23119">
        <v>11.73</v>
      </c>
      <c r="M23119">
        <v>27</v>
      </c>
      <c r="N23119">
        <v>0</v>
      </c>
      <c r="O23119">
        <v>27</v>
      </c>
      <c r="P23119">
        <v>0</v>
      </c>
    </row>
    <row r="23120" spans="1:16" x14ac:dyDescent="0.25">
      <c r="A23120" t="s">
        <v>45856</v>
      </c>
      <c r="B23120" t="s">
        <v>13784</v>
      </c>
      <c r="C23120" t="s">
        <v>8914</v>
      </c>
      <c r="D23120" t="str">
        <f>"1957"</f>
        <v>1957</v>
      </c>
      <c r="E23120" t="s">
        <v>13786</v>
      </c>
      <c r="F23120" t="s">
        <v>5</v>
      </c>
      <c r="G23120" t="s">
        <v>47091</v>
      </c>
      <c r="H23120" t="s">
        <v>47054</v>
      </c>
      <c r="I23120" t="s">
        <v>47111</v>
      </c>
      <c r="J23120" t="s">
        <v>47112</v>
      </c>
      <c r="K23120" t="s">
        <v>47113</v>
      </c>
      <c r="L23120">
        <v>11.73</v>
      </c>
      <c r="M23120">
        <v>27</v>
      </c>
      <c r="N23120">
        <v>0</v>
      </c>
      <c r="O23120">
        <v>27</v>
      </c>
      <c r="P23120">
        <v>0</v>
      </c>
    </row>
    <row r="23121" spans="1:16" x14ac:dyDescent="0.25">
      <c r="A23121" t="s">
        <v>45857</v>
      </c>
      <c r="B23121" t="s">
        <v>13784</v>
      </c>
      <c r="C23121" t="s">
        <v>8914</v>
      </c>
      <c r="D23121" t="str">
        <f>"2652"</f>
        <v>2652</v>
      </c>
      <c r="E23121" t="s">
        <v>13787</v>
      </c>
      <c r="F23121" t="s">
        <v>5</v>
      </c>
      <c r="G23121" t="s">
        <v>47091</v>
      </c>
      <c r="H23121" t="s">
        <v>47054</v>
      </c>
      <c r="I23121" t="s">
        <v>47111</v>
      </c>
      <c r="J23121" t="s">
        <v>47112</v>
      </c>
      <c r="K23121" t="s">
        <v>47113</v>
      </c>
      <c r="L23121">
        <v>11.73</v>
      </c>
      <c r="M23121">
        <v>27</v>
      </c>
      <c r="N23121">
        <v>0</v>
      </c>
      <c r="O23121">
        <v>27</v>
      </c>
      <c r="P23121">
        <v>0</v>
      </c>
    </row>
    <row r="23122" spans="1:16" x14ac:dyDescent="0.25">
      <c r="A23122" t="s">
        <v>45858</v>
      </c>
      <c r="B23122" t="s">
        <v>13788</v>
      </c>
      <c r="C23122" t="s">
        <v>13789</v>
      </c>
      <c r="D23122" t="str">
        <f>"1953"</f>
        <v>1953</v>
      </c>
      <c r="E23122" t="s">
        <v>13790</v>
      </c>
      <c r="F23122" t="s">
        <v>5</v>
      </c>
      <c r="G23122" t="s">
        <v>47091</v>
      </c>
      <c r="H23122" t="s">
        <v>47054</v>
      </c>
      <c r="I23122" t="s">
        <v>47111</v>
      </c>
      <c r="J23122" t="s">
        <v>47112</v>
      </c>
      <c r="K23122" t="s">
        <v>47113</v>
      </c>
      <c r="L23122">
        <v>8.9700000000000006</v>
      </c>
      <c r="M23122">
        <v>19</v>
      </c>
      <c r="N23122">
        <v>0</v>
      </c>
      <c r="O23122">
        <v>19</v>
      </c>
      <c r="P23122">
        <v>0</v>
      </c>
    </row>
    <row r="23123" spans="1:16" x14ac:dyDescent="0.25">
      <c r="A23123" t="s">
        <v>45859</v>
      </c>
      <c r="B23123" t="s">
        <v>13788</v>
      </c>
      <c r="C23123" t="s">
        <v>13789</v>
      </c>
      <c r="D23123" t="str">
        <f>"1954"</f>
        <v>1954</v>
      </c>
      <c r="E23123" t="s">
        <v>13791</v>
      </c>
      <c r="F23123" t="s">
        <v>5</v>
      </c>
      <c r="G23123" t="s">
        <v>47091</v>
      </c>
      <c r="H23123" t="s">
        <v>47054</v>
      </c>
      <c r="I23123" t="s">
        <v>47111</v>
      </c>
      <c r="J23123" t="s">
        <v>47112</v>
      </c>
      <c r="K23123" t="s">
        <v>47113</v>
      </c>
      <c r="L23123">
        <v>8.9700000000000006</v>
      </c>
      <c r="M23123">
        <v>19</v>
      </c>
      <c r="N23123">
        <v>0</v>
      </c>
      <c r="O23123">
        <v>19</v>
      </c>
      <c r="P23123">
        <v>0</v>
      </c>
    </row>
    <row r="23124" spans="1:16" x14ac:dyDescent="0.25">
      <c r="A23124" t="s">
        <v>45860</v>
      </c>
      <c r="B23124" t="s">
        <v>13788</v>
      </c>
      <c r="C23124" t="s">
        <v>13789</v>
      </c>
      <c r="D23124" t="str">
        <f>"1955"</f>
        <v>1955</v>
      </c>
      <c r="E23124" t="s">
        <v>13792</v>
      </c>
      <c r="F23124" t="s">
        <v>5</v>
      </c>
      <c r="G23124" t="s">
        <v>47091</v>
      </c>
      <c r="H23124" t="s">
        <v>47054</v>
      </c>
      <c r="I23124" t="s">
        <v>47111</v>
      </c>
      <c r="J23124" t="s">
        <v>47112</v>
      </c>
      <c r="K23124" t="s">
        <v>47113</v>
      </c>
      <c r="L23124">
        <v>8.9700000000000006</v>
      </c>
      <c r="M23124">
        <v>19</v>
      </c>
      <c r="N23124">
        <v>0</v>
      </c>
      <c r="O23124">
        <v>19</v>
      </c>
      <c r="P23124">
        <v>0</v>
      </c>
    </row>
    <row r="23125" spans="1:16" x14ac:dyDescent="0.25">
      <c r="A23125" t="s">
        <v>45861</v>
      </c>
      <c r="B23125" t="s">
        <v>13788</v>
      </c>
      <c r="C23125" t="s">
        <v>13789</v>
      </c>
      <c r="D23125" t="str">
        <f>"1958"</f>
        <v>1958</v>
      </c>
      <c r="E23125" t="s">
        <v>13793</v>
      </c>
      <c r="F23125" t="s">
        <v>5</v>
      </c>
      <c r="G23125" t="s">
        <v>47091</v>
      </c>
      <c r="H23125" t="s">
        <v>47054</v>
      </c>
      <c r="I23125" t="s">
        <v>47111</v>
      </c>
      <c r="J23125" t="s">
        <v>47112</v>
      </c>
      <c r="K23125" t="s">
        <v>47113</v>
      </c>
      <c r="L23125">
        <v>8.9700000000000006</v>
      </c>
      <c r="M23125">
        <v>19</v>
      </c>
      <c r="N23125">
        <v>0</v>
      </c>
      <c r="O23125">
        <v>19</v>
      </c>
      <c r="P23125">
        <v>0</v>
      </c>
    </row>
    <row r="23126" spans="1:16" x14ac:dyDescent="0.25">
      <c r="A23126" t="s">
        <v>45862</v>
      </c>
      <c r="B23126" t="s">
        <v>13794</v>
      </c>
      <c r="C23126" t="s">
        <v>13795</v>
      </c>
      <c r="D23126" t="str">
        <f>"1738"</f>
        <v>1738</v>
      </c>
      <c r="E23126" t="s">
        <v>12648</v>
      </c>
      <c r="F23126" t="s">
        <v>5</v>
      </c>
      <c r="G23126" t="s">
        <v>47101</v>
      </c>
      <c r="H23126" t="s">
        <v>47054</v>
      </c>
      <c r="I23126" t="s">
        <v>47120</v>
      </c>
      <c r="J23126" t="s">
        <v>47121</v>
      </c>
      <c r="K23126" t="s">
        <v>47113</v>
      </c>
      <c r="L23126">
        <v>29.1</v>
      </c>
      <c r="M23126">
        <v>50</v>
      </c>
      <c r="N23126">
        <v>0</v>
      </c>
      <c r="O23126">
        <v>50</v>
      </c>
      <c r="P23126">
        <v>0</v>
      </c>
    </row>
    <row r="23127" spans="1:16" x14ac:dyDescent="0.25">
      <c r="A23127" t="s">
        <v>45863</v>
      </c>
      <c r="B23127" t="s">
        <v>13794</v>
      </c>
      <c r="C23127" t="s">
        <v>13795</v>
      </c>
      <c r="D23127" t="str">
        <f>"4599"</f>
        <v>4599</v>
      </c>
      <c r="E23127" t="s">
        <v>3110</v>
      </c>
      <c r="F23127" t="s">
        <v>5</v>
      </c>
      <c r="G23127" t="s">
        <v>47101</v>
      </c>
      <c r="H23127" t="s">
        <v>47054</v>
      </c>
      <c r="I23127" t="s">
        <v>47120</v>
      </c>
      <c r="J23127" t="s">
        <v>47121</v>
      </c>
      <c r="K23127" t="s">
        <v>47113</v>
      </c>
      <c r="L23127">
        <v>29.1</v>
      </c>
      <c r="M23127">
        <v>50</v>
      </c>
      <c r="N23127">
        <v>0</v>
      </c>
      <c r="O23127">
        <v>50</v>
      </c>
      <c r="P23127">
        <v>0</v>
      </c>
    </row>
    <row r="23128" spans="1:16" x14ac:dyDescent="0.25">
      <c r="A23128" t="s">
        <v>45864</v>
      </c>
      <c r="B23128" t="s">
        <v>13794</v>
      </c>
      <c r="C23128" t="s">
        <v>13795</v>
      </c>
      <c r="D23128" t="str">
        <f>"4681"</f>
        <v>4681</v>
      </c>
      <c r="E23128" t="s">
        <v>13796</v>
      </c>
      <c r="F23128" t="s">
        <v>5</v>
      </c>
      <c r="G23128" t="s">
        <v>47101</v>
      </c>
      <c r="H23128" t="s">
        <v>47054</v>
      </c>
      <c r="I23128" t="s">
        <v>47120</v>
      </c>
      <c r="J23128" t="s">
        <v>47121</v>
      </c>
      <c r="K23128" t="s">
        <v>47113</v>
      </c>
      <c r="L23128">
        <v>29.1</v>
      </c>
      <c r="M23128">
        <v>50</v>
      </c>
      <c r="N23128">
        <v>0</v>
      </c>
      <c r="O23128">
        <v>50</v>
      </c>
      <c r="P23128">
        <v>0</v>
      </c>
    </row>
    <row r="23129" spans="1:16" x14ac:dyDescent="0.25">
      <c r="A23129" t="s">
        <v>45865</v>
      </c>
      <c r="B23129" t="s">
        <v>13794</v>
      </c>
      <c r="C23129" t="s">
        <v>13795</v>
      </c>
      <c r="D23129" t="str">
        <f>"5138"</f>
        <v>5138</v>
      </c>
      <c r="E23129" t="s">
        <v>13797</v>
      </c>
      <c r="F23129" t="s">
        <v>5</v>
      </c>
      <c r="G23129" t="s">
        <v>47101</v>
      </c>
      <c r="H23129" t="s">
        <v>47054</v>
      </c>
      <c r="I23129" t="s">
        <v>47120</v>
      </c>
      <c r="J23129" t="s">
        <v>47121</v>
      </c>
      <c r="K23129" t="s">
        <v>47113</v>
      </c>
      <c r="L23129">
        <v>29.1</v>
      </c>
      <c r="M23129">
        <v>50</v>
      </c>
      <c r="N23129">
        <v>0</v>
      </c>
      <c r="O23129">
        <v>50</v>
      </c>
      <c r="P23129">
        <v>0</v>
      </c>
    </row>
    <row r="23130" spans="1:16" x14ac:dyDescent="0.25">
      <c r="A23130" t="s">
        <v>45866</v>
      </c>
      <c r="B23130" t="s">
        <v>13798</v>
      </c>
      <c r="C23130" t="s">
        <v>13799</v>
      </c>
      <c r="D23130" t="str">
        <f>"1100"</f>
        <v>1100</v>
      </c>
      <c r="E23130" t="s">
        <v>54</v>
      </c>
      <c r="F23130" t="s">
        <v>5</v>
      </c>
      <c r="G23130" t="s">
        <v>47091</v>
      </c>
      <c r="H23130" t="s">
        <v>47054</v>
      </c>
      <c r="I23130" t="s">
        <v>47124</v>
      </c>
      <c r="J23130" t="s">
        <v>47125</v>
      </c>
      <c r="K23130" t="s">
        <v>47113</v>
      </c>
      <c r="L23130">
        <v>19.510000000000002</v>
      </c>
      <c r="M23130">
        <v>38</v>
      </c>
      <c r="N23130">
        <v>0</v>
      </c>
      <c r="O23130">
        <v>38</v>
      </c>
      <c r="P23130">
        <v>0</v>
      </c>
    </row>
    <row r="23131" spans="1:16" x14ac:dyDescent="0.25">
      <c r="A23131" t="s">
        <v>45867</v>
      </c>
      <c r="B23131" t="s">
        <v>13798</v>
      </c>
      <c r="C23131" t="s">
        <v>13799</v>
      </c>
      <c r="D23131" t="str">
        <f>"1700"</f>
        <v>1700</v>
      </c>
      <c r="E23131" t="s">
        <v>60</v>
      </c>
      <c r="F23131" t="s">
        <v>5</v>
      </c>
      <c r="G23131" t="s">
        <v>47091</v>
      </c>
      <c r="H23131" t="s">
        <v>47054</v>
      </c>
      <c r="I23131" t="s">
        <v>47124</v>
      </c>
      <c r="J23131" t="s">
        <v>47125</v>
      </c>
      <c r="K23131" t="s">
        <v>47113</v>
      </c>
      <c r="L23131">
        <v>19.510000000000002</v>
      </c>
      <c r="M23131">
        <v>38</v>
      </c>
      <c r="N23131">
        <v>0</v>
      </c>
      <c r="O23131">
        <v>38</v>
      </c>
      <c r="P23131">
        <v>0</v>
      </c>
    </row>
    <row r="23132" spans="1:16" x14ac:dyDescent="0.25">
      <c r="A23132" t="s">
        <v>45868</v>
      </c>
      <c r="B23132" t="s">
        <v>13798</v>
      </c>
      <c r="C23132" t="s">
        <v>13799</v>
      </c>
      <c r="D23132" t="str">
        <f>"4402"</f>
        <v>4402</v>
      </c>
      <c r="E23132" t="s">
        <v>13482</v>
      </c>
      <c r="F23132" t="s">
        <v>5</v>
      </c>
      <c r="G23132" t="s">
        <v>47091</v>
      </c>
      <c r="H23132" t="s">
        <v>47054</v>
      </c>
      <c r="I23132" t="s">
        <v>47124</v>
      </c>
      <c r="J23132" t="s">
        <v>47125</v>
      </c>
      <c r="K23132" t="s">
        <v>47113</v>
      </c>
      <c r="L23132">
        <v>19.510000000000002</v>
      </c>
      <c r="M23132">
        <v>38</v>
      </c>
      <c r="N23132">
        <v>0</v>
      </c>
      <c r="O23132">
        <v>38</v>
      </c>
      <c r="P23132">
        <v>0</v>
      </c>
    </row>
    <row r="23133" spans="1:16" x14ac:dyDescent="0.25">
      <c r="A23133" t="s">
        <v>45869</v>
      </c>
      <c r="B23133" t="s">
        <v>13798</v>
      </c>
      <c r="C23133" t="s">
        <v>13799</v>
      </c>
      <c r="D23133" t="str">
        <f>"8103"</f>
        <v>8103</v>
      </c>
      <c r="E23133" t="s">
        <v>13483</v>
      </c>
      <c r="F23133" t="s">
        <v>5</v>
      </c>
      <c r="G23133" t="s">
        <v>47091</v>
      </c>
      <c r="H23133" t="s">
        <v>47054</v>
      </c>
      <c r="I23133" t="s">
        <v>47124</v>
      </c>
      <c r="J23133" t="s">
        <v>47125</v>
      </c>
      <c r="K23133" t="s">
        <v>47113</v>
      </c>
      <c r="L23133">
        <v>19.510000000000002</v>
      </c>
      <c r="M23133">
        <v>38</v>
      </c>
      <c r="N23133">
        <v>0</v>
      </c>
      <c r="O23133">
        <v>38</v>
      </c>
      <c r="P23133">
        <v>0</v>
      </c>
    </row>
    <row r="23134" spans="1:16" x14ac:dyDescent="0.25">
      <c r="A23134" t="s">
        <v>45870</v>
      </c>
      <c r="B23134" t="s">
        <v>13800</v>
      </c>
      <c r="C23134" t="s">
        <v>13801</v>
      </c>
      <c r="D23134" t="str">
        <f>"1024"</f>
        <v>1024</v>
      </c>
      <c r="E23134" t="s">
        <v>717</v>
      </c>
      <c r="F23134" t="s">
        <v>5</v>
      </c>
      <c r="G23134" t="s">
        <v>47092</v>
      </c>
      <c r="H23134" t="s">
        <v>47054</v>
      </c>
      <c r="I23134" t="s">
        <v>47124</v>
      </c>
      <c r="J23134" t="s">
        <v>47125</v>
      </c>
      <c r="K23134" t="s">
        <v>47113</v>
      </c>
      <c r="L23134">
        <v>10.119999999999999</v>
      </c>
      <c r="M23134">
        <v>23</v>
      </c>
      <c r="N23134">
        <v>0</v>
      </c>
      <c r="O23134">
        <v>23</v>
      </c>
      <c r="P23134">
        <v>0</v>
      </c>
    </row>
    <row r="23135" spans="1:16" x14ac:dyDescent="0.25">
      <c r="A23135" t="s">
        <v>45871</v>
      </c>
      <c r="B23135" t="s">
        <v>13800</v>
      </c>
      <c r="C23135" t="s">
        <v>13801</v>
      </c>
      <c r="D23135" t="str">
        <f>"1291"</f>
        <v>1291</v>
      </c>
      <c r="E23135" t="s">
        <v>13802</v>
      </c>
      <c r="F23135" t="s">
        <v>5</v>
      </c>
      <c r="G23135" t="s">
        <v>47092</v>
      </c>
      <c r="H23135" t="s">
        <v>47054</v>
      </c>
      <c r="I23135" t="s">
        <v>47124</v>
      </c>
      <c r="J23135" t="s">
        <v>47125</v>
      </c>
      <c r="K23135" t="s">
        <v>47113</v>
      </c>
      <c r="L23135">
        <v>10.119999999999999</v>
      </c>
      <c r="M23135">
        <v>23</v>
      </c>
      <c r="N23135">
        <v>0</v>
      </c>
      <c r="O23135">
        <v>23</v>
      </c>
      <c r="P23135">
        <v>0</v>
      </c>
    </row>
    <row r="23136" spans="1:16" x14ac:dyDescent="0.25">
      <c r="A23136" t="s">
        <v>45872</v>
      </c>
      <c r="B23136" t="s">
        <v>13800</v>
      </c>
      <c r="C23136" t="s">
        <v>13801</v>
      </c>
      <c r="D23136" t="str">
        <f>"1745"</f>
        <v>1745</v>
      </c>
      <c r="E23136" t="s">
        <v>1659</v>
      </c>
      <c r="F23136" t="s">
        <v>5</v>
      </c>
      <c r="G23136" t="s">
        <v>47092</v>
      </c>
      <c r="H23136" t="s">
        <v>47054</v>
      </c>
      <c r="I23136" t="s">
        <v>47124</v>
      </c>
      <c r="J23136" t="s">
        <v>47125</v>
      </c>
      <c r="K23136" t="s">
        <v>47113</v>
      </c>
      <c r="L23136">
        <v>10.119999999999999</v>
      </c>
      <c r="M23136">
        <v>23</v>
      </c>
      <c r="N23136">
        <v>0</v>
      </c>
      <c r="O23136">
        <v>23</v>
      </c>
      <c r="P23136">
        <v>0</v>
      </c>
    </row>
    <row r="23137" spans="1:16" x14ac:dyDescent="0.25">
      <c r="A23137" t="s">
        <v>45873</v>
      </c>
      <c r="B23137" t="s">
        <v>13800</v>
      </c>
      <c r="C23137" t="s">
        <v>13801</v>
      </c>
      <c r="D23137" t="str">
        <f>"5137"</f>
        <v>5137</v>
      </c>
      <c r="E23137" t="s">
        <v>13803</v>
      </c>
      <c r="F23137" t="s">
        <v>5</v>
      </c>
      <c r="G23137" t="s">
        <v>47092</v>
      </c>
      <c r="H23137" t="s">
        <v>47054</v>
      </c>
      <c r="I23137" t="s">
        <v>47124</v>
      </c>
      <c r="J23137" t="s">
        <v>47125</v>
      </c>
      <c r="K23137" t="s">
        <v>47113</v>
      </c>
      <c r="L23137">
        <v>10.119999999999999</v>
      </c>
      <c r="M23137">
        <v>23</v>
      </c>
      <c r="N23137">
        <v>0</v>
      </c>
      <c r="O23137">
        <v>23</v>
      </c>
      <c r="P23137">
        <v>0</v>
      </c>
    </row>
    <row r="23138" spans="1:16" x14ac:dyDescent="0.25">
      <c r="A23138" t="s">
        <v>45874</v>
      </c>
      <c r="B23138" t="s">
        <v>13800</v>
      </c>
      <c r="C23138" t="s">
        <v>13801</v>
      </c>
      <c r="D23138" t="str">
        <f>"6338"</f>
        <v>6338</v>
      </c>
      <c r="E23138" t="s">
        <v>13804</v>
      </c>
      <c r="F23138" t="s">
        <v>5</v>
      </c>
      <c r="G23138" t="s">
        <v>47092</v>
      </c>
      <c r="H23138" t="s">
        <v>47054</v>
      </c>
      <c r="I23138" t="s">
        <v>47124</v>
      </c>
      <c r="J23138" t="s">
        <v>47125</v>
      </c>
      <c r="K23138" t="s">
        <v>47113</v>
      </c>
      <c r="L23138">
        <v>10.119999999999999</v>
      </c>
      <c r="M23138">
        <v>23</v>
      </c>
      <c r="N23138">
        <v>0</v>
      </c>
      <c r="O23138">
        <v>23</v>
      </c>
      <c r="P23138">
        <v>0</v>
      </c>
    </row>
    <row r="23139" spans="1:16" x14ac:dyDescent="0.25">
      <c r="A23139" t="s">
        <v>45875</v>
      </c>
      <c r="B23139" t="s">
        <v>13805</v>
      </c>
      <c r="C23139" t="s">
        <v>13806</v>
      </c>
      <c r="D23139" t="str">
        <f>"1024"</f>
        <v>1024</v>
      </c>
      <c r="E23139" t="s">
        <v>717</v>
      </c>
      <c r="F23139" t="s">
        <v>5</v>
      </c>
      <c r="G23139" t="s">
        <v>47097</v>
      </c>
      <c r="H23139" t="s">
        <v>47054</v>
      </c>
      <c r="I23139" t="s">
        <v>47124</v>
      </c>
      <c r="J23139" t="s">
        <v>47125</v>
      </c>
      <c r="K23139" t="s">
        <v>47113</v>
      </c>
      <c r="L23139">
        <v>12.24</v>
      </c>
      <c r="M23139">
        <v>27</v>
      </c>
      <c r="N23139">
        <v>0</v>
      </c>
      <c r="O23139">
        <v>27</v>
      </c>
      <c r="P23139">
        <v>0</v>
      </c>
    </row>
    <row r="23140" spans="1:16" x14ac:dyDescent="0.25">
      <c r="A23140" t="s">
        <v>45876</v>
      </c>
      <c r="B23140" t="s">
        <v>13805</v>
      </c>
      <c r="C23140" t="s">
        <v>13806</v>
      </c>
      <c r="D23140" t="str">
        <f>"1291"</f>
        <v>1291</v>
      </c>
      <c r="E23140" t="s">
        <v>13802</v>
      </c>
      <c r="F23140" t="s">
        <v>5</v>
      </c>
      <c r="G23140" t="s">
        <v>47097</v>
      </c>
      <c r="H23140" t="s">
        <v>47054</v>
      </c>
      <c r="I23140" t="s">
        <v>47124</v>
      </c>
      <c r="J23140" t="s">
        <v>47125</v>
      </c>
      <c r="K23140" t="s">
        <v>47113</v>
      </c>
      <c r="L23140">
        <v>12.24</v>
      </c>
      <c r="M23140">
        <v>27</v>
      </c>
      <c r="N23140">
        <v>0</v>
      </c>
      <c r="O23140">
        <v>27</v>
      </c>
      <c r="P23140">
        <v>0</v>
      </c>
    </row>
    <row r="23141" spans="1:16" x14ac:dyDescent="0.25">
      <c r="A23141" t="s">
        <v>45877</v>
      </c>
      <c r="B23141" t="s">
        <v>13805</v>
      </c>
      <c r="C23141" t="s">
        <v>13806</v>
      </c>
      <c r="D23141" t="str">
        <f>"1745"</f>
        <v>1745</v>
      </c>
      <c r="E23141" t="s">
        <v>1659</v>
      </c>
      <c r="F23141" t="s">
        <v>5</v>
      </c>
      <c r="G23141" t="s">
        <v>47097</v>
      </c>
      <c r="H23141" t="s">
        <v>47054</v>
      </c>
      <c r="I23141" t="s">
        <v>47124</v>
      </c>
      <c r="J23141" t="s">
        <v>47125</v>
      </c>
      <c r="K23141" t="s">
        <v>47113</v>
      </c>
      <c r="L23141">
        <v>12.24</v>
      </c>
      <c r="M23141">
        <v>27</v>
      </c>
      <c r="N23141">
        <v>0</v>
      </c>
      <c r="O23141">
        <v>27</v>
      </c>
      <c r="P23141">
        <v>0</v>
      </c>
    </row>
    <row r="23142" spans="1:16" x14ac:dyDescent="0.25">
      <c r="A23142" t="s">
        <v>45878</v>
      </c>
      <c r="B23142" t="s">
        <v>13805</v>
      </c>
      <c r="C23142" t="s">
        <v>13806</v>
      </c>
      <c r="D23142" t="str">
        <f>"5137"</f>
        <v>5137</v>
      </c>
      <c r="E23142" t="s">
        <v>13803</v>
      </c>
      <c r="F23142" t="s">
        <v>5</v>
      </c>
      <c r="G23142" t="s">
        <v>47097</v>
      </c>
      <c r="H23142" t="s">
        <v>47054</v>
      </c>
      <c r="I23142" t="s">
        <v>47124</v>
      </c>
      <c r="J23142" t="s">
        <v>47125</v>
      </c>
      <c r="K23142" t="s">
        <v>47113</v>
      </c>
      <c r="L23142">
        <v>12.24</v>
      </c>
      <c r="M23142">
        <v>27</v>
      </c>
      <c r="N23142">
        <v>0</v>
      </c>
      <c r="O23142">
        <v>27</v>
      </c>
      <c r="P23142">
        <v>0</v>
      </c>
    </row>
    <row r="23143" spans="1:16" x14ac:dyDescent="0.25">
      <c r="A23143" t="s">
        <v>45879</v>
      </c>
      <c r="B23143" t="s">
        <v>13805</v>
      </c>
      <c r="C23143" t="s">
        <v>13806</v>
      </c>
      <c r="D23143" t="str">
        <f>"6338"</f>
        <v>6338</v>
      </c>
      <c r="E23143" t="s">
        <v>13804</v>
      </c>
      <c r="F23143" t="s">
        <v>5</v>
      </c>
      <c r="G23143" t="s">
        <v>47097</v>
      </c>
      <c r="H23143" t="s">
        <v>47054</v>
      </c>
      <c r="I23143" t="s">
        <v>47124</v>
      </c>
      <c r="J23143" t="s">
        <v>47125</v>
      </c>
      <c r="K23143" t="s">
        <v>47113</v>
      </c>
      <c r="L23143">
        <v>12.24</v>
      </c>
      <c r="M23143">
        <v>27</v>
      </c>
      <c r="N23143">
        <v>0</v>
      </c>
      <c r="O23143">
        <v>27</v>
      </c>
      <c r="P23143">
        <v>0</v>
      </c>
    </row>
    <row r="23144" spans="1:16" x14ac:dyDescent="0.25">
      <c r="A23144" t="s">
        <v>45880</v>
      </c>
      <c r="B23144" t="s">
        <v>13807</v>
      </c>
      <c r="C23144" t="s">
        <v>12664</v>
      </c>
      <c r="D23144" t="str">
        <f>"1505"</f>
        <v>1505</v>
      </c>
      <c r="E23144" t="s">
        <v>1667</v>
      </c>
      <c r="F23144" t="s">
        <v>5</v>
      </c>
      <c r="G23144" t="s">
        <v>47091</v>
      </c>
      <c r="H23144" t="s">
        <v>47054</v>
      </c>
      <c r="I23144" t="s">
        <v>47111</v>
      </c>
      <c r="J23144" t="s">
        <v>47112</v>
      </c>
      <c r="K23144" t="s">
        <v>47113</v>
      </c>
      <c r="L23144">
        <v>11.02</v>
      </c>
      <c r="M23144">
        <v>27</v>
      </c>
      <c r="N23144">
        <v>0</v>
      </c>
      <c r="O23144">
        <v>27</v>
      </c>
      <c r="P23144">
        <v>0</v>
      </c>
    </row>
    <row r="23145" spans="1:16" x14ac:dyDescent="0.25">
      <c r="A23145" t="s">
        <v>45881</v>
      </c>
      <c r="B23145" t="s">
        <v>13808</v>
      </c>
      <c r="C23145" t="s">
        <v>13809</v>
      </c>
      <c r="D23145" t="str">
        <f>"1113"</f>
        <v>1113</v>
      </c>
      <c r="E23145" t="s">
        <v>6443</v>
      </c>
      <c r="F23145" t="s">
        <v>5</v>
      </c>
      <c r="G23145" t="s">
        <v>47095</v>
      </c>
      <c r="H23145" t="s">
        <v>47054</v>
      </c>
      <c r="I23145" t="s">
        <v>47111</v>
      </c>
      <c r="J23145" t="s">
        <v>47112</v>
      </c>
      <c r="K23145" t="s">
        <v>47113</v>
      </c>
      <c r="L23145">
        <v>23.09</v>
      </c>
      <c r="M23145">
        <v>46</v>
      </c>
      <c r="N23145">
        <v>0</v>
      </c>
      <c r="O23145">
        <v>46</v>
      </c>
      <c r="P23145">
        <v>0</v>
      </c>
    </row>
    <row r="23146" spans="1:16" x14ac:dyDescent="0.25">
      <c r="A23146" t="s">
        <v>45882</v>
      </c>
      <c r="B23146" t="s">
        <v>13808</v>
      </c>
      <c r="C23146" t="s">
        <v>13809</v>
      </c>
      <c r="D23146" t="str">
        <f>"1746"</f>
        <v>1746</v>
      </c>
      <c r="E23146" t="s">
        <v>807</v>
      </c>
      <c r="F23146" t="s">
        <v>5</v>
      </c>
      <c r="G23146" t="s">
        <v>47095</v>
      </c>
      <c r="H23146" t="s">
        <v>47054</v>
      </c>
      <c r="I23146" t="s">
        <v>47111</v>
      </c>
      <c r="J23146" t="s">
        <v>47112</v>
      </c>
      <c r="K23146" t="s">
        <v>47113</v>
      </c>
      <c r="L23146">
        <v>23.09</v>
      </c>
      <c r="M23146">
        <v>46</v>
      </c>
      <c r="N23146">
        <v>0</v>
      </c>
      <c r="O23146">
        <v>46</v>
      </c>
      <c r="P23146">
        <v>0</v>
      </c>
    </row>
    <row r="23147" spans="1:16" x14ac:dyDescent="0.25">
      <c r="A23147" t="s">
        <v>45883</v>
      </c>
      <c r="B23147" t="s">
        <v>13808</v>
      </c>
      <c r="C23147" t="s">
        <v>13809</v>
      </c>
      <c r="D23147" t="str">
        <f>"4328"</f>
        <v>4328</v>
      </c>
      <c r="E23147" t="s">
        <v>6483</v>
      </c>
      <c r="F23147" t="s">
        <v>5</v>
      </c>
      <c r="G23147" t="s">
        <v>47095</v>
      </c>
      <c r="H23147" t="s">
        <v>47054</v>
      </c>
      <c r="I23147" t="s">
        <v>47111</v>
      </c>
      <c r="J23147" t="s">
        <v>47112</v>
      </c>
      <c r="K23147" t="s">
        <v>47113</v>
      </c>
      <c r="L23147">
        <v>23.09</v>
      </c>
      <c r="M23147">
        <v>46</v>
      </c>
      <c r="N23147">
        <v>0</v>
      </c>
      <c r="O23147">
        <v>46</v>
      </c>
      <c r="P23147">
        <v>0</v>
      </c>
    </row>
    <row r="23148" spans="1:16" x14ac:dyDescent="0.25">
      <c r="A23148" t="s">
        <v>45884</v>
      </c>
      <c r="B23148" t="s">
        <v>13808</v>
      </c>
      <c r="C23148" t="s">
        <v>13809</v>
      </c>
      <c r="D23148" t="str">
        <f>"6032"</f>
        <v>6032</v>
      </c>
      <c r="E23148" t="s">
        <v>2760</v>
      </c>
      <c r="F23148" t="s">
        <v>5</v>
      </c>
      <c r="G23148" t="s">
        <v>47095</v>
      </c>
      <c r="H23148" t="s">
        <v>47054</v>
      </c>
      <c r="I23148" t="s">
        <v>47111</v>
      </c>
      <c r="J23148" t="s">
        <v>47112</v>
      </c>
      <c r="K23148" t="s">
        <v>47113</v>
      </c>
      <c r="L23148">
        <v>23.09</v>
      </c>
      <c r="M23148">
        <v>46</v>
      </c>
      <c r="N23148">
        <v>0</v>
      </c>
      <c r="O23148">
        <v>46</v>
      </c>
      <c r="P23148">
        <v>0</v>
      </c>
    </row>
    <row r="23149" spans="1:16" x14ac:dyDescent="0.25">
      <c r="A23149" t="s">
        <v>45885</v>
      </c>
      <c r="B23149" t="s">
        <v>13810</v>
      </c>
      <c r="C23149" t="s">
        <v>13811</v>
      </c>
      <c r="D23149" t="str">
        <f>"1746"</f>
        <v>1746</v>
      </c>
      <c r="E23149" t="s">
        <v>807</v>
      </c>
      <c r="F23149" t="s">
        <v>5</v>
      </c>
      <c r="G23149" t="s">
        <v>47095</v>
      </c>
      <c r="H23149" t="s">
        <v>47054</v>
      </c>
      <c r="I23149" t="s">
        <v>47111</v>
      </c>
      <c r="J23149" t="s">
        <v>47112</v>
      </c>
      <c r="K23149" t="s">
        <v>47113</v>
      </c>
      <c r="L23149">
        <v>17.34</v>
      </c>
      <c r="M23149">
        <v>38</v>
      </c>
      <c r="N23149">
        <v>0</v>
      </c>
      <c r="O23149">
        <v>38</v>
      </c>
      <c r="P23149">
        <v>0</v>
      </c>
    </row>
    <row r="23150" spans="1:16" x14ac:dyDescent="0.25">
      <c r="A23150" t="s">
        <v>45886</v>
      </c>
      <c r="B23150" t="s">
        <v>13810</v>
      </c>
      <c r="C23150" t="s">
        <v>13811</v>
      </c>
      <c r="D23150" t="str">
        <f>"4818"</f>
        <v>4818</v>
      </c>
      <c r="E23150" t="s">
        <v>13812</v>
      </c>
      <c r="F23150" t="s">
        <v>5</v>
      </c>
      <c r="G23150" t="s">
        <v>47095</v>
      </c>
      <c r="H23150" t="s">
        <v>47054</v>
      </c>
      <c r="I23150" t="s">
        <v>47111</v>
      </c>
      <c r="J23150" t="s">
        <v>47112</v>
      </c>
      <c r="K23150" t="s">
        <v>47113</v>
      </c>
      <c r="L23150">
        <v>19.41</v>
      </c>
      <c r="M23150">
        <v>38</v>
      </c>
      <c r="N23150">
        <v>0</v>
      </c>
      <c r="O23150">
        <v>38</v>
      </c>
      <c r="P23150">
        <v>0</v>
      </c>
    </row>
    <row r="23151" spans="1:16" x14ac:dyDescent="0.25">
      <c r="A23151" t="s">
        <v>45887</v>
      </c>
      <c r="B23151" t="s">
        <v>13810</v>
      </c>
      <c r="C23151" t="s">
        <v>13811</v>
      </c>
      <c r="D23151" t="str">
        <f>"5139"</f>
        <v>5139</v>
      </c>
      <c r="E23151" t="s">
        <v>13813</v>
      </c>
      <c r="F23151" t="s">
        <v>5</v>
      </c>
      <c r="G23151" t="s">
        <v>47095</v>
      </c>
      <c r="H23151" t="s">
        <v>47054</v>
      </c>
      <c r="I23151" t="s">
        <v>47111</v>
      </c>
      <c r="J23151" t="s">
        <v>47112</v>
      </c>
      <c r="K23151" t="s">
        <v>47113</v>
      </c>
      <c r="L23151">
        <v>19.41</v>
      </c>
      <c r="M23151">
        <v>38</v>
      </c>
      <c r="N23151">
        <v>0</v>
      </c>
      <c r="O23151">
        <v>38</v>
      </c>
      <c r="P23151">
        <v>0</v>
      </c>
    </row>
    <row r="23152" spans="1:16" x14ac:dyDescent="0.25">
      <c r="A23152" t="s">
        <v>45888</v>
      </c>
      <c r="B23152" t="s">
        <v>13810</v>
      </c>
      <c r="C23152" t="s">
        <v>13811</v>
      </c>
      <c r="D23152" t="str">
        <f>"6339"</f>
        <v>6339</v>
      </c>
      <c r="E23152" t="s">
        <v>13814</v>
      </c>
      <c r="F23152" t="s">
        <v>5</v>
      </c>
      <c r="G23152" t="s">
        <v>47095</v>
      </c>
      <c r="H23152" t="s">
        <v>47054</v>
      </c>
      <c r="I23152" t="s">
        <v>47111</v>
      </c>
      <c r="J23152" t="s">
        <v>47112</v>
      </c>
      <c r="K23152" t="s">
        <v>47113</v>
      </c>
      <c r="L23152">
        <v>19.41</v>
      </c>
      <c r="M23152">
        <v>38</v>
      </c>
      <c r="N23152">
        <v>0</v>
      </c>
      <c r="O23152">
        <v>38</v>
      </c>
      <c r="P23152">
        <v>0</v>
      </c>
    </row>
    <row r="23153" spans="1:16" x14ac:dyDescent="0.25">
      <c r="A23153" t="s">
        <v>45889</v>
      </c>
      <c r="B23153" t="s">
        <v>13810</v>
      </c>
      <c r="C23153" t="s">
        <v>13811</v>
      </c>
      <c r="D23153" t="str">
        <f>"8053"</f>
        <v>8053</v>
      </c>
      <c r="E23153" t="s">
        <v>13815</v>
      </c>
      <c r="F23153" t="s">
        <v>5</v>
      </c>
      <c r="G23153" t="s">
        <v>47095</v>
      </c>
      <c r="H23153" t="s">
        <v>47054</v>
      </c>
      <c r="I23153" t="s">
        <v>47111</v>
      </c>
      <c r="J23153" t="s">
        <v>47112</v>
      </c>
      <c r="K23153" t="s">
        <v>47113</v>
      </c>
      <c r="L23153">
        <v>19.41</v>
      </c>
      <c r="M23153">
        <v>38</v>
      </c>
      <c r="N23153">
        <v>0</v>
      </c>
      <c r="O23153">
        <v>38</v>
      </c>
      <c r="P23153">
        <v>0</v>
      </c>
    </row>
    <row r="23154" spans="1:16" x14ac:dyDescent="0.25">
      <c r="A23154" t="s">
        <v>45890</v>
      </c>
      <c r="B23154" t="s">
        <v>13816</v>
      </c>
      <c r="C23154" t="s">
        <v>13817</v>
      </c>
      <c r="D23154" t="str">
        <f>"1165"</f>
        <v>1165</v>
      </c>
      <c r="E23154" t="s">
        <v>1153</v>
      </c>
      <c r="F23154" t="s">
        <v>5</v>
      </c>
      <c r="G23154" t="s">
        <v>47094</v>
      </c>
      <c r="H23154" t="s">
        <v>47054</v>
      </c>
      <c r="I23154" t="s">
        <v>47111</v>
      </c>
      <c r="J23154" t="s">
        <v>47112</v>
      </c>
      <c r="K23154" t="s">
        <v>47113</v>
      </c>
      <c r="L23154">
        <v>32.590000000000003</v>
      </c>
      <c r="M23154">
        <v>65</v>
      </c>
      <c r="N23154">
        <v>0</v>
      </c>
      <c r="O23154">
        <v>65</v>
      </c>
      <c r="P23154">
        <v>0</v>
      </c>
    </row>
    <row r="23155" spans="1:16" x14ac:dyDescent="0.25">
      <c r="A23155" t="s">
        <v>45891</v>
      </c>
      <c r="B23155" t="s">
        <v>13816</v>
      </c>
      <c r="C23155" t="s">
        <v>13817</v>
      </c>
      <c r="D23155" t="str">
        <f>"1746"</f>
        <v>1746</v>
      </c>
      <c r="E23155" t="s">
        <v>807</v>
      </c>
      <c r="F23155" t="s">
        <v>5</v>
      </c>
      <c r="G23155" t="s">
        <v>47094</v>
      </c>
      <c r="H23155" t="s">
        <v>47054</v>
      </c>
      <c r="I23155" t="s">
        <v>47111</v>
      </c>
      <c r="J23155" t="s">
        <v>47112</v>
      </c>
      <c r="K23155" t="s">
        <v>47113</v>
      </c>
      <c r="L23155">
        <v>30.12</v>
      </c>
      <c r="M23155">
        <v>65</v>
      </c>
      <c r="N23155">
        <v>0</v>
      </c>
      <c r="O23155">
        <v>65</v>
      </c>
      <c r="P23155">
        <v>0</v>
      </c>
    </row>
    <row r="23156" spans="1:16" x14ac:dyDescent="0.25">
      <c r="A23156" t="s">
        <v>45892</v>
      </c>
      <c r="B23156" t="s">
        <v>13816</v>
      </c>
      <c r="C23156" t="s">
        <v>13817</v>
      </c>
      <c r="D23156" t="str">
        <f>"4326"</f>
        <v>4326</v>
      </c>
      <c r="E23156" t="s">
        <v>7431</v>
      </c>
      <c r="F23156" t="s">
        <v>5</v>
      </c>
      <c r="G23156" t="s">
        <v>47094</v>
      </c>
      <c r="H23156" t="s">
        <v>47054</v>
      </c>
      <c r="I23156" t="s">
        <v>47111</v>
      </c>
      <c r="J23156" t="s">
        <v>47112</v>
      </c>
      <c r="K23156" t="s">
        <v>47113</v>
      </c>
      <c r="L23156">
        <v>32.590000000000003</v>
      </c>
      <c r="M23156">
        <v>65</v>
      </c>
      <c r="N23156">
        <v>0</v>
      </c>
      <c r="O23156">
        <v>65</v>
      </c>
      <c r="P23156">
        <v>0</v>
      </c>
    </row>
    <row r="23157" spans="1:16" x14ac:dyDescent="0.25">
      <c r="A23157" t="s">
        <v>45893</v>
      </c>
      <c r="B23157" t="s">
        <v>13816</v>
      </c>
      <c r="C23157" t="s">
        <v>13817</v>
      </c>
      <c r="D23157" t="str">
        <f>"6050"</f>
        <v>6050</v>
      </c>
      <c r="E23157" t="s">
        <v>6890</v>
      </c>
      <c r="F23157" t="s">
        <v>5</v>
      </c>
      <c r="G23157" t="s">
        <v>47094</v>
      </c>
      <c r="H23157" t="s">
        <v>47054</v>
      </c>
      <c r="I23157" t="s">
        <v>47111</v>
      </c>
      <c r="J23157" t="s">
        <v>47112</v>
      </c>
      <c r="K23157" t="s">
        <v>47113</v>
      </c>
      <c r="L23157">
        <v>32.590000000000003</v>
      </c>
      <c r="M23157">
        <v>65</v>
      </c>
      <c r="N23157">
        <v>0</v>
      </c>
      <c r="O23157">
        <v>65</v>
      </c>
      <c r="P23157">
        <v>0</v>
      </c>
    </row>
    <row r="23158" spans="1:16" x14ac:dyDescent="0.25">
      <c r="A23158" t="s">
        <v>45894</v>
      </c>
      <c r="B23158" t="s">
        <v>13818</v>
      </c>
      <c r="C23158" t="s">
        <v>13819</v>
      </c>
      <c r="D23158" t="str">
        <f>"1746"</f>
        <v>1746</v>
      </c>
      <c r="E23158" t="s">
        <v>807</v>
      </c>
      <c r="F23158" t="s">
        <v>5</v>
      </c>
      <c r="G23158" t="s">
        <v>47094</v>
      </c>
      <c r="H23158" t="s">
        <v>47054</v>
      </c>
      <c r="I23158" t="s">
        <v>47111</v>
      </c>
      <c r="J23158" t="s">
        <v>47112</v>
      </c>
      <c r="K23158" t="s">
        <v>47113</v>
      </c>
      <c r="L23158">
        <v>19.53</v>
      </c>
      <c r="M23158">
        <v>42</v>
      </c>
      <c r="N23158">
        <v>0</v>
      </c>
      <c r="O23158">
        <v>42</v>
      </c>
      <c r="P23158">
        <v>0</v>
      </c>
    </row>
    <row r="23159" spans="1:16" x14ac:dyDescent="0.25">
      <c r="A23159" t="s">
        <v>45895</v>
      </c>
      <c r="B23159" t="s">
        <v>13818</v>
      </c>
      <c r="C23159" t="s">
        <v>13819</v>
      </c>
      <c r="D23159" t="str">
        <f>"4818"</f>
        <v>4818</v>
      </c>
      <c r="E23159" t="s">
        <v>13812</v>
      </c>
      <c r="F23159" t="s">
        <v>5</v>
      </c>
      <c r="G23159" t="s">
        <v>47094</v>
      </c>
      <c r="H23159" t="s">
        <v>47054</v>
      </c>
      <c r="I23159" t="s">
        <v>47111</v>
      </c>
      <c r="J23159" t="s">
        <v>47112</v>
      </c>
      <c r="K23159" t="s">
        <v>47113</v>
      </c>
      <c r="L23159">
        <v>22.22</v>
      </c>
      <c r="M23159">
        <v>42</v>
      </c>
      <c r="N23159">
        <v>0</v>
      </c>
      <c r="O23159">
        <v>42</v>
      </c>
      <c r="P23159">
        <v>0</v>
      </c>
    </row>
    <row r="23160" spans="1:16" x14ac:dyDescent="0.25">
      <c r="A23160" t="s">
        <v>45896</v>
      </c>
      <c r="B23160" t="s">
        <v>13818</v>
      </c>
      <c r="C23160" t="s">
        <v>13819</v>
      </c>
      <c r="D23160" t="str">
        <f>"5139"</f>
        <v>5139</v>
      </c>
      <c r="E23160" t="s">
        <v>13813</v>
      </c>
      <c r="F23160" t="s">
        <v>5</v>
      </c>
      <c r="G23160" t="s">
        <v>47094</v>
      </c>
      <c r="H23160" t="s">
        <v>47054</v>
      </c>
      <c r="I23160" t="s">
        <v>47111</v>
      </c>
      <c r="J23160" t="s">
        <v>47112</v>
      </c>
      <c r="K23160" t="s">
        <v>47113</v>
      </c>
      <c r="L23160">
        <v>22.22</v>
      </c>
      <c r="M23160">
        <v>42</v>
      </c>
      <c r="N23160">
        <v>0</v>
      </c>
      <c r="O23160">
        <v>42</v>
      </c>
      <c r="P23160">
        <v>0</v>
      </c>
    </row>
    <row r="23161" spans="1:16" x14ac:dyDescent="0.25">
      <c r="A23161" t="s">
        <v>45897</v>
      </c>
      <c r="B23161" t="s">
        <v>13818</v>
      </c>
      <c r="C23161" t="s">
        <v>13819</v>
      </c>
      <c r="D23161" t="str">
        <f>"6339"</f>
        <v>6339</v>
      </c>
      <c r="E23161" t="s">
        <v>13814</v>
      </c>
      <c r="F23161" t="s">
        <v>5</v>
      </c>
      <c r="G23161" t="s">
        <v>47094</v>
      </c>
      <c r="H23161" t="s">
        <v>47054</v>
      </c>
      <c r="I23161" t="s">
        <v>47111</v>
      </c>
      <c r="J23161" t="s">
        <v>47112</v>
      </c>
      <c r="K23161" t="s">
        <v>47113</v>
      </c>
      <c r="L23161">
        <v>22.22</v>
      </c>
      <c r="M23161">
        <v>42</v>
      </c>
      <c r="N23161">
        <v>0</v>
      </c>
      <c r="O23161">
        <v>42</v>
      </c>
      <c r="P23161">
        <v>0</v>
      </c>
    </row>
    <row r="23162" spans="1:16" x14ac:dyDescent="0.25">
      <c r="A23162" t="s">
        <v>45898</v>
      </c>
      <c r="B23162" t="s">
        <v>13818</v>
      </c>
      <c r="C23162" t="s">
        <v>13819</v>
      </c>
      <c r="D23162" t="str">
        <f>"8053"</f>
        <v>8053</v>
      </c>
      <c r="E23162" t="s">
        <v>13815</v>
      </c>
      <c r="F23162" t="s">
        <v>5</v>
      </c>
      <c r="G23162" t="s">
        <v>47094</v>
      </c>
      <c r="H23162" t="s">
        <v>47054</v>
      </c>
      <c r="I23162" t="s">
        <v>47111</v>
      </c>
      <c r="J23162" t="s">
        <v>47112</v>
      </c>
      <c r="K23162" t="s">
        <v>47113</v>
      </c>
      <c r="L23162">
        <v>22.22</v>
      </c>
      <c r="M23162">
        <v>42</v>
      </c>
      <c r="N23162">
        <v>0</v>
      </c>
      <c r="O23162">
        <v>42</v>
      </c>
      <c r="P23162">
        <v>0</v>
      </c>
    </row>
    <row r="23163" spans="1:16" x14ac:dyDescent="0.25">
      <c r="A23163" t="s">
        <v>45899</v>
      </c>
      <c r="B23163" t="s">
        <v>13820</v>
      </c>
      <c r="C23163" t="s">
        <v>13821</v>
      </c>
      <c r="D23163" t="str">
        <f>"1746"</f>
        <v>1746</v>
      </c>
      <c r="E23163" t="s">
        <v>807</v>
      </c>
      <c r="F23163" t="s">
        <v>5</v>
      </c>
      <c r="G23163" t="s">
        <v>47094</v>
      </c>
      <c r="H23163" t="s">
        <v>47054</v>
      </c>
      <c r="I23163" t="s">
        <v>47111</v>
      </c>
      <c r="J23163" t="s">
        <v>47112</v>
      </c>
      <c r="K23163" t="s">
        <v>47113</v>
      </c>
      <c r="L23163">
        <v>26</v>
      </c>
      <c r="M23163">
        <v>53</v>
      </c>
      <c r="N23163">
        <v>0</v>
      </c>
      <c r="O23163">
        <v>53</v>
      </c>
      <c r="P23163">
        <v>0</v>
      </c>
    </row>
    <row r="23164" spans="1:16" x14ac:dyDescent="0.25">
      <c r="A23164" t="s">
        <v>45900</v>
      </c>
      <c r="B23164" t="s">
        <v>13820</v>
      </c>
      <c r="C23164" t="s">
        <v>13821</v>
      </c>
      <c r="D23164" t="str">
        <f>"4818"</f>
        <v>4818</v>
      </c>
      <c r="E23164" t="s">
        <v>13812</v>
      </c>
      <c r="F23164" t="s">
        <v>5</v>
      </c>
      <c r="G23164" t="s">
        <v>47094</v>
      </c>
      <c r="H23164" t="s">
        <v>47054</v>
      </c>
      <c r="I23164" t="s">
        <v>47111</v>
      </c>
      <c r="J23164" t="s">
        <v>47112</v>
      </c>
      <c r="K23164" t="s">
        <v>47113</v>
      </c>
      <c r="L23164">
        <v>28.65</v>
      </c>
      <c r="M23164">
        <v>53</v>
      </c>
      <c r="N23164">
        <v>0</v>
      </c>
      <c r="O23164">
        <v>53</v>
      </c>
      <c r="P23164">
        <v>0</v>
      </c>
    </row>
    <row r="23165" spans="1:16" x14ac:dyDescent="0.25">
      <c r="A23165" t="s">
        <v>45901</v>
      </c>
      <c r="B23165" t="s">
        <v>13820</v>
      </c>
      <c r="C23165" t="s">
        <v>13821</v>
      </c>
      <c r="D23165" t="str">
        <f>"5139"</f>
        <v>5139</v>
      </c>
      <c r="E23165" t="s">
        <v>13813</v>
      </c>
      <c r="F23165" t="s">
        <v>5</v>
      </c>
      <c r="G23165" t="s">
        <v>47094</v>
      </c>
      <c r="H23165" t="s">
        <v>47054</v>
      </c>
      <c r="I23165" t="s">
        <v>47111</v>
      </c>
      <c r="J23165" t="s">
        <v>47112</v>
      </c>
      <c r="K23165" t="s">
        <v>47113</v>
      </c>
      <c r="L23165">
        <v>28.65</v>
      </c>
      <c r="M23165">
        <v>53</v>
      </c>
      <c r="N23165">
        <v>0</v>
      </c>
      <c r="O23165">
        <v>53</v>
      </c>
      <c r="P23165">
        <v>0</v>
      </c>
    </row>
    <row r="23166" spans="1:16" x14ac:dyDescent="0.25">
      <c r="A23166" t="s">
        <v>45902</v>
      </c>
      <c r="B23166" t="s">
        <v>13820</v>
      </c>
      <c r="C23166" t="s">
        <v>13821</v>
      </c>
      <c r="D23166" t="str">
        <f>"6339"</f>
        <v>6339</v>
      </c>
      <c r="E23166" t="s">
        <v>13814</v>
      </c>
      <c r="F23166" t="s">
        <v>5</v>
      </c>
      <c r="G23166" t="s">
        <v>47094</v>
      </c>
      <c r="H23166" t="s">
        <v>47054</v>
      </c>
      <c r="I23166" t="s">
        <v>47111</v>
      </c>
      <c r="J23166" t="s">
        <v>47112</v>
      </c>
      <c r="K23166" t="s">
        <v>47113</v>
      </c>
      <c r="L23166">
        <v>28.65</v>
      </c>
      <c r="M23166">
        <v>53</v>
      </c>
      <c r="N23166">
        <v>0</v>
      </c>
      <c r="O23166">
        <v>53</v>
      </c>
      <c r="P23166">
        <v>0</v>
      </c>
    </row>
    <row r="23167" spans="1:16" x14ac:dyDescent="0.25">
      <c r="A23167" t="s">
        <v>45903</v>
      </c>
      <c r="B23167" t="s">
        <v>13820</v>
      </c>
      <c r="C23167" t="s">
        <v>13821</v>
      </c>
      <c r="D23167" t="str">
        <f>"8053"</f>
        <v>8053</v>
      </c>
      <c r="E23167" t="s">
        <v>13815</v>
      </c>
      <c r="F23167" t="s">
        <v>5</v>
      </c>
      <c r="G23167" t="s">
        <v>47094</v>
      </c>
      <c r="H23167" t="s">
        <v>47054</v>
      </c>
      <c r="I23167" t="s">
        <v>47111</v>
      </c>
      <c r="J23167" t="s">
        <v>47112</v>
      </c>
      <c r="K23167" t="s">
        <v>47113</v>
      </c>
      <c r="L23167">
        <v>28.65</v>
      </c>
      <c r="M23167">
        <v>53</v>
      </c>
      <c r="N23167">
        <v>0</v>
      </c>
      <c r="O23167">
        <v>53</v>
      </c>
      <c r="P23167">
        <v>0</v>
      </c>
    </row>
    <row r="23168" spans="1:16" x14ac:dyDescent="0.25">
      <c r="A23168" t="s">
        <v>45904</v>
      </c>
      <c r="B23168" t="s">
        <v>13822</v>
      </c>
      <c r="C23168" t="s">
        <v>13823</v>
      </c>
      <c r="D23168" t="str">
        <f>"1107"</f>
        <v>1107</v>
      </c>
      <c r="E23168" t="s">
        <v>1438</v>
      </c>
      <c r="F23168" t="s">
        <v>5</v>
      </c>
      <c r="G23168" t="s">
        <v>47093</v>
      </c>
      <c r="H23168" t="s">
        <v>47153</v>
      </c>
      <c r="I23168" t="s">
        <v>47132</v>
      </c>
      <c r="J23168" t="s">
        <v>47133</v>
      </c>
      <c r="K23168" t="s">
        <v>47113</v>
      </c>
      <c r="L23168">
        <v>37.71</v>
      </c>
      <c r="M23168">
        <v>69</v>
      </c>
      <c r="N23168">
        <v>0</v>
      </c>
      <c r="O23168">
        <v>69</v>
      </c>
      <c r="P23168">
        <v>0</v>
      </c>
    </row>
    <row r="23169" spans="1:16" x14ac:dyDescent="0.25">
      <c r="A23169" t="s">
        <v>45905</v>
      </c>
      <c r="B23169" t="s">
        <v>13822</v>
      </c>
      <c r="C23169" t="s">
        <v>13823</v>
      </c>
      <c r="D23169" t="str">
        <f>"2158"</f>
        <v>2158</v>
      </c>
      <c r="E23169" t="s">
        <v>1439</v>
      </c>
      <c r="F23169" t="s">
        <v>5</v>
      </c>
      <c r="G23169" t="s">
        <v>47093</v>
      </c>
      <c r="H23169" t="s">
        <v>47153</v>
      </c>
      <c r="I23169" t="s">
        <v>47132</v>
      </c>
      <c r="J23169" t="s">
        <v>47133</v>
      </c>
      <c r="K23169" t="s">
        <v>47113</v>
      </c>
      <c r="L23169">
        <v>37.71</v>
      </c>
      <c r="M23169">
        <v>69</v>
      </c>
      <c r="N23169">
        <v>0</v>
      </c>
      <c r="O23169">
        <v>69</v>
      </c>
      <c r="P23169">
        <v>0</v>
      </c>
    </row>
    <row r="23170" spans="1:16" x14ac:dyDescent="0.25">
      <c r="A23170" t="s">
        <v>45906</v>
      </c>
      <c r="B23170" t="s">
        <v>13822</v>
      </c>
      <c r="C23170" t="s">
        <v>13823</v>
      </c>
      <c r="D23170" t="str">
        <f>"3437"</f>
        <v>3437</v>
      </c>
      <c r="E23170" t="s">
        <v>13824</v>
      </c>
      <c r="F23170" t="s">
        <v>5</v>
      </c>
      <c r="G23170" t="s">
        <v>47093</v>
      </c>
      <c r="H23170" t="s">
        <v>47153</v>
      </c>
      <c r="I23170" t="s">
        <v>47132</v>
      </c>
      <c r="J23170" t="s">
        <v>47133</v>
      </c>
      <c r="K23170" t="s">
        <v>47113</v>
      </c>
      <c r="L23170">
        <v>37.71</v>
      </c>
      <c r="M23170">
        <v>69</v>
      </c>
      <c r="N23170">
        <v>0</v>
      </c>
      <c r="O23170">
        <v>69</v>
      </c>
      <c r="P23170">
        <v>0</v>
      </c>
    </row>
    <row r="23171" spans="1:16" x14ac:dyDescent="0.25">
      <c r="A23171" t="s">
        <v>45907</v>
      </c>
      <c r="B23171" t="s">
        <v>13822</v>
      </c>
      <c r="C23171" t="s">
        <v>13823</v>
      </c>
      <c r="D23171" t="str">
        <f>"7273"</f>
        <v>7273</v>
      </c>
      <c r="E23171" t="s">
        <v>13825</v>
      </c>
      <c r="F23171" t="s">
        <v>5</v>
      </c>
      <c r="G23171" t="s">
        <v>47093</v>
      </c>
      <c r="H23171" t="s">
        <v>47153</v>
      </c>
      <c r="I23171" t="s">
        <v>47132</v>
      </c>
      <c r="J23171" t="s">
        <v>47133</v>
      </c>
      <c r="K23171" t="s">
        <v>47113</v>
      </c>
      <c r="L23171">
        <v>37.71</v>
      </c>
      <c r="M23171">
        <v>69</v>
      </c>
      <c r="N23171">
        <v>0</v>
      </c>
      <c r="O23171">
        <v>69</v>
      </c>
      <c r="P23171">
        <v>0</v>
      </c>
    </row>
    <row r="23172" spans="1:16" x14ac:dyDescent="0.25">
      <c r="A23172" t="s">
        <v>45908</v>
      </c>
      <c r="B23172" t="s">
        <v>1436</v>
      </c>
      <c r="C23172" t="s">
        <v>1437</v>
      </c>
      <c r="D23172" t="str">
        <f>"1107"</f>
        <v>1107</v>
      </c>
      <c r="E23172" t="s">
        <v>1438</v>
      </c>
      <c r="F23172" t="s">
        <v>5</v>
      </c>
      <c r="G23172" t="s">
        <v>47093</v>
      </c>
      <c r="H23172" t="s">
        <v>47153</v>
      </c>
      <c r="I23172" t="s">
        <v>47132</v>
      </c>
      <c r="J23172" t="s">
        <v>47133</v>
      </c>
      <c r="K23172" t="s">
        <v>47113</v>
      </c>
      <c r="L23172">
        <v>38.17</v>
      </c>
      <c r="M23172">
        <v>69</v>
      </c>
      <c r="N23172">
        <v>0</v>
      </c>
      <c r="O23172">
        <v>69</v>
      </c>
      <c r="P23172">
        <v>0</v>
      </c>
    </row>
    <row r="23173" spans="1:16" x14ac:dyDescent="0.25">
      <c r="A23173" t="s">
        <v>45909</v>
      </c>
      <c r="B23173" t="s">
        <v>1436</v>
      </c>
      <c r="C23173" t="s">
        <v>1437</v>
      </c>
      <c r="D23173" t="str">
        <f>"2158"</f>
        <v>2158</v>
      </c>
      <c r="E23173" t="s">
        <v>1439</v>
      </c>
      <c r="F23173" t="s">
        <v>5</v>
      </c>
      <c r="G23173" t="s">
        <v>47093</v>
      </c>
      <c r="H23173" t="s">
        <v>47153</v>
      </c>
      <c r="I23173" t="s">
        <v>47132</v>
      </c>
      <c r="J23173" t="s">
        <v>47133</v>
      </c>
      <c r="K23173" t="s">
        <v>47113</v>
      </c>
      <c r="L23173">
        <v>38.17</v>
      </c>
      <c r="M23173">
        <v>69</v>
      </c>
      <c r="N23173">
        <v>0</v>
      </c>
      <c r="O23173">
        <v>69</v>
      </c>
      <c r="P23173">
        <v>0</v>
      </c>
    </row>
    <row r="23174" spans="1:16" x14ac:dyDescent="0.25">
      <c r="A23174" t="s">
        <v>45910</v>
      </c>
      <c r="B23174" t="s">
        <v>1436</v>
      </c>
      <c r="C23174" t="s">
        <v>1437</v>
      </c>
      <c r="D23174" t="str">
        <f>"3437"</f>
        <v>3437</v>
      </c>
      <c r="E23174" t="s">
        <v>13824</v>
      </c>
      <c r="F23174" t="s">
        <v>5</v>
      </c>
      <c r="G23174" t="s">
        <v>47093</v>
      </c>
      <c r="H23174" t="s">
        <v>47153</v>
      </c>
      <c r="I23174" t="s">
        <v>47132</v>
      </c>
      <c r="J23174" t="s">
        <v>47133</v>
      </c>
      <c r="K23174" t="s">
        <v>47113</v>
      </c>
      <c r="L23174">
        <v>38.17</v>
      </c>
      <c r="M23174">
        <v>69</v>
      </c>
      <c r="N23174">
        <v>0</v>
      </c>
      <c r="O23174">
        <v>69</v>
      </c>
      <c r="P23174">
        <v>0</v>
      </c>
    </row>
    <row r="23175" spans="1:16" x14ac:dyDescent="0.25">
      <c r="A23175" t="s">
        <v>45911</v>
      </c>
      <c r="B23175" t="s">
        <v>1436</v>
      </c>
      <c r="C23175" t="s">
        <v>1437</v>
      </c>
      <c r="D23175" t="str">
        <f>"7273"</f>
        <v>7273</v>
      </c>
      <c r="E23175" t="s">
        <v>13825</v>
      </c>
      <c r="F23175" t="s">
        <v>5</v>
      </c>
      <c r="G23175" t="s">
        <v>47093</v>
      </c>
      <c r="H23175" t="s">
        <v>47153</v>
      </c>
      <c r="I23175" t="s">
        <v>47132</v>
      </c>
      <c r="J23175" t="s">
        <v>47133</v>
      </c>
      <c r="K23175" t="s">
        <v>47113</v>
      </c>
      <c r="L23175">
        <v>38.17</v>
      </c>
      <c r="M23175">
        <v>69</v>
      </c>
      <c r="N23175">
        <v>0</v>
      </c>
      <c r="O23175">
        <v>69</v>
      </c>
      <c r="P23175">
        <v>0</v>
      </c>
    </row>
    <row r="23176" spans="1:16" x14ac:dyDescent="0.25">
      <c r="A23176" t="s">
        <v>45912</v>
      </c>
      <c r="B23176" t="s">
        <v>1440</v>
      </c>
      <c r="C23176" t="s">
        <v>1441</v>
      </c>
      <c r="D23176" t="str">
        <f>"2543"</f>
        <v>2543</v>
      </c>
      <c r="E23176" t="s">
        <v>13826</v>
      </c>
      <c r="F23176" t="s">
        <v>5</v>
      </c>
      <c r="G23176" t="s">
        <v>47093</v>
      </c>
      <c r="H23176" t="s">
        <v>47153</v>
      </c>
      <c r="I23176" t="s">
        <v>47132</v>
      </c>
      <c r="J23176" t="s">
        <v>47133</v>
      </c>
      <c r="K23176" t="s">
        <v>47113</v>
      </c>
      <c r="L23176">
        <v>36.33</v>
      </c>
      <c r="M23176">
        <v>69</v>
      </c>
      <c r="N23176">
        <v>0</v>
      </c>
      <c r="O23176">
        <v>69</v>
      </c>
      <c r="P23176">
        <v>0</v>
      </c>
    </row>
    <row r="23177" spans="1:16" x14ac:dyDescent="0.25">
      <c r="A23177" t="s">
        <v>45913</v>
      </c>
      <c r="B23177" t="s">
        <v>1440</v>
      </c>
      <c r="C23177" t="s">
        <v>1441</v>
      </c>
      <c r="D23177" t="str">
        <f>"4324"</f>
        <v>4324</v>
      </c>
      <c r="E23177" t="s">
        <v>1442</v>
      </c>
      <c r="F23177" t="s">
        <v>5</v>
      </c>
      <c r="G23177" t="s">
        <v>47093</v>
      </c>
      <c r="H23177" t="s">
        <v>47153</v>
      </c>
      <c r="I23177" t="s">
        <v>47132</v>
      </c>
      <c r="J23177" t="s">
        <v>47133</v>
      </c>
      <c r="K23177" t="s">
        <v>47113</v>
      </c>
      <c r="L23177">
        <v>36.33</v>
      </c>
      <c r="M23177">
        <v>69</v>
      </c>
      <c r="N23177">
        <v>0</v>
      </c>
      <c r="O23177">
        <v>69</v>
      </c>
      <c r="P23177">
        <v>0</v>
      </c>
    </row>
    <row r="23178" spans="1:16" x14ac:dyDescent="0.25">
      <c r="A23178" t="s">
        <v>45914</v>
      </c>
      <c r="B23178" t="s">
        <v>1440</v>
      </c>
      <c r="C23178" t="s">
        <v>1441</v>
      </c>
      <c r="D23178" t="str">
        <f>"5134"</f>
        <v>5134</v>
      </c>
      <c r="E23178" t="s">
        <v>1443</v>
      </c>
      <c r="F23178" t="s">
        <v>5</v>
      </c>
      <c r="G23178" t="s">
        <v>47093</v>
      </c>
      <c r="H23178" t="s">
        <v>47153</v>
      </c>
      <c r="I23178" t="s">
        <v>47132</v>
      </c>
      <c r="J23178" t="s">
        <v>47133</v>
      </c>
      <c r="K23178" t="s">
        <v>47113</v>
      </c>
      <c r="L23178">
        <v>36.33</v>
      </c>
      <c r="M23178">
        <v>69</v>
      </c>
      <c r="N23178">
        <v>0</v>
      </c>
      <c r="O23178">
        <v>69</v>
      </c>
      <c r="P23178">
        <v>0</v>
      </c>
    </row>
    <row r="23179" spans="1:16" x14ac:dyDescent="0.25">
      <c r="A23179" t="s">
        <v>45915</v>
      </c>
      <c r="B23179" t="s">
        <v>1440</v>
      </c>
      <c r="C23179" t="s">
        <v>1441</v>
      </c>
      <c r="D23179" t="str">
        <f>"6326"</f>
        <v>6326</v>
      </c>
      <c r="E23179" t="s">
        <v>1444</v>
      </c>
      <c r="F23179" t="s">
        <v>5</v>
      </c>
      <c r="G23179" t="s">
        <v>47093</v>
      </c>
      <c r="H23179" t="s">
        <v>47153</v>
      </c>
      <c r="I23179" t="s">
        <v>47132</v>
      </c>
      <c r="J23179" t="s">
        <v>47133</v>
      </c>
      <c r="K23179" t="s">
        <v>47113</v>
      </c>
      <c r="L23179">
        <v>36.33</v>
      </c>
      <c r="M23179">
        <v>69</v>
      </c>
      <c r="N23179">
        <v>0</v>
      </c>
      <c r="O23179">
        <v>69</v>
      </c>
      <c r="P23179">
        <v>0</v>
      </c>
    </row>
    <row r="23180" spans="1:16" x14ac:dyDescent="0.25">
      <c r="A23180" t="s">
        <v>45916</v>
      </c>
      <c r="B23180" t="s">
        <v>13827</v>
      </c>
      <c r="C23180" t="s">
        <v>13828</v>
      </c>
      <c r="D23180" t="str">
        <f>"2543"</f>
        <v>2543</v>
      </c>
      <c r="E23180" t="s">
        <v>13826</v>
      </c>
      <c r="F23180" t="s">
        <v>5</v>
      </c>
      <c r="G23180" t="s">
        <v>47093</v>
      </c>
      <c r="H23180" t="s">
        <v>47153</v>
      </c>
      <c r="I23180" t="s">
        <v>47132</v>
      </c>
      <c r="J23180" t="s">
        <v>47133</v>
      </c>
      <c r="K23180" t="s">
        <v>47113</v>
      </c>
      <c r="L23180">
        <v>38.619999999999997</v>
      </c>
      <c r="M23180">
        <v>69</v>
      </c>
      <c r="N23180">
        <v>0</v>
      </c>
      <c r="O23180">
        <v>69</v>
      </c>
      <c r="P23180">
        <v>0</v>
      </c>
    </row>
    <row r="23181" spans="1:16" x14ac:dyDescent="0.25">
      <c r="A23181" t="s">
        <v>45917</v>
      </c>
      <c r="B23181" t="s">
        <v>13827</v>
      </c>
      <c r="C23181" t="s">
        <v>13828</v>
      </c>
      <c r="D23181" t="str">
        <f>"4324"</f>
        <v>4324</v>
      </c>
      <c r="E23181" t="s">
        <v>1442</v>
      </c>
      <c r="F23181" t="s">
        <v>5</v>
      </c>
      <c r="G23181" t="s">
        <v>47093</v>
      </c>
      <c r="H23181" t="s">
        <v>47153</v>
      </c>
      <c r="I23181" t="s">
        <v>47132</v>
      </c>
      <c r="J23181" t="s">
        <v>47133</v>
      </c>
      <c r="K23181" t="s">
        <v>47113</v>
      </c>
      <c r="L23181">
        <v>38.619999999999997</v>
      </c>
      <c r="M23181">
        <v>69</v>
      </c>
      <c r="N23181">
        <v>0</v>
      </c>
      <c r="O23181">
        <v>69</v>
      </c>
      <c r="P23181">
        <v>0</v>
      </c>
    </row>
    <row r="23182" spans="1:16" x14ac:dyDescent="0.25">
      <c r="A23182" t="s">
        <v>45918</v>
      </c>
      <c r="B23182" t="s">
        <v>13827</v>
      </c>
      <c r="C23182" t="s">
        <v>13828</v>
      </c>
      <c r="D23182" t="str">
        <f>"5134"</f>
        <v>5134</v>
      </c>
      <c r="E23182" t="s">
        <v>1443</v>
      </c>
      <c r="F23182" t="s">
        <v>5</v>
      </c>
      <c r="G23182" t="s">
        <v>47093</v>
      </c>
      <c r="H23182" t="s">
        <v>47153</v>
      </c>
      <c r="I23182" t="s">
        <v>47132</v>
      </c>
      <c r="J23182" t="s">
        <v>47133</v>
      </c>
      <c r="K23182" t="s">
        <v>47113</v>
      </c>
      <c r="L23182">
        <v>38.619999999999997</v>
      </c>
      <c r="M23182">
        <v>69</v>
      </c>
      <c r="N23182">
        <v>0</v>
      </c>
      <c r="O23182">
        <v>69</v>
      </c>
      <c r="P23182">
        <v>0</v>
      </c>
    </row>
    <row r="23183" spans="1:16" x14ac:dyDescent="0.25">
      <c r="A23183" t="s">
        <v>45919</v>
      </c>
      <c r="B23183" t="s">
        <v>13827</v>
      </c>
      <c r="C23183" t="s">
        <v>13828</v>
      </c>
      <c r="D23183" t="str">
        <f>"6326"</f>
        <v>6326</v>
      </c>
      <c r="E23183" t="s">
        <v>1444</v>
      </c>
      <c r="F23183" t="s">
        <v>5</v>
      </c>
      <c r="G23183" t="s">
        <v>47093</v>
      </c>
      <c r="H23183" t="s">
        <v>47153</v>
      </c>
      <c r="I23183" t="s">
        <v>47132</v>
      </c>
      <c r="J23183" t="s">
        <v>47133</v>
      </c>
      <c r="K23183" t="s">
        <v>47113</v>
      </c>
      <c r="L23183">
        <v>38.619999999999997</v>
      </c>
      <c r="M23183">
        <v>69</v>
      </c>
      <c r="N23183">
        <v>0</v>
      </c>
      <c r="O23183">
        <v>69</v>
      </c>
      <c r="P23183">
        <v>0</v>
      </c>
    </row>
    <row r="23184" spans="1:16" x14ac:dyDescent="0.25">
      <c r="A23184" t="s">
        <v>45920</v>
      </c>
      <c r="B23184" t="s">
        <v>1445</v>
      </c>
      <c r="C23184" t="s">
        <v>1446</v>
      </c>
      <c r="D23184" t="str">
        <f>"2543"</f>
        <v>2543</v>
      </c>
      <c r="E23184" t="s">
        <v>13826</v>
      </c>
      <c r="F23184" t="s">
        <v>5</v>
      </c>
      <c r="G23184" t="s">
        <v>47093</v>
      </c>
      <c r="H23184" t="s">
        <v>47153</v>
      </c>
      <c r="I23184" t="s">
        <v>47132</v>
      </c>
      <c r="J23184" t="s">
        <v>47133</v>
      </c>
      <c r="K23184" t="s">
        <v>47113</v>
      </c>
      <c r="L23184">
        <v>35.869999999999997</v>
      </c>
      <c r="M23184">
        <v>69</v>
      </c>
      <c r="N23184">
        <v>0</v>
      </c>
      <c r="O23184">
        <v>69</v>
      </c>
      <c r="P23184">
        <v>0</v>
      </c>
    </row>
    <row r="23185" spans="1:16" x14ac:dyDescent="0.25">
      <c r="A23185" t="s">
        <v>45921</v>
      </c>
      <c r="B23185" t="s">
        <v>1445</v>
      </c>
      <c r="C23185" t="s">
        <v>1446</v>
      </c>
      <c r="D23185" t="str">
        <f>"4324"</f>
        <v>4324</v>
      </c>
      <c r="E23185" t="s">
        <v>1442</v>
      </c>
      <c r="F23185" t="s">
        <v>5</v>
      </c>
      <c r="G23185" t="s">
        <v>47093</v>
      </c>
      <c r="H23185" t="s">
        <v>47153</v>
      </c>
      <c r="I23185" t="s">
        <v>47132</v>
      </c>
      <c r="J23185" t="s">
        <v>47133</v>
      </c>
      <c r="K23185" t="s">
        <v>47113</v>
      </c>
      <c r="L23185">
        <v>35.869999999999997</v>
      </c>
      <c r="M23185">
        <v>69</v>
      </c>
      <c r="N23185">
        <v>0</v>
      </c>
      <c r="O23185">
        <v>69</v>
      </c>
      <c r="P23185">
        <v>0</v>
      </c>
    </row>
    <row r="23186" spans="1:16" x14ac:dyDescent="0.25">
      <c r="A23186" t="s">
        <v>45922</v>
      </c>
      <c r="B23186" t="s">
        <v>1445</v>
      </c>
      <c r="C23186" t="s">
        <v>1446</v>
      </c>
      <c r="D23186" t="str">
        <f>"5134"</f>
        <v>5134</v>
      </c>
      <c r="E23186" t="s">
        <v>1443</v>
      </c>
      <c r="F23186" t="s">
        <v>5</v>
      </c>
      <c r="G23186" t="s">
        <v>47093</v>
      </c>
      <c r="H23186" t="s">
        <v>47153</v>
      </c>
      <c r="I23186" t="s">
        <v>47132</v>
      </c>
      <c r="J23186" t="s">
        <v>47133</v>
      </c>
      <c r="K23186" t="s">
        <v>47113</v>
      </c>
      <c r="L23186">
        <v>35.869999999999997</v>
      </c>
      <c r="M23186">
        <v>69</v>
      </c>
      <c r="N23186">
        <v>0</v>
      </c>
      <c r="O23186">
        <v>69</v>
      </c>
      <c r="P23186">
        <v>0</v>
      </c>
    </row>
    <row r="23187" spans="1:16" x14ac:dyDescent="0.25">
      <c r="A23187" t="s">
        <v>45923</v>
      </c>
      <c r="B23187" t="s">
        <v>1445</v>
      </c>
      <c r="C23187" t="s">
        <v>1446</v>
      </c>
      <c r="D23187" t="str">
        <f>"6326"</f>
        <v>6326</v>
      </c>
      <c r="E23187" t="s">
        <v>1444</v>
      </c>
      <c r="F23187" t="s">
        <v>5</v>
      </c>
      <c r="G23187" t="s">
        <v>47093</v>
      </c>
      <c r="H23187" t="s">
        <v>47153</v>
      </c>
      <c r="I23187" t="s">
        <v>47132</v>
      </c>
      <c r="J23187" t="s">
        <v>47133</v>
      </c>
      <c r="K23187" t="s">
        <v>47113</v>
      </c>
      <c r="L23187">
        <v>35.869999999999997</v>
      </c>
      <c r="M23187">
        <v>69</v>
      </c>
      <c r="N23187">
        <v>0</v>
      </c>
      <c r="O23187">
        <v>69</v>
      </c>
      <c r="P23187">
        <v>0</v>
      </c>
    </row>
    <row r="23188" spans="1:16" x14ac:dyDescent="0.25">
      <c r="A23188" t="s">
        <v>45924</v>
      </c>
      <c r="B23188" t="s">
        <v>1447</v>
      </c>
      <c r="C23188" t="s">
        <v>1448</v>
      </c>
      <c r="D23188" t="s">
        <v>1453</v>
      </c>
      <c r="E23188" t="s">
        <v>1454</v>
      </c>
      <c r="F23188" t="s">
        <v>5</v>
      </c>
      <c r="G23188" t="s">
        <v>47093</v>
      </c>
      <c r="H23188" t="s">
        <v>47153</v>
      </c>
      <c r="I23188" t="s">
        <v>47132</v>
      </c>
      <c r="J23188" t="s">
        <v>47133</v>
      </c>
      <c r="K23188" t="s">
        <v>47113</v>
      </c>
      <c r="L23188">
        <v>43</v>
      </c>
      <c r="M23188">
        <v>82</v>
      </c>
      <c r="N23188">
        <v>0</v>
      </c>
      <c r="O23188">
        <v>82</v>
      </c>
      <c r="P23188">
        <v>0</v>
      </c>
    </row>
    <row r="23189" spans="1:16" x14ac:dyDescent="0.25">
      <c r="A23189" t="s">
        <v>45925</v>
      </c>
      <c r="B23189" t="s">
        <v>1447</v>
      </c>
      <c r="C23189" t="s">
        <v>1448</v>
      </c>
      <c r="D23189" t="s">
        <v>1449</v>
      </c>
      <c r="E23189" t="s">
        <v>1450</v>
      </c>
      <c r="F23189" t="s">
        <v>5</v>
      </c>
      <c r="G23189" t="s">
        <v>47093</v>
      </c>
      <c r="H23189" t="s">
        <v>47153</v>
      </c>
      <c r="I23189" t="s">
        <v>47132</v>
      </c>
      <c r="J23189" t="s">
        <v>47133</v>
      </c>
      <c r="K23189" t="s">
        <v>47113</v>
      </c>
      <c r="L23189">
        <v>34.03</v>
      </c>
      <c r="M23189">
        <v>69</v>
      </c>
      <c r="N23189">
        <v>0</v>
      </c>
      <c r="O23189">
        <v>69</v>
      </c>
      <c r="P23189">
        <v>0</v>
      </c>
    </row>
    <row r="23190" spans="1:16" x14ac:dyDescent="0.25">
      <c r="A23190" t="s">
        <v>45926</v>
      </c>
      <c r="B23190" t="s">
        <v>1447</v>
      </c>
      <c r="C23190" t="s">
        <v>1448</v>
      </c>
      <c r="D23190" t="s">
        <v>13829</v>
      </c>
      <c r="E23190" t="s">
        <v>13830</v>
      </c>
      <c r="F23190" t="s">
        <v>5</v>
      </c>
      <c r="G23190" t="s">
        <v>47093</v>
      </c>
      <c r="H23190" t="s">
        <v>47153</v>
      </c>
      <c r="I23190" t="s">
        <v>47132</v>
      </c>
      <c r="J23190" t="s">
        <v>47133</v>
      </c>
      <c r="K23190" t="s">
        <v>47113</v>
      </c>
      <c r="L23190">
        <v>33.46</v>
      </c>
      <c r="M23190">
        <v>69</v>
      </c>
      <c r="N23190">
        <v>0</v>
      </c>
      <c r="O23190">
        <v>69</v>
      </c>
      <c r="P23190">
        <v>0</v>
      </c>
    </row>
    <row r="23191" spans="1:16" x14ac:dyDescent="0.25">
      <c r="A23191" t="s">
        <v>45927</v>
      </c>
      <c r="B23191" t="s">
        <v>1451</v>
      </c>
      <c r="C23191" t="s">
        <v>1452</v>
      </c>
      <c r="D23191" t="s">
        <v>1453</v>
      </c>
      <c r="E23191" t="s">
        <v>1454</v>
      </c>
      <c r="F23191" t="s">
        <v>5</v>
      </c>
      <c r="G23191" t="s">
        <v>47093</v>
      </c>
      <c r="H23191" t="s">
        <v>47153</v>
      </c>
      <c r="I23191" t="s">
        <v>47132</v>
      </c>
      <c r="J23191" t="s">
        <v>47133</v>
      </c>
      <c r="K23191" t="s">
        <v>47113</v>
      </c>
      <c r="L23191">
        <v>42.31</v>
      </c>
      <c r="M23191">
        <v>82</v>
      </c>
      <c r="N23191">
        <v>0</v>
      </c>
      <c r="O23191">
        <v>82</v>
      </c>
      <c r="P23191">
        <v>0</v>
      </c>
    </row>
    <row r="23192" spans="1:16" x14ac:dyDescent="0.25">
      <c r="A23192" t="s">
        <v>14706</v>
      </c>
      <c r="B23192" t="s">
        <v>1451</v>
      </c>
      <c r="C23192" t="s">
        <v>1452</v>
      </c>
      <c r="D23192" t="s">
        <v>1449</v>
      </c>
      <c r="E23192" t="s">
        <v>1450</v>
      </c>
      <c r="F23192" t="s">
        <v>5</v>
      </c>
      <c r="G23192" t="s">
        <v>47093</v>
      </c>
      <c r="H23192" t="s">
        <v>47153</v>
      </c>
      <c r="I23192" t="s">
        <v>47132</v>
      </c>
      <c r="J23192" t="s">
        <v>47133</v>
      </c>
      <c r="K23192" t="s">
        <v>47113</v>
      </c>
      <c r="L23192">
        <v>33.57</v>
      </c>
      <c r="M23192">
        <v>69</v>
      </c>
      <c r="N23192">
        <v>0</v>
      </c>
      <c r="O23192">
        <v>69</v>
      </c>
      <c r="P23192">
        <v>0</v>
      </c>
    </row>
    <row r="23193" spans="1:16" x14ac:dyDescent="0.25">
      <c r="A23193" t="s">
        <v>45928</v>
      </c>
      <c r="B23193" t="s">
        <v>1451</v>
      </c>
      <c r="C23193" t="s">
        <v>1452</v>
      </c>
      <c r="D23193" t="s">
        <v>13829</v>
      </c>
      <c r="E23193" t="s">
        <v>13830</v>
      </c>
      <c r="F23193" t="s">
        <v>5</v>
      </c>
      <c r="G23193" t="s">
        <v>47093</v>
      </c>
      <c r="H23193" t="s">
        <v>47153</v>
      </c>
      <c r="I23193" t="s">
        <v>47132</v>
      </c>
      <c r="J23193" t="s">
        <v>47133</v>
      </c>
      <c r="K23193" t="s">
        <v>47113</v>
      </c>
      <c r="L23193">
        <v>33.229999999999997</v>
      </c>
      <c r="M23193">
        <v>69</v>
      </c>
      <c r="N23193">
        <v>0</v>
      </c>
      <c r="O23193">
        <v>69</v>
      </c>
      <c r="P23193">
        <v>0</v>
      </c>
    </row>
    <row r="23194" spans="1:16" x14ac:dyDescent="0.25">
      <c r="A23194" t="s">
        <v>45929</v>
      </c>
      <c r="B23194" t="s">
        <v>13831</v>
      </c>
      <c r="C23194" t="s">
        <v>13832</v>
      </c>
      <c r="D23194" t="s">
        <v>1453</v>
      </c>
      <c r="E23194" t="s">
        <v>1454</v>
      </c>
      <c r="F23194" t="s">
        <v>5</v>
      </c>
      <c r="G23194" t="s">
        <v>47093</v>
      </c>
      <c r="H23194" t="s">
        <v>47153</v>
      </c>
      <c r="I23194" t="s">
        <v>47132</v>
      </c>
      <c r="J23194" t="s">
        <v>47133</v>
      </c>
      <c r="K23194" t="s">
        <v>47113</v>
      </c>
      <c r="L23194">
        <v>43</v>
      </c>
      <c r="M23194">
        <v>82</v>
      </c>
      <c r="N23194">
        <v>0</v>
      </c>
      <c r="O23194">
        <v>82</v>
      </c>
      <c r="P23194">
        <v>0</v>
      </c>
    </row>
    <row r="23195" spans="1:16" x14ac:dyDescent="0.25">
      <c r="A23195" t="s">
        <v>45930</v>
      </c>
      <c r="B23195" t="s">
        <v>13831</v>
      </c>
      <c r="C23195" t="s">
        <v>13832</v>
      </c>
      <c r="D23195" t="s">
        <v>1449</v>
      </c>
      <c r="E23195" t="s">
        <v>1450</v>
      </c>
      <c r="F23195" t="s">
        <v>5</v>
      </c>
      <c r="G23195" t="s">
        <v>47093</v>
      </c>
      <c r="H23195" t="s">
        <v>47153</v>
      </c>
      <c r="I23195" t="s">
        <v>47132</v>
      </c>
      <c r="J23195" t="s">
        <v>47133</v>
      </c>
      <c r="K23195" t="s">
        <v>47113</v>
      </c>
      <c r="L23195">
        <v>35.18</v>
      </c>
      <c r="M23195">
        <v>69</v>
      </c>
      <c r="N23195">
        <v>0</v>
      </c>
      <c r="O23195">
        <v>69</v>
      </c>
      <c r="P23195">
        <v>0</v>
      </c>
    </row>
    <row r="23196" spans="1:16" x14ac:dyDescent="0.25">
      <c r="A23196" t="s">
        <v>45931</v>
      </c>
      <c r="B23196" t="s">
        <v>13831</v>
      </c>
      <c r="C23196" t="s">
        <v>13832</v>
      </c>
      <c r="D23196" t="s">
        <v>13829</v>
      </c>
      <c r="E23196" t="s">
        <v>13830</v>
      </c>
      <c r="F23196" t="s">
        <v>5</v>
      </c>
      <c r="G23196" t="s">
        <v>47093</v>
      </c>
      <c r="H23196" t="s">
        <v>47153</v>
      </c>
      <c r="I23196" t="s">
        <v>47132</v>
      </c>
      <c r="J23196" t="s">
        <v>47133</v>
      </c>
      <c r="K23196" t="s">
        <v>47113</v>
      </c>
      <c r="L23196">
        <v>34.26</v>
      </c>
      <c r="M23196">
        <v>69</v>
      </c>
      <c r="N23196">
        <v>0</v>
      </c>
      <c r="O23196">
        <v>69</v>
      </c>
      <c r="P23196">
        <v>0</v>
      </c>
    </row>
    <row r="23197" spans="1:16" x14ac:dyDescent="0.25">
      <c r="A23197" t="s">
        <v>45932</v>
      </c>
      <c r="B23197" t="s">
        <v>1455</v>
      </c>
      <c r="C23197" t="s">
        <v>1456</v>
      </c>
      <c r="D23197" t="s">
        <v>1453</v>
      </c>
      <c r="E23197" t="s">
        <v>1454</v>
      </c>
      <c r="F23197" t="s">
        <v>5</v>
      </c>
      <c r="G23197" t="s">
        <v>47098</v>
      </c>
      <c r="H23197" t="s">
        <v>47153</v>
      </c>
      <c r="I23197" t="s">
        <v>47132</v>
      </c>
      <c r="J23197" t="s">
        <v>47133</v>
      </c>
      <c r="K23197" t="s">
        <v>47113</v>
      </c>
      <c r="L23197">
        <v>57.95</v>
      </c>
      <c r="M23197">
        <v>115</v>
      </c>
      <c r="N23197">
        <v>0</v>
      </c>
      <c r="O23197">
        <v>115</v>
      </c>
      <c r="P23197">
        <v>0</v>
      </c>
    </row>
    <row r="23198" spans="1:16" x14ac:dyDescent="0.25">
      <c r="A23198" t="s">
        <v>14707</v>
      </c>
      <c r="B23198" t="s">
        <v>1455</v>
      </c>
      <c r="C23198" t="s">
        <v>1456</v>
      </c>
      <c r="D23198" t="s">
        <v>1449</v>
      </c>
      <c r="E23198" t="s">
        <v>1450</v>
      </c>
      <c r="F23198" t="s">
        <v>5</v>
      </c>
      <c r="G23198" t="s">
        <v>47098</v>
      </c>
      <c r="H23198" t="s">
        <v>47153</v>
      </c>
      <c r="I23198" t="s">
        <v>47132</v>
      </c>
      <c r="J23198" t="s">
        <v>47133</v>
      </c>
      <c r="K23198" t="s">
        <v>47113</v>
      </c>
      <c r="L23198">
        <v>51.62</v>
      </c>
      <c r="M23198">
        <v>103</v>
      </c>
      <c r="N23198">
        <v>0</v>
      </c>
      <c r="O23198">
        <v>103</v>
      </c>
      <c r="P23198">
        <v>0</v>
      </c>
    </row>
    <row r="23199" spans="1:16" x14ac:dyDescent="0.25">
      <c r="A23199" t="s">
        <v>45933</v>
      </c>
      <c r="B23199" t="s">
        <v>1455</v>
      </c>
      <c r="C23199" t="s">
        <v>1456</v>
      </c>
      <c r="D23199" t="s">
        <v>13829</v>
      </c>
      <c r="E23199" t="s">
        <v>13830</v>
      </c>
      <c r="F23199" t="s">
        <v>5</v>
      </c>
      <c r="G23199" t="s">
        <v>47098</v>
      </c>
      <c r="H23199" t="s">
        <v>47153</v>
      </c>
      <c r="I23199" t="s">
        <v>47132</v>
      </c>
      <c r="J23199" t="s">
        <v>47133</v>
      </c>
      <c r="K23199" t="s">
        <v>47113</v>
      </c>
      <c r="L23199">
        <v>49.32</v>
      </c>
      <c r="M23199">
        <v>100</v>
      </c>
      <c r="N23199">
        <v>0</v>
      </c>
      <c r="O23199">
        <v>100</v>
      </c>
      <c r="P23199">
        <v>0</v>
      </c>
    </row>
    <row r="23200" spans="1:16" x14ac:dyDescent="0.25">
      <c r="A23200" t="s">
        <v>45934</v>
      </c>
      <c r="B23200" t="s">
        <v>13833</v>
      </c>
      <c r="C23200" t="s">
        <v>1458</v>
      </c>
      <c r="D23200" t="s">
        <v>1459</v>
      </c>
      <c r="E23200" t="s">
        <v>1460</v>
      </c>
      <c r="F23200" t="s">
        <v>5</v>
      </c>
      <c r="G23200" t="s">
        <v>47093</v>
      </c>
      <c r="H23200" t="s">
        <v>47153</v>
      </c>
      <c r="I23200" t="s">
        <v>47132</v>
      </c>
      <c r="J23200" t="s">
        <v>47133</v>
      </c>
      <c r="K23200" t="s">
        <v>47113</v>
      </c>
      <c r="L23200">
        <v>43.23</v>
      </c>
      <c r="M23200">
        <v>80</v>
      </c>
      <c r="N23200">
        <v>0</v>
      </c>
      <c r="O23200">
        <v>80</v>
      </c>
      <c r="P23200">
        <v>0</v>
      </c>
    </row>
    <row r="23201" spans="1:16" x14ac:dyDescent="0.25">
      <c r="A23201" t="s">
        <v>45935</v>
      </c>
      <c r="B23201" t="s">
        <v>13833</v>
      </c>
      <c r="C23201" t="s">
        <v>1458</v>
      </c>
      <c r="D23201" t="s">
        <v>1467</v>
      </c>
      <c r="E23201" t="s">
        <v>1468</v>
      </c>
      <c r="F23201" t="s">
        <v>5</v>
      </c>
      <c r="G23201" t="s">
        <v>47093</v>
      </c>
      <c r="H23201" t="s">
        <v>47153</v>
      </c>
      <c r="I23201" t="s">
        <v>47132</v>
      </c>
      <c r="J23201" t="s">
        <v>47133</v>
      </c>
      <c r="K23201" t="s">
        <v>47113</v>
      </c>
      <c r="L23201">
        <v>30.93</v>
      </c>
      <c r="M23201">
        <v>66</v>
      </c>
      <c r="N23201">
        <v>0</v>
      </c>
      <c r="O23201">
        <v>66</v>
      </c>
      <c r="P23201">
        <v>0</v>
      </c>
    </row>
    <row r="23202" spans="1:16" x14ac:dyDescent="0.25">
      <c r="A23202" t="s">
        <v>45936</v>
      </c>
      <c r="B23202" t="s">
        <v>13833</v>
      </c>
      <c r="C23202" t="s">
        <v>1458</v>
      </c>
      <c r="D23202" t="s">
        <v>1461</v>
      </c>
      <c r="E23202" t="s">
        <v>1462</v>
      </c>
      <c r="F23202" t="s">
        <v>5</v>
      </c>
      <c r="G23202" t="s">
        <v>47093</v>
      </c>
      <c r="H23202" t="s">
        <v>47153</v>
      </c>
      <c r="I23202" t="s">
        <v>47132</v>
      </c>
      <c r="J23202" t="s">
        <v>47133</v>
      </c>
      <c r="K23202" t="s">
        <v>47113</v>
      </c>
      <c r="L23202">
        <v>40.46</v>
      </c>
      <c r="M23202">
        <v>77</v>
      </c>
      <c r="N23202">
        <v>0</v>
      </c>
      <c r="O23202">
        <v>77</v>
      </c>
      <c r="P23202">
        <v>0</v>
      </c>
    </row>
    <row r="23203" spans="1:16" x14ac:dyDescent="0.25">
      <c r="A23203" t="s">
        <v>45937</v>
      </c>
      <c r="B23203" t="s">
        <v>13833</v>
      </c>
      <c r="C23203" t="s">
        <v>1458</v>
      </c>
      <c r="D23203" t="s">
        <v>5420</v>
      </c>
      <c r="E23203" t="s">
        <v>5421</v>
      </c>
      <c r="F23203" t="s">
        <v>4</v>
      </c>
      <c r="G23203" t="s">
        <v>47093</v>
      </c>
      <c r="H23203" t="s">
        <v>47153</v>
      </c>
      <c r="I23203" t="s">
        <v>47132</v>
      </c>
      <c r="J23203" t="s">
        <v>47133</v>
      </c>
      <c r="K23203" t="s">
        <v>47113</v>
      </c>
      <c r="L23203">
        <v>47.31</v>
      </c>
      <c r="M23203">
        <v>92</v>
      </c>
      <c r="N23203">
        <v>0</v>
      </c>
      <c r="O23203">
        <v>92</v>
      </c>
      <c r="P23203">
        <v>0</v>
      </c>
    </row>
    <row r="23204" spans="1:16" x14ac:dyDescent="0.25">
      <c r="A23204" t="s">
        <v>45938</v>
      </c>
      <c r="B23204" t="s">
        <v>13833</v>
      </c>
      <c r="C23204" t="s">
        <v>1458</v>
      </c>
      <c r="D23204" t="s">
        <v>1463</v>
      </c>
      <c r="E23204" t="s">
        <v>1464</v>
      </c>
      <c r="F23204" t="s">
        <v>4</v>
      </c>
      <c r="G23204" t="s">
        <v>47093</v>
      </c>
      <c r="H23204" t="s">
        <v>47153</v>
      </c>
      <c r="I23204" t="s">
        <v>47132</v>
      </c>
      <c r="J23204" t="s">
        <v>47133</v>
      </c>
      <c r="K23204" t="s">
        <v>47113</v>
      </c>
      <c r="L23204">
        <v>47.31</v>
      </c>
      <c r="M23204">
        <v>92</v>
      </c>
      <c r="N23204">
        <v>0</v>
      </c>
      <c r="O23204">
        <v>92</v>
      </c>
      <c r="P23204">
        <v>0</v>
      </c>
    </row>
    <row r="23205" spans="1:16" x14ac:dyDescent="0.25">
      <c r="A23205" t="s">
        <v>45939</v>
      </c>
      <c r="B23205" t="s">
        <v>1457</v>
      </c>
      <c r="C23205" t="s">
        <v>1458</v>
      </c>
      <c r="D23205" t="s">
        <v>1459</v>
      </c>
      <c r="E23205" t="s">
        <v>1460</v>
      </c>
      <c r="F23205" t="s">
        <v>5</v>
      </c>
      <c r="G23205" t="s">
        <v>47093</v>
      </c>
      <c r="H23205" t="s">
        <v>47153</v>
      </c>
      <c r="I23205" t="s">
        <v>47132</v>
      </c>
      <c r="J23205" t="s">
        <v>47133</v>
      </c>
      <c r="K23205" t="s">
        <v>47113</v>
      </c>
      <c r="L23205">
        <v>53.82</v>
      </c>
      <c r="M23205">
        <v>80</v>
      </c>
      <c r="N23205">
        <v>0</v>
      </c>
      <c r="O23205">
        <v>80</v>
      </c>
      <c r="P23205">
        <v>0</v>
      </c>
    </row>
    <row r="23206" spans="1:16" x14ac:dyDescent="0.25">
      <c r="A23206" t="s">
        <v>45940</v>
      </c>
      <c r="B23206" t="s">
        <v>1457</v>
      </c>
      <c r="C23206" t="s">
        <v>1458</v>
      </c>
      <c r="D23206" t="s">
        <v>1467</v>
      </c>
      <c r="E23206" t="s">
        <v>1468</v>
      </c>
      <c r="F23206" t="s">
        <v>5</v>
      </c>
      <c r="G23206" t="s">
        <v>47093</v>
      </c>
      <c r="H23206" t="s">
        <v>47153</v>
      </c>
      <c r="I23206" t="s">
        <v>47132</v>
      </c>
      <c r="J23206" t="s">
        <v>47133</v>
      </c>
      <c r="K23206" t="s">
        <v>47113</v>
      </c>
      <c r="L23206">
        <v>38.840000000000003</v>
      </c>
      <c r="M23206">
        <v>66</v>
      </c>
      <c r="N23206">
        <v>0</v>
      </c>
      <c r="O23206">
        <v>66</v>
      </c>
      <c r="P23206">
        <v>0</v>
      </c>
    </row>
    <row r="23207" spans="1:16" x14ac:dyDescent="0.25">
      <c r="A23207" t="s">
        <v>45941</v>
      </c>
      <c r="B23207" t="s">
        <v>1457</v>
      </c>
      <c r="C23207" t="s">
        <v>1458</v>
      </c>
      <c r="D23207" t="s">
        <v>1461</v>
      </c>
      <c r="E23207" t="s">
        <v>1462</v>
      </c>
      <c r="F23207" t="s">
        <v>5</v>
      </c>
      <c r="G23207" t="s">
        <v>47093</v>
      </c>
      <c r="H23207" t="s">
        <v>47153</v>
      </c>
      <c r="I23207" t="s">
        <v>47132</v>
      </c>
      <c r="J23207" t="s">
        <v>47133</v>
      </c>
      <c r="K23207" t="s">
        <v>47113</v>
      </c>
      <c r="L23207">
        <v>50.45</v>
      </c>
      <c r="M23207">
        <v>77</v>
      </c>
      <c r="N23207">
        <v>0</v>
      </c>
      <c r="O23207">
        <v>77</v>
      </c>
      <c r="P23207">
        <v>0</v>
      </c>
    </row>
    <row r="23208" spans="1:16" x14ac:dyDescent="0.25">
      <c r="A23208" t="s">
        <v>45942</v>
      </c>
      <c r="B23208" t="s">
        <v>1457</v>
      </c>
      <c r="C23208" t="s">
        <v>1458</v>
      </c>
      <c r="D23208" t="s">
        <v>1463</v>
      </c>
      <c r="E23208" t="s">
        <v>1464</v>
      </c>
      <c r="F23208" t="s">
        <v>4</v>
      </c>
      <c r="G23208" t="s">
        <v>47093</v>
      </c>
      <c r="H23208" t="s">
        <v>47153</v>
      </c>
      <c r="I23208" t="s">
        <v>47132</v>
      </c>
      <c r="J23208" t="s">
        <v>47133</v>
      </c>
      <c r="K23208" t="s">
        <v>47113</v>
      </c>
      <c r="L23208">
        <v>47.31</v>
      </c>
      <c r="M23208">
        <v>92</v>
      </c>
      <c r="N23208">
        <v>0</v>
      </c>
      <c r="O23208">
        <v>92</v>
      </c>
      <c r="P23208">
        <v>0</v>
      </c>
    </row>
    <row r="23209" spans="1:16" x14ac:dyDescent="0.25">
      <c r="A23209" t="s">
        <v>45943</v>
      </c>
      <c r="B23209" t="s">
        <v>13834</v>
      </c>
      <c r="C23209" t="s">
        <v>1466</v>
      </c>
      <c r="D23209" t="s">
        <v>1459</v>
      </c>
      <c r="E23209" t="s">
        <v>1460</v>
      </c>
      <c r="F23209" t="s">
        <v>5</v>
      </c>
      <c r="G23209" t="s">
        <v>47093</v>
      </c>
      <c r="H23209" t="s">
        <v>47153</v>
      </c>
      <c r="I23209" t="s">
        <v>47132</v>
      </c>
      <c r="J23209" t="s">
        <v>47133</v>
      </c>
      <c r="K23209" t="s">
        <v>47113</v>
      </c>
      <c r="L23209">
        <v>45.53</v>
      </c>
      <c r="M23209">
        <v>80</v>
      </c>
      <c r="N23209">
        <v>0</v>
      </c>
      <c r="O23209">
        <v>80</v>
      </c>
      <c r="P23209">
        <v>0</v>
      </c>
    </row>
    <row r="23210" spans="1:16" x14ac:dyDescent="0.25">
      <c r="A23210" t="s">
        <v>45944</v>
      </c>
      <c r="B23210" t="s">
        <v>13834</v>
      </c>
      <c r="C23210" t="s">
        <v>1466</v>
      </c>
      <c r="D23210" t="s">
        <v>1467</v>
      </c>
      <c r="E23210" t="s">
        <v>1468</v>
      </c>
      <c r="F23210" t="s">
        <v>5</v>
      </c>
      <c r="G23210" t="s">
        <v>47093</v>
      </c>
      <c r="H23210" t="s">
        <v>47153</v>
      </c>
      <c r="I23210" t="s">
        <v>47132</v>
      </c>
      <c r="J23210" t="s">
        <v>47133</v>
      </c>
      <c r="K23210" t="s">
        <v>47113</v>
      </c>
      <c r="L23210">
        <v>32.880000000000003</v>
      </c>
      <c r="M23210">
        <v>66</v>
      </c>
      <c r="N23210">
        <v>0</v>
      </c>
      <c r="O23210">
        <v>66</v>
      </c>
      <c r="P23210">
        <v>0</v>
      </c>
    </row>
    <row r="23211" spans="1:16" x14ac:dyDescent="0.25">
      <c r="A23211" t="s">
        <v>45945</v>
      </c>
      <c r="B23211" t="s">
        <v>13834</v>
      </c>
      <c r="C23211" t="s">
        <v>1466</v>
      </c>
      <c r="D23211" t="s">
        <v>1461</v>
      </c>
      <c r="E23211" t="s">
        <v>1462</v>
      </c>
      <c r="F23211" t="s">
        <v>5</v>
      </c>
      <c r="G23211" t="s">
        <v>47093</v>
      </c>
      <c r="H23211" t="s">
        <v>47153</v>
      </c>
      <c r="I23211" t="s">
        <v>47132</v>
      </c>
      <c r="J23211" t="s">
        <v>47133</v>
      </c>
      <c r="K23211" t="s">
        <v>47113</v>
      </c>
      <c r="L23211">
        <v>43.45</v>
      </c>
      <c r="M23211">
        <v>77</v>
      </c>
      <c r="N23211">
        <v>0</v>
      </c>
      <c r="O23211">
        <v>77</v>
      </c>
      <c r="P23211">
        <v>0</v>
      </c>
    </row>
    <row r="23212" spans="1:16" x14ac:dyDescent="0.25">
      <c r="A23212" t="s">
        <v>45946</v>
      </c>
      <c r="B23212" t="s">
        <v>13834</v>
      </c>
      <c r="C23212" t="s">
        <v>1466</v>
      </c>
      <c r="D23212" t="s">
        <v>5420</v>
      </c>
      <c r="E23212" t="s">
        <v>5421</v>
      </c>
      <c r="F23212" t="s">
        <v>4</v>
      </c>
      <c r="G23212" t="s">
        <v>47093</v>
      </c>
      <c r="H23212" t="s">
        <v>47153</v>
      </c>
      <c r="I23212" t="s">
        <v>47132</v>
      </c>
      <c r="J23212" t="s">
        <v>47133</v>
      </c>
      <c r="K23212" t="s">
        <v>47113</v>
      </c>
      <c r="L23212">
        <v>45.67</v>
      </c>
      <c r="M23212">
        <v>92</v>
      </c>
      <c r="N23212">
        <v>0</v>
      </c>
      <c r="O23212">
        <v>92</v>
      </c>
      <c r="P23212">
        <v>0</v>
      </c>
    </row>
    <row r="23213" spans="1:16" x14ac:dyDescent="0.25">
      <c r="A23213" t="s">
        <v>45947</v>
      </c>
      <c r="B23213" t="s">
        <v>13834</v>
      </c>
      <c r="C23213" t="s">
        <v>1466</v>
      </c>
      <c r="D23213" t="s">
        <v>1463</v>
      </c>
      <c r="E23213" t="s">
        <v>1464</v>
      </c>
      <c r="F23213" t="s">
        <v>4</v>
      </c>
      <c r="G23213" t="s">
        <v>47093</v>
      </c>
      <c r="H23213" t="s">
        <v>47153</v>
      </c>
      <c r="I23213" t="s">
        <v>47132</v>
      </c>
      <c r="J23213" t="s">
        <v>47133</v>
      </c>
      <c r="K23213" t="s">
        <v>47113</v>
      </c>
      <c r="L23213">
        <v>48.84</v>
      </c>
      <c r="M23213">
        <v>92</v>
      </c>
      <c r="N23213">
        <v>0</v>
      </c>
      <c r="O23213">
        <v>92</v>
      </c>
      <c r="P23213">
        <v>0</v>
      </c>
    </row>
    <row r="23214" spans="1:16" x14ac:dyDescent="0.25">
      <c r="A23214" t="s">
        <v>45948</v>
      </c>
      <c r="B23214" t="s">
        <v>1465</v>
      </c>
      <c r="C23214" t="s">
        <v>1466</v>
      </c>
      <c r="D23214" t="s">
        <v>1459</v>
      </c>
      <c r="E23214" t="s">
        <v>1460</v>
      </c>
      <c r="F23214" t="s">
        <v>5</v>
      </c>
      <c r="G23214" t="s">
        <v>47093</v>
      </c>
      <c r="H23214" t="s">
        <v>47153</v>
      </c>
      <c r="I23214" t="s">
        <v>47132</v>
      </c>
      <c r="J23214" t="s">
        <v>47133</v>
      </c>
      <c r="K23214" t="s">
        <v>47113</v>
      </c>
      <c r="L23214">
        <v>56.62</v>
      </c>
      <c r="M23214">
        <v>80</v>
      </c>
      <c r="N23214">
        <v>0</v>
      </c>
      <c r="O23214">
        <v>80</v>
      </c>
      <c r="P23214">
        <v>0</v>
      </c>
    </row>
    <row r="23215" spans="1:16" x14ac:dyDescent="0.25">
      <c r="A23215" t="s">
        <v>45949</v>
      </c>
      <c r="B23215" t="s">
        <v>1465</v>
      </c>
      <c r="C23215" t="s">
        <v>1466</v>
      </c>
      <c r="D23215" t="s">
        <v>1467</v>
      </c>
      <c r="E23215" t="s">
        <v>1468</v>
      </c>
      <c r="F23215" t="s">
        <v>5</v>
      </c>
      <c r="G23215" t="s">
        <v>47093</v>
      </c>
      <c r="H23215" t="s">
        <v>47153</v>
      </c>
      <c r="I23215" t="s">
        <v>47132</v>
      </c>
      <c r="J23215" t="s">
        <v>47133</v>
      </c>
      <c r="K23215" t="s">
        <v>47113</v>
      </c>
      <c r="L23215">
        <v>41.22</v>
      </c>
      <c r="M23215">
        <v>66</v>
      </c>
      <c r="N23215">
        <v>0</v>
      </c>
      <c r="O23215">
        <v>66</v>
      </c>
      <c r="P23215">
        <v>0</v>
      </c>
    </row>
    <row r="23216" spans="1:16" x14ac:dyDescent="0.25">
      <c r="A23216" t="s">
        <v>45950</v>
      </c>
      <c r="B23216" t="s">
        <v>1465</v>
      </c>
      <c r="C23216" t="s">
        <v>1466</v>
      </c>
      <c r="D23216" t="s">
        <v>1461</v>
      </c>
      <c r="E23216" t="s">
        <v>1462</v>
      </c>
      <c r="F23216" t="s">
        <v>5</v>
      </c>
      <c r="G23216" t="s">
        <v>47093</v>
      </c>
      <c r="H23216" t="s">
        <v>47153</v>
      </c>
      <c r="I23216" t="s">
        <v>47132</v>
      </c>
      <c r="J23216" t="s">
        <v>47133</v>
      </c>
      <c r="K23216" t="s">
        <v>47113</v>
      </c>
      <c r="L23216">
        <v>54.1</v>
      </c>
      <c r="M23216">
        <v>77</v>
      </c>
      <c r="N23216">
        <v>0</v>
      </c>
      <c r="O23216">
        <v>77</v>
      </c>
      <c r="P23216">
        <v>0</v>
      </c>
    </row>
    <row r="23217" spans="1:16" x14ac:dyDescent="0.25">
      <c r="A23217" t="s">
        <v>45951</v>
      </c>
      <c r="B23217" t="s">
        <v>1465</v>
      </c>
      <c r="C23217" t="s">
        <v>1466</v>
      </c>
      <c r="D23217" t="s">
        <v>5420</v>
      </c>
      <c r="E23217" t="s">
        <v>5421</v>
      </c>
      <c r="F23217" t="s">
        <v>4</v>
      </c>
      <c r="G23217" t="s">
        <v>47093</v>
      </c>
      <c r="H23217" t="s">
        <v>47153</v>
      </c>
      <c r="I23217" t="s">
        <v>47132</v>
      </c>
      <c r="J23217" t="s">
        <v>47133</v>
      </c>
      <c r="K23217" t="s">
        <v>47113</v>
      </c>
      <c r="L23217">
        <v>45.67</v>
      </c>
      <c r="M23217">
        <v>92</v>
      </c>
      <c r="N23217">
        <v>0</v>
      </c>
      <c r="O23217">
        <v>92</v>
      </c>
      <c r="P23217">
        <v>0</v>
      </c>
    </row>
    <row r="23218" spans="1:16" x14ac:dyDescent="0.25">
      <c r="A23218" t="s">
        <v>45952</v>
      </c>
      <c r="B23218" t="s">
        <v>1465</v>
      </c>
      <c r="C23218" t="s">
        <v>1466</v>
      </c>
      <c r="D23218" t="s">
        <v>1463</v>
      </c>
      <c r="E23218" t="s">
        <v>1464</v>
      </c>
      <c r="F23218" t="s">
        <v>4</v>
      </c>
      <c r="G23218" t="s">
        <v>47093</v>
      </c>
      <c r="H23218" t="s">
        <v>47153</v>
      </c>
      <c r="I23218" t="s">
        <v>47132</v>
      </c>
      <c r="J23218" t="s">
        <v>47133</v>
      </c>
      <c r="K23218" t="s">
        <v>47113</v>
      </c>
      <c r="L23218">
        <v>48.84</v>
      </c>
      <c r="M23218">
        <v>92</v>
      </c>
      <c r="N23218">
        <v>0</v>
      </c>
      <c r="O23218">
        <v>92</v>
      </c>
      <c r="P23218">
        <v>0</v>
      </c>
    </row>
    <row r="23219" spans="1:16" x14ac:dyDescent="0.25">
      <c r="A23219" t="s">
        <v>45953</v>
      </c>
      <c r="B23219" t="s">
        <v>13835</v>
      </c>
      <c r="C23219" t="s">
        <v>13836</v>
      </c>
      <c r="D23219" t="s">
        <v>5420</v>
      </c>
      <c r="E23219" t="s">
        <v>5421</v>
      </c>
      <c r="F23219" t="s">
        <v>4</v>
      </c>
      <c r="G23219" t="s">
        <v>47093</v>
      </c>
      <c r="H23219" t="s">
        <v>47153</v>
      </c>
      <c r="I23219" t="s">
        <v>47132</v>
      </c>
      <c r="J23219" t="s">
        <v>47133</v>
      </c>
      <c r="K23219" t="s">
        <v>47113</v>
      </c>
      <c r="L23219">
        <v>47.2</v>
      </c>
      <c r="M23219">
        <v>92</v>
      </c>
      <c r="N23219">
        <v>0</v>
      </c>
      <c r="O23219">
        <v>92</v>
      </c>
      <c r="P23219">
        <v>0</v>
      </c>
    </row>
    <row r="23220" spans="1:16" x14ac:dyDescent="0.25">
      <c r="A23220" t="s">
        <v>45954</v>
      </c>
      <c r="B23220" t="s">
        <v>13835</v>
      </c>
      <c r="C23220" t="s">
        <v>13836</v>
      </c>
      <c r="D23220" t="s">
        <v>1463</v>
      </c>
      <c r="E23220" t="s">
        <v>1464</v>
      </c>
      <c r="F23220" t="s">
        <v>4</v>
      </c>
      <c r="G23220" t="s">
        <v>47093</v>
      </c>
      <c r="H23220" t="s">
        <v>47153</v>
      </c>
      <c r="I23220" t="s">
        <v>47132</v>
      </c>
      <c r="J23220" t="s">
        <v>47133</v>
      </c>
      <c r="K23220" t="s">
        <v>47113</v>
      </c>
      <c r="L23220">
        <v>48.14</v>
      </c>
      <c r="M23220">
        <v>92</v>
      </c>
      <c r="N23220">
        <v>0</v>
      </c>
      <c r="O23220">
        <v>92</v>
      </c>
      <c r="P23220">
        <v>0</v>
      </c>
    </row>
    <row r="23221" spans="1:16" x14ac:dyDescent="0.25">
      <c r="A23221" t="s">
        <v>45955</v>
      </c>
      <c r="B23221" t="s">
        <v>13837</v>
      </c>
      <c r="C23221" t="s">
        <v>1470</v>
      </c>
      <c r="D23221" t="s">
        <v>1459</v>
      </c>
      <c r="E23221" t="s">
        <v>1460</v>
      </c>
      <c r="F23221" t="s">
        <v>5</v>
      </c>
      <c r="G23221" t="s">
        <v>47093</v>
      </c>
      <c r="H23221" t="s">
        <v>47153</v>
      </c>
      <c r="I23221" t="s">
        <v>47132</v>
      </c>
      <c r="J23221" t="s">
        <v>47133</v>
      </c>
      <c r="K23221" t="s">
        <v>47113</v>
      </c>
      <c r="L23221">
        <v>46.68</v>
      </c>
      <c r="M23221">
        <v>80</v>
      </c>
      <c r="N23221">
        <v>0</v>
      </c>
      <c r="O23221">
        <v>80</v>
      </c>
      <c r="P23221">
        <v>0</v>
      </c>
    </row>
    <row r="23222" spans="1:16" x14ac:dyDescent="0.25">
      <c r="A23222" t="s">
        <v>45956</v>
      </c>
      <c r="B23222" t="s">
        <v>13837</v>
      </c>
      <c r="C23222" t="s">
        <v>1470</v>
      </c>
      <c r="D23222" t="s">
        <v>1467</v>
      </c>
      <c r="E23222" t="s">
        <v>1468</v>
      </c>
      <c r="F23222" t="s">
        <v>5</v>
      </c>
      <c r="G23222" t="s">
        <v>47093</v>
      </c>
      <c r="H23222" t="s">
        <v>47153</v>
      </c>
      <c r="I23222" t="s">
        <v>47132</v>
      </c>
      <c r="J23222" t="s">
        <v>47133</v>
      </c>
      <c r="K23222" t="s">
        <v>47113</v>
      </c>
      <c r="L23222">
        <v>30.93</v>
      </c>
      <c r="M23222">
        <v>66</v>
      </c>
      <c r="N23222">
        <v>0</v>
      </c>
      <c r="O23222">
        <v>66</v>
      </c>
      <c r="P23222">
        <v>0</v>
      </c>
    </row>
    <row r="23223" spans="1:16" x14ac:dyDescent="0.25">
      <c r="A23223" t="s">
        <v>45957</v>
      </c>
      <c r="B23223" t="s">
        <v>1469</v>
      </c>
      <c r="C23223" t="s">
        <v>1470</v>
      </c>
      <c r="D23223" t="s">
        <v>1459</v>
      </c>
      <c r="E23223" t="s">
        <v>1460</v>
      </c>
      <c r="F23223" t="s">
        <v>5</v>
      </c>
      <c r="G23223" t="s">
        <v>47093</v>
      </c>
      <c r="H23223" t="s">
        <v>47153</v>
      </c>
      <c r="I23223" t="s">
        <v>47132</v>
      </c>
      <c r="J23223" t="s">
        <v>47133</v>
      </c>
      <c r="K23223" t="s">
        <v>47113</v>
      </c>
      <c r="L23223">
        <v>58.02</v>
      </c>
      <c r="M23223">
        <v>80</v>
      </c>
      <c r="N23223">
        <v>0</v>
      </c>
      <c r="O23223">
        <v>80</v>
      </c>
      <c r="P23223">
        <v>0</v>
      </c>
    </row>
    <row r="23224" spans="1:16" x14ac:dyDescent="0.25">
      <c r="A23224" t="s">
        <v>45958</v>
      </c>
      <c r="B23224" t="s">
        <v>1469</v>
      </c>
      <c r="C23224" t="s">
        <v>1470</v>
      </c>
      <c r="D23224" t="s">
        <v>1467</v>
      </c>
      <c r="E23224" t="s">
        <v>1468</v>
      </c>
      <c r="F23224" t="s">
        <v>5</v>
      </c>
      <c r="G23224" t="s">
        <v>47093</v>
      </c>
      <c r="H23224" t="s">
        <v>47153</v>
      </c>
      <c r="I23224" t="s">
        <v>47132</v>
      </c>
      <c r="J23224" t="s">
        <v>47133</v>
      </c>
      <c r="K23224" t="s">
        <v>47113</v>
      </c>
      <c r="L23224">
        <v>38.840000000000003</v>
      </c>
      <c r="M23224">
        <v>66</v>
      </c>
      <c r="N23224">
        <v>0</v>
      </c>
      <c r="O23224">
        <v>66</v>
      </c>
      <c r="P23224">
        <v>0</v>
      </c>
    </row>
    <row r="23225" spans="1:16" x14ac:dyDescent="0.25">
      <c r="A23225" t="s">
        <v>45959</v>
      </c>
      <c r="B23225" t="s">
        <v>1469</v>
      </c>
      <c r="C23225" t="s">
        <v>1470</v>
      </c>
      <c r="D23225" t="s">
        <v>1461</v>
      </c>
      <c r="E23225" t="s">
        <v>1462</v>
      </c>
      <c r="F23225" t="s">
        <v>5</v>
      </c>
      <c r="G23225" t="s">
        <v>47093</v>
      </c>
      <c r="H23225" t="s">
        <v>47153</v>
      </c>
      <c r="I23225" t="s">
        <v>47132</v>
      </c>
      <c r="J23225" t="s">
        <v>47133</v>
      </c>
      <c r="K23225" t="s">
        <v>47113</v>
      </c>
      <c r="L23225">
        <v>30.93</v>
      </c>
      <c r="M23225">
        <v>66</v>
      </c>
      <c r="N23225">
        <v>0</v>
      </c>
      <c r="O23225">
        <v>66</v>
      </c>
      <c r="P23225">
        <v>0</v>
      </c>
    </row>
    <row r="23226" spans="1:16" x14ac:dyDescent="0.25">
      <c r="A23226" t="s">
        <v>45960</v>
      </c>
      <c r="B23226" t="s">
        <v>1469</v>
      </c>
      <c r="C23226" t="s">
        <v>1470</v>
      </c>
      <c r="D23226" t="s">
        <v>5420</v>
      </c>
      <c r="E23226" t="s">
        <v>5421</v>
      </c>
      <c r="F23226" t="s">
        <v>4</v>
      </c>
      <c r="G23226" t="s">
        <v>47093</v>
      </c>
      <c r="H23226" t="s">
        <v>47153</v>
      </c>
      <c r="I23226" t="s">
        <v>47132</v>
      </c>
      <c r="J23226" t="s">
        <v>47133</v>
      </c>
      <c r="K23226" t="s">
        <v>47113</v>
      </c>
      <c r="L23226">
        <v>47.2</v>
      </c>
      <c r="M23226">
        <v>92</v>
      </c>
      <c r="N23226">
        <v>0</v>
      </c>
      <c r="O23226">
        <v>92</v>
      </c>
      <c r="P23226">
        <v>0</v>
      </c>
    </row>
    <row r="23227" spans="1:16" x14ac:dyDescent="0.25">
      <c r="A23227" t="s">
        <v>45961</v>
      </c>
      <c r="B23227" t="s">
        <v>1469</v>
      </c>
      <c r="C23227" t="s">
        <v>1470</v>
      </c>
      <c r="D23227" t="s">
        <v>1463</v>
      </c>
      <c r="E23227" t="s">
        <v>1464</v>
      </c>
      <c r="F23227" t="s">
        <v>4</v>
      </c>
      <c r="G23227" t="s">
        <v>47093</v>
      </c>
      <c r="H23227" t="s">
        <v>47153</v>
      </c>
      <c r="I23227" t="s">
        <v>47132</v>
      </c>
      <c r="J23227" t="s">
        <v>47133</v>
      </c>
      <c r="K23227" t="s">
        <v>47113</v>
      </c>
      <c r="L23227">
        <v>48.14</v>
      </c>
      <c r="M23227">
        <v>92</v>
      </c>
      <c r="N23227">
        <v>0</v>
      </c>
      <c r="O23227">
        <v>92</v>
      </c>
      <c r="P23227">
        <v>0</v>
      </c>
    </row>
    <row r="23228" spans="1:16" x14ac:dyDescent="0.25">
      <c r="A23228" t="s">
        <v>45962</v>
      </c>
      <c r="B23228" t="s">
        <v>13838</v>
      </c>
      <c r="C23228" t="s">
        <v>13839</v>
      </c>
      <c r="D23228" t="str">
        <f>"4361"</f>
        <v>4361</v>
      </c>
      <c r="E23228" t="s">
        <v>13840</v>
      </c>
      <c r="F23228" t="s">
        <v>4</v>
      </c>
      <c r="G23228" t="s">
        <v>47093</v>
      </c>
      <c r="H23228" t="s">
        <v>47054</v>
      </c>
      <c r="I23228" t="s">
        <v>47111</v>
      </c>
      <c r="J23228" t="s">
        <v>47112</v>
      </c>
      <c r="K23228" t="s">
        <v>47113</v>
      </c>
      <c r="L23228">
        <v>41.19</v>
      </c>
      <c r="M23228">
        <v>84</v>
      </c>
      <c r="N23228">
        <v>0</v>
      </c>
      <c r="O23228">
        <v>84</v>
      </c>
      <c r="P23228">
        <v>0</v>
      </c>
    </row>
    <row r="23229" spans="1:16" x14ac:dyDescent="0.25">
      <c r="A23229" t="s">
        <v>45963</v>
      </c>
      <c r="B23229" t="s">
        <v>13841</v>
      </c>
      <c r="C23229" t="s">
        <v>13842</v>
      </c>
      <c r="D23229" t="str">
        <f>"4361"</f>
        <v>4361</v>
      </c>
      <c r="E23229" t="s">
        <v>13840</v>
      </c>
      <c r="F23229" t="s">
        <v>4</v>
      </c>
      <c r="G23229" t="s">
        <v>47093</v>
      </c>
      <c r="H23229" t="s">
        <v>47054</v>
      </c>
      <c r="I23229" t="s">
        <v>47111</v>
      </c>
      <c r="J23229" t="s">
        <v>47112</v>
      </c>
      <c r="K23229" t="s">
        <v>47113</v>
      </c>
      <c r="L23229">
        <v>41.19</v>
      </c>
      <c r="M23229">
        <v>84</v>
      </c>
      <c r="N23229">
        <v>0</v>
      </c>
      <c r="O23229">
        <v>84</v>
      </c>
      <c r="P23229">
        <v>0</v>
      </c>
    </row>
    <row r="23230" spans="1:16" x14ac:dyDescent="0.25">
      <c r="A23230" t="s">
        <v>45964</v>
      </c>
      <c r="B23230" t="s">
        <v>13841</v>
      </c>
      <c r="C23230" t="s">
        <v>13842</v>
      </c>
      <c r="D23230" t="s">
        <v>138</v>
      </c>
      <c r="E23230" t="s">
        <v>139</v>
      </c>
      <c r="F23230" t="s">
        <v>4</v>
      </c>
      <c r="G23230" t="s">
        <v>47093</v>
      </c>
      <c r="H23230" t="s">
        <v>47054</v>
      </c>
      <c r="I23230" t="s">
        <v>47111</v>
      </c>
      <c r="J23230" t="s">
        <v>47112</v>
      </c>
      <c r="K23230" t="s">
        <v>47113</v>
      </c>
      <c r="L23230">
        <v>41.19</v>
      </c>
      <c r="M23230">
        <v>84</v>
      </c>
      <c r="N23230">
        <v>0</v>
      </c>
      <c r="O23230">
        <v>84</v>
      </c>
      <c r="P23230">
        <v>0</v>
      </c>
    </row>
    <row r="23231" spans="1:16" x14ac:dyDescent="0.25">
      <c r="A23231" t="s">
        <v>45965</v>
      </c>
      <c r="B23231" t="s">
        <v>13843</v>
      </c>
      <c r="C23231" t="s">
        <v>137</v>
      </c>
      <c r="D23231" t="str">
        <f>"4361"</f>
        <v>4361</v>
      </c>
      <c r="E23231" t="s">
        <v>13840</v>
      </c>
      <c r="F23231" t="s">
        <v>4</v>
      </c>
      <c r="G23231" t="s">
        <v>47093</v>
      </c>
      <c r="H23231" t="s">
        <v>47054</v>
      </c>
      <c r="I23231" t="s">
        <v>47111</v>
      </c>
      <c r="J23231" t="s">
        <v>47112</v>
      </c>
      <c r="K23231" t="s">
        <v>47113</v>
      </c>
      <c r="L23231">
        <v>41.19</v>
      </c>
      <c r="M23231">
        <v>84</v>
      </c>
      <c r="N23231">
        <v>0</v>
      </c>
      <c r="O23231">
        <v>84</v>
      </c>
      <c r="P23231">
        <v>0</v>
      </c>
    </row>
    <row r="23232" spans="1:16" x14ac:dyDescent="0.25">
      <c r="A23232" t="s">
        <v>45966</v>
      </c>
      <c r="B23232" t="s">
        <v>13843</v>
      </c>
      <c r="C23232" t="s">
        <v>137</v>
      </c>
      <c r="D23232" t="s">
        <v>138</v>
      </c>
      <c r="E23232" t="s">
        <v>139</v>
      </c>
      <c r="F23232" t="s">
        <v>4</v>
      </c>
      <c r="G23232" t="s">
        <v>47093</v>
      </c>
      <c r="H23232" t="s">
        <v>47054</v>
      </c>
      <c r="I23232" t="s">
        <v>47111</v>
      </c>
      <c r="J23232" t="s">
        <v>47112</v>
      </c>
      <c r="K23232" t="s">
        <v>47113</v>
      </c>
      <c r="L23232">
        <v>41.19</v>
      </c>
      <c r="M23232">
        <v>100</v>
      </c>
      <c r="N23232">
        <v>0</v>
      </c>
      <c r="O23232">
        <v>100</v>
      </c>
      <c r="P23232">
        <v>0</v>
      </c>
    </row>
    <row r="23233" spans="1:16" x14ac:dyDescent="0.25">
      <c r="A23233" t="s">
        <v>45967</v>
      </c>
      <c r="B23233" t="s">
        <v>13844</v>
      </c>
      <c r="C23233" t="s">
        <v>13845</v>
      </c>
      <c r="D23233" t="s">
        <v>134</v>
      </c>
      <c r="E23233" t="s">
        <v>135</v>
      </c>
      <c r="F23233" t="s">
        <v>4</v>
      </c>
      <c r="G23233" t="s">
        <v>47093</v>
      </c>
      <c r="H23233" t="s">
        <v>47054</v>
      </c>
      <c r="I23233" t="s">
        <v>47111</v>
      </c>
      <c r="J23233" t="s">
        <v>47112</v>
      </c>
      <c r="K23233" t="s">
        <v>47113</v>
      </c>
      <c r="L23233">
        <v>48.56</v>
      </c>
      <c r="M23233">
        <v>108</v>
      </c>
      <c r="N23233">
        <v>0</v>
      </c>
      <c r="O23233">
        <v>108</v>
      </c>
      <c r="P23233">
        <v>0</v>
      </c>
    </row>
    <row r="23234" spans="1:16" x14ac:dyDescent="0.25">
      <c r="A23234" t="s">
        <v>45968</v>
      </c>
      <c r="B23234" t="s">
        <v>1471</v>
      </c>
      <c r="C23234" t="s">
        <v>1472</v>
      </c>
      <c r="D23234" t="s">
        <v>1473</v>
      </c>
      <c r="E23234" t="s">
        <v>1474</v>
      </c>
      <c r="F23234" t="s">
        <v>4</v>
      </c>
      <c r="G23234" t="s">
        <v>47093</v>
      </c>
      <c r="H23234" t="s">
        <v>47153</v>
      </c>
      <c r="I23234" t="s">
        <v>47132</v>
      </c>
      <c r="J23234" t="s">
        <v>47133</v>
      </c>
      <c r="K23234" t="s">
        <v>47113</v>
      </c>
      <c r="L23234">
        <v>45.67</v>
      </c>
      <c r="M23234">
        <v>92</v>
      </c>
      <c r="N23234">
        <v>0</v>
      </c>
      <c r="O23234">
        <v>92</v>
      </c>
      <c r="P23234">
        <v>0</v>
      </c>
    </row>
    <row r="23235" spans="1:16" x14ac:dyDescent="0.25">
      <c r="A23235" t="s">
        <v>45969</v>
      </c>
      <c r="B23235" t="s">
        <v>1471</v>
      </c>
      <c r="C23235" t="s">
        <v>1472</v>
      </c>
      <c r="D23235" t="s">
        <v>1483</v>
      </c>
      <c r="E23235" t="s">
        <v>1484</v>
      </c>
      <c r="F23235" t="s">
        <v>4</v>
      </c>
      <c r="G23235" t="s">
        <v>47093</v>
      </c>
      <c r="H23235" t="s">
        <v>47153</v>
      </c>
      <c r="I23235" t="s">
        <v>47132</v>
      </c>
      <c r="J23235" t="s">
        <v>47133</v>
      </c>
      <c r="K23235" t="s">
        <v>47113</v>
      </c>
      <c r="L23235">
        <v>40.39</v>
      </c>
      <c r="M23235">
        <v>76</v>
      </c>
      <c r="N23235">
        <v>0</v>
      </c>
      <c r="O23235">
        <v>76</v>
      </c>
      <c r="P23235">
        <v>0</v>
      </c>
    </row>
    <row r="23236" spans="1:16" x14ac:dyDescent="0.25">
      <c r="A23236" t="s">
        <v>45970</v>
      </c>
      <c r="B23236" t="s">
        <v>13846</v>
      </c>
      <c r="C23236" t="s">
        <v>13847</v>
      </c>
      <c r="D23236" t="str">
        <f>"4361"</f>
        <v>4361</v>
      </c>
      <c r="E23236" t="s">
        <v>13840</v>
      </c>
      <c r="F23236" t="s">
        <v>4</v>
      </c>
      <c r="G23236" t="s">
        <v>47093</v>
      </c>
      <c r="H23236" t="s">
        <v>47054</v>
      </c>
      <c r="I23236" t="s">
        <v>47111</v>
      </c>
      <c r="J23236" t="s">
        <v>47112</v>
      </c>
      <c r="K23236" t="s">
        <v>47113</v>
      </c>
      <c r="L23236">
        <v>41.19</v>
      </c>
      <c r="M23236">
        <v>84</v>
      </c>
      <c r="N23236">
        <v>0</v>
      </c>
      <c r="O23236">
        <v>84</v>
      </c>
      <c r="P23236">
        <v>0</v>
      </c>
    </row>
    <row r="23237" spans="1:16" x14ac:dyDescent="0.25">
      <c r="A23237" t="s">
        <v>45971</v>
      </c>
      <c r="B23237" t="s">
        <v>13846</v>
      </c>
      <c r="C23237" t="s">
        <v>13847</v>
      </c>
      <c r="D23237" t="s">
        <v>138</v>
      </c>
      <c r="E23237" t="s">
        <v>139</v>
      </c>
      <c r="F23237" t="s">
        <v>4</v>
      </c>
      <c r="G23237" t="s">
        <v>47093</v>
      </c>
      <c r="H23237" t="s">
        <v>47054</v>
      </c>
      <c r="I23237" t="s">
        <v>47111</v>
      </c>
      <c r="J23237" t="s">
        <v>47112</v>
      </c>
      <c r="K23237" t="s">
        <v>47113</v>
      </c>
      <c r="L23237">
        <v>41.19</v>
      </c>
      <c r="M23237">
        <v>84</v>
      </c>
      <c r="N23237">
        <v>0</v>
      </c>
      <c r="O23237">
        <v>84</v>
      </c>
      <c r="P23237">
        <v>0</v>
      </c>
    </row>
    <row r="23238" spans="1:16" x14ac:dyDescent="0.25">
      <c r="A23238" t="s">
        <v>45972</v>
      </c>
      <c r="B23238" t="s">
        <v>13848</v>
      </c>
      <c r="C23238" t="s">
        <v>13849</v>
      </c>
      <c r="D23238" t="str">
        <f>"4361"</f>
        <v>4361</v>
      </c>
      <c r="E23238" t="s">
        <v>13840</v>
      </c>
      <c r="F23238" t="s">
        <v>4</v>
      </c>
      <c r="G23238" t="s">
        <v>47093</v>
      </c>
      <c r="H23238" t="s">
        <v>47054</v>
      </c>
      <c r="I23238" t="s">
        <v>47111</v>
      </c>
      <c r="J23238" t="s">
        <v>47112</v>
      </c>
      <c r="K23238" t="s">
        <v>47113</v>
      </c>
      <c r="L23238">
        <v>41.19</v>
      </c>
      <c r="M23238">
        <v>84</v>
      </c>
      <c r="N23238">
        <v>0</v>
      </c>
      <c r="O23238">
        <v>84</v>
      </c>
      <c r="P23238">
        <v>0</v>
      </c>
    </row>
    <row r="23239" spans="1:16" x14ac:dyDescent="0.25">
      <c r="A23239" t="s">
        <v>45973</v>
      </c>
      <c r="B23239" t="s">
        <v>13848</v>
      </c>
      <c r="C23239" t="s">
        <v>13849</v>
      </c>
      <c r="D23239" t="s">
        <v>138</v>
      </c>
      <c r="E23239" t="s">
        <v>139</v>
      </c>
      <c r="F23239" t="s">
        <v>4</v>
      </c>
      <c r="G23239" t="s">
        <v>47093</v>
      </c>
      <c r="H23239" t="s">
        <v>47054</v>
      </c>
      <c r="I23239" t="s">
        <v>47111</v>
      </c>
      <c r="J23239" t="s">
        <v>47112</v>
      </c>
      <c r="K23239" t="s">
        <v>47113</v>
      </c>
      <c r="L23239">
        <v>41.19</v>
      </c>
      <c r="M23239">
        <v>84</v>
      </c>
      <c r="N23239">
        <v>0</v>
      </c>
      <c r="O23239">
        <v>84</v>
      </c>
      <c r="P23239">
        <v>0</v>
      </c>
    </row>
    <row r="23240" spans="1:16" x14ac:dyDescent="0.25">
      <c r="A23240" t="s">
        <v>45974</v>
      </c>
      <c r="B23240" t="s">
        <v>13850</v>
      </c>
      <c r="C23240" t="s">
        <v>369</v>
      </c>
      <c r="D23240" t="s">
        <v>1483</v>
      </c>
      <c r="E23240" t="s">
        <v>1484</v>
      </c>
      <c r="F23240" t="s">
        <v>0</v>
      </c>
      <c r="G23240" t="s">
        <v>47093</v>
      </c>
      <c r="H23240" t="s">
        <v>47153</v>
      </c>
      <c r="I23240" t="s">
        <v>47132</v>
      </c>
      <c r="J23240" t="s">
        <v>47133</v>
      </c>
      <c r="K23240" t="s">
        <v>47113</v>
      </c>
      <c r="L23240">
        <v>41.31</v>
      </c>
      <c r="M23240">
        <v>100</v>
      </c>
      <c r="N23240">
        <v>0</v>
      </c>
      <c r="O23240">
        <v>100</v>
      </c>
      <c r="P23240">
        <v>0</v>
      </c>
    </row>
    <row r="23241" spans="1:16" x14ac:dyDescent="0.25">
      <c r="A23241" t="s">
        <v>45975</v>
      </c>
      <c r="B23241" t="s">
        <v>1475</v>
      </c>
      <c r="C23241" t="s">
        <v>1476</v>
      </c>
      <c r="D23241" t="s">
        <v>1477</v>
      </c>
      <c r="E23241" t="s">
        <v>1478</v>
      </c>
      <c r="F23241" t="s">
        <v>5</v>
      </c>
      <c r="G23241" t="s">
        <v>47093</v>
      </c>
      <c r="H23241" t="s">
        <v>47153</v>
      </c>
      <c r="I23241" t="s">
        <v>47132</v>
      </c>
      <c r="J23241" t="s">
        <v>47133</v>
      </c>
      <c r="K23241" t="s">
        <v>47113</v>
      </c>
      <c r="L23241">
        <v>43.12</v>
      </c>
      <c r="M23241">
        <v>84</v>
      </c>
      <c r="N23241">
        <v>0</v>
      </c>
      <c r="O23241">
        <v>84</v>
      </c>
      <c r="P23241">
        <v>0</v>
      </c>
    </row>
    <row r="23242" spans="1:16" x14ac:dyDescent="0.25">
      <c r="A23242" t="s">
        <v>45976</v>
      </c>
      <c r="B23242" t="s">
        <v>1475</v>
      </c>
      <c r="C23242" t="s">
        <v>1476</v>
      </c>
      <c r="D23242" t="s">
        <v>1479</v>
      </c>
      <c r="E23242" t="s">
        <v>1480</v>
      </c>
      <c r="F23242" t="s">
        <v>5</v>
      </c>
      <c r="G23242" t="s">
        <v>47093</v>
      </c>
      <c r="H23242" t="s">
        <v>47153</v>
      </c>
      <c r="I23242" t="s">
        <v>47132</v>
      </c>
      <c r="J23242" t="s">
        <v>47133</v>
      </c>
      <c r="K23242" t="s">
        <v>47113</v>
      </c>
      <c r="L23242">
        <v>37.020000000000003</v>
      </c>
      <c r="M23242">
        <v>75</v>
      </c>
      <c r="N23242">
        <v>0</v>
      </c>
      <c r="O23242">
        <v>75</v>
      </c>
      <c r="P23242">
        <v>0</v>
      </c>
    </row>
    <row r="23243" spans="1:16" x14ac:dyDescent="0.25">
      <c r="A23243" t="s">
        <v>45977</v>
      </c>
      <c r="B23243" t="s">
        <v>1475</v>
      </c>
      <c r="C23243" t="s">
        <v>1476</v>
      </c>
      <c r="D23243" t="s">
        <v>1489</v>
      </c>
      <c r="E23243" t="s">
        <v>1490</v>
      </c>
      <c r="F23243" t="s">
        <v>5</v>
      </c>
      <c r="G23243" t="s">
        <v>47093</v>
      </c>
      <c r="H23243" t="s">
        <v>47153</v>
      </c>
      <c r="I23243" t="s">
        <v>47132</v>
      </c>
      <c r="J23243" t="s">
        <v>47133</v>
      </c>
      <c r="K23243" t="s">
        <v>47113</v>
      </c>
      <c r="L23243">
        <v>42.88</v>
      </c>
      <c r="M23243">
        <v>80</v>
      </c>
      <c r="N23243">
        <v>0</v>
      </c>
      <c r="O23243">
        <v>80</v>
      </c>
      <c r="P23243">
        <v>0</v>
      </c>
    </row>
    <row r="23244" spans="1:16" x14ac:dyDescent="0.25">
      <c r="A23244" t="s">
        <v>45978</v>
      </c>
      <c r="B23244" t="s">
        <v>1481</v>
      </c>
      <c r="C23244" t="s">
        <v>1482</v>
      </c>
      <c r="D23244" t="s">
        <v>1477</v>
      </c>
      <c r="E23244" t="s">
        <v>1478</v>
      </c>
      <c r="F23244" t="s">
        <v>5</v>
      </c>
      <c r="G23244" t="s">
        <v>47093</v>
      </c>
      <c r="H23244" t="s">
        <v>47153</v>
      </c>
      <c r="I23244" t="s">
        <v>47132</v>
      </c>
      <c r="J23244" t="s">
        <v>47133</v>
      </c>
      <c r="K23244" t="s">
        <v>47113</v>
      </c>
      <c r="L23244">
        <v>44.72</v>
      </c>
      <c r="M23244">
        <v>84</v>
      </c>
      <c r="N23244">
        <v>0</v>
      </c>
      <c r="O23244">
        <v>84</v>
      </c>
      <c r="P23244">
        <v>0</v>
      </c>
    </row>
    <row r="23245" spans="1:16" x14ac:dyDescent="0.25">
      <c r="A23245" t="s">
        <v>45979</v>
      </c>
      <c r="B23245" t="s">
        <v>1481</v>
      </c>
      <c r="C23245" t="s">
        <v>1482</v>
      </c>
      <c r="D23245" t="s">
        <v>1479</v>
      </c>
      <c r="E23245" t="s">
        <v>1480</v>
      </c>
      <c r="F23245" t="s">
        <v>5</v>
      </c>
      <c r="G23245" t="s">
        <v>47093</v>
      </c>
      <c r="H23245" t="s">
        <v>47153</v>
      </c>
      <c r="I23245" t="s">
        <v>47132</v>
      </c>
      <c r="J23245" t="s">
        <v>47133</v>
      </c>
      <c r="K23245" t="s">
        <v>47113</v>
      </c>
      <c r="L23245">
        <v>39.32</v>
      </c>
      <c r="M23245">
        <v>75</v>
      </c>
      <c r="N23245">
        <v>0</v>
      </c>
      <c r="O23245">
        <v>75</v>
      </c>
      <c r="P23245">
        <v>0</v>
      </c>
    </row>
    <row r="23246" spans="1:16" x14ac:dyDescent="0.25">
      <c r="A23246" t="s">
        <v>45980</v>
      </c>
      <c r="B23246" t="s">
        <v>1481</v>
      </c>
      <c r="C23246" t="s">
        <v>1482</v>
      </c>
      <c r="D23246" t="s">
        <v>1489</v>
      </c>
      <c r="E23246" t="s">
        <v>1490</v>
      </c>
      <c r="F23246" t="s">
        <v>5</v>
      </c>
      <c r="G23246" t="s">
        <v>47093</v>
      </c>
      <c r="H23246" t="s">
        <v>47153</v>
      </c>
      <c r="I23246" t="s">
        <v>47132</v>
      </c>
      <c r="J23246" t="s">
        <v>47133</v>
      </c>
      <c r="K23246" t="s">
        <v>47113</v>
      </c>
      <c r="L23246">
        <v>45.07</v>
      </c>
      <c r="M23246">
        <v>80</v>
      </c>
      <c r="N23246">
        <v>0</v>
      </c>
      <c r="O23246">
        <v>80</v>
      </c>
      <c r="P23246">
        <v>0</v>
      </c>
    </row>
    <row r="23247" spans="1:16" x14ac:dyDescent="0.25">
      <c r="A23247" t="s">
        <v>45981</v>
      </c>
      <c r="B23247" t="s">
        <v>1481</v>
      </c>
      <c r="C23247" t="s">
        <v>1482</v>
      </c>
      <c r="D23247" t="s">
        <v>1473</v>
      </c>
      <c r="E23247" t="s">
        <v>1474</v>
      </c>
      <c r="F23247" t="s">
        <v>4</v>
      </c>
      <c r="G23247" t="s">
        <v>47093</v>
      </c>
      <c r="H23247" t="s">
        <v>47153</v>
      </c>
      <c r="I23247" t="s">
        <v>47132</v>
      </c>
      <c r="J23247" t="s">
        <v>47133</v>
      </c>
      <c r="K23247" t="s">
        <v>47113</v>
      </c>
      <c r="L23247">
        <v>48.49</v>
      </c>
      <c r="M23247">
        <v>92</v>
      </c>
      <c r="N23247">
        <v>0</v>
      </c>
      <c r="O23247">
        <v>92</v>
      </c>
      <c r="P23247">
        <v>0</v>
      </c>
    </row>
    <row r="23248" spans="1:16" x14ac:dyDescent="0.25">
      <c r="A23248" t="s">
        <v>45982</v>
      </c>
      <c r="B23248" t="s">
        <v>1481</v>
      </c>
      <c r="C23248" t="s">
        <v>1482</v>
      </c>
      <c r="D23248" t="s">
        <v>1483</v>
      </c>
      <c r="E23248" t="s">
        <v>1484</v>
      </c>
      <c r="F23248" t="s">
        <v>4</v>
      </c>
      <c r="G23248" t="s">
        <v>47093</v>
      </c>
      <c r="H23248" t="s">
        <v>47153</v>
      </c>
      <c r="I23248" t="s">
        <v>47132</v>
      </c>
      <c r="J23248" t="s">
        <v>47133</v>
      </c>
      <c r="K23248" t="s">
        <v>47113</v>
      </c>
      <c r="L23248">
        <v>40.98</v>
      </c>
      <c r="M23248">
        <v>76</v>
      </c>
      <c r="N23248">
        <v>0</v>
      </c>
      <c r="O23248">
        <v>76</v>
      </c>
      <c r="P23248">
        <v>0</v>
      </c>
    </row>
    <row r="23249" spans="1:16" x14ac:dyDescent="0.25">
      <c r="A23249" t="s">
        <v>45983</v>
      </c>
      <c r="B23249" t="s">
        <v>1481</v>
      </c>
      <c r="C23249" t="s">
        <v>1482</v>
      </c>
      <c r="D23249" t="s">
        <v>1485</v>
      </c>
      <c r="E23249" t="s">
        <v>1486</v>
      </c>
      <c r="F23249" t="s">
        <v>5</v>
      </c>
      <c r="G23249" t="s">
        <v>47093</v>
      </c>
      <c r="H23249" t="s">
        <v>47153</v>
      </c>
      <c r="I23249" t="s">
        <v>47132</v>
      </c>
      <c r="J23249" t="s">
        <v>47133</v>
      </c>
      <c r="K23249" t="s">
        <v>47113</v>
      </c>
      <c r="L23249">
        <v>56.78</v>
      </c>
      <c r="M23249">
        <v>106</v>
      </c>
      <c r="N23249">
        <v>0</v>
      </c>
      <c r="O23249">
        <v>106</v>
      </c>
      <c r="P23249">
        <v>0</v>
      </c>
    </row>
    <row r="23250" spans="1:16" x14ac:dyDescent="0.25">
      <c r="A23250" t="s">
        <v>45984</v>
      </c>
      <c r="B23250" t="s">
        <v>1487</v>
      </c>
      <c r="C23250" t="s">
        <v>1488</v>
      </c>
      <c r="D23250" t="s">
        <v>1477</v>
      </c>
      <c r="E23250" t="s">
        <v>1478</v>
      </c>
      <c r="F23250" t="s">
        <v>5</v>
      </c>
      <c r="G23250" t="s">
        <v>47093</v>
      </c>
      <c r="H23250" t="s">
        <v>47153</v>
      </c>
      <c r="I23250" t="s">
        <v>47132</v>
      </c>
      <c r="J23250" t="s">
        <v>47133</v>
      </c>
      <c r="K23250" t="s">
        <v>47113</v>
      </c>
      <c r="L23250">
        <v>45.87</v>
      </c>
      <c r="M23250">
        <v>84</v>
      </c>
      <c r="N23250">
        <v>0</v>
      </c>
      <c r="O23250">
        <v>84</v>
      </c>
      <c r="P23250">
        <v>0</v>
      </c>
    </row>
    <row r="23251" spans="1:16" x14ac:dyDescent="0.25">
      <c r="A23251" t="s">
        <v>15134</v>
      </c>
      <c r="B23251" t="s">
        <v>1487</v>
      </c>
      <c r="C23251" t="s">
        <v>1488</v>
      </c>
      <c r="D23251" t="s">
        <v>1479</v>
      </c>
      <c r="E23251" t="s">
        <v>1480</v>
      </c>
      <c r="F23251" t="s">
        <v>5</v>
      </c>
      <c r="G23251" t="s">
        <v>47093</v>
      </c>
      <c r="H23251" t="s">
        <v>47153</v>
      </c>
      <c r="I23251" t="s">
        <v>47132</v>
      </c>
      <c r="J23251" t="s">
        <v>47133</v>
      </c>
      <c r="K23251" t="s">
        <v>47113</v>
      </c>
      <c r="L23251">
        <v>40.36</v>
      </c>
      <c r="M23251">
        <v>75</v>
      </c>
      <c r="N23251">
        <v>0</v>
      </c>
      <c r="O23251">
        <v>75</v>
      </c>
      <c r="P23251">
        <v>0</v>
      </c>
    </row>
    <row r="23252" spans="1:16" x14ac:dyDescent="0.25">
      <c r="A23252" t="s">
        <v>45985</v>
      </c>
      <c r="B23252" t="s">
        <v>1487</v>
      </c>
      <c r="C23252" t="s">
        <v>1488</v>
      </c>
      <c r="D23252" t="s">
        <v>1489</v>
      </c>
      <c r="E23252" t="s">
        <v>1490</v>
      </c>
      <c r="F23252" t="s">
        <v>5</v>
      </c>
      <c r="G23252" t="s">
        <v>47093</v>
      </c>
      <c r="H23252" t="s">
        <v>47153</v>
      </c>
      <c r="I23252" t="s">
        <v>47132</v>
      </c>
      <c r="J23252" t="s">
        <v>47133</v>
      </c>
      <c r="K23252" t="s">
        <v>47113</v>
      </c>
      <c r="L23252">
        <v>45.87</v>
      </c>
      <c r="M23252">
        <v>80</v>
      </c>
      <c r="N23252">
        <v>0</v>
      </c>
      <c r="O23252">
        <v>80</v>
      </c>
      <c r="P23252">
        <v>0</v>
      </c>
    </row>
    <row r="23253" spans="1:16" x14ac:dyDescent="0.25">
      <c r="A23253" t="s">
        <v>45986</v>
      </c>
      <c r="B23253" t="s">
        <v>1487</v>
      </c>
      <c r="C23253" t="s">
        <v>1488</v>
      </c>
      <c r="D23253" t="s">
        <v>1473</v>
      </c>
      <c r="E23253" t="s">
        <v>1474</v>
      </c>
      <c r="F23253" t="s">
        <v>4</v>
      </c>
      <c r="G23253" t="s">
        <v>47093</v>
      </c>
      <c r="H23253" t="s">
        <v>47153</v>
      </c>
      <c r="I23253" t="s">
        <v>47132</v>
      </c>
      <c r="J23253" t="s">
        <v>47133</v>
      </c>
      <c r="K23253" t="s">
        <v>47113</v>
      </c>
      <c r="L23253">
        <v>48.49</v>
      </c>
      <c r="M23253">
        <v>92</v>
      </c>
      <c r="N23253">
        <v>0</v>
      </c>
      <c r="O23253">
        <v>92</v>
      </c>
      <c r="P23253">
        <v>0</v>
      </c>
    </row>
    <row r="23254" spans="1:16" x14ac:dyDescent="0.25">
      <c r="A23254" t="s">
        <v>45987</v>
      </c>
      <c r="B23254" t="s">
        <v>1487</v>
      </c>
      <c r="C23254" t="s">
        <v>1488</v>
      </c>
      <c r="D23254" t="s">
        <v>1483</v>
      </c>
      <c r="E23254" t="s">
        <v>1484</v>
      </c>
      <c r="F23254" t="s">
        <v>4</v>
      </c>
      <c r="G23254" t="s">
        <v>47093</v>
      </c>
      <c r="H23254" t="s">
        <v>47153</v>
      </c>
      <c r="I23254" t="s">
        <v>47132</v>
      </c>
      <c r="J23254" t="s">
        <v>47133</v>
      </c>
      <c r="K23254" t="s">
        <v>47113</v>
      </c>
      <c r="L23254">
        <v>40.39</v>
      </c>
      <c r="M23254">
        <v>76</v>
      </c>
      <c r="N23254">
        <v>0</v>
      </c>
      <c r="O23254">
        <v>76</v>
      </c>
      <c r="P23254">
        <v>0</v>
      </c>
    </row>
    <row r="23255" spans="1:16" x14ac:dyDescent="0.25">
      <c r="A23255" t="s">
        <v>49816</v>
      </c>
      <c r="B23255" t="s">
        <v>49817</v>
      </c>
      <c r="C23255" t="s">
        <v>49818</v>
      </c>
      <c r="D23255" t="str">
        <f>"4143"</f>
        <v>4143</v>
      </c>
      <c r="E23255" t="s">
        <v>49819</v>
      </c>
      <c r="F23255" t="s">
        <v>46687</v>
      </c>
      <c r="G23255" t="s">
        <v>47095</v>
      </c>
      <c r="H23255" t="s">
        <v>47054</v>
      </c>
      <c r="I23255" t="s">
        <v>47120</v>
      </c>
      <c r="J23255" t="s">
        <v>47121</v>
      </c>
      <c r="K23255" t="s">
        <v>47113</v>
      </c>
      <c r="L23255">
        <v>25.54</v>
      </c>
      <c r="M23255">
        <v>48</v>
      </c>
      <c r="N23255">
        <v>129</v>
      </c>
      <c r="O23255">
        <v>48</v>
      </c>
      <c r="P23255">
        <v>129</v>
      </c>
    </row>
    <row r="23256" spans="1:16" x14ac:dyDescent="0.25">
      <c r="A23256" t="s">
        <v>49820</v>
      </c>
      <c r="B23256" t="s">
        <v>49821</v>
      </c>
      <c r="C23256" t="s">
        <v>49822</v>
      </c>
      <c r="D23256" t="str">
        <f>"1001"</f>
        <v>1001</v>
      </c>
      <c r="E23256" t="s">
        <v>42</v>
      </c>
      <c r="F23256" t="s">
        <v>47185</v>
      </c>
      <c r="G23256" t="s">
        <v>47095</v>
      </c>
      <c r="H23256" t="s">
        <v>47054</v>
      </c>
      <c r="I23256" t="s">
        <v>47118</v>
      </c>
      <c r="J23256" t="s">
        <v>47119</v>
      </c>
      <c r="K23256" t="s">
        <v>47113</v>
      </c>
      <c r="L23256">
        <v>20.99</v>
      </c>
      <c r="M23256">
        <v>48</v>
      </c>
      <c r="N23256">
        <v>129</v>
      </c>
      <c r="O23256">
        <v>48</v>
      </c>
      <c r="P23256">
        <v>129</v>
      </c>
    </row>
    <row r="23257" spans="1:16" x14ac:dyDescent="0.25">
      <c r="A23257" t="s">
        <v>49823</v>
      </c>
      <c r="B23257" t="s">
        <v>49824</v>
      </c>
      <c r="C23257" t="s">
        <v>49822</v>
      </c>
      <c r="D23257" t="str">
        <f>"1501"</f>
        <v>1501</v>
      </c>
      <c r="E23257" t="s">
        <v>46</v>
      </c>
      <c r="F23257" t="s">
        <v>47163</v>
      </c>
      <c r="G23257" t="s">
        <v>47095</v>
      </c>
      <c r="H23257" t="s">
        <v>47054</v>
      </c>
      <c r="I23257" t="s">
        <v>47118</v>
      </c>
      <c r="J23257" t="s">
        <v>47119</v>
      </c>
      <c r="K23257" t="s">
        <v>47113</v>
      </c>
      <c r="L23257">
        <v>19.649999999999999</v>
      </c>
      <c r="M23257">
        <v>48</v>
      </c>
      <c r="N23257">
        <v>129</v>
      </c>
      <c r="O23257">
        <v>48</v>
      </c>
      <c r="P23257">
        <v>129</v>
      </c>
    </row>
    <row r="23258" spans="1:16" x14ac:dyDescent="0.25">
      <c r="A23258" t="s">
        <v>49825</v>
      </c>
      <c r="B23258" t="s">
        <v>49826</v>
      </c>
      <c r="C23258" t="s">
        <v>49827</v>
      </c>
      <c r="D23258" t="str">
        <f>"1001"</f>
        <v>1001</v>
      </c>
      <c r="E23258" t="s">
        <v>42</v>
      </c>
      <c r="F23258" t="s">
        <v>47488</v>
      </c>
      <c r="G23258" t="s">
        <v>47095</v>
      </c>
      <c r="H23258" t="s">
        <v>47054</v>
      </c>
      <c r="I23258" t="s">
        <v>47118</v>
      </c>
      <c r="J23258" t="s">
        <v>47119</v>
      </c>
      <c r="K23258" t="s">
        <v>47113</v>
      </c>
      <c r="L23258">
        <v>26.11</v>
      </c>
      <c r="M23258">
        <v>63</v>
      </c>
      <c r="N23258">
        <v>169</v>
      </c>
      <c r="O23258">
        <v>63</v>
      </c>
      <c r="P23258">
        <v>169</v>
      </c>
    </row>
    <row r="23259" spans="1:16" x14ac:dyDescent="0.25">
      <c r="A23259" t="s">
        <v>49828</v>
      </c>
      <c r="B23259" t="s">
        <v>49826</v>
      </c>
      <c r="C23259" t="s">
        <v>49827</v>
      </c>
      <c r="D23259" t="str">
        <f>"9614"</f>
        <v>9614</v>
      </c>
      <c r="E23259" t="s">
        <v>2314</v>
      </c>
      <c r="F23259" t="s">
        <v>47488</v>
      </c>
      <c r="G23259" t="s">
        <v>47095</v>
      </c>
      <c r="H23259" t="s">
        <v>47054</v>
      </c>
      <c r="I23259" t="s">
        <v>47118</v>
      </c>
      <c r="J23259" t="s">
        <v>47119</v>
      </c>
      <c r="K23259" t="s">
        <v>47113</v>
      </c>
      <c r="L23259">
        <v>26.11</v>
      </c>
      <c r="M23259">
        <v>70</v>
      </c>
      <c r="N23259">
        <v>189</v>
      </c>
      <c r="O23259">
        <v>70</v>
      </c>
      <c r="P23259">
        <v>189</v>
      </c>
    </row>
    <row r="23260" spans="1:16" x14ac:dyDescent="0.25">
      <c r="A23260" t="s">
        <v>45988</v>
      </c>
      <c r="B23260" t="s">
        <v>13851</v>
      </c>
      <c r="C23260" t="s">
        <v>10606</v>
      </c>
      <c r="D23260" t="str">
        <f>"1705"</f>
        <v>1705</v>
      </c>
      <c r="E23260" t="s">
        <v>13852</v>
      </c>
      <c r="F23260" t="s">
        <v>3558</v>
      </c>
      <c r="G23260" t="s">
        <v>47093</v>
      </c>
      <c r="H23260" t="s">
        <v>47054</v>
      </c>
      <c r="I23260" t="s">
        <v>47111</v>
      </c>
      <c r="J23260" t="s">
        <v>47112</v>
      </c>
      <c r="K23260" t="s">
        <v>47113</v>
      </c>
      <c r="L23260">
        <v>42.15</v>
      </c>
      <c r="M23260">
        <v>74</v>
      </c>
      <c r="N23260">
        <v>0</v>
      </c>
      <c r="O23260">
        <v>74</v>
      </c>
      <c r="P23260">
        <v>0</v>
      </c>
    </row>
    <row r="23261" spans="1:16" x14ac:dyDescent="0.25">
      <c r="A23261" t="s">
        <v>49829</v>
      </c>
      <c r="B23261" t="s">
        <v>49830</v>
      </c>
      <c r="C23261" t="s">
        <v>49831</v>
      </c>
      <c r="D23261" t="str">
        <f>"4143"</f>
        <v>4143</v>
      </c>
      <c r="E23261" t="s">
        <v>49832</v>
      </c>
      <c r="F23261" t="s">
        <v>47185</v>
      </c>
      <c r="G23261" t="s">
        <v>47103</v>
      </c>
      <c r="H23261" t="s">
        <v>47054</v>
      </c>
      <c r="I23261" t="s">
        <v>47120</v>
      </c>
      <c r="J23261" t="s">
        <v>47121</v>
      </c>
      <c r="K23261" t="s">
        <v>47113</v>
      </c>
      <c r="L23261">
        <v>26.39</v>
      </c>
      <c r="M23261">
        <v>74</v>
      </c>
      <c r="N23261">
        <v>199</v>
      </c>
      <c r="O23261">
        <v>74</v>
      </c>
      <c r="P23261">
        <v>199</v>
      </c>
    </row>
    <row r="23262" spans="1:16" x14ac:dyDescent="0.25">
      <c r="A23262" t="s">
        <v>45989</v>
      </c>
      <c r="B23262" t="s">
        <v>13853</v>
      </c>
      <c r="C23262" t="s">
        <v>13854</v>
      </c>
      <c r="D23262" t="str">
        <f>"1705"</f>
        <v>1705</v>
      </c>
      <c r="E23262" t="s">
        <v>13852</v>
      </c>
      <c r="F23262" t="s">
        <v>3558</v>
      </c>
      <c r="G23262" t="s">
        <v>47099</v>
      </c>
      <c r="H23262" t="s">
        <v>47054</v>
      </c>
      <c r="I23262" t="s">
        <v>47111</v>
      </c>
      <c r="J23262" t="s">
        <v>47112</v>
      </c>
      <c r="K23262" t="s">
        <v>47113</v>
      </c>
      <c r="L23262">
        <v>36.21</v>
      </c>
      <c r="M23262">
        <v>100</v>
      </c>
      <c r="N23262">
        <v>0</v>
      </c>
      <c r="O23262">
        <v>100</v>
      </c>
      <c r="P23262">
        <v>0</v>
      </c>
    </row>
    <row r="23263" spans="1:16" x14ac:dyDescent="0.25">
      <c r="A23263" t="s">
        <v>49833</v>
      </c>
      <c r="B23263" t="s">
        <v>49834</v>
      </c>
      <c r="C23263" t="s">
        <v>49835</v>
      </c>
      <c r="D23263" t="str">
        <f>"1001"</f>
        <v>1001</v>
      </c>
      <c r="E23263" t="s">
        <v>42</v>
      </c>
      <c r="F23263" t="s">
        <v>47171</v>
      </c>
      <c r="G23263" t="s">
        <v>47103</v>
      </c>
      <c r="H23263" t="s">
        <v>47054</v>
      </c>
      <c r="I23263" t="s">
        <v>47569</v>
      </c>
      <c r="J23263" t="s">
        <v>47570</v>
      </c>
      <c r="K23263" t="s">
        <v>47113</v>
      </c>
      <c r="L23263">
        <v>18.559999999999999</v>
      </c>
      <c r="M23263">
        <v>63</v>
      </c>
      <c r="N23263">
        <v>169</v>
      </c>
      <c r="O23263">
        <v>63</v>
      </c>
      <c r="P23263">
        <v>169</v>
      </c>
    </row>
    <row r="23264" spans="1:16" x14ac:dyDescent="0.25">
      <c r="A23264" t="s">
        <v>49836</v>
      </c>
      <c r="B23264" t="s">
        <v>49834</v>
      </c>
      <c r="C23264" t="s">
        <v>49835</v>
      </c>
      <c r="D23264" t="str">
        <f>"9614"</f>
        <v>9614</v>
      </c>
      <c r="E23264" t="s">
        <v>2314</v>
      </c>
      <c r="F23264" t="s">
        <v>47171</v>
      </c>
      <c r="G23264" t="s">
        <v>47103</v>
      </c>
      <c r="H23264" t="s">
        <v>47054</v>
      </c>
      <c r="I23264" t="s">
        <v>47569</v>
      </c>
      <c r="J23264" t="s">
        <v>47570</v>
      </c>
      <c r="K23264" t="s">
        <v>47113</v>
      </c>
      <c r="L23264">
        <v>18.559999999999999</v>
      </c>
      <c r="M23264">
        <v>63</v>
      </c>
      <c r="N23264">
        <v>169</v>
      </c>
      <c r="O23264">
        <v>63</v>
      </c>
      <c r="P23264">
        <v>169</v>
      </c>
    </row>
    <row r="23265" spans="1:16" x14ac:dyDescent="0.25">
      <c r="A23265" t="s">
        <v>49837</v>
      </c>
      <c r="B23265" t="s">
        <v>49838</v>
      </c>
      <c r="C23265" t="s">
        <v>49839</v>
      </c>
      <c r="D23265" t="str">
        <f>"1501"</f>
        <v>1501</v>
      </c>
      <c r="E23265" t="s">
        <v>46</v>
      </c>
      <c r="F23265" t="s">
        <v>47479</v>
      </c>
      <c r="G23265" t="s">
        <v>47103</v>
      </c>
      <c r="H23265" t="s">
        <v>47054</v>
      </c>
      <c r="I23265" t="s">
        <v>47569</v>
      </c>
      <c r="J23265" t="s">
        <v>47570</v>
      </c>
      <c r="K23265" t="s">
        <v>47113</v>
      </c>
      <c r="L23265">
        <v>41.27</v>
      </c>
      <c r="M23265">
        <v>129</v>
      </c>
      <c r="N23265">
        <v>349</v>
      </c>
      <c r="O23265">
        <v>129</v>
      </c>
      <c r="P23265">
        <v>349</v>
      </c>
    </row>
    <row r="23266" spans="1:16" x14ac:dyDescent="0.25">
      <c r="A23266" t="s">
        <v>49840</v>
      </c>
      <c r="B23266" t="s">
        <v>49841</v>
      </c>
      <c r="C23266" t="s">
        <v>49842</v>
      </c>
      <c r="D23266" t="str">
        <f>"4143"</f>
        <v>4143</v>
      </c>
      <c r="E23266" t="s">
        <v>261</v>
      </c>
      <c r="F23266" t="s">
        <v>46687</v>
      </c>
      <c r="G23266" t="s">
        <v>47101</v>
      </c>
      <c r="H23266" t="s">
        <v>47054</v>
      </c>
      <c r="I23266" t="s">
        <v>47120</v>
      </c>
      <c r="J23266" t="s">
        <v>47121</v>
      </c>
      <c r="K23266" t="s">
        <v>47113</v>
      </c>
      <c r="L23266">
        <v>29.52</v>
      </c>
      <c r="M23266">
        <v>55</v>
      </c>
      <c r="N23266">
        <v>149</v>
      </c>
      <c r="O23266">
        <v>55</v>
      </c>
      <c r="P23266">
        <v>149</v>
      </c>
    </row>
    <row r="23267" spans="1:16" x14ac:dyDescent="0.25">
      <c r="A23267" t="s">
        <v>49843</v>
      </c>
      <c r="B23267" t="s">
        <v>49844</v>
      </c>
      <c r="C23267" t="s">
        <v>49845</v>
      </c>
      <c r="D23267" t="str">
        <f>"4143"</f>
        <v>4143</v>
      </c>
      <c r="E23267" t="s">
        <v>261</v>
      </c>
      <c r="F23267" t="s">
        <v>46687</v>
      </c>
      <c r="G23267" t="s">
        <v>47103</v>
      </c>
      <c r="H23267" t="s">
        <v>47054</v>
      </c>
      <c r="I23267" t="s">
        <v>47118</v>
      </c>
      <c r="J23267" t="s">
        <v>47119</v>
      </c>
      <c r="K23267" t="s">
        <v>47113</v>
      </c>
      <c r="L23267">
        <v>24.99</v>
      </c>
      <c r="M23267">
        <v>70</v>
      </c>
      <c r="N23267">
        <v>189</v>
      </c>
      <c r="O23267">
        <v>70</v>
      </c>
      <c r="P23267">
        <v>189</v>
      </c>
    </row>
    <row r="23268" spans="1:16" x14ac:dyDescent="0.25">
      <c r="A23268" t="s">
        <v>49846</v>
      </c>
      <c r="B23268" t="s">
        <v>49847</v>
      </c>
      <c r="C23268" t="s">
        <v>49848</v>
      </c>
      <c r="D23268" t="str">
        <f>"1700"</f>
        <v>1700</v>
      </c>
      <c r="E23268" t="s">
        <v>49849</v>
      </c>
      <c r="F23268" t="s">
        <v>31484</v>
      </c>
      <c r="G23268" t="s">
        <v>47101</v>
      </c>
      <c r="H23268" t="s">
        <v>47054</v>
      </c>
      <c r="I23268" t="s">
        <v>47120</v>
      </c>
      <c r="J23268" t="s">
        <v>47121</v>
      </c>
      <c r="K23268" t="s">
        <v>47113</v>
      </c>
      <c r="L23268">
        <v>23.28</v>
      </c>
      <c r="M23268">
        <v>63</v>
      </c>
      <c r="N23268">
        <v>169</v>
      </c>
      <c r="O23268">
        <v>63</v>
      </c>
      <c r="P23268">
        <v>169</v>
      </c>
    </row>
    <row r="23269" spans="1:16" x14ac:dyDescent="0.25">
      <c r="A23269" t="s">
        <v>49850</v>
      </c>
      <c r="B23269" t="s">
        <v>49847</v>
      </c>
      <c r="C23269" t="s">
        <v>49848</v>
      </c>
      <c r="D23269" t="str">
        <f>"4143"</f>
        <v>4143</v>
      </c>
      <c r="E23269" t="s">
        <v>49819</v>
      </c>
      <c r="F23269" t="s">
        <v>31484</v>
      </c>
      <c r="G23269" t="s">
        <v>47101</v>
      </c>
      <c r="H23269" t="s">
        <v>47054</v>
      </c>
      <c r="I23269" t="s">
        <v>47120</v>
      </c>
      <c r="J23269" t="s">
        <v>47121</v>
      </c>
      <c r="K23269" t="s">
        <v>47113</v>
      </c>
      <c r="L23269">
        <v>25.53</v>
      </c>
      <c r="M23269">
        <v>55</v>
      </c>
      <c r="N23269">
        <v>149</v>
      </c>
      <c r="O23269">
        <v>55</v>
      </c>
      <c r="P23269">
        <v>149</v>
      </c>
    </row>
    <row r="23270" spans="1:16" x14ac:dyDescent="0.25">
      <c r="A23270" t="s">
        <v>49851</v>
      </c>
      <c r="B23270" t="s">
        <v>49852</v>
      </c>
      <c r="C23270" t="s">
        <v>49853</v>
      </c>
      <c r="D23270" t="str">
        <f>"4143"</f>
        <v>4143</v>
      </c>
      <c r="E23270" t="s">
        <v>261</v>
      </c>
      <c r="F23270" t="s">
        <v>31484</v>
      </c>
      <c r="G23270" t="s">
        <v>47101</v>
      </c>
      <c r="H23270" t="s">
        <v>47054</v>
      </c>
      <c r="I23270" t="s">
        <v>47120</v>
      </c>
      <c r="J23270" t="s">
        <v>47121</v>
      </c>
      <c r="K23270" t="s">
        <v>47113</v>
      </c>
      <c r="L23270">
        <v>18.850000000000001</v>
      </c>
      <c r="M23270">
        <v>55</v>
      </c>
      <c r="N23270">
        <v>149</v>
      </c>
      <c r="O23270">
        <v>55</v>
      </c>
      <c r="P23270">
        <v>149</v>
      </c>
    </row>
    <row r="23271" spans="1:16" x14ac:dyDescent="0.25">
      <c r="A23271" t="s">
        <v>49854</v>
      </c>
      <c r="B23271" t="s">
        <v>49855</v>
      </c>
      <c r="C23271" t="s">
        <v>49856</v>
      </c>
      <c r="D23271" t="str">
        <f>"1100"</f>
        <v>1100</v>
      </c>
      <c r="E23271" t="s">
        <v>54</v>
      </c>
      <c r="F23271" t="s">
        <v>31484</v>
      </c>
      <c r="G23271" t="s">
        <v>47097</v>
      </c>
      <c r="H23271" t="s">
        <v>47054</v>
      </c>
      <c r="I23271" t="s">
        <v>47154</v>
      </c>
      <c r="J23271" t="s">
        <v>47155</v>
      </c>
      <c r="K23271" t="s">
        <v>47113</v>
      </c>
      <c r="L23271">
        <v>10.220000000000001</v>
      </c>
      <c r="M23271">
        <v>26</v>
      </c>
      <c r="N23271">
        <v>69</v>
      </c>
      <c r="O23271">
        <v>26</v>
      </c>
      <c r="P23271">
        <v>69</v>
      </c>
    </row>
    <row r="23272" spans="1:16" x14ac:dyDescent="0.25">
      <c r="A23272" t="s">
        <v>49857</v>
      </c>
      <c r="B23272" t="s">
        <v>49855</v>
      </c>
      <c r="C23272" t="s">
        <v>49856</v>
      </c>
      <c r="D23272" t="str">
        <f>"1700"</f>
        <v>1700</v>
      </c>
      <c r="E23272" t="s">
        <v>60</v>
      </c>
      <c r="F23272" t="s">
        <v>31484</v>
      </c>
      <c r="G23272" t="s">
        <v>47097</v>
      </c>
      <c r="H23272" t="s">
        <v>47054</v>
      </c>
      <c r="I23272" t="s">
        <v>47154</v>
      </c>
      <c r="J23272" t="s">
        <v>47155</v>
      </c>
      <c r="K23272" t="s">
        <v>47113</v>
      </c>
      <c r="L23272">
        <v>10.220000000000001</v>
      </c>
      <c r="M23272">
        <v>26</v>
      </c>
      <c r="N23272">
        <v>69</v>
      </c>
      <c r="O23272">
        <v>26</v>
      </c>
      <c r="P23272">
        <v>69</v>
      </c>
    </row>
    <row r="23273" spans="1:16" x14ac:dyDescent="0.25">
      <c r="A23273" t="s">
        <v>49858</v>
      </c>
      <c r="B23273" t="s">
        <v>49855</v>
      </c>
      <c r="C23273" t="s">
        <v>49856</v>
      </c>
      <c r="D23273" t="str">
        <f>"3071"</f>
        <v>3071</v>
      </c>
      <c r="E23273" t="s">
        <v>49859</v>
      </c>
      <c r="F23273" t="s">
        <v>31484</v>
      </c>
      <c r="G23273" t="s">
        <v>47097</v>
      </c>
      <c r="H23273" t="s">
        <v>47054</v>
      </c>
      <c r="I23273" t="s">
        <v>47154</v>
      </c>
      <c r="J23273" t="s">
        <v>47155</v>
      </c>
      <c r="K23273" t="s">
        <v>47113</v>
      </c>
      <c r="L23273">
        <v>10.220000000000001</v>
      </c>
      <c r="M23273">
        <v>26</v>
      </c>
      <c r="N23273">
        <v>69</v>
      </c>
      <c r="O23273">
        <v>26</v>
      </c>
      <c r="P23273">
        <v>69</v>
      </c>
    </row>
    <row r="23274" spans="1:16" x14ac:dyDescent="0.25">
      <c r="A23274" t="s">
        <v>49860</v>
      </c>
      <c r="B23274" t="s">
        <v>49855</v>
      </c>
      <c r="C23274" t="s">
        <v>49856</v>
      </c>
      <c r="D23274" t="str">
        <f>"6084"</f>
        <v>6084</v>
      </c>
      <c r="E23274" t="s">
        <v>48393</v>
      </c>
      <c r="F23274" t="s">
        <v>31484</v>
      </c>
      <c r="G23274" t="s">
        <v>47097</v>
      </c>
      <c r="H23274" t="s">
        <v>47054</v>
      </c>
      <c r="I23274" t="s">
        <v>47154</v>
      </c>
      <c r="J23274" t="s">
        <v>47155</v>
      </c>
      <c r="K23274" t="s">
        <v>47113</v>
      </c>
      <c r="L23274">
        <v>10.220000000000001</v>
      </c>
      <c r="M23274">
        <v>26</v>
      </c>
      <c r="N23274">
        <v>69</v>
      </c>
      <c r="O23274">
        <v>26</v>
      </c>
      <c r="P23274">
        <v>69</v>
      </c>
    </row>
    <row r="23275" spans="1:16" x14ac:dyDescent="0.25">
      <c r="A23275" t="s">
        <v>49861</v>
      </c>
      <c r="B23275" t="s">
        <v>49862</v>
      </c>
      <c r="C23275" t="s">
        <v>49863</v>
      </c>
      <c r="D23275" t="str">
        <f>"1700"</f>
        <v>1700</v>
      </c>
      <c r="E23275" t="s">
        <v>60</v>
      </c>
      <c r="F23275" t="s">
        <v>47163</v>
      </c>
      <c r="G23275" t="s">
        <v>47101</v>
      </c>
      <c r="H23275" t="s">
        <v>47054</v>
      </c>
      <c r="I23275" t="s">
        <v>47118</v>
      </c>
      <c r="J23275" t="s">
        <v>47119</v>
      </c>
      <c r="K23275" t="s">
        <v>47113</v>
      </c>
      <c r="L23275">
        <v>22.97</v>
      </c>
      <c r="M23275">
        <v>70</v>
      </c>
      <c r="N23275">
        <v>189</v>
      </c>
      <c r="O23275">
        <v>70</v>
      </c>
      <c r="P23275">
        <v>189</v>
      </c>
    </row>
    <row r="23276" spans="1:16" x14ac:dyDescent="0.25">
      <c r="A23276" t="s">
        <v>49864</v>
      </c>
      <c r="B23276" t="s">
        <v>49865</v>
      </c>
      <c r="C23276" t="s">
        <v>49866</v>
      </c>
      <c r="D23276" t="str">
        <f>"1700"</f>
        <v>1700</v>
      </c>
      <c r="E23276" t="s">
        <v>60</v>
      </c>
      <c r="F23276" t="s">
        <v>31484</v>
      </c>
      <c r="G23276" t="s">
        <v>47101</v>
      </c>
      <c r="H23276" t="s">
        <v>47054</v>
      </c>
      <c r="I23276" t="s">
        <v>47118</v>
      </c>
      <c r="J23276" t="s">
        <v>47119</v>
      </c>
      <c r="K23276" t="s">
        <v>47113</v>
      </c>
      <c r="L23276">
        <v>19.940000000000001</v>
      </c>
      <c r="M23276">
        <v>70</v>
      </c>
      <c r="N23276">
        <v>189</v>
      </c>
      <c r="O23276">
        <v>70</v>
      </c>
      <c r="P23276">
        <v>189</v>
      </c>
    </row>
    <row r="23277" spans="1:16" x14ac:dyDescent="0.25">
      <c r="A23277" t="s">
        <v>45990</v>
      </c>
      <c r="B23277" t="s">
        <v>13855</v>
      </c>
      <c r="C23277" t="s">
        <v>10614</v>
      </c>
      <c r="D23277" t="str">
        <f>"4152"</f>
        <v>4152</v>
      </c>
      <c r="E23277" t="s">
        <v>13856</v>
      </c>
      <c r="F23277" t="s">
        <v>3558</v>
      </c>
      <c r="G23277" t="s">
        <v>47093</v>
      </c>
      <c r="H23277" t="s">
        <v>47054</v>
      </c>
      <c r="I23277" t="s">
        <v>47111</v>
      </c>
      <c r="J23277" t="s">
        <v>47112</v>
      </c>
      <c r="K23277" t="s">
        <v>47113</v>
      </c>
      <c r="L23277">
        <v>40</v>
      </c>
      <c r="M23277">
        <v>74</v>
      </c>
      <c r="N23277">
        <v>0</v>
      </c>
      <c r="O23277">
        <v>74</v>
      </c>
      <c r="P23277">
        <v>0</v>
      </c>
    </row>
    <row r="23278" spans="1:16" x14ac:dyDescent="0.25">
      <c r="A23278" t="s">
        <v>49867</v>
      </c>
      <c r="B23278" t="s">
        <v>49868</v>
      </c>
      <c r="C23278" t="s">
        <v>49869</v>
      </c>
      <c r="D23278" t="str">
        <f>"4143"</f>
        <v>4143</v>
      </c>
      <c r="E23278" t="s">
        <v>261</v>
      </c>
      <c r="F23278" t="s">
        <v>47488</v>
      </c>
      <c r="G23278" t="s">
        <v>47101</v>
      </c>
      <c r="H23278" t="s">
        <v>47054</v>
      </c>
      <c r="I23278" t="s">
        <v>47120</v>
      </c>
      <c r="J23278" t="s">
        <v>47121</v>
      </c>
      <c r="K23278" t="s">
        <v>47113</v>
      </c>
      <c r="L23278">
        <v>26.11</v>
      </c>
      <c r="M23278">
        <v>74</v>
      </c>
      <c r="N23278">
        <v>199</v>
      </c>
      <c r="O23278">
        <v>74</v>
      </c>
      <c r="P23278">
        <v>199</v>
      </c>
    </row>
    <row r="23279" spans="1:16" x14ac:dyDescent="0.25">
      <c r="A23279" t="s">
        <v>49870</v>
      </c>
      <c r="B23279" t="s">
        <v>49871</v>
      </c>
      <c r="C23279" t="s">
        <v>49872</v>
      </c>
      <c r="D23279" t="str">
        <f>"4143"</f>
        <v>4143</v>
      </c>
      <c r="E23279" t="s">
        <v>261</v>
      </c>
      <c r="F23279" t="s">
        <v>47488</v>
      </c>
      <c r="G23279" t="s">
        <v>47101</v>
      </c>
      <c r="H23279" t="s">
        <v>47054</v>
      </c>
      <c r="I23279" t="s">
        <v>47120</v>
      </c>
      <c r="J23279" t="s">
        <v>47121</v>
      </c>
      <c r="K23279" t="s">
        <v>47113</v>
      </c>
      <c r="L23279">
        <v>37.67</v>
      </c>
      <c r="M23279">
        <v>111</v>
      </c>
      <c r="N23279">
        <v>299</v>
      </c>
      <c r="O23279">
        <v>111</v>
      </c>
      <c r="P23279">
        <v>299</v>
      </c>
    </row>
    <row r="23280" spans="1:16" x14ac:dyDescent="0.25">
      <c r="A23280" t="s">
        <v>49873</v>
      </c>
      <c r="B23280" t="s">
        <v>49874</v>
      </c>
      <c r="C23280" t="s">
        <v>49875</v>
      </c>
      <c r="D23280" t="str">
        <f>"1001"</f>
        <v>1001</v>
      </c>
      <c r="E23280" t="s">
        <v>42</v>
      </c>
      <c r="F23280" t="s">
        <v>47171</v>
      </c>
      <c r="G23280" t="s">
        <v>47101</v>
      </c>
      <c r="H23280" t="s">
        <v>47054</v>
      </c>
      <c r="I23280" t="s">
        <v>47120</v>
      </c>
      <c r="J23280" t="s">
        <v>47121</v>
      </c>
      <c r="K23280" t="s">
        <v>47113</v>
      </c>
      <c r="L23280">
        <v>22.52</v>
      </c>
      <c r="M23280">
        <v>63</v>
      </c>
      <c r="N23280">
        <v>169</v>
      </c>
      <c r="O23280">
        <v>63</v>
      </c>
      <c r="P23280">
        <v>169</v>
      </c>
    </row>
    <row r="23281" spans="1:16" x14ac:dyDescent="0.25">
      <c r="A23281" t="s">
        <v>49876</v>
      </c>
      <c r="B23281" t="s">
        <v>49874</v>
      </c>
      <c r="C23281" t="s">
        <v>49875</v>
      </c>
      <c r="D23281" t="str">
        <f>"3106"</f>
        <v>3106</v>
      </c>
      <c r="E23281" t="s">
        <v>24691</v>
      </c>
      <c r="F23281" t="s">
        <v>47171</v>
      </c>
      <c r="G23281" t="s">
        <v>47101</v>
      </c>
      <c r="H23281" t="s">
        <v>47054</v>
      </c>
      <c r="I23281" t="s">
        <v>47120</v>
      </c>
      <c r="J23281" t="s">
        <v>47121</v>
      </c>
      <c r="K23281" t="s">
        <v>47113</v>
      </c>
      <c r="L23281">
        <v>22.52</v>
      </c>
      <c r="M23281">
        <v>63</v>
      </c>
      <c r="N23281">
        <v>169</v>
      </c>
      <c r="O23281">
        <v>63</v>
      </c>
      <c r="P23281">
        <v>169</v>
      </c>
    </row>
    <row r="23282" spans="1:16" x14ac:dyDescent="0.25">
      <c r="A23282" t="s">
        <v>49877</v>
      </c>
      <c r="B23282" t="s">
        <v>49878</v>
      </c>
      <c r="C23282" t="s">
        <v>49879</v>
      </c>
      <c r="D23282" t="str">
        <f>"1700"</f>
        <v>1700</v>
      </c>
      <c r="E23282" t="s">
        <v>60</v>
      </c>
      <c r="F23282" t="s">
        <v>47163</v>
      </c>
      <c r="G23282" t="s">
        <v>47101</v>
      </c>
      <c r="H23282" t="s">
        <v>47054</v>
      </c>
      <c r="I23282" t="s">
        <v>47118</v>
      </c>
      <c r="J23282" t="s">
        <v>47119</v>
      </c>
      <c r="K23282" t="s">
        <v>47113</v>
      </c>
      <c r="L23282">
        <v>26.61</v>
      </c>
      <c r="M23282">
        <v>63</v>
      </c>
      <c r="N23282">
        <v>169</v>
      </c>
      <c r="O23282">
        <v>63</v>
      </c>
      <c r="P23282">
        <v>169</v>
      </c>
    </row>
    <row r="23283" spans="1:16" x14ac:dyDescent="0.25">
      <c r="A23283" t="s">
        <v>49880</v>
      </c>
      <c r="B23283" t="s">
        <v>49878</v>
      </c>
      <c r="C23283" t="s">
        <v>49879</v>
      </c>
      <c r="D23283" t="str">
        <f>"3071"</f>
        <v>3071</v>
      </c>
      <c r="E23283" t="s">
        <v>49859</v>
      </c>
      <c r="F23283" t="s">
        <v>47163</v>
      </c>
      <c r="G23283" t="s">
        <v>47101</v>
      </c>
      <c r="H23283" t="s">
        <v>47054</v>
      </c>
      <c r="I23283" t="s">
        <v>47118</v>
      </c>
      <c r="J23283" t="s">
        <v>47119</v>
      </c>
      <c r="K23283" t="s">
        <v>47113</v>
      </c>
      <c r="L23283">
        <v>26.61</v>
      </c>
      <c r="M23283">
        <v>63</v>
      </c>
      <c r="N23283">
        <v>169</v>
      </c>
      <c r="O23283">
        <v>63</v>
      </c>
      <c r="P23283">
        <v>169</v>
      </c>
    </row>
    <row r="23284" spans="1:16" x14ac:dyDescent="0.25">
      <c r="A23284" t="s">
        <v>49881</v>
      </c>
      <c r="B23284" t="s">
        <v>49882</v>
      </c>
      <c r="C23284" t="s">
        <v>49883</v>
      </c>
      <c r="D23284" t="str">
        <f>"4000"</f>
        <v>4000</v>
      </c>
      <c r="E23284" t="s">
        <v>47593</v>
      </c>
      <c r="F23284" t="s">
        <v>31484</v>
      </c>
      <c r="G23284" t="s">
        <v>47091</v>
      </c>
      <c r="H23284" t="s">
        <v>47054</v>
      </c>
      <c r="I23284" t="s">
        <v>47154</v>
      </c>
      <c r="J23284" t="s">
        <v>47155</v>
      </c>
      <c r="K23284" t="s">
        <v>47113</v>
      </c>
      <c r="L23284">
        <v>15.43</v>
      </c>
      <c r="M23284">
        <v>37</v>
      </c>
      <c r="N23284">
        <v>99</v>
      </c>
      <c r="O23284">
        <v>37</v>
      </c>
      <c r="P23284">
        <v>99</v>
      </c>
    </row>
    <row r="23285" spans="1:16" x14ac:dyDescent="0.25">
      <c r="A23285" t="s">
        <v>49884</v>
      </c>
      <c r="B23285" t="s">
        <v>49885</v>
      </c>
      <c r="C23285" t="s">
        <v>49886</v>
      </c>
      <c r="D23285" t="str">
        <f>"1001"</f>
        <v>1001</v>
      </c>
      <c r="E23285" t="s">
        <v>42</v>
      </c>
      <c r="F23285" t="s">
        <v>47185</v>
      </c>
      <c r="G23285" t="s">
        <v>47101</v>
      </c>
      <c r="H23285" t="s">
        <v>47054</v>
      </c>
      <c r="I23285" t="s">
        <v>47120</v>
      </c>
      <c r="J23285" t="s">
        <v>47121</v>
      </c>
      <c r="K23285" t="s">
        <v>47113</v>
      </c>
      <c r="L23285">
        <v>17.2</v>
      </c>
      <c r="M23285">
        <v>48</v>
      </c>
      <c r="N23285">
        <v>129</v>
      </c>
      <c r="O23285">
        <v>48</v>
      </c>
      <c r="P23285">
        <v>129</v>
      </c>
    </row>
    <row r="23286" spans="1:16" x14ac:dyDescent="0.25">
      <c r="A23286" t="s">
        <v>49887</v>
      </c>
      <c r="B23286" t="s">
        <v>49888</v>
      </c>
      <c r="C23286" t="s">
        <v>49889</v>
      </c>
      <c r="D23286" t="str">
        <f>"1100"</f>
        <v>1100</v>
      </c>
      <c r="E23286" t="s">
        <v>54</v>
      </c>
      <c r="F23286" t="s">
        <v>47185</v>
      </c>
      <c r="G23286" t="s">
        <v>47092</v>
      </c>
      <c r="H23286" t="s">
        <v>47054</v>
      </c>
      <c r="I23286" t="s">
        <v>47118</v>
      </c>
      <c r="J23286" t="s">
        <v>47119</v>
      </c>
      <c r="K23286" t="s">
        <v>47113</v>
      </c>
      <c r="L23286">
        <v>22.04</v>
      </c>
      <c r="M23286">
        <v>48</v>
      </c>
      <c r="N23286">
        <v>129</v>
      </c>
      <c r="O23286">
        <v>48</v>
      </c>
      <c r="P23286">
        <v>129</v>
      </c>
    </row>
    <row r="23287" spans="1:16" x14ac:dyDescent="0.25">
      <c r="A23287" t="s">
        <v>49890</v>
      </c>
      <c r="B23287" t="s">
        <v>49891</v>
      </c>
      <c r="C23287" t="s">
        <v>49892</v>
      </c>
      <c r="D23287" t="str">
        <f>"1001"</f>
        <v>1001</v>
      </c>
      <c r="E23287" t="s">
        <v>42</v>
      </c>
      <c r="F23287" t="s">
        <v>47185</v>
      </c>
      <c r="G23287" t="s">
        <v>47103</v>
      </c>
      <c r="H23287" t="s">
        <v>47054</v>
      </c>
      <c r="I23287" t="s">
        <v>47118</v>
      </c>
      <c r="J23287" t="s">
        <v>47119</v>
      </c>
      <c r="K23287" t="s">
        <v>47113</v>
      </c>
      <c r="L23287">
        <v>19.46</v>
      </c>
      <c r="M23287">
        <v>48</v>
      </c>
      <c r="N23287">
        <v>129</v>
      </c>
      <c r="O23287">
        <v>48</v>
      </c>
      <c r="P23287">
        <v>129</v>
      </c>
    </row>
    <row r="23288" spans="1:16" x14ac:dyDescent="0.25">
      <c r="A23288" t="s">
        <v>49893</v>
      </c>
      <c r="B23288" t="s">
        <v>49891</v>
      </c>
      <c r="C23288" t="s">
        <v>49892</v>
      </c>
      <c r="D23288" t="str">
        <f>"1100"</f>
        <v>1100</v>
      </c>
      <c r="E23288" t="s">
        <v>54</v>
      </c>
      <c r="F23288" t="s">
        <v>47185</v>
      </c>
      <c r="G23288" t="s">
        <v>47103</v>
      </c>
      <c r="H23288" t="s">
        <v>47054</v>
      </c>
      <c r="I23288" t="s">
        <v>47118</v>
      </c>
      <c r="J23288" t="s">
        <v>47119</v>
      </c>
      <c r="K23288" t="s">
        <v>47113</v>
      </c>
      <c r="L23288">
        <v>19.46</v>
      </c>
      <c r="M23288">
        <v>48</v>
      </c>
      <c r="N23288">
        <v>129</v>
      </c>
      <c r="O23288">
        <v>48</v>
      </c>
      <c r="P23288">
        <v>129</v>
      </c>
    </row>
    <row r="23289" spans="1:16" x14ac:dyDescent="0.25">
      <c r="A23289" t="s">
        <v>49894</v>
      </c>
      <c r="B23289" t="s">
        <v>49891</v>
      </c>
      <c r="C23289" t="s">
        <v>49892</v>
      </c>
      <c r="D23289" t="str">
        <f>"1700"</f>
        <v>1700</v>
      </c>
      <c r="E23289" t="s">
        <v>60</v>
      </c>
      <c r="F23289" t="s">
        <v>47185</v>
      </c>
      <c r="G23289" t="s">
        <v>47103</v>
      </c>
      <c r="H23289" t="s">
        <v>47054</v>
      </c>
      <c r="I23289" t="s">
        <v>47118</v>
      </c>
      <c r="J23289" t="s">
        <v>47119</v>
      </c>
      <c r="K23289" t="s">
        <v>47113</v>
      </c>
      <c r="L23289">
        <v>11.55</v>
      </c>
      <c r="M23289">
        <v>33</v>
      </c>
      <c r="N23289">
        <v>89</v>
      </c>
      <c r="O23289">
        <v>33</v>
      </c>
      <c r="P23289">
        <v>89</v>
      </c>
    </row>
    <row r="23290" spans="1:16" x14ac:dyDescent="0.25">
      <c r="A23290" t="s">
        <v>49895</v>
      </c>
      <c r="B23290" t="s">
        <v>49896</v>
      </c>
      <c r="C23290" t="s">
        <v>49897</v>
      </c>
      <c r="D23290" t="str">
        <f>"1501"</f>
        <v>1501</v>
      </c>
      <c r="E23290" t="s">
        <v>46</v>
      </c>
      <c r="F23290" t="s">
        <v>47171</v>
      </c>
      <c r="G23290" t="s">
        <v>47097</v>
      </c>
      <c r="H23290" t="s">
        <v>47054</v>
      </c>
      <c r="I23290" t="s">
        <v>47118</v>
      </c>
      <c r="J23290" t="s">
        <v>47119</v>
      </c>
      <c r="K23290" t="s">
        <v>47113</v>
      </c>
      <c r="L23290">
        <v>15.44</v>
      </c>
      <c r="M23290">
        <v>37</v>
      </c>
      <c r="N23290">
        <v>99</v>
      </c>
      <c r="O23290">
        <v>37</v>
      </c>
      <c r="P23290">
        <v>99</v>
      </c>
    </row>
    <row r="23291" spans="1:16" x14ac:dyDescent="0.25">
      <c r="A23291" t="s">
        <v>49898</v>
      </c>
      <c r="B23291" t="s">
        <v>49899</v>
      </c>
      <c r="C23291" t="s">
        <v>49897</v>
      </c>
      <c r="D23291" t="str">
        <f>"4143"</f>
        <v>4143</v>
      </c>
      <c r="E23291" t="s">
        <v>261</v>
      </c>
      <c r="F23291" t="s">
        <v>47171</v>
      </c>
      <c r="G23291" t="s">
        <v>47094</v>
      </c>
      <c r="H23291" t="s">
        <v>47054</v>
      </c>
      <c r="I23291" t="s">
        <v>47118</v>
      </c>
      <c r="J23291" t="s">
        <v>47119</v>
      </c>
      <c r="K23291" t="s">
        <v>47113</v>
      </c>
      <c r="L23291">
        <v>17.75</v>
      </c>
      <c r="M23291">
        <v>48</v>
      </c>
      <c r="N23291">
        <v>129</v>
      </c>
      <c r="O23291">
        <v>48</v>
      </c>
      <c r="P23291">
        <v>129</v>
      </c>
    </row>
    <row r="23292" spans="1:16" x14ac:dyDescent="0.25">
      <c r="A23292" t="s">
        <v>49900</v>
      </c>
      <c r="B23292" t="s">
        <v>49901</v>
      </c>
      <c r="C23292" t="s">
        <v>49902</v>
      </c>
      <c r="D23292" t="str">
        <f>"1501"</f>
        <v>1501</v>
      </c>
      <c r="E23292" t="s">
        <v>46</v>
      </c>
      <c r="F23292" t="s">
        <v>47488</v>
      </c>
      <c r="G23292" t="s">
        <v>47091</v>
      </c>
      <c r="H23292" t="s">
        <v>47054</v>
      </c>
      <c r="I23292" t="s">
        <v>47569</v>
      </c>
      <c r="J23292" t="s">
        <v>47570</v>
      </c>
      <c r="K23292" t="s">
        <v>47113</v>
      </c>
      <c r="L23292">
        <v>18</v>
      </c>
      <c r="M23292">
        <v>63</v>
      </c>
      <c r="N23292">
        <v>169</v>
      </c>
      <c r="O23292">
        <v>63</v>
      </c>
      <c r="P23292">
        <v>169</v>
      </c>
    </row>
    <row r="23293" spans="1:16" x14ac:dyDescent="0.25">
      <c r="A23293" t="s">
        <v>49903</v>
      </c>
      <c r="B23293" t="s">
        <v>49904</v>
      </c>
      <c r="C23293" t="s">
        <v>49905</v>
      </c>
      <c r="D23293" t="str">
        <f>"1001"</f>
        <v>1001</v>
      </c>
      <c r="E23293" t="s">
        <v>42</v>
      </c>
      <c r="F23293" t="s">
        <v>47171</v>
      </c>
      <c r="G23293" t="s">
        <v>47091</v>
      </c>
      <c r="H23293" t="s">
        <v>47054</v>
      </c>
      <c r="I23293" t="s">
        <v>47154</v>
      </c>
      <c r="J23293" t="s">
        <v>47155</v>
      </c>
      <c r="K23293" t="s">
        <v>47113</v>
      </c>
      <c r="L23293">
        <v>14.99</v>
      </c>
      <c r="M23293">
        <v>33</v>
      </c>
      <c r="N23293">
        <v>89</v>
      </c>
      <c r="O23293">
        <v>33</v>
      </c>
      <c r="P23293">
        <v>89</v>
      </c>
    </row>
    <row r="23294" spans="1:16" x14ac:dyDescent="0.25">
      <c r="A23294" t="s">
        <v>45991</v>
      </c>
      <c r="B23294" t="s">
        <v>45992</v>
      </c>
      <c r="C23294" t="s">
        <v>45993</v>
      </c>
      <c r="D23294" t="str">
        <f>"1700"</f>
        <v>1700</v>
      </c>
      <c r="E23294" t="s">
        <v>60</v>
      </c>
      <c r="F23294" t="s">
        <v>24627</v>
      </c>
      <c r="G23294" t="s">
        <v>47091</v>
      </c>
      <c r="H23294" t="s">
        <v>47054</v>
      </c>
      <c r="I23294" t="s">
        <v>47118</v>
      </c>
      <c r="J23294" t="s">
        <v>47119</v>
      </c>
      <c r="K23294" t="s">
        <v>47113</v>
      </c>
      <c r="L23294">
        <v>11.52</v>
      </c>
      <c r="M23294">
        <v>26</v>
      </c>
      <c r="N23294">
        <v>69</v>
      </c>
      <c r="O23294">
        <v>26</v>
      </c>
      <c r="P23294">
        <v>69</v>
      </c>
    </row>
    <row r="23295" spans="1:16" x14ac:dyDescent="0.25">
      <c r="A23295" t="s">
        <v>45994</v>
      </c>
      <c r="B23295" t="s">
        <v>45992</v>
      </c>
      <c r="C23295" t="s">
        <v>45993</v>
      </c>
      <c r="D23295" t="str">
        <f>"1704"</f>
        <v>1704</v>
      </c>
      <c r="E23295" t="s">
        <v>7181</v>
      </c>
      <c r="F23295" t="s">
        <v>24627</v>
      </c>
      <c r="G23295" t="s">
        <v>47091</v>
      </c>
      <c r="H23295" t="s">
        <v>47054</v>
      </c>
      <c r="I23295" t="s">
        <v>47118</v>
      </c>
      <c r="J23295" t="s">
        <v>47119</v>
      </c>
      <c r="K23295" t="s">
        <v>47113</v>
      </c>
      <c r="L23295">
        <v>13.8</v>
      </c>
      <c r="M23295">
        <v>26</v>
      </c>
      <c r="N23295">
        <v>69</v>
      </c>
      <c r="O23295">
        <v>26</v>
      </c>
      <c r="P23295">
        <v>69</v>
      </c>
    </row>
    <row r="23296" spans="1:16" x14ac:dyDescent="0.25">
      <c r="A23296" t="s">
        <v>49906</v>
      </c>
      <c r="B23296" t="s">
        <v>49907</v>
      </c>
      <c r="C23296" t="s">
        <v>20297</v>
      </c>
      <c r="D23296" t="str">
        <f>"1001"</f>
        <v>1001</v>
      </c>
      <c r="E23296" t="s">
        <v>42</v>
      </c>
      <c r="F23296" t="s">
        <v>47185</v>
      </c>
      <c r="G23296" t="s">
        <v>47094</v>
      </c>
      <c r="H23296" t="s">
        <v>47054</v>
      </c>
      <c r="I23296" t="s">
        <v>47118</v>
      </c>
      <c r="J23296" t="s">
        <v>47119</v>
      </c>
      <c r="K23296" t="s">
        <v>47113</v>
      </c>
      <c r="L23296">
        <v>24.84</v>
      </c>
      <c r="M23296">
        <v>63</v>
      </c>
      <c r="N23296">
        <v>169</v>
      </c>
      <c r="O23296">
        <v>63</v>
      </c>
      <c r="P23296">
        <v>169</v>
      </c>
    </row>
    <row r="23297" spans="1:16" x14ac:dyDescent="0.25">
      <c r="A23297" t="s">
        <v>49908</v>
      </c>
      <c r="B23297" t="s">
        <v>49909</v>
      </c>
      <c r="C23297" t="s">
        <v>20297</v>
      </c>
      <c r="D23297" t="str">
        <f>"1501"</f>
        <v>1501</v>
      </c>
      <c r="E23297" t="s">
        <v>46</v>
      </c>
      <c r="F23297" t="s">
        <v>47163</v>
      </c>
      <c r="G23297" t="s">
        <v>47094</v>
      </c>
      <c r="H23297" t="s">
        <v>47054</v>
      </c>
      <c r="I23297" t="s">
        <v>47118</v>
      </c>
      <c r="J23297" t="s">
        <v>47119</v>
      </c>
      <c r="K23297" t="s">
        <v>47113</v>
      </c>
      <c r="L23297">
        <v>24.84</v>
      </c>
      <c r="M23297">
        <v>63</v>
      </c>
      <c r="N23297">
        <v>169</v>
      </c>
      <c r="O23297">
        <v>63</v>
      </c>
      <c r="P23297">
        <v>169</v>
      </c>
    </row>
    <row r="23298" spans="1:16" x14ac:dyDescent="0.25">
      <c r="A23298" t="s">
        <v>49910</v>
      </c>
      <c r="B23298" t="s">
        <v>49911</v>
      </c>
      <c r="C23298" t="s">
        <v>49912</v>
      </c>
      <c r="D23298" t="str">
        <f>"4143"</f>
        <v>4143</v>
      </c>
      <c r="E23298" t="s">
        <v>49819</v>
      </c>
      <c r="F23298" t="s">
        <v>46687</v>
      </c>
      <c r="G23298" t="s">
        <v>47094</v>
      </c>
      <c r="H23298" t="s">
        <v>47054</v>
      </c>
      <c r="I23298" t="s">
        <v>47120</v>
      </c>
      <c r="J23298" t="s">
        <v>47121</v>
      </c>
      <c r="K23298" t="s">
        <v>47113</v>
      </c>
      <c r="L23298">
        <v>32.31</v>
      </c>
      <c r="M23298">
        <v>63</v>
      </c>
      <c r="N23298">
        <v>169</v>
      </c>
      <c r="O23298">
        <v>63</v>
      </c>
      <c r="P23298">
        <v>169</v>
      </c>
    </row>
    <row r="23299" spans="1:16" x14ac:dyDescent="0.25">
      <c r="A23299" t="s">
        <v>49913</v>
      </c>
      <c r="B23299" t="s">
        <v>49914</v>
      </c>
      <c r="C23299" t="s">
        <v>18788</v>
      </c>
      <c r="D23299" t="str">
        <f>"1703"</f>
        <v>1703</v>
      </c>
      <c r="E23299" t="s">
        <v>13895</v>
      </c>
      <c r="F23299" t="s">
        <v>31484</v>
      </c>
      <c r="G23299" t="s">
        <v>47094</v>
      </c>
      <c r="H23299" t="s">
        <v>47054</v>
      </c>
      <c r="I23299" t="s">
        <v>47118</v>
      </c>
      <c r="J23299" t="s">
        <v>47119</v>
      </c>
      <c r="K23299" t="s">
        <v>47113</v>
      </c>
      <c r="L23299">
        <v>20.12</v>
      </c>
      <c r="M23299">
        <v>74</v>
      </c>
      <c r="N23299">
        <v>199</v>
      </c>
      <c r="O23299">
        <v>74</v>
      </c>
      <c r="P23299">
        <v>199</v>
      </c>
    </row>
    <row r="23300" spans="1:16" x14ac:dyDescent="0.25">
      <c r="A23300" t="s">
        <v>49915</v>
      </c>
      <c r="B23300" t="s">
        <v>49916</v>
      </c>
      <c r="C23300" t="s">
        <v>49917</v>
      </c>
      <c r="D23300" t="str">
        <f>"1001"</f>
        <v>1001</v>
      </c>
      <c r="E23300" t="s">
        <v>42</v>
      </c>
      <c r="F23300" t="s">
        <v>47185</v>
      </c>
      <c r="G23300" t="s">
        <v>47094</v>
      </c>
      <c r="H23300" t="s">
        <v>47054</v>
      </c>
      <c r="I23300" t="s">
        <v>47118</v>
      </c>
      <c r="J23300" t="s">
        <v>47119</v>
      </c>
      <c r="K23300" t="s">
        <v>47113</v>
      </c>
      <c r="L23300">
        <v>16.05</v>
      </c>
      <c r="M23300">
        <v>37</v>
      </c>
      <c r="N23300">
        <v>99</v>
      </c>
      <c r="O23300">
        <v>37</v>
      </c>
      <c r="P23300">
        <v>99</v>
      </c>
    </row>
    <row r="23301" spans="1:16" x14ac:dyDescent="0.25">
      <c r="A23301" t="s">
        <v>49918</v>
      </c>
      <c r="B23301" t="s">
        <v>49916</v>
      </c>
      <c r="C23301" t="s">
        <v>49917</v>
      </c>
      <c r="D23301" t="str">
        <f>"1501"</f>
        <v>1501</v>
      </c>
      <c r="E23301" t="s">
        <v>46</v>
      </c>
      <c r="F23301" t="s">
        <v>47185</v>
      </c>
      <c r="G23301" t="s">
        <v>47094</v>
      </c>
      <c r="H23301" t="s">
        <v>47054</v>
      </c>
      <c r="I23301" t="s">
        <v>47118</v>
      </c>
      <c r="J23301" t="s">
        <v>47119</v>
      </c>
      <c r="K23301" t="s">
        <v>47113</v>
      </c>
      <c r="L23301">
        <v>16.05</v>
      </c>
      <c r="M23301">
        <v>37</v>
      </c>
      <c r="N23301">
        <v>99</v>
      </c>
      <c r="O23301">
        <v>37</v>
      </c>
      <c r="P23301">
        <v>99</v>
      </c>
    </row>
    <row r="23302" spans="1:16" x14ac:dyDescent="0.25">
      <c r="A23302" t="s">
        <v>49919</v>
      </c>
      <c r="B23302" t="s">
        <v>49920</v>
      </c>
      <c r="C23302" t="s">
        <v>13867</v>
      </c>
      <c r="D23302" t="str">
        <f>"1001"</f>
        <v>1001</v>
      </c>
      <c r="E23302" t="s">
        <v>42</v>
      </c>
      <c r="F23302" t="s">
        <v>47488</v>
      </c>
      <c r="G23302" t="s">
        <v>47098</v>
      </c>
      <c r="H23302" t="s">
        <v>47054</v>
      </c>
      <c r="I23302" t="s">
        <v>47118</v>
      </c>
      <c r="J23302" t="s">
        <v>47119</v>
      </c>
      <c r="K23302" t="s">
        <v>47113</v>
      </c>
      <c r="L23302">
        <v>113.21</v>
      </c>
      <c r="M23302">
        <v>240</v>
      </c>
      <c r="N23302">
        <v>649</v>
      </c>
      <c r="O23302">
        <v>240</v>
      </c>
      <c r="P23302">
        <v>649</v>
      </c>
    </row>
    <row r="23303" spans="1:16" x14ac:dyDescent="0.25">
      <c r="A23303" t="s">
        <v>49921</v>
      </c>
      <c r="B23303" t="s">
        <v>49922</v>
      </c>
      <c r="C23303" t="s">
        <v>49923</v>
      </c>
      <c r="D23303" t="str">
        <f>"1001"</f>
        <v>1001</v>
      </c>
      <c r="E23303" t="s">
        <v>42</v>
      </c>
      <c r="F23303" t="s">
        <v>47479</v>
      </c>
      <c r="G23303" t="s">
        <v>47098</v>
      </c>
      <c r="H23303" t="s">
        <v>47054</v>
      </c>
      <c r="I23303" t="s">
        <v>47118</v>
      </c>
      <c r="J23303" t="s">
        <v>47119</v>
      </c>
      <c r="K23303" t="s">
        <v>47113</v>
      </c>
      <c r="L23303">
        <v>135.19999999999999</v>
      </c>
      <c r="M23303">
        <v>314</v>
      </c>
      <c r="N23303">
        <v>849</v>
      </c>
      <c r="O23303">
        <v>314</v>
      </c>
      <c r="P23303">
        <v>849</v>
      </c>
    </row>
    <row r="23304" spans="1:16" x14ac:dyDescent="0.25">
      <c r="A23304" t="s">
        <v>49924</v>
      </c>
      <c r="B23304" t="s">
        <v>49925</v>
      </c>
      <c r="C23304" t="s">
        <v>49926</v>
      </c>
      <c r="D23304" t="str">
        <f>"4100"</f>
        <v>4100</v>
      </c>
      <c r="E23304" t="s">
        <v>49927</v>
      </c>
      <c r="F23304" t="s">
        <v>47479</v>
      </c>
      <c r="G23304" t="s">
        <v>47102</v>
      </c>
      <c r="H23304" t="s">
        <v>47054</v>
      </c>
      <c r="I23304" t="s">
        <v>47120</v>
      </c>
      <c r="J23304" t="s">
        <v>47121</v>
      </c>
      <c r="K23304" t="s">
        <v>47113</v>
      </c>
      <c r="L23304">
        <v>57.32</v>
      </c>
      <c r="M23304">
        <v>148</v>
      </c>
      <c r="N23304">
        <v>399</v>
      </c>
      <c r="O23304">
        <v>148</v>
      </c>
      <c r="P23304">
        <v>399</v>
      </c>
    </row>
    <row r="23305" spans="1:16" x14ac:dyDescent="0.25">
      <c r="A23305" t="s">
        <v>45995</v>
      </c>
      <c r="B23305" t="s">
        <v>16199</v>
      </c>
      <c r="C23305" t="s">
        <v>16200</v>
      </c>
      <c r="D23305" t="str">
        <f>"1001"</f>
        <v>1001</v>
      </c>
      <c r="E23305" t="s">
        <v>42</v>
      </c>
      <c r="F23305" t="s">
        <v>3750</v>
      </c>
      <c r="G23305" t="s">
        <v>47091</v>
      </c>
      <c r="H23305" t="s">
        <v>47054</v>
      </c>
      <c r="I23305" t="s">
        <v>47116</v>
      </c>
      <c r="J23305" t="s">
        <v>47117</v>
      </c>
      <c r="K23305" t="s">
        <v>47113</v>
      </c>
      <c r="L23305">
        <v>7.07</v>
      </c>
      <c r="M23305">
        <v>24</v>
      </c>
      <c r="N23305">
        <v>0</v>
      </c>
      <c r="O23305">
        <v>24</v>
      </c>
      <c r="P23305">
        <v>0</v>
      </c>
    </row>
    <row r="23306" spans="1:16" x14ac:dyDescent="0.25">
      <c r="A23306" t="s">
        <v>45996</v>
      </c>
      <c r="B23306" t="s">
        <v>16199</v>
      </c>
      <c r="C23306" t="s">
        <v>16200</v>
      </c>
      <c r="D23306" t="str">
        <f>"1700"</f>
        <v>1700</v>
      </c>
      <c r="E23306" t="s">
        <v>60</v>
      </c>
      <c r="F23306" t="s">
        <v>3750</v>
      </c>
      <c r="G23306" t="s">
        <v>47091</v>
      </c>
      <c r="H23306" t="s">
        <v>47054</v>
      </c>
      <c r="I23306" t="s">
        <v>47116</v>
      </c>
      <c r="J23306" t="s">
        <v>47117</v>
      </c>
      <c r="K23306" t="s">
        <v>47113</v>
      </c>
      <c r="L23306">
        <v>7.07</v>
      </c>
      <c r="M23306">
        <v>24</v>
      </c>
      <c r="N23306">
        <v>0</v>
      </c>
      <c r="O23306">
        <v>24</v>
      </c>
      <c r="P23306">
        <v>0</v>
      </c>
    </row>
    <row r="23307" spans="1:16" x14ac:dyDescent="0.25">
      <c r="A23307" t="s">
        <v>49928</v>
      </c>
      <c r="B23307" t="s">
        <v>49929</v>
      </c>
      <c r="C23307" t="s">
        <v>49930</v>
      </c>
      <c r="D23307" t="str">
        <f>"1001"</f>
        <v>1001</v>
      </c>
      <c r="E23307" t="s">
        <v>42</v>
      </c>
      <c r="F23307" t="s">
        <v>47488</v>
      </c>
      <c r="G23307" t="s">
        <v>47096</v>
      </c>
      <c r="H23307" t="s">
        <v>47054</v>
      </c>
      <c r="I23307" t="s">
        <v>47120</v>
      </c>
      <c r="J23307" t="s">
        <v>47121</v>
      </c>
      <c r="K23307" t="s">
        <v>47113</v>
      </c>
      <c r="L23307">
        <v>51.06</v>
      </c>
      <c r="M23307">
        <v>111</v>
      </c>
      <c r="N23307">
        <v>299</v>
      </c>
      <c r="O23307">
        <v>111</v>
      </c>
      <c r="P23307">
        <v>299</v>
      </c>
    </row>
    <row r="23308" spans="1:16" x14ac:dyDescent="0.25">
      <c r="A23308" t="s">
        <v>49931</v>
      </c>
      <c r="B23308" t="s">
        <v>49932</v>
      </c>
      <c r="C23308" t="s">
        <v>49933</v>
      </c>
      <c r="D23308" t="str">
        <f>"3504"</f>
        <v>3504</v>
      </c>
      <c r="E23308" t="s">
        <v>20770</v>
      </c>
      <c r="F23308" t="s">
        <v>47171</v>
      </c>
      <c r="G23308" t="s">
        <v>47098</v>
      </c>
      <c r="H23308" t="s">
        <v>47054</v>
      </c>
      <c r="I23308" t="s">
        <v>47120</v>
      </c>
      <c r="J23308" t="s">
        <v>47121</v>
      </c>
      <c r="K23308" t="s">
        <v>47113</v>
      </c>
      <c r="L23308">
        <v>57.12</v>
      </c>
      <c r="M23308">
        <v>148</v>
      </c>
      <c r="N23308">
        <v>399</v>
      </c>
      <c r="O23308">
        <v>148</v>
      </c>
      <c r="P23308">
        <v>399</v>
      </c>
    </row>
    <row r="23309" spans="1:16" x14ac:dyDescent="0.25">
      <c r="A23309" t="s">
        <v>49934</v>
      </c>
      <c r="B23309" t="s">
        <v>49932</v>
      </c>
      <c r="C23309" t="s">
        <v>49933</v>
      </c>
      <c r="D23309" t="str">
        <f>"4240"</f>
        <v>4240</v>
      </c>
      <c r="E23309" t="s">
        <v>7493</v>
      </c>
      <c r="F23309" t="s">
        <v>47171</v>
      </c>
      <c r="G23309" t="s">
        <v>47098</v>
      </c>
      <c r="H23309" t="s">
        <v>47054</v>
      </c>
      <c r="I23309" t="s">
        <v>47120</v>
      </c>
      <c r="J23309" t="s">
        <v>47121</v>
      </c>
      <c r="K23309" t="s">
        <v>47113</v>
      </c>
      <c r="L23309">
        <v>50.01</v>
      </c>
      <c r="M23309">
        <v>166</v>
      </c>
      <c r="N23309">
        <v>449</v>
      </c>
      <c r="O23309">
        <v>166</v>
      </c>
      <c r="P23309">
        <v>449</v>
      </c>
    </row>
    <row r="23310" spans="1:16" x14ac:dyDescent="0.25">
      <c r="A23310" t="s">
        <v>45997</v>
      </c>
      <c r="B23310" t="s">
        <v>16201</v>
      </c>
      <c r="C23310" t="s">
        <v>16202</v>
      </c>
      <c r="D23310" t="str">
        <f>"1991"</f>
        <v>1991</v>
      </c>
      <c r="E23310" t="s">
        <v>16203</v>
      </c>
      <c r="F23310" t="s">
        <v>3750</v>
      </c>
      <c r="G23310" t="s">
        <v>47091</v>
      </c>
      <c r="H23310" t="s">
        <v>47054</v>
      </c>
      <c r="I23310" t="s">
        <v>47111</v>
      </c>
      <c r="J23310" t="s">
        <v>47112</v>
      </c>
      <c r="K23310" t="s">
        <v>47113</v>
      </c>
      <c r="L23310">
        <v>7.61</v>
      </c>
      <c r="M23310">
        <v>27</v>
      </c>
      <c r="N23310">
        <v>0</v>
      </c>
      <c r="O23310">
        <v>27</v>
      </c>
      <c r="P23310">
        <v>0</v>
      </c>
    </row>
    <row r="23311" spans="1:16" x14ac:dyDescent="0.25">
      <c r="A23311" t="s">
        <v>45998</v>
      </c>
      <c r="B23311" t="s">
        <v>16201</v>
      </c>
      <c r="C23311" t="s">
        <v>16202</v>
      </c>
      <c r="D23311" t="str">
        <f>"2707"</f>
        <v>2707</v>
      </c>
      <c r="E23311" t="s">
        <v>16204</v>
      </c>
      <c r="F23311" t="s">
        <v>3750</v>
      </c>
      <c r="G23311" t="s">
        <v>47091</v>
      </c>
      <c r="H23311" t="s">
        <v>47054</v>
      </c>
      <c r="I23311" t="s">
        <v>47111</v>
      </c>
      <c r="J23311" t="s">
        <v>47112</v>
      </c>
      <c r="K23311" t="s">
        <v>47113</v>
      </c>
      <c r="L23311">
        <v>7.61</v>
      </c>
      <c r="M23311">
        <v>27</v>
      </c>
      <c r="N23311">
        <v>0</v>
      </c>
      <c r="O23311">
        <v>27</v>
      </c>
      <c r="P23311">
        <v>0</v>
      </c>
    </row>
    <row r="23312" spans="1:16" x14ac:dyDescent="0.25">
      <c r="A23312" t="s">
        <v>45999</v>
      </c>
      <c r="B23312" t="s">
        <v>19407</v>
      </c>
      <c r="C23312" t="s">
        <v>19408</v>
      </c>
      <c r="D23312" t="str">
        <f>"1096"</f>
        <v>1096</v>
      </c>
      <c r="E23312" t="s">
        <v>4744</v>
      </c>
      <c r="F23312" t="s">
        <v>3750</v>
      </c>
      <c r="G23312" t="s">
        <v>47091</v>
      </c>
      <c r="H23312" t="s">
        <v>47054</v>
      </c>
      <c r="I23312" t="s">
        <v>47116</v>
      </c>
      <c r="J23312" t="s">
        <v>47117</v>
      </c>
      <c r="K23312" t="s">
        <v>47113</v>
      </c>
      <c r="L23312">
        <v>6.22</v>
      </c>
      <c r="M23312">
        <v>18</v>
      </c>
      <c r="N23312">
        <v>0</v>
      </c>
      <c r="O23312">
        <v>18</v>
      </c>
      <c r="P23312">
        <v>0</v>
      </c>
    </row>
    <row r="23313" spans="1:16" x14ac:dyDescent="0.25">
      <c r="A23313" t="s">
        <v>46000</v>
      </c>
      <c r="B23313" t="s">
        <v>19407</v>
      </c>
      <c r="C23313" t="s">
        <v>19408</v>
      </c>
      <c r="D23313" t="str">
        <f>"1700"</f>
        <v>1700</v>
      </c>
      <c r="E23313" t="s">
        <v>19409</v>
      </c>
      <c r="F23313" t="s">
        <v>3750</v>
      </c>
      <c r="G23313" t="s">
        <v>47091</v>
      </c>
      <c r="H23313" t="s">
        <v>47054</v>
      </c>
      <c r="I23313" t="s">
        <v>47116</v>
      </c>
      <c r="J23313" t="s">
        <v>47117</v>
      </c>
      <c r="K23313" t="s">
        <v>47113</v>
      </c>
      <c r="L23313">
        <v>6.22</v>
      </c>
      <c r="M23313">
        <v>18</v>
      </c>
      <c r="N23313">
        <v>0</v>
      </c>
      <c r="O23313">
        <v>18</v>
      </c>
      <c r="P23313">
        <v>0</v>
      </c>
    </row>
    <row r="23314" spans="1:16" x14ac:dyDescent="0.25">
      <c r="A23314" t="s">
        <v>46001</v>
      </c>
      <c r="B23314" t="s">
        <v>46002</v>
      </c>
      <c r="C23314" t="s">
        <v>46003</v>
      </c>
      <c r="D23314" t="str">
        <f>"1001"</f>
        <v>1001</v>
      </c>
      <c r="E23314" t="s">
        <v>42</v>
      </c>
      <c r="F23314" t="s">
        <v>17351</v>
      </c>
      <c r="G23314" t="s">
        <v>49935</v>
      </c>
      <c r="H23314" t="s">
        <v>47052</v>
      </c>
      <c r="I23314" t="s">
        <v>47118</v>
      </c>
      <c r="J23314" t="s">
        <v>47119</v>
      </c>
      <c r="K23314" t="s">
        <v>47113</v>
      </c>
      <c r="L23314">
        <v>18.62</v>
      </c>
      <c r="M23314">
        <v>48</v>
      </c>
      <c r="N23314">
        <v>0</v>
      </c>
      <c r="O23314">
        <v>48</v>
      </c>
      <c r="P23314">
        <v>0</v>
      </c>
    </row>
    <row r="23315" spans="1:16" x14ac:dyDescent="0.25">
      <c r="A23315" t="s">
        <v>46004</v>
      </c>
      <c r="B23315" t="s">
        <v>13857</v>
      </c>
      <c r="C23315" t="s">
        <v>13858</v>
      </c>
      <c r="D23315" t="str">
        <f>"1700"</f>
        <v>1700</v>
      </c>
      <c r="E23315" t="s">
        <v>60</v>
      </c>
      <c r="F23315" t="s">
        <v>3558</v>
      </c>
      <c r="G23315" t="s">
        <v>47092</v>
      </c>
      <c r="H23315" t="s">
        <v>47054</v>
      </c>
      <c r="I23315" t="s">
        <v>47111</v>
      </c>
      <c r="J23315" t="s">
        <v>47112</v>
      </c>
      <c r="K23315" t="s">
        <v>47113</v>
      </c>
      <c r="L23315">
        <v>14.16</v>
      </c>
      <c r="M23315">
        <v>26</v>
      </c>
      <c r="N23315">
        <v>0</v>
      </c>
      <c r="O23315">
        <v>26</v>
      </c>
      <c r="P23315">
        <v>0</v>
      </c>
    </row>
    <row r="23316" spans="1:16" x14ac:dyDescent="0.25">
      <c r="A23316" t="s">
        <v>46005</v>
      </c>
      <c r="B23316" t="s">
        <v>13857</v>
      </c>
      <c r="C23316" t="s">
        <v>13858</v>
      </c>
      <c r="D23316" t="str">
        <f>"4108"</f>
        <v>4108</v>
      </c>
      <c r="E23316" t="s">
        <v>6277</v>
      </c>
      <c r="F23316" t="s">
        <v>3558</v>
      </c>
      <c r="G23316" t="s">
        <v>47092</v>
      </c>
      <c r="H23316" t="s">
        <v>47054</v>
      </c>
      <c r="I23316" t="s">
        <v>47111</v>
      </c>
      <c r="J23316" t="s">
        <v>47112</v>
      </c>
      <c r="K23316" t="s">
        <v>47113</v>
      </c>
      <c r="L23316">
        <v>14.16</v>
      </c>
      <c r="M23316">
        <v>26</v>
      </c>
      <c r="N23316">
        <v>0</v>
      </c>
      <c r="O23316">
        <v>26</v>
      </c>
      <c r="P23316">
        <v>0</v>
      </c>
    </row>
    <row r="23317" spans="1:16" x14ac:dyDescent="0.25">
      <c r="A23317" t="s">
        <v>46006</v>
      </c>
      <c r="B23317" t="s">
        <v>13859</v>
      </c>
      <c r="C23317" t="s">
        <v>13860</v>
      </c>
      <c r="D23317" t="str">
        <f>"4002"</f>
        <v>4002</v>
      </c>
      <c r="E23317" t="s">
        <v>710</v>
      </c>
      <c r="F23317" t="s">
        <v>3558</v>
      </c>
      <c r="G23317" t="s">
        <v>47091</v>
      </c>
      <c r="H23317" t="s">
        <v>47054</v>
      </c>
      <c r="I23317" t="s">
        <v>47111</v>
      </c>
      <c r="J23317" t="s">
        <v>47112</v>
      </c>
      <c r="K23317" t="s">
        <v>47113</v>
      </c>
      <c r="L23317">
        <v>14.35</v>
      </c>
      <c r="M23317">
        <v>26</v>
      </c>
      <c r="N23317">
        <v>0</v>
      </c>
      <c r="O23317">
        <v>26</v>
      </c>
      <c r="P23317">
        <v>0</v>
      </c>
    </row>
    <row r="23318" spans="1:16" x14ac:dyDescent="0.25">
      <c r="A23318" t="s">
        <v>46007</v>
      </c>
      <c r="B23318" t="s">
        <v>13861</v>
      </c>
      <c r="C23318" t="s">
        <v>13862</v>
      </c>
      <c r="D23318" t="str">
        <f>"1304"</f>
        <v>1304</v>
      </c>
      <c r="E23318" t="s">
        <v>13863</v>
      </c>
      <c r="F23318" t="s">
        <v>3558</v>
      </c>
      <c r="G23318" t="s">
        <v>48515</v>
      </c>
      <c r="H23318" t="s">
        <v>47054</v>
      </c>
      <c r="I23318" t="s">
        <v>47120</v>
      </c>
      <c r="J23318" t="s">
        <v>47121</v>
      </c>
      <c r="K23318" t="s">
        <v>47113</v>
      </c>
      <c r="L23318">
        <v>150.36000000000001</v>
      </c>
      <c r="M23318">
        <v>185</v>
      </c>
      <c r="N23318">
        <v>0</v>
      </c>
      <c r="O23318">
        <v>185</v>
      </c>
      <c r="P23318">
        <v>0</v>
      </c>
    </row>
    <row r="23319" spans="1:16" x14ac:dyDescent="0.25">
      <c r="A23319" t="s">
        <v>46008</v>
      </c>
      <c r="B23319" t="s">
        <v>13864</v>
      </c>
      <c r="C23319" t="s">
        <v>13865</v>
      </c>
      <c r="D23319" t="str">
        <f>"1001"</f>
        <v>1001</v>
      </c>
      <c r="E23319" t="s">
        <v>7601</v>
      </c>
      <c r="F23319" t="s">
        <v>3558</v>
      </c>
      <c r="G23319" t="s">
        <v>47092</v>
      </c>
      <c r="H23319" t="s">
        <v>47054</v>
      </c>
      <c r="I23319" t="s">
        <v>47111</v>
      </c>
      <c r="J23319" t="s">
        <v>47112</v>
      </c>
      <c r="K23319" t="s">
        <v>47113</v>
      </c>
      <c r="L23319">
        <v>26.47</v>
      </c>
      <c r="M23319">
        <v>59</v>
      </c>
      <c r="N23319">
        <v>0</v>
      </c>
      <c r="O23319">
        <v>59</v>
      </c>
      <c r="P23319">
        <v>0</v>
      </c>
    </row>
    <row r="23320" spans="1:16" x14ac:dyDescent="0.25">
      <c r="A23320" t="s">
        <v>46009</v>
      </c>
      <c r="B23320" t="s">
        <v>13866</v>
      </c>
      <c r="C23320" t="s">
        <v>13867</v>
      </c>
      <c r="D23320" t="str">
        <f>"1001"</f>
        <v>1001</v>
      </c>
      <c r="E23320" t="s">
        <v>42</v>
      </c>
      <c r="F23320" t="s">
        <v>5</v>
      </c>
      <c r="G23320" t="s">
        <v>47098</v>
      </c>
      <c r="H23320" t="s">
        <v>47054</v>
      </c>
      <c r="I23320" t="s">
        <v>47120</v>
      </c>
      <c r="J23320" t="s">
        <v>47121</v>
      </c>
      <c r="K23320" t="s">
        <v>47113</v>
      </c>
      <c r="L23320">
        <v>145.72</v>
      </c>
      <c r="M23320">
        <v>307</v>
      </c>
      <c r="N23320">
        <v>0</v>
      </c>
      <c r="O23320">
        <v>307</v>
      </c>
      <c r="P23320">
        <v>0</v>
      </c>
    </row>
    <row r="23321" spans="1:16" x14ac:dyDescent="0.25">
      <c r="A23321" t="s">
        <v>46010</v>
      </c>
      <c r="B23321" t="s">
        <v>13866</v>
      </c>
      <c r="C23321" t="s">
        <v>13867</v>
      </c>
      <c r="D23321" t="str">
        <f>"9614"</f>
        <v>9614</v>
      </c>
      <c r="E23321" t="s">
        <v>2314</v>
      </c>
      <c r="F23321" t="s">
        <v>5</v>
      </c>
      <c r="G23321" t="s">
        <v>47098</v>
      </c>
      <c r="H23321" t="s">
        <v>47054</v>
      </c>
      <c r="I23321" t="s">
        <v>47120</v>
      </c>
      <c r="J23321" t="s">
        <v>47121</v>
      </c>
      <c r="K23321" t="s">
        <v>47113</v>
      </c>
      <c r="L23321">
        <v>145.72</v>
      </c>
      <c r="M23321">
        <v>307</v>
      </c>
      <c r="N23321">
        <v>0</v>
      </c>
      <c r="O23321">
        <v>307</v>
      </c>
      <c r="P23321">
        <v>0</v>
      </c>
    </row>
    <row r="23322" spans="1:16" x14ac:dyDescent="0.25">
      <c r="A23322" t="s">
        <v>46011</v>
      </c>
      <c r="B23322" t="s">
        <v>13868</v>
      </c>
      <c r="C23322" t="s">
        <v>19410</v>
      </c>
      <c r="D23322" t="str">
        <f>"4127"</f>
        <v>4127</v>
      </c>
      <c r="E23322" t="s">
        <v>13869</v>
      </c>
      <c r="F23322" t="s">
        <v>3558</v>
      </c>
      <c r="G23322" t="s">
        <v>47101</v>
      </c>
      <c r="H23322" t="s">
        <v>47054</v>
      </c>
      <c r="I23322" t="s">
        <v>47120</v>
      </c>
      <c r="J23322" t="s">
        <v>47121</v>
      </c>
      <c r="K23322" t="s">
        <v>47113</v>
      </c>
      <c r="L23322">
        <v>33.75</v>
      </c>
      <c r="M23322">
        <v>48</v>
      </c>
      <c r="N23322">
        <v>0</v>
      </c>
      <c r="O23322">
        <v>48</v>
      </c>
      <c r="P23322">
        <v>0</v>
      </c>
    </row>
    <row r="23323" spans="1:16" x14ac:dyDescent="0.25">
      <c r="A23323" t="s">
        <v>46012</v>
      </c>
      <c r="B23323" t="s">
        <v>13868</v>
      </c>
      <c r="C23323" t="s">
        <v>19410</v>
      </c>
      <c r="D23323" t="str">
        <f>"6497"</f>
        <v>6497</v>
      </c>
      <c r="E23323" t="s">
        <v>13870</v>
      </c>
      <c r="F23323" t="s">
        <v>3558</v>
      </c>
      <c r="G23323" t="s">
        <v>47101</v>
      </c>
      <c r="H23323" t="s">
        <v>47054</v>
      </c>
      <c r="I23323" t="s">
        <v>47120</v>
      </c>
      <c r="J23323" t="s">
        <v>47121</v>
      </c>
      <c r="K23323" t="s">
        <v>47113</v>
      </c>
      <c r="L23323">
        <v>33.75</v>
      </c>
      <c r="M23323">
        <v>48</v>
      </c>
      <c r="N23323">
        <v>0</v>
      </c>
      <c r="O23323">
        <v>48</v>
      </c>
      <c r="P23323">
        <v>0</v>
      </c>
    </row>
    <row r="23324" spans="1:16" x14ac:dyDescent="0.25">
      <c r="A23324" t="s">
        <v>46013</v>
      </c>
      <c r="B23324" t="s">
        <v>13871</v>
      </c>
      <c r="C23324" t="s">
        <v>13872</v>
      </c>
      <c r="D23324" t="str">
        <f>"1200"</f>
        <v>1200</v>
      </c>
      <c r="E23324" t="s">
        <v>241</v>
      </c>
      <c r="F23324" t="s">
        <v>4</v>
      </c>
      <c r="G23324" t="s">
        <v>47130</v>
      </c>
      <c r="H23324" t="s">
        <v>47054</v>
      </c>
      <c r="I23324" t="s">
        <v>47132</v>
      </c>
      <c r="J23324" t="s">
        <v>47133</v>
      </c>
      <c r="K23324" t="s">
        <v>47113</v>
      </c>
      <c r="L23324">
        <v>34.950000000000003</v>
      </c>
      <c r="M23324">
        <v>85</v>
      </c>
      <c r="N23324">
        <v>0</v>
      </c>
      <c r="O23324">
        <v>85</v>
      </c>
      <c r="P23324">
        <v>0</v>
      </c>
    </row>
    <row r="23325" spans="1:16" x14ac:dyDescent="0.25">
      <c r="A23325" t="s">
        <v>46014</v>
      </c>
      <c r="B23325" t="s">
        <v>13871</v>
      </c>
      <c r="C23325" t="s">
        <v>13872</v>
      </c>
      <c r="D23325" t="str">
        <f>"1700"</f>
        <v>1700</v>
      </c>
      <c r="E23325" t="s">
        <v>60</v>
      </c>
      <c r="F23325" t="s">
        <v>4</v>
      </c>
      <c r="G23325" t="s">
        <v>47130</v>
      </c>
      <c r="H23325" t="s">
        <v>47054</v>
      </c>
      <c r="I23325" t="s">
        <v>47132</v>
      </c>
      <c r="J23325" t="s">
        <v>47133</v>
      </c>
      <c r="K23325" t="s">
        <v>47113</v>
      </c>
      <c r="L23325">
        <v>34.950000000000003</v>
      </c>
      <c r="M23325">
        <v>85</v>
      </c>
      <c r="N23325">
        <v>0</v>
      </c>
      <c r="O23325">
        <v>85</v>
      </c>
      <c r="P23325">
        <v>0</v>
      </c>
    </row>
    <row r="23326" spans="1:16" x14ac:dyDescent="0.25">
      <c r="A23326" t="s">
        <v>46015</v>
      </c>
      <c r="B23326" t="s">
        <v>13873</v>
      </c>
      <c r="C23326" t="s">
        <v>13874</v>
      </c>
      <c r="D23326" t="str">
        <f>"2667"</f>
        <v>2667</v>
      </c>
      <c r="E23326" t="s">
        <v>13875</v>
      </c>
      <c r="F23326" t="s">
        <v>4</v>
      </c>
      <c r="G23326" t="s">
        <v>47096</v>
      </c>
      <c r="H23326" t="s">
        <v>47054</v>
      </c>
      <c r="I23326" t="s">
        <v>47120</v>
      </c>
      <c r="J23326" t="s">
        <v>47121</v>
      </c>
      <c r="K23326" t="s">
        <v>47113</v>
      </c>
      <c r="L23326">
        <v>37.799999999999997</v>
      </c>
      <c r="M23326">
        <v>92</v>
      </c>
      <c r="N23326">
        <v>0</v>
      </c>
      <c r="O23326">
        <v>92</v>
      </c>
      <c r="P23326">
        <v>0</v>
      </c>
    </row>
    <row r="23327" spans="1:16" x14ac:dyDescent="0.25">
      <c r="A23327" t="s">
        <v>46016</v>
      </c>
      <c r="B23327" t="s">
        <v>13876</v>
      </c>
      <c r="C23327" t="s">
        <v>6116</v>
      </c>
      <c r="D23327" t="str">
        <f>"4127"</f>
        <v>4127</v>
      </c>
      <c r="E23327" t="s">
        <v>8897</v>
      </c>
      <c r="F23327" t="s">
        <v>3558</v>
      </c>
      <c r="G23327" t="s">
        <v>47098</v>
      </c>
      <c r="H23327" t="s">
        <v>47054</v>
      </c>
      <c r="I23327" t="s">
        <v>47120</v>
      </c>
      <c r="J23327" t="s">
        <v>47121</v>
      </c>
      <c r="K23327" t="s">
        <v>47113</v>
      </c>
      <c r="L23327">
        <v>41.03</v>
      </c>
      <c r="M23327">
        <v>92</v>
      </c>
      <c r="N23327">
        <v>0</v>
      </c>
      <c r="O23327">
        <v>92</v>
      </c>
      <c r="P23327">
        <v>0</v>
      </c>
    </row>
    <row r="23328" spans="1:16" x14ac:dyDescent="0.25">
      <c r="A23328" t="s">
        <v>46017</v>
      </c>
      <c r="B23328" t="s">
        <v>13877</v>
      </c>
      <c r="C23328" t="s">
        <v>13878</v>
      </c>
      <c r="D23328" t="str">
        <f>"1700"</f>
        <v>1700</v>
      </c>
      <c r="E23328" t="s">
        <v>60</v>
      </c>
      <c r="F23328" t="s">
        <v>3558</v>
      </c>
      <c r="G23328" t="s">
        <v>47092</v>
      </c>
      <c r="H23328" t="s">
        <v>47054</v>
      </c>
      <c r="I23328" t="s">
        <v>47111</v>
      </c>
      <c r="J23328" t="s">
        <v>47112</v>
      </c>
      <c r="K23328" t="s">
        <v>47113</v>
      </c>
      <c r="L23328">
        <v>32.79</v>
      </c>
      <c r="M23328">
        <v>44</v>
      </c>
      <c r="N23328">
        <v>0</v>
      </c>
      <c r="O23328">
        <v>44</v>
      </c>
      <c r="P23328">
        <v>0</v>
      </c>
    </row>
    <row r="23329" spans="1:16" x14ac:dyDescent="0.25">
      <c r="A23329" t="s">
        <v>46018</v>
      </c>
      <c r="B23329" t="s">
        <v>13879</v>
      </c>
      <c r="C23329" t="s">
        <v>1493</v>
      </c>
      <c r="D23329" t="str">
        <f>"1001"</f>
        <v>1001</v>
      </c>
      <c r="E23329" t="s">
        <v>42</v>
      </c>
      <c r="F23329" t="s">
        <v>4</v>
      </c>
      <c r="G23329" t="s">
        <v>47095</v>
      </c>
      <c r="H23329" t="s">
        <v>47054</v>
      </c>
      <c r="I23329" t="s">
        <v>47120</v>
      </c>
      <c r="J23329" t="s">
        <v>47121</v>
      </c>
      <c r="K23329" t="s">
        <v>47113</v>
      </c>
      <c r="L23329">
        <v>61.78</v>
      </c>
      <c r="M23329">
        <v>151</v>
      </c>
      <c r="N23329">
        <v>0</v>
      </c>
      <c r="O23329">
        <v>151</v>
      </c>
      <c r="P23329">
        <v>0</v>
      </c>
    </row>
    <row r="23330" spans="1:16" x14ac:dyDescent="0.25">
      <c r="A23330" t="s">
        <v>46019</v>
      </c>
      <c r="B23330" t="s">
        <v>13879</v>
      </c>
      <c r="C23330" t="s">
        <v>1493</v>
      </c>
      <c r="D23330" t="str">
        <f>"1390"</f>
        <v>1390</v>
      </c>
      <c r="E23330" t="s">
        <v>13880</v>
      </c>
      <c r="F23330" t="s">
        <v>4</v>
      </c>
      <c r="G23330" t="s">
        <v>47095</v>
      </c>
      <c r="H23330" t="s">
        <v>47054</v>
      </c>
      <c r="I23330" t="s">
        <v>47120</v>
      </c>
      <c r="J23330" t="s">
        <v>47121</v>
      </c>
      <c r="K23330" t="s">
        <v>47113</v>
      </c>
      <c r="L23330">
        <v>61.78</v>
      </c>
      <c r="M23330">
        <v>151</v>
      </c>
      <c r="N23330">
        <v>0</v>
      </c>
      <c r="O23330">
        <v>151</v>
      </c>
      <c r="P23330">
        <v>0</v>
      </c>
    </row>
    <row r="23331" spans="1:16" x14ac:dyDescent="0.25">
      <c r="A23331" t="s">
        <v>46020</v>
      </c>
      <c r="B23331" t="s">
        <v>13881</v>
      </c>
      <c r="C23331" t="s">
        <v>19411</v>
      </c>
      <c r="D23331" t="str">
        <f>"2709"</f>
        <v>2709</v>
      </c>
      <c r="E23331" t="s">
        <v>9103</v>
      </c>
      <c r="F23331" t="s">
        <v>3558</v>
      </c>
      <c r="G23331" t="s">
        <v>47091</v>
      </c>
      <c r="H23331" t="s">
        <v>47054</v>
      </c>
      <c r="I23331" t="s">
        <v>47118</v>
      </c>
      <c r="J23331" t="s">
        <v>47119</v>
      </c>
      <c r="K23331" t="s">
        <v>47113</v>
      </c>
      <c r="L23331">
        <v>7.1</v>
      </c>
      <c r="M23331">
        <v>22</v>
      </c>
      <c r="N23331">
        <v>0</v>
      </c>
      <c r="O23331">
        <v>22</v>
      </c>
      <c r="P23331">
        <v>0</v>
      </c>
    </row>
    <row r="23332" spans="1:16" x14ac:dyDescent="0.25">
      <c r="A23332" t="s">
        <v>46021</v>
      </c>
      <c r="B23332" t="s">
        <v>13881</v>
      </c>
      <c r="C23332" t="s">
        <v>19411</v>
      </c>
      <c r="D23332" t="str">
        <f>"4127"</f>
        <v>4127</v>
      </c>
      <c r="E23332" t="s">
        <v>8897</v>
      </c>
      <c r="F23332" t="s">
        <v>3558</v>
      </c>
      <c r="G23332" t="s">
        <v>47091</v>
      </c>
      <c r="H23332" t="s">
        <v>47054</v>
      </c>
      <c r="I23332" t="s">
        <v>47118</v>
      </c>
      <c r="J23332" t="s">
        <v>47119</v>
      </c>
      <c r="K23332" t="s">
        <v>47113</v>
      </c>
      <c r="L23332">
        <v>7.1</v>
      </c>
      <c r="M23332">
        <v>22</v>
      </c>
      <c r="N23332">
        <v>0</v>
      </c>
      <c r="O23332">
        <v>22</v>
      </c>
      <c r="P23332">
        <v>0</v>
      </c>
    </row>
    <row r="23333" spans="1:16" x14ac:dyDescent="0.25">
      <c r="A23333" t="s">
        <v>46022</v>
      </c>
      <c r="B23333" t="s">
        <v>13882</v>
      </c>
      <c r="C23333" t="s">
        <v>13883</v>
      </c>
      <c r="D23333" t="str">
        <f>"1001"</f>
        <v>1001</v>
      </c>
      <c r="E23333" t="s">
        <v>42</v>
      </c>
      <c r="F23333" t="s">
        <v>4</v>
      </c>
      <c r="G23333" t="s">
        <v>47094</v>
      </c>
      <c r="H23333" t="s">
        <v>47054</v>
      </c>
      <c r="I23333" t="s">
        <v>47120</v>
      </c>
      <c r="J23333" t="s">
        <v>47121</v>
      </c>
      <c r="K23333" t="s">
        <v>47113</v>
      </c>
      <c r="L23333">
        <v>65.2</v>
      </c>
      <c r="M23333">
        <v>159</v>
      </c>
      <c r="N23333">
        <v>0</v>
      </c>
      <c r="O23333">
        <v>159</v>
      </c>
      <c r="P23333">
        <v>0</v>
      </c>
    </row>
    <row r="23334" spans="1:16" x14ac:dyDescent="0.25">
      <c r="A23334" t="s">
        <v>46023</v>
      </c>
      <c r="B23334" t="s">
        <v>13882</v>
      </c>
      <c r="C23334" t="s">
        <v>13883</v>
      </c>
      <c r="D23334" t="str">
        <f>"1390"</f>
        <v>1390</v>
      </c>
      <c r="E23334" t="s">
        <v>13880</v>
      </c>
      <c r="F23334" t="s">
        <v>4</v>
      </c>
      <c r="G23334" t="s">
        <v>47094</v>
      </c>
      <c r="H23334" t="s">
        <v>47054</v>
      </c>
      <c r="I23334" t="s">
        <v>47120</v>
      </c>
      <c r="J23334" t="s">
        <v>47121</v>
      </c>
      <c r="K23334" t="s">
        <v>47113</v>
      </c>
      <c r="L23334">
        <v>65.2</v>
      </c>
      <c r="M23334">
        <v>159</v>
      </c>
      <c r="N23334">
        <v>0</v>
      </c>
      <c r="O23334">
        <v>159</v>
      </c>
      <c r="P23334">
        <v>0</v>
      </c>
    </row>
    <row r="23335" spans="1:16" x14ac:dyDescent="0.25">
      <c r="A23335" t="s">
        <v>46024</v>
      </c>
      <c r="B23335" t="s">
        <v>22463</v>
      </c>
      <c r="C23335" t="s">
        <v>22464</v>
      </c>
      <c r="D23335" t="str">
        <f>"4143"</f>
        <v>4143</v>
      </c>
      <c r="E23335" t="s">
        <v>261</v>
      </c>
      <c r="F23335" t="s">
        <v>3750</v>
      </c>
      <c r="G23335" t="s">
        <v>47094</v>
      </c>
      <c r="H23335" t="s">
        <v>47054</v>
      </c>
      <c r="I23335" t="s">
        <v>47120</v>
      </c>
      <c r="J23335" t="s">
        <v>47121</v>
      </c>
      <c r="K23335" t="s">
        <v>47113</v>
      </c>
      <c r="L23335">
        <v>21.27</v>
      </c>
      <c r="M23335">
        <v>59</v>
      </c>
      <c r="N23335">
        <v>0</v>
      </c>
      <c r="O23335">
        <v>59</v>
      </c>
      <c r="P23335">
        <v>0</v>
      </c>
    </row>
    <row r="23336" spans="1:16" x14ac:dyDescent="0.25">
      <c r="A23336" t="s">
        <v>46025</v>
      </c>
      <c r="B23336" t="s">
        <v>13884</v>
      </c>
      <c r="C23336" t="s">
        <v>12477</v>
      </c>
      <c r="D23336" t="str">
        <f>"4100"</f>
        <v>4100</v>
      </c>
      <c r="E23336" t="s">
        <v>13885</v>
      </c>
      <c r="F23336" t="s">
        <v>3558</v>
      </c>
      <c r="G23336" t="s">
        <v>47099</v>
      </c>
      <c r="H23336" t="s">
        <v>47054</v>
      </c>
      <c r="I23336" t="s">
        <v>47111</v>
      </c>
      <c r="J23336" t="s">
        <v>47112</v>
      </c>
      <c r="K23336" t="s">
        <v>47113</v>
      </c>
      <c r="L23336">
        <v>148.34</v>
      </c>
      <c r="M23336">
        <v>259</v>
      </c>
      <c r="N23336">
        <v>0</v>
      </c>
      <c r="O23336">
        <v>259</v>
      </c>
      <c r="P23336">
        <v>0</v>
      </c>
    </row>
    <row r="23337" spans="1:16" x14ac:dyDescent="0.25">
      <c r="A23337" t="s">
        <v>46026</v>
      </c>
      <c r="B23337" t="s">
        <v>13886</v>
      </c>
      <c r="C23337" t="s">
        <v>13887</v>
      </c>
      <c r="D23337" t="str">
        <f>"4554"</f>
        <v>4554</v>
      </c>
      <c r="E23337" t="s">
        <v>13888</v>
      </c>
      <c r="F23337" t="s">
        <v>2</v>
      </c>
      <c r="G23337" t="s">
        <v>47097</v>
      </c>
      <c r="H23337" t="s">
        <v>47054</v>
      </c>
      <c r="I23337" t="s">
        <v>47139</v>
      </c>
      <c r="J23337" t="s">
        <v>47140</v>
      </c>
      <c r="K23337" t="s">
        <v>47113</v>
      </c>
      <c r="L23337">
        <v>19.57</v>
      </c>
      <c r="M23337">
        <v>51</v>
      </c>
      <c r="N23337">
        <v>0</v>
      </c>
      <c r="O23337">
        <v>51</v>
      </c>
      <c r="P23337">
        <v>0</v>
      </c>
    </row>
    <row r="23338" spans="1:16" x14ac:dyDescent="0.25">
      <c r="A23338" t="s">
        <v>46027</v>
      </c>
      <c r="B23338" t="s">
        <v>13886</v>
      </c>
      <c r="C23338" t="s">
        <v>13887</v>
      </c>
      <c r="D23338" t="str">
        <f>"6828"</f>
        <v>6828</v>
      </c>
      <c r="E23338" t="s">
        <v>13333</v>
      </c>
      <c r="F23338" t="s">
        <v>2</v>
      </c>
      <c r="G23338" t="s">
        <v>47097</v>
      </c>
      <c r="H23338" t="s">
        <v>47054</v>
      </c>
      <c r="I23338" t="s">
        <v>47139</v>
      </c>
      <c r="J23338" t="s">
        <v>47140</v>
      </c>
      <c r="K23338" t="s">
        <v>47113</v>
      </c>
      <c r="L23338">
        <v>19.57</v>
      </c>
      <c r="M23338">
        <v>51</v>
      </c>
      <c r="N23338">
        <v>0</v>
      </c>
      <c r="O23338">
        <v>51</v>
      </c>
      <c r="P23338">
        <v>0</v>
      </c>
    </row>
    <row r="23339" spans="1:16" x14ac:dyDescent="0.25">
      <c r="A23339" t="s">
        <v>46028</v>
      </c>
      <c r="B23339" t="s">
        <v>13886</v>
      </c>
      <c r="C23339" t="s">
        <v>13887</v>
      </c>
      <c r="D23339" t="str">
        <f>"7438"</f>
        <v>7438</v>
      </c>
      <c r="E23339" t="s">
        <v>13889</v>
      </c>
      <c r="F23339" t="s">
        <v>2</v>
      </c>
      <c r="G23339" t="s">
        <v>47097</v>
      </c>
      <c r="H23339" t="s">
        <v>47054</v>
      </c>
      <c r="I23339" t="s">
        <v>47139</v>
      </c>
      <c r="J23339" t="s">
        <v>47140</v>
      </c>
      <c r="K23339" t="s">
        <v>47113</v>
      </c>
      <c r="L23339">
        <v>19.57</v>
      </c>
      <c r="M23339">
        <v>51</v>
      </c>
      <c r="N23339">
        <v>0</v>
      </c>
      <c r="O23339">
        <v>51</v>
      </c>
      <c r="P23339">
        <v>0</v>
      </c>
    </row>
    <row r="23340" spans="1:16" x14ac:dyDescent="0.25">
      <c r="A23340" t="s">
        <v>46029</v>
      </c>
      <c r="B23340" t="s">
        <v>13890</v>
      </c>
      <c r="C23340" t="s">
        <v>13891</v>
      </c>
      <c r="D23340" t="str">
        <f>"1001"</f>
        <v>1001</v>
      </c>
      <c r="E23340" t="s">
        <v>42</v>
      </c>
      <c r="F23340" t="s">
        <v>4</v>
      </c>
      <c r="G23340" t="s">
        <v>47097</v>
      </c>
      <c r="H23340" t="s">
        <v>47054</v>
      </c>
      <c r="I23340" t="s">
        <v>47120</v>
      </c>
      <c r="J23340" t="s">
        <v>47121</v>
      </c>
      <c r="K23340" t="s">
        <v>47113</v>
      </c>
      <c r="L23340">
        <v>47.96</v>
      </c>
      <c r="M23340">
        <v>117</v>
      </c>
      <c r="N23340">
        <v>0</v>
      </c>
      <c r="O23340">
        <v>117</v>
      </c>
      <c r="P23340">
        <v>0</v>
      </c>
    </row>
    <row r="23341" spans="1:16" x14ac:dyDescent="0.25">
      <c r="A23341" t="s">
        <v>46030</v>
      </c>
      <c r="B23341" t="s">
        <v>13890</v>
      </c>
      <c r="C23341" t="s">
        <v>13891</v>
      </c>
      <c r="D23341" t="str">
        <f>"1501"</f>
        <v>1501</v>
      </c>
      <c r="E23341" t="s">
        <v>46</v>
      </c>
      <c r="F23341" t="s">
        <v>4</v>
      </c>
      <c r="G23341" t="s">
        <v>47097</v>
      </c>
      <c r="H23341" t="s">
        <v>47054</v>
      </c>
      <c r="I23341" t="s">
        <v>47120</v>
      </c>
      <c r="J23341" t="s">
        <v>47121</v>
      </c>
      <c r="K23341" t="s">
        <v>47113</v>
      </c>
      <c r="L23341">
        <v>33.82</v>
      </c>
      <c r="M23341">
        <v>117</v>
      </c>
      <c r="N23341">
        <v>0</v>
      </c>
      <c r="O23341">
        <v>117</v>
      </c>
      <c r="P23341">
        <v>0</v>
      </c>
    </row>
    <row r="23342" spans="1:16" x14ac:dyDescent="0.25">
      <c r="A23342" t="s">
        <v>46031</v>
      </c>
      <c r="B23342" t="s">
        <v>13890</v>
      </c>
      <c r="C23342" t="s">
        <v>13891</v>
      </c>
      <c r="D23342" t="str">
        <f>"1762"</f>
        <v>1762</v>
      </c>
      <c r="E23342" t="s">
        <v>13892</v>
      </c>
      <c r="F23342" t="s">
        <v>4</v>
      </c>
      <c r="G23342" t="s">
        <v>47097</v>
      </c>
      <c r="H23342" t="s">
        <v>47054</v>
      </c>
      <c r="I23342" t="s">
        <v>47120</v>
      </c>
      <c r="J23342" t="s">
        <v>47121</v>
      </c>
      <c r="K23342" t="s">
        <v>47113</v>
      </c>
      <c r="L23342">
        <v>47.96</v>
      </c>
      <c r="M23342">
        <v>117</v>
      </c>
      <c r="N23342">
        <v>0</v>
      </c>
      <c r="O23342">
        <v>117</v>
      </c>
      <c r="P23342">
        <v>0</v>
      </c>
    </row>
    <row r="23343" spans="1:16" x14ac:dyDescent="0.25">
      <c r="A23343" t="s">
        <v>1491</v>
      </c>
      <c r="B23343" t="s">
        <v>1492</v>
      </c>
      <c r="C23343" t="s">
        <v>1493</v>
      </c>
      <c r="D23343" t="str">
        <f>"1404"</f>
        <v>1404</v>
      </c>
      <c r="E23343" t="s">
        <v>1494</v>
      </c>
      <c r="F23343" t="s">
        <v>4</v>
      </c>
      <c r="G23343" t="s">
        <v>47095</v>
      </c>
      <c r="H23343" t="s">
        <v>47054</v>
      </c>
      <c r="I23343" t="s">
        <v>47124</v>
      </c>
      <c r="J23343" t="s">
        <v>47125</v>
      </c>
      <c r="K23343" t="s">
        <v>47113</v>
      </c>
      <c r="L23343">
        <v>33.54</v>
      </c>
      <c r="M23343">
        <v>82</v>
      </c>
      <c r="N23343">
        <v>0</v>
      </c>
      <c r="O23343">
        <v>82</v>
      </c>
      <c r="P23343">
        <v>0</v>
      </c>
    </row>
    <row r="23344" spans="1:16" x14ac:dyDescent="0.25">
      <c r="A23344" t="s">
        <v>46032</v>
      </c>
      <c r="B23344" t="s">
        <v>13893</v>
      </c>
      <c r="C23344" t="s">
        <v>1493</v>
      </c>
      <c r="D23344" t="str">
        <f>"1404"</f>
        <v>1404</v>
      </c>
      <c r="E23344" t="s">
        <v>1494</v>
      </c>
      <c r="F23344" t="s">
        <v>4</v>
      </c>
      <c r="G23344" t="s">
        <v>47095</v>
      </c>
      <c r="H23344" t="s">
        <v>47054</v>
      </c>
      <c r="I23344" t="s">
        <v>47124</v>
      </c>
      <c r="J23344" t="s">
        <v>47125</v>
      </c>
      <c r="K23344" t="s">
        <v>47113</v>
      </c>
      <c r="L23344">
        <v>32.590000000000003</v>
      </c>
      <c r="M23344">
        <v>80</v>
      </c>
      <c r="N23344">
        <v>0</v>
      </c>
      <c r="O23344">
        <v>80</v>
      </c>
      <c r="P23344">
        <v>0</v>
      </c>
    </row>
    <row r="23345" spans="1:16" x14ac:dyDescent="0.25">
      <c r="A23345" t="s">
        <v>46033</v>
      </c>
      <c r="B23345" t="s">
        <v>1495</v>
      </c>
      <c r="C23345" t="s">
        <v>1496</v>
      </c>
      <c r="D23345" t="str">
        <f>"1404"</f>
        <v>1404</v>
      </c>
      <c r="E23345" t="s">
        <v>1494</v>
      </c>
      <c r="F23345" t="s">
        <v>4</v>
      </c>
      <c r="G23345" t="s">
        <v>47094</v>
      </c>
      <c r="H23345" t="s">
        <v>47054</v>
      </c>
      <c r="I23345" t="s">
        <v>47124</v>
      </c>
      <c r="J23345" t="s">
        <v>47125</v>
      </c>
      <c r="K23345" t="s">
        <v>47113</v>
      </c>
      <c r="L23345">
        <v>40.15</v>
      </c>
      <c r="M23345">
        <v>98</v>
      </c>
      <c r="N23345">
        <v>0</v>
      </c>
      <c r="O23345">
        <v>98</v>
      </c>
      <c r="P23345">
        <v>0</v>
      </c>
    </row>
    <row r="23346" spans="1:16" x14ac:dyDescent="0.25">
      <c r="A23346" t="s">
        <v>46034</v>
      </c>
      <c r="B23346" t="s">
        <v>13894</v>
      </c>
      <c r="C23346" t="s">
        <v>13801</v>
      </c>
      <c r="D23346" t="str">
        <f>"1001"</f>
        <v>1001</v>
      </c>
      <c r="E23346" t="s">
        <v>42</v>
      </c>
      <c r="F23346" t="s">
        <v>4</v>
      </c>
      <c r="G23346" t="s">
        <v>47092</v>
      </c>
      <c r="H23346" t="s">
        <v>47054</v>
      </c>
      <c r="I23346" t="s">
        <v>47120</v>
      </c>
      <c r="J23346" t="s">
        <v>47121</v>
      </c>
      <c r="K23346" t="s">
        <v>47113</v>
      </c>
      <c r="L23346">
        <v>10.34</v>
      </c>
      <c r="M23346">
        <v>25</v>
      </c>
      <c r="N23346">
        <v>0</v>
      </c>
      <c r="O23346">
        <v>25</v>
      </c>
      <c r="P23346">
        <v>0</v>
      </c>
    </row>
    <row r="23347" spans="1:16" x14ac:dyDescent="0.25">
      <c r="A23347" t="s">
        <v>46035</v>
      </c>
      <c r="B23347" t="s">
        <v>13894</v>
      </c>
      <c r="C23347" t="s">
        <v>13801</v>
      </c>
      <c r="D23347" t="str">
        <f>"1700"</f>
        <v>1700</v>
      </c>
      <c r="E23347" t="s">
        <v>60</v>
      </c>
      <c r="F23347" t="s">
        <v>4</v>
      </c>
      <c r="G23347" t="s">
        <v>47092</v>
      </c>
      <c r="H23347" t="s">
        <v>47054</v>
      </c>
      <c r="I23347" t="s">
        <v>47120</v>
      </c>
      <c r="J23347" t="s">
        <v>47121</v>
      </c>
      <c r="K23347" t="s">
        <v>47113</v>
      </c>
      <c r="L23347">
        <v>10.34</v>
      </c>
      <c r="M23347">
        <v>25</v>
      </c>
      <c r="N23347">
        <v>0</v>
      </c>
      <c r="O23347">
        <v>25</v>
      </c>
      <c r="P23347">
        <v>0</v>
      </c>
    </row>
    <row r="23348" spans="1:16" x14ac:dyDescent="0.25">
      <c r="A23348" t="s">
        <v>46036</v>
      </c>
      <c r="B23348" t="s">
        <v>13894</v>
      </c>
      <c r="C23348" t="s">
        <v>13801</v>
      </c>
      <c r="D23348" t="str">
        <f>"1703"</f>
        <v>1703</v>
      </c>
      <c r="E23348" t="s">
        <v>13895</v>
      </c>
      <c r="F23348" t="s">
        <v>4</v>
      </c>
      <c r="G23348" t="s">
        <v>47092</v>
      </c>
      <c r="H23348" t="s">
        <v>47054</v>
      </c>
      <c r="I23348" t="s">
        <v>47120</v>
      </c>
      <c r="J23348" t="s">
        <v>47121</v>
      </c>
      <c r="K23348" t="s">
        <v>47113</v>
      </c>
      <c r="L23348">
        <v>10.34</v>
      </c>
      <c r="M23348">
        <v>25</v>
      </c>
      <c r="N23348">
        <v>0</v>
      </c>
      <c r="O23348">
        <v>25</v>
      </c>
      <c r="P23348">
        <v>0</v>
      </c>
    </row>
    <row r="23349" spans="1:16" x14ac:dyDescent="0.25">
      <c r="A23349" t="s">
        <v>46037</v>
      </c>
      <c r="B23349" t="s">
        <v>13894</v>
      </c>
      <c r="C23349" t="s">
        <v>13801</v>
      </c>
      <c r="D23349" t="str">
        <f>"3460"</f>
        <v>3460</v>
      </c>
      <c r="E23349" t="s">
        <v>13896</v>
      </c>
      <c r="F23349" t="s">
        <v>4</v>
      </c>
      <c r="G23349" t="s">
        <v>47092</v>
      </c>
      <c r="H23349" t="s">
        <v>47054</v>
      </c>
      <c r="I23349" t="s">
        <v>47120</v>
      </c>
      <c r="J23349" t="s">
        <v>47121</v>
      </c>
      <c r="K23349" t="s">
        <v>47113</v>
      </c>
      <c r="L23349">
        <v>10.34</v>
      </c>
      <c r="M23349">
        <v>25</v>
      </c>
      <c r="N23349">
        <v>0</v>
      </c>
      <c r="O23349">
        <v>25</v>
      </c>
      <c r="P23349">
        <v>0</v>
      </c>
    </row>
    <row r="23350" spans="1:16" x14ac:dyDescent="0.25">
      <c r="A23350" t="s">
        <v>46038</v>
      </c>
      <c r="B23350" t="s">
        <v>13894</v>
      </c>
      <c r="C23350" t="s">
        <v>13801</v>
      </c>
      <c r="D23350" t="str">
        <f>"6862"</f>
        <v>6862</v>
      </c>
      <c r="E23350" t="s">
        <v>13897</v>
      </c>
      <c r="F23350" t="s">
        <v>4</v>
      </c>
      <c r="G23350" t="s">
        <v>47092</v>
      </c>
      <c r="H23350" t="s">
        <v>47054</v>
      </c>
      <c r="I23350" t="s">
        <v>47120</v>
      </c>
      <c r="J23350" t="s">
        <v>47121</v>
      </c>
      <c r="K23350" t="s">
        <v>47113</v>
      </c>
      <c r="L23350">
        <v>10.34</v>
      </c>
      <c r="M23350">
        <v>25</v>
      </c>
      <c r="N23350">
        <v>0</v>
      </c>
      <c r="O23350">
        <v>25</v>
      </c>
      <c r="P23350">
        <v>0</v>
      </c>
    </row>
    <row r="23351" spans="1:16" x14ac:dyDescent="0.25">
      <c r="A23351" t="s">
        <v>46039</v>
      </c>
      <c r="B23351" t="s">
        <v>13898</v>
      </c>
      <c r="C23351" t="s">
        <v>13899</v>
      </c>
      <c r="D23351" t="str">
        <f>"1001"</f>
        <v>1001</v>
      </c>
      <c r="E23351" t="s">
        <v>42</v>
      </c>
      <c r="F23351" t="s">
        <v>4</v>
      </c>
      <c r="G23351" t="s">
        <v>47091</v>
      </c>
      <c r="H23351" t="s">
        <v>47054</v>
      </c>
      <c r="I23351" t="s">
        <v>47120</v>
      </c>
      <c r="J23351" t="s">
        <v>47121</v>
      </c>
      <c r="K23351" t="s">
        <v>47113</v>
      </c>
      <c r="L23351">
        <v>12.47</v>
      </c>
      <c r="M23351">
        <v>30</v>
      </c>
      <c r="N23351">
        <v>0</v>
      </c>
      <c r="O23351">
        <v>30</v>
      </c>
      <c r="P23351">
        <v>0</v>
      </c>
    </row>
    <row r="23352" spans="1:16" x14ac:dyDescent="0.25">
      <c r="A23352" t="s">
        <v>46040</v>
      </c>
      <c r="B23352" t="s">
        <v>13898</v>
      </c>
      <c r="C23352" t="s">
        <v>13899</v>
      </c>
      <c r="D23352" t="str">
        <f>"1700"</f>
        <v>1700</v>
      </c>
      <c r="E23352" t="s">
        <v>60</v>
      </c>
      <c r="F23352" t="s">
        <v>4</v>
      </c>
      <c r="G23352" t="s">
        <v>47091</v>
      </c>
      <c r="H23352" t="s">
        <v>47054</v>
      </c>
      <c r="I23352" t="s">
        <v>47120</v>
      </c>
      <c r="J23352" t="s">
        <v>47121</v>
      </c>
      <c r="K23352" t="s">
        <v>47113</v>
      </c>
      <c r="L23352">
        <v>12.47</v>
      </c>
      <c r="M23352">
        <v>31</v>
      </c>
      <c r="N23352">
        <v>0</v>
      </c>
      <c r="O23352">
        <v>31</v>
      </c>
      <c r="P23352">
        <v>0</v>
      </c>
    </row>
    <row r="23353" spans="1:16" x14ac:dyDescent="0.25">
      <c r="A23353" t="s">
        <v>46041</v>
      </c>
      <c r="B23353" t="s">
        <v>13898</v>
      </c>
      <c r="C23353" t="s">
        <v>13899</v>
      </c>
      <c r="D23353" t="str">
        <f>"1703"</f>
        <v>1703</v>
      </c>
      <c r="E23353" t="s">
        <v>13895</v>
      </c>
      <c r="F23353" t="s">
        <v>4</v>
      </c>
      <c r="G23353" t="s">
        <v>47091</v>
      </c>
      <c r="H23353" t="s">
        <v>47054</v>
      </c>
      <c r="I23353" t="s">
        <v>47120</v>
      </c>
      <c r="J23353" t="s">
        <v>47121</v>
      </c>
      <c r="K23353" t="s">
        <v>47113</v>
      </c>
      <c r="L23353">
        <v>12.47</v>
      </c>
      <c r="M23353">
        <v>30</v>
      </c>
      <c r="N23353">
        <v>0</v>
      </c>
      <c r="O23353">
        <v>30</v>
      </c>
      <c r="P23353">
        <v>0</v>
      </c>
    </row>
    <row r="23354" spans="1:16" x14ac:dyDescent="0.25">
      <c r="A23354" t="s">
        <v>46042</v>
      </c>
      <c r="B23354" t="s">
        <v>13898</v>
      </c>
      <c r="C23354" t="s">
        <v>13899</v>
      </c>
      <c r="D23354" t="str">
        <f>"3460"</f>
        <v>3460</v>
      </c>
      <c r="E23354" t="s">
        <v>13896</v>
      </c>
      <c r="F23354" t="s">
        <v>4</v>
      </c>
      <c r="G23354" t="s">
        <v>47091</v>
      </c>
      <c r="H23354" t="s">
        <v>47054</v>
      </c>
      <c r="I23354" t="s">
        <v>47120</v>
      </c>
      <c r="J23354" t="s">
        <v>47121</v>
      </c>
      <c r="K23354" t="s">
        <v>47113</v>
      </c>
      <c r="L23354">
        <v>12.47</v>
      </c>
      <c r="M23354">
        <v>30</v>
      </c>
      <c r="N23354">
        <v>0</v>
      </c>
      <c r="O23354">
        <v>30</v>
      </c>
      <c r="P23354">
        <v>0</v>
      </c>
    </row>
    <row r="23355" spans="1:16" x14ac:dyDescent="0.25">
      <c r="A23355" t="s">
        <v>46043</v>
      </c>
      <c r="B23355" t="s">
        <v>13898</v>
      </c>
      <c r="C23355" t="s">
        <v>13899</v>
      </c>
      <c r="D23355" t="str">
        <f>"6862"</f>
        <v>6862</v>
      </c>
      <c r="E23355" t="s">
        <v>13897</v>
      </c>
      <c r="F23355" t="s">
        <v>4</v>
      </c>
      <c r="G23355" t="s">
        <v>47091</v>
      </c>
      <c r="H23355" t="s">
        <v>47054</v>
      </c>
      <c r="I23355" t="s">
        <v>47120</v>
      </c>
      <c r="J23355" t="s">
        <v>47121</v>
      </c>
      <c r="K23355" t="s">
        <v>47113</v>
      </c>
      <c r="L23355">
        <v>12.47</v>
      </c>
      <c r="M23355">
        <v>30</v>
      </c>
      <c r="N23355">
        <v>0</v>
      </c>
      <c r="O23355">
        <v>30</v>
      </c>
      <c r="P23355">
        <v>0</v>
      </c>
    </row>
    <row r="23356" spans="1:16" x14ac:dyDescent="0.25">
      <c r="A23356" t="s">
        <v>46044</v>
      </c>
      <c r="B23356" t="s">
        <v>1498</v>
      </c>
      <c r="C23356" t="s">
        <v>1499</v>
      </c>
      <c r="D23356" t="str">
        <f>"1001"</f>
        <v>1001</v>
      </c>
      <c r="E23356" t="s">
        <v>42</v>
      </c>
      <c r="F23356" t="s">
        <v>4</v>
      </c>
      <c r="G23356" t="s">
        <v>47092</v>
      </c>
      <c r="H23356" t="s">
        <v>47054</v>
      </c>
      <c r="I23356" t="s">
        <v>47120</v>
      </c>
      <c r="J23356" t="s">
        <v>47121</v>
      </c>
      <c r="K23356" t="s">
        <v>47113</v>
      </c>
      <c r="L23356">
        <v>18.66</v>
      </c>
      <c r="M23356">
        <v>46</v>
      </c>
      <c r="N23356">
        <v>0</v>
      </c>
      <c r="O23356">
        <v>46</v>
      </c>
      <c r="P23356">
        <v>0</v>
      </c>
    </row>
    <row r="23357" spans="1:16" x14ac:dyDescent="0.25">
      <c r="A23357" t="s">
        <v>1497</v>
      </c>
      <c r="B23357" t="s">
        <v>1498</v>
      </c>
      <c r="C23357" t="s">
        <v>1499</v>
      </c>
      <c r="D23357" t="str">
        <f>"2660"</f>
        <v>2660</v>
      </c>
      <c r="E23357" t="s">
        <v>1500</v>
      </c>
      <c r="F23357" t="s">
        <v>4</v>
      </c>
      <c r="G23357" t="s">
        <v>47092</v>
      </c>
      <c r="H23357" t="s">
        <v>47054</v>
      </c>
      <c r="I23357" t="s">
        <v>47120</v>
      </c>
      <c r="J23357" t="s">
        <v>47121</v>
      </c>
      <c r="K23357" t="s">
        <v>47113</v>
      </c>
      <c r="L23357">
        <v>18.66</v>
      </c>
      <c r="M23357">
        <v>46</v>
      </c>
      <c r="N23357">
        <v>0</v>
      </c>
      <c r="O23357">
        <v>46</v>
      </c>
      <c r="P23357">
        <v>0</v>
      </c>
    </row>
    <row r="23358" spans="1:16" x14ac:dyDescent="0.25">
      <c r="A23358" t="s">
        <v>46045</v>
      </c>
      <c r="B23358" t="s">
        <v>1498</v>
      </c>
      <c r="C23358" t="s">
        <v>1499</v>
      </c>
      <c r="D23358" t="str">
        <f>"4100"</f>
        <v>4100</v>
      </c>
      <c r="E23358" t="s">
        <v>2383</v>
      </c>
      <c r="F23358" t="s">
        <v>4</v>
      </c>
      <c r="G23358" t="s">
        <v>47092</v>
      </c>
      <c r="H23358" t="s">
        <v>47054</v>
      </c>
      <c r="I23358" t="s">
        <v>47120</v>
      </c>
      <c r="J23358" t="s">
        <v>47121</v>
      </c>
      <c r="K23358" t="s">
        <v>47113</v>
      </c>
      <c r="L23358">
        <v>18.66</v>
      </c>
      <c r="M23358">
        <v>46</v>
      </c>
      <c r="N23358">
        <v>0</v>
      </c>
      <c r="O23358">
        <v>46</v>
      </c>
      <c r="P23358">
        <v>0</v>
      </c>
    </row>
    <row r="23359" spans="1:16" x14ac:dyDescent="0.25">
      <c r="A23359" t="s">
        <v>46046</v>
      </c>
      <c r="B23359" t="s">
        <v>13900</v>
      </c>
      <c r="C23359" t="s">
        <v>13901</v>
      </c>
      <c r="D23359" t="str">
        <f>"1104"</f>
        <v>1104</v>
      </c>
      <c r="E23359" t="s">
        <v>13902</v>
      </c>
      <c r="F23359" t="s">
        <v>4</v>
      </c>
      <c r="G23359" t="s">
        <v>47097</v>
      </c>
      <c r="H23359" t="s">
        <v>47054</v>
      </c>
      <c r="I23359" t="s">
        <v>47120</v>
      </c>
      <c r="J23359" t="s">
        <v>47121</v>
      </c>
      <c r="K23359" t="s">
        <v>47113</v>
      </c>
      <c r="L23359">
        <v>12.75</v>
      </c>
      <c r="M23359">
        <v>31</v>
      </c>
      <c r="N23359">
        <v>0</v>
      </c>
      <c r="O23359">
        <v>31</v>
      </c>
      <c r="P23359">
        <v>0</v>
      </c>
    </row>
    <row r="23360" spans="1:16" x14ac:dyDescent="0.25">
      <c r="A23360" t="s">
        <v>46047</v>
      </c>
      <c r="B23360" t="s">
        <v>13900</v>
      </c>
      <c r="C23360" t="s">
        <v>13901</v>
      </c>
      <c r="D23360" t="str">
        <f>"1369"</f>
        <v>1369</v>
      </c>
      <c r="E23360" t="s">
        <v>197</v>
      </c>
      <c r="F23360" t="s">
        <v>4</v>
      </c>
      <c r="G23360" t="s">
        <v>47097</v>
      </c>
      <c r="H23360" t="s">
        <v>47054</v>
      </c>
      <c r="I23360" t="s">
        <v>47120</v>
      </c>
      <c r="J23360" t="s">
        <v>47121</v>
      </c>
      <c r="K23360" t="s">
        <v>47113</v>
      </c>
      <c r="L23360">
        <v>12.75</v>
      </c>
      <c r="M23360">
        <v>31</v>
      </c>
      <c r="N23360">
        <v>0</v>
      </c>
      <c r="O23360">
        <v>31</v>
      </c>
      <c r="P23360">
        <v>0</v>
      </c>
    </row>
    <row r="23361" spans="1:16" x14ac:dyDescent="0.25">
      <c r="A23361" t="s">
        <v>46048</v>
      </c>
      <c r="B23361" t="s">
        <v>13903</v>
      </c>
      <c r="C23361" t="s">
        <v>13899</v>
      </c>
      <c r="D23361" t="str">
        <f>"1104"</f>
        <v>1104</v>
      </c>
      <c r="E23361" t="s">
        <v>13902</v>
      </c>
      <c r="F23361" t="s">
        <v>4</v>
      </c>
      <c r="G23361" t="s">
        <v>47091</v>
      </c>
      <c r="H23361" t="s">
        <v>47054</v>
      </c>
      <c r="I23361" t="s">
        <v>47120</v>
      </c>
      <c r="J23361" t="s">
        <v>47121</v>
      </c>
      <c r="K23361" t="s">
        <v>47113</v>
      </c>
      <c r="L23361">
        <v>11.81</v>
      </c>
      <c r="M23361">
        <v>29</v>
      </c>
      <c r="N23361">
        <v>0</v>
      </c>
      <c r="O23361">
        <v>29</v>
      </c>
      <c r="P23361">
        <v>0</v>
      </c>
    </row>
    <row r="23362" spans="1:16" x14ac:dyDescent="0.25">
      <c r="A23362" t="s">
        <v>46049</v>
      </c>
      <c r="B23362" t="s">
        <v>13903</v>
      </c>
      <c r="C23362" t="s">
        <v>13899</v>
      </c>
      <c r="D23362" t="str">
        <f>"1369"</f>
        <v>1369</v>
      </c>
      <c r="E23362" t="s">
        <v>197</v>
      </c>
      <c r="F23362" t="s">
        <v>4</v>
      </c>
      <c r="G23362" t="s">
        <v>47091</v>
      </c>
      <c r="H23362" t="s">
        <v>47054</v>
      </c>
      <c r="I23362" t="s">
        <v>47120</v>
      </c>
      <c r="J23362" t="s">
        <v>47121</v>
      </c>
      <c r="K23362" t="s">
        <v>47113</v>
      </c>
      <c r="L23362">
        <v>11.81</v>
      </c>
      <c r="M23362">
        <v>29</v>
      </c>
      <c r="N23362">
        <v>0</v>
      </c>
      <c r="O23362">
        <v>29</v>
      </c>
      <c r="P23362">
        <v>0</v>
      </c>
    </row>
    <row r="23363" spans="1:16" x14ac:dyDescent="0.25">
      <c r="A23363" t="s">
        <v>46050</v>
      </c>
      <c r="B23363" t="s">
        <v>13903</v>
      </c>
      <c r="C23363" t="s">
        <v>13899</v>
      </c>
      <c r="D23363" t="str">
        <f>"2707"</f>
        <v>2707</v>
      </c>
      <c r="E23363" t="s">
        <v>3019</v>
      </c>
      <c r="F23363" t="s">
        <v>4</v>
      </c>
      <c r="G23363" t="s">
        <v>47091</v>
      </c>
      <c r="H23363" t="s">
        <v>47054</v>
      </c>
      <c r="I23363" t="s">
        <v>47120</v>
      </c>
      <c r="J23363" t="s">
        <v>47121</v>
      </c>
      <c r="K23363" t="s">
        <v>47113</v>
      </c>
      <c r="L23363">
        <v>11.81</v>
      </c>
      <c r="M23363">
        <v>29</v>
      </c>
      <c r="N23363">
        <v>0</v>
      </c>
      <c r="O23363">
        <v>29</v>
      </c>
      <c r="P23363">
        <v>0</v>
      </c>
    </row>
    <row r="23364" spans="1:16" x14ac:dyDescent="0.25">
      <c r="A23364" t="s">
        <v>46051</v>
      </c>
      <c r="B23364" t="s">
        <v>13904</v>
      </c>
      <c r="C23364" t="s">
        <v>13905</v>
      </c>
      <c r="D23364" t="str">
        <f>"1001"</f>
        <v>1001</v>
      </c>
      <c r="E23364" t="s">
        <v>42</v>
      </c>
      <c r="F23364" t="s">
        <v>4</v>
      </c>
      <c r="G23364" t="s">
        <v>47097</v>
      </c>
      <c r="H23364" t="s">
        <v>47054</v>
      </c>
      <c r="I23364" t="s">
        <v>47124</v>
      </c>
      <c r="J23364" t="s">
        <v>47125</v>
      </c>
      <c r="K23364" t="s">
        <v>47113</v>
      </c>
      <c r="L23364">
        <v>33.82</v>
      </c>
      <c r="M23364">
        <v>83</v>
      </c>
      <c r="N23364">
        <v>0</v>
      </c>
      <c r="O23364">
        <v>83</v>
      </c>
      <c r="P23364">
        <v>0</v>
      </c>
    </row>
    <row r="23365" spans="1:16" x14ac:dyDescent="0.25">
      <c r="A23365" t="s">
        <v>46052</v>
      </c>
      <c r="B23365" t="s">
        <v>13904</v>
      </c>
      <c r="C23365" t="s">
        <v>13905</v>
      </c>
      <c r="D23365" t="str">
        <f>"2504"</f>
        <v>2504</v>
      </c>
      <c r="E23365" t="s">
        <v>9708</v>
      </c>
      <c r="F23365" t="s">
        <v>4</v>
      </c>
      <c r="G23365" t="s">
        <v>47097</v>
      </c>
      <c r="H23365" t="s">
        <v>47054</v>
      </c>
      <c r="I23365" t="s">
        <v>47124</v>
      </c>
      <c r="J23365" t="s">
        <v>47125</v>
      </c>
      <c r="K23365" t="s">
        <v>47113</v>
      </c>
      <c r="L23365">
        <v>33.82</v>
      </c>
      <c r="M23365">
        <v>83</v>
      </c>
      <c r="N23365">
        <v>0</v>
      </c>
      <c r="O23365">
        <v>83</v>
      </c>
      <c r="P23365">
        <v>0</v>
      </c>
    </row>
    <row r="23366" spans="1:16" x14ac:dyDescent="0.25">
      <c r="A23366" t="s">
        <v>46053</v>
      </c>
      <c r="B23366" t="s">
        <v>13904</v>
      </c>
      <c r="C23366" t="s">
        <v>13905</v>
      </c>
      <c r="D23366" t="str">
        <f>"6384"</f>
        <v>6384</v>
      </c>
      <c r="E23366" t="s">
        <v>13906</v>
      </c>
      <c r="F23366" t="s">
        <v>4</v>
      </c>
      <c r="G23366" t="s">
        <v>47097</v>
      </c>
      <c r="H23366" t="s">
        <v>47054</v>
      </c>
      <c r="I23366" t="s">
        <v>47124</v>
      </c>
      <c r="J23366" t="s">
        <v>47125</v>
      </c>
      <c r="K23366" t="s">
        <v>47113</v>
      </c>
      <c r="L23366">
        <v>33.82</v>
      </c>
      <c r="M23366">
        <v>83</v>
      </c>
      <c r="N23366">
        <v>0</v>
      </c>
      <c r="O23366">
        <v>83</v>
      </c>
      <c r="P23366">
        <v>0</v>
      </c>
    </row>
    <row r="23367" spans="1:16" x14ac:dyDescent="0.25">
      <c r="A23367" t="s">
        <v>46054</v>
      </c>
      <c r="B23367" t="s">
        <v>13907</v>
      </c>
      <c r="C23367" t="s">
        <v>13908</v>
      </c>
      <c r="D23367" t="str">
        <f>"1001"</f>
        <v>1001</v>
      </c>
      <c r="E23367" t="s">
        <v>42</v>
      </c>
      <c r="F23367" t="s">
        <v>4</v>
      </c>
      <c r="G23367" t="s">
        <v>47097</v>
      </c>
      <c r="H23367" t="s">
        <v>47054</v>
      </c>
      <c r="I23367" t="s">
        <v>47124</v>
      </c>
      <c r="J23367" t="s">
        <v>47125</v>
      </c>
      <c r="K23367" t="s">
        <v>47113</v>
      </c>
      <c r="L23367">
        <v>18.7</v>
      </c>
      <c r="M23367">
        <v>46</v>
      </c>
      <c r="N23367">
        <v>0</v>
      </c>
      <c r="O23367">
        <v>46</v>
      </c>
      <c r="P23367">
        <v>0</v>
      </c>
    </row>
    <row r="23368" spans="1:16" x14ac:dyDescent="0.25">
      <c r="A23368" t="s">
        <v>46055</v>
      </c>
      <c r="B23368" t="s">
        <v>13907</v>
      </c>
      <c r="C23368" t="s">
        <v>13908</v>
      </c>
      <c r="D23368" t="str">
        <f>"2504"</f>
        <v>2504</v>
      </c>
      <c r="E23368" t="s">
        <v>9708</v>
      </c>
      <c r="F23368" t="s">
        <v>4</v>
      </c>
      <c r="G23368" t="s">
        <v>47097</v>
      </c>
      <c r="H23368" t="s">
        <v>47054</v>
      </c>
      <c r="I23368" t="s">
        <v>47124</v>
      </c>
      <c r="J23368" t="s">
        <v>47125</v>
      </c>
      <c r="K23368" t="s">
        <v>47113</v>
      </c>
      <c r="L23368">
        <v>18.7</v>
      </c>
      <c r="M23368">
        <v>46</v>
      </c>
      <c r="N23368">
        <v>0</v>
      </c>
      <c r="O23368">
        <v>46</v>
      </c>
      <c r="P23368">
        <v>0</v>
      </c>
    </row>
    <row r="23369" spans="1:16" x14ac:dyDescent="0.25">
      <c r="A23369" t="s">
        <v>46056</v>
      </c>
      <c r="B23369" t="s">
        <v>13907</v>
      </c>
      <c r="C23369" t="s">
        <v>13908</v>
      </c>
      <c r="D23369" t="str">
        <f>"6384"</f>
        <v>6384</v>
      </c>
      <c r="E23369" t="s">
        <v>13906</v>
      </c>
      <c r="F23369" t="s">
        <v>4</v>
      </c>
      <c r="G23369" t="s">
        <v>47097</v>
      </c>
      <c r="H23369" t="s">
        <v>47054</v>
      </c>
      <c r="I23369" t="s">
        <v>47124</v>
      </c>
      <c r="J23369" t="s">
        <v>47125</v>
      </c>
      <c r="K23369" t="s">
        <v>47113</v>
      </c>
      <c r="L23369">
        <v>18.7</v>
      </c>
      <c r="M23369">
        <v>46</v>
      </c>
      <c r="N23369">
        <v>0</v>
      </c>
      <c r="O23369">
        <v>46</v>
      </c>
      <c r="P23369">
        <v>0</v>
      </c>
    </row>
    <row r="23370" spans="1:16" x14ac:dyDescent="0.25">
      <c r="A23370" t="s">
        <v>46057</v>
      </c>
      <c r="B23370" t="s">
        <v>1501</v>
      </c>
      <c r="C23370" t="s">
        <v>1502</v>
      </c>
      <c r="D23370" t="str">
        <f>"1001"</f>
        <v>1001</v>
      </c>
      <c r="E23370" t="s">
        <v>42</v>
      </c>
      <c r="F23370" t="s">
        <v>4</v>
      </c>
      <c r="G23370" t="s">
        <v>47101</v>
      </c>
      <c r="H23370" t="s">
        <v>47054</v>
      </c>
      <c r="I23370" t="s">
        <v>47120</v>
      </c>
      <c r="J23370" t="s">
        <v>47121</v>
      </c>
      <c r="K23370" t="s">
        <v>47113</v>
      </c>
      <c r="L23370">
        <v>26.9</v>
      </c>
      <c r="M23370">
        <v>65</v>
      </c>
      <c r="N23370">
        <v>0</v>
      </c>
      <c r="O23370">
        <v>65</v>
      </c>
      <c r="P23370">
        <v>0</v>
      </c>
    </row>
    <row r="23371" spans="1:16" x14ac:dyDescent="0.25">
      <c r="A23371" t="s">
        <v>46058</v>
      </c>
      <c r="B23371" t="s">
        <v>1501</v>
      </c>
      <c r="C23371" t="s">
        <v>1502</v>
      </c>
      <c r="D23371" t="str">
        <f>"1700"</f>
        <v>1700</v>
      </c>
      <c r="E23371" t="s">
        <v>60</v>
      </c>
      <c r="F23371" t="s">
        <v>4</v>
      </c>
      <c r="G23371" t="s">
        <v>47101</v>
      </c>
      <c r="H23371" t="s">
        <v>47054</v>
      </c>
      <c r="I23371" t="s">
        <v>47120</v>
      </c>
      <c r="J23371" t="s">
        <v>47121</v>
      </c>
      <c r="K23371" t="s">
        <v>47113</v>
      </c>
      <c r="L23371">
        <v>26.9</v>
      </c>
      <c r="M23371">
        <v>65</v>
      </c>
      <c r="N23371">
        <v>0</v>
      </c>
      <c r="O23371">
        <v>65</v>
      </c>
      <c r="P23371">
        <v>0</v>
      </c>
    </row>
    <row r="23372" spans="1:16" x14ac:dyDescent="0.25">
      <c r="A23372" t="s">
        <v>46059</v>
      </c>
      <c r="B23372" t="s">
        <v>19412</v>
      </c>
      <c r="C23372" t="s">
        <v>19413</v>
      </c>
      <c r="D23372" t="str">
        <f>"1700"</f>
        <v>1700</v>
      </c>
      <c r="E23372" t="s">
        <v>60</v>
      </c>
      <c r="F23372" t="s">
        <v>3750</v>
      </c>
      <c r="G23372" t="s">
        <v>47101</v>
      </c>
      <c r="H23372" t="s">
        <v>47054</v>
      </c>
      <c r="I23372" t="s">
        <v>47120</v>
      </c>
      <c r="J23372" t="s">
        <v>47121</v>
      </c>
      <c r="K23372" t="s">
        <v>47113</v>
      </c>
      <c r="L23372">
        <v>14.18</v>
      </c>
      <c r="M23372">
        <v>42</v>
      </c>
      <c r="N23372">
        <v>0</v>
      </c>
      <c r="O23372">
        <v>42</v>
      </c>
      <c r="P23372">
        <v>0</v>
      </c>
    </row>
    <row r="23373" spans="1:16" x14ac:dyDescent="0.25">
      <c r="A23373" t="s">
        <v>46060</v>
      </c>
      <c r="B23373" t="s">
        <v>19412</v>
      </c>
      <c r="C23373" t="s">
        <v>19413</v>
      </c>
      <c r="D23373" t="str">
        <f>"2500"</f>
        <v>2500</v>
      </c>
      <c r="E23373" t="s">
        <v>1747</v>
      </c>
      <c r="F23373" t="s">
        <v>3750</v>
      </c>
      <c r="G23373" t="s">
        <v>47101</v>
      </c>
      <c r="H23373" t="s">
        <v>47054</v>
      </c>
      <c r="I23373" t="s">
        <v>47120</v>
      </c>
      <c r="J23373" t="s">
        <v>47121</v>
      </c>
      <c r="K23373" t="s">
        <v>47113</v>
      </c>
      <c r="L23373">
        <v>14.18</v>
      </c>
      <c r="M23373">
        <v>42</v>
      </c>
      <c r="N23373">
        <v>0</v>
      </c>
      <c r="O23373">
        <v>42</v>
      </c>
      <c r="P23373">
        <v>0</v>
      </c>
    </row>
    <row r="23374" spans="1:16" x14ac:dyDescent="0.25">
      <c r="A23374" t="s">
        <v>46061</v>
      </c>
      <c r="B23374" t="s">
        <v>19414</v>
      </c>
      <c r="C23374" t="s">
        <v>19415</v>
      </c>
      <c r="D23374" t="str">
        <f>"4500"</f>
        <v>4500</v>
      </c>
      <c r="E23374" t="s">
        <v>19416</v>
      </c>
      <c r="F23374" t="s">
        <v>3750</v>
      </c>
      <c r="G23374" t="s">
        <v>47101</v>
      </c>
      <c r="H23374" t="s">
        <v>47054</v>
      </c>
      <c r="I23374" t="s">
        <v>47120</v>
      </c>
      <c r="J23374" t="s">
        <v>47121</v>
      </c>
      <c r="K23374" t="s">
        <v>47113</v>
      </c>
      <c r="L23374">
        <v>12.53</v>
      </c>
      <c r="M23374">
        <v>35</v>
      </c>
      <c r="N23374">
        <v>0</v>
      </c>
      <c r="O23374">
        <v>35</v>
      </c>
      <c r="P23374">
        <v>0</v>
      </c>
    </row>
    <row r="23375" spans="1:16" x14ac:dyDescent="0.25">
      <c r="A23375" t="s">
        <v>46062</v>
      </c>
      <c r="B23375" t="s">
        <v>22465</v>
      </c>
      <c r="C23375" t="s">
        <v>22466</v>
      </c>
      <c r="D23375" t="str">
        <f>"4143"</f>
        <v>4143</v>
      </c>
      <c r="E23375" t="s">
        <v>22467</v>
      </c>
      <c r="F23375" t="s">
        <v>3750</v>
      </c>
      <c r="G23375" t="s">
        <v>47101</v>
      </c>
      <c r="H23375" t="s">
        <v>47054</v>
      </c>
      <c r="I23375" t="s">
        <v>47120</v>
      </c>
      <c r="J23375" t="s">
        <v>47121</v>
      </c>
      <c r="K23375" t="s">
        <v>47113</v>
      </c>
      <c r="L23375">
        <v>15.71</v>
      </c>
      <c r="M23375">
        <v>54</v>
      </c>
      <c r="N23375">
        <v>0</v>
      </c>
      <c r="O23375">
        <v>54</v>
      </c>
      <c r="P23375">
        <v>0</v>
      </c>
    </row>
    <row r="23376" spans="1:16" x14ac:dyDescent="0.25">
      <c r="A23376" t="s">
        <v>46063</v>
      </c>
      <c r="B23376" t="s">
        <v>22465</v>
      </c>
      <c r="C23376" t="s">
        <v>22466</v>
      </c>
      <c r="D23376" t="str">
        <f>"6000"</f>
        <v>6000</v>
      </c>
      <c r="E23376" t="s">
        <v>22468</v>
      </c>
      <c r="F23376" t="s">
        <v>3750</v>
      </c>
      <c r="G23376" t="s">
        <v>47101</v>
      </c>
      <c r="H23376" t="s">
        <v>47054</v>
      </c>
      <c r="I23376" t="s">
        <v>47120</v>
      </c>
      <c r="J23376" t="s">
        <v>47121</v>
      </c>
      <c r="K23376" t="s">
        <v>47113</v>
      </c>
      <c r="L23376">
        <v>15.71</v>
      </c>
      <c r="M23376">
        <v>54</v>
      </c>
      <c r="N23376">
        <v>0</v>
      </c>
      <c r="O23376">
        <v>54</v>
      </c>
      <c r="P23376">
        <v>0</v>
      </c>
    </row>
    <row r="23377" spans="1:16" x14ac:dyDescent="0.25">
      <c r="A23377" t="s">
        <v>46064</v>
      </c>
      <c r="B23377" t="s">
        <v>16440</v>
      </c>
      <c r="C23377" t="s">
        <v>16441</v>
      </c>
      <c r="D23377" t="str">
        <f>"1001"</f>
        <v>1001</v>
      </c>
      <c r="E23377" t="s">
        <v>42</v>
      </c>
      <c r="F23377" t="s">
        <v>3750</v>
      </c>
      <c r="G23377" t="s">
        <v>47098</v>
      </c>
      <c r="H23377" t="s">
        <v>47054</v>
      </c>
      <c r="I23377" t="s">
        <v>47120</v>
      </c>
      <c r="J23377" t="s">
        <v>47121</v>
      </c>
      <c r="K23377" t="s">
        <v>47113</v>
      </c>
      <c r="L23377">
        <v>29.02</v>
      </c>
      <c r="M23377">
        <v>107</v>
      </c>
      <c r="N23377">
        <v>0</v>
      </c>
      <c r="O23377">
        <v>107</v>
      </c>
      <c r="P23377">
        <v>0</v>
      </c>
    </row>
    <row r="23378" spans="1:16" x14ac:dyDescent="0.25">
      <c r="A23378" t="s">
        <v>46065</v>
      </c>
      <c r="B23378" t="s">
        <v>13909</v>
      </c>
      <c r="C23378" t="s">
        <v>13910</v>
      </c>
      <c r="D23378" t="str">
        <f>"1106"</f>
        <v>1106</v>
      </c>
      <c r="E23378" t="s">
        <v>3138</v>
      </c>
      <c r="F23378" t="s">
        <v>4</v>
      </c>
      <c r="G23378" t="s">
        <v>47093</v>
      </c>
      <c r="H23378" t="s">
        <v>47054</v>
      </c>
      <c r="I23378" t="s">
        <v>47111</v>
      </c>
      <c r="J23378" t="s">
        <v>47112</v>
      </c>
      <c r="K23378" t="s">
        <v>47113</v>
      </c>
      <c r="L23378">
        <v>38.700000000000003</v>
      </c>
      <c r="M23378">
        <v>94</v>
      </c>
      <c r="N23378">
        <v>0</v>
      </c>
      <c r="O23378">
        <v>94</v>
      </c>
      <c r="P23378">
        <v>0</v>
      </c>
    </row>
    <row r="23379" spans="1:16" x14ac:dyDescent="0.25">
      <c r="A23379" t="s">
        <v>46066</v>
      </c>
      <c r="B23379" t="s">
        <v>13909</v>
      </c>
      <c r="C23379" t="s">
        <v>13910</v>
      </c>
      <c r="D23379" t="str">
        <f>"1391"</f>
        <v>1391</v>
      </c>
      <c r="E23379" t="s">
        <v>3150</v>
      </c>
      <c r="F23379" t="s">
        <v>4</v>
      </c>
      <c r="G23379" t="s">
        <v>47093</v>
      </c>
      <c r="H23379" t="s">
        <v>47054</v>
      </c>
      <c r="I23379" t="s">
        <v>47111</v>
      </c>
      <c r="J23379" t="s">
        <v>47112</v>
      </c>
      <c r="K23379" t="s">
        <v>47113</v>
      </c>
      <c r="L23379">
        <v>38.700000000000003</v>
      </c>
      <c r="M23379">
        <v>94</v>
      </c>
      <c r="N23379">
        <v>0</v>
      </c>
      <c r="O23379">
        <v>94</v>
      </c>
      <c r="P23379">
        <v>0</v>
      </c>
    </row>
    <row r="23380" spans="1:16" x14ac:dyDescent="0.25">
      <c r="A23380" t="s">
        <v>46067</v>
      </c>
      <c r="B23380" t="s">
        <v>13909</v>
      </c>
      <c r="C23380" t="s">
        <v>13910</v>
      </c>
      <c r="D23380" t="str">
        <f>"6383"</f>
        <v>6383</v>
      </c>
      <c r="E23380" t="s">
        <v>3219</v>
      </c>
      <c r="F23380" t="s">
        <v>4</v>
      </c>
      <c r="G23380" t="s">
        <v>47093</v>
      </c>
      <c r="H23380" t="s">
        <v>47054</v>
      </c>
      <c r="I23380" t="s">
        <v>47111</v>
      </c>
      <c r="J23380" t="s">
        <v>47112</v>
      </c>
      <c r="K23380" t="s">
        <v>47113</v>
      </c>
      <c r="L23380">
        <v>38.700000000000003</v>
      </c>
      <c r="M23380">
        <v>94</v>
      </c>
      <c r="N23380">
        <v>0</v>
      </c>
      <c r="O23380">
        <v>94</v>
      </c>
      <c r="P23380">
        <v>0</v>
      </c>
    </row>
    <row r="23381" spans="1:16" x14ac:dyDescent="0.25">
      <c r="A23381" t="s">
        <v>46068</v>
      </c>
      <c r="B23381" t="s">
        <v>13911</v>
      </c>
      <c r="C23381" t="s">
        <v>13912</v>
      </c>
      <c r="D23381" t="str">
        <f>"1106"</f>
        <v>1106</v>
      </c>
      <c r="E23381" t="s">
        <v>3138</v>
      </c>
      <c r="F23381" t="s">
        <v>4</v>
      </c>
      <c r="G23381" t="s">
        <v>47093</v>
      </c>
      <c r="H23381" t="s">
        <v>47054</v>
      </c>
      <c r="I23381" t="s">
        <v>47111</v>
      </c>
      <c r="J23381" t="s">
        <v>47112</v>
      </c>
      <c r="K23381" t="s">
        <v>47113</v>
      </c>
      <c r="L23381">
        <v>43.85</v>
      </c>
      <c r="M23381">
        <v>107</v>
      </c>
      <c r="N23381">
        <v>0</v>
      </c>
      <c r="O23381">
        <v>107</v>
      </c>
      <c r="P23381">
        <v>0</v>
      </c>
    </row>
    <row r="23382" spans="1:16" x14ac:dyDescent="0.25">
      <c r="A23382" t="s">
        <v>46069</v>
      </c>
      <c r="B23382" t="s">
        <v>13911</v>
      </c>
      <c r="C23382" t="s">
        <v>13912</v>
      </c>
      <c r="D23382" t="str">
        <f>"1391"</f>
        <v>1391</v>
      </c>
      <c r="E23382" t="s">
        <v>3150</v>
      </c>
      <c r="F23382" t="s">
        <v>4</v>
      </c>
      <c r="G23382" t="s">
        <v>47093</v>
      </c>
      <c r="H23382" t="s">
        <v>47054</v>
      </c>
      <c r="I23382" t="s">
        <v>47111</v>
      </c>
      <c r="J23382" t="s">
        <v>47112</v>
      </c>
      <c r="K23382" t="s">
        <v>47113</v>
      </c>
      <c r="L23382">
        <v>43.85</v>
      </c>
      <c r="M23382">
        <v>107</v>
      </c>
      <c r="N23382">
        <v>0</v>
      </c>
      <c r="O23382">
        <v>107</v>
      </c>
      <c r="P23382">
        <v>0</v>
      </c>
    </row>
    <row r="23383" spans="1:16" x14ac:dyDescent="0.25">
      <c r="A23383" t="s">
        <v>46070</v>
      </c>
      <c r="B23383" t="s">
        <v>13911</v>
      </c>
      <c r="C23383" t="s">
        <v>13912</v>
      </c>
      <c r="D23383" t="str">
        <f>"6032"</f>
        <v>6032</v>
      </c>
      <c r="E23383" t="s">
        <v>2760</v>
      </c>
      <c r="F23383" t="s">
        <v>4</v>
      </c>
      <c r="G23383" t="s">
        <v>47093</v>
      </c>
      <c r="H23383" t="s">
        <v>47054</v>
      </c>
      <c r="I23383" t="s">
        <v>47111</v>
      </c>
      <c r="J23383" t="s">
        <v>47112</v>
      </c>
      <c r="K23383" t="s">
        <v>47113</v>
      </c>
      <c r="L23383">
        <v>43.85</v>
      </c>
      <c r="M23383">
        <v>107</v>
      </c>
      <c r="N23383">
        <v>0</v>
      </c>
      <c r="O23383">
        <v>107</v>
      </c>
      <c r="P23383">
        <v>0</v>
      </c>
    </row>
    <row r="23384" spans="1:16" x14ac:dyDescent="0.25">
      <c r="A23384" t="s">
        <v>1503</v>
      </c>
      <c r="B23384" t="s">
        <v>1504</v>
      </c>
      <c r="C23384" t="s">
        <v>1505</v>
      </c>
      <c r="D23384" t="str">
        <f>"1388"</f>
        <v>1388</v>
      </c>
      <c r="E23384" t="s">
        <v>1506</v>
      </c>
      <c r="F23384" t="s">
        <v>4</v>
      </c>
      <c r="G23384" t="s">
        <v>47091</v>
      </c>
      <c r="H23384" t="s">
        <v>47054</v>
      </c>
      <c r="I23384" t="s">
        <v>47111</v>
      </c>
      <c r="J23384" t="s">
        <v>47112</v>
      </c>
      <c r="K23384" t="s">
        <v>47113</v>
      </c>
      <c r="L23384">
        <v>11.81</v>
      </c>
      <c r="M23384">
        <v>29</v>
      </c>
      <c r="N23384">
        <v>0</v>
      </c>
      <c r="O23384">
        <v>29</v>
      </c>
      <c r="P23384">
        <v>0</v>
      </c>
    </row>
    <row r="23385" spans="1:16" x14ac:dyDescent="0.25">
      <c r="A23385" t="s">
        <v>46071</v>
      </c>
      <c r="B23385" t="s">
        <v>1504</v>
      </c>
      <c r="C23385" t="s">
        <v>1505</v>
      </c>
      <c r="D23385" t="str">
        <f>"1975"</f>
        <v>1975</v>
      </c>
      <c r="E23385" t="s">
        <v>13913</v>
      </c>
      <c r="F23385" t="s">
        <v>4</v>
      </c>
      <c r="G23385" t="s">
        <v>47091</v>
      </c>
      <c r="H23385" t="s">
        <v>47054</v>
      </c>
      <c r="I23385" t="s">
        <v>47111</v>
      </c>
      <c r="J23385" t="s">
        <v>47112</v>
      </c>
      <c r="K23385" t="s">
        <v>47113</v>
      </c>
      <c r="L23385">
        <v>11.81</v>
      </c>
      <c r="M23385">
        <v>29</v>
      </c>
      <c r="N23385">
        <v>0</v>
      </c>
      <c r="O23385">
        <v>29</v>
      </c>
      <c r="P23385">
        <v>0</v>
      </c>
    </row>
    <row r="23386" spans="1:16" x14ac:dyDescent="0.25">
      <c r="A23386" t="s">
        <v>1507</v>
      </c>
      <c r="B23386" t="s">
        <v>1508</v>
      </c>
      <c r="C23386" t="s">
        <v>1509</v>
      </c>
      <c r="D23386" t="str">
        <f>"1035"</f>
        <v>1035</v>
      </c>
      <c r="E23386" t="s">
        <v>758</v>
      </c>
      <c r="F23386" t="s">
        <v>4</v>
      </c>
      <c r="G23386" t="s">
        <v>47091</v>
      </c>
      <c r="H23386" t="s">
        <v>47054</v>
      </c>
      <c r="I23386" t="s">
        <v>47111</v>
      </c>
      <c r="J23386" t="s">
        <v>47112</v>
      </c>
      <c r="K23386" t="s">
        <v>47113</v>
      </c>
      <c r="L23386">
        <v>9.92</v>
      </c>
      <c r="M23386">
        <v>24</v>
      </c>
      <c r="N23386">
        <v>0</v>
      </c>
      <c r="O23386">
        <v>24</v>
      </c>
      <c r="P23386">
        <v>0</v>
      </c>
    </row>
    <row r="23387" spans="1:16" x14ac:dyDescent="0.25">
      <c r="A23387" t="s">
        <v>46072</v>
      </c>
      <c r="B23387" t="s">
        <v>1508</v>
      </c>
      <c r="C23387" t="s">
        <v>1509</v>
      </c>
      <c r="D23387" t="str">
        <f>"1298"</f>
        <v>1298</v>
      </c>
      <c r="E23387" t="s">
        <v>3150</v>
      </c>
      <c r="F23387" t="s">
        <v>4</v>
      </c>
      <c r="G23387" t="s">
        <v>47091</v>
      </c>
      <c r="H23387" t="s">
        <v>47054</v>
      </c>
      <c r="I23387" t="s">
        <v>47111</v>
      </c>
      <c r="J23387" t="s">
        <v>47112</v>
      </c>
      <c r="K23387" t="s">
        <v>47113</v>
      </c>
      <c r="L23387">
        <v>9.92</v>
      </c>
      <c r="M23387">
        <v>24</v>
      </c>
      <c r="N23387">
        <v>0</v>
      </c>
      <c r="O23387">
        <v>24</v>
      </c>
      <c r="P23387">
        <v>0</v>
      </c>
    </row>
    <row r="23388" spans="1:16" x14ac:dyDescent="0.25">
      <c r="A23388" t="s">
        <v>1510</v>
      </c>
      <c r="B23388" t="s">
        <v>1508</v>
      </c>
      <c r="C23388" t="s">
        <v>1509</v>
      </c>
      <c r="D23388" t="str">
        <f>"6634"</f>
        <v>6634</v>
      </c>
      <c r="E23388" t="s">
        <v>1511</v>
      </c>
      <c r="F23388" t="s">
        <v>4</v>
      </c>
      <c r="G23388" t="s">
        <v>47091</v>
      </c>
      <c r="H23388" t="s">
        <v>47054</v>
      </c>
      <c r="I23388" t="s">
        <v>47111</v>
      </c>
      <c r="J23388" t="s">
        <v>47112</v>
      </c>
      <c r="K23388" t="s">
        <v>47113</v>
      </c>
      <c r="L23388">
        <v>9.92</v>
      </c>
      <c r="M23388">
        <v>24</v>
      </c>
      <c r="N23388">
        <v>0</v>
      </c>
      <c r="O23388">
        <v>24</v>
      </c>
      <c r="P23388">
        <v>0</v>
      </c>
    </row>
    <row r="23389" spans="1:16" x14ac:dyDescent="0.25">
      <c r="A23389" t="s">
        <v>46073</v>
      </c>
      <c r="B23389" t="s">
        <v>13914</v>
      </c>
      <c r="C23389" t="s">
        <v>13915</v>
      </c>
      <c r="D23389" t="str">
        <f>"1746"</f>
        <v>1746</v>
      </c>
      <c r="E23389" t="s">
        <v>807</v>
      </c>
      <c r="F23389" t="s">
        <v>56</v>
      </c>
      <c r="G23389" t="s">
        <v>47091</v>
      </c>
      <c r="H23389" t="s">
        <v>47054</v>
      </c>
      <c r="I23389" t="s">
        <v>47111</v>
      </c>
      <c r="J23389" t="s">
        <v>47112</v>
      </c>
      <c r="K23389" t="s">
        <v>47113</v>
      </c>
      <c r="L23389">
        <v>13.1</v>
      </c>
      <c r="M23389">
        <v>35</v>
      </c>
      <c r="N23389">
        <v>0</v>
      </c>
      <c r="O23389">
        <v>35</v>
      </c>
      <c r="P23389">
        <v>0</v>
      </c>
    </row>
    <row r="23390" spans="1:16" x14ac:dyDescent="0.25">
      <c r="A23390" t="s">
        <v>46074</v>
      </c>
      <c r="B23390" t="s">
        <v>13916</v>
      </c>
      <c r="C23390" t="s">
        <v>13050</v>
      </c>
      <c r="D23390" t="s">
        <v>13917</v>
      </c>
      <c r="E23390" t="s">
        <v>13918</v>
      </c>
      <c r="F23390" t="s">
        <v>4</v>
      </c>
      <c r="G23390" t="s">
        <v>47093</v>
      </c>
      <c r="H23390" t="s">
        <v>47054</v>
      </c>
      <c r="I23390" t="s">
        <v>47111</v>
      </c>
      <c r="J23390" t="s">
        <v>47112</v>
      </c>
      <c r="K23390" t="s">
        <v>47113</v>
      </c>
      <c r="L23390">
        <v>43.66</v>
      </c>
      <c r="M23390">
        <v>107</v>
      </c>
      <c r="N23390">
        <v>0</v>
      </c>
      <c r="O23390">
        <v>107</v>
      </c>
      <c r="P23390">
        <v>0</v>
      </c>
    </row>
    <row r="23391" spans="1:16" x14ac:dyDescent="0.25">
      <c r="A23391" t="s">
        <v>46075</v>
      </c>
      <c r="B23391" t="s">
        <v>13919</v>
      </c>
      <c r="C23391" t="s">
        <v>1059</v>
      </c>
      <c r="D23391" t="s">
        <v>13917</v>
      </c>
      <c r="E23391" t="s">
        <v>13918</v>
      </c>
      <c r="F23391" t="s">
        <v>4</v>
      </c>
      <c r="G23391" t="s">
        <v>47093</v>
      </c>
      <c r="H23391" t="s">
        <v>47054</v>
      </c>
      <c r="I23391" t="s">
        <v>47111</v>
      </c>
      <c r="J23391" t="s">
        <v>47112</v>
      </c>
      <c r="K23391" t="s">
        <v>47113</v>
      </c>
      <c r="L23391">
        <v>43.66</v>
      </c>
      <c r="M23391">
        <v>105</v>
      </c>
      <c r="N23391">
        <v>0</v>
      </c>
      <c r="O23391">
        <v>105</v>
      </c>
      <c r="P23391">
        <v>0</v>
      </c>
    </row>
    <row r="23392" spans="1:16" x14ac:dyDescent="0.25">
      <c r="A23392" t="s">
        <v>46076</v>
      </c>
      <c r="B23392" t="s">
        <v>13920</v>
      </c>
      <c r="C23392" t="s">
        <v>1543</v>
      </c>
      <c r="D23392" t="str">
        <f>"1271"</f>
        <v>1271</v>
      </c>
      <c r="E23392" t="s">
        <v>13921</v>
      </c>
      <c r="F23392" t="s">
        <v>1717</v>
      </c>
      <c r="G23392" t="s">
        <v>47093</v>
      </c>
      <c r="H23392" t="s">
        <v>47054</v>
      </c>
      <c r="I23392" t="s">
        <v>47111</v>
      </c>
      <c r="J23392" t="s">
        <v>47112</v>
      </c>
      <c r="K23392" t="s">
        <v>47113</v>
      </c>
      <c r="L23392">
        <v>30.3</v>
      </c>
      <c r="M23392">
        <v>86</v>
      </c>
      <c r="N23392">
        <v>0</v>
      </c>
      <c r="O23392">
        <v>86</v>
      </c>
      <c r="P23392">
        <v>0</v>
      </c>
    </row>
    <row r="23393" spans="1:16" x14ac:dyDescent="0.25">
      <c r="A23393" t="s">
        <v>46077</v>
      </c>
      <c r="B23393" t="s">
        <v>13920</v>
      </c>
      <c r="C23393" t="s">
        <v>1543</v>
      </c>
      <c r="D23393" t="s">
        <v>721</v>
      </c>
      <c r="E23393" t="s">
        <v>722</v>
      </c>
      <c r="F23393" t="s">
        <v>36</v>
      </c>
      <c r="G23393" t="s">
        <v>47093</v>
      </c>
      <c r="H23393" t="s">
        <v>47054</v>
      </c>
      <c r="I23393" t="s">
        <v>47111</v>
      </c>
      <c r="J23393" t="s">
        <v>47112</v>
      </c>
      <c r="K23393" t="s">
        <v>47113</v>
      </c>
      <c r="L23393">
        <v>30.26</v>
      </c>
      <c r="M23393">
        <v>74</v>
      </c>
      <c r="N23393">
        <v>0</v>
      </c>
      <c r="O23393">
        <v>74</v>
      </c>
      <c r="P23393">
        <v>0</v>
      </c>
    </row>
    <row r="23394" spans="1:16" x14ac:dyDescent="0.25">
      <c r="A23394" t="s">
        <v>46078</v>
      </c>
      <c r="B23394" t="s">
        <v>13920</v>
      </c>
      <c r="C23394" t="s">
        <v>1543</v>
      </c>
      <c r="D23394" t="s">
        <v>13922</v>
      </c>
      <c r="E23394" t="s">
        <v>13923</v>
      </c>
      <c r="F23394" t="s">
        <v>5</v>
      </c>
      <c r="G23394" t="s">
        <v>47093</v>
      </c>
      <c r="H23394" t="s">
        <v>47054</v>
      </c>
      <c r="I23394" t="s">
        <v>47111</v>
      </c>
      <c r="J23394" t="s">
        <v>47112</v>
      </c>
      <c r="K23394" t="s">
        <v>47113</v>
      </c>
      <c r="L23394">
        <v>36.17</v>
      </c>
      <c r="M23394">
        <v>84</v>
      </c>
      <c r="N23394">
        <v>0</v>
      </c>
      <c r="O23394">
        <v>84</v>
      </c>
      <c r="P23394">
        <v>0</v>
      </c>
    </row>
    <row r="23395" spans="1:16" x14ac:dyDescent="0.25">
      <c r="A23395" t="s">
        <v>46079</v>
      </c>
      <c r="B23395" t="s">
        <v>22469</v>
      </c>
      <c r="C23395" t="s">
        <v>22470</v>
      </c>
      <c r="D23395" t="str">
        <f>"1708"</f>
        <v>1708</v>
      </c>
      <c r="E23395" t="s">
        <v>16240</v>
      </c>
      <c r="F23395" t="s">
        <v>3750</v>
      </c>
      <c r="G23395" t="s">
        <v>47091</v>
      </c>
      <c r="H23395" t="s">
        <v>47054</v>
      </c>
      <c r="I23395" t="s">
        <v>47154</v>
      </c>
      <c r="J23395" t="s">
        <v>47155</v>
      </c>
      <c r="K23395" t="s">
        <v>47113</v>
      </c>
      <c r="L23395">
        <v>6.35</v>
      </c>
      <c r="M23395">
        <v>12</v>
      </c>
      <c r="N23395">
        <v>0</v>
      </c>
      <c r="O23395">
        <v>12</v>
      </c>
      <c r="P23395">
        <v>0</v>
      </c>
    </row>
    <row r="23396" spans="1:16" x14ac:dyDescent="0.25">
      <c r="A23396" t="s">
        <v>22960</v>
      </c>
      <c r="B23396" t="s">
        <v>22961</v>
      </c>
      <c r="C23396" t="s">
        <v>22962</v>
      </c>
      <c r="D23396" t="str">
        <f>"1001"</f>
        <v>1001</v>
      </c>
      <c r="E23396" t="s">
        <v>42</v>
      </c>
      <c r="F23396" t="s">
        <v>3750</v>
      </c>
      <c r="G23396" t="s">
        <v>47097</v>
      </c>
      <c r="H23396" t="s">
        <v>47054</v>
      </c>
      <c r="I23396" t="s">
        <v>47154</v>
      </c>
      <c r="J23396" t="s">
        <v>47155</v>
      </c>
      <c r="K23396" t="s">
        <v>47113</v>
      </c>
      <c r="L23396">
        <v>7.17</v>
      </c>
      <c r="M23396">
        <v>26</v>
      </c>
      <c r="N23396">
        <v>0</v>
      </c>
      <c r="O23396">
        <v>26</v>
      </c>
      <c r="P23396">
        <v>0</v>
      </c>
    </row>
    <row r="23397" spans="1:16" x14ac:dyDescent="0.25">
      <c r="A23397" t="s">
        <v>22963</v>
      </c>
      <c r="B23397" t="s">
        <v>22961</v>
      </c>
      <c r="C23397" t="s">
        <v>22962</v>
      </c>
      <c r="D23397" t="str">
        <f>"1541"</f>
        <v>1541</v>
      </c>
      <c r="E23397" t="s">
        <v>6246</v>
      </c>
      <c r="F23397" t="s">
        <v>3750</v>
      </c>
      <c r="G23397" t="s">
        <v>47097</v>
      </c>
      <c r="H23397" t="s">
        <v>47054</v>
      </c>
      <c r="I23397" t="s">
        <v>47154</v>
      </c>
      <c r="J23397" t="s">
        <v>47155</v>
      </c>
      <c r="K23397" t="s">
        <v>47113</v>
      </c>
      <c r="L23397">
        <v>7.17</v>
      </c>
      <c r="M23397">
        <v>26</v>
      </c>
      <c r="N23397">
        <v>0</v>
      </c>
      <c r="O23397">
        <v>26</v>
      </c>
      <c r="P23397">
        <v>0</v>
      </c>
    </row>
    <row r="23398" spans="1:16" x14ac:dyDescent="0.25">
      <c r="A23398" t="s">
        <v>46080</v>
      </c>
      <c r="B23398" t="s">
        <v>22961</v>
      </c>
      <c r="C23398" t="s">
        <v>22962</v>
      </c>
      <c r="D23398" t="s">
        <v>15692</v>
      </c>
      <c r="E23398" t="s">
        <v>46</v>
      </c>
      <c r="F23398" t="s">
        <v>3750</v>
      </c>
      <c r="G23398" t="s">
        <v>47097</v>
      </c>
      <c r="H23398" t="s">
        <v>47054</v>
      </c>
      <c r="I23398" t="s">
        <v>47154</v>
      </c>
      <c r="J23398" t="s">
        <v>47155</v>
      </c>
      <c r="K23398" t="s">
        <v>47113</v>
      </c>
      <c r="L23398">
        <v>7.17</v>
      </c>
      <c r="M23398">
        <v>26</v>
      </c>
      <c r="N23398">
        <v>0</v>
      </c>
      <c r="O23398">
        <v>26</v>
      </c>
      <c r="P23398">
        <v>0</v>
      </c>
    </row>
    <row r="23399" spans="1:16" x14ac:dyDescent="0.25">
      <c r="A23399" t="s">
        <v>46081</v>
      </c>
      <c r="B23399" t="s">
        <v>46082</v>
      </c>
      <c r="C23399" t="s">
        <v>46083</v>
      </c>
      <c r="D23399" t="str">
        <f>"1001"</f>
        <v>1001</v>
      </c>
      <c r="E23399" t="s">
        <v>42</v>
      </c>
      <c r="F23399" t="s">
        <v>3750</v>
      </c>
      <c r="G23399" t="s">
        <v>47091</v>
      </c>
      <c r="H23399" t="s">
        <v>47054</v>
      </c>
      <c r="I23399" t="s">
        <v>47154</v>
      </c>
      <c r="J23399" t="s">
        <v>47155</v>
      </c>
      <c r="K23399" t="s">
        <v>47113</v>
      </c>
      <c r="L23399">
        <v>8.6</v>
      </c>
      <c r="M23399">
        <v>37</v>
      </c>
      <c r="N23399">
        <v>99</v>
      </c>
      <c r="O23399">
        <v>37</v>
      </c>
      <c r="P23399">
        <v>99</v>
      </c>
    </row>
    <row r="23400" spans="1:16" x14ac:dyDescent="0.25">
      <c r="A23400" t="s">
        <v>46084</v>
      </c>
      <c r="B23400" t="s">
        <v>46082</v>
      </c>
      <c r="C23400" t="s">
        <v>46083</v>
      </c>
      <c r="D23400" t="str">
        <f>"1700"</f>
        <v>1700</v>
      </c>
      <c r="E23400" t="s">
        <v>60</v>
      </c>
      <c r="F23400" t="s">
        <v>3750</v>
      </c>
      <c r="G23400" t="s">
        <v>47091</v>
      </c>
      <c r="H23400" t="s">
        <v>47054</v>
      </c>
      <c r="I23400" t="s">
        <v>47154</v>
      </c>
      <c r="J23400" t="s">
        <v>47155</v>
      </c>
      <c r="K23400" t="s">
        <v>47113</v>
      </c>
      <c r="L23400">
        <v>8.6</v>
      </c>
      <c r="M23400">
        <v>37</v>
      </c>
      <c r="N23400">
        <v>99</v>
      </c>
      <c r="O23400">
        <v>37</v>
      </c>
      <c r="P23400">
        <v>99</v>
      </c>
    </row>
    <row r="23401" spans="1:16" x14ac:dyDescent="0.25">
      <c r="A23401" t="s">
        <v>46085</v>
      </c>
      <c r="B23401" t="s">
        <v>46086</v>
      </c>
      <c r="C23401" t="s">
        <v>46087</v>
      </c>
      <c r="D23401" t="str">
        <f>"1700"</f>
        <v>1700</v>
      </c>
      <c r="E23401" t="s">
        <v>60</v>
      </c>
      <c r="F23401" t="s">
        <v>3750</v>
      </c>
      <c r="G23401" t="s">
        <v>47091</v>
      </c>
      <c r="H23401" t="s">
        <v>47054</v>
      </c>
      <c r="I23401" t="s">
        <v>47154</v>
      </c>
      <c r="J23401" t="s">
        <v>47155</v>
      </c>
      <c r="K23401" t="s">
        <v>47113</v>
      </c>
      <c r="L23401">
        <v>7.07</v>
      </c>
      <c r="M23401">
        <v>34</v>
      </c>
      <c r="N23401">
        <v>0</v>
      </c>
      <c r="O23401">
        <v>34</v>
      </c>
      <c r="P23401">
        <v>0</v>
      </c>
    </row>
    <row r="23402" spans="1:16" x14ac:dyDescent="0.25">
      <c r="A23402" t="s">
        <v>46088</v>
      </c>
      <c r="B23402" t="s">
        <v>46089</v>
      </c>
      <c r="C23402" t="s">
        <v>46090</v>
      </c>
      <c r="D23402" t="str">
        <f>"1700"</f>
        <v>1700</v>
      </c>
      <c r="E23402" t="s">
        <v>60</v>
      </c>
      <c r="F23402" t="s">
        <v>3750</v>
      </c>
      <c r="G23402" t="s">
        <v>47091</v>
      </c>
      <c r="H23402" t="s">
        <v>47054</v>
      </c>
      <c r="I23402" t="s">
        <v>47154</v>
      </c>
      <c r="J23402" t="s">
        <v>47155</v>
      </c>
      <c r="K23402" t="s">
        <v>47113</v>
      </c>
      <c r="L23402">
        <v>8.6999999999999993</v>
      </c>
      <c r="M23402">
        <v>29</v>
      </c>
      <c r="N23402">
        <v>79</v>
      </c>
      <c r="O23402">
        <v>29</v>
      </c>
      <c r="P23402">
        <v>79</v>
      </c>
    </row>
    <row r="23403" spans="1:16" x14ac:dyDescent="0.25">
      <c r="A23403" t="s">
        <v>46091</v>
      </c>
      <c r="B23403" t="s">
        <v>46089</v>
      </c>
      <c r="C23403" t="s">
        <v>46090</v>
      </c>
      <c r="D23403" t="str">
        <f>"4100"</f>
        <v>4100</v>
      </c>
      <c r="E23403" t="s">
        <v>17644</v>
      </c>
      <c r="F23403" t="s">
        <v>3750</v>
      </c>
      <c r="G23403" t="s">
        <v>47091</v>
      </c>
      <c r="H23403" t="s">
        <v>47054</v>
      </c>
      <c r="I23403" t="s">
        <v>47154</v>
      </c>
      <c r="J23403" t="s">
        <v>47155</v>
      </c>
      <c r="K23403" t="s">
        <v>47113</v>
      </c>
      <c r="L23403">
        <v>8.73</v>
      </c>
      <c r="M23403">
        <v>29</v>
      </c>
      <c r="N23403">
        <v>79</v>
      </c>
      <c r="O23403">
        <v>29</v>
      </c>
      <c r="P23403">
        <v>79</v>
      </c>
    </row>
    <row r="23404" spans="1:16" x14ac:dyDescent="0.25">
      <c r="A23404" t="s">
        <v>46092</v>
      </c>
      <c r="B23404" t="s">
        <v>46093</v>
      </c>
      <c r="C23404" t="s">
        <v>46094</v>
      </c>
      <c r="D23404" t="str">
        <f>"1001"</f>
        <v>1001</v>
      </c>
      <c r="E23404" t="s">
        <v>42</v>
      </c>
      <c r="F23404" t="s">
        <v>3750</v>
      </c>
      <c r="G23404" t="s">
        <v>47091</v>
      </c>
      <c r="H23404" t="s">
        <v>47054</v>
      </c>
      <c r="I23404" t="s">
        <v>47154</v>
      </c>
      <c r="J23404" t="s">
        <v>47155</v>
      </c>
      <c r="K23404" t="s">
        <v>47113</v>
      </c>
      <c r="L23404">
        <v>9.17</v>
      </c>
      <c r="M23404">
        <v>37</v>
      </c>
      <c r="N23404">
        <v>99</v>
      </c>
      <c r="O23404">
        <v>37</v>
      </c>
      <c r="P23404">
        <v>99</v>
      </c>
    </row>
    <row r="23405" spans="1:16" x14ac:dyDescent="0.25">
      <c r="A23405" t="s">
        <v>46095</v>
      </c>
      <c r="B23405" t="s">
        <v>46093</v>
      </c>
      <c r="C23405" t="s">
        <v>46094</v>
      </c>
      <c r="D23405" t="str">
        <f>"1700"</f>
        <v>1700</v>
      </c>
      <c r="E23405" t="s">
        <v>60</v>
      </c>
      <c r="F23405" t="s">
        <v>3750</v>
      </c>
      <c r="G23405" t="s">
        <v>47091</v>
      </c>
      <c r="H23405" t="s">
        <v>47054</v>
      </c>
      <c r="I23405" t="s">
        <v>47154</v>
      </c>
      <c r="J23405" t="s">
        <v>47155</v>
      </c>
      <c r="K23405" t="s">
        <v>47113</v>
      </c>
      <c r="L23405">
        <v>9.17</v>
      </c>
      <c r="M23405">
        <v>37</v>
      </c>
      <c r="N23405">
        <v>99</v>
      </c>
      <c r="O23405">
        <v>37</v>
      </c>
      <c r="P23405">
        <v>99</v>
      </c>
    </row>
    <row r="23406" spans="1:16" x14ac:dyDescent="0.25">
      <c r="A23406" t="s">
        <v>46096</v>
      </c>
      <c r="B23406" t="s">
        <v>46097</v>
      </c>
      <c r="C23406" t="s">
        <v>46098</v>
      </c>
      <c r="D23406" t="str">
        <f>"1700"</f>
        <v>1700</v>
      </c>
      <c r="E23406" t="s">
        <v>60</v>
      </c>
      <c r="F23406" t="s">
        <v>3750</v>
      </c>
      <c r="G23406" t="s">
        <v>47091</v>
      </c>
      <c r="H23406" t="s">
        <v>47054</v>
      </c>
      <c r="I23406" t="s">
        <v>47154</v>
      </c>
      <c r="J23406" t="s">
        <v>47155</v>
      </c>
      <c r="K23406" t="s">
        <v>47113</v>
      </c>
      <c r="L23406">
        <v>6.69</v>
      </c>
      <c r="M23406">
        <v>29</v>
      </c>
      <c r="N23406">
        <v>79</v>
      </c>
      <c r="O23406">
        <v>29</v>
      </c>
      <c r="P23406">
        <v>79</v>
      </c>
    </row>
    <row r="23407" spans="1:16" x14ac:dyDescent="0.25">
      <c r="A23407" t="s">
        <v>46099</v>
      </c>
      <c r="B23407" t="s">
        <v>46097</v>
      </c>
      <c r="C23407" t="s">
        <v>46098</v>
      </c>
      <c r="D23407" t="str">
        <f>"6500"</f>
        <v>6500</v>
      </c>
      <c r="E23407" t="s">
        <v>45196</v>
      </c>
      <c r="F23407" t="s">
        <v>3750</v>
      </c>
      <c r="G23407" t="s">
        <v>47091</v>
      </c>
      <c r="H23407" t="s">
        <v>47054</v>
      </c>
      <c r="I23407" t="s">
        <v>47154</v>
      </c>
      <c r="J23407" t="s">
        <v>47155</v>
      </c>
      <c r="K23407" t="s">
        <v>47113</v>
      </c>
      <c r="L23407">
        <v>6.48</v>
      </c>
      <c r="M23407">
        <v>29</v>
      </c>
      <c r="N23407">
        <v>79</v>
      </c>
      <c r="O23407">
        <v>29</v>
      </c>
      <c r="P23407">
        <v>79</v>
      </c>
    </row>
    <row r="23408" spans="1:16" x14ac:dyDescent="0.25">
      <c r="A23408" t="s">
        <v>46100</v>
      </c>
      <c r="B23408" t="s">
        <v>46101</v>
      </c>
      <c r="C23408" t="s">
        <v>46102</v>
      </c>
      <c r="D23408" t="str">
        <f>"4100"</f>
        <v>4100</v>
      </c>
      <c r="E23408" t="s">
        <v>17644</v>
      </c>
      <c r="F23408" t="s">
        <v>24617</v>
      </c>
      <c r="G23408" t="s">
        <v>47091</v>
      </c>
      <c r="H23408" t="s">
        <v>47054</v>
      </c>
      <c r="I23408" t="s">
        <v>47154</v>
      </c>
      <c r="J23408" t="s">
        <v>47155</v>
      </c>
      <c r="K23408" t="s">
        <v>47113</v>
      </c>
      <c r="L23408">
        <v>7.01</v>
      </c>
      <c r="M23408">
        <v>29</v>
      </c>
      <c r="N23408">
        <v>79</v>
      </c>
      <c r="O23408">
        <v>29</v>
      </c>
      <c r="P23408">
        <v>79</v>
      </c>
    </row>
    <row r="23409" spans="1:16" x14ac:dyDescent="0.25">
      <c r="A23409" t="s">
        <v>46103</v>
      </c>
      <c r="B23409" t="s">
        <v>46101</v>
      </c>
      <c r="C23409" t="s">
        <v>46102</v>
      </c>
      <c r="D23409" t="str">
        <f>"6500"</f>
        <v>6500</v>
      </c>
      <c r="E23409" t="s">
        <v>46104</v>
      </c>
      <c r="F23409" t="s">
        <v>24617</v>
      </c>
      <c r="G23409" t="s">
        <v>47091</v>
      </c>
      <c r="H23409" t="s">
        <v>47054</v>
      </c>
      <c r="I23409" t="s">
        <v>47154</v>
      </c>
      <c r="J23409" t="s">
        <v>47155</v>
      </c>
      <c r="K23409" t="s">
        <v>47113</v>
      </c>
      <c r="L23409">
        <v>7.01</v>
      </c>
      <c r="M23409">
        <v>29</v>
      </c>
      <c r="N23409">
        <v>79</v>
      </c>
      <c r="O23409">
        <v>29</v>
      </c>
      <c r="P23409">
        <v>79</v>
      </c>
    </row>
    <row r="23410" spans="1:16" x14ac:dyDescent="0.25">
      <c r="A23410" t="s">
        <v>46105</v>
      </c>
      <c r="B23410" t="s">
        <v>46106</v>
      </c>
      <c r="C23410" t="s">
        <v>46107</v>
      </c>
      <c r="D23410" t="str">
        <f>"1700"</f>
        <v>1700</v>
      </c>
      <c r="E23410" t="s">
        <v>60</v>
      </c>
      <c r="F23410" t="s">
        <v>24622</v>
      </c>
      <c r="G23410" t="s">
        <v>47091</v>
      </c>
      <c r="H23410" t="s">
        <v>47054</v>
      </c>
      <c r="I23410" t="s">
        <v>47154</v>
      </c>
      <c r="J23410" t="s">
        <v>47155</v>
      </c>
      <c r="K23410" t="s">
        <v>47113</v>
      </c>
      <c r="L23410">
        <v>8.14</v>
      </c>
      <c r="M23410">
        <v>37</v>
      </c>
      <c r="N23410">
        <v>99</v>
      </c>
      <c r="O23410">
        <v>37</v>
      </c>
      <c r="P23410">
        <v>99</v>
      </c>
    </row>
    <row r="23411" spans="1:16" x14ac:dyDescent="0.25">
      <c r="A23411" t="s">
        <v>46108</v>
      </c>
      <c r="B23411" t="s">
        <v>46106</v>
      </c>
      <c r="C23411" t="s">
        <v>46107</v>
      </c>
      <c r="D23411" t="str">
        <f>"6500"</f>
        <v>6500</v>
      </c>
      <c r="E23411" t="s">
        <v>11579</v>
      </c>
      <c r="F23411" t="s">
        <v>24622</v>
      </c>
      <c r="G23411" t="s">
        <v>47091</v>
      </c>
      <c r="H23411" t="s">
        <v>47054</v>
      </c>
      <c r="I23411" t="s">
        <v>47154</v>
      </c>
      <c r="J23411" t="s">
        <v>47155</v>
      </c>
      <c r="K23411" t="s">
        <v>47113</v>
      </c>
      <c r="L23411">
        <v>8.14</v>
      </c>
      <c r="M23411">
        <v>37</v>
      </c>
      <c r="N23411">
        <v>99</v>
      </c>
      <c r="O23411">
        <v>37</v>
      </c>
      <c r="P23411">
        <v>99</v>
      </c>
    </row>
    <row r="23412" spans="1:16" x14ac:dyDescent="0.25">
      <c r="A23412" t="s">
        <v>46109</v>
      </c>
      <c r="B23412" t="s">
        <v>46110</v>
      </c>
      <c r="C23412" t="s">
        <v>46111</v>
      </c>
      <c r="D23412" t="str">
        <f>"1700"</f>
        <v>1700</v>
      </c>
      <c r="E23412" t="s">
        <v>60</v>
      </c>
      <c r="F23412" t="s">
        <v>24622</v>
      </c>
      <c r="G23412" t="s">
        <v>47091</v>
      </c>
      <c r="H23412" t="s">
        <v>47054</v>
      </c>
      <c r="I23412" t="s">
        <v>47154</v>
      </c>
      <c r="J23412" t="s">
        <v>47155</v>
      </c>
      <c r="K23412" t="s">
        <v>47113</v>
      </c>
      <c r="L23412">
        <v>6.73</v>
      </c>
      <c r="M23412">
        <v>29</v>
      </c>
      <c r="N23412">
        <v>79</v>
      </c>
      <c r="O23412">
        <v>29</v>
      </c>
      <c r="P23412">
        <v>79</v>
      </c>
    </row>
    <row r="23413" spans="1:16" x14ac:dyDescent="0.25">
      <c r="A23413" t="s">
        <v>46112</v>
      </c>
      <c r="B23413" t="s">
        <v>46113</v>
      </c>
      <c r="C23413" t="s">
        <v>46114</v>
      </c>
      <c r="D23413" t="str">
        <f>"1700"</f>
        <v>1700</v>
      </c>
      <c r="E23413" t="s">
        <v>60</v>
      </c>
      <c r="F23413" t="s">
        <v>24627</v>
      </c>
      <c r="G23413" t="s">
        <v>47091</v>
      </c>
      <c r="H23413" t="s">
        <v>47054</v>
      </c>
      <c r="I23413" t="s">
        <v>47154</v>
      </c>
      <c r="J23413" t="s">
        <v>47155</v>
      </c>
      <c r="K23413" t="s">
        <v>47113</v>
      </c>
      <c r="L23413">
        <v>8.09</v>
      </c>
      <c r="M23413">
        <v>37</v>
      </c>
      <c r="N23413">
        <v>99</v>
      </c>
      <c r="O23413">
        <v>37</v>
      </c>
      <c r="P23413">
        <v>99</v>
      </c>
    </row>
    <row r="23414" spans="1:16" x14ac:dyDescent="0.25">
      <c r="A23414" t="s">
        <v>46115</v>
      </c>
      <c r="B23414" t="s">
        <v>46113</v>
      </c>
      <c r="C23414" t="s">
        <v>46114</v>
      </c>
      <c r="D23414" t="str">
        <f>"4401"</f>
        <v>4401</v>
      </c>
      <c r="E23414" t="s">
        <v>46116</v>
      </c>
      <c r="F23414" t="s">
        <v>24627</v>
      </c>
      <c r="G23414" t="s">
        <v>47091</v>
      </c>
      <c r="H23414" t="s">
        <v>47054</v>
      </c>
      <c r="I23414" t="s">
        <v>47154</v>
      </c>
      <c r="J23414" t="s">
        <v>47155</v>
      </c>
      <c r="K23414" t="s">
        <v>47113</v>
      </c>
      <c r="L23414">
        <v>7.79</v>
      </c>
      <c r="M23414">
        <v>37</v>
      </c>
      <c r="N23414">
        <v>99</v>
      </c>
      <c r="O23414">
        <v>37</v>
      </c>
      <c r="P23414">
        <v>99</v>
      </c>
    </row>
    <row r="23415" spans="1:16" x14ac:dyDescent="0.25">
      <c r="A23415" t="s">
        <v>49936</v>
      </c>
      <c r="B23415" t="s">
        <v>49937</v>
      </c>
      <c r="C23415" t="s">
        <v>49938</v>
      </c>
      <c r="D23415" t="str">
        <f>"4401"</f>
        <v>4401</v>
      </c>
      <c r="E23415" t="s">
        <v>1866</v>
      </c>
      <c r="F23415" t="s">
        <v>24627</v>
      </c>
      <c r="G23415" t="s">
        <v>47091</v>
      </c>
      <c r="H23415" t="s">
        <v>47054</v>
      </c>
      <c r="I23415" t="s">
        <v>47154</v>
      </c>
      <c r="J23415" t="s">
        <v>47155</v>
      </c>
      <c r="K23415" t="s">
        <v>47113</v>
      </c>
      <c r="L23415">
        <v>6.54</v>
      </c>
      <c r="M23415">
        <v>37</v>
      </c>
      <c r="N23415">
        <v>99</v>
      </c>
      <c r="O23415">
        <v>37</v>
      </c>
      <c r="P23415">
        <v>99</v>
      </c>
    </row>
    <row r="23416" spans="1:16" x14ac:dyDescent="0.25">
      <c r="A23416" t="s">
        <v>49939</v>
      </c>
      <c r="B23416" t="s">
        <v>49940</v>
      </c>
      <c r="C23416" t="s">
        <v>49941</v>
      </c>
      <c r="D23416" t="str">
        <f>"5146"</f>
        <v>5146</v>
      </c>
      <c r="E23416" t="s">
        <v>13973</v>
      </c>
      <c r="F23416" t="s">
        <v>31484</v>
      </c>
      <c r="G23416" t="s">
        <v>47091</v>
      </c>
      <c r="H23416" t="s">
        <v>47054</v>
      </c>
      <c r="I23416" t="s">
        <v>47154</v>
      </c>
      <c r="J23416" t="s">
        <v>47155</v>
      </c>
      <c r="K23416" t="s">
        <v>47113</v>
      </c>
      <c r="L23416">
        <v>8.6999999999999993</v>
      </c>
      <c r="M23416">
        <v>37</v>
      </c>
      <c r="N23416">
        <v>99</v>
      </c>
      <c r="O23416">
        <v>37</v>
      </c>
      <c r="P23416">
        <v>99</v>
      </c>
    </row>
    <row r="23417" spans="1:16" x14ac:dyDescent="0.25">
      <c r="A23417" t="s">
        <v>49942</v>
      </c>
      <c r="B23417" t="s">
        <v>49943</v>
      </c>
      <c r="C23417" t="s">
        <v>49944</v>
      </c>
      <c r="D23417" t="str">
        <f>"1001"</f>
        <v>1001</v>
      </c>
      <c r="E23417" t="s">
        <v>42</v>
      </c>
      <c r="F23417" t="s">
        <v>47185</v>
      </c>
      <c r="G23417" t="s">
        <v>47091</v>
      </c>
      <c r="H23417" t="s">
        <v>47054</v>
      </c>
      <c r="I23417" t="s">
        <v>47154</v>
      </c>
      <c r="J23417" t="s">
        <v>47155</v>
      </c>
      <c r="K23417" t="s">
        <v>47113</v>
      </c>
      <c r="L23417">
        <v>8.65</v>
      </c>
      <c r="M23417">
        <v>37</v>
      </c>
      <c r="N23417">
        <v>99</v>
      </c>
      <c r="O23417">
        <v>37</v>
      </c>
      <c r="P23417">
        <v>99</v>
      </c>
    </row>
    <row r="23418" spans="1:16" x14ac:dyDescent="0.25">
      <c r="A23418" t="s">
        <v>49945</v>
      </c>
      <c r="B23418" t="s">
        <v>49943</v>
      </c>
      <c r="C23418" t="s">
        <v>49944</v>
      </c>
      <c r="D23418" t="str">
        <f>"6000"</f>
        <v>6000</v>
      </c>
      <c r="E23418" t="s">
        <v>6279</v>
      </c>
      <c r="F23418" t="s">
        <v>47185</v>
      </c>
      <c r="G23418" t="s">
        <v>47091</v>
      </c>
      <c r="H23418" t="s">
        <v>47054</v>
      </c>
      <c r="I23418" t="s">
        <v>47154</v>
      </c>
      <c r="J23418" t="s">
        <v>47155</v>
      </c>
      <c r="K23418" t="s">
        <v>47113</v>
      </c>
      <c r="L23418">
        <v>8.65</v>
      </c>
      <c r="M23418">
        <v>37</v>
      </c>
      <c r="N23418">
        <v>99</v>
      </c>
      <c r="O23418">
        <v>37</v>
      </c>
      <c r="P23418">
        <v>99</v>
      </c>
    </row>
    <row r="23419" spans="1:16" x14ac:dyDescent="0.25">
      <c r="A23419" t="s">
        <v>46117</v>
      </c>
      <c r="B23419" t="s">
        <v>46118</v>
      </c>
      <c r="C23419" t="s">
        <v>46119</v>
      </c>
      <c r="D23419" t="str">
        <f>"1001"</f>
        <v>1001</v>
      </c>
      <c r="E23419" t="s">
        <v>42</v>
      </c>
      <c r="F23419" t="s">
        <v>3750</v>
      </c>
      <c r="G23419" t="s">
        <v>47091</v>
      </c>
      <c r="H23419" t="s">
        <v>47054</v>
      </c>
      <c r="I23419" t="s">
        <v>47154</v>
      </c>
      <c r="J23419" t="s">
        <v>47155</v>
      </c>
      <c r="K23419" t="s">
        <v>47113</v>
      </c>
      <c r="L23419">
        <v>6.62</v>
      </c>
      <c r="M23419">
        <v>26</v>
      </c>
      <c r="N23419">
        <v>0</v>
      </c>
      <c r="O23419">
        <v>26</v>
      </c>
      <c r="P23419">
        <v>0</v>
      </c>
    </row>
    <row r="23420" spans="1:16" x14ac:dyDescent="0.25">
      <c r="A23420" t="s">
        <v>46120</v>
      </c>
      <c r="B23420" t="s">
        <v>46118</v>
      </c>
      <c r="C23420" t="s">
        <v>46119</v>
      </c>
      <c r="D23420" t="str">
        <f>"1700"</f>
        <v>1700</v>
      </c>
      <c r="E23420" t="s">
        <v>60</v>
      </c>
      <c r="F23420" t="s">
        <v>3750</v>
      </c>
      <c r="G23420" t="s">
        <v>47091</v>
      </c>
      <c r="H23420" t="s">
        <v>47054</v>
      </c>
      <c r="I23420" t="s">
        <v>47154</v>
      </c>
      <c r="J23420" t="s">
        <v>47155</v>
      </c>
      <c r="K23420" t="s">
        <v>47113</v>
      </c>
      <c r="L23420">
        <v>6.62</v>
      </c>
      <c r="M23420">
        <v>26</v>
      </c>
      <c r="N23420">
        <v>0</v>
      </c>
      <c r="O23420">
        <v>26</v>
      </c>
      <c r="P23420">
        <v>0</v>
      </c>
    </row>
    <row r="23421" spans="1:16" x14ac:dyDescent="0.25">
      <c r="A23421" t="s">
        <v>46121</v>
      </c>
      <c r="B23421" t="s">
        <v>46118</v>
      </c>
      <c r="C23421" t="s">
        <v>46119</v>
      </c>
      <c r="D23421" t="str">
        <f>"6202"</f>
        <v>6202</v>
      </c>
      <c r="E23421" t="s">
        <v>22938</v>
      </c>
      <c r="F23421" t="s">
        <v>3750</v>
      </c>
      <c r="G23421" t="s">
        <v>47091</v>
      </c>
      <c r="H23421" t="s">
        <v>47054</v>
      </c>
      <c r="I23421" t="s">
        <v>47154</v>
      </c>
      <c r="J23421" t="s">
        <v>47155</v>
      </c>
      <c r="K23421" t="s">
        <v>47113</v>
      </c>
      <c r="L23421">
        <v>6.62</v>
      </c>
      <c r="M23421">
        <v>26</v>
      </c>
      <c r="N23421">
        <v>0</v>
      </c>
      <c r="O23421">
        <v>26</v>
      </c>
      <c r="P23421">
        <v>0</v>
      </c>
    </row>
    <row r="23422" spans="1:16" x14ac:dyDescent="0.25">
      <c r="A23422" t="s">
        <v>46122</v>
      </c>
      <c r="B23422" t="s">
        <v>22471</v>
      </c>
      <c r="C23422" t="s">
        <v>22472</v>
      </c>
      <c r="D23422" t="str">
        <f>"1001"</f>
        <v>1001</v>
      </c>
      <c r="E23422" t="s">
        <v>42</v>
      </c>
      <c r="F23422" t="s">
        <v>3750</v>
      </c>
      <c r="G23422" t="s">
        <v>47091</v>
      </c>
      <c r="H23422" t="s">
        <v>47054</v>
      </c>
      <c r="I23422" t="s">
        <v>47154</v>
      </c>
      <c r="J23422" t="s">
        <v>47155</v>
      </c>
      <c r="K23422" t="s">
        <v>47113</v>
      </c>
      <c r="L23422">
        <v>7.61</v>
      </c>
      <c r="M23422">
        <v>12</v>
      </c>
      <c r="N23422">
        <v>0</v>
      </c>
      <c r="O23422">
        <v>12</v>
      </c>
      <c r="P23422">
        <v>0</v>
      </c>
    </row>
    <row r="23423" spans="1:16" x14ac:dyDescent="0.25">
      <c r="A23423" t="s">
        <v>46123</v>
      </c>
      <c r="B23423" t="s">
        <v>22471</v>
      </c>
      <c r="C23423" t="s">
        <v>22472</v>
      </c>
      <c r="D23423" t="str">
        <f>"6000"</f>
        <v>6000</v>
      </c>
      <c r="E23423" t="s">
        <v>17920</v>
      </c>
      <c r="F23423" t="s">
        <v>3750</v>
      </c>
      <c r="G23423" t="s">
        <v>47091</v>
      </c>
      <c r="H23423" t="s">
        <v>47054</v>
      </c>
      <c r="I23423" t="s">
        <v>47154</v>
      </c>
      <c r="J23423" t="s">
        <v>47155</v>
      </c>
      <c r="K23423" t="s">
        <v>47113</v>
      </c>
      <c r="L23423">
        <v>7.61</v>
      </c>
      <c r="M23423">
        <v>12</v>
      </c>
      <c r="N23423">
        <v>0</v>
      </c>
      <c r="O23423">
        <v>12</v>
      </c>
      <c r="P23423">
        <v>0</v>
      </c>
    </row>
    <row r="23424" spans="1:16" x14ac:dyDescent="0.25">
      <c r="A23424" t="s">
        <v>46124</v>
      </c>
      <c r="B23424" t="s">
        <v>22473</v>
      </c>
      <c r="C23424" t="s">
        <v>22474</v>
      </c>
      <c r="D23424" t="str">
        <f>"1001"</f>
        <v>1001</v>
      </c>
      <c r="E23424" t="s">
        <v>42</v>
      </c>
      <c r="F23424" t="s">
        <v>3750</v>
      </c>
      <c r="G23424" t="s">
        <v>47091</v>
      </c>
      <c r="H23424" t="s">
        <v>47054</v>
      </c>
      <c r="I23424" t="s">
        <v>47154</v>
      </c>
      <c r="J23424" t="s">
        <v>47155</v>
      </c>
      <c r="K23424" t="s">
        <v>47113</v>
      </c>
      <c r="L23424">
        <v>6.35</v>
      </c>
      <c r="M23424">
        <v>12</v>
      </c>
      <c r="N23424">
        <v>0</v>
      </c>
      <c r="O23424">
        <v>12</v>
      </c>
      <c r="P23424">
        <v>0</v>
      </c>
    </row>
    <row r="23425" spans="1:16" x14ac:dyDescent="0.25">
      <c r="A23425" t="s">
        <v>46125</v>
      </c>
      <c r="B23425" t="s">
        <v>22473</v>
      </c>
      <c r="C23425" t="s">
        <v>22474</v>
      </c>
      <c r="D23425" t="str">
        <f>"1700"</f>
        <v>1700</v>
      </c>
      <c r="E23425" t="s">
        <v>60</v>
      </c>
      <c r="F23425" t="s">
        <v>3750</v>
      </c>
      <c r="G23425" t="s">
        <v>47091</v>
      </c>
      <c r="H23425" t="s">
        <v>47054</v>
      </c>
      <c r="I23425" t="s">
        <v>47154</v>
      </c>
      <c r="J23425" t="s">
        <v>47155</v>
      </c>
      <c r="K23425" t="s">
        <v>47113</v>
      </c>
      <c r="L23425">
        <v>6.35</v>
      </c>
      <c r="M23425">
        <v>12</v>
      </c>
      <c r="N23425">
        <v>0</v>
      </c>
      <c r="O23425">
        <v>12</v>
      </c>
      <c r="P23425">
        <v>0</v>
      </c>
    </row>
    <row r="23426" spans="1:16" x14ac:dyDescent="0.25">
      <c r="A23426" t="s">
        <v>46126</v>
      </c>
      <c r="B23426" t="s">
        <v>22475</v>
      </c>
      <c r="C23426" t="s">
        <v>22476</v>
      </c>
      <c r="D23426" t="str">
        <f>"1100"</f>
        <v>1100</v>
      </c>
      <c r="E23426" t="s">
        <v>54</v>
      </c>
      <c r="F23426" t="s">
        <v>3750</v>
      </c>
      <c r="G23426" t="s">
        <v>47091</v>
      </c>
      <c r="H23426" t="s">
        <v>47054</v>
      </c>
      <c r="I23426" t="s">
        <v>49946</v>
      </c>
      <c r="J23426" t="s">
        <v>49947</v>
      </c>
      <c r="K23426" t="s">
        <v>47113</v>
      </c>
      <c r="L23426">
        <v>6.45</v>
      </c>
      <c r="M23426">
        <v>12</v>
      </c>
      <c r="N23426">
        <v>0</v>
      </c>
      <c r="O23426">
        <v>12</v>
      </c>
      <c r="P23426">
        <v>0</v>
      </c>
    </row>
    <row r="23427" spans="1:16" x14ac:dyDescent="0.25">
      <c r="A23427" t="s">
        <v>46127</v>
      </c>
      <c r="B23427" t="s">
        <v>22475</v>
      </c>
      <c r="C23427" t="s">
        <v>22476</v>
      </c>
      <c r="D23427" t="str">
        <f>"1700"</f>
        <v>1700</v>
      </c>
      <c r="E23427" t="s">
        <v>60</v>
      </c>
      <c r="F23427" t="s">
        <v>3750</v>
      </c>
      <c r="G23427" t="s">
        <v>47091</v>
      </c>
      <c r="H23427" t="s">
        <v>47054</v>
      </c>
      <c r="I23427" t="s">
        <v>49946</v>
      </c>
      <c r="J23427" t="s">
        <v>49947</v>
      </c>
      <c r="K23427" t="s">
        <v>47113</v>
      </c>
      <c r="L23427">
        <v>6.45</v>
      </c>
      <c r="M23427">
        <v>12</v>
      </c>
      <c r="N23427">
        <v>0</v>
      </c>
      <c r="O23427">
        <v>12</v>
      </c>
      <c r="P23427">
        <v>0</v>
      </c>
    </row>
    <row r="23428" spans="1:16" x14ac:dyDescent="0.25">
      <c r="A23428" t="s">
        <v>46128</v>
      </c>
      <c r="B23428" t="s">
        <v>22477</v>
      </c>
      <c r="C23428" t="s">
        <v>22478</v>
      </c>
      <c r="D23428" t="str">
        <f>"1001"</f>
        <v>1001</v>
      </c>
      <c r="E23428" t="s">
        <v>42</v>
      </c>
      <c r="F23428" t="s">
        <v>3750</v>
      </c>
      <c r="G23428" t="s">
        <v>47091</v>
      </c>
      <c r="H23428" t="s">
        <v>47054</v>
      </c>
      <c r="I23428" t="s">
        <v>47154</v>
      </c>
      <c r="J23428" t="s">
        <v>47155</v>
      </c>
      <c r="K23428" t="s">
        <v>47113</v>
      </c>
      <c r="L23428">
        <v>5.84</v>
      </c>
      <c r="M23428">
        <v>15</v>
      </c>
      <c r="N23428">
        <v>0</v>
      </c>
      <c r="O23428">
        <v>15</v>
      </c>
      <c r="P23428">
        <v>0</v>
      </c>
    </row>
    <row r="23429" spans="1:16" x14ac:dyDescent="0.25">
      <c r="A23429" t="s">
        <v>46129</v>
      </c>
      <c r="B23429" t="s">
        <v>22477</v>
      </c>
      <c r="C23429" t="s">
        <v>22478</v>
      </c>
      <c r="D23429" t="str">
        <f>"1700"</f>
        <v>1700</v>
      </c>
      <c r="E23429" t="s">
        <v>60</v>
      </c>
      <c r="F23429" t="s">
        <v>3750</v>
      </c>
      <c r="G23429" t="s">
        <v>47091</v>
      </c>
      <c r="H23429" t="s">
        <v>47054</v>
      </c>
      <c r="I23429" t="s">
        <v>47154</v>
      </c>
      <c r="J23429" t="s">
        <v>47155</v>
      </c>
      <c r="K23429" t="s">
        <v>47113</v>
      </c>
      <c r="L23429">
        <v>5.84</v>
      </c>
      <c r="M23429">
        <v>15</v>
      </c>
      <c r="N23429">
        <v>0</v>
      </c>
      <c r="O23429">
        <v>15</v>
      </c>
      <c r="P23429">
        <v>0</v>
      </c>
    </row>
    <row r="23430" spans="1:16" x14ac:dyDescent="0.25">
      <c r="A23430" t="s">
        <v>46130</v>
      </c>
      <c r="B23430" t="s">
        <v>22477</v>
      </c>
      <c r="C23430" t="s">
        <v>22478</v>
      </c>
      <c r="D23430" t="str">
        <f>"5102"</f>
        <v>5102</v>
      </c>
      <c r="E23430" t="s">
        <v>22479</v>
      </c>
      <c r="F23430" t="s">
        <v>3750</v>
      </c>
      <c r="G23430" t="s">
        <v>47091</v>
      </c>
      <c r="H23430" t="s">
        <v>47054</v>
      </c>
      <c r="I23430" t="s">
        <v>47154</v>
      </c>
      <c r="J23430" t="s">
        <v>47155</v>
      </c>
      <c r="K23430" t="s">
        <v>47113</v>
      </c>
      <c r="L23430">
        <v>5.84</v>
      </c>
      <c r="M23430">
        <v>15</v>
      </c>
      <c r="N23430">
        <v>0</v>
      </c>
      <c r="O23430">
        <v>15</v>
      </c>
      <c r="P23430">
        <v>0</v>
      </c>
    </row>
    <row r="23431" spans="1:16" x14ac:dyDescent="0.25">
      <c r="A23431" t="s">
        <v>46131</v>
      </c>
      <c r="B23431" t="s">
        <v>46132</v>
      </c>
      <c r="C23431" t="s">
        <v>46133</v>
      </c>
      <c r="D23431" t="str">
        <f>"1001"</f>
        <v>1001</v>
      </c>
      <c r="E23431" t="s">
        <v>42</v>
      </c>
      <c r="F23431" t="s">
        <v>3750</v>
      </c>
      <c r="G23431" t="s">
        <v>47091</v>
      </c>
      <c r="H23431" t="s">
        <v>47054</v>
      </c>
      <c r="I23431" t="s">
        <v>47154</v>
      </c>
      <c r="J23431" t="s">
        <v>47155</v>
      </c>
      <c r="K23431" t="s">
        <v>47113</v>
      </c>
      <c r="L23431">
        <v>8.7100000000000009</v>
      </c>
      <c r="M23431">
        <v>37</v>
      </c>
      <c r="N23431">
        <v>99</v>
      </c>
      <c r="O23431">
        <v>37</v>
      </c>
      <c r="P23431">
        <v>99</v>
      </c>
    </row>
    <row r="23432" spans="1:16" x14ac:dyDescent="0.25">
      <c r="A23432" t="s">
        <v>46134</v>
      </c>
      <c r="B23432" t="s">
        <v>46132</v>
      </c>
      <c r="C23432" t="s">
        <v>46133</v>
      </c>
      <c r="D23432" t="str">
        <f>"1700"</f>
        <v>1700</v>
      </c>
      <c r="E23432" t="s">
        <v>60</v>
      </c>
      <c r="F23432" t="s">
        <v>3750</v>
      </c>
      <c r="G23432" t="s">
        <v>47091</v>
      </c>
      <c r="H23432" t="s">
        <v>47054</v>
      </c>
      <c r="I23432" t="s">
        <v>47154</v>
      </c>
      <c r="J23432" t="s">
        <v>47155</v>
      </c>
      <c r="K23432" t="s">
        <v>47113</v>
      </c>
      <c r="L23432">
        <v>8.7100000000000009</v>
      </c>
      <c r="M23432">
        <v>37</v>
      </c>
      <c r="N23432">
        <v>99</v>
      </c>
      <c r="O23432">
        <v>37</v>
      </c>
      <c r="P23432">
        <v>99</v>
      </c>
    </row>
    <row r="23433" spans="1:16" x14ac:dyDescent="0.25">
      <c r="A23433" t="s">
        <v>46135</v>
      </c>
      <c r="B23433" t="s">
        <v>46136</v>
      </c>
      <c r="C23433" t="s">
        <v>46137</v>
      </c>
      <c r="D23433" t="str">
        <f>"1001"</f>
        <v>1001</v>
      </c>
      <c r="E23433" t="s">
        <v>42</v>
      </c>
      <c r="F23433" t="s">
        <v>3750</v>
      </c>
      <c r="G23433" t="s">
        <v>47091</v>
      </c>
      <c r="H23433" t="s">
        <v>47054</v>
      </c>
      <c r="I23433" t="s">
        <v>47154</v>
      </c>
      <c r="J23433" t="s">
        <v>47155</v>
      </c>
      <c r="K23433" t="s">
        <v>47113</v>
      </c>
      <c r="L23433">
        <v>7.05</v>
      </c>
      <c r="M23433">
        <v>29</v>
      </c>
      <c r="N23433">
        <v>79</v>
      </c>
      <c r="O23433">
        <v>29</v>
      </c>
      <c r="P23433">
        <v>79</v>
      </c>
    </row>
    <row r="23434" spans="1:16" x14ac:dyDescent="0.25">
      <c r="A23434" t="s">
        <v>46138</v>
      </c>
      <c r="B23434" t="s">
        <v>46139</v>
      </c>
      <c r="C23434" t="s">
        <v>46140</v>
      </c>
      <c r="D23434" t="str">
        <f>"1700"</f>
        <v>1700</v>
      </c>
      <c r="E23434" t="s">
        <v>60</v>
      </c>
      <c r="F23434" t="s">
        <v>24622</v>
      </c>
      <c r="G23434" t="s">
        <v>47091</v>
      </c>
      <c r="H23434" t="s">
        <v>47054</v>
      </c>
      <c r="I23434" t="s">
        <v>47154</v>
      </c>
      <c r="J23434" t="s">
        <v>47155</v>
      </c>
      <c r="K23434" t="s">
        <v>47113</v>
      </c>
      <c r="L23434">
        <v>7.07</v>
      </c>
      <c r="M23434">
        <v>29</v>
      </c>
      <c r="N23434">
        <v>79</v>
      </c>
      <c r="O23434">
        <v>29</v>
      </c>
      <c r="P23434">
        <v>79</v>
      </c>
    </row>
    <row r="23435" spans="1:16" x14ac:dyDescent="0.25">
      <c r="A23435" t="s">
        <v>46141</v>
      </c>
      <c r="B23435" t="s">
        <v>46139</v>
      </c>
      <c r="C23435" t="s">
        <v>46140</v>
      </c>
      <c r="D23435" t="str">
        <f>"4100"</f>
        <v>4100</v>
      </c>
      <c r="E23435" t="s">
        <v>17644</v>
      </c>
      <c r="F23435" t="s">
        <v>24622</v>
      </c>
      <c r="G23435" t="s">
        <v>47091</v>
      </c>
      <c r="H23435" t="s">
        <v>47054</v>
      </c>
      <c r="I23435" t="s">
        <v>47154</v>
      </c>
      <c r="J23435" t="s">
        <v>47155</v>
      </c>
      <c r="K23435" t="s">
        <v>47113</v>
      </c>
      <c r="L23435">
        <v>7.07</v>
      </c>
      <c r="M23435">
        <v>29</v>
      </c>
      <c r="N23435">
        <v>79</v>
      </c>
      <c r="O23435">
        <v>29</v>
      </c>
      <c r="P23435">
        <v>79</v>
      </c>
    </row>
    <row r="23436" spans="1:16" x14ac:dyDescent="0.25">
      <c r="A23436" t="s">
        <v>46142</v>
      </c>
      <c r="B23436" t="s">
        <v>46143</v>
      </c>
      <c r="C23436" t="s">
        <v>46144</v>
      </c>
      <c r="D23436" t="str">
        <f>"6000"</f>
        <v>6000</v>
      </c>
      <c r="E23436" t="s">
        <v>6279</v>
      </c>
      <c r="F23436" t="s">
        <v>24622</v>
      </c>
      <c r="G23436" t="s">
        <v>47091</v>
      </c>
      <c r="H23436" t="s">
        <v>47054</v>
      </c>
      <c r="I23436" t="s">
        <v>47154</v>
      </c>
      <c r="J23436" t="s">
        <v>47155</v>
      </c>
      <c r="K23436" t="s">
        <v>47113</v>
      </c>
      <c r="L23436">
        <v>8.43</v>
      </c>
      <c r="M23436">
        <v>37</v>
      </c>
      <c r="N23436">
        <v>99</v>
      </c>
      <c r="O23436">
        <v>37</v>
      </c>
      <c r="P23436">
        <v>99</v>
      </c>
    </row>
    <row r="23437" spans="1:16" x14ac:dyDescent="0.25">
      <c r="A23437" t="s">
        <v>46145</v>
      </c>
      <c r="B23437" t="s">
        <v>46146</v>
      </c>
      <c r="C23437" t="s">
        <v>46147</v>
      </c>
      <c r="D23437" t="str">
        <f>"1501"</f>
        <v>1501</v>
      </c>
      <c r="E23437" t="s">
        <v>46</v>
      </c>
      <c r="F23437" t="s">
        <v>3750</v>
      </c>
      <c r="G23437" t="s">
        <v>47091</v>
      </c>
      <c r="H23437" t="s">
        <v>47054</v>
      </c>
      <c r="I23437" t="s">
        <v>47154</v>
      </c>
      <c r="J23437" t="s">
        <v>47155</v>
      </c>
      <c r="K23437" t="s">
        <v>47113</v>
      </c>
      <c r="L23437">
        <v>8.82</v>
      </c>
      <c r="M23437">
        <v>37</v>
      </c>
      <c r="N23437">
        <v>99</v>
      </c>
      <c r="O23437">
        <v>37</v>
      </c>
      <c r="P23437">
        <v>99</v>
      </c>
    </row>
    <row r="23438" spans="1:16" x14ac:dyDescent="0.25">
      <c r="A23438" t="s">
        <v>46148</v>
      </c>
      <c r="B23438" t="s">
        <v>46146</v>
      </c>
      <c r="C23438" t="s">
        <v>46147</v>
      </c>
      <c r="D23438" t="str">
        <f>"6132"</f>
        <v>6132</v>
      </c>
      <c r="E23438" t="s">
        <v>9411</v>
      </c>
      <c r="F23438" t="s">
        <v>3750</v>
      </c>
      <c r="G23438" t="s">
        <v>47091</v>
      </c>
      <c r="H23438" t="s">
        <v>47054</v>
      </c>
      <c r="I23438" t="s">
        <v>47154</v>
      </c>
      <c r="J23438" t="s">
        <v>47155</v>
      </c>
      <c r="K23438" t="s">
        <v>47113</v>
      </c>
      <c r="L23438">
        <v>8.82</v>
      </c>
      <c r="M23438">
        <v>37</v>
      </c>
      <c r="N23438">
        <v>99</v>
      </c>
      <c r="O23438">
        <v>37</v>
      </c>
      <c r="P23438">
        <v>99</v>
      </c>
    </row>
    <row r="23439" spans="1:16" x14ac:dyDescent="0.25">
      <c r="A23439" t="s">
        <v>46149</v>
      </c>
      <c r="B23439" t="s">
        <v>46150</v>
      </c>
      <c r="C23439" t="s">
        <v>46151</v>
      </c>
      <c r="D23439" t="str">
        <f>"1001"</f>
        <v>1001</v>
      </c>
      <c r="E23439" t="s">
        <v>42</v>
      </c>
      <c r="F23439" t="s">
        <v>20496</v>
      </c>
      <c r="G23439" t="s">
        <v>47091</v>
      </c>
      <c r="H23439" t="s">
        <v>47054</v>
      </c>
      <c r="I23439" t="s">
        <v>47154</v>
      </c>
      <c r="J23439" t="s">
        <v>47155</v>
      </c>
      <c r="K23439" t="s">
        <v>47113</v>
      </c>
      <c r="L23439">
        <v>6.25</v>
      </c>
      <c r="M23439">
        <v>29</v>
      </c>
      <c r="N23439">
        <v>79</v>
      </c>
      <c r="O23439">
        <v>29</v>
      </c>
      <c r="P23439">
        <v>79</v>
      </c>
    </row>
    <row r="23440" spans="1:16" x14ac:dyDescent="0.25">
      <c r="A23440" t="s">
        <v>49948</v>
      </c>
      <c r="B23440" t="s">
        <v>49949</v>
      </c>
      <c r="C23440" t="s">
        <v>49950</v>
      </c>
      <c r="D23440" t="str">
        <f>"1001"</f>
        <v>1001</v>
      </c>
      <c r="E23440" t="s">
        <v>42</v>
      </c>
      <c r="F23440" t="s">
        <v>31484</v>
      </c>
      <c r="G23440" t="s">
        <v>47091</v>
      </c>
      <c r="H23440" t="s">
        <v>47054</v>
      </c>
      <c r="I23440" t="s">
        <v>47154</v>
      </c>
      <c r="J23440" t="s">
        <v>47155</v>
      </c>
      <c r="K23440" t="s">
        <v>47113</v>
      </c>
      <c r="L23440">
        <v>8.3000000000000007</v>
      </c>
      <c r="M23440">
        <v>37</v>
      </c>
      <c r="N23440">
        <v>99</v>
      </c>
      <c r="O23440">
        <v>37</v>
      </c>
      <c r="P23440">
        <v>99</v>
      </c>
    </row>
    <row r="23441" spans="1:16" x14ac:dyDescent="0.25">
      <c r="A23441" t="s">
        <v>49951</v>
      </c>
      <c r="B23441" t="s">
        <v>49949</v>
      </c>
      <c r="C23441" t="s">
        <v>49950</v>
      </c>
      <c r="D23441" t="str">
        <f>"1700"</f>
        <v>1700</v>
      </c>
      <c r="E23441" t="s">
        <v>60</v>
      </c>
      <c r="F23441" t="s">
        <v>31484</v>
      </c>
      <c r="G23441" t="s">
        <v>47091</v>
      </c>
      <c r="H23441" t="s">
        <v>47054</v>
      </c>
      <c r="I23441" t="s">
        <v>47154</v>
      </c>
      <c r="J23441" t="s">
        <v>47155</v>
      </c>
      <c r="K23441" t="s">
        <v>47113</v>
      </c>
      <c r="L23441">
        <v>8.3000000000000007</v>
      </c>
      <c r="M23441">
        <v>37</v>
      </c>
      <c r="N23441">
        <v>99</v>
      </c>
      <c r="O23441">
        <v>37</v>
      </c>
      <c r="P23441">
        <v>99</v>
      </c>
    </row>
    <row r="23442" spans="1:16" x14ac:dyDescent="0.25">
      <c r="A23442" t="s">
        <v>49952</v>
      </c>
      <c r="B23442" t="s">
        <v>49953</v>
      </c>
      <c r="C23442" t="s">
        <v>49954</v>
      </c>
      <c r="D23442" t="str">
        <f>"1001"</f>
        <v>1001</v>
      </c>
      <c r="E23442" t="s">
        <v>42</v>
      </c>
      <c r="F23442" t="s">
        <v>47163</v>
      </c>
      <c r="G23442" t="s">
        <v>47091</v>
      </c>
      <c r="H23442" t="s">
        <v>47054</v>
      </c>
      <c r="I23442" t="s">
        <v>47154</v>
      </c>
      <c r="J23442" t="s">
        <v>47155</v>
      </c>
      <c r="K23442" t="s">
        <v>47113</v>
      </c>
      <c r="L23442">
        <v>9</v>
      </c>
      <c r="M23442">
        <v>37</v>
      </c>
      <c r="N23442">
        <v>99</v>
      </c>
      <c r="O23442">
        <v>37</v>
      </c>
      <c r="P23442">
        <v>99</v>
      </c>
    </row>
    <row r="23443" spans="1:16" x14ac:dyDescent="0.25">
      <c r="A23443" t="s">
        <v>49955</v>
      </c>
      <c r="B23443" t="s">
        <v>49956</v>
      </c>
      <c r="C23443" t="s">
        <v>49957</v>
      </c>
      <c r="D23443" t="str">
        <f>"1700"</f>
        <v>1700</v>
      </c>
      <c r="E23443" t="s">
        <v>60</v>
      </c>
      <c r="F23443" t="s">
        <v>47163</v>
      </c>
      <c r="G23443" t="s">
        <v>47091</v>
      </c>
      <c r="H23443" t="s">
        <v>47054</v>
      </c>
      <c r="I23443" t="s">
        <v>47154</v>
      </c>
      <c r="J23443" t="s">
        <v>47155</v>
      </c>
      <c r="K23443" t="s">
        <v>47113</v>
      </c>
      <c r="L23443">
        <v>9</v>
      </c>
      <c r="M23443">
        <v>37</v>
      </c>
      <c r="N23443">
        <v>99</v>
      </c>
      <c r="O23443">
        <v>37</v>
      </c>
      <c r="P23443">
        <v>99</v>
      </c>
    </row>
    <row r="23444" spans="1:16" x14ac:dyDescent="0.25">
      <c r="A23444" t="s">
        <v>49958</v>
      </c>
      <c r="B23444" t="s">
        <v>49959</v>
      </c>
      <c r="C23444" t="s">
        <v>49960</v>
      </c>
      <c r="D23444" t="str">
        <f>"4100"</f>
        <v>4100</v>
      </c>
      <c r="E23444" t="s">
        <v>17644</v>
      </c>
      <c r="F23444" t="s">
        <v>47185</v>
      </c>
      <c r="G23444" t="s">
        <v>47091</v>
      </c>
      <c r="H23444" t="s">
        <v>47054</v>
      </c>
      <c r="I23444" t="s">
        <v>47154</v>
      </c>
      <c r="J23444" t="s">
        <v>47155</v>
      </c>
      <c r="K23444" t="s">
        <v>47113</v>
      </c>
      <c r="L23444">
        <v>8</v>
      </c>
      <c r="M23444">
        <v>37</v>
      </c>
      <c r="N23444">
        <v>99</v>
      </c>
      <c r="O23444">
        <v>37</v>
      </c>
      <c r="P23444">
        <v>99</v>
      </c>
    </row>
    <row r="23445" spans="1:16" x14ac:dyDescent="0.25">
      <c r="A23445" t="s">
        <v>49961</v>
      </c>
      <c r="B23445" t="s">
        <v>49959</v>
      </c>
      <c r="C23445" t="s">
        <v>49960</v>
      </c>
      <c r="D23445" t="str">
        <f>"8302"</f>
        <v>8302</v>
      </c>
      <c r="E23445" t="s">
        <v>49962</v>
      </c>
      <c r="F23445" t="s">
        <v>47185</v>
      </c>
      <c r="G23445" t="s">
        <v>47091</v>
      </c>
      <c r="H23445" t="s">
        <v>47054</v>
      </c>
      <c r="I23445" t="s">
        <v>47154</v>
      </c>
      <c r="J23445" t="s">
        <v>47155</v>
      </c>
      <c r="K23445" t="s">
        <v>47113</v>
      </c>
      <c r="L23445">
        <v>8</v>
      </c>
      <c r="M23445">
        <v>37</v>
      </c>
      <c r="N23445">
        <v>99</v>
      </c>
      <c r="O23445">
        <v>37</v>
      </c>
      <c r="P23445">
        <v>99</v>
      </c>
    </row>
    <row r="23446" spans="1:16" x14ac:dyDescent="0.25">
      <c r="A23446" t="s">
        <v>49963</v>
      </c>
      <c r="B23446" t="s">
        <v>49964</v>
      </c>
      <c r="C23446" t="s">
        <v>49965</v>
      </c>
      <c r="D23446" t="str">
        <f>"1700"</f>
        <v>1700</v>
      </c>
      <c r="E23446" t="s">
        <v>60</v>
      </c>
      <c r="F23446" t="s">
        <v>47488</v>
      </c>
      <c r="G23446" t="s">
        <v>47091</v>
      </c>
      <c r="H23446" t="s">
        <v>47054</v>
      </c>
      <c r="I23446" t="s">
        <v>47154</v>
      </c>
      <c r="J23446" t="s">
        <v>47155</v>
      </c>
      <c r="K23446" t="s">
        <v>47113</v>
      </c>
      <c r="L23446">
        <v>8.2100000000000009</v>
      </c>
      <c r="M23446">
        <v>29</v>
      </c>
      <c r="N23446">
        <v>79</v>
      </c>
      <c r="O23446">
        <v>29</v>
      </c>
      <c r="P23446">
        <v>79</v>
      </c>
    </row>
    <row r="23447" spans="1:16" x14ac:dyDescent="0.25">
      <c r="A23447" t="s">
        <v>49966</v>
      </c>
      <c r="B23447" t="s">
        <v>49964</v>
      </c>
      <c r="C23447" t="s">
        <v>49965</v>
      </c>
      <c r="D23447" t="str">
        <f>"4100"</f>
        <v>4100</v>
      </c>
      <c r="E23447" t="s">
        <v>17644</v>
      </c>
      <c r="F23447" t="s">
        <v>47488</v>
      </c>
      <c r="G23447" t="s">
        <v>47091</v>
      </c>
      <c r="H23447" t="s">
        <v>47054</v>
      </c>
      <c r="I23447" t="s">
        <v>47154</v>
      </c>
      <c r="J23447" t="s">
        <v>47155</v>
      </c>
      <c r="K23447" t="s">
        <v>47113</v>
      </c>
      <c r="L23447">
        <v>8.2100000000000009</v>
      </c>
      <c r="M23447">
        <v>29</v>
      </c>
      <c r="N23447">
        <v>79</v>
      </c>
      <c r="O23447">
        <v>29</v>
      </c>
      <c r="P23447">
        <v>79</v>
      </c>
    </row>
    <row r="23448" spans="1:16" x14ac:dyDescent="0.25">
      <c r="A23448" t="s">
        <v>46152</v>
      </c>
      <c r="B23448" t="s">
        <v>22480</v>
      </c>
      <c r="C23448" t="s">
        <v>22481</v>
      </c>
      <c r="D23448" t="str">
        <f>"1001"</f>
        <v>1001</v>
      </c>
      <c r="E23448" t="s">
        <v>42</v>
      </c>
      <c r="F23448" t="s">
        <v>3750</v>
      </c>
      <c r="G23448" t="s">
        <v>47091</v>
      </c>
      <c r="H23448" t="s">
        <v>47054</v>
      </c>
      <c r="I23448" t="s">
        <v>47154</v>
      </c>
      <c r="J23448" t="s">
        <v>47155</v>
      </c>
      <c r="K23448" t="s">
        <v>47113</v>
      </c>
      <c r="L23448">
        <v>6.77</v>
      </c>
      <c r="M23448">
        <v>12</v>
      </c>
      <c r="N23448">
        <v>0</v>
      </c>
      <c r="O23448">
        <v>12</v>
      </c>
      <c r="P23448">
        <v>0</v>
      </c>
    </row>
    <row r="23449" spans="1:16" x14ac:dyDescent="0.25">
      <c r="A23449" t="s">
        <v>46153</v>
      </c>
      <c r="B23449" t="s">
        <v>22480</v>
      </c>
      <c r="C23449" t="s">
        <v>22481</v>
      </c>
      <c r="D23449" t="str">
        <f>"1700"</f>
        <v>1700</v>
      </c>
      <c r="E23449" t="s">
        <v>60</v>
      </c>
      <c r="F23449" t="s">
        <v>3750</v>
      </c>
      <c r="G23449" t="s">
        <v>47091</v>
      </c>
      <c r="H23449" t="s">
        <v>47054</v>
      </c>
      <c r="I23449" t="s">
        <v>47154</v>
      </c>
      <c r="J23449" t="s">
        <v>47155</v>
      </c>
      <c r="K23449" t="s">
        <v>47113</v>
      </c>
      <c r="L23449">
        <v>6.77</v>
      </c>
      <c r="M23449">
        <v>12</v>
      </c>
      <c r="N23449">
        <v>0</v>
      </c>
      <c r="O23449">
        <v>12</v>
      </c>
      <c r="P23449">
        <v>0</v>
      </c>
    </row>
    <row r="23450" spans="1:16" x14ac:dyDescent="0.25">
      <c r="A23450" t="s">
        <v>46154</v>
      </c>
      <c r="B23450" t="s">
        <v>46155</v>
      </c>
      <c r="C23450" t="s">
        <v>46156</v>
      </c>
      <c r="D23450" t="str">
        <f>"1001"</f>
        <v>1001</v>
      </c>
      <c r="E23450" t="s">
        <v>42</v>
      </c>
      <c r="F23450" t="s">
        <v>3750</v>
      </c>
      <c r="G23450" t="s">
        <v>47091</v>
      </c>
      <c r="H23450" t="s">
        <v>47054</v>
      </c>
      <c r="I23450" t="s">
        <v>47154</v>
      </c>
      <c r="J23450" t="s">
        <v>47155</v>
      </c>
      <c r="K23450" t="s">
        <v>47113</v>
      </c>
      <c r="L23450">
        <v>10.31</v>
      </c>
      <c r="M23450">
        <v>34</v>
      </c>
      <c r="N23450">
        <v>0</v>
      </c>
      <c r="O23450">
        <v>34</v>
      </c>
      <c r="P23450">
        <v>0</v>
      </c>
    </row>
    <row r="23451" spans="1:16" x14ac:dyDescent="0.25">
      <c r="A23451" t="s">
        <v>46157</v>
      </c>
      <c r="B23451" t="s">
        <v>46155</v>
      </c>
      <c r="C23451" t="s">
        <v>46156</v>
      </c>
      <c r="D23451" t="str">
        <f>"1700"</f>
        <v>1700</v>
      </c>
      <c r="E23451" t="s">
        <v>60</v>
      </c>
      <c r="F23451" t="s">
        <v>3750</v>
      </c>
      <c r="G23451" t="s">
        <v>47091</v>
      </c>
      <c r="H23451" t="s">
        <v>47054</v>
      </c>
      <c r="I23451" t="s">
        <v>47154</v>
      </c>
      <c r="J23451" t="s">
        <v>47155</v>
      </c>
      <c r="K23451" t="s">
        <v>47113</v>
      </c>
      <c r="L23451">
        <v>10.31</v>
      </c>
      <c r="M23451">
        <v>34</v>
      </c>
      <c r="N23451">
        <v>0</v>
      </c>
      <c r="O23451">
        <v>34</v>
      </c>
      <c r="P23451">
        <v>0</v>
      </c>
    </row>
    <row r="23452" spans="1:16" x14ac:dyDescent="0.25">
      <c r="A23452" t="s">
        <v>46158</v>
      </c>
      <c r="B23452" t="s">
        <v>46159</v>
      </c>
      <c r="C23452" t="s">
        <v>46160</v>
      </c>
      <c r="D23452" t="str">
        <f>"1700"</f>
        <v>1700</v>
      </c>
      <c r="E23452" t="s">
        <v>60</v>
      </c>
      <c r="F23452" t="s">
        <v>3750</v>
      </c>
      <c r="G23452" t="s">
        <v>47091</v>
      </c>
      <c r="H23452" t="s">
        <v>47054</v>
      </c>
      <c r="I23452" t="s">
        <v>47154</v>
      </c>
      <c r="J23452" t="s">
        <v>47155</v>
      </c>
      <c r="K23452" t="s">
        <v>47113</v>
      </c>
      <c r="L23452">
        <v>8.82</v>
      </c>
      <c r="M23452">
        <v>37</v>
      </c>
      <c r="N23452">
        <v>99</v>
      </c>
      <c r="O23452">
        <v>37</v>
      </c>
      <c r="P23452">
        <v>99</v>
      </c>
    </row>
    <row r="23453" spans="1:16" x14ac:dyDescent="0.25">
      <c r="A23453" t="s">
        <v>46161</v>
      </c>
      <c r="B23453" t="s">
        <v>46159</v>
      </c>
      <c r="C23453" t="s">
        <v>46160</v>
      </c>
      <c r="D23453" t="str">
        <f>"3071"</f>
        <v>3071</v>
      </c>
      <c r="E23453" t="s">
        <v>4767</v>
      </c>
      <c r="F23453" t="s">
        <v>3750</v>
      </c>
      <c r="G23453" t="s">
        <v>47091</v>
      </c>
      <c r="H23453" t="s">
        <v>47054</v>
      </c>
      <c r="I23453" t="s">
        <v>47154</v>
      </c>
      <c r="J23453" t="s">
        <v>47155</v>
      </c>
      <c r="K23453" t="s">
        <v>47113</v>
      </c>
      <c r="L23453">
        <v>8.82</v>
      </c>
      <c r="M23453">
        <v>37</v>
      </c>
      <c r="N23453">
        <v>99</v>
      </c>
      <c r="O23453">
        <v>37</v>
      </c>
      <c r="P23453">
        <v>99</v>
      </c>
    </row>
    <row r="23454" spans="1:16" x14ac:dyDescent="0.25">
      <c r="A23454" t="s">
        <v>46162</v>
      </c>
      <c r="B23454" t="s">
        <v>46159</v>
      </c>
      <c r="C23454" t="s">
        <v>46160</v>
      </c>
      <c r="D23454" t="str">
        <f>"4100"</f>
        <v>4100</v>
      </c>
      <c r="E23454" t="s">
        <v>2383</v>
      </c>
      <c r="F23454" t="s">
        <v>3750</v>
      </c>
      <c r="G23454" t="s">
        <v>47091</v>
      </c>
      <c r="H23454" t="s">
        <v>47054</v>
      </c>
      <c r="I23454" t="s">
        <v>47154</v>
      </c>
      <c r="J23454" t="s">
        <v>47155</v>
      </c>
      <c r="K23454" t="s">
        <v>47113</v>
      </c>
      <c r="L23454">
        <v>8.82</v>
      </c>
      <c r="M23454">
        <v>37</v>
      </c>
      <c r="N23454">
        <v>99</v>
      </c>
      <c r="O23454">
        <v>37</v>
      </c>
      <c r="P23454">
        <v>99</v>
      </c>
    </row>
    <row r="23455" spans="1:16" x14ac:dyDescent="0.25">
      <c r="A23455" t="s">
        <v>46163</v>
      </c>
      <c r="B23455" t="s">
        <v>46164</v>
      </c>
      <c r="C23455" t="s">
        <v>46165</v>
      </c>
      <c r="D23455" t="str">
        <f>"1001"</f>
        <v>1001</v>
      </c>
      <c r="E23455" t="s">
        <v>42</v>
      </c>
      <c r="F23455" t="s">
        <v>20496</v>
      </c>
      <c r="G23455" t="s">
        <v>47091</v>
      </c>
      <c r="H23455" t="s">
        <v>47054</v>
      </c>
      <c r="I23455" t="s">
        <v>47154</v>
      </c>
      <c r="J23455" t="s">
        <v>47155</v>
      </c>
      <c r="K23455" t="s">
        <v>47113</v>
      </c>
      <c r="L23455">
        <v>6.83</v>
      </c>
      <c r="M23455">
        <v>29</v>
      </c>
      <c r="N23455">
        <v>79</v>
      </c>
      <c r="O23455">
        <v>29</v>
      </c>
      <c r="P23455">
        <v>79</v>
      </c>
    </row>
    <row r="23456" spans="1:16" x14ac:dyDescent="0.25">
      <c r="A23456" t="s">
        <v>46166</v>
      </c>
      <c r="B23456" t="s">
        <v>22482</v>
      </c>
      <c r="C23456" t="s">
        <v>22483</v>
      </c>
      <c r="D23456" t="str">
        <f>"1001"</f>
        <v>1001</v>
      </c>
      <c r="E23456" t="s">
        <v>42</v>
      </c>
      <c r="F23456" t="s">
        <v>20496</v>
      </c>
      <c r="G23456" t="s">
        <v>47091</v>
      </c>
      <c r="H23456" t="s">
        <v>47054</v>
      </c>
      <c r="I23456" t="s">
        <v>47154</v>
      </c>
      <c r="J23456" t="s">
        <v>47155</v>
      </c>
      <c r="K23456" t="s">
        <v>47113</v>
      </c>
      <c r="L23456">
        <v>8.43</v>
      </c>
      <c r="M23456">
        <v>29</v>
      </c>
      <c r="N23456">
        <v>79</v>
      </c>
      <c r="O23456">
        <v>29</v>
      </c>
      <c r="P23456">
        <v>79</v>
      </c>
    </row>
    <row r="23457" spans="1:16" x14ac:dyDescent="0.25">
      <c r="A23457" t="s">
        <v>46167</v>
      </c>
      <c r="B23457" t="s">
        <v>22482</v>
      </c>
      <c r="C23457" t="s">
        <v>22483</v>
      </c>
      <c r="D23457" t="str">
        <f>"1700"</f>
        <v>1700</v>
      </c>
      <c r="E23457" t="s">
        <v>60</v>
      </c>
      <c r="F23457" t="s">
        <v>20496</v>
      </c>
      <c r="G23457" t="s">
        <v>47091</v>
      </c>
      <c r="H23457" t="s">
        <v>47054</v>
      </c>
      <c r="I23457" t="s">
        <v>47154</v>
      </c>
      <c r="J23457" t="s">
        <v>47155</v>
      </c>
      <c r="K23457" t="s">
        <v>47113</v>
      </c>
      <c r="L23457">
        <v>8.43</v>
      </c>
      <c r="M23457">
        <v>29</v>
      </c>
      <c r="N23457">
        <v>79</v>
      </c>
      <c r="O23457">
        <v>29</v>
      </c>
      <c r="P23457">
        <v>79</v>
      </c>
    </row>
    <row r="23458" spans="1:16" x14ac:dyDescent="0.25">
      <c r="A23458" t="s">
        <v>49967</v>
      </c>
      <c r="B23458" t="s">
        <v>22482</v>
      </c>
      <c r="C23458" t="s">
        <v>22483</v>
      </c>
      <c r="D23458" t="str">
        <f>"4531"</f>
        <v>4531</v>
      </c>
      <c r="E23458" t="s">
        <v>49968</v>
      </c>
      <c r="F23458" t="s">
        <v>31484</v>
      </c>
      <c r="G23458" t="s">
        <v>47091</v>
      </c>
      <c r="H23458" t="s">
        <v>47054</v>
      </c>
      <c r="I23458" t="s">
        <v>47154</v>
      </c>
      <c r="J23458" t="s">
        <v>47155</v>
      </c>
      <c r="K23458" t="s">
        <v>47113</v>
      </c>
      <c r="L23458">
        <v>8.6999999999999993</v>
      </c>
      <c r="M23458">
        <v>37</v>
      </c>
      <c r="N23458">
        <v>99</v>
      </c>
      <c r="O23458">
        <v>37</v>
      </c>
      <c r="P23458">
        <v>99</v>
      </c>
    </row>
    <row r="23459" spans="1:16" x14ac:dyDescent="0.25">
      <c r="A23459" t="s">
        <v>46168</v>
      </c>
      <c r="B23459" t="s">
        <v>22482</v>
      </c>
      <c r="C23459" t="s">
        <v>22483</v>
      </c>
      <c r="D23459" t="str">
        <f>"5000"</f>
        <v>5000</v>
      </c>
      <c r="E23459" t="s">
        <v>45410</v>
      </c>
      <c r="F23459" t="s">
        <v>20496</v>
      </c>
      <c r="G23459" t="s">
        <v>47091</v>
      </c>
      <c r="H23459" t="s">
        <v>47054</v>
      </c>
      <c r="I23459" t="s">
        <v>47154</v>
      </c>
      <c r="J23459" t="s">
        <v>47155</v>
      </c>
      <c r="K23459" t="s">
        <v>47113</v>
      </c>
      <c r="L23459">
        <v>8.43</v>
      </c>
      <c r="M23459">
        <v>37</v>
      </c>
      <c r="N23459">
        <v>99</v>
      </c>
      <c r="O23459">
        <v>37</v>
      </c>
      <c r="P23459">
        <v>99</v>
      </c>
    </row>
    <row r="23460" spans="1:16" x14ac:dyDescent="0.25">
      <c r="A23460" t="s">
        <v>46169</v>
      </c>
      <c r="B23460" t="s">
        <v>22482</v>
      </c>
      <c r="C23460" t="s">
        <v>22483</v>
      </c>
      <c r="D23460" t="str">
        <f>"6000"</f>
        <v>6000</v>
      </c>
      <c r="E23460" t="s">
        <v>6279</v>
      </c>
      <c r="F23460" t="s">
        <v>24622</v>
      </c>
      <c r="G23460" t="s">
        <v>47091</v>
      </c>
      <c r="H23460" t="s">
        <v>47054</v>
      </c>
      <c r="I23460" t="s">
        <v>47154</v>
      </c>
      <c r="J23460" t="s">
        <v>47155</v>
      </c>
      <c r="K23460" t="s">
        <v>47113</v>
      </c>
      <c r="L23460">
        <v>8.43</v>
      </c>
      <c r="M23460">
        <v>37</v>
      </c>
      <c r="N23460">
        <v>99</v>
      </c>
      <c r="O23460">
        <v>37</v>
      </c>
      <c r="P23460">
        <v>99</v>
      </c>
    </row>
    <row r="23461" spans="1:16" x14ac:dyDescent="0.25">
      <c r="A23461" t="s">
        <v>49969</v>
      </c>
      <c r="B23461" t="s">
        <v>22482</v>
      </c>
      <c r="C23461" t="s">
        <v>22483</v>
      </c>
      <c r="D23461" t="str">
        <f>"6003"</f>
        <v>6003</v>
      </c>
      <c r="E23461" t="s">
        <v>9711</v>
      </c>
      <c r="F23461" t="s">
        <v>47488</v>
      </c>
      <c r="G23461" t="s">
        <v>47091</v>
      </c>
      <c r="H23461" t="s">
        <v>47054</v>
      </c>
      <c r="I23461" t="s">
        <v>47154</v>
      </c>
      <c r="J23461" t="s">
        <v>47155</v>
      </c>
      <c r="K23461" t="s">
        <v>47113</v>
      </c>
      <c r="L23461">
        <v>8.51</v>
      </c>
      <c r="M23461">
        <v>29</v>
      </c>
      <c r="N23461">
        <v>79</v>
      </c>
      <c r="O23461">
        <v>29</v>
      </c>
      <c r="P23461">
        <v>79</v>
      </c>
    </row>
    <row r="23462" spans="1:16" x14ac:dyDescent="0.25">
      <c r="A23462" t="s">
        <v>49970</v>
      </c>
      <c r="B23462" t="s">
        <v>22482</v>
      </c>
      <c r="C23462" t="s">
        <v>22483</v>
      </c>
      <c r="D23462" t="str">
        <f>"6500"</f>
        <v>6500</v>
      </c>
      <c r="E23462" t="s">
        <v>42735</v>
      </c>
      <c r="F23462" t="s">
        <v>31484</v>
      </c>
      <c r="G23462" t="s">
        <v>47091</v>
      </c>
      <c r="H23462" t="s">
        <v>47054</v>
      </c>
      <c r="I23462" t="s">
        <v>47154</v>
      </c>
      <c r="J23462" t="s">
        <v>47155</v>
      </c>
      <c r="K23462" t="s">
        <v>47113</v>
      </c>
      <c r="L23462">
        <v>8.6999999999999993</v>
      </c>
      <c r="M23462">
        <v>29</v>
      </c>
      <c r="N23462">
        <v>79</v>
      </c>
      <c r="O23462">
        <v>29</v>
      </c>
      <c r="P23462">
        <v>79</v>
      </c>
    </row>
    <row r="23463" spans="1:16" x14ac:dyDescent="0.25">
      <c r="A23463" t="s">
        <v>46170</v>
      </c>
      <c r="B23463" t="s">
        <v>22482</v>
      </c>
      <c r="C23463" t="s">
        <v>22483</v>
      </c>
      <c r="D23463" t="str">
        <f>"7000"</f>
        <v>7000</v>
      </c>
      <c r="E23463" t="s">
        <v>46171</v>
      </c>
      <c r="F23463" t="s">
        <v>24617</v>
      </c>
      <c r="G23463" t="s">
        <v>47091</v>
      </c>
      <c r="H23463" t="s">
        <v>47054</v>
      </c>
      <c r="I23463" t="s">
        <v>47154</v>
      </c>
      <c r="J23463" t="s">
        <v>47155</v>
      </c>
      <c r="K23463" t="s">
        <v>47113</v>
      </c>
      <c r="L23463">
        <v>8.5299999999999994</v>
      </c>
      <c r="M23463">
        <v>37</v>
      </c>
      <c r="N23463">
        <v>99</v>
      </c>
      <c r="O23463">
        <v>37</v>
      </c>
      <c r="P23463">
        <v>99</v>
      </c>
    </row>
    <row r="23464" spans="1:16" x14ac:dyDescent="0.25">
      <c r="A23464" t="s">
        <v>46172</v>
      </c>
      <c r="B23464" t="s">
        <v>22484</v>
      </c>
      <c r="C23464" t="s">
        <v>22485</v>
      </c>
      <c r="D23464" t="str">
        <f>"1100"</f>
        <v>1100</v>
      </c>
      <c r="E23464" t="s">
        <v>54</v>
      </c>
      <c r="F23464" t="s">
        <v>3750</v>
      </c>
      <c r="G23464" t="s">
        <v>47091</v>
      </c>
      <c r="H23464" t="s">
        <v>47054</v>
      </c>
      <c r="I23464" t="s">
        <v>49946</v>
      </c>
      <c r="J23464" t="s">
        <v>49947</v>
      </c>
      <c r="K23464" t="s">
        <v>47113</v>
      </c>
      <c r="L23464">
        <v>9.44</v>
      </c>
      <c r="M23464">
        <v>15</v>
      </c>
      <c r="N23464">
        <v>0</v>
      </c>
      <c r="O23464">
        <v>15</v>
      </c>
      <c r="P23464">
        <v>0</v>
      </c>
    </row>
    <row r="23465" spans="1:16" x14ac:dyDescent="0.25">
      <c r="A23465" t="s">
        <v>46173</v>
      </c>
      <c r="B23465" t="s">
        <v>22484</v>
      </c>
      <c r="C23465" t="s">
        <v>22485</v>
      </c>
      <c r="D23465" t="str">
        <f>"6000"</f>
        <v>6000</v>
      </c>
      <c r="E23465" t="s">
        <v>17920</v>
      </c>
      <c r="F23465" t="s">
        <v>3750</v>
      </c>
      <c r="G23465" t="s">
        <v>47091</v>
      </c>
      <c r="H23465" t="s">
        <v>47054</v>
      </c>
      <c r="I23465" t="s">
        <v>49946</v>
      </c>
      <c r="J23465" t="s">
        <v>49947</v>
      </c>
      <c r="K23465" t="s">
        <v>47113</v>
      </c>
      <c r="L23465">
        <v>9.44</v>
      </c>
      <c r="M23465">
        <v>15</v>
      </c>
      <c r="N23465">
        <v>0</v>
      </c>
      <c r="O23465">
        <v>15</v>
      </c>
      <c r="P23465">
        <v>0</v>
      </c>
    </row>
    <row r="23466" spans="1:16" x14ac:dyDescent="0.25">
      <c r="A23466" t="s">
        <v>46174</v>
      </c>
      <c r="B23466" t="s">
        <v>22486</v>
      </c>
      <c r="C23466" t="s">
        <v>22487</v>
      </c>
      <c r="D23466" t="s">
        <v>22488</v>
      </c>
      <c r="E23466" t="s">
        <v>22489</v>
      </c>
      <c r="F23466" t="s">
        <v>3750</v>
      </c>
      <c r="G23466" t="s">
        <v>49029</v>
      </c>
      <c r="H23466" t="s">
        <v>47054</v>
      </c>
      <c r="I23466" t="s">
        <v>47116</v>
      </c>
      <c r="J23466" t="s">
        <v>47117</v>
      </c>
      <c r="K23466" t="s">
        <v>47113</v>
      </c>
      <c r="L23466">
        <v>15.53</v>
      </c>
      <c r="M23466">
        <v>80</v>
      </c>
      <c r="N23466">
        <v>0</v>
      </c>
      <c r="O23466">
        <v>80</v>
      </c>
      <c r="P23466">
        <v>0</v>
      </c>
    </row>
    <row r="23467" spans="1:16" x14ac:dyDescent="0.25">
      <c r="A23467" t="s">
        <v>46175</v>
      </c>
      <c r="B23467" t="s">
        <v>13924</v>
      </c>
      <c r="C23467" t="s">
        <v>13925</v>
      </c>
      <c r="D23467" t="str">
        <f>"3488"</f>
        <v>3488</v>
      </c>
      <c r="E23467" t="s">
        <v>13926</v>
      </c>
      <c r="F23467" t="s">
        <v>0</v>
      </c>
      <c r="G23467" t="s">
        <v>47098</v>
      </c>
      <c r="H23467" t="s">
        <v>47054</v>
      </c>
      <c r="I23467" t="s">
        <v>47120</v>
      </c>
      <c r="J23467" t="s">
        <v>47121</v>
      </c>
      <c r="K23467" t="s">
        <v>47113</v>
      </c>
      <c r="L23467">
        <v>40.17</v>
      </c>
      <c r="M23467">
        <v>88</v>
      </c>
      <c r="N23467">
        <v>0</v>
      </c>
      <c r="O23467">
        <v>88</v>
      </c>
      <c r="P23467">
        <v>0</v>
      </c>
    </row>
    <row r="23468" spans="1:16" x14ac:dyDescent="0.25">
      <c r="A23468" t="s">
        <v>46176</v>
      </c>
      <c r="B23468" t="s">
        <v>13927</v>
      </c>
      <c r="C23468" t="s">
        <v>13928</v>
      </c>
      <c r="D23468" t="s">
        <v>13929</v>
      </c>
      <c r="E23468" t="s">
        <v>13930</v>
      </c>
      <c r="F23468" t="s">
        <v>3558</v>
      </c>
      <c r="G23468" t="s">
        <v>47093</v>
      </c>
      <c r="H23468" t="s">
        <v>47054</v>
      </c>
      <c r="I23468" t="s">
        <v>47111</v>
      </c>
      <c r="J23468" t="s">
        <v>47112</v>
      </c>
      <c r="K23468" t="s">
        <v>47113</v>
      </c>
      <c r="L23468">
        <v>76.66</v>
      </c>
      <c r="M23468">
        <v>96</v>
      </c>
      <c r="N23468">
        <v>0</v>
      </c>
      <c r="O23468">
        <v>96</v>
      </c>
      <c r="P23468">
        <v>0</v>
      </c>
    </row>
    <row r="23469" spans="1:16" x14ac:dyDescent="0.25">
      <c r="A23469" t="s">
        <v>46177</v>
      </c>
      <c r="B23469" t="s">
        <v>14388</v>
      </c>
      <c r="C23469" t="s">
        <v>10614</v>
      </c>
      <c r="D23469" t="s">
        <v>13929</v>
      </c>
      <c r="E23469" t="s">
        <v>13930</v>
      </c>
      <c r="F23469" t="s">
        <v>3558</v>
      </c>
      <c r="G23469" t="s">
        <v>47093</v>
      </c>
      <c r="H23469" t="s">
        <v>47054</v>
      </c>
      <c r="I23469" t="s">
        <v>47116</v>
      </c>
      <c r="J23469" t="s">
        <v>47117</v>
      </c>
      <c r="K23469" t="s">
        <v>47113</v>
      </c>
      <c r="L23469">
        <v>76.62</v>
      </c>
      <c r="M23469">
        <v>96</v>
      </c>
      <c r="N23469">
        <v>0</v>
      </c>
      <c r="O23469">
        <v>96</v>
      </c>
      <c r="P23469">
        <v>0</v>
      </c>
    </row>
    <row r="23470" spans="1:16" x14ac:dyDescent="0.25">
      <c r="A23470" t="s">
        <v>46178</v>
      </c>
      <c r="B23470" t="s">
        <v>13931</v>
      </c>
      <c r="C23470" t="s">
        <v>16442</v>
      </c>
      <c r="D23470" t="s">
        <v>13932</v>
      </c>
      <c r="E23470" t="s">
        <v>13933</v>
      </c>
      <c r="F23470" t="s">
        <v>3558</v>
      </c>
      <c r="G23470" t="s">
        <v>47093</v>
      </c>
      <c r="I23470" t="s">
        <v>47111</v>
      </c>
      <c r="J23470" t="s">
        <v>47112</v>
      </c>
      <c r="K23470" t="s">
        <v>47113</v>
      </c>
      <c r="L23470">
        <v>54.31</v>
      </c>
      <c r="M23470">
        <v>122</v>
      </c>
      <c r="N23470">
        <v>0</v>
      </c>
      <c r="O23470">
        <v>122</v>
      </c>
      <c r="P23470">
        <v>0</v>
      </c>
    </row>
    <row r="23471" spans="1:16" x14ac:dyDescent="0.25">
      <c r="A23471" t="s">
        <v>46179</v>
      </c>
      <c r="B23471" t="s">
        <v>13934</v>
      </c>
      <c r="C23471" t="s">
        <v>16443</v>
      </c>
      <c r="D23471" t="s">
        <v>13932</v>
      </c>
      <c r="E23471" t="s">
        <v>13933</v>
      </c>
      <c r="F23471" t="s">
        <v>3558</v>
      </c>
      <c r="G23471" t="s">
        <v>47093</v>
      </c>
      <c r="H23471" t="s">
        <v>47054</v>
      </c>
      <c r="I23471" t="s">
        <v>47111</v>
      </c>
      <c r="J23471" t="s">
        <v>47112</v>
      </c>
      <c r="K23471" t="s">
        <v>47113</v>
      </c>
      <c r="L23471">
        <v>56.1</v>
      </c>
      <c r="M23471">
        <v>122</v>
      </c>
      <c r="N23471">
        <v>0</v>
      </c>
      <c r="O23471">
        <v>122</v>
      </c>
      <c r="P23471">
        <v>0</v>
      </c>
    </row>
    <row r="23472" spans="1:16" x14ac:dyDescent="0.25">
      <c r="A23472" t="s">
        <v>46180</v>
      </c>
      <c r="B23472" t="s">
        <v>13935</v>
      </c>
      <c r="C23472" t="s">
        <v>16444</v>
      </c>
      <c r="D23472" t="s">
        <v>13929</v>
      </c>
      <c r="E23472" t="s">
        <v>13936</v>
      </c>
      <c r="F23472" t="s">
        <v>3558</v>
      </c>
      <c r="G23472" t="s">
        <v>47093</v>
      </c>
      <c r="H23472" t="s">
        <v>47054</v>
      </c>
      <c r="I23472" t="s">
        <v>47111</v>
      </c>
      <c r="J23472" t="s">
        <v>47112</v>
      </c>
      <c r="K23472" t="s">
        <v>47113</v>
      </c>
      <c r="L23472">
        <v>82.44</v>
      </c>
      <c r="M23472">
        <v>96</v>
      </c>
      <c r="N23472">
        <v>0</v>
      </c>
      <c r="O23472">
        <v>96</v>
      </c>
      <c r="P23472">
        <v>0</v>
      </c>
    </row>
    <row r="23473" spans="1:16" x14ac:dyDescent="0.25">
      <c r="A23473" t="s">
        <v>46181</v>
      </c>
      <c r="B23473" t="s">
        <v>13937</v>
      </c>
      <c r="C23473" t="s">
        <v>13938</v>
      </c>
      <c r="D23473" t="str">
        <f>"1001"</f>
        <v>1001</v>
      </c>
      <c r="E23473" t="s">
        <v>42</v>
      </c>
      <c r="F23473" t="s">
        <v>4</v>
      </c>
      <c r="G23473" t="s">
        <v>47102</v>
      </c>
      <c r="H23473" t="s">
        <v>47054</v>
      </c>
      <c r="I23473" t="s">
        <v>47120</v>
      </c>
      <c r="J23473" t="s">
        <v>47121</v>
      </c>
      <c r="K23473" t="s">
        <v>47113</v>
      </c>
      <c r="L23473">
        <v>39.15</v>
      </c>
      <c r="M23473">
        <v>96</v>
      </c>
      <c r="N23473">
        <v>0</v>
      </c>
      <c r="O23473">
        <v>96</v>
      </c>
      <c r="P23473">
        <v>0</v>
      </c>
    </row>
    <row r="23474" spans="1:16" x14ac:dyDescent="0.25">
      <c r="A23474" t="s">
        <v>46182</v>
      </c>
      <c r="B23474" t="s">
        <v>13939</v>
      </c>
      <c r="C23474" t="s">
        <v>13940</v>
      </c>
      <c r="D23474" t="str">
        <f>"1989"</f>
        <v>1989</v>
      </c>
      <c r="E23474" t="s">
        <v>13941</v>
      </c>
      <c r="F23474" t="s">
        <v>0</v>
      </c>
      <c r="G23474" t="s">
        <v>47103</v>
      </c>
      <c r="H23474" t="s">
        <v>47054</v>
      </c>
      <c r="I23474" t="s">
        <v>47118</v>
      </c>
      <c r="J23474" t="s">
        <v>47119</v>
      </c>
      <c r="K23474" t="s">
        <v>47113</v>
      </c>
      <c r="L23474">
        <v>32.74</v>
      </c>
      <c r="M23474">
        <v>70</v>
      </c>
      <c r="N23474">
        <v>0</v>
      </c>
      <c r="O23474">
        <v>70</v>
      </c>
      <c r="P23474">
        <v>0</v>
      </c>
    </row>
    <row r="23475" spans="1:16" x14ac:dyDescent="0.25">
      <c r="A23475" t="s">
        <v>46183</v>
      </c>
      <c r="B23475" t="s">
        <v>13942</v>
      </c>
      <c r="C23475" t="s">
        <v>19417</v>
      </c>
      <c r="D23475" t="str">
        <f>"1700"</f>
        <v>1700</v>
      </c>
      <c r="E23475" t="s">
        <v>60</v>
      </c>
      <c r="F23475" t="s">
        <v>3558</v>
      </c>
      <c r="G23475" t="s">
        <v>47091</v>
      </c>
      <c r="H23475" t="s">
        <v>47054</v>
      </c>
      <c r="I23475" t="s">
        <v>47120</v>
      </c>
      <c r="J23475" t="s">
        <v>47121</v>
      </c>
      <c r="K23475" t="s">
        <v>47113</v>
      </c>
      <c r="L23475">
        <v>20.100000000000001</v>
      </c>
      <c r="M23475">
        <v>26</v>
      </c>
      <c r="N23475">
        <v>0</v>
      </c>
      <c r="O23475">
        <v>26</v>
      </c>
      <c r="P23475">
        <v>0</v>
      </c>
    </row>
    <row r="23476" spans="1:16" x14ac:dyDescent="0.25">
      <c r="A23476" t="s">
        <v>46184</v>
      </c>
      <c r="B23476" t="s">
        <v>13943</v>
      </c>
      <c r="C23476" t="s">
        <v>13944</v>
      </c>
      <c r="D23476" t="str">
        <f>"1700"</f>
        <v>1700</v>
      </c>
      <c r="E23476" t="s">
        <v>60</v>
      </c>
      <c r="F23476" t="s">
        <v>3558</v>
      </c>
      <c r="G23476" t="s">
        <v>47091</v>
      </c>
      <c r="H23476" t="s">
        <v>47054</v>
      </c>
      <c r="I23476" t="s">
        <v>47120</v>
      </c>
      <c r="J23476" t="s">
        <v>47121</v>
      </c>
      <c r="K23476" t="s">
        <v>47113</v>
      </c>
      <c r="L23476">
        <v>17.87</v>
      </c>
      <c r="M23476">
        <v>26</v>
      </c>
      <c r="N23476">
        <v>0</v>
      </c>
      <c r="O23476">
        <v>26</v>
      </c>
      <c r="P23476">
        <v>0</v>
      </c>
    </row>
    <row r="23477" spans="1:16" x14ac:dyDescent="0.25">
      <c r="A23477" t="s">
        <v>46185</v>
      </c>
      <c r="B23477" t="s">
        <v>13945</v>
      </c>
      <c r="C23477" t="s">
        <v>13946</v>
      </c>
      <c r="D23477" t="str">
        <f>"1700"</f>
        <v>1700</v>
      </c>
      <c r="E23477" t="s">
        <v>60</v>
      </c>
      <c r="F23477" t="s">
        <v>3558</v>
      </c>
      <c r="G23477" t="s">
        <v>47091</v>
      </c>
      <c r="H23477" t="s">
        <v>47054</v>
      </c>
      <c r="I23477" t="s">
        <v>47120</v>
      </c>
      <c r="J23477" t="s">
        <v>47121</v>
      </c>
      <c r="K23477" t="s">
        <v>47113</v>
      </c>
      <c r="L23477">
        <v>14</v>
      </c>
      <c r="M23477">
        <v>33</v>
      </c>
      <c r="N23477">
        <v>0</v>
      </c>
      <c r="O23477">
        <v>33</v>
      </c>
      <c r="P23477">
        <v>0</v>
      </c>
    </row>
    <row r="23478" spans="1:16" x14ac:dyDescent="0.25">
      <c r="A23478" t="s">
        <v>46186</v>
      </c>
      <c r="B23478" t="s">
        <v>14413</v>
      </c>
      <c r="C23478" t="s">
        <v>14394</v>
      </c>
      <c r="D23478" t="s">
        <v>721</v>
      </c>
      <c r="E23478" t="s">
        <v>722</v>
      </c>
      <c r="F23478" t="s">
        <v>3546</v>
      </c>
      <c r="G23478" t="s">
        <v>47099</v>
      </c>
      <c r="H23478" t="s">
        <v>47054</v>
      </c>
      <c r="I23478" t="s">
        <v>47120</v>
      </c>
      <c r="J23478" t="s">
        <v>47121</v>
      </c>
      <c r="K23478" t="s">
        <v>47113</v>
      </c>
      <c r="L23478">
        <v>26.86</v>
      </c>
      <c r="M23478">
        <v>55</v>
      </c>
      <c r="N23478">
        <v>0</v>
      </c>
      <c r="O23478">
        <v>55</v>
      </c>
      <c r="P23478">
        <v>0</v>
      </c>
    </row>
    <row r="23479" spans="1:16" x14ac:dyDescent="0.25">
      <c r="A23479" t="s">
        <v>46187</v>
      </c>
      <c r="B23479" t="s">
        <v>14413</v>
      </c>
      <c r="C23479" t="s">
        <v>14394</v>
      </c>
      <c r="D23479" t="s">
        <v>14412</v>
      </c>
      <c r="E23479" t="s">
        <v>14411</v>
      </c>
      <c r="F23479" t="s">
        <v>3546</v>
      </c>
      <c r="G23479" t="s">
        <v>47099</v>
      </c>
      <c r="H23479" t="s">
        <v>47054</v>
      </c>
      <c r="I23479" t="s">
        <v>47120</v>
      </c>
      <c r="J23479" t="s">
        <v>47121</v>
      </c>
      <c r="K23479" t="s">
        <v>47113</v>
      </c>
      <c r="L23479">
        <v>52.8</v>
      </c>
      <c r="M23479">
        <v>59</v>
      </c>
      <c r="N23479">
        <v>0</v>
      </c>
      <c r="O23479">
        <v>59</v>
      </c>
      <c r="P23479">
        <v>0</v>
      </c>
    </row>
    <row r="23480" spans="1:16" x14ac:dyDescent="0.25">
      <c r="A23480" t="s">
        <v>46188</v>
      </c>
      <c r="B23480" t="s">
        <v>14389</v>
      </c>
      <c r="C23480" t="s">
        <v>11644</v>
      </c>
      <c r="D23480" t="str">
        <f>"3010"</f>
        <v>3010</v>
      </c>
      <c r="E23480" t="s">
        <v>14390</v>
      </c>
      <c r="F23480" t="s">
        <v>14391</v>
      </c>
      <c r="G23480" t="s">
        <v>47099</v>
      </c>
      <c r="H23480" t="s">
        <v>47054</v>
      </c>
      <c r="I23480" t="s">
        <v>47120</v>
      </c>
      <c r="J23480" t="s">
        <v>47121</v>
      </c>
      <c r="K23480" t="s">
        <v>47113</v>
      </c>
      <c r="L23480">
        <v>24.33</v>
      </c>
      <c r="M23480">
        <v>74</v>
      </c>
      <c r="N23480">
        <v>0</v>
      </c>
      <c r="O23480">
        <v>74</v>
      </c>
      <c r="P23480">
        <v>0</v>
      </c>
    </row>
    <row r="23481" spans="1:16" x14ac:dyDescent="0.25">
      <c r="A23481" t="s">
        <v>46189</v>
      </c>
      <c r="B23481" t="s">
        <v>46190</v>
      </c>
      <c r="C23481" t="s">
        <v>18102</v>
      </c>
      <c r="D23481" t="str">
        <f>"1001"</f>
        <v>1001</v>
      </c>
      <c r="E23481" t="s">
        <v>46191</v>
      </c>
      <c r="F23481" t="s">
        <v>3750</v>
      </c>
      <c r="G23481" t="s">
        <v>47102</v>
      </c>
      <c r="H23481" t="s">
        <v>47054</v>
      </c>
      <c r="I23481" t="s">
        <v>47118</v>
      </c>
      <c r="J23481" t="s">
        <v>47119</v>
      </c>
      <c r="K23481" t="s">
        <v>47113</v>
      </c>
      <c r="L23481">
        <v>40.32</v>
      </c>
      <c r="M23481">
        <v>140</v>
      </c>
      <c r="N23481">
        <v>379</v>
      </c>
      <c r="O23481">
        <v>140</v>
      </c>
      <c r="P23481">
        <v>379</v>
      </c>
    </row>
    <row r="23482" spans="1:16" x14ac:dyDescent="0.25">
      <c r="A23482" t="s">
        <v>46192</v>
      </c>
      <c r="B23482" t="s">
        <v>46190</v>
      </c>
      <c r="C23482" t="s">
        <v>18102</v>
      </c>
      <c r="D23482" t="str">
        <f>"6000"</f>
        <v>6000</v>
      </c>
      <c r="E23482" t="s">
        <v>46193</v>
      </c>
      <c r="F23482" t="s">
        <v>3750</v>
      </c>
      <c r="G23482" t="s">
        <v>47102</v>
      </c>
      <c r="H23482" t="s">
        <v>47054</v>
      </c>
      <c r="I23482" t="s">
        <v>47118</v>
      </c>
      <c r="J23482" t="s">
        <v>47119</v>
      </c>
      <c r="K23482" t="s">
        <v>47113</v>
      </c>
      <c r="L23482">
        <v>40.32</v>
      </c>
      <c r="M23482">
        <v>140</v>
      </c>
      <c r="N23482">
        <v>379</v>
      </c>
      <c r="O23482">
        <v>140</v>
      </c>
      <c r="P23482">
        <v>379</v>
      </c>
    </row>
    <row r="23483" spans="1:16" x14ac:dyDescent="0.25">
      <c r="A23483" t="s">
        <v>1512</v>
      </c>
      <c r="B23483" t="s">
        <v>1513</v>
      </c>
      <c r="C23483" t="s">
        <v>1514</v>
      </c>
      <c r="D23483" t="str">
        <f>"1851"</f>
        <v>1851</v>
      </c>
      <c r="E23483" t="s">
        <v>590</v>
      </c>
      <c r="F23483" t="s">
        <v>0</v>
      </c>
      <c r="G23483" t="s">
        <v>48515</v>
      </c>
      <c r="H23483" t="s">
        <v>47054</v>
      </c>
      <c r="I23483" t="s">
        <v>47116</v>
      </c>
      <c r="J23483" t="s">
        <v>47117</v>
      </c>
      <c r="K23483" t="s">
        <v>47113</v>
      </c>
      <c r="L23483">
        <v>43.41</v>
      </c>
      <c r="M23483">
        <v>92</v>
      </c>
      <c r="N23483">
        <v>0</v>
      </c>
      <c r="O23483">
        <v>92</v>
      </c>
      <c r="P23483">
        <v>0</v>
      </c>
    </row>
    <row r="23484" spans="1:16" x14ac:dyDescent="0.25">
      <c r="A23484" t="s">
        <v>1515</v>
      </c>
      <c r="B23484" t="s">
        <v>1516</v>
      </c>
      <c r="C23484" t="s">
        <v>1517</v>
      </c>
      <c r="D23484" t="str">
        <f>"1851"</f>
        <v>1851</v>
      </c>
      <c r="E23484" t="s">
        <v>590</v>
      </c>
      <c r="F23484" t="s">
        <v>0</v>
      </c>
      <c r="G23484" t="s">
        <v>49029</v>
      </c>
      <c r="H23484" t="s">
        <v>47054</v>
      </c>
      <c r="I23484" t="s">
        <v>47111</v>
      </c>
      <c r="J23484" t="s">
        <v>47112</v>
      </c>
      <c r="K23484" t="s">
        <v>47113</v>
      </c>
      <c r="L23484">
        <v>33.57</v>
      </c>
      <c r="M23484">
        <v>72</v>
      </c>
      <c r="N23484">
        <v>0</v>
      </c>
      <c r="O23484">
        <v>72</v>
      </c>
      <c r="P23484">
        <v>0</v>
      </c>
    </row>
    <row r="23485" spans="1:16" x14ac:dyDescent="0.25">
      <c r="A23485" t="s">
        <v>46194</v>
      </c>
      <c r="B23485" t="s">
        <v>13947</v>
      </c>
      <c r="C23485" t="s">
        <v>13948</v>
      </c>
      <c r="D23485" t="str">
        <f>"1851"</f>
        <v>1851</v>
      </c>
      <c r="E23485" t="s">
        <v>590</v>
      </c>
      <c r="F23485" t="s">
        <v>0</v>
      </c>
      <c r="G23485" t="s">
        <v>49029</v>
      </c>
      <c r="H23485" t="s">
        <v>47054</v>
      </c>
      <c r="I23485" t="s">
        <v>47111</v>
      </c>
      <c r="J23485" t="s">
        <v>47112</v>
      </c>
      <c r="K23485" t="s">
        <v>47113</v>
      </c>
      <c r="L23485">
        <v>22.16</v>
      </c>
      <c r="M23485">
        <v>52</v>
      </c>
      <c r="N23485">
        <v>0</v>
      </c>
      <c r="O23485">
        <v>52</v>
      </c>
      <c r="P23485">
        <v>0</v>
      </c>
    </row>
    <row r="23486" spans="1:16" x14ac:dyDescent="0.25">
      <c r="A23486" t="s">
        <v>46195</v>
      </c>
      <c r="B23486" t="s">
        <v>13947</v>
      </c>
      <c r="C23486" t="s">
        <v>13948</v>
      </c>
      <c r="D23486" t="str">
        <f>"6412"</f>
        <v>6412</v>
      </c>
      <c r="E23486" t="s">
        <v>13949</v>
      </c>
      <c r="F23486" t="s">
        <v>0</v>
      </c>
      <c r="G23486" t="s">
        <v>49029</v>
      </c>
      <c r="H23486" t="s">
        <v>47054</v>
      </c>
      <c r="I23486" t="s">
        <v>47111</v>
      </c>
      <c r="J23486" t="s">
        <v>47112</v>
      </c>
      <c r="K23486" t="s">
        <v>47113</v>
      </c>
      <c r="L23486">
        <v>22.16</v>
      </c>
      <c r="M23486">
        <v>52</v>
      </c>
      <c r="N23486">
        <v>0</v>
      </c>
      <c r="O23486">
        <v>52</v>
      </c>
      <c r="P23486">
        <v>0</v>
      </c>
    </row>
    <row r="23487" spans="1:16" x14ac:dyDescent="0.25">
      <c r="A23487" t="s">
        <v>46196</v>
      </c>
      <c r="B23487" t="s">
        <v>13947</v>
      </c>
      <c r="C23487" t="s">
        <v>13948</v>
      </c>
      <c r="D23487" t="str">
        <f>"6421"</f>
        <v>6421</v>
      </c>
      <c r="E23487" t="s">
        <v>13950</v>
      </c>
      <c r="F23487" t="s">
        <v>0</v>
      </c>
      <c r="G23487" t="s">
        <v>49029</v>
      </c>
      <c r="H23487" t="s">
        <v>47054</v>
      </c>
      <c r="I23487" t="s">
        <v>47111</v>
      </c>
      <c r="J23487" t="s">
        <v>47112</v>
      </c>
      <c r="K23487" t="s">
        <v>47113</v>
      </c>
      <c r="L23487">
        <v>22.16</v>
      </c>
      <c r="M23487">
        <v>52</v>
      </c>
      <c r="N23487">
        <v>0</v>
      </c>
      <c r="O23487">
        <v>52</v>
      </c>
      <c r="P23487">
        <v>0</v>
      </c>
    </row>
    <row r="23488" spans="1:16" x14ac:dyDescent="0.25">
      <c r="A23488" t="s">
        <v>46197</v>
      </c>
      <c r="B23488" t="s">
        <v>1518</v>
      </c>
      <c r="C23488" t="s">
        <v>1519</v>
      </c>
      <c r="D23488" t="str">
        <f>"1980"</f>
        <v>1980</v>
      </c>
      <c r="E23488" t="s">
        <v>1520</v>
      </c>
      <c r="F23488" t="s">
        <v>0</v>
      </c>
      <c r="G23488" t="s">
        <v>47099</v>
      </c>
      <c r="H23488" t="s">
        <v>47054</v>
      </c>
      <c r="I23488" t="s">
        <v>47111</v>
      </c>
      <c r="J23488" t="s">
        <v>47112</v>
      </c>
      <c r="K23488" t="s">
        <v>47113</v>
      </c>
      <c r="L23488">
        <v>39.020000000000003</v>
      </c>
      <c r="M23488">
        <v>88</v>
      </c>
      <c r="N23488">
        <v>0</v>
      </c>
      <c r="O23488">
        <v>88</v>
      </c>
      <c r="P23488">
        <v>0</v>
      </c>
    </row>
    <row r="23489" spans="1:16" x14ac:dyDescent="0.25">
      <c r="A23489" t="s">
        <v>1521</v>
      </c>
      <c r="B23489" t="s">
        <v>1522</v>
      </c>
      <c r="C23489" t="s">
        <v>1523</v>
      </c>
      <c r="D23489" t="str">
        <f>"1980"</f>
        <v>1980</v>
      </c>
      <c r="E23489" t="s">
        <v>1520</v>
      </c>
      <c r="F23489" t="s">
        <v>0</v>
      </c>
      <c r="G23489" t="s">
        <v>49029</v>
      </c>
      <c r="H23489" t="s">
        <v>47054</v>
      </c>
      <c r="I23489" t="s">
        <v>47111</v>
      </c>
      <c r="J23489" t="s">
        <v>47112</v>
      </c>
      <c r="K23489" t="s">
        <v>47113</v>
      </c>
      <c r="L23489">
        <v>36.090000000000003</v>
      </c>
      <c r="M23489">
        <v>69</v>
      </c>
      <c r="N23489">
        <v>0</v>
      </c>
      <c r="O23489">
        <v>69</v>
      </c>
      <c r="P23489">
        <v>0</v>
      </c>
    </row>
    <row r="23490" spans="1:16" x14ac:dyDescent="0.25">
      <c r="A23490" t="s">
        <v>46198</v>
      </c>
      <c r="B23490" t="s">
        <v>46199</v>
      </c>
      <c r="C23490" t="s">
        <v>46200</v>
      </c>
      <c r="D23490" t="str">
        <f>"1746"</f>
        <v>1746</v>
      </c>
      <c r="E23490" t="s">
        <v>807</v>
      </c>
      <c r="F23490" t="s">
        <v>0</v>
      </c>
      <c r="G23490" t="s">
        <v>47099</v>
      </c>
      <c r="H23490" t="s">
        <v>47054</v>
      </c>
      <c r="I23490" t="s">
        <v>47111</v>
      </c>
      <c r="J23490" t="s">
        <v>47112</v>
      </c>
      <c r="K23490" t="s">
        <v>47113</v>
      </c>
      <c r="L23490">
        <v>44.06</v>
      </c>
      <c r="M23490">
        <v>107</v>
      </c>
      <c r="N23490">
        <v>0</v>
      </c>
      <c r="O23490">
        <v>107</v>
      </c>
      <c r="P23490">
        <v>0</v>
      </c>
    </row>
    <row r="23491" spans="1:16" x14ac:dyDescent="0.25">
      <c r="A23491" t="s">
        <v>46201</v>
      </c>
      <c r="B23491" t="s">
        <v>13951</v>
      </c>
      <c r="C23491" t="s">
        <v>13952</v>
      </c>
      <c r="D23491" t="str">
        <f>"1821"</f>
        <v>1821</v>
      </c>
      <c r="E23491" t="s">
        <v>590</v>
      </c>
      <c r="F23491" t="s">
        <v>4</v>
      </c>
      <c r="G23491" t="s">
        <v>47099</v>
      </c>
      <c r="H23491" t="s">
        <v>47054</v>
      </c>
      <c r="I23491" t="s">
        <v>47111</v>
      </c>
      <c r="J23491" t="s">
        <v>47112</v>
      </c>
      <c r="K23491" t="s">
        <v>47113</v>
      </c>
      <c r="L23491">
        <v>38.69</v>
      </c>
      <c r="M23491">
        <v>94</v>
      </c>
      <c r="N23491">
        <v>0</v>
      </c>
      <c r="O23491">
        <v>94</v>
      </c>
      <c r="P23491">
        <v>0</v>
      </c>
    </row>
    <row r="23492" spans="1:16" x14ac:dyDescent="0.25">
      <c r="A23492" t="s">
        <v>46202</v>
      </c>
      <c r="B23492" t="s">
        <v>13951</v>
      </c>
      <c r="C23492" t="s">
        <v>13952</v>
      </c>
      <c r="D23492" t="str">
        <f>"3466"</f>
        <v>3466</v>
      </c>
      <c r="E23492" t="s">
        <v>3237</v>
      </c>
      <c r="F23492" t="s">
        <v>0</v>
      </c>
      <c r="G23492" t="s">
        <v>47099</v>
      </c>
      <c r="H23492" t="s">
        <v>47054</v>
      </c>
      <c r="I23492" t="s">
        <v>47111</v>
      </c>
      <c r="J23492" t="s">
        <v>47112</v>
      </c>
      <c r="K23492" t="s">
        <v>47113</v>
      </c>
      <c r="L23492">
        <v>33.61</v>
      </c>
      <c r="M23492">
        <v>73</v>
      </c>
      <c r="N23492">
        <v>0</v>
      </c>
      <c r="O23492">
        <v>73</v>
      </c>
      <c r="P23492">
        <v>0</v>
      </c>
    </row>
    <row r="23493" spans="1:16" x14ac:dyDescent="0.25">
      <c r="A23493" t="s">
        <v>46203</v>
      </c>
      <c r="B23493" t="s">
        <v>1524</v>
      </c>
      <c r="C23493" t="s">
        <v>1525</v>
      </c>
      <c r="D23493" t="str">
        <f>"1851"</f>
        <v>1851</v>
      </c>
      <c r="E23493" t="s">
        <v>1526</v>
      </c>
      <c r="F23493" t="s">
        <v>0</v>
      </c>
      <c r="G23493" t="s">
        <v>47099</v>
      </c>
      <c r="H23493" t="s">
        <v>47054</v>
      </c>
      <c r="I23493" t="s">
        <v>47111</v>
      </c>
      <c r="J23493" t="s">
        <v>47112</v>
      </c>
      <c r="K23493" t="s">
        <v>47113</v>
      </c>
      <c r="L23493">
        <v>28.21</v>
      </c>
      <c r="M23493">
        <v>82</v>
      </c>
      <c r="N23493">
        <v>0</v>
      </c>
      <c r="O23493">
        <v>82</v>
      </c>
      <c r="P23493">
        <v>0</v>
      </c>
    </row>
    <row r="23494" spans="1:16" x14ac:dyDescent="0.25">
      <c r="A23494" t="s">
        <v>1527</v>
      </c>
      <c r="B23494" t="s">
        <v>1528</v>
      </c>
      <c r="C23494" t="s">
        <v>1529</v>
      </c>
      <c r="D23494" t="str">
        <f>"1850"</f>
        <v>1850</v>
      </c>
      <c r="E23494" t="s">
        <v>1530</v>
      </c>
      <c r="F23494" t="s">
        <v>1</v>
      </c>
      <c r="G23494" t="s">
        <v>47093</v>
      </c>
      <c r="H23494" t="s">
        <v>47054</v>
      </c>
      <c r="I23494" t="s">
        <v>47111</v>
      </c>
      <c r="J23494" t="s">
        <v>47112</v>
      </c>
      <c r="K23494" t="s">
        <v>47113</v>
      </c>
      <c r="L23494">
        <v>38.159999999999997</v>
      </c>
      <c r="M23494">
        <v>114</v>
      </c>
      <c r="N23494">
        <v>0</v>
      </c>
      <c r="O23494">
        <v>114</v>
      </c>
      <c r="P23494">
        <v>0</v>
      </c>
    </row>
    <row r="23495" spans="1:16" x14ac:dyDescent="0.25">
      <c r="A23495" t="s">
        <v>46204</v>
      </c>
      <c r="B23495" t="s">
        <v>1528</v>
      </c>
      <c r="C23495" t="s">
        <v>1529</v>
      </c>
      <c r="D23495" t="str">
        <f>"3495"</f>
        <v>3495</v>
      </c>
      <c r="E23495" t="s">
        <v>13953</v>
      </c>
      <c r="F23495" t="s">
        <v>1</v>
      </c>
      <c r="G23495" t="s">
        <v>47093</v>
      </c>
      <c r="H23495" t="s">
        <v>47054</v>
      </c>
      <c r="I23495" t="s">
        <v>47111</v>
      </c>
      <c r="J23495" t="s">
        <v>47112</v>
      </c>
      <c r="K23495" t="s">
        <v>47113</v>
      </c>
      <c r="L23495">
        <v>38.159999999999997</v>
      </c>
      <c r="M23495">
        <v>116</v>
      </c>
      <c r="N23495">
        <v>0</v>
      </c>
      <c r="O23495">
        <v>116</v>
      </c>
      <c r="P23495">
        <v>0</v>
      </c>
    </row>
    <row r="23496" spans="1:16" x14ac:dyDescent="0.25">
      <c r="A23496" t="s">
        <v>1531</v>
      </c>
      <c r="B23496" t="s">
        <v>1528</v>
      </c>
      <c r="C23496" t="s">
        <v>1529</v>
      </c>
      <c r="D23496" t="str">
        <f>"6430"</f>
        <v>6430</v>
      </c>
      <c r="E23496" t="s">
        <v>1532</v>
      </c>
      <c r="F23496" t="s">
        <v>1</v>
      </c>
      <c r="G23496" t="s">
        <v>47093</v>
      </c>
      <c r="H23496" t="s">
        <v>47054</v>
      </c>
      <c r="I23496" t="s">
        <v>47111</v>
      </c>
      <c r="J23496" t="s">
        <v>47112</v>
      </c>
      <c r="K23496" t="s">
        <v>47113</v>
      </c>
      <c r="L23496">
        <v>38.159999999999997</v>
      </c>
      <c r="M23496">
        <v>114</v>
      </c>
      <c r="N23496">
        <v>0</v>
      </c>
      <c r="O23496">
        <v>114</v>
      </c>
      <c r="P23496">
        <v>0</v>
      </c>
    </row>
    <row r="23497" spans="1:16" x14ac:dyDescent="0.25">
      <c r="A23497" t="s">
        <v>46205</v>
      </c>
      <c r="B23497" t="s">
        <v>13954</v>
      </c>
      <c r="C23497" t="s">
        <v>13955</v>
      </c>
      <c r="D23497" t="str">
        <f>"1821"</f>
        <v>1821</v>
      </c>
      <c r="E23497" t="s">
        <v>590</v>
      </c>
      <c r="F23497" t="s">
        <v>1</v>
      </c>
      <c r="G23497" t="s">
        <v>47098</v>
      </c>
      <c r="H23497" t="s">
        <v>47054</v>
      </c>
      <c r="I23497" t="s">
        <v>47116</v>
      </c>
      <c r="J23497" t="s">
        <v>47117</v>
      </c>
      <c r="K23497" t="s">
        <v>47113</v>
      </c>
      <c r="L23497">
        <v>33.89</v>
      </c>
      <c r="M23497">
        <v>83</v>
      </c>
      <c r="N23497">
        <v>0</v>
      </c>
      <c r="O23497">
        <v>83</v>
      </c>
      <c r="P23497">
        <v>0</v>
      </c>
    </row>
    <row r="23498" spans="1:16" x14ac:dyDescent="0.25">
      <c r="A23498" t="s">
        <v>46206</v>
      </c>
      <c r="B23498" t="s">
        <v>13956</v>
      </c>
      <c r="C23498" t="s">
        <v>13957</v>
      </c>
      <c r="D23498" t="str">
        <f>"1850"</f>
        <v>1850</v>
      </c>
      <c r="E23498" t="s">
        <v>1530</v>
      </c>
      <c r="F23498" t="s">
        <v>1</v>
      </c>
      <c r="G23498" t="s">
        <v>47093</v>
      </c>
      <c r="H23498" t="s">
        <v>47054</v>
      </c>
      <c r="I23498" t="s">
        <v>47111</v>
      </c>
      <c r="J23498" t="s">
        <v>47112</v>
      </c>
      <c r="K23498" t="s">
        <v>47113</v>
      </c>
      <c r="L23498">
        <v>38.200000000000003</v>
      </c>
      <c r="M23498">
        <v>114</v>
      </c>
      <c r="N23498">
        <v>0</v>
      </c>
      <c r="O23498">
        <v>114</v>
      </c>
      <c r="P23498">
        <v>0</v>
      </c>
    </row>
    <row r="23499" spans="1:16" x14ac:dyDescent="0.25">
      <c r="A23499" t="s">
        <v>46207</v>
      </c>
      <c r="B23499" t="s">
        <v>13956</v>
      </c>
      <c r="C23499" t="s">
        <v>13957</v>
      </c>
      <c r="D23499" t="str">
        <f>"3495"</f>
        <v>3495</v>
      </c>
      <c r="E23499" t="s">
        <v>13953</v>
      </c>
      <c r="F23499" t="s">
        <v>1</v>
      </c>
      <c r="G23499" t="s">
        <v>47093</v>
      </c>
      <c r="H23499" t="s">
        <v>47054</v>
      </c>
      <c r="I23499" t="s">
        <v>47111</v>
      </c>
      <c r="J23499" t="s">
        <v>47112</v>
      </c>
      <c r="K23499" t="s">
        <v>47113</v>
      </c>
      <c r="L23499">
        <v>38.200000000000003</v>
      </c>
      <c r="M23499">
        <v>114</v>
      </c>
      <c r="N23499">
        <v>0</v>
      </c>
      <c r="O23499">
        <v>114</v>
      </c>
      <c r="P23499">
        <v>0</v>
      </c>
    </row>
    <row r="23500" spans="1:16" x14ac:dyDescent="0.25">
      <c r="A23500" t="s">
        <v>46208</v>
      </c>
      <c r="B23500" t="s">
        <v>13956</v>
      </c>
      <c r="C23500" t="s">
        <v>13957</v>
      </c>
      <c r="D23500" t="str">
        <f>"6430"</f>
        <v>6430</v>
      </c>
      <c r="E23500" t="s">
        <v>1532</v>
      </c>
      <c r="F23500" t="s">
        <v>1</v>
      </c>
      <c r="G23500" t="s">
        <v>47093</v>
      </c>
      <c r="H23500" t="s">
        <v>47054</v>
      </c>
      <c r="I23500" t="s">
        <v>47111</v>
      </c>
      <c r="J23500" t="s">
        <v>47112</v>
      </c>
      <c r="K23500" t="s">
        <v>47113</v>
      </c>
      <c r="L23500">
        <v>38.200000000000003</v>
      </c>
      <c r="M23500">
        <v>114</v>
      </c>
      <c r="N23500">
        <v>0</v>
      </c>
      <c r="O23500">
        <v>114</v>
      </c>
      <c r="P23500">
        <v>0</v>
      </c>
    </row>
    <row r="23501" spans="1:16" x14ac:dyDescent="0.25">
      <c r="A23501" t="s">
        <v>46209</v>
      </c>
      <c r="B23501" t="s">
        <v>1533</v>
      </c>
      <c r="C23501" t="s">
        <v>1534</v>
      </c>
      <c r="D23501" t="str">
        <f>"1851"</f>
        <v>1851</v>
      </c>
      <c r="E23501" t="s">
        <v>1526</v>
      </c>
      <c r="F23501" t="s">
        <v>0</v>
      </c>
      <c r="G23501" t="s">
        <v>47098</v>
      </c>
      <c r="H23501" t="s">
        <v>47054</v>
      </c>
      <c r="I23501" t="s">
        <v>47116</v>
      </c>
      <c r="J23501" t="s">
        <v>47117</v>
      </c>
      <c r="K23501" t="s">
        <v>47113</v>
      </c>
      <c r="L23501">
        <v>39.03</v>
      </c>
      <c r="M23501">
        <v>88</v>
      </c>
      <c r="N23501">
        <v>0</v>
      </c>
      <c r="O23501">
        <v>88</v>
      </c>
      <c r="P23501">
        <v>0</v>
      </c>
    </row>
    <row r="23502" spans="1:16" x14ac:dyDescent="0.25">
      <c r="A23502" t="s">
        <v>46210</v>
      </c>
      <c r="B23502" t="s">
        <v>19418</v>
      </c>
      <c r="C23502" t="s">
        <v>19419</v>
      </c>
      <c r="D23502" t="s">
        <v>17876</v>
      </c>
      <c r="E23502" t="s">
        <v>17877</v>
      </c>
      <c r="F23502" t="s">
        <v>3750</v>
      </c>
      <c r="G23502" t="s">
        <v>47093</v>
      </c>
      <c r="H23502" t="s">
        <v>47054</v>
      </c>
      <c r="I23502" t="s">
        <v>47120</v>
      </c>
      <c r="J23502" t="s">
        <v>47121</v>
      </c>
      <c r="K23502" t="s">
        <v>47113</v>
      </c>
      <c r="L23502">
        <v>26.79</v>
      </c>
      <c r="M23502">
        <v>76</v>
      </c>
      <c r="N23502">
        <v>0</v>
      </c>
      <c r="O23502">
        <v>76</v>
      </c>
      <c r="P23502">
        <v>0</v>
      </c>
    </row>
    <row r="23503" spans="1:16" x14ac:dyDescent="0.25">
      <c r="A23503" t="s">
        <v>46211</v>
      </c>
      <c r="B23503" t="s">
        <v>13958</v>
      </c>
      <c r="C23503" t="s">
        <v>13959</v>
      </c>
      <c r="D23503" t="str">
        <f>"4746"</f>
        <v>4746</v>
      </c>
      <c r="E23503" t="s">
        <v>13960</v>
      </c>
      <c r="F23503" t="s">
        <v>1</v>
      </c>
      <c r="G23503" t="s">
        <v>47093</v>
      </c>
      <c r="H23503" t="s">
        <v>47054</v>
      </c>
      <c r="I23503" t="s">
        <v>47111</v>
      </c>
      <c r="J23503" t="s">
        <v>47112</v>
      </c>
      <c r="K23503" t="s">
        <v>47113</v>
      </c>
      <c r="L23503">
        <v>39.18</v>
      </c>
      <c r="M23503">
        <v>119</v>
      </c>
      <c r="N23503">
        <v>0</v>
      </c>
      <c r="O23503">
        <v>119</v>
      </c>
      <c r="P23503">
        <v>0</v>
      </c>
    </row>
    <row r="23504" spans="1:16" x14ac:dyDescent="0.25">
      <c r="A23504" t="s">
        <v>46212</v>
      </c>
      <c r="B23504" t="s">
        <v>13961</v>
      </c>
      <c r="C23504" t="s">
        <v>13962</v>
      </c>
      <c r="D23504" t="str">
        <f>"4746"</f>
        <v>4746</v>
      </c>
      <c r="E23504" t="s">
        <v>13960</v>
      </c>
      <c r="F23504" t="s">
        <v>1</v>
      </c>
      <c r="G23504" t="s">
        <v>49029</v>
      </c>
      <c r="H23504" t="s">
        <v>47054</v>
      </c>
      <c r="I23504" t="s">
        <v>47111</v>
      </c>
      <c r="J23504" t="s">
        <v>47112</v>
      </c>
      <c r="K23504" t="s">
        <v>47113</v>
      </c>
      <c r="L23504">
        <v>29.76</v>
      </c>
      <c r="M23504">
        <v>73</v>
      </c>
      <c r="N23504">
        <v>0</v>
      </c>
      <c r="O23504">
        <v>73</v>
      </c>
      <c r="P23504">
        <v>0</v>
      </c>
    </row>
    <row r="23505" spans="1:16" x14ac:dyDescent="0.25">
      <c r="A23505" t="s">
        <v>46213</v>
      </c>
      <c r="B23505" t="s">
        <v>13963</v>
      </c>
      <c r="C23505" t="s">
        <v>11166</v>
      </c>
      <c r="D23505" t="str">
        <f>"1701"</f>
        <v>1701</v>
      </c>
      <c r="E23505" t="s">
        <v>55</v>
      </c>
      <c r="F23505" t="s">
        <v>4</v>
      </c>
      <c r="G23505" t="s">
        <v>47092</v>
      </c>
      <c r="H23505" t="s">
        <v>47054</v>
      </c>
      <c r="I23505" t="s">
        <v>47118</v>
      </c>
      <c r="J23505" t="s">
        <v>47119</v>
      </c>
      <c r="K23505" t="s">
        <v>47113</v>
      </c>
      <c r="L23505">
        <v>15.26</v>
      </c>
      <c r="M23505">
        <v>37</v>
      </c>
      <c r="N23505">
        <v>0</v>
      </c>
      <c r="O23505">
        <v>37</v>
      </c>
      <c r="P23505">
        <v>0</v>
      </c>
    </row>
    <row r="23506" spans="1:16" x14ac:dyDescent="0.25">
      <c r="A23506" t="s">
        <v>46214</v>
      </c>
      <c r="B23506" t="s">
        <v>13963</v>
      </c>
      <c r="C23506" t="s">
        <v>11166</v>
      </c>
      <c r="D23506" t="str">
        <f>"1762"</f>
        <v>1762</v>
      </c>
      <c r="E23506" t="s">
        <v>13892</v>
      </c>
      <c r="F23506" t="s">
        <v>4</v>
      </c>
      <c r="G23506" t="s">
        <v>47092</v>
      </c>
      <c r="H23506" t="s">
        <v>47054</v>
      </c>
      <c r="I23506" t="s">
        <v>47118</v>
      </c>
      <c r="J23506" t="s">
        <v>47119</v>
      </c>
      <c r="K23506" t="s">
        <v>47113</v>
      </c>
      <c r="L23506">
        <v>15.26</v>
      </c>
      <c r="M23506">
        <v>37</v>
      </c>
      <c r="N23506">
        <v>0</v>
      </c>
      <c r="O23506">
        <v>37</v>
      </c>
      <c r="P23506">
        <v>0</v>
      </c>
    </row>
    <row r="23507" spans="1:16" x14ac:dyDescent="0.25">
      <c r="A23507" t="s">
        <v>46215</v>
      </c>
      <c r="B23507" t="s">
        <v>19420</v>
      </c>
      <c r="C23507" t="s">
        <v>19228</v>
      </c>
      <c r="D23507" t="str">
        <f>"1501"</f>
        <v>1501</v>
      </c>
      <c r="E23507" t="s">
        <v>46</v>
      </c>
      <c r="F23507" t="s">
        <v>3750</v>
      </c>
      <c r="G23507" t="s">
        <v>47092</v>
      </c>
      <c r="H23507" t="s">
        <v>47054</v>
      </c>
      <c r="I23507" t="s">
        <v>47116</v>
      </c>
      <c r="J23507" t="s">
        <v>47117</v>
      </c>
      <c r="K23507" t="s">
        <v>47113</v>
      </c>
      <c r="L23507">
        <v>6.57</v>
      </c>
      <c r="M23507">
        <v>19</v>
      </c>
      <c r="N23507">
        <v>0</v>
      </c>
      <c r="O23507">
        <v>19</v>
      </c>
      <c r="P23507">
        <v>0</v>
      </c>
    </row>
    <row r="23508" spans="1:16" x14ac:dyDescent="0.25">
      <c r="A23508" t="s">
        <v>46216</v>
      </c>
      <c r="B23508" t="s">
        <v>46217</v>
      </c>
      <c r="C23508" t="s">
        <v>46218</v>
      </c>
      <c r="D23508" t="str">
        <f>"1001"</f>
        <v>1001</v>
      </c>
      <c r="E23508" t="s">
        <v>42</v>
      </c>
      <c r="F23508" t="s">
        <v>3750</v>
      </c>
      <c r="G23508" t="s">
        <v>47091</v>
      </c>
      <c r="H23508" t="s">
        <v>47054</v>
      </c>
      <c r="I23508" t="s">
        <v>47118</v>
      </c>
      <c r="J23508" t="s">
        <v>47119</v>
      </c>
      <c r="K23508" t="s">
        <v>47113</v>
      </c>
      <c r="L23508">
        <v>7.5</v>
      </c>
      <c r="M23508">
        <v>29</v>
      </c>
      <c r="N23508">
        <v>79</v>
      </c>
      <c r="O23508">
        <v>29</v>
      </c>
      <c r="P23508">
        <v>79</v>
      </c>
    </row>
    <row r="23509" spans="1:16" x14ac:dyDescent="0.25">
      <c r="A23509" t="s">
        <v>46219</v>
      </c>
      <c r="B23509" t="s">
        <v>46220</v>
      </c>
      <c r="C23509" t="s">
        <v>46221</v>
      </c>
      <c r="D23509" t="str">
        <f>"1001"</f>
        <v>1001</v>
      </c>
      <c r="E23509" t="s">
        <v>42</v>
      </c>
      <c r="F23509" t="s">
        <v>3750</v>
      </c>
      <c r="G23509" t="s">
        <v>47091</v>
      </c>
      <c r="H23509" t="s">
        <v>47054</v>
      </c>
      <c r="I23509" t="s">
        <v>47154</v>
      </c>
      <c r="J23509" t="s">
        <v>47155</v>
      </c>
      <c r="K23509" t="s">
        <v>47113</v>
      </c>
      <c r="L23509">
        <v>5.75</v>
      </c>
      <c r="M23509">
        <v>26</v>
      </c>
      <c r="N23509">
        <v>0</v>
      </c>
      <c r="O23509">
        <v>26</v>
      </c>
      <c r="P23509">
        <v>0</v>
      </c>
    </row>
    <row r="23510" spans="1:16" x14ac:dyDescent="0.25">
      <c r="A23510" t="s">
        <v>46222</v>
      </c>
      <c r="B23510" t="s">
        <v>46223</v>
      </c>
      <c r="C23510" t="s">
        <v>46224</v>
      </c>
      <c r="D23510" t="str">
        <f>"1700"</f>
        <v>1700</v>
      </c>
      <c r="E23510" t="s">
        <v>60</v>
      </c>
      <c r="F23510" t="s">
        <v>3750</v>
      </c>
      <c r="G23510" t="s">
        <v>47091</v>
      </c>
      <c r="H23510" t="s">
        <v>47054</v>
      </c>
      <c r="I23510" t="s">
        <v>47154</v>
      </c>
      <c r="J23510" t="s">
        <v>47155</v>
      </c>
      <c r="K23510" t="s">
        <v>47113</v>
      </c>
      <c r="L23510">
        <v>7.17</v>
      </c>
      <c r="M23510">
        <v>34</v>
      </c>
      <c r="N23510">
        <v>0</v>
      </c>
      <c r="O23510">
        <v>34</v>
      </c>
      <c r="P23510">
        <v>0</v>
      </c>
    </row>
    <row r="23511" spans="1:16" x14ac:dyDescent="0.25">
      <c r="A23511" t="s">
        <v>46225</v>
      </c>
      <c r="B23511" t="s">
        <v>46223</v>
      </c>
      <c r="C23511" t="s">
        <v>46224</v>
      </c>
      <c r="D23511" t="str">
        <f>"4100"</f>
        <v>4100</v>
      </c>
      <c r="E23511" t="s">
        <v>17644</v>
      </c>
      <c r="F23511" t="s">
        <v>3750</v>
      </c>
      <c r="G23511" t="s">
        <v>47091</v>
      </c>
      <c r="H23511" t="s">
        <v>47054</v>
      </c>
      <c r="I23511" t="s">
        <v>47154</v>
      </c>
      <c r="J23511" t="s">
        <v>47155</v>
      </c>
      <c r="K23511" t="s">
        <v>47113</v>
      </c>
      <c r="L23511">
        <v>7.17</v>
      </c>
      <c r="M23511">
        <v>34</v>
      </c>
      <c r="N23511">
        <v>0</v>
      </c>
      <c r="O23511">
        <v>34</v>
      </c>
      <c r="P23511">
        <v>0</v>
      </c>
    </row>
    <row r="23512" spans="1:16" x14ac:dyDescent="0.25">
      <c r="A23512" t="s">
        <v>46226</v>
      </c>
      <c r="B23512" t="s">
        <v>13964</v>
      </c>
      <c r="C23512" t="s">
        <v>13965</v>
      </c>
      <c r="D23512" t="str">
        <f>"3071"</f>
        <v>3071</v>
      </c>
      <c r="E23512" t="s">
        <v>9011</v>
      </c>
      <c r="F23512" t="s">
        <v>4</v>
      </c>
      <c r="G23512" t="s">
        <v>47099</v>
      </c>
      <c r="H23512" t="s">
        <v>47054</v>
      </c>
      <c r="I23512" t="s">
        <v>47120</v>
      </c>
      <c r="J23512" t="s">
        <v>47121</v>
      </c>
      <c r="K23512" t="s">
        <v>47113</v>
      </c>
      <c r="L23512">
        <v>19.649999999999999</v>
      </c>
      <c r="M23512">
        <v>48</v>
      </c>
      <c r="N23512">
        <v>0</v>
      </c>
      <c r="O23512">
        <v>48</v>
      </c>
      <c r="P23512">
        <v>0</v>
      </c>
    </row>
    <row r="23513" spans="1:16" x14ac:dyDescent="0.25">
      <c r="A23513" t="s">
        <v>46227</v>
      </c>
      <c r="B23513" t="s">
        <v>14392</v>
      </c>
      <c r="C23513" t="s">
        <v>22490</v>
      </c>
      <c r="D23513" t="str">
        <f>"1702"</f>
        <v>1702</v>
      </c>
      <c r="E23513" t="s">
        <v>1956</v>
      </c>
      <c r="F23513" t="s">
        <v>3750</v>
      </c>
      <c r="G23513" t="s">
        <v>47099</v>
      </c>
      <c r="H23513" t="s">
        <v>47054</v>
      </c>
      <c r="I23513" t="s">
        <v>47120</v>
      </c>
      <c r="J23513" t="s">
        <v>47121</v>
      </c>
      <c r="K23513" t="s">
        <v>47113</v>
      </c>
      <c r="L23513">
        <v>18.66</v>
      </c>
      <c r="M23513">
        <v>39</v>
      </c>
      <c r="N23513">
        <v>0</v>
      </c>
      <c r="O23513">
        <v>39</v>
      </c>
      <c r="P23513">
        <v>0</v>
      </c>
    </row>
    <row r="23514" spans="1:16" x14ac:dyDescent="0.25">
      <c r="A23514" t="s">
        <v>46228</v>
      </c>
      <c r="B23514" t="s">
        <v>19421</v>
      </c>
      <c r="C23514" t="s">
        <v>19422</v>
      </c>
      <c r="D23514" t="str">
        <f>"6433"</f>
        <v>6433</v>
      </c>
      <c r="E23514" t="s">
        <v>7168</v>
      </c>
      <c r="F23514" t="s">
        <v>3750</v>
      </c>
      <c r="G23514" t="s">
        <v>47099</v>
      </c>
      <c r="H23514" t="s">
        <v>47054</v>
      </c>
      <c r="I23514" t="s">
        <v>47120</v>
      </c>
      <c r="J23514" t="s">
        <v>47121</v>
      </c>
      <c r="K23514" t="s">
        <v>47113</v>
      </c>
      <c r="L23514">
        <v>19.13</v>
      </c>
      <c r="M23514">
        <v>54</v>
      </c>
      <c r="N23514">
        <v>0</v>
      </c>
      <c r="O23514">
        <v>54</v>
      </c>
      <c r="P23514">
        <v>0</v>
      </c>
    </row>
    <row r="23515" spans="1:16" x14ac:dyDescent="0.25">
      <c r="A23515" t="s">
        <v>46229</v>
      </c>
      <c r="B23515" t="s">
        <v>13966</v>
      </c>
      <c r="C23515" t="s">
        <v>10614</v>
      </c>
      <c r="D23515" t="str">
        <f>"3543"</f>
        <v>3543</v>
      </c>
      <c r="E23515" t="s">
        <v>13967</v>
      </c>
      <c r="F23515" t="s">
        <v>2068</v>
      </c>
      <c r="G23515" t="s">
        <v>47099</v>
      </c>
      <c r="H23515" t="s">
        <v>47054</v>
      </c>
      <c r="I23515" t="s">
        <v>47120</v>
      </c>
      <c r="J23515" t="s">
        <v>47121</v>
      </c>
      <c r="K23515" t="s">
        <v>47113</v>
      </c>
      <c r="L23515">
        <v>21.88</v>
      </c>
      <c r="M23515">
        <v>66</v>
      </c>
      <c r="N23515">
        <v>0</v>
      </c>
      <c r="O23515">
        <v>66</v>
      </c>
      <c r="P23515">
        <v>0</v>
      </c>
    </row>
    <row r="23516" spans="1:16" x14ac:dyDescent="0.25">
      <c r="A23516" t="s">
        <v>46230</v>
      </c>
      <c r="B23516" t="s">
        <v>13968</v>
      </c>
      <c r="C23516" t="s">
        <v>13969</v>
      </c>
      <c r="D23516" t="str">
        <f>"3543"</f>
        <v>3543</v>
      </c>
      <c r="E23516" t="s">
        <v>13967</v>
      </c>
      <c r="F23516" t="s">
        <v>2068</v>
      </c>
      <c r="G23516" t="s">
        <v>47099</v>
      </c>
      <c r="H23516" t="s">
        <v>47054</v>
      </c>
      <c r="I23516" t="s">
        <v>47120</v>
      </c>
      <c r="J23516" t="s">
        <v>47121</v>
      </c>
      <c r="K23516" t="s">
        <v>47113</v>
      </c>
      <c r="L23516">
        <v>21.45</v>
      </c>
      <c r="M23516">
        <v>53</v>
      </c>
      <c r="N23516">
        <v>0</v>
      </c>
      <c r="O23516">
        <v>53</v>
      </c>
      <c r="P23516">
        <v>0</v>
      </c>
    </row>
    <row r="23517" spans="1:16" x14ac:dyDescent="0.25">
      <c r="A23517" t="s">
        <v>46231</v>
      </c>
      <c r="B23517" t="s">
        <v>16205</v>
      </c>
      <c r="C23517" t="s">
        <v>16206</v>
      </c>
      <c r="D23517" t="str">
        <f>"6200"</f>
        <v>6200</v>
      </c>
      <c r="E23517" t="s">
        <v>13112</v>
      </c>
      <c r="F23517" t="s">
        <v>3750</v>
      </c>
      <c r="G23517" t="s">
        <v>47099</v>
      </c>
      <c r="H23517" t="s">
        <v>47054</v>
      </c>
      <c r="I23517" t="s">
        <v>47120</v>
      </c>
      <c r="J23517" t="s">
        <v>47121</v>
      </c>
      <c r="K23517" t="s">
        <v>47113</v>
      </c>
      <c r="L23517">
        <v>26.36</v>
      </c>
      <c r="M23517">
        <v>102</v>
      </c>
      <c r="N23517">
        <v>0</v>
      </c>
      <c r="O23517">
        <v>102</v>
      </c>
      <c r="P23517">
        <v>0</v>
      </c>
    </row>
    <row r="23518" spans="1:16" x14ac:dyDescent="0.25">
      <c r="A23518" t="s">
        <v>46232</v>
      </c>
      <c r="B23518" t="s">
        <v>16207</v>
      </c>
      <c r="C23518" t="s">
        <v>16206</v>
      </c>
      <c r="D23518" t="str">
        <f>"1800"</f>
        <v>1800</v>
      </c>
      <c r="E23518" t="s">
        <v>1999</v>
      </c>
      <c r="F23518" t="s">
        <v>3750</v>
      </c>
      <c r="G23518" t="s">
        <v>47099</v>
      </c>
      <c r="H23518" t="s">
        <v>47054</v>
      </c>
      <c r="I23518" t="s">
        <v>47120</v>
      </c>
      <c r="J23518" t="s">
        <v>47121</v>
      </c>
      <c r="K23518" t="s">
        <v>47113</v>
      </c>
      <c r="L23518">
        <v>26.36</v>
      </c>
      <c r="M23518">
        <v>102</v>
      </c>
      <c r="N23518">
        <v>0</v>
      </c>
      <c r="O23518">
        <v>102</v>
      </c>
      <c r="P23518">
        <v>0</v>
      </c>
    </row>
    <row r="23519" spans="1:16" x14ac:dyDescent="0.25">
      <c r="A23519" t="s">
        <v>46233</v>
      </c>
      <c r="B23519" t="s">
        <v>19423</v>
      </c>
      <c r="C23519" t="s">
        <v>19424</v>
      </c>
      <c r="D23519" t="str">
        <f>"6433"</f>
        <v>6433</v>
      </c>
      <c r="E23519" t="s">
        <v>19425</v>
      </c>
      <c r="F23519" t="s">
        <v>3750</v>
      </c>
      <c r="G23519" t="s">
        <v>47099</v>
      </c>
      <c r="H23519" t="s">
        <v>47054</v>
      </c>
      <c r="I23519" t="s">
        <v>47120</v>
      </c>
      <c r="J23519" t="s">
        <v>47121</v>
      </c>
      <c r="K23519" t="s">
        <v>47113</v>
      </c>
      <c r="L23519">
        <v>22.21</v>
      </c>
      <c r="M23519">
        <v>63</v>
      </c>
      <c r="N23519">
        <v>0</v>
      </c>
      <c r="O23519">
        <v>63</v>
      </c>
      <c r="P23519">
        <v>0</v>
      </c>
    </row>
    <row r="23520" spans="1:16" x14ac:dyDescent="0.25">
      <c r="A23520" t="s">
        <v>46234</v>
      </c>
      <c r="B23520" t="s">
        <v>19426</v>
      </c>
      <c r="C23520" t="s">
        <v>19427</v>
      </c>
      <c r="D23520" t="str">
        <f>"1001"</f>
        <v>1001</v>
      </c>
      <c r="E23520" t="s">
        <v>19428</v>
      </c>
      <c r="F23520" t="s">
        <v>3750</v>
      </c>
      <c r="G23520" t="s">
        <v>47099</v>
      </c>
      <c r="H23520" t="s">
        <v>47054</v>
      </c>
      <c r="I23520" t="s">
        <v>47120</v>
      </c>
      <c r="J23520" t="s">
        <v>47121</v>
      </c>
      <c r="K23520" t="s">
        <v>47113</v>
      </c>
      <c r="L23520">
        <v>22.21</v>
      </c>
      <c r="M23520">
        <v>63</v>
      </c>
      <c r="N23520">
        <v>0</v>
      </c>
      <c r="O23520">
        <v>63</v>
      </c>
      <c r="P23520">
        <v>0</v>
      </c>
    </row>
    <row r="23521" spans="1:16" x14ac:dyDescent="0.25">
      <c r="A23521" t="s">
        <v>46235</v>
      </c>
      <c r="B23521" t="s">
        <v>22491</v>
      </c>
      <c r="C23521" t="s">
        <v>22492</v>
      </c>
      <c r="D23521" t="str">
        <f>"6041"</f>
        <v>6041</v>
      </c>
      <c r="E23521" t="s">
        <v>22493</v>
      </c>
      <c r="F23521" t="s">
        <v>16771</v>
      </c>
      <c r="G23521" t="s">
        <v>47101</v>
      </c>
      <c r="H23521" t="s">
        <v>47054</v>
      </c>
      <c r="I23521" t="s">
        <v>47120</v>
      </c>
      <c r="J23521" t="s">
        <v>47121</v>
      </c>
      <c r="K23521" t="s">
        <v>47113</v>
      </c>
      <c r="L23521">
        <v>15.54</v>
      </c>
      <c r="M23521">
        <v>21</v>
      </c>
      <c r="N23521">
        <v>0</v>
      </c>
      <c r="O23521">
        <v>21</v>
      </c>
      <c r="P23521">
        <v>0</v>
      </c>
    </row>
    <row r="23522" spans="1:16" x14ac:dyDescent="0.25">
      <c r="A23522" t="s">
        <v>46236</v>
      </c>
      <c r="B23522" t="s">
        <v>13970</v>
      </c>
      <c r="C23522" t="s">
        <v>13971</v>
      </c>
      <c r="D23522" t="str">
        <f>"1389"</f>
        <v>1389</v>
      </c>
      <c r="E23522" t="s">
        <v>13972</v>
      </c>
      <c r="F23522" t="s">
        <v>4</v>
      </c>
      <c r="G23522" t="s">
        <v>47092</v>
      </c>
      <c r="H23522" t="s">
        <v>47054</v>
      </c>
      <c r="I23522" t="s">
        <v>47118</v>
      </c>
      <c r="J23522" t="s">
        <v>47119</v>
      </c>
      <c r="K23522" t="s">
        <v>47113</v>
      </c>
      <c r="L23522">
        <v>23.62</v>
      </c>
      <c r="M23522">
        <v>58</v>
      </c>
      <c r="N23522">
        <v>0</v>
      </c>
      <c r="O23522">
        <v>58</v>
      </c>
      <c r="P23522">
        <v>0</v>
      </c>
    </row>
    <row r="23523" spans="1:16" x14ac:dyDescent="0.25">
      <c r="A23523" t="s">
        <v>46237</v>
      </c>
      <c r="B23523" t="s">
        <v>13970</v>
      </c>
      <c r="C23523" t="s">
        <v>13971</v>
      </c>
      <c r="D23523" t="str">
        <f>"1703"</f>
        <v>1703</v>
      </c>
      <c r="E23523" t="s">
        <v>13895</v>
      </c>
      <c r="F23523" t="s">
        <v>4</v>
      </c>
      <c r="G23523" t="s">
        <v>47092</v>
      </c>
      <c r="H23523" t="s">
        <v>47054</v>
      </c>
      <c r="I23523" t="s">
        <v>47118</v>
      </c>
      <c r="J23523" t="s">
        <v>47119</v>
      </c>
      <c r="K23523" t="s">
        <v>47113</v>
      </c>
      <c r="L23523">
        <v>23.62</v>
      </c>
      <c r="M23523">
        <v>58</v>
      </c>
      <c r="N23523">
        <v>0</v>
      </c>
      <c r="O23523">
        <v>58</v>
      </c>
      <c r="P23523">
        <v>0</v>
      </c>
    </row>
    <row r="23524" spans="1:16" x14ac:dyDescent="0.25">
      <c r="A23524" t="s">
        <v>46238</v>
      </c>
      <c r="B23524" t="s">
        <v>13970</v>
      </c>
      <c r="C23524" t="s">
        <v>13971</v>
      </c>
      <c r="D23524" t="str">
        <f>"1847"</f>
        <v>1847</v>
      </c>
      <c r="E23524" t="s">
        <v>12301</v>
      </c>
      <c r="F23524" t="s">
        <v>4</v>
      </c>
      <c r="G23524" t="s">
        <v>47092</v>
      </c>
      <c r="H23524" t="s">
        <v>47054</v>
      </c>
      <c r="I23524" t="s">
        <v>47118</v>
      </c>
      <c r="J23524" t="s">
        <v>47119</v>
      </c>
      <c r="K23524" t="s">
        <v>47113</v>
      </c>
      <c r="L23524">
        <v>23.62</v>
      </c>
      <c r="M23524">
        <v>58</v>
      </c>
      <c r="N23524">
        <v>0</v>
      </c>
      <c r="O23524">
        <v>58</v>
      </c>
      <c r="P23524">
        <v>0</v>
      </c>
    </row>
    <row r="23525" spans="1:16" x14ac:dyDescent="0.25">
      <c r="A23525" t="s">
        <v>46239</v>
      </c>
      <c r="B23525" t="s">
        <v>13970</v>
      </c>
      <c r="C23525" t="s">
        <v>13971</v>
      </c>
      <c r="D23525" t="str">
        <f>"5146"</f>
        <v>5146</v>
      </c>
      <c r="E23525" t="s">
        <v>13973</v>
      </c>
      <c r="F23525" t="s">
        <v>4</v>
      </c>
      <c r="G23525" t="s">
        <v>47092</v>
      </c>
      <c r="H23525" t="s">
        <v>47054</v>
      </c>
      <c r="I23525" t="s">
        <v>47118</v>
      </c>
      <c r="J23525" t="s">
        <v>47119</v>
      </c>
      <c r="K23525" t="s">
        <v>47113</v>
      </c>
      <c r="L23525">
        <v>23.62</v>
      </c>
      <c r="M23525">
        <v>58</v>
      </c>
      <c r="N23525">
        <v>0</v>
      </c>
      <c r="O23525">
        <v>58</v>
      </c>
      <c r="P23525">
        <v>0</v>
      </c>
    </row>
    <row r="23526" spans="1:16" x14ac:dyDescent="0.25">
      <c r="A23526" t="s">
        <v>46240</v>
      </c>
      <c r="B23526" t="s">
        <v>13974</v>
      </c>
      <c r="C23526" t="s">
        <v>13975</v>
      </c>
      <c r="D23526" t="str">
        <f>"1847"</f>
        <v>1847</v>
      </c>
      <c r="E23526" t="s">
        <v>12301</v>
      </c>
      <c r="F23526" t="s">
        <v>4</v>
      </c>
      <c r="G23526" t="s">
        <v>47101</v>
      </c>
      <c r="H23526" t="s">
        <v>47054</v>
      </c>
      <c r="I23526" t="s">
        <v>47118</v>
      </c>
      <c r="J23526" t="s">
        <v>47119</v>
      </c>
      <c r="K23526" t="s">
        <v>47113</v>
      </c>
      <c r="L23526">
        <v>41.47</v>
      </c>
      <c r="M23526">
        <v>102</v>
      </c>
      <c r="N23526">
        <v>0</v>
      </c>
      <c r="O23526">
        <v>102</v>
      </c>
      <c r="P23526">
        <v>0</v>
      </c>
    </row>
    <row r="23527" spans="1:16" x14ac:dyDescent="0.25">
      <c r="A23527" t="s">
        <v>46241</v>
      </c>
      <c r="B23527" t="s">
        <v>13974</v>
      </c>
      <c r="C23527" t="s">
        <v>13975</v>
      </c>
      <c r="D23527" t="str">
        <f>"2410"</f>
        <v>2410</v>
      </c>
      <c r="E23527" t="s">
        <v>13976</v>
      </c>
      <c r="F23527" t="s">
        <v>4</v>
      </c>
      <c r="G23527" t="s">
        <v>47101</v>
      </c>
      <c r="H23527" t="s">
        <v>47054</v>
      </c>
      <c r="I23527" t="s">
        <v>47118</v>
      </c>
      <c r="J23527" t="s">
        <v>47119</v>
      </c>
      <c r="K23527" t="s">
        <v>47113</v>
      </c>
      <c r="L23527">
        <v>41.47</v>
      </c>
      <c r="M23527">
        <v>105</v>
      </c>
      <c r="N23527">
        <v>0</v>
      </c>
      <c r="O23527">
        <v>105</v>
      </c>
      <c r="P23527">
        <v>0</v>
      </c>
    </row>
    <row r="23528" spans="1:16" x14ac:dyDescent="0.25">
      <c r="A23528" t="s">
        <v>46242</v>
      </c>
      <c r="B23528" t="s">
        <v>13977</v>
      </c>
      <c r="C23528" t="s">
        <v>13978</v>
      </c>
      <c r="D23528" t="str">
        <f>"9623"</f>
        <v>9623</v>
      </c>
      <c r="E23528" t="s">
        <v>13979</v>
      </c>
      <c r="F23528" t="s">
        <v>4</v>
      </c>
      <c r="G23528" t="s">
        <v>47101</v>
      </c>
      <c r="H23528" t="s">
        <v>47054</v>
      </c>
      <c r="I23528" t="s">
        <v>47118</v>
      </c>
      <c r="J23528" t="s">
        <v>47119</v>
      </c>
      <c r="K23528" t="s">
        <v>47113</v>
      </c>
      <c r="L23528">
        <v>38.659999999999997</v>
      </c>
      <c r="M23528">
        <v>94</v>
      </c>
      <c r="N23528">
        <v>0</v>
      </c>
      <c r="O23528">
        <v>94</v>
      </c>
      <c r="P23528">
        <v>0</v>
      </c>
    </row>
    <row r="23529" spans="1:16" x14ac:dyDescent="0.25">
      <c r="A23529" t="s">
        <v>46243</v>
      </c>
      <c r="B23529" t="s">
        <v>22494</v>
      </c>
      <c r="C23529" t="s">
        <v>22495</v>
      </c>
      <c r="D23529" t="str">
        <f>"4002"</f>
        <v>4002</v>
      </c>
      <c r="E23529" t="s">
        <v>22496</v>
      </c>
      <c r="F23529" t="s">
        <v>16762</v>
      </c>
      <c r="G23529" t="s">
        <v>47101</v>
      </c>
      <c r="H23529" t="s">
        <v>47054</v>
      </c>
      <c r="I23529" t="s">
        <v>47120</v>
      </c>
      <c r="J23529" t="s">
        <v>47121</v>
      </c>
      <c r="K23529" t="s">
        <v>47113</v>
      </c>
      <c r="L23529">
        <v>13.06</v>
      </c>
      <c r="M23529">
        <v>21</v>
      </c>
      <c r="N23529">
        <v>0</v>
      </c>
      <c r="O23529">
        <v>21</v>
      </c>
      <c r="P23529">
        <v>0</v>
      </c>
    </row>
    <row r="23530" spans="1:16" x14ac:dyDescent="0.25">
      <c r="A23530" t="s">
        <v>46244</v>
      </c>
      <c r="B23530" t="s">
        <v>22494</v>
      </c>
      <c r="C23530" t="s">
        <v>22495</v>
      </c>
      <c r="D23530" t="str">
        <f>"6432"</f>
        <v>6432</v>
      </c>
      <c r="E23530" t="s">
        <v>22497</v>
      </c>
      <c r="F23530" t="s">
        <v>16762</v>
      </c>
      <c r="G23530" t="s">
        <v>47101</v>
      </c>
      <c r="H23530" t="s">
        <v>47054</v>
      </c>
      <c r="I23530" t="s">
        <v>47120</v>
      </c>
      <c r="J23530" t="s">
        <v>47121</v>
      </c>
      <c r="K23530" t="s">
        <v>47113</v>
      </c>
      <c r="L23530">
        <v>13.06</v>
      </c>
      <c r="M23530">
        <v>21</v>
      </c>
      <c r="N23530">
        <v>0</v>
      </c>
      <c r="O23530">
        <v>21</v>
      </c>
      <c r="P23530">
        <v>0</v>
      </c>
    </row>
    <row r="23531" spans="1:16" x14ac:dyDescent="0.25">
      <c r="A23531" t="s">
        <v>46245</v>
      </c>
      <c r="B23531" t="s">
        <v>46246</v>
      </c>
      <c r="C23531" t="s">
        <v>46247</v>
      </c>
      <c r="D23531" t="str">
        <f>"1862"</f>
        <v>1862</v>
      </c>
      <c r="E23531" t="s">
        <v>46248</v>
      </c>
      <c r="F23531" t="s">
        <v>3750</v>
      </c>
      <c r="G23531" t="s">
        <v>47101</v>
      </c>
      <c r="H23531" t="s">
        <v>47054</v>
      </c>
      <c r="I23531" t="s">
        <v>47118</v>
      </c>
      <c r="J23531" t="s">
        <v>47119</v>
      </c>
      <c r="K23531" t="s">
        <v>47113</v>
      </c>
      <c r="L23531">
        <v>14.72</v>
      </c>
      <c r="M23531">
        <v>47</v>
      </c>
      <c r="N23531">
        <v>0</v>
      </c>
      <c r="O23531">
        <v>47</v>
      </c>
      <c r="P23531">
        <v>0</v>
      </c>
    </row>
    <row r="23532" spans="1:16" x14ac:dyDescent="0.25">
      <c r="A23532" t="s">
        <v>46249</v>
      </c>
      <c r="B23532" t="s">
        <v>46250</v>
      </c>
      <c r="C23532" t="s">
        <v>46251</v>
      </c>
      <c r="D23532" t="s">
        <v>46252</v>
      </c>
      <c r="E23532" t="s">
        <v>46253</v>
      </c>
      <c r="F23532" t="s">
        <v>24617</v>
      </c>
      <c r="G23532" t="s">
        <v>47093</v>
      </c>
      <c r="H23532" t="s">
        <v>47054</v>
      </c>
      <c r="I23532" t="s">
        <v>47120</v>
      </c>
      <c r="J23532" t="s">
        <v>47121</v>
      </c>
      <c r="K23532" t="s">
        <v>47113</v>
      </c>
      <c r="L23532">
        <v>30.67</v>
      </c>
      <c r="M23532">
        <v>126</v>
      </c>
      <c r="N23532">
        <v>339</v>
      </c>
      <c r="O23532">
        <v>126</v>
      </c>
      <c r="P23532">
        <v>339</v>
      </c>
    </row>
    <row r="23533" spans="1:16" x14ac:dyDescent="0.25">
      <c r="A23533" t="s">
        <v>46254</v>
      </c>
      <c r="B23533" t="s">
        <v>46255</v>
      </c>
      <c r="C23533" t="s">
        <v>46256</v>
      </c>
      <c r="D23533" t="s">
        <v>46252</v>
      </c>
      <c r="E23533" t="s">
        <v>46253</v>
      </c>
      <c r="F23533" t="s">
        <v>24617</v>
      </c>
      <c r="G23533" t="s">
        <v>47093</v>
      </c>
      <c r="H23533" t="s">
        <v>47054</v>
      </c>
      <c r="I23533" t="s">
        <v>47120</v>
      </c>
      <c r="J23533" t="s">
        <v>47121</v>
      </c>
      <c r="K23533" t="s">
        <v>47113</v>
      </c>
      <c r="L23533">
        <v>23.62</v>
      </c>
      <c r="M23533">
        <v>96</v>
      </c>
      <c r="N23533">
        <v>259</v>
      </c>
      <c r="O23533">
        <v>96</v>
      </c>
      <c r="P23533">
        <v>259</v>
      </c>
    </row>
    <row r="23534" spans="1:16" x14ac:dyDescent="0.25">
      <c r="A23534" t="s">
        <v>46257</v>
      </c>
      <c r="B23534" t="s">
        <v>46258</v>
      </c>
      <c r="C23534" t="s">
        <v>46259</v>
      </c>
      <c r="D23534" t="s">
        <v>46260</v>
      </c>
      <c r="E23534" t="s">
        <v>46261</v>
      </c>
      <c r="F23534" t="s">
        <v>24622</v>
      </c>
      <c r="G23534" t="s">
        <v>47093</v>
      </c>
      <c r="H23534" t="s">
        <v>47054</v>
      </c>
      <c r="I23534" t="s">
        <v>47120</v>
      </c>
      <c r="J23534" t="s">
        <v>47121</v>
      </c>
      <c r="K23534" t="s">
        <v>47113</v>
      </c>
      <c r="L23534">
        <v>30.7</v>
      </c>
      <c r="M23534">
        <v>126</v>
      </c>
      <c r="N23534">
        <v>339</v>
      </c>
      <c r="O23534">
        <v>126</v>
      </c>
      <c r="P23534">
        <v>339</v>
      </c>
    </row>
    <row r="23535" spans="1:16" x14ac:dyDescent="0.25">
      <c r="A23535" t="s">
        <v>46262</v>
      </c>
      <c r="B23535" t="s">
        <v>46263</v>
      </c>
      <c r="C23535" t="s">
        <v>46264</v>
      </c>
      <c r="D23535" t="s">
        <v>46265</v>
      </c>
      <c r="E23535" t="s">
        <v>46266</v>
      </c>
      <c r="F23535" t="s">
        <v>24617</v>
      </c>
      <c r="G23535" t="s">
        <v>47093</v>
      </c>
      <c r="H23535" t="s">
        <v>47054</v>
      </c>
      <c r="I23535" t="s">
        <v>47120</v>
      </c>
      <c r="J23535" t="s">
        <v>47121</v>
      </c>
      <c r="K23535" t="s">
        <v>47113</v>
      </c>
      <c r="L23535">
        <v>25.01</v>
      </c>
      <c r="M23535">
        <v>114</v>
      </c>
      <c r="N23535">
        <v>309</v>
      </c>
      <c r="O23535">
        <v>114</v>
      </c>
      <c r="P23535">
        <v>309</v>
      </c>
    </row>
    <row r="23536" spans="1:16" x14ac:dyDescent="0.25">
      <c r="A23536" t="s">
        <v>46267</v>
      </c>
      <c r="B23536" t="s">
        <v>46268</v>
      </c>
      <c r="C23536" t="s">
        <v>46269</v>
      </c>
      <c r="D23536" t="s">
        <v>46270</v>
      </c>
      <c r="E23536" t="s">
        <v>46271</v>
      </c>
      <c r="F23536" t="s">
        <v>3750</v>
      </c>
      <c r="G23536" t="s">
        <v>47093</v>
      </c>
      <c r="H23536" t="s">
        <v>47054</v>
      </c>
      <c r="I23536" t="s">
        <v>47120</v>
      </c>
      <c r="J23536" t="s">
        <v>47121</v>
      </c>
      <c r="K23536" t="s">
        <v>47113</v>
      </c>
      <c r="L23536">
        <v>31.9</v>
      </c>
      <c r="M23536">
        <v>111</v>
      </c>
      <c r="N23536">
        <v>299</v>
      </c>
      <c r="O23536">
        <v>111</v>
      </c>
      <c r="P23536">
        <v>299</v>
      </c>
    </row>
    <row r="23537" spans="1:16" x14ac:dyDescent="0.25">
      <c r="A23537" t="s">
        <v>46272</v>
      </c>
      <c r="B23537" t="s">
        <v>46273</v>
      </c>
      <c r="C23537" t="s">
        <v>46274</v>
      </c>
      <c r="D23537" t="s">
        <v>46275</v>
      </c>
      <c r="E23537" t="s">
        <v>46276</v>
      </c>
      <c r="F23537" t="s">
        <v>3750</v>
      </c>
      <c r="G23537" t="s">
        <v>47093</v>
      </c>
      <c r="H23537" t="s">
        <v>47054</v>
      </c>
      <c r="I23537" t="s">
        <v>47120</v>
      </c>
      <c r="J23537" t="s">
        <v>47121</v>
      </c>
      <c r="K23537" t="s">
        <v>47113</v>
      </c>
      <c r="L23537">
        <v>19.46</v>
      </c>
      <c r="M23537">
        <v>80</v>
      </c>
      <c r="N23537">
        <v>0</v>
      </c>
      <c r="O23537">
        <v>80</v>
      </c>
      <c r="P23537">
        <v>0</v>
      </c>
    </row>
    <row r="23538" spans="1:16" x14ac:dyDescent="0.25">
      <c r="A23538" t="s">
        <v>46935</v>
      </c>
      <c r="B23538" t="s">
        <v>46936</v>
      </c>
      <c r="C23538" t="s">
        <v>22118</v>
      </c>
      <c r="D23538" t="s">
        <v>721</v>
      </c>
      <c r="E23538" t="s">
        <v>722</v>
      </c>
      <c r="F23538" t="s">
        <v>24617</v>
      </c>
      <c r="G23538" t="s">
        <v>47093</v>
      </c>
      <c r="H23538" t="s">
        <v>47054</v>
      </c>
      <c r="I23538" t="s">
        <v>47544</v>
      </c>
      <c r="J23538" t="s">
        <v>47545</v>
      </c>
      <c r="K23538" t="s">
        <v>47113</v>
      </c>
      <c r="L23538">
        <v>21.33</v>
      </c>
      <c r="M23538">
        <v>96</v>
      </c>
      <c r="N23538">
        <v>259</v>
      </c>
      <c r="O23538">
        <v>96</v>
      </c>
      <c r="P23538">
        <v>259</v>
      </c>
    </row>
    <row r="23539" spans="1:16" x14ac:dyDescent="0.25">
      <c r="A23539" t="s">
        <v>46277</v>
      </c>
      <c r="B23539" t="s">
        <v>13980</v>
      </c>
      <c r="C23539" t="s">
        <v>13981</v>
      </c>
      <c r="D23539" t="str">
        <f>"1001"</f>
        <v>1001</v>
      </c>
      <c r="E23539" t="s">
        <v>42</v>
      </c>
      <c r="F23539" t="s">
        <v>4</v>
      </c>
      <c r="G23539" t="s">
        <v>47098</v>
      </c>
      <c r="H23539" t="s">
        <v>47054</v>
      </c>
      <c r="I23539" t="s">
        <v>47120</v>
      </c>
      <c r="J23539" t="s">
        <v>47121</v>
      </c>
      <c r="K23539" t="s">
        <v>47113</v>
      </c>
      <c r="L23539">
        <v>67.069999999999993</v>
      </c>
      <c r="M23539">
        <v>163</v>
      </c>
      <c r="N23539">
        <v>0</v>
      </c>
      <c r="O23539">
        <v>163</v>
      </c>
      <c r="P23539">
        <v>0</v>
      </c>
    </row>
    <row r="23540" spans="1:16" x14ac:dyDescent="0.25">
      <c r="A23540" t="s">
        <v>22964</v>
      </c>
      <c r="B23540" t="s">
        <v>22965</v>
      </c>
      <c r="C23540" t="s">
        <v>22966</v>
      </c>
      <c r="D23540" t="s">
        <v>22967</v>
      </c>
      <c r="E23540" t="s">
        <v>22968</v>
      </c>
      <c r="F23540" t="s">
        <v>3750</v>
      </c>
      <c r="G23540" t="s">
        <v>47093</v>
      </c>
      <c r="H23540" t="s">
        <v>47054</v>
      </c>
      <c r="I23540" t="s">
        <v>47120</v>
      </c>
      <c r="J23540" t="s">
        <v>47121</v>
      </c>
      <c r="K23540" t="s">
        <v>47113</v>
      </c>
      <c r="L23540">
        <v>23.01</v>
      </c>
      <c r="M23540">
        <v>80</v>
      </c>
      <c r="N23540">
        <v>0</v>
      </c>
      <c r="O23540">
        <v>80</v>
      </c>
      <c r="P23540">
        <v>0</v>
      </c>
    </row>
    <row r="23541" spans="1:16" x14ac:dyDescent="0.25">
      <c r="A23541" t="s">
        <v>46278</v>
      </c>
      <c r="B23541" t="s">
        <v>46279</v>
      </c>
      <c r="C23541" t="s">
        <v>46280</v>
      </c>
      <c r="D23541" t="s">
        <v>22972</v>
      </c>
      <c r="E23541" t="s">
        <v>22973</v>
      </c>
      <c r="F23541" t="s">
        <v>3750</v>
      </c>
      <c r="G23541" t="s">
        <v>47093</v>
      </c>
      <c r="H23541" t="s">
        <v>47054</v>
      </c>
      <c r="I23541" t="s">
        <v>47120</v>
      </c>
      <c r="J23541" t="s">
        <v>47121</v>
      </c>
      <c r="K23541" t="s">
        <v>47113</v>
      </c>
      <c r="L23541">
        <v>33.200000000000003</v>
      </c>
      <c r="M23541">
        <v>107</v>
      </c>
      <c r="N23541">
        <v>0</v>
      </c>
      <c r="O23541">
        <v>107</v>
      </c>
      <c r="P23541">
        <v>0</v>
      </c>
    </row>
    <row r="23542" spans="1:16" x14ac:dyDescent="0.25">
      <c r="A23542" t="s">
        <v>49971</v>
      </c>
      <c r="B23542" t="s">
        <v>49972</v>
      </c>
      <c r="C23542" t="s">
        <v>22395</v>
      </c>
      <c r="D23542" t="s">
        <v>49973</v>
      </c>
      <c r="E23542" t="s">
        <v>49974</v>
      </c>
      <c r="F23542" t="s">
        <v>46687</v>
      </c>
      <c r="G23542" t="s">
        <v>47093</v>
      </c>
      <c r="H23542" t="s">
        <v>47054</v>
      </c>
      <c r="I23542" t="s">
        <v>47120</v>
      </c>
      <c r="J23542" t="s">
        <v>47121</v>
      </c>
      <c r="K23542" t="s">
        <v>47113</v>
      </c>
      <c r="L23542">
        <v>22.99</v>
      </c>
      <c r="M23542">
        <v>85</v>
      </c>
      <c r="N23542">
        <v>229</v>
      </c>
      <c r="O23542">
        <v>85</v>
      </c>
      <c r="P23542">
        <v>229</v>
      </c>
    </row>
    <row r="23543" spans="1:16" x14ac:dyDescent="0.25">
      <c r="A23543" t="s">
        <v>46281</v>
      </c>
      <c r="B23543" t="s">
        <v>46282</v>
      </c>
      <c r="C23543" t="s">
        <v>46283</v>
      </c>
      <c r="D23543" t="s">
        <v>46284</v>
      </c>
      <c r="E23543" t="s">
        <v>46285</v>
      </c>
      <c r="F23543" t="s">
        <v>24617</v>
      </c>
      <c r="G23543" t="s">
        <v>47093</v>
      </c>
      <c r="H23543" t="s">
        <v>47054</v>
      </c>
      <c r="I23543" t="s">
        <v>47544</v>
      </c>
      <c r="J23543" t="s">
        <v>47545</v>
      </c>
      <c r="K23543" t="s">
        <v>47113</v>
      </c>
      <c r="L23543">
        <v>23.29</v>
      </c>
      <c r="M23543">
        <v>96</v>
      </c>
      <c r="N23543">
        <v>259</v>
      </c>
      <c r="O23543">
        <v>96</v>
      </c>
      <c r="P23543">
        <v>259</v>
      </c>
    </row>
    <row r="23544" spans="1:16" x14ac:dyDescent="0.25">
      <c r="A23544" t="s">
        <v>46286</v>
      </c>
      <c r="B23544" t="s">
        <v>46287</v>
      </c>
      <c r="C23544" t="s">
        <v>46288</v>
      </c>
      <c r="D23544" t="s">
        <v>46289</v>
      </c>
      <c r="E23544" t="s">
        <v>46290</v>
      </c>
      <c r="F23544" t="s">
        <v>3750</v>
      </c>
      <c r="G23544" t="s">
        <v>47093</v>
      </c>
      <c r="H23544" t="s">
        <v>47054</v>
      </c>
      <c r="I23544" t="s">
        <v>47120</v>
      </c>
      <c r="J23544" t="s">
        <v>47121</v>
      </c>
      <c r="K23544" t="s">
        <v>47113</v>
      </c>
      <c r="L23544">
        <v>21.96</v>
      </c>
      <c r="M23544">
        <v>85</v>
      </c>
      <c r="N23544">
        <v>229</v>
      </c>
      <c r="O23544">
        <v>85</v>
      </c>
      <c r="P23544">
        <v>229</v>
      </c>
    </row>
    <row r="23545" spans="1:16" x14ac:dyDescent="0.25">
      <c r="A23545" t="s">
        <v>46291</v>
      </c>
      <c r="B23545" t="s">
        <v>46292</v>
      </c>
      <c r="C23545" t="s">
        <v>46293</v>
      </c>
      <c r="D23545" t="s">
        <v>46275</v>
      </c>
      <c r="E23545" t="s">
        <v>46276</v>
      </c>
      <c r="F23545" t="s">
        <v>3750</v>
      </c>
      <c r="G23545" t="s">
        <v>47093</v>
      </c>
      <c r="H23545" t="s">
        <v>47054</v>
      </c>
      <c r="I23545" t="s">
        <v>47120</v>
      </c>
      <c r="J23545" t="s">
        <v>47121</v>
      </c>
      <c r="K23545" t="s">
        <v>47113</v>
      </c>
      <c r="L23545">
        <v>22.62</v>
      </c>
      <c r="M23545">
        <v>80</v>
      </c>
      <c r="N23545">
        <v>0</v>
      </c>
      <c r="O23545">
        <v>80</v>
      </c>
      <c r="P23545">
        <v>0</v>
      </c>
    </row>
    <row r="23546" spans="1:16" x14ac:dyDescent="0.25">
      <c r="A23546" t="s">
        <v>49975</v>
      </c>
      <c r="B23546" t="s">
        <v>49976</v>
      </c>
      <c r="C23546" t="s">
        <v>49977</v>
      </c>
      <c r="D23546" t="s">
        <v>49775</v>
      </c>
      <c r="E23546" t="s">
        <v>49776</v>
      </c>
      <c r="F23546" t="s">
        <v>46687</v>
      </c>
      <c r="G23546" t="s">
        <v>49029</v>
      </c>
      <c r="H23546" t="s">
        <v>47054</v>
      </c>
      <c r="I23546" t="s">
        <v>47120</v>
      </c>
      <c r="J23546" t="s">
        <v>47121</v>
      </c>
      <c r="K23546" t="s">
        <v>47113</v>
      </c>
      <c r="L23546">
        <v>20.059999999999999</v>
      </c>
      <c r="M23546">
        <v>95.93</v>
      </c>
      <c r="N23546">
        <v>259</v>
      </c>
      <c r="O23546">
        <v>95.93</v>
      </c>
      <c r="P23546">
        <v>259</v>
      </c>
    </row>
    <row r="23547" spans="1:16" x14ac:dyDescent="0.25">
      <c r="A23547" t="s">
        <v>46294</v>
      </c>
      <c r="B23547" t="s">
        <v>46295</v>
      </c>
      <c r="C23547" t="s">
        <v>46296</v>
      </c>
      <c r="D23547" t="s">
        <v>46275</v>
      </c>
      <c r="E23547" t="s">
        <v>46276</v>
      </c>
      <c r="F23547" t="s">
        <v>3750</v>
      </c>
      <c r="G23547" t="s">
        <v>47093</v>
      </c>
      <c r="H23547" t="s">
        <v>47054</v>
      </c>
      <c r="I23547" t="s">
        <v>47120</v>
      </c>
      <c r="J23547" t="s">
        <v>47121</v>
      </c>
      <c r="K23547" t="s">
        <v>47113</v>
      </c>
      <c r="L23547">
        <v>30.87</v>
      </c>
      <c r="M23547">
        <v>107</v>
      </c>
      <c r="N23547">
        <v>0</v>
      </c>
      <c r="O23547">
        <v>107</v>
      </c>
      <c r="P23547">
        <v>0</v>
      </c>
    </row>
    <row r="23548" spans="1:16" x14ac:dyDescent="0.25">
      <c r="A23548" t="s">
        <v>22969</v>
      </c>
      <c r="B23548" t="s">
        <v>22970</v>
      </c>
      <c r="C23548" t="s">
        <v>22971</v>
      </c>
      <c r="D23548" t="s">
        <v>22972</v>
      </c>
      <c r="E23548" t="s">
        <v>22973</v>
      </c>
      <c r="F23548" t="s">
        <v>3750</v>
      </c>
      <c r="G23548" t="s">
        <v>47093</v>
      </c>
      <c r="H23548" t="s">
        <v>47054</v>
      </c>
      <c r="I23548" t="s">
        <v>47120</v>
      </c>
      <c r="J23548" t="s">
        <v>47121</v>
      </c>
      <c r="K23548" t="s">
        <v>47113</v>
      </c>
      <c r="L23548">
        <v>21.97</v>
      </c>
      <c r="M23548">
        <v>94</v>
      </c>
      <c r="N23548">
        <v>0</v>
      </c>
      <c r="O23548">
        <v>94</v>
      </c>
      <c r="P23548">
        <v>0</v>
      </c>
    </row>
    <row r="23549" spans="1:16" x14ac:dyDescent="0.25">
      <c r="A23549" t="s">
        <v>22974</v>
      </c>
      <c r="B23549" t="s">
        <v>22975</v>
      </c>
      <c r="C23549" t="s">
        <v>22976</v>
      </c>
      <c r="D23549" t="s">
        <v>22972</v>
      </c>
      <c r="E23549" t="s">
        <v>22973</v>
      </c>
      <c r="F23549" t="s">
        <v>3750</v>
      </c>
      <c r="G23549" t="s">
        <v>47093</v>
      </c>
      <c r="H23549" t="s">
        <v>47054</v>
      </c>
      <c r="I23549" t="s">
        <v>47120</v>
      </c>
      <c r="J23549" t="s">
        <v>47121</v>
      </c>
      <c r="K23549" t="s">
        <v>47113</v>
      </c>
      <c r="L23549">
        <v>22.8</v>
      </c>
      <c r="M23549">
        <v>80</v>
      </c>
      <c r="N23549">
        <v>0</v>
      </c>
      <c r="O23549">
        <v>80</v>
      </c>
      <c r="P23549">
        <v>0</v>
      </c>
    </row>
    <row r="23550" spans="1:16" x14ac:dyDescent="0.25">
      <c r="A23550" t="s">
        <v>46297</v>
      </c>
      <c r="B23550" t="s">
        <v>46298</v>
      </c>
      <c r="C23550" t="s">
        <v>46299</v>
      </c>
      <c r="D23550" t="s">
        <v>46300</v>
      </c>
      <c r="E23550" t="s">
        <v>46301</v>
      </c>
      <c r="F23550" t="s">
        <v>3750</v>
      </c>
      <c r="G23550" t="s">
        <v>47093</v>
      </c>
      <c r="H23550" t="s">
        <v>47054</v>
      </c>
      <c r="I23550" t="s">
        <v>47544</v>
      </c>
      <c r="J23550" t="s">
        <v>47545</v>
      </c>
      <c r="K23550" t="s">
        <v>47113</v>
      </c>
      <c r="L23550">
        <v>25.05</v>
      </c>
      <c r="M23550">
        <v>89</v>
      </c>
      <c r="N23550">
        <v>239</v>
      </c>
      <c r="O23550">
        <v>89</v>
      </c>
      <c r="P23550">
        <v>239</v>
      </c>
    </row>
    <row r="23551" spans="1:16" x14ac:dyDescent="0.25">
      <c r="A23551" t="s">
        <v>46302</v>
      </c>
      <c r="B23551" t="s">
        <v>46303</v>
      </c>
      <c r="C23551" t="s">
        <v>46304</v>
      </c>
      <c r="D23551" t="s">
        <v>45289</v>
      </c>
      <c r="E23551" t="s">
        <v>45290</v>
      </c>
      <c r="F23551" t="s">
        <v>3750</v>
      </c>
      <c r="G23551" t="s">
        <v>47093</v>
      </c>
      <c r="H23551" t="s">
        <v>47054</v>
      </c>
      <c r="I23551" t="s">
        <v>47544</v>
      </c>
      <c r="J23551" t="s">
        <v>47545</v>
      </c>
      <c r="K23551" t="s">
        <v>47113</v>
      </c>
      <c r="L23551">
        <v>23.5</v>
      </c>
      <c r="M23551">
        <v>89</v>
      </c>
      <c r="N23551">
        <v>239</v>
      </c>
      <c r="O23551">
        <v>89</v>
      </c>
      <c r="P23551">
        <v>239</v>
      </c>
    </row>
    <row r="23552" spans="1:16" x14ac:dyDescent="0.25">
      <c r="A23552" t="s">
        <v>46305</v>
      </c>
      <c r="B23552" t="s">
        <v>46306</v>
      </c>
      <c r="C23552" t="s">
        <v>46251</v>
      </c>
      <c r="D23552" t="s">
        <v>46270</v>
      </c>
      <c r="E23552" t="s">
        <v>46271</v>
      </c>
      <c r="F23552" t="s">
        <v>3750</v>
      </c>
      <c r="G23552" t="s">
        <v>47093</v>
      </c>
      <c r="H23552" t="s">
        <v>47054</v>
      </c>
      <c r="I23552" t="s">
        <v>47120</v>
      </c>
      <c r="J23552" t="s">
        <v>47121</v>
      </c>
      <c r="K23552" t="s">
        <v>47113</v>
      </c>
      <c r="L23552">
        <v>30.91</v>
      </c>
      <c r="M23552">
        <v>126</v>
      </c>
      <c r="N23552">
        <v>339</v>
      </c>
      <c r="O23552">
        <v>126</v>
      </c>
      <c r="P23552">
        <v>339</v>
      </c>
    </row>
    <row r="23553" spans="1:16" x14ac:dyDescent="0.25">
      <c r="A23553" t="s">
        <v>49978</v>
      </c>
      <c r="B23553" t="s">
        <v>49979</v>
      </c>
      <c r="C23553" t="s">
        <v>49980</v>
      </c>
      <c r="D23553" t="s">
        <v>49973</v>
      </c>
      <c r="E23553" t="s">
        <v>49974</v>
      </c>
      <c r="F23553" t="s">
        <v>47185</v>
      </c>
      <c r="G23553" t="s">
        <v>47093</v>
      </c>
      <c r="H23553" t="s">
        <v>47054</v>
      </c>
      <c r="I23553" t="s">
        <v>47120</v>
      </c>
      <c r="J23553" t="s">
        <v>47121</v>
      </c>
      <c r="K23553" t="s">
        <v>47113</v>
      </c>
      <c r="L23553">
        <v>25.99</v>
      </c>
      <c r="M23553">
        <v>114</v>
      </c>
      <c r="N23553">
        <v>309</v>
      </c>
      <c r="O23553">
        <v>114</v>
      </c>
      <c r="P23553">
        <v>309</v>
      </c>
    </row>
    <row r="23554" spans="1:16" x14ac:dyDescent="0.25">
      <c r="A23554" t="s">
        <v>46307</v>
      </c>
      <c r="B23554" t="s">
        <v>46308</v>
      </c>
      <c r="C23554" t="s">
        <v>46309</v>
      </c>
      <c r="D23554" t="s">
        <v>46300</v>
      </c>
      <c r="E23554" t="s">
        <v>46301</v>
      </c>
      <c r="F23554" t="s">
        <v>3750</v>
      </c>
      <c r="G23554" t="s">
        <v>47093</v>
      </c>
      <c r="H23554" t="s">
        <v>47054</v>
      </c>
      <c r="I23554" t="s">
        <v>47120</v>
      </c>
      <c r="J23554" t="s">
        <v>47121</v>
      </c>
      <c r="K23554" t="s">
        <v>47113</v>
      </c>
      <c r="L23554">
        <v>28.31</v>
      </c>
      <c r="M23554">
        <v>111</v>
      </c>
      <c r="N23554">
        <v>299</v>
      </c>
      <c r="O23554">
        <v>111</v>
      </c>
      <c r="P23554">
        <v>299</v>
      </c>
    </row>
    <row r="23555" spans="1:16" x14ac:dyDescent="0.25">
      <c r="A23555" t="s">
        <v>49981</v>
      </c>
      <c r="B23555" t="s">
        <v>49982</v>
      </c>
      <c r="C23555" t="s">
        <v>49983</v>
      </c>
      <c r="D23555" t="s">
        <v>49775</v>
      </c>
      <c r="E23555" t="s">
        <v>49776</v>
      </c>
      <c r="F23555" t="s">
        <v>47163</v>
      </c>
      <c r="G23555" t="s">
        <v>47093</v>
      </c>
      <c r="H23555" t="s">
        <v>47054</v>
      </c>
      <c r="I23555" t="s">
        <v>47544</v>
      </c>
      <c r="J23555" t="s">
        <v>47545</v>
      </c>
      <c r="K23555" t="s">
        <v>47113</v>
      </c>
      <c r="L23555">
        <v>26.28</v>
      </c>
      <c r="M23555">
        <v>114</v>
      </c>
      <c r="N23555">
        <v>309</v>
      </c>
      <c r="O23555">
        <v>114</v>
      </c>
      <c r="P23555">
        <v>309</v>
      </c>
    </row>
    <row r="23556" spans="1:16" x14ac:dyDescent="0.25">
      <c r="A23556" t="s">
        <v>49984</v>
      </c>
      <c r="B23556" t="s">
        <v>49985</v>
      </c>
      <c r="C23556" t="s">
        <v>49986</v>
      </c>
      <c r="D23556" t="s">
        <v>49987</v>
      </c>
      <c r="E23556" t="s">
        <v>49988</v>
      </c>
      <c r="F23556" t="s">
        <v>46687</v>
      </c>
      <c r="G23556" t="s">
        <v>47093</v>
      </c>
      <c r="H23556" t="s">
        <v>47054</v>
      </c>
      <c r="I23556" t="s">
        <v>47120</v>
      </c>
      <c r="J23556" t="s">
        <v>47121</v>
      </c>
      <c r="K23556" t="s">
        <v>47113</v>
      </c>
      <c r="L23556">
        <v>22.8</v>
      </c>
      <c r="M23556">
        <v>85</v>
      </c>
      <c r="N23556">
        <v>229</v>
      </c>
      <c r="O23556">
        <v>85</v>
      </c>
      <c r="P23556">
        <v>229</v>
      </c>
    </row>
    <row r="23557" spans="1:16" x14ac:dyDescent="0.25">
      <c r="A23557" t="s">
        <v>46310</v>
      </c>
      <c r="B23557" t="s">
        <v>46311</v>
      </c>
      <c r="C23557" t="s">
        <v>46312</v>
      </c>
      <c r="D23557" t="s">
        <v>46313</v>
      </c>
      <c r="E23557" t="s">
        <v>46314</v>
      </c>
      <c r="F23557" t="s">
        <v>3750</v>
      </c>
      <c r="G23557" t="s">
        <v>47093</v>
      </c>
      <c r="H23557" t="s">
        <v>47054</v>
      </c>
      <c r="I23557" t="s">
        <v>47120</v>
      </c>
      <c r="J23557" t="s">
        <v>47121</v>
      </c>
      <c r="K23557" t="s">
        <v>47113</v>
      </c>
      <c r="L23557">
        <v>28.52</v>
      </c>
      <c r="M23557">
        <v>111</v>
      </c>
      <c r="N23557">
        <v>299</v>
      </c>
      <c r="O23557">
        <v>111</v>
      </c>
      <c r="P23557">
        <v>299</v>
      </c>
    </row>
    <row r="23558" spans="1:16" x14ac:dyDescent="0.25">
      <c r="A23558" t="s">
        <v>46315</v>
      </c>
      <c r="B23558" t="s">
        <v>46316</v>
      </c>
      <c r="C23558" t="s">
        <v>46317</v>
      </c>
      <c r="D23558" t="s">
        <v>46300</v>
      </c>
      <c r="E23558" t="s">
        <v>46301</v>
      </c>
      <c r="F23558" t="s">
        <v>3750</v>
      </c>
      <c r="G23558" t="s">
        <v>47093</v>
      </c>
      <c r="H23558" t="s">
        <v>47054</v>
      </c>
      <c r="I23558" t="s">
        <v>47120</v>
      </c>
      <c r="J23558" t="s">
        <v>47121</v>
      </c>
      <c r="K23558" t="s">
        <v>47113</v>
      </c>
      <c r="L23558">
        <v>23.02</v>
      </c>
      <c r="M23558">
        <v>85</v>
      </c>
      <c r="N23558">
        <v>229</v>
      </c>
      <c r="O23558">
        <v>85</v>
      </c>
      <c r="P23558">
        <v>229</v>
      </c>
    </row>
    <row r="23559" spans="1:16" x14ac:dyDescent="0.25">
      <c r="A23559" t="s">
        <v>49989</v>
      </c>
      <c r="B23559" t="s">
        <v>49990</v>
      </c>
      <c r="C23559" t="s">
        <v>49991</v>
      </c>
      <c r="D23559" t="s">
        <v>49775</v>
      </c>
      <c r="E23559" t="s">
        <v>49776</v>
      </c>
      <c r="F23559" t="s">
        <v>47185</v>
      </c>
      <c r="G23559" t="s">
        <v>47093</v>
      </c>
      <c r="H23559" t="s">
        <v>47054</v>
      </c>
      <c r="I23559" t="s">
        <v>47544</v>
      </c>
      <c r="J23559" t="s">
        <v>47545</v>
      </c>
      <c r="K23559" t="s">
        <v>47113</v>
      </c>
      <c r="L23559">
        <v>33.020000000000003</v>
      </c>
      <c r="M23559">
        <v>137</v>
      </c>
      <c r="N23559">
        <v>369</v>
      </c>
      <c r="O23559">
        <v>137</v>
      </c>
      <c r="P23559">
        <v>369</v>
      </c>
    </row>
    <row r="23560" spans="1:16" x14ac:dyDescent="0.25">
      <c r="A23560" t="s">
        <v>46318</v>
      </c>
      <c r="B23560" t="s">
        <v>13982</v>
      </c>
      <c r="C23560" t="s">
        <v>13983</v>
      </c>
      <c r="D23560" t="s">
        <v>13984</v>
      </c>
      <c r="E23560" t="s">
        <v>13985</v>
      </c>
      <c r="F23560" t="s">
        <v>4</v>
      </c>
      <c r="G23560" t="s">
        <v>47101</v>
      </c>
      <c r="H23560" t="s">
        <v>47054</v>
      </c>
      <c r="I23560" t="s">
        <v>47120</v>
      </c>
      <c r="J23560" t="s">
        <v>47121</v>
      </c>
      <c r="K23560" t="s">
        <v>47113</v>
      </c>
      <c r="L23560">
        <v>26.15</v>
      </c>
      <c r="M23560">
        <v>64</v>
      </c>
      <c r="N23560">
        <v>0</v>
      </c>
      <c r="O23560">
        <v>64</v>
      </c>
      <c r="P23560">
        <v>0</v>
      </c>
    </row>
    <row r="23561" spans="1:16" x14ac:dyDescent="0.25">
      <c r="A23561" t="s">
        <v>46319</v>
      </c>
      <c r="B23561" t="s">
        <v>13986</v>
      </c>
      <c r="C23561" t="s">
        <v>13983</v>
      </c>
      <c r="D23561" t="s">
        <v>13987</v>
      </c>
      <c r="E23561" t="s">
        <v>13988</v>
      </c>
      <c r="F23561" t="s">
        <v>4</v>
      </c>
      <c r="G23561" t="s">
        <v>47101</v>
      </c>
      <c r="H23561" t="s">
        <v>47054</v>
      </c>
      <c r="I23561" t="s">
        <v>47120</v>
      </c>
      <c r="J23561" t="s">
        <v>47121</v>
      </c>
      <c r="K23561" t="s">
        <v>47113</v>
      </c>
      <c r="L23561">
        <v>24.76</v>
      </c>
      <c r="M23561">
        <v>60</v>
      </c>
      <c r="N23561">
        <v>0</v>
      </c>
      <c r="O23561">
        <v>60</v>
      </c>
      <c r="P23561">
        <v>0</v>
      </c>
    </row>
    <row r="23562" spans="1:16" x14ac:dyDescent="0.25">
      <c r="A23562" t="s">
        <v>46320</v>
      </c>
      <c r="B23562" t="s">
        <v>22498</v>
      </c>
      <c r="C23562" t="s">
        <v>22499</v>
      </c>
      <c r="D23562" t="str">
        <f>"1006"</f>
        <v>1006</v>
      </c>
      <c r="E23562" t="s">
        <v>22500</v>
      </c>
      <c r="F23562" t="s">
        <v>16762</v>
      </c>
      <c r="G23562" t="s">
        <v>47102</v>
      </c>
      <c r="H23562" t="s">
        <v>47054</v>
      </c>
      <c r="I23562" t="s">
        <v>47120</v>
      </c>
      <c r="J23562" t="s">
        <v>47121</v>
      </c>
      <c r="K23562" t="s">
        <v>47113</v>
      </c>
      <c r="L23562">
        <v>25.31</v>
      </c>
      <c r="M23562">
        <v>46</v>
      </c>
      <c r="N23562">
        <v>0</v>
      </c>
      <c r="O23562">
        <v>46</v>
      </c>
      <c r="P23562">
        <v>0</v>
      </c>
    </row>
    <row r="23563" spans="1:16" x14ac:dyDescent="0.25">
      <c r="A23563" t="s">
        <v>46321</v>
      </c>
      <c r="B23563" t="s">
        <v>13989</v>
      </c>
      <c r="C23563" t="s">
        <v>13990</v>
      </c>
      <c r="D23563" t="str">
        <f>"1700"</f>
        <v>1700</v>
      </c>
      <c r="E23563" t="s">
        <v>60</v>
      </c>
      <c r="F23563" t="s">
        <v>0</v>
      </c>
      <c r="G23563" t="s">
        <v>47097</v>
      </c>
      <c r="H23563" t="s">
        <v>47054</v>
      </c>
      <c r="I23563" t="s">
        <v>47118</v>
      </c>
      <c r="J23563" t="s">
        <v>47119</v>
      </c>
      <c r="K23563" t="s">
        <v>47113</v>
      </c>
      <c r="L23563">
        <v>15.15</v>
      </c>
      <c r="M23563">
        <v>35</v>
      </c>
      <c r="N23563">
        <v>0</v>
      </c>
      <c r="O23563">
        <v>35</v>
      </c>
      <c r="P23563">
        <v>0</v>
      </c>
    </row>
    <row r="23564" spans="1:16" x14ac:dyDescent="0.25">
      <c r="A23564" t="s">
        <v>46322</v>
      </c>
      <c r="B23564" t="s">
        <v>13989</v>
      </c>
      <c r="C23564" t="s">
        <v>13990</v>
      </c>
      <c r="D23564" t="str">
        <f>"6415"</f>
        <v>6415</v>
      </c>
      <c r="E23564" t="s">
        <v>3354</v>
      </c>
      <c r="F23564" t="s">
        <v>0</v>
      </c>
      <c r="G23564" t="s">
        <v>47097</v>
      </c>
      <c r="H23564" t="s">
        <v>47054</v>
      </c>
      <c r="I23564" t="s">
        <v>47118</v>
      </c>
      <c r="J23564" t="s">
        <v>47119</v>
      </c>
      <c r="K23564" t="s">
        <v>47113</v>
      </c>
      <c r="L23564">
        <v>15.15</v>
      </c>
      <c r="M23564">
        <v>35</v>
      </c>
      <c r="N23564">
        <v>0</v>
      </c>
      <c r="O23564">
        <v>35</v>
      </c>
      <c r="P23564">
        <v>0</v>
      </c>
    </row>
    <row r="23565" spans="1:16" x14ac:dyDescent="0.25">
      <c r="A23565" t="s">
        <v>46323</v>
      </c>
      <c r="B23565" t="s">
        <v>13991</v>
      </c>
      <c r="C23565" t="s">
        <v>11916</v>
      </c>
      <c r="D23565" t="str">
        <f>"1001"</f>
        <v>1001</v>
      </c>
      <c r="E23565" t="s">
        <v>42</v>
      </c>
      <c r="F23565" t="s">
        <v>1</v>
      </c>
      <c r="G23565" t="s">
        <v>47091</v>
      </c>
      <c r="H23565" t="s">
        <v>47054</v>
      </c>
      <c r="I23565" t="s">
        <v>47111</v>
      </c>
      <c r="J23565" t="s">
        <v>47112</v>
      </c>
      <c r="K23565" t="s">
        <v>47113</v>
      </c>
      <c r="L23565">
        <v>6.81</v>
      </c>
      <c r="M23565">
        <v>17</v>
      </c>
      <c r="N23565">
        <v>0</v>
      </c>
      <c r="O23565">
        <v>17</v>
      </c>
      <c r="P23565">
        <v>0</v>
      </c>
    </row>
    <row r="23566" spans="1:16" x14ac:dyDescent="0.25">
      <c r="A23566" t="s">
        <v>46324</v>
      </c>
      <c r="B23566" t="s">
        <v>13991</v>
      </c>
      <c r="C23566" t="s">
        <v>11916</v>
      </c>
      <c r="D23566" t="str">
        <f>"3501"</f>
        <v>3501</v>
      </c>
      <c r="E23566" t="s">
        <v>3758</v>
      </c>
      <c r="F23566" t="s">
        <v>1</v>
      </c>
      <c r="G23566" t="s">
        <v>47091</v>
      </c>
      <c r="H23566" t="s">
        <v>47054</v>
      </c>
      <c r="I23566" t="s">
        <v>47111</v>
      </c>
      <c r="J23566" t="s">
        <v>47112</v>
      </c>
      <c r="K23566" t="s">
        <v>47113</v>
      </c>
      <c r="L23566">
        <v>6.81</v>
      </c>
      <c r="M23566">
        <v>17</v>
      </c>
      <c r="N23566">
        <v>0</v>
      </c>
      <c r="O23566">
        <v>17</v>
      </c>
      <c r="P23566">
        <v>0</v>
      </c>
    </row>
    <row r="23567" spans="1:16" x14ac:dyDescent="0.25">
      <c r="A23567" t="s">
        <v>46325</v>
      </c>
      <c r="B23567" t="s">
        <v>13991</v>
      </c>
      <c r="C23567" t="s">
        <v>11916</v>
      </c>
      <c r="D23567" t="str">
        <f>"6442"</f>
        <v>6442</v>
      </c>
      <c r="E23567" t="s">
        <v>13992</v>
      </c>
      <c r="F23567" t="s">
        <v>1</v>
      </c>
      <c r="G23567" t="s">
        <v>47091</v>
      </c>
      <c r="H23567" t="s">
        <v>47054</v>
      </c>
      <c r="I23567" t="s">
        <v>47111</v>
      </c>
      <c r="J23567" t="s">
        <v>47112</v>
      </c>
      <c r="K23567" t="s">
        <v>47113</v>
      </c>
      <c r="L23567">
        <v>6.81</v>
      </c>
      <c r="M23567">
        <v>17</v>
      </c>
      <c r="N23567">
        <v>0</v>
      </c>
      <c r="O23567">
        <v>17</v>
      </c>
      <c r="P23567">
        <v>0</v>
      </c>
    </row>
    <row r="23568" spans="1:16" x14ac:dyDescent="0.25">
      <c r="A23568" t="s">
        <v>46326</v>
      </c>
      <c r="B23568" t="s">
        <v>13991</v>
      </c>
      <c r="C23568" t="s">
        <v>11916</v>
      </c>
      <c r="D23568" t="str">
        <f>"7456"</f>
        <v>7456</v>
      </c>
      <c r="E23568" t="s">
        <v>13993</v>
      </c>
      <c r="F23568" t="s">
        <v>1</v>
      </c>
      <c r="G23568" t="s">
        <v>47091</v>
      </c>
      <c r="H23568" t="s">
        <v>47054</v>
      </c>
      <c r="I23568" t="s">
        <v>47111</v>
      </c>
      <c r="J23568" t="s">
        <v>47112</v>
      </c>
      <c r="K23568" t="s">
        <v>47113</v>
      </c>
      <c r="L23568">
        <v>6.81</v>
      </c>
      <c r="M23568">
        <v>17</v>
      </c>
      <c r="N23568">
        <v>0</v>
      </c>
      <c r="O23568">
        <v>17</v>
      </c>
      <c r="P23568">
        <v>0</v>
      </c>
    </row>
    <row r="23569" spans="1:16" x14ac:dyDescent="0.25">
      <c r="A23569" t="s">
        <v>46327</v>
      </c>
      <c r="B23569" t="s">
        <v>13994</v>
      </c>
      <c r="C23569" t="s">
        <v>13995</v>
      </c>
      <c r="D23569" t="str">
        <f>"1700"</f>
        <v>1700</v>
      </c>
      <c r="E23569" t="s">
        <v>60</v>
      </c>
      <c r="F23569" t="s">
        <v>1</v>
      </c>
      <c r="G23569" t="s">
        <v>47091</v>
      </c>
      <c r="H23569" t="s">
        <v>47054</v>
      </c>
      <c r="I23569" t="s">
        <v>47111</v>
      </c>
      <c r="J23569" t="s">
        <v>47112</v>
      </c>
      <c r="K23569" t="s">
        <v>47113</v>
      </c>
      <c r="L23569">
        <v>6.55</v>
      </c>
      <c r="M23569">
        <v>16</v>
      </c>
      <c r="N23569">
        <v>0</v>
      </c>
      <c r="O23569">
        <v>16</v>
      </c>
      <c r="P23569">
        <v>0</v>
      </c>
    </row>
    <row r="23570" spans="1:16" x14ac:dyDescent="0.25">
      <c r="A23570" t="s">
        <v>46328</v>
      </c>
      <c r="B23570" t="s">
        <v>13994</v>
      </c>
      <c r="C23570" t="s">
        <v>13995</v>
      </c>
      <c r="D23570" t="str">
        <f>"3501"</f>
        <v>3501</v>
      </c>
      <c r="E23570" t="s">
        <v>3758</v>
      </c>
      <c r="F23570" t="s">
        <v>1</v>
      </c>
      <c r="G23570" t="s">
        <v>47091</v>
      </c>
      <c r="H23570" t="s">
        <v>47054</v>
      </c>
      <c r="I23570" t="s">
        <v>47111</v>
      </c>
      <c r="J23570" t="s">
        <v>47112</v>
      </c>
      <c r="K23570" t="s">
        <v>47113</v>
      </c>
      <c r="L23570">
        <v>6.55</v>
      </c>
      <c r="M23570">
        <v>16</v>
      </c>
      <c r="N23570">
        <v>0</v>
      </c>
      <c r="O23570">
        <v>16</v>
      </c>
      <c r="P23570">
        <v>0</v>
      </c>
    </row>
    <row r="23571" spans="1:16" x14ac:dyDescent="0.25">
      <c r="A23571" t="s">
        <v>46329</v>
      </c>
      <c r="B23571" t="s">
        <v>13994</v>
      </c>
      <c r="C23571" t="s">
        <v>13995</v>
      </c>
      <c r="D23571" t="str">
        <f>"6442"</f>
        <v>6442</v>
      </c>
      <c r="E23571" t="s">
        <v>13992</v>
      </c>
      <c r="F23571" t="s">
        <v>1</v>
      </c>
      <c r="G23571" t="s">
        <v>47091</v>
      </c>
      <c r="H23571" t="s">
        <v>47054</v>
      </c>
      <c r="I23571" t="s">
        <v>47111</v>
      </c>
      <c r="J23571" t="s">
        <v>47112</v>
      </c>
      <c r="K23571" t="s">
        <v>47113</v>
      </c>
      <c r="L23571">
        <v>6.55</v>
      </c>
      <c r="M23571">
        <v>16</v>
      </c>
      <c r="N23571">
        <v>0</v>
      </c>
      <c r="O23571">
        <v>16</v>
      </c>
      <c r="P23571">
        <v>0</v>
      </c>
    </row>
    <row r="23572" spans="1:16" x14ac:dyDescent="0.25">
      <c r="A23572" t="s">
        <v>46330</v>
      </c>
      <c r="B23572" t="s">
        <v>13994</v>
      </c>
      <c r="C23572" t="s">
        <v>13995</v>
      </c>
      <c r="D23572" t="str">
        <f>"7456"</f>
        <v>7456</v>
      </c>
      <c r="E23572" t="s">
        <v>13993</v>
      </c>
      <c r="F23572" t="s">
        <v>1</v>
      </c>
      <c r="G23572" t="s">
        <v>47091</v>
      </c>
      <c r="H23572" t="s">
        <v>47054</v>
      </c>
      <c r="I23572" t="s">
        <v>47111</v>
      </c>
      <c r="J23572" t="s">
        <v>47112</v>
      </c>
      <c r="K23572" t="s">
        <v>47113</v>
      </c>
      <c r="L23572">
        <v>6.55</v>
      </c>
      <c r="M23572">
        <v>16</v>
      </c>
      <c r="N23572">
        <v>0</v>
      </c>
      <c r="O23572">
        <v>16</v>
      </c>
      <c r="P23572">
        <v>0</v>
      </c>
    </row>
    <row r="23573" spans="1:16" x14ac:dyDescent="0.25">
      <c r="A23573" t="s">
        <v>46331</v>
      </c>
      <c r="B23573" t="s">
        <v>13996</v>
      </c>
      <c r="C23573" t="s">
        <v>13997</v>
      </c>
      <c r="D23573" t="str">
        <f>"6417"</f>
        <v>6417</v>
      </c>
      <c r="E23573" t="s">
        <v>13998</v>
      </c>
      <c r="F23573" t="s">
        <v>0</v>
      </c>
      <c r="G23573" t="s">
        <v>47091</v>
      </c>
      <c r="H23573" t="s">
        <v>47054</v>
      </c>
      <c r="I23573" t="s">
        <v>47111</v>
      </c>
      <c r="J23573" t="s">
        <v>47112</v>
      </c>
      <c r="K23573" t="s">
        <v>47113</v>
      </c>
      <c r="L23573">
        <v>11.71</v>
      </c>
      <c r="M23573">
        <v>28</v>
      </c>
      <c r="N23573">
        <v>0</v>
      </c>
      <c r="O23573">
        <v>28</v>
      </c>
      <c r="P23573">
        <v>0</v>
      </c>
    </row>
    <row r="23574" spans="1:16" x14ac:dyDescent="0.25">
      <c r="A23574" t="s">
        <v>46332</v>
      </c>
      <c r="B23574" t="s">
        <v>13999</v>
      </c>
      <c r="C23574" t="s">
        <v>14000</v>
      </c>
      <c r="D23574" t="str">
        <f>"1941"</f>
        <v>1941</v>
      </c>
      <c r="E23574" t="s">
        <v>7531</v>
      </c>
      <c r="F23574" t="s">
        <v>0</v>
      </c>
      <c r="G23574" t="s">
        <v>47092</v>
      </c>
      <c r="H23574" t="s">
        <v>47054</v>
      </c>
      <c r="I23574" t="s">
        <v>47111</v>
      </c>
      <c r="J23574" t="s">
        <v>47112</v>
      </c>
      <c r="K23574" t="s">
        <v>47113</v>
      </c>
      <c r="L23574">
        <v>11.42</v>
      </c>
      <c r="M23574">
        <v>25</v>
      </c>
      <c r="N23574">
        <v>0</v>
      </c>
      <c r="O23574">
        <v>25</v>
      </c>
      <c r="P23574">
        <v>0</v>
      </c>
    </row>
    <row r="23575" spans="1:16" x14ac:dyDescent="0.25">
      <c r="A23575" t="s">
        <v>46333</v>
      </c>
      <c r="B23575" t="s">
        <v>1535</v>
      </c>
      <c r="C23575" t="s">
        <v>1536</v>
      </c>
      <c r="D23575" t="str">
        <f>"1990"</f>
        <v>1990</v>
      </c>
      <c r="E23575" t="s">
        <v>1537</v>
      </c>
      <c r="F23575" t="s">
        <v>0</v>
      </c>
      <c r="G23575" t="s">
        <v>47092</v>
      </c>
      <c r="H23575" t="s">
        <v>47054</v>
      </c>
      <c r="I23575" t="s">
        <v>47111</v>
      </c>
      <c r="J23575" t="s">
        <v>47112</v>
      </c>
      <c r="K23575" t="s">
        <v>47113</v>
      </c>
      <c r="L23575">
        <v>11.11</v>
      </c>
      <c r="M23575">
        <v>24</v>
      </c>
      <c r="N23575">
        <v>0</v>
      </c>
      <c r="O23575">
        <v>24</v>
      </c>
      <c r="P23575">
        <v>0</v>
      </c>
    </row>
    <row r="23576" spans="1:16" x14ac:dyDescent="0.25">
      <c r="A23576" t="s">
        <v>46334</v>
      </c>
      <c r="B23576" t="s">
        <v>1538</v>
      </c>
      <c r="C23576" t="s">
        <v>1539</v>
      </c>
      <c r="D23576" t="str">
        <f>"1001"</f>
        <v>1001</v>
      </c>
      <c r="E23576" t="s">
        <v>1540</v>
      </c>
      <c r="F23576" t="s">
        <v>0</v>
      </c>
      <c r="G23576" t="s">
        <v>47092</v>
      </c>
      <c r="H23576" t="s">
        <v>47054</v>
      </c>
      <c r="I23576" t="s">
        <v>47111</v>
      </c>
      <c r="J23576" t="s">
        <v>47112</v>
      </c>
      <c r="K23576" t="s">
        <v>47113</v>
      </c>
      <c r="L23576">
        <v>10.76</v>
      </c>
      <c r="M23576">
        <v>24</v>
      </c>
      <c r="N23576">
        <v>0</v>
      </c>
      <c r="O23576">
        <v>24</v>
      </c>
      <c r="P23576">
        <v>0</v>
      </c>
    </row>
    <row r="23577" spans="1:16" x14ac:dyDescent="0.25">
      <c r="A23577" t="s">
        <v>46335</v>
      </c>
      <c r="B23577" t="s">
        <v>14001</v>
      </c>
      <c r="C23577" t="s">
        <v>14002</v>
      </c>
      <c r="D23577" t="str">
        <f>"1001"</f>
        <v>1001</v>
      </c>
      <c r="E23577" t="s">
        <v>1540</v>
      </c>
      <c r="F23577" t="s">
        <v>0</v>
      </c>
      <c r="G23577" t="s">
        <v>47092</v>
      </c>
      <c r="H23577" t="s">
        <v>47054</v>
      </c>
      <c r="I23577" t="s">
        <v>47111</v>
      </c>
      <c r="J23577" t="s">
        <v>47112</v>
      </c>
      <c r="K23577" t="s">
        <v>47113</v>
      </c>
      <c r="L23577">
        <v>10.47</v>
      </c>
      <c r="M23577">
        <v>23</v>
      </c>
      <c r="N23577">
        <v>0</v>
      </c>
      <c r="O23577">
        <v>23</v>
      </c>
      <c r="P23577">
        <v>0</v>
      </c>
    </row>
    <row r="23578" spans="1:16" x14ac:dyDescent="0.25">
      <c r="A23578" t="s">
        <v>46336</v>
      </c>
      <c r="B23578" t="s">
        <v>14003</v>
      </c>
      <c r="C23578" t="s">
        <v>14004</v>
      </c>
      <c r="D23578" t="str">
        <f>"3480"</f>
        <v>3480</v>
      </c>
      <c r="E23578" t="s">
        <v>14005</v>
      </c>
      <c r="F23578" t="s">
        <v>0</v>
      </c>
      <c r="G23578" t="s">
        <v>47092</v>
      </c>
      <c r="H23578" t="s">
        <v>47054</v>
      </c>
      <c r="I23578" t="s">
        <v>47111</v>
      </c>
      <c r="J23578" t="s">
        <v>47112</v>
      </c>
      <c r="K23578" t="s">
        <v>47113</v>
      </c>
      <c r="L23578">
        <v>10.43</v>
      </c>
      <c r="M23578">
        <v>24</v>
      </c>
      <c r="N23578">
        <v>0</v>
      </c>
      <c r="O23578">
        <v>24</v>
      </c>
      <c r="P23578">
        <v>0</v>
      </c>
    </row>
    <row r="23579" spans="1:16" x14ac:dyDescent="0.25">
      <c r="A23579" t="s">
        <v>46337</v>
      </c>
      <c r="B23579" t="s">
        <v>14006</v>
      </c>
      <c r="C23579" t="s">
        <v>14007</v>
      </c>
      <c r="D23579" t="str">
        <f>"1417"</f>
        <v>1417</v>
      </c>
      <c r="E23579" t="s">
        <v>14008</v>
      </c>
      <c r="F23579" t="s">
        <v>0</v>
      </c>
      <c r="G23579" t="s">
        <v>47092</v>
      </c>
      <c r="H23579" t="s">
        <v>47054</v>
      </c>
      <c r="I23579" t="s">
        <v>47111</v>
      </c>
      <c r="J23579" t="s">
        <v>47112</v>
      </c>
      <c r="K23579" t="s">
        <v>47113</v>
      </c>
      <c r="L23579">
        <v>10.039999999999999</v>
      </c>
      <c r="M23579">
        <v>24</v>
      </c>
      <c r="N23579">
        <v>0</v>
      </c>
      <c r="O23579">
        <v>24</v>
      </c>
      <c r="P23579">
        <v>0</v>
      </c>
    </row>
    <row r="23580" spans="1:16" x14ac:dyDescent="0.25">
      <c r="A23580" t="s">
        <v>46338</v>
      </c>
      <c r="B23580" t="s">
        <v>14009</v>
      </c>
      <c r="C23580" t="s">
        <v>14010</v>
      </c>
      <c r="D23580" t="str">
        <f>"6417"</f>
        <v>6417</v>
      </c>
      <c r="E23580" t="s">
        <v>13998</v>
      </c>
      <c r="F23580" t="s">
        <v>0</v>
      </c>
      <c r="G23580" t="s">
        <v>47091</v>
      </c>
      <c r="H23580" t="s">
        <v>47054</v>
      </c>
      <c r="I23580" t="s">
        <v>47111</v>
      </c>
      <c r="J23580" t="s">
        <v>47112</v>
      </c>
      <c r="K23580" t="s">
        <v>47113</v>
      </c>
      <c r="L23580">
        <v>11.71</v>
      </c>
      <c r="M23580">
        <v>27</v>
      </c>
      <c r="N23580">
        <v>0</v>
      </c>
      <c r="O23580">
        <v>27</v>
      </c>
      <c r="P23580">
        <v>0</v>
      </c>
    </row>
    <row r="23581" spans="1:16" x14ac:dyDescent="0.25">
      <c r="A23581" t="s">
        <v>46339</v>
      </c>
      <c r="B23581" t="s">
        <v>14011</v>
      </c>
      <c r="C23581" t="s">
        <v>14012</v>
      </c>
      <c r="D23581" t="str">
        <f>"1001"</f>
        <v>1001</v>
      </c>
      <c r="E23581" t="s">
        <v>1540</v>
      </c>
      <c r="F23581" t="s">
        <v>0</v>
      </c>
      <c r="G23581" t="s">
        <v>47091</v>
      </c>
      <c r="H23581" t="s">
        <v>47054</v>
      </c>
      <c r="I23581" t="s">
        <v>47111</v>
      </c>
      <c r="J23581" t="s">
        <v>47112</v>
      </c>
      <c r="K23581" t="s">
        <v>47113</v>
      </c>
      <c r="L23581">
        <v>12.17</v>
      </c>
      <c r="M23581">
        <v>25</v>
      </c>
      <c r="N23581">
        <v>0</v>
      </c>
      <c r="O23581">
        <v>25</v>
      </c>
      <c r="P23581">
        <v>0</v>
      </c>
    </row>
    <row r="23582" spans="1:16" x14ac:dyDescent="0.25">
      <c r="A23582" t="s">
        <v>46340</v>
      </c>
      <c r="B23582" t="s">
        <v>14011</v>
      </c>
      <c r="C23582" t="s">
        <v>14012</v>
      </c>
      <c r="D23582" t="str">
        <f>"1941"</f>
        <v>1941</v>
      </c>
      <c r="E23582" t="s">
        <v>7531</v>
      </c>
      <c r="F23582" t="s">
        <v>0</v>
      </c>
      <c r="G23582" t="s">
        <v>47091</v>
      </c>
      <c r="H23582" t="s">
        <v>47054</v>
      </c>
      <c r="I23582" t="s">
        <v>47111</v>
      </c>
      <c r="J23582" t="s">
        <v>47112</v>
      </c>
      <c r="K23582" t="s">
        <v>47113</v>
      </c>
      <c r="L23582">
        <v>12.17</v>
      </c>
      <c r="M23582">
        <v>25</v>
      </c>
      <c r="N23582">
        <v>0</v>
      </c>
      <c r="O23582">
        <v>25</v>
      </c>
      <c r="P23582">
        <v>0</v>
      </c>
    </row>
    <row r="23583" spans="1:16" x14ac:dyDescent="0.25">
      <c r="A23583" t="s">
        <v>46341</v>
      </c>
      <c r="B23583" t="s">
        <v>14011</v>
      </c>
      <c r="C23583" t="s">
        <v>14012</v>
      </c>
      <c r="D23583" t="str">
        <f>"3480"</f>
        <v>3480</v>
      </c>
      <c r="E23583" t="s">
        <v>14005</v>
      </c>
      <c r="F23583" t="s">
        <v>0</v>
      </c>
      <c r="G23583" t="s">
        <v>47091</v>
      </c>
      <c r="H23583" t="s">
        <v>47054</v>
      </c>
      <c r="I23583" t="s">
        <v>47111</v>
      </c>
      <c r="J23583" t="s">
        <v>47112</v>
      </c>
      <c r="K23583" t="s">
        <v>47113</v>
      </c>
      <c r="L23583">
        <v>12.17</v>
      </c>
      <c r="M23583">
        <v>27</v>
      </c>
      <c r="N23583">
        <v>0</v>
      </c>
      <c r="O23583">
        <v>27</v>
      </c>
      <c r="P23583">
        <v>0</v>
      </c>
    </row>
    <row r="23584" spans="1:16" x14ac:dyDescent="0.25">
      <c r="A23584" t="s">
        <v>46342</v>
      </c>
      <c r="B23584" t="s">
        <v>14011</v>
      </c>
      <c r="C23584" t="s">
        <v>14012</v>
      </c>
      <c r="D23584" t="str">
        <f>"4714"</f>
        <v>4714</v>
      </c>
      <c r="E23584" t="s">
        <v>14013</v>
      </c>
      <c r="F23584" t="s">
        <v>0</v>
      </c>
      <c r="G23584" t="s">
        <v>47091</v>
      </c>
      <c r="H23584" t="s">
        <v>47054</v>
      </c>
      <c r="I23584" t="s">
        <v>47111</v>
      </c>
      <c r="J23584" t="s">
        <v>47112</v>
      </c>
      <c r="K23584" t="s">
        <v>47113</v>
      </c>
      <c r="L23584">
        <v>12.17</v>
      </c>
      <c r="M23584">
        <v>27</v>
      </c>
      <c r="N23584">
        <v>0</v>
      </c>
      <c r="O23584">
        <v>27</v>
      </c>
      <c r="P23584">
        <v>0</v>
      </c>
    </row>
    <row r="23585" spans="1:16" x14ac:dyDescent="0.25">
      <c r="A23585" t="s">
        <v>46343</v>
      </c>
      <c r="B23585" t="s">
        <v>14014</v>
      </c>
      <c r="C23585" t="s">
        <v>14015</v>
      </c>
      <c r="D23585" t="str">
        <f>"1001"</f>
        <v>1001</v>
      </c>
      <c r="E23585" t="s">
        <v>1540</v>
      </c>
      <c r="F23585" t="s">
        <v>0</v>
      </c>
      <c r="G23585" t="s">
        <v>47091</v>
      </c>
      <c r="H23585" t="s">
        <v>47054</v>
      </c>
      <c r="I23585" t="s">
        <v>47111</v>
      </c>
      <c r="J23585" t="s">
        <v>47112</v>
      </c>
      <c r="K23585" t="s">
        <v>47113</v>
      </c>
      <c r="L23585">
        <v>12.17</v>
      </c>
      <c r="M23585">
        <v>30</v>
      </c>
      <c r="N23585">
        <v>0</v>
      </c>
      <c r="O23585">
        <v>30</v>
      </c>
      <c r="P23585">
        <v>0</v>
      </c>
    </row>
    <row r="23586" spans="1:16" x14ac:dyDescent="0.25">
      <c r="A23586" t="s">
        <v>46344</v>
      </c>
      <c r="B23586" t="s">
        <v>14014</v>
      </c>
      <c r="C23586" t="s">
        <v>14015</v>
      </c>
      <c r="D23586" t="str">
        <f>"1941"</f>
        <v>1941</v>
      </c>
      <c r="E23586" t="s">
        <v>7531</v>
      </c>
      <c r="F23586" t="s">
        <v>0</v>
      </c>
      <c r="G23586" t="s">
        <v>47091</v>
      </c>
      <c r="H23586" t="s">
        <v>47054</v>
      </c>
      <c r="I23586" t="s">
        <v>47111</v>
      </c>
      <c r="J23586" t="s">
        <v>47112</v>
      </c>
      <c r="K23586" t="s">
        <v>47113</v>
      </c>
      <c r="L23586">
        <v>12.17</v>
      </c>
      <c r="M23586">
        <v>30</v>
      </c>
      <c r="N23586">
        <v>0</v>
      </c>
      <c r="O23586">
        <v>30</v>
      </c>
      <c r="P23586">
        <v>0</v>
      </c>
    </row>
    <row r="23587" spans="1:16" x14ac:dyDescent="0.25">
      <c r="A23587" t="s">
        <v>46345</v>
      </c>
      <c r="B23587" t="s">
        <v>14014</v>
      </c>
      <c r="C23587" t="s">
        <v>14015</v>
      </c>
      <c r="D23587" t="str">
        <f>"3480"</f>
        <v>3480</v>
      </c>
      <c r="E23587" t="s">
        <v>14005</v>
      </c>
      <c r="F23587" t="s">
        <v>0</v>
      </c>
      <c r="G23587" t="s">
        <v>47091</v>
      </c>
      <c r="H23587" t="s">
        <v>47054</v>
      </c>
      <c r="I23587" t="s">
        <v>47111</v>
      </c>
      <c r="J23587" t="s">
        <v>47112</v>
      </c>
      <c r="K23587" t="s">
        <v>47113</v>
      </c>
      <c r="L23587">
        <v>12.17</v>
      </c>
      <c r="M23587">
        <v>30</v>
      </c>
      <c r="N23587">
        <v>0</v>
      </c>
      <c r="O23587">
        <v>30</v>
      </c>
      <c r="P23587">
        <v>0</v>
      </c>
    </row>
    <row r="23588" spans="1:16" x14ac:dyDescent="0.25">
      <c r="A23588" t="s">
        <v>46346</v>
      </c>
      <c r="B23588" t="s">
        <v>14014</v>
      </c>
      <c r="C23588" t="s">
        <v>14015</v>
      </c>
      <c r="D23588" t="str">
        <f>"4714"</f>
        <v>4714</v>
      </c>
      <c r="E23588" t="s">
        <v>14013</v>
      </c>
      <c r="F23588" t="s">
        <v>0</v>
      </c>
      <c r="G23588" t="s">
        <v>47091</v>
      </c>
      <c r="H23588" t="s">
        <v>47054</v>
      </c>
      <c r="I23588" t="s">
        <v>47111</v>
      </c>
      <c r="J23588" t="s">
        <v>47112</v>
      </c>
      <c r="K23588" t="s">
        <v>47113</v>
      </c>
      <c r="L23588">
        <v>12.17</v>
      </c>
      <c r="M23588">
        <v>30</v>
      </c>
      <c r="N23588">
        <v>0</v>
      </c>
      <c r="O23588">
        <v>30</v>
      </c>
      <c r="P23588">
        <v>0</v>
      </c>
    </row>
    <row r="23589" spans="1:16" x14ac:dyDescent="0.25">
      <c r="A23589" t="s">
        <v>46347</v>
      </c>
      <c r="B23589" t="s">
        <v>14016</v>
      </c>
      <c r="C23589" t="s">
        <v>14017</v>
      </c>
      <c r="D23589" t="str">
        <f>"4838"</f>
        <v>4838</v>
      </c>
      <c r="E23589" t="s">
        <v>14018</v>
      </c>
      <c r="F23589" t="s">
        <v>0</v>
      </c>
      <c r="G23589" t="s">
        <v>47097</v>
      </c>
      <c r="H23589" t="s">
        <v>47054</v>
      </c>
      <c r="I23589" t="s">
        <v>47120</v>
      </c>
      <c r="J23589" t="s">
        <v>47121</v>
      </c>
      <c r="K23589" t="s">
        <v>47113</v>
      </c>
      <c r="L23589">
        <v>14.97</v>
      </c>
      <c r="M23589">
        <v>30</v>
      </c>
      <c r="N23589">
        <v>0</v>
      </c>
      <c r="O23589">
        <v>30</v>
      </c>
      <c r="P23589">
        <v>0</v>
      </c>
    </row>
    <row r="23590" spans="1:16" x14ac:dyDescent="0.25">
      <c r="A23590" t="s">
        <v>46348</v>
      </c>
      <c r="B23590" t="s">
        <v>14019</v>
      </c>
      <c r="C23590" t="s">
        <v>14020</v>
      </c>
      <c r="D23590" t="str">
        <f>"4838"</f>
        <v>4838</v>
      </c>
      <c r="E23590" t="s">
        <v>14018</v>
      </c>
      <c r="F23590" t="s">
        <v>0</v>
      </c>
      <c r="G23590" t="s">
        <v>47092</v>
      </c>
      <c r="H23590" t="s">
        <v>47054</v>
      </c>
      <c r="I23590" t="s">
        <v>47120</v>
      </c>
      <c r="J23590" t="s">
        <v>47121</v>
      </c>
      <c r="K23590" t="s">
        <v>47113</v>
      </c>
      <c r="L23590">
        <v>14.75</v>
      </c>
      <c r="M23590">
        <v>30</v>
      </c>
      <c r="N23590">
        <v>0</v>
      </c>
      <c r="O23590">
        <v>30</v>
      </c>
      <c r="P23590">
        <v>0</v>
      </c>
    </row>
    <row r="23591" spans="1:16" x14ac:dyDescent="0.25">
      <c r="A23591" t="s">
        <v>46349</v>
      </c>
      <c r="B23591" t="s">
        <v>14021</v>
      </c>
      <c r="C23591" t="s">
        <v>14022</v>
      </c>
      <c r="D23591" t="str">
        <f>"4844"</f>
        <v>4844</v>
      </c>
      <c r="E23591" t="s">
        <v>14023</v>
      </c>
      <c r="F23591" t="s">
        <v>0</v>
      </c>
      <c r="G23591" t="s">
        <v>47097</v>
      </c>
      <c r="H23591" t="s">
        <v>47054</v>
      </c>
      <c r="I23591" t="s">
        <v>47118</v>
      </c>
      <c r="J23591" t="s">
        <v>47119</v>
      </c>
      <c r="K23591" t="s">
        <v>47113</v>
      </c>
      <c r="L23591">
        <v>14.28</v>
      </c>
      <c r="M23591">
        <v>30</v>
      </c>
      <c r="N23591">
        <v>0</v>
      </c>
      <c r="O23591">
        <v>30</v>
      </c>
      <c r="P23591">
        <v>0</v>
      </c>
    </row>
    <row r="23592" spans="1:16" x14ac:dyDescent="0.25">
      <c r="A23592" t="s">
        <v>46350</v>
      </c>
      <c r="B23592" t="s">
        <v>14024</v>
      </c>
      <c r="C23592" t="s">
        <v>14025</v>
      </c>
      <c r="D23592" t="str">
        <f>"2666"</f>
        <v>2666</v>
      </c>
      <c r="E23592" t="s">
        <v>3359</v>
      </c>
      <c r="F23592" t="s">
        <v>0</v>
      </c>
      <c r="G23592" t="s">
        <v>47097</v>
      </c>
      <c r="H23592" t="s">
        <v>47054</v>
      </c>
      <c r="I23592" t="s">
        <v>47118</v>
      </c>
      <c r="J23592" t="s">
        <v>47119</v>
      </c>
      <c r="K23592" t="s">
        <v>47113</v>
      </c>
      <c r="L23592">
        <v>17.559999999999999</v>
      </c>
      <c r="M23592">
        <v>38</v>
      </c>
      <c r="N23592">
        <v>0</v>
      </c>
      <c r="O23592">
        <v>38</v>
      </c>
      <c r="P23592">
        <v>0</v>
      </c>
    </row>
    <row r="23593" spans="1:16" x14ac:dyDescent="0.25">
      <c r="A23593" t="s">
        <v>46351</v>
      </c>
      <c r="B23593" t="s">
        <v>14026</v>
      </c>
      <c r="C23593" t="s">
        <v>14027</v>
      </c>
      <c r="D23593" t="str">
        <f>"1700"</f>
        <v>1700</v>
      </c>
      <c r="E23593" t="s">
        <v>60</v>
      </c>
      <c r="F23593" t="s">
        <v>0</v>
      </c>
      <c r="G23593" t="s">
        <v>47101</v>
      </c>
      <c r="H23593" t="s">
        <v>47054</v>
      </c>
      <c r="I23593" t="s">
        <v>47118</v>
      </c>
      <c r="J23593" t="s">
        <v>47119</v>
      </c>
      <c r="K23593" t="s">
        <v>47113</v>
      </c>
      <c r="L23593">
        <v>38.31</v>
      </c>
      <c r="M23593">
        <v>84</v>
      </c>
      <c r="N23593">
        <v>0</v>
      </c>
      <c r="O23593">
        <v>84</v>
      </c>
      <c r="P23593">
        <v>0</v>
      </c>
    </row>
    <row r="23594" spans="1:16" x14ac:dyDescent="0.25">
      <c r="A23594" t="s">
        <v>46352</v>
      </c>
      <c r="B23594" t="s">
        <v>14028</v>
      </c>
      <c r="C23594" t="s">
        <v>14029</v>
      </c>
      <c r="D23594" t="str">
        <f>"6413"</f>
        <v>6413</v>
      </c>
      <c r="E23594" t="s">
        <v>9487</v>
      </c>
      <c r="F23594" t="s">
        <v>0</v>
      </c>
      <c r="G23594" t="s">
        <v>47101</v>
      </c>
      <c r="H23594" t="s">
        <v>47054</v>
      </c>
      <c r="I23594" t="s">
        <v>47118</v>
      </c>
      <c r="J23594" t="s">
        <v>47119</v>
      </c>
      <c r="K23594" t="s">
        <v>47113</v>
      </c>
      <c r="L23594">
        <v>16.07</v>
      </c>
      <c r="M23594">
        <v>35</v>
      </c>
      <c r="N23594">
        <v>0</v>
      </c>
      <c r="O23594">
        <v>35</v>
      </c>
      <c r="P23594">
        <v>0</v>
      </c>
    </row>
    <row r="23595" spans="1:16" x14ac:dyDescent="0.25">
      <c r="A23595" t="s">
        <v>1541</v>
      </c>
      <c r="B23595" t="s">
        <v>1542</v>
      </c>
      <c r="C23595" t="s">
        <v>1543</v>
      </c>
      <c r="D23595" t="s">
        <v>652</v>
      </c>
      <c r="E23595" t="s">
        <v>1544</v>
      </c>
      <c r="F23595" t="s">
        <v>36</v>
      </c>
      <c r="G23595" t="s">
        <v>47093</v>
      </c>
      <c r="H23595" t="s">
        <v>47054</v>
      </c>
      <c r="I23595" t="s">
        <v>47111</v>
      </c>
      <c r="J23595" t="s">
        <v>47112</v>
      </c>
      <c r="K23595" t="s">
        <v>47113</v>
      </c>
      <c r="L23595">
        <v>26.51</v>
      </c>
      <c r="M23595">
        <v>64</v>
      </c>
      <c r="N23595">
        <v>0</v>
      </c>
      <c r="O23595">
        <v>64</v>
      </c>
      <c r="P23595">
        <v>0</v>
      </c>
    </row>
    <row r="23596" spans="1:16" x14ac:dyDescent="0.25">
      <c r="A23596" t="s">
        <v>46353</v>
      </c>
      <c r="B23596" t="s">
        <v>1542</v>
      </c>
      <c r="C23596" t="s">
        <v>1543</v>
      </c>
      <c r="D23596" t="s">
        <v>14030</v>
      </c>
      <c r="E23596" t="s">
        <v>14031</v>
      </c>
      <c r="F23596" t="s">
        <v>5</v>
      </c>
      <c r="G23596" t="s">
        <v>47093</v>
      </c>
      <c r="H23596" t="s">
        <v>47054</v>
      </c>
      <c r="I23596" t="s">
        <v>47111</v>
      </c>
      <c r="J23596" t="s">
        <v>47112</v>
      </c>
      <c r="K23596" t="s">
        <v>47113</v>
      </c>
      <c r="L23596">
        <v>31.83</v>
      </c>
      <c r="M23596">
        <v>73</v>
      </c>
      <c r="N23596">
        <v>0</v>
      </c>
      <c r="O23596">
        <v>73</v>
      </c>
      <c r="P23596">
        <v>0</v>
      </c>
    </row>
    <row r="23597" spans="1:16" x14ac:dyDescent="0.25">
      <c r="A23597" t="s">
        <v>14154</v>
      </c>
      <c r="B23597" t="s">
        <v>1545</v>
      </c>
      <c r="C23597" t="s">
        <v>1404</v>
      </c>
      <c r="D23597" t="s">
        <v>652</v>
      </c>
      <c r="E23597" t="s">
        <v>653</v>
      </c>
      <c r="F23597" t="s">
        <v>36</v>
      </c>
      <c r="G23597" t="s">
        <v>47093</v>
      </c>
      <c r="H23597" t="s">
        <v>47054</v>
      </c>
      <c r="I23597" t="s">
        <v>47111</v>
      </c>
      <c r="J23597" t="s">
        <v>47112</v>
      </c>
      <c r="K23597" t="s">
        <v>47113</v>
      </c>
      <c r="L23597">
        <v>30.21</v>
      </c>
      <c r="M23597">
        <v>77</v>
      </c>
      <c r="N23597">
        <v>0</v>
      </c>
      <c r="O23597">
        <v>77</v>
      </c>
      <c r="P23597">
        <v>0</v>
      </c>
    </row>
    <row r="23598" spans="1:16" x14ac:dyDescent="0.25">
      <c r="A23598" t="s">
        <v>46354</v>
      </c>
      <c r="B23598" t="s">
        <v>1545</v>
      </c>
      <c r="C23598" t="s">
        <v>1404</v>
      </c>
      <c r="D23598" t="s">
        <v>1546</v>
      </c>
      <c r="E23598" t="s">
        <v>1547</v>
      </c>
      <c r="F23598" t="s">
        <v>631</v>
      </c>
      <c r="G23598" t="s">
        <v>47093</v>
      </c>
      <c r="H23598" t="s">
        <v>47054</v>
      </c>
      <c r="I23598" t="s">
        <v>47111</v>
      </c>
      <c r="J23598" t="s">
        <v>47112</v>
      </c>
      <c r="K23598" t="s">
        <v>47113</v>
      </c>
      <c r="L23598">
        <v>32.67</v>
      </c>
      <c r="M23598">
        <v>82</v>
      </c>
      <c r="N23598">
        <v>0</v>
      </c>
      <c r="O23598">
        <v>82</v>
      </c>
      <c r="P23598">
        <v>0</v>
      </c>
    </row>
    <row r="23599" spans="1:16" x14ac:dyDescent="0.25">
      <c r="A23599" t="s">
        <v>46355</v>
      </c>
      <c r="B23599" t="s">
        <v>14032</v>
      </c>
      <c r="C23599" t="s">
        <v>725</v>
      </c>
      <c r="D23599" t="s">
        <v>652</v>
      </c>
      <c r="E23599" t="s">
        <v>1544</v>
      </c>
      <c r="F23599" t="s">
        <v>8</v>
      </c>
      <c r="G23599" t="s">
        <v>47093</v>
      </c>
      <c r="H23599" t="s">
        <v>47054</v>
      </c>
      <c r="I23599" t="s">
        <v>47111</v>
      </c>
      <c r="J23599" t="s">
        <v>47112</v>
      </c>
      <c r="K23599" t="s">
        <v>47113</v>
      </c>
      <c r="L23599">
        <v>37.08</v>
      </c>
      <c r="M23599">
        <v>94</v>
      </c>
      <c r="N23599">
        <v>0</v>
      </c>
      <c r="O23599">
        <v>94</v>
      </c>
      <c r="P23599">
        <v>0</v>
      </c>
    </row>
    <row r="23600" spans="1:16" x14ac:dyDescent="0.25">
      <c r="A23600" t="s">
        <v>1548</v>
      </c>
      <c r="B23600" t="s">
        <v>1549</v>
      </c>
      <c r="C23600" t="s">
        <v>1550</v>
      </c>
      <c r="D23600" t="s">
        <v>652</v>
      </c>
      <c r="E23600" t="s">
        <v>1551</v>
      </c>
      <c r="F23600" t="s">
        <v>8</v>
      </c>
      <c r="G23600" t="s">
        <v>47093</v>
      </c>
      <c r="H23600" t="s">
        <v>47054</v>
      </c>
      <c r="I23600" t="s">
        <v>47111</v>
      </c>
      <c r="J23600" t="s">
        <v>47112</v>
      </c>
      <c r="K23600" t="s">
        <v>47113</v>
      </c>
      <c r="L23600">
        <v>30.17</v>
      </c>
      <c r="M23600">
        <v>71</v>
      </c>
      <c r="N23600">
        <v>0</v>
      </c>
      <c r="O23600">
        <v>71</v>
      </c>
      <c r="P23600">
        <v>0</v>
      </c>
    </row>
    <row r="23601" spans="1:16" x14ac:dyDescent="0.25">
      <c r="A23601" t="s">
        <v>46356</v>
      </c>
      <c r="B23601" t="s">
        <v>16208</v>
      </c>
      <c r="C23601" t="s">
        <v>15966</v>
      </c>
      <c r="D23601" t="str">
        <f>"1024"</f>
        <v>1024</v>
      </c>
      <c r="E23601" t="s">
        <v>717</v>
      </c>
      <c r="F23601" t="s">
        <v>15183</v>
      </c>
      <c r="G23601" t="s">
        <v>47093</v>
      </c>
      <c r="H23601" t="s">
        <v>47054</v>
      </c>
      <c r="I23601" t="s">
        <v>47111</v>
      </c>
      <c r="J23601" t="s">
        <v>47112</v>
      </c>
      <c r="K23601" t="s">
        <v>47113</v>
      </c>
      <c r="L23601">
        <v>30.9</v>
      </c>
      <c r="M23601">
        <v>92</v>
      </c>
      <c r="N23601">
        <v>0</v>
      </c>
      <c r="O23601">
        <v>92</v>
      </c>
      <c r="P23601">
        <v>0</v>
      </c>
    </row>
    <row r="23602" spans="1:16" x14ac:dyDescent="0.25">
      <c r="A23602" t="s">
        <v>46357</v>
      </c>
      <c r="B23602" t="s">
        <v>14393</v>
      </c>
      <c r="C23602" t="s">
        <v>14394</v>
      </c>
      <c r="D23602" t="s">
        <v>11475</v>
      </c>
      <c r="E23602" t="s">
        <v>11476</v>
      </c>
      <c r="F23602" t="s">
        <v>3546</v>
      </c>
      <c r="G23602" t="s">
        <v>47099</v>
      </c>
      <c r="H23602" t="s">
        <v>47054</v>
      </c>
      <c r="I23602" t="s">
        <v>47111</v>
      </c>
      <c r="J23602" t="s">
        <v>47112</v>
      </c>
      <c r="K23602" t="s">
        <v>47113</v>
      </c>
      <c r="L23602">
        <v>52.8</v>
      </c>
      <c r="M23602">
        <v>59</v>
      </c>
      <c r="N23602">
        <v>0</v>
      </c>
      <c r="O23602">
        <v>59</v>
      </c>
      <c r="P23602">
        <v>0</v>
      </c>
    </row>
    <row r="23603" spans="1:16" x14ac:dyDescent="0.25">
      <c r="A23603" t="s">
        <v>46358</v>
      </c>
      <c r="B23603" t="s">
        <v>14410</v>
      </c>
      <c r="C23603" t="s">
        <v>14394</v>
      </c>
      <c r="D23603" t="s">
        <v>721</v>
      </c>
      <c r="E23603" t="s">
        <v>722</v>
      </c>
      <c r="F23603" t="s">
        <v>3546</v>
      </c>
      <c r="G23603" t="s">
        <v>47099</v>
      </c>
      <c r="H23603" t="s">
        <v>47054</v>
      </c>
      <c r="I23603" t="s">
        <v>47111</v>
      </c>
      <c r="J23603" t="s">
        <v>47112</v>
      </c>
      <c r="K23603" t="s">
        <v>47113</v>
      </c>
      <c r="L23603">
        <v>26.86</v>
      </c>
      <c r="M23603">
        <v>63</v>
      </c>
      <c r="N23603">
        <v>0</v>
      </c>
      <c r="O23603">
        <v>63</v>
      </c>
      <c r="P23603">
        <v>0</v>
      </c>
    </row>
    <row r="23604" spans="1:16" x14ac:dyDescent="0.25">
      <c r="A23604" t="s">
        <v>49992</v>
      </c>
      <c r="B23604" t="s">
        <v>49993</v>
      </c>
      <c r="C23604" t="s">
        <v>49994</v>
      </c>
      <c r="D23604" t="s">
        <v>49995</v>
      </c>
      <c r="E23604" t="s">
        <v>49996</v>
      </c>
      <c r="F23604" t="s">
        <v>47171</v>
      </c>
      <c r="G23604" t="s">
        <v>47093</v>
      </c>
      <c r="H23604" t="s">
        <v>47054</v>
      </c>
      <c r="I23604" t="s">
        <v>47120</v>
      </c>
      <c r="J23604" t="s">
        <v>47121</v>
      </c>
      <c r="K23604" t="s">
        <v>47113</v>
      </c>
      <c r="L23604">
        <v>29.89</v>
      </c>
      <c r="M23604">
        <v>137</v>
      </c>
      <c r="N23604">
        <v>369</v>
      </c>
      <c r="O23604">
        <v>137</v>
      </c>
      <c r="P23604">
        <v>369</v>
      </c>
    </row>
    <row r="23605" spans="1:16" x14ac:dyDescent="0.25">
      <c r="A23605" t="s">
        <v>49997</v>
      </c>
      <c r="B23605" t="s">
        <v>49998</v>
      </c>
      <c r="C23605" t="s">
        <v>49999</v>
      </c>
      <c r="D23605" t="s">
        <v>46289</v>
      </c>
      <c r="E23605" t="s">
        <v>46290</v>
      </c>
      <c r="F23605" t="s">
        <v>24617</v>
      </c>
      <c r="G23605" t="s">
        <v>47093</v>
      </c>
      <c r="H23605" t="s">
        <v>47054</v>
      </c>
      <c r="I23605" t="s">
        <v>47120</v>
      </c>
      <c r="J23605" t="s">
        <v>47121</v>
      </c>
      <c r="K23605" t="s">
        <v>47113</v>
      </c>
      <c r="L23605">
        <v>25.38</v>
      </c>
      <c r="M23605">
        <v>107</v>
      </c>
      <c r="N23605">
        <v>289</v>
      </c>
      <c r="O23605">
        <v>107</v>
      </c>
      <c r="P23605">
        <v>289</v>
      </c>
    </row>
    <row r="23606" spans="1:16" x14ac:dyDescent="0.25">
      <c r="A23606" t="s">
        <v>50000</v>
      </c>
      <c r="B23606" t="s">
        <v>50001</v>
      </c>
      <c r="C23606" t="s">
        <v>46251</v>
      </c>
      <c r="D23606" t="s">
        <v>50002</v>
      </c>
      <c r="E23606" t="s">
        <v>50003</v>
      </c>
      <c r="F23606" t="s">
        <v>31484</v>
      </c>
      <c r="G23606" t="s">
        <v>47093</v>
      </c>
      <c r="H23606" t="s">
        <v>47054</v>
      </c>
      <c r="I23606" t="s">
        <v>47120</v>
      </c>
      <c r="J23606" t="s">
        <v>47121</v>
      </c>
      <c r="K23606" t="s">
        <v>47113</v>
      </c>
      <c r="L23606">
        <v>33.590000000000003</v>
      </c>
      <c r="M23606">
        <v>137</v>
      </c>
      <c r="N23606">
        <v>369</v>
      </c>
      <c r="O23606">
        <v>137</v>
      </c>
      <c r="P23606">
        <v>369</v>
      </c>
    </row>
    <row r="23607" spans="1:16" x14ac:dyDescent="0.25">
      <c r="A23607" t="s">
        <v>50004</v>
      </c>
      <c r="B23607" t="s">
        <v>50005</v>
      </c>
      <c r="C23607" t="s">
        <v>50006</v>
      </c>
      <c r="D23607" t="s">
        <v>50007</v>
      </c>
      <c r="E23607" t="s">
        <v>50008</v>
      </c>
      <c r="F23607" t="s">
        <v>47488</v>
      </c>
      <c r="G23607" t="s">
        <v>47093</v>
      </c>
      <c r="H23607" t="s">
        <v>47054</v>
      </c>
      <c r="I23607" t="s">
        <v>47120</v>
      </c>
      <c r="J23607" t="s">
        <v>47121</v>
      </c>
      <c r="K23607" t="s">
        <v>47113</v>
      </c>
      <c r="L23607">
        <v>30.49</v>
      </c>
      <c r="M23607">
        <v>137</v>
      </c>
      <c r="N23607">
        <v>369</v>
      </c>
      <c r="O23607">
        <v>137</v>
      </c>
      <c r="P23607">
        <v>369</v>
      </c>
    </row>
    <row r="23608" spans="1:16" x14ac:dyDescent="0.25">
      <c r="A23608" t="s">
        <v>50009</v>
      </c>
      <c r="B23608" t="s">
        <v>50010</v>
      </c>
      <c r="C23608" t="s">
        <v>50011</v>
      </c>
      <c r="D23608" t="s">
        <v>49973</v>
      </c>
      <c r="E23608" t="s">
        <v>49974</v>
      </c>
      <c r="F23608" t="s">
        <v>31484</v>
      </c>
      <c r="G23608" t="s">
        <v>47093</v>
      </c>
      <c r="H23608" t="s">
        <v>47054</v>
      </c>
      <c r="I23608" t="s">
        <v>47120</v>
      </c>
      <c r="J23608" t="s">
        <v>47121</v>
      </c>
      <c r="K23608" t="s">
        <v>47113</v>
      </c>
      <c r="L23608">
        <v>27.24</v>
      </c>
      <c r="M23608">
        <v>114</v>
      </c>
      <c r="N23608">
        <v>309</v>
      </c>
      <c r="O23608">
        <v>114</v>
      </c>
      <c r="P23608">
        <v>309</v>
      </c>
    </row>
    <row r="23609" spans="1:16" x14ac:dyDescent="0.25">
      <c r="A23609" t="s">
        <v>46359</v>
      </c>
      <c r="B23609" t="s">
        <v>46360</v>
      </c>
      <c r="C23609" t="s">
        <v>46361</v>
      </c>
      <c r="D23609" t="s">
        <v>46270</v>
      </c>
      <c r="E23609" t="s">
        <v>46271</v>
      </c>
      <c r="F23609" t="s">
        <v>3750</v>
      </c>
      <c r="G23609" t="s">
        <v>47093</v>
      </c>
      <c r="H23609" t="s">
        <v>47054</v>
      </c>
      <c r="I23609" t="s">
        <v>47120</v>
      </c>
      <c r="J23609" t="s">
        <v>47121</v>
      </c>
      <c r="K23609" t="s">
        <v>47113</v>
      </c>
      <c r="L23609">
        <v>24.48</v>
      </c>
      <c r="M23609">
        <v>89</v>
      </c>
      <c r="N23609">
        <v>239</v>
      </c>
      <c r="O23609">
        <v>89</v>
      </c>
      <c r="P23609">
        <v>239</v>
      </c>
    </row>
    <row r="23610" spans="1:16" x14ac:dyDescent="0.25">
      <c r="A23610" t="s">
        <v>50012</v>
      </c>
      <c r="B23610" t="s">
        <v>50013</v>
      </c>
      <c r="C23610" t="s">
        <v>50014</v>
      </c>
      <c r="D23610" t="s">
        <v>46300</v>
      </c>
      <c r="E23610" t="s">
        <v>46301</v>
      </c>
      <c r="F23610" t="s">
        <v>24617</v>
      </c>
      <c r="G23610" t="s">
        <v>47093</v>
      </c>
      <c r="H23610" t="s">
        <v>47054</v>
      </c>
      <c r="I23610" t="s">
        <v>47120</v>
      </c>
      <c r="J23610" t="s">
        <v>47121</v>
      </c>
      <c r="K23610" t="s">
        <v>47113</v>
      </c>
      <c r="L23610">
        <v>22.05</v>
      </c>
      <c r="M23610">
        <v>107</v>
      </c>
      <c r="N23610">
        <v>289</v>
      </c>
      <c r="O23610">
        <v>107</v>
      </c>
      <c r="P23610">
        <v>289</v>
      </c>
    </row>
    <row r="23611" spans="1:16" x14ac:dyDescent="0.25">
      <c r="A23611" t="s">
        <v>46362</v>
      </c>
      <c r="B23611" t="s">
        <v>46363</v>
      </c>
      <c r="C23611" t="s">
        <v>46364</v>
      </c>
      <c r="D23611" t="s">
        <v>46289</v>
      </c>
      <c r="E23611" t="s">
        <v>46290</v>
      </c>
      <c r="F23611" t="s">
        <v>3750</v>
      </c>
      <c r="G23611" t="s">
        <v>47093</v>
      </c>
      <c r="H23611" t="s">
        <v>47054</v>
      </c>
      <c r="I23611" t="s">
        <v>47120</v>
      </c>
      <c r="J23611" t="s">
        <v>47121</v>
      </c>
      <c r="K23611" t="s">
        <v>47113</v>
      </c>
      <c r="L23611">
        <v>29.26</v>
      </c>
      <c r="M23611">
        <v>133</v>
      </c>
      <c r="N23611">
        <v>0</v>
      </c>
      <c r="O23611">
        <v>133</v>
      </c>
      <c r="P23611">
        <v>0</v>
      </c>
    </row>
    <row r="23612" spans="1:16" x14ac:dyDescent="0.25">
      <c r="A23612" t="s">
        <v>50015</v>
      </c>
      <c r="B23612" t="s">
        <v>50016</v>
      </c>
      <c r="C23612" t="s">
        <v>50017</v>
      </c>
      <c r="D23612" t="s">
        <v>49973</v>
      </c>
      <c r="E23612" t="s">
        <v>49974</v>
      </c>
      <c r="F23612" t="s">
        <v>47163</v>
      </c>
      <c r="G23612" t="s">
        <v>47093</v>
      </c>
      <c r="H23612" t="s">
        <v>47054</v>
      </c>
      <c r="I23612" t="s">
        <v>47120</v>
      </c>
      <c r="J23612" t="s">
        <v>47121</v>
      </c>
      <c r="K23612" t="s">
        <v>47113</v>
      </c>
      <c r="L23612">
        <v>22.8</v>
      </c>
      <c r="M23612">
        <v>85</v>
      </c>
      <c r="N23612">
        <v>229</v>
      </c>
      <c r="O23612">
        <v>85</v>
      </c>
      <c r="P23612">
        <v>229</v>
      </c>
    </row>
    <row r="23613" spans="1:16" x14ac:dyDescent="0.25">
      <c r="A23613" t="s">
        <v>46365</v>
      </c>
      <c r="B23613" t="s">
        <v>14033</v>
      </c>
      <c r="C23613" t="s">
        <v>14034</v>
      </c>
      <c r="D23613" t="str">
        <f>"1874"</f>
        <v>1874</v>
      </c>
      <c r="E23613" t="s">
        <v>5730</v>
      </c>
      <c r="F23613" t="s">
        <v>631</v>
      </c>
      <c r="G23613" t="s">
        <v>47093</v>
      </c>
      <c r="H23613" t="s">
        <v>47054</v>
      </c>
      <c r="I23613" t="s">
        <v>47111</v>
      </c>
      <c r="J23613" t="s">
        <v>47112</v>
      </c>
      <c r="K23613" t="s">
        <v>47113</v>
      </c>
      <c r="L23613">
        <v>33.57</v>
      </c>
      <c r="M23613">
        <v>88</v>
      </c>
      <c r="N23613">
        <v>0</v>
      </c>
      <c r="O23613">
        <v>88</v>
      </c>
      <c r="P23613">
        <v>0</v>
      </c>
    </row>
    <row r="23614" spans="1:16" x14ac:dyDescent="0.25">
      <c r="A23614" t="s">
        <v>1552</v>
      </c>
      <c r="B23614" t="s">
        <v>1553</v>
      </c>
      <c r="C23614" t="s">
        <v>1554</v>
      </c>
      <c r="D23614" t="str">
        <f>"4499"</f>
        <v>4499</v>
      </c>
      <c r="E23614" t="s">
        <v>1555</v>
      </c>
      <c r="F23614" t="s">
        <v>2</v>
      </c>
      <c r="G23614" t="s">
        <v>47093</v>
      </c>
      <c r="H23614" t="s">
        <v>47054</v>
      </c>
      <c r="I23614" t="s">
        <v>47111</v>
      </c>
      <c r="J23614" t="s">
        <v>47112</v>
      </c>
      <c r="K23614" t="s">
        <v>47113</v>
      </c>
      <c r="L23614">
        <v>36.619999999999997</v>
      </c>
      <c r="M23614">
        <v>80</v>
      </c>
      <c r="N23614">
        <v>0</v>
      </c>
      <c r="O23614">
        <v>80</v>
      </c>
      <c r="P23614">
        <v>0</v>
      </c>
    </row>
    <row r="23615" spans="1:16" x14ac:dyDescent="0.25">
      <c r="A23615" t="s">
        <v>1556</v>
      </c>
      <c r="B23615" t="s">
        <v>1553</v>
      </c>
      <c r="C23615" t="s">
        <v>1554</v>
      </c>
      <c r="D23615" t="str">
        <f>"6168"</f>
        <v>6168</v>
      </c>
      <c r="E23615" t="s">
        <v>1557</v>
      </c>
      <c r="F23615" t="s">
        <v>2</v>
      </c>
      <c r="G23615" t="s">
        <v>47093</v>
      </c>
      <c r="H23615" t="s">
        <v>47054</v>
      </c>
      <c r="I23615" t="s">
        <v>47111</v>
      </c>
      <c r="J23615" t="s">
        <v>47112</v>
      </c>
      <c r="K23615" t="s">
        <v>47113</v>
      </c>
      <c r="L23615">
        <v>36.619999999999997</v>
      </c>
      <c r="M23615">
        <v>80</v>
      </c>
      <c r="N23615">
        <v>0</v>
      </c>
      <c r="O23615">
        <v>80</v>
      </c>
      <c r="P23615">
        <v>0</v>
      </c>
    </row>
    <row r="23616" spans="1:16" x14ac:dyDescent="0.25">
      <c r="A23616" t="s">
        <v>46366</v>
      </c>
      <c r="B23616" t="s">
        <v>1553</v>
      </c>
      <c r="C23616" t="s">
        <v>1554</v>
      </c>
      <c r="D23616" t="str">
        <f>"6257"</f>
        <v>6257</v>
      </c>
      <c r="E23616" t="s">
        <v>1416</v>
      </c>
      <c r="F23616" t="s">
        <v>2</v>
      </c>
      <c r="G23616" t="s">
        <v>47093</v>
      </c>
      <c r="H23616" t="s">
        <v>47054</v>
      </c>
      <c r="I23616" t="s">
        <v>47111</v>
      </c>
      <c r="J23616" t="s">
        <v>47112</v>
      </c>
      <c r="K23616" t="s">
        <v>47113</v>
      </c>
      <c r="L23616">
        <v>36.619999999999997</v>
      </c>
      <c r="M23616">
        <v>80</v>
      </c>
      <c r="N23616">
        <v>0</v>
      </c>
      <c r="O23616">
        <v>80</v>
      </c>
      <c r="P23616">
        <v>0</v>
      </c>
    </row>
    <row r="23617" spans="1:16" x14ac:dyDescent="0.25">
      <c r="A23617" t="s">
        <v>46367</v>
      </c>
      <c r="B23617" t="s">
        <v>1553</v>
      </c>
      <c r="C23617" t="s">
        <v>1554</v>
      </c>
      <c r="D23617" t="str">
        <f>"7346"</f>
        <v>7346</v>
      </c>
      <c r="E23617" t="s">
        <v>1591</v>
      </c>
      <c r="F23617" t="s">
        <v>2</v>
      </c>
      <c r="G23617" t="s">
        <v>47093</v>
      </c>
      <c r="H23617" t="s">
        <v>47054</v>
      </c>
      <c r="I23617" t="s">
        <v>47111</v>
      </c>
      <c r="J23617" t="s">
        <v>47112</v>
      </c>
      <c r="K23617" t="s">
        <v>47113</v>
      </c>
      <c r="L23617">
        <v>34.74</v>
      </c>
      <c r="M23617">
        <v>80</v>
      </c>
      <c r="N23617">
        <v>0</v>
      </c>
      <c r="O23617">
        <v>80</v>
      </c>
      <c r="P23617">
        <v>0</v>
      </c>
    </row>
    <row r="23618" spans="1:16" x14ac:dyDescent="0.25">
      <c r="A23618" t="s">
        <v>46368</v>
      </c>
      <c r="B23618" t="s">
        <v>19429</v>
      </c>
      <c r="C23618" t="s">
        <v>19303</v>
      </c>
      <c r="D23618" t="str">
        <f>"4400"</f>
        <v>4400</v>
      </c>
      <c r="E23618" t="s">
        <v>19430</v>
      </c>
      <c r="F23618" t="s">
        <v>3750</v>
      </c>
      <c r="G23618" t="s">
        <v>47093</v>
      </c>
      <c r="H23618" t="s">
        <v>47054</v>
      </c>
      <c r="I23618" t="s">
        <v>47116</v>
      </c>
      <c r="J23618" t="s">
        <v>47117</v>
      </c>
      <c r="K23618" t="s">
        <v>47113</v>
      </c>
      <c r="L23618">
        <v>27.99</v>
      </c>
      <c r="M23618">
        <v>83</v>
      </c>
      <c r="N23618">
        <v>0</v>
      </c>
      <c r="O23618">
        <v>83</v>
      </c>
      <c r="P23618">
        <v>0</v>
      </c>
    </row>
    <row r="23619" spans="1:16" x14ac:dyDescent="0.25">
      <c r="A23619" t="s">
        <v>46369</v>
      </c>
      <c r="B23619" t="s">
        <v>19429</v>
      </c>
      <c r="C23619" t="s">
        <v>19303</v>
      </c>
      <c r="D23619" t="str">
        <f>"5320"</f>
        <v>5320</v>
      </c>
      <c r="E23619" t="s">
        <v>19431</v>
      </c>
      <c r="F23619" t="s">
        <v>3750</v>
      </c>
      <c r="G23619" t="s">
        <v>47093</v>
      </c>
      <c r="H23619" t="s">
        <v>47054</v>
      </c>
      <c r="I23619" t="s">
        <v>47116</v>
      </c>
      <c r="J23619" t="s">
        <v>47117</v>
      </c>
      <c r="K23619" t="s">
        <v>47113</v>
      </c>
      <c r="L23619">
        <v>27.99</v>
      </c>
      <c r="M23619">
        <v>83</v>
      </c>
      <c r="N23619">
        <v>0</v>
      </c>
      <c r="O23619">
        <v>83</v>
      </c>
      <c r="P23619">
        <v>0</v>
      </c>
    </row>
    <row r="23620" spans="1:16" x14ac:dyDescent="0.25">
      <c r="A23620" t="s">
        <v>46370</v>
      </c>
      <c r="B23620" t="s">
        <v>1559</v>
      </c>
      <c r="C23620" t="s">
        <v>1560</v>
      </c>
      <c r="D23620" t="str">
        <f>"4499"</f>
        <v>4499</v>
      </c>
      <c r="E23620" t="s">
        <v>1555</v>
      </c>
      <c r="F23620" t="s">
        <v>2</v>
      </c>
      <c r="G23620" t="s">
        <v>47093</v>
      </c>
      <c r="H23620" t="s">
        <v>47054</v>
      </c>
      <c r="I23620" t="s">
        <v>47111</v>
      </c>
      <c r="J23620" t="s">
        <v>47112</v>
      </c>
      <c r="K23620" t="s">
        <v>47113</v>
      </c>
      <c r="L23620">
        <v>38.04</v>
      </c>
      <c r="M23620">
        <v>84</v>
      </c>
      <c r="N23620">
        <v>0</v>
      </c>
      <c r="O23620">
        <v>84</v>
      </c>
      <c r="P23620">
        <v>0</v>
      </c>
    </row>
    <row r="23621" spans="1:16" x14ac:dyDescent="0.25">
      <c r="A23621" t="s">
        <v>1558</v>
      </c>
      <c r="B23621" t="s">
        <v>1559</v>
      </c>
      <c r="C23621" t="s">
        <v>1560</v>
      </c>
      <c r="D23621" t="str">
        <f>"6168"</f>
        <v>6168</v>
      </c>
      <c r="E23621" t="s">
        <v>1557</v>
      </c>
      <c r="F23621" t="s">
        <v>2</v>
      </c>
      <c r="G23621" t="s">
        <v>47093</v>
      </c>
      <c r="H23621" t="s">
        <v>47054</v>
      </c>
      <c r="I23621" t="s">
        <v>47111</v>
      </c>
      <c r="J23621" t="s">
        <v>47112</v>
      </c>
      <c r="K23621" t="s">
        <v>47113</v>
      </c>
      <c r="L23621">
        <v>32.909999999999997</v>
      </c>
      <c r="M23621">
        <v>84</v>
      </c>
      <c r="N23621">
        <v>0</v>
      </c>
      <c r="O23621">
        <v>84</v>
      </c>
      <c r="P23621">
        <v>0</v>
      </c>
    </row>
    <row r="23622" spans="1:16" x14ac:dyDescent="0.25">
      <c r="A23622" t="s">
        <v>46371</v>
      </c>
      <c r="B23622" t="s">
        <v>1559</v>
      </c>
      <c r="C23622" t="s">
        <v>1560</v>
      </c>
      <c r="D23622" t="str">
        <f>"6257"</f>
        <v>6257</v>
      </c>
      <c r="E23622" t="s">
        <v>1416</v>
      </c>
      <c r="F23622" t="s">
        <v>2</v>
      </c>
      <c r="G23622" t="s">
        <v>47093</v>
      </c>
      <c r="H23622" t="s">
        <v>47054</v>
      </c>
      <c r="I23622" t="s">
        <v>47111</v>
      </c>
      <c r="J23622" t="s">
        <v>47112</v>
      </c>
      <c r="K23622" t="s">
        <v>47113</v>
      </c>
      <c r="L23622">
        <v>38.04</v>
      </c>
      <c r="M23622">
        <v>84</v>
      </c>
      <c r="N23622">
        <v>0</v>
      </c>
      <c r="O23622">
        <v>84</v>
      </c>
      <c r="P23622">
        <v>0</v>
      </c>
    </row>
    <row r="23623" spans="1:16" x14ac:dyDescent="0.25">
      <c r="A23623" t="s">
        <v>46372</v>
      </c>
      <c r="B23623" t="s">
        <v>1559</v>
      </c>
      <c r="C23623" t="s">
        <v>1560</v>
      </c>
      <c r="D23623" t="str">
        <f>"7346"</f>
        <v>7346</v>
      </c>
      <c r="E23623" t="s">
        <v>1591</v>
      </c>
      <c r="F23623" t="s">
        <v>2</v>
      </c>
      <c r="G23623" t="s">
        <v>47093</v>
      </c>
      <c r="H23623" t="s">
        <v>47054</v>
      </c>
      <c r="I23623" t="s">
        <v>47111</v>
      </c>
      <c r="J23623" t="s">
        <v>47112</v>
      </c>
      <c r="K23623" t="s">
        <v>47113</v>
      </c>
      <c r="L23623">
        <v>38.04</v>
      </c>
      <c r="M23623">
        <v>84</v>
      </c>
      <c r="N23623">
        <v>0</v>
      </c>
      <c r="O23623">
        <v>84</v>
      </c>
      <c r="P23623">
        <v>0</v>
      </c>
    </row>
    <row r="23624" spans="1:16" x14ac:dyDescent="0.25">
      <c r="A23624" t="s">
        <v>1561</v>
      </c>
      <c r="B23624" t="s">
        <v>1559</v>
      </c>
      <c r="C23624" t="s">
        <v>1560</v>
      </c>
      <c r="D23624" t="str">
        <f>"8047"</f>
        <v>8047</v>
      </c>
      <c r="E23624" t="s">
        <v>1420</v>
      </c>
      <c r="F23624" t="s">
        <v>2</v>
      </c>
      <c r="G23624" t="s">
        <v>47093</v>
      </c>
      <c r="H23624" t="s">
        <v>47054</v>
      </c>
      <c r="I23624" t="s">
        <v>47111</v>
      </c>
      <c r="J23624" t="s">
        <v>47112</v>
      </c>
      <c r="K23624" t="s">
        <v>47113</v>
      </c>
      <c r="L23624">
        <v>37.61</v>
      </c>
      <c r="M23624">
        <v>84</v>
      </c>
      <c r="N23624">
        <v>0</v>
      </c>
      <c r="O23624">
        <v>84</v>
      </c>
      <c r="P23624">
        <v>0</v>
      </c>
    </row>
    <row r="23625" spans="1:16" x14ac:dyDescent="0.25">
      <c r="A23625" t="s">
        <v>1562</v>
      </c>
      <c r="B23625" t="s">
        <v>1563</v>
      </c>
      <c r="C23625" t="s">
        <v>1564</v>
      </c>
      <c r="D23625" t="str">
        <f>"1001"</f>
        <v>1001</v>
      </c>
      <c r="E23625" t="s">
        <v>1565</v>
      </c>
      <c r="F23625" t="s">
        <v>4</v>
      </c>
      <c r="G23625" t="s">
        <v>47093</v>
      </c>
      <c r="H23625" t="s">
        <v>47054</v>
      </c>
      <c r="I23625" t="s">
        <v>47111</v>
      </c>
      <c r="J23625" t="s">
        <v>47112</v>
      </c>
      <c r="K23625" t="s">
        <v>47113</v>
      </c>
      <c r="L23625">
        <v>40.950000000000003</v>
      </c>
      <c r="M23625">
        <v>100</v>
      </c>
      <c r="N23625">
        <v>0</v>
      </c>
      <c r="O23625">
        <v>100</v>
      </c>
      <c r="P23625">
        <v>0</v>
      </c>
    </row>
    <row r="23626" spans="1:16" x14ac:dyDescent="0.25">
      <c r="A23626" t="s">
        <v>46373</v>
      </c>
      <c r="B23626" t="s">
        <v>16209</v>
      </c>
      <c r="C23626" t="s">
        <v>16210</v>
      </c>
      <c r="D23626" t="str">
        <f>"1826"</f>
        <v>1826</v>
      </c>
      <c r="E23626" t="s">
        <v>1074</v>
      </c>
      <c r="F23626" t="s">
        <v>3750</v>
      </c>
      <c r="G23626" t="s">
        <v>47093</v>
      </c>
      <c r="H23626" t="s">
        <v>47054</v>
      </c>
      <c r="I23626" t="s">
        <v>47964</v>
      </c>
      <c r="J23626" t="s">
        <v>47965</v>
      </c>
      <c r="K23626" t="s">
        <v>47113</v>
      </c>
      <c r="L23626">
        <v>21.28</v>
      </c>
      <c r="M23626">
        <v>88</v>
      </c>
      <c r="N23626">
        <v>0</v>
      </c>
      <c r="O23626">
        <v>88</v>
      </c>
      <c r="P23626">
        <v>0</v>
      </c>
    </row>
    <row r="23627" spans="1:16" x14ac:dyDescent="0.25">
      <c r="A23627" t="s">
        <v>1566</v>
      </c>
      <c r="B23627" t="s">
        <v>1567</v>
      </c>
      <c r="C23627" t="s">
        <v>1568</v>
      </c>
      <c r="D23627" t="str">
        <f>"4635"</f>
        <v>4635</v>
      </c>
      <c r="E23627" t="s">
        <v>1569</v>
      </c>
      <c r="F23627" t="s">
        <v>3</v>
      </c>
      <c r="G23627" t="s">
        <v>49029</v>
      </c>
      <c r="H23627" t="s">
        <v>47054</v>
      </c>
      <c r="I23627" t="s">
        <v>47111</v>
      </c>
      <c r="J23627" t="s">
        <v>47112</v>
      </c>
      <c r="K23627" t="s">
        <v>47113</v>
      </c>
      <c r="L23627">
        <v>27.7</v>
      </c>
      <c r="M23627">
        <v>59</v>
      </c>
      <c r="N23627">
        <v>0</v>
      </c>
      <c r="O23627">
        <v>59</v>
      </c>
      <c r="P23627">
        <v>0</v>
      </c>
    </row>
    <row r="23628" spans="1:16" x14ac:dyDescent="0.25">
      <c r="A23628" t="s">
        <v>46374</v>
      </c>
      <c r="B23628" t="s">
        <v>14035</v>
      </c>
      <c r="C23628" t="s">
        <v>1568</v>
      </c>
      <c r="D23628" t="str">
        <f>"5337"</f>
        <v>5337</v>
      </c>
      <c r="E23628" t="s">
        <v>14036</v>
      </c>
      <c r="F23628" t="s">
        <v>3</v>
      </c>
      <c r="G23628" t="s">
        <v>49029</v>
      </c>
      <c r="H23628" t="s">
        <v>47054</v>
      </c>
      <c r="I23628" t="s">
        <v>47111</v>
      </c>
      <c r="J23628" t="s">
        <v>47112</v>
      </c>
      <c r="K23628" t="s">
        <v>47113</v>
      </c>
      <c r="L23628">
        <v>26.86</v>
      </c>
      <c r="M23628">
        <v>59</v>
      </c>
      <c r="N23628">
        <v>0</v>
      </c>
      <c r="O23628">
        <v>59</v>
      </c>
      <c r="P23628">
        <v>0</v>
      </c>
    </row>
    <row r="23629" spans="1:16" x14ac:dyDescent="0.25">
      <c r="A23629" t="s">
        <v>46375</v>
      </c>
      <c r="B23629" t="s">
        <v>14037</v>
      </c>
      <c r="C23629" t="s">
        <v>1568</v>
      </c>
      <c r="D23629" t="str">
        <f>"6274"</f>
        <v>6274</v>
      </c>
      <c r="E23629" t="s">
        <v>3047</v>
      </c>
      <c r="F23629" t="s">
        <v>3</v>
      </c>
      <c r="G23629" t="s">
        <v>49029</v>
      </c>
      <c r="H23629" t="s">
        <v>47054</v>
      </c>
      <c r="I23629" t="s">
        <v>47111</v>
      </c>
      <c r="J23629" t="s">
        <v>47112</v>
      </c>
      <c r="K23629" t="s">
        <v>47113</v>
      </c>
      <c r="L23629">
        <v>74.73</v>
      </c>
      <c r="M23629">
        <v>59</v>
      </c>
      <c r="N23629">
        <v>0</v>
      </c>
      <c r="O23629">
        <v>59</v>
      </c>
      <c r="P23629">
        <v>0</v>
      </c>
    </row>
    <row r="23630" spans="1:16" x14ac:dyDescent="0.25">
      <c r="A23630" t="s">
        <v>46376</v>
      </c>
      <c r="B23630" t="s">
        <v>14038</v>
      </c>
      <c r="C23630" t="s">
        <v>14039</v>
      </c>
      <c r="D23630" t="str">
        <f>"1536"</f>
        <v>1536</v>
      </c>
      <c r="E23630" t="s">
        <v>5734</v>
      </c>
      <c r="F23630" t="s">
        <v>2</v>
      </c>
      <c r="G23630" t="s">
        <v>49029</v>
      </c>
      <c r="I23630" t="s">
        <v>47111</v>
      </c>
      <c r="J23630" t="s">
        <v>47112</v>
      </c>
      <c r="K23630" t="s">
        <v>47113</v>
      </c>
      <c r="L23630">
        <v>33.6</v>
      </c>
      <c r="M23630">
        <v>85</v>
      </c>
      <c r="N23630">
        <v>0</v>
      </c>
      <c r="O23630">
        <v>85</v>
      </c>
      <c r="P23630">
        <v>0</v>
      </c>
    </row>
    <row r="23631" spans="1:16" x14ac:dyDescent="0.25">
      <c r="A23631" t="s">
        <v>46377</v>
      </c>
      <c r="B23631" t="s">
        <v>14038</v>
      </c>
      <c r="C23631" t="s">
        <v>14039</v>
      </c>
      <c r="D23631" t="str">
        <f>"2639"</f>
        <v>2639</v>
      </c>
      <c r="E23631" t="s">
        <v>5735</v>
      </c>
      <c r="F23631" t="s">
        <v>2</v>
      </c>
      <c r="G23631" t="s">
        <v>49029</v>
      </c>
      <c r="I23631" t="s">
        <v>47111</v>
      </c>
      <c r="J23631" t="s">
        <v>47112</v>
      </c>
      <c r="K23631" t="s">
        <v>47113</v>
      </c>
      <c r="L23631">
        <v>33.6</v>
      </c>
      <c r="M23631">
        <v>85</v>
      </c>
      <c r="N23631">
        <v>0</v>
      </c>
      <c r="O23631">
        <v>85</v>
      </c>
      <c r="P23631">
        <v>0</v>
      </c>
    </row>
    <row r="23632" spans="1:16" x14ac:dyDescent="0.25">
      <c r="A23632" t="s">
        <v>46378</v>
      </c>
      <c r="B23632" t="s">
        <v>14038</v>
      </c>
      <c r="C23632" t="s">
        <v>14039</v>
      </c>
      <c r="D23632" t="str">
        <f>"3242"</f>
        <v>3242</v>
      </c>
      <c r="E23632" t="s">
        <v>5736</v>
      </c>
      <c r="F23632" t="s">
        <v>2</v>
      </c>
      <c r="G23632" t="s">
        <v>49029</v>
      </c>
      <c r="I23632" t="s">
        <v>47111</v>
      </c>
      <c r="J23632" t="s">
        <v>47112</v>
      </c>
      <c r="K23632" t="s">
        <v>47113</v>
      </c>
      <c r="L23632">
        <v>33.6</v>
      </c>
      <c r="M23632">
        <v>85</v>
      </c>
      <c r="N23632">
        <v>0</v>
      </c>
      <c r="O23632">
        <v>85</v>
      </c>
      <c r="P23632">
        <v>0</v>
      </c>
    </row>
    <row r="23633" spans="1:16" x14ac:dyDescent="0.25">
      <c r="A23633" t="s">
        <v>46379</v>
      </c>
      <c r="B23633" t="s">
        <v>14038</v>
      </c>
      <c r="C23633" t="s">
        <v>14039</v>
      </c>
      <c r="D23633" t="str">
        <f>"4617"</f>
        <v>4617</v>
      </c>
      <c r="E23633" t="s">
        <v>5737</v>
      </c>
      <c r="F23633" t="s">
        <v>2</v>
      </c>
      <c r="G23633" t="s">
        <v>49029</v>
      </c>
      <c r="I23633" t="s">
        <v>47111</v>
      </c>
      <c r="J23633" t="s">
        <v>47112</v>
      </c>
      <c r="K23633" t="s">
        <v>47113</v>
      </c>
      <c r="L23633">
        <v>33.6</v>
      </c>
      <c r="M23633">
        <v>85</v>
      </c>
      <c r="N23633">
        <v>0</v>
      </c>
      <c r="O23633">
        <v>85</v>
      </c>
      <c r="P23633">
        <v>0</v>
      </c>
    </row>
    <row r="23634" spans="1:16" x14ac:dyDescent="0.25">
      <c r="A23634" t="s">
        <v>46380</v>
      </c>
      <c r="B23634" t="s">
        <v>14038</v>
      </c>
      <c r="C23634" t="s">
        <v>14039</v>
      </c>
      <c r="D23634" t="str">
        <f>"4618"</f>
        <v>4618</v>
      </c>
      <c r="E23634" t="s">
        <v>5738</v>
      </c>
      <c r="F23634" t="s">
        <v>2</v>
      </c>
      <c r="G23634" t="s">
        <v>49029</v>
      </c>
      <c r="I23634" t="s">
        <v>47111</v>
      </c>
      <c r="J23634" t="s">
        <v>47112</v>
      </c>
      <c r="K23634" t="s">
        <v>47113</v>
      </c>
      <c r="L23634">
        <v>33.6</v>
      </c>
      <c r="M23634">
        <v>85</v>
      </c>
      <c r="N23634">
        <v>0</v>
      </c>
      <c r="O23634">
        <v>85</v>
      </c>
      <c r="P23634">
        <v>0</v>
      </c>
    </row>
    <row r="23635" spans="1:16" x14ac:dyDescent="0.25">
      <c r="A23635" t="s">
        <v>46381</v>
      </c>
      <c r="B23635" t="s">
        <v>14038</v>
      </c>
      <c r="C23635" t="s">
        <v>14039</v>
      </c>
      <c r="D23635" t="str">
        <f>"7350"</f>
        <v>7350</v>
      </c>
      <c r="E23635" t="s">
        <v>5739</v>
      </c>
      <c r="F23635" t="s">
        <v>2</v>
      </c>
      <c r="G23635" t="s">
        <v>49029</v>
      </c>
      <c r="I23635" t="s">
        <v>47111</v>
      </c>
      <c r="J23635" t="s">
        <v>47112</v>
      </c>
      <c r="K23635" t="s">
        <v>47113</v>
      </c>
      <c r="L23635">
        <v>33.6</v>
      </c>
      <c r="M23635">
        <v>85</v>
      </c>
      <c r="N23635">
        <v>0</v>
      </c>
      <c r="O23635">
        <v>85</v>
      </c>
      <c r="P23635">
        <v>0</v>
      </c>
    </row>
    <row r="23636" spans="1:16" x14ac:dyDescent="0.25">
      <c r="A23636" t="s">
        <v>46382</v>
      </c>
      <c r="B23636" t="s">
        <v>14038</v>
      </c>
      <c r="C23636" t="s">
        <v>14039</v>
      </c>
      <c r="D23636" t="str">
        <f>"8341"</f>
        <v>8341</v>
      </c>
      <c r="E23636" t="s">
        <v>5740</v>
      </c>
      <c r="F23636" t="s">
        <v>2</v>
      </c>
      <c r="G23636" t="s">
        <v>49029</v>
      </c>
      <c r="I23636" t="s">
        <v>47111</v>
      </c>
      <c r="J23636" t="s">
        <v>47112</v>
      </c>
      <c r="K23636" t="s">
        <v>47113</v>
      </c>
      <c r="L23636">
        <v>33.6</v>
      </c>
      <c r="M23636">
        <v>85</v>
      </c>
      <c r="N23636">
        <v>0</v>
      </c>
      <c r="O23636">
        <v>85</v>
      </c>
      <c r="P23636">
        <v>0</v>
      </c>
    </row>
    <row r="23637" spans="1:16" x14ac:dyDescent="0.25">
      <c r="A23637" t="s">
        <v>46383</v>
      </c>
      <c r="B23637" t="s">
        <v>14040</v>
      </c>
      <c r="C23637" t="s">
        <v>14041</v>
      </c>
      <c r="D23637" t="str">
        <f>"1276"</f>
        <v>1276</v>
      </c>
      <c r="E23637" t="s">
        <v>1615</v>
      </c>
      <c r="F23637" t="s">
        <v>2</v>
      </c>
      <c r="G23637" t="s">
        <v>49029</v>
      </c>
      <c r="I23637" t="s">
        <v>47111</v>
      </c>
      <c r="J23637" t="s">
        <v>47112</v>
      </c>
      <c r="K23637" t="s">
        <v>47113</v>
      </c>
      <c r="L23637">
        <v>28.56</v>
      </c>
      <c r="M23637">
        <v>85</v>
      </c>
      <c r="N23637">
        <v>0</v>
      </c>
      <c r="O23637">
        <v>85</v>
      </c>
      <c r="P23637">
        <v>0</v>
      </c>
    </row>
    <row r="23638" spans="1:16" x14ac:dyDescent="0.25">
      <c r="A23638" t="s">
        <v>46384</v>
      </c>
      <c r="B23638" t="s">
        <v>14040</v>
      </c>
      <c r="C23638" t="s">
        <v>14041</v>
      </c>
      <c r="D23638" t="str">
        <f>"4560"</f>
        <v>4560</v>
      </c>
      <c r="E23638" t="s">
        <v>1617</v>
      </c>
      <c r="F23638" t="s">
        <v>2</v>
      </c>
      <c r="G23638" t="s">
        <v>49029</v>
      </c>
      <c r="I23638" t="s">
        <v>47111</v>
      </c>
      <c r="J23638" t="s">
        <v>47112</v>
      </c>
      <c r="K23638" t="s">
        <v>47113</v>
      </c>
      <c r="L23638">
        <v>28.56</v>
      </c>
      <c r="M23638">
        <v>85</v>
      </c>
      <c r="N23638">
        <v>0</v>
      </c>
      <c r="O23638">
        <v>85</v>
      </c>
      <c r="P23638">
        <v>0</v>
      </c>
    </row>
    <row r="23639" spans="1:16" x14ac:dyDescent="0.25">
      <c r="A23639" t="s">
        <v>46385</v>
      </c>
      <c r="B23639" t="s">
        <v>14040</v>
      </c>
      <c r="C23639" t="s">
        <v>14041</v>
      </c>
      <c r="D23639" t="str">
        <f>"5326"</f>
        <v>5326</v>
      </c>
      <c r="E23639" t="s">
        <v>14042</v>
      </c>
      <c r="F23639" t="s">
        <v>2</v>
      </c>
      <c r="G23639" t="s">
        <v>49029</v>
      </c>
      <c r="I23639" t="s">
        <v>47111</v>
      </c>
      <c r="J23639" t="s">
        <v>47112</v>
      </c>
      <c r="K23639" t="s">
        <v>47113</v>
      </c>
      <c r="L23639">
        <v>28.56</v>
      </c>
      <c r="M23639">
        <v>85</v>
      </c>
      <c r="N23639">
        <v>0</v>
      </c>
      <c r="O23639">
        <v>85</v>
      </c>
      <c r="P23639">
        <v>0</v>
      </c>
    </row>
    <row r="23640" spans="1:16" x14ac:dyDescent="0.25">
      <c r="A23640" t="s">
        <v>46386</v>
      </c>
      <c r="B23640" t="s">
        <v>14040</v>
      </c>
      <c r="C23640" t="s">
        <v>14041</v>
      </c>
      <c r="D23640" t="str">
        <f>"6839"</f>
        <v>6839</v>
      </c>
      <c r="E23640" t="s">
        <v>14043</v>
      </c>
      <c r="F23640" t="s">
        <v>2</v>
      </c>
      <c r="G23640" t="s">
        <v>49029</v>
      </c>
      <c r="I23640" t="s">
        <v>47111</v>
      </c>
      <c r="J23640" t="s">
        <v>47112</v>
      </c>
      <c r="K23640" t="s">
        <v>47113</v>
      </c>
      <c r="L23640">
        <v>28.56</v>
      </c>
      <c r="M23640">
        <v>85</v>
      </c>
      <c r="N23640">
        <v>0</v>
      </c>
      <c r="O23640">
        <v>85</v>
      </c>
      <c r="P23640">
        <v>0</v>
      </c>
    </row>
    <row r="23641" spans="1:16" x14ac:dyDescent="0.25">
      <c r="A23641" t="s">
        <v>46387</v>
      </c>
      <c r="B23641" t="s">
        <v>14044</v>
      </c>
      <c r="C23641" t="s">
        <v>14045</v>
      </c>
      <c r="D23641" t="str">
        <f>"3099"</f>
        <v>3099</v>
      </c>
      <c r="E23641" t="s">
        <v>14046</v>
      </c>
      <c r="F23641" t="s">
        <v>2</v>
      </c>
      <c r="G23641" t="s">
        <v>49029</v>
      </c>
      <c r="H23641" t="s">
        <v>47054</v>
      </c>
      <c r="I23641" t="s">
        <v>47111</v>
      </c>
      <c r="J23641" t="s">
        <v>47112</v>
      </c>
      <c r="K23641" t="s">
        <v>47113</v>
      </c>
      <c r="L23641">
        <v>34.78</v>
      </c>
      <c r="M23641">
        <v>77</v>
      </c>
      <c r="N23641">
        <v>0</v>
      </c>
      <c r="O23641">
        <v>77</v>
      </c>
      <c r="P23641">
        <v>0</v>
      </c>
    </row>
    <row r="23642" spans="1:16" x14ac:dyDescent="0.25">
      <c r="A23642" t="s">
        <v>46388</v>
      </c>
      <c r="B23642" t="s">
        <v>14044</v>
      </c>
      <c r="C23642" t="s">
        <v>14045</v>
      </c>
      <c r="D23642" t="str">
        <f>"4611"</f>
        <v>4611</v>
      </c>
      <c r="E23642" t="s">
        <v>14047</v>
      </c>
      <c r="F23642" t="s">
        <v>2</v>
      </c>
      <c r="G23642" t="s">
        <v>49029</v>
      </c>
      <c r="H23642" t="s">
        <v>47054</v>
      </c>
      <c r="I23642" t="s">
        <v>47111</v>
      </c>
      <c r="J23642" t="s">
        <v>47112</v>
      </c>
      <c r="K23642" t="s">
        <v>47113</v>
      </c>
      <c r="L23642">
        <v>34.78</v>
      </c>
      <c r="M23642">
        <v>77</v>
      </c>
      <c r="N23642">
        <v>0</v>
      </c>
      <c r="O23642">
        <v>77</v>
      </c>
      <c r="P23642">
        <v>0</v>
      </c>
    </row>
    <row r="23643" spans="1:16" x14ac:dyDescent="0.25">
      <c r="A23643" t="s">
        <v>46389</v>
      </c>
      <c r="B23643" t="s">
        <v>14044</v>
      </c>
      <c r="C23643" t="s">
        <v>14045</v>
      </c>
      <c r="D23643" t="str">
        <f>"4612"</f>
        <v>4612</v>
      </c>
      <c r="E23643" t="s">
        <v>14048</v>
      </c>
      <c r="F23643" t="s">
        <v>2</v>
      </c>
      <c r="G23643" t="s">
        <v>49029</v>
      </c>
      <c r="H23643" t="s">
        <v>47054</v>
      </c>
      <c r="I23643" t="s">
        <v>47111</v>
      </c>
      <c r="J23643" t="s">
        <v>47112</v>
      </c>
      <c r="K23643" t="s">
        <v>47113</v>
      </c>
      <c r="L23643">
        <v>34.78</v>
      </c>
      <c r="M23643">
        <v>77</v>
      </c>
      <c r="N23643">
        <v>0</v>
      </c>
      <c r="O23643">
        <v>77</v>
      </c>
      <c r="P23643">
        <v>0</v>
      </c>
    </row>
    <row r="23644" spans="1:16" x14ac:dyDescent="0.25">
      <c r="A23644" t="s">
        <v>46390</v>
      </c>
      <c r="B23644" t="s">
        <v>14044</v>
      </c>
      <c r="C23644" t="s">
        <v>14045</v>
      </c>
      <c r="D23644" t="str">
        <f>"5081"</f>
        <v>5081</v>
      </c>
      <c r="E23644" t="s">
        <v>14049</v>
      </c>
      <c r="F23644" t="s">
        <v>2</v>
      </c>
      <c r="G23644" t="s">
        <v>49029</v>
      </c>
      <c r="H23644" t="s">
        <v>47054</v>
      </c>
      <c r="I23644" t="s">
        <v>47111</v>
      </c>
      <c r="J23644" t="s">
        <v>47112</v>
      </c>
      <c r="K23644" t="s">
        <v>47113</v>
      </c>
      <c r="L23644">
        <v>34.78</v>
      </c>
      <c r="M23644">
        <v>77</v>
      </c>
      <c r="N23644">
        <v>0</v>
      </c>
      <c r="O23644">
        <v>77</v>
      </c>
      <c r="P23644">
        <v>0</v>
      </c>
    </row>
    <row r="23645" spans="1:16" x14ac:dyDescent="0.25">
      <c r="A23645" t="s">
        <v>46391</v>
      </c>
      <c r="B23645" t="s">
        <v>14044</v>
      </c>
      <c r="C23645" t="s">
        <v>14045</v>
      </c>
      <c r="D23645" t="str">
        <f>"6172"</f>
        <v>6172</v>
      </c>
      <c r="E23645" t="s">
        <v>14050</v>
      </c>
      <c r="F23645" t="s">
        <v>2</v>
      </c>
      <c r="G23645" t="s">
        <v>49029</v>
      </c>
      <c r="H23645" t="s">
        <v>47054</v>
      </c>
      <c r="I23645" t="s">
        <v>47111</v>
      </c>
      <c r="J23645" t="s">
        <v>47112</v>
      </c>
      <c r="K23645" t="s">
        <v>47113</v>
      </c>
      <c r="L23645">
        <v>34.78</v>
      </c>
      <c r="M23645">
        <v>77</v>
      </c>
      <c r="N23645">
        <v>0</v>
      </c>
      <c r="O23645">
        <v>77</v>
      </c>
      <c r="P23645">
        <v>0</v>
      </c>
    </row>
    <row r="23646" spans="1:16" x14ac:dyDescent="0.25">
      <c r="A23646" t="s">
        <v>46392</v>
      </c>
      <c r="B23646" t="s">
        <v>14044</v>
      </c>
      <c r="C23646" t="s">
        <v>14045</v>
      </c>
      <c r="D23646" t="str">
        <f>"6263"</f>
        <v>6263</v>
      </c>
      <c r="E23646" t="s">
        <v>14051</v>
      </c>
      <c r="F23646" t="s">
        <v>2</v>
      </c>
      <c r="G23646" t="s">
        <v>49029</v>
      </c>
      <c r="H23646" t="s">
        <v>47054</v>
      </c>
      <c r="I23646" t="s">
        <v>47111</v>
      </c>
      <c r="J23646" t="s">
        <v>47112</v>
      </c>
      <c r="K23646" t="s">
        <v>47113</v>
      </c>
      <c r="L23646">
        <v>34.78</v>
      </c>
      <c r="M23646">
        <v>77</v>
      </c>
      <c r="N23646">
        <v>0</v>
      </c>
      <c r="O23646">
        <v>77</v>
      </c>
      <c r="P23646">
        <v>0</v>
      </c>
    </row>
    <row r="23647" spans="1:16" x14ac:dyDescent="0.25">
      <c r="A23647" t="s">
        <v>46393</v>
      </c>
      <c r="B23647" t="s">
        <v>14044</v>
      </c>
      <c r="C23647" t="s">
        <v>14045</v>
      </c>
      <c r="D23647" t="str">
        <f>"7352"</f>
        <v>7352</v>
      </c>
      <c r="E23647" t="s">
        <v>14052</v>
      </c>
      <c r="F23647" t="s">
        <v>2</v>
      </c>
      <c r="G23647" t="s">
        <v>49029</v>
      </c>
      <c r="H23647" t="s">
        <v>47054</v>
      </c>
      <c r="I23647" t="s">
        <v>47111</v>
      </c>
      <c r="J23647" t="s">
        <v>47112</v>
      </c>
      <c r="K23647" t="s">
        <v>47113</v>
      </c>
      <c r="L23647">
        <v>34.78</v>
      </c>
      <c r="M23647">
        <v>77</v>
      </c>
      <c r="N23647">
        <v>0</v>
      </c>
      <c r="O23647">
        <v>77</v>
      </c>
      <c r="P23647">
        <v>0</v>
      </c>
    </row>
    <row r="23648" spans="1:16" x14ac:dyDescent="0.25">
      <c r="A23648" t="s">
        <v>46394</v>
      </c>
      <c r="B23648" t="s">
        <v>14044</v>
      </c>
      <c r="C23648" t="s">
        <v>14045</v>
      </c>
      <c r="D23648" t="str">
        <f>"8343"</f>
        <v>8343</v>
      </c>
      <c r="E23648" t="s">
        <v>14053</v>
      </c>
      <c r="F23648" t="s">
        <v>2</v>
      </c>
      <c r="G23648" t="s">
        <v>49029</v>
      </c>
      <c r="H23648" t="s">
        <v>47054</v>
      </c>
      <c r="I23648" t="s">
        <v>47111</v>
      </c>
      <c r="J23648" t="s">
        <v>47112</v>
      </c>
      <c r="K23648" t="s">
        <v>47113</v>
      </c>
      <c r="L23648">
        <v>34.78</v>
      </c>
      <c r="M23648">
        <v>77</v>
      </c>
      <c r="N23648">
        <v>0</v>
      </c>
      <c r="O23648">
        <v>77</v>
      </c>
      <c r="P23648">
        <v>0</v>
      </c>
    </row>
    <row r="23649" spans="1:16" x14ac:dyDescent="0.25">
      <c r="A23649" t="s">
        <v>46395</v>
      </c>
      <c r="B23649" t="s">
        <v>1570</v>
      </c>
      <c r="C23649" t="s">
        <v>1571</v>
      </c>
      <c r="D23649" t="str">
        <f>"4547"</f>
        <v>4547</v>
      </c>
      <c r="E23649" t="s">
        <v>1572</v>
      </c>
      <c r="F23649" t="s">
        <v>631</v>
      </c>
      <c r="G23649" t="s">
        <v>49029</v>
      </c>
      <c r="H23649" t="s">
        <v>47054</v>
      </c>
      <c r="I23649" t="s">
        <v>47111</v>
      </c>
      <c r="J23649" t="s">
        <v>47112</v>
      </c>
      <c r="K23649" t="s">
        <v>47113</v>
      </c>
      <c r="L23649">
        <v>46.8</v>
      </c>
      <c r="M23649">
        <v>57</v>
      </c>
      <c r="N23649">
        <v>0</v>
      </c>
      <c r="O23649">
        <v>57</v>
      </c>
      <c r="P23649">
        <v>0</v>
      </c>
    </row>
    <row r="23650" spans="1:16" x14ac:dyDescent="0.25">
      <c r="A23650" t="s">
        <v>46396</v>
      </c>
      <c r="B23650" t="s">
        <v>1570</v>
      </c>
      <c r="C23650" t="s">
        <v>1571</v>
      </c>
      <c r="D23650" t="str">
        <f>"7426"</f>
        <v>7426</v>
      </c>
      <c r="E23650" t="s">
        <v>14054</v>
      </c>
      <c r="F23650" t="s">
        <v>631</v>
      </c>
      <c r="G23650" t="s">
        <v>49029</v>
      </c>
      <c r="H23650" t="s">
        <v>47054</v>
      </c>
      <c r="I23650" t="s">
        <v>47111</v>
      </c>
      <c r="J23650" t="s">
        <v>47112</v>
      </c>
      <c r="K23650" t="s">
        <v>47113</v>
      </c>
      <c r="L23650">
        <v>22.27</v>
      </c>
      <c r="M23650">
        <v>57</v>
      </c>
      <c r="N23650">
        <v>0</v>
      </c>
      <c r="O23650">
        <v>57</v>
      </c>
      <c r="P23650">
        <v>0</v>
      </c>
    </row>
    <row r="23651" spans="1:16" x14ac:dyDescent="0.25">
      <c r="A23651" t="s">
        <v>46397</v>
      </c>
      <c r="B23651" t="s">
        <v>14055</v>
      </c>
      <c r="C23651" t="s">
        <v>14056</v>
      </c>
      <c r="D23651" t="s">
        <v>14057</v>
      </c>
      <c r="E23651" t="s">
        <v>14058</v>
      </c>
      <c r="F23651" t="s">
        <v>3</v>
      </c>
      <c r="G23651" t="s">
        <v>49029</v>
      </c>
      <c r="H23651" t="s">
        <v>47054</v>
      </c>
      <c r="I23651" t="s">
        <v>47111</v>
      </c>
      <c r="J23651" t="s">
        <v>47112</v>
      </c>
      <c r="K23651" t="s">
        <v>47113</v>
      </c>
      <c r="L23651">
        <v>31.42</v>
      </c>
      <c r="M23651">
        <v>78</v>
      </c>
      <c r="N23651">
        <v>0</v>
      </c>
      <c r="O23651">
        <v>78</v>
      </c>
      <c r="P23651">
        <v>0</v>
      </c>
    </row>
    <row r="23652" spans="1:16" x14ac:dyDescent="0.25">
      <c r="A23652" t="s">
        <v>46398</v>
      </c>
      <c r="B23652" t="s">
        <v>14059</v>
      </c>
      <c r="C23652" t="s">
        <v>14060</v>
      </c>
      <c r="D23652" t="str">
        <f>"1851"</f>
        <v>1851</v>
      </c>
      <c r="E23652" t="s">
        <v>590</v>
      </c>
      <c r="F23652" t="s">
        <v>2</v>
      </c>
      <c r="G23652" t="s">
        <v>49029</v>
      </c>
      <c r="I23652" t="s">
        <v>47111</v>
      </c>
      <c r="J23652" t="s">
        <v>47112</v>
      </c>
      <c r="K23652" t="s">
        <v>47113</v>
      </c>
      <c r="L23652">
        <v>19.7</v>
      </c>
      <c r="M23652">
        <v>77</v>
      </c>
      <c r="N23652">
        <v>0</v>
      </c>
      <c r="O23652">
        <v>77</v>
      </c>
      <c r="P23652">
        <v>0</v>
      </c>
    </row>
    <row r="23653" spans="1:16" x14ac:dyDescent="0.25">
      <c r="A23653" t="s">
        <v>46399</v>
      </c>
      <c r="B23653" t="s">
        <v>14059</v>
      </c>
      <c r="C23653" t="s">
        <v>14060</v>
      </c>
      <c r="D23653" t="str">
        <f>"3202"</f>
        <v>3202</v>
      </c>
      <c r="E23653" t="s">
        <v>1584</v>
      </c>
      <c r="F23653" t="s">
        <v>2</v>
      </c>
      <c r="G23653" t="s">
        <v>49029</v>
      </c>
      <c r="I23653" t="s">
        <v>47111</v>
      </c>
      <c r="J23653" t="s">
        <v>47112</v>
      </c>
      <c r="K23653" t="s">
        <v>47113</v>
      </c>
      <c r="L23653">
        <v>26.33</v>
      </c>
      <c r="M23653">
        <v>85</v>
      </c>
      <c r="N23653">
        <v>0</v>
      </c>
      <c r="O23653">
        <v>85</v>
      </c>
      <c r="P23653">
        <v>0</v>
      </c>
    </row>
    <row r="23654" spans="1:16" x14ac:dyDescent="0.25">
      <c r="A23654" t="s">
        <v>46400</v>
      </c>
      <c r="B23654" t="s">
        <v>14059</v>
      </c>
      <c r="C23654" t="s">
        <v>14060</v>
      </c>
      <c r="D23654" t="str">
        <f>"4319"</f>
        <v>4319</v>
      </c>
      <c r="E23654" t="s">
        <v>1634</v>
      </c>
      <c r="F23654" t="s">
        <v>2</v>
      </c>
      <c r="G23654" t="s">
        <v>49029</v>
      </c>
      <c r="I23654" t="s">
        <v>47111</v>
      </c>
      <c r="J23654" t="s">
        <v>47112</v>
      </c>
      <c r="K23654" t="s">
        <v>47113</v>
      </c>
      <c r="L23654">
        <v>26.33</v>
      </c>
      <c r="M23654">
        <v>85</v>
      </c>
      <c r="N23654">
        <v>0</v>
      </c>
      <c r="O23654">
        <v>85</v>
      </c>
      <c r="P23654">
        <v>0</v>
      </c>
    </row>
    <row r="23655" spans="1:16" x14ac:dyDescent="0.25">
      <c r="A23655" t="s">
        <v>46401</v>
      </c>
      <c r="B23655" t="s">
        <v>14059</v>
      </c>
      <c r="C23655" t="s">
        <v>14060</v>
      </c>
      <c r="D23655" t="str">
        <f>"4559"</f>
        <v>4559</v>
      </c>
      <c r="E23655" t="s">
        <v>14061</v>
      </c>
      <c r="F23655" t="s">
        <v>2</v>
      </c>
      <c r="G23655" t="s">
        <v>49029</v>
      </c>
      <c r="I23655" t="s">
        <v>47111</v>
      </c>
      <c r="J23655" t="s">
        <v>47112</v>
      </c>
      <c r="K23655" t="s">
        <v>47113</v>
      </c>
      <c r="L23655">
        <v>26.33</v>
      </c>
      <c r="M23655">
        <v>85</v>
      </c>
      <c r="N23655">
        <v>0</v>
      </c>
      <c r="O23655">
        <v>85</v>
      </c>
      <c r="P23655">
        <v>0</v>
      </c>
    </row>
    <row r="23656" spans="1:16" x14ac:dyDescent="0.25">
      <c r="A23656" t="s">
        <v>46402</v>
      </c>
      <c r="B23656" t="s">
        <v>14059</v>
      </c>
      <c r="C23656" t="s">
        <v>14060</v>
      </c>
      <c r="D23656" t="str">
        <f>"5080"</f>
        <v>5080</v>
      </c>
      <c r="E23656" t="s">
        <v>1619</v>
      </c>
      <c r="F23656" t="s">
        <v>2</v>
      </c>
      <c r="G23656" t="s">
        <v>49029</v>
      </c>
      <c r="I23656" t="s">
        <v>47111</v>
      </c>
      <c r="J23656" t="s">
        <v>47112</v>
      </c>
      <c r="K23656" t="s">
        <v>47113</v>
      </c>
      <c r="L23656">
        <v>26.33</v>
      </c>
      <c r="M23656">
        <v>85</v>
      </c>
      <c r="N23656">
        <v>0</v>
      </c>
      <c r="O23656">
        <v>85</v>
      </c>
      <c r="P23656">
        <v>0</v>
      </c>
    </row>
    <row r="23657" spans="1:16" x14ac:dyDescent="0.25">
      <c r="A23657" t="s">
        <v>46403</v>
      </c>
      <c r="B23657" t="s">
        <v>14059</v>
      </c>
      <c r="C23657" t="s">
        <v>14060</v>
      </c>
      <c r="D23657" t="str">
        <f>"6169"</f>
        <v>6169</v>
      </c>
      <c r="E23657" t="s">
        <v>1585</v>
      </c>
      <c r="F23657" t="s">
        <v>2</v>
      </c>
      <c r="G23657" t="s">
        <v>49029</v>
      </c>
      <c r="I23657" t="s">
        <v>47111</v>
      </c>
      <c r="J23657" t="s">
        <v>47112</v>
      </c>
      <c r="K23657" t="s">
        <v>47113</v>
      </c>
      <c r="L23657">
        <v>26.33</v>
      </c>
      <c r="M23657">
        <v>85</v>
      </c>
      <c r="N23657">
        <v>0</v>
      </c>
      <c r="O23657">
        <v>85</v>
      </c>
      <c r="P23657">
        <v>0</v>
      </c>
    </row>
    <row r="23658" spans="1:16" x14ac:dyDescent="0.25">
      <c r="A23658" t="s">
        <v>46404</v>
      </c>
      <c r="B23658" t="s">
        <v>14059</v>
      </c>
      <c r="C23658" t="s">
        <v>14060</v>
      </c>
      <c r="D23658" t="str">
        <f>"6258"</f>
        <v>6258</v>
      </c>
      <c r="E23658" t="s">
        <v>1641</v>
      </c>
      <c r="F23658" t="s">
        <v>2</v>
      </c>
      <c r="G23658" t="s">
        <v>49029</v>
      </c>
      <c r="I23658" t="s">
        <v>47111</v>
      </c>
      <c r="J23658" t="s">
        <v>47112</v>
      </c>
      <c r="K23658" t="s">
        <v>47113</v>
      </c>
      <c r="L23658">
        <v>26.33</v>
      </c>
      <c r="M23658">
        <v>85</v>
      </c>
      <c r="N23658">
        <v>0</v>
      </c>
      <c r="O23658">
        <v>85</v>
      </c>
      <c r="P23658">
        <v>0</v>
      </c>
    </row>
    <row r="23659" spans="1:16" x14ac:dyDescent="0.25">
      <c r="A23659" t="s">
        <v>46405</v>
      </c>
      <c r="B23659" t="s">
        <v>14059</v>
      </c>
      <c r="C23659" t="s">
        <v>14060</v>
      </c>
      <c r="D23659" t="str">
        <f>"7347"</f>
        <v>7347</v>
      </c>
      <c r="E23659" t="s">
        <v>1586</v>
      </c>
      <c r="F23659" t="s">
        <v>2</v>
      </c>
      <c r="G23659" t="s">
        <v>49029</v>
      </c>
      <c r="I23659" t="s">
        <v>47111</v>
      </c>
      <c r="J23659" t="s">
        <v>47112</v>
      </c>
      <c r="K23659" t="s">
        <v>47113</v>
      </c>
      <c r="L23659">
        <v>26.33</v>
      </c>
      <c r="M23659">
        <v>85</v>
      </c>
      <c r="N23659">
        <v>0</v>
      </c>
      <c r="O23659">
        <v>85</v>
      </c>
      <c r="P23659">
        <v>0</v>
      </c>
    </row>
    <row r="23660" spans="1:16" x14ac:dyDescent="0.25">
      <c r="A23660" t="s">
        <v>46406</v>
      </c>
      <c r="B23660" t="s">
        <v>14059</v>
      </c>
      <c r="C23660" t="s">
        <v>14060</v>
      </c>
      <c r="D23660" t="str">
        <f>"8337"</f>
        <v>8337</v>
      </c>
      <c r="E23660" t="s">
        <v>14062</v>
      </c>
      <c r="F23660" t="s">
        <v>2</v>
      </c>
      <c r="G23660" t="s">
        <v>49029</v>
      </c>
      <c r="I23660" t="s">
        <v>47111</v>
      </c>
      <c r="J23660" t="s">
        <v>47112</v>
      </c>
      <c r="K23660" t="s">
        <v>47113</v>
      </c>
      <c r="L23660">
        <v>26.33</v>
      </c>
      <c r="M23660">
        <v>85</v>
      </c>
      <c r="N23660">
        <v>0</v>
      </c>
      <c r="O23660">
        <v>85</v>
      </c>
      <c r="P23660">
        <v>0</v>
      </c>
    </row>
    <row r="23661" spans="1:16" x14ac:dyDescent="0.25">
      <c r="A23661" t="s">
        <v>46407</v>
      </c>
      <c r="B23661" t="s">
        <v>14063</v>
      </c>
      <c r="C23661" t="s">
        <v>14064</v>
      </c>
      <c r="D23661" t="str">
        <f>"1356"</f>
        <v>1356</v>
      </c>
      <c r="E23661" t="s">
        <v>14065</v>
      </c>
      <c r="F23661" t="s">
        <v>2</v>
      </c>
      <c r="G23661" t="s">
        <v>49029</v>
      </c>
      <c r="H23661" t="s">
        <v>47054</v>
      </c>
      <c r="I23661" t="s">
        <v>47111</v>
      </c>
      <c r="J23661" t="s">
        <v>47112</v>
      </c>
      <c r="K23661" t="s">
        <v>47113</v>
      </c>
      <c r="L23661">
        <v>34.76</v>
      </c>
      <c r="M23661">
        <v>85</v>
      </c>
      <c r="N23661">
        <v>0</v>
      </c>
      <c r="O23661">
        <v>85</v>
      </c>
      <c r="P23661">
        <v>0</v>
      </c>
    </row>
    <row r="23662" spans="1:16" x14ac:dyDescent="0.25">
      <c r="A23662" t="s">
        <v>46408</v>
      </c>
      <c r="B23662" t="s">
        <v>14063</v>
      </c>
      <c r="C23662" t="s">
        <v>14064</v>
      </c>
      <c r="D23662" t="str">
        <f>"4479"</f>
        <v>4479</v>
      </c>
      <c r="E23662" t="s">
        <v>1624</v>
      </c>
      <c r="F23662" t="s">
        <v>2</v>
      </c>
      <c r="G23662" t="s">
        <v>49029</v>
      </c>
      <c r="H23662" t="s">
        <v>47054</v>
      </c>
      <c r="I23662" t="s">
        <v>47111</v>
      </c>
      <c r="J23662" t="s">
        <v>47112</v>
      </c>
      <c r="K23662" t="s">
        <v>47113</v>
      </c>
      <c r="L23662">
        <v>34.76</v>
      </c>
      <c r="M23662">
        <v>85</v>
      </c>
      <c r="N23662">
        <v>0</v>
      </c>
      <c r="O23662">
        <v>85</v>
      </c>
      <c r="P23662">
        <v>0</v>
      </c>
    </row>
    <row r="23663" spans="1:16" x14ac:dyDescent="0.25">
      <c r="A23663" t="s">
        <v>46409</v>
      </c>
      <c r="B23663" t="s">
        <v>14063</v>
      </c>
      <c r="C23663" t="s">
        <v>14064</v>
      </c>
      <c r="D23663" t="str">
        <f>"5078"</f>
        <v>5078</v>
      </c>
      <c r="E23663" t="s">
        <v>1626</v>
      </c>
      <c r="F23663" t="s">
        <v>2</v>
      </c>
      <c r="G23663" t="s">
        <v>49029</v>
      </c>
      <c r="H23663" t="s">
        <v>47054</v>
      </c>
      <c r="I23663" t="s">
        <v>47111</v>
      </c>
      <c r="J23663" t="s">
        <v>47112</v>
      </c>
      <c r="K23663" t="s">
        <v>47113</v>
      </c>
      <c r="L23663">
        <v>34.76</v>
      </c>
      <c r="M23663">
        <v>85</v>
      </c>
      <c r="N23663">
        <v>0</v>
      </c>
      <c r="O23663">
        <v>85</v>
      </c>
      <c r="P23663">
        <v>0</v>
      </c>
    </row>
    <row r="23664" spans="1:16" x14ac:dyDescent="0.25">
      <c r="A23664" t="s">
        <v>46410</v>
      </c>
      <c r="B23664" t="s">
        <v>14063</v>
      </c>
      <c r="C23664" t="s">
        <v>14064</v>
      </c>
      <c r="D23664" t="str">
        <f>"6157"</f>
        <v>6157</v>
      </c>
      <c r="E23664" t="s">
        <v>14066</v>
      </c>
      <c r="F23664" t="s">
        <v>2</v>
      </c>
      <c r="G23664" t="s">
        <v>49029</v>
      </c>
      <c r="H23664" t="s">
        <v>47054</v>
      </c>
      <c r="I23664" t="s">
        <v>47111</v>
      </c>
      <c r="J23664" t="s">
        <v>47112</v>
      </c>
      <c r="K23664" t="s">
        <v>47113</v>
      </c>
      <c r="L23664">
        <v>34.76</v>
      </c>
      <c r="M23664">
        <v>85</v>
      </c>
      <c r="N23664">
        <v>0</v>
      </c>
      <c r="O23664">
        <v>85</v>
      </c>
      <c r="P23664">
        <v>0</v>
      </c>
    </row>
    <row r="23665" spans="1:16" x14ac:dyDescent="0.25">
      <c r="A23665" t="s">
        <v>46411</v>
      </c>
      <c r="B23665" t="s">
        <v>14063</v>
      </c>
      <c r="C23665" t="s">
        <v>14064</v>
      </c>
      <c r="D23665" t="str">
        <f>"8041"</f>
        <v>8041</v>
      </c>
      <c r="E23665" t="s">
        <v>14067</v>
      </c>
      <c r="F23665" t="s">
        <v>2</v>
      </c>
      <c r="G23665" t="s">
        <v>49029</v>
      </c>
      <c r="H23665" t="s">
        <v>47054</v>
      </c>
      <c r="I23665" t="s">
        <v>47111</v>
      </c>
      <c r="J23665" t="s">
        <v>47112</v>
      </c>
      <c r="K23665" t="s">
        <v>47113</v>
      </c>
      <c r="L23665">
        <v>34.76</v>
      </c>
      <c r="M23665">
        <v>85</v>
      </c>
      <c r="N23665">
        <v>0</v>
      </c>
      <c r="O23665">
        <v>85</v>
      </c>
      <c r="P23665">
        <v>0</v>
      </c>
    </row>
    <row r="23666" spans="1:16" x14ac:dyDescent="0.25">
      <c r="A23666" t="s">
        <v>46412</v>
      </c>
      <c r="B23666" t="s">
        <v>14068</v>
      </c>
      <c r="C23666" t="s">
        <v>14069</v>
      </c>
      <c r="D23666" t="str">
        <f>"3365"</f>
        <v>3365</v>
      </c>
      <c r="E23666" t="s">
        <v>14070</v>
      </c>
      <c r="F23666" t="s">
        <v>3</v>
      </c>
      <c r="G23666" t="s">
        <v>49029</v>
      </c>
      <c r="H23666" t="s">
        <v>47054</v>
      </c>
      <c r="I23666" t="s">
        <v>47111</v>
      </c>
      <c r="J23666" t="s">
        <v>47112</v>
      </c>
      <c r="K23666" t="s">
        <v>47113</v>
      </c>
      <c r="L23666">
        <v>30.08</v>
      </c>
      <c r="M23666">
        <v>59</v>
      </c>
      <c r="N23666">
        <v>0</v>
      </c>
      <c r="O23666">
        <v>59</v>
      </c>
      <c r="P23666">
        <v>0</v>
      </c>
    </row>
    <row r="23667" spans="1:16" x14ac:dyDescent="0.25">
      <c r="A23667" t="s">
        <v>46413</v>
      </c>
      <c r="B23667" t="s">
        <v>14071</v>
      </c>
      <c r="C23667" t="s">
        <v>1583</v>
      </c>
      <c r="D23667" t="str">
        <f>"2157"</f>
        <v>2157</v>
      </c>
      <c r="E23667" t="s">
        <v>14072</v>
      </c>
      <c r="F23667" t="s">
        <v>2</v>
      </c>
      <c r="G23667" t="s">
        <v>47093</v>
      </c>
      <c r="H23667" t="s">
        <v>47054</v>
      </c>
      <c r="I23667" t="s">
        <v>47111</v>
      </c>
      <c r="J23667" t="s">
        <v>47112</v>
      </c>
      <c r="K23667" t="s">
        <v>47113</v>
      </c>
      <c r="L23667">
        <v>50.31</v>
      </c>
      <c r="M23667">
        <v>110</v>
      </c>
      <c r="N23667">
        <v>0</v>
      </c>
      <c r="O23667">
        <v>110</v>
      </c>
      <c r="P23667">
        <v>0</v>
      </c>
    </row>
    <row r="23668" spans="1:16" x14ac:dyDescent="0.25">
      <c r="A23668" t="s">
        <v>46414</v>
      </c>
      <c r="B23668" t="s">
        <v>14073</v>
      </c>
      <c r="C23668" t="s">
        <v>14074</v>
      </c>
      <c r="D23668" t="str">
        <f>"4666"</f>
        <v>4666</v>
      </c>
      <c r="E23668" t="s">
        <v>1606</v>
      </c>
      <c r="F23668" t="s">
        <v>2</v>
      </c>
      <c r="G23668" t="s">
        <v>47093</v>
      </c>
      <c r="I23668" t="s">
        <v>47111</v>
      </c>
      <c r="J23668" t="s">
        <v>47112</v>
      </c>
      <c r="K23668" t="s">
        <v>47113</v>
      </c>
      <c r="L23668">
        <v>51.44</v>
      </c>
      <c r="M23668">
        <v>110</v>
      </c>
      <c r="N23668">
        <v>0</v>
      </c>
      <c r="O23668">
        <v>110</v>
      </c>
      <c r="P23668">
        <v>0</v>
      </c>
    </row>
    <row r="23669" spans="1:16" x14ac:dyDescent="0.25">
      <c r="A23669" t="s">
        <v>46415</v>
      </c>
      <c r="B23669" t="s">
        <v>14073</v>
      </c>
      <c r="C23669" t="s">
        <v>14074</v>
      </c>
      <c r="D23669" t="str">
        <f>"6191"</f>
        <v>6191</v>
      </c>
      <c r="E23669" t="s">
        <v>1608</v>
      </c>
      <c r="F23669" t="s">
        <v>2</v>
      </c>
      <c r="G23669" t="s">
        <v>47093</v>
      </c>
      <c r="I23669" t="s">
        <v>47111</v>
      </c>
      <c r="J23669" t="s">
        <v>47112</v>
      </c>
      <c r="K23669" t="s">
        <v>47113</v>
      </c>
      <c r="L23669">
        <v>51.44</v>
      </c>
      <c r="M23669">
        <v>110</v>
      </c>
      <c r="N23669">
        <v>0</v>
      </c>
      <c r="O23669">
        <v>110</v>
      </c>
      <c r="P23669">
        <v>0</v>
      </c>
    </row>
    <row r="23670" spans="1:16" x14ac:dyDescent="0.25">
      <c r="A23670" t="s">
        <v>46416</v>
      </c>
      <c r="B23670" t="s">
        <v>14075</v>
      </c>
      <c r="C23670" t="s">
        <v>1583</v>
      </c>
      <c r="D23670" t="str">
        <f>"1867"</f>
        <v>1867</v>
      </c>
      <c r="E23670" t="s">
        <v>1595</v>
      </c>
      <c r="F23670" t="s">
        <v>631</v>
      </c>
      <c r="G23670" t="s">
        <v>47093</v>
      </c>
      <c r="H23670" t="s">
        <v>47054</v>
      </c>
      <c r="I23670" t="s">
        <v>47111</v>
      </c>
      <c r="J23670" t="s">
        <v>47112</v>
      </c>
      <c r="K23670" t="s">
        <v>47113</v>
      </c>
      <c r="L23670">
        <v>87.04</v>
      </c>
      <c r="M23670">
        <v>72</v>
      </c>
      <c r="N23670">
        <v>0</v>
      </c>
      <c r="O23670">
        <v>72</v>
      </c>
      <c r="P23670">
        <v>0</v>
      </c>
    </row>
    <row r="23671" spans="1:16" x14ac:dyDescent="0.25">
      <c r="A23671" t="s">
        <v>15135</v>
      </c>
      <c r="B23671" t="s">
        <v>14076</v>
      </c>
      <c r="C23671" t="s">
        <v>1543</v>
      </c>
      <c r="D23671" t="str">
        <f>"1113"</f>
        <v>1113</v>
      </c>
      <c r="E23671" t="s">
        <v>6443</v>
      </c>
      <c r="F23671" t="s">
        <v>8</v>
      </c>
      <c r="G23671" t="s">
        <v>47093</v>
      </c>
      <c r="H23671" t="s">
        <v>47054</v>
      </c>
      <c r="I23671" t="s">
        <v>47111</v>
      </c>
      <c r="J23671" t="s">
        <v>47112</v>
      </c>
      <c r="K23671" t="s">
        <v>47113</v>
      </c>
      <c r="L23671">
        <v>29.76</v>
      </c>
      <c r="M23671">
        <v>83</v>
      </c>
      <c r="N23671">
        <v>0</v>
      </c>
      <c r="O23671">
        <v>83</v>
      </c>
      <c r="P23671">
        <v>0</v>
      </c>
    </row>
    <row r="23672" spans="1:16" x14ac:dyDescent="0.25">
      <c r="A23672" t="s">
        <v>46417</v>
      </c>
      <c r="B23672" t="s">
        <v>14076</v>
      </c>
      <c r="C23672" t="s">
        <v>1543</v>
      </c>
      <c r="D23672" t="str">
        <f>"1317"</f>
        <v>1317</v>
      </c>
      <c r="E23672" t="s">
        <v>2693</v>
      </c>
      <c r="F23672" t="s">
        <v>8</v>
      </c>
      <c r="G23672" t="s">
        <v>47093</v>
      </c>
      <c r="H23672" t="s">
        <v>47054</v>
      </c>
      <c r="I23672" t="s">
        <v>47111</v>
      </c>
      <c r="J23672" t="s">
        <v>47112</v>
      </c>
      <c r="K23672" t="s">
        <v>47113</v>
      </c>
      <c r="L23672">
        <v>29.76</v>
      </c>
      <c r="M23672">
        <v>83</v>
      </c>
      <c r="N23672">
        <v>0</v>
      </c>
      <c r="O23672">
        <v>83</v>
      </c>
      <c r="P23672">
        <v>0</v>
      </c>
    </row>
    <row r="23673" spans="1:16" x14ac:dyDescent="0.25">
      <c r="A23673" t="s">
        <v>46418</v>
      </c>
      <c r="B23673" t="s">
        <v>14076</v>
      </c>
      <c r="C23673" t="s">
        <v>1543</v>
      </c>
      <c r="D23673" t="str">
        <f>"3187"</f>
        <v>3187</v>
      </c>
      <c r="E23673" t="s">
        <v>14077</v>
      </c>
      <c r="F23673" t="s">
        <v>8</v>
      </c>
      <c r="G23673" t="s">
        <v>47093</v>
      </c>
      <c r="H23673" t="s">
        <v>47054</v>
      </c>
      <c r="I23673" t="s">
        <v>47111</v>
      </c>
      <c r="J23673" t="s">
        <v>47112</v>
      </c>
      <c r="K23673" t="s">
        <v>47113</v>
      </c>
      <c r="L23673">
        <v>29.76</v>
      </c>
      <c r="M23673">
        <v>83</v>
      </c>
      <c r="N23673">
        <v>0</v>
      </c>
      <c r="O23673">
        <v>83</v>
      </c>
      <c r="P23673">
        <v>0</v>
      </c>
    </row>
    <row r="23674" spans="1:16" x14ac:dyDescent="0.25">
      <c r="A23674" t="s">
        <v>1573</v>
      </c>
      <c r="B23674" t="s">
        <v>1574</v>
      </c>
      <c r="C23674" t="s">
        <v>1575</v>
      </c>
      <c r="D23674" t="str">
        <f>"1851"</f>
        <v>1851</v>
      </c>
      <c r="E23674" t="s">
        <v>590</v>
      </c>
      <c r="F23674" t="s">
        <v>296</v>
      </c>
      <c r="G23674" t="s">
        <v>47093</v>
      </c>
      <c r="H23674" t="s">
        <v>47054</v>
      </c>
      <c r="I23674" t="s">
        <v>47111</v>
      </c>
      <c r="J23674" t="s">
        <v>47112</v>
      </c>
      <c r="K23674" t="s">
        <v>47113</v>
      </c>
      <c r="L23674">
        <v>37.08</v>
      </c>
      <c r="M23674">
        <v>85</v>
      </c>
      <c r="N23674">
        <v>0</v>
      </c>
      <c r="O23674">
        <v>85</v>
      </c>
      <c r="P23674">
        <v>0</v>
      </c>
    </row>
    <row r="23675" spans="1:16" x14ac:dyDescent="0.25">
      <c r="A23675" t="s">
        <v>46419</v>
      </c>
      <c r="B23675" t="s">
        <v>14078</v>
      </c>
      <c r="C23675" t="s">
        <v>14079</v>
      </c>
      <c r="D23675" t="str">
        <f>"3018"</f>
        <v>3018</v>
      </c>
      <c r="E23675" t="s">
        <v>5532</v>
      </c>
      <c r="F23675" t="s">
        <v>8</v>
      </c>
      <c r="G23675" t="s">
        <v>47093</v>
      </c>
      <c r="H23675" t="s">
        <v>47054</v>
      </c>
      <c r="I23675" t="s">
        <v>47111</v>
      </c>
      <c r="J23675" t="s">
        <v>47112</v>
      </c>
      <c r="K23675" t="s">
        <v>47113</v>
      </c>
      <c r="L23675">
        <v>36</v>
      </c>
      <c r="M23675">
        <v>86</v>
      </c>
      <c r="N23675">
        <v>0</v>
      </c>
      <c r="O23675">
        <v>86</v>
      </c>
      <c r="P23675">
        <v>0</v>
      </c>
    </row>
    <row r="23676" spans="1:16" x14ac:dyDescent="0.25">
      <c r="A23676" t="s">
        <v>46420</v>
      </c>
      <c r="B23676" t="s">
        <v>14078</v>
      </c>
      <c r="C23676" t="s">
        <v>14079</v>
      </c>
      <c r="D23676" t="str">
        <f>"6148"</f>
        <v>6148</v>
      </c>
      <c r="E23676" t="s">
        <v>14080</v>
      </c>
      <c r="F23676" t="s">
        <v>8</v>
      </c>
      <c r="G23676" t="s">
        <v>47093</v>
      </c>
      <c r="H23676" t="s">
        <v>47054</v>
      </c>
      <c r="I23676" t="s">
        <v>47111</v>
      </c>
      <c r="J23676" t="s">
        <v>47112</v>
      </c>
      <c r="K23676" t="s">
        <v>47113</v>
      </c>
      <c r="L23676">
        <v>34.409999999999997</v>
      </c>
      <c r="M23676">
        <v>87</v>
      </c>
      <c r="N23676">
        <v>0</v>
      </c>
      <c r="O23676">
        <v>87</v>
      </c>
      <c r="P23676">
        <v>0</v>
      </c>
    </row>
    <row r="23677" spans="1:16" x14ac:dyDescent="0.25">
      <c r="A23677" t="s">
        <v>46421</v>
      </c>
      <c r="B23677" t="s">
        <v>14081</v>
      </c>
      <c r="C23677" t="s">
        <v>14082</v>
      </c>
      <c r="D23677" t="s">
        <v>14057</v>
      </c>
      <c r="E23677" t="s">
        <v>14058</v>
      </c>
      <c r="F23677" t="s">
        <v>2</v>
      </c>
      <c r="G23677" t="s">
        <v>47093</v>
      </c>
      <c r="H23677" t="s">
        <v>47054</v>
      </c>
      <c r="I23677" t="s">
        <v>47111</v>
      </c>
      <c r="J23677" t="s">
        <v>47112</v>
      </c>
      <c r="K23677" t="s">
        <v>47113</v>
      </c>
      <c r="L23677">
        <v>41.55</v>
      </c>
      <c r="M23677">
        <v>104</v>
      </c>
      <c r="N23677">
        <v>0</v>
      </c>
      <c r="O23677">
        <v>104</v>
      </c>
      <c r="P23677">
        <v>0</v>
      </c>
    </row>
    <row r="23678" spans="1:16" x14ac:dyDescent="0.25">
      <c r="A23678" t="s">
        <v>46422</v>
      </c>
      <c r="B23678" t="s">
        <v>1577</v>
      </c>
      <c r="C23678" t="s">
        <v>1578</v>
      </c>
      <c r="D23678" t="str">
        <f>"1180"</f>
        <v>1180</v>
      </c>
      <c r="E23678" t="s">
        <v>5773</v>
      </c>
      <c r="F23678" t="s">
        <v>6</v>
      </c>
      <c r="G23678" t="s">
        <v>47093</v>
      </c>
      <c r="H23678" t="s">
        <v>47054</v>
      </c>
      <c r="I23678" t="s">
        <v>47111</v>
      </c>
      <c r="J23678" t="s">
        <v>47112</v>
      </c>
      <c r="K23678" t="s">
        <v>47113</v>
      </c>
      <c r="L23678">
        <v>41.74</v>
      </c>
      <c r="M23678">
        <v>101</v>
      </c>
      <c r="N23678">
        <v>0</v>
      </c>
      <c r="O23678">
        <v>101</v>
      </c>
      <c r="P23678">
        <v>0</v>
      </c>
    </row>
    <row r="23679" spans="1:16" x14ac:dyDescent="0.25">
      <c r="A23679" t="s">
        <v>46423</v>
      </c>
      <c r="B23679" t="s">
        <v>1577</v>
      </c>
      <c r="C23679" t="s">
        <v>1578</v>
      </c>
      <c r="D23679" t="str">
        <f>"1181"</f>
        <v>1181</v>
      </c>
      <c r="E23679" t="s">
        <v>5774</v>
      </c>
      <c r="F23679" t="s">
        <v>6</v>
      </c>
      <c r="G23679" t="s">
        <v>47093</v>
      </c>
      <c r="H23679" t="s">
        <v>47054</v>
      </c>
      <c r="I23679" t="s">
        <v>47111</v>
      </c>
      <c r="J23679" t="s">
        <v>47112</v>
      </c>
      <c r="K23679" t="s">
        <v>47113</v>
      </c>
      <c r="L23679">
        <v>41.78</v>
      </c>
      <c r="M23679">
        <v>101</v>
      </c>
      <c r="N23679">
        <v>0</v>
      </c>
      <c r="O23679">
        <v>101</v>
      </c>
      <c r="P23679">
        <v>0</v>
      </c>
    </row>
    <row r="23680" spans="1:16" x14ac:dyDescent="0.25">
      <c r="A23680" t="s">
        <v>46424</v>
      </c>
      <c r="B23680" t="s">
        <v>1577</v>
      </c>
      <c r="C23680" t="s">
        <v>1578</v>
      </c>
      <c r="D23680" t="str">
        <f>"2344"</f>
        <v>2344</v>
      </c>
      <c r="E23680" t="s">
        <v>5776</v>
      </c>
      <c r="F23680" t="s">
        <v>6</v>
      </c>
      <c r="G23680" t="s">
        <v>47093</v>
      </c>
      <c r="H23680" t="s">
        <v>47054</v>
      </c>
      <c r="I23680" t="s">
        <v>47111</v>
      </c>
      <c r="J23680" t="s">
        <v>47112</v>
      </c>
      <c r="K23680" t="s">
        <v>47113</v>
      </c>
      <c r="L23680">
        <v>43.4</v>
      </c>
      <c r="M23680">
        <v>101</v>
      </c>
      <c r="N23680">
        <v>0</v>
      </c>
      <c r="O23680">
        <v>101</v>
      </c>
      <c r="P23680">
        <v>0</v>
      </c>
    </row>
    <row r="23681" spans="1:16" x14ac:dyDescent="0.25">
      <c r="A23681" t="s">
        <v>1576</v>
      </c>
      <c r="B23681" t="s">
        <v>1577</v>
      </c>
      <c r="C23681" t="s">
        <v>1578</v>
      </c>
      <c r="D23681" t="str">
        <f>"3229"</f>
        <v>3229</v>
      </c>
      <c r="E23681" t="s">
        <v>1579</v>
      </c>
      <c r="F23681" t="s">
        <v>6</v>
      </c>
      <c r="G23681" t="s">
        <v>47093</v>
      </c>
      <c r="H23681" t="s">
        <v>47054</v>
      </c>
      <c r="I23681" t="s">
        <v>47111</v>
      </c>
      <c r="J23681" t="s">
        <v>47112</v>
      </c>
      <c r="K23681" t="s">
        <v>47113</v>
      </c>
      <c r="L23681">
        <v>43.25</v>
      </c>
      <c r="M23681">
        <v>101</v>
      </c>
      <c r="N23681">
        <v>0</v>
      </c>
      <c r="O23681">
        <v>101</v>
      </c>
      <c r="P23681">
        <v>0</v>
      </c>
    </row>
    <row r="23682" spans="1:16" x14ac:dyDescent="0.25">
      <c r="A23682" t="s">
        <v>46425</v>
      </c>
      <c r="B23682" t="s">
        <v>1577</v>
      </c>
      <c r="C23682" t="s">
        <v>1578</v>
      </c>
      <c r="D23682" t="str">
        <f>"4472"</f>
        <v>4472</v>
      </c>
      <c r="E23682" t="s">
        <v>5778</v>
      </c>
      <c r="F23682" t="s">
        <v>6</v>
      </c>
      <c r="G23682" t="s">
        <v>47093</v>
      </c>
      <c r="H23682" t="s">
        <v>47054</v>
      </c>
      <c r="I23682" t="s">
        <v>47111</v>
      </c>
      <c r="J23682" t="s">
        <v>47112</v>
      </c>
      <c r="K23682" t="s">
        <v>47113</v>
      </c>
      <c r="L23682">
        <v>43.74</v>
      </c>
      <c r="M23682">
        <v>101</v>
      </c>
      <c r="N23682">
        <v>0</v>
      </c>
      <c r="O23682">
        <v>101</v>
      </c>
      <c r="P23682">
        <v>0</v>
      </c>
    </row>
    <row r="23683" spans="1:16" x14ac:dyDescent="0.25">
      <c r="A23683" t="s">
        <v>46426</v>
      </c>
      <c r="B23683" t="s">
        <v>1577</v>
      </c>
      <c r="C23683" t="s">
        <v>1578</v>
      </c>
      <c r="D23683" t="str">
        <f>"5072"</f>
        <v>5072</v>
      </c>
      <c r="E23683" t="s">
        <v>5779</v>
      </c>
      <c r="F23683" t="s">
        <v>6</v>
      </c>
      <c r="G23683" t="s">
        <v>47093</v>
      </c>
      <c r="H23683" t="s">
        <v>47054</v>
      </c>
      <c r="I23683" t="s">
        <v>47111</v>
      </c>
      <c r="J23683" t="s">
        <v>47112</v>
      </c>
      <c r="K23683" t="s">
        <v>47113</v>
      </c>
      <c r="L23683">
        <v>43.25</v>
      </c>
      <c r="M23683">
        <v>101</v>
      </c>
      <c r="N23683">
        <v>0</v>
      </c>
      <c r="O23683">
        <v>101</v>
      </c>
      <c r="P23683">
        <v>0</v>
      </c>
    </row>
    <row r="23684" spans="1:16" x14ac:dyDescent="0.25">
      <c r="A23684" t="s">
        <v>46427</v>
      </c>
      <c r="B23684" t="s">
        <v>1577</v>
      </c>
      <c r="C23684" t="s">
        <v>1578</v>
      </c>
      <c r="D23684" t="str">
        <f>"6152"</f>
        <v>6152</v>
      </c>
      <c r="E23684" t="s">
        <v>14083</v>
      </c>
      <c r="F23684" t="s">
        <v>6</v>
      </c>
      <c r="G23684" t="s">
        <v>47093</v>
      </c>
      <c r="H23684" t="s">
        <v>47054</v>
      </c>
      <c r="I23684" t="s">
        <v>47111</v>
      </c>
      <c r="J23684" t="s">
        <v>47112</v>
      </c>
      <c r="K23684" t="s">
        <v>47113</v>
      </c>
      <c r="L23684">
        <v>43.28</v>
      </c>
      <c r="M23684">
        <v>101</v>
      </c>
      <c r="N23684">
        <v>0</v>
      </c>
      <c r="O23684">
        <v>101</v>
      </c>
      <c r="P23684">
        <v>0</v>
      </c>
    </row>
    <row r="23685" spans="1:16" x14ac:dyDescent="0.25">
      <c r="A23685" t="s">
        <v>46428</v>
      </c>
      <c r="B23685" t="s">
        <v>1577</v>
      </c>
      <c r="C23685" t="s">
        <v>1578</v>
      </c>
      <c r="D23685" t="str">
        <f>"6248"</f>
        <v>6248</v>
      </c>
      <c r="E23685" t="s">
        <v>1580</v>
      </c>
      <c r="F23685" t="s">
        <v>6</v>
      </c>
      <c r="G23685" t="s">
        <v>47093</v>
      </c>
      <c r="H23685" t="s">
        <v>47054</v>
      </c>
      <c r="I23685" t="s">
        <v>47111</v>
      </c>
      <c r="J23685" t="s">
        <v>47112</v>
      </c>
      <c r="K23685" t="s">
        <v>47113</v>
      </c>
      <c r="L23685">
        <v>43.58</v>
      </c>
      <c r="M23685">
        <v>101</v>
      </c>
      <c r="N23685">
        <v>0</v>
      </c>
      <c r="O23685">
        <v>101</v>
      </c>
      <c r="P23685">
        <v>0</v>
      </c>
    </row>
    <row r="23686" spans="1:16" x14ac:dyDescent="0.25">
      <c r="A23686" t="s">
        <v>46429</v>
      </c>
      <c r="B23686" t="s">
        <v>1577</v>
      </c>
      <c r="C23686" t="s">
        <v>1578</v>
      </c>
      <c r="D23686" t="str">
        <f>"7019"</f>
        <v>7019</v>
      </c>
      <c r="E23686" t="s">
        <v>5781</v>
      </c>
      <c r="F23686" t="s">
        <v>6</v>
      </c>
      <c r="G23686" t="s">
        <v>47093</v>
      </c>
      <c r="H23686" t="s">
        <v>47054</v>
      </c>
      <c r="I23686" t="s">
        <v>47111</v>
      </c>
      <c r="J23686" t="s">
        <v>47112</v>
      </c>
      <c r="K23686" t="s">
        <v>47113</v>
      </c>
      <c r="L23686">
        <v>43.4</v>
      </c>
      <c r="M23686">
        <v>101</v>
      </c>
      <c r="N23686">
        <v>0</v>
      </c>
      <c r="O23686">
        <v>101</v>
      </c>
      <c r="P23686">
        <v>0</v>
      </c>
    </row>
    <row r="23687" spans="1:16" x14ac:dyDescent="0.25">
      <c r="A23687" t="s">
        <v>46430</v>
      </c>
      <c r="B23687" t="s">
        <v>1577</v>
      </c>
      <c r="C23687" t="s">
        <v>1578</v>
      </c>
      <c r="D23687" t="str">
        <f>"7236"</f>
        <v>7236</v>
      </c>
      <c r="E23687" t="s">
        <v>14084</v>
      </c>
      <c r="F23687" t="s">
        <v>6</v>
      </c>
      <c r="G23687" t="s">
        <v>47093</v>
      </c>
      <c r="H23687" t="s">
        <v>47054</v>
      </c>
      <c r="I23687" t="s">
        <v>47111</v>
      </c>
      <c r="J23687" t="s">
        <v>47112</v>
      </c>
      <c r="K23687" t="s">
        <v>47113</v>
      </c>
      <c r="L23687">
        <v>40.93</v>
      </c>
      <c r="M23687">
        <v>101</v>
      </c>
      <c r="N23687">
        <v>0</v>
      </c>
      <c r="O23687">
        <v>101</v>
      </c>
      <c r="P23687">
        <v>0</v>
      </c>
    </row>
    <row r="23688" spans="1:16" x14ac:dyDescent="0.25">
      <c r="A23688" t="s">
        <v>46431</v>
      </c>
      <c r="B23688" t="s">
        <v>1582</v>
      </c>
      <c r="C23688" t="s">
        <v>1583</v>
      </c>
      <c r="D23688" t="str">
        <f>"1276"</f>
        <v>1276</v>
      </c>
      <c r="E23688" t="s">
        <v>1615</v>
      </c>
      <c r="F23688" t="s">
        <v>2</v>
      </c>
      <c r="G23688" t="s">
        <v>47093</v>
      </c>
      <c r="H23688" t="s">
        <v>47054</v>
      </c>
      <c r="I23688" t="s">
        <v>47111</v>
      </c>
      <c r="J23688" t="s">
        <v>47112</v>
      </c>
      <c r="K23688" t="s">
        <v>47113</v>
      </c>
      <c r="L23688">
        <v>36.43</v>
      </c>
      <c r="M23688">
        <v>68</v>
      </c>
      <c r="N23688">
        <v>0</v>
      </c>
      <c r="O23688">
        <v>68</v>
      </c>
      <c r="P23688">
        <v>0</v>
      </c>
    </row>
    <row r="23689" spans="1:16" x14ac:dyDescent="0.25">
      <c r="A23689" t="s">
        <v>46432</v>
      </c>
      <c r="B23689" t="s">
        <v>1582</v>
      </c>
      <c r="C23689" t="s">
        <v>1583</v>
      </c>
      <c r="D23689" t="str">
        <f>"1851"</f>
        <v>1851</v>
      </c>
      <c r="E23689" t="s">
        <v>590</v>
      </c>
      <c r="F23689" t="s">
        <v>2</v>
      </c>
      <c r="G23689" t="s">
        <v>47093</v>
      </c>
      <c r="H23689" t="s">
        <v>47054</v>
      </c>
      <c r="I23689" t="s">
        <v>47111</v>
      </c>
      <c r="J23689" t="s">
        <v>47112</v>
      </c>
      <c r="K23689" t="s">
        <v>47113</v>
      </c>
      <c r="L23689">
        <v>27.65</v>
      </c>
      <c r="M23689">
        <v>77</v>
      </c>
      <c r="N23689">
        <v>0</v>
      </c>
      <c r="O23689">
        <v>77</v>
      </c>
      <c r="P23689">
        <v>0</v>
      </c>
    </row>
    <row r="23690" spans="1:16" x14ac:dyDescent="0.25">
      <c r="A23690" t="s">
        <v>1581</v>
      </c>
      <c r="B23690" t="s">
        <v>1582</v>
      </c>
      <c r="C23690" t="s">
        <v>1583</v>
      </c>
      <c r="D23690" t="str">
        <f>"3202"</f>
        <v>3202</v>
      </c>
      <c r="E23690" t="s">
        <v>1584</v>
      </c>
      <c r="F23690" t="s">
        <v>2</v>
      </c>
      <c r="G23690" t="s">
        <v>47093</v>
      </c>
      <c r="H23690" t="s">
        <v>47054</v>
      </c>
      <c r="I23690" t="s">
        <v>47111</v>
      </c>
      <c r="J23690" t="s">
        <v>47112</v>
      </c>
      <c r="K23690" t="s">
        <v>47113</v>
      </c>
      <c r="L23690">
        <v>35.909999999999997</v>
      </c>
      <c r="M23690">
        <v>77</v>
      </c>
      <c r="N23690">
        <v>0</v>
      </c>
      <c r="O23690">
        <v>77</v>
      </c>
      <c r="P23690">
        <v>0</v>
      </c>
    </row>
    <row r="23691" spans="1:16" x14ac:dyDescent="0.25">
      <c r="A23691" t="s">
        <v>46433</v>
      </c>
      <c r="B23691" t="s">
        <v>1582</v>
      </c>
      <c r="C23691" t="s">
        <v>1583</v>
      </c>
      <c r="D23691" t="str">
        <f>"3365"</f>
        <v>3365</v>
      </c>
      <c r="E23691" t="s">
        <v>14070</v>
      </c>
      <c r="F23691" t="s">
        <v>3</v>
      </c>
      <c r="G23691" t="s">
        <v>47093</v>
      </c>
      <c r="H23691" t="s">
        <v>47054</v>
      </c>
      <c r="I23691" t="s">
        <v>47111</v>
      </c>
      <c r="J23691" t="s">
        <v>47112</v>
      </c>
      <c r="K23691" t="s">
        <v>47113</v>
      </c>
      <c r="L23691">
        <v>35.49</v>
      </c>
      <c r="M23691">
        <v>77</v>
      </c>
      <c r="N23691">
        <v>0</v>
      </c>
      <c r="O23691">
        <v>77</v>
      </c>
      <c r="P23691">
        <v>0</v>
      </c>
    </row>
    <row r="23692" spans="1:16" x14ac:dyDescent="0.25">
      <c r="A23692" t="s">
        <v>46434</v>
      </c>
      <c r="B23692" t="s">
        <v>1582</v>
      </c>
      <c r="C23692" t="s">
        <v>1583</v>
      </c>
      <c r="D23692" t="str">
        <f>"4319"</f>
        <v>4319</v>
      </c>
      <c r="E23692" t="s">
        <v>1634</v>
      </c>
      <c r="F23692" t="s">
        <v>2</v>
      </c>
      <c r="G23692" t="s">
        <v>47093</v>
      </c>
      <c r="H23692" t="s">
        <v>47054</v>
      </c>
      <c r="I23692" t="s">
        <v>47111</v>
      </c>
      <c r="J23692" t="s">
        <v>47112</v>
      </c>
      <c r="K23692" t="s">
        <v>47113</v>
      </c>
      <c r="L23692">
        <v>35.29</v>
      </c>
      <c r="M23692">
        <v>77</v>
      </c>
      <c r="N23692">
        <v>0</v>
      </c>
      <c r="O23692">
        <v>77</v>
      </c>
      <c r="P23692">
        <v>0</v>
      </c>
    </row>
    <row r="23693" spans="1:16" x14ac:dyDescent="0.25">
      <c r="A23693" t="s">
        <v>46435</v>
      </c>
      <c r="B23693" t="s">
        <v>1582</v>
      </c>
      <c r="C23693" t="s">
        <v>1583</v>
      </c>
      <c r="D23693" t="str">
        <f>"4560"</f>
        <v>4560</v>
      </c>
      <c r="E23693" t="s">
        <v>1617</v>
      </c>
      <c r="F23693" t="s">
        <v>2</v>
      </c>
      <c r="G23693" t="s">
        <v>47093</v>
      </c>
      <c r="H23693" t="s">
        <v>47054</v>
      </c>
      <c r="I23693" t="s">
        <v>47111</v>
      </c>
      <c r="J23693" t="s">
        <v>47112</v>
      </c>
      <c r="K23693" t="s">
        <v>47113</v>
      </c>
      <c r="L23693">
        <v>36.43</v>
      </c>
      <c r="M23693">
        <v>68</v>
      </c>
      <c r="N23693">
        <v>0</v>
      </c>
      <c r="O23693">
        <v>68</v>
      </c>
      <c r="P23693">
        <v>0</v>
      </c>
    </row>
    <row r="23694" spans="1:16" x14ac:dyDescent="0.25">
      <c r="A23694" t="s">
        <v>46436</v>
      </c>
      <c r="B23694" t="s">
        <v>1582</v>
      </c>
      <c r="C23694" t="s">
        <v>1583</v>
      </c>
      <c r="D23694" t="str">
        <f>"5080"</f>
        <v>5080</v>
      </c>
      <c r="E23694" t="s">
        <v>1619</v>
      </c>
      <c r="F23694" t="s">
        <v>2</v>
      </c>
      <c r="G23694" t="s">
        <v>47093</v>
      </c>
      <c r="H23694" t="s">
        <v>47054</v>
      </c>
      <c r="I23694" t="s">
        <v>47111</v>
      </c>
      <c r="J23694" t="s">
        <v>47112</v>
      </c>
      <c r="K23694" t="s">
        <v>47113</v>
      </c>
      <c r="L23694">
        <v>35.29</v>
      </c>
      <c r="M23694">
        <v>77</v>
      </c>
      <c r="N23694">
        <v>0</v>
      </c>
      <c r="O23694">
        <v>77</v>
      </c>
      <c r="P23694">
        <v>0</v>
      </c>
    </row>
    <row r="23695" spans="1:16" x14ac:dyDescent="0.25">
      <c r="A23695" t="s">
        <v>46437</v>
      </c>
      <c r="B23695" t="s">
        <v>1582</v>
      </c>
      <c r="C23695" t="s">
        <v>1583</v>
      </c>
      <c r="D23695" t="str">
        <f>"5326"</f>
        <v>5326</v>
      </c>
      <c r="E23695" t="s">
        <v>14042</v>
      </c>
      <c r="F23695" t="s">
        <v>2</v>
      </c>
      <c r="G23695" t="s">
        <v>47093</v>
      </c>
      <c r="H23695" t="s">
        <v>47054</v>
      </c>
      <c r="I23695" t="s">
        <v>47111</v>
      </c>
      <c r="J23695" t="s">
        <v>47112</v>
      </c>
      <c r="K23695" t="s">
        <v>47113</v>
      </c>
      <c r="L23695">
        <v>36.43</v>
      </c>
      <c r="M23695">
        <v>68</v>
      </c>
      <c r="N23695">
        <v>0</v>
      </c>
      <c r="O23695">
        <v>68</v>
      </c>
      <c r="P23695">
        <v>0</v>
      </c>
    </row>
    <row r="23696" spans="1:16" x14ac:dyDescent="0.25">
      <c r="A23696" t="s">
        <v>46438</v>
      </c>
      <c r="B23696" t="s">
        <v>1582</v>
      </c>
      <c r="C23696" t="s">
        <v>1583</v>
      </c>
      <c r="D23696" t="str">
        <f>"6169"</f>
        <v>6169</v>
      </c>
      <c r="E23696" t="s">
        <v>1585</v>
      </c>
      <c r="F23696" t="s">
        <v>2</v>
      </c>
      <c r="G23696" t="s">
        <v>47093</v>
      </c>
      <c r="H23696" t="s">
        <v>47054</v>
      </c>
      <c r="I23696" t="s">
        <v>47111</v>
      </c>
      <c r="J23696" t="s">
        <v>47112</v>
      </c>
      <c r="K23696" t="s">
        <v>47113</v>
      </c>
      <c r="L23696">
        <v>35.909999999999997</v>
      </c>
      <c r="M23696">
        <v>77</v>
      </c>
      <c r="N23696">
        <v>0</v>
      </c>
      <c r="O23696">
        <v>77</v>
      </c>
      <c r="P23696">
        <v>0</v>
      </c>
    </row>
    <row r="23697" spans="1:16" x14ac:dyDescent="0.25">
      <c r="A23697" t="s">
        <v>46439</v>
      </c>
      <c r="B23697" t="s">
        <v>1582</v>
      </c>
      <c r="C23697" t="s">
        <v>1583</v>
      </c>
      <c r="D23697" t="str">
        <f>"6839"</f>
        <v>6839</v>
      </c>
      <c r="E23697" t="s">
        <v>14043</v>
      </c>
      <c r="F23697" t="s">
        <v>2</v>
      </c>
      <c r="G23697" t="s">
        <v>47093</v>
      </c>
      <c r="H23697" t="s">
        <v>47054</v>
      </c>
      <c r="I23697" t="s">
        <v>47111</v>
      </c>
      <c r="J23697" t="s">
        <v>47112</v>
      </c>
      <c r="K23697" t="s">
        <v>47113</v>
      </c>
      <c r="L23697">
        <v>36.43</v>
      </c>
      <c r="M23697">
        <v>68</v>
      </c>
      <c r="N23697">
        <v>0</v>
      </c>
      <c r="O23697">
        <v>68</v>
      </c>
      <c r="P23697">
        <v>0</v>
      </c>
    </row>
    <row r="23698" spans="1:16" x14ac:dyDescent="0.25">
      <c r="A23698" t="s">
        <v>46440</v>
      </c>
      <c r="B23698" t="s">
        <v>1582</v>
      </c>
      <c r="C23698" t="s">
        <v>1583</v>
      </c>
      <c r="D23698" t="str">
        <f>"7347"</f>
        <v>7347</v>
      </c>
      <c r="E23698" t="s">
        <v>1586</v>
      </c>
      <c r="F23698" t="s">
        <v>2</v>
      </c>
      <c r="G23698" t="s">
        <v>47093</v>
      </c>
      <c r="H23698" t="s">
        <v>47054</v>
      </c>
      <c r="I23698" t="s">
        <v>47111</v>
      </c>
      <c r="J23698" t="s">
        <v>47112</v>
      </c>
      <c r="K23698" t="s">
        <v>47113</v>
      </c>
      <c r="L23698">
        <v>35.909999999999997</v>
      </c>
      <c r="M23698">
        <v>77</v>
      </c>
      <c r="N23698">
        <v>0</v>
      </c>
      <c r="O23698">
        <v>77</v>
      </c>
      <c r="P23698">
        <v>0</v>
      </c>
    </row>
    <row r="23699" spans="1:16" x14ac:dyDescent="0.25">
      <c r="A23699" t="s">
        <v>46441</v>
      </c>
      <c r="B23699" t="s">
        <v>1582</v>
      </c>
      <c r="C23699" t="s">
        <v>1583</v>
      </c>
      <c r="D23699" t="str">
        <f>"7370"</f>
        <v>7370</v>
      </c>
      <c r="E23699" t="s">
        <v>14085</v>
      </c>
      <c r="F23699" t="s">
        <v>3</v>
      </c>
      <c r="G23699" t="s">
        <v>47093</v>
      </c>
      <c r="H23699" t="s">
        <v>47054</v>
      </c>
      <c r="I23699" t="s">
        <v>47111</v>
      </c>
      <c r="J23699" t="s">
        <v>47112</v>
      </c>
      <c r="K23699" t="s">
        <v>47113</v>
      </c>
      <c r="L23699">
        <v>35.49</v>
      </c>
      <c r="M23699">
        <v>77</v>
      </c>
      <c r="N23699">
        <v>0</v>
      </c>
      <c r="O23699">
        <v>77</v>
      </c>
      <c r="P23699">
        <v>0</v>
      </c>
    </row>
    <row r="23700" spans="1:16" x14ac:dyDescent="0.25">
      <c r="A23700" t="s">
        <v>46442</v>
      </c>
      <c r="B23700" t="s">
        <v>1582</v>
      </c>
      <c r="C23700" t="s">
        <v>1583</v>
      </c>
      <c r="D23700" t="s">
        <v>14057</v>
      </c>
      <c r="E23700" t="s">
        <v>14058</v>
      </c>
      <c r="F23700" t="s">
        <v>2</v>
      </c>
      <c r="G23700" t="s">
        <v>47093</v>
      </c>
      <c r="H23700" t="s">
        <v>47054</v>
      </c>
      <c r="I23700" t="s">
        <v>47111</v>
      </c>
      <c r="J23700" t="s">
        <v>47112</v>
      </c>
      <c r="K23700" t="s">
        <v>47113</v>
      </c>
      <c r="L23700">
        <v>39.81</v>
      </c>
      <c r="M23700">
        <v>85</v>
      </c>
      <c r="N23700">
        <v>0</v>
      </c>
      <c r="O23700">
        <v>85</v>
      </c>
      <c r="P23700">
        <v>0</v>
      </c>
    </row>
    <row r="23701" spans="1:16" x14ac:dyDescent="0.25">
      <c r="A23701" t="s">
        <v>46443</v>
      </c>
      <c r="B23701" t="s">
        <v>14086</v>
      </c>
      <c r="C23701" t="s">
        <v>14087</v>
      </c>
      <c r="D23701" t="str">
        <f>"6169"</f>
        <v>6169</v>
      </c>
      <c r="E23701" t="s">
        <v>1585</v>
      </c>
      <c r="F23701" t="s">
        <v>2</v>
      </c>
      <c r="G23701" t="s">
        <v>47093</v>
      </c>
      <c r="H23701" t="s">
        <v>47054</v>
      </c>
      <c r="I23701" t="s">
        <v>47111</v>
      </c>
      <c r="J23701" t="s">
        <v>47112</v>
      </c>
      <c r="K23701" t="s">
        <v>47113</v>
      </c>
      <c r="L23701">
        <v>49.73</v>
      </c>
      <c r="M23701">
        <v>111</v>
      </c>
      <c r="N23701">
        <v>0</v>
      </c>
      <c r="O23701">
        <v>111</v>
      </c>
      <c r="P23701">
        <v>0</v>
      </c>
    </row>
    <row r="23702" spans="1:16" x14ac:dyDescent="0.25">
      <c r="A23702" t="s">
        <v>46444</v>
      </c>
      <c r="B23702" t="s">
        <v>14088</v>
      </c>
      <c r="C23702" t="s">
        <v>14087</v>
      </c>
      <c r="D23702" t="str">
        <f>"3202"</f>
        <v>3202</v>
      </c>
      <c r="E23702" t="s">
        <v>1584</v>
      </c>
      <c r="F23702" t="s">
        <v>2</v>
      </c>
      <c r="G23702" t="s">
        <v>47093</v>
      </c>
      <c r="H23702" t="s">
        <v>47054</v>
      </c>
      <c r="I23702" t="s">
        <v>47111</v>
      </c>
      <c r="J23702" t="s">
        <v>47112</v>
      </c>
      <c r="K23702" t="s">
        <v>47113</v>
      </c>
      <c r="L23702">
        <v>49.73</v>
      </c>
      <c r="M23702">
        <v>111</v>
      </c>
      <c r="N23702">
        <v>0</v>
      </c>
      <c r="O23702">
        <v>111</v>
      </c>
      <c r="P23702">
        <v>0</v>
      </c>
    </row>
    <row r="23703" spans="1:16" x14ac:dyDescent="0.25">
      <c r="A23703" t="s">
        <v>46445</v>
      </c>
      <c r="B23703" t="s">
        <v>14089</v>
      </c>
      <c r="C23703" t="s">
        <v>14087</v>
      </c>
      <c r="D23703" t="str">
        <f>"4319"</f>
        <v>4319</v>
      </c>
      <c r="E23703" t="s">
        <v>1634</v>
      </c>
      <c r="F23703" t="s">
        <v>2</v>
      </c>
      <c r="G23703" t="s">
        <v>47093</v>
      </c>
      <c r="H23703" t="s">
        <v>47054</v>
      </c>
      <c r="I23703" t="s">
        <v>47111</v>
      </c>
      <c r="J23703" t="s">
        <v>47112</v>
      </c>
      <c r="K23703" t="s">
        <v>47113</v>
      </c>
      <c r="L23703">
        <v>49.73</v>
      </c>
      <c r="M23703">
        <v>111</v>
      </c>
      <c r="N23703">
        <v>0</v>
      </c>
      <c r="O23703">
        <v>111</v>
      </c>
      <c r="P23703">
        <v>0</v>
      </c>
    </row>
    <row r="23704" spans="1:16" x14ac:dyDescent="0.25">
      <c r="A23704" t="s">
        <v>46446</v>
      </c>
      <c r="B23704" t="s">
        <v>14090</v>
      </c>
      <c r="C23704" t="s">
        <v>14087</v>
      </c>
      <c r="D23704" t="str">
        <f>"5080"</f>
        <v>5080</v>
      </c>
      <c r="E23704" t="s">
        <v>1619</v>
      </c>
      <c r="F23704" t="s">
        <v>2</v>
      </c>
      <c r="G23704" t="s">
        <v>47093</v>
      </c>
      <c r="I23704" t="s">
        <v>47111</v>
      </c>
      <c r="J23704" t="s">
        <v>47112</v>
      </c>
      <c r="K23704" t="s">
        <v>47113</v>
      </c>
      <c r="L23704">
        <v>49.73</v>
      </c>
      <c r="M23704">
        <v>111</v>
      </c>
      <c r="N23704">
        <v>0</v>
      </c>
      <c r="O23704">
        <v>111</v>
      </c>
      <c r="P23704">
        <v>0</v>
      </c>
    </row>
    <row r="23705" spans="1:16" x14ac:dyDescent="0.25">
      <c r="A23705" t="s">
        <v>46447</v>
      </c>
      <c r="B23705" t="s">
        <v>14091</v>
      </c>
      <c r="C23705" t="s">
        <v>14087</v>
      </c>
      <c r="D23705" t="str">
        <f>"7347"</f>
        <v>7347</v>
      </c>
      <c r="E23705" t="s">
        <v>1586</v>
      </c>
      <c r="F23705" t="s">
        <v>2</v>
      </c>
      <c r="G23705" t="s">
        <v>47093</v>
      </c>
      <c r="H23705" t="s">
        <v>47054</v>
      </c>
      <c r="I23705" t="s">
        <v>47111</v>
      </c>
      <c r="J23705" t="s">
        <v>47112</v>
      </c>
      <c r="K23705" t="s">
        <v>47113</v>
      </c>
      <c r="L23705">
        <v>49.73</v>
      </c>
      <c r="M23705">
        <v>111</v>
      </c>
      <c r="N23705">
        <v>0</v>
      </c>
      <c r="O23705">
        <v>111</v>
      </c>
      <c r="P23705">
        <v>0</v>
      </c>
    </row>
    <row r="23706" spans="1:16" x14ac:dyDescent="0.25">
      <c r="A23706" t="s">
        <v>46448</v>
      </c>
      <c r="B23706" t="s">
        <v>14092</v>
      </c>
      <c r="C23706" t="s">
        <v>1404</v>
      </c>
      <c r="D23706" t="str">
        <f>"1113"</f>
        <v>1113</v>
      </c>
      <c r="E23706" t="s">
        <v>6443</v>
      </c>
      <c r="F23706" t="s">
        <v>8</v>
      </c>
      <c r="G23706" t="s">
        <v>47093</v>
      </c>
      <c r="H23706" t="s">
        <v>47054</v>
      </c>
      <c r="I23706" t="s">
        <v>47111</v>
      </c>
      <c r="J23706" t="s">
        <v>47112</v>
      </c>
      <c r="K23706" t="s">
        <v>47113</v>
      </c>
      <c r="L23706">
        <v>32.64</v>
      </c>
      <c r="M23706">
        <v>83</v>
      </c>
      <c r="N23706">
        <v>0</v>
      </c>
      <c r="O23706">
        <v>83</v>
      </c>
      <c r="P23706">
        <v>0</v>
      </c>
    </row>
    <row r="23707" spans="1:16" x14ac:dyDescent="0.25">
      <c r="A23707" t="s">
        <v>46449</v>
      </c>
      <c r="B23707" t="s">
        <v>14092</v>
      </c>
      <c r="C23707" t="s">
        <v>1404</v>
      </c>
      <c r="D23707" t="str">
        <f>"1317"</f>
        <v>1317</v>
      </c>
      <c r="E23707" t="s">
        <v>2693</v>
      </c>
      <c r="F23707" t="s">
        <v>8</v>
      </c>
      <c r="G23707" t="s">
        <v>47093</v>
      </c>
      <c r="H23707" t="s">
        <v>47054</v>
      </c>
      <c r="I23707" t="s">
        <v>47111</v>
      </c>
      <c r="J23707" t="s">
        <v>47112</v>
      </c>
      <c r="K23707" t="s">
        <v>47113</v>
      </c>
      <c r="L23707">
        <v>32.64</v>
      </c>
      <c r="M23707">
        <v>83</v>
      </c>
      <c r="N23707">
        <v>0</v>
      </c>
      <c r="O23707">
        <v>83</v>
      </c>
      <c r="P23707">
        <v>0</v>
      </c>
    </row>
    <row r="23708" spans="1:16" x14ac:dyDescent="0.25">
      <c r="A23708" t="s">
        <v>1587</v>
      </c>
      <c r="B23708" t="s">
        <v>1588</v>
      </c>
      <c r="C23708" t="s">
        <v>1589</v>
      </c>
      <c r="D23708" t="str">
        <f>"4499"</f>
        <v>4499</v>
      </c>
      <c r="E23708" t="s">
        <v>1555</v>
      </c>
      <c r="F23708" t="s">
        <v>2</v>
      </c>
      <c r="G23708" t="s">
        <v>47093</v>
      </c>
      <c r="H23708" t="s">
        <v>47054</v>
      </c>
      <c r="I23708" t="s">
        <v>47111</v>
      </c>
      <c r="J23708" t="s">
        <v>47112</v>
      </c>
      <c r="K23708" t="s">
        <v>47113</v>
      </c>
      <c r="L23708">
        <v>32.909999999999997</v>
      </c>
      <c r="M23708">
        <v>84</v>
      </c>
      <c r="N23708">
        <v>0</v>
      </c>
      <c r="O23708">
        <v>84</v>
      </c>
      <c r="P23708">
        <v>0</v>
      </c>
    </row>
    <row r="23709" spans="1:16" x14ac:dyDescent="0.25">
      <c r="A23709" t="s">
        <v>46450</v>
      </c>
      <c r="B23709" t="s">
        <v>1588</v>
      </c>
      <c r="C23709" t="s">
        <v>1589</v>
      </c>
      <c r="D23709" t="str">
        <f>"6168"</f>
        <v>6168</v>
      </c>
      <c r="E23709" t="s">
        <v>1557</v>
      </c>
      <c r="F23709" t="s">
        <v>2</v>
      </c>
      <c r="G23709" t="s">
        <v>47093</v>
      </c>
      <c r="H23709" t="s">
        <v>47054</v>
      </c>
      <c r="I23709" t="s">
        <v>47111</v>
      </c>
      <c r="J23709" t="s">
        <v>47112</v>
      </c>
      <c r="K23709" t="s">
        <v>47113</v>
      </c>
      <c r="L23709">
        <v>38.04</v>
      </c>
      <c r="M23709">
        <v>84</v>
      </c>
      <c r="N23709">
        <v>0</v>
      </c>
      <c r="O23709">
        <v>84</v>
      </c>
      <c r="P23709">
        <v>0</v>
      </c>
    </row>
    <row r="23710" spans="1:16" x14ac:dyDescent="0.25">
      <c r="A23710" t="s">
        <v>46451</v>
      </c>
      <c r="B23710" t="s">
        <v>1588</v>
      </c>
      <c r="C23710" t="s">
        <v>1589</v>
      </c>
      <c r="D23710" t="str">
        <f>"6257"</f>
        <v>6257</v>
      </c>
      <c r="E23710" t="s">
        <v>1416</v>
      </c>
      <c r="F23710" t="s">
        <v>2</v>
      </c>
      <c r="G23710" t="s">
        <v>47093</v>
      </c>
      <c r="H23710" t="s">
        <v>47054</v>
      </c>
      <c r="I23710" t="s">
        <v>47111</v>
      </c>
      <c r="J23710" t="s">
        <v>47112</v>
      </c>
      <c r="K23710" t="s">
        <v>47113</v>
      </c>
      <c r="L23710">
        <v>38.04</v>
      </c>
      <c r="M23710">
        <v>84</v>
      </c>
      <c r="N23710">
        <v>0</v>
      </c>
      <c r="O23710">
        <v>84</v>
      </c>
      <c r="P23710">
        <v>0</v>
      </c>
    </row>
    <row r="23711" spans="1:16" x14ac:dyDescent="0.25">
      <c r="A23711" t="s">
        <v>1590</v>
      </c>
      <c r="B23711" t="s">
        <v>1588</v>
      </c>
      <c r="C23711" t="s">
        <v>1589</v>
      </c>
      <c r="D23711" t="str">
        <f>"7346"</f>
        <v>7346</v>
      </c>
      <c r="E23711" t="s">
        <v>1591</v>
      </c>
      <c r="F23711" t="s">
        <v>2</v>
      </c>
      <c r="G23711" t="s">
        <v>47093</v>
      </c>
      <c r="H23711" t="s">
        <v>47054</v>
      </c>
      <c r="I23711" t="s">
        <v>47111</v>
      </c>
      <c r="J23711" t="s">
        <v>47112</v>
      </c>
      <c r="K23711" t="s">
        <v>47113</v>
      </c>
      <c r="L23711">
        <v>32.909999999999997</v>
      </c>
      <c r="M23711">
        <v>84</v>
      </c>
      <c r="N23711">
        <v>0</v>
      </c>
      <c r="O23711">
        <v>84</v>
      </c>
      <c r="P23711">
        <v>0</v>
      </c>
    </row>
    <row r="23712" spans="1:16" x14ac:dyDescent="0.25">
      <c r="A23712" t="s">
        <v>46452</v>
      </c>
      <c r="B23712" t="s">
        <v>1588</v>
      </c>
      <c r="C23712" t="s">
        <v>1589</v>
      </c>
      <c r="D23712" t="str">
        <f>"8047"</f>
        <v>8047</v>
      </c>
      <c r="E23712" t="s">
        <v>1420</v>
      </c>
      <c r="F23712" t="s">
        <v>2</v>
      </c>
      <c r="G23712" t="s">
        <v>47093</v>
      </c>
      <c r="H23712" t="s">
        <v>47054</v>
      </c>
      <c r="I23712" t="s">
        <v>47111</v>
      </c>
      <c r="J23712" t="s">
        <v>47112</v>
      </c>
      <c r="K23712" t="s">
        <v>47113</v>
      </c>
      <c r="L23712">
        <v>38.04</v>
      </c>
      <c r="M23712">
        <v>84</v>
      </c>
      <c r="N23712">
        <v>0</v>
      </c>
      <c r="O23712">
        <v>84</v>
      </c>
      <c r="P23712">
        <v>0</v>
      </c>
    </row>
    <row r="23713" spans="1:16" x14ac:dyDescent="0.25">
      <c r="A23713" t="s">
        <v>1592</v>
      </c>
      <c r="B23713" t="s">
        <v>1593</v>
      </c>
      <c r="C23713" t="s">
        <v>1594</v>
      </c>
      <c r="D23713" t="str">
        <f>"1867"</f>
        <v>1867</v>
      </c>
      <c r="E23713" t="s">
        <v>1595</v>
      </c>
      <c r="F23713" t="s">
        <v>631</v>
      </c>
      <c r="G23713" t="s">
        <v>47093</v>
      </c>
      <c r="H23713" t="s">
        <v>47054</v>
      </c>
      <c r="I23713" t="s">
        <v>47111</v>
      </c>
      <c r="J23713" t="s">
        <v>47112</v>
      </c>
      <c r="K23713" t="s">
        <v>47113</v>
      </c>
      <c r="L23713">
        <v>46.8</v>
      </c>
      <c r="M23713">
        <v>104</v>
      </c>
      <c r="N23713">
        <v>0</v>
      </c>
      <c r="O23713">
        <v>104</v>
      </c>
      <c r="P23713">
        <v>0</v>
      </c>
    </row>
    <row r="23714" spans="1:16" x14ac:dyDescent="0.25">
      <c r="A23714" t="s">
        <v>46453</v>
      </c>
      <c r="B23714" t="s">
        <v>1593</v>
      </c>
      <c r="C23714" t="s">
        <v>1594</v>
      </c>
      <c r="D23714" t="str">
        <f>"2630"</f>
        <v>2630</v>
      </c>
      <c r="E23714" t="s">
        <v>14093</v>
      </c>
      <c r="F23714" t="s">
        <v>631</v>
      </c>
      <c r="G23714" t="s">
        <v>47093</v>
      </c>
      <c r="H23714" t="s">
        <v>47054</v>
      </c>
      <c r="I23714" t="s">
        <v>47111</v>
      </c>
      <c r="J23714" t="s">
        <v>47112</v>
      </c>
      <c r="K23714" t="s">
        <v>47113</v>
      </c>
      <c r="L23714">
        <v>46.8</v>
      </c>
      <c r="M23714">
        <v>111</v>
      </c>
      <c r="N23714">
        <v>0</v>
      </c>
      <c r="O23714">
        <v>111</v>
      </c>
      <c r="P23714">
        <v>0</v>
      </c>
    </row>
    <row r="23715" spans="1:16" x14ac:dyDescent="0.25">
      <c r="A23715" t="s">
        <v>46454</v>
      </c>
      <c r="B23715" t="s">
        <v>1596</v>
      </c>
      <c r="C23715" t="s">
        <v>1597</v>
      </c>
      <c r="D23715" t="str">
        <f>"6252"</f>
        <v>6252</v>
      </c>
      <c r="E23715" t="s">
        <v>13322</v>
      </c>
      <c r="F23715" t="s">
        <v>6</v>
      </c>
      <c r="G23715" t="s">
        <v>47093</v>
      </c>
      <c r="H23715" t="s">
        <v>47054</v>
      </c>
      <c r="I23715" t="s">
        <v>47111</v>
      </c>
      <c r="J23715" t="s">
        <v>47112</v>
      </c>
      <c r="K23715" t="s">
        <v>47113</v>
      </c>
      <c r="L23715">
        <v>37.9</v>
      </c>
      <c r="M23715">
        <v>89</v>
      </c>
      <c r="N23715">
        <v>0</v>
      </c>
      <c r="O23715">
        <v>89</v>
      </c>
      <c r="P23715">
        <v>0</v>
      </c>
    </row>
    <row r="23716" spans="1:16" x14ac:dyDescent="0.25">
      <c r="A23716" t="s">
        <v>46455</v>
      </c>
      <c r="B23716" t="s">
        <v>1596</v>
      </c>
      <c r="C23716" t="s">
        <v>1597</v>
      </c>
      <c r="D23716" t="str">
        <f>"7112"</f>
        <v>7112</v>
      </c>
      <c r="E23716" t="s">
        <v>1235</v>
      </c>
      <c r="F23716" t="s">
        <v>6</v>
      </c>
      <c r="G23716" t="s">
        <v>47093</v>
      </c>
      <c r="H23716" t="s">
        <v>47054</v>
      </c>
      <c r="I23716" t="s">
        <v>47111</v>
      </c>
      <c r="J23716" t="s">
        <v>47112</v>
      </c>
      <c r="K23716" t="s">
        <v>47113</v>
      </c>
      <c r="L23716">
        <v>47.76</v>
      </c>
      <c r="M23716">
        <v>113</v>
      </c>
      <c r="N23716">
        <v>0</v>
      </c>
      <c r="O23716">
        <v>113</v>
      </c>
      <c r="P23716">
        <v>0</v>
      </c>
    </row>
    <row r="23717" spans="1:16" x14ac:dyDescent="0.25">
      <c r="A23717" t="s">
        <v>46456</v>
      </c>
      <c r="B23717" t="s">
        <v>14094</v>
      </c>
      <c r="C23717" t="s">
        <v>14095</v>
      </c>
      <c r="D23717" t="str">
        <f>"3099"</f>
        <v>3099</v>
      </c>
      <c r="E23717" t="s">
        <v>14046</v>
      </c>
      <c r="F23717" t="s">
        <v>2</v>
      </c>
      <c r="G23717" t="s">
        <v>47093</v>
      </c>
      <c r="H23717" t="s">
        <v>47054</v>
      </c>
      <c r="I23717" t="s">
        <v>47111</v>
      </c>
      <c r="J23717" t="s">
        <v>47112</v>
      </c>
      <c r="K23717" t="s">
        <v>47113</v>
      </c>
      <c r="L23717">
        <v>50.05</v>
      </c>
      <c r="M23717">
        <v>100</v>
      </c>
      <c r="N23717">
        <v>0</v>
      </c>
      <c r="O23717">
        <v>100</v>
      </c>
      <c r="P23717">
        <v>0</v>
      </c>
    </row>
    <row r="23718" spans="1:16" x14ac:dyDescent="0.25">
      <c r="A23718" t="s">
        <v>46457</v>
      </c>
      <c r="B23718" t="s">
        <v>14094</v>
      </c>
      <c r="C23718" t="s">
        <v>14095</v>
      </c>
      <c r="D23718" t="str">
        <f>"4611"</f>
        <v>4611</v>
      </c>
      <c r="E23718" t="s">
        <v>14047</v>
      </c>
      <c r="F23718" t="s">
        <v>2</v>
      </c>
      <c r="G23718" t="s">
        <v>47093</v>
      </c>
      <c r="H23718" t="s">
        <v>47054</v>
      </c>
      <c r="I23718" t="s">
        <v>47111</v>
      </c>
      <c r="J23718" t="s">
        <v>47112</v>
      </c>
      <c r="K23718" t="s">
        <v>47113</v>
      </c>
      <c r="L23718">
        <v>50.05</v>
      </c>
      <c r="M23718">
        <v>100</v>
      </c>
      <c r="N23718">
        <v>0</v>
      </c>
      <c r="O23718">
        <v>100</v>
      </c>
      <c r="P23718">
        <v>0</v>
      </c>
    </row>
    <row r="23719" spans="1:16" x14ac:dyDescent="0.25">
      <c r="A23719" t="s">
        <v>46458</v>
      </c>
      <c r="B23719" t="s">
        <v>14094</v>
      </c>
      <c r="C23719" t="s">
        <v>14095</v>
      </c>
      <c r="D23719" t="str">
        <f>"4612"</f>
        <v>4612</v>
      </c>
      <c r="E23719" t="s">
        <v>14048</v>
      </c>
      <c r="F23719" t="s">
        <v>2</v>
      </c>
      <c r="G23719" t="s">
        <v>47093</v>
      </c>
      <c r="H23719" t="s">
        <v>47054</v>
      </c>
      <c r="I23719" t="s">
        <v>47111</v>
      </c>
      <c r="J23719" t="s">
        <v>47112</v>
      </c>
      <c r="K23719" t="s">
        <v>47113</v>
      </c>
      <c r="L23719">
        <v>50.05</v>
      </c>
      <c r="M23719">
        <v>100</v>
      </c>
      <c r="N23719">
        <v>0</v>
      </c>
      <c r="O23719">
        <v>100</v>
      </c>
      <c r="P23719">
        <v>0</v>
      </c>
    </row>
    <row r="23720" spans="1:16" x14ac:dyDescent="0.25">
      <c r="A23720" t="s">
        <v>46459</v>
      </c>
      <c r="B23720" t="s">
        <v>14094</v>
      </c>
      <c r="C23720" t="s">
        <v>14095</v>
      </c>
      <c r="D23720" t="str">
        <f>"4626"</f>
        <v>4626</v>
      </c>
      <c r="E23720" t="s">
        <v>14096</v>
      </c>
      <c r="F23720" t="s">
        <v>2</v>
      </c>
      <c r="G23720" t="s">
        <v>47093</v>
      </c>
      <c r="H23720" t="s">
        <v>47054</v>
      </c>
      <c r="I23720" t="s">
        <v>47111</v>
      </c>
      <c r="J23720" t="s">
        <v>47112</v>
      </c>
      <c r="K23720" t="s">
        <v>47113</v>
      </c>
      <c r="L23720">
        <v>50.05</v>
      </c>
      <c r="M23720">
        <v>100</v>
      </c>
      <c r="N23720">
        <v>0</v>
      </c>
      <c r="O23720">
        <v>100</v>
      </c>
      <c r="P23720">
        <v>0</v>
      </c>
    </row>
    <row r="23721" spans="1:16" x14ac:dyDescent="0.25">
      <c r="A23721" t="s">
        <v>46460</v>
      </c>
      <c r="B23721" t="s">
        <v>14094</v>
      </c>
      <c r="C23721" t="s">
        <v>14095</v>
      </c>
      <c r="D23721" t="str">
        <f>"5081"</f>
        <v>5081</v>
      </c>
      <c r="E23721" t="s">
        <v>14049</v>
      </c>
      <c r="F23721" t="s">
        <v>2</v>
      </c>
      <c r="G23721" t="s">
        <v>47093</v>
      </c>
      <c r="H23721" t="s">
        <v>47054</v>
      </c>
      <c r="I23721" t="s">
        <v>47111</v>
      </c>
      <c r="J23721" t="s">
        <v>47112</v>
      </c>
      <c r="K23721" t="s">
        <v>47113</v>
      </c>
      <c r="L23721">
        <v>50.05</v>
      </c>
      <c r="M23721">
        <v>100</v>
      </c>
      <c r="N23721">
        <v>0</v>
      </c>
      <c r="O23721">
        <v>100</v>
      </c>
      <c r="P23721">
        <v>0</v>
      </c>
    </row>
    <row r="23722" spans="1:16" x14ac:dyDescent="0.25">
      <c r="A23722" t="s">
        <v>46461</v>
      </c>
      <c r="B23722" t="s">
        <v>14094</v>
      </c>
      <c r="C23722" t="s">
        <v>14095</v>
      </c>
      <c r="D23722" t="str">
        <f>"6172"</f>
        <v>6172</v>
      </c>
      <c r="E23722" t="s">
        <v>14050</v>
      </c>
      <c r="F23722" t="s">
        <v>2</v>
      </c>
      <c r="G23722" t="s">
        <v>47093</v>
      </c>
      <c r="H23722" t="s">
        <v>47054</v>
      </c>
      <c r="I23722" t="s">
        <v>47111</v>
      </c>
      <c r="J23722" t="s">
        <v>47112</v>
      </c>
      <c r="K23722" t="s">
        <v>47113</v>
      </c>
      <c r="L23722">
        <v>50.05</v>
      </c>
      <c r="M23722">
        <v>100</v>
      </c>
      <c r="N23722">
        <v>0</v>
      </c>
      <c r="O23722">
        <v>100</v>
      </c>
      <c r="P23722">
        <v>0</v>
      </c>
    </row>
    <row r="23723" spans="1:16" x14ac:dyDescent="0.25">
      <c r="A23723" t="s">
        <v>46462</v>
      </c>
      <c r="B23723" t="s">
        <v>14094</v>
      </c>
      <c r="C23723" t="s">
        <v>14095</v>
      </c>
      <c r="D23723" t="str">
        <f>"6263"</f>
        <v>6263</v>
      </c>
      <c r="E23723" t="s">
        <v>14051</v>
      </c>
      <c r="F23723" t="s">
        <v>2</v>
      </c>
      <c r="G23723" t="s">
        <v>47093</v>
      </c>
      <c r="H23723" t="s">
        <v>47054</v>
      </c>
      <c r="I23723" t="s">
        <v>47111</v>
      </c>
      <c r="J23723" t="s">
        <v>47112</v>
      </c>
      <c r="K23723" t="s">
        <v>47113</v>
      </c>
      <c r="L23723">
        <v>50.05</v>
      </c>
      <c r="M23723">
        <v>100</v>
      </c>
      <c r="N23723">
        <v>0</v>
      </c>
      <c r="O23723">
        <v>100</v>
      </c>
      <c r="P23723">
        <v>0</v>
      </c>
    </row>
    <row r="23724" spans="1:16" x14ac:dyDescent="0.25">
      <c r="A23724" t="s">
        <v>46463</v>
      </c>
      <c r="B23724" t="s">
        <v>14094</v>
      </c>
      <c r="C23724" t="s">
        <v>14095</v>
      </c>
      <c r="D23724" t="str">
        <f>"7352"</f>
        <v>7352</v>
      </c>
      <c r="E23724" t="s">
        <v>14052</v>
      </c>
      <c r="F23724" t="s">
        <v>2</v>
      </c>
      <c r="G23724" t="s">
        <v>47093</v>
      </c>
      <c r="H23724" t="s">
        <v>47054</v>
      </c>
      <c r="I23724" t="s">
        <v>47111</v>
      </c>
      <c r="J23724" t="s">
        <v>47112</v>
      </c>
      <c r="K23724" t="s">
        <v>47113</v>
      </c>
      <c r="L23724">
        <v>50.05</v>
      </c>
      <c r="M23724">
        <v>100</v>
      </c>
      <c r="N23724">
        <v>0</v>
      </c>
      <c r="O23724">
        <v>100</v>
      </c>
      <c r="P23724">
        <v>0</v>
      </c>
    </row>
    <row r="23725" spans="1:16" x14ac:dyDescent="0.25">
      <c r="A23725" t="s">
        <v>46464</v>
      </c>
      <c r="B23725" t="s">
        <v>14094</v>
      </c>
      <c r="C23725" t="s">
        <v>14095</v>
      </c>
      <c r="D23725" t="str">
        <f>"8343"</f>
        <v>8343</v>
      </c>
      <c r="E23725" t="s">
        <v>14053</v>
      </c>
      <c r="F23725" t="s">
        <v>2</v>
      </c>
      <c r="G23725" t="s">
        <v>47093</v>
      </c>
      <c r="H23725" t="s">
        <v>47054</v>
      </c>
      <c r="I23725" t="s">
        <v>47111</v>
      </c>
      <c r="J23725" t="s">
        <v>47112</v>
      </c>
      <c r="K23725" t="s">
        <v>47113</v>
      </c>
      <c r="L23725">
        <v>50.05</v>
      </c>
      <c r="M23725">
        <v>100</v>
      </c>
      <c r="N23725">
        <v>0</v>
      </c>
      <c r="O23725">
        <v>100</v>
      </c>
      <c r="P23725">
        <v>0</v>
      </c>
    </row>
    <row r="23726" spans="1:16" x14ac:dyDescent="0.25">
      <c r="A23726" t="s">
        <v>46465</v>
      </c>
      <c r="B23726" t="s">
        <v>1599</v>
      </c>
      <c r="C23726" t="s">
        <v>738</v>
      </c>
      <c r="D23726" t="str">
        <f>"1932"</f>
        <v>1932</v>
      </c>
      <c r="E23726" t="s">
        <v>14097</v>
      </c>
      <c r="F23726" t="s">
        <v>2</v>
      </c>
      <c r="G23726" t="s">
        <v>47093</v>
      </c>
      <c r="H23726" t="s">
        <v>47054</v>
      </c>
      <c r="I23726" t="s">
        <v>47111</v>
      </c>
      <c r="J23726" t="s">
        <v>47112</v>
      </c>
      <c r="K23726" t="s">
        <v>47113</v>
      </c>
      <c r="L23726">
        <v>48.59</v>
      </c>
      <c r="M23726">
        <v>113</v>
      </c>
      <c r="N23726">
        <v>0</v>
      </c>
      <c r="O23726">
        <v>113</v>
      </c>
      <c r="P23726">
        <v>0</v>
      </c>
    </row>
    <row r="23727" spans="1:16" x14ac:dyDescent="0.25">
      <c r="A23727" t="s">
        <v>1598</v>
      </c>
      <c r="B23727" t="s">
        <v>1599</v>
      </c>
      <c r="C23727" t="s">
        <v>738</v>
      </c>
      <c r="D23727" t="str">
        <f>"6846"</f>
        <v>6846</v>
      </c>
      <c r="E23727" t="s">
        <v>1600</v>
      </c>
      <c r="F23727" t="s">
        <v>2</v>
      </c>
      <c r="G23727" t="s">
        <v>47093</v>
      </c>
      <c r="H23727" t="s">
        <v>47054</v>
      </c>
      <c r="I23727" t="s">
        <v>47111</v>
      </c>
      <c r="J23727" t="s">
        <v>47112</v>
      </c>
      <c r="K23727" t="s">
        <v>47113</v>
      </c>
      <c r="L23727">
        <v>53.24</v>
      </c>
      <c r="M23727">
        <v>110</v>
      </c>
      <c r="N23727">
        <v>0</v>
      </c>
      <c r="O23727">
        <v>110</v>
      </c>
      <c r="P23727">
        <v>0</v>
      </c>
    </row>
    <row r="23728" spans="1:16" x14ac:dyDescent="0.25">
      <c r="A23728" t="s">
        <v>1601</v>
      </c>
      <c r="B23728" t="s">
        <v>1599</v>
      </c>
      <c r="C23728" t="s">
        <v>738</v>
      </c>
      <c r="D23728" t="str">
        <f>"7447"</f>
        <v>7447</v>
      </c>
      <c r="E23728" t="s">
        <v>1602</v>
      </c>
      <c r="F23728" t="s">
        <v>2</v>
      </c>
      <c r="G23728" t="s">
        <v>47093</v>
      </c>
      <c r="H23728" t="s">
        <v>47054</v>
      </c>
      <c r="I23728" t="s">
        <v>47111</v>
      </c>
      <c r="J23728" t="s">
        <v>47112</v>
      </c>
      <c r="K23728" t="s">
        <v>47113</v>
      </c>
      <c r="L23728">
        <v>58.75</v>
      </c>
      <c r="M23728">
        <v>110</v>
      </c>
      <c r="N23728">
        <v>0</v>
      </c>
      <c r="O23728">
        <v>110</v>
      </c>
      <c r="P23728">
        <v>0</v>
      </c>
    </row>
    <row r="23729" spans="1:16" x14ac:dyDescent="0.25">
      <c r="A23729" t="s">
        <v>1603</v>
      </c>
      <c r="B23729" t="s">
        <v>1604</v>
      </c>
      <c r="C23729" t="s">
        <v>1605</v>
      </c>
      <c r="D23729" t="str">
        <f>"4666"</f>
        <v>4666</v>
      </c>
      <c r="E23729" t="s">
        <v>1606</v>
      </c>
      <c r="F23729" t="s">
        <v>2</v>
      </c>
      <c r="G23729" t="s">
        <v>47093</v>
      </c>
      <c r="H23729" t="s">
        <v>47054</v>
      </c>
      <c r="I23729" t="s">
        <v>47111</v>
      </c>
      <c r="J23729" t="s">
        <v>47112</v>
      </c>
      <c r="K23729" t="s">
        <v>47113</v>
      </c>
      <c r="L23729">
        <v>52.21</v>
      </c>
      <c r="M23729">
        <v>110</v>
      </c>
      <c r="N23729">
        <v>0</v>
      </c>
      <c r="O23729">
        <v>110</v>
      </c>
      <c r="P23729">
        <v>0</v>
      </c>
    </row>
    <row r="23730" spans="1:16" x14ac:dyDescent="0.25">
      <c r="A23730" t="s">
        <v>1607</v>
      </c>
      <c r="B23730" t="s">
        <v>1604</v>
      </c>
      <c r="C23730" t="s">
        <v>1605</v>
      </c>
      <c r="D23730" t="str">
        <f>"6191"</f>
        <v>6191</v>
      </c>
      <c r="E23730" t="s">
        <v>1608</v>
      </c>
      <c r="F23730" t="s">
        <v>2</v>
      </c>
      <c r="G23730" t="s">
        <v>47093</v>
      </c>
      <c r="H23730" t="s">
        <v>47054</v>
      </c>
      <c r="I23730" t="s">
        <v>47111</v>
      </c>
      <c r="J23730" t="s">
        <v>47112</v>
      </c>
      <c r="K23730" t="s">
        <v>47113</v>
      </c>
      <c r="L23730">
        <v>52.21</v>
      </c>
      <c r="M23730">
        <v>110</v>
      </c>
      <c r="N23730">
        <v>0</v>
      </c>
      <c r="O23730">
        <v>110</v>
      </c>
      <c r="P23730">
        <v>0</v>
      </c>
    </row>
    <row r="23731" spans="1:16" x14ac:dyDescent="0.25">
      <c r="A23731" t="s">
        <v>46466</v>
      </c>
      <c r="B23731" t="s">
        <v>14098</v>
      </c>
      <c r="C23731" t="s">
        <v>14099</v>
      </c>
      <c r="D23731" t="str">
        <f>"6019"</f>
        <v>6019</v>
      </c>
      <c r="E23731" t="s">
        <v>14100</v>
      </c>
      <c r="F23731" t="s">
        <v>5</v>
      </c>
      <c r="G23731" t="s">
        <v>47093</v>
      </c>
      <c r="H23731" t="s">
        <v>47054</v>
      </c>
      <c r="I23731" t="s">
        <v>47111</v>
      </c>
      <c r="J23731" t="s">
        <v>47112</v>
      </c>
      <c r="K23731" t="s">
        <v>47113</v>
      </c>
      <c r="L23731">
        <v>37.17</v>
      </c>
      <c r="M23731">
        <v>91</v>
      </c>
      <c r="N23731">
        <v>0</v>
      </c>
      <c r="O23731">
        <v>91</v>
      </c>
      <c r="P23731">
        <v>0</v>
      </c>
    </row>
    <row r="23732" spans="1:16" x14ac:dyDescent="0.25">
      <c r="A23732" t="s">
        <v>1609</v>
      </c>
      <c r="B23732" t="s">
        <v>1610</v>
      </c>
      <c r="C23732" t="s">
        <v>1611</v>
      </c>
      <c r="D23732" t="str">
        <f>"4060"</f>
        <v>4060</v>
      </c>
      <c r="E23732" t="s">
        <v>1612</v>
      </c>
      <c r="F23732" t="s">
        <v>296</v>
      </c>
      <c r="G23732" t="s">
        <v>47093</v>
      </c>
      <c r="H23732" t="s">
        <v>47054</v>
      </c>
      <c r="I23732" t="s">
        <v>47111</v>
      </c>
      <c r="J23732" t="s">
        <v>47112</v>
      </c>
      <c r="K23732" t="s">
        <v>47113</v>
      </c>
      <c r="L23732">
        <v>29.08</v>
      </c>
      <c r="M23732">
        <v>72</v>
      </c>
      <c r="N23732">
        <v>0</v>
      </c>
      <c r="O23732">
        <v>72</v>
      </c>
      <c r="P23732">
        <v>0</v>
      </c>
    </row>
    <row r="23733" spans="1:16" x14ac:dyDescent="0.25">
      <c r="A23733" t="s">
        <v>46467</v>
      </c>
      <c r="B23733" t="s">
        <v>1610</v>
      </c>
      <c r="C23733" t="s">
        <v>1611</v>
      </c>
      <c r="D23733" t="str">
        <f>"4548"</f>
        <v>4548</v>
      </c>
      <c r="E23733" t="s">
        <v>1412</v>
      </c>
      <c r="F23733" t="s">
        <v>56</v>
      </c>
      <c r="G23733" t="s">
        <v>47093</v>
      </c>
      <c r="H23733" t="s">
        <v>47054</v>
      </c>
      <c r="I23733" t="s">
        <v>47111</v>
      </c>
      <c r="J23733" t="s">
        <v>47112</v>
      </c>
      <c r="K23733" t="s">
        <v>47113</v>
      </c>
      <c r="L23733">
        <v>36.51</v>
      </c>
      <c r="M23733">
        <v>81</v>
      </c>
      <c r="N23733">
        <v>0</v>
      </c>
      <c r="O23733">
        <v>81</v>
      </c>
      <c r="P23733">
        <v>0</v>
      </c>
    </row>
    <row r="23734" spans="1:16" x14ac:dyDescent="0.25">
      <c r="A23734" t="s">
        <v>46468</v>
      </c>
      <c r="B23734" t="s">
        <v>1610</v>
      </c>
      <c r="C23734" t="s">
        <v>1611</v>
      </c>
      <c r="D23734" t="str">
        <f>"5111"</f>
        <v>5111</v>
      </c>
      <c r="E23734" t="s">
        <v>11991</v>
      </c>
      <c r="F23734" t="s">
        <v>56</v>
      </c>
      <c r="G23734" t="s">
        <v>47093</v>
      </c>
      <c r="H23734" t="s">
        <v>47054</v>
      </c>
      <c r="I23734" t="s">
        <v>47111</v>
      </c>
      <c r="J23734" t="s">
        <v>47112</v>
      </c>
      <c r="K23734" t="s">
        <v>47113</v>
      </c>
      <c r="L23734">
        <v>36.51</v>
      </c>
      <c r="M23734">
        <v>81</v>
      </c>
      <c r="N23734">
        <v>0</v>
      </c>
      <c r="O23734">
        <v>81</v>
      </c>
      <c r="P23734">
        <v>0</v>
      </c>
    </row>
    <row r="23735" spans="1:16" x14ac:dyDescent="0.25">
      <c r="A23735" t="s">
        <v>46469</v>
      </c>
      <c r="B23735" t="s">
        <v>1610</v>
      </c>
      <c r="C23735" t="s">
        <v>1611</v>
      </c>
      <c r="D23735" t="str">
        <f>"5127"</f>
        <v>5127</v>
      </c>
      <c r="E23735" t="s">
        <v>11955</v>
      </c>
      <c r="F23735" t="s">
        <v>56</v>
      </c>
      <c r="G23735" t="s">
        <v>47093</v>
      </c>
      <c r="H23735" t="s">
        <v>47054</v>
      </c>
      <c r="I23735" t="s">
        <v>47111</v>
      </c>
      <c r="J23735" t="s">
        <v>47112</v>
      </c>
      <c r="K23735" t="s">
        <v>47113</v>
      </c>
      <c r="L23735">
        <v>36.51</v>
      </c>
      <c r="M23735">
        <v>81</v>
      </c>
      <c r="N23735">
        <v>0</v>
      </c>
      <c r="O23735">
        <v>81</v>
      </c>
      <c r="P23735">
        <v>0</v>
      </c>
    </row>
    <row r="23736" spans="1:16" x14ac:dyDescent="0.25">
      <c r="A23736" t="s">
        <v>46470</v>
      </c>
      <c r="B23736" t="s">
        <v>1610</v>
      </c>
      <c r="C23736" t="s">
        <v>1611</v>
      </c>
      <c r="D23736" t="str">
        <f>"6107"</f>
        <v>6107</v>
      </c>
      <c r="E23736" t="s">
        <v>811</v>
      </c>
      <c r="F23736" t="s">
        <v>296</v>
      </c>
      <c r="G23736" t="s">
        <v>47093</v>
      </c>
      <c r="H23736" t="s">
        <v>47054</v>
      </c>
      <c r="I23736" t="s">
        <v>47111</v>
      </c>
      <c r="J23736" t="s">
        <v>47112</v>
      </c>
      <c r="K23736" t="s">
        <v>47113</v>
      </c>
      <c r="L23736">
        <v>30.96</v>
      </c>
      <c r="M23736">
        <v>72</v>
      </c>
      <c r="N23736">
        <v>0</v>
      </c>
      <c r="O23736">
        <v>72</v>
      </c>
      <c r="P23736">
        <v>0</v>
      </c>
    </row>
    <row r="23737" spans="1:16" x14ac:dyDescent="0.25">
      <c r="A23737" t="s">
        <v>46471</v>
      </c>
      <c r="B23737" t="s">
        <v>1610</v>
      </c>
      <c r="C23737" t="s">
        <v>1611</v>
      </c>
      <c r="D23737" t="str">
        <f>"7205"</f>
        <v>7205</v>
      </c>
      <c r="E23737" t="s">
        <v>14101</v>
      </c>
      <c r="F23737" t="s">
        <v>296</v>
      </c>
      <c r="G23737" t="s">
        <v>47093</v>
      </c>
      <c r="H23737" t="s">
        <v>47054</v>
      </c>
      <c r="I23737" t="s">
        <v>47111</v>
      </c>
      <c r="J23737" t="s">
        <v>47112</v>
      </c>
      <c r="K23737" t="s">
        <v>47113</v>
      </c>
      <c r="L23737">
        <v>29.95</v>
      </c>
      <c r="M23737">
        <v>72</v>
      </c>
      <c r="N23737">
        <v>0</v>
      </c>
      <c r="O23737">
        <v>72</v>
      </c>
      <c r="P23737">
        <v>0</v>
      </c>
    </row>
    <row r="23738" spans="1:16" x14ac:dyDescent="0.25">
      <c r="A23738" t="s">
        <v>46472</v>
      </c>
      <c r="B23738" t="s">
        <v>1610</v>
      </c>
      <c r="C23738" t="s">
        <v>1611</v>
      </c>
      <c r="D23738" t="str">
        <f>"7339"</f>
        <v>7339</v>
      </c>
      <c r="E23738" t="s">
        <v>13688</v>
      </c>
      <c r="F23738" t="s">
        <v>56</v>
      </c>
      <c r="G23738" t="s">
        <v>47093</v>
      </c>
      <c r="H23738" t="s">
        <v>47054</v>
      </c>
      <c r="I23738" t="s">
        <v>47111</v>
      </c>
      <c r="J23738" t="s">
        <v>47112</v>
      </c>
      <c r="K23738" t="s">
        <v>47113</v>
      </c>
      <c r="L23738">
        <v>36.51</v>
      </c>
      <c r="M23738">
        <v>81</v>
      </c>
      <c r="N23738">
        <v>0</v>
      </c>
      <c r="O23738">
        <v>81</v>
      </c>
      <c r="P23738">
        <v>0</v>
      </c>
    </row>
    <row r="23739" spans="1:16" x14ac:dyDescent="0.25">
      <c r="A23739" t="s">
        <v>46473</v>
      </c>
      <c r="B23739" t="s">
        <v>1610</v>
      </c>
      <c r="C23739" t="s">
        <v>1611</v>
      </c>
      <c r="D23739" t="str">
        <f>"8326"</f>
        <v>8326</v>
      </c>
      <c r="E23739" t="s">
        <v>14102</v>
      </c>
      <c r="F23739" t="s">
        <v>56</v>
      </c>
      <c r="G23739" t="s">
        <v>47093</v>
      </c>
      <c r="H23739" t="s">
        <v>47054</v>
      </c>
      <c r="I23739" t="s">
        <v>47111</v>
      </c>
      <c r="J23739" t="s">
        <v>47112</v>
      </c>
      <c r="K23739" t="s">
        <v>47113</v>
      </c>
      <c r="L23739">
        <v>36.51</v>
      </c>
      <c r="M23739">
        <v>81</v>
      </c>
      <c r="N23739">
        <v>0</v>
      </c>
      <c r="O23739">
        <v>81</v>
      </c>
      <c r="P23739">
        <v>0</v>
      </c>
    </row>
    <row r="23740" spans="1:16" x14ac:dyDescent="0.25">
      <c r="A23740" t="s">
        <v>46474</v>
      </c>
      <c r="B23740" t="s">
        <v>16211</v>
      </c>
      <c r="C23740" t="s">
        <v>16212</v>
      </c>
      <c r="D23740" t="str">
        <f>"1826"</f>
        <v>1826</v>
      </c>
      <c r="E23740" t="s">
        <v>1074</v>
      </c>
      <c r="F23740" t="s">
        <v>3750</v>
      </c>
      <c r="G23740" t="s">
        <v>47093</v>
      </c>
      <c r="H23740" t="s">
        <v>47054</v>
      </c>
      <c r="I23740" t="s">
        <v>47116</v>
      </c>
      <c r="J23740" t="s">
        <v>47117</v>
      </c>
      <c r="K23740" t="s">
        <v>47113</v>
      </c>
      <c r="L23740">
        <v>30.2</v>
      </c>
      <c r="M23740">
        <v>119</v>
      </c>
      <c r="N23740">
        <v>0</v>
      </c>
      <c r="O23740">
        <v>119</v>
      </c>
      <c r="P23740">
        <v>0</v>
      </c>
    </row>
    <row r="23741" spans="1:16" x14ac:dyDescent="0.25">
      <c r="A23741" t="s">
        <v>46475</v>
      </c>
      <c r="B23741" t="s">
        <v>1613</v>
      </c>
      <c r="C23741" t="s">
        <v>1614</v>
      </c>
      <c r="D23741" t="str">
        <f>"1276"</f>
        <v>1276</v>
      </c>
      <c r="E23741" t="s">
        <v>1615</v>
      </c>
      <c r="F23741" t="s">
        <v>2</v>
      </c>
      <c r="G23741" t="s">
        <v>47093</v>
      </c>
      <c r="H23741" t="s">
        <v>47054</v>
      </c>
      <c r="I23741" t="s">
        <v>47111</v>
      </c>
      <c r="J23741" t="s">
        <v>47112</v>
      </c>
      <c r="K23741" t="s">
        <v>47113</v>
      </c>
      <c r="L23741">
        <v>35.36</v>
      </c>
      <c r="M23741">
        <v>73</v>
      </c>
      <c r="N23741">
        <v>0</v>
      </c>
      <c r="O23741">
        <v>73</v>
      </c>
      <c r="P23741">
        <v>0</v>
      </c>
    </row>
    <row r="23742" spans="1:16" x14ac:dyDescent="0.25">
      <c r="A23742" t="s">
        <v>46476</v>
      </c>
      <c r="B23742" t="s">
        <v>1613</v>
      </c>
      <c r="C23742" t="s">
        <v>1614</v>
      </c>
      <c r="D23742" t="str">
        <f>"1851"</f>
        <v>1851</v>
      </c>
      <c r="E23742" t="s">
        <v>590</v>
      </c>
      <c r="F23742" t="s">
        <v>2</v>
      </c>
      <c r="G23742" t="s">
        <v>47093</v>
      </c>
      <c r="H23742" t="s">
        <v>47054</v>
      </c>
      <c r="I23742" t="s">
        <v>47111</v>
      </c>
      <c r="J23742" t="s">
        <v>47112</v>
      </c>
      <c r="K23742" t="s">
        <v>47113</v>
      </c>
      <c r="L23742">
        <v>27.65</v>
      </c>
      <c r="M23742">
        <v>77</v>
      </c>
      <c r="N23742">
        <v>0</v>
      </c>
      <c r="O23742">
        <v>77</v>
      </c>
      <c r="P23742">
        <v>0</v>
      </c>
    </row>
    <row r="23743" spans="1:16" x14ac:dyDescent="0.25">
      <c r="A23743" t="s">
        <v>1616</v>
      </c>
      <c r="B23743" t="s">
        <v>1613</v>
      </c>
      <c r="C23743" t="s">
        <v>1614</v>
      </c>
      <c r="D23743" t="str">
        <f>"3202"</f>
        <v>3202</v>
      </c>
      <c r="E23743" t="s">
        <v>1584</v>
      </c>
      <c r="F23743" t="s">
        <v>2</v>
      </c>
      <c r="G23743" t="s">
        <v>47093</v>
      </c>
      <c r="H23743" t="s">
        <v>47054</v>
      </c>
      <c r="I23743" t="s">
        <v>47111</v>
      </c>
      <c r="J23743" t="s">
        <v>47112</v>
      </c>
      <c r="K23743" t="s">
        <v>47113</v>
      </c>
      <c r="L23743">
        <v>35.659999999999997</v>
      </c>
      <c r="M23743">
        <v>77</v>
      </c>
      <c r="N23743">
        <v>0</v>
      </c>
      <c r="O23743">
        <v>77</v>
      </c>
      <c r="P23743">
        <v>0</v>
      </c>
    </row>
    <row r="23744" spans="1:16" x14ac:dyDescent="0.25">
      <c r="A23744" t="s">
        <v>46477</v>
      </c>
      <c r="B23744" t="s">
        <v>1613</v>
      </c>
      <c r="C23744" t="s">
        <v>1614</v>
      </c>
      <c r="D23744" t="str">
        <f>"4319"</f>
        <v>4319</v>
      </c>
      <c r="E23744" t="s">
        <v>1634</v>
      </c>
      <c r="F23744" t="s">
        <v>2</v>
      </c>
      <c r="G23744" t="s">
        <v>47093</v>
      </c>
      <c r="H23744" t="s">
        <v>47054</v>
      </c>
      <c r="I23744" t="s">
        <v>47111</v>
      </c>
      <c r="J23744" t="s">
        <v>47112</v>
      </c>
      <c r="K23744" t="s">
        <v>47113</v>
      </c>
      <c r="L23744">
        <v>35</v>
      </c>
      <c r="M23744">
        <v>77</v>
      </c>
      <c r="N23744">
        <v>0</v>
      </c>
      <c r="O23744">
        <v>77</v>
      </c>
      <c r="P23744">
        <v>0</v>
      </c>
    </row>
    <row r="23745" spans="1:16" x14ac:dyDescent="0.25">
      <c r="A23745" t="s">
        <v>46478</v>
      </c>
      <c r="B23745" t="s">
        <v>1613</v>
      </c>
      <c r="C23745" t="s">
        <v>1614</v>
      </c>
      <c r="D23745" t="str">
        <f>"4559"</f>
        <v>4559</v>
      </c>
      <c r="E23745" t="s">
        <v>14061</v>
      </c>
      <c r="F23745" t="s">
        <v>2</v>
      </c>
      <c r="G23745" t="s">
        <v>47093</v>
      </c>
      <c r="H23745" t="s">
        <v>47054</v>
      </c>
      <c r="I23745" t="s">
        <v>47111</v>
      </c>
      <c r="J23745" t="s">
        <v>47112</v>
      </c>
      <c r="K23745" t="s">
        <v>47113</v>
      </c>
      <c r="L23745">
        <v>35.29</v>
      </c>
      <c r="M23745">
        <v>77</v>
      </c>
      <c r="N23745">
        <v>0</v>
      </c>
      <c r="O23745">
        <v>77</v>
      </c>
      <c r="P23745">
        <v>0</v>
      </c>
    </row>
    <row r="23746" spans="1:16" x14ac:dyDescent="0.25">
      <c r="A23746" t="s">
        <v>46479</v>
      </c>
      <c r="B23746" t="s">
        <v>1613</v>
      </c>
      <c r="C23746" t="s">
        <v>1614</v>
      </c>
      <c r="D23746" t="str">
        <f>"4560"</f>
        <v>4560</v>
      </c>
      <c r="E23746" t="s">
        <v>1617</v>
      </c>
      <c r="F23746" t="s">
        <v>2</v>
      </c>
      <c r="G23746" t="s">
        <v>47093</v>
      </c>
      <c r="H23746" t="s">
        <v>47054</v>
      </c>
      <c r="I23746" t="s">
        <v>47111</v>
      </c>
      <c r="J23746" t="s">
        <v>47112</v>
      </c>
      <c r="K23746" t="s">
        <v>47113</v>
      </c>
      <c r="L23746">
        <v>35.36</v>
      </c>
      <c r="M23746">
        <v>73</v>
      </c>
      <c r="N23746">
        <v>0</v>
      </c>
      <c r="O23746">
        <v>73</v>
      </c>
      <c r="P23746">
        <v>0</v>
      </c>
    </row>
    <row r="23747" spans="1:16" x14ac:dyDescent="0.25">
      <c r="A23747" t="s">
        <v>1618</v>
      </c>
      <c r="B23747" t="s">
        <v>1613</v>
      </c>
      <c r="C23747" t="s">
        <v>1614</v>
      </c>
      <c r="D23747" t="str">
        <f>"5080"</f>
        <v>5080</v>
      </c>
      <c r="E23747" t="s">
        <v>1619</v>
      </c>
      <c r="F23747" t="s">
        <v>2</v>
      </c>
      <c r="G23747" t="s">
        <v>47093</v>
      </c>
      <c r="H23747" t="s">
        <v>47054</v>
      </c>
      <c r="I23747" t="s">
        <v>47111</v>
      </c>
      <c r="J23747" t="s">
        <v>47112</v>
      </c>
      <c r="K23747" t="s">
        <v>47113</v>
      </c>
      <c r="L23747">
        <v>35.659999999999997</v>
      </c>
      <c r="M23747">
        <v>77</v>
      </c>
      <c r="N23747">
        <v>0</v>
      </c>
      <c r="O23747">
        <v>77</v>
      </c>
      <c r="P23747">
        <v>0</v>
      </c>
    </row>
    <row r="23748" spans="1:16" x14ac:dyDescent="0.25">
      <c r="A23748" t="s">
        <v>46480</v>
      </c>
      <c r="B23748" t="s">
        <v>1613</v>
      </c>
      <c r="C23748" t="s">
        <v>1614</v>
      </c>
      <c r="D23748" t="str">
        <f>"5326"</f>
        <v>5326</v>
      </c>
      <c r="E23748" t="s">
        <v>14042</v>
      </c>
      <c r="F23748" t="s">
        <v>2</v>
      </c>
      <c r="G23748" t="s">
        <v>47093</v>
      </c>
      <c r="H23748" t="s">
        <v>47054</v>
      </c>
      <c r="I23748" t="s">
        <v>47111</v>
      </c>
      <c r="J23748" t="s">
        <v>47112</v>
      </c>
      <c r="K23748" t="s">
        <v>47113</v>
      </c>
      <c r="L23748">
        <v>36.299999999999997</v>
      </c>
      <c r="M23748">
        <v>73</v>
      </c>
      <c r="N23748">
        <v>0</v>
      </c>
      <c r="O23748">
        <v>73</v>
      </c>
      <c r="P23748">
        <v>0</v>
      </c>
    </row>
    <row r="23749" spans="1:16" x14ac:dyDescent="0.25">
      <c r="A23749" t="s">
        <v>1620</v>
      </c>
      <c r="B23749" t="s">
        <v>1613</v>
      </c>
      <c r="C23749" t="s">
        <v>1614</v>
      </c>
      <c r="D23749" t="str">
        <f>"6169"</f>
        <v>6169</v>
      </c>
      <c r="E23749" t="s">
        <v>1585</v>
      </c>
      <c r="F23749" t="s">
        <v>2</v>
      </c>
      <c r="G23749" t="s">
        <v>47093</v>
      </c>
      <c r="H23749" t="s">
        <v>47054</v>
      </c>
      <c r="I23749" t="s">
        <v>47111</v>
      </c>
      <c r="J23749" t="s">
        <v>47112</v>
      </c>
      <c r="K23749" t="s">
        <v>47113</v>
      </c>
      <c r="L23749">
        <v>35.67</v>
      </c>
      <c r="M23749">
        <v>77</v>
      </c>
      <c r="N23749">
        <v>0</v>
      </c>
      <c r="O23749">
        <v>77</v>
      </c>
      <c r="P23749">
        <v>0</v>
      </c>
    </row>
    <row r="23750" spans="1:16" x14ac:dyDescent="0.25">
      <c r="A23750" t="s">
        <v>46481</v>
      </c>
      <c r="B23750" t="s">
        <v>1613</v>
      </c>
      <c r="C23750" t="s">
        <v>1614</v>
      </c>
      <c r="D23750" t="str">
        <f>"6258"</f>
        <v>6258</v>
      </c>
      <c r="E23750" t="s">
        <v>1641</v>
      </c>
      <c r="F23750" t="s">
        <v>2</v>
      </c>
      <c r="G23750" t="s">
        <v>47093</v>
      </c>
      <c r="H23750" t="s">
        <v>47054</v>
      </c>
      <c r="I23750" t="s">
        <v>47111</v>
      </c>
      <c r="J23750" t="s">
        <v>47112</v>
      </c>
      <c r="K23750" t="s">
        <v>47113</v>
      </c>
      <c r="L23750">
        <v>35.29</v>
      </c>
      <c r="M23750">
        <v>77</v>
      </c>
      <c r="N23750">
        <v>0</v>
      </c>
      <c r="O23750">
        <v>77</v>
      </c>
      <c r="P23750">
        <v>0</v>
      </c>
    </row>
    <row r="23751" spans="1:16" x14ac:dyDescent="0.25">
      <c r="A23751" t="s">
        <v>15136</v>
      </c>
      <c r="B23751" t="s">
        <v>1613</v>
      </c>
      <c r="C23751" t="s">
        <v>1614</v>
      </c>
      <c r="D23751" t="str">
        <f>"6839"</f>
        <v>6839</v>
      </c>
      <c r="E23751" t="s">
        <v>14043</v>
      </c>
      <c r="F23751" t="s">
        <v>2</v>
      </c>
      <c r="G23751" t="s">
        <v>47093</v>
      </c>
      <c r="H23751" t="s">
        <v>47054</v>
      </c>
      <c r="I23751" t="s">
        <v>47111</v>
      </c>
      <c r="J23751" t="s">
        <v>47112</v>
      </c>
      <c r="K23751" t="s">
        <v>47113</v>
      </c>
      <c r="L23751">
        <v>35.369999999999997</v>
      </c>
      <c r="M23751">
        <v>73</v>
      </c>
      <c r="N23751">
        <v>0</v>
      </c>
      <c r="O23751">
        <v>73</v>
      </c>
      <c r="P23751">
        <v>0</v>
      </c>
    </row>
    <row r="23752" spans="1:16" x14ac:dyDescent="0.25">
      <c r="A23752" t="s">
        <v>46482</v>
      </c>
      <c r="B23752" t="s">
        <v>1613</v>
      </c>
      <c r="C23752" t="s">
        <v>1614</v>
      </c>
      <c r="D23752" t="str">
        <f>"7347"</f>
        <v>7347</v>
      </c>
      <c r="E23752" t="s">
        <v>1586</v>
      </c>
      <c r="F23752" t="s">
        <v>2</v>
      </c>
      <c r="G23752" t="s">
        <v>47093</v>
      </c>
      <c r="H23752" t="s">
        <v>47054</v>
      </c>
      <c r="I23752" t="s">
        <v>47111</v>
      </c>
      <c r="J23752" t="s">
        <v>47112</v>
      </c>
      <c r="K23752" t="s">
        <v>47113</v>
      </c>
      <c r="L23752">
        <v>35.65</v>
      </c>
      <c r="M23752">
        <v>77</v>
      </c>
      <c r="N23752">
        <v>0</v>
      </c>
      <c r="O23752">
        <v>77</v>
      </c>
      <c r="P23752">
        <v>0</v>
      </c>
    </row>
    <row r="23753" spans="1:16" x14ac:dyDescent="0.25">
      <c r="A23753" t="s">
        <v>46483</v>
      </c>
      <c r="B23753" t="s">
        <v>1613</v>
      </c>
      <c r="C23753" t="s">
        <v>1614</v>
      </c>
      <c r="D23753" t="str">
        <f>"8337"</f>
        <v>8337</v>
      </c>
      <c r="E23753" t="s">
        <v>14062</v>
      </c>
      <c r="F23753" t="s">
        <v>2</v>
      </c>
      <c r="G23753" t="s">
        <v>47093</v>
      </c>
      <c r="H23753" t="s">
        <v>47054</v>
      </c>
      <c r="I23753" t="s">
        <v>47111</v>
      </c>
      <c r="J23753" t="s">
        <v>47112</v>
      </c>
      <c r="K23753" t="s">
        <v>47113</v>
      </c>
      <c r="L23753">
        <v>35.29</v>
      </c>
      <c r="M23753">
        <v>77</v>
      </c>
      <c r="N23753">
        <v>0</v>
      </c>
      <c r="O23753">
        <v>77</v>
      </c>
      <c r="P23753">
        <v>0</v>
      </c>
    </row>
    <row r="23754" spans="1:16" x14ac:dyDescent="0.25">
      <c r="A23754" t="s">
        <v>46484</v>
      </c>
      <c r="B23754" t="s">
        <v>1622</v>
      </c>
      <c r="C23754" t="s">
        <v>1623</v>
      </c>
      <c r="D23754" t="str">
        <f>"1356"</f>
        <v>1356</v>
      </c>
      <c r="E23754" t="s">
        <v>14065</v>
      </c>
      <c r="F23754" t="s">
        <v>6</v>
      </c>
      <c r="G23754" t="s">
        <v>47093</v>
      </c>
      <c r="H23754" t="s">
        <v>47054</v>
      </c>
      <c r="I23754" t="s">
        <v>47111</v>
      </c>
      <c r="J23754" t="s">
        <v>47112</v>
      </c>
      <c r="K23754" t="s">
        <v>47113</v>
      </c>
      <c r="L23754">
        <v>46.61</v>
      </c>
      <c r="M23754">
        <v>113</v>
      </c>
      <c r="N23754">
        <v>0</v>
      </c>
      <c r="O23754">
        <v>113</v>
      </c>
      <c r="P23754">
        <v>0</v>
      </c>
    </row>
    <row r="23755" spans="1:16" x14ac:dyDescent="0.25">
      <c r="A23755" t="s">
        <v>1621</v>
      </c>
      <c r="B23755" t="s">
        <v>1622</v>
      </c>
      <c r="C23755" t="s">
        <v>1623</v>
      </c>
      <c r="D23755" t="str">
        <f>"4479"</f>
        <v>4479</v>
      </c>
      <c r="E23755" t="s">
        <v>1624</v>
      </c>
      <c r="F23755" t="s">
        <v>6</v>
      </c>
      <c r="G23755" t="s">
        <v>47093</v>
      </c>
      <c r="H23755" t="s">
        <v>47054</v>
      </c>
      <c r="I23755" t="s">
        <v>47111</v>
      </c>
      <c r="J23755" t="s">
        <v>47112</v>
      </c>
      <c r="K23755" t="s">
        <v>47113</v>
      </c>
      <c r="L23755">
        <v>47.65</v>
      </c>
      <c r="M23755">
        <v>113</v>
      </c>
      <c r="N23755">
        <v>0</v>
      </c>
      <c r="O23755">
        <v>113</v>
      </c>
      <c r="P23755">
        <v>0</v>
      </c>
    </row>
    <row r="23756" spans="1:16" x14ac:dyDescent="0.25">
      <c r="A23756" t="s">
        <v>1625</v>
      </c>
      <c r="B23756" t="s">
        <v>1622</v>
      </c>
      <c r="C23756" t="s">
        <v>1623</v>
      </c>
      <c r="D23756" t="str">
        <f>"5078"</f>
        <v>5078</v>
      </c>
      <c r="E23756" t="s">
        <v>1626</v>
      </c>
      <c r="F23756" t="s">
        <v>6</v>
      </c>
      <c r="G23756" t="s">
        <v>47093</v>
      </c>
      <c r="H23756" t="s">
        <v>47054</v>
      </c>
      <c r="I23756" t="s">
        <v>47111</v>
      </c>
      <c r="J23756" t="s">
        <v>47112</v>
      </c>
      <c r="K23756" t="s">
        <v>47113</v>
      </c>
      <c r="L23756">
        <v>47.65</v>
      </c>
      <c r="M23756">
        <v>113</v>
      </c>
      <c r="N23756">
        <v>0</v>
      </c>
      <c r="O23756">
        <v>113</v>
      </c>
      <c r="P23756">
        <v>0</v>
      </c>
    </row>
    <row r="23757" spans="1:16" x14ac:dyDescent="0.25">
      <c r="A23757" t="s">
        <v>46485</v>
      </c>
      <c r="B23757" t="s">
        <v>1622</v>
      </c>
      <c r="C23757" t="s">
        <v>1623</v>
      </c>
      <c r="D23757" t="str">
        <f>"6157"</f>
        <v>6157</v>
      </c>
      <c r="E23757" t="s">
        <v>14066</v>
      </c>
      <c r="F23757" t="s">
        <v>6</v>
      </c>
      <c r="G23757" t="s">
        <v>47093</v>
      </c>
      <c r="H23757" t="s">
        <v>47054</v>
      </c>
      <c r="I23757" t="s">
        <v>47111</v>
      </c>
      <c r="J23757" t="s">
        <v>47112</v>
      </c>
      <c r="K23757" t="s">
        <v>47113</v>
      </c>
      <c r="L23757">
        <v>45.58</v>
      </c>
      <c r="M23757">
        <v>113</v>
      </c>
      <c r="N23757">
        <v>0</v>
      </c>
      <c r="O23757">
        <v>113</v>
      </c>
      <c r="P23757">
        <v>0</v>
      </c>
    </row>
    <row r="23758" spans="1:16" x14ac:dyDescent="0.25">
      <c r="A23758" t="s">
        <v>46486</v>
      </c>
      <c r="B23758" t="s">
        <v>1622</v>
      </c>
      <c r="C23758" t="s">
        <v>1623</v>
      </c>
      <c r="D23758" t="str">
        <f>"8041"</f>
        <v>8041</v>
      </c>
      <c r="E23758" t="s">
        <v>14067</v>
      </c>
      <c r="F23758" t="s">
        <v>6</v>
      </c>
      <c r="G23758" t="s">
        <v>47093</v>
      </c>
      <c r="H23758" t="s">
        <v>47054</v>
      </c>
      <c r="I23758" t="s">
        <v>47111</v>
      </c>
      <c r="J23758" t="s">
        <v>47112</v>
      </c>
      <c r="K23758" t="s">
        <v>47113</v>
      </c>
      <c r="L23758">
        <v>46.61</v>
      </c>
      <c r="M23758">
        <v>113</v>
      </c>
      <c r="N23758">
        <v>0</v>
      </c>
      <c r="O23758">
        <v>113</v>
      </c>
      <c r="P23758">
        <v>0</v>
      </c>
    </row>
    <row r="23759" spans="1:16" x14ac:dyDescent="0.25">
      <c r="A23759" t="s">
        <v>1627</v>
      </c>
      <c r="B23759" t="s">
        <v>1628</v>
      </c>
      <c r="C23759" t="s">
        <v>1629</v>
      </c>
      <c r="D23759" t="str">
        <f>"6169"</f>
        <v>6169</v>
      </c>
      <c r="E23759" t="s">
        <v>1585</v>
      </c>
      <c r="F23759" t="s">
        <v>2</v>
      </c>
      <c r="G23759" t="s">
        <v>47093</v>
      </c>
      <c r="H23759" t="s">
        <v>47054</v>
      </c>
      <c r="I23759" t="s">
        <v>47111</v>
      </c>
      <c r="J23759" t="s">
        <v>47112</v>
      </c>
      <c r="K23759" t="s">
        <v>47113</v>
      </c>
      <c r="L23759">
        <v>51.46</v>
      </c>
      <c r="M23759">
        <v>111</v>
      </c>
      <c r="N23759">
        <v>0</v>
      </c>
      <c r="O23759">
        <v>111</v>
      </c>
      <c r="P23759">
        <v>0</v>
      </c>
    </row>
    <row r="23760" spans="1:16" x14ac:dyDescent="0.25">
      <c r="A23760" t="s">
        <v>1630</v>
      </c>
      <c r="B23760" t="s">
        <v>1631</v>
      </c>
      <c r="C23760" t="s">
        <v>1629</v>
      </c>
      <c r="D23760" t="str">
        <f>"3202"</f>
        <v>3202</v>
      </c>
      <c r="E23760" t="s">
        <v>1584</v>
      </c>
      <c r="F23760" t="s">
        <v>2</v>
      </c>
      <c r="G23760" t="s">
        <v>47093</v>
      </c>
      <c r="H23760" t="s">
        <v>47054</v>
      </c>
      <c r="I23760" t="s">
        <v>47111</v>
      </c>
      <c r="J23760" t="s">
        <v>47112</v>
      </c>
      <c r="K23760" t="s">
        <v>47113</v>
      </c>
      <c r="L23760">
        <v>51.64</v>
      </c>
      <c r="M23760">
        <v>111</v>
      </c>
      <c r="N23760">
        <v>0</v>
      </c>
      <c r="O23760">
        <v>111</v>
      </c>
      <c r="P23760">
        <v>0</v>
      </c>
    </row>
    <row r="23761" spans="1:16" x14ac:dyDescent="0.25">
      <c r="A23761" t="s">
        <v>1632</v>
      </c>
      <c r="B23761" t="s">
        <v>1633</v>
      </c>
      <c r="C23761" t="s">
        <v>1629</v>
      </c>
      <c r="D23761" t="str">
        <f>"4319"</f>
        <v>4319</v>
      </c>
      <c r="E23761" t="s">
        <v>1634</v>
      </c>
      <c r="F23761" t="s">
        <v>2</v>
      </c>
      <c r="G23761" t="s">
        <v>47093</v>
      </c>
      <c r="H23761" t="s">
        <v>47054</v>
      </c>
      <c r="I23761" t="s">
        <v>47111</v>
      </c>
      <c r="J23761" t="s">
        <v>47112</v>
      </c>
      <c r="K23761" t="s">
        <v>47113</v>
      </c>
      <c r="L23761">
        <v>51.4</v>
      </c>
      <c r="M23761">
        <v>111</v>
      </c>
      <c r="N23761">
        <v>0</v>
      </c>
      <c r="O23761">
        <v>111</v>
      </c>
      <c r="P23761">
        <v>0</v>
      </c>
    </row>
    <row r="23762" spans="1:16" x14ac:dyDescent="0.25">
      <c r="A23762" t="s">
        <v>46487</v>
      </c>
      <c r="B23762" t="s">
        <v>14103</v>
      </c>
      <c r="C23762" t="s">
        <v>1629</v>
      </c>
      <c r="D23762" t="str">
        <f>"8337"</f>
        <v>8337</v>
      </c>
      <c r="E23762" t="s">
        <v>14062</v>
      </c>
      <c r="F23762" t="s">
        <v>2</v>
      </c>
      <c r="G23762" t="s">
        <v>47093</v>
      </c>
      <c r="H23762" t="s">
        <v>47054</v>
      </c>
      <c r="I23762" t="s">
        <v>47111</v>
      </c>
      <c r="J23762" t="s">
        <v>47112</v>
      </c>
      <c r="K23762" t="s">
        <v>47113</v>
      </c>
      <c r="L23762">
        <v>49.73</v>
      </c>
      <c r="M23762">
        <v>111</v>
      </c>
      <c r="N23762">
        <v>0</v>
      </c>
      <c r="O23762">
        <v>111</v>
      </c>
      <c r="P23762">
        <v>0</v>
      </c>
    </row>
    <row r="23763" spans="1:16" x14ac:dyDescent="0.25">
      <c r="A23763" t="s">
        <v>46488</v>
      </c>
      <c r="B23763" t="s">
        <v>14104</v>
      </c>
      <c r="C23763" t="s">
        <v>1629</v>
      </c>
      <c r="D23763" t="str">
        <f>"1821"</f>
        <v>1821</v>
      </c>
      <c r="E23763" t="s">
        <v>590</v>
      </c>
      <c r="F23763" t="s">
        <v>2</v>
      </c>
      <c r="G23763" t="s">
        <v>47093</v>
      </c>
      <c r="I23763" t="s">
        <v>47111</v>
      </c>
      <c r="J23763" t="s">
        <v>47112</v>
      </c>
      <c r="K23763" t="s">
        <v>47113</v>
      </c>
      <c r="L23763">
        <v>41.54</v>
      </c>
      <c r="M23763">
        <v>111</v>
      </c>
      <c r="N23763">
        <v>0</v>
      </c>
      <c r="O23763">
        <v>111</v>
      </c>
      <c r="P23763">
        <v>0</v>
      </c>
    </row>
    <row r="23764" spans="1:16" x14ac:dyDescent="0.25">
      <c r="A23764" t="s">
        <v>1635</v>
      </c>
      <c r="B23764" t="s">
        <v>1636</v>
      </c>
      <c r="C23764" t="s">
        <v>1629</v>
      </c>
      <c r="D23764" t="str">
        <f>"5080"</f>
        <v>5080</v>
      </c>
      <c r="E23764" t="s">
        <v>1619</v>
      </c>
      <c r="F23764" t="s">
        <v>2</v>
      </c>
      <c r="G23764" t="s">
        <v>47093</v>
      </c>
      <c r="H23764" t="s">
        <v>47054</v>
      </c>
      <c r="I23764" t="s">
        <v>47111</v>
      </c>
      <c r="J23764" t="s">
        <v>47112</v>
      </c>
      <c r="K23764" t="s">
        <v>47113</v>
      </c>
      <c r="L23764">
        <v>48.89</v>
      </c>
      <c r="M23764">
        <v>111</v>
      </c>
      <c r="N23764">
        <v>0</v>
      </c>
      <c r="O23764">
        <v>111</v>
      </c>
      <c r="P23764">
        <v>0</v>
      </c>
    </row>
    <row r="23765" spans="1:16" x14ac:dyDescent="0.25">
      <c r="A23765" t="s">
        <v>1637</v>
      </c>
      <c r="B23765" t="s">
        <v>1638</v>
      </c>
      <c r="C23765" t="s">
        <v>1629</v>
      </c>
      <c r="D23765" t="str">
        <f>"7347"</f>
        <v>7347</v>
      </c>
      <c r="E23765" t="s">
        <v>1586</v>
      </c>
      <c r="F23765" t="s">
        <v>2</v>
      </c>
      <c r="G23765" t="s">
        <v>47093</v>
      </c>
      <c r="H23765" t="s">
        <v>47054</v>
      </c>
      <c r="I23765" t="s">
        <v>47111</v>
      </c>
      <c r="J23765" t="s">
        <v>47112</v>
      </c>
      <c r="K23765" t="s">
        <v>47113</v>
      </c>
      <c r="L23765">
        <v>48.89</v>
      </c>
      <c r="M23765">
        <v>111</v>
      </c>
      <c r="N23765">
        <v>0</v>
      </c>
      <c r="O23765">
        <v>111</v>
      </c>
      <c r="P23765">
        <v>0</v>
      </c>
    </row>
    <row r="23766" spans="1:16" x14ac:dyDescent="0.25">
      <c r="A23766" t="s">
        <v>46489</v>
      </c>
      <c r="B23766" t="s">
        <v>14105</v>
      </c>
      <c r="C23766" t="s">
        <v>1629</v>
      </c>
      <c r="D23766" t="str">
        <f>"4559"</f>
        <v>4559</v>
      </c>
      <c r="E23766" t="s">
        <v>14061</v>
      </c>
      <c r="F23766" t="s">
        <v>2</v>
      </c>
      <c r="G23766" t="s">
        <v>47093</v>
      </c>
      <c r="I23766" t="s">
        <v>47111</v>
      </c>
      <c r="J23766" t="s">
        <v>47112</v>
      </c>
      <c r="K23766" t="s">
        <v>47113</v>
      </c>
      <c r="L23766">
        <v>49.73</v>
      </c>
      <c r="M23766">
        <v>111</v>
      </c>
      <c r="N23766">
        <v>0</v>
      </c>
      <c r="O23766">
        <v>111</v>
      </c>
      <c r="P23766">
        <v>0</v>
      </c>
    </row>
    <row r="23767" spans="1:16" x14ac:dyDescent="0.25">
      <c r="A23767" t="s">
        <v>1639</v>
      </c>
      <c r="B23767" t="s">
        <v>1640</v>
      </c>
      <c r="C23767" t="s">
        <v>1629</v>
      </c>
      <c r="D23767" t="str">
        <f>"6258"</f>
        <v>6258</v>
      </c>
      <c r="E23767" t="s">
        <v>1641</v>
      </c>
      <c r="F23767" t="s">
        <v>2</v>
      </c>
      <c r="G23767" t="s">
        <v>47093</v>
      </c>
      <c r="H23767" t="s">
        <v>47054</v>
      </c>
      <c r="I23767" t="s">
        <v>47111</v>
      </c>
      <c r="J23767" t="s">
        <v>47112</v>
      </c>
      <c r="K23767" t="s">
        <v>47113</v>
      </c>
      <c r="L23767">
        <v>51.52</v>
      </c>
      <c r="M23767">
        <v>111</v>
      </c>
      <c r="N23767">
        <v>0</v>
      </c>
      <c r="O23767">
        <v>111</v>
      </c>
      <c r="P23767">
        <v>0</v>
      </c>
    </row>
    <row r="23768" spans="1:16" x14ac:dyDescent="0.25">
      <c r="A23768" t="s">
        <v>1642</v>
      </c>
      <c r="B23768" t="s">
        <v>1643</v>
      </c>
      <c r="C23768" t="s">
        <v>1644</v>
      </c>
      <c r="D23768" t="str">
        <f>"1825"</f>
        <v>1825</v>
      </c>
      <c r="E23768" t="s">
        <v>1645</v>
      </c>
      <c r="F23768" t="s">
        <v>56</v>
      </c>
      <c r="G23768" t="s">
        <v>47093</v>
      </c>
      <c r="H23768" t="s">
        <v>47054</v>
      </c>
      <c r="I23768" t="s">
        <v>47111</v>
      </c>
      <c r="J23768" t="s">
        <v>47112</v>
      </c>
      <c r="K23768" t="s">
        <v>47113</v>
      </c>
      <c r="L23768">
        <v>38.65</v>
      </c>
      <c r="M23768">
        <v>88</v>
      </c>
      <c r="N23768">
        <v>0</v>
      </c>
      <c r="O23768">
        <v>88</v>
      </c>
      <c r="P23768">
        <v>0</v>
      </c>
    </row>
    <row r="23769" spans="1:16" x14ac:dyDescent="0.25">
      <c r="A23769" t="s">
        <v>46490</v>
      </c>
      <c r="B23769" t="s">
        <v>1643</v>
      </c>
      <c r="C23769" t="s">
        <v>1644</v>
      </c>
      <c r="D23769" t="str">
        <f>"4548"</f>
        <v>4548</v>
      </c>
      <c r="E23769" t="s">
        <v>1412</v>
      </c>
      <c r="F23769" t="s">
        <v>56</v>
      </c>
      <c r="G23769" t="s">
        <v>47093</v>
      </c>
      <c r="H23769" t="s">
        <v>47054</v>
      </c>
      <c r="I23769" t="s">
        <v>47111</v>
      </c>
      <c r="J23769" t="s">
        <v>47112</v>
      </c>
      <c r="K23769" t="s">
        <v>47113</v>
      </c>
      <c r="L23769">
        <v>38.619999999999997</v>
      </c>
      <c r="M23769">
        <v>88</v>
      </c>
      <c r="N23769">
        <v>0</v>
      </c>
      <c r="O23769">
        <v>88</v>
      </c>
      <c r="P23769">
        <v>0</v>
      </c>
    </row>
    <row r="23770" spans="1:16" x14ac:dyDescent="0.25">
      <c r="A23770" t="s">
        <v>46491</v>
      </c>
      <c r="B23770" t="s">
        <v>1643</v>
      </c>
      <c r="C23770" t="s">
        <v>1644</v>
      </c>
      <c r="D23770" t="str">
        <f>"7339"</f>
        <v>7339</v>
      </c>
      <c r="E23770" t="s">
        <v>13688</v>
      </c>
      <c r="F23770" t="s">
        <v>56</v>
      </c>
      <c r="G23770" t="s">
        <v>47093</v>
      </c>
      <c r="H23770" t="s">
        <v>47054</v>
      </c>
      <c r="I23770" t="s">
        <v>47111</v>
      </c>
      <c r="J23770" t="s">
        <v>47112</v>
      </c>
      <c r="K23770" t="s">
        <v>47113</v>
      </c>
      <c r="L23770">
        <v>38.619999999999997</v>
      </c>
      <c r="M23770">
        <v>88</v>
      </c>
      <c r="N23770">
        <v>0</v>
      </c>
      <c r="O23770">
        <v>88</v>
      </c>
      <c r="P23770">
        <v>0</v>
      </c>
    </row>
    <row r="23771" spans="1:16" x14ac:dyDescent="0.25">
      <c r="A23771" t="s">
        <v>46492</v>
      </c>
      <c r="B23771" t="s">
        <v>1643</v>
      </c>
      <c r="C23771" t="s">
        <v>1644</v>
      </c>
      <c r="D23771" t="str">
        <f>"8326"</f>
        <v>8326</v>
      </c>
      <c r="E23771" t="s">
        <v>14102</v>
      </c>
      <c r="F23771" t="s">
        <v>56</v>
      </c>
      <c r="G23771" t="s">
        <v>47093</v>
      </c>
      <c r="H23771" t="s">
        <v>47054</v>
      </c>
      <c r="I23771" t="s">
        <v>47111</v>
      </c>
      <c r="J23771" t="s">
        <v>47112</v>
      </c>
      <c r="K23771" t="s">
        <v>47113</v>
      </c>
      <c r="L23771">
        <v>38.700000000000003</v>
      </c>
      <c r="M23771">
        <v>88</v>
      </c>
      <c r="N23771">
        <v>0</v>
      </c>
      <c r="O23771">
        <v>88</v>
      </c>
      <c r="P23771">
        <v>0</v>
      </c>
    </row>
    <row r="23772" spans="1:16" x14ac:dyDescent="0.25">
      <c r="A23772" t="s">
        <v>46493</v>
      </c>
      <c r="B23772" t="s">
        <v>14106</v>
      </c>
      <c r="C23772" t="s">
        <v>14107</v>
      </c>
      <c r="D23772" t="str">
        <f>"4635"</f>
        <v>4635</v>
      </c>
      <c r="E23772" t="s">
        <v>1569</v>
      </c>
      <c r="F23772" t="s">
        <v>3</v>
      </c>
      <c r="G23772" t="s">
        <v>47093</v>
      </c>
      <c r="H23772" t="s">
        <v>47054</v>
      </c>
      <c r="I23772" t="s">
        <v>47111</v>
      </c>
      <c r="J23772" t="s">
        <v>47112</v>
      </c>
      <c r="K23772" t="s">
        <v>47113</v>
      </c>
      <c r="L23772">
        <v>29.74</v>
      </c>
      <c r="M23772">
        <v>76</v>
      </c>
      <c r="N23772">
        <v>0</v>
      </c>
      <c r="O23772">
        <v>76</v>
      </c>
      <c r="P23772">
        <v>0</v>
      </c>
    </row>
    <row r="23773" spans="1:16" x14ac:dyDescent="0.25">
      <c r="A23773" t="s">
        <v>46494</v>
      </c>
      <c r="B23773" t="s">
        <v>14108</v>
      </c>
      <c r="C23773" t="s">
        <v>14107</v>
      </c>
      <c r="D23773" t="str">
        <f>"5337"</f>
        <v>5337</v>
      </c>
      <c r="E23773" t="s">
        <v>14036</v>
      </c>
      <c r="F23773" t="s">
        <v>3</v>
      </c>
      <c r="G23773" t="s">
        <v>47093</v>
      </c>
      <c r="H23773" t="s">
        <v>47054</v>
      </c>
      <c r="I23773" t="s">
        <v>47111</v>
      </c>
      <c r="J23773" t="s">
        <v>47112</v>
      </c>
      <c r="K23773" t="s">
        <v>47113</v>
      </c>
      <c r="L23773">
        <v>29.01</v>
      </c>
      <c r="M23773">
        <v>76</v>
      </c>
      <c r="N23773">
        <v>0</v>
      </c>
      <c r="O23773">
        <v>76</v>
      </c>
      <c r="P23773">
        <v>0</v>
      </c>
    </row>
    <row r="23774" spans="1:16" x14ac:dyDescent="0.25">
      <c r="A23774" t="s">
        <v>46495</v>
      </c>
      <c r="B23774" t="s">
        <v>14109</v>
      </c>
      <c r="C23774" t="s">
        <v>14107</v>
      </c>
      <c r="D23774" t="str">
        <f>"3352"</f>
        <v>3352</v>
      </c>
      <c r="E23774" t="s">
        <v>14110</v>
      </c>
      <c r="F23774" t="s">
        <v>3</v>
      </c>
      <c r="G23774" t="s">
        <v>47093</v>
      </c>
      <c r="H23774" t="s">
        <v>47054</v>
      </c>
      <c r="I23774" t="s">
        <v>47111</v>
      </c>
      <c r="J23774" t="s">
        <v>47112</v>
      </c>
      <c r="K23774" t="s">
        <v>47113</v>
      </c>
      <c r="L23774">
        <v>30.66</v>
      </c>
      <c r="M23774">
        <v>76</v>
      </c>
      <c r="N23774">
        <v>0</v>
      </c>
      <c r="O23774">
        <v>76</v>
      </c>
      <c r="P23774">
        <v>0</v>
      </c>
    </row>
    <row r="23775" spans="1:16" x14ac:dyDescent="0.25">
      <c r="A23775" t="s">
        <v>46496</v>
      </c>
      <c r="B23775" t="s">
        <v>14111</v>
      </c>
      <c r="C23775" t="s">
        <v>13598</v>
      </c>
      <c r="D23775" t="str">
        <f>"1825"</f>
        <v>1825</v>
      </c>
      <c r="E23775" t="s">
        <v>1645</v>
      </c>
      <c r="F23775" t="s">
        <v>56</v>
      </c>
      <c r="G23775" t="s">
        <v>47093</v>
      </c>
      <c r="H23775" t="s">
        <v>47054</v>
      </c>
      <c r="I23775" t="s">
        <v>47111</v>
      </c>
      <c r="J23775" t="s">
        <v>47112</v>
      </c>
      <c r="K23775" t="s">
        <v>47113</v>
      </c>
      <c r="L23775">
        <v>32.74</v>
      </c>
      <c r="M23775">
        <v>81</v>
      </c>
      <c r="N23775">
        <v>0</v>
      </c>
      <c r="O23775">
        <v>81</v>
      </c>
      <c r="P23775">
        <v>0</v>
      </c>
    </row>
    <row r="23776" spans="1:16" x14ac:dyDescent="0.25">
      <c r="A23776" t="s">
        <v>46497</v>
      </c>
      <c r="B23776" t="s">
        <v>14111</v>
      </c>
      <c r="C23776" t="s">
        <v>13598</v>
      </c>
      <c r="D23776" t="str">
        <f>"3313"</f>
        <v>3313</v>
      </c>
      <c r="E23776" t="s">
        <v>14112</v>
      </c>
      <c r="F23776" t="s">
        <v>56</v>
      </c>
      <c r="G23776" t="s">
        <v>47093</v>
      </c>
      <c r="H23776" t="s">
        <v>47054</v>
      </c>
      <c r="I23776" t="s">
        <v>47111</v>
      </c>
      <c r="J23776" t="s">
        <v>47112</v>
      </c>
      <c r="K23776" t="s">
        <v>47113</v>
      </c>
      <c r="L23776">
        <v>37.22</v>
      </c>
      <c r="M23776">
        <v>81</v>
      </c>
      <c r="N23776">
        <v>0</v>
      </c>
      <c r="O23776">
        <v>81</v>
      </c>
      <c r="P23776">
        <v>0</v>
      </c>
    </row>
    <row r="23777" spans="1:16" x14ac:dyDescent="0.25">
      <c r="A23777" t="s">
        <v>46498</v>
      </c>
      <c r="B23777" t="s">
        <v>14111</v>
      </c>
      <c r="C23777" t="s">
        <v>13598</v>
      </c>
      <c r="D23777" t="str">
        <f>"4548"</f>
        <v>4548</v>
      </c>
      <c r="E23777" t="s">
        <v>1412</v>
      </c>
      <c r="F23777" t="s">
        <v>56</v>
      </c>
      <c r="G23777" t="s">
        <v>47093</v>
      </c>
      <c r="H23777" t="s">
        <v>47054</v>
      </c>
      <c r="I23777" t="s">
        <v>47111</v>
      </c>
      <c r="J23777" t="s">
        <v>47112</v>
      </c>
      <c r="K23777" t="s">
        <v>47113</v>
      </c>
      <c r="L23777">
        <v>36.04</v>
      </c>
      <c r="M23777">
        <v>81</v>
      </c>
      <c r="N23777">
        <v>0</v>
      </c>
      <c r="O23777">
        <v>81</v>
      </c>
      <c r="P23777">
        <v>0</v>
      </c>
    </row>
    <row r="23778" spans="1:16" x14ac:dyDescent="0.25">
      <c r="A23778" t="s">
        <v>46499</v>
      </c>
      <c r="B23778" t="s">
        <v>14111</v>
      </c>
      <c r="C23778" t="s">
        <v>13598</v>
      </c>
      <c r="D23778" t="str">
        <f>"7339"</f>
        <v>7339</v>
      </c>
      <c r="E23778" t="s">
        <v>13688</v>
      </c>
      <c r="F23778" t="s">
        <v>56</v>
      </c>
      <c r="G23778" t="s">
        <v>47093</v>
      </c>
      <c r="H23778" t="s">
        <v>47054</v>
      </c>
      <c r="I23778" t="s">
        <v>47111</v>
      </c>
      <c r="J23778" t="s">
        <v>47112</v>
      </c>
      <c r="K23778" t="s">
        <v>47113</v>
      </c>
      <c r="L23778">
        <v>37.22</v>
      </c>
      <c r="M23778">
        <v>81</v>
      </c>
      <c r="N23778">
        <v>0</v>
      </c>
      <c r="O23778">
        <v>81</v>
      </c>
      <c r="P23778">
        <v>0</v>
      </c>
    </row>
    <row r="23779" spans="1:16" x14ac:dyDescent="0.25">
      <c r="A23779" t="s">
        <v>46500</v>
      </c>
      <c r="B23779" t="s">
        <v>14111</v>
      </c>
      <c r="C23779" t="s">
        <v>13598</v>
      </c>
      <c r="D23779" t="str">
        <f>"8326"</f>
        <v>8326</v>
      </c>
      <c r="E23779" t="s">
        <v>14102</v>
      </c>
      <c r="F23779" t="s">
        <v>56</v>
      </c>
      <c r="G23779" t="s">
        <v>47093</v>
      </c>
      <c r="H23779" t="s">
        <v>47054</v>
      </c>
      <c r="I23779" t="s">
        <v>47111</v>
      </c>
      <c r="J23779" t="s">
        <v>47112</v>
      </c>
      <c r="K23779" t="s">
        <v>47113</v>
      </c>
      <c r="L23779">
        <v>37.22</v>
      </c>
      <c r="M23779">
        <v>81</v>
      </c>
      <c r="N23779">
        <v>0</v>
      </c>
      <c r="O23779">
        <v>81</v>
      </c>
      <c r="P23779">
        <v>0</v>
      </c>
    </row>
    <row r="23780" spans="1:16" x14ac:dyDescent="0.25">
      <c r="A23780" t="s">
        <v>46501</v>
      </c>
      <c r="B23780" t="s">
        <v>14113</v>
      </c>
      <c r="C23780" t="s">
        <v>14114</v>
      </c>
      <c r="D23780" t="str">
        <f>"4549"</f>
        <v>4549</v>
      </c>
      <c r="E23780" t="s">
        <v>14115</v>
      </c>
      <c r="F23780" t="s">
        <v>56</v>
      </c>
      <c r="G23780" t="s">
        <v>47093</v>
      </c>
      <c r="H23780" t="s">
        <v>47054</v>
      </c>
      <c r="I23780" t="s">
        <v>47111</v>
      </c>
      <c r="J23780" t="s">
        <v>47112</v>
      </c>
      <c r="K23780" t="s">
        <v>47113</v>
      </c>
      <c r="L23780">
        <v>41.29</v>
      </c>
      <c r="M23780">
        <v>100</v>
      </c>
      <c r="N23780">
        <v>0</v>
      </c>
      <c r="O23780">
        <v>100</v>
      </c>
      <c r="P23780">
        <v>0</v>
      </c>
    </row>
    <row r="23781" spans="1:16" x14ac:dyDescent="0.25">
      <c r="A23781" t="s">
        <v>46502</v>
      </c>
      <c r="B23781" t="s">
        <v>14116</v>
      </c>
      <c r="C23781" t="s">
        <v>1583</v>
      </c>
      <c r="D23781" t="str">
        <f>"1825"</f>
        <v>1825</v>
      </c>
      <c r="E23781" t="s">
        <v>1645</v>
      </c>
      <c r="F23781" t="s">
        <v>56</v>
      </c>
      <c r="G23781" t="s">
        <v>47093</v>
      </c>
      <c r="H23781" t="s">
        <v>47054</v>
      </c>
      <c r="I23781" t="s">
        <v>47114</v>
      </c>
      <c r="J23781" t="s">
        <v>47115</v>
      </c>
      <c r="K23781" t="s">
        <v>47113</v>
      </c>
      <c r="L23781">
        <v>39.58</v>
      </c>
      <c r="M23781">
        <v>100</v>
      </c>
      <c r="N23781">
        <v>0</v>
      </c>
      <c r="O23781">
        <v>100</v>
      </c>
      <c r="P23781">
        <v>0</v>
      </c>
    </row>
    <row r="23782" spans="1:16" x14ac:dyDescent="0.25">
      <c r="A23782" t="s">
        <v>46503</v>
      </c>
      <c r="B23782" t="s">
        <v>14116</v>
      </c>
      <c r="C23782" t="s">
        <v>1583</v>
      </c>
      <c r="D23782" t="str">
        <f>"4549"</f>
        <v>4549</v>
      </c>
      <c r="E23782" t="s">
        <v>14115</v>
      </c>
      <c r="F23782" t="s">
        <v>56</v>
      </c>
      <c r="G23782" t="s">
        <v>47093</v>
      </c>
      <c r="H23782" t="s">
        <v>47054</v>
      </c>
      <c r="I23782" t="s">
        <v>47114</v>
      </c>
      <c r="J23782" t="s">
        <v>47115</v>
      </c>
      <c r="K23782" t="s">
        <v>47113</v>
      </c>
      <c r="L23782">
        <v>41.88</v>
      </c>
      <c r="M23782">
        <v>100</v>
      </c>
      <c r="N23782">
        <v>0</v>
      </c>
      <c r="O23782">
        <v>100</v>
      </c>
      <c r="P23782">
        <v>0</v>
      </c>
    </row>
    <row r="23783" spans="1:16" x14ac:dyDescent="0.25">
      <c r="A23783" t="s">
        <v>46504</v>
      </c>
      <c r="B23783" t="s">
        <v>14116</v>
      </c>
      <c r="C23783" t="s">
        <v>1583</v>
      </c>
      <c r="D23783" t="str">
        <f>"5324"</f>
        <v>5324</v>
      </c>
      <c r="E23783" t="s">
        <v>1649</v>
      </c>
      <c r="F23783" t="s">
        <v>56</v>
      </c>
      <c r="G23783" t="s">
        <v>47093</v>
      </c>
      <c r="H23783" t="s">
        <v>47054</v>
      </c>
      <c r="I23783" t="s">
        <v>47114</v>
      </c>
      <c r="J23783" t="s">
        <v>47115</v>
      </c>
      <c r="K23783" t="s">
        <v>47113</v>
      </c>
      <c r="L23783">
        <v>41.88</v>
      </c>
      <c r="M23783">
        <v>100</v>
      </c>
      <c r="N23783">
        <v>0</v>
      </c>
      <c r="O23783">
        <v>100</v>
      </c>
      <c r="P23783">
        <v>0</v>
      </c>
    </row>
    <row r="23784" spans="1:16" x14ac:dyDescent="0.25">
      <c r="A23784" t="s">
        <v>46505</v>
      </c>
      <c r="B23784" t="s">
        <v>14116</v>
      </c>
      <c r="C23784" t="s">
        <v>1583</v>
      </c>
      <c r="D23784" t="str">
        <f>"8327"</f>
        <v>8327</v>
      </c>
      <c r="E23784" t="s">
        <v>14117</v>
      </c>
      <c r="F23784" t="s">
        <v>56</v>
      </c>
      <c r="G23784" t="s">
        <v>47093</v>
      </c>
      <c r="H23784" t="s">
        <v>47054</v>
      </c>
      <c r="I23784" t="s">
        <v>47114</v>
      </c>
      <c r="J23784" t="s">
        <v>47115</v>
      </c>
      <c r="K23784" t="s">
        <v>47113</v>
      </c>
      <c r="L23784">
        <v>41.88</v>
      </c>
      <c r="M23784">
        <v>100</v>
      </c>
      <c r="N23784">
        <v>0</v>
      </c>
      <c r="O23784">
        <v>100</v>
      </c>
      <c r="P23784">
        <v>0</v>
      </c>
    </row>
    <row r="23785" spans="1:16" x14ac:dyDescent="0.25">
      <c r="A23785" t="s">
        <v>46506</v>
      </c>
      <c r="B23785" t="s">
        <v>1647</v>
      </c>
      <c r="C23785" t="s">
        <v>1648</v>
      </c>
      <c r="D23785" t="str">
        <f>"1825"</f>
        <v>1825</v>
      </c>
      <c r="E23785" t="s">
        <v>1645</v>
      </c>
      <c r="F23785" t="s">
        <v>56</v>
      </c>
      <c r="G23785" t="s">
        <v>47093</v>
      </c>
      <c r="H23785" t="s">
        <v>47054</v>
      </c>
      <c r="I23785" t="s">
        <v>47111</v>
      </c>
      <c r="J23785" t="s">
        <v>47112</v>
      </c>
      <c r="K23785" t="s">
        <v>47113</v>
      </c>
      <c r="L23785">
        <v>46.02</v>
      </c>
      <c r="M23785">
        <v>100</v>
      </c>
      <c r="N23785">
        <v>0</v>
      </c>
      <c r="O23785">
        <v>100</v>
      </c>
      <c r="P23785">
        <v>0</v>
      </c>
    </row>
    <row r="23786" spans="1:16" x14ac:dyDescent="0.25">
      <c r="A23786" t="s">
        <v>46507</v>
      </c>
      <c r="B23786" t="s">
        <v>1647</v>
      </c>
      <c r="C23786" t="s">
        <v>1648</v>
      </c>
      <c r="D23786" t="str">
        <f>"4549"</f>
        <v>4549</v>
      </c>
      <c r="E23786" t="s">
        <v>14115</v>
      </c>
      <c r="F23786" t="s">
        <v>56</v>
      </c>
      <c r="G23786" t="s">
        <v>47093</v>
      </c>
      <c r="H23786" t="s">
        <v>47054</v>
      </c>
      <c r="I23786" t="s">
        <v>47111</v>
      </c>
      <c r="J23786" t="s">
        <v>47112</v>
      </c>
      <c r="K23786" t="s">
        <v>47113</v>
      </c>
      <c r="L23786">
        <v>44.21</v>
      </c>
      <c r="M23786">
        <v>100</v>
      </c>
      <c r="N23786">
        <v>0</v>
      </c>
      <c r="O23786">
        <v>100</v>
      </c>
      <c r="P23786">
        <v>0</v>
      </c>
    </row>
    <row r="23787" spans="1:16" x14ac:dyDescent="0.25">
      <c r="A23787" t="s">
        <v>1646</v>
      </c>
      <c r="B23787" t="s">
        <v>1647</v>
      </c>
      <c r="C23787" t="s">
        <v>1648</v>
      </c>
      <c r="D23787" t="str">
        <f>"5324"</f>
        <v>5324</v>
      </c>
      <c r="E23787" t="s">
        <v>1649</v>
      </c>
      <c r="F23787" t="s">
        <v>56</v>
      </c>
      <c r="G23787" t="s">
        <v>47093</v>
      </c>
      <c r="H23787" t="s">
        <v>47054</v>
      </c>
      <c r="I23787" t="s">
        <v>47111</v>
      </c>
      <c r="J23787" t="s">
        <v>47112</v>
      </c>
      <c r="K23787" t="s">
        <v>47113</v>
      </c>
      <c r="L23787">
        <v>44.21</v>
      </c>
      <c r="M23787">
        <v>100</v>
      </c>
      <c r="N23787">
        <v>0</v>
      </c>
      <c r="O23787">
        <v>100</v>
      </c>
      <c r="P23787">
        <v>0</v>
      </c>
    </row>
    <row r="23788" spans="1:16" x14ac:dyDescent="0.25">
      <c r="A23788" t="s">
        <v>46508</v>
      </c>
      <c r="B23788" t="s">
        <v>1647</v>
      </c>
      <c r="C23788" t="s">
        <v>1648</v>
      </c>
      <c r="D23788" t="str">
        <f>"8327"</f>
        <v>8327</v>
      </c>
      <c r="E23788" t="s">
        <v>14117</v>
      </c>
      <c r="F23788" t="s">
        <v>56</v>
      </c>
      <c r="G23788" t="s">
        <v>47093</v>
      </c>
      <c r="H23788" t="s">
        <v>47054</v>
      </c>
      <c r="I23788" t="s">
        <v>47111</v>
      </c>
      <c r="J23788" t="s">
        <v>47112</v>
      </c>
      <c r="K23788" t="s">
        <v>47113</v>
      </c>
      <c r="L23788">
        <v>48.32</v>
      </c>
      <c r="M23788">
        <v>100</v>
      </c>
      <c r="N23788">
        <v>0</v>
      </c>
      <c r="O23788">
        <v>100</v>
      </c>
      <c r="P23788">
        <v>0</v>
      </c>
    </row>
    <row r="23789" spans="1:16" x14ac:dyDescent="0.25">
      <c r="A23789" t="s">
        <v>46509</v>
      </c>
      <c r="B23789" t="s">
        <v>14118</v>
      </c>
      <c r="C23789" t="s">
        <v>14119</v>
      </c>
      <c r="D23789" t="str">
        <f>"3208"</f>
        <v>3208</v>
      </c>
      <c r="E23789" t="s">
        <v>14120</v>
      </c>
      <c r="F23789" t="s">
        <v>56</v>
      </c>
      <c r="G23789" t="s">
        <v>47093</v>
      </c>
      <c r="H23789" t="s">
        <v>47054</v>
      </c>
      <c r="I23789" t="s">
        <v>47111</v>
      </c>
      <c r="J23789" t="s">
        <v>47112</v>
      </c>
      <c r="K23789" t="s">
        <v>47113</v>
      </c>
      <c r="L23789">
        <v>36.31</v>
      </c>
      <c r="M23789">
        <v>77</v>
      </c>
      <c r="N23789">
        <v>0</v>
      </c>
      <c r="O23789">
        <v>77</v>
      </c>
      <c r="P23789">
        <v>0</v>
      </c>
    </row>
    <row r="23790" spans="1:16" x14ac:dyDescent="0.25">
      <c r="A23790" t="s">
        <v>46510</v>
      </c>
      <c r="B23790" t="s">
        <v>14118</v>
      </c>
      <c r="C23790" t="s">
        <v>14119</v>
      </c>
      <c r="D23790" t="str">
        <f>"6704"</f>
        <v>6704</v>
      </c>
      <c r="E23790" t="s">
        <v>14121</v>
      </c>
      <c r="F23790" t="s">
        <v>56</v>
      </c>
      <c r="G23790" t="s">
        <v>47093</v>
      </c>
      <c r="H23790" t="s">
        <v>47054</v>
      </c>
      <c r="I23790" t="s">
        <v>47111</v>
      </c>
      <c r="J23790" t="s">
        <v>47112</v>
      </c>
      <c r="K23790" t="s">
        <v>47113</v>
      </c>
      <c r="L23790">
        <v>36.31</v>
      </c>
      <c r="M23790">
        <v>77</v>
      </c>
      <c r="N23790">
        <v>0</v>
      </c>
      <c r="O23790">
        <v>77</v>
      </c>
      <c r="P23790">
        <v>0</v>
      </c>
    </row>
    <row r="23791" spans="1:16" x14ac:dyDescent="0.25">
      <c r="A23791" t="s">
        <v>46511</v>
      </c>
      <c r="B23791" t="s">
        <v>14118</v>
      </c>
      <c r="C23791" t="s">
        <v>14119</v>
      </c>
      <c r="D23791" t="str">
        <f>"7319"</f>
        <v>7319</v>
      </c>
      <c r="E23791" t="s">
        <v>14122</v>
      </c>
      <c r="F23791" t="s">
        <v>56</v>
      </c>
      <c r="G23791" t="s">
        <v>47093</v>
      </c>
      <c r="H23791" t="s">
        <v>47054</v>
      </c>
      <c r="I23791" t="s">
        <v>47111</v>
      </c>
      <c r="J23791" t="s">
        <v>47112</v>
      </c>
      <c r="K23791" t="s">
        <v>47113</v>
      </c>
      <c r="L23791">
        <v>36.31</v>
      </c>
      <c r="M23791">
        <v>77</v>
      </c>
      <c r="N23791">
        <v>0</v>
      </c>
      <c r="O23791">
        <v>77</v>
      </c>
      <c r="P23791">
        <v>0</v>
      </c>
    </row>
    <row r="23792" spans="1:16" x14ac:dyDescent="0.25">
      <c r="A23792" t="s">
        <v>46512</v>
      </c>
      <c r="B23792" t="s">
        <v>14118</v>
      </c>
      <c r="C23792" t="s">
        <v>14119</v>
      </c>
      <c r="D23792" t="str">
        <f>"8204"</f>
        <v>8204</v>
      </c>
      <c r="E23792" t="s">
        <v>14123</v>
      </c>
      <c r="F23792" t="s">
        <v>56</v>
      </c>
      <c r="G23792" t="s">
        <v>47093</v>
      </c>
      <c r="H23792" t="s">
        <v>47054</v>
      </c>
      <c r="I23792" t="s">
        <v>47111</v>
      </c>
      <c r="J23792" t="s">
        <v>47112</v>
      </c>
      <c r="K23792" t="s">
        <v>47113</v>
      </c>
      <c r="L23792">
        <v>36.31</v>
      </c>
      <c r="M23792">
        <v>77</v>
      </c>
      <c r="N23792">
        <v>0</v>
      </c>
      <c r="O23792">
        <v>77</v>
      </c>
      <c r="P23792">
        <v>0</v>
      </c>
    </row>
    <row r="23793" spans="1:16" x14ac:dyDescent="0.25">
      <c r="A23793" t="s">
        <v>46513</v>
      </c>
      <c r="B23793" t="s">
        <v>14124</v>
      </c>
      <c r="C23793" t="s">
        <v>14125</v>
      </c>
      <c r="D23793" t="str">
        <f>"1100"</f>
        <v>1100</v>
      </c>
      <c r="E23793" t="s">
        <v>14126</v>
      </c>
      <c r="F23793" t="s">
        <v>5</v>
      </c>
      <c r="G23793" t="s">
        <v>47093</v>
      </c>
      <c r="H23793" t="s">
        <v>47054</v>
      </c>
      <c r="I23793" t="s">
        <v>47111</v>
      </c>
      <c r="J23793" t="s">
        <v>47112</v>
      </c>
      <c r="K23793" t="s">
        <v>47113</v>
      </c>
      <c r="L23793">
        <v>47.95</v>
      </c>
      <c r="M23793">
        <v>111</v>
      </c>
      <c r="N23793">
        <v>0</v>
      </c>
      <c r="O23793">
        <v>111</v>
      </c>
      <c r="P23793">
        <v>0</v>
      </c>
    </row>
    <row r="23794" spans="1:16" x14ac:dyDescent="0.25">
      <c r="A23794" t="s">
        <v>46514</v>
      </c>
      <c r="B23794" t="s">
        <v>14124</v>
      </c>
      <c r="C23794" t="s">
        <v>14125</v>
      </c>
      <c r="D23794" t="str">
        <f>"1130"</f>
        <v>1130</v>
      </c>
      <c r="E23794" t="s">
        <v>14127</v>
      </c>
      <c r="F23794" t="s">
        <v>5</v>
      </c>
      <c r="G23794" t="s">
        <v>47093</v>
      </c>
      <c r="H23794" t="s">
        <v>47054</v>
      </c>
      <c r="I23794" t="s">
        <v>47111</v>
      </c>
      <c r="J23794" t="s">
        <v>47112</v>
      </c>
      <c r="K23794" t="s">
        <v>47113</v>
      </c>
      <c r="L23794">
        <v>47.95</v>
      </c>
      <c r="M23794">
        <v>111</v>
      </c>
      <c r="N23794">
        <v>0</v>
      </c>
      <c r="O23794">
        <v>111</v>
      </c>
      <c r="P23794">
        <v>0</v>
      </c>
    </row>
    <row r="23795" spans="1:16" x14ac:dyDescent="0.25">
      <c r="A23795" t="s">
        <v>46515</v>
      </c>
      <c r="B23795" t="s">
        <v>14124</v>
      </c>
      <c r="C23795" t="s">
        <v>14125</v>
      </c>
      <c r="D23795" t="str">
        <f>"1142"</f>
        <v>1142</v>
      </c>
      <c r="E23795" t="s">
        <v>14128</v>
      </c>
      <c r="F23795" t="s">
        <v>5</v>
      </c>
      <c r="G23795" t="s">
        <v>47093</v>
      </c>
      <c r="H23795" t="s">
        <v>47054</v>
      </c>
      <c r="I23795" t="s">
        <v>47111</v>
      </c>
      <c r="J23795" t="s">
        <v>47112</v>
      </c>
      <c r="K23795" t="s">
        <v>47113</v>
      </c>
      <c r="L23795">
        <v>47.95</v>
      </c>
      <c r="M23795">
        <v>111</v>
      </c>
      <c r="N23795">
        <v>0</v>
      </c>
      <c r="O23795">
        <v>111</v>
      </c>
      <c r="P23795">
        <v>0</v>
      </c>
    </row>
    <row r="23796" spans="1:16" x14ac:dyDescent="0.25">
      <c r="A23796" t="s">
        <v>46516</v>
      </c>
      <c r="B23796" t="s">
        <v>14124</v>
      </c>
      <c r="C23796" t="s">
        <v>14125</v>
      </c>
      <c r="D23796" t="str">
        <f>"3438"</f>
        <v>3438</v>
      </c>
      <c r="E23796" t="s">
        <v>14129</v>
      </c>
      <c r="F23796" t="s">
        <v>5</v>
      </c>
      <c r="G23796" t="s">
        <v>47093</v>
      </c>
      <c r="H23796" t="s">
        <v>47054</v>
      </c>
      <c r="I23796" t="s">
        <v>47111</v>
      </c>
      <c r="J23796" t="s">
        <v>47112</v>
      </c>
      <c r="K23796" t="s">
        <v>47113</v>
      </c>
      <c r="L23796">
        <v>47.95</v>
      </c>
      <c r="M23796">
        <v>111</v>
      </c>
      <c r="N23796">
        <v>0</v>
      </c>
      <c r="O23796">
        <v>111</v>
      </c>
      <c r="P23796">
        <v>0</v>
      </c>
    </row>
    <row r="23797" spans="1:16" x14ac:dyDescent="0.25">
      <c r="A23797" t="s">
        <v>46517</v>
      </c>
      <c r="B23797" t="s">
        <v>14124</v>
      </c>
      <c r="C23797" t="s">
        <v>14125</v>
      </c>
      <c r="D23797" t="str">
        <f>"6329"</f>
        <v>6329</v>
      </c>
      <c r="E23797" t="s">
        <v>14130</v>
      </c>
      <c r="F23797" t="s">
        <v>5</v>
      </c>
      <c r="G23797" t="s">
        <v>47093</v>
      </c>
      <c r="H23797" t="s">
        <v>47054</v>
      </c>
      <c r="I23797" t="s">
        <v>47111</v>
      </c>
      <c r="J23797" t="s">
        <v>47112</v>
      </c>
      <c r="K23797" t="s">
        <v>47113</v>
      </c>
      <c r="L23797">
        <v>47.95</v>
      </c>
      <c r="M23797">
        <v>111</v>
      </c>
      <c r="N23797">
        <v>0</v>
      </c>
      <c r="O23797">
        <v>111</v>
      </c>
      <c r="P23797">
        <v>0</v>
      </c>
    </row>
    <row r="23798" spans="1:16" x14ac:dyDescent="0.25">
      <c r="A23798" t="s">
        <v>46518</v>
      </c>
      <c r="B23798" t="s">
        <v>19432</v>
      </c>
      <c r="C23798" t="s">
        <v>19224</v>
      </c>
      <c r="D23798" t="str">
        <f>"2707"</f>
        <v>2707</v>
      </c>
      <c r="E23798" t="s">
        <v>3019</v>
      </c>
      <c r="F23798" t="s">
        <v>3750</v>
      </c>
      <c r="G23798" t="s">
        <v>47094</v>
      </c>
      <c r="H23798" t="s">
        <v>47054</v>
      </c>
      <c r="I23798" t="s">
        <v>47116</v>
      </c>
      <c r="J23798" t="s">
        <v>47117</v>
      </c>
      <c r="K23798" t="s">
        <v>47113</v>
      </c>
      <c r="L23798">
        <v>15.42</v>
      </c>
      <c r="M23798">
        <v>45</v>
      </c>
      <c r="N23798">
        <v>0</v>
      </c>
      <c r="O23798">
        <v>45</v>
      </c>
      <c r="P23798">
        <v>0</v>
      </c>
    </row>
    <row r="23799" spans="1:16" x14ac:dyDescent="0.25">
      <c r="A23799" t="s">
        <v>46519</v>
      </c>
      <c r="B23799" t="s">
        <v>19432</v>
      </c>
      <c r="C23799" t="s">
        <v>19224</v>
      </c>
      <c r="D23799" t="str">
        <f>"4739"</f>
        <v>4739</v>
      </c>
      <c r="E23799" t="s">
        <v>19433</v>
      </c>
      <c r="F23799" t="s">
        <v>3750</v>
      </c>
      <c r="G23799" t="s">
        <v>47094</v>
      </c>
      <c r="H23799" t="s">
        <v>47054</v>
      </c>
      <c r="I23799" t="s">
        <v>47116</v>
      </c>
      <c r="J23799" t="s">
        <v>47117</v>
      </c>
      <c r="K23799" t="s">
        <v>47113</v>
      </c>
      <c r="L23799">
        <v>15.42</v>
      </c>
      <c r="M23799">
        <v>45</v>
      </c>
      <c r="N23799">
        <v>0</v>
      </c>
      <c r="O23799">
        <v>45</v>
      </c>
      <c r="P23799">
        <v>0</v>
      </c>
    </row>
    <row r="23800" spans="1:16" x14ac:dyDescent="0.25">
      <c r="A23800" t="s">
        <v>46520</v>
      </c>
      <c r="B23800" t="s">
        <v>22501</v>
      </c>
      <c r="C23800" t="s">
        <v>22502</v>
      </c>
      <c r="D23800" t="str">
        <f>"1106"</f>
        <v>1106</v>
      </c>
      <c r="E23800" t="s">
        <v>460</v>
      </c>
      <c r="F23800" t="s">
        <v>3750</v>
      </c>
      <c r="G23800" t="s">
        <v>47094</v>
      </c>
      <c r="H23800" t="s">
        <v>47054</v>
      </c>
      <c r="I23800" t="s">
        <v>47118</v>
      </c>
      <c r="J23800" t="s">
        <v>47119</v>
      </c>
      <c r="K23800" t="s">
        <v>47113</v>
      </c>
      <c r="L23800">
        <v>17.2</v>
      </c>
      <c r="M23800">
        <v>63</v>
      </c>
      <c r="N23800">
        <v>169</v>
      </c>
      <c r="O23800">
        <v>63</v>
      </c>
      <c r="P23800">
        <v>169</v>
      </c>
    </row>
    <row r="23801" spans="1:16" x14ac:dyDescent="0.25">
      <c r="A23801" t="s">
        <v>46521</v>
      </c>
      <c r="B23801" t="s">
        <v>22501</v>
      </c>
      <c r="C23801" t="s">
        <v>22502</v>
      </c>
      <c r="D23801" t="str">
        <f>"2707"</f>
        <v>2707</v>
      </c>
      <c r="E23801" t="s">
        <v>3019</v>
      </c>
      <c r="F23801" t="s">
        <v>3750</v>
      </c>
      <c r="G23801" t="s">
        <v>47094</v>
      </c>
      <c r="H23801" t="s">
        <v>47054</v>
      </c>
      <c r="I23801" t="s">
        <v>47118</v>
      </c>
      <c r="J23801" t="s">
        <v>47119</v>
      </c>
      <c r="K23801" t="s">
        <v>47113</v>
      </c>
      <c r="L23801">
        <v>17.2</v>
      </c>
      <c r="M23801">
        <v>63</v>
      </c>
      <c r="N23801">
        <v>169</v>
      </c>
      <c r="O23801">
        <v>63</v>
      </c>
      <c r="P23801">
        <v>169</v>
      </c>
    </row>
    <row r="23802" spans="1:16" x14ac:dyDescent="0.25">
      <c r="A23802" t="s">
        <v>46522</v>
      </c>
      <c r="B23802" t="s">
        <v>19434</v>
      </c>
      <c r="C23802" t="s">
        <v>19226</v>
      </c>
      <c r="D23802" t="str">
        <f>"2707"</f>
        <v>2707</v>
      </c>
      <c r="E23802" t="s">
        <v>3019</v>
      </c>
      <c r="F23802" t="s">
        <v>3750</v>
      </c>
      <c r="G23802" t="s">
        <v>47095</v>
      </c>
      <c r="H23802" t="s">
        <v>47054</v>
      </c>
      <c r="I23802" t="s">
        <v>47116</v>
      </c>
      <c r="J23802" t="s">
        <v>47117</v>
      </c>
      <c r="K23802" t="s">
        <v>47113</v>
      </c>
      <c r="L23802">
        <v>11.56</v>
      </c>
      <c r="M23802">
        <v>34</v>
      </c>
      <c r="N23802">
        <v>0</v>
      </c>
      <c r="O23802">
        <v>34</v>
      </c>
      <c r="P23802">
        <v>0</v>
      </c>
    </row>
    <row r="23803" spans="1:16" x14ac:dyDescent="0.25">
      <c r="A23803" t="s">
        <v>46523</v>
      </c>
      <c r="B23803" t="s">
        <v>19434</v>
      </c>
      <c r="C23803" t="s">
        <v>19226</v>
      </c>
      <c r="D23803" t="str">
        <f>"4739"</f>
        <v>4739</v>
      </c>
      <c r="E23803" t="s">
        <v>19433</v>
      </c>
      <c r="F23803" t="s">
        <v>3750</v>
      </c>
      <c r="G23803" t="s">
        <v>47095</v>
      </c>
      <c r="H23803" t="s">
        <v>47054</v>
      </c>
      <c r="I23803" t="s">
        <v>47116</v>
      </c>
      <c r="J23803" t="s">
        <v>47117</v>
      </c>
      <c r="K23803" t="s">
        <v>47113</v>
      </c>
      <c r="L23803">
        <v>11.56</v>
      </c>
      <c r="M23803">
        <v>34</v>
      </c>
      <c r="N23803">
        <v>0</v>
      </c>
      <c r="O23803">
        <v>34</v>
      </c>
      <c r="P23803">
        <v>0</v>
      </c>
    </row>
    <row r="23804" spans="1:16" x14ac:dyDescent="0.25">
      <c r="A23804" t="s">
        <v>46524</v>
      </c>
      <c r="B23804" t="s">
        <v>46525</v>
      </c>
      <c r="C23804" t="s">
        <v>12730</v>
      </c>
      <c r="D23804" t="str">
        <f>"1106"</f>
        <v>1106</v>
      </c>
      <c r="E23804" t="s">
        <v>460</v>
      </c>
      <c r="F23804" t="s">
        <v>3750</v>
      </c>
      <c r="G23804" t="s">
        <v>47095</v>
      </c>
      <c r="H23804" t="s">
        <v>47054</v>
      </c>
      <c r="I23804" t="s">
        <v>47118</v>
      </c>
      <c r="J23804" t="s">
        <v>47119</v>
      </c>
      <c r="K23804" t="s">
        <v>47113</v>
      </c>
      <c r="L23804">
        <v>15.52</v>
      </c>
      <c r="M23804">
        <v>48</v>
      </c>
      <c r="N23804">
        <v>129</v>
      </c>
      <c r="O23804">
        <v>48</v>
      </c>
      <c r="P23804">
        <v>129</v>
      </c>
    </row>
    <row r="23805" spans="1:16" x14ac:dyDescent="0.25">
      <c r="A23805" t="s">
        <v>46526</v>
      </c>
      <c r="B23805" t="s">
        <v>46525</v>
      </c>
      <c r="C23805" t="s">
        <v>12730</v>
      </c>
      <c r="D23805" t="str">
        <f>"1473"</f>
        <v>1473</v>
      </c>
      <c r="E23805" t="s">
        <v>9579</v>
      </c>
      <c r="F23805" t="s">
        <v>3750</v>
      </c>
      <c r="G23805" t="s">
        <v>47095</v>
      </c>
      <c r="H23805" t="s">
        <v>47054</v>
      </c>
      <c r="I23805" t="s">
        <v>47118</v>
      </c>
      <c r="J23805" t="s">
        <v>47119</v>
      </c>
      <c r="K23805" t="s">
        <v>47113</v>
      </c>
      <c r="L23805">
        <v>14.17</v>
      </c>
      <c r="M23805">
        <v>48</v>
      </c>
      <c r="N23805">
        <v>129</v>
      </c>
      <c r="O23805">
        <v>48</v>
      </c>
      <c r="P23805">
        <v>129</v>
      </c>
    </row>
    <row r="23806" spans="1:16" x14ac:dyDescent="0.25">
      <c r="A23806" t="s">
        <v>46527</v>
      </c>
      <c r="B23806" t="s">
        <v>46525</v>
      </c>
      <c r="C23806" t="s">
        <v>12730</v>
      </c>
      <c r="D23806" t="str">
        <f>"2707"</f>
        <v>2707</v>
      </c>
      <c r="E23806" t="s">
        <v>3019</v>
      </c>
      <c r="F23806" t="s">
        <v>3750</v>
      </c>
      <c r="G23806" t="s">
        <v>47095</v>
      </c>
      <c r="H23806" t="s">
        <v>47054</v>
      </c>
      <c r="I23806" t="s">
        <v>47118</v>
      </c>
      <c r="J23806" t="s">
        <v>47119</v>
      </c>
      <c r="K23806" t="s">
        <v>47113</v>
      </c>
      <c r="L23806">
        <v>14.69</v>
      </c>
      <c r="M23806">
        <v>47</v>
      </c>
      <c r="N23806">
        <v>0</v>
      </c>
      <c r="O23806">
        <v>47</v>
      </c>
      <c r="P23806">
        <v>0</v>
      </c>
    </row>
    <row r="23807" spans="1:16" x14ac:dyDescent="0.25">
      <c r="A23807" t="s">
        <v>46528</v>
      </c>
      <c r="B23807" t="s">
        <v>19435</v>
      </c>
      <c r="C23807" t="s">
        <v>19436</v>
      </c>
      <c r="D23807" t="str">
        <f>"1001"</f>
        <v>1001</v>
      </c>
      <c r="E23807" t="s">
        <v>42</v>
      </c>
      <c r="F23807" t="s">
        <v>3750</v>
      </c>
      <c r="G23807" t="s">
        <v>47095</v>
      </c>
      <c r="H23807" t="s">
        <v>47054</v>
      </c>
      <c r="I23807" t="s">
        <v>47116</v>
      </c>
      <c r="J23807" t="s">
        <v>47117</v>
      </c>
      <c r="K23807" t="s">
        <v>47113</v>
      </c>
      <c r="L23807">
        <v>9.42</v>
      </c>
      <c r="M23807">
        <v>28</v>
      </c>
      <c r="N23807">
        <v>0</v>
      </c>
      <c r="O23807">
        <v>28</v>
      </c>
      <c r="P23807">
        <v>0</v>
      </c>
    </row>
    <row r="23808" spans="1:16" x14ac:dyDescent="0.25">
      <c r="A23808" t="s">
        <v>46529</v>
      </c>
      <c r="B23808" t="s">
        <v>19435</v>
      </c>
      <c r="C23808" t="s">
        <v>19436</v>
      </c>
      <c r="D23808" t="str">
        <f>"6000"</f>
        <v>6000</v>
      </c>
      <c r="E23808" t="s">
        <v>238</v>
      </c>
      <c r="F23808" t="s">
        <v>3750</v>
      </c>
      <c r="G23808" t="s">
        <v>47095</v>
      </c>
      <c r="H23808" t="s">
        <v>47054</v>
      </c>
      <c r="I23808" t="s">
        <v>47116</v>
      </c>
      <c r="J23808" t="s">
        <v>47117</v>
      </c>
      <c r="K23808" t="s">
        <v>47113</v>
      </c>
      <c r="L23808">
        <v>9.42</v>
      </c>
      <c r="M23808">
        <v>28</v>
      </c>
      <c r="N23808">
        <v>0</v>
      </c>
      <c r="O23808">
        <v>28</v>
      </c>
      <c r="P23808">
        <v>0</v>
      </c>
    </row>
    <row r="23809" spans="1:16" x14ac:dyDescent="0.25">
      <c r="A23809" t="s">
        <v>46530</v>
      </c>
      <c r="B23809" t="s">
        <v>19437</v>
      </c>
      <c r="C23809" t="s">
        <v>19438</v>
      </c>
      <c r="D23809" t="str">
        <f>"1501"</f>
        <v>1501</v>
      </c>
      <c r="E23809" t="s">
        <v>19439</v>
      </c>
      <c r="F23809" t="s">
        <v>3750</v>
      </c>
      <c r="G23809" t="s">
        <v>47094</v>
      </c>
      <c r="H23809" t="s">
        <v>47054</v>
      </c>
      <c r="I23809" t="s">
        <v>47116</v>
      </c>
      <c r="J23809" t="s">
        <v>47117</v>
      </c>
      <c r="K23809" t="s">
        <v>47113</v>
      </c>
      <c r="L23809">
        <v>12.04</v>
      </c>
      <c r="M23809">
        <v>36</v>
      </c>
      <c r="N23809">
        <v>0</v>
      </c>
      <c r="O23809">
        <v>36</v>
      </c>
      <c r="P23809">
        <v>0</v>
      </c>
    </row>
    <row r="23810" spans="1:16" x14ac:dyDescent="0.25">
      <c r="A23810" t="s">
        <v>46531</v>
      </c>
      <c r="B23810" t="s">
        <v>19437</v>
      </c>
      <c r="C23810" t="s">
        <v>19438</v>
      </c>
      <c r="D23810" t="str">
        <f>"2707"</f>
        <v>2707</v>
      </c>
      <c r="E23810" t="s">
        <v>19440</v>
      </c>
      <c r="F23810" t="s">
        <v>3750</v>
      </c>
      <c r="G23810" t="s">
        <v>47094</v>
      </c>
      <c r="H23810" t="s">
        <v>47054</v>
      </c>
      <c r="I23810" t="s">
        <v>47116</v>
      </c>
      <c r="J23810" t="s">
        <v>47117</v>
      </c>
      <c r="K23810" t="s">
        <v>47113</v>
      </c>
      <c r="L23810">
        <v>12.04</v>
      </c>
      <c r="M23810">
        <v>36</v>
      </c>
      <c r="N23810">
        <v>0</v>
      </c>
      <c r="O23810">
        <v>36</v>
      </c>
      <c r="P23810">
        <v>0</v>
      </c>
    </row>
    <row r="23811" spans="1:16" x14ac:dyDescent="0.25">
      <c r="A23811" t="s">
        <v>46532</v>
      </c>
      <c r="B23811" t="s">
        <v>19441</v>
      </c>
      <c r="C23811" t="s">
        <v>19442</v>
      </c>
      <c r="D23811" t="str">
        <f>"1001"</f>
        <v>1001</v>
      </c>
      <c r="E23811" t="s">
        <v>42</v>
      </c>
      <c r="F23811" t="s">
        <v>3750</v>
      </c>
      <c r="G23811" t="s">
        <v>47094</v>
      </c>
      <c r="H23811" t="s">
        <v>47054</v>
      </c>
      <c r="I23811" t="s">
        <v>47116</v>
      </c>
      <c r="J23811" t="s">
        <v>47117</v>
      </c>
      <c r="K23811" t="s">
        <v>47113</v>
      </c>
      <c r="L23811">
        <v>14.01</v>
      </c>
      <c r="M23811">
        <v>41</v>
      </c>
      <c r="N23811">
        <v>0</v>
      </c>
      <c r="O23811">
        <v>41</v>
      </c>
      <c r="P23811">
        <v>0</v>
      </c>
    </row>
    <row r="23812" spans="1:16" x14ac:dyDescent="0.25">
      <c r="A23812" t="s">
        <v>46533</v>
      </c>
      <c r="B23812" t="s">
        <v>19441</v>
      </c>
      <c r="C23812" t="s">
        <v>19442</v>
      </c>
      <c r="D23812" t="str">
        <f>"6000"</f>
        <v>6000</v>
      </c>
      <c r="E23812" t="s">
        <v>238</v>
      </c>
      <c r="F23812" t="s">
        <v>3750</v>
      </c>
      <c r="G23812" t="s">
        <v>47094</v>
      </c>
      <c r="H23812" t="s">
        <v>47054</v>
      </c>
      <c r="I23812" t="s">
        <v>47116</v>
      </c>
      <c r="J23812" t="s">
        <v>47117</v>
      </c>
      <c r="K23812" t="s">
        <v>47113</v>
      </c>
      <c r="L23812">
        <v>14.01</v>
      </c>
      <c r="M23812">
        <v>41</v>
      </c>
      <c r="N23812">
        <v>0</v>
      </c>
      <c r="O23812">
        <v>41</v>
      </c>
      <c r="P23812">
        <v>0</v>
      </c>
    </row>
    <row r="23813" spans="1:16" x14ac:dyDescent="0.25">
      <c r="A23813" t="s">
        <v>46534</v>
      </c>
      <c r="B23813" t="s">
        <v>19443</v>
      </c>
      <c r="C23813" t="s">
        <v>19444</v>
      </c>
      <c r="D23813" t="str">
        <f>"1501"</f>
        <v>1501</v>
      </c>
      <c r="E23813" t="s">
        <v>19439</v>
      </c>
      <c r="F23813" t="s">
        <v>3750</v>
      </c>
      <c r="G23813" t="s">
        <v>47095</v>
      </c>
      <c r="H23813" t="s">
        <v>47054</v>
      </c>
      <c r="I23813" t="s">
        <v>47116</v>
      </c>
      <c r="J23813" t="s">
        <v>47117</v>
      </c>
      <c r="K23813" t="s">
        <v>47113</v>
      </c>
      <c r="L23813">
        <v>11.21</v>
      </c>
      <c r="M23813">
        <v>33</v>
      </c>
      <c r="N23813">
        <v>0</v>
      </c>
      <c r="O23813">
        <v>33</v>
      </c>
      <c r="P23813">
        <v>0</v>
      </c>
    </row>
    <row r="23814" spans="1:16" x14ac:dyDescent="0.25">
      <c r="A23814" t="s">
        <v>46535</v>
      </c>
      <c r="B23814" t="s">
        <v>19443</v>
      </c>
      <c r="C23814" t="s">
        <v>19444</v>
      </c>
      <c r="D23814" t="str">
        <f>"2707"</f>
        <v>2707</v>
      </c>
      <c r="E23814" t="s">
        <v>19440</v>
      </c>
      <c r="F23814" t="s">
        <v>3750</v>
      </c>
      <c r="G23814" t="s">
        <v>47095</v>
      </c>
      <c r="H23814" t="s">
        <v>47054</v>
      </c>
      <c r="I23814" t="s">
        <v>47116</v>
      </c>
      <c r="J23814" t="s">
        <v>47117</v>
      </c>
      <c r="K23814" t="s">
        <v>47113</v>
      </c>
      <c r="L23814">
        <v>11.21</v>
      </c>
      <c r="M23814">
        <v>33</v>
      </c>
      <c r="N23814">
        <v>0</v>
      </c>
      <c r="O23814">
        <v>33</v>
      </c>
      <c r="P23814">
        <v>0</v>
      </c>
    </row>
    <row r="23815" spans="1:16" x14ac:dyDescent="0.25">
      <c r="A23815" t="s">
        <v>46536</v>
      </c>
      <c r="B23815" t="s">
        <v>19445</v>
      </c>
      <c r="C23815" t="s">
        <v>19446</v>
      </c>
      <c r="D23815" t="str">
        <f>"1441"</f>
        <v>1441</v>
      </c>
      <c r="E23815" t="s">
        <v>16338</v>
      </c>
      <c r="F23815" t="s">
        <v>3750</v>
      </c>
      <c r="G23815" t="s">
        <v>47095</v>
      </c>
      <c r="H23815" t="s">
        <v>47054</v>
      </c>
      <c r="I23815" t="s">
        <v>47116</v>
      </c>
      <c r="J23815" t="s">
        <v>47117</v>
      </c>
      <c r="K23815" t="s">
        <v>47113</v>
      </c>
      <c r="L23815">
        <v>12.25</v>
      </c>
      <c r="M23815">
        <v>35</v>
      </c>
      <c r="N23815">
        <v>0</v>
      </c>
      <c r="O23815">
        <v>35</v>
      </c>
      <c r="P23815">
        <v>0</v>
      </c>
    </row>
    <row r="23816" spans="1:16" x14ac:dyDescent="0.25">
      <c r="A23816" t="s">
        <v>46537</v>
      </c>
      <c r="B23816" t="s">
        <v>19445</v>
      </c>
      <c r="C23816" t="s">
        <v>19446</v>
      </c>
      <c r="D23816" t="str">
        <f>"4739"</f>
        <v>4739</v>
      </c>
      <c r="E23816" t="s">
        <v>19447</v>
      </c>
      <c r="F23816" t="s">
        <v>3750</v>
      </c>
      <c r="G23816" t="s">
        <v>47095</v>
      </c>
      <c r="H23816" t="s">
        <v>47054</v>
      </c>
      <c r="I23816" t="s">
        <v>47116</v>
      </c>
      <c r="J23816" t="s">
        <v>47117</v>
      </c>
      <c r="K23816" t="s">
        <v>47113</v>
      </c>
      <c r="L23816">
        <v>12.25</v>
      </c>
      <c r="M23816">
        <v>35</v>
      </c>
      <c r="N23816">
        <v>0</v>
      </c>
      <c r="O23816">
        <v>35</v>
      </c>
      <c r="P23816">
        <v>0</v>
      </c>
    </row>
    <row r="23817" spans="1:16" x14ac:dyDescent="0.25">
      <c r="A23817" t="s">
        <v>46538</v>
      </c>
      <c r="B23817" t="s">
        <v>16213</v>
      </c>
      <c r="C23817" t="s">
        <v>16214</v>
      </c>
      <c r="D23817" t="str">
        <f>"1100"</f>
        <v>1100</v>
      </c>
      <c r="E23817" t="s">
        <v>54</v>
      </c>
      <c r="F23817" t="s">
        <v>3750</v>
      </c>
      <c r="G23817" t="s">
        <v>47094</v>
      </c>
      <c r="H23817" t="s">
        <v>47054</v>
      </c>
      <c r="I23817" t="s">
        <v>47111</v>
      </c>
      <c r="J23817" t="s">
        <v>47112</v>
      </c>
      <c r="K23817" t="s">
        <v>47113</v>
      </c>
      <c r="L23817">
        <v>21.68</v>
      </c>
      <c r="M23817">
        <v>51</v>
      </c>
      <c r="N23817">
        <v>0</v>
      </c>
      <c r="O23817">
        <v>51</v>
      </c>
      <c r="P23817">
        <v>0</v>
      </c>
    </row>
    <row r="23818" spans="1:16" x14ac:dyDescent="0.25">
      <c r="A23818" t="s">
        <v>46539</v>
      </c>
      <c r="B23818" t="s">
        <v>16213</v>
      </c>
      <c r="C23818" t="s">
        <v>16214</v>
      </c>
      <c r="D23818" t="str">
        <f>"1700"</f>
        <v>1700</v>
      </c>
      <c r="E23818" t="s">
        <v>60</v>
      </c>
      <c r="F23818" t="s">
        <v>3750</v>
      </c>
      <c r="G23818" t="s">
        <v>47094</v>
      </c>
      <c r="H23818" t="s">
        <v>47054</v>
      </c>
      <c r="I23818" t="s">
        <v>47111</v>
      </c>
      <c r="J23818" t="s">
        <v>47112</v>
      </c>
      <c r="K23818" t="s">
        <v>47113</v>
      </c>
      <c r="L23818">
        <v>21.68</v>
      </c>
      <c r="M23818">
        <v>51</v>
      </c>
      <c r="N23818">
        <v>0</v>
      </c>
      <c r="O23818">
        <v>51</v>
      </c>
      <c r="P23818">
        <v>0</v>
      </c>
    </row>
    <row r="23819" spans="1:16" x14ac:dyDescent="0.25">
      <c r="A23819" t="s">
        <v>46540</v>
      </c>
      <c r="B23819" t="s">
        <v>22503</v>
      </c>
      <c r="C23819" t="s">
        <v>22504</v>
      </c>
      <c r="D23819" t="str">
        <f>"1001"</f>
        <v>1001</v>
      </c>
      <c r="E23819" t="s">
        <v>42</v>
      </c>
      <c r="F23819" t="s">
        <v>3750</v>
      </c>
      <c r="G23819" t="s">
        <v>47094</v>
      </c>
      <c r="H23819" t="s">
        <v>47054</v>
      </c>
      <c r="I23819" t="s">
        <v>47120</v>
      </c>
      <c r="J23819" t="s">
        <v>47121</v>
      </c>
      <c r="K23819" t="s">
        <v>47113</v>
      </c>
      <c r="L23819">
        <v>15.26</v>
      </c>
      <c r="M23819">
        <v>52</v>
      </c>
      <c r="N23819">
        <v>0</v>
      </c>
      <c r="O23819">
        <v>52</v>
      </c>
      <c r="P23819">
        <v>0</v>
      </c>
    </row>
    <row r="23820" spans="1:16" x14ac:dyDescent="0.25">
      <c r="A23820" t="s">
        <v>46541</v>
      </c>
      <c r="B23820" t="s">
        <v>22503</v>
      </c>
      <c r="C23820" t="s">
        <v>22504</v>
      </c>
      <c r="D23820" t="str">
        <f>"5105"</f>
        <v>5105</v>
      </c>
      <c r="E23820" t="s">
        <v>22505</v>
      </c>
      <c r="F23820" t="s">
        <v>3750</v>
      </c>
      <c r="G23820" t="s">
        <v>47094</v>
      </c>
      <c r="H23820" t="s">
        <v>47054</v>
      </c>
      <c r="I23820" t="s">
        <v>47120</v>
      </c>
      <c r="J23820" t="s">
        <v>47121</v>
      </c>
      <c r="K23820" t="s">
        <v>47113</v>
      </c>
      <c r="L23820">
        <v>15.26</v>
      </c>
      <c r="M23820">
        <v>52</v>
      </c>
      <c r="N23820">
        <v>0</v>
      </c>
      <c r="O23820">
        <v>52</v>
      </c>
      <c r="P23820">
        <v>0</v>
      </c>
    </row>
    <row r="23821" spans="1:16" x14ac:dyDescent="0.25">
      <c r="A23821" t="s">
        <v>46542</v>
      </c>
      <c r="B23821" t="s">
        <v>46543</v>
      </c>
      <c r="C23821" t="s">
        <v>45808</v>
      </c>
      <c r="D23821" t="str">
        <f>"1001"</f>
        <v>1001</v>
      </c>
      <c r="E23821" t="s">
        <v>42</v>
      </c>
      <c r="F23821" t="s">
        <v>3750</v>
      </c>
      <c r="G23821" t="s">
        <v>47095</v>
      </c>
      <c r="H23821" t="s">
        <v>47054</v>
      </c>
      <c r="I23821" t="s">
        <v>47118</v>
      </c>
      <c r="J23821" t="s">
        <v>47119</v>
      </c>
      <c r="K23821" t="s">
        <v>47113</v>
      </c>
      <c r="L23821">
        <v>14.73</v>
      </c>
      <c r="M23821">
        <v>48</v>
      </c>
      <c r="N23821">
        <v>129</v>
      </c>
      <c r="O23821">
        <v>48</v>
      </c>
      <c r="P23821">
        <v>129</v>
      </c>
    </row>
    <row r="23822" spans="1:16" x14ac:dyDescent="0.25">
      <c r="A23822" t="s">
        <v>46544</v>
      </c>
      <c r="B23822" t="s">
        <v>46543</v>
      </c>
      <c r="C23822" t="s">
        <v>45808</v>
      </c>
      <c r="D23822" t="str">
        <f>"1501"</f>
        <v>1501</v>
      </c>
      <c r="E23822" t="s">
        <v>46</v>
      </c>
      <c r="F23822" t="s">
        <v>3750</v>
      </c>
      <c r="G23822" t="s">
        <v>47095</v>
      </c>
      <c r="H23822" t="s">
        <v>47054</v>
      </c>
      <c r="I23822" t="s">
        <v>47118</v>
      </c>
      <c r="J23822" t="s">
        <v>47119</v>
      </c>
      <c r="K23822" t="s">
        <v>47113</v>
      </c>
      <c r="L23822">
        <v>14.73</v>
      </c>
      <c r="M23822">
        <v>48</v>
      </c>
      <c r="N23822">
        <v>129</v>
      </c>
      <c r="O23822">
        <v>48</v>
      </c>
      <c r="P23822">
        <v>129</v>
      </c>
    </row>
    <row r="23823" spans="1:16" x14ac:dyDescent="0.25">
      <c r="A23823" t="s">
        <v>46545</v>
      </c>
      <c r="B23823" t="s">
        <v>16215</v>
      </c>
      <c r="C23823" t="s">
        <v>16216</v>
      </c>
      <c r="D23823" t="str">
        <f>"1501"</f>
        <v>1501</v>
      </c>
      <c r="E23823" t="s">
        <v>46</v>
      </c>
      <c r="F23823" t="s">
        <v>3750</v>
      </c>
      <c r="G23823" t="s">
        <v>47097</v>
      </c>
      <c r="H23823" t="s">
        <v>47054</v>
      </c>
      <c r="I23823" t="s">
        <v>47111</v>
      </c>
      <c r="J23823" t="s">
        <v>47112</v>
      </c>
      <c r="K23823" t="s">
        <v>47113</v>
      </c>
      <c r="L23823">
        <v>19.27</v>
      </c>
      <c r="M23823">
        <v>44</v>
      </c>
      <c r="N23823">
        <v>0</v>
      </c>
      <c r="O23823">
        <v>44</v>
      </c>
      <c r="P23823">
        <v>0</v>
      </c>
    </row>
    <row r="23824" spans="1:16" x14ac:dyDescent="0.25">
      <c r="A23824" t="s">
        <v>46546</v>
      </c>
      <c r="B23824" t="s">
        <v>16215</v>
      </c>
      <c r="C23824" t="s">
        <v>16216</v>
      </c>
      <c r="D23824" t="str">
        <f>"1700"</f>
        <v>1700</v>
      </c>
      <c r="E23824" t="s">
        <v>60</v>
      </c>
      <c r="F23824" t="s">
        <v>3750</v>
      </c>
      <c r="G23824" t="s">
        <v>47097</v>
      </c>
      <c r="H23824" t="s">
        <v>47054</v>
      </c>
      <c r="I23824" t="s">
        <v>47111</v>
      </c>
      <c r="J23824" t="s">
        <v>47112</v>
      </c>
      <c r="K23824" t="s">
        <v>47113</v>
      </c>
      <c r="L23824">
        <v>19.27</v>
      </c>
      <c r="M23824">
        <v>44</v>
      </c>
      <c r="N23824">
        <v>0</v>
      </c>
      <c r="O23824">
        <v>44</v>
      </c>
      <c r="P23824">
        <v>0</v>
      </c>
    </row>
    <row r="23825" spans="1:16" x14ac:dyDescent="0.25">
      <c r="A23825" t="s">
        <v>46547</v>
      </c>
      <c r="B23825" t="s">
        <v>16217</v>
      </c>
      <c r="C23825" t="s">
        <v>19448</v>
      </c>
      <c r="D23825" t="str">
        <f>"1100"</f>
        <v>1100</v>
      </c>
      <c r="E23825" t="s">
        <v>54</v>
      </c>
      <c r="F23825" t="s">
        <v>3750</v>
      </c>
      <c r="G23825" t="s">
        <v>47094</v>
      </c>
      <c r="H23825" t="s">
        <v>47054</v>
      </c>
      <c r="I23825" t="s">
        <v>47111</v>
      </c>
      <c r="J23825" t="s">
        <v>47112</v>
      </c>
      <c r="K23825" t="s">
        <v>47113</v>
      </c>
      <c r="L23825">
        <v>19.27</v>
      </c>
      <c r="M23825">
        <v>40</v>
      </c>
      <c r="N23825">
        <v>0</v>
      </c>
      <c r="O23825">
        <v>40</v>
      </c>
      <c r="P23825">
        <v>0</v>
      </c>
    </row>
    <row r="23826" spans="1:16" x14ac:dyDescent="0.25">
      <c r="A23826" t="s">
        <v>46548</v>
      </c>
      <c r="B23826" t="s">
        <v>16217</v>
      </c>
      <c r="C23826" t="s">
        <v>19448</v>
      </c>
      <c r="D23826" t="str">
        <f>"5146"</f>
        <v>5146</v>
      </c>
      <c r="E23826" t="s">
        <v>13973</v>
      </c>
      <c r="F23826" t="s">
        <v>3750</v>
      </c>
      <c r="G23826" t="s">
        <v>47094</v>
      </c>
      <c r="H23826" t="s">
        <v>47054</v>
      </c>
      <c r="I23826" t="s">
        <v>47111</v>
      </c>
      <c r="J23826" t="s">
        <v>47112</v>
      </c>
      <c r="K23826" t="s">
        <v>47113</v>
      </c>
      <c r="L23826">
        <v>19.27</v>
      </c>
      <c r="M23826">
        <v>40</v>
      </c>
      <c r="N23826">
        <v>0</v>
      </c>
      <c r="O23826">
        <v>40</v>
      </c>
      <c r="P23826">
        <v>0</v>
      </c>
    </row>
    <row r="23827" spans="1:16" x14ac:dyDescent="0.25">
      <c r="A23827" t="s">
        <v>46549</v>
      </c>
      <c r="B23827" t="s">
        <v>16218</v>
      </c>
      <c r="C23827" t="s">
        <v>19449</v>
      </c>
      <c r="D23827" t="str">
        <f>"1501"</f>
        <v>1501</v>
      </c>
      <c r="E23827" t="s">
        <v>46</v>
      </c>
      <c r="F23827" t="s">
        <v>3750</v>
      </c>
      <c r="G23827" t="s">
        <v>47094</v>
      </c>
      <c r="H23827" t="s">
        <v>47054</v>
      </c>
      <c r="I23827" t="s">
        <v>47111</v>
      </c>
      <c r="J23827" t="s">
        <v>47112</v>
      </c>
      <c r="K23827" t="s">
        <v>47113</v>
      </c>
      <c r="L23827">
        <v>20.58</v>
      </c>
      <c r="M23827">
        <v>48</v>
      </c>
      <c r="N23827">
        <v>0</v>
      </c>
      <c r="O23827">
        <v>48</v>
      </c>
      <c r="P23827">
        <v>0</v>
      </c>
    </row>
    <row r="23828" spans="1:16" x14ac:dyDescent="0.25">
      <c r="A23828" t="s">
        <v>46550</v>
      </c>
      <c r="B23828" t="s">
        <v>19450</v>
      </c>
      <c r="C23828" t="s">
        <v>19451</v>
      </c>
      <c r="D23828" t="str">
        <f>"1001"</f>
        <v>1001</v>
      </c>
      <c r="E23828" t="s">
        <v>42</v>
      </c>
      <c r="F23828" t="s">
        <v>3750</v>
      </c>
      <c r="G23828" t="s">
        <v>47095</v>
      </c>
      <c r="H23828" t="s">
        <v>47054</v>
      </c>
      <c r="I23828" t="s">
        <v>47569</v>
      </c>
      <c r="J23828" t="s">
        <v>47570</v>
      </c>
      <c r="K23828" t="s">
        <v>47113</v>
      </c>
      <c r="L23828">
        <v>17.27</v>
      </c>
      <c r="M23828">
        <v>49</v>
      </c>
      <c r="N23828">
        <v>0</v>
      </c>
      <c r="O23828">
        <v>49</v>
      </c>
      <c r="P23828">
        <v>0</v>
      </c>
    </row>
    <row r="23829" spans="1:16" x14ac:dyDescent="0.25">
      <c r="A23829" t="s">
        <v>46551</v>
      </c>
      <c r="B23829" t="s">
        <v>19450</v>
      </c>
      <c r="C23829" t="s">
        <v>19451</v>
      </c>
      <c r="D23829" t="str">
        <f>"6202"</f>
        <v>6202</v>
      </c>
      <c r="E23829" t="s">
        <v>814</v>
      </c>
      <c r="F23829" t="s">
        <v>3750</v>
      </c>
      <c r="G23829" t="s">
        <v>47095</v>
      </c>
      <c r="H23829" t="s">
        <v>47054</v>
      </c>
      <c r="I23829" t="s">
        <v>47569</v>
      </c>
      <c r="J23829" t="s">
        <v>47570</v>
      </c>
      <c r="K23829" t="s">
        <v>47113</v>
      </c>
      <c r="L23829">
        <v>17.27</v>
      </c>
      <c r="M23829">
        <v>49</v>
      </c>
      <c r="N23829">
        <v>0</v>
      </c>
      <c r="O23829">
        <v>49</v>
      </c>
      <c r="P23829">
        <v>0</v>
      </c>
    </row>
    <row r="23830" spans="1:16" x14ac:dyDescent="0.25">
      <c r="A23830" t="s">
        <v>46552</v>
      </c>
      <c r="B23830" t="s">
        <v>19452</v>
      </c>
      <c r="C23830" t="s">
        <v>19453</v>
      </c>
      <c r="D23830" t="str">
        <f>"1001"</f>
        <v>1001</v>
      </c>
      <c r="E23830" t="s">
        <v>42</v>
      </c>
      <c r="F23830" t="s">
        <v>3750</v>
      </c>
      <c r="G23830" t="s">
        <v>47094</v>
      </c>
      <c r="H23830" t="s">
        <v>47054</v>
      </c>
      <c r="I23830" t="s">
        <v>47569</v>
      </c>
      <c r="J23830" t="s">
        <v>47570</v>
      </c>
      <c r="K23830" t="s">
        <v>47113</v>
      </c>
      <c r="L23830">
        <v>12.1</v>
      </c>
      <c r="M23830">
        <v>34</v>
      </c>
      <c r="N23830">
        <v>0</v>
      </c>
      <c r="O23830">
        <v>34</v>
      </c>
      <c r="P23830">
        <v>0</v>
      </c>
    </row>
    <row r="23831" spans="1:16" x14ac:dyDescent="0.25">
      <c r="A23831" t="s">
        <v>46553</v>
      </c>
      <c r="B23831" t="s">
        <v>19454</v>
      </c>
      <c r="C23831" t="s">
        <v>19455</v>
      </c>
      <c r="D23831" t="str">
        <f>"1001"</f>
        <v>1001</v>
      </c>
      <c r="E23831" t="s">
        <v>19456</v>
      </c>
      <c r="F23831" t="s">
        <v>3750</v>
      </c>
      <c r="G23831" t="s">
        <v>47095</v>
      </c>
      <c r="H23831" t="s">
        <v>47054</v>
      </c>
      <c r="I23831" t="s">
        <v>47116</v>
      </c>
      <c r="J23831" t="s">
        <v>47117</v>
      </c>
      <c r="K23831" t="s">
        <v>47113</v>
      </c>
      <c r="L23831">
        <v>11.72</v>
      </c>
      <c r="M23831">
        <v>33</v>
      </c>
      <c r="N23831">
        <v>0</v>
      </c>
      <c r="O23831">
        <v>33</v>
      </c>
      <c r="P23831">
        <v>0</v>
      </c>
    </row>
    <row r="23832" spans="1:16" x14ac:dyDescent="0.25">
      <c r="A23832" t="s">
        <v>46554</v>
      </c>
      <c r="B23832" t="s">
        <v>19454</v>
      </c>
      <c r="C23832" t="s">
        <v>19455</v>
      </c>
      <c r="D23832" t="str">
        <f>"1096"</f>
        <v>1096</v>
      </c>
      <c r="E23832" t="s">
        <v>4744</v>
      </c>
      <c r="F23832" t="s">
        <v>3750</v>
      </c>
      <c r="G23832" t="s">
        <v>47095</v>
      </c>
      <c r="H23832" t="s">
        <v>47054</v>
      </c>
      <c r="I23832" t="s">
        <v>47116</v>
      </c>
      <c r="J23832" t="s">
        <v>47117</v>
      </c>
      <c r="K23832" t="s">
        <v>47113</v>
      </c>
      <c r="L23832">
        <v>11.72</v>
      </c>
      <c r="M23832">
        <v>33</v>
      </c>
      <c r="N23832">
        <v>0</v>
      </c>
      <c r="O23832">
        <v>33</v>
      </c>
      <c r="P23832">
        <v>0</v>
      </c>
    </row>
    <row r="23833" spans="1:16" x14ac:dyDescent="0.25">
      <c r="A23833" t="s">
        <v>46555</v>
      </c>
      <c r="B23833" t="s">
        <v>19457</v>
      </c>
      <c r="C23833" t="s">
        <v>19458</v>
      </c>
      <c r="D23833" t="str">
        <f>"1001"</f>
        <v>1001</v>
      </c>
      <c r="E23833" t="s">
        <v>42</v>
      </c>
      <c r="F23833" t="s">
        <v>3750</v>
      </c>
      <c r="G23833" t="s">
        <v>47102</v>
      </c>
      <c r="H23833" t="s">
        <v>47054</v>
      </c>
      <c r="I23833" t="s">
        <v>47118</v>
      </c>
      <c r="J23833" t="s">
        <v>47119</v>
      </c>
      <c r="K23833" t="s">
        <v>47113</v>
      </c>
      <c r="L23833">
        <v>74.37</v>
      </c>
      <c r="M23833">
        <v>211</v>
      </c>
      <c r="N23833">
        <v>0</v>
      </c>
      <c r="O23833">
        <v>211</v>
      </c>
      <c r="P23833">
        <v>0</v>
      </c>
    </row>
    <row r="23834" spans="1:16" x14ac:dyDescent="0.25">
      <c r="A23834" t="s">
        <v>46556</v>
      </c>
      <c r="B23834" t="s">
        <v>22506</v>
      </c>
      <c r="C23834" t="s">
        <v>22507</v>
      </c>
      <c r="D23834" t="str">
        <f>"1001"</f>
        <v>1001</v>
      </c>
      <c r="E23834" t="s">
        <v>42</v>
      </c>
      <c r="F23834" t="s">
        <v>3750</v>
      </c>
      <c r="G23834" t="s">
        <v>47101</v>
      </c>
      <c r="H23834" t="s">
        <v>47054</v>
      </c>
      <c r="I23834" t="s">
        <v>47118</v>
      </c>
      <c r="J23834" t="s">
        <v>47119</v>
      </c>
      <c r="K23834" t="s">
        <v>47113</v>
      </c>
      <c r="L23834">
        <v>13.56</v>
      </c>
      <c r="M23834">
        <v>48</v>
      </c>
      <c r="N23834">
        <v>0</v>
      </c>
      <c r="O23834">
        <v>48</v>
      </c>
      <c r="P23834">
        <v>0</v>
      </c>
    </row>
    <row r="23835" spans="1:16" x14ac:dyDescent="0.25">
      <c r="A23835" t="s">
        <v>46557</v>
      </c>
      <c r="B23835" t="s">
        <v>22506</v>
      </c>
      <c r="C23835" t="s">
        <v>22507</v>
      </c>
      <c r="D23835" t="str">
        <f>"1700"</f>
        <v>1700</v>
      </c>
      <c r="E23835" t="s">
        <v>60</v>
      </c>
      <c r="F23835" t="s">
        <v>3750</v>
      </c>
      <c r="G23835" t="s">
        <v>47101</v>
      </c>
      <c r="H23835" t="s">
        <v>47054</v>
      </c>
      <c r="I23835" t="s">
        <v>47118</v>
      </c>
      <c r="J23835" t="s">
        <v>47119</v>
      </c>
      <c r="K23835" t="s">
        <v>47113</v>
      </c>
      <c r="L23835">
        <v>13.56</v>
      </c>
      <c r="M23835">
        <v>48</v>
      </c>
      <c r="N23835">
        <v>0</v>
      </c>
      <c r="O23835">
        <v>48</v>
      </c>
      <c r="P23835">
        <v>0</v>
      </c>
    </row>
    <row r="23836" spans="1:16" x14ac:dyDescent="0.25">
      <c r="A23836" t="s">
        <v>50018</v>
      </c>
      <c r="B23836" t="s">
        <v>50019</v>
      </c>
      <c r="C23836" t="s">
        <v>50020</v>
      </c>
      <c r="D23836" t="str">
        <f>"1700"</f>
        <v>1700</v>
      </c>
      <c r="E23836" t="s">
        <v>60</v>
      </c>
      <c r="F23836" t="s">
        <v>47163</v>
      </c>
      <c r="G23836" t="s">
        <v>47101</v>
      </c>
      <c r="H23836" t="s">
        <v>47054</v>
      </c>
      <c r="I23836" t="s">
        <v>47118</v>
      </c>
      <c r="J23836" t="s">
        <v>47119</v>
      </c>
      <c r="K23836" t="s">
        <v>47113</v>
      </c>
      <c r="L23836">
        <v>13.63</v>
      </c>
      <c r="M23836">
        <v>51</v>
      </c>
      <c r="N23836">
        <v>139</v>
      </c>
      <c r="O23836">
        <v>51</v>
      </c>
      <c r="P23836">
        <v>139</v>
      </c>
    </row>
    <row r="23837" spans="1:16" x14ac:dyDescent="0.25">
      <c r="A23837" t="s">
        <v>46558</v>
      </c>
      <c r="B23837" t="s">
        <v>19459</v>
      </c>
      <c r="C23837" t="s">
        <v>19460</v>
      </c>
      <c r="D23837" t="str">
        <f>"5101"</f>
        <v>5101</v>
      </c>
      <c r="E23837" t="s">
        <v>19461</v>
      </c>
      <c r="F23837" t="s">
        <v>3750</v>
      </c>
      <c r="G23837" t="s">
        <v>47101</v>
      </c>
      <c r="H23837" t="s">
        <v>47054</v>
      </c>
      <c r="I23837" t="s">
        <v>47118</v>
      </c>
      <c r="J23837" t="s">
        <v>47119</v>
      </c>
      <c r="K23837" t="s">
        <v>47113</v>
      </c>
      <c r="L23837">
        <v>12.78</v>
      </c>
      <c r="M23837">
        <v>36</v>
      </c>
      <c r="N23837">
        <v>0</v>
      </c>
      <c r="O23837">
        <v>36</v>
      </c>
      <c r="P23837">
        <v>0</v>
      </c>
    </row>
    <row r="23838" spans="1:16" x14ac:dyDescent="0.25">
      <c r="A23838" t="s">
        <v>46559</v>
      </c>
      <c r="B23838" t="s">
        <v>19459</v>
      </c>
      <c r="C23838" t="s">
        <v>19460</v>
      </c>
      <c r="D23838" t="str">
        <f>"6213"</f>
        <v>6213</v>
      </c>
      <c r="E23838" t="s">
        <v>19462</v>
      </c>
      <c r="F23838" t="s">
        <v>3750</v>
      </c>
      <c r="G23838" t="s">
        <v>47101</v>
      </c>
      <c r="H23838" t="s">
        <v>47054</v>
      </c>
      <c r="I23838" t="s">
        <v>47118</v>
      </c>
      <c r="J23838" t="s">
        <v>47119</v>
      </c>
      <c r="K23838" t="s">
        <v>47113</v>
      </c>
      <c r="L23838">
        <v>11.83</v>
      </c>
      <c r="M23838">
        <v>33</v>
      </c>
      <c r="N23838">
        <v>0</v>
      </c>
      <c r="O23838">
        <v>33</v>
      </c>
      <c r="P23838">
        <v>0</v>
      </c>
    </row>
    <row r="23839" spans="1:16" x14ac:dyDescent="0.25">
      <c r="A23839" t="s">
        <v>46560</v>
      </c>
      <c r="B23839" t="s">
        <v>22508</v>
      </c>
      <c r="C23839" t="s">
        <v>22509</v>
      </c>
      <c r="D23839" t="str">
        <f>"4531"</f>
        <v>4531</v>
      </c>
      <c r="E23839" t="s">
        <v>22510</v>
      </c>
      <c r="F23839" t="s">
        <v>3750</v>
      </c>
      <c r="G23839" t="s">
        <v>47101</v>
      </c>
      <c r="H23839" t="s">
        <v>47054</v>
      </c>
      <c r="I23839" t="s">
        <v>47118</v>
      </c>
      <c r="J23839" t="s">
        <v>47119</v>
      </c>
      <c r="K23839" t="s">
        <v>47113</v>
      </c>
      <c r="L23839">
        <v>15.81</v>
      </c>
      <c r="M23839">
        <v>52</v>
      </c>
      <c r="N23839">
        <v>0</v>
      </c>
      <c r="O23839">
        <v>52</v>
      </c>
      <c r="P23839">
        <v>0</v>
      </c>
    </row>
    <row r="23840" spans="1:16" x14ac:dyDescent="0.25">
      <c r="A23840" t="s">
        <v>46561</v>
      </c>
      <c r="B23840" t="s">
        <v>22511</v>
      </c>
      <c r="C23840" t="s">
        <v>22512</v>
      </c>
      <c r="D23840" t="str">
        <f>"6003"</f>
        <v>6003</v>
      </c>
      <c r="E23840" t="s">
        <v>22513</v>
      </c>
      <c r="F23840" t="s">
        <v>3750</v>
      </c>
      <c r="G23840" t="s">
        <v>47101</v>
      </c>
      <c r="H23840" t="s">
        <v>47054</v>
      </c>
      <c r="I23840" t="s">
        <v>47118</v>
      </c>
      <c r="J23840" t="s">
        <v>47119</v>
      </c>
      <c r="K23840" t="s">
        <v>47113</v>
      </c>
      <c r="L23840">
        <v>12.46</v>
      </c>
      <c r="M23840">
        <v>21</v>
      </c>
      <c r="N23840">
        <v>0</v>
      </c>
      <c r="O23840">
        <v>21</v>
      </c>
      <c r="P23840">
        <v>0</v>
      </c>
    </row>
    <row r="23841" spans="1:16" x14ac:dyDescent="0.25">
      <c r="A23841" t="s">
        <v>46562</v>
      </c>
      <c r="B23841" t="s">
        <v>22514</v>
      </c>
      <c r="C23841" t="s">
        <v>22515</v>
      </c>
      <c r="D23841" t="str">
        <f>"5000"</f>
        <v>5000</v>
      </c>
      <c r="E23841" t="s">
        <v>9881</v>
      </c>
      <c r="F23841" t="s">
        <v>3750</v>
      </c>
      <c r="G23841" t="s">
        <v>47129</v>
      </c>
      <c r="H23841" t="s">
        <v>47054</v>
      </c>
      <c r="I23841" t="s">
        <v>47120</v>
      </c>
      <c r="J23841" t="s">
        <v>47121</v>
      </c>
      <c r="K23841" t="s">
        <v>47113</v>
      </c>
      <c r="L23841">
        <v>14.48</v>
      </c>
      <c r="M23841">
        <v>41</v>
      </c>
      <c r="N23841">
        <v>0</v>
      </c>
      <c r="O23841">
        <v>41</v>
      </c>
      <c r="P23841">
        <v>0</v>
      </c>
    </row>
    <row r="23842" spans="1:16" x14ac:dyDescent="0.25">
      <c r="A23842" t="s">
        <v>46563</v>
      </c>
      <c r="B23842" t="s">
        <v>16219</v>
      </c>
      <c r="C23842" t="s">
        <v>19449</v>
      </c>
      <c r="D23842" t="str">
        <f>"2723"</f>
        <v>2723</v>
      </c>
      <c r="E23842" t="s">
        <v>16220</v>
      </c>
      <c r="F23842" t="s">
        <v>3750</v>
      </c>
      <c r="G23842" t="s">
        <v>47094</v>
      </c>
      <c r="H23842" t="s">
        <v>47054</v>
      </c>
      <c r="I23842" t="s">
        <v>47111</v>
      </c>
      <c r="J23842" t="s">
        <v>47112</v>
      </c>
      <c r="K23842" t="s">
        <v>47113</v>
      </c>
      <c r="L23842">
        <v>20.14</v>
      </c>
      <c r="M23842">
        <v>48</v>
      </c>
      <c r="N23842">
        <v>0</v>
      </c>
      <c r="O23842">
        <v>48</v>
      </c>
      <c r="P23842">
        <v>0</v>
      </c>
    </row>
    <row r="23843" spans="1:16" x14ac:dyDescent="0.25">
      <c r="A23843" t="s">
        <v>46564</v>
      </c>
      <c r="B23843" t="s">
        <v>22516</v>
      </c>
      <c r="C23843" t="s">
        <v>22517</v>
      </c>
      <c r="D23843" t="str">
        <f>"1096"</f>
        <v>1096</v>
      </c>
      <c r="E23843" t="s">
        <v>4744</v>
      </c>
      <c r="F23843" t="s">
        <v>3750</v>
      </c>
      <c r="G23843" t="s">
        <v>47095</v>
      </c>
      <c r="H23843" t="s">
        <v>47054</v>
      </c>
      <c r="I23843" t="s">
        <v>47120</v>
      </c>
      <c r="J23843" t="s">
        <v>47121</v>
      </c>
      <c r="K23843" t="s">
        <v>47113</v>
      </c>
      <c r="L23843">
        <v>13.08</v>
      </c>
      <c r="M23843">
        <v>24</v>
      </c>
      <c r="N23843">
        <v>0</v>
      </c>
      <c r="O23843">
        <v>24</v>
      </c>
      <c r="P23843">
        <v>0</v>
      </c>
    </row>
    <row r="23844" spans="1:16" x14ac:dyDescent="0.25">
      <c r="A23844" t="s">
        <v>46565</v>
      </c>
      <c r="B23844" t="s">
        <v>22516</v>
      </c>
      <c r="C23844" t="s">
        <v>22517</v>
      </c>
      <c r="D23844" t="str">
        <f>"1100"</f>
        <v>1100</v>
      </c>
      <c r="E23844" t="s">
        <v>22518</v>
      </c>
      <c r="F23844" t="s">
        <v>3750</v>
      </c>
      <c r="G23844" t="s">
        <v>47095</v>
      </c>
      <c r="H23844" t="s">
        <v>47054</v>
      </c>
      <c r="I23844" t="s">
        <v>47120</v>
      </c>
      <c r="J23844" t="s">
        <v>47121</v>
      </c>
      <c r="K23844" t="s">
        <v>47113</v>
      </c>
      <c r="L23844">
        <v>13.08</v>
      </c>
      <c r="M23844">
        <v>24</v>
      </c>
      <c r="N23844">
        <v>0</v>
      </c>
      <c r="O23844">
        <v>24</v>
      </c>
      <c r="P23844">
        <v>0</v>
      </c>
    </row>
    <row r="23845" spans="1:16" x14ac:dyDescent="0.25">
      <c r="A23845" t="s">
        <v>46566</v>
      </c>
      <c r="B23845" t="s">
        <v>46567</v>
      </c>
      <c r="C23845" t="s">
        <v>46568</v>
      </c>
      <c r="D23845" t="str">
        <f>"1001"</f>
        <v>1001</v>
      </c>
      <c r="E23845" t="s">
        <v>46569</v>
      </c>
      <c r="F23845" t="s">
        <v>3750</v>
      </c>
      <c r="G23845" t="s">
        <v>47094</v>
      </c>
      <c r="H23845" t="s">
        <v>47054</v>
      </c>
      <c r="I23845" t="s">
        <v>47118</v>
      </c>
      <c r="J23845" t="s">
        <v>47119</v>
      </c>
      <c r="K23845" t="s">
        <v>47113</v>
      </c>
      <c r="L23845">
        <v>21.2</v>
      </c>
      <c r="M23845">
        <v>70</v>
      </c>
      <c r="N23845">
        <v>189</v>
      </c>
      <c r="O23845">
        <v>70</v>
      </c>
      <c r="P23845">
        <v>189</v>
      </c>
    </row>
    <row r="23846" spans="1:16" x14ac:dyDescent="0.25">
      <c r="A23846" t="s">
        <v>46570</v>
      </c>
      <c r="B23846" t="s">
        <v>46567</v>
      </c>
      <c r="C23846" t="s">
        <v>46568</v>
      </c>
      <c r="D23846" t="str">
        <f>"1501"</f>
        <v>1501</v>
      </c>
      <c r="E23846" t="s">
        <v>46571</v>
      </c>
      <c r="F23846" t="s">
        <v>3750</v>
      </c>
      <c r="G23846" t="s">
        <v>47094</v>
      </c>
      <c r="H23846" t="s">
        <v>47054</v>
      </c>
      <c r="I23846" t="s">
        <v>47118</v>
      </c>
      <c r="J23846" t="s">
        <v>47119</v>
      </c>
      <c r="K23846" t="s">
        <v>47113</v>
      </c>
      <c r="L23846">
        <v>21.2</v>
      </c>
      <c r="M23846">
        <v>70</v>
      </c>
      <c r="N23846">
        <v>189</v>
      </c>
      <c r="O23846">
        <v>70</v>
      </c>
      <c r="P23846">
        <v>189</v>
      </c>
    </row>
    <row r="23847" spans="1:16" x14ac:dyDescent="0.25">
      <c r="A23847" t="s">
        <v>46572</v>
      </c>
      <c r="B23847" t="s">
        <v>22519</v>
      </c>
      <c r="C23847" t="s">
        <v>22520</v>
      </c>
      <c r="D23847" t="str">
        <f>"1096"</f>
        <v>1096</v>
      </c>
      <c r="E23847" t="s">
        <v>4744</v>
      </c>
      <c r="F23847" t="s">
        <v>3750</v>
      </c>
      <c r="G23847" t="s">
        <v>47094</v>
      </c>
      <c r="H23847" t="s">
        <v>47054</v>
      </c>
      <c r="I23847" t="s">
        <v>47120</v>
      </c>
      <c r="J23847" t="s">
        <v>47121</v>
      </c>
      <c r="K23847" t="s">
        <v>47113</v>
      </c>
      <c r="L23847">
        <v>16.71</v>
      </c>
      <c r="M23847">
        <v>21</v>
      </c>
      <c r="N23847">
        <v>0</v>
      </c>
      <c r="O23847">
        <v>21</v>
      </c>
      <c r="P23847">
        <v>0</v>
      </c>
    </row>
    <row r="23848" spans="1:16" x14ac:dyDescent="0.25">
      <c r="A23848" t="s">
        <v>46573</v>
      </c>
      <c r="B23848" t="s">
        <v>22519</v>
      </c>
      <c r="C23848" t="s">
        <v>22520</v>
      </c>
      <c r="D23848" t="str">
        <f>"1100"</f>
        <v>1100</v>
      </c>
      <c r="E23848" t="s">
        <v>22518</v>
      </c>
      <c r="F23848" t="s">
        <v>3750</v>
      </c>
      <c r="G23848" t="s">
        <v>47094</v>
      </c>
      <c r="H23848" t="s">
        <v>47054</v>
      </c>
      <c r="I23848" t="s">
        <v>47120</v>
      </c>
      <c r="J23848" t="s">
        <v>47121</v>
      </c>
      <c r="K23848" t="s">
        <v>47113</v>
      </c>
      <c r="L23848">
        <v>16.71</v>
      </c>
      <c r="M23848">
        <v>21</v>
      </c>
      <c r="N23848">
        <v>0</v>
      </c>
      <c r="O23848">
        <v>21</v>
      </c>
      <c r="P23848">
        <v>0</v>
      </c>
    </row>
    <row r="23849" spans="1:16" x14ac:dyDescent="0.25">
      <c r="A23849" t="s">
        <v>46574</v>
      </c>
      <c r="B23849" t="s">
        <v>22521</v>
      </c>
      <c r="C23849" t="s">
        <v>22522</v>
      </c>
      <c r="D23849" t="str">
        <f>"1001"</f>
        <v>1001</v>
      </c>
      <c r="E23849" t="s">
        <v>42</v>
      </c>
      <c r="F23849" t="s">
        <v>3750</v>
      </c>
      <c r="G23849" t="s">
        <v>47095</v>
      </c>
      <c r="H23849" t="s">
        <v>47054</v>
      </c>
      <c r="I23849" t="s">
        <v>47118</v>
      </c>
      <c r="J23849" t="s">
        <v>47119</v>
      </c>
      <c r="K23849" t="s">
        <v>47113</v>
      </c>
      <c r="L23849">
        <v>14.07</v>
      </c>
      <c r="M23849">
        <v>48</v>
      </c>
      <c r="N23849">
        <v>0</v>
      </c>
      <c r="O23849">
        <v>48</v>
      </c>
      <c r="P23849">
        <v>0</v>
      </c>
    </row>
    <row r="23850" spans="1:16" x14ac:dyDescent="0.25">
      <c r="A23850" t="s">
        <v>46575</v>
      </c>
      <c r="B23850" t="s">
        <v>22521</v>
      </c>
      <c r="C23850" t="s">
        <v>22522</v>
      </c>
      <c r="D23850" t="str">
        <f>"4819"</f>
        <v>4819</v>
      </c>
      <c r="E23850" t="s">
        <v>9912</v>
      </c>
      <c r="F23850" t="s">
        <v>3750</v>
      </c>
      <c r="G23850" t="s">
        <v>47095</v>
      </c>
      <c r="H23850" t="s">
        <v>47054</v>
      </c>
      <c r="I23850" t="s">
        <v>47118</v>
      </c>
      <c r="J23850" t="s">
        <v>47119</v>
      </c>
      <c r="K23850" t="s">
        <v>47113</v>
      </c>
      <c r="L23850">
        <v>14.07</v>
      </c>
      <c r="M23850">
        <v>48</v>
      </c>
      <c r="N23850">
        <v>0</v>
      </c>
      <c r="O23850">
        <v>48</v>
      </c>
      <c r="P23850">
        <v>0</v>
      </c>
    </row>
    <row r="23851" spans="1:16" x14ac:dyDescent="0.25">
      <c r="A23851" t="s">
        <v>46576</v>
      </c>
      <c r="B23851" t="s">
        <v>46577</v>
      </c>
      <c r="C23851" t="s">
        <v>46578</v>
      </c>
      <c r="D23851" t="str">
        <f>"1001"</f>
        <v>1001</v>
      </c>
      <c r="E23851" t="s">
        <v>42</v>
      </c>
      <c r="F23851" t="s">
        <v>3750</v>
      </c>
      <c r="G23851" t="s">
        <v>47095</v>
      </c>
      <c r="H23851" t="s">
        <v>47054</v>
      </c>
      <c r="I23851" t="s">
        <v>47118</v>
      </c>
      <c r="J23851" t="s">
        <v>47119</v>
      </c>
      <c r="K23851" t="s">
        <v>47113</v>
      </c>
      <c r="L23851">
        <v>15.55</v>
      </c>
      <c r="M23851">
        <v>59</v>
      </c>
      <c r="N23851">
        <v>159</v>
      </c>
      <c r="O23851">
        <v>59</v>
      </c>
      <c r="P23851">
        <v>159</v>
      </c>
    </row>
    <row r="23852" spans="1:16" x14ac:dyDescent="0.25">
      <c r="A23852" t="s">
        <v>46579</v>
      </c>
      <c r="B23852" t="s">
        <v>46577</v>
      </c>
      <c r="C23852" t="s">
        <v>46578</v>
      </c>
      <c r="D23852" t="str">
        <f>"1501"</f>
        <v>1501</v>
      </c>
      <c r="E23852" t="s">
        <v>46</v>
      </c>
      <c r="F23852" t="s">
        <v>3750</v>
      </c>
      <c r="G23852" t="s">
        <v>47095</v>
      </c>
      <c r="H23852" t="s">
        <v>47054</v>
      </c>
      <c r="I23852" t="s">
        <v>47118</v>
      </c>
      <c r="J23852" t="s">
        <v>47119</v>
      </c>
      <c r="K23852" t="s">
        <v>47113</v>
      </c>
      <c r="L23852">
        <v>15.55</v>
      </c>
      <c r="M23852">
        <v>59</v>
      </c>
      <c r="N23852">
        <v>159</v>
      </c>
      <c r="O23852">
        <v>59</v>
      </c>
      <c r="P23852">
        <v>159</v>
      </c>
    </row>
    <row r="23853" spans="1:16" x14ac:dyDescent="0.25">
      <c r="A23853" t="s">
        <v>1650</v>
      </c>
      <c r="B23853" t="s">
        <v>1651</v>
      </c>
      <c r="C23853" t="s">
        <v>1652</v>
      </c>
      <c r="D23853" t="str">
        <f>"1035"</f>
        <v>1035</v>
      </c>
      <c r="E23853" t="s">
        <v>758</v>
      </c>
      <c r="F23853" t="s">
        <v>1401</v>
      </c>
      <c r="G23853" t="s">
        <v>47099</v>
      </c>
      <c r="H23853" t="s">
        <v>47054</v>
      </c>
      <c r="I23853" t="s">
        <v>47111</v>
      </c>
      <c r="J23853" t="s">
        <v>47112</v>
      </c>
      <c r="K23853" t="s">
        <v>47113</v>
      </c>
      <c r="L23853">
        <v>27.14</v>
      </c>
      <c r="M23853">
        <v>68</v>
      </c>
      <c r="N23853">
        <v>0</v>
      </c>
      <c r="O23853">
        <v>68</v>
      </c>
      <c r="P23853">
        <v>0</v>
      </c>
    </row>
    <row r="23854" spans="1:16" x14ac:dyDescent="0.25">
      <c r="A23854" t="s">
        <v>1653</v>
      </c>
      <c r="B23854" t="s">
        <v>1654</v>
      </c>
      <c r="C23854" t="s">
        <v>1652</v>
      </c>
      <c r="D23854" t="str">
        <f>"2519"</f>
        <v>2519</v>
      </c>
      <c r="E23854" t="s">
        <v>1655</v>
      </c>
      <c r="F23854" t="s">
        <v>1401</v>
      </c>
      <c r="G23854" t="s">
        <v>47099</v>
      </c>
      <c r="H23854" t="s">
        <v>47054</v>
      </c>
      <c r="I23854" t="s">
        <v>47111</v>
      </c>
      <c r="J23854" t="s">
        <v>47112</v>
      </c>
      <c r="K23854" t="s">
        <v>47113</v>
      </c>
      <c r="L23854">
        <v>27.19</v>
      </c>
      <c r="M23854">
        <v>55</v>
      </c>
      <c r="N23854">
        <v>0</v>
      </c>
      <c r="O23854">
        <v>55</v>
      </c>
      <c r="P23854">
        <v>0</v>
      </c>
    </row>
    <row r="23855" spans="1:16" x14ac:dyDescent="0.25">
      <c r="A23855" t="s">
        <v>46580</v>
      </c>
      <c r="B23855" t="s">
        <v>19463</v>
      </c>
      <c r="C23855" t="s">
        <v>19464</v>
      </c>
      <c r="D23855" t="str">
        <f>"1001"</f>
        <v>1001</v>
      </c>
      <c r="E23855" t="s">
        <v>42</v>
      </c>
      <c r="F23855" t="s">
        <v>3750</v>
      </c>
      <c r="G23855" t="s">
        <v>47101</v>
      </c>
      <c r="H23855" t="s">
        <v>47054</v>
      </c>
      <c r="I23855" t="s">
        <v>47120</v>
      </c>
      <c r="J23855" t="s">
        <v>47121</v>
      </c>
      <c r="K23855" t="s">
        <v>47113</v>
      </c>
      <c r="L23855">
        <v>11.31</v>
      </c>
      <c r="M23855">
        <v>33</v>
      </c>
      <c r="N23855">
        <v>0</v>
      </c>
      <c r="O23855">
        <v>33</v>
      </c>
      <c r="P23855">
        <v>0</v>
      </c>
    </row>
    <row r="23856" spans="1:16" x14ac:dyDescent="0.25">
      <c r="A23856" t="s">
        <v>46581</v>
      </c>
      <c r="B23856" t="s">
        <v>19463</v>
      </c>
      <c r="C23856" t="s">
        <v>19464</v>
      </c>
      <c r="D23856" t="str">
        <f>"1702"</f>
        <v>1702</v>
      </c>
      <c r="E23856" t="s">
        <v>1956</v>
      </c>
      <c r="F23856" t="s">
        <v>3750</v>
      </c>
      <c r="G23856" t="s">
        <v>47101</v>
      </c>
      <c r="H23856" t="s">
        <v>47054</v>
      </c>
      <c r="I23856" t="s">
        <v>47120</v>
      </c>
      <c r="J23856" t="s">
        <v>47121</v>
      </c>
      <c r="K23856" t="s">
        <v>47113</v>
      </c>
      <c r="L23856">
        <v>13.33</v>
      </c>
      <c r="M23856">
        <v>38</v>
      </c>
      <c r="N23856">
        <v>0</v>
      </c>
      <c r="O23856">
        <v>38</v>
      </c>
      <c r="P23856">
        <v>0</v>
      </c>
    </row>
    <row r="23857" spans="1:16" x14ac:dyDescent="0.25">
      <c r="A23857" t="s">
        <v>1656</v>
      </c>
      <c r="B23857" t="s">
        <v>1657</v>
      </c>
      <c r="C23857" t="s">
        <v>1658</v>
      </c>
      <c r="D23857" t="str">
        <f>"1745"</f>
        <v>1745</v>
      </c>
      <c r="E23857" t="s">
        <v>1659</v>
      </c>
      <c r="F23857" t="s">
        <v>296</v>
      </c>
      <c r="G23857" t="s">
        <v>47092</v>
      </c>
      <c r="H23857" t="s">
        <v>47054</v>
      </c>
      <c r="I23857" t="s">
        <v>47124</v>
      </c>
      <c r="J23857" t="s">
        <v>47125</v>
      </c>
      <c r="K23857" t="s">
        <v>47113</v>
      </c>
      <c r="L23857">
        <v>10.83</v>
      </c>
      <c r="M23857">
        <v>31</v>
      </c>
      <c r="N23857">
        <v>0</v>
      </c>
      <c r="O23857">
        <v>31</v>
      </c>
      <c r="P23857">
        <v>0</v>
      </c>
    </row>
    <row r="23858" spans="1:16" x14ac:dyDescent="0.25">
      <c r="A23858" t="s">
        <v>1660</v>
      </c>
      <c r="B23858" t="s">
        <v>1657</v>
      </c>
      <c r="C23858" t="s">
        <v>1658</v>
      </c>
      <c r="D23858" t="str">
        <f>"4113"</f>
        <v>4113</v>
      </c>
      <c r="E23858" t="s">
        <v>1661</v>
      </c>
      <c r="F23858" t="s">
        <v>296</v>
      </c>
      <c r="G23858" t="s">
        <v>47092</v>
      </c>
      <c r="H23858" t="s">
        <v>47054</v>
      </c>
      <c r="I23858" t="s">
        <v>47124</v>
      </c>
      <c r="J23858" t="s">
        <v>47125</v>
      </c>
      <c r="K23858" t="s">
        <v>47113</v>
      </c>
      <c r="L23858">
        <v>10.83</v>
      </c>
      <c r="M23858">
        <v>31</v>
      </c>
      <c r="N23858">
        <v>0</v>
      </c>
      <c r="O23858">
        <v>31</v>
      </c>
      <c r="P23858">
        <v>0</v>
      </c>
    </row>
    <row r="23859" spans="1:16" x14ac:dyDescent="0.25">
      <c r="A23859" t="s">
        <v>46582</v>
      </c>
      <c r="B23859" t="s">
        <v>16446</v>
      </c>
      <c r="C23859" t="s">
        <v>16447</v>
      </c>
      <c r="D23859" t="str">
        <f>"7303"</f>
        <v>7303</v>
      </c>
      <c r="E23859" t="s">
        <v>1883</v>
      </c>
      <c r="F23859" t="s">
        <v>631</v>
      </c>
      <c r="G23859" t="s">
        <v>47092</v>
      </c>
      <c r="H23859" t="s">
        <v>47054</v>
      </c>
      <c r="I23859" t="s">
        <v>47124</v>
      </c>
      <c r="J23859" t="s">
        <v>47125</v>
      </c>
      <c r="K23859" t="s">
        <v>47113</v>
      </c>
      <c r="L23859">
        <v>12.16</v>
      </c>
      <c r="M23859">
        <v>33</v>
      </c>
      <c r="N23859">
        <v>89</v>
      </c>
      <c r="O23859">
        <v>33</v>
      </c>
      <c r="P23859">
        <v>89</v>
      </c>
    </row>
    <row r="23860" spans="1:16" x14ac:dyDescent="0.25">
      <c r="A23860" t="s">
        <v>46583</v>
      </c>
      <c r="B23860" t="s">
        <v>19465</v>
      </c>
      <c r="C23860" t="s">
        <v>22523</v>
      </c>
      <c r="D23860" t="str">
        <f>"1702"</f>
        <v>1702</v>
      </c>
      <c r="E23860" t="s">
        <v>1956</v>
      </c>
      <c r="F23860" t="s">
        <v>3750</v>
      </c>
      <c r="G23860" t="s">
        <v>47096</v>
      </c>
      <c r="H23860" t="s">
        <v>47054</v>
      </c>
      <c r="I23860" t="s">
        <v>47120</v>
      </c>
      <c r="J23860" t="s">
        <v>47121</v>
      </c>
      <c r="K23860" t="s">
        <v>47113</v>
      </c>
      <c r="L23860">
        <v>12.66</v>
      </c>
      <c r="M23860">
        <v>37</v>
      </c>
      <c r="N23860">
        <v>0</v>
      </c>
      <c r="O23860">
        <v>37</v>
      </c>
      <c r="P23860">
        <v>0</v>
      </c>
    </row>
    <row r="23861" spans="1:16" x14ac:dyDescent="0.25">
      <c r="A23861" t="s">
        <v>46584</v>
      </c>
      <c r="B23861" t="s">
        <v>19465</v>
      </c>
      <c r="C23861" t="s">
        <v>22523</v>
      </c>
      <c r="D23861" t="str">
        <f>"5000"</f>
        <v>5000</v>
      </c>
      <c r="E23861" t="s">
        <v>19466</v>
      </c>
      <c r="F23861" t="s">
        <v>3750</v>
      </c>
      <c r="G23861" t="s">
        <v>47096</v>
      </c>
      <c r="H23861" t="s">
        <v>47054</v>
      </c>
      <c r="I23861" t="s">
        <v>47120</v>
      </c>
      <c r="J23861" t="s">
        <v>47121</v>
      </c>
      <c r="K23861" t="s">
        <v>47113</v>
      </c>
      <c r="L23861">
        <v>12.66</v>
      </c>
      <c r="M23861">
        <v>37</v>
      </c>
      <c r="N23861">
        <v>0</v>
      </c>
      <c r="O23861">
        <v>37</v>
      </c>
      <c r="P23861">
        <v>0</v>
      </c>
    </row>
    <row r="23862" spans="1:16" x14ac:dyDescent="0.25">
      <c r="A23862" t="s">
        <v>1662</v>
      </c>
      <c r="B23862" t="s">
        <v>1663</v>
      </c>
      <c r="C23862" t="s">
        <v>45</v>
      </c>
      <c r="D23862" t="str">
        <f>"1535"</f>
        <v>1535</v>
      </c>
      <c r="E23862" t="s">
        <v>1664</v>
      </c>
      <c r="F23862" t="s">
        <v>2</v>
      </c>
      <c r="G23862" t="s">
        <v>47095</v>
      </c>
      <c r="H23862" t="s">
        <v>47054</v>
      </c>
      <c r="I23862" t="s">
        <v>47111</v>
      </c>
      <c r="J23862" t="s">
        <v>47112</v>
      </c>
      <c r="K23862" t="s">
        <v>47113</v>
      </c>
      <c r="L23862">
        <v>32.909999999999997</v>
      </c>
      <c r="M23862">
        <v>65</v>
      </c>
      <c r="N23862">
        <v>0</v>
      </c>
      <c r="O23862">
        <v>65</v>
      </c>
      <c r="P23862">
        <v>0</v>
      </c>
    </row>
    <row r="23863" spans="1:16" x14ac:dyDescent="0.25">
      <c r="A23863" t="s">
        <v>1665</v>
      </c>
      <c r="B23863" t="s">
        <v>1666</v>
      </c>
      <c r="C23863" t="s">
        <v>1292</v>
      </c>
      <c r="D23863" t="str">
        <f>"1505"</f>
        <v>1505</v>
      </c>
      <c r="E23863" t="s">
        <v>1667</v>
      </c>
      <c r="F23863" t="s">
        <v>2</v>
      </c>
      <c r="G23863" t="s">
        <v>47094</v>
      </c>
      <c r="H23863" t="s">
        <v>47054</v>
      </c>
      <c r="I23863" t="s">
        <v>47111</v>
      </c>
      <c r="J23863" t="s">
        <v>47112</v>
      </c>
      <c r="K23863" t="s">
        <v>47113</v>
      </c>
      <c r="L23863">
        <v>32.909999999999997</v>
      </c>
      <c r="M23863">
        <v>87</v>
      </c>
      <c r="N23863">
        <v>0</v>
      </c>
      <c r="O23863">
        <v>87</v>
      </c>
      <c r="P23863">
        <v>0</v>
      </c>
    </row>
    <row r="23864" spans="1:16" x14ac:dyDescent="0.25">
      <c r="A23864" t="s">
        <v>46585</v>
      </c>
      <c r="B23864" t="s">
        <v>1666</v>
      </c>
      <c r="C23864" t="s">
        <v>1292</v>
      </c>
      <c r="D23864" t="str">
        <f>"1535"</f>
        <v>1535</v>
      </c>
      <c r="E23864" t="s">
        <v>1664</v>
      </c>
      <c r="F23864" t="s">
        <v>2</v>
      </c>
      <c r="G23864" t="s">
        <v>47094</v>
      </c>
      <c r="H23864" t="s">
        <v>47054</v>
      </c>
      <c r="I23864" t="s">
        <v>47111</v>
      </c>
      <c r="J23864" t="s">
        <v>47112</v>
      </c>
      <c r="K23864" t="s">
        <v>47113</v>
      </c>
      <c r="L23864">
        <v>38.67</v>
      </c>
      <c r="M23864">
        <v>91</v>
      </c>
      <c r="N23864">
        <v>0</v>
      </c>
      <c r="O23864">
        <v>91</v>
      </c>
      <c r="P23864">
        <v>0</v>
      </c>
    </row>
    <row r="23865" spans="1:16" x14ac:dyDescent="0.25">
      <c r="A23865" t="s">
        <v>46586</v>
      </c>
      <c r="B23865" t="s">
        <v>46587</v>
      </c>
      <c r="C23865" t="s">
        <v>46588</v>
      </c>
      <c r="D23865" t="str">
        <f>"1700"</f>
        <v>1700</v>
      </c>
      <c r="E23865" t="s">
        <v>60</v>
      </c>
      <c r="F23865" t="s">
        <v>24627</v>
      </c>
      <c r="G23865" t="s">
        <v>47093</v>
      </c>
      <c r="H23865" t="s">
        <v>47054</v>
      </c>
      <c r="I23865" t="s">
        <v>47120</v>
      </c>
      <c r="J23865" t="s">
        <v>47121</v>
      </c>
      <c r="K23865" t="s">
        <v>47113</v>
      </c>
      <c r="L23865">
        <v>0.93</v>
      </c>
      <c r="M23865">
        <v>114</v>
      </c>
      <c r="N23865">
        <v>309</v>
      </c>
      <c r="O23865">
        <v>114</v>
      </c>
      <c r="P23865">
        <v>309</v>
      </c>
    </row>
    <row r="23866" spans="1:16" x14ac:dyDescent="0.25">
      <c r="A23866" t="s">
        <v>46589</v>
      </c>
      <c r="B23866" t="s">
        <v>46590</v>
      </c>
      <c r="C23866" t="s">
        <v>46591</v>
      </c>
      <c r="D23866" t="str">
        <f>"1700"</f>
        <v>1700</v>
      </c>
      <c r="E23866" t="s">
        <v>60</v>
      </c>
      <c r="F23866" t="s">
        <v>24622</v>
      </c>
      <c r="G23866" t="s">
        <v>47093</v>
      </c>
      <c r="H23866" t="s">
        <v>47054</v>
      </c>
      <c r="I23866" t="s">
        <v>47120</v>
      </c>
      <c r="J23866" t="s">
        <v>47121</v>
      </c>
      <c r="K23866" t="s">
        <v>47113</v>
      </c>
      <c r="L23866">
        <v>23.1</v>
      </c>
      <c r="M23866">
        <v>96</v>
      </c>
      <c r="N23866">
        <v>259</v>
      </c>
      <c r="O23866">
        <v>96</v>
      </c>
      <c r="P23866">
        <v>259</v>
      </c>
    </row>
    <row r="23867" spans="1:16" x14ac:dyDescent="0.25">
      <c r="A23867" t="s">
        <v>50021</v>
      </c>
      <c r="B23867" t="s">
        <v>50022</v>
      </c>
      <c r="C23867" t="s">
        <v>50023</v>
      </c>
      <c r="D23867" t="str">
        <f>"1700"</f>
        <v>1700</v>
      </c>
      <c r="E23867" t="s">
        <v>60</v>
      </c>
      <c r="F23867" t="s">
        <v>24627</v>
      </c>
      <c r="G23867" t="s">
        <v>49029</v>
      </c>
      <c r="H23867" t="s">
        <v>47054</v>
      </c>
      <c r="I23867" t="s">
        <v>47120</v>
      </c>
      <c r="J23867" t="s">
        <v>47121</v>
      </c>
      <c r="K23867" t="s">
        <v>47113</v>
      </c>
      <c r="L23867">
        <v>18.13</v>
      </c>
      <c r="M23867">
        <v>70</v>
      </c>
      <c r="N23867">
        <v>189</v>
      </c>
      <c r="O23867">
        <v>70</v>
      </c>
      <c r="P23867">
        <v>189</v>
      </c>
    </row>
    <row r="23868" spans="1:16" x14ac:dyDescent="0.25">
      <c r="A23868" t="s">
        <v>50024</v>
      </c>
      <c r="B23868" t="s">
        <v>50025</v>
      </c>
      <c r="C23868" t="s">
        <v>50023</v>
      </c>
      <c r="D23868" t="str">
        <f>"1700"</f>
        <v>1700</v>
      </c>
      <c r="E23868" t="s">
        <v>60</v>
      </c>
      <c r="F23868" t="s">
        <v>24627</v>
      </c>
      <c r="G23868" t="s">
        <v>49029</v>
      </c>
      <c r="H23868" t="s">
        <v>47054</v>
      </c>
      <c r="I23868" t="s">
        <v>47120</v>
      </c>
      <c r="J23868" t="s">
        <v>47121</v>
      </c>
      <c r="K23868" t="s">
        <v>47113</v>
      </c>
      <c r="L23868">
        <v>16.850000000000001</v>
      </c>
      <c r="M23868">
        <v>70</v>
      </c>
      <c r="N23868">
        <v>189</v>
      </c>
      <c r="O23868">
        <v>70</v>
      </c>
      <c r="P23868">
        <v>189</v>
      </c>
    </row>
    <row r="23869" spans="1:16" x14ac:dyDescent="0.25">
      <c r="A23869" t="s">
        <v>46592</v>
      </c>
      <c r="B23869" t="s">
        <v>14131</v>
      </c>
      <c r="C23869" t="s">
        <v>14132</v>
      </c>
      <c r="D23869" t="str">
        <f>"1700"</f>
        <v>1700</v>
      </c>
      <c r="E23869" t="s">
        <v>14133</v>
      </c>
      <c r="F23869" t="s">
        <v>0</v>
      </c>
      <c r="G23869" t="s">
        <v>47101</v>
      </c>
      <c r="H23869" t="s">
        <v>47054</v>
      </c>
      <c r="I23869" t="s">
        <v>47120</v>
      </c>
      <c r="J23869" t="s">
        <v>47121</v>
      </c>
      <c r="K23869" t="s">
        <v>47113</v>
      </c>
      <c r="L23869">
        <v>23.95</v>
      </c>
      <c r="M23869">
        <v>49</v>
      </c>
      <c r="N23869">
        <v>0</v>
      </c>
      <c r="O23869">
        <v>49</v>
      </c>
      <c r="P23869">
        <v>0</v>
      </c>
    </row>
    <row r="23870" spans="1:16" x14ac:dyDescent="0.25">
      <c r="A23870" t="s">
        <v>46593</v>
      </c>
      <c r="B23870" t="s">
        <v>14134</v>
      </c>
      <c r="C23870" t="s">
        <v>240</v>
      </c>
      <c r="D23870" t="str">
        <f>"1704"</f>
        <v>1704</v>
      </c>
      <c r="E23870" t="s">
        <v>7181</v>
      </c>
      <c r="F23870" t="s">
        <v>4</v>
      </c>
      <c r="G23870" t="s">
        <v>47098</v>
      </c>
      <c r="H23870" t="s">
        <v>47054</v>
      </c>
      <c r="I23870" t="s">
        <v>47118</v>
      </c>
      <c r="J23870" t="s">
        <v>47119</v>
      </c>
      <c r="K23870" t="s">
        <v>47113</v>
      </c>
      <c r="L23870">
        <v>156.05000000000001</v>
      </c>
      <c r="M23870">
        <v>381</v>
      </c>
      <c r="N23870">
        <v>0</v>
      </c>
      <c r="O23870">
        <v>381</v>
      </c>
      <c r="P23870">
        <v>0</v>
      </c>
    </row>
    <row r="23871" spans="1:16" x14ac:dyDescent="0.25">
      <c r="A23871" t="s">
        <v>46594</v>
      </c>
      <c r="B23871" t="s">
        <v>22524</v>
      </c>
      <c r="C23871" t="s">
        <v>20897</v>
      </c>
      <c r="D23871" t="str">
        <f>"6041"</f>
        <v>6041</v>
      </c>
      <c r="E23871" t="s">
        <v>20899</v>
      </c>
      <c r="F23871" t="s">
        <v>3750</v>
      </c>
      <c r="G23871" t="s">
        <v>47094</v>
      </c>
      <c r="H23871" t="s">
        <v>47054</v>
      </c>
      <c r="I23871" t="s">
        <v>47120</v>
      </c>
      <c r="J23871" t="s">
        <v>47121</v>
      </c>
      <c r="K23871" t="s">
        <v>47113</v>
      </c>
      <c r="L23871">
        <v>15.04</v>
      </c>
      <c r="M23871">
        <v>24</v>
      </c>
      <c r="N23871">
        <v>0</v>
      </c>
      <c r="O23871">
        <v>24</v>
      </c>
      <c r="P23871">
        <v>0</v>
      </c>
    </row>
    <row r="23872" spans="1:16" x14ac:dyDescent="0.25">
      <c r="A23872" t="s">
        <v>46595</v>
      </c>
      <c r="B23872" t="s">
        <v>22525</v>
      </c>
      <c r="C23872" t="s">
        <v>22526</v>
      </c>
      <c r="D23872" t="str">
        <f>"6041"</f>
        <v>6041</v>
      </c>
      <c r="E23872" t="s">
        <v>20899</v>
      </c>
      <c r="F23872" t="s">
        <v>3750</v>
      </c>
      <c r="G23872" t="s">
        <v>47095</v>
      </c>
      <c r="H23872" t="s">
        <v>47054</v>
      </c>
      <c r="I23872" t="s">
        <v>47120</v>
      </c>
      <c r="J23872" t="s">
        <v>47121</v>
      </c>
      <c r="K23872" t="s">
        <v>47113</v>
      </c>
      <c r="L23872">
        <v>13.64</v>
      </c>
      <c r="M23872">
        <v>21</v>
      </c>
      <c r="N23872">
        <v>0</v>
      </c>
      <c r="O23872">
        <v>21</v>
      </c>
      <c r="P23872">
        <v>0</v>
      </c>
    </row>
    <row r="23873" spans="1:16" x14ac:dyDescent="0.25">
      <c r="A23873" t="s">
        <v>46596</v>
      </c>
      <c r="B23873" t="s">
        <v>22527</v>
      </c>
      <c r="C23873" t="s">
        <v>22528</v>
      </c>
      <c r="D23873" t="str">
        <f>"1001"</f>
        <v>1001</v>
      </c>
      <c r="E23873" t="s">
        <v>42</v>
      </c>
      <c r="F23873" t="s">
        <v>3750</v>
      </c>
      <c r="G23873" t="s">
        <v>47094</v>
      </c>
      <c r="H23873" t="s">
        <v>47054</v>
      </c>
      <c r="I23873" t="s">
        <v>47120</v>
      </c>
      <c r="J23873" t="s">
        <v>47121</v>
      </c>
      <c r="K23873" t="s">
        <v>47113</v>
      </c>
      <c r="L23873">
        <v>19.14</v>
      </c>
      <c r="M23873">
        <v>28</v>
      </c>
      <c r="N23873">
        <v>0</v>
      </c>
      <c r="O23873">
        <v>28</v>
      </c>
      <c r="P23873">
        <v>0</v>
      </c>
    </row>
    <row r="23874" spans="1:16" x14ac:dyDescent="0.25">
      <c r="A23874" t="s">
        <v>46597</v>
      </c>
      <c r="B23874" t="s">
        <v>22527</v>
      </c>
      <c r="C23874" t="s">
        <v>22528</v>
      </c>
      <c r="D23874" t="str">
        <f>"2707"</f>
        <v>2707</v>
      </c>
      <c r="E23874" t="s">
        <v>3019</v>
      </c>
      <c r="F23874" t="s">
        <v>3750</v>
      </c>
      <c r="G23874" t="s">
        <v>47094</v>
      </c>
      <c r="H23874" t="s">
        <v>47054</v>
      </c>
      <c r="I23874" t="s">
        <v>47120</v>
      </c>
      <c r="J23874" t="s">
        <v>47121</v>
      </c>
      <c r="K23874" t="s">
        <v>47113</v>
      </c>
      <c r="L23874">
        <v>19.14</v>
      </c>
      <c r="M23874">
        <v>28</v>
      </c>
      <c r="N23874">
        <v>0</v>
      </c>
      <c r="O23874">
        <v>28</v>
      </c>
      <c r="P23874">
        <v>0</v>
      </c>
    </row>
    <row r="23875" spans="1:16" x14ac:dyDescent="0.25">
      <c r="A23875" t="s">
        <v>46598</v>
      </c>
      <c r="B23875" t="s">
        <v>22529</v>
      </c>
      <c r="C23875" t="s">
        <v>22530</v>
      </c>
      <c r="D23875" t="str">
        <f>"1001"</f>
        <v>1001</v>
      </c>
      <c r="E23875" t="s">
        <v>42</v>
      </c>
      <c r="F23875" t="s">
        <v>3750</v>
      </c>
      <c r="G23875" t="s">
        <v>47095</v>
      </c>
      <c r="H23875" t="s">
        <v>47054</v>
      </c>
      <c r="I23875" t="s">
        <v>47120</v>
      </c>
      <c r="J23875" t="s">
        <v>47121</v>
      </c>
      <c r="K23875" t="s">
        <v>47113</v>
      </c>
      <c r="L23875">
        <v>16.989999999999998</v>
      </c>
      <c r="M23875">
        <v>26</v>
      </c>
      <c r="N23875">
        <v>0</v>
      </c>
      <c r="O23875">
        <v>26</v>
      </c>
      <c r="P23875">
        <v>0</v>
      </c>
    </row>
    <row r="23876" spans="1:16" x14ac:dyDescent="0.25">
      <c r="A23876" t="s">
        <v>46599</v>
      </c>
      <c r="B23876" t="s">
        <v>22529</v>
      </c>
      <c r="C23876" t="s">
        <v>22530</v>
      </c>
      <c r="D23876" t="str">
        <f>"2707"</f>
        <v>2707</v>
      </c>
      <c r="E23876" t="s">
        <v>3019</v>
      </c>
      <c r="F23876" t="s">
        <v>3750</v>
      </c>
      <c r="G23876" t="s">
        <v>47095</v>
      </c>
      <c r="H23876" t="s">
        <v>47054</v>
      </c>
      <c r="I23876" t="s">
        <v>47120</v>
      </c>
      <c r="J23876" t="s">
        <v>47121</v>
      </c>
      <c r="K23876" t="s">
        <v>47113</v>
      </c>
      <c r="L23876">
        <v>16.989999999999998</v>
      </c>
      <c r="M23876">
        <v>26</v>
      </c>
      <c r="N23876">
        <v>0</v>
      </c>
      <c r="O23876">
        <v>26</v>
      </c>
      <c r="P23876">
        <v>0</v>
      </c>
    </row>
    <row r="23877" spans="1:16" x14ac:dyDescent="0.25">
      <c r="A23877" t="s">
        <v>46600</v>
      </c>
      <c r="B23877" t="s">
        <v>14135</v>
      </c>
      <c r="C23877" t="s">
        <v>14136</v>
      </c>
      <c r="D23877" t="str">
        <f>"1415"</f>
        <v>1415</v>
      </c>
      <c r="E23877" t="s">
        <v>14137</v>
      </c>
      <c r="F23877" t="s">
        <v>0</v>
      </c>
      <c r="G23877" t="s">
        <v>47095</v>
      </c>
      <c r="H23877" t="s">
        <v>47054</v>
      </c>
      <c r="I23877" t="s">
        <v>47544</v>
      </c>
      <c r="J23877" t="s">
        <v>47545</v>
      </c>
      <c r="K23877" t="s">
        <v>47113</v>
      </c>
      <c r="L23877">
        <v>21.63</v>
      </c>
      <c r="M23877">
        <v>48</v>
      </c>
      <c r="N23877">
        <v>0</v>
      </c>
      <c r="O23877">
        <v>48</v>
      </c>
      <c r="P23877">
        <v>0</v>
      </c>
    </row>
    <row r="23878" spans="1:16" x14ac:dyDescent="0.25">
      <c r="A23878" t="s">
        <v>46601</v>
      </c>
      <c r="B23878" t="s">
        <v>14138</v>
      </c>
      <c r="C23878" t="s">
        <v>14139</v>
      </c>
      <c r="D23878" t="str">
        <f>"1415"</f>
        <v>1415</v>
      </c>
      <c r="E23878" t="s">
        <v>14137</v>
      </c>
      <c r="F23878" t="s">
        <v>0</v>
      </c>
      <c r="G23878" t="s">
        <v>47094</v>
      </c>
      <c r="H23878" t="s">
        <v>47054</v>
      </c>
      <c r="I23878" t="s">
        <v>47544</v>
      </c>
      <c r="J23878" t="s">
        <v>47545</v>
      </c>
      <c r="K23878" t="s">
        <v>47113</v>
      </c>
      <c r="L23878">
        <v>20.22</v>
      </c>
      <c r="M23878">
        <v>48</v>
      </c>
      <c r="N23878">
        <v>0</v>
      </c>
      <c r="O23878">
        <v>48</v>
      </c>
      <c r="P23878">
        <v>0</v>
      </c>
    </row>
    <row r="23879" spans="1:16" x14ac:dyDescent="0.25">
      <c r="A23879" t="s">
        <v>46602</v>
      </c>
      <c r="B23879" t="s">
        <v>14395</v>
      </c>
      <c r="C23879" t="s">
        <v>14246</v>
      </c>
      <c r="D23879" t="str">
        <f>"4100"</f>
        <v>4100</v>
      </c>
      <c r="E23879" t="s">
        <v>2383</v>
      </c>
      <c r="F23879" t="s">
        <v>3546</v>
      </c>
      <c r="G23879" t="s">
        <v>47061</v>
      </c>
      <c r="H23879" t="s">
        <v>47054</v>
      </c>
      <c r="I23879" t="s">
        <v>47118</v>
      </c>
      <c r="J23879" t="s">
        <v>47119</v>
      </c>
      <c r="K23879" t="s">
        <v>47113</v>
      </c>
      <c r="L23879">
        <v>29.71</v>
      </c>
      <c r="M23879">
        <v>54</v>
      </c>
      <c r="N23879">
        <v>0</v>
      </c>
      <c r="O23879">
        <v>54</v>
      </c>
      <c r="P23879">
        <v>0</v>
      </c>
    </row>
    <row r="23880" spans="1:16" x14ac:dyDescent="0.25">
      <c r="A23880" t="s">
        <v>46603</v>
      </c>
      <c r="B23880" t="s">
        <v>14140</v>
      </c>
      <c r="C23880" t="s">
        <v>14141</v>
      </c>
      <c r="D23880" t="str">
        <f>"1001"</f>
        <v>1001</v>
      </c>
      <c r="E23880" t="s">
        <v>42</v>
      </c>
      <c r="F23880" t="s">
        <v>3750</v>
      </c>
      <c r="G23880" t="s">
        <v>16226</v>
      </c>
      <c r="H23880" t="s">
        <v>47071</v>
      </c>
      <c r="I23880" t="s">
        <v>47120</v>
      </c>
      <c r="J23880" t="s">
        <v>47121</v>
      </c>
      <c r="K23880" t="s">
        <v>47113</v>
      </c>
      <c r="L23880">
        <v>13.8</v>
      </c>
      <c r="M23880">
        <v>34</v>
      </c>
      <c r="N23880">
        <v>0</v>
      </c>
      <c r="O23880">
        <v>34</v>
      </c>
      <c r="P23880">
        <v>0</v>
      </c>
    </row>
    <row r="23881" spans="1:16" x14ac:dyDescent="0.25">
      <c r="A23881" t="s">
        <v>46604</v>
      </c>
      <c r="B23881" t="s">
        <v>14142</v>
      </c>
      <c r="C23881" t="s">
        <v>14143</v>
      </c>
      <c r="D23881" t="str">
        <f>"2300"</f>
        <v>2300</v>
      </c>
      <c r="E23881" t="s">
        <v>10745</v>
      </c>
      <c r="F23881" t="s">
        <v>3750</v>
      </c>
      <c r="G23881" t="s">
        <v>16226</v>
      </c>
      <c r="H23881" t="s">
        <v>47071</v>
      </c>
      <c r="I23881" t="s">
        <v>47120</v>
      </c>
      <c r="J23881" t="s">
        <v>47121</v>
      </c>
      <c r="K23881" t="s">
        <v>47113</v>
      </c>
      <c r="L23881">
        <v>13.8</v>
      </c>
      <c r="M23881">
        <v>34</v>
      </c>
      <c r="N23881">
        <v>0</v>
      </c>
      <c r="O23881">
        <v>34</v>
      </c>
      <c r="P23881">
        <v>0</v>
      </c>
    </row>
    <row r="23882" spans="1:16" x14ac:dyDescent="0.25">
      <c r="A23882" t="s">
        <v>46605</v>
      </c>
      <c r="B23882" t="s">
        <v>14144</v>
      </c>
      <c r="C23882" t="s">
        <v>14145</v>
      </c>
      <c r="D23882" t="str">
        <f>"2000"</f>
        <v>2000</v>
      </c>
      <c r="E23882" t="s">
        <v>248</v>
      </c>
      <c r="F23882" t="s">
        <v>3750</v>
      </c>
      <c r="G23882" t="s">
        <v>16226</v>
      </c>
      <c r="H23882" t="s">
        <v>47071</v>
      </c>
      <c r="I23882" t="s">
        <v>47120</v>
      </c>
      <c r="J23882" t="s">
        <v>47121</v>
      </c>
      <c r="K23882" t="s">
        <v>47113</v>
      </c>
      <c r="L23882">
        <v>13.8</v>
      </c>
      <c r="M23882">
        <v>34</v>
      </c>
      <c r="N23882">
        <v>0</v>
      </c>
      <c r="O23882">
        <v>34</v>
      </c>
      <c r="P23882">
        <v>0</v>
      </c>
    </row>
    <row r="23883" spans="1:16" x14ac:dyDescent="0.25">
      <c r="A23883" t="s">
        <v>46606</v>
      </c>
      <c r="B23883" t="s">
        <v>14409</v>
      </c>
      <c r="C23883" t="s">
        <v>14408</v>
      </c>
      <c r="D23883" t="str">
        <f>"1001"</f>
        <v>1001</v>
      </c>
      <c r="E23883" t="s">
        <v>42</v>
      </c>
      <c r="F23883" t="s">
        <v>3750</v>
      </c>
      <c r="G23883" t="s">
        <v>16226</v>
      </c>
      <c r="H23883" t="s">
        <v>47071</v>
      </c>
      <c r="I23883" t="s">
        <v>47120</v>
      </c>
      <c r="J23883" t="s">
        <v>47121</v>
      </c>
      <c r="K23883" t="s">
        <v>47113</v>
      </c>
      <c r="L23883">
        <v>9.7200000000000006</v>
      </c>
      <c r="M23883">
        <v>46</v>
      </c>
      <c r="N23883">
        <v>0</v>
      </c>
      <c r="O23883">
        <v>46</v>
      </c>
      <c r="P23883">
        <v>0</v>
      </c>
    </row>
    <row r="23884" spans="1:16" x14ac:dyDescent="0.25">
      <c r="A23884" t="s">
        <v>46607</v>
      </c>
      <c r="B23884" t="s">
        <v>14409</v>
      </c>
      <c r="C23884" t="s">
        <v>14408</v>
      </c>
      <c r="D23884" t="str">
        <f>"2000"</f>
        <v>2000</v>
      </c>
      <c r="E23884" t="s">
        <v>248</v>
      </c>
      <c r="F23884" t="s">
        <v>3750</v>
      </c>
      <c r="G23884" t="s">
        <v>16226</v>
      </c>
      <c r="H23884" t="s">
        <v>47071</v>
      </c>
      <c r="I23884" t="s">
        <v>47120</v>
      </c>
      <c r="J23884" t="s">
        <v>47121</v>
      </c>
      <c r="K23884" t="s">
        <v>47113</v>
      </c>
      <c r="L23884">
        <v>9.7200000000000006</v>
      </c>
      <c r="M23884">
        <v>46</v>
      </c>
      <c r="N23884">
        <v>0</v>
      </c>
      <c r="O23884">
        <v>46</v>
      </c>
      <c r="P23884">
        <v>0</v>
      </c>
    </row>
    <row r="23885" spans="1:16" x14ac:dyDescent="0.25">
      <c r="A23885" t="s">
        <v>46608</v>
      </c>
      <c r="B23885" t="s">
        <v>46609</v>
      </c>
      <c r="C23885" t="s">
        <v>46610</v>
      </c>
      <c r="D23885" t="str">
        <f>"1001"</f>
        <v>1001</v>
      </c>
      <c r="E23885" t="s">
        <v>42</v>
      </c>
      <c r="F23885" t="s">
        <v>3750</v>
      </c>
      <c r="G23885" t="s">
        <v>16226</v>
      </c>
      <c r="H23885" t="s">
        <v>47071</v>
      </c>
      <c r="I23885" t="s">
        <v>47120</v>
      </c>
      <c r="J23885" t="s">
        <v>47121</v>
      </c>
      <c r="K23885" t="s">
        <v>47113</v>
      </c>
      <c r="L23885">
        <v>13.72</v>
      </c>
      <c r="M23885">
        <v>44</v>
      </c>
      <c r="N23885">
        <v>119</v>
      </c>
      <c r="O23885">
        <v>44</v>
      </c>
      <c r="P23885">
        <v>119</v>
      </c>
    </row>
    <row r="23886" spans="1:16" x14ac:dyDescent="0.25">
      <c r="A23886" t="s">
        <v>46611</v>
      </c>
      <c r="B23886" t="s">
        <v>14146</v>
      </c>
      <c r="C23886" t="s">
        <v>14147</v>
      </c>
      <c r="D23886" t="str">
        <f>"1001"</f>
        <v>1001</v>
      </c>
      <c r="E23886" t="s">
        <v>42</v>
      </c>
      <c r="F23886" t="s">
        <v>3750</v>
      </c>
      <c r="G23886" t="s">
        <v>16226</v>
      </c>
      <c r="H23886" t="s">
        <v>47054</v>
      </c>
      <c r="I23886" t="s">
        <v>47120</v>
      </c>
      <c r="J23886" t="s">
        <v>47121</v>
      </c>
      <c r="K23886" t="s">
        <v>47113</v>
      </c>
      <c r="L23886">
        <v>13.96</v>
      </c>
      <c r="M23886">
        <v>46</v>
      </c>
      <c r="N23886">
        <v>0</v>
      </c>
      <c r="O23886">
        <v>46</v>
      </c>
      <c r="P23886">
        <v>0</v>
      </c>
    </row>
    <row r="23887" spans="1:16" x14ac:dyDescent="0.25">
      <c r="A23887" t="s">
        <v>46612</v>
      </c>
      <c r="B23887" t="s">
        <v>14396</v>
      </c>
      <c r="C23887" t="s">
        <v>14397</v>
      </c>
      <c r="D23887" t="str">
        <f>"2000"</f>
        <v>2000</v>
      </c>
      <c r="E23887" t="s">
        <v>248</v>
      </c>
      <c r="F23887" t="s">
        <v>3750</v>
      </c>
      <c r="G23887" t="s">
        <v>16226</v>
      </c>
      <c r="H23887" t="s">
        <v>47054</v>
      </c>
      <c r="I23887" t="s">
        <v>47120</v>
      </c>
      <c r="J23887" t="s">
        <v>47121</v>
      </c>
      <c r="K23887" t="s">
        <v>47113</v>
      </c>
      <c r="L23887">
        <v>13.52</v>
      </c>
      <c r="M23887">
        <v>47</v>
      </c>
      <c r="N23887">
        <v>0</v>
      </c>
      <c r="O23887">
        <v>47</v>
      </c>
      <c r="P23887">
        <v>0</v>
      </c>
    </row>
    <row r="23888" spans="1:16" x14ac:dyDescent="0.25">
      <c r="A23888" t="s">
        <v>46613</v>
      </c>
      <c r="B23888" t="s">
        <v>14398</v>
      </c>
      <c r="C23888" t="s">
        <v>14399</v>
      </c>
      <c r="D23888" t="str">
        <f>"1001"</f>
        <v>1001</v>
      </c>
      <c r="E23888" t="s">
        <v>42</v>
      </c>
      <c r="F23888" t="s">
        <v>3750</v>
      </c>
      <c r="G23888" t="s">
        <v>16226</v>
      </c>
      <c r="H23888" t="s">
        <v>47054</v>
      </c>
      <c r="I23888" t="s">
        <v>47120</v>
      </c>
      <c r="J23888" t="s">
        <v>47121</v>
      </c>
      <c r="K23888" t="s">
        <v>47113</v>
      </c>
      <c r="L23888">
        <v>13.43</v>
      </c>
      <c r="M23888">
        <v>46</v>
      </c>
      <c r="N23888">
        <v>0</v>
      </c>
      <c r="O23888">
        <v>46</v>
      </c>
      <c r="P23888">
        <v>0</v>
      </c>
    </row>
    <row r="23889" spans="1:16" x14ac:dyDescent="0.25">
      <c r="A23889" t="s">
        <v>46614</v>
      </c>
      <c r="B23889" t="s">
        <v>22531</v>
      </c>
      <c r="C23889" t="s">
        <v>22532</v>
      </c>
      <c r="D23889" t="str">
        <f>"1001"</f>
        <v>1001</v>
      </c>
      <c r="E23889" t="s">
        <v>42</v>
      </c>
      <c r="F23889" t="s">
        <v>3750</v>
      </c>
      <c r="G23889" t="s">
        <v>16226</v>
      </c>
      <c r="H23889" t="s">
        <v>47071</v>
      </c>
      <c r="I23889" t="s">
        <v>47120</v>
      </c>
      <c r="J23889" t="s">
        <v>47121</v>
      </c>
      <c r="K23889" t="s">
        <v>47113</v>
      </c>
      <c r="L23889">
        <v>13.17</v>
      </c>
      <c r="M23889">
        <v>47</v>
      </c>
      <c r="N23889">
        <v>0</v>
      </c>
      <c r="O23889">
        <v>47</v>
      </c>
      <c r="P23889">
        <v>0</v>
      </c>
    </row>
    <row r="23890" spans="1:16" x14ac:dyDescent="0.25">
      <c r="A23890" t="s">
        <v>46615</v>
      </c>
      <c r="B23890" t="s">
        <v>22533</v>
      </c>
      <c r="C23890" t="s">
        <v>22534</v>
      </c>
      <c r="D23890" t="str">
        <f>"1001"</f>
        <v>1001</v>
      </c>
      <c r="E23890" t="s">
        <v>42</v>
      </c>
      <c r="F23890" t="s">
        <v>3750</v>
      </c>
      <c r="G23890" t="s">
        <v>16226</v>
      </c>
      <c r="H23890" t="s">
        <v>47071</v>
      </c>
      <c r="I23890" t="s">
        <v>47120</v>
      </c>
      <c r="J23890" t="s">
        <v>47121</v>
      </c>
      <c r="K23890" t="s">
        <v>47113</v>
      </c>
      <c r="L23890">
        <v>12.68</v>
      </c>
      <c r="M23890">
        <v>47</v>
      </c>
      <c r="N23890">
        <v>0</v>
      </c>
      <c r="O23890">
        <v>47</v>
      </c>
      <c r="P23890">
        <v>0</v>
      </c>
    </row>
    <row r="23891" spans="1:16" x14ac:dyDescent="0.25">
      <c r="A23891" t="s">
        <v>46616</v>
      </c>
      <c r="B23891" t="s">
        <v>22533</v>
      </c>
      <c r="C23891" t="s">
        <v>22534</v>
      </c>
      <c r="D23891" t="str">
        <f>"2000"</f>
        <v>2000</v>
      </c>
      <c r="E23891" t="s">
        <v>248</v>
      </c>
      <c r="F23891" t="s">
        <v>3750</v>
      </c>
      <c r="G23891" t="s">
        <v>16226</v>
      </c>
      <c r="H23891" t="s">
        <v>47071</v>
      </c>
      <c r="I23891" t="s">
        <v>47120</v>
      </c>
      <c r="J23891" t="s">
        <v>47121</v>
      </c>
      <c r="K23891" t="s">
        <v>47113</v>
      </c>
      <c r="L23891">
        <v>12.68</v>
      </c>
      <c r="M23891">
        <v>47</v>
      </c>
      <c r="N23891">
        <v>0</v>
      </c>
      <c r="O23891">
        <v>47</v>
      </c>
      <c r="P23891">
        <v>0</v>
      </c>
    </row>
    <row r="23892" spans="1:16" x14ac:dyDescent="0.25">
      <c r="A23892" t="s">
        <v>46617</v>
      </c>
      <c r="B23892" t="s">
        <v>22535</v>
      </c>
      <c r="C23892" t="s">
        <v>22536</v>
      </c>
      <c r="D23892" t="str">
        <f>"1001"</f>
        <v>1001</v>
      </c>
      <c r="E23892" t="s">
        <v>42</v>
      </c>
      <c r="F23892" t="s">
        <v>3750</v>
      </c>
      <c r="G23892" t="s">
        <v>16226</v>
      </c>
      <c r="H23892" t="s">
        <v>47071</v>
      </c>
      <c r="I23892" t="s">
        <v>47120</v>
      </c>
      <c r="J23892" t="s">
        <v>47121</v>
      </c>
      <c r="K23892" t="s">
        <v>47113</v>
      </c>
      <c r="L23892">
        <v>13.67</v>
      </c>
      <c r="M23892">
        <v>47</v>
      </c>
      <c r="N23892">
        <v>0</v>
      </c>
      <c r="O23892">
        <v>47</v>
      </c>
      <c r="P23892">
        <v>0</v>
      </c>
    </row>
    <row r="23893" spans="1:16" x14ac:dyDescent="0.25">
      <c r="A23893" t="s">
        <v>46618</v>
      </c>
      <c r="B23893" t="s">
        <v>22537</v>
      </c>
      <c r="C23893" t="s">
        <v>22538</v>
      </c>
      <c r="D23893" t="str">
        <f>"1001"</f>
        <v>1001</v>
      </c>
      <c r="E23893" t="s">
        <v>42</v>
      </c>
      <c r="F23893" t="s">
        <v>3750</v>
      </c>
      <c r="G23893" t="s">
        <v>47053</v>
      </c>
      <c r="H23893" t="s">
        <v>47071</v>
      </c>
      <c r="I23893" t="s">
        <v>47120</v>
      </c>
      <c r="J23893" t="s">
        <v>47121</v>
      </c>
      <c r="K23893" t="s">
        <v>47113</v>
      </c>
      <c r="L23893">
        <v>15.58</v>
      </c>
      <c r="M23893">
        <v>42</v>
      </c>
      <c r="N23893">
        <v>0</v>
      </c>
      <c r="O23893">
        <v>42</v>
      </c>
      <c r="P23893">
        <v>0</v>
      </c>
    </row>
    <row r="23894" spans="1:16" x14ac:dyDescent="0.25">
      <c r="A23894" t="s">
        <v>46619</v>
      </c>
      <c r="B23894" t="s">
        <v>14400</v>
      </c>
      <c r="C23894" t="s">
        <v>14401</v>
      </c>
      <c r="D23894" t="str">
        <f>"4168"</f>
        <v>4168</v>
      </c>
      <c r="E23894" t="s">
        <v>1132</v>
      </c>
      <c r="F23894" t="s">
        <v>3750</v>
      </c>
      <c r="G23894" t="s">
        <v>47061</v>
      </c>
      <c r="H23894" t="s">
        <v>47054</v>
      </c>
      <c r="I23894" t="s">
        <v>47120</v>
      </c>
      <c r="J23894" t="s">
        <v>47121</v>
      </c>
      <c r="K23894" t="s">
        <v>47113</v>
      </c>
      <c r="L23894">
        <v>10.52</v>
      </c>
      <c r="M23894">
        <v>29</v>
      </c>
      <c r="N23894">
        <v>0</v>
      </c>
      <c r="O23894">
        <v>29</v>
      </c>
      <c r="P23894">
        <v>0</v>
      </c>
    </row>
    <row r="23895" spans="1:16" x14ac:dyDescent="0.25">
      <c r="A23895" t="s">
        <v>46620</v>
      </c>
      <c r="B23895" t="s">
        <v>46621</v>
      </c>
      <c r="C23895" t="s">
        <v>46622</v>
      </c>
      <c r="D23895" t="str">
        <f>"3071"</f>
        <v>3071</v>
      </c>
      <c r="E23895" t="s">
        <v>20770</v>
      </c>
      <c r="F23895" t="s">
        <v>24019</v>
      </c>
      <c r="G23895" t="s">
        <v>47061</v>
      </c>
      <c r="H23895" t="s">
        <v>47052</v>
      </c>
      <c r="I23895" t="s">
        <v>47120</v>
      </c>
      <c r="J23895" t="s">
        <v>47121</v>
      </c>
      <c r="K23895" t="s">
        <v>47113</v>
      </c>
      <c r="L23895">
        <v>10.54</v>
      </c>
      <c r="M23895">
        <v>70</v>
      </c>
      <c r="N23895">
        <v>189</v>
      </c>
      <c r="O23895">
        <v>70</v>
      </c>
      <c r="P23895">
        <v>189</v>
      </c>
    </row>
    <row r="23896" spans="1:16" x14ac:dyDescent="0.25">
      <c r="A23896" t="s">
        <v>46623</v>
      </c>
      <c r="B23896" t="s">
        <v>46624</v>
      </c>
      <c r="C23896" t="s">
        <v>46625</v>
      </c>
      <c r="D23896" t="str">
        <f>"3071"</f>
        <v>3071</v>
      </c>
      <c r="E23896" t="s">
        <v>20770</v>
      </c>
      <c r="F23896" t="s">
        <v>24019</v>
      </c>
      <c r="G23896" t="s">
        <v>47061</v>
      </c>
      <c r="H23896" t="s">
        <v>47052</v>
      </c>
      <c r="I23896" t="s">
        <v>47120</v>
      </c>
      <c r="J23896" t="s">
        <v>47121</v>
      </c>
      <c r="K23896" t="s">
        <v>47113</v>
      </c>
      <c r="L23896">
        <v>14.95</v>
      </c>
      <c r="M23896">
        <v>70</v>
      </c>
      <c r="N23896">
        <v>189</v>
      </c>
      <c r="O23896">
        <v>70</v>
      </c>
      <c r="P23896">
        <v>189</v>
      </c>
    </row>
    <row r="23897" spans="1:16" x14ac:dyDescent="0.25">
      <c r="A23897" t="s">
        <v>46626</v>
      </c>
      <c r="B23897" t="s">
        <v>22539</v>
      </c>
      <c r="C23897" t="s">
        <v>22540</v>
      </c>
      <c r="D23897" t="str">
        <f>"4143"</f>
        <v>4143</v>
      </c>
      <c r="E23897" t="s">
        <v>261</v>
      </c>
      <c r="F23897" t="s">
        <v>3750</v>
      </c>
      <c r="G23897" t="s">
        <v>47053</v>
      </c>
      <c r="H23897" t="s">
        <v>47071</v>
      </c>
      <c r="I23897" t="s">
        <v>47120</v>
      </c>
      <c r="J23897" t="s">
        <v>47121</v>
      </c>
      <c r="K23897" t="s">
        <v>47113</v>
      </c>
      <c r="L23897">
        <v>17.559999999999999</v>
      </c>
      <c r="M23897">
        <v>48</v>
      </c>
      <c r="N23897">
        <v>0</v>
      </c>
      <c r="O23897">
        <v>48</v>
      </c>
      <c r="P23897">
        <v>0</v>
      </c>
    </row>
    <row r="23898" spans="1:16" x14ac:dyDescent="0.25">
      <c r="A23898" t="s">
        <v>46627</v>
      </c>
      <c r="B23898" t="s">
        <v>22541</v>
      </c>
      <c r="C23898" t="s">
        <v>22542</v>
      </c>
      <c r="D23898" t="str">
        <f>"1001"</f>
        <v>1001</v>
      </c>
      <c r="E23898" t="s">
        <v>42</v>
      </c>
      <c r="F23898" t="s">
        <v>17351</v>
      </c>
      <c r="G23898" t="s">
        <v>47061</v>
      </c>
      <c r="H23898" t="s">
        <v>47071</v>
      </c>
      <c r="I23898" t="s">
        <v>47111</v>
      </c>
      <c r="J23898" t="s">
        <v>47112</v>
      </c>
      <c r="K23898" t="s">
        <v>47113</v>
      </c>
      <c r="L23898">
        <v>7.11</v>
      </c>
      <c r="M23898">
        <v>28</v>
      </c>
      <c r="N23898">
        <v>0</v>
      </c>
      <c r="O23898">
        <v>28</v>
      </c>
      <c r="P23898">
        <v>0</v>
      </c>
    </row>
    <row r="23899" spans="1:16" x14ac:dyDescent="0.25">
      <c r="A23899" t="s">
        <v>46628</v>
      </c>
      <c r="B23899" t="s">
        <v>22541</v>
      </c>
      <c r="C23899" t="s">
        <v>22542</v>
      </c>
      <c r="D23899" t="str">
        <f>"4143"</f>
        <v>4143</v>
      </c>
      <c r="E23899" t="s">
        <v>261</v>
      </c>
      <c r="F23899" t="s">
        <v>17351</v>
      </c>
      <c r="G23899" t="s">
        <v>47061</v>
      </c>
      <c r="H23899" t="s">
        <v>47071</v>
      </c>
      <c r="I23899" t="s">
        <v>47111</v>
      </c>
      <c r="J23899" t="s">
        <v>47112</v>
      </c>
      <c r="K23899" t="s">
        <v>47113</v>
      </c>
      <c r="L23899">
        <v>7.11</v>
      </c>
      <c r="M23899">
        <v>28</v>
      </c>
      <c r="N23899">
        <v>0</v>
      </c>
      <c r="O23899">
        <v>28</v>
      </c>
      <c r="P23899">
        <v>0</v>
      </c>
    </row>
    <row r="23900" spans="1:16" x14ac:dyDescent="0.25">
      <c r="A23900" t="s">
        <v>46629</v>
      </c>
      <c r="B23900" t="s">
        <v>22541</v>
      </c>
      <c r="C23900" t="s">
        <v>22542</v>
      </c>
      <c r="D23900" t="str">
        <f>"6000"</f>
        <v>6000</v>
      </c>
      <c r="E23900" t="s">
        <v>238</v>
      </c>
      <c r="F23900" t="s">
        <v>17351</v>
      </c>
      <c r="G23900" t="s">
        <v>47061</v>
      </c>
      <c r="H23900" t="s">
        <v>47071</v>
      </c>
      <c r="I23900" t="s">
        <v>47111</v>
      </c>
      <c r="J23900" t="s">
        <v>47112</v>
      </c>
      <c r="K23900" t="s">
        <v>47113</v>
      </c>
      <c r="L23900">
        <v>7.11</v>
      </c>
      <c r="M23900">
        <v>28</v>
      </c>
      <c r="N23900">
        <v>0</v>
      </c>
      <c r="O23900">
        <v>28</v>
      </c>
      <c r="P23900">
        <v>0</v>
      </c>
    </row>
    <row r="23901" spans="1:16" x14ac:dyDescent="0.25">
      <c r="A23901" t="s">
        <v>46630</v>
      </c>
      <c r="B23901" t="s">
        <v>19467</v>
      </c>
      <c r="C23901" t="s">
        <v>19468</v>
      </c>
      <c r="D23901" t="str">
        <f>"1001"</f>
        <v>1001</v>
      </c>
      <c r="E23901" t="s">
        <v>42</v>
      </c>
      <c r="F23901" t="s">
        <v>3750</v>
      </c>
      <c r="G23901" t="s">
        <v>47053</v>
      </c>
      <c r="H23901" t="s">
        <v>47071</v>
      </c>
      <c r="I23901" t="s">
        <v>47120</v>
      </c>
      <c r="J23901" t="s">
        <v>47121</v>
      </c>
      <c r="K23901" t="s">
        <v>47113</v>
      </c>
      <c r="L23901">
        <v>15.02</v>
      </c>
      <c r="M23901">
        <v>43</v>
      </c>
      <c r="N23901">
        <v>0</v>
      </c>
      <c r="O23901">
        <v>43</v>
      </c>
      <c r="P23901">
        <v>0</v>
      </c>
    </row>
    <row r="23902" spans="1:16" x14ac:dyDescent="0.25">
      <c r="A23902" t="s">
        <v>46631</v>
      </c>
      <c r="B23902" t="s">
        <v>19469</v>
      </c>
      <c r="C23902" t="s">
        <v>19470</v>
      </c>
      <c r="D23902" t="str">
        <f>"1001"</f>
        <v>1001</v>
      </c>
      <c r="E23902" t="s">
        <v>42</v>
      </c>
      <c r="F23902" t="s">
        <v>3750</v>
      </c>
      <c r="G23902" t="s">
        <v>16226</v>
      </c>
      <c r="H23902" t="s">
        <v>47071</v>
      </c>
      <c r="I23902" t="s">
        <v>47120</v>
      </c>
      <c r="J23902" t="s">
        <v>47121</v>
      </c>
      <c r="K23902" t="s">
        <v>47113</v>
      </c>
      <c r="L23902">
        <v>12.38</v>
      </c>
      <c r="M23902">
        <v>46</v>
      </c>
      <c r="N23902">
        <v>0</v>
      </c>
      <c r="O23902">
        <v>46</v>
      </c>
      <c r="P23902">
        <v>0</v>
      </c>
    </row>
    <row r="23903" spans="1:16" x14ac:dyDescent="0.25">
      <c r="A23903" t="s">
        <v>46632</v>
      </c>
      <c r="B23903" t="s">
        <v>46633</v>
      </c>
      <c r="C23903" t="s">
        <v>46634</v>
      </c>
      <c r="D23903" t="str">
        <f>"4143"</f>
        <v>4143</v>
      </c>
      <c r="E23903" t="s">
        <v>21109</v>
      </c>
      <c r="F23903" t="s">
        <v>17351</v>
      </c>
      <c r="G23903" t="s">
        <v>47061</v>
      </c>
      <c r="H23903" t="s">
        <v>47071</v>
      </c>
      <c r="I23903" t="s">
        <v>47111</v>
      </c>
      <c r="J23903" t="s">
        <v>47112</v>
      </c>
      <c r="K23903" t="s">
        <v>47113</v>
      </c>
      <c r="L23903">
        <v>129.76</v>
      </c>
      <c r="M23903">
        <v>266</v>
      </c>
      <c r="N23903">
        <v>0</v>
      </c>
      <c r="O23903">
        <v>266</v>
      </c>
      <c r="P23903">
        <v>0</v>
      </c>
    </row>
    <row r="23904" spans="1:16" x14ac:dyDescent="0.25">
      <c r="A23904" t="s">
        <v>46635</v>
      </c>
      <c r="B23904" t="s">
        <v>46636</v>
      </c>
      <c r="C23904" t="s">
        <v>46637</v>
      </c>
      <c r="D23904" t="str">
        <f>"1001"</f>
        <v>1001</v>
      </c>
      <c r="E23904" t="s">
        <v>42</v>
      </c>
      <c r="F23904" t="s">
        <v>17351</v>
      </c>
      <c r="G23904" t="s">
        <v>47061</v>
      </c>
      <c r="H23904" t="s">
        <v>47052</v>
      </c>
      <c r="I23904" t="s">
        <v>47120</v>
      </c>
      <c r="J23904" t="s">
        <v>47121</v>
      </c>
      <c r="K23904" t="s">
        <v>47113</v>
      </c>
      <c r="L23904">
        <v>166.61</v>
      </c>
      <c r="M23904">
        <v>320</v>
      </c>
      <c r="N23904">
        <v>0</v>
      </c>
      <c r="O23904">
        <v>320</v>
      </c>
      <c r="P23904">
        <v>0</v>
      </c>
    </row>
    <row r="23905" spans="1:16" x14ac:dyDescent="0.25">
      <c r="A23905" t="s">
        <v>46638</v>
      </c>
      <c r="B23905" t="s">
        <v>46636</v>
      </c>
      <c r="C23905" t="s">
        <v>46637</v>
      </c>
      <c r="D23905" t="str">
        <f>"2001"</f>
        <v>2001</v>
      </c>
      <c r="E23905" t="s">
        <v>2354</v>
      </c>
      <c r="F23905" t="s">
        <v>17351</v>
      </c>
      <c r="G23905" t="s">
        <v>47061</v>
      </c>
      <c r="H23905" t="s">
        <v>47052</v>
      </c>
      <c r="I23905" t="s">
        <v>47120</v>
      </c>
      <c r="J23905" t="s">
        <v>47121</v>
      </c>
      <c r="K23905" t="s">
        <v>47113</v>
      </c>
      <c r="L23905">
        <v>166.61</v>
      </c>
      <c r="M23905">
        <v>360</v>
      </c>
      <c r="N23905">
        <v>0</v>
      </c>
      <c r="O23905">
        <v>360</v>
      </c>
      <c r="P23905">
        <v>0</v>
      </c>
    </row>
    <row r="23906" spans="1:16" x14ac:dyDescent="0.25">
      <c r="A23906" t="s">
        <v>46639</v>
      </c>
      <c r="B23906" t="s">
        <v>46640</v>
      </c>
      <c r="C23906" t="s">
        <v>46641</v>
      </c>
      <c r="D23906" t="str">
        <f>"4144"</f>
        <v>4144</v>
      </c>
      <c r="E23906" t="s">
        <v>261</v>
      </c>
      <c r="F23906" t="s">
        <v>17351</v>
      </c>
      <c r="G23906" t="s">
        <v>47061</v>
      </c>
      <c r="H23906" t="s">
        <v>47052</v>
      </c>
      <c r="I23906" t="s">
        <v>47120</v>
      </c>
      <c r="J23906" t="s">
        <v>47121</v>
      </c>
      <c r="K23906" t="s">
        <v>47113</v>
      </c>
      <c r="L23906">
        <v>77.14</v>
      </c>
      <c r="M23906">
        <v>177</v>
      </c>
      <c r="N23906">
        <v>0</v>
      </c>
      <c r="O23906">
        <v>177</v>
      </c>
      <c r="P23906">
        <v>0</v>
      </c>
    </row>
    <row r="23907" spans="1:16" x14ac:dyDescent="0.25">
      <c r="A23907" t="s">
        <v>46642</v>
      </c>
      <c r="B23907" t="s">
        <v>46643</v>
      </c>
      <c r="C23907" t="s">
        <v>46644</v>
      </c>
      <c r="D23907" t="str">
        <f>"1001"</f>
        <v>1001</v>
      </c>
      <c r="E23907" t="s">
        <v>42</v>
      </c>
      <c r="F23907" t="s">
        <v>17351</v>
      </c>
      <c r="G23907" t="s">
        <v>47061</v>
      </c>
      <c r="H23907" t="s">
        <v>47052</v>
      </c>
      <c r="I23907" t="s">
        <v>47120</v>
      </c>
      <c r="J23907" t="s">
        <v>47121</v>
      </c>
      <c r="K23907" t="s">
        <v>47113</v>
      </c>
      <c r="L23907">
        <v>112.71</v>
      </c>
      <c r="M23907">
        <v>260</v>
      </c>
      <c r="N23907">
        <v>0</v>
      </c>
      <c r="O23907">
        <v>260</v>
      </c>
      <c r="P23907">
        <v>0</v>
      </c>
    </row>
    <row r="23908" spans="1:16" x14ac:dyDescent="0.25">
      <c r="A23908" t="s">
        <v>46645</v>
      </c>
      <c r="B23908" t="s">
        <v>46643</v>
      </c>
      <c r="C23908" t="s">
        <v>46644</v>
      </c>
      <c r="D23908" t="str">
        <f>"2001"</f>
        <v>2001</v>
      </c>
      <c r="E23908" t="s">
        <v>2354</v>
      </c>
      <c r="F23908" t="s">
        <v>17351</v>
      </c>
      <c r="G23908" t="s">
        <v>47061</v>
      </c>
      <c r="H23908" t="s">
        <v>47052</v>
      </c>
      <c r="I23908" t="s">
        <v>47120</v>
      </c>
      <c r="J23908" t="s">
        <v>47121</v>
      </c>
      <c r="K23908" t="s">
        <v>47113</v>
      </c>
      <c r="L23908">
        <v>112.71</v>
      </c>
      <c r="M23908">
        <v>260</v>
      </c>
      <c r="N23908">
        <v>0</v>
      </c>
      <c r="O23908">
        <v>260</v>
      </c>
      <c r="P23908">
        <v>0</v>
      </c>
    </row>
    <row r="23909" spans="1:16" x14ac:dyDescent="0.25">
      <c r="A23909" t="s">
        <v>46646</v>
      </c>
      <c r="B23909" t="s">
        <v>46647</v>
      </c>
      <c r="C23909" t="s">
        <v>46648</v>
      </c>
      <c r="D23909" t="str">
        <f>"4143"</f>
        <v>4143</v>
      </c>
      <c r="E23909" t="s">
        <v>21109</v>
      </c>
      <c r="F23909" t="s">
        <v>17351</v>
      </c>
      <c r="G23909" t="s">
        <v>47061</v>
      </c>
      <c r="H23909" t="s">
        <v>47052</v>
      </c>
      <c r="I23909" t="s">
        <v>47120</v>
      </c>
      <c r="J23909" t="s">
        <v>47121</v>
      </c>
      <c r="K23909" t="s">
        <v>47113</v>
      </c>
      <c r="L23909">
        <v>78.650000000000006</v>
      </c>
      <c r="M23909">
        <v>160</v>
      </c>
      <c r="N23909">
        <v>0</v>
      </c>
      <c r="O23909">
        <v>160</v>
      </c>
      <c r="P23909">
        <v>0</v>
      </c>
    </row>
    <row r="23910" spans="1:16" x14ac:dyDescent="0.25">
      <c r="A23910" t="s">
        <v>46649</v>
      </c>
      <c r="B23910" t="s">
        <v>46650</v>
      </c>
      <c r="C23910" t="s">
        <v>46651</v>
      </c>
      <c r="D23910" t="str">
        <f>"2702"</f>
        <v>2702</v>
      </c>
      <c r="E23910" t="s">
        <v>3362</v>
      </c>
      <c r="F23910" t="s">
        <v>17351</v>
      </c>
      <c r="G23910" t="s">
        <v>47061</v>
      </c>
      <c r="H23910" t="s">
        <v>47052</v>
      </c>
      <c r="I23910" t="s">
        <v>47111</v>
      </c>
      <c r="J23910" t="s">
        <v>47112</v>
      </c>
      <c r="K23910" t="s">
        <v>47113</v>
      </c>
      <c r="L23910">
        <v>58.8</v>
      </c>
      <c r="M23910">
        <v>108</v>
      </c>
      <c r="N23910">
        <v>0</v>
      </c>
      <c r="O23910">
        <v>108</v>
      </c>
      <c r="P23910">
        <v>0</v>
      </c>
    </row>
    <row r="23911" spans="1:16" x14ac:dyDescent="0.25">
      <c r="A23911" t="s">
        <v>46652</v>
      </c>
      <c r="B23911" t="s">
        <v>46653</v>
      </c>
      <c r="C23911" t="s">
        <v>46654</v>
      </c>
      <c r="D23911" t="str">
        <f>"4143"</f>
        <v>4143</v>
      </c>
      <c r="E23911" t="s">
        <v>21109</v>
      </c>
      <c r="F23911" t="s">
        <v>17351</v>
      </c>
      <c r="G23911" t="s">
        <v>47061</v>
      </c>
      <c r="H23911" t="s">
        <v>47052</v>
      </c>
      <c r="I23911" t="s">
        <v>47120</v>
      </c>
      <c r="J23911" t="s">
        <v>47121</v>
      </c>
      <c r="K23911" t="s">
        <v>47113</v>
      </c>
      <c r="L23911">
        <v>112.71</v>
      </c>
      <c r="M23911">
        <v>128</v>
      </c>
      <c r="N23911">
        <v>0</v>
      </c>
      <c r="O23911">
        <v>128</v>
      </c>
      <c r="P23911">
        <v>0</v>
      </c>
    </row>
    <row r="23912" spans="1:16" x14ac:dyDescent="0.25">
      <c r="A23912" t="s">
        <v>46655</v>
      </c>
      <c r="B23912" t="s">
        <v>46656</v>
      </c>
      <c r="C23912" t="s">
        <v>46657</v>
      </c>
      <c r="D23912" t="str">
        <f>"4143"</f>
        <v>4143</v>
      </c>
      <c r="E23912" t="s">
        <v>21109</v>
      </c>
      <c r="F23912" t="s">
        <v>17351</v>
      </c>
      <c r="G23912" t="s">
        <v>47061</v>
      </c>
      <c r="H23912" t="s">
        <v>47052</v>
      </c>
      <c r="I23912" t="s">
        <v>47111</v>
      </c>
      <c r="J23912" t="s">
        <v>47112</v>
      </c>
      <c r="K23912" t="s">
        <v>47113</v>
      </c>
      <c r="L23912">
        <v>117.61</v>
      </c>
      <c r="M23912">
        <v>208</v>
      </c>
      <c r="N23912">
        <v>0</v>
      </c>
      <c r="O23912">
        <v>208</v>
      </c>
      <c r="P23912">
        <v>0</v>
      </c>
    </row>
    <row r="23913" spans="1:16" x14ac:dyDescent="0.25">
      <c r="A23913" t="s">
        <v>46658</v>
      </c>
      <c r="B23913" t="s">
        <v>46659</v>
      </c>
      <c r="C23913" t="s">
        <v>46660</v>
      </c>
      <c r="D23913" t="str">
        <f>"1001"</f>
        <v>1001</v>
      </c>
      <c r="E23913" t="s">
        <v>42</v>
      </c>
      <c r="F23913" t="s">
        <v>24019</v>
      </c>
      <c r="G23913" t="s">
        <v>47061</v>
      </c>
      <c r="H23913" t="s">
        <v>47052</v>
      </c>
      <c r="I23913" t="s">
        <v>47118</v>
      </c>
      <c r="J23913" t="s">
        <v>47119</v>
      </c>
      <c r="K23913" t="s">
        <v>47113</v>
      </c>
      <c r="L23913">
        <v>33.630000000000003</v>
      </c>
      <c r="M23913">
        <v>76</v>
      </c>
      <c r="N23913">
        <v>0</v>
      </c>
      <c r="O23913">
        <v>76</v>
      </c>
      <c r="P23913">
        <v>0</v>
      </c>
    </row>
    <row r="23914" spans="1:16" x14ac:dyDescent="0.25">
      <c r="A23914" t="s">
        <v>46661</v>
      </c>
      <c r="B23914" t="s">
        <v>46662</v>
      </c>
      <c r="C23914" t="s">
        <v>46663</v>
      </c>
      <c r="D23914" t="str">
        <f>"1001"</f>
        <v>1001</v>
      </c>
      <c r="E23914" t="s">
        <v>42</v>
      </c>
      <c r="F23914" t="s">
        <v>24019</v>
      </c>
      <c r="G23914" t="s">
        <v>47061</v>
      </c>
      <c r="H23914" t="s">
        <v>47052</v>
      </c>
      <c r="I23914" t="s">
        <v>47118</v>
      </c>
      <c r="J23914" t="s">
        <v>47119</v>
      </c>
      <c r="K23914" t="s">
        <v>47113</v>
      </c>
      <c r="L23914">
        <v>33.630000000000003</v>
      </c>
      <c r="M23914">
        <v>76</v>
      </c>
      <c r="N23914">
        <v>0</v>
      </c>
      <c r="O23914">
        <v>76</v>
      </c>
      <c r="P23914">
        <v>0</v>
      </c>
    </row>
    <row r="23915" spans="1:16" x14ac:dyDescent="0.25">
      <c r="A23915" t="s">
        <v>46664</v>
      </c>
      <c r="B23915" t="s">
        <v>46662</v>
      </c>
      <c r="C23915" t="s">
        <v>46663</v>
      </c>
      <c r="D23915" t="str">
        <f>"3071"</f>
        <v>3071</v>
      </c>
      <c r="E23915" t="s">
        <v>4767</v>
      </c>
      <c r="F23915" t="s">
        <v>24019</v>
      </c>
      <c r="G23915" t="s">
        <v>47061</v>
      </c>
      <c r="H23915" t="s">
        <v>47052</v>
      </c>
      <c r="I23915" t="s">
        <v>47118</v>
      </c>
      <c r="J23915" t="s">
        <v>47119</v>
      </c>
      <c r="K23915" t="s">
        <v>47113</v>
      </c>
      <c r="L23915">
        <v>33.630000000000003</v>
      </c>
      <c r="M23915">
        <v>76</v>
      </c>
      <c r="N23915">
        <v>0</v>
      </c>
      <c r="O23915">
        <v>76</v>
      </c>
      <c r="P23915">
        <v>0</v>
      </c>
    </row>
    <row r="23916" spans="1:16" x14ac:dyDescent="0.25">
      <c r="A23916" t="s">
        <v>46665</v>
      </c>
      <c r="B23916" t="s">
        <v>46666</v>
      </c>
      <c r="C23916" t="s">
        <v>46667</v>
      </c>
      <c r="D23916" t="str">
        <f>"1001"</f>
        <v>1001</v>
      </c>
      <c r="E23916" t="s">
        <v>42</v>
      </c>
      <c r="F23916" t="s">
        <v>24019</v>
      </c>
      <c r="G23916" t="s">
        <v>47061</v>
      </c>
      <c r="H23916" t="s">
        <v>47052</v>
      </c>
      <c r="I23916" t="s">
        <v>47118</v>
      </c>
      <c r="J23916" t="s">
        <v>47119</v>
      </c>
      <c r="K23916" t="s">
        <v>47113</v>
      </c>
      <c r="L23916">
        <v>44.85</v>
      </c>
      <c r="M23916">
        <v>100</v>
      </c>
      <c r="N23916">
        <v>0</v>
      </c>
      <c r="O23916">
        <v>100</v>
      </c>
      <c r="P23916">
        <v>0</v>
      </c>
    </row>
    <row r="23917" spans="1:16" x14ac:dyDescent="0.25">
      <c r="A23917" t="s">
        <v>46668</v>
      </c>
      <c r="B23917" t="s">
        <v>46669</v>
      </c>
      <c r="C23917" t="s">
        <v>46670</v>
      </c>
      <c r="D23917" t="str">
        <f>"1001"</f>
        <v>1001</v>
      </c>
      <c r="E23917" t="s">
        <v>42</v>
      </c>
      <c r="F23917" t="s">
        <v>24019</v>
      </c>
      <c r="G23917" t="s">
        <v>47104</v>
      </c>
      <c r="H23917" t="s">
        <v>47052</v>
      </c>
      <c r="I23917" t="s">
        <v>47118</v>
      </c>
      <c r="J23917" t="s">
        <v>47119</v>
      </c>
      <c r="K23917" t="s">
        <v>47113</v>
      </c>
      <c r="L23917">
        <v>9.34</v>
      </c>
      <c r="M23917">
        <v>36</v>
      </c>
      <c r="N23917">
        <v>0</v>
      </c>
      <c r="O23917">
        <v>36</v>
      </c>
      <c r="P23917">
        <v>0</v>
      </c>
    </row>
    <row r="23918" spans="1:16" x14ac:dyDescent="0.25">
      <c r="A23918" t="s">
        <v>47105</v>
      </c>
      <c r="B23918" t="s">
        <v>46669</v>
      </c>
      <c r="C23918" t="s">
        <v>46670</v>
      </c>
      <c r="D23918" t="str">
        <f>"2602"</f>
        <v>2602</v>
      </c>
      <c r="E23918" t="s">
        <v>2307</v>
      </c>
      <c r="F23918" t="s">
        <v>24019</v>
      </c>
      <c r="G23918" t="s">
        <v>47104</v>
      </c>
      <c r="H23918" t="s">
        <v>47052</v>
      </c>
      <c r="I23918" t="s">
        <v>47118</v>
      </c>
      <c r="J23918" t="s">
        <v>47119</v>
      </c>
      <c r="K23918" t="s">
        <v>47113</v>
      </c>
      <c r="L23918">
        <v>9.48</v>
      </c>
      <c r="M23918">
        <v>36</v>
      </c>
      <c r="N23918">
        <v>89</v>
      </c>
      <c r="O23918">
        <v>36</v>
      </c>
      <c r="P23918">
        <v>89</v>
      </c>
    </row>
    <row r="23919" spans="1:16" x14ac:dyDescent="0.25">
      <c r="A23919" t="s">
        <v>46671</v>
      </c>
      <c r="B23919" t="s">
        <v>46669</v>
      </c>
      <c r="C23919" t="s">
        <v>46670</v>
      </c>
      <c r="D23919" t="str">
        <f>"3071"</f>
        <v>3071</v>
      </c>
      <c r="E23919" t="s">
        <v>4767</v>
      </c>
      <c r="F23919" t="s">
        <v>24019</v>
      </c>
      <c r="G23919" t="s">
        <v>47104</v>
      </c>
      <c r="H23919" t="s">
        <v>47052</v>
      </c>
      <c r="I23919" t="s">
        <v>47118</v>
      </c>
      <c r="J23919" t="s">
        <v>47119</v>
      </c>
      <c r="K23919" t="s">
        <v>47113</v>
      </c>
      <c r="L23919">
        <v>9.34</v>
      </c>
      <c r="M23919">
        <v>36</v>
      </c>
      <c r="N23919">
        <v>0</v>
      </c>
      <c r="O23919">
        <v>36</v>
      </c>
      <c r="P23919">
        <v>0</v>
      </c>
    </row>
    <row r="23920" spans="1:16" x14ac:dyDescent="0.25">
      <c r="A23920" t="s">
        <v>50026</v>
      </c>
      <c r="B23920" t="s">
        <v>50027</v>
      </c>
      <c r="C23920" t="s">
        <v>50028</v>
      </c>
      <c r="D23920" t="str">
        <f>"3071"</f>
        <v>3071</v>
      </c>
      <c r="E23920" t="s">
        <v>20770</v>
      </c>
      <c r="F23920" t="s">
        <v>47325</v>
      </c>
      <c r="G23920" t="s">
        <v>47061</v>
      </c>
      <c r="H23920" t="s">
        <v>47052</v>
      </c>
      <c r="I23920" t="s">
        <v>47118</v>
      </c>
      <c r="J23920" t="s">
        <v>47119</v>
      </c>
      <c r="K23920" t="s">
        <v>47113</v>
      </c>
      <c r="L23920">
        <v>48.16</v>
      </c>
      <c r="M23920">
        <v>100</v>
      </c>
      <c r="N23920">
        <v>249</v>
      </c>
      <c r="O23920">
        <v>100</v>
      </c>
      <c r="P23920">
        <v>249</v>
      </c>
    </row>
    <row r="23921" spans="1:16" x14ac:dyDescent="0.25">
      <c r="A23921" t="s">
        <v>46672</v>
      </c>
      <c r="B23921" t="s">
        <v>46673</v>
      </c>
      <c r="C23921" t="s">
        <v>46674</v>
      </c>
      <c r="D23921" t="str">
        <f>"4144"</f>
        <v>4144</v>
      </c>
      <c r="E23921" t="s">
        <v>261</v>
      </c>
      <c r="F23921" t="s">
        <v>24019</v>
      </c>
      <c r="G23921" t="s">
        <v>47053</v>
      </c>
      <c r="H23921" t="s">
        <v>47052</v>
      </c>
      <c r="I23921" t="s">
        <v>47120</v>
      </c>
      <c r="J23921" t="s">
        <v>47121</v>
      </c>
      <c r="K23921" t="s">
        <v>47113</v>
      </c>
      <c r="L23921">
        <v>16.29</v>
      </c>
      <c r="M23921">
        <v>56</v>
      </c>
      <c r="N23921">
        <v>0</v>
      </c>
      <c r="O23921">
        <v>56</v>
      </c>
      <c r="P23921">
        <v>0</v>
      </c>
    </row>
    <row r="23922" spans="1:16" x14ac:dyDescent="0.25">
      <c r="A23922" t="s">
        <v>50029</v>
      </c>
      <c r="B23922" t="s">
        <v>50030</v>
      </c>
      <c r="C23922" t="s">
        <v>46660</v>
      </c>
      <c r="D23922" t="str">
        <f>"3071"</f>
        <v>3071</v>
      </c>
      <c r="E23922" t="s">
        <v>20770</v>
      </c>
      <c r="F23922" t="s">
        <v>47325</v>
      </c>
      <c r="G23922" t="s">
        <v>47061</v>
      </c>
      <c r="H23922" t="s">
        <v>47052</v>
      </c>
      <c r="I23922" t="s">
        <v>47118</v>
      </c>
      <c r="J23922" t="s">
        <v>47119</v>
      </c>
      <c r="K23922" t="s">
        <v>47113</v>
      </c>
      <c r="L23922">
        <v>35.32</v>
      </c>
      <c r="M23922">
        <v>80</v>
      </c>
      <c r="N23922">
        <v>199</v>
      </c>
      <c r="O23922">
        <v>80</v>
      </c>
      <c r="P23922">
        <v>199</v>
      </c>
    </row>
    <row r="23923" spans="1:16" x14ac:dyDescent="0.25">
      <c r="A23923" t="s">
        <v>46675</v>
      </c>
      <c r="B23923" t="s">
        <v>22543</v>
      </c>
      <c r="C23923" t="s">
        <v>22544</v>
      </c>
      <c r="D23923" t="str">
        <f>"1001"</f>
        <v>1001</v>
      </c>
      <c r="E23923" t="s">
        <v>42</v>
      </c>
      <c r="F23923" t="s">
        <v>3750</v>
      </c>
      <c r="G23923" t="s">
        <v>47053</v>
      </c>
      <c r="H23923" t="s">
        <v>47071</v>
      </c>
      <c r="I23923" t="s">
        <v>47120</v>
      </c>
      <c r="J23923" t="s">
        <v>47121</v>
      </c>
      <c r="K23923" t="s">
        <v>47113</v>
      </c>
      <c r="L23923">
        <v>18.559999999999999</v>
      </c>
      <c r="M23923">
        <v>51</v>
      </c>
      <c r="N23923">
        <v>0</v>
      </c>
      <c r="O23923">
        <v>51</v>
      </c>
      <c r="P23923">
        <v>0</v>
      </c>
    </row>
    <row r="23924" spans="1:16" x14ac:dyDescent="0.25">
      <c r="A23924" t="s">
        <v>46676</v>
      </c>
      <c r="B23924" t="s">
        <v>22543</v>
      </c>
      <c r="C23924" t="s">
        <v>22544</v>
      </c>
      <c r="D23924" t="str">
        <f>"4143"</f>
        <v>4143</v>
      </c>
      <c r="E23924" t="s">
        <v>261</v>
      </c>
      <c r="F23924" t="s">
        <v>3750</v>
      </c>
      <c r="G23924" t="s">
        <v>47053</v>
      </c>
      <c r="H23924" t="s">
        <v>47071</v>
      </c>
      <c r="I23924" t="s">
        <v>47120</v>
      </c>
      <c r="J23924" t="s">
        <v>47121</v>
      </c>
      <c r="K23924" t="s">
        <v>47113</v>
      </c>
      <c r="L23924">
        <v>18.559999999999999</v>
      </c>
      <c r="M23924">
        <v>51</v>
      </c>
      <c r="N23924">
        <v>0</v>
      </c>
      <c r="O23924">
        <v>51</v>
      </c>
      <c r="P23924">
        <v>0</v>
      </c>
    </row>
    <row r="23925" spans="1:16" x14ac:dyDescent="0.25">
      <c r="A23925" t="s">
        <v>46677</v>
      </c>
      <c r="B23925" t="s">
        <v>22543</v>
      </c>
      <c r="C23925" t="s">
        <v>22544</v>
      </c>
      <c r="D23925" t="str">
        <f>"6000"</f>
        <v>6000</v>
      </c>
      <c r="E23925" t="s">
        <v>238</v>
      </c>
      <c r="F23925" t="s">
        <v>3750</v>
      </c>
      <c r="G23925" t="s">
        <v>47053</v>
      </c>
      <c r="H23925" t="s">
        <v>47071</v>
      </c>
      <c r="I23925" t="s">
        <v>47120</v>
      </c>
      <c r="J23925" t="s">
        <v>47121</v>
      </c>
      <c r="K23925" t="s">
        <v>47113</v>
      </c>
      <c r="L23925">
        <v>18.559999999999999</v>
      </c>
      <c r="M23925">
        <v>51</v>
      </c>
      <c r="N23925">
        <v>0</v>
      </c>
      <c r="O23925">
        <v>51</v>
      </c>
      <c r="P23925">
        <v>0</v>
      </c>
    </row>
    <row r="23926" spans="1:16" x14ac:dyDescent="0.25">
      <c r="A23926" t="s">
        <v>46678</v>
      </c>
      <c r="B23926" t="s">
        <v>22545</v>
      </c>
      <c r="C23926" t="s">
        <v>22546</v>
      </c>
      <c r="D23926" t="str">
        <f>"6497"</f>
        <v>6497</v>
      </c>
      <c r="E23926" t="s">
        <v>22547</v>
      </c>
      <c r="F23926" t="s">
        <v>17351</v>
      </c>
      <c r="G23926" t="s">
        <v>47053</v>
      </c>
      <c r="H23926" t="s">
        <v>47054</v>
      </c>
      <c r="I23926" t="s">
        <v>47120</v>
      </c>
      <c r="J23926" t="s">
        <v>47121</v>
      </c>
      <c r="K23926" t="s">
        <v>47113</v>
      </c>
      <c r="L23926">
        <v>13.36</v>
      </c>
      <c r="M23926">
        <v>36</v>
      </c>
      <c r="N23926">
        <v>0</v>
      </c>
      <c r="O23926">
        <v>36</v>
      </c>
      <c r="P23926">
        <v>0</v>
      </c>
    </row>
    <row r="23927" spans="1:16" x14ac:dyDescent="0.25">
      <c r="A23927" t="s">
        <v>46679</v>
      </c>
      <c r="B23927" t="s">
        <v>19471</v>
      </c>
      <c r="C23927" t="s">
        <v>19472</v>
      </c>
      <c r="D23927" t="str">
        <f>"6000"</f>
        <v>6000</v>
      </c>
      <c r="E23927" t="s">
        <v>238</v>
      </c>
      <c r="F23927" t="s">
        <v>3750</v>
      </c>
      <c r="G23927" t="s">
        <v>47053</v>
      </c>
      <c r="H23927" t="s">
        <v>47054</v>
      </c>
      <c r="I23927" t="s">
        <v>47120</v>
      </c>
      <c r="J23927" t="s">
        <v>47121</v>
      </c>
      <c r="K23927" t="s">
        <v>47113</v>
      </c>
      <c r="L23927">
        <v>13.86</v>
      </c>
      <c r="M23927">
        <v>38</v>
      </c>
      <c r="N23927">
        <v>0</v>
      </c>
      <c r="O23927">
        <v>38</v>
      </c>
      <c r="P23927">
        <v>0</v>
      </c>
    </row>
    <row r="23928" spans="1:16" x14ac:dyDescent="0.25">
      <c r="A23928" t="s">
        <v>46680</v>
      </c>
      <c r="B23928" t="s">
        <v>19471</v>
      </c>
      <c r="C23928" t="s">
        <v>19472</v>
      </c>
      <c r="D23928" t="s">
        <v>143</v>
      </c>
      <c r="E23928" t="s">
        <v>144</v>
      </c>
      <c r="F23928" t="s">
        <v>3750</v>
      </c>
      <c r="G23928" t="s">
        <v>47053</v>
      </c>
      <c r="H23928" t="s">
        <v>47054</v>
      </c>
      <c r="I23928" t="s">
        <v>47120</v>
      </c>
      <c r="J23928" t="s">
        <v>47121</v>
      </c>
      <c r="K23928" t="s">
        <v>47113</v>
      </c>
      <c r="L23928">
        <v>12.7</v>
      </c>
      <c r="M23928">
        <v>29</v>
      </c>
      <c r="N23928">
        <v>0</v>
      </c>
      <c r="O23928">
        <v>29</v>
      </c>
      <c r="P23928">
        <v>0</v>
      </c>
    </row>
    <row r="23929" spans="1:16" x14ac:dyDescent="0.25">
      <c r="A23929" t="s">
        <v>46681</v>
      </c>
      <c r="B23929" t="s">
        <v>14402</v>
      </c>
      <c r="C23929" t="s">
        <v>14403</v>
      </c>
      <c r="D23929" t="str">
        <f>"1700"</f>
        <v>1700</v>
      </c>
      <c r="E23929" t="s">
        <v>60</v>
      </c>
      <c r="F23929" t="s">
        <v>3750</v>
      </c>
      <c r="G23929" t="s">
        <v>47061</v>
      </c>
      <c r="H23929" t="s">
        <v>47054</v>
      </c>
      <c r="I23929" t="s">
        <v>47120</v>
      </c>
      <c r="J23929" t="s">
        <v>47121</v>
      </c>
      <c r="K23929" t="s">
        <v>47113</v>
      </c>
      <c r="L23929">
        <v>10.52</v>
      </c>
      <c r="M23929">
        <v>29</v>
      </c>
      <c r="N23929">
        <v>0</v>
      </c>
      <c r="O23929">
        <v>29</v>
      </c>
      <c r="P23929">
        <v>0</v>
      </c>
    </row>
    <row r="23930" spans="1:16" x14ac:dyDescent="0.25">
      <c r="A23930" t="s">
        <v>46682</v>
      </c>
      <c r="B23930" t="s">
        <v>14404</v>
      </c>
      <c r="C23930" t="s">
        <v>14405</v>
      </c>
      <c r="D23930" t="str">
        <f>"1001"</f>
        <v>1001</v>
      </c>
      <c r="E23930" t="s">
        <v>42</v>
      </c>
      <c r="F23930" t="s">
        <v>3750</v>
      </c>
      <c r="G23930" t="s">
        <v>47061</v>
      </c>
      <c r="H23930" t="s">
        <v>47071</v>
      </c>
      <c r="I23930" t="s">
        <v>47120</v>
      </c>
      <c r="J23930" t="s">
        <v>47121</v>
      </c>
      <c r="K23930" t="s">
        <v>47113</v>
      </c>
      <c r="L23930">
        <v>10.59</v>
      </c>
      <c r="M23930">
        <v>29</v>
      </c>
      <c r="N23930">
        <v>0</v>
      </c>
      <c r="O23930">
        <v>29</v>
      </c>
      <c r="P23930">
        <v>0</v>
      </c>
    </row>
    <row r="23931" spans="1:16" x14ac:dyDescent="0.25">
      <c r="A23931" t="s">
        <v>46683</v>
      </c>
      <c r="B23931" t="s">
        <v>19473</v>
      </c>
      <c r="C23931" t="s">
        <v>19474</v>
      </c>
      <c r="D23931" t="str">
        <f>"1081"</f>
        <v>1081</v>
      </c>
      <c r="E23931" t="s">
        <v>14428</v>
      </c>
      <c r="F23931" t="s">
        <v>3750</v>
      </c>
      <c r="G23931" t="s">
        <v>47053</v>
      </c>
      <c r="H23931" t="s">
        <v>47071</v>
      </c>
      <c r="I23931" t="s">
        <v>47120</v>
      </c>
      <c r="J23931" t="s">
        <v>47121</v>
      </c>
      <c r="K23931" t="s">
        <v>47113</v>
      </c>
      <c r="L23931">
        <v>16.739999999999998</v>
      </c>
      <c r="M23931">
        <v>55</v>
      </c>
      <c r="N23931">
        <v>0</v>
      </c>
      <c r="O23931">
        <v>55</v>
      </c>
      <c r="P23931">
        <v>0</v>
      </c>
    </row>
    <row r="23932" spans="1:16" x14ac:dyDescent="0.25">
      <c r="A23932" t="s">
        <v>46684</v>
      </c>
      <c r="B23932" t="s">
        <v>14406</v>
      </c>
      <c r="C23932" t="s">
        <v>14407</v>
      </c>
      <c r="D23932" t="str">
        <f>"4168"</f>
        <v>4168</v>
      </c>
      <c r="E23932" t="s">
        <v>1132</v>
      </c>
      <c r="F23932" t="s">
        <v>3750</v>
      </c>
      <c r="G23932" t="s">
        <v>47061</v>
      </c>
      <c r="H23932" t="s">
        <v>47054</v>
      </c>
      <c r="I23932" t="s">
        <v>47120</v>
      </c>
      <c r="J23932" t="s">
        <v>47121</v>
      </c>
      <c r="K23932" t="s">
        <v>47113</v>
      </c>
      <c r="L23932">
        <v>10.52</v>
      </c>
      <c r="M23932">
        <v>29</v>
      </c>
      <c r="N23932">
        <v>0</v>
      </c>
      <c r="O23932">
        <v>29</v>
      </c>
      <c r="P23932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BCF9F9B533A45A075C62C6B89730F" ma:contentTypeVersion="2" ma:contentTypeDescription="Crée un document." ma:contentTypeScope="" ma:versionID="ee7eae04595d0f557e131b77492917e2">
  <xsd:schema xmlns:xsd="http://www.w3.org/2001/XMLSchema" xmlns:xs="http://www.w3.org/2001/XMLSchema" xmlns:p="http://schemas.microsoft.com/office/2006/metadata/properties" xmlns:ns2="a054f55a-f9e7-42fc-8420-c10926fc17cc" targetNamespace="http://schemas.microsoft.com/office/2006/metadata/properties" ma:root="true" ma:fieldsID="d3855bbb4ab696be5a382f03249213a3" ns2:_="">
    <xsd:import namespace="a054f55a-f9e7-42fc-8420-c10926fc17c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54f55a-f9e7-42fc-8420-c10926fc17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B6443A-9C41-4138-8129-D1D19E5313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808E91-427C-4392-A13D-1BDAC82C0A42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a054f55a-f9e7-42fc-8420-c10926fc17c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E4F3D18-68A7-450F-ADB4-45AC77AD0B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54f55a-f9e7-42fc-8420-c10926fc17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REPLAY  FASHION &amp; ACCESSOIRES </vt:lpstr>
      <vt:lpstr>EURO_Style Master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2017-05-21T10:56:25Z</cp:lastPrinted>
  <dcterms:created xsi:type="dcterms:W3CDTF">2014-10-30T13:07:43Z</dcterms:created>
  <dcterms:modified xsi:type="dcterms:W3CDTF">2017-06-08T11:38:22Z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0x010100AECBCF9F9B533A45A075C62C6B89730F</vt:lpwstr>
  </property>
</Properties>
</file>